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hreadedComments/threadedComment2.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threadedComments/threadedComment3.xml" ContentType="application/vnd.ms-excel.threaded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threadedComments/threadedComment4.xml" ContentType="application/vnd.ms-excel.threaded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tables/table1.xml" ContentType="application/vnd.openxmlformats-officedocument.spreadsheetml.table+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Matthew\Desktop\PJM\updated_data\vehicle_profiles\GREET_2021rev1\"/>
    </mc:Choice>
  </mc:AlternateContent>
  <xr:revisionPtr revIDLastSave="0" documentId="13_ncr:1_{7A872CC1-9DB2-42DA-9C1B-E3D3F5A8B6B4}" xr6:coauthVersionLast="47" xr6:coauthVersionMax="47" xr10:uidLastSave="{00000000-0000-0000-0000-000000000000}"/>
  <bookViews>
    <workbookView xWindow="990" yWindow="645" windowWidth="23010" windowHeight="12855" tabRatio="913" activeTab="4" xr2:uid="{00000000-000D-0000-FFFF-FFFF00000000}"/>
  </bookViews>
  <sheets>
    <sheet name="Overview" sheetId="42" r:id="rId1"/>
    <sheet name="GREET1_Import_Export" sheetId="78" r:id="rId2"/>
    <sheet name="Vehi_Inputs" sheetId="34" r:id="rId3"/>
    <sheet name="Battery_Sum" sheetId="26" r:id="rId4"/>
    <sheet name="Vehi_Sum" sheetId="17" r:id="rId5"/>
    <sheet name="Vehi_Comp_Sum" sheetId="14" r:id="rId6"/>
    <sheet name="Mat_Sum" sheetId="13" r:id="rId7"/>
    <sheet name="Mat_Inputs" sheetId="41" r:id="rId8"/>
    <sheet name="Car" sheetId="43" r:id="rId9"/>
    <sheet name="Other_Cathodes" sheetId="57" r:id="rId10"/>
    <sheet name="Nickel" sheetId="20" r:id="rId11"/>
    <sheet name="Battery Recycling" sheetId="61" r:id="rId12"/>
    <sheet name="SUV" sheetId="45" r:id="rId13"/>
    <sheet name="PUT" sheetId="50" r:id="rId14"/>
    <sheet name="Steel" sheetId="1" r:id="rId15"/>
    <sheet name="C.Iron" sheetId="2" r:id="rId16"/>
    <sheet name="W.Al" sheetId="3" r:id="rId17"/>
    <sheet name="C.Al" sheetId="35" r:id="rId18"/>
    <sheet name="Li_Chemicals" sheetId="62" r:id="rId19"/>
    <sheet name="Lead" sheetId="5" r:id="rId20"/>
    <sheet name="Cobalt" sheetId="22" r:id="rId21"/>
    <sheet name="Copper" sheetId="7" r:id="rId22"/>
    <sheet name="Zinc" sheetId="8" r:id="rId23"/>
    <sheet name="Magnesium" sheetId="40" r:id="rId24"/>
    <sheet name="Glass" sheetId="10" r:id="rId25"/>
    <sheet name="Vehi_Plastics" sheetId="63" r:id="rId26"/>
    <sheet name="Rubber" sheetId="12" r:id="rId27"/>
    <sheet name="Platinum" sheetId="36" r:id="rId28"/>
    <sheet name="Vanadium" sheetId="27" r:id="rId29"/>
    <sheet name="Zirconium" sheetId="28" r:id="rId30"/>
    <sheet name="Titanium" sheetId="29" r:id="rId31"/>
    <sheet name="Chromium" sheetId="30" r:id="rId32"/>
    <sheet name="Molybdenum" sheetId="58" r:id="rId33"/>
    <sheet name="Rare Earth" sheetId="33" r:id="rId34"/>
    <sheet name="Manganese" sheetId="31" r:id="rId35"/>
    <sheet name="FC Materials" sheetId="39" r:id="rId36"/>
    <sheet name="Cement_Concrete" sheetId="60" r:id="rId37"/>
    <sheet name="Silicon" sheetId="48" r:id="rId38"/>
    <sheet name="Vehi_Fluids" sheetId="15" r:id="rId39"/>
    <sheet name="Battery_Assembly" sheetId="38" r:id="rId40"/>
    <sheet name="Vehi_ADR" sheetId="16" r:id="rId41"/>
    <sheet name="Battery_Materials" sheetId="56" r:id="rId42"/>
    <sheet name="Anode" sheetId="59" r:id="rId43"/>
    <sheet name="LiMn2O4" sheetId="55" r:id="rId44"/>
    <sheet name="TEC_Results" sheetId="18" r:id="rId45"/>
    <sheet name="GREET2_Factors_T&amp;D" sheetId="54" r:id="rId46"/>
    <sheet name="GREET_Building_Import_Export" sheetId="79" r:id="rId47"/>
    <sheet name="MHDV_Inputs" sheetId="64" r:id="rId48"/>
    <sheet name="MHDV_Mat_Parameters" sheetId="65" r:id="rId49"/>
    <sheet name="Class 6 PnD Trucks" sheetId="66" r:id="rId50"/>
    <sheet name="Class 8 Day-cab Trucks" sheetId="67" r:id="rId51"/>
    <sheet name="Class 8 Sleeper-cab Trucks" sheetId="68" r:id="rId52"/>
    <sheet name="MHDV_Fluids" sheetId="69" r:id="rId53"/>
    <sheet name="MHDV_Trailer_Fluids" sheetId="70" r:id="rId54"/>
    <sheet name="MHDV_ADR" sheetId="71" r:id="rId55"/>
    <sheet name="MHDV_Trailer_ADR" sheetId="72" r:id="rId56"/>
    <sheet name="MHDV_Battery_Sum" sheetId="73" r:id="rId57"/>
    <sheet name="MHDV_Comp_Sum" sheetId="74" r:id="rId58"/>
    <sheet name="MHDV_Trailer_Comp_Sum" sheetId="75" r:id="rId59"/>
    <sheet name="MHDV_Sum" sheetId="76" r:id="rId60"/>
    <sheet name="MHDV_TEC_Results" sheetId="77" r:id="rId61"/>
  </sheets>
  <functionGroups builtInGroupCount="19"/>
  <externalReferences>
    <externalReference r:id="rId62"/>
  </externalReferences>
  <definedNames>
    <definedName name="_xlnm._FilterDatabase" localSheetId="44" hidden="1">TEC_Results!$A$1:$A$525</definedName>
    <definedName name="_xlnm._FilterDatabase" localSheetId="5" hidden="1">Vehi_Comp_Sum!$A$1:$A$405</definedName>
    <definedName name="_xlnm._FilterDatabase" localSheetId="4" hidden="1">Vehi_Sum!$A$1:$A$371</definedName>
    <definedName name="Anode_elec_G">Anode!$E$37</definedName>
    <definedName name="Anode_energy_C">Anode!$B$28</definedName>
    <definedName name="Anode_energy_G">Anode!$E$28</definedName>
    <definedName name="Anode_NG_C">Anode!$B$35</definedName>
    <definedName name="Anode_non_comb">Anode!$C$59:$C$67</definedName>
    <definedName name="Assembly_energy">Vehi_Inputs!$B$132</definedName>
    <definedName name="Assembly_NG">Battery_Assembly!$F$16</definedName>
    <definedName name="Assembly_water">Battery_Assembly!$G$35</definedName>
    <definedName name="Bat_mat_comp">Mat_Inputs!$V$145:$AG$161</definedName>
    <definedName name="Bat_spec_energy">Vehi_Inputs!$N$115:$Y$116</definedName>
    <definedName name="Cath_mat_input">Other_Cathodes!$A$5:$AK$42</definedName>
    <definedName name="Cath_mat_upstream">Other_Cathodes!$B$150:$AV$169</definedName>
    <definedName name="Coke_prod">Steel!$B$108:$B$125</definedName>
    <definedName name="Coke_upstream1">GREET1_Import_Export!$I$179:$I$185</definedName>
    <definedName name="Coke_upstream2">GREET1_Import_Export!$I$186:$I$196</definedName>
    <definedName name="Crude_upstream1">GREET1_Import_Export!$B$180:$B$185</definedName>
    <definedName name="Crude_upstream2">GREET1_Import_Export!$B$186:$B$196</definedName>
    <definedName name="DataEntryToGREET1">GREET1_Import_Export!$B$554:$BB$554</definedName>
    <definedName name="DataExportToGREET1">GREET1_Import_Export!$B$556:$BB$584</definedName>
    <definedName name="Elec_bio">GREET1_Import_Export!$R$309:$S$327</definedName>
    <definedName name="Elec_coal">GREET1_Import_Export!$N$309:$O$327</definedName>
    <definedName name="Elec_hydro">GREET1_Import_Export!$AH$309:$AI$327</definedName>
    <definedName name="Elec_NG">GREET1_Import_Export!$J$309:$K$327</definedName>
    <definedName name="Elec_NGCC">GREET1_Import_Export!$AD$309:$AE$327</definedName>
    <definedName name="Elec_nuclear">GREET1_Import_Export!$V$309:$W$327</definedName>
    <definedName name="Elec_oil">GREET1_Import_Export!$F$309:$G$327</definedName>
    <definedName name="Elec_other">GREET1_Import_Export!$Z$309:$AA$327</definedName>
    <definedName name="Elec_region">GREET1_Import_Export!$B$339:$Y$360</definedName>
    <definedName name="Elec_US">GREET1_Import_Export!$B$309:$C$327</definedName>
    <definedName name="Elec_wind">GREET1_Import_Export!$AL$309:$AM$327</definedName>
    <definedName name="EV_battery_size">Vehi_Inputs!$D$90</definedName>
    <definedName name="GREET2_Assembly">Vehi_ADR!$J$106:$J$132</definedName>
    <definedName name="GREET2_HDPE" localSheetId="25">Vehi_Plastics!$AU$105:$AU$131</definedName>
    <definedName name="GREET2_HDPE">#REF!</definedName>
    <definedName name="GREET2_LDPE" localSheetId="25">Vehi_Plastics!$AW$105:$AW$131</definedName>
    <definedName name="GREET2_LDPE">#REF!</definedName>
    <definedName name="GREET2_RecSteel">Steel!$E$176:$E$202</definedName>
    <definedName name="GREET2_Rubber">Rubber!$I$65:$I$91</definedName>
    <definedName name="GREET2_Steel">Steel!$U$108:$U$134</definedName>
    <definedName name="kg2T">GREET1_Import_Export!$C$143</definedName>
    <definedName name="LFP_S_elec">Other_Cathodes!$BJ$79</definedName>
    <definedName name="LFP_S_energy">Other_Cathodes!$BJ$70</definedName>
    <definedName name="LFP_S_non">Other_Cathodes!$BK$105</definedName>
    <definedName name="LFP_T_energy">Other_Cathodes!$AR$70</definedName>
    <definedName name="LFP_T_NG">Other_Cathodes!$AR$77</definedName>
    <definedName name="LMO_energy">LiMn2O4!$E$39</definedName>
    <definedName name="LMO_NG">LiMn2O4!$E$46</definedName>
    <definedName name="LMO_non">LiMn2O4!$F$74</definedName>
    <definedName name="LMR_energy">Other_Cathodes!$AX$70</definedName>
    <definedName name="LMR_NG">Other_Cathodes!$AX$77</definedName>
    <definedName name="LMR_non">Other_Cathodes!$AY$105</definedName>
    <definedName name="LMR_pre_energy">Other_Cathodes!$AU$70</definedName>
    <definedName name="LMR_pre_NG">Other_Cathodes!$AU$77</definedName>
    <definedName name="Mat_upstream">Mat_Sum!$B$13:$CZ$34</definedName>
    <definedName name="MJ2BTU">GREET1_Import_Export!$D$158</definedName>
    <definedName name="Mn2O3_upstream">LiMn2O4!$F$90:$F$107</definedName>
    <definedName name="MYear">Car!$C$5</definedName>
    <definedName name="NCA_elec">Other_Cathodes!$CB$79</definedName>
    <definedName name="NCA_energy">Other_Cathodes!$CB$70</definedName>
    <definedName name="NCA_pre_energy">Other_Cathodes!$BY$70</definedName>
    <definedName name="NCA_pre_NG">Other_Cathodes!$BY$77</definedName>
    <definedName name="NCA_pre_w">Other_Cathodes!$BZ$93</definedName>
    <definedName name="NG_boil_EF">GREET1_Import_Export!$C$72:$C$82</definedName>
    <definedName name="NG_LNG">GREET1_Import_Export!$L$215:$M$234</definedName>
    <definedName name="NG_US">GREET1_Import_Export!$B$216:$B$234</definedName>
    <definedName name="NG_util_EF">GREET1_Import_Export!$B$72:$B$82</definedName>
    <definedName name="NMC111_elec">Other_Cathodes!$Q$79</definedName>
    <definedName name="NMC111_energy">Other_Cathodes!$Q$70</definedName>
    <definedName name="NMC111_non">Other_Cathodes!$R$105</definedName>
    <definedName name="NMC111_pre_energy">Other_Cathodes!$N$70</definedName>
    <definedName name="NMC111_pre_NG">Other_Cathodes!$N$77</definedName>
    <definedName name="NMC111_pre_w">Other_Cathodes!$O$93</definedName>
    <definedName name="NMC532_elec">Other_Cathodes!$W$79</definedName>
    <definedName name="NMC532_energy">Other_Cathodes!$W$70</definedName>
    <definedName name="NMC532_non">Other_Cathodes!$X$105</definedName>
    <definedName name="NMC532_pre_energy">Other_Cathodes!$T$70</definedName>
    <definedName name="NMC532_pre_NG">Other_Cathodes!$T$77</definedName>
    <definedName name="NMC532_pre_w">Other_Cathodes!$U$93</definedName>
    <definedName name="NMC622_elec">Other_Cathodes!$AC$79</definedName>
    <definedName name="NMC622_energy">Other_Cathodes!$AC$70</definedName>
    <definedName name="NMC622_non">Other_Cathodes!$AD$105</definedName>
    <definedName name="NMC622_pre_energy">Other_Cathodes!$Z$70</definedName>
    <definedName name="NMC622_pre_NG">Other_Cathodes!$Z$77</definedName>
    <definedName name="NMC622_pre_w">Other_Cathodes!$AA$93</definedName>
    <definedName name="NMC811_elec">Other_Cathodes!$AI$79</definedName>
    <definedName name="NMC811_energy">Other_Cathodes!$AI$70</definedName>
    <definedName name="NMC811_pre_energy">Other_Cathodes!$AF$70</definedName>
    <definedName name="NMC811_pre_NG">Other_Cathodes!$AF$77</definedName>
    <definedName name="NMC811_pre_w">Other_Cathodes!$AG$93</definedName>
    <definedName name="NMP_required">LiMn2O4!$E$9</definedName>
    <definedName name="Share_VirMat">Mat_Inputs!$C$171:$C$173</definedName>
  </definedNames>
  <calcPr calcId="191029" calcMode="manual" iterate="1" iterateDelta="1.0000000000000001E-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N75" i="17" l="1"/>
  <c r="O75" i="17"/>
  <c r="R75" i="17"/>
  <c r="N76" i="17"/>
  <c r="O76" i="17"/>
  <c r="R76" i="17"/>
  <c r="N77" i="17"/>
  <c r="O77" i="17"/>
  <c r="R77" i="17"/>
  <c r="N78" i="17"/>
  <c r="O78" i="17"/>
  <c r="R78" i="17"/>
  <c r="N79" i="17"/>
  <c r="O79" i="17"/>
  <c r="R79" i="17"/>
  <c r="N80" i="17"/>
  <c r="O80" i="17"/>
  <c r="R80" i="17"/>
  <c r="N81" i="17"/>
  <c r="O81" i="17"/>
  <c r="R81" i="17"/>
  <c r="N82" i="17"/>
  <c r="O82" i="17"/>
  <c r="R82" i="17"/>
  <c r="N83" i="17"/>
  <c r="O83" i="17"/>
  <c r="R83" i="17"/>
  <c r="N84" i="17"/>
  <c r="O84" i="17"/>
  <c r="R84" i="17"/>
  <c r="N85" i="17"/>
  <c r="O85" i="17"/>
  <c r="R85" i="17"/>
  <c r="N86" i="17"/>
  <c r="O86" i="17"/>
  <c r="R86" i="17"/>
  <c r="N87" i="17"/>
  <c r="O87" i="17"/>
  <c r="R87" i="17"/>
  <c r="BO33" i="13"/>
  <c r="BO42" i="13"/>
  <c r="BO43" i="13"/>
  <c r="N69" i="7"/>
  <c r="N83" i="7"/>
  <c r="M69" i="7"/>
  <c r="M83" i="7"/>
  <c r="B4" i="7"/>
  <c r="B5" i="7"/>
  <c r="N215" i="78" l="1"/>
  <c r="V662" i="78" l="1"/>
  <c r="P662" i="78"/>
  <c r="J662" i="78"/>
  <c r="V630" i="78"/>
  <c r="P630" i="78"/>
  <c r="J630" i="78"/>
  <c r="D630" i="78"/>
  <c r="V598" i="78"/>
  <c r="P598" i="78"/>
  <c r="J598" i="78"/>
  <c r="D598" i="78"/>
  <c r="H523" i="78"/>
  <c r="A453" i="78"/>
  <c r="A452" i="78"/>
  <c r="A451" i="78"/>
  <c r="A450" i="78"/>
  <c r="A449" i="78"/>
  <c r="A448" i="78"/>
  <c r="A447" i="78"/>
  <c r="A446" i="78"/>
  <c r="A445" i="78"/>
  <c r="A444" i="78"/>
  <c r="A441" i="78"/>
  <c r="A440" i="78"/>
  <c r="A439" i="78"/>
  <c r="A438" i="78"/>
  <c r="A437" i="78"/>
  <c r="A436" i="78"/>
  <c r="A434" i="78"/>
  <c r="A433" i="78"/>
  <c r="A432" i="78"/>
  <c r="A431" i="78"/>
  <c r="A430" i="78"/>
  <c r="A429" i="78"/>
  <c r="A427" i="78"/>
  <c r="A425" i="78"/>
  <c r="A424" i="78"/>
  <c r="A422" i="78"/>
  <c r="B421" i="78"/>
  <c r="A421" i="78"/>
  <c r="A420" i="78"/>
  <c r="A419" i="78"/>
  <c r="B418" i="78"/>
  <c r="A418" i="78"/>
  <c r="A417" i="78"/>
  <c r="B416" i="78"/>
  <c r="A416" i="78"/>
  <c r="B415" i="78"/>
  <c r="A414" i="78"/>
  <c r="A412" i="78"/>
  <c r="A411" i="78"/>
  <c r="D410" i="78"/>
  <c r="C410" i="78"/>
  <c r="C409" i="78"/>
  <c r="A408" i="78"/>
  <c r="AB385" i="78"/>
  <c r="V385" i="78"/>
  <c r="J385" i="78"/>
  <c r="D385" i="78"/>
  <c r="G377" i="78"/>
  <c r="A377" i="78"/>
  <c r="M370" i="78"/>
  <c r="M369" i="78"/>
  <c r="M368" i="78"/>
  <c r="M359" i="78"/>
  <c r="C337" i="78"/>
  <c r="T337" i="78"/>
  <c r="S337" i="78"/>
  <c r="R337" i="78"/>
  <c r="Q337" i="78"/>
  <c r="M337" i="78"/>
  <c r="L337" i="78"/>
  <c r="K337" i="78"/>
  <c r="J337" i="78"/>
  <c r="I337" i="78"/>
  <c r="H337" i="78"/>
  <c r="G337" i="78"/>
  <c r="F337" i="78"/>
  <c r="E337" i="78"/>
  <c r="D337" i="78"/>
  <c r="B337" i="78"/>
  <c r="R336" i="78"/>
  <c r="C335" i="78"/>
  <c r="T335" i="78"/>
  <c r="S335" i="78"/>
  <c r="R335" i="78"/>
  <c r="Q335" i="78"/>
  <c r="P335" i="78"/>
  <c r="O335" i="78"/>
  <c r="N335" i="78"/>
  <c r="M335" i="78"/>
  <c r="L335" i="78"/>
  <c r="K335" i="78"/>
  <c r="J335" i="78"/>
  <c r="I335" i="78"/>
  <c r="H335" i="78"/>
  <c r="G335" i="78"/>
  <c r="F335" i="78"/>
  <c r="E335" i="78"/>
  <c r="D335" i="78"/>
  <c r="B335" i="78"/>
  <c r="C334" i="78"/>
  <c r="T334" i="78"/>
  <c r="S334" i="78"/>
  <c r="R334" i="78"/>
  <c r="Q334" i="78"/>
  <c r="P334" i="78"/>
  <c r="O334" i="78"/>
  <c r="N334" i="78"/>
  <c r="M334" i="78"/>
  <c r="L334" i="78"/>
  <c r="K334" i="78"/>
  <c r="J334" i="78"/>
  <c r="I334" i="78"/>
  <c r="H334" i="78"/>
  <c r="G334" i="78"/>
  <c r="F334" i="78"/>
  <c r="E334" i="78"/>
  <c r="D334" i="78"/>
  <c r="B334" i="78"/>
  <c r="C333" i="78"/>
  <c r="T333" i="78"/>
  <c r="S333" i="78"/>
  <c r="R333" i="78"/>
  <c r="Q333" i="78"/>
  <c r="P333" i="78"/>
  <c r="O333" i="78"/>
  <c r="N333" i="78"/>
  <c r="M333" i="78"/>
  <c r="L333" i="78"/>
  <c r="K333" i="78"/>
  <c r="J333" i="78"/>
  <c r="I333" i="78"/>
  <c r="H333" i="78"/>
  <c r="G333" i="78"/>
  <c r="F333" i="78"/>
  <c r="E333" i="78"/>
  <c r="D333" i="78"/>
  <c r="B333" i="78"/>
  <c r="C332" i="78"/>
  <c r="T332" i="78"/>
  <c r="S332" i="78"/>
  <c r="R332" i="78"/>
  <c r="Q332" i="78"/>
  <c r="P332" i="78"/>
  <c r="O332" i="78"/>
  <c r="N332" i="78"/>
  <c r="M332" i="78"/>
  <c r="L332" i="78"/>
  <c r="K332" i="78"/>
  <c r="J332" i="78"/>
  <c r="I332" i="78"/>
  <c r="H332" i="78"/>
  <c r="G332" i="78"/>
  <c r="F332" i="78"/>
  <c r="E332" i="78"/>
  <c r="D332" i="78"/>
  <c r="B332" i="78"/>
  <c r="C331" i="78"/>
  <c r="T331" i="78"/>
  <c r="S331" i="78"/>
  <c r="R331" i="78"/>
  <c r="Q331" i="78"/>
  <c r="P331" i="78"/>
  <c r="O331" i="78"/>
  <c r="N331" i="78"/>
  <c r="M331" i="78"/>
  <c r="L331" i="78"/>
  <c r="K331" i="78"/>
  <c r="J331" i="78"/>
  <c r="I331" i="78"/>
  <c r="H331" i="78"/>
  <c r="G331" i="78"/>
  <c r="F331" i="78"/>
  <c r="E331" i="78"/>
  <c r="D331" i="78"/>
  <c r="B331" i="78"/>
  <c r="C330" i="78"/>
  <c r="T330" i="78"/>
  <c r="S330" i="78"/>
  <c r="R330" i="78"/>
  <c r="Q330" i="78"/>
  <c r="P330" i="78"/>
  <c r="O330" i="78"/>
  <c r="N330" i="78"/>
  <c r="M330" i="78"/>
  <c r="L330" i="78"/>
  <c r="K330" i="78"/>
  <c r="J330" i="78"/>
  <c r="I330" i="78"/>
  <c r="H330" i="78"/>
  <c r="G330" i="78"/>
  <c r="F330" i="78"/>
  <c r="E330" i="78"/>
  <c r="D330" i="78"/>
  <c r="B330" i="78"/>
  <c r="AL325" i="78"/>
  <c r="AH325" i="78"/>
  <c r="Z325" i="78"/>
  <c r="AL324" i="78"/>
  <c r="AH324" i="78"/>
  <c r="Z324" i="78"/>
  <c r="AL323" i="78"/>
  <c r="AH323" i="78"/>
  <c r="Z323" i="78"/>
  <c r="AN322" i="78"/>
  <c r="AL322" i="78"/>
  <c r="AJ322" i="78"/>
  <c r="AH322" i="78"/>
  <c r="AB322" i="78"/>
  <c r="Z322" i="78"/>
  <c r="AN321" i="78"/>
  <c r="AL321" i="78"/>
  <c r="AJ321" i="78"/>
  <c r="AH321" i="78"/>
  <c r="AB321" i="78"/>
  <c r="Z321" i="78"/>
  <c r="AN320" i="78"/>
  <c r="AL320" i="78"/>
  <c r="AJ320" i="78"/>
  <c r="AH320" i="78"/>
  <c r="AB320" i="78"/>
  <c r="Z320" i="78"/>
  <c r="AN319" i="78"/>
  <c r="AL319" i="78"/>
  <c r="AJ319" i="78"/>
  <c r="AH319" i="78"/>
  <c r="AB319" i="78"/>
  <c r="Z319" i="78"/>
  <c r="AN318" i="78"/>
  <c r="AL318" i="78"/>
  <c r="AJ318" i="78"/>
  <c r="AH318" i="78"/>
  <c r="AB318" i="78"/>
  <c r="Z318" i="78"/>
  <c r="AN317" i="78"/>
  <c r="AL317" i="78"/>
  <c r="AJ317" i="78"/>
  <c r="AH317" i="78"/>
  <c r="AB317" i="78"/>
  <c r="Z317" i="78"/>
  <c r="AN316" i="78"/>
  <c r="AL316" i="78"/>
  <c r="AJ316" i="78"/>
  <c r="AH316" i="78"/>
  <c r="AB316" i="78"/>
  <c r="Z316" i="78"/>
  <c r="AN315" i="78"/>
  <c r="AL315" i="78"/>
  <c r="AJ315" i="78"/>
  <c r="AH315" i="78"/>
  <c r="AB315" i="78"/>
  <c r="Z315" i="78"/>
  <c r="Z314" i="78"/>
  <c r="Z313" i="78"/>
  <c r="Z311" i="78"/>
  <c r="Z310" i="78"/>
  <c r="Z309" i="78"/>
  <c r="AL314" i="78"/>
  <c r="AH314" i="78"/>
  <c r="AL313" i="78"/>
  <c r="AH313" i="78"/>
  <c r="AL311" i="78"/>
  <c r="AH311" i="78"/>
  <c r="AL310" i="78"/>
  <c r="AH310" i="78"/>
  <c r="AL309" i="78"/>
  <c r="AH309" i="78"/>
  <c r="AK308" i="78"/>
  <c r="AJ308" i="78"/>
  <c r="AI308" i="78"/>
  <c r="AH308" i="78"/>
  <c r="AJ307" i="78"/>
  <c r="AH307" i="78"/>
  <c r="AH306" i="78"/>
  <c r="D278" i="78"/>
  <c r="C278" i="78"/>
  <c r="D277" i="78"/>
  <c r="C277" i="78"/>
  <c r="D276" i="78"/>
  <c r="C276" i="78"/>
  <c r="D275" i="78"/>
  <c r="C275" i="78"/>
  <c r="D274" i="78"/>
  <c r="C274" i="78"/>
  <c r="D273" i="78"/>
  <c r="C273" i="78"/>
  <c r="D272" i="78"/>
  <c r="C272" i="78"/>
  <c r="D271" i="78"/>
  <c r="C271" i="78"/>
  <c r="E270" i="78"/>
  <c r="C270" i="78"/>
  <c r="B270" i="78"/>
  <c r="D266" i="78"/>
  <c r="C266" i="78"/>
  <c r="D265" i="78"/>
  <c r="C265" i="78"/>
  <c r="D264" i="78"/>
  <c r="C264" i="78"/>
  <c r="D263" i="78"/>
  <c r="C263" i="78"/>
  <c r="D262" i="78"/>
  <c r="C262" i="78"/>
  <c r="D261" i="78"/>
  <c r="C261" i="78"/>
  <c r="D260" i="78"/>
  <c r="C260" i="78"/>
  <c r="D259" i="78"/>
  <c r="C259" i="78"/>
  <c r="D258" i="78"/>
  <c r="C258" i="78"/>
  <c r="D257" i="78"/>
  <c r="C257" i="78"/>
  <c r="D256" i="78"/>
  <c r="C256" i="78"/>
  <c r="C255" i="78"/>
  <c r="D254" i="78"/>
  <c r="D252" i="78"/>
  <c r="D251" i="78"/>
  <c r="L236" i="78"/>
  <c r="K215" i="78"/>
  <c r="G172" i="78"/>
  <c r="F172" i="78"/>
  <c r="E172" i="78"/>
  <c r="D172" i="78"/>
  <c r="C172" i="78"/>
  <c r="B172" i="78"/>
  <c r="B166" i="78"/>
  <c r="F163" i="78"/>
  <c r="E163" i="78"/>
  <c r="D163" i="78"/>
  <c r="C163" i="78"/>
  <c r="B163" i="78"/>
  <c r="A163" i="78"/>
  <c r="F162" i="78"/>
  <c r="E162" i="78"/>
  <c r="D162" i="78"/>
  <c r="C162" i="78"/>
  <c r="B162" i="78"/>
  <c r="A162" i="78"/>
  <c r="F161" i="78"/>
  <c r="E161" i="78"/>
  <c r="D161" i="78"/>
  <c r="C161" i="78"/>
  <c r="B161" i="78"/>
  <c r="B160" i="78"/>
  <c r="A159" i="78"/>
  <c r="A158" i="78"/>
  <c r="A156" i="78"/>
  <c r="A155" i="78"/>
  <c r="A154" i="78"/>
  <c r="A153" i="78"/>
  <c r="A152" i="78"/>
  <c r="A151" i="78"/>
  <c r="A150" i="78"/>
  <c r="A149" i="78"/>
  <c r="A148" i="78"/>
  <c r="A147" i="78"/>
  <c r="A146" i="78"/>
  <c r="Q145" i="78"/>
  <c r="P145" i="78"/>
  <c r="O145" i="78"/>
  <c r="N145" i="78"/>
  <c r="M145" i="78"/>
  <c r="L145" i="78"/>
  <c r="K145" i="78"/>
  <c r="J145" i="78"/>
  <c r="I145" i="78"/>
  <c r="H145" i="78"/>
  <c r="G145" i="78"/>
  <c r="F145" i="78"/>
  <c r="E145" i="78"/>
  <c r="D145" i="78"/>
  <c r="C145" i="78"/>
  <c r="B145" i="78"/>
  <c r="A144" i="78"/>
  <c r="A142" i="78"/>
  <c r="A141" i="78"/>
  <c r="A140" i="78"/>
  <c r="A139" i="78"/>
  <c r="A138" i="78"/>
  <c r="A137" i="78"/>
  <c r="A136" i="78"/>
  <c r="A135" i="78"/>
  <c r="A134" i="78"/>
  <c r="A133" i="78"/>
  <c r="A132" i="78"/>
  <c r="Q131" i="78"/>
  <c r="P131" i="78"/>
  <c r="O131" i="78"/>
  <c r="N131" i="78"/>
  <c r="M131" i="78"/>
  <c r="L131" i="78"/>
  <c r="K131" i="78"/>
  <c r="J131" i="78"/>
  <c r="I131" i="78"/>
  <c r="H131" i="78"/>
  <c r="G131" i="78"/>
  <c r="F131" i="78"/>
  <c r="E131" i="78"/>
  <c r="D131" i="78"/>
  <c r="C131" i="78"/>
  <c r="B131" i="78"/>
  <c r="A130" i="78"/>
  <c r="A128" i="78"/>
  <c r="A127" i="78"/>
  <c r="A126" i="78"/>
  <c r="A125" i="78"/>
  <c r="A124" i="78"/>
  <c r="A123" i="78"/>
  <c r="A122" i="78"/>
  <c r="A121" i="78"/>
  <c r="A120" i="78"/>
  <c r="A119" i="78"/>
  <c r="A118" i="78"/>
  <c r="Q117" i="78"/>
  <c r="P117" i="78"/>
  <c r="O117" i="78"/>
  <c r="N117" i="78"/>
  <c r="M117" i="78"/>
  <c r="L117" i="78"/>
  <c r="K117" i="78"/>
  <c r="J117" i="78"/>
  <c r="I117" i="78"/>
  <c r="H117" i="78"/>
  <c r="G117" i="78"/>
  <c r="F117" i="78"/>
  <c r="E117" i="78"/>
  <c r="D117" i="78"/>
  <c r="C117" i="78"/>
  <c r="B117" i="78"/>
  <c r="A116" i="78"/>
  <c r="A115" i="78"/>
  <c r="AH81" i="78"/>
  <c r="AB81" i="78"/>
  <c r="I81" i="78"/>
  <c r="AH80" i="78"/>
  <c r="AB80" i="78"/>
  <c r="I80" i="78"/>
  <c r="AH79" i="78"/>
  <c r="AB79" i="78"/>
  <c r="I79" i="78"/>
  <c r="AH78" i="78"/>
  <c r="AB78" i="78"/>
  <c r="I78" i="78"/>
  <c r="AI77" i="78"/>
  <c r="AB77" i="78"/>
  <c r="I77" i="78"/>
  <c r="AH76" i="78"/>
  <c r="AB76" i="78"/>
  <c r="I76" i="78"/>
  <c r="AH75" i="78"/>
  <c r="AB75" i="78"/>
  <c r="I75" i="78"/>
  <c r="AH74" i="78"/>
  <c r="AB74" i="78"/>
  <c r="I74" i="78"/>
  <c r="AH73" i="78"/>
  <c r="AB73" i="78"/>
  <c r="I73" i="78"/>
  <c r="AH72" i="78"/>
  <c r="AB72" i="78"/>
  <c r="I72" i="78"/>
  <c r="AI71" i="78"/>
  <c r="AI70" i="78"/>
  <c r="AH71" i="78"/>
  <c r="AG71" i="78"/>
  <c r="AF71" i="78"/>
  <c r="AE71" i="78"/>
  <c r="AD71" i="78"/>
  <c r="AD70" i="78"/>
  <c r="B62" i="78"/>
  <c r="B49" i="78"/>
  <c r="B48" i="78"/>
  <c r="G44" i="78"/>
  <c r="F44" i="78"/>
  <c r="E44" i="78"/>
  <c r="D44" i="78"/>
  <c r="C44" i="78"/>
  <c r="G43" i="78"/>
  <c r="F43" i="78"/>
  <c r="E43" i="78"/>
  <c r="F42" i="78"/>
  <c r="E42" i="78"/>
  <c r="D42" i="78"/>
  <c r="G41" i="78"/>
  <c r="F41" i="78"/>
  <c r="D41" i="78"/>
  <c r="G40" i="78"/>
  <c r="F40" i="78"/>
  <c r="D40" i="78"/>
  <c r="G38" i="78"/>
  <c r="F38" i="78"/>
  <c r="E38" i="78"/>
  <c r="D38" i="78"/>
  <c r="C38" i="78"/>
  <c r="G37" i="78"/>
  <c r="F37" i="78"/>
  <c r="E37" i="78"/>
  <c r="D37" i="78"/>
  <c r="C37" i="78"/>
  <c r="H35" i="78"/>
  <c r="D35" i="78"/>
  <c r="C35" i="78"/>
  <c r="B35" i="78"/>
  <c r="G34" i="78"/>
  <c r="F34" i="78"/>
  <c r="E34" i="78"/>
  <c r="D34" i="78"/>
  <c r="C34" i="78"/>
  <c r="G31" i="78"/>
  <c r="F31" i="78"/>
  <c r="E31" i="78"/>
  <c r="D31" i="78"/>
  <c r="F30" i="78"/>
  <c r="E30" i="78"/>
  <c r="D30" i="78"/>
  <c r="C30" i="78"/>
  <c r="G29" i="78"/>
  <c r="F29" i="78"/>
  <c r="E29" i="78"/>
  <c r="D29" i="78"/>
  <c r="C29" i="78"/>
  <c r="G28" i="78"/>
  <c r="F28" i="78"/>
  <c r="E28" i="78"/>
  <c r="D28" i="78"/>
  <c r="C28" i="78"/>
  <c r="F27" i="78"/>
  <c r="E27" i="78"/>
  <c r="D27" i="78"/>
  <c r="C27" i="78"/>
  <c r="B25" i="78"/>
  <c r="A12" i="78"/>
  <c r="B4" i="78"/>
  <c r="G654" i="78" a="1"/>
  <c r="G654" i="78" s="1"/>
  <c r="D686" i="78" a="1"/>
  <c r="D686" i="78" s="1"/>
  <c r="B687" i="78" a="1"/>
  <c r="B687" i="78" s="1"/>
  <c r="G622" i="78" a="1"/>
  <c r="G622" i="78" s="1"/>
  <c r="A590" i="78" a="1"/>
  <c r="A590" i="78" s="1"/>
  <c r="A654" i="78" a="1"/>
  <c r="A654" i="78" s="1"/>
  <c r="G590" i="78" a="1"/>
  <c r="G590" i="78" s="1"/>
  <c r="A622" i="78" a="1"/>
  <c r="A622" i="78" s="1"/>
  <c r="B686" i="78" a="1"/>
  <c r="B686" i="78" s="1"/>
  <c r="B374" i="78"/>
  <c r="D373" i="78"/>
  <c r="B373" i="78"/>
  <c r="G12" i="78"/>
  <c r="D12" i="78"/>
  <c r="B6" i="78"/>
  <c r="B5" i="78"/>
  <c r="W79" i="57" l="1"/>
  <c r="B96" i="77" l="1"/>
  <c r="B66" i="77"/>
  <c r="B36" i="77"/>
  <c r="G689" i="78" l="1"/>
  <c r="J697" i="78"/>
  <c r="P697" i="78"/>
  <c r="V697" i="78"/>
  <c r="D73" i="77" l="1"/>
  <c r="D43" i="77"/>
  <c r="D103" i="77"/>
  <c r="B53" i="70"/>
  <c r="B41" i="70"/>
  <c r="N8" i="70"/>
  <c r="M8" i="70"/>
  <c r="L8" i="70"/>
  <c r="K8" i="70"/>
  <c r="J8" i="70"/>
  <c r="I8" i="70"/>
  <c r="H8" i="70"/>
  <c r="G8" i="70"/>
  <c r="F8" i="70"/>
  <c r="E8" i="70"/>
  <c r="D8" i="70"/>
  <c r="C8" i="70"/>
  <c r="B8" i="70"/>
  <c r="A689" i="78" l="1"/>
  <c r="D270" i="1"/>
  <c r="D269" i="1"/>
  <c r="D268" i="1"/>
  <c r="D267" i="1"/>
  <c r="D266" i="1"/>
  <c r="D265" i="1"/>
  <c r="D264" i="1"/>
  <c r="D263" i="1"/>
  <c r="D260" i="1"/>
  <c r="D259" i="1"/>
  <c r="D258" i="1"/>
  <c r="D257" i="1"/>
  <c r="D256" i="1"/>
  <c r="D255" i="1"/>
  <c r="D254" i="1"/>
  <c r="D253" i="1"/>
  <c r="D252" i="1"/>
  <c r="D251" i="1"/>
  <c r="D250" i="1"/>
  <c r="D248" i="1"/>
  <c r="D246" i="1"/>
  <c r="D245" i="1"/>
  <c r="AA114" i="1" l="1"/>
  <c r="Y114" i="1"/>
  <c r="AS49" i="1"/>
  <c r="AS65" i="1" s="1"/>
  <c r="AQ49" i="1"/>
  <c r="AO49" i="1"/>
  <c r="AO64" i="1" s="1"/>
  <c r="AM49" i="1"/>
  <c r="AM65" i="1" s="1"/>
  <c r="AK49" i="1"/>
  <c r="AK66" i="1" s="1"/>
  <c r="AI49" i="1"/>
  <c r="AI62" i="1" s="1"/>
  <c r="AG49" i="1"/>
  <c r="AG64" i="1" s="1"/>
  <c r="AE49" i="1"/>
  <c r="AE65" i="1" s="1"/>
  <c r="AD101" i="1"/>
  <c r="AB101" i="1"/>
  <c r="Z101" i="1"/>
  <c r="L101" i="1"/>
  <c r="J101" i="1"/>
  <c r="H101" i="1"/>
  <c r="E101" i="1"/>
  <c r="AD100" i="1"/>
  <c r="AB100" i="1"/>
  <c r="Z100" i="1"/>
  <c r="L100" i="1"/>
  <c r="J100" i="1"/>
  <c r="H100" i="1"/>
  <c r="E100" i="1"/>
  <c r="AD99" i="1"/>
  <c r="AB99" i="1"/>
  <c r="Z99" i="1"/>
  <c r="L99" i="1"/>
  <c r="J99" i="1"/>
  <c r="H99" i="1"/>
  <c r="E99" i="1"/>
  <c r="AD98" i="1"/>
  <c r="AB98" i="1"/>
  <c r="Z98" i="1"/>
  <c r="AD97" i="1"/>
  <c r="AB97" i="1"/>
  <c r="Z97" i="1"/>
  <c r="L97" i="1"/>
  <c r="J97" i="1"/>
  <c r="H97" i="1"/>
  <c r="E97" i="1"/>
  <c r="AD96" i="1"/>
  <c r="AB96" i="1"/>
  <c r="Z96" i="1"/>
  <c r="L96" i="1"/>
  <c r="J96" i="1"/>
  <c r="H96" i="1"/>
  <c r="E96" i="1"/>
  <c r="AD95" i="1"/>
  <c r="AB95" i="1"/>
  <c r="Z95" i="1"/>
  <c r="L95" i="1"/>
  <c r="J95" i="1"/>
  <c r="H95" i="1"/>
  <c r="E95" i="1"/>
  <c r="AD94" i="1"/>
  <c r="AB94" i="1"/>
  <c r="Z94" i="1"/>
  <c r="L94" i="1"/>
  <c r="J94" i="1"/>
  <c r="H94" i="1"/>
  <c r="E94" i="1"/>
  <c r="Z86" i="1"/>
  <c r="L86" i="1"/>
  <c r="L98" i="1" s="1"/>
  <c r="J86" i="1"/>
  <c r="J98" i="1" s="1"/>
  <c r="H86" i="1"/>
  <c r="H98" i="1" s="1"/>
  <c r="E86" i="1"/>
  <c r="E98" i="1" s="1"/>
  <c r="J77" i="1"/>
  <c r="E77" i="1"/>
  <c r="J76" i="1"/>
  <c r="E76" i="1"/>
  <c r="J75" i="1"/>
  <c r="E75" i="1"/>
  <c r="F72" i="1"/>
  <c r="F71" i="1"/>
  <c r="F70" i="1"/>
  <c r="M39" i="1"/>
  <c r="H39" i="1"/>
  <c r="M36" i="1"/>
  <c r="H36" i="1"/>
  <c r="M34" i="1"/>
  <c r="H34" i="1"/>
  <c r="O30" i="1"/>
  <c r="N30" i="1"/>
  <c r="M30" i="1"/>
  <c r="L30" i="1"/>
  <c r="K30" i="1"/>
  <c r="J30" i="1"/>
  <c r="I30" i="1"/>
  <c r="H30" i="1"/>
  <c r="C24" i="1"/>
  <c r="AB105" i="1" s="1"/>
  <c r="C20" i="1"/>
  <c r="C17" i="1"/>
  <c r="AB114" i="1" l="1"/>
  <c r="AG60" i="1"/>
  <c r="AG65" i="1"/>
  <c r="AG61" i="1"/>
  <c r="AG62" i="1"/>
  <c r="AG63" i="1"/>
  <c r="AI60" i="1"/>
  <c r="AI61" i="1"/>
  <c r="AO63" i="1"/>
  <c r="AO65" i="1"/>
  <c r="AI64" i="1"/>
  <c r="AI63" i="1"/>
  <c r="AI65" i="1"/>
  <c r="AQ65" i="1"/>
  <c r="AQ64" i="1"/>
  <c r="AQ63" i="1"/>
  <c r="AO60" i="1"/>
  <c r="AO61" i="1"/>
  <c r="AO62" i="1"/>
  <c r="AQ66" i="1"/>
  <c r="AQ60" i="1"/>
  <c r="AQ61" i="1"/>
  <c r="AQ62" i="1"/>
  <c r="AK60" i="1"/>
  <c r="AS60" i="1"/>
  <c r="AK61" i="1"/>
  <c r="AS61" i="1"/>
  <c r="AK62" i="1"/>
  <c r="AS62" i="1"/>
  <c r="AK63" i="1"/>
  <c r="AS63" i="1"/>
  <c r="AK64" i="1"/>
  <c r="AS64" i="1"/>
  <c r="AK65" i="1"/>
  <c r="Z105" i="1"/>
  <c r="X114" i="1"/>
  <c r="X105" i="1"/>
  <c r="E78" i="1"/>
  <c r="J78" i="1"/>
  <c r="AE60" i="1"/>
  <c r="AM60" i="1"/>
  <c r="AE61" i="1"/>
  <c r="AM61" i="1"/>
  <c r="AE62" i="1"/>
  <c r="AM62" i="1"/>
  <c r="AE63" i="1"/>
  <c r="AM63" i="1"/>
  <c r="AE64" i="1"/>
  <c r="AM64" i="1"/>
  <c r="Z114" i="1"/>
  <c r="AP554" i="78" l="1"/>
  <c r="AR576" i="78"/>
  <c r="A172" i="72"/>
  <c r="A173" i="71"/>
  <c r="A172" i="71"/>
  <c r="A197" i="74"/>
  <c r="A50" i="72"/>
  <c r="B49" i="72"/>
  <c r="A49" i="72"/>
  <c r="O30" i="72"/>
  <c r="N30" i="72"/>
  <c r="M30" i="72"/>
  <c r="L30" i="72"/>
  <c r="K30" i="72"/>
  <c r="J30" i="72"/>
  <c r="I30" i="72"/>
  <c r="H30" i="72"/>
  <c r="G30" i="72"/>
  <c r="F30" i="72"/>
  <c r="E30" i="72"/>
  <c r="D30" i="72"/>
  <c r="C30" i="72"/>
  <c r="B30" i="72"/>
  <c r="A30" i="72"/>
  <c r="P29" i="72"/>
  <c r="O29" i="72"/>
  <c r="N29" i="72"/>
  <c r="M29" i="72"/>
  <c r="L29" i="72"/>
  <c r="K29" i="72"/>
  <c r="J29" i="72"/>
  <c r="I29" i="72"/>
  <c r="H29" i="72"/>
  <c r="G29" i="72"/>
  <c r="F29" i="72"/>
  <c r="E29" i="72"/>
  <c r="D29" i="72"/>
  <c r="C29" i="72"/>
  <c r="B29" i="72"/>
  <c r="A29" i="72"/>
  <c r="A26" i="72"/>
  <c r="B25" i="72"/>
  <c r="A25" i="72"/>
  <c r="B22" i="72"/>
  <c r="A22" i="72"/>
  <c r="C21" i="72"/>
  <c r="B21" i="72"/>
  <c r="A21" i="72"/>
  <c r="A18" i="72"/>
  <c r="B17" i="72"/>
  <c r="A17" i="72"/>
  <c r="B14" i="72"/>
  <c r="A14" i="72"/>
  <c r="C13" i="72"/>
  <c r="B13" i="72"/>
  <c r="A13" i="72"/>
  <c r="B10" i="72"/>
  <c r="A10" i="72"/>
  <c r="B9" i="72"/>
  <c r="A9" i="72"/>
  <c r="B8" i="72"/>
  <c r="A8" i="72"/>
  <c r="B7" i="72"/>
  <c r="A7" i="72"/>
  <c r="B6" i="72"/>
  <c r="A6" i="72"/>
  <c r="C5" i="72"/>
  <c r="B5" i="72"/>
  <c r="A50" i="71"/>
  <c r="B49" i="71"/>
  <c r="A49" i="71"/>
  <c r="O30" i="71"/>
  <c r="N30" i="71"/>
  <c r="M30" i="71"/>
  <c r="L30" i="71"/>
  <c r="K30" i="71"/>
  <c r="J30" i="71"/>
  <c r="I30" i="71"/>
  <c r="H30" i="71"/>
  <c r="G30" i="71"/>
  <c r="F30" i="71"/>
  <c r="E30" i="71"/>
  <c r="D30" i="71"/>
  <c r="C30" i="71"/>
  <c r="B30" i="71"/>
  <c r="A30" i="71"/>
  <c r="P29" i="71"/>
  <c r="O29" i="71"/>
  <c r="N29" i="71"/>
  <c r="M29" i="71"/>
  <c r="L29" i="71"/>
  <c r="K29" i="71"/>
  <c r="J29" i="71"/>
  <c r="I29" i="71"/>
  <c r="H29" i="71"/>
  <c r="G29" i="71"/>
  <c r="F29" i="71"/>
  <c r="E29" i="71"/>
  <c r="D29" i="71"/>
  <c r="C29" i="71"/>
  <c r="B29" i="71"/>
  <c r="A29" i="71"/>
  <c r="A26" i="71"/>
  <c r="B25" i="71"/>
  <c r="A25" i="71"/>
  <c r="B22" i="71"/>
  <c r="A22" i="71"/>
  <c r="C21" i="71"/>
  <c r="B21" i="71"/>
  <c r="A21" i="71"/>
  <c r="A18" i="71"/>
  <c r="B17" i="71"/>
  <c r="A17" i="71"/>
  <c r="B14" i="71"/>
  <c r="A14" i="71"/>
  <c r="C13" i="71"/>
  <c r="B13" i="71"/>
  <c r="A13" i="71"/>
  <c r="B10" i="71"/>
  <c r="A10" i="71"/>
  <c r="B9" i="71"/>
  <c r="A9" i="71"/>
  <c r="B8" i="71"/>
  <c r="A8" i="71"/>
  <c r="B7" i="71"/>
  <c r="A7" i="71"/>
  <c r="B6" i="71"/>
  <c r="A6" i="71"/>
  <c r="C5" i="71"/>
  <c r="B5" i="71"/>
  <c r="B21" i="70"/>
  <c r="A11" i="70"/>
  <c r="A10" i="70"/>
  <c r="A14" i="69"/>
  <c r="A13" i="69"/>
  <c r="K302" i="41"/>
  <c r="L302" i="41"/>
  <c r="K301" i="41"/>
  <c r="L301" i="41"/>
  <c r="K300" i="41"/>
  <c r="L300" i="41"/>
  <c r="K299" i="41"/>
  <c r="L299" i="41"/>
  <c r="K298" i="41"/>
  <c r="L298" i="41"/>
  <c r="K425" i="65"/>
  <c r="L297" i="41"/>
  <c r="C300" i="41"/>
  <c r="C301" i="41"/>
  <c r="C299" i="41"/>
  <c r="C298" i="41"/>
  <c r="C297" i="41"/>
  <c r="M27" i="15"/>
  <c r="C22" i="54"/>
  <c r="G22" i="54"/>
  <c r="E21" i="54"/>
  <c r="H21" i="54"/>
  <c r="F24" i="54"/>
  <c r="F23" i="54"/>
  <c r="F20" i="54"/>
  <c r="F19" i="54"/>
  <c r="F18" i="54"/>
  <c r="F17" i="54"/>
  <c r="F16" i="54"/>
  <c r="F15" i="54"/>
  <c r="B5" i="54"/>
  <c r="B4" i="54"/>
  <c r="I65" i="50"/>
  <c r="H63" i="45"/>
  <c r="B3" i="34"/>
  <c r="Q8" i="77"/>
  <c r="B6" i="77"/>
  <c r="A2" i="77"/>
  <c r="A68" i="75"/>
  <c r="E213" i="74"/>
  <c r="D213" i="74"/>
  <c r="C213" i="74"/>
  <c r="B213" i="74"/>
  <c r="E212" i="74"/>
  <c r="D212" i="74"/>
  <c r="C212" i="74"/>
  <c r="B212" i="74"/>
  <c r="E211" i="74"/>
  <c r="D211" i="74"/>
  <c r="C211" i="74"/>
  <c r="B211" i="74"/>
  <c r="E209" i="74"/>
  <c r="D209" i="74"/>
  <c r="C209" i="74"/>
  <c r="B209" i="74"/>
  <c r="E208" i="74"/>
  <c r="D208" i="74"/>
  <c r="C208" i="74"/>
  <c r="B208" i="74"/>
  <c r="E207" i="74"/>
  <c r="D207" i="74"/>
  <c r="C207" i="74"/>
  <c r="B207" i="74"/>
  <c r="E43" i="73"/>
  <c r="D43" i="73"/>
  <c r="C43" i="73"/>
  <c r="B43" i="73"/>
  <c r="E42" i="73"/>
  <c r="D42" i="73"/>
  <c r="C42" i="73"/>
  <c r="B42" i="73"/>
  <c r="E41" i="73"/>
  <c r="D41" i="73"/>
  <c r="C41" i="73"/>
  <c r="B41" i="73"/>
  <c r="E40" i="73"/>
  <c r="D40" i="73"/>
  <c r="C40" i="73"/>
  <c r="B40" i="73"/>
  <c r="E39" i="73"/>
  <c r="D39" i="73"/>
  <c r="C39" i="73"/>
  <c r="B39" i="73"/>
  <c r="E100" i="72"/>
  <c r="E99" i="72"/>
  <c r="E98" i="72"/>
  <c r="E96" i="72"/>
  <c r="E85" i="72"/>
  <c r="E97" i="72" s="1"/>
  <c r="E83" i="72"/>
  <c r="E95" i="72" s="1"/>
  <c r="E82" i="72"/>
  <c r="E94" i="72" s="1"/>
  <c r="E81" i="72"/>
  <c r="E93" i="72" s="1"/>
  <c r="P67" i="72"/>
  <c r="N67" i="72"/>
  <c r="L67" i="72"/>
  <c r="J67" i="72"/>
  <c r="H67" i="72"/>
  <c r="F67" i="72"/>
  <c r="D67" i="72"/>
  <c r="B67" i="72"/>
  <c r="N60" i="72"/>
  <c r="N70" i="72" s="1"/>
  <c r="L60" i="72"/>
  <c r="L72" i="72" s="1"/>
  <c r="J60" i="72"/>
  <c r="J72" i="72" s="1"/>
  <c r="H60" i="72"/>
  <c r="H73" i="72" s="1"/>
  <c r="F60" i="72"/>
  <c r="D60" i="72"/>
  <c r="D70" i="72" s="1"/>
  <c r="B60" i="72"/>
  <c r="B72" i="72" s="1"/>
  <c r="E246" i="71"/>
  <c r="D246" i="71"/>
  <c r="C246" i="71"/>
  <c r="B246" i="71"/>
  <c r="I112" i="71"/>
  <c r="H112" i="71"/>
  <c r="G112" i="71"/>
  <c r="F112" i="71"/>
  <c r="E112" i="71"/>
  <c r="D112" i="71"/>
  <c r="C112" i="71"/>
  <c r="B112" i="71"/>
  <c r="E100" i="71"/>
  <c r="E99" i="71"/>
  <c r="E98" i="71"/>
  <c r="E96" i="71"/>
  <c r="E85" i="71"/>
  <c r="E97" i="71" s="1"/>
  <c r="E83" i="71"/>
  <c r="E95" i="71" s="1"/>
  <c r="E82" i="71"/>
  <c r="E94" i="71" s="1"/>
  <c r="E81" i="71"/>
  <c r="E93" i="71" s="1"/>
  <c r="P67" i="71"/>
  <c r="N67" i="71"/>
  <c r="L67" i="71"/>
  <c r="J67" i="71"/>
  <c r="H67" i="71"/>
  <c r="F67" i="71"/>
  <c r="D67" i="71"/>
  <c r="B67" i="71"/>
  <c r="N60" i="71"/>
  <c r="N72" i="71" s="1"/>
  <c r="L60" i="71"/>
  <c r="L72" i="71" s="1"/>
  <c r="J60" i="71"/>
  <c r="J73" i="71" s="1"/>
  <c r="H60" i="71"/>
  <c r="F60" i="71"/>
  <c r="F72" i="71" s="1"/>
  <c r="D60" i="71"/>
  <c r="D72" i="71" s="1"/>
  <c r="B60" i="71"/>
  <c r="B73" i="71" s="1"/>
  <c r="Y84" i="70"/>
  <c r="Y83" i="70"/>
  <c r="Y82" i="70"/>
  <c r="Y81" i="70"/>
  <c r="Y80" i="70"/>
  <c r="Y79" i="70"/>
  <c r="Y78" i="70"/>
  <c r="Y77" i="70"/>
  <c r="Y76" i="70"/>
  <c r="Y75" i="70"/>
  <c r="Y72" i="70"/>
  <c r="W72" i="70"/>
  <c r="S72" i="70"/>
  <c r="Q72" i="70"/>
  <c r="O72" i="70"/>
  <c r="M72" i="70"/>
  <c r="K72" i="70"/>
  <c r="I72" i="70"/>
  <c r="G72" i="70"/>
  <c r="E72" i="70"/>
  <c r="C72" i="70"/>
  <c r="Y71" i="70"/>
  <c r="W71" i="70"/>
  <c r="S71" i="70"/>
  <c r="Q71" i="70"/>
  <c r="O71" i="70"/>
  <c r="M71" i="70"/>
  <c r="K71" i="70"/>
  <c r="I71" i="70"/>
  <c r="G71" i="70"/>
  <c r="E71" i="70"/>
  <c r="C71" i="70"/>
  <c r="S70" i="70"/>
  <c r="Q70" i="70"/>
  <c r="O70" i="70"/>
  <c r="M70" i="70"/>
  <c r="K70" i="70"/>
  <c r="I70" i="70"/>
  <c r="G70" i="70"/>
  <c r="E70" i="70"/>
  <c r="Y69" i="70"/>
  <c r="W69" i="70"/>
  <c r="S69" i="70"/>
  <c r="Q69" i="70"/>
  <c r="O69" i="70"/>
  <c r="M69" i="70"/>
  <c r="K69" i="70"/>
  <c r="I69" i="70"/>
  <c r="G69" i="70"/>
  <c r="E69" i="70"/>
  <c r="C69" i="70"/>
  <c r="Y68" i="70"/>
  <c r="Y70" i="70" s="1"/>
  <c r="W68" i="70"/>
  <c r="W70" i="70" s="1"/>
  <c r="S68" i="70"/>
  <c r="Q68" i="70"/>
  <c r="O68" i="70"/>
  <c r="M68" i="70"/>
  <c r="K68" i="70"/>
  <c r="I68" i="70"/>
  <c r="G68" i="70"/>
  <c r="E68" i="70"/>
  <c r="C68" i="70"/>
  <c r="C70" i="70" s="1"/>
  <c r="Y67" i="70"/>
  <c r="W67" i="70"/>
  <c r="S67" i="70"/>
  <c r="Q67" i="70"/>
  <c r="O67" i="70"/>
  <c r="M67" i="70"/>
  <c r="K67" i="70"/>
  <c r="I67" i="70"/>
  <c r="G67" i="70"/>
  <c r="E67" i="70"/>
  <c r="C67" i="70"/>
  <c r="W42" i="70"/>
  <c r="Y87" i="69"/>
  <c r="Y86" i="69"/>
  <c r="Y85" i="69"/>
  <c r="Y84" i="69"/>
  <c r="Y83" i="69"/>
  <c r="Y82" i="69"/>
  <c r="Y81" i="69"/>
  <c r="Y80" i="69"/>
  <c r="Y79" i="69"/>
  <c r="Y78" i="69"/>
  <c r="Y75" i="69"/>
  <c r="W75" i="69"/>
  <c r="S75" i="69"/>
  <c r="Q75" i="69"/>
  <c r="O75" i="69"/>
  <c r="M75" i="69"/>
  <c r="K75" i="69"/>
  <c r="I75" i="69"/>
  <c r="G75" i="69"/>
  <c r="E75" i="69"/>
  <c r="C75" i="69"/>
  <c r="Y74" i="69"/>
  <c r="W74" i="69"/>
  <c r="S74" i="69"/>
  <c r="Q74" i="69"/>
  <c r="O74" i="69"/>
  <c r="M74" i="69"/>
  <c r="K74" i="69"/>
  <c r="I74" i="69"/>
  <c r="G74" i="69"/>
  <c r="E74" i="69"/>
  <c r="C74" i="69"/>
  <c r="S73" i="69"/>
  <c r="Q73" i="69"/>
  <c r="O73" i="69"/>
  <c r="M73" i="69"/>
  <c r="K73" i="69"/>
  <c r="I73" i="69"/>
  <c r="G73" i="69"/>
  <c r="E73" i="69"/>
  <c r="Y72" i="69"/>
  <c r="W72" i="69"/>
  <c r="S72" i="69"/>
  <c r="Q72" i="69"/>
  <c r="O72" i="69"/>
  <c r="M72" i="69"/>
  <c r="K72" i="69"/>
  <c r="I72" i="69"/>
  <c r="G72" i="69"/>
  <c r="E72" i="69"/>
  <c r="C72" i="69"/>
  <c r="Y71" i="69"/>
  <c r="W71" i="69"/>
  <c r="S71" i="69"/>
  <c r="Q71" i="69"/>
  <c r="O71" i="69"/>
  <c r="M71" i="69"/>
  <c r="K71" i="69"/>
  <c r="I71" i="69"/>
  <c r="G71" i="69"/>
  <c r="E71" i="69"/>
  <c r="C71" i="69"/>
  <c r="C73" i="69" s="1"/>
  <c r="Y70" i="69"/>
  <c r="W70" i="69"/>
  <c r="S70" i="69"/>
  <c r="Q70" i="69"/>
  <c r="O70" i="69"/>
  <c r="M70" i="69"/>
  <c r="K70" i="69"/>
  <c r="I70" i="69"/>
  <c r="G70" i="69"/>
  <c r="E70" i="69"/>
  <c r="C70" i="69"/>
  <c r="W45" i="69"/>
  <c r="Y77" i="69" s="1"/>
  <c r="N11" i="69"/>
  <c r="M11" i="69"/>
  <c r="L11" i="69"/>
  <c r="K11" i="69"/>
  <c r="J11" i="69"/>
  <c r="I11" i="69"/>
  <c r="H11" i="69"/>
  <c r="G11" i="69"/>
  <c r="F11" i="69"/>
  <c r="E11" i="69"/>
  <c r="D11" i="69"/>
  <c r="C11" i="69"/>
  <c r="B11" i="69"/>
  <c r="F305" i="68"/>
  <c r="E305" i="68"/>
  <c r="D305" i="68"/>
  <c r="C305" i="68"/>
  <c r="F304" i="68"/>
  <c r="E304" i="68"/>
  <c r="D304" i="68"/>
  <c r="C304" i="68"/>
  <c r="F303" i="68"/>
  <c r="E303" i="68"/>
  <c r="D303" i="68"/>
  <c r="C303" i="68"/>
  <c r="F301" i="68"/>
  <c r="E301" i="68"/>
  <c r="D301" i="68"/>
  <c r="C301" i="68"/>
  <c r="F300" i="68"/>
  <c r="E300" i="68"/>
  <c r="D300" i="68"/>
  <c r="C300" i="68"/>
  <c r="F299" i="68"/>
  <c r="E299" i="68"/>
  <c r="D299" i="68"/>
  <c r="C299" i="68"/>
  <c r="E54" i="68"/>
  <c r="E50" i="68"/>
  <c r="E58" i="64" s="1"/>
  <c r="D14" i="74" s="1"/>
  <c r="E47" i="68"/>
  <c r="C46" i="68"/>
  <c r="C54" i="64" s="1"/>
  <c r="F33" i="68"/>
  <c r="B29" i="68"/>
  <c r="F39" i="68" s="1"/>
  <c r="E22" i="68"/>
  <c r="E52" i="68" s="1"/>
  <c r="E60" i="64" s="1"/>
  <c r="D22" i="68"/>
  <c r="C22" i="68"/>
  <c r="C51" i="68" s="1"/>
  <c r="C59" i="64" s="1"/>
  <c r="B15" i="74" s="1"/>
  <c r="F10" i="68"/>
  <c r="E10" i="68"/>
  <c r="E4" i="68" s="1"/>
  <c r="E9" i="64" s="1"/>
  <c r="D10" i="68"/>
  <c r="D4" i="68" s="1"/>
  <c r="D9" i="64" s="1"/>
  <c r="C4" i="68"/>
  <c r="F305" i="67"/>
  <c r="E305" i="67"/>
  <c r="D305" i="67"/>
  <c r="C305" i="67"/>
  <c r="F304" i="67"/>
  <c r="E304" i="67"/>
  <c r="D304" i="67"/>
  <c r="C304" i="67"/>
  <c r="F303" i="67"/>
  <c r="E303" i="67"/>
  <c r="D303" i="67"/>
  <c r="C303" i="67"/>
  <c r="F301" i="67"/>
  <c r="E301" i="67"/>
  <c r="D301" i="67"/>
  <c r="C301" i="67"/>
  <c r="F300" i="67"/>
  <c r="E300" i="67"/>
  <c r="D300" i="67"/>
  <c r="C300" i="67"/>
  <c r="F299" i="67"/>
  <c r="E299" i="67"/>
  <c r="D299" i="67"/>
  <c r="C299" i="67"/>
  <c r="F224" i="67"/>
  <c r="F223" i="67"/>
  <c r="F222" i="67"/>
  <c r="F221" i="67"/>
  <c r="F220" i="67"/>
  <c r="F219" i="67"/>
  <c r="F218" i="67"/>
  <c r="F217" i="67"/>
  <c r="F216" i="67"/>
  <c r="E48" i="67"/>
  <c r="F33" i="67"/>
  <c r="B29" i="67"/>
  <c r="F39" i="67" s="1"/>
  <c r="E22" i="67"/>
  <c r="E52" i="67" s="1"/>
  <c r="D22" i="67"/>
  <c r="C22" i="67"/>
  <c r="C49" i="67" s="1"/>
  <c r="F10" i="67"/>
  <c r="E10" i="67"/>
  <c r="E4" i="67" s="1"/>
  <c r="D10" i="67"/>
  <c r="D4" i="67" s="1"/>
  <c r="C4" i="67"/>
  <c r="F305" i="66"/>
  <c r="E305" i="66"/>
  <c r="D305" i="66"/>
  <c r="C305" i="66"/>
  <c r="F304" i="66"/>
  <c r="E304" i="66"/>
  <c r="D304" i="66"/>
  <c r="C304" i="66"/>
  <c r="F303" i="66"/>
  <c r="E303" i="66"/>
  <c r="D303" i="66"/>
  <c r="C303" i="66"/>
  <c r="F301" i="66"/>
  <c r="E301" i="66"/>
  <c r="D301" i="66"/>
  <c r="C301" i="66"/>
  <c r="F300" i="66"/>
  <c r="E300" i="66"/>
  <c r="D300" i="66"/>
  <c r="C300" i="66"/>
  <c r="F299" i="66"/>
  <c r="E299" i="66"/>
  <c r="D299" i="66"/>
  <c r="C299" i="66"/>
  <c r="F224" i="66"/>
  <c r="F223" i="66"/>
  <c r="F222" i="66"/>
  <c r="F221" i="66"/>
  <c r="F220" i="66"/>
  <c r="F219" i="66"/>
  <c r="F218" i="66"/>
  <c r="F217" i="66"/>
  <c r="F216" i="66"/>
  <c r="F33" i="66"/>
  <c r="B29" i="66"/>
  <c r="F39" i="66" s="1"/>
  <c r="E22" i="66"/>
  <c r="E53" i="66" s="1"/>
  <c r="D22" i="66"/>
  <c r="D47" i="66" s="1"/>
  <c r="C22" i="66"/>
  <c r="F10" i="66"/>
  <c r="E10" i="66"/>
  <c r="E4" i="66" s="1"/>
  <c r="D10" i="66"/>
  <c r="D4" i="66" s="1"/>
  <c r="C4" i="66"/>
  <c r="K874" i="65"/>
  <c r="B561" i="65"/>
  <c r="B560" i="65"/>
  <c r="B559" i="65"/>
  <c r="B558" i="65"/>
  <c r="B557" i="65"/>
  <c r="B553" i="65"/>
  <c r="B552" i="65"/>
  <c r="B551" i="65"/>
  <c r="B550" i="65"/>
  <c r="B549" i="65"/>
  <c r="B547" i="65"/>
  <c r="C528" i="65"/>
  <c r="B516" i="65"/>
  <c r="C512" i="65"/>
  <c r="B451" i="65"/>
  <c r="B450" i="65"/>
  <c r="R430" i="65"/>
  <c r="R431" i="65" s="1"/>
  <c r="Q430" i="65"/>
  <c r="Q431" i="65" s="1"/>
  <c r="P430" i="65"/>
  <c r="P431" i="65" s="1"/>
  <c r="O430" i="65"/>
  <c r="O431" i="65" s="1"/>
  <c r="M430" i="65"/>
  <c r="M431" i="65" s="1"/>
  <c r="F430" i="65"/>
  <c r="F431" i="65" s="1"/>
  <c r="E430" i="65"/>
  <c r="E431" i="65" s="1"/>
  <c r="D430" i="65"/>
  <c r="D431" i="65" s="1"/>
  <c r="C396" i="65"/>
  <c r="M392" i="65"/>
  <c r="L392" i="65"/>
  <c r="K392" i="65"/>
  <c r="J392" i="65"/>
  <c r="I392" i="65"/>
  <c r="H392" i="65"/>
  <c r="G392" i="65"/>
  <c r="F392" i="65"/>
  <c r="E392" i="65"/>
  <c r="D392" i="65"/>
  <c r="C392" i="65"/>
  <c r="N386" i="65"/>
  <c r="N392" i="65" s="1"/>
  <c r="O382" i="65"/>
  <c r="O392" i="65" s="1"/>
  <c r="D365" i="65"/>
  <c r="D364" i="65"/>
  <c r="E362" i="65"/>
  <c r="E361" i="65"/>
  <c r="E360" i="65"/>
  <c r="Q356" i="65"/>
  <c r="C352" i="65"/>
  <c r="D331" i="65"/>
  <c r="C327" i="65"/>
  <c r="D316" i="65"/>
  <c r="D312" i="65"/>
  <c r="D311" i="65"/>
  <c r="D310" i="65"/>
  <c r="D309" i="65"/>
  <c r="D308" i="65"/>
  <c r="D307" i="65"/>
  <c r="C243" i="65"/>
  <c r="C40" i="75" s="1"/>
  <c r="C242" i="65"/>
  <c r="C39" i="75" s="1"/>
  <c r="C241" i="65"/>
  <c r="C38" i="75" s="1"/>
  <c r="C240" i="65"/>
  <c r="C37" i="75" s="1"/>
  <c r="C239" i="65"/>
  <c r="C36" i="75" s="1"/>
  <c r="C238" i="65"/>
  <c r="C35" i="75" s="1"/>
  <c r="C237" i="65"/>
  <c r="C34" i="75" s="1"/>
  <c r="C236" i="65"/>
  <c r="C33" i="75" s="1"/>
  <c r="C234" i="65"/>
  <c r="C31" i="75" s="1"/>
  <c r="C233" i="65"/>
  <c r="C30" i="75" s="1"/>
  <c r="C232" i="65"/>
  <c r="C29" i="75" s="1"/>
  <c r="C231" i="65"/>
  <c r="C28" i="75" s="1"/>
  <c r="C230" i="65"/>
  <c r="C27" i="75" s="1"/>
  <c r="C229" i="65"/>
  <c r="C26" i="75" s="1"/>
  <c r="C228" i="65"/>
  <c r="C25" i="75" s="1"/>
  <c r="C227" i="65"/>
  <c r="C24" i="75" s="1"/>
  <c r="C226" i="65"/>
  <c r="C23" i="75" s="1"/>
  <c r="C225" i="65"/>
  <c r="C22" i="75" s="1"/>
  <c r="C223" i="65"/>
  <c r="C20" i="75" s="1"/>
  <c r="C222" i="65"/>
  <c r="C19" i="75" s="1"/>
  <c r="C221" i="65"/>
  <c r="C18" i="75" s="1"/>
  <c r="C220" i="65"/>
  <c r="C17" i="75" s="1"/>
  <c r="C219" i="65"/>
  <c r="C16" i="75" s="1"/>
  <c r="C214" i="65"/>
  <c r="C5" i="75" s="1"/>
  <c r="X210" i="65"/>
  <c r="W210" i="65"/>
  <c r="V210" i="65"/>
  <c r="F210" i="65" s="1"/>
  <c r="E62" i="73" s="1"/>
  <c r="U210" i="65"/>
  <c r="T210" i="65"/>
  <c r="S210" i="65"/>
  <c r="R210" i="65"/>
  <c r="E210" i="65" s="1"/>
  <c r="D62" i="73" s="1"/>
  <c r="Q210" i="65"/>
  <c r="P210" i="65"/>
  <c r="O210" i="65"/>
  <c r="N210" i="65"/>
  <c r="D210" i="65" s="1"/>
  <c r="C62" i="73" s="1"/>
  <c r="M210" i="65"/>
  <c r="X209" i="65"/>
  <c r="W209" i="65"/>
  <c r="V209" i="65"/>
  <c r="F209" i="65" s="1"/>
  <c r="E61" i="73" s="1"/>
  <c r="U209" i="65"/>
  <c r="T209" i="65"/>
  <c r="S209" i="65"/>
  <c r="R209" i="65"/>
  <c r="E209" i="65" s="1"/>
  <c r="D61" i="73" s="1"/>
  <c r="Q209" i="65"/>
  <c r="P209" i="65"/>
  <c r="O209" i="65"/>
  <c r="N209" i="65"/>
  <c r="D209" i="65" s="1"/>
  <c r="C61" i="73" s="1"/>
  <c r="M209" i="65"/>
  <c r="X208" i="65"/>
  <c r="W208" i="65"/>
  <c r="V208" i="65"/>
  <c r="F208" i="65" s="1"/>
  <c r="E60" i="73" s="1"/>
  <c r="U208" i="65"/>
  <c r="T208" i="65"/>
  <c r="S208" i="65"/>
  <c r="R208" i="65"/>
  <c r="E208" i="65" s="1"/>
  <c r="D60" i="73" s="1"/>
  <c r="Q208" i="65"/>
  <c r="P208" i="65"/>
  <c r="O208" i="65"/>
  <c r="N208" i="65"/>
  <c r="D208" i="65" s="1"/>
  <c r="C60" i="73" s="1"/>
  <c r="M208" i="65"/>
  <c r="X207" i="65"/>
  <c r="W207" i="65"/>
  <c r="V207" i="65"/>
  <c r="F207" i="65" s="1"/>
  <c r="E59" i="73" s="1"/>
  <c r="U207" i="65"/>
  <c r="T207" i="65"/>
  <c r="S207" i="65"/>
  <c r="R207" i="65"/>
  <c r="E207" i="65" s="1"/>
  <c r="D59" i="73" s="1"/>
  <c r="Q207" i="65"/>
  <c r="P207" i="65"/>
  <c r="O207" i="65"/>
  <c r="N207" i="65"/>
  <c r="D207" i="65" s="1"/>
  <c r="C59" i="73" s="1"/>
  <c r="M207" i="65"/>
  <c r="X206" i="65"/>
  <c r="W206" i="65"/>
  <c r="V206" i="65"/>
  <c r="F206" i="65" s="1"/>
  <c r="E58" i="73" s="1"/>
  <c r="U206" i="65"/>
  <c r="T206" i="65"/>
  <c r="S206" i="65"/>
  <c r="R206" i="65"/>
  <c r="E206" i="65" s="1"/>
  <c r="D58" i="73" s="1"/>
  <c r="Q206" i="65"/>
  <c r="P206" i="65"/>
  <c r="O206" i="65"/>
  <c r="N206" i="65"/>
  <c r="D206" i="65" s="1"/>
  <c r="C58" i="73" s="1"/>
  <c r="M206" i="65"/>
  <c r="X205" i="65"/>
  <c r="W205" i="65"/>
  <c r="V205" i="65"/>
  <c r="F205" i="65" s="1"/>
  <c r="E57" i="73" s="1"/>
  <c r="U205" i="65"/>
  <c r="T205" i="65"/>
  <c r="S205" i="65"/>
  <c r="R205" i="65"/>
  <c r="E205" i="65" s="1"/>
  <c r="D57" i="73" s="1"/>
  <c r="Q205" i="65"/>
  <c r="P205" i="65"/>
  <c r="O205" i="65"/>
  <c r="N205" i="65"/>
  <c r="D205" i="65" s="1"/>
  <c r="C57" i="73" s="1"/>
  <c r="M205" i="65"/>
  <c r="X204" i="65"/>
  <c r="W204" i="65"/>
  <c r="V204" i="65"/>
  <c r="F204" i="65" s="1"/>
  <c r="E56" i="73" s="1"/>
  <c r="U204" i="65"/>
  <c r="T204" i="65"/>
  <c r="S204" i="65"/>
  <c r="R204" i="65"/>
  <c r="E204" i="65" s="1"/>
  <c r="D56" i="73" s="1"/>
  <c r="Q204" i="65"/>
  <c r="P204" i="65"/>
  <c r="O204" i="65"/>
  <c r="N204" i="65"/>
  <c r="D204" i="65" s="1"/>
  <c r="C56" i="73" s="1"/>
  <c r="M204" i="65"/>
  <c r="X203" i="65"/>
  <c r="W203" i="65"/>
  <c r="V203" i="65"/>
  <c r="F203" i="65" s="1"/>
  <c r="E55" i="73" s="1"/>
  <c r="U203" i="65"/>
  <c r="T203" i="65"/>
  <c r="S203" i="65"/>
  <c r="R203" i="65"/>
  <c r="E203" i="65" s="1"/>
  <c r="D55" i="73" s="1"/>
  <c r="Q203" i="65"/>
  <c r="P203" i="65"/>
  <c r="O203" i="65"/>
  <c r="N203" i="65"/>
  <c r="D203" i="65" s="1"/>
  <c r="C55" i="73" s="1"/>
  <c r="M203" i="65"/>
  <c r="X202" i="65"/>
  <c r="W202" i="65"/>
  <c r="V202" i="65"/>
  <c r="F202" i="65" s="1"/>
  <c r="E54" i="73" s="1"/>
  <c r="U202" i="65"/>
  <c r="T202" i="65"/>
  <c r="S202" i="65"/>
  <c r="R202" i="65"/>
  <c r="E202" i="65" s="1"/>
  <c r="D54" i="73" s="1"/>
  <c r="Q202" i="65"/>
  <c r="P202" i="65"/>
  <c r="O202" i="65"/>
  <c r="N202" i="65"/>
  <c r="D202" i="65" s="1"/>
  <c r="C54" i="73" s="1"/>
  <c r="M202" i="65"/>
  <c r="X201" i="65"/>
  <c r="W201" i="65"/>
  <c r="V201" i="65"/>
  <c r="F201" i="65" s="1"/>
  <c r="E53" i="73" s="1"/>
  <c r="U201" i="65"/>
  <c r="T201" i="65"/>
  <c r="S201" i="65"/>
  <c r="R201" i="65"/>
  <c r="E201" i="65" s="1"/>
  <c r="D53" i="73" s="1"/>
  <c r="Q201" i="65"/>
  <c r="P201" i="65"/>
  <c r="O201" i="65"/>
  <c r="N201" i="65"/>
  <c r="D201" i="65" s="1"/>
  <c r="C53" i="73" s="1"/>
  <c r="M201" i="65"/>
  <c r="X200" i="65"/>
  <c r="W200" i="65"/>
  <c r="V200" i="65"/>
  <c r="F200" i="65" s="1"/>
  <c r="E52" i="73" s="1"/>
  <c r="U200" i="65"/>
  <c r="T200" i="65"/>
  <c r="S200" i="65"/>
  <c r="R200" i="65"/>
  <c r="E200" i="65" s="1"/>
  <c r="D52" i="73" s="1"/>
  <c r="Q200" i="65"/>
  <c r="P200" i="65"/>
  <c r="O200" i="65"/>
  <c r="N200" i="65"/>
  <c r="D200" i="65" s="1"/>
  <c r="C52" i="73" s="1"/>
  <c r="M200" i="65"/>
  <c r="X199" i="65"/>
  <c r="W199" i="65"/>
  <c r="V199" i="65"/>
  <c r="F199" i="65" s="1"/>
  <c r="E51" i="73" s="1"/>
  <c r="U199" i="65"/>
  <c r="T199" i="65"/>
  <c r="S199" i="65"/>
  <c r="R199" i="65"/>
  <c r="E199" i="65" s="1"/>
  <c r="D51" i="73" s="1"/>
  <c r="Q199" i="65"/>
  <c r="P199" i="65"/>
  <c r="O199" i="65"/>
  <c r="N199" i="65"/>
  <c r="D199" i="65" s="1"/>
  <c r="C51" i="73" s="1"/>
  <c r="M199" i="65"/>
  <c r="X198" i="65"/>
  <c r="W198" i="65"/>
  <c r="V198" i="65"/>
  <c r="F198" i="65" s="1"/>
  <c r="E50" i="73" s="1"/>
  <c r="U198" i="65"/>
  <c r="T198" i="65"/>
  <c r="S198" i="65"/>
  <c r="R198" i="65"/>
  <c r="E198" i="65" s="1"/>
  <c r="D50" i="73" s="1"/>
  <c r="Q198" i="65"/>
  <c r="P198" i="65"/>
  <c r="O198" i="65"/>
  <c r="N198" i="65"/>
  <c r="D198" i="65" s="1"/>
  <c r="C50" i="73" s="1"/>
  <c r="M198" i="65"/>
  <c r="X197" i="65"/>
  <c r="W197" i="65"/>
  <c r="V197" i="65"/>
  <c r="F197" i="65" s="1"/>
  <c r="E49" i="73" s="1"/>
  <c r="U197" i="65"/>
  <c r="T197" i="65"/>
  <c r="S197" i="65"/>
  <c r="R197" i="65"/>
  <c r="E197" i="65" s="1"/>
  <c r="D49" i="73" s="1"/>
  <c r="Q197" i="65"/>
  <c r="P197" i="65"/>
  <c r="O197" i="65"/>
  <c r="N197" i="65"/>
  <c r="D197" i="65" s="1"/>
  <c r="C49" i="73" s="1"/>
  <c r="M197" i="65"/>
  <c r="X196" i="65"/>
  <c r="W196" i="65"/>
  <c r="V196" i="65"/>
  <c r="F196" i="65" s="1"/>
  <c r="E48" i="73" s="1"/>
  <c r="U196" i="65"/>
  <c r="T196" i="65"/>
  <c r="S196" i="65"/>
  <c r="R196" i="65"/>
  <c r="E196" i="65" s="1"/>
  <c r="D48" i="73" s="1"/>
  <c r="Q196" i="65"/>
  <c r="P196" i="65"/>
  <c r="O196" i="65"/>
  <c r="N196" i="65"/>
  <c r="D196" i="65" s="1"/>
  <c r="C48" i="73" s="1"/>
  <c r="M196" i="65"/>
  <c r="X195" i="65"/>
  <c r="W195" i="65"/>
  <c r="V195" i="65"/>
  <c r="F195" i="65" s="1"/>
  <c r="E47" i="73" s="1"/>
  <c r="U195" i="65"/>
  <c r="T195" i="65"/>
  <c r="S195" i="65"/>
  <c r="R195" i="65"/>
  <c r="E195" i="65" s="1"/>
  <c r="D47" i="73" s="1"/>
  <c r="Q195" i="65"/>
  <c r="P195" i="65"/>
  <c r="O195" i="65"/>
  <c r="N195" i="65"/>
  <c r="D195" i="65" s="1"/>
  <c r="C47" i="73" s="1"/>
  <c r="M195" i="65"/>
  <c r="X194" i="65"/>
  <c r="W194" i="65"/>
  <c r="V194" i="65"/>
  <c r="F194" i="65" s="1"/>
  <c r="E46" i="73" s="1"/>
  <c r="U194" i="65"/>
  <c r="T194" i="65"/>
  <c r="S194" i="65"/>
  <c r="R194" i="65"/>
  <c r="E194" i="65" s="1"/>
  <c r="D46" i="73" s="1"/>
  <c r="Q194" i="65"/>
  <c r="P194" i="65"/>
  <c r="O194" i="65"/>
  <c r="N194" i="65"/>
  <c r="D194" i="65" s="1"/>
  <c r="C46" i="73" s="1"/>
  <c r="M194" i="65"/>
  <c r="F190" i="65"/>
  <c r="E44" i="73" s="1"/>
  <c r="E190" i="65"/>
  <c r="D44" i="73" s="1"/>
  <c r="D190" i="65"/>
  <c r="C44" i="73" s="1"/>
  <c r="C190" i="65"/>
  <c r="B44" i="73" s="1"/>
  <c r="F180" i="65"/>
  <c r="E224" i="74" s="1"/>
  <c r="E180" i="65"/>
  <c r="D224" i="74" s="1"/>
  <c r="D180" i="65"/>
  <c r="C224" i="74" s="1"/>
  <c r="C180" i="65"/>
  <c r="B224" i="74" s="1"/>
  <c r="F179" i="65"/>
  <c r="E223" i="74" s="1"/>
  <c r="E179" i="65"/>
  <c r="D223" i="74" s="1"/>
  <c r="D179" i="65"/>
  <c r="C223" i="74" s="1"/>
  <c r="C179" i="65"/>
  <c r="B223" i="74" s="1"/>
  <c r="F178" i="65"/>
  <c r="E222" i="74" s="1"/>
  <c r="E178" i="65"/>
  <c r="D222" i="74" s="1"/>
  <c r="D178" i="65"/>
  <c r="C222" i="74" s="1"/>
  <c r="C178" i="65"/>
  <c r="B222" i="74" s="1"/>
  <c r="F176" i="65"/>
  <c r="E220" i="74" s="1"/>
  <c r="E176" i="65"/>
  <c r="D220" i="74" s="1"/>
  <c r="D176" i="65"/>
  <c r="C220" i="74" s="1"/>
  <c r="C176" i="65"/>
  <c r="B220" i="74" s="1"/>
  <c r="F175" i="65"/>
  <c r="E219" i="74" s="1"/>
  <c r="E175" i="65"/>
  <c r="D219" i="74" s="1"/>
  <c r="D175" i="65"/>
  <c r="C219" i="74" s="1"/>
  <c r="C175" i="65"/>
  <c r="B219" i="74" s="1"/>
  <c r="F174" i="65"/>
  <c r="E218" i="74" s="1"/>
  <c r="E174" i="65"/>
  <c r="D218" i="74" s="1"/>
  <c r="D174" i="65"/>
  <c r="C218" i="74" s="1"/>
  <c r="C174" i="65"/>
  <c r="B218" i="74" s="1"/>
  <c r="C169" i="65"/>
  <c r="B68" i="75" s="1"/>
  <c r="F120" i="65"/>
  <c r="E138" i="74" s="1"/>
  <c r="E120" i="65"/>
  <c r="D138" i="74" s="1"/>
  <c r="D120" i="65"/>
  <c r="C138" i="74" s="1"/>
  <c r="C120" i="65"/>
  <c r="B138" i="74" s="1"/>
  <c r="F118" i="65"/>
  <c r="E136" i="74" s="1"/>
  <c r="E118" i="65"/>
  <c r="D136" i="74" s="1"/>
  <c r="D118" i="65"/>
  <c r="C136" i="74" s="1"/>
  <c r="C118" i="65"/>
  <c r="B136" i="74" s="1"/>
  <c r="F117" i="65"/>
  <c r="E135" i="74" s="1"/>
  <c r="E117" i="65"/>
  <c r="D135" i="74" s="1"/>
  <c r="D117" i="65"/>
  <c r="C135" i="74" s="1"/>
  <c r="C117" i="65"/>
  <c r="B135" i="74" s="1"/>
  <c r="F116" i="65"/>
  <c r="E134" i="74" s="1"/>
  <c r="E116" i="65"/>
  <c r="D134" i="74" s="1"/>
  <c r="D116" i="65"/>
  <c r="C134" i="74" s="1"/>
  <c r="C116" i="65"/>
  <c r="B134" i="74" s="1"/>
  <c r="F115" i="65"/>
  <c r="E133" i="74" s="1"/>
  <c r="E115" i="65"/>
  <c r="D133" i="74" s="1"/>
  <c r="D115" i="65"/>
  <c r="C133" i="74" s="1"/>
  <c r="C115" i="65"/>
  <c r="B133" i="74" s="1"/>
  <c r="F114" i="65"/>
  <c r="E132" i="74" s="1"/>
  <c r="E114" i="65"/>
  <c r="D132" i="74" s="1"/>
  <c r="D114" i="65"/>
  <c r="C132" i="74" s="1"/>
  <c r="C114" i="65"/>
  <c r="B132" i="74" s="1"/>
  <c r="F113" i="65"/>
  <c r="E131" i="74" s="1"/>
  <c r="E113" i="65"/>
  <c r="D131" i="74" s="1"/>
  <c r="D113" i="65"/>
  <c r="C131" i="74" s="1"/>
  <c r="C113" i="65"/>
  <c r="B131" i="74" s="1"/>
  <c r="F112" i="65"/>
  <c r="E130" i="74" s="1"/>
  <c r="E112" i="65"/>
  <c r="D130" i="74" s="1"/>
  <c r="D112" i="65"/>
  <c r="C130" i="74" s="1"/>
  <c r="C112" i="65"/>
  <c r="B130" i="74" s="1"/>
  <c r="F111" i="65"/>
  <c r="E129" i="74" s="1"/>
  <c r="E111" i="65"/>
  <c r="D129" i="74" s="1"/>
  <c r="D111" i="65"/>
  <c r="C129" i="74" s="1"/>
  <c r="C111" i="65"/>
  <c r="B129" i="74" s="1"/>
  <c r="F110" i="65"/>
  <c r="E128" i="74" s="1"/>
  <c r="E110" i="65"/>
  <c r="D128" i="74" s="1"/>
  <c r="D110" i="65"/>
  <c r="C128" i="74" s="1"/>
  <c r="C110" i="65"/>
  <c r="B128" i="74" s="1"/>
  <c r="F108" i="65"/>
  <c r="E126" i="74" s="1"/>
  <c r="E108" i="65"/>
  <c r="D126" i="74" s="1"/>
  <c r="D108" i="65"/>
  <c r="C126" i="74" s="1"/>
  <c r="C108" i="65"/>
  <c r="B126" i="74" s="1"/>
  <c r="F107" i="65"/>
  <c r="E125" i="74" s="1"/>
  <c r="E107" i="65"/>
  <c r="D125" i="74" s="1"/>
  <c r="D107" i="65"/>
  <c r="C125" i="74" s="1"/>
  <c r="C107" i="65"/>
  <c r="B125" i="74" s="1"/>
  <c r="F106" i="65"/>
  <c r="E124" i="74" s="1"/>
  <c r="E106" i="65"/>
  <c r="D124" i="74" s="1"/>
  <c r="D106" i="65"/>
  <c r="C124" i="74" s="1"/>
  <c r="C106" i="65"/>
  <c r="B124" i="74" s="1"/>
  <c r="F105" i="65"/>
  <c r="E123" i="74" s="1"/>
  <c r="E105" i="65"/>
  <c r="D123" i="74" s="1"/>
  <c r="D105" i="65"/>
  <c r="C123" i="74" s="1"/>
  <c r="C105" i="65"/>
  <c r="B123" i="74" s="1"/>
  <c r="F104" i="65"/>
  <c r="E122" i="74" s="1"/>
  <c r="E104" i="65"/>
  <c r="D122" i="74" s="1"/>
  <c r="D104" i="65"/>
  <c r="C122" i="74" s="1"/>
  <c r="C104" i="65"/>
  <c r="B122" i="74" s="1"/>
  <c r="F103" i="65"/>
  <c r="E121" i="74" s="1"/>
  <c r="E103" i="65"/>
  <c r="D121" i="74" s="1"/>
  <c r="D103" i="65"/>
  <c r="C121" i="74" s="1"/>
  <c r="C103" i="65"/>
  <c r="B121" i="74" s="1"/>
  <c r="F102" i="65"/>
  <c r="E120" i="74" s="1"/>
  <c r="E102" i="65"/>
  <c r="D120" i="74" s="1"/>
  <c r="D102" i="65"/>
  <c r="C120" i="74" s="1"/>
  <c r="C102" i="65"/>
  <c r="B120" i="74" s="1"/>
  <c r="F101" i="65"/>
  <c r="E119" i="74" s="1"/>
  <c r="E101" i="65"/>
  <c r="D119" i="74" s="1"/>
  <c r="D101" i="65"/>
  <c r="C119" i="74" s="1"/>
  <c r="C101" i="65"/>
  <c r="B119" i="74" s="1"/>
  <c r="F100" i="65"/>
  <c r="E118" i="74" s="1"/>
  <c r="E100" i="65"/>
  <c r="D100" i="65"/>
  <c r="C100" i="65"/>
  <c r="F99" i="65"/>
  <c r="E117" i="74" s="1"/>
  <c r="E99" i="65"/>
  <c r="D117" i="74" s="1"/>
  <c r="D99" i="65"/>
  <c r="C117" i="74" s="1"/>
  <c r="C99" i="65"/>
  <c r="B117" i="74" s="1"/>
  <c r="F98" i="65"/>
  <c r="E116" i="74" s="1"/>
  <c r="E98" i="65"/>
  <c r="D116" i="74" s="1"/>
  <c r="D98" i="65"/>
  <c r="C116" i="74" s="1"/>
  <c r="C98" i="65"/>
  <c r="B116" i="74" s="1"/>
  <c r="F97" i="65"/>
  <c r="E115" i="74" s="1"/>
  <c r="E97" i="65"/>
  <c r="D115" i="74" s="1"/>
  <c r="D97" i="65"/>
  <c r="C115" i="74" s="1"/>
  <c r="C97" i="65"/>
  <c r="B115" i="74" s="1"/>
  <c r="F96" i="65"/>
  <c r="E114" i="74" s="1"/>
  <c r="E96" i="65"/>
  <c r="D114" i="74" s="1"/>
  <c r="D96" i="65"/>
  <c r="C114" i="74" s="1"/>
  <c r="C96" i="65"/>
  <c r="B114" i="74" s="1"/>
  <c r="F95" i="65"/>
  <c r="E113" i="74" s="1"/>
  <c r="E95" i="65"/>
  <c r="D113" i="74" s="1"/>
  <c r="D95" i="65"/>
  <c r="C113" i="74" s="1"/>
  <c r="C95" i="65"/>
  <c r="B113" i="74" s="1"/>
  <c r="F93" i="65"/>
  <c r="E111" i="74" s="1"/>
  <c r="E93" i="65"/>
  <c r="D111" i="74" s="1"/>
  <c r="D93" i="65"/>
  <c r="C111" i="74" s="1"/>
  <c r="C93" i="65"/>
  <c r="B111" i="74" s="1"/>
  <c r="F92" i="65"/>
  <c r="E110" i="74" s="1"/>
  <c r="E92" i="65"/>
  <c r="D110" i="74" s="1"/>
  <c r="D92" i="65"/>
  <c r="C110" i="74" s="1"/>
  <c r="C92" i="65"/>
  <c r="B110" i="74" s="1"/>
  <c r="F91" i="65"/>
  <c r="E109" i="74" s="1"/>
  <c r="E91" i="65"/>
  <c r="D109" i="74" s="1"/>
  <c r="D91" i="65"/>
  <c r="C109" i="74" s="1"/>
  <c r="C91" i="65"/>
  <c r="B109" i="74" s="1"/>
  <c r="F90" i="65"/>
  <c r="E108" i="74" s="1"/>
  <c r="E90" i="65"/>
  <c r="D108" i="74" s="1"/>
  <c r="D90" i="65"/>
  <c r="C108" i="74" s="1"/>
  <c r="C90" i="65"/>
  <c r="B108" i="74" s="1"/>
  <c r="F89" i="65"/>
  <c r="E107" i="74" s="1"/>
  <c r="E89" i="65"/>
  <c r="D107" i="74" s="1"/>
  <c r="D89" i="65"/>
  <c r="C107" i="74" s="1"/>
  <c r="C89" i="65"/>
  <c r="B107" i="74" s="1"/>
  <c r="F88" i="65"/>
  <c r="E106" i="74" s="1"/>
  <c r="E88" i="65"/>
  <c r="D106" i="74" s="1"/>
  <c r="D88" i="65"/>
  <c r="C106" i="74" s="1"/>
  <c r="C88" i="65"/>
  <c r="B106" i="74" s="1"/>
  <c r="F86" i="65"/>
  <c r="E104" i="74" s="1"/>
  <c r="E86" i="65"/>
  <c r="D104" i="74" s="1"/>
  <c r="D86" i="65"/>
  <c r="C104" i="74" s="1"/>
  <c r="C86" i="65"/>
  <c r="B104" i="74" s="1"/>
  <c r="F85" i="65"/>
  <c r="E103" i="74" s="1"/>
  <c r="E85" i="65"/>
  <c r="D103" i="74" s="1"/>
  <c r="D85" i="65"/>
  <c r="C103" i="74" s="1"/>
  <c r="C85" i="65"/>
  <c r="B103" i="74" s="1"/>
  <c r="F84" i="65"/>
  <c r="E102" i="74" s="1"/>
  <c r="E84" i="65"/>
  <c r="D102" i="74" s="1"/>
  <c r="D84" i="65"/>
  <c r="C102" i="74" s="1"/>
  <c r="C84" i="65"/>
  <c r="B102" i="74" s="1"/>
  <c r="F83" i="65"/>
  <c r="E101" i="74" s="1"/>
  <c r="E83" i="65"/>
  <c r="D101" i="74" s="1"/>
  <c r="D83" i="65"/>
  <c r="C101" i="74" s="1"/>
  <c r="C83" i="65"/>
  <c r="B101" i="74" s="1"/>
  <c r="F81" i="65"/>
  <c r="E99" i="74" s="1"/>
  <c r="E81" i="65"/>
  <c r="D99" i="74" s="1"/>
  <c r="D81" i="65"/>
  <c r="C99" i="74" s="1"/>
  <c r="C81" i="65"/>
  <c r="B99" i="74" s="1"/>
  <c r="F80" i="65"/>
  <c r="E98" i="74" s="1"/>
  <c r="E80" i="65"/>
  <c r="D98" i="74" s="1"/>
  <c r="D80" i="65"/>
  <c r="C98" i="74" s="1"/>
  <c r="C80" i="65"/>
  <c r="B98" i="74" s="1"/>
  <c r="F79" i="65"/>
  <c r="E97" i="74" s="1"/>
  <c r="E79" i="65"/>
  <c r="D97" i="74" s="1"/>
  <c r="D79" i="65"/>
  <c r="C97" i="74" s="1"/>
  <c r="C79" i="65"/>
  <c r="B97" i="74" s="1"/>
  <c r="F78" i="65"/>
  <c r="E96" i="74" s="1"/>
  <c r="E78" i="65"/>
  <c r="D96" i="74" s="1"/>
  <c r="D78" i="65"/>
  <c r="C96" i="74" s="1"/>
  <c r="C78" i="65"/>
  <c r="B96" i="74" s="1"/>
  <c r="F76" i="65"/>
  <c r="E94" i="74" s="1"/>
  <c r="E76" i="65"/>
  <c r="D94" i="74" s="1"/>
  <c r="D76" i="65"/>
  <c r="C94" i="74" s="1"/>
  <c r="C76" i="65"/>
  <c r="B94" i="74" s="1"/>
  <c r="F75" i="65"/>
  <c r="E93" i="74" s="1"/>
  <c r="E75" i="65"/>
  <c r="D93" i="74" s="1"/>
  <c r="D75" i="65"/>
  <c r="C93" i="74" s="1"/>
  <c r="C75" i="65"/>
  <c r="B93" i="74" s="1"/>
  <c r="F74" i="65"/>
  <c r="E92" i="74" s="1"/>
  <c r="E74" i="65"/>
  <c r="D92" i="74" s="1"/>
  <c r="D74" i="65"/>
  <c r="C92" i="74" s="1"/>
  <c r="C74" i="65"/>
  <c r="B92" i="74" s="1"/>
  <c r="F73" i="65"/>
  <c r="E91" i="74" s="1"/>
  <c r="E73" i="65"/>
  <c r="D91" i="74" s="1"/>
  <c r="D73" i="65"/>
  <c r="C91" i="74" s="1"/>
  <c r="C73" i="65"/>
  <c r="B91" i="74" s="1"/>
  <c r="F72" i="65"/>
  <c r="E90" i="74" s="1"/>
  <c r="E72" i="65"/>
  <c r="D90" i="74" s="1"/>
  <c r="D72" i="65"/>
  <c r="C90" i="74" s="1"/>
  <c r="C72" i="65"/>
  <c r="B90" i="74" s="1"/>
  <c r="F71" i="65"/>
  <c r="E89" i="74" s="1"/>
  <c r="E71" i="65"/>
  <c r="D89" i="74" s="1"/>
  <c r="D71" i="65"/>
  <c r="C89" i="74" s="1"/>
  <c r="C71" i="65"/>
  <c r="B89" i="74" s="1"/>
  <c r="F70" i="65"/>
  <c r="E88" i="74" s="1"/>
  <c r="E70" i="65"/>
  <c r="D88" i="74" s="1"/>
  <c r="D70" i="65"/>
  <c r="C88" i="74" s="1"/>
  <c r="C70" i="65"/>
  <c r="B88" i="74" s="1"/>
  <c r="F69" i="65"/>
  <c r="E87" i="74" s="1"/>
  <c r="E69" i="65"/>
  <c r="D87" i="74" s="1"/>
  <c r="D69" i="65"/>
  <c r="C87" i="74" s="1"/>
  <c r="C69" i="65"/>
  <c r="B87" i="74" s="1"/>
  <c r="F68" i="65"/>
  <c r="E86" i="74" s="1"/>
  <c r="E68" i="65"/>
  <c r="D86" i="74" s="1"/>
  <c r="D68" i="65"/>
  <c r="C86" i="74" s="1"/>
  <c r="C68" i="65"/>
  <c r="B86" i="74" s="1"/>
  <c r="F67" i="65"/>
  <c r="E85" i="74" s="1"/>
  <c r="E67" i="65"/>
  <c r="D85" i="74" s="1"/>
  <c r="D67" i="65"/>
  <c r="C85" i="74" s="1"/>
  <c r="C67" i="65"/>
  <c r="B85" i="74" s="1"/>
  <c r="F65" i="65"/>
  <c r="E83" i="74" s="1"/>
  <c r="E65" i="65"/>
  <c r="D83" i="74" s="1"/>
  <c r="D65" i="65"/>
  <c r="C83" i="74" s="1"/>
  <c r="C65" i="65"/>
  <c r="F64" i="65"/>
  <c r="E82" i="74" s="1"/>
  <c r="E64" i="65"/>
  <c r="D82" i="74" s="1"/>
  <c r="D64" i="65"/>
  <c r="C82" i="74" s="1"/>
  <c r="C64" i="65"/>
  <c r="F63" i="65"/>
  <c r="E81" i="74" s="1"/>
  <c r="E63" i="65"/>
  <c r="D81" i="74" s="1"/>
  <c r="D63" i="65"/>
  <c r="C81" i="74" s="1"/>
  <c r="C63" i="65"/>
  <c r="B81" i="74" s="1"/>
  <c r="F62" i="65"/>
  <c r="E80" i="74" s="1"/>
  <c r="E62" i="65"/>
  <c r="D80" i="74" s="1"/>
  <c r="D62" i="65"/>
  <c r="C80" i="74" s="1"/>
  <c r="C62" i="65"/>
  <c r="B80" i="74" s="1"/>
  <c r="F61" i="65"/>
  <c r="E79" i="74" s="1"/>
  <c r="E61" i="65"/>
  <c r="D79" i="74" s="1"/>
  <c r="D61" i="65"/>
  <c r="C79" i="74" s="1"/>
  <c r="C61" i="65"/>
  <c r="B79" i="74" s="1"/>
  <c r="F60" i="65"/>
  <c r="E78" i="74" s="1"/>
  <c r="E60" i="65"/>
  <c r="D78" i="74" s="1"/>
  <c r="D60" i="65"/>
  <c r="C78" i="74" s="1"/>
  <c r="C60" i="65"/>
  <c r="B78" i="74" s="1"/>
  <c r="F59" i="65"/>
  <c r="E77" i="74" s="1"/>
  <c r="E59" i="65"/>
  <c r="D77" i="74" s="1"/>
  <c r="D59" i="65"/>
  <c r="C77" i="74" s="1"/>
  <c r="C59" i="65"/>
  <c r="B77" i="74" s="1"/>
  <c r="F58" i="65"/>
  <c r="E76" i="74" s="1"/>
  <c r="E58" i="65"/>
  <c r="D76" i="74" s="1"/>
  <c r="D58" i="65"/>
  <c r="C76" i="74" s="1"/>
  <c r="C58" i="65"/>
  <c r="B76" i="74" s="1"/>
  <c r="F57" i="65"/>
  <c r="E75" i="74" s="1"/>
  <c r="E57" i="65"/>
  <c r="D75" i="74" s="1"/>
  <c r="D57" i="65"/>
  <c r="C75" i="74" s="1"/>
  <c r="C57" i="65"/>
  <c r="B75" i="74" s="1"/>
  <c r="F56" i="65"/>
  <c r="E74" i="74" s="1"/>
  <c r="E56" i="65"/>
  <c r="D74" i="74" s="1"/>
  <c r="D56" i="65"/>
  <c r="C74" i="74" s="1"/>
  <c r="C56" i="65"/>
  <c r="B74" i="74" s="1"/>
  <c r="F54" i="65"/>
  <c r="E72" i="74" s="1"/>
  <c r="E54" i="65"/>
  <c r="D72" i="74" s="1"/>
  <c r="D54" i="65"/>
  <c r="C72" i="74" s="1"/>
  <c r="C54" i="65"/>
  <c r="B72" i="74" s="1"/>
  <c r="F53" i="65"/>
  <c r="E71" i="74" s="1"/>
  <c r="E53" i="65"/>
  <c r="D71" i="74" s="1"/>
  <c r="D53" i="65"/>
  <c r="C71" i="74" s="1"/>
  <c r="C53" i="65"/>
  <c r="B71" i="74" s="1"/>
  <c r="F52" i="65"/>
  <c r="E70" i="74" s="1"/>
  <c r="E52" i="65"/>
  <c r="D70" i="74" s="1"/>
  <c r="D52" i="65"/>
  <c r="C70" i="74" s="1"/>
  <c r="C52" i="65"/>
  <c r="B70" i="74" s="1"/>
  <c r="F51" i="65"/>
  <c r="E69" i="74" s="1"/>
  <c r="E51" i="65"/>
  <c r="D69" i="74" s="1"/>
  <c r="D51" i="65"/>
  <c r="C69" i="74" s="1"/>
  <c r="C51" i="65"/>
  <c r="B69" i="74" s="1"/>
  <c r="F50" i="65"/>
  <c r="E68" i="74" s="1"/>
  <c r="E50" i="65"/>
  <c r="D68" i="74" s="1"/>
  <c r="D50" i="65"/>
  <c r="C68" i="74" s="1"/>
  <c r="C50" i="65"/>
  <c r="B68" i="74" s="1"/>
  <c r="F49" i="65"/>
  <c r="E67" i="74" s="1"/>
  <c r="E49" i="65"/>
  <c r="D67" i="74" s="1"/>
  <c r="D49" i="65"/>
  <c r="C67" i="74" s="1"/>
  <c r="C49" i="65"/>
  <c r="B67" i="74" s="1"/>
  <c r="F48" i="65"/>
  <c r="E66" i="74" s="1"/>
  <c r="E48" i="65"/>
  <c r="D66" i="74" s="1"/>
  <c r="D48" i="65"/>
  <c r="C66" i="74" s="1"/>
  <c r="C48" i="65"/>
  <c r="B66" i="74" s="1"/>
  <c r="F47" i="65"/>
  <c r="E65" i="74" s="1"/>
  <c r="E47" i="65"/>
  <c r="D65" i="74" s="1"/>
  <c r="D47" i="65"/>
  <c r="C65" i="74" s="1"/>
  <c r="C47" i="65"/>
  <c r="B65" i="74" s="1"/>
  <c r="F46" i="65"/>
  <c r="E64" i="74" s="1"/>
  <c r="E46" i="65"/>
  <c r="D64" i="74" s="1"/>
  <c r="D46" i="65"/>
  <c r="C64" i="74" s="1"/>
  <c r="C46" i="65"/>
  <c r="B64" i="74" s="1"/>
  <c r="F45" i="65"/>
  <c r="E63" i="74" s="1"/>
  <c r="E45" i="65"/>
  <c r="D63" i="74" s="1"/>
  <c r="D45" i="65"/>
  <c r="C63" i="74" s="1"/>
  <c r="C45" i="65"/>
  <c r="B63" i="74" s="1"/>
  <c r="F44" i="65"/>
  <c r="E62" i="74" s="1"/>
  <c r="E44" i="65"/>
  <c r="D62" i="74" s="1"/>
  <c r="D44" i="65"/>
  <c r="C62" i="74" s="1"/>
  <c r="C44" i="65"/>
  <c r="B62" i="74" s="1"/>
  <c r="F43" i="65"/>
  <c r="E61" i="74" s="1"/>
  <c r="E43" i="65"/>
  <c r="D61" i="74" s="1"/>
  <c r="D43" i="65"/>
  <c r="C61" i="74" s="1"/>
  <c r="C43" i="65"/>
  <c r="B61" i="74" s="1"/>
  <c r="F42" i="65"/>
  <c r="E60" i="74" s="1"/>
  <c r="E42" i="65"/>
  <c r="D60" i="74" s="1"/>
  <c r="D42" i="65"/>
  <c r="C60" i="74" s="1"/>
  <c r="C42" i="65"/>
  <c r="B60" i="74" s="1"/>
  <c r="F41" i="65"/>
  <c r="E59" i="74" s="1"/>
  <c r="E41" i="65"/>
  <c r="D59" i="74" s="1"/>
  <c r="D41" i="65"/>
  <c r="C59" i="74" s="1"/>
  <c r="C41" i="65"/>
  <c r="B59" i="74" s="1"/>
  <c r="F40" i="65"/>
  <c r="E58" i="74" s="1"/>
  <c r="E40" i="65"/>
  <c r="D58" i="74" s="1"/>
  <c r="D40" i="65"/>
  <c r="C58" i="74" s="1"/>
  <c r="C40" i="65"/>
  <c r="B58" i="74" s="1"/>
  <c r="F39" i="65"/>
  <c r="E57" i="74" s="1"/>
  <c r="E39" i="65"/>
  <c r="D57" i="74" s="1"/>
  <c r="D39" i="65"/>
  <c r="C57" i="74" s="1"/>
  <c r="C39" i="65"/>
  <c r="B57" i="74" s="1"/>
  <c r="F38" i="65"/>
  <c r="E56" i="74" s="1"/>
  <c r="E38" i="65"/>
  <c r="D56" i="74" s="1"/>
  <c r="D38" i="65"/>
  <c r="C56" i="74" s="1"/>
  <c r="C38" i="65"/>
  <c r="B56" i="74" s="1"/>
  <c r="F37" i="65"/>
  <c r="E55" i="74" s="1"/>
  <c r="E37" i="65"/>
  <c r="D55" i="74" s="1"/>
  <c r="D37" i="65"/>
  <c r="C55" i="74" s="1"/>
  <c r="C37" i="65"/>
  <c r="B55" i="74" s="1"/>
  <c r="F36" i="65"/>
  <c r="E54" i="74" s="1"/>
  <c r="E36" i="65"/>
  <c r="D54" i="74" s="1"/>
  <c r="D36" i="65"/>
  <c r="C54" i="74" s="1"/>
  <c r="C36" i="65"/>
  <c r="B54" i="74" s="1"/>
  <c r="F35" i="65"/>
  <c r="E53" i="74" s="1"/>
  <c r="E35" i="65"/>
  <c r="D53" i="74" s="1"/>
  <c r="D35" i="65"/>
  <c r="C53" i="74" s="1"/>
  <c r="C35" i="65"/>
  <c r="B53" i="74" s="1"/>
  <c r="F34" i="65"/>
  <c r="E52" i="74" s="1"/>
  <c r="E34" i="65"/>
  <c r="D52" i="74" s="1"/>
  <c r="D34" i="65"/>
  <c r="C52" i="74" s="1"/>
  <c r="C34" i="65"/>
  <c r="B52" i="74" s="1"/>
  <c r="F33" i="65"/>
  <c r="E51" i="74" s="1"/>
  <c r="E33" i="65"/>
  <c r="D51" i="74" s="1"/>
  <c r="D33" i="65"/>
  <c r="C51" i="74" s="1"/>
  <c r="C33" i="65"/>
  <c r="B51" i="74" s="1"/>
  <c r="F32" i="65"/>
  <c r="E50" i="74" s="1"/>
  <c r="E32" i="65"/>
  <c r="D50" i="74" s="1"/>
  <c r="D32" i="65"/>
  <c r="C50" i="74" s="1"/>
  <c r="C32" i="65"/>
  <c r="B50" i="74" s="1"/>
  <c r="F31" i="65"/>
  <c r="E49" i="74" s="1"/>
  <c r="E31" i="65"/>
  <c r="D49" i="74" s="1"/>
  <c r="D31" i="65"/>
  <c r="C49" i="74" s="1"/>
  <c r="C31" i="65"/>
  <c r="B49" i="74" s="1"/>
  <c r="F30" i="65"/>
  <c r="E48" i="74" s="1"/>
  <c r="E30" i="65"/>
  <c r="D48" i="74" s="1"/>
  <c r="D30" i="65"/>
  <c r="C48" i="74" s="1"/>
  <c r="C30" i="65"/>
  <c r="B48" i="74" s="1"/>
  <c r="F29" i="65"/>
  <c r="E47" i="74" s="1"/>
  <c r="E29" i="65"/>
  <c r="D47" i="74" s="1"/>
  <c r="D29" i="65"/>
  <c r="C47" i="74" s="1"/>
  <c r="C29" i="65"/>
  <c r="B47" i="74" s="1"/>
  <c r="F28" i="65"/>
  <c r="E46" i="74" s="1"/>
  <c r="E28" i="65"/>
  <c r="D46" i="74" s="1"/>
  <c r="D28" i="65"/>
  <c r="C46" i="74" s="1"/>
  <c r="C28" i="65"/>
  <c r="B46" i="74" s="1"/>
  <c r="F27" i="65"/>
  <c r="E45" i="74" s="1"/>
  <c r="E27" i="65"/>
  <c r="D45" i="74" s="1"/>
  <c r="D27" i="65"/>
  <c r="C45" i="74" s="1"/>
  <c r="C27" i="65"/>
  <c r="B45" i="74" s="1"/>
  <c r="F26" i="65"/>
  <c r="E44" i="74" s="1"/>
  <c r="E26" i="65"/>
  <c r="D44" i="74" s="1"/>
  <c r="D26" i="65"/>
  <c r="C44" i="74" s="1"/>
  <c r="C26" i="65"/>
  <c r="B44" i="74" s="1"/>
  <c r="F25" i="65"/>
  <c r="E43" i="74" s="1"/>
  <c r="E25" i="65"/>
  <c r="D43" i="74" s="1"/>
  <c r="D25" i="65"/>
  <c r="C43" i="74" s="1"/>
  <c r="C25" i="65"/>
  <c r="B43" i="74" s="1"/>
  <c r="F24" i="65"/>
  <c r="E42" i="74" s="1"/>
  <c r="E24" i="65"/>
  <c r="D42" i="74" s="1"/>
  <c r="D24" i="65"/>
  <c r="C42" i="74" s="1"/>
  <c r="C24" i="65"/>
  <c r="B42" i="74" s="1"/>
  <c r="F23" i="65"/>
  <c r="E41" i="74" s="1"/>
  <c r="E23" i="65"/>
  <c r="D41" i="74" s="1"/>
  <c r="D23" i="65"/>
  <c r="C41" i="74" s="1"/>
  <c r="C23" i="65"/>
  <c r="B41" i="74" s="1"/>
  <c r="F22" i="65"/>
  <c r="E40" i="74" s="1"/>
  <c r="E22" i="65"/>
  <c r="D40" i="74" s="1"/>
  <c r="D22" i="65"/>
  <c r="C40" i="74" s="1"/>
  <c r="C22" i="65"/>
  <c r="B40" i="74" s="1"/>
  <c r="F20" i="65"/>
  <c r="E38" i="74" s="1"/>
  <c r="E20" i="65"/>
  <c r="D38" i="74" s="1"/>
  <c r="D20" i="65"/>
  <c r="C38" i="74" s="1"/>
  <c r="C20" i="65"/>
  <c r="B38" i="74" s="1"/>
  <c r="F19" i="65"/>
  <c r="E37" i="74" s="1"/>
  <c r="E19" i="65"/>
  <c r="D37" i="74" s="1"/>
  <c r="D19" i="65"/>
  <c r="C37" i="74" s="1"/>
  <c r="C19" i="65"/>
  <c r="B37" i="74" s="1"/>
  <c r="F18" i="65"/>
  <c r="E36" i="74" s="1"/>
  <c r="E18" i="65"/>
  <c r="D36" i="74" s="1"/>
  <c r="D18" i="65"/>
  <c r="C36" i="74" s="1"/>
  <c r="C18" i="65"/>
  <c r="B36" i="74" s="1"/>
  <c r="F17" i="65"/>
  <c r="E35" i="74" s="1"/>
  <c r="E17" i="65"/>
  <c r="D35" i="74" s="1"/>
  <c r="D17" i="65"/>
  <c r="C35" i="74" s="1"/>
  <c r="C17" i="65"/>
  <c r="B35" i="74" s="1"/>
  <c r="F16" i="65"/>
  <c r="E34" i="74" s="1"/>
  <c r="E16" i="65"/>
  <c r="D34" i="74" s="1"/>
  <c r="D16" i="65"/>
  <c r="C34" i="74" s="1"/>
  <c r="C16" i="65"/>
  <c r="B34" i="74" s="1"/>
  <c r="F15" i="65"/>
  <c r="E33" i="74" s="1"/>
  <c r="E15" i="65"/>
  <c r="D33" i="74" s="1"/>
  <c r="D15" i="65"/>
  <c r="C33" i="74" s="1"/>
  <c r="C15" i="65"/>
  <c r="B33" i="74" s="1"/>
  <c r="F14" i="65"/>
  <c r="E32" i="74" s="1"/>
  <c r="E14" i="65"/>
  <c r="D32" i="74" s="1"/>
  <c r="D14" i="65"/>
  <c r="C32" i="74" s="1"/>
  <c r="C14" i="65"/>
  <c r="B32" i="74" s="1"/>
  <c r="F13" i="65"/>
  <c r="E31" i="74" s="1"/>
  <c r="E13" i="65"/>
  <c r="D31" i="74" s="1"/>
  <c r="D13" i="65"/>
  <c r="C31" i="74" s="1"/>
  <c r="C13" i="65"/>
  <c r="B31" i="74" s="1"/>
  <c r="F12" i="65"/>
  <c r="E30" i="74" s="1"/>
  <c r="E12" i="65"/>
  <c r="D30" i="74" s="1"/>
  <c r="D12" i="65"/>
  <c r="C30" i="74" s="1"/>
  <c r="C12" i="65"/>
  <c r="B30" i="74" s="1"/>
  <c r="F11" i="65"/>
  <c r="E29" i="74" s="1"/>
  <c r="E11" i="65"/>
  <c r="D29" i="74" s="1"/>
  <c r="D11" i="65"/>
  <c r="C29" i="74" s="1"/>
  <c r="C11" i="65"/>
  <c r="B29" i="74" s="1"/>
  <c r="F10" i="65"/>
  <c r="E28" i="74" s="1"/>
  <c r="E10" i="65"/>
  <c r="D28" i="74" s="1"/>
  <c r="D10" i="65"/>
  <c r="C28" i="74" s="1"/>
  <c r="C10" i="65"/>
  <c r="B28" i="74" s="1"/>
  <c r="F9" i="65"/>
  <c r="E27" i="74" s="1"/>
  <c r="E9" i="65"/>
  <c r="D27" i="74" s="1"/>
  <c r="D9" i="65"/>
  <c r="C27" i="74" s="1"/>
  <c r="C9" i="65"/>
  <c r="B27" i="74" s="1"/>
  <c r="F8" i="65"/>
  <c r="E26" i="74" s="1"/>
  <c r="E8" i="65"/>
  <c r="D26" i="74" s="1"/>
  <c r="D8" i="65"/>
  <c r="C26" i="74" s="1"/>
  <c r="C8" i="65"/>
  <c r="B26" i="74" s="1"/>
  <c r="F7" i="65"/>
  <c r="E25" i="74" s="1"/>
  <c r="E7" i="65"/>
  <c r="D25" i="74" s="1"/>
  <c r="D7" i="65"/>
  <c r="C25" i="74" s="1"/>
  <c r="C7" i="65"/>
  <c r="B25" i="74" s="1"/>
  <c r="F6" i="65"/>
  <c r="E24" i="74" s="1"/>
  <c r="E6" i="65"/>
  <c r="D24" i="74" s="1"/>
  <c r="D6" i="65"/>
  <c r="C24" i="74" s="1"/>
  <c r="C6" i="65"/>
  <c r="B24" i="74" s="1"/>
  <c r="C171" i="64"/>
  <c r="C170" i="64"/>
  <c r="C169" i="64"/>
  <c r="N165" i="64"/>
  <c r="N7" i="70" s="1"/>
  <c r="M165" i="64"/>
  <c r="M7" i="70" s="1"/>
  <c r="L165" i="64"/>
  <c r="K165" i="64"/>
  <c r="J165" i="64"/>
  <c r="J7" i="70" s="1"/>
  <c r="I165" i="64"/>
  <c r="I7" i="70" s="1"/>
  <c r="H165" i="64"/>
  <c r="G165" i="64"/>
  <c r="F165" i="64"/>
  <c r="E165" i="64"/>
  <c r="E7" i="70" s="1"/>
  <c r="D165" i="64"/>
  <c r="C165" i="64"/>
  <c r="C7" i="70" s="1"/>
  <c r="B165" i="64"/>
  <c r="O161" i="64"/>
  <c r="N6" i="70" s="1"/>
  <c r="N161" i="64"/>
  <c r="M161" i="64"/>
  <c r="L6" i="70" s="1"/>
  <c r="L161" i="64"/>
  <c r="K6" i="70" s="1"/>
  <c r="K161" i="64"/>
  <c r="J6" i="70" s="1"/>
  <c r="J161" i="64"/>
  <c r="I161" i="64"/>
  <c r="H161" i="64"/>
  <c r="G6" i="70" s="1"/>
  <c r="G161" i="64"/>
  <c r="F6" i="70" s="1"/>
  <c r="F161" i="64"/>
  <c r="E161" i="64"/>
  <c r="D161" i="64"/>
  <c r="C161" i="64"/>
  <c r="B6" i="70" s="1"/>
  <c r="C157" i="64"/>
  <c r="C64" i="75" s="1"/>
  <c r="D153" i="64"/>
  <c r="D60" i="75" s="1"/>
  <c r="C153" i="64"/>
  <c r="C60" i="75" s="1"/>
  <c r="E148" i="64"/>
  <c r="E130" i="76" s="1"/>
  <c r="D148" i="64"/>
  <c r="D130" i="76" s="1"/>
  <c r="C148" i="64"/>
  <c r="C130" i="76" s="1"/>
  <c r="B148" i="64"/>
  <c r="B130" i="76" s="1"/>
  <c r="N125" i="64"/>
  <c r="N10" i="69" s="1"/>
  <c r="M125" i="64"/>
  <c r="M10" i="69" s="1"/>
  <c r="L125" i="64"/>
  <c r="L10" i="69" s="1"/>
  <c r="K125" i="64"/>
  <c r="K10" i="69" s="1"/>
  <c r="J125" i="64"/>
  <c r="J10" i="69" s="1"/>
  <c r="I125" i="64"/>
  <c r="I10" i="69" s="1"/>
  <c r="H125" i="64"/>
  <c r="H10" i="69" s="1"/>
  <c r="G125" i="64"/>
  <c r="G10" i="69" s="1"/>
  <c r="F125" i="64"/>
  <c r="F10" i="69" s="1"/>
  <c r="E125" i="64"/>
  <c r="E10" i="69" s="1"/>
  <c r="D125" i="64"/>
  <c r="D10" i="69" s="1"/>
  <c r="C125" i="64"/>
  <c r="C10" i="69" s="1"/>
  <c r="B125" i="64"/>
  <c r="B10" i="69" s="1"/>
  <c r="B116" i="64"/>
  <c r="A227" i="74" s="1"/>
  <c r="L113" i="64"/>
  <c r="K113" i="64"/>
  <c r="J113" i="64"/>
  <c r="C113" i="64" s="1"/>
  <c r="I113" i="64"/>
  <c r="L112" i="64"/>
  <c r="K112" i="64"/>
  <c r="J112" i="64"/>
  <c r="C112" i="64" s="1"/>
  <c r="I112" i="64"/>
  <c r="L111" i="64"/>
  <c r="K111" i="64"/>
  <c r="J111" i="64"/>
  <c r="C111" i="64" s="1"/>
  <c r="B27" i="73" s="1"/>
  <c r="I111" i="64"/>
  <c r="L106" i="64"/>
  <c r="K106" i="64"/>
  <c r="J106" i="64"/>
  <c r="C106" i="64" s="1"/>
  <c r="D106" i="64" s="1"/>
  <c r="I106" i="64"/>
  <c r="L105" i="64"/>
  <c r="K105" i="64"/>
  <c r="J105" i="64"/>
  <c r="C105" i="64" s="1"/>
  <c r="I105" i="64"/>
  <c r="D95" i="64"/>
  <c r="C18" i="73" s="1"/>
  <c r="C95" i="64"/>
  <c r="B18" i="73" s="1"/>
  <c r="D94" i="64"/>
  <c r="C17" i="73" s="1"/>
  <c r="C94" i="64"/>
  <c r="B17" i="73" s="1"/>
  <c r="D93" i="64"/>
  <c r="C16" i="73" s="1"/>
  <c r="C93" i="64"/>
  <c r="B16" i="73" s="1"/>
  <c r="D92" i="64"/>
  <c r="C15" i="73" s="1"/>
  <c r="C92" i="64"/>
  <c r="B15" i="73" s="1"/>
  <c r="C88" i="64"/>
  <c r="B11" i="73" s="1"/>
  <c r="C84" i="64"/>
  <c r="B7" i="73" s="1"/>
  <c r="C83" i="64"/>
  <c r="B6" i="73" s="1"/>
  <c r="F78" i="64"/>
  <c r="E202" i="74" s="1"/>
  <c r="E78" i="64"/>
  <c r="D202" i="74" s="1"/>
  <c r="D78" i="64"/>
  <c r="C202" i="74" s="1"/>
  <c r="C78" i="64"/>
  <c r="B202" i="74" s="1"/>
  <c r="F77" i="64"/>
  <c r="E201" i="74" s="1"/>
  <c r="E77" i="64"/>
  <c r="D201" i="74" s="1"/>
  <c r="D77" i="64"/>
  <c r="C201" i="74" s="1"/>
  <c r="C77" i="64"/>
  <c r="B201" i="74" s="1"/>
  <c r="F73" i="64"/>
  <c r="E193" i="74" s="1"/>
  <c r="E73" i="64"/>
  <c r="D193" i="74" s="1"/>
  <c r="D73" i="64"/>
  <c r="C193" i="74" s="1"/>
  <c r="C73" i="64"/>
  <c r="B193" i="74" s="1"/>
  <c r="F72" i="64"/>
  <c r="E192" i="74" s="1"/>
  <c r="E72" i="64"/>
  <c r="D192" i="74" s="1"/>
  <c r="D72" i="64"/>
  <c r="C192" i="74" s="1"/>
  <c r="C72" i="64"/>
  <c r="B192" i="74" s="1"/>
  <c r="D68" i="64"/>
  <c r="C188" i="74" s="1"/>
  <c r="C68" i="64"/>
  <c r="B188" i="74" s="1"/>
  <c r="D67" i="64"/>
  <c r="C187" i="74" s="1"/>
  <c r="C67" i="64"/>
  <c r="B187" i="74" s="1"/>
  <c r="E62" i="64"/>
  <c r="E55" i="64"/>
  <c r="F50" i="64"/>
  <c r="E50" i="64"/>
  <c r="D50" i="64"/>
  <c r="C50" i="64"/>
  <c r="F49" i="64"/>
  <c r="E49" i="64"/>
  <c r="D49" i="64"/>
  <c r="C49" i="64"/>
  <c r="F48" i="64"/>
  <c r="E48" i="64"/>
  <c r="D48" i="64"/>
  <c r="C48" i="64"/>
  <c r="E47" i="64"/>
  <c r="D47" i="64"/>
  <c r="C47" i="64"/>
  <c r="F46" i="64"/>
  <c r="E46" i="64"/>
  <c r="D46" i="64"/>
  <c r="C46" i="64"/>
  <c r="F45" i="64"/>
  <c r="E45" i="64"/>
  <c r="D45" i="64"/>
  <c r="C45" i="64"/>
  <c r="F44" i="64"/>
  <c r="E44" i="64"/>
  <c r="D44" i="64"/>
  <c r="C44" i="64"/>
  <c r="F43" i="64"/>
  <c r="E43" i="64"/>
  <c r="D43" i="64"/>
  <c r="C43" i="64"/>
  <c r="F42" i="64"/>
  <c r="E42" i="64"/>
  <c r="D42" i="64"/>
  <c r="C42" i="64"/>
  <c r="F41" i="64"/>
  <c r="E41" i="64"/>
  <c r="D41" i="64"/>
  <c r="C41" i="64"/>
  <c r="B37" i="64"/>
  <c r="B36" i="64"/>
  <c r="B30" i="64"/>
  <c r="E27" i="64"/>
  <c r="C6" i="74" s="1"/>
  <c r="D27" i="64"/>
  <c r="B6" i="74" s="1"/>
  <c r="C27" i="64"/>
  <c r="A6" i="74" s="1"/>
  <c r="O22" i="64"/>
  <c r="N9" i="69" s="1"/>
  <c r="N22" i="64"/>
  <c r="M9" i="69" s="1"/>
  <c r="M22" i="64"/>
  <c r="L9" i="69" s="1"/>
  <c r="L22" i="64"/>
  <c r="K9" i="69" s="1"/>
  <c r="K22" i="64"/>
  <c r="J9" i="69" s="1"/>
  <c r="J22" i="64"/>
  <c r="I9" i="69" s="1"/>
  <c r="I22" i="64"/>
  <c r="H9" i="69" s="1"/>
  <c r="H22" i="64"/>
  <c r="G9" i="69" s="1"/>
  <c r="G22" i="64"/>
  <c r="F9" i="69" s="1"/>
  <c r="F22" i="64"/>
  <c r="E9" i="69" s="1"/>
  <c r="E22" i="64"/>
  <c r="D9" i="69" s="1"/>
  <c r="D22" i="64"/>
  <c r="C9" i="69" s="1"/>
  <c r="C22" i="64"/>
  <c r="B9" i="69" s="1"/>
  <c r="O21" i="64"/>
  <c r="N8" i="69" s="1"/>
  <c r="N21" i="64"/>
  <c r="M8" i="69" s="1"/>
  <c r="M21" i="64"/>
  <c r="L8" i="69" s="1"/>
  <c r="L21" i="64"/>
  <c r="K8" i="69" s="1"/>
  <c r="K21" i="64"/>
  <c r="J8" i="69" s="1"/>
  <c r="J21" i="64"/>
  <c r="I8" i="69" s="1"/>
  <c r="I21" i="64"/>
  <c r="H8" i="69" s="1"/>
  <c r="H21" i="64"/>
  <c r="G8" i="69" s="1"/>
  <c r="G21" i="64"/>
  <c r="F8" i="69" s="1"/>
  <c r="F21" i="64"/>
  <c r="E8" i="69" s="1"/>
  <c r="E21" i="64"/>
  <c r="D8" i="69" s="1"/>
  <c r="D21" i="64"/>
  <c r="C8" i="69" s="1"/>
  <c r="C21" i="64"/>
  <c r="B8" i="69" s="1"/>
  <c r="O20" i="64"/>
  <c r="N7" i="69" s="1"/>
  <c r="N20" i="64"/>
  <c r="M7" i="69" s="1"/>
  <c r="M20" i="64"/>
  <c r="L7" i="69" s="1"/>
  <c r="L20" i="64"/>
  <c r="K7" i="69" s="1"/>
  <c r="K20" i="64"/>
  <c r="J7" i="69" s="1"/>
  <c r="J20" i="64"/>
  <c r="I7" i="69" s="1"/>
  <c r="I20" i="64"/>
  <c r="H7" i="69" s="1"/>
  <c r="H20" i="64"/>
  <c r="G7" i="69" s="1"/>
  <c r="G20" i="64"/>
  <c r="F7" i="69" s="1"/>
  <c r="F20" i="64"/>
  <c r="E7" i="69" s="1"/>
  <c r="E20" i="64"/>
  <c r="D7" i="69" s="1"/>
  <c r="D20" i="64"/>
  <c r="C7" i="69" s="1"/>
  <c r="C20" i="64"/>
  <c r="B7" i="69" s="1"/>
  <c r="O19" i="64"/>
  <c r="N6" i="69" s="1"/>
  <c r="N19" i="64"/>
  <c r="M6" i="69" s="1"/>
  <c r="M19" i="64"/>
  <c r="L6" i="69" s="1"/>
  <c r="L19" i="64"/>
  <c r="K6" i="69" s="1"/>
  <c r="K19" i="64"/>
  <c r="J6" i="69" s="1"/>
  <c r="J19" i="64"/>
  <c r="I6" i="69" s="1"/>
  <c r="I19" i="64"/>
  <c r="H6" i="69" s="1"/>
  <c r="H19" i="64"/>
  <c r="G6" i="69" s="1"/>
  <c r="G19" i="64"/>
  <c r="F6" i="69" s="1"/>
  <c r="F19" i="64"/>
  <c r="E6" i="69" s="1"/>
  <c r="E19" i="64"/>
  <c r="D6" i="69" s="1"/>
  <c r="D19" i="64"/>
  <c r="C6" i="69" s="1"/>
  <c r="C19" i="64"/>
  <c r="B6" i="69" s="1"/>
  <c r="F15" i="64"/>
  <c r="E34" i="73" s="1"/>
  <c r="E108" i="73" s="1"/>
  <c r="E15" i="64"/>
  <c r="D34" i="73" s="1"/>
  <c r="D111" i="73" s="1"/>
  <c r="D15" i="64"/>
  <c r="C34" i="73" s="1"/>
  <c r="F14" i="64"/>
  <c r="E33" i="73" s="1"/>
  <c r="E14" i="64"/>
  <c r="D33" i="73" s="1"/>
  <c r="D69" i="73" s="1"/>
  <c r="D14" i="64"/>
  <c r="C33" i="73" s="1"/>
  <c r="C14" i="64"/>
  <c r="B33" i="73" s="1"/>
  <c r="C9" i="64"/>
  <c r="B144" i="64" s="1"/>
  <c r="P60" i="71" s="1"/>
  <c r="D55" i="66" l="1"/>
  <c r="C47" i="67"/>
  <c r="C50" i="67"/>
  <c r="C53" i="67"/>
  <c r="C47" i="68"/>
  <c r="C55" i="64" s="1"/>
  <c r="B11" i="74" s="1"/>
  <c r="E49" i="68"/>
  <c r="E57" i="64" s="1"/>
  <c r="D13" i="74" s="1"/>
  <c r="E51" i="68"/>
  <c r="E59" i="64" s="1"/>
  <c r="D15" i="74" s="1"/>
  <c r="C54" i="68"/>
  <c r="C62" i="64" s="1"/>
  <c r="C48" i="67"/>
  <c r="C51" i="67"/>
  <c r="C54" i="67"/>
  <c r="C50" i="68"/>
  <c r="C58" i="64" s="1"/>
  <c r="B14" i="74" s="1"/>
  <c r="C52" i="68"/>
  <c r="C60" i="64" s="1"/>
  <c r="W73" i="69"/>
  <c r="E48" i="66"/>
  <c r="C52" i="67"/>
  <c r="C55" i="67"/>
  <c r="C48" i="68"/>
  <c r="C56" i="64" s="1"/>
  <c r="B12" i="74" s="1"/>
  <c r="C53" i="68"/>
  <c r="C61" i="64" s="1"/>
  <c r="B17" i="74" s="1"/>
  <c r="C55" i="68"/>
  <c r="C63" i="64" s="1"/>
  <c r="B19" i="74" s="1"/>
  <c r="E52" i="66"/>
  <c r="C46" i="67"/>
  <c r="E46" i="68"/>
  <c r="E54" i="64" s="1"/>
  <c r="C49" i="68"/>
  <c r="C57" i="64" s="1"/>
  <c r="B13" i="74" s="1"/>
  <c r="E53" i="68"/>
  <c r="E61" i="64" s="1"/>
  <c r="D17" i="74" s="1"/>
  <c r="E55" i="68"/>
  <c r="E63" i="64" s="1"/>
  <c r="D19" i="74" s="1"/>
  <c r="F22" i="68"/>
  <c r="F47" i="64"/>
  <c r="L69" i="71"/>
  <c r="F71" i="71"/>
  <c r="D73" i="71"/>
  <c r="D73" i="72"/>
  <c r="D69" i="72"/>
  <c r="L71" i="72"/>
  <c r="F4" i="68"/>
  <c r="F9" i="64" s="1"/>
  <c r="N69" i="71"/>
  <c r="L71" i="71"/>
  <c r="F73" i="71"/>
  <c r="J69" i="72"/>
  <c r="B71" i="72"/>
  <c r="D72" i="72"/>
  <c r="D69" i="71"/>
  <c r="F70" i="71"/>
  <c r="N71" i="71"/>
  <c r="L73" i="71"/>
  <c r="L69" i="72"/>
  <c r="D71" i="72"/>
  <c r="J73" i="72"/>
  <c r="F46" i="68"/>
  <c r="F54" i="64" s="1"/>
  <c r="F69" i="71"/>
  <c r="D71" i="71"/>
  <c r="N73" i="71"/>
  <c r="B73" i="72"/>
  <c r="B69" i="72"/>
  <c r="J71" i="72"/>
  <c r="L73" i="72"/>
  <c r="D72" i="75"/>
  <c r="D6" i="70"/>
  <c r="H72" i="75"/>
  <c r="H6" i="70"/>
  <c r="F77" i="75"/>
  <c r="G7" i="70"/>
  <c r="J77" i="75"/>
  <c r="K7" i="70"/>
  <c r="E72" i="75"/>
  <c r="E6" i="70"/>
  <c r="I72" i="75"/>
  <c r="I6" i="70"/>
  <c r="M72" i="75"/>
  <c r="M6" i="70"/>
  <c r="C77" i="75"/>
  <c r="D7" i="70"/>
  <c r="G77" i="75"/>
  <c r="H7" i="70"/>
  <c r="K77" i="75"/>
  <c r="L7" i="70"/>
  <c r="C73" i="73"/>
  <c r="D108" i="73"/>
  <c r="D109" i="73"/>
  <c r="E113" i="73"/>
  <c r="D114" i="73"/>
  <c r="D116" i="73"/>
  <c r="D117" i="73"/>
  <c r="D118" i="73"/>
  <c r="D119" i="73"/>
  <c r="D120" i="73"/>
  <c r="D121" i="73"/>
  <c r="D122" i="73"/>
  <c r="D124" i="73"/>
  <c r="C72" i="75"/>
  <c r="C6" i="70"/>
  <c r="A77" i="75"/>
  <c r="B7" i="70"/>
  <c r="E77" i="75"/>
  <c r="F7" i="70"/>
  <c r="E73" i="73"/>
  <c r="E114" i="73"/>
  <c r="E116" i="73"/>
  <c r="E117" i="73"/>
  <c r="E118" i="73"/>
  <c r="E122" i="73"/>
  <c r="B33" i="64"/>
  <c r="E121" i="73"/>
  <c r="E109" i="73"/>
  <c r="E119" i="73"/>
  <c r="E120" i="73"/>
  <c r="D73" i="73"/>
  <c r="D110" i="73"/>
  <c r="E110" i="73"/>
  <c r="E111" i="73"/>
  <c r="D112" i="73"/>
  <c r="E112" i="73"/>
  <c r="D113" i="73"/>
  <c r="E124" i="73"/>
  <c r="C160" i="65"/>
  <c r="B178" i="74" s="1"/>
  <c r="C175" i="64"/>
  <c r="C132" i="65"/>
  <c r="B150" i="74" s="1"/>
  <c r="D118" i="74"/>
  <c r="E164" i="65"/>
  <c r="D182" i="74" s="1"/>
  <c r="F142" i="65"/>
  <c r="E160" i="74" s="1"/>
  <c r="C144" i="65"/>
  <c r="B162" i="74" s="1"/>
  <c r="F134" i="65"/>
  <c r="E152" i="74" s="1"/>
  <c r="C118" i="74"/>
  <c r="B118" i="74"/>
  <c r="C164" i="65"/>
  <c r="B182" i="74" s="1"/>
  <c r="C128" i="65"/>
  <c r="B146" i="74" s="1"/>
  <c r="C148" i="65"/>
  <c r="B166" i="74" s="1"/>
  <c r="N427" i="65"/>
  <c r="N425" i="65"/>
  <c r="L427" i="65"/>
  <c r="C425" i="65"/>
  <c r="C428" i="65"/>
  <c r="W25" i="69"/>
  <c r="W61" i="69" s="1"/>
  <c r="Y95" i="69" s="1"/>
  <c r="C429" i="65"/>
  <c r="W22" i="70"/>
  <c r="W61" i="70" s="1"/>
  <c r="Y95" i="70" s="1"/>
  <c r="L430" i="65"/>
  <c r="L426" i="65"/>
  <c r="G60" i="43"/>
  <c r="C426" i="65"/>
  <c r="L429" i="65"/>
  <c r="L425" i="65"/>
  <c r="N426" i="65"/>
  <c r="L428" i="65"/>
  <c r="G21" i="54"/>
  <c r="D107" i="50"/>
  <c r="G65" i="50"/>
  <c r="H154" i="41"/>
  <c r="G61" i="50"/>
  <c r="G64" i="43"/>
  <c r="H150" i="41"/>
  <c r="H146" i="41"/>
  <c r="J65" i="45"/>
  <c r="H158" i="41"/>
  <c r="C427" i="65"/>
  <c r="K429" i="65"/>
  <c r="H147" i="41"/>
  <c r="H151" i="41"/>
  <c r="H155" i="41"/>
  <c r="H159" i="41"/>
  <c r="N297" i="41"/>
  <c r="N299" i="41"/>
  <c r="G61" i="43"/>
  <c r="G65" i="43"/>
  <c r="H60" i="45"/>
  <c r="J63" i="45"/>
  <c r="G62" i="50"/>
  <c r="B22" i="54"/>
  <c r="K297" i="41"/>
  <c r="K426" i="65"/>
  <c r="K427" i="65"/>
  <c r="K428" i="65"/>
  <c r="K430" i="65"/>
  <c r="H148" i="41"/>
  <c r="H152" i="41"/>
  <c r="H156" i="41"/>
  <c r="H160" i="41"/>
  <c r="G62" i="43"/>
  <c r="H61" i="45"/>
  <c r="H64" i="45"/>
  <c r="D107" i="45"/>
  <c r="G63" i="50"/>
  <c r="C107" i="50"/>
  <c r="B21" i="54"/>
  <c r="D22" i="54"/>
  <c r="E116" i="34"/>
  <c r="H149" i="41"/>
  <c r="H153" i="41"/>
  <c r="H157" i="41"/>
  <c r="H161" i="41"/>
  <c r="N298" i="41"/>
  <c r="G63" i="43"/>
  <c r="C107" i="43"/>
  <c r="H62" i="45"/>
  <c r="H65" i="45"/>
  <c r="G60" i="50"/>
  <c r="G64" i="50"/>
  <c r="I125" i="50"/>
  <c r="D21" i="54"/>
  <c r="H22" i="54"/>
  <c r="F21" i="54"/>
  <c r="F22" i="54"/>
  <c r="I62" i="43"/>
  <c r="D109" i="50"/>
  <c r="J65" i="50"/>
  <c r="J64" i="50"/>
  <c r="J63" i="50"/>
  <c r="J62" i="50"/>
  <c r="J61" i="50"/>
  <c r="J60" i="50"/>
  <c r="C109" i="45"/>
  <c r="D109" i="43"/>
  <c r="J125" i="50"/>
  <c r="I125" i="45"/>
  <c r="I65" i="45"/>
  <c r="I64" i="45"/>
  <c r="I63" i="45"/>
  <c r="I62" i="45"/>
  <c r="I61" i="45"/>
  <c r="I60" i="45"/>
  <c r="J125" i="43"/>
  <c r="J65" i="43"/>
  <c r="J64" i="43"/>
  <c r="J63" i="43"/>
  <c r="J62" i="43"/>
  <c r="J61" i="43"/>
  <c r="J60" i="43"/>
  <c r="D109" i="45"/>
  <c r="I125" i="43"/>
  <c r="I65" i="43"/>
  <c r="I63" i="43"/>
  <c r="I61" i="43"/>
  <c r="I64" i="50"/>
  <c r="I62" i="50"/>
  <c r="I60" i="50"/>
  <c r="J64" i="45"/>
  <c r="J62" i="45"/>
  <c r="J60" i="45"/>
  <c r="C109" i="43"/>
  <c r="C109" i="50"/>
  <c r="J125" i="45"/>
  <c r="I64" i="43"/>
  <c r="I61" i="50"/>
  <c r="J61" i="45"/>
  <c r="I60" i="43"/>
  <c r="I63" i="50"/>
  <c r="G147" i="41"/>
  <c r="G149" i="41"/>
  <c r="G151" i="41"/>
  <c r="G153" i="41"/>
  <c r="G155" i="41"/>
  <c r="G157" i="41"/>
  <c r="G159" i="41"/>
  <c r="G161" i="41"/>
  <c r="D107" i="43"/>
  <c r="C107" i="45"/>
  <c r="H60" i="50"/>
  <c r="H61" i="50"/>
  <c r="H62" i="50"/>
  <c r="H63" i="50"/>
  <c r="H64" i="50"/>
  <c r="H65" i="50"/>
  <c r="C21" i="54"/>
  <c r="E22" i="54"/>
  <c r="G146" i="41"/>
  <c r="G148" i="41"/>
  <c r="G150" i="41"/>
  <c r="G152" i="41"/>
  <c r="G154" i="41"/>
  <c r="G156" i="41"/>
  <c r="G158" i="41"/>
  <c r="G160" i="41"/>
  <c r="H60" i="43"/>
  <c r="H61" i="43"/>
  <c r="H62" i="43"/>
  <c r="H63" i="43"/>
  <c r="H64" i="43"/>
  <c r="H65" i="43"/>
  <c r="G60" i="45"/>
  <c r="G61" i="45"/>
  <c r="G62" i="45"/>
  <c r="G63" i="45"/>
  <c r="G64" i="45"/>
  <c r="G65" i="45"/>
  <c r="P73" i="71"/>
  <c r="P71" i="71"/>
  <c r="P69" i="71"/>
  <c r="P72" i="71"/>
  <c r="P70" i="71"/>
  <c r="B22" i="73"/>
  <c r="D105" i="64"/>
  <c r="B72" i="75"/>
  <c r="F72" i="75"/>
  <c r="J72" i="75"/>
  <c r="N72" i="75"/>
  <c r="D77" i="75"/>
  <c r="H77" i="75"/>
  <c r="L77" i="75"/>
  <c r="C9" i="75"/>
  <c r="B87" i="75" s="1"/>
  <c r="C254" i="65"/>
  <c r="C51" i="75" s="1"/>
  <c r="F138" i="65"/>
  <c r="E156" i="74" s="1"/>
  <c r="C108" i="73"/>
  <c r="C109" i="73"/>
  <c r="C116" i="73"/>
  <c r="C117" i="73"/>
  <c r="C124" i="73"/>
  <c r="F22" i="67"/>
  <c r="E150" i="65"/>
  <c r="D168" i="74" s="1"/>
  <c r="D16" i="74"/>
  <c r="C231" i="74"/>
  <c r="C113" i="73"/>
  <c r="C115" i="73"/>
  <c r="C123" i="73"/>
  <c r="B29" i="73"/>
  <c r="D113" i="64"/>
  <c r="B82" i="74"/>
  <c r="C130" i="65"/>
  <c r="B148" i="74" s="1"/>
  <c r="B83" i="74"/>
  <c r="C158" i="65"/>
  <c r="B176" i="74" s="1"/>
  <c r="C124" i="65"/>
  <c r="B142" i="74" s="1"/>
  <c r="C140" i="65"/>
  <c r="B158" i="74" s="1"/>
  <c r="C156" i="65"/>
  <c r="B174" i="74" s="1"/>
  <c r="D52" i="66"/>
  <c r="D48" i="66"/>
  <c r="D53" i="66"/>
  <c r="D49" i="66"/>
  <c r="D54" i="66"/>
  <c r="D50" i="66"/>
  <c r="D46" i="66"/>
  <c r="D51" i="66"/>
  <c r="E53" i="67"/>
  <c r="E49" i="67"/>
  <c r="E54" i="67"/>
  <c r="E50" i="67"/>
  <c r="E46" i="67"/>
  <c r="E55" i="67"/>
  <c r="E51" i="67"/>
  <c r="E47" i="67"/>
  <c r="B10" i="74"/>
  <c r="C165" i="65"/>
  <c r="B183" i="74" s="1"/>
  <c r="C153" i="65"/>
  <c r="B171" i="74" s="1"/>
  <c r="C149" i="65"/>
  <c r="B167" i="74" s="1"/>
  <c r="C145" i="65"/>
  <c r="B163" i="74" s="1"/>
  <c r="C141" i="65"/>
  <c r="B159" i="74" s="1"/>
  <c r="C137" i="65"/>
  <c r="B155" i="74" s="1"/>
  <c r="C133" i="65"/>
  <c r="B151" i="74" s="1"/>
  <c r="C129" i="65"/>
  <c r="B147" i="74" s="1"/>
  <c r="C125" i="65"/>
  <c r="B143" i="74" s="1"/>
  <c r="C154" i="65"/>
  <c r="B172" i="74" s="1"/>
  <c r="C146" i="65"/>
  <c r="B164" i="74" s="1"/>
  <c r="C142" i="65"/>
  <c r="B160" i="74" s="1"/>
  <c r="C138" i="65"/>
  <c r="B156" i="74" s="1"/>
  <c r="C134" i="65"/>
  <c r="B152" i="74" s="1"/>
  <c r="C126" i="65"/>
  <c r="B144" i="74" s="1"/>
  <c r="C163" i="65"/>
  <c r="B181" i="74" s="1"/>
  <c r="C155" i="65"/>
  <c r="B173" i="74" s="1"/>
  <c r="C151" i="65"/>
  <c r="B169" i="74" s="1"/>
  <c r="C147" i="65"/>
  <c r="B165" i="74" s="1"/>
  <c r="C143" i="65"/>
  <c r="B161" i="74" s="1"/>
  <c r="C139" i="65"/>
  <c r="B157" i="74" s="1"/>
  <c r="C135" i="65"/>
  <c r="B153" i="74" s="1"/>
  <c r="C131" i="65"/>
  <c r="B149" i="74" s="1"/>
  <c r="C127" i="65"/>
  <c r="B145" i="74" s="1"/>
  <c r="B18" i="74"/>
  <c r="C161" i="65"/>
  <c r="B179" i="74" s="1"/>
  <c r="C157" i="65"/>
  <c r="B175" i="74" s="1"/>
  <c r="C162" i="65"/>
  <c r="B180" i="74" s="1"/>
  <c r="C159" i="65"/>
  <c r="B177" i="74" s="1"/>
  <c r="Y74" i="70"/>
  <c r="C121" i="73"/>
  <c r="E10" i="74"/>
  <c r="F163" i="65"/>
  <c r="E181" i="74" s="1"/>
  <c r="F147" i="65"/>
  <c r="E165" i="74" s="1"/>
  <c r="F139" i="65"/>
  <c r="E157" i="74" s="1"/>
  <c r="F135" i="65"/>
  <c r="E153" i="74" s="1"/>
  <c r="F131" i="65"/>
  <c r="E149" i="74" s="1"/>
  <c r="F156" i="65"/>
  <c r="E174" i="74" s="1"/>
  <c r="F152" i="65"/>
  <c r="E170" i="74" s="1"/>
  <c r="F148" i="65"/>
  <c r="E166" i="74" s="1"/>
  <c r="F136" i="65"/>
  <c r="E154" i="74" s="1"/>
  <c r="F132" i="65"/>
  <c r="E150" i="74" s="1"/>
  <c r="F149" i="65"/>
  <c r="E167" i="74" s="1"/>
  <c r="F145" i="65"/>
  <c r="E163" i="74" s="1"/>
  <c r="F137" i="65"/>
  <c r="E155" i="74" s="1"/>
  <c r="F133" i="65"/>
  <c r="E151" i="74" s="1"/>
  <c r="B28" i="73"/>
  <c r="D112" i="64"/>
  <c r="C136" i="65"/>
  <c r="B154" i="74" s="1"/>
  <c r="F146" i="65"/>
  <c r="E164" i="74" s="1"/>
  <c r="C152" i="65"/>
  <c r="B170" i="74" s="1"/>
  <c r="C112" i="73"/>
  <c r="C114" i="73"/>
  <c r="C120" i="73"/>
  <c r="C122" i="73"/>
  <c r="B16" i="74"/>
  <c r="C150" i="65"/>
  <c r="B168" i="74" s="1"/>
  <c r="B23" i="73"/>
  <c r="C72" i="73"/>
  <c r="C70" i="73"/>
  <c r="C68" i="73"/>
  <c r="E165" i="65"/>
  <c r="D183" i="74" s="1"/>
  <c r="E163" i="65"/>
  <c r="D181" i="74" s="1"/>
  <c r="E156" i="65"/>
  <c r="D174" i="74" s="1"/>
  <c r="E155" i="65"/>
  <c r="D173" i="74" s="1"/>
  <c r="E154" i="65"/>
  <c r="D172" i="74" s="1"/>
  <c r="E153" i="65"/>
  <c r="D171" i="74" s="1"/>
  <c r="E152" i="65"/>
  <c r="D170" i="74" s="1"/>
  <c r="E151" i="65"/>
  <c r="D169" i="74" s="1"/>
  <c r="E149" i="65"/>
  <c r="D167" i="74" s="1"/>
  <c r="E148" i="65"/>
  <c r="D166" i="74" s="1"/>
  <c r="E147" i="65"/>
  <c r="D165" i="74" s="1"/>
  <c r="E146" i="65"/>
  <c r="D164" i="74" s="1"/>
  <c r="E145" i="65"/>
  <c r="D163" i="74" s="1"/>
  <c r="E144" i="65"/>
  <c r="D162" i="74" s="1"/>
  <c r="E143" i="65"/>
  <c r="D161" i="74" s="1"/>
  <c r="E142" i="65"/>
  <c r="D160" i="74" s="1"/>
  <c r="E139" i="65"/>
  <c r="D157" i="74" s="1"/>
  <c r="E138" i="65"/>
  <c r="D156" i="74" s="1"/>
  <c r="E137" i="65"/>
  <c r="D155" i="74" s="1"/>
  <c r="E136" i="65"/>
  <c r="D154" i="74" s="1"/>
  <c r="E135" i="65"/>
  <c r="D153" i="74" s="1"/>
  <c r="E134" i="65"/>
  <c r="D152" i="74" s="1"/>
  <c r="E133" i="65"/>
  <c r="D151" i="74" s="1"/>
  <c r="E132" i="65"/>
  <c r="D150" i="74" s="1"/>
  <c r="E131" i="65"/>
  <c r="D149" i="74" s="1"/>
  <c r="E125" i="65"/>
  <c r="D143" i="74" s="1"/>
  <c r="D10" i="74"/>
  <c r="D11" i="74"/>
  <c r="E162" i="65"/>
  <c r="D180" i="74" s="1"/>
  <c r="E161" i="65"/>
  <c r="D179" i="74" s="1"/>
  <c r="E160" i="65"/>
  <c r="D178" i="74" s="1"/>
  <c r="E159" i="65"/>
  <c r="D177" i="74" s="1"/>
  <c r="E157" i="65"/>
  <c r="D175" i="74" s="1"/>
  <c r="D18" i="74"/>
  <c r="G72" i="75"/>
  <c r="K72" i="75"/>
  <c r="I77" i="75"/>
  <c r="M77" i="75"/>
  <c r="D115" i="73"/>
  <c r="D123" i="73"/>
  <c r="E47" i="66"/>
  <c r="E51" i="66"/>
  <c r="E55" i="66"/>
  <c r="F4" i="67"/>
  <c r="F53" i="68"/>
  <c r="F61" i="64" s="1"/>
  <c r="E17" i="74" s="1"/>
  <c r="F49" i="68"/>
  <c r="F57" i="64" s="1"/>
  <c r="E13" i="74" s="1"/>
  <c r="F50" i="68"/>
  <c r="F58" i="64" s="1"/>
  <c r="E14" i="74" s="1"/>
  <c r="H73" i="71"/>
  <c r="H71" i="71"/>
  <c r="H69" i="71"/>
  <c r="D231" i="74"/>
  <c r="D72" i="73"/>
  <c r="D70" i="73"/>
  <c r="D68" i="73"/>
  <c r="D111" i="64"/>
  <c r="L72" i="75"/>
  <c r="B77" i="75"/>
  <c r="C177" i="64"/>
  <c r="C176" i="64"/>
  <c r="E115" i="73"/>
  <c r="E123" i="73"/>
  <c r="E46" i="66"/>
  <c r="E50" i="66"/>
  <c r="E54" i="66"/>
  <c r="F47" i="68"/>
  <c r="F55" i="64" s="1"/>
  <c r="F52" i="68"/>
  <c r="F60" i="64" s="1"/>
  <c r="F144" i="65" s="1"/>
  <c r="E162" i="74" s="1"/>
  <c r="F55" i="68"/>
  <c r="F63" i="64" s="1"/>
  <c r="E19" i="74" s="1"/>
  <c r="H72" i="71"/>
  <c r="C119" i="73"/>
  <c r="D71" i="73"/>
  <c r="E72" i="73"/>
  <c r="E71" i="73"/>
  <c r="E70" i="73"/>
  <c r="E69" i="73"/>
  <c r="E68" i="73"/>
  <c r="B231" i="74"/>
  <c r="B187" i="64"/>
  <c r="P60" i="72" s="1"/>
  <c r="B73" i="73"/>
  <c r="C110" i="73"/>
  <c r="C118" i="73"/>
  <c r="C55" i="66"/>
  <c r="C54" i="66"/>
  <c r="C53" i="66"/>
  <c r="C52" i="66"/>
  <c r="C51" i="66"/>
  <c r="C50" i="66"/>
  <c r="C49" i="66"/>
  <c r="C48" i="66"/>
  <c r="C47" i="66"/>
  <c r="C46" i="66"/>
  <c r="F22" i="66"/>
  <c r="F52" i="66" s="1"/>
  <c r="E49" i="66"/>
  <c r="D55" i="67"/>
  <c r="D54" i="67"/>
  <c r="D53" i="67"/>
  <c r="D52" i="67"/>
  <c r="D51" i="67"/>
  <c r="D50" i="67"/>
  <c r="D49" i="67"/>
  <c r="D48" i="67"/>
  <c r="D47" i="67"/>
  <c r="D46" i="67"/>
  <c r="D55" i="68"/>
  <c r="D63" i="64" s="1"/>
  <c r="C19" i="74" s="1"/>
  <c r="D54" i="68"/>
  <c r="D62" i="64" s="1"/>
  <c r="D53" i="68"/>
  <c r="D61" i="64" s="1"/>
  <c r="C17" i="74" s="1"/>
  <c r="D52" i="68"/>
  <c r="D60" i="64" s="1"/>
  <c r="D51" i="68"/>
  <c r="D59" i="64" s="1"/>
  <c r="C15" i="74" s="1"/>
  <c r="D50" i="68"/>
  <c r="D58" i="64" s="1"/>
  <c r="C14" i="74" s="1"/>
  <c r="D49" i="68"/>
  <c r="D57" i="64" s="1"/>
  <c r="C13" i="74" s="1"/>
  <c r="D48" i="68"/>
  <c r="D56" i="64" s="1"/>
  <c r="C12" i="74" s="1"/>
  <c r="D47" i="68"/>
  <c r="D55" i="64" s="1"/>
  <c r="D46" i="68"/>
  <c r="D54" i="64" s="1"/>
  <c r="F54" i="68"/>
  <c r="F62" i="64" s="1"/>
  <c r="F154" i="65" s="1"/>
  <c r="E172" i="74" s="1"/>
  <c r="Y73" i="69"/>
  <c r="H70" i="71"/>
  <c r="F73" i="72"/>
  <c r="F71" i="72"/>
  <c r="F69" i="72"/>
  <c r="F72" i="72"/>
  <c r="F70" i="72"/>
  <c r="N73" i="72"/>
  <c r="N71" i="72"/>
  <c r="N69" i="72"/>
  <c r="N72" i="72"/>
  <c r="C69" i="73"/>
  <c r="C71" i="73"/>
  <c r="C111" i="73"/>
  <c r="B68" i="73"/>
  <c r="B69" i="73"/>
  <c r="B70" i="73"/>
  <c r="B71" i="73"/>
  <c r="B72" i="73"/>
  <c r="L70" i="71"/>
  <c r="J70" i="72"/>
  <c r="E48" i="68"/>
  <c r="E56" i="64" s="1"/>
  <c r="D12" i="74" s="1"/>
  <c r="D70" i="71"/>
  <c r="N70" i="71"/>
  <c r="B70" i="72"/>
  <c r="L70" i="72"/>
  <c r="B69" i="71"/>
  <c r="J69" i="71"/>
  <c r="B70" i="71"/>
  <c r="J70" i="71"/>
  <c r="B71" i="71"/>
  <c r="J71" i="71"/>
  <c r="B72" i="71"/>
  <c r="J72" i="71"/>
  <c r="H69" i="72"/>
  <c r="H70" i="72"/>
  <c r="H71" i="72"/>
  <c r="H72" i="72"/>
  <c r="F46" i="66" l="1"/>
  <c r="F48" i="68"/>
  <c r="F56" i="64" s="1"/>
  <c r="E12" i="74" s="1"/>
  <c r="F27" i="64"/>
  <c r="D6" i="74" s="1"/>
  <c r="E231" i="74" s="1"/>
  <c r="F51" i="68"/>
  <c r="F59" i="64" s="1"/>
  <c r="E15" i="74" s="1"/>
  <c r="C252" i="65"/>
  <c r="C49" i="75" s="1"/>
  <c r="E141" i="65"/>
  <c r="D159" i="74" s="1"/>
  <c r="W59" i="70"/>
  <c r="Y93" i="70" s="1"/>
  <c r="W57" i="70"/>
  <c r="Y91" i="70" s="1"/>
  <c r="C247" i="65"/>
  <c r="C44" i="75" s="1"/>
  <c r="D164" i="65"/>
  <c r="C182" i="74" s="1"/>
  <c r="F143" i="65"/>
  <c r="E161" i="74" s="1"/>
  <c r="E128" i="65"/>
  <c r="D146" i="74" s="1"/>
  <c r="F164" i="65"/>
  <c r="E182" i="74" s="1"/>
  <c r="N430" i="65"/>
  <c r="N431" i="65" s="1"/>
  <c r="W60" i="70"/>
  <c r="Y94" i="70" s="1"/>
  <c r="W58" i="69"/>
  <c r="Y92" i="69" s="1"/>
  <c r="W64" i="69"/>
  <c r="Y98" i="69" s="1"/>
  <c r="W62" i="69"/>
  <c r="Y96" i="69" s="1"/>
  <c r="W54" i="70"/>
  <c r="Y88" i="70" s="1"/>
  <c r="W55" i="70"/>
  <c r="Y89" i="70" s="1"/>
  <c r="W56" i="70"/>
  <c r="Y90" i="70" s="1"/>
  <c r="W58" i="70"/>
  <c r="Y92" i="70" s="1"/>
  <c r="W59" i="69"/>
  <c r="Y93" i="69" s="1"/>
  <c r="W60" i="69"/>
  <c r="Y94" i="69" s="1"/>
  <c r="W57" i="69"/>
  <c r="Y91" i="69" s="1"/>
  <c r="W63" i="69"/>
  <c r="Y97" i="69" s="1"/>
  <c r="C430" i="65"/>
  <c r="C431" i="65" s="1"/>
  <c r="F54" i="67"/>
  <c r="F50" i="67"/>
  <c r="F55" i="67"/>
  <c r="F51" i="67"/>
  <c r="F47" i="67"/>
  <c r="F48" i="67"/>
  <c r="F49" i="67"/>
  <c r="F53" i="67"/>
  <c r="C10" i="74"/>
  <c r="D154" i="65"/>
  <c r="C172" i="74" s="1"/>
  <c r="C263" i="74" s="1"/>
  <c r="C204" i="71" s="1"/>
  <c r="D146" i="65"/>
  <c r="C164" i="74" s="1"/>
  <c r="C255" i="74" s="1"/>
  <c r="C196" i="71" s="1"/>
  <c r="D142" i="65"/>
  <c r="C160" i="74" s="1"/>
  <c r="D138" i="65"/>
  <c r="C156" i="74" s="1"/>
  <c r="D134" i="65"/>
  <c r="C152" i="74" s="1"/>
  <c r="C243" i="74" s="1"/>
  <c r="C184" i="71" s="1"/>
  <c r="D126" i="65"/>
  <c r="C144" i="74" s="1"/>
  <c r="C235" i="74" s="1"/>
  <c r="C176" i="71" s="1"/>
  <c r="D163" i="65"/>
  <c r="C181" i="74" s="1"/>
  <c r="D155" i="65"/>
  <c r="C173" i="74" s="1"/>
  <c r="D151" i="65"/>
  <c r="C169" i="74" s="1"/>
  <c r="C260" i="74" s="1"/>
  <c r="C201" i="71" s="1"/>
  <c r="D147" i="65"/>
  <c r="C165" i="74" s="1"/>
  <c r="C256" i="74" s="1"/>
  <c r="C197" i="71" s="1"/>
  <c r="D143" i="65"/>
  <c r="C161" i="74" s="1"/>
  <c r="D139" i="65"/>
  <c r="C157" i="74" s="1"/>
  <c r="D135" i="65"/>
  <c r="C153" i="74" s="1"/>
  <c r="C244" i="74" s="1"/>
  <c r="C185" i="71" s="1"/>
  <c r="D131" i="65"/>
  <c r="C149" i="74" s="1"/>
  <c r="C240" i="74" s="1"/>
  <c r="C181" i="71" s="1"/>
  <c r="D127" i="65"/>
  <c r="C145" i="74" s="1"/>
  <c r="D156" i="65"/>
  <c r="C174" i="74" s="1"/>
  <c r="D152" i="65"/>
  <c r="C170" i="74" s="1"/>
  <c r="C261" i="74" s="1"/>
  <c r="C202" i="71" s="1"/>
  <c r="D148" i="65"/>
  <c r="C166" i="74" s="1"/>
  <c r="C257" i="74" s="1"/>
  <c r="C198" i="71" s="1"/>
  <c r="D144" i="65"/>
  <c r="C162" i="74" s="1"/>
  <c r="D140" i="65"/>
  <c r="C158" i="74" s="1"/>
  <c r="D136" i="65"/>
  <c r="C154" i="74" s="1"/>
  <c r="D132" i="65"/>
  <c r="C150" i="74" s="1"/>
  <c r="C241" i="74" s="1"/>
  <c r="C182" i="71" s="1"/>
  <c r="D128" i="65"/>
  <c r="C146" i="74" s="1"/>
  <c r="D141" i="65"/>
  <c r="C159" i="74" s="1"/>
  <c r="D125" i="65"/>
  <c r="C143" i="74" s="1"/>
  <c r="D137" i="65"/>
  <c r="C155" i="74" s="1"/>
  <c r="C246" i="74" s="1"/>
  <c r="C187" i="71" s="1"/>
  <c r="D145" i="65"/>
  <c r="C163" i="74" s="1"/>
  <c r="D129" i="65"/>
  <c r="C147" i="74" s="1"/>
  <c r="D153" i="65"/>
  <c r="C171" i="74" s="1"/>
  <c r="C262" i="74" s="1"/>
  <c r="C203" i="71" s="1"/>
  <c r="D165" i="65"/>
  <c r="C183" i="74" s="1"/>
  <c r="C274" i="74" s="1"/>
  <c r="C213" i="71" s="1"/>
  <c r="D149" i="65"/>
  <c r="C167" i="74" s="1"/>
  <c r="D133" i="65"/>
  <c r="C151" i="74" s="1"/>
  <c r="C18" i="74"/>
  <c r="D162" i="65"/>
  <c r="C180" i="74" s="1"/>
  <c r="C271" i="74" s="1"/>
  <c r="C212" i="71" s="1"/>
  <c r="D159" i="65"/>
  <c r="C177" i="74" s="1"/>
  <c r="D160" i="65"/>
  <c r="C178" i="74" s="1"/>
  <c r="D124" i="65"/>
  <c r="C142" i="74" s="1"/>
  <c r="D157" i="65"/>
  <c r="C175" i="74" s="1"/>
  <c r="C266" i="74" s="1"/>
  <c r="D161" i="65"/>
  <c r="C179" i="74" s="1"/>
  <c r="P73" i="72"/>
  <c r="P72" i="72"/>
  <c r="P71" i="72"/>
  <c r="P70" i="72"/>
  <c r="P69" i="72"/>
  <c r="E16" i="74"/>
  <c r="F150" i="65"/>
  <c r="E168" i="74" s="1"/>
  <c r="E259" i="74" s="1"/>
  <c r="E200" i="71" s="1"/>
  <c r="E130" i="65"/>
  <c r="D148" i="74" s="1"/>
  <c r="D239" i="74" s="1"/>
  <c r="D180" i="71" s="1"/>
  <c r="E129" i="65"/>
  <c r="D147" i="74" s="1"/>
  <c r="E172" i="71"/>
  <c r="E273" i="74"/>
  <c r="E272" i="74"/>
  <c r="E207" i="71" s="1"/>
  <c r="E265" i="74"/>
  <c r="E206" i="71" s="1"/>
  <c r="E263" i="74"/>
  <c r="E204" i="71" s="1"/>
  <c r="E261" i="74"/>
  <c r="E202" i="71" s="1"/>
  <c r="E258" i="74"/>
  <c r="E199" i="71" s="1"/>
  <c r="E257" i="74"/>
  <c r="E198" i="71" s="1"/>
  <c r="E256" i="74"/>
  <c r="E197" i="71" s="1"/>
  <c r="E255" i="74"/>
  <c r="E196" i="71" s="1"/>
  <c r="E254" i="74"/>
  <c r="E195" i="71" s="1"/>
  <c r="E253" i="74"/>
  <c r="E194" i="71" s="1"/>
  <c r="E252" i="74"/>
  <c r="E193" i="71" s="1"/>
  <c r="E251" i="74"/>
  <c r="E192" i="71" s="1"/>
  <c r="E248" i="74"/>
  <c r="E189" i="71" s="1"/>
  <c r="E247" i="74"/>
  <c r="E188" i="71" s="1"/>
  <c r="E246" i="74"/>
  <c r="E187" i="71" s="1"/>
  <c r="E245" i="74"/>
  <c r="E186" i="71" s="1"/>
  <c r="E244" i="74"/>
  <c r="E185" i="71" s="1"/>
  <c r="E243" i="74"/>
  <c r="E184" i="71" s="1"/>
  <c r="E242" i="74"/>
  <c r="E183" i="71" s="1"/>
  <c r="E241" i="74"/>
  <c r="E182" i="71" s="1"/>
  <c r="E240" i="74"/>
  <c r="E181" i="71" s="1"/>
  <c r="F52" i="67"/>
  <c r="B274" i="74"/>
  <c r="B213" i="71" s="1"/>
  <c r="B273" i="74"/>
  <c r="B272" i="74"/>
  <c r="B207" i="71" s="1"/>
  <c r="B271" i="74"/>
  <c r="B212" i="71" s="1"/>
  <c r="B270" i="74"/>
  <c r="B211" i="71" s="1"/>
  <c r="B269" i="74"/>
  <c r="B210" i="71" s="1"/>
  <c r="B268" i="74"/>
  <c r="B209" i="71" s="1"/>
  <c r="B267" i="74"/>
  <c r="B208" i="71" s="1"/>
  <c r="B266" i="74"/>
  <c r="B265" i="74"/>
  <c r="B206" i="71" s="1"/>
  <c r="B264" i="74"/>
  <c r="B205" i="71" s="1"/>
  <c r="B263" i="74"/>
  <c r="B204" i="71" s="1"/>
  <c r="B262" i="74"/>
  <c r="B203" i="71" s="1"/>
  <c r="B261" i="74"/>
  <c r="B202" i="71" s="1"/>
  <c r="B260" i="74"/>
  <c r="B201" i="71" s="1"/>
  <c r="B259" i="74"/>
  <c r="B200" i="71" s="1"/>
  <c r="B258" i="74"/>
  <c r="B199" i="71" s="1"/>
  <c r="B257" i="74"/>
  <c r="B198" i="71" s="1"/>
  <c r="B256" i="74"/>
  <c r="B197" i="71" s="1"/>
  <c r="B255" i="74"/>
  <c r="B196" i="71" s="1"/>
  <c r="B254" i="74"/>
  <c r="B195" i="71" s="1"/>
  <c r="B253" i="74"/>
  <c r="B194" i="71" s="1"/>
  <c r="B252" i="74"/>
  <c r="B193" i="71" s="1"/>
  <c r="B251" i="74"/>
  <c r="B192" i="71" s="1"/>
  <c r="B250" i="74"/>
  <c r="B191" i="71" s="1"/>
  <c r="B249" i="74"/>
  <c r="B190" i="71" s="1"/>
  <c r="B248" i="74"/>
  <c r="B189" i="71" s="1"/>
  <c r="B247" i="74"/>
  <c r="B188" i="71" s="1"/>
  <c r="B246" i="74"/>
  <c r="B187" i="71" s="1"/>
  <c r="B245" i="74"/>
  <c r="B186" i="71" s="1"/>
  <c r="B244" i="74"/>
  <c r="B185" i="71" s="1"/>
  <c r="B243" i="74"/>
  <c r="B184" i="71" s="1"/>
  <c r="B242" i="74"/>
  <c r="B183" i="71" s="1"/>
  <c r="B241" i="74"/>
  <c r="B182" i="71" s="1"/>
  <c r="B240" i="74"/>
  <c r="B239" i="74"/>
  <c r="B180" i="71" s="1"/>
  <c r="B238" i="74"/>
  <c r="B179" i="71" s="1"/>
  <c r="B237" i="74"/>
  <c r="B178" i="71" s="1"/>
  <c r="B236" i="74"/>
  <c r="B177" i="71" s="1"/>
  <c r="B235" i="74"/>
  <c r="B176" i="71" s="1"/>
  <c r="B234" i="74"/>
  <c r="B175" i="71" s="1"/>
  <c r="B172" i="71"/>
  <c r="F153" i="65"/>
  <c r="E171" i="74" s="1"/>
  <c r="E262" i="74" s="1"/>
  <c r="E203" i="71" s="1"/>
  <c r="F151" i="65"/>
  <c r="E169" i="74" s="1"/>
  <c r="E260" i="74" s="1"/>
  <c r="E201" i="71" s="1"/>
  <c r="F46" i="67"/>
  <c r="C272" i="74"/>
  <c r="C207" i="71" s="1"/>
  <c r="C270" i="74"/>
  <c r="C211" i="71" s="1"/>
  <c r="C268" i="74"/>
  <c r="C209" i="71" s="1"/>
  <c r="C264" i="74"/>
  <c r="C205" i="71" s="1"/>
  <c r="C258" i="74"/>
  <c r="C199" i="71" s="1"/>
  <c r="C254" i="74"/>
  <c r="C195" i="71" s="1"/>
  <c r="C252" i="74"/>
  <c r="C193" i="71" s="1"/>
  <c r="C250" i="74"/>
  <c r="C191" i="71" s="1"/>
  <c r="C248" i="74"/>
  <c r="C189" i="71" s="1"/>
  <c r="C242" i="74"/>
  <c r="C183" i="71" s="1"/>
  <c r="C238" i="74"/>
  <c r="C179" i="71" s="1"/>
  <c r="C236" i="74"/>
  <c r="C177" i="71" s="1"/>
  <c r="C234" i="74"/>
  <c r="C175" i="71" s="1"/>
  <c r="C172" i="71"/>
  <c r="C273" i="74"/>
  <c r="C269" i="74"/>
  <c r="C210" i="71" s="1"/>
  <c r="C265" i="74"/>
  <c r="C206" i="71" s="1"/>
  <c r="C253" i="74"/>
  <c r="C194" i="71" s="1"/>
  <c r="C251" i="74"/>
  <c r="C192" i="71" s="1"/>
  <c r="C249" i="74"/>
  <c r="C190" i="71" s="1"/>
  <c r="C247" i="74"/>
  <c r="C188" i="71" s="1"/>
  <c r="C245" i="74"/>
  <c r="C186" i="71" s="1"/>
  <c r="C237" i="74"/>
  <c r="C178" i="71" s="1"/>
  <c r="E18" i="74"/>
  <c r="F159" i="65"/>
  <c r="E177" i="74" s="1"/>
  <c r="E268" i="74" s="1"/>
  <c r="E209" i="71" s="1"/>
  <c r="F160" i="65"/>
  <c r="E178" i="74" s="1"/>
  <c r="E269" i="74" s="1"/>
  <c r="E210" i="71" s="1"/>
  <c r="F124" i="65"/>
  <c r="E142" i="74" s="1"/>
  <c r="F161" i="65"/>
  <c r="E179" i="74" s="1"/>
  <c r="E270" i="74" s="1"/>
  <c r="E211" i="71" s="1"/>
  <c r="F157" i="65"/>
  <c r="E175" i="74" s="1"/>
  <c r="E266" i="74" s="1"/>
  <c r="F162" i="65"/>
  <c r="E180" i="74" s="1"/>
  <c r="E271" i="74" s="1"/>
  <c r="E212" i="71" s="1"/>
  <c r="D172" i="71"/>
  <c r="D273" i="74"/>
  <c r="D271" i="74"/>
  <c r="D212" i="71" s="1"/>
  <c r="D269" i="74"/>
  <c r="D210" i="71" s="1"/>
  <c r="D265" i="74"/>
  <c r="D206" i="71" s="1"/>
  <c r="D263" i="74"/>
  <c r="D204" i="71" s="1"/>
  <c r="D261" i="74"/>
  <c r="D202" i="71" s="1"/>
  <c r="D259" i="74"/>
  <c r="D200" i="71" s="1"/>
  <c r="D257" i="74"/>
  <c r="D198" i="71" s="1"/>
  <c r="D255" i="74"/>
  <c r="D196" i="71" s="1"/>
  <c r="D253" i="74"/>
  <c r="D194" i="71" s="1"/>
  <c r="D251" i="74"/>
  <c r="D192" i="71" s="1"/>
  <c r="D247" i="74"/>
  <c r="D188" i="71" s="1"/>
  <c r="D245" i="74"/>
  <c r="D186" i="71" s="1"/>
  <c r="D243" i="74"/>
  <c r="D184" i="71" s="1"/>
  <c r="D241" i="74"/>
  <c r="D182" i="71" s="1"/>
  <c r="D237" i="74"/>
  <c r="D178" i="71" s="1"/>
  <c r="D268" i="74"/>
  <c r="D209" i="71" s="1"/>
  <c r="D260" i="74"/>
  <c r="D201" i="71" s="1"/>
  <c r="D252" i="74"/>
  <c r="D193" i="71" s="1"/>
  <c r="D244" i="74"/>
  <c r="D185" i="71" s="1"/>
  <c r="D274" i="74"/>
  <c r="D213" i="71" s="1"/>
  <c r="D266" i="74"/>
  <c r="D258" i="74"/>
  <c r="D199" i="71" s="1"/>
  <c r="D250" i="74"/>
  <c r="D191" i="71" s="1"/>
  <c r="D242" i="74"/>
  <c r="D183" i="71" s="1"/>
  <c r="D234" i="74"/>
  <c r="D175" i="71" s="1"/>
  <c r="D272" i="74"/>
  <c r="D207" i="71" s="1"/>
  <c r="D264" i="74"/>
  <c r="D205" i="71" s="1"/>
  <c r="D256" i="74"/>
  <c r="D197" i="71" s="1"/>
  <c r="D248" i="74"/>
  <c r="D189" i="71" s="1"/>
  <c r="D240" i="74"/>
  <c r="D181" i="71" s="1"/>
  <c r="D262" i="74"/>
  <c r="D203" i="71" s="1"/>
  <c r="D270" i="74"/>
  <c r="D211" i="71" s="1"/>
  <c r="D254" i="74"/>
  <c r="D195" i="71" s="1"/>
  <c r="D238" i="74"/>
  <c r="D179" i="71" s="1"/>
  <c r="D246" i="74"/>
  <c r="D187" i="71" s="1"/>
  <c r="F129" i="65"/>
  <c r="E147" i="74" s="1"/>
  <c r="E238" i="74" s="1"/>
  <c r="E179" i="71" s="1"/>
  <c r="F128" i="65"/>
  <c r="E146" i="74" s="1"/>
  <c r="E237" i="74" s="1"/>
  <c r="E178" i="71" s="1"/>
  <c r="F127" i="65"/>
  <c r="E145" i="74" s="1"/>
  <c r="E236" i="74" s="1"/>
  <c r="E177" i="71" s="1"/>
  <c r="C11" i="74"/>
  <c r="D158" i="65"/>
  <c r="C176" i="74" s="1"/>
  <c r="C267" i="74" s="1"/>
  <c r="C208" i="71" s="1"/>
  <c r="D130" i="65"/>
  <c r="C148" i="74" s="1"/>
  <c r="C239" i="74" s="1"/>
  <c r="C180" i="71" s="1"/>
  <c r="E11" i="74"/>
  <c r="F130" i="65"/>
  <c r="E148" i="74" s="1"/>
  <c r="E239" i="74" s="1"/>
  <c r="E180" i="71" s="1"/>
  <c r="F158" i="65"/>
  <c r="E176" i="74" s="1"/>
  <c r="E267" i="74" s="1"/>
  <c r="E208" i="71" s="1"/>
  <c r="F126" i="65"/>
  <c r="E144" i="74" s="1"/>
  <c r="E235" i="74" s="1"/>
  <c r="E176" i="71" s="1"/>
  <c r="B88" i="75"/>
  <c r="C10" i="75"/>
  <c r="C257" i="65"/>
  <c r="C54" i="75" s="1"/>
  <c r="C253" i="65"/>
  <c r="C50" i="75" s="1"/>
  <c r="C249" i="65"/>
  <c r="C46" i="75" s="1"/>
  <c r="C259" i="65"/>
  <c r="C56" i="75" s="1"/>
  <c r="C248" i="65"/>
  <c r="C45" i="75" s="1"/>
  <c r="C258" i="65"/>
  <c r="C55" i="75" s="1"/>
  <c r="C251" i="65"/>
  <c r="C48" i="75" s="1"/>
  <c r="B90" i="75"/>
  <c r="G90" i="75" s="1"/>
  <c r="B184" i="72" s="1"/>
  <c r="E158" i="65"/>
  <c r="D176" i="74" s="1"/>
  <c r="D267" i="74" s="1"/>
  <c r="D208" i="71" s="1"/>
  <c r="E126" i="65"/>
  <c r="D144" i="74" s="1"/>
  <c r="D235" i="74" s="1"/>
  <c r="D176" i="71" s="1"/>
  <c r="B86" i="75"/>
  <c r="C16" i="74"/>
  <c r="D150" i="65"/>
  <c r="C168" i="74" s="1"/>
  <c r="C259" i="74" s="1"/>
  <c r="C200" i="71" s="1"/>
  <c r="F54" i="66"/>
  <c r="F50" i="66"/>
  <c r="F4" i="66"/>
  <c r="F55" i="66"/>
  <c r="F51" i="66"/>
  <c r="F47" i="66"/>
  <c r="F48" i="66"/>
  <c r="F53" i="66"/>
  <c r="F49" i="66"/>
  <c r="B83" i="75"/>
  <c r="C11" i="75"/>
  <c r="C255" i="65"/>
  <c r="C52" i="75" s="1"/>
  <c r="C256" i="65"/>
  <c r="C53" i="75" s="1"/>
  <c r="E124" i="65"/>
  <c r="D142" i="74" s="1"/>
  <c r="E127" i="65"/>
  <c r="D145" i="74" s="1"/>
  <c r="D236" i="74" s="1"/>
  <c r="D177" i="71" s="1"/>
  <c r="E140" i="65"/>
  <c r="D158" i="74" s="1"/>
  <c r="D249" i="74" s="1"/>
  <c r="D190" i="71" s="1"/>
  <c r="F125" i="65"/>
  <c r="E143" i="74" s="1"/>
  <c r="E234" i="74" s="1"/>
  <c r="E175" i="71" s="1"/>
  <c r="F141" i="65"/>
  <c r="E159" i="74" s="1"/>
  <c r="E250" i="74" s="1"/>
  <c r="E191" i="71" s="1"/>
  <c r="F165" i="65"/>
  <c r="E183" i="74" s="1"/>
  <c r="E274" i="74" s="1"/>
  <c r="E213" i="71" s="1"/>
  <c r="F140" i="65"/>
  <c r="E158" i="74" s="1"/>
  <c r="E249" i="74" s="1"/>
  <c r="E190" i="71" s="1"/>
  <c r="F155" i="65"/>
  <c r="E173" i="74" s="1"/>
  <c r="E264" i="74" s="1"/>
  <c r="E205" i="71" s="1"/>
  <c r="C250" i="65"/>
  <c r="C47" i="75" s="1"/>
  <c r="D92" i="75" l="1" a="1"/>
  <c r="D92" i="75" s="1"/>
  <c r="G92" i="75" s="1"/>
  <c r="B183" i="72" s="1"/>
  <c r="D89" i="75" a="1"/>
  <c r="D89" i="75" s="1"/>
  <c r="D91" i="75"/>
  <c r="G91" i="75" s="1"/>
  <c r="B178" i="72" s="1"/>
  <c r="D88" i="75" a="1"/>
  <c r="D88" i="75" s="1"/>
  <c r="D83" i="75" a="1"/>
  <c r="D83" i="75" s="1"/>
  <c r="D84" i="75" a="1"/>
  <c r="D84" i="75" s="1"/>
  <c r="D87" i="75" a="1"/>
  <c r="D87" i="75" s="1"/>
  <c r="C95" i="75"/>
  <c r="G95" i="75" s="1"/>
  <c r="B185" i="72" s="1"/>
  <c r="C93" i="75"/>
  <c r="G93" i="75" s="1"/>
  <c r="B186" i="72" s="1"/>
  <c r="C89" i="75"/>
  <c r="G89" i="75" s="1"/>
  <c r="B182" i="72" s="1"/>
  <c r="C86" i="75"/>
  <c r="G86" i="75" s="1"/>
  <c r="B176" i="72" s="1"/>
  <c r="C88" i="75"/>
  <c r="C84" i="75"/>
  <c r="C94" i="75"/>
  <c r="G94" i="75" s="1"/>
  <c r="B179" i="72" s="1"/>
  <c r="C85" i="75"/>
  <c r="G85" i="75" s="1"/>
  <c r="B175" i="72" s="1"/>
  <c r="C83" i="75"/>
  <c r="C87" i="75"/>
  <c r="B180" i="72"/>
  <c r="B181" i="71"/>
  <c r="G88" i="75" l="1"/>
  <c r="B181" i="72" s="1"/>
  <c r="G83" i="75"/>
  <c r="B173" i="72" s="1"/>
  <c r="G87" i="75"/>
  <c r="B177" i="72" s="1"/>
  <c r="G84" i="75"/>
  <c r="B174" i="72" s="1"/>
  <c r="H41" i="31" l="1"/>
  <c r="H40" i="31"/>
  <c r="H39" i="31"/>
  <c r="H38" i="31"/>
  <c r="H37" i="31"/>
  <c r="C17" i="31"/>
  <c r="C13" i="31"/>
  <c r="Z72" i="62"/>
  <c r="W72" i="62"/>
  <c r="T72" i="62"/>
  <c r="Z71" i="62"/>
  <c r="W71" i="62"/>
  <c r="T71" i="62"/>
  <c r="Z70" i="62"/>
  <c r="W70" i="62"/>
  <c r="T70" i="62"/>
  <c r="Z69" i="62"/>
  <c r="W69" i="62"/>
  <c r="T69" i="62"/>
  <c r="Z68" i="62"/>
  <c r="W68" i="62"/>
  <c r="T68" i="62"/>
  <c r="Z67" i="62"/>
  <c r="W67" i="62"/>
  <c r="T67" i="62"/>
  <c r="Z65" i="62"/>
  <c r="Z73" i="62" s="1"/>
  <c r="W65" i="62"/>
  <c r="W73" i="62" s="1"/>
  <c r="T65" i="62"/>
  <c r="T73" i="62" s="1"/>
  <c r="U99" i="63" l="1"/>
  <c r="S99" i="63"/>
  <c r="Q99" i="63"/>
  <c r="O99" i="63"/>
  <c r="U98" i="63"/>
  <c r="S98" i="63"/>
  <c r="Q98" i="63"/>
  <c r="O98" i="63"/>
  <c r="U97" i="63"/>
  <c r="S97" i="63"/>
  <c r="Q97" i="63"/>
  <c r="O97" i="63"/>
  <c r="U96" i="63"/>
  <c r="S96" i="63"/>
  <c r="Q96" i="63"/>
  <c r="O96" i="63"/>
  <c r="U95" i="63"/>
  <c r="S95" i="63"/>
  <c r="Q95" i="63"/>
  <c r="O95" i="63"/>
  <c r="U94" i="63"/>
  <c r="S94" i="63"/>
  <c r="Q94" i="63"/>
  <c r="O94" i="63"/>
  <c r="U93" i="63"/>
  <c r="S93" i="63"/>
  <c r="Q93" i="63"/>
  <c r="O93" i="63"/>
  <c r="U92" i="63"/>
  <c r="S92" i="63"/>
  <c r="Q92" i="63"/>
  <c r="O92" i="63"/>
  <c r="T69" i="63"/>
  <c r="R69" i="63"/>
  <c r="P69" i="63"/>
  <c r="N69" i="63"/>
  <c r="T68" i="63"/>
  <c r="R68" i="63"/>
  <c r="P68" i="63"/>
  <c r="N68" i="63"/>
  <c r="T67" i="63"/>
  <c r="R67" i="63"/>
  <c r="P67" i="63"/>
  <c r="N67" i="63"/>
  <c r="T66" i="63"/>
  <c r="R66" i="63"/>
  <c r="P66" i="63"/>
  <c r="N66" i="63"/>
  <c r="T65" i="63"/>
  <c r="R65" i="63"/>
  <c r="P65" i="63"/>
  <c r="N65" i="63"/>
  <c r="T64" i="63"/>
  <c r="R64" i="63"/>
  <c r="P64" i="63"/>
  <c r="N64" i="63"/>
  <c r="T62" i="63"/>
  <c r="T70" i="63" s="1"/>
  <c r="R62" i="63"/>
  <c r="R70" i="63" s="1"/>
  <c r="P62" i="63"/>
  <c r="P70" i="63" s="1"/>
  <c r="N62" i="63"/>
  <c r="N70" i="63" s="1"/>
  <c r="D43" i="63"/>
  <c r="C42" i="63"/>
  <c r="C41" i="63"/>
  <c r="B40" i="63"/>
  <c r="B39" i="63"/>
  <c r="D229" i="41" l="1"/>
  <c r="L62" i="63"/>
  <c r="D62" i="63"/>
  <c r="L53" i="63"/>
  <c r="L67" i="63" s="1"/>
  <c r="J53" i="63"/>
  <c r="H53" i="63"/>
  <c r="H67" i="63" s="1"/>
  <c r="F53" i="63"/>
  <c r="F68" i="63" s="1"/>
  <c r="D53" i="63"/>
  <c r="D68" i="63" s="1"/>
  <c r="C84" i="63"/>
  <c r="C96" i="63" s="1"/>
  <c r="B62" i="63"/>
  <c r="B53" i="63"/>
  <c r="M99" i="63"/>
  <c r="K99" i="63"/>
  <c r="I99" i="63"/>
  <c r="G99" i="63"/>
  <c r="E99" i="63"/>
  <c r="C99" i="63"/>
  <c r="M98" i="63"/>
  <c r="K98" i="63"/>
  <c r="I98" i="63"/>
  <c r="G98" i="63"/>
  <c r="E98" i="63"/>
  <c r="C98" i="63"/>
  <c r="M97" i="63"/>
  <c r="K97" i="63"/>
  <c r="I97" i="63"/>
  <c r="G97" i="63"/>
  <c r="E97" i="63"/>
  <c r="C97" i="63"/>
  <c r="M96" i="63"/>
  <c r="K96" i="63"/>
  <c r="I96" i="63"/>
  <c r="G96" i="63"/>
  <c r="M95" i="63"/>
  <c r="K95" i="63"/>
  <c r="I95" i="63"/>
  <c r="G95" i="63"/>
  <c r="E95" i="63"/>
  <c r="C95" i="63"/>
  <c r="M94" i="63"/>
  <c r="K94" i="63"/>
  <c r="I94" i="63"/>
  <c r="G94" i="63"/>
  <c r="E94" i="63"/>
  <c r="C94" i="63"/>
  <c r="M93" i="63"/>
  <c r="K93" i="63"/>
  <c r="I93" i="63"/>
  <c r="G93" i="63"/>
  <c r="E93" i="63"/>
  <c r="C93" i="63"/>
  <c r="M92" i="63"/>
  <c r="K92" i="63"/>
  <c r="I92" i="63"/>
  <c r="G92" i="63"/>
  <c r="E92" i="63"/>
  <c r="C92" i="63"/>
  <c r="E96" i="63"/>
  <c r="B18" i="63" a="1"/>
  <c r="J19" i="63" s="1"/>
  <c r="C15" i="63"/>
  <c r="B15" i="63"/>
  <c r="A15" i="63"/>
  <c r="B14" i="63"/>
  <c r="A14" i="63"/>
  <c r="C13" i="63"/>
  <c r="B13" i="63"/>
  <c r="C12" i="63"/>
  <c r="B12" i="63"/>
  <c r="C11" i="63"/>
  <c r="B11" i="63"/>
  <c r="C10" i="63"/>
  <c r="B10" i="63"/>
  <c r="D9" i="63"/>
  <c r="C9" i="63"/>
  <c r="B9" i="63"/>
  <c r="O6" i="63"/>
  <c r="N6" i="63"/>
  <c r="M6" i="63"/>
  <c r="L6" i="63"/>
  <c r="K6" i="63"/>
  <c r="J6" i="63"/>
  <c r="I6" i="63"/>
  <c r="H6" i="63"/>
  <c r="G6" i="63"/>
  <c r="F6" i="63"/>
  <c r="E6" i="63"/>
  <c r="D6" i="63"/>
  <c r="C6" i="63"/>
  <c r="B6" i="63"/>
  <c r="A6" i="63"/>
  <c r="P5" i="63"/>
  <c r="O5" i="63"/>
  <c r="N5" i="63"/>
  <c r="M5" i="63"/>
  <c r="L5" i="63"/>
  <c r="K5" i="63"/>
  <c r="J5" i="63"/>
  <c r="I5" i="63"/>
  <c r="H5" i="63"/>
  <c r="G5" i="63"/>
  <c r="F5" i="63"/>
  <c r="E5" i="63"/>
  <c r="D5" i="63"/>
  <c r="C5" i="63"/>
  <c r="B5" i="63"/>
  <c r="A5" i="63"/>
  <c r="B70" i="63" l="1"/>
  <c r="F18" i="63"/>
  <c r="K18" i="63"/>
  <c r="E19" i="63"/>
  <c r="K19" i="63"/>
  <c r="H65" i="63"/>
  <c r="B18" i="63"/>
  <c r="G18" i="63"/>
  <c r="L18" i="63"/>
  <c r="G19" i="63"/>
  <c r="L19" i="63"/>
  <c r="B64" i="63"/>
  <c r="H70" i="63"/>
  <c r="B67" i="63"/>
  <c r="C18" i="63"/>
  <c r="H18" i="63"/>
  <c r="C19" i="63"/>
  <c r="H19" i="63"/>
  <c r="D18" i="63"/>
  <c r="J18" i="63"/>
  <c r="D19" i="63"/>
  <c r="I19" i="63"/>
  <c r="B68" i="63"/>
  <c r="F67" i="63"/>
  <c r="J68" i="63"/>
  <c r="J64" i="63"/>
  <c r="D65" i="63"/>
  <c r="J69" i="63"/>
  <c r="L69" i="63"/>
  <c r="L65" i="63"/>
  <c r="D66" i="63"/>
  <c r="H66" i="63"/>
  <c r="J65" i="63"/>
  <c r="J70" i="63"/>
  <c r="L68" i="63"/>
  <c r="F70" i="63"/>
  <c r="F66" i="63"/>
  <c r="D67" i="63"/>
  <c r="F64" i="63"/>
  <c r="F69" i="63"/>
  <c r="H68" i="63"/>
  <c r="J66" i="63"/>
  <c r="L64" i="63"/>
  <c r="L70" i="63"/>
  <c r="D70" i="63"/>
  <c r="D64" i="63"/>
  <c r="D69" i="63"/>
  <c r="F65" i="63"/>
  <c r="H64" i="63"/>
  <c r="H69" i="63"/>
  <c r="J67" i="63"/>
  <c r="L66" i="63"/>
  <c r="B65" i="63"/>
  <c r="B69" i="63"/>
  <c r="B66" i="63"/>
  <c r="E18" i="63"/>
  <c r="I18" i="63"/>
  <c r="B19" i="63"/>
  <c r="F19" i="63"/>
  <c r="C17" i="36"/>
  <c r="M63" i="36"/>
  <c r="K63" i="36"/>
  <c r="I63" i="36"/>
  <c r="G63" i="36"/>
  <c r="M62" i="36"/>
  <c r="K62" i="36"/>
  <c r="I62" i="36"/>
  <c r="G62" i="36"/>
  <c r="M61" i="36"/>
  <c r="K61" i="36"/>
  <c r="I61" i="36"/>
  <c r="G61" i="36"/>
  <c r="M60" i="36"/>
  <c r="K60" i="36"/>
  <c r="I60" i="36"/>
  <c r="G60" i="36"/>
  <c r="M59" i="36"/>
  <c r="K59" i="36"/>
  <c r="I59" i="36"/>
  <c r="G59" i="36"/>
  <c r="M58" i="36"/>
  <c r="K58" i="36"/>
  <c r="I58" i="36"/>
  <c r="G58" i="36"/>
  <c r="M57" i="36"/>
  <c r="K57" i="36"/>
  <c r="I57" i="36"/>
  <c r="G57" i="36"/>
  <c r="M56" i="36"/>
  <c r="K56" i="36"/>
  <c r="I56" i="36"/>
  <c r="G56" i="36"/>
  <c r="L30" i="36"/>
  <c r="J30" i="36"/>
  <c r="H30" i="36"/>
  <c r="F30" i="36"/>
  <c r="CF99" i="57" l="1"/>
  <c r="CF98" i="57"/>
  <c r="CF93" i="57"/>
  <c r="T87" i="57"/>
  <c r="CB87" i="57"/>
  <c r="BS87" i="57"/>
  <c r="W86" i="57"/>
  <c r="T86" i="57"/>
  <c r="CB86" i="57"/>
  <c r="BY86" i="57"/>
  <c r="BV86" i="57"/>
  <c r="BS86" i="57"/>
  <c r="BP86" i="57"/>
  <c r="BM86" i="57"/>
  <c r="BJ86" i="57"/>
  <c r="BG86" i="57"/>
  <c r="BD86" i="57"/>
  <c r="BA86" i="57"/>
  <c r="AX86" i="57"/>
  <c r="AU86" i="57"/>
  <c r="AR86" i="57"/>
  <c r="AO86" i="57"/>
  <c r="AL86" i="57"/>
  <c r="AI86" i="57"/>
  <c r="AF86" i="57"/>
  <c r="AC86" i="57"/>
  <c r="Z86" i="57"/>
  <c r="Q86" i="57"/>
  <c r="N86" i="57"/>
  <c r="K86" i="57"/>
  <c r="H86" i="57"/>
  <c r="E86" i="57"/>
  <c r="B86" i="57"/>
  <c r="W85" i="57"/>
  <c r="T85" i="57"/>
  <c r="CB85" i="57"/>
  <c r="BY85" i="57"/>
  <c r="BV85" i="57"/>
  <c r="BS85" i="57"/>
  <c r="BP85" i="57"/>
  <c r="BM85" i="57"/>
  <c r="BJ85" i="57"/>
  <c r="BG85" i="57"/>
  <c r="BD85" i="57"/>
  <c r="BA85" i="57"/>
  <c r="AX85" i="57"/>
  <c r="AU85" i="57"/>
  <c r="AR85" i="57"/>
  <c r="AO85" i="57"/>
  <c r="AL85" i="57"/>
  <c r="AI85" i="57"/>
  <c r="AF85" i="57"/>
  <c r="AC85" i="57"/>
  <c r="Z85" i="57"/>
  <c r="Q85" i="57"/>
  <c r="N85" i="57"/>
  <c r="K85" i="57"/>
  <c r="H85" i="57"/>
  <c r="E85" i="57"/>
  <c r="B85" i="57"/>
  <c r="W84" i="57"/>
  <c r="T84" i="57"/>
  <c r="CB84" i="57"/>
  <c r="BY84" i="57"/>
  <c r="BV84" i="57"/>
  <c r="BS84" i="57"/>
  <c r="BP84" i="57"/>
  <c r="BM84" i="57"/>
  <c r="BJ84" i="57"/>
  <c r="BG84" i="57"/>
  <c r="BD84" i="57"/>
  <c r="BA84" i="57"/>
  <c r="AX84" i="57"/>
  <c r="AU84" i="57"/>
  <c r="AR84" i="57"/>
  <c r="AO84" i="57"/>
  <c r="AL84" i="57"/>
  <c r="AI84" i="57"/>
  <c r="AF84" i="57"/>
  <c r="AC84" i="57"/>
  <c r="Z84" i="57"/>
  <c r="Q84" i="57"/>
  <c r="N84" i="57"/>
  <c r="K84" i="57"/>
  <c r="H84" i="57"/>
  <c r="E84" i="57"/>
  <c r="B84" i="57"/>
  <c r="W83" i="57"/>
  <c r="T83" i="57"/>
  <c r="CB83" i="57"/>
  <c r="BY83" i="57"/>
  <c r="BV83" i="57"/>
  <c r="BS83" i="57"/>
  <c r="BP83" i="57"/>
  <c r="BM83" i="57"/>
  <c r="BJ83" i="57"/>
  <c r="BG83" i="57"/>
  <c r="BD83" i="57"/>
  <c r="BA83" i="57"/>
  <c r="AX83" i="57"/>
  <c r="AU83" i="57"/>
  <c r="AR83" i="57"/>
  <c r="AO83" i="57"/>
  <c r="AL83" i="57"/>
  <c r="AI83" i="57"/>
  <c r="AF83" i="57"/>
  <c r="AC83" i="57"/>
  <c r="Z83" i="57"/>
  <c r="Q83" i="57"/>
  <c r="N83" i="57"/>
  <c r="K83" i="57"/>
  <c r="H83" i="57"/>
  <c r="E83" i="57"/>
  <c r="B83" i="57"/>
  <c r="W82" i="57"/>
  <c r="T82" i="57"/>
  <c r="CB82" i="57"/>
  <c r="BY82" i="57"/>
  <c r="BV82" i="57"/>
  <c r="BS82" i="57"/>
  <c r="BP82" i="57"/>
  <c r="BM82" i="57"/>
  <c r="BJ82" i="57"/>
  <c r="BG82" i="57"/>
  <c r="BD82" i="57"/>
  <c r="BA82" i="57"/>
  <c r="AX82" i="57"/>
  <c r="AU82" i="57"/>
  <c r="AR82" i="57"/>
  <c r="AO82" i="57"/>
  <c r="AL82" i="57"/>
  <c r="AI82" i="57"/>
  <c r="AF82" i="57"/>
  <c r="AC82" i="57"/>
  <c r="Z82" i="57"/>
  <c r="Q82" i="57"/>
  <c r="N82" i="57"/>
  <c r="K82" i="57"/>
  <c r="H82" i="57"/>
  <c r="E82" i="57"/>
  <c r="B82" i="57"/>
  <c r="W81" i="57"/>
  <c r="T81" i="57"/>
  <c r="CB81" i="57"/>
  <c r="BY81" i="57"/>
  <c r="BV81" i="57"/>
  <c r="BS81" i="57"/>
  <c r="BP81" i="57"/>
  <c r="BM81" i="57"/>
  <c r="BJ81" i="57"/>
  <c r="BG81" i="57"/>
  <c r="BD81" i="57"/>
  <c r="BA81" i="57"/>
  <c r="AX81" i="57"/>
  <c r="AU81" i="57"/>
  <c r="AR81" i="57"/>
  <c r="AO81" i="57"/>
  <c r="AL81" i="57"/>
  <c r="AI81" i="57"/>
  <c r="AF81" i="57"/>
  <c r="AC81" i="57"/>
  <c r="Z81" i="57"/>
  <c r="Q81" i="57"/>
  <c r="N81" i="57"/>
  <c r="K81" i="57"/>
  <c r="H81" i="57"/>
  <c r="E81" i="57"/>
  <c r="B81" i="57"/>
  <c r="W87" i="57"/>
  <c r="CE79" i="57"/>
  <c r="BY79" i="57"/>
  <c r="BY87" i="57" s="1"/>
  <c r="BV79" i="57"/>
  <c r="BV87" i="57" s="1"/>
  <c r="BP79" i="57"/>
  <c r="BP87" i="57" s="1"/>
  <c r="BM79" i="57"/>
  <c r="BM87" i="57" s="1"/>
  <c r="BJ79" i="57"/>
  <c r="BJ87" i="57" s="1"/>
  <c r="BG79" i="57"/>
  <c r="BG87" i="57" s="1"/>
  <c r="BD79" i="57"/>
  <c r="BD87" i="57" s="1"/>
  <c r="BA79" i="57"/>
  <c r="BA87" i="57" s="1"/>
  <c r="AX79" i="57"/>
  <c r="AX87" i="57" s="1"/>
  <c r="AU79" i="57"/>
  <c r="AU87" i="57" s="1"/>
  <c r="AR79" i="57"/>
  <c r="AR87" i="57" s="1"/>
  <c r="AO79" i="57"/>
  <c r="AO87" i="57" s="1"/>
  <c r="AL79" i="57"/>
  <c r="AL87" i="57" s="1"/>
  <c r="AI79" i="57"/>
  <c r="AI87" i="57" s="1"/>
  <c r="AF79" i="57"/>
  <c r="AF87" i="57" s="1"/>
  <c r="AC79" i="57"/>
  <c r="AC87" i="57" s="1"/>
  <c r="Z79" i="57"/>
  <c r="Z87" i="57" s="1"/>
  <c r="Q79" i="57"/>
  <c r="Q87" i="57" s="1"/>
  <c r="N79" i="57"/>
  <c r="N87" i="57" s="1"/>
  <c r="K79" i="57"/>
  <c r="K87" i="57" s="1"/>
  <c r="H79" i="57"/>
  <c r="H87" i="57" s="1"/>
  <c r="E79" i="57"/>
  <c r="E87" i="57" s="1"/>
  <c r="B79" i="57"/>
  <c r="B87" i="57" s="1"/>
  <c r="CE70" i="57"/>
  <c r="CE86" i="57" s="1"/>
  <c r="CE83" i="57" l="1"/>
  <c r="CE87" i="57"/>
  <c r="CE84" i="57"/>
  <c r="CE81" i="57"/>
  <c r="CE85" i="57"/>
  <c r="CE82" i="57"/>
  <c r="AA131" i="20" l="1"/>
  <c r="Y131" i="20"/>
  <c r="W131" i="20"/>
  <c r="U131" i="20"/>
  <c r="S131" i="20"/>
  <c r="Q131" i="20"/>
  <c r="O131" i="20"/>
  <c r="M131" i="20"/>
  <c r="I131" i="20"/>
  <c r="G131" i="20"/>
  <c r="E131" i="20"/>
  <c r="C131" i="20"/>
  <c r="AA130" i="20"/>
  <c r="Y130" i="20"/>
  <c r="W130" i="20"/>
  <c r="U130" i="20"/>
  <c r="S130" i="20"/>
  <c r="Q130" i="20"/>
  <c r="O130" i="20"/>
  <c r="M130" i="20"/>
  <c r="I130" i="20"/>
  <c r="G130" i="20"/>
  <c r="E130" i="20"/>
  <c r="C130" i="20"/>
  <c r="AA129" i="20"/>
  <c r="Y129" i="20"/>
  <c r="W129" i="20"/>
  <c r="U129" i="20"/>
  <c r="S129" i="20"/>
  <c r="Q129" i="20"/>
  <c r="O129" i="20"/>
  <c r="M129" i="20"/>
  <c r="I129" i="20"/>
  <c r="G129" i="20"/>
  <c r="E129" i="20"/>
  <c r="C129" i="20"/>
  <c r="AA128" i="20"/>
  <c r="Y128" i="20"/>
  <c r="W128" i="20"/>
  <c r="U128" i="20"/>
  <c r="S128" i="20"/>
  <c r="Q128" i="20"/>
  <c r="O128" i="20"/>
  <c r="M128" i="20"/>
  <c r="I128" i="20"/>
  <c r="G128" i="20"/>
  <c r="E128" i="20"/>
  <c r="C128" i="20"/>
  <c r="AA127" i="20"/>
  <c r="Y127" i="20"/>
  <c r="W127" i="20"/>
  <c r="U127" i="20"/>
  <c r="S127" i="20"/>
  <c r="Q127" i="20"/>
  <c r="O127" i="20"/>
  <c r="M127" i="20"/>
  <c r="I127" i="20"/>
  <c r="G127" i="20"/>
  <c r="E127" i="20"/>
  <c r="C127" i="20"/>
  <c r="AA126" i="20"/>
  <c r="Y126" i="20"/>
  <c r="W126" i="20"/>
  <c r="U126" i="20"/>
  <c r="S126" i="20"/>
  <c r="Q126" i="20"/>
  <c r="O126" i="20"/>
  <c r="M126" i="20"/>
  <c r="I126" i="20"/>
  <c r="G126" i="20"/>
  <c r="E126" i="20"/>
  <c r="C126" i="20"/>
  <c r="AA125" i="20"/>
  <c r="Y125" i="20"/>
  <c r="W125" i="20"/>
  <c r="U125" i="20"/>
  <c r="S125" i="20"/>
  <c r="Q125" i="20"/>
  <c r="O125" i="20"/>
  <c r="M125" i="20"/>
  <c r="I125" i="20"/>
  <c r="G125" i="20"/>
  <c r="E125" i="20"/>
  <c r="C125" i="20"/>
  <c r="AA124" i="20"/>
  <c r="Y124" i="20"/>
  <c r="W124" i="20"/>
  <c r="U124" i="20"/>
  <c r="S124" i="20"/>
  <c r="Q124" i="20"/>
  <c r="O124" i="20"/>
  <c r="M124" i="20"/>
  <c r="I124" i="20"/>
  <c r="G124" i="20"/>
  <c r="E124" i="20"/>
  <c r="C124" i="20"/>
  <c r="Z104" i="20"/>
  <c r="X104" i="20"/>
  <c r="V104" i="20"/>
  <c r="T104" i="20"/>
  <c r="R104" i="20"/>
  <c r="P104" i="20"/>
  <c r="N104" i="20"/>
  <c r="L104" i="20"/>
  <c r="H104" i="20"/>
  <c r="F104" i="20"/>
  <c r="D104" i="20"/>
  <c r="B104" i="20"/>
  <c r="Z103" i="20"/>
  <c r="X103" i="20"/>
  <c r="V103" i="20"/>
  <c r="T103" i="20"/>
  <c r="R103" i="20"/>
  <c r="P103" i="20"/>
  <c r="N103" i="20"/>
  <c r="L103" i="20"/>
  <c r="H103" i="20"/>
  <c r="F103" i="20"/>
  <c r="D103" i="20"/>
  <c r="B103" i="20"/>
  <c r="Z102" i="20"/>
  <c r="X102" i="20"/>
  <c r="V102" i="20"/>
  <c r="T102" i="20"/>
  <c r="R102" i="20"/>
  <c r="P102" i="20"/>
  <c r="N102" i="20"/>
  <c r="L102" i="20"/>
  <c r="H102" i="20"/>
  <c r="F102" i="20"/>
  <c r="D102" i="20"/>
  <c r="B102" i="20"/>
  <c r="Z101" i="20"/>
  <c r="X101" i="20"/>
  <c r="V101" i="20"/>
  <c r="T101" i="20"/>
  <c r="R101" i="20"/>
  <c r="P101" i="20"/>
  <c r="N101" i="20"/>
  <c r="L101" i="20"/>
  <c r="H101" i="20"/>
  <c r="F101" i="20"/>
  <c r="D101" i="20"/>
  <c r="B101" i="20"/>
  <c r="Z100" i="20"/>
  <c r="X100" i="20"/>
  <c r="V100" i="20"/>
  <c r="T100" i="20"/>
  <c r="R100" i="20"/>
  <c r="P100" i="20"/>
  <c r="N100" i="20"/>
  <c r="L100" i="20"/>
  <c r="H100" i="20"/>
  <c r="F100" i="20"/>
  <c r="D100" i="20"/>
  <c r="B100" i="20"/>
  <c r="Z99" i="20"/>
  <c r="X99" i="20"/>
  <c r="V99" i="20"/>
  <c r="T99" i="20"/>
  <c r="R99" i="20"/>
  <c r="P99" i="20"/>
  <c r="N99" i="20"/>
  <c r="L99" i="20"/>
  <c r="H99" i="20"/>
  <c r="F99" i="20"/>
  <c r="D99" i="20"/>
  <c r="B99" i="20"/>
  <c r="Z98" i="20"/>
  <c r="X98" i="20"/>
  <c r="V98" i="20"/>
  <c r="T98" i="20"/>
  <c r="R98" i="20"/>
  <c r="P98" i="20"/>
  <c r="N98" i="20"/>
  <c r="L98" i="20"/>
  <c r="H98" i="20"/>
  <c r="F98" i="20"/>
  <c r="D98" i="20"/>
  <c r="B98" i="20"/>
  <c r="J20" i="20" l="1"/>
  <c r="J19" i="20"/>
  <c r="AC72" i="62" l="1"/>
  <c r="Q72" i="62"/>
  <c r="N72" i="62"/>
  <c r="K72" i="62"/>
  <c r="H72" i="62"/>
  <c r="E72" i="62"/>
  <c r="B72" i="62"/>
  <c r="AC71" i="62"/>
  <c r="Q71" i="62"/>
  <c r="N71" i="62"/>
  <c r="K71" i="62"/>
  <c r="H71" i="62"/>
  <c r="E71" i="62"/>
  <c r="B71" i="62"/>
  <c r="AC70" i="62"/>
  <c r="Q70" i="62"/>
  <c r="N70" i="62"/>
  <c r="K70" i="62"/>
  <c r="H70" i="62"/>
  <c r="E70" i="62"/>
  <c r="B70" i="62"/>
  <c r="AC69" i="62"/>
  <c r="Q69" i="62"/>
  <c r="N69" i="62"/>
  <c r="K69" i="62"/>
  <c r="H69" i="62"/>
  <c r="E69" i="62"/>
  <c r="B69" i="62"/>
  <c r="AC68" i="62"/>
  <c r="Q68" i="62"/>
  <c r="N68" i="62"/>
  <c r="K68" i="62"/>
  <c r="H68" i="62"/>
  <c r="E68" i="62"/>
  <c r="B68" i="62"/>
  <c r="AC67" i="62"/>
  <c r="Q67" i="62"/>
  <c r="N67" i="62"/>
  <c r="K67" i="62"/>
  <c r="H67" i="62"/>
  <c r="E67" i="62"/>
  <c r="B67" i="62"/>
  <c r="AC65" i="62"/>
  <c r="AC73" i="62" s="1"/>
  <c r="Q65" i="62"/>
  <c r="Q73" i="62" s="1"/>
  <c r="N65" i="62"/>
  <c r="N73" i="62" s="1"/>
  <c r="K65" i="62"/>
  <c r="K73" i="62" s="1"/>
  <c r="H65" i="62"/>
  <c r="H73" i="62" s="1"/>
  <c r="E65" i="62"/>
  <c r="E73" i="62" s="1"/>
  <c r="B65" i="62"/>
  <c r="B73" i="62" s="1"/>
  <c r="H49" i="62"/>
  <c r="G49" i="62"/>
  <c r="F49" i="62"/>
  <c r="E49" i="62"/>
  <c r="D49" i="62"/>
  <c r="C49" i="62"/>
  <c r="B49" i="62"/>
  <c r="H47" i="62"/>
  <c r="G47" i="62"/>
  <c r="F47" i="62"/>
  <c r="E47" i="62"/>
  <c r="D47" i="62"/>
  <c r="C47" i="62"/>
  <c r="B47" i="62"/>
  <c r="H38" i="62"/>
  <c r="G38" i="62"/>
  <c r="F38" i="62"/>
  <c r="E38" i="62"/>
  <c r="D38" i="62"/>
  <c r="C38" i="62"/>
  <c r="B38" i="62"/>
  <c r="H35" i="62"/>
  <c r="G35" i="62"/>
  <c r="F35" i="62"/>
  <c r="E35" i="62"/>
  <c r="D35" i="62"/>
  <c r="C35" i="62"/>
  <c r="B35" i="62"/>
  <c r="D7" i="62"/>
  <c r="D6" i="62"/>
  <c r="D7" i="55"/>
  <c r="J161" i="41" l="1"/>
  <c r="J160" i="41"/>
  <c r="J159" i="41"/>
  <c r="J158" i="41"/>
  <c r="J157" i="41"/>
  <c r="J156" i="41"/>
  <c r="J155" i="41"/>
  <c r="J154" i="41"/>
  <c r="J153" i="41"/>
  <c r="J152" i="41"/>
  <c r="J151" i="41"/>
  <c r="J150" i="41"/>
  <c r="J149" i="41"/>
  <c r="J148" i="41"/>
  <c r="J147" i="41"/>
  <c r="J146" i="41"/>
  <c r="I161" i="41"/>
  <c r="I160" i="41"/>
  <c r="I159" i="41"/>
  <c r="I158" i="41"/>
  <c r="I157" i="41"/>
  <c r="I156" i="41"/>
  <c r="I155" i="41"/>
  <c r="I154" i="41"/>
  <c r="I153" i="41"/>
  <c r="I152" i="41"/>
  <c r="I151" i="41"/>
  <c r="I150" i="41"/>
  <c r="I149" i="41"/>
  <c r="I148" i="41"/>
  <c r="I147" i="41"/>
  <c r="I146" i="41"/>
  <c r="E117" i="34"/>
  <c r="I65" i="57" l="1"/>
  <c r="H65" i="57"/>
  <c r="I63" i="57"/>
  <c r="H63" i="57"/>
  <c r="I54" i="57"/>
  <c r="H54" i="57"/>
  <c r="I51" i="57"/>
  <c r="H51" i="57"/>
  <c r="AD162" i="41" l="1"/>
  <c r="B15" i="35" l="1"/>
  <c r="B14" i="35"/>
  <c r="B23" i="3" l="1"/>
  <c r="B22" i="3"/>
  <c r="B21" i="3"/>
  <c r="B20" i="3"/>
  <c r="B13" i="35" l="1"/>
  <c r="B12" i="35"/>
  <c r="B11" i="35"/>
  <c r="B10" i="35"/>
  <c r="B18" i="3"/>
  <c r="B19" i="3"/>
  <c r="M193" i="61" l="1"/>
  <c r="M192" i="61"/>
  <c r="M191" i="61"/>
  <c r="M190" i="61"/>
  <c r="M189" i="61"/>
  <c r="M188" i="61"/>
  <c r="M187" i="61"/>
  <c r="M186" i="61"/>
  <c r="M184" i="61"/>
  <c r="M183" i="61"/>
  <c r="M182" i="61"/>
  <c r="M181" i="61"/>
  <c r="M180" i="61"/>
  <c r="M179" i="61"/>
  <c r="M178" i="61"/>
  <c r="M177" i="61"/>
  <c r="M176" i="61"/>
  <c r="M175" i="61"/>
  <c r="M174" i="61"/>
  <c r="M172" i="61"/>
  <c r="M171" i="61"/>
  <c r="M170" i="61"/>
  <c r="M169" i="61"/>
  <c r="M168" i="61"/>
  <c r="M167" i="61"/>
  <c r="K68" i="61"/>
  <c r="H68" i="61"/>
  <c r="E68" i="61"/>
  <c r="B68" i="61"/>
  <c r="K67" i="61"/>
  <c r="H67" i="61"/>
  <c r="E67" i="61"/>
  <c r="B67" i="61"/>
  <c r="K66" i="61"/>
  <c r="H66" i="61"/>
  <c r="E66" i="61"/>
  <c r="B66" i="61"/>
  <c r="K65" i="61"/>
  <c r="H65" i="61"/>
  <c r="E65" i="61"/>
  <c r="B65" i="61"/>
  <c r="K64" i="61"/>
  <c r="H64" i="61"/>
  <c r="E64" i="61"/>
  <c r="B64" i="61"/>
  <c r="K63" i="61"/>
  <c r="H63" i="61"/>
  <c r="E63" i="61"/>
  <c r="B63" i="61"/>
  <c r="K61" i="61"/>
  <c r="K69" i="61" s="1"/>
  <c r="H61" i="61"/>
  <c r="H69" i="61" s="1"/>
  <c r="E61" i="61"/>
  <c r="E69" i="61" s="1"/>
  <c r="B61" i="61"/>
  <c r="B69" i="61" s="1"/>
  <c r="E47" i="61"/>
  <c r="D47" i="61"/>
  <c r="C47" i="61"/>
  <c r="B47" i="61"/>
  <c r="F38" i="61"/>
  <c r="F37" i="61"/>
  <c r="F36" i="61"/>
  <c r="F35" i="61"/>
  <c r="W43" i="54" l="1"/>
  <c r="J124" i="60" l="1"/>
  <c r="J91" i="60"/>
  <c r="AO49" i="60" l="1"/>
  <c r="AK49" i="60"/>
  <c r="AG49" i="60"/>
  <c r="M77" i="60" l="1"/>
  <c r="R77" i="60"/>
  <c r="H77" i="60"/>
  <c r="C77" i="60"/>
  <c r="B21" i="60"/>
  <c r="D302" i="41" l="1"/>
  <c r="I46" i="57"/>
  <c r="I17" i="56"/>
  <c r="I11" i="38"/>
  <c r="F22" i="22"/>
  <c r="R302" i="41"/>
  <c r="R303" i="41" s="1"/>
  <c r="Q302" i="41"/>
  <c r="Q303" i="41" s="1"/>
  <c r="P302" i="41"/>
  <c r="P303" i="41" s="1"/>
  <c r="O302" i="41"/>
  <c r="B16" i="35" s="1"/>
  <c r="M302" i="41"/>
  <c r="M303" i="41" s="1"/>
  <c r="F302" i="41"/>
  <c r="F303" i="41" s="1"/>
  <c r="E302" i="41"/>
  <c r="E303" i="41" s="1"/>
  <c r="Q61" i="60"/>
  <c r="Q60" i="60"/>
  <c r="Q59" i="60"/>
  <c r="Q58" i="60"/>
  <c r="Q57" i="60"/>
  <c r="Q56" i="60"/>
  <c r="Q55" i="60"/>
  <c r="Q54" i="60"/>
  <c r="Q53" i="60"/>
  <c r="Q52" i="60"/>
  <c r="Q51" i="60"/>
  <c r="Q50" i="60"/>
  <c r="Q49" i="60"/>
  <c r="L61" i="60"/>
  <c r="L60" i="60"/>
  <c r="L59" i="60"/>
  <c r="L58" i="60"/>
  <c r="L57" i="60"/>
  <c r="L56" i="60"/>
  <c r="L55" i="60"/>
  <c r="L54" i="60"/>
  <c r="L53" i="60"/>
  <c r="L52" i="60"/>
  <c r="L51" i="60"/>
  <c r="L50" i="60"/>
  <c r="L49" i="60"/>
  <c r="G61" i="60"/>
  <c r="G60" i="60"/>
  <c r="G59" i="60"/>
  <c r="G58" i="60"/>
  <c r="G57" i="60"/>
  <c r="G56" i="60"/>
  <c r="G55" i="60"/>
  <c r="G54" i="60"/>
  <c r="G53" i="60"/>
  <c r="G52" i="60"/>
  <c r="G51" i="60"/>
  <c r="G50" i="60"/>
  <c r="G49" i="60"/>
  <c r="B60" i="60"/>
  <c r="B59" i="60"/>
  <c r="B58" i="60"/>
  <c r="I10" i="60"/>
  <c r="H10" i="60"/>
  <c r="D10" i="60"/>
  <c r="J13" i="60"/>
  <c r="AN88" i="60"/>
  <c r="AN87" i="60"/>
  <c r="AN86" i="60"/>
  <c r="AN85" i="60"/>
  <c r="AN84" i="60"/>
  <c r="AN83" i="60"/>
  <c r="AN82" i="60"/>
  <c r="AN81" i="60"/>
  <c r="AJ88" i="60"/>
  <c r="AJ87" i="60"/>
  <c r="AJ86" i="60"/>
  <c r="AJ85" i="60"/>
  <c r="AJ84" i="60"/>
  <c r="AJ83" i="60"/>
  <c r="AJ82" i="60"/>
  <c r="AJ81" i="60"/>
  <c r="AF88" i="60"/>
  <c r="AF87" i="60"/>
  <c r="AF86" i="60"/>
  <c r="AF85" i="60"/>
  <c r="AF84" i="60"/>
  <c r="AF83" i="60"/>
  <c r="AF82" i="60"/>
  <c r="AF81" i="60"/>
  <c r="V30" i="60"/>
  <c r="L8" i="60"/>
  <c r="K8" i="60"/>
  <c r="J8" i="60"/>
  <c r="I8" i="60"/>
  <c r="G8" i="60"/>
  <c r="F8" i="60"/>
  <c r="E8" i="60"/>
  <c r="D8" i="60"/>
  <c r="C8" i="60"/>
  <c r="B8" i="60"/>
  <c r="H9" i="60"/>
  <c r="H8" i="60" s="1"/>
  <c r="AB67" i="60" s="1"/>
  <c r="AO51" i="60"/>
  <c r="AO50" i="60"/>
  <c r="AK51" i="60"/>
  <c r="AK50" i="60"/>
  <c r="AI61" i="60"/>
  <c r="AI54" i="60"/>
  <c r="AG51" i="60"/>
  <c r="AG50" i="60"/>
  <c r="AA61" i="60"/>
  <c r="AA54" i="60"/>
  <c r="AA50" i="60"/>
  <c r="AE61" i="60"/>
  <c r="AE54" i="60"/>
  <c r="AC51" i="60"/>
  <c r="AC50" i="60"/>
  <c r="T51" i="60"/>
  <c r="T50" i="60"/>
  <c r="N51" i="60"/>
  <c r="N50" i="60"/>
  <c r="J51" i="60"/>
  <c r="J50" i="60"/>
  <c r="E51" i="60"/>
  <c r="E50" i="60"/>
  <c r="B277" i="18"/>
  <c r="B247" i="18"/>
  <c r="B216" i="18"/>
  <c r="B186" i="18"/>
  <c r="B156" i="18"/>
  <c r="B126" i="18"/>
  <c r="B96" i="18"/>
  <c r="B66" i="18"/>
  <c r="B36" i="18"/>
  <c r="AB88" i="60"/>
  <c r="AB87" i="60"/>
  <c r="AB86" i="60"/>
  <c r="AB85" i="60"/>
  <c r="AB84" i="60"/>
  <c r="AB83" i="60"/>
  <c r="AB82" i="60"/>
  <c r="AB81" i="60"/>
  <c r="B61" i="60"/>
  <c r="B57" i="60"/>
  <c r="B55" i="60"/>
  <c r="B54" i="60"/>
  <c r="B53" i="60"/>
  <c r="B52" i="60"/>
  <c r="B51" i="60"/>
  <c r="B50" i="60"/>
  <c r="B49" i="60"/>
  <c r="B56" i="60"/>
  <c r="M64" i="15"/>
  <c r="J79" i="43"/>
  <c r="L45" i="22"/>
  <c r="A3" i="22"/>
  <c r="F59" i="22" s="1"/>
  <c r="Z162" i="41"/>
  <c r="I71" i="26"/>
  <c r="I74" i="26"/>
  <c r="I75" i="26"/>
  <c r="I78" i="26"/>
  <c r="I79" i="26"/>
  <c r="I82" i="26"/>
  <c r="I83" i="26"/>
  <c r="I70" i="26"/>
  <c r="H71" i="26"/>
  <c r="H74" i="26"/>
  <c r="H75" i="26"/>
  <c r="H78" i="26"/>
  <c r="H79" i="26"/>
  <c r="H82" i="26"/>
  <c r="H83" i="26"/>
  <c r="H70" i="26"/>
  <c r="I14" i="22"/>
  <c r="H14" i="22"/>
  <c r="N28" i="22"/>
  <c r="N39" i="22" s="1"/>
  <c r="K28" i="22"/>
  <c r="K40" i="22" s="1"/>
  <c r="H28" i="22"/>
  <c r="H40" i="22" s="1"/>
  <c r="W35" i="22"/>
  <c r="T35" i="22"/>
  <c r="Q35" i="22"/>
  <c r="Q41" i="22" s="1"/>
  <c r="W28" i="22"/>
  <c r="W40" i="22" s="1"/>
  <c r="T28" i="22"/>
  <c r="Q39" i="22"/>
  <c r="N35" i="22"/>
  <c r="K35" i="22"/>
  <c r="H35" i="22"/>
  <c r="E35" i="22"/>
  <c r="C14" i="22"/>
  <c r="D14" i="22"/>
  <c r="E14" i="22"/>
  <c r="F14" i="22"/>
  <c r="G14" i="22"/>
  <c r="B14" i="22"/>
  <c r="E28" i="22"/>
  <c r="C64" i="22"/>
  <c r="E44" i="22"/>
  <c r="E45" i="22"/>
  <c r="Q37" i="22"/>
  <c r="Q40" i="22"/>
  <c r="H39" i="22"/>
  <c r="Q38" i="22"/>
  <c r="H37" i="22"/>
  <c r="H38" i="22"/>
  <c r="I162" i="43"/>
  <c r="O65" i="57"/>
  <c r="N65" i="57"/>
  <c r="O63" i="57"/>
  <c r="N63" i="57"/>
  <c r="O54" i="57"/>
  <c r="N54" i="57"/>
  <c r="O51" i="57"/>
  <c r="N51" i="57"/>
  <c r="M65" i="57"/>
  <c r="L65" i="57"/>
  <c r="M63" i="57"/>
  <c r="L63" i="57"/>
  <c r="M54" i="57"/>
  <c r="L54" i="57"/>
  <c r="M51" i="57"/>
  <c r="L51" i="57"/>
  <c r="K65" i="57"/>
  <c r="J65" i="57"/>
  <c r="K63" i="57"/>
  <c r="J63" i="57"/>
  <c r="K54" i="57"/>
  <c r="J54" i="57"/>
  <c r="K51" i="57"/>
  <c r="J51" i="57"/>
  <c r="G65" i="57"/>
  <c r="F65" i="57"/>
  <c r="G63" i="57"/>
  <c r="F63" i="57"/>
  <c r="G54" i="57"/>
  <c r="F54" i="57"/>
  <c r="G51" i="57"/>
  <c r="F51" i="57"/>
  <c r="B30" i="1"/>
  <c r="B43" i="1"/>
  <c r="B60" i="3"/>
  <c r="AE65" i="57"/>
  <c r="AD65" i="57"/>
  <c r="AC65" i="57"/>
  <c r="AB65" i="57"/>
  <c r="AA65" i="57"/>
  <c r="AE63" i="57"/>
  <c r="AD63" i="57"/>
  <c r="AC63" i="57"/>
  <c r="AB63" i="57"/>
  <c r="AA63" i="57"/>
  <c r="AD54" i="57"/>
  <c r="AC54" i="57"/>
  <c r="AB54" i="57"/>
  <c r="AA54" i="57"/>
  <c r="AE51" i="57"/>
  <c r="AD51" i="57"/>
  <c r="AC51" i="57"/>
  <c r="AB51" i="57"/>
  <c r="AA51" i="57"/>
  <c r="H72" i="26"/>
  <c r="I73" i="26"/>
  <c r="H76" i="26"/>
  <c r="I77" i="26"/>
  <c r="H80" i="26"/>
  <c r="I81" i="26"/>
  <c r="H84" i="26"/>
  <c r="I85" i="26"/>
  <c r="AC162" i="41"/>
  <c r="B13" i="31"/>
  <c r="B10" i="31"/>
  <c r="B15" i="58"/>
  <c r="B12" i="58"/>
  <c r="B9" i="28"/>
  <c r="B6" i="28"/>
  <c r="B9" i="27"/>
  <c r="B6" i="27"/>
  <c r="B16" i="36"/>
  <c r="B13" i="36"/>
  <c r="B13" i="10"/>
  <c r="B10" i="10"/>
  <c r="B13" i="40"/>
  <c r="B10" i="40"/>
  <c r="B17" i="8"/>
  <c r="B14" i="8"/>
  <c r="B13" i="7"/>
  <c r="B10" i="7"/>
  <c r="B9" i="5"/>
  <c r="B58" i="3"/>
  <c r="B51" i="35"/>
  <c r="B49" i="35"/>
  <c r="B41" i="1"/>
  <c r="E5" i="50"/>
  <c r="F5" i="50"/>
  <c r="G5" i="50"/>
  <c r="H5" i="50"/>
  <c r="I5" i="50"/>
  <c r="J5" i="50"/>
  <c r="K5" i="50"/>
  <c r="L5" i="50"/>
  <c r="V163" i="50"/>
  <c r="U163" i="50"/>
  <c r="V163" i="45"/>
  <c r="U163" i="45"/>
  <c r="V163" i="43"/>
  <c r="U163" i="43"/>
  <c r="K207" i="50"/>
  <c r="L207" i="50"/>
  <c r="K208" i="50"/>
  <c r="L208" i="50"/>
  <c r="K209" i="50"/>
  <c r="L209" i="50"/>
  <c r="K210" i="50"/>
  <c r="L210" i="50"/>
  <c r="K211" i="50"/>
  <c r="L211" i="50"/>
  <c r="K212" i="50"/>
  <c r="L212" i="50"/>
  <c r="K213" i="50"/>
  <c r="L213" i="50"/>
  <c r="K214" i="50"/>
  <c r="L214" i="50"/>
  <c r="K215" i="50"/>
  <c r="L215" i="50"/>
  <c r="V216" i="50"/>
  <c r="U216" i="50"/>
  <c r="C160" i="50"/>
  <c r="D160" i="50"/>
  <c r="E160" i="50"/>
  <c r="F160" i="50"/>
  <c r="G160" i="50"/>
  <c r="H160" i="50"/>
  <c r="I160" i="50"/>
  <c r="J160" i="50"/>
  <c r="K160" i="50"/>
  <c r="L160" i="50"/>
  <c r="C161" i="50"/>
  <c r="D161" i="50"/>
  <c r="E161" i="50"/>
  <c r="F161" i="50"/>
  <c r="G161" i="50"/>
  <c r="H161" i="50"/>
  <c r="I161" i="50"/>
  <c r="J161" i="50"/>
  <c r="K161" i="50"/>
  <c r="L161" i="50"/>
  <c r="C162" i="50"/>
  <c r="D162" i="50"/>
  <c r="E162" i="50"/>
  <c r="F162" i="50"/>
  <c r="G162" i="50"/>
  <c r="H162" i="50"/>
  <c r="I162" i="50"/>
  <c r="J162" i="50"/>
  <c r="K162" i="50"/>
  <c r="L162" i="50"/>
  <c r="T163" i="50"/>
  <c r="S163" i="50"/>
  <c r="R163" i="50"/>
  <c r="Q163" i="50"/>
  <c r="P163" i="50"/>
  <c r="O163" i="50"/>
  <c r="N163" i="50"/>
  <c r="M163" i="50"/>
  <c r="K207" i="45"/>
  <c r="L207" i="45"/>
  <c r="K208" i="45"/>
  <c r="L208" i="45"/>
  <c r="K209" i="45"/>
  <c r="L209" i="45"/>
  <c r="K210" i="45"/>
  <c r="L210" i="45"/>
  <c r="K211" i="45"/>
  <c r="L211" i="45"/>
  <c r="K212" i="45"/>
  <c r="L212" i="45"/>
  <c r="K213" i="45"/>
  <c r="L213" i="45"/>
  <c r="K214" i="45"/>
  <c r="L214" i="45"/>
  <c r="K215" i="45"/>
  <c r="L215" i="45"/>
  <c r="V216" i="45"/>
  <c r="U216" i="45"/>
  <c r="C160" i="45"/>
  <c r="D160" i="45"/>
  <c r="E160" i="45"/>
  <c r="F160" i="45"/>
  <c r="G160" i="45"/>
  <c r="H160" i="45"/>
  <c r="I160" i="45"/>
  <c r="J160" i="45"/>
  <c r="K160" i="45"/>
  <c r="L160" i="45"/>
  <c r="C161" i="45"/>
  <c r="D161" i="45"/>
  <c r="E161" i="45"/>
  <c r="F161" i="45"/>
  <c r="G161" i="45"/>
  <c r="H161" i="45"/>
  <c r="I161" i="45"/>
  <c r="J161" i="45"/>
  <c r="K161" i="45"/>
  <c r="L161" i="45"/>
  <c r="C162" i="45"/>
  <c r="D162" i="45"/>
  <c r="E162" i="45"/>
  <c r="F162" i="45"/>
  <c r="G162" i="45"/>
  <c r="H162" i="45"/>
  <c r="I162" i="45"/>
  <c r="J162" i="45"/>
  <c r="K162" i="45"/>
  <c r="L162" i="45"/>
  <c r="T163" i="45"/>
  <c r="S163" i="45"/>
  <c r="R163" i="45"/>
  <c r="Q163" i="45"/>
  <c r="P163" i="45"/>
  <c r="O163" i="45"/>
  <c r="N163" i="45"/>
  <c r="M163" i="45"/>
  <c r="V216" i="43"/>
  <c r="U216" i="43"/>
  <c r="K207" i="43"/>
  <c r="L207" i="43"/>
  <c r="K208" i="43"/>
  <c r="L208" i="43"/>
  <c r="K209" i="43"/>
  <c r="L209" i="43"/>
  <c r="K210" i="43"/>
  <c r="L210" i="43"/>
  <c r="K211" i="43"/>
  <c r="L211" i="43"/>
  <c r="K212" i="43"/>
  <c r="L212" i="43"/>
  <c r="K213" i="43"/>
  <c r="L213" i="43"/>
  <c r="K214" i="43"/>
  <c r="L214" i="43"/>
  <c r="K215" i="43"/>
  <c r="L215" i="43"/>
  <c r="C160" i="43"/>
  <c r="D160" i="43"/>
  <c r="E160" i="43"/>
  <c r="F160" i="43"/>
  <c r="G160" i="43"/>
  <c r="H160" i="43"/>
  <c r="I160" i="43"/>
  <c r="J160" i="43"/>
  <c r="K160" i="43"/>
  <c r="L160" i="43"/>
  <c r="C161" i="43"/>
  <c r="D161" i="43"/>
  <c r="E161" i="43"/>
  <c r="F161" i="43"/>
  <c r="G161" i="43"/>
  <c r="H161" i="43"/>
  <c r="I161" i="43"/>
  <c r="J161" i="43"/>
  <c r="K161" i="43"/>
  <c r="L161" i="43"/>
  <c r="C162" i="43"/>
  <c r="D162" i="43"/>
  <c r="E162" i="43"/>
  <c r="F162" i="43"/>
  <c r="G162" i="43"/>
  <c r="H162" i="43"/>
  <c r="J162" i="43"/>
  <c r="K162" i="43"/>
  <c r="L162" i="43"/>
  <c r="K206" i="43"/>
  <c r="L206" i="43"/>
  <c r="L216" i="43" s="1"/>
  <c r="T163" i="43"/>
  <c r="S163" i="43"/>
  <c r="R163" i="43"/>
  <c r="Q163" i="43"/>
  <c r="P163" i="43"/>
  <c r="O163" i="43"/>
  <c r="N163" i="43"/>
  <c r="M163" i="43"/>
  <c r="B54" i="43"/>
  <c r="L94" i="50"/>
  <c r="K94" i="50"/>
  <c r="J94" i="50"/>
  <c r="I94" i="50"/>
  <c r="H94" i="50"/>
  <c r="G94" i="50"/>
  <c r="F94" i="50"/>
  <c r="E94" i="50"/>
  <c r="D94" i="50"/>
  <c r="C94" i="50"/>
  <c r="L94" i="45"/>
  <c r="K94" i="45"/>
  <c r="J94" i="45"/>
  <c r="I94" i="45"/>
  <c r="H94" i="45"/>
  <c r="G94" i="45"/>
  <c r="F94" i="45"/>
  <c r="E94" i="45"/>
  <c r="D94" i="45"/>
  <c r="C94" i="45"/>
  <c r="L94" i="43"/>
  <c r="K94" i="43"/>
  <c r="J94" i="43"/>
  <c r="I94" i="43"/>
  <c r="H94" i="43"/>
  <c r="G94" i="43"/>
  <c r="F94" i="43"/>
  <c r="E94" i="43"/>
  <c r="D94" i="43"/>
  <c r="C94" i="43"/>
  <c r="E169" i="35"/>
  <c r="D169" i="35"/>
  <c r="E168" i="35"/>
  <c r="D168" i="35"/>
  <c r="L137" i="45"/>
  <c r="K137" i="45"/>
  <c r="J137" i="45"/>
  <c r="I137" i="45"/>
  <c r="H137" i="45"/>
  <c r="G137" i="45"/>
  <c r="F137" i="45"/>
  <c r="E137" i="45"/>
  <c r="D137" i="45"/>
  <c r="C137" i="45"/>
  <c r="L151" i="45"/>
  <c r="K151" i="45"/>
  <c r="J151" i="45"/>
  <c r="I151" i="45"/>
  <c r="H151" i="45"/>
  <c r="G151" i="45"/>
  <c r="F151" i="45"/>
  <c r="E151" i="45"/>
  <c r="D151" i="45"/>
  <c r="C151" i="45"/>
  <c r="L171" i="45"/>
  <c r="K171" i="45"/>
  <c r="J171" i="45"/>
  <c r="I171" i="45"/>
  <c r="H171" i="45"/>
  <c r="G171" i="45"/>
  <c r="F171" i="45"/>
  <c r="E171" i="45"/>
  <c r="D171" i="45"/>
  <c r="C171" i="45"/>
  <c r="L171" i="50"/>
  <c r="K171" i="50"/>
  <c r="J171" i="50"/>
  <c r="I171" i="50"/>
  <c r="H171" i="50"/>
  <c r="G171" i="50"/>
  <c r="F171" i="50"/>
  <c r="E171" i="50"/>
  <c r="D171" i="50"/>
  <c r="C171" i="50"/>
  <c r="L151" i="50"/>
  <c r="K151" i="50"/>
  <c r="J151" i="50"/>
  <c r="I151" i="50"/>
  <c r="H151" i="50"/>
  <c r="G151" i="50"/>
  <c r="F151" i="50"/>
  <c r="E151" i="50"/>
  <c r="D151" i="50"/>
  <c r="C151" i="50"/>
  <c r="L137" i="50"/>
  <c r="K137" i="50"/>
  <c r="J137" i="50"/>
  <c r="I137" i="50"/>
  <c r="H137" i="50"/>
  <c r="G137" i="50"/>
  <c r="F137" i="50"/>
  <c r="E137" i="50"/>
  <c r="D137" i="50"/>
  <c r="C137" i="50"/>
  <c r="L171" i="43"/>
  <c r="K171" i="43"/>
  <c r="J171" i="43"/>
  <c r="I171" i="43"/>
  <c r="H171" i="43"/>
  <c r="G171" i="43"/>
  <c r="F171" i="43"/>
  <c r="E171" i="43"/>
  <c r="D171" i="43"/>
  <c r="C171" i="43"/>
  <c r="L151" i="43"/>
  <c r="K151" i="43"/>
  <c r="J151" i="43"/>
  <c r="I151" i="43"/>
  <c r="H151" i="43"/>
  <c r="G151" i="43"/>
  <c r="F151" i="43"/>
  <c r="E151" i="43"/>
  <c r="D151" i="43"/>
  <c r="C151" i="43"/>
  <c r="L137" i="43"/>
  <c r="K137" i="43"/>
  <c r="J137" i="43"/>
  <c r="I137" i="43"/>
  <c r="H137" i="43"/>
  <c r="G137" i="43"/>
  <c r="F137" i="43"/>
  <c r="E137" i="43"/>
  <c r="D137" i="43"/>
  <c r="C137" i="43"/>
  <c r="W142" i="50"/>
  <c r="X142" i="50"/>
  <c r="K35" i="56"/>
  <c r="K33" i="56"/>
  <c r="K25" i="56"/>
  <c r="K22" i="56"/>
  <c r="J22" i="56"/>
  <c r="J25" i="56"/>
  <c r="J33" i="56"/>
  <c r="J35" i="56"/>
  <c r="W57" i="56"/>
  <c r="W56" i="56"/>
  <c r="W55" i="56"/>
  <c r="W54" i="56"/>
  <c r="W53" i="56"/>
  <c r="W52" i="56"/>
  <c r="W51" i="56"/>
  <c r="T57" i="56"/>
  <c r="T56" i="56"/>
  <c r="T55" i="56"/>
  <c r="T54" i="56"/>
  <c r="T53" i="56"/>
  <c r="T52" i="56"/>
  <c r="T51" i="56"/>
  <c r="H70" i="48"/>
  <c r="F70" i="48"/>
  <c r="D70" i="48"/>
  <c r="B70" i="48"/>
  <c r="J33" i="48"/>
  <c r="H33" i="48"/>
  <c r="F33" i="48"/>
  <c r="J32" i="48"/>
  <c r="H32" i="48"/>
  <c r="F32" i="48"/>
  <c r="J31" i="48"/>
  <c r="H31" i="48"/>
  <c r="F31" i="48"/>
  <c r="J30" i="48"/>
  <c r="H30" i="48"/>
  <c r="F30" i="48"/>
  <c r="J29" i="48"/>
  <c r="H29" i="48"/>
  <c r="F29" i="48"/>
  <c r="J28" i="48"/>
  <c r="H28" i="48"/>
  <c r="F28" i="48"/>
  <c r="J27" i="48"/>
  <c r="H27" i="48"/>
  <c r="F27" i="48"/>
  <c r="J26" i="48"/>
  <c r="H26" i="48"/>
  <c r="F26" i="48"/>
  <c r="J25" i="48"/>
  <c r="H25" i="48"/>
  <c r="F25" i="48"/>
  <c r="J23" i="48"/>
  <c r="J34" i="48" s="1"/>
  <c r="H23" i="48"/>
  <c r="H34" i="48" s="1"/>
  <c r="F23" i="48"/>
  <c r="F34" i="48" s="1"/>
  <c r="D33" i="48"/>
  <c r="D32" i="48"/>
  <c r="D31" i="48"/>
  <c r="D30" i="48"/>
  <c r="D29" i="48"/>
  <c r="D28" i="48"/>
  <c r="D27" i="48"/>
  <c r="D26" i="48"/>
  <c r="D25" i="48"/>
  <c r="D23" i="48"/>
  <c r="D34" i="48" s="1"/>
  <c r="B33" i="48"/>
  <c r="B32" i="48"/>
  <c r="B31" i="48"/>
  <c r="B30" i="48"/>
  <c r="B29" i="48"/>
  <c r="B23" i="48"/>
  <c r="B34" i="48" s="1"/>
  <c r="F27" i="40"/>
  <c r="G44" i="7"/>
  <c r="G56" i="7" s="1"/>
  <c r="G42" i="7"/>
  <c r="G54" i="7" s="1"/>
  <c r="F25" i="7"/>
  <c r="G58" i="7"/>
  <c r="G57" i="7"/>
  <c r="G53" i="7"/>
  <c r="G52" i="7"/>
  <c r="G51" i="7"/>
  <c r="F18" i="7"/>
  <c r="F29" i="7" s="1"/>
  <c r="C392" i="41"/>
  <c r="F22" i="59"/>
  <c r="F20" i="59"/>
  <c r="F12" i="59"/>
  <c r="F9" i="59"/>
  <c r="E22" i="59"/>
  <c r="E20" i="59"/>
  <c r="E12" i="59"/>
  <c r="E9" i="59"/>
  <c r="D22" i="59"/>
  <c r="D20" i="59"/>
  <c r="D12" i="59"/>
  <c r="D9" i="59"/>
  <c r="H49" i="59"/>
  <c r="H48" i="59"/>
  <c r="K28" i="59"/>
  <c r="K40" i="59" s="1"/>
  <c r="H28" i="59"/>
  <c r="H42" i="59" s="1"/>
  <c r="C22" i="59"/>
  <c r="C20" i="59"/>
  <c r="C12" i="59"/>
  <c r="C9" i="59"/>
  <c r="N44" i="59"/>
  <c r="N43" i="59"/>
  <c r="N42" i="59"/>
  <c r="N41" i="59"/>
  <c r="N40" i="59"/>
  <c r="N39" i="59"/>
  <c r="N37" i="59"/>
  <c r="N45" i="59" s="1"/>
  <c r="K37" i="59"/>
  <c r="H37" i="59"/>
  <c r="E44" i="59"/>
  <c r="E43" i="59"/>
  <c r="E42" i="59"/>
  <c r="E41" i="59"/>
  <c r="E40" i="59"/>
  <c r="E39" i="59"/>
  <c r="E37" i="59"/>
  <c r="E45" i="59" s="1"/>
  <c r="B9" i="59"/>
  <c r="B12" i="59"/>
  <c r="B20" i="59"/>
  <c r="B22" i="59"/>
  <c r="B37" i="59"/>
  <c r="B45" i="59" s="1"/>
  <c r="B39" i="59"/>
  <c r="B40" i="59"/>
  <c r="B41" i="59"/>
  <c r="B42" i="59"/>
  <c r="B43" i="59"/>
  <c r="B44" i="59"/>
  <c r="E226" i="41"/>
  <c r="E225" i="41"/>
  <c r="Y65" i="10"/>
  <c r="W65" i="10"/>
  <c r="U65" i="10"/>
  <c r="Y64" i="10"/>
  <c r="W64" i="10"/>
  <c r="U64" i="10"/>
  <c r="Y63" i="10"/>
  <c r="W63" i="10"/>
  <c r="U63" i="10"/>
  <c r="Y62" i="10"/>
  <c r="W62" i="10"/>
  <c r="U62" i="10"/>
  <c r="Y61" i="10"/>
  <c r="W61" i="10"/>
  <c r="U61" i="10"/>
  <c r="Y60" i="10"/>
  <c r="W60" i="10"/>
  <c r="U60" i="10"/>
  <c r="Y59" i="10"/>
  <c r="W59" i="10"/>
  <c r="U59" i="10"/>
  <c r="Y58" i="10"/>
  <c r="W58" i="10"/>
  <c r="U58" i="10"/>
  <c r="Q65" i="10"/>
  <c r="Q64" i="10"/>
  <c r="Q63" i="10"/>
  <c r="Q62" i="10"/>
  <c r="Q61" i="10"/>
  <c r="Q60" i="10"/>
  <c r="Q59" i="10"/>
  <c r="Q58" i="10"/>
  <c r="P32" i="10"/>
  <c r="P31" i="10"/>
  <c r="P30" i="10"/>
  <c r="P29" i="10"/>
  <c r="P28" i="10"/>
  <c r="O65" i="10"/>
  <c r="M65" i="10"/>
  <c r="K65" i="10"/>
  <c r="I65" i="10"/>
  <c r="G65" i="10"/>
  <c r="O64" i="10"/>
  <c r="M64" i="10"/>
  <c r="K64" i="10"/>
  <c r="I64" i="10"/>
  <c r="G64" i="10"/>
  <c r="O63" i="10"/>
  <c r="M63" i="10"/>
  <c r="K63" i="10"/>
  <c r="I63" i="10"/>
  <c r="G63" i="10"/>
  <c r="O62" i="10"/>
  <c r="M62" i="10"/>
  <c r="K62" i="10"/>
  <c r="I62" i="10"/>
  <c r="G62" i="10"/>
  <c r="O61" i="10"/>
  <c r="M61" i="10"/>
  <c r="K61" i="10"/>
  <c r="I61" i="10"/>
  <c r="G61" i="10"/>
  <c r="O60" i="10"/>
  <c r="M60" i="10"/>
  <c r="K60" i="10"/>
  <c r="I60" i="10"/>
  <c r="G60" i="10"/>
  <c r="O59" i="10"/>
  <c r="M59" i="10"/>
  <c r="K59" i="10"/>
  <c r="I59" i="10"/>
  <c r="G59" i="10"/>
  <c r="O58" i="10"/>
  <c r="M58" i="10"/>
  <c r="K58" i="10"/>
  <c r="I58" i="10"/>
  <c r="G58" i="10"/>
  <c r="B31" i="10"/>
  <c r="B30" i="10"/>
  <c r="B29" i="10"/>
  <c r="B28" i="10"/>
  <c r="C65" i="10"/>
  <c r="C64" i="10"/>
  <c r="C63" i="10"/>
  <c r="C62" i="10"/>
  <c r="C61" i="10"/>
  <c r="C60" i="10"/>
  <c r="C59" i="10"/>
  <c r="C58" i="10"/>
  <c r="B26" i="10"/>
  <c r="B32" i="10" s="1"/>
  <c r="N26" i="10"/>
  <c r="L26" i="10"/>
  <c r="J26" i="10"/>
  <c r="H26" i="10"/>
  <c r="F26" i="10"/>
  <c r="F19" i="10"/>
  <c r="H19" i="10"/>
  <c r="H29" i="10" s="1"/>
  <c r="J19" i="10"/>
  <c r="J31" i="10" s="1"/>
  <c r="L19" i="10"/>
  <c r="L31" i="10" s="1"/>
  <c r="N19" i="10"/>
  <c r="N32" i="10" s="1"/>
  <c r="T19" i="10"/>
  <c r="T30" i="10" s="1"/>
  <c r="V19" i="10"/>
  <c r="V31" i="10" s="1"/>
  <c r="X19" i="10"/>
  <c r="F34" i="8"/>
  <c r="F40" i="8" s="1"/>
  <c r="F23" i="8"/>
  <c r="F39" i="8" s="1"/>
  <c r="F28" i="8"/>
  <c r="D27" i="8"/>
  <c r="D26" i="8"/>
  <c r="B396" i="41"/>
  <c r="B23" i="8" s="1"/>
  <c r="E4" i="36"/>
  <c r="A4" i="36"/>
  <c r="D21" i="58"/>
  <c r="D32" i="58" s="1"/>
  <c r="B21" i="58"/>
  <c r="C5" i="58"/>
  <c r="E62" i="58"/>
  <c r="C62" i="58"/>
  <c r="E61" i="58"/>
  <c r="C61" i="58"/>
  <c r="E60" i="58"/>
  <c r="C60" i="58"/>
  <c r="E59" i="58"/>
  <c r="C59" i="58"/>
  <c r="E58" i="58"/>
  <c r="C58" i="58"/>
  <c r="E57" i="58"/>
  <c r="C57" i="58"/>
  <c r="E56" i="58"/>
  <c r="C56" i="58"/>
  <c r="E55" i="58"/>
  <c r="C55" i="58"/>
  <c r="D29" i="58"/>
  <c r="B29" i="58"/>
  <c r="I72" i="26"/>
  <c r="I76" i="26"/>
  <c r="I80" i="26"/>
  <c r="I84" i="26"/>
  <c r="H85" i="26"/>
  <c r="H81" i="26"/>
  <c r="L161" i="41"/>
  <c r="K85" i="26" s="1"/>
  <c r="K161" i="41"/>
  <c r="J85" i="26" s="1"/>
  <c r="L160" i="41"/>
  <c r="K84" i="26" s="1"/>
  <c r="K160" i="41"/>
  <c r="J84" i="26" s="1"/>
  <c r="L159" i="41"/>
  <c r="K83" i="26" s="1"/>
  <c r="K159" i="41"/>
  <c r="J83" i="26" s="1"/>
  <c r="L158" i="41"/>
  <c r="K82" i="26" s="1"/>
  <c r="K158" i="41"/>
  <c r="J82" i="26" s="1"/>
  <c r="L157" i="41"/>
  <c r="K81" i="26" s="1"/>
  <c r="K157" i="41"/>
  <c r="J81" i="26" s="1"/>
  <c r="L156" i="41"/>
  <c r="K80" i="26" s="1"/>
  <c r="K156" i="41"/>
  <c r="J80" i="26" s="1"/>
  <c r="L155" i="41"/>
  <c r="K79" i="26" s="1"/>
  <c r="K155" i="41"/>
  <c r="J79" i="26" s="1"/>
  <c r="L154" i="41"/>
  <c r="K78" i="26" s="1"/>
  <c r="K154" i="41"/>
  <c r="J78" i="26" s="1"/>
  <c r="L153" i="41"/>
  <c r="K77" i="26" s="1"/>
  <c r="K153" i="41"/>
  <c r="J77" i="26" s="1"/>
  <c r="L152" i="41"/>
  <c r="K76" i="26" s="1"/>
  <c r="K152" i="41"/>
  <c r="J76" i="26" s="1"/>
  <c r="L151" i="41"/>
  <c r="K75" i="26" s="1"/>
  <c r="K151" i="41"/>
  <c r="J75" i="26" s="1"/>
  <c r="L150" i="41"/>
  <c r="K74" i="26" s="1"/>
  <c r="K150" i="41"/>
  <c r="J74" i="26" s="1"/>
  <c r="L149" i="41"/>
  <c r="K73" i="26" s="1"/>
  <c r="K149" i="41"/>
  <c r="L148" i="41"/>
  <c r="K72" i="26" s="1"/>
  <c r="K148" i="41"/>
  <c r="J72" i="26" s="1"/>
  <c r="L147" i="41"/>
  <c r="K147" i="41"/>
  <c r="J71" i="26" s="1"/>
  <c r="L146" i="41"/>
  <c r="K70" i="26" s="1"/>
  <c r="K146" i="41"/>
  <c r="J70" i="26" s="1"/>
  <c r="F161" i="41"/>
  <c r="E85" i="26" s="1"/>
  <c r="E161" i="41"/>
  <c r="D85" i="26" s="1"/>
  <c r="F160" i="41"/>
  <c r="E84" i="26" s="1"/>
  <c r="E160" i="41"/>
  <c r="D84" i="26" s="1"/>
  <c r="F159" i="41"/>
  <c r="E83" i="26" s="1"/>
  <c r="E159" i="41"/>
  <c r="D83" i="26" s="1"/>
  <c r="F158" i="41"/>
  <c r="E82" i="26" s="1"/>
  <c r="E158" i="41"/>
  <c r="D82" i="26" s="1"/>
  <c r="F157" i="41"/>
  <c r="E81" i="26" s="1"/>
  <c r="E157" i="41"/>
  <c r="D81" i="26" s="1"/>
  <c r="F156" i="41"/>
  <c r="E80" i="26" s="1"/>
  <c r="E156" i="41"/>
  <c r="D80" i="26" s="1"/>
  <c r="F155" i="41"/>
  <c r="E79" i="26" s="1"/>
  <c r="E155" i="41"/>
  <c r="D79" i="26" s="1"/>
  <c r="F154" i="41"/>
  <c r="E78" i="26" s="1"/>
  <c r="E154" i="41"/>
  <c r="D78" i="26" s="1"/>
  <c r="F153" i="41"/>
  <c r="E77" i="26" s="1"/>
  <c r="E153" i="41"/>
  <c r="D77" i="26" s="1"/>
  <c r="F152" i="41"/>
  <c r="E76" i="26" s="1"/>
  <c r="E152" i="41"/>
  <c r="D76" i="26" s="1"/>
  <c r="F151" i="41"/>
  <c r="E75" i="26" s="1"/>
  <c r="E151" i="41"/>
  <c r="D75" i="26" s="1"/>
  <c r="F150" i="41"/>
  <c r="E74" i="26" s="1"/>
  <c r="E150" i="41"/>
  <c r="D74" i="26" s="1"/>
  <c r="F149" i="41"/>
  <c r="E73" i="26" s="1"/>
  <c r="E149" i="41"/>
  <c r="D73" i="26" s="1"/>
  <c r="F148" i="41"/>
  <c r="E72" i="26" s="1"/>
  <c r="E148" i="41"/>
  <c r="D72" i="26" s="1"/>
  <c r="F147" i="41"/>
  <c r="E71" i="26" s="1"/>
  <c r="E147" i="41"/>
  <c r="D71" i="26" s="1"/>
  <c r="F146" i="41"/>
  <c r="E70" i="26" s="1"/>
  <c r="E146" i="41"/>
  <c r="D70" i="26" s="1"/>
  <c r="H77" i="26"/>
  <c r="H73" i="26"/>
  <c r="T116" i="34"/>
  <c r="S116" i="34"/>
  <c r="N162" i="41"/>
  <c r="O162" i="41"/>
  <c r="P162" i="41"/>
  <c r="Q162" i="41"/>
  <c r="R162" i="41"/>
  <c r="S162" i="41"/>
  <c r="T162" i="41"/>
  <c r="U162" i="41"/>
  <c r="V162" i="41"/>
  <c r="W162" i="41"/>
  <c r="X162" i="41"/>
  <c r="Y162" i="41"/>
  <c r="AA162" i="41"/>
  <c r="AB162" i="41"/>
  <c r="Z65" i="57"/>
  <c r="Y65" i="57"/>
  <c r="X65" i="57"/>
  <c r="W65" i="57"/>
  <c r="V65" i="57"/>
  <c r="U65" i="57"/>
  <c r="T65" i="57"/>
  <c r="S65" i="57"/>
  <c r="R65" i="57"/>
  <c r="Q65" i="57"/>
  <c r="P65" i="57"/>
  <c r="E65" i="57"/>
  <c r="D65" i="57"/>
  <c r="C65" i="57"/>
  <c r="B65" i="57"/>
  <c r="Z63" i="57"/>
  <c r="Y63" i="57"/>
  <c r="X63" i="57"/>
  <c r="W63" i="57"/>
  <c r="V63" i="57"/>
  <c r="U63" i="57"/>
  <c r="T63" i="57"/>
  <c r="S63" i="57"/>
  <c r="R63" i="57"/>
  <c r="Q63" i="57"/>
  <c r="P63" i="57"/>
  <c r="E63" i="57"/>
  <c r="D63" i="57"/>
  <c r="C63" i="57"/>
  <c r="B63" i="57"/>
  <c r="Z54" i="57"/>
  <c r="Y54" i="57"/>
  <c r="X54" i="57"/>
  <c r="W54" i="57"/>
  <c r="V54" i="57"/>
  <c r="U54" i="57"/>
  <c r="T54" i="57"/>
  <c r="S54" i="57"/>
  <c r="R54" i="57"/>
  <c r="Q54" i="57"/>
  <c r="P54" i="57"/>
  <c r="E54" i="57"/>
  <c r="D54" i="57"/>
  <c r="C54" i="57"/>
  <c r="B54" i="57"/>
  <c r="Z51" i="57"/>
  <c r="Y51" i="57"/>
  <c r="X51" i="57"/>
  <c r="W51" i="57"/>
  <c r="V51" i="57"/>
  <c r="U51" i="57"/>
  <c r="T51" i="57"/>
  <c r="S51" i="57"/>
  <c r="R51" i="57"/>
  <c r="Q51" i="57"/>
  <c r="P51" i="57"/>
  <c r="E51" i="57"/>
  <c r="D51" i="57"/>
  <c r="C51" i="57"/>
  <c r="B51" i="57"/>
  <c r="F34" i="31"/>
  <c r="F33" i="31"/>
  <c r="F32" i="31"/>
  <c r="F31" i="31"/>
  <c r="G68" i="31"/>
  <c r="G67" i="31"/>
  <c r="G66" i="31"/>
  <c r="G63" i="31"/>
  <c r="G62" i="31"/>
  <c r="G61" i="31"/>
  <c r="D139" i="50"/>
  <c r="L28" i="48"/>
  <c r="L27" i="48"/>
  <c r="L26" i="48"/>
  <c r="L25" i="48"/>
  <c r="L23" i="48"/>
  <c r="L34" i="48" s="1"/>
  <c r="L206" i="50"/>
  <c r="K206" i="50"/>
  <c r="L203" i="50"/>
  <c r="K203" i="50"/>
  <c r="J203" i="50"/>
  <c r="I203" i="50"/>
  <c r="H203" i="50"/>
  <c r="G203" i="50"/>
  <c r="F203" i="50"/>
  <c r="E203" i="50"/>
  <c r="L202" i="50"/>
  <c r="K202" i="50"/>
  <c r="J202" i="50"/>
  <c r="I202" i="50"/>
  <c r="H202" i="50"/>
  <c r="G202" i="50"/>
  <c r="F202" i="50"/>
  <c r="E202" i="50"/>
  <c r="L201" i="50"/>
  <c r="K201" i="50"/>
  <c r="J201" i="50"/>
  <c r="I201" i="50"/>
  <c r="H201" i="50"/>
  <c r="G201" i="50"/>
  <c r="F201" i="50"/>
  <c r="E201" i="50"/>
  <c r="L200" i="50"/>
  <c r="K200" i="50"/>
  <c r="J200" i="50"/>
  <c r="I200" i="50"/>
  <c r="H200" i="50"/>
  <c r="G200" i="50"/>
  <c r="F200" i="50"/>
  <c r="E200" i="50"/>
  <c r="L199" i="50"/>
  <c r="K199" i="50"/>
  <c r="K204" i="50" s="1"/>
  <c r="J199" i="50"/>
  <c r="I199" i="50"/>
  <c r="I204" i="50" s="1"/>
  <c r="H199" i="50"/>
  <c r="G199" i="50"/>
  <c r="G204" i="50" s="1"/>
  <c r="F199" i="50"/>
  <c r="E199" i="50"/>
  <c r="E204" i="50" s="1"/>
  <c r="H196" i="50"/>
  <c r="G196" i="50"/>
  <c r="F196" i="50"/>
  <c r="E196" i="50"/>
  <c r="H195" i="50"/>
  <c r="G195" i="50"/>
  <c r="F195" i="50"/>
  <c r="E195" i="50"/>
  <c r="H194" i="50"/>
  <c r="H197" i="50" s="1"/>
  <c r="G194" i="50"/>
  <c r="F194" i="50"/>
  <c r="F197" i="50" s="1"/>
  <c r="E194" i="50"/>
  <c r="E197" i="50" s="1"/>
  <c r="L191" i="50"/>
  <c r="K191" i="50"/>
  <c r="J191" i="50"/>
  <c r="I191" i="50"/>
  <c r="H191" i="50"/>
  <c r="G191" i="50"/>
  <c r="F191" i="50"/>
  <c r="E191" i="50"/>
  <c r="L190" i="50"/>
  <c r="K190" i="50"/>
  <c r="J190" i="50"/>
  <c r="I190" i="50"/>
  <c r="H190" i="50"/>
  <c r="G190" i="50"/>
  <c r="F190" i="50"/>
  <c r="E190" i="50"/>
  <c r="L189" i="50"/>
  <c r="K189" i="50"/>
  <c r="J189" i="50"/>
  <c r="I189" i="50"/>
  <c r="H189" i="50"/>
  <c r="G189" i="50"/>
  <c r="F189" i="50"/>
  <c r="E189" i="50"/>
  <c r="L188" i="50"/>
  <c r="L192" i="50" s="1"/>
  <c r="K188" i="50"/>
  <c r="K192" i="50" s="1"/>
  <c r="J188" i="50"/>
  <c r="I188" i="50"/>
  <c r="H188" i="50"/>
  <c r="G188" i="50"/>
  <c r="G192" i="50" s="1"/>
  <c r="F188" i="50"/>
  <c r="F192" i="50" s="1"/>
  <c r="E188" i="50"/>
  <c r="L185" i="50"/>
  <c r="K185" i="50"/>
  <c r="J185" i="50"/>
  <c r="I185" i="50"/>
  <c r="H185" i="50"/>
  <c r="G185" i="50"/>
  <c r="F185" i="50"/>
  <c r="E185" i="50"/>
  <c r="D185" i="50"/>
  <c r="C185" i="50"/>
  <c r="L184" i="50"/>
  <c r="K184" i="50"/>
  <c r="J184" i="50"/>
  <c r="I184" i="50"/>
  <c r="H184" i="50"/>
  <c r="G184" i="50"/>
  <c r="F184" i="50"/>
  <c r="E184" i="50"/>
  <c r="D184" i="50"/>
  <c r="C184" i="50"/>
  <c r="L183" i="50"/>
  <c r="K183" i="50"/>
  <c r="J183" i="50"/>
  <c r="I183" i="50"/>
  <c r="H183" i="50"/>
  <c r="G183" i="50"/>
  <c r="F183" i="50"/>
  <c r="E183" i="50"/>
  <c r="D183" i="50"/>
  <c r="C183" i="50"/>
  <c r="L182" i="50"/>
  <c r="K182" i="50"/>
  <c r="J182" i="50"/>
  <c r="I182" i="50"/>
  <c r="H182" i="50"/>
  <c r="G182" i="50"/>
  <c r="F182" i="50"/>
  <c r="E182" i="50"/>
  <c r="D182" i="50"/>
  <c r="C182" i="50"/>
  <c r="L181" i="50"/>
  <c r="K181" i="50"/>
  <c r="J181" i="50"/>
  <c r="I181" i="50"/>
  <c r="H181" i="50"/>
  <c r="G181" i="50"/>
  <c r="F181" i="50"/>
  <c r="E181" i="50"/>
  <c r="D181" i="50"/>
  <c r="C181" i="50"/>
  <c r="L180" i="50"/>
  <c r="K180" i="50"/>
  <c r="J180" i="50"/>
  <c r="I180" i="50"/>
  <c r="H180" i="50"/>
  <c r="G180" i="50"/>
  <c r="F180" i="50"/>
  <c r="E180" i="50"/>
  <c r="D180" i="50"/>
  <c r="C180" i="50"/>
  <c r="L179" i="50"/>
  <c r="K179" i="50"/>
  <c r="J179" i="50"/>
  <c r="I179" i="50"/>
  <c r="H179" i="50"/>
  <c r="G179" i="50"/>
  <c r="F179" i="50"/>
  <c r="E179" i="50"/>
  <c r="D179" i="50"/>
  <c r="C179" i="50"/>
  <c r="L178" i="50"/>
  <c r="K178" i="50"/>
  <c r="J178" i="50"/>
  <c r="I178" i="50"/>
  <c r="H178" i="50"/>
  <c r="G178" i="50"/>
  <c r="F178" i="50"/>
  <c r="E178" i="50"/>
  <c r="D178" i="50"/>
  <c r="C178" i="50"/>
  <c r="L177" i="50"/>
  <c r="K177" i="50"/>
  <c r="J177" i="50"/>
  <c r="I177" i="50"/>
  <c r="H177" i="50"/>
  <c r="G177" i="50"/>
  <c r="F177" i="50"/>
  <c r="E177" i="50"/>
  <c r="D177" i="50"/>
  <c r="C177" i="50"/>
  <c r="L176" i="50"/>
  <c r="K176" i="50"/>
  <c r="J176" i="50"/>
  <c r="I176" i="50"/>
  <c r="H176" i="50"/>
  <c r="G176" i="50"/>
  <c r="F176" i="50"/>
  <c r="E176" i="50"/>
  <c r="D176" i="50"/>
  <c r="C176" i="50"/>
  <c r="L173" i="50"/>
  <c r="K173" i="50"/>
  <c r="J173" i="50"/>
  <c r="I173" i="50"/>
  <c r="H173" i="50"/>
  <c r="G173" i="50"/>
  <c r="F173" i="50"/>
  <c r="E173" i="50"/>
  <c r="D173" i="50"/>
  <c r="C173" i="50"/>
  <c r="L172" i="50"/>
  <c r="K172" i="50"/>
  <c r="J172" i="50"/>
  <c r="I172" i="50"/>
  <c r="H172" i="50"/>
  <c r="G172" i="50"/>
  <c r="F172" i="50"/>
  <c r="E172" i="50"/>
  <c r="D172" i="50"/>
  <c r="C172" i="50"/>
  <c r="L170" i="50"/>
  <c r="K170" i="50"/>
  <c r="J170" i="50"/>
  <c r="I170" i="50"/>
  <c r="H170" i="50"/>
  <c r="G170" i="50"/>
  <c r="F170" i="50"/>
  <c r="E170" i="50"/>
  <c r="D170" i="50"/>
  <c r="C170" i="50"/>
  <c r="L169" i="50"/>
  <c r="K169" i="50"/>
  <c r="J169" i="50"/>
  <c r="I169" i="50"/>
  <c r="H169" i="50"/>
  <c r="G169" i="50"/>
  <c r="F169" i="50"/>
  <c r="E169" i="50"/>
  <c r="D169" i="50"/>
  <c r="C169" i="50"/>
  <c r="L168" i="50"/>
  <c r="K168" i="50"/>
  <c r="J168" i="50"/>
  <c r="I168" i="50"/>
  <c r="H168" i="50"/>
  <c r="G168" i="50"/>
  <c r="F168" i="50"/>
  <c r="E168" i="50"/>
  <c r="D168" i="50"/>
  <c r="C168" i="50"/>
  <c r="L167" i="50"/>
  <c r="K167" i="50"/>
  <c r="J167" i="50"/>
  <c r="I167" i="50"/>
  <c r="H167" i="50"/>
  <c r="G167" i="50"/>
  <c r="F167" i="50"/>
  <c r="E167" i="50"/>
  <c r="D167" i="50"/>
  <c r="C167" i="50"/>
  <c r="L166" i="50"/>
  <c r="K166" i="50"/>
  <c r="J166" i="50"/>
  <c r="I166" i="50"/>
  <c r="H166" i="50"/>
  <c r="G166" i="50"/>
  <c r="F166" i="50"/>
  <c r="E166" i="50"/>
  <c r="D166" i="50"/>
  <c r="C166" i="50"/>
  <c r="L165" i="50"/>
  <c r="K165" i="50"/>
  <c r="J165" i="50"/>
  <c r="J174" i="50" s="1"/>
  <c r="I165" i="50"/>
  <c r="H165" i="50"/>
  <c r="G165" i="50"/>
  <c r="F165" i="50"/>
  <c r="E165" i="50"/>
  <c r="D165" i="50"/>
  <c r="C165" i="50"/>
  <c r="L159" i="50"/>
  <c r="K159" i="50"/>
  <c r="J159" i="50"/>
  <c r="I159" i="50"/>
  <c r="H159" i="50"/>
  <c r="G159" i="50"/>
  <c r="F159" i="50"/>
  <c r="E159" i="50"/>
  <c r="D159" i="50"/>
  <c r="C159" i="50"/>
  <c r="L158" i="50"/>
  <c r="K158" i="50"/>
  <c r="J158" i="50"/>
  <c r="I158" i="50"/>
  <c r="H158" i="50"/>
  <c r="G158" i="50"/>
  <c r="F158" i="50"/>
  <c r="E158" i="50"/>
  <c r="D158" i="50"/>
  <c r="C158" i="50"/>
  <c r="L157" i="50"/>
  <c r="K157" i="50"/>
  <c r="J157" i="50"/>
  <c r="I157" i="50"/>
  <c r="H157" i="50"/>
  <c r="G157" i="50"/>
  <c r="F157" i="50"/>
  <c r="E157" i="50"/>
  <c r="D157" i="50"/>
  <c r="C157" i="50"/>
  <c r="L156" i="50"/>
  <c r="K156" i="50"/>
  <c r="J156" i="50"/>
  <c r="I156" i="50"/>
  <c r="H156" i="50"/>
  <c r="G156" i="50"/>
  <c r="F156" i="50"/>
  <c r="E156" i="50"/>
  <c r="D156" i="50"/>
  <c r="C156" i="50"/>
  <c r="L155" i="50"/>
  <c r="K155" i="50"/>
  <c r="J155" i="50"/>
  <c r="I155" i="50"/>
  <c r="H155" i="50"/>
  <c r="G155" i="50"/>
  <c r="F155" i="50"/>
  <c r="E155" i="50"/>
  <c r="D155" i="50"/>
  <c r="C155" i="50"/>
  <c r="L154" i="50"/>
  <c r="K154" i="50"/>
  <c r="J154" i="50"/>
  <c r="I154" i="50"/>
  <c r="H154" i="50"/>
  <c r="G154" i="50"/>
  <c r="F154" i="50"/>
  <c r="E154" i="50"/>
  <c r="D154" i="50"/>
  <c r="C154" i="50"/>
  <c r="L153" i="50"/>
  <c r="K153" i="50"/>
  <c r="J153" i="50"/>
  <c r="I153" i="50"/>
  <c r="H153" i="50"/>
  <c r="G153" i="50"/>
  <c r="F153" i="50"/>
  <c r="E153" i="50"/>
  <c r="D153" i="50"/>
  <c r="C153" i="50"/>
  <c r="L152" i="50"/>
  <c r="K152" i="50"/>
  <c r="J152" i="50"/>
  <c r="I152" i="50"/>
  <c r="H152" i="50"/>
  <c r="G152" i="50"/>
  <c r="F152" i="50"/>
  <c r="E152" i="50"/>
  <c r="D152" i="50"/>
  <c r="C152" i="50"/>
  <c r="L150" i="50"/>
  <c r="K150" i="50"/>
  <c r="J150" i="50"/>
  <c r="I150" i="50"/>
  <c r="H150" i="50"/>
  <c r="G150" i="50"/>
  <c r="F150" i="50"/>
  <c r="E150" i="50"/>
  <c r="D150" i="50"/>
  <c r="C150" i="50"/>
  <c r="L149" i="50"/>
  <c r="K149" i="50"/>
  <c r="J149" i="50"/>
  <c r="I149" i="50"/>
  <c r="H149" i="50"/>
  <c r="G149" i="50"/>
  <c r="F149" i="50"/>
  <c r="E149" i="50"/>
  <c r="D149" i="50"/>
  <c r="C149" i="50"/>
  <c r="L148" i="50"/>
  <c r="K148" i="50"/>
  <c r="J148" i="50"/>
  <c r="I148" i="50"/>
  <c r="H148" i="50"/>
  <c r="G148" i="50"/>
  <c r="F148" i="50"/>
  <c r="E148" i="50"/>
  <c r="D148" i="50"/>
  <c r="C148" i="50"/>
  <c r="L147" i="50"/>
  <c r="K147" i="50"/>
  <c r="J147" i="50"/>
  <c r="I147" i="50"/>
  <c r="H147" i="50"/>
  <c r="G147" i="50"/>
  <c r="F147" i="50"/>
  <c r="E147" i="50"/>
  <c r="D147" i="50"/>
  <c r="C147" i="50"/>
  <c r="L146" i="50"/>
  <c r="K146" i="50"/>
  <c r="J146" i="50"/>
  <c r="I146" i="50"/>
  <c r="H146" i="50"/>
  <c r="G146" i="50"/>
  <c r="F146" i="50"/>
  <c r="E146" i="50"/>
  <c r="D146" i="50"/>
  <c r="C146" i="50"/>
  <c r="L145" i="50"/>
  <c r="K145" i="50"/>
  <c r="J145" i="50"/>
  <c r="I145" i="50"/>
  <c r="H145" i="50"/>
  <c r="G145" i="50"/>
  <c r="F145" i="50"/>
  <c r="E145" i="50"/>
  <c r="D145" i="50"/>
  <c r="C145" i="50"/>
  <c r="L144" i="50"/>
  <c r="K144" i="50"/>
  <c r="J144" i="50"/>
  <c r="I144" i="50"/>
  <c r="H144" i="50"/>
  <c r="G144" i="50"/>
  <c r="F144" i="50"/>
  <c r="E144" i="50"/>
  <c r="D144" i="50"/>
  <c r="C144" i="50"/>
  <c r="L141" i="50"/>
  <c r="K141" i="50"/>
  <c r="J141" i="50"/>
  <c r="I141" i="50"/>
  <c r="H141" i="50"/>
  <c r="G141" i="50"/>
  <c r="F141" i="50"/>
  <c r="E141" i="50"/>
  <c r="D141" i="50"/>
  <c r="C141" i="50"/>
  <c r="L140" i="50"/>
  <c r="K140" i="50"/>
  <c r="J140" i="50"/>
  <c r="I140" i="50"/>
  <c r="H140" i="50"/>
  <c r="G140" i="50"/>
  <c r="F140" i="50"/>
  <c r="E140" i="50"/>
  <c r="D140" i="50"/>
  <c r="C140" i="50"/>
  <c r="L139" i="50"/>
  <c r="K139" i="50"/>
  <c r="J139" i="50"/>
  <c r="I139" i="50"/>
  <c r="H139" i="50"/>
  <c r="G139" i="50"/>
  <c r="F139" i="50"/>
  <c r="E139" i="50"/>
  <c r="C139" i="50"/>
  <c r="L138" i="50"/>
  <c r="K138" i="50"/>
  <c r="J138" i="50"/>
  <c r="I138" i="50"/>
  <c r="H138" i="50"/>
  <c r="G138" i="50"/>
  <c r="F138" i="50"/>
  <c r="E138" i="50"/>
  <c r="D138" i="50"/>
  <c r="C138" i="50"/>
  <c r="L136" i="50"/>
  <c r="K136" i="50"/>
  <c r="J136" i="50"/>
  <c r="I136" i="50"/>
  <c r="H136" i="50"/>
  <c r="G136" i="50"/>
  <c r="F136" i="50"/>
  <c r="E136" i="50"/>
  <c r="D136" i="50"/>
  <c r="C136" i="50"/>
  <c r="L135" i="50"/>
  <c r="K135" i="50"/>
  <c r="J135" i="50"/>
  <c r="I135" i="50"/>
  <c r="H135" i="50"/>
  <c r="G135" i="50"/>
  <c r="F135" i="50"/>
  <c r="E135" i="50"/>
  <c r="D135" i="50"/>
  <c r="C135" i="50"/>
  <c r="L134" i="50"/>
  <c r="K134" i="50"/>
  <c r="J134" i="50"/>
  <c r="I134" i="50"/>
  <c r="H134" i="50"/>
  <c r="G134" i="50"/>
  <c r="F134" i="50"/>
  <c r="E134" i="50"/>
  <c r="D134" i="50"/>
  <c r="C134" i="50"/>
  <c r="L133" i="50"/>
  <c r="K133" i="50"/>
  <c r="J133" i="50"/>
  <c r="I133" i="50"/>
  <c r="H133" i="50"/>
  <c r="G133" i="50"/>
  <c r="F133" i="50"/>
  <c r="E133" i="50"/>
  <c r="D133" i="50"/>
  <c r="C133" i="50"/>
  <c r="L132" i="50"/>
  <c r="K132" i="50"/>
  <c r="J132" i="50"/>
  <c r="I132" i="50"/>
  <c r="H132" i="50"/>
  <c r="G132" i="50"/>
  <c r="F132" i="50"/>
  <c r="E132" i="50"/>
  <c r="D132" i="50"/>
  <c r="C132" i="50"/>
  <c r="L131" i="50"/>
  <c r="K131" i="50"/>
  <c r="J131" i="50"/>
  <c r="I131" i="50"/>
  <c r="H131" i="50"/>
  <c r="G131" i="50"/>
  <c r="F131" i="50"/>
  <c r="E131" i="50"/>
  <c r="D131" i="50"/>
  <c r="Y142" i="50"/>
  <c r="Z142" i="50"/>
  <c r="AA142" i="50"/>
  <c r="AB142" i="50"/>
  <c r="AC142" i="50"/>
  <c r="AD142" i="50"/>
  <c r="AE142" i="50"/>
  <c r="AF142" i="50"/>
  <c r="W163" i="50"/>
  <c r="X163" i="50"/>
  <c r="Y163" i="50"/>
  <c r="Z163" i="50"/>
  <c r="AA163" i="50"/>
  <c r="AB163" i="50"/>
  <c r="AC163" i="50"/>
  <c r="AD163" i="50"/>
  <c r="AE163" i="50"/>
  <c r="AF163" i="50"/>
  <c r="W174" i="50"/>
  <c r="X174" i="50"/>
  <c r="Y174" i="50"/>
  <c r="Z174" i="50"/>
  <c r="AA174" i="50"/>
  <c r="AB174" i="50"/>
  <c r="AC174" i="50"/>
  <c r="AD174" i="50"/>
  <c r="AE174" i="50"/>
  <c r="AF174" i="50"/>
  <c r="W186" i="50"/>
  <c r="X186" i="50"/>
  <c r="Y186" i="50"/>
  <c r="Z186" i="50"/>
  <c r="AA186" i="50"/>
  <c r="AB186" i="50"/>
  <c r="AC186" i="50"/>
  <c r="AD186" i="50"/>
  <c r="AE186" i="50"/>
  <c r="AF186" i="50"/>
  <c r="Y192" i="50"/>
  <c r="Z192" i="50"/>
  <c r="AA192" i="50"/>
  <c r="AB192" i="50"/>
  <c r="AC192" i="50"/>
  <c r="AD192" i="50"/>
  <c r="AE192" i="50"/>
  <c r="AF192" i="50"/>
  <c r="Y197" i="50"/>
  <c r="Z197" i="50"/>
  <c r="AA197" i="50"/>
  <c r="AB197" i="50"/>
  <c r="Y204" i="50"/>
  <c r="Z204" i="50"/>
  <c r="AA204" i="50"/>
  <c r="AB204" i="50"/>
  <c r="AC204" i="50"/>
  <c r="AD204" i="50"/>
  <c r="AE204" i="50"/>
  <c r="AF204" i="50"/>
  <c r="AE216" i="50"/>
  <c r="AF216" i="50"/>
  <c r="V204" i="50"/>
  <c r="U204" i="50"/>
  <c r="T204" i="50"/>
  <c r="S204" i="50"/>
  <c r="R204" i="50"/>
  <c r="Q204" i="50"/>
  <c r="P204" i="50"/>
  <c r="O204" i="50"/>
  <c r="R197" i="50"/>
  <c r="Q197" i="50"/>
  <c r="P197" i="50"/>
  <c r="O197" i="50"/>
  <c r="V192" i="50"/>
  <c r="U192" i="50"/>
  <c r="T192" i="50"/>
  <c r="S192" i="50"/>
  <c r="R192" i="50"/>
  <c r="Q192" i="50"/>
  <c r="P192" i="50"/>
  <c r="O192" i="50"/>
  <c r="V186" i="50"/>
  <c r="U186" i="50"/>
  <c r="T186" i="50"/>
  <c r="S186" i="50"/>
  <c r="R186" i="50"/>
  <c r="Q186" i="50"/>
  <c r="P186" i="50"/>
  <c r="O186" i="50"/>
  <c r="V174" i="50"/>
  <c r="U174" i="50"/>
  <c r="T174" i="50"/>
  <c r="S174" i="50"/>
  <c r="R174" i="50"/>
  <c r="Q174" i="50"/>
  <c r="P174" i="50"/>
  <c r="O174" i="50"/>
  <c r="V142" i="50"/>
  <c r="U142" i="50"/>
  <c r="T142" i="50"/>
  <c r="S142" i="50"/>
  <c r="R142" i="50"/>
  <c r="Q142" i="50"/>
  <c r="P142" i="50"/>
  <c r="O142" i="50"/>
  <c r="F84" i="50"/>
  <c r="D84" i="50"/>
  <c r="L83" i="50"/>
  <c r="F83" i="50"/>
  <c r="D83" i="50"/>
  <c r="L82" i="50"/>
  <c r="F82" i="50"/>
  <c r="D82" i="50"/>
  <c r="L81" i="50"/>
  <c r="F81" i="50"/>
  <c r="D81" i="50"/>
  <c r="L80" i="50"/>
  <c r="F80" i="50"/>
  <c r="D80" i="50"/>
  <c r="L79" i="50"/>
  <c r="F79" i="50"/>
  <c r="D79" i="50"/>
  <c r="F78" i="50"/>
  <c r="D78" i="50"/>
  <c r="L76" i="50"/>
  <c r="K76" i="50"/>
  <c r="J76" i="50"/>
  <c r="I76" i="50"/>
  <c r="H76" i="50"/>
  <c r="G76" i="50"/>
  <c r="F76" i="50"/>
  <c r="E76" i="50"/>
  <c r="F67" i="50"/>
  <c r="I40" i="50"/>
  <c r="H40" i="50"/>
  <c r="G40" i="50"/>
  <c r="F40" i="50"/>
  <c r="E40" i="50"/>
  <c r="D40" i="50"/>
  <c r="C40" i="50"/>
  <c r="I39" i="50"/>
  <c r="H39" i="50"/>
  <c r="G39" i="50"/>
  <c r="F39" i="50"/>
  <c r="E39" i="50"/>
  <c r="D39" i="50"/>
  <c r="C39" i="50"/>
  <c r="I38" i="50"/>
  <c r="H38" i="50"/>
  <c r="G38" i="50"/>
  <c r="F38" i="50"/>
  <c r="E38" i="50"/>
  <c r="D38" i="50"/>
  <c r="C38" i="50"/>
  <c r="I37" i="50"/>
  <c r="H37" i="50"/>
  <c r="G37" i="50"/>
  <c r="F37" i="50"/>
  <c r="E37" i="50"/>
  <c r="D37" i="50"/>
  <c r="C37" i="50"/>
  <c r="I36" i="50"/>
  <c r="H36" i="50"/>
  <c r="G36" i="50"/>
  <c r="F36" i="50"/>
  <c r="E36" i="50"/>
  <c r="D36" i="50"/>
  <c r="C36" i="50"/>
  <c r="I35" i="50"/>
  <c r="H35" i="50"/>
  <c r="G35" i="50"/>
  <c r="F35" i="50"/>
  <c r="E35" i="50"/>
  <c r="D35" i="50"/>
  <c r="L17" i="50"/>
  <c r="K17" i="50"/>
  <c r="J17" i="50"/>
  <c r="I17" i="50"/>
  <c r="H17" i="50"/>
  <c r="G17" i="50"/>
  <c r="F17" i="50"/>
  <c r="E17" i="50"/>
  <c r="D17" i="50"/>
  <c r="D4" i="50" s="1"/>
  <c r="D6" i="50" s="1"/>
  <c r="C17" i="50"/>
  <c r="L12" i="50"/>
  <c r="L18" i="50" s="1"/>
  <c r="F12" i="50"/>
  <c r="F18" i="50" s="1"/>
  <c r="F4" i="50" s="1"/>
  <c r="F6" i="50" s="1"/>
  <c r="F45" i="50" s="1"/>
  <c r="L206" i="45"/>
  <c r="K206" i="45"/>
  <c r="L203" i="45"/>
  <c r="K203" i="45"/>
  <c r="J203" i="45"/>
  <c r="I203" i="45"/>
  <c r="H203" i="45"/>
  <c r="G203" i="45"/>
  <c r="F203" i="45"/>
  <c r="E203" i="45"/>
  <c r="L202" i="45"/>
  <c r="K202" i="45"/>
  <c r="J202" i="45"/>
  <c r="I202" i="45"/>
  <c r="H202" i="45"/>
  <c r="G202" i="45"/>
  <c r="F202" i="45"/>
  <c r="E202" i="45"/>
  <c r="L201" i="45"/>
  <c r="K201" i="45"/>
  <c r="J201" i="45"/>
  <c r="I201" i="45"/>
  <c r="H201" i="45"/>
  <c r="G201" i="45"/>
  <c r="F201" i="45"/>
  <c r="E201" i="45"/>
  <c r="L200" i="45"/>
  <c r="K200" i="45"/>
  <c r="J200" i="45"/>
  <c r="I200" i="45"/>
  <c r="H200" i="45"/>
  <c r="G200" i="45"/>
  <c r="F200" i="45"/>
  <c r="E200" i="45"/>
  <c r="L199" i="45"/>
  <c r="K199" i="45"/>
  <c r="J199" i="45"/>
  <c r="I199" i="45"/>
  <c r="I204" i="45" s="1"/>
  <c r="H199" i="45"/>
  <c r="H204" i="45" s="1"/>
  <c r="G199" i="45"/>
  <c r="F199" i="45"/>
  <c r="E199" i="45"/>
  <c r="H196" i="45"/>
  <c r="G196" i="45"/>
  <c r="F196" i="45"/>
  <c r="E196" i="45"/>
  <c r="H195" i="45"/>
  <c r="G195" i="45"/>
  <c r="F195" i="45"/>
  <c r="E195" i="45"/>
  <c r="H194" i="45"/>
  <c r="H197" i="45" s="1"/>
  <c r="G194" i="45"/>
  <c r="G197" i="45" s="1"/>
  <c r="F194" i="45"/>
  <c r="F197" i="45" s="1"/>
  <c r="E194" i="45"/>
  <c r="L191" i="45"/>
  <c r="K191" i="45"/>
  <c r="J191" i="45"/>
  <c r="I191" i="45"/>
  <c r="H191" i="45"/>
  <c r="G191" i="45"/>
  <c r="F191" i="45"/>
  <c r="E191" i="45"/>
  <c r="L190" i="45"/>
  <c r="K190" i="45"/>
  <c r="J190" i="45"/>
  <c r="I190" i="45"/>
  <c r="H190" i="45"/>
  <c r="G190" i="45"/>
  <c r="F190" i="45"/>
  <c r="E190" i="45"/>
  <c r="L189" i="45"/>
  <c r="K189" i="45"/>
  <c r="J189" i="45"/>
  <c r="I189" i="45"/>
  <c r="H189" i="45"/>
  <c r="G189" i="45"/>
  <c r="F189" i="45"/>
  <c r="E189" i="45"/>
  <c r="L188" i="45"/>
  <c r="L192" i="45"/>
  <c r="K188" i="45"/>
  <c r="J188" i="45"/>
  <c r="I188" i="45"/>
  <c r="H188" i="45"/>
  <c r="G188" i="45"/>
  <c r="F188" i="45"/>
  <c r="E188" i="45"/>
  <c r="L185" i="45"/>
  <c r="K185" i="45"/>
  <c r="J185" i="45"/>
  <c r="I185" i="45"/>
  <c r="H185" i="45"/>
  <c r="G185" i="45"/>
  <c r="F185" i="45"/>
  <c r="E185" i="45"/>
  <c r="D185" i="45"/>
  <c r="C185" i="45"/>
  <c r="L184" i="45"/>
  <c r="K184" i="45"/>
  <c r="J184" i="45"/>
  <c r="I184" i="45"/>
  <c r="H184" i="45"/>
  <c r="G184" i="45"/>
  <c r="F184" i="45"/>
  <c r="E184" i="45"/>
  <c r="D184" i="45"/>
  <c r="C184" i="45"/>
  <c r="L183" i="45"/>
  <c r="K183" i="45"/>
  <c r="J183" i="45"/>
  <c r="I183" i="45"/>
  <c r="H183" i="45"/>
  <c r="G183" i="45"/>
  <c r="F183" i="45"/>
  <c r="E183" i="45"/>
  <c r="D183" i="45"/>
  <c r="C183" i="45"/>
  <c r="L182" i="45"/>
  <c r="K182" i="45"/>
  <c r="J182" i="45"/>
  <c r="I182" i="45"/>
  <c r="H182" i="45"/>
  <c r="G182" i="45"/>
  <c r="F182" i="45"/>
  <c r="E182" i="45"/>
  <c r="D182" i="45"/>
  <c r="C182" i="45"/>
  <c r="L181" i="45"/>
  <c r="K181" i="45"/>
  <c r="J181" i="45"/>
  <c r="I181" i="45"/>
  <c r="H181" i="45"/>
  <c r="G181" i="45"/>
  <c r="F181" i="45"/>
  <c r="E181" i="45"/>
  <c r="D181" i="45"/>
  <c r="C181" i="45"/>
  <c r="L180" i="45"/>
  <c r="K180" i="45"/>
  <c r="J180" i="45"/>
  <c r="I180" i="45"/>
  <c r="H180" i="45"/>
  <c r="G180" i="45"/>
  <c r="F180" i="45"/>
  <c r="E180" i="45"/>
  <c r="D180" i="45"/>
  <c r="C180" i="45"/>
  <c r="L179" i="45"/>
  <c r="K179" i="45"/>
  <c r="J179" i="45"/>
  <c r="I179" i="45"/>
  <c r="H179" i="45"/>
  <c r="G179" i="45"/>
  <c r="F179" i="45"/>
  <c r="E179" i="45"/>
  <c r="D179" i="45"/>
  <c r="C179" i="45"/>
  <c r="L178" i="45"/>
  <c r="K178" i="45"/>
  <c r="J178" i="45"/>
  <c r="I178" i="45"/>
  <c r="H178" i="45"/>
  <c r="G178" i="45"/>
  <c r="F178" i="45"/>
  <c r="E178" i="45"/>
  <c r="D178" i="45"/>
  <c r="C178" i="45"/>
  <c r="L177" i="45"/>
  <c r="K177" i="45"/>
  <c r="J177" i="45"/>
  <c r="I177" i="45"/>
  <c r="H177" i="45"/>
  <c r="G177" i="45"/>
  <c r="F177" i="45"/>
  <c r="E177" i="45"/>
  <c r="D177" i="45"/>
  <c r="C177" i="45"/>
  <c r="L176" i="45"/>
  <c r="K176" i="45"/>
  <c r="J176" i="45"/>
  <c r="J186" i="45" s="1"/>
  <c r="I176" i="45"/>
  <c r="H176" i="45"/>
  <c r="G176" i="45"/>
  <c r="F176" i="45"/>
  <c r="E176" i="45"/>
  <c r="D176" i="45"/>
  <c r="C176" i="45"/>
  <c r="L173" i="45"/>
  <c r="K173" i="45"/>
  <c r="J173" i="45"/>
  <c r="I173" i="45"/>
  <c r="H173" i="45"/>
  <c r="G173" i="45"/>
  <c r="F173" i="45"/>
  <c r="E173" i="45"/>
  <c r="D173" i="45"/>
  <c r="C173" i="45"/>
  <c r="L172" i="45"/>
  <c r="K172" i="45"/>
  <c r="J172" i="45"/>
  <c r="I172" i="45"/>
  <c r="H172" i="45"/>
  <c r="G172" i="45"/>
  <c r="F172" i="45"/>
  <c r="E172" i="45"/>
  <c r="D172" i="45"/>
  <c r="C172" i="45"/>
  <c r="L170" i="45"/>
  <c r="K170" i="45"/>
  <c r="J170" i="45"/>
  <c r="I170" i="45"/>
  <c r="H170" i="45"/>
  <c r="G170" i="45"/>
  <c r="F170" i="45"/>
  <c r="E170" i="45"/>
  <c r="D170" i="45"/>
  <c r="C170" i="45"/>
  <c r="L169" i="45"/>
  <c r="K169" i="45"/>
  <c r="J169" i="45"/>
  <c r="I169" i="45"/>
  <c r="H169" i="45"/>
  <c r="G169" i="45"/>
  <c r="F169" i="45"/>
  <c r="E169" i="45"/>
  <c r="D169" i="45"/>
  <c r="C169" i="45"/>
  <c r="L168" i="45"/>
  <c r="K168" i="45"/>
  <c r="J168" i="45"/>
  <c r="I168" i="45"/>
  <c r="H168" i="45"/>
  <c r="G168" i="45"/>
  <c r="F168" i="45"/>
  <c r="E168" i="45"/>
  <c r="D168" i="45"/>
  <c r="C168" i="45"/>
  <c r="L167" i="45"/>
  <c r="K167" i="45"/>
  <c r="J167" i="45"/>
  <c r="I167" i="45"/>
  <c r="H167" i="45"/>
  <c r="G167" i="45"/>
  <c r="F167" i="45"/>
  <c r="E167" i="45"/>
  <c r="D167" i="45"/>
  <c r="C167" i="45"/>
  <c r="L166" i="45"/>
  <c r="K166" i="45"/>
  <c r="J166" i="45"/>
  <c r="I166" i="45"/>
  <c r="H166" i="45"/>
  <c r="G166" i="45"/>
  <c r="F166" i="45"/>
  <c r="E166" i="45"/>
  <c r="D166" i="45"/>
  <c r="C166" i="45"/>
  <c r="L165" i="45"/>
  <c r="K165" i="45"/>
  <c r="J165" i="45"/>
  <c r="J174" i="45" s="1"/>
  <c r="I165" i="45"/>
  <c r="H165" i="45"/>
  <c r="G165" i="45"/>
  <c r="F165" i="45"/>
  <c r="F174" i="45" s="1"/>
  <c r="E165" i="45"/>
  <c r="D165" i="45"/>
  <c r="C165" i="45"/>
  <c r="L159" i="45"/>
  <c r="K159" i="45"/>
  <c r="J159" i="45"/>
  <c r="I159" i="45"/>
  <c r="H159" i="45"/>
  <c r="G159" i="45"/>
  <c r="F159" i="45"/>
  <c r="E159" i="45"/>
  <c r="D159" i="45"/>
  <c r="C159" i="45"/>
  <c r="L158" i="45"/>
  <c r="K158" i="45"/>
  <c r="J158" i="45"/>
  <c r="I158" i="45"/>
  <c r="H158" i="45"/>
  <c r="G158" i="45"/>
  <c r="F158" i="45"/>
  <c r="E158" i="45"/>
  <c r="D158" i="45"/>
  <c r="C158" i="45"/>
  <c r="L157" i="45"/>
  <c r="K157" i="45"/>
  <c r="J157" i="45"/>
  <c r="I157" i="45"/>
  <c r="H157" i="45"/>
  <c r="G157" i="45"/>
  <c r="F157" i="45"/>
  <c r="E157" i="45"/>
  <c r="D157" i="45"/>
  <c r="C157" i="45"/>
  <c r="L156" i="45"/>
  <c r="K156" i="45"/>
  <c r="J156" i="45"/>
  <c r="I156" i="45"/>
  <c r="H156" i="45"/>
  <c r="G156" i="45"/>
  <c r="F156" i="45"/>
  <c r="E156" i="45"/>
  <c r="D156" i="45"/>
  <c r="C156" i="45"/>
  <c r="L155" i="45"/>
  <c r="K155" i="45"/>
  <c r="J155" i="45"/>
  <c r="I155" i="45"/>
  <c r="H155" i="45"/>
  <c r="G155" i="45"/>
  <c r="F155" i="45"/>
  <c r="E155" i="45"/>
  <c r="D155" i="45"/>
  <c r="C155" i="45"/>
  <c r="L154" i="45"/>
  <c r="K154" i="45"/>
  <c r="J154" i="45"/>
  <c r="I154" i="45"/>
  <c r="H154" i="45"/>
  <c r="G154" i="45"/>
  <c r="F154" i="45"/>
  <c r="E154" i="45"/>
  <c r="D154" i="45"/>
  <c r="C154" i="45"/>
  <c r="L153" i="45"/>
  <c r="K153" i="45"/>
  <c r="J153" i="45"/>
  <c r="I153" i="45"/>
  <c r="H153" i="45"/>
  <c r="G153" i="45"/>
  <c r="F153" i="45"/>
  <c r="E153" i="45"/>
  <c r="D153" i="45"/>
  <c r="C153" i="45"/>
  <c r="L152" i="45"/>
  <c r="K152" i="45"/>
  <c r="J152" i="45"/>
  <c r="I152" i="45"/>
  <c r="H152" i="45"/>
  <c r="G152" i="45"/>
  <c r="F152" i="45"/>
  <c r="E152" i="45"/>
  <c r="D152" i="45"/>
  <c r="C152" i="45"/>
  <c r="L150" i="45"/>
  <c r="K150" i="45"/>
  <c r="J150" i="45"/>
  <c r="I150" i="45"/>
  <c r="H150" i="45"/>
  <c r="G150" i="45"/>
  <c r="F150" i="45"/>
  <c r="E150" i="45"/>
  <c r="D150" i="45"/>
  <c r="C150" i="45"/>
  <c r="L149" i="45"/>
  <c r="K149" i="45"/>
  <c r="J149" i="45"/>
  <c r="I149" i="45"/>
  <c r="H149" i="45"/>
  <c r="G149" i="45"/>
  <c r="F149" i="45"/>
  <c r="E149" i="45"/>
  <c r="D149" i="45"/>
  <c r="C149" i="45"/>
  <c r="L148" i="45"/>
  <c r="K148" i="45"/>
  <c r="J148" i="45"/>
  <c r="I148" i="45"/>
  <c r="H148" i="45"/>
  <c r="G148" i="45"/>
  <c r="F148" i="45"/>
  <c r="E148" i="45"/>
  <c r="D148" i="45"/>
  <c r="C148" i="45"/>
  <c r="L147" i="45"/>
  <c r="K147" i="45"/>
  <c r="J147" i="45"/>
  <c r="I147" i="45"/>
  <c r="H147" i="45"/>
  <c r="G147" i="45"/>
  <c r="F147" i="45"/>
  <c r="E147" i="45"/>
  <c r="D147" i="45"/>
  <c r="C147" i="45"/>
  <c r="L146" i="45"/>
  <c r="K146" i="45"/>
  <c r="J146" i="45"/>
  <c r="I146" i="45"/>
  <c r="H146" i="45"/>
  <c r="G146" i="45"/>
  <c r="F146" i="45"/>
  <c r="E146" i="45"/>
  <c r="D146" i="45"/>
  <c r="C146" i="45"/>
  <c r="L145" i="45"/>
  <c r="K145" i="45"/>
  <c r="J145" i="45"/>
  <c r="I145" i="45"/>
  <c r="H145" i="45"/>
  <c r="G145" i="45"/>
  <c r="F145" i="45"/>
  <c r="E145" i="45"/>
  <c r="D145" i="45"/>
  <c r="C145" i="45"/>
  <c r="L144" i="45"/>
  <c r="L163" i="45" s="1"/>
  <c r="K144" i="45"/>
  <c r="J144" i="45"/>
  <c r="I144" i="45"/>
  <c r="H144" i="45"/>
  <c r="H163" i="45" s="1"/>
  <c r="G144" i="45"/>
  <c r="F144" i="45"/>
  <c r="E144" i="45"/>
  <c r="D144" i="45"/>
  <c r="D163" i="45" s="1"/>
  <c r="C144" i="45"/>
  <c r="L141" i="45"/>
  <c r="K141" i="45"/>
  <c r="J141" i="45"/>
  <c r="I141" i="45"/>
  <c r="H141" i="45"/>
  <c r="G141" i="45"/>
  <c r="F141" i="45"/>
  <c r="E141" i="45"/>
  <c r="D141" i="45"/>
  <c r="C141" i="45"/>
  <c r="L140" i="45"/>
  <c r="K140" i="45"/>
  <c r="J140" i="45"/>
  <c r="I140" i="45"/>
  <c r="H140" i="45"/>
  <c r="G140" i="45"/>
  <c r="F140" i="45"/>
  <c r="E140" i="45"/>
  <c r="D140" i="45"/>
  <c r="C140" i="45"/>
  <c r="L139" i="45"/>
  <c r="K139" i="45"/>
  <c r="J139" i="45"/>
  <c r="I139" i="45"/>
  <c r="H139" i="45"/>
  <c r="G139" i="45"/>
  <c r="F139" i="45"/>
  <c r="E139" i="45"/>
  <c r="D139" i="45"/>
  <c r="C139" i="45"/>
  <c r="L138" i="45"/>
  <c r="K138" i="45"/>
  <c r="J138" i="45"/>
  <c r="I138" i="45"/>
  <c r="H138" i="45"/>
  <c r="G138" i="45"/>
  <c r="F138" i="45"/>
  <c r="E138" i="45"/>
  <c r="D138" i="45"/>
  <c r="C138" i="45"/>
  <c r="L136" i="45"/>
  <c r="K136" i="45"/>
  <c r="J136" i="45"/>
  <c r="I136" i="45"/>
  <c r="H136" i="45"/>
  <c r="G136" i="45"/>
  <c r="F136" i="45"/>
  <c r="E136" i="45"/>
  <c r="D136" i="45"/>
  <c r="C136" i="45"/>
  <c r="L135" i="45"/>
  <c r="K135" i="45"/>
  <c r="J135" i="45"/>
  <c r="I135" i="45"/>
  <c r="H135" i="45"/>
  <c r="G135" i="45"/>
  <c r="F135" i="45"/>
  <c r="E135" i="45"/>
  <c r="D135" i="45"/>
  <c r="C135" i="45"/>
  <c r="L134" i="45"/>
  <c r="K134" i="45"/>
  <c r="J134" i="45"/>
  <c r="I134" i="45"/>
  <c r="H134" i="45"/>
  <c r="G134" i="45"/>
  <c r="F134" i="45"/>
  <c r="E134" i="45"/>
  <c r="D134" i="45"/>
  <c r="C134" i="45"/>
  <c r="L133" i="45"/>
  <c r="K133" i="45"/>
  <c r="J133" i="45"/>
  <c r="I133" i="45"/>
  <c r="H133" i="45"/>
  <c r="G133" i="45"/>
  <c r="F133" i="45"/>
  <c r="E133" i="45"/>
  <c r="D133" i="45"/>
  <c r="C133" i="45"/>
  <c r="L132" i="45"/>
  <c r="K132" i="45"/>
  <c r="J132" i="45"/>
  <c r="J142" i="45" s="1"/>
  <c r="I132" i="45"/>
  <c r="H132" i="45"/>
  <c r="G132" i="45"/>
  <c r="F132" i="45"/>
  <c r="E132" i="45"/>
  <c r="D132" i="45"/>
  <c r="C132" i="45"/>
  <c r="L131" i="45"/>
  <c r="L142" i="45" s="1"/>
  <c r="K131" i="45"/>
  <c r="J131" i="45"/>
  <c r="I131" i="45"/>
  <c r="H131" i="45"/>
  <c r="H142" i="45" s="1"/>
  <c r="G131" i="45"/>
  <c r="F131" i="45"/>
  <c r="E131" i="45"/>
  <c r="D131" i="45"/>
  <c r="C131" i="45"/>
  <c r="AF216" i="45"/>
  <c r="AE216" i="45"/>
  <c r="AF204" i="45"/>
  <c r="AE204" i="45"/>
  <c r="AD204" i="45"/>
  <c r="AC204" i="45"/>
  <c r="AB204" i="45"/>
  <c r="AA204" i="45"/>
  <c r="Z204" i="45"/>
  <c r="Y204" i="45"/>
  <c r="AB197" i="45"/>
  <c r="AA197" i="45"/>
  <c r="Z197" i="45"/>
  <c r="Y197" i="45"/>
  <c r="AF192" i="45"/>
  <c r="AE192" i="45"/>
  <c r="AD192" i="45"/>
  <c r="AC192" i="45"/>
  <c r="AB192" i="45"/>
  <c r="AA192" i="45"/>
  <c r="Z192" i="45"/>
  <c r="Y192" i="45"/>
  <c r="AF186" i="45"/>
  <c r="AE186" i="45"/>
  <c r="AD186" i="45"/>
  <c r="AC186" i="45"/>
  <c r="AB186" i="45"/>
  <c r="AA186" i="45"/>
  <c r="Z186" i="45"/>
  <c r="Y186" i="45"/>
  <c r="AF174" i="45"/>
  <c r="AE174" i="45"/>
  <c r="AD174" i="45"/>
  <c r="AC174" i="45"/>
  <c r="AB174" i="45"/>
  <c r="AA174" i="45"/>
  <c r="Z174" i="45"/>
  <c r="Y174" i="45"/>
  <c r="AF163" i="45"/>
  <c r="AE163" i="45"/>
  <c r="AD163" i="45"/>
  <c r="AC163" i="45"/>
  <c r="AB163" i="45"/>
  <c r="AA163" i="45"/>
  <c r="Z163" i="45"/>
  <c r="Y163" i="45"/>
  <c r="AF142" i="45"/>
  <c r="AE142" i="45"/>
  <c r="AD142" i="45"/>
  <c r="AC142" i="45"/>
  <c r="AB142" i="45"/>
  <c r="AA142" i="45"/>
  <c r="Z142" i="45"/>
  <c r="Y142" i="45"/>
  <c r="V204" i="45"/>
  <c r="U204" i="45"/>
  <c r="T204" i="45"/>
  <c r="S204" i="45"/>
  <c r="R204" i="45"/>
  <c r="Q204" i="45"/>
  <c r="P204" i="45"/>
  <c r="O204" i="45"/>
  <c r="R197" i="45"/>
  <c r="Q197" i="45"/>
  <c r="P197" i="45"/>
  <c r="O197" i="45"/>
  <c r="V192" i="45"/>
  <c r="U192" i="45"/>
  <c r="T192" i="45"/>
  <c r="S192" i="45"/>
  <c r="R192" i="45"/>
  <c r="Q192" i="45"/>
  <c r="P192" i="45"/>
  <c r="O192" i="45"/>
  <c r="V186" i="45"/>
  <c r="U186" i="45"/>
  <c r="T186" i="45"/>
  <c r="S186" i="45"/>
  <c r="R186" i="45"/>
  <c r="Q186" i="45"/>
  <c r="P186" i="45"/>
  <c r="O186" i="45"/>
  <c r="N186" i="45"/>
  <c r="M186" i="45"/>
  <c r="V174" i="45"/>
  <c r="U174" i="45"/>
  <c r="T174" i="45"/>
  <c r="S174" i="45"/>
  <c r="R174" i="45"/>
  <c r="Q174" i="45"/>
  <c r="P174" i="45"/>
  <c r="O174" i="45"/>
  <c r="N174" i="45"/>
  <c r="M174" i="45"/>
  <c r="V142" i="45"/>
  <c r="U142" i="45"/>
  <c r="T142" i="45"/>
  <c r="S142" i="45"/>
  <c r="R142" i="45"/>
  <c r="Q142" i="45"/>
  <c r="P142" i="45"/>
  <c r="O142" i="45"/>
  <c r="N142" i="45"/>
  <c r="M142" i="45"/>
  <c r="F84" i="45"/>
  <c r="D84" i="45"/>
  <c r="L83" i="45"/>
  <c r="F83" i="45"/>
  <c r="D83" i="45"/>
  <c r="L82" i="45"/>
  <c r="F82" i="45"/>
  <c r="D82" i="45"/>
  <c r="L81" i="45"/>
  <c r="F81" i="45"/>
  <c r="D81" i="45"/>
  <c r="L80" i="45"/>
  <c r="F80" i="45"/>
  <c r="D80" i="45"/>
  <c r="L79" i="45"/>
  <c r="F79" i="45"/>
  <c r="D79" i="45"/>
  <c r="F78" i="45"/>
  <c r="D78" i="45"/>
  <c r="L76" i="45"/>
  <c r="K76" i="45"/>
  <c r="J76" i="45"/>
  <c r="I76" i="45"/>
  <c r="H76" i="45"/>
  <c r="G76" i="45"/>
  <c r="F76" i="45"/>
  <c r="E76" i="45"/>
  <c r="F67" i="45"/>
  <c r="D67" i="45"/>
  <c r="I40" i="45"/>
  <c r="H40" i="45"/>
  <c r="G40" i="45"/>
  <c r="F40" i="45"/>
  <c r="E40" i="45"/>
  <c r="D40" i="45"/>
  <c r="C40" i="45"/>
  <c r="I39" i="45"/>
  <c r="H39" i="45"/>
  <c r="G39" i="45"/>
  <c r="F39" i="45"/>
  <c r="E39" i="45"/>
  <c r="D39" i="45"/>
  <c r="C39" i="45"/>
  <c r="I38" i="45"/>
  <c r="H38" i="45"/>
  <c r="G38" i="45"/>
  <c r="F38" i="45"/>
  <c r="E38" i="45"/>
  <c r="D38" i="45"/>
  <c r="C38" i="45"/>
  <c r="I37" i="45"/>
  <c r="H37" i="45"/>
  <c r="G37" i="45"/>
  <c r="F37" i="45"/>
  <c r="E37" i="45"/>
  <c r="D37" i="45"/>
  <c r="C37" i="45"/>
  <c r="I36" i="45"/>
  <c r="H36" i="45"/>
  <c r="G36" i="45"/>
  <c r="F36" i="45"/>
  <c r="E36" i="45"/>
  <c r="D36" i="45"/>
  <c r="C36" i="45"/>
  <c r="I35" i="45"/>
  <c r="H35" i="45"/>
  <c r="G35" i="45"/>
  <c r="F35" i="45"/>
  <c r="E35" i="45"/>
  <c r="D35" i="45"/>
  <c r="C35" i="45"/>
  <c r="L17" i="45"/>
  <c r="K17" i="45"/>
  <c r="J17" i="45"/>
  <c r="I17" i="45"/>
  <c r="H17" i="45"/>
  <c r="G17" i="45"/>
  <c r="F17" i="45"/>
  <c r="E17" i="45"/>
  <c r="D17" i="45"/>
  <c r="D4" i="45" s="1"/>
  <c r="D6" i="45" s="1"/>
  <c r="C17" i="45"/>
  <c r="L12" i="45"/>
  <c r="L18" i="45" s="1"/>
  <c r="F12" i="45"/>
  <c r="F18" i="45" s="1"/>
  <c r="L5" i="45"/>
  <c r="K5" i="45"/>
  <c r="J5" i="45"/>
  <c r="I5" i="45"/>
  <c r="H5" i="45"/>
  <c r="G5" i="45"/>
  <c r="F5" i="45"/>
  <c r="E5" i="45"/>
  <c r="L5" i="43"/>
  <c r="K5" i="43"/>
  <c r="J5" i="43"/>
  <c r="I5" i="43"/>
  <c r="H5" i="43"/>
  <c r="G5" i="43"/>
  <c r="F5" i="43"/>
  <c r="E5" i="43"/>
  <c r="L203" i="43"/>
  <c r="K203" i="43"/>
  <c r="J203" i="43"/>
  <c r="I203" i="43"/>
  <c r="H203" i="43"/>
  <c r="G203" i="43"/>
  <c r="F203" i="43"/>
  <c r="E203" i="43"/>
  <c r="L202" i="43"/>
  <c r="K202" i="43"/>
  <c r="J202" i="43"/>
  <c r="I202" i="43"/>
  <c r="H202" i="43"/>
  <c r="G202" i="43"/>
  <c r="F202" i="43"/>
  <c r="E202" i="43"/>
  <c r="L201" i="43"/>
  <c r="K201" i="43"/>
  <c r="J201" i="43"/>
  <c r="I201" i="43"/>
  <c r="H201" i="43"/>
  <c r="G201" i="43"/>
  <c r="F201" i="43"/>
  <c r="E201" i="43"/>
  <c r="L200" i="43"/>
  <c r="K200" i="43"/>
  <c r="J200" i="43"/>
  <c r="I200" i="43"/>
  <c r="H200" i="43"/>
  <c r="G200" i="43"/>
  <c r="F200" i="43"/>
  <c r="E200" i="43"/>
  <c r="L199" i="43"/>
  <c r="L204" i="43" s="1"/>
  <c r="K199" i="43"/>
  <c r="J199" i="43"/>
  <c r="I199" i="43"/>
  <c r="H199" i="43"/>
  <c r="G199" i="43"/>
  <c r="F199" i="43"/>
  <c r="E199" i="43"/>
  <c r="H196" i="43"/>
  <c r="G196" i="43"/>
  <c r="F196" i="43"/>
  <c r="E196" i="43"/>
  <c r="H195" i="43"/>
  <c r="G195" i="43"/>
  <c r="F195" i="43"/>
  <c r="E195" i="43"/>
  <c r="H194" i="43"/>
  <c r="G194" i="43"/>
  <c r="F194" i="43"/>
  <c r="E194" i="43"/>
  <c r="L191" i="43"/>
  <c r="K191" i="43"/>
  <c r="J191" i="43"/>
  <c r="I191" i="43"/>
  <c r="H191" i="43"/>
  <c r="G191" i="43"/>
  <c r="F191" i="43"/>
  <c r="E191" i="43"/>
  <c r="L190" i="43"/>
  <c r="K190" i="43"/>
  <c r="J190" i="43"/>
  <c r="I190" i="43"/>
  <c r="H190" i="43"/>
  <c r="G190" i="43"/>
  <c r="F190" i="43"/>
  <c r="E190" i="43"/>
  <c r="L189" i="43"/>
  <c r="K189" i="43"/>
  <c r="J189" i="43"/>
  <c r="I189" i="43"/>
  <c r="H189" i="43"/>
  <c r="G189" i="43"/>
  <c r="F189" i="43"/>
  <c r="E189" i="43"/>
  <c r="L188" i="43"/>
  <c r="L192" i="43" s="1"/>
  <c r="K188" i="43"/>
  <c r="J188" i="43"/>
  <c r="I188" i="43"/>
  <c r="H188" i="43"/>
  <c r="H192" i="43" s="1"/>
  <c r="G188" i="43"/>
  <c r="F188" i="43"/>
  <c r="E188" i="43"/>
  <c r="E192" i="43" s="1"/>
  <c r="L185" i="43"/>
  <c r="K185" i="43"/>
  <c r="J185" i="43"/>
  <c r="I185" i="43"/>
  <c r="H185" i="43"/>
  <c r="G185" i="43"/>
  <c r="F185" i="43"/>
  <c r="E185" i="43"/>
  <c r="D185" i="43"/>
  <c r="C185" i="43"/>
  <c r="L184" i="43"/>
  <c r="K184" i="43"/>
  <c r="J184" i="43"/>
  <c r="I184" i="43"/>
  <c r="H184" i="43"/>
  <c r="G184" i="43"/>
  <c r="F184" i="43"/>
  <c r="E184" i="43"/>
  <c r="D184" i="43"/>
  <c r="C184" i="43"/>
  <c r="L183" i="43"/>
  <c r="K183" i="43"/>
  <c r="J183" i="43"/>
  <c r="I183" i="43"/>
  <c r="H183" i="43"/>
  <c r="G183" i="43"/>
  <c r="F183" i="43"/>
  <c r="E183" i="43"/>
  <c r="D183" i="43"/>
  <c r="C183" i="43"/>
  <c r="L182" i="43"/>
  <c r="K182" i="43"/>
  <c r="J182" i="43"/>
  <c r="I182" i="43"/>
  <c r="H182" i="43"/>
  <c r="G182" i="43"/>
  <c r="F182" i="43"/>
  <c r="E182" i="43"/>
  <c r="D182" i="43"/>
  <c r="C182" i="43"/>
  <c r="L181" i="43"/>
  <c r="K181" i="43"/>
  <c r="J181" i="43"/>
  <c r="I181" i="43"/>
  <c r="H181" i="43"/>
  <c r="G181" i="43"/>
  <c r="F181" i="43"/>
  <c r="E181" i="43"/>
  <c r="D181" i="43"/>
  <c r="C181" i="43"/>
  <c r="L180" i="43"/>
  <c r="K180" i="43"/>
  <c r="J180" i="43"/>
  <c r="I180" i="43"/>
  <c r="H180" i="43"/>
  <c r="G180" i="43"/>
  <c r="F180" i="43"/>
  <c r="E180" i="43"/>
  <c r="D180" i="43"/>
  <c r="C180" i="43"/>
  <c r="L179" i="43"/>
  <c r="K179" i="43"/>
  <c r="J179" i="43"/>
  <c r="I179" i="43"/>
  <c r="H179" i="43"/>
  <c r="G179" i="43"/>
  <c r="F179" i="43"/>
  <c r="E179" i="43"/>
  <c r="D179" i="43"/>
  <c r="C179" i="43"/>
  <c r="L178" i="43"/>
  <c r="K178" i="43"/>
  <c r="J178" i="43"/>
  <c r="I178" i="43"/>
  <c r="H178" i="43"/>
  <c r="G178" i="43"/>
  <c r="F178" i="43"/>
  <c r="E178" i="43"/>
  <c r="D178" i="43"/>
  <c r="C178" i="43"/>
  <c r="L177" i="43"/>
  <c r="K177" i="43"/>
  <c r="J177" i="43"/>
  <c r="I177" i="43"/>
  <c r="H177" i="43"/>
  <c r="G177" i="43"/>
  <c r="F177" i="43"/>
  <c r="E177" i="43"/>
  <c r="D177" i="43"/>
  <c r="C177" i="43"/>
  <c r="L176" i="43"/>
  <c r="K176" i="43"/>
  <c r="J176" i="43"/>
  <c r="I176" i="43"/>
  <c r="H176" i="43"/>
  <c r="G176" i="43"/>
  <c r="F176" i="43"/>
  <c r="E176" i="43"/>
  <c r="D176" i="43"/>
  <c r="C176" i="43"/>
  <c r="L173" i="43"/>
  <c r="K173" i="43"/>
  <c r="J173" i="43"/>
  <c r="I173" i="43"/>
  <c r="H173" i="43"/>
  <c r="G173" i="43"/>
  <c r="F173" i="43"/>
  <c r="E173" i="43"/>
  <c r="D173" i="43"/>
  <c r="C173" i="43"/>
  <c r="L172" i="43"/>
  <c r="K172" i="43"/>
  <c r="J172" i="43"/>
  <c r="I172" i="43"/>
  <c r="H172" i="43"/>
  <c r="G172" i="43"/>
  <c r="F172" i="43"/>
  <c r="E172" i="43"/>
  <c r="D172" i="43"/>
  <c r="C172" i="43"/>
  <c r="L170" i="43"/>
  <c r="K170" i="43"/>
  <c r="J170" i="43"/>
  <c r="I170" i="43"/>
  <c r="H170" i="43"/>
  <c r="G170" i="43"/>
  <c r="F170" i="43"/>
  <c r="E170" i="43"/>
  <c r="D170" i="43"/>
  <c r="C170" i="43"/>
  <c r="L169" i="43"/>
  <c r="K169" i="43"/>
  <c r="J169" i="43"/>
  <c r="I169" i="43"/>
  <c r="H169" i="43"/>
  <c r="G169" i="43"/>
  <c r="F169" i="43"/>
  <c r="E169" i="43"/>
  <c r="D169" i="43"/>
  <c r="C169" i="43"/>
  <c r="L168" i="43"/>
  <c r="K168" i="43"/>
  <c r="J168" i="43"/>
  <c r="I168" i="43"/>
  <c r="H168" i="43"/>
  <c r="G168" i="43"/>
  <c r="F168" i="43"/>
  <c r="E168" i="43"/>
  <c r="D168" i="43"/>
  <c r="C168" i="43"/>
  <c r="L167" i="43"/>
  <c r="K167" i="43"/>
  <c r="J167" i="43"/>
  <c r="I167" i="43"/>
  <c r="H167" i="43"/>
  <c r="G167" i="43"/>
  <c r="F167" i="43"/>
  <c r="E167" i="43"/>
  <c r="D167" i="43"/>
  <c r="C167" i="43"/>
  <c r="L166" i="43"/>
  <c r="K166" i="43"/>
  <c r="J166" i="43"/>
  <c r="I166" i="43"/>
  <c r="H166" i="43"/>
  <c r="G166" i="43"/>
  <c r="F166" i="43"/>
  <c r="E166" i="43"/>
  <c r="D166" i="43"/>
  <c r="C166" i="43"/>
  <c r="L165" i="43"/>
  <c r="K165" i="43"/>
  <c r="J165" i="43"/>
  <c r="I165" i="43"/>
  <c r="H165" i="43"/>
  <c r="G165" i="43"/>
  <c r="F165" i="43"/>
  <c r="E165" i="43"/>
  <c r="D165" i="43"/>
  <c r="C165" i="43"/>
  <c r="L159" i="43"/>
  <c r="K159" i="43"/>
  <c r="J159" i="43"/>
  <c r="I159" i="43"/>
  <c r="H159" i="43"/>
  <c r="G159" i="43"/>
  <c r="F159" i="43"/>
  <c r="E159" i="43"/>
  <c r="D159" i="43"/>
  <c r="C159" i="43"/>
  <c r="L158" i="43"/>
  <c r="K158" i="43"/>
  <c r="J158" i="43"/>
  <c r="I158" i="43"/>
  <c r="H158" i="43"/>
  <c r="G158" i="43"/>
  <c r="F158" i="43"/>
  <c r="E158" i="43"/>
  <c r="D158" i="43"/>
  <c r="C158" i="43"/>
  <c r="L157" i="43"/>
  <c r="K157" i="43"/>
  <c r="J157" i="43"/>
  <c r="I157" i="43"/>
  <c r="H157" i="43"/>
  <c r="G157" i="43"/>
  <c r="F157" i="43"/>
  <c r="E157" i="43"/>
  <c r="D157" i="43"/>
  <c r="C157" i="43"/>
  <c r="L156" i="43"/>
  <c r="K156" i="43"/>
  <c r="J156" i="43"/>
  <c r="I156" i="43"/>
  <c r="H156" i="43"/>
  <c r="G156" i="43"/>
  <c r="F156" i="43"/>
  <c r="E156" i="43"/>
  <c r="D156" i="43"/>
  <c r="C156" i="43"/>
  <c r="L155" i="43"/>
  <c r="K155" i="43"/>
  <c r="J155" i="43"/>
  <c r="I155" i="43"/>
  <c r="H155" i="43"/>
  <c r="G155" i="43"/>
  <c r="F155" i="43"/>
  <c r="E155" i="43"/>
  <c r="D155" i="43"/>
  <c r="C155" i="43"/>
  <c r="L154" i="43"/>
  <c r="K154" i="43"/>
  <c r="J154" i="43"/>
  <c r="I154" i="43"/>
  <c r="H154" i="43"/>
  <c r="G154" i="43"/>
  <c r="F154" i="43"/>
  <c r="E154" i="43"/>
  <c r="D154" i="43"/>
  <c r="C154" i="43"/>
  <c r="L153" i="43"/>
  <c r="K153" i="43"/>
  <c r="J153" i="43"/>
  <c r="I153" i="43"/>
  <c r="H153" i="43"/>
  <c r="G153" i="43"/>
  <c r="F153" i="43"/>
  <c r="E153" i="43"/>
  <c r="D153" i="43"/>
  <c r="C153" i="43"/>
  <c r="L152" i="43"/>
  <c r="K152" i="43"/>
  <c r="J152" i="43"/>
  <c r="I152" i="43"/>
  <c r="H152" i="43"/>
  <c r="G152" i="43"/>
  <c r="F152" i="43"/>
  <c r="E152" i="43"/>
  <c r="D152" i="43"/>
  <c r="C152" i="43"/>
  <c r="L150" i="43"/>
  <c r="K150" i="43"/>
  <c r="J150" i="43"/>
  <c r="I150" i="43"/>
  <c r="H150" i="43"/>
  <c r="G150" i="43"/>
  <c r="F150" i="43"/>
  <c r="E150" i="43"/>
  <c r="D150" i="43"/>
  <c r="C150" i="43"/>
  <c r="L149" i="43"/>
  <c r="K149" i="43"/>
  <c r="J149" i="43"/>
  <c r="I149" i="43"/>
  <c r="H149" i="43"/>
  <c r="G149" i="43"/>
  <c r="F149" i="43"/>
  <c r="E149" i="43"/>
  <c r="D149" i="43"/>
  <c r="C149" i="43"/>
  <c r="L148" i="43"/>
  <c r="K148" i="43"/>
  <c r="J148" i="43"/>
  <c r="I148" i="43"/>
  <c r="H148" i="43"/>
  <c r="G148" i="43"/>
  <c r="F148" i="43"/>
  <c r="E148" i="43"/>
  <c r="D148" i="43"/>
  <c r="C148" i="43"/>
  <c r="L147" i="43"/>
  <c r="K147" i="43"/>
  <c r="J147" i="43"/>
  <c r="I147" i="43"/>
  <c r="H147" i="43"/>
  <c r="G147" i="43"/>
  <c r="F147" i="43"/>
  <c r="E147" i="43"/>
  <c r="D147" i="43"/>
  <c r="C147" i="43"/>
  <c r="L146" i="43"/>
  <c r="K146" i="43"/>
  <c r="J146" i="43"/>
  <c r="I146" i="43"/>
  <c r="H146" i="43"/>
  <c r="G146" i="43"/>
  <c r="F146" i="43"/>
  <c r="E146" i="43"/>
  <c r="D146" i="43"/>
  <c r="C146" i="43"/>
  <c r="L145" i="43"/>
  <c r="K145" i="43"/>
  <c r="J145" i="43"/>
  <c r="I145" i="43"/>
  <c r="H145" i="43"/>
  <c r="G145" i="43"/>
  <c r="F145" i="43"/>
  <c r="E145" i="43"/>
  <c r="D145" i="43"/>
  <c r="C145" i="43"/>
  <c r="L144" i="43"/>
  <c r="K144" i="43"/>
  <c r="J144" i="43"/>
  <c r="I144" i="43"/>
  <c r="H144" i="43"/>
  <c r="G144" i="43"/>
  <c r="F144" i="43"/>
  <c r="E144" i="43"/>
  <c r="D144" i="43"/>
  <c r="C144" i="43"/>
  <c r="L141" i="43"/>
  <c r="K141" i="43"/>
  <c r="J141" i="43"/>
  <c r="I141" i="43"/>
  <c r="H141" i="43"/>
  <c r="G141" i="43"/>
  <c r="F141" i="43"/>
  <c r="E141" i="43"/>
  <c r="D141" i="43"/>
  <c r="C141" i="43"/>
  <c r="L140" i="43"/>
  <c r="K140" i="43"/>
  <c r="J140" i="43"/>
  <c r="I140" i="43"/>
  <c r="H140" i="43"/>
  <c r="G140" i="43"/>
  <c r="F140" i="43"/>
  <c r="E140" i="43"/>
  <c r="D140" i="43"/>
  <c r="C140" i="43"/>
  <c r="L139" i="43"/>
  <c r="K139" i="43"/>
  <c r="J139" i="43"/>
  <c r="I139" i="43"/>
  <c r="H139" i="43"/>
  <c r="G139" i="43"/>
  <c r="F139" i="43"/>
  <c r="E139" i="43"/>
  <c r="D139" i="43"/>
  <c r="C139" i="43"/>
  <c r="L138" i="43"/>
  <c r="K138" i="43"/>
  <c r="J138" i="43"/>
  <c r="I138" i="43"/>
  <c r="H138" i="43"/>
  <c r="G138" i="43"/>
  <c r="F138" i="43"/>
  <c r="E138" i="43"/>
  <c r="D138" i="43"/>
  <c r="C138" i="43"/>
  <c r="L136" i="43"/>
  <c r="K136" i="43"/>
  <c r="J136" i="43"/>
  <c r="I136" i="43"/>
  <c r="H136" i="43"/>
  <c r="G136" i="43"/>
  <c r="F136" i="43"/>
  <c r="E136" i="43"/>
  <c r="D136" i="43"/>
  <c r="C136" i="43"/>
  <c r="L135" i="43"/>
  <c r="K135" i="43"/>
  <c r="J135" i="43"/>
  <c r="I135" i="43"/>
  <c r="H135" i="43"/>
  <c r="G135" i="43"/>
  <c r="F135" i="43"/>
  <c r="E135" i="43"/>
  <c r="D135" i="43"/>
  <c r="C135" i="43"/>
  <c r="L134" i="43"/>
  <c r="K134" i="43"/>
  <c r="J134" i="43"/>
  <c r="I134" i="43"/>
  <c r="H134" i="43"/>
  <c r="G134" i="43"/>
  <c r="F134" i="43"/>
  <c r="E134" i="43"/>
  <c r="D134" i="43"/>
  <c r="C134" i="43"/>
  <c r="L133" i="43"/>
  <c r="K133" i="43"/>
  <c r="J133" i="43"/>
  <c r="I133" i="43"/>
  <c r="H133" i="43"/>
  <c r="G133" i="43"/>
  <c r="F133" i="43"/>
  <c r="E133" i="43"/>
  <c r="D133" i="43"/>
  <c r="C133" i="43"/>
  <c r="L132" i="43"/>
  <c r="K132" i="43"/>
  <c r="J132" i="43"/>
  <c r="I132" i="43"/>
  <c r="H132" i="43"/>
  <c r="G132" i="43"/>
  <c r="F132" i="43"/>
  <c r="E132" i="43"/>
  <c r="D132" i="43"/>
  <c r="C132" i="43"/>
  <c r="L131" i="43"/>
  <c r="K131" i="43"/>
  <c r="J131" i="43"/>
  <c r="I131" i="43"/>
  <c r="H131" i="43"/>
  <c r="G131" i="43"/>
  <c r="F131" i="43"/>
  <c r="E131" i="43"/>
  <c r="D131" i="43"/>
  <c r="C131" i="43"/>
  <c r="AF216" i="43"/>
  <c r="AE216" i="43"/>
  <c r="AF204" i="43"/>
  <c r="AE204" i="43"/>
  <c r="AD204" i="43"/>
  <c r="AC204" i="43"/>
  <c r="AB204" i="43"/>
  <c r="AA204" i="43"/>
  <c r="Z204" i="43"/>
  <c r="Y204" i="43"/>
  <c r="AB197" i="43"/>
  <c r="AA197" i="43"/>
  <c r="Z197" i="43"/>
  <c r="Y197" i="43"/>
  <c r="AF192" i="43"/>
  <c r="AE192" i="43"/>
  <c r="AD192" i="43"/>
  <c r="AC192" i="43"/>
  <c r="AB192" i="43"/>
  <c r="AA192" i="43"/>
  <c r="Z192" i="43"/>
  <c r="Y192" i="43"/>
  <c r="AF186" i="43"/>
  <c r="AE186" i="43"/>
  <c r="AD186" i="43"/>
  <c r="AC186" i="43"/>
  <c r="AB186" i="43"/>
  <c r="AA186" i="43"/>
  <c r="Z186" i="43"/>
  <c r="Y186" i="43"/>
  <c r="AF174" i="43"/>
  <c r="AE174" i="43"/>
  <c r="AD174" i="43"/>
  <c r="AC174" i="43"/>
  <c r="AB174" i="43"/>
  <c r="AA174" i="43"/>
  <c r="Z174" i="43"/>
  <c r="Y174" i="43"/>
  <c r="AF163" i="43"/>
  <c r="AE163" i="43"/>
  <c r="AD163" i="43"/>
  <c r="AC163" i="43"/>
  <c r="AB163" i="43"/>
  <c r="AA163" i="43"/>
  <c r="Z163" i="43"/>
  <c r="Y163" i="43"/>
  <c r="AF142" i="43"/>
  <c r="AE142" i="43"/>
  <c r="AD142" i="43"/>
  <c r="AC142" i="43"/>
  <c r="AB142" i="43"/>
  <c r="AA142" i="43"/>
  <c r="Z142" i="43"/>
  <c r="Y142" i="43"/>
  <c r="V204" i="43"/>
  <c r="U204" i="43"/>
  <c r="T204" i="43"/>
  <c r="S204" i="43"/>
  <c r="R204" i="43"/>
  <c r="Q204" i="43"/>
  <c r="P204" i="43"/>
  <c r="O204" i="43"/>
  <c r="R197" i="43"/>
  <c r="Q197" i="43"/>
  <c r="P197" i="43"/>
  <c r="O197" i="43"/>
  <c r="V192" i="43"/>
  <c r="U192" i="43"/>
  <c r="T192" i="43"/>
  <c r="S192" i="43"/>
  <c r="R192" i="43"/>
  <c r="Q192" i="43"/>
  <c r="P192" i="43"/>
  <c r="O192" i="43"/>
  <c r="V186" i="43"/>
  <c r="U186" i="43"/>
  <c r="T186" i="43"/>
  <c r="S186" i="43"/>
  <c r="R186" i="43"/>
  <c r="Q186" i="43"/>
  <c r="P186" i="43"/>
  <c r="O186" i="43"/>
  <c r="V174" i="43"/>
  <c r="U174" i="43"/>
  <c r="T174" i="43"/>
  <c r="S174" i="43"/>
  <c r="R174" i="43"/>
  <c r="Q174" i="43"/>
  <c r="P174" i="43"/>
  <c r="O174" i="43"/>
  <c r="V142" i="43"/>
  <c r="U142" i="43"/>
  <c r="T142" i="43"/>
  <c r="S142" i="43"/>
  <c r="R142" i="43"/>
  <c r="Q142" i="43"/>
  <c r="P142" i="43"/>
  <c r="O142" i="43"/>
  <c r="X186" i="45"/>
  <c r="W186" i="45"/>
  <c r="X174" i="45"/>
  <c r="W174" i="45"/>
  <c r="X163" i="45"/>
  <c r="W163" i="45"/>
  <c r="X142" i="45"/>
  <c r="W142" i="45"/>
  <c r="F84" i="43"/>
  <c r="D84" i="43"/>
  <c r="L83" i="43"/>
  <c r="F83" i="43"/>
  <c r="D83" i="43"/>
  <c r="L82" i="43"/>
  <c r="F82" i="43"/>
  <c r="D82" i="43"/>
  <c r="L81" i="43"/>
  <c r="F81" i="43"/>
  <c r="D81" i="43"/>
  <c r="L80" i="43"/>
  <c r="F80" i="43"/>
  <c r="D80" i="43"/>
  <c r="L79" i="43"/>
  <c r="F79" i="43"/>
  <c r="D79" i="43"/>
  <c r="F78" i="43"/>
  <c r="D78" i="43"/>
  <c r="E76" i="43"/>
  <c r="F76" i="43"/>
  <c r="G76" i="43"/>
  <c r="H76" i="43"/>
  <c r="I76" i="43"/>
  <c r="J76" i="43"/>
  <c r="K76" i="43"/>
  <c r="L76" i="43"/>
  <c r="F67" i="43"/>
  <c r="D76" i="45"/>
  <c r="C76" i="45"/>
  <c r="I40" i="43"/>
  <c r="H40" i="43"/>
  <c r="E40" i="43"/>
  <c r="D40" i="43"/>
  <c r="C40" i="43"/>
  <c r="I39" i="43"/>
  <c r="H39" i="43"/>
  <c r="E39" i="43"/>
  <c r="D39" i="43"/>
  <c r="C39" i="43"/>
  <c r="I38" i="43"/>
  <c r="H38" i="43"/>
  <c r="G38" i="43"/>
  <c r="E38" i="43"/>
  <c r="D38" i="43"/>
  <c r="C38" i="43"/>
  <c r="I37" i="43"/>
  <c r="H37" i="43"/>
  <c r="G37" i="43"/>
  <c r="E37" i="43"/>
  <c r="D37" i="43"/>
  <c r="C37" i="43"/>
  <c r="I36" i="43"/>
  <c r="H36" i="43"/>
  <c r="G36" i="43"/>
  <c r="E36" i="43"/>
  <c r="D36" i="43"/>
  <c r="C36" i="43"/>
  <c r="I35" i="43"/>
  <c r="H35" i="43"/>
  <c r="G35" i="43"/>
  <c r="E35" i="43"/>
  <c r="D35" i="43"/>
  <c r="C35" i="43"/>
  <c r="G28" i="43"/>
  <c r="G40" i="43" s="1"/>
  <c r="F28" i="43"/>
  <c r="F40" i="43" s="1"/>
  <c r="G27" i="43"/>
  <c r="G39" i="43" s="1"/>
  <c r="F27" i="43"/>
  <c r="F39" i="43" s="1"/>
  <c r="F26" i="43"/>
  <c r="F38" i="43" s="1"/>
  <c r="F25" i="43"/>
  <c r="F37" i="43" s="1"/>
  <c r="K17" i="43"/>
  <c r="I17" i="43"/>
  <c r="G17" i="43"/>
  <c r="E17" i="43"/>
  <c r="C17" i="43"/>
  <c r="L12" i="43"/>
  <c r="L18" i="43" s="1"/>
  <c r="F12" i="43"/>
  <c r="F18" i="43" s="1"/>
  <c r="L11" i="43"/>
  <c r="L17" i="43" s="1"/>
  <c r="J11" i="43"/>
  <c r="J17" i="43" s="1"/>
  <c r="H11" i="43"/>
  <c r="H17" i="43" s="1"/>
  <c r="F11" i="43"/>
  <c r="F17" i="43" s="1"/>
  <c r="F4" i="43" s="1"/>
  <c r="F6" i="43" s="1"/>
  <c r="N186" i="50"/>
  <c r="N174" i="50"/>
  <c r="C131" i="50"/>
  <c r="C35" i="50"/>
  <c r="X186" i="43"/>
  <c r="W186" i="43"/>
  <c r="N186" i="43"/>
  <c r="X174" i="43"/>
  <c r="W174" i="43"/>
  <c r="N174" i="43"/>
  <c r="X163" i="43"/>
  <c r="W163" i="43"/>
  <c r="X142" i="43"/>
  <c r="W142" i="43"/>
  <c r="N142" i="43"/>
  <c r="M186" i="50"/>
  <c r="M174" i="50"/>
  <c r="N142" i="50"/>
  <c r="M142" i="50"/>
  <c r="D76" i="50"/>
  <c r="C76" i="50"/>
  <c r="D67" i="50"/>
  <c r="M186" i="43"/>
  <c r="M174" i="43"/>
  <c r="M142" i="43"/>
  <c r="D76" i="43"/>
  <c r="C76" i="43"/>
  <c r="D67" i="43"/>
  <c r="F24" i="43"/>
  <c r="F36" i="43" s="1"/>
  <c r="F23" i="43"/>
  <c r="F35" i="43" s="1"/>
  <c r="D11" i="43"/>
  <c r="D17" i="43" s="1"/>
  <c r="D4" i="43" s="1"/>
  <c r="D6" i="43" s="1"/>
  <c r="B9" i="13"/>
  <c r="B4" i="40"/>
  <c r="J18" i="40"/>
  <c r="J27" i="40"/>
  <c r="H18" i="40"/>
  <c r="H31" i="40" s="1"/>
  <c r="H27" i="40"/>
  <c r="F18" i="40"/>
  <c r="C408" i="41"/>
  <c r="B5" i="40" s="1"/>
  <c r="M162" i="41"/>
  <c r="C40" i="26"/>
  <c r="E110" i="34"/>
  <c r="F13" i="43" s="1"/>
  <c r="F19" i="43" s="1"/>
  <c r="C41" i="26"/>
  <c r="F16" i="38"/>
  <c r="F27" i="38" s="1"/>
  <c r="U12" i="57"/>
  <c r="E99" i="16"/>
  <c r="E100" i="16"/>
  <c r="B35" i="22"/>
  <c r="I58" i="7"/>
  <c r="E58" i="7"/>
  <c r="C58" i="7"/>
  <c r="I57" i="7"/>
  <c r="E57" i="7"/>
  <c r="C57" i="7"/>
  <c r="I56" i="7"/>
  <c r="E56" i="7"/>
  <c r="C56" i="7"/>
  <c r="I55" i="7"/>
  <c r="E55" i="7"/>
  <c r="I54" i="7"/>
  <c r="E54" i="7"/>
  <c r="C54" i="7"/>
  <c r="I53" i="7"/>
  <c r="E53" i="7"/>
  <c r="C53" i="7"/>
  <c r="I52" i="7"/>
  <c r="E52" i="7"/>
  <c r="C52" i="7"/>
  <c r="I51" i="7"/>
  <c r="E51" i="7"/>
  <c r="C51" i="7"/>
  <c r="C43" i="7"/>
  <c r="C55" i="7" s="1"/>
  <c r="H25" i="7"/>
  <c r="D25" i="7"/>
  <c r="D18" i="7"/>
  <c r="D28" i="7" s="1"/>
  <c r="B25" i="7"/>
  <c r="H18" i="7"/>
  <c r="H27" i="7" s="1"/>
  <c r="B18" i="7"/>
  <c r="C67" i="8"/>
  <c r="C66" i="8"/>
  <c r="C65" i="8"/>
  <c r="C62" i="8"/>
  <c r="C61" i="8"/>
  <c r="C60" i="8"/>
  <c r="C51" i="8"/>
  <c r="C52" i="8" s="1"/>
  <c r="C64" i="8" s="1"/>
  <c r="D34" i="8"/>
  <c r="B34" i="8"/>
  <c r="D23" i="8"/>
  <c r="D27" i="40"/>
  <c r="B27" i="40"/>
  <c r="D18" i="40"/>
  <c r="D30" i="40" s="1"/>
  <c r="B18" i="40"/>
  <c r="B30" i="40" s="1"/>
  <c r="D19" i="10"/>
  <c r="D29" i="10" s="1"/>
  <c r="R19" i="10"/>
  <c r="D26" i="10"/>
  <c r="E62" i="10"/>
  <c r="E58" i="10"/>
  <c r="S58" i="10"/>
  <c r="E59" i="10"/>
  <c r="S59" i="10"/>
  <c r="E60" i="10"/>
  <c r="S60" i="10"/>
  <c r="S61" i="10"/>
  <c r="S62" i="10"/>
  <c r="E63" i="10"/>
  <c r="S63" i="10"/>
  <c r="E64" i="10"/>
  <c r="S64" i="10"/>
  <c r="E65" i="10"/>
  <c r="S65" i="10"/>
  <c r="B20" i="12"/>
  <c r="D20" i="12"/>
  <c r="D30" i="12" s="1"/>
  <c r="F20" i="12"/>
  <c r="F32" i="12" s="1"/>
  <c r="B27" i="12"/>
  <c r="D27" i="12"/>
  <c r="F27" i="12"/>
  <c r="C53" i="12"/>
  <c r="E53" i="12"/>
  <c r="G53" i="12"/>
  <c r="C54" i="12"/>
  <c r="E54" i="12"/>
  <c r="G54" i="12"/>
  <c r="C55" i="12"/>
  <c r="E55" i="12"/>
  <c r="G55" i="12"/>
  <c r="C56" i="12"/>
  <c r="E56" i="12"/>
  <c r="G56" i="12"/>
  <c r="C57" i="12"/>
  <c r="E57" i="12"/>
  <c r="G57" i="12"/>
  <c r="C58" i="12"/>
  <c r="E58" i="12"/>
  <c r="G58" i="12"/>
  <c r="C59" i="12"/>
  <c r="E59" i="12"/>
  <c r="G59" i="12"/>
  <c r="C60" i="12"/>
  <c r="E60" i="12"/>
  <c r="G60" i="12"/>
  <c r="B30" i="36"/>
  <c r="D30" i="36"/>
  <c r="C47" i="36"/>
  <c r="C48" i="36" s="1"/>
  <c r="C60" i="36" s="1"/>
  <c r="C56" i="36"/>
  <c r="E56" i="36"/>
  <c r="C57" i="36"/>
  <c r="E57" i="36"/>
  <c r="C58" i="36"/>
  <c r="E58" i="36"/>
  <c r="E59" i="36"/>
  <c r="E60" i="36"/>
  <c r="C61" i="36"/>
  <c r="E61" i="36"/>
  <c r="C62" i="36"/>
  <c r="E62" i="36"/>
  <c r="C63" i="36"/>
  <c r="E63" i="36"/>
  <c r="G54" i="27"/>
  <c r="E54" i="27"/>
  <c r="C54" i="27"/>
  <c r="G53" i="27"/>
  <c r="E53" i="27"/>
  <c r="C53" i="27"/>
  <c r="G52" i="27"/>
  <c r="E52" i="27"/>
  <c r="C52" i="27"/>
  <c r="G51" i="27"/>
  <c r="E51" i="27"/>
  <c r="C51" i="27"/>
  <c r="G50" i="27"/>
  <c r="E50" i="27"/>
  <c r="C50" i="27"/>
  <c r="G49" i="27"/>
  <c r="E49" i="27"/>
  <c r="C49" i="27"/>
  <c r="G48" i="27"/>
  <c r="E48" i="27"/>
  <c r="C48" i="27"/>
  <c r="G47" i="27"/>
  <c r="E47" i="27"/>
  <c r="C47" i="27"/>
  <c r="F21" i="27"/>
  <c r="D21" i="27"/>
  <c r="B21" i="27"/>
  <c r="F14" i="27"/>
  <c r="F24" i="27" s="1"/>
  <c r="D14" i="27"/>
  <c r="B14" i="27"/>
  <c r="B25" i="27" s="1"/>
  <c r="G54" i="28"/>
  <c r="E54" i="28"/>
  <c r="C54" i="28"/>
  <c r="G53" i="28"/>
  <c r="E53" i="28"/>
  <c r="C53" i="28"/>
  <c r="G52" i="28"/>
  <c r="E52" i="28"/>
  <c r="C52" i="28"/>
  <c r="G51" i="28"/>
  <c r="C51" i="28"/>
  <c r="G50" i="28"/>
  <c r="E50" i="28"/>
  <c r="C50" i="28"/>
  <c r="G49" i="28"/>
  <c r="E49" i="28"/>
  <c r="C49" i="28"/>
  <c r="G48" i="28"/>
  <c r="E48" i="28"/>
  <c r="C48" i="28"/>
  <c r="G47" i="28"/>
  <c r="E47" i="28"/>
  <c r="C47" i="28"/>
  <c r="E39" i="28"/>
  <c r="E51" i="28" s="1"/>
  <c r="F21" i="28"/>
  <c r="D21" i="28"/>
  <c r="B21" i="28"/>
  <c r="F14" i="28"/>
  <c r="D14" i="28"/>
  <c r="D25" i="28" s="1"/>
  <c r="B14" i="28"/>
  <c r="G51" i="29"/>
  <c r="E51" i="29"/>
  <c r="C51" i="29"/>
  <c r="G50" i="29"/>
  <c r="E50" i="29"/>
  <c r="C50" i="29"/>
  <c r="G49" i="29"/>
  <c r="E49" i="29"/>
  <c r="C49" i="29"/>
  <c r="G48" i="29"/>
  <c r="E48" i="29"/>
  <c r="C48" i="29"/>
  <c r="G47" i="29"/>
  <c r="E47" i="29"/>
  <c r="C47" i="29"/>
  <c r="G46" i="29"/>
  <c r="E46" i="29"/>
  <c r="C46" i="29"/>
  <c r="G45" i="29"/>
  <c r="E45" i="29"/>
  <c r="C45" i="29"/>
  <c r="G44" i="29"/>
  <c r="E44" i="29"/>
  <c r="C44" i="29"/>
  <c r="F18" i="29"/>
  <c r="D18" i="29"/>
  <c r="D24" i="29" s="1"/>
  <c r="B18" i="29"/>
  <c r="F11" i="29"/>
  <c r="D11" i="29"/>
  <c r="B11" i="29"/>
  <c r="B24" i="29" s="1"/>
  <c r="G51" i="30"/>
  <c r="E51" i="30"/>
  <c r="C51" i="30"/>
  <c r="G50" i="30"/>
  <c r="E50" i="30"/>
  <c r="C50" i="30"/>
  <c r="G49" i="30"/>
  <c r="E49" i="30"/>
  <c r="C49" i="30"/>
  <c r="G48" i="30"/>
  <c r="E48" i="30"/>
  <c r="C48" i="30"/>
  <c r="G47" i="30"/>
  <c r="E47" i="30"/>
  <c r="C47" i="30"/>
  <c r="G46" i="30"/>
  <c r="E46" i="30"/>
  <c r="C46" i="30"/>
  <c r="G45" i="30"/>
  <c r="E45" i="30"/>
  <c r="C45" i="30"/>
  <c r="G44" i="30"/>
  <c r="E44" i="30"/>
  <c r="C44" i="30"/>
  <c r="F18" i="30"/>
  <c r="D18" i="30"/>
  <c r="B18" i="30"/>
  <c r="F11" i="30"/>
  <c r="D11" i="30"/>
  <c r="B11" i="30"/>
  <c r="B20" i="30" s="1"/>
  <c r="G51" i="33"/>
  <c r="E51" i="33"/>
  <c r="C51" i="33"/>
  <c r="G50" i="33"/>
  <c r="E50" i="33"/>
  <c r="C50" i="33"/>
  <c r="G49" i="33"/>
  <c r="E49" i="33"/>
  <c r="C49" i="33"/>
  <c r="G48" i="33"/>
  <c r="E48" i="33"/>
  <c r="C48" i="33"/>
  <c r="G47" i="33"/>
  <c r="E47" i="33"/>
  <c r="C47" i="33"/>
  <c r="G46" i="33"/>
  <c r="E46" i="33"/>
  <c r="C46" i="33"/>
  <c r="G45" i="33"/>
  <c r="E45" i="33"/>
  <c r="C45" i="33"/>
  <c r="G44" i="33"/>
  <c r="E44" i="33"/>
  <c r="C44" i="33"/>
  <c r="F18" i="33"/>
  <c r="D18" i="33"/>
  <c r="B18" i="33"/>
  <c r="F11" i="33"/>
  <c r="F22" i="33" s="1"/>
  <c r="D11" i="33"/>
  <c r="B11" i="33"/>
  <c r="E68" i="31"/>
  <c r="C68" i="31"/>
  <c r="E67" i="31"/>
  <c r="C67" i="31"/>
  <c r="E66" i="31"/>
  <c r="C66" i="31"/>
  <c r="E65" i="31"/>
  <c r="E64" i="31"/>
  <c r="E63" i="31"/>
  <c r="C63" i="31"/>
  <c r="E62" i="31"/>
  <c r="C62" i="31"/>
  <c r="E61" i="31"/>
  <c r="C61" i="31"/>
  <c r="C52" i="31"/>
  <c r="C64" i="31" s="1"/>
  <c r="D35" i="31"/>
  <c r="B35" i="31"/>
  <c r="F35" i="31" s="1"/>
  <c r="D28" i="31"/>
  <c r="B28" i="31"/>
  <c r="F28" i="31" s="1"/>
  <c r="G51" i="39"/>
  <c r="E51" i="39"/>
  <c r="C51" i="39"/>
  <c r="G50" i="39"/>
  <c r="E50" i="39"/>
  <c r="C50" i="39"/>
  <c r="G49" i="39"/>
  <c r="E49" i="39"/>
  <c r="C49" i="39"/>
  <c r="G48" i="39"/>
  <c r="E48" i="39"/>
  <c r="C48" i="39"/>
  <c r="G47" i="39"/>
  <c r="E47" i="39"/>
  <c r="C47" i="39"/>
  <c r="G46" i="39"/>
  <c r="E46" i="39"/>
  <c r="C46" i="39"/>
  <c r="G45" i="39"/>
  <c r="E45" i="39"/>
  <c r="C45" i="39"/>
  <c r="G44" i="39"/>
  <c r="E44" i="39"/>
  <c r="C44" i="39"/>
  <c r="F18" i="39"/>
  <c r="D18" i="39"/>
  <c r="B18" i="39"/>
  <c r="F11" i="39"/>
  <c r="D11" i="39"/>
  <c r="D22" i="39" s="1"/>
  <c r="B11" i="39"/>
  <c r="M47" i="15"/>
  <c r="C72" i="15"/>
  <c r="E72" i="15"/>
  <c r="G72" i="15"/>
  <c r="I72" i="15"/>
  <c r="C73" i="15"/>
  <c r="E73" i="15"/>
  <c r="G73" i="15"/>
  <c r="I73" i="15"/>
  <c r="C74" i="15"/>
  <c r="E74" i="15"/>
  <c r="G74" i="15"/>
  <c r="I74" i="15"/>
  <c r="K75" i="15"/>
  <c r="C76" i="15"/>
  <c r="E76" i="15"/>
  <c r="G76" i="15"/>
  <c r="I76" i="15"/>
  <c r="C77" i="15"/>
  <c r="E77" i="15"/>
  <c r="G77" i="15"/>
  <c r="I77" i="15"/>
  <c r="F23" i="38"/>
  <c r="D23" i="38"/>
  <c r="B23" i="38"/>
  <c r="D16" i="38"/>
  <c r="D27" i="38" s="1"/>
  <c r="B16" i="38"/>
  <c r="B28" i="38" s="1"/>
  <c r="G55" i="5"/>
  <c r="E55" i="5"/>
  <c r="C55" i="5"/>
  <c r="G54" i="5"/>
  <c r="E54" i="5"/>
  <c r="C54" i="5"/>
  <c r="G53" i="5"/>
  <c r="C53" i="5"/>
  <c r="G52" i="5"/>
  <c r="G51" i="5"/>
  <c r="E51" i="5"/>
  <c r="G50" i="5"/>
  <c r="E50" i="5"/>
  <c r="C50" i="5"/>
  <c r="G49" i="5"/>
  <c r="E49" i="5"/>
  <c r="C49" i="5"/>
  <c r="G48" i="5"/>
  <c r="E48" i="5"/>
  <c r="C48" i="5"/>
  <c r="E40" i="5"/>
  <c r="E52" i="5" s="1"/>
  <c r="C39" i="5"/>
  <c r="F21" i="5"/>
  <c r="D21" i="5"/>
  <c r="B21" i="5"/>
  <c r="F14" i="5"/>
  <c r="D14" i="5"/>
  <c r="D24" i="5" s="1"/>
  <c r="B14" i="5"/>
  <c r="B23" i="5" s="1"/>
  <c r="K131" i="20"/>
  <c r="K130" i="20"/>
  <c r="K129" i="20"/>
  <c r="K128" i="20"/>
  <c r="K127" i="20"/>
  <c r="K126" i="20"/>
  <c r="K125" i="20"/>
  <c r="K124" i="20"/>
  <c r="AD88" i="20"/>
  <c r="AB88" i="20"/>
  <c r="AC131" i="20" s="1"/>
  <c r="AD87" i="20"/>
  <c r="AD101" i="20" s="1"/>
  <c r="AB87" i="20"/>
  <c r="J87" i="20"/>
  <c r="B65" i="3"/>
  <c r="B81" i="3" s="1"/>
  <c r="D65" i="3"/>
  <c r="F65" i="3"/>
  <c r="H65" i="3"/>
  <c r="J65" i="3"/>
  <c r="L65" i="3"/>
  <c r="N65" i="3"/>
  <c r="N81" i="3" s="1"/>
  <c r="P65" i="3"/>
  <c r="P77" i="3" s="1"/>
  <c r="R65" i="3"/>
  <c r="R78" i="3" s="1"/>
  <c r="T65" i="3"/>
  <c r="T81" i="3" s="1"/>
  <c r="V65" i="3"/>
  <c r="V81" i="3" s="1"/>
  <c r="B74" i="3"/>
  <c r="D74" i="3"/>
  <c r="F74" i="3"/>
  <c r="H74" i="3"/>
  <c r="J74" i="3"/>
  <c r="L74" i="3"/>
  <c r="N74" i="3"/>
  <c r="P74" i="3"/>
  <c r="R74" i="3"/>
  <c r="T74" i="3"/>
  <c r="V74" i="3"/>
  <c r="C113" i="3"/>
  <c r="E114" i="3"/>
  <c r="I114" i="3"/>
  <c r="C110" i="3"/>
  <c r="E110" i="3"/>
  <c r="G110" i="3"/>
  <c r="I110" i="3"/>
  <c r="K110" i="3"/>
  <c r="M110" i="3"/>
  <c r="O110" i="3"/>
  <c r="Q110" i="3"/>
  <c r="S110" i="3"/>
  <c r="U110" i="3"/>
  <c r="W110" i="3"/>
  <c r="C111" i="3"/>
  <c r="E111" i="3"/>
  <c r="G111" i="3"/>
  <c r="I111" i="3"/>
  <c r="K111" i="3"/>
  <c r="M111" i="3"/>
  <c r="O111" i="3"/>
  <c r="Q111" i="3"/>
  <c r="S111" i="3"/>
  <c r="U111" i="3"/>
  <c r="W111" i="3"/>
  <c r="C112" i="3"/>
  <c r="E112" i="3"/>
  <c r="G112" i="3"/>
  <c r="I112" i="3"/>
  <c r="K112" i="3"/>
  <c r="M112" i="3"/>
  <c r="O112" i="3"/>
  <c r="Q112" i="3"/>
  <c r="S112" i="3"/>
  <c r="U112" i="3"/>
  <c r="W112" i="3"/>
  <c r="G113" i="3"/>
  <c r="K113" i="3"/>
  <c r="M113" i="3"/>
  <c r="O113" i="3"/>
  <c r="Q113" i="3"/>
  <c r="S113" i="3"/>
  <c r="U113" i="3"/>
  <c r="W113" i="3"/>
  <c r="G114" i="3"/>
  <c r="K114" i="3"/>
  <c r="M114" i="3"/>
  <c r="O114" i="3"/>
  <c r="Q114" i="3"/>
  <c r="S114" i="3"/>
  <c r="U114" i="3"/>
  <c r="W114" i="3"/>
  <c r="C115" i="3"/>
  <c r="E115" i="3"/>
  <c r="G115" i="3"/>
  <c r="I115" i="3"/>
  <c r="K115" i="3"/>
  <c r="M115" i="3"/>
  <c r="O115" i="3"/>
  <c r="Q115" i="3"/>
  <c r="S115" i="3"/>
  <c r="U115" i="3"/>
  <c r="W115" i="3"/>
  <c r="C116" i="3"/>
  <c r="E116" i="3"/>
  <c r="G116" i="3"/>
  <c r="I116" i="3"/>
  <c r="K116" i="3"/>
  <c r="M116" i="3"/>
  <c r="O116" i="3"/>
  <c r="Q116" i="3"/>
  <c r="S116" i="3"/>
  <c r="U116" i="3"/>
  <c r="W116" i="3"/>
  <c r="C117" i="3"/>
  <c r="E117" i="3"/>
  <c r="G117" i="3"/>
  <c r="I117" i="3"/>
  <c r="K117" i="3"/>
  <c r="M117" i="3"/>
  <c r="O117" i="3"/>
  <c r="Q117" i="3"/>
  <c r="S117" i="3"/>
  <c r="U117" i="3"/>
  <c r="W117" i="3"/>
  <c r="B143" i="3"/>
  <c r="C143" i="3"/>
  <c r="D143" i="3"/>
  <c r="E143" i="3"/>
  <c r="F143" i="3"/>
  <c r="G143" i="3"/>
  <c r="H143" i="3"/>
  <c r="I143" i="3"/>
  <c r="J143" i="3"/>
  <c r="B181" i="3"/>
  <c r="D181" i="3"/>
  <c r="E181" i="3"/>
  <c r="F181" i="3"/>
  <c r="G181" i="3"/>
  <c r="B144" i="3"/>
  <c r="C144" i="3"/>
  <c r="D144" i="3"/>
  <c r="E144" i="3"/>
  <c r="F144" i="3"/>
  <c r="G144" i="3"/>
  <c r="H144" i="3"/>
  <c r="I144" i="3"/>
  <c r="J144" i="3"/>
  <c r="B182" i="3"/>
  <c r="D182" i="3"/>
  <c r="E182" i="3"/>
  <c r="F182" i="3"/>
  <c r="G182" i="3"/>
  <c r="S108" i="35"/>
  <c r="Q108" i="35"/>
  <c r="O108" i="35"/>
  <c r="M108" i="35"/>
  <c r="K108" i="35"/>
  <c r="I108" i="35"/>
  <c r="G108" i="35"/>
  <c r="E108" i="35"/>
  <c r="C108" i="35"/>
  <c r="S107" i="35"/>
  <c r="Q107" i="35"/>
  <c r="O107" i="35"/>
  <c r="M107" i="35"/>
  <c r="K107" i="35"/>
  <c r="I107" i="35"/>
  <c r="G107" i="35"/>
  <c r="E107" i="35"/>
  <c r="C107" i="35"/>
  <c r="A2" i="18"/>
  <c r="B6" i="18"/>
  <c r="Q8" i="18"/>
  <c r="A144" i="14"/>
  <c r="B20" i="55"/>
  <c r="C20" i="55"/>
  <c r="B23" i="55"/>
  <c r="C23" i="55"/>
  <c r="B32" i="55"/>
  <c r="C32" i="55"/>
  <c r="B34" i="55"/>
  <c r="C34" i="55"/>
  <c r="B46" i="55"/>
  <c r="B54" i="55" s="1"/>
  <c r="E48" i="55"/>
  <c r="E56" i="55" s="1"/>
  <c r="B50" i="55"/>
  <c r="E50" i="55"/>
  <c r="B51" i="55"/>
  <c r="E51" i="55"/>
  <c r="B52" i="55"/>
  <c r="E52" i="55"/>
  <c r="B53" i="55"/>
  <c r="E53" i="55"/>
  <c r="E54" i="55"/>
  <c r="B55" i="55"/>
  <c r="E55" i="55"/>
  <c r="B22" i="56"/>
  <c r="C22" i="56"/>
  <c r="D22" i="56"/>
  <c r="E22" i="56"/>
  <c r="F22" i="56"/>
  <c r="G22" i="56"/>
  <c r="H22" i="56"/>
  <c r="I22" i="56"/>
  <c r="B25" i="56"/>
  <c r="C25" i="56"/>
  <c r="D25" i="56"/>
  <c r="E25" i="56"/>
  <c r="F25" i="56"/>
  <c r="G25" i="56"/>
  <c r="H25" i="56"/>
  <c r="I25" i="56"/>
  <c r="B33" i="56"/>
  <c r="C33" i="56"/>
  <c r="D33" i="56"/>
  <c r="E33" i="56"/>
  <c r="F33" i="56"/>
  <c r="G33" i="56"/>
  <c r="H33" i="56"/>
  <c r="I33" i="56"/>
  <c r="B35" i="56"/>
  <c r="C35" i="56"/>
  <c r="D35" i="56"/>
  <c r="E35" i="56"/>
  <c r="F35" i="56"/>
  <c r="G35" i="56"/>
  <c r="H35" i="56"/>
  <c r="I35" i="56"/>
  <c r="B49" i="56"/>
  <c r="B57" i="56" s="1"/>
  <c r="E49" i="56"/>
  <c r="E57" i="56" s="1"/>
  <c r="H49" i="56"/>
  <c r="H57" i="56" s="1"/>
  <c r="K49" i="56"/>
  <c r="K57" i="56" s="1"/>
  <c r="N49" i="56"/>
  <c r="N57" i="56" s="1"/>
  <c r="Q49" i="56"/>
  <c r="Q57" i="56" s="1"/>
  <c r="B51" i="56"/>
  <c r="E51" i="56"/>
  <c r="H51" i="56"/>
  <c r="K51" i="56"/>
  <c r="N51" i="56"/>
  <c r="Q51" i="56"/>
  <c r="B52" i="56"/>
  <c r="E52" i="56"/>
  <c r="H52" i="56"/>
  <c r="K52" i="56"/>
  <c r="N52" i="56"/>
  <c r="Q52" i="56"/>
  <c r="B53" i="56"/>
  <c r="E53" i="56"/>
  <c r="H53" i="56"/>
  <c r="K53" i="56"/>
  <c r="N53" i="56"/>
  <c r="Q53" i="56"/>
  <c r="B54" i="56"/>
  <c r="E54" i="56"/>
  <c r="H54" i="56"/>
  <c r="K54" i="56"/>
  <c r="N54" i="56"/>
  <c r="Q54" i="56"/>
  <c r="B55" i="56"/>
  <c r="E55" i="56"/>
  <c r="H55" i="56"/>
  <c r="K55" i="56"/>
  <c r="N55" i="56"/>
  <c r="Q55" i="56"/>
  <c r="B56" i="56"/>
  <c r="E56" i="56"/>
  <c r="H56" i="56"/>
  <c r="K56" i="56"/>
  <c r="N56" i="56"/>
  <c r="Q56" i="56"/>
  <c r="A5" i="26"/>
  <c r="B5" i="26"/>
  <c r="A6" i="26"/>
  <c r="B6" i="26"/>
  <c r="A7" i="26"/>
  <c r="B7" i="26"/>
  <c r="A8" i="26"/>
  <c r="B8" i="26"/>
  <c r="B35" i="26"/>
  <c r="B36" i="26"/>
  <c r="B40" i="26"/>
  <c r="B41" i="26"/>
  <c r="B52" i="26"/>
  <c r="C52" i="26"/>
  <c r="D52" i="26"/>
  <c r="E52" i="26"/>
  <c r="F52" i="26"/>
  <c r="G52" i="26"/>
  <c r="H52" i="26"/>
  <c r="I52" i="26"/>
  <c r="J52" i="26"/>
  <c r="K52" i="26"/>
  <c r="B53" i="26"/>
  <c r="C53" i="26"/>
  <c r="D53" i="26"/>
  <c r="E53" i="26"/>
  <c r="F53" i="26"/>
  <c r="G53" i="26"/>
  <c r="H53" i="26"/>
  <c r="I53" i="26"/>
  <c r="J53" i="26"/>
  <c r="K53" i="26"/>
  <c r="B54" i="26"/>
  <c r="C54" i="26"/>
  <c r="D54" i="26"/>
  <c r="E54" i="26"/>
  <c r="F54" i="26"/>
  <c r="G54" i="26"/>
  <c r="H54" i="26"/>
  <c r="I54" i="26"/>
  <c r="J54" i="26"/>
  <c r="K54" i="26"/>
  <c r="B55" i="26"/>
  <c r="C55" i="26"/>
  <c r="D55" i="26"/>
  <c r="E55" i="26"/>
  <c r="F55" i="26"/>
  <c r="G55" i="26"/>
  <c r="H55" i="26"/>
  <c r="I55" i="26"/>
  <c r="J55" i="26"/>
  <c r="K55" i="26"/>
  <c r="B56" i="26"/>
  <c r="C56" i="26"/>
  <c r="D56" i="26"/>
  <c r="E56" i="26"/>
  <c r="F56" i="26"/>
  <c r="G56" i="26"/>
  <c r="H56" i="26"/>
  <c r="I56" i="26"/>
  <c r="J56" i="26"/>
  <c r="K56" i="26"/>
  <c r="D59" i="26"/>
  <c r="E59" i="26"/>
  <c r="F59" i="26"/>
  <c r="G59" i="26"/>
  <c r="H59" i="26"/>
  <c r="I59" i="26"/>
  <c r="J59" i="26"/>
  <c r="K59" i="26"/>
  <c r="D60" i="26"/>
  <c r="E60" i="26"/>
  <c r="F60" i="26"/>
  <c r="G60" i="26"/>
  <c r="H60" i="26"/>
  <c r="I60" i="26"/>
  <c r="J60" i="26"/>
  <c r="K60" i="26"/>
  <c r="D61" i="26"/>
  <c r="E61" i="26"/>
  <c r="F61" i="26"/>
  <c r="G61" i="26"/>
  <c r="H61" i="26"/>
  <c r="I61" i="26"/>
  <c r="J61" i="26"/>
  <c r="K61" i="26"/>
  <c r="D62" i="26"/>
  <c r="E62" i="26"/>
  <c r="F62" i="26"/>
  <c r="G62" i="26"/>
  <c r="H62" i="26"/>
  <c r="I62" i="26"/>
  <c r="J62" i="26"/>
  <c r="K62" i="26"/>
  <c r="D63" i="26"/>
  <c r="E63" i="26"/>
  <c r="F63" i="26"/>
  <c r="G63" i="26"/>
  <c r="H63" i="26"/>
  <c r="I63" i="26"/>
  <c r="J63" i="26"/>
  <c r="K63" i="26"/>
  <c r="D64" i="26"/>
  <c r="E64" i="26"/>
  <c r="F64" i="26"/>
  <c r="G64" i="26"/>
  <c r="H64" i="26"/>
  <c r="I64" i="26"/>
  <c r="J64" i="26"/>
  <c r="K64" i="26"/>
  <c r="D65" i="26"/>
  <c r="E65" i="26"/>
  <c r="F65" i="26"/>
  <c r="G65" i="26"/>
  <c r="H65" i="26"/>
  <c r="I65" i="26"/>
  <c r="J65" i="26"/>
  <c r="K65" i="26"/>
  <c r="D66" i="26"/>
  <c r="E66" i="26"/>
  <c r="F66" i="26"/>
  <c r="G66" i="26"/>
  <c r="H66" i="26"/>
  <c r="I66" i="26"/>
  <c r="J66" i="26"/>
  <c r="K66" i="26"/>
  <c r="D67" i="26"/>
  <c r="E67" i="26"/>
  <c r="F67" i="26"/>
  <c r="G67" i="26"/>
  <c r="H67" i="26"/>
  <c r="I67" i="26"/>
  <c r="J67" i="26"/>
  <c r="K67" i="26"/>
  <c r="B5" i="16"/>
  <c r="C5" i="16"/>
  <c r="A6" i="16"/>
  <c r="B6" i="16"/>
  <c r="A7" i="16"/>
  <c r="B7" i="16"/>
  <c r="A8" i="16"/>
  <c r="B8" i="16"/>
  <c r="A9" i="16"/>
  <c r="B9" i="16"/>
  <c r="A10" i="16"/>
  <c r="B10" i="16"/>
  <c r="A13" i="16"/>
  <c r="B13" i="16"/>
  <c r="C13" i="16"/>
  <c r="A14" i="16"/>
  <c r="B14" i="16"/>
  <c r="A17" i="16"/>
  <c r="B17" i="16"/>
  <c r="A18" i="16"/>
  <c r="A21" i="16"/>
  <c r="B21" i="16"/>
  <c r="C21" i="16"/>
  <c r="A22" i="16"/>
  <c r="B22" i="16"/>
  <c r="A25" i="16"/>
  <c r="B25" i="16"/>
  <c r="A26" i="16"/>
  <c r="A29" i="16"/>
  <c r="B29" i="16"/>
  <c r="C29" i="16"/>
  <c r="D29" i="16"/>
  <c r="E29" i="16"/>
  <c r="F29" i="16"/>
  <c r="G29" i="16"/>
  <c r="H29" i="16"/>
  <c r="I29" i="16"/>
  <c r="J29" i="16"/>
  <c r="K29" i="16"/>
  <c r="L29" i="16"/>
  <c r="M29" i="16"/>
  <c r="N29" i="16"/>
  <c r="O29" i="16"/>
  <c r="P29" i="16"/>
  <c r="A30" i="16"/>
  <c r="B30" i="16"/>
  <c r="C30" i="16"/>
  <c r="D30" i="16"/>
  <c r="E30" i="16"/>
  <c r="F30" i="16"/>
  <c r="G30" i="16"/>
  <c r="H30" i="16"/>
  <c r="I30" i="16"/>
  <c r="J30" i="16"/>
  <c r="K30" i="16"/>
  <c r="L30" i="16"/>
  <c r="M30" i="16"/>
  <c r="N30" i="16"/>
  <c r="O30" i="16"/>
  <c r="A49" i="16"/>
  <c r="B49" i="16"/>
  <c r="A50" i="16"/>
  <c r="B60" i="16"/>
  <c r="B72" i="16" s="1"/>
  <c r="D60" i="16"/>
  <c r="D72" i="16" s="1"/>
  <c r="F60" i="16"/>
  <c r="H60" i="16"/>
  <c r="H69" i="16" s="1"/>
  <c r="J60" i="16"/>
  <c r="L60" i="16"/>
  <c r="N60" i="16"/>
  <c r="N72" i="16" s="1"/>
  <c r="B67" i="16"/>
  <c r="D67" i="16"/>
  <c r="F67" i="16"/>
  <c r="H67" i="16"/>
  <c r="J67" i="16"/>
  <c r="L67" i="16"/>
  <c r="N67" i="16"/>
  <c r="P67" i="16"/>
  <c r="E81" i="16"/>
  <c r="E93" i="16" s="1"/>
  <c r="E82" i="16"/>
  <c r="E94" i="16" s="1"/>
  <c r="E83" i="16"/>
  <c r="E95" i="16" s="1"/>
  <c r="E85" i="16"/>
  <c r="E97" i="16" s="1"/>
  <c r="E96" i="16"/>
  <c r="E98" i="16"/>
  <c r="B171" i="16"/>
  <c r="B225" i="16" s="1"/>
  <c r="C171" i="16"/>
  <c r="C225" i="16" s="1"/>
  <c r="D171" i="16"/>
  <c r="D225" i="16" s="1"/>
  <c r="E171" i="16"/>
  <c r="E225" i="16" s="1"/>
  <c r="F171" i="16"/>
  <c r="F225" i="16" s="1"/>
  <c r="G171" i="16"/>
  <c r="G225" i="16" s="1"/>
  <c r="H171" i="16"/>
  <c r="H225" i="16" s="1"/>
  <c r="I171" i="16"/>
  <c r="I225" i="16" s="1"/>
  <c r="J171" i="16"/>
  <c r="J225" i="16" s="1"/>
  <c r="K171" i="16"/>
  <c r="K225" i="16" s="1"/>
  <c r="A172" i="16"/>
  <c r="A173" i="16"/>
  <c r="A174" i="16"/>
  <c r="A175" i="16"/>
  <c r="A176" i="16"/>
  <c r="A177" i="16"/>
  <c r="A178" i="16"/>
  <c r="A179" i="16"/>
  <c r="A180" i="16"/>
  <c r="A181" i="16"/>
  <c r="A182" i="16"/>
  <c r="A183" i="16"/>
  <c r="A184" i="16"/>
  <c r="A185" i="16"/>
  <c r="A186" i="16"/>
  <c r="A187" i="16"/>
  <c r="A188" i="16"/>
  <c r="A189" i="16"/>
  <c r="A190" i="16"/>
  <c r="A191" i="16"/>
  <c r="A192" i="16"/>
  <c r="G13" i="15"/>
  <c r="A15" i="15"/>
  <c r="A16" i="15"/>
  <c r="B5" i="13"/>
  <c r="B6" i="13"/>
  <c r="B7" i="13"/>
  <c r="B8" i="13"/>
  <c r="B25" i="48"/>
  <c r="B26" i="48"/>
  <c r="B27" i="48"/>
  <c r="B28" i="48"/>
  <c r="A5" i="12"/>
  <c r="B5" i="12"/>
  <c r="A6" i="12"/>
  <c r="B6" i="12"/>
  <c r="A9" i="12"/>
  <c r="B9" i="12"/>
  <c r="A10" i="12"/>
  <c r="B5" i="10"/>
  <c r="A4" i="20"/>
  <c r="B5" i="35"/>
  <c r="B112" i="35" s="1"/>
  <c r="C5" i="35"/>
  <c r="C112" i="35" s="1"/>
  <c r="D5" i="35"/>
  <c r="D112" i="35" s="1"/>
  <c r="E5" i="35"/>
  <c r="E112" i="35" s="1"/>
  <c r="F5" i="35"/>
  <c r="F112" i="35" s="1"/>
  <c r="G5" i="35"/>
  <c r="B148" i="35" s="1"/>
  <c r="H5" i="35"/>
  <c r="C148" i="35" s="1"/>
  <c r="I5" i="35"/>
  <c r="D148" i="35" s="1"/>
  <c r="J5" i="35"/>
  <c r="H112" i="35" s="1"/>
  <c r="A6" i="35"/>
  <c r="B6" i="35"/>
  <c r="B113" i="35" s="1"/>
  <c r="C6" i="35"/>
  <c r="C113" i="35" s="1"/>
  <c r="D6" i="35"/>
  <c r="D113" i="35" s="1"/>
  <c r="E6" i="35"/>
  <c r="E113" i="35" s="1"/>
  <c r="F6" i="35"/>
  <c r="F113" i="35" s="1"/>
  <c r="G6" i="35"/>
  <c r="H6" i="35"/>
  <c r="I6" i="35"/>
  <c r="G113" i="35" s="1"/>
  <c r="J6" i="35"/>
  <c r="H113" i="35" s="1"/>
  <c r="A7" i="35"/>
  <c r="B7" i="35"/>
  <c r="C7" i="35"/>
  <c r="D7" i="35"/>
  <c r="E7" i="35"/>
  <c r="F7" i="35"/>
  <c r="G7" i="35"/>
  <c r="B149" i="35" s="1"/>
  <c r="H7" i="35"/>
  <c r="C149" i="35" s="1"/>
  <c r="I7" i="35"/>
  <c r="D149" i="35" s="1"/>
  <c r="J7" i="35"/>
  <c r="E149" i="35" s="1"/>
  <c r="B56" i="35"/>
  <c r="D56" i="35"/>
  <c r="F56" i="35"/>
  <c r="F71" i="35" s="1"/>
  <c r="H56" i="35"/>
  <c r="H69" i="35" s="1"/>
  <c r="J56" i="35"/>
  <c r="L56" i="35"/>
  <c r="N56" i="35"/>
  <c r="N71" i="35" s="1"/>
  <c r="P56" i="35"/>
  <c r="P72" i="35" s="1"/>
  <c r="R56" i="35"/>
  <c r="R72" i="35" s="1"/>
  <c r="B65" i="35"/>
  <c r="D65" i="35"/>
  <c r="F65" i="35"/>
  <c r="H65" i="35"/>
  <c r="J65" i="35"/>
  <c r="L65" i="35"/>
  <c r="L73" i="35" s="1"/>
  <c r="N65" i="35"/>
  <c r="P65" i="35"/>
  <c r="R65" i="35"/>
  <c r="C105" i="35"/>
  <c r="E105" i="35"/>
  <c r="C101" i="35"/>
  <c r="E101" i="35"/>
  <c r="G101" i="35"/>
  <c r="I101" i="35"/>
  <c r="K101" i="35"/>
  <c r="M101" i="35"/>
  <c r="O101" i="35"/>
  <c r="Q101" i="35"/>
  <c r="S101" i="35"/>
  <c r="C102" i="35"/>
  <c r="E102" i="35"/>
  <c r="G102" i="35"/>
  <c r="I102" i="35"/>
  <c r="K102" i="35"/>
  <c r="M102" i="35"/>
  <c r="O102" i="35"/>
  <c r="Q102" i="35"/>
  <c r="S102" i="35"/>
  <c r="C103" i="35"/>
  <c r="E103" i="35"/>
  <c r="G103" i="35"/>
  <c r="I103" i="35"/>
  <c r="K103" i="35"/>
  <c r="M103" i="35"/>
  <c r="O103" i="35"/>
  <c r="Q103" i="35"/>
  <c r="S103" i="35"/>
  <c r="G104" i="35"/>
  <c r="K104" i="35"/>
  <c r="M104" i="35"/>
  <c r="O104" i="35"/>
  <c r="Q104" i="35"/>
  <c r="S104" i="35"/>
  <c r="G105" i="35"/>
  <c r="K105" i="35"/>
  <c r="M105" i="35"/>
  <c r="O105" i="35"/>
  <c r="Q105" i="35"/>
  <c r="S105" i="35"/>
  <c r="C106" i="35"/>
  <c r="E106" i="35"/>
  <c r="G106" i="35"/>
  <c r="I106" i="35"/>
  <c r="K106" i="35"/>
  <c r="M106" i="35"/>
  <c r="O106" i="35"/>
  <c r="Q106" i="35"/>
  <c r="S106" i="35"/>
  <c r="B132" i="35"/>
  <c r="C132" i="35"/>
  <c r="D132" i="35"/>
  <c r="E132" i="35"/>
  <c r="F132" i="35"/>
  <c r="G132" i="35"/>
  <c r="H132" i="35"/>
  <c r="B133" i="35"/>
  <c r="C133" i="35"/>
  <c r="D133" i="35"/>
  <c r="E133" i="35"/>
  <c r="F133" i="35"/>
  <c r="G133" i="35"/>
  <c r="H133" i="35"/>
  <c r="B168" i="35"/>
  <c r="B169" i="35"/>
  <c r="A5" i="3"/>
  <c r="B5" i="3"/>
  <c r="C5" i="3"/>
  <c r="A6" i="3"/>
  <c r="B6" i="3"/>
  <c r="B9" i="3"/>
  <c r="B121" i="3" s="1"/>
  <c r="C9" i="3"/>
  <c r="C121" i="3" s="1"/>
  <c r="D9" i="3"/>
  <c r="D121" i="3" s="1"/>
  <c r="E9" i="3"/>
  <c r="E121" i="3" s="1"/>
  <c r="F9" i="3"/>
  <c r="F121" i="3" s="1"/>
  <c r="G9" i="3"/>
  <c r="B159" i="3" s="1"/>
  <c r="H9" i="3"/>
  <c r="C159" i="3" s="1"/>
  <c r="I9" i="3"/>
  <c r="J9" i="3"/>
  <c r="H121" i="3" s="1"/>
  <c r="K9" i="3"/>
  <c r="L9" i="3"/>
  <c r="J121" i="3" s="1"/>
  <c r="A10" i="3"/>
  <c r="B10" i="3"/>
  <c r="B122" i="3" s="1"/>
  <c r="C10" i="3"/>
  <c r="C122" i="3" s="1"/>
  <c r="D10" i="3"/>
  <c r="D122" i="3" s="1"/>
  <c r="E10" i="3"/>
  <c r="E122" i="3" s="1"/>
  <c r="F10" i="3"/>
  <c r="F122" i="3" s="1"/>
  <c r="I10" i="3"/>
  <c r="G122" i="3" s="1"/>
  <c r="J10" i="3"/>
  <c r="H122" i="3" s="1"/>
  <c r="K10" i="3"/>
  <c r="I122" i="3" s="1"/>
  <c r="L10" i="3"/>
  <c r="J122" i="3" s="1"/>
  <c r="A11" i="3"/>
  <c r="B11" i="3"/>
  <c r="B123" i="3" s="1"/>
  <c r="C11" i="3"/>
  <c r="C123" i="3" s="1"/>
  <c r="D11" i="3"/>
  <c r="D123" i="3" s="1"/>
  <c r="E11" i="3"/>
  <c r="E123" i="3" s="1"/>
  <c r="F11" i="3"/>
  <c r="F123" i="3" s="1"/>
  <c r="I11" i="3"/>
  <c r="G123" i="3" s="1"/>
  <c r="J11" i="3"/>
  <c r="H123" i="3" s="1"/>
  <c r="K11" i="3"/>
  <c r="I123" i="3" s="1"/>
  <c r="L11" i="3"/>
  <c r="J123" i="3" s="1"/>
  <c r="A12" i="3"/>
  <c r="B12" i="3"/>
  <c r="B124" i="3" s="1"/>
  <c r="C12" i="3"/>
  <c r="C124" i="3" s="1"/>
  <c r="D12" i="3"/>
  <c r="D124" i="3" s="1"/>
  <c r="E12" i="3"/>
  <c r="E124" i="3" s="1"/>
  <c r="F12" i="3"/>
  <c r="F124" i="3" s="1"/>
  <c r="I12" i="3"/>
  <c r="G124" i="3" s="1"/>
  <c r="J12" i="3"/>
  <c r="H124" i="3" s="1"/>
  <c r="K12" i="3"/>
  <c r="I124" i="3" s="1"/>
  <c r="L12" i="3"/>
  <c r="J124" i="3" s="1"/>
  <c r="A13" i="3"/>
  <c r="G13" i="3"/>
  <c r="B160" i="3" s="1"/>
  <c r="H13" i="3"/>
  <c r="C160" i="3" s="1"/>
  <c r="I13" i="3"/>
  <c r="D160" i="3" s="1"/>
  <c r="J13" i="3"/>
  <c r="E160" i="3" s="1"/>
  <c r="K13" i="3"/>
  <c r="F160" i="3" s="1"/>
  <c r="L13" i="3"/>
  <c r="G160" i="3" s="1"/>
  <c r="A14" i="3"/>
  <c r="G14" i="3"/>
  <c r="B161" i="3" s="1"/>
  <c r="H14" i="3"/>
  <c r="C161" i="3" s="1"/>
  <c r="I14" i="3"/>
  <c r="D161" i="3" s="1"/>
  <c r="J14" i="3"/>
  <c r="E161" i="3" s="1"/>
  <c r="K14" i="3"/>
  <c r="F161" i="3" s="1"/>
  <c r="L14" i="3"/>
  <c r="G161" i="3" s="1"/>
  <c r="A15" i="3"/>
  <c r="G15" i="3"/>
  <c r="B162" i="3" s="1"/>
  <c r="H15" i="3"/>
  <c r="C162" i="3" s="1"/>
  <c r="I15" i="3"/>
  <c r="D162" i="3" s="1"/>
  <c r="J15" i="3"/>
  <c r="E162" i="3" s="1"/>
  <c r="K15" i="3"/>
  <c r="F162" i="3" s="1"/>
  <c r="L15" i="3"/>
  <c r="G162" i="3" s="1"/>
  <c r="A5" i="2"/>
  <c r="B5" i="2"/>
  <c r="A6" i="2"/>
  <c r="B16" i="2"/>
  <c r="B28" i="2" s="1"/>
  <c r="D16" i="2"/>
  <c r="F16" i="2"/>
  <c r="F25" i="2" s="1"/>
  <c r="H16" i="2"/>
  <c r="B23" i="2"/>
  <c r="D23" i="2"/>
  <c r="F23" i="2"/>
  <c r="H23" i="2"/>
  <c r="A5" i="1"/>
  <c r="B5" i="1"/>
  <c r="C5" i="1"/>
  <c r="A6" i="1"/>
  <c r="B6" i="1"/>
  <c r="B9" i="1"/>
  <c r="C9" i="1"/>
  <c r="D9" i="1"/>
  <c r="E9" i="1"/>
  <c r="F9" i="1"/>
  <c r="G9" i="1"/>
  <c r="H9" i="1"/>
  <c r="A10" i="1"/>
  <c r="B10" i="1"/>
  <c r="D106" i="1" s="1"/>
  <c r="C10" i="1"/>
  <c r="E106" i="1" s="1"/>
  <c r="D10" i="1"/>
  <c r="F106" i="1" s="1"/>
  <c r="E10" i="1"/>
  <c r="G106" i="1" s="1"/>
  <c r="F10" i="1"/>
  <c r="H106" i="1" s="1"/>
  <c r="A11" i="1"/>
  <c r="G11" i="1"/>
  <c r="C140" i="1" s="1"/>
  <c r="H11" i="1"/>
  <c r="D140" i="1" s="1"/>
  <c r="A12" i="1"/>
  <c r="G12" i="1"/>
  <c r="C174" i="1" s="1"/>
  <c r="H12" i="1"/>
  <c r="D174" i="1" s="1"/>
  <c r="A13" i="1"/>
  <c r="G13" i="1"/>
  <c r="C208" i="1" s="1"/>
  <c r="H13" i="1"/>
  <c r="D208" i="1" s="1"/>
  <c r="C30" i="1"/>
  <c r="D30" i="1"/>
  <c r="E30" i="1"/>
  <c r="F30" i="1"/>
  <c r="G30" i="1"/>
  <c r="P30" i="1"/>
  <c r="Q30" i="1"/>
  <c r="R30" i="1"/>
  <c r="S30" i="1"/>
  <c r="T30" i="1"/>
  <c r="U30" i="1"/>
  <c r="V30" i="1"/>
  <c r="W30" i="1"/>
  <c r="B34" i="1"/>
  <c r="C34" i="1"/>
  <c r="D34" i="1"/>
  <c r="E34" i="1"/>
  <c r="F34" i="1"/>
  <c r="G34" i="1"/>
  <c r="P34" i="1"/>
  <c r="Q34" i="1"/>
  <c r="R34" i="1"/>
  <c r="S34" i="1"/>
  <c r="T34" i="1"/>
  <c r="U34" i="1"/>
  <c r="V34" i="1"/>
  <c r="W34" i="1"/>
  <c r="B36" i="1"/>
  <c r="C36" i="1"/>
  <c r="D36" i="1"/>
  <c r="E36" i="1"/>
  <c r="F36" i="1"/>
  <c r="G36" i="1"/>
  <c r="P36" i="1"/>
  <c r="Q36" i="1"/>
  <c r="R36" i="1"/>
  <c r="S36" i="1"/>
  <c r="T36" i="1"/>
  <c r="U36" i="1"/>
  <c r="V36" i="1"/>
  <c r="W36" i="1"/>
  <c r="B39" i="1"/>
  <c r="C39" i="1"/>
  <c r="D39" i="1"/>
  <c r="E39" i="1"/>
  <c r="F39" i="1"/>
  <c r="G39" i="1"/>
  <c r="P39" i="1"/>
  <c r="Q39" i="1"/>
  <c r="R39" i="1"/>
  <c r="S39" i="1"/>
  <c r="T39" i="1"/>
  <c r="U39" i="1"/>
  <c r="V39" i="1"/>
  <c r="W39" i="1"/>
  <c r="B49" i="1"/>
  <c r="D49" i="1"/>
  <c r="G49" i="1"/>
  <c r="I49" i="1"/>
  <c r="K49" i="1"/>
  <c r="M49" i="1"/>
  <c r="O49" i="1"/>
  <c r="Q49" i="1"/>
  <c r="S49" i="1"/>
  <c r="U49" i="1"/>
  <c r="W49" i="1"/>
  <c r="AC49" i="1"/>
  <c r="O57" i="1"/>
  <c r="Q57" i="1"/>
  <c r="S57" i="1"/>
  <c r="U57" i="1"/>
  <c r="W57" i="1"/>
  <c r="AA57" i="1"/>
  <c r="AC57" i="1"/>
  <c r="C121" i="41"/>
  <c r="C131" i="41"/>
  <c r="B57" i="26" s="1"/>
  <c r="D131" i="41"/>
  <c r="C57" i="26" s="1"/>
  <c r="E131" i="41"/>
  <c r="D57" i="26" s="1"/>
  <c r="F131" i="41"/>
  <c r="E57" i="26" s="1"/>
  <c r="G131" i="41"/>
  <c r="F57" i="26" s="1"/>
  <c r="H131" i="41"/>
  <c r="G57" i="26" s="1"/>
  <c r="I131" i="41"/>
  <c r="H57" i="26" s="1"/>
  <c r="J131" i="41"/>
  <c r="I57" i="26" s="1"/>
  <c r="K131" i="41"/>
  <c r="J57" i="26" s="1"/>
  <c r="L131" i="41"/>
  <c r="K57" i="26" s="1"/>
  <c r="E142" i="41"/>
  <c r="D68" i="26" s="1"/>
  <c r="F142" i="41"/>
  <c r="E68" i="26" s="1"/>
  <c r="G142" i="41"/>
  <c r="F68" i="26" s="1"/>
  <c r="H142" i="41"/>
  <c r="G68" i="26" s="1"/>
  <c r="I142" i="41"/>
  <c r="H68" i="26" s="1"/>
  <c r="J142" i="41"/>
  <c r="I68" i="26" s="1"/>
  <c r="K142" i="41"/>
  <c r="J68" i="26" s="1"/>
  <c r="L142" i="41"/>
  <c r="K68" i="26" s="1"/>
  <c r="D171" i="41"/>
  <c r="D172" i="41"/>
  <c r="D173" i="41"/>
  <c r="D174" i="41"/>
  <c r="D175" i="41"/>
  <c r="D180" i="41"/>
  <c r="C191" i="41"/>
  <c r="D195" i="41"/>
  <c r="C216" i="41"/>
  <c r="Q220" i="41"/>
  <c r="E224" i="41"/>
  <c r="D228" i="41"/>
  <c r="O246" i="41"/>
  <c r="N250" i="41"/>
  <c r="N256" i="41" s="1"/>
  <c r="C256" i="41"/>
  <c r="D256" i="41"/>
  <c r="E256" i="41"/>
  <c r="F256" i="41"/>
  <c r="G256" i="41"/>
  <c r="H256" i="41"/>
  <c r="I256" i="41"/>
  <c r="J256" i="41"/>
  <c r="K256" i="41"/>
  <c r="L256" i="41"/>
  <c r="M256" i="41"/>
  <c r="C268" i="41"/>
  <c r="Y49" i="1"/>
  <c r="B331" i="41"/>
  <c r="AA49" i="1" s="1"/>
  <c r="B427" i="41"/>
  <c r="B429" i="41"/>
  <c r="B430" i="41"/>
  <c r="B431" i="41"/>
  <c r="B432" i="41"/>
  <c r="B433" i="41"/>
  <c r="B437" i="41"/>
  <c r="B438" i="41"/>
  <c r="B439" i="41"/>
  <c r="B440" i="41"/>
  <c r="B441" i="41"/>
  <c r="B54" i="45"/>
  <c r="D110" i="34"/>
  <c r="D111" i="34"/>
  <c r="D116" i="34"/>
  <c r="D117" i="34"/>
  <c r="B126" i="34"/>
  <c r="B13" i="15" s="1"/>
  <c r="C126" i="34"/>
  <c r="C13" i="15" s="1"/>
  <c r="D126" i="34"/>
  <c r="D13" i="15" s="1"/>
  <c r="E126" i="34"/>
  <c r="E13" i="15" s="1"/>
  <c r="F126" i="34"/>
  <c r="F13" i="15" s="1"/>
  <c r="H126" i="34"/>
  <c r="H13" i="15" s="1"/>
  <c r="I113" i="3"/>
  <c r="I105" i="35"/>
  <c r="I104" i="35"/>
  <c r="D38" i="8"/>
  <c r="T78" i="3"/>
  <c r="E61" i="10"/>
  <c r="C104" i="35"/>
  <c r="E113" i="3"/>
  <c r="B10" i="13"/>
  <c r="D176" i="41"/>
  <c r="C10" i="13" s="1"/>
  <c r="E104" i="35"/>
  <c r="C114" i="3"/>
  <c r="F38" i="8"/>
  <c r="H30" i="10"/>
  <c r="J28" i="10"/>
  <c r="J29" i="10"/>
  <c r="J30" i="10"/>
  <c r="H84" i="43"/>
  <c r="J84" i="45"/>
  <c r="H84" i="50"/>
  <c r="J84" i="50"/>
  <c r="J84" i="43"/>
  <c r="H84" i="45"/>
  <c r="B54" i="50"/>
  <c r="C80" i="43"/>
  <c r="E83" i="43"/>
  <c r="C80" i="50"/>
  <c r="K83" i="50"/>
  <c r="K82" i="45"/>
  <c r="G84" i="45"/>
  <c r="I84" i="43"/>
  <c r="E82" i="45"/>
  <c r="E81" i="50"/>
  <c r="K80" i="43"/>
  <c r="C79" i="50"/>
  <c r="K80" i="50"/>
  <c r="E84" i="50"/>
  <c r="C84" i="45"/>
  <c r="K82" i="50"/>
  <c r="C82" i="43"/>
  <c r="E81" i="43"/>
  <c r="E80" i="43"/>
  <c r="E82" i="43"/>
  <c r="I84" i="45"/>
  <c r="C81" i="43"/>
  <c r="G84" i="43"/>
  <c r="E79" i="50"/>
  <c r="C82" i="45"/>
  <c r="E80" i="45"/>
  <c r="K83" i="43"/>
  <c r="C83" i="45"/>
  <c r="K79" i="45"/>
  <c r="C83" i="50"/>
  <c r="G84" i="50"/>
  <c r="C82" i="50"/>
  <c r="C83" i="43"/>
  <c r="K81" i="50"/>
  <c r="E79" i="45"/>
  <c r="E84" i="45"/>
  <c r="K81" i="43"/>
  <c r="K79" i="43"/>
  <c r="E81" i="45"/>
  <c r="E83" i="50"/>
  <c r="E83" i="45"/>
  <c r="C84" i="43"/>
  <c r="C79" i="45"/>
  <c r="E80" i="50"/>
  <c r="C81" i="50"/>
  <c r="K80" i="45"/>
  <c r="C79" i="43"/>
  <c r="K79" i="50"/>
  <c r="C81" i="45"/>
  <c r="I84" i="50"/>
  <c r="E82" i="50"/>
  <c r="E79" i="43"/>
  <c r="K82" i="43"/>
  <c r="K83" i="45"/>
  <c r="E84" i="43"/>
  <c r="K81" i="45"/>
  <c r="C84" i="50"/>
  <c r="C80" i="45"/>
  <c r="C78" i="50"/>
  <c r="C67" i="50"/>
  <c r="C78" i="45"/>
  <c r="C67" i="45"/>
  <c r="E78" i="45"/>
  <c r="E67" i="45"/>
  <c r="E78" i="50"/>
  <c r="E67" i="50"/>
  <c r="C67" i="43"/>
  <c r="C78" i="43"/>
  <c r="E67" i="43"/>
  <c r="E78" i="43"/>
  <c r="G78" i="26"/>
  <c r="B31" i="40"/>
  <c r="G78" i="45"/>
  <c r="H81" i="45"/>
  <c r="R76" i="3"/>
  <c r="F37" i="8"/>
  <c r="E111" i="34"/>
  <c r="L13" i="45" s="1"/>
  <c r="L19" i="45" s="1"/>
  <c r="D25" i="38"/>
  <c r="G197" i="50"/>
  <c r="L71" i="16"/>
  <c r="L72" i="16"/>
  <c r="F31" i="40"/>
  <c r="D68" i="35"/>
  <c r="B26" i="5"/>
  <c r="H70" i="35"/>
  <c r="B23" i="30"/>
  <c r="B71" i="16"/>
  <c r="L70" i="16"/>
  <c r="F28" i="7"/>
  <c r="D69" i="35"/>
  <c r="D29" i="40"/>
  <c r="F29" i="40"/>
  <c r="C75" i="15"/>
  <c r="L71" i="35"/>
  <c r="F27" i="7"/>
  <c r="F30" i="7"/>
  <c r="L68" i="35"/>
  <c r="L70" i="35"/>
  <c r="V29" i="10"/>
  <c r="V32" i="10"/>
  <c r="F36" i="8"/>
  <c r="B27" i="2"/>
  <c r="J70" i="16"/>
  <c r="I174" i="50"/>
  <c r="D41" i="31"/>
  <c r="F72" i="35"/>
  <c r="B21" i="39"/>
  <c r="AD99" i="20"/>
  <c r="H71" i="35"/>
  <c r="F26" i="2"/>
  <c r="B29" i="12"/>
  <c r="D30" i="7"/>
  <c r="L142" i="43"/>
  <c r="E204" i="45"/>
  <c r="F22" i="29"/>
  <c r="B36" i="8"/>
  <c r="F34" i="40"/>
  <c r="AD104" i="20"/>
  <c r="AD98" i="20"/>
  <c r="M76" i="15"/>
  <c r="J192" i="45"/>
  <c r="E197" i="45"/>
  <c r="I81" i="43"/>
  <c r="I78" i="50"/>
  <c r="J80" i="43"/>
  <c r="J81" i="43"/>
  <c r="I80" i="50"/>
  <c r="J82" i="43"/>
  <c r="J12" i="45"/>
  <c r="J18" i="45" s="1"/>
  <c r="J12" i="50"/>
  <c r="J18" i="50" s="1"/>
  <c r="J83" i="43"/>
  <c r="J79" i="50"/>
  <c r="I78" i="43"/>
  <c r="J78" i="45"/>
  <c r="J80" i="50"/>
  <c r="I79" i="43"/>
  <c r="I81" i="45"/>
  <c r="J81" i="50"/>
  <c r="J78" i="43"/>
  <c r="J80" i="45"/>
  <c r="C35" i="26"/>
  <c r="F110" i="34"/>
  <c r="N78" i="3"/>
  <c r="H35" i="40"/>
  <c r="F23" i="27"/>
  <c r="D69" i="16"/>
  <c r="D71" i="16"/>
  <c r="F117" i="34"/>
  <c r="L216" i="50"/>
  <c r="F27" i="2" l="1"/>
  <c r="F192" i="45"/>
  <c r="J32" i="10"/>
  <c r="W37" i="22"/>
  <c r="H41" i="22"/>
  <c r="L32" i="10"/>
  <c r="H174" i="43"/>
  <c r="L4" i="45"/>
  <c r="L6" i="45" s="1"/>
  <c r="G174" i="45"/>
  <c r="K186" i="45"/>
  <c r="C186" i="50"/>
  <c r="G186" i="50"/>
  <c r="F163" i="45"/>
  <c r="J163" i="45"/>
  <c r="D174" i="45"/>
  <c r="H174" i="45"/>
  <c r="D186" i="45"/>
  <c r="L174" i="50"/>
  <c r="E186" i="45"/>
  <c r="E174" i="50"/>
  <c r="E186" i="50"/>
  <c r="E204" i="43"/>
  <c r="F204" i="43"/>
  <c r="C14" i="63"/>
  <c r="C22" i="72"/>
  <c r="C22" i="71"/>
  <c r="C8" i="13"/>
  <c r="C9" i="72"/>
  <c r="C9" i="71"/>
  <c r="D10" i="63"/>
  <c r="B18" i="16"/>
  <c r="B18" i="71"/>
  <c r="B18" i="72"/>
  <c r="C8" i="16"/>
  <c r="C8" i="71"/>
  <c r="C8" i="72"/>
  <c r="L23" i="36"/>
  <c r="J23" i="36"/>
  <c r="H23" i="36"/>
  <c r="F23" i="36"/>
  <c r="B50" i="72"/>
  <c r="B50" i="71"/>
  <c r="P30" i="16"/>
  <c r="P30" i="72"/>
  <c r="P30" i="71"/>
  <c r="P6" i="63"/>
  <c r="C6" i="1"/>
  <c r="C14" i="71"/>
  <c r="C14" i="72"/>
  <c r="C7" i="72"/>
  <c r="C7" i="71"/>
  <c r="B144" i="14"/>
  <c r="B197" i="74"/>
  <c r="D11" i="63"/>
  <c r="N40" i="22"/>
  <c r="B26" i="72"/>
  <c r="B26" i="71"/>
  <c r="C10" i="72"/>
  <c r="C10" i="71"/>
  <c r="C6" i="72"/>
  <c r="C6" i="71"/>
  <c r="D12" i="63"/>
  <c r="U63" i="1"/>
  <c r="U65" i="1"/>
  <c r="U60" i="1"/>
  <c r="U62" i="1"/>
  <c r="U64" i="1"/>
  <c r="D61" i="1"/>
  <c r="D63" i="1"/>
  <c r="D65" i="1"/>
  <c r="D60" i="1"/>
  <c r="D62" i="1"/>
  <c r="D64" i="1"/>
  <c r="S63" i="1"/>
  <c r="S65" i="1"/>
  <c r="S60" i="1"/>
  <c r="S62" i="1"/>
  <c r="S64" i="1"/>
  <c r="K61" i="1"/>
  <c r="K63" i="1"/>
  <c r="K65" i="1"/>
  <c r="K60" i="1"/>
  <c r="K62" i="1"/>
  <c r="K64" i="1"/>
  <c r="B61" i="1"/>
  <c r="B63" i="1"/>
  <c r="B65" i="1"/>
  <c r="B60" i="1"/>
  <c r="B62" i="1"/>
  <c r="B64" i="1"/>
  <c r="Y60" i="1"/>
  <c r="Y62" i="1"/>
  <c r="Y64" i="1"/>
  <c r="Y63" i="1"/>
  <c r="Y65" i="1"/>
  <c r="M61" i="1"/>
  <c r="M63" i="1"/>
  <c r="M65" i="1"/>
  <c r="M60" i="1"/>
  <c r="M62" i="1"/>
  <c r="M64" i="1"/>
  <c r="AC63" i="1"/>
  <c r="AC65" i="1"/>
  <c r="AC60" i="1"/>
  <c r="AC62" i="1"/>
  <c r="AC64" i="1"/>
  <c r="Q60" i="1"/>
  <c r="Q62" i="1"/>
  <c r="Q64" i="1"/>
  <c r="Q63" i="1"/>
  <c r="Q65" i="1"/>
  <c r="I60" i="1"/>
  <c r="I62" i="1"/>
  <c r="I64" i="1"/>
  <c r="I61" i="1"/>
  <c r="I63" i="1"/>
  <c r="I65" i="1"/>
  <c r="AA63" i="1"/>
  <c r="AA65" i="1"/>
  <c r="AA60" i="1"/>
  <c r="AA62" i="1"/>
  <c r="AA64" i="1"/>
  <c r="W60" i="1"/>
  <c r="W62" i="1"/>
  <c r="W64" i="1"/>
  <c r="W63" i="1"/>
  <c r="W65" i="1"/>
  <c r="O60" i="1"/>
  <c r="O62" i="1"/>
  <c r="O64" i="1"/>
  <c r="O63" i="1"/>
  <c r="O65" i="1"/>
  <c r="G60" i="1"/>
  <c r="G62" i="1"/>
  <c r="G64" i="1"/>
  <c r="G61" i="1"/>
  <c r="G63" i="1"/>
  <c r="G65" i="1"/>
  <c r="K204" i="43"/>
  <c r="F186" i="43"/>
  <c r="F163" i="43"/>
  <c r="K192" i="43"/>
  <c r="H186" i="43"/>
  <c r="H197" i="43"/>
  <c r="G204" i="43"/>
  <c r="J204" i="43"/>
  <c r="D142" i="43"/>
  <c r="L163" i="43"/>
  <c r="F174" i="43"/>
  <c r="L186" i="43"/>
  <c r="I192" i="43"/>
  <c r="H142" i="43"/>
  <c r="H17" i="41" s="1"/>
  <c r="G33" i="14" s="1"/>
  <c r="D163" i="43"/>
  <c r="D38" i="41" s="1"/>
  <c r="C54" i="14" s="1"/>
  <c r="J174" i="43"/>
  <c r="L174" i="43"/>
  <c r="D186" i="43"/>
  <c r="F197" i="43"/>
  <c r="H43" i="59"/>
  <c r="H32" i="10"/>
  <c r="B6" i="2"/>
  <c r="E197" i="43"/>
  <c r="D27" i="7"/>
  <c r="R77" i="3"/>
  <c r="C59" i="36"/>
  <c r="D29" i="12"/>
  <c r="D31" i="12"/>
  <c r="F142" i="43"/>
  <c r="J142" i="43"/>
  <c r="H163" i="43"/>
  <c r="D174" i="43"/>
  <c r="J186" i="43"/>
  <c r="J162" i="41"/>
  <c r="I86" i="26" s="1"/>
  <c r="I162" i="41"/>
  <c r="H86" i="26" s="1"/>
  <c r="E42" i="22"/>
  <c r="H33" i="40"/>
  <c r="D24" i="28"/>
  <c r="R82" i="3"/>
  <c r="N71" i="16"/>
  <c r="K42" i="59"/>
  <c r="L13" i="50"/>
  <c r="L19" i="50" s="1"/>
  <c r="D26" i="28"/>
  <c r="F26" i="38"/>
  <c r="F27" i="5"/>
  <c r="E75" i="15"/>
  <c r="D27" i="28"/>
  <c r="F25" i="38"/>
  <c r="E46" i="22"/>
  <c r="AC128" i="20"/>
  <c r="J99" i="20"/>
  <c r="J102" i="20"/>
  <c r="J98" i="20"/>
  <c r="J101" i="20"/>
  <c r="J104" i="20"/>
  <c r="AB99" i="20"/>
  <c r="AB102" i="20"/>
  <c r="AB98" i="20"/>
  <c r="AB101" i="20"/>
  <c r="AB104" i="20"/>
  <c r="B69" i="35"/>
  <c r="B72" i="35"/>
  <c r="D23" i="27"/>
  <c r="D26" i="27"/>
  <c r="D24" i="27"/>
  <c r="K44" i="59"/>
  <c r="N30" i="10"/>
  <c r="F26" i="27"/>
  <c r="C9" i="16"/>
  <c r="F70" i="16"/>
  <c r="F69" i="16"/>
  <c r="D28" i="38"/>
  <c r="D26" i="38"/>
  <c r="B23" i="39"/>
  <c r="B24" i="39"/>
  <c r="D32" i="12"/>
  <c r="D33" i="12"/>
  <c r="D39" i="8"/>
  <c r="D36" i="8"/>
  <c r="D40" i="8"/>
  <c r="D37" i="8"/>
  <c r="F33" i="40"/>
  <c r="F30" i="40"/>
  <c r="F32" i="40"/>
  <c r="L174" i="45"/>
  <c r="H186" i="45"/>
  <c r="H192" i="50"/>
  <c r="L204" i="50"/>
  <c r="K41" i="59"/>
  <c r="K45" i="59"/>
  <c r="H76" i="3"/>
  <c r="H77" i="3"/>
  <c r="AE125" i="20"/>
  <c r="AE128" i="20"/>
  <c r="AE126" i="20"/>
  <c r="L204" i="45"/>
  <c r="L142" i="50"/>
  <c r="I186" i="50"/>
  <c r="K43" i="59"/>
  <c r="K39" i="59"/>
  <c r="F25" i="27"/>
  <c r="AE129" i="20"/>
  <c r="AE130" i="20"/>
  <c r="D25" i="27"/>
  <c r="L67" i="35"/>
  <c r="L69" i="35"/>
  <c r="L72" i="35"/>
  <c r="D67" i="35"/>
  <c r="D72" i="35"/>
  <c r="L69" i="16"/>
  <c r="L73" i="16"/>
  <c r="D73" i="16"/>
  <c r="D70" i="16"/>
  <c r="H31" i="10"/>
  <c r="H28" i="10"/>
  <c r="D73" i="35"/>
  <c r="E163" i="43"/>
  <c r="H32" i="40"/>
  <c r="T80" i="3"/>
  <c r="D24" i="33"/>
  <c r="B24" i="30"/>
  <c r="D27" i="27"/>
  <c r="F33" i="12"/>
  <c r="D35" i="40"/>
  <c r="K174" i="45"/>
  <c r="L216" i="45"/>
  <c r="D45" i="50"/>
  <c r="K186" i="50"/>
  <c r="B28" i="22"/>
  <c r="B38" i="22" s="1"/>
  <c r="C65" i="22"/>
  <c r="E43" i="22"/>
  <c r="G142" i="50"/>
  <c r="I186" i="45"/>
  <c r="C186" i="45"/>
  <c r="G142" i="43"/>
  <c r="G17" i="41" s="1"/>
  <c r="F33" i="14" s="1"/>
  <c r="L186" i="45"/>
  <c r="E142" i="43"/>
  <c r="K186" i="43"/>
  <c r="K61" i="41" s="1"/>
  <c r="J77" i="14" s="1"/>
  <c r="G186" i="45"/>
  <c r="C85" i="45"/>
  <c r="F186" i="45"/>
  <c r="D29" i="2"/>
  <c r="D27" i="5"/>
  <c r="E163" i="50"/>
  <c r="I163" i="50"/>
  <c r="C174" i="50"/>
  <c r="G174" i="50"/>
  <c r="E174" i="45"/>
  <c r="I174" i="45"/>
  <c r="J163" i="43"/>
  <c r="K216" i="43"/>
  <c r="K91" i="41" s="1"/>
  <c r="J107" i="14" s="1"/>
  <c r="K216" i="45"/>
  <c r="K163" i="50"/>
  <c r="G163" i="50"/>
  <c r="C163" i="50"/>
  <c r="H68" i="35"/>
  <c r="AC126" i="20"/>
  <c r="AC125" i="20"/>
  <c r="AC124" i="20"/>
  <c r="AC129" i="20"/>
  <c r="B25" i="5"/>
  <c r="AC127" i="20"/>
  <c r="C85" i="43"/>
  <c r="C63" i="34" s="1"/>
  <c r="B70" i="16"/>
  <c r="E148" i="35"/>
  <c r="G197" i="43"/>
  <c r="G72" i="41" s="1"/>
  <c r="F88" i="14" s="1"/>
  <c r="D45" i="45"/>
  <c r="L45" i="45"/>
  <c r="L66" i="45" s="1"/>
  <c r="L84" i="45" s="1"/>
  <c r="E163" i="45"/>
  <c r="L4" i="50"/>
  <c r="L6" i="50" s="1"/>
  <c r="L45" i="50" s="1"/>
  <c r="L66" i="50" s="1"/>
  <c r="L84" i="50" s="1"/>
  <c r="D85" i="50"/>
  <c r="F85" i="50"/>
  <c r="E142" i="50"/>
  <c r="I142" i="50"/>
  <c r="F142" i="50"/>
  <c r="J142" i="50"/>
  <c r="D142" i="50"/>
  <c r="H142" i="50"/>
  <c r="D163" i="50"/>
  <c r="H163" i="50"/>
  <c r="L163" i="50"/>
  <c r="F163" i="50"/>
  <c r="J163" i="50"/>
  <c r="F174" i="50"/>
  <c r="D174" i="50"/>
  <c r="H174" i="50"/>
  <c r="F186" i="50"/>
  <c r="J186" i="50"/>
  <c r="D186" i="50"/>
  <c r="H186" i="50"/>
  <c r="L186" i="50"/>
  <c r="H204" i="50"/>
  <c r="B69" i="16"/>
  <c r="B24" i="5"/>
  <c r="H67" i="35"/>
  <c r="B73" i="16"/>
  <c r="AC130" i="20"/>
  <c r="C53" i="31"/>
  <c r="G53" i="31" s="1"/>
  <c r="G65" i="31" s="1"/>
  <c r="G52" i="31"/>
  <c r="G64" i="31" s="1"/>
  <c r="B27" i="5"/>
  <c r="G75" i="15"/>
  <c r="I75" i="15"/>
  <c r="E192" i="45"/>
  <c r="I192" i="45"/>
  <c r="J192" i="50"/>
  <c r="F31" i="7"/>
  <c r="F35" i="40"/>
  <c r="J192" i="43"/>
  <c r="D142" i="45"/>
  <c r="G192" i="45"/>
  <c r="F204" i="45"/>
  <c r="J204" i="50"/>
  <c r="L162" i="41"/>
  <c r="K86" i="26" s="1"/>
  <c r="N73" i="16"/>
  <c r="H78" i="3"/>
  <c r="F72" i="16"/>
  <c r="F24" i="33"/>
  <c r="H45" i="59"/>
  <c r="P68" i="35"/>
  <c r="E159" i="3"/>
  <c r="P70" i="35"/>
  <c r="F111" i="34"/>
  <c r="D25" i="2"/>
  <c r="F23" i="33"/>
  <c r="N80" i="3"/>
  <c r="D45" i="43"/>
  <c r="D39" i="34" s="1"/>
  <c r="B6" i="14" s="1"/>
  <c r="C148" i="14" s="1"/>
  <c r="C172" i="16" s="1"/>
  <c r="C142" i="50"/>
  <c r="F85" i="43"/>
  <c r="F63" i="34" s="1"/>
  <c r="E17" i="14" s="1"/>
  <c r="I142" i="43"/>
  <c r="K142" i="43"/>
  <c r="K17" i="41" s="1"/>
  <c r="J33" i="14" s="1"/>
  <c r="I163" i="43"/>
  <c r="I38" i="41" s="1"/>
  <c r="H54" i="14" s="1"/>
  <c r="C163" i="43"/>
  <c r="C38" i="41" s="1"/>
  <c r="B54" i="14" s="1"/>
  <c r="G163" i="43"/>
  <c r="K163" i="43"/>
  <c r="C174" i="43"/>
  <c r="C49" i="41" s="1"/>
  <c r="B65" i="14" s="1"/>
  <c r="G174" i="43"/>
  <c r="K174" i="43"/>
  <c r="E174" i="43"/>
  <c r="E49" i="41" s="1"/>
  <c r="D65" i="14" s="1"/>
  <c r="I174" i="43"/>
  <c r="I49" i="41" s="1"/>
  <c r="H65" i="14" s="1"/>
  <c r="C186" i="43"/>
  <c r="C61" i="41" s="1"/>
  <c r="B77" i="14" s="1"/>
  <c r="G186" i="43"/>
  <c r="E186" i="43"/>
  <c r="I186" i="43"/>
  <c r="I61" i="41" s="1"/>
  <c r="H77" i="14" s="1"/>
  <c r="D85" i="45"/>
  <c r="K142" i="45"/>
  <c r="I142" i="45"/>
  <c r="C142" i="45"/>
  <c r="G142" i="45"/>
  <c r="C163" i="45"/>
  <c r="G163" i="45"/>
  <c r="K163" i="45"/>
  <c r="I163" i="45"/>
  <c r="G10" i="41"/>
  <c r="F26" i="14" s="1"/>
  <c r="N69" i="16"/>
  <c r="N70" i="16"/>
  <c r="J13" i="50"/>
  <c r="J19" i="50" s="1"/>
  <c r="J4" i="50" s="1"/>
  <c r="H44" i="59"/>
  <c r="V80" i="3"/>
  <c r="P71" i="35"/>
  <c r="L29" i="10"/>
  <c r="H41" i="59"/>
  <c r="H39" i="59"/>
  <c r="P67" i="35"/>
  <c r="L13" i="43"/>
  <c r="L19" i="43" s="1"/>
  <c r="L25" i="34" s="1"/>
  <c r="K47" i="26" s="1"/>
  <c r="K190" i="26" s="1"/>
  <c r="F21" i="33"/>
  <c r="B22" i="30"/>
  <c r="C36" i="26"/>
  <c r="E85" i="50"/>
  <c r="H40" i="59"/>
  <c r="P69" i="35"/>
  <c r="H81" i="3"/>
  <c r="D24" i="39"/>
  <c r="F20" i="33"/>
  <c r="H204" i="43"/>
  <c r="F4" i="45"/>
  <c r="F6" i="45" s="1"/>
  <c r="F45" i="45" s="1"/>
  <c r="F142" i="45"/>
  <c r="C174" i="45"/>
  <c r="J204" i="45"/>
  <c r="K71" i="26"/>
  <c r="K142" i="50"/>
  <c r="N77" i="3"/>
  <c r="B21" i="30"/>
  <c r="B48" i="55"/>
  <c r="B56" i="55" s="1"/>
  <c r="H72" i="35"/>
  <c r="W144" i="3"/>
  <c r="X144" i="3" s="1"/>
  <c r="D29" i="38"/>
  <c r="D24" i="30"/>
  <c r="D23" i="28"/>
  <c r="I204" i="43"/>
  <c r="H192" i="45"/>
  <c r="K192" i="45"/>
  <c r="G204" i="45"/>
  <c r="K204" i="45"/>
  <c r="E192" i="50"/>
  <c r="I192" i="50"/>
  <c r="K216" i="50"/>
  <c r="O303" i="41"/>
  <c r="C6" i="13"/>
  <c r="C7" i="16"/>
  <c r="F24" i="28"/>
  <c r="F26" i="28"/>
  <c r="R28" i="10"/>
  <c r="R29" i="10"/>
  <c r="B29" i="7"/>
  <c r="B28" i="7"/>
  <c r="E162" i="41"/>
  <c r="D86" i="26" s="1"/>
  <c r="R30" i="10"/>
  <c r="F29" i="12"/>
  <c r="F23" i="28"/>
  <c r="F25" i="28"/>
  <c r="B23" i="28"/>
  <c r="B27" i="28"/>
  <c r="B25" i="28"/>
  <c r="B26" i="28"/>
  <c r="B24" i="28"/>
  <c r="D30" i="10"/>
  <c r="D32" i="10"/>
  <c r="H30" i="7"/>
  <c r="H31" i="7"/>
  <c r="J30" i="40"/>
  <c r="J29" i="40"/>
  <c r="B24" i="3"/>
  <c r="D303" i="41"/>
  <c r="B25" i="3" s="1"/>
  <c r="H29" i="7"/>
  <c r="B23" i="27"/>
  <c r="B30" i="7"/>
  <c r="D31" i="10"/>
  <c r="B38" i="31"/>
  <c r="B39" i="31"/>
  <c r="B37" i="31"/>
  <c r="B40" i="31"/>
  <c r="B41" i="31"/>
  <c r="D35" i="58"/>
  <c r="D33" i="58"/>
  <c r="D34" i="58"/>
  <c r="H28" i="7"/>
  <c r="N69" i="35"/>
  <c r="D28" i="10"/>
  <c r="F27" i="28"/>
  <c r="D31" i="58"/>
  <c r="M86" i="15"/>
  <c r="M89" i="15"/>
  <c r="M77" i="15"/>
  <c r="M82" i="15"/>
  <c r="M85" i="15"/>
  <c r="R80" i="3"/>
  <c r="R81" i="3"/>
  <c r="J76" i="3"/>
  <c r="J80" i="3"/>
  <c r="D76" i="3"/>
  <c r="D81" i="3"/>
  <c r="D40" i="31"/>
  <c r="D38" i="31"/>
  <c r="D39" i="31"/>
  <c r="D37" i="31"/>
  <c r="D21" i="33"/>
  <c r="D20" i="33"/>
  <c r="B20" i="29"/>
  <c r="B23" i="29"/>
  <c r="N28" i="10"/>
  <c r="N29" i="10"/>
  <c r="N31" i="10"/>
  <c r="F30" i="10"/>
  <c r="F32" i="10"/>
  <c r="B77" i="3"/>
  <c r="B78" i="3"/>
  <c r="F26" i="5"/>
  <c r="F24" i="5"/>
  <c r="F23" i="5"/>
  <c r="P82" i="3"/>
  <c r="AD102" i="20"/>
  <c r="F25" i="5"/>
  <c r="D70" i="35"/>
  <c r="D71" i="35"/>
  <c r="D20" i="39"/>
  <c r="D23" i="39"/>
  <c r="D21" i="39"/>
  <c r="H29" i="40"/>
  <c r="H30" i="40"/>
  <c r="V28" i="10"/>
  <c r="V30" i="10"/>
  <c r="W38" i="22"/>
  <c r="W39" i="22"/>
  <c r="N68" i="35"/>
  <c r="N72" i="35"/>
  <c r="X32" i="10"/>
  <c r="X28" i="10"/>
  <c r="N70" i="35"/>
  <c r="X31" i="10"/>
  <c r="C14" i="16"/>
  <c r="B26" i="16"/>
  <c r="C5" i="10"/>
  <c r="R68" i="35"/>
  <c r="R69" i="35"/>
  <c r="R73" i="35"/>
  <c r="R70" i="35"/>
  <c r="R71" i="35"/>
  <c r="B68" i="35"/>
  <c r="B67" i="35"/>
  <c r="B73" i="35"/>
  <c r="D23" i="5"/>
  <c r="D25" i="5"/>
  <c r="D26" i="5"/>
  <c r="D23" i="36"/>
  <c r="B23" i="36"/>
  <c r="B38" i="8"/>
  <c r="B39" i="8"/>
  <c r="B37" i="8"/>
  <c r="F31" i="10"/>
  <c r="F28" i="10"/>
  <c r="F29" i="10"/>
  <c r="H28" i="2"/>
  <c r="H25" i="2"/>
  <c r="H27" i="2"/>
  <c r="M80" i="15"/>
  <c r="M83" i="15"/>
  <c r="M72" i="15"/>
  <c r="M79" i="15"/>
  <c r="F23" i="39"/>
  <c r="F21" i="39"/>
  <c r="F22" i="39"/>
  <c r="F20" i="39"/>
  <c r="F162" i="41"/>
  <c r="E86" i="26" s="1"/>
  <c r="M88" i="15"/>
  <c r="M84" i="15"/>
  <c r="M81" i="15"/>
  <c r="X30" i="10"/>
  <c r="C7" i="13"/>
  <c r="M74" i="15"/>
  <c r="X29" i="10"/>
  <c r="F68" i="35"/>
  <c r="F69" i="35"/>
  <c r="F73" i="35"/>
  <c r="F67" i="35"/>
  <c r="R32" i="10"/>
  <c r="R31" i="10"/>
  <c r="B33" i="58"/>
  <c r="B34" i="58"/>
  <c r="B32" i="58"/>
  <c r="B35" i="58"/>
  <c r="B31" i="58"/>
  <c r="L28" i="10"/>
  <c r="L30" i="10"/>
  <c r="M73" i="15"/>
  <c r="M75" i="15" s="1"/>
  <c r="M87" i="15"/>
  <c r="F24" i="39"/>
  <c r="B10" i="12"/>
  <c r="B50" i="16"/>
  <c r="B26" i="2"/>
  <c r="B25" i="2"/>
  <c r="J69" i="35"/>
  <c r="J67" i="35"/>
  <c r="J72" i="35"/>
  <c r="V78" i="3"/>
  <c r="V77" i="3"/>
  <c r="V79" i="3"/>
  <c r="V82" i="3"/>
  <c r="V76" i="3"/>
  <c r="F22" i="30"/>
  <c r="F20" i="30"/>
  <c r="F21" i="30"/>
  <c r="F23" i="30"/>
  <c r="B21" i="29"/>
  <c r="B22" i="29"/>
  <c r="D31" i="7"/>
  <c r="D29" i="7"/>
  <c r="T32" i="10"/>
  <c r="T29" i="10"/>
  <c r="T31" i="10"/>
  <c r="T28" i="10"/>
  <c r="E40" i="22"/>
  <c r="E39" i="22"/>
  <c r="E38" i="22"/>
  <c r="E41" i="22"/>
  <c r="N106" i="3"/>
  <c r="C181" i="3" s="1"/>
  <c r="H181" i="3" s="1"/>
  <c r="R79" i="3"/>
  <c r="B29" i="40"/>
  <c r="B40" i="8"/>
  <c r="P73" i="35"/>
  <c r="H73" i="35"/>
  <c r="F24" i="30"/>
  <c r="D62" i="34"/>
  <c r="C16" i="14" s="1"/>
  <c r="G45" i="41"/>
  <c r="F61" i="14" s="1"/>
  <c r="C63" i="8"/>
  <c r="M144" i="3"/>
  <c r="Q144" i="3" s="1"/>
  <c r="R144" i="3" s="1"/>
  <c r="H77" i="41"/>
  <c r="G93" i="14" s="1"/>
  <c r="F49" i="41"/>
  <c r="E65" i="14" s="1"/>
  <c r="J59" i="41"/>
  <c r="I75" i="14" s="1"/>
  <c r="M63" i="15"/>
  <c r="M97" i="15" s="1"/>
  <c r="G43" i="7"/>
  <c r="G55" i="7" s="1"/>
  <c r="E15" i="41"/>
  <c r="D31" i="14" s="1"/>
  <c r="L8" i="41"/>
  <c r="K24" i="14" s="1"/>
  <c r="N107" i="3"/>
  <c r="C182" i="3" s="1"/>
  <c r="H182" i="3" s="1"/>
  <c r="C36" i="41"/>
  <c r="B52" i="14" s="1"/>
  <c r="K60" i="34"/>
  <c r="J14" i="14" s="1"/>
  <c r="S143" i="3"/>
  <c r="T143" i="3" s="1"/>
  <c r="N97" i="35"/>
  <c r="C168" i="35" s="1"/>
  <c r="F168" i="35" s="1"/>
  <c r="G168" i="35" s="1"/>
  <c r="M143" i="3"/>
  <c r="N143" i="3" s="1"/>
  <c r="P80" i="3"/>
  <c r="T76" i="3"/>
  <c r="D79" i="3"/>
  <c r="N76" i="3"/>
  <c r="H79" i="3"/>
  <c r="P79" i="3"/>
  <c r="E37" i="22"/>
  <c r="K37" i="22"/>
  <c r="N79" i="3"/>
  <c r="B80" i="3"/>
  <c r="B76" i="3"/>
  <c r="P81" i="3"/>
  <c r="H82" i="3"/>
  <c r="P76" i="3"/>
  <c r="T77" i="3"/>
  <c r="N82" i="3"/>
  <c r="B82" i="3"/>
  <c r="H80" i="3"/>
  <c r="B79" i="3"/>
  <c r="P78" i="3"/>
  <c r="D80" i="3"/>
  <c r="D78" i="3"/>
  <c r="T79" i="3"/>
  <c r="D77" i="3"/>
  <c r="G159" i="3"/>
  <c r="W143" i="3"/>
  <c r="X143" i="3" s="1"/>
  <c r="T82" i="3"/>
  <c r="D82" i="3"/>
  <c r="N38" i="22"/>
  <c r="F66" i="22"/>
  <c r="C59" i="22"/>
  <c r="N41" i="22"/>
  <c r="W41" i="22"/>
  <c r="D21" i="41"/>
  <c r="C37" i="14" s="1"/>
  <c r="G28" i="41"/>
  <c r="F44" i="14" s="1"/>
  <c r="L47" i="41"/>
  <c r="K63" i="14" s="1"/>
  <c r="J54" i="41"/>
  <c r="I70" i="14" s="1"/>
  <c r="J61" i="34"/>
  <c r="I15" i="14" s="1"/>
  <c r="I30" i="34"/>
  <c r="H7" i="15" s="1"/>
  <c r="K83" i="41"/>
  <c r="J99" i="14" s="1"/>
  <c r="L40" i="41"/>
  <c r="K56" i="14" s="1"/>
  <c r="I16" i="41"/>
  <c r="H32" i="14" s="1"/>
  <c r="H31" i="34"/>
  <c r="G8" i="15" s="1"/>
  <c r="E32" i="34"/>
  <c r="D9" i="15" s="1"/>
  <c r="K24" i="41"/>
  <c r="J40" i="14" s="1"/>
  <c r="C53" i="41"/>
  <c r="B69" i="14" s="1"/>
  <c r="G57" i="41"/>
  <c r="F73" i="14" s="1"/>
  <c r="C35" i="41"/>
  <c r="B51" i="14" s="1"/>
  <c r="J21" i="41"/>
  <c r="I37" i="14" s="1"/>
  <c r="E67" i="41"/>
  <c r="D83" i="14" s="1"/>
  <c r="K21" i="41"/>
  <c r="J37" i="14" s="1"/>
  <c r="E99" i="34"/>
  <c r="D31" i="26" s="1"/>
  <c r="D59" i="41"/>
  <c r="C75" i="14" s="1"/>
  <c r="C13" i="41"/>
  <c r="B29" i="14" s="1"/>
  <c r="M65" i="15"/>
  <c r="M99" i="15" s="1"/>
  <c r="M62" i="15"/>
  <c r="M96" i="15" s="1"/>
  <c r="M66" i="15"/>
  <c r="M100" i="15" s="1"/>
  <c r="H19" i="41"/>
  <c r="G35" i="14" s="1"/>
  <c r="D49" i="41"/>
  <c r="C65" i="14" s="1"/>
  <c r="D42" i="41"/>
  <c r="C58" i="14" s="1"/>
  <c r="F23" i="41"/>
  <c r="E39" i="14" s="1"/>
  <c r="F43" i="41"/>
  <c r="E59" i="14" s="1"/>
  <c r="F77" i="41"/>
  <c r="E93" i="14" s="1"/>
  <c r="G32" i="41"/>
  <c r="F48" i="14" s="1"/>
  <c r="F159" i="3"/>
  <c r="I121" i="3"/>
  <c r="C22" i="16"/>
  <c r="C6" i="3"/>
  <c r="C10" i="16"/>
  <c r="C9" i="13"/>
  <c r="J72" i="16"/>
  <c r="J73" i="16"/>
  <c r="J69" i="16"/>
  <c r="L76" i="3"/>
  <c r="L79" i="3"/>
  <c r="L78" i="3"/>
  <c r="L81" i="3"/>
  <c r="L77" i="3"/>
  <c r="L80" i="3"/>
  <c r="F79" i="3"/>
  <c r="F76" i="3"/>
  <c r="F81" i="3"/>
  <c r="F77" i="3"/>
  <c r="F80" i="3"/>
  <c r="F78" i="3"/>
  <c r="F82" i="3"/>
  <c r="C51" i="5"/>
  <c r="C40" i="5"/>
  <c r="C52" i="5" s="1"/>
  <c r="D23" i="29"/>
  <c r="D20" i="29"/>
  <c r="D22" i="29"/>
  <c r="C142" i="43"/>
  <c r="C17" i="41" s="1"/>
  <c r="B33" i="14" s="1"/>
  <c r="J73" i="26"/>
  <c r="K162" i="41"/>
  <c r="J86" i="26" s="1"/>
  <c r="I132" i="35"/>
  <c r="J132" i="35" s="1"/>
  <c r="J71" i="16"/>
  <c r="L60" i="45"/>
  <c r="O256" i="41"/>
  <c r="K143" i="3"/>
  <c r="K144" i="3"/>
  <c r="D85" i="43"/>
  <c r="D63" i="34" s="1"/>
  <c r="C17" i="14" s="1"/>
  <c r="I133" i="35"/>
  <c r="J133" i="35" s="1"/>
  <c r="N98" i="35"/>
  <c r="C169" i="35" s="1"/>
  <c r="F169" i="35" s="1"/>
  <c r="G169" i="35" s="1"/>
  <c r="L82" i="3"/>
  <c r="F45" i="43"/>
  <c r="F39" i="34" s="1"/>
  <c r="D6" i="14" s="1"/>
  <c r="E148" i="14" s="1"/>
  <c r="E172" i="16" s="1"/>
  <c r="D21" i="29"/>
  <c r="C85" i="50"/>
  <c r="E85" i="45"/>
  <c r="D28" i="2"/>
  <c r="D26" i="2"/>
  <c r="D27" i="2"/>
  <c r="S144" i="3"/>
  <c r="T144" i="3" s="1"/>
  <c r="G121" i="3"/>
  <c r="D159" i="3"/>
  <c r="B20" i="33"/>
  <c r="B21" i="33"/>
  <c r="B24" i="33"/>
  <c r="B31" i="12"/>
  <c r="B30" i="12"/>
  <c r="B32" i="12"/>
  <c r="B33" i="12"/>
  <c r="F13" i="50"/>
  <c r="F19" i="50" s="1"/>
  <c r="F192" i="43"/>
  <c r="F67" i="41" s="1"/>
  <c r="E83" i="14" s="1"/>
  <c r="F85" i="45"/>
  <c r="E142" i="45"/>
  <c r="E85" i="43"/>
  <c r="C6" i="16"/>
  <c r="C5" i="13"/>
  <c r="H70" i="16"/>
  <c r="H72" i="16"/>
  <c r="H73" i="16"/>
  <c r="J79" i="3"/>
  <c r="J78" i="3"/>
  <c r="J81" i="3"/>
  <c r="J82" i="3"/>
  <c r="B20" i="39"/>
  <c r="B22" i="39"/>
  <c r="F23" i="29"/>
  <c r="F20" i="29"/>
  <c r="F21" i="29"/>
  <c r="J35" i="40"/>
  <c r="J32" i="40"/>
  <c r="J33" i="40"/>
  <c r="J31" i="40"/>
  <c r="F27" i="27"/>
  <c r="F13" i="45"/>
  <c r="F19" i="45" s="1"/>
  <c r="F24" i="29"/>
  <c r="H71" i="16"/>
  <c r="G112" i="35"/>
  <c r="J77" i="3"/>
  <c r="B22" i="33"/>
  <c r="B23" i="33"/>
  <c r="F28" i="2"/>
  <c r="F29" i="2"/>
  <c r="N73" i="35"/>
  <c r="N67" i="35"/>
  <c r="F70" i="35"/>
  <c r="R67" i="35"/>
  <c r="AE127" i="20"/>
  <c r="H26" i="2"/>
  <c r="H29" i="2"/>
  <c r="D31" i="40"/>
  <c r="D32" i="40"/>
  <c r="F28" i="38"/>
  <c r="F29" i="38"/>
  <c r="L4" i="43"/>
  <c r="L6" i="43" s="1"/>
  <c r="L45" i="43" s="1"/>
  <c r="L39" i="34" s="1"/>
  <c r="J6" i="14" s="1"/>
  <c r="K148" i="14" s="1"/>
  <c r="T39" i="22"/>
  <c r="T40" i="22"/>
  <c r="T38" i="22"/>
  <c r="T37" i="22"/>
  <c r="T41" i="22"/>
  <c r="J70" i="35"/>
  <c r="J68" i="35"/>
  <c r="J73" i="35"/>
  <c r="J71" i="35"/>
  <c r="B71" i="35"/>
  <c r="B70" i="35"/>
  <c r="F71" i="16"/>
  <c r="F73" i="16"/>
  <c r="AE131" i="20"/>
  <c r="AE124" i="20"/>
  <c r="B27" i="38"/>
  <c r="B26" i="38"/>
  <c r="B25" i="38"/>
  <c r="B29" i="38"/>
  <c r="D22" i="30"/>
  <c r="D21" i="30"/>
  <c r="D23" i="30"/>
  <c r="D20" i="30"/>
  <c r="B26" i="27"/>
  <c r="B27" i="27"/>
  <c r="B24" i="27"/>
  <c r="F31" i="12"/>
  <c r="F30" i="12"/>
  <c r="B32" i="40"/>
  <c r="B35" i="40"/>
  <c r="B31" i="7"/>
  <c r="B27" i="7"/>
  <c r="K174" i="50"/>
  <c r="F204" i="50"/>
  <c r="B29" i="2"/>
  <c r="D22" i="33"/>
  <c r="D23" i="33"/>
  <c r="G192" i="43"/>
  <c r="G67" i="41" s="1"/>
  <c r="F83" i="14" s="1"/>
  <c r="K39" i="22"/>
  <c r="K38" i="22"/>
  <c r="K41" i="22"/>
  <c r="L48" i="41"/>
  <c r="K64" i="14" s="1"/>
  <c r="H35" i="41"/>
  <c r="G51" i="14" s="1"/>
  <c r="E36" i="41"/>
  <c r="D52" i="14" s="1"/>
  <c r="L57" i="41"/>
  <c r="K73" i="14" s="1"/>
  <c r="M98" i="15"/>
  <c r="N37" i="22"/>
  <c r="L91" i="41"/>
  <c r="K107" i="14" s="1"/>
  <c r="E74" i="41"/>
  <c r="D90" i="14" s="1"/>
  <c r="I45" i="41"/>
  <c r="H61" i="14" s="1"/>
  <c r="C61" i="34"/>
  <c r="B15" i="14" s="1"/>
  <c r="D58" i="41"/>
  <c r="C74" i="14" s="1"/>
  <c r="J63" i="41"/>
  <c r="I79" i="14" s="1"/>
  <c r="L65" i="41"/>
  <c r="K81" i="14" s="1"/>
  <c r="G30" i="41"/>
  <c r="F46" i="14" s="1"/>
  <c r="E29" i="34"/>
  <c r="D6" i="15" s="1"/>
  <c r="J24" i="41"/>
  <c r="I40" i="14" s="1"/>
  <c r="E30" i="41"/>
  <c r="D46" i="14" s="1"/>
  <c r="H60" i="41"/>
  <c r="G76" i="14" s="1"/>
  <c r="F116" i="34"/>
  <c r="G81" i="45"/>
  <c r="H79" i="50"/>
  <c r="G82" i="50"/>
  <c r="G85" i="26"/>
  <c r="F75" i="26"/>
  <c r="H79" i="43"/>
  <c r="H57" i="34" s="1"/>
  <c r="G11" i="14" s="1"/>
  <c r="H83" i="50"/>
  <c r="F81" i="26"/>
  <c r="G71" i="26"/>
  <c r="G76" i="26"/>
  <c r="H83" i="43"/>
  <c r="H61" i="34" s="1"/>
  <c r="G15" i="14" s="1"/>
  <c r="G80" i="50"/>
  <c r="F73" i="26"/>
  <c r="F72" i="26"/>
  <c r="W33" i="60"/>
  <c r="G80" i="43"/>
  <c r="G58" i="34" s="1"/>
  <c r="H80" i="43"/>
  <c r="H58" i="34" s="1"/>
  <c r="G12" i="14" s="1"/>
  <c r="H82" i="45"/>
  <c r="H80" i="50"/>
  <c r="G80" i="45"/>
  <c r="G80" i="26"/>
  <c r="G73" i="26"/>
  <c r="F79" i="26"/>
  <c r="F76" i="26"/>
  <c r="H12" i="45"/>
  <c r="H18" i="45" s="1"/>
  <c r="C41" i="41"/>
  <c r="B57" i="14" s="1"/>
  <c r="I70" i="34"/>
  <c r="H140" i="14" s="1"/>
  <c r="F48" i="41"/>
  <c r="E64" i="14" s="1"/>
  <c r="G31" i="41"/>
  <c r="F47" i="14" s="1"/>
  <c r="G6" i="41"/>
  <c r="F22" i="14" s="1"/>
  <c r="K14" i="41"/>
  <c r="J30" i="14" s="1"/>
  <c r="G34" i="41"/>
  <c r="F50" i="14" s="1"/>
  <c r="F63" i="41"/>
  <c r="E79" i="14" s="1"/>
  <c r="H16" i="41"/>
  <c r="G32" i="14" s="1"/>
  <c r="G54" i="41"/>
  <c r="F70" i="14" s="1"/>
  <c r="C16" i="41"/>
  <c r="B32" i="14" s="1"/>
  <c r="G53" i="41"/>
  <c r="F69" i="14" s="1"/>
  <c r="F58" i="41"/>
  <c r="E74" i="14" s="1"/>
  <c r="J37" i="41"/>
  <c r="I53" i="14" s="1"/>
  <c r="J46" i="41"/>
  <c r="I62" i="14" s="1"/>
  <c r="J26" i="41"/>
  <c r="I42" i="14" s="1"/>
  <c r="D13" i="41"/>
  <c r="C29" i="14" s="1"/>
  <c r="F15" i="41"/>
  <c r="E31" i="14" s="1"/>
  <c r="K89" i="41"/>
  <c r="J105" i="14" s="1"/>
  <c r="M59" i="15"/>
  <c r="M93" i="15" s="1"/>
  <c r="M60" i="15"/>
  <c r="M94" i="15" s="1"/>
  <c r="I82" i="45"/>
  <c r="J79" i="45"/>
  <c r="I82" i="50"/>
  <c r="J13" i="45"/>
  <c r="J19" i="45" s="1"/>
  <c r="J4" i="45" s="1"/>
  <c r="I81" i="50"/>
  <c r="C91" i="34"/>
  <c r="B23" i="26" s="1"/>
  <c r="I78" i="45"/>
  <c r="I83" i="43"/>
  <c r="I82" i="43"/>
  <c r="I60" i="34" s="1"/>
  <c r="H14" i="14" s="1"/>
  <c r="J83" i="50"/>
  <c r="H12" i="41"/>
  <c r="G28" i="14" s="1"/>
  <c r="C51" i="41"/>
  <c r="B67" i="14" s="1"/>
  <c r="H34" i="34"/>
  <c r="G11" i="15" s="1"/>
  <c r="L56" i="41"/>
  <c r="K72" i="14" s="1"/>
  <c r="D99" i="34"/>
  <c r="C31" i="26" s="1"/>
  <c r="G82" i="43"/>
  <c r="G60" i="34" s="1"/>
  <c r="F14" i="14" s="1"/>
  <c r="G81" i="50"/>
  <c r="H81" i="43"/>
  <c r="H59" i="34" s="1"/>
  <c r="G13" i="14" s="1"/>
  <c r="H79" i="45"/>
  <c r="H83" i="45"/>
  <c r="H81" i="50"/>
  <c r="G83" i="43"/>
  <c r="G61" i="34" s="1"/>
  <c r="F15" i="14" s="1"/>
  <c r="G82" i="45"/>
  <c r="F78" i="26"/>
  <c r="F82" i="26"/>
  <c r="F74" i="26"/>
  <c r="G84" i="26"/>
  <c r="F70" i="26"/>
  <c r="F83" i="26"/>
  <c r="G79" i="26"/>
  <c r="F80" i="26"/>
  <c r="H13" i="43"/>
  <c r="H19" i="43" s="1"/>
  <c r="H4" i="43" s="1"/>
  <c r="H13" i="45"/>
  <c r="H19" i="45" s="1"/>
  <c r="H4" i="45" s="1"/>
  <c r="H13" i="50"/>
  <c r="H19" i="50" s="1"/>
  <c r="H4" i="50" s="1"/>
  <c r="G78" i="50"/>
  <c r="H78" i="45"/>
  <c r="G79" i="43"/>
  <c r="G57" i="34" s="1"/>
  <c r="F11" i="14" s="1"/>
  <c r="G83" i="50"/>
  <c r="F77" i="26"/>
  <c r="G72" i="26"/>
  <c r="G82" i="26"/>
  <c r="G75" i="26"/>
  <c r="H12" i="43"/>
  <c r="H18" i="43" s="1"/>
  <c r="H24" i="34" s="1"/>
  <c r="G46" i="26" s="1"/>
  <c r="G136" i="26" s="1"/>
  <c r="H12" i="50"/>
  <c r="H18" i="50" s="1"/>
  <c r="L38" i="41"/>
  <c r="K54" i="14" s="1"/>
  <c r="K63" i="41"/>
  <c r="J79" i="14" s="1"/>
  <c r="J58" i="41"/>
  <c r="I74" i="14" s="1"/>
  <c r="I57" i="41"/>
  <c r="H73" i="14" s="1"/>
  <c r="F146" i="34"/>
  <c r="F316" i="17" s="1"/>
  <c r="E66" i="41"/>
  <c r="D82" i="14" s="1"/>
  <c r="G7" i="41"/>
  <c r="F23" i="14" s="1"/>
  <c r="F53" i="41"/>
  <c r="E69" i="14" s="1"/>
  <c r="D70" i="34"/>
  <c r="C140" i="14" s="1"/>
  <c r="D43" i="41"/>
  <c r="C59" i="14" s="1"/>
  <c r="I53" i="41"/>
  <c r="H69" i="14" s="1"/>
  <c r="L67" i="41"/>
  <c r="K83" i="14" s="1"/>
  <c r="J72" i="41"/>
  <c r="I88" i="14" s="1"/>
  <c r="J40" i="41"/>
  <c r="I56" i="14" s="1"/>
  <c r="C55" i="41"/>
  <c r="B71" i="14" s="1"/>
  <c r="D56" i="34"/>
  <c r="C10" i="14" s="1"/>
  <c r="F21" i="41"/>
  <c r="E37" i="14" s="1"/>
  <c r="G60" i="41"/>
  <c r="F76" i="14" s="1"/>
  <c r="H26" i="41"/>
  <c r="G42" i="14" s="1"/>
  <c r="I76" i="41"/>
  <c r="H92" i="14" s="1"/>
  <c r="H58" i="41"/>
  <c r="G74" i="14" s="1"/>
  <c r="E44" i="41"/>
  <c r="D60" i="14" s="1"/>
  <c r="M61" i="15"/>
  <c r="M95" i="15" s="1"/>
  <c r="J82" i="50"/>
  <c r="I80" i="43"/>
  <c r="I58" i="34" s="1"/>
  <c r="H12" i="14" s="1"/>
  <c r="I83" i="50"/>
  <c r="I80" i="45"/>
  <c r="I79" i="45"/>
  <c r="J78" i="50"/>
  <c r="J83" i="45"/>
  <c r="I146" i="34"/>
  <c r="I316" i="17" s="1"/>
  <c r="J82" i="45"/>
  <c r="I83" i="45"/>
  <c r="J81" i="45"/>
  <c r="C23" i="34"/>
  <c r="B45" i="26" s="1"/>
  <c r="B95" i="26" s="1"/>
  <c r="G9" i="41"/>
  <c r="F25" i="14" s="1"/>
  <c r="E34" i="41"/>
  <c r="D50" i="14" s="1"/>
  <c r="H33" i="34"/>
  <c r="G10" i="15" s="1"/>
  <c r="C30" i="41"/>
  <c r="B46" i="14" s="1"/>
  <c r="H78" i="43"/>
  <c r="H56" i="34" s="1"/>
  <c r="H82" i="43"/>
  <c r="H60" i="34" s="1"/>
  <c r="G14" i="14" s="1"/>
  <c r="H80" i="45"/>
  <c r="H78" i="50"/>
  <c r="H82" i="50"/>
  <c r="G83" i="45"/>
  <c r="G81" i="43"/>
  <c r="G59" i="34" s="1"/>
  <c r="F13" i="14" s="1"/>
  <c r="G79" i="50"/>
  <c r="G77" i="26"/>
  <c r="G81" i="26"/>
  <c r="F85" i="26"/>
  <c r="G74" i="26"/>
  <c r="F71" i="26"/>
  <c r="G70" i="26"/>
  <c r="G83" i="26"/>
  <c r="F84" i="26"/>
  <c r="K12" i="41"/>
  <c r="J28" i="14" s="1"/>
  <c r="J32" i="41"/>
  <c r="I48" i="14" s="1"/>
  <c r="K54" i="41"/>
  <c r="J70" i="14" s="1"/>
  <c r="J78" i="41"/>
  <c r="I94" i="14" s="1"/>
  <c r="G8" i="41"/>
  <c r="F24" i="14" s="1"/>
  <c r="K30" i="41"/>
  <c r="J46" i="14" s="1"/>
  <c r="I12" i="41"/>
  <c r="H28" i="14" s="1"/>
  <c r="G37" i="41"/>
  <c r="F53" i="14" s="1"/>
  <c r="L28" i="41"/>
  <c r="K44" i="14" s="1"/>
  <c r="K20" i="41"/>
  <c r="J36" i="14" s="1"/>
  <c r="C42" i="41"/>
  <c r="B58" i="14" s="1"/>
  <c r="K59" i="41"/>
  <c r="J75" i="14" s="1"/>
  <c r="E61" i="41"/>
  <c r="D77" i="14" s="1"/>
  <c r="G61" i="41"/>
  <c r="F77" i="14" s="1"/>
  <c r="F61" i="41"/>
  <c r="E77" i="14" s="1"/>
  <c r="K49" i="41"/>
  <c r="J65" i="14" s="1"/>
  <c r="I31" i="41"/>
  <c r="H47" i="14" s="1"/>
  <c r="C70" i="34"/>
  <c r="B140" i="14" s="1"/>
  <c r="F31" i="41"/>
  <c r="E47" i="14" s="1"/>
  <c r="H44" i="41"/>
  <c r="G60" i="14" s="1"/>
  <c r="C14" i="41"/>
  <c r="B30" i="14" s="1"/>
  <c r="C29" i="41"/>
  <c r="B45" i="14" s="1"/>
  <c r="H76" i="41"/>
  <c r="G92" i="14" s="1"/>
  <c r="D58" i="34"/>
  <c r="C12" i="14" s="1"/>
  <c r="H9" i="41"/>
  <c r="G25" i="14" s="1"/>
  <c r="D96" i="34"/>
  <c r="C28" i="26" s="1"/>
  <c r="F55" i="41"/>
  <c r="E71" i="14" s="1"/>
  <c r="F61" i="34"/>
  <c r="E15" i="14" s="1"/>
  <c r="F79" i="41"/>
  <c r="E95" i="14" s="1"/>
  <c r="C31" i="34"/>
  <c r="B8" i="15" s="1"/>
  <c r="I58" i="41"/>
  <c r="H74" i="14" s="1"/>
  <c r="D7" i="41"/>
  <c r="C23" i="14" s="1"/>
  <c r="G14" i="41"/>
  <c r="F30" i="14" s="1"/>
  <c r="I36" i="41"/>
  <c r="H52" i="14" s="1"/>
  <c r="F19" i="41"/>
  <c r="E35" i="14" s="1"/>
  <c r="L58" i="34"/>
  <c r="K12" i="14" s="1"/>
  <c r="D146" i="34"/>
  <c r="D316" i="17" s="1"/>
  <c r="C21" i="41"/>
  <c r="B37" i="14" s="1"/>
  <c r="G41" i="41"/>
  <c r="F57" i="14" s="1"/>
  <c r="C58" i="41"/>
  <c r="B74" i="14" s="1"/>
  <c r="J71" i="41"/>
  <c r="I87" i="14" s="1"/>
  <c r="I44" i="41"/>
  <c r="H60" i="14" s="1"/>
  <c r="D61" i="34"/>
  <c r="C15" i="14" s="1"/>
  <c r="G65" i="41"/>
  <c r="F81" i="14" s="1"/>
  <c r="E51" i="41"/>
  <c r="D67" i="14" s="1"/>
  <c r="J25" i="41"/>
  <c r="I41" i="14" s="1"/>
  <c r="G70" i="41"/>
  <c r="F86" i="14" s="1"/>
  <c r="L37" i="41"/>
  <c r="K53" i="14" s="1"/>
  <c r="L60" i="34"/>
  <c r="K14" i="14" s="1"/>
  <c r="E13" i="41"/>
  <c r="D29" i="14" s="1"/>
  <c r="J44" i="41"/>
  <c r="I60" i="14" s="1"/>
  <c r="F60" i="41"/>
  <c r="E76" i="14" s="1"/>
  <c r="E23" i="41"/>
  <c r="D39" i="14" s="1"/>
  <c r="D61" i="41"/>
  <c r="C77" i="14" s="1"/>
  <c r="J36" i="41"/>
  <c r="I52" i="14" s="1"/>
  <c r="L35" i="41"/>
  <c r="K51" i="14" s="1"/>
  <c r="L20" i="41"/>
  <c r="K36" i="14" s="1"/>
  <c r="D10" i="41"/>
  <c r="C26" i="14" s="1"/>
  <c r="K34" i="41"/>
  <c r="J50" i="14" s="1"/>
  <c r="J76" i="41"/>
  <c r="I92" i="14" s="1"/>
  <c r="I23" i="41"/>
  <c r="H39" i="14" s="1"/>
  <c r="G79" i="41"/>
  <c r="F95" i="14" s="1"/>
  <c r="D82" i="34"/>
  <c r="C14" i="26" s="1"/>
  <c r="E59" i="34"/>
  <c r="D13" i="14" s="1"/>
  <c r="C27" i="41"/>
  <c r="B43" i="14" s="1"/>
  <c r="G44" i="41"/>
  <c r="F60" i="14" s="1"/>
  <c r="H65" i="41"/>
  <c r="G81" i="14" s="1"/>
  <c r="G146" i="34"/>
  <c r="G316" i="17" s="1"/>
  <c r="L49" i="41"/>
  <c r="K65" i="14" s="1"/>
  <c r="K64" i="41"/>
  <c r="J80" i="14" s="1"/>
  <c r="G58" i="41"/>
  <c r="F74" i="14" s="1"/>
  <c r="L31" i="41"/>
  <c r="K47" i="14" s="1"/>
  <c r="C59" i="34"/>
  <c r="B13" i="14" s="1"/>
  <c r="G71" i="41"/>
  <c r="F87" i="14" s="1"/>
  <c r="C31" i="41"/>
  <c r="B47" i="14" s="1"/>
  <c r="E14" i="41"/>
  <c r="D30" i="14" s="1"/>
  <c r="G78" i="41"/>
  <c r="F94" i="14" s="1"/>
  <c r="H28" i="41"/>
  <c r="G44" i="14" s="1"/>
  <c r="L41" i="41"/>
  <c r="K57" i="14" s="1"/>
  <c r="J30" i="41"/>
  <c r="I46" i="14" s="1"/>
  <c r="L74" i="41"/>
  <c r="K90" i="14" s="1"/>
  <c r="I23" i="34"/>
  <c r="H45" i="26" s="1"/>
  <c r="H96" i="26" s="1"/>
  <c r="G46" i="41"/>
  <c r="F62" i="14" s="1"/>
  <c r="C98" i="34"/>
  <c r="B30" i="26" s="1"/>
  <c r="J45" i="41"/>
  <c r="I61" i="14" s="1"/>
  <c r="I46" i="41"/>
  <c r="H62" i="14" s="1"/>
  <c r="L23" i="41"/>
  <c r="K39" i="14" s="1"/>
  <c r="J60" i="41"/>
  <c r="I76" i="14" s="1"/>
  <c r="H40" i="41"/>
  <c r="G56" i="14" s="1"/>
  <c r="J77" i="41"/>
  <c r="I93" i="14" s="1"/>
  <c r="C43" i="41"/>
  <c r="B59" i="14" s="1"/>
  <c r="H32" i="34"/>
  <c r="G9" i="15" s="1"/>
  <c r="K16" i="41"/>
  <c r="J32" i="14" s="1"/>
  <c r="H33" i="41"/>
  <c r="G49" i="14" s="1"/>
  <c r="C54" i="41"/>
  <c r="B70" i="14" s="1"/>
  <c r="L10" i="41"/>
  <c r="K26" i="14" s="1"/>
  <c r="K58" i="41"/>
  <c r="J74" i="14" s="1"/>
  <c r="H70" i="41"/>
  <c r="G86" i="14" s="1"/>
  <c r="I19" i="41"/>
  <c r="H35" i="14" s="1"/>
  <c r="G55" i="41"/>
  <c r="F71" i="14" s="1"/>
  <c r="I33" i="41"/>
  <c r="H49" i="14" s="1"/>
  <c r="G15" i="41"/>
  <c r="F31" i="14" s="1"/>
  <c r="H15" i="41"/>
  <c r="G31" i="14" s="1"/>
  <c r="F122" i="34"/>
  <c r="F12" i="15" s="1"/>
  <c r="I30" i="41"/>
  <c r="H46" i="14" s="1"/>
  <c r="K67" i="41"/>
  <c r="J83" i="14" s="1"/>
  <c r="E38" i="41"/>
  <c r="D54" i="14" s="1"/>
  <c r="H38" i="41"/>
  <c r="G54" i="14" s="1"/>
  <c r="D51" i="41"/>
  <c r="C67" i="14" s="1"/>
  <c r="I31" i="34"/>
  <c r="H8" i="15" s="1"/>
  <c r="F37" i="41"/>
  <c r="E53" i="14" s="1"/>
  <c r="G66" i="41"/>
  <c r="F82" i="14" s="1"/>
  <c r="I35" i="41"/>
  <c r="H51" i="14" s="1"/>
  <c r="F29" i="34"/>
  <c r="E6" i="15" s="1"/>
  <c r="I62" i="34"/>
  <c r="H16" i="14" s="1"/>
  <c r="J67" i="43"/>
  <c r="W76" i="60"/>
  <c r="V46" i="60"/>
  <c r="B9" i="54" a="1"/>
  <c r="B9" i="54" s="1"/>
  <c r="B7" i="54" a="1"/>
  <c r="B7" i="54" s="1"/>
  <c r="B6" i="54" a="1"/>
  <c r="B6" i="54" s="1"/>
  <c r="B8" i="54" a="1"/>
  <c r="B8" i="54" s="1"/>
  <c r="J60" i="34"/>
  <c r="I14" i="14" s="1"/>
  <c r="J59" i="34"/>
  <c r="I13" i="14" s="1"/>
  <c r="J58" i="34"/>
  <c r="I12" i="14" s="1"/>
  <c r="J49" i="41"/>
  <c r="I65" i="14" s="1"/>
  <c r="F72" i="41"/>
  <c r="E88" i="14" s="1"/>
  <c r="D20" i="41"/>
  <c r="C36" i="14" s="1"/>
  <c r="L17" i="41"/>
  <c r="K33" i="14" s="1"/>
  <c r="L23" i="34"/>
  <c r="K45" i="26" s="1"/>
  <c r="K93" i="26" s="1"/>
  <c r="H63" i="41"/>
  <c r="G79" i="14" s="1"/>
  <c r="E63" i="34"/>
  <c r="L46" i="41"/>
  <c r="K62" i="14" s="1"/>
  <c r="I63" i="41"/>
  <c r="H79" i="14" s="1"/>
  <c r="C146" i="34"/>
  <c r="C316" i="17" s="1"/>
  <c r="L75" i="41"/>
  <c r="K91" i="14" s="1"/>
  <c r="L64" i="41"/>
  <c r="K80" i="14" s="1"/>
  <c r="G59" i="41"/>
  <c r="F75" i="14" s="1"/>
  <c r="K55" i="41"/>
  <c r="J71" i="14" s="1"/>
  <c r="E48" i="41"/>
  <c r="D64" i="14" s="1"/>
  <c r="C44" i="41"/>
  <c r="B60" i="14" s="1"/>
  <c r="E41" i="41"/>
  <c r="D57" i="14" s="1"/>
  <c r="K33" i="41"/>
  <c r="J49" i="14" s="1"/>
  <c r="G29" i="41"/>
  <c r="F45" i="14" s="1"/>
  <c r="G24" i="41"/>
  <c r="F40" i="14" s="1"/>
  <c r="G20" i="41"/>
  <c r="F36" i="14" s="1"/>
  <c r="E8" i="41"/>
  <c r="D24" i="14" s="1"/>
  <c r="L24" i="34"/>
  <c r="K46" i="26" s="1"/>
  <c r="K134" i="26" s="1"/>
  <c r="C62" i="34"/>
  <c r="D98" i="34"/>
  <c r="C30" i="26" s="1"/>
  <c r="D54" i="41"/>
  <c r="C70" i="14" s="1"/>
  <c r="G122" i="34"/>
  <c r="G12" i="15" s="1"/>
  <c r="J29" i="41"/>
  <c r="I45" i="14" s="1"/>
  <c r="I24" i="41"/>
  <c r="H40" i="14" s="1"/>
  <c r="L88" i="41"/>
  <c r="K104" i="14" s="1"/>
  <c r="I29" i="41"/>
  <c r="H45" i="14" s="1"/>
  <c r="E58" i="34"/>
  <c r="D12" i="14" s="1"/>
  <c r="H36" i="41"/>
  <c r="G52" i="14" s="1"/>
  <c r="D8" i="41"/>
  <c r="C24" i="14" s="1"/>
  <c r="K23" i="41"/>
  <c r="J39" i="14" s="1"/>
  <c r="C6" i="41"/>
  <c r="B22" i="14" s="1"/>
  <c r="K28" i="41"/>
  <c r="J44" i="14" s="1"/>
  <c r="K84" i="41"/>
  <c r="J100" i="14" s="1"/>
  <c r="H54" i="41"/>
  <c r="G70" i="14" s="1"/>
  <c r="L63" i="41"/>
  <c r="K79" i="14" s="1"/>
  <c r="F59" i="34"/>
  <c r="E13" i="14" s="1"/>
  <c r="H71" i="41"/>
  <c r="G87" i="14" s="1"/>
  <c r="L84" i="41"/>
  <c r="K100" i="14" s="1"/>
  <c r="L70" i="34"/>
  <c r="K140" i="14" s="1"/>
  <c r="D122" i="34"/>
  <c r="D12" i="15" s="1"/>
  <c r="K85" i="41"/>
  <c r="J101" i="14" s="1"/>
  <c r="F71" i="41"/>
  <c r="E87" i="14" s="1"/>
  <c r="E31" i="41"/>
  <c r="D47" i="14" s="1"/>
  <c r="G75" i="41"/>
  <c r="F91" i="14" s="1"/>
  <c r="L57" i="34"/>
  <c r="K11" i="14" s="1"/>
  <c r="E65" i="41"/>
  <c r="D81" i="14" s="1"/>
  <c r="I75" i="41"/>
  <c r="H91" i="14" s="1"/>
  <c r="G38" i="41"/>
  <c r="F54" i="14" s="1"/>
  <c r="F25" i="34"/>
  <c r="E47" i="26" s="1"/>
  <c r="E183" i="26" s="1"/>
  <c r="D23" i="34"/>
  <c r="C45" i="26" s="1"/>
  <c r="C95" i="26" s="1"/>
  <c r="G22" i="41"/>
  <c r="F38" i="14" s="1"/>
  <c r="L87" i="41"/>
  <c r="K103" i="14" s="1"/>
  <c r="J17" i="41"/>
  <c r="I33" i="14" s="1"/>
  <c r="H61" i="41"/>
  <c r="G77" i="14" s="1"/>
  <c r="C46" i="41"/>
  <c r="B62" i="14" s="1"/>
  <c r="I21" i="41"/>
  <c r="H37" i="14" s="1"/>
  <c r="G21" i="41"/>
  <c r="F37" i="14" s="1"/>
  <c r="C99" i="34"/>
  <c r="B31" i="26" s="1"/>
  <c r="F24" i="34"/>
  <c r="E46" i="26" s="1"/>
  <c r="E140" i="26" s="1"/>
  <c r="F52" i="41"/>
  <c r="E68" i="14" s="1"/>
  <c r="L83" i="41"/>
  <c r="K99" i="14" s="1"/>
  <c r="F45" i="41"/>
  <c r="E61" i="14" s="1"/>
  <c r="I14" i="41"/>
  <c r="H30" i="14" s="1"/>
  <c r="L7" i="41"/>
  <c r="K23" i="14" s="1"/>
  <c r="C7" i="41"/>
  <c r="B23" i="14" s="1"/>
  <c r="J7" i="41"/>
  <c r="I23" i="14" s="1"/>
  <c r="E27" i="41"/>
  <c r="D43" i="14" s="1"/>
  <c r="K22" i="41"/>
  <c r="J38" i="14" s="1"/>
  <c r="L77" i="41"/>
  <c r="K93" i="14" s="1"/>
  <c r="K29" i="41"/>
  <c r="J45" i="14" s="1"/>
  <c r="I59" i="41"/>
  <c r="H75" i="14" s="1"/>
  <c r="J8" i="41"/>
  <c r="I24" i="14" s="1"/>
  <c r="F54" i="41"/>
  <c r="E70" i="14" s="1"/>
  <c r="C9" i="41"/>
  <c r="B25" i="14" s="1"/>
  <c r="G31" i="34"/>
  <c r="F8" i="15" s="1"/>
  <c r="L86" i="41"/>
  <c r="K102" i="14" s="1"/>
  <c r="F75" i="41"/>
  <c r="E91" i="14" s="1"/>
  <c r="C97" i="34"/>
  <c r="B29" i="26" s="1"/>
  <c r="J53" i="41"/>
  <c r="I69" i="14" s="1"/>
  <c r="F33" i="41"/>
  <c r="E49" i="14" s="1"/>
  <c r="I15" i="41"/>
  <c r="H31" i="14" s="1"/>
  <c r="C60" i="34"/>
  <c r="B14" i="14" s="1"/>
  <c r="E23" i="34"/>
  <c r="D45" i="26" s="1"/>
  <c r="D93" i="26" s="1"/>
  <c r="E96" i="34"/>
  <c r="D28" i="26" s="1"/>
  <c r="J57" i="41"/>
  <c r="I73" i="14" s="1"/>
  <c r="F59" i="41"/>
  <c r="E75" i="14" s="1"/>
  <c r="F26" i="41"/>
  <c r="E42" i="14" s="1"/>
  <c r="E71" i="41"/>
  <c r="D87" i="14" s="1"/>
  <c r="I9" i="41"/>
  <c r="H25" i="14" s="1"/>
  <c r="K77" i="41"/>
  <c r="J93" i="14" s="1"/>
  <c r="K78" i="41"/>
  <c r="J94" i="14" s="1"/>
  <c r="I72" i="41"/>
  <c r="H88" i="14" s="1"/>
  <c r="K52" i="41"/>
  <c r="J68" i="14" s="1"/>
  <c r="K90" i="41"/>
  <c r="J106" i="14" s="1"/>
  <c r="I29" i="34"/>
  <c r="H6" i="15" s="1"/>
  <c r="D12" i="41"/>
  <c r="C28" i="14" s="1"/>
  <c r="G19" i="41"/>
  <c r="F35" i="14" s="1"/>
  <c r="H30" i="41"/>
  <c r="G46" i="14" s="1"/>
  <c r="I79" i="41"/>
  <c r="H95" i="14" s="1"/>
  <c r="D6" i="41"/>
  <c r="C22" i="14" s="1"/>
  <c r="I25" i="41"/>
  <c r="H41" i="14" s="1"/>
  <c r="H67" i="41"/>
  <c r="G83" i="14" s="1"/>
  <c r="D19" i="41"/>
  <c r="C35" i="14" s="1"/>
  <c r="C58" i="34"/>
  <c r="B12" i="14" s="1"/>
  <c r="G36" i="41"/>
  <c r="F52" i="14" s="1"/>
  <c r="H46" i="41"/>
  <c r="G62" i="14" s="1"/>
  <c r="J35" i="41"/>
  <c r="I51" i="14" s="1"/>
  <c r="I55" i="41"/>
  <c r="H71" i="14" s="1"/>
  <c r="L90" i="41"/>
  <c r="K106" i="14" s="1"/>
  <c r="C57" i="41"/>
  <c r="B73" i="14" s="1"/>
  <c r="E52" i="41"/>
  <c r="D68" i="14" s="1"/>
  <c r="D30" i="41"/>
  <c r="C46" i="14" s="1"/>
  <c r="G47" i="41"/>
  <c r="F63" i="14" s="1"/>
  <c r="E63" i="41"/>
  <c r="D79" i="14" s="1"/>
  <c r="H24" i="41"/>
  <c r="G40" i="14" s="1"/>
  <c r="B50" i="34"/>
  <c r="K86" i="41"/>
  <c r="J102" i="14" s="1"/>
  <c r="I10" i="41"/>
  <c r="H26" i="14" s="1"/>
  <c r="J13" i="41"/>
  <c r="I29" i="14" s="1"/>
  <c r="G49" i="41"/>
  <c r="F65" i="14" s="1"/>
  <c r="I74" i="41"/>
  <c r="H90" i="14" s="1"/>
  <c r="L18" i="34"/>
  <c r="E17" i="41"/>
  <c r="D33" i="14" s="1"/>
  <c r="H79" i="41"/>
  <c r="G95" i="14" s="1"/>
  <c r="E146" i="34"/>
  <c r="E316" i="17" s="1"/>
  <c r="L79" i="41"/>
  <c r="K95" i="14" s="1"/>
  <c r="H64" i="41"/>
  <c r="G80" i="14" s="1"/>
  <c r="E58" i="41"/>
  <c r="D74" i="14" s="1"/>
  <c r="K53" i="41"/>
  <c r="J69" i="14" s="1"/>
  <c r="C47" i="41"/>
  <c r="B63" i="14" s="1"/>
  <c r="K42" i="41"/>
  <c r="J58" i="14" s="1"/>
  <c r="K40" i="41"/>
  <c r="J56" i="14" s="1"/>
  <c r="G33" i="41"/>
  <c r="K27" i="41"/>
  <c r="J43" i="14" s="1"/>
  <c r="C24" i="41"/>
  <c r="B40" i="14" s="1"/>
  <c r="C20" i="41"/>
  <c r="B36" i="14" s="1"/>
  <c r="G11" i="41"/>
  <c r="F27" i="14" s="1"/>
  <c r="E6" i="41"/>
  <c r="D22" i="14" s="1"/>
  <c r="G34" i="34"/>
  <c r="F11" i="15" s="1"/>
  <c r="F9" i="41"/>
  <c r="E25" i="14" s="1"/>
  <c r="D45" i="41"/>
  <c r="C61" i="14" s="1"/>
  <c r="G77" i="41"/>
  <c r="F93" i="14" s="1"/>
  <c r="E33" i="41"/>
  <c r="D49" i="14" s="1"/>
  <c r="L30" i="41"/>
  <c r="K46" i="14" s="1"/>
  <c r="G13" i="41"/>
  <c r="F29" i="14" s="1"/>
  <c r="D26" i="41"/>
  <c r="C42" i="14" s="1"/>
  <c r="G62" i="34"/>
  <c r="G107" i="41" s="1"/>
  <c r="F123" i="14" s="1"/>
  <c r="E35" i="41"/>
  <c r="D51" i="14" s="1"/>
  <c r="L43" i="41"/>
  <c r="K59" i="14" s="1"/>
  <c r="K47" i="41"/>
  <c r="J63" i="14" s="1"/>
  <c r="E53" i="41"/>
  <c r="D69" i="14" s="1"/>
  <c r="E34" i="34"/>
  <c r="D11" i="15" s="1"/>
  <c r="D57" i="34"/>
  <c r="C11" i="14" s="1"/>
  <c r="H75" i="41"/>
  <c r="G91" i="14" s="1"/>
  <c r="E29" i="41"/>
  <c r="D45" i="14" s="1"/>
  <c r="H13" i="41"/>
  <c r="G29" i="14" s="1"/>
  <c r="H52" i="41"/>
  <c r="G68" i="14" s="1"/>
  <c r="G29" i="34"/>
  <c r="F6" i="15" s="1"/>
  <c r="J27" i="41"/>
  <c r="I43" i="14" s="1"/>
  <c r="B66" i="34"/>
  <c r="A136" i="14" s="1"/>
  <c r="D48" i="41"/>
  <c r="C64" i="14" s="1"/>
  <c r="K81" i="41"/>
  <c r="J97" i="14" s="1"/>
  <c r="K88" i="41"/>
  <c r="J104" i="14" s="1"/>
  <c r="K35" i="41"/>
  <c r="J51" i="14" s="1"/>
  <c r="F8" i="41"/>
  <c r="E24" i="14" s="1"/>
  <c r="I22" i="41"/>
  <c r="H38" i="14" s="1"/>
  <c r="L22" i="41"/>
  <c r="K38" i="14" s="1"/>
  <c r="C34" i="41"/>
  <c r="B50" i="14" s="1"/>
  <c r="D44" i="41"/>
  <c r="C60" i="14" s="1"/>
  <c r="I78" i="41"/>
  <c r="H94" i="14" s="1"/>
  <c r="H146" i="34"/>
  <c r="H316" i="17" s="1"/>
  <c r="V38" i="60"/>
  <c r="Y32" i="60"/>
  <c r="F18" i="34"/>
  <c r="J38" i="41"/>
  <c r="I54" i="14" s="1"/>
  <c r="F40" i="41"/>
  <c r="E56" i="14" s="1"/>
  <c r="L53" i="41"/>
  <c r="K69" i="14" s="1"/>
  <c r="I34" i="41"/>
  <c r="H50" i="14" s="1"/>
  <c r="K38" i="41"/>
  <c r="J54" i="14" s="1"/>
  <c r="D35" i="41"/>
  <c r="C51" i="14" s="1"/>
  <c r="D32" i="34"/>
  <c r="C9" i="15" s="1"/>
  <c r="E20" i="41"/>
  <c r="D36" i="14" s="1"/>
  <c r="I48" i="41"/>
  <c r="H64" i="14" s="1"/>
  <c r="D16" i="41"/>
  <c r="C32" i="14" s="1"/>
  <c r="J65" i="41"/>
  <c r="I81" i="14" s="1"/>
  <c r="L78" i="41"/>
  <c r="K94" i="14" s="1"/>
  <c r="C23" i="41"/>
  <c r="B39" i="14" s="1"/>
  <c r="E54" i="41"/>
  <c r="D70" i="14" s="1"/>
  <c r="H22" i="41"/>
  <c r="G38" i="14" s="1"/>
  <c r="D40" i="41"/>
  <c r="C56" i="14" s="1"/>
  <c r="F16" i="41"/>
  <c r="E32" i="14" s="1"/>
  <c r="I32" i="34"/>
  <c r="H9" i="15" s="1"/>
  <c r="H10" i="41"/>
  <c r="G26" i="14" s="1"/>
  <c r="H72" i="41"/>
  <c r="G88" i="14" s="1"/>
  <c r="E33" i="34"/>
  <c r="D10" i="15" s="1"/>
  <c r="K31" i="41"/>
  <c r="J47" i="14" s="1"/>
  <c r="J74" i="41"/>
  <c r="I90" i="14" s="1"/>
  <c r="I54" i="41"/>
  <c r="H70" i="14" s="1"/>
  <c r="E22" i="41"/>
  <c r="D38" i="14" s="1"/>
  <c r="H66" i="41"/>
  <c r="G82" i="14" s="1"/>
  <c r="H6" i="41"/>
  <c r="G22" i="14" s="1"/>
  <c r="D56" i="41"/>
  <c r="C72" i="14" s="1"/>
  <c r="G32" i="34"/>
  <c r="F9" i="15" s="1"/>
  <c r="H41" i="41"/>
  <c r="G57" i="14" s="1"/>
  <c r="K10" i="41"/>
  <c r="J26" i="14" s="1"/>
  <c r="L61" i="41"/>
  <c r="K77" i="14" s="1"/>
  <c r="C45" i="41"/>
  <c r="B61" i="14" s="1"/>
  <c r="E11" i="41"/>
  <c r="D27" i="14" s="1"/>
  <c r="E24" i="41"/>
  <c r="D40" i="14" s="1"/>
  <c r="F57" i="41"/>
  <c r="E73" i="14" s="1"/>
  <c r="K23" i="34"/>
  <c r="J45" i="26" s="1"/>
  <c r="J95" i="26" s="1"/>
  <c r="G70" i="34"/>
  <c r="F140" i="14" s="1"/>
  <c r="H34" i="41"/>
  <c r="G50" i="14" s="1"/>
  <c r="K56" i="41"/>
  <c r="J72" i="14" s="1"/>
  <c r="D59" i="34"/>
  <c r="C13" i="14" s="1"/>
  <c r="F34" i="41"/>
  <c r="E50" i="14" s="1"/>
  <c r="E98" i="34"/>
  <c r="D30" i="26" s="1"/>
  <c r="I65" i="41"/>
  <c r="H81" i="14" s="1"/>
  <c r="D18" i="34"/>
  <c r="G52" i="41"/>
  <c r="F68" i="14" s="1"/>
  <c r="H23" i="41"/>
  <c r="G39" i="14" s="1"/>
  <c r="D30" i="34"/>
  <c r="C7" i="15" s="1"/>
  <c r="I28" i="41"/>
  <c r="H44" i="14" s="1"/>
  <c r="J33" i="41"/>
  <c r="I49" i="14" s="1"/>
  <c r="K11" i="41"/>
  <c r="J27" i="14" s="1"/>
  <c r="E56" i="41"/>
  <c r="D72" i="14" s="1"/>
  <c r="C19" i="41"/>
  <c r="B35" i="14" s="1"/>
  <c r="C96" i="34"/>
  <c r="B28" i="26" s="1"/>
  <c r="K26" i="41"/>
  <c r="J42" i="14" s="1"/>
  <c r="F70" i="41"/>
  <c r="E86" i="14" s="1"/>
  <c r="F41" i="41"/>
  <c r="E57" i="14" s="1"/>
  <c r="C56" i="41"/>
  <c r="B72" i="14" s="1"/>
  <c r="D33" i="41"/>
  <c r="C49" i="14" s="1"/>
  <c r="K76" i="41"/>
  <c r="J92" i="14" s="1"/>
  <c r="J51" i="41"/>
  <c r="I67" i="14" s="1"/>
  <c r="E75" i="41"/>
  <c r="D91" i="14" s="1"/>
  <c r="L26" i="41"/>
  <c r="K42" i="14" s="1"/>
  <c r="J23" i="34"/>
  <c r="I45" i="26" s="1"/>
  <c r="I92" i="26" s="1"/>
  <c r="G76" i="41"/>
  <c r="F92" i="14" s="1"/>
  <c r="L14" i="41"/>
  <c r="K30" i="14" s="1"/>
  <c r="C57" i="34"/>
  <c r="B11" i="14" s="1"/>
  <c r="G23" i="34"/>
  <c r="F45" i="26" s="1"/>
  <c r="F93" i="26" s="1"/>
  <c r="E9" i="41"/>
  <c r="D25" i="14" s="1"/>
  <c r="H122" i="34"/>
  <c r="H12" i="15" s="1"/>
  <c r="C95" i="34"/>
  <c r="B27" i="26" s="1"/>
  <c r="H27" i="41"/>
  <c r="G43" i="14" s="1"/>
  <c r="F51" i="41"/>
  <c r="E67" i="14" s="1"/>
  <c r="D47" i="41"/>
  <c r="C63" i="14" s="1"/>
  <c r="J70" i="41"/>
  <c r="I86" i="14" s="1"/>
  <c r="F74" i="41"/>
  <c r="E90" i="14" s="1"/>
  <c r="D23" i="41"/>
  <c r="C39" i="14" s="1"/>
  <c r="J56" i="34"/>
  <c r="I57" i="34"/>
  <c r="H11" i="14" s="1"/>
  <c r="I59" i="34"/>
  <c r="H13" i="14" s="1"/>
  <c r="J61" i="41"/>
  <c r="I77" i="14" s="1"/>
  <c r="H49" i="41"/>
  <c r="G65" i="14" s="1"/>
  <c r="F17" i="41"/>
  <c r="E33" i="14" s="1"/>
  <c r="E69" i="41"/>
  <c r="D85" i="14" s="1"/>
  <c r="D17" i="41"/>
  <c r="C33" i="14" s="1"/>
  <c r="E72" i="41"/>
  <c r="D88" i="14" s="1"/>
  <c r="F38" i="41"/>
  <c r="E54" i="14" s="1"/>
  <c r="I17" i="41"/>
  <c r="H33" i="14" s="1"/>
  <c r="E43" i="41"/>
  <c r="D59" i="14" s="1"/>
  <c r="D46" i="41"/>
  <c r="C62" i="14" s="1"/>
  <c r="H69" i="41"/>
  <c r="G85" i="14" s="1"/>
  <c r="K146" i="34"/>
  <c r="K316" i="17" s="1"/>
  <c r="H78" i="41"/>
  <c r="G94" i="14" s="1"/>
  <c r="H74" i="41"/>
  <c r="G90" i="14" s="1"/>
  <c r="E60" i="41"/>
  <c r="D76" i="14" s="1"/>
  <c r="K57" i="41"/>
  <c r="J73" i="14" s="1"/>
  <c r="I52" i="41"/>
  <c r="H68" i="14" s="1"/>
  <c r="K44" i="41"/>
  <c r="J60" i="14" s="1"/>
  <c r="G42" i="41"/>
  <c r="F58" i="14" s="1"/>
  <c r="G40" i="41"/>
  <c r="F56" i="14" s="1"/>
  <c r="I32" i="41"/>
  <c r="H48" i="14" s="1"/>
  <c r="G27" i="41"/>
  <c r="F43" i="14" s="1"/>
  <c r="C22" i="41"/>
  <c r="B38" i="14" s="1"/>
  <c r="G16" i="41"/>
  <c r="F32" i="14" s="1"/>
  <c r="E10" i="41"/>
  <c r="D26" i="14" s="1"/>
  <c r="H62" i="34"/>
  <c r="C60" i="41"/>
  <c r="B76" i="14" s="1"/>
  <c r="J9" i="41"/>
  <c r="I25" i="14" s="1"/>
  <c r="E55" i="41"/>
  <c r="D71" i="14" s="1"/>
  <c r="K66" i="41"/>
  <c r="J82" i="14" s="1"/>
  <c r="F47" i="41"/>
  <c r="E63" i="14" s="1"/>
  <c r="G23" i="41"/>
  <c r="F39" i="14" s="1"/>
  <c r="L12" i="41"/>
  <c r="K28" i="14" s="1"/>
  <c r="E122" i="34"/>
  <c r="E12" i="15" s="1"/>
  <c r="E62" i="34"/>
  <c r="F66" i="41"/>
  <c r="E82" i="14" s="1"/>
  <c r="I7" i="41"/>
  <c r="H23" i="14" s="1"/>
  <c r="L58" i="41"/>
  <c r="K74" i="14" s="1"/>
  <c r="B52" i="34"/>
  <c r="C8" i="41"/>
  <c r="B24" i="14" s="1"/>
  <c r="D15" i="41"/>
  <c r="C31" i="14" s="1"/>
  <c r="B146" i="34"/>
  <c r="B316" i="17" s="1"/>
  <c r="C25" i="41"/>
  <c r="B41" i="14" s="1"/>
  <c r="G43" i="41"/>
  <c r="F59" i="14" s="1"/>
  <c r="L36" i="41"/>
  <c r="K52" i="14" s="1"/>
  <c r="D97" i="34"/>
  <c r="C29" i="26" s="1"/>
  <c r="L13" i="41"/>
  <c r="K29" i="14" s="1"/>
  <c r="J47" i="41"/>
  <c r="I63" i="14" s="1"/>
  <c r="F64" i="41"/>
  <c r="E80" i="14" s="1"/>
  <c r="L19" i="41"/>
  <c r="K35" i="14" s="1"/>
  <c r="D28" i="41"/>
  <c r="C44" i="14" s="1"/>
  <c r="C10" i="41"/>
  <c r="B26" i="14" s="1"/>
  <c r="E57" i="34"/>
  <c r="D11" i="14" s="1"/>
  <c r="J15" i="41"/>
  <c r="I31" i="14" s="1"/>
  <c r="D27" i="41"/>
  <c r="C43" i="14" s="1"/>
  <c r="L51" i="41"/>
  <c r="K67" i="14" s="1"/>
  <c r="E70" i="41"/>
  <c r="D86" i="14" s="1"/>
  <c r="V43" i="60"/>
  <c r="Y51" i="60"/>
  <c r="J17" i="60"/>
  <c r="V32" i="60"/>
  <c r="W70" i="60"/>
  <c r="Y37" i="60"/>
  <c r="W72" i="60"/>
  <c r="V35" i="60"/>
  <c r="V39" i="60"/>
  <c r="V47" i="60"/>
  <c r="W71" i="60"/>
  <c r="W78" i="60"/>
  <c r="Y33" i="60"/>
  <c r="K17" i="60"/>
  <c r="Y50" i="60"/>
  <c r="V45" i="60"/>
  <c r="V36" i="60"/>
  <c r="V40" i="60"/>
  <c r="W73" i="60"/>
  <c r="J16" i="60"/>
  <c r="J18" i="60"/>
  <c r="V44" i="60"/>
  <c r="V42" i="60"/>
  <c r="V37" i="60"/>
  <c r="V41" i="60"/>
  <c r="W67" i="60"/>
  <c r="W75" i="60"/>
  <c r="K16" i="60"/>
  <c r="K18" i="60"/>
  <c r="W69" i="60"/>
  <c r="Y36" i="60"/>
  <c r="I79" i="50"/>
  <c r="L85" i="41"/>
  <c r="K101" i="14" s="1"/>
  <c r="D37" i="41"/>
  <c r="C53" i="14" s="1"/>
  <c r="E70" i="34"/>
  <c r="D140" i="14" s="1"/>
  <c r="G12" i="41"/>
  <c r="F28" i="14" s="1"/>
  <c r="L59" i="41"/>
  <c r="K75" i="14" s="1"/>
  <c r="H57" i="41"/>
  <c r="G73" i="14" s="1"/>
  <c r="H55" i="41"/>
  <c r="G71" i="14" s="1"/>
  <c r="D53" i="41"/>
  <c r="C69" i="14" s="1"/>
  <c r="H47" i="41"/>
  <c r="G63" i="14" s="1"/>
  <c r="J43" i="41"/>
  <c r="I59" i="14" s="1"/>
  <c r="F32" i="41"/>
  <c r="E48" i="14" s="1"/>
  <c r="H29" i="41"/>
  <c r="G45" i="14" s="1"/>
  <c r="F28" i="41"/>
  <c r="E44" i="14" s="1"/>
  <c r="D24" i="41"/>
  <c r="C40" i="14" s="1"/>
  <c r="L16" i="41"/>
  <c r="K15" i="41"/>
  <c r="J31" i="14" s="1"/>
  <c r="H14" i="41"/>
  <c r="G30" i="14" s="1"/>
  <c r="D11" i="41"/>
  <c r="C27" i="14" s="1"/>
  <c r="L9" i="41"/>
  <c r="K25" i="14" s="1"/>
  <c r="F6" i="41"/>
  <c r="E22" i="14" s="1"/>
  <c r="I34" i="34"/>
  <c r="H11" i="15" s="1"/>
  <c r="C32" i="34"/>
  <c r="B9" i="15" s="1"/>
  <c r="D29" i="34"/>
  <c r="C6" i="15" s="1"/>
  <c r="F30" i="34"/>
  <c r="E7" i="15" s="1"/>
  <c r="E60" i="34"/>
  <c r="D14" i="14" s="1"/>
  <c r="H8" i="41"/>
  <c r="G24" i="14" s="1"/>
  <c r="K48" i="41"/>
  <c r="J64" i="14" s="1"/>
  <c r="D34" i="34"/>
  <c r="C11" i="15" s="1"/>
  <c r="I40" i="41"/>
  <c r="H56" i="14" s="1"/>
  <c r="E97" i="34"/>
  <c r="D29" i="26" s="1"/>
  <c r="D36" i="41"/>
  <c r="C52" i="14" s="1"/>
  <c r="J11" i="41"/>
  <c r="I27" i="14" s="1"/>
  <c r="F65" i="41"/>
  <c r="E81" i="14" s="1"/>
  <c r="K70" i="34"/>
  <c r="J140" i="14" s="1"/>
  <c r="I11" i="41"/>
  <c r="H27" i="14" s="1"/>
  <c r="I51" i="41"/>
  <c r="H67" i="14" s="1"/>
  <c r="J55" i="41"/>
  <c r="I71" i="14" s="1"/>
  <c r="F29" i="41"/>
  <c r="E45" i="14" s="1"/>
  <c r="E7" i="41"/>
  <c r="J64" i="41"/>
  <c r="I80" i="14" s="1"/>
  <c r="C82" i="34"/>
  <c r="B14" i="26" s="1"/>
  <c r="I37" i="41"/>
  <c r="H53" i="14" s="1"/>
  <c r="H37" i="41"/>
  <c r="G53" i="14" s="1"/>
  <c r="F70" i="34"/>
  <c r="E140" i="14" s="1"/>
  <c r="K46" i="41"/>
  <c r="J62" i="14" s="1"/>
  <c r="E26" i="41"/>
  <c r="D42" i="14" s="1"/>
  <c r="C12" i="41"/>
  <c r="B28" i="14" s="1"/>
  <c r="E78" i="41"/>
  <c r="D94" i="14" s="1"/>
  <c r="E76" i="41"/>
  <c r="D92" i="14" s="1"/>
  <c r="I64" i="41"/>
  <c r="H80" i="14" s="1"/>
  <c r="J67" i="41"/>
  <c r="I83" i="14" s="1"/>
  <c r="I67" i="41"/>
  <c r="H83" i="14" s="1"/>
  <c r="H59" i="41"/>
  <c r="G75" i="14" s="1"/>
  <c r="F56" i="41"/>
  <c r="E72" i="14" s="1"/>
  <c r="D55" i="41"/>
  <c r="C71" i="14" s="1"/>
  <c r="H51" i="41"/>
  <c r="G67" i="14" s="1"/>
  <c r="L44" i="41"/>
  <c r="K60" i="14" s="1"/>
  <c r="J41" i="41"/>
  <c r="I57" i="14" s="1"/>
  <c r="L33" i="41"/>
  <c r="F30" i="41"/>
  <c r="E46" i="14" s="1"/>
  <c r="D29" i="41"/>
  <c r="C45" i="14" s="1"/>
  <c r="F25" i="41"/>
  <c r="E41" i="14" s="1"/>
  <c r="J23" i="41"/>
  <c r="I39" i="14" s="1"/>
  <c r="H20" i="41"/>
  <c r="G36" i="14" s="1"/>
  <c r="L11" i="41"/>
  <c r="K27" i="14" s="1"/>
  <c r="J10" i="41"/>
  <c r="I26" i="14" s="1"/>
  <c r="H7" i="41"/>
  <c r="G23" i="14" s="1"/>
  <c r="L61" i="34"/>
  <c r="K15" i="14" s="1"/>
  <c r="D31" i="34"/>
  <c r="C8" i="15" s="1"/>
  <c r="J79" i="41"/>
  <c r="I95" i="14" s="1"/>
  <c r="I77" i="41"/>
  <c r="H93" i="14" s="1"/>
  <c r="F20" i="41"/>
  <c r="E36" i="14" s="1"/>
  <c r="C15" i="41"/>
  <c r="B31" i="14" s="1"/>
  <c r="F62" i="34"/>
  <c r="L34" i="41"/>
  <c r="K50" i="14" s="1"/>
  <c r="H30" i="34"/>
  <c r="G7" i="15" s="1"/>
  <c r="K45" i="41"/>
  <c r="J61" i="14" s="1"/>
  <c r="G56" i="41"/>
  <c r="F72" i="14" s="1"/>
  <c r="F58" i="34"/>
  <c r="K75" i="41"/>
  <c r="J91" i="14" s="1"/>
  <c r="L45" i="41"/>
  <c r="K61" i="14" s="1"/>
  <c r="E16" i="41"/>
  <c r="K60" i="41"/>
  <c r="J76" i="14" s="1"/>
  <c r="J146" i="34"/>
  <c r="J316" i="17" s="1"/>
  <c r="K65" i="41"/>
  <c r="J81" i="14" s="1"/>
  <c r="F69" i="41"/>
  <c r="E85" i="14" s="1"/>
  <c r="F22" i="41"/>
  <c r="E38" i="14" s="1"/>
  <c r="L89" i="41"/>
  <c r="K105" i="14" s="1"/>
  <c r="F36" i="41"/>
  <c r="E52" i="14" s="1"/>
  <c r="C37" i="41"/>
  <c r="B53" i="14" s="1"/>
  <c r="E79" i="41"/>
  <c r="D95" i="14" s="1"/>
  <c r="I66" i="41"/>
  <c r="H82" i="14" s="1"/>
  <c r="E64" i="41"/>
  <c r="D80" i="14" s="1"/>
  <c r="D57" i="41"/>
  <c r="C73" i="14" s="1"/>
  <c r="L55" i="41"/>
  <c r="K71" i="14" s="1"/>
  <c r="J52" i="41"/>
  <c r="I68" i="14" s="1"/>
  <c r="J48" i="41"/>
  <c r="I64" i="14" s="1"/>
  <c r="L42" i="41"/>
  <c r="K58" i="14" s="1"/>
  <c r="J34" i="41"/>
  <c r="H31" i="41"/>
  <c r="G47" i="14" s="1"/>
  <c r="L29" i="41"/>
  <c r="K45" i="14" s="1"/>
  <c r="L27" i="41"/>
  <c r="K43" i="14" s="1"/>
  <c r="L24" i="41"/>
  <c r="K40" i="14" s="1"/>
  <c r="D22" i="41"/>
  <c r="C38" i="14" s="1"/>
  <c r="J19" i="41"/>
  <c r="I35" i="14" s="1"/>
  <c r="D14" i="41"/>
  <c r="C30" i="14" s="1"/>
  <c r="H11" i="41"/>
  <c r="G27" i="14" s="1"/>
  <c r="D9" i="41"/>
  <c r="C25" i="14" s="1"/>
  <c r="J6" i="41"/>
  <c r="I22" i="14" s="1"/>
  <c r="F60" i="34"/>
  <c r="E14" i="14" s="1"/>
  <c r="C34" i="34"/>
  <c r="B11" i="15" s="1"/>
  <c r="G30" i="34"/>
  <c r="F7" i="15" s="1"/>
  <c r="F34" i="34"/>
  <c r="E11" i="15" s="1"/>
  <c r="G33" i="34"/>
  <c r="F10" i="15" s="1"/>
  <c r="F31" i="34"/>
  <c r="E8" i="15" s="1"/>
  <c r="K59" i="34"/>
  <c r="J13" i="14" s="1"/>
  <c r="F57" i="34"/>
  <c r="E11" i="14" s="1"/>
  <c r="D32" i="41"/>
  <c r="C48" i="14" s="1"/>
  <c r="F44" i="41"/>
  <c r="E60" i="14" s="1"/>
  <c r="G63" i="41"/>
  <c r="F79" i="14" s="1"/>
  <c r="D60" i="41"/>
  <c r="C76" i="14" s="1"/>
  <c r="L60" i="41"/>
  <c r="K76" i="14" s="1"/>
  <c r="H45" i="41"/>
  <c r="G61" i="14" s="1"/>
  <c r="L59" i="34"/>
  <c r="K13" i="14" s="1"/>
  <c r="L81" i="41"/>
  <c r="K97" i="14" s="1"/>
  <c r="E57" i="41"/>
  <c r="D73" i="14" s="1"/>
  <c r="I26" i="41"/>
  <c r="H42" i="14" s="1"/>
  <c r="E77" i="41"/>
  <c r="D93" i="14" s="1"/>
  <c r="J56" i="41"/>
  <c r="I72" i="14" s="1"/>
  <c r="J28" i="41"/>
  <c r="I44" i="14" s="1"/>
  <c r="F13" i="41"/>
  <c r="E37" i="41"/>
  <c r="D53" i="14" s="1"/>
  <c r="L54" i="41"/>
  <c r="K70" i="14" s="1"/>
  <c r="J42" i="41"/>
  <c r="I58" i="14" s="1"/>
  <c r="K82" i="41"/>
  <c r="J98" i="14" s="1"/>
  <c r="K19" i="41"/>
  <c r="J35" i="14" s="1"/>
  <c r="J31" i="41"/>
  <c r="I47" i="14" s="1"/>
  <c r="C28" i="41"/>
  <c r="B44" i="14" s="1"/>
  <c r="E47" i="41"/>
  <c r="D63" i="14" s="1"/>
  <c r="F24" i="41"/>
  <c r="E40" i="14" s="1"/>
  <c r="J66" i="41"/>
  <c r="I82" i="14" s="1"/>
  <c r="K41" i="41"/>
  <c r="J57" i="14" s="1"/>
  <c r="K79" i="41"/>
  <c r="J95" i="14" s="1"/>
  <c r="F7" i="41"/>
  <c r="K74" i="41"/>
  <c r="J90" i="14" s="1"/>
  <c r="J70" i="34"/>
  <c r="I140" i="14" s="1"/>
  <c r="I69" i="41"/>
  <c r="H85" i="14" s="1"/>
  <c r="C122" i="34"/>
  <c r="C12" i="15" s="1"/>
  <c r="G64" i="41"/>
  <c r="F80" i="14" s="1"/>
  <c r="J20" i="41"/>
  <c r="I36" i="14" s="1"/>
  <c r="G48" i="41"/>
  <c r="F64" i="14" s="1"/>
  <c r="K43" i="41"/>
  <c r="J59" i="14" s="1"/>
  <c r="F35" i="41"/>
  <c r="E51" i="14" s="1"/>
  <c r="K8" i="41"/>
  <c r="J24" i="14" s="1"/>
  <c r="C32" i="41"/>
  <c r="B48" i="14" s="1"/>
  <c r="J75" i="41"/>
  <c r="I91" i="14" s="1"/>
  <c r="J69" i="41"/>
  <c r="I85" i="14" s="1"/>
  <c r="F11" i="41"/>
  <c r="E27" i="14" s="1"/>
  <c r="K9" i="41"/>
  <c r="J25" i="14" s="1"/>
  <c r="B43" i="34"/>
  <c r="B51" i="34" s="1"/>
  <c r="D34" i="41"/>
  <c r="C50" i="14" s="1"/>
  <c r="K6" i="41"/>
  <c r="J22" i="14" s="1"/>
  <c r="K61" i="34"/>
  <c r="J15" i="14" s="1"/>
  <c r="K58" i="34"/>
  <c r="I42" i="41"/>
  <c r="H58" i="14" s="1"/>
  <c r="E12" i="41"/>
  <c r="L15" i="41"/>
  <c r="K31" i="14" s="1"/>
  <c r="L21" i="41"/>
  <c r="K37" i="14" s="1"/>
  <c r="I47" i="41"/>
  <c r="H63" i="14" s="1"/>
  <c r="F12" i="41"/>
  <c r="E28" i="14" s="1"/>
  <c r="C26" i="41"/>
  <c r="B42" i="14" s="1"/>
  <c r="K13" i="41"/>
  <c r="J29" i="14" s="1"/>
  <c r="H56" i="41"/>
  <c r="G72" i="14" s="1"/>
  <c r="H48" i="41"/>
  <c r="G64" i="14" s="1"/>
  <c r="I71" i="41"/>
  <c r="H87" i="14" s="1"/>
  <c r="I70" i="41"/>
  <c r="H86" i="14" s="1"/>
  <c r="E31" i="34"/>
  <c r="D8" i="15" s="1"/>
  <c r="J22" i="41"/>
  <c r="I38" i="14" s="1"/>
  <c r="K57" i="34"/>
  <c r="F23" i="34"/>
  <c r="E45" i="26" s="1"/>
  <c r="H23" i="34"/>
  <c r="G45" i="26" s="1"/>
  <c r="G93" i="26" s="1"/>
  <c r="C29" i="34"/>
  <c r="B6" i="15" s="1"/>
  <c r="E30" i="34"/>
  <c r="D7" i="15" s="1"/>
  <c r="I33" i="34"/>
  <c r="H10" i="15" s="1"/>
  <c r="D60" i="34"/>
  <c r="K7" i="41"/>
  <c r="J23" i="14" s="1"/>
  <c r="I8" i="41"/>
  <c r="H24" i="14" s="1"/>
  <c r="C11" i="41"/>
  <c r="B27" i="14" s="1"/>
  <c r="I13" i="41"/>
  <c r="H29" i="14" s="1"/>
  <c r="E19" i="41"/>
  <c r="D35" i="14" s="1"/>
  <c r="E21" i="41"/>
  <c r="D37" i="14" s="1"/>
  <c r="E25" i="41"/>
  <c r="D41" i="14" s="1"/>
  <c r="E28" i="41"/>
  <c r="D44" i="14" s="1"/>
  <c r="C33" i="41"/>
  <c r="B49" i="14" s="1"/>
  <c r="C40" i="41"/>
  <c r="B56" i="14" s="1"/>
  <c r="I41" i="41"/>
  <c r="H57" i="14" s="1"/>
  <c r="I43" i="41"/>
  <c r="H59" i="14" s="1"/>
  <c r="E45" i="41"/>
  <c r="D61" i="14" s="1"/>
  <c r="K51" i="41"/>
  <c r="J67" i="14" s="1"/>
  <c r="I56" i="41"/>
  <c r="H72" i="14" s="1"/>
  <c r="C59" i="41"/>
  <c r="B75" i="14" s="1"/>
  <c r="I60" i="41"/>
  <c r="H76" i="14" s="1"/>
  <c r="L66" i="41"/>
  <c r="K82" i="14" s="1"/>
  <c r="L76" i="41"/>
  <c r="K92" i="14" s="1"/>
  <c r="H53" i="41"/>
  <c r="G69" i="14" s="1"/>
  <c r="H42" i="41"/>
  <c r="G58" i="14" s="1"/>
  <c r="D31" i="41"/>
  <c r="C47" i="14" s="1"/>
  <c r="F10" i="41"/>
  <c r="E26" i="14" s="1"/>
  <c r="D33" i="34"/>
  <c r="C10" i="15" s="1"/>
  <c r="G69" i="41"/>
  <c r="F85" i="14" s="1"/>
  <c r="E40" i="41"/>
  <c r="D56" i="14" s="1"/>
  <c r="J16" i="41"/>
  <c r="I32" i="14" s="1"/>
  <c r="J12" i="41"/>
  <c r="I28" i="14" s="1"/>
  <c r="I27" i="41"/>
  <c r="H43" i="14" s="1"/>
  <c r="D41" i="41"/>
  <c r="C57" i="14" s="1"/>
  <c r="K87" i="41"/>
  <c r="J103" i="14" s="1"/>
  <c r="G25" i="41"/>
  <c r="F41" i="14" s="1"/>
  <c r="L32" i="41"/>
  <c r="K48" i="14" s="1"/>
  <c r="D52" i="41"/>
  <c r="C68" i="14" s="1"/>
  <c r="D25" i="41"/>
  <c r="C41" i="14" s="1"/>
  <c r="H70" i="34"/>
  <c r="G140" i="14" s="1"/>
  <c r="K37" i="41"/>
  <c r="J53" i="14" s="1"/>
  <c r="D84" i="34"/>
  <c r="C16" i="26" s="1"/>
  <c r="F27" i="41"/>
  <c r="E43" i="14" s="1"/>
  <c r="L6" i="41"/>
  <c r="K22" i="14" s="1"/>
  <c r="G74" i="41"/>
  <c r="F90" i="14" s="1"/>
  <c r="G51" i="41"/>
  <c r="F67" i="14" s="1"/>
  <c r="F56" i="34"/>
  <c r="J14" i="41"/>
  <c r="I30" i="14" s="1"/>
  <c r="C48" i="41"/>
  <c r="B64" i="14" s="1"/>
  <c r="H25" i="41"/>
  <c r="G41" i="14" s="1"/>
  <c r="E32" i="41"/>
  <c r="D48" i="14" s="1"/>
  <c r="F76" i="41"/>
  <c r="E92" i="14" s="1"/>
  <c r="E46" i="41"/>
  <c r="D62" i="14" s="1"/>
  <c r="I20" i="41"/>
  <c r="H36" i="14" s="1"/>
  <c r="H21" i="41"/>
  <c r="G37" i="14" s="1"/>
  <c r="E59" i="41"/>
  <c r="D75" i="14" s="1"/>
  <c r="C52" i="41"/>
  <c r="B68" i="14" s="1"/>
  <c r="F46" i="41"/>
  <c r="E62" i="14" s="1"/>
  <c r="I6" i="41"/>
  <c r="H22" i="14" s="1"/>
  <c r="L82" i="41"/>
  <c r="K98" i="14" s="1"/>
  <c r="K36" i="41"/>
  <c r="J52" i="14" s="1"/>
  <c r="C56" i="34"/>
  <c r="E61" i="34"/>
  <c r="D15" i="14" s="1"/>
  <c r="L52" i="41"/>
  <c r="K68" i="14" s="1"/>
  <c r="B122" i="34"/>
  <c r="B12" i="15" s="1"/>
  <c r="F14" i="41"/>
  <c r="E30" i="14" s="1"/>
  <c r="K32" i="41"/>
  <c r="J48" i="14" s="1"/>
  <c r="H43" i="41"/>
  <c r="G59" i="14" s="1"/>
  <c r="K25" i="41"/>
  <c r="J41" i="14" s="1"/>
  <c r="H32" i="41"/>
  <c r="G48" i="14" s="1"/>
  <c r="G35" i="41"/>
  <c r="C30" i="34"/>
  <c r="B7" i="15" s="1"/>
  <c r="L25" i="41"/>
  <c r="K41" i="14" s="1"/>
  <c r="F78" i="41"/>
  <c r="E94" i="14" s="1"/>
  <c r="F42" i="41"/>
  <c r="E58" i="14" s="1"/>
  <c r="G26" i="41"/>
  <c r="F42" i="14" s="1"/>
  <c r="C84" i="34"/>
  <c r="B16" i="26" s="1"/>
  <c r="E42" i="41"/>
  <c r="D58" i="14" s="1"/>
  <c r="E56" i="34"/>
  <c r="J62" i="34"/>
  <c r="F32" i="34"/>
  <c r="E9" i="15" s="1"/>
  <c r="F33" i="34"/>
  <c r="E10" i="15" s="1"/>
  <c r="H29" i="34"/>
  <c r="G6" i="15" s="1"/>
  <c r="C33" i="34"/>
  <c r="B10" i="15" s="1"/>
  <c r="J57" i="34"/>
  <c r="J85" i="43"/>
  <c r="J63" i="34" s="1"/>
  <c r="I56" i="34"/>
  <c r="F35" i="36" l="1"/>
  <c r="F33" i="36"/>
  <c r="F34" i="36"/>
  <c r="F36" i="36"/>
  <c r="F32" i="36"/>
  <c r="A22" i="63" a="1"/>
  <c r="H36" i="36"/>
  <c r="H33" i="36"/>
  <c r="H32" i="36"/>
  <c r="H34" i="36"/>
  <c r="H35" i="36"/>
  <c r="J36" i="36"/>
  <c r="J32" i="36"/>
  <c r="J33" i="36"/>
  <c r="J34" i="36"/>
  <c r="J35" i="36"/>
  <c r="B233" i="74"/>
  <c r="B174" i="71" s="1"/>
  <c r="D233" i="74"/>
  <c r="D174" i="71" s="1"/>
  <c r="E233" i="74"/>
  <c r="E174" i="71" s="1"/>
  <c r="C233" i="74"/>
  <c r="C174" i="71" s="1"/>
  <c r="L36" i="36"/>
  <c r="L32" i="36"/>
  <c r="L33" i="36"/>
  <c r="L34" i="36"/>
  <c r="L35" i="36"/>
  <c r="J6" i="50"/>
  <c r="J45" i="50" s="1"/>
  <c r="H6" i="50"/>
  <c r="H45" i="50" s="1"/>
  <c r="J6" i="45"/>
  <c r="J45" i="45" s="1"/>
  <c r="H6" i="45"/>
  <c r="H45" i="45" s="1"/>
  <c r="C65" i="31"/>
  <c r="B37" i="22"/>
  <c r="B39" i="22"/>
  <c r="W81" i="60"/>
  <c r="L60" i="50"/>
  <c r="B41" i="22"/>
  <c r="B40" i="22"/>
  <c r="P181" i="3"/>
  <c r="Q181" i="3" s="1"/>
  <c r="Q143" i="3"/>
  <c r="R143" i="3" s="1"/>
  <c r="J181" i="3"/>
  <c r="N181" i="3" s="1"/>
  <c r="O181" i="3" s="1"/>
  <c r="D94" i="26"/>
  <c r="F38" i="31"/>
  <c r="F40" i="31"/>
  <c r="F41" i="31"/>
  <c r="F37" i="31"/>
  <c r="F39" i="31"/>
  <c r="B32" i="36"/>
  <c r="B33" i="36"/>
  <c r="B36" i="36"/>
  <c r="B35" i="36"/>
  <c r="B34" i="36"/>
  <c r="G135" i="26"/>
  <c r="D107" i="41"/>
  <c r="C123" i="14" s="1"/>
  <c r="C162" i="14" s="1"/>
  <c r="N144" i="3"/>
  <c r="D32" i="36"/>
  <c r="D36" i="36"/>
  <c r="D33" i="36"/>
  <c r="D34" i="36"/>
  <c r="D35" i="36"/>
  <c r="L182" i="3"/>
  <c r="M182" i="3" s="1"/>
  <c r="I182" i="3"/>
  <c r="J182" i="3"/>
  <c r="K182" i="3" s="1"/>
  <c r="P182" i="3"/>
  <c r="Q182" i="3" s="1"/>
  <c r="C116" i="41"/>
  <c r="B132" i="14" s="1"/>
  <c r="G94" i="26"/>
  <c r="G141" i="26"/>
  <c r="C97" i="26"/>
  <c r="I95" i="26"/>
  <c r="L143" i="3"/>
  <c r="O143" i="3"/>
  <c r="L60" i="43"/>
  <c r="L66" i="43"/>
  <c r="L84" i="43" s="1"/>
  <c r="L62" i="34" s="1"/>
  <c r="K16" i="14" s="1"/>
  <c r="J110" i="41"/>
  <c r="I126" i="14" s="1"/>
  <c r="O144" i="3"/>
  <c r="L144" i="3"/>
  <c r="L67" i="45"/>
  <c r="L78" i="45"/>
  <c r="L85" i="45" s="1"/>
  <c r="I181" i="3"/>
  <c r="L181" i="3"/>
  <c r="J12" i="43"/>
  <c r="J18" i="43" s="1"/>
  <c r="J24" i="34" s="1"/>
  <c r="I46" i="26" s="1"/>
  <c r="I141" i="26" s="1"/>
  <c r="K189" i="26"/>
  <c r="I10" i="14"/>
  <c r="J116" i="41"/>
  <c r="I132" i="14" s="1"/>
  <c r="C94" i="26"/>
  <c r="H25" i="34"/>
  <c r="G47" i="26" s="1"/>
  <c r="G187" i="26" s="1"/>
  <c r="H92" i="26"/>
  <c r="E181" i="26"/>
  <c r="F114" i="41"/>
  <c r="E130" i="14" s="1"/>
  <c r="E169" i="14" s="1"/>
  <c r="E191" i="16" s="1"/>
  <c r="D89" i="34"/>
  <c r="C21" i="26" s="1"/>
  <c r="C92" i="26"/>
  <c r="E190" i="26"/>
  <c r="C111" i="41"/>
  <c r="B127" i="14" s="1"/>
  <c r="D110" i="41"/>
  <c r="C126" i="14" s="1"/>
  <c r="C165" i="14" s="1"/>
  <c r="C187" i="16" s="1"/>
  <c r="H67" i="43"/>
  <c r="H85" i="45"/>
  <c r="D96" i="26"/>
  <c r="B97" i="26"/>
  <c r="K184" i="26"/>
  <c r="F16" i="14"/>
  <c r="B92" i="26"/>
  <c r="K176" i="26"/>
  <c r="K180" i="26"/>
  <c r="J111" i="41"/>
  <c r="I127" i="14" s="1"/>
  <c r="B94" i="26"/>
  <c r="K185" i="26"/>
  <c r="G67" i="45"/>
  <c r="I85" i="45"/>
  <c r="G85" i="50"/>
  <c r="B96" i="26"/>
  <c r="K181" i="26"/>
  <c r="K191" i="26"/>
  <c r="B93" i="26"/>
  <c r="H97" i="26"/>
  <c r="D103" i="41"/>
  <c r="C119" i="14" s="1"/>
  <c r="C158" i="14" s="1"/>
  <c r="C181" i="16" s="1"/>
  <c r="I107" i="41"/>
  <c r="H123" i="14" s="1"/>
  <c r="G132" i="26"/>
  <c r="E191" i="26"/>
  <c r="C89" i="34"/>
  <c r="B21" i="26" s="1"/>
  <c r="K177" i="26"/>
  <c r="G138" i="26"/>
  <c r="E180" i="26"/>
  <c r="E192" i="26"/>
  <c r="E178" i="26"/>
  <c r="G95" i="26"/>
  <c r="J113" i="41"/>
  <c r="I129" i="14" s="1"/>
  <c r="D92" i="26"/>
  <c r="K183" i="26"/>
  <c r="D95" i="26"/>
  <c r="K182" i="26"/>
  <c r="J67" i="45"/>
  <c r="G140" i="26"/>
  <c r="G133" i="26"/>
  <c r="G134" i="26"/>
  <c r="K139" i="26"/>
  <c r="E188" i="26"/>
  <c r="E177" i="26"/>
  <c r="G97" i="26"/>
  <c r="E189" i="26"/>
  <c r="E185" i="26"/>
  <c r="D97" i="26"/>
  <c r="K187" i="26"/>
  <c r="K178" i="26"/>
  <c r="G79" i="45"/>
  <c r="G85" i="45" s="1"/>
  <c r="G67" i="50"/>
  <c r="J67" i="50"/>
  <c r="G139" i="26"/>
  <c r="K135" i="26"/>
  <c r="E187" i="26"/>
  <c r="K92" i="26"/>
  <c r="E182" i="26"/>
  <c r="H85" i="50"/>
  <c r="K188" i="26"/>
  <c r="K192" i="26"/>
  <c r="G137" i="26"/>
  <c r="K138" i="26"/>
  <c r="I67" i="45"/>
  <c r="G162" i="41"/>
  <c r="F86" i="26" s="1"/>
  <c r="J85" i="50"/>
  <c r="I85" i="43"/>
  <c r="I63" i="34" s="1"/>
  <c r="I108" i="41" s="1"/>
  <c r="H124" i="14" s="1"/>
  <c r="I85" i="50"/>
  <c r="J85" i="45"/>
  <c r="H67" i="50"/>
  <c r="C104" i="41"/>
  <c r="B120" i="14" s="1"/>
  <c r="D97" i="41"/>
  <c r="C113" i="14" s="1"/>
  <c r="C152" i="14" s="1"/>
  <c r="C176" i="16" s="1"/>
  <c r="D116" i="41"/>
  <c r="C132" i="14" s="1"/>
  <c r="C171" i="14" s="1"/>
  <c r="K133" i="26"/>
  <c r="K136" i="26"/>
  <c r="H85" i="43"/>
  <c r="H63" i="34" s="1"/>
  <c r="H98" i="41" s="1"/>
  <c r="G114" i="14" s="1"/>
  <c r="K96" i="26"/>
  <c r="K94" i="26"/>
  <c r="H94" i="26"/>
  <c r="E138" i="26"/>
  <c r="G92" i="26"/>
  <c r="G96" i="26"/>
  <c r="H162" i="41"/>
  <c r="G86" i="26" s="1"/>
  <c r="H67" i="45"/>
  <c r="F106" i="41"/>
  <c r="E122" i="14" s="1"/>
  <c r="E161" i="14" s="1"/>
  <c r="E184" i="16" s="1"/>
  <c r="D115" i="41"/>
  <c r="C131" i="14" s="1"/>
  <c r="C170" i="14" s="1"/>
  <c r="K141" i="26"/>
  <c r="K95" i="26"/>
  <c r="K97" i="26"/>
  <c r="D113" i="41"/>
  <c r="C129" i="14" s="1"/>
  <c r="C168" i="14" s="1"/>
  <c r="C190" i="16" s="1"/>
  <c r="I67" i="50"/>
  <c r="I61" i="34"/>
  <c r="H15" i="14" s="1"/>
  <c r="K132" i="26"/>
  <c r="H95" i="26"/>
  <c r="K140" i="26"/>
  <c r="K137" i="26"/>
  <c r="H93" i="26"/>
  <c r="I67" i="43"/>
  <c r="W82" i="60"/>
  <c r="W87" i="60"/>
  <c r="W85" i="60"/>
  <c r="W83" i="60"/>
  <c r="W84" i="60"/>
  <c r="W88" i="60"/>
  <c r="C98" i="41"/>
  <c r="B114" i="14" s="1"/>
  <c r="G78" i="43"/>
  <c r="G67" i="43"/>
  <c r="D91" i="34"/>
  <c r="C23" i="26" s="1"/>
  <c r="J13" i="43"/>
  <c r="J19" i="43" s="1"/>
  <c r="J4" i="43" s="1"/>
  <c r="F97" i="26"/>
  <c r="D96" i="41"/>
  <c r="C112" i="14" s="1"/>
  <c r="C151" i="14" s="1"/>
  <c r="C175" i="16" s="1"/>
  <c r="J112" i="41"/>
  <c r="I128" i="14" s="1"/>
  <c r="I97" i="26"/>
  <c r="J94" i="26"/>
  <c r="E137" i="26"/>
  <c r="I94" i="26"/>
  <c r="K172" i="16"/>
  <c r="D101" i="41"/>
  <c r="C117" i="14" s="1"/>
  <c r="C156" i="14" s="1"/>
  <c r="E134" i="26"/>
  <c r="J96" i="26"/>
  <c r="E141" i="26"/>
  <c r="E95" i="41"/>
  <c r="D111" i="14" s="1"/>
  <c r="F99" i="41"/>
  <c r="E115" i="14" s="1"/>
  <c r="E154" i="14" s="1"/>
  <c r="E178" i="16" s="1"/>
  <c r="D77" i="60"/>
  <c r="S77" i="60"/>
  <c r="O77" i="60"/>
  <c r="I77" i="60"/>
  <c r="V50" i="60"/>
  <c r="O79" i="60"/>
  <c r="I79" i="60"/>
  <c r="S79" i="60"/>
  <c r="V58" i="60"/>
  <c r="D79" i="60"/>
  <c r="V56" i="60"/>
  <c r="V55" i="60"/>
  <c r="V61" i="60"/>
  <c r="V57" i="60"/>
  <c r="F95" i="41"/>
  <c r="E111" i="14" s="1"/>
  <c r="E150" i="14" s="1"/>
  <c r="E133" i="26"/>
  <c r="I96" i="26"/>
  <c r="D114" i="41"/>
  <c r="C130" i="14" s="1"/>
  <c r="C169" i="14" s="1"/>
  <c r="C191" i="16" s="1"/>
  <c r="F92" i="26"/>
  <c r="D105" i="41"/>
  <c r="C121" i="14" s="1"/>
  <c r="C160" i="14" s="1"/>
  <c r="C183" i="16" s="1"/>
  <c r="V51" i="60"/>
  <c r="V52" i="60"/>
  <c r="V53" i="60"/>
  <c r="C93" i="26"/>
  <c r="C96" i="26"/>
  <c r="B16" i="14"/>
  <c r="C107" i="41"/>
  <c r="B123" i="14" s="1"/>
  <c r="C97" i="41"/>
  <c r="B113" i="14" s="1"/>
  <c r="J97" i="26"/>
  <c r="J92" i="26"/>
  <c r="C103" i="41"/>
  <c r="B119" i="14" s="1"/>
  <c r="B17" i="14"/>
  <c r="E135" i="26"/>
  <c r="E132" i="26"/>
  <c r="D104" i="41"/>
  <c r="C120" i="14" s="1"/>
  <c r="C159" i="14" s="1"/>
  <c r="C182" i="16" s="1"/>
  <c r="C101" i="41"/>
  <c r="B117" i="14" s="1"/>
  <c r="F96" i="26"/>
  <c r="F95" i="26"/>
  <c r="F94" i="26"/>
  <c r="E101" i="41"/>
  <c r="D117" i="14" s="1"/>
  <c r="D95" i="41"/>
  <c r="C111" i="14" s="1"/>
  <c r="C150" i="14" s="1"/>
  <c r="J93" i="26"/>
  <c r="E139" i="26"/>
  <c r="E136" i="26"/>
  <c r="I93" i="26"/>
  <c r="C99" i="41"/>
  <c r="B115" i="14" s="1"/>
  <c r="C109" i="41"/>
  <c r="B125" i="14" s="1"/>
  <c r="V60" i="60"/>
  <c r="V54" i="60"/>
  <c r="V59" i="60"/>
  <c r="V49" i="60"/>
  <c r="E107" i="41"/>
  <c r="D123" i="14" s="1"/>
  <c r="D16" i="14"/>
  <c r="F49" i="14"/>
  <c r="E179" i="26"/>
  <c r="E184" i="26"/>
  <c r="E186" i="26"/>
  <c r="E176" i="26"/>
  <c r="D108" i="41"/>
  <c r="C124" i="14" s="1"/>
  <c r="C163" i="14" s="1"/>
  <c r="C185" i="16" s="1"/>
  <c r="G16" i="14"/>
  <c r="H107" i="41"/>
  <c r="G123" i="14" s="1"/>
  <c r="K179" i="26"/>
  <c r="K186" i="26"/>
  <c r="D17" i="14"/>
  <c r="E103" i="41"/>
  <c r="D119" i="14" s="1"/>
  <c r="I11" i="14"/>
  <c r="J97" i="41"/>
  <c r="I113" i="14" s="1"/>
  <c r="E94" i="26"/>
  <c r="E97" i="26"/>
  <c r="E92" i="26"/>
  <c r="E93" i="26"/>
  <c r="E96" i="26"/>
  <c r="E95" i="26"/>
  <c r="F104" i="41"/>
  <c r="E120" i="14" s="1"/>
  <c r="E159" i="14" s="1"/>
  <c r="E182" i="16" s="1"/>
  <c r="E102" i="41"/>
  <c r="D118" i="14" s="1"/>
  <c r="F100" i="41"/>
  <c r="E116" i="14" s="1"/>
  <c r="E155" i="14" s="1"/>
  <c r="E179" i="16" s="1"/>
  <c r="C102" i="41"/>
  <c r="B118" i="14" s="1"/>
  <c r="J107" i="41"/>
  <c r="I123" i="14" s="1"/>
  <c r="J109" i="41"/>
  <c r="I125" i="14" s="1"/>
  <c r="I16" i="14"/>
  <c r="J12" i="14"/>
  <c r="D23" i="14"/>
  <c r="E98" i="41"/>
  <c r="D114" i="14" s="1"/>
  <c r="D109" i="41"/>
  <c r="C125" i="14" s="1"/>
  <c r="C164" i="14" s="1"/>
  <c r="C186" i="16" s="1"/>
  <c r="D106" i="41"/>
  <c r="C122" i="14" s="1"/>
  <c r="C161" i="14" s="1"/>
  <c r="C184" i="16" s="1"/>
  <c r="D102" i="41"/>
  <c r="C118" i="14" s="1"/>
  <c r="C157" i="14" s="1"/>
  <c r="C180" i="16" s="1"/>
  <c r="F101" i="41"/>
  <c r="E117" i="14" s="1"/>
  <c r="E156" i="14" s="1"/>
  <c r="J108" i="41"/>
  <c r="I124" i="14" s="1"/>
  <c r="J96" i="41"/>
  <c r="I112" i="14" s="1"/>
  <c r="J115" i="41"/>
  <c r="I131" i="14" s="1"/>
  <c r="D10" i="14"/>
  <c r="E112" i="41"/>
  <c r="D128" i="14" s="1"/>
  <c r="E116" i="41"/>
  <c r="D132" i="14" s="1"/>
  <c r="E100" i="41"/>
  <c r="D116" i="14" s="1"/>
  <c r="E109" i="41"/>
  <c r="D125" i="14" s="1"/>
  <c r="E110" i="41"/>
  <c r="D126" i="14" s="1"/>
  <c r="E115" i="41"/>
  <c r="D131" i="14" s="1"/>
  <c r="E111" i="41"/>
  <c r="D127" i="14" s="1"/>
  <c r="E106" i="41"/>
  <c r="D122" i="14" s="1"/>
  <c r="E113" i="41"/>
  <c r="D129" i="14" s="1"/>
  <c r="E96" i="41"/>
  <c r="D112" i="14" s="1"/>
  <c r="E99" i="41"/>
  <c r="D115" i="14" s="1"/>
  <c r="E114" i="41"/>
  <c r="D130" i="14" s="1"/>
  <c r="E97" i="41"/>
  <c r="D113" i="14" s="1"/>
  <c r="F51" i="14"/>
  <c r="E10" i="14"/>
  <c r="F110" i="41"/>
  <c r="E126" i="14" s="1"/>
  <c r="E165" i="14" s="1"/>
  <c r="E187" i="16" s="1"/>
  <c r="F112" i="41"/>
  <c r="E128" i="14" s="1"/>
  <c r="E167" i="14" s="1"/>
  <c r="E189" i="16" s="1"/>
  <c r="F115" i="41"/>
  <c r="E131" i="14" s="1"/>
  <c r="E170" i="14" s="1"/>
  <c r="F113" i="41"/>
  <c r="E129" i="14" s="1"/>
  <c r="E168" i="14" s="1"/>
  <c r="E190" i="16" s="1"/>
  <c r="F111" i="41"/>
  <c r="E127" i="14" s="1"/>
  <c r="E166" i="14" s="1"/>
  <c r="E188" i="16" s="1"/>
  <c r="F96" i="41"/>
  <c r="E112" i="14" s="1"/>
  <c r="E151" i="14" s="1"/>
  <c r="E175" i="16" s="1"/>
  <c r="F105" i="41"/>
  <c r="E121" i="14" s="1"/>
  <c r="E160" i="14" s="1"/>
  <c r="E183" i="16" s="1"/>
  <c r="F116" i="41"/>
  <c r="E132" i="14" s="1"/>
  <c r="E171" i="14" s="1"/>
  <c r="D112" i="41"/>
  <c r="C128" i="14" s="1"/>
  <c r="C167" i="14" s="1"/>
  <c r="C189" i="16" s="1"/>
  <c r="D100" i="41"/>
  <c r="C116" i="14" s="1"/>
  <c r="C155" i="14" s="1"/>
  <c r="C179" i="16" s="1"/>
  <c r="E29" i="14"/>
  <c r="F103" i="41"/>
  <c r="E119" i="14" s="1"/>
  <c r="E158" i="14" s="1"/>
  <c r="E181" i="16" s="1"/>
  <c r="I50" i="14"/>
  <c r="J114" i="41"/>
  <c r="I130" i="14" s="1"/>
  <c r="E12" i="14"/>
  <c r="F108" i="41"/>
  <c r="E124" i="14" s="1"/>
  <c r="E163" i="14" s="1"/>
  <c r="E185" i="16" s="1"/>
  <c r="J11" i="14"/>
  <c r="D32" i="14"/>
  <c r="E105" i="41"/>
  <c r="D121" i="14" s="1"/>
  <c r="E16" i="14"/>
  <c r="F109" i="41"/>
  <c r="E125" i="14" s="1"/>
  <c r="E164" i="14" s="1"/>
  <c r="E186" i="16" s="1"/>
  <c r="F107" i="41"/>
  <c r="E123" i="14" s="1"/>
  <c r="E162" i="14" s="1"/>
  <c r="K49" i="14"/>
  <c r="K32" i="14"/>
  <c r="D98" i="41"/>
  <c r="C114" i="14" s="1"/>
  <c r="C153" i="14" s="1"/>
  <c r="C177" i="16" s="1"/>
  <c r="C95" i="41"/>
  <c r="C108" i="41"/>
  <c r="B124" i="14" s="1"/>
  <c r="F97" i="41"/>
  <c r="E113" i="14" s="1"/>
  <c r="E152" i="14" s="1"/>
  <c r="E176" i="16" s="1"/>
  <c r="F102" i="41"/>
  <c r="E118" i="14" s="1"/>
  <c r="E157" i="14" s="1"/>
  <c r="E180" i="16" s="1"/>
  <c r="B10" i="14"/>
  <c r="C114" i="41"/>
  <c r="B130" i="14" s="1"/>
  <c r="C105" i="41"/>
  <c r="B121" i="14" s="1"/>
  <c r="C113" i="41"/>
  <c r="B129" i="14" s="1"/>
  <c r="C96" i="41"/>
  <c r="B112" i="14" s="1"/>
  <c r="C106" i="41"/>
  <c r="B122" i="14" s="1"/>
  <c r="C110" i="41"/>
  <c r="B126" i="14" s="1"/>
  <c r="C100" i="41"/>
  <c r="B116" i="14" s="1"/>
  <c r="C112" i="41"/>
  <c r="B128" i="14" s="1"/>
  <c r="C115" i="41"/>
  <c r="B131" i="14" s="1"/>
  <c r="C14" i="14"/>
  <c r="D99" i="41"/>
  <c r="C115" i="14" s="1"/>
  <c r="C154" i="14" s="1"/>
  <c r="C178" i="16" s="1"/>
  <c r="E108" i="41"/>
  <c r="D124" i="14" s="1"/>
  <c r="D28" i="14"/>
  <c r="E23" i="14"/>
  <c r="F98" i="41"/>
  <c r="E114" i="14" s="1"/>
  <c r="E153" i="14" s="1"/>
  <c r="E177" i="16" s="1"/>
  <c r="E104" i="41"/>
  <c r="D120" i="14" s="1"/>
  <c r="D111" i="41"/>
  <c r="C127" i="14" s="1"/>
  <c r="C166" i="14" s="1"/>
  <c r="C188" i="16" s="1"/>
  <c r="H6" i="43"/>
  <c r="J100" i="41"/>
  <c r="I116" i="14" s="1"/>
  <c r="J102" i="41"/>
  <c r="I118" i="14" s="1"/>
  <c r="I17" i="14"/>
  <c r="J98" i="41"/>
  <c r="I114" i="14" s="1"/>
  <c r="J101" i="41"/>
  <c r="I117" i="14" s="1"/>
  <c r="J95" i="41"/>
  <c r="J106" i="41"/>
  <c r="I122" i="14" s="1"/>
  <c r="J103" i="41"/>
  <c r="I119" i="14" s="1"/>
  <c r="J105" i="41"/>
  <c r="I121" i="14" s="1"/>
  <c r="J99" i="41"/>
  <c r="I115" i="14" s="1"/>
  <c r="J104" i="41"/>
  <c r="I120" i="14" s="1"/>
  <c r="I115" i="41"/>
  <c r="H131" i="14" s="1"/>
  <c r="I110" i="41"/>
  <c r="H126" i="14" s="1"/>
  <c r="H10" i="14"/>
  <c r="I113" i="41"/>
  <c r="H129" i="14" s="1"/>
  <c r="I114" i="41"/>
  <c r="H130" i="14" s="1"/>
  <c r="I96" i="41"/>
  <c r="H112" i="14" s="1"/>
  <c r="I109" i="41"/>
  <c r="H125" i="14" s="1"/>
  <c r="I112" i="41"/>
  <c r="H128" i="14" s="1"/>
  <c r="I111" i="41"/>
  <c r="H127" i="14" s="1"/>
  <c r="I116" i="41"/>
  <c r="H132" i="14" s="1"/>
  <c r="I97" i="41"/>
  <c r="H113" i="14" s="1"/>
  <c r="H112" i="41"/>
  <c r="G128" i="14" s="1"/>
  <c r="H116" i="41"/>
  <c r="G132" i="14" s="1"/>
  <c r="H113" i="41"/>
  <c r="G129" i="14" s="1"/>
  <c r="H111" i="41"/>
  <c r="G127" i="14" s="1"/>
  <c r="H115" i="41"/>
  <c r="G131" i="14" s="1"/>
  <c r="H109" i="41"/>
  <c r="G125" i="14" s="1"/>
  <c r="H114" i="41"/>
  <c r="G130" i="14" s="1"/>
  <c r="G10" i="14"/>
  <c r="H96" i="41"/>
  <c r="G112" i="14" s="1"/>
  <c r="H110" i="41"/>
  <c r="G126" i="14" s="1"/>
  <c r="H97" i="41"/>
  <c r="G113" i="14" s="1"/>
  <c r="F12" i="14"/>
  <c r="I35" i="63" l="1"/>
  <c r="F35" i="63"/>
  <c r="J34" i="63"/>
  <c r="B34" i="63"/>
  <c r="F33" i="63"/>
  <c r="J32" i="63"/>
  <c r="B32" i="63"/>
  <c r="F31" i="63"/>
  <c r="J30" i="63"/>
  <c r="B30" i="63"/>
  <c r="F29" i="63"/>
  <c r="J28" i="63"/>
  <c r="B28" i="63"/>
  <c r="F27" i="63"/>
  <c r="J26" i="63"/>
  <c r="B26" i="63"/>
  <c r="F25" i="63"/>
  <c r="J24" i="63"/>
  <c r="B24" i="63"/>
  <c r="F23" i="63"/>
  <c r="J22" i="63"/>
  <c r="B22" i="63"/>
  <c r="K35" i="63"/>
  <c r="C35" i="63"/>
  <c r="G34" i="63"/>
  <c r="K33" i="63"/>
  <c r="C33" i="63"/>
  <c r="G32" i="63"/>
  <c r="K31" i="63"/>
  <c r="C31" i="63"/>
  <c r="G30" i="63"/>
  <c r="K29" i="63"/>
  <c r="C29" i="63"/>
  <c r="G28" i="63"/>
  <c r="K27" i="63"/>
  <c r="C27" i="63"/>
  <c r="G26" i="63"/>
  <c r="K25" i="63"/>
  <c r="C25" i="63"/>
  <c r="G24" i="63"/>
  <c r="K23" i="63"/>
  <c r="C23" i="63"/>
  <c r="G22" i="63"/>
  <c r="J35" i="63"/>
  <c r="B35" i="63"/>
  <c r="F34" i="63"/>
  <c r="J33" i="63"/>
  <c r="B33" i="63"/>
  <c r="F32" i="63"/>
  <c r="J31" i="63"/>
  <c r="B31" i="63"/>
  <c r="F30" i="63"/>
  <c r="J29" i="63"/>
  <c r="B29" i="63"/>
  <c r="F28" i="63"/>
  <c r="J27" i="63"/>
  <c r="B27" i="63"/>
  <c r="F26" i="63"/>
  <c r="J25" i="63"/>
  <c r="B25" i="63"/>
  <c r="F24" i="63"/>
  <c r="J23" i="63"/>
  <c r="B23" i="63"/>
  <c r="F22" i="63"/>
  <c r="G35" i="63"/>
  <c r="K34" i="63"/>
  <c r="C34" i="63"/>
  <c r="G33" i="63"/>
  <c r="K32" i="63"/>
  <c r="C32" i="63"/>
  <c r="G31" i="63"/>
  <c r="K30" i="63"/>
  <c r="C30" i="63"/>
  <c r="G29" i="63"/>
  <c r="K28" i="63"/>
  <c r="C28" i="63"/>
  <c r="G27" i="63"/>
  <c r="K26" i="63"/>
  <c r="C26" i="63"/>
  <c r="G25" i="63"/>
  <c r="K24" i="63"/>
  <c r="C24" i="63"/>
  <c r="G23" i="63"/>
  <c r="K22" i="63"/>
  <c r="C22" i="63"/>
  <c r="D22" i="63"/>
  <c r="H23" i="63"/>
  <c r="L24" i="63"/>
  <c r="D26" i="63"/>
  <c r="H27" i="63"/>
  <c r="L28" i="63"/>
  <c r="D30" i="63"/>
  <c r="H31" i="63"/>
  <c r="L32" i="63"/>
  <c r="D34" i="63"/>
  <c r="H35" i="63"/>
  <c r="I22" i="63"/>
  <c r="A24" i="63"/>
  <c r="E25" i="63"/>
  <c r="I26" i="63"/>
  <c r="A28" i="63"/>
  <c r="E29" i="63"/>
  <c r="I30" i="63"/>
  <c r="A32" i="63"/>
  <c r="E33" i="63"/>
  <c r="I34" i="63"/>
  <c r="H22" i="63"/>
  <c r="L23" i="63"/>
  <c r="D25" i="63"/>
  <c r="H26" i="63"/>
  <c r="L27" i="63"/>
  <c r="D29" i="63"/>
  <c r="H30" i="63"/>
  <c r="L31" i="63"/>
  <c r="D33" i="63"/>
  <c r="H34" i="63"/>
  <c r="L35" i="63"/>
  <c r="A23" i="63"/>
  <c r="E24" i="63"/>
  <c r="I25" i="63"/>
  <c r="A27" i="63"/>
  <c r="E28" i="63"/>
  <c r="I29" i="63"/>
  <c r="A31" i="63"/>
  <c r="E32" i="63"/>
  <c r="I33" i="63"/>
  <c r="A35" i="63"/>
  <c r="L22" i="63"/>
  <c r="D24" i="63"/>
  <c r="H25" i="63"/>
  <c r="L26" i="63"/>
  <c r="D28" i="63"/>
  <c r="H29" i="63"/>
  <c r="L30" i="63"/>
  <c r="D32" i="63"/>
  <c r="H33" i="63"/>
  <c r="L34" i="63"/>
  <c r="A22" i="63"/>
  <c r="E23" i="63"/>
  <c r="I24" i="63"/>
  <c r="A26" i="63"/>
  <c r="E27" i="63"/>
  <c r="I28" i="63"/>
  <c r="A30" i="63"/>
  <c r="E31" i="63"/>
  <c r="I32" i="63"/>
  <c r="A34" i="63"/>
  <c r="E35" i="63"/>
  <c r="D23" i="63"/>
  <c r="H24" i="63"/>
  <c r="L25" i="63"/>
  <c r="D27" i="63"/>
  <c r="H28" i="63"/>
  <c r="L29" i="63"/>
  <c r="D31" i="63"/>
  <c r="H32" i="63"/>
  <c r="L33" i="63"/>
  <c r="D35" i="63"/>
  <c r="E22" i="63"/>
  <c r="I23" i="63"/>
  <c r="A25" i="63"/>
  <c r="E26" i="63"/>
  <c r="I27" i="63"/>
  <c r="A29" i="63"/>
  <c r="E30" i="63"/>
  <c r="I31" i="63"/>
  <c r="A33" i="63"/>
  <c r="E34" i="63"/>
  <c r="N182" i="3"/>
  <c r="O182" i="3" s="1"/>
  <c r="L78" i="50"/>
  <c r="L85" i="50" s="1"/>
  <c r="L67" i="50"/>
  <c r="K181" i="3"/>
  <c r="I140" i="26"/>
  <c r="I138" i="26"/>
  <c r="I132" i="26"/>
  <c r="I137" i="26"/>
  <c r="I133" i="26"/>
  <c r="I135" i="26"/>
  <c r="I102" i="41"/>
  <c r="H118" i="14" s="1"/>
  <c r="I98" i="41"/>
  <c r="H114" i="14" s="1"/>
  <c r="G177" i="26"/>
  <c r="I106" i="41"/>
  <c r="H122" i="14" s="1"/>
  <c r="I103" i="41"/>
  <c r="H119" i="14" s="1"/>
  <c r="H103" i="41"/>
  <c r="G119" i="14" s="1"/>
  <c r="I100" i="41"/>
  <c r="H116" i="14" s="1"/>
  <c r="G189" i="26"/>
  <c r="H99" i="41"/>
  <c r="G115" i="14" s="1"/>
  <c r="I105" i="41"/>
  <c r="H121" i="14" s="1"/>
  <c r="G186" i="26"/>
  <c r="H102" i="41"/>
  <c r="G118" i="14" s="1"/>
  <c r="I95" i="41"/>
  <c r="H111" i="14" s="1"/>
  <c r="M181" i="3"/>
  <c r="R181" i="3"/>
  <c r="S181" i="3" s="1"/>
  <c r="U143" i="3"/>
  <c r="V143" i="3" s="1"/>
  <c r="P143" i="3"/>
  <c r="H105" i="41"/>
  <c r="G121" i="14" s="1"/>
  <c r="H104" i="41"/>
  <c r="G120" i="14" s="1"/>
  <c r="H106" i="41"/>
  <c r="G122" i="14" s="1"/>
  <c r="L107" i="41"/>
  <c r="K123" i="14" s="1"/>
  <c r="K162" i="14" s="1"/>
  <c r="L78" i="43"/>
  <c r="L67" i="43"/>
  <c r="I101" i="41"/>
  <c r="H117" i="14" s="1"/>
  <c r="I104" i="41"/>
  <c r="H120" i="14" s="1"/>
  <c r="I99" i="41"/>
  <c r="H115" i="14" s="1"/>
  <c r="I136" i="26"/>
  <c r="I139" i="26"/>
  <c r="H108" i="41"/>
  <c r="G124" i="14" s="1"/>
  <c r="G17" i="14"/>
  <c r="H101" i="41"/>
  <c r="G117" i="14" s="1"/>
  <c r="H17" i="14"/>
  <c r="I134" i="26"/>
  <c r="H95" i="41"/>
  <c r="G111" i="14" s="1"/>
  <c r="H100" i="41"/>
  <c r="G116" i="14" s="1"/>
  <c r="P144" i="3"/>
  <c r="U144" i="3"/>
  <c r="V144" i="3" s="1"/>
  <c r="G183" i="26"/>
  <c r="G190" i="26"/>
  <c r="G192" i="26"/>
  <c r="G185" i="26"/>
  <c r="G184" i="26"/>
  <c r="G191" i="26"/>
  <c r="G180" i="26"/>
  <c r="G188" i="26"/>
  <c r="G176" i="26"/>
  <c r="G179" i="26"/>
  <c r="G182" i="26"/>
  <c r="G181" i="26"/>
  <c r="G178" i="26"/>
  <c r="J6" i="43"/>
  <c r="J25" i="34"/>
  <c r="I47" i="26" s="1"/>
  <c r="G56" i="34"/>
  <c r="G85" i="43"/>
  <c r="G63" i="34" s="1"/>
  <c r="C117" i="41"/>
  <c r="B133" i="14" s="1"/>
  <c r="B111" i="14"/>
  <c r="E117" i="41"/>
  <c r="D133" i="14" s="1"/>
  <c r="W77" i="60"/>
  <c r="D117" i="41"/>
  <c r="C133" i="14" s="1"/>
  <c r="C172" i="14" s="1"/>
  <c r="C192" i="16" s="1"/>
  <c r="F117" i="41"/>
  <c r="E133" i="14" s="1"/>
  <c r="E172" i="14" s="1"/>
  <c r="E192" i="16" s="1"/>
  <c r="E174" i="16"/>
  <c r="C174" i="16"/>
  <c r="H18" i="34"/>
  <c r="H45" i="43"/>
  <c r="H39" i="34" s="1"/>
  <c r="F6" i="14" s="1"/>
  <c r="I111" i="14"/>
  <c r="J117" i="41"/>
  <c r="I133" i="14" s="1"/>
  <c r="E41" i="16" l="1"/>
  <c r="E41" i="72"/>
  <c r="E41" i="71"/>
  <c r="A36" i="16"/>
  <c r="A36" i="72"/>
  <c r="A36" i="71"/>
  <c r="L44" i="16"/>
  <c r="L44" i="72"/>
  <c r="L44" i="71"/>
  <c r="H39" i="16"/>
  <c r="H39" i="72"/>
  <c r="H39" i="71"/>
  <c r="D34" i="16"/>
  <c r="D34" i="72"/>
  <c r="D34" i="71"/>
  <c r="E42" i="16"/>
  <c r="E42" i="72"/>
  <c r="E42" i="71"/>
  <c r="A37" i="16"/>
  <c r="A37" i="72"/>
  <c r="A37" i="71"/>
  <c r="L45" i="16"/>
  <c r="L45" i="72"/>
  <c r="L45" i="71"/>
  <c r="H40" i="16"/>
  <c r="H40" i="72"/>
  <c r="H40" i="71"/>
  <c r="D35" i="16"/>
  <c r="D35" i="72"/>
  <c r="D35" i="71"/>
  <c r="E43" i="16"/>
  <c r="E43" i="71"/>
  <c r="E43" i="72"/>
  <c r="A38" i="16"/>
  <c r="A38" i="72"/>
  <c r="A38" i="71"/>
  <c r="L46" i="16"/>
  <c r="L46" i="72"/>
  <c r="L46" i="71"/>
  <c r="H41" i="16"/>
  <c r="H41" i="72"/>
  <c r="H41" i="71"/>
  <c r="D36" i="16"/>
  <c r="D36" i="72"/>
  <c r="D36" i="71"/>
  <c r="E44" i="16"/>
  <c r="E44" i="71"/>
  <c r="E44" i="72"/>
  <c r="A39" i="16"/>
  <c r="A39" i="71"/>
  <c r="A39" i="72"/>
  <c r="I33" i="16"/>
  <c r="I33" i="72"/>
  <c r="I33" i="71"/>
  <c r="H42" i="16"/>
  <c r="H42" i="72"/>
  <c r="H42" i="71"/>
  <c r="D37" i="16"/>
  <c r="D37" i="72"/>
  <c r="D37" i="71"/>
  <c r="C33" i="16"/>
  <c r="C33" i="72"/>
  <c r="C33" i="71"/>
  <c r="K35" i="16"/>
  <c r="K35" i="72"/>
  <c r="K35" i="71"/>
  <c r="G38" i="16"/>
  <c r="G38" i="72"/>
  <c r="G38" i="71"/>
  <c r="C41" i="16"/>
  <c r="C41" i="72"/>
  <c r="C41" i="71"/>
  <c r="K43" i="16"/>
  <c r="K43" i="72"/>
  <c r="K43" i="71"/>
  <c r="G46" i="16"/>
  <c r="G46" i="72"/>
  <c r="G46" i="71"/>
  <c r="F35" i="16"/>
  <c r="F35" i="72"/>
  <c r="F35" i="71"/>
  <c r="B38" i="16"/>
  <c r="B38" i="72"/>
  <c r="B38" i="71"/>
  <c r="J40" i="16"/>
  <c r="J40" i="72"/>
  <c r="J40" i="71"/>
  <c r="F43" i="16"/>
  <c r="F43" i="72"/>
  <c r="F43" i="71"/>
  <c r="B46" i="16"/>
  <c r="B46" i="72"/>
  <c r="B46" i="71"/>
  <c r="K34" i="16"/>
  <c r="K34" i="72"/>
  <c r="K34" i="71"/>
  <c r="G37" i="16"/>
  <c r="G37" i="72"/>
  <c r="G37" i="71"/>
  <c r="C40" i="16"/>
  <c r="C40" i="72"/>
  <c r="C40" i="71"/>
  <c r="K42" i="16"/>
  <c r="K42" i="72"/>
  <c r="K42" i="71"/>
  <c r="G45" i="16"/>
  <c r="G45" i="72"/>
  <c r="G45" i="71"/>
  <c r="J33" i="16"/>
  <c r="J33" i="72"/>
  <c r="J33" i="71"/>
  <c r="F36" i="16"/>
  <c r="F36" i="72"/>
  <c r="F36" i="71"/>
  <c r="B39" i="16"/>
  <c r="B39" i="72"/>
  <c r="B39" i="71"/>
  <c r="J41" i="16"/>
  <c r="J41" i="71"/>
  <c r="J41" i="72"/>
  <c r="F44" i="16"/>
  <c r="F44" i="72"/>
  <c r="F44" i="71"/>
  <c r="I46" i="16"/>
  <c r="I46" i="72"/>
  <c r="I46" i="71"/>
  <c r="E45" i="16"/>
  <c r="E45" i="72"/>
  <c r="E45" i="71"/>
  <c r="A40" i="16"/>
  <c r="A40" i="72"/>
  <c r="A40" i="71"/>
  <c r="I34" i="16"/>
  <c r="I34" i="72"/>
  <c r="I34" i="71"/>
  <c r="H43" i="16"/>
  <c r="H43" i="72"/>
  <c r="H43" i="71"/>
  <c r="D38" i="16"/>
  <c r="D38" i="72"/>
  <c r="D38" i="71"/>
  <c r="E46" i="16"/>
  <c r="E46" i="72"/>
  <c r="E46" i="71"/>
  <c r="A41" i="16"/>
  <c r="A41" i="71"/>
  <c r="A41" i="72"/>
  <c r="I35" i="16"/>
  <c r="I35" i="72"/>
  <c r="I35" i="71"/>
  <c r="H44" i="16"/>
  <c r="H44" i="72"/>
  <c r="H44" i="71"/>
  <c r="D39" i="16"/>
  <c r="D39" i="72"/>
  <c r="D39" i="71"/>
  <c r="L33" i="16"/>
  <c r="L33" i="72"/>
  <c r="L33" i="71"/>
  <c r="A42" i="16"/>
  <c r="A42" i="71"/>
  <c r="A42" i="72"/>
  <c r="I36" i="16"/>
  <c r="I36" i="72"/>
  <c r="I36" i="71"/>
  <c r="H45" i="16"/>
  <c r="H45" i="72"/>
  <c r="H45" i="71"/>
  <c r="D40" i="16"/>
  <c r="D40" i="72"/>
  <c r="D40" i="71"/>
  <c r="L34" i="16"/>
  <c r="L34" i="72"/>
  <c r="L34" i="71"/>
  <c r="A43" i="16"/>
  <c r="A43" i="72"/>
  <c r="A43" i="71"/>
  <c r="I37" i="16"/>
  <c r="I37" i="71"/>
  <c r="I37" i="72"/>
  <c r="H46" i="16"/>
  <c r="H46" i="72"/>
  <c r="H46" i="71"/>
  <c r="D41" i="16"/>
  <c r="D41" i="72"/>
  <c r="D41" i="71"/>
  <c r="L35" i="16"/>
  <c r="L35" i="72"/>
  <c r="L35" i="71"/>
  <c r="K33" i="16"/>
  <c r="K33" i="72"/>
  <c r="K33" i="71"/>
  <c r="G36" i="16"/>
  <c r="G36" i="72"/>
  <c r="G36" i="71"/>
  <c r="C39" i="16"/>
  <c r="C39" i="72"/>
  <c r="C39" i="71"/>
  <c r="K41" i="16"/>
  <c r="K41" i="72"/>
  <c r="K41" i="71"/>
  <c r="G44" i="16"/>
  <c r="G44" i="72"/>
  <c r="G44" i="71"/>
  <c r="F33" i="16"/>
  <c r="F33" i="72"/>
  <c r="F33" i="71"/>
  <c r="B36" i="16"/>
  <c r="B36" i="72"/>
  <c r="B36" i="71"/>
  <c r="J38" i="16"/>
  <c r="J38" i="72"/>
  <c r="J38" i="71"/>
  <c r="F41" i="16"/>
  <c r="F41" i="72"/>
  <c r="F41" i="71"/>
  <c r="B44" i="16"/>
  <c r="B44" i="72"/>
  <c r="B44" i="71"/>
  <c r="J46" i="16"/>
  <c r="J46" i="72"/>
  <c r="J46" i="71"/>
  <c r="G35" i="16"/>
  <c r="G35" i="72"/>
  <c r="G35" i="71"/>
  <c r="C38" i="16"/>
  <c r="C38" i="72"/>
  <c r="C38" i="71"/>
  <c r="K40" i="16"/>
  <c r="K40" i="72"/>
  <c r="K40" i="71"/>
  <c r="G43" i="16"/>
  <c r="G43" i="72"/>
  <c r="G43" i="71"/>
  <c r="C46" i="16"/>
  <c r="C46" i="72"/>
  <c r="C46" i="71"/>
  <c r="F34" i="16"/>
  <c r="F34" i="72"/>
  <c r="F34" i="71"/>
  <c r="B37" i="16"/>
  <c r="B37" i="72"/>
  <c r="B37" i="71"/>
  <c r="J39" i="16"/>
  <c r="J39" i="72"/>
  <c r="J39" i="71"/>
  <c r="F42" i="16"/>
  <c r="F42" i="72"/>
  <c r="F42" i="71"/>
  <c r="B45" i="16"/>
  <c r="B45" i="72"/>
  <c r="B45" i="71"/>
  <c r="A44" i="16"/>
  <c r="A44" i="72"/>
  <c r="A44" i="71"/>
  <c r="I38" i="16"/>
  <c r="I38" i="72"/>
  <c r="I38" i="71"/>
  <c r="E33" i="16"/>
  <c r="E33" i="72"/>
  <c r="E33" i="71"/>
  <c r="D42" i="16"/>
  <c r="D42" i="72"/>
  <c r="D42" i="71"/>
  <c r="L36" i="16"/>
  <c r="L36" i="72"/>
  <c r="L36" i="71"/>
  <c r="A45" i="16"/>
  <c r="A45" i="72"/>
  <c r="A45" i="71"/>
  <c r="I39" i="16"/>
  <c r="I39" i="72"/>
  <c r="I39" i="71"/>
  <c r="E34" i="16"/>
  <c r="E34" i="71"/>
  <c r="E34" i="72"/>
  <c r="D43" i="16"/>
  <c r="D43" i="72"/>
  <c r="D43" i="71"/>
  <c r="L37" i="16"/>
  <c r="L37" i="72"/>
  <c r="L37" i="71"/>
  <c r="A46" i="16"/>
  <c r="A46" i="71"/>
  <c r="A46" i="72"/>
  <c r="I40" i="16"/>
  <c r="I40" i="72"/>
  <c r="I40" i="71"/>
  <c r="E35" i="16"/>
  <c r="E35" i="72"/>
  <c r="E35" i="71"/>
  <c r="D44" i="16"/>
  <c r="D44" i="72"/>
  <c r="D44" i="71"/>
  <c r="L38" i="16"/>
  <c r="L38" i="72"/>
  <c r="L38" i="71"/>
  <c r="H33" i="16"/>
  <c r="H33" i="72"/>
  <c r="H33" i="71"/>
  <c r="I41" i="16"/>
  <c r="I41" i="72"/>
  <c r="I41" i="71"/>
  <c r="E36" i="16"/>
  <c r="E36" i="71"/>
  <c r="E36" i="72"/>
  <c r="D45" i="16"/>
  <c r="D45" i="72"/>
  <c r="D45" i="71"/>
  <c r="L39" i="16"/>
  <c r="L39" i="72"/>
  <c r="L39" i="71"/>
  <c r="H34" i="16"/>
  <c r="H34" i="72"/>
  <c r="H34" i="71"/>
  <c r="G34" i="16"/>
  <c r="G34" i="72"/>
  <c r="G34" i="71"/>
  <c r="C37" i="16"/>
  <c r="C37" i="72"/>
  <c r="C37" i="71"/>
  <c r="K39" i="16"/>
  <c r="K39" i="72"/>
  <c r="K39" i="71"/>
  <c r="G42" i="16"/>
  <c r="G42" i="72"/>
  <c r="G42" i="71"/>
  <c r="C45" i="16"/>
  <c r="C45" i="72"/>
  <c r="C45" i="71"/>
  <c r="B34" i="16"/>
  <c r="B34" i="72"/>
  <c r="B34" i="71"/>
  <c r="J36" i="16"/>
  <c r="J36" i="72"/>
  <c r="J36" i="71"/>
  <c r="F39" i="16"/>
  <c r="F39" i="72"/>
  <c r="F39" i="71"/>
  <c r="B42" i="16"/>
  <c r="B42" i="72"/>
  <c r="B42" i="71"/>
  <c r="J44" i="16"/>
  <c r="J44" i="72"/>
  <c r="J44" i="71"/>
  <c r="G33" i="16"/>
  <c r="G33" i="72"/>
  <c r="G33" i="71"/>
  <c r="C36" i="16"/>
  <c r="C36" i="72"/>
  <c r="C36" i="71"/>
  <c r="K38" i="16"/>
  <c r="K38" i="72"/>
  <c r="K38" i="71"/>
  <c r="G41" i="16"/>
  <c r="G41" i="72"/>
  <c r="G41" i="71"/>
  <c r="C44" i="16"/>
  <c r="C44" i="72"/>
  <c r="C44" i="71"/>
  <c r="K46" i="16"/>
  <c r="K46" i="72"/>
  <c r="K46" i="71"/>
  <c r="B35" i="16"/>
  <c r="B35" i="72"/>
  <c r="B35" i="71"/>
  <c r="J37" i="16"/>
  <c r="J37" i="72"/>
  <c r="J37" i="71"/>
  <c r="F40" i="16"/>
  <c r="F40" i="72"/>
  <c r="F40" i="71"/>
  <c r="B43" i="16"/>
  <c r="B43" i="72"/>
  <c r="B43" i="71"/>
  <c r="J45" i="16"/>
  <c r="J45" i="72"/>
  <c r="J45" i="71"/>
  <c r="I42" i="16"/>
  <c r="I42" i="72"/>
  <c r="I42" i="71"/>
  <c r="E37" i="16"/>
  <c r="E37" i="72"/>
  <c r="E37" i="71"/>
  <c r="D46" i="16"/>
  <c r="D46" i="72"/>
  <c r="D46" i="71"/>
  <c r="L40" i="16"/>
  <c r="L40" i="72"/>
  <c r="L40" i="71"/>
  <c r="H35" i="16"/>
  <c r="H35" i="72"/>
  <c r="H35" i="71"/>
  <c r="I43" i="16"/>
  <c r="I43" i="72"/>
  <c r="I43" i="71"/>
  <c r="E38" i="16"/>
  <c r="E38" i="72"/>
  <c r="E38" i="71"/>
  <c r="A33" i="16"/>
  <c r="A33" i="72"/>
  <c r="A33" i="71"/>
  <c r="L41" i="16"/>
  <c r="L41" i="72"/>
  <c r="L41" i="71"/>
  <c r="H36" i="16"/>
  <c r="H36" i="72"/>
  <c r="H36" i="71"/>
  <c r="I44" i="16"/>
  <c r="I44" i="71"/>
  <c r="I44" i="72"/>
  <c r="E39" i="16"/>
  <c r="E39" i="72"/>
  <c r="E39" i="71"/>
  <c r="A34" i="16"/>
  <c r="A34" i="72"/>
  <c r="A34" i="71"/>
  <c r="L42" i="16"/>
  <c r="L42" i="72"/>
  <c r="L42" i="71"/>
  <c r="H37" i="16"/>
  <c r="H37" i="72"/>
  <c r="H37" i="71"/>
  <c r="I45" i="16"/>
  <c r="I45" i="71"/>
  <c r="I45" i="72"/>
  <c r="E40" i="16"/>
  <c r="E40" i="72"/>
  <c r="E40" i="71"/>
  <c r="A35" i="16"/>
  <c r="A35" i="72"/>
  <c r="A35" i="71"/>
  <c r="L43" i="16"/>
  <c r="L43" i="72"/>
  <c r="L43" i="71"/>
  <c r="H38" i="16"/>
  <c r="H38" i="72"/>
  <c r="H38" i="71"/>
  <c r="D33" i="16"/>
  <c r="D33" i="72"/>
  <c r="D33" i="71"/>
  <c r="C35" i="16"/>
  <c r="C35" i="72"/>
  <c r="C35" i="71"/>
  <c r="K37" i="16"/>
  <c r="K37" i="72"/>
  <c r="K37" i="71"/>
  <c r="G40" i="16"/>
  <c r="G40" i="72"/>
  <c r="G40" i="71"/>
  <c r="C43" i="16"/>
  <c r="C43" i="72"/>
  <c r="C43" i="71"/>
  <c r="K45" i="16"/>
  <c r="K45" i="72"/>
  <c r="K45" i="71"/>
  <c r="J34" i="16"/>
  <c r="J34" i="72"/>
  <c r="J34" i="71"/>
  <c r="F37" i="16"/>
  <c r="F37" i="72"/>
  <c r="F37" i="71"/>
  <c r="B40" i="16"/>
  <c r="B40" i="72"/>
  <c r="B40" i="71"/>
  <c r="J42" i="16"/>
  <c r="J42" i="72"/>
  <c r="J42" i="71"/>
  <c r="F45" i="16"/>
  <c r="F45" i="72"/>
  <c r="F45" i="71"/>
  <c r="C34" i="16"/>
  <c r="C34" i="72"/>
  <c r="C34" i="71"/>
  <c r="K36" i="16"/>
  <c r="K36" i="72"/>
  <c r="K36" i="71"/>
  <c r="G39" i="16"/>
  <c r="G39" i="72"/>
  <c r="G39" i="71"/>
  <c r="C42" i="16"/>
  <c r="C42" i="72"/>
  <c r="C42" i="71"/>
  <c r="K44" i="16"/>
  <c r="K44" i="72"/>
  <c r="K44" i="71"/>
  <c r="B33" i="16"/>
  <c r="B33" i="72"/>
  <c r="B33" i="71"/>
  <c r="J35" i="16"/>
  <c r="J35" i="72"/>
  <c r="J35" i="71"/>
  <c r="F38" i="16"/>
  <c r="F38" i="72"/>
  <c r="F38" i="71"/>
  <c r="B41" i="16"/>
  <c r="B41" i="72"/>
  <c r="B41" i="71"/>
  <c r="J43" i="16"/>
  <c r="J43" i="72"/>
  <c r="J43" i="71"/>
  <c r="F46" i="16"/>
  <c r="F46" i="72"/>
  <c r="F46" i="71"/>
  <c r="R182" i="3"/>
  <c r="S182" i="3" s="1"/>
  <c r="H117" i="41"/>
  <c r="G133" i="14" s="1"/>
  <c r="L85" i="43"/>
  <c r="L63" i="34" s="1"/>
  <c r="L56" i="34"/>
  <c r="I117" i="41"/>
  <c r="H133" i="14" s="1"/>
  <c r="G103" i="41"/>
  <c r="F119" i="14" s="1"/>
  <c r="G101" i="41"/>
  <c r="F117" i="14" s="1"/>
  <c r="F17" i="14"/>
  <c r="G98" i="41"/>
  <c r="F114" i="14" s="1"/>
  <c r="G105" i="41"/>
  <c r="F121" i="14" s="1"/>
  <c r="G99" i="41"/>
  <c r="F115" i="14" s="1"/>
  <c r="G104" i="41"/>
  <c r="F120" i="14" s="1"/>
  <c r="G108" i="41"/>
  <c r="F124" i="14" s="1"/>
  <c r="G100" i="41"/>
  <c r="F116" i="14" s="1"/>
  <c r="G106" i="41"/>
  <c r="F122" i="14" s="1"/>
  <c r="G95" i="41"/>
  <c r="G102" i="41"/>
  <c r="F118" i="14" s="1"/>
  <c r="I189" i="26"/>
  <c r="I185" i="26"/>
  <c r="I192" i="26"/>
  <c r="I191" i="26"/>
  <c r="I187" i="26"/>
  <c r="I182" i="26"/>
  <c r="I190" i="26"/>
  <c r="I183" i="26"/>
  <c r="I181" i="26"/>
  <c r="I179" i="26"/>
  <c r="I178" i="26"/>
  <c r="I186" i="26"/>
  <c r="I188" i="26"/>
  <c r="I177" i="26"/>
  <c r="I184" i="26"/>
  <c r="I176" i="26"/>
  <c r="I180" i="26"/>
  <c r="G112" i="41"/>
  <c r="F128" i="14" s="1"/>
  <c r="G115" i="41"/>
  <c r="F131" i="14" s="1"/>
  <c r="G110" i="41"/>
  <c r="F126" i="14" s="1"/>
  <c r="G114" i="41"/>
  <c r="F130" i="14" s="1"/>
  <c r="F10" i="14"/>
  <c r="G111" i="41"/>
  <c r="F127" i="14" s="1"/>
  <c r="G96" i="41"/>
  <c r="F112" i="14" s="1"/>
  <c r="G116" i="41"/>
  <c r="F132" i="14" s="1"/>
  <c r="G97" i="41"/>
  <c r="F113" i="14" s="1"/>
  <c r="G113" i="41"/>
  <c r="F129" i="14" s="1"/>
  <c r="G109" i="41"/>
  <c r="F125" i="14" s="1"/>
  <c r="J18" i="34"/>
  <c r="J45" i="43"/>
  <c r="J39" i="34" s="1"/>
  <c r="H6" i="14" s="1"/>
  <c r="I148" i="14" s="1"/>
  <c r="I150" i="14" s="1"/>
  <c r="I174" i="16" s="1"/>
  <c r="G148" i="14"/>
  <c r="K17" i="14" l="1"/>
  <c r="L108" i="41"/>
  <c r="K124" i="14" s="1"/>
  <c r="K163" i="14" s="1"/>
  <c r="K185" i="16" s="1"/>
  <c r="L102" i="41"/>
  <c r="K118" i="14" s="1"/>
  <c r="K157" i="14" s="1"/>
  <c r="K180" i="16" s="1"/>
  <c r="L95" i="41"/>
  <c r="L98" i="41"/>
  <c r="K114" i="14" s="1"/>
  <c r="K153" i="14" s="1"/>
  <c r="K177" i="16" s="1"/>
  <c r="L103" i="41"/>
  <c r="K119" i="14" s="1"/>
  <c r="K158" i="14" s="1"/>
  <c r="K181" i="16" s="1"/>
  <c r="L106" i="41"/>
  <c r="K122" i="14" s="1"/>
  <c r="K161" i="14" s="1"/>
  <c r="K184" i="16" s="1"/>
  <c r="L99" i="41"/>
  <c r="K115" i="14" s="1"/>
  <c r="K154" i="14" s="1"/>
  <c r="K178" i="16" s="1"/>
  <c r="L101" i="41"/>
  <c r="K117" i="14" s="1"/>
  <c r="K156" i="14" s="1"/>
  <c r="L104" i="41"/>
  <c r="K120" i="14" s="1"/>
  <c r="K159" i="14" s="1"/>
  <c r="K182" i="16" s="1"/>
  <c r="L105" i="41"/>
  <c r="K121" i="14" s="1"/>
  <c r="K160" i="14" s="1"/>
  <c r="K183" i="16" s="1"/>
  <c r="L100" i="41"/>
  <c r="K116" i="14" s="1"/>
  <c r="K155" i="14" s="1"/>
  <c r="K179" i="16" s="1"/>
  <c r="K10" i="14"/>
  <c r="L110" i="41"/>
  <c r="K126" i="14" s="1"/>
  <c r="K165" i="14" s="1"/>
  <c r="K187" i="16" s="1"/>
  <c r="L115" i="41"/>
  <c r="K131" i="14" s="1"/>
  <c r="K170" i="14" s="1"/>
  <c r="L113" i="41"/>
  <c r="K129" i="14" s="1"/>
  <c r="K168" i="14" s="1"/>
  <c r="K190" i="16" s="1"/>
  <c r="L97" i="41"/>
  <c r="K113" i="14" s="1"/>
  <c r="K152" i="14" s="1"/>
  <c r="K176" i="16" s="1"/>
  <c r="L116" i="41"/>
  <c r="K132" i="14" s="1"/>
  <c r="K171" i="14" s="1"/>
  <c r="L112" i="41"/>
  <c r="K128" i="14" s="1"/>
  <c r="K167" i="14" s="1"/>
  <c r="K189" i="16" s="1"/>
  <c r="L96" i="41"/>
  <c r="K112" i="14" s="1"/>
  <c r="K151" i="14" s="1"/>
  <c r="K175" i="16" s="1"/>
  <c r="L111" i="41"/>
  <c r="K127" i="14" s="1"/>
  <c r="K166" i="14" s="1"/>
  <c r="K188" i="16" s="1"/>
  <c r="L114" i="41"/>
  <c r="K130" i="14" s="1"/>
  <c r="K169" i="14" s="1"/>
  <c r="K191" i="16" s="1"/>
  <c r="L109" i="41"/>
  <c r="K125" i="14" s="1"/>
  <c r="K164" i="14" s="1"/>
  <c r="K186" i="16" s="1"/>
  <c r="F111" i="14"/>
  <c r="G117" i="41"/>
  <c r="F133" i="14" s="1"/>
  <c r="I172" i="16"/>
  <c r="I168" i="14"/>
  <c r="I190" i="16" s="1"/>
  <c r="I171" i="14"/>
  <c r="I166" i="14"/>
  <c r="I188" i="16" s="1"/>
  <c r="I165" i="14"/>
  <c r="I187" i="16" s="1"/>
  <c r="I161" i="14"/>
  <c r="I184" i="16" s="1"/>
  <c r="I157" i="14"/>
  <c r="I180" i="16" s="1"/>
  <c r="I155" i="14"/>
  <c r="I179" i="16" s="1"/>
  <c r="I170" i="14"/>
  <c r="I151" i="14"/>
  <c r="I175" i="16" s="1"/>
  <c r="I167" i="14"/>
  <c r="I189" i="16" s="1"/>
  <c r="I169" i="14"/>
  <c r="I191" i="16" s="1"/>
  <c r="I159" i="14"/>
  <c r="I182" i="16" s="1"/>
  <c r="I163" i="14"/>
  <c r="I185" i="16" s="1"/>
  <c r="I164" i="14"/>
  <c r="I186" i="16" s="1"/>
  <c r="I162" i="14"/>
  <c r="I160" i="14"/>
  <c r="I183" i="16" s="1"/>
  <c r="I158" i="14"/>
  <c r="I181" i="16" s="1"/>
  <c r="I154" i="14"/>
  <c r="I178" i="16" s="1"/>
  <c r="I152" i="14"/>
  <c r="I176" i="16" s="1"/>
  <c r="I156" i="14"/>
  <c r="I153" i="14"/>
  <c r="I177" i="16" s="1"/>
  <c r="I172" i="14"/>
  <c r="I192" i="16" s="1"/>
  <c r="G164" i="14"/>
  <c r="G186" i="16" s="1"/>
  <c r="G160" i="14"/>
  <c r="G183" i="16" s="1"/>
  <c r="G154" i="14"/>
  <c r="G178" i="16" s="1"/>
  <c r="G170" i="14"/>
  <c r="G150" i="14"/>
  <c r="G162" i="14"/>
  <c r="G151" i="14"/>
  <c r="G175" i="16" s="1"/>
  <c r="G168" i="14"/>
  <c r="G190" i="16" s="1"/>
  <c r="G163" i="14"/>
  <c r="G185" i="16" s="1"/>
  <c r="G159" i="14"/>
  <c r="G182" i="16" s="1"/>
  <c r="G166" i="14"/>
  <c r="G188" i="16" s="1"/>
  <c r="G161" i="14"/>
  <c r="G184" i="16" s="1"/>
  <c r="G158" i="14"/>
  <c r="G181" i="16" s="1"/>
  <c r="G169" i="14"/>
  <c r="G191" i="16" s="1"/>
  <c r="G172" i="16"/>
  <c r="G167" i="14"/>
  <c r="G189" i="16" s="1"/>
  <c r="G172" i="14"/>
  <c r="G192" i="16" s="1"/>
  <c r="G152" i="14"/>
  <c r="G176" i="16" s="1"/>
  <c r="G153" i="14"/>
  <c r="G177" i="16" s="1"/>
  <c r="G156" i="14"/>
  <c r="G157" i="14"/>
  <c r="G180" i="16" s="1"/>
  <c r="G155" i="14"/>
  <c r="G179" i="16" s="1"/>
  <c r="G165" i="14"/>
  <c r="G187" i="16" s="1"/>
  <c r="G171" i="14"/>
  <c r="K111" i="14" l="1"/>
  <c r="K150" i="14" s="1"/>
  <c r="K174" i="16" s="1"/>
  <c r="L117" i="41"/>
  <c r="K133" i="14" s="1"/>
  <c r="K172" i="14" s="1"/>
  <c r="K192" i="16" s="1"/>
  <c r="G174" i="16"/>
  <c r="N302" i="41" l="1"/>
  <c r="N303" i="41" s="1"/>
  <c r="C302" i="41"/>
  <c r="C303" i="41" s="1"/>
  <c r="D253" i="78" l="1"/>
  <c r="D247" i="1" s="1"/>
  <c r="G35" i="78" l="1"/>
  <c r="B50" i="78" l="1"/>
  <c r="B52" i="78" l="1"/>
  <c r="B51" i="78"/>
  <c r="B66" i="78"/>
  <c r="B64" i="78"/>
  <c r="B59" i="78"/>
  <c r="B58" i="78"/>
  <c r="B57" i="78"/>
  <c r="B56" i="78"/>
  <c r="B55" i="78"/>
  <c r="H43" i="78"/>
  <c r="H44" i="78"/>
  <c r="B44" i="78"/>
  <c r="G42" i="78"/>
  <c r="H41" i="78"/>
  <c r="C41" i="78"/>
  <c r="H40" i="78"/>
  <c r="C40" i="78"/>
  <c r="H38" i="78"/>
  <c r="H37" i="78"/>
  <c r="H34" i="78"/>
  <c r="B34" i="78"/>
  <c r="B30" i="78"/>
  <c r="H29" i="78"/>
  <c r="H31" i="78"/>
  <c r="C31" i="78"/>
  <c r="G33" i="78"/>
  <c r="F33" i="78"/>
  <c r="H28" i="78"/>
  <c r="B28" i="78"/>
  <c r="F32" i="78"/>
  <c r="E32" i="78"/>
  <c r="D32" i="78"/>
  <c r="C32" i="78"/>
  <c r="B27" i="78" l="1"/>
  <c r="B29" i="78"/>
  <c r="B38" i="78"/>
  <c r="D11" i="62" s="1"/>
  <c r="B63" i="78"/>
  <c r="B37" i="78"/>
  <c r="B77" i="78"/>
  <c r="H42" i="78"/>
  <c r="H33" i="78"/>
  <c r="C42" i="78"/>
  <c r="B32" i="78"/>
  <c r="B41" i="78"/>
  <c r="E35" i="78"/>
  <c r="E33" i="78"/>
  <c r="C33" i="78"/>
  <c r="C77" i="78"/>
  <c r="D33" i="78"/>
  <c r="B31" i="78"/>
  <c r="AH82" i="78"/>
  <c r="H77" i="78"/>
  <c r="X77" i="78"/>
  <c r="W77" i="78"/>
  <c r="C267" i="78"/>
  <c r="F77" i="78"/>
  <c r="G77" i="78"/>
  <c r="E77" i="78"/>
  <c r="D77" i="78"/>
  <c r="I82" i="78"/>
  <c r="F25" i="54" s="1"/>
  <c r="C460" i="78"/>
  <c r="D108" i="78" l="1"/>
  <c r="F108" i="78"/>
  <c r="H108" i="78"/>
  <c r="H93" i="78"/>
  <c r="D268" i="78"/>
  <c r="D267" i="78"/>
  <c r="F93" i="78"/>
  <c r="B40" i="78"/>
  <c r="D93" i="78"/>
  <c r="B65" i="78"/>
  <c r="H25" i="54" s="1"/>
  <c r="AG77" i="78"/>
  <c r="AH77" i="78"/>
  <c r="AE77" i="78"/>
  <c r="AD77" i="78"/>
  <c r="AF77" i="78"/>
  <c r="F35" i="78"/>
  <c r="B42" i="78"/>
  <c r="B33" i="78"/>
  <c r="C268" i="78"/>
  <c r="D43" i="78"/>
  <c r="C43" i="78"/>
  <c r="G25" i="54" l="1"/>
  <c r="AH83" i="78"/>
  <c r="D255" i="78"/>
  <c r="D249" i="1" s="1"/>
  <c r="AA88" i="69"/>
  <c r="AA89" i="69" s="1"/>
  <c r="U85" i="70"/>
  <c r="U86" i="70" s="1"/>
  <c r="G125" i="62"/>
  <c r="G126" i="62" s="1"/>
  <c r="Y88" i="69"/>
  <c r="Y89" i="69" s="1"/>
  <c r="K90" i="15"/>
  <c r="K91" i="15" s="1"/>
  <c r="M90" i="15"/>
  <c r="M91" i="15" s="1"/>
  <c r="Y85" i="70"/>
  <c r="Y86" i="70" s="1"/>
  <c r="O90" i="15"/>
  <c r="O91" i="15" s="1"/>
  <c r="P125" i="62"/>
  <c r="P126" i="62" s="1"/>
  <c r="AA85" i="70"/>
  <c r="AA86" i="70" s="1"/>
  <c r="U88" i="69"/>
  <c r="U89" i="69" s="1"/>
  <c r="Q125" i="62"/>
  <c r="Q126" i="62" s="1"/>
  <c r="G58" i="8"/>
  <c r="B93" i="78"/>
  <c r="B108" i="78"/>
  <c r="B43" i="78"/>
  <c r="M79" i="60" l="1"/>
  <c r="R79" i="60"/>
  <c r="C79" i="60"/>
  <c r="H79" i="60"/>
  <c r="W79" i="60" l="1"/>
  <c r="H623" i="78" l="1"/>
  <c r="T655" i="78"/>
  <c r="T690" i="78" s="1"/>
  <c r="H655" i="78"/>
  <c r="H690" i="78" s="1"/>
  <c r="N591" i="78" l="1"/>
  <c r="N623" i="78"/>
  <c r="N655" i="78"/>
  <c r="N690" i="78" s="1"/>
  <c r="H591" i="78" l="1"/>
  <c r="B591" i="78"/>
  <c r="B623" i="78"/>
  <c r="B655" i="78"/>
  <c r="B690" i="78" s="1"/>
  <c r="B422" i="78" l="1"/>
  <c r="B419" i="78"/>
  <c r="AE50" i="54" l="1"/>
  <c r="AB50" i="54"/>
  <c r="AH50" i="54"/>
  <c r="H50" i="54"/>
  <c r="J50" i="54"/>
  <c r="AJ50" i="54"/>
  <c r="R50" i="54"/>
  <c r="Z50" i="54"/>
  <c r="T50" i="54"/>
  <c r="X50" i="54"/>
  <c r="Z51" i="54"/>
  <c r="AB51" i="54"/>
  <c r="H51" i="54"/>
  <c r="J51" i="54"/>
  <c r="AJ51" i="54"/>
  <c r="X51" i="54"/>
  <c r="AE51" i="54"/>
  <c r="AH51" i="54"/>
  <c r="T58" i="54" l="1"/>
  <c r="R58" i="54"/>
  <c r="T591" i="78" l="1"/>
  <c r="T623" i="78"/>
  <c r="J382" i="78" l="1"/>
  <c r="D382" i="78"/>
  <c r="B378" i="78"/>
  <c r="A376" i="78"/>
  <c r="C336" i="78" l="1"/>
  <c r="T336" i="78" l="1"/>
  <c r="S336" i="78" l="1"/>
  <c r="P337" i="78" l="1"/>
  <c r="O337" i="78"/>
  <c r="N337" i="78"/>
  <c r="Q336" i="78"/>
  <c r="P336" i="78"/>
  <c r="O336" i="78"/>
  <c r="N336" i="78"/>
  <c r="K303" i="41" l="1"/>
  <c r="K431" i="65"/>
  <c r="L303" i="41"/>
  <c r="L431" i="65"/>
  <c r="M336" i="78" l="1"/>
  <c r="L336" i="78"/>
  <c r="K336" i="78" l="1"/>
  <c r="J336" i="78"/>
  <c r="I336" i="78"/>
  <c r="H336" i="78"/>
  <c r="G336" i="78"/>
  <c r="F336" i="78"/>
  <c r="E336" i="78"/>
  <c r="D336" i="78"/>
  <c r="AL312" i="78"/>
  <c r="AH312" i="78"/>
  <c r="Z312" i="78"/>
  <c r="Y318" i="78" l="1"/>
  <c r="Y317" i="78"/>
  <c r="Y319" i="78"/>
  <c r="Y321" i="78"/>
  <c r="AH326" i="78"/>
  <c r="Z326" i="78"/>
  <c r="AL326" i="78"/>
  <c r="B336" i="78"/>
  <c r="Y316" i="78" l="1"/>
  <c r="AB82" i="78"/>
  <c r="Y322" i="78"/>
  <c r="Z327" i="78"/>
  <c r="Y320" i="78"/>
  <c r="AL327" i="78"/>
  <c r="AH327" i="78"/>
  <c r="AB395" i="78" l="1"/>
  <c r="V395" i="78"/>
  <c r="J627" i="78" l="1"/>
  <c r="V672" i="78"/>
  <c r="V707" i="78" s="1"/>
  <c r="D113" i="77" s="1"/>
  <c r="J659" i="78"/>
  <c r="J694" i="78" s="1"/>
  <c r="D40" i="77" s="1"/>
  <c r="E411" i="78" l="1"/>
  <c r="W50" i="54" s="1"/>
  <c r="B721" i="78"/>
  <c r="C721" i="78"/>
  <c r="D721" i="78"/>
  <c r="V680" i="78" l="1"/>
  <c r="V715" i="78" s="1"/>
  <c r="D121" i="77" s="1"/>
  <c r="P608" i="78" l="1"/>
  <c r="P640" i="78"/>
  <c r="P672" i="78"/>
  <c r="P707" i="78" s="1"/>
  <c r="D83" i="77" s="1"/>
  <c r="P616" i="78"/>
  <c r="P680" i="78"/>
  <c r="P715" i="78" s="1"/>
  <c r="D91" i="77" s="1"/>
  <c r="P648" i="78" l="1"/>
  <c r="V640" i="78" l="1"/>
  <c r="V608" i="78"/>
  <c r="V616" i="78" l="1"/>
  <c r="V648" i="78"/>
  <c r="J595" i="78" l="1"/>
  <c r="D595" i="78"/>
  <c r="D627" i="78"/>
  <c r="C254" i="78"/>
  <c r="C252" i="78"/>
  <c r="C251" i="78"/>
  <c r="C250" i="78"/>
  <c r="AA323" i="78" l="1"/>
  <c r="V403" i="78"/>
  <c r="AC320" i="78"/>
  <c r="AC322" i="78"/>
  <c r="AC317" i="78"/>
  <c r="AA317" i="78"/>
  <c r="AC319" i="78"/>
  <c r="AC316" i="78"/>
  <c r="AA324" i="78"/>
  <c r="W324" i="78"/>
  <c r="W320" i="78"/>
  <c r="AA316" i="78"/>
  <c r="AC318" i="78"/>
  <c r="AA319" i="78"/>
  <c r="W319" i="78"/>
  <c r="AC315" i="78"/>
  <c r="AA315" i="78"/>
  <c r="AI318" i="78"/>
  <c r="S310" i="78"/>
  <c r="AO320" i="78"/>
  <c r="AM313" i="78"/>
  <c r="AI311" i="78"/>
  <c r="AI310" i="78"/>
  <c r="AO316" i="78"/>
  <c r="AM320" i="78"/>
  <c r="AE313" i="78"/>
  <c r="AI325" i="78"/>
  <c r="AK315" i="78"/>
  <c r="W313" i="78"/>
  <c r="K311" i="78"/>
  <c r="AA320" i="78"/>
  <c r="AM319" i="78"/>
  <c r="AI317" i="78"/>
  <c r="S313" i="78"/>
  <c r="S311" i="78"/>
  <c r="AM324" i="78"/>
  <c r="AK319" i="78"/>
  <c r="AM311" i="78"/>
  <c r="W309" i="78"/>
  <c r="AM310" i="78"/>
  <c r="W311" i="78"/>
  <c r="AE311" i="78"/>
  <c r="W314" i="78"/>
  <c r="AO315" i="78"/>
  <c r="AK318" i="78"/>
  <c r="AO319" i="78"/>
  <c r="AK322" i="78"/>
  <c r="W310" i="78"/>
  <c r="AI316" i="78"/>
  <c r="AM317" i="78"/>
  <c r="W318" i="78"/>
  <c r="AM318" i="78"/>
  <c r="AI322" i="78"/>
  <c r="AM325" i="78"/>
  <c r="AI314" i="78"/>
  <c r="AI309" i="78"/>
  <c r="AA310" i="78"/>
  <c r="AI313" i="78"/>
  <c r="AK317" i="78"/>
  <c r="AO318" i="78"/>
  <c r="AK321" i="78"/>
  <c r="AO322" i="78"/>
  <c r="AA309" i="78"/>
  <c r="AA311" i="78"/>
  <c r="AA313" i="78"/>
  <c r="AI315" i="78"/>
  <c r="AM316" i="78"/>
  <c r="AI321" i="78"/>
  <c r="AM322" i="78"/>
  <c r="AI324" i="78"/>
  <c r="O313" i="78"/>
  <c r="AK316" i="78"/>
  <c r="AO317" i="78"/>
  <c r="AK320" i="78"/>
  <c r="AO321" i="78"/>
  <c r="AM323" i="78"/>
  <c r="G311" i="78"/>
  <c r="K313" i="78"/>
  <c r="AM315" i="78"/>
  <c r="AI319" i="78"/>
  <c r="AI320" i="78"/>
  <c r="AM321" i="78"/>
  <c r="AI323" i="78"/>
  <c r="AA322" i="78"/>
  <c r="AC321" i="78"/>
  <c r="W322" i="78"/>
  <c r="AA318" i="78"/>
  <c r="AA321" i="78"/>
  <c r="AM314" i="78"/>
  <c r="AM309" i="78"/>
  <c r="C253" i="78"/>
  <c r="W323" i="78" l="1"/>
  <c r="W315" i="78"/>
  <c r="Y315" i="78"/>
  <c r="W321" i="78"/>
  <c r="W325" i="78"/>
  <c r="W317" i="78"/>
  <c r="AB403" i="78"/>
  <c r="S312" i="78"/>
  <c r="AM312" i="78"/>
  <c r="W316" i="78"/>
  <c r="AI312" i="78"/>
  <c r="AI326" i="78"/>
  <c r="AA312" i="78"/>
  <c r="W312" i="78"/>
  <c r="AM326" i="78"/>
  <c r="AM327" i="78" l="1"/>
  <c r="W326" i="78"/>
  <c r="W327" i="78" l="1"/>
  <c r="AI327" i="78"/>
  <c r="Q76" i="78" l="1"/>
  <c r="Q81" i="78"/>
  <c r="Q73" i="78"/>
  <c r="Q75" i="78"/>
  <c r="Q74" i="78"/>
  <c r="Q72" i="78"/>
  <c r="Q80" i="78"/>
  <c r="Q82" i="78" l="1"/>
  <c r="Q78" i="78"/>
  <c r="Q79" i="78"/>
  <c r="C412" i="78" l="1"/>
  <c r="AG51" i="54" l="1"/>
  <c r="AK51" i="54"/>
  <c r="G51" i="54"/>
  <c r="AA51" i="54"/>
  <c r="AD51" i="54"/>
  <c r="Y51" i="54"/>
  <c r="I51" i="54"/>
  <c r="F51" i="54"/>
  <c r="E51" i="54"/>
  <c r="B51" i="54"/>
  <c r="C51" i="54"/>
  <c r="L51" i="54"/>
  <c r="AI51" i="54"/>
  <c r="K51" i="54"/>
  <c r="D412" i="78"/>
  <c r="J633" i="78" l="1"/>
  <c r="J632" i="78"/>
  <c r="D636" i="78"/>
  <c r="D644" i="78"/>
  <c r="D642" i="78"/>
  <c r="D637" i="78"/>
  <c r="D645" i="78"/>
  <c r="D723" i="78" l="1"/>
  <c r="D230" i="68" s="1"/>
  <c r="D724" i="78"/>
  <c r="E230" i="68" s="1"/>
  <c r="D725" i="78"/>
  <c r="F230" i="68" s="1"/>
  <c r="D722" i="78"/>
  <c r="C230" i="68" s="1"/>
  <c r="C722" i="78"/>
  <c r="C230" i="67" s="1"/>
  <c r="C723" i="78"/>
  <c r="D230" i="67" s="1"/>
  <c r="C724" i="78"/>
  <c r="E230" i="67" s="1"/>
  <c r="C725" i="78"/>
  <c r="F230" i="67" s="1"/>
  <c r="S73" i="78"/>
  <c r="G104" i="78"/>
  <c r="G89" i="78"/>
  <c r="R73" i="78"/>
  <c r="S79" i="78"/>
  <c r="G110" i="78"/>
  <c r="G103" i="78"/>
  <c r="S72" i="78"/>
  <c r="B725" i="78"/>
  <c r="F230" i="66" s="1"/>
  <c r="B722" i="78"/>
  <c r="C230" i="66" s="1"/>
  <c r="B723" i="78"/>
  <c r="D230" i="66" s="1"/>
  <c r="B724" i="78"/>
  <c r="E230" i="66" s="1"/>
  <c r="R79" i="78"/>
  <c r="G95" i="78"/>
  <c r="H95" i="78"/>
  <c r="D638" i="78"/>
  <c r="D646" i="78"/>
  <c r="J643" i="78"/>
  <c r="J635" i="78"/>
  <c r="J649" i="78"/>
  <c r="J641" i="78"/>
  <c r="J650" i="78"/>
  <c r="J642" i="78"/>
  <c r="J647" i="78"/>
  <c r="J639" i="78"/>
  <c r="J646" i="78"/>
  <c r="J638" i="78"/>
  <c r="J645" i="78"/>
  <c r="J637" i="78"/>
  <c r="I97" i="78"/>
  <c r="H107" i="78"/>
  <c r="P632" i="78"/>
  <c r="D632" i="78"/>
  <c r="D643" i="78"/>
  <c r="D635" i="78"/>
  <c r="P633" i="78"/>
  <c r="D633" i="78"/>
  <c r="I88" i="78"/>
  <c r="D639" i="78"/>
  <c r="D647" i="78"/>
  <c r="D641" i="78"/>
  <c r="D649" i="78"/>
  <c r="I95" i="78"/>
  <c r="D650" i="78"/>
  <c r="I92" i="78"/>
  <c r="I90" i="78"/>
  <c r="I98" i="78"/>
  <c r="I91" i="78"/>
  <c r="I94" i="78"/>
  <c r="I96" i="78"/>
  <c r="V636" i="78"/>
  <c r="V644" i="78"/>
  <c r="V638" i="78"/>
  <c r="V646" i="78"/>
  <c r="D618" i="78"/>
  <c r="D610" i="78"/>
  <c r="D611" i="78"/>
  <c r="D603" i="78"/>
  <c r="C411" i="78"/>
  <c r="P636" i="78"/>
  <c r="P644" i="78"/>
  <c r="D607" i="78"/>
  <c r="D615" i="78"/>
  <c r="J601" i="78"/>
  <c r="D601" i="78"/>
  <c r="P601" i="78"/>
  <c r="P638" i="78"/>
  <c r="P646" i="78"/>
  <c r="V637" i="78"/>
  <c r="V645" i="78"/>
  <c r="I89" i="78"/>
  <c r="P645" i="78"/>
  <c r="P637" i="78"/>
  <c r="H89" i="78"/>
  <c r="D614" i="78"/>
  <c r="D606" i="78"/>
  <c r="H104" i="78"/>
  <c r="H110" i="78"/>
  <c r="P600" i="78"/>
  <c r="D600" i="78"/>
  <c r="J600" i="78"/>
  <c r="D604" i="78"/>
  <c r="D612" i="78"/>
  <c r="AK50" i="54" l="1"/>
  <c r="F50" i="54"/>
  <c r="E50" i="54"/>
  <c r="L50" i="54"/>
  <c r="AA50" i="54"/>
  <c r="O50" i="54"/>
  <c r="Q50" i="54"/>
  <c r="AI50" i="54"/>
  <c r="B50" i="54"/>
  <c r="G50" i="54"/>
  <c r="U50" i="54"/>
  <c r="P50" i="54"/>
  <c r="AG50" i="54"/>
  <c r="Y50" i="54"/>
  <c r="K50" i="54"/>
  <c r="I50" i="54"/>
  <c r="C50" i="54"/>
  <c r="AD50" i="54"/>
  <c r="S50" i="54"/>
  <c r="M50" i="54"/>
  <c r="G106" i="78"/>
  <c r="S75" i="78"/>
  <c r="G112" i="78"/>
  <c r="S81" i="78"/>
  <c r="G105" i="78"/>
  <c r="S74" i="78"/>
  <c r="R74" i="78"/>
  <c r="G90" i="78"/>
  <c r="G107" i="78"/>
  <c r="S76" i="78"/>
  <c r="R76" i="78"/>
  <c r="G92" i="78"/>
  <c r="R82" i="78"/>
  <c r="G98" i="78"/>
  <c r="R78" i="78"/>
  <c r="G94" i="78"/>
  <c r="S78" i="78"/>
  <c r="G109" i="78"/>
  <c r="R80" i="78"/>
  <c r="G96" i="78"/>
  <c r="G91" i="78"/>
  <c r="R75" i="78"/>
  <c r="R81" i="78"/>
  <c r="G97" i="78"/>
  <c r="G88" i="78"/>
  <c r="R72" i="78"/>
  <c r="H105" i="78"/>
  <c r="J667" i="78"/>
  <c r="J702" i="78" s="1"/>
  <c r="D48" i="77" s="1"/>
  <c r="J675" i="78"/>
  <c r="J710" i="78" s="1"/>
  <c r="D56" i="77" s="1"/>
  <c r="V677" i="78"/>
  <c r="V712" i="78" s="1"/>
  <c r="D118" i="77" s="1"/>
  <c r="V669" i="78"/>
  <c r="V704" i="78" s="1"/>
  <c r="D110" i="77" s="1"/>
  <c r="V675" i="78"/>
  <c r="V710" i="78" s="1"/>
  <c r="D116" i="77" s="1"/>
  <c r="V667" i="78"/>
  <c r="V702" i="78" s="1"/>
  <c r="D108" i="77" s="1"/>
  <c r="J677" i="78"/>
  <c r="J712" i="78" s="1"/>
  <c r="D58" i="77" s="1"/>
  <c r="J669" i="78"/>
  <c r="J704" i="78" s="1"/>
  <c r="D50" i="77" s="1"/>
  <c r="J682" i="78"/>
  <c r="J717" i="78" s="1"/>
  <c r="D63" i="77" s="1"/>
  <c r="J674" i="78"/>
  <c r="J709" i="78" s="1"/>
  <c r="D55" i="77" s="1"/>
  <c r="J644" i="78"/>
  <c r="J636" i="78"/>
  <c r="V676" i="78"/>
  <c r="V711" i="78" s="1"/>
  <c r="D117" i="77" s="1"/>
  <c r="V668" i="78"/>
  <c r="V703" i="78" s="1"/>
  <c r="D109" i="77" s="1"/>
  <c r="J679" i="78"/>
  <c r="J714" i="78" s="1"/>
  <c r="D60" i="77" s="1"/>
  <c r="J671" i="78"/>
  <c r="J706" i="78" s="1"/>
  <c r="D52" i="77" s="1"/>
  <c r="V682" i="78"/>
  <c r="V717" i="78" s="1"/>
  <c r="D123" i="77" s="1"/>
  <c r="V674" i="78"/>
  <c r="V709" i="78" s="1"/>
  <c r="D115" i="77" s="1"/>
  <c r="J676" i="78"/>
  <c r="J711" i="78" s="1"/>
  <c r="D57" i="77" s="1"/>
  <c r="J668" i="78"/>
  <c r="J703" i="78" s="1"/>
  <c r="D49" i="77" s="1"/>
  <c r="V679" i="78"/>
  <c r="V714" i="78" s="1"/>
  <c r="D120" i="77" s="1"/>
  <c r="V671" i="78"/>
  <c r="V706" i="78" s="1"/>
  <c r="D112" i="77" s="1"/>
  <c r="J665" i="78"/>
  <c r="J700" i="78" s="1"/>
  <c r="D46" i="77" s="1"/>
  <c r="J664" i="78"/>
  <c r="J699" i="78" s="1"/>
  <c r="D45" i="77" s="1"/>
  <c r="V647" i="78"/>
  <c r="V642" i="78"/>
  <c r="V639" i="78"/>
  <c r="V650" i="78"/>
  <c r="V641" i="78"/>
  <c r="V649" i="78"/>
  <c r="H97" i="78"/>
  <c r="H112" i="78"/>
  <c r="V632" i="78"/>
  <c r="P665" i="78"/>
  <c r="P700" i="78" s="1"/>
  <c r="D76" i="77" s="1"/>
  <c r="V633" i="78"/>
  <c r="P643" i="78"/>
  <c r="P635" i="78"/>
  <c r="H109" i="78"/>
  <c r="D411" i="78"/>
  <c r="D605" i="78"/>
  <c r="D613" i="78"/>
  <c r="H88" i="78"/>
  <c r="H103" i="78"/>
  <c r="H106" i="78"/>
  <c r="P641" i="78"/>
  <c r="P649" i="78"/>
  <c r="H92" i="78"/>
  <c r="P647" i="78"/>
  <c r="P650" i="78"/>
  <c r="P642" i="78"/>
  <c r="P639" i="78"/>
  <c r="V635" i="78"/>
  <c r="V643" i="78"/>
  <c r="D609" i="78"/>
  <c r="D617" i="78"/>
  <c r="P664" i="78"/>
  <c r="P699" i="78" s="1"/>
  <c r="D75" i="77" s="1"/>
  <c r="J604" i="78"/>
  <c r="J612" i="78"/>
  <c r="V612" i="78"/>
  <c r="V604" i="78"/>
  <c r="H94" i="78"/>
  <c r="P611" i="78"/>
  <c r="P603" i="78"/>
  <c r="P606" i="78"/>
  <c r="P614" i="78"/>
  <c r="V601" i="78"/>
  <c r="H91" i="78"/>
  <c r="J610" i="78"/>
  <c r="J618" i="78"/>
  <c r="P615" i="78"/>
  <c r="P607" i="78"/>
  <c r="H90" i="78"/>
  <c r="V614" i="78"/>
  <c r="V606" i="78"/>
  <c r="V603" i="78"/>
  <c r="V611" i="78"/>
  <c r="P612" i="78"/>
  <c r="P604" i="78"/>
  <c r="P674" i="78"/>
  <c r="P709" i="78" s="1"/>
  <c r="D85" i="77" s="1"/>
  <c r="P682" i="78"/>
  <c r="P717" i="78" s="1"/>
  <c r="D93" i="77" s="1"/>
  <c r="P668" i="78"/>
  <c r="P703" i="78" s="1"/>
  <c r="D79" i="77" s="1"/>
  <c r="P676" i="78"/>
  <c r="P711" i="78" s="1"/>
  <c r="D87" i="77" s="1"/>
  <c r="J615" i="78"/>
  <c r="J607" i="78"/>
  <c r="P679" i="78"/>
  <c r="P714" i="78" s="1"/>
  <c r="D90" i="77" s="1"/>
  <c r="P671" i="78"/>
  <c r="P706" i="78" s="1"/>
  <c r="D82" i="77" s="1"/>
  <c r="V607" i="78"/>
  <c r="V615" i="78"/>
  <c r="V618" i="78"/>
  <c r="V610" i="78"/>
  <c r="J611" i="78"/>
  <c r="J603" i="78"/>
  <c r="P610" i="78"/>
  <c r="P618" i="78"/>
  <c r="P667" i="78"/>
  <c r="P702" i="78" s="1"/>
  <c r="D78" i="77" s="1"/>
  <c r="P675" i="78"/>
  <c r="P710" i="78" s="1"/>
  <c r="D86" i="77" s="1"/>
  <c r="P669" i="78"/>
  <c r="P704" i="78" s="1"/>
  <c r="D80" i="77" s="1"/>
  <c r="P677" i="78"/>
  <c r="P712" i="78" s="1"/>
  <c r="D88" i="77" s="1"/>
  <c r="V600" i="78"/>
  <c r="J614" i="78"/>
  <c r="J606" i="78"/>
  <c r="H96" i="78"/>
  <c r="S80" i="78" l="1"/>
  <c r="G111" i="78"/>
  <c r="H98" i="78"/>
  <c r="J681" i="78"/>
  <c r="J716" i="78" s="1"/>
  <c r="D62" i="77" s="1"/>
  <c r="J673" i="78"/>
  <c r="J708" i="78" s="1"/>
  <c r="D54" i="77" s="1"/>
  <c r="V665" i="78"/>
  <c r="V700" i="78" s="1"/>
  <c r="D106" i="77" s="1"/>
  <c r="V681" i="78"/>
  <c r="V716" i="78" s="1"/>
  <c r="D122" i="77" s="1"/>
  <c r="V673" i="78"/>
  <c r="V708" i="78" s="1"/>
  <c r="D114" i="77" s="1"/>
  <c r="V678" i="78"/>
  <c r="V713" i="78" s="1"/>
  <c r="D119" i="77" s="1"/>
  <c r="V670" i="78"/>
  <c r="V705" i="78" s="1"/>
  <c r="D111" i="77" s="1"/>
  <c r="V664" i="78"/>
  <c r="V699" i="78" s="1"/>
  <c r="D105" i="77" s="1"/>
  <c r="J678" i="78"/>
  <c r="J713" i="78" s="1"/>
  <c r="D59" i="77" s="1"/>
  <c r="J670" i="78"/>
  <c r="J705" i="78" s="1"/>
  <c r="D51" i="77" s="1"/>
  <c r="V663" i="78"/>
  <c r="V698" i="78" s="1"/>
  <c r="D104" i="77" s="1"/>
  <c r="J609" i="78"/>
  <c r="J617" i="78"/>
  <c r="J605" i="78"/>
  <c r="J613" i="78"/>
  <c r="V617" i="78"/>
  <c r="V609" i="78"/>
  <c r="P613" i="78"/>
  <c r="P605" i="78"/>
  <c r="H111" i="78"/>
  <c r="V613" i="78"/>
  <c r="V605" i="78"/>
  <c r="P673" i="78"/>
  <c r="P708" i="78" s="1"/>
  <c r="D84" i="77" s="1"/>
  <c r="P681" i="78"/>
  <c r="P716" i="78" s="1"/>
  <c r="D92" i="77" s="1"/>
  <c r="P631" i="78"/>
  <c r="P678" i="78"/>
  <c r="P713" i="78" s="1"/>
  <c r="D89" i="77" s="1"/>
  <c r="P670" i="78"/>
  <c r="P705" i="78" s="1"/>
  <c r="D81" i="77" s="1"/>
  <c r="P617" i="78"/>
  <c r="P609" i="78"/>
  <c r="V631" i="78"/>
  <c r="P663" i="78"/>
  <c r="P698" i="78" s="1"/>
  <c r="D74" i="77" s="1"/>
  <c r="V599" i="78"/>
  <c r="P599" i="78"/>
  <c r="G113" i="78" l="1"/>
  <c r="S82" i="78"/>
  <c r="B10" i="78"/>
  <c r="C10" i="78" s="1"/>
  <c r="F137" i="78"/>
  <c r="AD73" i="78"/>
  <c r="W72" i="78"/>
  <c r="I137" i="78"/>
  <c r="I146" i="78"/>
  <c r="Q122" i="78"/>
  <c r="T81" i="78"/>
  <c r="Z76" i="78"/>
  <c r="D75" i="78"/>
  <c r="I126" i="78"/>
  <c r="H149" i="78"/>
  <c r="O127" i="78"/>
  <c r="AF76" i="78"/>
  <c r="C120" i="78"/>
  <c r="V75" i="78"/>
  <c r="P132" i="78"/>
  <c r="K122" i="78"/>
  <c r="I118" i="78"/>
  <c r="M127" i="78"/>
  <c r="J141" i="78"/>
  <c r="Q121" i="78"/>
  <c r="E73" i="78"/>
  <c r="I141" i="78"/>
  <c r="D150" i="78"/>
  <c r="L123" i="78"/>
  <c r="AF80" i="78"/>
  <c r="J150" i="78"/>
  <c r="E150" i="78"/>
  <c r="L140" i="78"/>
  <c r="H75" i="78"/>
  <c r="W76" i="78"/>
  <c r="K147" i="78"/>
  <c r="Q132" i="78"/>
  <c r="Q140" i="78"/>
  <c r="AA81" i="78"/>
  <c r="K134" i="78"/>
  <c r="C147" i="78"/>
  <c r="E132" i="78"/>
  <c r="P119" i="78"/>
  <c r="F72" i="78"/>
  <c r="I149" i="78"/>
  <c r="E147" i="78"/>
  <c r="K148" i="78"/>
  <c r="E136" i="78"/>
  <c r="P118" i="78"/>
  <c r="B97" i="78"/>
  <c r="G146" i="78"/>
  <c r="P148" i="78"/>
  <c r="J151" i="78"/>
  <c r="F122" i="78"/>
  <c r="X74" i="78"/>
  <c r="Y74" i="78"/>
  <c r="N127" i="78"/>
  <c r="O76" i="78"/>
  <c r="E92" i="78"/>
  <c r="O133" i="78"/>
  <c r="N141" i="78"/>
  <c r="AG80" i="78"/>
  <c r="AA80" i="78"/>
  <c r="J127" i="78"/>
  <c r="Y72" i="78"/>
  <c r="U76" i="78"/>
  <c r="AG72" i="78"/>
  <c r="H81" i="78"/>
  <c r="B120" i="78"/>
  <c r="N121" i="78"/>
  <c r="E91" i="78"/>
  <c r="D76" i="78"/>
  <c r="B140" i="78"/>
  <c r="G148" i="78"/>
  <c r="E126" i="78"/>
  <c r="N155" i="78"/>
  <c r="O75" i="78"/>
  <c r="J147" i="78"/>
  <c r="B147" i="78"/>
  <c r="G127" i="78"/>
  <c r="J155" i="78"/>
  <c r="B154" i="78"/>
  <c r="K81" i="78"/>
  <c r="I132" i="78"/>
  <c r="Q149" i="78"/>
  <c r="G80" i="78"/>
  <c r="AD76" i="78"/>
  <c r="F118" i="78"/>
  <c r="E121" i="78"/>
  <c r="L132" i="78"/>
  <c r="B91" i="78"/>
  <c r="K155" i="78"/>
  <c r="F121" i="78"/>
  <c r="J126" i="78"/>
  <c r="D147" i="78"/>
  <c r="B141" i="78"/>
  <c r="O146" i="78"/>
  <c r="L133" i="78"/>
  <c r="P136" i="78"/>
  <c r="D72" i="78"/>
  <c r="T73" i="78"/>
  <c r="K141" i="78"/>
  <c r="L126" i="78"/>
  <c r="H141" i="78"/>
  <c r="G149" i="78"/>
  <c r="M74" i="78"/>
  <c r="K73" i="78"/>
  <c r="F127" i="78"/>
  <c r="Z77" i="78"/>
  <c r="B136" i="78"/>
  <c r="B122" i="78"/>
  <c r="J132" i="78"/>
  <c r="C135" i="78"/>
  <c r="V74" i="78"/>
  <c r="W81" i="78"/>
  <c r="I151" i="78"/>
  <c r="B149" i="78"/>
  <c r="D74" i="78"/>
  <c r="V76" i="78"/>
  <c r="L136" i="78"/>
  <c r="O132" i="78"/>
  <c r="M136" i="78"/>
  <c r="B92" i="78"/>
  <c r="N72" i="78"/>
  <c r="G122" i="78"/>
  <c r="C132" i="78"/>
  <c r="L73" i="78"/>
  <c r="Z74" i="78"/>
  <c r="Z75" i="78"/>
  <c r="P140" i="78"/>
  <c r="K77" i="78"/>
  <c r="M119" i="78"/>
  <c r="H74" i="78"/>
  <c r="G141" i="78"/>
  <c r="G123" i="78"/>
  <c r="D136" i="78"/>
  <c r="X81" i="78"/>
  <c r="N154" i="78"/>
  <c r="B133" i="78"/>
  <c r="C80" i="78"/>
  <c r="K150" i="78"/>
  <c r="E151" i="78"/>
  <c r="G136" i="78"/>
  <c r="F155" i="78"/>
  <c r="C134" i="78"/>
  <c r="B123" i="78"/>
  <c r="B126" i="78"/>
  <c r="J73" i="78"/>
  <c r="K146" i="78"/>
  <c r="B119" i="78"/>
  <c r="Q148" i="78"/>
  <c r="F140" i="78"/>
  <c r="V77" i="78"/>
  <c r="K151" i="78"/>
  <c r="J76" i="78"/>
  <c r="O119" i="78"/>
  <c r="H146" i="78"/>
  <c r="C141" i="78"/>
  <c r="B146" i="78"/>
  <c r="K137" i="78"/>
  <c r="I127" i="78"/>
  <c r="C146" i="78"/>
  <c r="F154" i="78"/>
  <c r="Y75" i="78"/>
  <c r="K154" i="78"/>
  <c r="B96" i="78"/>
  <c r="M146" i="78"/>
  <c r="X75" i="78"/>
  <c r="H140" i="78"/>
  <c r="B150" i="78"/>
  <c r="J75" i="78"/>
  <c r="L72" i="78"/>
  <c r="N123" i="78"/>
  <c r="E149" i="78"/>
  <c r="E155" i="78"/>
  <c r="H155" i="78"/>
  <c r="L81" i="78"/>
  <c r="D134" i="78"/>
  <c r="B90" i="78"/>
  <c r="B88" i="78"/>
  <c r="N133" i="78"/>
  <c r="V72" i="78"/>
  <c r="Q127" i="78"/>
  <c r="C76" i="78"/>
  <c r="E146" i="78"/>
  <c r="N119" i="78"/>
  <c r="N135" i="78"/>
  <c r="L141" i="78"/>
  <c r="Q136" i="78"/>
  <c r="F75" i="78"/>
  <c r="P154" i="78"/>
  <c r="P146" i="78"/>
  <c r="AD81" i="78"/>
  <c r="C126" i="78"/>
  <c r="O118" i="78"/>
  <c r="N120" i="78"/>
  <c r="AG81" i="78"/>
  <c r="I154" i="78"/>
  <c r="F148" i="78"/>
  <c r="H134" i="78"/>
  <c r="J133" i="78"/>
  <c r="U73" i="78"/>
  <c r="K72" i="78"/>
  <c r="M134" i="78"/>
  <c r="J134" i="78"/>
  <c r="G118" i="78"/>
  <c r="P133" i="78"/>
  <c r="I148" i="78"/>
  <c r="N81" i="78"/>
  <c r="C74" i="78"/>
  <c r="E135" i="78"/>
  <c r="H119" i="78"/>
  <c r="C127" i="78"/>
  <c r="G155" i="78"/>
  <c r="O155" i="78"/>
  <c r="F123" i="78"/>
  <c r="Q151" i="78"/>
  <c r="M133" i="78"/>
  <c r="M148" i="78"/>
  <c r="G75" i="78"/>
  <c r="U81" i="78"/>
  <c r="J80" i="78"/>
  <c r="Q147" i="78"/>
  <c r="O72" i="78"/>
  <c r="F150" i="78"/>
  <c r="F135" i="78"/>
  <c r="B72" i="78"/>
  <c r="O149" i="78"/>
  <c r="D146" i="78"/>
  <c r="E97" i="78"/>
  <c r="M122" i="78"/>
  <c r="C149" i="78"/>
  <c r="K76" i="78"/>
  <c r="E122" i="78"/>
  <c r="N74" i="78"/>
  <c r="D155" i="78"/>
  <c r="M121" i="78"/>
  <c r="D149" i="78"/>
  <c r="H76" i="78"/>
  <c r="O150" i="78"/>
  <c r="AG73" i="78"/>
  <c r="P74" i="78"/>
  <c r="N150" i="78"/>
  <c r="AD80" i="78"/>
  <c r="N75" i="78"/>
  <c r="L148" i="78"/>
  <c r="L119" i="78"/>
  <c r="J135" i="78"/>
  <c r="B80" i="78"/>
  <c r="P135" i="78"/>
  <c r="J74" i="78"/>
  <c r="I119" i="78"/>
  <c r="F73" i="78"/>
  <c r="AA75" i="78"/>
  <c r="L147" i="78"/>
  <c r="O81" i="78"/>
  <c r="W75" i="78"/>
  <c r="K133" i="78"/>
  <c r="Q146" i="78"/>
  <c r="AD72" i="78"/>
  <c r="O147" i="78"/>
  <c r="Q137" i="78"/>
  <c r="P80" i="78"/>
  <c r="Q134" i="78"/>
  <c r="U72" i="78"/>
  <c r="G74" i="78"/>
  <c r="I136" i="78"/>
  <c r="AE73" i="78"/>
  <c r="Y80" i="78"/>
  <c r="Q150" i="78"/>
  <c r="L146" i="78"/>
  <c r="N137" i="78"/>
  <c r="G140" i="78"/>
  <c r="X73" i="78"/>
  <c r="C137" i="78"/>
  <c r="N140" i="78"/>
  <c r="D119" i="78"/>
  <c r="F149" i="78"/>
  <c r="K127" i="78"/>
  <c r="O136" i="78"/>
  <c r="F147" i="78"/>
  <c r="O122" i="78"/>
  <c r="I147" i="78"/>
  <c r="O121" i="78"/>
  <c r="L154" i="78"/>
  <c r="E88" i="78"/>
  <c r="O137" i="78"/>
  <c r="G150" i="78"/>
  <c r="H151" i="78"/>
  <c r="G151" i="78"/>
  <c r="AA72" i="78"/>
  <c r="F151" i="78"/>
  <c r="H148" i="78"/>
  <c r="P76" i="78"/>
  <c r="L120" i="78"/>
  <c r="AA76" i="78"/>
  <c r="B151" i="78"/>
  <c r="D80" i="78"/>
  <c r="M151" i="78"/>
  <c r="L137" i="78"/>
  <c r="L122" i="78"/>
  <c r="D81" i="78"/>
  <c r="P123" i="78"/>
  <c r="M118" i="78"/>
  <c r="Z80" i="78"/>
  <c r="G32" i="78"/>
  <c r="N132" i="78"/>
  <c r="T74" i="78"/>
  <c r="D127" i="78"/>
  <c r="C119" i="78"/>
  <c r="O73" i="78"/>
  <c r="Q154" i="78"/>
  <c r="X76" i="78"/>
  <c r="B89" i="78"/>
  <c r="G137" i="78"/>
  <c r="L134" i="78"/>
  <c r="Q155" i="78"/>
  <c r="L150" i="78"/>
  <c r="J146" i="78"/>
  <c r="D132" i="78"/>
  <c r="C155" i="78"/>
  <c r="B73" i="78"/>
  <c r="AD75" i="78"/>
  <c r="I135" i="78"/>
  <c r="J120" i="78"/>
  <c r="E140" i="78"/>
  <c r="E154" i="78"/>
  <c r="F146" i="78"/>
  <c r="M155" i="78"/>
  <c r="U74" i="78"/>
  <c r="G121" i="78"/>
  <c r="K75" i="78"/>
  <c r="P149" i="78"/>
  <c r="K80" i="78"/>
  <c r="C148" i="78"/>
  <c r="G27" i="78"/>
  <c r="L135" i="78"/>
  <c r="M140" i="78"/>
  <c r="E141" i="78"/>
  <c r="D154" i="78"/>
  <c r="V73" i="78"/>
  <c r="L127" i="78"/>
  <c r="O123" i="78"/>
  <c r="B132" i="78"/>
  <c r="B137" i="78"/>
  <c r="W73" i="78"/>
  <c r="N118" i="78"/>
  <c r="N146" i="78"/>
  <c r="M73" i="78"/>
  <c r="J72" i="78"/>
  <c r="X80" i="78"/>
  <c r="B134" i="78"/>
  <c r="O80" i="78"/>
  <c r="Q141" i="78"/>
  <c r="N80" i="78"/>
  <c r="AE72" i="78"/>
  <c r="K140" i="78"/>
  <c r="J118" i="78"/>
  <c r="D137" i="78"/>
  <c r="F76" i="78"/>
  <c r="T80" i="78"/>
  <c r="J121" i="78"/>
  <c r="C121" i="78"/>
  <c r="L151" i="78"/>
  <c r="H121" i="78"/>
  <c r="F120" i="78"/>
  <c r="M147" i="78"/>
  <c r="M72" i="78"/>
  <c r="H133" i="78"/>
  <c r="C151" i="78"/>
  <c r="C73" i="78"/>
  <c r="AE81" i="78"/>
  <c r="K120" i="78"/>
  <c r="Y81" i="78"/>
  <c r="Q135" i="78"/>
  <c r="T75" i="78"/>
  <c r="E75" i="78"/>
  <c r="L149" i="78"/>
  <c r="M126" i="78"/>
  <c r="M150" i="78"/>
  <c r="L77" i="78"/>
  <c r="D126" i="78"/>
  <c r="K135" i="78"/>
  <c r="I140" i="78"/>
  <c r="N76" i="78"/>
  <c r="C136" i="78"/>
  <c r="E118" i="78"/>
  <c r="O134" i="78"/>
  <c r="AE80" i="78"/>
  <c r="I122" i="78"/>
  <c r="H126" i="78"/>
  <c r="P121" i="78"/>
  <c r="F132" i="78"/>
  <c r="N149" i="78"/>
  <c r="L76" i="78"/>
  <c r="G73" i="78"/>
  <c r="P141" i="78"/>
  <c r="K132" i="78"/>
  <c r="M81" i="78"/>
  <c r="E90" i="78"/>
  <c r="E81" i="78"/>
  <c r="J122" i="78"/>
  <c r="B121" i="78"/>
  <c r="T72" i="78"/>
  <c r="M137" i="78"/>
  <c r="O141" i="78"/>
  <c r="E74" i="78"/>
  <c r="B155" i="78"/>
  <c r="H127" i="78"/>
  <c r="X72" i="78"/>
  <c r="N148" i="78"/>
  <c r="E72" i="78"/>
  <c r="O126" i="78"/>
  <c r="L75" i="78"/>
  <c r="K74" i="78"/>
  <c r="E120" i="78"/>
  <c r="C81" i="78"/>
  <c r="J140" i="78"/>
  <c r="Z73" i="78"/>
  <c r="K149" i="78"/>
  <c r="L155" i="78"/>
  <c r="K123" i="78"/>
  <c r="N73" i="78"/>
  <c r="I133" i="78"/>
  <c r="D121" i="78"/>
  <c r="C75" i="78"/>
  <c r="G126" i="78"/>
  <c r="I123" i="78"/>
  <c r="AF75" i="78"/>
  <c r="H136" i="78"/>
  <c r="D148" i="78"/>
  <c r="M149" i="78"/>
  <c r="H120" i="78"/>
  <c r="E123" i="78"/>
  <c r="F80" i="78"/>
  <c r="P150" i="78"/>
  <c r="G72" i="78"/>
  <c r="B127" i="78"/>
  <c r="AE74" i="78"/>
  <c r="P120" i="78"/>
  <c r="F136" i="78"/>
  <c r="U80" i="78"/>
  <c r="O151" i="78"/>
  <c r="H72" i="78"/>
  <c r="D133" i="78"/>
  <c r="B76" i="78"/>
  <c r="B135" i="78"/>
  <c r="O148" i="78"/>
  <c r="AF72" i="78"/>
  <c r="D151" i="78"/>
  <c r="O154" i="78"/>
  <c r="E96" i="78"/>
  <c r="F74" i="78"/>
  <c r="O120" i="78"/>
  <c r="H123" i="78"/>
  <c r="Q118" i="78"/>
  <c r="M135" i="78"/>
  <c r="T76" i="78"/>
  <c r="O74" i="78"/>
  <c r="J136" i="78"/>
  <c r="E133" i="78"/>
  <c r="O140" i="78"/>
  <c r="D123" i="78"/>
  <c r="G119" i="78"/>
  <c r="H80" i="78"/>
  <c r="K118" i="78"/>
  <c r="J119" i="78"/>
  <c r="H73" i="78"/>
  <c r="P122" i="78"/>
  <c r="I134" i="78"/>
  <c r="K121" i="78"/>
  <c r="W74" i="78"/>
  <c r="E148" i="78"/>
  <c r="M154" i="78"/>
  <c r="E76" i="78"/>
  <c r="P147" i="78"/>
  <c r="AA73" i="78"/>
  <c r="K136" i="78"/>
  <c r="N134" i="78"/>
  <c r="B118" i="78"/>
  <c r="C150" i="78"/>
  <c r="N151" i="78"/>
  <c r="N136" i="78"/>
  <c r="I155" i="78"/>
  <c r="J154" i="78"/>
  <c r="N126" i="78"/>
  <c r="F133" i="78"/>
  <c r="M120" i="78"/>
  <c r="G133" i="78"/>
  <c r="I121" i="78"/>
  <c r="W80" i="78"/>
  <c r="O135" i="78"/>
  <c r="G76" i="78"/>
  <c r="P73" i="78"/>
  <c r="J77" i="78"/>
  <c r="P134" i="78"/>
  <c r="L118" i="78"/>
  <c r="F141" i="78"/>
  <c r="P126" i="78"/>
  <c r="F81" i="78"/>
  <c r="P75" i="78"/>
  <c r="D120" i="78"/>
  <c r="B81" i="78"/>
  <c r="H154" i="78"/>
  <c r="D140" i="78"/>
  <c r="N122" i="78"/>
  <c r="P72" i="78"/>
  <c r="M123" i="78"/>
  <c r="G154" i="78"/>
  <c r="K119" i="78"/>
  <c r="J137" i="78"/>
  <c r="J123" i="78"/>
  <c r="Q120" i="78"/>
  <c r="I120" i="78"/>
  <c r="B148" i="78"/>
  <c r="D122" i="78"/>
  <c r="P127" i="78"/>
  <c r="Y77" i="78"/>
  <c r="AE76" i="78"/>
  <c r="D141" i="78"/>
  <c r="C122" i="78"/>
  <c r="H132" i="78"/>
  <c r="C123" i="78"/>
  <c r="AA77" i="78"/>
  <c r="Z72" i="78"/>
  <c r="Q126" i="78"/>
  <c r="M80" i="78"/>
  <c r="H122" i="78"/>
  <c r="AF73" i="78"/>
  <c r="G132" i="78"/>
  <c r="C133" i="78"/>
  <c r="E89" i="78"/>
  <c r="C154" i="78"/>
  <c r="P155" i="78"/>
  <c r="G135" i="78"/>
  <c r="H147" i="78"/>
  <c r="M76" i="78"/>
  <c r="L121" i="78"/>
  <c r="F119" i="78"/>
  <c r="C72" i="78"/>
  <c r="E137" i="78"/>
  <c r="M141" i="78"/>
  <c r="K126" i="78"/>
  <c r="I150" i="78"/>
  <c r="E127" i="78"/>
  <c r="AG76" i="78"/>
  <c r="Y73" i="78"/>
  <c r="H137" i="78"/>
  <c r="C118" i="78"/>
  <c r="AF74" i="78"/>
  <c r="L80" i="78"/>
  <c r="Q119" i="78"/>
  <c r="P81" i="78"/>
  <c r="Y76" i="78"/>
  <c r="F134" i="78"/>
  <c r="P151" i="78"/>
  <c r="C140" i="78"/>
  <c r="H150" i="78"/>
  <c r="M132" i="78"/>
  <c r="J148" i="78"/>
  <c r="L74" i="78"/>
  <c r="G81" i="78"/>
  <c r="V80" i="78"/>
  <c r="AG75" i="78"/>
  <c r="Z81" i="78"/>
  <c r="B75" i="78"/>
  <c r="M75" i="78"/>
  <c r="D118" i="78"/>
  <c r="D135" i="78"/>
  <c r="U75" i="78"/>
  <c r="P137" i="78"/>
  <c r="G147" i="78"/>
  <c r="H118" i="78"/>
  <c r="AE75" i="78"/>
  <c r="G134" i="78"/>
  <c r="D73" i="78"/>
  <c r="J81" i="78"/>
  <c r="F126" i="78"/>
  <c r="G120" i="78"/>
  <c r="E134" i="78"/>
  <c r="E80" i="78"/>
  <c r="Q133" i="78"/>
  <c r="E119" i="78"/>
  <c r="AF81" i="78"/>
  <c r="H135" i="78"/>
  <c r="AG74" i="78"/>
  <c r="J149" i="78"/>
  <c r="AD74" i="78"/>
  <c r="B74" i="78"/>
  <c r="AA74" i="78"/>
  <c r="N147" i="78"/>
  <c r="Q123" i="78"/>
  <c r="V81" i="78"/>
  <c r="H153" i="78"/>
  <c r="H152" i="78"/>
  <c r="I152" i="78"/>
  <c r="I153" i="78"/>
  <c r="L82" i="78"/>
  <c r="L139" i="78"/>
  <c r="L138" i="78"/>
  <c r="V79" i="78"/>
  <c r="V78" i="78"/>
  <c r="H27" i="78"/>
  <c r="B139" i="78"/>
  <c r="B138" i="78"/>
  <c r="F92" i="78"/>
  <c r="E107" i="78"/>
  <c r="E95" i="78"/>
  <c r="E94" i="78"/>
  <c r="O79" i="78"/>
  <c r="O78" i="78"/>
  <c r="J152" i="78"/>
  <c r="J153" i="78"/>
  <c r="F91" i="78"/>
  <c r="E106" i="78"/>
  <c r="M79" i="78"/>
  <c r="M78" i="78"/>
  <c r="H142" i="78"/>
  <c r="C125" i="78"/>
  <c r="C124" i="78"/>
  <c r="AE78" i="78"/>
  <c r="AE79" i="78"/>
  <c r="D125" i="78"/>
  <c r="D124" i="78"/>
  <c r="P82" i="78"/>
  <c r="E128" i="78"/>
  <c r="G152" i="78"/>
  <c r="G153" i="78"/>
  <c r="N82" i="78"/>
  <c r="M139" i="78"/>
  <c r="M138" i="78"/>
  <c r="B142" i="78"/>
  <c r="Q152" i="78"/>
  <c r="Q153" i="78"/>
  <c r="Q142" i="78"/>
  <c r="W79" i="78"/>
  <c r="W78" i="78"/>
  <c r="E153" i="78"/>
  <c r="E152" i="78"/>
  <c r="B112" i="78"/>
  <c r="C97" i="78"/>
  <c r="G78" i="78"/>
  <c r="G79" i="78"/>
  <c r="K139" i="78"/>
  <c r="K138" i="78"/>
  <c r="P124" i="78"/>
  <c r="P125" i="78"/>
  <c r="J156" i="78"/>
  <c r="E93" i="78"/>
  <c r="H32" i="78"/>
  <c r="C108" i="78"/>
  <c r="E108" i="78"/>
  <c r="L125" i="78"/>
  <c r="L124" i="78"/>
  <c r="AA78" i="78"/>
  <c r="AA79" i="78"/>
  <c r="AC76" i="78"/>
  <c r="AE82" i="78"/>
  <c r="J82" i="78"/>
  <c r="U82" i="78"/>
  <c r="K124" i="78"/>
  <c r="K125" i="78"/>
  <c r="D250" i="78"/>
  <c r="D244" i="1" s="1"/>
  <c r="I179" i="78"/>
  <c r="P153" i="78"/>
  <c r="P152" i="78"/>
  <c r="H139" i="78"/>
  <c r="H138" i="78"/>
  <c r="E82" i="78"/>
  <c r="E105" i="78"/>
  <c r="F90" i="78"/>
  <c r="K142" i="78"/>
  <c r="O152" i="78"/>
  <c r="O153" i="78"/>
  <c r="E125" i="78"/>
  <c r="E124" i="78"/>
  <c r="M124" i="78"/>
  <c r="M125" i="78"/>
  <c r="B82" i="78"/>
  <c r="G139" i="78"/>
  <c r="G138" i="78"/>
  <c r="D139" i="78"/>
  <c r="D138" i="78"/>
  <c r="O128" i="78"/>
  <c r="Q138" i="78"/>
  <c r="Q139" i="78"/>
  <c r="C79" i="78"/>
  <c r="C78" i="78"/>
  <c r="O156" i="78"/>
  <c r="AG78" i="78"/>
  <c r="AE323" i="78"/>
  <c r="B111" i="78"/>
  <c r="C96" i="78"/>
  <c r="H156" i="78"/>
  <c r="M82" i="78"/>
  <c r="J128" i="78"/>
  <c r="G128" i="78"/>
  <c r="O142" i="78"/>
  <c r="B124" i="78"/>
  <c r="B125" i="78"/>
  <c r="AD82" i="78"/>
  <c r="Q156" i="78"/>
  <c r="M215" i="78"/>
  <c r="D79" i="78"/>
  <c r="D78" i="78"/>
  <c r="B153" i="78"/>
  <c r="F89" i="78"/>
  <c r="E104" i="78"/>
  <c r="H125" i="78"/>
  <c r="H124" i="78"/>
  <c r="N124" i="78"/>
  <c r="N125" i="78"/>
  <c r="L128" i="78"/>
  <c r="C139" i="78"/>
  <c r="C138" i="78"/>
  <c r="AA82" i="78"/>
  <c r="I93" i="78"/>
  <c r="V82" i="78"/>
  <c r="B98" i="78"/>
  <c r="C88" i="78"/>
  <c r="B103" i="78"/>
  <c r="P138" i="78"/>
  <c r="P139" i="78"/>
  <c r="Z78" i="78"/>
  <c r="Z79" i="78"/>
  <c r="I156" i="78"/>
  <c r="G156" i="78"/>
  <c r="P128" i="78"/>
  <c r="N138" i="78"/>
  <c r="N139" i="78"/>
  <c r="C152" i="78"/>
  <c r="C153" i="78"/>
  <c r="E78" i="78"/>
  <c r="E79" i="78"/>
  <c r="K128" i="78"/>
  <c r="T79" i="78"/>
  <c r="T78" i="78"/>
  <c r="Q128" i="78"/>
  <c r="AF82" i="78"/>
  <c r="B79" i="78"/>
  <c r="B78" i="78"/>
  <c r="H82" i="78"/>
  <c r="L152" i="78"/>
  <c r="L153" i="78"/>
  <c r="X79" i="78"/>
  <c r="X78" i="78"/>
  <c r="M128" i="78"/>
  <c r="N156" i="78"/>
  <c r="N128" i="78"/>
  <c r="C425" i="78"/>
  <c r="D142" i="78"/>
  <c r="I128" i="78"/>
  <c r="P142" i="78"/>
  <c r="F139" i="78"/>
  <c r="F138" i="78"/>
  <c r="G82" i="78"/>
  <c r="L79" i="78"/>
  <c r="L78" i="78"/>
  <c r="F142" i="78"/>
  <c r="H79" i="78"/>
  <c r="H78" i="78"/>
  <c r="K78" i="78"/>
  <c r="K79" i="78"/>
  <c r="E112" i="78"/>
  <c r="F152" i="78"/>
  <c r="F153" i="78"/>
  <c r="E103" i="78"/>
  <c r="O125" i="78"/>
  <c r="O124" i="78"/>
  <c r="L142" i="78"/>
  <c r="F128" i="78"/>
  <c r="Y377" i="78"/>
  <c r="S622" i="78" a="1"/>
  <c r="S622" i="78" s="1"/>
  <c r="S590" i="78" a="1"/>
  <c r="S590" i="78" s="1"/>
  <c r="S654" i="78" a="1"/>
  <c r="S654" i="78" s="1"/>
  <c r="S689" i="78" s="1"/>
  <c r="H113" i="78"/>
  <c r="V666" i="78"/>
  <c r="V701" i="78" s="1"/>
  <c r="D107" i="77" s="1"/>
  <c r="V634" i="78"/>
  <c r="P634" i="78"/>
  <c r="V602" i="78"/>
  <c r="P602" i="78"/>
  <c r="P666" i="78"/>
  <c r="P701" i="78" s="1"/>
  <c r="D77" i="77" s="1"/>
  <c r="AC72" i="78" l="1"/>
  <c r="I49" i="70"/>
  <c r="O52" i="69"/>
  <c r="E54" i="15"/>
  <c r="I54" i="15"/>
  <c r="K52" i="69"/>
  <c r="U52" i="69"/>
  <c r="K49" i="70"/>
  <c r="E49" i="70"/>
  <c r="M52" i="69"/>
  <c r="Y49" i="70"/>
  <c r="Q52" i="69"/>
  <c r="Q49" i="70"/>
  <c r="S52" i="69"/>
  <c r="I52" i="69"/>
  <c r="U49" i="70"/>
  <c r="K54" i="15"/>
  <c r="M49" i="70"/>
  <c r="S49" i="70"/>
  <c r="O49" i="70"/>
  <c r="G49" i="70"/>
  <c r="E52" i="69"/>
  <c r="Y52" i="69"/>
  <c r="G52" i="69"/>
  <c r="G54" i="15"/>
  <c r="H74" i="60"/>
  <c r="C74" i="60"/>
  <c r="M74" i="60"/>
  <c r="R74" i="60"/>
  <c r="Q42" i="70"/>
  <c r="G45" i="69"/>
  <c r="Q45" i="69"/>
  <c r="O42" i="70"/>
  <c r="I42" i="70"/>
  <c r="K45" i="69"/>
  <c r="O45" i="69"/>
  <c r="Y45" i="69"/>
  <c r="G47" i="15"/>
  <c r="U42" i="70"/>
  <c r="S42" i="70"/>
  <c r="E45" i="69"/>
  <c r="I45" i="69"/>
  <c r="I47" i="15"/>
  <c r="E42" i="70"/>
  <c r="M42" i="70"/>
  <c r="G42" i="70"/>
  <c r="E47" i="15"/>
  <c r="K47" i="15"/>
  <c r="K42" i="70"/>
  <c r="S45" i="69"/>
  <c r="Y42" i="70"/>
  <c r="M45" i="69"/>
  <c r="U45" i="69"/>
  <c r="I50" i="70"/>
  <c r="G82" i="70" s="1"/>
  <c r="O53" i="69"/>
  <c r="M85" i="69" s="1"/>
  <c r="U50" i="70"/>
  <c r="S82" i="70" s="1"/>
  <c r="S53" i="69"/>
  <c r="Q85" i="69" s="1"/>
  <c r="E55" i="15"/>
  <c r="C87" i="15" s="1"/>
  <c r="K55" i="15"/>
  <c r="I87" i="15" s="1"/>
  <c r="M53" i="69"/>
  <c r="K85" i="69" s="1"/>
  <c r="G55" i="15"/>
  <c r="E87" i="15" s="1"/>
  <c r="K53" i="69"/>
  <c r="I85" i="69" s="1"/>
  <c r="Q53" i="69"/>
  <c r="O85" i="69" s="1"/>
  <c r="K50" i="70"/>
  <c r="I82" i="70" s="1"/>
  <c r="O50" i="70"/>
  <c r="M82" i="70" s="1"/>
  <c r="U53" i="69"/>
  <c r="S85" i="69" s="1"/>
  <c r="I55" i="15"/>
  <c r="G87" i="15" s="1"/>
  <c r="E53" i="69"/>
  <c r="C85" i="69" s="1"/>
  <c r="Y53" i="69"/>
  <c r="W85" i="69" s="1"/>
  <c r="Y50" i="70"/>
  <c r="W82" i="70" s="1"/>
  <c r="Q50" i="70"/>
  <c r="O82" i="70" s="1"/>
  <c r="I53" i="69"/>
  <c r="G85" i="69" s="1"/>
  <c r="E50" i="70"/>
  <c r="C82" i="70" s="1"/>
  <c r="S50" i="70"/>
  <c r="Q82" i="70" s="1"/>
  <c r="G50" i="70"/>
  <c r="E82" i="70" s="1"/>
  <c r="M50" i="70"/>
  <c r="K82" i="70" s="1"/>
  <c r="G53" i="69"/>
  <c r="E85" i="69" s="1"/>
  <c r="E51" i="15"/>
  <c r="I46" i="70"/>
  <c r="E46" i="70"/>
  <c r="G51" i="15"/>
  <c r="K49" i="69"/>
  <c r="G46" i="70"/>
  <c r="G49" i="69"/>
  <c r="I49" i="69"/>
  <c r="K51" i="15"/>
  <c r="U49" i="69"/>
  <c r="Q46" i="70"/>
  <c r="E49" i="69"/>
  <c r="K46" i="70"/>
  <c r="S49" i="69"/>
  <c r="I51" i="15"/>
  <c r="Q49" i="69"/>
  <c r="Y46" i="70"/>
  <c r="O46" i="70"/>
  <c r="M46" i="70"/>
  <c r="U46" i="70"/>
  <c r="M49" i="69"/>
  <c r="S46" i="70"/>
  <c r="O49" i="69"/>
  <c r="Y49" i="69"/>
  <c r="I52" i="15"/>
  <c r="M47" i="70"/>
  <c r="S47" i="70"/>
  <c r="E50" i="69"/>
  <c r="G50" i="69"/>
  <c r="G52" i="15"/>
  <c r="I47" i="70"/>
  <c r="S50" i="69"/>
  <c r="M50" i="69"/>
  <c r="Q47" i="70"/>
  <c r="Y47" i="70"/>
  <c r="K52" i="15"/>
  <c r="U47" i="70"/>
  <c r="O47" i="70"/>
  <c r="Y50" i="69"/>
  <c r="U50" i="69"/>
  <c r="E47" i="70"/>
  <c r="I50" i="69"/>
  <c r="K47" i="70"/>
  <c r="G47" i="70"/>
  <c r="Q50" i="69"/>
  <c r="K50" i="69"/>
  <c r="E52" i="15"/>
  <c r="O50" i="69"/>
  <c r="AF50" i="54"/>
  <c r="V50" i="54"/>
  <c r="N50" i="54"/>
  <c r="D50" i="54"/>
  <c r="AC50" i="54"/>
  <c r="M44" i="70"/>
  <c r="I47" i="69"/>
  <c r="S44" i="70"/>
  <c r="E47" i="69"/>
  <c r="U47" i="69"/>
  <c r="Y44" i="70"/>
  <c r="Y47" i="69"/>
  <c r="E44" i="70"/>
  <c r="O47" i="69"/>
  <c r="U44" i="70"/>
  <c r="G44" i="70"/>
  <c r="E49" i="15"/>
  <c r="O44" i="70"/>
  <c r="Q44" i="70"/>
  <c r="I49" i="15"/>
  <c r="M47" i="69"/>
  <c r="Q47" i="69"/>
  <c r="K47" i="69"/>
  <c r="G49" i="15"/>
  <c r="K49" i="15"/>
  <c r="K44" i="70"/>
  <c r="S47" i="69"/>
  <c r="G47" i="69"/>
  <c r="I44" i="70"/>
  <c r="AF83" i="78"/>
  <c r="AD83" i="78"/>
  <c r="I46" i="69"/>
  <c r="O43" i="70"/>
  <c r="K43" i="70"/>
  <c r="E43" i="70"/>
  <c r="U43" i="70"/>
  <c r="K46" i="69"/>
  <c r="O46" i="69"/>
  <c r="K48" i="15"/>
  <c r="I48" i="15"/>
  <c r="G46" i="69"/>
  <c r="S46" i="69"/>
  <c r="G43" i="70"/>
  <c r="M46" i="69"/>
  <c r="G48" i="15"/>
  <c r="U46" i="69"/>
  <c r="M43" i="70"/>
  <c r="E46" i="69"/>
  <c r="S43" i="70"/>
  <c r="Q43" i="70"/>
  <c r="I43" i="70"/>
  <c r="Y46" i="69"/>
  <c r="E48" i="15"/>
  <c r="Y43" i="70"/>
  <c r="Q46" i="69"/>
  <c r="I53" i="15"/>
  <c r="K48" i="70"/>
  <c r="E53" i="15"/>
  <c r="E51" i="69"/>
  <c r="S51" i="69"/>
  <c r="Y51" i="69"/>
  <c r="O51" i="69"/>
  <c r="M48" i="70"/>
  <c r="Q51" i="69"/>
  <c r="G53" i="15"/>
  <c r="I48" i="70"/>
  <c r="M51" i="69"/>
  <c r="G48" i="70"/>
  <c r="K51" i="69"/>
  <c r="I51" i="69"/>
  <c r="G51" i="69"/>
  <c r="U48" i="70"/>
  <c r="Y48" i="70"/>
  <c r="O48" i="70"/>
  <c r="E48" i="70"/>
  <c r="U51" i="69"/>
  <c r="S48" i="70"/>
  <c r="Q48" i="70"/>
  <c r="K53" i="15"/>
  <c r="U52" i="70"/>
  <c r="S84" i="70" s="1"/>
  <c r="Q55" i="69"/>
  <c r="O87" i="69" s="1"/>
  <c r="M55" i="69"/>
  <c r="K87" i="69" s="1"/>
  <c r="S52" i="70"/>
  <c r="Q84" i="70" s="1"/>
  <c r="G55" i="69"/>
  <c r="E87" i="69" s="1"/>
  <c r="M52" i="70"/>
  <c r="K84" i="70" s="1"/>
  <c r="O52" i="70"/>
  <c r="M84" i="70" s="1"/>
  <c r="I55" i="69"/>
  <c r="G87" i="69" s="1"/>
  <c r="G57" i="15"/>
  <c r="E89" i="15" s="1"/>
  <c r="O55" i="69"/>
  <c r="M87" i="69" s="1"/>
  <c r="E52" i="70"/>
  <c r="C84" i="70" s="1"/>
  <c r="E55" i="69"/>
  <c r="C87" i="69" s="1"/>
  <c r="Y55" i="69"/>
  <c r="W87" i="69" s="1"/>
  <c r="Y52" i="70"/>
  <c r="W84" i="70" s="1"/>
  <c r="G52" i="70"/>
  <c r="E84" i="70" s="1"/>
  <c r="U55" i="69"/>
  <c r="S87" i="69" s="1"/>
  <c r="I52" i="70"/>
  <c r="G84" i="70" s="1"/>
  <c r="K55" i="69"/>
  <c r="I87" i="69" s="1"/>
  <c r="K57" i="15"/>
  <c r="I89" i="15" s="1"/>
  <c r="S55" i="69"/>
  <c r="Q87" i="69" s="1"/>
  <c r="Q52" i="70"/>
  <c r="O84" i="70" s="1"/>
  <c r="E57" i="15"/>
  <c r="C89" i="15" s="1"/>
  <c r="K52" i="70"/>
  <c r="I84" i="70" s="1"/>
  <c r="I57" i="15"/>
  <c r="G89" i="15" s="1"/>
  <c r="Q48" i="69"/>
  <c r="I48" i="69"/>
  <c r="Q45" i="70"/>
  <c r="Y48" i="69"/>
  <c r="O48" i="69"/>
  <c r="E48" i="69"/>
  <c r="E45" i="70"/>
  <c r="M48" i="69"/>
  <c r="O45" i="70"/>
  <c r="U48" i="69"/>
  <c r="S48" i="69"/>
  <c r="G50" i="15"/>
  <c r="S45" i="70"/>
  <c r="U45" i="70"/>
  <c r="I50" i="15"/>
  <c r="K50" i="15"/>
  <c r="K45" i="70"/>
  <c r="E50" i="15"/>
  <c r="M45" i="70"/>
  <c r="G48" i="69"/>
  <c r="I45" i="70"/>
  <c r="Y45" i="70"/>
  <c r="G45" i="70"/>
  <c r="K48" i="69"/>
  <c r="AE83" i="78"/>
  <c r="M54" i="69"/>
  <c r="K86" i="69" s="1"/>
  <c r="G56" i="15"/>
  <c r="E88" i="15" s="1"/>
  <c r="S51" i="70"/>
  <c r="Q83" i="70" s="1"/>
  <c r="E51" i="70"/>
  <c r="C83" i="70" s="1"/>
  <c r="E54" i="69"/>
  <c r="C86" i="69" s="1"/>
  <c r="I51" i="70"/>
  <c r="G83" i="70" s="1"/>
  <c r="U54" i="69"/>
  <c r="S86" i="69" s="1"/>
  <c r="K54" i="69"/>
  <c r="I86" i="69" s="1"/>
  <c r="I54" i="69"/>
  <c r="G86" i="69" s="1"/>
  <c r="O54" i="69"/>
  <c r="M86" i="69" s="1"/>
  <c r="K56" i="15"/>
  <c r="I88" i="15" s="1"/>
  <c r="I56" i="15"/>
  <c r="G88" i="15" s="1"/>
  <c r="Y54" i="69"/>
  <c r="W86" i="69" s="1"/>
  <c r="E56" i="15"/>
  <c r="C88" i="15" s="1"/>
  <c r="M51" i="70"/>
  <c r="K83" i="70" s="1"/>
  <c r="Q54" i="69"/>
  <c r="O86" i="69" s="1"/>
  <c r="Y51" i="70"/>
  <c r="W83" i="70" s="1"/>
  <c r="G51" i="70"/>
  <c r="E83" i="70" s="1"/>
  <c r="G54" i="69"/>
  <c r="E86" i="69" s="1"/>
  <c r="S54" i="69"/>
  <c r="Q86" i="69" s="1"/>
  <c r="O51" i="70"/>
  <c r="M83" i="70" s="1"/>
  <c r="Q51" i="70"/>
  <c r="O83" i="70" s="1"/>
  <c r="K51" i="70"/>
  <c r="I83" i="70" s="1"/>
  <c r="U51" i="70"/>
  <c r="S83" i="70" s="1"/>
  <c r="I200" i="78"/>
  <c r="AC78" i="78"/>
  <c r="AC74" i="78"/>
  <c r="D128" i="78"/>
  <c r="M142" i="78"/>
  <c r="Z82" i="78"/>
  <c r="B128" i="78"/>
  <c r="AC73" i="78"/>
  <c r="F156" i="78"/>
  <c r="N142" i="78"/>
  <c r="AI80" i="78"/>
  <c r="C111" i="78"/>
  <c r="C112" i="78"/>
  <c r="AI73" i="78"/>
  <c r="L156" i="78"/>
  <c r="B152" i="78"/>
  <c r="AI75" i="78"/>
  <c r="AI74" i="78"/>
  <c r="AC81" i="78"/>
  <c r="M236" i="78"/>
  <c r="G142" i="78"/>
  <c r="T82" i="78"/>
  <c r="AC80" i="78"/>
  <c r="AC79" i="78"/>
  <c r="H128" i="78"/>
  <c r="C128" i="78"/>
  <c r="AG79" i="78"/>
  <c r="AC77" i="78"/>
  <c r="X82" i="78"/>
  <c r="AI81" i="78"/>
  <c r="AC75" i="78"/>
  <c r="B156" i="78"/>
  <c r="E111" i="78"/>
  <c r="F96" i="78"/>
  <c r="P79" i="78"/>
  <c r="P78" i="78"/>
  <c r="D156" i="78"/>
  <c r="E156" i="78"/>
  <c r="J142" i="78"/>
  <c r="AD79" i="78"/>
  <c r="AD78" i="78"/>
  <c r="U78" i="78"/>
  <c r="U79" i="78"/>
  <c r="F82" i="78"/>
  <c r="D153" i="78"/>
  <c r="D152" i="78"/>
  <c r="AF79" i="78"/>
  <c r="AF78" i="78"/>
  <c r="J139" i="78"/>
  <c r="J138" i="78"/>
  <c r="N78" i="78"/>
  <c r="N79" i="78"/>
  <c r="B104" i="78"/>
  <c r="C89" i="78"/>
  <c r="O138" i="78"/>
  <c r="O139" i="78"/>
  <c r="I138" i="78"/>
  <c r="I139" i="78"/>
  <c r="O82" i="78"/>
  <c r="B95" i="78"/>
  <c r="C92" i="78"/>
  <c r="B107" i="78"/>
  <c r="B94" i="78"/>
  <c r="D82" i="78"/>
  <c r="I142" i="78"/>
  <c r="AI72" i="78"/>
  <c r="Y82" i="78"/>
  <c r="Q125" i="78"/>
  <c r="Q124" i="78"/>
  <c r="Y79" i="78"/>
  <c r="Y78" i="78"/>
  <c r="AI76" i="78"/>
  <c r="C82" i="78"/>
  <c r="AE324" i="78"/>
  <c r="C90" i="78"/>
  <c r="B105" i="78"/>
  <c r="K156" i="78"/>
  <c r="K152" i="78"/>
  <c r="K153" i="78"/>
  <c r="C142" i="78"/>
  <c r="G125" i="78"/>
  <c r="G124" i="78"/>
  <c r="AG82" i="78"/>
  <c r="AG83" i="78" s="1"/>
  <c r="E138" i="78"/>
  <c r="E139" i="78"/>
  <c r="E142" i="78"/>
  <c r="J124" i="78"/>
  <c r="J125" i="78"/>
  <c r="I125" i="78"/>
  <c r="I124" i="78"/>
  <c r="M152" i="78"/>
  <c r="M153" i="78"/>
  <c r="F79" i="78"/>
  <c r="F78" i="78"/>
  <c r="E98" i="78"/>
  <c r="F88" i="78"/>
  <c r="N152" i="78"/>
  <c r="N153" i="78"/>
  <c r="F97" i="78"/>
  <c r="K82" i="78"/>
  <c r="P156" i="78"/>
  <c r="M156" i="78"/>
  <c r="C156" i="78"/>
  <c r="J78" i="78"/>
  <c r="J79" i="78"/>
  <c r="C91" i="78"/>
  <c r="B106" i="78"/>
  <c r="F125" i="78"/>
  <c r="F124" i="78"/>
  <c r="W82" i="78"/>
  <c r="F94" i="78"/>
  <c r="K179" i="78"/>
  <c r="C179" i="78"/>
  <c r="F95" i="78"/>
  <c r="AE314" i="78"/>
  <c r="AE310" i="78"/>
  <c r="AE309" i="78"/>
  <c r="C103" i="78"/>
  <c r="E110" i="78"/>
  <c r="F107" i="78"/>
  <c r="E109" i="78"/>
  <c r="F179" i="78"/>
  <c r="L179" i="78"/>
  <c r="D88" i="78"/>
  <c r="C98" i="78"/>
  <c r="AC82" i="78"/>
  <c r="F215" i="78"/>
  <c r="D96" i="78"/>
  <c r="AG320" i="78"/>
  <c r="AE320" i="78"/>
  <c r="M77" i="78"/>
  <c r="O77" i="78"/>
  <c r="Q77" i="78"/>
  <c r="P77" i="78"/>
  <c r="N77" i="78"/>
  <c r="C93" i="78"/>
  <c r="D97" i="78"/>
  <c r="F103" i="78"/>
  <c r="F112" i="78"/>
  <c r="F104" i="78"/>
  <c r="AG316" i="78"/>
  <c r="AE316" i="78"/>
  <c r="F105" i="78"/>
  <c r="D112" i="78"/>
  <c r="G323" i="78"/>
  <c r="AG319" i="78"/>
  <c r="AE319" i="78"/>
  <c r="E179" i="78"/>
  <c r="I215" i="78"/>
  <c r="F106" i="78"/>
  <c r="T77" i="78"/>
  <c r="U77" i="78"/>
  <c r="P657" i="78"/>
  <c r="P692" i="78" s="1"/>
  <c r="D68" i="77" s="1"/>
  <c r="P625" i="78"/>
  <c r="P593" i="78"/>
  <c r="B113" i="78" l="1"/>
  <c r="W74" i="60"/>
  <c r="W86" i="60" s="1"/>
  <c r="Y57" i="70"/>
  <c r="W91" i="70" s="1"/>
  <c r="W77" i="70"/>
  <c r="C82" i="15"/>
  <c r="E62" i="15"/>
  <c r="C96" i="15" s="1"/>
  <c r="S77" i="70"/>
  <c r="U57" i="70"/>
  <c r="S91" i="70" s="1"/>
  <c r="U60" i="69"/>
  <c r="S94" i="69" s="1"/>
  <c r="S80" i="69"/>
  <c r="C80" i="69"/>
  <c r="E60" i="69"/>
  <c r="C94" i="69" s="1"/>
  <c r="I60" i="69"/>
  <c r="G94" i="69" s="1"/>
  <c r="G80" i="69"/>
  <c r="Q80" i="70"/>
  <c r="S60" i="70"/>
  <c r="Q94" i="70" s="1"/>
  <c r="Y60" i="70"/>
  <c r="W94" i="70" s="1"/>
  <c r="W80" i="70"/>
  <c r="K63" i="69"/>
  <c r="I97" i="69" s="1"/>
  <c r="I83" i="69"/>
  <c r="G65" i="15"/>
  <c r="E99" i="15" s="1"/>
  <c r="E85" i="15"/>
  <c r="Y63" i="69"/>
  <c r="W97" i="69" s="1"/>
  <c r="W83" i="69"/>
  <c r="I80" i="70"/>
  <c r="K60" i="70"/>
  <c r="I94" i="70" s="1"/>
  <c r="C80" i="15"/>
  <c r="E60" i="15"/>
  <c r="C94" i="15" s="1"/>
  <c r="Q75" i="70"/>
  <c r="S55" i="70"/>
  <c r="Q89" i="70" s="1"/>
  <c r="E80" i="15"/>
  <c r="G60" i="15"/>
  <c r="E94" i="15" s="1"/>
  <c r="G58" i="69"/>
  <c r="E92" i="69" s="1"/>
  <c r="E78" i="69"/>
  <c r="I78" i="69"/>
  <c r="K58" i="69"/>
  <c r="I92" i="69" s="1"/>
  <c r="M75" i="70"/>
  <c r="O55" i="70"/>
  <c r="M89" i="70" s="1"/>
  <c r="G76" i="70"/>
  <c r="I56" i="70"/>
  <c r="G90" i="70" s="1"/>
  <c r="K61" i="15"/>
  <c r="I95" i="15" s="1"/>
  <c r="I81" i="15"/>
  <c r="M59" i="69"/>
  <c r="K93" i="69" s="1"/>
  <c r="K79" i="69"/>
  <c r="E61" i="15"/>
  <c r="C95" i="15" s="1"/>
  <c r="C81" i="15"/>
  <c r="C76" i="70"/>
  <c r="E56" i="70"/>
  <c r="C90" i="70" s="1"/>
  <c r="C79" i="69"/>
  <c r="E59" i="69"/>
  <c r="C93" i="69" s="1"/>
  <c r="E64" i="15"/>
  <c r="C98" i="15" s="1"/>
  <c r="C84" i="15"/>
  <c r="K59" i="70"/>
  <c r="I93" i="70" s="1"/>
  <c r="I79" i="70"/>
  <c r="W82" i="69"/>
  <c r="Y62" i="69"/>
  <c r="W96" i="69" s="1"/>
  <c r="W79" i="70"/>
  <c r="Y59" i="70"/>
  <c r="W93" i="70" s="1"/>
  <c r="G79" i="70"/>
  <c r="I59" i="70"/>
  <c r="G93" i="70" s="1"/>
  <c r="Q79" i="70"/>
  <c r="S59" i="70"/>
  <c r="Q93" i="70" s="1"/>
  <c r="O61" i="69"/>
  <c r="M95" i="69" s="1"/>
  <c r="M81" i="69"/>
  <c r="M58" i="70"/>
  <c r="K92" i="70" s="1"/>
  <c r="K78" i="70"/>
  <c r="I63" i="15"/>
  <c r="G97" i="15" s="1"/>
  <c r="G83" i="15"/>
  <c r="O78" i="70"/>
  <c r="Q58" i="70"/>
  <c r="O92" i="70" s="1"/>
  <c r="E81" i="69"/>
  <c r="G61" i="69"/>
  <c r="E95" i="69" s="1"/>
  <c r="E58" i="70"/>
  <c r="C92" i="70" s="1"/>
  <c r="C78" i="70"/>
  <c r="K77" i="69"/>
  <c r="M57" i="69"/>
  <c r="K91" i="69" s="1"/>
  <c r="K59" i="15"/>
  <c r="I93" i="15" s="1"/>
  <c r="I79" i="15"/>
  <c r="E54" i="70"/>
  <c r="C88" i="70" s="1"/>
  <c r="C74" i="70"/>
  <c r="S54" i="70"/>
  <c r="Q88" i="70" s="1"/>
  <c r="Q74" i="70"/>
  <c r="M77" i="69"/>
  <c r="O57" i="69"/>
  <c r="M91" i="69" s="1"/>
  <c r="O77" i="69"/>
  <c r="Q57" i="69"/>
  <c r="O91" i="69" s="1"/>
  <c r="G66" i="15"/>
  <c r="E100" i="15" s="1"/>
  <c r="E86" i="15"/>
  <c r="G61" i="70"/>
  <c r="E95" i="70" s="1"/>
  <c r="E81" i="70"/>
  <c r="I86" i="15"/>
  <c r="K66" i="15"/>
  <c r="I100" i="15" s="1"/>
  <c r="Q61" i="70"/>
  <c r="O95" i="70" s="1"/>
  <c r="O81" i="70"/>
  <c r="C81" i="70"/>
  <c r="E61" i="70"/>
  <c r="C95" i="70" s="1"/>
  <c r="G86" i="15"/>
  <c r="I66" i="15"/>
  <c r="G100" i="15" s="1"/>
  <c r="G77" i="70"/>
  <c r="I57" i="70"/>
  <c r="G91" i="70" s="1"/>
  <c r="K57" i="70"/>
  <c r="I91" i="70" s="1"/>
  <c r="I77" i="70"/>
  <c r="Q77" i="70"/>
  <c r="S57" i="70"/>
  <c r="Q91" i="70" s="1"/>
  <c r="M77" i="70"/>
  <c r="O57" i="70"/>
  <c r="M91" i="70" s="1"/>
  <c r="M80" i="69"/>
  <c r="O60" i="69"/>
  <c r="M94" i="69" s="1"/>
  <c r="Q60" i="69"/>
  <c r="O94" i="69" s="1"/>
  <c r="O80" i="69"/>
  <c r="U63" i="69"/>
  <c r="S97" i="69" s="1"/>
  <c r="S83" i="69"/>
  <c r="U60" i="70"/>
  <c r="S94" i="70" s="1"/>
  <c r="S80" i="70"/>
  <c r="E80" i="70"/>
  <c r="G60" i="70"/>
  <c r="E94" i="70" s="1"/>
  <c r="Q63" i="69"/>
  <c r="O97" i="69" s="1"/>
  <c r="O83" i="69"/>
  <c r="Q83" i="69"/>
  <c r="S63" i="69"/>
  <c r="Q97" i="69" s="1"/>
  <c r="I65" i="15"/>
  <c r="G99" i="15" s="1"/>
  <c r="G85" i="15"/>
  <c r="Y58" i="69"/>
  <c r="W92" i="69" s="1"/>
  <c r="W78" i="69"/>
  <c r="C78" i="69"/>
  <c r="E58" i="69"/>
  <c r="C92" i="69" s="1"/>
  <c r="K78" i="69"/>
  <c r="M58" i="69"/>
  <c r="K92" i="69" s="1"/>
  <c r="G80" i="15"/>
  <c r="I60" i="15"/>
  <c r="G94" i="15" s="1"/>
  <c r="S75" i="70"/>
  <c r="U55" i="70"/>
  <c r="S89" i="70" s="1"/>
  <c r="G78" i="69"/>
  <c r="I58" i="69"/>
  <c r="G92" i="69" s="1"/>
  <c r="G59" i="69"/>
  <c r="E93" i="69" s="1"/>
  <c r="E79" i="69"/>
  <c r="G61" i="15"/>
  <c r="E95" i="15" s="1"/>
  <c r="E81" i="15"/>
  <c r="I61" i="15"/>
  <c r="G95" i="15" s="1"/>
  <c r="G81" i="15"/>
  <c r="E76" i="70"/>
  <c r="G56" i="70"/>
  <c r="E90" i="70" s="1"/>
  <c r="W79" i="69"/>
  <c r="Y59" i="69"/>
  <c r="W93" i="69" s="1"/>
  <c r="Q76" i="70"/>
  <c r="S56" i="70"/>
  <c r="Q90" i="70" s="1"/>
  <c r="I82" i="69"/>
  <c r="K62" i="69"/>
  <c r="I96" i="69" s="1"/>
  <c r="I62" i="69"/>
  <c r="G96" i="69" s="1"/>
  <c r="G82" i="69"/>
  <c r="M79" i="70"/>
  <c r="O59" i="70"/>
  <c r="M93" i="70" s="1"/>
  <c r="O79" i="70"/>
  <c r="Q59" i="70"/>
  <c r="O93" i="70" s="1"/>
  <c r="E84" i="15"/>
  <c r="G64" i="15"/>
  <c r="E98" i="15" s="1"/>
  <c r="K79" i="70"/>
  <c r="M59" i="70"/>
  <c r="K93" i="70" s="1"/>
  <c r="Q78" i="70"/>
  <c r="S58" i="70"/>
  <c r="Q92" i="70" s="1"/>
  <c r="O58" i="70"/>
  <c r="M92" i="70" s="1"/>
  <c r="M78" i="70"/>
  <c r="Q81" i="69"/>
  <c r="S61" i="69"/>
  <c r="Q95" i="69" s="1"/>
  <c r="S81" i="69"/>
  <c r="U61" i="69"/>
  <c r="S95" i="69" s="1"/>
  <c r="G58" i="70"/>
  <c r="E92" i="70" s="1"/>
  <c r="E78" i="70"/>
  <c r="I58" i="70"/>
  <c r="G92" i="70" s="1"/>
  <c r="G78" i="70"/>
  <c r="Y54" i="70"/>
  <c r="W88" i="70" s="1"/>
  <c r="W74" i="70"/>
  <c r="E59" i="15"/>
  <c r="C93" i="15" s="1"/>
  <c r="C79" i="15"/>
  <c r="I59" i="15"/>
  <c r="G93" i="15" s="1"/>
  <c r="G79" i="15"/>
  <c r="U54" i="70"/>
  <c r="S88" i="70" s="1"/>
  <c r="S74" i="70"/>
  <c r="K57" i="69"/>
  <c r="I91" i="69" s="1"/>
  <c r="I77" i="69"/>
  <c r="E77" i="69"/>
  <c r="E88" i="69" s="1"/>
  <c r="G57" i="69"/>
  <c r="E91" i="69" s="1"/>
  <c r="E84" i="69"/>
  <c r="G64" i="69"/>
  <c r="E98" i="69" s="1"/>
  <c r="M81" i="70"/>
  <c r="O61" i="70"/>
  <c r="M95" i="70" s="1"/>
  <c r="U61" i="70"/>
  <c r="S95" i="70" s="1"/>
  <c r="S81" i="70"/>
  <c r="Q64" i="69"/>
  <c r="O98" i="69" s="1"/>
  <c r="O84" i="69"/>
  <c r="I81" i="70"/>
  <c r="K61" i="70"/>
  <c r="I95" i="70" s="1"/>
  <c r="E66" i="15"/>
  <c r="C100" i="15" s="1"/>
  <c r="C86" i="15"/>
  <c r="G93" i="78"/>
  <c r="R77" i="78"/>
  <c r="I80" i="69"/>
  <c r="K60" i="69"/>
  <c r="I94" i="69" s="1"/>
  <c r="E80" i="69"/>
  <c r="G60" i="69"/>
  <c r="E94" i="69" s="1"/>
  <c r="I82" i="15"/>
  <c r="K62" i="15"/>
  <c r="I96" i="15" s="1"/>
  <c r="E82" i="15"/>
  <c r="G62" i="15"/>
  <c r="E96" i="15" s="1"/>
  <c r="K80" i="69"/>
  <c r="M60" i="69"/>
  <c r="K94" i="69" s="1"/>
  <c r="Y60" i="69"/>
  <c r="W94" i="69" s="1"/>
  <c r="W80" i="69"/>
  <c r="K65" i="15"/>
  <c r="I99" i="15" s="1"/>
  <c r="I85" i="15"/>
  <c r="E60" i="70"/>
  <c r="C94" i="70" s="1"/>
  <c r="C80" i="70"/>
  <c r="E83" i="69"/>
  <c r="G63" i="69"/>
  <c r="E97" i="69" s="1"/>
  <c r="M63" i="69"/>
  <c r="K97" i="69" s="1"/>
  <c r="K83" i="69"/>
  <c r="K80" i="70"/>
  <c r="M60" i="70"/>
  <c r="K94" i="70" s="1"/>
  <c r="E63" i="69"/>
  <c r="C97" i="69" s="1"/>
  <c r="C83" i="69"/>
  <c r="O78" i="69"/>
  <c r="Q58" i="69"/>
  <c r="O92" i="69" s="1"/>
  <c r="I55" i="70"/>
  <c r="G89" i="70" s="1"/>
  <c r="G75" i="70"/>
  <c r="K75" i="70"/>
  <c r="M55" i="70"/>
  <c r="K89" i="70" s="1"/>
  <c r="G55" i="70"/>
  <c r="E89" i="70" s="1"/>
  <c r="E75" i="70"/>
  <c r="I80" i="15"/>
  <c r="K60" i="15"/>
  <c r="I94" i="15" s="1"/>
  <c r="C75" i="70"/>
  <c r="C85" i="70" s="1"/>
  <c r="E55" i="70"/>
  <c r="C89" i="70" s="1"/>
  <c r="S59" i="69"/>
  <c r="Q93" i="69" s="1"/>
  <c r="Q79" i="69"/>
  <c r="K59" i="69"/>
  <c r="I93" i="69" s="1"/>
  <c r="I79" i="69"/>
  <c r="O76" i="70"/>
  <c r="Q56" i="70"/>
  <c r="O90" i="70" s="1"/>
  <c r="U56" i="70"/>
  <c r="S90" i="70" s="1"/>
  <c r="S76" i="70"/>
  <c r="Y56" i="70"/>
  <c r="W90" i="70" s="1"/>
  <c r="W76" i="70"/>
  <c r="G79" i="69"/>
  <c r="I59" i="69"/>
  <c r="G93" i="69" s="1"/>
  <c r="O82" i="69"/>
  <c r="Q62" i="69"/>
  <c r="O96" i="69" s="1"/>
  <c r="E59" i="70"/>
  <c r="C93" i="70" s="1"/>
  <c r="C79" i="70"/>
  <c r="U59" i="70"/>
  <c r="S93" i="70" s="1"/>
  <c r="S79" i="70"/>
  <c r="K82" i="69"/>
  <c r="M62" i="69"/>
  <c r="K96" i="69" s="1"/>
  <c r="E82" i="69"/>
  <c r="G62" i="69"/>
  <c r="E96" i="69" s="1"/>
  <c r="I64" i="15"/>
  <c r="G98" i="15" s="1"/>
  <c r="G84" i="15"/>
  <c r="M61" i="69"/>
  <c r="K95" i="69" s="1"/>
  <c r="K81" i="69"/>
  <c r="Y58" i="70"/>
  <c r="W92" i="70" s="1"/>
  <c r="W78" i="70"/>
  <c r="I78" i="70"/>
  <c r="K58" i="70"/>
  <c r="I92" i="70" s="1"/>
  <c r="K63" i="15"/>
  <c r="I97" i="15" s="1"/>
  <c r="I83" i="15"/>
  <c r="K61" i="69"/>
  <c r="I95" i="69" s="1"/>
  <c r="I81" i="69"/>
  <c r="E63" i="15"/>
  <c r="C97" i="15" s="1"/>
  <c r="C83" i="15"/>
  <c r="S57" i="69"/>
  <c r="Q91" i="69" s="1"/>
  <c r="Q77" i="69"/>
  <c r="G54" i="70"/>
  <c r="E88" i="70" s="1"/>
  <c r="E74" i="70"/>
  <c r="G77" i="69"/>
  <c r="I57" i="69"/>
  <c r="G91" i="69" s="1"/>
  <c r="G59" i="15"/>
  <c r="E93" i="15" s="1"/>
  <c r="E79" i="15"/>
  <c r="I54" i="70"/>
  <c r="G88" i="70" s="1"/>
  <c r="G74" i="70"/>
  <c r="Q54" i="70"/>
  <c r="O88" i="70" s="1"/>
  <c r="O74" i="70"/>
  <c r="Y64" i="69"/>
  <c r="W98" i="69" s="1"/>
  <c r="W84" i="69"/>
  <c r="S61" i="70"/>
  <c r="Q95" i="70" s="1"/>
  <c r="Q81" i="70"/>
  <c r="G84" i="69"/>
  <c r="I64" i="69"/>
  <c r="G98" i="69" s="1"/>
  <c r="Y61" i="70"/>
  <c r="W95" i="70" s="1"/>
  <c r="W81" i="70"/>
  <c r="S84" i="69"/>
  <c r="U64" i="69"/>
  <c r="S98" i="69" s="1"/>
  <c r="M84" i="69"/>
  <c r="O64" i="69"/>
  <c r="M98" i="69" s="1"/>
  <c r="G108" i="78"/>
  <c r="S77" i="78"/>
  <c r="E77" i="70"/>
  <c r="G57" i="70"/>
  <c r="E91" i="70" s="1"/>
  <c r="K77" i="70"/>
  <c r="M57" i="70"/>
  <c r="K91" i="70" s="1"/>
  <c r="G82" i="15"/>
  <c r="I62" i="15"/>
  <c r="G96" i="15" s="1"/>
  <c r="Q80" i="69"/>
  <c r="S60" i="69"/>
  <c r="Q94" i="69" s="1"/>
  <c r="E57" i="70"/>
  <c r="C91" i="70" s="1"/>
  <c r="C77" i="70"/>
  <c r="O77" i="70"/>
  <c r="Q57" i="70"/>
  <c r="O91" i="70" s="1"/>
  <c r="Q60" i="70"/>
  <c r="O94" i="70" s="1"/>
  <c r="O80" i="70"/>
  <c r="M80" i="70"/>
  <c r="O60" i="70"/>
  <c r="M94" i="70" s="1"/>
  <c r="G83" i="69"/>
  <c r="I63" i="69"/>
  <c r="G97" i="69" s="1"/>
  <c r="I60" i="70"/>
  <c r="G94" i="70" s="1"/>
  <c r="G80" i="70"/>
  <c r="M83" i="69"/>
  <c r="O63" i="69"/>
  <c r="M97" i="69" s="1"/>
  <c r="C85" i="15"/>
  <c r="E65" i="15"/>
  <c r="C99" i="15" s="1"/>
  <c r="W75" i="70"/>
  <c r="Y55" i="70"/>
  <c r="W89" i="70" s="1"/>
  <c r="Q55" i="70"/>
  <c r="O89" i="70" s="1"/>
  <c r="O75" i="70"/>
  <c r="U58" i="69"/>
  <c r="S92" i="69" s="1"/>
  <c r="S78" i="69"/>
  <c r="Q78" i="69"/>
  <c r="S58" i="69"/>
  <c r="Q92" i="69" s="1"/>
  <c r="M78" i="69"/>
  <c r="O58" i="69"/>
  <c r="M92" i="69" s="1"/>
  <c r="K55" i="70"/>
  <c r="I89" i="70" s="1"/>
  <c r="I75" i="70"/>
  <c r="I76" i="70"/>
  <c r="K56" i="70"/>
  <c r="I90" i="70" s="1"/>
  <c r="Q59" i="69"/>
  <c r="O93" i="69" s="1"/>
  <c r="O79" i="69"/>
  <c r="O56" i="70"/>
  <c r="M90" i="70" s="1"/>
  <c r="M76" i="70"/>
  <c r="O59" i="69"/>
  <c r="M93" i="69" s="1"/>
  <c r="M79" i="69"/>
  <c r="S79" i="69"/>
  <c r="U59" i="69"/>
  <c r="S93" i="69" s="1"/>
  <c r="K76" i="70"/>
  <c r="M56" i="70"/>
  <c r="K90" i="70" s="1"/>
  <c r="O62" i="69"/>
  <c r="M96" i="69" s="1"/>
  <c r="M82" i="69"/>
  <c r="E79" i="70"/>
  <c r="G59" i="70"/>
  <c r="E93" i="70" s="1"/>
  <c r="U62" i="69"/>
  <c r="S96" i="69" s="1"/>
  <c r="S82" i="69"/>
  <c r="K64" i="15"/>
  <c r="I98" i="15" s="1"/>
  <c r="I84" i="15"/>
  <c r="S62" i="69"/>
  <c r="Q96" i="69" s="1"/>
  <c r="Q82" i="69"/>
  <c r="E62" i="69"/>
  <c r="C96" i="69" s="1"/>
  <c r="C82" i="69"/>
  <c r="W81" i="69"/>
  <c r="Y61" i="69"/>
  <c r="W95" i="69" s="1"/>
  <c r="U58" i="70"/>
  <c r="S92" i="70" s="1"/>
  <c r="S78" i="70"/>
  <c r="O81" i="69"/>
  <c r="Q61" i="69"/>
  <c r="O95" i="69" s="1"/>
  <c r="C81" i="69"/>
  <c r="E61" i="69"/>
  <c r="C95" i="69" s="1"/>
  <c r="G81" i="69"/>
  <c r="I61" i="69"/>
  <c r="G95" i="69" s="1"/>
  <c r="G63" i="15"/>
  <c r="E97" i="15" s="1"/>
  <c r="E83" i="15"/>
  <c r="S77" i="69"/>
  <c r="U57" i="69"/>
  <c r="S91" i="69" s="1"/>
  <c r="K54" i="70"/>
  <c r="I88" i="70" s="1"/>
  <c r="I74" i="70"/>
  <c r="I85" i="70" s="1"/>
  <c r="K74" i="70"/>
  <c r="K85" i="70" s="1"/>
  <c r="K86" i="70" s="1"/>
  <c r="M54" i="70"/>
  <c r="K88" i="70" s="1"/>
  <c r="C77" i="69"/>
  <c r="E57" i="69"/>
  <c r="C91" i="69" s="1"/>
  <c r="Y57" i="69"/>
  <c r="W91" i="69" s="1"/>
  <c r="W77" i="69"/>
  <c r="O54" i="70"/>
  <c r="M88" i="70" s="1"/>
  <c r="M74" i="70"/>
  <c r="C84" i="69"/>
  <c r="E64" i="69"/>
  <c r="C98" i="69" s="1"/>
  <c r="K81" i="70"/>
  <c r="M61" i="70"/>
  <c r="K95" i="70" s="1"/>
  <c r="S64" i="69"/>
  <c r="Q98" i="69" s="1"/>
  <c r="Q84" i="69"/>
  <c r="M64" i="69"/>
  <c r="K98" i="69" s="1"/>
  <c r="K84" i="69"/>
  <c r="I84" i="69"/>
  <c r="K64" i="69"/>
  <c r="I98" i="69" s="1"/>
  <c r="I61" i="70"/>
  <c r="G95" i="70" s="1"/>
  <c r="G81" i="70"/>
  <c r="L200" i="78"/>
  <c r="C106" i="78"/>
  <c r="F98" i="78"/>
  <c r="AI78" i="78"/>
  <c r="K200" i="78"/>
  <c r="C105" i="78"/>
  <c r="AI79" i="78"/>
  <c r="F236" i="78"/>
  <c r="C104" i="78"/>
  <c r="D111" i="78"/>
  <c r="I236" i="78"/>
  <c r="AE312" i="78"/>
  <c r="AE315" i="78"/>
  <c r="AG315" i="78"/>
  <c r="AE325" i="78"/>
  <c r="D90" i="78"/>
  <c r="B109" i="78"/>
  <c r="B110" i="78"/>
  <c r="C107" i="78"/>
  <c r="D91" i="78"/>
  <c r="H179" i="78"/>
  <c r="AE317" i="78"/>
  <c r="AG317" i="78"/>
  <c r="AI82" i="78"/>
  <c r="AI83" i="78" s="1"/>
  <c r="AG318" i="78"/>
  <c r="AE318" i="78"/>
  <c r="D92" i="78"/>
  <c r="E113" i="78"/>
  <c r="F111" i="78"/>
  <c r="D95" i="78"/>
  <c r="C95" i="78"/>
  <c r="D89" i="78"/>
  <c r="AE326" i="78"/>
  <c r="D94" i="78"/>
  <c r="C94" i="78"/>
  <c r="V625" i="78"/>
  <c r="E200" i="78"/>
  <c r="K319" i="78"/>
  <c r="AG322" i="78"/>
  <c r="AE322" i="78"/>
  <c r="K236" i="78"/>
  <c r="G319" i="78"/>
  <c r="F109" i="78"/>
  <c r="H460" i="78"/>
  <c r="J593" i="78"/>
  <c r="J657" i="78"/>
  <c r="J692" i="78" s="1"/>
  <c r="D38" i="77" s="1"/>
  <c r="G30" i="78"/>
  <c r="AG321" i="78"/>
  <c r="AE321" i="78"/>
  <c r="F110" i="78"/>
  <c r="V593" i="78"/>
  <c r="F200" i="78"/>
  <c r="J625" i="78"/>
  <c r="D629" i="78"/>
  <c r="D625" i="78"/>
  <c r="V657" i="78"/>
  <c r="V692" i="78" s="1"/>
  <c r="D98" i="77" s="1"/>
  <c r="D103" i="78"/>
  <c r="C113" i="78"/>
  <c r="G315" i="78"/>
  <c r="K325" i="78"/>
  <c r="D597" i="78"/>
  <c r="D593" i="78"/>
  <c r="G318" i="78"/>
  <c r="C313" i="78"/>
  <c r="D236" i="78"/>
  <c r="G320" i="78"/>
  <c r="G317" i="78"/>
  <c r="G316" i="78"/>
  <c r="G325" i="78"/>
  <c r="D179" i="78"/>
  <c r="C200" i="78"/>
  <c r="Q85" i="70" l="1"/>
  <c r="C88" i="69"/>
  <c r="M85" i="70"/>
  <c r="M86" i="70" s="1"/>
  <c r="S88" i="69"/>
  <c r="S89" i="69" s="1"/>
  <c r="G90" i="15"/>
  <c r="G91" i="15" s="1"/>
  <c r="G85" i="70"/>
  <c r="C86" i="70"/>
  <c r="E90" i="15"/>
  <c r="E91" i="15" s="1"/>
  <c r="C90" i="15"/>
  <c r="C91" i="15" s="1"/>
  <c r="I86" i="70"/>
  <c r="S85" i="70"/>
  <c r="S86" i="70" s="1"/>
  <c r="M88" i="69"/>
  <c r="M89" i="69" s="1"/>
  <c r="G86" i="70"/>
  <c r="E89" i="69"/>
  <c r="O88" i="69"/>
  <c r="O89" i="69" s="1"/>
  <c r="C89" i="69"/>
  <c r="O85" i="70"/>
  <c r="O86" i="70" s="1"/>
  <c r="W85" i="70"/>
  <c r="W86" i="70" s="1"/>
  <c r="Q88" i="69"/>
  <c r="Q89" i="69" s="1"/>
  <c r="W88" i="69"/>
  <c r="W89" i="69" s="1"/>
  <c r="K88" i="69"/>
  <c r="K89" i="69" s="1"/>
  <c r="I88" i="69"/>
  <c r="I89" i="69" s="1"/>
  <c r="E85" i="70"/>
  <c r="E86" i="70" s="1"/>
  <c r="Q86" i="70"/>
  <c r="I90" i="15"/>
  <c r="I91" i="15" s="1"/>
  <c r="G88" i="69"/>
  <c r="G89" i="69" s="1"/>
  <c r="F113" i="78"/>
  <c r="D105" i="78"/>
  <c r="D200" i="78"/>
  <c r="D98" i="78"/>
  <c r="H200" i="78"/>
  <c r="D104" i="78"/>
  <c r="D106" i="78"/>
  <c r="G326" i="78"/>
  <c r="AE327" i="78"/>
  <c r="S324" i="78"/>
  <c r="O325" i="78"/>
  <c r="O323" i="78"/>
  <c r="O324" i="78"/>
  <c r="G324" i="78"/>
  <c r="K323" i="78"/>
  <c r="G179" i="78"/>
  <c r="M179" i="78"/>
  <c r="AA314" i="78"/>
  <c r="D107" i="78"/>
  <c r="D110" i="78"/>
  <c r="C110" i="78"/>
  <c r="K324" i="78"/>
  <c r="C109" i="78"/>
  <c r="D109" i="78"/>
  <c r="D594" i="78"/>
  <c r="K321" i="78"/>
  <c r="D626" i="78"/>
  <c r="J616" i="78"/>
  <c r="J608" i="78"/>
  <c r="S318" i="78"/>
  <c r="J597" i="78"/>
  <c r="J594" i="78"/>
  <c r="G310" i="78"/>
  <c r="G314" i="78"/>
  <c r="G309" i="78"/>
  <c r="G313" i="78"/>
  <c r="J648" i="78"/>
  <c r="J640" i="78"/>
  <c r="G321" i="78"/>
  <c r="J599" i="78"/>
  <c r="S316" i="78"/>
  <c r="C316" i="78"/>
  <c r="D599" i="78"/>
  <c r="J631" i="78"/>
  <c r="H30" i="78"/>
  <c r="J680" i="78"/>
  <c r="J715" i="78" s="1"/>
  <c r="D61" i="77" s="1"/>
  <c r="J672" i="78"/>
  <c r="J707" i="78" s="1"/>
  <c r="D53" i="77" s="1"/>
  <c r="D608" i="78"/>
  <c r="D616" i="78"/>
  <c r="J626" i="78"/>
  <c r="J663" i="78"/>
  <c r="J698" i="78" s="1"/>
  <c r="D44" i="77" s="1"/>
  <c r="S323" i="78"/>
  <c r="C323" i="78"/>
  <c r="K322" i="78"/>
  <c r="C322" i="78"/>
  <c r="D631" i="78"/>
  <c r="S319" i="78"/>
  <c r="J658" i="78"/>
  <c r="J693" i="78" s="1"/>
  <c r="D39" i="77" s="1"/>
  <c r="J661" i="78"/>
  <c r="J696" i="78" s="1"/>
  <c r="D42" i="77" s="1"/>
  <c r="S315" i="78"/>
  <c r="D648" i="78"/>
  <c r="D640" i="78"/>
  <c r="G200" i="78" l="1"/>
  <c r="D113" i="78"/>
  <c r="M200" i="78"/>
  <c r="G312" i="78"/>
  <c r="C324" i="78"/>
  <c r="S317" i="78"/>
  <c r="K315" i="78"/>
  <c r="C315" i="78"/>
  <c r="O322" i="78"/>
  <c r="G322" i="78"/>
  <c r="O320" i="78"/>
  <c r="O318" i="78"/>
  <c r="K318" i="78"/>
  <c r="C318" i="78"/>
  <c r="K320" i="78"/>
  <c r="K317" i="78"/>
  <c r="C317" i="78"/>
  <c r="O316" i="78"/>
  <c r="O321" i="78"/>
  <c r="O317" i="78"/>
  <c r="C311" i="78"/>
  <c r="O319" i="78"/>
  <c r="C319" i="78"/>
  <c r="O315" i="78"/>
  <c r="K316" i="78"/>
  <c r="C321" i="78"/>
  <c r="S321" i="78"/>
  <c r="S325" i="78"/>
  <c r="C325" i="78"/>
  <c r="J660" i="78"/>
  <c r="J695" i="78" s="1"/>
  <c r="D41" i="77" s="1"/>
  <c r="D634" i="78"/>
  <c r="J666" i="78"/>
  <c r="J701" i="78" s="1"/>
  <c r="D47" i="77" s="1"/>
  <c r="J634" i="78"/>
  <c r="D628" i="78"/>
  <c r="D596" i="78"/>
  <c r="S322" i="78"/>
  <c r="D602" i="78"/>
  <c r="J602" i="78"/>
  <c r="J596" i="78"/>
  <c r="C320" i="78"/>
  <c r="S320" i="78"/>
  <c r="J629" i="78"/>
  <c r="S314" i="78"/>
  <c r="S309" i="78"/>
  <c r="J628" i="78"/>
  <c r="S326" i="78" l="1"/>
  <c r="G327" i="78"/>
  <c r="O326" i="78"/>
  <c r="C326" i="78"/>
  <c r="K326" i="78"/>
  <c r="K309" i="78"/>
  <c r="K314" i="78"/>
  <c r="K310" i="78"/>
  <c r="O314" i="78"/>
  <c r="O311" i="78"/>
  <c r="O309" i="78"/>
  <c r="O310" i="78"/>
  <c r="C310" i="78"/>
  <c r="C314" i="78"/>
  <c r="C309" i="78"/>
  <c r="S327" i="78"/>
  <c r="C327" i="78" l="1"/>
  <c r="O327" i="78"/>
  <c r="C312" i="78"/>
  <c r="K312" i="78"/>
  <c r="K327" i="78"/>
  <c r="O312" i="78"/>
  <c r="B20" i="78" l="1"/>
  <c r="I239" i="43"/>
  <c r="H250" i="43"/>
  <c r="I227" i="43"/>
  <c r="E227" i="43"/>
  <c r="C272" i="43"/>
  <c r="K227" i="43"/>
  <c r="G250" i="43"/>
  <c r="G239" i="43"/>
  <c r="F250" i="43"/>
  <c r="D239" i="43"/>
  <c r="J227" i="43"/>
  <c r="K239" i="43"/>
  <c r="F227" i="43"/>
  <c r="E250" i="43"/>
  <c r="J239" i="43"/>
  <c r="D250" i="43"/>
  <c r="C227" i="43"/>
  <c r="C239" i="43"/>
  <c r="E239" i="43"/>
  <c r="C250" i="43"/>
  <c r="D227" i="43"/>
  <c r="G227" i="43"/>
  <c r="H227" i="43"/>
  <c r="C261" i="43"/>
  <c r="F239" i="43"/>
  <c r="D261" i="43"/>
  <c r="H239" i="43"/>
  <c r="H238" i="43" l="1"/>
  <c r="X11" i="43" s="1"/>
  <c r="D260" i="43"/>
  <c r="F238" i="43"/>
  <c r="T11" i="43" s="1"/>
  <c r="P11" i="43" s="1"/>
  <c r="C260" i="43"/>
  <c r="H226" i="43"/>
  <c r="V4" i="43" s="1"/>
  <c r="G226" i="43"/>
  <c r="T4" i="43" s="1"/>
  <c r="D226" i="43"/>
  <c r="C249" i="43"/>
  <c r="F106" i="43" s="1"/>
  <c r="E238" i="43"/>
  <c r="R11" i="43" s="1"/>
  <c r="C238" i="43"/>
  <c r="N11" i="43" s="1"/>
  <c r="C226" i="43"/>
  <c r="C4" i="43" s="1"/>
  <c r="D249" i="43"/>
  <c r="I106" i="43" s="1"/>
  <c r="J238" i="43"/>
  <c r="Z11" i="43" s="1"/>
  <c r="E249" i="43"/>
  <c r="F108" i="43" s="1"/>
  <c r="F226" i="43"/>
  <c r="N4" i="43" s="1"/>
  <c r="K238" i="43"/>
  <c r="AA11" i="43" s="1"/>
  <c r="J226" i="43"/>
  <c r="Z4" i="43" s="1"/>
  <c r="D238" i="43"/>
  <c r="O11" i="43" s="1"/>
  <c r="F249" i="43"/>
  <c r="G108" i="43" s="1"/>
  <c r="G238" i="43"/>
  <c r="W11" i="43" s="1"/>
  <c r="G249" i="43"/>
  <c r="H108" i="43" s="1"/>
  <c r="K226" i="43"/>
  <c r="AB4" i="43" s="1"/>
  <c r="C271" i="43"/>
  <c r="B48" i="43" s="1"/>
  <c r="E226" i="43"/>
  <c r="I226" i="43"/>
  <c r="X4" i="43" s="1"/>
  <c r="H249" i="43"/>
  <c r="I108" i="43" s="1"/>
  <c r="I238" i="43"/>
  <c r="Y11" i="43" s="1"/>
  <c r="Q11" i="43" s="1"/>
  <c r="D106" i="43" l="1"/>
  <c r="C106" i="43"/>
  <c r="B52" i="43"/>
  <c r="B42" i="34"/>
  <c r="B49" i="34" s="1"/>
  <c r="C99" i="43"/>
  <c r="D99" i="43"/>
  <c r="C108" i="43"/>
  <c r="D108" i="43"/>
  <c r="C6" i="43"/>
  <c r="D101" i="43"/>
  <c r="C101" i="43"/>
  <c r="D90" i="34" l="1"/>
  <c r="C22" i="26" s="1"/>
  <c r="I13" i="43"/>
  <c r="I19" i="43" s="1"/>
  <c r="I12" i="43"/>
  <c r="I18" i="43" s="1"/>
  <c r="I24" i="34" s="1"/>
  <c r="H46" i="26" s="1"/>
  <c r="C90" i="34"/>
  <c r="B22" i="26" s="1"/>
  <c r="G12" i="43"/>
  <c r="G18" i="43" s="1"/>
  <c r="G24" i="34" s="1"/>
  <c r="F46" i="26" s="1"/>
  <c r="C88" i="34"/>
  <c r="B20" i="26" s="1"/>
  <c r="C81" i="34"/>
  <c r="B13" i="26" s="1"/>
  <c r="E12" i="43"/>
  <c r="E18" i="43" s="1"/>
  <c r="C45" i="43"/>
  <c r="C39" i="34" s="1"/>
  <c r="A6" i="14" s="1"/>
  <c r="C18" i="34"/>
  <c r="B142" i="34" s="1"/>
  <c r="P60" i="16" s="1"/>
  <c r="K12" i="43"/>
  <c r="K18" i="43" s="1"/>
  <c r="C83" i="34"/>
  <c r="B15" i="26" s="1"/>
  <c r="D83" i="34"/>
  <c r="C15" i="26" s="1"/>
  <c r="K13" i="43"/>
  <c r="K19" i="43" s="1"/>
  <c r="K25" i="34" s="1"/>
  <c r="J47" i="26" s="1"/>
  <c r="G13" i="43"/>
  <c r="G19" i="43" s="1"/>
  <c r="D88" i="34"/>
  <c r="C20" i="26" s="1"/>
  <c r="E13" i="43"/>
  <c r="E19" i="43" s="1"/>
  <c r="E25" i="34" s="1"/>
  <c r="D47" i="26" s="1"/>
  <c r="D81" i="34"/>
  <c r="C13" i="26" s="1"/>
  <c r="J189" i="26" l="1"/>
  <c r="J182" i="26"/>
  <c r="J181" i="26"/>
  <c r="J178" i="26"/>
  <c r="J186" i="26"/>
  <c r="J190" i="26"/>
  <c r="J185" i="26"/>
  <c r="J191" i="26"/>
  <c r="J177" i="26"/>
  <c r="J188" i="26"/>
  <c r="J180" i="26"/>
  <c r="J187" i="26"/>
  <c r="J179" i="26"/>
  <c r="J183" i="26"/>
  <c r="J192" i="26"/>
  <c r="J176" i="26"/>
  <c r="J184" i="26"/>
  <c r="F132" i="26"/>
  <c r="F134" i="26"/>
  <c r="F141" i="26"/>
  <c r="F136" i="26"/>
  <c r="F139" i="26"/>
  <c r="F140" i="26"/>
  <c r="F137" i="26"/>
  <c r="F135" i="26"/>
  <c r="F138" i="26"/>
  <c r="F133" i="26"/>
  <c r="K24" i="34"/>
  <c r="J46" i="26" s="1"/>
  <c r="K4" i="43"/>
  <c r="H136" i="26"/>
  <c r="H133" i="26"/>
  <c r="H138" i="26"/>
  <c r="H137" i="26"/>
  <c r="H134" i="26"/>
  <c r="H139" i="26"/>
  <c r="H141" i="26"/>
  <c r="H132" i="26"/>
  <c r="H140" i="26"/>
  <c r="H135" i="26"/>
  <c r="G25" i="34"/>
  <c r="F47" i="26" s="1"/>
  <c r="G4" i="43"/>
  <c r="P73" i="16"/>
  <c r="P72" i="16"/>
  <c r="P69" i="16"/>
  <c r="P70" i="16"/>
  <c r="P71" i="16"/>
  <c r="I25" i="34"/>
  <c r="H47" i="26" s="1"/>
  <c r="I4" i="43"/>
  <c r="B148" i="14"/>
  <c r="D185" i="26"/>
  <c r="D181" i="26"/>
  <c r="D184" i="26"/>
  <c r="D188" i="26"/>
  <c r="D186" i="26"/>
  <c r="D177" i="26"/>
  <c r="D178" i="26"/>
  <c r="D191" i="26"/>
  <c r="D176" i="26"/>
  <c r="D189" i="26"/>
  <c r="D192" i="26"/>
  <c r="D190" i="26"/>
  <c r="D182" i="26"/>
  <c r="D179" i="26"/>
  <c r="D187" i="26"/>
  <c r="D183" i="26"/>
  <c r="D180" i="26"/>
  <c r="E24" i="34"/>
  <c r="D46" i="26" s="1"/>
  <c r="E4" i="43"/>
  <c r="I6" i="43" l="1"/>
  <c r="D137" i="26"/>
  <c r="D139" i="26"/>
  <c r="D134" i="26"/>
  <c r="D132" i="26"/>
  <c r="D135" i="26"/>
  <c r="D141" i="26"/>
  <c r="D140" i="26"/>
  <c r="D138" i="26"/>
  <c r="D133" i="26"/>
  <c r="D136" i="26"/>
  <c r="H178" i="26"/>
  <c r="H191" i="26"/>
  <c r="H192" i="26"/>
  <c r="H185" i="26"/>
  <c r="H184" i="26"/>
  <c r="H190" i="26"/>
  <c r="H187" i="26"/>
  <c r="H182" i="26"/>
  <c r="H177" i="26"/>
  <c r="H179" i="26"/>
  <c r="H186" i="26"/>
  <c r="H188" i="26"/>
  <c r="H176" i="26"/>
  <c r="H181" i="26"/>
  <c r="H183" i="26"/>
  <c r="H189" i="26"/>
  <c r="H180" i="26"/>
  <c r="K6" i="43"/>
  <c r="E6" i="43"/>
  <c r="F187" i="26"/>
  <c r="F180" i="26"/>
  <c r="F181" i="26"/>
  <c r="F176" i="26"/>
  <c r="F179" i="26"/>
  <c r="F188" i="26"/>
  <c r="F190" i="26"/>
  <c r="F184" i="26"/>
  <c r="F177" i="26"/>
  <c r="F192" i="26"/>
  <c r="F182" i="26"/>
  <c r="F178" i="26"/>
  <c r="F191" i="26"/>
  <c r="F189" i="26"/>
  <c r="F185" i="26"/>
  <c r="F186" i="26"/>
  <c r="F183" i="26"/>
  <c r="J132" i="26"/>
  <c r="J136" i="26"/>
  <c r="J137" i="26"/>
  <c r="J134" i="26"/>
  <c r="J140" i="26"/>
  <c r="J138" i="26"/>
  <c r="J133" i="26"/>
  <c r="J139" i="26"/>
  <c r="J135" i="26"/>
  <c r="J141" i="26"/>
  <c r="B163" i="14"/>
  <c r="B185" i="16" s="1"/>
  <c r="B161" i="14"/>
  <c r="B184" i="16" s="1"/>
  <c r="B166" i="14"/>
  <c r="B188" i="16" s="1"/>
  <c r="B158" i="14"/>
  <c r="B181" i="16" s="1"/>
  <c r="B155" i="14"/>
  <c r="B164" i="14"/>
  <c r="B186" i="16" s="1"/>
  <c r="B160" i="14"/>
  <c r="B183" i="16" s="1"/>
  <c r="B151" i="14"/>
  <c r="B175" i="16" s="1"/>
  <c r="B165" i="14"/>
  <c r="B187" i="16" s="1"/>
  <c r="B162" i="14"/>
  <c r="B172" i="16"/>
  <c r="B150" i="14"/>
  <c r="B167" i="14"/>
  <c r="B189" i="16" s="1"/>
  <c r="B169" i="14"/>
  <c r="B191" i="16" s="1"/>
  <c r="B168" i="14"/>
  <c r="B190" i="16" s="1"/>
  <c r="B154" i="14"/>
  <c r="B178" i="16" s="1"/>
  <c r="B172" i="14"/>
  <c r="B192" i="16" s="1"/>
  <c r="B157" i="14"/>
  <c r="B180" i="16" s="1"/>
  <c r="B153" i="14"/>
  <c r="B177" i="16" s="1"/>
  <c r="B152" i="14"/>
  <c r="B176" i="16" s="1"/>
  <c r="B156" i="14"/>
  <c r="B159" i="14"/>
  <c r="B182" i="16" s="1"/>
  <c r="B171" i="14"/>
  <c r="B170" i="14"/>
  <c r="G6" i="43"/>
  <c r="G45" i="43" l="1"/>
  <c r="G39" i="34" s="1"/>
  <c r="E6" i="14" s="1"/>
  <c r="G18" i="34"/>
  <c r="E45" i="43"/>
  <c r="E39" i="34" s="1"/>
  <c r="C6" i="14" s="1"/>
  <c r="E18" i="34"/>
  <c r="AC212" i="26"/>
  <c r="R200" i="17" s="1"/>
  <c r="R212" i="26"/>
  <c r="R138" i="17" s="1"/>
  <c r="B179" i="16"/>
  <c r="K18" i="34"/>
  <c r="K45" i="43"/>
  <c r="B174" i="16"/>
  <c r="I18" i="34"/>
  <c r="I45" i="43"/>
  <c r="I39" i="34" s="1"/>
  <c r="G6" i="14" s="1"/>
  <c r="K39" i="34" l="1"/>
  <c r="I6" i="14" s="1"/>
  <c r="K66" i="43"/>
  <c r="K84" i="43" s="1"/>
  <c r="K62" i="34" s="1"/>
  <c r="K60" i="43"/>
  <c r="D148" i="14"/>
  <c r="H148" i="14"/>
  <c r="F148" i="14"/>
  <c r="F166" i="14" l="1"/>
  <c r="F188" i="16" s="1"/>
  <c r="F168" i="14"/>
  <c r="F190" i="16" s="1"/>
  <c r="F157" i="14"/>
  <c r="F180" i="16" s="1"/>
  <c r="F171" i="14"/>
  <c r="F162" i="14"/>
  <c r="F150" i="14"/>
  <c r="F172" i="14"/>
  <c r="F192" i="16" s="1"/>
  <c r="F161" i="14"/>
  <c r="F184" i="16" s="1"/>
  <c r="F167" i="14"/>
  <c r="F189" i="16" s="1"/>
  <c r="F154" i="14"/>
  <c r="F178" i="16" s="1"/>
  <c r="F170" i="14"/>
  <c r="F159" i="14"/>
  <c r="F182" i="16" s="1"/>
  <c r="F164" i="14"/>
  <c r="F186" i="16" s="1"/>
  <c r="F153" i="14"/>
  <c r="F177" i="16" s="1"/>
  <c r="F165" i="14"/>
  <c r="F187" i="16" s="1"/>
  <c r="F155" i="14"/>
  <c r="F169" i="14"/>
  <c r="F191" i="16" s="1"/>
  <c r="F163" i="14"/>
  <c r="F185" i="16" s="1"/>
  <c r="F156" i="14"/>
  <c r="F172" i="16"/>
  <c r="F152" i="14"/>
  <c r="F176" i="16" s="1"/>
  <c r="F160" i="14"/>
  <c r="F183" i="16" s="1"/>
  <c r="F158" i="14"/>
  <c r="F181" i="16" s="1"/>
  <c r="F151" i="14"/>
  <c r="F175" i="16" s="1"/>
  <c r="D156" i="14"/>
  <c r="D166" i="14"/>
  <c r="D188" i="16" s="1"/>
  <c r="D159" i="14"/>
  <c r="D182" i="16" s="1"/>
  <c r="D155" i="14"/>
  <c r="D154" i="14"/>
  <c r="D178" i="16" s="1"/>
  <c r="D160" i="14"/>
  <c r="D183" i="16" s="1"/>
  <c r="D153" i="14"/>
  <c r="D177" i="16" s="1"/>
  <c r="D167" i="14"/>
  <c r="D189" i="16" s="1"/>
  <c r="D165" i="14"/>
  <c r="D187" i="16" s="1"/>
  <c r="D150" i="14"/>
  <c r="D170" i="14"/>
  <c r="D157" i="14"/>
  <c r="D180" i="16" s="1"/>
  <c r="D172" i="14"/>
  <c r="D192" i="16" s="1"/>
  <c r="D164" i="14"/>
  <c r="D186" i="16" s="1"/>
  <c r="D161" i="14"/>
  <c r="D184" i="16" s="1"/>
  <c r="D171" i="14"/>
  <c r="D168" i="14"/>
  <c r="D190" i="16" s="1"/>
  <c r="D163" i="14"/>
  <c r="D185" i="16" s="1"/>
  <c r="D162" i="14"/>
  <c r="D158" i="14"/>
  <c r="D181" i="16" s="1"/>
  <c r="D172" i="16"/>
  <c r="D152" i="14"/>
  <c r="D176" i="16" s="1"/>
  <c r="D169" i="14"/>
  <c r="D191" i="16" s="1"/>
  <c r="D151" i="14"/>
  <c r="D175" i="16" s="1"/>
  <c r="K67" i="43"/>
  <c r="K78" i="43"/>
  <c r="H172" i="16"/>
  <c r="H158" i="14"/>
  <c r="H181" i="16" s="1"/>
  <c r="H159" i="14"/>
  <c r="H182" i="16" s="1"/>
  <c r="H172" i="14"/>
  <c r="H192" i="16" s="1"/>
  <c r="H153" i="14"/>
  <c r="H177" i="16" s="1"/>
  <c r="H170" i="14"/>
  <c r="H162" i="14"/>
  <c r="H168" i="14"/>
  <c r="H190" i="16" s="1"/>
  <c r="H169" i="14"/>
  <c r="H191" i="16" s="1"/>
  <c r="H160" i="14"/>
  <c r="H183" i="16" s="1"/>
  <c r="H166" i="14"/>
  <c r="H188" i="16" s="1"/>
  <c r="H161" i="14"/>
  <c r="H184" i="16" s="1"/>
  <c r="H163" i="14"/>
  <c r="H185" i="16" s="1"/>
  <c r="H150" i="14"/>
  <c r="H151" i="14"/>
  <c r="H175" i="16" s="1"/>
  <c r="H154" i="14"/>
  <c r="H178" i="16" s="1"/>
  <c r="H167" i="14"/>
  <c r="H189" i="16" s="1"/>
  <c r="H165" i="14"/>
  <c r="H187" i="16" s="1"/>
  <c r="H152" i="14"/>
  <c r="H176" i="16" s="1"/>
  <c r="H164" i="14"/>
  <c r="H186" i="16" s="1"/>
  <c r="H156" i="14"/>
  <c r="H157" i="14"/>
  <c r="H180" i="16" s="1"/>
  <c r="H155" i="14"/>
  <c r="H171" i="14"/>
  <c r="K107" i="41"/>
  <c r="J123" i="14" s="1"/>
  <c r="J16" i="14"/>
  <c r="J148" i="14"/>
  <c r="J162" i="14" l="1"/>
  <c r="J172" i="16"/>
  <c r="F174" i="16"/>
  <c r="D179" i="16"/>
  <c r="F179" i="16"/>
  <c r="H174" i="16"/>
  <c r="K85" i="43"/>
  <c r="K63" i="34" s="1"/>
  <c r="K56" i="34"/>
  <c r="D174" i="16"/>
  <c r="H179" i="16"/>
  <c r="K96" i="41" l="1"/>
  <c r="J112" i="14" s="1"/>
  <c r="J151" i="14" s="1"/>
  <c r="J175" i="16" s="1"/>
  <c r="K112" i="41"/>
  <c r="J128" i="14" s="1"/>
  <c r="J167" i="14" s="1"/>
  <c r="J189" i="16" s="1"/>
  <c r="K116" i="41"/>
  <c r="J132" i="14" s="1"/>
  <c r="J171" i="14" s="1"/>
  <c r="K113" i="41"/>
  <c r="J129" i="14" s="1"/>
  <c r="J168" i="14" s="1"/>
  <c r="J190" i="16" s="1"/>
  <c r="K110" i="41"/>
  <c r="J126" i="14" s="1"/>
  <c r="J165" i="14" s="1"/>
  <c r="J187" i="16" s="1"/>
  <c r="J10" i="14"/>
  <c r="K115" i="41"/>
  <c r="J131" i="14" s="1"/>
  <c r="J170" i="14" s="1"/>
  <c r="K97" i="41"/>
  <c r="J113" i="14" s="1"/>
  <c r="J152" i="14" s="1"/>
  <c r="J176" i="16" s="1"/>
  <c r="K111" i="41"/>
  <c r="J127" i="14" s="1"/>
  <c r="J166" i="14" s="1"/>
  <c r="J188" i="16" s="1"/>
  <c r="K114" i="41"/>
  <c r="J130" i="14" s="1"/>
  <c r="J169" i="14" s="1"/>
  <c r="J191" i="16" s="1"/>
  <c r="K109" i="41"/>
  <c r="J125" i="14" s="1"/>
  <c r="J164" i="14" s="1"/>
  <c r="J186" i="16" s="1"/>
  <c r="K102" i="41"/>
  <c r="J118" i="14" s="1"/>
  <c r="J157" i="14" s="1"/>
  <c r="J180" i="16" s="1"/>
  <c r="J17" i="14"/>
  <c r="K106" i="41"/>
  <c r="J122" i="14" s="1"/>
  <c r="J161" i="14" s="1"/>
  <c r="J184" i="16" s="1"/>
  <c r="K100" i="41"/>
  <c r="J116" i="14" s="1"/>
  <c r="J155" i="14" s="1"/>
  <c r="J179" i="16" s="1"/>
  <c r="K98" i="41"/>
  <c r="J114" i="14" s="1"/>
  <c r="J153" i="14" s="1"/>
  <c r="J177" i="16" s="1"/>
  <c r="K104" i="41"/>
  <c r="J120" i="14" s="1"/>
  <c r="J159" i="14" s="1"/>
  <c r="J182" i="16" s="1"/>
  <c r="K101" i="41"/>
  <c r="J117" i="14" s="1"/>
  <c r="J156" i="14" s="1"/>
  <c r="K108" i="41"/>
  <c r="J124" i="14" s="1"/>
  <c r="J163" i="14" s="1"/>
  <c r="J185" i="16" s="1"/>
  <c r="K95" i="41"/>
  <c r="K99" i="41"/>
  <c r="J115" i="14" s="1"/>
  <c r="J154" i="14" s="1"/>
  <c r="J178" i="16" s="1"/>
  <c r="K105" i="41"/>
  <c r="J121" i="14" s="1"/>
  <c r="J160" i="14" s="1"/>
  <c r="J183" i="16" s="1"/>
  <c r="K103" i="41"/>
  <c r="J119" i="14" s="1"/>
  <c r="J158" i="14" s="1"/>
  <c r="J181" i="16" s="1"/>
  <c r="K117" i="41" l="1"/>
  <c r="J133" i="14" s="1"/>
  <c r="J172" i="14" s="1"/>
  <c r="J192" i="16" s="1"/>
  <c r="J111" i="14"/>
  <c r="J150" i="14" s="1"/>
  <c r="J174" i="16" l="1"/>
  <c r="D20" i="78" l="1" a="1"/>
  <c r="D20" i="78" s="1"/>
  <c r="C20" i="78" a="1"/>
  <c r="C20" i="78" s="1"/>
  <c r="J227" i="50"/>
  <c r="C250" i="50"/>
  <c r="D261" i="50"/>
  <c r="G239" i="50"/>
  <c r="E227" i="50"/>
  <c r="E250" i="50"/>
  <c r="H227" i="50"/>
  <c r="D239" i="50"/>
  <c r="C227" i="50"/>
  <c r="C272" i="50"/>
  <c r="C239" i="50"/>
  <c r="C261" i="50"/>
  <c r="G250" i="50"/>
  <c r="D227" i="50"/>
  <c r="K227" i="50"/>
  <c r="F239" i="50"/>
  <c r="K239" i="50"/>
  <c r="E239" i="50"/>
  <c r="F250" i="50"/>
  <c r="I239" i="50"/>
  <c r="H250" i="50"/>
  <c r="I227" i="50"/>
  <c r="F227" i="50"/>
  <c r="H239" i="50"/>
  <c r="G227" i="50"/>
  <c r="J239" i="50"/>
  <c r="D250" i="50"/>
  <c r="G239" i="45"/>
  <c r="C227" i="45"/>
  <c r="C272" i="45"/>
  <c r="J227" i="45"/>
  <c r="E239" i="45"/>
  <c r="C239" i="45"/>
  <c r="F250" i="45"/>
  <c r="H227" i="45"/>
  <c r="D250" i="45"/>
  <c r="H239" i="45"/>
  <c r="H250" i="45"/>
  <c r="D239" i="45"/>
  <c r="K239" i="45"/>
  <c r="F239" i="45"/>
  <c r="I227" i="45"/>
  <c r="J239" i="45"/>
  <c r="G227" i="45"/>
  <c r="I239" i="45"/>
  <c r="G250" i="45"/>
  <c r="E227" i="45"/>
  <c r="C250" i="45"/>
  <c r="F227" i="45"/>
  <c r="E250" i="45"/>
  <c r="D227" i="45"/>
  <c r="D261" i="45"/>
  <c r="K227" i="45"/>
  <c r="C261" i="45"/>
  <c r="C260" i="45" l="1"/>
  <c r="K226" i="45"/>
  <c r="AB4" i="45" s="1"/>
  <c r="D260" i="45"/>
  <c r="D226" i="45"/>
  <c r="E249" i="45"/>
  <c r="F108" i="45" s="1"/>
  <c r="F226" i="45"/>
  <c r="N4" i="45" s="1"/>
  <c r="C249" i="45"/>
  <c r="F106" i="45" s="1"/>
  <c r="E226" i="45"/>
  <c r="G249" i="45"/>
  <c r="H108" i="45" s="1"/>
  <c r="I238" i="45"/>
  <c r="Y11" i="45" s="1"/>
  <c r="Q11" i="45" s="1"/>
  <c r="G226" i="45"/>
  <c r="T4" i="45" s="1"/>
  <c r="J238" i="45"/>
  <c r="Z11" i="45" s="1"/>
  <c r="I226" i="45"/>
  <c r="X4" i="45" s="1"/>
  <c r="F238" i="45"/>
  <c r="T11" i="45" s="1"/>
  <c r="P11" i="45" s="1"/>
  <c r="K238" i="45"/>
  <c r="AA11" i="45" s="1"/>
  <c r="D238" i="45"/>
  <c r="O11" i="45" s="1"/>
  <c r="H249" i="45"/>
  <c r="I108" i="45" s="1"/>
  <c r="H238" i="45"/>
  <c r="X11" i="45" s="1"/>
  <c r="D249" i="45"/>
  <c r="I106" i="45" s="1"/>
  <c r="H226" i="45"/>
  <c r="V4" i="45" s="1"/>
  <c r="F249" i="45"/>
  <c r="G108" i="45" s="1"/>
  <c r="C238" i="45"/>
  <c r="N11" i="45" s="1"/>
  <c r="E238" i="45"/>
  <c r="R11" i="45" s="1"/>
  <c r="J226" i="45"/>
  <c r="Z4" i="45" s="1"/>
  <c r="C271" i="45"/>
  <c r="B48" i="45" s="1"/>
  <c r="B52" i="45" s="1"/>
  <c r="C226" i="45"/>
  <c r="C4" i="45" s="1"/>
  <c r="G238" i="45"/>
  <c r="W11" i="45" s="1"/>
  <c r="D249" i="50"/>
  <c r="I106" i="50" s="1"/>
  <c r="J238" i="50"/>
  <c r="Z11" i="50" s="1"/>
  <c r="G226" i="50"/>
  <c r="T4" i="50" s="1"/>
  <c r="H238" i="50"/>
  <c r="X11" i="50" s="1"/>
  <c r="F226" i="50"/>
  <c r="N4" i="50" s="1"/>
  <c r="I226" i="50"/>
  <c r="X4" i="50" s="1"/>
  <c r="H249" i="50"/>
  <c r="I108" i="50" s="1"/>
  <c r="I238" i="50"/>
  <c r="Y11" i="50" s="1"/>
  <c r="Q11" i="50" s="1"/>
  <c r="F249" i="50"/>
  <c r="G108" i="50" s="1"/>
  <c r="E238" i="50"/>
  <c r="R11" i="50" s="1"/>
  <c r="K238" i="50"/>
  <c r="AA11" i="50" s="1"/>
  <c r="F238" i="50"/>
  <c r="T11" i="50" s="1"/>
  <c r="P11" i="50" s="1"/>
  <c r="K226" i="50"/>
  <c r="AB4" i="50" s="1"/>
  <c r="D226" i="50"/>
  <c r="G249" i="50"/>
  <c r="H108" i="50" s="1"/>
  <c r="C260" i="50"/>
  <c r="C238" i="50"/>
  <c r="N11" i="50" s="1"/>
  <c r="C271" i="50"/>
  <c r="B48" i="50" s="1"/>
  <c r="B52" i="50" s="1"/>
  <c r="C226" i="50"/>
  <c r="C4" i="50" s="1"/>
  <c r="D238" i="50"/>
  <c r="O11" i="50" s="1"/>
  <c r="H226" i="50"/>
  <c r="V4" i="50" s="1"/>
  <c r="E249" i="50"/>
  <c r="F108" i="50" s="1"/>
  <c r="E226" i="50"/>
  <c r="G238" i="50"/>
  <c r="W11" i="50" s="1"/>
  <c r="D260" i="50"/>
  <c r="C249" i="50"/>
  <c r="F106" i="50" s="1"/>
  <c r="J226" i="50"/>
  <c r="Z4" i="50" s="1"/>
  <c r="C6" i="45" l="1"/>
  <c r="C45" i="45" s="1"/>
  <c r="C106" i="45"/>
  <c r="G12" i="45" s="1"/>
  <c r="G18" i="45" s="1"/>
  <c r="D106" i="45"/>
  <c r="G13" i="45" s="1"/>
  <c r="G19" i="45" s="1"/>
  <c r="G4" i="45" s="1"/>
  <c r="D106" i="50"/>
  <c r="G13" i="50" s="1"/>
  <c r="G19" i="50" s="1"/>
  <c r="G4" i="50" s="1"/>
  <c r="C106" i="50"/>
  <c r="G12" i="50" s="1"/>
  <c r="G18" i="50" s="1"/>
  <c r="C108" i="45"/>
  <c r="I12" i="45" s="1"/>
  <c r="I18" i="45" s="1"/>
  <c r="D108" i="45"/>
  <c r="I13" i="45" s="1"/>
  <c r="I19" i="45" s="1"/>
  <c r="I4" i="45" s="1"/>
  <c r="C6" i="50"/>
  <c r="C45" i="50" s="1"/>
  <c r="C101" i="50"/>
  <c r="K12" i="50" s="1"/>
  <c r="K18" i="50" s="1"/>
  <c r="K4" i="50" s="1"/>
  <c r="D101" i="50"/>
  <c r="K13" i="50" s="1"/>
  <c r="K19" i="50" s="1"/>
  <c r="D108" i="50"/>
  <c r="I13" i="50" s="1"/>
  <c r="I19" i="50" s="1"/>
  <c r="I4" i="50" s="1"/>
  <c r="C108" i="50"/>
  <c r="I12" i="50" s="1"/>
  <c r="I18" i="50" s="1"/>
  <c r="C99" i="50"/>
  <c r="E12" i="50" s="1"/>
  <c r="E18" i="50" s="1"/>
  <c r="E4" i="50" s="1"/>
  <c r="D99" i="50"/>
  <c r="E13" i="50" s="1"/>
  <c r="E19" i="50" s="1"/>
  <c r="D101" i="45"/>
  <c r="K13" i="45" s="1"/>
  <c r="K19" i="45" s="1"/>
  <c r="C101" i="45"/>
  <c r="K12" i="45" s="1"/>
  <c r="K18" i="45" s="1"/>
  <c r="K4" i="45" s="1"/>
  <c r="D99" i="45"/>
  <c r="E13" i="45" s="1"/>
  <c r="E19" i="45" s="1"/>
  <c r="C99" i="45"/>
  <c r="E12" i="45" s="1"/>
  <c r="E18" i="45" s="1"/>
  <c r="E4" i="45" s="1"/>
  <c r="E6" i="45" l="1"/>
  <c r="E45" i="45" s="1"/>
  <c r="G6" i="45"/>
  <c r="G45" i="45" s="1"/>
  <c r="I6" i="45"/>
  <c r="I45" i="45" s="1"/>
  <c r="I6" i="50"/>
  <c r="I45" i="50" s="1"/>
  <c r="K6" i="45"/>
  <c r="K45" i="45" s="1"/>
  <c r="K6" i="50"/>
  <c r="K45" i="50" s="1"/>
  <c r="G6" i="50"/>
  <c r="G45" i="50" s="1"/>
  <c r="E6" i="50"/>
  <c r="E45" i="50" s="1"/>
  <c r="K66" i="50" l="1"/>
  <c r="K84" i="50" s="1"/>
  <c r="K60" i="50"/>
  <c r="K66" i="45"/>
  <c r="K84" i="45" s="1"/>
  <c r="K60" i="45"/>
  <c r="K78" i="45" l="1"/>
  <c r="K85" i="45" s="1"/>
  <c r="K67" i="45"/>
  <c r="K67" i="50"/>
  <c r="K78" i="50"/>
  <c r="K85" i="50" s="1"/>
  <c r="M590" i="78" l="1" a="1"/>
  <c r="M590" i="78" s="1"/>
  <c r="M622" i="78" a="1"/>
  <c r="M622" i="78" s="1"/>
  <c r="M654" i="78" a="1"/>
  <c r="M654" i="78" s="1"/>
  <c r="M689" i="78" s="1"/>
  <c r="S377" i="78" l="1"/>
  <c r="M377" i="78"/>
  <c r="AA325" i="78" l="1"/>
  <c r="AA326" i="78" l="1"/>
  <c r="AA327" i="78"/>
  <c r="I318" i="78"/>
  <c r="D215" i="78"/>
  <c r="I319" i="78"/>
  <c r="M315" i="78"/>
  <c r="M318" i="78"/>
  <c r="M320" i="78"/>
  <c r="M317" i="78"/>
  <c r="M316" i="78"/>
  <c r="M319" i="78" l="1"/>
  <c r="U316" i="78"/>
  <c r="I317" i="78"/>
  <c r="U315" i="78"/>
  <c r="I315" i="78"/>
  <c r="E315" i="78"/>
  <c r="U319" i="78"/>
  <c r="I320" i="78"/>
  <c r="I321" i="78"/>
  <c r="I316" i="78"/>
  <c r="E316" i="78"/>
  <c r="U318" i="78"/>
  <c r="Q321" i="78" l="1"/>
  <c r="I322" i="78"/>
  <c r="E319" i="78"/>
  <c r="Q319" i="78"/>
  <c r="Q316" i="78"/>
  <c r="E318" i="78"/>
  <c r="Q318" i="78"/>
  <c r="U317" i="78"/>
  <c r="M322" i="78"/>
  <c r="Q315" i="78"/>
  <c r="E317" i="78"/>
  <c r="Q317" i="78"/>
  <c r="M321" i="78"/>
  <c r="Q320" i="78"/>
  <c r="Q322" i="78"/>
  <c r="U322" i="78"/>
  <c r="E322" i="78"/>
  <c r="U320" i="78"/>
  <c r="E320" i="78"/>
  <c r="U321" i="78"/>
  <c r="E321" i="78"/>
  <c r="O635" i="78" l="1"/>
  <c r="O664" i="78"/>
  <c r="O699" i="78" s="1"/>
  <c r="O603" i="78"/>
  <c r="O600" i="78"/>
  <c r="O632" i="78"/>
  <c r="O667" i="78"/>
  <c r="O702" i="78" s="1"/>
  <c r="P629" i="78"/>
  <c r="P661" i="78"/>
  <c r="P696" i="78" s="1"/>
  <c r="D72" i="77" s="1"/>
  <c r="P597" i="78"/>
  <c r="O657" i="78" l="1"/>
  <c r="O692" i="78" s="1"/>
  <c r="O615" i="78"/>
  <c r="O616" i="78"/>
  <c r="O674" i="78"/>
  <c r="O709" i="78" s="1"/>
  <c r="O593" i="78"/>
  <c r="O679" i="78"/>
  <c r="O714" i="78" s="1"/>
  <c r="O671" i="78"/>
  <c r="O706" i="78" s="1"/>
  <c r="O611" i="78"/>
  <c r="O670" i="78"/>
  <c r="O705" i="78" s="1"/>
  <c r="O614" i="78"/>
  <c r="O676" i="78"/>
  <c r="O711" i="78" s="1"/>
  <c r="O677" i="78"/>
  <c r="O712" i="78" s="1"/>
  <c r="O645" i="78"/>
  <c r="O650" i="78"/>
  <c r="O646" i="78"/>
  <c r="O672" i="78"/>
  <c r="O707" i="78" s="1"/>
  <c r="O669" i="78"/>
  <c r="O704" i="78" s="1"/>
  <c r="O662" i="78"/>
  <c r="O697" i="78" s="1"/>
  <c r="O675" i="78"/>
  <c r="O710" i="78" s="1"/>
  <c r="P627" i="78"/>
  <c r="O649" i="78"/>
  <c r="O680" i="78"/>
  <c r="O715" i="78" s="1"/>
  <c r="O609" i="78"/>
  <c r="O640" i="78"/>
  <c r="O598" i="78"/>
  <c r="O607" i="78"/>
  <c r="O638" i="78"/>
  <c r="O636" i="78"/>
  <c r="O613" i="78"/>
  <c r="O601" i="78"/>
  <c r="O618" i="78"/>
  <c r="O630" i="78"/>
  <c r="P659" i="78"/>
  <c r="P694" i="78" s="1"/>
  <c r="D70" i="77" s="1"/>
  <c r="O606" i="78"/>
  <c r="O612" i="78"/>
  <c r="O641" i="78"/>
  <c r="O637" i="78"/>
  <c r="O681" i="78"/>
  <c r="O716" i="78" s="1"/>
  <c r="O610" i="78"/>
  <c r="O682" i="78"/>
  <c r="O717" i="78" s="1"/>
  <c r="O605" i="78"/>
  <c r="O643" i="78"/>
  <c r="O678" i="78"/>
  <c r="O713" i="78" s="1"/>
  <c r="O633" i="78"/>
  <c r="P595" i="78"/>
  <c r="O608" i="78"/>
  <c r="O642" i="78"/>
  <c r="O625" i="78"/>
  <c r="O647" i="78"/>
  <c r="O639" i="78"/>
  <c r="O668" i="78"/>
  <c r="O703" i="78" s="1"/>
  <c r="O648" i="78"/>
  <c r="O617" i="78"/>
  <c r="O673" i="78"/>
  <c r="O708" i="78" s="1"/>
  <c r="O604" i="78"/>
  <c r="O644" i="78"/>
  <c r="O665" i="78"/>
  <c r="O700" i="78" s="1"/>
  <c r="V626" i="78"/>
  <c r="O631" i="78"/>
  <c r="P626" i="78"/>
  <c r="V658" i="78"/>
  <c r="V693" i="78" s="1"/>
  <c r="D99" i="77" s="1"/>
  <c r="P658" i="78"/>
  <c r="P693" i="78" s="1"/>
  <c r="D69" i="77" s="1"/>
  <c r="V594" i="78"/>
  <c r="O599" i="78"/>
  <c r="P594" i="78"/>
  <c r="O663" i="78"/>
  <c r="O698" i="78" s="1"/>
  <c r="O629" i="78" l="1"/>
  <c r="V661" i="78"/>
  <c r="V696" i="78" s="1"/>
  <c r="D102" i="77" s="1"/>
  <c r="O627" i="78"/>
  <c r="V597" i="78"/>
  <c r="V659" i="78"/>
  <c r="V694" i="78" s="1"/>
  <c r="D100" i="77" s="1"/>
  <c r="O597" i="78"/>
  <c r="O661" i="78"/>
  <c r="O696" i="78" s="1"/>
  <c r="O659" i="78"/>
  <c r="O694" i="78" s="1"/>
  <c r="V627" i="78"/>
  <c r="V629" i="78"/>
  <c r="O595" i="78"/>
  <c r="V595" i="78"/>
  <c r="O594" i="78"/>
  <c r="O658" i="78"/>
  <c r="O693" i="78" s="1"/>
  <c r="O626" i="78"/>
  <c r="O666" i="78" l="1"/>
  <c r="O701" i="78" s="1"/>
  <c r="P660" i="78"/>
  <c r="P695" i="78" s="1"/>
  <c r="D71" i="77" s="1"/>
  <c r="O634" i="78"/>
  <c r="V628" i="78"/>
  <c r="P628" i="78"/>
  <c r="V596" i="78"/>
  <c r="O602" i="78"/>
  <c r="V660" i="78"/>
  <c r="V695" i="78" s="1"/>
  <c r="D101" i="77" s="1"/>
  <c r="P596" i="78"/>
  <c r="O660" i="78" l="1"/>
  <c r="O695" i="78" s="1"/>
  <c r="O596" i="78"/>
  <c r="O628" i="78"/>
  <c r="B19" i="78" l="1"/>
  <c r="B18" i="78"/>
  <c r="B15" i="78"/>
  <c r="D220" i="43" l="1"/>
  <c r="D222" i="43" s="1"/>
  <c r="C220" i="43"/>
  <c r="C222" i="43" s="1"/>
  <c r="B150" i="34" s="1"/>
  <c r="J220" i="43"/>
  <c r="J222" i="43" s="1"/>
  <c r="I220" i="43"/>
  <c r="I222" i="43" s="1"/>
  <c r="E150" i="34" s="1"/>
  <c r="L220" i="43"/>
  <c r="L222" i="43" s="1"/>
  <c r="K220" i="43"/>
  <c r="K222" i="43" s="1"/>
  <c r="F150" i="34" s="1"/>
  <c r="D384" i="78"/>
  <c r="F154" i="34" l="1"/>
  <c r="D302" i="18" s="1"/>
  <c r="E154" i="34"/>
  <c r="D241" i="18" s="1"/>
  <c r="B154" i="34"/>
  <c r="D40" i="18" s="1"/>
  <c r="D254" i="18"/>
  <c r="D264" i="18"/>
  <c r="D272" i="18"/>
  <c r="D211" i="18"/>
  <c r="D193" i="18"/>
  <c r="D203" i="18"/>
  <c r="D13" i="18"/>
  <c r="D10" i="18"/>
  <c r="D12" i="18"/>
  <c r="D42" i="18"/>
  <c r="J388" i="78"/>
  <c r="D394" i="78"/>
  <c r="D399" i="78"/>
  <c r="D391" i="78"/>
  <c r="D398" i="78"/>
  <c r="D390" i="78"/>
  <c r="D392" i="78"/>
  <c r="D400" i="78"/>
  <c r="D388" i="78"/>
  <c r="V388" i="78"/>
  <c r="AB388" i="78"/>
  <c r="U387" i="78"/>
  <c r="V384" i="78"/>
  <c r="U400" i="78"/>
  <c r="U404" i="78"/>
  <c r="U392" i="78"/>
  <c r="U393" i="78"/>
  <c r="V382" i="78"/>
  <c r="U388" i="78"/>
  <c r="U399" i="78"/>
  <c r="U391" i="78"/>
  <c r="U395" i="78"/>
  <c r="U402" i="78"/>
  <c r="U403" i="78"/>
  <c r="V380" i="78"/>
  <c r="U401" i="78"/>
  <c r="U405" i="78"/>
  <c r="U390" i="78"/>
  <c r="U398" i="78"/>
  <c r="U396" i="78"/>
  <c r="U397" i="78"/>
  <c r="U394" i="78"/>
  <c r="D381" i="78"/>
  <c r="D403" i="78"/>
  <c r="D395" i="78"/>
  <c r="D380" i="78"/>
  <c r="D402" i="78" l="1"/>
  <c r="D387" i="78"/>
  <c r="V387" i="78"/>
  <c r="AB387" i="78"/>
  <c r="J387" i="78"/>
  <c r="D401" i="78"/>
  <c r="D393" i="78"/>
  <c r="D43" i="18"/>
  <c r="D233" i="18"/>
  <c r="D294" i="18"/>
  <c r="D223" i="18"/>
  <c r="D284" i="18"/>
  <c r="D23" i="18"/>
  <c r="D53" i="18"/>
  <c r="D31" i="18"/>
  <c r="D61" i="18"/>
  <c r="D196" i="18"/>
  <c r="D226" i="18"/>
  <c r="D45" i="18"/>
  <c r="D15" i="18"/>
  <c r="D60" i="18"/>
  <c r="D30" i="18"/>
  <c r="D256" i="18"/>
  <c r="D286" i="18"/>
  <c r="D39" i="18"/>
  <c r="D9" i="18"/>
  <c r="D46" i="18"/>
  <c r="D16" i="18"/>
  <c r="D16" i="78"/>
  <c r="D19" i="78"/>
  <c r="D15" i="78"/>
  <c r="D18" i="78"/>
  <c r="D48" i="18"/>
  <c r="D18" i="18"/>
  <c r="D51" i="18"/>
  <c r="D21" i="18"/>
  <c r="D287" i="18"/>
  <c r="D257" i="18"/>
  <c r="D56" i="18"/>
  <c r="D26" i="18"/>
  <c r="B16" i="78"/>
  <c r="D192" i="18"/>
  <c r="D222" i="18"/>
  <c r="D105" i="18"/>
  <c r="D75" i="18"/>
  <c r="P385" i="78"/>
  <c r="D38" i="18"/>
  <c r="D8" i="18"/>
  <c r="D59" i="18"/>
  <c r="D29" i="18"/>
  <c r="D57" i="18"/>
  <c r="D27" i="18"/>
  <c r="D106" i="18"/>
  <c r="D76" i="18"/>
  <c r="D225" i="18"/>
  <c r="D195" i="18"/>
  <c r="D52" i="18"/>
  <c r="D22" i="18"/>
  <c r="U385" i="78"/>
  <c r="D218" i="18"/>
  <c r="D188" i="18"/>
  <c r="D190" i="18"/>
  <c r="D220" i="18"/>
  <c r="D58" i="18"/>
  <c r="D28" i="18"/>
  <c r="D50" i="18"/>
  <c r="D20" i="18"/>
  <c r="D49" i="18"/>
  <c r="D19" i="18"/>
  <c r="C18" i="78"/>
  <c r="C16" i="78"/>
  <c r="C19" i="78"/>
  <c r="C15" i="78"/>
  <c r="D404" i="78"/>
  <c r="D396" i="78"/>
  <c r="D397" i="78"/>
  <c r="D405" i="78"/>
  <c r="V397" i="78"/>
  <c r="AB399" i="78"/>
  <c r="AB391" i="78"/>
  <c r="V401" i="78"/>
  <c r="AB392" i="78"/>
  <c r="AB400" i="78"/>
  <c r="V396" i="78"/>
  <c r="J399" i="78"/>
  <c r="AB397" i="78"/>
  <c r="AB405" i="78"/>
  <c r="J402" i="78"/>
  <c r="J394" i="78"/>
  <c r="V402" i="78"/>
  <c r="V390" i="78"/>
  <c r="J392" i="78"/>
  <c r="J404" i="78"/>
  <c r="J398" i="78"/>
  <c r="AB393" i="78"/>
  <c r="AB401" i="78"/>
  <c r="V400" i="78"/>
  <c r="V392" i="78"/>
  <c r="AB390" i="78"/>
  <c r="AB398" i="78"/>
  <c r="AB404" i="78"/>
  <c r="AB396" i="78"/>
  <c r="AB402" i="78"/>
  <c r="AB394" i="78"/>
  <c r="D386" i="78"/>
  <c r="V381" i="78"/>
  <c r="U386" i="78"/>
  <c r="D228" i="18" l="1"/>
  <c r="D198" i="18"/>
  <c r="J391" i="78"/>
  <c r="D239" i="18"/>
  <c r="D209" i="18"/>
  <c r="D205" i="18"/>
  <c r="D235" i="18"/>
  <c r="L220" i="45"/>
  <c r="L222" i="45" s="1"/>
  <c r="K220" i="45"/>
  <c r="K222" i="45" s="1"/>
  <c r="J220" i="50"/>
  <c r="J222" i="50" s="1"/>
  <c r="I220" i="50"/>
  <c r="I222" i="50" s="1"/>
  <c r="D11" i="18"/>
  <c r="D230" i="18"/>
  <c r="D200" i="18"/>
  <c r="J396" i="78"/>
  <c r="J400" i="78"/>
  <c r="D274" i="18"/>
  <c r="D304" i="18"/>
  <c r="D117" i="18"/>
  <c r="D87" i="18"/>
  <c r="V393" i="78"/>
  <c r="V405" i="78"/>
  <c r="F220" i="45"/>
  <c r="F222" i="45" s="1"/>
  <c r="E220" i="45"/>
  <c r="E222" i="45" s="1"/>
  <c r="C220" i="50"/>
  <c r="C222" i="50" s="1"/>
  <c r="D220" i="50"/>
  <c r="D222" i="50" s="1"/>
  <c r="D41" i="18"/>
  <c r="U382" i="78"/>
  <c r="U380" i="78"/>
  <c r="D44" i="18"/>
  <c r="D14" i="18"/>
  <c r="D263" i="18"/>
  <c r="D293" i="18"/>
  <c r="D238" i="18"/>
  <c r="D208" i="18"/>
  <c r="D122" i="18"/>
  <c r="D92" i="18"/>
  <c r="D80" i="18"/>
  <c r="D110" i="18"/>
  <c r="D266" i="18"/>
  <c r="D296" i="18"/>
  <c r="P380" i="78"/>
  <c r="J220" i="45"/>
  <c r="J222" i="45" s="1"/>
  <c r="I220" i="45"/>
  <c r="I222" i="45" s="1"/>
  <c r="L220" i="50"/>
  <c r="L222" i="50" s="1"/>
  <c r="K220" i="50"/>
  <c r="K222" i="50" s="1"/>
  <c r="U384" i="78"/>
  <c r="V391" i="78"/>
  <c r="D301" i="18"/>
  <c r="D271" i="18"/>
  <c r="D300" i="18"/>
  <c r="D270" i="18"/>
  <c r="D116" i="18"/>
  <c r="D86" i="18"/>
  <c r="D55" i="18"/>
  <c r="D25" i="18"/>
  <c r="C17" i="78"/>
  <c r="F220" i="43"/>
  <c r="F222" i="43" s="1"/>
  <c r="E220" i="43"/>
  <c r="E222" i="43" s="1"/>
  <c r="C150" i="34" s="1"/>
  <c r="F220" i="50"/>
  <c r="F222" i="50" s="1"/>
  <c r="E220" i="50"/>
  <c r="E222" i="50" s="1"/>
  <c r="V399" i="78"/>
  <c r="D295" i="18"/>
  <c r="D265" i="18"/>
  <c r="D262" i="18"/>
  <c r="D292" i="18"/>
  <c r="J390" i="78"/>
  <c r="D82" i="18"/>
  <c r="D112" i="18"/>
  <c r="D54" i="18"/>
  <c r="D24" i="18"/>
  <c r="B17" i="78"/>
  <c r="D17" i="78"/>
  <c r="D273" i="18"/>
  <c r="D303" i="18"/>
  <c r="D297" i="18"/>
  <c r="D267" i="18"/>
  <c r="J393" i="78"/>
  <c r="D120" i="18"/>
  <c r="D90" i="18"/>
  <c r="D32" i="18"/>
  <c r="D62" i="18"/>
  <c r="D383" i="78"/>
  <c r="D289" i="18"/>
  <c r="D259" i="18"/>
  <c r="J401" i="78"/>
  <c r="V398" i="78"/>
  <c r="D210" i="18"/>
  <c r="D240" i="18"/>
  <c r="V404" i="78"/>
  <c r="D299" i="18"/>
  <c r="D269" i="18"/>
  <c r="D260" i="18"/>
  <c r="D290" i="18"/>
  <c r="D33" i="18"/>
  <c r="D63" i="18"/>
  <c r="D219" i="18"/>
  <c r="D189" i="18"/>
  <c r="V394" i="78"/>
  <c r="D234" i="18"/>
  <c r="D204" i="18"/>
  <c r="D261" i="18"/>
  <c r="D291" i="18"/>
  <c r="D298" i="18"/>
  <c r="D268" i="18"/>
  <c r="D220" i="45"/>
  <c r="D222" i="45" s="1"/>
  <c r="C220" i="45"/>
  <c r="C222" i="45" s="1"/>
  <c r="AB384" i="78"/>
  <c r="AB386" i="78"/>
  <c r="V386" i="78"/>
  <c r="U381" i="78"/>
  <c r="P382" i="78" l="1"/>
  <c r="J405" i="78"/>
  <c r="D221" i="18"/>
  <c r="H220" i="45"/>
  <c r="H222" i="45" s="1"/>
  <c r="G220" i="45"/>
  <c r="G222" i="45" s="1"/>
  <c r="D231" i="18"/>
  <c r="D201" i="18"/>
  <c r="D84" i="18"/>
  <c r="D114" i="18"/>
  <c r="J397" i="78"/>
  <c r="AB382" i="78"/>
  <c r="D212" i="18"/>
  <c r="D242" i="18"/>
  <c r="D81" i="18"/>
  <c r="D111" i="18"/>
  <c r="H220" i="50"/>
  <c r="H222" i="50" s="1"/>
  <c r="G220" i="50"/>
  <c r="G222" i="50" s="1"/>
  <c r="H220" i="43"/>
  <c r="H222" i="43" s="1"/>
  <c r="G220" i="43"/>
  <c r="G222" i="43" s="1"/>
  <c r="D150" i="34" s="1"/>
  <c r="D133" i="18" s="1"/>
  <c r="D108" i="18"/>
  <c r="D78" i="18"/>
  <c r="D389" i="78"/>
  <c r="AB380" i="78"/>
  <c r="D194" i="18"/>
  <c r="D224" i="18"/>
  <c r="J380" i="78"/>
  <c r="V383" i="78"/>
  <c r="D283" i="18"/>
  <c r="D253" i="18"/>
  <c r="D199" i="18"/>
  <c r="D229" i="18"/>
  <c r="D17" i="18"/>
  <c r="D109" i="18"/>
  <c r="D79" i="18"/>
  <c r="U389" i="78"/>
  <c r="D285" i="18"/>
  <c r="D255" i="18"/>
  <c r="D202" i="18"/>
  <c r="D232" i="18"/>
  <c r="D206" i="18"/>
  <c r="D236" i="18"/>
  <c r="J384" i="78"/>
  <c r="D73" i="18"/>
  <c r="D70" i="18"/>
  <c r="D47" i="18"/>
  <c r="C154" i="34"/>
  <c r="D103" i="18" s="1"/>
  <c r="D213" i="18"/>
  <c r="D243" i="18"/>
  <c r="D118" i="18"/>
  <c r="D88" i="18"/>
  <c r="D191" i="18"/>
  <c r="D89" i="18"/>
  <c r="D119" i="18"/>
  <c r="D237" i="18"/>
  <c r="D207" i="18"/>
  <c r="AB381" i="78"/>
  <c r="D100" i="18" l="1"/>
  <c r="P393" i="78"/>
  <c r="P396" i="78"/>
  <c r="D258" i="18"/>
  <c r="D85" i="18"/>
  <c r="D115" i="18"/>
  <c r="P400" i="78"/>
  <c r="D288" i="18"/>
  <c r="D227" i="18"/>
  <c r="D154" i="34"/>
  <c r="D163" i="18" s="1"/>
  <c r="D128" i="18"/>
  <c r="P388" i="78"/>
  <c r="AB389" i="78"/>
  <c r="P394" i="78"/>
  <c r="P398" i="78"/>
  <c r="P403" i="78"/>
  <c r="P404" i="78"/>
  <c r="D197" i="18"/>
  <c r="D251" i="18"/>
  <c r="D281" i="18"/>
  <c r="D123" i="18"/>
  <c r="D93" i="18"/>
  <c r="U383" i="78"/>
  <c r="V389" i="78"/>
  <c r="P402" i="78"/>
  <c r="P390" i="78"/>
  <c r="P397" i="78"/>
  <c r="D68" i="18"/>
  <c r="D98" i="18"/>
  <c r="P405" i="78"/>
  <c r="P387" i="78"/>
  <c r="P395" i="78"/>
  <c r="D250" i="18"/>
  <c r="D280" i="18"/>
  <c r="P384" i="78"/>
  <c r="P399" i="78"/>
  <c r="J381" i="78"/>
  <c r="D249" i="18"/>
  <c r="D279" i="18"/>
  <c r="P391" i="78"/>
  <c r="J395" i="78"/>
  <c r="D160" i="18"/>
  <c r="D130" i="18"/>
  <c r="P392" i="78"/>
  <c r="P401" i="78"/>
  <c r="D102" i="18"/>
  <c r="D72" i="18"/>
  <c r="J403" i="78"/>
  <c r="J386" i="78"/>
  <c r="D74" i="18" l="1"/>
  <c r="D104" i="18"/>
  <c r="J383" i="78"/>
  <c r="D282" i="18"/>
  <c r="AB383" i="78"/>
  <c r="D99" i="18"/>
  <c r="D69" i="18"/>
  <c r="D252" i="18"/>
  <c r="D150" i="18"/>
  <c r="D180" i="18"/>
  <c r="D182" i="18"/>
  <c r="D152" i="18"/>
  <c r="D158" i="18"/>
  <c r="D179" i="18"/>
  <c r="D149" i="18"/>
  <c r="D113" i="18"/>
  <c r="D83" i="18"/>
  <c r="D147" i="18"/>
  <c r="D177" i="18"/>
  <c r="D143" i="18"/>
  <c r="D173" i="18"/>
  <c r="D165" i="18"/>
  <c r="D135" i="18"/>
  <c r="D144" i="18"/>
  <c r="D174" i="18"/>
  <c r="D91" i="18"/>
  <c r="D121" i="18"/>
  <c r="D151" i="18"/>
  <c r="D181" i="18"/>
  <c r="D166" i="18"/>
  <c r="D136" i="18"/>
  <c r="D140" i="18"/>
  <c r="D170" i="18"/>
  <c r="D183" i="18"/>
  <c r="D153" i="18"/>
  <c r="D141" i="18"/>
  <c r="D171" i="18"/>
  <c r="D169" i="18"/>
  <c r="D139" i="18"/>
  <c r="D162" i="18"/>
  <c r="D132" i="18"/>
  <c r="D145" i="18"/>
  <c r="D175" i="18"/>
  <c r="D176" i="18"/>
  <c r="D146" i="18"/>
  <c r="J389" i="78"/>
  <c r="D168" i="18"/>
  <c r="D138" i="18"/>
  <c r="D172" i="18"/>
  <c r="D142" i="18"/>
  <c r="D148" i="18"/>
  <c r="D178" i="18"/>
  <c r="P383" i="78" l="1"/>
  <c r="P381" i="78"/>
  <c r="D71" i="18"/>
  <c r="D101" i="18"/>
  <c r="D107" i="18"/>
  <c r="D77" i="18"/>
  <c r="D159" i="18" l="1"/>
  <c r="D129" i="18"/>
  <c r="P386" i="78"/>
  <c r="D134" i="18" l="1"/>
  <c r="D164" i="18"/>
  <c r="D131" i="18"/>
  <c r="D161" i="18"/>
  <c r="P389" i="78" l="1"/>
  <c r="D167" i="18"/>
  <c r="D137" i="18"/>
  <c r="G126" i="22"/>
  <c r="C138" i="22"/>
  <c r="G143" i="22"/>
  <c r="D41" i="7"/>
  <c r="C72" i="7" s="1"/>
  <c r="B36" i="39"/>
  <c r="B67" i="39" s="1"/>
  <c r="C67" i="39" s="1"/>
  <c r="B51" i="10"/>
  <c r="P56" i="10"/>
  <c r="B63" i="10"/>
  <c r="AU582" i="78" s="1"/>
  <c r="F82" i="79" s="1"/>
  <c r="B180" i="78"/>
  <c r="C180" i="78"/>
  <c r="D180" i="78"/>
  <c r="E180" i="78"/>
  <c r="F180" i="78"/>
  <c r="G180" i="78"/>
  <c r="H180" i="78"/>
  <c r="I180" i="78"/>
  <c r="J180" i="78"/>
  <c r="K180" i="78"/>
  <c r="L180" i="78"/>
  <c r="M180" i="78"/>
  <c r="B181" i="78"/>
  <c r="B40" i="10" s="1"/>
  <c r="C181" i="78"/>
  <c r="D181" i="78"/>
  <c r="E181" i="78"/>
  <c r="F181" i="78"/>
  <c r="G181" i="78"/>
  <c r="H181" i="78"/>
  <c r="I181" i="78"/>
  <c r="J181" i="78"/>
  <c r="K181" i="78"/>
  <c r="L181" i="78"/>
  <c r="M181" i="78"/>
  <c r="B182" i="78"/>
  <c r="C182" i="78"/>
  <c r="D182" i="78"/>
  <c r="E182" i="78"/>
  <c r="F182" i="78"/>
  <c r="G182" i="78"/>
  <c r="H182" i="78"/>
  <c r="I182" i="78"/>
  <c r="J182" i="78"/>
  <c r="K182" i="78"/>
  <c r="L182" i="78"/>
  <c r="M182" i="78"/>
  <c r="B183" i="78"/>
  <c r="C183" i="78"/>
  <c r="D183" i="78"/>
  <c r="E183" i="78"/>
  <c r="F183" i="78"/>
  <c r="G183" i="78"/>
  <c r="H183" i="78"/>
  <c r="I183" i="78"/>
  <c r="J183" i="78"/>
  <c r="K183" i="78"/>
  <c r="L183" i="78"/>
  <c r="M183" i="78"/>
  <c r="B184" i="78"/>
  <c r="C184" i="78"/>
  <c r="D184" i="78"/>
  <c r="E184" i="78"/>
  <c r="F184" i="78"/>
  <c r="G184" i="78"/>
  <c r="H184" i="78"/>
  <c r="I184" i="78"/>
  <c r="J184" i="78"/>
  <c r="K184" i="78"/>
  <c r="L184" i="78"/>
  <c r="M184" i="78"/>
  <c r="B185" i="78"/>
  <c r="C185" i="78"/>
  <c r="D185" i="78"/>
  <c r="E185" i="78"/>
  <c r="F185" i="78"/>
  <c r="G185" i="78"/>
  <c r="H185" i="78"/>
  <c r="I185" i="78"/>
  <c r="J185" i="78"/>
  <c r="K185" i="78"/>
  <c r="L185" i="78"/>
  <c r="M185" i="78"/>
  <c r="B186" i="78"/>
  <c r="C186" i="78"/>
  <c r="D186" i="78"/>
  <c r="E186" i="78"/>
  <c r="F186" i="78"/>
  <c r="G186" i="78"/>
  <c r="H186" i="78"/>
  <c r="I186" i="78"/>
  <c r="J186" i="78"/>
  <c r="K186" i="78"/>
  <c r="L186" i="78"/>
  <c r="M186" i="78"/>
  <c r="B187" i="78"/>
  <c r="B47" i="10" s="1"/>
  <c r="C187" i="78"/>
  <c r="D187" i="78"/>
  <c r="E187" i="78"/>
  <c r="F187" i="78"/>
  <c r="G187" i="78"/>
  <c r="H187" i="78"/>
  <c r="I187" i="78"/>
  <c r="J187" i="78"/>
  <c r="K187" i="78"/>
  <c r="L187" i="78"/>
  <c r="M187" i="78"/>
  <c r="B188" i="78"/>
  <c r="C188" i="78"/>
  <c r="D188" i="78"/>
  <c r="E188" i="78"/>
  <c r="F188" i="78"/>
  <c r="G188" i="78"/>
  <c r="H188" i="78"/>
  <c r="I188" i="78"/>
  <c r="J188" i="78"/>
  <c r="K188" i="78"/>
  <c r="L188" i="78"/>
  <c r="M188" i="78"/>
  <c r="B189" i="78"/>
  <c r="C189" i="78"/>
  <c r="D189" i="78"/>
  <c r="E189" i="78"/>
  <c r="F189" i="78"/>
  <c r="G189" i="78"/>
  <c r="H189" i="78"/>
  <c r="I189" i="78"/>
  <c r="J189" i="78"/>
  <c r="K189" i="78"/>
  <c r="L189" i="78"/>
  <c r="M189" i="78"/>
  <c r="B190" i="78"/>
  <c r="C190" i="78"/>
  <c r="D190" i="78"/>
  <c r="E190" i="78"/>
  <c r="F190" i="78"/>
  <c r="G190" i="78"/>
  <c r="H190" i="78"/>
  <c r="I190" i="78"/>
  <c r="J190" i="78"/>
  <c r="K190" i="78"/>
  <c r="L190" i="78"/>
  <c r="M190" i="78"/>
  <c r="B191" i="78"/>
  <c r="C191" i="78"/>
  <c r="D191" i="78"/>
  <c r="E191" i="78"/>
  <c r="F191" i="78"/>
  <c r="G191" i="78"/>
  <c r="H191" i="78"/>
  <c r="I191" i="78"/>
  <c r="J191" i="78"/>
  <c r="K191" i="78"/>
  <c r="L191" i="78"/>
  <c r="M191" i="78"/>
  <c r="B192" i="78"/>
  <c r="C192" i="78"/>
  <c r="D192" i="78"/>
  <c r="E192" i="78"/>
  <c r="F192" i="78"/>
  <c r="G192" i="78"/>
  <c r="H192" i="78"/>
  <c r="I192" i="78"/>
  <c r="J192" i="78"/>
  <c r="K192" i="78"/>
  <c r="L192" i="78"/>
  <c r="M192" i="78"/>
  <c r="B193" i="78"/>
  <c r="C193" i="78"/>
  <c r="D193" i="78"/>
  <c r="E193" i="78"/>
  <c r="F193" i="78"/>
  <c r="G193" i="78"/>
  <c r="H193" i="78"/>
  <c r="I193" i="78"/>
  <c r="J193" i="78"/>
  <c r="K193" i="78"/>
  <c r="L193" i="78"/>
  <c r="M193" i="78"/>
  <c r="B194" i="78"/>
  <c r="C194" i="78"/>
  <c r="D194" i="78"/>
  <c r="E194" i="78"/>
  <c r="F194" i="78"/>
  <c r="G194" i="78"/>
  <c r="H194" i="78"/>
  <c r="I194" i="78"/>
  <c r="J194" i="78"/>
  <c r="K194" i="78"/>
  <c r="L194" i="78"/>
  <c r="M194" i="78"/>
  <c r="B195" i="78"/>
  <c r="C195" i="78"/>
  <c r="D195" i="78"/>
  <c r="E195" i="78"/>
  <c r="F195" i="78"/>
  <c r="G195" i="78"/>
  <c r="H195" i="78"/>
  <c r="I195" i="78"/>
  <c r="J195" i="78"/>
  <c r="K195" i="78"/>
  <c r="L195" i="78"/>
  <c r="M195" i="78"/>
  <c r="B196" i="78"/>
  <c r="C196" i="78"/>
  <c r="D196" i="78"/>
  <c r="E196" i="78"/>
  <c r="F196" i="78"/>
  <c r="G196" i="78"/>
  <c r="H196" i="78"/>
  <c r="I196" i="78"/>
  <c r="J196" i="78"/>
  <c r="K196" i="78"/>
  <c r="L196" i="78"/>
  <c r="M196" i="78"/>
  <c r="B197" i="78"/>
  <c r="C197" i="78"/>
  <c r="D197" i="78"/>
  <c r="E197" i="78"/>
  <c r="F197" i="78"/>
  <c r="G197" i="78"/>
  <c r="H197" i="78"/>
  <c r="I197" i="78"/>
  <c r="J197" i="78"/>
  <c r="K197" i="78"/>
  <c r="L197" i="78"/>
  <c r="M197" i="78"/>
  <c r="B198" i="78"/>
  <c r="C198" i="78"/>
  <c r="D198" i="78"/>
  <c r="E198" i="78"/>
  <c r="F198" i="78"/>
  <c r="G198" i="78"/>
  <c r="H198" i="78"/>
  <c r="I198" i="78"/>
  <c r="J198" i="78"/>
  <c r="K198" i="78"/>
  <c r="L198" i="78"/>
  <c r="M198" i="78"/>
  <c r="B201" i="78"/>
  <c r="C201" i="78"/>
  <c r="D201" i="78"/>
  <c r="E201" i="78"/>
  <c r="F201" i="78"/>
  <c r="G201" i="78"/>
  <c r="H201" i="78"/>
  <c r="I201" i="78"/>
  <c r="J201" i="78"/>
  <c r="K201" i="78"/>
  <c r="L201" i="78"/>
  <c r="M201" i="78"/>
  <c r="B202" i="78"/>
  <c r="C202" i="78"/>
  <c r="D202" i="78"/>
  <c r="E202" i="78"/>
  <c r="F202" i="78"/>
  <c r="G202" i="78"/>
  <c r="H202" i="78"/>
  <c r="I202" i="78"/>
  <c r="J202" i="78"/>
  <c r="K202" i="78"/>
  <c r="L202" i="78"/>
  <c r="M202" i="78"/>
  <c r="B203" i="78"/>
  <c r="P60" i="10" s="1"/>
  <c r="C203" i="78"/>
  <c r="D203" i="78"/>
  <c r="E203" i="78"/>
  <c r="F203" i="78"/>
  <c r="G203" i="78"/>
  <c r="H203" i="78"/>
  <c r="I203" i="78"/>
  <c r="J203" i="78"/>
  <c r="K203" i="78"/>
  <c r="L203" i="78"/>
  <c r="M203" i="78"/>
  <c r="B204" i="78"/>
  <c r="C204" i="78"/>
  <c r="D204" i="78"/>
  <c r="E204" i="78"/>
  <c r="F204" i="78"/>
  <c r="G204" i="78"/>
  <c r="H204" i="78"/>
  <c r="I204" i="78"/>
  <c r="J204" i="78"/>
  <c r="K204" i="78"/>
  <c r="L204" i="78"/>
  <c r="M204" i="78"/>
  <c r="B205" i="78"/>
  <c r="C205" i="78"/>
  <c r="D205" i="78"/>
  <c r="E205" i="78"/>
  <c r="F205" i="78"/>
  <c r="G205" i="78"/>
  <c r="H205" i="78"/>
  <c r="I205" i="78"/>
  <c r="J205" i="78"/>
  <c r="K205" i="78"/>
  <c r="L205" i="78"/>
  <c r="M205" i="78"/>
  <c r="B206" i="78"/>
  <c r="C206" i="78"/>
  <c r="D206" i="78"/>
  <c r="E206" i="78"/>
  <c r="F206" i="78"/>
  <c r="G206" i="78"/>
  <c r="H206" i="78"/>
  <c r="I206" i="78"/>
  <c r="J206" i="78"/>
  <c r="K206" i="78"/>
  <c r="L206" i="78"/>
  <c r="M206" i="78"/>
  <c r="B207" i="78"/>
  <c r="P64" i="10" s="1"/>
  <c r="C207" i="78"/>
  <c r="D207" i="78"/>
  <c r="E207" i="78"/>
  <c r="F207" i="78"/>
  <c r="G207" i="78"/>
  <c r="H207" i="78"/>
  <c r="I207" i="78"/>
  <c r="J207" i="78"/>
  <c r="K207" i="78"/>
  <c r="L207" i="78"/>
  <c r="M207" i="78"/>
  <c r="B208" i="78"/>
  <c r="C208" i="78"/>
  <c r="D208" i="78"/>
  <c r="E208" i="78"/>
  <c r="F208" i="78"/>
  <c r="G208" i="78"/>
  <c r="H208" i="78"/>
  <c r="I208" i="78"/>
  <c r="J208" i="78"/>
  <c r="K208" i="78"/>
  <c r="L208" i="78"/>
  <c r="M208" i="78"/>
  <c r="B216" i="78"/>
  <c r="C216" i="78"/>
  <c r="D216" i="78"/>
  <c r="E216" i="78"/>
  <c r="F216" i="78"/>
  <c r="G216" i="78"/>
  <c r="H216" i="78"/>
  <c r="I216" i="78"/>
  <c r="J216" i="78"/>
  <c r="K216" i="78"/>
  <c r="L216" i="78"/>
  <c r="M216" i="78"/>
  <c r="N216" i="78"/>
  <c r="B217" i="78"/>
  <c r="C217" i="78"/>
  <c r="D217" i="78"/>
  <c r="E217" i="78"/>
  <c r="F217" i="78"/>
  <c r="G217" i="78"/>
  <c r="H217" i="78"/>
  <c r="I217" i="78"/>
  <c r="J217" i="78"/>
  <c r="K217" i="78"/>
  <c r="L217" i="78"/>
  <c r="M217" i="78"/>
  <c r="N217" i="78"/>
  <c r="B218" i="78"/>
  <c r="C218" i="78"/>
  <c r="D218" i="78"/>
  <c r="E218" i="78"/>
  <c r="F218" i="78"/>
  <c r="G218" i="78"/>
  <c r="H218" i="78"/>
  <c r="I218" i="78"/>
  <c r="J218" i="78"/>
  <c r="K218" i="78"/>
  <c r="L218" i="78"/>
  <c r="M218" i="78"/>
  <c r="N218" i="78"/>
  <c r="B219" i="78"/>
  <c r="C219" i="78"/>
  <c r="D219" i="78"/>
  <c r="E219" i="78"/>
  <c r="F219" i="78"/>
  <c r="G219" i="78"/>
  <c r="H219" i="78"/>
  <c r="I219" i="78"/>
  <c r="J219" i="78"/>
  <c r="K219" i="78"/>
  <c r="L219" i="78"/>
  <c r="M219" i="78"/>
  <c r="N219" i="78"/>
  <c r="B220" i="78"/>
  <c r="C220" i="78"/>
  <c r="D220" i="78"/>
  <c r="E220" i="78"/>
  <c r="F220" i="78"/>
  <c r="G220" i="78"/>
  <c r="H220" i="78"/>
  <c r="I220" i="78"/>
  <c r="J220" i="78"/>
  <c r="K220" i="78"/>
  <c r="L220" i="78"/>
  <c r="M220" i="78"/>
  <c r="N220" i="78"/>
  <c r="B221" i="78"/>
  <c r="C221" i="78"/>
  <c r="D221" i="78"/>
  <c r="E221" i="78"/>
  <c r="F221" i="78"/>
  <c r="G221" i="78"/>
  <c r="H221" i="78"/>
  <c r="I221" i="78"/>
  <c r="J221" i="78"/>
  <c r="K221" i="78"/>
  <c r="L221" i="78"/>
  <c r="M221" i="78"/>
  <c r="N221" i="78"/>
  <c r="B222" i="78"/>
  <c r="C222" i="78"/>
  <c r="D222" i="78"/>
  <c r="E222" i="78"/>
  <c r="F222" i="78"/>
  <c r="G222" i="78"/>
  <c r="H222" i="78"/>
  <c r="I222" i="78"/>
  <c r="J222" i="78"/>
  <c r="K222" i="78"/>
  <c r="L222" i="78"/>
  <c r="M222" i="78"/>
  <c r="N222" i="78"/>
  <c r="B223" i="78"/>
  <c r="C223" i="78"/>
  <c r="D223" i="78"/>
  <c r="E223" i="78"/>
  <c r="F223" i="78"/>
  <c r="G223" i="78"/>
  <c r="H223" i="78"/>
  <c r="I223" i="78"/>
  <c r="J223" i="78"/>
  <c r="K223" i="78"/>
  <c r="L223" i="78"/>
  <c r="M223" i="78"/>
  <c r="N223" i="78"/>
  <c r="B224" i="78"/>
  <c r="C224" i="78"/>
  <c r="D224" i="78"/>
  <c r="E224" i="78"/>
  <c r="F224" i="78"/>
  <c r="G224" i="78"/>
  <c r="H224" i="78"/>
  <c r="I224" i="78"/>
  <c r="J224" i="78"/>
  <c r="K224" i="78"/>
  <c r="L224" i="78"/>
  <c r="M224" i="78"/>
  <c r="N224" i="78"/>
  <c r="B225" i="78"/>
  <c r="C225" i="78"/>
  <c r="D225" i="78"/>
  <c r="E225" i="78"/>
  <c r="F225" i="78"/>
  <c r="G225" i="78"/>
  <c r="H225" i="78"/>
  <c r="I225" i="78"/>
  <c r="J225" i="78"/>
  <c r="K225" i="78"/>
  <c r="L225" i="78"/>
  <c r="M225" i="78"/>
  <c r="N225" i="78"/>
  <c r="B226" i="78"/>
  <c r="C226" i="78"/>
  <c r="D226" i="78"/>
  <c r="E226" i="78"/>
  <c r="F226" i="78"/>
  <c r="G226" i="78"/>
  <c r="H226" i="78"/>
  <c r="I226" i="78"/>
  <c r="J226" i="78"/>
  <c r="K226" i="78"/>
  <c r="L226" i="78"/>
  <c r="M226" i="78"/>
  <c r="N226" i="78"/>
  <c r="B227" i="78"/>
  <c r="C227" i="78"/>
  <c r="D227" i="78"/>
  <c r="E227" i="78"/>
  <c r="F227" i="78"/>
  <c r="G227" i="78"/>
  <c r="H227" i="78"/>
  <c r="I227" i="78"/>
  <c r="J227" i="78"/>
  <c r="K227" i="78"/>
  <c r="L227" i="78"/>
  <c r="M227" i="78"/>
  <c r="N227" i="78"/>
  <c r="B228" i="78"/>
  <c r="C228" i="78"/>
  <c r="D228" i="78"/>
  <c r="E228" i="78"/>
  <c r="F228" i="78"/>
  <c r="G228" i="78"/>
  <c r="H228" i="78"/>
  <c r="I228" i="78"/>
  <c r="J228" i="78"/>
  <c r="K228" i="78"/>
  <c r="L228" i="78"/>
  <c r="M228" i="78"/>
  <c r="N228" i="78"/>
  <c r="B229" i="78"/>
  <c r="C229" i="78"/>
  <c r="D229" i="78"/>
  <c r="E229" i="78"/>
  <c r="F229" i="78"/>
  <c r="G229" i="78"/>
  <c r="H229" i="78"/>
  <c r="I229" i="78"/>
  <c r="J229" i="78"/>
  <c r="K229" i="78"/>
  <c r="L229" i="78"/>
  <c r="M229" i="78"/>
  <c r="N229" i="78"/>
  <c r="B230" i="78"/>
  <c r="C230" i="78"/>
  <c r="D230" i="78"/>
  <c r="E230" i="78"/>
  <c r="F230" i="78"/>
  <c r="G230" i="78"/>
  <c r="H230" i="78"/>
  <c r="I230" i="78"/>
  <c r="J230" i="78"/>
  <c r="K230" i="78"/>
  <c r="L230" i="78"/>
  <c r="M230" i="78"/>
  <c r="N230" i="78"/>
  <c r="B231" i="78"/>
  <c r="C231" i="78"/>
  <c r="D231" i="78"/>
  <c r="E231" i="78"/>
  <c r="F231" i="78"/>
  <c r="G231" i="78"/>
  <c r="H231" i="78"/>
  <c r="I231" i="78"/>
  <c r="J231" i="78"/>
  <c r="K231" i="78"/>
  <c r="L231" i="78"/>
  <c r="M231" i="78"/>
  <c r="N231" i="78"/>
  <c r="B232" i="78"/>
  <c r="C232" i="78"/>
  <c r="D232" i="78"/>
  <c r="E232" i="78"/>
  <c r="F232" i="78"/>
  <c r="G232" i="78"/>
  <c r="H232" i="78"/>
  <c r="I232" i="78"/>
  <c r="J232" i="78"/>
  <c r="K232" i="78"/>
  <c r="L232" i="78"/>
  <c r="M232" i="78"/>
  <c r="N232" i="78"/>
  <c r="B233" i="78"/>
  <c r="C233" i="78"/>
  <c r="D233" i="78"/>
  <c r="E233" i="78"/>
  <c r="F233" i="78"/>
  <c r="G233" i="78"/>
  <c r="H233" i="78"/>
  <c r="I233" i="78"/>
  <c r="J233" i="78"/>
  <c r="K233" i="78"/>
  <c r="L233" i="78"/>
  <c r="M233" i="78"/>
  <c r="N233" i="78"/>
  <c r="B234" i="78"/>
  <c r="C234" i="78"/>
  <c r="D234" i="78"/>
  <c r="E234" i="78"/>
  <c r="F234" i="78"/>
  <c r="G234" i="78"/>
  <c r="H234" i="78"/>
  <c r="I234" i="78"/>
  <c r="J234" i="78"/>
  <c r="K234" i="78"/>
  <c r="L234" i="78"/>
  <c r="M234" i="78"/>
  <c r="N234" i="78"/>
  <c r="B237" i="78"/>
  <c r="C237" i="78"/>
  <c r="D237" i="78"/>
  <c r="E237" i="78"/>
  <c r="F237" i="78"/>
  <c r="G237" i="78"/>
  <c r="H237" i="78"/>
  <c r="I237" i="78"/>
  <c r="J237" i="78"/>
  <c r="K237" i="78"/>
  <c r="L237" i="78"/>
  <c r="M237" i="78"/>
  <c r="N237" i="78"/>
  <c r="B238" i="78"/>
  <c r="C238" i="78"/>
  <c r="D238" i="78"/>
  <c r="E238" i="78"/>
  <c r="F238" i="78"/>
  <c r="G238" i="78"/>
  <c r="H238" i="78"/>
  <c r="I238" i="78"/>
  <c r="J238" i="78"/>
  <c r="K238" i="78"/>
  <c r="L238" i="78"/>
  <c r="M238" i="78"/>
  <c r="N238" i="78"/>
  <c r="B239" i="78"/>
  <c r="C239" i="78"/>
  <c r="D239" i="78"/>
  <c r="E239" i="78"/>
  <c r="F239" i="78"/>
  <c r="G239" i="78"/>
  <c r="H239" i="78"/>
  <c r="I239" i="78"/>
  <c r="J239" i="78"/>
  <c r="K239" i="78"/>
  <c r="L239" i="78"/>
  <c r="M239" i="78"/>
  <c r="N239" i="78"/>
  <c r="B240" i="78"/>
  <c r="B61" i="10" s="1"/>
  <c r="AU580" i="78" s="1"/>
  <c r="F80" i="79" s="1"/>
  <c r="C240" i="78"/>
  <c r="D240" i="78"/>
  <c r="E240" i="78"/>
  <c r="F240" i="78"/>
  <c r="G240" i="78"/>
  <c r="H240" i="78"/>
  <c r="I240" i="78"/>
  <c r="J240" i="78"/>
  <c r="K240" i="78"/>
  <c r="L240" i="78"/>
  <c r="M240" i="78"/>
  <c r="N240" i="78"/>
  <c r="B241" i="78"/>
  <c r="C241" i="78"/>
  <c r="D241" i="78"/>
  <c r="E241" i="78"/>
  <c r="F241" i="78"/>
  <c r="G241" i="78"/>
  <c r="H241" i="78"/>
  <c r="I241" i="78"/>
  <c r="J241" i="78"/>
  <c r="K241" i="78"/>
  <c r="L241" i="78"/>
  <c r="M241" i="78"/>
  <c r="N241" i="78"/>
  <c r="B242" i="78"/>
  <c r="C242" i="78"/>
  <c r="D242" i="78"/>
  <c r="E242" i="78"/>
  <c r="F242" i="78"/>
  <c r="G242" i="78"/>
  <c r="H242" i="78"/>
  <c r="I242" i="78"/>
  <c r="J242" i="78"/>
  <c r="K242" i="78"/>
  <c r="L242" i="78"/>
  <c r="M242" i="78"/>
  <c r="N242" i="78"/>
  <c r="B243" i="78"/>
  <c r="C243" i="78"/>
  <c r="D243" i="78"/>
  <c r="E243" i="78"/>
  <c r="F243" i="78"/>
  <c r="G243" i="78"/>
  <c r="H243" i="78"/>
  <c r="I243" i="78"/>
  <c r="J243" i="78"/>
  <c r="K243" i="78"/>
  <c r="L243" i="78"/>
  <c r="M243" i="78"/>
  <c r="N243" i="78"/>
  <c r="B244" i="78"/>
  <c r="C244" i="78"/>
  <c r="D244" i="78"/>
  <c r="E244" i="78"/>
  <c r="F244" i="78"/>
  <c r="G244" i="78"/>
  <c r="H244" i="78"/>
  <c r="I244" i="78"/>
  <c r="J244" i="78"/>
  <c r="K244" i="78"/>
  <c r="L244" i="78"/>
  <c r="M244" i="78"/>
  <c r="N244" i="78"/>
  <c r="B250" i="78"/>
  <c r="E250" i="78"/>
  <c r="B251" i="78"/>
  <c r="E251" i="78"/>
  <c r="B252" i="78"/>
  <c r="E252" i="78"/>
  <c r="B253" i="78"/>
  <c r="E253" i="78"/>
  <c r="B254" i="78"/>
  <c r="E254" i="78"/>
  <c r="B255" i="78"/>
  <c r="E255" i="78"/>
  <c r="B256" i="78"/>
  <c r="E256" i="78"/>
  <c r="B257" i="78"/>
  <c r="E257" i="78"/>
  <c r="B258" i="78"/>
  <c r="E258" i="78"/>
  <c r="B259" i="78"/>
  <c r="E259" i="78"/>
  <c r="B260" i="78"/>
  <c r="E260" i="78"/>
  <c r="B261" i="78"/>
  <c r="E261" i="78"/>
  <c r="B262" i="78"/>
  <c r="E262" i="78"/>
  <c r="B263" i="78"/>
  <c r="E263" i="78"/>
  <c r="B264" i="78"/>
  <c r="E264" i="78"/>
  <c r="B265" i="78"/>
  <c r="E265" i="78"/>
  <c r="B266" i="78"/>
  <c r="E266" i="78"/>
  <c r="B267" i="78"/>
  <c r="E267" i="78"/>
  <c r="B268" i="78"/>
  <c r="E268" i="78"/>
  <c r="B271" i="78"/>
  <c r="E271" i="78"/>
  <c r="B272" i="78"/>
  <c r="E272" i="78"/>
  <c r="B273" i="78"/>
  <c r="E273" i="78"/>
  <c r="B274" i="78"/>
  <c r="E274" i="78"/>
  <c r="B275" i="78"/>
  <c r="E275" i="78"/>
  <c r="B276" i="78"/>
  <c r="E276" i="78"/>
  <c r="B277" i="78"/>
  <c r="E277" i="78"/>
  <c r="B278" i="78"/>
  <c r="E278" i="78"/>
  <c r="B284" i="78"/>
  <c r="D284" i="78"/>
  <c r="B285" i="78"/>
  <c r="D285" i="78"/>
  <c r="B286" i="78"/>
  <c r="D286" i="78"/>
  <c r="B287" i="78"/>
  <c r="D287" i="78"/>
  <c r="B288" i="78"/>
  <c r="D288" i="78"/>
  <c r="B289" i="78"/>
  <c r="D289" i="78"/>
  <c r="B290" i="78"/>
  <c r="C290" i="78"/>
  <c r="D290" i="78"/>
  <c r="E290" i="78"/>
  <c r="B291" i="78"/>
  <c r="C291" i="78"/>
  <c r="D291" i="78"/>
  <c r="E291" i="78"/>
  <c r="B292" i="78"/>
  <c r="C292" i="78"/>
  <c r="D292" i="78"/>
  <c r="E292" i="78"/>
  <c r="B293" i="78"/>
  <c r="C293" i="78"/>
  <c r="D293" i="78"/>
  <c r="E293" i="78"/>
  <c r="B294" i="78"/>
  <c r="C294" i="78"/>
  <c r="D294" i="78"/>
  <c r="E294" i="78"/>
  <c r="B295" i="78"/>
  <c r="C295" i="78"/>
  <c r="D295" i="78"/>
  <c r="E295" i="78"/>
  <c r="B296" i="78"/>
  <c r="C296" i="78"/>
  <c r="D296" i="78"/>
  <c r="E296" i="78"/>
  <c r="B297" i="78"/>
  <c r="C297" i="78"/>
  <c r="B65" i="10" s="1"/>
  <c r="AU584" i="78" s="1"/>
  <c r="F84" i="79" s="1"/>
  <c r="D297" i="78"/>
  <c r="E297" i="78"/>
  <c r="B298" i="78"/>
  <c r="D298" i="78"/>
  <c r="B299" i="78"/>
  <c r="D299" i="78"/>
  <c r="B300" i="78"/>
  <c r="D300" i="78"/>
  <c r="B301" i="78"/>
  <c r="D301" i="78"/>
  <c r="B302" i="78"/>
  <c r="D302" i="78"/>
  <c r="B309" i="78"/>
  <c r="F309" i="78"/>
  <c r="J309" i="78"/>
  <c r="N309" i="78"/>
  <c r="R309" i="78"/>
  <c r="V309" i="78"/>
  <c r="AD309" i="78"/>
  <c r="B310" i="78"/>
  <c r="F310" i="78"/>
  <c r="J310" i="78"/>
  <c r="N310" i="78"/>
  <c r="R310" i="78"/>
  <c r="V310" i="78"/>
  <c r="AD310" i="78"/>
  <c r="B311" i="78"/>
  <c r="F311" i="78"/>
  <c r="J311" i="78"/>
  <c r="N311" i="78"/>
  <c r="R311" i="78"/>
  <c r="V311" i="78"/>
  <c r="AD311" i="78"/>
  <c r="B312" i="78"/>
  <c r="F312" i="78"/>
  <c r="J312" i="78"/>
  <c r="N312" i="78"/>
  <c r="R312" i="78"/>
  <c r="V312" i="78"/>
  <c r="AD312" i="78"/>
  <c r="B313" i="78"/>
  <c r="F313" i="78"/>
  <c r="B21" i="35" s="1"/>
  <c r="J313" i="78"/>
  <c r="N313" i="78"/>
  <c r="R313" i="78"/>
  <c r="V313" i="78"/>
  <c r="AD313" i="78"/>
  <c r="B314" i="78"/>
  <c r="F314" i="78"/>
  <c r="J314" i="78"/>
  <c r="N314" i="78"/>
  <c r="R314" i="78"/>
  <c r="V314" i="78"/>
  <c r="AD314" i="78"/>
  <c r="B315" i="78"/>
  <c r="D315" i="78"/>
  <c r="F315" i="78"/>
  <c r="H315" i="78"/>
  <c r="J315" i="78"/>
  <c r="L315" i="78"/>
  <c r="N315" i="78"/>
  <c r="P315" i="78"/>
  <c r="R315" i="78"/>
  <c r="T315" i="78"/>
  <c r="V315" i="78"/>
  <c r="X315" i="78"/>
  <c r="AD315" i="78"/>
  <c r="AF315" i="78"/>
  <c r="B316" i="78"/>
  <c r="D316" i="78"/>
  <c r="F316" i="78"/>
  <c r="H316" i="78"/>
  <c r="J316" i="78"/>
  <c r="L316" i="78"/>
  <c r="N316" i="78"/>
  <c r="P316" i="78"/>
  <c r="R316" i="78"/>
  <c r="T316" i="78"/>
  <c r="V316" i="78"/>
  <c r="X316" i="78"/>
  <c r="AD316" i="78"/>
  <c r="AF316" i="78"/>
  <c r="B317" i="78"/>
  <c r="D317" i="78"/>
  <c r="F317" i="78"/>
  <c r="H317" i="78"/>
  <c r="J317" i="78"/>
  <c r="L317" i="78"/>
  <c r="N317" i="78"/>
  <c r="P317" i="78"/>
  <c r="R317" i="78"/>
  <c r="T317" i="78"/>
  <c r="V317" i="78"/>
  <c r="X317" i="78"/>
  <c r="AD317" i="78"/>
  <c r="AF317" i="78"/>
  <c r="B318" i="78"/>
  <c r="D318" i="78"/>
  <c r="F318" i="78"/>
  <c r="H318" i="78"/>
  <c r="J318" i="78"/>
  <c r="L318" i="78"/>
  <c r="N318" i="78"/>
  <c r="P318" i="78"/>
  <c r="R318" i="78"/>
  <c r="T318" i="78"/>
  <c r="V318" i="78"/>
  <c r="X318" i="78"/>
  <c r="AD318" i="78"/>
  <c r="AF318" i="78"/>
  <c r="B319" i="78"/>
  <c r="D319" i="78"/>
  <c r="F319" i="78"/>
  <c r="H319" i="78"/>
  <c r="J319" i="78"/>
  <c r="L319" i="78"/>
  <c r="N319" i="78"/>
  <c r="P319" i="78"/>
  <c r="R319" i="78"/>
  <c r="T319" i="78"/>
  <c r="V319" i="78"/>
  <c r="X319" i="78"/>
  <c r="AD319" i="78"/>
  <c r="AF319" i="78"/>
  <c r="B320" i="78"/>
  <c r="D320" i="78"/>
  <c r="F320" i="78"/>
  <c r="H320" i="78"/>
  <c r="J320" i="78"/>
  <c r="L320" i="78"/>
  <c r="N320" i="78"/>
  <c r="P320" i="78"/>
  <c r="R320" i="78"/>
  <c r="T320" i="78"/>
  <c r="V320" i="78"/>
  <c r="X320" i="78"/>
  <c r="AD320" i="78"/>
  <c r="AF320" i="78"/>
  <c r="B321" i="78"/>
  <c r="D321" i="78"/>
  <c r="F321" i="78"/>
  <c r="H321" i="78"/>
  <c r="J321" i="78"/>
  <c r="L321" i="78"/>
  <c r="N321" i="78"/>
  <c r="P321" i="78"/>
  <c r="R321" i="78"/>
  <c r="T321" i="78"/>
  <c r="V321" i="78"/>
  <c r="X321" i="78"/>
  <c r="AD321" i="78"/>
  <c r="AF321" i="78"/>
  <c r="B322" i="78"/>
  <c r="D322" i="78"/>
  <c r="F322" i="78"/>
  <c r="H322" i="78"/>
  <c r="J322" i="78"/>
  <c r="L322" i="78"/>
  <c r="N322" i="78"/>
  <c r="P322" i="78"/>
  <c r="R322" i="78"/>
  <c r="T322" i="78"/>
  <c r="V322" i="78"/>
  <c r="X322" i="78"/>
  <c r="AD322" i="78"/>
  <c r="AF322" i="78"/>
  <c r="B323" i="78"/>
  <c r="F323" i="78"/>
  <c r="B31" i="35" s="1"/>
  <c r="J323" i="78"/>
  <c r="N323" i="78"/>
  <c r="R323" i="78"/>
  <c r="V323" i="78"/>
  <c r="AD323" i="78"/>
  <c r="B324" i="78"/>
  <c r="F324" i="78"/>
  <c r="J324" i="78"/>
  <c r="N324" i="78"/>
  <c r="R324" i="78"/>
  <c r="V324" i="78"/>
  <c r="AD324" i="78"/>
  <c r="B325" i="78"/>
  <c r="F325" i="78"/>
  <c r="J325" i="78"/>
  <c r="N325" i="78"/>
  <c r="R325" i="78"/>
  <c r="V325" i="78"/>
  <c r="AD325" i="78"/>
  <c r="B326" i="78"/>
  <c r="F326" i="78"/>
  <c r="J326" i="78"/>
  <c r="N326" i="78"/>
  <c r="R326" i="78"/>
  <c r="V326" i="78"/>
  <c r="AD326" i="78"/>
  <c r="B327" i="78"/>
  <c r="F327" i="78"/>
  <c r="J327" i="78"/>
  <c r="N327" i="78"/>
  <c r="R327" i="78"/>
  <c r="V327" i="78"/>
  <c r="AD327" i="78"/>
  <c r="B342" i="78"/>
  <c r="C342" i="78"/>
  <c r="D342" i="78"/>
  <c r="E342" i="78"/>
  <c r="F342" i="78"/>
  <c r="G342" i="78"/>
  <c r="H342" i="78"/>
  <c r="I342" i="78"/>
  <c r="J342" i="78"/>
  <c r="K342" i="78"/>
  <c r="L342" i="78"/>
  <c r="M342" i="78"/>
  <c r="N342" i="78"/>
  <c r="O342" i="78"/>
  <c r="P342" i="78"/>
  <c r="Q342" i="78"/>
  <c r="R342" i="78"/>
  <c r="S342" i="78"/>
  <c r="T342" i="78"/>
  <c r="B343" i="78"/>
  <c r="C343" i="78"/>
  <c r="D343" i="78"/>
  <c r="E343" i="78"/>
  <c r="F343" i="78"/>
  <c r="G343" i="78"/>
  <c r="H343" i="78"/>
  <c r="I343" i="78"/>
  <c r="J343" i="78"/>
  <c r="K343" i="78"/>
  <c r="L343" i="78"/>
  <c r="M343" i="78"/>
  <c r="N343" i="78"/>
  <c r="O343" i="78"/>
  <c r="P343" i="78"/>
  <c r="Q343" i="78"/>
  <c r="R343" i="78"/>
  <c r="S343" i="78"/>
  <c r="T343" i="78"/>
  <c r="B344" i="78"/>
  <c r="C344" i="78"/>
  <c r="D344" i="78"/>
  <c r="E344" i="78"/>
  <c r="F344" i="78"/>
  <c r="G344" i="78"/>
  <c r="H344" i="78"/>
  <c r="I344" i="78"/>
  <c r="J344" i="78"/>
  <c r="K344" i="78"/>
  <c r="L344" i="78"/>
  <c r="M344" i="78"/>
  <c r="N344" i="78"/>
  <c r="O344" i="78"/>
  <c r="P344" i="78"/>
  <c r="Q344" i="78"/>
  <c r="R344" i="78"/>
  <c r="S344" i="78"/>
  <c r="T344" i="78"/>
  <c r="B345" i="78"/>
  <c r="C345" i="78"/>
  <c r="D345" i="78"/>
  <c r="E345" i="78"/>
  <c r="F345" i="78"/>
  <c r="G345" i="78"/>
  <c r="H345" i="78"/>
  <c r="I345" i="78"/>
  <c r="J345" i="78"/>
  <c r="K345" i="78"/>
  <c r="L345" i="78"/>
  <c r="M345" i="78"/>
  <c r="N345" i="78"/>
  <c r="O345" i="78"/>
  <c r="P345" i="78"/>
  <c r="Q345" i="78"/>
  <c r="R345" i="78"/>
  <c r="S345" i="78"/>
  <c r="T345" i="78"/>
  <c r="B346" i="78"/>
  <c r="C346" i="78"/>
  <c r="D346" i="78"/>
  <c r="E346" i="78"/>
  <c r="F346" i="78"/>
  <c r="G346" i="78"/>
  <c r="H346" i="78"/>
  <c r="I346" i="78"/>
  <c r="J346" i="78"/>
  <c r="K346" i="78"/>
  <c r="L346" i="78"/>
  <c r="M346" i="78"/>
  <c r="N346" i="78"/>
  <c r="O346" i="78"/>
  <c r="P346" i="78"/>
  <c r="Q346" i="78"/>
  <c r="R346" i="78"/>
  <c r="S346" i="78"/>
  <c r="T346" i="78"/>
  <c r="B347" i="78"/>
  <c r="C347" i="78"/>
  <c r="D347" i="78"/>
  <c r="E347" i="78"/>
  <c r="F347" i="78"/>
  <c r="G347" i="78"/>
  <c r="H347" i="78"/>
  <c r="I347" i="78"/>
  <c r="J347" i="78"/>
  <c r="K347" i="78"/>
  <c r="L347" i="78"/>
  <c r="M347" i="78"/>
  <c r="N347" i="78"/>
  <c r="O347" i="78"/>
  <c r="P347" i="78"/>
  <c r="Q347" i="78"/>
  <c r="R347" i="78"/>
  <c r="S347" i="78"/>
  <c r="T347" i="78"/>
  <c r="B348" i="78"/>
  <c r="C348" i="78"/>
  <c r="D348" i="78"/>
  <c r="D359" i="78" s="1"/>
  <c r="D360" i="78" s="1"/>
  <c r="E348" i="78"/>
  <c r="F348" i="78"/>
  <c r="G348" i="78"/>
  <c r="H348" i="78"/>
  <c r="I348" i="78"/>
  <c r="J348" i="78"/>
  <c r="K348" i="78"/>
  <c r="L348" i="78"/>
  <c r="L359" i="78" s="1"/>
  <c r="L360" i="78" s="1"/>
  <c r="M348" i="78"/>
  <c r="N348" i="78"/>
  <c r="O348" i="78"/>
  <c r="P348" i="78"/>
  <c r="Q348" i="78"/>
  <c r="R348" i="78"/>
  <c r="S348" i="78"/>
  <c r="T348" i="78"/>
  <c r="B349" i="78"/>
  <c r="C349" i="78"/>
  <c r="C359" i="78" s="1"/>
  <c r="C360" i="78" s="1"/>
  <c r="D349" i="78"/>
  <c r="E349" i="78"/>
  <c r="F349" i="78"/>
  <c r="G349" i="78"/>
  <c r="H349" i="78"/>
  <c r="I349" i="78"/>
  <c r="I359" i="78" s="1"/>
  <c r="I360" i="78" s="1"/>
  <c r="J349" i="78"/>
  <c r="K349" i="78"/>
  <c r="K359" i="78" s="1"/>
  <c r="K360" i="78" s="1"/>
  <c r="L349" i="78"/>
  <c r="M349" i="78"/>
  <c r="N349" i="78"/>
  <c r="O349" i="78"/>
  <c r="P349" i="78"/>
  <c r="Q349" i="78"/>
  <c r="Q359" i="78" s="1"/>
  <c r="Q360" i="78" s="1"/>
  <c r="R349" i="78"/>
  <c r="S349" i="78"/>
  <c r="S359" i="78" s="1"/>
  <c r="S360" i="78" s="1"/>
  <c r="T349" i="78"/>
  <c r="B350" i="78"/>
  <c r="C350" i="78"/>
  <c r="D350" i="78"/>
  <c r="E350" i="78"/>
  <c r="F350" i="78"/>
  <c r="G350" i="78"/>
  <c r="H350" i="78"/>
  <c r="I350" i="78"/>
  <c r="J350" i="78"/>
  <c r="K350" i="78"/>
  <c r="L350" i="78"/>
  <c r="M350" i="78"/>
  <c r="N350" i="78"/>
  <c r="O350" i="78"/>
  <c r="P350" i="78"/>
  <c r="Q350" i="78"/>
  <c r="R350" i="78"/>
  <c r="S350" i="78"/>
  <c r="T350" i="78"/>
  <c r="B351" i="78"/>
  <c r="C351" i="78"/>
  <c r="D351" i="78"/>
  <c r="E351" i="78"/>
  <c r="F351" i="78"/>
  <c r="G351" i="78"/>
  <c r="H351" i="78"/>
  <c r="I351" i="78"/>
  <c r="J351" i="78"/>
  <c r="K351" i="78"/>
  <c r="L351" i="78"/>
  <c r="M351" i="78"/>
  <c r="N351" i="78"/>
  <c r="O351" i="78"/>
  <c r="P351" i="78"/>
  <c r="Q351" i="78"/>
  <c r="R351" i="78"/>
  <c r="S351" i="78"/>
  <c r="T351" i="78"/>
  <c r="B352" i="78"/>
  <c r="C352" i="78"/>
  <c r="D352" i="78"/>
  <c r="E352" i="78"/>
  <c r="F352" i="78"/>
  <c r="G352" i="78"/>
  <c r="H352" i="78"/>
  <c r="I352" i="78"/>
  <c r="J352" i="78"/>
  <c r="K352" i="78"/>
  <c r="L352" i="78"/>
  <c r="M352" i="78"/>
  <c r="N352" i="78"/>
  <c r="O352" i="78"/>
  <c r="P352" i="78"/>
  <c r="Q352" i="78"/>
  <c r="R352" i="78"/>
  <c r="S352" i="78"/>
  <c r="T352" i="78"/>
  <c r="B353" i="78"/>
  <c r="C353" i="78"/>
  <c r="D353" i="78"/>
  <c r="E353" i="78"/>
  <c r="F353" i="78"/>
  <c r="G353" i="78"/>
  <c r="H353" i="78"/>
  <c r="I353" i="78"/>
  <c r="J353" i="78"/>
  <c r="K353" i="78"/>
  <c r="L353" i="78"/>
  <c r="M353" i="78"/>
  <c r="N353" i="78"/>
  <c r="O353" i="78"/>
  <c r="P353" i="78"/>
  <c r="Q353" i="78"/>
  <c r="R353" i="78"/>
  <c r="S353" i="78"/>
  <c r="T353" i="78"/>
  <c r="B354" i="78"/>
  <c r="C354" i="78"/>
  <c r="D354" i="78"/>
  <c r="E354" i="78"/>
  <c r="F354" i="78"/>
  <c r="G354" i="78"/>
  <c r="H354" i="78"/>
  <c r="I354" i="78"/>
  <c r="J354" i="78"/>
  <c r="K354" i="78"/>
  <c r="L354" i="78"/>
  <c r="M354" i="78"/>
  <c r="N354" i="78"/>
  <c r="O354" i="78"/>
  <c r="P354" i="78"/>
  <c r="Q354" i="78"/>
  <c r="R354" i="78"/>
  <c r="S354" i="78"/>
  <c r="T354" i="78"/>
  <c r="B355" i="78"/>
  <c r="C355" i="78"/>
  <c r="D355" i="78"/>
  <c r="E355" i="78"/>
  <c r="F355" i="78"/>
  <c r="G355" i="78"/>
  <c r="H355" i="78"/>
  <c r="I355" i="78"/>
  <c r="J355" i="78"/>
  <c r="K355" i="78"/>
  <c r="L355" i="78"/>
  <c r="M355" i="78"/>
  <c r="N355" i="78"/>
  <c r="O355" i="78"/>
  <c r="P355" i="78"/>
  <c r="Q355" i="78"/>
  <c r="R355" i="78"/>
  <c r="S355" i="78"/>
  <c r="T355" i="78"/>
  <c r="B356" i="78"/>
  <c r="C356" i="78"/>
  <c r="D356" i="78"/>
  <c r="E356" i="78"/>
  <c r="F356" i="78"/>
  <c r="G356" i="78"/>
  <c r="H356" i="78"/>
  <c r="I356" i="78"/>
  <c r="J356" i="78"/>
  <c r="K356" i="78"/>
  <c r="L356" i="78"/>
  <c r="M356" i="78"/>
  <c r="N356" i="78"/>
  <c r="O356" i="78"/>
  <c r="P356" i="78"/>
  <c r="Q356" i="78"/>
  <c r="R356" i="78"/>
  <c r="S356" i="78"/>
  <c r="T356" i="78"/>
  <c r="B357" i="78"/>
  <c r="C357" i="78"/>
  <c r="D357" i="78"/>
  <c r="E357" i="78"/>
  <c r="F357" i="78"/>
  <c r="G357" i="78"/>
  <c r="H357" i="78"/>
  <c r="I357" i="78"/>
  <c r="J357" i="78"/>
  <c r="K357" i="78"/>
  <c r="L357" i="78"/>
  <c r="M357" i="78"/>
  <c r="N357" i="78"/>
  <c r="O357" i="78"/>
  <c r="P357" i="78"/>
  <c r="Q357" i="78"/>
  <c r="R357" i="78"/>
  <c r="S357" i="78"/>
  <c r="T357" i="78"/>
  <c r="B358" i="78"/>
  <c r="B359" i="78" s="1"/>
  <c r="B360" i="78" s="1"/>
  <c r="C358" i="78"/>
  <c r="D358" i="78"/>
  <c r="E358" i="78"/>
  <c r="F358" i="78"/>
  <c r="G358" i="78"/>
  <c r="H358" i="78"/>
  <c r="H359" i="78" s="1"/>
  <c r="H360" i="78" s="1"/>
  <c r="I358" i="78"/>
  <c r="J358" i="78"/>
  <c r="J359" i="78" s="1"/>
  <c r="J360" i="78" s="1"/>
  <c r="K358" i="78"/>
  <c r="L358" i="78"/>
  <c r="M358" i="78"/>
  <c r="N358" i="78"/>
  <c r="O358" i="78"/>
  <c r="P358" i="78"/>
  <c r="P359" i="78" s="1"/>
  <c r="P360" i="78" s="1"/>
  <c r="Q358" i="78"/>
  <c r="R358" i="78"/>
  <c r="R359" i="78" s="1"/>
  <c r="R360" i="78" s="1"/>
  <c r="S358" i="78"/>
  <c r="T358" i="78"/>
  <c r="E359" i="78"/>
  <c r="E360" i="78" s="1"/>
  <c r="G359" i="78"/>
  <c r="G360" i="78" s="1"/>
  <c r="N359" i="78"/>
  <c r="N360" i="78" s="1"/>
  <c r="O359" i="78"/>
  <c r="T359" i="78"/>
  <c r="T360" i="78" s="1"/>
  <c r="M360" i="78"/>
  <c r="O360" i="78"/>
  <c r="M362" i="78"/>
  <c r="B363" i="78"/>
  <c r="C363" i="78"/>
  <c r="D363" i="78"/>
  <c r="E363" i="78"/>
  <c r="F363" i="78"/>
  <c r="G363" i="78"/>
  <c r="H363" i="78"/>
  <c r="I363" i="78"/>
  <c r="J363" i="78"/>
  <c r="K363" i="78"/>
  <c r="L363" i="78"/>
  <c r="M363" i="78"/>
  <c r="N363" i="78"/>
  <c r="O363" i="78"/>
  <c r="P363" i="78"/>
  <c r="Q363" i="78"/>
  <c r="R363" i="78"/>
  <c r="S363" i="78"/>
  <c r="T363" i="78"/>
  <c r="B364" i="78"/>
  <c r="C364" i="78"/>
  <c r="D364" i="78"/>
  <c r="E364" i="78"/>
  <c r="F364" i="78"/>
  <c r="G364" i="78"/>
  <c r="H364" i="78"/>
  <c r="I364" i="78"/>
  <c r="J364" i="78"/>
  <c r="K364" i="78"/>
  <c r="L364" i="78"/>
  <c r="M364" i="78"/>
  <c r="N364" i="78"/>
  <c r="O364" i="78"/>
  <c r="P364" i="78"/>
  <c r="Q364" i="78"/>
  <c r="R364" i="78"/>
  <c r="S364" i="78"/>
  <c r="T364" i="78"/>
  <c r="B365" i="78"/>
  <c r="C365" i="78"/>
  <c r="D365" i="78"/>
  <c r="E365" i="78"/>
  <c r="F365" i="78"/>
  <c r="G365" i="78"/>
  <c r="H365" i="78"/>
  <c r="I365" i="78"/>
  <c r="J365" i="78"/>
  <c r="K365" i="78"/>
  <c r="L365" i="78"/>
  <c r="M365" i="78"/>
  <c r="N365" i="78"/>
  <c r="O365" i="78"/>
  <c r="P365" i="78"/>
  <c r="Q365" i="78"/>
  <c r="R365" i="78"/>
  <c r="S365" i="78"/>
  <c r="T365" i="78"/>
  <c r="B366" i="78"/>
  <c r="C366" i="78"/>
  <c r="D366" i="78"/>
  <c r="E366" i="78"/>
  <c r="F366" i="78"/>
  <c r="G366" i="78"/>
  <c r="H366" i="78"/>
  <c r="I366" i="78"/>
  <c r="J366" i="78"/>
  <c r="K366" i="78"/>
  <c r="L366" i="78"/>
  <c r="M366" i="78"/>
  <c r="N366" i="78"/>
  <c r="O366" i="78"/>
  <c r="P366" i="78"/>
  <c r="Q366" i="78"/>
  <c r="R366" i="78"/>
  <c r="S366" i="78"/>
  <c r="T366" i="78"/>
  <c r="B367" i="78"/>
  <c r="C367" i="78"/>
  <c r="D367" i="78"/>
  <c r="E367" i="78"/>
  <c r="F367" i="78"/>
  <c r="G367" i="78"/>
  <c r="H367" i="78"/>
  <c r="I367" i="78"/>
  <c r="J367" i="78"/>
  <c r="K367" i="78"/>
  <c r="L367" i="78"/>
  <c r="M367" i="78"/>
  <c r="N367" i="78"/>
  <c r="O367" i="78"/>
  <c r="P367" i="78"/>
  <c r="Q367" i="78"/>
  <c r="R367" i="78"/>
  <c r="S367" i="78"/>
  <c r="T367" i="78"/>
  <c r="B368" i="78"/>
  <c r="C368" i="78"/>
  <c r="D368" i="78"/>
  <c r="E368" i="78"/>
  <c r="F368" i="78"/>
  <c r="G368" i="78"/>
  <c r="H368" i="78"/>
  <c r="I368" i="78"/>
  <c r="J368" i="78"/>
  <c r="K368" i="78"/>
  <c r="L368" i="78"/>
  <c r="N368" i="78"/>
  <c r="O368" i="78"/>
  <c r="P368" i="78"/>
  <c r="Q368" i="78"/>
  <c r="R368" i="78"/>
  <c r="S368" i="78"/>
  <c r="T368" i="78"/>
  <c r="B369" i="78"/>
  <c r="C369" i="78"/>
  <c r="D369" i="78"/>
  <c r="E369" i="78"/>
  <c r="F369" i="78"/>
  <c r="G369" i="78"/>
  <c r="H369" i="78"/>
  <c r="I369" i="78"/>
  <c r="J369" i="78"/>
  <c r="K369" i="78"/>
  <c r="L369" i="78"/>
  <c r="N369" i="78"/>
  <c r="O369" i="78"/>
  <c r="P369" i="78"/>
  <c r="Q369" i="78"/>
  <c r="R369" i="78"/>
  <c r="S369" i="78"/>
  <c r="T369" i="78"/>
  <c r="B370" i="78"/>
  <c r="C370" i="78"/>
  <c r="D370" i="78"/>
  <c r="E370" i="78"/>
  <c r="F370" i="78"/>
  <c r="G370" i="78"/>
  <c r="H370" i="78"/>
  <c r="I370" i="78"/>
  <c r="J370" i="78"/>
  <c r="K370" i="78"/>
  <c r="L370" i="78"/>
  <c r="N370" i="78"/>
  <c r="O370" i="78"/>
  <c r="P370" i="78"/>
  <c r="Q370" i="78"/>
  <c r="R370" i="78"/>
  <c r="S370" i="78"/>
  <c r="T370" i="78"/>
  <c r="B380" i="78"/>
  <c r="C380" i="78"/>
  <c r="E380" i="78"/>
  <c r="H380" i="78"/>
  <c r="I380" i="78"/>
  <c r="K380" i="78"/>
  <c r="N380" i="78"/>
  <c r="O380" i="78"/>
  <c r="Q380" i="78"/>
  <c r="T380" i="78"/>
  <c r="W380" i="78"/>
  <c r="Z380" i="78"/>
  <c r="AA380" i="78"/>
  <c r="AC380" i="78"/>
  <c r="B381" i="78"/>
  <c r="C381" i="78"/>
  <c r="E381" i="78"/>
  <c r="H381" i="78"/>
  <c r="I381" i="78"/>
  <c r="K381" i="78"/>
  <c r="N381" i="78"/>
  <c r="O381" i="78"/>
  <c r="Q381" i="78"/>
  <c r="T381" i="78"/>
  <c r="W381" i="78"/>
  <c r="Z381" i="78"/>
  <c r="AA381" i="78"/>
  <c r="AC381" i="78"/>
  <c r="B382" i="78"/>
  <c r="C382" i="78"/>
  <c r="E382" i="78"/>
  <c r="H382" i="78"/>
  <c r="I382" i="78"/>
  <c r="K382" i="78"/>
  <c r="N382" i="78"/>
  <c r="O382" i="78"/>
  <c r="Q382" i="78"/>
  <c r="T382" i="78"/>
  <c r="W382" i="78"/>
  <c r="Z382" i="78"/>
  <c r="AA382" i="78"/>
  <c r="AC382" i="78"/>
  <c r="B383" i="78"/>
  <c r="C383" i="78"/>
  <c r="E383" i="78"/>
  <c r="H383" i="78"/>
  <c r="I383" i="78"/>
  <c r="K383" i="78"/>
  <c r="N383" i="78"/>
  <c r="O383" i="78"/>
  <c r="Q383" i="78"/>
  <c r="T383" i="78"/>
  <c r="W383" i="78"/>
  <c r="Z383" i="78"/>
  <c r="AA383" i="78"/>
  <c r="AC383" i="78"/>
  <c r="B384" i="78"/>
  <c r="C384" i="78"/>
  <c r="E384" i="78"/>
  <c r="H384" i="78"/>
  <c r="I384" i="78"/>
  <c r="K384" i="78"/>
  <c r="N384" i="78"/>
  <c r="O384" i="78"/>
  <c r="Q384" i="78"/>
  <c r="T384" i="78"/>
  <c r="W384" i="78"/>
  <c r="Z384" i="78"/>
  <c r="AA384" i="78"/>
  <c r="AC384" i="78"/>
  <c r="B385" i="78"/>
  <c r="C385" i="78"/>
  <c r="E385" i="78"/>
  <c r="H385" i="78"/>
  <c r="I385" i="78"/>
  <c r="K385" i="78"/>
  <c r="N385" i="78"/>
  <c r="O385" i="78"/>
  <c r="Q385" i="78"/>
  <c r="T385" i="78"/>
  <c r="W385" i="78"/>
  <c r="Z385" i="78"/>
  <c r="AA385" i="78"/>
  <c r="AC385" i="78"/>
  <c r="B386" i="78"/>
  <c r="C386" i="78"/>
  <c r="E386" i="78"/>
  <c r="H386" i="78"/>
  <c r="I386" i="78"/>
  <c r="K386" i="78"/>
  <c r="N386" i="78"/>
  <c r="O386" i="78"/>
  <c r="Q386" i="78"/>
  <c r="T386" i="78"/>
  <c r="W386" i="78"/>
  <c r="Z386" i="78"/>
  <c r="AA386" i="78"/>
  <c r="AC386" i="78"/>
  <c r="B387" i="78"/>
  <c r="C387" i="78"/>
  <c r="E387" i="78"/>
  <c r="H387" i="78"/>
  <c r="I387" i="78"/>
  <c r="K387" i="78"/>
  <c r="N387" i="78"/>
  <c r="O387" i="78"/>
  <c r="Q387" i="78"/>
  <c r="T387" i="78"/>
  <c r="W387" i="78"/>
  <c r="Z387" i="78"/>
  <c r="AA387" i="78"/>
  <c r="AC387" i="78"/>
  <c r="B388" i="78"/>
  <c r="C388" i="78"/>
  <c r="E388" i="78"/>
  <c r="H388" i="78"/>
  <c r="I388" i="78"/>
  <c r="K388" i="78"/>
  <c r="N388" i="78"/>
  <c r="O388" i="78"/>
  <c r="Q388" i="78"/>
  <c r="T388" i="78"/>
  <c r="W388" i="78"/>
  <c r="Z388" i="78"/>
  <c r="AA388" i="78"/>
  <c r="AC388" i="78"/>
  <c r="B389" i="78"/>
  <c r="C389" i="78"/>
  <c r="E389" i="78"/>
  <c r="H389" i="78"/>
  <c r="I389" i="78"/>
  <c r="K389" i="78"/>
  <c r="N389" i="78"/>
  <c r="O389" i="78"/>
  <c r="Q389" i="78"/>
  <c r="T389" i="78"/>
  <c r="W389" i="78"/>
  <c r="Z389" i="78"/>
  <c r="AA389" i="78"/>
  <c r="AC389" i="78"/>
  <c r="B390" i="78"/>
  <c r="C390" i="78"/>
  <c r="E390" i="78"/>
  <c r="H390" i="78"/>
  <c r="I390" i="78"/>
  <c r="K390" i="78"/>
  <c r="N390" i="78"/>
  <c r="O390" i="78"/>
  <c r="Q390" i="78"/>
  <c r="T390" i="78"/>
  <c r="W390" i="78"/>
  <c r="Z390" i="78"/>
  <c r="AA390" i="78"/>
  <c r="AC390" i="78"/>
  <c r="B391" i="78"/>
  <c r="C391" i="78"/>
  <c r="E391" i="78"/>
  <c r="H391" i="78"/>
  <c r="I391" i="78"/>
  <c r="K391" i="78"/>
  <c r="N391" i="78"/>
  <c r="O391" i="78"/>
  <c r="Q391" i="78"/>
  <c r="T391" i="78"/>
  <c r="W391" i="78"/>
  <c r="Z391" i="78"/>
  <c r="AA391" i="78"/>
  <c r="AC391" i="78"/>
  <c r="B392" i="78"/>
  <c r="C392" i="78"/>
  <c r="E392" i="78"/>
  <c r="H392" i="78"/>
  <c r="I392" i="78"/>
  <c r="K392" i="78"/>
  <c r="N392" i="78"/>
  <c r="O392" i="78"/>
  <c r="Q392" i="78"/>
  <c r="T392" i="78"/>
  <c r="W392" i="78"/>
  <c r="Z392" i="78"/>
  <c r="AA392" i="78"/>
  <c r="AC392" i="78"/>
  <c r="B393" i="78"/>
  <c r="C393" i="78"/>
  <c r="E393" i="78"/>
  <c r="H393" i="78"/>
  <c r="I393" i="78"/>
  <c r="K393" i="78"/>
  <c r="N393" i="78"/>
  <c r="O393" i="78"/>
  <c r="Q393" i="78"/>
  <c r="T393" i="78"/>
  <c r="W393" i="78"/>
  <c r="Z393" i="78"/>
  <c r="AA393" i="78"/>
  <c r="AC393" i="78"/>
  <c r="B394" i="78"/>
  <c r="C394" i="78"/>
  <c r="E394" i="78"/>
  <c r="H394" i="78"/>
  <c r="I394" i="78"/>
  <c r="K394" i="78"/>
  <c r="N394" i="78"/>
  <c r="O394" i="78"/>
  <c r="Q394" i="78"/>
  <c r="T394" i="78"/>
  <c r="W394" i="78"/>
  <c r="Z394" i="78"/>
  <c r="AA394" i="78"/>
  <c r="AC394" i="78"/>
  <c r="B395" i="78"/>
  <c r="C395" i="78"/>
  <c r="E395" i="78"/>
  <c r="H395" i="78"/>
  <c r="I395" i="78"/>
  <c r="K395" i="78"/>
  <c r="N395" i="78"/>
  <c r="O395" i="78"/>
  <c r="Q395" i="78"/>
  <c r="T395" i="78"/>
  <c r="W395" i="78"/>
  <c r="Z395" i="78"/>
  <c r="AA395" i="78"/>
  <c r="AC395" i="78"/>
  <c r="B396" i="78"/>
  <c r="C396" i="78"/>
  <c r="E396" i="78"/>
  <c r="H396" i="78"/>
  <c r="I396" i="78"/>
  <c r="K396" i="78"/>
  <c r="N396" i="78"/>
  <c r="O396" i="78"/>
  <c r="Q396" i="78"/>
  <c r="T396" i="78"/>
  <c r="W396" i="78"/>
  <c r="Z396" i="78"/>
  <c r="AA396" i="78"/>
  <c r="AC396" i="78"/>
  <c r="B397" i="78"/>
  <c r="C397" i="78"/>
  <c r="E397" i="78"/>
  <c r="H397" i="78"/>
  <c r="I397" i="78"/>
  <c r="K397" i="78"/>
  <c r="N397" i="78"/>
  <c r="O397" i="78"/>
  <c r="Q397" i="78"/>
  <c r="T397" i="78"/>
  <c r="W397" i="78"/>
  <c r="Z397" i="78"/>
  <c r="AA397" i="78"/>
  <c r="AC397" i="78"/>
  <c r="B398" i="78"/>
  <c r="C398" i="78"/>
  <c r="E398" i="78"/>
  <c r="H398" i="78"/>
  <c r="I398" i="78"/>
  <c r="K398" i="78"/>
  <c r="N398" i="78"/>
  <c r="O398" i="78"/>
  <c r="Q398" i="78"/>
  <c r="T398" i="78"/>
  <c r="W398" i="78"/>
  <c r="Z398" i="78"/>
  <c r="AA398" i="78"/>
  <c r="AC398" i="78"/>
  <c r="B399" i="78"/>
  <c r="C399" i="78"/>
  <c r="E399" i="78"/>
  <c r="H399" i="78"/>
  <c r="I399" i="78"/>
  <c r="K399" i="78"/>
  <c r="N399" i="78"/>
  <c r="O399" i="78"/>
  <c r="Q399" i="78"/>
  <c r="T399" i="78"/>
  <c r="W399" i="78"/>
  <c r="Z399" i="78"/>
  <c r="AA399" i="78"/>
  <c r="AC399" i="78"/>
  <c r="B400" i="78"/>
  <c r="C400" i="78"/>
  <c r="E400" i="78"/>
  <c r="H400" i="78"/>
  <c r="I400" i="78"/>
  <c r="K400" i="78"/>
  <c r="N400" i="78"/>
  <c r="O400" i="78"/>
  <c r="Q400" i="78"/>
  <c r="T400" i="78"/>
  <c r="W400" i="78"/>
  <c r="Z400" i="78"/>
  <c r="AA400" i="78"/>
  <c r="AC400" i="78"/>
  <c r="B401" i="78"/>
  <c r="C401" i="78"/>
  <c r="E401" i="78"/>
  <c r="H401" i="78"/>
  <c r="I401" i="78"/>
  <c r="K401" i="78"/>
  <c r="N401" i="78"/>
  <c r="O401" i="78"/>
  <c r="Q401" i="78"/>
  <c r="T401" i="78"/>
  <c r="W401" i="78"/>
  <c r="Z401" i="78"/>
  <c r="AA401" i="78"/>
  <c r="AC401" i="78"/>
  <c r="B402" i="78"/>
  <c r="C402" i="78"/>
  <c r="E402" i="78"/>
  <c r="H402" i="78"/>
  <c r="I402" i="78"/>
  <c r="K402" i="78"/>
  <c r="N402" i="78"/>
  <c r="O402" i="78"/>
  <c r="Q402" i="78"/>
  <c r="T402" i="78"/>
  <c r="W402" i="78"/>
  <c r="Z402" i="78"/>
  <c r="AA402" i="78"/>
  <c r="AC402" i="78"/>
  <c r="B403" i="78"/>
  <c r="C403" i="78"/>
  <c r="E403" i="78"/>
  <c r="H403" i="78"/>
  <c r="I403" i="78"/>
  <c r="K403" i="78"/>
  <c r="N403" i="78"/>
  <c r="O403" i="78"/>
  <c r="Q403" i="78"/>
  <c r="T403" i="78"/>
  <c r="W403" i="78"/>
  <c r="Z403" i="78"/>
  <c r="AA403" i="78"/>
  <c r="AC403" i="78"/>
  <c r="B404" i="78"/>
  <c r="C404" i="78"/>
  <c r="E404" i="78"/>
  <c r="H404" i="78"/>
  <c r="I404" i="78"/>
  <c r="K404" i="78"/>
  <c r="N404" i="78"/>
  <c r="O404" i="78"/>
  <c r="Q404" i="78"/>
  <c r="T404" i="78"/>
  <c r="W404" i="78"/>
  <c r="Z404" i="78"/>
  <c r="AA404" i="78"/>
  <c r="AC404" i="78"/>
  <c r="B405" i="78"/>
  <c r="C405" i="78"/>
  <c r="E405" i="78"/>
  <c r="H405" i="78"/>
  <c r="I405" i="78"/>
  <c r="K405" i="78"/>
  <c r="N405" i="78"/>
  <c r="O405" i="78"/>
  <c r="Q405" i="78"/>
  <c r="T405" i="78"/>
  <c r="W405" i="78"/>
  <c r="Z405" i="78"/>
  <c r="AA405" i="78"/>
  <c r="AC405" i="78"/>
  <c r="B430" i="78"/>
  <c r="C430" i="78"/>
  <c r="D430" i="78"/>
  <c r="B431" i="78"/>
  <c r="C431" i="78"/>
  <c r="D431" i="78"/>
  <c r="B432" i="78"/>
  <c r="C432" i="78"/>
  <c r="D432" i="78"/>
  <c r="B433" i="78"/>
  <c r="C433" i="78"/>
  <c r="D433" i="78"/>
  <c r="B434" i="78"/>
  <c r="C434" i="78"/>
  <c r="D434" i="78"/>
  <c r="B435" i="78"/>
  <c r="C435" i="78"/>
  <c r="D435" i="78"/>
  <c r="B436" i="78"/>
  <c r="C436" i="78"/>
  <c r="D436" i="78"/>
  <c r="B437" i="78"/>
  <c r="C437" i="78"/>
  <c r="D437" i="78"/>
  <c r="B438" i="78"/>
  <c r="C438" i="78"/>
  <c r="D438" i="78"/>
  <c r="B439" i="78"/>
  <c r="C439" i="78"/>
  <c r="D439" i="78"/>
  <c r="B440" i="78"/>
  <c r="C440" i="78"/>
  <c r="D440" i="78"/>
  <c r="B441" i="78"/>
  <c r="C441" i="78"/>
  <c r="D441" i="78"/>
  <c r="B442" i="78"/>
  <c r="C442" i="78"/>
  <c r="D442" i="78"/>
  <c r="B443" i="78"/>
  <c r="C443" i="78"/>
  <c r="D443" i="78"/>
  <c r="B444" i="78"/>
  <c r="C444" i="78"/>
  <c r="D444" i="78"/>
  <c r="B445" i="78"/>
  <c r="C445" i="78"/>
  <c r="D445" i="78"/>
  <c r="B446" i="78"/>
  <c r="C446" i="78"/>
  <c r="D446" i="78"/>
  <c r="B448" i="78"/>
  <c r="C448" i="78"/>
  <c r="D448" i="78"/>
  <c r="B449" i="78"/>
  <c r="C449" i="78"/>
  <c r="D449" i="78"/>
  <c r="B450" i="78"/>
  <c r="C450" i="78"/>
  <c r="D450" i="78"/>
  <c r="B451" i="78"/>
  <c r="C451" i="78"/>
  <c r="D451" i="78"/>
  <c r="B452" i="78"/>
  <c r="C452" i="78"/>
  <c r="D452" i="78"/>
  <c r="B453" i="78"/>
  <c r="C453" i="78"/>
  <c r="D453" i="78"/>
  <c r="B454" i="78"/>
  <c r="C454" i="78"/>
  <c r="D454" i="78"/>
  <c r="B455" i="78"/>
  <c r="C455" i="78"/>
  <c r="D455" i="78"/>
  <c r="B461" i="78"/>
  <c r="C461" i="78"/>
  <c r="D461" i="78"/>
  <c r="G461" i="78"/>
  <c r="I119" i="22" s="1"/>
  <c r="H461" i="78"/>
  <c r="B462" i="78"/>
  <c r="C462" i="78"/>
  <c r="D462" i="78"/>
  <c r="G462" i="78"/>
  <c r="H462" i="78"/>
  <c r="B463" i="78"/>
  <c r="C463" i="78"/>
  <c r="D463" i="78"/>
  <c r="G463" i="78"/>
  <c r="I121" i="22" s="1"/>
  <c r="H463" i="78"/>
  <c r="B464" i="78"/>
  <c r="C464" i="78"/>
  <c r="D464" i="78"/>
  <c r="G464" i="78"/>
  <c r="H464" i="78"/>
  <c r="B465" i="78"/>
  <c r="C465" i="78"/>
  <c r="D465" i="78"/>
  <c r="G465" i="78"/>
  <c r="I123" i="22" s="1"/>
  <c r="H465" i="78"/>
  <c r="B466" i="78"/>
  <c r="C466" i="78"/>
  <c r="D466" i="78"/>
  <c r="G466" i="78"/>
  <c r="H466" i="78"/>
  <c r="B467" i="78"/>
  <c r="C467" i="78"/>
  <c r="D467" i="78"/>
  <c r="G467" i="78"/>
  <c r="I126" i="22" s="1"/>
  <c r="H467" i="78"/>
  <c r="B468" i="78"/>
  <c r="C468" i="78"/>
  <c r="D468" i="78"/>
  <c r="G468" i="78"/>
  <c r="H468" i="78"/>
  <c r="B469" i="78"/>
  <c r="C469" i="78"/>
  <c r="D469" i="78"/>
  <c r="G469" i="78"/>
  <c r="I128" i="22" s="1"/>
  <c r="H469" i="78"/>
  <c r="B470" i="78"/>
  <c r="C470" i="78"/>
  <c r="D470" i="78"/>
  <c r="G470" i="78"/>
  <c r="H470" i="78"/>
  <c r="B471" i="78"/>
  <c r="C471" i="78"/>
  <c r="D471" i="78"/>
  <c r="G471" i="78"/>
  <c r="I130" i="22" s="1"/>
  <c r="H471" i="78"/>
  <c r="B472" i="78"/>
  <c r="C472" i="78"/>
  <c r="D472" i="78"/>
  <c r="G472" i="78"/>
  <c r="H472" i="78"/>
  <c r="B473" i="78"/>
  <c r="C473" i="78"/>
  <c r="D473" i="78"/>
  <c r="G473" i="78"/>
  <c r="I132" i="22" s="1"/>
  <c r="H473" i="78"/>
  <c r="B474" i="78"/>
  <c r="C474" i="78"/>
  <c r="D474" i="78"/>
  <c r="G474" i="78"/>
  <c r="H474" i="78"/>
  <c r="B475" i="78"/>
  <c r="C475" i="78"/>
  <c r="D475" i="78"/>
  <c r="G475" i="78"/>
  <c r="I134" i="22" s="1"/>
  <c r="H475" i="78"/>
  <c r="B476" i="78"/>
  <c r="C476" i="78"/>
  <c r="D476" i="78"/>
  <c r="G476" i="78"/>
  <c r="H476" i="78"/>
  <c r="B477" i="78"/>
  <c r="C477" i="78"/>
  <c r="D477" i="78"/>
  <c r="G477" i="78"/>
  <c r="I136" i="22" s="1"/>
  <c r="H477" i="78"/>
  <c r="B478" i="78"/>
  <c r="C478" i="78"/>
  <c r="G478" i="78"/>
  <c r="H478" i="78"/>
  <c r="B479" i="78"/>
  <c r="C479" i="78"/>
  <c r="G479" i="78"/>
  <c r="H479" i="78"/>
  <c r="B482" i="78"/>
  <c r="C482" i="78"/>
  <c r="D482" i="78"/>
  <c r="G482" i="78"/>
  <c r="H482" i="78"/>
  <c r="B483" i="78"/>
  <c r="C483" i="78"/>
  <c r="D483" i="78"/>
  <c r="G483" i="78"/>
  <c r="I139" i="22" s="1"/>
  <c r="H483" i="78"/>
  <c r="B484" i="78"/>
  <c r="C484" i="78"/>
  <c r="D484" i="78"/>
  <c r="G484" i="78"/>
  <c r="H484" i="78"/>
  <c r="B485" i="78"/>
  <c r="C485" i="78"/>
  <c r="D485" i="78"/>
  <c r="G485" i="78"/>
  <c r="I141" i="22" s="1"/>
  <c r="H485" i="78"/>
  <c r="B486" i="78"/>
  <c r="C486" i="78"/>
  <c r="D486" i="78"/>
  <c r="G486" i="78"/>
  <c r="H486" i="78"/>
  <c r="B487" i="78"/>
  <c r="C487" i="78"/>
  <c r="D487" i="78"/>
  <c r="G487" i="78"/>
  <c r="I143" i="22" s="1"/>
  <c r="H487" i="78"/>
  <c r="B488" i="78"/>
  <c r="C488" i="78"/>
  <c r="D488" i="78"/>
  <c r="G488" i="78"/>
  <c r="H488" i="78"/>
  <c r="B489" i="78"/>
  <c r="C489" i="78"/>
  <c r="D489" i="78"/>
  <c r="G489" i="78"/>
  <c r="I145" i="22" s="1"/>
  <c r="H489" i="78"/>
  <c r="B494" i="78"/>
  <c r="C494" i="78"/>
  <c r="D119" i="22" s="1"/>
  <c r="D494" i="78"/>
  <c r="E494" i="78"/>
  <c r="F494" i="78"/>
  <c r="G494" i="78"/>
  <c r="H494" i="78"/>
  <c r="I494" i="78"/>
  <c r="J167" i="61" s="1"/>
  <c r="J494" i="78"/>
  <c r="M119" i="22" s="1"/>
  <c r="K494" i="78"/>
  <c r="L494" i="78"/>
  <c r="M494" i="78"/>
  <c r="N494" i="78"/>
  <c r="B495" i="78"/>
  <c r="C495" i="78"/>
  <c r="D120" i="22" s="1"/>
  <c r="D495" i="78"/>
  <c r="E495" i="78"/>
  <c r="F495" i="78"/>
  <c r="G495" i="78"/>
  <c r="H495" i="78"/>
  <c r="I495" i="78"/>
  <c r="J168" i="61" s="1"/>
  <c r="J495" i="78"/>
  <c r="M120" i="22" s="1"/>
  <c r="K495" i="78"/>
  <c r="L495" i="78"/>
  <c r="M495" i="78"/>
  <c r="N495" i="78"/>
  <c r="B496" i="78"/>
  <c r="C496" i="78"/>
  <c r="D121" i="22" s="1"/>
  <c r="D496" i="78"/>
  <c r="E496" i="78"/>
  <c r="F496" i="78"/>
  <c r="G496" i="78"/>
  <c r="H496" i="78"/>
  <c r="I496" i="78"/>
  <c r="J169" i="61" s="1"/>
  <c r="J496" i="78"/>
  <c r="M121" i="22" s="1"/>
  <c r="K496" i="78"/>
  <c r="L496" i="78"/>
  <c r="M496" i="78"/>
  <c r="N496" i="78"/>
  <c r="B497" i="78"/>
  <c r="B170" i="61" s="1"/>
  <c r="C497" i="78"/>
  <c r="D122" i="22" s="1"/>
  <c r="D497" i="78"/>
  <c r="E497" i="78"/>
  <c r="F497" i="78"/>
  <c r="G497" i="78"/>
  <c r="H497" i="78"/>
  <c r="I497" i="78"/>
  <c r="J170" i="61" s="1"/>
  <c r="J497" i="78"/>
  <c r="M122" i="22" s="1"/>
  <c r="K497" i="78"/>
  <c r="L497" i="78"/>
  <c r="M497" i="78"/>
  <c r="N497" i="78"/>
  <c r="B498" i="78"/>
  <c r="C498" i="78"/>
  <c r="D123" i="22" s="1"/>
  <c r="D498" i="78"/>
  <c r="E498" i="78"/>
  <c r="F498" i="78"/>
  <c r="G498" i="78"/>
  <c r="H498" i="78"/>
  <c r="I498" i="78"/>
  <c r="J171" i="61" s="1"/>
  <c r="J498" i="78"/>
  <c r="M123" i="22" s="1"/>
  <c r="K498" i="78"/>
  <c r="L498" i="78"/>
  <c r="M498" i="78"/>
  <c r="N498" i="78"/>
  <c r="B499" i="78"/>
  <c r="B172" i="61" s="1"/>
  <c r="C499" i="78"/>
  <c r="D124" i="22" s="1"/>
  <c r="D499" i="78"/>
  <c r="E499" i="78"/>
  <c r="F499" i="78"/>
  <c r="G499" i="78"/>
  <c r="H499" i="78"/>
  <c r="I499" i="78"/>
  <c r="J172" i="61" s="1"/>
  <c r="J499" i="78"/>
  <c r="M124" i="22" s="1"/>
  <c r="K499" i="78"/>
  <c r="L499" i="78"/>
  <c r="M499" i="78"/>
  <c r="N499" i="78"/>
  <c r="B501" i="78"/>
  <c r="C501" i="78"/>
  <c r="D126" i="22" s="1"/>
  <c r="D501" i="78"/>
  <c r="E501" i="78"/>
  <c r="F501" i="78"/>
  <c r="G501" i="78"/>
  <c r="H501" i="78"/>
  <c r="I501" i="78"/>
  <c r="J174" i="61" s="1"/>
  <c r="J501" i="78"/>
  <c r="M126" i="22" s="1"/>
  <c r="K501" i="78"/>
  <c r="L501" i="78"/>
  <c r="M501" i="78"/>
  <c r="N501" i="78"/>
  <c r="B502" i="78"/>
  <c r="B175" i="61" s="1"/>
  <c r="C502" i="78"/>
  <c r="D127" i="22" s="1"/>
  <c r="D502" i="78"/>
  <c r="E502" i="78"/>
  <c r="F502" i="78"/>
  <c r="G502" i="78"/>
  <c r="H502" i="78"/>
  <c r="I502" i="78"/>
  <c r="J175" i="61" s="1"/>
  <c r="J502" i="78"/>
  <c r="M127" i="22" s="1"/>
  <c r="K502" i="78"/>
  <c r="L502" i="78"/>
  <c r="M502" i="78"/>
  <c r="N502" i="78"/>
  <c r="B503" i="78"/>
  <c r="C503" i="78"/>
  <c r="D128" i="22" s="1"/>
  <c r="D503" i="78"/>
  <c r="E503" i="78"/>
  <c r="F503" i="78"/>
  <c r="G503" i="78"/>
  <c r="H503" i="78"/>
  <c r="I503" i="78"/>
  <c r="J176" i="61" s="1"/>
  <c r="J503" i="78"/>
  <c r="M128" i="22" s="1"/>
  <c r="K503" i="78"/>
  <c r="L503" i="78"/>
  <c r="M503" i="78"/>
  <c r="N503" i="78"/>
  <c r="B504" i="78"/>
  <c r="B177" i="61" s="1"/>
  <c r="C504" i="78"/>
  <c r="D129" i="22" s="1"/>
  <c r="D504" i="78"/>
  <c r="E504" i="78"/>
  <c r="F504" i="78"/>
  <c r="G504" i="78"/>
  <c r="H504" i="78"/>
  <c r="I504" i="78"/>
  <c r="J177" i="61" s="1"/>
  <c r="J504" i="78"/>
  <c r="M129" i="22" s="1"/>
  <c r="K504" i="78"/>
  <c r="L504" i="78"/>
  <c r="M504" i="78"/>
  <c r="N504" i="78"/>
  <c r="B505" i="78"/>
  <c r="C505" i="78"/>
  <c r="D130" i="22" s="1"/>
  <c r="D505" i="78"/>
  <c r="E505" i="78"/>
  <c r="F505" i="78"/>
  <c r="G505" i="78"/>
  <c r="G130" i="22" s="1"/>
  <c r="H505" i="78"/>
  <c r="I505" i="78"/>
  <c r="J178" i="61" s="1"/>
  <c r="J505" i="78"/>
  <c r="M130" i="22" s="1"/>
  <c r="K505" i="78"/>
  <c r="L505" i="78"/>
  <c r="M505" i="78"/>
  <c r="N505" i="78"/>
  <c r="B506" i="78"/>
  <c r="B179" i="61" s="1"/>
  <c r="C506" i="78"/>
  <c r="D131" i="22" s="1"/>
  <c r="D506" i="78"/>
  <c r="E506" i="78"/>
  <c r="F506" i="78"/>
  <c r="G506" i="78"/>
  <c r="H506" i="78"/>
  <c r="I506" i="78"/>
  <c r="J179" i="61" s="1"/>
  <c r="J506" i="78"/>
  <c r="M131" i="22" s="1"/>
  <c r="K506" i="78"/>
  <c r="L506" i="78"/>
  <c r="M506" i="78"/>
  <c r="N506" i="78"/>
  <c r="B507" i="78"/>
  <c r="C507" i="78"/>
  <c r="D132" i="22" s="1"/>
  <c r="D507" i="78"/>
  <c r="E507" i="78"/>
  <c r="F507" i="78"/>
  <c r="G507" i="78"/>
  <c r="G132" i="22" s="1"/>
  <c r="H507" i="78"/>
  <c r="I507" i="78"/>
  <c r="J180" i="61" s="1"/>
  <c r="J507" i="78"/>
  <c r="M132" i="22" s="1"/>
  <c r="K507" i="78"/>
  <c r="L507" i="78"/>
  <c r="M507" i="78"/>
  <c r="N507" i="78"/>
  <c r="B508" i="78"/>
  <c r="B181" i="61" s="1"/>
  <c r="C508" i="78"/>
  <c r="D133" i="22" s="1"/>
  <c r="D508" i="78"/>
  <c r="E508" i="78"/>
  <c r="F508" i="78"/>
  <c r="G508" i="78"/>
  <c r="H508" i="78"/>
  <c r="I508" i="78"/>
  <c r="J181" i="61" s="1"/>
  <c r="J508" i="78"/>
  <c r="M133" i="22" s="1"/>
  <c r="K508" i="78"/>
  <c r="L508" i="78"/>
  <c r="M508" i="78"/>
  <c r="N508" i="78"/>
  <c r="B509" i="78"/>
  <c r="C509" i="78"/>
  <c r="D134" i="22" s="1"/>
  <c r="D509" i="78"/>
  <c r="E509" i="78"/>
  <c r="F509" i="78"/>
  <c r="G509" i="78"/>
  <c r="H509" i="78"/>
  <c r="I509" i="78"/>
  <c r="J182" i="61" s="1"/>
  <c r="J509" i="78"/>
  <c r="M134" i="22" s="1"/>
  <c r="K509" i="78"/>
  <c r="L509" i="78"/>
  <c r="M509" i="78"/>
  <c r="N509" i="78"/>
  <c r="B510" i="78"/>
  <c r="B183" i="61" s="1"/>
  <c r="C510" i="78"/>
  <c r="D135" i="22" s="1"/>
  <c r="D510" i="78"/>
  <c r="E510" i="78"/>
  <c r="F510" i="78"/>
  <c r="G510" i="78"/>
  <c r="H510" i="78"/>
  <c r="I510" i="78"/>
  <c r="J183" i="61" s="1"/>
  <c r="J510" i="78"/>
  <c r="M135" i="22" s="1"/>
  <c r="K510" i="78"/>
  <c r="L510" i="78"/>
  <c r="M510" i="78"/>
  <c r="N510" i="78"/>
  <c r="B511" i="78"/>
  <c r="C511" i="78"/>
  <c r="D136" i="22" s="1"/>
  <c r="D511" i="78"/>
  <c r="E511" i="78"/>
  <c r="F511" i="78"/>
  <c r="G511" i="78"/>
  <c r="H511" i="78"/>
  <c r="I511" i="78"/>
  <c r="J184" i="61" s="1"/>
  <c r="J511" i="78"/>
  <c r="M136" i="22" s="1"/>
  <c r="K511" i="78"/>
  <c r="L511" i="78"/>
  <c r="M511" i="78"/>
  <c r="N511" i="78"/>
  <c r="B513" i="78"/>
  <c r="B186" i="61" s="1"/>
  <c r="C513" i="78"/>
  <c r="D138" i="22" s="1"/>
  <c r="D513" i="78"/>
  <c r="E513" i="78"/>
  <c r="F513" i="78"/>
  <c r="G513" i="78"/>
  <c r="H513" i="78"/>
  <c r="I513" i="78"/>
  <c r="J186" i="61" s="1"/>
  <c r="J513" i="78"/>
  <c r="M138" i="22" s="1"/>
  <c r="K513" i="78"/>
  <c r="L513" i="78"/>
  <c r="M513" i="78"/>
  <c r="N513" i="78"/>
  <c r="B514" i="78"/>
  <c r="C514" i="78"/>
  <c r="D139" i="22" s="1"/>
  <c r="D514" i="78"/>
  <c r="E514" i="78"/>
  <c r="F514" i="78"/>
  <c r="G514" i="78"/>
  <c r="H514" i="78"/>
  <c r="I514" i="78"/>
  <c r="J187" i="61" s="1"/>
  <c r="J514" i="78"/>
  <c r="M139" i="22" s="1"/>
  <c r="K514" i="78"/>
  <c r="L514" i="78"/>
  <c r="M514" i="78"/>
  <c r="N514" i="78"/>
  <c r="B515" i="78"/>
  <c r="B188" i="61" s="1"/>
  <c r="C515" i="78"/>
  <c r="D140" i="22" s="1"/>
  <c r="D515" i="78"/>
  <c r="E515" i="78"/>
  <c r="F515" i="78"/>
  <c r="G515" i="78"/>
  <c r="H515" i="78"/>
  <c r="I515" i="78"/>
  <c r="J188" i="61" s="1"/>
  <c r="J515" i="78"/>
  <c r="M140" i="22" s="1"/>
  <c r="K515" i="78"/>
  <c r="L515" i="78"/>
  <c r="M515" i="78"/>
  <c r="N515" i="78"/>
  <c r="B516" i="78"/>
  <c r="C516" i="78"/>
  <c r="D141" i="22" s="1"/>
  <c r="D516" i="78"/>
  <c r="E516" i="78"/>
  <c r="F516" i="78"/>
  <c r="G516" i="78"/>
  <c r="H516" i="78"/>
  <c r="I516" i="78"/>
  <c r="J189" i="61" s="1"/>
  <c r="J516" i="78"/>
  <c r="M141" i="22" s="1"/>
  <c r="K516" i="78"/>
  <c r="L516" i="78"/>
  <c r="M516" i="78"/>
  <c r="N516" i="78"/>
  <c r="B517" i="78"/>
  <c r="B190" i="61" s="1"/>
  <c r="C517" i="78"/>
  <c r="D142" i="22" s="1"/>
  <c r="D517" i="78"/>
  <c r="E517" i="78"/>
  <c r="F517" i="78"/>
  <c r="G517" i="78"/>
  <c r="H517" i="78"/>
  <c r="I517" i="78"/>
  <c r="J190" i="61" s="1"/>
  <c r="J517" i="78"/>
  <c r="M142" i="22" s="1"/>
  <c r="K517" i="78"/>
  <c r="L517" i="78"/>
  <c r="M517" i="78"/>
  <c r="N517" i="78"/>
  <c r="B518" i="78"/>
  <c r="C518" i="78"/>
  <c r="D143" i="22" s="1"/>
  <c r="D518" i="78"/>
  <c r="E518" i="78"/>
  <c r="F518" i="78"/>
  <c r="G518" i="78"/>
  <c r="H518" i="78"/>
  <c r="I518" i="78"/>
  <c r="J191" i="61" s="1"/>
  <c r="J518" i="78"/>
  <c r="M143" i="22" s="1"/>
  <c r="K518" i="78"/>
  <c r="L518" i="78"/>
  <c r="M518" i="78"/>
  <c r="N518" i="78"/>
  <c r="B519" i="78"/>
  <c r="B192" i="61" s="1"/>
  <c r="C519" i="78"/>
  <c r="D144" i="22" s="1"/>
  <c r="D519" i="78"/>
  <c r="E519" i="78"/>
  <c r="F519" i="78"/>
  <c r="G519" i="78"/>
  <c r="H519" i="78"/>
  <c r="I519" i="78"/>
  <c r="J192" i="61" s="1"/>
  <c r="J519" i="78"/>
  <c r="M144" i="22" s="1"/>
  <c r="K519" i="78"/>
  <c r="L519" i="78"/>
  <c r="M519" i="78"/>
  <c r="N519" i="78"/>
  <c r="B520" i="78"/>
  <c r="C520" i="78"/>
  <c r="D145" i="22" s="1"/>
  <c r="D520" i="78"/>
  <c r="E520" i="78"/>
  <c r="F520" i="78"/>
  <c r="G520" i="78"/>
  <c r="H520" i="78"/>
  <c r="I520" i="78"/>
  <c r="J193" i="61" s="1"/>
  <c r="J520" i="78"/>
  <c r="M145" i="22" s="1"/>
  <c r="K520" i="78"/>
  <c r="L520" i="78"/>
  <c r="M520" i="78"/>
  <c r="N520" i="78"/>
  <c r="B525" i="78"/>
  <c r="E525" i="78"/>
  <c r="F525" i="78"/>
  <c r="G525" i="78"/>
  <c r="H525" i="78"/>
  <c r="I525" i="78"/>
  <c r="J525" i="78"/>
  <c r="K525" i="78"/>
  <c r="L525" i="78"/>
  <c r="F119" i="22" s="1"/>
  <c r="O525" i="78"/>
  <c r="P525" i="78"/>
  <c r="Q525" i="78"/>
  <c r="R525" i="78"/>
  <c r="S525" i="78"/>
  <c r="T525" i="78"/>
  <c r="U525" i="78"/>
  <c r="V525" i="78"/>
  <c r="W525" i="78"/>
  <c r="X525" i="78"/>
  <c r="Y525" i="78"/>
  <c r="Z525" i="78"/>
  <c r="AA525" i="78"/>
  <c r="AB525" i="78"/>
  <c r="AC525" i="78"/>
  <c r="AD525" i="78"/>
  <c r="AE525" i="78"/>
  <c r="AF525" i="78"/>
  <c r="AG525" i="78"/>
  <c r="AH525" i="78"/>
  <c r="AI525" i="78"/>
  <c r="AJ525" i="78"/>
  <c r="AK525" i="78"/>
  <c r="AL525" i="78"/>
  <c r="AM525" i="78"/>
  <c r="B526" i="78"/>
  <c r="E526" i="78"/>
  <c r="F526" i="78"/>
  <c r="G526" i="78"/>
  <c r="H526" i="78"/>
  <c r="I526" i="78"/>
  <c r="J526" i="78"/>
  <c r="K526" i="78"/>
  <c r="L526" i="78"/>
  <c r="F120" i="22" s="1"/>
  <c r="O526" i="78"/>
  <c r="P526" i="78"/>
  <c r="Q526" i="78"/>
  <c r="R526" i="78"/>
  <c r="S526" i="78"/>
  <c r="T526" i="78"/>
  <c r="U526" i="78"/>
  <c r="V526" i="78"/>
  <c r="W526" i="78"/>
  <c r="X526" i="78"/>
  <c r="Y526" i="78"/>
  <c r="Z526" i="78"/>
  <c r="AA526" i="78"/>
  <c r="AB526" i="78"/>
  <c r="AC526" i="78"/>
  <c r="AD526" i="78"/>
  <c r="AE526" i="78"/>
  <c r="AF526" i="78"/>
  <c r="AG526" i="78"/>
  <c r="AH526" i="78"/>
  <c r="AI526" i="78"/>
  <c r="AJ526" i="78"/>
  <c r="AK526" i="78"/>
  <c r="AL526" i="78"/>
  <c r="AM526" i="78"/>
  <c r="B527" i="78"/>
  <c r="E527" i="78"/>
  <c r="F527" i="78"/>
  <c r="G527" i="78"/>
  <c r="H527" i="78"/>
  <c r="I527" i="78"/>
  <c r="J527" i="78"/>
  <c r="K527" i="78"/>
  <c r="L527" i="78"/>
  <c r="F121" i="22" s="1"/>
  <c r="O527" i="78"/>
  <c r="P527" i="78"/>
  <c r="Q527" i="78"/>
  <c r="R527" i="78"/>
  <c r="S527" i="78"/>
  <c r="T527" i="78"/>
  <c r="U527" i="78"/>
  <c r="V527" i="78"/>
  <c r="W527" i="78"/>
  <c r="X527" i="78"/>
  <c r="Y527" i="78"/>
  <c r="Z527" i="78"/>
  <c r="AA527" i="78"/>
  <c r="AB527" i="78"/>
  <c r="AC527" i="78"/>
  <c r="AD527" i="78"/>
  <c r="AE527" i="78"/>
  <c r="AF527" i="78"/>
  <c r="AG527" i="78"/>
  <c r="AH527" i="78"/>
  <c r="AI527" i="78"/>
  <c r="AJ527" i="78"/>
  <c r="AK527" i="78"/>
  <c r="AL527" i="78"/>
  <c r="AM527" i="78"/>
  <c r="B528" i="78"/>
  <c r="E528" i="78"/>
  <c r="F528" i="78"/>
  <c r="G528" i="78"/>
  <c r="H528" i="78"/>
  <c r="I528" i="78"/>
  <c r="J528" i="78"/>
  <c r="K528" i="78"/>
  <c r="L528" i="78"/>
  <c r="F122" i="22" s="1"/>
  <c r="O528" i="78"/>
  <c r="P528" i="78"/>
  <c r="Q528" i="78"/>
  <c r="R528" i="78"/>
  <c r="S528" i="78"/>
  <c r="T528" i="78"/>
  <c r="U528" i="78"/>
  <c r="V528" i="78"/>
  <c r="W528" i="78"/>
  <c r="X528" i="78"/>
  <c r="Y528" i="78"/>
  <c r="Z528" i="78"/>
  <c r="AA528" i="78"/>
  <c r="AB528" i="78"/>
  <c r="AC528" i="78"/>
  <c r="AD528" i="78"/>
  <c r="AE528" i="78"/>
  <c r="AF528" i="78"/>
  <c r="AG528" i="78"/>
  <c r="AH528" i="78"/>
  <c r="AI528" i="78"/>
  <c r="AJ528" i="78"/>
  <c r="AK528" i="78"/>
  <c r="AL528" i="78"/>
  <c r="AM528" i="78"/>
  <c r="B529" i="78"/>
  <c r="E529" i="78"/>
  <c r="F529" i="78"/>
  <c r="G529" i="78"/>
  <c r="H529" i="78"/>
  <c r="I529" i="78"/>
  <c r="J529" i="78"/>
  <c r="K529" i="78"/>
  <c r="L529" i="78"/>
  <c r="F123" i="22" s="1"/>
  <c r="O529" i="78"/>
  <c r="P529" i="78"/>
  <c r="Q529" i="78"/>
  <c r="R529" i="78"/>
  <c r="S529" i="78"/>
  <c r="T529" i="78"/>
  <c r="U529" i="78"/>
  <c r="V529" i="78"/>
  <c r="W529" i="78"/>
  <c r="X529" i="78"/>
  <c r="Y529" i="78"/>
  <c r="Z529" i="78"/>
  <c r="AA529" i="78"/>
  <c r="AB529" i="78"/>
  <c r="AC529" i="78"/>
  <c r="AD529" i="78"/>
  <c r="AE529" i="78"/>
  <c r="AF529" i="78"/>
  <c r="AG529" i="78"/>
  <c r="AH529" i="78"/>
  <c r="AI529" i="78"/>
  <c r="AJ529" i="78"/>
  <c r="AK529" i="78"/>
  <c r="AL529" i="78"/>
  <c r="AM529" i="78"/>
  <c r="B530" i="78"/>
  <c r="E530" i="78"/>
  <c r="F530" i="78"/>
  <c r="G530" i="78"/>
  <c r="H530" i="78"/>
  <c r="I530" i="78"/>
  <c r="J530" i="78"/>
  <c r="K530" i="78"/>
  <c r="L530" i="78"/>
  <c r="F124" i="22" s="1"/>
  <c r="O530" i="78"/>
  <c r="P530" i="78"/>
  <c r="Q530" i="78"/>
  <c r="R530" i="78"/>
  <c r="S530" i="78"/>
  <c r="T530" i="78"/>
  <c r="U530" i="78"/>
  <c r="V530" i="78"/>
  <c r="W530" i="78"/>
  <c r="X530" i="78"/>
  <c r="Y530" i="78"/>
  <c r="Z530" i="78"/>
  <c r="AA530" i="78"/>
  <c r="AB530" i="78"/>
  <c r="AC530" i="78"/>
  <c r="AD530" i="78"/>
  <c r="AE530" i="78"/>
  <c r="AF530" i="78"/>
  <c r="AG530" i="78"/>
  <c r="AH530" i="78"/>
  <c r="AI530" i="78"/>
  <c r="AJ530" i="78"/>
  <c r="AK530" i="78"/>
  <c r="AL530" i="78"/>
  <c r="AM530" i="78"/>
  <c r="B532" i="78"/>
  <c r="E532" i="78"/>
  <c r="F532" i="78"/>
  <c r="G532" i="78"/>
  <c r="H532" i="78"/>
  <c r="I532" i="78"/>
  <c r="J532" i="78"/>
  <c r="K532" i="78"/>
  <c r="L532" i="78"/>
  <c r="F126" i="22" s="1"/>
  <c r="O532" i="78"/>
  <c r="P532" i="78"/>
  <c r="Q532" i="78"/>
  <c r="R532" i="78"/>
  <c r="S532" i="78"/>
  <c r="T532" i="78"/>
  <c r="U532" i="78"/>
  <c r="V532" i="78"/>
  <c r="W532" i="78"/>
  <c r="X532" i="78"/>
  <c r="Y532" i="78"/>
  <c r="Z532" i="78"/>
  <c r="AA532" i="78"/>
  <c r="AB532" i="78"/>
  <c r="AC532" i="78"/>
  <c r="AD532" i="78"/>
  <c r="AE532" i="78"/>
  <c r="AF532" i="78"/>
  <c r="AG532" i="78"/>
  <c r="AH532" i="78"/>
  <c r="AI532" i="78"/>
  <c r="AJ532" i="78"/>
  <c r="AK532" i="78"/>
  <c r="AL532" i="78"/>
  <c r="AM532" i="78"/>
  <c r="B533" i="78"/>
  <c r="E533" i="78"/>
  <c r="F533" i="78"/>
  <c r="G533" i="78"/>
  <c r="H533" i="78"/>
  <c r="I533" i="78"/>
  <c r="J533" i="78"/>
  <c r="K533" i="78"/>
  <c r="L533" i="78"/>
  <c r="F127" i="22" s="1"/>
  <c r="O533" i="78"/>
  <c r="P533" i="78"/>
  <c r="Q533" i="78"/>
  <c r="R533" i="78"/>
  <c r="S533" i="78"/>
  <c r="T533" i="78"/>
  <c r="U533" i="78"/>
  <c r="V533" i="78"/>
  <c r="W533" i="78"/>
  <c r="X533" i="78"/>
  <c r="Y533" i="78"/>
  <c r="Z533" i="78"/>
  <c r="AA533" i="78"/>
  <c r="AB533" i="78"/>
  <c r="AC533" i="78"/>
  <c r="AD533" i="78"/>
  <c r="AE533" i="78"/>
  <c r="AF533" i="78"/>
  <c r="AG533" i="78"/>
  <c r="AH533" i="78"/>
  <c r="AI533" i="78"/>
  <c r="AJ533" i="78"/>
  <c r="AK533" i="78"/>
  <c r="AL533" i="78"/>
  <c r="AM533" i="78"/>
  <c r="B534" i="78"/>
  <c r="E534" i="78"/>
  <c r="F534" i="78"/>
  <c r="G534" i="78"/>
  <c r="H534" i="78"/>
  <c r="I534" i="78"/>
  <c r="J534" i="78"/>
  <c r="K534" i="78"/>
  <c r="L534" i="78"/>
  <c r="F128" i="22" s="1"/>
  <c r="O534" i="78"/>
  <c r="P534" i="78"/>
  <c r="Q534" i="78"/>
  <c r="R534" i="78"/>
  <c r="S534" i="78"/>
  <c r="T534" i="78"/>
  <c r="U534" i="78"/>
  <c r="V534" i="78"/>
  <c r="W534" i="78"/>
  <c r="X534" i="78"/>
  <c r="Y534" i="78"/>
  <c r="Z534" i="78"/>
  <c r="AA534" i="78"/>
  <c r="AB534" i="78"/>
  <c r="AC534" i="78"/>
  <c r="AD534" i="78"/>
  <c r="AE534" i="78"/>
  <c r="AF534" i="78"/>
  <c r="AG534" i="78"/>
  <c r="AH534" i="78"/>
  <c r="AI534" i="78"/>
  <c r="AJ534" i="78"/>
  <c r="AK534" i="78"/>
  <c r="AL534" i="78"/>
  <c r="AM534" i="78"/>
  <c r="B535" i="78"/>
  <c r="E535" i="78"/>
  <c r="F535" i="78"/>
  <c r="G535" i="78"/>
  <c r="H535" i="78"/>
  <c r="I535" i="78"/>
  <c r="J535" i="78"/>
  <c r="K535" i="78"/>
  <c r="L535" i="78"/>
  <c r="F129" i="22" s="1"/>
  <c r="O535" i="78"/>
  <c r="P535" i="78"/>
  <c r="Q535" i="78"/>
  <c r="R535" i="78"/>
  <c r="S535" i="78"/>
  <c r="T535" i="78"/>
  <c r="U535" i="78"/>
  <c r="V535" i="78"/>
  <c r="W535" i="78"/>
  <c r="X535" i="78"/>
  <c r="Y535" i="78"/>
  <c r="Z535" i="78"/>
  <c r="AA535" i="78"/>
  <c r="AB535" i="78"/>
  <c r="AC535" i="78"/>
  <c r="AD535" i="78"/>
  <c r="AE535" i="78"/>
  <c r="AF535" i="78"/>
  <c r="AG535" i="78"/>
  <c r="AH535" i="78"/>
  <c r="AI535" i="78"/>
  <c r="AJ535" i="78"/>
  <c r="AK535" i="78"/>
  <c r="AL535" i="78"/>
  <c r="AM535" i="78"/>
  <c r="B536" i="78"/>
  <c r="E536" i="78"/>
  <c r="F536" i="78"/>
  <c r="G536" i="78"/>
  <c r="H536" i="78"/>
  <c r="I536" i="78"/>
  <c r="J536" i="78"/>
  <c r="K536" i="78"/>
  <c r="L536" i="78"/>
  <c r="F130" i="22" s="1"/>
  <c r="O536" i="78"/>
  <c r="P536" i="78"/>
  <c r="Q536" i="78"/>
  <c r="R536" i="78"/>
  <c r="S536" i="78"/>
  <c r="T536" i="78"/>
  <c r="U536" i="78"/>
  <c r="V536" i="78"/>
  <c r="W536" i="78"/>
  <c r="X536" i="78"/>
  <c r="Y536" i="78"/>
  <c r="Z536" i="78"/>
  <c r="AA536" i="78"/>
  <c r="AB536" i="78"/>
  <c r="AC536" i="78"/>
  <c r="AD536" i="78"/>
  <c r="AE536" i="78"/>
  <c r="AF536" i="78"/>
  <c r="AG536" i="78"/>
  <c r="AH536" i="78"/>
  <c r="AI536" i="78"/>
  <c r="AJ536" i="78"/>
  <c r="AK536" i="78"/>
  <c r="AL536" i="78"/>
  <c r="AM536" i="78"/>
  <c r="B537" i="78"/>
  <c r="E537" i="78"/>
  <c r="F537" i="78"/>
  <c r="G537" i="78"/>
  <c r="H537" i="78"/>
  <c r="I537" i="78"/>
  <c r="J537" i="78"/>
  <c r="K537" i="78"/>
  <c r="L537" i="78"/>
  <c r="F131" i="22" s="1"/>
  <c r="O537" i="78"/>
  <c r="P537" i="78"/>
  <c r="Q537" i="78"/>
  <c r="R537" i="78"/>
  <c r="S537" i="78"/>
  <c r="T537" i="78"/>
  <c r="U537" i="78"/>
  <c r="V537" i="78"/>
  <c r="W537" i="78"/>
  <c r="X537" i="78"/>
  <c r="Y537" i="78"/>
  <c r="Z537" i="78"/>
  <c r="AA537" i="78"/>
  <c r="AB537" i="78"/>
  <c r="AC537" i="78"/>
  <c r="AD537" i="78"/>
  <c r="AE537" i="78"/>
  <c r="AF537" i="78"/>
  <c r="AG537" i="78"/>
  <c r="AH537" i="78"/>
  <c r="AI537" i="78"/>
  <c r="AJ537" i="78"/>
  <c r="AK537" i="78"/>
  <c r="AL537" i="78"/>
  <c r="AM537" i="78"/>
  <c r="B538" i="78"/>
  <c r="E538" i="78"/>
  <c r="F538" i="78"/>
  <c r="G538" i="78"/>
  <c r="H538" i="78"/>
  <c r="I538" i="78"/>
  <c r="J538" i="78"/>
  <c r="K538" i="78"/>
  <c r="L538" i="78"/>
  <c r="F132" i="22" s="1"/>
  <c r="O538" i="78"/>
  <c r="P538" i="78"/>
  <c r="Q538" i="78"/>
  <c r="R538" i="78"/>
  <c r="S538" i="78"/>
  <c r="T538" i="78"/>
  <c r="U538" i="78"/>
  <c r="V538" i="78"/>
  <c r="W538" i="78"/>
  <c r="X538" i="78"/>
  <c r="Y538" i="78"/>
  <c r="Z538" i="78"/>
  <c r="AA538" i="78"/>
  <c r="AB538" i="78"/>
  <c r="AC538" i="78"/>
  <c r="AD538" i="78"/>
  <c r="AE538" i="78"/>
  <c r="AF538" i="78"/>
  <c r="AG538" i="78"/>
  <c r="AH538" i="78"/>
  <c r="AI538" i="78"/>
  <c r="AJ538" i="78"/>
  <c r="AK538" i="78"/>
  <c r="AL538" i="78"/>
  <c r="AM538" i="78"/>
  <c r="B539" i="78"/>
  <c r="E539" i="78"/>
  <c r="F539" i="78"/>
  <c r="G539" i="78"/>
  <c r="H539" i="78"/>
  <c r="I539" i="78"/>
  <c r="J539" i="78"/>
  <c r="K539" i="78"/>
  <c r="L539" i="78"/>
  <c r="F133" i="22" s="1"/>
  <c r="O539" i="78"/>
  <c r="P539" i="78"/>
  <c r="Q539" i="78"/>
  <c r="R539" i="78"/>
  <c r="S539" i="78"/>
  <c r="T539" i="78"/>
  <c r="U539" i="78"/>
  <c r="V539" i="78"/>
  <c r="W539" i="78"/>
  <c r="X539" i="78"/>
  <c r="Y539" i="78"/>
  <c r="Z539" i="78"/>
  <c r="AA539" i="78"/>
  <c r="AB539" i="78"/>
  <c r="AC539" i="78"/>
  <c r="AD539" i="78"/>
  <c r="AE539" i="78"/>
  <c r="AF539" i="78"/>
  <c r="AG539" i="78"/>
  <c r="AH539" i="78"/>
  <c r="AI539" i="78"/>
  <c r="AJ539" i="78"/>
  <c r="AK539" i="78"/>
  <c r="AL539" i="78"/>
  <c r="AM539" i="78"/>
  <c r="B540" i="78"/>
  <c r="E540" i="78"/>
  <c r="F540" i="78"/>
  <c r="G540" i="78"/>
  <c r="H540" i="78"/>
  <c r="I540" i="78"/>
  <c r="J540" i="78"/>
  <c r="K540" i="78"/>
  <c r="L540" i="78"/>
  <c r="F134" i="22" s="1"/>
  <c r="O540" i="78"/>
  <c r="P540" i="78"/>
  <c r="Q540" i="78"/>
  <c r="R540" i="78"/>
  <c r="S540" i="78"/>
  <c r="T540" i="78"/>
  <c r="U540" i="78"/>
  <c r="V540" i="78"/>
  <c r="W540" i="78"/>
  <c r="X540" i="78"/>
  <c r="Y540" i="78"/>
  <c r="Z540" i="78"/>
  <c r="AA540" i="78"/>
  <c r="AB540" i="78"/>
  <c r="AC540" i="78"/>
  <c r="AD540" i="78"/>
  <c r="AE540" i="78"/>
  <c r="AF540" i="78"/>
  <c r="AG540" i="78"/>
  <c r="AH540" i="78"/>
  <c r="AI540" i="78"/>
  <c r="AJ540" i="78"/>
  <c r="AK540" i="78"/>
  <c r="AL540" i="78"/>
  <c r="AM540" i="78"/>
  <c r="B541" i="78"/>
  <c r="E541" i="78"/>
  <c r="F541" i="78"/>
  <c r="G541" i="78"/>
  <c r="H541" i="78"/>
  <c r="I541" i="78"/>
  <c r="J541" i="78"/>
  <c r="K541" i="78"/>
  <c r="L541" i="78"/>
  <c r="F135" i="22" s="1"/>
  <c r="O541" i="78"/>
  <c r="P541" i="78"/>
  <c r="Q541" i="78"/>
  <c r="R541" i="78"/>
  <c r="S541" i="78"/>
  <c r="T541" i="78"/>
  <c r="U541" i="78"/>
  <c r="V541" i="78"/>
  <c r="W541" i="78"/>
  <c r="X541" i="78"/>
  <c r="Y541" i="78"/>
  <c r="Z541" i="78"/>
  <c r="AA541" i="78"/>
  <c r="AB541" i="78"/>
  <c r="AC541" i="78"/>
  <c r="AD541" i="78"/>
  <c r="AE541" i="78"/>
  <c r="AF541" i="78"/>
  <c r="AG541" i="78"/>
  <c r="AH541" i="78"/>
  <c r="AI541" i="78"/>
  <c r="AJ541" i="78"/>
  <c r="AK541" i="78"/>
  <c r="AL541" i="78"/>
  <c r="AM541" i="78"/>
  <c r="B542" i="78"/>
  <c r="E542" i="78"/>
  <c r="F542" i="78"/>
  <c r="G542" i="78"/>
  <c r="H542" i="78"/>
  <c r="I542" i="78"/>
  <c r="J542" i="78"/>
  <c r="K542" i="78"/>
  <c r="L542" i="78"/>
  <c r="F136" i="22" s="1"/>
  <c r="O542" i="78"/>
  <c r="P542" i="78"/>
  <c r="Q542" i="78"/>
  <c r="R542" i="78"/>
  <c r="S542" i="78"/>
  <c r="T542" i="78"/>
  <c r="U542" i="78"/>
  <c r="V542" i="78"/>
  <c r="W542" i="78"/>
  <c r="X542" i="78"/>
  <c r="Y542" i="78"/>
  <c r="Z542" i="78"/>
  <c r="AA542" i="78"/>
  <c r="AB542" i="78"/>
  <c r="AC542" i="78"/>
  <c r="AD542" i="78"/>
  <c r="AE542" i="78"/>
  <c r="AF542" i="78"/>
  <c r="AG542" i="78"/>
  <c r="AH542" i="78"/>
  <c r="AI542" i="78"/>
  <c r="AJ542" i="78"/>
  <c r="AK542" i="78"/>
  <c r="AL542" i="78"/>
  <c r="AM542" i="78"/>
  <c r="B544" i="78"/>
  <c r="E544" i="78"/>
  <c r="F544" i="78"/>
  <c r="G544" i="78"/>
  <c r="H544" i="78"/>
  <c r="I544" i="78"/>
  <c r="J544" i="78"/>
  <c r="K544" i="78"/>
  <c r="L544" i="78"/>
  <c r="F138" i="22" s="1"/>
  <c r="O544" i="78"/>
  <c r="P544" i="78"/>
  <c r="Q544" i="78"/>
  <c r="R544" i="78"/>
  <c r="S544" i="78"/>
  <c r="T544" i="78"/>
  <c r="U544" i="78"/>
  <c r="V544" i="78"/>
  <c r="W544" i="78"/>
  <c r="X544" i="78"/>
  <c r="Y544" i="78"/>
  <c r="Z544" i="78"/>
  <c r="AA544" i="78"/>
  <c r="AB544" i="78"/>
  <c r="AC544" i="78"/>
  <c r="AD544" i="78"/>
  <c r="AE544" i="78"/>
  <c r="AF544" i="78"/>
  <c r="AG544" i="78"/>
  <c r="AH544" i="78"/>
  <c r="AI544" i="78"/>
  <c r="AJ544" i="78"/>
  <c r="AK544" i="78"/>
  <c r="AL544" i="78"/>
  <c r="AM544" i="78"/>
  <c r="B545" i="78"/>
  <c r="E545" i="78"/>
  <c r="F545" i="78"/>
  <c r="G545" i="78"/>
  <c r="H545" i="78"/>
  <c r="I545" i="78"/>
  <c r="J545" i="78"/>
  <c r="K545" i="78"/>
  <c r="L545" i="78"/>
  <c r="F139" i="22" s="1"/>
  <c r="O545" i="78"/>
  <c r="P545" i="78"/>
  <c r="Q545" i="78"/>
  <c r="R545" i="78"/>
  <c r="S545" i="78"/>
  <c r="T545" i="78"/>
  <c r="U545" i="78"/>
  <c r="V545" i="78"/>
  <c r="W545" i="78"/>
  <c r="X545" i="78"/>
  <c r="Y545" i="78"/>
  <c r="Z545" i="78"/>
  <c r="AA545" i="78"/>
  <c r="AB545" i="78"/>
  <c r="AC545" i="78"/>
  <c r="AD545" i="78"/>
  <c r="AE545" i="78"/>
  <c r="AF545" i="78"/>
  <c r="AG545" i="78"/>
  <c r="AH545" i="78"/>
  <c r="AI545" i="78"/>
  <c r="AJ545" i="78"/>
  <c r="AK545" i="78"/>
  <c r="AL545" i="78"/>
  <c r="AM545" i="78"/>
  <c r="B546" i="78"/>
  <c r="E546" i="78"/>
  <c r="F546" i="78"/>
  <c r="G546" i="78"/>
  <c r="H546" i="78"/>
  <c r="I546" i="78"/>
  <c r="J546" i="78"/>
  <c r="K546" i="78"/>
  <c r="L546" i="78"/>
  <c r="F140" i="22" s="1"/>
  <c r="O546" i="78"/>
  <c r="P546" i="78"/>
  <c r="Q546" i="78"/>
  <c r="R546" i="78"/>
  <c r="S546" i="78"/>
  <c r="T546" i="78"/>
  <c r="U546" i="78"/>
  <c r="V546" i="78"/>
  <c r="W546" i="78"/>
  <c r="X546" i="78"/>
  <c r="Y546" i="78"/>
  <c r="Z546" i="78"/>
  <c r="AA546" i="78"/>
  <c r="AB546" i="78"/>
  <c r="AC546" i="78"/>
  <c r="AD546" i="78"/>
  <c r="AE546" i="78"/>
  <c r="AF546" i="78"/>
  <c r="AG546" i="78"/>
  <c r="AH546" i="78"/>
  <c r="AI546" i="78"/>
  <c r="AJ546" i="78"/>
  <c r="AK546" i="78"/>
  <c r="AL546" i="78"/>
  <c r="AM546" i="78"/>
  <c r="B547" i="78"/>
  <c r="E547" i="78"/>
  <c r="F547" i="78"/>
  <c r="G547" i="78"/>
  <c r="H547" i="78"/>
  <c r="I547" i="78"/>
  <c r="J547" i="78"/>
  <c r="K547" i="78"/>
  <c r="L547" i="78"/>
  <c r="F141" i="22" s="1"/>
  <c r="O547" i="78"/>
  <c r="P547" i="78"/>
  <c r="Q547" i="78"/>
  <c r="R547" i="78"/>
  <c r="S547" i="78"/>
  <c r="T547" i="78"/>
  <c r="U547" i="78"/>
  <c r="V547" i="78"/>
  <c r="W547" i="78"/>
  <c r="X547" i="78"/>
  <c r="Y547" i="78"/>
  <c r="Z547" i="78"/>
  <c r="AA547" i="78"/>
  <c r="AB547" i="78"/>
  <c r="AC547" i="78"/>
  <c r="AD547" i="78"/>
  <c r="AE547" i="78"/>
  <c r="AF547" i="78"/>
  <c r="AG547" i="78"/>
  <c r="AH547" i="78"/>
  <c r="AI547" i="78"/>
  <c r="AJ547" i="78"/>
  <c r="AK547" i="78"/>
  <c r="AL547" i="78"/>
  <c r="AM547" i="78"/>
  <c r="B548" i="78"/>
  <c r="E548" i="78"/>
  <c r="F548" i="78"/>
  <c r="G548" i="78"/>
  <c r="H548" i="78"/>
  <c r="I548" i="78"/>
  <c r="J548" i="78"/>
  <c r="K548" i="78"/>
  <c r="L548" i="78"/>
  <c r="F142" i="22" s="1"/>
  <c r="O548" i="78"/>
  <c r="P548" i="78"/>
  <c r="Q548" i="78"/>
  <c r="R548" i="78"/>
  <c r="S548" i="78"/>
  <c r="T548" i="78"/>
  <c r="U548" i="78"/>
  <c r="V548" i="78"/>
  <c r="W548" i="78"/>
  <c r="X548" i="78"/>
  <c r="Y548" i="78"/>
  <c r="Z548" i="78"/>
  <c r="AA548" i="78"/>
  <c r="AB548" i="78"/>
  <c r="AC548" i="78"/>
  <c r="AD548" i="78"/>
  <c r="AE548" i="78"/>
  <c r="AF548" i="78"/>
  <c r="AG548" i="78"/>
  <c r="AH548" i="78"/>
  <c r="AI548" i="78"/>
  <c r="AJ548" i="78"/>
  <c r="AK548" i="78"/>
  <c r="AL548" i="78"/>
  <c r="AM548" i="78"/>
  <c r="B549" i="78"/>
  <c r="E549" i="78"/>
  <c r="F549" i="78"/>
  <c r="G549" i="78"/>
  <c r="H549" i="78"/>
  <c r="I549" i="78"/>
  <c r="J549" i="78"/>
  <c r="K549" i="78"/>
  <c r="L549" i="78"/>
  <c r="F143" i="22" s="1"/>
  <c r="O549" i="78"/>
  <c r="P549" i="78"/>
  <c r="Q549" i="78"/>
  <c r="R549" i="78"/>
  <c r="S549" i="78"/>
  <c r="T549" i="78"/>
  <c r="U549" i="78"/>
  <c r="V549" i="78"/>
  <c r="W549" i="78"/>
  <c r="X549" i="78"/>
  <c r="Y549" i="78"/>
  <c r="Z549" i="78"/>
  <c r="AA549" i="78"/>
  <c r="AB549" i="78"/>
  <c r="AC549" i="78"/>
  <c r="AD549" i="78"/>
  <c r="AE549" i="78"/>
  <c r="AF549" i="78"/>
  <c r="AG549" i="78"/>
  <c r="AH549" i="78"/>
  <c r="AI549" i="78"/>
  <c r="AJ549" i="78"/>
  <c r="AK549" i="78"/>
  <c r="AL549" i="78"/>
  <c r="AM549" i="78"/>
  <c r="B550" i="78"/>
  <c r="E550" i="78"/>
  <c r="F550" i="78"/>
  <c r="G550" i="78"/>
  <c r="H550" i="78"/>
  <c r="I550" i="78"/>
  <c r="J550" i="78"/>
  <c r="K550" i="78"/>
  <c r="L550" i="78"/>
  <c r="F144" i="22" s="1"/>
  <c r="O550" i="78"/>
  <c r="P550" i="78"/>
  <c r="Q550" i="78"/>
  <c r="R550" i="78"/>
  <c r="S550" i="78"/>
  <c r="T550" i="78"/>
  <c r="U550" i="78"/>
  <c r="V550" i="78"/>
  <c r="W550" i="78"/>
  <c r="X550" i="78"/>
  <c r="Y550" i="78"/>
  <c r="Z550" i="78"/>
  <c r="AA550" i="78"/>
  <c r="AB550" i="78"/>
  <c r="AC550" i="78"/>
  <c r="AD550" i="78"/>
  <c r="AE550" i="78"/>
  <c r="AF550" i="78"/>
  <c r="AG550" i="78"/>
  <c r="AH550" i="78"/>
  <c r="AI550" i="78"/>
  <c r="AJ550" i="78"/>
  <c r="AK550" i="78"/>
  <c r="AL550" i="78"/>
  <c r="AM550" i="78"/>
  <c r="B551" i="78"/>
  <c r="E551" i="78"/>
  <c r="F551" i="78"/>
  <c r="G551" i="78"/>
  <c r="H551" i="78"/>
  <c r="I551" i="78"/>
  <c r="J551" i="78"/>
  <c r="K551" i="78"/>
  <c r="L551" i="78"/>
  <c r="F145" i="22" s="1"/>
  <c r="O551" i="78"/>
  <c r="P551" i="78"/>
  <c r="Q551" i="78"/>
  <c r="R551" i="78"/>
  <c r="S551" i="78"/>
  <c r="T551" i="78"/>
  <c r="U551" i="78"/>
  <c r="V551" i="78"/>
  <c r="W551" i="78"/>
  <c r="X551" i="78"/>
  <c r="Y551" i="78"/>
  <c r="Z551" i="78"/>
  <c r="AA551" i="78"/>
  <c r="AB551" i="78"/>
  <c r="AC551" i="78"/>
  <c r="AD551" i="78"/>
  <c r="AE551" i="78"/>
  <c r="AF551" i="78"/>
  <c r="AG551" i="78"/>
  <c r="AH551" i="78"/>
  <c r="AI551" i="78"/>
  <c r="AJ551" i="78"/>
  <c r="AK551" i="78"/>
  <c r="AL551" i="78"/>
  <c r="AM551" i="78"/>
  <c r="AU564" i="78"/>
  <c r="F65" i="79" s="1"/>
  <c r="AU568" i="78"/>
  <c r="F69" i="79" s="1"/>
  <c r="B593" i="78"/>
  <c r="C593" i="78"/>
  <c r="E593" i="78"/>
  <c r="H593" i="78"/>
  <c r="I593" i="78"/>
  <c r="K593" i="78"/>
  <c r="N593" i="78"/>
  <c r="Q593" i="78"/>
  <c r="T593" i="78"/>
  <c r="U593" i="78"/>
  <c r="W593" i="78"/>
  <c r="B594" i="78"/>
  <c r="C594" i="78"/>
  <c r="E594" i="78"/>
  <c r="H594" i="78"/>
  <c r="I594" i="78"/>
  <c r="K594" i="78"/>
  <c r="N594" i="78"/>
  <c r="Q594" i="78"/>
  <c r="T594" i="78"/>
  <c r="U594" i="78"/>
  <c r="W594" i="78"/>
  <c r="B595" i="78"/>
  <c r="C595" i="78"/>
  <c r="E595" i="78"/>
  <c r="H595" i="78"/>
  <c r="I595" i="78"/>
  <c r="K595" i="78"/>
  <c r="N595" i="78"/>
  <c r="Q595" i="78"/>
  <c r="T595" i="78"/>
  <c r="U595" i="78"/>
  <c r="W595" i="78"/>
  <c r="B596" i="78"/>
  <c r="C596" i="78"/>
  <c r="E596" i="78"/>
  <c r="H596" i="78"/>
  <c r="I596" i="78"/>
  <c r="K596" i="78"/>
  <c r="N596" i="78"/>
  <c r="Q596" i="78"/>
  <c r="T596" i="78"/>
  <c r="U596" i="78"/>
  <c r="W596" i="78"/>
  <c r="B597" i="78"/>
  <c r="C597" i="78"/>
  <c r="E597" i="78"/>
  <c r="H597" i="78"/>
  <c r="I597" i="78"/>
  <c r="K597" i="78"/>
  <c r="N597" i="78"/>
  <c r="Q597" i="78"/>
  <c r="T597" i="78"/>
  <c r="U597" i="78"/>
  <c r="W597" i="78"/>
  <c r="B598" i="78"/>
  <c r="C598" i="78"/>
  <c r="E598" i="78"/>
  <c r="H598" i="78"/>
  <c r="I598" i="78"/>
  <c r="K598" i="78"/>
  <c r="N598" i="78"/>
  <c r="Q598" i="78"/>
  <c r="T598" i="78"/>
  <c r="U598" i="78"/>
  <c r="W598" i="78"/>
  <c r="B599" i="78"/>
  <c r="C599" i="78"/>
  <c r="E599" i="78"/>
  <c r="H599" i="78"/>
  <c r="I599" i="78"/>
  <c r="K599" i="78"/>
  <c r="N599" i="78"/>
  <c r="Q599" i="78"/>
  <c r="T599" i="78"/>
  <c r="U599" i="78"/>
  <c r="W599" i="78"/>
  <c r="B600" i="78"/>
  <c r="C600" i="78"/>
  <c r="E600" i="78"/>
  <c r="H600" i="78"/>
  <c r="I600" i="78"/>
  <c r="K600" i="78"/>
  <c r="N600" i="78"/>
  <c r="Q600" i="78"/>
  <c r="T600" i="78"/>
  <c r="U600" i="78"/>
  <c r="W600" i="78"/>
  <c r="B601" i="78"/>
  <c r="C601" i="78"/>
  <c r="E601" i="78"/>
  <c r="H601" i="78"/>
  <c r="I601" i="78"/>
  <c r="K601" i="78"/>
  <c r="N601" i="78"/>
  <c r="Q601" i="78"/>
  <c r="T601" i="78"/>
  <c r="U601" i="78"/>
  <c r="W601" i="78"/>
  <c r="B602" i="78"/>
  <c r="C602" i="78"/>
  <c r="E602" i="78"/>
  <c r="H602" i="78"/>
  <c r="I602" i="78"/>
  <c r="K602" i="78"/>
  <c r="N602" i="78"/>
  <c r="Q602" i="78"/>
  <c r="T602" i="78"/>
  <c r="U602" i="78"/>
  <c r="W602" i="78"/>
  <c r="B603" i="78"/>
  <c r="C603" i="78"/>
  <c r="E603" i="78"/>
  <c r="H603" i="78"/>
  <c r="I603" i="78"/>
  <c r="K603" i="78"/>
  <c r="N603" i="78"/>
  <c r="Q603" i="78"/>
  <c r="T603" i="78"/>
  <c r="U603" i="78"/>
  <c r="W603" i="78"/>
  <c r="B604" i="78"/>
  <c r="C604" i="78"/>
  <c r="E604" i="78"/>
  <c r="H604" i="78"/>
  <c r="I604" i="78"/>
  <c r="K604" i="78"/>
  <c r="N604" i="78"/>
  <c r="Q604" i="78"/>
  <c r="T604" i="78"/>
  <c r="U604" i="78"/>
  <c r="W604" i="78"/>
  <c r="B605" i="78"/>
  <c r="C605" i="78"/>
  <c r="E605" i="78"/>
  <c r="H605" i="78"/>
  <c r="I605" i="78"/>
  <c r="K605" i="78"/>
  <c r="N605" i="78"/>
  <c r="Q605" i="78"/>
  <c r="T605" i="78"/>
  <c r="U605" i="78"/>
  <c r="W605" i="78"/>
  <c r="B606" i="78"/>
  <c r="C606" i="78"/>
  <c r="E606" i="78"/>
  <c r="H606" i="78"/>
  <c r="I606" i="78"/>
  <c r="K606" i="78"/>
  <c r="N606" i="78"/>
  <c r="Q606" i="78"/>
  <c r="T606" i="78"/>
  <c r="U606" i="78"/>
  <c r="W606" i="78"/>
  <c r="B607" i="78"/>
  <c r="C607" i="78"/>
  <c r="E607" i="78"/>
  <c r="H607" i="78"/>
  <c r="I607" i="78"/>
  <c r="K607" i="78"/>
  <c r="N607" i="78"/>
  <c r="Q607" i="78"/>
  <c r="T607" i="78"/>
  <c r="U607" i="78"/>
  <c r="W607" i="78"/>
  <c r="B608" i="78"/>
  <c r="C608" i="78"/>
  <c r="E608" i="78"/>
  <c r="H608" i="78"/>
  <c r="I608" i="78"/>
  <c r="K608" i="78"/>
  <c r="N608" i="78"/>
  <c r="Q608" i="78"/>
  <c r="T608" i="78"/>
  <c r="U608" i="78"/>
  <c r="W608" i="78"/>
  <c r="B609" i="78"/>
  <c r="C609" i="78"/>
  <c r="E609" i="78"/>
  <c r="H609" i="78"/>
  <c r="I609" i="78"/>
  <c r="K609" i="78"/>
  <c r="N609" i="78"/>
  <c r="Q609" i="78"/>
  <c r="T609" i="78"/>
  <c r="U609" i="78"/>
  <c r="W609" i="78"/>
  <c r="B610" i="78"/>
  <c r="C610" i="78"/>
  <c r="E610" i="78"/>
  <c r="H610" i="78"/>
  <c r="I610" i="78"/>
  <c r="K610" i="78"/>
  <c r="N610" i="78"/>
  <c r="Q610" i="78"/>
  <c r="T610" i="78"/>
  <c r="U610" i="78"/>
  <c r="W610" i="78"/>
  <c r="B611" i="78"/>
  <c r="C611" i="78"/>
  <c r="E611" i="78"/>
  <c r="H611" i="78"/>
  <c r="I611" i="78"/>
  <c r="K611" i="78"/>
  <c r="N611" i="78"/>
  <c r="Q611" i="78"/>
  <c r="T611" i="78"/>
  <c r="U611" i="78"/>
  <c r="W611" i="78"/>
  <c r="B612" i="78"/>
  <c r="C612" i="78"/>
  <c r="E612" i="78"/>
  <c r="H612" i="78"/>
  <c r="I612" i="78"/>
  <c r="K612" i="78"/>
  <c r="N612" i="78"/>
  <c r="Q612" i="78"/>
  <c r="T612" i="78"/>
  <c r="U612" i="78"/>
  <c r="W612" i="78"/>
  <c r="B613" i="78"/>
  <c r="C613" i="78"/>
  <c r="E613" i="78"/>
  <c r="H613" i="78"/>
  <c r="I613" i="78"/>
  <c r="K613" i="78"/>
  <c r="N613" i="78"/>
  <c r="Q613" i="78"/>
  <c r="T613" i="78"/>
  <c r="U613" i="78"/>
  <c r="W613" i="78"/>
  <c r="B614" i="78"/>
  <c r="C614" i="78"/>
  <c r="E614" i="78"/>
  <c r="H614" i="78"/>
  <c r="I614" i="78"/>
  <c r="K614" i="78"/>
  <c r="N614" i="78"/>
  <c r="Q614" i="78"/>
  <c r="T614" i="78"/>
  <c r="U614" i="78"/>
  <c r="W614" i="78"/>
  <c r="B615" i="78"/>
  <c r="C615" i="78"/>
  <c r="E615" i="78"/>
  <c r="H615" i="78"/>
  <c r="I615" i="78"/>
  <c r="K615" i="78"/>
  <c r="N615" i="78"/>
  <c r="Q615" i="78"/>
  <c r="T615" i="78"/>
  <c r="U615" i="78"/>
  <c r="W615" i="78"/>
  <c r="B616" i="78"/>
  <c r="C616" i="78"/>
  <c r="E616" i="78"/>
  <c r="H616" i="78"/>
  <c r="I616" i="78"/>
  <c r="K616" i="78"/>
  <c r="N616" i="78"/>
  <c r="Q616" i="78"/>
  <c r="T616" i="78"/>
  <c r="U616" i="78"/>
  <c r="W616" i="78"/>
  <c r="B617" i="78"/>
  <c r="C617" i="78"/>
  <c r="E617" i="78"/>
  <c r="H617" i="78"/>
  <c r="I617" i="78"/>
  <c r="K617" i="78"/>
  <c r="N617" i="78"/>
  <c r="Q617" i="78"/>
  <c r="T617" i="78"/>
  <c r="U617" i="78"/>
  <c r="W617" i="78"/>
  <c r="B618" i="78"/>
  <c r="C618" i="78"/>
  <c r="E618" i="78"/>
  <c r="H618" i="78"/>
  <c r="I618" i="78"/>
  <c r="K618" i="78"/>
  <c r="N618" i="78"/>
  <c r="Q618" i="78"/>
  <c r="T618" i="78"/>
  <c r="U618" i="78"/>
  <c r="W618" i="78"/>
  <c r="B625" i="78"/>
  <c r="C625" i="78"/>
  <c r="E625" i="78"/>
  <c r="H625" i="78"/>
  <c r="I625" i="78"/>
  <c r="K625" i="78"/>
  <c r="N625" i="78"/>
  <c r="Q625" i="78"/>
  <c r="T625" i="78"/>
  <c r="U625" i="78"/>
  <c r="W625" i="78"/>
  <c r="B626" i="78"/>
  <c r="C626" i="78"/>
  <c r="E626" i="78"/>
  <c r="H626" i="78"/>
  <c r="I626" i="78"/>
  <c r="K626" i="78"/>
  <c r="N626" i="78"/>
  <c r="Q626" i="78"/>
  <c r="T626" i="78"/>
  <c r="U626" i="78"/>
  <c r="W626" i="78"/>
  <c r="B627" i="78"/>
  <c r="C627" i="78"/>
  <c r="E627" i="78"/>
  <c r="H627" i="78"/>
  <c r="I627" i="78"/>
  <c r="K627" i="78"/>
  <c r="N627" i="78"/>
  <c r="Q627" i="78"/>
  <c r="T627" i="78"/>
  <c r="U627" i="78"/>
  <c r="W627" i="78"/>
  <c r="B628" i="78"/>
  <c r="C628" i="78"/>
  <c r="E628" i="78"/>
  <c r="H628" i="78"/>
  <c r="I628" i="78"/>
  <c r="K628" i="78"/>
  <c r="N628" i="78"/>
  <c r="Q628" i="78"/>
  <c r="T628" i="78"/>
  <c r="U628" i="78"/>
  <c r="W628" i="78"/>
  <c r="B629" i="78"/>
  <c r="C629" i="78"/>
  <c r="E629" i="78"/>
  <c r="H629" i="78"/>
  <c r="I629" i="78"/>
  <c r="K629" i="78"/>
  <c r="N629" i="78"/>
  <c r="Q629" i="78"/>
  <c r="T629" i="78"/>
  <c r="U629" i="78"/>
  <c r="W629" i="78"/>
  <c r="B630" i="78"/>
  <c r="C630" i="78"/>
  <c r="E630" i="78"/>
  <c r="H630" i="78"/>
  <c r="I630" i="78"/>
  <c r="K630" i="78"/>
  <c r="N630" i="78"/>
  <c r="Q630" i="78"/>
  <c r="T630" i="78"/>
  <c r="U630" i="78"/>
  <c r="W630" i="78"/>
  <c r="B631" i="78"/>
  <c r="C631" i="78"/>
  <c r="E631" i="78"/>
  <c r="H631" i="78"/>
  <c r="I631" i="78"/>
  <c r="K631" i="78"/>
  <c r="N631" i="78"/>
  <c r="Q631" i="78"/>
  <c r="T631" i="78"/>
  <c r="U631" i="78"/>
  <c r="W631" i="78"/>
  <c r="B632" i="78"/>
  <c r="C632" i="78"/>
  <c r="E632" i="78"/>
  <c r="H632" i="78"/>
  <c r="I632" i="78"/>
  <c r="K632" i="78"/>
  <c r="N632" i="78"/>
  <c r="Q632" i="78"/>
  <c r="T632" i="78"/>
  <c r="U632" i="78"/>
  <c r="W632" i="78"/>
  <c r="B633" i="78"/>
  <c r="C633" i="78"/>
  <c r="E633" i="78"/>
  <c r="H633" i="78"/>
  <c r="I633" i="78"/>
  <c r="K633" i="78"/>
  <c r="N633" i="78"/>
  <c r="Q633" i="78"/>
  <c r="T633" i="78"/>
  <c r="U633" i="78"/>
  <c r="W633" i="78"/>
  <c r="B634" i="78"/>
  <c r="C634" i="78"/>
  <c r="E634" i="78"/>
  <c r="H634" i="78"/>
  <c r="I634" i="78"/>
  <c r="K634" i="78"/>
  <c r="N634" i="78"/>
  <c r="Q634" i="78"/>
  <c r="T634" i="78"/>
  <c r="U634" i="78"/>
  <c r="W634" i="78"/>
  <c r="B635" i="78"/>
  <c r="C635" i="78"/>
  <c r="E635" i="78"/>
  <c r="H635" i="78"/>
  <c r="I635" i="78"/>
  <c r="K635" i="78"/>
  <c r="N635" i="78"/>
  <c r="Q635" i="78"/>
  <c r="T635" i="78"/>
  <c r="U635" i="78"/>
  <c r="W635" i="78"/>
  <c r="B636" i="78"/>
  <c r="C636" i="78"/>
  <c r="E636" i="78"/>
  <c r="H636" i="78"/>
  <c r="I636" i="78"/>
  <c r="K636" i="78"/>
  <c r="N636" i="78"/>
  <c r="Q636" i="78"/>
  <c r="T636" i="78"/>
  <c r="U636" i="78"/>
  <c r="W636" i="78"/>
  <c r="B637" i="78"/>
  <c r="C637" i="78"/>
  <c r="E637" i="78"/>
  <c r="H637" i="78"/>
  <c r="I637" i="78"/>
  <c r="K637" i="78"/>
  <c r="N637" i="78"/>
  <c r="Q637" i="78"/>
  <c r="T637" i="78"/>
  <c r="U637" i="78"/>
  <c r="W637" i="78"/>
  <c r="B638" i="78"/>
  <c r="C638" i="78"/>
  <c r="E638" i="78"/>
  <c r="H638" i="78"/>
  <c r="I638" i="78"/>
  <c r="K638" i="78"/>
  <c r="N638" i="78"/>
  <c r="Q638" i="78"/>
  <c r="T638" i="78"/>
  <c r="U638" i="78"/>
  <c r="W638" i="78"/>
  <c r="B639" i="78"/>
  <c r="C639" i="78"/>
  <c r="E639" i="78"/>
  <c r="H639" i="78"/>
  <c r="I639" i="78"/>
  <c r="K639" i="78"/>
  <c r="N639" i="78"/>
  <c r="Q639" i="78"/>
  <c r="T639" i="78"/>
  <c r="U639" i="78"/>
  <c r="W639" i="78"/>
  <c r="B640" i="78"/>
  <c r="C640" i="78"/>
  <c r="E640" i="78"/>
  <c r="H640" i="78"/>
  <c r="I640" i="78"/>
  <c r="K640" i="78"/>
  <c r="N640" i="78"/>
  <c r="Q640" i="78"/>
  <c r="T640" i="78"/>
  <c r="U640" i="78"/>
  <c r="W640" i="78"/>
  <c r="B641" i="78"/>
  <c r="C641" i="78"/>
  <c r="E641" i="78"/>
  <c r="H641" i="78"/>
  <c r="I641" i="78"/>
  <c r="K641" i="78"/>
  <c r="N641" i="78"/>
  <c r="Q641" i="78"/>
  <c r="T641" i="78"/>
  <c r="U641" i="78"/>
  <c r="W641" i="78"/>
  <c r="B642" i="78"/>
  <c r="C642" i="78"/>
  <c r="E642" i="78"/>
  <c r="H642" i="78"/>
  <c r="I642" i="78"/>
  <c r="K642" i="78"/>
  <c r="N642" i="78"/>
  <c r="Q642" i="78"/>
  <c r="T642" i="78"/>
  <c r="U642" i="78"/>
  <c r="W642" i="78"/>
  <c r="B643" i="78"/>
  <c r="C643" i="78"/>
  <c r="E643" i="78"/>
  <c r="H643" i="78"/>
  <c r="I643" i="78"/>
  <c r="K643" i="78"/>
  <c r="N643" i="78"/>
  <c r="Q643" i="78"/>
  <c r="T643" i="78"/>
  <c r="U643" i="78"/>
  <c r="W643" i="78"/>
  <c r="B644" i="78"/>
  <c r="C644" i="78"/>
  <c r="E644" i="78"/>
  <c r="H644" i="78"/>
  <c r="I644" i="78"/>
  <c r="K644" i="78"/>
  <c r="N644" i="78"/>
  <c r="Q644" i="78"/>
  <c r="T644" i="78"/>
  <c r="U644" i="78"/>
  <c r="W644" i="78"/>
  <c r="B645" i="78"/>
  <c r="C645" i="78"/>
  <c r="E645" i="78"/>
  <c r="H645" i="78"/>
  <c r="I645" i="78"/>
  <c r="K645" i="78"/>
  <c r="N645" i="78"/>
  <c r="Q645" i="78"/>
  <c r="T645" i="78"/>
  <c r="U645" i="78"/>
  <c r="W645" i="78"/>
  <c r="B646" i="78"/>
  <c r="C646" i="78"/>
  <c r="E646" i="78"/>
  <c r="H646" i="78"/>
  <c r="I646" i="78"/>
  <c r="K646" i="78"/>
  <c r="N646" i="78"/>
  <c r="Q646" i="78"/>
  <c r="T646" i="78"/>
  <c r="U646" i="78"/>
  <c r="W646" i="78"/>
  <c r="B647" i="78"/>
  <c r="C647" i="78"/>
  <c r="E647" i="78"/>
  <c r="H647" i="78"/>
  <c r="I647" i="78"/>
  <c r="K647" i="78"/>
  <c r="N647" i="78"/>
  <c r="Q647" i="78"/>
  <c r="T647" i="78"/>
  <c r="U647" i="78"/>
  <c r="W647" i="78"/>
  <c r="B648" i="78"/>
  <c r="C648" i="78"/>
  <c r="E648" i="78"/>
  <c r="H648" i="78"/>
  <c r="I648" i="78"/>
  <c r="K648" i="78"/>
  <c r="N648" i="78"/>
  <c r="Q648" i="78"/>
  <c r="T648" i="78"/>
  <c r="U648" i="78"/>
  <c r="W648" i="78"/>
  <c r="B649" i="78"/>
  <c r="C649" i="78"/>
  <c r="E649" i="78"/>
  <c r="H649" i="78"/>
  <c r="I649" i="78"/>
  <c r="K649" i="78"/>
  <c r="N649" i="78"/>
  <c r="Q649" i="78"/>
  <c r="T649" i="78"/>
  <c r="U649" i="78"/>
  <c r="W649" i="78"/>
  <c r="B650" i="78"/>
  <c r="C650" i="78"/>
  <c r="E650" i="78"/>
  <c r="H650" i="78"/>
  <c r="I650" i="78"/>
  <c r="K650" i="78"/>
  <c r="N650" i="78"/>
  <c r="Q650" i="78"/>
  <c r="T650" i="78"/>
  <c r="U650" i="78"/>
  <c r="W650" i="78"/>
  <c r="B657" i="78"/>
  <c r="C657" i="78"/>
  <c r="D657" i="78"/>
  <c r="E657" i="78"/>
  <c r="H657" i="78"/>
  <c r="I657" i="78"/>
  <c r="K657" i="78"/>
  <c r="N657" i="78"/>
  <c r="Q657" i="78"/>
  <c r="T657" i="78"/>
  <c r="U657" i="78"/>
  <c r="W657" i="78"/>
  <c r="B658" i="78"/>
  <c r="C658" i="78"/>
  <c r="D658" i="78"/>
  <c r="E658" i="78"/>
  <c r="H658" i="78"/>
  <c r="I658" i="78"/>
  <c r="K658" i="78"/>
  <c r="N658" i="78"/>
  <c r="Q658" i="78"/>
  <c r="T658" i="78"/>
  <c r="U658" i="78"/>
  <c r="W658" i="78"/>
  <c r="B659" i="78"/>
  <c r="C659" i="78"/>
  <c r="D659" i="78"/>
  <c r="E659" i="78"/>
  <c r="H659" i="78"/>
  <c r="I659" i="78"/>
  <c r="K659" i="78"/>
  <c r="N659" i="78"/>
  <c r="Q659" i="78"/>
  <c r="T659" i="78"/>
  <c r="U659" i="78"/>
  <c r="W659" i="78"/>
  <c r="B660" i="78"/>
  <c r="C660" i="78"/>
  <c r="D660" i="78"/>
  <c r="E660" i="78"/>
  <c r="H660" i="78"/>
  <c r="I660" i="78"/>
  <c r="K660" i="78"/>
  <c r="N660" i="78"/>
  <c r="Q660" i="78"/>
  <c r="T660" i="78"/>
  <c r="U660" i="78"/>
  <c r="W660" i="78"/>
  <c r="B661" i="78"/>
  <c r="C661" i="78"/>
  <c r="D661" i="78"/>
  <c r="E661" i="78"/>
  <c r="H661" i="78"/>
  <c r="I661" i="78"/>
  <c r="K661" i="78"/>
  <c r="N661" i="78"/>
  <c r="Q661" i="78"/>
  <c r="T661" i="78"/>
  <c r="U661" i="78"/>
  <c r="W661" i="78"/>
  <c r="B662" i="78"/>
  <c r="C662" i="78"/>
  <c r="D662" i="78"/>
  <c r="E662" i="78"/>
  <c r="H662" i="78"/>
  <c r="I662" i="78"/>
  <c r="K662" i="78"/>
  <c r="N662" i="78"/>
  <c r="Q662" i="78"/>
  <c r="T662" i="78"/>
  <c r="U662" i="78"/>
  <c r="W662" i="78"/>
  <c r="B663" i="78"/>
  <c r="C663" i="78"/>
  <c r="D663" i="78"/>
  <c r="E663" i="78"/>
  <c r="H663" i="78"/>
  <c r="I663" i="78"/>
  <c r="K663" i="78"/>
  <c r="N663" i="78"/>
  <c r="Q663" i="78"/>
  <c r="T663" i="78"/>
  <c r="U663" i="78"/>
  <c r="W663" i="78"/>
  <c r="B664" i="78"/>
  <c r="C664" i="78"/>
  <c r="D664" i="78"/>
  <c r="E664" i="78"/>
  <c r="H664" i="78"/>
  <c r="I664" i="78"/>
  <c r="K664" i="78"/>
  <c r="N664" i="78"/>
  <c r="Q664" i="78"/>
  <c r="T664" i="78"/>
  <c r="U664" i="78"/>
  <c r="W664" i="78"/>
  <c r="B665" i="78"/>
  <c r="C665" i="78"/>
  <c r="D665" i="78"/>
  <c r="E665" i="78"/>
  <c r="H665" i="78"/>
  <c r="I665" i="78"/>
  <c r="K665" i="78"/>
  <c r="N665" i="78"/>
  <c r="Q665" i="78"/>
  <c r="T665" i="78"/>
  <c r="U665" i="78"/>
  <c r="W665" i="78"/>
  <c r="B666" i="78"/>
  <c r="C666" i="78"/>
  <c r="D666" i="78"/>
  <c r="E666" i="78"/>
  <c r="H666" i="78"/>
  <c r="I666" i="78"/>
  <c r="K666" i="78"/>
  <c r="N666" i="78"/>
  <c r="Q666" i="78"/>
  <c r="T666" i="78"/>
  <c r="U666" i="78"/>
  <c r="W666" i="78"/>
  <c r="B667" i="78"/>
  <c r="C667" i="78"/>
  <c r="D667" i="78"/>
  <c r="E667" i="78"/>
  <c r="H667" i="78"/>
  <c r="I667" i="78"/>
  <c r="K667" i="78"/>
  <c r="N667" i="78"/>
  <c r="Q667" i="78"/>
  <c r="T667" i="78"/>
  <c r="U667" i="78"/>
  <c r="W667" i="78"/>
  <c r="B668" i="78"/>
  <c r="C668" i="78"/>
  <c r="D668" i="78"/>
  <c r="E668" i="78"/>
  <c r="H668" i="78"/>
  <c r="I668" i="78"/>
  <c r="K668" i="78"/>
  <c r="N668" i="78"/>
  <c r="Q668" i="78"/>
  <c r="T668" i="78"/>
  <c r="U668" i="78"/>
  <c r="W668" i="78"/>
  <c r="B669" i="78"/>
  <c r="C669" i="78"/>
  <c r="D669" i="78"/>
  <c r="E669" i="78"/>
  <c r="H669" i="78"/>
  <c r="I669" i="78"/>
  <c r="K669" i="78"/>
  <c r="N669" i="78"/>
  <c r="Q669" i="78"/>
  <c r="T669" i="78"/>
  <c r="U669" i="78"/>
  <c r="W669" i="78"/>
  <c r="B670" i="78"/>
  <c r="C670" i="78"/>
  <c r="D670" i="78"/>
  <c r="E670" i="78"/>
  <c r="H670" i="78"/>
  <c r="I670" i="78"/>
  <c r="K670" i="78"/>
  <c r="N670" i="78"/>
  <c r="Q670" i="78"/>
  <c r="T670" i="78"/>
  <c r="U670" i="78"/>
  <c r="W670" i="78"/>
  <c r="B671" i="78"/>
  <c r="C671" i="78"/>
  <c r="D671" i="78"/>
  <c r="E671" i="78"/>
  <c r="H671" i="78"/>
  <c r="I671" i="78"/>
  <c r="K671" i="78"/>
  <c r="N671" i="78"/>
  <c r="Q671" i="78"/>
  <c r="T671" i="78"/>
  <c r="U671" i="78"/>
  <c r="W671" i="78"/>
  <c r="B672" i="78"/>
  <c r="C672" i="78"/>
  <c r="D672" i="78"/>
  <c r="E672" i="78"/>
  <c r="H672" i="78"/>
  <c r="I672" i="78"/>
  <c r="K672" i="78"/>
  <c r="N672" i="78"/>
  <c r="Q672" i="78"/>
  <c r="T672" i="78"/>
  <c r="U672" i="78"/>
  <c r="W672" i="78"/>
  <c r="B673" i="78"/>
  <c r="C673" i="78"/>
  <c r="D673" i="78"/>
  <c r="E673" i="78"/>
  <c r="H673" i="78"/>
  <c r="I673" i="78"/>
  <c r="K673" i="78"/>
  <c r="N673" i="78"/>
  <c r="Q673" i="78"/>
  <c r="T673" i="78"/>
  <c r="U673" i="78"/>
  <c r="W673" i="78"/>
  <c r="B674" i="78"/>
  <c r="C674" i="78"/>
  <c r="D674" i="78"/>
  <c r="E674" i="78"/>
  <c r="H674" i="78"/>
  <c r="I674" i="78"/>
  <c r="K674" i="78"/>
  <c r="N674" i="78"/>
  <c r="Q674" i="78"/>
  <c r="T674" i="78"/>
  <c r="U674" i="78"/>
  <c r="W674" i="78"/>
  <c r="B675" i="78"/>
  <c r="C675" i="78"/>
  <c r="D675" i="78"/>
  <c r="E675" i="78"/>
  <c r="H675" i="78"/>
  <c r="I675" i="78"/>
  <c r="K675" i="78"/>
  <c r="N675" i="78"/>
  <c r="Q675" i="78"/>
  <c r="T675" i="78"/>
  <c r="U675" i="78"/>
  <c r="W675" i="78"/>
  <c r="B676" i="78"/>
  <c r="C676" i="78"/>
  <c r="D676" i="78"/>
  <c r="E676" i="78"/>
  <c r="H676" i="78"/>
  <c r="I676" i="78"/>
  <c r="K676" i="78"/>
  <c r="N676" i="78"/>
  <c r="Q676" i="78"/>
  <c r="T676" i="78"/>
  <c r="U676" i="78"/>
  <c r="W676" i="78"/>
  <c r="B677" i="78"/>
  <c r="C677" i="78"/>
  <c r="D677" i="78"/>
  <c r="E677" i="78"/>
  <c r="H677" i="78"/>
  <c r="I677" i="78"/>
  <c r="K677" i="78"/>
  <c r="N677" i="78"/>
  <c r="Q677" i="78"/>
  <c r="T677" i="78"/>
  <c r="U677" i="78"/>
  <c r="W677" i="78"/>
  <c r="B678" i="78"/>
  <c r="C678" i="78"/>
  <c r="D678" i="78"/>
  <c r="E678" i="78"/>
  <c r="H678" i="78"/>
  <c r="I678" i="78"/>
  <c r="K678" i="78"/>
  <c r="N678" i="78"/>
  <c r="Q678" i="78"/>
  <c r="T678" i="78"/>
  <c r="U678" i="78"/>
  <c r="W678" i="78"/>
  <c r="B679" i="78"/>
  <c r="C679" i="78"/>
  <c r="D679" i="78"/>
  <c r="E679" i="78"/>
  <c r="H679" i="78"/>
  <c r="I679" i="78"/>
  <c r="K679" i="78"/>
  <c r="N679" i="78"/>
  <c r="Q679" i="78"/>
  <c r="T679" i="78"/>
  <c r="U679" i="78"/>
  <c r="W679" i="78"/>
  <c r="B680" i="78"/>
  <c r="C680" i="78"/>
  <c r="D680" i="78"/>
  <c r="E680" i="78"/>
  <c r="H680" i="78"/>
  <c r="I680" i="78"/>
  <c r="K680" i="78"/>
  <c r="N680" i="78"/>
  <c r="Q680" i="78"/>
  <c r="T680" i="78"/>
  <c r="U680" i="78"/>
  <c r="W680" i="78"/>
  <c r="B681" i="78"/>
  <c r="C681" i="78"/>
  <c r="D681" i="78"/>
  <c r="E681" i="78"/>
  <c r="H681" i="78"/>
  <c r="I681" i="78"/>
  <c r="K681" i="78"/>
  <c r="N681" i="78"/>
  <c r="Q681" i="78"/>
  <c r="T681" i="78"/>
  <c r="U681" i="78"/>
  <c r="W681" i="78"/>
  <c r="B682" i="78"/>
  <c r="C682" i="78"/>
  <c r="D682" i="78"/>
  <c r="E682" i="78"/>
  <c r="H682" i="78"/>
  <c r="I682" i="78"/>
  <c r="K682" i="78"/>
  <c r="N682" i="78"/>
  <c r="Q682" i="78"/>
  <c r="T682" i="78"/>
  <c r="U682" i="78"/>
  <c r="W682" i="78"/>
  <c r="B692" i="78"/>
  <c r="C692" i="78"/>
  <c r="D692" i="78"/>
  <c r="E692" i="78"/>
  <c r="H692" i="78"/>
  <c r="I692" i="78"/>
  <c r="K692" i="78"/>
  <c r="N692" i="78"/>
  <c r="Q692" i="78"/>
  <c r="T692" i="78"/>
  <c r="U692" i="78"/>
  <c r="W692" i="78"/>
  <c r="B693" i="78"/>
  <c r="C693" i="78"/>
  <c r="D693" i="78"/>
  <c r="E693" i="78"/>
  <c r="H693" i="78"/>
  <c r="I693" i="78"/>
  <c r="K693" i="78"/>
  <c r="N693" i="78"/>
  <c r="Q693" i="78"/>
  <c r="T693" i="78"/>
  <c r="U693" i="78"/>
  <c r="W693" i="78"/>
  <c r="B694" i="78"/>
  <c r="C694" i="78"/>
  <c r="D694" i="78"/>
  <c r="E694" i="78"/>
  <c r="H694" i="78"/>
  <c r="I694" i="78"/>
  <c r="K694" i="78"/>
  <c r="N694" i="78"/>
  <c r="Q694" i="78"/>
  <c r="T694" i="78"/>
  <c r="U694" i="78"/>
  <c r="W694" i="78"/>
  <c r="B695" i="78"/>
  <c r="C695" i="78"/>
  <c r="D695" i="78"/>
  <c r="E695" i="78"/>
  <c r="H695" i="78"/>
  <c r="I695" i="78"/>
  <c r="K695" i="78"/>
  <c r="N695" i="78"/>
  <c r="Q695" i="78"/>
  <c r="T695" i="78"/>
  <c r="U695" i="78"/>
  <c r="W695" i="78"/>
  <c r="B696" i="78"/>
  <c r="C696" i="78"/>
  <c r="D696" i="78"/>
  <c r="E696" i="78"/>
  <c r="H696" i="78"/>
  <c r="I696" i="78"/>
  <c r="K696" i="78"/>
  <c r="N696" i="78"/>
  <c r="Q696" i="78"/>
  <c r="T696" i="78"/>
  <c r="U696" i="78"/>
  <c r="W696" i="78"/>
  <c r="B697" i="78"/>
  <c r="C697" i="78"/>
  <c r="D697" i="78"/>
  <c r="E697" i="78"/>
  <c r="H697" i="78"/>
  <c r="I697" i="78"/>
  <c r="K697" i="78"/>
  <c r="N697" i="78"/>
  <c r="Q697" i="78"/>
  <c r="T697" i="78"/>
  <c r="U697" i="78"/>
  <c r="W697" i="78"/>
  <c r="B698" i="78"/>
  <c r="C698" i="78"/>
  <c r="D698" i="78"/>
  <c r="E698" i="78"/>
  <c r="H698" i="78"/>
  <c r="I698" i="78"/>
  <c r="K698" i="78"/>
  <c r="N698" i="78"/>
  <c r="Q698" i="78"/>
  <c r="T698" i="78"/>
  <c r="U698" i="78"/>
  <c r="W698" i="78"/>
  <c r="B699" i="78"/>
  <c r="C699" i="78"/>
  <c r="D699" i="78"/>
  <c r="E699" i="78"/>
  <c r="H699" i="78"/>
  <c r="I699" i="78"/>
  <c r="K699" i="78"/>
  <c r="N699" i="78"/>
  <c r="Q699" i="78"/>
  <c r="T699" i="78"/>
  <c r="U699" i="78"/>
  <c r="W699" i="78"/>
  <c r="B700" i="78"/>
  <c r="C700" i="78"/>
  <c r="D700" i="78"/>
  <c r="E700" i="78"/>
  <c r="H700" i="78"/>
  <c r="I700" i="78"/>
  <c r="K700" i="78"/>
  <c r="N700" i="78"/>
  <c r="Q700" i="78"/>
  <c r="T700" i="78"/>
  <c r="U700" i="78"/>
  <c r="W700" i="78"/>
  <c r="B701" i="78"/>
  <c r="C701" i="78"/>
  <c r="D701" i="78"/>
  <c r="E701" i="78"/>
  <c r="H701" i="78"/>
  <c r="I701" i="78"/>
  <c r="K701" i="78"/>
  <c r="N701" i="78"/>
  <c r="Q701" i="78"/>
  <c r="T701" i="78"/>
  <c r="U701" i="78"/>
  <c r="W701" i="78"/>
  <c r="B702" i="78"/>
  <c r="C702" i="78"/>
  <c r="D702" i="78"/>
  <c r="E702" i="78"/>
  <c r="H702" i="78"/>
  <c r="I702" i="78"/>
  <c r="K702" i="78"/>
  <c r="N702" i="78"/>
  <c r="Q702" i="78"/>
  <c r="T702" i="78"/>
  <c r="U702" i="78"/>
  <c r="W702" i="78"/>
  <c r="B703" i="78"/>
  <c r="C703" i="78"/>
  <c r="D703" i="78"/>
  <c r="E703" i="78"/>
  <c r="H703" i="78"/>
  <c r="I703" i="78"/>
  <c r="K703" i="78"/>
  <c r="N703" i="78"/>
  <c r="Q703" i="78"/>
  <c r="T703" i="78"/>
  <c r="U703" i="78"/>
  <c r="W703" i="78"/>
  <c r="B704" i="78"/>
  <c r="C704" i="78"/>
  <c r="D704" i="78"/>
  <c r="E704" i="78"/>
  <c r="H704" i="78"/>
  <c r="I704" i="78"/>
  <c r="K704" i="78"/>
  <c r="N704" i="78"/>
  <c r="Q704" i="78"/>
  <c r="T704" i="78"/>
  <c r="U704" i="78"/>
  <c r="W704" i="78"/>
  <c r="B705" i="78"/>
  <c r="C705" i="78"/>
  <c r="D705" i="78"/>
  <c r="E705" i="78"/>
  <c r="H705" i="78"/>
  <c r="I705" i="78"/>
  <c r="K705" i="78"/>
  <c r="N705" i="78"/>
  <c r="Q705" i="78"/>
  <c r="T705" i="78"/>
  <c r="U705" i="78"/>
  <c r="W705" i="78"/>
  <c r="B706" i="78"/>
  <c r="C706" i="78"/>
  <c r="D706" i="78"/>
  <c r="E706" i="78"/>
  <c r="H706" i="78"/>
  <c r="I706" i="78"/>
  <c r="K706" i="78"/>
  <c r="N706" i="78"/>
  <c r="Q706" i="78"/>
  <c r="T706" i="78"/>
  <c r="U706" i="78"/>
  <c r="W706" i="78"/>
  <c r="B707" i="78"/>
  <c r="C707" i="78"/>
  <c r="D707" i="78"/>
  <c r="E707" i="78"/>
  <c r="H707" i="78"/>
  <c r="I707" i="78"/>
  <c r="K707" i="78"/>
  <c r="N707" i="78"/>
  <c r="Q707" i="78"/>
  <c r="T707" i="78"/>
  <c r="U707" i="78"/>
  <c r="W707" i="78"/>
  <c r="B708" i="78"/>
  <c r="C708" i="78"/>
  <c r="D708" i="78"/>
  <c r="E708" i="78"/>
  <c r="H708" i="78"/>
  <c r="I708" i="78"/>
  <c r="K708" i="78"/>
  <c r="N708" i="78"/>
  <c r="Q708" i="78"/>
  <c r="T708" i="78"/>
  <c r="U708" i="78"/>
  <c r="W708" i="78"/>
  <c r="B709" i="78"/>
  <c r="C709" i="78"/>
  <c r="D709" i="78"/>
  <c r="E709" i="78"/>
  <c r="H709" i="78"/>
  <c r="I709" i="78"/>
  <c r="K709" i="78"/>
  <c r="N709" i="78"/>
  <c r="Q709" i="78"/>
  <c r="T709" i="78"/>
  <c r="U709" i="78"/>
  <c r="W709" i="78"/>
  <c r="B710" i="78"/>
  <c r="C710" i="78"/>
  <c r="D710" i="78"/>
  <c r="E710" i="78"/>
  <c r="H710" i="78"/>
  <c r="I710" i="78"/>
  <c r="K710" i="78"/>
  <c r="N710" i="78"/>
  <c r="Q710" i="78"/>
  <c r="T710" i="78"/>
  <c r="U710" i="78"/>
  <c r="W710" i="78"/>
  <c r="B711" i="78"/>
  <c r="C711" i="78"/>
  <c r="D711" i="78"/>
  <c r="E711" i="78"/>
  <c r="H711" i="78"/>
  <c r="I711" i="78"/>
  <c r="K711" i="78"/>
  <c r="N711" i="78"/>
  <c r="Q711" i="78"/>
  <c r="T711" i="78"/>
  <c r="U711" i="78"/>
  <c r="W711" i="78"/>
  <c r="B712" i="78"/>
  <c r="C712" i="78"/>
  <c r="D712" i="78"/>
  <c r="E712" i="78"/>
  <c r="H712" i="78"/>
  <c r="I712" i="78"/>
  <c r="K712" i="78"/>
  <c r="N712" i="78"/>
  <c r="Q712" i="78"/>
  <c r="T712" i="78"/>
  <c r="U712" i="78"/>
  <c r="W712" i="78"/>
  <c r="B713" i="78"/>
  <c r="C713" i="78"/>
  <c r="D713" i="78"/>
  <c r="E713" i="78"/>
  <c r="H713" i="78"/>
  <c r="I713" i="78"/>
  <c r="K713" i="78"/>
  <c r="N713" i="78"/>
  <c r="Q713" i="78"/>
  <c r="T713" i="78"/>
  <c r="U713" i="78"/>
  <c r="W713" i="78"/>
  <c r="B714" i="78"/>
  <c r="C714" i="78"/>
  <c r="D714" i="78"/>
  <c r="E714" i="78"/>
  <c r="H714" i="78"/>
  <c r="I714" i="78"/>
  <c r="K714" i="78"/>
  <c r="N714" i="78"/>
  <c r="Q714" i="78"/>
  <c r="T714" i="78"/>
  <c r="U714" i="78"/>
  <c r="W714" i="78"/>
  <c r="B715" i="78"/>
  <c r="C715" i="78"/>
  <c r="D715" i="78"/>
  <c r="E715" i="78"/>
  <c r="H715" i="78"/>
  <c r="I715" i="78"/>
  <c r="K715" i="78"/>
  <c r="N715" i="78"/>
  <c r="Q715" i="78"/>
  <c r="T715" i="78"/>
  <c r="U715" i="78"/>
  <c r="W715" i="78"/>
  <c r="B716" i="78"/>
  <c r="C716" i="78"/>
  <c r="D716" i="78"/>
  <c r="E716" i="78"/>
  <c r="H716" i="78"/>
  <c r="I716" i="78"/>
  <c r="K716" i="78"/>
  <c r="N716" i="78"/>
  <c r="Q716" i="78"/>
  <c r="T716" i="78"/>
  <c r="U716" i="78"/>
  <c r="W716" i="78"/>
  <c r="B717" i="78"/>
  <c r="C717" i="78"/>
  <c r="D717" i="78"/>
  <c r="E717" i="78"/>
  <c r="H717" i="78"/>
  <c r="I717" i="78"/>
  <c r="K717" i="78"/>
  <c r="N717" i="78"/>
  <c r="Q717" i="78"/>
  <c r="T717" i="78"/>
  <c r="U717" i="78"/>
  <c r="W717" i="78"/>
  <c r="B53" i="54" a="1"/>
  <c r="B53" i="54"/>
  <c r="C53" i="54" a="1"/>
  <c r="C53" i="54" s="1"/>
  <c r="D53" i="54" a="1"/>
  <c r="D53" i="54" s="1"/>
  <c r="E53" i="54" a="1"/>
  <c r="E53" i="54"/>
  <c r="F53" i="54" a="1"/>
  <c r="F53" i="54"/>
  <c r="G53" i="54" a="1"/>
  <c r="G53" i="54" s="1"/>
  <c r="H53" i="54" a="1"/>
  <c r="H53" i="54" s="1"/>
  <c r="I53" i="54" a="1"/>
  <c r="I53" i="54"/>
  <c r="J53" i="54" a="1"/>
  <c r="J53" i="54"/>
  <c r="K53" i="54" a="1"/>
  <c r="K53" i="54" s="1"/>
  <c r="M74" i="62" s="1"/>
  <c r="L53" i="54" a="1"/>
  <c r="L53" i="54" s="1"/>
  <c r="D54" i="22" s="1"/>
  <c r="M53" i="54" a="1"/>
  <c r="M53" i="54"/>
  <c r="N53" i="54" a="1"/>
  <c r="N53" i="54"/>
  <c r="O53" i="54" a="1"/>
  <c r="O53" i="54" s="1"/>
  <c r="P53" i="54" a="1"/>
  <c r="P53" i="54" s="1"/>
  <c r="Q53" i="54" a="1"/>
  <c r="Q53" i="54"/>
  <c r="R53" i="54" a="1"/>
  <c r="R53" i="54"/>
  <c r="J54" i="22" s="1"/>
  <c r="S53" i="54" a="1"/>
  <c r="S53" i="54" s="1"/>
  <c r="T53" i="54" a="1"/>
  <c r="T53" i="54" s="1"/>
  <c r="U53" i="54" a="1"/>
  <c r="U53" i="54"/>
  <c r="V53" i="54" a="1"/>
  <c r="V53" i="54"/>
  <c r="W53" i="54"/>
  <c r="AD62" i="60" s="1"/>
  <c r="X53" i="54" a="1"/>
  <c r="X53" i="54"/>
  <c r="Y53" i="54" a="1"/>
  <c r="Y53" i="54"/>
  <c r="Z53" i="54" a="1"/>
  <c r="Z53" i="54" s="1"/>
  <c r="AA53" i="54" a="1"/>
  <c r="AA53" i="54" s="1"/>
  <c r="S74" i="62" s="1"/>
  <c r="AB53" i="54" a="1"/>
  <c r="AB53" i="54"/>
  <c r="AC53" i="54" a="1"/>
  <c r="AC53" i="54"/>
  <c r="AD53" i="54" a="1"/>
  <c r="AD53" i="54" s="1"/>
  <c r="AE53" i="54" a="1"/>
  <c r="AE53" i="54"/>
  <c r="V74" i="62" s="1"/>
  <c r="AF53" i="54" a="1"/>
  <c r="AF53" i="54"/>
  <c r="AG53" i="54" a="1"/>
  <c r="AG53" i="54"/>
  <c r="AH53" i="54" a="1"/>
  <c r="AH53" i="54" s="1"/>
  <c r="AI53" i="54" a="1"/>
  <c r="AI53" i="54" s="1"/>
  <c r="Y74" i="62" s="1"/>
  <c r="AJ53" i="54" a="1"/>
  <c r="AJ53" i="54"/>
  <c r="AK53" i="54" a="1"/>
  <c r="AK53" i="54"/>
  <c r="B54" i="54" a="1"/>
  <c r="B54" i="54" s="1"/>
  <c r="C54" i="54" a="1"/>
  <c r="C54" i="54"/>
  <c r="D54" i="54" a="1"/>
  <c r="D54" i="54"/>
  <c r="E54" i="54" a="1"/>
  <c r="E54" i="54"/>
  <c r="F54" i="54" a="1"/>
  <c r="F54" i="54" s="1"/>
  <c r="F56" i="54" s="1"/>
  <c r="G54" i="54" a="1"/>
  <c r="G54" i="54" s="1"/>
  <c r="H54" i="54" a="1"/>
  <c r="H54" i="54"/>
  <c r="I54" i="54" a="1"/>
  <c r="I54" i="54"/>
  <c r="J54" i="54" a="1"/>
  <c r="J54" i="54" s="1"/>
  <c r="K54" i="54" a="1"/>
  <c r="K54" i="54" s="1"/>
  <c r="L54" i="54" a="1"/>
  <c r="L54" i="54"/>
  <c r="D55" i="22" s="1"/>
  <c r="M54" i="54" a="1"/>
  <c r="M54" i="54"/>
  <c r="N54" i="54" a="1"/>
  <c r="N54" i="54" s="1"/>
  <c r="O54" i="54" a="1"/>
  <c r="O54" i="54"/>
  <c r="P54" i="54" a="1"/>
  <c r="P54" i="54"/>
  <c r="Q54" i="54" a="1"/>
  <c r="Q54" i="54"/>
  <c r="R54" i="54" a="1"/>
  <c r="R54" i="54" s="1"/>
  <c r="S54" i="54" a="1"/>
  <c r="S54" i="54"/>
  <c r="T54" i="54" a="1"/>
  <c r="T54" i="54"/>
  <c r="U54" i="54" a="1"/>
  <c r="U54" i="54" s="1"/>
  <c r="V54" i="54" a="1"/>
  <c r="V54" i="54" s="1"/>
  <c r="V56" i="54" s="1"/>
  <c r="W54" i="54"/>
  <c r="AD63" i="60" s="1"/>
  <c r="X54" i="54" a="1"/>
  <c r="X54" i="54" s="1"/>
  <c r="Y54" i="54" a="1"/>
  <c r="Y54" i="54" s="1"/>
  <c r="Z54" i="54" a="1"/>
  <c r="Z54" i="54"/>
  <c r="AA54" i="54" a="1"/>
  <c r="AA54" i="54"/>
  <c r="AB54" i="54" a="1"/>
  <c r="AB54" i="54" s="1"/>
  <c r="AC54" i="54" a="1"/>
  <c r="AC54" i="54" s="1"/>
  <c r="AD54" i="54" a="1"/>
  <c r="AD54" i="54"/>
  <c r="AE54" i="54" a="1"/>
  <c r="AE54" i="54"/>
  <c r="AE56" i="54" s="1"/>
  <c r="AF54" i="54" a="1"/>
  <c r="AF54" i="54" s="1"/>
  <c r="AG54" i="54" a="1"/>
  <c r="AG54" i="54" s="1"/>
  <c r="AH54" i="54" a="1"/>
  <c r="AH54" i="54"/>
  <c r="AI54" i="54" a="1"/>
  <c r="AI54" i="54"/>
  <c r="AJ54" i="54" a="1"/>
  <c r="AJ54" i="54" s="1"/>
  <c r="AK54" i="54" a="1"/>
  <c r="AK54" i="54" s="1"/>
  <c r="B55" i="54" a="1"/>
  <c r="B55" i="54"/>
  <c r="C55" i="54" a="1"/>
  <c r="C55" i="54"/>
  <c r="D55" i="54" a="1"/>
  <c r="D55" i="54" s="1"/>
  <c r="E55" i="54" a="1"/>
  <c r="E55" i="54" s="1"/>
  <c r="F55" i="54" a="1"/>
  <c r="F55" i="54"/>
  <c r="G55" i="54" a="1"/>
  <c r="G55" i="54"/>
  <c r="H55" i="54" a="1"/>
  <c r="H55" i="54" s="1"/>
  <c r="I55" i="54" a="1"/>
  <c r="I55" i="54" s="1"/>
  <c r="J55" i="54" a="1"/>
  <c r="J55" i="54" s="1"/>
  <c r="M76" i="62" s="1"/>
  <c r="K55" i="54" a="1"/>
  <c r="K55" i="54"/>
  <c r="L55" i="54" a="1"/>
  <c r="L55" i="54" s="1"/>
  <c r="D56" i="22" s="1"/>
  <c r="M55" i="54" a="1"/>
  <c r="M55" i="54" s="1"/>
  <c r="N55" i="54" a="1"/>
  <c r="N55" i="54" s="1"/>
  <c r="N56" i="54" s="1"/>
  <c r="O55" i="54" a="1"/>
  <c r="O55" i="54"/>
  <c r="P55" i="54" a="1"/>
  <c r="P55" i="54" s="1"/>
  <c r="Q55" i="54" a="1"/>
  <c r="Q55" i="54" s="1"/>
  <c r="R55" i="54" a="1"/>
  <c r="R55" i="54" s="1"/>
  <c r="J56" i="22" s="1"/>
  <c r="S55" i="54" a="1"/>
  <c r="S55" i="54"/>
  <c r="T55" i="54" a="1"/>
  <c r="T55" i="54" s="1"/>
  <c r="T56" i="54" s="1"/>
  <c r="U55" i="54" a="1"/>
  <c r="U55" i="54" s="1"/>
  <c r="V55" i="54" a="1"/>
  <c r="V55" i="54"/>
  <c r="W55" i="54"/>
  <c r="AD64" i="60" s="1"/>
  <c r="X55" i="54" a="1"/>
  <c r="X55" i="54"/>
  <c r="Y55" i="54" a="1"/>
  <c r="Y55" i="54"/>
  <c r="Y56" i="54" s="1"/>
  <c r="Z55" i="54" a="1"/>
  <c r="Z55" i="54"/>
  <c r="AA55" i="54" a="1"/>
  <c r="AA55" i="54" s="1"/>
  <c r="AB55" i="54" a="1"/>
  <c r="AB55" i="54" s="1"/>
  <c r="AC55" i="54" a="1"/>
  <c r="AC55" i="54"/>
  <c r="AD55" i="54" a="1"/>
  <c r="AD55" i="54"/>
  <c r="AE55" i="54" a="1"/>
  <c r="AE55" i="54" s="1"/>
  <c r="AF55" i="54" a="1"/>
  <c r="AF55" i="54" s="1"/>
  <c r="AG55" i="54" a="1"/>
  <c r="AG55" i="54"/>
  <c r="AH55" i="54" a="1"/>
  <c r="AH55" i="54"/>
  <c r="Y76" i="62" s="1"/>
  <c r="AI55" i="54" a="1"/>
  <c r="AI55" i="54" s="1"/>
  <c r="AJ55" i="54" a="1"/>
  <c r="AJ55" i="54"/>
  <c r="AK55" i="54" a="1"/>
  <c r="AK55" i="54"/>
  <c r="O56" i="54"/>
  <c r="AA56" i="54"/>
  <c r="B57" i="54" a="1"/>
  <c r="B57" i="54"/>
  <c r="C57" i="54" a="1"/>
  <c r="C57" i="54"/>
  <c r="C56" i="54" s="1"/>
  <c r="D57" i="54" a="1"/>
  <c r="D57" i="54"/>
  <c r="E57" i="54" a="1"/>
  <c r="E57" i="54"/>
  <c r="E56" i="54" s="1"/>
  <c r="D60" i="55" s="1"/>
  <c r="F57" i="54" a="1"/>
  <c r="F57" i="54"/>
  <c r="G57" i="54" a="1"/>
  <c r="G57" i="54"/>
  <c r="H57" i="54" a="1"/>
  <c r="H57" i="54"/>
  <c r="I57" i="54" a="1"/>
  <c r="I57" i="54"/>
  <c r="J57" i="54" a="1"/>
  <c r="J57" i="54"/>
  <c r="K57" i="54" a="1"/>
  <c r="K57" i="54" s="1"/>
  <c r="M78" i="62" s="1"/>
  <c r="L57" i="54" a="1"/>
  <c r="L57" i="54"/>
  <c r="D58" i="22" s="1"/>
  <c r="M57" i="54" a="1"/>
  <c r="M57" i="54"/>
  <c r="N57" i="54" a="1"/>
  <c r="N57" i="54"/>
  <c r="O57" i="54" a="1"/>
  <c r="O57" i="54" s="1"/>
  <c r="P57" i="54" a="1"/>
  <c r="P57" i="54"/>
  <c r="Q57" i="54" a="1"/>
  <c r="Q57" i="54"/>
  <c r="R57" i="54" a="1"/>
  <c r="R57" i="54"/>
  <c r="S57" i="54" a="1"/>
  <c r="S57" i="54" s="1"/>
  <c r="S56" i="54" s="1"/>
  <c r="T57" i="54" a="1"/>
  <c r="T57" i="54"/>
  <c r="U57" i="54" a="1"/>
  <c r="U57" i="54"/>
  <c r="V57" i="54" a="1"/>
  <c r="V57" i="54"/>
  <c r="W57" i="54"/>
  <c r="AD66" i="60" s="1"/>
  <c r="X57" i="54" a="1"/>
  <c r="X57" i="54" s="1"/>
  <c r="Y57" i="54" a="1"/>
  <c r="Y57" i="54" s="1"/>
  <c r="Z57" i="54" a="1"/>
  <c r="Z57" i="54" s="1"/>
  <c r="S78" i="62" s="1"/>
  <c r="AA57" i="54" a="1"/>
  <c r="AA57" i="54"/>
  <c r="AB57" i="54" a="1"/>
  <c r="AB57" i="54" s="1"/>
  <c r="AC57" i="54" a="1"/>
  <c r="AC57" i="54" s="1"/>
  <c r="AC56" i="54" s="1"/>
  <c r="AD57" i="54" a="1"/>
  <c r="AD57" i="54" s="1"/>
  <c r="AD56" i="54" s="1"/>
  <c r="AE57" i="54" a="1"/>
  <c r="AE57" i="54"/>
  <c r="AF57" i="54" a="1"/>
  <c r="AF57" i="54" s="1"/>
  <c r="AG57" i="54" a="1"/>
  <c r="AG57" i="54" s="1"/>
  <c r="AH57" i="54" a="1"/>
  <c r="AH57" i="54" s="1"/>
  <c r="Y78" i="62" s="1"/>
  <c r="AI57" i="54" a="1"/>
  <c r="AI57" i="54"/>
  <c r="AI56" i="54" s="1"/>
  <c r="AJ57" i="54" a="1"/>
  <c r="AJ57" i="54" s="1"/>
  <c r="AK57" i="54" a="1"/>
  <c r="AK57" i="54" s="1"/>
  <c r="AK56" i="54" s="1"/>
  <c r="B58" i="54" a="1"/>
  <c r="B58" i="54" s="1"/>
  <c r="G79" i="62" s="1"/>
  <c r="C58" i="54" a="1"/>
  <c r="C58" i="54"/>
  <c r="D58" i="54" a="1"/>
  <c r="D58" i="54" s="1"/>
  <c r="P79" i="62" s="1"/>
  <c r="E58" i="54" a="1"/>
  <c r="E58" i="54" s="1"/>
  <c r="F58" i="54" a="1"/>
  <c r="F58" i="54" s="1"/>
  <c r="G62" i="55" s="1"/>
  <c r="G58" i="54" a="1"/>
  <c r="G58" i="54"/>
  <c r="H58" i="54"/>
  <c r="I58" i="54" a="1"/>
  <c r="I58" i="54"/>
  <c r="J58" i="54"/>
  <c r="K58" i="54" a="1"/>
  <c r="K58" i="54" s="1"/>
  <c r="L58" i="54" a="1"/>
  <c r="L58" i="54"/>
  <c r="D59" i="22" s="1"/>
  <c r="M58" i="54" a="1"/>
  <c r="M58" i="54" s="1"/>
  <c r="N58" i="54" a="1"/>
  <c r="N58" i="54" s="1"/>
  <c r="O58" i="54" a="1"/>
  <c r="O58" i="54" s="1"/>
  <c r="P58" i="54" a="1"/>
  <c r="P58" i="54"/>
  <c r="Q58" i="54" a="1"/>
  <c r="Q58" i="54" s="1"/>
  <c r="S58" i="54" a="1"/>
  <c r="S58" i="54" s="1"/>
  <c r="J59" i="22" s="1"/>
  <c r="U58" i="54" a="1"/>
  <c r="U58" i="54" s="1"/>
  <c r="V58" i="54" a="1"/>
  <c r="V58" i="54"/>
  <c r="W58" i="54"/>
  <c r="AD67" i="60" s="1"/>
  <c r="X58" i="54"/>
  <c r="Y58" i="54" a="1"/>
  <c r="Y58" i="54" s="1"/>
  <c r="Z58" i="54"/>
  <c r="S79" i="62" s="1"/>
  <c r="AA58" i="54" a="1"/>
  <c r="AA58" i="54"/>
  <c r="AB58" i="54"/>
  <c r="AC58" i="54" a="1"/>
  <c r="AC58" i="54" s="1"/>
  <c r="AD58" i="54" a="1"/>
  <c r="AD58" i="54" s="1"/>
  <c r="AE58" i="54"/>
  <c r="AF58" i="54" a="1"/>
  <c r="AF58" i="54"/>
  <c r="AG58" i="54" a="1"/>
  <c r="AG58" i="54" s="1"/>
  <c r="AH58" i="54"/>
  <c r="AI58" i="54" a="1"/>
  <c r="AI58" i="54" s="1"/>
  <c r="AJ58" i="54"/>
  <c r="AB79" i="62" s="1"/>
  <c r="AK58" i="54" a="1"/>
  <c r="AK58" i="54"/>
  <c r="B60" i="54" a="1"/>
  <c r="B60" i="54" s="1"/>
  <c r="C60" i="54" a="1"/>
  <c r="C60" i="54"/>
  <c r="D60" i="54" a="1"/>
  <c r="D60" i="54"/>
  <c r="P81" i="62" s="1"/>
  <c r="E60" i="54" a="1"/>
  <c r="E60" i="54"/>
  <c r="F60" i="54" a="1"/>
  <c r="F60" i="54" s="1"/>
  <c r="G60" i="54" a="1"/>
  <c r="G60" i="54"/>
  <c r="H60" i="54" a="1"/>
  <c r="H60" i="54"/>
  <c r="D81" i="62" s="1"/>
  <c r="I60" i="54" a="1"/>
  <c r="I60" i="54"/>
  <c r="J60" i="54" a="1"/>
  <c r="J60" i="54" s="1"/>
  <c r="M81" i="62" s="1"/>
  <c r="K60" i="54" a="1"/>
  <c r="K60" i="54"/>
  <c r="L60" i="54" a="1"/>
  <c r="L60" i="54"/>
  <c r="D61" i="22" s="1"/>
  <c r="M60" i="54" a="1"/>
  <c r="M60" i="54" s="1"/>
  <c r="N60" i="54" a="1"/>
  <c r="N60" i="54" s="1"/>
  <c r="O60" i="54" a="1"/>
  <c r="O60" i="54"/>
  <c r="P60" i="54" a="1"/>
  <c r="P60" i="54"/>
  <c r="Q60" i="54" a="1"/>
  <c r="Q60" i="54" s="1"/>
  <c r="R60" i="54" a="1"/>
  <c r="R60" i="54" s="1"/>
  <c r="J61" i="22" s="1"/>
  <c r="S60" i="54" a="1"/>
  <c r="S60" i="54" s="1"/>
  <c r="T60" i="54" a="1"/>
  <c r="T60" i="54"/>
  <c r="U60" i="54" a="1"/>
  <c r="U60" i="54" s="1"/>
  <c r="V60" i="54" a="1"/>
  <c r="V60" i="54" s="1"/>
  <c r="W60" i="54"/>
  <c r="AD69" i="60" s="1"/>
  <c r="X60" i="54" a="1"/>
  <c r="X60" i="54" s="1"/>
  <c r="Y60" i="54" a="1"/>
  <c r="Y60" i="54" s="1"/>
  <c r="F114" i="62" s="1"/>
  <c r="Z60" i="54" a="1"/>
  <c r="Z60" i="54"/>
  <c r="AA60" i="54" a="1"/>
  <c r="AA60" i="54" s="1"/>
  <c r="S81" i="62" s="1"/>
  <c r="AB60" i="54" a="1"/>
  <c r="AB60" i="54" s="1"/>
  <c r="AC60" i="54" a="1"/>
  <c r="AC60" i="54" s="1"/>
  <c r="AD60" i="54" a="1"/>
  <c r="AD60" i="54"/>
  <c r="AE60" i="54" a="1"/>
  <c r="AE60" i="54" s="1"/>
  <c r="AF60" i="54" a="1"/>
  <c r="AF60" i="54" s="1"/>
  <c r="AG60" i="54" a="1"/>
  <c r="AG60" i="54" s="1"/>
  <c r="AH60" i="54" a="1"/>
  <c r="AH60" i="54"/>
  <c r="AI60" i="54" a="1"/>
  <c r="AI60" i="54" s="1"/>
  <c r="Y81" i="62" s="1"/>
  <c r="AJ60" i="54" a="1"/>
  <c r="AJ60" i="54" s="1"/>
  <c r="AK60" i="54" a="1"/>
  <c r="AK60" i="54" s="1"/>
  <c r="B61" i="54" a="1"/>
  <c r="B61" i="54"/>
  <c r="C61" i="54" a="1"/>
  <c r="C61" i="54" s="1"/>
  <c r="D61" i="54" a="1"/>
  <c r="D61" i="54" s="1"/>
  <c r="E61" i="54" a="1"/>
  <c r="E61" i="54" s="1"/>
  <c r="F61" i="54" a="1"/>
  <c r="F61" i="54"/>
  <c r="G61" i="54" a="1"/>
  <c r="G61" i="54" s="1"/>
  <c r="J82" i="62" s="1"/>
  <c r="H61" i="54" a="1"/>
  <c r="H61" i="54" s="1"/>
  <c r="D82" i="62" s="1"/>
  <c r="I61" i="54" a="1"/>
  <c r="I61" i="54" s="1"/>
  <c r="J61" i="54" a="1"/>
  <c r="J61" i="54"/>
  <c r="K61" i="54" a="1"/>
  <c r="K61" i="54" s="1"/>
  <c r="M82" i="62" s="1"/>
  <c r="L61" i="54" a="1"/>
  <c r="L61" i="54" s="1"/>
  <c r="D62" i="22" s="1"/>
  <c r="M61" i="54" a="1"/>
  <c r="M61" i="54" s="1"/>
  <c r="N61" i="54" a="1"/>
  <c r="N61" i="54"/>
  <c r="O61" i="54" a="1"/>
  <c r="O61" i="54" s="1"/>
  <c r="P61" i="54" a="1"/>
  <c r="P61" i="54" s="1"/>
  <c r="Q61" i="54" a="1"/>
  <c r="Q61" i="54" s="1"/>
  <c r="R61" i="54" a="1"/>
  <c r="R61" i="54"/>
  <c r="S61" i="54" a="1"/>
  <c r="S61" i="54" s="1"/>
  <c r="T61" i="54" a="1"/>
  <c r="T61" i="54" s="1"/>
  <c r="U61" i="54" a="1"/>
  <c r="U61" i="54" s="1"/>
  <c r="V61" i="54" a="1"/>
  <c r="V61" i="54" s="1"/>
  <c r="W61" i="54"/>
  <c r="AD70" i="60" s="1"/>
  <c r="X61" i="54" a="1"/>
  <c r="X61" i="54"/>
  <c r="Y61" i="54" a="1"/>
  <c r="Y61" i="54"/>
  <c r="Z61" i="54" a="1"/>
  <c r="Z61" i="54"/>
  <c r="AA61" i="54" a="1"/>
  <c r="AA61" i="54" s="1"/>
  <c r="S82" i="62" s="1"/>
  <c r="AB61" i="54" a="1"/>
  <c r="AB61" i="54"/>
  <c r="AC61" i="54" a="1"/>
  <c r="AC61" i="54"/>
  <c r="AD61" i="54" a="1"/>
  <c r="AD61" i="54"/>
  <c r="AE61" i="54" a="1"/>
  <c r="AE61" i="54" s="1"/>
  <c r="AF61" i="54" a="1"/>
  <c r="AF61" i="54"/>
  <c r="AG61" i="54" a="1"/>
  <c r="AG61" i="54"/>
  <c r="AH61" i="54" a="1"/>
  <c r="AH61" i="54"/>
  <c r="AI61" i="54" a="1"/>
  <c r="AI61" i="54" s="1"/>
  <c r="AJ61" i="54" a="1"/>
  <c r="AJ61" i="54"/>
  <c r="AK61" i="54" a="1"/>
  <c r="AK61" i="54"/>
  <c r="AB82" i="62" s="1"/>
  <c r="B62" i="54" a="1"/>
  <c r="B62" i="54"/>
  <c r="C62" i="54" a="1"/>
  <c r="C62" i="54" s="1"/>
  <c r="P83" i="62" s="1"/>
  <c r="D62" i="54" a="1"/>
  <c r="D62" i="54"/>
  <c r="E62" i="54" a="1"/>
  <c r="E62" i="54"/>
  <c r="F62" i="54" a="1"/>
  <c r="F62" i="54"/>
  <c r="G62" i="54" a="1"/>
  <c r="G62" i="54" s="1"/>
  <c r="J83" i="62" s="1"/>
  <c r="H62" i="54" a="1"/>
  <c r="H62" i="54"/>
  <c r="I62" i="54" a="1"/>
  <c r="I62" i="54"/>
  <c r="D83" i="62" s="1"/>
  <c r="J62" i="54" a="1"/>
  <c r="J62" i="54"/>
  <c r="K62" i="54" a="1"/>
  <c r="K62" i="54" s="1"/>
  <c r="M83" i="62" s="1"/>
  <c r="L62" i="54" a="1"/>
  <c r="L62" i="54"/>
  <c r="D63" i="22" s="1"/>
  <c r="M62" i="54" a="1"/>
  <c r="M62" i="54"/>
  <c r="G63" i="22" s="1"/>
  <c r="N62" i="54" a="1"/>
  <c r="N62" i="54" s="1"/>
  <c r="O62" i="54" a="1"/>
  <c r="O62" i="54" s="1"/>
  <c r="P62" i="54" a="1"/>
  <c r="P62" i="54"/>
  <c r="Q62" i="54" a="1"/>
  <c r="Q62" i="54"/>
  <c r="R62" i="54" a="1"/>
  <c r="R62" i="54" s="1"/>
  <c r="S62" i="54" a="1"/>
  <c r="S62" i="54" s="1"/>
  <c r="T62" i="54" a="1"/>
  <c r="T62" i="54" s="1"/>
  <c r="U62" i="54" a="1"/>
  <c r="U62" i="54"/>
  <c r="V62" i="54" a="1"/>
  <c r="V62" i="54" s="1"/>
  <c r="W62" i="54"/>
  <c r="AD71" i="60" s="1"/>
  <c r="X62" i="54" a="1"/>
  <c r="X62" i="54" s="1"/>
  <c r="Y62" i="54" a="1"/>
  <c r="Y62" i="54" s="1"/>
  <c r="Z62" i="54" a="1"/>
  <c r="Z62" i="54" s="1"/>
  <c r="S83" i="62" s="1"/>
  <c r="AA62" i="54" a="1"/>
  <c r="AA62" i="54"/>
  <c r="AB62" i="54" a="1"/>
  <c r="AB62" i="54" s="1"/>
  <c r="AC62" i="54" a="1"/>
  <c r="AC62" i="54" s="1"/>
  <c r="AD62" i="54" a="1"/>
  <c r="AD62" i="54" s="1"/>
  <c r="AE62" i="54" a="1"/>
  <c r="AE62" i="54"/>
  <c r="AF62" i="54" a="1"/>
  <c r="AF62" i="54" s="1"/>
  <c r="AG62" i="54" a="1"/>
  <c r="AG62" i="54" s="1"/>
  <c r="AH62" i="54" a="1"/>
  <c r="AH62" i="54" s="1"/>
  <c r="Y83" i="62" s="1"/>
  <c r="AI62" i="54" a="1"/>
  <c r="AI62" i="54"/>
  <c r="AJ62" i="54" a="1"/>
  <c r="AJ62" i="54" s="1"/>
  <c r="AB83" i="62" s="1"/>
  <c r="AK62" i="54" a="1"/>
  <c r="AK62" i="54" s="1"/>
  <c r="B63" i="54" a="1"/>
  <c r="B63" i="54" s="1"/>
  <c r="G84" i="62" s="1"/>
  <c r="C63" i="54" a="1"/>
  <c r="C63" i="54"/>
  <c r="D63" i="54" a="1"/>
  <c r="D63" i="54" s="1"/>
  <c r="P84" i="62" s="1"/>
  <c r="E63" i="54" a="1"/>
  <c r="E63" i="54" s="1"/>
  <c r="F63" i="54" a="1"/>
  <c r="F63" i="54" s="1"/>
  <c r="G63" i="54" a="1"/>
  <c r="G63" i="54"/>
  <c r="H63" i="54" a="1"/>
  <c r="H63" i="54" s="1"/>
  <c r="I63" i="54" a="1"/>
  <c r="I63" i="54" s="1"/>
  <c r="D84" i="62" s="1"/>
  <c r="D117" i="62" s="1"/>
  <c r="J117" i="62" s="1"/>
  <c r="J63" i="54" a="1"/>
  <c r="J63" i="54" s="1"/>
  <c r="M84" i="62" s="1"/>
  <c r="K63" i="54" a="1"/>
  <c r="K63" i="54"/>
  <c r="L63" i="54" a="1"/>
  <c r="L63" i="54" s="1"/>
  <c r="D64" i="22" s="1"/>
  <c r="M63" i="54" a="1"/>
  <c r="M63" i="54" s="1"/>
  <c r="N63" i="54" a="1"/>
  <c r="N63" i="54" s="1"/>
  <c r="O63" i="54" a="1"/>
  <c r="O63" i="54"/>
  <c r="P63" i="54" a="1"/>
  <c r="P63" i="54" s="1"/>
  <c r="Q63" i="54" a="1"/>
  <c r="Q63" i="54" s="1"/>
  <c r="R63" i="54" a="1"/>
  <c r="R63" i="54" s="1"/>
  <c r="S63" i="54" a="1"/>
  <c r="S63" i="54" s="1"/>
  <c r="T63" i="54" a="1"/>
  <c r="T63" i="54" s="1"/>
  <c r="U63" i="54" a="1"/>
  <c r="U63" i="54" s="1"/>
  <c r="V63" i="54" a="1"/>
  <c r="V63" i="54" s="1"/>
  <c r="W63" i="54"/>
  <c r="AD72" i="60" s="1"/>
  <c r="X63" i="54" a="1"/>
  <c r="X63" i="54"/>
  <c r="Y63" i="54" a="1"/>
  <c r="Y63" i="54"/>
  <c r="Z63" i="54" a="1"/>
  <c r="Z63" i="54"/>
  <c r="S84" i="62" s="1"/>
  <c r="AA63" i="54" a="1"/>
  <c r="AA63" i="54"/>
  <c r="AB63" i="54" a="1"/>
  <c r="AB63" i="54" s="1"/>
  <c r="AC63" i="54" a="1"/>
  <c r="AC63" i="54"/>
  <c r="AD63" i="54" a="1"/>
  <c r="AD63" i="54"/>
  <c r="AE63" i="54" a="1"/>
  <c r="AE63" i="54"/>
  <c r="AF63" i="54" a="1"/>
  <c r="AF63" i="54" s="1"/>
  <c r="AG63" i="54" a="1"/>
  <c r="AG63" i="54"/>
  <c r="AH63" i="54" a="1"/>
  <c r="AH63" i="54"/>
  <c r="Y84" i="62" s="1"/>
  <c r="AI63" i="54" a="1"/>
  <c r="AI63" i="54"/>
  <c r="AJ63" i="54" a="1"/>
  <c r="AJ63" i="54" s="1"/>
  <c r="AB84" i="62" s="1"/>
  <c r="AK63" i="54" a="1"/>
  <c r="AK63" i="54"/>
  <c r="B64" i="54" a="1"/>
  <c r="B64" i="54"/>
  <c r="G85" i="62" s="1"/>
  <c r="C64" i="54" a="1"/>
  <c r="C64" i="54"/>
  <c r="D64" i="54" a="1"/>
  <c r="D64" i="54" s="1"/>
  <c r="P85" i="62" s="1"/>
  <c r="E64" i="54" a="1"/>
  <c r="E64" i="54"/>
  <c r="F64" i="54" a="1"/>
  <c r="F64" i="54"/>
  <c r="G64" i="54" a="1"/>
  <c r="G64" i="54"/>
  <c r="H64" i="54" a="1"/>
  <c r="H64" i="54" s="1"/>
  <c r="D85" i="62" s="1"/>
  <c r="I64" i="54" a="1"/>
  <c r="I64" i="54"/>
  <c r="J64" i="54" a="1"/>
  <c r="J64" i="54"/>
  <c r="K64" i="54" a="1"/>
  <c r="K64" i="54" s="1"/>
  <c r="L64" i="54" a="1"/>
  <c r="L64" i="54" s="1"/>
  <c r="D65" i="22" s="1"/>
  <c r="M64" i="54" a="1"/>
  <c r="M64" i="54"/>
  <c r="N64" i="54" a="1"/>
  <c r="N64" i="54"/>
  <c r="O64" i="54" a="1"/>
  <c r="O64" i="54" s="1"/>
  <c r="P64" i="54" a="1"/>
  <c r="P64" i="54" s="1"/>
  <c r="Q64" i="54" a="1"/>
  <c r="Q64" i="54"/>
  <c r="R64" i="54" a="1"/>
  <c r="R64" i="54"/>
  <c r="J65" i="22" s="1"/>
  <c r="S64" i="54" a="1"/>
  <c r="S64" i="54" s="1"/>
  <c r="T64" i="54" a="1"/>
  <c r="T64" i="54" s="1"/>
  <c r="U64" i="54" a="1"/>
  <c r="U64" i="54" s="1"/>
  <c r="V64" i="54" a="1"/>
  <c r="V64" i="54"/>
  <c r="W64" i="54"/>
  <c r="AD73" i="60" s="1"/>
  <c r="X64" i="54" a="1"/>
  <c r="X64" i="54"/>
  <c r="Y64" i="54" a="1"/>
  <c r="Y64" i="54" s="1"/>
  <c r="Z64" i="54" a="1"/>
  <c r="Z64" i="54" s="1"/>
  <c r="AA64" i="54" a="1"/>
  <c r="AA64" i="54" s="1"/>
  <c r="AB64" i="54" a="1"/>
  <c r="AB64" i="54"/>
  <c r="AC64" i="54" a="1"/>
  <c r="AC64" i="54" s="1"/>
  <c r="AD64" i="54" a="1"/>
  <c r="AD64" i="54" s="1"/>
  <c r="AE64" i="54" a="1"/>
  <c r="AE64" i="54" s="1"/>
  <c r="AF64" i="54" a="1"/>
  <c r="AF64" i="54"/>
  <c r="AG64" i="54" a="1"/>
  <c r="AG64" i="54" s="1"/>
  <c r="V85" i="62" s="1"/>
  <c r="AH64" i="54" a="1"/>
  <c r="AH64" i="54" s="1"/>
  <c r="AI64" i="54" a="1"/>
  <c r="AI64" i="54" s="1"/>
  <c r="AJ64" i="54" a="1"/>
  <c r="AJ64" i="54"/>
  <c r="AK64" i="54" a="1"/>
  <c r="AK64" i="54" s="1"/>
  <c r="AB85" i="62" s="1"/>
  <c r="B65" i="54" a="1"/>
  <c r="B65" i="54" s="1"/>
  <c r="G86" i="62" s="1"/>
  <c r="C65" i="54" a="1"/>
  <c r="C65" i="54" s="1"/>
  <c r="P86" i="62" s="1"/>
  <c r="D65" i="54" a="1"/>
  <c r="D65" i="54"/>
  <c r="E65" i="54" a="1"/>
  <c r="E65" i="54" s="1"/>
  <c r="F65" i="54" a="1"/>
  <c r="F65" i="54" s="1"/>
  <c r="G65" i="54" a="1"/>
  <c r="G65" i="54" s="1"/>
  <c r="J86" i="62" s="1"/>
  <c r="H65" i="54" a="1"/>
  <c r="H65" i="54"/>
  <c r="I65" i="54" a="1"/>
  <c r="I65" i="54" s="1"/>
  <c r="D86" i="62" s="1"/>
  <c r="J65" i="54" a="1"/>
  <c r="J65" i="54" s="1"/>
  <c r="M86" i="62" s="1"/>
  <c r="K65" i="54" a="1"/>
  <c r="K65" i="54" s="1"/>
  <c r="L65" i="54" a="1"/>
  <c r="L65" i="54"/>
  <c r="D66" i="22" s="1"/>
  <c r="M65" i="54" a="1"/>
  <c r="M65" i="54" s="1"/>
  <c r="G66" i="22" s="1"/>
  <c r="N65" i="54" a="1"/>
  <c r="N65" i="54" s="1"/>
  <c r="O65" i="54" a="1"/>
  <c r="O65" i="54" s="1"/>
  <c r="P65" i="54" a="1"/>
  <c r="P65" i="54"/>
  <c r="Q65" i="54" a="1"/>
  <c r="Q65" i="54" s="1"/>
  <c r="R65" i="54" a="1"/>
  <c r="R65" i="54" s="1"/>
  <c r="J66" i="22" s="1"/>
  <c r="S65" i="54" a="1"/>
  <c r="S65" i="54" s="1"/>
  <c r="T65" i="54" a="1"/>
  <c r="T65" i="54" s="1"/>
  <c r="U65" i="54" a="1"/>
  <c r="U65" i="54" s="1"/>
  <c r="V65" i="54" a="1"/>
  <c r="V65" i="54" s="1"/>
  <c r="W65" i="54"/>
  <c r="AD74" i="60" s="1"/>
  <c r="X65" i="54" a="1"/>
  <c r="X65" i="54"/>
  <c r="Y65" i="54" a="1"/>
  <c r="Y65" i="54" s="1"/>
  <c r="Z65" i="54" a="1"/>
  <c r="Z65" i="54"/>
  <c r="AA65" i="54" a="1"/>
  <c r="AA65" i="54"/>
  <c r="S86" i="62" s="1"/>
  <c r="AB65" i="54" a="1"/>
  <c r="AB65" i="54"/>
  <c r="AC65" i="54" a="1"/>
  <c r="AC65" i="54" s="1"/>
  <c r="AD65" i="54" a="1"/>
  <c r="AD65" i="54"/>
  <c r="AE65" i="54" a="1"/>
  <c r="AE65" i="54"/>
  <c r="AF65" i="54" a="1"/>
  <c r="AF65" i="54"/>
  <c r="AG65" i="54" a="1"/>
  <c r="AG65" i="54" s="1"/>
  <c r="AH65" i="54" a="1"/>
  <c r="AH65" i="54"/>
  <c r="AI65" i="54" a="1"/>
  <c r="AI65" i="54"/>
  <c r="Y86" i="62" s="1"/>
  <c r="AJ65" i="54" a="1"/>
  <c r="AJ65" i="54"/>
  <c r="AK65" i="54" a="1"/>
  <c r="AK65" i="54" s="1"/>
  <c r="AB86" i="62" s="1"/>
  <c r="B66" i="54" a="1"/>
  <c r="B66" i="54"/>
  <c r="C66" i="54" a="1"/>
  <c r="C66" i="54"/>
  <c r="P87" i="62" s="1"/>
  <c r="D66" i="54" a="1"/>
  <c r="D66" i="54"/>
  <c r="E66" i="54" a="1"/>
  <c r="E66" i="54" s="1"/>
  <c r="F66" i="54" a="1"/>
  <c r="F66" i="54"/>
  <c r="G66" i="54" a="1"/>
  <c r="G66" i="54"/>
  <c r="H66" i="54" a="1"/>
  <c r="H66" i="54"/>
  <c r="I66" i="54" a="1"/>
  <c r="I66" i="54" s="1"/>
  <c r="D87" i="62" s="1"/>
  <c r="J66" i="54" a="1"/>
  <c r="J66" i="54"/>
  <c r="K66" i="54" a="1"/>
  <c r="K66" i="54"/>
  <c r="M87" i="62" s="1"/>
  <c r="L66" i="54" a="1"/>
  <c r="L66" i="54"/>
  <c r="D67" i="22" s="1"/>
  <c r="M66" i="54" a="1"/>
  <c r="M66" i="54" s="1"/>
  <c r="N66" i="54" a="1"/>
  <c r="N66" i="54"/>
  <c r="O66" i="54" a="1"/>
  <c r="O66" i="54"/>
  <c r="P66" i="54" a="1"/>
  <c r="P66" i="54" s="1"/>
  <c r="Q66" i="54" a="1"/>
  <c r="Q66" i="54" s="1"/>
  <c r="R66" i="54" a="1"/>
  <c r="R66" i="54"/>
  <c r="S66" i="54" a="1"/>
  <c r="S66" i="54"/>
  <c r="T66" i="54" a="1"/>
  <c r="T66" i="54" s="1"/>
  <c r="U66" i="54" a="1"/>
  <c r="U66" i="54" s="1"/>
  <c r="V66" i="54" a="1"/>
  <c r="V66" i="54" s="1"/>
  <c r="W66" i="54"/>
  <c r="AD75" i="60" s="1"/>
  <c r="X66" i="54" a="1"/>
  <c r="X66" i="54" s="1"/>
  <c r="Y66" i="54" a="1"/>
  <c r="Y66" i="54"/>
  <c r="Z66" i="54" a="1"/>
  <c r="Z66" i="54" s="1"/>
  <c r="AA66" i="54" a="1"/>
  <c r="AA66" i="54" s="1"/>
  <c r="AB66" i="54" a="1"/>
  <c r="AB66" i="54" s="1"/>
  <c r="V87" i="62" s="1"/>
  <c r="AC66" i="54" a="1"/>
  <c r="AC66" i="54"/>
  <c r="AD66" i="54" a="1"/>
  <c r="AD66" i="54" s="1"/>
  <c r="AE66" i="54" a="1"/>
  <c r="AE66" i="54" s="1"/>
  <c r="AF66" i="54" a="1"/>
  <c r="AF66" i="54" s="1"/>
  <c r="AG66" i="54" a="1"/>
  <c r="AG66" i="54"/>
  <c r="AH66" i="54" a="1"/>
  <c r="AH66" i="54" s="1"/>
  <c r="Y87" i="62" s="1"/>
  <c r="AI66" i="54" a="1"/>
  <c r="AI66" i="54" s="1"/>
  <c r="AJ66" i="54" a="1"/>
  <c r="AJ66" i="54" s="1"/>
  <c r="AK66" i="54" a="1"/>
  <c r="AK66" i="54"/>
  <c r="B67" i="54" a="1"/>
  <c r="B67" i="54" s="1"/>
  <c r="G88" i="62" s="1"/>
  <c r="C67" i="54" a="1"/>
  <c r="C67" i="54" s="1"/>
  <c r="D67" i="54" a="1"/>
  <c r="D67" i="54" s="1"/>
  <c r="E67" i="54" a="1"/>
  <c r="E67" i="54"/>
  <c r="F67" i="54" a="1"/>
  <c r="F67" i="54" s="1"/>
  <c r="G67" i="54" a="1"/>
  <c r="G67" i="54" s="1"/>
  <c r="J88" i="62" s="1"/>
  <c r="H67" i="54" a="1"/>
  <c r="H67" i="54" s="1"/>
  <c r="D88" i="62" s="1"/>
  <c r="I67" i="54" a="1"/>
  <c r="I67" i="54"/>
  <c r="J67" i="54" a="1"/>
  <c r="J67" i="54" s="1"/>
  <c r="K67" i="54" a="1"/>
  <c r="K67" i="54" s="1"/>
  <c r="L67" i="54" a="1"/>
  <c r="L67" i="54" s="1"/>
  <c r="D68" i="22" s="1"/>
  <c r="M67" i="54" a="1"/>
  <c r="M67" i="54"/>
  <c r="N67" i="54" a="1"/>
  <c r="N67" i="54" s="1"/>
  <c r="O67" i="54" a="1"/>
  <c r="O67" i="54" s="1"/>
  <c r="P67" i="54" a="1"/>
  <c r="P67" i="54" s="1"/>
  <c r="Q67" i="54" a="1"/>
  <c r="Q67" i="54" s="1"/>
  <c r="R67" i="54" a="1"/>
  <c r="R67" i="54" s="1"/>
  <c r="J68" i="22" s="1"/>
  <c r="S67" i="54" a="1"/>
  <c r="S67" i="54" s="1"/>
  <c r="T67" i="54" a="1"/>
  <c r="T67" i="54" s="1"/>
  <c r="U67" i="54" a="1"/>
  <c r="U67" i="54" s="1"/>
  <c r="V67" i="54" a="1"/>
  <c r="V67" i="54" s="1"/>
  <c r="W67" i="54"/>
  <c r="AD76" i="60" s="1"/>
  <c r="X67" i="54" a="1"/>
  <c r="X67" i="54"/>
  <c r="Y67" i="54" a="1"/>
  <c r="Y67" i="54"/>
  <c r="Z67" i="54" a="1"/>
  <c r="Z67" i="54" s="1"/>
  <c r="AA67" i="54" a="1"/>
  <c r="AA67" i="54"/>
  <c r="AB67" i="54" a="1"/>
  <c r="AB67" i="54"/>
  <c r="AC67" i="54" a="1"/>
  <c r="AC67" i="54"/>
  <c r="AD67" i="54" a="1"/>
  <c r="AD67" i="54" s="1"/>
  <c r="AE67" i="54" a="1"/>
  <c r="AE67" i="54"/>
  <c r="AF67" i="54" a="1"/>
  <c r="AF67" i="54"/>
  <c r="AG67" i="54" a="1"/>
  <c r="AG67" i="54"/>
  <c r="AH67" i="54" a="1"/>
  <c r="AH67" i="54" s="1"/>
  <c r="Y88" i="62" s="1"/>
  <c r="AI67" i="54" a="1"/>
  <c r="AI67" i="54"/>
  <c r="AJ67" i="54" a="1"/>
  <c r="AJ67" i="54"/>
  <c r="AB88" i="62" s="1"/>
  <c r="AK67" i="54" a="1"/>
  <c r="AK67" i="54"/>
  <c r="B68" i="54" a="1"/>
  <c r="B68" i="54" s="1"/>
  <c r="C68" i="54" a="1"/>
  <c r="C68" i="54"/>
  <c r="D68" i="54" a="1"/>
  <c r="D68" i="54"/>
  <c r="P89" i="62" s="1"/>
  <c r="E68" i="54" a="1"/>
  <c r="E68" i="54"/>
  <c r="F68" i="54" a="1"/>
  <c r="F68" i="54" s="1"/>
  <c r="G68" i="54" a="1"/>
  <c r="G68" i="54"/>
  <c r="H68" i="54" a="1"/>
  <c r="H68" i="54"/>
  <c r="D89" i="62" s="1"/>
  <c r="I68" i="54" a="1"/>
  <c r="I68" i="54"/>
  <c r="J68" i="54" a="1"/>
  <c r="J68" i="54" s="1"/>
  <c r="M89" i="62" s="1"/>
  <c r="K68" i="54" a="1"/>
  <c r="K68" i="54"/>
  <c r="L68" i="54" a="1"/>
  <c r="L68" i="54"/>
  <c r="D69" i="22" s="1"/>
  <c r="M68" i="54" a="1"/>
  <c r="M68" i="54"/>
  <c r="N68" i="54" a="1"/>
  <c r="N68" i="54" s="1"/>
  <c r="O68" i="54" a="1"/>
  <c r="O68" i="54" s="1"/>
  <c r="P68" i="54" a="1"/>
  <c r="P68" i="54"/>
  <c r="Q68" i="54" a="1"/>
  <c r="Q68" i="54" s="1"/>
  <c r="R68" i="54" a="1"/>
  <c r="R68" i="54" s="1"/>
  <c r="S68" i="54" a="1"/>
  <c r="S68" i="54" s="1"/>
  <c r="T68" i="54" a="1"/>
  <c r="T68" i="54"/>
  <c r="U68" i="54" a="1"/>
  <c r="U68" i="54" s="1"/>
  <c r="V68" i="54" a="1"/>
  <c r="V68" i="54" s="1"/>
  <c r="W68" i="54"/>
  <c r="AD77" i="60" s="1"/>
  <c r="X68" i="54" a="1"/>
  <c r="X68" i="54" s="1"/>
  <c r="F122" i="62" s="1"/>
  <c r="Y68" i="54" a="1"/>
  <c r="Y68" i="54" s="1"/>
  <c r="Z68" i="54" a="1"/>
  <c r="Z68" i="54"/>
  <c r="AA68" i="54" a="1"/>
  <c r="AA68" i="54" s="1"/>
  <c r="S89" i="62" s="1"/>
  <c r="AB68" i="54" a="1"/>
  <c r="AB68" i="54" s="1"/>
  <c r="AC68" i="54" a="1"/>
  <c r="AC68" i="54" s="1"/>
  <c r="AD68" i="54" a="1"/>
  <c r="AD68" i="54"/>
  <c r="AE68" i="54" a="1"/>
  <c r="AE68" i="54" s="1"/>
  <c r="AF68" i="54" a="1"/>
  <c r="AF68" i="54" s="1"/>
  <c r="AG68" i="54" a="1"/>
  <c r="AG68" i="54" s="1"/>
  <c r="AH68" i="54" a="1"/>
  <c r="AH68" i="54"/>
  <c r="AI68" i="54" a="1"/>
  <c r="AI68" i="54" s="1"/>
  <c r="Y89" i="62" s="1"/>
  <c r="AJ68" i="54" a="1"/>
  <c r="AJ68" i="54" s="1"/>
  <c r="AK68" i="54" a="1"/>
  <c r="AK68" i="54" s="1"/>
  <c r="B69" i="54" a="1"/>
  <c r="B69" i="54"/>
  <c r="C69" i="54" a="1"/>
  <c r="C69" i="54" s="1"/>
  <c r="D69" i="54" a="1"/>
  <c r="D69" i="54" s="1"/>
  <c r="E69" i="54" a="1"/>
  <c r="E69" i="54" s="1"/>
  <c r="F69" i="54" a="1"/>
  <c r="F69" i="54"/>
  <c r="G69" i="54" a="1"/>
  <c r="G69" i="54" s="1"/>
  <c r="J90" i="62" s="1"/>
  <c r="E123" i="62" s="1"/>
  <c r="H69" i="54" a="1"/>
  <c r="H69" i="54" s="1"/>
  <c r="I69" i="54" a="1"/>
  <c r="I69" i="54" s="1"/>
  <c r="J69" i="54" a="1"/>
  <c r="J69" i="54"/>
  <c r="K69" i="54" a="1"/>
  <c r="K69" i="54" s="1"/>
  <c r="M90" i="62" s="1"/>
  <c r="L69" i="54" a="1"/>
  <c r="L69" i="54" s="1"/>
  <c r="D70" i="22" s="1"/>
  <c r="M69" i="54" a="1"/>
  <c r="M69" i="54" s="1"/>
  <c r="N69" i="54" a="1"/>
  <c r="N69" i="54"/>
  <c r="O69" i="54" a="1"/>
  <c r="O69" i="54" s="1"/>
  <c r="P69" i="54" a="1"/>
  <c r="P69" i="54" s="1"/>
  <c r="Q69" i="54" a="1"/>
  <c r="Q69" i="54" s="1"/>
  <c r="R69" i="54" a="1"/>
  <c r="R69" i="54" s="1"/>
  <c r="J70" i="22" s="1"/>
  <c r="S69" i="54" a="1"/>
  <c r="S69" i="54" s="1"/>
  <c r="T69" i="54" a="1"/>
  <c r="T69" i="54" s="1"/>
  <c r="U69" i="54" a="1"/>
  <c r="U69" i="54" s="1"/>
  <c r="V69" i="54" a="1"/>
  <c r="V69" i="54" s="1"/>
  <c r="W69" i="54"/>
  <c r="AD78" i="60" s="1"/>
  <c r="X69" i="54" a="1"/>
  <c r="X69" i="54"/>
  <c r="Y69" i="54" a="1"/>
  <c r="Y69" i="54"/>
  <c r="Z69" i="54" a="1"/>
  <c r="Z69" i="54"/>
  <c r="AA69" i="54" a="1"/>
  <c r="AA69" i="54" s="1"/>
  <c r="S90" i="62" s="1"/>
  <c r="AB69" i="54" a="1"/>
  <c r="AB69" i="54"/>
  <c r="AC69" i="54" a="1"/>
  <c r="AC69" i="54"/>
  <c r="AD69" i="54" a="1"/>
  <c r="AD69" i="54"/>
  <c r="AE69" i="54" a="1"/>
  <c r="AE69" i="54" s="1"/>
  <c r="AF69" i="54" a="1"/>
  <c r="AF69" i="54"/>
  <c r="AG69" i="54" a="1"/>
  <c r="AG69" i="54"/>
  <c r="AH69" i="54" a="1"/>
  <c r="AH69" i="54"/>
  <c r="AI69" i="54" a="1"/>
  <c r="AI69" i="54" s="1"/>
  <c r="AJ69" i="54" a="1"/>
  <c r="AJ69" i="54"/>
  <c r="AK69" i="54" a="1"/>
  <c r="AK69" i="54"/>
  <c r="AB90" i="62" s="1"/>
  <c r="B70" i="54" a="1"/>
  <c r="B70" i="54"/>
  <c r="C70" i="54" a="1"/>
  <c r="C70" i="54" s="1"/>
  <c r="P91" i="62" s="1"/>
  <c r="D70" i="54" a="1"/>
  <c r="D70" i="54"/>
  <c r="E70" i="54" a="1"/>
  <c r="E70" i="54"/>
  <c r="F70" i="54" a="1"/>
  <c r="F70" i="54"/>
  <c r="G70" i="54" a="1"/>
  <c r="G70" i="54" s="1"/>
  <c r="J91" i="62" s="1"/>
  <c r="H70" i="54" a="1"/>
  <c r="H70" i="54"/>
  <c r="I70" i="54" a="1"/>
  <c r="I70" i="54"/>
  <c r="D91" i="62" s="1"/>
  <c r="J70" i="54" a="1"/>
  <c r="J70" i="54"/>
  <c r="K70" i="54" a="1"/>
  <c r="K70" i="54" s="1"/>
  <c r="M91" i="62" s="1"/>
  <c r="L70" i="54" a="1"/>
  <c r="L70" i="54"/>
  <c r="D71" i="22" s="1"/>
  <c r="M70" i="54" a="1"/>
  <c r="M70" i="54"/>
  <c r="G71" i="22" s="1"/>
  <c r="N70" i="54" a="1"/>
  <c r="N70" i="54"/>
  <c r="O70" i="54" a="1"/>
  <c r="O70" i="54" s="1"/>
  <c r="P70" i="54" a="1"/>
  <c r="P70" i="54" s="1"/>
  <c r="Q70" i="54" a="1"/>
  <c r="Q70" i="54"/>
  <c r="R70" i="54" a="1"/>
  <c r="R70" i="54"/>
  <c r="S70" i="54" a="1"/>
  <c r="S70" i="54" s="1"/>
  <c r="T70" i="54" a="1"/>
  <c r="T70" i="54" s="1"/>
  <c r="U70" i="54" a="1"/>
  <c r="U70" i="54"/>
  <c r="V70" i="54" a="1"/>
  <c r="V70" i="54" s="1"/>
  <c r="W70" i="54"/>
  <c r="AD79" i="60" s="1"/>
  <c r="X70" i="54" a="1"/>
  <c r="X70" i="54"/>
  <c r="Y70" i="54" a="1"/>
  <c r="Y70" i="54" s="1"/>
  <c r="Z70" i="54" a="1"/>
  <c r="Z70" i="54" s="1"/>
  <c r="S91" i="62" s="1"/>
  <c r="AA70" i="54" a="1"/>
  <c r="AA70" i="54"/>
  <c r="AB70" i="54" a="1"/>
  <c r="AB70" i="54" s="1"/>
  <c r="AC70" i="54" a="1"/>
  <c r="AC70" i="54" s="1"/>
  <c r="AD70" i="54" a="1"/>
  <c r="AD70" i="54" s="1"/>
  <c r="AE70" i="54" a="1"/>
  <c r="AE70" i="54"/>
  <c r="AF70" i="54" a="1"/>
  <c r="AF70" i="54" s="1"/>
  <c r="AG70" i="54" a="1"/>
  <c r="AG70" i="54" s="1"/>
  <c r="AH70" i="54" a="1"/>
  <c r="AH70" i="54" s="1"/>
  <c r="Y91" i="62" s="1"/>
  <c r="AI70" i="54" a="1"/>
  <c r="AI70" i="54"/>
  <c r="AJ70" i="54" a="1"/>
  <c r="AJ70" i="54" s="1"/>
  <c r="AK70" i="54" a="1"/>
  <c r="AK70" i="54" s="1"/>
  <c r="B72" i="54" a="1"/>
  <c r="B72" i="54" s="1"/>
  <c r="G93" i="62" s="1"/>
  <c r="C72" i="54" a="1"/>
  <c r="C72" i="54"/>
  <c r="D72" i="54" a="1"/>
  <c r="D72" i="54" s="1"/>
  <c r="P93" i="62" s="1"/>
  <c r="E72" i="54" a="1"/>
  <c r="E72" i="54" s="1"/>
  <c r="F72" i="54" a="1"/>
  <c r="F72" i="54" s="1"/>
  <c r="G72" i="54" a="1"/>
  <c r="G72" i="54"/>
  <c r="H72" i="54" a="1"/>
  <c r="H72" i="54" s="1"/>
  <c r="I72" i="54" a="1"/>
  <c r="I72" i="54" s="1"/>
  <c r="J72" i="54" a="1"/>
  <c r="J72" i="54" s="1"/>
  <c r="K72" i="54" a="1"/>
  <c r="K72" i="54" s="1"/>
  <c r="L72" i="54" a="1"/>
  <c r="L72" i="54" s="1"/>
  <c r="D73" i="22" s="1"/>
  <c r="M72" i="54" a="1"/>
  <c r="M72" i="54" s="1"/>
  <c r="N72" i="54" a="1"/>
  <c r="N72" i="54" s="1"/>
  <c r="O72" i="54" a="1"/>
  <c r="O72" i="54" s="1"/>
  <c r="P72" i="54" a="1"/>
  <c r="P72" i="54" s="1"/>
  <c r="Q72" i="54" a="1"/>
  <c r="Q72" i="54" s="1"/>
  <c r="R72" i="54" a="1"/>
  <c r="R72" i="54" s="1"/>
  <c r="S72" i="54" a="1"/>
  <c r="S72" i="54" s="1"/>
  <c r="T72" i="54" a="1"/>
  <c r="T72" i="54" s="1"/>
  <c r="U72" i="54" a="1"/>
  <c r="U72" i="54" s="1"/>
  <c r="V72" i="54" a="1"/>
  <c r="V72" i="54" s="1"/>
  <c r="W72" i="54"/>
  <c r="AD81" i="60" s="1"/>
  <c r="X72" i="54" a="1"/>
  <c r="X72" i="54"/>
  <c r="Y72" i="54" a="1"/>
  <c r="Y72" i="54"/>
  <c r="Z72" i="54" a="1"/>
  <c r="Z72" i="54"/>
  <c r="S93" i="62" s="1"/>
  <c r="AA72" i="54" a="1"/>
  <c r="AA72" i="54"/>
  <c r="AB72" i="54" a="1"/>
  <c r="AB72" i="54" s="1"/>
  <c r="AC72" i="54" a="1"/>
  <c r="AC72" i="54"/>
  <c r="AD72" i="54" a="1"/>
  <c r="AD72" i="54"/>
  <c r="AE72" i="54" a="1"/>
  <c r="AE72" i="54"/>
  <c r="AF72" i="54" a="1"/>
  <c r="AF72" i="54" s="1"/>
  <c r="AG72" i="54" a="1"/>
  <c r="AG72" i="54"/>
  <c r="AH72" i="54" a="1"/>
  <c r="AH72" i="54"/>
  <c r="Y93" i="62" s="1"/>
  <c r="AI72" i="54" a="1"/>
  <c r="AI72" i="54"/>
  <c r="AJ72" i="54" a="1"/>
  <c r="AJ72" i="54" s="1"/>
  <c r="AB93" i="62" s="1"/>
  <c r="AK72" i="54" a="1"/>
  <c r="AK72" i="54"/>
  <c r="B73" i="54" a="1"/>
  <c r="B73" i="54"/>
  <c r="G94" i="62" s="1"/>
  <c r="C73" i="54" a="1"/>
  <c r="C73" i="54"/>
  <c r="D73" i="54" a="1"/>
  <c r="D73" i="54" s="1"/>
  <c r="E73" i="54" a="1"/>
  <c r="E73" i="54"/>
  <c r="F73" i="54" a="1"/>
  <c r="F73" i="54"/>
  <c r="G73" i="54" a="1"/>
  <c r="G73" i="54"/>
  <c r="H73" i="54" a="1"/>
  <c r="H73" i="54" s="1"/>
  <c r="D94" i="62" s="1"/>
  <c r="I73" i="54" a="1"/>
  <c r="I73" i="54"/>
  <c r="J73" i="54" a="1"/>
  <c r="J73" i="54"/>
  <c r="K73" i="54" a="1"/>
  <c r="K73" i="54"/>
  <c r="L73" i="54" a="1"/>
  <c r="L73" i="54" s="1"/>
  <c r="D74" i="22" s="1"/>
  <c r="M73" i="54" a="1"/>
  <c r="M73" i="54" s="1"/>
  <c r="N73" i="54" a="1"/>
  <c r="N73" i="54"/>
  <c r="O73" i="54" a="1"/>
  <c r="O73" i="54"/>
  <c r="P73" i="54" a="1"/>
  <c r="P73" i="54" s="1"/>
  <c r="Q73" i="54" a="1"/>
  <c r="Q73" i="54" s="1"/>
  <c r="R73" i="54" a="1"/>
  <c r="R73" i="54"/>
  <c r="J74" i="22" s="1"/>
  <c r="S73" i="54" a="1"/>
  <c r="S73" i="54" s="1"/>
  <c r="T73" i="54" a="1"/>
  <c r="T73" i="54" s="1"/>
  <c r="U73" i="54" a="1"/>
  <c r="U73" i="54" s="1"/>
  <c r="V73" i="54" a="1"/>
  <c r="V73" i="54"/>
  <c r="W73" i="54"/>
  <c r="AD82" i="60" s="1"/>
  <c r="X73" i="54" a="1"/>
  <c r="X73" i="54"/>
  <c r="Y73" i="54" a="1"/>
  <c r="Y73" i="54"/>
  <c r="Z73" i="54" a="1"/>
  <c r="Z73" i="54" s="1"/>
  <c r="S94" i="62" s="1"/>
  <c r="AA73" i="54" a="1"/>
  <c r="AA73" i="54" s="1"/>
  <c r="AB73" i="54" a="1"/>
  <c r="AB73" i="54"/>
  <c r="AC73" i="54" a="1"/>
  <c r="AC73" i="54" s="1"/>
  <c r="AD73" i="54" a="1"/>
  <c r="AD73" i="54" s="1"/>
  <c r="AE73" i="54" a="1"/>
  <c r="AE73" i="54" s="1"/>
  <c r="AF73" i="54" a="1"/>
  <c r="AF73" i="54"/>
  <c r="AG73" i="54" a="1"/>
  <c r="AG73" i="54" s="1"/>
  <c r="AH73" i="54" a="1"/>
  <c r="AH73" i="54" s="1"/>
  <c r="AI73" i="54" a="1"/>
  <c r="AI73" i="54" s="1"/>
  <c r="AJ73" i="54" a="1"/>
  <c r="AJ73" i="54"/>
  <c r="AK73" i="54" a="1"/>
  <c r="AK73" i="54" s="1"/>
  <c r="AB94" i="62" s="1"/>
  <c r="B74" i="54" a="1"/>
  <c r="B74" i="54" s="1"/>
  <c r="G95" i="62" s="1"/>
  <c r="C74" i="54" a="1"/>
  <c r="C74" i="54" s="1"/>
  <c r="P95" i="62" s="1"/>
  <c r="D74" i="54" a="1"/>
  <c r="D74" i="54"/>
  <c r="E74" i="54" a="1"/>
  <c r="E74" i="54" s="1"/>
  <c r="F74" i="54" a="1"/>
  <c r="F74" i="54" s="1"/>
  <c r="G74" i="54" a="1"/>
  <c r="G74" i="54" s="1"/>
  <c r="J95" i="62" s="1"/>
  <c r="H74" i="54" a="1"/>
  <c r="H74" i="54" s="1"/>
  <c r="I74" i="54" a="1"/>
  <c r="I74" i="54" s="1"/>
  <c r="J74" i="54" a="1"/>
  <c r="J74" i="54" s="1"/>
  <c r="M95" i="62" s="1"/>
  <c r="K74" i="54" a="1"/>
  <c r="K74" i="54" s="1"/>
  <c r="L74" i="54" a="1"/>
  <c r="L74" i="54" s="1"/>
  <c r="D75" i="22" s="1"/>
  <c r="M74" i="54" a="1"/>
  <c r="M74" i="54" s="1"/>
  <c r="N74" i="54" a="1"/>
  <c r="N74" i="54" s="1"/>
  <c r="O74" i="54" a="1"/>
  <c r="O74" i="54" s="1"/>
  <c r="P74" i="54" a="1"/>
  <c r="P74" i="54" s="1"/>
  <c r="Q74" i="54" a="1"/>
  <c r="Q74" i="54" s="1"/>
  <c r="R74" i="54" a="1"/>
  <c r="R74" i="54" s="1"/>
  <c r="J75" i="22" s="1"/>
  <c r="S74" i="54" a="1"/>
  <c r="S74" i="54" s="1"/>
  <c r="T74" i="54" a="1"/>
  <c r="T74" i="54" s="1"/>
  <c r="U74" i="54" a="1"/>
  <c r="U74" i="54" s="1"/>
  <c r="V74" i="54" a="1"/>
  <c r="V74" i="54" s="1"/>
  <c r="W74" i="54"/>
  <c r="AD83" i="60" s="1"/>
  <c r="X74" i="54" a="1"/>
  <c r="X74" i="54"/>
  <c r="Y74" i="54" a="1"/>
  <c r="Y74" i="54"/>
  <c r="Z74" i="54" a="1"/>
  <c r="Z74" i="54"/>
  <c r="AA74" i="54" a="1"/>
  <c r="AA74" i="54"/>
  <c r="S95" i="62" s="1"/>
  <c r="AB74" i="54" a="1"/>
  <c r="AB74" i="54"/>
  <c r="AC74" i="54" a="1"/>
  <c r="AC74" i="54" s="1"/>
  <c r="V95" i="62" s="1"/>
  <c r="AD74" i="54" a="1"/>
  <c r="AD74" i="54"/>
  <c r="AE74" i="54" a="1"/>
  <c r="AE74" i="54"/>
  <c r="AF74" i="54" a="1"/>
  <c r="AF74" i="54"/>
  <c r="AG74" i="54" a="1"/>
  <c r="AG74" i="54" s="1"/>
  <c r="AH74" i="54" a="1"/>
  <c r="AH74" i="54"/>
  <c r="AI74" i="54" a="1"/>
  <c r="AI74" i="54"/>
  <c r="Y95" i="62" s="1"/>
  <c r="AJ74" i="54" a="1"/>
  <c r="AJ74" i="54"/>
  <c r="AK74" i="54" a="1"/>
  <c r="AK74" i="54" s="1"/>
  <c r="AB95" i="62" s="1"/>
  <c r="B75" i="54" a="1"/>
  <c r="B75" i="54"/>
  <c r="C75" i="54" a="1"/>
  <c r="C75" i="54"/>
  <c r="P96" i="62" s="1"/>
  <c r="D75" i="54" a="1"/>
  <c r="D75" i="54"/>
  <c r="E75" i="54" a="1"/>
  <c r="E75" i="54" s="1"/>
  <c r="F75" i="54" a="1"/>
  <c r="F75" i="54"/>
  <c r="G75" i="54" a="1"/>
  <c r="G75" i="54"/>
  <c r="H75" i="54" a="1"/>
  <c r="H75" i="54"/>
  <c r="I75" i="54" a="1"/>
  <c r="I75" i="54" s="1"/>
  <c r="J75" i="54" a="1"/>
  <c r="J75" i="54"/>
  <c r="K75" i="54" a="1"/>
  <c r="K75" i="54"/>
  <c r="M96" i="62" s="1"/>
  <c r="L75" i="54" a="1"/>
  <c r="L75" i="54"/>
  <c r="D76" i="22" s="1"/>
  <c r="M75" i="54" a="1"/>
  <c r="M75" i="54" s="1"/>
  <c r="N75" i="54" a="1"/>
  <c r="N75" i="54"/>
  <c r="O75" i="54" a="1"/>
  <c r="O75" i="54"/>
  <c r="P75" i="54" a="1"/>
  <c r="P75" i="54"/>
  <c r="Q75" i="54" a="1"/>
  <c r="Q75" i="54" s="1"/>
  <c r="R75" i="54" a="1"/>
  <c r="R75" i="54" s="1"/>
  <c r="S75" i="54" a="1"/>
  <c r="S75" i="54"/>
  <c r="T75" i="54" a="1"/>
  <c r="T75" i="54"/>
  <c r="U75" i="54" a="1"/>
  <c r="U75" i="54" s="1"/>
  <c r="V75" i="54" a="1"/>
  <c r="V75" i="54" s="1"/>
  <c r="W75" i="54"/>
  <c r="AD84" i="60" s="1"/>
  <c r="X75" i="54" a="1"/>
  <c r="X75" i="54" s="1"/>
  <c r="Y75" i="54" a="1"/>
  <c r="Y75" i="54"/>
  <c r="Z75" i="54" a="1"/>
  <c r="Z75" i="54"/>
  <c r="AA75" i="54" a="1"/>
  <c r="AA75" i="54" s="1"/>
  <c r="S96" i="62" s="1"/>
  <c r="AB75" i="54" a="1"/>
  <c r="AB75" i="54" s="1"/>
  <c r="AC75" i="54" a="1"/>
  <c r="AC75" i="54"/>
  <c r="AD75" i="54" a="1"/>
  <c r="AD75" i="54" s="1"/>
  <c r="AE75" i="54" a="1"/>
  <c r="AE75" i="54" s="1"/>
  <c r="AF75" i="54" a="1"/>
  <c r="AF75" i="54" s="1"/>
  <c r="AG75" i="54" a="1"/>
  <c r="AG75" i="54"/>
  <c r="AH75" i="54" a="1"/>
  <c r="AH75" i="54" s="1"/>
  <c r="Y96" i="62" s="1"/>
  <c r="AI75" i="54" a="1"/>
  <c r="AI75" i="54" s="1"/>
  <c r="AJ75" i="54" a="1"/>
  <c r="AJ75" i="54" s="1"/>
  <c r="AK75" i="54" a="1"/>
  <c r="AK75" i="54"/>
  <c r="B76" i="54" a="1"/>
  <c r="B76" i="54" s="1"/>
  <c r="G97" i="62" s="1"/>
  <c r="C76" i="54" a="1"/>
  <c r="C76" i="54" s="1"/>
  <c r="D76" i="54" a="1"/>
  <c r="D76" i="54" s="1"/>
  <c r="P97" i="62" s="1"/>
  <c r="E76" i="54" a="1"/>
  <c r="E76" i="54"/>
  <c r="F76" i="54" a="1"/>
  <c r="F76" i="54" s="1"/>
  <c r="G76" i="54" a="1"/>
  <c r="G76" i="54" s="1"/>
  <c r="J97" i="62" s="1"/>
  <c r="H76" i="54" a="1"/>
  <c r="H76" i="54" s="1"/>
  <c r="D97" i="62" s="1"/>
  <c r="I76" i="54" a="1"/>
  <c r="I76" i="54" s="1"/>
  <c r="J76" i="54" a="1"/>
  <c r="J76" i="54" s="1"/>
  <c r="K76" i="54" a="1"/>
  <c r="K76" i="54" s="1"/>
  <c r="M97" i="62" s="1"/>
  <c r="L76" i="54" a="1"/>
  <c r="L76" i="54" s="1"/>
  <c r="D77" i="22" s="1"/>
  <c r="M76" i="54" a="1"/>
  <c r="M76" i="54" s="1"/>
  <c r="N76" i="54" a="1"/>
  <c r="N76" i="54" s="1"/>
  <c r="O76" i="54" a="1"/>
  <c r="O76" i="54" s="1"/>
  <c r="P76" i="54" a="1"/>
  <c r="P76" i="54" s="1"/>
  <c r="Q76" i="54" a="1"/>
  <c r="Q76" i="54" s="1"/>
  <c r="R76" i="54" a="1"/>
  <c r="R76" i="54" s="1"/>
  <c r="S76" i="54" a="1"/>
  <c r="S76" i="54" s="1"/>
  <c r="T76" i="54" a="1"/>
  <c r="T76" i="54" s="1"/>
  <c r="U76" i="54" a="1"/>
  <c r="U76" i="54" s="1"/>
  <c r="V76" i="54" a="1"/>
  <c r="V76" i="54" s="1"/>
  <c r="W76" i="54"/>
  <c r="AD85" i="60" s="1"/>
  <c r="X76" i="54" a="1"/>
  <c r="X76" i="54"/>
  <c r="Y76" i="54" a="1"/>
  <c r="Y76" i="54"/>
  <c r="Z76" i="54" a="1"/>
  <c r="Z76" i="54"/>
  <c r="AA76" i="54" a="1"/>
  <c r="AA76" i="54"/>
  <c r="AB76" i="54" a="1"/>
  <c r="AB76" i="54"/>
  <c r="AC76" i="54" a="1"/>
  <c r="AC76" i="54"/>
  <c r="AD76" i="54" a="1"/>
  <c r="AD76" i="54" s="1"/>
  <c r="AE76" i="54" a="1"/>
  <c r="AE76" i="54"/>
  <c r="AF76" i="54" a="1"/>
  <c r="AF76" i="54"/>
  <c r="AG76" i="54" a="1"/>
  <c r="AG76" i="54"/>
  <c r="AH76" i="54" a="1"/>
  <c r="AH76" i="54" s="1"/>
  <c r="Y97" i="62" s="1"/>
  <c r="AI76" i="54" a="1"/>
  <c r="AI76" i="54"/>
  <c r="AJ76" i="54" a="1"/>
  <c r="AJ76" i="54"/>
  <c r="AK76" i="54" a="1"/>
  <c r="AK76" i="54"/>
  <c r="B77" i="54" a="1"/>
  <c r="B77" i="54" s="1"/>
  <c r="C77" i="54" a="1"/>
  <c r="C77" i="54"/>
  <c r="D77" i="54" a="1"/>
  <c r="D77" i="54"/>
  <c r="P98" i="62" s="1"/>
  <c r="E77" i="54" a="1"/>
  <c r="E77" i="54"/>
  <c r="F77" i="54" a="1"/>
  <c r="F77" i="54" s="1"/>
  <c r="G77" i="54" a="1"/>
  <c r="G77" i="54"/>
  <c r="H77" i="54" a="1"/>
  <c r="H77" i="54"/>
  <c r="I77" i="54" a="1"/>
  <c r="I77" i="54"/>
  <c r="J77" i="54" a="1"/>
  <c r="J77" i="54" s="1"/>
  <c r="K77" i="54" a="1"/>
  <c r="K77" i="54"/>
  <c r="L77" i="54" a="1"/>
  <c r="L77" i="54"/>
  <c r="D78" i="22" s="1"/>
  <c r="M77" i="54" a="1"/>
  <c r="M77" i="54"/>
  <c r="N77" i="54" a="1"/>
  <c r="N77" i="54" s="1"/>
  <c r="O77" i="54" a="1"/>
  <c r="O77" i="54" s="1"/>
  <c r="P77" i="54" a="1"/>
  <c r="P77" i="54"/>
  <c r="Q77" i="54" a="1"/>
  <c r="Q77" i="54"/>
  <c r="R77" i="54" a="1"/>
  <c r="R77" i="54" s="1"/>
  <c r="S77" i="54" a="1"/>
  <c r="S77" i="54" s="1"/>
  <c r="T77" i="54" a="1"/>
  <c r="T77" i="54"/>
  <c r="U77" i="54" a="1"/>
  <c r="U77" i="54"/>
  <c r="V77" i="54" a="1"/>
  <c r="V77" i="54" s="1"/>
  <c r="W77" i="54"/>
  <c r="AD86" i="60" s="1"/>
  <c r="X77" i="54" a="1"/>
  <c r="X77" i="54" s="1"/>
  <c r="Y77" i="54" a="1"/>
  <c r="Y77" i="54" s="1"/>
  <c r="Z77" i="54" a="1"/>
  <c r="Z77" i="54"/>
  <c r="AA77" i="54" a="1"/>
  <c r="AA77" i="54" s="1"/>
  <c r="AB77" i="54" a="1"/>
  <c r="AB77" i="54" s="1"/>
  <c r="AC77" i="54" a="1"/>
  <c r="AC77" i="54" s="1"/>
  <c r="V98" i="62" s="1"/>
  <c r="AD77" i="54" a="1"/>
  <c r="AD77" i="54"/>
  <c r="AE77" i="54" a="1"/>
  <c r="AE77" i="54" s="1"/>
  <c r="AF77" i="54" a="1"/>
  <c r="AF77" i="54" s="1"/>
  <c r="AG77" i="54" a="1"/>
  <c r="AG77" i="54" s="1"/>
  <c r="AH77" i="54" a="1"/>
  <c r="AH77" i="54"/>
  <c r="AI77" i="54" a="1"/>
  <c r="AI77" i="54" s="1"/>
  <c r="Y98" i="62" s="1"/>
  <c r="AJ77" i="54" a="1"/>
  <c r="AJ77" i="54" s="1"/>
  <c r="AK77" i="54" a="1"/>
  <c r="AK77" i="54" s="1"/>
  <c r="B78" i="54" a="1"/>
  <c r="B78" i="54"/>
  <c r="C78" i="54" a="1"/>
  <c r="C78" i="54" s="1"/>
  <c r="D78" i="54" a="1"/>
  <c r="D78" i="54" s="1"/>
  <c r="E78" i="54" a="1"/>
  <c r="E78" i="54" s="1"/>
  <c r="F78" i="54" a="1"/>
  <c r="F78" i="54" s="1"/>
  <c r="G82" i="55" s="1"/>
  <c r="G78" i="54" a="1"/>
  <c r="G78" i="54" s="1"/>
  <c r="H78" i="54" a="1"/>
  <c r="H78" i="54" s="1"/>
  <c r="I78" i="54" a="1"/>
  <c r="I78" i="54" s="1"/>
  <c r="J78" i="54" a="1"/>
  <c r="J78" i="54" s="1"/>
  <c r="K78" i="54" a="1"/>
  <c r="K78" i="54" s="1"/>
  <c r="L78" i="54" a="1"/>
  <c r="L78" i="54" s="1"/>
  <c r="D79" i="22" s="1"/>
  <c r="M78" i="54" a="1"/>
  <c r="M78" i="54" s="1"/>
  <c r="N78" i="54" a="1"/>
  <c r="N78" i="54" s="1"/>
  <c r="O78" i="54" a="1"/>
  <c r="O78" i="54" s="1"/>
  <c r="P78" i="54" a="1"/>
  <c r="P78" i="54" s="1"/>
  <c r="Q78" i="54" a="1"/>
  <c r="Q78" i="54" s="1"/>
  <c r="R78" i="54" a="1"/>
  <c r="R78" i="54" s="1"/>
  <c r="S78" i="54" a="1"/>
  <c r="S78" i="54" s="1"/>
  <c r="T78" i="54" a="1"/>
  <c r="T78" i="54" s="1"/>
  <c r="U78" i="54" a="1"/>
  <c r="U78" i="54" s="1"/>
  <c r="V78" i="54" a="1"/>
  <c r="V78" i="54" s="1"/>
  <c r="W78" i="54"/>
  <c r="AD87" i="60" s="1"/>
  <c r="X78" i="54" a="1"/>
  <c r="X78" i="54"/>
  <c r="Y78" i="54" a="1"/>
  <c r="Y78" i="54"/>
  <c r="Z78" i="54" a="1"/>
  <c r="Z78" i="54"/>
  <c r="AA78" i="54" a="1"/>
  <c r="AA78" i="54" s="1"/>
  <c r="S99" i="62" s="1"/>
  <c r="AB78" i="54" a="1"/>
  <c r="AB78" i="54"/>
  <c r="AC78" i="54" a="1"/>
  <c r="AC78" i="54"/>
  <c r="AD78" i="54" a="1"/>
  <c r="AD78" i="54"/>
  <c r="AE78" i="54" a="1"/>
  <c r="AE78" i="54" s="1"/>
  <c r="AF78" i="54" a="1"/>
  <c r="AF78" i="54"/>
  <c r="AG78" i="54" a="1"/>
  <c r="AG78" i="54"/>
  <c r="AH78" i="54" a="1"/>
  <c r="AH78" i="54"/>
  <c r="AI78" i="54" a="1"/>
  <c r="AI78" i="54" s="1"/>
  <c r="AJ78" i="54" a="1"/>
  <c r="AJ78" i="54"/>
  <c r="AK78" i="54" a="1"/>
  <c r="AK78" i="54"/>
  <c r="B79" i="54" a="1"/>
  <c r="B79" i="54"/>
  <c r="C79" i="54" a="1"/>
  <c r="C79" i="54" s="1"/>
  <c r="D79" i="54" a="1"/>
  <c r="D79" i="54"/>
  <c r="E79" i="54" a="1"/>
  <c r="E79" i="54"/>
  <c r="F79" i="54" a="1"/>
  <c r="F79" i="54"/>
  <c r="G79" i="54" a="1"/>
  <c r="G79" i="54" s="1"/>
  <c r="H79" i="54" a="1"/>
  <c r="H79" i="54"/>
  <c r="I79" i="54" a="1"/>
  <c r="I79" i="54"/>
  <c r="D100" i="62" s="1"/>
  <c r="D135" i="62" s="1"/>
  <c r="J79" i="54" a="1"/>
  <c r="J79" i="54"/>
  <c r="K79" i="54" a="1"/>
  <c r="K79" i="54" s="1"/>
  <c r="L79" i="54" a="1"/>
  <c r="L79" i="54"/>
  <c r="D80" i="22" s="1"/>
  <c r="M79" i="54" a="1"/>
  <c r="M79" i="54"/>
  <c r="N79" i="54" a="1"/>
  <c r="N79" i="54"/>
  <c r="O79" i="54" a="1"/>
  <c r="O79" i="54" s="1"/>
  <c r="P79" i="54" a="1"/>
  <c r="P79" i="54" s="1"/>
  <c r="Q79" i="54" a="1"/>
  <c r="Q79" i="54"/>
  <c r="R79" i="54" a="1"/>
  <c r="R79" i="54"/>
  <c r="S79" i="54" a="1"/>
  <c r="S79" i="54" s="1"/>
  <c r="T79" i="54" a="1"/>
  <c r="T79" i="54" s="1"/>
  <c r="U79" i="54" a="1"/>
  <c r="U79" i="54"/>
  <c r="V79" i="54" a="1"/>
  <c r="V79" i="54"/>
  <c r="W79" i="54"/>
  <c r="AD88" i="60" s="1"/>
  <c r="X79" i="54" a="1"/>
  <c r="X79" i="54"/>
  <c r="Y79" i="54" a="1"/>
  <c r="Y79" i="54" s="1"/>
  <c r="Z79" i="54" a="1"/>
  <c r="Z79" i="54" s="1"/>
  <c r="AA79" i="54" a="1"/>
  <c r="AA79" i="54"/>
  <c r="AB79" i="54" a="1"/>
  <c r="AB79" i="54" s="1"/>
  <c r="AC79" i="54" a="1"/>
  <c r="AC79" i="54" s="1"/>
  <c r="AD79" i="54" a="1"/>
  <c r="AD79" i="54" s="1"/>
  <c r="AE79" i="54" a="1"/>
  <c r="AE79" i="54"/>
  <c r="AF79" i="54" a="1"/>
  <c r="AF79" i="54" s="1"/>
  <c r="AG79" i="54" a="1"/>
  <c r="AG79" i="54" s="1"/>
  <c r="AH79" i="54" a="1"/>
  <c r="AH79" i="54" s="1"/>
  <c r="AI79" i="54" a="1"/>
  <c r="AI79" i="54"/>
  <c r="AJ79" i="54" a="1"/>
  <c r="AJ79" i="54" s="1"/>
  <c r="AK79" i="54" a="1"/>
  <c r="AK79" i="54" s="1"/>
  <c r="AB100" i="62" s="1"/>
  <c r="B29" i="5"/>
  <c r="B60" i="5" s="1"/>
  <c r="F29" i="5"/>
  <c r="D60" i="5" s="1"/>
  <c r="G60" i="5" s="1"/>
  <c r="B30" i="5"/>
  <c r="B61" i="5" s="1"/>
  <c r="F30" i="5"/>
  <c r="B31" i="5"/>
  <c r="F31" i="5"/>
  <c r="B33" i="5"/>
  <c r="F33" i="5"/>
  <c r="B34" i="5"/>
  <c r="F34" i="5"/>
  <c r="B36" i="5"/>
  <c r="B67" i="5" s="1"/>
  <c r="F36" i="5"/>
  <c r="B37" i="5"/>
  <c r="F37" i="5"/>
  <c r="B38" i="5"/>
  <c r="B69" i="5" s="1"/>
  <c r="F38" i="5"/>
  <c r="D69" i="5" s="1"/>
  <c r="G69" i="5" s="1"/>
  <c r="B39" i="5"/>
  <c r="B70" i="5" s="1"/>
  <c r="F39" i="5"/>
  <c r="B40" i="5"/>
  <c r="F40" i="5"/>
  <c r="D71" i="5" s="1"/>
  <c r="B41" i="5"/>
  <c r="F41" i="5"/>
  <c r="B42" i="5"/>
  <c r="F42" i="5"/>
  <c r="B43" i="5"/>
  <c r="B74" i="5" s="1"/>
  <c r="F43" i="5"/>
  <c r="B44" i="5"/>
  <c r="B75" i="5" s="1"/>
  <c r="F44" i="5"/>
  <c r="B45" i="5"/>
  <c r="F45" i="5"/>
  <c r="B46" i="5"/>
  <c r="B77" i="5" s="1"/>
  <c r="F46" i="5"/>
  <c r="D77" i="5" s="1"/>
  <c r="B48" i="5"/>
  <c r="F48" i="5"/>
  <c r="B49" i="5"/>
  <c r="F49" i="5"/>
  <c r="B50" i="5"/>
  <c r="F50" i="5"/>
  <c r="B51" i="5"/>
  <c r="F51" i="5"/>
  <c r="B52" i="5"/>
  <c r="B85" i="5" s="1"/>
  <c r="F52" i="5"/>
  <c r="B53" i="5"/>
  <c r="B86" i="5" s="1"/>
  <c r="F53" i="5"/>
  <c r="D86" i="5" s="1"/>
  <c r="G86" i="5" s="1"/>
  <c r="B54" i="5"/>
  <c r="F54" i="5"/>
  <c r="B55" i="5"/>
  <c r="F55" i="5"/>
  <c r="D88" i="5" s="1"/>
  <c r="D61" i="5"/>
  <c r="B62" i="5"/>
  <c r="B64" i="5"/>
  <c r="D64" i="5"/>
  <c r="G64" i="5" s="1"/>
  <c r="B65" i="5"/>
  <c r="D65" i="5"/>
  <c r="G65" i="5" s="1"/>
  <c r="D67" i="5"/>
  <c r="G67" i="5"/>
  <c r="O563" i="78" s="1"/>
  <c r="B68" i="5"/>
  <c r="D68" i="5"/>
  <c r="G68" i="5" s="1"/>
  <c r="D70" i="5"/>
  <c r="G70" i="5" s="1"/>
  <c r="B71" i="5"/>
  <c r="G71" i="5"/>
  <c r="B72" i="5"/>
  <c r="D72" i="5"/>
  <c r="G72" i="5" s="1"/>
  <c r="O568" i="78" s="1"/>
  <c r="B73" i="5"/>
  <c r="D73" i="5"/>
  <c r="G73" i="5" s="1"/>
  <c r="D74" i="5"/>
  <c r="G74" i="5" s="1"/>
  <c r="D75" i="5"/>
  <c r="G75" i="5"/>
  <c r="O571" i="78" s="1"/>
  <c r="B76" i="5"/>
  <c r="D76" i="5"/>
  <c r="G76" i="5" s="1"/>
  <c r="B81" i="5"/>
  <c r="D81" i="5"/>
  <c r="G81" i="5" s="1"/>
  <c r="B82" i="5"/>
  <c r="D82" i="5"/>
  <c r="G82" i="5" s="1"/>
  <c r="B83" i="5"/>
  <c r="D83" i="5"/>
  <c r="G83" i="5" s="1"/>
  <c r="B84" i="5"/>
  <c r="D84" i="5"/>
  <c r="G84" i="5"/>
  <c r="O580" i="78" s="1"/>
  <c r="D85" i="5"/>
  <c r="G85" i="5" s="1"/>
  <c r="B87" i="5"/>
  <c r="D87" i="5"/>
  <c r="G87" i="5" s="1"/>
  <c r="B88" i="5"/>
  <c r="G88" i="5"/>
  <c r="B74" i="62"/>
  <c r="D74" i="62"/>
  <c r="E74" i="62"/>
  <c r="G74" i="62"/>
  <c r="H74" i="62"/>
  <c r="J74" i="62"/>
  <c r="K74" i="62"/>
  <c r="N74" i="62"/>
  <c r="P74" i="62"/>
  <c r="Q74" i="62"/>
  <c r="T74" i="62"/>
  <c r="W74" i="62"/>
  <c r="Z74" i="62"/>
  <c r="AB74" i="62"/>
  <c r="AC74" i="62"/>
  <c r="B75" i="62"/>
  <c r="D75" i="62"/>
  <c r="E75" i="62"/>
  <c r="G75" i="62"/>
  <c r="H75" i="62"/>
  <c r="K75" i="62"/>
  <c r="N75" i="62"/>
  <c r="P75" i="62"/>
  <c r="Q75" i="62"/>
  <c r="S75" i="62"/>
  <c r="T75" i="62"/>
  <c r="V75" i="62"/>
  <c r="W75" i="62"/>
  <c r="Y75" i="62"/>
  <c r="Z75" i="62"/>
  <c r="AB75" i="62"/>
  <c r="AC75" i="62"/>
  <c r="B76" i="62"/>
  <c r="D76" i="62"/>
  <c r="E76" i="62"/>
  <c r="G76" i="62"/>
  <c r="H76" i="62"/>
  <c r="J76" i="62"/>
  <c r="K76" i="62"/>
  <c r="N76" i="62"/>
  <c r="Q76" i="62"/>
  <c r="S76" i="62"/>
  <c r="T76" i="62"/>
  <c r="W76" i="62"/>
  <c r="Z76" i="62"/>
  <c r="AB76" i="62"/>
  <c r="AC76" i="62"/>
  <c r="B77" i="62"/>
  <c r="E77" i="62"/>
  <c r="H77" i="62"/>
  <c r="K77" i="62"/>
  <c r="N77" i="62"/>
  <c r="Q77" i="62"/>
  <c r="T77" i="62"/>
  <c r="W77" i="62"/>
  <c r="Z77" i="62"/>
  <c r="AC77" i="62"/>
  <c r="B78" i="62"/>
  <c r="E78" i="62"/>
  <c r="G78" i="62"/>
  <c r="H78" i="62"/>
  <c r="J78" i="62"/>
  <c r="K78" i="62"/>
  <c r="N78" i="62"/>
  <c r="P78" i="62"/>
  <c r="Q78" i="62"/>
  <c r="T78" i="62"/>
  <c r="W78" i="62"/>
  <c r="Z78" i="62"/>
  <c r="AC78" i="62"/>
  <c r="U111" i="62" s="1"/>
  <c r="B79" i="62"/>
  <c r="D79" i="62"/>
  <c r="E79" i="62"/>
  <c r="H79" i="62"/>
  <c r="J79" i="62"/>
  <c r="K79" i="62"/>
  <c r="M79" i="62"/>
  <c r="N79" i="62"/>
  <c r="Q79" i="62"/>
  <c r="T79" i="62"/>
  <c r="W79" i="62"/>
  <c r="Y79" i="62"/>
  <c r="Z79" i="62"/>
  <c r="AC79" i="62"/>
  <c r="B81" i="62"/>
  <c r="E81" i="62" a="1"/>
  <c r="E81" i="62" s="1"/>
  <c r="L114" i="62" s="1"/>
  <c r="G81" i="62"/>
  <c r="H81" i="62"/>
  <c r="J81" i="62"/>
  <c r="K81" i="62"/>
  <c r="N81" i="62" a="1"/>
  <c r="N81" i="62"/>
  <c r="Q81" i="62"/>
  <c r="T81" i="62" a="1"/>
  <c r="T81" i="62" s="1"/>
  <c r="W81" i="62" a="1"/>
  <c r="W81" i="62"/>
  <c r="Z81" i="62" a="1"/>
  <c r="Z81" i="62" s="1"/>
  <c r="AC81" i="62" a="1"/>
  <c r="AC81" i="62" s="1"/>
  <c r="B82" i="62"/>
  <c r="E82" i="62" a="1"/>
  <c r="E82" i="62"/>
  <c r="G82" i="62"/>
  <c r="H82" i="62"/>
  <c r="K82" i="62"/>
  <c r="N82" i="62" a="1"/>
  <c r="N82" i="62" s="1"/>
  <c r="P82" i="62"/>
  <c r="Q82" i="62"/>
  <c r="T82" i="62" a="1"/>
  <c r="T82" i="62" s="1"/>
  <c r="W82" i="62" a="1"/>
  <c r="W82" i="62" s="1"/>
  <c r="Y82" i="62"/>
  <c r="Z82" i="62" a="1"/>
  <c r="Z82" i="62"/>
  <c r="AC82" i="62" a="1"/>
  <c r="AC82" i="62" s="1"/>
  <c r="B83" i="62"/>
  <c r="E83" i="62" a="1"/>
  <c r="E83" i="62" s="1"/>
  <c r="G83" i="62"/>
  <c r="H83" i="62"/>
  <c r="K83" i="62"/>
  <c r="N83" i="62" a="1"/>
  <c r="N83" i="62"/>
  <c r="Q83" i="62"/>
  <c r="T83" i="62" a="1"/>
  <c r="T83" i="62" s="1"/>
  <c r="W83" i="62" a="1"/>
  <c r="W83" i="62"/>
  <c r="Z83" i="62" a="1"/>
  <c r="Z83" i="62"/>
  <c r="AC83" i="62" a="1"/>
  <c r="AC83" i="62"/>
  <c r="B84" i="62"/>
  <c r="E84" i="62" a="1"/>
  <c r="E84" i="62"/>
  <c r="H84" i="62"/>
  <c r="J84" i="62"/>
  <c r="K84" i="62"/>
  <c r="N84" i="62" a="1"/>
  <c r="N84" i="62" s="1"/>
  <c r="Q84" i="62"/>
  <c r="T84" i="62" a="1"/>
  <c r="T84" i="62"/>
  <c r="W84" i="62" a="1"/>
  <c r="W84" i="62" s="1"/>
  <c r="Z84" i="62" a="1"/>
  <c r="Z84" i="62" s="1"/>
  <c r="AC84" i="62" a="1"/>
  <c r="AC84" i="62" s="1"/>
  <c r="U117" i="62" s="1"/>
  <c r="B85" i="62"/>
  <c r="E85" i="62" a="1"/>
  <c r="E85" i="62"/>
  <c r="H85" i="62"/>
  <c r="J85" i="62"/>
  <c r="K85" i="62"/>
  <c r="M85" i="62"/>
  <c r="N85" i="62" a="1"/>
  <c r="N85" i="62"/>
  <c r="Q85" i="62"/>
  <c r="T85" i="62" a="1"/>
  <c r="T85" i="62" s="1"/>
  <c r="W85" i="62" a="1"/>
  <c r="W85" i="62"/>
  <c r="Z85" i="62" a="1"/>
  <c r="Z85" i="62" s="1"/>
  <c r="AC85" i="62" a="1"/>
  <c r="AC85" i="62"/>
  <c r="B86" i="62"/>
  <c r="E86" i="62" a="1"/>
  <c r="E86" i="62" s="1"/>
  <c r="H86" i="62"/>
  <c r="K86" i="62"/>
  <c r="N86" i="62" a="1"/>
  <c r="N86" i="62"/>
  <c r="Q86" i="62"/>
  <c r="T86" i="62" a="1"/>
  <c r="T86" i="62"/>
  <c r="W86" i="62" a="1"/>
  <c r="W86" i="62" s="1"/>
  <c r="Z86" i="62" a="1"/>
  <c r="Z86" i="62"/>
  <c r="AC86" i="62" a="1"/>
  <c r="AC86" i="62" s="1"/>
  <c r="B87" i="62"/>
  <c r="E87" i="62" a="1"/>
  <c r="E87" i="62" s="1"/>
  <c r="L120" i="62" s="1"/>
  <c r="G87" i="62"/>
  <c r="H87" i="62"/>
  <c r="J87" i="62"/>
  <c r="K87" i="62"/>
  <c r="N87" i="62" a="1"/>
  <c r="N87" i="62" s="1"/>
  <c r="Q87" i="62"/>
  <c r="T87" i="62" a="1"/>
  <c r="T87" i="62" s="1"/>
  <c r="W87" i="62" a="1"/>
  <c r="W87" i="62" s="1"/>
  <c r="Z87" i="62" a="1"/>
  <c r="Z87" i="62" s="1"/>
  <c r="AB87" i="62"/>
  <c r="AC87" i="62" a="1"/>
  <c r="AC87" i="62"/>
  <c r="B88" i="62"/>
  <c r="E88" i="62" a="1"/>
  <c r="E88" i="62"/>
  <c r="H88" i="62"/>
  <c r="E121" i="62" s="1"/>
  <c r="K88" i="62"/>
  <c r="N88" i="62" a="1"/>
  <c r="N88" i="62" s="1"/>
  <c r="Q88" i="62"/>
  <c r="S88" i="62"/>
  <c r="T88" i="62" a="1"/>
  <c r="T88" i="62"/>
  <c r="W88" i="62" a="1"/>
  <c r="W88" i="62" s="1"/>
  <c r="Z88" i="62" a="1"/>
  <c r="Z88" i="62"/>
  <c r="AC88" i="62" a="1"/>
  <c r="AC88" i="62"/>
  <c r="B89" i="62"/>
  <c r="E89" i="62" a="1"/>
  <c r="E89" i="62" s="1"/>
  <c r="G89" i="62"/>
  <c r="H89" i="62"/>
  <c r="J89" i="62"/>
  <c r="K89" i="62"/>
  <c r="N89" i="62" a="1"/>
  <c r="N89" i="62"/>
  <c r="Q89" i="62"/>
  <c r="T89" i="62" a="1"/>
  <c r="T89" i="62" s="1"/>
  <c r="W89" i="62" a="1"/>
  <c r="W89" i="62"/>
  <c r="Z89" i="62" a="1"/>
  <c r="Z89" i="62" s="1"/>
  <c r="AC89" i="62" a="1"/>
  <c r="AC89" i="62" s="1"/>
  <c r="B90" i="62"/>
  <c r="E90" i="62" a="1"/>
  <c r="E90" i="62"/>
  <c r="G90" i="62"/>
  <c r="H90" i="62"/>
  <c r="K90" i="62"/>
  <c r="N90" i="62" a="1"/>
  <c r="N90" i="62" s="1"/>
  <c r="P90" i="62"/>
  <c r="Q90" i="62"/>
  <c r="T90" i="62" a="1"/>
  <c r="T90" i="62" s="1"/>
  <c r="W90" i="62" a="1"/>
  <c r="W90" i="62" s="1"/>
  <c r="Y90" i="62"/>
  <c r="Z90" i="62" a="1"/>
  <c r="Z90" i="62"/>
  <c r="AC90" i="62" a="1"/>
  <c r="AC90" i="62" s="1"/>
  <c r="U123" i="62" s="1"/>
  <c r="B91" i="62"/>
  <c r="E91" i="62" a="1"/>
  <c r="E91" i="62" s="1"/>
  <c r="G91" i="62"/>
  <c r="H91" i="62"/>
  <c r="K91" i="62"/>
  <c r="N91" i="62" a="1"/>
  <c r="N91" i="62"/>
  <c r="Q91" i="62"/>
  <c r="T91" i="62" a="1"/>
  <c r="T91" i="62" s="1"/>
  <c r="W91" i="62" a="1"/>
  <c r="W91" i="62"/>
  <c r="Z91" i="62" a="1"/>
  <c r="Z91" i="62"/>
  <c r="AC91" i="62" a="1"/>
  <c r="AC91" i="62"/>
  <c r="B93" i="62"/>
  <c r="D93" i="62"/>
  <c r="E93" i="62" a="1"/>
  <c r="E93" i="62"/>
  <c r="H93" i="62"/>
  <c r="J93" i="62"/>
  <c r="K93" i="62"/>
  <c r="N93" i="62" a="1"/>
  <c r="N93" i="62" s="1"/>
  <c r="Q93" i="62"/>
  <c r="T93" i="62" a="1"/>
  <c r="T93" i="62"/>
  <c r="W93" i="62" a="1"/>
  <c r="W93" i="62" s="1"/>
  <c r="Z93" i="62" a="1"/>
  <c r="Z93" i="62" s="1"/>
  <c r="AC93" i="62" a="1"/>
  <c r="AC93" i="62" s="1"/>
  <c r="B94" i="62"/>
  <c r="E94" i="62" a="1"/>
  <c r="E94" i="62"/>
  <c r="L129" i="62" s="1"/>
  <c r="N129" i="62" s="1"/>
  <c r="E112" i="55" s="1"/>
  <c r="H94" i="62"/>
  <c r="J94" i="62"/>
  <c r="K94" i="62"/>
  <c r="M94" i="62"/>
  <c r="N94" i="62" a="1"/>
  <c r="N94" i="62"/>
  <c r="P94" i="62"/>
  <c r="Q94" i="62"/>
  <c r="T94" i="62" a="1"/>
  <c r="T94" i="62" s="1"/>
  <c r="V94" i="62"/>
  <c r="W94" i="62" a="1"/>
  <c r="W94" i="62"/>
  <c r="Y94" i="62"/>
  <c r="Z94" i="62" a="1"/>
  <c r="Z94" i="62" s="1"/>
  <c r="AC94" i="62" a="1"/>
  <c r="AC94" i="62"/>
  <c r="U129" i="62" s="1"/>
  <c r="K112" i="55" s="1"/>
  <c r="B95" i="62"/>
  <c r="E95" i="62" a="1"/>
  <c r="E95" i="62" s="1"/>
  <c r="H95" i="62"/>
  <c r="K95" i="62"/>
  <c r="N95" i="62" a="1"/>
  <c r="N95" i="62"/>
  <c r="Q95" i="62"/>
  <c r="T95" i="62" a="1"/>
  <c r="T95" i="62"/>
  <c r="W95" i="62" a="1"/>
  <c r="W95" i="62" s="1"/>
  <c r="Z95" i="62" a="1"/>
  <c r="Z95" i="62"/>
  <c r="AC95" i="62" a="1"/>
  <c r="AC95" i="62" s="1"/>
  <c r="B96" i="62"/>
  <c r="D96" i="62"/>
  <c r="D131" i="62" s="1"/>
  <c r="E96" i="62" a="1"/>
  <c r="E96" i="62" s="1"/>
  <c r="G96" i="62"/>
  <c r="H96" i="62"/>
  <c r="J96" i="62"/>
  <c r="K96" i="62"/>
  <c r="N96" i="62" a="1"/>
  <c r="N96" i="62" s="1"/>
  <c r="Q96" i="62"/>
  <c r="T96" i="62" a="1"/>
  <c r="T96" i="62" s="1"/>
  <c r="V96" i="62"/>
  <c r="W96" i="62" a="1"/>
  <c r="W96" i="62" s="1"/>
  <c r="Z96" i="62" a="1"/>
  <c r="Z96" i="62" s="1"/>
  <c r="AB96" i="62"/>
  <c r="AC96" i="62" a="1"/>
  <c r="AC96" i="62"/>
  <c r="B97" i="62"/>
  <c r="D132" i="62" s="1"/>
  <c r="E97" i="62" a="1"/>
  <c r="E97" i="62"/>
  <c r="H97" i="62"/>
  <c r="K97" i="62"/>
  <c r="N97" i="62" a="1"/>
  <c r="N97" i="62" s="1"/>
  <c r="Q97" i="62"/>
  <c r="S97" i="62"/>
  <c r="T97" i="62" a="1"/>
  <c r="T97" i="62"/>
  <c r="V97" i="62"/>
  <c r="W97" i="62" a="1"/>
  <c r="W97" i="62" s="1"/>
  <c r="Z97" i="62" a="1"/>
  <c r="Z97" i="62"/>
  <c r="AB97" i="62"/>
  <c r="AC97" i="62" a="1"/>
  <c r="AC97" i="62" s="1"/>
  <c r="U132" i="62" s="1"/>
  <c r="K115" i="55" s="1"/>
  <c r="B98" i="62"/>
  <c r="D98" i="62"/>
  <c r="E98" i="62" a="1"/>
  <c r="E98" i="62" s="1"/>
  <c r="G98" i="62"/>
  <c r="H98" i="62"/>
  <c r="E133" i="62" s="1"/>
  <c r="J98" i="62"/>
  <c r="K98" i="62"/>
  <c r="M98" i="62"/>
  <c r="N98" i="62" a="1"/>
  <c r="N98" i="62"/>
  <c r="Q98" i="62"/>
  <c r="S98" i="62"/>
  <c r="T98" i="62" a="1"/>
  <c r="T98" i="62" s="1"/>
  <c r="W98" i="62" a="1"/>
  <c r="W98" i="62" s="1"/>
  <c r="Z98" i="62" a="1"/>
  <c r="Z98" i="62" s="1"/>
  <c r="AB98" i="62"/>
  <c r="AC98" i="62" a="1"/>
  <c r="AC98" i="62" s="1"/>
  <c r="U133" i="62" s="1"/>
  <c r="B99" i="62"/>
  <c r="D99" i="62"/>
  <c r="E99" i="62" a="1"/>
  <c r="E99" i="62"/>
  <c r="G99" i="62"/>
  <c r="H99" i="62"/>
  <c r="J99" i="62"/>
  <c r="E134" i="62" s="1"/>
  <c r="J134" i="62" s="1"/>
  <c r="K99" i="62"/>
  <c r="M99" i="62"/>
  <c r="N99" i="62" a="1"/>
  <c r="N99" i="62" s="1"/>
  <c r="P99" i="62"/>
  <c r="Q99" i="62"/>
  <c r="T99" i="62" a="1"/>
  <c r="T99" i="62"/>
  <c r="V99" i="62"/>
  <c r="W99" i="62" a="1"/>
  <c r="W99" i="62" s="1"/>
  <c r="Y99" i="62"/>
  <c r="Z99" i="62" a="1"/>
  <c r="Z99" i="62"/>
  <c r="AB99" i="62"/>
  <c r="AC99" i="62" a="1"/>
  <c r="AC99" i="62"/>
  <c r="U134" i="62" s="1"/>
  <c r="B100" i="62"/>
  <c r="E100" i="62" a="1"/>
  <c r="E100" i="62" s="1"/>
  <c r="L135" i="62" s="1"/>
  <c r="G100" i="62"/>
  <c r="H100" i="62"/>
  <c r="J100" i="62"/>
  <c r="K100" i="62"/>
  <c r="M100" i="62"/>
  <c r="N100" i="62" a="1"/>
  <c r="N100" i="62"/>
  <c r="P100" i="62"/>
  <c r="Q100" i="62"/>
  <c r="S100" i="62"/>
  <c r="T100" i="62" a="1"/>
  <c r="T100" i="62"/>
  <c r="V100" i="62"/>
  <c r="W100" i="62" a="1"/>
  <c r="W100" i="62"/>
  <c r="Y100" i="62"/>
  <c r="Z100" i="62" a="1"/>
  <c r="Z100" i="62"/>
  <c r="AC100" i="62" a="1"/>
  <c r="AC100" i="62"/>
  <c r="U135" i="62" s="1"/>
  <c r="K118" i="55" s="1"/>
  <c r="B107" i="62"/>
  <c r="C107" i="62"/>
  <c r="D107" i="62"/>
  <c r="E107" i="62"/>
  <c r="F107" i="62"/>
  <c r="H107" i="62"/>
  <c r="I107" i="62"/>
  <c r="J107" i="62"/>
  <c r="L107" i="62"/>
  <c r="N107" i="62" s="1"/>
  <c r="E90" i="55" s="1"/>
  <c r="M107" i="62"/>
  <c r="O107" i="62"/>
  <c r="U107" i="62"/>
  <c r="B108" i="62"/>
  <c r="C108" i="62"/>
  <c r="D108" i="62"/>
  <c r="F108" i="62"/>
  <c r="H108" i="62"/>
  <c r="I108" i="62"/>
  <c r="L108" i="62"/>
  <c r="R108" i="62" s="1"/>
  <c r="M108" i="62"/>
  <c r="N108" i="62"/>
  <c r="O108" i="62"/>
  <c r="U108" i="62"/>
  <c r="B109" i="62"/>
  <c r="C109" i="62"/>
  <c r="J109" i="62" s="1"/>
  <c r="D109" i="62"/>
  <c r="E109" i="62"/>
  <c r="F109" i="62"/>
  <c r="H109" i="62"/>
  <c r="I109" i="62"/>
  <c r="L109" i="62"/>
  <c r="M109" i="62"/>
  <c r="O109" i="62"/>
  <c r="U109" i="62"/>
  <c r="B110" i="62"/>
  <c r="C110" i="62"/>
  <c r="H110" i="62"/>
  <c r="I110" i="62"/>
  <c r="M110" i="62"/>
  <c r="O110" i="62"/>
  <c r="U110" i="62"/>
  <c r="B111" i="62"/>
  <c r="C111" i="62"/>
  <c r="E111" i="62"/>
  <c r="F111" i="62"/>
  <c r="H111" i="62"/>
  <c r="I111" i="62"/>
  <c r="L111" i="62"/>
  <c r="M111" i="62"/>
  <c r="N111" i="62"/>
  <c r="E94" i="55" s="1"/>
  <c r="O111" i="62"/>
  <c r="B112" i="62"/>
  <c r="C112" i="62"/>
  <c r="D112" i="62"/>
  <c r="E112" i="62"/>
  <c r="F112" i="62"/>
  <c r="H112" i="62"/>
  <c r="I112" i="62"/>
  <c r="J112" i="62"/>
  <c r="K112" i="62"/>
  <c r="L112" i="62"/>
  <c r="M112" i="62"/>
  <c r="N112" i="62" s="1"/>
  <c r="E95" i="55" s="1"/>
  <c r="O112" i="62"/>
  <c r="U112" i="62"/>
  <c r="B114" i="62"/>
  <c r="C114" i="62"/>
  <c r="D114" i="62"/>
  <c r="E114" i="62"/>
  <c r="H114" i="62"/>
  <c r="H125" i="62" s="1"/>
  <c r="I114" i="62"/>
  <c r="M114" i="62"/>
  <c r="O114" i="62"/>
  <c r="U114" i="62"/>
  <c r="B115" i="62"/>
  <c r="C115" i="62"/>
  <c r="D115" i="62"/>
  <c r="E115" i="62"/>
  <c r="F115" i="62"/>
  <c r="H115" i="62"/>
  <c r="I115" i="62"/>
  <c r="L115" i="62"/>
  <c r="M115" i="62"/>
  <c r="O115" i="62"/>
  <c r="U115" i="62"/>
  <c r="B116" i="62"/>
  <c r="C116" i="62"/>
  <c r="D116" i="62"/>
  <c r="E116" i="62"/>
  <c r="F116" i="62"/>
  <c r="H116" i="62"/>
  <c r="I116" i="62"/>
  <c r="J116" i="62"/>
  <c r="L116" i="62"/>
  <c r="N116" i="62" s="1"/>
  <c r="E99" i="55" s="1"/>
  <c r="M116" i="62"/>
  <c r="O116" i="62"/>
  <c r="U116" i="62"/>
  <c r="B117" i="62"/>
  <c r="C117" i="62"/>
  <c r="E117" i="62"/>
  <c r="F117" i="62"/>
  <c r="H117" i="62"/>
  <c r="I117" i="62"/>
  <c r="L117" i="62"/>
  <c r="M117" i="62"/>
  <c r="N117" i="62"/>
  <c r="O117" i="62"/>
  <c r="B118" i="62"/>
  <c r="C118" i="62"/>
  <c r="J118" i="62" s="1"/>
  <c r="D118" i="62"/>
  <c r="E118" i="62"/>
  <c r="F118" i="62"/>
  <c r="H118" i="62"/>
  <c r="I118" i="62"/>
  <c r="L118" i="62"/>
  <c r="M118" i="62"/>
  <c r="O118" i="62"/>
  <c r="U118" i="62"/>
  <c r="B119" i="62"/>
  <c r="C119" i="62"/>
  <c r="D119" i="62"/>
  <c r="E119" i="62"/>
  <c r="F119" i="62"/>
  <c r="H119" i="62"/>
  <c r="I119" i="62"/>
  <c r="L119" i="62"/>
  <c r="N119" i="62" s="1"/>
  <c r="E102" i="55" s="1"/>
  <c r="M119" i="62"/>
  <c r="O119" i="62"/>
  <c r="U119" i="62"/>
  <c r="B120" i="62"/>
  <c r="C120" i="62"/>
  <c r="D120" i="62"/>
  <c r="E120" i="62"/>
  <c r="F120" i="62"/>
  <c r="H120" i="62"/>
  <c r="I120" i="62"/>
  <c r="M120" i="62"/>
  <c r="N120" i="62"/>
  <c r="E103" i="55" s="1"/>
  <c r="O120" i="62"/>
  <c r="U120" i="62"/>
  <c r="B121" i="62"/>
  <c r="C121" i="62"/>
  <c r="D121" i="62"/>
  <c r="F121" i="62"/>
  <c r="H121" i="62"/>
  <c r="I121" i="62"/>
  <c r="L121" i="62"/>
  <c r="M121" i="62"/>
  <c r="O121" i="62"/>
  <c r="B122" i="62"/>
  <c r="C122" i="62"/>
  <c r="D122" i="62"/>
  <c r="E122" i="62"/>
  <c r="H122" i="62"/>
  <c r="I122" i="62"/>
  <c r="L122" i="62"/>
  <c r="N122" i="62" s="1"/>
  <c r="E105" i="55" s="1"/>
  <c r="M122" i="62"/>
  <c r="O122" i="62"/>
  <c r="U122" i="62"/>
  <c r="B123" i="62"/>
  <c r="C123" i="62"/>
  <c r="F123" i="62"/>
  <c r="H123" i="62"/>
  <c r="I123" i="62"/>
  <c r="L123" i="62"/>
  <c r="M123" i="62"/>
  <c r="O123" i="62"/>
  <c r="B124" i="62"/>
  <c r="C124" i="62"/>
  <c r="C125" i="62" s="1"/>
  <c r="D124" i="62"/>
  <c r="D125" i="62" s="1"/>
  <c r="E124" i="62"/>
  <c r="F124" i="62"/>
  <c r="H124" i="62"/>
  <c r="I124" i="62"/>
  <c r="I125" i="62" s="1"/>
  <c r="I126" i="62" s="1"/>
  <c r="J124" i="62"/>
  <c r="L124" i="62"/>
  <c r="N124" i="62" s="1"/>
  <c r="M124" i="62"/>
  <c r="O124" i="62"/>
  <c r="U124" i="62"/>
  <c r="B125" i="62"/>
  <c r="E125" i="62"/>
  <c r="F125" i="62"/>
  <c r="F126" i="62" s="1"/>
  <c r="O125" i="62"/>
  <c r="O126" i="62" s="1"/>
  <c r="U125" i="62"/>
  <c r="C126" i="62"/>
  <c r="B128" i="62"/>
  <c r="C128" i="62"/>
  <c r="D128" i="62"/>
  <c r="E128" i="62"/>
  <c r="F128" i="62"/>
  <c r="H128" i="62"/>
  <c r="I128" i="62"/>
  <c r="L128" i="62"/>
  <c r="N128" i="62" s="1"/>
  <c r="M128" i="62"/>
  <c r="O128" i="62"/>
  <c r="U128" i="62"/>
  <c r="B129" i="62"/>
  <c r="C129" i="62"/>
  <c r="D129" i="62"/>
  <c r="J129" i="62" s="1"/>
  <c r="E129" i="62"/>
  <c r="F129" i="62"/>
  <c r="H129" i="62"/>
  <c r="I129" i="62"/>
  <c r="M129" i="62"/>
  <c r="O129" i="62"/>
  <c r="B130" i="62"/>
  <c r="U130" i="62" s="1"/>
  <c r="C130" i="62"/>
  <c r="E130" i="62"/>
  <c r="F130" i="62"/>
  <c r="H130" i="62"/>
  <c r="I130" i="62"/>
  <c r="L130" i="62"/>
  <c r="M130" i="62"/>
  <c r="O130" i="62"/>
  <c r="B131" i="62"/>
  <c r="C131" i="62"/>
  <c r="E131" i="62"/>
  <c r="F131" i="62"/>
  <c r="H131" i="62"/>
  <c r="I131" i="62"/>
  <c r="L131" i="62"/>
  <c r="N131" i="62" s="1"/>
  <c r="E114" i="55" s="1"/>
  <c r="M131" i="62"/>
  <c r="O131" i="62"/>
  <c r="R131" i="62"/>
  <c r="U131" i="62"/>
  <c r="B132" i="62"/>
  <c r="C132" i="62"/>
  <c r="E132" i="62"/>
  <c r="F132" i="62"/>
  <c r="H132" i="62"/>
  <c r="I132" i="62"/>
  <c r="L132" i="62"/>
  <c r="R132" i="62" s="1"/>
  <c r="M132" i="62"/>
  <c r="O132" i="62"/>
  <c r="B133" i="62"/>
  <c r="C133" i="62"/>
  <c r="D133" i="62"/>
  <c r="F133" i="62"/>
  <c r="K133" i="62" s="1"/>
  <c r="H133" i="62"/>
  <c r="I133" i="62"/>
  <c r="J133" i="62"/>
  <c r="L133" i="62"/>
  <c r="N133" i="62" s="1"/>
  <c r="E116" i="55" s="1"/>
  <c r="M133" i="62"/>
  <c r="O133" i="62"/>
  <c r="B134" i="62"/>
  <c r="C134" i="62"/>
  <c r="D134" i="62"/>
  <c r="F134" i="62"/>
  <c r="H134" i="62"/>
  <c r="I134" i="62"/>
  <c r="L134" i="62"/>
  <c r="M134" i="62"/>
  <c r="N134" i="62"/>
  <c r="O134" i="62"/>
  <c r="B135" i="62"/>
  <c r="C135" i="62"/>
  <c r="E135" i="62"/>
  <c r="F135" i="62"/>
  <c r="H135" i="62"/>
  <c r="I135" i="62"/>
  <c r="M135" i="62"/>
  <c r="O135" i="62"/>
  <c r="B57" i="55"/>
  <c r="D57" i="55"/>
  <c r="E57" i="55"/>
  <c r="G57" i="55"/>
  <c r="B58" i="55"/>
  <c r="D58" i="55"/>
  <c r="E58" i="55"/>
  <c r="G58" i="55"/>
  <c r="B59" i="55"/>
  <c r="D59" i="55"/>
  <c r="E59" i="55"/>
  <c r="G59" i="55"/>
  <c r="B60" i="55"/>
  <c r="E60" i="55"/>
  <c r="G60" i="55"/>
  <c r="B61" i="55"/>
  <c r="D61" i="55"/>
  <c r="E61" i="55"/>
  <c r="G61" i="55"/>
  <c r="B62" i="55"/>
  <c r="D62" i="55"/>
  <c r="E62" i="55"/>
  <c r="B64" i="55" a="1"/>
  <c r="B64" i="55" s="1"/>
  <c r="D64" i="55"/>
  <c r="E64" i="55" a="1"/>
  <c r="E64" i="55" s="1"/>
  <c r="G64" i="55"/>
  <c r="B65" i="55" a="1"/>
  <c r="B65" i="55" s="1"/>
  <c r="D65" i="55"/>
  <c r="E65" i="55" a="1"/>
  <c r="E65" i="55" s="1"/>
  <c r="G65" i="55"/>
  <c r="B66" i="55" a="1"/>
  <c r="B66" i="55"/>
  <c r="D66" i="55"/>
  <c r="E66" i="55" a="1"/>
  <c r="E66" i="55"/>
  <c r="G66" i="55"/>
  <c r="B67" i="55" a="1"/>
  <c r="B67" i="55" s="1"/>
  <c r="D67" i="55"/>
  <c r="E67" i="55" a="1"/>
  <c r="E67" i="55"/>
  <c r="G67" i="55"/>
  <c r="B68" i="55" a="1"/>
  <c r="B68" i="55" s="1"/>
  <c r="D68" i="55"/>
  <c r="E68" i="55" a="1"/>
  <c r="E68" i="55" s="1"/>
  <c r="G68" i="55"/>
  <c r="B69" i="55" a="1"/>
  <c r="B69" i="55" s="1"/>
  <c r="D69" i="55"/>
  <c r="E69" i="55" a="1"/>
  <c r="E69" i="55" s="1"/>
  <c r="G69" i="55"/>
  <c r="B70" i="55" a="1"/>
  <c r="B70" i="55"/>
  <c r="D70" i="55"/>
  <c r="E70" i="55" a="1"/>
  <c r="E70" i="55"/>
  <c r="G70" i="55"/>
  <c r="B71" i="55" a="1"/>
  <c r="B71" i="55" s="1"/>
  <c r="D71" i="55"/>
  <c r="E71" i="55" a="1"/>
  <c r="E71" i="55"/>
  <c r="G71" i="55"/>
  <c r="B72" i="55" a="1"/>
  <c r="B72" i="55" s="1"/>
  <c r="D72" i="55"/>
  <c r="E72" i="55" a="1"/>
  <c r="E72" i="55" s="1"/>
  <c r="G72" i="55"/>
  <c r="B73" i="55" a="1"/>
  <c r="B73" i="55" s="1"/>
  <c r="D73" i="55"/>
  <c r="E73" i="55" a="1"/>
  <c r="E73" i="55" s="1"/>
  <c r="G73" i="55"/>
  <c r="B74" i="55" a="1"/>
  <c r="B74" i="55"/>
  <c r="D74" i="55"/>
  <c r="E74" i="55" a="1"/>
  <c r="E74" i="55"/>
  <c r="G74" i="55"/>
  <c r="B76" i="55" a="1"/>
  <c r="B76" i="55" s="1"/>
  <c r="D76" i="55"/>
  <c r="E76" i="55" a="1"/>
  <c r="E76" i="55"/>
  <c r="G76" i="55"/>
  <c r="B77" i="55" a="1"/>
  <c r="B77" i="55" s="1"/>
  <c r="D77" i="55"/>
  <c r="E77" i="55" a="1"/>
  <c r="E77" i="55" s="1"/>
  <c r="G77" i="55"/>
  <c r="B78" i="55" a="1"/>
  <c r="B78" i="55" s="1"/>
  <c r="D78" i="55"/>
  <c r="E78" i="55" a="1"/>
  <c r="E78" i="55" s="1"/>
  <c r="G78" i="55"/>
  <c r="B79" i="55" a="1"/>
  <c r="B79" i="55"/>
  <c r="D79" i="55"/>
  <c r="E79" i="55" a="1"/>
  <c r="E79" i="55"/>
  <c r="G79" i="55"/>
  <c r="B80" i="55" a="1"/>
  <c r="B80" i="55" s="1"/>
  <c r="D80" i="55"/>
  <c r="E80" i="55" a="1"/>
  <c r="E80" i="55"/>
  <c r="G80" i="55"/>
  <c r="B81" i="55" a="1"/>
  <c r="B81" i="55" s="1"/>
  <c r="D81" i="55"/>
  <c r="E81" i="55" a="1"/>
  <c r="E81" i="55" s="1"/>
  <c r="G81" i="55"/>
  <c r="B82" i="55" a="1"/>
  <c r="B82" i="55" s="1"/>
  <c r="D82" i="55"/>
  <c r="E82" i="55" a="1"/>
  <c r="E82" i="55" s="1"/>
  <c r="B83" i="55" a="1"/>
  <c r="B83" i="55"/>
  <c r="D83" i="55"/>
  <c r="E83" i="55" a="1"/>
  <c r="E83" i="55"/>
  <c r="G83" i="55"/>
  <c r="C90" i="55"/>
  <c r="V556" i="78" s="1"/>
  <c r="D90" i="55"/>
  <c r="K90" i="55"/>
  <c r="C91" i="55"/>
  <c r="V557" i="78" s="1"/>
  <c r="D91" i="55"/>
  <c r="E91" i="55"/>
  <c r="K91" i="55"/>
  <c r="D92" i="55"/>
  <c r="K92" i="55"/>
  <c r="D93" i="55"/>
  <c r="K93" i="55"/>
  <c r="C94" i="55"/>
  <c r="V560" i="78" s="1"/>
  <c r="D94" i="55"/>
  <c r="B95" i="55"/>
  <c r="L172" i="61" s="1"/>
  <c r="C95" i="55"/>
  <c r="V561" i="78" s="1"/>
  <c r="D95" i="55"/>
  <c r="D97" i="55"/>
  <c r="D108" i="55" s="1"/>
  <c r="D109" i="55" s="1"/>
  <c r="K97" i="55"/>
  <c r="C98" i="55"/>
  <c r="V564" i="78" s="1"/>
  <c r="D98" i="55"/>
  <c r="K98" i="55"/>
  <c r="C99" i="55"/>
  <c r="V565" i="78" s="1"/>
  <c r="D99" i="55"/>
  <c r="K99" i="55"/>
  <c r="C100" i="55"/>
  <c r="V566" i="78" s="1"/>
  <c r="D100" i="55"/>
  <c r="E100" i="55"/>
  <c r="K100" i="55"/>
  <c r="D101" i="55"/>
  <c r="K101" i="55"/>
  <c r="C102" i="55"/>
  <c r="V568" i="78" s="1"/>
  <c r="D102" i="55"/>
  <c r="K102" i="55"/>
  <c r="D103" i="55"/>
  <c r="K103" i="55"/>
  <c r="C104" i="55"/>
  <c r="V570" i="78" s="1"/>
  <c r="D104" i="55"/>
  <c r="C105" i="55"/>
  <c r="V571" i="78" s="1"/>
  <c r="D105" i="55"/>
  <c r="K105" i="55"/>
  <c r="C106" i="55"/>
  <c r="V572" i="78" s="1"/>
  <c r="D106" i="55"/>
  <c r="C107" i="55"/>
  <c r="V573" i="78" s="1"/>
  <c r="D107" i="55"/>
  <c r="K107" i="55"/>
  <c r="K108" i="55"/>
  <c r="AR574" i="78" s="1"/>
  <c r="C111" i="55"/>
  <c r="V577" i="78" s="1"/>
  <c r="D111" i="55"/>
  <c r="E111" i="55"/>
  <c r="K111" i="55"/>
  <c r="B112" i="55"/>
  <c r="D112" i="55"/>
  <c r="C113" i="55"/>
  <c r="V579" i="78" s="1"/>
  <c r="D113" i="55"/>
  <c r="C114" i="55"/>
  <c r="V580" i="78" s="1"/>
  <c r="D114" i="55"/>
  <c r="K114" i="55"/>
  <c r="C115" i="55"/>
  <c r="V581" i="78" s="1"/>
  <c r="D115" i="55"/>
  <c r="C116" i="55"/>
  <c r="V582" i="78" s="1"/>
  <c r="D116" i="55"/>
  <c r="C117" i="55"/>
  <c r="V583" i="78" s="1"/>
  <c r="D117" i="55"/>
  <c r="E117" i="55"/>
  <c r="K117" i="55"/>
  <c r="D118" i="55"/>
  <c r="B36" i="40"/>
  <c r="D36" i="40"/>
  <c r="H36" i="40"/>
  <c r="E70" i="40" s="1"/>
  <c r="I70" i="40" s="1"/>
  <c r="J70" i="40" s="1"/>
  <c r="AJ15" i="13" s="1"/>
  <c r="J36" i="40"/>
  <c r="B37" i="40"/>
  <c r="B39" i="40" s="1"/>
  <c r="D37" i="40"/>
  <c r="D39" i="40" s="1"/>
  <c r="H37" i="40"/>
  <c r="J37" i="40"/>
  <c r="B38" i="40"/>
  <c r="B72" i="40" s="1"/>
  <c r="D38" i="40"/>
  <c r="C72" i="40" s="1"/>
  <c r="H38" i="40"/>
  <c r="J38" i="40"/>
  <c r="H39" i="40"/>
  <c r="J39" i="40"/>
  <c r="B40" i="40"/>
  <c r="D40" i="40"/>
  <c r="H40" i="40"/>
  <c r="J40" i="40"/>
  <c r="B41" i="40"/>
  <c r="D41" i="40"/>
  <c r="H41" i="40"/>
  <c r="J41" i="40"/>
  <c r="B43" i="40"/>
  <c r="D43" i="40"/>
  <c r="H43" i="40"/>
  <c r="J43" i="40"/>
  <c r="F77" i="40" s="1"/>
  <c r="B44" i="40"/>
  <c r="B78" i="40" s="1"/>
  <c r="D44" i="40"/>
  <c r="H44" i="40"/>
  <c r="J44" i="40"/>
  <c r="B45" i="40"/>
  <c r="D45" i="40"/>
  <c r="H45" i="40"/>
  <c r="E79" i="40" s="1"/>
  <c r="I79" i="40" s="1"/>
  <c r="J79" i="40" s="1"/>
  <c r="J45" i="40"/>
  <c r="B46" i="40"/>
  <c r="D46" i="40"/>
  <c r="H46" i="40"/>
  <c r="J46" i="40"/>
  <c r="B47" i="40"/>
  <c r="B81" i="40" s="1"/>
  <c r="D47" i="40"/>
  <c r="C81" i="40" s="1"/>
  <c r="H47" i="40"/>
  <c r="J47" i="40"/>
  <c r="B48" i="40"/>
  <c r="D48" i="40"/>
  <c r="H48" i="40"/>
  <c r="J48" i="40"/>
  <c r="F82" i="40" s="1"/>
  <c r="B49" i="40"/>
  <c r="D49" i="40"/>
  <c r="H49" i="40"/>
  <c r="J49" i="40"/>
  <c r="B50" i="40"/>
  <c r="D50" i="40"/>
  <c r="H50" i="40"/>
  <c r="J50" i="40"/>
  <c r="F84" i="40" s="1"/>
  <c r="B51" i="40"/>
  <c r="D51" i="40"/>
  <c r="H51" i="40"/>
  <c r="J51" i="40"/>
  <c r="F85" i="40" s="1"/>
  <c r="I85" i="40" s="1"/>
  <c r="J85" i="40" s="1"/>
  <c r="AJ30" i="13" s="1"/>
  <c r="B52" i="40"/>
  <c r="B86" i="40" s="1"/>
  <c r="D52" i="40"/>
  <c r="H52" i="40"/>
  <c r="J52" i="40"/>
  <c r="B53" i="40"/>
  <c r="D53" i="40"/>
  <c r="H53" i="40"/>
  <c r="E87" i="40" s="1"/>
  <c r="J53" i="40"/>
  <c r="B57" i="40"/>
  <c r="B91" i="40" s="1"/>
  <c r="D57" i="40"/>
  <c r="H57" i="40"/>
  <c r="J57" i="40"/>
  <c r="B58" i="40"/>
  <c r="B92" i="40" s="1"/>
  <c r="D58" i="40"/>
  <c r="C92" i="40" s="1"/>
  <c r="H58" i="40"/>
  <c r="E92" i="40" s="1"/>
  <c r="I92" i="40" s="1"/>
  <c r="J92" i="40" s="1"/>
  <c r="J58" i="40"/>
  <c r="B59" i="40"/>
  <c r="D59" i="40"/>
  <c r="H59" i="40"/>
  <c r="J59" i="40"/>
  <c r="F93" i="40" s="1"/>
  <c r="B60" i="40"/>
  <c r="D60" i="40"/>
  <c r="C94" i="40" s="1"/>
  <c r="H60" i="40"/>
  <c r="J60" i="40"/>
  <c r="B61" i="40"/>
  <c r="D61" i="40"/>
  <c r="H61" i="40"/>
  <c r="J61" i="40"/>
  <c r="F95" i="40" s="1"/>
  <c r="B62" i="40"/>
  <c r="D62" i="40"/>
  <c r="H62" i="40"/>
  <c r="J62" i="40"/>
  <c r="F96" i="40" s="1"/>
  <c r="I96" i="40" s="1"/>
  <c r="J96" i="40" s="1"/>
  <c r="B63" i="40"/>
  <c r="B97" i="40" s="1"/>
  <c r="D63" i="40"/>
  <c r="H63" i="40"/>
  <c r="E97" i="40" s="1"/>
  <c r="I97" i="40" s="1"/>
  <c r="J97" i="40" s="1"/>
  <c r="J63" i="40"/>
  <c r="B64" i="40"/>
  <c r="D64" i="40"/>
  <c r="H64" i="40"/>
  <c r="E98" i="40" s="1"/>
  <c r="I98" i="40" s="1"/>
  <c r="J98" i="40" s="1"/>
  <c r="J64" i="40"/>
  <c r="B70" i="40"/>
  <c r="C70" i="40"/>
  <c r="F70" i="40"/>
  <c r="B71" i="40"/>
  <c r="B73" i="40" s="1"/>
  <c r="C71" i="40"/>
  <c r="C73" i="40" s="1"/>
  <c r="E71" i="40"/>
  <c r="F71" i="40"/>
  <c r="I71" i="40" s="1"/>
  <c r="J71" i="40" s="1"/>
  <c r="E72" i="40"/>
  <c r="I72" i="40" s="1"/>
  <c r="J72" i="40" s="1"/>
  <c r="F72" i="40"/>
  <c r="E73" i="40"/>
  <c r="B74" i="40"/>
  <c r="C74" i="40"/>
  <c r="E74" i="40"/>
  <c r="I74" i="40" s="1"/>
  <c r="J74" i="40" s="1"/>
  <c r="F74" i="40"/>
  <c r="B75" i="40"/>
  <c r="C75" i="40"/>
  <c r="E75" i="40"/>
  <c r="I75" i="40" s="1"/>
  <c r="J75" i="40" s="1"/>
  <c r="F75" i="40"/>
  <c r="B77" i="40"/>
  <c r="C77" i="40"/>
  <c r="E77" i="40"/>
  <c r="C78" i="40"/>
  <c r="E78" i="40"/>
  <c r="F78" i="40"/>
  <c r="I78" i="40"/>
  <c r="J78" i="40" s="1"/>
  <c r="B79" i="40"/>
  <c r="C79" i="40"/>
  <c r="F79" i="40"/>
  <c r="B80" i="40"/>
  <c r="C80" i="40"/>
  <c r="E80" i="40"/>
  <c r="F80" i="40"/>
  <c r="I80" i="40" s="1"/>
  <c r="J80" i="40" s="1"/>
  <c r="E81" i="40"/>
  <c r="I81" i="40" s="1"/>
  <c r="J81" i="40" s="1"/>
  <c r="AJ26" i="13" s="1"/>
  <c r="F81" i="40"/>
  <c r="B82" i="40"/>
  <c r="C82" i="40"/>
  <c r="E82" i="40"/>
  <c r="B83" i="40"/>
  <c r="C83" i="40"/>
  <c r="E83" i="40"/>
  <c r="I83" i="40" s="1"/>
  <c r="J83" i="40" s="1"/>
  <c r="AJ28" i="13" s="1"/>
  <c r="F83" i="40"/>
  <c r="B84" i="40"/>
  <c r="C84" i="40"/>
  <c r="E84" i="40"/>
  <c r="I84" i="40" s="1"/>
  <c r="J84" i="40" s="1"/>
  <c r="B85" i="40"/>
  <c r="C85" i="40"/>
  <c r="E85" i="40"/>
  <c r="C86" i="40"/>
  <c r="E86" i="40"/>
  <c r="F86" i="40"/>
  <c r="I86" i="40"/>
  <c r="J86" i="40" s="1"/>
  <c r="B87" i="40"/>
  <c r="C87" i="40"/>
  <c r="C88" i="40" s="1"/>
  <c r="C89" i="40" s="1"/>
  <c r="F87" i="40"/>
  <c r="C91" i="40"/>
  <c r="E91" i="40"/>
  <c r="I91" i="40" s="1"/>
  <c r="J91" i="40" s="1"/>
  <c r="F91" i="40"/>
  <c r="F92" i="40"/>
  <c r="B93" i="40"/>
  <c r="C93" i="40"/>
  <c r="E93" i="40"/>
  <c r="I93" i="40" s="1"/>
  <c r="J93" i="40" s="1"/>
  <c r="B94" i="40"/>
  <c r="E94" i="40"/>
  <c r="F94" i="40"/>
  <c r="I94" i="40"/>
  <c r="J94" i="40"/>
  <c r="B95" i="40"/>
  <c r="C95" i="40"/>
  <c r="E95" i="40"/>
  <c r="I95" i="40"/>
  <c r="J95" i="40" s="1"/>
  <c r="B96" i="40"/>
  <c r="C96" i="40"/>
  <c r="E96" i="40"/>
  <c r="C97" i="40"/>
  <c r="F97" i="40"/>
  <c r="B98" i="40"/>
  <c r="C98" i="40"/>
  <c r="F98" i="40"/>
  <c r="B42" i="31"/>
  <c r="D42" i="31"/>
  <c r="F42" i="31"/>
  <c r="F73" i="31" s="1"/>
  <c r="H42" i="31"/>
  <c r="B43" i="31"/>
  <c r="D43" i="31"/>
  <c r="C74" i="31" s="1"/>
  <c r="F43" i="31"/>
  <c r="H43" i="31"/>
  <c r="B44" i="31"/>
  <c r="B45" i="31" s="1"/>
  <c r="D44" i="31"/>
  <c r="F44" i="31"/>
  <c r="F45" i="31" s="1"/>
  <c r="H44" i="31"/>
  <c r="D45" i="31"/>
  <c r="B46" i="31"/>
  <c r="D46" i="31"/>
  <c r="F46" i="31"/>
  <c r="F77" i="31" s="1"/>
  <c r="H46" i="31"/>
  <c r="B47" i="31"/>
  <c r="D47" i="31"/>
  <c r="C78" i="31" s="1"/>
  <c r="F47" i="31"/>
  <c r="H47" i="31"/>
  <c r="B49" i="31"/>
  <c r="D49" i="31"/>
  <c r="F49" i="31"/>
  <c r="H49" i="31"/>
  <c r="B50" i="31"/>
  <c r="D50" i="31"/>
  <c r="C81" i="31" s="1"/>
  <c r="F50" i="31"/>
  <c r="H50" i="31"/>
  <c r="B51" i="31"/>
  <c r="D51" i="31"/>
  <c r="F51" i="31"/>
  <c r="F82" i="31" s="1"/>
  <c r="H51" i="31"/>
  <c r="B52" i="31"/>
  <c r="D52" i="31"/>
  <c r="C83" i="31" s="1"/>
  <c r="F52" i="31"/>
  <c r="H52" i="31"/>
  <c r="B53" i="31"/>
  <c r="D53" i="31"/>
  <c r="F53" i="31"/>
  <c r="F84" i="31" s="1"/>
  <c r="H53" i="31"/>
  <c r="B54" i="31"/>
  <c r="D54" i="31"/>
  <c r="F54" i="31"/>
  <c r="H54" i="31"/>
  <c r="B55" i="31"/>
  <c r="D55" i="31"/>
  <c r="F55" i="31"/>
  <c r="F86" i="31" s="1"/>
  <c r="H55" i="31"/>
  <c r="G86" i="31" s="1"/>
  <c r="B56" i="31"/>
  <c r="D56" i="31"/>
  <c r="C87" i="31" s="1"/>
  <c r="D87" i="31" s="1"/>
  <c r="F56" i="31"/>
  <c r="H56" i="31"/>
  <c r="B57" i="31"/>
  <c r="D57" i="31"/>
  <c r="F57" i="31"/>
  <c r="H57" i="31"/>
  <c r="B58" i="31"/>
  <c r="D58" i="31"/>
  <c r="C89" i="31" s="1"/>
  <c r="F58" i="31"/>
  <c r="H58" i="31"/>
  <c r="B59" i="31"/>
  <c r="D59" i="31"/>
  <c r="F59" i="31"/>
  <c r="F90" i="31" s="1"/>
  <c r="H59" i="31"/>
  <c r="B61" i="31"/>
  <c r="D61" i="31"/>
  <c r="F61" i="31"/>
  <c r="H61" i="31"/>
  <c r="B62" i="31"/>
  <c r="D62" i="31"/>
  <c r="F62" i="31"/>
  <c r="F95" i="31" s="1"/>
  <c r="H62" i="31"/>
  <c r="B63" i="31"/>
  <c r="D63" i="31"/>
  <c r="C96" i="31" s="1"/>
  <c r="D96" i="31" s="1"/>
  <c r="E96" i="31" s="1"/>
  <c r="F63" i="31"/>
  <c r="H63" i="31"/>
  <c r="B64" i="31"/>
  <c r="D64" i="31"/>
  <c r="F64" i="31"/>
  <c r="F97" i="31" s="1"/>
  <c r="H64" i="31"/>
  <c r="B65" i="31"/>
  <c r="D65" i="31"/>
  <c r="C98" i="31" s="1"/>
  <c r="F65" i="31"/>
  <c r="H65" i="31"/>
  <c r="B66" i="31"/>
  <c r="D66" i="31"/>
  <c r="F66" i="31"/>
  <c r="F99" i="31" s="1"/>
  <c r="H66" i="31"/>
  <c r="B67" i="31"/>
  <c r="D67" i="31"/>
  <c r="C100" i="31" s="1"/>
  <c r="F67" i="31"/>
  <c r="H67" i="31"/>
  <c r="B68" i="31"/>
  <c r="D68" i="31"/>
  <c r="F68" i="31"/>
  <c r="F101" i="31" s="1"/>
  <c r="H68" i="31"/>
  <c r="B73" i="31"/>
  <c r="AM556" i="78" s="1"/>
  <c r="C73" i="31"/>
  <c r="D73" i="31" s="1"/>
  <c r="E73" i="31" s="1"/>
  <c r="BD15" i="13" s="1"/>
  <c r="B74" i="31"/>
  <c r="D74" i="31" s="1"/>
  <c r="F74" i="31"/>
  <c r="B75" i="31"/>
  <c r="C75" i="31"/>
  <c r="C76" i="31"/>
  <c r="B77" i="31"/>
  <c r="AM560" i="78" s="1"/>
  <c r="C77" i="31"/>
  <c r="D77" i="31"/>
  <c r="E77" i="31"/>
  <c r="G77" i="31"/>
  <c r="B78" i="31"/>
  <c r="AM561" i="78" s="1"/>
  <c r="F78" i="31"/>
  <c r="H78" i="31" s="1"/>
  <c r="BC20" i="13" s="1"/>
  <c r="F95" i="55" s="1"/>
  <c r="G95" i="55" s="1"/>
  <c r="B80" i="31"/>
  <c r="AM563" i="78" s="1"/>
  <c r="C80" i="31"/>
  <c r="F80" i="31"/>
  <c r="G80" i="31"/>
  <c r="B81" i="31"/>
  <c r="F81" i="31"/>
  <c r="B82" i="31"/>
  <c r="AM565" i="78" s="1"/>
  <c r="C82" i="31"/>
  <c r="D82" i="31" s="1"/>
  <c r="E82" i="31" s="1"/>
  <c r="B83" i="31"/>
  <c r="AM566" i="78" s="1"/>
  <c r="F83" i="31"/>
  <c r="B84" i="31"/>
  <c r="C84" i="31"/>
  <c r="B85" i="31"/>
  <c r="AM568" i="78" s="1"/>
  <c r="C85" i="31"/>
  <c r="D85" i="31"/>
  <c r="E85" i="31" s="1"/>
  <c r="BD27" i="13" s="1"/>
  <c r="F85" i="31"/>
  <c r="B86" i="31"/>
  <c r="AM569" i="78" s="1"/>
  <c r="C86" i="31"/>
  <c r="D86" i="31"/>
  <c r="E86" i="31" s="1"/>
  <c r="B87" i="31"/>
  <c r="AM570" i="78" s="1"/>
  <c r="E87" i="31"/>
  <c r="BD29" i="13" s="1"/>
  <c r="F87" i="31"/>
  <c r="B88" i="31"/>
  <c r="AM571" i="78" s="1"/>
  <c r="C88" i="31"/>
  <c r="F88" i="31"/>
  <c r="B89" i="31"/>
  <c r="F89" i="31"/>
  <c r="G89" i="31"/>
  <c r="H89" i="31" s="1"/>
  <c r="BC31" i="13" s="1"/>
  <c r="B90" i="31"/>
  <c r="AM573" i="78" s="1"/>
  <c r="C90" i="31"/>
  <c r="B94" i="31"/>
  <c r="AM577" i="78" s="1"/>
  <c r="C94" i="31"/>
  <c r="D94" i="31" s="1"/>
  <c r="E94" i="31" s="1"/>
  <c r="F94" i="31"/>
  <c r="B95" i="31"/>
  <c r="AM578" i="78" s="1"/>
  <c r="C95" i="31"/>
  <c r="D95" i="31"/>
  <c r="E95" i="31" s="1"/>
  <c r="B96" i="31"/>
  <c r="AM579" i="78" s="1"/>
  <c r="F96" i="31"/>
  <c r="B97" i="31"/>
  <c r="AM580" i="78" s="1"/>
  <c r="C97" i="31"/>
  <c r="B98" i="31"/>
  <c r="F98" i="31"/>
  <c r="B99" i="31"/>
  <c r="AM582" i="78" s="1"/>
  <c r="C99" i="31"/>
  <c r="D99" i="31" s="1"/>
  <c r="E99" i="31" s="1"/>
  <c r="B100" i="31"/>
  <c r="AM583" i="78" s="1"/>
  <c r="F100" i="31"/>
  <c r="B101" i="31"/>
  <c r="C101" i="31"/>
  <c r="AL15" i="13"/>
  <c r="AL16" i="13"/>
  <c r="G74" i="31" s="1"/>
  <c r="AJ17" i="13"/>
  <c r="AL17" i="13"/>
  <c r="AL18" i="13"/>
  <c r="AJ19" i="13"/>
  <c r="AL19" i="13"/>
  <c r="BD19" i="13"/>
  <c r="AJ20" i="13"/>
  <c r="AL20" i="13"/>
  <c r="G78" i="31" s="1"/>
  <c r="AL22" i="13"/>
  <c r="AJ23" i="13"/>
  <c r="AL23" i="13"/>
  <c r="G81" i="31" s="1"/>
  <c r="H81" i="31" s="1"/>
  <c r="BC23" i="13" s="1"/>
  <c r="AJ24" i="13"/>
  <c r="AL24" i="13"/>
  <c r="BD24" i="13"/>
  <c r="AJ25" i="13"/>
  <c r="AL25" i="13"/>
  <c r="G83" i="31" s="1"/>
  <c r="AL26" i="13"/>
  <c r="BH26" i="13"/>
  <c r="AL27" i="13"/>
  <c r="G85" i="31" s="1"/>
  <c r="AL28" i="13"/>
  <c r="BD28" i="13"/>
  <c r="AJ29" i="13"/>
  <c r="AL29" i="13"/>
  <c r="G87" i="31" s="1"/>
  <c r="AL30" i="13"/>
  <c r="AL34" i="13" s="1"/>
  <c r="AJ31" i="13"/>
  <c r="AL31" i="13"/>
  <c r="AL32" i="13"/>
  <c r="AL33" i="13"/>
  <c r="AJ36" i="13"/>
  <c r="AL36" i="13"/>
  <c r="G94" i="31" s="1"/>
  <c r="BD36" i="13"/>
  <c r="AJ37" i="13"/>
  <c r="AL37" i="13"/>
  <c r="BD37" i="13"/>
  <c r="AJ38" i="13"/>
  <c r="AL38" i="13"/>
  <c r="G96" i="31" s="1"/>
  <c r="H96" i="31" s="1"/>
  <c r="BC38" i="13"/>
  <c r="BD38" i="13"/>
  <c r="AJ39" i="13"/>
  <c r="AL39" i="13"/>
  <c r="AJ40" i="13"/>
  <c r="AL40" i="13"/>
  <c r="G98" i="31" s="1"/>
  <c r="H98" i="31" s="1"/>
  <c r="BC40" i="13" s="1"/>
  <c r="AJ41" i="13"/>
  <c r="AL41" i="13"/>
  <c r="BD41" i="13"/>
  <c r="AJ42" i="13"/>
  <c r="AL42" i="13"/>
  <c r="G100" i="31" s="1"/>
  <c r="H100" i="31" s="1"/>
  <c r="BC42" i="13"/>
  <c r="AJ43" i="13"/>
  <c r="AL43" i="13"/>
  <c r="B74" i="71"/>
  <c r="D74" i="71"/>
  <c r="F74" i="71"/>
  <c r="H74" i="71"/>
  <c r="J74" i="71"/>
  <c r="L74" i="71"/>
  <c r="N74" i="71"/>
  <c r="P74" i="71"/>
  <c r="B75" i="71"/>
  <c r="D75" i="71"/>
  <c r="F75" i="71"/>
  <c r="H75" i="71"/>
  <c r="J75" i="71"/>
  <c r="L75" i="71"/>
  <c r="N75" i="71"/>
  <c r="N77" i="71" s="1"/>
  <c r="H109" i="71" s="1"/>
  <c r="P75" i="71"/>
  <c r="I107" i="71" s="1"/>
  <c r="B76" i="71"/>
  <c r="D76" i="71"/>
  <c r="F76" i="71"/>
  <c r="H76" i="71"/>
  <c r="J76" i="71"/>
  <c r="L76" i="71"/>
  <c r="N76" i="71"/>
  <c r="H108" i="71" s="1"/>
  <c r="P76" i="71"/>
  <c r="I108" i="71" s="1"/>
  <c r="B78" i="71"/>
  <c r="B77" i="71" s="1"/>
  <c r="B109" i="71" s="1"/>
  <c r="D78" i="71"/>
  <c r="D77" i="71" s="1"/>
  <c r="C109" i="71" s="1"/>
  <c r="F78" i="71"/>
  <c r="F77" i="71" s="1"/>
  <c r="D109" i="71" s="1"/>
  <c r="H78" i="71"/>
  <c r="H77" i="71" s="1"/>
  <c r="J78" i="71"/>
  <c r="J77" i="71" s="1"/>
  <c r="L78" i="71"/>
  <c r="L77" i="71" s="1"/>
  <c r="G109" i="71" s="1"/>
  <c r="N78" i="71"/>
  <c r="H110" i="71" s="1"/>
  <c r="P78" i="71"/>
  <c r="I110" i="71" s="1"/>
  <c r="B79" i="71"/>
  <c r="D79" i="71"/>
  <c r="F79" i="71"/>
  <c r="H79" i="71"/>
  <c r="J79" i="71"/>
  <c r="L79" i="71"/>
  <c r="N79" i="71"/>
  <c r="H111" i="71" s="1"/>
  <c r="P79" i="71"/>
  <c r="I111" i="71" s="1"/>
  <c r="B81" i="71"/>
  <c r="D81" i="71"/>
  <c r="F81" i="71"/>
  <c r="H81" i="71"/>
  <c r="J81" i="71"/>
  <c r="L81" i="71"/>
  <c r="N81" i="71"/>
  <c r="H113" i="71" s="1"/>
  <c r="P81" i="71"/>
  <c r="I113" i="71" s="1"/>
  <c r="B82" i="71"/>
  <c r="D82" i="71"/>
  <c r="F82" i="71"/>
  <c r="H82" i="71"/>
  <c r="J82" i="71"/>
  <c r="L82" i="71"/>
  <c r="N82" i="71"/>
  <c r="H114" i="71" s="1"/>
  <c r="P82" i="71"/>
  <c r="B83" i="71"/>
  <c r="D83" i="71"/>
  <c r="F83" i="71"/>
  <c r="H83" i="71"/>
  <c r="J83" i="71"/>
  <c r="L83" i="71"/>
  <c r="N83" i="71"/>
  <c r="P83" i="71"/>
  <c r="I115" i="71" s="1"/>
  <c r="B84" i="71"/>
  <c r="D84" i="71"/>
  <c r="F84" i="71"/>
  <c r="H84" i="71"/>
  <c r="J84" i="71"/>
  <c r="L84" i="71"/>
  <c r="N84" i="71"/>
  <c r="P84" i="71"/>
  <c r="I116" i="71" s="1"/>
  <c r="B85" i="71"/>
  <c r="D85" i="71"/>
  <c r="F85" i="71"/>
  <c r="H85" i="71"/>
  <c r="J85" i="71"/>
  <c r="L85" i="71"/>
  <c r="N85" i="71"/>
  <c r="H117" i="71" s="1"/>
  <c r="P85" i="71"/>
  <c r="I117" i="71" s="1"/>
  <c r="B86" i="71"/>
  <c r="D86" i="71"/>
  <c r="F86" i="71"/>
  <c r="H86" i="71"/>
  <c r="J86" i="71"/>
  <c r="L86" i="71"/>
  <c r="N86" i="71"/>
  <c r="H118" i="71" s="1"/>
  <c r="P86" i="71"/>
  <c r="I118" i="71" s="1"/>
  <c r="B87" i="71"/>
  <c r="D87" i="71"/>
  <c r="F87" i="71"/>
  <c r="H87" i="71"/>
  <c r="J87" i="71"/>
  <c r="L87" i="71"/>
  <c r="N87" i="71"/>
  <c r="H119" i="71" s="1"/>
  <c r="P87" i="71"/>
  <c r="I119" i="71" s="1"/>
  <c r="B88" i="71"/>
  <c r="D88" i="71"/>
  <c r="F88" i="71"/>
  <c r="H88" i="71"/>
  <c r="J88" i="71"/>
  <c r="L88" i="71"/>
  <c r="N88" i="71"/>
  <c r="H120" i="71" s="1"/>
  <c r="P88" i="71"/>
  <c r="I120" i="71" s="1"/>
  <c r="B89" i="71"/>
  <c r="D89" i="71"/>
  <c r="F89" i="71"/>
  <c r="D121" i="71" s="1"/>
  <c r="H89" i="71"/>
  <c r="J89" i="71"/>
  <c r="L89" i="71"/>
  <c r="N89" i="71"/>
  <c r="H121" i="71" s="1"/>
  <c r="P89" i="71"/>
  <c r="I121" i="71" s="1"/>
  <c r="B90" i="71"/>
  <c r="D90" i="71"/>
  <c r="F90" i="71"/>
  <c r="H90" i="71"/>
  <c r="J90" i="71"/>
  <c r="L90" i="71"/>
  <c r="N90" i="71"/>
  <c r="H122" i="71" s="1"/>
  <c r="P90" i="71"/>
  <c r="I122" i="71" s="1"/>
  <c r="B91" i="71"/>
  <c r="D91" i="71"/>
  <c r="F91" i="71"/>
  <c r="H91" i="71"/>
  <c r="J91" i="71"/>
  <c r="L91" i="71"/>
  <c r="N91" i="71"/>
  <c r="H123" i="71" s="1"/>
  <c r="P91" i="71"/>
  <c r="B93" i="71"/>
  <c r="D93" i="71"/>
  <c r="F93" i="71"/>
  <c r="H93" i="71"/>
  <c r="J93" i="71"/>
  <c r="L93" i="71"/>
  <c r="N93" i="71"/>
  <c r="H127" i="71" s="1"/>
  <c r="P93" i="71"/>
  <c r="I127" i="71" s="1"/>
  <c r="B94" i="71"/>
  <c r="D94" i="71"/>
  <c r="F94" i="71"/>
  <c r="H94" i="71"/>
  <c r="J94" i="71"/>
  <c r="L94" i="71"/>
  <c r="N94" i="71"/>
  <c r="H128" i="71" s="1"/>
  <c r="P94" i="71"/>
  <c r="I128" i="71" s="1"/>
  <c r="B95" i="71"/>
  <c r="D95" i="71"/>
  <c r="F95" i="71"/>
  <c r="H95" i="71"/>
  <c r="J95" i="71"/>
  <c r="L95" i="71"/>
  <c r="N95" i="71"/>
  <c r="H129" i="71" s="1"/>
  <c r="P95" i="71"/>
  <c r="I129" i="71" s="1"/>
  <c r="B96" i="71"/>
  <c r="D96" i="71"/>
  <c r="F96" i="71"/>
  <c r="D130" i="71" s="1"/>
  <c r="H96" i="71"/>
  <c r="J96" i="71"/>
  <c r="L96" i="71"/>
  <c r="N96" i="71"/>
  <c r="H130" i="71" s="1"/>
  <c r="P96" i="71"/>
  <c r="I130" i="71" s="1"/>
  <c r="B97" i="71"/>
  <c r="D97" i="71"/>
  <c r="C131" i="71" s="1"/>
  <c r="F97" i="71"/>
  <c r="H97" i="71"/>
  <c r="J97" i="71"/>
  <c r="L97" i="71"/>
  <c r="N97" i="71"/>
  <c r="H131" i="71" s="1"/>
  <c r="J131" i="71" s="1"/>
  <c r="P97" i="71"/>
  <c r="B98" i="71"/>
  <c r="D98" i="71"/>
  <c r="F98" i="71"/>
  <c r="H98" i="71"/>
  <c r="J98" i="71"/>
  <c r="L98" i="71"/>
  <c r="N98" i="71"/>
  <c r="P98" i="71"/>
  <c r="I132" i="71" s="1"/>
  <c r="B99" i="71"/>
  <c r="D99" i="71"/>
  <c r="F99" i="71"/>
  <c r="H99" i="71"/>
  <c r="J99" i="71"/>
  <c r="L99" i="71"/>
  <c r="N99" i="71"/>
  <c r="P99" i="71"/>
  <c r="I133" i="71" s="1"/>
  <c r="B100" i="71"/>
  <c r="D100" i="71"/>
  <c r="F100" i="71"/>
  <c r="D134" i="71" s="1"/>
  <c r="H100" i="71"/>
  <c r="J100" i="71"/>
  <c r="L100" i="71"/>
  <c r="N100" i="71"/>
  <c r="H134" i="71" s="1"/>
  <c r="P100" i="71"/>
  <c r="I134" i="71" s="1"/>
  <c r="B106" i="71"/>
  <c r="C106" i="71"/>
  <c r="D106" i="71"/>
  <c r="E106" i="71"/>
  <c r="F106" i="71"/>
  <c r="G106" i="71"/>
  <c r="H106" i="71"/>
  <c r="I106" i="71"/>
  <c r="B107" i="71"/>
  <c r="C107" i="71"/>
  <c r="D107" i="71"/>
  <c r="E107" i="71"/>
  <c r="F107" i="71"/>
  <c r="G107" i="71"/>
  <c r="H107" i="71"/>
  <c r="B108" i="71"/>
  <c r="C108" i="71"/>
  <c r="D108" i="71"/>
  <c r="E108" i="71"/>
  <c r="F108" i="71"/>
  <c r="G108" i="71"/>
  <c r="E109" i="71"/>
  <c r="F109" i="71"/>
  <c r="B110" i="71"/>
  <c r="C110" i="71"/>
  <c r="J110" i="71" s="1"/>
  <c r="D110" i="71"/>
  <c r="E110" i="71"/>
  <c r="F110" i="71"/>
  <c r="G110" i="71"/>
  <c r="B111" i="71"/>
  <c r="C111" i="71"/>
  <c r="D111" i="71"/>
  <c r="E111" i="71"/>
  <c r="F111" i="71"/>
  <c r="G111" i="71"/>
  <c r="B113" i="71"/>
  <c r="J113" i="71" s="1"/>
  <c r="C113" i="71"/>
  <c r="C124" i="71" s="1"/>
  <c r="D113" i="71"/>
  <c r="E113" i="71"/>
  <c r="F113" i="71"/>
  <c r="F124" i="71" s="1"/>
  <c r="F125" i="71" s="1"/>
  <c r="G113" i="71"/>
  <c r="B114" i="71"/>
  <c r="C114" i="71"/>
  <c r="D114" i="71"/>
  <c r="E114" i="71"/>
  <c r="F114" i="71"/>
  <c r="G114" i="71"/>
  <c r="I114" i="71"/>
  <c r="B115" i="71"/>
  <c r="C115" i="71"/>
  <c r="D115" i="71"/>
  <c r="E115" i="71"/>
  <c r="F115" i="71"/>
  <c r="G115" i="71"/>
  <c r="H115" i="71"/>
  <c r="B116" i="71"/>
  <c r="C116" i="71"/>
  <c r="D116" i="71"/>
  <c r="E116" i="71"/>
  <c r="F116" i="71"/>
  <c r="G116" i="71"/>
  <c r="H116" i="71"/>
  <c r="B117" i="71"/>
  <c r="C117" i="71"/>
  <c r="D117" i="71"/>
  <c r="E117" i="71"/>
  <c r="F117" i="71"/>
  <c r="G117" i="71"/>
  <c r="B118" i="71"/>
  <c r="C118" i="71"/>
  <c r="D118" i="71"/>
  <c r="E118" i="71"/>
  <c r="F118" i="71"/>
  <c r="G118" i="71"/>
  <c r="B119" i="71"/>
  <c r="C119" i="71"/>
  <c r="D119" i="71"/>
  <c r="E119" i="71"/>
  <c r="F119" i="71"/>
  <c r="G119" i="71"/>
  <c r="B120" i="71"/>
  <c r="C120" i="71"/>
  <c r="D120" i="71"/>
  <c r="E120" i="71"/>
  <c r="F120" i="71"/>
  <c r="G120" i="71"/>
  <c r="B121" i="71"/>
  <c r="C121" i="71"/>
  <c r="E121" i="71"/>
  <c r="F121" i="71"/>
  <c r="G121" i="71"/>
  <c r="J121" i="71"/>
  <c r="B122" i="71"/>
  <c r="C122" i="71"/>
  <c r="D122" i="71"/>
  <c r="E122" i="71"/>
  <c r="F122" i="71"/>
  <c r="G122" i="71"/>
  <c r="B123" i="71"/>
  <c r="C123" i="71"/>
  <c r="D123" i="71"/>
  <c r="D124" i="71" s="1"/>
  <c r="E123" i="71"/>
  <c r="E124" i="71" s="1"/>
  <c r="F123" i="71"/>
  <c r="G123" i="71"/>
  <c r="I123" i="71"/>
  <c r="G124" i="71"/>
  <c r="G125" i="71" s="1"/>
  <c r="B127" i="71"/>
  <c r="C127" i="71"/>
  <c r="D127" i="71"/>
  <c r="E127" i="71"/>
  <c r="F127" i="71"/>
  <c r="G127" i="71"/>
  <c r="B128" i="71"/>
  <c r="C128" i="71"/>
  <c r="D128" i="71"/>
  <c r="E128" i="71"/>
  <c r="F128" i="71"/>
  <c r="G128" i="71"/>
  <c r="B129" i="71"/>
  <c r="C129" i="71"/>
  <c r="D129" i="71"/>
  <c r="E129" i="71"/>
  <c r="F129" i="71"/>
  <c r="G129" i="71"/>
  <c r="B130" i="71"/>
  <c r="C130" i="71"/>
  <c r="J130" i="71" s="1"/>
  <c r="E130" i="71"/>
  <c r="F130" i="71"/>
  <c r="G130" i="71"/>
  <c r="B131" i="71"/>
  <c r="D131" i="71"/>
  <c r="E131" i="71"/>
  <c r="F131" i="71"/>
  <c r="G131" i="71"/>
  <c r="I131" i="71"/>
  <c r="B132" i="71"/>
  <c r="C132" i="71"/>
  <c r="D132" i="71"/>
  <c r="E132" i="71"/>
  <c r="F132" i="71"/>
  <c r="G132" i="71"/>
  <c r="H132" i="71"/>
  <c r="B133" i="71"/>
  <c r="C133" i="71"/>
  <c r="D133" i="71"/>
  <c r="E133" i="71"/>
  <c r="F133" i="71"/>
  <c r="G133" i="71"/>
  <c r="H133" i="71"/>
  <c r="B134" i="71"/>
  <c r="C134" i="71"/>
  <c r="E134" i="71"/>
  <c r="F134" i="71"/>
  <c r="G134" i="71"/>
  <c r="B38" i="69"/>
  <c r="D38" i="69"/>
  <c r="N38" i="69" s="1"/>
  <c r="L70" i="69" s="1"/>
  <c r="F38" i="69"/>
  <c r="X38" i="69" s="1"/>
  <c r="V70" i="69" s="1"/>
  <c r="J38" i="69"/>
  <c r="H70" i="69" s="1"/>
  <c r="L38" i="69"/>
  <c r="J70" i="69" s="1"/>
  <c r="T38" i="69"/>
  <c r="V38" i="69"/>
  <c r="B39" i="69"/>
  <c r="T71" i="69" s="1"/>
  <c r="D39" i="69"/>
  <c r="F39" i="69" s="1"/>
  <c r="R39" i="69"/>
  <c r="P71" i="69" s="1"/>
  <c r="T39" i="69"/>
  <c r="V39" i="69"/>
  <c r="B40" i="69"/>
  <c r="D40" i="69"/>
  <c r="N40" i="69" s="1"/>
  <c r="L72" i="69" s="1"/>
  <c r="F40" i="69"/>
  <c r="X40" i="69" s="1"/>
  <c r="V72" i="69" s="1"/>
  <c r="J40" i="69"/>
  <c r="H72" i="69" s="1"/>
  <c r="L40" i="69"/>
  <c r="T40" i="69"/>
  <c r="V40" i="69"/>
  <c r="V41" i="69" s="1"/>
  <c r="B41" i="69"/>
  <c r="D41" i="69"/>
  <c r="F41" i="69" s="1"/>
  <c r="R41" i="69"/>
  <c r="T41" i="69"/>
  <c r="R73" i="69" s="1"/>
  <c r="B42" i="69"/>
  <c r="D42" i="69"/>
  <c r="N42" i="69" s="1"/>
  <c r="F42" i="69"/>
  <c r="X42" i="69" s="1"/>
  <c r="V74" i="69" s="1"/>
  <c r="J42" i="69"/>
  <c r="H74" i="69" s="1"/>
  <c r="L42" i="69"/>
  <c r="T42" i="69"/>
  <c r="R74" i="69" s="1"/>
  <c r="V42" i="69"/>
  <c r="X74" i="69" s="1"/>
  <c r="B43" i="69"/>
  <c r="T75" i="69" s="1"/>
  <c r="D43" i="69"/>
  <c r="F43" i="69" s="1"/>
  <c r="R43" i="69"/>
  <c r="T43" i="69"/>
  <c r="V43" i="69"/>
  <c r="X75" i="69" s="1"/>
  <c r="B45" i="69"/>
  <c r="D45" i="69"/>
  <c r="N45" i="69" s="1"/>
  <c r="L77" i="69" s="1"/>
  <c r="F45" i="69"/>
  <c r="D77" i="69" s="1"/>
  <c r="J45" i="69"/>
  <c r="L45" i="69"/>
  <c r="T45" i="69"/>
  <c r="V45" i="69"/>
  <c r="B46" i="69"/>
  <c r="T78" i="69" s="1"/>
  <c r="D46" i="69"/>
  <c r="F46" i="69" s="1"/>
  <c r="D78" i="69" s="1"/>
  <c r="R46" i="69"/>
  <c r="P78" i="69" s="1"/>
  <c r="T46" i="69"/>
  <c r="V46" i="69"/>
  <c r="B47" i="69"/>
  <c r="D47" i="69"/>
  <c r="N47" i="69" s="1"/>
  <c r="L79" i="69" s="1"/>
  <c r="F47" i="69"/>
  <c r="J47" i="69"/>
  <c r="H79" i="69" s="1"/>
  <c r="L47" i="69"/>
  <c r="J79" i="69" s="1"/>
  <c r="T47" i="69"/>
  <c r="V47" i="69"/>
  <c r="B48" i="69"/>
  <c r="D48" i="69"/>
  <c r="F48" i="69" s="1"/>
  <c r="D80" i="69" s="1"/>
  <c r="R48" i="69"/>
  <c r="P80" i="69" s="1"/>
  <c r="T48" i="69"/>
  <c r="V48" i="69"/>
  <c r="B49" i="69"/>
  <c r="D49" i="69"/>
  <c r="N49" i="69" s="1"/>
  <c r="L81" i="69" s="1"/>
  <c r="F49" i="69"/>
  <c r="J49" i="69"/>
  <c r="H81" i="69" s="1"/>
  <c r="L49" i="69"/>
  <c r="T49" i="69"/>
  <c r="V49" i="69"/>
  <c r="B50" i="69"/>
  <c r="D50" i="69"/>
  <c r="F50" i="69" s="1"/>
  <c r="R50" i="69"/>
  <c r="P82" i="69" s="1"/>
  <c r="T50" i="69"/>
  <c r="R82" i="69" s="1"/>
  <c r="V50" i="69"/>
  <c r="B51" i="69"/>
  <c r="D51" i="69"/>
  <c r="N51" i="69" s="1"/>
  <c r="F51" i="69"/>
  <c r="J51" i="69"/>
  <c r="H83" i="69" s="1"/>
  <c r="L51" i="69"/>
  <c r="T51" i="69"/>
  <c r="R83" i="69" s="1"/>
  <c r="V51" i="69"/>
  <c r="X83" i="69" s="1"/>
  <c r="B52" i="69"/>
  <c r="T84" i="69" s="1"/>
  <c r="D52" i="69"/>
  <c r="F52" i="69" s="1"/>
  <c r="D84" i="69" s="1"/>
  <c r="R52" i="69"/>
  <c r="T52" i="69"/>
  <c r="V52" i="69"/>
  <c r="X84" i="69" s="1"/>
  <c r="B53" i="69"/>
  <c r="D53" i="69"/>
  <c r="N53" i="69" s="1"/>
  <c r="L85" i="69" s="1"/>
  <c r="F53" i="69"/>
  <c r="D85" i="69" s="1"/>
  <c r="J53" i="69"/>
  <c r="L53" i="69"/>
  <c r="T53" i="69"/>
  <c r="V53" i="69"/>
  <c r="B54" i="69"/>
  <c r="T86" i="69" s="1"/>
  <c r="D54" i="69"/>
  <c r="F54" i="69" s="1"/>
  <c r="D86" i="69" s="1"/>
  <c r="R54" i="69"/>
  <c r="T54" i="69"/>
  <c r="V54" i="69"/>
  <c r="B55" i="69"/>
  <c r="D55" i="69"/>
  <c r="N55" i="69" s="1"/>
  <c r="F55" i="69"/>
  <c r="J55" i="69"/>
  <c r="H87" i="69" s="1"/>
  <c r="L55" i="69"/>
  <c r="J87" i="69" s="1"/>
  <c r="T55" i="69"/>
  <c r="V55" i="69"/>
  <c r="B57" i="69"/>
  <c r="D57" i="69"/>
  <c r="F57" i="69" s="1"/>
  <c r="R57" i="69"/>
  <c r="T57" i="69"/>
  <c r="R91" i="69" s="1"/>
  <c r="V57" i="69"/>
  <c r="B58" i="69"/>
  <c r="D58" i="69"/>
  <c r="N58" i="69" s="1"/>
  <c r="F58" i="69"/>
  <c r="X58" i="69" s="1"/>
  <c r="J58" i="69"/>
  <c r="H92" i="69" s="1"/>
  <c r="L58" i="69"/>
  <c r="T58" i="69"/>
  <c r="R92" i="69" s="1"/>
  <c r="V58" i="69"/>
  <c r="X92" i="69" s="1"/>
  <c r="B59" i="69"/>
  <c r="D59" i="69"/>
  <c r="F59" i="69" s="1"/>
  <c r="X59" i="69" s="1"/>
  <c r="V93" i="69" s="1"/>
  <c r="R59" i="69"/>
  <c r="T59" i="69"/>
  <c r="V59" i="69"/>
  <c r="X93" i="69" s="1"/>
  <c r="B60" i="69"/>
  <c r="D60" i="69"/>
  <c r="N60" i="69" s="1"/>
  <c r="L94" i="69" s="1"/>
  <c r="F60" i="69"/>
  <c r="X60" i="69" s="1"/>
  <c r="J60" i="69"/>
  <c r="L60" i="69"/>
  <c r="T60" i="69"/>
  <c r="V60" i="69"/>
  <c r="B61" i="69"/>
  <c r="T95" i="69" s="1"/>
  <c r="D61" i="69"/>
  <c r="F61" i="69" s="1"/>
  <c r="R61" i="69"/>
  <c r="T61" i="69"/>
  <c r="V61" i="69"/>
  <c r="B62" i="69"/>
  <c r="D62" i="69"/>
  <c r="P62" i="69" s="1"/>
  <c r="F62" i="69"/>
  <c r="X62" i="69" s="1"/>
  <c r="J62" i="69"/>
  <c r="H96" i="69" s="1"/>
  <c r="L62" i="69"/>
  <c r="J96" i="69" s="1"/>
  <c r="N62" i="69"/>
  <c r="T62" i="69"/>
  <c r="V62" i="69"/>
  <c r="B63" i="69"/>
  <c r="D63" i="69"/>
  <c r="F63" i="69" s="1"/>
  <c r="X63" i="69" s="1"/>
  <c r="V97" i="69" s="1"/>
  <c r="R63" i="69"/>
  <c r="P97" i="69" s="1"/>
  <c r="T63" i="69"/>
  <c r="V63" i="69"/>
  <c r="B64" i="69"/>
  <c r="D64" i="69"/>
  <c r="P64" i="69" s="1"/>
  <c r="F64" i="69"/>
  <c r="X64" i="69" s="1"/>
  <c r="V98" i="69" s="1"/>
  <c r="J64" i="69"/>
  <c r="L64" i="69"/>
  <c r="N64" i="69"/>
  <c r="L98" i="69" s="1"/>
  <c r="T64" i="69"/>
  <c r="V64" i="69"/>
  <c r="B70" i="69"/>
  <c r="D70" i="69"/>
  <c r="R70" i="69"/>
  <c r="T70" i="69"/>
  <c r="X70" i="69"/>
  <c r="B71" i="69"/>
  <c r="R71" i="69"/>
  <c r="X71" i="69"/>
  <c r="X73" i="69" s="1"/>
  <c r="B72" i="69"/>
  <c r="D72" i="69"/>
  <c r="J72" i="69"/>
  <c r="R72" i="69"/>
  <c r="T72" i="69"/>
  <c r="X72" i="69"/>
  <c r="D73" i="69"/>
  <c r="P73" i="69"/>
  <c r="T73" i="69"/>
  <c r="D74" i="69"/>
  <c r="J74" i="69"/>
  <c r="L74" i="69"/>
  <c r="T74" i="69"/>
  <c r="B75" i="69"/>
  <c r="P75" i="69"/>
  <c r="R75" i="69"/>
  <c r="B77" i="69"/>
  <c r="B88" i="69" s="1"/>
  <c r="H77" i="69"/>
  <c r="J77" i="69"/>
  <c r="R77" i="69"/>
  <c r="T77" i="69"/>
  <c r="X77" i="69"/>
  <c r="B78" i="69"/>
  <c r="R78" i="69"/>
  <c r="X78" i="69"/>
  <c r="X88" i="69" s="1"/>
  <c r="X89" i="69" s="1"/>
  <c r="B79" i="69"/>
  <c r="D79" i="69"/>
  <c r="R79" i="69"/>
  <c r="T79" i="69"/>
  <c r="X79" i="69"/>
  <c r="B80" i="69"/>
  <c r="R80" i="69"/>
  <c r="T80" i="69"/>
  <c r="X80" i="69"/>
  <c r="B81" i="69"/>
  <c r="D81" i="69"/>
  <c r="J81" i="69"/>
  <c r="R81" i="69"/>
  <c r="T81" i="69"/>
  <c r="X81" i="69"/>
  <c r="D82" i="69"/>
  <c r="T82" i="69"/>
  <c r="X82" i="69"/>
  <c r="D83" i="69"/>
  <c r="J83" i="69"/>
  <c r="L83" i="69"/>
  <c r="T83" i="69"/>
  <c r="B84" i="69"/>
  <c r="P84" i="69"/>
  <c r="R84" i="69"/>
  <c r="B85" i="69"/>
  <c r="H85" i="69"/>
  <c r="J85" i="69"/>
  <c r="R85" i="69"/>
  <c r="T85" i="69"/>
  <c r="X85" i="69"/>
  <c r="B86" i="69"/>
  <c r="P86" i="69"/>
  <c r="R86" i="69"/>
  <c r="X86" i="69"/>
  <c r="B87" i="69"/>
  <c r="D87" i="69"/>
  <c r="L87" i="69"/>
  <c r="R87" i="69"/>
  <c r="R88" i="69" s="1"/>
  <c r="R89" i="69" s="1"/>
  <c r="T87" i="69"/>
  <c r="X87" i="69"/>
  <c r="D88" i="69"/>
  <c r="T88" i="69"/>
  <c r="T89" i="69" s="1"/>
  <c r="P91" i="69"/>
  <c r="T91" i="69"/>
  <c r="X91" i="69"/>
  <c r="D92" i="69"/>
  <c r="J92" i="69"/>
  <c r="L92" i="69"/>
  <c r="T92" i="69"/>
  <c r="V92" i="69"/>
  <c r="B93" i="69"/>
  <c r="D93" i="69"/>
  <c r="P93" i="69"/>
  <c r="R93" i="69"/>
  <c r="T93" i="69"/>
  <c r="B94" i="69"/>
  <c r="H94" i="69"/>
  <c r="J94" i="69"/>
  <c r="R94" i="69"/>
  <c r="T94" i="69"/>
  <c r="V94" i="69"/>
  <c r="X94" i="69"/>
  <c r="B95" i="69"/>
  <c r="P95" i="69"/>
  <c r="R95" i="69"/>
  <c r="X95" i="69"/>
  <c r="B96" i="69"/>
  <c r="D96" i="69"/>
  <c r="L96" i="69"/>
  <c r="N96" i="69"/>
  <c r="R96" i="69"/>
  <c r="T96" i="69"/>
  <c r="V96" i="69"/>
  <c r="X96" i="69"/>
  <c r="B97" i="69"/>
  <c r="D97" i="69"/>
  <c r="R97" i="69"/>
  <c r="T97" i="69"/>
  <c r="X97" i="69"/>
  <c r="B98" i="69"/>
  <c r="D98" i="69"/>
  <c r="H98" i="69"/>
  <c r="J98" i="69"/>
  <c r="N98" i="69"/>
  <c r="R98" i="69"/>
  <c r="T98" i="69"/>
  <c r="X98" i="69"/>
  <c r="C11" i="76"/>
  <c r="C15" i="76"/>
  <c r="C18" i="76"/>
  <c r="C29" i="76"/>
  <c r="C30" i="76"/>
  <c r="C46" i="76"/>
  <c r="C49" i="76"/>
  <c r="C60" i="76"/>
  <c r="C61" i="76"/>
  <c r="C77" i="76"/>
  <c r="C80" i="76"/>
  <c r="C91" i="76"/>
  <c r="C92" i="76"/>
  <c r="C108" i="76"/>
  <c r="C111" i="76"/>
  <c r="C122" i="76"/>
  <c r="C123" i="76"/>
  <c r="B8" i="77"/>
  <c r="D8" i="77"/>
  <c r="B9" i="77"/>
  <c r="D9" i="77"/>
  <c r="B10" i="77"/>
  <c r="D10" i="77"/>
  <c r="B11" i="77"/>
  <c r="D11" i="77"/>
  <c r="B12" i="77"/>
  <c r="D12" i="77"/>
  <c r="B13" i="77"/>
  <c r="D13" i="77"/>
  <c r="B14" i="77"/>
  <c r="D14" i="77"/>
  <c r="B15" i="77"/>
  <c r="D15" i="77"/>
  <c r="B16" i="77"/>
  <c r="D16" i="77"/>
  <c r="B17" i="77"/>
  <c r="D17" i="77"/>
  <c r="B18" i="77"/>
  <c r="D18" i="77"/>
  <c r="B19" i="77"/>
  <c r="D19" i="77"/>
  <c r="B20" i="77"/>
  <c r="D20" i="77"/>
  <c r="B21" i="77"/>
  <c r="D21" i="77"/>
  <c r="B22" i="77"/>
  <c r="D22" i="77"/>
  <c r="B23" i="77"/>
  <c r="D23" i="77"/>
  <c r="B24" i="77"/>
  <c r="D24" i="77"/>
  <c r="B25" i="77"/>
  <c r="D25" i="77"/>
  <c r="B26" i="77"/>
  <c r="D26" i="77"/>
  <c r="B27" i="77"/>
  <c r="D27" i="77"/>
  <c r="B28" i="77"/>
  <c r="D28" i="77"/>
  <c r="B29" i="77"/>
  <c r="D29" i="77"/>
  <c r="B30" i="77"/>
  <c r="D30" i="77"/>
  <c r="B31" i="77"/>
  <c r="D31" i="77"/>
  <c r="B32" i="77"/>
  <c r="D32" i="77"/>
  <c r="B33" i="77"/>
  <c r="D33" i="77"/>
  <c r="B38" i="77"/>
  <c r="B39" i="77"/>
  <c r="B40" i="77"/>
  <c r="B41" i="77"/>
  <c r="B42" i="77"/>
  <c r="B43" i="77"/>
  <c r="B44" i="77"/>
  <c r="B45" i="77"/>
  <c r="B46" i="77"/>
  <c r="B47" i="77"/>
  <c r="B48" i="77"/>
  <c r="B49" i="77"/>
  <c r="B50" i="77"/>
  <c r="B51" i="77"/>
  <c r="B52" i="77"/>
  <c r="B53" i="77"/>
  <c r="B54" i="77"/>
  <c r="B55" i="77"/>
  <c r="B56" i="77"/>
  <c r="B57" i="77"/>
  <c r="B58" i="77"/>
  <c r="B59" i="77"/>
  <c r="B60" i="77"/>
  <c r="B61" i="77"/>
  <c r="B62" i="77"/>
  <c r="B63" i="77"/>
  <c r="B68" i="77"/>
  <c r="B69" i="77"/>
  <c r="B70" i="77"/>
  <c r="B71" i="77"/>
  <c r="B72" i="77"/>
  <c r="B73" i="77"/>
  <c r="B74" i="77"/>
  <c r="B75" i="77"/>
  <c r="B76" i="77"/>
  <c r="B77" i="77"/>
  <c r="B78" i="77"/>
  <c r="B79" i="77"/>
  <c r="B80" i="77"/>
  <c r="B81" i="77"/>
  <c r="B82" i="77"/>
  <c r="B83" i="77"/>
  <c r="B84" i="77"/>
  <c r="B85" i="77"/>
  <c r="B86" i="77"/>
  <c r="B87" i="77"/>
  <c r="B88" i="77"/>
  <c r="B89" i="77"/>
  <c r="B90" i="77"/>
  <c r="B91" i="77"/>
  <c r="B92" i="77"/>
  <c r="B93" i="77"/>
  <c r="B98" i="77"/>
  <c r="B99" i="77"/>
  <c r="B100" i="77"/>
  <c r="B101" i="77"/>
  <c r="B102" i="77"/>
  <c r="B103" i="77"/>
  <c r="B104" i="77"/>
  <c r="B105" i="77"/>
  <c r="B106" i="77"/>
  <c r="B107" i="77"/>
  <c r="B108" i="77"/>
  <c r="B109" i="77"/>
  <c r="B110" i="77"/>
  <c r="B111" i="77"/>
  <c r="B112" i="77"/>
  <c r="B113" i="77"/>
  <c r="B114" i="77"/>
  <c r="B115" i="77"/>
  <c r="B116" i="77"/>
  <c r="B117" i="77"/>
  <c r="B118" i="77"/>
  <c r="B119" i="77"/>
  <c r="B120" i="77"/>
  <c r="B121" i="77"/>
  <c r="B122" i="77"/>
  <c r="B123" i="77"/>
  <c r="B74" i="72"/>
  <c r="B106" i="72" s="1"/>
  <c r="J106" i="72" s="1"/>
  <c r="F97" i="75" s="1"/>
  <c r="D74" i="72"/>
  <c r="F74" i="72"/>
  <c r="H74" i="72"/>
  <c r="J74" i="72"/>
  <c r="L74" i="72"/>
  <c r="N74" i="72"/>
  <c r="P74" i="72"/>
  <c r="I106" i="72" s="1"/>
  <c r="B75" i="72"/>
  <c r="B107" i="72" s="1"/>
  <c r="D75" i="72"/>
  <c r="F75" i="72"/>
  <c r="H75" i="72"/>
  <c r="J75" i="72"/>
  <c r="L75" i="72"/>
  <c r="N75" i="72"/>
  <c r="N77" i="72" s="1"/>
  <c r="P75" i="72"/>
  <c r="B76" i="72"/>
  <c r="B108" i="72" s="1"/>
  <c r="D76" i="72"/>
  <c r="F76" i="72"/>
  <c r="H76" i="72"/>
  <c r="J76" i="72"/>
  <c r="L76" i="72"/>
  <c r="N76" i="72"/>
  <c r="P76" i="72"/>
  <c r="I108" i="72" s="1"/>
  <c r="B77" i="72"/>
  <c r="B78" i="72"/>
  <c r="D78" i="72"/>
  <c r="D77" i="72" s="1"/>
  <c r="F78" i="72"/>
  <c r="F77" i="72" s="1"/>
  <c r="H78" i="72"/>
  <c r="H77" i="72" s="1"/>
  <c r="J78" i="72"/>
  <c r="J77" i="72" s="1"/>
  <c r="L78" i="72"/>
  <c r="L77" i="72" s="1"/>
  <c r="N78" i="72"/>
  <c r="H110" i="72" s="1"/>
  <c r="P78" i="72"/>
  <c r="I110" i="72" s="1"/>
  <c r="B79" i="72"/>
  <c r="D79" i="72"/>
  <c r="F79" i="72"/>
  <c r="H79" i="72"/>
  <c r="J79" i="72"/>
  <c r="L79" i="72"/>
  <c r="N79" i="72"/>
  <c r="H111" i="72" s="1"/>
  <c r="P79" i="72"/>
  <c r="B81" i="72"/>
  <c r="D81" i="72"/>
  <c r="F81" i="72"/>
  <c r="H81" i="72"/>
  <c r="J81" i="72"/>
  <c r="L81" i="72"/>
  <c r="N81" i="72"/>
  <c r="P81" i="72"/>
  <c r="B82" i="72"/>
  <c r="D82" i="72"/>
  <c r="F82" i="72"/>
  <c r="H82" i="72"/>
  <c r="J82" i="72"/>
  <c r="L82" i="72"/>
  <c r="N82" i="72"/>
  <c r="P82" i="72"/>
  <c r="B83" i="72"/>
  <c r="D83" i="72"/>
  <c r="F83" i="72"/>
  <c r="H83" i="72"/>
  <c r="J83" i="72"/>
  <c r="L83" i="72"/>
  <c r="N83" i="72"/>
  <c r="P83" i="72"/>
  <c r="B84" i="72"/>
  <c r="B116" i="72" s="1"/>
  <c r="D84" i="72"/>
  <c r="F84" i="72"/>
  <c r="H84" i="72"/>
  <c r="J84" i="72"/>
  <c r="L84" i="72"/>
  <c r="N84" i="72"/>
  <c r="P84" i="72"/>
  <c r="B85" i="72"/>
  <c r="B117" i="72" s="1"/>
  <c r="D85" i="72"/>
  <c r="F85" i="72"/>
  <c r="H85" i="72"/>
  <c r="J85" i="72"/>
  <c r="L85" i="72"/>
  <c r="N85" i="72"/>
  <c r="P85" i="72"/>
  <c r="B86" i="72"/>
  <c r="B118" i="72" s="1"/>
  <c r="D86" i="72"/>
  <c r="F86" i="72"/>
  <c r="H86" i="72"/>
  <c r="J86" i="72"/>
  <c r="L86" i="72"/>
  <c r="N86" i="72"/>
  <c r="P86" i="72"/>
  <c r="I118" i="72" s="1"/>
  <c r="B87" i="72"/>
  <c r="D87" i="72"/>
  <c r="F87" i="72"/>
  <c r="H87" i="72"/>
  <c r="J87" i="72"/>
  <c r="L87" i="72"/>
  <c r="N87" i="72"/>
  <c r="H119" i="72" s="1"/>
  <c r="P87" i="72"/>
  <c r="I119" i="72" s="1"/>
  <c r="B88" i="72"/>
  <c r="D88" i="72"/>
  <c r="F88" i="72"/>
  <c r="H88" i="72"/>
  <c r="J88" i="72"/>
  <c r="L88" i="72"/>
  <c r="N88" i="72"/>
  <c r="H120" i="72" s="1"/>
  <c r="P88" i="72"/>
  <c r="B89" i="72"/>
  <c r="D89" i="72"/>
  <c r="F89" i="72"/>
  <c r="H89" i="72"/>
  <c r="J89" i="72"/>
  <c r="L89" i="72"/>
  <c r="N89" i="72"/>
  <c r="P89" i="72"/>
  <c r="B90" i="72"/>
  <c r="D90" i="72"/>
  <c r="F90" i="72"/>
  <c r="H90" i="72"/>
  <c r="J90" i="72"/>
  <c r="L90" i="72"/>
  <c r="N90" i="72"/>
  <c r="P90" i="72"/>
  <c r="B91" i="72"/>
  <c r="D91" i="72"/>
  <c r="F91" i="72"/>
  <c r="H91" i="72"/>
  <c r="J91" i="72"/>
  <c r="L91" i="72"/>
  <c r="N91" i="72"/>
  <c r="P91" i="72"/>
  <c r="B93" i="72"/>
  <c r="B127" i="72" s="1"/>
  <c r="D93" i="72"/>
  <c r="F93" i="72"/>
  <c r="H93" i="72"/>
  <c r="J93" i="72"/>
  <c r="L93" i="72"/>
  <c r="N93" i="72"/>
  <c r="H127" i="72" s="1"/>
  <c r="P93" i="72"/>
  <c r="I127" i="72" s="1"/>
  <c r="B94" i="72"/>
  <c r="D94" i="72"/>
  <c r="F94" i="72"/>
  <c r="H94" i="72"/>
  <c r="J94" i="72"/>
  <c r="L94" i="72"/>
  <c r="N94" i="72"/>
  <c r="H128" i="72" s="1"/>
  <c r="P94" i="72"/>
  <c r="B95" i="72"/>
  <c r="B129" i="72" s="1"/>
  <c r="D95" i="72"/>
  <c r="F95" i="72"/>
  <c r="H95" i="72"/>
  <c r="J95" i="72"/>
  <c r="L95" i="72"/>
  <c r="N95" i="72"/>
  <c r="P95" i="72"/>
  <c r="B96" i="72"/>
  <c r="B130" i="72" s="1"/>
  <c r="D96" i="72"/>
  <c r="F96" i="72"/>
  <c r="H96" i="72"/>
  <c r="J96" i="72"/>
  <c r="L96" i="72"/>
  <c r="N96" i="72"/>
  <c r="P96" i="72"/>
  <c r="B97" i="72"/>
  <c r="D97" i="72"/>
  <c r="F97" i="72"/>
  <c r="H97" i="72"/>
  <c r="J97" i="72"/>
  <c r="L97" i="72"/>
  <c r="N97" i="72"/>
  <c r="P97" i="72"/>
  <c r="B98" i="72"/>
  <c r="B132" i="72" s="1"/>
  <c r="D98" i="72"/>
  <c r="F98" i="72"/>
  <c r="H98" i="72"/>
  <c r="J98" i="72"/>
  <c r="L98" i="72"/>
  <c r="N98" i="72"/>
  <c r="P98" i="72"/>
  <c r="B99" i="72"/>
  <c r="B133" i="72" s="1"/>
  <c r="D99" i="72"/>
  <c r="F99" i="72"/>
  <c r="H99" i="72"/>
  <c r="J99" i="72"/>
  <c r="L99" i="72"/>
  <c r="G133" i="72" s="1"/>
  <c r="N99" i="72"/>
  <c r="P99" i="72"/>
  <c r="I133" i="72" s="1"/>
  <c r="B100" i="72"/>
  <c r="B134" i="72" s="1"/>
  <c r="D100" i="72"/>
  <c r="F100" i="72"/>
  <c r="H100" i="72"/>
  <c r="J100" i="72"/>
  <c r="L100" i="72"/>
  <c r="G134" i="72" s="1"/>
  <c r="N100" i="72"/>
  <c r="H134" i="72" s="1"/>
  <c r="P100" i="72"/>
  <c r="I134" i="72" s="1"/>
  <c r="C106" i="72"/>
  <c r="D106" i="72"/>
  <c r="E106" i="72"/>
  <c r="F106" i="72"/>
  <c r="G106" i="72"/>
  <c r="H106" i="72"/>
  <c r="C107" i="72"/>
  <c r="D107" i="72"/>
  <c r="E107" i="72"/>
  <c r="F107" i="72"/>
  <c r="G107" i="72"/>
  <c r="H107" i="72"/>
  <c r="H109" i="72" s="1"/>
  <c r="C108" i="72"/>
  <c r="D108" i="72"/>
  <c r="E108" i="72"/>
  <c r="F108" i="72"/>
  <c r="G108" i="72"/>
  <c r="H108" i="72"/>
  <c r="D109" i="72"/>
  <c r="G109" i="72"/>
  <c r="B110" i="72"/>
  <c r="C110" i="72"/>
  <c r="C109" i="72" s="1"/>
  <c r="D110" i="72"/>
  <c r="E110" i="72"/>
  <c r="F110" i="72"/>
  <c r="G110" i="72"/>
  <c r="J110" i="72"/>
  <c r="F101" i="75" s="1"/>
  <c r="B111" i="72"/>
  <c r="C111" i="72"/>
  <c r="D111" i="72"/>
  <c r="E111" i="72"/>
  <c r="F111" i="72"/>
  <c r="G111" i="72"/>
  <c r="I111" i="72"/>
  <c r="J111" i="72"/>
  <c r="F102" i="75" s="1"/>
  <c r="B113" i="72"/>
  <c r="C113" i="72"/>
  <c r="J113" i="72" s="1"/>
  <c r="D113" i="72"/>
  <c r="D124" i="72" s="1"/>
  <c r="E113" i="72"/>
  <c r="F113" i="72"/>
  <c r="G113" i="72"/>
  <c r="H113" i="72"/>
  <c r="I113" i="72"/>
  <c r="B114" i="72"/>
  <c r="C114" i="72"/>
  <c r="J114" i="72" s="1"/>
  <c r="F105" i="75" s="1"/>
  <c r="D114" i="72"/>
  <c r="E114" i="72"/>
  <c r="F114" i="72"/>
  <c r="G114" i="72"/>
  <c r="H114" i="72"/>
  <c r="I114" i="72"/>
  <c r="B115" i="72"/>
  <c r="C115" i="72"/>
  <c r="D115" i="72"/>
  <c r="E115" i="72"/>
  <c r="F115" i="72"/>
  <c r="G115" i="72"/>
  <c r="H115" i="72"/>
  <c r="I115" i="72"/>
  <c r="C116" i="72"/>
  <c r="D116" i="72"/>
  <c r="E116" i="72"/>
  <c r="F116" i="72"/>
  <c r="G116" i="72"/>
  <c r="H116" i="72"/>
  <c r="I116" i="72"/>
  <c r="C117" i="72"/>
  <c r="D117" i="72"/>
  <c r="E117" i="72"/>
  <c r="F117" i="72"/>
  <c r="G117" i="72"/>
  <c r="H117" i="72"/>
  <c r="I117" i="72"/>
  <c r="C118" i="72"/>
  <c r="D118" i="72"/>
  <c r="E118" i="72"/>
  <c r="F118" i="72"/>
  <c r="G118" i="72"/>
  <c r="H118" i="72"/>
  <c r="B119" i="72"/>
  <c r="C119" i="72"/>
  <c r="D119" i="72"/>
  <c r="E119" i="72"/>
  <c r="F119" i="72"/>
  <c r="G119" i="72"/>
  <c r="J119" i="72" s="1"/>
  <c r="F110" i="75" s="1"/>
  <c r="B120" i="72"/>
  <c r="C120" i="72"/>
  <c r="D120" i="72"/>
  <c r="E120" i="72"/>
  <c r="F120" i="72"/>
  <c r="G120" i="72"/>
  <c r="I120" i="72"/>
  <c r="J120" i="72" s="1"/>
  <c r="F111" i="75" s="1"/>
  <c r="B121" i="72"/>
  <c r="C121" i="72"/>
  <c r="D121" i="72"/>
  <c r="E121" i="72"/>
  <c r="F121" i="72"/>
  <c r="G121" i="72"/>
  <c r="H121" i="72"/>
  <c r="I121" i="72"/>
  <c r="B122" i="72"/>
  <c r="C122" i="72"/>
  <c r="D122" i="72"/>
  <c r="E122" i="72"/>
  <c r="F122" i="72"/>
  <c r="G122" i="72"/>
  <c r="H122" i="72"/>
  <c r="I122" i="72"/>
  <c r="B123" i="72"/>
  <c r="B124" i="72" s="1"/>
  <c r="C123" i="72"/>
  <c r="D123" i="72"/>
  <c r="E123" i="72"/>
  <c r="F123" i="72"/>
  <c r="G123" i="72"/>
  <c r="G124" i="72" s="1"/>
  <c r="G125" i="72" s="1"/>
  <c r="H123" i="72"/>
  <c r="I123" i="72"/>
  <c r="I124" i="72" s="1"/>
  <c r="I125" i="72" s="1"/>
  <c r="E124" i="72"/>
  <c r="E125" i="72" s="1"/>
  <c r="H124" i="72"/>
  <c r="H125" i="72" s="1"/>
  <c r="D125" i="72"/>
  <c r="C127" i="72"/>
  <c r="D127" i="72"/>
  <c r="E127" i="72"/>
  <c r="F127" i="72"/>
  <c r="G127" i="72"/>
  <c r="B128" i="72"/>
  <c r="J128" i="72" s="1"/>
  <c r="F119" i="75" s="1"/>
  <c r="C128" i="72"/>
  <c r="D128" i="72"/>
  <c r="E128" i="72"/>
  <c r="F128" i="72"/>
  <c r="G128" i="72"/>
  <c r="I128" i="72"/>
  <c r="C129" i="72"/>
  <c r="D129" i="72"/>
  <c r="E129" i="72"/>
  <c r="F129" i="72"/>
  <c r="G129" i="72"/>
  <c r="H129" i="72"/>
  <c r="I129" i="72"/>
  <c r="C130" i="72"/>
  <c r="D130" i="72"/>
  <c r="E130" i="72"/>
  <c r="F130" i="72"/>
  <c r="G130" i="72"/>
  <c r="H130" i="72"/>
  <c r="I130" i="72"/>
  <c r="B131" i="72"/>
  <c r="C131" i="72"/>
  <c r="D131" i="72"/>
  <c r="E131" i="72"/>
  <c r="F131" i="72"/>
  <c r="G131" i="72"/>
  <c r="H131" i="72"/>
  <c r="I131" i="72"/>
  <c r="C132" i="72"/>
  <c r="D132" i="72"/>
  <c r="E132" i="72"/>
  <c r="F132" i="72"/>
  <c r="G132" i="72"/>
  <c r="H132" i="72"/>
  <c r="I132" i="72"/>
  <c r="C133" i="72"/>
  <c r="D133" i="72"/>
  <c r="E133" i="72"/>
  <c r="F133" i="72"/>
  <c r="H133" i="72"/>
  <c r="C134" i="72"/>
  <c r="D134" i="72"/>
  <c r="E134" i="72"/>
  <c r="F134" i="72"/>
  <c r="F104" i="75"/>
  <c r="B35" i="70"/>
  <c r="D35" i="70"/>
  <c r="L35" i="70"/>
  <c r="N35" i="70"/>
  <c r="L67" i="70" s="1"/>
  <c r="R35" i="70"/>
  <c r="P67" i="70" s="1"/>
  <c r="T35" i="70"/>
  <c r="R67" i="70" s="1"/>
  <c r="V35" i="70"/>
  <c r="B36" i="70"/>
  <c r="D36" i="70"/>
  <c r="F36" i="70"/>
  <c r="X36" i="70" s="1"/>
  <c r="J36" i="70"/>
  <c r="H68" i="70" s="1"/>
  <c r="L36" i="70"/>
  <c r="J68" i="70" s="1"/>
  <c r="T36" i="70"/>
  <c r="V36" i="70"/>
  <c r="B37" i="70"/>
  <c r="D37" i="70"/>
  <c r="L37" i="70" s="1"/>
  <c r="J69" i="70" s="1"/>
  <c r="V37" i="70"/>
  <c r="B38" i="70"/>
  <c r="B39" i="70"/>
  <c r="D39" i="70"/>
  <c r="V39" i="70"/>
  <c r="B40" i="70"/>
  <c r="D40" i="70"/>
  <c r="J40" i="70" s="1"/>
  <c r="H72" i="70" s="1"/>
  <c r="F40" i="70"/>
  <c r="L40" i="70"/>
  <c r="J72" i="70" s="1"/>
  <c r="V40" i="70"/>
  <c r="B42" i="70"/>
  <c r="T74" i="70" s="1"/>
  <c r="D42" i="70"/>
  <c r="L42" i="70" s="1"/>
  <c r="J74" i="70" s="1"/>
  <c r="N42" i="70"/>
  <c r="L74" i="70" s="1"/>
  <c r="T42" i="70"/>
  <c r="V42" i="70"/>
  <c r="B43" i="70"/>
  <c r="D43" i="70"/>
  <c r="J43" i="70" s="1"/>
  <c r="F43" i="70"/>
  <c r="L43" i="70"/>
  <c r="J75" i="70" s="1"/>
  <c r="V43" i="70"/>
  <c r="B44" i="70"/>
  <c r="D44" i="70"/>
  <c r="L44" i="70"/>
  <c r="N44" i="70"/>
  <c r="L76" i="70" s="1"/>
  <c r="R44" i="70"/>
  <c r="P76" i="70" s="1"/>
  <c r="T44" i="70"/>
  <c r="R76" i="70" s="1"/>
  <c r="V44" i="70"/>
  <c r="B45" i="70"/>
  <c r="D45" i="70"/>
  <c r="F45" i="70"/>
  <c r="J45" i="70"/>
  <c r="L45" i="70"/>
  <c r="J77" i="70" s="1"/>
  <c r="T45" i="70"/>
  <c r="V45" i="70"/>
  <c r="X77" i="70" s="1"/>
  <c r="B46" i="70"/>
  <c r="D46" i="70"/>
  <c r="L46" i="70" s="1"/>
  <c r="J78" i="70" s="1"/>
  <c r="V46" i="70"/>
  <c r="B47" i="70"/>
  <c r="D47" i="70"/>
  <c r="F47" i="70" s="1"/>
  <c r="D79" i="70" s="1"/>
  <c r="V47" i="70"/>
  <c r="X79" i="70" s="1"/>
  <c r="B48" i="70"/>
  <c r="T80" i="70" s="1"/>
  <c r="D48" i="70"/>
  <c r="T48" i="70" s="1"/>
  <c r="R80" i="70" s="1"/>
  <c r="F48" i="70"/>
  <c r="L48" i="70"/>
  <c r="N48" i="70"/>
  <c r="L80" i="70" s="1"/>
  <c r="P48" i="70"/>
  <c r="N80" i="70" s="1"/>
  <c r="R48" i="70"/>
  <c r="P80" i="70" s="1"/>
  <c r="V48" i="70"/>
  <c r="X80" i="70" s="1"/>
  <c r="B49" i="70"/>
  <c r="D49" i="70"/>
  <c r="N49" i="70" s="1"/>
  <c r="L81" i="70" s="1"/>
  <c r="F49" i="70"/>
  <c r="D81" i="70" s="1"/>
  <c r="H49" i="70"/>
  <c r="J49" i="70"/>
  <c r="L49" i="70"/>
  <c r="J81" i="70" s="1"/>
  <c r="T49" i="70"/>
  <c r="R81" i="70" s="1"/>
  <c r="V49" i="70"/>
  <c r="X49" i="70"/>
  <c r="B50" i="70"/>
  <c r="T82" i="70" s="1"/>
  <c r="D50" i="70"/>
  <c r="F50" i="70" s="1"/>
  <c r="D82" i="70" s="1"/>
  <c r="L50" i="70"/>
  <c r="J82" i="70" s="1"/>
  <c r="P50" i="70"/>
  <c r="N82" i="70" s="1"/>
  <c r="V50" i="70"/>
  <c r="X82" i="70" s="1"/>
  <c r="B51" i="70"/>
  <c r="D51" i="70"/>
  <c r="H51" i="70" s="1"/>
  <c r="F83" i="70" s="1"/>
  <c r="F51" i="70"/>
  <c r="D83" i="70" s="1"/>
  <c r="J51" i="70"/>
  <c r="T51" i="70"/>
  <c r="V51" i="70"/>
  <c r="X51" i="70"/>
  <c r="B52" i="70"/>
  <c r="T84" i="70" s="1"/>
  <c r="T85" i="70" s="1"/>
  <c r="T86" i="70" s="1"/>
  <c r="D52" i="70"/>
  <c r="F52" i="70"/>
  <c r="D84" i="70" s="1"/>
  <c r="L52" i="70"/>
  <c r="N52" i="70"/>
  <c r="P52" i="70"/>
  <c r="R52" i="70"/>
  <c r="P84" i="70" s="1"/>
  <c r="T52" i="70"/>
  <c r="V52" i="70"/>
  <c r="X84" i="70" s="1"/>
  <c r="B54" i="70"/>
  <c r="D54" i="70"/>
  <c r="F54" i="70" s="1"/>
  <c r="T54" i="70"/>
  <c r="R88" i="70" s="1"/>
  <c r="V54" i="70"/>
  <c r="B55" i="70"/>
  <c r="D55" i="70"/>
  <c r="R55" i="70" s="1"/>
  <c r="P89" i="70" s="1"/>
  <c r="F55" i="70"/>
  <c r="X55" i="70" s="1"/>
  <c r="L55" i="70"/>
  <c r="N55" i="70"/>
  <c r="P55" i="70"/>
  <c r="N89" i="70" s="1"/>
  <c r="T55" i="70"/>
  <c r="R89" i="70" s="1"/>
  <c r="V55" i="70"/>
  <c r="B56" i="70"/>
  <c r="D56" i="70"/>
  <c r="H56" i="70" s="1"/>
  <c r="F90" i="70" s="1"/>
  <c r="F56" i="70"/>
  <c r="D90" i="70" s="1"/>
  <c r="J56" i="70"/>
  <c r="H90" i="70" s="1"/>
  <c r="N56" i="70"/>
  <c r="V56" i="70"/>
  <c r="B57" i="70"/>
  <c r="T91" i="70" s="1"/>
  <c r="D57" i="70"/>
  <c r="L57" i="70" s="1"/>
  <c r="J91" i="70" s="1"/>
  <c r="F57" i="70"/>
  <c r="N57" i="70"/>
  <c r="L91" i="70" s="1"/>
  <c r="T57" i="70"/>
  <c r="V57" i="70"/>
  <c r="X91" i="70" s="1"/>
  <c r="B58" i="70"/>
  <c r="D58" i="70"/>
  <c r="V58" i="70"/>
  <c r="B59" i="70"/>
  <c r="D59" i="70"/>
  <c r="F59" i="70" s="1"/>
  <c r="T59" i="70"/>
  <c r="R93" i="70" s="1"/>
  <c r="V59" i="70"/>
  <c r="B60" i="70"/>
  <c r="D60" i="70"/>
  <c r="T60" i="70" s="1"/>
  <c r="R94" i="70" s="1"/>
  <c r="F60" i="70"/>
  <c r="X60" i="70" s="1"/>
  <c r="V94" i="70" s="1"/>
  <c r="H60" i="70"/>
  <c r="F94" i="70" s="1"/>
  <c r="J60" i="70"/>
  <c r="L60" i="70"/>
  <c r="N60" i="70"/>
  <c r="L94" i="70" s="1"/>
  <c r="V60" i="70"/>
  <c r="B61" i="70"/>
  <c r="D61" i="70"/>
  <c r="L61" i="70" s="1"/>
  <c r="J95" i="70" s="1"/>
  <c r="F61" i="70"/>
  <c r="X61" i="70" s="1"/>
  <c r="N61" i="70"/>
  <c r="L95" i="70" s="1"/>
  <c r="R61" i="70"/>
  <c r="P95" i="70" s="1"/>
  <c r="V61" i="70"/>
  <c r="J67" i="70"/>
  <c r="T67" i="70"/>
  <c r="X67" i="70"/>
  <c r="B68" i="70"/>
  <c r="D68" i="70"/>
  <c r="R68" i="70"/>
  <c r="T68" i="70"/>
  <c r="B69" i="70"/>
  <c r="T69" i="70"/>
  <c r="X69" i="70"/>
  <c r="T70" i="70"/>
  <c r="T71" i="70"/>
  <c r="X71" i="70"/>
  <c r="T72" i="70"/>
  <c r="X72" i="70"/>
  <c r="B74" i="70"/>
  <c r="R74" i="70"/>
  <c r="X74" i="70"/>
  <c r="B75" i="70"/>
  <c r="D75" i="70"/>
  <c r="H75" i="70"/>
  <c r="T75" i="70"/>
  <c r="X75" i="70"/>
  <c r="B76" i="70"/>
  <c r="J76" i="70"/>
  <c r="T76" i="70"/>
  <c r="X76" i="70"/>
  <c r="B77" i="70"/>
  <c r="D77" i="70"/>
  <c r="H77" i="70"/>
  <c r="R77" i="70"/>
  <c r="T77" i="70"/>
  <c r="T78" i="70"/>
  <c r="X78" i="70"/>
  <c r="T79" i="70"/>
  <c r="B80" i="70"/>
  <c r="D80" i="70"/>
  <c r="J80" i="70"/>
  <c r="B81" i="70"/>
  <c r="F81" i="70"/>
  <c r="H81" i="70"/>
  <c r="T81" i="70"/>
  <c r="V81" i="70"/>
  <c r="X81" i="70"/>
  <c r="B82" i="70"/>
  <c r="B83" i="70"/>
  <c r="H83" i="70"/>
  <c r="R83" i="70"/>
  <c r="T83" i="70"/>
  <c r="V83" i="70"/>
  <c r="X83" i="70"/>
  <c r="B84" i="70"/>
  <c r="B85" i="70" s="1"/>
  <c r="J84" i="70"/>
  <c r="J85" i="70" s="1"/>
  <c r="L84" i="70"/>
  <c r="N84" i="70"/>
  <c r="R84" i="70"/>
  <c r="T88" i="70"/>
  <c r="X88" i="70"/>
  <c r="B89" i="70"/>
  <c r="D89" i="70"/>
  <c r="J89" i="70"/>
  <c r="L89" i="70"/>
  <c r="T89" i="70"/>
  <c r="V89" i="70"/>
  <c r="X89" i="70"/>
  <c r="L90" i="70"/>
  <c r="T90" i="70"/>
  <c r="X90" i="70"/>
  <c r="B91" i="70"/>
  <c r="R91" i="70"/>
  <c r="T92" i="70"/>
  <c r="X92" i="70"/>
  <c r="B93" i="70"/>
  <c r="T93" i="70"/>
  <c r="X93" i="70"/>
  <c r="B94" i="70"/>
  <c r="D94" i="70"/>
  <c r="H94" i="70"/>
  <c r="J94" i="70"/>
  <c r="T94" i="70"/>
  <c r="X94" i="70"/>
  <c r="D95" i="70"/>
  <c r="T95" i="70"/>
  <c r="V95" i="70"/>
  <c r="X95" i="70"/>
  <c r="B36" i="58"/>
  <c r="D36" i="58"/>
  <c r="C67" i="58" s="1"/>
  <c r="B37" i="58"/>
  <c r="B68" i="58" s="1"/>
  <c r="D68" i="58" s="1"/>
  <c r="D37" i="58"/>
  <c r="D39" i="58" s="1"/>
  <c r="B38" i="58"/>
  <c r="D38" i="58"/>
  <c r="B40" i="58"/>
  <c r="D40" i="58"/>
  <c r="C71" i="58" s="1"/>
  <c r="B41" i="58"/>
  <c r="B72" i="58" s="1"/>
  <c r="D72" i="58" s="1"/>
  <c r="D41" i="58"/>
  <c r="B43" i="58"/>
  <c r="B74" i="58" s="1"/>
  <c r="D74" i="58" s="1"/>
  <c r="D43" i="58"/>
  <c r="B44" i="58"/>
  <c r="D44" i="58"/>
  <c r="B45" i="58"/>
  <c r="D45" i="58"/>
  <c r="C76" i="58" s="1"/>
  <c r="B46" i="58"/>
  <c r="B77" i="58" s="1"/>
  <c r="D77" i="58" s="1"/>
  <c r="D46" i="58"/>
  <c r="B47" i="58"/>
  <c r="B78" i="58" s="1"/>
  <c r="D78" i="58" s="1"/>
  <c r="D47" i="58"/>
  <c r="B48" i="58"/>
  <c r="D48" i="58"/>
  <c r="B49" i="58"/>
  <c r="D49" i="58"/>
  <c r="C80" i="58" s="1"/>
  <c r="B50" i="58"/>
  <c r="B81" i="58" s="1"/>
  <c r="D81" i="58" s="1"/>
  <c r="D50" i="58"/>
  <c r="B51" i="58"/>
  <c r="B82" i="58" s="1"/>
  <c r="D82" i="58" s="1"/>
  <c r="D51" i="58"/>
  <c r="B52" i="58"/>
  <c r="D52" i="58"/>
  <c r="B53" i="58"/>
  <c r="D53" i="58"/>
  <c r="C84" i="58" s="1"/>
  <c r="C85" i="58" s="1"/>
  <c r="C86" i="58" s="1"/>
  <c r="B55" i="58"/>
  <c r="D55" i="58"/>
  <c r="C88" i="58" s="1"/>
  <c r="B56" i="58"/>
  <c r="B89" i="58" s="1"/>
  <c r="D89" i="58" s="1"/>
  <c r="D56" i="58"/>
  <c r="B57" i="58"/>
  <c r="B90" i="58" s="1"/>
  <c r="D90" i="58" s="1"/>
  <c r="D57" i="58"/>
  <c r="B58" i="58"/>
  <c r="D58" i="58"/>
  <c r="C91" i="58" s="1"/>
  <c r="B59" i="58"/>
  <c r="D59" i="58"/>
  <c r="C92" i="58" s="1"/>
  <c r="B60" i="58"/>
  <c r="B93" i="58" s="1"/>
  <c r="D93" i="58" s="1"/>
  <c r="D60" i="58"/>
  <c r="B61" i="58"/>
  <c r="B94" i="58" s="1"/>
  <c r="D94" i="58" s="1"/>
  <c r="D61" i="58"/>
  <c r="B62" i="58"/>
  <c r="D62" i="58"/>
  <c r="C95" i="58" s="1"/>
  <c r="B67" i="58"/>
  <c r="D67" i="58"/>
  <c r="C68" i="58"/>
  <c r="C70" i="58" s="1"/>
  <c r="F68" i="58"/>
  <c r="C69" i="58"/>
  <c r="B71" i="58"/>
  <c r="D71" i="58"/>
  <c r="C72" i="58"/>
  <c r="F72" i="58"/>
  <c r="C74" i="58"/>
  <c r="B75" i="58"/>
  <c r="D75" i="58" s="1"/>
  <c r="C75" i="58"/>
  <c r="B76" i="58"/>
  <c r="D76" i="58"/>
  <c r="C77" i="58"/>
  <c r="F77" i="58"/>
  <c r="C78" i="58"/>
  <c r="B79" i="58"/>
  <c r="D79" i="58" s="1"/>
  <c r="C79" i="58"/>
  <c r="B80" i="58"/>
  <c r="D80" i="58"/>
  <c r="C81" i="58"/>
  <c r="C82" i="58"/>
  <c r="B83" i="58"/>
  <c r="D83" i="58" s="1"/>
  <c r="C83" i="58"/>
  <c r="B84" i="58"/>
  <c r="B85" i="58" s="1"/>
  <c r="D84" i="58"/>
  <c r="B88" i="58"/>
  <c r="D88" i="58" s="1"/>
  <c r="C89" i="58"/>
  <c r="C90" i="58"/>
  <c r="B91" i="58"/>
  <c r="D91" i="58" s="1"/>
  <c r="B92" i="58"/>
  <c r="D92" i="58" s="1"/>
  <c r="C93" i="58"/>
  <c r="C94" i="58"/>
  <c r="B95" i="58"/>
  <c r="D95" i="58" s="1"/>
  <c r="B27" i="20"/>
  <c r="C27" i="20"/>
  <c r="D27" i="20"/>
  <c r="N105" i="20" s="1"/>
  <c r="H138" i="20" s="1"/>
  <c r="E27" i="20"/>
  <c r="B28" i="20"/>
  <c r="C28" i="20"/>
  <c r="D28" i="20"/>
  <c r="E28" i="20"/>
  <c r="B29" i="20"/>
  <c r="C29" i="20"/>
  <c r="D29" i="20"/>
  <c r="N107" i="20" s="1"/>
  <c r="E29" i="20"/>
  <c r="B30" i="20"/>
  <c r="C30" i="20"/>
  <c r="D30" i="20"/>
  <c r="E30" i="20"/>
  <c r="B31" i="20"/>
  <c r="C31" i="20"/>
  <c r="D31" i="20"/>
  <c r="N109" i="20" s="1"/>
  <c r="E31" i="20"/>
  <c r="B32" i="20"/>
  <c r="C32" i="20"/>
  <c r="D32" i="20"/>
  <c r="E32" i="20"/>
  <c r="B34" i="20"/>
  <c r="C34" i="20"/>
  <c r="D34" i="20"/>
  <c r="E34" i="20"/>
  <c r="B35" i="20"/>
  <c r="C35" i="20"/>
  <c r="D35" i="20"/>
  <c r="E35" i="20"/>
  <c r="B36" i="20"/>
  <c r="C36" i="20"/>
  <c r="D36" i="20"/>
  <c r="E36" i="20"/>
  <c r="B37" i="20"/>
  <c r="C37" i="20"/>
  <c r="D37" i="20"/>
  <c r="E37" i="20"/>
  <c r="B38" i="20"/>
  <c r="C38" i="20"/>
  <c r="D38" i="20"/>
  <c r="E38" i="20"/>
  <c r="B39" i="20"/>
  <c r="C39" i="20"/>
  <c r="D39" i="20"/>
  <c r="E39" i="20"/>
  <c r="B40" i="20"/>
  <c r="C40" i="20"/>
  <c r="D40" i="20"/>
  <c r="E40" i="20"/>
  <c r="B41" i="20"/>
  <c r="C41" i="20"/>
  <c r="D41" i="20"/>
  <c r="E41" i="20"/>
  <c r="B42" i="20"/>
  <c r="C42" i="20"/>
  <c r="D42" i="20"/>
  <c r="E42" i="20"/>
  <c r="B43" i="20"/>
  <c r="C43" i="20"/>
  <c r="D43" i="20"/>
  <c r="E43" i="20"/>
  <c r="B44" i="20"/>
  <c r="C44" i="20"/>
  <c r="D44" i="20"/>
  <c r="E44" i="20"/>
  <c r="B46" i="20"/>
  <c r="C46" i="20"/>
  <c r="D46" i="20"/>
  <c r="E46" i="20"/>
  <c r="B47" i="20"/>
  <c r="C47" i="20"/>
  <c r="D47" i="20"/>
  <c r="E47" i="20"/>
  <c r="B48" i="20"/>
  <c r="C48" i="20"/>
  <c r="D48" i="20"/>
  <c r="E48" i="20"/>
  <c r="B49" i="20"/>
  <c r="C49" i="20"/>
  <c r="D49" i="20"/>
  <c r="E49" i="20"/>
  <c r="B50" i="20"/>
  <c r="C50" i="20"/>
  <c r="D50" i="20"/>
  <c r="E50" i="20"/>
  <c r="B51" i="20"/>
  <c r="C51" i="20"/>
  <c r="D51" i="20"/>
  <c r="E51" i="20"/>
  <c r="B52" i="20"/>
  <c r="C52" i="20"/>
  <c r="D52" i="20"/>
  <c r="E52" i="20"/>
  <c r="B53" i="20"/>
  <c r="C53" i="20"/>
  <c r="D53" i="20"/>
  <c r="E53" i="20"/>
  <c r="J105" i="20"/>
  <c r="AB105" i="20"/>
  <c r="AD105" i="20"/>
  <c r="J106" i="20"/>
  <c r="N106" i="20"/>
  <c r="AB106" i="20"/>
  <c r="AD106" i="20"/>
  <c r="J107" i="20"/>
  <c r="J108" i="20" s="1"/>
  <c r="F141" i="20" s="1"/>
  <c r="AB107" i="20"/>
  <c r="AD107" i="20"/>
  <c r="AD108" i="20"/>
  <c r="P141" i="20" s="1"/>
  <c r="AG141" i="20" s="1"/>
  <c r="AH141" i="20" s="1"/>
  <c r="J109" i="20"/>
  <c r="AB109" i="20"/>
  <c r="AD109" i="20"/>
  <c r="J110" i="20"/>
  <c r="N110" i="20"/>
  <c r="AB110" i="20"/>
  <c r="AD110" i="20"/>
  <c r="J112" i="20"/>
  <c r="AB112" i="20"/>
  <c r="AD112" i="20"/>
  <c r="J113" i="20"/>
  <c r="N113" i="20"/>
  <c r="AB113" i="20"/>
  <c r="AD113" i="20"/>
  <c r="J114" i="20"/>
  <c r="AB114" i="20"/>
  <c r="AD114" i="20"/>
  <c r="J115" i="20"/>
  <c r="N115" i="20"/>
  <c r="AB115" i="20"/>
  <c r="AD115" i="20"/>
  <c r="J116" i="20"/>
  <c r="AB116" i="20"/>
  <c r="AD116" i="20"/>
  <c r="J117" i="20"/>
  <c r="N117" i="20"/>
  <c r="H150" i="20" s="1"/>
  <c r="AB117" i="20"/>
  <c r="AD117" i="20"/>
  <c r="P150" i="20" s="1"/>
  <c r="J118" i="20"/>
  <c r="AB118" i="20"/>
  <c r="O151" i="20" s="1"/>
  <c r="AD118" i="20"/>
  <c r="P151" i="20" s="1"/>
  <c r="AG151" i="20" s="1"/>
  <c r="AH151" i="20" s="1"/>
  <c r="W28" i="13" s="1"/>
  <c r="J119" i="20"/>
  <c r="N119" i="20"/>
  <c r="AB119" i="20"/>
  <c r="AD119" i="20"/>
  <c r="J120" i="20"/>
  <c r="AB120" i="20"/>
  <c r="O153" i="20" s="1"/>
  <c r="AD120" i="20"/>
  <c r="J121" i="20"/>
  <c r="N121" i="20"/>
  <c r="H154" i="20" s="1"/>
  <c r="AB121" i="20"/>
  <c r="AD121" i="20"/>
  <c r="J122" i="20"/>
  <c r="AB122" i="20"/>
  <c r="AD122" i="20"/>
  <c r="J124" i="20"/>
  <c r="N124" i="20"/>
  <c r="AB124" i="20"/>
  <c r="AD124" i="20"/>
  <c r="J125" i="20"/>
  <c r="AB125" i="20"/>
  <c r="O160" i="20" s="1"/>
  <c r="AD125" i="20"/>
  <c r="J126" i="20"/>
  <c r="F161" i="20" s="1"/>
  <c r="N126" i="20"/>
  <c r="H161" i="20" s="1"/>
  <c r="AB126" i="20"/>
  <c r="AD126" i="20"/>
  <c r="P161" i="20" s="1"/>
  <c r="J127" i="20"/>
  <c r="AB127" i="20"/>
  <c r="O162" i="20" s="1"/>
  <c r="AD127" i="20"/>
  <c r="J128" i="20"/>
  <c r="F163" i="20" s="1"/>
  <c r="T40" i="13" s="1"/>
  <c r="N128" i="20"/>
  <c r="AB128" i="20"/>
  <c r="AD128" i="20"/>
  <c r="J129" i="20"/>
  <c r="AB129" i="20"/>
  <c r="AD129" i="20"/>
  <c r="J130" i="20"/>
  <c r="F165" i="20" s="1"/>
  <c r="N130" i="20"/>
  <c r="H165" i="20" s="1"/>
  <c r="AB130" i="20"/>
  <c r="AD130" i="20"/>
  <c r="J131" i="20"/>
  <c r="AB131" i="20"/>
  <c r="O166" i="20" s="1"/>
  <c r="AD131" i="20"/>
  <c r="P166" i="20" s="1"/>
  <c r="AG166" i="20" s="1"/>
  <c r="AH166" i="20" s="1"/>
  <c r="W43" i="13" s="1"/>
  <c r="F138" i="20"/>
  <c r="O138" i="20"/>
  <c r="P138" i="20"/>
  <c r="AG138" i="20"/>
  <c r="AH138" i="20" s="1"/>
  <c r="W15" i="13" s="1"/>
  <c r="F139" i="20"/>
  <c r="T16" i="13" s="1"/>
  <c r="H139" i="20"/>
  <c r="O139" i="20"/>
  <c r="P139" i="20"/>
  <c r="AG139" i="20" s="1"/>
  <c r="AH139" i="20" s="1"/>
  <c r="W16" i="13" s="1"/>
  <c r="S139" i="20"/>
  <c r="T139" i="20" s="1"/>
  <c r="Q16" i="13" s="1"/>
  <c r="O140" i="20"/>
  <c r="P140" i="20"/>
  <c r="AG140" i="20" s="1"/>
  <c r="AH140" i="20"/>
  <c r="W17" i="13" s="1"/>
  <c r="F142" i="20"/>
  <c r="T19" i="13" s="1"/>
  <c r="H142" i="20"/>
  <c r="O142" i="20"/>
  <c r="P142" i="20"/>
  <c r="AG142" i="20" s="1"/>
  <c r="AH142" i="20" s="1"/>
  <c r="W19" i="13" s="1"/>
  <c r="F143" i="20"/>
  <c r="T20" i="13" s="1"/>
  <c r="H143" i="20"/>
  <c r="O143" i="20"/>
  <c r="P143" i="20"/>
  <c r="S143" i="20"/>
  <c r="T143" i="20"/>
  <c r="Q20" i="13" s="1"/>
  <c r="AG143" i="20"/>
  <c r="AH143" i="20"/>
  <c r="W20" i="13" s="1"/>
  <c r="F145" i="20"/>
  <c r="T22" i="13" s="1"/>
  <c r="O145" i="20"/>
  <c r="P145" i="20"/>
  <c r="AG145" i="20" s="1"/>
  <c r="AH145" i="20" s="1"/>
  <c r="W22" i="13" s="1"/>
  <c r="S145" i="20"/>
  <c r="T145" i="20"/>
  <c r="Q22" i="13" s="1"/>
  <c r="F146" i="20"/>
  <c r="T23" i="13" s="1"/>
  <c r="H146" i="20"/>
  <c r="O146" i="20"/>
  <c r="P146" i="20"/>
  <c r="P156" i="20" s="1"/>
  <c r="S146" i="20"/>
  <c r="T146" i="20" s="1"/>
  <c r="Q23" i="13" s="1"/>
  <c r="F147" i="20"/>
  <c r="O147" i="20"/>
  <c r="P147" i="20"/>
  <c r="AG147" i="20" s="1"/>
  <c r="AH147" i="20" s="1"/>
  <c r="W24" i="13" s="1"/>
  <c r="F148" i="20"/>
  <c r="H148" i="20"/>
  <c r="O148" i="20"/>
  <c r="P148" i="20"/>
  <c r="AG148" i="20" s="1"/>
  <c r="AH148" i="20" s="1"/>
  <c r="W25" i="13" s="1"/>
  <c r="F149" i="20"/>
  <c r="O149" i="20"/>
  <c r="P149" i="20"/>
  <c r="AG149" i="20" s="1"/>
  <c r="AH149" i="20"/>
  <c r="W26" i="13" s="1"/>
  <c r="F150" i="20"/>
  <c r="T27" i="13" s="1"/>
  <c r="O150" i="20"/>
  <c r="AG150" i="20"/>
  <c r="AH150" i="20" s="1"/>
  <c r="W27" i="13" s="1"/>
  <c r="F151" i="20"/>
  <c r="T28" i="13" s="1"/>
  <c r="F152" i="20"/>
  <c r="T29" i="13" s="1"/>
  <c r="H152" i="20"/>
  <c r="O152" i="20"/>
  <c r="P152" i="20"/>
  <c r="S152" i="20"/>
  <c r="T152" i="20" s="1"/>
  <c r="Q29" i="13" s="1"/>
  <c r="AG152" i="20"/>
  <c r="AH152" i="20" s="1"/>
  <c r="W29" i="13" s="1"/>
  <c r="F153" i="20"/>
  <c r="T30" i="13" s="1"/>
  <c r="P153" i="20"/>
  <c r="AG153" i="20" s="1"/>
  <c r="AH153" i="20" s="1"/>
  <c r="W30" i="13" s="1"/>
  <c r="F154" i="20"/>
  <c r="T31" i="13" s="1"/>
  <c r="O154" i="20"/>
  <c r="P154" i="20"/>
  <c r="AG154" i="20" s="1"/>
  <c r="AH154" i="20" s="1"/>
  <c r="W31" i="13" s="1"/>
  <c r="S154" i="20"/>
  <c r="T154" i="20" s="1"/>
  <c r="Q31" i="13" s="1"/>
  <c r="F155" i="20"/>
  <c r="O155" i="20"/>
  <c r="O156" i="20" s="1"/>
  <c r="O157" i="20" s="1"/>
  <c r="P155" i="20"/>
  <c r="AG155" i="20"/>
  <c r="AH155" i="20"/>
  <c r="W32" i="13" s="1"/>
  <c r="F156" i="20"/>
  <c r="T33" i="13" s="1"/>
  <c r="F159" i="20"/>
  <c r="T36" i="13" s="1"/>
  <c r="H159" i="20"/>
  <c r="O159" i="20"/>
  <c r="P159" i="20"/>
  <c r="S159" i="20"/>
  <c r="T159" i="20"/>
  <c r="Q36" i="13" s="1"/>
  <c r="AG159" i="20"/>
  <c r="AH159" i="20" s="1"/>
  <c r="W36" i="13" s="1"/>
  <c r="F160" i="20"/>
  <c r="T37" i="13" s="1"/>
  <c r="P160" i="20"/>
  <c r="AG160" i="20" s="1"/>
  <c r="AH160" i="20" s="1"/>
  <c r="W37" i="13" s="1"/>
  <c r="S160" i="20"/>
  <c r="T160" i="20" s="1"/>
  <c r="Q37" i="13" s="1"/>
  <c r="O161" i="20"/>
  <c r="AG161" i="20"/>
  <c r="AH161" i="20" s="1"/>
  <c r="W38" i="13" s="1"/>
  <c r="F162" i="20"/>
  <c r="P162" i="20"/>
  <c r="AG162" i="20" s="1"/>
  <c r="AH162" i="20" s="1"/>
  <c r="W39" i="13" s="1"/>
  <c r="H163" i="20"/>
  <c r="O163" i="20"/>
  <c r="P163" i="20"/>
  <c r="AG163" i="20" s="1"/>
  <c r="AH163" i="20" s="1"/>
  <c r="W40" i="13" s="1"/>
  <c r="F164" i="20"/>
  <c r="O164" i="20"/>
  <c r="P164" i="20"/>
  <c r="AG164" i="20"/>
  <c r="AH164" i="20"/>
  <c r="W41" i="13" s="1"/>
  <c r="O165" i="20"/>
  <c r="P165" i="20"/>
  <c r="AG165" i="20"/>
  <c r="AH165" i="20" s="1"/>
  <c r="W42" i="13" s="1"/>
  <c r="F166" i="20"/>
  <c r="B171" i="20"/>
  <c r="D171" i="20"/>
  <c r="E171" i="20"/>
  <c r="H171" i="20"/>
  <c r="J171" i="20"/>
  <c r="K171" i="20"/>
  <c r="L171" i="20"/>
  <c r="M171" i="20"/>
  <c r="N171" i="20"/>
  <c r="O171" i="20"/>
  <c r="R171" i="20"/>
  <c r="B172" i="20"/>
  <c r="D172" i="20"/>
  <c r="E172" i="20"/>
  <c r="H172" i="20"/>
  <c r="J172" i="20"/>
  <c r="K172" i="20"/>
  <c r="L172" i="20"/>
  <c r="M172" i="20"/>
  <c r="N172" i="20"/>
  <c r="R172" i="20"/>
  <c r="B173" i="20"/>
  <c r="D173" i="20"/>
  <c r="E173" i="20"/>
  <c r="H173" i="20"/>
  <c r="J173" i="20"/>
  <c r="K173" i="20"/>
  <c r="L173" i="20"/>
  <c r="N173" i="20"/>
  <c r="O173" i="20"/>
  <c r="R173" i="20"/>
  <c r="B174" i="20"/>
  <c r="D174" i="20"/>
  <c r="E174" i="20"/>
  <c r="H174" i="20"/>
  <c r="J174" i="20"/>
  <c r="K174" i="20"/>
  <c r="L174" i="20"/>
  <c r="N174" i="20"/>
  <c r="R174" i="20"/>
  <c r="B175" i="20"/>
  <c r="D175" i="20"/>
  <c r="E175" i="20"/>
  <c r="H175" i="20"/>
  <c r="J175" i="20"/>
  <c r="K175" i="20"/>
  <c r="L175" i="20"/>
  <c r="M175" i="20"/>
  <c r="N175" i="20"/>
  <c r="O175" i="20"/>
  <c r="R175" i="20"/>
  <c r="B176" i="20"/>
  <c r="D176" i="20"/>
  <c r="E176" i="20"/>
  <c r="H176" i="20"/>
  <c r="J176" i="20"/>
  <c r="K176" i="20"/>
  <c r="L176" i="20"/>
  <c r="M176" i="20"/>
  <c r="N176" i="20"/>
  <c r="R176" i="20"/>
  <c r="B178" i="20"/>
  <c r="D178" i="20"/>
  <c r="E178" i="20"/>
  <c r="H178" i="20"/>
  <c r="J178" i="20"/>
  <c r="K178" i="20"/>
  <c r="L178" i="20"/>
  <c r="N178" i="20"/>
  <c r="O178" i="20"/>
  <c r="R178" i="20"/>
  <c r="B179" i="20"/>
  <c r="D179" i="20"/>
  <c r="E179" i="20"/>
  <c r="H179" i="20"/>
  <c r="J179" i="20"/>
  <c r="K179" i="20"/>
  <c r="L179" i="20"/>
  <c r="M179" i="20"/>
  <c r="N179" i="20"/>
  <c r="R179" i="20"/>
  <c r="B180" i="20"/>
  <c r="D180" i="20"/>
  <c r="E180" i="20"/>
  <c r="H180" i="20"/>
  <c r="J180" i="20"/>
  <c r="K180" i="20"/>
  <c r="L180" i="20"/>
  <c r="M180" i="20"/>
  <c r="N180" i="20"/>
  <c r="O180" i="20"/>
  <c r="R180" i="20"/>
  <c r="B181" i="20"/>
  <c r="D181" i="20"/>
  <c r="E181" i="20"/>
  <c r="H181" i="20"/>
  <c r="J181" i="20"/>
  <c r="K181" i="20"/>
  <c r="L181" i="20"/>
  <c r="M181" i="20"/>
  <c r="N181" i="20"/>
  <c r="R181" i="20"/>
  <c r="B182" i="20"/>
  <c r="D182" i="20"/>
  <c r="E182" i="20"/>
  <c r="H182" i="20"/>
  <c r="J182" i="20"/>
  <c r="K182" i="20"/>
  <c r="L182" i="20"/>
  <c r="N182" i="20"/>
  <c r="O182" i="20"/>
  <c r="R182" i="20"/>
  <c r="B183" i="20"/>
  <c r="D183" i="20"/>
  <c r="E183" i="20"/>
  <c r="H183" i="20"/>
  <c r="J183" i="20"/>
  <c r="K183" i="20"/>
  <c r="L183" i="20"/>
  <c r="M183" i="20"/>
  <c r="N183" i="20"/>
  <c r="R183" i="20"/>
  <c r="B184" i="20"/>
  <c r="D184" i="20"/>
  <c r="E184" i="20"/>
  <c r="H184" i="20"/>
  <c r="J184" i="20"/>
  <c r="K184" i="20"/>
  <c r="L184" i="20"/>
  <c r="N184" i="20"/>
  <c r="O184" i="20"/>
  <c r="R184" i="20"/>
  <c r="B185" i="20"/>
  <c r="D185" i="20"/>
  <c r="E185" i="20"/>
  <c r="H185" i="20"/>
  <c r="J185" i="20"/>
  <c r="K185" i="20"/>
  <c r="L185" i="20"/>
  <c r="M185" i="20"/>
  <c r="N185" i="20"/>
  <c r="R185" i="20"/>
  <c r="B186" i="20"/>
  <c r="D186" i="20"/>
  <c r="E186" i="20"/>
  <c r="H186" i="20"/>
  <c r="J186" i="20"/>
  <c r="K186" i="20"/>
  <c r="L186" i="20"/>
  <c r="M186" i="20"/>
  <c r="N186" i="20"/>
  <c r="O186" i="20"/>
  <c r="R186" i="20"/>
  <c r="B187" i="20"/>
  <c r="D187" i="20"/>
  <c r="E187" i="20"/>
  <c r="H187" i="20"/>
  <c r="J187" i="20"/>
  <c r="K187" i="20"/>
  <c r="L187" i="20"/>
  <c r="M187" i="20"/>
  <c r="N187" i="20"/>
  <c r="R187" i="20"/>
  <c r="B188" i="20"/>
  <c r="D188" i="20"/>
  <c r="E188" i="20"/>
  <c r="H188" i="20"/>
  <c r="J188" i="20"/>
  <c r="K188" i="20"/>
  <c r="L188" i="20"/>
  <c r="M188" i="20"/>
  <c r="N188" i="20"/>
  <c r="O188" i="20"/>
  <c r="R188" i="20"/>
  <c r="B190" i="20"/>
  <c r="D190" i="20"/>
  <c r="E190" i="20"/>
  <c r="H190" i="20"/>
  <c r="J190" i="20"/>
  <c r="K190" i="20"/>
  <c r="L190" i="20"/>
  <c r="M190" i="20"/>
  <c r="N190" i="20"/>
  <c r="R190" i="20"/>
  <c r="B191" i="20"/>
  <c r="D191" i="20"/>
  <c r="E191" i="20"/>
  <c r="H191" i="20"/>
  <c r="J191" i="20"/>
  <c r="K191" i="20"/>
  <c r="L191" i="20"/>
  <c r="N191" i="20"/>
  <c r="O191" i="20"/>
  <c r="R191" i="20"/>
  <c r="B192" i="20"/>
  <c r="D192" i="20"/>
  <c r="E192" i="20"/>
  <c r="H192" i="20"/>
  <c r="J192" i="20"/>
  <c r="K192" i="20"/>
  <c r="L192" i="20"/>
  <c r="M192" i="20"/>
  <c r="N192" i="20"/>
  <c r="R192" i="20"/>
  <c r="B193" i="20"/>
  <c r="D193" i="20"/>
  <c r="E193" i="20"/>
  <c r="H193" i="20"/>
  <c r="J193" i="20"/>
  <c r="K193" i="20"/>
  <c r="L193" i="20"/>
  <c r="M193" i="20"/>
  <c r="N193" i="20"/>
  <c r="O193" i="20"/>
  <c r="R193" i="20"/>
  <c r="B194" i="20"/>
  <c r="D194" i="20"/>
  <c r="E194" i="20"/>
  <c r="H194" i="20"/>
  <c r="J194" i="20"/>
  <c r="K194" i="20"/>
  <c r="L194" i="20"/>
  <c r="M194" i="20"/>
  <c r="N194" i="20"/>
  <c r="R194" i="20"/>
  <c r="B195" i="20"/>
  <c r="D195" i="20"/>
  <c r="E195" i="20"/>
  <c r="H195" i="20"/>
  <c r="J195" i="20"/>
  <c r="K195" i="20"/>
  <c r="L195" i="20"/>
  <c r="M195" i="20"/>
  <c r="N195" i="20"/>
  <c r="O195" i="20"/>
  <c r="R195" i="20"/>
  <c r="B196" i="20"/>
  <c r="D196" i="20"/>
  <c r="E196" i="20"/>
  <c r="H196" i="20"/>
  <c r="J196" i="20"/>
  <c r="K196" i="20"/>
  <c r="L196" i="20"/>
  <c r="M196" i="20"/>
  <c r="N196" i="20"/>
  <c r="R196" i="20"/>
  <c r="B197" i="20"/>
  <c r="D197" i="20"/>
  <c r="E197" i="20"/>
  <c r="H197" i="20"/>
  <c r="J197" i="20"/>
  <c r="K197" i="20"/>
  <c r="L197" i="20"/>
  <c r="N197" i="20"/>
  <c r="O197" i="20"/>
  <c r="R197" i="20"/>
  <c r="B88" i="57"/>
  <c r="E88" i="57"/>
  <c r="H88" i="57"/>
  <c r="K88" i="57"/>
  <c r="N88" i="57"/>
  <c r="Q88" i="57"/>
  <c r="T88" i="57"/>
  <c r="W88" i="57"/>
  <c r="Z88" i="57"/>
  <c r="AC88" i="57"/>
  <c r="AF88" i="57"/>
  <c r="AI88" i="57"/>
  <c r="AL88" i="57"/>
  <c r="AO88" i="57"/>
  <c r="AR88" i="57"/>
  <c r="AU88" i="57"/>
  <c r="AX88" i="57"/>
  <c r="BA88" i="57"/>
  <c r="BD88" i="57"/>
  <c r="BG88" i="57"/>
  <c r="BJ88" i="57"/>
  <c r="BM88" i="57"/>
  <c r="BP88" i="57"/>
  <c r="BS88" i="57"/>
  <c r="BV88" i="57"/>
  <c r="BY88" i="57"/>
  <c r="CB88" i="57"/>
  <c r="CE88" i="57"/>
  <c r="B89" i="57"/>
  <c r="E89" i="57"/>
  <c r="H89" i="57"/>
  <c r="K89" i="57"/>
  <c r="N89" i="57"/>
  <c r="Q89" i="57"/>
  <c r="T89" i="57"/>
  <c r="W89" i="57"/>
  <c r="Z89" i="57"/>
  <c r="AC89" i="57"/>
  <c r="AF89" i="57"/>
  <c r="AI89" i="57"/>
  <c r="AL89" i="57"/>
  <c r="AO89" i="57"/>
  <c r="AR89" i="57"/>
  <c r="AU89" i="57"/>
  <c r="AX89" i="57"/>
  <c r="BA89" i="57"/>
  <c r="BD89" i="57"/>
  <c r="BG89" i="57"/>
  <c r="BJ89" i="57"/>
  <c r="BM89" i="57"/>
  <c r="BP89" i="57"/>
  <c r="BS89" i="57"/>
  <c r="BV89" i="57"/>
  <c r="BY89" i="57"/>
  <c r="CB89" i="57"/>
  <c r="CE89" i="57"/>
  <c r="B90" i="57"/>
  <c r="E90" i="57"/>
  <c r="H90" i="57"/>
  <c r="K90" i="57"/>
  <c r="N90" i="57"/>
  <c r="Q90" i="57"/>
  <c r="T90" i="57"/>
  <c r="W90" i="57"/>
  <c r="Z90" i="57"/>
  <c r="AC90" i="57"/>
  <c r="AF90" i="57"/>
  <c r="AI90" i="57"/>
  <c r="AL90" i="57"/>
  <c r="AO90" i="57"/>
  <c r="AR90" i="57"/>
  <c r="AU90" i="57"/>
  <c r="AX90" i="57"/>
  <c r="BA90" i="57"/>
  <c r="BD90" i="57"/>
  <c r="BG90" i="57"/>
  <c r="BJ90" i="57"/>
  <c r="BM90" i="57"/>
  <c r="BP90" i="57"/>
  <c r="BS90" i="57"/>
  <c r="BV90" i="57"/>
  <c r="BY90" i="57"/>
  <c r="CB90" i="57"/>
  <c r="CE90" i="57"/>
  <c r="B91" i="57"/>
  <c r="E91" i="57"/>
  <c r="H91" i="57"/>
  <c r="K91" i="57"/>
  <c r="N91" i="57"/>
  <c r="Q91" i="57"/>
  <c r="T91" i="57"/>
  <c r="W91" i="57"/>
  <c r="Z91" i="57"/>
  <c r="AC91" i="57"/>
  <c r="AF91" i="57"/>
  <c r="AI91" i="57"/>
  <c r="AL91" i="57"/>
  <c r="AO91" i="57"/>
  <c r="AR91" i="57"/>
  <c r="AU91" i="57"/>
  <c r="AX91" i="57"/>
  <c r="BA91" i="57"/>
  <c r="BD91" i="57"/>
  <c r="BG91" i="57"/>
  <c r="BJ91" i="57"/>
  <c r="BM91" i="57"/>
  <c r="BP91" i="57"/>
  <c r="BS91" i="57"/>
  <c r="BV91" i="57"/>
  <c r="BY91" i="57"/>
  <c r="CB91" i="57"/>
  <c r="CE91" i="57"/>
  <c r="B92" i="57"/>
  <c r="E92" i="57"/>
  <c r="H92" i="57"/>
  <c r="K92" i="57"/>
  <c r="N92" i="57"/>
  <c r="Q92" i="57"/>
  <c r="T92" i="57"/>
  <c r="W92" i="57"/>
  <c r="Z92" i="57"/>
  <c r="AC92" i="57"/>
  <c r="AF92" i="57"/>
  <c r="AI92" i="57"/>
  <c r="AL92" i="57"/>
  <c r="AO92" i="57"/>
  <c r="AR92" i="57"/>
  <c r="AU92" i="57"/>
  <c r="AX92" i="57"/>
  <c r="BA92" i="57"/>
  <c r="BD92" i="57"/>
  <c r="BG92" i="57"/>
  <c r="BJ92" i="57"/>
  <c r="BM92" i="57"/>
  <c r="BP92" i="57"/>
  <c r="BS92" i="57"/>
  <c r="BV92" i="57"/>
  <c r="BY92" i="57"/>
  <c r="CB92" i="57"/>
  <c r="CE92" i="57"/>
  <c r="B93" i="57"/>
  <c r="E93" i="57"/>
  <c r="H93" i="57"/>
  <c r="K93" i="57"/>
  <c r="N93" i="57"/>
  <c r="Q93" i="57"/>
  <c r="T93" i="57"/>
  <c r="W93" i="57"/>
  <c r="Z93" i="57"/>
  <c r="AC93" i="57"/>
  <c r="AF93" i="57"/>
  <c r="AI93" i="57"/>
  <c r="AL93" i="57"/>
  <c r="AO93" i="57"/>
  <c r="AR93" i="57"/>
  <c r="AU93" i="57"/>
  <c r="AX93" i="57"/>
  <c r="BA93" i="57"/>
  <c r="BD93" i="57"/>
  <c r="BG93" i="57"/>
  <c r="BJ93" i="57"/>
  <c r="BM93" i="57"/>
  <c r="BP93" i="57"/>
  <c r="BS93" i="57"/>
  <c r="BV93" i="57"/>
  <c r="BY93" i="57"/>
  <c r="CB93" i="57"/>
  <c r="CE93" i="57"/>
  <c r="AG157" i="57" s="1"/>
  <c r="B95" i="57"/>
  <c r="E95" i="57"/>
  <c r="H95" i="57"/>
  <c r="K95" i="57"/>
  <c r="N95" i="57"/>
  <c r="Q95" i="57"/>
  <c r="T95" i="57"/>
  <c r="W95" i="57"/>
  <c r="Z95" i="57"/>
  <c r="AC95" i="57"/>
  <c r="AF95" i="57"/>
  <c r="AI95" i="57"/>
  <c r="AL95" i="57"/>
  <c r="AO95" i="57"/>
  <c r="AR95" i="57"/>
  <c r="AU95" i="57"/>
  <c r="AX95" i="57"/>
  <c r="BA95" i="57"/>
  <c r="BD95" i="57"/>
  <c r="BG95" i="57"/>
  <c r="BJ95" i="57"/>
  <c r="BM95" i="57"/>
  <c r="BP95" i="57"/>
  <c r="BS95" i="57"/>
  <c r="BV95" i="57"/>
  <c r="BY95" i="57"/>
  <c r="CB95" i="57"/>
  <c r="CE95" i="57"/>
  <c r="B96" i="57"/>
  <c r="E96" i="57"/>
  <c r="H96" i="57"/>
  <c r="K96" i="57"/>
  <c r="N96" i="57"/>
  <c r="Q96" i="57"/>
  <c r="T96" i="57"/>
  <c r="W96" i="57"/>
  <c r="Z96" i="57"/>
  <c r="AC96" i="57"/>
  <c r="AF96" i="57"/>
  <c r="AI96" i="57"/>
  <c r="AL96" i="57"/>
  <c r="AO96" i="57"/>
  <c r="AR96" i="57"/>
  <c r="AU96" i="57"/>
  <c r="AX96" i="57"/>
  <c r="BA96" i="57"/>
  <c r="BD96" i="57"/>
  <c r="BG96" i="57"/>
  <c r="BJ96" i="57"/>
  <c r="BM96" i="57"/>
  <c r="BP96" i="57"/>
  <c r="BS96" i="57"/>
  <c r="BV96" i="57"/>
  <c r="BY96" i="57"/>
  <c r="CB96" i="57"/>
  <c r="CE96" i="57"/>
  <c r="AG160" i="57" s="1"/>
  <c r="B97" i="57"/>
  <c r="E97" i="57"/>
  <c r="H97" i="57"/>
  <c r="K97" i="57"/>
  <c r="N97" i="57"/>
  <c r="Q97" i="57"/>
  <c r="T97" i="57"/>
  <c r="W97" i="57"/>
  <c r="Z97" i="57"/>
  <c r="AC97" i="57"/>
  <c r="AF97" i="57"/>
  <c r="AI97" i="57"/>
  <c r="AL97" i="57"/>
  <c r="AO97" i="57"/>
  <c r="AR97" i="57"/>
  <c r="AU97" i="57"/>
  <c r="AX97" i="57"/>
  <c r="BA97" i="57"/>
  <c r="BD97" i="57"/>
  <c r="BG97" i="57"/>
  <c r="BJ97" i="57"/>
  <c r="BM97" i="57"/>
  <c r="BP97" i="57"/>
  <c r="BS97" i="57"/>
  <c r="BV97" i="57"/>
  <c r="BY97" i="57"/>
  <c r="CB97" i="57"/>
  <c r="CE97" i="57"/>
  <c r="B98" i="57"/>
  <c r="E98" i="57"/>
  <c r="H98" i="57"/>
  <c r="K98" i="57"/>
  <c r="N98" i="57"/>
  <c r="Q98" i="57"/>
  <c r="T98" i="57"/>
  <c r="W98" i="57"/>
  <c r="Z98" i="57"/>
  <c r="AC98" i="57"/>
  <c r="AF98" i="57"/>
  <c r="AI98" i="57"/>
  <c r="AL98" i="57"/>
  <c r="AO98" i="57"/>
  <c r="AR98" i="57"/>
  <c r="AU98" i="57"/>
  <c r="AX98" i="57"/>
  <c r="BA98" i="57"/>
  <c r="BD98" i="57"/>
  <c r="BG98" i="57"/>
  <c r="BJ98" i="57"/>
  <c r="BM98" i="57"/>
  <c r="BP98" i="57"/>
  <c r="BS98" i="57"/>
  <c r="BV98" i="57"/>
  <c r="BY98" i="57"/>
  <c r="CB98" i="57"/>
  <c r="CE98" i="57"/>
  <c r="AG162" i="57" s="1"/>
  <c r="B99" i="57"/>
  <c r="E99" i="57"/>
  <c r="H99" i="57"/>
  <c r="K99" i="57"/>
  <c r="N99" i="57"/>
  <c r="Q99" i="57"/>
  <c r="T99" i="57"/>
  <c r="W99" i="57"/>
  <c r="Z99" i="57"/>
  <c r="AC99" i="57"/>
  <c r="AF99" i="57"/>
  <c r="AI99" i="57"/>
  <c r="AL99" i="57"/>
  <c r="AO99" i="57"/>
  <c r="AR99" i="57"/>
  <c r="AU99" i="57"/>
  <c r="AX99" i="57"/>
  <c r="BA99" i="57"/>
  <c r="BD99" i="57"/>
  <c r="BG99" i="57"/>
  <c r="BJ99" i="57"/>
  <c r="BM99" i="57"/>
  <c r="BP99" i="57"/>
  <c r="BS99" i="57"/>
  <c r="BV99" i="57"/>
  <c r="BY99" i="57"/>
  <c r="CB99" i="57"/>
  <c r="CE99" i="57"/>
  <c r="B100" i="57"/>
  <c r="E100" i="57"/>
  <c r="H100" i="57"/>
  <c r="K100" i="57"/>
  <c r="N100" i="57"/>
  <c r="Q100" i="57"/>
  <c r="T100" i="57"/>
  <c r="W100" i="57"/>
  <c r="Z100" i="57"/>
  <c r="AC100" i="57"/>
  <c r="AF100" i="57"/>
  <c r="AI100" i="57"/>
  <c r="AL100" i="57"/>
  <c r="AO100" i="57"/>
  <c r="AR100" i="57"/>
  <c r="AU100" i="57"/>
  <c r="AX100" i="57"/>
  <c r="BA100" i="57"/>
  <c r="BD100" i="57"/>
  <c r="BG100" i="57"/>
  <c r="BJ100" i="57"/>
  <c r="BM100" i="57"/>
  <c r="BP100" i="57"/>
  <c r="BS100" i="57"/>
  <c r="BV100" i="57"/>
  <c r="BY100" i="57"/>
  <c r="CB100" i="57"/>
  <c r="CE100" i="57"/>
  <c r="B101" i="57"/>
  <c r="E101" i="57"/>
  <c r="H101" i="57"/>
  <c r="K101" i="57"/>
  <c r="N101" i="57"/>
  <c r="Q101" i="57"/>
  <c r="T101" i="57"/>
  <c r="W101" i="57"/>
  <c r="Z101" i="57"/>
  <c r="AC101" i="57"/>
  <c r="AF101" i="57"/>
  <c r="AI101" i="57"/>
  <c r="AL101" i="57"/>
  <c r="AO101" i="57"/>
  <c r="AR101" i="57"/>
  <c r="AU101" i="57"/>
  <c r="AX101" i="57"/>
  <c r="BA101" i="57"/>
  <c r="BD101" i="57"/>
  <c r="BG101" i="57"/>
  <c r="BJ101" i="57"/>
  <c r="BM101" i="57"/>
  <c r="BP101" i="57"/>
  <c r="BS101" i="57"/>
  <c r="BV101" i="57"/>
  <c r="BY101" i="57"/>
  <c r="CB101" i="57"/>
  <c r="CE101" i="57"/>
  <c r="B102" i="57"/>
  <c r="E102" i="57"/>
  <c r="H102" i="57"/>
  <c r="K102" i="57"/>
  <c r="N102" i="57"/>
  <c r="Q102" i="57"/>
  <c r="T102" i="57"/>
  <c r="W102" i="57"/>
  <c r="Z102" i="57"/>
  <c r="AC102" i="57"/>
  <c r="AF102" i="57"/>
  <c r="AI102" i="57"/>
  <c r="AL102" i="57"/>
  <c r="AO102" i="57"/>
  <c r="AR102" i="57"/>
  <c r="AU102" i="57"/>
  <c r="AX102" i="57"/>
  <c r="BA102" i="57"/>
  <c r="BD102" i="57"/>
  <c r="BG102" i="57"/>
  <c r="BJ102" i="57"/>
  <c r="BM102" i="57"/>
  <c r="BP102" i="57"/>
  <c r="BS102" i="57"/>
  <c r="BV102" i="57"/>
  <c r="BY102" i="57"/>
  <c r="CB102" i="57"/>
  <c r="CE102" i="57"/>
  <c r="AG166" i="57" s="1"/>
  <c r="B103" i="57"/>
  <c r="E103" i="57"/>
  <c r="H103" i="57"/>
  <c r="K103" i="57"/>
  <c r="N103" i="57"/>
  <c r="Q103" i="57"/>
  <c r="T103" i="57"/>
  <c r="W103" i="57"/>
  <c r="Z103" i="57"/>
  <c r="AC103" i="57"/>
  <c r="AF103" i="57"/>
  <c r="AI103" i="57"/>
  <c r="AL103" i="57"/>
  <c r="AO103" i="57"/>
  <c r="AR103" i="57"/>
  <c r="AU103" i="57"/>
  <c r="AX103" i="57"/>
  <c r="BA103" i="57"/>
  <c r="BD103" i="57"/>
  <c r="BG103" i="57"/>
  <c r="BJ103" i="57"/>
  <c r="BM103" i="57"/>
  <c r="BP103" i="57"/>
  <c r="BS103" i="57"/>
  <c r="BV103" i="57"/>
  <c r="BY103" i="57"/>
  <c r="CB103" i="57"/>
  <c r="CE103" i="57"/>
  <c r="B104" i="57"/>
  <c r="E104" i="57"/>
  <c r="H104" i="57"/>
  <c r="K104" i="57"/>
  <c r="N104" i="57"/>
  <c r="Q104" i="57"/>
  <c r="T104" i="57"/>
  <c r="W104" i="57"/>
  <c r="Z104" i="57"/>
  <c r="AC104" i="57"/>
  <c r="AF104" i="57"/>
  <c r="AI104" i="57"/>
  <c r="AL104" i="57"/>
  <c r="AO104" i="57"/>
  <c r="AR104" i="57"/>
  <c r="AU104" i="57"/>
  <c r="AX104" i="57"/>
  <c r="BA104" i="57"/>
  <c r="BD104" i="57"/>
  <c r="BG104" i="57"/>
  <c r="BJ104" i="57"/>
  <c r="BM104" i="57"/>
  <c r="BP104" i="57"/>
  <c r="BS104" i="57"/>
  <c r="BV104" i="57"/>
  <c r="BY104" i="57"/>
  <c r="CB104" i="57"/>
  <c r="CE104" i="57"/>
  <c r="AG168" i="57" s="1"/>
  <c r="B105" i="57"/>
  <c r="E105" i="57"/>
  <c r="H105" i="57"/>
  <c r="K105" i="57"/>
  <c r="N105" i="57"/>
  <c r="Q105" i="57"/>
  <c r="T105" i="57"/>
  <c r="W105" i="57"/>
  <c r="Z105" i="57"/>
  <c r="AC105" i="57"/>
  <c r="AF105" i="57"/>
  <c r="AI105" i="57"/>
  <c r="AL105" i="57"/>
  <c r="AO105" i="57"/>
  <c r="AR105" i="57"/>
  <c r="AU105" i="57"/>
  <c r="AX105" i="57"/>
  <c r="BA105" i="57"/>
  <c r="BD105" i="57"/>
  <c r="BG105" i="57"/>
  <c r="BJ105" i="57"/>
  <c r="BM105" i="57"/>
  <c r="BP105" i="57"/>
  <c r="BS105" i="57"/>
  <c r="BV105" i="57"/>
  <c r="BY105" i="57"/>
  <c r="CB105" i="57"/>
  <c r="CE105" i="57"/>
  <c r="B107" i="57"/>
  <c r="E107" i="57"/>
  <c r="H107" i="57"/>
  <c r="K107" i="57"/>
  <c r="N107" i="57"/>
  <c r="Q107" i="57"/>
  <c r="T107" i="57"/>
  <c r="W107" i="57"/>
  <c r="Z107" i="57"/>
  <c r="AC107" i="57"/>
  <c r="AF107" i="57"/>
  <c r="AI107" i="57"/>
  <c r="AL107" i="57"/>
  <c r="AO107" i="57"/>
  <c r="AR107" i="57"/>
  <c r="AU107" i="57"/>
  <c r="AX107" i="57"/>
  <c r="BA107" i="57"/>
  <c r="BD107" i="57"/>
  <c r="BG107" i="57"/>
  <c r="BJ107" i="57"/>
  <c r="BM107" i="57"/>
  <c r="BP107" i="57"/>
  <c r="BS107" i="57"/>
  <c r="BV107" i="57"/>
  <c r="BY107" i="57"/>
  <c r="CB107" i="57"/>
  <c r="CE107" i="57"/>
  <c r="AG171" i="57" s="1"/>
  <c r="B108" i="57"/>
  <c r="E108" i="57"/>
  <c r="H108" i="57"/>
  <c r="K108" i="57"/>
  <c r="N108" i="57"/>
  <c r="Q108" i="57"/>
  <c r="T108" i="57"/>
  <c r="W108" i="57"/>
  <c r="Z108" i="57"/>
  <c r="AC108" i="57"/>
  <c r="AF108" i="57"/>
  <c r="AI108" i="57"/>
  <c r="AL108" i="57"/>
  <c r="AO108" i="57"/>
  <c r="AR108" i="57"/>
  <c r="AU108" i="57"/>
  <c r="AX108" i="57"/>
  <c r="BA108" i="57"/>
  <c r="BD108" i="57"/>
  <c r="BG108" i="57"/>
  <c r="BJ108" i="57"/>
  <c r="BM108" i="57"/>
  <c r="BP108" i="57"/>
  <c r="BS108" i="57"/>
  <c r="BV108" i="57"/>
  <c r="BY108" i="57"/>
  <c r="CB108" i="57"/>
  <c r="CE108" i="57"/>
  <c r="B109" i="57"/>
  <c r="E109" i="57"/>
  <c r="H109" i="57"/>
  <c r="K109" i="57"/>
  <c r="N109" i="57"/>
  <c r="Q109" i="57"/>
  <c r="T109" i="57"/>
  <c r="W109" i="57"/>
  <c r="Z109" i="57"/>
  <c r="AC109" i="57"/>
  <c r="AF109" i="57"/>
  <c r="AI109" i="57"/>
  <c r="AL109" i="57"/>
  <c r="AO109" i="57"/>
  <c r="AR109" i="57"/>
  <c r="AU109" i="57"/>
  <c r="AX109" i="57"/>
  <c r="BA109" i="57"/>
  <c r="BD109" i="57"/>
  <c r="BG109" i="57"/>
  <c r="BJ109" i="57"/>
  <c r="BM109" i="57"/>
  <c r="BP109" i="57"/>
  <c r="BS109" i="57"/>
  <c r="BV109" i="57"/>
  <c r="BY109" i="57"/>
  <c r="CB109" i="57"/>
  <c r="CE109" i="57"/>
  <c r="AG173" i="57" s="1"/>
  <c r="B110" i="57"/>
  <c r="E110" i="57"/>
  <c r="H110" i="57"/>
  <c r="K110" i="57"/>
  <c r="N110" i="57"/>
  <c r="Q110" i="57"/>
  <c r="T110" i="57"/>
  <c r="W110" i="57"/>
  <c r="Z110" i="57"/>
  <c r="AC110" i="57"/>
  <c r="AF110" i="57"/>
  <c r="AI110" i="57"/>
  <c r="AL110" i="57"/>
  <c r="AO110" i="57"/>
  <c r="AR110" i="57"/>
  <c r="AU110" i="57"/>
  <c r="AX110" i="57"/>
  <c r="BA110" i="57"/>
  <c r="BD110" i="57"/>
  <c r="BG110" i="57"/>
  <c r="BJ110" i="57"/>
  <c r="BM110" i="57"/>
  <c r="BP110" i="57"/>
  <c r="X143" i="57" s="1"/>
  <c r="T174" i="57" s="1"/>
  <c r="BS110" i="57"/>
  <c r="BV110" i="57"/>
  <c r="BY110" i="57"/>
  <c r="CB110" i="57"/>
  <c r="CE110" i="57"/>
  <c r="B111" i="57"/>
  <c r="E111" i="57"/>
  <c r="H111" i="57"/>
  <c r="K111" i="57"/>
  <c r="N111" i="57"/>
  <c r="Q111" i="57"/>
  <c r="T111" i="57"/>
  <c r="W111" i="57"/>
  <c r="Z111" i="57"/>
  <c r="AC111" i="57"/>
  <c r="AF111" i="57"/>
  <c r="AI111" i="57"/>
  <c r="AL111" i="57"/>
  <c r="AO111" i="57"/>
  <c r="AR111" i="57"/>
  <c r="AU111" i="57"/>
  <c r="AX111" i="57"/>
  <c r="BA111" i="57"/>
  <c r="BD111" i="57"/>
  <c r="BG111" i="57"/>
  <c r="BJ111" i="57"/>
  <c r="BM111" i="57"/>
  <c r="BP111" i="57"/>
  <c r="BS111" i="57"/>
  <c r="BV111" i="57"/>
  <c r="BY111" i="57"/>
  <c r="CB111" i="57"/>
  <c r="CE111" i="57"/>
  <c r="AG175" i="57" s="1"/>
  <c r="B112" i="57"/>
  <c r="E112" i="57"/>
  <c r="H112" i="57"/>
  <c r="K112" i="57"/>
  <c r="N112" i="57"/>
  <c r="Q112" i="57"/>
  <c r="T112" i="57"/>
  <c r="W112" i="57"/>
  <c r="Z112" i="57"/>
  <c r="AC112" i="57"/>
  <c r="AF112" i="57"/>
  <c r="AI112" i="57"/>
  <c r="AL112" i="57"/>
  <c r="AO112" i="57"/>
  <c r="AR112" i="57"/>
  <c r="AU112" i="57"/>
  <c r="AX112" i="57"/>
  <c r="BA112" i="57"/>
  <c r="BD112" i="57"/>
  <c r="BG112" i="57"/>
  <c r="BJ112" i="57"/>
  <c r="BM112" i="57"/>
  <c r="BP112" i="57"/>
  <c r="X145" i="57" s="1"/>
  <c r="T176" i="57" s="1"/>
  <c r="BS112" i="57"/>
  <c r="BV112" i="57"/>
  <c r="BY112" i="57"/>
  <c r="CB112" i="57"/>
  <c r="CE112" i="57"/>
  <c r="B113" i="57"/>
  <c r="E113" i="57"/>
  <c r="H113" i="57"/>
  <c r="K113" i="57"/>
  <c r="N113" i="57"/>
  <c r="Q113" i="57"/>
  <c r="T113" i="57"/>
  <c r="W113" i="57"/>
  <c r="Z113" i="57"/>
  <c r="AC113" i="57"/>
  <c r="AF113" i="57"/>
  <c r="AI113" i="57"/>
  <c r="AL113" i="57"/>
  <c r="AO113" i="57"/>
  <c r="AR113" i="57"/>
  <c r="AU113" i="57"/>
  <c r="AX113" i="57"/>
  <c r="BA113" i="57"/>
  <c r="BD113" i="57"/>
  <c r="BG113" i="57"/>
  <c r="BJ113" i="57"/>
  <c r="BM113" i="57"/>
  <c r="BP113" i="57"/>
  <c r="BS113" i="57"/>
  <c r="BV113" i="57"/>
  <c r="BY113" i="57"/>
  <c r="CB113" i="57"/>
  <c r="CE113" i="57"/>
  <c r="AG177" i="57" s="1"/>
  <c r="B114" i="57"/>
  <c r="E114" i="57"/>
  <c r="H114" i="57"/>
  <c r="K114" i="57"/>
  <c r="N114" i="57"/>
  <c r="Q114" i="57"/>
  <c r="T114" i="57"/>
  <c r="W114" i="57"/>
  <c r="Z114" i="57"/>
  <c r="AC114" i="57"/>
  <c r="AF114" i="57"/>
  <c r="AI114" i="57"/>
  <c r="AL114" i="57"/>
  <c r="AO114" i="57"/>
  <c r="AR114" i="57"/>
  <c r="AU114" i="57"/>
  <c r="AX114" i="57"/>
  <c r="BA114" i="57"/>
  <c r="BD114" i="57"/>
  <c r="BG114" i="57"/>
  <c r="BJ114" i="57"/>
  <c r="BM114" i="57"/>
  <c r="BP114" i="57"/>
  <c r="X147" i="57" s="1"/>
  <c r="T178" i="57" s="1"/>
  <c r="BS114" i="57"/>
  <c r="BV114" i="57"/>
  <c r="BY114" i="57"/>
  <c r="CB114" i="57"/>
  <c r="CE114" i="57"/>
  <c r="W119" i="57"/>
  <c r="AA152" i="57" s="1"/>
  <c r="X119" i="57"/>
  <c r="T152" i="57" s="1"/>
  <c r="W120" i="57"/>
  <c r="X120" i="57"/>
  <c r="W121" i="57"/>
  <c r="X121" i="57"/>
  <c r="W122" i="57"/>
  <c r="X122" i="57"/>
  <c r="W123" i="57"/>
  <c r="AA156" i="57" s="1"/>
  <c r="X123" i="57"/>
  <c r="T156" i="57" s="1"/>
  <c r="W124" i="57"/>
  <c r="X124" i="57"/>
  <c r="W126" i="57"/>
  <c r="AA159" i="57" s="1"/>
  <c r="X126" i="57"/>
  <c r="T159" i="57" s="1"/>
  <c r="W127" i="57"/>
  <c r="X127" i="57"/>
  <c r="W128" i="57"/>
  <c r="AA161" i="57" s="1"/>
  <c r="X128" i="57"/>
  <c r="T161" i="57" s="1"/>
  <c r="W129" i="57"/>
  <c r="X129" i="57"/>
  <c r="W130" i="57"/>
  <c r="X130" i="57"/>
  <c r="W131" i="57"/>
  <c r="X131" i="57"/>
  <c r="W132" i="57"/>
  <c r="AA165" i="57" s="1"/>
  <c r="X132" i="57"/>
  <c r="T165" i="57" s="1"/>
  <c r="W133" i="57"/>
  <c r="X133" i="57"/>
  <c r="W134" i="57"/>
  <c r="AA167" i="57" s="1"/>
  <c r="X134" i="57"/>
  <c r="T167" i="57" s="1"/>
  <c r="W135" i="57"/>
  <c r="X135" i="57"/>
  <c r="W136" i="57"/>
  <c r="X136" i="57"/>
  <c r="T169" i="57" s="1"/>
  <c r="X137" i="57"/>
  <c r="X138" i="57" s="1"/>
  <c r="W140" i="57"/>
  <c r="X140" i="57"/>
  <c r="W141" i="57"/>
  <c r="X141" i="57"/>
  <c r="W142" i="57"/>
  <c r="X142" i="57"/>
  <c r="W143" i="57"/>
  <c r="AA174" i="57" s="1"/>
  <c r="W144" i="57"/>
  <c r="X144" i="57"/>
  <c r="W145" i="57"/>
  <c r="AA176" i="57" s="1"/>
  <c r="W146" i="57"/>
  <c r="X146" i="57"/>
  <c r="W147" i="57"/>
  <c r="AA178" i="57" s="1"/>
  <c r="B152" i="57"/>
  <c r="D152" i="57"/>
  <c r="H152" i="57"/>
  <c r="R152" i="57"/>
  <c r="S152" i="57"/>
  <c r="W152" i="57"/>
  <c r="X152" i="57"/>
  <c r="AB152" i="57"/>
  <c r="AG152" i="57"/>
  <c r="AH152" i="57"/>
  <c r="AJ152" i="57"/>
  <c r="AK152" i="57"/>
  <c r="AL152" i="57"/>
  <c r="B153" i="57"/>
  <c r="D153" i="57"/>
  <c r="H153" i="57"/>
  <c r="R153" i="57"/>
  <c r="S153" i="57"/>
  <c r="T153" i="57"/>
  <c r="W153" i="57"/>
  <c r="X153" i="57"/>
  <c r="AA153" i="57"/>
  <c r="AB153" i="57"/>
  <c r="AG153" i="57"/>
  <c r="AH153" i="57"/>
  <c r="AJ153" i="57"/>
  <c r="AK153" i="57"/>
  <c r="AL153" i="57"/>
  <c r="B154" i="57"/>
  <c r="D154" i="57"/>
  <c r="H154" i="57"/>
  <c r="R154" i="57"/>
  <c r="S154" i="57"/>
  <c r="T154" i="57"/>
  <c r="W154" i="57"/>
  <c r="X154" i="57"/>
  <c r="AA154" i="57"/>
  <c r="AB154" i="57"/>
  <c r="AG154" i="57"/>
  <c r="AH154" i="57"/>
  <c r="AJ154" i="57"/>
  <c r="AL154" i="57"/>
  <c r="B155" i="57"/>
  <c r="D155" i="57"/>
  <c r="H155" i="57"/>
  <c r="R155" i="57"/>
  <c r="S155" i="57"/>
  <c r="T155" i="57"/>
  <c r="W155" i="57"/>
  <c r="X155" i="57"/>
  <c r="AA155" i="57"/>
  <c r="AB155" i="57"/>
  <c r="AG155" i="57"/>
  <c r="AH155" i="57"/>
  <c r="AJ155" i="57"/>
  <c r="AL155" i="57"/>
  <c r="B156" i="57"/>
  <c r="D156" i="57"/>
  <c r="H156" i="57"/>
  <c r="R156" i="57"/>
  <c r="S156" i="57"/>
  <c r="W156" i="57"/>
  <c r="X156" i="57"/>
  <c r="AB156" i="57"/>
  <c r="AG156" i="57"/>
  <c r="AH156" i="57"/>
  <c r="AK156" i="57"/>
  <c r="AL156" i="57"/>
  <c r="B157" i="57"/>
  <c r="C157" i="57"/>
  <c r="D157" i="57"/>
  <c r="H157" i="57"/>
  <c r="R157" i="57"/>
  <c r="S157" i="57"/>
  <c r="T157" i="57"/>
  <c r="W157" i="57"/>
  <c r="X157" i="57"/>
  <c r="AA157" i="57"/>
  <c r="AB157" i="57"/>
  <c r="AH157" i="57"/>
  <c r="AK157" i="57"/>
  <c r="AL157" i="57"/>
  <c r="B159" i="57"/>
  <c r="D159" i="57"/>
  <c r="H159" i="57"/>
  <c r="R159" i="57"/>
  <c r="S159" i="57"/>
  <c r="W159" i="57"/>
  <c r="X159" i="57"/>
  <c r="AB159" i="57"/>
  <c r="AG159" i="57"/>
  <c r="AH159" i="57"/>
  <c r="AJ159" i="57"/>
  <c r="AL159" i="57"/>
  <c r="B160" i="57"/>
  <c r="C160" i="57"/>
  <c r="BO23" i="13" s="1"/>
  <c r="D160" i="57"/>
  <c r="H160" i="57"/>
  <c r="R160" i="57"/>
  <c r="S160" i="57"/>
  <c r="T160" i="57"/>
  <c r="W160" i="57"/>
  <c r="X160" i="57"/>
  <c r="AA160" i="57"/>
  <c r="AB160" i="57"/>
  <c r="AH160" i="57"/>
  <c r="AJ160" i="57"/>
  <c r="AK160" i="57"/>
  <c r="AL160" i="57"/>
  <c r="B161" i="57"/>
  <c r="D161" i="57"/>
  <c r="H161" i="57"/>
  <c r="R161" i="57"/>
  <c r="S161" i="57"/>
  <c r="W161" i="57"/>
  <c r="X161" i="57"/>
  <c r="AB161" i="57"/>
  <c r="AG161" i="57"/>
  <c r="AH161" i="57"/>
  <c r="AJ161" i="57"/>
  <c r="AK161" i="57"/>
  <c r="AL161" i="57"/>
  <c r="B162" i="57"/>
  <c r="D162" i="57"/>
  <c r="H162" i="57"/>
  <c r="R162" i="57"/>
  <c r="S162" i="57"/>
  <c r="T162" i="57"/>
  <c r="W162" i="57"/>
  <c r="X162" i="57"/>
  <c r="AA162" i="57"/>
  <c r="AB162" i="57"/>
  <c r="AH162" i="57"/>
  <c r="AJ162" i="57"/>
  <c r="AK162" i="57"/>
  <c r="AL162" i="57"/>
  <c r="B163" i="57"/>
  <c r="D163" i="57"/>
  <c r="H163" i="57"/>
  <c r="R163" i="57"/>
  <c r="S163" i="57"/>
  <c r="T163" i="57"/>
  <c r="W163" i="57"/>
  <c r="X163" i="57"/>
  <c r="AA163" i="57"/>
  <c r="AB163" i="57"/>
  <c r="AG163" i="57"/>
  <c r="AH163" i="57"/>
  <c r="AJ163" i="57"/>
  <c r="AL163" i="57"/>
  <c r="B164" i="57"/>
  <c r="D164" i="57"/>
  <c r="H164" i="57"/>
  <c r="R164" i="57"/>
  <c r="S164" i="57"/>
  <c r="T164" i="57"/>
  <c r="W164" i="57"/>
  <c r="X164" i="57"/>
  <c r="AA164" i="57"/>
  <c r="AB164" i="57"/>
  <c r="AG164" i="57"/>
  <c r="AH164" i="57"/>
  <c r="AJ164" i="57"/>
  <c r="AK164" i="57"/>
  <c r="AL164" i="57"/>
  <c r="B165" i="57"/>
  <c r="D165" i="57"/>
  <c r="H165" i="57"/>
  <c r="R165" i="57"/>
  <c r="S165" i="57"/>
  <c r="W165" i="57"/>
  <c r="X165" i="57"/>
  <c r="AB165" i="57"/>
  <c r="AG165" i="57"/>
  <c r="AH165" i="57"/>
  <c r="AJ165" i="57"/>
  <c r="AL165" i="57"/>
  <c r="B166" i="57"/>
  <c r="D166" i="57"/>
  <c r="H166" i="57"/>
  <c r="R166" i="57"/>
  <c r="S166" i="57"/>
  <c r="T166" i="57"/>
  <c r="W166" i="57"/>
  <c r="X166" i="57"/>
  <c r="AA166" i="57"/>
  <c r="AB166" i="57"/>
  <c r="AH166" i="57"/>
  <c r="AK166" i="57"/>
  <c r="AL166" i="57"/>
  <c r="B167" i="57"/>
  <c r="D167" i="57"/>
  <c r="H167" i="57"/>
  <c r="R167" i="57"/>
  <c r="S167" i="57"/>
  <c r="W167" i="57"/>
  <c r="X167" i="57"/>
  <c r="AB167" i="57"/>
  <c r="AG167" i="57"/>
  <c r="AH167" i="57"/>
  <c r="AJ167" i="57"/>
  <c r="AK167" i="57"/>
  <c r="AL167" i="57"/>
  <c r="B168" i="57"/>
  <c r="C168" i="57"/>
  <c r="BO31" i="13" s="1"/>
  <c r="D168" i="57"/>
  <c r="H168" i="57"/>
  <c r="R168" i="57"/>
  <c r="S168" i="57"/>
  <c r="T168" i="57"/>
  <c r="W168" i="57"/>
  <c r="X168" i="57"/>
  <c r="AA168" i="57"/>
  <c r="AB168" i="57"/>
  <c r="AH168" i="57"/>
  <c r="AK168" i="57"/>
  <c r="AL168" i="57"/>
  <c r="B169" i="57"/>
  <c r="D169" i="57"/>
  <c r="H169" i="57"/>
  <c r="R169" i="57"/>
  <c r="S169" i="57"/>
  <c r="W169" i="57"/>
  <c r="X169" i="57"/>
  <c r="AB169" i="57"/>
  <c r="AG169" i="57"/>
  <c r="AH169" i="57"/>
  <c r="AJ169" i="57"/>
  <c r="AK169" i="57"/>
  <c r="AL169" i="57"/>
  <c r="B171" i="57"/>
  <c r="D171" i="57"/>
  <c r="H171" i="57"/>
  <c r="R171" i="57"/>
  <c r="S171" i="57"/>
  <c r="T171" i="57"/>
  <c r="W171" i="57"/>
  <c r="X171" i="57"/>
  <c r="AA171" i="57"/>
  <c r="AB171" i="57"/>
  <c r="AH171" i="57"/>
  <c r="AJ171" i="57"/>
  <c r="AK171" i="57"/>
  <c r="AL171" i="57"/>
  <c r="B172" i="57"/>
  <c r="D172" i="57"/>
  <c r="H172" i="57"/>
  <c r="R172" i="57"/>
  <c r="S172" i="57"/>
  <c r="T172" i="57"/>
  <c r="W172" i="57"/>
  <c r="X172" i="57"/>
  <c r="AA172" i="57"/>
  <c r="AB172" i="57"/>
  <c r="AG172" i="57"/>
  <c r="AH172" i="57"/>
  <c r="AJ172" i="57"/>
  <c r="AL172" i="57"/>
  <c r="B173" i="57"/>
  <c r="C173" i="57"/>
  <c r="D173" i="57"/>
  <c r="H173" i="57"/>
  <c r="R173" i="57"/>
  <c r="S173" i="57"/>
  <c r="T173" i="57"/>
  <c r="W173" i="57"/>
  <c r="X173" i="57"/>
  <c r="AA173" i="57"/>
  <c r="AB173" i="57"/>
  <c r="AH173" i="57"/>
  <c r="AK173" i="57"/>
  <c r="AL173" i="57"/>
  <c r="B174" i="57"/>
  <c r="D174" i="57"/>
  <c r="H174" i="57"/>
  <c r="T131" i="62" s="1"/>
  <c r="R174" i="57"/>
  <c r="S174" i="57"/>
  <c r="W174" i="57"/>
  <c r="X174" i="57"/>
  <c r="AB174" i="57"/>
  <c r="AG174" i="57"/>
  <c r="AH174" i="57"/>
  <c r="AJ174" i="57"/>
  <c r="AK174" i="57"/>
  <c r="AL174" i="57"/>
  <c r="B175" i="57"/>
  <c r="C175" i="57"/>
  <c r="D175" i="57"/>
  <c r="H175" i="57"/>
  <c r="R175" i="57"/>
  <c r="S175" i="57"/>
  <c r="T175" i="57"/>
  <c r="W175" i="57"/>
  <c r="X175" i="57"/>
  <c r="AA175" i="57"/>
  <c r="AB175" i="57"/>
  <c r="AH175" i="57"/>
  <c r="AJ175" i="57"/>
  <c r="AK175" i="57"/>
  <c r="AL175" i="57"/>
  <c r="B176" i="57"/>
  <c r="D176" i="57"/>
  <c r="H176" i="57"/>
  <c r="R176" i="57"/>
  <c r="S176" i="57"/>
  <c r="W176" i="57"/>
  <c r="X176" i="57"/>
  <c r="AB176" i="57"/>
  <c r="AG176" i="57"/>
  <c r="AH176" i="57"/>
  <c r="AK176" i="57"/>
  <c r="AL176" i="57"/>
  <c r="B177" i="57"/>
  <c r="C177" i="57"/>
  <c r="BO40" i="13" s="1"/>
  <c r="D177" i="57"/>
  <c r="H177" i="57"/>
  <c r="R177" i="57"/>
  <c r="S177" i="57"/>
  <c r="T177" i="57"/>
  <c r="W177" i="57"/>
  <c r="X177" i="57"/>
  <c r="AA177" i="57"/>
  <c r="AB177" i="57"/>
  <c r="AH177" i="57"/>
  <c r="AJ177" i="57"/>
  <c r="AK177" i="57"/>
  <c r="AL177" i="57"/>
  <c r="B178" i="57"/>
  <c r="D178" i="57"/>
  <c r="H178" i="57"/>
  <c r="R178" i="57"/>
  <c r="S178" i="57"/>
  <c r="W178" i="57"/>
  <c r="X178" i="57"/>
  <c r="AB178" i="57"/>
  <c r="AG178" i="57"/>
  <c r="AH178" i="57"/>
  <c r="AJ178" i="57"/>
  <c r="AL178" i="57"/>
  <c r="B37" i="36"/>
  <c r="B69" i="36" s="1"/>
  <c r="D37" i="36"/>
  <c r="C69" i="36" s="1"/>
  <c r="F37" i="36"/>
  <c r="H37" i="36"/>
  <c r="H69" i="36" s="1"/>
  <c r="J37" i="36"/>
  <c r="L37" i="36"/>
  <c r="L69" i="36" s="1"/>
  <c r="AX556" i="78" s="1"/>
  <c r="B38" i="36"/>
  <c r="D38" i="36"/>
  <c r="F38" i="36"/>
  <c r="H38" i="36"/>
  <c r="H40" i="36" s="1"/>
  <c r="J38" i="36"/>
  <c r="L38" i="36"/>
  <c r="B39" i="36"/>
  <c r="D39" i="36"/>
  <c r="C71" i="36" s="1"/>
  <c r="F39" i="36"/>
  <c r="H39" i="36"/>
  <c r="H71" i="36" s="1"/>
  <c r="AV558" i="78" s="1"/>
  <c r="J39" i="36"/>
  <c r="L39" i="36"/>
  <c r="L71" i="36" s="1"/>
  <c r="AX558" i="78" s="1"/>
  <c r="B40" i="36"/>
  <c r="D40" i="36"/>
  <c r="B41" i="36"/>
  <c r="D41" i="36"/>
  <c r="F41" i="36"/>
  <c r="H41" i="36"/>
  <c r="H73" i="36" s="1"/>
  <c r="AV560" i="78" s="1"/>
  <c r="J41" i="36"/>
  <c r="L41" i="36"/>
  <c r="L73" i="36" s="1"/>
  <c r="B42" i="36"/>
  <c r="D42" i="36"/>
  <c r="F42" i="36"/>
  <c r="H42" i="36"/>
  <c r="J42" i="36"/>
  <c r="J74" i="36" s="1"/>
  <c r="AW561" i="78" s="1"/>
  <c r="L42" i="36"/>
  <c r="L74" i="36" s="1"/>
  <c r="AX561" i="78" s="1"/>
  <c r="B44" i="36"/>
  <c r="D44" i="36"/>
  <c r="C76" i="36" s="1"/>
  <c r="F44" i="36"/>
  <c r="H44" i="36"/>
  <c r="H76" i="36" s="1"/>
  <c r="AV563" i="78" s="1"/>
  <c r="J44" i="36"/>
  <c r="L44" i="36"/>
  <c r="L76" i="36" s="1"/>
  <c r="AX563" i="78" s="1"/>
  <c r="B45" i="36"/>
  <c r="B77" i="36" s="1"/>
  <c r="D45" i="36"/>
  <c r="F45" i="36"/>
  <c r="H45" i="36"/>
  <c r="H77" i="36" s="1"/>
  <c r="J45" i="36"/>
  <c r="L45" i="36"/>
  <c r="B46" i="36"/>
  <c r="B78" i="36" s="1"/>
  <c r="D46" i="36"/>
  <c r="C78" i="36" s="1"/>
  <c r="F46" i="36"/>
  <c r="F78" i="36" s="1"/>
  <c r="H46" i="36"/>
  <c r="H78" i="36" s="1"/>
  <c r="AV565" i="78" s="1"/>
  <c r="J46" i="36"/>
  <c r="L46" i="36"/>
  <c r="L78" i="36" s="1"/>
  <c r="B47" i="36"/>
  <c r="D47" i="36"/>
  <c r="F47" i="36"/>
  <c r="H47" i="36"/>
  <c r="J47" i="36"/>
  <c r="J79" i="36" s="1"/>
  <c r="AW566" i="78" s="1"/>
  <c r="L47" i="36"/>
  <c r="L79" i="36" s="1"/>
  <c r="AX566" i="78" s="1"/>
  <c r="B48" i="36"/>
  <c r="D48" i="36"/>
  <c r="C80" i="36" s="1"/>
  <c r="F48" i="36"/>
  <c r="H48" i="36"/>
  <c r="H80" i="36" s="1"/>
  <c r="AV567" i="78" s="1"/>
  <c r="J48" i="36"/>
  <c r="L48" i="36"/>
  <c r="L80" i="36" s="1"/>
  <c r="AX567" i="78" s="1"/>
  <c r="B49" i="36"/>
  <c r="B81" i="36" s="1"/>
  <c r="D49" i="36"/>
  <c r="C81" i="36" s="1"/>
  <c r="F49" i="36"/>
  <c r="H49" i="36"/>
  <c r="H81" i="36" s="1"/>
  <c r="J49" i="36"/>
  <c r="L49" i="36"/>
  <c r="L81" i="36" s="1"/>
  <c r="AX568" i="78" s="1"/>
  <c r="B50" i="36"/>
  <c r="B82" i="36" s="1"/>
  <c r="D50" i="36"/>
  <c r="F50" i="36"/>
  <c r="H50" i="36"/>
  <c r="H82" i="36" s="1"/>
  <c r="AV569" i="78" s="1"/>
  <c r="J50" i="36"/>
  <c r="J82" i="36" s="1"/>
  <c r="AW569" i="78" s="1"/>
  <c r="L50" i="36"/>
  <c r="L82" i="36" s="1"/>
  <c r="B51" i="36"/>
  <c r="D51" i="36"/>
  <c r="C83" i="36" s="1"/>
  <c r="F51" i="36"/>
  <c r="H51" i="36"/>
  <c r="H83" i="36" s="1"/>
  <c r="J51" i="36"/>
  <c r="J83" i="36" s="1"/>
  <c r="AW570" i="78" s="1"/>
  <c r="L51" i="36"/>
  <c r="L83" i="36" s="1"/>
  <c r="AX570" i="78" s="1"/>
  <c r="B52" i="36"/>
  <c r="D52" i="36"/>
  <c r="F52" i="36"/>
  <c r="H52" i="36"/>
  <c r="H84" i="36" s="1"/>
  <c r="AV571" i="78" s="1"/>
  <c r="J52" i="36"/>
  <c r="L52" i="36"/>
  <c r="L84" i="36" s="1"/>
  <c r="AX571" i="78" s="1"/>
  <c r="B53" i="36"/>
  <c r="B85" i="36" s="1"/>
  <c r="D53" i="36"/>
  <c r="F53" i="36"/>
  <c r="H53" i="36"/>
  <c r="H85" i="36" s="1"/>
  <c r="J53" i="36"/>
  <c r="L53" i="36"/>
  <c r="B54" i="36"/>
  <c r="B86" i="36" s="1"/>
  <c r="D54" i="36"/>
  <c r="F54" i="36"/>
  <c r="H54" i="36"/>
  <c r="H86" i="36" s="1"/>
  <c r="AV573" i="78" s="1"/>
  <c r="J54" i="36"/>
  <c r="J86" i="36" s="1"/>
  <c r="L54" i="36"/>
  <c r="L86" i="36" s="1"/>
  <c r="B56" i="36"/>
  <c r="D56" i="36"/>
  <c r="C90" i="36" s="1"/>
  <c r="D90" i="36" s="1"/>
  <c r="E90" i="36" s="1"/>
  <c r="F56" i="36"/>
  <c r="H56" i="36"/>
  <c r="H90" i="36" s="1"/>
  <c r="AV577" i="78" s="1"/>
  <c r="J56" i="36"/>
  <c r="J90" i="36" s="1"/>
  <c r="AW577" i="78" s="1"/>
  <c r="L56" i="36"/>
  <c r="B57" i="36"/>
  <c r="B91" i="36" s="1"/>
  <c r="D57" i="36"/>
  <c r="C91" i="36" s="1"/>
  <c r="F57" i="36"/>
  <c r="H57" i="36"/>
  <c r="H91" i="36" s="1"/>
  <c r="AV578" i="78" s="1"/>
  <c r="J57" i="36"/>
  <c r="J91" i="36" s="1"/>
  <c r="L57" i="36"/>
  <c r="L91" i="36" s="1"/>
  <c r="AX578" i="78" s="1"/>
  <c r="B58" i="36"/>
  <c r="B92" i="36" s="1"/>
  <c r="D58" i="36"/>
  <c r="C92" i="36" s="1"/>
  <c r="F58" i="36"/>
  <c r="H58" i="36"/>
  <c r="H92" i="36" s="1"/>
  <c r="J58" i="36"/>
  <c r="L58" i="36"/>
  <c r="L92" i="36" s="1"/>
  <c r="AX579" i="78" s="1"/>
  <c r="B59" i="36"/>
  <c r="D59" i="36"/>
  <c r="C93" i="36" s="1"/>
  <c r="F59" i="36"/>
  <c r="F93" i="36" s="1"/>
  <c r="N93" i="36" s="1"/>
  <c r="AK580" i="78" s="1"/>
  <c r="H59" i="36"/>
  <c r="H93" i="36" s="1"/>
  <c r="AV580" i="78" s="1"/>
  <c r="J59" i="36"/>
  <c r="L59" i="36"/>
  <c r="L93" i="36" s="1"/>
  <c r="B60" i="36"/>
  <c r="D60" i="36"/>
  <c r="F60" i="36"/>
  <c r="H60" i="36"/>
  <c r="H94" i="36" s="1"/>
  <c r="AV581" i="78" s="1"/>
  <c r="J60" i="36"/>
  <c r="J94" i="36" s="1"/>
  <c r="AW581" i="78" s="1"/>
  <c r="L60" i="36"/>
  <c r="L94" i="36" s="1"/>
  <c r="B61" i="36"/>
  <c r="B95" i="36" s="1"/>
  <c r="D61" i="36"/>
  <c r="C95" i="36" s="1"/>
  <c r="F61" i="36"/>
  <c r="H61" i="36"/>
  <c r="H95" i="36" s="1"/>
  <c r="AV582" i="78" s="1"/>
  <c r="J61" i="36"/>
  <c r="J95" i="36" s="1"/>
  <c r="L61" i="36"/>
  <c r="L95" i="36" s="1"/>
  <c r="AX582" i="78" s="1"/>
  <c r="B62" i="36"/>
  <c r="B96" i="36" s="1"/>
  <c r="D62" i="36"/>
  <c r="F62" i="36"/>
  <c r="H62" i="36"/>
  <c r="H96" i="36" s="1"/>
  <c r="AV583" i="78" s="1"/>
  <c r="J62" i="36"/>
  <c r="L62" i="36"/>
  <c r="L96" i="36" s="1"/>
  <c r="AX583" i="78" s="1"/>
  <c r="B63" i="36"/>
  <c r="D63" i="36"/>
  <c r="F63" i="36"/>
  <c r="F97" i="36" s="1"/>
  <c r="N97" i="36" s="1"/>
  <c r="AK584" i="78" s="1"/>
  <c r="H63" i="36"/>
  <c r="H97" i="36" s="1"/>
  <c r="AV584" i="78" s="1"/>
  <c r="J63" i="36"/>
  <c r="L63" i="36"/>
  <c r="L97" i="36" s="1"/>
  <c r="AX584" i="78" s="1"/>
  <c r="F69" i="36"/>
  <c r="J69" i="36"/>
  <c r="AW556" i="78" s="1"/>
  <c r="K69" i="36"/>
  <c r="M69" i="36"/>
  <c r="B70" i="36"/>
  <c r="D70" i="36" s="1"/>
  <c r="E70" i="36" s="1"/>
  <c r="C70" i="36"/>
  <c r="F70" i="36"/>
  <c r="F72" i="36" s="1"/>
  <c r="N72" i="36" s="1"/>
  <c r="AK559" i="78" s="1"/>
  <c r="G70" i="36"/>
  <c r="H70" i="36"/>
  <c r="N70" i="36"/>
  <c r="AK557" i="78" s="1"/>
  <c r="O70" i="36"/>
  <c r="AW16" i="13" s="1"/>
  <c r="B71" i="36"/>
  <c r="F71" i="36"/>
  <c r="G71" i="36"/>
  <c r="G72" i="36" s="1"/>
  <c r="O72" i="36" s="1"/>
  <c r="I71" i="36"/>
  <c r="J71" i="36"/>
  <c r="AW558" i="78" s="1"/>
  <c r="K71" i="36"/>
  <c r="M71" i="36"/>
  <c r="N71" i="36"/>
  <c r="AK558" i="78" s="1"/>
  <c r="O71" i="36"/>
  <c r="AW17" i="13" s="1"/>
  <c r="B73" i="36"/>
  <c r="C73" i="36"/>
  <c r="D73" i="36" s="1"/>
  <c r="E73" i="36" s="1"/>
  <c r="F73" i="36"/>
  <c r="G73" i="36"/>
  <c r="O73" i="36" s="1"/>
  <c r="AW19" i="13" s="1"/>
  <c r="J73" i="36"/>
  <c r="AW560" i="78" s="1"/>
  <c r="K73" i="36"/>
  <c r="N73" i="36"/>
  <c r="AK560" i="78" s="1"/>
  <c r="B74" i="36"/>
  <c r="C74" i="36"/>
  <c r="F74" i="36"/>
  <c r="G74" i="36"/>
  <c r="O74" i="36" s="1"/>
  <c r="AW20" i="13" s="1"/>
  <c r="H74" i="36"/>
  <c r="AV561" i="78" s="1"/>
  <c r="I74" i="36"/>
  <c r="K74" i="36"/>
  <c r="N74" i="36"/>
  <c r="AK561" i="78" s="1"/>
  <c r="B76" i="36"/>
  <c r="D76" i="36" s="1"/>
  <c r="E76" i="36" s="1"/>
  <c r="F76" i="36"/>
  <c r="G76" i="36"/>
  <c r="J76" i="36"/>
  <c r="AW563" i="78" s="1"/>
  <c r="M76" i="36"/>
  <c r="N76" i="36"/>
  <c r="AK563" i="78" s="1"/>
  <c r="O76" i="36"/>
  <c r="AW22" i="13" s="1"/>
  <c r="C77" i="36"/>
  <c r="D77" i="36" s="1"/>
  <c r="E77" i="36" s="1"/>
  <c r="F77" i="36"/>
  <c r="G77" i="36"/>
  <c r="I77" i="36"/>
  <c r="J77" i="36"/>
  <c r="AW564" i="78" s="1"/>
  <c r="K77" i="36"/>
  <c r="L77" i="36"/>
  <c r="N77" i="36"/>
  <c r="AK564" i="78" s="1"/>
  <c r="O77" i="36"/>
  <c r="AW23" i="13" s="1"/>
  <c r="I78" i="36"/>
  <c r="J78" i="36"/>
  <c r="AW565" i="78" s="1"/>
  <c r="K78" i="36"/>
  <c r="B79" i="36"/>
  <c r="C79" i="36"/>
  <c r="F79" i="36"/>
  <c r="G79" i="36"/>
  <c r="H79" i="36"/>
  <c r="AV566" i="78" s="1"/>
  <c r="K79" i="36"/>
  <c r="N79" i="36"/>
  <c r="AK566" i="78" s="1"/>
  <c r="O79" i="36"/>
  <c r="AW25" i="13" s="1"/>
  <c r="B80" i="36"/>
  <c r="F80" i="36"/>
  <c r="G80" i="36"/>
  <c r="O80" i="36" s="1"/>
  <c r="AW26" i="13" s="1"/>
  <c r="J80" i="36"/>
  <c r="AW567" i="78" s="1"/>
  <c r="K80" i="36"/>
  <c r="M80" i="36"/>
  <c r="N80" i="36"/>
  <c r="AK567" i="78" s="1"/>
  <c r="D81" i="36"/>
  <c r="E81" i="36" s="1"/>
  <c r="F81" i="36"/>
  <c r="G81" i="36"/>
  <c r="O81" i="36" s="1"/>
  <c r="AW27" i="13" s="1"/>
  <c r="J81" i="36"/>
  <c r="AW568" i="78" s="1"/>
  <c r="K81" i="36"/>
  <c r="N81" i="36"/>
  <c r="AK568" i="78" s="1"/>
  <c r="C82" i="36"/>
  <c r="F82" i="36"/>
  <c r="G82" i="36"/>
  <c r="K82" i="36"/>
  <c r="N82" i="36"/>
  <c r="AK569" i="78" s="1"/>
  <c r="O82" i="36"/>
  <c r="AW28" i="13" s="1"/>
  <c r="B83" i="36"/>
  <c r="F83" i="36"/>
  <c r="G83" i="36"/>
  <c r="O83" i="36" s="1"/>
  <c r="AW29" i="13" s="1"/>
  <c r="K83" i="36"/>
  <c r="N83" i="36"/>
  <c r="AK570" i="78" s="1"/>
  <c r="B84" i="36"/>
  <c r="C84" i="36"/>
  <c r="F84" i="36"/>
  <c r="G84" i="36"/>
  <c r="O84" i="36" s="1"/>
  <c r="AW30" i="13" s="1"/>
  <c r="J84" i="36"/>
  <c r="AW571" i="78" s="1"/>
  <c r="K84" i="36"/>
  <c r="N84" i="36"/>
  <c r="AK571" i="78" s="1"/>
  <c r="C85" i="36"/>
  <c r="D85" i="36"/>
  <c r="E85" i="36" s="1"/>
  <c r="F85" i="36"/>
  <c r="G85" i="36"/>
  <c r="O85" i="36" s="1"/>
  <c r="AW31" i="13" s="1"/>
  <c r="J85" i="36"/>
  <c r="AW572" i="78" s="1"/>
  <c r="K85" i="36"/>
  <c r="L85" i="36"/>
  <c r="AX572" i="78" s="1"/>
  <c r="M85" i="36"/>
  <c r="N85" i="36"/>
  <c r="AK572" i="78" s="1"/>
  <c r="C86" i="36"/>
  <c r="C87" i="36" s="1"/>
  <c r="C88" i="36" s="1"/>
  <c r="F86" i="36"/>
  <c r="I86" i="36"/>
  <c r="K86" i="36"/>
  <c r="B90" i="36"/>
  <c r="F90" i="36"/>
  <c r="G90" i="36"/>
  <c r="I90" i="36"/>
  <c r="L90" i="36"/>
  <c r="N90" i="36"/>
  <c r="AK577" i="78" s="1"/>
  <c r="O90" i="36"/>
  <c r="AW36" i="13" s="1"/>
  <c r="F91" i="36"/>
  <c r="G91" i="36" s="1"/>
  <c r="O91" i="36" s="1"/>
  <c r="AW37" i="13" s="1"/>
  <c r="I91" i="36"/>
  <c r="M91" i="36"/>
  <c r="N91" i="36"/>
  <c r="AK578" i="78" s="1"/>
  <c r="F92" i="36"/>
  <c r="G92" i="36"/>
  <c r="O92" i="36" s="1"/>
  <c r="AW38" i="13" s="1"/>
  <c r="J92" i="36"/>
  <c r="AW579" i="78" s="1"/>
  <c r="K92" i="36"/>
  <c r="N92" i="36"/>
  <c r="AK579" i="78" s="1"/>
  <c r="B93" i="36"/>
  <c r="G93" i="36"/>
  <c r="J93" i="36"/>
  <c r="AW580" i="78" s="1"/>
  <c r="K93" i="36"/>
  <c r="O93" i="36"/>
  <c r="AW39" i="13" s="1"/>
  <c r="B94" i="36"/>
  <c r="C94" i="36"/>
  <c r="D94" i="36"/>
  <c r="E94" i="36" s="1"/>
  <c r="F94" i="36"/>
  <c r="G94" i="36"/>
  <c r="O94" i="36" s="1"/>
  <c r="AW40" i="13" s="1"/>
  <c r="K94" i="36"/>
  <c r="N94" i="36"/>
  <c r="AK581" i="78" s="1"/>
  <c r="F95" i="36"/>
  <c r="G95" i="36"/>
  <c r="O95" i="36" s="1"/>
  <c r="AW41" i="13" s="1"/>
  <c r="M95" i="36"/>
  <c r="N95" i="36"/>
  <c r="AK582" i="78" s="1"/>
  <c r="C96" i="36"/>
  <c r="F96" i="36"/>
  <c r="G96" i="36"/>
  <c r="J96" i="36"/>
  <c r="AW583" i="78" s="1"/>
  <c r="K96" i="36"/>
  <c r="N96" i="36"/>
  <c r="AK583" i="78" s="1"/>
  <c r="O96" i="36"/>
  <c r="AW42" i="13" s="1"/>
  <c r="B97" i="36"/>
  <c r="C97" i="36"/>
  <c r="G97" i="36"/>
  <c r="O97" i="36" s="1"/>
  <c r="AW43" i="13" s="1"/>
  <c r="J97" i="36"/>
  <c r="AW584" i="78" s="1"/>
  <c r="B25" i="33"/>
  <c r="D25" i="33"/>
  <c r="C56" i="33" s="1"/>
  <c r="F25" i="33"/>
  <c r="B26" i="33"/>
  <c r="B57" i="33" s="1"/>
  <c r="B59" i="33" s="1"/>
  <c r="D26" i="33"/>
  <c r="F26" i="33"/>
  <c r="D57" i="33" s="1"/>
  <c r="B27" i="33"/>
  <c r="D27" i="33"/>
  <c r="F27" i="33"/>
  <c r="B28" i="33"/>
  <c r="D28" i="33"/>
  <c r="F28" i="33"/>
  <c r="B29" i="33"/>
  <c r="D29" i="33"/>
  <c r="C60" i="33" s="1"/>
  <c r="F29" i="33"/>
  <c r="B30" i="33"/>
  <c r="B61" i="33" s="1"/>
  <c r="D30" i="33"/>
  <c r="F30" i="33"/>
  <c r="D61" i="33" s="1"/>
  <c r="G61" i="33" s="1"/>
  <c r="H61" i="33" s="1"/>
  <c r="B32" i="33"/>
  <c r="B63" i="33" s="1"/>
  <c r="E63" i="33" s="1"/>
  <c r="F63" i="33" s="1"/>
  <c r="BB22" i="13" s="1"/>
  <c r="D32" i="33"/>
  <c r="C63" i="33" s="1"/>
  <c r="F32" i="33"/>
  <c r="B33" i="33"/>
  <c r="B64" i="33" s="1"/>
  <c r="D33" i="33"/>
  <c r="F33" i="33"/>
  <c r="D64" i="33" s="1"/>
  <c r="B34" i="33"/>
  <c r="D34" i="33"/>
  <c r="C65" i="33" s="1"/>
  <c r="F34" i="33"/>
  <c r="D65" i="33" s="1"/>
  <c r="G65" i="33" s="1"/>
  <c r="B35" i="33"/>
  <c r="D35" i="33"/>
  <c r="F35" i="33"/>
  <c r="D66" i="33" s="1"/>
  <c r="B36" i="33"/>
  <c r="D36" i="33"/>
  <c r="F36" i="33"/>
  <c r="B37" i="33"/>
  <c r="B68" i="33" s="1"/>
  <c r="E68" i="33" s="1"/>
  <c r="F68" i="33" s="1"/>
  <c r="BB27" i="13" s="1"/>
  <c r="D37" i="33"/>
  <c r="F37" i="33"/>
  <c r="B38" i="33"/>
  <c r="D38" i="33"/>
  <c r="C69" i="33" s="1"/>
  <c r="F38" i="33"/>
  <c r="B39" i="33"/>
  <c r="B70" i="33" s="1"/>
  <c r="D39" i="33"/>
  <c r="F39" i="33"/>
  <c r="D70" i="33" s="1"/>
  <c r="G70" i="33" s="1"/>
  <c r="H70" i="33" s="1"/>
  <c r="B40" i="33"/>
  <c r="D40" i="33"/>
  <c r="C71" i="33" s="1"/>
  <c r="F40" i="33"/>
  <c r="B41" i="33"/>
  <c r="B72" i="33" s="1"/>
  <c r="D41" i="33"/>
  <c r="F41" i="33"/>
  <c r="D72" i="33" s="1"/>
  <c r="B42" i="33"/>
  <c r="D42" i="33"/>
  <c r="C73" i="33" s="1"/>
  <c r="F42" i="33"/>
  <c r="B44" i="33"/>
  <c r="B77" i="33" s="1"/>
  <c r="D44" i="33"/>
  <c r="F44" i="33"/>
  <c r="B45" i="33"/>
  <c r="D45" i="33"/>
  <c r="C78" i="33" s="1"/>
  <c r="F45" i="33"/>
  <c r="B46" i="33"/>
  <c r="B79" i="33" s="1"/>
  <c r="D46" i="33"/>
  <c r="C79" i="33" s="1"/>
  <c r="F46" i="33"/>
  <c r="D79" i="33" s="1"/>
  <c r="B47" i="33"/>
  <c r="D47" i="33"/>
  <c r="C80" i="33" s="1"/>
  <c r="F47" i="33"/>
  <c r="B48" i="33"/>
  <c r="B81" i="33" s="1"/>
  <c r="D48" i="33"/>
  <c r="F48" i="33"/>
  <c r="D81" i="33" s="1"/>
  <c r="G81" i="33" s="1"/>
  <c r="H81" i="33" s="1"/>
  <c r="B49" i="33"/>
  <c r="D49" i="33"/>
  <c r="C82" i="33" s="1"/>
  <c r="F49" i="33"/>
  <c r="B50" i="33"/>
  <c r="D50" i="33"/>
  <c r="F50" i="33"/>
  <c r="D83" i="33" s="1"/>
  <c r="B51" i="33"/>
  <c r="D51" i="33"/>
  <c r="C84" i="33" s="1"/>
  <c r="F51" i="33"/>
  <c r="B56" i="33"/>
  <c r="D56" i="33"/>
  <c r="G56" i="33" s="1"/>
  <c r="H56" i="33"/>
  <c r="C57" i="33"/>
  <c r="E57" i="33"/>
  <c r="G57" i="33"/>
  <c r="H57" i="33" s="1"/>
  <c r="B58" i="33"/>
  <c r="C58" i="33"/>
  <c r="D58" i="33"/>
  <c r="G58" i="33" s="1"/>
  <c r="H58" i="33"/>
  <c r="C59" i="33"/>
  <c r="D59" i="33"/>
  <c r="G59" i="33"/>
  <c r="B60" i="33"/>
  <c r="D60" i="33"/>
  <c r="G60" i="33" s="1"/>
  <c r="E60" i="33"/>
  <c r="F60" i="33" s="1"/>
  <c r="BB19" i="13" s="1"/>
  <c r="H60" i="33"/>
  <c r="C61" i="33"/>
  <c r="E61" i="33" s="1"/>
  <c r="F61" i="33" s="1"/>
  <c r="BB20" i="13" s="1"/>
  <c r="D63" i="33"/>
  <c r="C64" i="33"/>
  <c r="E64" i="33"/>
  <c r="F64" i="33" s="1"/>
  <c r="BB23" i="13" s="1"/>
  <c r="G64" i="33"/>
  <c r="H64" i="33" s="1"/>
  <c r="B65" i="33"/>
  <c r="H65" i="33"/>
  <c r="B66" i="33"/>
  <c r="C66" i="33"/>
  <c r="E66" i="33"/>
  <c r="F66" i="33" s="1"/>
  <c r="BB25" i="13" s="1"/>
  <c r="G66" i="33"/>
  <c r="H66" i="33" s="1"/>
  <c r="B67" i="33"/>
  <c r="E67" i="33" s="1"/>
  <c r="C67" i="33"/>
  <c r="D67" i="33"/>
  <c r="G67" i="33" s="1"/>
  <c r="H67" i="33" s="1"/>
  <c r="F67" i="33"/>
  <c r="BB26" i="13" s="1"/>
  <c r="C68" i="33"/>
  <c r="D68" i="33"/>
  <c r="G68" i="33"/>
  <c r="H68" i="33" s="1"/>
  <c r="B69" i="33"/>
  <c r="D69" i="33"/>
  <c r="G69" i="33" s="1"/>
  <c r="H69" i="33" s="1"/>
  <c r="E69" i="33"/>
  <c r="F69" i="33" s="1"/>
  <c r="BB28" i="13" s="1"/>
  <c r="C70" i="33"/>
  <c r="E70" i="33" s="1"/>
  <c r="F70" i="33"/>
  <c r="BB29" i="13" s="1"/>
  <c r="B71" i="33"/>
  <c r="E71" i="33" s="1"/>
  <c r="F71" i="33" s="1"/>
  <c r="BB30" i="13" s="1"/>
  <c r="D71" i="33"/>
  <c r="G71" i="33" s="1"/>
  <c r="H71" i="33" s="1"/>
  <c r="C72" i="33"/>
  <c r="E72" i="33"/>
  <c r="F72" i="33" s="1"/>
  <c r="BB31" i="13" s="1"/>
  <c r="G72" i="33"/>
  <c r="H72" i="33"/>
  <c r="B73" i="33"/>
  <c r="C74" i="33"/>
  <c r="C75" i="33" s="1"/>
  <c r="C77" i="33"/>
  <c r="E77" i="33" s="1"/>
  <c r="F77" i="33" s="1"/>
  <c r="BB36" i="13" s="1"/>
  <c r="D77" i="33"/>
  <c r="G77" i="33"/>
  <c r="H77" i="33" s="1"/>
  <c r="B78" i="33"/>
  <c r="D78" i="33"/>
  <c r="G78" i="33" s="1"/>
  <c r="E78" i="33"/>
  <c r="F78" i="33" s="1"/>
  <c r="BB37" i="13" s="1"/>
  <c r="H78" i="33"/>
  <c r="G79" i="33"/>
  <c r="H79" i="33" s="1"/>
  <c r="B80" i="33"/>
  <c r="E80" i="33" s="1"/>
  <c r="F80" i="33" s="1"/>
  <c r="BB39" i="13" s="1"/>
  <c r="D80" i="33"/>
  <c r="G80" i="33"/>
  <c r="H80" i="33" s="1"/>
  <c r="C81" i="33"/>
  <c r="E81" i="33"/>
  <c r="F81" i="33" s="1"/>
  <c r="BB40" i="13" s="1"/>
  <c r="B82" i="33"/>
  <c r="E82" i="33" s="1"/>
  <c r="D82" i="33"/>
  <c r="G82" i="33" s="1"/>
  <c r="F82" i="33"/>
  <c r="BB41" i="13" s="1"/>
  <c r="H82" i="33"/>
  <c r="B83" i="33"/>
  <c r="C83" i="33"/>
  <c r="G83" i="33"/>
  <c r="H83" i="33" s="1"/>
  <c r="B84" i="33"/>
  <c r="D84" i="33"/>
  <c r="G84" i="33" s="1"/>
  <c r="H84" i="33" s="1"/>
  <c r="B34" i="12"/>
  <c r="D34" i="12"/>
  <c r="C65" i="12" s="1"/>
  <c r="F34" i="12"/>
  <c r="D65" i="12" s="1"/>
  <c r="B35" i="12"/>
  <c r="B66" i="12" s="1"/>
  <c r="E66" i="12" s="1"/>
  <c r="F66" i="12" s="1"/>
  <c r="D35" i="12"/>
  <c r="F35" i="12"/>
  <c r="B36" i="12"/>
  <c r="D36" i="12"/>
  <c r="C67" i="12" s="1"/>
  <c r="F36" i="12"/>
  <c r="B38" i="12"/>
  <c r="D38" i="12"/>
  <c r="C69" i="12" s="1"/>
  <c r="F38" i="12"/>
  <c r="B39" i="12"/>
  <c r="B70" i="12" s="1"/>
  <c r="E70" i="12" s="1"/>
  <c r="D39" i="12"/>
  <c r="F39" i="12"/>
  <c r="B41" i="12"/>
  <c r="B72" i="12" s="1"/>
  <c r="D41" i="12"/>
  <c r="F41" i="12"/>
  <c r="B42" i="12"/>
  <c r="B73" i="12" s="1"/>
  <c r="E73" i="12" s="1"/>
  <c r="D42" i="12"/>
  <c r="F42" i="12"/>
  <c r="D73" i="12" s="1"/>
  <c r="B43" i="12"/>
  <c r="D43" i="12"/>
  <c r="C74" i="12" s="1"/>
  <c r="F43" i="12"/>
  <c r="B44" i="12"/>
  <c r="B75" i="12" s="1"/>
  <c r="D44" i="12"/>
  <c r="F44" i="12"/>
  <c r="D75" i="12" s="1"/>
  <c r="B45" i="12"/>
  <c r="D45" i="12"/>
  <c r="C76" i="12" s="1"/>
  <c r="F45" i="12"/>
  <c r="B46" i="12"/>
  <c r="B77" i="12" s="1"/>
  <c r="G77" i="12" s="1"/>
  <c r="H77" i="12" s="1"/>
  <c r="D46" i="12"/>
  <c r="F46" i="12"/>
  <c r="D77" i="12" s="1"/>
  <c r="B47" i="12"/>
  <c r="D47" i="12"/>
  <c r="C78" i="12" s="1"/>
  <c r="F47" i="12"/>
  <c r="B48" i="12"/>
  <c r="B79" i="12" s="1"/>
  <c r="E79" i="12" s="1"/>
  <c r="F79" i="12" s="1"/>
  <c r="D48" i="12"/>
  <c r="F48" i="12"/>
  <c r="B49" i="12"/>
  <c r="D49" i="12"/>
  <c r="C80" i="12" s="1"/>
  <c r="F49" i="12"/>
  <c r="B50" i="12"/>
  <c r="B81" i="12" s="1"/>
  <c r="D50" i="12"/>
  <c r="F50" i="12"/>
  <c r="D81" i="12" s="1"/>
  <c r="B51" i="12"/>
  <c r="D51" i="12"/>
  <c r="C82" i="12" s="1"/>
  <c r="F51" i="12"/>
  <c r="D82" i="12" s="1"/>
  <c r="B53" i="12"/>
  <c r="B86" i="12" s="1"/>
  <c r="D53" i="12"/>
  <c r="F53" i="12"/>
  <c r="D86" i="12" s="1"/>
  <c r="B54" i="12"/>
  <c r="D54" i="12"/>
  <c r="C87" i="12" s="1"/>
  <c r="F54" i="12"/>
  <c r="B55" i="12"/>
  <c r="B88" i="12" s="1"/>
  <c r="D55" i="12"/>
  <c r="F55" i="12"/>
  <c r="D88" i="12" s="1"/>
  <c r="B56" i="12"/>
  <c r="D56" i="12"/>
  <c r="C89" i="12" s="1"/>
  <c r="F56" i="12"/>
  <c r="B57" i="12"/>
  <c r="B90" i="12" s="1"/>
  <c r="D57" i="12"/>
  <c r="F57" i="12"/>
  <c r="D90" i="12" s="1"/>
  <c r="B58" i="12"/>
  <c r="D58" i="12"/>
  <c r="C91" i="12" s="1"/>
  <c r="F58" i="12"/>
  <c r="B59" i="12"/>
  <c r="B92" i="12" s="1"/>
  <c r="D59" i="12"/>
  <c r="F59" i="12"/>
  <c r="D92" i="12" s="1"/>
  <c r="B60" i="12"/>
  <c r="D60" i="12"/>
  <c r="C93" i="12" s="1"/>
  <c r="F60" i="12"/>
  <c r="D93" i="12" s="1"/>
  <c r="B65" i="12"/>
  <c r="C66" i="12"/>
  <c r="B67" i="12"/>
  <c r="D67" i="12"/>
  <c r="G67" i="12" s="1"/>
  <c r="H67" i="12" s="1"/>
  <c r="B69" i="12"/>
  <c r="D69" i="12"/>
  <c r="C70" i="12"/>
  <c r="D70" i="12"/>
  <c r="C72" i="12"/>
  <c r="D72" i="12"/>
  <c r="C73" i="12"/>
  <c r="B74" i="12"/>
  <c r="D74" i="12"/>
  <c r="C75" i="12"/>
  <c r="E75" i="12"/>
  <c r="F75" i="12" s="1"/>
  <c r="G75" i="12"/>
  <c r="H75" i="12" s="1"/>
  <c r="B76" i="12"/>
  <c r="G76" i="12" s="1"/>
  <c r="H76" i="12" s="1"/>
  <c r="D76" i="12"/>
  <c r="C77" i="12"/>
  <c r="E77" i="12"/>
  <c r="F77" i="12"/>
  <c r="I77" i="12"/>
  <c r="B78" i="12"/>
  <c r="D78" i="12"/>
  <c r="E78" i="12"/>
  <c r="C79" i="12"/>
  <c r="D79" i="12"/>
  <c r="B80" i="12"/>
  <c r="D80" i="12"/>
  <c r="C81" i="12"/>
  <c r="B82" i="12"/>
  <c r="C86" i="12"/>
  <c r="E86" i="12"/>
  <c r="F86" i="12"/>
  <c r="B87" i="12"/>
  <c r="G87" i="12" s="1"/>
  <c r="D87" i="12"/>
  <c r="E87" i="12"/>
  <c r="H87" i="12"/>
  <c r="C88" i="12"/>
  <c r="E88" i="12"/>
  <c r="F88" i="12" s="1"/>
  <c r="B89" i="12"/>
  <c r="D89" i="12"/>
  <c r="C90" i="12"/>
  <c r="B91" i="12"/>
  <c r="D91" i="12"/>
  <c r="C92" i="12"/>
  <c r="B93" i="12"/>
  <c r="E93" i="12" s="1"/>
  <c r="L36" i="48"/>
  <c r="L37" i="48"/>
  <c r="L38" i="48"/>
  <c r="L40" i="48"/>
  <c r="L41" i="48"/>
  <c r="L43" i="48"/>
  <c r="L44" i="48"/>
  <c r="L45" i="48"/>
  <c r="L46" i="48"/>
  <c r="L47" i="48"/>
  <c r="L48" i="48"/>
  <c r="F96" i="79" s="1"/>
  <c r="L49" i="48"/>
  <c r="L50" i="48"/>
  <c r="L51" i="48"/>
  <c r="L52" i="48"/>
  <c r="F100" i="79" s="1"/>
  <c r="L53" i="48"/>
  <c r="L55" i="48"/>
  <c r="L56" i="48"/>
  <c r="L57" i="48"/>
  <c r="L58" i="48"/>
  <c r="L59" i="48"/>
  <c r="F108" i="79" s="1"/>
  <c r="L60" i="48"/>
  <c r="L61" i="48"/>
  <c r="L62" i="48"/>
  <c r="J88" i="48"/>
  <c r="K88" i="48" s="1"/>
  <c r="J97" i="48"/>
  <c r="F75" i="1"/>
  <c r="F76" i="1"/>
  <c r="AO76" i="1"/>
  <c r="F77" i="1"/>
  <c r="AE77" i="1"/>
  <c r="F79" i="1"/>
  <c r="F80" i="1"/>
  <c r="AQ80" i="1"/>
  <c r="F82" i="1"/>
  <c r="AK82" i="1" a="1"/>
  <c r="AK82" i="1" s="1"/>
  <c r="AS82" i="1" a="1"/>
  <c r="AS82" i="1" s="1"/>
  <c r="F83" i="1"/>
  <c r="F84" i="1"/>
  <c r="AK84" i="1" a="1"/>
  <c r="AK84" i="1" s="1"/>
  <c r="F85" i="1"/>
  <c r="F86" i="1"/>
  <c r="AI86" i="1" a="1"/>
  <c r="AI86" i="1" s="1"/>
  <c r="AQ86" i="1" a="1"/>
  <c r="AQ86" i="1" s="1"/>
  <c r="F87" i="1"/>
  <c r="F88" i="1"/>
  <c r="AG88" i="1" a="1"/>
  <c r="AG88" i="1" s="1"/>
  <c r="F89" i="1"/>
  <c r="F90" i="1"/>
  <c r="AE90" i="1" a="1"/>
  <c r="AE90" i="1" s="1"/>
  <c r="AM90" i="1" a="1"/>
  <c r="AM90" i="1" s="1"/>
  <c r="AQ90" i="1" a="1"/>
  <c r="AQ90" i="1" s="1"/>
  <c r="F91" i="1"/>
  <c r="F92" i="1"/>
  <c r="AQ92" i="1" a="1"/>
  <c r="AQ92" i="1" s="1"/>
  <c r="F94" i="1"/>
  <c r="F95" i="1"/>
  <c r="AO95" i="1" a="1"/>
  <c r="AO95" i="1" s="1"/>
  <c r="F96" i="1"/>
  <c r="F97" i="1"/>
  <c r="F98" i="1"/>
  <c r="F99" i="1"/>
  <c r="AK99" i="1" a="1"/>
  <c r="AK99" i="1" s="1"/>
  <c r="AS99" i="1" a="1"/>
  <c r="AS99" i="1" s="1"/>
  <c r="F100" i="1"/>
  <c r="F101" i="1"/>
  <c r="AM101" i="1" a="1"/>
  <c r="AM101" i="1" s="1"/>
  <c r="B244" i="1"/>
  <c r="C244" i="1"/>
  <c r="B245" i="1"/>
  <c r="C245" i="1"/>
  <c r="B246" i="1"/>
  <c r="C246" i="1"/>
  <c r="B247" i="1"/>
  <c r="C247" i="1"/>
  <c r="B248" i="1"/>
  <c r="C248" i="1"/>
  <c r="B249" i="1"/>
  <c r="C249" i="1"/>
  <c r="B250" i="1"/>
  <c r="C250" i="1"/>
  <c r="B251" i="1"/>
  <c r="C251" i="1"/>
  <c r="B252" i="1"/>
  <c r="C252" i="1"/>
  <c r="B253" i="1"/>
  <c r="C253" i="1"/>
  <c r="B254" i="1"/>
  <c r="C254" i="1"/>
  <c r="B255" i="1"/>
  <c r="C255" i="1"/>
  <c r="B256" i="1"/>
  <c r="C256" i="1"/>
  <c r="B257" i="1"/>
  <c r="C257" i="1"/>
  <c r="B258" i="1"/>
  <c r="C258" i="1"/>
  <c r="B259" i="1"/>
  <c r="C259" i="1"/>
  <c r="B260" i="1"/>
  <c r="C260" i="1"/>
  <c r="B263" i="1"/>
  <c r="C263" i="1"/>
  <c r="B264" i="1"/>
  <c r="C264" i="1"/>
  <c r="B265" i="1"/>
  <c r="C265" i="1"/>
  <c r="B266" i="1"/>
  <c r="C266" i="1"/>
  <c r="B267" i="1"/>
  <c r="AS98" i="1" s="1" a="1"/>
  <c r="AS98" i="1" s="1"/>
  <c r="C267" i="1"/>
  <c r="B268" i="1"/>
  <c r="C268" i="1"/>
  <c r="B269" i="1"/>
  <c r="C269" i="1"/>
  <c r="B270" i="1"/>
  <c r="C270" i="1"/>
  <c r="B8" i="18"/>
  <c r="B9" i="18"/>
  <c r="B10" i="18"/>
  <c r="B12" i="18"/>
  <c r="B13" i="18"/>
  <c r="B14" i="18"/>
  <c r="B15" i="18"/>
  <c r="B16" i="18"/>
  <c r="B17" i="18"/>
  <c r="B18" i="18"/>
  <c r="B19" i="18"/>
  <c r="B20" i="18"/>
  <c r="B21" i="18"/>
  <c r="B22" i="18"/>
  <c r="B23" i="18"/>
  <c r="B24" i="18"/>
  <c r="B25" i="18"/>
  <c r="B26" i="18"/>
  <c r="B27" i="18"/>
  <c r="B28" i="18"/>
  <c r="B29" i="18"/>
  <c r="B30" i="18"/>
  <c r="B31" i="18"/>
  <c r="B32" i="18"/>
  <c r="B33" i="18"/>
  <c r="B38" i="18"/>
  <c r="B39" i="18"/>
  <c r="B40" i="18"/>
  <c r="B42" i="18"/>
  <c r="B43" i="18"/>
  <c r="B44" i="18"/>
  <c r="B45" i="18"/>
  <c r="B46" i="18"/>
  <c r="B47" i="18"/>
  <c r="B48" i="18"/>
  <c r="B49" i="18"/>
  <c r="B50" i="18"/>
  <c r="B51" i="18"/>
  <c r="B52" i="18"/>
  <c r="B53" i="18"/>
  <c r="B54" i="18"/>
  <c r="B55" i="18"/>
  <c r="B56" i="18"/>
  <c r="B57" i="18"/>
  <c r="B58" i="18"/>
  <c r="B59" i="18"/>
  <c r="B60" i="18"/>
  <c r="B61" i="18"/>
  <c r="B62" i="18"/>
  <c r="B63" i="18"/>
  <c r="B68" i="18"/>
  <c r="B69" i="18"/>
  <c r="B70" i="18"/>
  <c r="B72" i="18"/>
  <c r="B73" i="18"/>
  <c r="B74" i="18"/>
  <c r="B75" i="18"/>
  <c r="B76" i="18"/>
  <c r="B77" i="18"/>
  <c r="B78" i="18"/>
  <c r="B79" i="18"/>
  <c r="B80" i="18"/>
  <c r="B81" i="18"/>
  <c r="B82" i="18"/>
  <c r="B83" i="18"/>
  <c r="B84" i="18"/>
  <c r="B85" i="18"/>
  <c r="B86" i="18"/>
  <c r="B87" i="18"/>
  <c r="B88" i="18"/>
  <c r="B89" i="18"/>
  <c r="B90" i="18"/>
  <c r="B91" i="18"/>
  <c r="B92" i="18"/>
  <c r="B93" i="18"/>
  <c r="B98" i="18"/>
  <c r="B99" i="18"/>
  <c r="B100" i="18"/>
  <c r="B102" i="18"/>
  <c r="B103" i="18"/>
  <c r="B104" i="18"/>
  <c r="B105" i="18"/>
  <c r="B106" i="18"/>
  <c r="B107" i="18"/>
  <c r="B108" i="18"/>
  <c r="B109" i="18"/>
  <c r="B110" i="18"/>
  <c r="B111" i="18"/>
  <c r="B112" i="18"/>
  <c r="B113" i="18"/>
  <c r="B114" i="18"/>
  <c r="B115" i="18"/>
  <c r="B116" i="18"/>
  <c r="B117" i="18"/>
  <c r="B118" i="18"/>
  <c r="B119" i="18"/>
  <c r="B120" i="18"/>
  <c r="B121" i="18"/>
  <c r="B122" i="18"/>
  <c r="B123" i="18"/>
  <c r="B128" i="18"/>
  <c r="B129" i="18"/>
  <c r="B130" i="18"/>
  <c r="B131" i="18" s="1"/>
  <c r="B132" i="18"/>
  <c r="B133" i="18"/>
  <c r="B134" i="18"/>
  <c r="B135" i="18"/>
  <c r="B136" i="18"/>
  <c r="B137" i="18"/>
  <c r="B138" i="18"/>
  <c r="B139" i="18"/>
  <c r="B140" i="18"/>
  <c r="B141" i="18"/>
  <c r="B142" i="18"/>
  <c r="B143" i="18"/>
  <c r="B144" i="18"/>
  <c r="B145" i="18"/>
  <c r="B146" i="18"/>
  <c r="B147" i="18"/>
  <c r="B148" i="18"/>
  <c r="B149" i="18"/>
  <c r="B150" i="18"/>
  <c r="B151" i="18"/>
  <c r="B152" i="18"/>
  <c r="B153" i="18"/>
  <c r="B158" i="18"/>
  <c r="B159" i="18"/>
  <c r="B161" i="18" s="1"/>
  <c r="B160" i="18"/>
  <c r="B162" i="18"/>
  <c r="B163" i="18"/>
  <c r="B164" i="18"/>
  <c r="B165" i="18"/>
  <c r="B166" i="18"/>
  <c r="B167" i="18"/>
  <c r="B168" i="18"/>
  <c r="B169" i="18"/>
  <c r="B170" i="18"/>
  <c r="B171" i="18"/>
  <c r="B172" i="18"/>
  <c r="B173" i="18"/>
  <c r="B174" i="18"/>
  <c r="B175" i="18"/>
  <c r="B176" i="18"/>
  <c r="B177" i="18"/>
  <c r="B178" i="18"/>
  <c r="B179" i="18"/>
  <c r="B180" i="18"/>
  <c r="B181" i="18"/>
  <c r="B182" i="18"/>
  <c r="B183" i="18"/>
  <c r="B188" i="18"/>
  <c r="B189" i="18"/>
  <c r="B190" i="18"/>
  <c r="B192" i="18"/>
  <c r="B193" i="18"/>
  <c r="B194" i="18"/>
  <c r="B195" i="18"/>
  <c r="B196" i="18"/>
  <c r="B197" i="18"/>
  <c r="B198" i="18"/>
  <c r="B199" i="18"/>
  <c r="B200" i="18"/>
  <c r="B201" i="18"/>
  <c r="B202" i="18"/>
  <c r="B203" i="18"/>
  <c r="B204" i="18"/>
  <c r="B205" i="18"/>
  <c r="B206" i="18"/>
  <c r="B207" i="18"/>
  <c r="B208" i="18"/>
  <c r="B209" i="18"/>
  <c r="B210" i="18"/>
  <c r="B211" i="18"/>
  <c r="B212" i="18"/>
  <c r="B213" i="18"/>
  <c r="B218" i="18"/>
  <c r="B219" i="18"/>
  <c r="B220" i="18"/>
  <c r="B222" i="18"/>
  <c r="B223" i="18"/>
  <c r="B224" i="18"/>
  <c r="B225" i="18"/>
  <c r="B226" i="18"/>
  <c r="B227" i="18"/>
  <c r="B228" i="18"/>
  <c r="B229" i="18"/>
  <c r="B230" i="18"/>
  <c r="B231" i="18"/>
  <c r="B232" i="18"/>
  <c r="B233" i="18"/>
  <c r="B234" i="18"/>
  <c r="B235" i="18"/>
  <c r="B236" i="18"/>
  <c r="B237" i="18"/>
  <c r="B238" i="18"/>
  <c r="B239" i="18"/>
  <c r="B240" i="18"/>
  <c r="B241" i="18"/>
  <c r="B242" i="18"/>
  <c r="B243" i="18"/>
  <c r="B249" i="18"/>
  <c r="B250" i="18"/>
  <c r="B251" i="18"/>
  <c r="B252" i="18" s="1"/>
  <c r="B253" i="18"/>
  <c r="B254" i="18"/>
  <c r="B255" i="18"/>
  <c r="B256" i="18"/>
  <c r="B257" i="18"/>
  <c r="B258" i="18"/>
  <c r="B259" i="18"/>
  <c r="B260" i="18"/>
  <c r="B261" i="18"/>
  <c r="B262" i="18"/>
  <c r="B263" i="18"/>
  <c r="B264" i="18"/>
  <c r="B265" i="18"/>
  <c r="B266" i="18"/>
  <c r="B267" i="18"/>
  <c r="B268" i="18"/>
  <c r="B269" i="18"/>
  <c r="B270" i="18"/>
  <c r="B271" i="18"/>
  <c r="B272" i="18"/>
  <c r="B273" i="18"/>
  <c r="B274" i="18"/>
  <c r="B279" i="18"/>
  <c r="B280" i="18"/>
  <c r="B282" i="18" s="1"/>
  <c r="B281" i="18"/>
  <c r="B283" i="18"/>
  <c r="B284" i="18"/>
  <c r="B285" i="18"/>
  <c r="B286" i="18"/>
  <c r="B287" i="18"/>
  <c r="B288" i="18"/>
  <c r="B289" i="18"/>
  <c r="B290" i="18"/>
  <c r="B291" i="18"/>
  <c r="B292" i="18"/>
  <c r="B293" i="18"/>
  <c r="B294" i="18"/>
  <c r="B295" i="18"/>
  <c r="B296" i="18"/>
  <c r="B297" i="18"/>
  <c r="B298" i="18"/>
  <c r="B299" i="18"/>
  <c r="B300" i="18"/>
  <c r="B301" i="18"/>
  <c r="B302" i="18"/>
  <c r="B303" i="18"/>
  <c r="B304" i="18"/>
  <c r="B25" i="29"/>
  <c r="B56" i="29" s="1"/>
  <c r="E56" i="29" s="1"/>
  <c r="F56" i="29" s="1"/>
  <c r="AZ15" i="13" s="1"/>
  <c r="D25" i="29"/>
  <c r="F25" i="29"/>
  <c r="D56" i="29" s="1"/>
  <c r="G56" i="29" s="1"/>
  <c r="H56" i="29" s="1"/>
  <c r="B26" i="29"/>
  <c r="D26" i="29"/>
  <c r="C57" i="29" s="1"/>
  <c r="F26" i="29"/>
  <c r="B27" i="29"/>
  <c r="D27" i="29"/>
  <c r="F27" i="29"/>
  <c r="F28" i="29" s="1"/>
  <c r="B29" i="29"/>
  <c r="B60" i="29" s="1"/>
  <c r="E60" i="29" s="1"/>
  <c r="F60" i="29" s="1"/>
  <c r="AZ19" i="13" s="1"/>
  <c r="D29" i="29"/>
  <c r="F29" i="29"/>
  <c r="B30" i="29"/>
  <c r="B61" i="29" s="1"/>
  <c r="E61" i="29" s="1"/>
  <c r="F61" i="29" s="1"/>
  <c r="AZ20" i="13" s="1"/>
  <c r="D30" i="29"/>
  <c r="C61" i="29" s="1"/>
  <c r="F30" i="29"/>
  <c r="B32" i="29"/>
  <c r="B63" i="29" s="1"/>
  <c r="E63" i="29" s="1"/>
  <c r="F63" i="29" s="1"/>
  <c r="AZ22" i="13" s="1"/>
  <c r="D32" i="29"/>
  <c r="C63" i="29" s="1"/>
  <c r="F32" i="29"/>
  <c r="D63" i="29" s="1"/>
  <c r="G63" i="29" s="1"/>
  <c r="H63" i="29" s="1"/>
  <c r="B33" i="29"/>
  <c r="D33" i="29"/>
  <c r="F33" i="29"/>
  <c r="D64" i="29" s="1"/>
  <c r="G64" i="29" s="1"/>
  <c r="H64" i="29" s="1"/>
  <c r="B34" i="29"/>
  <c r="B65" i="29" s="1"/>
  <c r="D34" i="29"/>
  <c r="F34" i="29"/>
  <c r="D65" i="29" s="1"/>
  <c r="G65" i="29" s="1"/>
  <c r="H65" i="29" s="1"/>
  <c r="B35" i="29"/>
  <c r="D35" i="29"/>
  <c r="C66" i="29" s="1"/>
  <c r="F35" i="29"/>
  <c r="B36" i="29"/>
  <c r="D36" i="29"/>
  <c r="F36" i="29"/>
  <c r="D67" i="29" s="1"/>
  <c r="G67" i="29" s="1"/>
  <c r="H67" i="29" s="1"/>
  <c r="B37" i="29"/>
  <c r="D37" i="29"/>
  <c r="C68" i="29" s="1"/>
  <c r="F37" i="29"/>
  <c r="B38" i="29"/>
  <c r="B69" i="29" s="1"/>
  <c r="E69" i="29" s="1"/>
  <c r="F69" i="29" s="1"/>
  <c r="AZ28" i="13" s="1"/>
  <c r="D38" i="29"/>
  <c r="F38" i="29"/>
  <c r="B39" i="29"/>
  <c r="B70" i="29" s="1"/>
  <c r="E70" i="29" s="1"/>
  <c r="D39" i="29"/>
  <c r="C70" i="29" s="1"/>
  <c r="F39" i="29"/>
  <c r="B40" i="29"/>
  <c r="B71" i="29" s="1"/>
  <c r="E71" i="29" s="1"/>
  <c r="F71" i="29" s="1"/>
  <c r="AZ30" i="13" s="1"/>
  <c r="D40" i="29"/>
  <c r="C71" i="29" s="1"/>
  <c r="F40" i="29"/>
  <c r="D71" i="29" s="1"/>
  <c r="G71" i="29" s="1"/>
  <c r="H71" i="29" s="1"/>
  <c r="B41" i="29"/>
  <c r="D41" i="29"/>
  <c r="F41" i="29"/>
  <c r="D72" i="29" s="1"/>
  <c r="G72" i="29" s="1"/>
  <c r="H72" i="29" s="1"/>
  <c r="B42" i="29"/>
  <c r="B73" i="29" s="1"/>
  <c r="D42" i="29"/>
  <c r="F42" i="29"/>
  <c r="D73" i="29" s="1"/>
  <c r="G73" i="29" s="1"/>
  <c r="H73" i="29" s="1"/>
  <c r="B44" i="29"/>
  <c r="D44" i="29"/>
  <c r="C77" i="29" s="1"/>
  <c r="F44" i="29"/>
  <c r="B45" i="29"/>
  <c r="D45" i="29"/>
  <c r="F45" i="29"/>
  <c r="D78" i="29" s="1"/>
  <c r="B46" i="29"/>
  <c r="D46" i="29"/>
  <c r="C79" i="29" s="1"/>
  <c r="E79" i="29" s="1"/>
  <c r="F79" i="29" s="1"/>
  <c r="AZ38" i="13" s="1"/>
  <c r="F46" i="29"/>
  <c r="B47" i="29"/>
  <c r="B80" i="29" s="1"/>
  <c r="E80" i="29" s="1"/>
  <c r="F80" i="29" s="1"/>
  <c r="AZ39" i="13" s="1"/>
  <c r="D47" i="29"/>
  <c r="C80" i="29" s="1"/>
  <c r="F47" i="29"/>
  <c r="B48" i="29"/>
  <c r="D48" i="29"/>
  <c r="C81" i="29" s="1"/>
  <c r="F48" i="29"/>
  <c r="B49" i="29"/>
  <c r="B82" i="29" s="1"/>
  <c r="E82" i="29" s="1"/>
  <c r="F82" i="29" s="1"/>
  <c r="AZ41" i="13" s="1"/>
  <c r="D49" i="29"/>
  <c r="F49" i="29"/>
  <c r="D82" i="29" s="1"/>
  <c r="G82" i="29" s="1"/>
  <c r="H82" i="29" s="1"/>
  <c r="B50" i="29"/>
  <c r="D50" i="29"/>
  <c r="F50" i="29"/>
  <c r="B51" i="29"/>
  <c r="B84" i="29" s="1"/>
  <c r="D51" i="29"/>
  <c r="F51" i="29"/>
  <c r="D84" i="29" s="1"/>
  <c r="G84" i="29" s="1"/>
  <c r="H84" i="29" s="1"/>
  <c r="C56" i="29"/>
  <c r="B57" i="29"/>
  <c r="D57" i="29"/>
  <c r="G57" i="29" s="1"/>
  <c r="B58" i="29"/>
  <c r="C58" i="29"/>
  <c r="E58" i="29" s="1"/>
  <c r="F58" i="29" s="1"/>
  <c r="AZ17" i="13" s="1"/>
  <c r="C60" i="29"/>
  <c r="D60" i="29"/>
  <c r="G60" i="29"/>
  <c r="H60" i="29" s="1"/>
  <c r="D61" i="29"/>
  <c r="G61" i="29" s="1"/>
  <c r="H61" i="29" s="1"/>
  <c r="B64" i="29"/>
  <c r="E64" i="29" s="1"/>
  <c r="F64" i="29" s="1"/>
  <c r="AZ23" i="13" s="1"/>
  <c r="C64" i="29"/>
  <c r="C65" i="29"/>
  <c r="B66" i="29"/>
  <c r="D66" i="29"/>
  <c r="G66" i="29" s="1"/>
  <c r="H66" i="29" s="1"/>
  <c r="B67" i="29"/>
  <c r="C67" i="29"/>
  <c r="E67" i="29" s="1"/>
  <c r="F67" i="29" s="1"/>
  <c r="AZ26" i="13" s="1"/>
  <c r="B68" i="29"/>
  <c r="E68" i="29" s="1"/>
  <c r="F68" i="29" s="1"/>
  <c r="AZ27" i="13" s="1"/>
  <c r="D68" i="29"/>
  <c r="G68" i="29" s="1"/>
  <c r="H68" i="29" s="1"/>
  <c r="C69" i="29"/>
  <c r="D69" i="29"/>
  <c r="G69" i="29"/>
  <c r="H69" i="29" s="1"/>
  <c r="D70" i="29"/>
  <c r="G70" i="29" s="1"/>
  <c r="F70" i="29"/>
  <c r="AZ29" i="13" s="1"/>
  <c r="H70" i="29"/>
  <c r="B72" i="29"/>
  <c r="E72" i="29" s="1"/>
  <c r="F72" i="29" s="1"/>
  <c r="AZ31" i="13" s="1"/>
  <c r="C72" i="29"/>
  <c r="C73" i="29"/>
  <c r="C74" i="29" s="1"/>
  <c r="C75" i="29" s="1"/>
  <c r="D74" i="29"/>
  <c r="B77" i="29"/>
  <c r="D77" i="29"/>
  <c r="G77" i="29" s="1"/>
  <c r="H77" i="29" s="1"/>
  <c r="B78" i="29"/>
  <c r="C78" i="29"/>
  <c r="E78" i="29"/>
  <c r="F78" i="29" s="1"/>
  <c r="AZ37" i="13" s="1"/>
  <c r="G78" i="29"/>
  <c r="H78" i="29" s="1"/>
  <c r="B79" i="29"/>
  <c r="D79" i="29"/>
  <c r="G79" i="29" s="1"/>
  <c r="H79" i="29" s="1"/>
  <c r="D80" i="29"/>
  <c r="G80" i="29"/>
  <c r="H80" i="29" s="1"/>
  <c r="B81" i="29"/>
  <c r="E81" i="29" s="1"/>
  <c r="F81" i="29" s="1"/>
  <c r="AZ40" i="13" s="1"/>
  <c r="D81" i="29"/>
  <c r="G81" i="29"/>
  <c r="H81" i="29"/>
  <c r="C82" i="29"/>
  <c r="B83" i="29"/>
  <c r="E83" i="29" s="1"/>
  <c r="F83" i="29" s="1"/>
  <c r="AZ42" i="13" s="1"/>
  <c r="C83" i="29"/>
  <c r="D83" i="29"/>
  <c r="G83" i="29" s="1"/>
  <c r="H83" i="29" s="1"/>
  <c r="C84" i="29"/>
  <c r="E84" i="29" s="1"/>
  <c r="F84" i="29" s="1"/>
  <c r="AZ43" i="13" s="1"/>
  <c r="B28" i="27"/>
  <c r="B59" i="27" s="1"/>
  <c r="D28" i="27"/>
  <c r="F28" i="27"/>
  <c r="D59" i="27" s="1"/>
  <c r="G59" i="27" s="1"/>
  <c r="H59" i="27" s="1"/>
  <c r="B29" i="27"/>
  <c r="B31" i="27" s="1"/>
  <c r="D29" i="27"/>
  <c r="C60" i="27" s="1"/>
  <c r="C62" i="27" s="1"/>
  <c r="F29" i="27"/>
  <c r="B30" i="27"/>
  <c r="D30" i="27"/>
  <c r="F30" i="27"/>
  <c r="F31" i="27" s="1"/>
  <c r="B32" i="27"/>
  <c r="B63" i="27" s="1"/>
  <c r="D32" i="27"/>
  <c r="F32" i="27"/>
  <c r="B33" i="27"/>
  <c r="B64" i="27" s="1"/>
  <c r="D33" i="27"/>
  <c r="C64" i="27" s="1"/>
  <c r="F33" i="27"/>
  <c r="B35" i="27"/>
  <c r="B66" i="27" s="1"/>
  <c r="D35" i="27"/>
  <c r="C66" i="27" s="1"/>
  <c r="F35" i="27"/>
  <c r="D66" i="27" s="1"/>
  <c r="B36" i="27"/>
  <c r="D36" i="27"/>
  <c r="F36" i="27"/>
  <c r="D67" i="27" s="1"/>
  <c r="G67" i="27" s="1"/>
  <c r="B37" i="27"/>
  <c r="B68" i="27" s="1"/>
  <c r="E68" i="27" s="1"/>
  <c r="F68" i="27" s="1"/>
  <c r="AX24" i="13" s="1"/>
  <c r="D37" i="27"/>
  <c r="F37" i="27"/>
  <c r="D68" i="27" s="1"/>
  <c r="G68" i="27" s="1"/>
  <c r="H68" i="27" s="1"/>
  <c r="B38" i="27"/>
  <c r="D38" i="27"/>
  <c r="C69" i="27" s="1"/>
  <c r="F38" i="27"/>
  <c r="B39" i="27"/>
  <c r="D39" i="27"/>
  <c r="F39" i="27"/>
  <c r="D70" i="27" s="1"/>
  <c r="G70" i="27" s="1"/>
  <c r="H70" i="27" s="1"/>
  <c r="B40" i="27"/>
  <c r="D40" i="27"/>
  <c r="C71" i="27" s="1"/>
  <c r="F40" i="27"/>
  <c r="B41" i="27"/>
  <c r="B72" i="27" s="1"/>
  <c r="D41" i="27"/>
  <c r="F41" i="27"/>
  <c r="B42" i="27"/>
  <c r="B73" i="27" s="1"/>
  <c r="D42" i="27"/>
  <c r="C73" i="27" s="1"/>
  <c r="F42" i="27"/>
  <c r="B43" i="27"/>
  <c r="B74" i="27" s="1"/>
  <c r="D43" i="27"/>
  <c r="C74" i="27" s="1"/>
  <c r="F43" i="27"/>
  <c r="D74" i="27" s="1"/>
  <c r="B44" i="27"/>
  <c r="D44" i="27"/>
  <c r="F44" i="27"/>
  <c r="D75" i="27" s="1"/>
  <c r="G75" i="27" s="1"/>
  <c r="B45" i="27"/>
  <c r="B76" i="27" s="1"/>
  <c r="D45" i="27"/>
  <c r="F45" i="27"/>
  <c r="D76" i="27" s="1"/>
  <c r="G76" i="27" s="1"/>
  <c r="H76" i="27" s="1"/>
  <c r="B47" i="27"/>
  <c r="D47" i="27"/>
  <c r="C80" i="27" s="1"/>
  <c r="F47" i="27"/>
  <c r="B48" i="27"/>
  <c r="D48" i="27"/>
  <c r="F48" i="27"/>
  <c r="D81" i="27" s="1"/>
  <c r="G81" i="27" s="1"/>
  <c r="H81" i="27" s="1"/>
  <c r="B49" i="27"/>
  <c r="D49" i="27"/>
  <c r="C82" i="27" s="1"/>
  <c r="E82" i="27" s="1"/>
  <c r="F49" i="27"/>
  <c r="B50" i="27"/>
  <c r="B83" i="27" s="1"/>
  <c r="D50" i="27"/>
  <c r="C83" i="27" s="1"/>
  <c r="F50" i="27"/>
  <c r="B51" i="27"/>
  <c r="D51" i="27"/>
  <c r="C84" i="27" s="1"/>
  <c r="F51" i="27"/>
  <c r="B52" i="27"/>
  <c r="B85" i="27" s="1"/>
  <c r="D52" i="27"/>
  <c r="F52" i="27"/>
  <c r="D85" i="27" s="1"/>
  <c r="G85" i="27" s="1"/>
  <c r="H85" i="27" s="1"/>
  <c r="B53" i="27"/>
  <c r="D53" i="27"/>
  <c r="F53" i="27"/>
  <c r="B54" i="27"/>
  <c r="B87" i="27" s="1"/>
  <c r="E87" i="27" s="1"/>
  <c r="F87" i="27" s="1"/>
  <c r="AX43" i="13" s="1"/>
  <c r="D54" i="27"/>
  <c r="F54" i="27"/>
  <c r="D87" i="27" s="1"/>
  <c r="G87" i="27" s="1"/>
  <c r="H87" i="27" s="1"/>
  <c r="C59" i="27"/>
  <c r="B60" i="27"/>
  <c r="D60" i="27"/>
  <c r="G60" i="27" s="1"/>
  <c r="B61" i="27"/>
  <c r="C61" i="27"/>
  <c r="E61" i="27"/>
  <c r="F61" i="27" s="1"/>
  <c r="AX17" i="13" s="1"/>
  <c r="C63" i="27"/>
  <c r="D63" i="27"/>
  <c r="E63" i="27"/>
  <c r="F63" i="27" s="1"/>
  <c r="AX19" i="13" s="1"/>
  <c r="G63" i="27"/>
  <c r="H63" i="27" s="1"/>
  <c r="D64" i="27"/>
  <c r="G64" i="27" s="1"/>
  <c r="H64" i="27"/>
  <c r="G66" i="27"/>
  <c r="H66" i="27" s="1"/>
  <c r="B67" i="27"/>
  <c r="E67" i="27" s="1"/>
  <c r="F67" i="27" s="1"/>
  <c r="AX23" i="13" s="1"/>
  <c r="C67" i="27"/>
  <c r="H67" i="27"/>
  <c r="C68" i="27"/>
  <c r="B69" i="27"/>
  <c r="D69" i="27"/>
  <c r="G69" i="27" s="1"/>
  <c r="H69" i="27" s="1"/>
  <c r="B70" i="27"/>
  <c r="C70" i="27"/>
  <c r="E70" i="27" s="1"/>
  <c r="F70" i="27" s="1"/>
  <c r="AX26" i="13" s="1"/>
  <c r="B71" i="27"/>
  <c r="E71" i="27" s="1"/>
  <c r="D71" i="27"/>
  <c r="G71" i="27" s="1"/>
  <c r="H71" i="27" s="1"/>
  <c r="F71" i="27"/>
  <c r="AX27" i="13" s="1"/>
  <c r="C72" i="27"/>
  <c r="D72" i="27"/>
  <c r="E72" i="27"/>
  <c r="F72" i="27" s="1"/>
  <c r="AX28" i="13" s="1"/>
  <c r="G72" i="27"/>
  <c r="H72" i="27" s="1"/>
  <c r="D73" i="27"/>
  <c r="G73" i="27" s="1"/>
  <c r="H73" i="27" s="1"/>
  <c r="G74" i="27"/>
  <c r="H74" i="27" s="1"/>
  <c r="B75" i="27"/>
  <c r="E75" i="27" s="1"/>
  <c r="F75" i="27" s="1"/>
  <c r="AX31" i="13" s="1"/>
  <c r="C75" i="27"/>
  <c r="H75" i="27"/>
  <c r="C76" i="27"/>
  <c r="C77" i="27" s="1"/>
  <c r="C78" i="27" s="1"/>
  <c r="D77" i="27"/>
  <c r="B80" i="27"/>
  <c r="D80" i="27"/>
  <c r="G80" i="27" s="1"/>
  <c r="H80" i="27" s="1"/>
  <c r="B81" i="27"/>
  <c r="C81" i="27"/>
  <c r="E81" i="27"/>
  <c r="F81" i="27" s="1"/>
  <c r="AX37" i="13" s="1"/>
  <c r="B82" i="27"/>
  <c r="D82" i="27"/>
  <c r="G82" i="27" s="1"/>
  <c r="F82" i="27"/>
  <c r="AX38" i="13" s="1"/>
  <c r="H82" i="27"/>
  <c r="D83" i="27"/>
  <c r="G83" i="27"/>
  <c r="H83" i="27" s="1"/>
  <c r="B84" i="27"/>
  <c r="D84" i="27"/>
  <c r="G84" i="27"/>
  <c r="H84" i="27"/>
  <c r="C85" i="27"/>
  <c r="B86" i="27"/>
  <c r="E86" i="27" s="1"/>
  <c r="F86" i="27" s="1"/>
  <c r="AX42" i="13" s="1"/>
  <c r="C86" i="27"/>
  <c r="D86" i="27"/>
  <c r="G86" i="27" s="1"/>
  <c r="H86" i="27" s="1"/>
  <c r="C87" i="27"/>
  <c r="B74" i="16"/>
  <c r="D74" i="16"/>
  <c r="F74" i="16"/>
  <c r="D106" i="16" s="1"/>
  <c r="H74" i="16"/>
  <c r="J74" i="16"/>
  <c r="L74" i="16"/>
  <c r="N74" i="16"/>
  <c r="P74" i="16"/>
  <c r="B75" i="16"/>
  <c r="B107" i="16" s="1"/>
  <c r="D75" i="16"/>
  <c r="F75" i="16"/>
  <c r="H75" i="16"/>
  <c r="J75" i="16"/>
  <c r="F107" i="16" s="1"/>
  <c r="L75" i="16"/>
  <c r="N75" i="16"/>
  <c r="P75" i="16"/>
  <c r="B76" i="16"/>
  <c r="D76" i="16"/>
  <c r="F76" i="16"/>
  <c r="D108" i="16" s="1"/>
  <c r="H76" i="16"/>
  <c r="J76" i="16"/>
  <c r="F108" i="16" s="1"/>
  <c r="L76" i="16"/>
  <c r="N76" i="16"/>
  <c r="P76" i="16"/>
  <c r="B78" i="16"/>
  <c r="B77" i="16" s="1"/>
  <c r="D78" i="16"/>
  <c r="D77" i="16" s="1"/>
  <c r="F78" i="16"/>
  <c r="D110" i="16" s="1"/>
  <c r="H78" i="16"/>
  <c r="H77" i="16" s="1"/>
  <c r="J78" i="16"/>
  <c r="F110" i="16" s="1"/>
  <c r="L78" i="16"/>
  <c r="L77" i="16" s="1"/>
  <c r="N78" i="16"/>
  <c r="N77" i="16" s="1"/>
  <c r="P78" i="16"/>
  <c r="P77" i="16" s="1"/>
  <c r="B79" i="16"/>
  <c r="B111" i="16" s="1"/>
  <c r="J111" i="16" s="1"/>
  <c r="D79" i="16"/>
  <c r="F79" i="16"/>
  <c r="D111" i="16" s="1"/>
  <c r="H79" i="16"/>
  <c r="J79" i="16"/>
  <c r="F111" i="16" s="1"/>
  <c r="L79" i="16"/>
  <c r="N79" i="16"/>
  <c r="P79" i="16"/>
  <c r="B81" i="16"/>
  <c r="B113" i="16" s="1"/>
  <c r="D81" i="16"/>
  <c r="F81" i="16"/>
  <c r="D113" i="16" s="1"/>
  <c r="H81" i="16"/>
  <c r="J81" i="16"/>
  <c r="L81" i="16"/>
  <c r="N81" i="16"/>
  <c r="P81" i="16"/>
  <c r="B82" i="16"/>
  <c r="D82" i="16"/>
  <c r="F82" i="16"/>
  <c r="D114" i="16" s="1"/>
  <c r="H82" i="16"/>
  <c r="J82" i="16"/>
  <c r="F114" i="16" s="1"/>
  <c r="L82" i="16"/>
  <c r="N82" i="16"/>
  <c r="P82" i="16"/>
  <c r="I114" i="16" s="1"/>
  <c r="I124" i="16" s="1"/>
  <c r="B83" i="16"/>
  <c r="D83" i="16"/>
  <c r="F83" i="16"/>
  <c r="D115" i="16" s="1"/>
  <c r="H83" i="16"/>
  <c r="J83" i="16"/>
  <c r="F115" i="16" s="1"/>
  <c r="L83" i="16"/>
  <c r="N83" i="16"/>
  <c r="P83" i="16"/>
  <c r="B84" i="16"/>
  <c r="B116" i="16" s="1"/>
  <c r="D84" i="16"/>
  <c r="F84" i="16"/>
  <c r="D116" i="16" s="1"/>
  <c r="H84" i="16"/>
  <c r="J84" i="16"/>
  <c r="F116" i="16" s="1"/>
  <c r="L84" i="16"/>
  <c r="N84" i="16"/>
  <c r="P84" i="16"/>
  <c r="B85" i="16"/>
  <c r="D85" i="16"/>
  <c r="F85" i="16"/>
  <c r="H85" i="16"/>
  <c r="J85" i="16"/>
  <c r="F117" i="16" s="1"/>
  <c r="L85" i="16"/>
  <c r="N85" i="16"/>
  <c r="P85" i="16"/>
  <c r="I117" i="16" s="1"/>
  <c r="B86" i="16"/>
  <c r="B118" i="16" s="1"/>
  <c r="J118" i="16" s="1"/>
  <c r="D86" i="16"/>
  <c r="F86" i="16"/>
  <c r="D118" i="16" s="1"/>
  <c r="H86" i="16"/>
  <c r="J86" i="16"/>
  <c r="F118" i="16" s="1"/>
  <c r="L86" i="16"/>
  <c r="N86" i="16"/>
  <c r="P86" i="16"/>
  <c r="B87" i="16"/>
  <c r="D87" i="16"/>
  <c r="F87" i="16"/>
  <c r="D119" i="16" s="1"/>
  <c r="H87" i="16"/>
  <c r="J87" i="16"/>
  <c r="F119" i="16" s="1"/>
  <c r="L87" i="16"/>
  <c r="N87" i="16"/>
  <c r="P87" i="16"/>
  <c r="B88" i="16"/>
  <c r="B120" i="16" s="1"/>
  <c r="J120" i="16" s="1"/>
  <c r="D88" i="16"/>
  <c r="F88" i="16"/>
  <c r="D120" i="16" s="1"/>
  <c r="H88" i="16"/>
  <c r="J88" i="16"/>
  <c r="F120" i="16" s="1"/>
  <c r="L88" i="16"/>
  <c r="N88" i="16"/>
  <c r="P88" i="16"/>
  <c r="B89" i="16"/>
  <c r="B121" i="16" s="1"/>
  <c r="D89" i="16"/>
  <c r="F89" i="16"/>
  <c r="D121" i="16" s="1"/>
  <c r="H89" i="16"/>
  <c r="J89" i="16"/>
  <c r="L89" i="16"/>
  <c r="N89" i="16"/>
  <c r="P89" i="16"/>
  <c r="B90" i="16"/>
  <c r="B122" i="16" s="1"/>
  <c r="J122" i="16" s="1"/>
  <c r="D90" i="16"/>
  <c r="F90" i="16"/>
  <c r="D122" i="16" s="1"/>
  <c r="H90" i="16"/>
  <c r="J90" i="16"/>
  <c r="F122" i="16" s="1"/>
  <c r="L90" i="16"/>
  <c r="N90" i="16"/>
  <c r="P90" i="16"/>
  <c r="I122" i="16" s="1"/>
  <c r="B91" i="16"/>
  <c r="D91" i="16"/>
  <c r="F91" i="16"/>
  <c r="H91" i="16"/>
  <c r="J91" i="16"/>
  <c r="L91" i="16"/>
  <c r="N91" i="16"/>
  <c r="P91" i="16"/>
  <c r="B93" i="16"/>
  <c r="B127" i="16" s="1"/>
  <c r="J127" i="16" s="1"/>
  <c r="D93" i="16"/>
  <c r="F93" i="16"/>
  <c r="D127" i="16" s="1"/>
  <c r="H93" i="16"/>
  <c r="J93" i="16"/>
  <c r="F127" i="16" s="1"/>
  <c r="L93" i="16"/>
  <c r="N93" i="16"/>
  <c r="P93" i="16"/>
  <c r="B94" i="16"/>
  <c r="D94" i="16"/>
  <c r="F94" i="16"/>
  <c r="D128" i="16" s="1"/>
  <c r="H94" i="16"/>
  <c r="J94" i="16"/>
  <c r="F128" i="16" s="1"/>
  <c r="L94" i="16"/>
  <c r="N94" i="16"/>
  <c r="P94" i="16"/>
  <c r="B95" i="16"/>
  <c r="B129" i="16" s="1"/>
  <c r="J129" i="16" s="1"/>
  <c r="D95" i="16"/>
  <c r="F95" i="16"/>
  <c r="D129" i="16" s="1"/>
  <c r="H95" i="16"/>
  <c r="J95" i="16"/>
  <c r="F129" i="16" s="1"/>
  <c r="L95" i="16"/>
  <c r="N95" i="16"/>
  <c r="P95" i="16"/>
  <c r="B96" i="16"/>
  <c r="B130" i="16" s="1"/>
  <c r="D96" i="16"/>
  <c r="F96" i="16"/>
  <c r="D130" i="16" s="1"/>
  <c r="H96" i="16"/>
  <c r="E130" i="16" s="1"/>
  <c r="J96" i="16"/>
  <c r="F130" i="16" s="1"/>
  <c r="L96" i="16"/>
  <c r="N96" i="16"/>
  <c r="P96" i="16"/>
  <c r="I130" i="16" s="1"/>
  <c r="B97" i="16"/>
  <c r="B131" i="16" s="1"/>
  <c r="J131" i="16" s="1"/>
  <c r="D97" i="16"/>
  <c r="F97" i="16"/>
  <c r="D131" i="16" s="1"/>
  <c r="H97" i="16"/>
  <c r="J97" i="16"/>
  <c r="F131" i="16" s="1"/>
  <c r="L97" i="16"/>
  <c r="N97" i="16"/>
  <c r="P97" i="16"/>
  <c r="I131" i="16" s="1"/>
  <c r="B98" i="16"/>
  <c r="D98" i="16"/>
  <c r="F98" i="16"/>
  <c r="H98" i="16"/>
  <c r="J98" i="16"/>
  <c r="L98" i="16"/>
  <c r="N98" i="16"/>
  <c r="P98" i="16"/>
  <c r="B99" i="16"/>
  <c r="B133" i="16" s="1"/>
  <c r="J133" i="16" s="1"/>
  <c r="D99" i="16"/>
  <c r="F99" i="16"/>
  <c r="D133" i="16" s="1"/>
  <c r="H99" i="16"/>
  <c r="J99" i="16"/>
  <c r="F133" i="16" s="1"/>
  <c r="L99" i="16"/>
  <c r="G133" i="16" s="1"/>
  <c r="N99" i="16"/>
  <c r="P99" i="16"/>
  <c r="B100" i="16"/>
  <c r="D100" i="16"/>
  <c r="F100" i="16"/>
  <c r="H100" i="16"/>
  <c r="J100" i="16"/>
  <c r="F134" i="16" s="1"/>
  <c r="L100" i="16"/>
  <c r="N100" i="16"/>
  <c r="P100" i="16"/>
  <c r="I134" i="16" s="1"/>
  <c r="B106" i="16"/>
  <c r="C106" i="16"/>
  <c r="E106" i="16"/>
  <c r="F106" i="16"/>
  <c r="G106" i="16"/>
  <c r="H106" i="16"/>
  <c r="I106" i="16"/>
  <c r="C107" i="16"/>
  <c r="E107" i="16"/>
  <c r="E109" i="16" s="1"/>
  <c r="G107" i="16"/>
  <c r="H107" i="16"/>
  <c r="I107" i="16"/>
  <c r="B108" i="16"/>
  <c r="C108" i="16"/>
  <c r="E108" i="16"/>
  <c r="G108" i="16"/>
  <c r="H108" i="16"/>
  <c r="I108" i="16"/>
  <c r="G109" i="16"/>
  <c r="I109" i="16"/>
  <c r="B110" i="16"/>
  <c r="J110" i="16" s="1"/>
  <c r="C11" i="17" s="1"/>
  <c r="C110" i="16"/>
  <c r="E110" i="16"/>
  <c r="G110" i="16"/>
  <c r="H110" i="16"/>
  <c r="I110" i="16"/>
  <c r="C111" i="16"/>
  <c r="E111" i="16"/>
  <c r="G111" i="16"/>
  <c r="H111" i="16"/>
  <c r="I111" i="16"/>
  <c r="C113" i="16"/>
  <c r="E113" i="16"/>
  <c r="F113" i="16"/>
  <c r="G113" i="16"/>
  <c r="H113" i="16"/>
  <c r="I113" i="16"/>
  <c r="B114" i="16"/>
  <c r="C114" i="16"/>
  <c r="E114" i="16"/>
  <c r="G114" i="16"/>
  <c r="H114" i="16"/>
  <c r="B115" i="16"/>
  <c r="C115" i="16"/>
  <c r="E115" i="16"/>
  <c r="G115" i="16"/>
  <c r="H115" i="16"/>
  <c r="I115" i="16"/>
  <c r="C116" i="16"/>
  <c r="E116" i="16"/>
  <c r="G116" i="16"/>
  <c r="H116" i="16"/>
  <c r="I116" i="16"/>
  <c r="B117" i="16"/>
  <c r="C117" i="16"/>
  <c r="D117" i="16"/>
  <c r="E117" i="16"/>
  <c r="G117" i="16"/>
  <c r="H117" i="16"/>
  <c r="J117" i="16"/>
  <c r="C118" i="16"/>
  <c r="E118" i="16"/>
  <c r="G118" i="16"/>
  <c r="H118" i="16"/>
  <c r="I118" i="16"/>
  <c r="B119" i="16"/>
  <c r="J119" i="16" s="1"/>
  <c r="C119" i="16"/>
  <c r="E119" i="16"/>
  <c r="G119" i="16"/>
  <c r="H119" i="16"/>
  <c r="I119" i="16"/>
  <c r="C120" i="16"/>
  <c r="E120" i="16"/>
  <c r="G120" i="16"/>
  <c r="H120" i="16"/>
  <c r="I120" i="16"/>
  <c r="C121" i="16"/>
  <c r="E121" i="16"/>
  <c r="F121" i="16"/>
  <c r="G121" i="16"/>
  <c r="H121" i="16"/>
  <c r="I121" i="16"/>
  <c r="C122" i="16"/>
  <c r="E122" i="16"/>
  <c r="G122" i="16"/>
  <c r="H122" i="16"/>
  <c r="B123" i="16"/>
  <c r="C123" i="16"/>
  <c r="D123" i="16"/>
  <c r="E123" i="16"/>
  <c r="F123" i="16"/>
  <c r="F124" i="16" s="1"/>
  <c r="G123" i="16"/>
  <c r="G124" i="16" s="1"/>
  <c r="H123" i="16"/>
  <c r="I123" i="16"/>
  <c r="C124" i="16"/>
  <c r="C127" i="16"/>
  <c r="E127" i="16"/>
  <c r="G127" i="16"/>
  <c r="H127" i="16"/>
  <c r="I127" i="16"/>
  <c r="B128" i="16"/>
  <c r="J128" i="16" s="1"/>
  <c r="C128" i="16"/>
  <c r="E128" i="16"/>
  <c r="G128" i="16"/>
  <c r="H128" i="16"/>
  <c r="I128" i="16"/>
  <c r="C129" i="16"/>
  <c r="E129" i="16"/>
  <c r="G129" i="16"/>
  <c r="H129" i="16"/>
  <c r="I129" i="16"/>
  <c r="C130" i="16"/>
  <c r="G130" i="16"/>
  <c r="H130" i="16"/>
  <c r="C131" i="16"/>
  <c r="E131" i="16"/>
  <c r="G131" i="16"/>
  <c r="H131" i="16"/>
  <c r="B132" i="16"/>
  <c r="C132" i="16"/>
  <c r="D132" i="16"/>
  <c r="E132" i="16"/>
  <c r="F132" i="16"/>
  <c r="G132" i="16"/>
  <c r="H132" i="16"/>
  <c r="I132" i="16"/>
  <c r="C133" i="16"/>
  <c r="E133" i="16"/>
  <c r="H133" i="16"/>
  <c r="I133" i="16"/>
  <c r="B134" i="16"/>
  <c r="J134" i="16" s="1"/>
  <c r="C134" i="16"/>
  <c r="D134" i="16"/>
  <c r="E134" i="16"/>
  <c r="G134" i="16"/>
  <c r="H134" i="16"/>
  <c r="AD140" i="16"/>
  <c r="AE140" i="16"/>
  <c r="BH140" i="16"/>
  <c r="BI140" i="16"/>
  <c r="AD141" i="16"/>
  <c r="BH141" i="16"/>
  <c r="AD142" i="16"/>
  <c r="AD143" i="16" s="1"/>
  <c r="AE142" i="16"/>
  <c r="BH142" i="16"/>
  <c r="BI142" i="16"/>
  <c r="AD144" i="16"/>
  <c r="AE144" i="16"/>
  <c r="BH144" i="16"/>
  <c r="BI144" i="16"/>
  <c r="AD145" i="16"/>
  <c r="BH145" i="16"/>
  <c r="BI145" i="16"/>
  <c r="AE145" i="16" s="1"/>
  <c r="AE147" i="16"/>
  <c r="BI147" i="16"/>
  <c r="AD148" i="16"/>
  <c r="BH148" i="16"/>
  <c r="BI148" i="16"/>
  <c r="AE148" i="16" s="1"/>
  <c r="AD149" i="16"/>
  <c r="AE149" i="16"/>
  <c r="BH149" i="16"/>
  <c r="BI149" i="16"/>
  <c r="AD150" i="16"/>
  <c r="BH150" i="16"/>
  <c r="BI150" i="16"/>
  <c r="AE150" i="16" s="1"/>
  <c r="AD151" i="16"/>
  <c r="AE151" i="16"/>
  <c r="BH151" i="16"/>
  <c r="BI151" i="16"/>
  <c r="AD152" i="16"/>
  <c r="BH152" i="16"/>
  <c r="BI152" i="16"/>
  <c r="AE152" i="16" s="1"/>
  <c r="AD153" i="16"/>
  <c r="AE153" i="16"/>
  <c r="BH153" i="16"/>
  <c r="BI153" i="16"/>
  <c r="AD154" i="16"/>
  <c r="BH154" i="16"/>
  <c r="BI154" i="16"/>
  <c r="AE154" i="16" s="1"/>
  <c r="AD155" i="16"/>
  <c r="AE155" i="16"/>
  <c r="BH155" i="16"/>
  <c r="BI155" i="16"/>
  <c r="AD156" i="16"/>
  <c r="AE156" i="16"/>
  <c r="BH156" i="16"/>
  <c r="BI156" i="16"/>
  <c r="AD157" i="16"/>
  <c r="BH157" i="16"/>
  <c r="AD161" i="16"/>
  <c r="AE161" i="16"/>
  <c r="BH161" i="16"/>
  <c r="BI161" i="16"/>
  <c r="AD162" i="16"/>
  <c r="AE162" i="16"/>
  <c r="BH162" i="16"/>
  <c r="BI162" i="16"/>
  <c r="AD163" i="16"/>
  <c r="AE163" i="16"/>
  <c r="BH163" i="16"/>
  <c r="BI163" i="16"/>
  <c r="AD164" i="16"/>
  <c r="AE164" i="16"/>
  <c r="BH164" i="16"/>
  <c r="BI164" i="16"/>
  <c r="AD165" i="16"/>
  <c r="AE165" i="16"/>
  <c r="BH165" i="16"/>
  <c r="BI165" i="16"/>
  <c r="AD166" i="16"/>
  <c r="AE166" i="16"/>
  <c r="BH166" i="16"/>
  <c r="BI166" i="16"/>
  <c r="AD167" i="16"/>
  <c r="AE167" i="16"/>
  <c r="BH167" i="16"/>
  <c r="BI167" i="16"/>
  <c r="AD168" i="16"/>
  <c r="BH168" i="16"/>
  <c r="B40" i="15"/>
  <c r="BA556" i="78" s="1"/>
  <c r="D40" i="15"/>
  <c r="F40" i="15"/>
  <c r="H40" i="15"/>
  <c r="F72" i="15" s="1"/>
  <c r="J40" i="15"/>
  <c r="H72" i="15" s="1"/>
  <c r="L40" i="15"/>
  <c r="B41" i="15"/>
  <c r="BA557" i="78" s="1"/>
  <c r="D41" i="15"/>
  <c r="F41" i="15"/>
  <c r="H41" i="15"/>
  <c r="H43" i="15" s="1"/>
  <c r="J41" i="15"/>
  <c r="J43" i="15" s="1"/>
  <c r="L41" i="15"/>
  <c r="B42" i="15"/>
  <c r="BA558" i="78" s="1"/>
  <c r="D42" i="15"/>
  <c r="H42" i="15" s="1"/>
  <c r="F74" i="15" s="1"/>
  <c r="F42" i="15"/>
  <c r="J42" i="15"/>
  <c r="H74" i="15" s="1"/>
  <c r="L42" i="15"/>
  <c r="B43" i="15"/>
  <c r="BA559" i="78" s="1"/>
  <c r="D43" i="15"/>
  <c r="F43" i="15"/>
  <c r="B44" i="15"/>
  <c r="BA560" i="78" s="1"/>
  <c r="D44" i="15"/>
  <c r="F44" i="15"/>
  <c r="H44" i="15"/>
  <c r="F76" i="15" s="1"/>
  <c r="J44" i="15"/>
  <c r="H76" i="15" s="1"/>
  <c r="L44" i="15"/>
  <c r="B45" i="15"/>
  <c r="BA561" i="78" s="1"/>
  <c r="D45" i="15"/>
  <c r="F45" i="15"/>
  <c r="H45" i="15"/>
  <c r="J45" i="15"/>
  <c r="L45" i="15"/>
  <c r="L77" i="15" s="1"/>
  <c r="B47" i="15"/>
  <c r="BA563" i="78" s="1"/>
  <c r="D47" i="15"/>
  <c r="H47" i="15" s="1"/>
  <c r="F79" i="15" s="1"/>
  <c r="F47" i="15"/>
  <c r="J47" i="15"/>
  <c r="L47" i="15"/>
  <c r="B48" i="15"/>
  <c r="BA564" i="78" s="1"/>
  <c r="D48" i="15"/>
  <c r="L48" i="15"/>
  <c r="B49" i="15"/>
  <c r="BA565" i="78" s="1"/>
  <c r="D49" i="15"/>
  <c r="F49" i="15"/>
  <c r="D81" i="15" s="1"/>
  <c r="H49" i="15"/>
  <c r="F81" i="15" s="1"/>
  <c r="J49" i="15"/>
  <c r="H81" i="15" s="1"/>
  <c r="L49" i="15"/>
  <c r="B50" i="15"/>
  <c r="BA566" i="78" s="1"/>
  <c r="D50" i="15"/>
  <c r="F50" i="15"/>
  <c r="H50" i="15"/>
  <c r="J50" i="15"/>
  <c r="L50" i="15"/>
  <c r="L82" i="15" s="1"/>
  <c r="B51" i="15"/>
  <c r="BA567" i="78" s="1"/>
  <c r="D51" i="15"/>
  <c r="H51" i="15" s="1"/>
  <c r="F83" i="15" s="1"/>
  <c r="F51" i="15"/>
  <c r="J51" i="15"/>
  <c r="H83" i="15" s="1"/>
  <c r="L51" i="15"/>
  <c r="B52" i="15"/>
  <c r="BA568" i="78" s="1"/>
  <c r="D52" i="15"/>
  <c r="L52" i="15"/>
  <c r="B53" i="15"/>
  <c r="BA569" i="78" s="1"/>
  <c r="D53" i="15"/>
  <c r="F53" i="15"/>
  <c r="H53" i="15"/>
  <c r="F85" i="15" s="1"/>
  <c r="J53" i="15"/>
  <c r="H85" i="15" s="1"/>
  <c r="L53" i="15"/>
  <c r="B54" i="15"/>
  <c r="BA570" i="78" s="1"/>
  <c r="D54" i="15"/>
  <c r="F54" i="15"/>
  <c r="H54" i="15"/>
  <c r="J54" i="15"/>
  <c r="L54" i="15"/>
  <c r="L86" i="15" s="1"/>
  <c r="B55" i="15"/>
  <c r="BA571" i="78" s="1"/>
  <c r="D55" i="15"/>
  <c r="H55" i="15" s="1"/>
  <c r="F87" i="15" s="1"/>
  <c r="F55" i="15"/>
  <c r="J55" i="15"/>
  <c r="L55" i="15"/>
  <c r="B56" i="15"/>
  <c r="BA572" i="78" s="1"/>
  <c r="D56" i="15"/>
  <c r="L56" i="15"/>
  <c r="B57" i="15"/>
  <c r="BA573" i="78" s="1"/>
  <c r="D57" i="15"/>
  <c r="F57" i="15"/>
  <c r="D89" i="15" s="1"/>
  <c r="H57" i="15"/>
  <c r="F89" i="15" s="1"/>
  <c r="J57" i="15"/>
  <c r="H89" i="15" s="1"/>
  <c r="L57" i="15"/>
  <c r="B59" i="15"/>
  <c r="BA577" i="78" s="1"/>
  <c r="D59" i="15"/>
  <c r="F59" i="15"/>
  <c r="H59" i="15"/>
  <c r="J59" i="15"/>
  <c r="L59" i="15"/>
  <c r="L93" i="15" s="1"/>
  <c r="B60" i="15"/>
  <c r="BA578" i="78" s="1"/>
  <c r="D60" i="15"/>
  <c r="H60" i="15" s="1"/>
  <c r="F94" i="15" s="1"/>
  <c r="F60" i="15"/>
  <c r="J60" i="15"/>
  <c r="L60" i="15"/>
  <c r="B61" i="15"/>
  <c r="BA579" i="78" s="1"/>
  <c r="D61" i="15"/>
  <c r="L61" i="15"/>
  <c r="B62" i="15"/>
  <c r="BA580" i="78" s="1"/>
  <c r="D62" i="15"/>
  <c r="F62" i="15"/>
  <c r="H62" i="15"/>
  <c r="F96" i="15" s="1"/>
  <c r="J62" i="15"/>
  <c r="L62" i="15"/>
  <c r="B63" i="15"/>
  <c r="BA581" i="78" s="1"/>
  <c r="D63" i="15"/>
  <c r="F63" i="15"/>
  <c r="H63" i="15"/>
  <c r="J63" i="15"/>
  <c r="L63" i="15"/>
  <c r="L97" i="15" s="1"/>
  <c r="B64" i="15"/>
  <c r="BA582" i="78" s="1"/>
  <c r="D64" i="15"/>
  <c r="H64" i="15" s="1"/>
  <c r="F98" i="15" s="1"/>
  <c r="F64" i="15"/>
  <c r="J64" i="15"/>
  <c r="L64" i="15"/>
  <c r="B65" i="15"/>
  <c r="BA583" i="78" s="1"/>
  <c r="D65" i="15"/>
  <c r="L65" i="15"/>
  <c r="B66" i="15"/>
  <c r="BA584" i="78" s="1"/>
  <c r="D66" i="15"/>
  <c r="F66" i="15"/>
  <c r="H66" i="15"/>
  <c r="F100" i="15" s="1"/>
  <c r="J66" i="15"/>
  <c r="H100" i="15" s="1"/>
  <c r="L66" i="15"/>
  <c r="B72" i="15"/>
  <c r="P556" i="78" s="1"/>
  <c r="D72" i="15"/>
  <c r="J72" i="15"/>
  <c r="CM15" i="13" s="1"/>
  <c r="L72" i="15"/>
  <c r="B73" i="15"/>
  <c r="P557" i="78" s="1"/>
  <c r="D73" i="15"/>
  <c r="F73" i="15"/>
  <c r="H73" i="15"/>
  <c r="J73" i="15"/>
  <c r="CM16" i="13" s="1"/>
  <c r="B74" i="15"/>
  <c r="P558" i="78" s="1"/>
  <c r="D74" i="15"/>
  <c r="L74" i="15"/>
  <c r="B75" i="15"/>
  <c r="P559" i="78" s="1"/>
  <c r="B76" i="15"/>
  <c r="P560" i="78" s="1"/>
  <c r="D76" i="15"/>
  <c r="J76" i="15"/>
  <c r="CM19" i="13" s="1"/>
  <c r="L76" i="15"/>
  <c r="B77" i="15"/>
  <c r="P561" i="78" s="1"/>
  <c r="D77" i="15"/>
  <c r="F77" i="15"/>
  <c r="H77" i="15"/>
  <c r="J77" i="15"/>
  <c r="CM20" i="13" s="1"/>
  <c r="B79" i="15"/>
  <c r="P563" i="78" s="1"/>
  <c r="D79" i="15"/>
  <c r="H79" i="15"/>
  <c r="J79" i="15"/>
  <c r="CM22" i="13" s="1"/>
  <c r="L79" i="15"/>
  <c r="J80" i="15"/>
  <c r="CM23" i="13" s="1"/>
  <c r="L80" i="15"/>
  <c r="B81" i="15"/>
  <c r="P565" i="78" s="1"/>
  <c r="J81" i="15"/>
  <c r="CM24" i="13" s="1"/>
  <c r="L81" i="15"/>
  <c r="B82" i="15"/>
  <c r="P566" i="78" s="1"/>
  <c r="D82" i="15"/>
  <c r="F82" i="15"/>
  <c r="H82" i="15"/>
  <c r="J82" i="15"/>
  <c r="CM25" i="13" s="1"/>
  <c r="B83" i="15"/>
  <c r="P567" i="78" s="1"/>
  <c r="D83" i="15"/>
  <c r="L83" i="15"/>
  <c r="B84" i="15"/>
  <c r="J84" i="15"/>
  <c r="CM27" i="13" s="1"/>
  <c r="L84" i="15"/>
  <c r="B85" i="15"/>
  <c r="P569" i="78" s="1"/>
  <c r="D85" i="15"/>
  <c r="J85" i="15"/>
  <c r="CM28" i="13" s="1"/>
  <c r="L85" i="15"/>
  <c r="B86" i="15"/>
  <c r="P570" i="78" s="1"/>
  <c r="D86" i="15"/>
  <c r="F86" i="15"/>
  <c r="H86" i="15"/>
  <c r="J86" i="15"/>
  <c r="CM29" i="13" s="1"/>
  <c r="B87" i="15"/>
  <c r="P571" i="78" s="1"/>
  <c r="D87" i="15"/>
  <c r="H87" i="15"/>
  <c r="J87" i="15"/>
  <c r="CM30" i="13" s="1"/>
  <c r="L87" i="15"/>
  <c r="J88" i="15"/>
  <c r="CM31" i="13" s="1"/>
  <c r="L88" i="15"/>
  <c r="B89" i="15"/>
  <c r="P573" i="78" s="1"/>
  <c r="J89" i="15"/>
  <c r="CM32" i="13" s="1"/>
  <c r="L89" i="15"/>
  <c r="L90" i="15" s="1"/>
  <c r="L91" i="15" s="1"/>
  <c r="B93" i="15"/>
  <c r="D93" i="15"/>
  <c r="F93" i="15"/>
  <c r="H93" i="15"/>
  <c r="J93" i="15"/>
  <c r="CM36" i="13" s="1"/>
  <c r="B94" i="15"/>
  <c r="P578" i="78" s="1"/>
  <c r="D94" i="15"/>
  <c r="H94" i="15"/>
  <c r="L94" i="15"/>
  <c r="J95" i="15"/>
  <c r="CM38" i="13" s="1"/>
  <c r="L95" i="15"/>
  <c r="B96" i="15"/>
  <c r="P580" i="78" s="1"/>
  <c r="D96" i="15"/>
  <c r="H96" i="15"/>
  <c r="J96" i="15"/>
  <c r="CM39" i="13" s="1"/>
  <c r="L96" i="15"/>
  <c r="B97" i="15"/>
  <c r="P581" i="78" s="1"/>
  <c r="D97" i="15"/>
  <c r="F97" i="15"/>
  <c r="H97" i="15"/>
  <c r="J97" i="15"/>
  <c r="B98" i="15"/>
  <c r="P582" i="78" s="1"/>
  <c r="D98" i="15"/>
  <c r="H98" i="15"/>
  <c r="L98" i="15"/>
  <c r="J99" i="15"/>
  <c r="CM42" i="13" s="1"/>
  <c r="L99" i="15"/>
  <c r="B100" i="15"/>
  <c r="P584" i="78" s="1"/>
  <c r="D100" i="15"/>
  <c r="J100" i="15"/>
  <c r="CM43" i="13" s="1"/>
  <c r="L100" i="15"/>
  <c r="B73" i="63"/>
  <c r="D73" i="63"/>
  <c r="F73" i="63"/>
  <c r="H73" i="63"/>
  <c r="J73" i="63"/>
  <c r="L73" i="63"/>
  <c r="N73" i="63"/>
  <c r="T105" i="63" s="1"/>
  <c r="V105" i="63" s="1" a="1"/>
  <c r="V105" i="63" s="1"/>
  <c r="W105" i="63" s="1"/>
  <c r="P73" i="63"/>
  <c r="U105" i="63" s="1"/>
  <c r="R73" i="63"/>
  <c r="T73" i="63"/>
  <c r="B74" i="63"/>
  <c r="D74" i="63"/>
  <c r="F74" i="63"/>
  <c r="H74" i="63"/>
  <c r="J74" i="63"/>
  <c r="L74" i="63"/>
  <c r="L76" i="63" s="1"/>
  <c r="AA108" i="63" s="1"/>
  <c r="N74" i="63"/>
  <c r="P74" i="63"/>
  <c r="R74" i="63"/>
  <c r="T74" i="63"/>
  <c r="B75" i="63"/>
  <c r="D75" i="63"/>
  <c r="F75" i="63"/>
  <c r="H75" i="63"/>
  <c r="H76" i="63" s="1"/>
  <c r="Y108" i="63" s="1"/>
  <c r="J75" i="63"/>
  <c r="L75" i="63"/>
  <c r="N75" i="63"/>
  <c r="P75" i="63"/>
  <c r="R75" i="63"/>
  <c r="T75" i="63"/>
  <c r="B76" i="63"/>
  <c r="D108" i="63" s="1"/>
  <c r="D76" i="63"/>
  <c r="R76" i="63"/>
  <c r="T76" i="63"/>
  <c r="B77" i="63"/>
  <c r="D77" i="63"/>
  <c r="F77" i="63"/>
  <c r="H77" i="63"/>
  <c r="J77" i="63"/>
  <c r="L77" i="63"/>
  <c r="N77" i="63"/>
  <c r="P77" i="63"/>
  <c r="P76" i="63" s="1"/>
  <c r="U108" i="63" s="1"/>
  <c r="R77" i="63"/>
  <c r="T77" i="63"/>
  <c r="B78" i="63"/>
  <c r="D78" i="63"/>
  <c r="F78" i="63"/>
  <c r="H78" i="63"/>
  <c r="J78" i="63"/>
  <c r="Z110" i="63" s="1"/>
  <c r="L78" i="63"/>
  <c r="N78" i="63"/>
  <c r="P78" i="63"/>
  <c r="R78" i="63"/>
  <c r="T78" i="63"/>
  <c r="B80" i="63"/>
  <c r="D80" i="63"/>
  <c r="F80" i="63"/>
  <c r="X112" i="63" s="1"/>
  <c r="H80" i="63"/>
  <c r="J80" i="63"/>
  <c r="L80" i="63"/>
  <c r="N80" i="63"/>
  <c r="P80" i="63"/>
  <c r="R80" i="63"/>
  <c r="T80" i="63"/>
  <c r="B81" i="63"/>
  <c r="D113" i="63" s="1"/>
  <c r="D81" i="63"/>
  <c r="F81" i="63"/>
  <c r="H81" i="63"/>
  <c r="J81" i="63"/>
  <c r="L81" i="63"/>
  <c r="N81" i="63"/>
  <c r="P81" i="63"/>
  <c r="R81" i="63"/>
  <c r="V113" i="63" s="1" a="1"/>
  <c r="V113" i="63" s="1"/>
  <c r="T81" i="63"/>
  <c r="B82" i="63"/>
  <c r="D82" i="63"/>
  <c r="F82" i="63"/>
  <c r="H82" i="63"/>
  <c r="J82" i="63"/>
  <c r="L82" i="63"/>
  <c r="N82" i="63"/>
  <c r="T114" i="63" s="1"/>
  <c r="P82" i="63"/>
  <c r="U114" i="63" s="1"/>
  <c r="R82" i="63"/>
  <c r="T82" i="63"/>
  <c r="B83" i="63"/>
  <c r="D83" i="63"/>
  <c r="F83" i="63"/>
  <c r="H83" i="63"/>
  <c r="J83" i="63"/>
  <c r="Z115" i="63" s="1"/>
  <c r="L83" i="63"/>
  <c r="N83" i="63"/>
  <c r="P83" i="63"/>
  <c r="R83" i="63"/>
  <c r="T83" i="63"/>
  <c r="B84" i="63"/>
  <c r="D84" i="63"/>
  <c r="F84" i="63"/>
  <c r="X116" i="63" s="1"/>
  <c r="H84" i="63"/>
  <c r="J84" i="63"/>
  <c r="L84" i="63"/>
  <c r="N84" i="63"/>
  <c r="P84" i="63"/>
  <c r="R84" i="63"/>
  <c r="T84" i="63"/>
  <c r="B85" i="63"/>
  <c r="D117" i="63" s="1"/>
  <c r="D85" i="63"/>
  <c r="F85" i="63"/>
  <c r="H85" i="63"/>
  <c r="J85" i="63"/>
  <c r="L85" i="63"/>
  <c r="N85" i="63"/>
  <c r="P85" i="63"/>
  <c r="R85" i="63"/>
  <c r="V117" i="63" s="1" a="1"/>
  <c r="V117" i="63" s="1"/>
  <c r="W117" i="63" s="1"/>
  <c r="T85" i="63"/>
  <c r="B86" i="63"/>
  <c r="D86" i="63"/>
  <c r="F86" i="63"/>
  <c r="H86" i="63"/>
  <c r="J86" i="63"/>
  <c r="L86" i="63"/>
  <c r="N86" i="63"/>
  <c r="T118" i="63" s="1"/>
  <c r="P86" i="63"/>
  <c r="U118" i="63" s="1"/>
  <c r="R86" i="63"/>
  <c r="T86" i="63"/>
  <c r="B87" i="63"/>
  <c r="D87" i="63"/>
  <c r="F87" i="63"/>
  <c r="H87" i="63"/>
  <c r="J87" i="63"/>
  <c r="Z119" i="63" s="1"/>
  <c r="L87" i="63"/>
  <c r="N87" i="63"/>
  <c r="P87" i="63"/>
  <c r="R87" i="63"/>
  <c r="T87" i="63"/>
  <c r="B88" i="63"/>
  <c r="D88" i="63"/>
  <c r="F88" i="63"/>
  <c r="X120" i="63" s="1"/>
  <c r="H88" i="63"/>
  <c r="J88" i="63"/>
  <c r="L88" i="63"/>
  <c r="N88" i="63"/>
  <c r="P88" i="63"/>
  <c r="R88" i="63"/>
  <c r="T88" i="63"/>
  <c r="B89" i="63"/>
  <c r="D121" i="63" s="1"/>
  <c r="D89" i="63"/>
  <c r="F89" i="63"/>
  <c r="H89" i="63"/>
  <c r="J89" i="63"/>
  <c r="L89" i="63"/>
  <c r="N89" i="63"/>
  <c r="P89" i="63"/>
  <c r="R89" i="63"/>
  <c r="V121" i="63" s="1" a="1"/>
  <c r="V121" i="63" s="1"/>
  <c r="W121" i="63" s="1"/>
  <c r="T89" i="63"/>
  <c r="B90" i="63"/>
  <c r="D90" i="63"/>
  <c r="F90" i="63"/>
  <c r="H90" i="63"/>
  <c r="J90" i="63"/>
  <c r="L90" i="63"/>
  <c r="N90" i="63"/>
  <c r="P90" i="63"/>
  <c r="U122" i="63" s="1"/>
  <c r="R90" i="63"/>
  <c r="T90" i="63"/>
  <c r="B92" i="63"/>
  <c r="D92" i="63"/>
  <c r="F92" i="63"/>
  <c r="H92" i="63"/>
  <c r="J92" i="63"/>
  <c r="L92" i="63"/>
  <c r="N92" i="63"/>
  <c r="P92" i="63"/>
  <c r="R92" i="63"/>
  <c r="T92" i="63"/>
  <c r="B93" i="63"/>
  <c r="D93" i="63"/>
  <c r="F93" i="63"/>
  <c r="H93" i="63"/>
  <c r="J93" i="63"/>
  <c r="L93" i="63"/>
  <c r="N93" i="63"/>
  <c r="P93" i="63"/>
  <c r="R93" i="63"/>
  <c r="T93" i="63"/>
  <c r="B94" i="63"/>
  <c r="D128" i="63" s="1"/>
  <c r="D94" i="63"/>
  <c r="F94" i="63"/>
  <c r="H94" i="63"/>
  <c r="J94" i="63"/>
  <c r="L94" i="63"/>
  <c r="N94" i="63"/>
  <c r="P94" i="63"/>
  <c r="R94" i="63"/>
  <c r="T94" i="63"/>
  <c r="B95" i="63"/>
  <c r="D95" i="63"/>
  <c r="F95" i="63"/>
  <c r="H95" i="63"/>
  <c r="J95" i="63"/>
  <c r="L95" i="63"/>
  <c r="N95" i="63"/>
  <c r="P95" i="63"/>
  <c r="R95" i="63"/>
  <c r="T95" i="63"/>
  <c r="B96" i="63"/>
  <c r="D96" i="63"/>
  <c r="F96" i="63"/>
  <c r="H96" i="63"/>
  <c r="J96" i="63"/>
  <c r="L96" i="63"/>
  <c r="N96" i="63"/>
  <c r="P96" i="63"/>
  <c r="R96" i="63"/>
  <c r="T96" i="63"/>
  <c r="B97" i="63"/>
  <c r="D97" i="63"/>
  <c r="F97" i="63"/>
  <c r="X131" i="63" s="1"/>
  <c r="H97" i="63"/>
  <c r="J97" i="63"/>
  <c r="L97" i="63"/>
  <c r="N97" i="63"/>
  <c r="P97" i="63"/>
  <c r="R97" i="63"/>
  <c r="T97" i="63"/>
  <c r="B98" i="63"/>
  <c r="D98" i="63"/>
  <c r="F98" i="63"/>
  <c r="H98" i="63"/>
  <c r="J98" i="63"/>
  <c r="L98" i="63"/>
  <c r="N98" i="63"/>
  <c r="P98" i="63"/>
  <c r="R98" i="63"/>
  <c r="T98" i="63"/>
  <c r="B99" i="63"/>
  <c r="D99" i="63"/>
  <c r="F99" i="63"/>
  <c r="H99" i="63"/>
  <c r="J99" i="63"/>
  <c r="L99" i="63"/>
  <c r="N99" i="63"/>
  <c r="P99" i="63"/>
  <c r="R99" i="63"/>
  <c r="T99" i="63"/>
  <c r="B105" i="63"/>
  <c r="C105" i="63"/>
  <c r="D105" i="63"/>
  <c r="AO105" i="63" s="1"/>
  <c r="AP105" i="63" s="1"/>
  <c r="E105" i="63"/>
  <c r="F105" i="63"/>
  <c r="G105" i="63"/>
  <c r="AU105" i="63" s="1"/>
  <c r="H105" i="63"/>
  <c r="I105" i="63"/>
  <c r="J105" i="63"/>
  <c r="K105" i="63"/>
  <c r="AZ556" i="78" s="1"/>
  <c r="L105" i="63"/>
  <c r="BE105" i="63" s="1"/>
  <c r="BF105" i="63" s="1"/>
  <c r="M105" i="63"/>
  <c r="N105" i="63"/>
  <c r="BI105" i="63" s="1"/>
  <c r="O105" i="63"/>
  <c r="BK105" i="63" s="1"/>
  <c r="BL105" i="63" s="1"/>
  <c r="P105" i="63"/>
  <c r="BM105" i="63" s="1"/>
  <c r="BN105" i="63" s="1"/>
  <c r="Q105" i="63"/>
  <c r="R105" i="63"/>
  <c r="X105" i="63"/>
  <c r="Y105" i="63"/>
  <c r="Z105" i="63"/>
  <c r="AA105" i="63"/>
  <c r="AB105" i="63"/>
  <c r="AC105" i="63"/>
  <c r="AD105" i="63"/>
  <c r="AE105" i="63"/>
  <c r="AF105" i="63"/>
  <c r="AG105" i="63"/>
  <c r="AH105" i="63"/>
  <c r="AI105" i="63"/>
  <c r="AJ105" i="63"/>
  <c r="AK105" i="63"/>
  <c r="AL105" i="63" s="1"/>
  <c r="AQ105" i="63"/>
  <c r="AR105" i="63"/>
  <c r="AS105" i="63"/>
  <c r="AT105" i="63" s="1"/>
  <c r="B106" i="63"/>
  <c r="C106" i="63"/>
  <c r="AM106" i="63" s="1"/>
  <c r="AN106" i="63" s="1"/>
  <c r="D106" i="63"/>
  <c r="E106" i="63"/>
  <c r="F106" i="63"/>
  <c r="G106" i="63"/>
  <c r="H106" i="63"/>
  <c r="I106" i="63"/>
  <c r="J106" i="63"/>
  <c r="K106" i="63"/>
  <c r="AZ557" i="78" s="1"/>
  <c r="L106" i="63"/>
  <c r="M106" i="63"/>
  <c r="N106" i="63"/>
  <c r="O106" i="63"/>
  <c r="P106" i="63"/>
  <c r="Q106" i="63"/>
  <c r="R106" i="63"/>
  <c r="T106" i="63"/>
  <c r="V106" i="63" s="1" a="1"/>
  <c r="V106" i="63" s="1"/>
  <c r="W106" i="63" s="1"/>
  <c r="BF16" i="13" s="1"/>
  <c r="BG16" i="13" s="1"/>
  <c r="U106" i="63"/>
  <c r="X106" i="63"/>
  <c r="Y106" i="63"/>
  <c r="AA106" i="63"/>
  <c r="AB106" i="63"/>
  <c r="AY106" i="63" s="1"/>
  <c r="AZ106" i="63" s="1"/>
  <c r="AC106" i="63"/>
  <c r="AD106" i="63"/>
  <c r="AE106" i="63"/>
  <c r="AF106" i="63"/>
  <c r="AG106" i="63"/>
  <c r="AH106" i="63"/>
  <c r="AI106" i="63"/>
  <c r="AJ106" i="63"/>
  <c r="AQ106" i="63"/>
  <c r="AR106" i="63" s="1"/>
  <c r="AS106" i="63"/>
  <c r="AT106" i="63" s="1"/>
  <c r="BK106" i="63"/>
  <c r="BL106" i="63"/>
  <c r="BM106" i="63"/>
  <c r="BN106" i="63" s="1"/>
  <c r="BO106" i="63"/>
  <c r="B107" i="63"/>
  <c r="C107" i="63"/>
  <c r="D107" i="63"/>
  <c r="E107" i="63"/>
  <c r="F107" i="63"/>
  <c r="G107" i="63"/>
  <c r="H107" i="63"/>
  <c r="I107" i="63"/>
  <c r="J107" i="63"/>
  <c r="K107" i="63"/>
  <c r="L107" i="63"/>
  <c r="M107" i="63"/>
  <c r="N107" i="63"/>
  <c r="O107" i="63"/>
  <c r="P107" i="63"/>
  <c r="Q107" i="63"/>
  <c r="R107" i="63"/>
  <c r="T107" i="63"/>
  <c r="V107" i="63" s="1" a="1"/>
  <c r="V107" i="63" s="1"/>
  <c r="W107" i="63" s="1"/>
  <c r="BF17" i="13" s="1"/>
  <c r="BG17" i="13" s="1"/>
  <c r="U107" i="63"/>
  <c r="Y107" i="63"/>
  <c r="Z107" i="63"/>
  <c r="AA107" i="63"/>
  <c r="AB107" i="63"/>
  <c r="AC107" i="63"/>
  <c r="AD107" i="63"/>
  <c r="AE107" i="63"/>
  <c r="AF107" i="63"/>
  <c r="AG107" i="63"/>
  <c r="AH107" i="63"/>
  <c r="AI107" i="63"/>
  <c r="AJ107" i="63"/>
  <c r="AO107" i="63"/>
  <c r="AP107" i="63"/>
  <c r="AQ107" i="63"/>
  <c r="AR107" i="63" s="1"/>
  <c r="AS107" i="63"/>
  <c r="AT107" i="63"/>
  <c r="BK107" i="63"/>
  <c r="BL107" i="63" s="1"/>
  <c r="BM107" i="63"/>
  <c r="BN107" i="63" s="1"/>
  <c r="B108" i="63"/>
  <c r="AK108" i="63" s="1"/>
  <c r="C108" i="63"/>
  <c r="E108" i="63"/>
  <c r="F108" i="63"/>
  <c r="G108" i="63"/>
  <c r="H108" i="63"/>
  <c r="I108" i="63"/>
  <c r="J108" i="63"/>
  <c r="BA108" i="63" s="1"/>
  <c r="BB108" i="63" s="1"/>
  <c r="CQ18" i="13" s="1"/>
  <c r="K108" i="63"/>
  <c r="AZ559" i="78" s="1"/>
  <c r="L108" i="63"/>
  <c r="M108" i="63"/>
  <c r="N108" i="63"/>
  <c r="O108" i="63"/>
  <c r="P108" i="63"/>
  <c r="BM108" i="63" s="1"/>
  <c r="BN108" i="63" s="1"/>
  <c r="Q108" i="63"/>
  <c r="R108" i="63"/>
  <c r="AB108" i="63"/>
  <c r="AC108" i="63"/>
  <c r="AD108" i="63"/>
  <c r="AE108" i="63"/>
  <c r="AF108" i="63"/>
  <c r="AG108" i="63"/>
  <c r="AH108" i="63"/>
  <c r="AI108" i="63"/>
  <c r="AJ108" i="63"/>
  <c r="AQ108" i="63"/>
  <c r="AR108" i="63"/>
  <c r="AS108" i="63"/>
  <c r="AT108" i="63" s="1"/>
  <c r="AU108" i="63"/>
  <c r="M559" i="78" s="1"/>
  <c r="AV108" i="63"/>
  <c r="AO18" i="13" s="1"/>
  <c r="BK108" i="63"/>
  <c r="BL108" i="63" s="1"/>
  <c r="B109" i="63"/>
  <c r="C109" i="63"/>
  <c r="D109" i="63"/>
  <c r="AO109" i="63" s="1"/>
  <c r="AP109" i="63" s="1"/>
  <c r="E109" i="63"/>
  <c r="F109" i="63"/>
  <c r="G109" i="63"/>
  <c r="AU109" i="63" s="1"/>
  <c r="H109" i="63"/>
  <c r="AW109" i="63" s="1"/>
  <c r="I109" i="63"/>
  <c r="J109" i="63"/>
  <c r="K109" i="63"/>
  <c r="AZ560" i="78" s="1"/>
  <c r="L109" i="63"/>
  <c r="BE109" i="63" s="1"/>
  <c r="BF109" i="63" s="1"/>
  <c r="M109" i="63"/>
  <c r="N109" i="63"/>
  <c r="O109" i="63"/>
  <c r="BK109" i="63" s="1"/>
  <c r="BL109" i="63" s="1"/>
  <c r="P109" i="63"/>
  <c r="BM109" i="63" s="1"/>
  <c r="BN109" i="63" s="1"/>
  <c r="Q109" i="63"/>
  <c r="R109" i="63"/>
  <c r="X109" i="63"/>
  <c r="Y109" i="63"/>
  <c r="Z109" i="63"/>
  <c r="AA109" i="63"/>
  <c r="AB109" i="63"/>
  <c r="AC109" i="63"/>
  <c r="AD109" i="63"/>
  <c r="AE109" i="63"/>
  <c r="AF109" i="63"/>
  <c r="AG109" i="63"/>
  <c r="AH109" i="63"/>
  <c r="AI109" i="63"/>
  <c r="AJ109" i="63"/>
  <c r="AK109" i="63"/>
  <c r="AL109" i="63" s="1"/>
  <c r="AQ109" i="63"/>
  <c r="AR109" i="63" s="1"/>
  <c r="AS109" i="63"/>
  <c r="AT109" i="63" s="1"/>
  <c r="BA109" i="63"/>
  <c r="BB109" i="63"/>
  <c r="CQ19" i="13" s="1"/>
  <c r="BI109" i="63"/>
  <c r="Q560" i="78" s="1"/>
  <c r="B110" i="63"/>
  <c r="C110" i="63"/>
  <c r="D110" i="63"/>
  <c r="E110" i="63"/>
  <c r="AQ110" i="63" s="1"/>
  <c r="AR110" i="63" s="1"/>
  <c r="F110" i="63"/>
  <c r="G110" i="63"/>
  <c r="H110" i="63"/>
  <c r="I110" i="63"/>
  <c r="J110" i="63"/>
  <c r="K110" i="63"/>
  <c r="AZ561" i="78" s="1"/>
  <c r="L110" i="63"/>
  <c r="M110" i="63"/>
  <c r="N110" i="63"/>
  <c r="O110" i="63"/>
  <c r="P110" i="63"/>
  <c r="Q110" i="63"/>
  <c r="R110" i="63"/>
  <c r="T110" i="63"/>
  <c r="U110" i="63"/>
  <c r="X110" i="63"/>
  <c r="Y110" i="63"/>
  <c r="AA110" i="63"/>
  <c r="AB110" i="63"/>
  <c r="AC110" i="63"/>
  <c r="AD110" i="63"/>
  <c r="AE110" i="63"/>
  <c r="AF110" i="63"/>
  <c r="AG110" i="63"/>
  <c r="AH110" i="63"/>
  <c r="AI110" i="63"/>
  <c r="AJ110" i="63"/>
  <c r="AS110" i="63"/>
  <c r="AT110" i="63" s="1"/>
  <c r="BK110" i="63"/>
  <c r="BL110" i="63" s="1"/>
  <c r="BM110" i="63"/>
  <c r="BN110" i="63" s="1"/>
  <c r="B112" i="63"/>
  <c r="C112" i="63"/>
  <c r="D112" i="63"/>
  <c r="E112" i="63"/>
  <c r="F112" i="63"/>
  <c r="G112" i="63"/>
  <c r="H112" i="63"/>
  <c r="I112" i="63"/>
  <c r="J112" i="63"/>
  <c r="K112" i="63"/>
  <c r="L112" i="63"/>
  <c r="M112" i="63"/>
  <c r="N112" i="63"/>
  <c r="O112" i="63"/>
  <c r="P112" i="63"/>
  <c r="Q112" i="63"/>
  <c r="R112" i="63"/>
  <c r="T112" i="63"/>
  <c r="V112" i="63" s="1" a="1"/>
  <c r="V112" i="63" s="1"/>
  <c r="W112" i="63" s="1"/>
  <c r="BF22" i="13" s="1"/>
  <c r="BG22" i="13" s="1"/>
  <c r="U112" i="63"/>
  <c r="Y112" i="63"/>
  <c r="Z112" i="63"/>
  <c r="AA112" i="63"/>
  <c r="AB112" i="63"/>
  <c r="AC112" i="63"/>
  <c r="AD112" i="63"/>
  <c r="AE112" i="63"/>
  <c r="AF112" i="63"/>
  <c r="AG112" i="63"/>
  <c r="AH112" i="63"/>
  <c r="AI112" i="63"/>
  <c r="AJ112" i="63"/>
  <c r="AO112" i="63"/>
  <c r="AP112" i="63"/>
  <c r="AQ112" i="63"/>
  <c r="AR112" i="63" s="1"/>
  <c r="AS112" i="63"/>
  <c r="AT112" i="63" s="1"/>
  <c r="BE112" i="63"/>
  <c r="BF112" i="63" s="1"/>
  <c r="BK112" i="63"/>
  <c r="BL112" i="63" s="1"/>
  <c r="BM112" i="63"/>
  <c r="BN112" i="63" s="1"/>
  <c r="CC112" i="63"/>
  <c r="CD112" i="63"/>
  <c r="AU22" i="13" s="1"/>
  <c r="B113" i="63"/>
  <c r="C113" i="63"/>
  <c r="E113" i="63"/>
  <c r="F113" i="63"/>
  <c r="G113" i="63"/>
  <c r="H113" i="63"/>
  <c r="I113" i="63"/>
  <c r="J113" i="63"/>
  <c r="K113" i="63"/>
  <c r="AZ564" i="78" s="1"/>
  <c r="L113" i="63"/>
  <c r="M113" i="63"/>
  <c r="N113" i="63"/>
  <c r="O113" i="63"/>
  <c r="P113" i="63"/>
  <c r="BM113" i="63" s="1"/>
  <c r="BN113" i="63" s="1"/>
  <c r="Q113" i="63"/>
  <c r="R113" i="63"/>
  <c r="T113" i="63"/>
  <c r="U113" i="63"/>
  <c r="W113" i="63"/>
  <c r="X113" i="63"/>
  <c r="Y113" i="63"/>
  <c r="Z113" i="63"/>
  <c r="AA113" i="63"/>
  <c r="AB113" i="63"/>
  <c r="AC113" i="63"/>
  <c r="AD113" i="63"/>
  <c r="AE113" i="63"/>
  <c r="AF113" i="63"/>
  <c r="AG113" i="63"/>
  <c r="AH113" i="63"/>
  <c r="AI113" i="63"/>
  <c r="AJ113" i="63"/>
  <c r="AQ113" i="63"/>
  <c r="AR113" i="63" s="1"/>
  <c r="AS113" i="63"/>
  <c r="AT113" i="63" s="1"/>
  <c r="BK113" i="63"/>
  <c r="BL113" i="63" s="1"/>
  <c r="B114" i="63"/>
  <c r="C114" i="63"/>
  <c r="D114" i="63"/>
  <c r="AO114" i="63" s="1"/>
  <c r="AP114" i="63" s="1"/>
  <c r="E114" i="63"/>
  <c r="F114" i="63"/>
  <c r="AS114" i="63" s="1"/>
  <c r="G114" i="63"/>
  <c r="H114" i="63"/>
  <c r="I114" i="63"/>
  <c r="J114" i="63"/>
  <c r="K114" i="63"/>
  <c r="AZ565" i="78" s="1"/>
  <c r="L114" i="63"/>
  <c r="M114" i="63"/>
  <c r="N114" i="63"/>
  <c r="BI114" i="63" s="1"/>
  <c r="O114" i="63"/>
  <c r="BK114" i="63" s="1"/>
  <c r="BL114" i="63" s="1"/>
  <c r="P114" i="63"/>
  <c r="BM114" i="63" s="1"/>
  <c r="BN114" i="63" s="1"/>
  <c r="Q114" i="63"/>
  <c r="R114" i="63"/>
  <c r="V114" i="63" a="1"/>
  <c r="V114" i="63" s="1"/>
  <c r="W114" i="63" s="1"/>
  <c r="X114" i="63"/>
  <c r="AW149" i="16" s="1"/>
  <c r="S149" i="16" s="1"/>
  <c r="Y114" i="63"/>
  <c r="Z114" i="63"/>
  <c r="AA114" i="63"/>
  <c r="AB114" i="63"/>
  <c r="AC114" i="63"/>
  <c r="BA114" i="63" s="1"/>
  <c r="BB114" i="63" s="1"/>
  <c r="CQ24" i="13" s="1"/>
  <c r="AD114" i="63"/>
  <c r="AE114" i="63"/>
  <c r="AF114" i="63"/>
  <c r="AG114" i="63"/>
  <c r="AH114" i="63"/>
  <c r="AI114" i="63"/>
  <c r="AJ114" i="63"/>
  <c r="AQ114" i="63"/>
  <c r="AR114" i="63" s="1"/>
  <c r="B115" i="63"/>
  <c r="C115" i="63"/>
  <c r="D115" i="63"/>
  <c r="E115" i="63"/>
  <c r="F115" i="63"/>
  <c r="G115" i="63"/>
  <c r="H115" i="63"/>
  <c r="I115" i="63"/>
  <c r="J115" i="63"/>
  <c r="K115" i="63"/>
  <c r="AZ566" i="78" s="1"/>
  <c r="L115" i="63"/>
  <c r="BE115" i="63" s="1"/>
  <c r="BF115" i="63" s="1"/>
  <c r="M115" i="63"/>
  <c r="N115" i="63"/>
  <c r="O115" i="63"/>
  <c r="P115" i="63"/>
  <c r="Q115" i="63"/>
  <c r="R115" i="63"/>
  <c r="T115" i="63"/>
  <c r="U115" i="63"/>
  <c r="X115" i="63"/>
  <c r="Y115" i="63"/>
  <c r="AA115" i="63"/>
  <c r="AB115" i="63"/>
  <c r="AC115" i="63"/>
  <c r="AD115" i="63"/>
  <c r="AE115" i="63"/>
  <c r="AF115" i="63"/>
  <c r="AG115" i="63"/>
  <c r="AH115" i="63"/>
  <c r="AI115" i="63"/>
  <c r="AJ115" i="63"/>
  <c r="AQ115" i="63"/>
  <c r="AR115" i="63" s="1"/>
  <c r="AS115" i="63"/>
  <c r="AT115" i="63" s="1"/>
  <c r="AY115" i="63"/>
  <c r="AZ115" i="63" s="1"/>
  <c r="BG115" i="63"/>
  <c r="BH115" i="63" s="1"/>
  <c r="AP25" i="13" s="1"/>
  <c r="BK115" i="63"/>
  <c r="BL115" i="63" s="1"/>
  <c r="BM115" i="63"/>
  <c r="BN115" i="63" s="1"/>
  <c r="BO115" i="63"/>
  <c r="S566" i="78" s="1"/>
  <c r="B116" i="63"/>
  <c r="AK116" i="63" s="1"/>
  <c r="C116" i="63"/>
  <c r="D116" i="63"/>
  <c r="E116" i="63"/>
  <c r="F116" i="63"/>
  <c r="G116" i="63"/>
  <c r="H116" i="63"/>
  <c r="I116" i="63"/>
  <c r="J116" i="63"/>
  <c r="BA116" i="63" s="1"/>
  <c r="BB116" i="63" s="1"/>
  <c r="CQ26" i="13" s="1"/>
  <c r="K116" i="63"/>
  <c r="L116" i="63"/>
  <c r="M116" i="63"/>
  <c r="N116" i="63"/>
  <c r="O116" i="63"/>
  <c r="P116" i="63"/>
  <c r="Q116" i="63"/>
  <c r="R116" i="63"/>
  <c r="T116" i="63"/>
  <c r="V116" i="63" s="1" a="1"/>
  <c r="V116" i="63" s="1"/>
  <c r="W116" i="63" s="1"/>
  <c r="BF26" i="13" s="1"/>
  <c r="BG26" i="13" s="1"/>
  <c r="U116" i="63"/>
  <c r="Y116" i="63"/>
  <c r="Z116" i="63"/>
  <c r="AA116" i="63"/>
  <c r="AB116" i="63"/>
  <c r="AC116" i="63"/>
  <c r="AD116" i="63"/>
  <c r="AE116" i="63"/>
  <c r="AF116" i="63"/>
  <c r="AG116" i="63"/>
  <c r="AH116" i="63"/>
  <c r="AI116" i="63"/>
  <c r="AJ116" i="63"/>
  <c r="AO116" i="63"/>
  <c r="AP116" i="63" s="1"/>
  <c r="AQ116" i="63"/>
  <c r="AR116" i="63" s="1"/>
  <c r="AS116" i="63"/>
  <c r="AT116" i="63" s="1"/>
  <c r="AW116" i="63"/>
  <c r="L567" i="78" s="1"/>
  <c r="BE116" i="63"/>
  <c r="BF116" i="63" s="1"/>
  <c r="BK116" i="63"/>
  <c r="BL116" i="63" s="1"/>
  <c r="BM116" i="63"/>
  <c r="BN116" i="63" s="1"/>
  <c r="CC116" i="63"/>
  <c r="CD116" i="63"/>
  <c r="AU26" i="13" s="1"/>
  <c r="B117" i="63"/>
  <c r="AK117" i="63" s="1"/>
  <c r="C117" i="63"/>
  <c r="E117" i="63"/>
  <c r="F117" i="63"/>
  <c r="G117" i="63"/>
  <c r="H117" i="63"/>
  <c r="AW117" i="63" s="1"/>
  <c r="I117" i="63"/>
  <c r="J117" i="63"/>
  <c r="BA117" i="63" s="1"/>
  <c r="BB117" i="63" s="1"/>
  <c r="CQ27" i="13" s="1"/>
  <c r="K117" i="63"/>
  <c r="AZ568" i="78" s="1"/>
  <c r="L117" i="63"/>
  <c r="M117" i="63"/>
  <c r="N117" i="63"/>
  <c r="O117" i="63"/>
  <c r="P117" i="63"/>
  <c r="BM117" i="63" s="1"/>
  <c r="BN117" i="63" s="1"/>
  <c r="Q117" i="63"/>
  <c r="R117" i="63"/>
  <c r="T117" i="63"/>
  <c r="U117" i="63"/>
  <c r="X117" i="63"/>
  <c r="Y117" i="63"/>
  <c r="Z117" i="63"/>
  <c r="AA117" i="63"/>
  <c r="AB117" i="63"/>
  <c r="AC117" i="63"/>
  <c r="AD117" i="63"/>
  <c r="AE117" i="63"/>
  <c r="AF117" i="63"/>
  <c r="AG117" i="63"/>
  <c r="AH117" i="63"/>
  <c r="AI117" i="63"/>
  <c r="AJ117" i="63"/>
  <c r="AM117" i="63"/>
  <c r="AN117" i="63"/>
  <c r="AQ117" i="63"/>
  <c r="AR117" i="63" s="1"/>
  <c r="AS117" i="63"/>
  <c r="AT117" i="63" s="1"/>
  <c r="AU117" i="63"/>
  <c r="BK117" i="63"/>
  <c r="BL117" i="63"/>
  <c r="B118" i="63"/>
  <c r="C118" i="63"/>
  <c r="D118" i="63"/>
  <c r="AO118" i="63" s="1"/>
  <c r="AP118" i="63" s="1"/>
  <c r="E118" i="63"/>
  <c r="F118" i="63"/>
  <c r="AS118" i="63" s="1"/>
  <c r="AT118" i="63" s="1"/>
  <c r="G118" i="63"/>
  <c r="H118" i="63"/>
  <c r="I118" i="63"/>
  <c r="J118" i="63"/>
  <c r="K118" i="63"/>
  <c r="AZ569" i="78" s="1"/>
  <c r="L118" i="63"/>
  <c r="M118" i="63"/>
  <c r="N118" i="63"/>
  <c r="BI118" i="63" s="1"/>
  <c r="Q569" i="78" s="1"/>
  <c r="O118" i="63"/>
  <c r="P118" i="63"/>
  <c r="BM118" i="63" s="1"/>
  <c r="BN118" i="63" s="1"/>
  <c r="Q118" i="63"/>
  <c r="R118" i="63"/>
  <c r="V118" i="63" a="1"/>
  <c r="V118" i="63" s="1"/>
  <c r="W118" i="63" s="1"/>
  <c r="X118" i="63"/>
  <c r="Y118" i="63"/>
  <c r="Z118" i="63"/>
  <c r="AA118" i="63"/>
  <c r="AB118" i="63"/>
  <c r="AC118" i="63"/>
  <c r="BC118" i="63" s="1"/>
  <c r="BD118" i="63" s="1"/>
  <c r="AD118" i="63"/>
  <c r="AE118" i="63"/>
  <c r="AF118" i="63"/>
  <c r="AG118" i="63"/>
  <c r="AH118" i="63"/>
  <c r="AI118" i="63"/>
  <c r="AJ118" i="63"/>
  <c r="AK118" i="63"/>
  <c r="AQ118" i="63"/>
  <c r="AR118" i="63" s="1"/>
  <c r="BK118" i="63"/>
  <c r="BL118" i="63" s="1"/>
  <c r="B119" i="63"/>
  <c r="C119" i="63"/>
  <c r="D119" i="63"/>
  <c r="E119" i="63"/>
  <c r="AQ119" i="63" s="1"/>
  <c r="AR119" i="63" s="1"/>
  <c r="F119" i="63"/>
  <c r="G119" i="63"/>
  <c r="H119" i="63"/>
  <c r="I119" i="63"/>
  <c r="J119" i="63"/>
  <c r="K119" i="63"/>
  <c r="AZ570" i="78" s="1"/>
  <c r="L119" i="63"/>
  <c r="M119" i="63"/>
  <c r="BG119" i="63" s="1"/>
  <c r="N119" i="63"/>
  <c r="BI119" i="63" s="1"/>
  <c r="O119" i="63"/>
  <c r="P119" i="63"/>
  <c r="Q119" i="63"/>
  <c r="R119" i="63"/>
  <c r="T119" i="63"/>
  <c r="U119" i="63"/>
  <c r="V119" i="63" a="1"/>
  <c r="V119" i="63" s="1"/>
  <c r="W119" i="63" s="1"/>
  <c r="BF29" i="13" s="1"/>
  <c r="BG29" i="13" s="1"/>
  <c r="X119" i="63"/>
  <c r="Y119" i="63"/>
  <c r="AA119" i="63"/>
  <c r="AB119" i="63"/>
  <c r="AC119" i="63"/>
  <c r="AD119" i="63"/>
  <c r="AE119" i="63"/>
  <c r="AF119" i="63"/>
  <c r="AG119" i="63"/>
  <c r="AH119" i="63"/>
  <c r="AI119" i="63"/>
  <c r="AJ119" i="63"/>
  <c r="AK119" i="63"/>
  <c r="AS119" i="63"/>
  <c r="AT119" i="63" s="1"/>
  <c r="BH119" i="63"/>
  <c r="AP29" i="13" s="1"/>
  <c r="BK119" i="63"/>
  <c r="BL119" i="63" s="1"/>
  <c r="BM119" i="63"/>
  <c r="BN119" i="63" s="1"/>
  <c r="B120" i="63"/>
  <c r="C120" i="63"/>
  <c r="D120" i="63"/>
  <c r="E120" i="63"/>
  <c r="F120" i="63"/>
  <c r="G120" i="63"/>
  <c r="H120" i="63"/>
  <c r="I120" i="63"/>
  <c r="J120" i="63"/>
  <c r="K120" i="63"/>
  <c r="L120" i="63"/>
  <c r="BE120" i="63" s="1"/>
  <c r="BF120" i="63" s="1"/>
  <c r="M120" i="63"/>
  <c r="N120" i="63"/>
  <c r="O120" i="63"/>
  <c r="P120" i="63"/>
  <c r="Q120" i="63"/>
  <c r="R120" i="63"/>
  <c r="T120" i="63"/>
  <c r="V120" i="63" s="1" a="1"/>
  <c r="V120" i="63" s="1"/>
  <c r="W120" i="63" s="1"/>
  <c r="BF30" i="13" s="1"/>
  <c r="BG30" i="13" s="1"/>
  <c r="U120" i="63"/>
  <c r="Y120" i="63"/>
  <c r="Z120" i="63"/>
  <c r="AA120" i="63"/>
  <c r="AB120" i="63"/>
  <c r="AC120" i="63"/>
  <c r="AD120" i="63"/>
  <c r="AE120" i="63"/>
  <c r="AF120" i="63"/>
  <c r="AG120" i="63"/>
  <c r="BO120" i="63" s="1"/>
  <c r="AH120" i="63"/>
  <c r="AI120" i="63"/>
  <c r="AJ120" i="63"/>
  <c r="AQ120" i="63"/>
  <c r="AR120" i="63" s="1"/>
  <c r="AS120" i="63"/>
  <c r="AT120" i="63" s="1"/>
  <c r="BK120" i="63"/>
  <c r="BL120" i="63" s="1"/>
  <c r="BM120" i="63"/>
  <c r="BN120" i="63" s="1"/>
  <c r="B121" i="63"/>
  <c r="C121" i="63"/>
  <c r="E121" i="63"/>
  <c r="F121" i="63"/>
  <c r="G121" i="63"/>
  <c r="H121" i="63"/>
  <c r="I121" i="63"/>
  <c r="J121" i="63"/>
  <c r="K121" i="63"/>
  <c r="AZ572" i="78" s="1"/>
  <c r="L121" i="63"/>
  <c r="M121" i="63"/>
  <c r="N121" i="63"/>
  <c r="O121" i="63"/>
  <c r="P121" i="63"/>
  <c r="Q121" i="63"/>
  <c r="R121" i="63"/>
  <c r="T121" i="63"/>
  <c r="U121" i="63"/>
  <c r="X121" i="63"/>
  <c r="Y121" i="63"/>
  <c r="Z121" i="63"/>
  <c r="AA121" i="63"/>
  <c r="AB121" i="63"/>
  <c r="AC121" i="63"/>
  <c r="AD121" i="63"/>
  <c r="AE121" i="63"/>
  <c r="AF121" i="63"/>
  <c r="AG121" i="63"/>
  <c r="AH121" i="63"/>
  <c r="AI121" i="63"/>
  <c r="AJ121" i="63"/>
  <c r="AQ121" i="63"/>
  <c r="AR121" i="63" s="1"/>
  <c r="AS121" i="63"/>
  <c r="AT121" i="63" s="1"/>
  <c r="BK121" i="63"/>
  <c r="BL121" i="63" s="1"/>
  <c r="BM121" i="63"/>
  <c r="BN121" i="63" s="1"/>
  <c r="CA121" i="63"/>
  <c r="CB121" i="63" s="1"/>
  <c r="AT31" i="13" s="1"/>
  <c r="B122" i="63"/>
  <c r="C122" i="63"/>
  <c r="D122" i="63"/>
  <c r="E122" i="63"/>
  <c r="F122" i="63"/>
  <c r="G122" i="63"/>
  <c r="H122" i="63"/>
  <c r="I122" i="63"/>
  <c r="J122" i="63"/>
  <c r="K122" i="63"/>
  <c r="AZ573" i="78" s="1"/>
  <c r="L122" i="63"/>
  <c r="L123" i="63" s="1"/>
  <c r="M122" i="63"/>
  <c r="N122" i="63"/>
  <c r="O122" i="63"/>
  <c r="P122" i="63"/>
  <c r="Q122" i="63"/>
  <c r="R122" i="63"/>
  <c r="T122" i="63"/>
  <c r="V122" i="63" a="1"/>
  <c r="V122" i="63" s="1"/>
  <c r="X122" i="63"/>
  <c r="Y122" i="63"/>
  <c r="Y123" i="63" s="1"/>
  <c r="Z122" i="63"/>
  <c r="AA122" i="63"/>
  <c r="AB122" i="63"/>
  <c r="AC122" i="63"/>
  <c r="AM122" i="63" s="1"/>
  <c r="AD122" i="63"/>
  <c r="AE122" i="63"/>
  <c r="AF122" i="63"/>
  <c r="AG122" i="63"/>
  <c r="AG123" i="63" s="1"/>
  <c r="AH122" i="63"/>
  <c r="AI122" i="63"/>
  <c r="AJ122" i="63"/>
  <c r="AK122" i="63"/>
  <c r="AL122" i="63" s="1"/>
  <c r="AQ122" i="63"/>
  <c r="AR122" i="63" s="1"/>
  <c r="AS122" i="63"/>
  <c r="AT122" i="63"/>
  <c r="BA122" i="63"/>
  <c r="BB122" i="63" s="1"/>
  <c r="CQ32" i="13" s="1"/>
  <c r="BG122" i="63"/>
  <c r="BH122" i="63" s="1"/>
  <c r="AP32" i="13" s="1"/>
  <c r="B123" i="63"/>
  <c r="D123" i="63"/>
  <c r="D124" i="63" s="1"/>
  <c r="E123" i="63"/>
  <c r="AQ123" i="63" s="1"/>
  <c r="F123" i="63"/>
  <c r="J123" i="63"/>
  <c r="M123" i="63"/>
  <c r="N123" i="63"/>
  <c r="R123" i="63"/>
  <c r="R124" i="63" s="1"/>
  <c r="T123" i="63"/>
  <c r="T124" i="63" s="1"/>
  <c r="U123" i="63"/>
  <c r="U124" i="63" s="1"/>
  <c r="Z123" i="63"/>
  <c r="Z124" i="63" s="1"/>
  <c r="AB123" i="63"/>
  <c r="AD123" i="63"/>
  <c r="AH123" i="63"/>
  <c r="AJ123" i="63"/>
  <c r="AJ124" i="63" s="1"/>
  <c r="AR123" i="63"/>
  <c r="AS123" i="63"/>
  <c r="AT123" i="63"/>
  <c r="M124" i="63"/>
  <c r="Y124" i="63"/>
  <c r="AB124" i="63"/>
  <c r="AG124" i="63"/>
  <c r="B126" i="63"/>
  <c r="C126" i="63"/>
  <c r="AM126" i="63" s="1"/>
  <c r="AN126" i="63" s="1"/>
  <c r="D126" i="63"/>
  <c r="E126" i="63"/>
  <c r="F126" i="63"/>
  <c r="G126" i="63"/>
  <c r="H126" i="63"/>
  <c r="I126" i="63"/>
  <c r="J126" i="63"/>
  <c r="K126" i="63"/>
  <c r="AZ577" i="78" s="1"/>
  <c r="L126" i="63"/>
  <c r="M126" i="63"/>
  <c r="N126" i="63"/>
  <c r="O126" i="63"/>
  <c r="P126" i="63"/>
  <c r="Q126" i="63"/>
  <c r="R126" i="63"/>
  <c r="T126" i="63"/>
  <c r="V126" i="63" s="1" a="1"/>
  <c r="V126" i="63" s="1"/>
  <c r="U126" i="63"/>
  <c r="W126" i="63"/>
  <c r="BF36" i="13" s="1"/>
  <c r="BG36" i="13" s="1"/>
  <c r="X126" i="63"/>
  <c r="Y126" i="63"/>
  <c r="Z126" i="63"/>
  <c r="AA126" i="63"/>
  <c r="AB126" i="63"/>
  <c r="AC126" i="63"/>
  <c r="AD126" i="63"/>
  <c r="AE126" i="63"/>
  <c r="AF126" i="63"/>
  <c r="AG126" i="63"/>
  <c r="BE126" i="63" s="1"/>
  <c r="BF126" i="63" s="1"/>
  <c r="AH126" i="63"/>
  <c r="AI126" i="63"/>
  <c r="AJ126" i="63"/>
  <c r="AO126" i="63"/>
  <c r="AP126" i="63" s="1"/>
  <c r="AQ126" i="63"/>
  <c r="AR126" i="63" s="1"/>
  <c r="AS126" i="63"/>
  <c r="AT126" i="63" s="1"/>
  <c r="AW126" i="63"/>
  <c r="L577" i="78" s="1"/>
  <c r="BC126" i="63"/>
  <c r="BD126" i="63" s="1"/>
  <c r="BK126" i="63"/>
  <c r="BL126" i="63" s="1"/>
  <c r="BM126" i="63"/>
  <c r="BN126" i="63" s="1"/>
  <c r="CC126" i="63"/>
  <c r="CD126" i="63" s="1"/>
  <c r="AU36" i="13" s="1"/>
  <c r="B127" i="63"/>
  <c r="C127" i="63"/>
  <c r="D127" i="63"/>
  <c r="E127" i="63"/>
  <c r="F127" i="63"/>
  <c r="AS127" i="63" s="1"/>
  <c r="AT127" i="63" s="1"/>
  <c r="G127" i="63"/>
  <c r="H127" i="63"/>
  <c r="AW127" i="63" s="1"/>
  <c r="I127" i="63"/>
  <c r="J127" i="63"/>
  <c r="K127" i="63"/>
  <c r="AZ578" i="78" s="1"/>
  <c r="L127" i="63"/>
  <c r="M127" i="63"/>
  <c r="N127" i="63"/>
  <c r="BI127" i="63" s="1"/>
  <c r="O127" i="63"/>
  <c r="P127" i="63"/>
  <c r="BM127" i="63" s="1"/>
  <c r="BN127" i="63" s="1"/>
  <c r="Q127" i="63"/>
  <c r="R127" i="63"/>
  <c r="T127" i="63"/>
  <c r="U127" i="63"/>
  <c r="V127" i="63" a="1"/>
  <c r="V127" i="63" s="1"/>
  <c r="W127" i="63"/>
  <c r="BF37" i="13" s="1"/>
  <c r="BG37" i="13" s="1"/>
  <c r="X127" i="63"/>
  <c r="Y127" i="63"/>
  <c r="Z127" i="63"/>
  <c r="AA127" i="63"/>
  <c r="AB127" i="63"/>
  <c r="AC127" i="63"/>
  <c r="AD127" i="63"/>
  <c r="AE127" i="63"/>
  <c r="AK127" i="63" s="1"/>
  <c r="AF127" i="63"/>
  <c r="AG127" i="63"/>
  <c r="AH127" i="63"/>
  <c r="AI127" i="63"/>
  <c r="AJ127" i="63"/>
  <c r="BG162" i="16" s="1"/>
  <c r="AC162" i="16" s="1"/>
  <c r="AO127" i="63"/>
  <c r="AP127" i="63" s="1"/>
  <c r="AQ127" i="63"/>
  <c r="AR127" i="63" s="1"/>
  <c r="BE127" i="63"/>
  <c r="BF127" i="63" s="1"/>
  <c r="BK127" i="63"/>
  <c r="BL127" i="63"/>
  <c r="CC127" i="63"/>
  <c r="CD127" i="63" s="1"/>
  <c r="AU37" i="13" s="1"/>
  <c r="B128" i="63"/>
  <c r="C128" i="63"/>
  <c r="E128" i="63"/>
  <c r="F128" i="63"/>
  <c r="AS128" i="63" s="1"/>
  <c r="AT128" i="63" s="1"/>
  <c r="G128" i="63"/>
  <c r="H128" i="63"/>
  <c r="AW128" i="63" s="1"/>
  <c r="I128" i="63"/>
  <c r="J128" i="63"/>
  <c r="K128" i="63"/>
  <c r="AZ579" i="78" s="1"/>
  <c r="L128" i="63"/>
  <c r="M128" i="63"/>
  <c r="N128" i="63"/>
  <c r="BI128" i="63" s="1"/>
  <c r="O128" i="63"/>
  <c r="P128" i="63"/>
  <c r="BM128" i="63" s="1"/>
  <c r="BN128" i="63" s="1"/>
  <c r="Q128" i="63"/>
  <c r="R128" i="63"/>
  <c r="T128" i="63"/>
  <c r="V128" i="63" s="1" a="1"/>
  <c r="U128" i="63"/>
  <c r="V128" i="63"/>
  <c r="W128" i="63" s="1"/>
  <c r="BF38" i="13" s="1"/>
  <c r="BG38" i="13" s="1"/>
  <c r="X128" i="63"/>
  <c r="Y128" i="63"/>
  <c r="Z128" i="63"/>
  <c r="AA128" i="63"/>
  <c r="AB128" i="63"/>
  <c r="AC128" i="63"/>
  <c r="AD128" i="63"/>
  <c r="AE128" i="63"/>
  <c r="AF128" i="63"/>
  <c r="AG128" i="63"/>
  <c r="AH128" i="63"/>
  <c r="AI128" i="63"/>
  <c r="AJ128" i="63"/>
  <c r="AQ128" i="63"/>
  <c r="AR128" i="63" s="1"/>
  <c r="AY128" i="63"/>
  <c r="AZ128" i="63" s="1"/>
  <c r="BK128" i="63"/>
  <c r="BL128" i="63" s="1"/>
  <c r="B129" i="63"/>
  <c r="AK129" i="63" s="1"/>
  <c r="C129" i="63"/>
  <c r="D129" i="63"/>
  <c r="E129" i="63"/>
  <c r="F129" i="63"/>
  <c r="AS129" i="63" s="1"/>
  <c r="AT129" i="63" s="1"/>
  <c r="G129" i="63"/>
  <c r="H129" i="63"/>
  <c r="I129" i="63"/>
  <c r="J129" i="63"/>
  <c r="K129" i="63"/>
  <c r="AZ580" i="78" s="1"/>
  <c r="L129" i="63"/>
  <c r="M129" i="63"/>
  <c r="N129" i="63"/>
  <c r="O129" i="63"/>
  <c r="P129" i="63"/>
  <c r="BM129" i="63" s="1"/>
  <c r="BN129" i="63" s="1"/>
  <c r="Q129" i="63"/>
  <c r="R129" i="63"/>
  <c r="T129" i="63"/>
  <c r="V129" i="63" s="1" a="1"/>
  <c r="V129" i="63" s="1"/>
  <c r="U129" i="63"/>
  <c r="W129" i="63"/>
  <c r="CA129" i="63" s="1"/>
  <c r="CB129" i="63" s="1"/>
  <c r="AT39" i="13" s="1"/>
  <c r="X129" i="63"/>
  <c r="Y129" i="63"/>
  <c r="Z129" i="63"/>
  <c r="AA129" i="63"/>
  <c r="AB129" i="63"/>
  <c r="AY129" i="63" s="1"/>
  <c r="AZ129" i="63" s="1"/>
  <c r="AC129" i="63"/>
  <c r="AD129" i="63"/>
  <c r="AE129" i="63"/>
  <c r="AF129" i="63"/>
  <c r="AG129" i="63"/>
  <c r="AH129" i="63"/>
  <c r="AI129" i="63"/>
  <c r="AJ129" i="63"/>
  <c r="AO129" i="63"/>
  <c r="AP129" i="63" s="1"/>
  <c r="AQ129" i="63"/>
  <c r="AR129" i="63"/>
  <c r="BA129" i="63"/>
  <c r="BB129" i="63" s="1"/>
  <c r="CQ39" i="13" s="1"/>
  <c r="BK129" i="63"/>
  <c r="BL129" i="63" s="1"/>
  <c r="BO129" i="63"/>
  <c r="B130" i="63"/>
  <c r="C130" i="63"/>
  <c r="AM130" i="63" s="1"/>
  <c r="AN130" i="63" s="1"/>
  <c r="D130" i="63"/>
  <c r="E130" i="63"/>
  <c r="F130" i="63"/>
  <c r="G130" i="63"/>
  <c r="H130" i="63"/>
  <c r="AW130" i="63" s="1"/>
  <c r="I130" i="63"/>
  <c r="J130" i="63"/>
  <c r="BA130" i="63" s="1"/>
  <c r="BB130" i="63" s="1"/>
  <c r="CQ40" i="13" s="1"/>
  <c r="K130" i="63"/>
  <c r="AZ581" i="78" s="1"/>
  <c r="L130" i="63"/>
  <c r="BE130" i="63" s="1"/>
  <c r="BF130" i="63" s="1"/>
  <c r="M130" i="63"/>
  <c r="N130" i="63"/>
  <c r="O130" i="63"/>
  <c r="P130" i="63"/>
  <c r="BM130" i="63" s="1"/>
  <c r="BN130" i="63" s="1"/>
  <c r="Q130" i="63"/>
  <c r="R130" i="63"/>
  <c r="T130" i="63"/>
  <c r="V130" i="63" s="1" a="1"/>
  <c r="V130" i="63" s="1"/>
  <c r="W130" i="63" s="1"/>
  <c r="BF40" i="13" s="1"/>
  <c r="BG40" i="13" s="1"/>
  <c r="U130" i="63"/>
  <c r="X130" i="63"/>
  <c r="Y130" i="63"/>
  <c r="Z130" i="63"/>
  <c r="AA130" i="63"/>
  <c r="AB130" i="63"/>
  <c r="AC130" i="63"/>
  <c r="AY130" i="63" s="1"/>
  <c r="AZ130" i="63" s="1"/>
  <c r="AD130" i="63"/>
  <c r="AE130" i="63"/>
  <c r="AF130" i="63"/>
  <c r="AG130" i="63"/>
  <c r="AH130" i="63"/>
  <c r="AI130" i="63"/>
  <c r="AJ130" i="63"/>
  <c r="AK130" i="63"/>
  <c r="AL130" i="63" s="1"/>
  <c r="AQ130" i="63"/>
  <c r="AR130" i="63" s="1"/>
  <c r="AS130" i="63"/>
  <c r="AT130" i="63" s="1"/>
  <c r="BC130" i="63"/>
  <c r="BD130" i="63" s="1"/>
  <c r="BK130" i="63"/>
  <c r="BL130" i="63" s="1"/>
  <c r="BO130" i="63"/>
  <c r="B131" i="63"/>
  <c r="C131" i="63"/>
  <c r="D131" i="63"/>
  <c r="E131" i="63"/>
  <c r="F131" i="63"/>
  <c r="G131" i="63"/>
  <c r="H131" i="63"/>
  <c r="AW131" i="63" s="1"/>
  <c r="I131" i="63"/>
  <c r="J131" i="63"/>
  <c r="BA131" i="63" s="1"/>
  <c r="BB131" i="63" s="1"/>
  <c r="CQ41" i="13" s="1"/>
  <c r="K131" i="63"/>
  <c r="AZ582" i="78" s="1"/>
  <c r="L131" i="63"/>
  <c r="M131" i="63"/>
  <c r="N131" i="63"/>
  <c r="O131" i="63"/>
  <c r="P131" i="63"/>
  <c r="BM131" i="63" s="1"/>
  <c r="BN131" i="63" s="1"/>
  <c r="Q131" i="63"/>
  <c r="R131" i="63"/>
  <c r="T131" i="63"/>
  <c r="U131" i="63"/>
  <c r="V131" i="63" a="1"/>
  <c r="V131" i="63" s="1"/>
  <c r="W131" i="63" s="1"/>
  <c r="BF41" i="13" s="1"/>
  <c r="BG41" i="13" s="1"/>
  <c r="Y131" i="63"/>
  <c r="Z131" i="63"/>
  <c r="AA131" i="63"/>
  <c r="AB131" i="63"/>
  <c r="AC131" i="63"/>
  <c r="BC131" i="63" s="1"/>
  <c r="BD131" i="63" s="1"/>
  <c r="AD131" i="63"/>
  <c r="AE131" i="63"/>
  <c r="AF131" i="63"/>
  <c r="AG131" i="63"/>
  <c r="AH131" i="63"/>
  <c r="AI131" i="63"/>
  <c r="AJ131" i="63"/>
  <c r="AQ131" i="63"/>
  <c r="AR131" i="63" s="1"/>
  <c r="AS131" i="63"/>
  <c r="AT131" i="63" s="1"/>
  <c r="BK131" i="63"/>
  <c r="BL131" i="63"/>
  <c r="CC131" i="63"/>
  <c r="CD131" i="63" s="1"/>
  <c r="AU41" i="13" s="1"/>
  <c r="B132" i="63"/>
  <c r="C132" i="63"/>
  <c r="D132" i="63"/>
  <c r="E132" i="63"/>
  <c r="F132" i="63"/>
  <c r="AS132" i="63" s="1"/>
  <c r="AT132" i="63" s="1"/>
  <c r="G132" i="63"/>
  <c r="H132" i="63"/>
  <c r="I132" i="63"/>
  <c r="J132" i="63"/>
  <c r="K132" i="63"/>
  <c r="AZ583" i="78" s="1"/>
  <c r="L132" i="63"/>
  <c r="M132" i="63"/>
  <c r="N132" i="63"/>
  <c r="O132" i="63"/>
  <c r="P132" i="63"/>
  <c r="Q132" i="63"/>
  <c r="R132" i="63"/>
  <c r="T132" i="63"/>
  <c r="U132" i="63"/>
  <c r="V132" i="63" a="1"/>
  <c r="V132" i="63"/>
  <c r="W132" i="63" s="1"/>
  <c r="BF42" i="13" s="1"/>
  <c r="BG42" i="13" s="1"/>
  <c r="X132" i="63"/>
  <c r="Y132" i="63"/>
  <c r="Z132" i="63"/>
  <c r="AA132" i="63"/>
  <c r="AB132" i="63"/>
  <c r="AC132" i="63"/>
  <c r="AD132" i="63"/>
  <c r="AE132" i="63"/>
  <c r="AF132" i="63"/>
  <c r="AG132" i="63"/>
  <c r="AH132" i="63"/>
  <c r="AI132" i="63"/>
  <c r="AJ132" i="63"/>
  <c r="AQ132" i="63"/>
  <c r="AR132" i="63" s="1"/>
  <c r="BK132" i="63"/>
  <c r="BL132" i="63" s="1"/>
  <c r="BM132" i="63"/>
  <c r="BN132" i="63" s="1"/>
  <c r="CC132" i="63"/>
  <c r="CD132" i="63" s="1"/>
  <c r="AU42" i="13" s="1"/>
  <c r="B133" i="63"/>
  <c r="C133" i="63"/>
  <c r="D133" i="63"/>
  <c r="E133" i="63"/>
  <c r="AQ133" i="63" s="1"/>
  <c r="AR133" i="63" s="1"/>
  <c r="F133" i="63"/>
  <c r="G133" i="63"/>
  <c r="H133" i="63"/>
  <c r="I133" i="63"/>
  <c r="J133" i="63"/>
  <c r="K133" i="63"/>
  <c r="AZ584" i="78" s="1"/>
  <c r="L133" i="63"/>
  <c r="BE133" i="63" s="1"/>
  <c r="BF133" i="63" s="1"/>
  <c r="M133" i="63"/>
  <c r="N133" i="63"/>
  <c r="BI133" i="63" s="1"/>
  <c r="O133" i="63"/>
  <c r="P133" i="63"/>
  <c r="Q133" i="63"/>
  <c r="R133" i="63"/>
  <c r="T133" i="63"/>
  <c r="U133" i="63"/>
  <c r="V133" i="63" a="1"/>
  <c r="V133" i="63" s="1"/>
  <c r="W133" i="63"/>
  <c r="BF43" i="13" s="1"/>
  <c r="BG43" i="13" s="1"/>
  <c r="X133" i="63"/>
  <c r="Y133" i="63"/>
  <c r="Z133" i="63"/>
  <c r="AA133" i="63"/>
  <c r="AB133" i="63"/>
  <c r="BC133" i="63" s="1"/>
  <c r="BD133" i="63" s="1"/>
  <c r="AC133" i="63"/>
  <c r="AD133" i="63"/>
  <c r="AE133" i="63"/>
  <c r="AF133" i="63"/>
  <c r="AG133" i="63"/>
  <c r="AH133" i="63"/>
  <c r="AI133" i="63"/>
  <c r="AJ133" i="63"/>
  <c r="BG168" i="16" s="1"/>
  <c r="AC168" i="16" s="1"/>
  <c r="AO133" i="63"/>
  <c r="AP133" i="63" s="1"/>
  <c r="AS133" i="63"/>
  <c r="AT133" i="63" s="1"/>
  <c r="BA133" i="63"/>
  <c r="BB133" i="63" s="1"/>
  <c r="CQ43" i="13" s="1"/>
  <c r="BG133" i="63"/>
  <c r="BH133" i="63" s="1"/>
  <c r="AP43" i="13" s="1"/>
  <c r="BK133" i="63"/>
  <c r="BL133" i="63" s="1"/>
  <c r="BM133" i="63"/>
  <c r="BN133" i="63" s="1"/>
  <c r="BO133" i="63"/>
  <c r="S584" i="78" s="1"/>
  <c r="CA133" i="63"/>
  <c r="CB133" i="63" s="1"/>
  <c r="AT43" i="13" s="1"/>
  <c r="C12" i="17"/>
  <c r="C16" i="17"/>
  <c r="C22" i="17"/>
  <c r="C23" i="17"/>
  <c r="C24" i="17"/>
  <c r="C25" i="17"/>
  <c r="C26" i="17"/>
  <c r="C27" i="17"/>
  <c r="C28" i="17"/>
  <c r="C30" i="17"/>
  <c r="C32" i="17"/>
  <c r="C33" i="17"/>
  <c r="C42" i="17"/>
  <c r="C43" i="17"/>
  <c r="C47" i="17"/>
  <c r="C53" i="17"/>
  <c r="C54" i="17"/>
  <c r="C55" i="17"/>
  <c r="C56" i="17"/>
  <c r="C57" i="17"/>
  <c r="C58" i="17"/>
  <c r="C59" i="17"/>
  <c r="C61" i="17"/>
  <c r="C63" i="17"/>
  <c r="C64" i="17"/>
  <c r="C73" i="17"/>
  <c r="C74" i="17"/>
  <c r="C78" i="17"/>
  <c r="C84" i="17"/>
  <c r="C85" i="17"/>
  <c r="C86" i="17"/>
  <c r="C87" i="17"/>
  <c r="C88" i="17"/>
  <c r="C89" i="17"/>
  <c r="C90" i="17"/>
  <c r="C92" i="17"/>
  <c r="C94" i="17"/>
  <c r="C95" i="17"/>
  <c r="C104" i="17"/>
  <c r="C105" i="17"/>
  <c r="C109" i="17"/>
  <c r="C115" i="17"/>
  <c r="C116" i="17"/>
  <c r="C117" i="17"/>
  <c r="C118" i="17"/>
  <c r="C119" i="17"/>
  <c r="C120" i="17"/>
  <c r="C121" i="17"/>
  <c r="C123" i="17"/>
  <c r="C125" i="17"/>
  <c r="C126" i="17"/>
  <c r="C135" i="17"/>
  <c r="C136" i="17"/>
  <c r="C140" i="17"/>
  <c r="C146" i="17"/>
  <c r="C147" i="17"/>
  <c r="C148" i="17"/>
  <c r="C149" i="17"/>
  <c r="C150" i="17"/>
  <c r="C151" i="17"/>
  <c r="C152" i="17"/>
  <c r="C154" i="17"/>
  <c r="C156" i="17"/>
  <c r="C157" i="17"/>
  <c r="C166" i="17"/>
  <c r="C167" i="17"/>
  <c r="C171" i="17"/>
  <c r="C177" i="17"/>
  <c r="C178" i="17"/>
  <c r="C179" i="17"/>
  <c r="C180" i="17"/>
  <c r="C181" i="17"/>
  <c r="C182" i="17"/>
  <c r="C183" i="17"/>
  <c r="C185" i="17"/>
  <c r="C187" i="17"/>
  <c r="C188" i="17"/>
  <c r="C197" i="17"/>
  <c r="C198" i="17"/>
  <c r="C202" i="17"/>
  <c r="C208" i="17"/>
  <c r="C209" i="17"/>
  <c r="C210" i="17"/>
  <c r="C211" i="17"/>
  <c r="C212" i="17"/>
  <c r="C213" i="17"/>
  <c r="C214" i="17"/>
  <c r="C216" i="17"/>
  <c r="C218" i="17"/>
  <c r="C219" i="17"/>
  <c r="C228" i="17"/>
  <c r="C229" i="17"/>
  <c r="C233" i="17"/>
  <c r="C239" i="17"/>
  <c r="C240" i="17"/>
  <c r="C241" i="17"/>
  <c r="C242" i="17"/>
  <c r="C243" i="17"/>
  <c r="C244" i="17"/>
  <c r="C245" i="17"/>
  <c r="C247" i="17"/>
  <c r="C249" i="17"/>
  <c r="C250" i="17"/>
  <c r="C259" i="17"/>
  <c r="C260" i="17"/>
  <c r="C264" i="17"/>
  <c r="C270" i="17"/>
  <c r="C271" i="17"/>
  <c r="C272" i="17"/>
  <c r="C273" i="17"/>
  <c r="C274" i="17"/>
  <c r="C275" i="17"/>
  <c r="C276" i="17"/>
  <c r="C278" i="17"/>
  <c r="C280" i="17"/>
  <c r="C281" i="17"/>
  <c r="C290" i="17"/>
  <c r="C291" i="17"/>
  <c r="C295" i="17"/>
  <c r="C301" i="17"/>
  <c r="C302" i="17"/>
  <c r="C303" i="17"/>
  <c r="C304" i="17"/>
  <c r="C305" i="17"/>
  <c r="C306" i="17"/>
  <c r="C307" i="17"/>
  <c r="C309" i="17"/>
  <c r="C311" i="17"/>
  <c r="C312" i="17"/>
  <c r="B26" i="3"/>
  <c r="B27" i="3"/>
  <c r="B28" i="3"/>
  <c r="B29" i="3"/>
  <c r="B30" i="3"/>
  <c r="B31" i="3"/>
  <c r="B32" i="3"/>
  <c r="B33" i="3"/>
  <c r="B34" i="3"/>
  <c r="B35" i="3"/>
  <c r="B36" i="3"/>
  <c r="B37" i="3"/>
  <c r="B38" i="3"/>
  <c r="B39" i="3"/>
  <c r="B40" i="3"/>
  <c r="B41" i="3"/>
  <c r="B42" i="3"/>
  <c r="B43" i="3"/>
  <c r="B44" i="3"/>
  <c r="B45" i="3"/>
  <c r="B46" i="3"/>
  <c r="B47" i="3"/>
  <c r="B48" i="3"/>
  <c r="B49" i="3"/>
  <c r="B50" i="3"/>
  <c r="B41" i="8"/>
  <c r="D41" i="8"/>
  <c r="F41" i="8"/>
  <c r="B42" i="8"/>
  <c r="B44" i="8" s="1"/>
  <c r="D42" i="8"/>
  <c r="D44" i="8" s="1"/>
  <c r="F42" i="8"/>
  <c r="F44" i="8" s="1"/>
  <c r="B43" i="8"/>
  <c r="D43" i="8"/>
  <c r="C74" i="8" s="1"/>
  <c r="E74" i="8" s="1"/>
  <c r="F43" i="8"/>
  <c r="B45" i="8"/>
  <c r="D45" i="8"/>
  <c r="C76" i="8" s="1"/>
  <c r="F45" i="8"/>
  <c r="B46" i="8"/>
  <c r="B77" i="8" s="1"/>
  <c r="E77" i="8" s="1"/>
  <c r="D46" i="8"/>
  <c r="F46" i="8"/>
  <c r="B48" i="8"/>
  <c r="D48" i="8"/>
  <c r="F48" i="8"/>
  <c r="B49" i="8"/>
  <c r="B80" i="8" s="1"/>
  <c r="E80" i="8" s="1"/>
  <c r="D49" i="8"/>
  <c r="F49" i="8"/>
  <c r="D80" i="8" s="1"/>
  <c r="B50" i="8"/>
  <c r="D50" i="8"/>
  <c r="F50" i="8"/>
  <c r="B51" i="8"/>
  <c r="D51" i="8"/>
  <c r="F51" i="8"/>
  <c r="D82" i="8" s="1"/>
  <c r="B52" i="8"/>
  <c r="D52" i="8"/>
  <c r="C83" i="8" s="1"/>
  <c r="E83" i="8" s="1"/>
  <c r="F52" i="8"/>
  <c r="B53" i="8"/>
  <c r="D53" i="8"/>
  <c r="F53" i="8"/>
  <c r="B54" i="8"/>
  <c r="D54" i="8"/>
  <c r="C85" i="8" s="1"/>
  <c r="F54" i="8"/>
  <c r="B55" i="8"/>
  <c r="B86" i="8" s="1"/>
  <c r="E86" i="8" s="1"/>
  <c r="D55" i="8"/>
  <c r="F55" i="8"/>
  <c r="B56" i="8"/>
  <c r="D56" i="8"/>
  <c r="F56" i="8"/>
  <c r="B57" i="8"/>
  <c r="B88" i="8" s="1"/>
  <c r="E88" i="8" s="1"/>
  <c r="D57" i="8"/>
  <c r="F57" i="8"/>
  <c r="D88" i="8" s="1"/>
  <c r="B58" i="8"/>
  <c r="D58" i="8"/>
  <c r="F58" i="8"/>
  <c r="B60" i="8"/>
  <c r="D60" i="8"/>
  <c r="F60" i="8"/>
  <c r="D93" i="8" s="1"/>
  <c r="G93" i="8" s="1"/>
  <c r="B61" i="8"/>
  <c r="D61" i="8"/>
  <c r="C94" i="8" s="1"/>
  <c r="F61" i="8"/>
  <c r="B62" i="8"/>
  <c r="D62" i="8"/>
  <c r="F62" i="8"/>
  <c r="D95" i="8" s="1"/>
  <c r="B63" i="8"/>
  <c r="D63" i="8"/>
  <c r="C96" i="8" s="1"/>
  <c r="F63" i="8"/>
  <c r="B64" i="8"/>
  <c r="B97" i="8" s="1"/>
  <c r="E97" i="8" s="1"/>
  <c r="D64" i="8"/>
  <c r="F64" i="8"/>
  <c r="B65" i="8"/>
  <c r="D65" i="8"/>
  <c r="F65" i="8"/>
  <c r="B66" i="8"/>
  <c r="B99" i="8" s="1"/>
  <c r="E99" i="8" s="1"/>
  <c r="D66" i="8"/>
  <c r="F66" i="8"/>
  <c r="D99" i="8" s="1"/>
  <c r="B67" i="8"/>
  <c r="D67" i="8"/>
  <c r="F67" i="8"/>
  <c r="B72" i="8"/>
  <c r="E72" i="8" s="1"/>
  <c r="C72" i="8"/>
  <c r="D72" i="8"/>
  <c r="B73" i="8"/>
  <c r="B75" i="8" s="1"/>
  <c r="C73" i="8"/>
  <c r="E73" i="8"/>
  <c r="B74" i="8"/>
  <c r="D74" i="8"/>
  <c r="B76" i="8"/>
  <c r="E76" i="8" s="1"/>
  <c r="D76" i="8"/>
  <c r="C77" i="8"/>
  <c r="D77" i="8"/>
  <c r="B79" i="8"/>
  <c r="E79" i="8" s="1"/>
  <c r="C79" i="8"/>
  <c r="D79" i="8"/>
  <c r="C80" i="8"/>
  <c r="C90" i="8" s="1"/>
  <c r="C91" i="8" s="1"/>
  <c r="B81" i="8"/>
  <c r="E81" i="8" s="1"/>
  <c r="C81" i="8"/>
  <c r="D81" i="8"/>
  <c r="B82" i="8"/>
  <c r="C82" i="8"/>
  <c r="E82" i="8"/>
  <c r="G82" i="8" s="1"/>
  <c r="B83" i="8"/>
  <c r="D83" i="8"/>
  <c r="B84" i="8"/>
  <c r="C84" i="8"/>
  <c r="D84" i="8"/>
  <c r="E84" i="8"/>
  <c r="F84" i="8" s="1"/>
  <c r="AH27" i="13" s="1"/>
  <c r="AD568" i="78" s="1"/>
  <c r="G84" i="8"/>
  <c r="AN568" i="78" s="1"/>
  <c r="B85" i="8"/>
  <c r="E85" i="8" s="1"/>
  <c r="D85" i="8"/>
  <c r="C86" i="8"/>
  <c r="D86" i="8"/>
  <c r="B87" i="8"/>
  <c r="E87" i="8" s="1"/>
  <c r="C87" i="8"/>
  <c r="D87" i="8"/>
  <c r="C88" i="8"/>
  <c r="B89" i="8"/>
  <c r="B90" i="8" s="1"/>
  <c r="C89" i="8"/>
  <c r="D89" i="8"/>
  <c r="D90" i="8" s="1"/>
  <c r="D91" i="8" s="1"/>
  <c r="B93" i="8"/>
  <c r="C93" i="8"/>
  <c r="E93" i="8"/>
  <c r="F93" i="8" s="1"/>
  <c r="AH36" i="13" s="1"/>
  <c r="AD577" i="78" s="1"/>
  <c r="B94" i="8"/>
  <c r="E94" i="8" s="1"/>
  <c r="D94" i="8"/>
  <c r="B95" i="8"/>
  <c r="E95" i="8" s="1"/>
  <c r="C95" i="8"/>
  <c r="B96" i="8"/>
  <c r="E96" i="8" s="1"/>
  <c r="D96" i="8"/>
  <c r="C97" i="8"/>
  <c r="D97" i="8"/>
  <c r="B98" i="8"/>
  <c r="E98" i="8" s="1"/>
  <c r="C98" i="8"/>
  <c r="D98" i="8"/>
  <c r="C99" i="8"/>
  <c r="B100" i="8"/>
  <c r="C100" i="8"/>
  <c r="D100" i="8"/>
  <c r="E100" i="8"/>
  <c r="G100" i="8" s="1"/>
  <c r="F100" i="8"/>
  <c r="AH43" i="13" s="1"/>
  <c r="AD584" i="78" s="1"/>
  <c r="B28" i="28"/>
  <c r="D28" i="28"/>
  <c r="F28" i="28"/>
  <c r="B29" i="28"/>
  <c r="B31" i="28" s="1"/>
  <c r="D29" i="28"/>
  <c r="F29" i="28"/>
  <c r="F31" i="28" s="1"/>
  <c r="B30" i="28"/>
  <c r="D30" i="28"/>
  <c r="D31" i="28" s="1"/>
  <c r="F30" i="28"/>
  <c r="B32" i="28"/>
  <c r="D32" i="28"/>
  <c r="C63" i="28" s="1"/>
  <c r="F32" i="28"/>
  <c r="B33" i="28"/>
  <c r="B64" i="28" s="1"/>
  <c r="E64" i="28" s="1"/>
  <c r="F64" i="28" s="1"/>
  <c r="AY20" i="13" s="1"/>
  <c r="D33" i="28"/>
  <c r="F33" i="28"/>
  <c r="B35" i="28"/>
  <c r="D35" i="28"/>
  <c r="F35" i="28"/>
  <c r="B36" i="28"/>
  <c r="B67" i="28" s="1"/>
  <c r="E67" i="28" s="1"/>
  <c r="F67" i="28" s="1"/>
  <c r="AY23" i="13" s="1"/>
  <c r="D36" i="28"/>
  <c r="F36" i="28"/>
  <c r="D67" i="28" s="1"/>
  <c r="G67" i="28" s="1"/>
  <c r="H67" i="28" s="1"/>
  <c r="B37" i="28"/>
  <c r="D37" i="28"/>
  <c r="F37" i="28"/>
  <c r="B38" i="28"/>
  <c r="D38" i="28"/>
  <c r="F38" i="28"/>
  <c r="D69" i="28" s="1"/>
  <c r="G69" i="28" s="1"/>
  <c r="H69" i="28" s="1"/>
  <c r="B39" i="28"/>
  <c r="D39" i="28"/>
  <c r="C70" i="28" s="1"/>
  <c r="E70" i="28" s="1"/>
  <c r="F70" i="28" s="1"/>
  <c r="AY26" i="13" s="1"/>
  <c r="F39" i="28"/>
  <c r="B40" i="28"/>
  <c r="D40" i="28"/>
  <c r="F40" i="28"/>
  <c r="B41" i="28"/>
  <c r="D41" i="28"/>
  <c r="C72" i="28" s="1"/>
  <c r="F41" i="28"/>
  <c r="B42" i="28"/>
  <c r="B73" i="28" s="1"/>
  <c r="E73" i="28" s="1"/>
  <c r="F73" i="28" s="1"/>
  <c r="AY29" i="13" s="1"/>
  <c r="D42" i="28"/>
  <c r="F42" i="28"/>
  <c r="B43" i="28"/>
  <c r="D43" i="28"/>
  <c r="F43" i="28"/>
  <c r="B44" i="28"/>
  <c r="B75" i="28" s="1"/>
  <c r="E75" i="28" s="1"/>
  <c r="F75" i="28" s="1"/>
  <c r="AY31" i="13" s="1"/>
  <c r="D44" i="28"/>
  <c r="F44" i="28"/>
  <c r="D75" i="28" s="1"/>
  <c r="G75" i="28" s="1"/>
  <c r="H75" i="28" s="1"/>
  <c r="B45" i="28"/>
  <c r="D45" i="28"/>
  <c r="F45" i="28"/>
  <c r="B47" i="28"/>
  <c r="D47" i="28"/>
  <c r="F47" i="28"/>
  <c r="D80" i="28" s="1"/>
  <c r="G80" i="28" s="1"/>
  <c r="H80" i="28" s="1"/>
  <c r="B48" i="28"/>
  <c r="D48" i="28"/>
  <c r="C81" i="28" s="1"/>
  <c r="F48" i="28"/>
  <c r="B49" i="28"/>
  <c r="D49" i="28"/>
  <c r="F49" i="28"/>
  <c r="B50" i="28"/>
  <c r="D50" i="28"/>
  <c r="C83" i="28" s="1"/>
  <c r="F50" i="28"/>
  <c r="B51" i="28"/>
  <c r="B84" i="28" s="1"/>
  <c r="E84" i="28" s="1"/>
  <c r="F84" i="28" s="1"/>
  <c r="AY40" i="13" s="1"/>
  <c r="D51" i="28"/>
  <c r="F51" i="28"/>
  <c r="B52" i="28"/>
  <c r="D52" i="28"/>
  <c r="F52" i="28"/>
  <c r="B53" i="28"/>
  <c r="B86" i="28" s="1"/>
  <c r="E86" i="28" s="1"/>
  <c r="F86" i="28" s="1"/>
  <c r="AY42" i="13" s="1"/>
  <c r="D53" i="28"/>
  <c r="F53" i="28"/>
  <c r="D86" i="28" s="1"/>
  <c r="G86" i="28" s="1"/>
  <c r="H86" i="28" s="1"/>
  <c r="B54" i="28"/>
  <c r="D54" i="28"/>
  <c r="F54" i="28"/>
  <c r="B59" i="28"/>
  <c r="E59" i="28" s="1"/>
  <c r="F59" i="28" s="1"/>
  <c r="AY15" i="13" s="1"/>
  <c r="C59" i="28"/>
  <c r="D59" i="28"/>
  <c r="G59" i="28" s="1"/>
  <c r="H59" i="28" s="1"/>
  <c r="B60" i="28"/>
  <c r="B62" i="28" s="1"/>
  <c r="C60" i="28"/>
  <c r="E60" i="28"/>
  <c r="B61" i="28"/>
  <c r="D61" i="28"/>
  <c r="G61" i="28" s="1"/>
  <c r="H61" i="28" s="1"/>
  <c r="B63" i="28"/>
  <c r="D63" i="28"/>
  <c r="G63" i="28"/>
  <c r="H63" i="28"/>
  <c r="C64" i="28"/>
  <c r="D64" i="28"/>
  <c r="G64" i="28"/>
  <c r="H64" i="28" s="1"/>
  <c r="B66" i="28"/>
  <c r="E66" i="28" s="1"/>
  <c r="F66" i="28" s="1"/>
  <c r="AY22" i="13" s="1"/>
  <c r="C66" i="28"/>
  <c r="D66" i="28"/>
  <c r="G66" i="28" s="1"/>
  <c r="H66" i="28" s="1"/>
  <c r="C67" i="28"/>
  <c r="C77" i="28" s="1"/>
  <c r="C78" i="28" s="1"/>
  <c r="B68" i="28"/>
  <c r="E68" i="28" s="1"/>
  <c r="F68" i="28" s="1"/>
  <c r="AY24" i="13" s="1"/>
  <c r="C68" i="28"/>
  <c r="D68" i="28"/>
  <c r="G68" i="28" s="1"/>
  <c r="H68" i="28" s="1"/>
  <c r="B69" i="28"/>
  <c r="C69" i="28"/>
  <c r="E69" i="28"/>
  <c r="F69" i="28" s="1"/>
  <c r="AY25" i="13" s="1"/>
  <c r="B70" i="28"/>
  <c r="D70" i="28"/>
  <c r="G70" i="28" s="1"/>
  <c r="H70" i="28" s="1"/>
  <c r="B71" i="28"/>
  <c r="C71" i="28"/>
  <c r="D71" i="28"/>
  <c r="E71" i="28"/>
  <c r="F71" i="28" s="1"/>
  <c r="AY27" i="13" s="1"/>
  <c r="G71" i="28"/>
  <c r="H71" i="28" s="1"/>
  <c r="B72" i="28"/>
  <c r="D72" i="28"/>
  <c r="G72" i="28"/>
  <c r="H72" i="28"/>
  <c r="C73" i="28"/>
  <c r="D73" i="28"/>
  <c r="G73" i="28"/>
  <c r="H73" i="28" s="1"/>
  <c r="B74" i="28"/>
  <c r="E74" i="28" s="1"/>
  <c r="F74" i="28" s="1"/>
  <c r="AY30" i="13" s="1"/>
  <c r="C74" i="28"/>
  <c r="D74" i="28"/>
  <c r="G74" i="28" s="1"/>
  <c r="H74" i="28" s="1"/>
  <c r="C75" i="28"/>
  <c r="B76" i="28"/>
  <c r="B77" i="28" s="1"/>
  <c r="C76" i="28"/>
  <c r="D76" i="28"/>
  <c r="G76" i="28" s="1"/>
  <c r="H76" i="28" s="1"/>
  <c r="B80" i="28"/>
  <c r="C80" i="28"/>
  <c r="E80" i="28"/>
  <c r="F80" i="28" s="1"/>
  <c r="AY36" i="13" s="1"/>
  <c r="B81" i="28"/>
  <c r="E81" i="28" s="1"/>
  <c r="F81" i="28" s="1"/>
  <c r="AY37" i="13" s="1"/>
  <c r="D81" i="28"/>
  <c r="G81" i="28"/>
  <c r="H81" i="28"/>
  <c r="B82" i="28"/>
  <c r="E82" i="28" s="1"/>
  <c r="F82" i="28" s="1"/>
  <c r="AY38" i="13" s="1"/>
  <c r="C82" i="28"/>
  <c r="D82" i="28"/>
  <c r="G82" i="28"/>
  <c r="H82" i="28" s="1"/>
  <c r="B83" i="28"/>
  <c r="D83" i="28"/>
  <c r="G83" i="28" s="1"/>
  <c r="H83" i="28" s="1"/>
  <c r="C84" i="28"/>
  <c r="D84" i="28"/>
  <c r="G84" i="28" s="1"/>
  <c r="H84" i="28" s="1"/>
  <c r="B85" i="28"/>
  <c r="E85" i="28" s="1"/>
  <c r="F85" i="28" s="1"/>
  <c r="AY41" i="13" s="1"/>
  <c r="C85" i="28"/>
  <c r="D85" i="28"/>
  <c r="G85" i="28" s="1"/>
  <c r="H85" i="28" s="1"/>
  <c r="C86" i="28"/>
  <c r="B87" i="28"/>
  <c r="C87" i="28"/>
  <c r="D87" i="28"/>
  <c r="G87" i="28" s="1"/>
  <c r="H87" i="28" s="1"/>
  <c r="E87" i="28"/>
  <c r="F87" i="28"/>
  <c r="AY43" i="13" s="1"/>
  <c r="F96" i="8" l="1"/>
  <c r="AH39" i="13" s="1"/>
  <c r="AD580" i="78" s="1"/>
  <c r="G96" i="8"/>
  <c r="E83" i="28"/>
  <c r="F83" i="28" s="1"/>
  <c r="AY39" i="13" s="1"/>
  <c r="F95" i="8"/>
  <c r="AH38" i="13" s="1"/>
  <c r="AD579" i="78" s="1"/>
  <c r="G95" i="8"/>
  <c r="E90" i="8"/>
  <c r="B91" i="8"/>
  <c r="F85" i="8"/>
  <c r="AH28" i="13" s="1"/>
  <c r="AD569" i="78" s="1"/>
  <c r="G85" i="8"/>
  <c r="AN566" i="78"/>
  <c r="H82" i="8"/>
  <c r="E72" i="28"/>
  <c r="F72" i="28" s="1"/>
  <c r="AY28" i="13" s="1"/>
  <c r="E63" i="28"/>
  <c r="F63" i="28" s="1"/>
  <c r="AY19" i="13" s="1"/>
  <c r="F79" i="8"/>
  <c r="AH22" i="13" s="1"/>
  <c r="AD563" i="78" s="1"/>
  <c r="G79" i="8"/>
  <c r="C75" i="8"/>
  <c r="F97" i="8"/>
  <c r="AH40" i="13" s="1"/>
  <c r="AD581" i="78" s="1"/>
  <c r="G97" i="8"/>
  <c r="F86" i="8"/>
  <c r="AH29" i="13" s="1"/>
  <c r="AD570" i="78" s="1"/>
  <c r="G86" i="8"/>
  <c r="F83" i="8"/>
  <c r="AH26" i="13" s="1"/>
  <c r="AD567" i="78" s="1"/>
  <c r="G83" i="8"/>
  <c r="F77" i="8"/>
  <c r="AH20" i="13" s="1"/>
  <c r="AD561" i="78" s="1"/>
  <c r="G77" i="8"/>
  <c r="G98" i="8"/>
  <c r="F98" i="8"/>
  <c r="AH41" i="13" s="1"/>
  <c r="AD582" i="78" s="1"/>
  <c r="F94" i="8"/>
  <c r="AH37" i="13" s="1"/>
  <c r="AD578" i="78" s="1"/>
  <c r="G94" i="8"/>
  <c r="B78" i="28"/>
  <c r="E77" i="28"/>
  <c r="AN584" i="78"/>
  <c r="H100" i="8"/>
  <c r="G99" i="8"/>
  <c r="F99" i="8"/>
  <c r="AH42" i="13" s="1"/>
  <c r="AD583" i="78" s="1"/>
  <c r="AN577" i="78"/>
  <c r="H93" i="8"/>
  <c r="F88" i="8"/>
  <c r="AH31" i="13" s="1"/>
  <c r="AD572" i="78" s="1"/>
  <c r="G88" i="8"/>
  <c r="F80" i="8"/>
  <c r="AH23" i="13" s="1"/>
  <c r="AD564" i="78" s="1"/>
  <c r="G80" i="8"/>
  <c r="G74" i="8"/>
  <c r="F74" i="8"/>
  <c r="AH17" i="13" s="1"/>
  <c r="AD558" i="78" s="1"/>
  <c r="F87" i="8"/>
  <c r="AH30" i="13" s="1"/>
  <c r="AD571" i="78" s="1"/>
  <c r="G87" i="8"/>
  <c r="C62" i="28"/>
  <c r="F81" i="8"/>
  <c r="AH24" i="13" s="1"/>
  <c r="AD565" i="78" s="1"/>
  <c r="G81" i="8"/>
  <c r="F76" i="8"/>
  <c r="AH19" i="13" s="1"/>
  <c r="AD560" i="78" s="1"/>
  <c r="G76" i="8"/>
  <c r="F72" i="8"/>
  <c r="AH15" i="13" s="1"/>
  <c r="AD556" i="78" s="1"/>
  <c r="G72" i="8"/>
  <c r="E76" i="28"/>
  <c r="F76" i="28" s="1"/>
  <c r="AY32" i="13" s="1"/>
  <c r="F60" i="28"/>
  <c r="E89" i="8"/>
  <c r="H84" i="8"/>
  <c r="F82" i="8"/>
  <c r="AH25" i="13" s="1"/>
  <c r="AD566" i="78" s="1"/>
  <c r="F73" i="8"/>
  <c r="BA132" i="63"/>
  <c r="BB132" i="63" s="1"/>
  <c r="CQ42" i="13" s="1"/>
  <c r="BO131" i="63"/>
  <c r="CC130" i="63"/>
  <c r="CD130" i="63" s="1"/>
  <c r="AU40" i="13" s="1"/>
  <c r="AU128" i="63"/>
  <c r="L578" i="78"/>
  <c r="AX127" i="63"/>
  <c r="BF155" i="71"/>
  <c r="AB155" i="71" s="1"/>
  <c r="BF155" i="72"/>
  <c r="AB155" i="72" s="1"/>
  <c r="BF155" i="16"/>
  <c r="AB155" i="16" s="1"/>
  <c r="BG120" i="63"/>
  <c r="BH120" i="63" s="1"/>
  <c r="AP30" i="13" s="1"/>
  <c r="AW120" i="63"/>
  <c r="AX155" i="71"/>
  <c r="T155" i="71" s="1"/>
  <c r="AX155" i="72"/>
  <c r="T155" i="72" s="1"/>
  <c r="AX155" i="16"/>
  <c r="T155" i="16" s="1"/>
  <c r="CC120" i="63"/>
  <c r="CD120" i="63" s="1"/>
  <c r="AU30" i="13" s="1"/>
  <c r="BB148" i="71"/>
  <c r="X148" i="71" s="1"/>
  <c r="BB148" i="72"/>
  <c r="X148" i="72" s="1"/>
  <c r="BB148" i="16"/>
  <c r="X148" i="16" s="1"/>
  <c r="BE113" i="63"/>
  <c r="BF113" i="63" s="1"/>
  <c r="BI113" i="63"/>
  <c r="AU113" i="63"/>
  <c r="BC113" i="63"/>
  <c r="BD113" i="63" s="1"/>
  <c r="AM113" i="63"/>
  <c r="AN113" i="63" s="1"/>
  <c r="BF23" i="13"/>
  <c r="BG23" i="13" s="1"/>
  <c r="CA113" i="63"/>
  <c r="CB113" i="63" s="1"/>
  <c r="AT23" i="13" s="1"/>
  <c r="BD142" i="71"/>
  <c r="Z142" i="71" s="1"/>
  <c r="BD142" i="72"/>
  <c r="Z142" i="72" s="1"/>
  <c r="BD142" i="16"/>
  <c r="Z142" i="16" s="1"/>
  <c r="AY107" i="63"/>
  <c r="AZ107" i="63" s="1"/>
  <c r="BG107" i="63"/>
  <c r="BH107" i="63" s="1"/>
  <c r="AP17" i="13" s="1"/>
  <c r="BO107" i="63"/>
  <c r="AU107" i="63"/>
  <c r="BE107" i="63"/>
  <c r="BF107" i="63" s="1"/>
  <c r="AW107" i="63"/>
  <c r="P568" i="78"/>
  <c r="S581" i="78"/>
  <c r="BP130" i="63"/>
  <c r="J124" i="63"/>
  <c r="D77" i="28"/>
  <c r="D60" i="28"/>
  <c r="D73" i="8"/>
  <c r="D75" i="8" s="1"/>
  <c r="BD167" i="71"/>
  <c r="Z167" i="71" s="1"/>
  <c r="BD167" i="72"/>
  <c r="Z167" i="72" s="1"/>
  <c r="BD167" i="16"/>
  <c r="Z167" i="16" s="1"/>
  <c r="AY132" i="63"/>
  <c r="AZ132" i="63" s="1"/>
  <c r="AL127" i="63"/>
  <c r="Q578" i="78"/>
  <c r="BJ127" i="63"/>
  <c r="AQ37" i="13" s="1"/>
  <c r="W122" i="63"/>
  <c r="V123" i="63"/>
  <c r="V124" i="63" s="1"/>
  <c r="L124" i="63"/>
  <c r="S571" i="78"/>
  <c r="BP120" i="63"/>
  <c r="M568" i="78"/>
  <c r="AV117" i="63"/>
  <c r="AO27" i="13" s="1"/>
  <c r="Q565" i="78"/>
  <c r="BJ114" i="63"/>
  <c r="AQ24" i="13" s="1"/>
  <c r="AS124" i="63"/>
  <c r="AZ563" i="78"/>
  <c r="BC112" i="63"/>
  <c r="BD112" i="63" s="1"/>
  <c r="K123" i="63"/>
  <c r="AM112" i="63"/>
  <c r="AN112" i="63" s="1"/>
  <c r="C123" i="63"/>
  <c r="BF15" i="13"/>
  <c r="BG15" i="13" s="1"/>
  <c r="CA105" i="63"/>
  <c r="CB105" i="63" s="1"/>
  <c r="AT15" i="13" s="1"/>
  <c r="E75" i="8"/>
  <c r="G75" i="8" s="1"/>
  <c r="AN559" i="78" s="1"/>
  <c r="BD166" i="71"/>
  <c r="Z166" i="71" s="1"/>
  <c r="BD166" i="72"/>
  <c r="Z166" i="72" s="1"/>
  <c r="BD166" i="16"/>
  <c r="Z166" i="16" s="1"/>
  <c r="BI131" i="63"/>
  <c r="AK131" i="63"/>
  <c r="AM131" i="63"/>
  <c r="AN131" i="63" s="1"/>
  <c r="AY131" i="63"/>
  <c r="AZ131" i="63" s="1"/>
  <c r="BI129" i="63"/>
  <c r="BA163" i="71"/>
  <c r="W163" i="71" s="1"/>
  <c r="BA163" i="72"/>
  <c r="W163" i="72" s="1"/>
  <c r="BA163" i="16"/>
  <c r="W163" i="16" s="1"/>
  <c r="BO128" i="63"/>
  <c r="BC128" i="63"/>
  <c r="BD128" i="63" s="1"/>
  <c r="BE128" i="63"/>
  <c r="BF128" i="63" s="1"/>
  <c r="BG128" i="63"/>
  <c r="BH128" i="63" s="1"/>
  <c r="AP38" i="13" s="1"/>
  <c r="AM128" i="63"/>
  <c r="AN128" i="63" s="1"/>
  <c r="AL119" i="63"/>
  <c r="AZ154" i="71"/>
  <c r="V154" i="71" s="1"/>
  <c r="AZ154" i="72"/>
  <c r="V154" i="72" s="1"/>
  <c r="AZ154" i="16"/>
  <c r="V154" i="16" s="1"/>
  <c r="AY119" i="63"/>
  <c r="AZ119" i="63" s="1"/>
  <c r="BO119" i="63"/>
  <c r="BA119" i="63"/>
  <c r="BB119" i="63" s="1"/>
  <c r="CQ29" i="13" s="1"/>
  <c r="BG110" i="63"/>
  <c r="BH110" i="63" s="1"/>
  <c r="AP20" i="13" s="1"/>
  <c r="L581" i="78"/>
  <c r="AX130" i="63"/>
  <c r="BF145" i="71"/>
  <c r="AB145" i="71" s="1"/>
  <c r="BF145" i="72"/>
  <c r="AB145" i="72" s="1"/>
  <c r="BF145" i="16"/>
  <c r="AB145" i="16" s="1"/>
  <c r="BO110" i="63"/>
  <c r="AY110" i="63"/>
  <c r="AZ110" i="63" s="1"/>
  <c r="C61" i="28"/>
  <c r="E61" i="28" s="1"/>
  <c r="F61" i="28" s="1"/>
  <c r="AY17" i="13" s="1"/>
  <c r="Q584" i="78"/>
  <c r="BJ133" i="63"/>
  <c r="AQ43" i="13" s="1"/>
  <c r="BI132" i="63"/>
  <c r="BB164" i="71"/>
  <c r="X164" i="71" s="1"/>
  <c r="BB164" i="72"/>
  <c r="X164" i="72" s="1"/>
  <c r="BB164" i="16"/>
  <c r="X164" i="16" s="1"/>
  <c r="AW129" i="63"/>
  <c r="BF39" i="13"/>
  <c r="BG39" i="13" s="1"/>
  <c r="CC129" i="63"/>
  <c r="CD129" i="63" s="1"/>
  <c r="AU39" i="13" s="1"/>
  <c r="AK128" i="63"/>
  <c r="AN122" i="63"/>
  <c r="AY120" i="63"/>
  <c r="AZ120" i="63" s="1"/>
  <c r="S557" i="78"/>
  <c r="BP106" i="63"/>
  <c r="S580" i="78"/>
  <c r="BP129" i="63"/>
  <c r="BC132" i="63"/>
  <c r="BD132" i="63" s="1"/>
  <c r="BE131" i="63"/>
  <c r="BF131" i="63" s="1"/>
  <c r="CA131" i="63"/>
  <c r="CB131" i="63" s="1"/>
  <c r="AT41" i="13" s="1"/>
  <c r="BA128" i="63"/>
  <c r="BB128" i="63" s="1"/>
  <c r="CQ38" i="13" s="1"/>
  <c r="BJ118" i="63"/>
  <c r="AQ28" i="13" s="1"/>
  <c r="BF28" i="13"/>
  <c r="BG28" i="13" s="1"/>
  <c r="CA118" i="63"/>
  <c r="CB118" i="63" s="1"/>
  <c r="AT28" i="13" s="1"/>
  <c r="BF24" i="13"/>
  <c r="BG24" i="13" s="1"/>
  <c r="CA114" i="63"/>
  <c r="CB114" i="63" s="1"/>
  <c r="AT24" i="13" s="1"/>
  <c r="Q579" i="78"/>
  <c r="BJ128" i="63"/>
  <c r="AQ38" i="13" s="1"/>
  <c r="AX145" i="71"/>
  <c r="T145" i="71" s="1"/>
  <c r="AX145" i="72"/>
  <c r="T145" i="72" s="1"/>
  <c r="AX145" i="16"/>
  <c r="T145" i="16" s="1"/>
  <c r="AM132" i="63"/>
  <c r="AN132" i="63" s="1"/>
  <c r="BE132" i="63"/>
  <c r="BF132" i="63" s="1"/>
  <c r="BC156" i="71"/>
  <c r="Y156" i="71" s="1"/>
  <c r="BC156" i="72"/>
  <c r="Y156" i="72" s="1"/>
  <c r="BC156" i="16"/>
  <c r="Y156" i="16" s="1"/>
  <c r="AU121" i="63"/>
  <c r="AW121" i="63"/>
  <c r="AM121" i="63"/>
  <c r="AN121" i="63" s="1"/>
  <c r="BC121" i="63"/>
  <c r="BD121" i="63" s="1"/>
  <c r="BE121" i="63"/>
  <c r="BF121" i="63" s="1"/>
  <c r="AW156" i="71"/>
  <c r="S156" i="71" s="1"/>
  <c r="AW156" i="72"/>
  <c r="S156" i="72" s="1"/>
  <c r="AW156" i="16"/>
  <c r="S156" i="16" s="1"/>
  <c r="AR124" i="63"/>
  <c r="AT114" i="63"/>
  <c r="L582" i="78"/>
  <c r="AX131" i="63"/>
  <c r="AL129" i="63"/>
  <c r="L579" i="78"/>
  <c r="AX128" i="63"/>
  <c r="BG159" i="71"/>
  <c r="AC159" i="71" s="1"/>
  <c r="BG159" i="72"/>
  <c r="AC159" i="72" s="1"/>
  <c r="BG159" i="16"/>
  <c r="AC159" i="16" s="1"/>
  <c r="O123" i="63"/>
  <c r="BK122" i="63"/>
  <c r="BL122" i="63" s="1"/>
  <c r="G123" i="63"/>
  <c r="AU122" i="63"/>
  <c r="Q570" i="78"/>
  <c r="BJ119" i="63"/>
  <c r="AQ29" i="13" s="1"/>
  <c r="Q556" i="78"/>
  <c r="BJ105" i="63"/>
  <c r="AQ15" i="13" s="1"/>
  <c r="AW166" i="71"/>
  <c r="S166" i="71" s="1"/>
  <c r="AW166" i="72"/>
  <c r="S166" i="72" s="1"/>
  <c r="AW166" i="16"/>
  <c r="S166" i="16" s="1"/>
  <c r="AO128" i="63"/>
  <c r="AP128" i="63" s="1"/>
  <c r="CA128" i="63"/>
  <c r="CB128" i="63" s="1"/>
  <c r="AT38" i="13" s="1"/>
  <c r="CC128" i="63"/>
  <c r="CD128" i="63" s="1"/>
  <c r="AU38" i="13" s="1"/>
  <c r="BF31" i="13"/>
  <c r="BG31" i="13" s="1"/>
  <c r="CC121" i="63"/>
  <c r="CD121" i="63" s="1"/>
  <c r="AU31" i="13" s="1"/>
  <c r="BF27" i="13"/>
  <c r="BG27" i="13" s="1"/>
  <c r="CC117" i="63"/>
  <c r="CD117" i="63" s="1"/>
  <c r="AU27" i="13" s="1"/>
  <c r="CA117" i="63"/>
  <c r="CB117" i="63" s="1"/>
  <c r="AT27" i="13" s="1"/>
  <c r="AU133" i="63"/>
  <c r="BF168" i="71"/>
  <c r="AB168" i="71" s="1"/>
  <c r="BF168" i="72"/>
  <c r="AB168" i="72" s="1"/>
  <c r="BF168" i="16"/>
  <c r="AB168" i="16" s="1"/>
  <c r="AX168" i="71"/>
  <c r="T168" i="71" s="1"/>
  <c r="AX168" i="72"/>
  <c r="T168" i="72" s="1"/>
  <c r="AX168" i="16"/>
  <c r="T168" i="16" s="1"/>
  <c r="BD165" i="71"/>
  <c r="Z165" i="71" s="1"/>
  <c r="BD165" i="72"/>
  <c r="Z165" i="72" s="1"/>
  <c r="BD165" i="16"/>
  <c r="Z165" i="16" s="1"/>
  <c r="BC129" i="63"/>
  <c r="BD129" i="63" s="1"/>
  <c r="BB163" i="71"/>
  <c r="X163" i="71" s="1"/>
  <c r="BB163" i="72"/>
  <c r="X163" i="72" s="1"/>
  <c r="BB163" i="16"/>
  <c r="X163" i="16" s="1"/>
  <c r="CA127" i="63"/>
  <c r="CB127" i="63" s="1"/>
  <c r="AT37" i="13" s="1"/>
  <c r="AZ162" i="71"/>
  <c r="V162" i="71" s="1"/>
  <c r="AZ162" i="72"/>
  <c r="V162" i="72" s="1"/>
  <c r="AZ162" i="16"/>
  <c r="V162" i="16" s="1"/>
  <c r="BG127" i="63"/>
  <c r="BH127" i="63" s="1"/>
  <c r="AP37" i="13" s="1"/>
  <c r="BB161" i="71"/>
  <c r="X161" i="71" s="1"/>
  <c r="BB161" i="72"/>
  <c r="X161" i="72" s="1"/>
  <c r="BB161" i="16"/>
  <c r="X161" i="16" s="1"/>
  <c r="BI126" i="63"/>
  <c r="AQ124" i="63"/>
  <c r="AY158" i="71"/>
  <c r="U158" i="71" s="1"/>
  <c r="AY158" i="72"/>
  <c r="U158" i="72" s="1"/>
  <c r="AY158" i="16"/>
  <c r="U158" i="16" s="1"/>
  <c r="BI122" i="63"/>
  <c r="BD158" i="71"/>
  <c r="Z158" i="71" s="1"/>
  <c r="BD158" i="72"/>
  <c r="Z158" i="72" s="1"/>
  <c r="BD158" i="16"/>
  <c r="Z158" i="16" s="1"/>
  <c r="BM122" i="63"/>
  <c r="BN122" i="63" s="1"/>
  <c r="P123" i="63"/>
  <c r="AW122" i="63"/>
  <c r="H123" i="63"/>
  <c r="BD156" i="71"/>
  <c r="Z156" i="71" s="1"/>
  <c r="BD156" i="72"/>
  <c r="Z156" i="72" s="1"/>
  <c r="BD156" i="16"/>
  <c r="Z156" i="16" s="1"/>
  <c r="L568" i="78"/>
  <c r="AX117" i="63"/>
  <c r="BD151" i="71"/>
  <c r="Z151" i="71" s="1"/>
  <c r="BD151" i="72"/>
  <c r="Z151" i="72" s="1"/>
  <c r="BD151" i="16"/>
  <c r="Z151" i="16" s="1"/>
  <c r="AY116" i="63"/>
  <c r="AZ116" i="63" s="1"/>
  <c r="BG116" i="63"/>
  <c r="BH116" i="63" s="1"/>
  <c r="AP26" i="13" s="1"/>
  <c r="BO116" i="63"/>
  <c r="AU116" i="63"/>
  <c r="AU114" i="63"/>
  <c r="BC148" i="71"/>
  <c r="Y148" i="71" s="1"/>
  <c r="BC148" i="72"/>
  <c r="Y148" i="72" s="1"/>
  <c r="AF123" i="63"/>
  <c r="BC148" i="16"/>
  <c r="Y148" i="16" s="1"/>
  <c r="AW148" i="71"/>
  <c r="S148" i="71" s="1"/>
  <c r="AW148" i="72"/>
  <c r="S148" i="72" s="1"/>
  <c r="AW148" i="16"/>
  <c r="S148" i="16" s="1"/>
  <c r="BG145" i="71"/>
  <c r="AC145" i="71" s="1"/>
  <c r="BG145" i="72"/>
  <c r="AC145" i="72" s="1"/>
  <c r="BG145" i="16"/>
  <c r="AC145" i="16" s="1"/>
  <c r="AY145" i="71"/>
  <c r="U145" i="71" s="1"/>
  <c r="AY145" i="72"/>
  <c r="U145" i="72" s="1"/>
  <c r="AY145" i="16"/>
  <c r="U145" i="16" s="1"/>
  <c r="AK110" i="63"/>
  <c r="BA110" i="63"/>
  <c r="BB110" i="63" s="1"/>
  <c r="CQ20" i="13" s="1"/>
  <c r="BI110" i="63"/>
  <c r="AM110" i="63"/>
  <c r="AN110" i="63" s="1"/>
  <c r="AU110" i="63"/>
  <c r="BC110" i="63"/>
  <c r="BD110" i="63" s="1"/>
  <c r="AW110" i="63"/>
  <c r="BB143" i="71"/>
  <c r="BB143" i="72"/>
  <c r="BB143" i="16"/>
  <c r="BE108" i="63"/>
  <c r="BF108" i="63" s="1"/>
  <c r="BI108" i="63"/>
  <c r="AW108" i="63"/>
  <c r="BE142" i="71"/>
  <c r="AA142" i="71" s="1"/>
  <c r="BE142" i="72"/>
  <c r="AA142" i="72" s="1"/>
  <c r="BE142" i="16"/>
  <c r="AA142" i="16" s="1"/>
  <c r="BE106" i="63"/>
  <c r="BF106" i="63" s="1"/>
  <c r="CA106" i="63"/>
  <c r="CB106" i="63" s="1"/>
  <c r="AT16" i="13" s="1"/>
  <c r="AO106" i="63"/>
  <c r="AP106" i="63" s="1"/>
  <c r="CC106" i="63"/>
  <c r="CD106" i="63" s="1"/>
  <c r="AU16" i="13" s="1"/>
  <c r="AZ140" i="71"/>
  <c r="V140" i="71" s="1"/>
  <c r="AZ140" i="72"/>
  <c r="V140" i="72" s="1"/>
  <c r="AZ140" i="16"/>
  <c r="V140" i="16" s="1"/>
  <c r="AM105" i="63"/>
  <c r="BC105" i="63"/>
  <c r="BD105" i="63" s="1"/>
  <c r="AY105" i="63"/>
  <c r="AZ105" i="63" s="1"/>
  <c r="BG105" i="63"/>
  <c r="BH105" i="63" s="1"/>
  <c r="AP15" i="13" s="1"/>
  <c r="BO105" i="63"/>
  <c r="BD168" i="71"/>
  <c r="Z168" i="71" s="1"/>
  <c r="BD168" i="72"/>
  <c r="Z168" i="72" s="1"/>
  <c r="BD168" i="16"/>
  <c r="Z168" i="16" s="1"/>
  <c r="CA132" i="63"/>
  <c r="CB132" i="63" s="1"/>
  <c r="AT42" i="13" s="1"/>
  <c r="BO132" i="63"/>
  <c r="AO132" i="63"/>
  <c r="AP132" i="63" s="1"/>
  <c r="AO131" i="63"/>
  <c r="AP131" i="63" s="1"/>
  <c r="BC166" i="71"/>
  <c r="Y166" i="71" s="1"/>
  <c r="BC166" i="72"/>
  <c r="Y166" i="72" s="1"/>
  <c r="BC166" i="16"/>
  <c r="Y166" i="16" s="1"/>
  <c r="CA130" i="63"/>
  <c r="CB130" i="63" s="1"/>
  <c r="AT40" i="13" s="1"/>
  <c r="AO130" i="63"/>
  <c r="AP130" i="63" s="1"/>
  <c r="BB165" i="71"/>
  <c r="X165" i="71" s="1"/>
  <c r="BB165" i="72"/>
  <c r="X165" i="72" s="1"/>
  <c r="BB165" i="16"/>
  <c r="X165" i="16" s="1"/>
  <c r="AM129" i="63"/>
  <c r="AN129" i="63" s="1"/>
  <c r="AZ163" i="71"/>
  <c r="V163" i="71" s="1"/>
  <c r="AZ163" i="72"/>
  <c r="V163" i="72" s="1"/>
  <c r="AZ163" i="16"/>
  <c r="V163" i="16" s="1"/>
  <c r="AU127" i="63"/>
  <c r="BO126" i="63"/>
  <c r="AY126" i="63"/>
  <c r="AZ126" i="63" s="1"/>
  <c r="E124" i="63"/>
  <c r="F124" i="63"/>
  <c r="BC122" i="63"/>
  <c r="BD122" i="63" s="1"/>
  <c r="BB157" i="71"/>
  <c r="X157" i="71" s="1"/>
  <c r="BB157" i="72"/>
  <c r="X157" i="72" s="1"/>
  <c r="BB157" i="16"/>
  <c r="X157" i="16" s="1"/>
  <c r="AE123" i="63"/>
  <c r="AO121" i="63"/>
  <c r="AP121" i="63" s="1"/>
  <c r="BB156" i="71"/>
  <c r="X156" i="71" s="1"/>
  <c r="BB156" i="72"/>
  <c r="X156" i="72" s="1"/>
  <c r="BB156" i="16"/>
  <c r="X156" i="16" s="1"/>
  <c r="BI121" i="63"/>
  <c r="BE155" i="71"/>
  <c r="AA155" i="71" s="1"/>
  <c r="BE155" i="72"/>
  <c r="AA155" i="72" s="1"/>
  <c r="BE155" i="16"/>
  <c r="AA155" i="16" s="1"/>
  <c r="BG154" i="71"/>
  <c r="AC154" i="71" s="1"/>
  <c r="BG154" i="72"/>
  <c r="AC154" i="72" s="1"/>
  <c r="BG154" i="16"/>
  <c r="AC154" i="16" s="1"/>
  <c r="AY154" i="71"/>
  <c r="U154" i="71" s="1"/>
  <c r="AY154" i="72"/>
  <c r="U154" i="72" s="1"/>
  <c r="AY154" i="16"/>
  <c r="U154" i="16" s="1"/>
  <c r="AM119" i="63"/>
  <c r="AN119" i="63" s="1"/>
  <c r="AU119" i="63"/>
  <c r="BC119" i="63"/>
  <c r="BD119" i="63" s="1"/>
  <c r="AW119" i="63"/>
  <c r="AM118" i="63"/>
  <c r="AN118" i="63" s="1"/>
  <c r="BB153" i="71"/>
  <c r="X153" i="71" s="1"/>
  <c r="BB153" i="72"/>
  <c r="X153" i="72" s="1"/>
  <c r="BB153" i="16"/>
  <c r="X153" i="16" s="1"/>
  <c r="BC152" i="71"/>
  <c r="Y152" i="71" s="1"/>
  <c r="BC152" i="72"/>
  <c r="Y152" i="72" s="1"/>
  <c r="BC152" i="16"/>
  <c r="Y152" i="16" s="1"/>
  <c r="AW152" i="71"/>
  <c r="S152" i="71" s="1"/>
  <c r="AW152" i="72"/>
  <c r="S152" i="72" s="1"/>
  <c r="AW152" i="16"/>
  <c r="S152" i="16" s="1"/>
  <c r="BG150" i="71"/>
  <c r="AC150" i="71" s="1"/>
  <c r="BG150" i="72"/>
  <c r="AC150" i="72" s="1"/>
  <c r="BG150" i="16"/>
  <c r="AC150" i="16" s="1"/>
  <c r="AY150" i="71"/>
  <c r="U150" i="71" s="1"/>
  <c r="AY150" i="72"/>
  <c r="U150" i="72" s="1"/>
  <c r="AY150" i="16"/>
  <c r="U150" i="16" s="1"/>
  <c r="AK115" i="63"/>
  <c r="BA115" i="63"/>
  <c r="BB115" i="63" s="1"/>
  <c r="CQ25" i="13" s="1"/>
  <c r="BI115" i="63"/>
  <c r="AM115" i="63"/>
  <c r="AN115" i="63" s="1"/>
  <c r="AU115" i="63"/>
  <c r="BC115" i="63"/>
  <c r="BD115" i="63" s="1"/>
  <c r="AW115" i="63"/>
  <c r="BA112" i="63"/>
  <c r="BB112" i="63" s="1"/>
  <c r="CQ22" i="13" s="1"/>
  <c r="AK112" i="63"/>
  <c r="BA144" i="71"/>
  <c r="W144" i="71" s="1"/>
  <c r="BA144" i="72"/>
  <c r="W144" i="72" s="1"/>
  <c r="BA144" i="16"/>
  <c r="W144" i="16" s="1"/>
  <c r="AM108" i="63"/>
  <c r="AN108" i="63" s="1"/>
  <c r="BA105" i="63"/>
  <c r="BB105" i="63" s="1"/>
  <c r="CQ15" i="13" s="1"/>
  <c r="AW105" i="63"/>
  <c r="P577" i="78"/>
  <c r="CC133" i="63"/>
  <c r="CD133" i="63" s="1"/>
  <c r="AU43" i="13" s="1"/>
  <c r="BP133" i="63"/>
  <c r="BB167" i="71"/>
  <c r="X167" i="71" s="1"/>
  <c r="BB167" i="72"/>
  <c r="X167" i="72" s="1"/>
  <c r="BB167" i="16"/>
  <c r="X167" i="16" s="1"/>
  <c r="BB166" i="71"/>
  <c r="X166" i="71" s="1"/>
  <c r="BB166" i="72"/>
  <c r="X166" i="72" s="1"/>
  <c r="BB166" i="16"/>
  <c r="X166" i="16" s="1"/>
  <c r="AZ164" i="71"/>
  <c r="V164" i="71" s="1"/>
  <c r="AZ164" i="72"/>
  <c r="V164" i="72" s="1"/>
  <c r="AZ164" i="16"/>
  <c r="V164" i="16" s="1"/>
  <c r="AY127" i="63"/>
  <c r="AZ127" i="63" s="1"/>
  <c r="AX126" i="63"/>
  <c r="BA157" i="71"/>
  <c r="W157" i="71" s="1"/>
  <c r="BA157" i="72"/>
  <c r="W157" i="72" s="1"/>
  <c r="BA157" i="16"/>
  <c r="W157" i="16" s="1"/>
  <c r="BD155" i="71"/>
  <c r="Z155" i="71" s="1"/>
  <c r="BD155" i="72"/>
  <c r="Z155" i="72" s="1"/>
  <c r="BD155" i="16"/>
  <c r="Z155" i="16" s="1"/>
  <c r="AU120" i="63"/>
  <c r="BF154" i="71"/>
  <c r="AB154" i="71" s="1"/>
  <c r="BF154" i="72"/>
  <c r="AB154" i="72" s="1"/>
  <c r="BF154" i="16"/>
  <c r="AB154" i="16" s="1"/>
  <c r="AX154" i="71"/>
  <c r="T154" i="71" s="1"/>
  <c r="AX154" i="72"/>
  <c r="T154" i="72" s="1"/>
  <c r="AX154" i="16"/>
  <c r="T154" i="16" s="1"/>
  <c r="AL118" i="63"/>
  <c r="BA153" i="71"/>
  <c r="W153" i="71" s="1"/>
  <c r="BA153" i="72"/>
  <c r="W153" i="72" s="1"/>
  <c r="BA153" i="16"/>
  <c r="W153" i="16" s="1"/>
  <c r="BE118" i="63"/>
  <c r="BF118" i="63" s="1"/>
  <c r="BB152" i="71"/>
  <c r="X152" i="71" s="1"/>
  <c r="BB152" i="72"/>
  <c r="X152" i="72" s="1"/>
  <c r="BB152" i="16"/>
  <c r="X152" i="16" s="1"/>
  <c r="BE117" i="63"/>
  <c r="BF117" i="63" s="1"/>
  <c r="BI117" i="63"/>
  <c r="AZ567" i="78"/>
  <c r="BC116" i="63"/>
  <c r="BD116" i="63" s="1"/>
  <c r="AM116" i="63"/>
  <c r="AN116" i="63" s="1"/>
  <c r="BF150" i="71"/>
  <c r="AB150" i="71" s="1"/>
  <c r="BF150" i="72"/>
  <c r="AB150" i="72" s="1"/>
  <c r="BF150" i="16"/>
  <c r="AB150" i="16" s="1"/>
  <c r="AX150" i="71"/>
  <c r="T150" i="71" s="1"/>
  <c r="AX150" i="72"/>
  <c r="T150" i="72" s="1"/>
  <c r="AX150" i="16"/>
  <c r="T150" i="16" s="1"/>
  <c r="BE114" i="63"/>
  <c r="BF114" i="63" s="1"/>
  <c r="AK113" i="63"/>
  <c r="BJ109" i="63"/>
  <c r="AQ19" i="13" s="1"/>
  <c r="AZ144" i="71"/>
  <c r="V144" i="71" s="1"/>
  <c r="AZ144" i="72"/>
  <c r="V144" i="72" s="1"/>
  <c r="AZ144" i="16"/>
  <c r="V144" i="16" s="1"/>
  <c r="AM109" i="63"/>
  <c r="AN109" i="63" s="1"/>
  <c r="BC109" i="63"/>
  <c r="BD109" i="63" s="1"/>
  <c r="AY109" i="63"/>
  <c r="AZ109" i="63" s="1"/>
  <c r="BG109" i="63"/>
  <c r="BH109" i="63" s="1"/>
  <c r="AP19" i="13" s="1"/>
  <c r="BO109" i="63"/>
  <c r="BC108" i="63"/>
  <c r="BD108" i="63" s="1"/>
  <c r="M556" i="78"/>
  <c r="AV105" i="63"/>
  <c r="AO15" i="13" s="1"/>
  <c r="BB583" i="78"/>
  <c r="Q196" i="20"/>
  <c r="F65" i="15"/>
  <c r="D99" i="15" s="1"/>
  <c r="H65" i="15"/>
  <c r="F99" i="15" s="1"/>
  <c r="B99" i="15"/>
  <c r="J65" i="15"/>
  <c r="H99" i="15" s="1"/>
  <c r="BB572" i="78"/>
  <c r="Q187" i="20"/>
  <c r="F56" i="15"/>
  <c r="D88" i="15" s="1"/>
  <c r="H56" i="15"/>
  <c r="F88" i="15" s="1"/>
  <c r="J56" i="15"/>
  <c r="H88" i="15" s="1"/>
  <c r="B88" i="15"/>
  <c r="BB564" i="78"/>
  <c r="Q179" i="20"/>
  <c r="F48" i="15"/>
  <c r="D80" i="15" s="1"/>
  <c r="H48" i="15"/>
  <c r="F80" i="15" s="1"/>
  <c r="J48" i="15"/>
  <c r="H80" i="15" s="1"/>
  <c r="B80" i="15"/>
  <c r="BB168" i="71"/>
  <c r="X168" i="71" s="1"/>
  <c r="BB168" i="72"/>
  <c r="X168" i="72" s="1"/>
  <c r="BB168" i="16"/>
  <c r="X168" i="16" s="1"/>
  <c r="BA167" i="71"/>
  <c r="W167" i="71" s="1"/>
  <c r="BA167" i="72"/>
  <c r="W167" i="72" s="1"/>
  <c r="BA167" i="16"/>
  <c r="W167" i="16" s="1"/>
  <c r="AZ165" i="71"/>
  <c r="V165" i="71" s="1"/>
  <c r="AZ165" i="72"/>
  <c r="V165" i="72" s="1"/>
  <c r="AZ165" i="16"/>
  <c r="V165" i="16" s="1"/>
  <c r="BG164" i="71"/>
  <c r="AC164" i="71" s="1"/>
  <c r="BG164" i="72"/>
  <c r="AC164" i="72" s="1"/>
  <c r="BG164" i="16"/>
  <c r="AC164" i="16" s="1"/>
  <c r="AY164" i="71"/>
  <c r="U164" i="71" s="1"/>
  <c r="AY164" i="72"/>
  <c r="U164" i="72" s="1"/>
  <c r="AY164" i="16"/>
  <c r="U164" i="16" s="1"/>
  <c r="BF163" i="71"/>
  <c r="AB163" i="71" s="1"/>
  <c r="BF163" i="72"/>
  <c r="AB163" i="72" s="1"/>
  <c r="BF163" i="16"/>
  <c r="AB163" i="16" s="1"/>
  <c r="AX163" i="71"/>
  <c r="T163" i="71" s="1"/>
  <c r="AX163" i="72"/>
  <c r="T163" i="72" s="1"/>
  <c r="AX163" i="16"/>
  <c r="T163" i="16" s="1"/>
  <c r="BD162" i="71"/>
  <c r="Z162" i="71" s="1"/>
  <c r="BD162" i="72"/>
  <c r="Z162" i="72" s="1"/>
  <c r="BD162" i="16"/>
  <c r="Z162" i="16" s="1"/>
  <c r="BF161" i="71"/>
  <c r="AB161" i="71" s="1"/>
  <c r="BF161" i="72"/>
  <c r="AB161" i="72" s="1"/>
  <c r="BF161" i="16"/>
  <c r="AB161" i="16" s="1"/>
  <c r="AX161" i="71"/>
  <c r="T161" i="71" s="1"/>
  <c r="AX161" i="72"/>
  <c r="T161" i="72" s="1"/>
  <c r="AX161" i="16"/>
  <c r="T161" i="16" s="1"/>
  <c r="BA126" i="63"/>
  <c r="BB126" i="63" s="1"/>
  <c r="CQ36" i="13" s="1"/>
  <c r="AK126" i="63"/>
  <c r="BG158" i="71"/>
  <c r="AC158" i="71" s="1"/>
  <c r="BG158" i="72"/>
  <c r="AC158" i="72" s="1"/>
  <c r="BG158" i="16"/>
  <c r="AC158" i="16" s="1"/>
  <c r="AO123" i="63"/>
  <c r="AZ157" i="71"/>
  <c r="V157" i="71" s="1"/>
  <c r="AZ157" i="72"/>
  <c r="V157" i="72" s="1"/>
  <c r="AZ157" i="16"/>
  <c r="V157" i="16" s="1"/>
  <c r="BE122" i="63"/>
  <c r="BF122" i="63" s="1"/>
  <c r="AO122" i="63"/>
  <c r="AP122" i="63" s="1"/>
  <c r="CC122" i="63"/>
  <c r="CD122" i="63" s="1"/>
  <c r="AU32" i="13" s="1"/>
  <c r="AK121" i="63"/>
  <c r="AZ153" i="71"/>
  <c r="V153" i="71" s="1"/>
  <c r="AZ153" i="72"/>
  <c r="V153" i="72" s="1"/>
  <c r="AZ153" i="16"/>
  <c r="V153" i="16" s="1"/>
  <c r="AY118" i="63"/>
  <c r="AZ118" i="63" s="1"/>
  <c r="BG118" i="63"/>
  <c r="BH118" i="63" s="1"/>
  <c r="AP28" i="13" s="1"/>
  <c r="BO118" i="63"/>
  <c r="AL116" i="63"/>
  <c r="BA149" i="71"/>
  <c r="W149" i="71" s="1"/>
  <c r="BA149" i="72"/>
  <c r="W149" i="72" s="1"/>
  <c r="BA149" i="16"/>
  <c r="W149" i="16" s="1"/>
  <c r="BA113" i="63"/>
  <c r="BB113" i="63" s="1"/>
  <c r="CQ23" i="13" s="1"/>
  <c r="BE110" i="63"/>
  <c r="BF110" i="63" s="1"/>
  <c r="AO110" i="63"/>
  <c r="AP110" i="63" s="1"/>
  <c r="AZ558" i="78"/>
  <c r="BC107" i="63"/>
  <c r="BD107" i="63" s="1"/>
  <c r="AM107" i="63"/>
  <c r="AN107" i="63" s="1"/>
  <c r="BG141" i="71"/>
  <c r="AC141" i="71" s="1"/>
  <c r="BG141" i="72"/>
  <c r="AC141" i="72" s="1"/>
  <c r="BG141" i="16"/>
  <c r="AC141" i="16" s="1"/>
  <c r="AY141" i="71"/>
  <c r="U141" i="71" s="1"/>
  <c r="AY141" i="72"/>
  <c r="U141" i="72" s="1"/>
  <c r="AY141" i="16"/>
  <c r="U141" i="16" s="1"/>
  <c r="AK106" i="63"/>
  <c r="BA106" i="63"/>
  <c r="BB106" i="63" s="1"/>
  <c r="CQ16" i="13" s="1"/>
  <c r="BI106" i="63"/>
  <c r="AW106" i="63"/>
  <c r="AW155" i="71"/>
  <c r="S155" i="71" s="1"/>
  <c r="AW155" i="72"/>
  <c r="S155" i="72" s="1"/>
  <c r="AW155" i="16"/>
  <c r="S155" i="16" s="1"/>
  <c r="AO117" i="63"/>
  <c r="AP117" i="63" s="1"/>
  <c r="AW151" i="71"/>
  <c r="S151" i="71" s="1"/>
  <c r="AW151" i="72"/>
  <c r="S151" i="72" s="1"/>
  <c r="AW151" i="16"/>
  <c r="S151" i="16" s="1"/>
  <c r="AO113" i="63"/>
  <c r="AP113" i="63" s="1"/>
  <c r="CC113" i="63"/>
  <c r="CD113" i="63" s="1"/>
  <c r="AU23" i="13" s="1"/>
  <c r="AW147" i="71"/>
  <c r="S147" i="71" s="1"/>
  <c r="AW147" i="72"/>
  <c r="S147" i="72" s="1"/>
  <c r="AW147" i="16"/>
  <c r="S147" i="16" s="1"/>
  <c r="X123" i="63"/>
  <c r="N76" i="63"/>
  <c r="T108" i="63" s="1"/>
  <c r="V108" i="63" s="1" a="1"/>
  <c r="V108" i="63" s="1"/>
  <c r="W108" i="63" s="1"/>
  <c r="T109" i="63"/>
  <c r="D75" i="15"/>
  <c r="H75" i="15"/>
  <c r="F75" i="15"/>
  <c r="AM133" i="63"/>
  <c r="AN133" i="63" s="1"/>
  <c r="AW132" i="63"/>
  <c r="AK132" i="63"/>
  <c r="AZ167" i="71"/>
  <c r="V167" i="71" s="1"/>
  <c r="AZ167" i="72"/>
  <c r="V167" i="72" s="1"/>
  <c r="AZ167" i="16"/>
  <c r="V167" i="16" s="1"/>
  <c r="AZ166" i="71"/>
  <c r="V166" i="71" s="1"/>
  <c r="AZ166" i="72"/>
  <c r="V166" i="72" s="1"/>
  <c r="AZ166" i="16"/>
  <c r="V166" i="16" s="1"/>
  <c r="BI130" i="63"/>
  <c r="AU129" i="63"/>
  <c r="BF164" i="71"/>
  <c r="AB164" i="71" s="1"/>
  <c r="BF164" i="72"/>
  <c r="AB164" i="72" s="1"/>
  <c r="BF164" i="16"/>
  <c r="AB164" i="16" s="1"/>
  <c r="AX164" i="71"/>
  <c r="T164" i="71" s="1"/>
  <c r="AX164" i="72"/>
  <c r="T164" i="72" s="1"/>
  <c r="AX164" i="16"/>
  <c r="T164" i="16" s="1"/>
  <c r="BC162" i="71"/>
  <c r="Y162" i="71" s="1"/>
  <c r="BC162" i="72"/>
  <c r="Y162" i="72" s="1"/>
  <c r="BC162" i="16"/>
  <c r="Y162" i="16" s="1"/>
  <c r="AW162" i="71"/>
  <c r="S162" i="71" s="1"/>
  <c r="AW162" i="72"/>
  <c r="S162" i="72" s="1"/>
  <c r="AW162" i="16"/>
  <c r="S162" i="16" s="1"/>
  <c r="CA126" i="63"/>
  <c r="CB126" i="63" s="1"/>
  <c r="AT36" i="13" s="1"/>
  <c r="AU126" i="63"/>
  <c r="BE161" i="71"/>
  <c r="AA161" i="71" s="1"/>
  <c r="BE161" i="72"/>
  <c r="AA161" i="72" s="1"/>
  <c r="BE161" i="16"/>
  <c r="AA161" i="16" s="1"/>
  <c r="BD159" i="71"/>
  <c r="Z159" i="71" s="1"/>
  <c r="BD159" i="72"/>
  <c r="Z159" i="72" s="1"/>
  <c r="BD159" i="16"/>
  <c r="Z159" i="16" s="1"/>
  <c r="BE158" i="71"/>
  <c r="AA158" i="71" s="1"/>
  <c r="BE158" i="72"/>
  <c r="AA158" i="72" s="1"/>
  <c r="BE158" i="16"/>
  <c r="AA158" i="16" s="1"/>
  <c r="AH124" i="63"/>
  <c r="B124" i="63"/>
  <c r="BO122" i="63"/>
  <c r="AY122" i="63"/>
  <c r="AZ122" i="63" s="1"/>
  <c r="BA121" i="63"/>
  <c r="BB121" i="63" s="1"/>
  <c r="CQ31" i="13" s="1"/>
  <c r="CA120" i="63"/>
  <c r="CB120" i="63" s="1"/>
  <c r="AT30" i="13" s="1"/>
  <c r="BA118" i="63"/>
  <c r="BB118" i="63" s="1"/>
  <c r="CQ28" i="13" s="1"/>
  <c r="AL117" i="63"/>
  <c r="AK114" i="63"/>
  <c r="AZ149" i="71"/>
  <c r="V149" i="71" s="1"/>
  <c r="AZ149" i="72"/>
  <c r="V149" i="72" s="1"/>
  <c r="AZ149" i="16"/>
  <c r="V149" i="16" s="1"/>
  <c r="AM114" i="63"/>
  <c r="AN114" i="63" s="1"/>
  <c r="BC114" i="63"/>
  <c r="BD114" i="63" s="1"/>
  <c r="AY114" i="63"/>
  <c r="AZ114" i="63" s="1"/>
  <c r="BG114" i="63"/>
  <c r="BH114" i="63" s="1"/>
  <c r="AP24" i="13" s="1"/>
  <c r="BO114" i="63"/>
  <c r="BO113" i="63"/>
  <c r="Q123" i="63"/>
  <c r="AY113" i="63"/>
  <c r="AZ113" i="63" s="1"/>
  <c r="I123" i="63"/>
  <c r="BE147" i="71"/>
  <c r="AA147" i="71" s="1"/>
  <c r="BE147" i="72"/>
  <c r="AA147" i="72" s="1"/>
  <c r="BE147" i="16"/>
  <c r="AA147" i="16" s="1"/>
  <c r="V110" i="63" a="1"/>
  <c r="V110" i="63" s="1"/>
  <c r="W110" i="63" s="1"/>
  <c r="BF20" i="13" s="1"/>
  <c r="BG20" i="13" s="1"/>
  <c r="L560" i="78"/>
  <c r="AX109" i="63"/>
  <c r="AL108" i="63"/>
  <c r="BA107" i="63"/>
  <c r="BB107" i="63" s="1"/>
  <c r="CQ17" i="13" s="1"/>
  <c r="AK107" i="63"/>
  <c r="BF141" i="71"/>
  <c r="AB141" i="71" s="1"/>
  <c r="BF141" i="72"/>
  <c r="AB141" i="72" s="1"/>
  <c r="BF141" i="16"/>
  <c r="AB141" i="16" s="1"/>
  <c r="AX141" i="71"/>
  <c r="T141" i="71" s="1"/>
  <c r="AX141" i="72"/>
  <c r="T141" i="72" s="1"/>
  <c r="AX141" i="16"/>
  <c r="T141" i="16" s="1"/>
  <c r="T143" i="16" s="1"/>
  <c r="AU106" i="63"/>
  <c r="AX143" i="71"/>
  <c r="AX143" i="72"/>
  <c r="AX143" i="16"/>
  <c r="CM40" i="13"/>
  <c r="H90" i="15"/>
  <c r="AY133" i="63"/>
  <c r="AZ133" i="63" s="1"/>
  <c r="AK133" i="63"/>
  <c r="AZ168" i="71"/>
  <c r="V168" i="71" s="1"/>
  <c r="AZ168" i="72"/>
  <c r="V168" i="72" s="1"/>
  <c r="AZ168" i="16"/>
  <c r="V168" i="16" s="1"/>
  <c r="AU132" i="63"/>
  <c r="BG130" i="63"/>
  <c r="BH130" i="63" s="1"/>
  <c r="AP40" i="13" s="1"/>
  <c r="AU130" i="63"/>
  <c r="BF165" i="71"/>
  <c r="AB165" i="71" s="1"/>
  <c r="BF165" i="72"/>
  <c r="AB165" i="72" s="1"/>
  <c r="BF165" i="16"/>
  <c r="AB165" i="16" s="1"/>
  <c r="AX165" i="71"/>
  <c r="T165" i="71" s="1"/>
  <c r="AX165" i="72"/>
  <c r="T165" i="72" s="1"/>
  <c r="AX165" i="16"/>
  <c r="T165" i="16" s="1"/>
  <c r="BG129" i="63"/>
  <c r="BH129" i="63" s="1"/>
  <c r="AP39" i="13" s="1"/>
  <c r="BD163" i="71"/>
  <c r="Z163" i="71" s="1"/>
  <c r="BD163" i="72"/>
  <c r="Z163" i="72" s="1"/>
  <c r="BD163" i="16"/>
  <c r="Z163" i="16" s="1"/>
  <c r="BC127" i="63"/>
  <c r="BD127" i="63" s="1"/>
  <c r="BB162" i="71"/>
  <c r="X162" i="71" s="1"/>
  <c r="BB162" i="72"/>
  <c r="X162" i="72" s="1"/>
  <c r="BB162" i="16"/>
  <c r="X162" i="16" s="1"/>
  <c r="BG126" i="63"/>
  <c r="BH126" i="63" s="1"/>
  <c r="AP36" i="13" s="1"/>
  <c r="BD161" i="71"/>
  <c r="Z161" i="71" s="1"/>
  <c r="BD161" i="72"/>
  <c r="Z161" i="72" s="1"/>
  <c r="BD161" i="16"/>
  <c r="Z161" i="16" s="1"/>
  <c r="AT124" i="63"/>
  <c r="BA158" i="71"/>
  <c r="W158" i="71" s="1"/>
  <c r="BA158" i="72"/>
  <c r="W158" i="72" s="1"/>
  <c r="AD124" i="63"/>
  <c r="BA158" i="16"/>
  <c r="W158" i="16" s="1"/>
  <c r="N124" i="63"/>
  <c r="CA122" i="63"/>
  <c r="CB122" i="63" s="1"/>
  <c r="AT32" i="13" s="1"/>
  <c r="BF157" i="71"/>
  <c r="AB157" i="71" s="1"/>
  <c r="BF157" i="72"/>
  <c r="AB157" i="72" s="1"/>
  <c r="BF157" i="16"/>
  <c r="AB157" i="16" s="1"/>
  <c r="AI123" i="63"/>
  <c r="AX157" i="71"/>
  <c r="T157" i="71" s="1"/>
  <c r="AX157" i="72"/>
  <c r="T157" i="72" s="1"/>
  <c r="AX157" i="16"/>
  <c r="T157" i="16" s="1"/>
  <c r="AA123" i="63"/>
  <c r="BO121" i="63"/>
  <c r="AY121" i="63"/>
  <c r="AZ121" i="63" s="1"/>
  <c r="AZ571" i="78"/>
  <c r="BC120" i="63"/>
  <c r="BD120" i="63" s="1"/>
  <c r="AM120" i="63"/>
  <c r="AN120" i="63" s="1"/>
  <c r="AU118" i="63"/>
  <c r="AO115" i="63"/>
  <c r="AP115" i="63" s="1"/>
  <c r="AW113" i="63"/>
  <c r="AW112" i="63"/>
  <c r="BD147" i="71"/>
  <c r="Z147" i="71" s="1"/>
  <c r="BD147" i="72"/>
  <c r="Z147" i="72" s="1"/>
  <c r="BD147" i="16"/>
  <c r="Z147" i="16" s="1"/>
  <c r="AY112" i="63"/>
  <c r="AZ112" i="63" s="1"/>
  <c r="BG112" i="63"/>
  <c r="BH112" i="63" s="1"/>
  <c r="AP22" i="13" s="1"/>
  <c r="BO112" i="63"/>
  <c r="AU112" i="63"/>
  <c r="M560" i="78"/>
  <c r="AV109" i="63"/>
  <c r="AO19" i="13" s="1"/>
  <c r="BG106" i="63"/>
  <c r="BH106" i="63" s="1"/>
  <c r="AP16" i="13" s="1"/>
  <c r="AO108" i="63"/>
  <c r="AP108" i="63" s="1"/>
  <c r="CC108" i="63"/>
  <c r="CD108" i="63" s="1"/>
  <c r="AU18" i="13" s="1"/>
  <c r="F76" i="63"/>
  <c r="X108" i="63" s="1"/>
  <c r="X107" i="63"/>
  <c r="J76" i="63"/>
  <c r="Z108" i="63" s="1"/>
  <c r="Z106" i="63"/>
  <c r="F90" i="15"/>
  <c r="F91" i="15" s="1"/>
  <c r="L43" i="15"/>
  <c r="L73" i="15"/>
  <c r="AW133" i="63"/>
  <c r="BG168" i="71"/>
  <c r="AC168" i="71" s="1"/>
  <c r="BG168" i="72"/>
  <c r="AC168" i="72" s="1"/>
  <c r="AY168" i="71"/>
  <c r="U168" i="71" s="1"/>
  <c r="AY168" i="72"/>
  <c r="U168" i="72" s="1"/>
  <c r="AY168" i="16"/>
  <c r="U168" i="16" s="1"/>
  <c r="BG132" i="63"/>
  <c r="BH132" i="63" s="1"/>
  <c r="AP42" i="13" s="1"/>
  <c r="BF167" i="71"/>
  <c r="AB167" i="71" s="1"/>
  <c r="BF167" i="72"/>
  <c r="AB167" i="72" s="1"/>
  <c r="BF167" i="16"/>
  <c r="AB167" i="16" s="1"/>
  <c r="AX167" i="71"/>
  <c r="T167" i="71" s="1"/>
  <c r="AX167" i="72"/>
  <c r="T167" i="72" s="1"/>
  <c r="AX167" i="16"/>
  <c r="T167" i="16" s="1"/>
  <c r="BG131" i="63"/>
  <c r="BH131" i="63" s="1"/>
  <c r="AP41" i="13" s="1"/>
  <c r="AU131" i="63"/>
  <c r="BF166" i="71"/>
  <c r="AB166" i="71" s="1"/>
  <c r="BF166" i="72"/>
  <c r="AB166" i="72" s="1"/>
  <c r="BF166" i="16"/>
  <c r="AB166" i="16" s="1"/>
  <c r="AX166" i="71"/>
  <c r="T166" i="71" s="1"/>
  <c r="AX166" i="72"/>
  <c r="T166" i="72" s="1"/>
  <c r="AX166" i="16"/>
  <c r="T166" i="16" s="1"/>
  <c r="BE165" i="71"/>
  <c r="AA165" i="71" s="1"/>
  <c r="BE165" i="72"/>
  <c r="AA165" i="72" s="1"/>
  <c r="BE165" i="16"/>
  <c r="AA165" i="16" s="1"/>
  <c r="BE129" i="63"/>
  <c r="BF129" i="63" s="1"/>
  <c r="BD164" i="71"/>
  <c r="Z164" i="71" s="1"/>
  <c r="BD164" i="72"/>
  <c r="Z164" i="72" s="1"/>
  <c r="BD164" i="16"/>
  <c r="Z164" i="16" s="1"/>
  <c r="BO127" i="63"/>
  <c r="BA127" i="63"/>
  <c r="BB127" i="63" s="1"/>
  <c r="CQ37" i="13" s="1"/>
  <c r="AM127" i="63"/>
  <c r="AN127" i="63" s="1"/>
  <c r="AY159" i="71"/>
  <c r="U159" i="71" s="1"/>
  <c r="AY159" i="72"/>
  <c r="U159" i="72" s="1"/>
  <c r="AY159" i="16"/>
  <c r="U159" i="16" s="1"/>
  <c r="AC123" i="63"/>
  <c r="BE123" i="63" s="1"/>
  <c r="AO120" i="63"/>
  <c r="AP120" i="63" s="1"/>
  <c r="BA120" i="63"/>
  <c r="BB120" i="63" s="1"/>
  <c r="CQ30" i="13" s="1"/>
  <c r="AK120" i="63"/>
  <c r="BE119" i="63"/>
  <c r="BF119" i="63" s="1"/>
  <c r="CA119" i="63"/>
  <c r="CB119" i="63" s="1"/>
  <c r="AT29" i="13" s="1"/>
  <c r="AO119" i="63"/>
  <c r="AP119" i="63" s="1"/>
  <c r="CC119" i="63"/>
  <c r="CD119" i="63" s="1"/>
  <c r="AU29" i="13" s="1"/>
  <c r="AW118" i="63"/>
  <c r="BC117" i="63"/>
  <c r="BD117" i="63" s="1"/>
  <c r="BO117" i="63"/>
  <c r="AY117" i="63"/>
  <c r="AZ117" i="63" s="1"/>
  <c r="AX116" i="63"/>
  <c r="BE151" i="71"/>
  <c r="AA151" i="71" s="1"/>
  <c r="BE151" i="72"/>
  <c r="AA151" i="72" s="1"/>
  <c r="BE151" i="16"/>
  <c r="AA151" i="16" s="1"/>
  <c r="BP115" i="63"/>
  <c r="V115" i="63" a="1"/>
  <c r="V115" i="63" s="1"/>
  <c r="W115" i="63" s="1"/>
  <c r="BF25" i="13" s="1"/>
  <c r="BG25" i="13" s="1"/>
  <c r="AW114" i="63"/>
  <c r="BC143" i="71"/>
  <c r="BC143" i="72"/>
  <c r="BC143" i="16"/>
  <c r="BO108" i="63"/>
  <c r="AY108" i="63"/>
  <c r="AZ108" i="63" s="1"/>
  <c r="CC107" i="63"/>
  <c r="CD107" i="63" s="1"/>
  <c r="AU17" i="13" s="1"/>
  <c r="BA140" i="71"/>
  <c r="W140" i="71" s="1"/>
  <c r="BA140" i="72"/>
  <c r="W140" i="72" s="1"/>
  <c r="BA140" i="16"/>
  <c r="W140" i="16" s="1"/>
  <c r="BB579" i="78"/>
  <c r="Q192" i="20"/>
  <c r="F61" i="15"/>
  <c r="D95" i="15" s="1"/>
  <c r="H61" i="15"/>
  <c r="F95" i="15" s="1"/>
  <c r="J61" i="15"/>
  <c r="H95" i="15" s="1"/>
  <c r="B95" i="15"/>
  <c r="D90" i="15"/>
  <c r="D91" i="15" s="1"/>
  <c r="BB568" i="78"/>
  <c r="Q183" i="20"/>
  <c r="F52" i="15"/>
  <c r="D84" i="15" s="1"/>
  <c r="H52" i="15"/>
  <c r="F84" i="15" s="1"/>
  <c r="J52" i="15"/>
  <c r="H84" i="15" s="1"/>
  <c r="BB559" i="78"/>
  <c r="Q174" i="20"/>
  <c r="G74" i="29"/>
  <c r="D75" i="29"/>
  <c r="BE168" i="71"/>
  <c r="AA168" i="71" s="1"/>
  <c r="BE168" i="72"/>
  <c r="AA168" i="72" s="1"/>
  <c r="BE168" i="16"/>
  <c r="AA168" i="16" s="1"/>
  <c r="BG167" i="71"/>
  <c r="AC167" i="71" s="1"/>
  <c r="BG167" i="72"/>
  <c r="AC167" i="72" s="1"/>
  <c r="BG167" i="16"/>
  <c r="AC167" i="16" s="1"/>
  <c r="AY167" i="71"/>
  <c r="U167" i="71" s="1"/>
  <c r="AY167" i="72"/>
  <c r="U167" i="72" s="1"/>
  <c r="AY167" i="16"/>
  <c r="U167" i="16" s="1"/>
  <c r="BA166" i="71"/>
  <c r="W166" i="71" s="1"/>
  <c r="BA166" i="72"/>
  <c r="W166" i="72" s="1"/>
  <c r="BA166" i="16"/>
  <c r="W166" i="16" s="1"/>
  <c r="BC165" i="71"/>
  <c r="Y165" i="71" s="1"/>
  <c r="BC165" i="72"/>
  <c r="Y165" i="72" s="1"/>
  <c r="BC165" i="16"/>
  <c r="Y165" i="16" s="1"/>
  <c r="AW165" i="71"/>
  <c r="S165" i="71" s="1"/>
  <c r="AW165" i="72"/>
  <c r="S165" i="72" s="1"/>
  <c r="AW165" i="16"/>
  <c r="S165" i="16" s="1"/>
  <c r="BE164" i="71"/>
  <c r="AA164" i="71" s="1"/>
  <c r="BE164" i="72"/>
  <c r="AA164" i="72" s="1"/>
  <c r="BE164" i="16"/>
  <c r="AA164" i="16" s="1"/>
  <c r="BG163" i="71"/>
  <c r="AC163" i="71" s="1"/>
  <c r="BG163" i="72"/>
  <c r="AC163" i="72" s="1"/>
  <c r="BG163" i="16"/>
  <c r="AC163" i="16" s="1"/>
  <c r="AY163" i="71"/>
  <c r="U163" i="71" s="1"/>
  <c r="AY163" i="72"/>
  <c r="U163" i="72" s="1"/>
  <c r="AY163" i="16"/>
  <c r="U163" i="16" s="1"/>
  <c r="BA162" i="71"/>
  <c r="W162" i="71" s="1"/>
  <c r="BA162" i="72"/>
  <c r="W162" i="72" s="1"/>
  <c r="BA162" i="16"/>
  <c r="W162" i="16" s="1"/>
  <c r="BC161" i="71"/>
  <c r="Y161" i="71" s="1"/>
  <c r="BC161" i="72"/>
  <c r="Y161" i="72" s="1"/>
  <c r="BC161" i="16"/>
  <c r="Y161" i="16" s="1"/>
  <c r="AW161" i="71"/>
  <c r="S161" i="71" s="1"/>
  <c r="AW161" i="72"/>
  <c r="S161" i="72" s="1"/>
  <c r="AW161" i="16"/>
  <c r="S161" i="16" s="1"/>
  <c r="BG157" i="71"/>
  <c r="AC157" i="71" s="1"/>
  <c r="BG157" i="72"/>
  <c r="AC157" i="72" s="1"/>
  <c r="BG157" i="16"/>
  <c r="AC157" i="16" s="1"/>
  <c r="AY157" i="71"/>
  <c r="U157" i="71" s="1"/>
  <c r="AY157" i="72"/>
  <c r="U157" i="72" s="1"/>
  <c r="AY157" i="16"/>
  <c r="U157" i="16" s="1"/>
  <c r="BA156" i="71"/>
  <c r="W156" i="71" s="1"/>
  <c r="BA156" i="72"/>
  <c r="W156" i="72" s="1"/>
  <c r="BC155" i="71"/>
  <c r="Y155" i="71" s="1"/>
  <c r="BC155" i="72"/>
  <c r="Y155" i="72" s="1"/>
  <c r="BC155" i="16"/>
  <c r="Y155" i="16" s="1"/>
  <c r="BE154" i="71"/>
  <c r="AA154" i="71" s="1"/>
  <c r="BE154" i="72"/>
  <c r="AA154" i="72" s="1"/>
  <c r="BE154" i="16"/>
  <c r="AA154" i="16" s="1"/>
  <c r="BG153" i="71"/>
  <c r="AC153" i="71" s="1"/>
  <c r="BG153" i="72"/>
  <c r="AC153" i="72" s="1"/>
  <c r="BG153" i="16"/>
  <c r="AC153" i="16" s="1"/>
  <c r="AY153" i="71"/>
  <c r="U153" i="71" s="1"/>
  <c r="AY153" i="72"/>
  <c r="U153" i="72" s="1"/>
  <c r="AY153" i="16"/>
  <c r="U153" i="16" s="1"/>
  <c r="BA152" i="71"/>
  <c r="W152" i="71" s="1"/>
  <c r="BA152" i="72"/>
  <c r="W152" i="72" s="1"/>
  <c r="BA152" i="16"/>
  <c r="W152" i="16" s="1"/>
  <c r="BC151" i="71"/>
  <c r="Y151" i="71" s="1"/>
  <c r="BC151" i="72"/>
  <c r="Y151" i="72" s="1"/>
  <c r="BC151" i="16"/>
  <c r="Y151" i="16" s="1"/>
  <c r="BE150" i="71"/>
  <c r="AA150" i="71" s="1"/>
  <c r="BE150" i="72"/>
  <c r="AA150" i="72" s="1"/>
  <c r="BE150" i="16"/>
  <c r="AA150" i="16" s="1"/>
  <c r="BG149" i="71"/>
  <c r="AC149" i="71" s="1"/>
  <c r="BG149" i="72"/>
  <c r="AC149" i="72" s="1"/>
  <c r="BG149" i="16"/>
  <c r="AC149" i="16" s="1"/>
  <c r="AY149" i="71"/>
  <c r="U149" i="71" s="1"/>
  <c r="AY149" i="72"/>
  <c r="U149" i="72" s="1"/>
  <c r="AY149" i="16"/>
  <c r="U149" i="16" s="1"/>
  <c r="BA148" i="71"/>
  <c r="W148" i="71" s="1"/>
  <c r="BA148" i="72"/>
  <c r="W148" i="72" s="1"/>
  <c r="BA148" i="16"/>
  <c r="W148" i="16" s="1"/>
  <c r="BC147" i="71"/>
  <c r="Y147" i="71" s="1"/>
  <c r="BC147" i="72"/>
  <c r="Y147" i="72" s="1"/>
  <c r="BC147" i="16"/>
  <c r="Y147" i="16" s="1"/>
  <c r="BE145" i="71"/>
  <c r="AA145" i="71" s="1"/>
  <c r="BE145" i="72"/>
  <c r="AA145" i="72" s="1"/>
  <c r="BE145" i="16"/>
  <c r="AA145" i="16" s="1"/>
  <c r="BG144" i="71"/>
  <c r="AC144" i="71" s="1"/>
  <c r="BG144" i="72"/>
  <c r="AC144" i="72" s="1"/>
  <c r="BG144" i="16"/>
  <c r="AC144" i="16" s="1"/>
  <c r="AY144" i="71"/>
  <c r="U144" i="71" s="1"/>
  <c r="AY144" i="72"/>
  <c r="U144" i="72" s="1"/>
  <c r="AY144" i="16"/>
  <c r="U144" i="16" s="1"/>
  <c r="U109" i="63"/>
  <c r="BA143" i="71"/>
  <c r="BA143" i="72"/>
  <c r="BA143" i="16"/>
  <c r="BC142" i="71"/>
  <c r="Y142" i="71" s="1"/>
  <c r="BC142" i="72"/>
  <c r="Y142" i="72" s="1"/>
  <c r="BC142" i="16"/>
  <c r="Y142" i="16" s="1"/>
  <c r="BE141" i="71"/>
  <c r="AA141" i="71" s="1"/>
  <c r="AA143" i="71" s="1"/>
  <c r="BE141" i="72"/>
  <c r="AA141" i="72" s="1"/>
  <c r="BE141" i="16"/>
  <c r="AA141" i="16" s="1"/>
  <c r="BG140" i="71"/>
  <c r="AC140" i="71" s="1"/>
  <c r="BG140" i="72"/>
  <c r="AC140" i="72" s="1"/>
  <c r="BG140" i="16"/>
  <c r="AC140" i="16" s="1"/>
  <c r="AY140" i="71"/>
  <c r="U140" i="71" s="1"/>
  <c r="AY140" i="72"/>
  <c r="U140" i="72" s="1"/>
  <c r="AY140" i="16"/>
  <c r="U140" i="16" s="1"/>
  <c r="J98" i="15"/>
  <c r="H124" i="16"/>
  <c r="H125" i="16" s="1"/>
  <c r="AZ156" i="71"/>
  <c r="V156" i="71" s="1"/>
  <c r="AZ156" i="72"/>
  <c r="V156" i="72" s="1"/>
  <c r="AZ156" i="16"/>
  <c r="V156" i="16" s="1"/>
  <c r="BB155" i="71"/>
  <c r="X155" i="71" s="1"/>
  <c r="BB155" i="72"/>
  <c r="X155" i="72" s="1"/>
  <c r="BB155" i="16"/>
  <c r="X155" i="16" s="1"/>
  <c r="BD154" i="71"/>
  <c r="Z154" i="71" s="1"/>
  <c r="BD154" i="72"/>
  <c r="Z154" i="72" s="1"/>
  <c r="BD154" i="16"/>
  <c r="Z154" i="16" s="1"/>
  <c r="BF153" i="71"/>
  <c r="AB153" i="71" s="1"/>
  <c r="BF153" i="72"/>
  <c r="AB153" i="72" s="1"/>
  <c r="BF153" i="16"/>
  <c r="AB153" i="16" s="1"/>
  <c r="AX153" i="71"/>
  <c r="T153" i="71" s="1"/>
  <c r="AX153" i="72"/>
  <c r="T153" i="72" s="1"/>
  <c r="AX153" i="16"/>
  <c r="T153" i="16" s="1"/>
  <c r="AZ152" i="71"/>
  <c r="V152" i="71" s="1"/>
  <c r="AZ152" i="72"/>
  <c r="V152" i="72" s="1"/>
  <c r="AZ152" i="16"/>
  <c r="V152" i="16" s="1"/>
  <c r="CA116" i="63"/>
  <c r="CB116" i="63" s="1"/>
  <c r="AT26" i="13" s="1"/>
  <c r="BB151" i="71"/>
  <c r="X151" i="71" s="1"/>
  <c r="BB151" i="72"/>
  <c r="X151" i="72" s="1"/>
  <c r="BB151" i="16"/>
  <c r="X151" i="16" s="1"/>
  <c r="BD150" i="71"/>
  <c r="Z150" i="71" s="1"/>
  <c r="BD150" i="72"/>
  <c r="Z150" i="72" s="1"/>
  <c r="BD150" i="16"/>
  <c r="Z150" i="16" s="1"/>
  <c r="BF149" i="71"/>
  <c r="AB149" i="71" s="1"/>
  <c r="BF149" i="72"/>
  <c r="AB149" i="72" s="1"/>
  <c r="BF149" i="16"/>
  <c r="AB149" i="16" s="1"/>
  <c r="AX149" i="71"/>
  <c r="T149" i="71" s="1"/>
  <c r="AX149" i="72"/>
  <c r="T149" i="72" s="1"/>
  <c r="AX149" i="16"/>
  <c r="T149" i="16" s="1"/>
  <c r="AZ148" i="71"/>
  <c r="V148" i="71" s="1"/>
  <c r="AZ148" i="72"/>
  <c r="V148" i="72" s="1"/>
  <c r="AZ148" i="16"/>
  <c r="V148" i="16" s="1"/>
  <c r="CA112" i="63"/>
  <c r="CB112" i="63" s="1"/>
  <c r="AT22" i="13" s="1"/>
  <c r="BB147" i="71"/>
  <c r="X147" i="71" s="1"/>
  <c r="BB147" i="72"/>
  <c r="X147" i="72" s="1"/>
  <c r="BB147" i="16"/>
  <c r="X147" i="16" s="1"/>
  <c r="BD145" i="71"/>
  <c r="Z145" i="71" s="1"/>
  <c r="BD145" i="72"/>
  <c r="Z145" i="72" s="1"/>
  <c r="BD145" i="16"/>
  <c r="Z145" i="16" s="1"/>
  <c r="BF144" i="71"/>
  <c r="AB144" i="71" s="1"/>
  <c r="BF144" i="72"/>
  <c r="AB144" i="72" s="1"/>
  <c r="BF144" i="16"/>
  <c r="AB144" i="16" s="1"/>
  <c r="AX144" i="71"/>
  <c r="T144" i="71" s="1"/>
  <c r="AX144" i="72"/>
  <c r="T144" i="72" s="1"/>
  <c r="AX144" i="16"/>
  <c r="T144" i="16" s="1"/>
  <c r="AZ143" i="71"/>
  <c r="AZ143" i="72"/>
  <c r="AZ143" i="16"/>
  <c r="CA107" i="63"/>
  <c r="CB107" i="63" s="1"/>
  <c r="AT17" i="13" s="1"/>
  <c r="BB142" i="71"/>
  <c r="X142" i="71" s="1"/>
  <c r="BB142" i="72"/>
  <c r="X142" i="72" s="1"/>
  <c r="BB142" i="16"/>
  <c r="X142" i="16" s="1"/>
  <c r="BD141" i="71"/>
  <c r="Z141" i="71" s="1"/>
  <c r="BD141" i="72"/>
  <c r="Z141" i="72" s="1"/>
  <c r="BD141" i="16"/>
  <c r="Z141" i="16" s="1"/>
  <c r="BF140" i="71"/>
  <c r="AB140" i="71" s="1"/>
  <c r="BF140" i="72"/>
  <c r="AB140" i="72" s="1"/>
  <c r="BF140" i="16"/>
  <c r="AB140" i="16" s="1"/>
  <c r="AX140" i="71"/>
  <c r="T140" i="71" s="1"/>
  <c r="AX140" i="72"/>
  <c r="T140" i="72" s="1"/>
  <c r="AX140" i="16"/>
  <c r="T140" i="16" s="1"/>
  <c r="J90" i="15"/>
  <c r="BB584" i="78"/>
  <c r="Q197" i="20"/>
  <c r="BB580" i="78"/>
  <c r="Q193" i="20"/>
  <c r="BB573" i="78"/>
  <c r="Q188" i="20"/>
  <c r="BB569" i="78"/>
  <c r="Q184" i="20"/>
  <c r="BB565" i="78"/>
  <c r="Q180" i="20"/>
  <c r="BB560" i="78"/>
  <c r="Q175" i="20"/>
  <c r="BB556" i="78"/>
  <c r="Q171" i="20"/>
  <c r="J115" i="16"/>
  <c r="J108" i="16"/>
  <c r="D107" i="16"/>
  <c r="F77" i="16"/>
  <c r="J106" i="16"/>
  <c r="E57" i="29"/>
  <c r="B59" i="29"/>
  <c r="BC168" i="71"/>
  <c r="Y168" i="71" s="1"/>
  <c r="BC168" i="72"/>
  <c r="Y168" i="72" s="1"/>
  <c r="BC168" i="16"/>
  <c r="Y168" i="16" s="1"/>
  <c r="AW168" i="71"/>
  <c r="S168" i="71" s="1"/>
  <c r="AW168" i="72"/>
  <c r="S168" i="72" s="1"/>
  <c r="AW168" i="16"/>
  <c r="S168" i="16" s="1"/>
  <c r="BE167" i="71"/>
  <c r="AA167" i="71" s="1"/>
  <c r="BE167" i="72"/>
  <c r="AA167" i="72" s="1"/>
  <c r="BE167" i="16"/>
  <c r="AA167" i="16" s="1"/>
  <c r="BG166" i="71"/>
  <c r="AC166" i="71" s="1"/>
  <c r="BG166" i="72"/>
  <c r="AC166" i="72" s="1"/>
  <c r="AY166" i="71"/>
  <c r="U166" i="71" s="1"/>
  <c r="AY166" i="72"/>
  <c r="U166" i="72" s="1"/>
  <c r="AY166" i="16"/>
  <c r="U166" i="16" s="1"/>
  <c r="BA165" i="71"/>
  <c r="W165" i="71" s="1"/>
  <c r="BA165" i="72"/>
  <c r="W165" i="72" s="1"/>
  <c r="BA165" i="16"/>
  <c r="W165" i="16" s="1"/>
  <c r="BC164" i="71"/>
  <c r="Y164" i="71" s="1"/>
  <c r="BC164" i="72"/>
  <c r="Y164" i="72" s="1"/>
  <c r="BC164" i="16"/>
  <c r="Y164" i="16" s="1"/>
  <c r="AW164" i="71"/>
  <c r="S164" i="71" s="1"/>
  <c r="AW164" i="72"/>
  <c r="S164" i="72" s="1"/>
  <c r="AW164" i="16"/>
  <c r="S164" i="16" s="1"/>
  <c r="BE163" i="71"/>
  <c r="AA163" i="71" s="1"/>
  <c r="BE163" i="72"/>
  <c r="AA163" i="72" s="1"/>
  <c r="BE163" i="16"/>
  <c r="AA163" i="16" s="1"/>
  <c r="BG162" i="71"/>
  <c r="AC162" i="71" s="1"/>
  <c r="BG162" i="72"/>
  <c r="AC162" i="72" s="1"/>
  <c r="AY162" i="71"/>
  <c r="U162" i="71" s="1"/>
  <c r="AY162" i="72"/>
  <c r="U162" i="72" s="1"/>
  <c r="AY162" i="16"/>
  <c r="U162" i="16" s="1"/>
  <c r="BA161" i="71"/>
  <c r="W161" i="71" s="1"/>
  <c r="BA161" i="72"/>
  <c r="W161" i="72" s="1"/>
  <c r="BA161" i="16"/>
  <c r="W161" i="16" s="1"/>
  <c r="BE157" i="71"/>
  <c r="AA157" i="71" s="1"/>
  <c r="BE157" i="72"/>
  <c r="AA157" i="72" s="1"/>
  <c r="BE157" i="16"/>
  <c r="AA157" i="16" s="1"/>
  <c r="AZ574" i="78"/>
  <c r="AZ575" i="78" s="1"/>
  <c r="BG156" i="71"/>
  <c r="AC156" i="71" s="1"/>
  <c r="BG156" i="72"/>
  <c r="AC156" i="72" s="1"/>
  <c r="BG156" i="16"/>
  <c r="AC156" i="16" s="1"/>
  <c r="AY156" i="71"/>
  <c r="U156" i="71" s="1"/>
  <c r="AY156" i="72"/>
  <c r="U156" i="72" s="1"/>
  <c r="AY156" i="16"/>
  <c r="U156" i="16" s="1"/>
  <c r="BA155" i="71"/>
  <c r="W155" i="71" s="1"/>
  <c r="BA155" i="72"/>
  <c r="W155" i="72" s="1"/>
  <c r="BA155" i="16"/>
  <c r="W155" i="16" s="1"/>
  <c r="BC154" i="71"/>
  <c r="Y154" i="71" s="1"/>
  <c r="BC154" i="72"/>
  <c r="Y154" i="72" s="1"/>
  <c r="BC154" i="16"/>
  <c r="Y154" i="16" s="1"/>
  <c r="AW154" i="71"/>
  <c r="S154" i="71" s="1"/>
  <c r="AW154" i="72"/>
  <c r="S154" i="72" s="1"/>
  <c r="AW154" i="16"/>
  <c r="S154" i="16" s="1"/>
  <c r="BE153" i="71"/>
  <c r="AA153" i="71" s="1"/>
  <c r="BE153" i="72"/>
  <c r="AA153" i="72" s="1"/>
  <c r="BE153" i="16"/>
  <c r="AA153" i="16" s="1"/>
  <c r="BG152" i="71"/>
  <c r="AC152" i="71" s="1"/>
  <c r="BG152" i="72"/>
  <c r="AC152" i="72" s="1"/>
  <c r="BG152" i="16"/>
  <c r="AC152" i="16" s="1"/>
  <c r="AY152" i="71"/>
  <c r="U152" i="71" s="1"/>
  <c r="AY152" i="72"/>
  <c r="U152" i="72" s="1"/>
  <c r="AY152" i="16"/>
  <c r="U152" i="16" s="1"/>
  <c r="BA151" i="71"/>
  <c r="W151" i="71" s="1"/>
  <c r="BA151" i="72"/>
  <c r="W151" i="72" s="1"/>
  <c r="BA151" i="16"/>
  <c r="W151" i="16" s="1"/>
  <c r="BC150" i="71"/>
  <c r="Y150" i="71" s="1"/>
  <c r="BC150" i="72"/>
  <c r="Y150" i="72" s="1"/>
  <c r="BC150" i="16"/>
  <c r="Y150" i="16" s="1"/>
  <c r="AW150" i="71"/>
  <c r="S150" i="71" s="1"/>
  <c r="AW150" i="72"/>
  <c r="S150" i="72" s="1"/>
  <c r="AW150" i="16"/>
  <c r="S150" i="16" s="1"/>
  <c r="BE149" i="71"/>
  <c r="AA149" i="71" s="1"/>
  <c r="BE149" i="72"/>
  <c r="AA149" i="72" s="1"/>
  <c r="BE149" i="16"/>
  <c r="AA149" i="16" s="1"/>
  <c r="BG148" i="71"/>
  <c r="AC148" i="71" s="1"/>
  <c r="BG148" i="72"/>
  <c r="AC148" i="72" s="1"/>
  <c r="BG148" i="16"/>
  <c r="AC148" i="16" s="1"/>
  <c r="AY148" i="71"/>
  <c r="U148" i="71" s="1"/>
  <c r="AY148" i="72"/>
  <c r="U148" i="72" s="1"/>
  <c r="AY148" i="16"/>
  <c r="U148" i="16" s="1"/>
  <c r="BA147" i="71"/>
  <c r="W147" i="71" s="1"/>
  <c r="BA147" i="72"/>
  <c r="W147" i="72" s="1"/>
  <c r="BA147" i="16"/>
  <c r="W147" i="16" s="1"/>
  <c r="BC145" i="71"/>
  <c r="Y145" i="71" s="1"/>
  <c r="BC145" i="72"/>
  <c r="Y145" i="72" s="1"/>
  <c r="BC145" i="16"/>
  <c r="Y145" i="16" s="1"/>
  <c r="AW145" i="71"/>
  <c r="S145" i="71" s="1"/>
  <c r="AW145" i="72"/>
  <c r="S145" i="72" s="1"/>
  <c r="AW145" i="16"/>
  <c r="S145" i="16" s="1"/>
  <c r="BE144" i="71"/>
  <c r="AA144" i="71" s="1"/>
  <c r="BE144" i="72"/>
  <c r="AA144" i="72" s="1"/>
  <c r="BE144" i="16"/>
  <c r="AA144" i="16" s="1"/>
  <c r="BG143" i="71"/>
  <c r="BG143" i="72"/>
  <c r="BG143" i="16"/>
  <c r="AY143" i="71"/>
  <c r="AY143" i="72"/>
  <c r="AY143" i="16"/>
  <c r="BA142" i="71"/>
  <c r="W142" i="71" s="1"/>
  <c r="BA142" i="72"/>
  <c r="W142" i="72" s="1"/>
  <c r="BA142" i="16"/>
  <c r="W142" i="16" s="1"/>
  <c r="BC141" i="71"/>
  <c r="Y141" i="71" s="1"/>
  <c r="Y143" i="71" s="1"/>
  <c r="BC141" i="72"/>
  <c r="Y141" i="72" s="1"/>
  <c r="AW141" i="71"/>
  <c r="S141" i="71" s="1"/>
  <c r="AW141" i="72"/>
  <c r="S141" i="72" s="1"/>
  <c r="AW141" i="16"/>
  <c r="S141" i="16" s="1"/>
  <c r="BE140" i="71"/>
  <c r="AA140" i="71" s="1"/>
  <c r="BE140" i="72"/>
  <c r="AA140" i="72" s="1"/>
  <c r="BE140" i="16"/>
  <c r="AA140" i="16" s="1"/>
  <c r="J83" i="15"/>
  <c r="J74" i="15"/>
  <c r="BA574" i="78"/>
  <c r="BA575" i="78" s="1"/>
  <c r="BC141" i="16"/>
  <c r="Y141" i="16" s="1"/>
  <c r="BF162" i="71"/>
  <c r="AB162" i="71" s="1"/>
  <c r="BF162" i="72"/>
  <c r="AB162" i="72" s="1"/>
  <c r="BF162" i="16"/>
  <c r="AB162" i="16" s="1"/>
  <c r="AX162" i="71"/>
  <c r="T162" i="71" s="1"/>
  <c r="AX162" i="72"/>
  <c r="T162" i="72" s="1"/>
  <c r="AX162" i="16"/>
  <c r="T162" i="16" s="1"/>
  <c r="AZ161" i="71"/>
  <c r="V161" i="71" s="1"/>
  <c r="AZ161" i="72"/>
  <c r="V161" i="72" s="1"/>
  <c r="AZ161" i="16"/>
  <c r="V161" i="16" s="1"/>
  <c r="BD157" i="71"/>
  <c r="Z157" i="71" s="1"/>
  <c r="BD157" i="72"/>
  <c r="Z157" i="72" s="1"/>
  <c r="BD157" i="16"/>
  <c r="Z157" i="16" s="1"/>
  <c r="BG121" i="63"/>
  <c r="BH121" i="63" s="1"/>
  <c r="AP31" i="13" s="1"/>
  <c r="BF156" i="71"/>
  <c r="AB156" i="71" s="1"/>
  <c r="BF156" i="72"/>
  <c r="AB156" i="72" s="1"/>
  <c r="BF156" i="16"/>
  <c r="AB156" i="16" s="1"/>
  <c r="AX156" i="71"/>
  <c r="T156" i="71" s="1"/>
  <c r="AX156" i="72"/>
  <c r="T156" i="72" s="1"/>
  <c r="AX156" i="16"/>
  <c r="T156" i="16" s="1"/>
  <c r="BI120" i="63"/>
  <c r="AZ155" i="71"/>
  <c r="V155" i="71" s="1"/>
  <c r="AZ155" i="72"/>
  <c r="V155" i="72" s="1"/>
  <c r="AZ155" i="16"/>
  <c r="V155" i="16" s="1"/>
  <c r="BB154" i="71"/>
  <c r="X154" i="71" s="1"/>
  <c r="BB154" i="72"/>
  <c r="X154" i="72" s="1"/>
  <c r="BB154" i="16"/>
  <c r="X154" i="16" s="1"/>
  <c r="CC118" i="63"/>
  <c r="CD118" i="63" s="1"/>
  <c r="AU28" i="13" s="1"/>
  <c r="BD153" i="71"/>
  <c r="Z153" i="71" s="1"/>
  <c r="BD153" i="72"/>
  <c r="Z153" i="72" s="1"/>
  <c r="BD153" i="16"/>
  <c r="Z153" i="16" s="1"/>
  <c r="BG117" i="63"/>
  <c r="BH117" i="63" s="1"/>
  <c r="AP27" i="13" s="1"/>
  <c r="BF152" i="71"/>
  <c r="AB152" i="71" s="1"/>
  <c r="BF152" i="72"/>
  <c r="AB152" i="72" s="1"/>
  <c r="BF152" i="16"/>
  <c r="AB152" i="16" s="1"/>
  <c r="AX152" i="71"/>
  <c r="T152" i="71" s="1"/>
  <c r="AX152" i="72"/>
  <c r="T152" i="72" s="1"/>
  <c r="AX152" i="16"/>
  <c r="T152" i="16" s="1"/>
  <c r="BI116" i="63"/>
  <c r="AZ151" i="71"/>
  <c r="V151" i="71" s="1"/>
  <c r="AZ151" i="72"/>
  <c r="V151" i="72" s="1"/>
  <c r="AZ151" i="16"/>
  <c r="V151" i="16" s="1"/>
  <c r="BB150" i="71"/>
  <c r="X150" i="71" s="1"/>
  <c r="BB150" i="72"/>
  <c r="X150" i="72" s="1"/>
  <c r="BB150" i="16"/>
  <c r="X150" i="16" s="1"/>
  <c r="CC114" i="63"/>
  <c r="CD114" i="63" s="1"/>
  <c r="AU24" i="13" s="1"/>
  <c r="BD149" i="71"/>
  <c r="Z149" i="71" s="1"/>
  <c r="BD149" i="72"/>
  <c r="Z149" i="72" s="1"/>
  <c r="BD149" i="16"/>
  <c r="Z149" i="16" s="1"/>
  <c r="BG113" i="63"/>
  <c r="BH113" i="63" s="1"/>
  <c r="AP23" i="13" s="1"/>
  <c r="BF148" i="71"/>
  <c r="AB148" i="71" s="1"/>
  <c r="BF148" i="72"/>
  <c r="AB148" i="72" s="1"/>
  <c r="BF148" i="16"/>
  <c r="AB148" i="16" s="1"/>
  <c r="AX148" i="71"/>
  <c r="T148" i="71" s="1"/>
  <c r="AX148" i="72"/>
  <c r="T148" i="72" s="1"/>
  <c r="AX148" i="16"/>
  <c r="T148" i="16" s="1"/>
  <c r="BI112" i="63"/>
  <c r="AZ147" i="71"/>
  <c r="V147" i="71" s="1"/>
  <c r="AZ147" i="72"/>
  <c r="V147" i="72" s="1"/>
  <c r="AZ147" i="16"/>
  <c r="V147" i="16" s="1"/>
  <c r="BB145" i="71"/>
  <c r="X145" i="71" s="1"/>
  <c r="BB145" i="72"/>
  <c r="X145" i="72" s="1"/>
  <c r="BB145" i="16"/>
  <c r="X145" i="16" s="1"/>
  <c r="BD144" i="71"/>
  <c r="Z144" i="71" s="1"/>
  <c r="BD144" i="72"/>
  <c r="Z144" i="72" s="1"/>
  <c r="BD144" i="16"/>
  <c r="Z144" i="16" s="1"/>
  <c r="BG108" i="63"/>
  <c r="BH108" i="63" s="1"/>
  <c r="AP18" i="13" s="1"/>
  <c r="BF143" i="71"/>
  <c r="BF143" i="72"/>
  <c r="BF143" i="16"/>
  <c r="BI107" i="63"/>
  <c r="AZ142" i="71"/>
  <c r="V142" i="71" s="1"/>
  <c r="AZ142" i="72"/>
  <c r="V142" i="72" s="1"/>
  <c r="AZ142" i="16"/>
  <c r="V142" i="16" s="1"/>
  <c r="BC106" i="63"/>
  <c r="BD106" i="63" s="1"/>
  <c r="BB141" i="71"/>
  <c r="X141" i="71" s="1"/>
  <c r="BB141" i="72"/>
  <c r="X141" i="72" s="1"/>
  <c r="BB141" i="16"/>
  <c r="X141" i="16" s="1"/>
  <c r="CC105" i="63"/>
  <c r="CD105" i="63" s="1"/>
  <c r="AU15" i="13" s="1"/>
  <c r="BD140" i="71"/>
  <c r="Z140" i="71" s="1"/>
  <c r="BD140" i="72"/>
  <c r="Z140" i="72" s="1"/>
  <c r="BD140" i="16"/>
  <c r="Z140" i="16" s="1"/>
  <c r="J75" i="15"/>
  <c r="CM18" i="13" s="1"/>
  <c r="BB581" i="78"/>
  <c r="Q194" i="20"/>
  <c r="BB577" i="78"/>
  <c r="Q190" i="20"/>
  <c r="BB570" i="78"/>
  <c r="Q185" i="20"/>
  <c r="BB566" i="78"/>
  <c r="Q181" i="20"/>
  <c r="BB561" i="78"/>
  <c r="Q176" i="20"/>
  <c r="BB557" i="78"/>
  <c r="Q172" i="20"/>
  <c r="BA156" i="16"/>
  <c r="W156" i="16" s="1"/>
  <c r="J123" i="16"/>
  <c r="D124" i="16"/>
  <c r="J130" i="16"/>
  <c r="J121" i="16"/>
  <c r="J116" i="16"/>
  <c r="J113" i="16"/>
  <c r="BA168" i="71"/>
  <c r="W168" i="71" s="1"/>
  <c r="BA168" i="72"/>
  <c r="W168" i="72" s="1"/>
  <c r="BA168" i="16"/>
  <c r="W168" i="16" s="1"/>
  <c r="BC167" i="71"/>
  <c r="Y167" i="71" s="1"/>
  <c r="BC167" i="72"/>
  <c r="Y167" i="72" s="1"/>
  <c r="BC167" i="16"/>
  <c r="Y167" i="16" s="1"/>
  <c r="AW167" i="71"/>
  <c r="S167" i="71" s="1"/>
  <c r="AW167" i="72"/>
  <c r="S167" i="72" s="1"/>
  <c r="AW167" i="16"/>
  <c r="S167" i="16" s="1"/>
  <c r="BE166" i="71"/>
  <c r="AA166" i="71" s="1"/>
  <c r="BE166" i="72"/>
  <c r="AA166" i="72" s="1"/>
  <c r="BE166" i="16"/>
  <c r="AA166" i="16" s="1"/>
  <c r="BG165" i="71"/>
  <c r="AC165" i="71" s="1"/>
  <c r="BG165" i="72"/>
  <c r="AC165" i="72" s="1"/>
  <c r="BG165" i="16"/>
  <c r="AC165" i="16" s="1"/>
  <c r="AY165" i="71"/>
  <c r="U165" i="71" s="1"/>
  <c r="AY165" i="72"/>
  <c r="U165" i="72" s="1"/>
  <c r="AY165" i="16"/>
  <c r="U165" i="16" s="1"/>
  <c r="BA164" i="71"/>
  <c r="W164" i="71" s="1"/>
  <c r="BA164" i="72"/>
  <c r="W164" i="72" s="1"/>
  <c r="BA164" i="16"/>
  <c r="W164" i="16" s="1"/>
  <c r="BC163" i="71"/>
  <c r="Y163" i="71" s="1"/>
  <c r="BC163" i="72"/>
  <c r="Y163" i="72" s="1"/>
  <c r="BC163" i="16"/>
  <c r="Y163" i="16" s="1"/>
  <c r="AW163" i="71"/>
  <c r="S163" i="71" s="1"/>
  <c r="AW163" i="72"/>
  <c r="S163" i="72" s="1"/>
  <c r="AW163" i="16"/>
  <c r="S163" i="16" s="1"/>
  <c r="BE162" i="71"/>
  <c r="AA162" i="71" s="1"/>
  <c r="BE162" i="72"/>
  <c r="AA162" i="72" s="1"/>
  <c r="BE162" i="16"/>
  <c r="AA162" i="16" s="1"/>
  <c r="BG161" i="71"/>
  <c r="AC161" i="71" s="1"/>
  <c r="BG161" i="72"/>
  <c r="AC161" i="72" s="1"/>
  <c r="BG161" i="16"/>
  <c r="AC161" i="16" s="1"/>
  <c r="AY161" i="71"/>
  <c r="U161" i="71" s="1"/>
  <c r="AY161" i="72"/>
  <c r="U161" i="72" s="1"/>
  <c r="AY161" i="16"/>
  <c r="U161" i="16" s="1"/>
  <c r="BC157" i="71"/>
  <c r="Y157" i="71" s="1"/>
  <c r="BC157" i="72"/>
  <c r="Y157" i="72" s="1"/>
  <c r="BC157" i="16"/>
  <c r="Y157" i="16" s="1"/>
  <c r="AW157" i="71"/>
  <c r="S157" i="71" s="1"/>
  <c r="AW157" i="72"/>
  <c r="S157" i="72" s="1"/>
  <c r="AW157" i="16"/>
  <c r="S157" i="16" s="1"/>
  <c r="BE156" i="71"/>
  <c r="AA156" i="71" s="1"/>
  <c r="BE156" i="72"/>
  <c r="AA156" i="72" s="1"/>
  <c r="BE156" i="16"/>
  <c r="AA156" i="16" s="1"/>
  <c r="BG155" i="71"/>
  <c r="AC155" i="71" s="1"/>
  <c r="BG155" i="72"/>
  <c r="AC155" i="72" s="1"/>
  <c r="BG155" i="16"/>
  <c r="AC155" i="16" s="1"/>
  <c r="AY155" i="71"/>
  <c r="U155" i="71" s="1"/>
  <c r="AY155" i="72"/>
  <c r="U155" i="72" s="1"/>
  <c r="AY155" i="16"/>
  <c r="U155" i="16" s="1"/>
  <c r="BA154" i="71"/>
  <c r="W154" i="71" s="1"/>
  <c r="BA154" i="72"/>
  <c r="W154" i="72" s="1"/>
  <c r="BA154" i="16"/>
  <c r="W154" i="16" s="1"/>
  <c r="BC153" i="71"/>
  <c r="Y153" i="71" s="1"/>
  <c r="BC153" i="72"/>
  <c r="Y153" i="72" s="1"/>
  <c r="BC153" i="16"/>
  <c r="Y153" i="16" s="1"/>
  <c r="AW153" i="71"/>
  <c r="S153" i="71" s="1"/>
  <c r="AW153" i="72"/>
  <c r="S153" i="72" s="1"/>
  <c r="BE152" i="71"/>
  <c r="AA152" i="71" s="1"/>
  <c r="BE152" i="72"/>
  <c r="AA152" i="72" s="1"/>
  <c r="BE152" i="16"/>
  <c r="AA152" i="16" s="1"/>
  <c r="BG151" i="71"/>
  <c r="AC151" i="71" s="1"/>
  <c r="BG151" i="72"/>
  <c r="AC151" i="72" s="1"/>
  <c r="BG151" i="16"/>
  <c r="AC151" i="16" s="1"/>
  <c r="AY151" i="71"/>
  <c r="U151" i="71" s="1"/>
  <c r="AY151" i="72"/>
  <c r="U151" i="72" s="1"/>
  <c r="AY151" i="16"/>
  <c r="U151" i="16" s="1"/>
  <c r="BA150" i="71"/>
  <c r="W150" i="71" s="1"/>
  <c r="BA150" i="72"/>
  <c r="W150" i="72" s="1"/>
  <c r="BA150" i="16"/>
  <c r="W150" i="16" s="1"/>
  <c r="BC149" i="71"/>
  <c r="Y149" i="71" s="1"/>
  <c r="BC149" i="72"/>
  <c r="Y149" i="72" s="1"/>
  <c r="BC149" i="16"/>
  <c r="Y149" i="16" s="1"/>
  <c r="AW149" i="71"/>
  <c r="S149" i="71" s="1"/>
  <c r="AW149" i="72"/>
  <c r="S149" i="72" s="1"/>
  <c r="BE148" i="71"/>
  <c r="AA148" i="71" s="1"/>
  <c r="BE148" i="72"/>
  <c r="AA148" i="72" s="1"/>
  <c r="BE148" i="16"/>
  <c r="AA148" i="16" s="1"/>
  <c r="BG147" i="71"/>
  <c r="AC147" i="71" s="1"/>
  <c r="BG147" i="72"/>
  <c r="AC147" i="72" s="1"/>
  <c r="AY147" i="71"/>
  <c r="U147" i="71" s="1"/>
  <c r="AY147" i="72"/>
  <c r="U147" i="72" s="1"/>
  <c r="AY147" i="16"/>
  <c r="U147" i="16" s="1"/>
  <c r="BA145" i="71"/>
  <c r="W145" i="71" s="1"/>
  <c r="BA145" i="72"/>
  <c r="W145" i="72" s="1"/>
  <c r="BA145" i="16"/>
  <c r="W145" i="16" s="1"/>
  <c r="BC144" i="71"/>
  <c r="Y144" i="71" s="1"/>
  <c r="BC144" i="72"/>
  <c r="Y144" i="72" s="1"/>
  <c r="BC144" i="16"/>
  <c r="Y144" i="16" s="1"/>
  <c r="AW144" i="71"/>
  <c r="S144" i="71" s="1"/>
  <c r="AW144" i="72"/>
  <c r="S144" i="72" s="1"/>
  <c r="AW144" i="16"/>
  <c r="S144" i="16" s="1"/>
  <c r="BE143" i="71"/>
  <c r="BE143" i="72"/>
  <c r="BE143" i="16"/>
  <c r="BG142" i="71"/>
  <c r="AC142" i="71" s="1"/>
  <c r="BG142" i="72"/>
  <c r="AC142" i="72" s="1"/>
  <c r="BG142" i="16"/>
  <c r="AC142" i="16" s="1"/>
  <c r="AY142" i="71"/>
  <c r="U142" i="71" s="1"/>
  <c r="AY142" i="72"/>
  <c r="U142" i="72" s="1"/>
  <c r="AY142" i="16"/>
  <c r="U142" i="16" s="1"/>
  <c r="BA141" i="71"/>
  <c r="W141" i="71" s="1"/>
  <c r="W143" i="71" s="1"/>
  <c r="BA141" i="72"/>
  <c r="W141" i="72" s="1"/>
  <c r="W143" i="72" s="1"/>
  <c r="BA141" i="16"/>
  <c r="W141" i="16" s="1"/>
  <c r="BC140" i="71"/>
  <c r="Y140" i="71" s="1"/>
  <c r="BC140" i="72"/>
  <c r="Y140" i="72" s="1"/>
  <c r="BC140" i="16"/>
  <c r="Y140" i="16" s="1"/>
  <c r="AW140" i="71"/>
  <c r="S140" i="71" s="1"/>
  <c r="AW140" i="72"/>
  <c r="S140" i="72" s="1"/>
  <c r="AW140" i="16"/>
  <c r="S140" i="16" s="1"/>
  <c r="J94" i="15"/>
  <c r="CM37" i="13" s="1"/>
  <c r="BG166" i="16"/>
  <c r="AC166" i="16" s="1"/>
  <c r="AW153" i="16"/>
  <c r="S153" i="16" s="1"/>
  <c r="BG147" i="16"/>
  <c r="AC147" i="16" s="1"/>
  <c r="C109" i="16"/>
  <c r="BD152" i="71"/>
  <c r="Z152" i="71" s="1"/>
  <c r="BD152" i="72"/>
  <c r="Z152" i="72" s="1"/>
  <c r="BD152" i="16"/>
  <c r="Z152" i="16" s="1"/>
  <c r="BF151" i="71"/>
  <c r="AB151" i="71" s="1"/>
  <c r="BF151" i="72"/>
  <c r="AB151" i="72" s="1"/>
  <c r="BF151" i="16"/>
  <c r="AB151" i="16" s="1"/>
  <c r="AX151" i="71"/>
  <c r="T151" i="71" s="1"/>
  <c r="AX151" i="72"/>
  <c r="T151" i="72" s="1"/>
  <c r="AX151" i="16"/>
  <c r="T151" i="16" s="1"/>
  <c r="AZ150" i="71"/>
  <c r="V150" i="71" s="1"/>
  <c r="AZ150" i="72"/>
  <c r="V150" i="72" s="1"/>
  <c r="AZ150" i="16"/>
  <c r="V150" i="16" s="1"/>
  <c r="BB149" i="71"/>
  <c r="X149" i="71" s="1"/>
  <c r="BB149" i="72"/>
  <c r="X149" i="72" s="1"/>
  <c r="BB149" i="16"/>
  <c r="X149" i="16" s="1"/>
  <c r="BD148" i="71"/>
  <c r="Z148" i="71" s="1"/>
  <c r="BD148" i="72"/>
  <c r="Z148" i="72" s="1"/>
  <c r="BD148" i="16"/>
  <c r="Z148" i="16" s="1"/>
  <c r="BF147" i="71"/>
  <c r="AB147" i="71" s="1"/>
  <c r="BF147" i="72"/>
  <c r="AB147" i="72" s="1"/>
  <c r="BF147" i="16"/>
  <c r="AB147" i="16" s="1"/>
  <c r="AX147" i="71"/>
  <c r="T147" i="71" s="1"/>
  <c r="AX147" i="72"/>
  <c r="T147" i="72" s="1"/>
  <c r="AX147" i="16"/>
  <c r="T147" i="16" s="1"/>
  <c r="AZ145" i="71"/>
  <c r="V145" i="71" s="1"/>
  <c r="AZ145" i="72"/>
  <c r="V145" i="72" s="1"/>
  <c r="AZ145" i="16"/>
  <c r="V145" i="16" s="1"/>
  <c r="BB144" i="71"/>
  <c r="X144" i="71" s="1"/>
  <c r="BB144" i="72"/>
  <c r="X144" i="72" s="1"/>
  <c r="BB144" i="16"/>
  <c r="X144" i="16" s="1"/>
  <c r="BD143" i="71"/>
  <c r="BD143" i="72"/>
  <c r="BD143" i="16"/>
  <c r="BF142" i="71"/>
  <c r="AB142" i="71" s="1"/>
  <c r="BF142" i="72"/>
  <c r="AB142" i="72" s="1"/>
  <c r="BF142" i="16"/>
  <c r="AB142" i="16" s="1"/>
  <c r="AX142" i="71"/>
  <c r="T142" i="71" s="1"/>
  <c r="AX142" i="72"/>
  <c r="T142" i="72" s="1"/>
  <c r="AX142" i="16"/>
  <c r="T142" i="16" s="1"/>
  <c r="AZ141" i="71"/>
  <c r="V141" i="71" s="1"/>
  <c r="AZ141" i="72"/>
  <c r="V141" i="72" s="1"/>
  <c r="V143" i="72" s="1"/>
  <c r="AZ141" i="16"/>
  <c r="V141" i="16" s="1"/>
  <c r="V143" i="16" s="1"/>
  <c r="BB140" i="71"/>
  <c r="X140" i="71" s="1"/>
  <c r="BB140" i="72"/>
  <c r="X140" i="72" s="1"/>
  <c r="BB140" i="16"/>
  <c r="X140" i="16" s="1"/>
  <c r="B90" i="15"/>
  <c r="BB582" i="78"/>
  <c r="Q195" i="20"/>
  <c r="BB578" i="78"/>
  <c r="Q191" i="20"/>
  <c r="BB571" i="78"/>
  <c r="Q186" i="20"/>
  <c r="BB567" i="78"/>
  <c r="Q182" i="20"/>
  <c r="BB563" i="78"/>
  <c r="Q178" i="20"/>
  <c r="BB558" i="78"/>
  <c r="Q173" i="20"/>
  <c r="E76" i="27"/>
  <c r="F76" i="27" s="1"/>
  <c r="AX32" i="13" s="1"/>
  <c r="B77" i="27"/>
  <c r="E124" i="16"/>
  <c r="E125" i="16" s="1"/>
  <c r="I125" i="16"/>
  <c r="J77" i="16"/>
  <c r="E80" i="27"/>
  <c r="F80" i="27" s="1"/>
  <c r="AX36" i="13" s="1"/>
  <c r="E69" i="27"/>
  <c r="F69" i="27" s="1"/>
  <c r="AX25" i="13" s="1"/>
  <c r="E73" i="27"/>
  <c r="F73" i="27" s="1"/>
  <c r="AX29" i="13" s="1"/>
  <c r="E64" i="27"/>
  <c r="F64" i="27" s="1"/>
  <c r="AX20" i="13" s="1"/>
  <c r="B74" i="29"/>
  <c r="D28" i="29"/>
  <c r="BI168" i="71"/>
  <c r="AE168" i="71" s="1"/>
  <c r="BI168" i="72"/>
  <c r="AE168" i="72" s="1"/>
  <c r="BI168" i="16"/>
  <c r="AE168" i="16" s="1"/>
  <c r="G93" i="12"/>
  <c r="H93" i="12" s="1"/>
  <c r="BI157" i="71"/>
  <c r="AE157" i="71" s="1"/>
  <c r="BI157" i="72"/>
  <c r="AE157" i="72" s="1"/>
  <c r="D83" i="12"/>
  <c r="BI157" i="16"/>
  <c r="AE157" i="16" s="1"/>
  <c r="E72" i="12"/>
  <c r="G72" i="12"/>
  <c r="H72" i="12" s="1"/>
  <c r="L70" i="36"/>
  <c r="L40" i="36"/>
  <c r="AV556" i="78"/>
  <c r="I69" i="36"/>
  <c r="J132" i="16"/>
  <c r="C125" i="16"/>
  <c r="B124" i="16"/>
  <c r="J107" i="16"/>
  <c r="B109" i="16"/>
  <c r="H60" i="27"/>
  <c r="E84" i="27"/>
  <c r="F84" i="27" s="1"/>
  <c r="AX40" i="13" s="1"/>
  <c r="G77" i="27"/>
  <c r="D78" i="27"/>
  <c r="E60" i="27"/>
  <c r="B62" i="27"/>
  <c r="E83" i="27"/>
  <c r="F83" i="27" s="1"/>
  <c r="AX39" i="13" s="1"/>
  <c r="E73" i="29"/>
  <c r="F73" i="29" s="1"/>
  <c r="AZ32" i="13" s="1"/>
  <c r="E65" i="29"/>
  <c r="F65" i="29" s="1"/>
  <c r="AZ24" i="13" s="1"/>
  <c r="B191" i="18"/>
  <c r="B71" i="18"/>
  <c r="AK100" i="1" a="1"/>
  <c r="AK100" i="1" s="1"/>
  <c r="AE100" i="1" a="1"/>
  <c r="AE100" i="1" s="1"/>
  <c r="AM100" i="1" a="1"/>
  <c r="AM100" i="1" s="1"/>
  <c r="AG100" i="1" a="1"/>
  <c r="AG100" i="1" s="1"/>
  <c r="AO100" i="1" a="1"/>
  <c r="AO100" i="1" s="1"/>
  <c r="AQ100" i="1" a="1"/>
  <c r="AQ100" i="1" s="1"/>
  <c r="AI100" i="1" a="1"/>
  <c r="AI100" i="1" s="1"/>
  <c r="AS100" i="1" a="1"/>
  <c r="AS100" i="1" s="1"/>
  <c r="AG96" i="1" a="1"/>
  <c r="AG96" i="1" s="1"/>
  <c r="AO96" i="1" a="1"/>
  <c r="AO96" i="1" s="1"/>
  <c r="AA131" i="1" s="1"/>
  <c r="AI96" i="1" a="1"/>
  <c r="AI96" i="1" s="1"/>
  <c r="AQ96" i="1" a="1"/>
  <c r="AQ96" i="1" s="1"/>
  <c r="AK96" i="1" a="1"/>
  <c r="AK96" i="1" s="1"/>
  <c r="AS96" i="1" a="1"/>
  <c r="AS96" i="1" s="1"/>
  <c r="AM96" i="1" a="1"/>
  <c r="AM96" i="1" s="1"/>
  <c r="AE96" i="1" a="1"/>
  <c r="AE96" i="1" s="1"/>
  <c r="AK91" i="1" a="1"/>
  <c r="AK91" i="1" s="1"/>
  <c r="AS91" i="1" a="1"/>
  <c r="AS91" i="1" s="1"/>
  <c r="AE91" i="1" a="1"/>
  <c r="AE91" i="1" s="1"/>
  <c r="AM91" i="1" a="1"/>
  <c r="AM91" i="1" s="1"/>
  <c r="AG91" i="1" a="1"/>
  <c r="AG91" i="1" s="1"/>
  <c r="AO91" i="1" a="1"/>
  <c r="AO91" i="1" s="1"/>
  <c r="AA124" i="1" s="1"/>
  <c r="AI91" i="1" a="1"/>
  <c r="AI91" i="1" s="1"/>
  <c r="AQ91" i="1" a="1"/>
  <c r="AQ91" i="1" s="1"/>
  <c r="AG87" i="1" a="1"/>
  <c r="AG87" i="1" s="1"/>
  <c r="AO87" i="1" a="1"/>
  <c r="AO87" i="1" s="1"/>
  <c r="AI87" i="1" a="1"/>
  <c r="AI87" i="1" s="1"/>
  <c r="AQ87" i="1" a="1"/>
  <c r="AQ87" i="1" s="1"/>
  <c r="AK87" i="1" a="1"/>
  <c r="AK87" i="1" s="1"/>
  <c r="AS87" i="1" a="1"/>
  <c r="AS87" i="1" s="1"/>
  <c r="AM87" i="1" a="1"/>
  <c r="AM87" i="1" s="1"/>
  <c r="AE87" i="1" a="1"/>
  <c r="AE87" i="1" s="1"/>
  <c r="AK83" i="1" a="1"/>
  <c r="AK83" i="1" s="1"/>
  <c r="AS83" i="1" a="1"/>
  <c r="AS83" i="1" s="1"/>
  <c r="AE83" i="1" a="1"/>
  <c r="AE83" i="1" s="1"/>
  <c r="AM83" i="1" a="1"/>
  <c r="AM83" i="1" s="1"/>
  <c r="AG83" i="1" a="1"/>
  <c r="AG83" i="1" s="1"/>
  <c r="AO83" i="1" a="1"/>
  <c r="AO83" i="1" s="1"/>
  <c r="AA116" i="1" s="1"/>
  <c r="AI83" i="1" a="1"/>
  <c r="AI83" i="1" s="1"/>
  <c r="AQ83" i="1" a="1"/>
  <c r="AQ83" i="1" s="1"/>
  <c r="G125" i="16"/>
  <c r="J114" i="16"/>
  <c r="H109" i="16"/>
  <c r="D31" i="27"/>
  <c r="E77" i="29"/>
  <c r="F77" i="29" s="1"/>
  <c r="AZ36" i="13" s="1"/>
  <c r="E66" i="29"/>
  <c r="F66" i="29" s="1"/>
  <c r="AZ25" i="13" s="1"/>
  <c r="F125" i="16"/>
  <c r="F109" i="16"/>
  <c r="E85" i="27"/>
  <c r="F85" i="27" s="1"/>
  <c r="AX41" i="13" s="1"/>
  <c r="E74" i="27"/>
  <c r="F74" i="27" s="1"/>
  <c r="AX30" i="13" s="1"/>
  <c r="E66" i="27"/>
  <c r="F66" i="27" s="1"/>
  <c r="AX22" i="13" s="1"/>
  <c r="E59" i="27"/>
  <c r="F59" i="27" s="1"/>
  <c r="AX15" i="13" s="1"/>
  <c r="C59" i="29"/>
  <c r="H57" i="29"/>
  <c r="B28" i="29"/>
  <c r="BH147" i="71"/>
  <c r="AD147" i="71" s="1"/>
  <c r="BH147" i="72"/>
  <c r="AD147" i="72" s="1"/>
  <c r="C83" i="12"/>
  <c r="BH147" i="16"/>
  <c r="AD147" i="16" s="1"/>
  <c r="M81" i="36"/>
  <c r="D61" i="27"/>
  <c r="G61" i="27" s="1"/>
  <c r="H61" i="27" s="1"/>
  <c r="D58" i="29"/>
  <c r="B101" i="18"/>
  <c r="AQ101" i="1" a="1"/>
  <c r="AQ101" i="1" s="1"/>
  <c r="AO88" i="1" a="1"/>
  <c r="AO88" i="1" s="1"/>
  <c r="AS84" i="1" a="1"/>
  <c r="AS84" i="1" s="1"/>
  <c r="AG80" i="1"/>
  <c r="F92" i="79"/>
  <c r="J80" i="48"/>
  <c r="H47" i="10" s="1"/>
  <c r="D79" i="10" s="1"/>
  <c r="BI163" i="71"/>
  <c r="AE163" i="71" s="1"/>
  <c r="BI163" i="72"/>
  <c r="AE163" i="72" s="1"/>
  <c r="G86" i="12"/>
  <c r="H86" i="12" s="1"/>
  <c r="BH155" i="71"/>
  <c r="AD155" i="71" s="1"/>
  <c r="BH155" i="72"/>
  <c r="AD155" i="72" s="1"/>
  <c r="I96" i="36"/>
  <c r="AW582" i="78"/>
  <c r="K95" i="36"/>
  <c r="AW578" i="78"/>
  <c r="K91" i="36"/>
  <c r="B87" i="36"/>
  <c r="D86" i="36"/>
  <c r="E86" i="36" s="1"/>
  <c r="D82" i="36"/>
  <c r="E82" i="36" s="1"/>
  <c r="D78" i="36"/>
  <c r="E78" i="36" s="1"/>
  <c r="BO38" i="13"/>
  <c r="B221" i="18"/>
  <c r="AG101" i="1" a="1"/>
  <c r="AG101" i="1" s="1"/>
  <c r="AM97" i="1" a="1"/>
  <c r="AM97" i="1" s="1"/>
  <c r="AE84" i="1" a="1"/>
  <c r="AE84" i="1" s="1"/>
  <c r="F78" i="1"/>
  <c r="BH165" i="71"/>
  <c r="AD165" i="71" s="1"/>
  <c r="BH165" i="72"/>
  <c r="AD165" i="72" s="1"/>
  <c r="I87" i="12"/>
  <c r="F87" i="12"/>
  <c r="BI154" i="71"/>
  <c r="AE154" i="71" s="1"/>
  <c r="BI154" i="72"/>
  <c r="AE154" i="72" s="1"/>
  <c r="G79" i="12"/>
  <c r="BI145" i="71"/>
  <c r="AE145" i="71" s="1"/>
  <c r="BI145" i="72"/>
  <c r="AE145" i="72" s="1"/>
  <c r="G88" i="12"/>
  <c r="E73" i="33"/>
  <c r="F73" i="33" s="1"/>
  <c r="BB32" i="13" s="1"/>
  <c r="B74" i="33"/>
  <c r="E65" i="33"/>
  <c r="F65" i="33" s="1"/>
  <c r="BB24" i="13" s="1"/>
  <c r="AV557" i="78"/>
  <c r="H72" i="36"/>
  <c r="AV559" i="78" s="1"/>
  <c r="I70" i="36"/>
  <c r="G69" i="36"/>
  <c r="O69" i="36" s="1"/>
  <c r="AW15" i="13" s="1"/>
  <c r="N69" i="36"/>
  <c r="AK556" i="78" s="1"/>
  <c r="B41" i="18"/>
  <c r="F111" i="79"/>
  <c r="J100" i="48"/>
  <c r="F106" i="79"/>
  <c r="J95" i="48"/>
  <c r="F90" i="79"/>
  <c r="J77" i="48"/>
  <c r="J44" i="10" s="1"/>
  <c r="E76" i="10" s="1"/>
  <c r="BI164" i="71"/>
  <c r="AE164" i="71" s="1"/>
  <c r="BI164" i="72"/>
  <c r="AE164" i="72" s="1"/>
  <c r="D66" i="12"/>
  <c r="F37" i="12"/>
  <c r="D68" i="12" s="1"/>
  <c r="D93" i="36"/>
  <c r="E93" i="36" s="1"/>
  <c r="F87" i="36"/>
  <c r="N86" i="36"/>
  <c r="AK573" i="78" s="1"/>
  <c r="G86" i="36"/>
  <c r="O86" i="36" s="1"/>
  <c r="AW32" i="13" s="1"/>
  <c r="AX580" i="78"/>
  <c r="M93" i="36"/>
  <c r="AV579" i="78"/>
  <c r="I92" i="36"/>
  <c r="AX573" i="78"/>
  <c r="L87" i="36"/>
  <c r="M86" i="36"/>
  <c r="AV572" i="78"/>
  <c r="I85" i="36"/>
  <c r="AX569" i="78"/>
  <c r="M82" i="36"/>
  <c r="AV568" i="78"/>
  <c r="I81" i="36"/>
  <c r="AX565" i="78"/>
  <c r="M78" i="36"/>
  <c r="AV564" i="78"/>
  <c r="H87" i="36"/>
  <c r="AX560" i="78"/>
  <c r="M73" i="36"/>
  <c r="BO36" i="13"/>
  <c r="AM79" i="1"/>
  <c r="AI75" i="1"/>
  <c r="F89" i="79"/>
  <c r="J76" i="48"/>
  <c r="I93" i="12"/>
  <c r="F93" i="12"/>
  <c r="B83" i="12"/>
  <c r="E82" i="12"/>
  <c r="G82" i="12"/>
  <c r="H82" i="12" s="1"/>
  <c r="I78" i="12"/>
  <c r="F78" i="12"/>
  <c r="E74" i="12"/>
  <c r="G74" i="12"/>
  <c r="H74" i="12" s="1"/>
  <c r="G90" i="12"/>
  <c r="H90" i="12" s="1"/>
  <c r="E90" i="12"/>
  <c r="F70" i="12"/>
  <c r="E79" i="33"/>
  <c r="F79" i="33" s="1"/>
  <c r="BB38" i="13" s="1"/>
  <c r="B11" i="18"/>
  <c r="AE98" i="1" a="1"/>
  <c r="AE98" i="1" s="1"/>
  <c r="AM98" i="1" a="1"/>
  <c r="AM98" i="1" s="1"/>
  <c r="AG98" i="1" a="1"/>
  <c r="AG98" i="1" s="1"/>
  <c r="AO98" i="1" a="1"/>
  <c r="AO98" i="1" s="1"/>
  <c r="AA133" i="1" s="1"/>
  <c r="AI98" i="1" a="1"/>
  <c r="AI98" i="1" s="1"/>
  <c r="AQ98" i="1" a="1"/>
  <c r="AQ98" i="1" s="1"/>
  <c r="AK98" i="1" a="1"/>
  <c r="AK98" i="1" s="1"/>
  <c r="AI94" i="1" a="1"/>
  <c r="AI94" i="1" s="1"/>
  <c r="AQ94" i="1" a="1"/>
  <c r="AQ94" i="1" s="1"/>
  <c r="AK94" i="1" a="1"/>
  <c r="AK94" i="1" s="1"/>
  <c r="AS94" i="1" a="1"/>
  <c r="AS94" i="1" s="1"/>
  <c r="AE94" i="1" a="1"/>
  <c r="AE94" i="1" s="1"/>
  <c r="AM94" i="1" a="1"/>
  <c r="AM94" i="1" s="1"/>
  <c r="AO94" i="1" a="1"/>
  <c r="AO94" i="1" s="1"/>
  <c r="AG94" i="1" a="1"/>
  <c r="AG94" i="1" s="1"/>
  <c r="AE89" i="1" a="1"/>
  <c r="AE89" i="1" s="1"/>
  <c r="AM89" i="1" a="1"/>
  <c r="AM89" i="1" s="1"/>
  <c r="AG89" i="1" a="1"/>
  <c r="AG89" i="1" s="1"/>
  <c r="AO89" i="1" a="1"/>
  <c r="AO89" i="1" s="1"/>
  <c r="AI89" i="1" a="1"/>
  <c r="AI89" i="1" s="1"/>
  <c r="AQ89" i="1" a="1"/>
  <c r="AQ89" i="1" s="1"/>
  <c r="AK89" i="1" a="1"/>
  <c r="AK89" i="1" s="1"/>
  <c r="AS89" i="1" a="1"/>
  <c r="AS89" i="1" s="1"/>
  <c r="AI85" i="1" a="1"/>
  <c r="AI85" i="1" s="1"/>
  <c r="AQ85" i="1" a="1"/>
  <c r="AQ85" i="1" s="1"/>
  <c r="AK85" i="1" a="1"/>
  <c r="AK85" i="1" s="1"/>
  <c r="AS85" i="1" a="1"/>
  <c r="AS85" i="1" s="1"/>
  <c r="AE85" i="1" a="1"/>
  <c r="AE85" i="1" s="1"/>
  <c r="AM85" i="1" a="1"/>
  <c r="AM85" i="1" s="1"/>
  <c r="AO85" i="1" a="1"/>
  <c r="AO85" i="1" s="1"/>
  <c r="AG85" i="1" a="1"/>
  <c r="AG85" i="1" s="1"/>
  <c r="AE80" i="1"/>
  <c r="AI80" i="1"/>
  <c r="AM80" i="1"/>
  <c r="AO80" i="1"/>
  <c r="AS80" i="1"/>
  <c r="AK80" i="1"/>
  <c r="AM76" i="1"/>
  <c r="AQ76" i="1"/>
  <c r="AE76" i="1"/>
  <c r="AG76" i="1"/>
  <c r="AI76" i="1"/>
  <c r="AK76" i="1"/>
  <c r="AS76" i="1"/>
  <c r="AA581" i="78"/>
  <c r="C190" i="61" s="1"/>
  <c r="I194" i="20"/>
  <c r="K97" i="48"/>
  <c r="BH167" i="71"/>
  <c r="AD167" i="71" s="1"/>
  <c r="BH167" i="72"/>
  <c r="AD167" i="72" s="1"/>
  <c r="BH156" i="71"/>
  <c r="AD156" i="71" s="1"/>
  <c r="BH156" i="72"/>
  <c r="AD156" i="72" s="1"/>
  <c r="G73" i="12"/>
  <c r="H73" i="12" s="1"/>
  <c r="E83" i="33"/>
  <c r="F83" i="33" s="1"/>
  <c r="BB42" i="13" s="1"/>
  <c r="C72" i="36"/>
  <c r="AX581" i="78"/>
  <c r="M94" i="36"/>
  <c r="T42" i="13"/>
  <c r="S165" i="20"/>
  <c r="T165" i="20" s="1"/>
  <c r="Q42" i="13" s="1"/>
  <c r="F109" i="79"/>
  <c r="J98" i="48"/>
  <c r="F104" i="79"/>
  <c r="J93" i="48"/>
  <c r="X58" i="10" s="1"/>
  <c r="O92" i="10" s="1"/>
  <c r="F87" i="79"/>
  <c r="J74" i="48"/>
  <c r="L39" i="48"/>
  <c r="F88" i="79" s="1"/>
  <c r="I86" i="12"/>
  <c r="E92" i="12"/>
  <c r="G92" i="12"/>
  <c r="H92" i="12" s="1"/>
  <c r="BH164" i="71"/>
  <c r="AD164" i="71" s="1"/>
  <c r="BH164" i="72"/>
  <c r="AD164" i="72" s="1"/>
  <c r="BI161" i="71"/>
  <c r="AE161" i="71" s="1"/>
  <c r="BI161" i="72"/>
  <c r="AE161" i="72" s="1"/>
  <c r="E81" i="12"/>
  <c r="G81" i="12"/>
  <c r="H81" i="12" s="1"/>
  <c r="BH153" i="71"/>
  <c r="AD153" i="71" s="1"/>
  <c r="BH153" i="72"/>
  <c r="AD153" i="72" s="1"/>
  <c r="BI150" i="71"/>
  <c r="AE150" i="71" s="1"/>
  <c r="BI150" i="72"/>
  <c r="AE150" i="72" s="1"/>
  <c r="F73" i="12"/>
  <c r="I73" i="12"/>
  <c r="BH144" i="71"/>
  <c r="AD144" i="71" s="1"/>
  <c r="BH144" i="72"/>
  <c r="AD144" i="72" s="1"/>
  <c r="E69" i="12"/>
  <c r="BI140" i="71"/>
  <c r="AE140" i="71" s="1"/>
  <c r="BI140" i="72"/>
  <c r="AE140" i="72" s="1"/>
  <c r="F57" i="33"/>
  <c r="M97" i="36"/>
  <c r="AX564" i="78"/>
  <c r="M77" i="36"/>
  <c r="G78" i="36"/>
  <c r="O78" i="36" s="1"/>
  <c r="AW24" i="13" s="1"/>
  <c r="N78" i="36"/>
  <c r="AK565" i="78" s="1"/>
  <c r="AO101" i="1" a="1"/>
  <c r="AO101" i="1" s="1"/>
  <c r="AI101" i="1" a="1"/>
  <c r="AI101" i="1" s="1"/>
  <c r="AS101" i="1" a="1"/>
  <c r="AS101" i="1" s="1"/>
  <c r="AK101" i="1" a="1"/>
  <c r="AK101" i="1" s="1"/>
  <c r="AE101" i="1" a="1"/>
  <c r="AE101" i="1" s="1"/>
  <c r="AK97" i="1" a="1"/>
  <c r="AK97" i="1" s="1"/>
  <c r="AO97" i="1" a="1"/>
  <c r="AO97" i="1" s="1"/>
  <c r="AE97" i="1" a="1"/>
  <c r="AE97" i="1" s="1"/>
  <c r="AQ97" i="1" a="1"/>
  <c r="AQ97" i="1" s="1"/>
  <c r="AG97" i="1" a="1"/>
  <c r="AG97" i="1" s="1"/>
  <c r="AS97" i="1" a="1"/>
  <c r="AS97" i="1" s="1"/>
  <c r="AI97" i="1" a="1"/>
  <c r="AI97" i="1" s="1"/>
  <c r="AO92" i="1" a="1"/>
  <c r="AO92" i="1" s="1"/>
  <c r="AA125" i="1" s="1"/>
  <c r="AE92" i="1" a="1"/>
  <c r="AE92" i="1" s="1"/>
  <c r="AS92" i="1" a="1"/>
  <c r="AS92" i="1" s="1"/>
  <c r="AG92" i="1" a="1"/>
  <c r="AG92" i="1" s="1"/>
  <c r="AI92" i="1" a="1"/>
  <c r="AI92" i="1" s="1"/>
  <c r="AK92" i="1" a="1"/>
  <c r="AK92" i="1" s="1"/>
  <c r="AM92" i="1" a="1"/>
  <c r="AM92" i="1" s="1"/>
  <c r="AE88" i="1" a="1"/>
  <c r="AE88" i="1" s="1"/>
  <c r="AQ88" i="1" a="1"/>
  <c r="AQ88" i="1" s="1"/>
  <c r="AI88" i="1" a="1"/>
  <c r="AI88" i="1" s="1"/>
  <c r="AK88" i="1" a="1"/>
  <c r="AK88" i="1" s="1"/>
  <c r="AM88" i="1" a="1"/>
  <c r="AM88" i="1" s="1"/>
  <c r="AI84" i="1" a="1"/>
  <c r="AI84" i="1" s="1"/>
  <c r="AM84" i="1" a="1"/>
  <c r="AM84" i="1" s="1"/>
  <c r="AO84" i="1" a="1"/>
  <c r="AO84" i="1" s="1"/>
  <c r="AA117" i="1" s="1"/>
  <c r="AQ84" i="1" a="1"/>
  <c r="AQ84" i="1" s="1"/>
  <c r="AG84" i="1" a="1"/>
  <c r="AG84" i="1" s="1"/>
  <c r="AS79" i="1"/>
  <c r="AG79" i="1"/>
  <c r="AK79" i="1"/>
  <c r="AI79" i="1"/>
  <c r="AO79" i="1"/>
  <c r="AQ79" i="1"/>
  <c r="AE79" i="1"/>
  <c r="AK75" i="1"/>
  <c r="AO75" i="1"/>
  <c r="AS75" i="1"/>
  <c r="AQ75" i="1"/>
  <c r="AE75" i="1"/>
  <c r="AG75" i="1"/>
  <c r="AM75" i="1"/>
  <c r="AS88" i="1" a="1"/>
  <c r="AS88" i="1" s="1"/>
  <c r="AA109" i="1"/>
  <c r="T568" i="78"/>
  <c r="J77" i="12"/>
  <c r="AV27" i="13" s="1"/>
  <c r="G63" i="33"/>
  <c r="H63" i="33" s="1"/>
  <c r="D73" i="33"/>
  <c r="AX577" i="78"/>
  <c r="M90" i="36"/>
  <c r="AV570" i="78"/>
  <c r="I83" i="36"/>
  <c r="AG99" i="1" a="1"/>
  <c r="AG99" i="1" s="1"/>
  <c r="AK95" i="1" a="1"/>
  <c r="AK95" i="1" s="1"/>
  <c r="AE86" i="1" a="1"/>
  <c r="AE86" i="1" s="1"/>
  <c r="AG82" i="1" a="1"/>
  <c r="AG82" i="1" s="1"/>
  <c r="F98" i="79"/>
  <c r="J86" i="48"/>
  <c r="F85" i="79"/>
  <c r="J72" i="48"/>
  <c r="E89" i="12"/>
  <c r="G89" i="12"/>
  <c r="H89" i="12" s="1"/>
  <c r="BH161" i="71"/>
  <c r="AD161" i="71" s="1"/>
  <c r="BH161" i="72"/>
  <c r="AD161" i="72" s="1"/>
  <c r="G78" i="12"/>
  <c r="H78" i="12" s="1"/>
  <c r="BH150" i="71"/>
  <c r="AD150" i="71" s="1"/>
  <c r="BH150" i="72"/>
  <c r="AD150" i="72" s="1"/>
  <c r="BI147" i="71"/>
  <c r="AE147" i="71" s="1"/>
  <c r="BI147" i="72"/>
  <c r="AE147" i="72" s="1"/>
  <c r="E67" i="12"/>
  <c r="D97" i="36"/>
  <c r="E97" i="36" s="1"/>
  <c r="I95" i="36"/>
  <c r="I80" i="36"/>
  <c r="M79" i="36"/>
  <c r="D79" i="36"/>
  <c r="E79" i="36" s="1"/>
  <c r="T39" i="13"/>
  <c r="S162" i="20"/>
  <c r="T162" i="20" s="1"/>
  <c r="Q39" i="13" s="1"/>
  <c r="AJ583" i="78"/>
  <c r="E94" i="58"/>
  <c r="G94" i="58" s="1"/>
  <c r="CP42" i="13" s="1"/>
  <c r="F94" i="58"/>
  <c r="AJ579" i="78"/>
  <c r="E90" i="58"/>
  <c r="G90" i="58" s="1"/>
  <c r="CP38" i="13" s="1"/>
  <c r="F90" i="58"/>
  <c r="B39" i="58"/>
  <c r="B69" i="58"/>
  <c r="D69" i="58" s="1"/>
  <c r="AQ99" i="1" a="1"/>
  <c r="AQ99" i="1" s="1"/>
  <c r="AE99" i="1" a="1"/>
  <c r="AE99" i="1" s="1"/>
  <c r="AI95" i="1" a="1"/>
  <c r="AI95" i="1" s="1"/>
  <c r="AK90" i="1" a="1"/>
  <c r="AK90" i="1" s="1"/>
  <c r="AO86" i="1" a="1"/>
  <c r="AO86" i="1" s="1"/>
  <c r="AQ82" i="1" a="1"/>
  <c r="AQ82" i="1" s="1"/>
  <c r="AE82" i="1" a="1"/>
  <c r="AE82" i="1" s="1"/>
  <c r="AQ77" i="1"/>
  <c r="F110" i="79"/>
  <c r="J99" i="48"/>
  <c r="F93" i="79"/>
  <c r="J81" i="48"/>
  <c r="F91" i="79"/>
  <c r="F102" i="79" s="1"/>
  <c r="F103" i="79" s="1"/>
  <c r="J79" i="48"/>
  <c r="BI162" i="71"/>
  <c r="AE162" i="71" s="1"/>
  <c r="BI162" i="72"/>
  <c r="AE162" i="72" s="1"/>
  <c r="BH154" i="71"/>
  <c r="AD154" i="71" s="1"/>
  <c r="BH154" i="72"/>
  <c r="AD154" i="72" s="1"/>
  <c r="BI151" i="71"/>
  <c r="AE151" i="71" s="1"/>
  <c r="BI151" i="72"/>
  <c r="AE151" i="72" s="1"/>
  <c r="K97" i="36"/>
  <c r="I94" i="36"/>
  <c r="K90" i="36"/>
  <c r="M84" i="36"/>
  <c r="D84" i="36"/>
  <c r="E84" i="36" s="1"/>
  <c r="I82" i="36"/>
  <c r="I79" i="36"/>
  <c r="K76" i="36"/>
  <c r="I73" i="36"/>
  <c r="D95" i="36"/>
  <c r="E95" i="36" s="1"/>
  <c r="D91" i="36"/>
  <c r="E91" i="36" s="1"/>
  <c r="AW573" i="78"/>
  <c r="J87" i="36"/>
  <c r="J70" i="36"/>
  <c r="J40" i="36"/>
  <c r="T25" i="13"/>
  <c r="S148" i="20"/>
  <c r="T148" i="20" s="1"/>
  <c r="Q25" i="13" s="1"/>
  <c r="AJ573" i="78"/>
  <c r="F84" i="58"/>
  <c r="E84" i="58"/>
  <c r="G84" i="58" s="1"/>
  <c r="CP32" i="13" s="1"/>
  <c r="AJ582" i="78"/>
  <c r="F93" i="58"/>
  <c r="E93" i="58"/>
  <c r="G93" i="58" s="1"/>
  <c r="CP41" i="13" s="1"/>
  <c r="AJ578" i="78"/>
  <c r="F89" i="58"/>
  <c r="E89" i="58"/>
  <c r="G89" i="58" s="1"/>
  <c r="CP37" i="13" s="1"/>
  <c r="J108" i="72"/>
  <c r="F99" i="75" s="1"/>
  <c r="B109" i="72"/>
  <c r="AO99" i="1" a="1"/>
  <c r="AO99" i="1" s="1"/>
  <c r="AA134" i="1" s="1"/>
  <c r="AS95" i="1" a="1"/>
  <c r="AS95" i="1" s="1"/>
  <c r="AG95" i="1" a="1"/>
  <c r="AG95" i="1" s="1"/>
  <c r="AI90" i="1" a="1"/>
  <c r="AI90" i="1" s="1"/>
  <c r="AM86" i="1" a="1"/>
  <c r="AM86" i="1" s="1"/>
  <c r="AO82" i="1" a="1"/>
  <c r="AO82" i="1" s="1"/>
  <c r="AA115" i="1" s="1"/>
  <c r="AM77" i="1"/>
  <c r="AA572" i="78"/>
  <c r="C183" i="61" s="1"/>
  <c r="I187" i="20"/>
  <c r="F97" i="79"/>
  <c r="J85" i="48"/>
  <c r="X52" i="10" s="1"/>
  <c r="O84" i="10" s="1"/>
  <c r="F95" i="79"/>
  <c r="J83" i="48"/>
  <c r="BI166" i="71"/>
  <c r="AE166" i="71" s="1"/>
  <c r="BI166" i="72"/>
  <c r="AE166" i="72" s="1"/>
  <c r="BI155" i="71"/>
  <c r="AE155" i="71" s="1"/>
  <c r="BI155" i="72"/>
  <c r="AE155" i="72" s="1"/>
  <c r="E76" i="12"/>
  <c r="BH148" i="71"/>
  <c r="AD148" i="71" s="1"/>
  <c r="BH148" i="72"/>
  <c r="AD148" i="72" s="1"/>
  <c r="E65" i="12"/>
  <c r="G65" i="12"/>
  <c r="H65" i="12" s="1"/>
  <c r="BH166" i="71"/>
  <c r="AD166" i="71" s="1"/>
  <c r="BH166" i="72"/>
  <c r="AD166" i="72" s="1"/>
  <c r="BI152" i="71"/>
  <c r="AE152" i="71" s="1"/>
  <c r="BI152" i="72"/>
  <c r="AE152" i="72" s="1"/>
  <c r="E84" i="33"/>
  <c r="F84" i="33" s="1"/>
  <c r="BB43" i="13" s="1"/>
  <c r="M96" i="36"/>
  <c r="D71" i="36"/>
  <c r="E71" i="36" s="1"/>
  <c r="E72" i="36" s="1"/>
  <c r="B72" i="36"/>
  <c r="D72" i="36" s="1"/>
  <c r="AA169" i="57"/>
  <c r="W137" i="57"/>
  <c r="W138" i="57" s="1"/>
  <c r="AE95" i="1" a="1"/>
  <c r="AE95" i="1" s="1"/>
  <c r="AG90" i="1" a="1"/>
  <c r="AG90" i="1" s="1"/>
  <c r="Y123" i="1" s="1"/>
  <c r="AK86" i="1" a="1"/>
  <c r="AK86" i="1" s="1"/>
  <c r="AK77" i="1"/>
  <c r="J84" i="48"/>
  <c r="F101" i="79"/>
  <c r="J89" i="48"/>
  <c r="F99" i="79"/>
  <c r="J87" i="48"/>
  <c r="L54" i="10" s="1"/>
  <c r="F86" i="10" s="1"/>
  <c r="E91" i="12"/>
  <c r="G91" i="12"/>
  <c r="H91" i="12" s="1"/>
  <c r="I75" i="12"/>
  <c r="G70" i="12"/>
  <c r="H70" i="12" s="1"/>
  <c r="BI144" i="71"/>
  <c r="AE144" i="71" s="1"/>
  <c r="BI144" i="72"/>
  <c r="AE144" i="72" s="1"/>
  <c r="D37" i="12"/>
  <c r="C68" i="12" s="1"/>
  <c r="E58" i="33"/>
  <c r="F58" i="33" s="1"/>
  <c r="BB17" i="13" s="1"/>
  <c r="E56" i="33"/>
  <c r="F56" i="33" s="1"/>
  <c r="BB15" i="13" s="1"/>
  <c r="I97" i="36"/>
  <c r="M92" i="36"/>
  <c r="I76" i="36"/>
  <c r="M74" i="36"/>
  <c r="D74" i="36"/>
  <c r="E74" i="36" s="1"/>
  <c r="AW18" i="13"/>
  <c r="D96" i="36"/>
  <c r="E96" i="36" s="1"/>
  <c r="D92" i="36"/>
  <c r="E92" i="36" s="1"/>
  <c r="F40" i="36"/>
  <c r="D69" i="36"/>
  <c r="E69" i="36" s="1"/>
  <c r="R210" i="26"/>
  <c r="R140" i="17" s="1"/>
  <c r="AC210" i="26"/>
  <c r="R202" i="17" s="1"/>
  <c r="R202" i="26"/>
  <c r="R143" i="17" s="1"/>
  <c r="AC202" i="26"/>
  <c r="R205" i="17" s="1"/>
  <c r="BO20" i="13"/>
  <c r="P157" i="20"/>
  <c r="AG157" i="20" s="1"/>
  <c r="AH157" i="20" s="1"/>
  <c r="W34" i="13" s="1"/>
  <c r="AG156" i="20"/>
  <c r="AH156" i="20" s="1"/>
  <c r="W33" i="13" s="1"/>
  <c r="W18" i="13"/>
  <c r="T18" i="13"/>
  <c r="S141" i="20"/>
  <c r="T141" i="20" s="1"/>
  <c r="AO77" i="1"/>
  <c r="AA110" i="1" s="1"/>
  <c r="AS77" i="1"/>
  <c r="AG77" i="1"/>
  <c r="W110" i="1" s="1"/>
  <c r="AM99" i="1" a="1"/>
  <c r="AM99" i="1" s="1"/>
  <c r="AQ95" i="1" a="1"/>
  <c r="AQ95" i="1" s="1"/>
  <c r="AA130" i="1" s="1"/>
  <c r="AS90" i="1" a="1"/>
  <c r="AS90" i="1" s="1"/>
  <c r="AM82" i="1" a="1"/>
  <c r="AM82" i="1" s="1"/>
  <c r="AI77" i="1"/>
  <c r="F107" i="79"/>
  <c r="J96" i="48"/>
  <c r="N61" i="10" s="1"/>
  <c r="G95" i="10" s="1"/>
  <c r="F105" i="79"/>
  <c r="J94" i="48"/>
  <c r="F86" i="79"/>
  <c r="J73" i="48"/>
  <c r="BH163" i="71"/>
  <c r="AD163" i="71" s="1"/>
  <c r="BH163" i="72"/>
  <c r="AD163" i="72" s="1"/>
  <c r="E80" i="12"/>
  <c r="G80" i="12"/>
  <c r="H80" i="12" s="1"/>
  <c r="BH152" i="71"/>
  <c r="AD152" i="71" s="1"/>
  <c r="BH152" i="72"/>
  <c r="AD152" i="72" s="1"/>
  <c r="BI149" i="71"/>
  <c r="AE149" i="71" s="1"/>
  <c r="BI149" i="72"/>
  <c r="AE149" i="72" s="1"/>
  <c r="G69" i="12"/>
  <c r="H69" i="12" s="1"/>
  <c r="BH141" i="71"/>
  <c r="AD141" i="71" s="1"/>
  <c r="BH141" i="72"/>
  <c r="AD141" i="72" s="1"/>
  <c r="BH168" i="71"/>
  <c r="AD168" i="71" s="1"/>
  <c r="BH168" i="72"/>
  <c r="AD168" i="72" s="1"/>
  <c r="BI165" i="71"/>
  <c r="AE165" i="71" s="1"/>
  <c r="BI165" i="72"/>
  <c r="AE165" i="72" s="1"/>
  <c r="BH157" i="71"/>
  <c r="AD157" i="71" s="1"/>
  <c r="BH157" i="72"/>
  <c r="AD157" i="72" s="1"/>
  <c r="BH149" i="71"/>
  <c r="AD149" i="71" s="1"/>
  <c r="BH149" i="72"/>
  <c r="AD149" i="72" s="1"/>
  <c r="B37" i="12"/>
  <c r="B68" i="12" s="1"/>
  <c r="BH140" i="71"/>
  <c r="AD140" i="71" s="1"/>
  <c r="BH140" i="72"/>
  <c r="AD140" i="72" s="1"/>
  <c r="H59" i="33"/>
  <c r="I93" i="36"/>
  <c r="I84" i="36"/>
  <c r="M83" i="36"/>
  <c r="D83" i="36"/>
  <c r="E83" i="36" s="1"/>
  <c r="D80" i="36"/>
  <c r="E80" i="36" s="1"/>
  <c r="S108" i="62"/>
  <c r="I91" i="55" s="1"/>
  <c r="T108" i="62"/>
  <c r="AJ581" i="78"/>
  <c r="E92" i="58"/>
  <c r="G92" i="58" s="1"/>
  <c r="CP40" i="13" s="1"/>
  <c r="F92" i="58"/>
  <c r="T38" i="13"/>
  <c r="S161" i="20"/>
  <c r="T161" i="20" s="1"/>
  <c r="Q38" i="13" s="1"/>
  <c r="AI99" i="1" a="1"/>
  <c r="AI99" i="1" s="1"/>
  <c r="AM95" i="1" a="1"/>
  <c r="AM95" i="1" s="1"/>
  <c r="AO90" i="1" a="1"/>
  <c r="AO90" i="1" s="1"/>
  <c r="AA123" i="1" s="1"/>
  <c r="AS86" i="1" a="1"/>
  <c r="AS86" i="1" s="1"/>
  <c r="AG86" i="1" a="1"/>
  <c r="AG86" i="1" s="1"/>
  <c r="AI82" i="1" a="1"/>
  <c r="AI82" i="1" s="1"/>
  <c r="F94" i="79"/>
  <c r="J82" i="48"/>
  <c r="L49" i="10" s="1"/>
  <c r="F81" i="10" s="1"/>
  <c r="BI153" i="71"/>
  <c r="AE153" i="71" s="1"/>
  <c r="BI153" i="72"/>
  <c r="AE153" i="72" s="1"/>
  <c r="BH145" i="71"/>
  <c r="AD145" i="71" s="1"/>
  <c r="BH145" i="72"/>
  <c r="AD145" i="72" s="1"/>
  <c r="BI142" i="71"/>
  <c r="AE142" i="71" s="1"/>
  <c r="BI142" i="72"/>
  <c r="AE142" i="72" s="1"/>
  <c r="BI167" i="71"/>
  <c r="AE167" i="71" s="1"/>
  <c r="BI167" i="72"/>
  <c r="AE167" i="72" s="1"/>
  <c r="BH162" i="71"/>
  <c r="AD162" i="71" s="1"/>
  <c r="BH162" i="72"/>
  <c r="AD162" i="72" s="1"/>
  <c r="BI156" i="71"/>
  <c r="AE156" i="71" s="1"/>
  <c r="BI156" i="72"/>
  <c r="AE156" i="72" s="1"/>
  <c r="BH151" i="71"/>
  <c r="AD151" i="71" s="1"/>
  <c r="BH151" i="72"/>
  <c r="AD151" i="72" s="1"/>
  <c r="BI148" i="71"/>
  <c r="AE148" i="71" s="1"/>
  <c r="BI148" i="72"/>
  <c r="AE148" i="72" s="1"/>
  <c r="BH142" i="71"/>
  <c r="AD142" i="71" s="1"/>
  <c r="BH142" i="72"/>
  <c r="AD142" i="72" s="1"/>
  <c r="N131" i="20"/>
  <c r="H166" i="20" s="1"/>
  <c r="N129" i="20"/>
  <c r="H164" i="20" s="1"/>
  <c r="N127" i="20"/>
  <c r="H162" i="20" s="1"/>
  <c r="N125" i="20"/>
  <c r="H160" i="20" s="1"/>
  <c r="N122" i="20"/>
  <c r="H155" i="20" s="1"/>
  <c r="N120" i="20"/>
  <c r="H153" i="20" s="1"/>
  <c r="N118" i="20"/>
  <c r="H151" i="20" s="1"/>
  <c r="N116" i="20"/>
  <c r="H149" i="20" s="1"/>
  <c r="N114" i="20"/>
  <c r="H147" i="20" s="1"/>
  <c r="N112" i="20"/>
  <c r="H145" i="20" s="1"/>
  <c r="N108" i="20"/>
  <c r="H141" i="20" s="1"/>
  <c r="H140" i="20"/>
  <c r="P58" i="70"/>
  <c r="N92" i="70" s="1"/>
  <c r="R58" i="70"/>
  <c r="P92" i="70" s="1"/>
  <c r="H58" i="70"/>
  <c r="F92" i="70" s="1"/>
  <c r="J58" i="70"/>
  <c r="H92" i="70" s="1"/>
  <c r="L58" i="70"/>
  <c r="J92" i="70" s="1"/>
  <c r="N58" i="70"/>
  <c r="L92" i="70" s="1"/>
  <c r="B92" i="70"/>
  <c r="T58" i="70"/>
  <c r="R92" i="70" s="1"/>
  <c r="F58" i="70"/>
  <c r="X54" i="70"/>
  <c r="V88" i="70" s="1"/>
  <c r="D88" i="70"/>
  <c r="X40" i="70"/>
  <c r="V72" i="70" s="1"/>
  <c r="D72" i="70"/>
  <c r="T24" i="13"/>
  <c r="S147" i="20"/>
  <c r="T147" i="20" s="1"/>
  <c r="Q24" i="13" s="1"/>
  <c r="AJ580" i="78"/>
  <c r="E91" i="58"/>
  <c r="G91" i="58" s="1"/>
  <c r="CP39" i="13" s="1"/>
  <c r="F91" i="58"/>
  <c r="B86" i="58"/>
  <c r="D86" i="58" s="1"/>
  <c r="D85" i="58"/>
  <c r="AJ564" i="78"/>
  <c r="E75" i="58"/>
  <c r="G75" i="58" s="1"/>
  <c r="CP23" i="13" s="1"/>
  <c r="F75" i="58"/>
  <c r="S124" i="62"/>
  <c r="AJ568" i="78"/>
  <c r="E79" i="58"/>
  <c r="G79" i="58" s="1"/>
  <c r="CP27" i="13" s="1"/>
  <c r="F79" i="58"/>
  <c r="AJ571" i="78"/>
  <c r="E82" i="58"/>
  <c r="G82" i="58" s="1"/>
  <c r="CP30" i="13" s="1"/>
  <c r="F82" i="58"/>
  <c r="AJ567" i="78"/>
  <c r="E78" i="58"/>
  <c r="G78" i="58" s="1"/>
  <c r="CP26" i="13" s="1"/>
  <c r="F78" i="58"/>
  <c r="AJ563" i="78"/>
  <c r="E74" i="58"/>
  <c r="G74" i="58" s="1"/>
  <c r="CP22" i="13" s="1"/>
  <c r="F74" i="58"/>
  <c r="AJ557" i="78"/>
  <c r="E68" i="58"/>
  <c r="X85" i="70"/>
  <c r="X86" i="70" s="1"/>
  <c r="X68" i="70"/>
  <c r="X70" i="70" s="1"/>
  <c r="V38" i="70"/>
  <c r="F140" i="20"/>
  <c r="AJ584" i="78"/>
  <c r="E95" i="58"/>
  <c r="G95" i="58" s="1"/>
  <c r="CP43" i="13" s="1"/>
  <c r="F95" i="58"/>
  <c r="AJ572" i="78"/>
  <c r="E83" i="58"/>
  <c r="G83" i="58" s="1"/>
  <c r="CP31" i="13" s="1"/>
  <c r="F83" i="58"/>
  <c r="AJ556" i="78"/>
  <c r="F67" i="58"/>
  <c r="E67" i="58"/>
  <c r="G67" i="58" s="1"/>
  <c r="CP15" i="13" s="1"/>
  <c r="B86" i="70"/>
  <c r="B125" i="72"/>
  <c r="S156" i="20"/>
  <c r="T156" i="20" s="1"/>
  <c r="Q33" i="13" s="1"/>
  <c r="S151" i="20"/>
  <c r="T151" i="20" s="1"/>
  <c r="Q28" i="13" s="1"/>
  <c r="AJ570" i="78"/>
  <c r="E81" i="58"/>
  <c r="G81" i="58" s="1"/>
  <c r="CP29" i="13" s="1"/>
  <c r="AJ566" i="78"/>
  <c r="E77" i="58"/>
  <c r="G77" i="58" s="1"/>
  <c r="CP25" i="13" s="1"/>
  <c r="AJ561" i="78"/>
  <c r="E72" i="58"/>
  <c r="G72" i="58" s="1"/>
  <c r="CP20" i="13" s="1"/>
  <c r="X59" i="70"/>
  <c r="V93" i="70" s="1"/>
  <c r="D93" i="70"/>
  <c r="F39" i="70"/>
  <c r="H39" i="70"/>
  <c r="F71" i="70" s="1"/>
  <c r="J39" i="70"/>
  <c r="H71" i="70" s="1"/>
  <c r="P39" i="70"/>
  <c r="N71" i="70" s="1"/>
  <c r="N39" i="70"/>
  <c r="L71" i="70" s="1"/>
  <c r="R39" i="70"/>
  <c r="P71" i="70" s="1"/>
  <c r="T39" i="70"/>
  <c r="R71" i="70" s="1"/>
  <c r="B71" i="70"/>
  <c r="L39" i="70"/>
  <c r="J71" i="70" s="1"/>
  <c r="T43" i="13"/>
  <c r="S166" i="20"/>
  <c r="T166" i="20" s="1"/>
  <c r="Q43" i="13" s="1"/>
  <c r="S163" i="20"/>
  <c r="T163" i="20" s="1"/>
  <c r="Q40" i="13" s="1"/>
  <c r="F157" i="20"/>
  <c r="S150" i="20"/>
  <c r="T150" i="20" s="1"/>
  <c r="Q27" i="13" s="1"/>
  <c r="AG146" i="20"/>
  <c r="AH146" i="20" s="1"/>
  <c r="W23" i="13" s="1"/>
  <c r="T15" i="13"/>
  <c r="S138" i="20"/>
  <c r="T138" i="20" s="1"/>
  <c r="Q15" i="13" s="1"/>
  <c r="AB108" i="20"/>
  <c r="O141" i="20" s="1"/>
  <c r="F81" i="58"/>
  <c r="AJ560" i="78"/>
  <c r="F71" i="58"/>
  <c r="E71" i="58"/>
  <c r="G71" i="58" s="1"/>
  <c r="CP19" i="13" s="1"/>
  <c r="X57" i="70"/>
  <c r="V91" i="70" s="1"/>
  <c r="D91" i="70"/>
  <c r="AJ577" i="78"/>
  <c r="E88" i="58"/>
  <c r="G88" i="58" s="1"/>
  <c r="CP36" i="13" s="1"/>
  <c r="F88" i="58"/>
  <c r="AJ565" i="78"/>
  <c r="F76" i="58"/>
  <c r="E76" i="58"/>
  <c r="G76" i="58" s="1"/>
  <c r="CP24" i="13" s="1"/>
  <c r="F109" i="72"/>
  <c r="T41" i="13"/>
  <c r="S164" i="20"/>
  <c r="T164" i="20" s="1"/>
  <c r="Q41" i="13" s="1"/>
  <c r="T32" i="13"/>
  <c r="S155" i="20"/>
  <c r="T155" i="20" s="1"/>
  <c r="Q32" i="13" s="1"/>
  <c r="S153" i="20"/>
  <c r="T153" i="20" s="1"/>
  <c r="Q30" i="13" s="1"/>
  <c r="T26" i="13"/>
  <c r="S149" i="20"/>
  <c r="T149" i="20" s="1"/>
  <c r="Q26" i="13" s="1"/>
  <c r="S142" i="20"/>
  <c r="T142" i="20" s="1"/>
  <c r="Q19" i="13" s="1"/>
  <c r="AJ569" i="78"/>
  <c r="F80" i="58"/>
  <c r="E80" i="58"/>
  <c r="G80" i="58" s="1"/>
  <c r="CP28" i="13" s="1"/>
  <c r="B70" i="58"/>
  <c r="D70" i="58" s="1"/>
  <c r="B88" i="70"/>
  <c r="B79" i="70"/>
  <c r="P61" i="70"/>
  <c r="N95" i="70" s="1"/>
  <c r="L56" i="70"/>
  <c r="J90" i="70" s="1"/>
  <c r="H52" i="70"/>
  <c r="F84" i="70" s="1"/>
  <c r="X52" i="70"/>
  <c r="V84" i="70" s="1"/>
  <c r="V85" i="70" s="1"/>
  <c r="J52" i="70"/>
  <c r="H84" i="70" s="1"/>
  <c r="N50" i="70"/>
  <c r="L82" i="70" s="1"/>
  <c r="X47" i="70"/>
  <c r="V79" i="70" s="1"/>
  <c r="T43" i="70"/>
  <c r="R75" i="70" s="1"/>
  <c r="R85" i="70" s="1"/>
  <c r="R86" i="70" s="1"/>
  <c r="R42" i="70"/>
  <c r="P74" i="70" s="1"/>
  <c r="P85" i="70" s="1"/>
  <c r="P86" i="70" s="1"/>
  <c r="D38" i="70"/>
  <c r="J122" i="72"/>
  <c r="F113" i="75" s="1"/>
  <c r="J121" i="72"/>
  <c r="F112" i="75" s="1"/>
  <c r="J115" i="72"/>
  <c r="F106" i="75" s="1"/>
  <c r="E109" i="72"/>
  <c r="J134" i="72"/>
  <c r="F125" i="75" s="1"/>
  <c r="J133" i="72"/>
  <c r="F124" i="75" s="1"/>
  <c r="J132" i="72"/>
  <c r="F123" i="75" s="1"/>
  <c r="J130" i="72"/>
  <c r="F121" i="75" s="1"/>
  <c r="J129" i="72"/>
  <c r="F120" i="75" s="1"/>
  <c r="J116" i="72"/>
  <c r="F107" i="75" s="1"/>
  <c r="B70" i="70"/>
  <c r="R59" i="70"/>
  <c r="P93" i="70" s="1"/>
  <c r="H57" i="70"/>
  <c r="F91" i="70" s="1"/>
  <c r="J57" i="70"/>
  <c r="H91" i="70" s="1"/>
  <c r="N54" i="70"/>
  <c r="L88" i="70" s="1"/>
  <c r="P51" i="70"/>
  <c r="N83" i="70" s="1"/>
  <c r="R51" i="70"/>
  <c r="P83" i="70" s="1"/>
  <c r="T47" i="70"/>
  <c r="R79" i="70" s="1"/>
  <c r="T46" i="70"/>
  <c r="R78" i="70" s="1"/>
  <c r="N40" i="70"/>
  <c r="L72" i="70" s="1"/>
  <c r="P40" i="70"/>
  <c r="N72" i="70" s="1"/>
  <c r="R40" i="70"/>
  <c r="P72" i="70" s="1"/>
  <c r="H40" i="70"/>
  <c r="F72" i="70" s="1"/>
  <c r="P77" i="72"/>
  <c r="I107" i="72"/>
  <c r="I109" i="72" s="1"/>
  <c r="P59" i="70"/>
  <c r="N93" i="70" s="1"/>
  <c r="L54" i="70"/>
  <c r="J88" i="70" s="1"/>
  <c r="H50" i="70"/>
  <c r="F82" i="70" s="1"/>
  <c r="X50" i="70"/>
  <c r="V82" i="70" s="1"/>
  <c r="J50" i="70"/>
  <c r="H82" i="70" s="1"/>
  <c r="L47" i="70"/>
  <c r="J79" i="70" s="1"/>
  <c r="R46" i="70"/>
  <c r="P78" i="70" s="1"/>
  <c r="F42" i="70"/>
  <c r="D74" i="70" s="1"/>
  <c r="D85" i="70" s="1"/>
  <c r="H42" i="70"/>
  <c r="F74" i="70" s="1"/>
  <c r="X42" i="70"/>
  <c r="V74" i="70" s="1"/>
  <c r="J42" i="70"/>
  <c r="H74" i="70" s="1"/>
  <c r="P42" i="70"/>
  <c r="N74" i="70" s="1"/>
  <c r="N85" i="70" s="1"/>
  <c r="N86" i="70" s="1"/>
  <c r="T37" i="70"/>
  <c r="R69" i="70" s="1"/>
  <c r="J131" i="72"/>
  <c r="F122" i="75" s="1"/>
  <c r="H61" i="70"/>
  <c r="F95" i="70" s="1"/>
  <c r="J61" i="70"/>
  <c r="H95" i="70" s="1"/>
  <c r="N59" i="70"/>
  <c r="L93" i="70" s="1"/>
  <c r="X56" i="70"/>
  <c r="V90" i="70" s="1"/>
  <c r="P56" i="70"/>
  <c r="N90" i="70" s="1"/>
  <c r="R56" i="70"/>
  <c r="P90" i="70" s="1"/>
  <c r="J54" i="70"/>
  <c r="H88" i="70" s="1"/>
  <c r="J47" i="70"/>
  <c r="H79" i="70" s="1"/>
  <c r="P46" i="70"/>
  <c r="N78" i="70" s="1"/>
  <c r="N43" i="70"/>
  <c r="L75" i="70" s="1"/>
  <c r="L85" i="70" s="1"/>
  <c r="L86" i="70" s="1"/>
  <c r="P43" i="70"/>
  <c r="N75" i="70" s="1"/>
  <c r="R43" i="70"/>
  <c r="P75" i="70" s="1"/>
  <c r="H43" i="70"/>
  <c r="F75" i="70" s="1"/>
  <c r="X43" i="70"/>
  <c r="V75" i="70" s="1"/>
  <c r="R37" i="70"/>
  <c r="P69" i="70" s="1"/>
  <c r="B95" i="70"/>
  <c r="B78" i="70"/>
  <c r="L59" i="70"/>
  <c r="J93" i="70" s="1"/>
  <c r="R57" i="70"/>
  <c r="P91" i="70" s="1"/>
  <c r="H55" i="70"/>
  <c r="F89" i="70" s="1"/>
  <c r="J55" i="70"/>
  <c r="H89" i="70" s="1"/>
  <c r="H54" i="70"/>
  <c r="F88" i="70" s="1"/>
  <c r="N51" i="70"/>
  <c r="L83" i="70" s="1"/>
  <c r="T50" i="70"/>
  <c r="R82" i="70" s="1"/>
  <c r="P49" i="70"/>
  <c r="N81" i="70" s="1"/>
  <c r="R49" i="70"/>
  <c r="P81" i="70" s="1"/>
  <c r="H47" i="70"/>
  <c r="F79" i="70" s="1"/>
  <c r="N46" i="70"/>
  <c r="L78" i="70" s="1"/>
  <c r="F44" i="70"/>
  <c r="D76" i="70" s="1"/>
  <c r="H44" i="70"/>
  <c r="F76" i="70" s="1"/>
  <c r="X44" i="70"/>
  <c r="V76" i="70" s="1"/>
  <c r="J44" i="70"/>
  <c r="H76" i="70" s="1"/>
  <c r="P44" i="70"/>
  <c r="N76" i="70" s="1"/>
  <c r="N37" i="70"/>
  <c r="L69" i="70" s="1"/>
  <c r="V68" i="70"/>
  <c r="F35" i="70"/>
  <c r="H35" i="70"/>
  <c r="F67" i="70" s="1"/>
  <c r="J35" i="70"/>
  <c r="H67" i="70" s="1"/>
  <c r="B67" i="70"/>
  <c r="P35" i="70"/>
  <c r="N67" i="70" s="1"/>
  <c r="J123" i="72"/>
  <c r="F114" i="75" s="1"/>
  <c r="F124" i="72"/>
  <c r="F125" i="72" s="1"/>
  <c r="B90" i="70"/>
  <c r="B72" i="70"/>
  <c r="T61" i="70"/>
  <c r="R95" i="70" s="1"/>
  <c r="P60" i="70"/>
  <c r="N94" i="70" s="1"/>
  <c r="R60" i="70"/>
  <c r="P94" i="70" s="1"/>
  <c r="P57" i="70"/>
  <c r="N91" i="70" s="1"/>
  <c r="T56" i="70"/>
  <c r="R90" i="70" s="1"/>
  <c r="L51" i="70"/>
  <c r="J83" i="70" s="1"/>
  <c r="J86" i="70" s="1"/>
  <c r="R50" i="70"/>
  <c r="P82" i="70" s="1"/>
  <c r="H48" i="70"/>
  <c r="F80" i="70" s="1"/>
  <c r="X48" i="70"/>
  <c r="V80" i="70" s="1"/>
  <c r="J48" i="70"/>
  <c r="H80" i="70" s="1"/>
  <c r="N45" i="70"/>
  <c r="L77" i="70" s="1"/>
  <c r="P45" i="70"/>
  <c r="N77" i="70" s="1"/>
  <c r="R45" i="70"/>
  <c r="P77" i="70" s="1"/>
  <c r="H45" i="70"/>
  <c r="F77" i="70" s="1"/>
  <c r="X45" i="70"/>
  <c r="V77" i="70" s="1"/>
  <c r="T40" i="70"/>
  <c r="R72" i="70" s="1"/>
  <c r="N36" i="70"/>
  <c r="L68" i="70" s="1"/>
  <c r="P36" i="70"/>
  <c r="N68" i="70" s="1"/>
  <c r="R36" i="70"/>
  <c r="P68" i="70" s="1"/>
  <c r="H36" i="70"/>
  <c r="F68" i="70" s="1"/>
  <c r="J127" i="72"/>
  <c r="F118" i="75" s="1"/>
  <c r="H59" i="70"/>
  <c r="F93" i="70" s="1"/>
  <c r="J59" i="70"/>
  <c r="H93" i="70" s="1"/>
  <c r="P54" i="70"/>
  <c r="N88" i="70" s="1"/>
  <c r="R54" i="70"/>
  <c r="P88" i="70" s="1"/>
  <c r="N47" i="70"/>
  <c r="L79" i="70" s="1"/>
  <c r="P47" i="70"/>
  <c r="N79" i="70" s="1"/>
  <c r="R47" i="70"/>
  <c r="P79" i="70" s="1"/>
  <c r="F46" i="70"/>
  <c r="D78" i="70" s="1"/>
  <c r="H46" i="70"/>
  <c r="F78" i="70" s="1"/>
  <c r="X46" i="70"/>
  <c r="V78" i="70" s="1"/>
  <c r="J46" i="70"/>
  <c r="H78" i="70" s="1"/>
  <c r="F37" i="70"/>
  <c r="H37" i="70"/>
  <c r="F69" i="70" s="1"/>
  <c r="J37" i="70"/>
  <c r="H69" i="70" s="1"/>
  <c r="P37" i="70"/>
  <c r="N69" i="70" s="1"/>
  <c r="X61" i="69"/>
  <c r="V95" i="69" s="1"/>
  <c r="D95" i="69"/>
  <c r="X57" i="69"/>
  <c r="V91" i="69" s="1"/>
  <c r="D91" i="69"/>
  <c r="D75" i="69"/>
  <c r="X43" i="69"/>
  <c r="V75" i="69" s="1"/>
  <c r="C124" i="72"/>
  <c r="C73" i="76"/>
  <c r="C104" i="76"/>
  <c r="C42" i="76"/>
  <c r="J118" i="72"/>
  <c r="F109" i="75" s="1"/>
  <c r="J117" i="72"/>
  <c r="F108" i="75" s="1"/>
  <c r="D89" i="69"/>
  <c r="X39" i="69"/>
  <c r="D71" i="69"/>
  <c r="J129" i="71"/>
  <c r="C28" i="76" s="1"/>
  <c r="J114" i="71"/>
  <c r="C19" i="76" s="1"/>
  <c r="D94" i="69"/>
  <c r="B91" i="69"/>
  <c r="B82" i="69"/>
  <c r="B73" i="69"/>
  <c r="H64" i="69"/>
  <c r="F98" i="69" s="1"/>
  <c r="P63" i="69"/>
  <c r="N97" i="69" s="1"/>
  <c r="H62" i="69"/>
  <c r="F96" i="69" s="1"/>
  <c r="P61" i="69"/>
  <c r="N95" i="69" s="1"/>
  <c r="H60" i="69"/>
  <c r="F94" i="69" s="1"/>
  <c r="P59" i="69"/>
  <c r="N93" i="69" s="1"/>
  <c r="H58" i="69"/>
  <c r="F92" i="69" s="1"/>
  <c r="P57" i="69"/>
  <c r="N91" i="69" s="1"/>
  <c r="X55" i="69"/>
  <c r="V87" i="69" s="1"/>
  <c r="H55" i="69"/>
  <c r="F87" i="69" s="1"/>
  <c r="P54" i="69"/>
  <c r="N86" i="69" s="1"/>
  <c r="X53" i="69"/>
  <c r="V85" i="69" s="1"/>
  <c r="H53" i="69"/>
  <c r="F85" i="69" s="1"/>
  <c r="P52" i="69"/>
  <c r="N84" i="69" s="1"/>
  <c r="X51" i="69"/>
  <c r="V83" i="69" s="1"/>
  <c r="H51" i="69"/>
  <c r="F83" i="69" s="1"/>
  <c r="P50" i="69"/>
  <c r="N82" i="69" s="1"/>
  <c r="X49" i="69"/>
  <c r="V81" i="69" s="1"/>
  <c r="H49" i="69"/>
  <c r="F81" i="69" s="1"/>
  <c r="P48" i="69"/>
  <c r="N80" i="69" s="1"/>
  <c r="X47" i="69"/>
  <c r="V79" i="69" s="1"/>
  <c r="H47" i="69"/>
  <c r="F79" i="69" s="1"/>
  <c r="P46" i="69"/>
  <c r="N78" i="69" s="1"/>
  <c r="X45" i="69"/>
  <c r="V77" i="69" s="1"/>
  <c r="H45" i="69"/>
  <c r="F77" i="69" s="1"/>
  <c r="P43" i="69"/>
  <c r="N75" i="69" s="1"/>
  <c r="H42" i="69"/>
  <c r="F74" i="69" s="1"/>
  <c r="P41" i="69"/>
  <c r="N73" i="69" s="1"/>
  <c r="H40" i="69"/>
  <c r="F72" i="69" s="1"/>
  <c r="P39" i="69"/>
  <c r="N71" i="69" s="1"/>
  <c r="H38" i="69"/>
  <c r="F70" i="69" s="1"/>
  <c r="N63" i="69"/>
  <c r="L97" i="69" s="1"/>
  <c r="N61" i="69"/>
  <c r="L95" i="69" s="1"/>
  <c r="N59" i="69"/>
  <c r="L93" i="69" s="1"/>
  <c r="N57" i="69"/>
  <c r="L91" i="69" s="1"/>
  <c r="N54" i="69"/>
  <c r="L86" i="69" s="1"/>
  <c r="N52" i="69"/>
  <c r="L84" i="69" s="1"/>
  <c r="N50" i="69"/>
  <c r="L82" i="69" s="1"/>
  <c r="N48" i="69"/>
  <c r="L80" i="69" s="1"/>
  <c r="N46" i="69"/>
  <c r="L78" i="69" s="1"/>
  <c r="L88" i="69" s="1"/>
  <c r="N43" i="69"/>
  <c r="L75" i="69" s="1"/>
  <c r="N41" i="69"/>
  <c r="L73" i="69" s="1"/>
  <c r="N39" i="69"/>
  <c r="L71" i="69" s="1"/>
  <c r="L63" i="69"/>
  <c r="J97" i="69" s="1"/>
  <c r="L61" i="69"/>
  <c r="J95" i="69" s="1"/>
  <c r="L59" i="69"/>
  <c r="J93" i="69" s="1"/>
  <c r="L57" i="69"/>
  <c r="J91" i="69" s="1"/>
  <c r="L54" i="69"/>
  <c r="J86" i="69" s="1"/>
  <c r="L52" i="69"/>
  <c r="J84" i="69" s="1"/>
  <c r="L50" i="69"/>
  <c r="J82" i="69" s="1"/>
  <c r="L48" i="69"/>
  <c r="J80" i="69" s="1"/>
  <c r="L46" i="69"/>
  <c r="J78" i="69" s="1"/>
  <c r="J88" i="69" s="1"/>
  <c r="L43" i="69"/>
  <c r="J75" i="69" s="1"/>
  <c r="L41" i="69"/>
  <c r="J73" i="69" s="1"/>
  <c r="L39" i="69"/>
  <c r="J71" i="69" s="1"/>
  <c r="B92" i="69"/>
  <c r="B83" i="69"/>
  <c r="B74" i="69"/>
  <c r="R64" i="69"/>
  <c r="P98" i="69" s="1"/>
  <c r="J63" i="69"/>
  <c r="H97" i="69" s="1"/>
  <c r="R62" i="69"/>
  <c r="P96" i="69" s="1"/>
  <c r="J61" i="69"/>
  <c r="H95" i="69" s="1"/>
  <c r="R60" i="69"/>
  <c r="P94" i="69" s="1"/>
  <c r="J59" i="69"/>
  <c r="H93" i="69" s="1"/>
  <c r="R58" i="69"/>
  <c r="P92" i="69" s="1"/>
  <c r="J57" i="69"/>
  <c r="H91" i="69" s="1"/>
  <c r="R55" i="69"/>
  <c r="P87" i="69" s="1"/>
  <c r="P88" i="69" s="1"/>
  <c r="J54" i="69"/>
  <c r="H86" i="69" s="1"/>
  <c r="R53" i="69"/>
  <c r="P85" i="69" s="1"/>
  <c r="J52" i="69"/>
  <c r="H84" i="69" s="1"/>
  <c r="R51" i="69"/>
  <c r="P83" i="69" s="1"/>
  <c r="J50" i="69"/>
  <c r="H82" i="69" s="1"/>
  <c r="R49" i="69"/>
  <c r="P81" i="69" s="1"/>
  <c r="J48" i="69"/>
  <c r="H80" i="69" s="1"/>
  <c r="R47" i="69"/>
  <c r="P79" i="69" s="1"/>
  <c r="J46" i="69"/>
  <c r="H78" i="69" s="1"/>
  <c r="H88" i="69" s="1"/>
  <c r="R45" i="69"/>
  <c r="P77" i="69" s="1"/>
  <c r="J43" i="69"/>
  <c r="H75" i="69" s="1"/>
  <c r="R42" i="69"/>
  <c r="P74" i="69" s="1"/>
  <c r="J41" i="69"/>
  <c r="H73" i="69" s="1"/>
  <c r="R40" i="69"/>
  <c r="P72" i="69" s="1"/>
  <c r="J39" i="69"/>
  <c r="H71" i="69" s="1"/>
  <c r="R38" i="69"/>
  <c r="P70" i="69" s="1"/>
  <c r="J122" i="71"/>
  <c r="C16" i="76" s="1"/>
  <c r="H63" i="69"/>
  <c r="F97" i="69" s="1"/>
  <c r="H61" i="69"/>
  <c r="F95" i="69" s="1"/>
  <c r="P60" i="69"/>
  <c r="N94" i="69" s="1"/>
  <c r="H59" i="69"/>
  <c r="F93" i="69" s="1"/>
  <c r="P58" i="69"/>
  <c r="N92" i="69" s="1"/>
  <c r="H57" i="69"/>
  <c r="F91" i="69" s="1"/>
  <c r="P55" i="69"/>
  <c r="N87" i="69" s="1"/>
  <c r="X54" i="69"/>
  <c r="V86" i="69" s="1"/>
  <c r="H54" i="69"/>
  <c r="F86" i="69" s="1"/>
  <c r="P53" i="69"/>
  <c r="N85" i="69" s="1"/>
  <c r="X52" i="69"/>
  <c r="V84" i="69" s="1"/>
  <c r="H52" i="69"/>
  <c r="F84" i="69" s="1"/>
  <c r="P51" i="69"/>
  <c r="N83" i="69" s="1"/>
  <c r="X50" i="69"/>
  <c r="V82" i="69" s="1"/>
  <c r="H50" i="69"/>
  <c r="F82" i="69" s="1"/>
  <c r="P49" i="69"/>
  <c r="N81" i="69" s="1"/>
  <c r="X48" i="69"/>
  <c r="V80" i="69" s="1"/>
  <c r="H48" i="69"/>
  <c r="F80" i="69" s="1"/>
  <c r="P47" i="69"/>
  <c r="N79" i="69" s="1"/>
  <c r="X46" i="69"/>
  <c r="V78" i="69" s="1"/>
  <c r="H46" i="69"/>
  <c r="F78" i="69" s="1"/>
  <c r="P45" i="69"/>
  <c r="N77" i="69" s="1"/>
  <c r="H43" i="69"/>
  <c r="F75" i="69" s="1"/>
  <c r="P42" i="69"/>
  <c r="N74" i="69" s="1"/>
  <c r="H41" i="69"/>
  <c r="F73" i="69" s="1"/>
  <c r="P40" i="69"/>
  <c r="N72" i="69" s="1"/>
  <c r="H39" i="69"/>
  <c r="F71" i="69" s="1"/>
  <c r="P38" i="69"/>
  <c r="N70" i="69" s="1"/>
  <c r="J123" i="71"/>
  <c r="C13" i="76" s="1"/>
  <c r="H124" i="71"/>
  <c r="D125" i="71"/>
  <c r="J118" i="71"/>
  <c r="C23" i="76" s="1"/>
  <c r="J107" i="71"/>
  <c r="J106" i="71"/>
  <c r="C7" i="76" s="1"/>
  <c r="P77" i="71"/>
  <c r="I109" i="71" s="1"/>
  <c r="AM564" i="78"/>
  <c r="D81" i="31"/>
  <c r="E81" i="31" s="1"/>
  <c r="BD23" i="13" s="1"/>
  <c r="B91" i="31"/>
  <c r="I124" i="71"/>
  <c r="I125" i="71" s="1"/>
  <c r="J119" i="71"/>
  <c r="C24" i="76" s="1"/>
  <c r="J111" i="71"/>
  <c r="C12" i="76" s="1"/>
  <c r="J127" i="71"/>
  <c r="C26" i="76" s="1"/>
  <c r="J117" i="71"/>
  <c r="C22" i="76" s="1"/>
  <c r="I192" i="61"/>
  <c r="L144" i="22"/>
  <c r="F137" i="79"/>
  <c r="J120" i="71"/>
  <c r="C25" i="76" s="1"/>
  <c r="C125" i="71"/>
  <c r="B126" i="62"/>
  <c r="U121" i="62"/>
  <c r="J133" i="71"/>
  <c r="C32" i="76" s="1"/>
  <c r="J132" i="71"/>
  <c r="C31" i="76" s="1"/>
  <c r="J116" i="71"/>
  <c r="C21" i="76" s="1"/>
  <c r="J115" i="71"/>
  <c r="C20" i="76" s="1"/>
  <c r="B124" i="71"/>
  <c r="J108" i="71"/>
  <c r="C9" i="76" s="1"/>
  <c r="N135" i="62"/>
  <c r="E118" i="55" s="1"/>
  <c r="C118" i="55"/>
  <c r="R135" i="62"/>
  <c r="S135" i="62"/>
  <c r="I118" i="55" s="1"/>
  <c r="T135" i="62"/>
  <c r="J128" i="71"/>
  <c r="C27" i="76" s="1"/>
  <c r="E125" i="71"/>
  <c r="J134" i="71"/>
  <c r="C33" i="76" s="1"/>
  <c r="H87" i="31"/>
  <c r="BC29" i="13" s="1"/>
  <c r="C166" i="57" s="1"/>
  <c r="E74" i="31"/>
  <c r="D76" i="31"/>
  <c r="I77" i="40"/>
  <c r="J77" i="40" s="1"/>
  <c r="AJ22" i="13" s="1"/>
  <c r="F88" i="40"/>
  <c r="F89" i="40" s="1"/>
  <c r="N121" i="62"/>
  <c r="E104" i="55" s="1"/>
  <c r="H73" i="31"/>
  <c r="BC15" i="13" s="1"/>
  <c r="E88" i="40"/>
  <c r="I87" i="40"/>
  <c r="J87" i="40" s="1"/>
  <c r="AJ32" i="13" s="1"/>
  <c r="D83" i="31"/>
  <c r="E83" i="31" s="1"/>
  <c r="BD25" i="13" s="1"/>
  <c r="L187" i="61"/>
  <c r="N125" i="62"/>
  <c r="E107" i="55"/>
  <c r="H85" i="31"/>
  <c r="BC27" i="13" s="1"/>
  <c r="C164" i="57" s="1"/>
  <c r="G97" i="31"/>
  <c r="H97" i="31" s="1"/>
  <c r="BC39" i="13" s="1"/>
  <c r="G95" i="31"/>
  <c r="G88" i="31"/>
  <c r="K113" i="55"/>
  <c r="B107" i="55"/>
  <c r="K116" i="55"/>
  <c r="S133" i="62"/>
  <c r="I116" i="55" s="1"/>
  <c r="F115" i="55"/>
  <c r="H83" i="31"/>
  <c r="BC25" i="13" s="1"/>
  <c r="C162" i="57" s="1"/>
  <c r="H45" i="31"/>
  <c r="G76" i="31" s="1"/>
  <c r="G75" i="31"/>
  <c r="G73" i="31"/>
  <c r="J73" i="40"/>
  <c r="AJ16" i="13"/>
  <c r="AJ18" i="13" s="1"/>
  <c r="H117" i="55"/>
  <c r="E168" i="61"/>
  <c r="AR557" i="78"/>
  <c r="F117" i="55"/>
  <c r="F97" i="55"/>
  <c r="K131" i="62"/>
  <c r="W131" i="62" s="1"/>
  <c r="Q174" i="57" s="1"/>
  <c r="M125" i="62"/>
  <c r="M126" i="62" s="1"/>
  <c r="K107" i="62"/>
  <c r="J131" i="62"/>
  <c r="O577" i="78"/>
  <c r="H81" i="5"/>
  <c r="N36" i="13" s="1"/>
  <c r="J120" i="62"/>
  <c r="K95" i="55"/>
  <c r="B117" i="55"/>
  <c r="E190" i="61"/>
  <c r="AR581" i="78"/>
  <c r="P84" i="60"/>
  <c r="F84" i="60"/>
  <c r="AP84" i="60"/>
  <c r="AH84" i="60"/>
  <c r="Z84" i="60"/>
  <c r="AL84" i="60"/>
  <c r="K84" i="60"/>
  <c r="U84" i="60"/>
  <c r="Z82" i="60"/>
  <c r="AL82" i="60"/>
  <c r="P82" i="60"/>
  <c r="F82" i="60"/>
  <c r="AP82" i="60"/>
  <c r="AH82" i="60"/>
  <c r="U82" i="60"/>
  <c r="K82" i="60"/>
  <c r="AL78" i="60"/>
  <c r="P78" i="60"/>
  <c r="F78" i="60"/>
  <c r="AP78" i="60"/>
  <c r="U78" i="60"/>
  <c r="AH78" i="60"/>
  <c r="Z78" i="60"/>
  <c r="K78" i="60"/>
  <c r="J122" i="62"/>
  <c r="K122" i="62"/>
  <c r="F75" i="60"/>
  <c r="AP75" i="60"/>
  <c r="U75" i="60"/>
  <c r="AH75" i="60"/>
  <c r="K75" i="60"/>
  <c r="Z75" i="60"/>
  <c r="P75" i="60"/>
  <c r="AL75" i="60"/>
  <c r="AL73" i="60"/>
  <c r="P73" i="60"/>
  <c r="F73" i="60"/>
  <c r="AP73" i="60"/>
  <c r="U73" i="60"/>
  <c r="AH73" i="60"/>
  <c r="Z73" i="60"/>
  <c r="K73" i="60"/>
  <c r="B100" i="55"/>
  <c r="P70" i="60"/>
  <c r="F70" i="60"/>
  <c r="AP70" i="60"/>
  <c r="U70" i="60"/>
  <c r="AH70" i="60"/>
  <c r="K70" i="60"/>
  <c r="AL70" i="60"/>
  <c r="Z70" i="60"/>
  <c r="J114" i="62"/>
  <c r="K114" i="62" s="1"/>
  <c r="G58" i="22"/>
  <c r="M56" i="54"/>
  <c r="AM572" i="78"/>
  <c r="D89" i="31"/>
  <c r="E89" i="31" s="1"/>
  <c r="BD31" i="13" s="1"/>
  <c r="H80" i="31"/>
  <c r="BC22" i="13" s="1"/>
  <c r="C159" i="57" s="1"/>
  <c r="BO22" i="13" s="1"/>
  <c r="G101" i="31"/>
  <c r="G99" i="31"/>
  <c r="H99" i="31" s="1"/>
  <c r="BC41" i="13" s="1"/>
  <c r="G90" i="31"/>
  <c r="G91" i="31" s="1"/>
  <c r="G84" i="31"/>
  <c r="G82" i="31"/>
  <c r="H82" i="31" s="1"/>
  <c r="BC24" i="13" s="1"/>
  <c r="C161" i="57" s="1"/>
  <c r="BO24" i="13" s="1"/>
  <c r="E177" i="61"/>
  <c r="AR566" i="78"/>
  <c r="I168" i="61"/>
  <c r="L120" i="22"/>
  <c r="F113" i="79"/>
  <c r="F113" i="55"/>
  <c r="E126" i="62"/>
  <c r="B101" i="55"/>
  <c r="K117" i="62"/>
  <c r="R112" i="62"/>
  <c r="T112" i="62" s="1"/>
  <c r="W112" i="62" s="1"/>
  <c r="Q157" i="57" s="1"/>
  <c r="B92" i="55"/>
  <c r="K109" i="62"/>
  <c r="B78" i="5"/>
  <c r="AM584" i="78"/>
  <c r="D101" i="31"/>
  <c r="E101" i="31" s="1"/>
  <c r="BD43" i="13" s="1"/>
  <c r="H94" i="31"/>
  <c r="BC36" i="13" s="1"/>
  <c r="C171" i="57" s="1"/>
  <c r="AM558" i="78"/>
  <c r="D75" i="31"/>
  <c r="E75" i="31" s="1"/>
  <c r="BD17" i="13" s="1"/>
  <c r="H101" i="31"/>
  <c r="BC43" i="13" s="1"/>
  <c r="C178" i="57" s="1"/>
  <c r="H95" i="31"/>
  <c r="BC37" i="13" s="1"/>
  <c r="C172" i="57" s="1"/>
  <c r="F91" i="31"/>
  <c r="F92" i="31" s="1"/>
  <c r="H86" i="31"/>
  <c r="BC28" i="13" s="1"/>
  <c r="C165" i="57" s="1"/>
  <c r="H84" i="31"/>
  <c r="BC26" i="13" s="1"/>
  <c r="C163" i="57" s="1"/>
  <c r="BO26" i="13" s="1"/>
  <c r="H77" i="31"/>
  <c r="BC19" i="13" s="1"/>
  <c r="B88" i="40"/>
  <c r="I73" i="40"/>
  <c r="F98" i="55"/>
  <c r="R134" i="62"/>
  <c r="S134" i="62" s="1"/>
  <c r="B99" i="55"/>
  <c r="H95" i="55"/>
  <c r="O584" i="78"/>
  <c r="H88" i="5"/>
  <c r="N43" i="13" s="1"/>
  <c r="H90" i="31"/>
  <c r="H88" i="31"/>
  <c r="BC30" i="13" s="1"/>
  <c r="C167" i="57" s="1"/>
  <c r="H74" i="31"/>
  <c r="BC16" i="13" s="1"/>
  <c r="I82" i="40"/>
  <c r="J82" i="40" s="1"/>
  <c r="AJ27" i="13" s="1"/>
  <c r="F101" i="55"/>
  <c r="R130" i="62"/>
  <c r="T130" i="62" s="1"/>
  <c r="K124" i="62"/>
  <c r="R123" i="62"/>
  <c r="N118" i="62"/>
  <c r="C101" i="55"/>
  <c r="R118" i="62"/>
  <c r="S118" i="62" s="1"/>
  <c r="I101" i="55" s="1"/>
  <c r="J101" i="55" s="1"/>
  <c r="H126" i="62"/>
  <c r="C92" i="55"/>
  <c r="B90" i="55"/>
  <c r="E193" i="61"/>
  <c r="AR584" i="78"/>
  <c r="N114" i="62"/>
  <c r="E97" i="55" s="1"/>
  <c r="H97" i="55" s="1"/>
  <c r="C97" i="55"/>
  <c r="T111" i="62"/>
  <c r="K94" i="55"/>
  <c r="D100" i="31"/>
  <c r="E100" i="31" s="1"/>
  <c r="BD42" i="13" s="1"/>
  <c r="AM581" i="78"/>
  <c r="D98" i="31"/>
  <c r="E98" i="31" s="1"/>
  <c r="BD40" i="13" s="1"/>
  <c r="D90" i="31"/>
  <c r="E90" i="31" s="1"/>
  <c r="BD32" i="13" s="1"/>
  <c r="C91" i="31"/>
  <c r="C92" i="31" s="1"/>
  <c r="I177" i="61"/>
  <c r="L129" i="22"/>
  <c r="F121" i="79"/>
  <c r="F106" i="55"/>
  <c r="N130" i="62"/>
  <c r="E113" i="55" s="1"/>
  <c r="K129" i="62"/>
  <c r="W129" i="62" s="1"/>
  <c r="Q172" i="57" s="1"/>
  <c r="J115" i="62"/>
  <c r="K115" i="62" s="1"/>
  <c r="AM567" i="78"/>
  <c r="D84" i="31"/>
  <c r="E84" i="31" s="1"/>
  <c r="BD26" i="13" s="1"/>
  <c r="AM557" i="78"/>
  <c r="B76" i="31"/>
  <c r="AM559" i="78" s="1"/>
  <c r="E192" i="61"/>
  <c r="AR583" i="78"/>
  <c r="F112" i="55"/>
  <c r="H112" i="55" s="1"/>
  <c r="F104" i="55"/>
  <c r="J135" i="62"/>
  <c r="K134" i="62"/>
  <c r="B116" i="55"/>
  <c r="J132" i="62"/>
  <c r="K132" i="62" s="1"/>
  <c r="W132" i="62" s="1"/>
  <c r="Q175" i="57" s="1"/>
  <c r="J119" i="62"/>
  <c r="K116" i="62"/>
  <c r="E187" i="61"/>
  <c r="AR578" i="78"/>
  <c r="R129" i="62"/>
  <c r="S129" i="62"/>
  <c r="I112" i="55" s="1"/>
  <c r="J112" i="55" s="1"/>
  <c r="T129" i="62"/>
  <c r="C112" i="55"/>
  <c r="K106" i="55"/>
  <c r="U126" i="62"/>
  <c r="K109" i="55" s="1"/>
  <c r="AR575" i="78" s="1"/>
  <c r="J121" i="62"/>
  <c r="R120" i="62"/>
  <c r="S120" i="62"/>
  <c r="I103" i="55" s="1"/>
  <c r="T120" i="62"/>
  <c r="C103" i="55"/>
  <c r="F73" i="40"/>
  <c r="E180" i="61"/>
  <c r="AR569" i="78"/>
  <c r="I171" i="61"/>
  <c r="L123" i="22"/>
  <c r="F116" i="79"/>
  <c r="N132" i="62"/>
  <c r="E115" i="55" s="1"/>
  <c r="H115" i="55" s="1"/>
  <c r="S131" i="62"/>
  <c r="I114" i="55" s="1"/>
  <c r="N123" i="62"/>
  <c r="E106" i="55" s="1"/>
  <c r="H106" i="55" s="1"/>
  <c r="T119" i="62"/>
  <c r="N115" i="62"/>
  <c r="E98" i="55" s="1"/>
  <c r="G77" i="5"/>
  <c r="D78" i="5"/>
  <c r="H69" i="5"/>
  <c r="N24" i="13" s="1"/>
  <c r="O565" i="78"/>
  <c r="V93" i="62"/>
  <c r="R128" i="62" s="1"/>
  <c r="S128" i="62" s="1"/>
  <c r="I111" i="55" s="1"/>
  <c r="D90" i="62"/>
  <c r="D123" i="62" s="1"/>
  <c r="D126" i="62" s="1"/>
  <c r="J69" i="22"/>
  <c r="V86" i="62"/>
  <c r="R119" i="62" s="1"/>
  <c r="S119" i="62" s="1"/>
  <c r="I102" i="55" s="1"/>
  <c r="Y85" i="62"/>
  <c r="V84" i="62"/>
  <c r="R117" i="62" s="1"/>
  <c r="G61" i="22"/>
  <c r="AL67" i="60"/>
  <c r="P67" i="60"/>
  <c r="F67" i="60"/>
  <c r="AP67" i="60"/>
  <c r="U67" i="60"/>
  <c r="K67" i="60"/>
  <c r="AH67" i="60"/>
  <c r="AB78" i="62"/>
  <c r="I56" i="54"/>
  <c r="D78" i="62"/>
  <c r="D111" i="62" s="1"/>
  <c r="J111" i="62" s="1"/>
  <c r="K56" i="54"/>
  <c r="M75" i="62"/>
  <c r="E189" i="61"/>
  <c r="AR580" i="78"/>
  <c r="I189" i="61"/>
  <c r="L141" i="22"/>
  <c r="F134" i="79"/>
  <c r="E182" i="61"/>
  <c r="AR571" i="78"/>
  <c r="I182" i="61"/>
  <c r="L134" i="22"/>
  <c r="F126" i="79"/>
  <c r="E174" i="61"/>
  <c r="AR563" i="78"/>
  <c r="O567" i="78"/>
  <c r="H71" i="5"/>
  <c r="N26" i="13" s="1"/>
  <c r="G80" i="22"/>
  <c r="AH87" i="60"/>
  <c r="K87" i="60"/>
  <c r="Z87" i="60"/>
  <c r="AL87" i="60"/>
  <c r="P87" i="60"/>
  <c r="F87" i="60"/>
  <c r="AP87" i="60"/>
  <c r="U87" i="60"/>
  <c r="G79" i="22"/>
  <c r="J77" i="22"/>
  <c r="AB91" i="62"/>
  <c r="G70" i="22"/>
  <c r="AB89" i="62"/>
  <c r="M88" i="62"/>
  <c r="S85" i="62"/>
  <c r="K118" i="62" s="1"/>
  <c r="J63" i="22"/>
  <c r="V78" i="62"/>
  <c r="R111" i="62" s="1"/>
  <c r="S111" i="62" s="1"/>
  <c r="I94" i="55" s="1"/>
  <c r="AJ56" i="54"/>
  <c r="AB77" i="62" s="1"/>
  <c r="D78" i="31"/>
  <c r="E78" i="31" s="1"/>
  <c r="BD20" i="13" s="1"/>
  <c r="E186" i="61"/>
  <c r="AR577" i="78"/>
  <c r="I186" i="61"/>
  <c r="L138" i="22"/>
  <c r="F131" i="79"/>
  <c r="E179" i="61"/>
  <c r="AR568" i="78"/>
  <c r="I179" i="61"/>
  <c r="L131" i="22"/>
  <c r="F123" i="79"/>
  <c r="E170" i="61"/>
  <c r="AR559" i="78"/>
  <c r="R133" i="62"/>
  <c r="T133" i="62" s="1"/>
  <c r="W133" i="62" s="1"/>
  <c r="Q176" i="57" s="1"/>
  <c r="R124" i="62"/>
  <c r="T124" i="62" s="1"/>
  <c r="R107" i="62"/>
  <c r="S107" i="62" s="1"/>
  <c r="O570" i="78"/>
  <c r="H74" i="5"/>
  <c r="N29" i="13" s="1"/>
  <c r="H86" i="5"/>
  <c r="N41" i="13" s="1"/>
  <c r="O582" i="78"/>
  <c r="F32" i="5"/>
  <c r="D62" i="5"/>
  <c r="G62" i="5" s="1"/>
  <c r="D95" i="62"/>
  <c r="D130" i="62" s="1"/>
  <c r="J130" i="62" s="1"/>
  <c r="F81" i="60"/>
  <c r="AP81" i="60"/>
  <c r="U81" i="60"/>
  <c r="K81" i="60"/>
  <c r="AL81" i="60"/>
  <c r="Z81" i="60"/>
  <c r="AH81" i="60"/>
  <c r="P81" i="60"/>
  <c r="G73" i="22"/>
  <c r="V88" i="62"/>
  <c r="R121" i="62" s="1"/>
  <c r="S121" i="62" s="1"/>
  <c r="I104" i="55" s="1"/>
  <c r="J104" i="55" s="1"/>
  <c r="P88" i="62"/>
  <c r="S87" i="62"/>
  <c r="F72" i="60"/>
  <c r="AP72" i="60"/>
  <c r="U72" i="60"/>
  <c r="AH72" i="60"/>
  <c r="K72" i="60"/>
  <c r="Z72" i="60"/>
  <c r="AL72" i="60"/>
  <c r="P72" i="60"/>
  <c r="G62" i="22"/>
  <c r="AB81" i="62"/>
  <c r="F66" i="60"/>
  <c r="AP66" i="60"/>
  <c r="U66" i="60"/>
  <c r="AH66" i="60"/>
  <c r="K66" i="60"/>
  <c r="P66" i="60"/>
  <c r="AL66" i="60"/>
  <c r="U56" i="54"/>
  <c r="AG56" i="54"/>
  <c r="V76" i="62"/>
  <c r="R109" i="62" s="1"/>
  <c r="Q56" i="54"/>
  <c r="D97" i="31"/>
  <c r="E97" i="31" s="1"/>
  <c r="BD39" i="13" s="1"/>
  <c r="D88" i="31"/>
  <c r="E88" i="31" s="1"/>
  <c r="BD30" i="13" s="1"/>
  <c r="D80" i="31"/>
  <c r="E80" i="31" s="1"/>
  <c r="BD22" i="13" s="1"/>
  <c r="I191" i="61"/>
  <c r="L143" i="22"/>
  <c r="F136" i="79"/>
  <c r="E184" i="61"/>
  <c r="AR573" i="78"/>
  <c r="I184" i="61"/>
  <c r="L136" i="22"/>
  <c r="F128" i="79"/>
  <c r="E176" i="61"/>
  <c r="AR565" i="78"/>
  <c r="I176" i="61"/>
  <c r="L128" i="22"/>
  <c r="F120" i="79"/>
  <c r="E167" i="61"/>
  <c r="AR556" i="78"/>
  <c r="I167" i="61"/>
  <c r="L119" i="22"/>
  <c r="F112" i="79"/>
  <c r="T132" i="62"/>
  <c r="L125" i="62"/>
  <c r="T123" i="62"/>
  <c r="O583" i="78"/>
  <c r="H87" i="5"/>
  <c r="N42" i="13" s="1"/>
  <c r="O579" i="78"/>
  <c r="H83" i="5"/>
  <c r="N38" i="13" s="1"/>
  <c r="O561" i="78"/>
  <c r="H65" i="5"/>
  <c r="N20" i="13" s="1"/>
  <c r="D63" i="5"/>
  <c r="G74" i="22"/>
  <c r="V91" i="62"/>
  <c r="V90" i="62"/>
  <c r="V89" i="62"/>
  <c r="R122" i="62" s="1"/>
  <c r="T122" i="62" s="1"/>
  <c r="U77" i="60"/>
  <c r="AP77" i="60"/>
  <c r="K77" i="60"/>
  <c r="AH77" i="60"/>
  <c r="Z77" i="60"/>
  <c r="P77" i="60"/>
  <c r="AL77" i="60"/>
  <c r="F77" i="60"/>
  <c r="AH74" i="60"/>
  <c r="K74" i="60"/>
  <c r="Z74" i="60"/>
  <c r="AL74" i="60"/>
  <c r="P74" i="60"/>
  <c r="U74" i="60"/>
  <c r="AP74" i="60"/>
  <c r="F74" i="60"/>
  <c r="G64" i="22"/>
  <c r="V82" i="62"/>
  <c r="R115" i="62" s="1"/>
  <c r="P77" i="62"/>
  <c r="D56" i="54"/>
  <c r="P76" i="62"/>
  <c r="N109" i="62" s="1"/>
  <c r="X56" i="54"/>
  <c r="F110" i="62" s="1"/>
  <c r="J55" i="22"/>
  <c r="R56" i="54"/>
  <c r="J57" i="22" s="1"/>
  <c r="I188" i="61"/>
  <c r="L140" i="22"/>
  <c r="F133" i="79"/>
  <c r="I181" i="61"/>
  <c r="L133" i="22"/>
  <c r="F125" i="79"/>
  <c r="I172" i="61"/>
  <c r="L124" i="22"/>
  <c r="F117" i="79"/>
  <c r="S132" i="62"/>
  <c r="I115" i="55" s="1"/>
  <c r="J115" i="55" s="1"/>
  <c r="S123" i="62"/>
  <c r="I106" i="55" s="1"/>
  <c r="J106" i="55" s="1"/>
  <c r="O569" i="78"/>
  <c r="H73" i="5"/>
  <c r="N28" i="13" s="1"/>
  <c r="O566" i="78"/>
  <c r="H70" i="5"/>
  <c r="N25" i="13" s="1"/>
  <c r="J79" i="22"/>
  <c r="K79" i="60"/>
  <c r="AH79" i="60"/>
  <c r="Z79" i="60"/>
  <c r="P79" i="60"/>
  <c r="AL79" i="60"/>
  <c r="U79" i="60"/>
  <c r="AP79" i="60"/>
  <c r="F79" i="60"/>
  <c r="G67" i="22"/>
  <c r="V81" i="62"/>
  <c r="R114" i="62" s="1"/>
  <c r="T114" i="62" s="1"/>
  <c r="U69" i="60"/>
  <c r="AH69" i="60"/>
  <c r="K69" i="60"/>
  <c r="Z69" i="60"/>
  <c r="AL69" i="60"/>
  <c r="P69" i="60"/>
  <c r="F69" i="60"/>
  <c r="AP69" i="60"/>
  <c r="F75" i="31"/>
  <c r="E178" i="61"/>
  <c r="AR567" i="78"/>
  <c r="E169" i="61"/>
  <c r="AR558" i="78"/>
  <c r="O578" i="78"/>
  <c r="H82" i="5"/>
  <c r="N37" i="13" s="1"/>
  <c r="O572" i="78"/>
  <c r="H76" i="5"/>
  <c r="N31" i="13" s="1"/>
  <c r="O560" i="78"/>
  <c r="H64" i="5"/>
  <c r="N19" i="13" s="1"/>
  <c r="B63" i="5"/>
  <c r="F88" i="60"/>
  <c r="AP88" i="60"/>
  <c r="U88" i="60"/>
  <c r="AH88" i="60"/>
  <c r="K88" i="60"/>
  <c r="Z88" i="60"/>
  <c r="AL88" i="60"/>
  <c r="P88" i="60"/>
  <c r="J76" i="22"/>
  <c r="G76" i="22"/>
  <c r="U83" i="60"/>
  <c r="AH83" i="60"/>
  <c r="K83" i="60"/>
  <c r="AL83" i="60"/>
  <c r="F83" i="60"/>
  <c r="AP83" i="60"/>
  <c r="P83" i="60"/>
  <c r="Z83" i="60"/>
  <c r="G75" i="22"/>
  <c r="J73" i="22"/>
  <c r="M93" i="62"/>
  <c r="J128" i="62" s="1"/>
  <c r="Z76" i="60"/>
  <c r="AL76" i="60"/>
  <c r="P76" i="60"/>
  <c r="F76" i="60"/>
  <c r="AP76" i="60"/>
  <c r="U76" i="60"/>
  <c r="K76" i="60"/>
  <c r="AH76" i="60"/>
  <c r="J64" i="22"/>
  <c r="V83" i="62"/>
  <c r="R116" i="62" s="1"/>
  <c r="K71" i="60"/>
  <c r="Z71" i="60"/>
  <c r="AL71" i="60"/>
  <c r="P71" i="60"/>
  <c r="F71" i="60"/>
  <c r="AP71" i="60"/>
  <c r="AH71" i="60"/>
  <c r="U71" i="60"/>
  <c r="V79" i="62"/>
  <c r="AB56" i="54"/>
  <c r="G56" i="54"/>
  <c r="J77" i="62" s="1"/>
  <c r="E110" i="62" s="1"/>
  <c r="J75" i="62"/>
  <c r="E108" i="62" s="1"/>
  <c r="J108" i="62" s="1"/>
  <c r="I190" i="61"/>
  <c r="L142" i="22"/>
  <c r="F135" i="79"/>
  <c r="I183" i="61"/>
  <c r="L135" i="22"/>
  <c r="F127" i="79"/>
  <c r="E175" i="61"/>
  <c r="AR564" i="78"/>
  <c r="I175" i="61"/>
  <c r="L127" i="22"/>
  <c r="F119" i="79"/>
  <c r="O581" i="78"/>
  <c r="H85" i="5"/>
  <c r="N40" i="13" s="1"/>
  <c r="H72" i="5"/>
  <c r="N27" i="13" s="1"/>
  <c r="O564" i="78"/>
  <c r="H68" i="5"/>
  <c r="N23" i="13" s="1"/>
  <c r="O556" i="78"/>
  <c r="H60" i="5"/>
  <c r="N15" i="13" s="1"/>
  <c r="J78" i="22"/>
  <c r="K85" i="60"/>
  <c r="Z85" i="60"/>
  <c r="U85" i="60"/>
  <c r="AH85" i="60"/>
  <c r="F85" i="60"/>
  <c r="AL85" i="60"/>
  <c r="P85" i="60"/>
  <c r="AP85" i="60"/>
  <c r="G77" i="22"/>
  <c r="G59" i="22"/>
  <c r="G61" i="5"/>
  <c r="B32" i="5"/>
  <c r="AL64" i="60"/>
  <c r="P64" i="60"/>
  <c r="F64" i="60"/>
  <c r="Z64" i="60" s="1"/>
  <c r="AP64" i="60"/>
  <c r="U64" i="60"/>
  <c r="AH64" i="60"/>
  <c r="K64" i="60"/>
  <c r="AH56" i="54"/>
  <c r="Y77" i="62" s="1"/>
  <c r="J67" i="22"/>
  <c r="G65" i="22"/>
  <c r="W56" i="54"/>
  <c r="AD65" i="60" s="1"/>
  <c r="H56" i="54"/>
  <c r="H84" i="5"/>
  <c r="N39" i="13" s="1"/>
  <c r="H75" i="5"/>
  <c r="N30" i="13" s="1"/>
  <c r="H67" i="5"/>
  <c r="N22" i="13" s="1"/>
  <c r="L56" i="54"/>
  <c r="D57" i="22" s="1"/>
  <c r="G56" i="22"/>
  <c r="F63" i="60"/>
  <c r="AP63" i="60"/>
  <c r="U63" i="60"/>
  <c r="AH63" i="60"/>
  <c r="K63" i="60"/>
  <c r="AL63" i="60"/>
  <c r="P63" i="60"/>
  <c r="AF56" i="54"/>
  <c r="B56" i="54"/>
  <c r="G77" i="62" s="1"/>
  <c r="L110" i="62" s="1"/>
  <c r="R63" i="10"/>
  <c r="L97" i="10" s="1"/>
  <c r="G68" i="22"/>
  <c r="J62" i="22"/>
  <c r="Z56" i="54"/>
  <c r="S77" i="62" s="1"/>
  <c r="J80" i="22"/>
  <c r="F86" i="60"/>
  <c r="U86" i="60"/>
  <c r="P86" i="60"/>
  <c r="AL86" i="60"/>
  <c r="K86" i="60"/>
  <c r="AP86" i="60"/>
  <c r="AH86" i="60"/>
  <c r="Z86" i="60"/>
  <c r="G78" i="22"/>
  <c r="J71" i="22"/>
  <c r="G69" i="22"/>
  <c r="J58" i="22"/>
  <c r="P56" i="54"/>
  <c r="J56" i="54"/>
  <c r="M77" i="62" s="1"/>
  <c r="F359" i="78"/>
  <c r="F360" i="78" s="1"/>
  <c r="P65" i="10"/>
  <c r="D56" i="7"/>
  <c r="C89" i="7" s="1"/>
  <c r="P61" i="10"/>
  <c r="D39" i="7"/>
  <c r="C70" i="7" s="1"/>
  <c r="K62" i="60"/>
  <c r="AL62" i="60"/>
  <c r="P62" i="60"/>
  <c r="F62" i="60"/>
  <c r="Z62" i="60" s="1"/>
  <c r="AP62" i="60"/>
  <c r="AH62" i="60"/>
  <c r="U62" i="60"/>
  <c r="G54" i="22"/>
  <c r="F97" i="56"/>
  <c r="G97" i="56" s="1"/>
  <c r="CJ23" i="13" s="1"/>
  <c r="D190" i="61"/>
  <c r="H142" i="22"/>
  <c r="B189" i="61"/>
  <c r="C141" i="22"/>
  <c r="H188" i="61"/>
  <c r="D112" i="56"/>
  <c r="E112" i="56" s="1"/>
  <c r="CI38" i="13" s="1"/>
  <c r="G140" i="22"/>
  <c r="D181" i="61"/>
  <c r="H133" i="22"/>
  <c r="B180" i="61"/>
  <c r="C132" i="22"/>
  <c r="H179" i="61"/>
  <c r="G131" i="22"/>
  <c r="D172" i="61"/>
  <c r="H124" i="22"/>
  <c r="B171" i="61"/>
  <c r="C123" i="22"/>
  <c r="H170" i="61"/>
  <c r="G122" i="22"/>
  <c r="R61" i="10"/>
  <c r="L95" i="10" s="1"/>
  <c r="G55" i="22"/>
  <c r="R65" i="10"/>
  <c r="L99" i="10" s="1"/>
  <c r="D58" i="7"/>
  <c r="C91" i="7" s="1"/>
  <c r="P62" i="10"/>
  <c r="R51" i="10"/>
  <c r="L83" i="10" s="1"/>
  <c r="B44" i="10"/>
  <c r="AU561" i="78" s="1"/>
  <c r="F63" i="79" s="1"/>
  <c r="AU557" i="78"/>
  <c r="F59" i="79" s="1"/>
  <c r="B39" i="35"/>
  <c r="B35" i="35"/>
  <c r="G193" i="61"/>
  <c r="E145" i="22"/>
  <c r="G189" i="61"/>
  <c r="E141" i="22"/>
  <c r="G184" i="61"/>
  <c r="E136" i="22"/>
  <c r="G180" i="61"/>
  <c r="E132" i="22"/>
  <c r="G176" i="61"/>
  <c r="E128" i="22"/>
  <c r="G171" i="61"/>
  <c r="E123" i="22"/>
  <c r="G167" i="61"/>
  <c r="E119" i="22"/>
  <c r="H193" i="61"/>
  <c r="D187" i="61"/>
  <c r="H139" i="22"/>
  <c r="H184" i="61"/>
  <c r="D178" i="61"/>
  <c r="H130" i="22"/>
  <c r="H176" i="61"/>
  <c r="D169" i="61"/>
  <c r="H121" i="22"/>
  <c r="B168" i="61"/>
  <c r="C120" i="22"/>
  <c r="H167" i="61"/>
  <c r="G119" i="22"/>
  <c r="I140" i="22"/>
  <c r="O192" i="20" s="1"/>
  <c r="I131" i="22"/>
  <c r="O183" i="20" s="1"/>
  <c r="I122" i="22"/>
  <c r="O174" i="20" s="1"/>
  <c r="B27" i="35"/>
  <c r="B23" i="35"/>
  <c r="B22" i="35"/>
  <c r="T65" i="10"/>
  <c r="M99" i="10" s="1"/>
  <c r="D65" i="10"/>
  <c r="B99" i="10" s="1"/>
  <c r="T63" i="10"/>
  <c r="M97" i="10" s="1"/>
  <c r="D63" i="10"/>
  <c r="B97" i="10" s="1"/>
  <c r="P58" i="10"/>
  <c r="T56" i="10"/>
  <c r="M88" i="10" s="1"/>
  <c r="F51" i="10"/>
  <c r="C83" i="10" s="1"/>
  <c r="V44" i="10"/>
  <c r="N76" i="10" s="1"/>
  <c r="F38" i="39"/>
  <c r="F69" i="39" s="1"/>
  <c r="G69" i="39" s="1"/>
  <c r="BJ28" i="13" s="1"/>
  <c r="D43" i="7"/>
  <c r="C74" i="7" s="1"/>
  <c r="C144" i="22"/>
  <c r="C127" i="22"/>
  <c r="G192" i="61"/>
  <c r="E144" i="22"/>
  <c r="G188" i="61"/>
  <c r="E140" i="22"/>
  <c r="G183" i="61"/>
  <c r="E135" i="22"/>
  <c r="G179" i="61"/>
  <c r="E131" i="22"/>
  <c r="G175" i="61"/>
  <c r="E127" i="22"/>
  <c r="G170" i="61"/>
  <c r="E122" i="22"/>
  <c r="D193" i="61"/>
  <c r="H145" i="22"/>
  <c r="H191" i="61"/>
  <c r="D184" i="61"/>
  <c r="H136" i="22"/>
  <c r="H182" i="61"/>
  <c r="D104" i="56"/>
  <c r="E104" i="56" s="1"/>
  <c r="CI30" i="13" s="1"/>
  <c r="D176" i="61"/>
  <c r="H128" i="22"/>
  <c r="H174" i="61"/>
  <c r="D167" i="61"/>
  <c r="H119" i="22"/>
  <c r="I138" i="22"/>
  <c r="O190" i="20" s="1"/>
  <c r="I129" i="22"/>
  <c r="O181" i="20" s="1"/>
  <c r="I120" i="22"/>
  <c r="O172" i="20" s="1"/>
  <c r="B32" i="35"/>
  <c r="B28" i="35"/>
  <c r="B24" i="35"/>
  <c r="X64" i="10"/>
  <c r="O98" i="10" s="1"/>
  <c r="P63" i="10"/>
  <c r="X62" i="10"/>
  <c r="O96" i="10" s="1"/>
  <c r="X60" i="10"/>
  <c r="O94" i="10" s="1"/>
  <c r="P55" i="10"/>
  <c r="R55" i="10" s="1"/>
  <c r="L87" i="10" s="1"/>
  <c r="B49" i="10"/>
  <c r="AU566" i="78" s="1"/>
  <c r="F67" i="79" s="1"/>
  <c r="F47" i="10"/>
  <c r="C79" i="10" s="1"/>
  <c r="D33" i="39"/>
  <c r="D64" i="39" s="1"/>
  <c r="G136" i="22"/>
  <c r="C131" i="22"/>
  <c r="H91" i="56"/>
  <c r="I91" i="56" s="1"/>
  <c r="CK17" i="13" s="1"/>
  <c r="D188" i="61"/>
  <c r="H140" i="22"/>
  <c r="B187" i="61"/>
  <c r="C139" i="22"/>
  <c r="H186" i="61"/>
  <c r="G138" i="22"/>
  <c r="D179" i="61"/>
  <c r="H131" i="22"/>
  <c r="B178" i="61"/>
  <c r="C130" i="22"/>
  <c r="H177" i="61"/>
  <c r="G129" i="22"/>
  <c r="D170" i="61"/>
  <c r="H122" i="22"/>
  <c r="B169" i="61"/>
  <c r="C121" i="22"/>
  <c r="H168" i="61"/>
  <c r="G120" i="22"/>
  <c r="B33" i="35"/>
  <c r="B40" i="35"/>
  <c r="B36" i="35"/>
  <c r="B17" i="35"/>
  <c r="F58" i="7"/>
  <c r="G91" i="7" s="1"/>
  <c r="B96" i="61"/>
  <c r="E96" i="61"/>
  <c r="K96" i="61"/>
  <c r="B56" i="38"/>
  <c r="B89" i="38" s="1"/>
  <c r="C89" i="38" s="1"/>
  <c r="H96" i="61"/>
  <c r="D56" i="38"/>
  <c r="D89" i="38" s="1"/>
  <c r="E89" i="38" s="1"/>
  <c r="F56" i="38"/>
  <c r="F89" i="38" s="1"/>
  <c r="Q84" i="56"/>
  <c r="L117" i="56" s="1"/>
  <c r="M117" i="56" s="1"/>
  <c r="CL43" i="13" s="1"/>
  <c r="T84" i="56"/>
  <c r="N117" i="56" s="1"/>
  <c r="O117" i="56" s="1"/>
  <c r="W84" i="56"/>
  <c r="P117" i="56" s="1"/>
  <c r="Q117" i="56" s="1"/>
  <c r="B84" i="56"/>
  <c r="B117" i="56" s="1"/>
  <c r="C117" i="56" s="1"/>
  <c r="CG43" i="13" s="1"/>
  <c r="E84" i="56"/>
  <c r="D117" i="56" s="1"/>
  <c r="E117" i="56" s="1"/>
  <c r="CI43" i="13" s="1"/>
  <c r="H84" i="56"/>
  <c r="N84" i="56"/>
  <c r="J117" i="56" s="1"/>
  <c r="K84" i="56"/>
  <c r="B57" i="2"/>
  <c r="B90" i="2" s="1"/>
  <c r="F57" i="2"/>
  <c r="D90" i="2" s="1"/>
  <c r="H57" i="2"/>
  <c r="E90" i="2" s="1"/>
  <c r="E88" i="60"/>
  <c r="Q88" i="60"/>
  <c r="AO88" i="60"/>
  <c r="T88" i="60"/>
  <c r="AE88" i="60"/>
  <c r="G88" i="60"/>
  <c r="AG88" i="60"/>
  <c r="J88" i="60"/>
  <c r="V88" i="60"/>
  <c r="Y88" i="60"/>
  <c r="AI88" i="60"/>
  <c r="L88" i="60"/>
  <c r="F121" i="60" s="1"/>
  <c r="AK88" i="60"/>
  <c r="N88" i="60"/>
  <c r="AA88" i="60"/>
  <c r="B51" i="30"/>
  <c r="B84" i="30" s="1"/>
  <c r="D51" i="30"/>
  <c r="C84" i="30" s="1"/>
  <c r="B88" i="60"/>
  <c r="B121" i="60" s="1"/>
  <c r="F51" i="30"/>
  <c r="D84" i="30" s="1"/>
  <c r="G84" i="30" s="1"/>
  <c r="H84" i="30" s="1"/>
  <c r="AC88" i="60"/>
  <c r="AM88" i="60"/>
  <c r="H58" i="7"/>
  <c r="B51" i="39"/>
  <c r="B84" i="39" s="1"/>
  <c r="C84" i="39" s="1"/>
  <c r="BH43" i="13" s="1"/>
  <c r="D51" i="39"/>
  <c r="D84" i="39" s="1"/>
  <c r="F51" i="39"/>
  <c r="F84" i="39" s="1"/>
  <c r="G84" i="39" s="1"/>
  <c r="BJ43" i="13" s="1"/>
  <c r="B58" i="7"/>
  <c r="B91" i="7" s="1"/>
  <c r="F56" i="7"/>
  <c r="G89" i="7" s="1"/>
  <c r="B94" i="61"/>
  <c r="E94" i="61"/>
  <c r="K94" i="61"/>
  <c r="H94" i="61"/>
  <c r="B54" i="38"/>
  <c r="B87" i="38" s="1"/>
  <c r="C87" i="38" s="1"/>
  <c r="F54" i="38"/>
  <c r="F87" i="38" s="1"/>
  <c r="Q82" i="56"/>
  <c r="L115" i="56" s="1"/>
  <c r="M115" i="56" s="1"/>
  <c r="CL41" i="13" s="1"/>
  <c r="T82" i="56"/>
  <c r="N115" i="56" s="1"/>
  <c r="O115" i="56" s="1"/>
  <c r="W82" i="56"/>
  <c r="P115" i="56" s="1"/>
  <c r="Q115" i="56" s="1"/>
  <c r="B82" i="56"/>
  <c r="B115" i="56" s="1"/>
  <c r="C115" i="56" s="1"/>
  <c r="CG41" i="13" s="1"/>
  <c r="D54" i="38"/>
  <c r="D87" i="38" s="1"/>
  <c r="E87" i="38" s="1"/>
  <c r="E82" i="56"/>
  <c r="D115" i="56" s="1"/>
  <c r="E115" i="56" s="1"/>
  <c r="CI41" i="13" s="1"/>
  <c r="H82" i="56"/>
  <c r="F115" i="56" s="1"/>
  <c r="G115" i="56" s="1"/>
  <c r="CJ41" i="13" s="1"/>
  <c r="N82" i="56"/>
  <c r="J115" i="56" s="1"/>
  <c r="K82" i="56"/>
  <c r="H115" i="56" s="1"/>
  <c r="I115" i="56" s="1"/>
  <c r="CK41" i="13" s="1"/>
  <c r="B55" i="2"/>
  <c r="B88" i="2" s="1"/>
  <c r="G86" i="60"/>
  <c r="F55" i="2"/>
  <c r="D88" i="2" s="1"/>
  <c r="H55" i="2"/>
  <c r="E88" i="2" s="1"/>
  <c r="L86" i="60"/>
  <c r="B86" i="60"/>
  <c r="J86" i="60"/>
  <c r="AA86" i="60"/>
  <c r="AC86" i="60"/>
  <c r="AM86" i="60"/>
  <c r="D49" i="30"/>
  <c r="C82" i="30" s="1"/>
  <c r="N86" i="60"/>
  <c r="AO86" i="60"/>
  <c r="Q86" i="60"/>
  <c r="AE86" i="60"/>
  <c r="T86" i="60"/>
  <c r="AG86" i="60"/>
  <c r="V86" i="60"/>
  <c r="Y86" i="60"/>
  <c r="AI86" i="60"/>
  <c r="E86" i="60"/>
  <c r="B49" i="30"/>
  <c r="B82" i="30" s="1"/>
  <c r="E82" i="30" s="1"/>
  <c r="F82" i="30" s="1"/>
  <c r="BA41" i="13" s="1"/>
  <c r="F49" i="30"/>
  <c r="D82" i="30" s="1"/>
  <c r="G82" i="30" s="1"/>
  <c r="H82" i="30" s="1"/>
  <c r="H56" i="7"/>
  <c r="B49" i="39"/>
  <c r="B82" i="39" s="1"/>
  <c r="C82" i="39" s="1"/>
  <c r="BH41" i="13" s="1"/>
  <c r="D49" i="39"/>
  <c r="D82" i="39" s="1"/>
  <c r="F49" i="39"/>
  <c r="F82" i="39" s="1"/>
  <c r="G82" i="39" s="1"/>
  <c r="BJ41" i="13" s="1"/>
  <c r="B56" i="7"/>
  <c r="B89" i="7" s="1"/>
  <c r="F54" i="7"/>
  <c r="G87" i="7" s="1"/>
  <c r="B92" i="61"/>
  <c r="E92" i="61"/>
  <c r="K92" i="61"/>
  <c r="D52" i="38"/>
  <c r="D85" i="38" s="1"/>
  <c r="E85" i="38" s="1"/>
  <c r="F52" i="38"/>
  <c r="F85" i="38" s="1"/>
  <c r="H92" i="61"/>
  <c r="B52" i="38"/>
  <c r="B85" i="38" s="1"/>
  <c r="C85" i="38" s="1"/>
  <c r="Q80" i="56"/>
  <c r="L113" i="56" s="1"/>
  <c r="M113" i="56" s="1"/>
  <c r="CL39" i="13" s="1"/>
  <c r="T80" i="56"/>
  <c r="N113" i="56" s="1"/>
  <c r="O113" i="56" s="1"/>
  <c r="W80" i="56"/>
  <c r="P113" i="56" s="1"/>
  <c r="Q113" i="56" s="1"/>
  <c r="B80" i="56"/>
  <c r="B113" i="56" s="1"/>
  <c r="C113" i="56" s="1"/>
  <c r="CG39" i="13" s="1"/>
  <c r="E80" i="56"/>
  <c r="H80" i="56"/>
  <c r="N80" i="56"/>
  <c r="K80" i="56"/>
  <c r="B53" i="2"/>
  <c r="B86" i="2" s="1"/>
  <c r="B84" i="60"/>
  <c r="AC84" i="60"/>
  <c r="AM84" i="60"/>
  <c r="E84" i="60"/>
  <c r="Q84" i="60"/>
  <c r="AO84" i="60"/>
  <c r="F53" i="2"/>
  <c r="D86" i="2" s="1"/>
  <c r="T84" i="60"/>
  <c r="AE84" i="60"/>
  <c r="H53" i="2"/>
  <c r="E86" i="2" s="1"/>
  <c r="J84" i="60"/>
  <c r="V84" i="60"/>
  <c r="L84" i="60"/>
  <c r="AK84" i="60"/>
  <c r="AG84" i="60"/>
  <c r="AI84" i="60"/>
  <c r="AY580" i="78" s="1"/>
  <c r="G84" i="60"/>
  <c r="D47" i="30"/>
  <c r="C80" i="30" s="1"/>
  <c r="N84" i="60"/>
  <c r="Y84" i="60"/>
  <c r="B47" i="30"/>
  <c r="B80" i="30" s="1"/>
  <c r="F47" i="30"/>
  <c r="D80" i="30" s="1"/>
  <c r="G80" i="30" s="1"/>
  <c r="H80" i="30" s="1"/>
  <c r="AA84" i="60"/>
  <c r="H54" i="7"/>
  <c r="B47" i="39"/>
  <c r="B80" i="39" s="1"/>
  <c r="C80" i="39" s="1"/>
  <c r="BH39" i="13" s="1"/>
  <c r="B54" i="7"/>
  <c r="B87" i="7" s="1"/>
  <c r="D47" i="39"/>
  <c r="D80" i="39" s="1"/>
  <c r="F52" i="7"/>
  <c r="G85" i="7" s="1"/>
  <c r="B90" i="61"/>
  <c r="E90" i="61"/>
  <c r="K90" i="61"/>
  <c r="H90" i="61"/>
  <c r="B50" i="38"/>
  <c r="B83" i="38" s="1"/>
  <c r="C83" i="38" s="1"/>
  <c r="D50" i="38"/>
  <c r="D83" i="38" s="1"/>
  <c r="E83" i="38" s="1"/>
  <c r="F50" i="38"/>
  <c r="F83" i="38" s="1"/>
  <c r="Q78" i="56"/>
  <c r="L111" i="56" s="1"/>
  <c r="M111" i="56" s="1"/>
  <c r="CL37" i="13" s="1"/>
  <c r="T78" i="56"/>
  <c r="N111" i="56" s="1"/>
  <c r="O111" i="56" s="1"/>
  <c r="W78" i="56"/>
  <c r="P111" i="56" s="1"/>
  <c r="Q111" i="56" s="1"/>
  <c r="B78" i="56"/>
  <c r="B111" i="56" s="1"/>
  <c r="C111" i="56" s="1"/>
  <c r="CG37" i="13" s="1"/>
  <c r="E78" i="56"/>
  <c r="H78" i="56"/>
  <c r="F111" i="56" s="1"/>
  <c r="G111" i="56" s="1"/>
  <c r="CJ37" i="13" s="1"/>
  <c r="N78" i="56"/>
  <c r="K78" i="56"/>
  <c r="H111" i="56" s="1"/>
  <c r="I111" i="56" s="1"/>
  <c r="CK37" i="13" s="1"/>
  <c r="B51" i="2"/>
  <c r="B84" i="2" s="1"/>
  <c r="L82" i="60"/>
  <c r="AK82" i="60"/>
  <c r="N82" i="60"/>
  <c r="AA82" i="60"/>
  <c r="F51" i="2"/>
  <c r="D84" i="2" s="1"/>
  <c r="B82" i="60"/>
  <c r="B115" i="60" s="1"/>
  <c r="AC82" i="60"/>
  <c r="AM82" i="60"/>
  <c r="H51" i="2"/>
  <c r="E84" i="2" s="1"/>
  <c r="T82" i="60"/>
  <c r="AE82" i="60"/>
  <c r="J82" i="60"/>
  <c r="V82" i="60"/>
  <c r="Q82" i="60"/>
  <c r="H115" i="60" s="1"/>
  <c r="Y82" i="60"/>
  <c r="AG82" i="60"/>
  <c r="E82" i="60"/>
  <c r="AI82" i="60"/>
  <c r="AY578" i="78" s="1"/>
  <c r="D45" i="30"/>
  <c r="C78" i="30" s="1"/>
  <c r="G82" i="60"/>
  <c r="AO82" i="60"/>
  <c r="B45" i="30"/>
  <c r="B78" i="30" s="1"/>
  <c r="F45" i="30"/>
  <c r="D78" i="30" s="1"/>
  <c r="G78" i="30" s="1"/>
  <c r="H78" i="30" s="1"/>
  <c r="H52" i="7"/>
  <c r="F45" i="39"/>
  <c r="F78" i="39" s="1"/>
  <c r="G78" i="39" s="1"/>
  <c r="BJ37" i="13" s="1"/>
  <c r="L59" i="10"/>
  <c r="F93" i="10" s="1"/>
  <c r="B52" i="7"/>
  <c r="B85" i="7" s="1"/>
  <c r="B59" i="10"/>
  <c r="AU578" i="78" s="1"/>
  <c r="F78" i="79" s="1"/>
  <c r="D45" i="39"/>
  <c r="D78" i="39" s="1"/>
  <c r="F49" i="7"/>
  <c r="G80" i="7" s="1"/>
  <c r="B87" i="61"/>
  <c r="E87" i="61"/>
  <c r="K87" i="61"/>
  <c r="H87" i="61"/>
  <c r="B47" i="38"/>
  <c r="B78" i="38" s="1"/>
  <c r="D47" i="38"/>
  <c r="D78" i="38" s="1"/>
  <c r="F47" i="38"/>
  <c r="F78" i="38" s="1"/>
  <c r="F79" i="38" s="1"/>
  <c r="F80" i="38" s="1"/>
  <c r="Q75" i="56"/>
  <c r="L106" i="56" s="1"/>
  <c r="T75" i="56"/>
  <c r="N106" i="56" s="1"/>
  <c r="W75" i="56"/>
  <c r="P106" i="56" s="1"/>
  <c r="B75" i="56"/>
  <c r="B106" i="56" s="1"/>
  <c r="E75" i="56"/>
  <c r="D106" i="56" s="1"/>
  <c r="H75" i="56"/>
  <c r="N75" i="56"/>
  <c r="K75" i="56"/>
  <c r="H106" i="56" s="1"/>
  <c r="J79" i="60"/>
  <c r="V79" i="60"/>
  <c r="AG79" i="60"/>
  <c r="B48" i="2"/>
  <c r="B79" i="2" s="1"/>
  <c r="L79" i="60"/>
  <c r="Y79" i="60"/>
  <c r="AI79" i="60"/>
  <c r="F48" i="2"/>
  <c r="D79" i="2" s="1"/>
  <c r="N79" i="60"/>
  <c r="X79" i="60" s="1"/>
  <c r="AK79" i="60"/>
  <c r="H48" i="2"/>
  <c r="E79" i="2" s="1"/>
  <c r="B79" i="60"/>
  <c r="AA79" i="60"/>
  <c r="E79" i="60"/>
  <c r="Q79" i="60"/>
  <c r="H110" i="60" s="1"/>
  <c r="AC79" i="60"/>
  <c r="AM79" i="60"/>
  <c r="G79" i="60"/>
  <c r="AE79" i="60"/>
  <c r="T79" i="60"/>
  <c r="AO79" i="60"/>
  <c r="B42" i="30"/>
  <c r="B73" i="30" s="1"/>
  <c r="D42" i="30"/>
  <c r="C73" i="30" s="1"/>
  <c r="F42" i="30"/>
  <c r="D73" i="30" s="1"/>
  <c r="H49" i="7"/>
  <c r="B42" i="39"/>
  <c r="D42" i="39"/>
  <c r="D73" i="39" s="1"/>
  <c r="F42" i="39"/>
  <c r="F73" i="39" s="1"/>
  <c r="B49" i="7"/>
  <c r="B80" i="7" s="1"/>
  <c r="B56" i="10"/>
  <c r="AU573" i="78" s="1"/>
  <c r="R56" i="10"/>
  <c r="L88" i="10" s="1"/>
  <c r="F47" i="7"/>
  <c r="G78" i="7" s="1"/>
  <c r="B85" i="61"/>
  <c r="E85" i="61"/>
  <c r="K85" i="61"/>
  <c r="B45" i="38"/>
  <c r="B76" i="38" s="1"/>
  <c r="C76" i="38" s="1"/>
  <c r="H85" i="61"/>
  <c r="F45" i="38"/>
  <c r="F76" i="38" s="1"/>
  <c r="Q73" i="56"/>
  <c r="L104" i="56" s="1"/>
  <c r="M104" i="56" s="1"/>
  <c r="CL30" i="13" s="1"/>
  <c r="D45" i="38"/>
  <c r="D76" i="38" s="1"/>
  <c r="E76" i="38" s="1"/>
  <c r="T73" i="56"/>
  <c r="N104" i="56" s="1"/>
  <c r="O104" i="56" s="1"/>
  <c r="W73" i="56"/>
  <c r="P104" i="56" s="1"/>
  <c r="Q104" i="56" s="1"/>
  <c r="B73" i="56"/>
  <c r="B104" i="56" s="1"/>
  <c r="C104" i="56" s="1"/>
  <c r="CG30" i="13" s="1"/>
  <c r="E73" i="56"/>
  <c r="H73" i="56"/>
  <c r="F104" i="56" s="1"/>
  <c r="G104" i="56" s="1"/>
  <c r="CJ30" i="13" s="1"/>
  <c r="N73" i="56"/>
  <c r="K73" i="56"/>
  <c r="H104" i="56" s="1"/>
  <c r="I104" i="56" s="1"/>
  <c r="CK30" i="13" s="1"/>
  <c r="G77" i="60"/>
  <c r="AE77" i="60"/>
  <c r="B46" i="2"/>
  <c r="B77" i="2" s="1"/>
  <c r="J77" i="60"/>
  <c r="V77" i="60"/>
  <c r="AG77" i="60"/>
  <c r="F46" i="2"/>
  <c r="D77" i="2" s="1"/>
  <c r="L77" i="60"/>
  <c r="Y77" i="60"/>
  <c r="AI77" i="60"/>
  <c r="AY571" i="78" s="1"/>
  <c r="H46" i="2"/>
  <c r="E77" i="2" s="1"/>
  <c r="N77" i="60"/>
  <c r="X77" i="60" s="1"/>
  <c r="AK77" i="60"/>
  <c r="B77" i="60"/>
  <c r="B108" i="60" s="1"/>
  <c r="AA77" i="60"/>
  <c r="T77" i="60"/>
  <c r="AO77" i="60"/>
  <c r="E77" i="60"/>
  <c r="Q77" i="60"/>
  <c r="H108" i="60" s="1"/>
  <c r="D40" i="30"/>
  <c r="C71" i="30" s="1"/>
  <c r="AC77" i="60"/>
  <c r="AM77" i="60"/>
  <c r="B40" i="30"/>
  <c r="B71" i="30" s="1"/>
  <c r="E71" i="30" s="1"/>
  <c r="F71" i="30" s="1"/>
  <c r="BA30" i="13" s="1"/>
  <c r="H47" i="7"/>
  <c r="F40" i="30"/>
  <c r="D71" i="30" s="1"/>
  <c r="G71" i="30" s="1"/>
  <c r="H71" i="30" s="1"/>
  <c r="B40" i="39"/>
  <c r="B71" i="39" s="1"/>
  <c r="C71" i="39" s="1"/>
  <c r="BH30" i="13" s="1"/>
  <c r="D40" i="39"/>
  <c r="D71" i="39" s="1"/>
  <c r="F40" i="39"/>
  <c r="F71" i="39" s="1"/>
  <c r="G71" i="39" s="1"/>
  <c r="BJ30" i="13" s="1"/>
  <c r="B47" i="7"/>
  <c r="B78" i="7" s="1"/>
  <c r="B54" i="10"/>
  <c r="AU571" i="78" s="1"/>
  <c r="F72" i="79" s="1"/>
  <c r="F54" i="10"/>
  <c r="C86" i="10" s="1"/>
  <c r="F45" i="7"/>
  <c r="G76" i="7" s="1"/>
  <c r="B83" i="61"/>
  <c r="E83" i="61"/>
  <c r="K83" i="61"/>
  <c r="D43" i="38"/>
  <c r="D74" i="38" s="1"/>
  <c r="E74" i="38" s="1"/>
  <c r="F43" i="38"/>
  <c r="F74" i="38" s="1"/>
  <c r="B43" i="38"/>
  <c r="B74" i="38" s="1"/>
  <c r="C74" i="38" s="1"/>
  <c r="Q71" i="56"/>
  <c r="L102" i="56" s="1"/>
  <c r="M102" i="56" s="1"/>
  <c r="CL28" i="13" s="1"/>
  <c r="T71" i="56"/>
  <c r="N102" i="56" s="1"/>
  <c r="O102" i="56" s="1"/>
  <c r="W71" i="56"/>
  <c r="P102" i="56" s="1"/>
  <c r="Q102" i="56" s="1"/>
  <c r="B71" i="56"/>
  <c r="B102" i="56" s="1"/>
  <c r="C102" i="56" s="1"/>
  <c r="CG28" i="13" s="1"/>
  <c r="E71" i="56"/>
  <c r="H71" i="56"/>
  <c r="H83" i="61"/>
  <c r="N71" i="56"/>
  <c r="K71" i="56"/>
  <c r="E75" i="60"/>
  <c r="Q75" i="60"/>
  <c r="H106" i="60" s="1"/>
  <c r="AO75" i="60"/>
  <c r="B44" i="2"/>
  <c r="B75" i="2" s="1"/>
  <c r="T75" i="60"/>
  <c r="AE75" i="60"/>
  <c r="G75" i="60"/>
  <c r="D106" i="60" s="1"/>
  <c r="AG75" i="60"/>
  <c r="F44" i="2"/>
  <c r="D75" i="2" s="1"/>
  <c r="J75" i="60"/>
  <c r="V75" i="60"/>
  <c r="H44" i="2"/>
  <c r="E75" i="2" s="1"/>
  <c r="Y75" i="60"/>
  <c r="AI75" i="60"/>
  <c r="AY569" i="78" s="1"/>
  <c r="L75" i="60"/>
  <c r="F106" i="60" s="1"/>
  <c r="AK75" i="60"/>
  <c r="B75" i="60"/>
  <c r="AC75" i="60"/>
  <c r="AM75" i="60"/>
  <c r="N75" i="60"/>
  <c r="AA75" i="60"/>
  <c r="D38" i="30"/>
  <c r="C69" i="30" s="1"/>
  <c r="B38" i="30"/>
  <c r="B69" i="30" s="1"/>
  <c r="E69" i="30" s="1"/>
  <c r="F69" i="30" s="1"/>
  <c r="BA28" i="13" s="1"/>
  <c r="F38" i="30"/>
  <c r="D69" i="30" s="1"/>
  <c r="G69" i="30" s="1"/>
  <c r="H69" i="30" s="1"/>
  <c r="H45" i="7"/>
  <c r="B38" i="39"/>
  <c r="B69" i="39" s="1"/>
  <c r="C69" i="39" s="1"/>
  <c r="BH28" i="13" s="1"/>
  <c r="P52" i="10"/>
  <c r="B45" i="7"/>
  <c r="B76" i="7" s="1"/>
  <c r="D38" i="39"/>
  <c r="D69" i="39" s="1"/>
  <c r="B52" i="10"/>
  <c r="AU569" i="78" s="1"/>
  <c r="F70" i="79" s="1"/>
  <c r="F43" i="7"/>
  <c r="G74" i="7" s="1"/>
  <c r="B81" i="61"/>
  <c r="E81" i="61"/>
  <c r="K81" i="61"/>
  <c r="B41" i="38"/>
  <c r="B72" i="38" s="1"/>
  <c r="C72" i="38" s="1"/>
  <c r="D41" i="38"/>
  <c r="D72" i="38" s="1"/>
  <c r="E72" i="38" s="1"/>
  <c r="F41" i="38"/>
  <c r="F72" i="38" s="1"/>
  <c r="H81" i="61"/>
  <c r="Q69" i="56"/>
  <c r="L100" i="56" s="1"/>
  <c r="M100" i="56" s="1"/>
  <c r="CL26" i="13" s="1"/>
  <c r="T69" i="56"/>
  <c r="N100" i="56" s="1"/>
  <c r="O100" i="56" s="1"/>
  <c r="W69" i="56"/>
  <c r="P100" i="56" s="1"/>
  <c r="Q100" i="56" s="1"/>
  <c r="B69" i="56"/>
  <c r="B100" i="56" s="1"/>
  <c r="C100" i="56" s="1"/>
  <c r="CG26" i="13" s="1"/>
  <c r="E69" i="56"/>
  <c r="H69" i="56"/>
  <c r="F100" i="56" s="1"/>
  <c r="G100" i="56" s="1"/>
  <c r="CJ26" i="13" s="1"/>
  <c r="N69" i="56"/>
  <c r="K69" i="56"/>
  <c r="H100" i="56" s="1"/>
  <c r="I100" i="56" s="1"/>
  <c r="CK26" i="13" s="1"/>
  <c r="N73" i="60"/>
  <c r="AA73" i="60"/>
  <c r="B42" i="2"/>
  <c r="B73" i="2" s="1"/>
  <c r="B73" i="60"/>
  <c r="AC73" i="60"/>
  <c r="AM73" i="60"/>
  <c r="E73" i="60"/>
  <c r="Q73" i="60"/>
  <c r="AO73" i="60"/>
  <c r="F42" i="2"/>
  <c r="D73" i="2" s="1"/>
  <c r="T73" i="60"/>
  <c r="AE73" i="60"/>
  <c r="H42" i="2"/>
  <c r="E73" i="2" s="1"/>
  <c r="G73" i="60"/>
  <c r="AG73" i="60"/>
  <c r="J73" i="60"/>
  <c r="V73" i="60"/>
  <c r="L73" i="60"/>
  <c r="AK73" i="60"/>
  <c r="Y73" i="60"/>
  <c r="AI73" i="60"/>
  <c r="D36" i="30"/>
  <c r="C67" i="30" s="1"/>
  <c r="B36" i="30"/>
  <c r="B67" i="30" s="1"/>
  <c r="H43" i="7"/>
  <c r="F36" i="39"/>
  <c r="F67" i="39" s="1"/>
  <c r="G67" i="39" s="1"/>
  <c r="BJ26" i="13" s="1"/>
  <c r="F36" i="30"/>
  <c r="D67" i="30" s="1"/>
  <c r="G67" i="30" s="1"/>
  <c r="H67" i="30" s="1"/>
  <c r="P50" i="10"/>
  <c r="T50" i="10" s="1"/>
  <c r="M82" i="10" s="1"/>
  <c r="B43" i="7"/>
  <c r="B74" i="7" s="1"/>
  <c r="B50" i="10"/>
  <c r="AU567" i="78" s="1"/>
  <c r="F68" i="79" s="1"/>
  <c r="D36" i="39"/>
  <c r="D67" i="39" s="1"/>
  <c r="F41" i="7"/>
  <c r="G72" i="7" s="1"/>
  <c r="B79" i="61"/>
  <c r="E79" i="61"/>
  <c r="K79" i="61"/>
  <c r="N67" i="56"/>
  <c r="J98" i="56" s="1"/>
  <c r="Q67" i="56"/>
  <c r="L98" i="56" s="1"/>
  <c r="M98" i="56" s="1"/>
  <c r="CL24" i="13" s="1"/>
  <c r="B39" i="38"/>
  <c r="B70" i="38" s="1"/>
  <c r="C70" i="38" s="1"/>
  <c r="T67" i="56"/>
  <c r="N98" i="56" s="1"/>
  <c r="O98" i="56" s="1"/>
  <c r="H79" i="61"/>
  <c r="D39" i="38"/>
  <c r="D70" i="38" s="1"/>
  <c r="E70" i="38" s="1"/>
  <c r="F39" i="38"/>
  <c r="F70" i="38" s="1"/>
  <c r="B67" i="56"/>
  <c r="B98" i="56" s="1"/>
  <c r="C98" i="56" s="1"/>
  <c r="CG24" i="13" s="1"/>
  <c r="H67" i="56"/>
  <c r="F98" i="56" s="1"/>
  <c r="G98" i="56" s="1"/>
  <c r="CJ24" i="13" s="1"/>
  <c r="E67" i="56"/>
  <c r="D98" i="56" s="1"/>
  <c r="E98" i="56" s="1"/>
  <c r="CI24" i="13" s="1"/>
  <c r="K67" i="56"/>
  <c r="W67" i="56"/>
  <c r="P98" i="56" s="1"/>
  <c r="Q98" i="56" s="1"/>
  <c r="Y71" i="60"/>
  <c r="AI71" i="60"/>
  <c r="B40" i="2"/>
  <c r="B71" i="2" s="1"/>
  <c r="L71" i="60"/>
  <c r="AK71" i="60"/>
  <c r="N71" i="60"/>
  <c r="AA71" i="60"/>
  <c r="F40" i="2"/>
  <c r="D71" i="2" s="1"/>
  <c r="B71" i="60"/>
  <c r="AC71" i="60"/>
  <c r="AM71" i="60"/>
  <c r="H40" i="2"/>
  <c r="E71" i="2" s="1"/>
  <c r="E71" i="60"/>
  <c r="Q71" i="60"/>
  <c r="AO71" i="60"/>
  <c r="T71" i="60"/>
  <c r="AE71" i="60"/>
  <c r="J71" i="60"/>
  <c r="V71" i="60"/>
  <c r="J102" i="60" s="1"/>
  <c r="G71" i="60"/>
  <c r="AG71" i="60"/>
  <c r="B34" i="30"/>
  <c r="B65" i="30" s="1"/>
  <c r="D34" i="30"/>
  <c r="C65" i="30" s="1"/>
  <c r="F34" i="30"/>
  <c r="D65" i="30" s="1"/>
  <c r="G65" i="30" s="1"/>
  <c r="H65" i="30" s="1"/>
  <c r="H41" i="7"/>
  <c r="B34" i="39"/>
  <c r="B65" i="39" s="1"/>
  <c r="C65" i="39" s="1"/>
  <c r="BH24" i="13" s="1"/>
  <c r="X48" i="10"/>
  <c r="O80" i="10" s="1"/>
  <c r="D34" i="39"/>
  <c r="D65" i="39" s="1"/>
  <c r="F34" i="39"/>
  <c r="F65" i="39" s="1"/>
  <c r="G65" i="39" s="1"/>
  <c r="BJ24" i="13" s="1"/>
  <c r="P48" i="10"/>
  <c r="R48" i="10" s="1"/>
  <c r="L80" i="10" s="1"/>
  <c r="P80" i="10" s="1"/>
  <c r="B41" i="7"/>
  <c r="B72" i="7" s="1"/>
  <c r="B48" i="10"/>
  <c r="AU565" i="78" s="1"/>
  <c r="F66" i="79" s="1"/>
  <c r="F48" i="10"/>
  <c r="C80" i="10" s="1"/>
  <c r="V48" i="10"/>
  <c r="N80" i="10" s="1"/>
  <c r="F39" i="7"/>
  <c r="G70" i="7" s="1"/>
  <c r="B77" i="61"/>
  <c r="E77" i="61"/>
  <c r="K77" i="61"/>
  <c r="N65" i="56"/>
  <c r="Q65" i="56"/>
  <c r="L96" i="56" s="1"/>
  <c r="M96" i="56" s="1"/>
  <c r="CL22" i="13" s="1"/>
  <c r="H77" i="61"/>
  <c r="T65" i="56"/>
  <c r="N96" i="56" s="1"/>
  <c r="O96" i="56" s="1"/>
  <c r="B37" i="38"/>
  <c r="B68" i="38" s="1"/>
  <c r="C68" i="38" s="1"/>
  <c r="B65" i="56"/>
  <c r="B96" i="56" s="1"/>
  <c r="C96" i="56" s="1"/>
  <c r="CG22" i="13" s="1"/>
  <c r="F37" i="38"/>
  <c r="F68" i="38" s="1"/>
  <c r="H65" i="56"/>
  <c r="F96" i="56" s="1"/>
  <c r="G96" i="56" s="1"/>
  <c r="CJ22" i="13" s="1"/>
  <c r="W65" i="56"/>
  <c r="P96" i="56" s="1"/>
  <c r="Q96" i="56" s="1"/>
  <c r="K65" i="56"/>
  <c r="H96" i="56" s="1"/>
  <c r="I96" i="56" s="1"/>
  <c r="CK22" i="13" s="1"/>
  <c r="D37" i="38"/>
  <c r="D68" i="38" s="1"/>
  <c r="E68" i="38" s="1"/>
  <c r="E65" i="56"/>
  <c r="D96" i="56" s="1"/>
  <c r="E96" i="56" s="1"/>
  <c r="CI22" i="13" s="1"/>
  <c r="G69" i="60"/>
  <c r="AG69" i="60"/>
  <c r="B38" i="2"/>
  <c r="B69" i="2" s="1"/>
  <c r="J69" i="60"/>
  <c r="V69" i="60"/>
  <c r="Y69" i="60"/>
  <c r="AI69" i="60"/>
  <c r="AY563" i="78" s="1"/>
  <c r="F38" i="2"/>
  <c r="D69" i="2" s="1"/>
  <c r="L69" i="60"/>
  <c r="AK69" i="60"/>
  <c r="H38" i="2"/>
  <c r="E69" i="2" s="1"/>
  <c r="N69" i="60"/>
  <c r="AA69" i="60"/>
  <c r="B69" i="60"/>
  <c r="AC69" i="60"/>
  <c r="AM69" i="60"/>
  <c r="T69" i="60"/>
  <c r="AE69" i="60"/>
  <c r="AO69" i="60"/>
  <c r="D32" i="30"/>
  <c r="C63" i="30" s="1"/>
  <c r="E69" i="60"/>
  <c r="Q69" i="60"/>
  <c r="F32" i="30"/>
  <c r="D63" i="30" s="1"/>
  <c r="G63" i="30" s="1"/>
  <c r="H63" i="30" s="1"/>
  <c r="B32" i="30"/>
  <c r="B63" i="30" s="1"/>
  <c r="E63" i="30" s="1"/>
  <c r="F63" i="30" s="1"/>
  <c r="BA22" i="13" s="1"/>
  <c r="H39" i="7"/>
  <c r="H46" i="10"/>
  <c r="D78" i="10" s="1"/>
  <c r="B32" i="39"/>
  <c r="B63" i="39" s="1"/>
  <c r="C63" i="39" s="1"/>
  <c r="BH22" i="13" s="1"/>
  <c r="L46" i="10"/>
  <c r="F78" i="10" s="1"/>
  <c r="D32" i="39"/>
  <c r="D63" i="39" s="1"/>
  <c r="F32" i="39"/>
  <c r="F63" i="39" s="1"/>
  <c r="G63" i="39" s="1"/>
  <c r="BJ22" i="13" s="1"/>
  <c r="P46" i="10"/>
  <c r="X46" i="10" s="1"/>
  <c r="O78" i="10" s="1"/>
  <c r="B39" i="7"/>
  <c r="B70" i="7" s="1"/>
  <c r="B46" i="10"/>
  <c r="AU563" i="78" s="1"/>
  <c r="F64" i="79" s="1"/>
  <c r="F46" i="10"/>
  <c r="C78" i="10" s="1"/>
  <c r="V46" i="10"/>
  <c r="N78" i="10" s="1"/>
  <c r="F36" i="7"/>
  <c r="G67" i="7" s="1"/>
  <c r="B74" i="61"/>
  <c r="E74" i="61"/>
  <c r="K74" i="61"/>
  <c r="D34" i="38"/>
  <c r="D65" i="38" s="1"/>
  <c r="E65" i="38" s="1"/>
  <c r="F34" i="38"/>
  <c r="F65" i="38" s="1"/>
  <c r="N62" i="56"/>
  <c r="H74" i="61"/>
  <c r="Q62" i="56"/>
  <c r="L93" i="56" s="1"/>
  <c r="M93" i="56" s="1"/>
  <c r="CL19" i="13" s="1"/>
  <c r="T62" i="56"/>
  <c r="N93" i="56" s="1"/>
  <c r="O93" i="56" s="1"/>
  <c r="B62" i="56"/>
  <c r="B93" i="56" s="1"/>
  <c r="C93" i="56" s="1"/>
  <c r="CG19" i="13" s="1"/>
  <c r="B34" i="38"/>
  <c r="B65" i="38" s="1"/>
  <c r="C65" i="38" s="1"/>
  <c r="H62" i="56"/>
  <c r="F93" i="56" s="1"/>
  <c r="G93" i="56" s="1"/>
  <c r="CJ19" i="13" s="1"/>
  <c r="E62" i="56"/>
  <c r="K62" i="56"/>
  <c r="W62" i="56"/>
  <c r="P93" i="56" s="1"/>
  <c r="Q93" i="56" s="1"/>
  <c r="E66" i="60"/>
  <c r="Q66" i="60"/>
  <c r="AO66" i="60"/>
  <c r="B35" i="2"/>
  <c r="B66" i="2" s="1"/>
  <c r="T66" i="60"/>
  <c r="AE66" i="60"/>
  <c r="G66" i="60"/>
  <c r="AG66" i="60"/>
  <c r="F35" i="2"/>
  <c r="D66" i="2" s="1"/>
  <c r="J66" i="60"/>
  <c r="V66" i="60"/>
  <c r="H35" i="2"/>
  <c r="E66" i="2" s="1"/>
  <c r="Y66" i="60"/>
  <c r="AI66" i="60"/>
  <c r="L66" i="60"/>
  <c r="AK66" i="60"/>
  <c r="B66" i="60"/>
  <c r="B97" i="60" s="1"/>
  <c r="AC66" i="60"/>
  <c r="AM66" i="60"/>
  <c r="AA66" i="60"/>
  <c r="D29" i="30"/>
  <c r="C60" i="30" s="1"/>
  <c r="N66" i="60"/>
  <c r="B29" i="30"/>
  <c r="B60" i="30" s="1"/>
  <c r="F29" i="30"/>
  <c r="D60" i="30" s="1"/>
  <c r="G60" i="30" s="1"/>
  <c r="H60" i="30" s="1"/>
  <c r="H36" i="7"/>
  <c r="H43" i="10"/>
  <c r="D75" i="10" s="1"/>
  <c r="L43" i="10"/>
  <c r="F75" i="10" s="1"/>
  <c r="B29" i="39"/>
  <c r="B60" i="39" s="1"/>
  <c r="C60" i="39" s="1"/>
  <c r="BH19" i="13" s="1"/>
  <c r="P43" i="10"/>
  <c r="X43" i="10" s="1"/>
  <c r="O75" i="10" s="1"/>
  <c r="B36" i="7"/>
  <c r="B67" i="7" s="1"/>
  <c r="D29" i="39"/>
  <c r="D60" i="39" s="1"/>
  <c r="B43" i="10"/>
  <c r="AU560" i="78" s="1"/>
  <c r="F62" i="79" s="1"/>
  <c r="R43" i="10"/>
  <c r="L75" i="10" s="1"/>
  <c r="F43" i="10"/>
  <c r="C75" i="10" s="1"/>
  <c r="V43" i="10"/>
  <c r="N75" i="10" s="1"/>
  <c r="F34" i="7"/>
  <c r="G65" i="7" s="1"/>
  <c r="B72" i="61"/>
  <c r="E72" i="61"/>
  <c r="K72" i="61"/>
  <c r="H72" i="61"/>
  <c r="B32" i="38"/>
  <c r="B63" i="38" s="1"/>
  <c r="C63" i="38" s="1"/>
  <c r="N60" i="56"/>
  <c r="J91" i="56" s="1"/>
  <c r="D32" i="38"/>
  <c r="D63" i="38" s="1"/>
  <c r="E63" i="38" s="1"/>
  <c r="Q60" i="56"/>
  <c r="L91" i="56" s="1"/>
  <c r="M91" i="56" s="1"/>
  <c r="CL17" i="13" s="1"/>
  <c r="F32" i="38"/>
  <c r="F63" i="38" s="1"/>
  <c r="T60" i="56"/>
  <c r="N91" i="56" s="1"/>
  <c r="O91" i="56" s="1"/>
  <c r="B60" i="56"/>
  <c r="B91" i="56" s="1"/>
  <c r="C91" i="56" s="1"/>
  <c r="CG17" i="13" s="1"/>
  <c r="H60" i="56"/>
  <c r="F91" i="56" s="1"/>
  <c r="G91" i="56" s="1"/>
  <c r="CJ17" i="13" s="1"/>
  <c r="E60" i="56"/>
  <c r="K60" i="56"/>
  <c r="W60" i="56"/>
  <c r="P91" i="56" s="1"/>
  <c r="Q91" i="56" s="1"/>
  <c r="N64" i="60"/>
  <c r="AA64" i="60"/>
  <c r="B33" i="2"/>
  <c r="B64" i="2" s="1"/>
  <c r="B64" i="60"/>
  <c r="AC64" i="60"/>
  <c r="AM64" i="60"/>
  <c r="E64" i="60"/>
  <c r="Q64" i="60"/>
  <c r="AO64" i="60"/>
  <c r="F33" i="2"/>
  <c r="D64" i="2" s="1"/>
  <c r="T64" i="60"/>
  <c r="AE64" i="60"/>
  <c r="H33" i="2"/>
  <c r="E64" i="2" s="1"/>
  <c r="G64" i="60"/>
  <c r="AG64" i="60"/>
  <c r="J64" i="60"/>
  <c r="V64" i="60"/>
  <c r="L64" i="60"/>
  <c r="AK64" i="60"/>
  <c r="Y64" i="60"/>
  <c r="AI64" i="60"/>
  <c r="D27" i="30"/>
  <c r="C58" i="30" s="1"/>
  <c r="F27" i="30"/>
  <c r="D58" i="30" s="1"/>
  <c r="G58" i="30" s="1"/>
  <c r="H58" i="30" s="1"/>
  <c r="H34" i="7"/>
  <c r="F27" i="39"/>
  <c r="F58" i="39" s="1"/>
  <c r="G58" i="39" s="1"/>
  <c r="BJ17" i="13" s="1"/>
  <c r="P41" i="10"/>
  <c r="X41" i="10" s="1"/>
  <c r="O73" i="10" s="1"/>
  <c r="B34" i="7"/>
  <c r="B65" i="7" s="1"/>
  <c r="B41" i="10"/>
  <c r="AU558" i="78" s="1"/>
  <c r="F60" i="79" s="1"/>
  <c r="B27" i="30"/>
  <c r="B58" i="30" s="1"/>
  <c r="E58" i="30" s="1"/>
  <c r="F58" i="30" s="1"/>
  <c r="BA17" i="13" s="1"/>
  <c r="D27" i="39"/>
  <c r="D58" i="39" s="1"/>
  <c r="F32" i="7"/>
  <c r="G63" i="7" s="1"/>
  <c r="B70" i="61"/>
  <c r="E70" i="61"/>
  <c r="K70" i="61"/>
  <c r="H70" i="61"/>
  <c r="K58" i="56"/>
  <c r="N58" i="56"/>
  <c r="J89" i="56" s="1"/>
  <c r="Q58" i="56"/>
  <c r="L89" i="56" s="1"/>
  <c r="M89" i="56" s="1"/>
  <c r="CL15" i="13" s="1"/>
  <c r="B30" i="38"/>
  <c r="B61" i="38" s="1"/>
  <c r="C61" i="38" s="1"/>
  <c r="T58" i="56"/>
  <c r="N89" i="56" s="1"/>
  <c r="O89" i="56" s="1"/>
  <c r="D30" i="38"/>
  <c r="D61" i="38" s="1"/>
  <c r="E61" i="38" s="1"/>
  <c r="W58" i="56"/>
  <c r="P89" i="56" s="1"/>
  <c r="Q89" i="56" s="1"/>
  <c r="F30" i="38"/>
  <c r="F61" i="38" s="1"/>
  <c r="B58" i="56"/>
  <c r="B89" i="56" s="1"/>
  <c r="C89" i="56" s="1"/>
  <c r="CG15" i="13" s="1"/>
  <c r="H58" i="56"/>
  <c r="E58" i="56"/>
  <c r="D89" i="56" s="1"/>
  <c r="E89" i="56" s="1"/>
  <c r="CI15" i="13" s="1"/>
  <c r="Y62" i="60"/>
  <c r="AI62" i="60"/>
  <c r="B31" i="2"/>
  <c r="B62" i="2" s="1"/>
  <c r="L62" i="60"/>
  <c r="AK62" i="60"/>
  <c r="N62" i="60"/>
  <c r="AA62" i="60"/>
  <c r="F31" i="2"/>
  <c r="D62" i="2" s="1"/>
  <c r="B62" i="60"/>
  <c r="AC62" i="60"/>
  <c r="AM62" i="60"/>
  <c r="H31" i="2"/>
  <c r="E62" i="2" s="1"/>
  <c r="E62" i="60"/>
  <c r="Q62" i="60"/>
  <c r="AO62" i="60"/>
  <c r="T62" i="60"/>
  <c r="AE62" i="60"/>
  <c r="J62" i="60"/>
  <c r="V62" i="60"/>
  <c r="G62" i="60"/>
  <c r="D93" i="60" s="1"/>
  <c r="AG62" i="60"/>
  <c r="B25" i="30"/>
  <c r="B56" i="30" s="1"/>
  <c r="D25" i="30"/>
  <c r="C56" i="30" s="1"/>
  <c r="F25" i="30"/>
  <c r="D56" i="30" s="1"/>
  <c r="G56" i="30" s="1"/>
  <c r="H56" i="30" s="1"/>
  <c r="H32" i="7"/>
  <c r="B25" i="39"/>
  <c r="B56" i="39" s="1"/>
  <c r="C56" i="39" s="1"/>
  <c r="BH15" i="13" s="1"/>
  <c r="H39" i="10"/>
  <c r="D71" i="10" s="1"/>
  <c r="D25" i="39"/>
  <c r="D56" i="39" s="1"/>
  <c r="F25" i="39"/>
  <c r="F56" i="39" s="1"/>
  <c r="G56" i="39" s="1"/>
  <c r="BJ15" i="13" s="1"/>
  <c r="L39" i="10"/>
  <c r="F71" i="10" s="1"/>
  <c r="N39" i="10"/>
  <c r="G71" i="10" s="1"/>
  <c r="P39" i="10"/>
  <c r="X39" i="10" s="1"/>
  <c r="O71" i="10" s="1"/>
  <c r="B32" i="7"/>
  <c r="B63" i="7" s="1"/>
  <c r="B39" i="10"/>
  <c r="AU556" i="78" s="1"/>
  <c r="F58" i="79" s="1"/>
  <c r="R39" i="10"/>
  <c r="L71" i="10" s="1"/>
  <c r="F39" i="10"/>
  <c r="C71" i="10" s="1"/>
  <c r="V39" i="10"/>
  <c r="N71" i="10" s="1"/>
  <c r="N65" i="10"/>
  <c r="G99" i="10" s="1"/>
  <c r="V64" i="10"/>
  <c r="N98" i="10" s="1"/>
  <c r="F64" i="10"/>
  <c r="C98" i="10" s="1"/>
  <c r="N63" i="10"/>
  <c r="G97" i="10" s="1"/>
  <c r="V62" i="10"/>
  <c r="N96" i="10" s="1"/>
  <c r="F62" i="10"/>
  <c r="C96" i="10" s="1"/>
  <c r="V60" i="10"/>
  <c r="N94" i="10" s="1"/>
  <c r="B60" i="10"/>
  <c r="AU579" i="78" s="1"/>
  <c r="F79" i="79" s="1"/>
  <c r="F59" i="10"/>
  <c r="C93" i="10" s="1"/>
  <c r="P54" i="10"/>
  <c r="T54" i="10" s="1"/>
  <c r="M86" i="10" s="1"/>
  <c r="P53" i="10"/>
  <c r="X53" i="10" s="1"/>
  <c r="O85" i="10" s="1"/>
  <c r="N50" i="10"/>
  <c r="G82" i="10" s="1"/>
  <c r="T48" i="10"/>
  <c r="M80" i="10" s="1"/>
  <c r="F29" i="39"/>
  <c r="F60" i="39" s="1"/>
  <c r="G60" i="39" s="1"/>
  <c r="BJ19" i="13" s="1"/>
  <c r="D54" i="7"/>
  <c r="C87" i="7" s="1"/>
  <c r="D36" i="7"/>
  <c r="C67" i="7" s="1"/>
  <c r="C142" i="22"/>
  <c r="C124" i="22"/>
  <c r="G191" i="61"/>
  <c r="E143" i="22"/>
  <c r="G187" i="61"/>
  <c r="E139" i="22"/>
  <c r="G182" i="61"/>
  <c r="E134" i="22"/>
  <c r="G178" i="61"/>
  <c r="E130" i="22"/>
  <c r="G174" i="61"/>
  <c r="E126" i="22"/>
  <c r="G169" i="61"/>
  <c r="E121" i="22"/>
  <c r="D191" i="61"/>
  <c r="H143" i="22"/>
  <c r="H189" i="61"/>
  <c r="D113" i="56"/>
  <c r="E113" i="56" s="1"/>
  <c r="CI39" i="13" s="1"/>
  <c r="D182" i="61"/>
  <c r="H134" i="22"/>
  <c r="H180" i="61"/>
  <c r="D102" i="56"/>
  <c r="E102" i="56" s="1"/>
  <c r="CI28" i="13" s="1"/>
  <c r="D174" i="61"/>
  <c r="H126" i="22"/>
  <c r="H171" i="61"/>
  <c r="D93" i="56"/>
  <c r="E93" i="56" s="1"/>
  <c r="CI19" i="13" s="1"/>
  <c r="I144" i="22"/>
  <c r="O196" i="20" s="1"/>
  <c r="I135" i="22"/>
  <c r="O187" i="20" s="1"/>
  <c r="I127" i="22"/>
  <c r="O179" i="20" s="1"/>
  <c r="B29" i="35"/>
  <c r="B25" i="35"/>
  <c r="B18" i="35"/>
  <c r="L65" i="10"/>
  <c r="F99" i="10" s="1"/>
  <c r="T64" i="10"/>
  <c r="M98" i="10" s="1"/>
  <c r="D64" i="10"/>
  <c r="B98" i="10" s="1"/>
  <c r="L63" i="10"/>
  <c r="F97" i="10" s="1"/>
  <c r="T62" i="10"/>
  <c r="M96" i="10" s="1"/>
  <c r="D62" i="10"/>
  <c r="B96" i="10" s="1"/>
  <c r="T60" i="10"/>
  <c r="M94" i="10" s="1"/>
  <c r="D59" i="10"/>
  <c r="B93" i="10" s="1"/>
  <c r="N54" i="10"/>
  <c r="G86" i="10" s="1"/>
  <c r="J50" i="10"/>
  <c r="E82" i="10" s="1"/>
  <c r="N48" i="10"/>
  <c r="G80" i="10" s="1"/>
  <c r="T46" i="10"/>
  <c r="M78" i="10" s="1"/>
  <c r="L40" i="10"/>
  <c r="D50" i="39"/>
  <c r="D83" i="39" s="1"/>
  <c r="B27" i="39"/>
  <c r="B58" i="39" s="1"/>
  <c r="C58" i="39" s="1"/>
  <c r="BH17" i="13" s="1"/>
  <c r="D52" i="7"/>
  <c r="C85" i="7" s="1"/>
  <c r="D34" i="7"/>
  <c r="C65" i="7" s="1"/>
  <c r="G141" i="22"/>
  <c r="C135" i="22"/>
  <c r="G123" i="22"/>
  <c r="AK86" i="60"/>
  <c r="F114" i="56"/>
  <c r="G114" i="56" s="1"/>
  <c r="CJ40" i="13" s="1"/>
  <c r="F94" i="56"/>
  <c r="G94" i="56" s="1"/>
  <c r="CJ20" i="13" s="1"/>
  <c r="B193" i="61"/>
  <c r="C145" i="22"/>
  <c r="H192" i="61"/>
  <c r="D116" i="56"/>
  <c r="E116" i="56" s="1"/>
  <c r="CI42" i="13" s="1"/>
  <c r="G144" i="22"/>
  <c r="D186" i="61"/>
  <c r="H138" i="22"/>
  <c r="B184" i="61"/>
  <c r="C136" i="22"/>
  <c r="H183" i="61"/>
  <c r="G135" i="22"/>
  <c r="D177" i="61"/>
  <c r="H129" i="22"/>
  <c r="B176" i="61"/>
  <c r="C128" i="22"/>
  <c r="H175" i="61"/>
  <c r="G127" i="22"/>
  <c r="D168" i="61"/>
  <c r="H120" i="22"/>
  <c r="B167" i="61"/>
  <c r="C119" i="22"/>
  <c r="B41" i="35"/>
  <c r="B37" i="35"/>
  <c r="B19" i="35"/>
  <c r="J65" i="10"/>
  <c r="E99" i="10" s="1"/>
  <c r="R64" i="10"/>
  <c r="L98" i="10" s="1"/>
  <c r="P98" i="10" s="1"/>
  <c r="B64" i="10"/>
  <c r="AU583" i="78" s="1"/>
  <c r="F83" i="79" s="1"/>
  <c r="J63" i="10"/>
  <c r="E97" i="10" s="1"/>
  <c r="R62" i="10"/>
  <c r="L96" i="10" s="1"/>
  <c r="B62" i="10"/>
  <c r="AU581" i="78" s="1"/>
  <c r="F81" i="79" s="1"/>
  <c r="R60" i="10"/>
  <c r="L94" i="10" s="1"/>
  <c r="B58" i="10"/>
  <c r="AU577" i="78" s="1"/>
  <c r="F77" i="79" s="1"/>
  <c r="F56" i="10"/>
  <c r="C88" i="10" s="1"/>
  <c r="C89" i="10" s="1"/>
  <c r="D50" i="10"/>
  <c r="B82" i="10" s="1"/>
  <c r="J48" i="10"/>
  <c r="E80" i="10" s="1"/>
  <c r="N46" i="10"/>
  <c r="G78" i="10" s="1"/>
  <c r="T43" i="10"/>
  <c r="M75" i="10" s="1"/>
  <c r="F40" i="10"/>
  <c r="F47" i="39"/>
  <c r="F80" i="39" s="1"/>
  <c r="G80" i="39" s="1"/>
  <c r="BJ39" i="13" s="1"/>
  <c r="D49" i="7"/>
  <c r="C80" i="7" s="1"/>
  <c r="D32" i="7"/>
  <c r="C63" i="7" s="1"/>
  <c r="G134" i="22"/>
  <c r="C129" i="22"/>
  <c r="G190" i="61"/>
  <c r="E142" i="22"/>
  <c r="G186" i="61"/>
  <c r="E138" i="22"/>
  <c r="G181" i="61"/>
  <c r="E133" i="22"/>
  <c r="G177" i="61"/>
  <c r="E129" i="22"/>
  <c r="G172" i="61"/>
  <c r="E124" i="22"/>
  <c r="G168" i="61"/>
  <c r="E120" i="22"/>
  <c r="D189" i="61"/>
  <c r="H141" i="22"/>
  <c r="H187" i="61"/>
  <c r="D111" i="56"/>
  <c r="E111" i="56" s="1"/>
  <c r="CI37" i="13" s="1"/>
  <c r="D180" i="61"/>
  <c r="H132" i="22"/>
  <c r="H178" i="61"/>
  <c r="D100" i="56"/>
  <c r="E100" i="56" s="1"/>
  <c r="CI26" i="13" s="1"/>
  <c r="D171" i="61"/>
  <c r="H123" i="22"/>
  <c r="H169" i="61"/>
  <c r="D91" i="56"/>
  <c r="E91" i="56" s="1"/>
  <c r="CI17" i="13" s="1"/>
  <c r="I142" i="22"/>
  <c r="O194" i="20" s="1"/>
  <c r="I133" i="22"/>
  <c r="O185" i="20" s="1"/>
  <c r="I124" i="22"/>
  <c r="O176" i="20" s="1"/>
  <c r="B30" i="35"/>
  <c r="B26" i="35"/>
  <c r="B20" i="35"/>
  <c r="X65" i="10"/>
  <c r="O99" i="10" s="1"/>
  <c r="H65" i="10"/>
  <c r="D99" i="10" s="1"/>
  <c r="X63" i="10"/>
  <c r="O97" i="10" s="1"/>
  <c r="H63" i="10"/>
  <c r="D97" i="10" s="1"/>
  <c r="X56" i="10"/>
  <c r="O88" i="10" s="1"/>
  <c r="D48" i="10"/>
  <c r="B80" i="10" s="1"/>
  <c r="J46" i="10"/>
  <c r="E78" i="10" s="1"/>
  <c r="N43" i="10"/>
  <c r="G75" i="10" s="1"/>
  <c r="T41" i="10"/>
  <c r="M73" i="10" s="1"/>
  <c r="B45" i="39"/>
  <c r="B78" i="39" s="1"/>
  <c r="C78" i="39" s="1"/>
  <c r="BH37" i="13" s="1"/>
  <c r="D47" i="7"/>
  <c r="C78" i="7" s="1"/>
  <c r="G145" i="22"/>
  <c r="C140" i="22"/>
  <c r="G128" i="22"/>
  <c r="C122" i="22"/>
  <c r="H117" i="56"/>
  <c r="I117" i="56" s="1"/>
  <c r="CK43" i="13" s="1"/>
  <c r="F117" i="56"/>
  <c r="G117" i="56" s="1"/>
  <c r="CJ43" i="13" s="1"/>
  <c r="H113" i="56"/>
  <c r="I113" i="56" s="1"/>
  <c r="CK39" i="13" s="1"/>
  <c r="F113" i="56"/>
  <c r="G113" i="56" s="1"/>
  <c r="CJ39" i="13" s="1"/>
  <c r="F106" i="56"/>
  <c r="H102" i="56"/>
  <c r="I102" i="56" s="1"/>
  <c r="CK28" i="13" s="1"/>
  <c r="F102" i="56"/>
  <c r="G102" i="56" s="1"/>
  <c r="CJ28" i="13" s="1"/>
  <c r="H98" i="56"/>
  <c r="I98" i="56" s="1"/>
  <c r="CK24" i="13" s="1"/>
  <c r="H93" i="56"/>
  <c r="I93" i="56" s="1"/>
  <c r="CK19" i="13" s="1"/>
  <c r="H89" i="56"/>
  <c r="I89" i="56" s="1"/>
  <c r="CK15" i="13" s="1"/>
  <c r="F89" i="56"/>
  <c r="G89" i="56" s="1"/>
  <c r="CJ15" i="13" s="1"/>
  <c r="D192" i="61"/>
  <c r="H144" i="22"/>
  <c r="B191" i="61"/>
  <c r="C143" i="22"/>
  <c r="H190" i="61"/>
  <c r="G142" i="22"/>
  <c r="D183" i="61"/>
  <c r="H135" i="22"/>
  <c r="B182" i="61"/>
  <c r="C134" i="22"/>
  <c r="H181" i="61"/>
  <c r="G133" i="22"/>
  <c r="D175" i="61"/>
  <c r="H127" i="22"/>
  <c r="B174" i="61"/>
  <c r="C126" i="22"/>
  <c r="H172" i="61"/>
  <c r="G124" i="22"/>
  <c r="B38" i="35"/>
  <c r="B34" i="35"/>
  <c r="F57" i="7"/>
  <c r="G90" i="7" s="1"/>
  <c r="B95" i="61"/>
  <c r="E95" i="61"/>
  <c r="H95" i="61"/>
  <c r="K95" i="61"/>
  <c r="B55" i="38"/>
  <c r="B88" i="38" s="1"/>
  <c r="C88" i="38" s="1"/>
  <c r="D55" i="38"/>
  <c r="D88" i="38" s="1"/>
  <c r="E88" i="38" s="1"/>
  <c r="F55" i="38"/>
  <c r="F88" i="38" s="1"/>
  <c r="Q83" i="56"/>
  <c r="L116" i="56" s="1"/>
  <c r="M116" i="56" s="1"/>
  <c r="CL42" i="13" s="1"/>
  <c r="T83" i="56"/>
  <c r="N116" i="56" s="1"/>
  <c r="O116" i="56" s="1"/>
  <c r="W83" i="56"/>
  <c r="P116" i="56" s="1"/>
  <c r="Q116" i="56" s="1"/>
  <c r="B83" i="56"/>
  <c r="B116" i="56" s="1"/>
  <c r="C116" i="56" s="1"/>
  <c r="CG42" i="13" s="1"/>
  <c r="E83" i="56"/>
  <c r="H83" i="56"/>
  <c r="F116" i="56" s="1"/>
  <c r="G116" i="56" s="1"/>
  <c r="CJ42" i="13" s="1"/>
  <c r="N83" i="56"/>
  <c r="K83" i="56"/>
  <c r="H116" i="56" s="1"/>
  <c r="I116" i="56" s="1"/>
  <c r="CK42" i="13" s="1"/>
  <c r="H56" i="2"/>
  <c r="E89" i="2" s="1"/>
  <c r="B56" i="2"/>
  <c r="B89" i="2" s="1"/>
  <c r="F56" i="2"/>
  <c r="D89" i="2" s="1"/>
  <c r="J87" i="60"/>
  <c r="V87" i="60"/>
  <c r="Y87" i="60"/>
  <c r="AI87" i="60"/>
  <c r="AY583" i="78" s="1"/>
  <c r="L87" i="60"/>
  <c r="AK87" i="60"/>
  <c r="N87" i="60"/>
  <c r="AA87" i="60"/>
  <c r="B50" i="30"/>
  <c r="B83" i="30" s="1"/>
  <c r="B87" i="60"/>
  <c r="AC87" i="60"/>
  <c r="AM87" i="60"/>
  <c r="E87" i="60"/>
  <c r="Q87" i="60"/>
  <c r="AO87" i="60"/>
  <c r="T87" i="60"/>
  <c r="AE87" i="60"/>
  <c r="AG87" i="60"/>
  <c r="G87" i="60"/>
  <c r="D120" i="60" s="1"/>
  <c r="F50" i="30"/>
  <c r="D83" i="30" s="1"/>
  <c r="G83" i="30" s="1"/>
  <c r="H83" i="30" s="1"/>
  <c r="B57" i="7"/>
  <c r="B90" i="7" s="1"/>
  <c r="D57" i="7"/>
  <c r="C90" i="7" s="1"/>
  <c r="D50" i="30"/>
  <c r="C83" i="30" s="1"/>
  <c r="H57" i="7"/>
  <c r="B50" i="39"/>
  <c r="B83" i="39" s="1"/>
  <c r="C83" i="39" s="1"/>
  <c r="BH42" i="13" s="1"/>
  <c r="F50" i="39"/>
  <c r="F83" i="39" s="1"/>
  <c r="G83" i="39" s="1"/>
  <c r="BJ42" i="13" s="1"/>
  <c r="F55" i="7"/>
  <c r="G88" i="7" s="1"/>
  <c r="B93" i="61"/>
  <c r="E93" i="61"/>
  <c r="H93" i="61"/>
  <c r="K93" i="61"/>
  <c r="B53" i="38"/>
  <c r="B86" i="38" s="1"/>
  <c r="C86" i="38" s="1"/>
  <c r="D53" i="38"/>
  <c r="D86" i="38" s="1"/>
  <c r="E86" i="38" s="1"/>
  <c r="F53" i="38"/>
  <c r="F86" i="38" s="1"/>
  <c r="Q81" i="56"/>
  <c r="L114" i="56" s="1"/>
  <c r="M114" i="56" s="1"/>
  <c r="CL40" i="13" s="1"/>
  <c r="T81" i="56"/>
  <c r="N114" i="56" s="1"/>
  <c r="O114" i="56" s="1"/>
  <c r="W81" i="56"/>
  <c r="P114" i="56" s="1"/>
  <c r="Q114" i="56" s="1"/>
  <c r="B81" i="56"/>
  <c r="B114" i="56" s="1"/>
  <c r="C114" i="56" s="1"/>
  <c r="CG40" i="13" s="1"/>
  <c r="E81" i="56"/>
  <c r="D114" i="56" s="1"/>
  <c r="E114" i="56" s="1"/>
  <c r="CI40" i="13" s="1"/>
  <c r="H81" i="56"/>
  <c r="N81" i="56"/>
  <c r="K81" i="56"/>
  <c r="H114" i="56" s="1"/>
  <c r="I114" i="56" s="1"/>
  <c r="CK40" i="13" s="1"/>
  <c r="H54" i="2"/>
  <c r="E87" i="2" s="1"/>
  <c r="Y85" i="60"/>
  <c r="AI85" i="60"/>
  <c r="AY581" i="78" s="1"/>
  <c r="L85" i="60"/>
  <c r="AK85" i="60"/>
  <c r="N85" i="60"/>
  <c r="AA85" i="60"/>
  <c r="B54" i="2"/>
  <c r="B87" i="2" s="1"/>
  <c r="E85" i="60"/>
  <c r="Q85" i="60"/>
  <c r="AO85" i="60"/>
  <c r="F54" i="2"/>
  <c r="D87" i="2" s="1"/>
  <c r="G85" i="60"/>
  <c r="AG85" i="60"/>
  <c r="V85" i="60"/>
  <c r="AC85" i="60"/>
  <c r="AE85" i="60"/>
  <c r="B85" i="60"/>
  <c r="J85" i="60"/>
  <c r="AM85" i="60"/>
  <c r="B48" i="30"/>
  <c r="B81" i="30" s="1"/>
  <c r="D48" i="30"/>
  <c r="C81" i="30" s="1"/>
  <c r="T85" i="60"/>
  <c r="F48" i="30"/>
  <c r="D81" i="30" s="1"/>
  <c r="G81" i="30" s="1"/>
  <c r="H81" i="30" s="1"/>
  <c r="D48" i="39"/>
  <c r="D81" i="39" s="1"/>
  <c r="B55" i="7"/>
  <c r="B88" i="7" s="1"/>
  <c r="F48" i="39"/>
  <c r="F81" i="39" s="1"/>
  <c r="G81" i="39" s="1"/>
  <c r="BJ40" i="13" s="1"/>
  <c r="D55" i="7"/>
  <c r="C88" i="7" s="1"/>
  <c r="H55" i="7"/>
  <c r="B48" i="39"/>
  <c r="B81" i="39" s="1"/>
  <c r="C81" i="39" s="1"/>
  <c r="BH40" i="13" s="1"/>
  <c r="F53" i="7"/>
  <c r="G86" i="7" s="1"/>
  <c r="B91" i="61"/>
  <c r="E91" i="61"/>
  <c r="H91" i="61"/>
  <c r="K91" i="61"/>
  <c r="B51" i="38"/>
  <c r="B84" i="38" s="1"/>
  <c r="C84" i="38" s="1"/>
  <c r="D51" i="38"/>
  <c r="D84" i="38" s="1"/>
  <c r="E84" i="38" s="1"/>
  <c r="Q79" i="56"/>
  <c r="L112" i="56" s="1"/>
  <c r="M112" i="56" s="1"/>
  <c r="CL38" i="13" s="1"/>
  <c r="T79" i="56"/>
  <c r="N112" i="56" s="1"/>
  <c r="O112" i="56" s="1"/>
  <c r="W79" i="56"/>
  <c r="P112" i="56" s="1"/>
  <c r="Q112" i="56" s="1"/>
  <c r="F51" i="38"/>
  <c r="F84" i="38" s="1"/>
  <c r="B79" i="56"/>
  <c r="B112" i="56" s="1"/>
  <c r="C112" i="56" s="1"/>
  <c r="CG38" i="13" s="1"/>
  <c r="E79" i="56"/>
  <c r="H79" i="56"/>
  <c r="F112" i="56" s="1"/>
  <c r="G112" i="56" s="1"/>
  <c r="CJ38" i="13" s="1"/>
  <c r="N79" i="56"/>
  <c r="K79" i="56"/>
  <c r="H112" i="56" s="1"/>
  <c r="I112" i="56" s="1"/>
  <c r="CK38" i="13" s="1"/>
  <c r="H52" i="2"/>
  <c r="E85" i="2" s="1"/>
  <c r="G83" i="60"/>
  <c r="AG83" i="60"/>
  <c r="J83" i="60"/>
  <c r="V83" i="60"/>
  <c r="Y83" i="60"/>
  <c r="AI83" i="60"/>
  <c r="AY579" i="78" s="1"/>
  <c r="B52" i="2"/>
  <c r="B85" i="2" s="1"/>
  <c r="N83" i="60"/>
  <c r="AA83" i="60"/>
  <c r="F52" i="2"/>
  <c r="D85" i="2" s="1"/>
  <c r="E83" i="60"/>
  <c r="Q83" i="60"/>
  <c r="AO83" i="60"/>
  <c r="AM83" i="60"/>
  <c r="L83" i="60"/>
  <c r="F46" i="30"/>
  <c r="D79" i="30" s="1"/>
  <c r="G79" i="30" s="1"/>
  <c r="H79" i="30" s="1"/>
  <c r="T83" i="60"/>
  <c r="AC83" i="60"/>
  <c r="AE83" i="60"/>
  <c r="B83" i="60"/>
  <c r="B116" i="60" s="1"/>
  <c r="AK83" i="60"/>
  <c r="D46" i="30"/>
  <c r="C79" i="30" s="1"/>
  <c r="B53" i="7"/>
  <c r="B86" i="7" s="1"/>
  <c r="B46" i="39"/>
  <c r="B79" i="39" s="1"/>
  <c r="C79" i="39" s="1"/>
  <c r="BH38" i="13" s="1"/>
  <c r="D53" i="7"/>
  <c r="C86" i="7" s="1"/>
  <c r="D46" i="39"/>
  <c r="D79" i="39" s="1"/>
  <c r="D60" i="10"/>
  <c r="B94" i="10" s="1"/>
  <c r="B46" i="30"/>
  <c r="B79" i="30" s="1"/>
  <c r="E79" i="30" s="1"/>
  <c r="F79" i="30" s="1"/>
  <c r="BA38" i="13" s="1"/>
  <c r="F46" i="39"/>
  <c r="F79" i="39" s="1"/>
  <c r="G79" i="39" s="1"/>
  <c r="BJ38" i="13" s="1"/>
  <c r="H53" i="7"/>
  <c r="J60" i="10"/>
  <c r="E94" i="10" s="1"/>
  <c r="F51" i="7"/>
  <c r="G84" i="7" s="1"/>
  <c r="B89" i="61"/>
  <c r="E89" i="61"/>
  <c r="H89" i="61"/>
  <c r="K89" i="61"/>
  <c r="F49" i="38"/>
  <c r="F82" i="38" s="1"/>
  <c r="D49" i="38"/>
  <c r="D82" i="38" s="1"/>
  <c r="E82" i="38" s="1"/>
  <c r="Q77" i="56"/>
  <c r="L110" i="56" s="1"/>
  <c r="M110" i="56" s="1"/>
  <c r="CL36" i="13" s="1"/>
  <c r="T77" i="56"/>
  <c r="N110" i="56" s="1"/>
  <c r="O110" i="56" s="1"/>
  <c r="B49" i="38"/>
  <c r="B82" i="38" s="1"/>
  <c r="C82" i="38" s="1"/>
  <c r="W77" i="56"/>
  <c r="P110" i="56" s="1"/>
  <c r="Q110" i="56" s="1"/>
  <c r="B77" i="56"/>
  <c r="B110" i="56" s="1"/>
  <c r="C110" i="56" s="1"/>
  <c r="CG36" i="13" s="1"/>
  <c r="E77" i="56"/>
  <c r="D110" i="56" s="1"/>
  <c r="E110" i="56" s="1"/>
  <c r="CI36" i="13" s="1"/>
  <c r="H77" i="56"/>
  <c r="F110" i="56" s="1"/>
  <c r="G110" i="56" s="1"/>
  <c r="CJ36" i="13" s="1"/>
  <c r="N77" i="56"/>
  <c r="K77" i="56"/>
  <c r="H110" i="56" s="1"/>
  <c r="I110" i="56" s="1"/>
  <c r="CK36" i="13" s="1"/>
  <c r="H50" i="2"/>
  <c r="E83" i="2" s="1"/>
  <c r="E81" i="60"/>
  <c r="Q81" i="60"/>
  <c r="AO81" i="60"/>
  <c r="T81" i="60"/>
  <c r="AE81" i="60"/>
  <c r="G81" i="60"/>
  <c r="AG81" i="60"/>
  <c r="B50" i="2"/>
  <c r="B83" i="2" s="1"/>
  <c r="Y81" i="60"/>
  <c r="AI81" i="60"/>
  <c r="F50" i="2"/>
  <c r="D83" i="2" s="1"/>
  <c r="N81" i="60"/>
  <c r="AA81" i="60"/>
  <c r="AC81" i="60"/>
  <c r="B44" i="30"/>
  <c r="B77" i="30" s="1"/>
  <c r="B81" i="60"/>
  <c r="AK81" i="60"/>
  <c r="F44" i="30"/>
  <c r="D77" i="30" s="1"/>
  <c r="G77" i="30" s="1"/>
  <c r="H77" i="30" s="1"/>
  <c r="J81" i="60"/>
  <c r="AM81" i="60"/>
  <c r="L81" i="60"/>
  <c r="F114" i="60" s="1"/>
  <c r="D44" i="30"/>
  <c r="C77" i="30" s="1"/>
  <c r="B51" i="7"/>
  <c r="B84" i="7" s="1"/>
  <c r="D51" i="7"/>
  <c r="C84" i="7" s="1"/>
  <c r="B44" i="39"/>
  <c r="B77" i="39" s="1"/>
  <c r="C77" i="39" s="1"/>
  <c r="BH36" i="13" s="1"/>
  <c r="H51" i="7"/>
  <c r="D44" i="39"/>
  <c r="D77" i="39" s="1"/>
  <c r="V81" i="60"/>
  <c r="J114" i="60" s="1"/>
  <c r="F44" i="39"/>
  <c r="F77" i="39" s="1"/>
  <c r="G77" i="39" s="1"/>
  <c r="BJ36" i="13" s="1"/>
  <c r="F48" i="7"/>
  <c r="G79" i="7" s="1"/>
  <c r="B86" i="61"/>
  <c r="E86" i="61"/>
  <c r="H86" i="61"/>
  <c r="K86" i="61"/>
  <c r="B46" i="38"/>
  <c r="B77" i="38" s="1"/>
  <c r="C77" i="38" s="1"/>
  <c r="D46" i="38"/>
  <c r="D77" i="38" s="1"/>
  <c r="E77" i="38" s="1"/>
  <c r="F46" i="38"/>
  <c r="F77" i="38" s="1"/>
  <c r="Q74" i="56"/>
  <c r="L105" i="56" s="1"/>
  <c r="M105" i="56" s="1"/>
  <c r="CL31" i="13" s="1"/>
  <c r="T74" i="56"/>
  <c r="N105" i="56" s="1"/>
  <c r="O105" i="56" s="1"/>
  <c r="W74" i="56"/>
  <c r="P105" i="56" s="1"/>
  <c r="Q105" i="56" s="1"/>
  <c r="B74" i="56"/>
  <c r="B105" i="56" s="1"/>
  <c r="C105" i="56" s="1"/>
  <c r="CG31" i="13" s="1"/>
  <c r="E74" i="56"/>
  <c r="D105" i="56" s="1"/>
  <c r="E105" i="56" s="1"/>
  <c r="CI31" i="13" s="1"/>
  <c r="H74" i="56"/>
  <c r="F105" i="56" s="1"/>
  <c r="G105" i="56" s="1"/>
  <c r="CJ31" i="13" s="1"/>
  <c r="N74" i="56"/>
  <c r="K74" i="56"/>
  <c r="H105" i="56" s="1"/>
  <c r="I105" i="56" s="1"/>
  <c r="CK31" i="13" s="1"/>
  <c r="H47" i="2"/>
  <c r="E78" i="2" s="1"/>
  <c r="N78" i="60"/>
  <c r="AA78" i="60"/>
  <c r="B78" i="60"/>
  <c r="AC78" i="60"/>
  <c r="AM78" i="60"/>
  <c r="E78" i="60"/>
  <c r="Q78" i="60"/>
  <c r="AO78" i="60"/>
  <c r="T78" i="60"/>
  <c r="AE78" i="60"/>
  <c r="G78" i="60"/>
  <c r="AG78" i="60"/>
  <c r="B47" i="2"/>
  <c r="B78" i="2" s="1"/>
  <c r="J78" i="60"/>
  <c r="V78" i="60"/>
  <c r="F47" i="2"/>
  <c r="D78" i="2" s="1"/>
  <c r="L78" i="60"/>
  <c r="AK78" i="60"/>
  <c r="B41" i="30"/>
  <c r="B72" i="30" s="1"/>
  <c r="E72" i="30" s="1"/>
  <c r="F72" i="30" s="1"/>
  <c r="BA31" i="13" s="1"/>
  <c r="Y78" i="60"/>
  <c r="F41" i="30"/>
  <c r="D72" i="30" s="1"/>
  <c r="G72" i="30" s="1"/>
  <c r="H72" i="30" s="1"/>
  <c r="AI78" i="60"/>
  <c r="AY572" i="78" s="1"/>
  <c r="D41" i="30"/>
  <c r="C72" i="30" s="1"/>
  <c r="B48" i="7"/>
  <c r="B79" i="7" s="1"/>
  <c r="D48" i="7"/>
  <c r="C79" i="7" s="1"/>
  <c r="T55" i="10"/>
  <c r="M87" i="10" s="1"/>
  <c r="H48" i="7"/>
  <c r="B41" i="39"/>
  <c r="B72" i="39" s="1"/>
  <c r="C72" i="39" s="1"/>
  <c r="BH31" i="13" s="1"/>
  <c r="F41" i="39"/>
  <c r="F72" i="39" s="1"/>
  <c r="G72" i="39" s="1"/>
  <c r="BJ31" i="13" s="1"/>
  <c r="F46" i="7"/>
  <c r="G77" i="7" s="1"/>
  <c r="B84" i="61"/>
  <c r="E84" i="61"/>
  <c r="H84" i="61"/>
  <c r="K84" i="61"/>
  <c r="B44" i="38"/>
  <c r="B75" i="38" s="1"/>
  <c r="C75" i="38" s="1"/>
  <c r="D44" i="38"/>
  <c r="D75" i="38" s="1"/>
  <c r="E75" i="38" s="1"/>
  <c r="F44" i="38"/>
  <c r="F75" i="38" s="1"/>
  <c r="Q72" i="56"/>
  <c r="L103" i="56" s="1"/>
  <c r="M103" i="56" s="1"/>
  <c r="CL29" i="13" s="1"/>
  <c r="T72" i="56"/>
  <c r="N103" i="56" s="1"/>
  <c r="O103" i="56" s="1"/>
  <c r="W72" i="56"/>
  <c r="P103" i="56" s="1"/>
  <c r="Q103" i="56" s="1"/>
  <c r="B72" i="56"/>
  <c r="B103" i="56" s="1"/>
  <c r="C103" i="56" s="1"/>
  <c r="CG29" i="13" s="1"/>
  <c r="E72" i="56"/>
  <c r="D103" i="56" s="1"/>
  <c r="E103" i="56" s="1"/>
  <c r="CI29" i="13" s="1"/>
  <c r="H72" i="56"/>
  <c r="F103" i="56" s="1"/>
  <c r="G103" i="56" s="1"/>
  <c r="CJ29" i="13" s="1"/>
  <c r="N72" i="56"/>
  <c r="K72" i="56"/>
  <c r="H103" i="56" s="1"/>
  <c r="I103" i="56" s="1"/>
  <c r="CK29" i="13" s="1"/>
  <c r="H45" i="2"/>
  <c r="E76" i="2" s="1"/>
  <c r="L76" i="60"/>
  <c r="AK76" i="60"/>
  <c r="N76" i="60"/>
  <c r="AA76" i="60"/>
  <c r="B76" i="60"/>
  <c r="AC76" i="60"/>
  <c r="AM76" i="60"/>
  <c r="E76" i="60"/>
  <c r="Q76" i="60"/>
  <c r="AO76" i="60"/>
  <c r="T76" i="60"/>
  <c r="AE76" i="60"/>
  <c r="B45" i="2"/>
  <c r="B76" i="2" s="1"/>
  <c r="G76" i="60"/>
  <c r="AG76" i="60"/>
  <c r="F45" i="2"/>
  <c r="D76" i="2" s="1"/>
  <c r="Y76" i="60"/>
  <c r="AI76" i="60"/>
  <c r="AY570" i="78" s="1"/>
  <c r="J76" i="60"/>
  <c r="B39" i="30"/>
  <c r="B70" i="30" s="1"/>
  <c r="E70" i="30" s="1"/>
  <c r="F70" i="30" s="1"/>
  <c r="BA29" i="13" s="1"/>
  <c r="V76" i="60"/>
  <c r="D39" i="30"/>
  <c r="C70" i="30" s="1"/>
  <c r="F39" i="30"/>
  <c r="D70" i="30" s="1"/>
  <c r="G70" i="30" s="1"/>
  <c r="H70" i="30" s="1"/>
  <c r="D39" i="39"/>
  <c r="D70" i="39" s="1"/>
  <c r="B46" i="7"/>
  <c r="B77" i="7" s="1"/>
  <c r="F39" i="39"/>
  <c r="F70" i="39" s="1"/>
  <c r="G70" i="39" s="1"/>
  <c r="BJ29" i="13" s="1"/>
  <c r="D46" i="7"/>
  <c r="C77" i="7" s="1"/>
  <c r="T53" i="10"/>
  <c r="M85" i="10" s="1"/>
  <c r="H46" i="7"/>
  <c r="B39" i="39"/>
  <c r="B70" i="39" s="1"/>
  <c r="C70" i="39" s="1"/>
  <c r="BH29" i="13" s="1"/>
  <c r="F44" i="7"/>
  <c r="G75" i="7" s="1"/>
  <c r="B82" i="61"/>
  <c r="E82" i="61"/>
  <c r="H82" i="61"/>
  <c r="K82" i="61"/>
  <c r="B42" i="38"/>
  <c r="B73" i="38" s="1"/>
  <c r="C73" i="38" s="1"/>
  <c r="D42" i="38"/>
  <c r="D73" i="38" s="1"/>
  <c r="E73" i="38" s="1"/>
  <c r="F42" i="38"/>
  <c r="F73" i="38" s="1"/>
  <c r="Q70" i="56"/>
  <c r="L101" i="56" s="1"/>
  <c r="M101" i="56" s="1"/>
  <c r="CL27" i="13" s="1"/>
  <c r="T70" i="56"/>
  <c r="N101" i="56" s="1"/>
  <c r="O101" i="56" s="1"/>
  <c r="W70" i="56"/>
  <c r="P101" i="56" s="1"/>
  <c r="Q101" i="56" s="1"/>
  <c r="B70" i="56"/>
  <c r="B101" i="56" s="1"/>
  <c r="C101" i="56" s="1"/>
  <c r="CG27" i="13" s="1"/>
  <c r="E70" i="56"/>
  <c r="D101" i="56" s="1"/>
  <c r="E101" i="56" s="1"/>
  <c r="CI27" i="13" s="1"/>
  <c r="H70" i="56"/>
  <c r="F101" i="56" s="1"/>
  <c r="G101" i="56" s="1"/>
  <c r="CJ27" i="13" s="1"/>
  <c r="N70" i="56"/>
  <c r="K70" i="56"/>
  <c r="H101" i="56" s="1"/>
  <c r="I101" i="56" s="1"/>
  <c r="CK27" i="13" s="1"/>
  <c r="H43" i="2"/>
  <c r="E74" i="2" s="1"/>
  <c r="J74" i="60"/>
  <c r="V74" i="60"/>
  <c r="Y74" i="60"/>
  <c r="AI74" i="60"/>
  <c r="AY568" i="78" s="1"/>
  <c r="L74" i="60"/>
  <c r="AK74" i="60"/>
  <c r="N74" i="60"/>
  <c r="AA74" i="60"/>
  <c r="B74" i="60"/>
  <c r="AC74" i="60"/>
  <c r="AM74" i="60"/>
  <c r="B43" i="2"/>
  <c r="B74" i="2" s="1"/>
  <c r="E74" i="60"/>
  <c r="Q74" i="60"/>
  <c r="AO74" i="60"/>
  <c r="F43" i="2"/>
  <c r="D74" i="2" s="1"/>
  <c r="G74" i="60"/>
  <c r="D105" i="60" s="1"/>
  <c r="AG74" i="60"/>
  <c r="AE74" i="60"/>
  <c r="F37" i="30"/>
  <c r="D68" i="30" s="1"/>
  <c r="G68" i="30" s="1"/>
  <c r="H68" i="30" s="1"/>
  <c r="D37" i="30"/>
  <c r="C68" i="30" s="1"/>
  <c r="T74" i="60"/>
  <c r="B37" i="30"/>
  <c r="B68" i="30" s="1"/>
  <c r="E68" i="30" s="1"/>
  <c r="F68" i="30" s="1"/>
  <c r="BA27" i="13" s="1"/>
  <c r="P51" i="10"/>
  <c r="V51" i="10" s="1"/>
  <c r="N83" i="10" s="1"/>
  <c r="B44" i="7"/>
  <c r="B75" i="7" s="1"/>
  <c r="B37" i="39"/>
  <c r="B68" i="39" s="1"/>
  <c r="C68" i="39" s="1"/>
  <c r="BH27" i="13" s="1"/>
  <c r="D44" i="7"/>
  <c r="C75" i="7" s="1"/>
  <c r="D37" i="39"/>
  <c r="D68" i="39" s="1"/>
  <c r="D51" i="10"/>
  <c r="B83" i="10" s="1"/>
  <c r="T51" i="10"/>
  <c r="M83" i="10" s="1"/>
  <c r="F37" i="39"/>
  <c r="F68" i="39" s="1"/>
  <c r="G68" i="39" s="1"/>
  <c r="BJ27" i="13" s="1"/>
  <c r="H44" i="7"/>
  <c r="H51" i="10"/>
  <c r="D83" i="10" s="1"/>
  <c r="J51" i="10"/>
  <c r="E83" i="10" s="1"/>
  <c r="N51" i="10"/>
  <c r="G83" i="10" s="1"/>
  <c r="F42" i="7"/>
  <c r="G73" i="7" s="1"/>
  <c r="B80" i="61"/>
  <c r="E80" i="61"/>
  <c r="H80" i="61"/>
  <c r="K80" i="61"/>
  <c r="F40" i="38"/>
  <c r="F71" i="38" s="1"/>
  <c r="N68" i="56"/>
  <c r="Q68" i="56"/>
  <c r="L99" i="56" s="1"/>
  <c r="M99" i="56" s="1"/>
  <c r="CL25" i="13" s="1"/>
  <c r="B68" i="56"/>
  <c r="B99" i="56" s="1"/>
  <c r="C99" i="56" s="1"/>
  <c r="CG25" i="13" s="1"/>
  <c r="D40" i="38"/>
  <c r="D71" i="38" s="1"/>
  <c r="E71" i="38" s="1"/>
  <c r="H68" i="56"/>
  <c r="F99" i="56" s="1"/>
  <c r="G99" i="56" s="1"/>
  <c r="CJ25" i="13" s="1"/>
  <c r="K68" i="56"/>
  <c r="H99" i="56" s="1"/>
  <c r="I99" i="56" s="1"/>
  <c r="CK25" i="13" s="1"/>
  <c r="T68" i="56"/>
  <c r="N99" i="56" s="1"/>
  <c r="O99" i="56" s="1"/>
  <c r="W68" i="56"/>
  <c r="P99" i="56" s="1"/>
  <c r="Q99" i="56" s="1"/>
  <c r="B40" i="38"/>
  <c r="B71" i="38" s="1"/>
  <c r="C71" i="38" s="1"/>
  <c r="E68" i="56"/>
  <c r="D99" i="56" s="1"/>
  <c r="E99" i="56" s="1"/>
  <c r="CI25" i="13" s="1"/>
  <c r="H41" i="2"/>
  <c r="E72" i="2" s="1"/>
  <c r="T72" i="60"/>
  <c r="AE72" i="60"/>
  <c r="G72" i="60"/>
  <c r="AG72" i="60"/>
  <c r="J72" i="60"/>
  <c r="V72" i="60"/>
  <c r="Y72" i="60"/>
  <c r="AI72" i="60"/>
  <c r="AY566" i="78" s="1"/>
  <c r="L72" i="60"/>
  <c r="AK72" i="60"/>
  <c r="B41" i="2"/>
  <c r="B72" i="2" s="1"/>
  <c r="N72" i="60"/>
  <c r="AA72" i="60"/>
  <c r="F41" i="2"/>
  <c r="D72" i="2" s="1"/>
  <c r="E72" i="60"/>
  <c r="Q72" i="60"/>
  <c r="AO72" i="60"/>
  <c r="AC72" i="60"/>
  <c r="B35" i="30"/>
  <c r="B66" i="30" s="1"/>
  <c r="E66" i="30" s="1"/>
  <c r="F66" i="30" s="1"/>
  <c r="BA25" i="13" s="1"/>
  <c r="AM72" i="60"/>
  <c r="F35" i="30"/>
  <c r="D66" i="30" s="1"/>
  <c r="G66" i="30" s="1"/>
  <c r="H66" i="30" s="1"/>
  <c r="B72" i="60"/>
  <c r="D35" i="30"/>
  <c r="C66" i="30" s="1"/>
  <c r="P49" i="10"/>
  <c r="B42" i="7"/>
  <c r="B73" i="7" s="1"/>
  <c r="D42" i="7"/>
  <c r="C73" i="7" s="1"/>
  <c r="B35" i="39"/>
  <c r="B66" i="39" s="1"/>
  <c r="C66" i="39" s="1"/>
  <c r="BH25" i="13" s="1"/>
  <c r="H42" i="7"/>
  <c r="D35" i="39"/>
  <c r="D66" i="39" s="1"/>
  <c r="F35" i="39"/>
  <c r="F66" i="39" s="1"/>
  <c r="G66" i="39" s="1"/>
  <c r="BJ25" i="13" s="1"/>
  <c r="F40" i="7"/>
  <c r="G71" i="7" s="1"/>
  <c r="B78" i="61"/>
  <c r="E78" i="61"/>
  <c r="H78" i="61"/>
  <c r="K78" i="61"/>
  <c r="B38" i="38"/>
  <c r="B69" i="38" s="1"/>
  <c r="C69" i="38" s="1"/>
  <c r="D38" i="38"/>
  <c r="D69" i="38" s="1"/>
  <c r="E69" i="38" s="1"/>
  <c r="N66" i="56"/>
  <c r="J97" i="56" s="1"/>
  <c r="F38" i="38"/>
  <c r="F69" i="38" s="1"/>
  <c r="Q66" i="56"/>
  <c r="L97" i="56" s="1"/>
  <c r="M97" i="56" s="1"/>
  <c r="CL23" i="13" s="1"/>
  <c r="T66" i="56"/>
  <c r="N97" i="56" s="1"/>
  <c r="O97" i="56" s="1"/>
  <c r="B66" i="56"/>
  <c r="B97" i="56" s="1"/>
  <c r="C97" i="56" s="1"/>
  <c r="CG23" i="13" s="1"/>
  <c r="H66" i="56"/>
  <c r="E66" i="56"/>
  <c r="D97" i="56" s="1"/>
  <c r="E97" i="56" s="1"/>
  <c r="CI23" i="13" s="1"/>
  <c r="K66" i="56"/>
  <c r="H97" i="56" s="1"/>
  <c r="I97" i="56" s="1"/>
  <c r="CK23" i="13" s="1"/>
  <c r="W66" i="56"/>
  <c r="P97" i="56" s="1"/>
  <c r="Q97" i="56" s="1"/>
  <c r="H39" i="2"/>
  <c r="E70" i="2" s="1"/>
  <c r="B70" i="60"/>
  <c r="AC70" i="60"/>
  <c r="AM70" i="60"/>
  <c r="E70" i="60"/>
  <c r="Q70" i="60"/>
  <c r="AO70" i="60"/>
  <c r="T70" i="60"/>
  <c r="AE70" i="60"/>
  <c r="G70" i="60"/>
  <c r="AG70" i="60"/>
  <c r="J70" i="60"/>
  <c r="V70" i="60"/>
  <c r="B39" i="2"/>
  <c r="B70" i="2" s="1"/>
  <c r="Y70" i="60"/>
  <c r="AI70" i="60"/>
  <c r="F39" i="2"/>
  <c r="D70" i="2" s="1"/>
  <c r="N70" i="60"/>
  <c r="AA70" i="60"/>
  <c r="L70" i="60"/>
  <c r="AK70" i="60"/>
  <c r="B33" i="30"/>
  <c r="B64" i="30" s="1"/>
  <c r="F33" i="30"/>
  <c r="D64" i="30" s="1"/>
  <c r="G64" i="30" s="1"/>
  <c r="H64" i="30" s="1"/>
  <c r="D33" i="30"/>
  <c r="C64" i="30" s="1"/>
  <c r="P47" i="10"/>
  <c r="B40" i="7"/>
  <c r="B71" i="7" s="1"/>
  <c r="D40" i="7"/>
  <c r="C71" i="7" s="1"/>
  <c r="H40" i="7"/>
  <c r="B33" i="39"/>
  <c r="B64" i="39" s="1"/>
  <c r="C64" i="39" s="1"/>
  <c r="BH23" i="13" s="1"/>
  <c r="F33" i="39"/>
  <c r="F64" i="39" s="1"/>
  <c r="G64" i="39" s="1"/>
  <c r="BJ23" i="13" s="1"/>
  <c r="F37" i="7"/>
  <c r="G68" i="7" s="1"/>
  <c r="B75" i="61"/>
  <c r="E75" i="61"/>
  <c r="H75" i="61"/>
  <c r="K75" i="61"/>
  <c r="N63" i="56"/>
  <c r="J94" i="56" s="1"/>
  <c r="B35" i="38"/>
  <c r="B66" i="38" s="1"/>
  <c r="C66" i="38" s="1"/>
  <c r="Q63" i="56"/>
  <c r="L94" i="56" s="1"/>
  <c r="M94" i="56" s="1"/>
  <c r="CL20" i="13" s="1"/>
  <c r="D35" i="38"/>
  <c r="D66" i="38" s="1"/>
  <c r="E66" i="38" s="1"/>
  <c r="T63" i="56"/>
  <c r="N94" i="56" s="1"/>
  <c r="O94" i="56" s="1"/>
  <c r="F35" i="38"/>
  <c r="F66" i="38" s="1"/>
  <c r="B63" i="56"/>
  <c r="B94" i="56" s="1"/>
  <c r="C94" i="56" s="1"/>
  <c r="CG20" i="13" s="1"/>
  <c r="H63" i="56"/>
  <c r="E63" i="56"/>
  <c r="D94" i="56" s="1"/>
  <c r="E94" i="56" s="1"/>
  <c r="CI20" i="13" s="1"/>
  <c r="K63" i="56"/>
  <c r="H94" i="56" s="1"/>
  <c r="I94" i="56" s="1"/>
  <c r="CK20" i="13" s="1"/>
  <c r="W63" i="56"/>
  <c r="P94" i="56" s="1"/>
  <c r="Q94" i="56" s="1"/>
  <c r="H36" i="2"/>
  <c r="E67" i="2" s="1"/>
  <c r="L67" i="60"/>
  <c r="AK67" i="60"/>
  <c r="N67" i="60"/>
  <c r="AA67" i="60"/>
  <c r="B67" i="60"/>
  <c r="B98" i="60" s="1"/>
  <c r="AC67" i="60"/>
  <c r="AM67" i="60"/>
  <c r="E67" i="60"/>
  <c r="Q67" i="60"/>
  <c r="AO67" i="60"/>
  <c r="T67" i="60"/>
  <c r="AE67" i="60"/>
  <c r="B36" i="2"/>
  <c r="B67" i="2" s="1"/>
  <c r="G67" i="60"/>
  <c r="AG67" i="60"/>
  <c r="F36" i="2"/>
  <c r="D67" i="2" s="1"/>
  <c r="Y67" i="60"/>
  <c r="AI67" i="60"/>
  <c r="J67" i="60"/>
  <c r="V67" i="60"/>
  <c r="B30" i="30"/>
  <c r="B61" i="30" s="1"/>
  <c r="E61" i="30" s="1"/>
  <c r="F61" i="30" s="1"/>
  <c r="BA20" i="13" s="1"/>
  <c r="D30" i="30"/>
  <c r="C61" i="30" s="1"/>
  <c r="F30" i="30"/>
  <c r="D61" i="30" s="1"/>
  <c r="G61" i="30" s="1"/>
  <c r="H61" i="30" s="1"/>
  <c r="D30" i="39"/>
  <c r="D61" i="39" s="1"/>
  <c r="P44" i="10"/>
  <c r="B37" i="7"/>
  <c r="B68" i="7" s="1"/>
  <c r="F30" i="39"/>
  <c r="F61" i="39" s="1"/>
  <c r="G61" i="39" s="1"/>
  <c r="BJ20" i="13" s="1"/>
  <c r="D37" i="7"/>
  <c r="C68" i="7" s="1"/>
  <c r="H37" i="7"/>
  <c r="B30" i="39"/>
  <c r="B61" i="39" s="1"/>
  <c r="C61" i="39" s="1"/>
  <c r="BH20" i="13" s="1"/>
  <c r="N61" i="56"/>
  <c r="J92" i="56" s="1"/>
  <c r="T61" i="56"/>
  <c r="N92" i="56" s="1"/>
  <c r="O92" i="56" s="1"/>
  <c r="B61" i="56"/>
  <c r="B92" i="56" s="1"/>
  <c r="C92" i="56" s="1"/>
  <c r="CG18" i="13" s="1"/>
  <c r="H61" i="56"/>
  <c r="F92" i="56" s="1"/>
  <c r="G92" i="56" s="1"/>
  <c r="CJ18" i="13" s="1"/>
  <c r="E61" i="56"/>
  <c r="D92" i="56" s="1"/>
  <c r="E92" i="56" s="1"/>
  <c r="CI18" i="13" s="1"/>
  <c r="W61" i="56"/>
  <c r="P92" i="56" s="1"/>
  <c r="Q92" i="56" s="1"/>
  <c r="K61" i="56"/>
  <c r="H92" i="56" s="1"/>
  <c r="I92" i="56" s="1"/>
  <c r="CK18" i="13" s="1"/>
  <c r="J65" i="60"/>
  <c r="V65" i="60"/>
  <c r="Y65" i="60"/>
  <c r="AI65" i="60"/>
  <c r="L65" i="60"/>
  <c r="AK65" i="60"/>
  <c r="N65" i="60"/>
  <c r="AA65" i="60"/>
  <c r="B65" i="60"/>
  <c r="AC65" i="60"/>
  <c r="AM65" i="60"/>
  <c r="E65" i="60"/>
  <c r="Q65" i="60"/>
  <c r="AO65" i="60"/>
  <c r="G65" i="60"/>
  <c r="AG65" i="60"/>
  <c r="T65" i="60"/>
  <c r="AE65" i="60"/>
  <c r="F33" i="7"/>
  <c r="B71" i="61"/>
  <c r="E71" i="61"/>
  <c r="H71" i="61"/>
  <c r="K71" i="61"/>
  <c r="F31" i="38"/>
  <c r="N59" i="56"/>
  <c r="Q59" i="56"/>
  <c r="T59" i="56"/>
  <c r="N90" i="56" s="1"/>
  <c r="O90" i="56" s="1"/>
  <c r="B59" i="56"/>
  <c r="B90" i="56" s="1"/>
  <c r="C90" i="56" s="1"/>
  <c r="CG16" i="13" s="1"/>
  <c r="D31" i="38"/>
  <c r="H59" i="56"/>
  <c r="F90" i="56" s="1"/>
  <c r="G90" i="56" s="1"/>
  <c r="CJ16" i="13" s="1"/>
  <c r="K59" i="56"/>
  <c r="H90" i="56" s="1"/>
  <c r="I90" i="56" s="1"/>
  <c r="CK16" i="13" s="1"/>
  <c r="W59" i="56"/>
  <c r="P90" i="56" s="1"/>
  <c r="Q90" i="56" s="1"/>
  <c r="B31" i="38"/>
  <c r="E59" i="56"/>
  <c r="D90" i="56" s="1"/>
  <c r="E90" i="56" s="1"/>
  <c r="CI16" i="13" s="1"/>
  <c r="H32" i="2"/>
  <c r="T63" i="60"/>
  <c r="AE63" i="60"/>
  <c r="G63" i="60"/>
  <c r="AG63" i="60"/>
  <c r="J63" i="60"/>
  <c r="V63" i="60"/>
  <c r="Y63" i="60"/>
  <c r="AI63" i="60"/>
  <c r="AY557" i="78" s="1"/>
  <c r="L63" i="60"/>
  <c r="F94" i="60" s="1"/>
  <c r="AK63" i="60"/>
  <c r="B32" i="2"/>
  <c r="N63" i="60"/>
  <c r="AA63" i="60"/>
  <c r="F32" i="2"/>
  <c r="E63" i="60"/>
  <c r="Q63" i="60"/>
  <c r="AO63" i="60"/>
  <c r="B26" i="30"/>
  <c r="F26" i="30"/>
  <c r="B63" i="60"/>
  <c r="AC63" i="60"/>
  <c r="D26" i="30"/>
  <c r="AM63" i="60"/>
  <c r="P40" i="10"/>
  <c r="P42" i="10" s="1"/>
  <c r="B33" i="7"/>
  <c r="D33" i="7"/>
  <c r="D40" i="10"/>
  <c r="T40" i="10"/>
  <c r="B26" i="39"/>
  <c r="H33" i="7"/>
  <c r="D26" i="39"/>
  <c r="H40" i="10"/>
  <c r="F26" i="39"/>
  <c r="J40" i="10"/>
  <c r="N40" i="10"/>
  <c r="V65" i="10"/>
  <c r="N99" i="10" s="1"/>
  <c r="F65" i="10"/>
  <c r="C99" i="10" s="1"/>
  <c r="N64" i="10"/>
  <c r="G98" i="10" s="1"/>
  <c r="V63" i="10"/>
  <c r="N97" i="10" s="1"/>
  <c r="F63" i="10"/>
  <c r="C97" i="10" s="1"/>
  <c r="N62" i="10"/>
  <c r="G96" i="10" s="1"/>
  <c r="N60" i="10"/>
  <c r="G94" i="10" s="1"/>
  <c r="P59" i="10"/>
  <c r="X59" i="10" s="1"/>
  <c r="O93" i="10" s="1"/>
  <c r="V56" i="10"/>
  <c r="N88" i="10" s="1"/>
  <c r="X55" i="10"/>
  <c r="O87" i="10" s="1"/>
  <c r="B55" i="10"/>
  <c r="AU572" i="78" s="1"/>
  <c r="F73" i="79" s="1"/>
  <c r="B53" i="10"/>
  <c r="AU570" i="78" s="1"/>
  <c r="F71" i="79" s="1"/>
  <c r="L51" i="10"/>
  <c r="F83" i="10" s="1"/>
  <c r="R49" i="10"/>
  <c r="L81" i="10" s="1"/>
  <c r="D46" i="10"/>
  <c r="B78" i="10" s="1"/>
  <c r="J43" i="10"/>
  <c r="E75" i="10" s="1"/>
  <c r="T39" i="10"/>
  <c r="M71" i="10" s="1"/>
  <c r="D41" i="39"/>
  <c r="D72" i="39" s="1"/>
  <c r="D45" i="7"/>
  <c r="C76" i="7" s="1"/>
  <c r="G139" i="22"/>
  <c r="C133" i="22"/>
  <c r="G121" i="22"/>
  <c r="Q80" i="10" l="1"/>
  <c r="AN24" i="13" s="1"/>
  <c r="BE24" i="13" s="1"/>
  <c r="S114" i="63"/>
  <c r="H107" i="56"/>
  <c r="H108" i="56" s="1"/>
  <c r="I106" i="56"/>
  <c r="S117" i="62"/>
  <c r="T117" i="62"/>
  <c r="S116" i="62"/>
  <c r="T116" i="62"/>
  <c r="E92" i="55"/>
  <c r="I90" i="55"/>
  <c r="V107" i="62"/>
  <c r="W114" i="62"/>
  <c r="Q159" i="57" s="1"/>
  <c r="BF123" i="63"/>
  <c r="BF124" i="63" s="1"/>
  <c r="BE124" i="63"/>
  <c r="D86" i="70"/>
  <c r="T125" i="62"/>
  <c r="T126" i="62" s="1"/>
  <c r="C176" i="57"/>
  <c r="F116" i="55"/>
  <c r="H116" i="55" s="1"/>
  <c r="C174" i="57"/>
  <c r="F114" i="55"/>
  <c r="H114" i="55" s="1"/>
  <c r="K128" i="62"/>
  <c r="V128" i="62"/>
  <c r="B111" i="55"/>
  <c r="I117" i="55"/>
  <c r="J117" i="55" s="1"/>
  <c r="V134" i="62"/>
  <c r="D107" i="56"/>
  <c r="D108" i="56" s="1"/>
  <c r="E106" i="56"/>
  <c r="S109" i="62"/>
  <c r="I92" i="55" s="1"/>
  <c r="T109" i="62"/>
  <c r="T115" i="62"/>
  <c r="W115" i="62" s="1"/>
  <c r="Q160" i="57" s="1"/>
  <c r="S115" i="62"/>
  <c r="I98" i="55" s="1"/>
  <c r="J98" i="55" s="1"/>
  <c r="H34" i="2"/>
  <c r="E63" i="2"/>
  <c r="E65" i="2" s="1"/>
  <c r="H67" i="2"/>
  <c r="I67" i="2" s="1"/>
  <c r="H77" i="7"/>
  <c r="N77" i="7" s="1"/>
  <c r="AF29" i="13" s="1"/>
  <c r="D77" i="7"/>
  <c r="K114" i="60"/>
  <c r="J147" i="60"/>
  <c r="F23" i="79"/>
  <c r="F577" i="78"/>
  <c r="AV165" i="71"/>
  <c r="R165" i="71" s="1"/>
  <c r="AV165" i="72"/>
  <c r="R165" i="72" s="1"/>
  <c r="AV165" i="16"/>
  <c r="R165" i="16" s="1"/>
  <c r="E93" i="60"/>
  <c r="D126" i="60"/>
  <c r="E126" i="60" s="1"/>
  <c r="H95" i="60"/>
  <c r="I115" i="60"/>
  <c r="H148" i="60"/>
  <c r="I148" i="60" s="1"/>
  <c r="J116" i="55"/>
  <c r="Y112" i="1"/>
  <c r="W112" i="1"/>
  <c r="W117" i="1"/>
  <c r="Y117" i="1"/>
  <c r="C20" i="17"/>
  <c r="C113" i="17"/>
  <c r="C175" i="17"/>
  <c r="C237" i="17"/>
  <c r="C51" i="17"/>
  <c r="C144" i="17"/>
  <c r="C206" i="17"/>
  <c r="C268" i="17"/>
  <c r="C299" i="17"/>
  <c r="C82" i="17"/>
  <c r="AN572" i="78"/>
  <c r="H88" i="8"/>
  <c r="F61" i="10"/>
  <c r="C95" i="10" s="1"/>
  <c r="N89" i="10"/>
  <c r="D72" i="10"/>
  <c r="D74" i="10" s="1"/>
  <c r="V47" i="10"/>
  <c r="N79" i="10" s="1"/>
  <c r="R58" i="10"/>
  <c r="L92" i="10" s="1"/>
  <c r="D28" i="39"/>
  <c r="D57" i="39"/>
  <c r="H94" i="60"/>
  <c r="H73" i="61"/>
  <c r="N44" i="10"/>
  <c r="G76" i="10" s="1"/>
  <c r="D98" i="60"/>
  <c r="D101" i="60"/>
  <c r="J49" i="10"/>
  <c r="E81" i="10" s="1"/>
  <c r="D49" i="10"/>
  <c r="B81" i="10" s="1"/>
  <c r="AL152" i="71"/>
  <c r="H152" i="71" s="1"/>
  <c r="AL152" i="72"/>
  <c r="H152" i="72" s="1"/>
  <c r="AL152" i="16"/>
  <c r="H152" i="16" s="1"/>
  <c r="J53" i="10"/>
  <c r="E85" i="10" s="1"/>
  <c r="E77" i="7"/>
  <c r="M77" i="7"/>
  <c r="AE29" i="13" s="1"/>
  <c r="AG570" i="78"/>
  <c r="AL154" i="71"/>
  <c r="H154" i="71" s="1"/>
  <c r="AL154" i="72"/>
  <c r="H154" i="72" s="1"/>
  <c r="AL154" i="16"/>
  <c r="H154" i="16" s="1"/>
  <c r="M79" i="7"/>
  <c r="AE31" i="13" s="1"/>
  <c r="AG572" i="78"/>
  <c r="AL156" i="71"/>
  <c r="H156" i="71" s="1"/>
  <c r="AL156" i="72"/>
  <c r="H156" i="72" s="1"/>
  <c r="AL156" i="16"/>
  <c r="H156" i="16" s="1"/>
  <c r="M84" i="7"/>
  <c r="AE36" i="13" s="1"/>
  <c r="AG577" i="78"/>
  <c r="E77" i="30"/>
  <c r="F77" i="30" s="1"/>
  <c r="BA36" i="13" s="1"/>
  <c r="H85" i="2"/>
  <c r="I85" i="2" s="1"/>
  <c r="J112" i="56"/>
  <c r="B118" i="60"/>
  <c r="H118" i="60"/>
  <c r="J116" i="56"/>
  <c r="X61" i="10"/>
  <c r="O95" i="10" s="1"/>
  <c r="C72" i="10"/>
  <c r="H55" i="10"/>
  <c r="D87" i="10" s="1"/>
  <c r="P96" i="10"/>
  <c r="L53" i="10"/>
  <c r="F85" i="10" s="1"/>
  <c r="L61" i="10"/>
  <c r="F95" i="10" s="1"/>
  <c r="R41" i="10"/>
  <c r="L73" i="10" s="1"/>
  <c r="H65" i="7"/>
  <c r="D65" i="7"/>
  <c r="D70" i="7"/>
  <c r="H70" i="7"/>
  <c r="AL147" i="71"/>
  <c r="H147" i="71" s="1"/>
  <c r="AL147" i="72"/>
  <c r="H147" i="72" s="1"/>
  <c r="AL147" i="16"/>
  <c r="H147" i="16" s="1"/>
  <c r="D100" i="60"/>
  <c r="E65" i="39"/>
  <c r="BI24" i="13" s="1"/>
  <c r="AQ565" i="78"/>
  <c r="D102" i="60"/>
  <c r="M74" i="7"/>
  <c r="AE26" i="13" s="1"/>
  <c r="AG567" i="78"/>
  <c r="H104" i="60"/>
  <c r="R52" i="10"/>
  <c r="L84" i="10" s="1"/>
  <c r="P84" i="10" s="1"/>
  <c r="H76" i="7"/>
  <c r="D76" i="7"/>
  <c r="B106" i="60"/>
  <c r="I76" i="7"/>
  <c r="J76" i="7" s="1"/>
  <c r="H77" i="2"/>
  <c r="I77" i="2" s="1"/>
  <c r="P88" i="10"/>
  <c r="D80" i="7"/>
  <c r="H80" i="7"/>
  <c r="J110" i="60"/>
  <c r="L107" i="56"/>
  <c r="L108" i="56" s="1"/>
  <c r="M106" i="56"/>
  <c r="E78" i="39"/>
  <c r="BI37" i="13" s="1"/>
  <c r="AQ578" i="78"/>
  <c r="H84" i="2"/>
  <c r="I84" i="2" s="1"/>
  <c r="D117" i="60"/>
  <c r="M89" i="7"/>
  <c r="AE41" i="13" s="1"/>
  <c r="AG582" i="78"/>
  <c r="AY582" i="78"/>
  <c r="H91" i="7"/>
  <c r="D91" i="7"/>
  <c r="L44" i="10"/>
  <c r="F76" i="10" s="1"/>
  <c r="H62" i="10"/>
  <c r="D96" i="10" s="1"/>
  <c r="H96" i="10" s="1"/>
  <c r="V55" i="10"/>
  <c r="N87" i="10" s="1"/>
  <c r="P87" i="10" s="1"/>
  <c r="H97" i="10"/>
  <c r="J97" i="10"/>
  <c r="K97" i="10" s="1"/>
  <c r="AM41" i="13" s="1"/>
  <c r="AV166" i="71"/>
  <c r="R166" i="71" s="1"/>
  <c r="AV166" i="72"/>
  <c r="R166" i="72" s="1"/>
  <c r="AV166" i="16"/>
  <c r="R166" i="16" s="1"/>
  <c r="V49" i="10"/>
  <c r="N81" i="10" s="1"/>
  <c r="N52" i="10"/>
  <c r="G84" i="10" s="1"/>
  <c r="N110" i="62"/>
  <c r="E93" i="55" s="1"/>
  <c r="C93" i="55"/>
  <c r="Z63" i="60"/>
  <c r="K111" i="62"/>
  <c r="W111" i="62" s="1"/>
  <c r="Q156" i="57" s="1"/>
  <c r="V111" i="62"/>
  <c r="B94" i="55"/>
  <c r="S122" i="62"/>
  <c r="I105" i="55" s="1"/>
  <c r="J105" i="55" s="1"/>
  <c r="V133" i="62"/>
  <c r="V129" i="62"/>
  <c r="E171" i="61"/>
  <c r="AR560" i="78"/>
  <c r="AJ156" i="57"/>
  <c r="S112" i="62"/>
  <c r="W124" i="62"/>
  <c r="Q169" i="57" s="1"/>
  <c r="K125" i="62"/>
  <c r="BO30" i="13"/>
  <c r="R205" i="26"/>
  <c r="R146" i="17" s="1"/>
  <c r="AC205" i="26"/>
  <c r="R208" i="17" s="1"/>
  <c r="L169" i="61"/>
  <c r="B105" i="55"/>
  <c r="K120" i="62"/>
  <c r="W120" i="62" s="1"/>
  <c r="Q165" i="57" s="1"/>
  <c r="V120" i="62"/>
  <c r="B103" i="55"/>
  <c r="E188" i="61"/>
  <c r="AR579" i="78"/>
  <c r="AJ173" i="57"/>
  <c r="G112" i="55"/>
  <c r="L112" i="55" s="1"/>
  <c r="BK37" i="13" s="1"/>
  <c r="F90" i="55"/>
  <c r="H90" i="55" s="1"/>
  <c r="C152" i="57"/>
  <c r="C64" i="76"/>
  <c r="C95" i="76"/>
  <c r="C126" i="76"/>
  <c r="C40" i="76"/>
  <c r="C71" i="76"/>
  <c r="C102" i="76"/>
  <c r="C57" i="76"/>
  <c r="C88" i="76"/>
  <c r="C119" i="76"/>
  <c r="L89" i="69"/>
  <c r="C125" i="72"/>
  <c r="AJ559" i="78"/>
  <c r="F70" i="58"/>
  <c r="D92" i="70"/>
  <c r="X58" i="70"/>
  <c r="V92" i="70" s="1"/>
  <c r="F91" i="12"/>
  <c r="I91" i="12"/>
  <c r="AA563" i="78"/>
  <c r="C174" i="61" s="1"/>
  <c r="I178" i="20"/>
  <c r="K79" i="48"/>
  <c r="AA556" i="78"/>
  <c r="C167" i="61" s="1"/>
  <c r="D39" i="10"/>
  <c r="B71" i="10" s="1"/>
  <c r="K72" i="48"/>
  <c r="I171" i="20"/>
  <c r="W119" i="1"/>
  <c r="Y119" i="1"/>
  <c r="AA112" i="1"/>
  <c r="AA126" i="1"/>
  <c r="E59" i="33"/>
  <c r="AI78" i="1"/>
  <c r="AQ78" i="1"/>
  <c r="AV574" i="78"/>
  <c r="H88" i="36"/>
  <c r="AV575" i="78" s="1"/>
  <c r="I87" i="36"/>
  <c r="I88" i="36" s="1"/>
  <c r="I72" i="36"/>
  <c r="Y120" i="1"/>
  <c r="W120" i="1"/>
  <c r="W131" i="1"/>
  <c r="Y131" i="1"/>
  <c r="C13" i="17"/>
  <c r="C292" i="17"/>
  <c r="C106" i="17"/>
  <c r="C168" i="17"/>
  <c r="C230" i="17"/>
  <c r="C44" i="17"/>
  <c r="C75" i="17"/>
  <c r="C137" i="17"/>
  <c r="C199" i="17"/>
  <c r="C261" i="17"/>
  <c r="Q571" i="78"/>
  <c r="BJ120" i="63"/>
  <c r="AQ30" i="13" s="1"/>
  <c r="Y143" i="72"/>
  <c r="D109" i="16"/>
  <c r="AA143" i="72"/>
  <c r="G75" i="29"/>
  <c r="H74" i="29"/>
  <c r="H75" i="29" s="1"/>
  <c r="L565" i="78"/>
  <c r="AX114" i="63"/>
  <c r="S568" i="78"/>
  <c r="BP117" i="63"/>
  <c r="M581" i="78"/>
  <c r="AV130" i="63"/>
  <c r="AO40" i="13" s="1"/>
  <c r="H91" i="15"/>
  <c r="M557" i="78"/>
  <c r="AV106" i="63"/>
  <c r="AO16" i="13" s="1"/>
  <c r="BQ117" i="63"/>
  <c r="BR117" i="63" s="1"/>
  <c r="BE159" i="71"/>
  <c r="AA159" i="71" s="1"/>
  <c r="BE159" i="72"/>
  <c r="AA159" i="72" s="1"/>
  <c r="BE159" i="16"/>
  <c r="AA159" i="16" s="1"/>
  <c r="M580" i="78"/>
  <c r="AV129" i="63"/>
  <c r="AO39" i="13" s="1"/>
  <c r="AL132" i="63"/>
  <c r="BQ132" i="63"/>
  <c r="BR132" i="63" s="1"/>
  <c r="Q557" i="78"/>
  <c r="BJ106" i="63"/>
  <c r="AQ16" i="13" s="1"/>
  <c r="AC143" i="71"/>
  <c r="P572" i="78"/>
  <c r="S560" i="78"/>
  <c r="BP109" i="63"/>
  <c r="L566" i="78"/>
  <c r="AX115" i="63"/>
  <c r="L570" i="78"/>
  <c r="AX119" i="63"/>
  <c r="S556" i="78"/>
  <c r="BP105" i="63"/>
  <c r="Q573" i="78"/>
  <c r="BJ122" i="63"/>
  <c r="AQ32" i="13" s="1"/>
  <c r="M572" i="78"/>
  <c r="AV121" i="63"/>
  <c r="AO31" i="13" s="1"/>
  <c r="BQ122" i="63"/>
  <c r="BR122" i="63" s="1"/>
  <c r="Q580" i="78"/>
  <c r="BJ129" i="63"/>
  <c r="AQ39" i="13" s="1"/>
  <c r="D78" i="28"/>
  <c r="G77" i="28"/>
  <c r="M558" i="78"/>
  <c r="AV107" i="63"/>
  <c r="AO17" i="13" s="1"/>
  <c r="AY16" i="13"/>
  <c r="AY18" i="13" s="1"/>
  <c r="F62" i="28"/>
  <c r="AN563" i="78"/>
  <c r="H79" i="8"/>
  <c r="C116" i="60"/>
  <c r="B149" i="60"/>
  <c r="C149" i="60" s="1"/>
  <c r="M88" i="7"/>
  <c r="AE40" i="13" s="1"/>
  <c r="AG581" i="78"/>
  <c r="P75" i="10"/>
  <c r="H91" i="31"/>
  <c r="BC32" i="13"/>
  <c r="C38" i="76"/>
  <c r="C69" i="76"/>
  <c r="C100" i="76"/>
  <c r="AA571" i="78"/>
  <c r="C182" i="61" s="1"/>
  <c r="I186" i="20"/>
  <c r="K87" i="48"/>
  <c r="W115" i="1"/>
  <c r="Y115" i="1"/>
  <c r="J124" i="16"/>
  <c r="B125" i="16"/>
  <c r="BK123" i="63"/>
  <c r="O124" i="63"/>
  <c r="N76" i="7"/>
  <c r="AF28" i="13" s="1"/>
  <c r="B28" i="39"/>
  <c r="B57" i="39"/>
  <c r="D63" i="2"/>
  <c r="F34" i="2"/>
  <c r="Q61" i="56"/>
  <c r="L92" i="56" s="1"/>
  <c r="M92" i="56" s="1"/>
  <c r="CL18" i="13" s="1"/>
  <c r="L90" i="56"/>
  <c r="M90" i="56" s="1"/>
  <c r="CL16" i="13" s="1"/>
  <c r="E73" i="61"/>
  <c r="M68" i="7"/>
  <c r="AE20" i="13" s="1"/>
  <c r="AG561" i="78"/>
  <c r="X47" i="10"/>
  <c r="O79" i="10" s="1"/>
  <c r="AY564" i="78"/>
  <c r="B101" i="60"/>
  <c r="X49" i="10"/>
  <c r="O81" i="10" s="1"/>
  <c r="D103" i="60"/>
  <c r="H83" i="10"/>
  <c r="J83" i="10"/>
  <c r="K83" i="10" s="1"/>
  <c r="AM27" i="13" s="1"/>
  <c r="AV152" i="71"/>
  <c r="R152" i="71" s="1"/>
  <c r="AV152" i="72"/>
  <c r="R152" i="72" s="1"/>
  <c r="AV152" i="16"/>
  <c r="R152" i="16" s="1"/>
  <c r="H105" i="60"/>
  <c r="J101" i="56"/>
  <c r="J107" i="60"/>
  <c r="D107" i="60"/>
  <c r="J55" i="10"/>
  <c r="E87" i="10" s="1"/>
  <c r="H109" i="60"/>
  <c r="J105" i="56"/>
  <c r="E77" i="39"/>
  <c r="BI36" i="13" s="1"/>
  <c r="AQ577" i="78"/>
  <c r="D114" i="60"/>
  <c r="J110" i="56"/>
  <c r="AV163" i="71"/>
  <c r="R163" i="71" s="1"/>
  <c r="AV163" i="72"/>
  <c r="R163" i="72" s="1"/>
  <c r="AV163" i="16"/>
  <c r="R163" i="16" s="1"/>
  <c r="H116" i="60"/>
  <c r="E81" i="39"/>
  <c r="BI40" i="13" s="1"/>
  <c r="AQ581" i="78"/>
  <c r="H87" i="2"/>
  <c r="I87" i="2" s="1"/>
  <c r="D90" i="7"/>
  <c r="H90" i="7"/>
  <c r="E83" i="30"/>
  <c r="F83" i="30" s="1"/>
  <c r="BA42" i="13" s="1"/>
  <c r="AV149" i="71"/>
  <c r="R149" i="71" s="1"/>
  <c r="AV149" i="72"/>
  <c r="R149" i="72" s="1"/>
  <c r="AV149" i="16"/>
  <c r="R149" i="16" s="1"/>
  <c r="E83" i="39"/>
  <c r="BI42" i="13" s="1"/>
  <c r="AQ583" i="78"/>
  <c r="L55" i="10"/>
  <c r="F87" i="10" s="1"/>
  <c r="N55" i="10"/>
  <c r="G87" i="10" s="1"/>
  <c r="J93" i="60"/>
  <c r="AG558" i="78"/>
  <c r="M65" i="7"/>
  <c r="AE17" i="13" s="1"/>
  <c r="D95" i="60"/>
  <c r="H67" i="7"/>
  <c r="I67" i="7" s="1"/>
  <c r="J67" i="7" s="1"/>
  <c r="D67" i="7"/>
  <c r="E60" i="30"/>
  <c r="F60" i="30" s="1"/>
  <c r="BA19" i="13" s="1"/>
  <c r="E63" i="39"/>
  <c r="BI22" i="13" s="1"/>
  <c r="AQ563" i="78"/>
  <c r="H100" i="60"/>
  <c r="B100" i="60"/>
  <c r="H48" i="10"/>
  <c r="D80" i="10" s="1"/>
  <c r="H80" i="10" s="1"/>
  <c r="F102" i="60"/>
  <c r="L50" i="10"/>
  <c r="F82" i="10" s="1"/>
  <c r="AY567" i="78"/>
  <c r="D104" i="60"/>
  <c r="J100" i="56"/>
  <c r="E69" i="39"/>
  <c r="BI28" i="13" s="1"/>
  <c r="AQ569" i="78"/>
  <c r="R54" i="10"/>
  <c r="L86" i="10" s="1"/>
  <c r="F108" i="60"/>
  <c r="E80" i="7"/>
  <c r="M80" i="7"/>
  <c r="AE32" i="13" s="1"/>
  <c r="B81" i="7"/>
  <c r="AG573" i="78"/>
  <c r="B74" i="30"/>
  <c r="E73" i="30"/>
  <c r="F73" i="30" s="1"/>
  <c r="BA32" i="13" s="1"/>
  <c r="AY573" i="78"/>
  <c r="AY574" i="78" s="1"/>
  <c r="J106" i="56"/>
  <c r="D115" i="60"/>
  <c r="J115" i="60"/>
  <c r="AL162" i="71"/>
  <c r="H162" i="71" s="1"/>
  <c r="AL162" i="72"/>
  <c r="H162" i="72" s="1"/>
  <c r="AL162" i="16"/>
  <c r="H162" i="16" s="1"/>
  <c r="J111" i="56"/>
  <c r="AL164" i="71"/>
  <c r="H164" i="71" s="1"/>
  <c r="AL164" i="72"/>
  <c r="H164" i="72" s="1"/>
  <c r="AL164" i="16"/>
  <c r="H164" i="16" s="1"/>
  <c r="H86" i="2"/>
  <c r="I86" i="2" s="1"/>
  <c r="E82" i="39"/>
  <c r="BI41" i="13" s="1"/>
  <c r="AQ582" i="78"/>
  <c r="J119" i="60"/>
  <c r="D119" i="60"/>
  <c r="AY584" i="78"/>
  <c r="R47" i="10"/>
  <c r="L79" i="10" s="1"/>
  <c r="L64" i="10"/>
  <c r="F98" i="10" s="1"/>
  <c r="F53" i="10"/>
  <c r="C85" i="10" s="1"/>
  <c r="N56" i="10"/>
  <c r="G88" i="10" s="1"/>
  <c r="V54" i="10"/>
  <c r="N86" i="10" s="1"/>
  <c r="Z66" i="60"/>
  <c r="J97" i="60" s="1"/>
  <c r="O558" i="78"/>
  <c r="H62" i="5"/>
  <c r="N17" i="13" s="1"/>
  <c r="T128" i="62"/>
  <c r="V578" i="78"/>
  <c r="AK172" i="57"/>
  <c r="W116" i="62"/>
  <c r="Q161" i="57" s="1"/>
  <c r="B118" i="55"/>
  <c r="K135" i="62"/>
  <c r="W135" i="62" s="1"/>
  <c r="Q178" i="57" s="1"/>
  <c r="V135" i="62"/>
  <c r="H113" i="55"/>
  <c r="T118" i="62"/>
  <c r="W118" i="62" s="1"/>
  <c r="Q163" i="57" s="1"/>
  <c r="F102" i="55"/>
  <c r="H102" i="55" s="1"/>
  <c r="E191" i="61"/>
  <c r="AR582" i="78"/>
  <c r="AJ176" i="57"/>
  <c r="E76" i="31"/>
  <c r="BD16" i="13"/>
  <c r="BD18" i="13" s="1"/>
  <c r="C89" i="76"/>
  <c r="C120" i="76"/>
  <c r="C58" i="76"/>
  <c r="C51" i="76"/>
  <c r="C82" i="76"/>
  <c r="C113" i="76"/>
  <c r="C56" i="76"/>
  <c r="C87" i="76"/>
  <c r="C118" i="76"/>
  <c r="C117" i="76"/>
  <c r="C86" i="76"/>
  <c r="C55" i="76"/>
  <c r="J109" i="71"/>
  <c r="C10" i="76" s="1"/>
  <c r="C8" i="76"/>
  <c r="AD143" i="72"/>
  <c r="I80" i="12"/>
  <c r="F80" i="12"/>
  <c r="BH143" i="71"/>
  <c r="BH143" i="72"/>
  <c r="BH143" i="16"/>
  <c r="Y130" i="1"/>
  <c r="W130" i="1"/>
  <c r="I76" i="12"/>
  <c r="F76" i="12"/>
  <c r="AA565" i="78"/>
  <c r="C176" i="61" s="1"/>
  <c r="I180" i="20"/>
  <c r="K81" i="48"/>
  <c r="AA570" i="78"/>
  <c r="C181" i="61" s="1"/>
  <c r="V53" i="10"/>
  <c r="N85" i="10" s="1"/>
  <c r="K86" i="48"/>
  <c r="I185" i="20"/>
  <c r="AO78" i="1"/>
  <c r="AA111" i="1" s="1"/>
  <c r="W108" i="1"/>
  <c r="Y108" i="1"/>
  <c r="AG78" i="1"/>
  <c r="AA118" i="1"/>
  <c r="AA129" i="1"/>
  <c r="I70" i="12"/>
  <c r="Y110" i="1"/>
  <c r="BH158" i="71"/>
  <c r="AD158" i="71" s="1"/>
  <c r="BH158" i="72"/>
  <c r="AD158" i="72" s="1"/>
  <c r="C84" i="12"/>
  <c r="BH158" i="16"/>
  <c r="AD158" i="16" s="1"/>
  <c r="Y135" i="1"/>
  <c r="W135" i="1"/>
  <c r="H62" i="27"/>
  <c r="E77" i="27"/>
  <c r="B78" i="27"/>
  <c r="C266" i="17"/>
  <c r="C49" i="17"/>
  <c r="C80" i="17"/>
  <c r="C142" i="17"/>
  <c r="C204" i="17"/>
  <c r="C297" i="17"/>
  <c r="C18" i="17"/>
  <c r="C111" i="17"/>
  <c r="C173" i="17"/>
  <c r="C235" i="17"/>
  <c r="Q558" i="78"/>
  <c r="BJ107" i="63"/>
  <c r="AQ17" i="13" s="1"/>
  <c r="Q563" i="78"/>
  <c r="BJ112" i="63"/>
  <c r="AQ22" i="13" s="1"/>
  <c r="CM33" i="13"/>
  <c r="J91" i="15"/>
  <c r="CM34" i="13" s="1"/>
  <c r="L569" i="78"/>
  <c r="AX118" i="63"/>
  <c r="AW142" i="71"/>
  <c r="S142" i="71" s="1"/>
  <c r="AW142" i="72"/>
  <c r="S142" i="72" s="1"/>
  <c r="AW142" i="16"/>
  <c r="S142" i="16" s="1"/>
  <c r="L563" i="78"/>
  <c r="AX112" i="63"/>
  <c r="S572" i="78"/>
  <c r="BP121" i="63"/>
  <c r="M583" i="78"/>
  <c r="AV132" i="63"/>
  <c r="AO42" i="13" s="1"/>
  <c r="T143" i="72"/>
  <c r="AY123" i="63"/>
  <c r="I124" i="63"/>
  <c r="M577" i="78"/>
  <c r="AV126" i="63"/>
  <c r="AO36" i="13" s="1"/>
  <c r="BQ106" i="63"/>
  <c r="BR106" i="63" s="1"/>
  <c r="AL106" i="63"/>
  <c r="P564" i="78"/>
  <c r="M566" i="78"/>
  <c r="AV115" i="63"/>
  <c r="AO25" i="13" s="1"/>
  <c r="M570" i="78"/>
  <c r="AV119" i="63"/>
  <c r="AO29" i="13" s="1"/>
  <c r="BB158" i="71"/>
  <c r="X158" i="71" s="1"/>
  <c r="BB158" i="72"/>
  <c r="X158" i="72" s="1"/>
  <c r="BB158" i="16"/>
  <c r="X158" i="16" s="1"/>
  <c r="AE124" i="63"/>
  <c r="S577" i="78"/>
  <c r="BP126" i="63"/>
  <c r="S583" i="78"/>
  <c r="BP132" i="63"/>
  <c r="Q559" i="78"/>
  <c r="BJ108" i="63"/>
  <c r="AQ18" i="13" s="1"/>
  <c r="L573" i="78"/>
  <c r="AX122" i="63"/>
  <c r="BQ127" i="63"/>
  <c r="BR127" i="63" s="1"/>
  <c r="AN571" i="78"/>
  <c r="H87" i="8"/>
  <c r="E91" i="8"/>
  <c r="G91" i="8" s="1"/>
  <c r="AN575" i="78" s="1"/>
  <c r="F90" i="8"/>
  <c r="G90" i="8"/>
  <c r="D64" i="7"/>
  <c r="H35" i="7"/>
  <c r="H64" i="7"/>
  <c r="H66" i="7" s="1"/>
  <c r="P71" i="10"/>
  <c r="H66" i="2"/>
  <c r="I66" i="2" s="1"/>
  <c r="I106" i="60"/>
  <c r="H139" i="60"/>
  <c r="I139" i="60" s="1"/>
  <c r="D87" i="7"/>
  <c r="H87" i="7"/>
  <c r="AL166" i="71"/>
  <c r="H166" i="71" s="1"/>
  <c r="AL166" i="72"/>
  <c r="H166" i="72" s="1"/>
  <c r="AL166" i="16"/>
  <c r="H166" i="16" s="1"/>
  <c r="B154" i="60"/>
  <c r="C154" i="60" s="1"/>
  <c r="C121" i="60"/>
  <c r="L126" i="62"/>
  <c r="C109" i="55" s="1"/>
  <c r="V575" i="78" s="1"/>
  <c r="F130" i="79" s="1"/>
  <c r="C108" i="55"/>
  <c r="V574" i="78" s="1"/>
  <c r="F129" i="79" s="1"/>
  <c r="BO25" i="13"/>
  <c r="C43" i="76"/>
  <c r="C74" i="76"/>
  <c r="C105" i="76"/>
  <c r="AA561" i="78"/>
  <c r="C172" i="61" s="1"/>
  <c r="I176" i="20"/>
  <c r="K77" i="48"/>
  <c r="H79" i="12"/>
  <c r="I79" i="12"/>
  <c r="C286" i="17"/>
  <c r="C38" i="17"/>
  <c r="C100" i="17"/>
  <c r="C162" i="17"/>
  <c r="C224" i="17"/>
  <c r="C69" i="17"/>
  <c r="C131" i="17"/>
  <c r="C193" i="17"/>
  <c r="C255" i="17"/>
  <c r="C7" i="17"/>
  <c r="Q581" i="78"/>
  <c r="BJ130" i="63"/>
  <c r="AQ40" i="13" s="1"/>
  <c r="E78" i="28"/>
  <c r="F77" i="28"/>
  <c r="G72" i="10"/>
  <c r="AY561" i="78"/>
  <c r="K172" i="61"/>
  <c r="K94" i="56"/>
  <c r="CE20" i="13" s="1"/>
  <c r="AI561" i="78"/>
  <c r="K175" i="61"/>
  <c r="K97" i="56"/>
  <c r="CE23" i="13" s="1"/>
  <c r="AI564" i="78"/>
  <c r="H49" i="10"/>
  <c r="D81" i="10" s="1"/>
  <c r="M73" i="7"/>
  <c r="AE25" i="13" s="1"/>
  <c r="AG566" i="78"/>
  <c r="B103" i="60"/>
  <c r="F103" i="60"/>
  <c r="E68" i="39"/>
  <c r="BI27" i="13" s="1"/>
  <c r="AQ568" i="78"/>
  <c r="F105" i="60"/>
  <c r="H76" i="2"/>
  <c r="I76" i="2" s="1"/>
  <c r="B107" i="60"/>
  <c r="H78" i="2"/>
  <c r="I78" i="2" s="1"/>
  <c r="D84" i="7"/>
  <c r="H84" i="7"/>
  <c r="E79" i="39"/>
  <c r="BI38" i="13" s="1"/>
  <c r="AQ579" i="78"/>
  <c r="J116" i="60"/>
  <c r="J118" i="60"/>
  <c r="AL167" i="71"/>
  <c r="H167" i="71" s="1"/>
  <c r="AL167" i="72"/>
  <c r="H167" i="72" s="1"/>
  <c r="AL167" i="16"/>
  <c r="H167" i="16" s="1"/>
  <c r="I90" i="7"/>
  <c r="J90" i="7" s="1"/>
  <c r="G106" i="56"/>
  <c r="F107" i="56"/>
  <c r="F108" i="56" s="1"/>
  <c r="H54" i="10"/>
  <c r="D86" i="10" s="1"/>
  <c r="Q98" i="10"/>
  <c r="AN42" i="13" s="1"/>
  <c r="BE42" i="13" s="1"/>
  <c r="S132" i="63"/>
  <c r="F72" i="10"/>
  <c r="H56" i="10"/>
  <c r="D88" i="10" s="1"/>
  <c r="D89" i="10" s="1"/>
  <c r="D90" i="10" s="1"/>
  <c r="R40" i="10"/>
  <c r="J56" i="10"/>
  <c r="E88" i="10" s="1"/>
  <c r="M63" i="7"/>
  <c r="AE15" i="13" s="1"/>
  <c r="AG556" i="78"/>
  <c r="F93" i="60"/>
  <c r="I63" i="7"/>
  <c r="J63" i="7" s="1"/>
  <c r="AY558" i="78"/>
  <c r="AQ560" i="78"/>
  <c r="E60" i="39"/>
  <c r="BI19" i="13" s="1"/>
  <c r="C97" i="60"/>
  <c r="B130" i="60"/>
  <c r="C130" i="60" s="1"/>
  <c r="AL144" i="71"/>
  <c r="H144" i="71" s="1"/>
  <c r="AL144" i="72"/>
  <c r="H144" i="72" s="1"/>
  <c r="AL144" i="16"/>
  <c r="H144" i="16" s="1"/>
  <c r="H97" i="60"/>
  <c r="B102" i="60"/>
  <c r="H71" i="2"/>
  <c r="I71" i="2" s="1"/>
  <c r="V50" i="10"/>
  <c r="N82" i="10" s="1"/>
  <c r="E76" i="7"/>
  <c r="M76" i="7"/>
  <c r="AE28" i="13" s="1"/>
  <c r="AG569" i="78"/>
  <c r="F139" i="60"/>
  <c r="G139" i="60" s="1"/>
  <c r="G106" i="60"/>
  <c r="E106" i="60"/>
  <c r="D139" i="60"/>
  <c r="E139" i="60" s="1"/>
  <c r="D78" i="7"/>
  <c r="H78" i="7"/>
  <c r="AL155" i="71"/>
  <c r="H155" i="71" s="1"/>
  <c r="AL155" i="72"/>
  <c r="H155" i="72" s="1"/>
  <c r="AL155" i="16"/>
  <c r="H155" i="16" s="1"/>
  <c r="D108" i="60"/>
  <c r="L56" i="10"/>
  <c r="F88" i="10" s="1"/>
  <c r="E78" i="38"/>
  <c r="D79" i="38"/>
  <c r="M85" i="7"/>
  <c r="AE37" i="13" s="1"/>
  <c r="AG578" i="78"/>
  <c r="E91" i="7"/>
  <c r="M91" i="7"/>
  <c r="AE43" i="13" s="1"/>
  <c r="AG584" i="78"/>
  <c r="H121" i="60"/>
  <c r="K193" i="61"/>
  <c r="K117" i="56"/>
  <c r="CE43" i="13" s="1"/>
  <c r="AI584" i="78"/>
  <c r="R53" i="10"/>
  <c r="L85" i="10" s="1"/>
  <c r="P85" i="10" s="1"/>
  <c r="H64" i="10"/>
  <c r="D98" i="10" s="1"/>
  <c r="N59" i="10"/>
  <c r="G93" i="10" s="1"/>
  <c r="H99" i="10"/>
  <c r="J99" i="10"/>
  <c r="K99" i="10" s="1"/>
  <c r="AM43" i="13" s="1"/>
  <c r="AV168" i="71"/>
  <c r="R168" i="71" s="1"/>
  <c r="AV168" i="72"/>
  <c r="R168" i="72" s="1"/>
  <c r="AV168" i="16"/>
  <c r="R168" i="16" s="1"/>
  <c r="F55" i="10"/>
  <c r="C87" i="10" s="1"/>
  <c r="J39" i="10"/>
  <c r="E71" i="10" s="1"/>
  <c r="H59" i="10"/>
  <c r="D93" i="10" s="1"/>
  <c r="J59" i="10"/>
  <c r="E93" i="10" s="1"/>
  <c r="H93" i="10" s="1"/>
  <c r="O557" i="78"/>
  <c r="H61" i="5"/>
  <c r="G63" i="5"/>
  <c r="O559" i="78" s="1"/>
  <c r="V108" i="62"/>
  <c r="B91" i="55"/>
  <c r="H75" i="31"/>
  <c r="BC17" i="13" s="1"/>
  <c r="F76" i="31"/>
  <c r="H76" i="31" s="1"/>
  <c r="BC18" i="13" s="1"/>
  <c r="AH65" i="60"/>
  <c r="B96" i="60" s="1"/>
  <c r="B129" i="60" s="1"/>
  <c r="K65" i="60"/>
  <c r="D96" i="60" s="1"/>
  <c r="D129" i="60" s="1"/>
  <c r="AL65" i="60"/>
  <c r="P65" i="60"/>
  <c r="U65" i="60"/>
  <c r="F65" i="60"/>
  <c r="AP65" i="60"/>
  <c r="R125" i="62"/>
  <c r="R126" i="62" s="1"/>
  <c r="D79" i="5"/>
  <c r="G78" i="5"/>
  <c r="J114" i="55"/>
  <c r="V569" i="78"/>
  <c r="AK165" i="57"/>
  <c r="K119" i="62"/>
  <c r="W119" i="62" s="1"/>
  <c r="Q164" i="57" s="1"/>
  <c r="V119" i="62"/>
  <c r="B102" i="55"/>
  <c r="S114" i="62"/>
  <c r="I97" i="55" s="1"/>
  <c r="J97" i="55" s="1"/>
  <c r="G92" i="31"/>
  <c r="V131" i="62"/>
  <c r="B114" i="55"/>
  <c r="J123" i="62"/>
  <c r="F100" i="55"/>
  <c r="H100" i="55" s="1"/>
  <c r="C52" i="76"/>
  <c r="C114" i="76"/>
  <c r="C83" i="76"/>
  <c r="C54" i="76"/>
  <c r="C85" i="76"/>
  <c r="C116" i="76"/>
  <c r="C109" i="76"/>
  <c r="C78" i="76"/>
  <c r="C47" i="76"/>
  <c r="H89" i="69"/>
  <c r="X41" i="69"/>
  <c r="V71" i="69"/>
  <c r="V73" i="69" s="1"/>
  <c r="H85" i="70"/>
  <c r="H86" i="70" s="1"/>
  <c r="AD143" i="71"/>
  <c r="AA573" i="78"/>
  <c r="C184" i="61" s="1"/>
  <c r="J90" i="48"/>
  <c r="I188" i="20"/>
  <c r="K89" i="48"/>
  <c r="AA582" i="78"/>
  <c r="C191" i="61" s="1"/>
  <c r="I195" i="20"/>
  <c r="K98" i="48"/>
  <c r="AM78" i="1"/>
  <c r="W122" i="1"/>
  <c r="Y122" i="1"/>
  <c r="F82" i="12"/>
  <c r="I82" i="12"/>
  <c r="AX574" i="78"/>
  <c r="L88" i="36"/>
  <c r="AX575" i="78" s="1"/>
  <c r="M87" i="36"/>
  <c r="M88" i="36" s="1"/>
  <c r="F88" i="36"/>
  <c r="N88" i="36" s="1"/>
  <c r="AK575" i="78" s="1"/>
  <c r="N87" i="36"/>
  <c r="AK574" i="78" s="1"/>
  <c r="G87" i="36"/>
  <c r="H60" i="10"/>
  <c r="D94" i="10" s="1"/>
  <c r="AA579" i="78"/>
  <c r="C188" i="61" s="1"/>
  <c r="I192" i="20"/>
  <c r="K95" i="48"/>
  <c r="W123" i="1"/>
  <c r="W116" i="1"/>
  <c r="Y116" i="1"/>
  <c r="G62" i="27"/>
  <c r="BI158" i="71"/>
  <c r="AE158" i="71" s="1"/>
  <c r="BI158" i="72"/>
  <c r="AE158" i="72" s="1"/>
  <c r="D84" i="12"/>
  <c r="BI158" i="16"/>
  <c r="AE158" i="16" s="1"/>
  <c r="C21" i="17"/>
  <c r="C300" i="17"/>
  <c r="C114" i="17"/>
  <c r="C176" i="17"/>
  <c r="C238" i="17"/>
  <c r="C52" i="17"/>
  <c r="C83" i="17"/>
  <c r="C145" i="17"/>
  <c r="C207" i="17"/>
  <c r="C269" i="17"/>
  <c r="X143" i="16"/>
  <c r="Y143" i="16"/>
  <c r="F57" i="29"/>
  <c r="E59" i="29"/>
  <c r="P579" i="78"/>
  <c r="M582" i="78"/>
  <c r="AV131" i="63"/>
  <c r="AO41" i="13" s="1"/>
  <c r="AW143" i="71"/>
  <c r="AW143" i="72"/>
  <c r="AW143" i="16"/>
  <c r="M563" i="78"/>
  <c r="AV112" i="63"/>
  <c r="AO22" i="13" s="1"/>
  <c r="L564" i="78"/>
  <c r="AX113" i="63"/>
  <c r="AX158" i="71"/>
  <c r="T158" i="71" s="1"/>
  <c r="AX158" i="72"/>
  <c r="T158" i="72" s="1"/>
  <c r="AX158" i="16"/>
  <c r="T158" i="16" s="1"/>
  <c r="AA124" i="63"/>
  <c r="T143" i="71"/>
  <c r="BQ108" i="63"/>
  <c r="BR108" i="63" s="1"/>
  <c r="U143" i="16"/>
  <c r="BQ116" i="63"/>
  <c r="BR116" i="63" s="1"/>
  <c r="AL121" i="63"/>
  <c r="BQ121" i="63"/>
  <c r="BR121" i="63" s="1"/>
  <c r="M578" i="78"/>
  <c r="AV127" i="63"/>
  <c r="AO37" i="13" s="1"/>
  <c r="Q561" i="78"/>
  <c r="BJ110" i="63"/>
  <c r="AQ20" i="13" s="1"/>
  <c r="BM123" i="63"/>
  <c r="P124" i="63"/>
  <c r="BQ118" i="63"/>
  <c r="BR118" i="63" s="1"/>
  <c r="BQ129" i="63"/>
  <c r="BR129" i="63" s="1"/>
  <c r="Q583" i="78"/>
  <c r="BJ132" i="63"/>
  <c r="AQ42" i="13" s="1"/>
  <c r="AL131" i="63"/>
  <c r="BQ131" i="63"/>
  <c r="BR131" i="63" s="1"/>
  <c r="M564" i="78"/>
  <c r="AV113" i="63"/>
  <c r="AO23" i="13" s="1"/>
  <c r="AN556" i="78"/>
  <c r="H72" i="8"/>
  <c r="AN578" i="78"/>
  <c r="H94" i="8"/>
  <c r="AN570" i="78"/>
  <c r="H86" i="8"/>
  <c r="AN579" i="78"/>
  <c r="H95" i="8"/>
  <c r="C98" i="60"/>
  <c r="B131" i="60"/>
  <c r="C131" i="60" s="1"/>
  <c r="E71" i="7"/>
  <c r="M71" i="7"/>
  <c r="AE23" i="13" s="1"/>
  <c r="AG564" i="78"/>
  <c r="J109" i="60"/>
  <c r="G114" i="60"/>
  <c r="F147" i="60"/>
  <c r="G147" i="60" s="1"/>
  <c r="E56" i="39"/>
  <c r="BI15" i="13" s="1"/>
  <c r="AQ556" i="78"/>
  <c r="F74" i="79"/>
  <c r="AU574" i="78"/>
  <c r="C115" i="60"/>
  <c r="B148" i="60"/>
  <c r="C148" i="60" s="1"/>
  <c r="G121" i="60"/>
  <c r="F154" i="60"/>
  <c r="G154" i="60" s="1"/>
  <c r="M89" i="10"/>
  <c r="M90" i="10" s="1"/>
  <c r="E183" i="61"/>
  <c r="AR572" i="78"/>
  <c r="AJ168" i="57"/>
  <c r="BO28" i="13"/>
  <c r="AA580" i="78"/>
  <c r="C189" i="61" s="1"/>
  <c r="I193" i="20"/>
  <c r="K96" i="48"/>
  <c r="AA577" i="78"/>
  <c r="C186" i="61" s="1"/>
  <c r="I190" i="20"/>
  <c r="K93" i="48"/>
  <c r="L47" i="10"/>
  <c r="F79" i="10" s="1"/>
  <c r="AA564" i="78"/>
  <c r="C175" i="61" s="1"/>
  <c r="I179" i="20"/>
  <c r="K80" i="48"/>
  <c r="I72" i="12"/>
  <c r="F72" i="12"/>
  <c r="AW123" i="63"/>
  <c r="H124" i="63"/>
  <c r="S558" i="78"/>
  <c r="BP107" i="63"/>
  <c r="E72" i="39"/>
  <c r="BI31" i="13" s="1"/>
  <c r="AQ572" i="78"/>
  <c r="D28" i="30"/>
  <c r="C57" i="30"/>
  <c r="C59" i="30" s="1"/>
  <c r="J94" i="60"/>
  <c r="B62" i="38"/>
  <c r="B33" i="38"/>
  <c r="X44" i="10"/>
  <c r="O76" i="10" s="1"/>
  <c r="V61" i="10"/>
  <c r="N95" i="10" s="1"/>
  <c r="D42" i="10"/>
  <c r="B72" i="10"/>
  <c r="F28" i="30"/>
  <c r="D57" i="30"/>
  <c r="F62" i="38"/>
  <c r="F64" i="38" s="1"/>
  <c r="F33" i="38"/>
  <c r="B73" i="61"/>
  <c r="H96" i="60"/>
  <c r="H129" i="60" s="1"/>
  <c r="H44" i="10"/>
  <c r="D76" i="10" s="1"/>
  <c r="H71" i="7"/>
  <c r="D71" i="7"/>
  <c r="E64" i="30"/>
  <c r="F64" i="30" s="1"/>
  <c r="BA23" i="13" s="1"/>
  <c r="H70" i="2"/>
  <c r="I70" i="2" s="1"/>
  <c r="E66" i="39"/>
  <c r="BI25" i="13" s="1"/>
  <c r="AQ566" i="78"/>
  <c r="H103" i="60"/>
  <c r="H74" i="2"/>
  <c r="I74" i="2" s="1"/>
  <c r="J103" i="56"/>
  <c r="H79" i="7"/>
  <c r="D79" i="7"/>
  <c r="AL161" i="71"/>
  <c r="H161" i="71" s="1"/>
  <c r="AL161" i="72"/>
  <c r="H161" i="72" s="1"/>
  <c r="AL161" i="16"/>
  <c r="H161" i="16" s="1"/>
  <c r="N86" i="7"/>
  <c r="AF38" i="13" s="1"/>
  <c r="AL163" i="71"/>
  <c r="H163" i="71" s="1"/>
  <c r="AL163" i="72"/>
  <c r="H163" i="72" s="1"/>
  <c r="AL163" i="16"/>
  <c r="H163" i="16" s="1"/>
  <c r="E81" i="30"/>
  <c r="F81" i="30" s="1"/>
  <c r="BA40" i="13" s="1"/>
  <c r="J114" i="56"/>
  <c r="H89" i="2"/>
  <c r="I89" i="2" s="1"/>
  <c r="D56" i="10"/>
  <c r="B88" i="10" s="1"/>
  <c r="AV151" i="71"/>
  <c r="R151" i="71" s="1"/>
  <c r="AV151" i="72"/>
  <c r="R151" i="72" s="1"/>
  <c r="AV151" i="16"/>
  <c r="R151" i="16" s="1"/>
  <c r="V59" i="10"/>
  <c r="N93" i="10" s="1"/>
  <c r="F58" i="10"/>
  <c r="C92" i="10" s="1"/>
  <c r="AV167" i="71"/>
  <c r="R167" i="71" s="1"/>
  <c r="AV167" i="72"/>
  <c r="R167" i="72" s="1"/>
  <c r="AV167" i="16"/>
  <c r="R167" i="16" s="1"/>
  <c r="F44" i="10"/>
  <c r="C76" i="10" s="1"/>
  <c r="H58" i="10"/>
  <c r="D92" i="10" s="1"/>
  <c r="B93" i="60"/>
  <c r="H62" i="2"/>
  <c r="I62" i="2" s="1"/>
  <c r="V41" i="10"/>
  <c r="N73" i="10" s="1"/>
  <c r="L41" i="10"/>
  <c r="F73" i="10" s="1"/>
  <c r="K169" i="61"/>
  <c r="K91" i="56"/>
  <c r="CE17" i="13" s="1"/>
  <c r="AI558" i="78"/>
  <c r="E67" i="7"/>
  <c r="M67" i="7"/>
  <c r="AE19" i="13" s="1"/>
  <c r="AG560" i="78"/>
  <c r="J100" i="60"/>
  <c r="E72" i="7"/>
  <c r="M72" i="7"/>
  <c r="AE24" i="13" s="1"/>
  <c r="AG565" i="78"/>
  <c r="D72" i="7"/>
  <c r="H72" i="7"/>
  <c r="I72" i="7" s="1"/>
  <c r="J72" i="7" s="1"/>
  <c r="AL149" i="71"/>
  <c r="H149" i="71" s="1"/>
  <c r="AL149" i="72"/>
  <c r="H149" i="72" s="1"/>
  <c r="AL149" i="16"/>
  <c r="H149" i="16" s="1"/>
  <c r="AY565" i="78"/>
  <c r="F50" i="10"/>
  <c r="C82" i="10" s="1"/>
  <c r="J82" i="10" s="1"/>
  <c r="K82" i="10" s="1"/>
  <c r="AM26" i="13" s="1"/>
  <c r="X50" i="10"/>
  <c r="O82" i="10" s="1"/>
  <c r="E67" i="30"/>
  <c r="F67" i="30" s="1"/>
  <c r="BA26" i="13" s="1"/>
  <c r="M78" i="7"/>
  <c r="AE30" i="13" s="1"/>
  <c r="AG571" i="78"/>
  <c r="B141" i="60"/>
  <c r="C141" i="60" s="1"/>
  <c r="C108" i="60"/>
  <c r="J104" i="56"/>
  <c r="G73" i="39"/>
  <c r="BJ32" i="13" s="1"/>
  <c r="F74" i="39"/>
  <c r="B110" i="60"/>
  <c r="F110" i="60"/>
  <c r="B79" i="38"/>
  <c r="C78" i="38"/>
  <c r="E80" i="30"/>
  <c r="F80" i="30" s="1"/>
  <c r="BA39" i="13" s="1"/>
  <c r="F117" i="60"/>
  <c r="H117" i="60"/>
  <c r="J113" i="56"/>
  <c r="D89" i="7"/>
  <c r="E89" i="7" s="1"/>
  <c r="H89" i="7"/>
  <c r="I89" i="7" s="1"/>
  <c r="J89" i="7" s="1"/>
  <c r="J121" i="60"/>
  <c r="L60" i="10"/>
  <c r="F94" i="10" s="1"/>
  <c r="V58" i="10"/>
  <c r="N92" i="10" s="1"/>
  <c r="J41" i="10"/>
  <c r="E73" i="10" s="1"/>
  <c r="P97" i="10"/>
  <c r="H77" i="5"/>
  <c r="N32" i="13" s="1"/>
  <c r="O573" i="78"/>
  <c r="V563" i="78"/>
  <c r="AK159" i="57"/>
  <c r="BO41" i="13"/>
  <c r="B79" i="5"/>
  <c r="W117" i="62"/>
  <c r="Q162" i="57" s="1"/>
  <c r="B97" i="55"/>
  <c r="L192" i="61"/>
  <c r="G117" i="55"/>
  <c r="L117" i="55" s="1"/>
  <c r="BK42" i="13" s="1"/>
  <c r="L184" i="61"/>
  <c r="H104" i="55"/>
  <c r="F105" i="55"/>
  <c r="H105" i="55" s="1"/>
  <c r="C62" i="76"/>
  <c r="C93" i="76"/>
  <c r="C124" i="76"/>
  <c r="AM574" i="78"/>
  <c r="D91" i="31"/>
  <c r="B92" i="31"/>
  <c r="AM575" i="78" s="1"/>
  <c r="N88" i="69"/>
  <c r="N89" i="69" s="1"/>
  <c r="P89" i="69"/>
  <c r="C81" i="76"/>
  <c r="C112" i="76"/>
  <c r="C50" i="76"/>
  <c r="X37" i="70"/>
  <c r="D69" i="70"/>
  <c r="V86" i="70"/>
  <c r="T107" i="62"/>
  <c r="W107" i="62" s="1"/>
  <c r="Q152" i="57" s="1"/>
  <c r="J91" i="55"/>
  <c r="AW557" i="78"/>
  <c r="J72" i="36"/>
  <c r="AW559" i="78" s="1"/>
  <c r="K70" i="36"/>
  <c r="K72" i="36" s="1"/>
  <c r="AA583" i="78"/>
  <c r="C192" i="61" s="1"/>
  <c r="J64" i="10"/>
  <c r="E98" i="10" s="1"/>
  <c r="H98" i="10" s="1"/>
  <c r="I196" i="20"/>
  <c r="K99" i="48"/>
  <c r="W134" i="1"/>
  <c r="Y134" i="1"/>
  <c r="AA108" i="1"/>
  <c r="W132" i="1"/>
  <c r="Y132" i="1"/>
  <c r="AA136" i="1"/>
  <c r="I69" i="12"/>
  <c r="F69" i="12"/>
  <c r="F92" i="12"/>
  <c r="I92" i="12"/>
  <c r="AS78" i="1"/>
  <c r="F90" i="12"/>
  <c r="I90" i="12"/>
  <c r="E83" i="12"/>
  <c r="G83" i="12"/>
  <c r="B84" i="12"/>
  <c r="E74" i="33"/>
  <c r="B75" i="33"/>
  <c r="AA135" i="1"/>
  <c r="F60" i="27"/>
  <c r="E62" i="27"/>
  <c r="J109" i="16"/>
  <c r="C39" i="17"/>
  <c r="C132" i="17"/>
  <c r="C194" i="17"/>
  <c r="C256" i="17"/>
  <c r="C287" i="17"/>
  <c r="C8" i="17"/>
  <c r="C101" i="17"/>
  <c r="C163" i="17"/>
  <c r="C225" i="17"/>
  <c r="C70" i="17"/>
  <c r="C15" i="17"/>
  <c r="C294" i="17"/>
  <c r="C46" i="17"/>
  <c r="C108" i="17"/>
  <c r="C139" i="17"/>
  <c r="C170" i="17"/>
  <c r="C201" i="17"/>
  <c r="C232" i="17"/>
  <c r="C77" i="17"/>
  <c r="C263" i="17"/>
  <c r="X143" i="72"/>
  <c r="Z143" i="16"/>
  <c r="S559" i="78"/>
  <c r="BP108" i="63"/>
  <c r="S563" i="78"/>
  <c r="BP112" i="63"/>
  <c r="CC115" i="63"/>
  <c r="CD115" i="63" s="1"/>
  <c r="AU25" i="13" s="1"/>
  <c r="AB143" i="16"/>
  <c r="BO123" i="63"/>
  <c r="Q124" i="63"/>
  <c r="V109" i="63" a="1"/>
  <c r="V109" i="63" s="1"/>
  <c r="W109" i="63" s="1"/>
  <c r="U143" i="72"/>
  <c r="CC110" i="63"/>
  <c r="CD110" i="63" s="1"/>
  <c r="AU20" i="13" s="1"/>
  <c r="AP123" i="63"/>
  <c r="AP124" i="63" s="1"/>
  <c r="AO124" i="63"/>
  <c r="Q568" i="78"/>
  <c r="BJ117" i="63"/>
  <c r="AQ27" i="13" s="1"/>
  <c r="M571" i="78"/>
  <c r="AV120" i="63"/>
  <c r="AO30" i="13" s="1"/>
  <c r="BQ109" i="63"/>
  <c r="BR109" i="63" s="1"/>
  <c r="Q566" i="78"/>
  <c r="BJ115" i="63"/>
  <c r="AQ25" i="13" s="1"/>
  <c r="AN105" i="63"/>
  <c r="BQ105" i="63"/>
  <c r="BR105" i="63" s="1"/>
  <c r="M565" i="78"/>
  <c r="AV114" i="63"/>
  <c r="AO24" i="13" s="1"/>
  <c r="BQ128" i="63"/>
  <c r="BR128" i="63" s="1"/>
  <c r="AL128" i="63"/>
  <c r="S579" i="78"/>
  <c r="BP128" i="63"/>
  <c r="Q582" i="78"/>
  <c r="BJ131" i="63"/>
  <c r="AQ41" i="13" s="1"/>
  <c r="Q564" i="78"/>
  <c r="BJ113" i="63"/>
  <c r="AQ23" i="13" s="1"/>
  <c r="AH16" i="13"/>
  <c r="F75" i="8"/>
  <c r="E62" i="28"/>
  <c r="G73" i="8"/>
  <c r="AL148" i="71"/>
  <c r="H148" i="71" s="1"/>
  <c r="AL148" i="72"/>
  <c r="H148" i="72" s="1"/>
  <c r="AL148" i="16"/>
  <c r="H148" i="16" s="1"/>
  <c r="H72" i="2"/>
  <c r="I72" i="2" s="1"/>
  <c r="E70" i="39"/>
  <c r="BI29" i="13" s="1"/>
  <c r="AQ570" i="78"/>
  <c r="N87" i="7"/>
  <c r="AF39" i="13" s="1"/>
  <c r="K176" i="61"/>
  <c r="K98" i="56"/>
  <c r="CE24" i="13" s="1"/>
  <c r="AI565" i="78"/>
  <c r="C74" i="30"/>
  <c r="C75" i="30" s="1"/>
  <c r="R59" i="10"/>
  <c r="L93" i="10" s="1"/>
  <c r="B117" i="60"/>
  <c r="H90" i="2"/>
  <c r="I90" i="2" s="1"/>
  <c r="B113" i="55"/>
  <c r="K130" i="62"/>
  <c r="W130" i="62" s="1"/>
  <c r="Q173" i="57" s="1"/>
  <c r="T569" i="78"/>
  <c r="J78" i="12"/>
  <c r="AV28" i="13" s="1"/>
  <c r="L584" i="78"/>
  <c r="AX133" i="63"/>
  <c r="L583" i="78"/>
  <c r="AX132" i="63"/>
  <c r="BQ126" i="63"/>
  <c r="BR126" i="63" s="1"/>
  <c r="AL126" i="63"/>
  <c r="BC158" i="71"/>
  <c r="Y158" i="71" s="1"/>
  <c r="BC158" i="72"/>
  <c r="Y158" i="72" s="1"/>
  <c r="BC158" i="16"/>
  <c r="Y158" i="16" s="1"/>
  <c r="AF124" i="63"/>
  <c r="BA123" i="63"/>
  <c r="B94" i="60"/>
  <c r="J90" i="56"/>
  <c r="J42" i="10"/>
  <c r="E72" i="10"/>
  <c r="E74" i="10" s="1"/>
  <c r="F28" i="39"/>
  <c r="F57" i="39"/>
  <c r="D35" i="7"/>
  <c r="C64" i="7"/>
  <c r="B34" i="2"/>
  <c r="B63" i="2"/>
  <c r="AY559" i="78"/>
  <c r="H68" i="7"/>
  <c r="I68" i="7" s="1"/>
  <c r="J68" i="7" s="1"/>
  <c r="D68" i="7"/>
  <c r="E68" i="7" s="1"/>
  <c r="E61" i="39"/>
  <c r="BI20" i="13" s="1"/>
  <c r="AQ561" i="78"/>
  <c r="AL145" i="71"/>
  <c r="H145" i="71" s="1"/>
  <c r="AL145" i="72"/>
  <c r="H145" i="72" s="1"/>
  <c r="AL145" i="16"/>
  <c r="H145" i="16" s="1"/>
  <c r="H98" i="60"/>
  <c r="F98" i="60"/>
  <c r="N47" i="10"/>
  <c r="G79" i="10" s="1"/>
  <c r="J101" i="60"/>
  <c r="H101" i="60"/>
  <c r="D73" i="7"/>
  <c r="H73" i="7"/>
  <c r="I73" i="7" s="1"/>
  <c r="J73" i="7" s="1"/>
  <c r="X51" i="10"/>
  <c r="O83" i="10" s="1"/>
  <c r="D53" i="10"/>
  <c r="B85" i="10" s="1"/>
  <c r="D109" i="60"/>
  <c r="I79" i="7"/>
  <c r="J79" i="7" s="1"/>
  <c r="T58" i="10"/>
  <c r="M92" i="10" s="1"/>
  <c r="AY577" i="78"/>
  <c r="I84" i="7"/>
  <c r="J84" i="7" s="1"/>
  <c r="D118" i="60"/>
  <c r="N90" i="7"/>
  <c r="AF42" i="13" s="1"/>
  <c r="H120" i="60"/>
  <c r="O89" i="10"/>
  <c r="P94" i="10"/>
  <c r="J93" i="10"/>
  <c r="K93" i="10" s="1"/>
  <c r="AM37" i="13" s="1"/>
  <c r="AV162" i="71"/>
  <c r="R162" i="71" s="1"/>
  <c r="AV162" i="72"/>
  <c r="R162" i="72" s="1"/>
  <c r="AV162" i="16"/>
  <c r="R162" i="16" s="1"/>
  <c r="D63" i="7"/>
  <c r="N63" i="7" s="1"/>
  <c r="AF15" i="13" s="1"/>
  <c r="H63" i="7"/>
  <c r="E56" i="30"/>
  <c r="F56" i="30" s="1"/>
  <c r="BA15" i="13" s="1"/>
  <c r="AL140" i="71"/>
  <c r="H140" i="71" s="1"/>
  <c r="AL140" i="72"/>
  <c r="H140" i="72" s="1"/>
  <c r="AL140" i="16"/>
  <c r="H140" i="16" s="1"/>
  <c r="AY556" i="78"/>
  <c r="F41" i="10"/>
  <c r="C73" i="10" s="1"/>
  <c r="F97" i="60"/>
  <c r="D97" i="60"/>
  <c r="R46" i="10"/>
  <c r="L78" i="10" s="1"/>
  <c r="P78" i="10" s="1"/>
  <c r="E67" i="39"/>
  <c r="BI26" i="13" s="1"/>
  <c r="AQ567" i="78"/>
  <c r="H50" i="10"/>
  <c r="D82" i="10" s="1"/>
  <c r="H82" i="10" s="1"/>
  <c r="F104" i="60"/>
  <c r="B104" i="60"/>
  <c r="J102" i="56"/>
  <c r="D74" i="39"/>
  <c r="E73" i="39"/>
  <c r="BI32" i="13" s="1"/>
  <c r="AQ573" i="78"/>
  <c r="E80" i="2"/>
  <c r="E81" i="2" s="1"/>
  <c r="B107" i="56"/>
  <c r="B108" i="56" s="1"/>
  <c r="C106" i="56"/>
  <c r="I80" i="7"/>
  <c r="G81" i="7"/>
  <c r="G82" i="7" s="1"/>
  <c r="E78" i="30"/>
  <c r="F78" i="30" s="1"/>
  <c r="BA37" i="13" s="1"/>
  <c r="J117" i="60"/>
  <c r="H88" i="2"/>
  <c r="I88" i="2" s="1"/>
  <c r="E84" i="30"/>
  <c r="F84" i="30" s="1"/>
  <c r="BA43" i="13" s="1"/>
  <c r="L58" i="10"/>
  <c r="F92" i="10" s="1"/>
  <c r="D61" i="10"/>
  <c r="B95" i="10" s="1"/>
  <c r="D43" i="10"/>
  <c r="B75" i="10" s="1"/>
  <c r="N89" i="7"/>
  <c r="AF41" i="13" s="1"/>
  <c r="R44" i="10"/>
  <c r="L76" i="10" s="1"/>
  <c r="V77" i="62"/>
  <c r="R110" i="62" s="1"/>
  <c r="J103" i="55"/>
  <c r="S130" i="62"/>
  <c r="I113" i="55" s="1"/>
  <c r="J113" i="55" s="1"/>
  <c r="V567" i="78"/>
  <c r="AK163" i="57"/>
  <c r="K108" i="62"/>
  <c r="W108" i="62" s="1"/>
  <c r="Q153" i="57" s="1"/>
  <c r="F103" i="55"/>
  <c r="H103" i="55" s="1"/>
  <c r="T134" i="62"/>
  <c r="L177" i="61"/>
  <c r="G100" i="55"/>
  <c r="J125" i="62"/>
  <c r="BO27" i="13"/>
  <c r="F99" i="55"/>
  <c r="H99" i="55" s="1"/>
  <c r="C125" i="76"/>
  <c r="C94" i="76"/>
  <c r="C63" i="76"/>
  <c r="H125" i="71"/>
  <c r="J89" i="69"/>
  <c r="C59" i="76"/>
  <c r="C90" i="76"/>
  <c r="C121" i="76"/>
  <c r="X35" i="70"/>
  <c r="V67" i="70" s="1"/>
  <c r="D67" i="70"/>
  <c r="F85" i="70"/>
  <c r="F86" i="70" s="1"/>
  <c r="AA557" i="78"/>
  <c r="C168" i="61" s="1"/>
  <c r="I172" i="20"/>
  <c r="K73" i="48"/>
  <c r="J75" i="48"/>
  <c r="AA568" i="78"/>
  <c r="C179" i="61" s="1"/>
  <c r="I183" i="20"/>
  <c r="K84" i="48"/>
  <c r="J107" i="72"/>
  <c r="AW574" i="78"/>
  <c r="K87" i="36"/>
  <c r="K88" i="36" s="1"/>
  <c r="J88" i="36"/>
  <c r="AW575" i="78" s="1"/>
  <c r="AA119" i="1"/>
  <c r="T577" i="78"/>
  <c r="J86" i="12"/>
  <c r="AV36" i="13" s="1"/>
  <c r="W118" i="1"/>
  <c r="Y118" i="1"/>
  <c r="AA122" i="1"/>
  <c r="W133" i="1"/>
  <c r="Y133" i="1"/>
  <c r="BI143" i="71"/>
  <c r="BI143" i="72"/>
  <c r="BI143" i="16"/>
  <c r="AA584" i="78"/>
  <c r="C193" i="61" s="1"/>
  <c r="I197" i="20"/>
  <c r="K100" i="48"/>
  <c r="T578" i="78"/>
  <c r="J87" i="12"/>
  <c r="AV37" i="13" s="1"/>
  <c r="C19" i="17"/>
  <c r="C112" i="17"/>
  <c r="C174" i="17"/>
  <c r="C236" i="17"/>
  <c r="C81" i="17"/>
  <c r="C50" i="17"/>
  <c r="C267" i="17"/>
  <c r="C143" i="17"/>
  <c r="C205" i="17"/>
  <c r="C298" i="17"/>
  <c r="AA120" i="1"/>
  <c r="V143" i="71"/>
  <c r="C60" i="17"/>
  <c r="C308" i="17"/>
  <c r="C122" i="17"/>
  <c r="C184" i="17"/>
  <c r="C246" i="17"/>
  <c r="C29" i="17"/>
  <c r="C277" i="17"/>
  <c r="C91" i="17"/>
  <c r="C153" i="17"/>
  <c r="C215" i="17"/>
  <c r="X143" i="71"/>
  <c r="Q567" i="78"/>
  <c r="BJ116" i="63"/>
  <c r="AQ26" i="13" s="1"/>
  <c r="CM17" i="13"/>
  <c r="S143" i="16"/>
  <c r="C9" i="17"/>
  <c r="C133" i="17"/>
  <c r="C195" i="17"/>
  <c r="C257" i="17"/>
  <c r="C40" i="17"/>
  <c r="C288" i="17"/>
  <c r="C71" i="17"/>
  <c r="C102" i="17"/>
  <c r="C226" i="17"/>
  <c r="C164" i="17"/>
  <c r="BB574" i="78"/>
  <c r="BB575" i="78" s="1"/>
  <c r="Z143" i="72"/>
  <c r="CM41" i="13"/>
  <c r="BG123" i="63"/>
  <c r="S578" i="78"/>
  <c r="BP127" i="63"/>
  <c r="M569" i="78"/>
  <c r="AV118" i="63"/>
  <c r="AO28" i="13" s="1"/>
  <c r="AB143" i="72"/>
  <c r="S564" i="78"/>
  <c r="BP113" i="63"/>
  <c r="BF18" i="13"/>
  <c r="CA108" i="63"/>
  <c r="CB108" i="63" s="1"/>
  <c r="AT18" i="13" s="1"/>
  <c r="U143" i="71"/>
  <c r="S569" i="78"/>
  <c r="BP118" i="63"/>
  <c r="BQ112" i="63"/>
  <c r="BR112" i="63" s="1"/>
  <c r="AL112" i="63"/>
  <c r="Q572" i="78"/>
  <c r="BJ121" i="63"/>
  <c r="AQ31" i="13" s="1"/>
  <c r="BQ110" i="63"/>
  <c r="BR110" i="63" s="1"/>
  <c r="AL110" i="63"/>
  <c r="M567" i="78"/>
  <c r="AV116" i="63"/>
  <c r="AO26" i="13" s="1"/>
  <c r="Q577" i="78"/>
  <c r="BJ126" i="63"/>
  <c r="AQ36" i="13" s="1"/>
  <c r="L571" i="78"/>
  <c r="AX120" i="63"/>
  <c r="M579" i="78"/>
  <c r="AV128" i="63"/>
  <c r="AO38" i="13" s="1"/>
  <c r="AN560" i="78"/>
  <c r="H76" i="8"/>
  <c r="AN581" i="78"/>
  <c r="H97" i="8"/>
  <c r="E120" i="60"/>
  <c r="D153" i="60"/>
  <c r="E153" i="60" s="1"/>
  <c r="J120" i="60"/>
  <c r="I110" i="60"/>
  <c r="H111" i="60"/>
  <c r="H143" i="60"/>
  <c r="W134" i="62"/>
  <c r="Q177" i="57" s="1"/>
  <c r="R203" i="26"/>
  <c r="R144" i="17" s="1"/>
  <c r="AC203" i="26"/>
  <c r="R206" i="17" s="1"/>
  <c r="J124" i="71"/>
  <c r="B125" i="71"/>
  <c r="I107" i="55"/>
  <c r="T52" i="10"/>
  <c r="M84" i="10" s="1"/>
  <c r="AA569" i="78"/>
  <c r="C180" i="61" s="1"/>
  <c r="I184" i="20"/>
  <c r="K85" i="48"/>
  <c r="Y121" i="1"/>
  <c r="W121" i="1"/>
  <c r="BQ120" i="63"/>
  <c r="BR120" i="63" s="1"/>
  <c r="AL120" i="63"/>
  <c r="M561" i="78"/>
  <c r="AV110" i="63"/>
  <c r="AO20" i="13" s="1"/>
  <c r="S570" i="78"/>
  <c r="BP119" i="63"/>
  <c r="BC123" i="63"/>
  <c r="K124" i="63"/>
  <c r="AN567" i="78"/>
  <c r="H83" i="8"/>
  <c r="T42" i="10"/>
  <c r="M72" i="10"/>
  <c r="M74" i="10" s="1"/>
  <c r="D54" i="10"/>
  <c r="B86" i="10" s="1"/>
  <c r="N41" i="10"/>
  <c r="G73" i="10" s="1"/>
  <c r="X40" i="10"/>
  <c r="B35" i="7"/>
  <c r="B64" i="7"/>
  <c r="B28" i="30"/>
  <c r="B57" i="30"/>
  <c r="D94" i="60"/>
  <c r="K73" i="61"/>
  <c r="F35" i="7"/>
  <c r="G66" i="7" s="1"/>
  <c r="I66" i="7" s="1"/>
  <c r="G64" i="7"/>
  <c r="I64" i="7" s="1"/>
  <c r="J64" i="7" s="1"/>
  <c r="T44" i="10"/>
  <c r="M76" i="10" s="1"/>
  <c r="T47" i="10"/>
  <c r="M79" i="10" s="1"/>
  <c r="F101" i="60"/>
  <c r="I71" i="7"/>
  <c r="J71" i="7" s="1"/>
  <c r="AL150" i="71"/>
  <c r="H150" i="71" s="1"/>
  <c r="AL150" i="72"/>
  <c r="H150" i="72" s="1"/>
  <c r="AL150" i="16"/>
  <c r="H150" i="16" s="1"/>
  <c r="J99" i="56"/>
  <c r="M75" i="7"/>
  <c r="AE27" i="13" s="1"/>
  <c r="AG568" i="78"/>
  <c r="J105" i="60"/>
  <c r="N53" i="10"/>
  <c r="G85" i="10" s="1"/>
  <c r="D55" i="10"/>
  <c r="B87" i="10" s="1"/>
  <c r="J58" i="10"/>
  <c r="E92" i="10" s="1"/>
  <c r="D58" i="10"/>
  <c r="B92" i="10" s="1"/>
  <c r="B114" i="60"/>
  <c r="H114" i="60"/>
  <c r="D116" i="60"/>
  <c r="H88" i="7"/>
  <c r="D88" i="7"/>
  <c r="E88" i="7" s="1"/>
  <c r="AL165" i="71"/>
  <c r="H165" i="71" s="1"/>
  <c r="AL165" i="72"/>
  <c r="H165" i="72" s="1"/>
  <c r="AL165" i="16"/>
  <c r="H165" i="16" s="1"/>
  <c r="F118" i="60"/>
  <c r="F120" i="60"/>
  <c r="T59" i="10"/>
  <c r="M93" i="10" s="1"/>
  <c r="N80" i="7"/>
  <c r="AF32" i="13" s="1"/>
  <c r="C81" i="7"/>
  <c r="H53" i="10"/>
  <c r="D85" i="10" s="1"/>
  <c r="J61" i="10"/>
  <c r="E95" i="10" s="1"/>
  <c r="E58" i="39"/>
  <c r="BI17" i="13" s="1"/>
  <c r="AQ558" i="78"/>
  <c r="H41" i="10"/>
  <c r="D73" i="10" s="1"/>
  <c r="F95" i="60"/>
  <c r="B95" i="60"/>
  <c r="I65" i="7"/>
  <c r="J65" i="7" s="1"/>
  <c r="AY560" i="78"/>
  <c r="H69" i="2"/>
  <c r="I69" i="2" s="1"/>
  <c r="J96" i="56"/>
  <c r="L48" i="10"/>
  <c r="F80" i="10" s="1"/>
  <c r="E65" i="30"/>
  <c r="F65" i="30" s="1"/>
  <c r="BA24" i="13" s="1"/>
  <c r="H102" i="60"/>
  <c r="R50" i="10"/>
  <c r="L82" i="10" s="1"/>
  <c r="P82" i="10" s="1"/>
  <c r="J104" i="60"/>
  <c r="AL151" i="71"/>
  <c r="H151" i="71" s="1"/>
  <c r="AL151" i="72"/>
  <c r="H151" i="72" s="1"/>
  <c r="AL151" i="16"/>
  <c r="H151" i="16" s="1"/>
  <c r="H73" i="2"/>
  <c r="I73" i="2" s="1"/>
  <c r="V52" i="10"/>
  <c r="N84" i="10" s="1"/>
  <c r="L52" i="10"/>
  <c r="F84" i="10" s="1"/>
  <c r="J108" i="60"/>
  <c r="D74" i="30"/>
  <c r="G73" i="30"/>
  <c r="H73" i="30" s="1"/>
  <c r="D110" i="60"/>
  <c r="H79" i="2"/>
  <c r="I79" i="2" s="1"/>
  <c r="B80" i="2"/>
  <c r="P107" i="56"/>
  <c r="P108" i="56" s="1"/>
  <c r="Q106" i="56"/>
  <c r="Q107" i="56" s="1"/>
  <c r="Q108" i="56" s="1"/>
  <c r="H85" i="7"/>
  <c r="I85" i="7" s="1"/>
  <c r="J85" i="7" s="1"/>
  <c r="D85" i="7"/>
  <c r="N85" i="7" s="1"/>
  <c r="AF37" i="13" s="1"/>
  <c r="E80" i="39"/>
  <c r="BI39" i="13" s="1"/>
  <c r="AQ580" i="78"/>
  <c r="H119" i="60"/>
  <c r="B119" i="60"/>
  <c r="E84" i="39"/>
  <c r="BI43" i="13" s="1"/>
  <c r="AQ584" i="78"/>
  <c r="I91" i="7"/>
  <c r="J91" i="7" s="1"/>
  <c r="E64" i="39"/>
  <c r="BI23" i="13" s="1"/>
  <c r="AQ564" i="78"/>
  <c r="F60" i="10"/>
  <c r="C94" i="10" s="1"/>
  <c r="J94" i="10" s="1"/>
  <c r="K94" i="10" s="1"/>
  <c r="AM38" i="13" s="1"/>
  <c r="T61" i="10"/>
  <c r="M95" i="10" s="1"/>
  <c r="P95" i="10" s="1"/>
  <c r="B42" i="10"/>
  <c r="AU559" i="78" s="1"/>
  <c r="F61" i="79" s="1"/>
  <c r="N91" i="7"/>
  <c r="AF43" i="13" s="1"/>
  <c r="N70" i="7"/>
  <c r="AF22" i="13" s="1"/>
  <c r="N58" i="10"/>
  <c r="G92" i="10" s="1"/>
  <c r="D77" i="62"/>
  <c r="D110" i="62" s="1"/>
  <c r="J110" i="62" s="1"/>
  <c r="K110" i="62" s="1"/>
  <c r="H98" i="55"/>
  <c r="V132" i="62"/>
  <c r="B115" i="55"/>
  <c r="V558" i="78"/>
  <c r="AK154" i="57"/>
  <c r="E101" i="55"/>
  <c r="H101" i="55" s="1"/>
  <c r="V118" i="62"/>
  <c r="F111" i="55"/>
  <c r="H111" i="55" s="1"/>
  <c r="B89" i="40"/>
  <c r="L178" i="61"/>
  <c r="G101" i="55"/>
  <c r="L101" i="55" s="1"/>
  <c r="BK26" i="13" s="1"/>
  <c r="R201" i="26"/>
  <c r="R142" i="17" s="1"/>
  <c r="AC201" i="26"/>
  <c r="R204" i="17" s="1"/>
  <c r="V124" i="62"/>
  <c r="BO29" i="13"/>
  <c r="V584" i="78"/>
  <c r="AK178" i="57"/>
  <c r="K104" i="55"/>
  <c r="T121" i="62"/>
  <c r="C44" i="76"/>
  <c r="C106" i="76"/>
  <c r="C75" i="76"/>
  <c r="B89" i="69"/>
  <c r="F88" i="69"/>
  <c r="N38" i="70"/>
  <c r="L70" i="70" s="1"/>
  <c r="P38" i="70"/>
  <c r="N70" i="70" s="1"/>
  <c r="R38" i="70"/>
  <c r="P70" i="70" s="1"/>
  <c r="H38" i="70"/>
  <c r="F70" i="70" s="1"/>
  <c r="F38" i="70"/>
  <c r="D70" i="70" s="1"/>
  <c r="J38" i="70"/>
  <c r="H70" i="70" s="1"/>
  <c r="L38" i="70"/>
  <c r="J70" i="70" s="1"/>
  <c r="T38" i="70"/>
  <c r="R70" i="70" s="1"/>
  <c r="J124" i="72"/>
  <c r="T17" i="13"/>
  <c r="S140" i="20"/>
  <c r="T140" i="20" s="1"/>
  <c r="Q17" i="13" s="1"/>
  <c r="Q18" i="13" s="1"/>
  <c r="G68" i="58"/>
  <c r="CP16" i="13" s="1"/>
  <c r="AJ574" i="78"/>
  <c r="E85" i="58"/>
  <c r="F85" i="58"/>
  <c r="T566" i="78"/>
  <c r="J75" i="12"/>
  <c r="AV25" i="13" s="1"/>
  <c r="AJ558" i="78"/>
  <c r="E69" i="58"/>
  <c r="G69" i="58" s="1"/>
  <c r="CP17" i="13" s="1"/>
  <c r="F69" i="58"/>
  <c r="I67" i="12"/>
  <c r="F67" i="12"/>
  <c r="D74" i="33"/>
  <c r="G73" i="33"/>
  <c r="H73" i="33" s="1"/>
  <c r="W125" i="1"/>
  <c r="Y125" i="1"/>
  <c r="W136" i="1"/>
  <c r="Y136" i="1"/>
  <c r="F81" i="12"/>
  <c r="I81" i="12"/>
  <c r="AK78" i="1"/>
  <c r="AE78" i="1"/>
  <c r="W109" i="1"/>
  <c r="Y109" i="1"/>
  <c r="AA113" i="1"/>
  <c r="W113" i="1"/>
  <c r="Y113" i="1"/>
  <c r="T584" i="78"/>
  <c r="J93" i="12"/>
  <c r="AV43" i="13" s="1"/>
  <c r="BI141" i="71"/>
  <c r="AE141" i="71" s="1"/>
  <c r="AE143" i="71" s="1"/>
  <c r="BI141" i="72"/>
  <c r="AE141" i="72" s="1"/>
  <c r="AE143" i="72" s="1"/>
  <c r="G66" i="12"/>
  <c r="BI141" i="16"/>
  <c r="AE141" i="16" s="1"/>
  <c r="AE143" i="16" s="1"/>
  <c r="H88" i="12"/>
  <c r="I88" i="12"/>
  <c r="D87" i="36"/>
  <c r="E87" i="36" s="1"/>
  <c r="E88" i="36" s="1"/>
  <c r="B88" i="36"/>
  <c r="D88" i="36" s="1"/>
  <c r="AA121" i="1"/>
  <c r="G58" i="29"/>
  <c r="D59" i="29"/>
  <c r="D62" i="27"/>
  <c r="G78" i="27"/>
  <c r="H77" i="27"/>
  <c r="H78" i="27" s="1"/>
  <c r="E74" i="29"/>
  <c r="B75" i="29"/>
  <c r="D125" i="16"/>
  <c r="CM26" i="13"/>
  <c r="S143" i="72"/>
  <c r="Z143" i="71"/>
  <c r="AZ158" i="71"/>
  <c r="V158" i="71" s="1"/>
  <c r="AZ158" i="72"/>
  <c r="V158" i="72" s="1"/>
  <c r="AZ158" i="16"/>
  <c r="V158" i="16" s="1"/>
  <c r="AC124" i="63"/>
  <c r="BA159" i="71"/>
  <c r="W159" i="71" s="1"/>
  <c r="BA159" i="72"/>
  <c r="W159" i="72" s="1"/>
  <c r="BA159" i="16"/>
  <c r="W159" i="16" s="1"/>
  <c r="AL133" i="63"/>
  <c r="BQ133" i="63"/>
  <c r="BR133" i="63" s="1"/>
  <c r="AB143" i="71"/>
  <c r="S565" i="78"/>
  <c r="BP114" i="63"/>
  <c r="AL114" i="63"/>
  <c r="BQ114" i="63"/>
  <c r="BR114" i="63" s="1"/>
  <c r="S573" i="78"/>
  <c r="BP122" i="63"/>
  <c r="AW158" i="71"/>
  <c r="S158" i="71" s="1"/>
  <c r="AW158" i="72"/>
  <c r="S158" i="72" s="1"/>
  <c r="AW158" i="16"/>
  <c r="S158" i="16" s="1"/>
  <c r="X124" i="63"/>
  <c r="AC143" i="16"/>
  <c r="L556" i="78"/>
  <c r="AX105" i="63"/>
  <c r="BQ115" i="63"/>
  <c r="BR115" i="63" s="1"/>
  <c r="AL115" i="63"/>
  <c r="S567" i="78"/>
  <c r="BP116" i="63"/>
  <c r="BQ130" i="63"/>
  <c r="BR130" i="63" s="1"/>
  <c r="M584" i="78"/>
  <c r="AV133" i="63"/>
  <c r="AO43" i="13" s="1"/>
  <c r="M573" i="78"/>
  <c r="AV122" i="63"/>
  <c r="AO32" i="13" s="1"/>
  <c r="BQ119" i="63"/>
  <c r="BR119" i="63" s="1"/>
  <c r="L558" i="78"/>
  <c r="AX107" i="63"/>
  <c r="AN558" i="78"/>
  <c r="H74" i="8"/>
  <c r="AN583" i="78"/>
  <c r="H99" i="8"/>
  <c r="AN582" i="78"/>
  <c r="H98" i="8"/>
  <c r="AN580" i="78"/>
  <c r="H96" i="8"/>
  <c r="B120" i="60"/>
  <c r="K167" i="61"/>
  <c r="K89" i="56"/>
  <c r="CE15" i="13" s="1"/>
  <c r="AI556" i="78"/>
  <c r="K102" i="60"/>
  <c r="J135" i="60"/>
  <c r="F12" i="79"/>
  <c r="F565" i="78"/>
  <c r="AL153" i="71"/>
  <c r="H153" i="71" s="1"/>
  <c r="AL153" i="72"/>
  <c r="H153" i="72" s="1"/>
  <c r="AL153" i="16"/>
  <c r="H153" i="16" s="1"/>
  <c r="D80" i="2"/>
  <c r="AL157" i="71"/>
  <c r="H157" i="71" s="1"/>
  <c r="AL157" i="72"/>
  <c r="H157" i="72" s="1"/>
  <c r="AL157" i="16"/>
  <c r="H157" i="16" s="1"/>
  <c r="P83" i="10"/>
  <c r="L167" i="61"/>
  <c r="G57" i="22"/>
  <c r="AA566" i="78"/>
  <c r="C177" i="61" s="1"/>
  <c r="F49" i="10"/>
  <c r="C81" i="10" s="1"/>
  <c r="K82" i="48"/>
  <c r="I181" i="20"/>
  <c r="G68" i="12"/>
  <c r="E68" i="12"/>
  <c r="I68" i="12" s="1"/>
  <c r="T559" i="78" s="1"/>
  <c r="BB16" i="13"/>
  <c r="BB18" i="13" s="1"/>
  <c r="F59" i="33"/>
  <c r="BQ113" i="63"/>
  <c r="BR113" i="63" s="1"/>
  <c r="AL113" i="63"/>
  <c r="L559" i="78"/>
  <c r="AX108" i="63"/>
  <c r="S561" i="78"/>
  <c r="BP110" i="63"/>
  <c r="H78" i="10"/>
  <c r="J78" i="10"/>
  <c r="K78" i="10" s="1"/>
  <c r="AM22" i="13" s="1"/>
  <c r="AV147" i="71"/>
  <c r="R147" i="71" s="1"/>
  <c r="AV147" i="72"/>
  <c r="R147" i="72" s="1"/>
  <c r="AV147" i="16"/>
  <c r="R147" i="16" s="1"/>
  <c r="G94" i="60"/>
  <c r="F127" i="60"/>
  <c r="G127" i="60" s="1"/>
  <c r="D33" i="38"/>
  <c r="D62" i="38"/>
  <c r="K170" i="61"/>
  <c r="K92" i="56"/>
  <c r="CE18" i="13" s="1"/>
  <c r="AI559" i="78"/>
  <c r="D44" i="10"/>
  <c r="B76" i="10" s="1"/>
  <c r="J47" i="10"/>
  <c r="E79" i="10" s="1"/>
  <c r="D47" i="10"/>
  <c r="B79" i="10" s="1"/>
  <c r="N49" i="10"/>
  <c r="G81" i="10" s="1"/>
  <c r="T49" i="10"/>
  <c r="M81" i="10" s="1"/>
  <c r="P81" i="10" s="1"/>
  <c r="J103" i="60"/>
  <c r="D75" i="7"/>
  <c r="N75" i="7" s="1"/>
  <c r="AF27" i="13" s="1"/>
  <c r="H75" i="7"/>
  <c r="I75" i="7" s="1"/>
  <c r="J75" i="7" s="1"/>
  <c r="E105" i="60"/>
  <c r="D138" i="60"/>
  <c r="E138" i="60" s="1"/>
  <c r="B105" i="60"/>
  <c r="H107" i="60"/>
  <c r="F107" i="60"/>
  <c r="N79" i="7"/>
  <c r="AF31" i="13" s="1"/>
  <c r="F109" i="60"/>
  <c r="B109" i="60"/>
  <c r="N84" i="7"/>
  <c r="AF36" i="13" s="1"/>
  <c r="H83" i="2"/>
  <c r="I83" i="2" s="1"/>
  <c r="H86" i="7"/>
  <c r="I86" i="7" s="1"/>
  <c r="J86" i="7" s="1"/>
  <c r="D86" i="7"/>
  <c r="E86" i="7"/>
  <c r="M86" i="7"/>
  <c r="AE38" i="13" s="1"/>
  <c r="AG579" i="78"/>
  <c r="F116" i="60"/>
  <c r="N88" i="7"/>
  <c r="AF40" i="13" s="1"/>
  <c r="I88" i="7"/>
  <c r="J88" i="7" s="1"/>
  <c r="E90" i="7"/>
  <c r="M90" i="7"/>
  <c r="AE42" i="13" s="1"/>
  <c r="AG583" i="78"/>
  <c r="H61" i="10"/>
  <c r="D95" i="10" s="1"/>
  <c r="J54" i="10"/>
  <c r="E86" i="10" s="1"/>
  <c r="D52" i="10"/>
  <c r="B84" i="10" s="1"/>
  <c r="J52" i="10"/>
  <c r="E84" i="10" s="1"/>
  <c r="H93" i="60"/>
  <c r="J95" i="60"/>
  <c r="AL142" i="71"/>
  <c r="H142" i="71" s="1"/>
  <c r="AL142" i="72"/>
  <c r="H142" i="72" s="1"/>
  <c r="AL142" i="16"/>
  <c r="H142" i="16" s="1"/>
  <c r="H64" i="2"/>
  <c r="I64" i="2" s="1"/>
  <c r="J93" i="56"/>
  <c r="E70" i="7"/>
  <c r="M70" i="7"/>
  <c r="AE22" i="13" s="1"/>
  <c r="AG563" i="78"/>
  <c r="F100" i="60"/>
  <c r="I70" i="7"/>
  <c r="J70" i="7" s="1"/>
  <c r="H74" i="7"/>
  <c r="I74" i="7" s="1"/>
  <c r="J74" i="7" s="1"/>
  <c r="D74" i="7"/>
  <c r="F52" i="10"/>
  <c r="C84" i="10" s="1"/>
  <c r="C90" i="10" s="1"/>
  <c r="H52" i="10"/>
  <c r="D84" i="10" s="1"/>
  <c r="J106" i="60"/>
  <c r="H75" i="2"/>
  <c r="I75" i="2" s="1"/>
  <c r="E71" i="39"/>
  <c r="BI30" i="13" s="1"/>
  <c r="AQ571" i="78"/>
  <c r="I108" i="60"/>
  <c r="H141" i="60"/>
  <c r="I141" i="60" s="1"/>
  <c r="I78" i="7"/>
  <c r="J78" i="7" s="1"/>
  <c r="B73" i="39"/>
  <c r="O106" i="56"/>
  <c r="O107" i="56" s="1"/>
  <c r="O108" i="56" s="1"/>
  <c r="N107" i="56"/>
  <c r="N108" i="56" s="1"/>
  <c r="F115" i="60"/>
  <c r="E87" i="7"/>
  <c r="M87" i="7"/>
  <c r="AE39" i="13" s="1"/>
  <c r="AG580" i="78"/>
  <c r="I87" i="7"/>
  <c r="J87" i="7" s="1"/>
  <c r="F119" i="60"/>
  <c r="K191" i="61"/>
  <c r="K115" i="56"/>
  <c r="CE41" i="13" s="1"/>
  <c r="AI582" i="78"/>
  <c r="D121" i="60"/>
  <c r="AL168" i="71"/>
  <c r="H168" i="71" s="1"/>
  <c r="AL168" i="72"/>
  <c r="H168" i="72" s="1"/>
  <c r="AL168" i="16"/>
  <c r="H168" i="16" s="1"/>
  <c r="V40" i="10"/>
  <c r="N74" i="7"/>
  <c r="AF26" i="13" s="1"/>
  <c r="X54" i="10"/>
  <c r="O86" i="10" s="1"/>
  <c r="L62" i="10"/>
  <c r="F96" i="10" s="1"/>
  <c r="J96" i="10" s="1"/>
  <c r="K96" i="10" s="1"/>
  <c r="AM40" i="13" s="1"/>
  <c r="P99" i="10"/>
  <c r="J62" i="10"/>
  <c r="E96" i="10" s="1"/>
  <c r="Z67" i="60"/>
  <c r="J98" i="60" s="1"/>
  <c r="B104" i="55"/>
  <c r="V121" i="62"/>
  <c r="K121" i="62"/>
  <c r="W121" i="62" s="1"/>
  <c r="Q166" i="57" s="1"/>
  <c r="L191" i="61"/>
  <c r="G116" i="55"/>
  <c r="L116" i="55" s="1"/>
  <c r="BK41" i="13" s="1"/>
  <c r="V115" i="62"/>
  <c r="B98" i="55"/>
  <c r="F91" i="55"/>
  <c r="H91" i="55" s="1"/>
  <c r="C153" i="57"/>
  <c r="L176" i="61"/>
  <c r="G99" i="55"/>
  <c r="F118" i="55"/>
  <c r="J118" i="55" s="1"/>
  <c r="F94" i="55"/>
  <c r="H94" i="55" s="1"/>
  <c r="C156" i="57"/>
  <c r="BO34" i="13"/>
  <c r="W109" i="62"/>
  <c r="Q154" i="57" s="1"/>
  <c r="W122" i="62"/>
  <c r="Q167" i="57" s="1"/>
  <c r="E172" i="61"/>
  <c r="AR561" i="78"/>
  <c r="AJ157" i="57"/>
  <c r="N126" i="62"/>
  <c r="E109" i="55" s="1"/>
  <c r="E108" i="55"/>
  <c r="I88" i="40"/>
  <c r="J88" i="40" s="1"/>
  <c r="AJ33" i="13" s="1"/>
  <c r="E89" i="40"/>
  <c r="I89" i="40" s="1"/>
  <c r="J89" i="40" s="1"/>
  <c r="AJ34" i="13" s="1"/>
  <c r="H118" i="55"/>
  <c r="C53" i="76"/>
  <c r="C84" i="76"/>
  <c r="C115" i="76"/>
  <c r="V88" i="69"/>
  <c r="V89" i="69" s="1"/>
  <c r="T34" i="13"/>
  <c r="S157" i="20"/>
  <c r="T157" i="20" s="1"/>
  <c r="Q34" i="13" s="1"/>
  <c r="X39" i="70"/>
  <c r="V71" i="70" s="1"/>
  <c r="D71" i="70"/>
  <c r="AJ575" i="78"/>
  <c r="F86" i="58"/>
  <c r="H156" i="20"/>
  <c r="AA578" i="78"/>
  <c r="C187" i="61" s="1"/>
  <c r="I191" i="20"/>
  <c r="K94" i="48"/>
  <c r="I65" i="12"/>
  <c r="F65" i="12"/>
  <c r="AA567" i="78"/>
  <c r="C178" i="61" s="1"/>
  <c r="I182" i="20"/>
  <c r="K83" i="48"/>
  <c r="I89" i="12"/>
  <c r="F89" i="12"/>
  <c r="AA132" i="1"/>
  <c r="T564" i="78"/>
  <c r="J73" i="12"/>
  <c r="AV23" i="13" s="1"/>
  <c r="AA558" i="78"/>
  <c r="C169" i="61" s="1"/>
  <c r="D41" i="10"/>
  <c r="B73" i="10" s="1"/>
  <c r="I173" i="20"/>
  <c r="K74" i="48"/>
  <c r="Y129" i="1"/>
  <c r="W129" i="1"/>
  <c r="F74" i="12"/>
  <c r="I74" i="12"/>
  <c r="AA560" i="78"/>
  <c r="C171" i="61" s="1"/>
  <c r="I175" i="20"/>
  <c r="K76" i="48"/>
  <c r="W124" i="1"/>
  <c r="Y124" i="1"/>
  <c r="C93" i="17"/>
  <c r="C155" i="17"/>
  <c r="C217" i="17"/>
  <c r="C62" i="17"/>
  <c r="C310" i="17"/>
  <c r="C31" i="17"/>
  <c r="C124" i="17"/>
  <c r="C186" i="17"/>
  <c r="C248" i="17"/>
  <c r="C279" i="17"/>
  <c r="AX557" i="78"/>
  <c r="L72" i="36"/>
  <c r="AX559" i="78" s="1"/>
  <c r="M70" i="36"/>
  <c r="M72" i="36" s="1"/>
  <c r="P574" i="78"/>
  <c r="B91" i="15"/>
  <c r="P575" i="78" s="1"/>
  <c r="W143" i="16"/>
  <c r="S143" i="71"/>
  <c r="AA143" i="16"/>
  <c r="BI123" i="63"/>
  <c r="L75" i="15"/>
  <c r="CA115" i="63"/>
  <c r="CB115" i="63" s="1"/>
  <c r="AT25" i="13" s="1"/>
  <c r="BF158" i="71"/>
  <c r="AB158" i="71" s="1"/>
  <c r="BF158" i="72"/>
  <c r="AB158" i="72" s="1"/>
  <c r="BF158" i="16"/>
  <c r="AB158" i="16" s="1"/>
  <c r="AI124" i="63"/>
  <c r="BQ107" i="63"/>
  <c r="BR107" i="63" s="1"/>
  <c r="AL107" i="63"/>
  <c r="L557" i="78"/>
  <c r="AX106" i="63"/>
  <c r="AC143" i="72"/>
  <c r="CA110" i="63"/>
  <c r="CB110" i="63" s="1"/>
  <c r="AT20" i="13" s="1"/>
  <c r="P583" i="78"/>
  <c r="L561" i="78"/>
  <c r="AX110" i="63"/>
  <c r="AU123" i="63"/>
  <c r="G124" i="63"/>
  <c r="L572" i="78"/>
  <c r="AX121" i="63"/>
  <c r="AK123" i="63"/>
  <c r="L580" i="78"/>
  <c r="AX129" i="63"/>
  <c r="AM123" i="63"/>
  <c r="C124" i="63"/>
  <c r="BF32" i="13"/>
  <c r="BG32" i="13" s="1"/>
  <c r="W123" i="63"/>
  <c r="G60" i="28"/>
  <c r="D62" i="28"/>
  <c r="S582" i="78"/>
  <c r="BP131" i="63"/>
  <c r="F89" i="8"/>
  <c r="AH32" i="13" s="1"/>
  <c r="AD573" i="78" s="1"/>
  <c r="G89" i="8"/>
  <c r="AN565" i="78"/>
  <c r="H81" i="8"/>
  <c r="AN564" i="78"/>
  <c r="H80" i="8"/>
  <c r="AN561" i="78"/>
  <c r="H77" i="8"/>
  <c r="AN569" i="78"/>
  <c r="H85" i="8"/>
  <c r="Q81" i="10" l="1"/>
  <c r="AN25" i="13" s="1"/>
  <c r="BE25" i="13" s="1"/>
  <c r="S115" i="63"/>
  <c r="I82" i="10"/>
  <c r="J567" i="78"/>
  <c r="K97" i="60"/>
  <c r="J130" i="60"/>
  <c r="F560" i="78"/>
  <c r="F8" i="79"/>
  <c r="Q95" i="10"/>
  <c r="AN39" i="13" s="1"/>
  <c r="BE39" i="13" s="1"/>
  <c r="S129" i="63"/>
  <c r="T110" i="62"/>
  <c r="W110" i="62" s="1"/>
  <c r="Q155" i="57" s="1"/>
  <c r="S110" i="62"/>
  <c r="I93" i="55" s="1"/>
  <c r="K98" i="60"/>
  <c r="J131" i="60"/>
  <c r="F9" i="79"/>
  <c r="F561" i="78"/>
  <c r="M155" i="26"/>
  <c r="M85" i="17" s="1"/>
  <c r="X206" i="26"/>
  <c r="M209" i="17" s="1"/>
  <c r="M206" i="26"/>
  <c r="M147" i="17" s="1"/>
  <c r="O186" i="14"/>
  <c r="X85" i="17" s="1"/>
  <c r="Q186" i="14"/>
  <c r="X147" i="17" s="1"/>
  <c r="S186" i="14"/>
  <c r="X209" i="17" s="1"/>
  <c r="M186" i="14"/>
  <c r="X23" i="17" s="1"/>
  <c r="F88" i="7"/>
  <c r="K88" i="7"/>
  <c r="I93" i="10"/>
  <c r="J578" i="78"/>
  <c r="K89" i="7"/>
  <c r="F89" i="7"/>
  <c r="Q87" i="10"/>
  <c r="AN31" i="13" s="1"/>
  <c r="BE31" i="13" s="1"/>
  <c r="S121" i="63"/>
  <c r="M157" i="26"/>
  <c r="M87" i="17" s="1"/>
  <c r="X208" i="26"/>
  <c r="M211" i="17" s="1"/>
  <c r="M208" i="26"/>
  <c r="M149" i="17" s="1"/>
  <c r="S188" i="14"/>
  <c r="X211" i="17" s="1"/>
  <c r="M188" i="14"/>
  <c r="X25" i="17" s="1"/>
  <c r="O188" i="14"/>
  <c r="X87" i="17" s="1"/>
  <c r="Q188" i="14"/>
  <c r="X149" i="17" s="1"/>
  <c r="K68" i="7"/>
  <c r="F68" i="7"/>
  <c r="I98" i="10"/>
  <c r="J583" i="78"/>
  <c r="I80" i="10"/>
  <c r="J565" i="78"/>
  <c r="I96" i="10"/>
  <c r="J581" i="78"/>
  <c r="AU150" i="71"/>
  <c r="Q150" i="71" s="1"/>
  <c r="AU150" i="72"/>
  <c r="Q150" i="72" s="1"/>
  <c r="AU150" i="16"/>
  <c r="Q150" i="16" s="1"/>
  <c r="K72" i="7"/>
  <c r="F72" i="7"/>
  <c r="I121" i="60"/>
  <c r="H154" i="60"/>
  <c r="I154" i="60" s="1"/>
  <c r="M81" i="7"/>
  <c r="AE33" i="13" s="1"/>
  <c r="B82" i="7"/>
  <c r="AG574" i="78"/>
  <c r="AU142" i="71"/>
  <c r="Q142" i="71" s="1"/>
  <c r="AU142" i="72"/>
  <c r="Q142" i="72" s="1"/>
  <c r="AU142" i="16"/>
  <c r="Q142" i="16" s="1"/>
  <c r="BF159" i="71"/>
  <c r="AB159" i="71" s="1"/>
  <c r="BF159" i="72"/>
  <c r="AB159" i="72" s="1"/>
  <c r="BF159" i="16"/>
  <c r="AB159" i="16" s="1"/>
  <c r="AN573" i="78"/>
  <c r="H89" i="8"/>
  <c r="AN123" i="63"/>
  <c r="AN124" i="63" s="1"/>
  <c r="AM124" i="63"/>
  <c r="T580" i="78"/>
  <c r="J89" i="12"/>
  <c r="AV39" i="13" s="1"/>
  <c r="BO19" i="13"/>
  <c r="BR23" i="13"/>
  <c r="Q99" i="10"/>
  <c r="AN43" i="13" s="1"/>
  <c r="BE43" i="13" s="1"/>
  <c r="S133" i="63"/>
  <c r="G116" i="60"/>
  <c r="F149" i="60"/>
  <c r="G149" i="60" s="1"/>
  <c r="I107" i="60"/>
  <c r="H140" i="60"/>
  <c r="I140" i="60" s="1"/>
  <c r="K103" i="60"/>
  <c r="J136" i="60"/>
  <c r="F13" i="79"/>
  <c r="F566" i="78"/>
  <c r="K135" i="60"/>
  <c r="F39" i="79"/>
  <c r="G565" i="78"/>
  <c r="G74" i="33"/>
  <c r="D75" i="33"/>
  <c r="E70" i="58"/>
  <c r="G70" i="58" s="1"/>
  <c r="CP18" i="13" s="1"/>
  <c r="BR40" i="13"/>
  <c r="I119" i="60"/>
  <c r="H152" i="60"/>
  <c r="I152" i="60" s="1"/>
  <c r="G120" i="60"/>
  <c r="F153" i="60"/>
  <c r="G153" i="60" s="1"/>
  <c r="H147" i="60"/>
  <c r="I147" i="60" s="1"/>
  <c r="I114" i="60"/>
  <c r="K105" i="60"/>
  <c r="J138" i="60"/>
  <c r="F15" i="79"/>
  <c r="F568" i="78"/>
  <c r="D127" i="60"/>
  <c r="E127" i="60" s="1"/>
  <c r="E94" i="60"/>
  <c r="S125" i="62"/>
  <c r="K75" i="48"/>
  <c r="J80" i="7"/>
  <c r="J81" i="7" s="1"/>
  <c r="J82" i="7" s="1"/>
  <c r="I81" i="7"/>
  <c r="I120" i="60"/>
  <c r="H153" i="60"/>
  <c r="I153" i="60" s="1"/>
  <c r="C94" i="60"/>
  <c r="B127" i="60"/>
  <c r="C127" i="60" s="1"/>
  <c r="AD557" i="78"/>
  <c r="AH18" i="13"/>
  <c r="AD559" i="78" s="1"/>
  <c r="C227" i="17"/>
  <c r="C41" i="17"/>
  <c r="E75" i="33"/>
  <c r="F74" i="33"/>
  <c r="G117" i="60"/>
  <c r="F150" i="60"/>
  <c r="G150" i="60" s="1"/>
  <c r="K182" i="61"/>
  <c r="K104" i="56"/>
  <c r="CE30" i="13" s="1"/>
  <c r="AI571" i="78"/>
  <c r="L152" i="26"/>
  <c r="L82" i="17" s="1"/>
  <c r="L203" i="26"/>
  <c r="L144" i="17" s="1"/>
  <c r="W203" i="26"/>
  <c r="L206" i="17" s="1"/>
  <c r="P183" i="14"/>
  <c r="W144" i="17" s="1"/>
  <c r="R183" i="14"/>
  <c r="W206" i="17" s="1"/>
  <c r="L183" i="14"/>
  <c r="W20" i="17" s="1"/>
  <c r="N183" i="14"/>
  <c r="W82" i="17" s="1"/>
  <c r="C93" i="60"/>
  <c r="B126" i="60"/>
  <c r="C126" i="60" s="1"/>
  <c r="K181" i="61"/>
  <c r="K103" i="56"/>
  <c r="CE29" i="13" s="1"/>
  <c r="AI570" i="78"/>
  <c r="F96" i="60"/>
  <c r="F129" i="60" s="1"/>
  <c r="H72" i="10"/>
  <c r="J72" i="10"/>
  <c r="K72" i="10" s="1"/>
  <c r="B74" i="10"/>
  <c r="AV141" i="71"/>
  <c r="R141" i="71" s="1"/>
  <c r="AV141" i="72"/>
  <c r="R141" i="72" s="1"/>
  <c r="AV141" i="16"/>
  <c r="R141" i="16" s="1"/>
  <c r="T563" i="78"/>
  <c r="J72" i="12"/>
  <c r="AV22" i="13" s="1"/>
  <c r="F71" i="7"/>
  <c r="K71" i="7"/>
  <c r="AR39" i="13"/>
  <c r="Z94" i="69"/>
  <c r="Z91" i="70"/>
  <c r="B124" i="70" s="1"/>
  <c r="E121" i="75" s="1"/>
  <c r="N96" i="15"/>
  <c r="AR31" i="13"/>
  <c r="Z86" i="69"/>
  <c r="Z83" i="70"/>
  <c r="B116" i="70" s="1"/>
  <c r="E113" i="75" s="1"/>
  <c r="N88" i="15"/>
  <c r="V123" i="62"/>
  <c r="B106" i="55"/>
  <c r="K123" i="62"/>
  <c r="W123" i="62" s="1"/>
  <c r="Q168" i="57" s="1"/>
  <c r="O574" i="78"/>
  <c r="H78" i="5"/>
  <c r="G79" i="5"/>
  <c r="O575" i="78" s="1"/>
  <c r="E85" i="7"/>
  <c r="L156" i="26"/>
  <c r="L86" i="17" s="1"/>
  <c r="L207" i="26"/>
  <c r="L148" i="17" s="1"/>
  <c r="W207" i="26"/>
  <c r="L210" i="17" s="1"/>
  <c r="P187" i="14"/>
  <c r="W148" i="17" s="1"/>
  <c r="R187" i="14"/>
  <c r="W210" i="17" s="1"/>
  <c r="L187" i="14"/>
  <c r="W24" i="17" s="1"/>
  <c r="N187" i="14"/>
  <c r="W86" i="17" s="1"/>
  <c r="L72" i="10"/>
  <c r="R42" i="10"/>
  <c r="G107" i="56"/>
  <c r="CJ32" i="13"/>
  <c r="K116" i="60"/>
  <c r="J149" i="60"/>
  <c r="F25" i="79"/>
  <c r="F579" i="78"/>
  <c r="N42" i="10"/>
  <c r="Q71" i="10"/>
  <c r="AN15" i="13" s="1"/>
  <c r="BE15" i="13" s="1"/>
  <c r="S105" i="63"/>
  <c r="AN574" i="78"/>
  <c r="H90" i="8"/>
  <c r="H91" i="8" s="1"/>
  <c r="T561" i="78"/>
  <c r="J70" i="12"/>
  <c r="AV20" i="13" s="1"/>
  <c r="T571" i="78"/>
  <c r="J80" i="12"/>
  <c r="AV30" i="13" s="1"/>
  <c r="BR43" i="13"/>
  <c r="F135" i="60"/>
  <c r="G135" i="60" s="1"/>
  <c r="G102" i="60"/>
  <c r="K93" i="60"/>
  <c r="F4" i="79"/>
  <c r="J126" i="60"/>
  <c r="F556" i="78"/>
  <c r="J80" i="10"/>
  <c r="K80" i="10" s="1"/>
  <c r="AM24" i="13" s="1"/>
  <c r="H94" i="10"/>
  <c r="BO15" i="13"/>
  <c r="R209" i="26"/>
  <c r="R139" i="17" s="1"/>
  <c r="AC209" i="26"/>
  <c r="R201" i="17" s="1"/>
  <c r="BR41" i="13"/>
  <c r="Q88" i="10"/>
  <c r="AN32" i="13" s="1"/>
  <c r="BE32" i="13" s="1"/>
  <c r="S122" i="63"/>
  <c r="AU147" i="71"/>
  <c r="Q147" i="71" s="1"/>
  <c r="AU147" i="72"/>
  <c r="Q147" i="72" s="1"/>
  <c r="AU147" i="16"/>
  <c r="Q147" i="16" s="1"/>
  <c r="C118" i="60"/>
  <c r="B151" i="60"/>
  <c r="C151" i="60" s="1"/>
  <c r="H81" i="10"/>
  <c r="J81" i="10"/>
  <c r="K81" i="10" s="1"/>
  <c r="AM25" i="13" s="1"/>
  <c r="AV150" i="71"/>
  <c r="R150" i="71" s="1"/>
  <c r="AV150" i="72"/>
  <c r="R150" i="72" s="1"/>
  <c r="AV150" i="16"/>
  <c r="R150" i="16" s="1"/>
  <c r="AU154" i="71"/>
  <c r="Q154" i="71" s="1"/>
  <c r="AU154" i="72"/>
  <c r="Q154" i="72" s="1"/>
  <c r="AU154" i="16"/>
  <c r="Q154" i="16" s="1"/>
  <c r="L186" i="61"/>
  <c r="G111" i="55"/>
  <c r="BO39" i="13"/>
  <c r="V109" i="62"/>
  <c r="I100" i="55"/>
  <c r="J100" i="55" s="1"/>
  <c r="L100" i="55" s="1"/>
  <c r="BK25" i="13" s="1"/>
  <c r="V117" i="62"/>
  <c r="E121" i="60"/>
  <c r="D154" i="60"/>
  <c r="E154" i="60" s="1"/>
  <c r="L150" i="26"/>
  <c r="L80" i="17" s="1"/>
  <c r="L201" i="26"/>
  <c r="L142" i="17" s="1"/>
  <c r="W201" i="26"/>
  <c r="L204" i="17" s="1"/>
  <c r="L181" i="14"/>
  <c r="W18" i="17" s="1"/>
  <c r="N181" i="14"/>
  <c r="W80" i="17" s="1"/>
  <c r="P181" i="14"/>
  <c r="W142" i="17" s="1"/>
  <c r="R181" i="14"/>
  <c r="W204" i="17" s="1"/>
  <c r="D81" i="2"/>
  <c r="AL158" i="71"/>
  <c r="H158" i="71" s="1"/>
  <c r="AL158" i="72"/>
  <c r="H158" i="72" s="1"/>
  <c r="AL158" i="16"/>
  <c r="H158" i="16" s="1"/>
  <c r="J137" i="60"/>
  <c r="K104" i="60"/>
  <c r="F14" i="79"/>
  <c r="F567" i="78"/>
  <c r="G101" i="60"/>
  <c r="F134" i="60"/>
  <c r="G134" i="60" s="1"/>
  <c r="AR28" i="13"/>
  <c r="Z83" i="69"/>
  <c r="Z80" i="70"/>
  <c r="B113" i="70" s="1"/>
  <c r="E110" i="75" s="1"/>
  <c r="N85" i="15"/>
  <c r="J125" i="16"/>
  <c r="C76" i="17"/>
  <c r="C14" i="17"/>
  <c r="C293" i="17"/>
  <c r="C45" i="17"/>
  <c r="C107" i="17"/>
  <c r="C169" i="17"/>
  <c r="C231" i="17"/>
  <c r="C138" i="17"/>
  <c r="C200" i="17"/>
  <c r="C262" i="17"/>
  <c r="W125" i="62"/>
  <c r="K126" i="62"/>
  <c r="W126" i="62" s="1"/>
  <c r="K87" i="7"/>
  <c r="F87" i="7"/>
  <c r="AU151" i="71"/>
  <c r="Q151" i="71" s="1"/>
  <c r="AU151" i="72"/>
  <c r="Q151" i="72" s="1"/>
  <c r="AU151" i="16"/>
  <c r="Q151" i="16" s="1"/>
  <c r="K70" i="7"/>
  <c r="F70" i="7"/>
  <c r="J128" i="60"/>
  <c r="K95" i="60"/>
  <c r="F558" i="78"/>
  <c r="F6" i="79"/>
  <c r="C105" i="60"/>
  <c r="B138" i="60"/>
  <c r="C138" i="60" s="1"/>
  <c r="AR23" i="13"/>
  <c r="Z78" i="69"/>
  <c r="Z75" i="70"/>
  <c r="B108" i="70" s="1"/>
  <c r="E105" i="75" s="1"/>
  <c r="N80" i="15"/>
  <c r="AR40" i="13"/>
  <c r="Z95" i="69"/>
  <c r="Z92" i="70"/>
  <c r="B125" i="70" s="1"/>
  <c r="E122" i="75" s="1"/>
  <c r="N97" i="15"/>
  <c r="AR24" i="13"/>
  <c r="Z79" i="69"/>
  <c r="Z76" i="70"/>
  <c r="B109" i="70" s="1"/>
  <c r="E106" i="75" s="1"/>
  <c r="N81" i="15"/>
  <c r="H66" i="12"/>
  <c r="H68" i="12" s="1"/>
  <c r="I66" i="12"/>
  <c r="F68" i="12"/>
  <c r="Q82" i="10"/>
  <c r="AN26" i="13" s="1"/>
  <c r="BE26" i="13" s="1"/>
  <c r="S116" i="63"/>
  <c r="H92" i="10"/>
  <c r="J92" i="10"/>
  <c r="K92" i="10" s="1"/>
  <c r="AM36" i="13" s="1"/>
  <c r="AV161" i="71"/>
  <c r="R161" i="71" s="1"/>
  <c r="AV161" i="72"/>
  <c r="R161" i="72" s="1"/>
  <c r="AV161" i="16"/>
  <c r="R161" i="16" s="1"/>
  <c r="L155" i="26"/>
  <c r="L85" i="17" s="1"/>
  <c r="W206" i="26"/>
  <c r="L209" i="17" s="1"/>
  <c r="L206" i="26"/>
  <c r="L147" i="17" s="1"/>
  <c r="R186" i="14"/>
  <c r="W209" i="17" s="1"/>
  <c r="N186" i="14"/>
  <c r="W85" i="17" s="1"/>
  <c r="L186" i="14"/>
  <c r="W23" i="17" s="1"/>
  <c r="P186" i="14"/>
  <c r="W147" i="17" s="1"/>
  <c r="I143" i="60"/>
  <c r="AR22" i="13"/>
  <c r="Z77" i="69"/>
  <c r="Z74" i="70"/>
  <c r="B107" i="70" s="1"/>
  <c r="E104" i="75" s="1"/>
  <c r="N79" i="15"/>
  <c r="P76" i="10"/>
  <c r="C107" i="56"/>
  <c r="CG32" i="13"/>
  <c r="Q78" i="10"/>
  <c r="AN22" i="13" s="1"/>
  <c r="BE22" i="13" s="1"/>
  <c r="S112" i="63"/>
  <c r="E109" i="60"/>
  <c r="D142" i="60"/>
  <c r="E142" i="60" s="1"/>
  <c r="H134" i="60"/>
  <c r="I134" i="60" s="1"/>
  <c r="I101" i="60"/>
  <c r="BC159" i="71"/>
  <c r="Y159" i="71" s="1"/>
  <c r="BC159" i="72"/>
  <c r="Y159" i="72" s="1"/>
  <c r="BC159" i="16"/>
  <c r="Y159" i="16" s="1"/>
  <c r="V130" i="62"/>
  <c r="BF19" i="13"/>
  <c r="BG19" i="13" s="1"/>
  <c r="BG18" i="13" s="1"/>
  <c r="CA109" i="63"/>
  <c r="CB109" i="63" s="1"/>
  <c r="AT19" i="13" s="1"/>
  <c r="CC109" i="63"/>
  <c r="CD109" i="63" s="1"/>
  <c r="AU19" i="13" s="1"/>
  <c r="C103" i="17"/>
  <c r="G84" i="12"/>
  <c r="H83" i="12"/>
  <c r="H84" i="12" s="1"/>
  <c r="T560" i="78"/>
  <c r="J69" i="12"/>
  <c r="AV19" i="13" s="1"/>
  <c r="I174" i="61"/>
  <c r="L126" i="22"/>
  <c r="F118" i="79"/>
  <c r="M178" i="20"/>
  <c r="J154" i="60"/>
  <c r="K121" i="60"/>
  <c r="F30" i="79"/>
  <c r="F584" i="78"/>
  <c r="AR26" i="13"/>
  <c r="Z81" i="69"/>
  <c r="Z78" i="70"/>
  <c r="B111" i="70" s="1"/>
  <c r="E108" i="75" s="1"/>
  <c r="N83" i="15"/>
  <c r="BR39" i="13"/>
  <c r="L179" i="61"/>
  <c r="G102" i="55"/>
  <c r="C155" i="57"/>
  <c r="F93" i="55"/>
  <c r="F74" i="10"/>
  <c r="C107" i="60"/>
  <c r="B140" i="60"/>
  <c r="C140" i="60" s="1"/>
  <c r="G103" i="60"/>
  <c r="F136" i="60"/>
  <c r="G136" i="60" s="1"/>
  <c r="L193" i="61"/>
  <c r="G118" i="55"/>
  <c r="L118" i="55" s="1"/>
  <c r="BK43" i="13" s="1"/>
  <c r="E119" i="60"/>
  <c r="D152" i="60"/>
  <c r="E152" i="60" s="1"/>
  <c r="E115" i="60"/>
  <c r="D148" i="60"/>
  <c r="E148" i="60" s="1"/>
  <c r="L160" i="26"/>
  <c r="L75" i="17" s="1"/>
  <c r="W211" i="26"/>
  <c r="L199" i="17" s="1"/>
  <c r="L211" i="26"/>
  <c r="L137" i="17" s="1"/>
  <c r="R191" i="14"/>
  <c r="W199" i="17" s="1"/>
  <c r="L191" i="14"/>
  <c r="W13" i="17" s="1"/>
  <c r="N191" i="14"/>
  <c r="W75" i="17" s="1"/>
  <c r="P191" i="14"/>
  <c r="W137" i="17" s="1"/>
  <c r="AU144" i="71"/>
  <c r="Q144" i="71" s="1"/>
  <c r="AU144" i="72"/>
  <c r="Q144" i="72" s="1"/>
  <c r="AU144" i="16"/>
  <c r="Q144" i="16" s="1"/>
  <c r="E114" i="60"/>
  <c r="D147" i="60"/>
  <c r="E147" i="60" s="1"/>
  <c r="K107" i="60"/>
  <c r="J140" i="60"/>
  <c r="F17" i="79"/>
  <c r="F570" i="78"/>
  <c r="D136" i="60"/>
  <c r="E136" i="60" s="1"/>
  <c r="E103" i="60"/>
  <c r="D65" i="2"/>
  <c r="AL141" i="71"/>
  <c r="H141" i="71" s="1"/>
  <c r="H143" i="71" s="1"/>
  <c r="AL141" i="72"/>
  <c r="H141" i="72" s="1"/>
  <c r="H143" i="72" s="1"/>
  <c r="AL141" i="16"/>
  <c r="H141" i="16" s="1"/>
  <c r="H143" i="16" s="1"/>
  <c r="AA127" i="1"/>
  <c r="V122" i="62"/>
  <c r="L171" i="61"/>
  <c r="G94" i="55"/>
  <c r="L94" i="55" s="1"/>
  <c r="BK19" i="13" s="1"/>
  <c r="H93" i="55"/>
  <c r="M107" i="56"/>
  <c r="CL32" i="13"/>
  <c r="L157" i="26"/>
  <c r="L87" i="17" s="1"/>
  <c r="W208" i="26"/>
  <c r="L211" i="17" s="1"/>
  <c r="L208" i="26"/>
  <c r="L149" i="17" s="1"/>
  <c r="N188" i="14"/>
  <c r="W87" i="17" s="1"/>
  <c r="P188" i="14"/>
  <c r="W149" i="17" s="1"/>
  <c r="R188" i="14"/>
  <c r="W211" i="17" s="1"/>
  <c r="L188" i="14"/>
  <c r="W25" i="17" s="1"/>
  <c r="H42" i="10"/>
  <c r="W128" i="62"/>
  <c r="Q171" i="57" s="1"/>
  <c r="T556" i="78"/>
  <c r="J65" i="12"/>
  <c r="AV15" i="13" s="1"/>
  <c r="BB123" i="63"/>
  <c r="BA124" i="63"/>
  <c r="L182" i="61"/>
  <c r="G105" i="55"/>
  <c r="L105" i="55" s="1"/>
  <c r="BK30" i="13" s="1"/>
  <c r="V559" i="78"/>
  <c r="AK155" i="57"/>
  <c r="Q96" i="10"/>
  <c r="AN40" i="13" s="1"/>
  <c r="BE40" i="13" s="1"/>
  <c r="S130" i="63"/>
  <c r="I107" i="56"/>
  <c r="CK32" i="13"/>
  <c r="BQ123" i="63"/>
  <c r="BR123" i="63" s="1"/>
  <c r="AL123" i="63"/>
  <c r="AL124" i="63" s="1"/>
  <c r="AK124" i="63"/>
  <c r="M154" i="26"/>
  <c r="M84" i="17" s="1"/>
  <c r="M205" i="26"/>
  <c r="M146" i="17" s="1"/>
  <c r="X205" i="26"/>
  <c r="M208" i="17" s="1"/>
  <c r="Q185" i="14"/>
  <c r="X146" i="17" s="1"/>
  <c r="O185" i="14"/>
  <c r="X84" i="17" s="1"/>
  <c r="S185" i="14"/>
  <c r="X208" i="17" s="1"/>
  <c r="M185" i="14"/>
  <c r="X22" i="17" s="1"/>
  <c r="F148" i="60"/>
  <c r="G148" i="60" s="1"/>
  <c r="G115" i="60"/>
  <c r="K171" i="61"/>
  <c r="K93" i="56"/>
  <c r="CE19" i="13" s="1"/>
  <c r="AI560" i="78"/>
  <c r="I93" i="60"/>
  <c r="H126" i="60"/>
  <c r="I126" i="60" s="1"/>
  <c r="K86" i="7"/>
  <c r="F86" i="7"/>
  <c r="C109" i="60"/>
  <c r="B142" i="60"/>
  <c r="C142" i="60" s="1"/>
  <c r="G90" i="55"/>
  <c r="L90" i="55" s="1"/>
  <c r="BK15" i="13" s="1"/>
  <c r="AW159" i="71"/>
  <c r="S159" i="71" s="1"/>
  <c r="AW159" i="72"/>
  <c r="S159" i="72" s="1"/>
  <c r="AW159" i="16"/>
  <c r="S159" i="16" s="1"/>
  <c r="H58" i="29"/>
  <c r="H59" i="29" s="1"/>
  <c r="G59" i="29"/>
  <c r="T558" i="78"/>
  <c r="J67" i="12"/>
  <c r="AV17" i="13" s="1"/>
  <c r="J125" i="72"/>
  <c r="F116" i="75" s="1"/>
  <c r="F115" i="75"/>
  <c r="BR32" i="13"/>
  <c r="BR26" i="13"/>
  <c r="V110" i="62"/>
  <c r="B93" i="55"/>
  <c r="I102" i="60"/>
  <c r="H135" i="60"/>
  <c r="I135" i="60" s="1"/>
  <c r="E75" i="7"/>
  <c r="B66" i="7"/>
  <c r="E64" i="7"/>
  <c r="M64" i="7"/>
  <c r="AE16" i="13" s="1"/>
  <c r="AG557" i="78"/>
  <c r="AR30" i="13"/>
  <c r="Z85" i="69"/>
  <c r="Z82" i="70"/>
  <c r="B115" i="70" s="1"/>
  <c r="E112" i="75" s="1"/>
  <c r="N87" i="15"/>
  <c r="I111" i="60"/>
  <c r="H112" i="60"/>
  <c r="I112" i="60" s="1"/>
  <c r="BH123" i="63"/>
  <c r="BG124" i="63"/>
  <c r="J150" i="60"/>
  <c r="K117" i="60"/>
  <c r="F26" i="79"/>
  <c r="F580" i="78"/>
  <c r="B137" i="60"/>
  <c r="C137" i="60" s="1"/>
  <c r="C104" i="60"/>
  <c r="Q94" i="10"/>
  <c r="AN38" i="13" s="1"/>
  <c r="BE38" i="13" s="1"/>
  <c r="S128" i="63"/>
  <c r="E118" i="60"/>
  <c r="D151" i="60"/>
  <c r="E151" i="60" s="1"/>
  <c r="K101" i="60"/>
  <c r="J134" i="60"/>
  <c r="F11" i="79"/>
  <c r="F564" i="78"/>
  <c r="F59" i="39"/>
  <c r="G57" i="39"/>
  <c r="L188" i="61"/>
  <c r="G113" i="55"/>
  <c r="L113" i="55" s="1"/>
  <c r="BK38" i="13" s="1"/>
  <c r="C10" i="17"/>
  <c r="AX16" i="13"/>
  <c r="AX18" i="13" s="1"/>
  <c r="F62" i="27"/>
  <c r="F83" i="12"/>
  <c r="F84" i="12" s="1"/>
  <c r="E84" i="12"/>
  <c r="I83" i="12"/>
  <c r="B80" i="38"/>
  <c r="C79" i="38"/>
  <c r="C80" i="38" s="1"/>
  <c r="J133" i="60"/>
  <c r="K100" i="60"/>
  <c r="F10" i="79"/>
  <c r="F563" i="78"/>
  <c r="BN123" i="63"/>
  <c r="BN124" i="63" s="1"/>
  <c r="BM124" i="63"/>
  <c r="AX159" i="71"/>
  <c r="T159" i="71" s="1"/>
  <c r="AX159" i="72"/>
  <c r="T159" i="72" s="1"/>
  <c r="AX159" i="16"/>
  <c r="T159" i="16" s="1"/>
  <c r="BI159" i="71"/>
  <c r="AE159" i="71" s="1"/>
  <c r="BI159" i="72"/>
  <c r="AE159" i="72" s="1"/>
  <c r="BI159" i="16"/>
  <c r="AE159" i="16" s="1"/>
  <c r="BR27" i="13"/>
  <c r="F92" i="55"/>
  <c r="G92" i="55" s="1"/>
  <c r="C154" i="57"/>
  <c r="F89" i="10"/>
  <c r="F90" i="10" s="1"/>
  <c r="F126" i="60"/>
  <c r="G126" i="60" s="1"/>
  <c r="G93" i="60"/>
  <c r="L42" i="10"/>
  <c r="C103" i="60"/>
  <c r="B136" i="60"/>
  <c r="C136" i="60" s="1"/>
  <c r="AU164" i="71"/>
  <c r="Q164" i="71" s="1"/>
  <c r="AU164" i="72"/>
  <c r="Q164" i="72" s="1"/>
  <c r="AU164" i="16"/>
  <c r="Q164" i="16" s="1"/>
  <c r="BH159" i="71"/>
  <c r="AD159" i="71" s="1"/>
  <c r="BH159" i="72"/>
  <c r="AD159" i="72" s="1"/>
  <c r="BH159" i="16"/>
  <c r="AD159" i="16" s="1"/>
  <c r="G89" i="10"/>
  <c r="G90" i="10" s="1"/>
  <c r="K119" i="60"/>
  <c r="J152" i="60"/>
  <c r="F28" i="79"/>
  <c r="F582" i="78"/>
  <c r="E81" i="7"/>
  <c r="K80" i="7"/>
  <c r="F80" i="7"/>
  <c r="F81" i="7" s="1"/>
  <c r="K178" i="61"/>
  <c r="K100" i="56"/>
  <c r="CE26" i="13" s="1"/>
  <c r="AI567" i="78"/>
  <c r="B133" i="60"/>
  <c r="C133" i="60" s="1"/>
  <c r="C100" i="60"/>
  <c r="I116" i="60"/>
  <c r="H149" i="60"/>
  <c r="I149" i="60" s="1"/>
  <c r="K179" i="61"/>
  <c r="K101" i="56"/>
  <c r="CE27" i="13" s="1"/>
  <c r="AI568" i="78"/>
  <c r="C57" i="39"/>
  <c r="B59" i="39"/>
  <c r="H71" i="10"/>
  <c r="J71" i="10"/>
  <c r="K71" i="10" s="1"/>
  <c r="AM15" i="13" s="1"/>
  <c r="AV140" i="71"/>
  <c r="R140" i="71" s="1"/>
  <c r="AV140" i="72"/>
  <c r="R140" i="72" s="1"/>
  <c r="AV140" i="16"/>
  <c r="R140" i="16" s="1"/>
  <c r="I95" i="55"/>
  <c r="J95" i="55" s="1"/>
  <c r="L95" i="55" s="1"/>
  <c r="BK20" i="13" s="1"/>
  <c r="V112" i="62"/>
  <c r="BR19" i="13"/>
  <c r="E117" i="60"/>
  <c r="D150" i="60"/>
  <c r="E150" i="60" s="1"/>
  <c r="I104" i="60"/>
  <c r="H137" i="60"/>
  <c r="I137" i="60" s="1"/>
  <c r="E100" i="60"/>
  <c r="D133" i="60"/>
  <c r="E133" i="60" s="1"/>
  <c r="P73" i="10"/>
  <c r="C74" i="10"/>
  <c r="F77" i="7"/>
  <c r="E101" i="60"/>
  <c r="D134" i="60"/>
  <c r="E134" i="60" s="1"/>
  <c r="N90" i="10"/>
  <c r="I95" i="60"/>
  <c r="H128" i="60"/>
  <c r="I128" i="60" s="1"/>
  <c r="I99" i="55"/>
  <c r="J99" i="55" s="1"/>
  <c r="L99" i="55" s="1"/>
  <c r="BK24" i="13" s="1"/>
  <c r="V116" i="62"/>
  <c r="BS114" i="63"/>
  <c r="BW114" i="63"/>
  <c r="BX114" i="63" s="1"/>
  <c r="BU114" i="63"/>
  <c r="BV114" i="63" s="1"/>
  <c r="J109" i="72"/>
  <c r="F100" i="75" s="1"/>
  <c r="F98" i="75"/>
  <c r="C66" i="7"/>
  <c r="N64" i="7"/>
  <c r="AF16" i="13" s="1"/>
  <c r="AR15" i="13"/>
  <c r="Z70" i="69"/>
  <c r="Z67" i="70"/>
  <c r="B100" i="70" s="1"/>
  <c r="E97" i="75" s="1"/>
  <c r="N72" i="15"/>
  <c r="C165" i="17"/>
  <c r="AU155" i="71"/>
  <c r="Q155" i="71" s="1"/>
  <c r="AU155" i="72"/>
  <c r="Q155" i="72" s="1"/>
  <c r="AU155" i="16"/>
  <c r="Q155" i="16" s="1"/>
  <c r="AY33" i="13"/>
  <c r="F78" i="28"/>
  <c r="AY34" i="13" s="1"/>
  <c r="R204" i="26"/>
  <c r="R145" i="17" s="1"/>
  <c r="AC204" i="26"/>
  <c r="R207" i="17" s="1"/>
  <c r="I83" i="10"/>
  <c r="J568" i="78"/>
  <c r="I97" i="10"/>
  <c r="J582" i="78"/>
  <c r="G62" i="28"/>
  <c r="H60" i="28"/>
  <c r="H62" i="28" s="1"/>
  <c r="H73" i="10"/>
  <c r="J73" i="10"/>
  <c r="K73" i="10" s="1"/>
  <c r="AM17" i="13" s="1"/>
  <c r="AV142" i="71"/>
  <c r="R142" i="71" s="1"/>
  <c r="AV142" i="72"/>
  <c r="R142" i="72" s="1"/>
  <c r="AV142" i="16"/>
  <c r="R142" i="16" s="1"/>
  <c r="H157" i="20"/>
  <c r="BR29" i="13"/>
  <c r="V42" i="10"/>
  <c r="N72" i="10"/>
  <c r="N74" i="10" s="1"/>
  <c r="F90" i="7"/>
  <c r="K90" i="7"/>
  <c r="AU163" i="71"/>
  <c r="Q163" i="71" s="1"/>
  <c r="AU163" i="72"/>
  <c r="Q163" i="72" s="1"/>
  <c r="AU163" i="16"/>
  <c r="Q163" i="16" s="1"/>
  <c r="G109" i="60"/>
  <c r="F142" i="60"/>
  <c r="G142" i="60" s="1"/>
  <c r="H79" i="10"/>
  <c r="J79" i="10"/>
  <c r="K79" i="10" s="1"/>
  <c r="AM23" i="13" s="1"/>
  <c r="AV148" i="71"/>
  <c r="R148" i="71" s="1"/>
  <c r="AV148" i="72"/>
  <c r="R148" i="72" s="1"/>
  <c r="AV148" i="16"/>
  <c r="R148" i="16" s="1"/>
  <c r="D64" i="38"/>
  <c r="E62" i="38"/>
  <c r="E64" i="38" s="1"/>
  <c r="I78" i="10"/>
  <c r="J563" i="78"/>
  <c r="AZ159" i="71"/>
  <c r="V159" i="71" s="1"/>
  <c r="AZ159" i="72"/>
  <c r="V159" i="72" s="1"/>
  <c r="AZ159" i="16"/>
  <c r="V159" i="16" s="1"/>
  <c r="Y111" i="1"/>
  <c r="W111" i="1"/>
  <c r="AU162" i="71"/>
  <c r="Q162" i="71" s="1"/>
  <c r="AU162" i="72"/>
  <c r="Q162" i="72" s="1"/>
  <c r="AU162" i="16"/>
  <c r="Q162" i="16" s="1"/>
  <c r="E110" i="60"/>
  <c r="D111" i="60"/>
  <c r="D143" i="60"/>
  <c r="K177" i="61"/>
  <c r="K99" i="56"/>
  <c r="CE25" i="13" s="1"/>
  <c r="AI566" i="78"/>
  <c r="J66" i="7"/>
  <c r="H75" i="10"/>
  <c r="J75" i="10"/>
  <c r="K75" i="10" s="1"/>
  <c r="AM19" i="13" s="1"/>
  <c r="AV144" i="71"/>
  <c r="R144" i="71" s="1"/>
  <c r="AV144" i="72"/>
  <c r="R144" i="72" s="1"/>
  <c r="AV144" i="16"/>
  <c r="R144" i="16" s="1"/>
  <c r="G104" i="60"/>
  <c r="F137" i="60"/>
  <c r="G137" i="60" s="1"/>
  <c r="E97" i="60"/>
  <c r="D130" i="60"/>
  <c r="E130" i="60" s="1"/>
  <c r="H85" i="10"/>
  <c r="J85" i="10"/>
  <c r="K85" i="10" s="1"/>
  <c r="AM29" i="13" s="1"/>
  <c r="AV154" i="71"/>
  <c r="R154" i="71" s="1"/>
  <c r="AV154" i="72"/>
  <c r="R154" i="72" s="1"/>
  <c r="AV154" i="16"/>
  <c r="R154" i="16" s="1"/>
  <c r="AU145" i="71"/>
  <c r="Q145" i="71" s="1"/>
  <c r="AU145" i="72"/>
  <c r="Q145" i="72" s="1"/>
  <c r="AU145" i="16"/>
  <c r="Q145" i="16" s="1"/>
  <c r="S574" i="78"/>
  <c r="BP123" i="63"/>
  <c r="BP124" i="63" s="1"/>
  <c r="BO124" i="63"/>
  <c r="S575" i="78" s="1"/>
  <c r="C289" i="17"/>
  <c r="T581" i="78"/>
  <c r="J90" i="12"/>
  <c r="AV40" i="13" s="1"/>
  <c r="AU166" i="71"/>
  <c r="Q166" i="71" s="1"/>
  <c r="AU166" i="72"/>
  <c r="Q166" i="72" s="1"/>
  <c r="AU166" i="16"/>
  <c r="Q166" i="16" s="1"/>
  <c r="F111" i="60"/>
  <c r="F143" i="60"/>
  <c r="G110" i="60"/>
  <c r="L158" i="26"/>
  <c r="L77" i="17" s="1"/>
  <c r="L209" i="26"/>
  <c r="L139" i="17" s="1"/>
  <c r="W209" i="26"/>
  <c r="L201" i="17" s="1"/>
  <c r="L189" i="14"/>
  <c r="W15" i="17" s="1"/>
  <c r="N189" i="14"/>
  <c r="W77" i="17" s="1"/>
  <c r="P189" i="14"/>
  <c r="W139" i="17" s="1"/>
  <c r="R189" i="14"/>
  <c r="W201" i="17" s="1"/>
  <c r="K190" i="61"/>
  <c r="K114" i="56"/>
  <c r="CE40" i="13" s="1"/>
  <c r="AI581" i="78"/>
  <c r="AU148" i="71"/>
  <c r="Q148" i="71" s="1"/>
  <c r="AU148" i="72"/>
  <c r="Q148" i="72" s="1"/>
  <c r="AU148" i="16"/>
  <c r="Q148" i="16" s="1"/>
  <c r="K109" i="60"/>
  <c r="J142" i="60"/>
  <c r="F19" i="79"/>
  <c r="F572" i="78"/>
  <c r="AZ16" i="13"/>
  <c r="AZ18" i="13" s="1"/>
  <c r="F59" i="29"/>
  <c r="T573" i="78"/>
  <c r="J82" i="12"/>
  <c r="AV32" i="13" s="1"/>
  <c r="Z65" i="60"/>
  <c r="J96" i="60" s="1"/>
  <c r="L168" i="61"/>
  <c r="G91" i="55"/>
  <c r="L91" i="55" s="1"/>
  <c r="BK16" i="13" s="1"/>
  <c r="Q85" i="10"/>
  <c r="AN29" i="13" s="1"/>
  <c r="BE29" i="13" s="1"/>
  <c r="S119" i="63"/>
  <c r="K91" i="7"/>
  <c r="F91" i="7"/>
  <c r="E108" i="60"/>
  <c r="D141" i="60"/>
  <c r="E141" i="60" s="1"/>
  <c r="BU132" i="63"/>
  <c r="BV132" i="63" s="1"/>
  <c r="BW132" i="63"/>
  <c r="BX132" i="63" s="1"/>
  <c r="BS132" i="63"/>
  <c r="AZ123" i="63"/>
  <c r="AZ124" i="63" s="1"/>
  <c r="AY124" i="63"/>
  <c r="F77" i="27"/>
  <c r="E78" i="27"/>
  <c r="K184" i="61"/>
  <c r="J107" i="56"/>
  <c r="K106" i="56"/>
  <c r="AI573" i="78"/>
  <c r="E104" i="60"/>
  <c r="D137" i="60"/>
  <c r="E137" i="60" s="1"/>
  <c r="I100" i="60"/>
  <c r="H133" i="60"/>
  <c r="I133" i="60" s="1"/>
  <c r="E95" i="60"/>
  <c r="D128" i="60"/>
  <c r="E128" i="60" s="1"/>
  <c r="AU167" i="71"/>
  <c r="Q167" i="71" s="1"/>
  <c r="AU167" i="72"/>
  <c r="Q167" i="72" s="1"/>
  <c r="AU167" i="16"/>
  <c r="Q167" i="16" s="1"/>
  <c r="H138" i="60"/>
  <c r="I138" i="60" s="1"/>
  <c r="I105" i="60"/>
  <c r="F107" i="55"/>
  <c r="C169" i="57"/>
  <c r="H77" i="28"/>
  <c r="H78" i="28" s="1"/>
  <c r="G78" i="28"/>
  <c r="K110" i="60"/>
  <c r="K111" i="60" s="1"/>
  <c r="J111" i="60"/>
  <c r="J143" i="60"/>
  <c r="F20" i="79"/>
  <c r="F573" i="78"/>
  <c r="F42" i="10"/>
  <c r="L159" i="26"/>
  <c r="L78" i="17" s="1"/>
  <c r="W210" i="26"/>
  <c r="L202" i="17" s="1"/>
  <c r="L210" i="26"/>
  <c r="L140" i="17" s="1"/>
  <c r="R190" i="14"/>
  <c r="W202" i="17" s="1"/>
  <c r="L190" i="14"/>
  <c r="W16" i="17" s="1"/>
  <c r="N190" i="14"/>
  <c r="W78" i="17" s="1"/>
  <c r="P190" i="14"/>
  <c r="W140" i="17" s="1"/>
  <c r="N71" i="7"/>
  <c r="AF23" i="13" s="1"/>
  <c r="I94" i="60"/>
  <c r="H127" i="60"/>
  <c r="I127" i="60" s="1"/>
  <c r="J111" i="55"/>
  <c r="J94" i="55"/>
  <c r="R208" i="26"/>
  <c r="R149" i="17" s="1"/>
  <c r="AC208" i="26"/>
  <c r="R211" i="17" s="1"/>
  <c r="B81" i="2"/>
  <c r="H80" i="2"/>
  <c r="G118" i="60"/>
  <c r="F151" i="60"/>
  <c r="G151" i="60" s="1"/>
  <c r="K115" i="60"/>
  <c r="J148" i="60"/>
  <c r="F24" i="79"/>
  <c r="F578" i="78"/>
  <c r="K186" i="61"/>
  <c r="K110" i="56"/>
  <c r="CE36" i="13" s="1"/>
  <c r="AI577" i="78"/>
  <c r="K188" i="61"/>
  <c r="K112" i="56"/>
  <c r="CE38" i="13" s="1"/>
  <c r="AI579" i="78"/>
  <c r="Q574" i="78"/>
  <c r="BJ123" i="63"/>
  <c r="BI124" i="63"/>
  <c r="Q575" i="78" s="1"/>
  <c r="BF33" i="13"/>
  <c r="BG33" i="13" s="1"/>
  <c r="W124" i="63"/>
  <c r="CA123" i="63"/>
  <c r="CB123" i="63" s="1"/>
  <c r="CC123" i="63"/>
  <c r="CD123" i="63" s="1"/>
  <c r="AR17" i="13"/>
  <c r="Z72" i="69"/>
  <c r="Z69" i="70"/>
  <c r="N74" i="15"/>
  <c r="T565" i="78"/>
  <c r="J74" i="12"/>
  <c r="AV24" i="13" s="1"/>
  <c r="BO16" i="13"/>
  <c r="L181" i="61"/>
  <c r="G104" i="55"/>
  <c r="L104" i="55" s="1"/>
  <c r="BK29" i="13" s="1"/>
  <c r="G119" i="60"/>
  <c r="F152" i="60"/>
  <c r="G152" i="60" s="1"/>
  <c r="H84" i="10"/>
  <c r="J84" i="10"/>
  <c r="K84" i="10" s="1"/>
  <c r="AM28" i="13" s="1"/>
  <c r="AV153" i="71"/>
  <c r="R153" i="71" s="1"/>
  <c r="AV153" i="72"/>
  <c r="R153" i="72" s="1"/>
  <c r="AV153" i="16"/>
  <c r="R153" i="16" s="1"/>
  <c r="M159" i="26"/>
  <c r="M78" i="17" s="1"/>
  <c r="X210" i="26"/>
  <c r="M202" i="17" s="1"/>
  <c r="M210" i="26"/>
  <c r="M140" i="17" s="1"/>
  <c r="O190" i="14"/>
  <c r="X78" i="17" s="1"/>
  <c r="Q190" i="14"/>
  <c r="X140" i="17" s="1"/>
  <c r="M190" i="14"/>
  <c r="X16" i="17" s="1"/>
  <c r="S190" i="14"/>
  <c r="X202" i="17" s="1"/>
  <c r="Q83" i="10"/>
  <c r="AN27" i="13" s="1"/>
  <c r="BE27" i="13" s="1"/>
  <c r="S117" i="63"/>
  <c r="C120" i="60"/>
  <c r="B153" i="60"/>
  <c r="C153" i="60" s="1"/>
  <c r="Y126" i="1"/>
  <c r="Y127" i="1" s="1"/>
  <c r="E86" i="58"/>
  <c r="G86" i="58" s="1"/>
  <c r="CP34" i="13" s="1"/>
  <c r="G85" i="58"/>
  <c r="CP33" i="13" s="1"/>
  <c r="M150" i="26"/>
  <c r="M80" i="17" s="1"/>
  <c r="M201" i="26"/>
  <c r="M142" i="17" s="1"/>
  <c r="X201" i="26"/>
  <c r="M204" i="17" s="1"/>
  <c r="Q181" i="14"/>
  <c r="X142" i="17" s="1"/>
  <c r="S181" i="14"/>
  <c r="X204" i="17" s="1"/>
  <c r="M181" i="14"/>
  <c r="X18" i="17" s="1"/>
  <c r="O181" i="14"/>
  <c r="X80" i="17" s="1"/>
  <c r="B128" i="60"/>
  <c r="C128" i="60" s="1"/>
  <c r="C95" i="60"/>
  <c r="C82" i="7"/>
  <c r="AU165" i="71"/>
  <c r="Q165" i="71" s="1"/>
  <c r="AU165" i="72"/>
  <c r="Q165" i="72" s="1"/>
  <c r="AU165" i="16"/>
  <c r="Q165" i="16" s="1"/>
  <c r="H87" i="10"/>
  <c r="J87" i="10"/>
  <c r="K87" i="10" s="1"/>
  <c r="AM31" i="13" s="1"/>
  <c r="AV156" i="71"/>
  <c r="R156" i="71" s="1"/>
  <c r="AV156" i="72"/>
  <c r="R156" i="72" s="1"/>
  <c r="AV156" i="16"/>
  <c r="R156" i="16" s="1"/>
  <c r="X42" i="10"/>
  <c r="O72" i="10"/>
  <c r="O74" i="10" s="1"/>
  <c r="BD123" i="63"/>
  <c r="BD124" i="63" s="1"/>
  <c r="BC124" i="63"/>
  <c r="H95" i="10"/>
  <c r="J95" i="10"/>
  <c r="K95" i="10" s="1"/>
  <c r="AM39" i="13" s="1"/>
  <c r="AV164" i="71"/>
  <c r="R164" i="71" s="1"/>
  <c r="AV164" i="72"/>
  <c r="R164" i="72" s="1"/>
  <c r="AV164" i="16"/>
  <c r="R164" i="16" s="1"/>
  <c r="F130" i="60"/>
  <c r="G130" i="60" s="1"/>
  <c r="G97" i="60"/>
  <c r="AU140" i="71"/>
  <c r="Q140" i="71" s="1"/>
  <c r="AU140" i="72"/>
  <c r="Q140" i="72" s="1"/>
  <c r="AU140" i="16"/>
  <c r="Q140" i="16" s="1"/>
  <c r="O90" i="10"/>
  <c r="G98" i="60"/>
  <c r="F131" i="60"/>
  <c r="G131" i="60" s="1"/>
  <c r="AN557" i="78"/>
  <c r="H73" i="8"/>
  <c r="H75" i="8" s="1"/>
  <c r="AR19" i="13"/>
  <c r="Z71" i="70"/>
  <c r="B104" i="70" s="1"/>
  <c r="E101" i="75" s="1"/>
  <c r="Z74" i="69"/>
  <c r="N76" i="15"/>
  <c r="C258" i="17"/>
  <c r="V69" i="70"/>
  <c r="V70" i="70" s="1"/>
  <c r="B103" i="70" s="1"/>
  <c r="E100" i="75" s="1"/>
  <c r="X38" i="70"/>
  <c r="L174" i="61"/>
  <c r="G97" i="55"/>
  <c r="L97" i="55" s="1"/>
  <c r="BK22" i="13" s="1"/>
  <c r="Q97" i="10"/>
  <c r="AN41" i="13" s="1"/>
  <c r="BE41" i="13" s="1"/>
  <c r="S131" i="63"/>
  <c r="C110" i="60"/>
  <c r="B111" i="60"/>
  <c r="B143" i="60"/>
  <c r="E78" i="7"/>
  <c r="AU156" i="71"/>
  <c r="Q156" i="71" s="1"/>
  <c r="AU156" i="72"/>
  <c r="Q156" i="72" s="1"/>
  <c r="AU156" i="16"/>
  <c r="Q156" i="16" s="1"/>
  <c r="I103" i="60"/>
  <c r="H136" i="60"/>
  <c r="I136" i="60" s="1"/>
  <c r="C62" i="38"/>
  <c r="C64" i="38" s="1"/>
  <c r="B64" i="38"/>
  <c r="R207" i="26"/>
  <c r="R148" i="17" s="1"/>
  <c r="AC207" i="26"/>
  <c r="R210" i="17" s="1"/>
  <c r="AA574" i="78"/>
  <c r="J91" i="48"/>
  <c r="AA575" i="78" s="1"/>
  <c r="K90" i="48"/>
  <c r="K91" i="48" s="1"/>
  <c r="BR16" i="13"/>
  <c r="AU161" i="71"/>
  <c r="Q161" i="71" s="1"/>
  <c r="AU161" i="72"/>
  <c r="Q161" i="72" s="1"/>
  <c r="AU161" i="16"/>
  <c r="Q161" i="16" s="1"/>
  <c r="L153" i="26"/>
  <c r="L83" i="17" s="1"/>
  <c r="W204" i="26"/>
  <c r="L207" i="17" s="1"/>
  <c r="L204" i="26"/>
  <c r="L145" i="17" s="1"/>
  <c r="N184" i="14"/>
  <c r="W83" i="17" s="1"/>
  <c r="R184" i="14"/>
  <c r="W207" i="17" s="1"/>
  <c r="L184" i="14"/>
  <c r="W21" i="17" s="1"/>
  <c r="P184" i="14"/>
  <c r="W145" i="17" s="1"/>
  <c r="I187" i="61"/>
  <c r="L139" i="22"/>
  <c r="F132" i="79"/>
  <c r="M191" i="20"/>
  <c r="K187" i="61"/>
  <c r="K111" i="56"/>
  <c r="CE37" i="13" s="1"/>
  <c r="AI578" i="78"/>
  <c r="AY575" i="78"/>
  <c r="G108" i="60"/>
  <c r="F141" i="60"/>
  <c r="G141" i="60" s="1"/>
  <c r="K105" i="56"/>
  <c r="CE31" i="13" s="1"/>
  <c r="K183" i="61"/>
  <c r="AI572" i="78"/>
  <c r="C101" i="60"/>
  <c r="B134" i="60"/>
  <c r="C134" i="60" s="1"/>
  <c r="M156" i="26"/>
  <c r="M86" i="17" s="1"/>
  <c r="M207" i="26"/>
  <c r="M148" i="17" s="1"/>
  <c r="X207" i="26"/>
  <c r="M210" i="17" s="1"/>
  <c r="M187" i="14"/>
  <c r="X24" i="17" s="1"/>
  <c r="O187" i="14"/>
  <c r="X86" i="17" s="1"/>
  <c r="Q187" i="14"/>
  <c r="X148" i="17" s="1"/>
  <c r="S187" i="14"/>
  <c r="X210" i="17" s="1"/>
  <c r="H92" i="31"/>
  <c r="BC34" i="13" s="1"/>
  <c r="BC33" i="13"/>
  <c r="AU168" i="71"/>
  <c r="Q168" i="71" s="1"/>
  <c r="AU168" i="72"/>
  <c r="Q168" i="72" s="1"/>
  <c r="AU168" i="16"/>
  <c r="Q168" i="16" s="1"/>
  <c r="H81" i="7"/>
  <c r="H82" i="7" s="1"/>
  <c r="E74" i="7"/>
  <c r="N67" i="7"/>
  <c r="AF19" i="13" s="1"/>
  <c r="E79" i="7"/>
  <c r="E57" i="39"/>
  <c r="D59" i="39"/>
  <c r="AQ559" i="78" s="1"/>
  <c r="AQ557" i="78"/>
  <c r="J102" i="55"/>
  <c r="K180" i="61"/>
  <c r="K102" i="56"/>
  <c r="CE28" i="13" s="1"/>
  <c r="AI569" i="78"/>
  <c r="D80" i="38"/>
  <c r="E79" i="38"/>
  <c r="E80" i="38" s="1"/>
  <c r="F76" i="7"/>
  <c r="K76" i="7"/>
  <c r="B74" i="39"/>
  <c r="C73" i="39"/>
  <c r="BH32" i="13" s="1"/>
  <c r="N65" i="7"/>
  <c r="AF17" i="13" s="1"/>
  <c r="I77" i="7"/>
  <c r="J77" i="7" s="1"/>
  <c r="AU152" i="71"/>
  <c r="Q152" i="71" s="1"/>
  <c r="AU152" i="72"/>
  <c r="Q152" i="72" s="1"/>
  <c r="AU152" i="16"/>
  <c r="Q152" i="16" s="1"/>
  <c r="F74" i="29"/>
  <c r="E75" i="29"/>
  <c r="T572" i="78"/>
  <c r="J81" i="12"/>
  <c r="AV31" i="13" s="1"/>
  <c r="W126" i="1"/>
  <c r="W127" i="1" s="1"/>
  <c r="I169" i="61"/>
  <c r="L121" i="22"/>
  <c r="F114" i="79"/>
  <c r="M173" i="20"/>
  <c r="D75" i="30"/>
  <c r="G74" i="30"/>
  <c r="K174" i="61"/>
  <c r="K96" i="56"/>
  <c r="CE22" i="13" s="1"/>
  <c r="AI563" i="78"/>
  <c r="G95" i="60"/>
  <c r="F128" i="60"/>
  <c r="G128" i="60" s="1"/>
  <c r="G129" i="60" s="1"/>
  <c r="M160" i="26"/>
  <c r="M75" i="17" s="1"/>
  <c r="M211" i="26"/>
  <c r="M137" i="17" s="1"/>
  <c r="X211" i="26"/>
  <c r="M199" i="17" s="1"/>
  <c r="O191" i="14"/>
  <c r="X75" i="17" s="1"/>
  <c r="Q191" i="14"/>
  <c r="X137" i="17" s="1"/>
  <c r="S191" i="14"/>
  <c r="X199" i="17" s="1"/>
  <c r="M191" i="14"/>
  <c r="X13" i="17" s="1"/>
  <c r="J125" i="71"/>
  <c r="C17" i="76" s="1"/>
  <c r="C14" i="76"/>
  <c r="K120" i="60"/>
  <c r="J153" i="60"/>
  <c r="F29" i="79"/>
  <c r="F583" i="78"/>
  <c r="AR20" i="13"/>
  <c r="Z75" i="69"/>
  <c r="Z72" i="70"/>
  <c r="B105" i="70" s="1"/>
  <c r="E102" i="75" s="1"/>
  <c r="N77" i="15"/>
  <c r="R206" i="26"/>
  <c r="R147" i="17" s="1"/>
  <c r="AC206" i="26"/>
  <c r="R209" i="17" s="1"/>
  <c r="I178" i="61"/>
  <c r="L130" i="22"/>
  <c r="F122" i="79"/>
  <c r="M182" i="20"/>
  <c r="N78" i="7"/>
  <c r="AF30" i="13" s="1"/>
  <c r="I98" i="60"/>
  <c r="H131" i="60"/>
  <c r="I131" i="60" s="1"/>
  <c r="C117" i="60"/>
  <c r="B150" i="60"/>
  <c r="C150" i="60" s="1"/>
  <c r="C196" i="17"/>
  <c r="V114" i="62"/>
  <c r="K189" i="61"/>
  <c r="K113" i="56"/>
  <c r="CE39" i="13" s="1"/>
  <c r="AI580" i="78"/>
  <c r="F75" i="39"/>
  <c r="G74" i="39"/>
  <c r="AU149" i="71"/>
  <c r="Q149" i="71" s="1"/>
  <c r="AU149" i="72"/>
  <c r="Q149" i="72" s="1"/>
  <c r="AU149" i="16"/>
  <c r="Q149" i="16" s="1"/>
  <c r="N72" i="7"/>
  <c r="AF24" i="13" s="1"/>
  <c r="J98" i="10"/>
  <c r="K98" i="10" s="1"/>
  <c r="AM42" i="13" s="1"/>
  <c r="D59" i="30"/>
  <c r="G57" i="30"/>
  <c r="K94" i="60"/>
  <c r="J127" i="60"/>
  <c r="F5" i="79"/>
  <c r="F557" i="78"/>
  <c r="L574" i="78"/>
  <c r="AX123" i="63"/>
  <c r="AX124" i="63" s="1"/>
  <c r="AW124" i="63"/>
  <c r="L575" i="78" s="1"/>
  <c r="F75" i="79"/>
  <c r="AU575" i="78"/>
  <c r="F76" i="79" s="1"/>
  <c r="AR41" i="13"/>
  <c r="Z96" i="69"/>
  <c r="Z93" i="70"/>
  <c r="B126" i="70" s="1"/>
  <c r="E123" i="75" s="1"/>
  <c r="N98" i="15"/>
  <c r="G88" i="36"/>
  <c r="O88" i="36" s="1"/>
  <c r="AW34" i="13" s="1"/>
  <c r="O87" i="36"/>
  <c r="AW33" i="13" s="1"/>
  <c r="I180" i="61"/>
  <c r="L132" i="22"/>
  <c r="F124" i="79"/>
  <c r="M184" i="20"/>
  <c r="C102" i="60"/>
  <c r="B135" i="60"/>
  <c r="C135" i="60" s="1"/>
  <c r="E63" i="7"/>
  <c r="K118" i="60"/>
  <c r="J151" i="60"/>
  <c r="F27" i="79"/>
  <c r="F581" i="78"/>
  <c r="G105" i="60"/>
  <c r="F138" i="60"/>
  <c r="G138" i="60" s="1"/>
  <c r="E73" i="7"/>
  <c r="AR37" i="13"/>
  <c r="Z92" i="69"/>
  <c r="Z89" i="70"/>
  <c r="B122" i="70" s="1"/>
  <c r="E119" i="75" s="1"/>
  <c r="N94" i="15"/>
  <c r="T567" i="78"/>
  <c r="J76" i="12"/>
  <c r="AV26" i="13" s="1"/>
  <c r="C101" i="76"/>
  <c r="C70" i="76"/>
  <c r="C39" i="76"/>
  <c r="P79" i="10"/>
  <c r="P86" i="10"/>
  <c r="E65" i="7"/>
  <c r="I109" i="60"/>
  <c r="H142" i="60"/>
  <c r="I142" i="60" s="1"/>
  <c r="AR32" i="13"/>
  <c r="Z87" i="69"/>
  <c r="Z84" i="70"/>
  <c r="N89" i="15"/>
  <c r="AR27" i="13"/>
  <c r="Z82" i="69"/>
  <c r="Z79" i="70"/>
  <c r="B112" i="70" s="1"/>
  <c r="E109" i="75" s="1"/>
  <c r="N84" i="15"/>
  <c r="L180" i="61"/>
  <c r="G103" i="55"/>
  <c r="L103" i="55" s="1"/>
  <c r="BK28" i="13" s="1"/>
  <c r="D81" i="7"/>
  <c r="N81" i="7" s="1"/>
  <c r="AF33" i="13" s="1"/>
  <c r="AU157" i="71"/>
  <c r="Q157" i="71" s="1"/>
  <c r="AU157" i="72"/>
  <c r="Q157" i="72" s="1"/>
  <c r="AU157" i="16"/>
  <c r="Q157" i="16" s="1"/>
  <c r="C106" i="60"/>
  <c r="B139" i="60"/>
  <c r="C139" i="60" s="1"/>
  <c r="L154" i="26"/>
  <c r="L84" i="17" s="1"/>
  <c r="L205" i="26"/>
  <c r="L146" i="17" s="1"/>
  <c r="W205" i="26"/>
  <c r="L208" i="17" s="1"/>
  <c r="L185" i="14"/>
  <c r="W22" i="17" s="1"/>
  <c r="N185" i="14"/>
  <c r="W84" i="17" s="1"/>
  <c r="P185" i="14"/>
  <c r="W146" i="17" s="1"/>
  <c r="R185" i="14"/>
  <c r="W208" i="17" s="1"/>
  <c r="K192" i="61"/>
  <c r="K116" i="56"/>
  <c r="CE42" i="13" s="1"/>
  <c r="AI583" i="78"/>
  <c r="D131" i="60"/>
  <c r="E131" i="60" s="1"/>
  <c r="E98" i="60"/>
  <c r="K147" i="60"/>
  <c r="F50" i="79"/>
  <c r="G577" i="78"/>
  <c r="BR42" i="13"/>
  <c r="BO37" i="13"/>
  <c r="BR15" i="13"/>
  <c r="F89" i="69"/>
  <c r="I193" i="61"/>
  <c r="L145" i="22"/>
  <c r="F138" i="79"/>
  <c r="M197" i="20"/>
  <c r="C114" i="60"/>
  <c r="B147" i="60"/>
  <c r="C147" i="60" s="1"/>
  <c r="E57" i="30"/>
  <c r="B59" i="30"/>
  <c r="AR18" i="13"/>
  <c r="Z73" i="69"/>
  <c r="D106" i="69" s="1"/>
  <c r="F72" i="76" s="1"/>
  <c r="Z70" i="70"/>
  <c r="N75" i="15"/>
  <c r="L189" i="61"/>
  <c r="G114" i="55"/>
  <c r="L114" i="55" s="1"/>
  <c r="BK39" i="13" s="1"/>
  <c r="I99" i="10"/>
  <c r="J584" i="78"/>
  <c r="AH33" i="13"/>
  <c r="AD574" i="78" s="1"/>
  <c r="F91" i="8"/>
  <c r="AH34" i="13" s="1"/>
  <c r="AD575" i="78" s="1"/>
  <c r="D140" i="60"/>
  <c r="E140" i="60" s="1"/>
  <c r="E107" i="60"/>
  <c r="Q84" i="10"/>
  <c r="AN28" i="13" s="1"/>
  <c r="BE28" i="13" s="1"/>
  <c r="S118" i="63"/>
  <c r="BR36" i="13"/>
  <c r="M574" i="78"/>
  <c r="AV123" i="63"/>
  <c r="AU124" i="63"/>
  <c r="M575" i="78" s="1"/>
  <c r="AC213" i="26"/>
  <c r="R203" i="17" s="1"/>
  <c r="R213" i="26"/>
  <c r="R141" i="17" s="1"/>
  <c r="L175" i="61"/>
  <c r="G98" i="55"/>
  <c r="L98" i="55" s="1"/>
  <c r="BK23" i="13" s="1"/>
  <c r="K106" i="60"/>
  <c r="J139" i="60"/>
  <c r="F16" i="79"/>
  <c r="F569" i="78"/>
  <c r="G100" i="60"/>
  <c r="F133" i="60"/>
  <c r="G133" i="60" s="1"/>
  <c r="G107" i="60"/>
  <c r="F140" i="60"/>
  <c r="G140" i="60" s="1"/>
  <c r="H76" i="10"/>
  <c r="J76" i="10"/>
  <c r="K76" i="10" s="1"/>
  <c r="AM20" i="13" s="1"/>
  <c r="AV145" i="71"/>
  <c r="R145" i="71" s="1"/>
  <c r="AV145" i="72"/>
  <c r="R145" i="72" s="1"/>
  <c r="AV145" i="16"/>
  <c r="R145" i="16" s="1"/>
  <c r="G96" i="60"/>
  <c r="N73" i="7"/>
  <c r="AF25" i="13" s="1"/>
  <c r="AR29" i="13"/>
  <c r="Z84" i="69"/>
  <c r="Z81" i="70"/>
  <c r="B114" i="70" s="1"/>
  <c r="E111" i="75" s="1"/>
  <c r="N86" i="15"/>
  <c r="AR25" i="13"/>
  <c r="Z77" i="70"/>
  <c r="B110" i="70" s="1"/>
  <c r="E107" i="75" s="1"/>
  <c r="Z80" i="69"/>
  <c r="N82" i="15"/>
  <c r="AR43" i="13"/>
  <c r="Z98" i="69"/>
  <c r="Z95" i="70"/>
  <c r="B128" i="70" s="1"/>
  <c r="E125" i="75" s="1"/>
  <c r="N100" i="15"/>
  <c r="T579" i="78"/>
  <c r="J88" i="12"/>
  <c r="AV38" i="13" s="1"/>
  <c r="E181" i="61"/>
  <c r="AR570" i="78"/>
  <c r="AJ166" i="57"/>
  <c r="L190" i="61"/>
  <c r="G115" i="55"/>
  <c r="L115" i="55" s="1"/>
  <c r="BK40" i="13" s="1"/>
  <c r="C119" i="60"/>
  <c r="B152" i="60"/>
  <c r="C152" i="60" s="1"/>
  <c r="K108" i="60"/>
  <c r="J141" i="60"/>
  <c r="F18" i="79"/>
  <c r="F571" i="78"/>
  <c r="E116" i="60"/>
  <c r="D149" i="60"/>
  <c r="E149" i="60" s="1"/>
  <c r="H86" i="10"/>
  <c r="J86" i="10"/>
  <c r="K86" i="10" s="1"/>
  <c r="AM30" i="13" s="1"/>
  <c r="AV155" i="71"/>
  <c r="R155" i="71" s="1"/>
  <c r="AV155" i="72"/>
  <c r="R155" i="72" s="1"/>
  <c r="AV155" i="16"/>
  <c r="R155" i="16" s="1"/>
  <c r="J107" i="55"/>
  <c r="J108" i="55" s="1"/>
  <c r="J109" i="55" s="1"/>
  <c r="AA559" i="78"/>
  <c r="C170" i="61" s="1"/>
  <c r="I174" i="20"/>
  <c r="V125" i="62"/>
  <c r="BR33" i="13" s="1"/>
  <c r="J126" i="62"/>
  <c r="B108" i="55"/>
  <c r="D75" i="39"/>
  <c r="AQ575" i="78" s="1"/>
  <c r="E74" i="39"/>
  <c r="AQ574" i="78"/>
  <c r="B65" i="2"/>
  <c r="H63" i="2"/>
  <c r="I63" i="2" s="1"/>
  <c r="I65" i="2" s="1"/>
  <c r="K168" i="61"/>
  <c r="K90" i="56"/>
  <c r="CE16" i="13" s="1"/>
  <c r="AI557" i="78"/>
  <c r="AR36" i="13"/>
  <c r="Z91" i="69"/>
  <c r="Z88" i="70"/>
  <c r="B121" i="70" s="1"/>
  <c r="E118" i="75" s="1"/>
  <c r="N93" i="15"/>
  <c r="P93" i="10"/>
  <c r="AR38" i="13"/>
  <c r="Z93" i="69"/>
  <c r="Z90" i="70"/>
  <c r="B123" i="70" s="1"/>
  <c r="E120" i="75" s="1"/>
  <c r="N95" i="15"/>
  <c r="C72" i="17"/>
  <c r="C134" i="17"/>
  <c r="T583" i="78"/>
  <c r="J92" i="12"/>
  <c r="AV42" i="13" s="1"/>
  <c r="E91" i="31"/>
  <c r="D92" i="31"/>
  <c r="I117" i="60"/>
  <c r="H150" i="60"/>
  <c r="I150" i="60" s="1"/>
  <c r="F67" i="7"/>
  <c r="K67" i="7"/>
  <c r="H88" i="10"/>
  <c r="J88" i="10"/>
  <c r="K88" i="10" s="1"/>
  <c r="AM32" i="13" s="1"/>
  <c r="B89" i="10"/>
  <c r="AV157" i="71"/>
  <c r="R157" i="71" s="1"/>
  <c r="AV157" i="72"/>
  <c r="R157" i="72" s="1"/>
  <c r="AV157" i="16"/>
  <c r="R157" i="16" s="1"/>
  <c r="W202" i="26"/>
  <c r="L205" i="17" s="1"/>
  <c r="L151" i="26"/>
  <c r="L81" i="17" s="1"/>
  <c r="L202" i="26"/>
  <c r="L143" i="17" s="1"/>
  <c r="R182" i="14"/>
  <c r="W205" i="17" s="1"/>
  <c r="L182" i="14"/>
  <c r="W19" i="17" s="1"/>
  <c r="N182" i="14"/>
  <c r="W81" i="17" s="1"/>
  <c r="P182" i="14"/>
  <c r="W143" i="17" s="1"/>
  <c r="H63" i="5"/>
  <c r="N16" i="13"/>
  <c r="N18" i="13" s="1"/>
  <c r="I97" i="60"/>
  <c r="H130" i="60"/>
  <c r="I130" i="60" s="1"/>
  <c r="E89" i="10"/>
  <c r="E90" i="10" s="1"/>
  <c r="G74" i="10"/>
  <c r="T570" i="78"/>
  <c r="J79" i="12"/>
  <c r="AV29" i="13" s="1"/>
  <c r="D66" i="7"/>
  <c r="AU141" i="71"/>
  <c r="Q141" i="71" s="1"/>
  <c r="Q143" i="71" s="1"/>
  <c r="AU141" i="72"/>
  <c r="Q141" i="72" s="1"/>
  <c r="Q143" i="72" s="1"/>
  <c r="AU141" i="16"/>
  <c r="Q141" i="16" s="1"/>
  <c r="Q143" i="16" s="1"/>
  <c r="BB159" i="71"/>
  <c r="X159" i="71" s="1"/>
  <c r="BB159" i="72"/>
  <c r="X159" i="72" s="1"/>
  <c r="BB159" i="16"/>
  <c r="X159" i="16" s="1"/>
  <c r="AR16" i="13"/>
  <c r="Z71" i="69"/>
  <c r="Z68" i="70"/>
  <c r="B101" i="70" s="1"/>
  <c r="E98" i="75" s="1"/>
  <c r="N73" i="15"/>
  <c r="E104" i="69"/>
  <c r="F101" i="76" s="1"/>
  <c r="C41" i="76"/>
  <c r="C72" i="76"/>
  <c r="C103" i="76"/>
  <c r="E74" i="30"/>
  <c r="B75" i="30"/>
  <c r="BL123" i="63"/>
  <c r="BL124" i="63" s="1"/>
  <c r="BK124" i="63"/>
  <c r="Q75" i="10"/>
  <c r="AN19" i="13" s="1"/>
  <c r="BE19" i="13" s="1"/>
  <c r="S109" i="63"/>
  <c r="AR42" i="13"/>
  <c r="Z97" i="69"/>
  <c r="Z94" i="70"/>
  <c r="B127" i="70" s="1"/>
  <c r="E124" i="75" s="1"/>
  <c r="N99" i="15"/>
  <c r="T582" i="78"/>
  <c r="J91" i="12"/>
  <c r="AV41" i="13" s="1"/>
  <c r="BR28" i="13"/>
  <c r="BR37" i="13"/>
  <c r="L89" i="10"/>
  <c r="AU153" i="71"/>
  <c r="Q153" i="71" s="1"/>
  <c r="AU153" i="72"/>
  <c r="Q153" i="72" s="1"/>
  <c r="AU153" i="16"/>
  <c r="Q153" i="16" s="1"/>
  <c r="E102" i="60"/>
  <c r="D135" i="60"/>
  <c r="E135" i="60" s="1"/>
  <c r="H151" i="60"/>
  <c r="I151" i="60" s="1"/>
  <c r="I118" i="60"/>
  <c r="E84" i="7"/>
  <c r="N68" i="7"/>
  <c r="AF20" i="13" s="1"/>
  <c r="P92" i="10"/>
  <c r="E107" i="56"/>
  <c r="CI32" i="13"/>
  <c r="J90" i="55"/>
  <c r="M161" i="26" l="1"/>
  <c r="M76" i="17" s="1"/>
  <c r="M212" i="26"/>
  <c r="M138" i="17" s="1"/>
  <c r="X212" i="26"/>
  <c r="M200" i="17" s="1"/>
  <c r="M192" i="14"/>
  <c r="X14" i="17" s="1"/>
  <c r="O192" i="14"/>
  <c r="X76" i="17" s="1"/>
  <c r="Q192" i="14"/>
  <c r="X138" i="17" s="1"/>
  <c r="S192" i="14"/>
  <c r="X200" i="17" s="1"/>
  <c r="N207" i="26"/>
  <c r="N148" i="17" s="1"/>
  <c r="Y207" i="26"/>
  <c r="N210" i="17" s="1"/>
  <c r="BS109" i="63"/>
  <c r="BW109" i="63"/>
  <c r="BX109" i="63" s="1"/>
  <c r="BU109" i="63"/>
  <c r="BV109" i="63" s="1"/>
  <c r="G75" i="39"/>
  <c r="BJ34" i="13" s="1"/>
  <c r="BJ33" i="13"/>
  <c r="K148" i="60"/>
  <c r="F51" i="79"/>
  <c r="G578" i="78"/>
  <c r="K140" i="60"/>
  <c r="F44" i="79"/>
  <c r="G570" i="78"/>
  <c r="I88" i="10"/>
  <c r="J573" i="78"/>
  <c r="E108" i="56"/>
  <c r="CI34" i="13" s="1"/>
  <c r="CI33" i="13"/>
  <c r="G106" i="15"/>
  <c r="B106" i="15"/>
  <c r="C106" i="15"/>
  <c r="D106" i="15"/>
  <c r="E106" i="15"/>
  <c r="F106" i="15"/>
  <c r="G126" i="15"/>
  <c r="B126" i="15"/>
  <c r="E26" i="17" s="1"/>
  <c r="C126" i="15"/>
  <c r="E57" i="17" s="1"/>
  <c r="D126" i="15"/>
  <c r="E126" i="15"/>
  <c r="F126" i="15"/>
  <c r="H65" i="2"/>
  <c r="B113" i="69"/>
  <c r="F21" i="76" s="1"/>
  <c r="E113" i="69"/>
  <c r="F114" i="76" s="1"/>
  <c r="D113" i="69"/>
  <c r="F83" i="76" s="1"/>
  <c r="C113" i="69"/>
  <c r="F52" i="76" s="1"/>
  <c r="Z85" i="70"/>
  <c r="B117" i="70"/>
  <c r="E114" i="75" s="1"/>
  <c r="K151" i="60"/>
  <c r="F54" i="79"/>
  <c r="G581" i="78"/>
  <c r="K127" i="60"/>
  <c r="G557" i="78"/>
  <c r="F32" i="79"/>
  <c r="D110" i="15"/>
  <c r="C110" i="15"/>
  <c r="E43" i="17" s="1"/>
  <c r="E110" i="15"/>
  <c r="F110" i="15"/>
  <c r="G110" i="15"/>
  <c r="B110" i="15"/>
  <c r="E12" i="17" s="1"/>
  <c r="C45" i="76"/>
  <c r="C76" i="76"/>
  <c r="C107" i="76"/>
  <c r="K74" i="7"/>
  <c r="F74" i="7"/>
  <c r="I95" i="10"/>
  <c r="J580" i="78"/>
  <c r="AT33" i="13"/>
  <c r="CB124" i="63"/>
  <c r="AT34" i="13" s="1"/>
  <c r="I129" i="60"/>
  <c r="AX33" i="13"/>
  <c r="F78" i="27"/>
  <c r="AX34" i="13" s="1"/>
  <c r="K96" i="60"/>
  <c r="J129" i="60"/>
  <c r="F559" i="78"/>
  <c r="F7" i="79"/>
  <c r="K142" i="60"/>
  <c r="F46" i="79"/>
  <c r="G572" i="78"/>
  <c r="G143" i="60"/>
  <c r="F144" i="60"/>
  <c r="BT114" i="63"/>
  <c r="BY114" i="63"/>
  <c r="BZ114" i="63" s="1"/>
  <c r="AS24" i="13" s="1"/>
  <c r="BR20" i="13"/>
  <c r="BO17" i="13"/>
  <c r="T574" i="78"/>
  <c r="J83" i="12"/>
  <c r="I84" i="12"/>
  <c r="T575" i="78" s="1"/>
  <c r="G59" i="39"/>
  <c r="BJ16" i="13"/>
  <c r="BJ18" i="13" s="1"/>
  <c r="BW128" i="63"/>
  <c r="BX128" i="63" s="1"/>
  <c r="BS128" i="63"/>
  <c r="BU128" i="63"/>
  <c r="BV128" i="63" s="1"/>
  <c r="K150" i="60"/>
  <c r="F53" i="79"/>
  <c r="G580" i="78"/>
  <c r="F64" i="7"/>
  <c r="K64" i="7"/>
  <c r="BR18" i="13"/>
  <c r="AR33" i="13"/>
  <c r="BR124" i="63"/>
  <c r="AR34" i="13" s="1"/>
  <c r="N90" i="15"/>
  <c r="N91" i="15" s="1"/>
  <c r="C108" i="56"/>
  <c r="CG34" i="13" s="1"/>
  <c r="CG33" i="13"/>
  <c r="L70" i="7"/>
  <c r="AG22" i="13" s="1"/>
  <c r="H563" i="78"/>
  <c r="K137" i="60"/>
  <c r="F41" i="79"/>
  <c r="G567" i="78"/>
  <c r="R143" i="71"/>
  <c r="I82" i="7"/>
  <c r="K138" i="60"/>
  <c r="F42" i="79"/>
  <c r="G568" i="78"/>
  <c r="M82" i="7"/>
  <c r="AE34" i="13" s="1"/>
  <c r="AG575" i="78"/>
  <c r="L72" i="7"/>
  <c r="AG24" i="13" s="1"/>
  <c r="H565" i="78"/>
  <c r="K131" i="60"/>
  <c r="G561" i="78"/>
  <c r="F36" i="79"/>
  <c r="C74" i="39"/>
  <c r="B75" i="39"/>
  <c r="B110" i="69"/>
  <c r="F18" i="76" s="1"/>
  <c r="C110" i="69"/>
  <c r="F49" i="76" s="1"/>
  <c r="D110" i="69"/>
  <c r="F80" i="76" s="1"/>
  <c r="E110" i="69"/>
  <c r="F111" i="76" s="1"/>
  <c r="H79" i="5"/>
  <c r="N34" i="13" s="1"/>
  <c r="N33" i="13"/>
  <c r="L161" i="26"/>
  <c r="L76" i="17" s="1"/>
  <c r="W212" i="26"/>
  <c r="L200" i="17" s="1"/>
  <c r="L212" i="26"/>
  <c r="L138" i="17" s="1"/>
  <c r="P192" i="14"/>
  <c r="W138" i="17" s="1"/>
  <c r="R192" i="14"/>
  <c r="W200" i="17" s="1"/>
  <c r="L192" i="14"/>
  <c r="W14" i="17" s="1"/>
  <c r="N192" i="14"/>
  <c r="W76" i="17" s="1"/>
  <c r="L88" i="7"/>
  <c r="AG40" i="13" s="1"/>
  <c r="H581" i="78"/>
  <c r="B104" i="69"/>
  <c r="F8" i="76" s="1"/>
  <c r="C104" i="69"/>
  <c r="F39" i="76" s="1"/>
  <c r="AU143" i="71"/>
  <c r="AU143" i="72"/>
  <c r="AU143" i="16"/>
  <c r="H89" i="10"/>
  <c r="J89" i="10"/>
  <c r="K89" i="10" s="1"/>
  <c r="B90" i="10"/>
  <c r="AV158" i="71"/>
  <c r="R158" i="71" s="1"/>
  <c r="AV158" i="72"/>
  <c r="R158" i="72" s="1"/>
  <c r="AV158" i="16"/>
  <c r="R158" i="16" s="1"/>
  <c r="E92" i="31"/>
  <c r="BD34" i="13" s="1"/>
  <c r="BD33" i="13"/>
  <c r="C124" i="69"/>
  <c r="F57" i="76" s="1"/>
  <c r="D124" i="69"/>
  <c r="F88" i="76" s="1"/>
  <c r="E124" i="69"/>
  <c r="F119" i="76" s="1"/>
  <c r="B124" i="69"/>
  <c r="F26" i="76" s="1"/>
  <c r="K63" i="7"/>
  <c r="F63" i="7"/>
  <c r="G59" i="30"/>
  <c r="H57" i="30"/>
  <c r="H59" i="30" s="1"/>
  <c r="D108" i="69"/>
  <c r="F74" i="76" s="1"/>
  <c r="C108" i="69"/>
  <c r="F43" i="76" s="1"/>
  <c r="E108" i="69"/>
  <c r="F105" i="76" s="1"/>
  <c r="B108" i="69"/>
  <c r="F12" i="76" s="1"/>
  <c r="BS117" i="63"/>
  <c r="BU117" i="63"/>
  <c r="BV117" i="63" s="1"/>
  <c r="BW117" i="63"/>
  <c r="BX117" i="63" s="1"/>
  <c r="M151" i="26"/>
  <c r="M81" i="17" s="1"/>
  <c r="X202" i="26"/>
  <c r="M205" i="17" s="1"/>
  <c r="M202" i="26"/>
  <c r="M143" i="17" s="1"/>
  <c r="O182" i="14"/>
  <c r="X81" i="17" s="1"/>
  <c r="Q182" i="14"/>
  <c r="X143" i="17" s="1"/>
  <c r="S182" i="14"/>
  <c r="X205" i="17" s="1"/>
  <c r="M182" i="14"/>
  <c r="X19" i="17" s="1"/>
  <c r="J108" i="56"/>
  <c r="AI575" i="78" s="1"/>
  <c r="AI574" i="78"/>
  <c r="D112" i="60"/>
  <c r="E112" i="60" s="1"/>
  <c r="E111" i="60"/>
  <c r="N66" i="7"/>
  <c r="AF18" i="13" s="1"/>
  <c r="K81" i="7"/>
  <c r="E82" i="7"/>
  <c r="K82" i="7" s="1"/>
  <c r="H575" i="78" s="1"/>
  <c r="F120" i="15"/>
  <c r="G120" i="15"/>
  <c r="B120" i="15"/>
  <c r="E15" i="17" s="1"/>
  <c r="C120" i="15"/>
  <c r="E46" i="17" s="1"/>
  <c r="D120" i="15"/>
  <c r="E120" i="15"/>
  <c r="K75" i="7"/>
  <c r="F75" i="7"/>
  <c r="N205" i="26"/>
  <c r="N146" i="17" s="1"/>
  <c r="Y205" i="26"/>
  <c r="N208" i="17" s="1"/>
  <c r="I108" i="56"/>
  <c r="CK34" i="13" s="1"/>
  <c r="CK33" i="13"/>
  <c r="BU116" i="63"/>
  <c r="BV116" i="63" s="1"/>
  <c r="BS116" i="63"/>
  <c r="BW116" i="63"/>
  <c r="BX116" i="63" s="1"/>
  <c r="K149" i="60"/>
  <c r="F52" i="79"/>
  <c r="G579" i="78"/>
  <c r="K74" i="10"/>
  <c r="AM16" i="13"/>
  <c r="AM18" i="13" s="1"/>
  <c r="L89" i="7"/>
  <c r="AG41" i="13" s="1"/>
  <c r="H582" i="78"/>
  <c r="BW118" i="63"/>
  <c r="BX118" i="63" s="1"/>
  <c r="BS118" i="63"/>
  <c r="BU118" i="63"/>
  <c r="BV118" i="63" s="1"/>
  <c r="C48" i="76"/>
  <c r="C79" i="76"/>
  <c r="C110" i="76"/>
  <c r="K107" i="56"/>
  <c r="CE32" i="13"/>
  <c r="E143" i="60"/>
  <c r="D144" i="60"/>
  <c r="I92" i="10"/>
  <c r="J577" i="78"/>
  <c r="E127" i="69"/>
  <c r="F122" i="76" s="1"/>
  <c r="B127" i="69"/>
  <c r="F29" i="76" s="1"/>
  <c r="D127" i="69"/>
  <c r="F91" i="76" s="1"/>
  <c r="C127" i="69"/>
  <c r="F60" i="76" s="1"/>
  <c r="L71" i="7"/>
  <c r="AG23" i="13" s="1"/>
  <c r="H564" i="78"/>
  <c r="H74" i="10"/>
  <c r="J559" i="78" s="1"/>
  <c r="J74" i="10"/>
  <c r="AV143" i="71"/>
  <c r="AV143" i="72"/>
  <c r="AV143" i="16"/>
  <c r="BB33" i="13"/>
  <c r="F75" i="33"/>
  <c r="BB34" i="13" s="1"/>
  <c r="BS133" i="63"/>
  <c r="BW133" i="63"/>
  <c r="BX133" i="63" s="1"/>
  <c r="BU133" i="63"/>
  <c r="BV133" i="63" s="1"/>
  <c r="BS129" i="63"/>
  <c r="BU129" i="63"/>
  <c r="BV129" i="63" s="1"/>
  <c r="BW129" i="63"/>
  <c r="BX129" i="63" s="1"/>
  <c r="Q92" i="10"/>
  <c r="AN36" i="13" s="1"/>
  <c r="BE36" i="13" s="1"/>
  <c r="S126" i="63"/>
  <c r="G128" i="15"/>
  <c r="B128" i="15"/>
  <c r="E28" i="17" s="1"/>
  <c r="C128" i="15"/>
  <c r="E59" i="17" s="1"/>
  <c r="D128" i="15"/>
  <c r="E128" i="15"/>
  <c r="F128" i="15"/>
  <c r="E75" i="39"/>
  <c r="BI34" i="13" s="1"/>
  <c r="BI33" i="13"/>
  <c r="F133" i="15"/>
  <c r="G133" i="15"/>
  <c r="D133" i="15"/>
  <c r="B133" i="15"/>
  <c r="E33" i="17" s="1"/>
  <c r="E133" i="15"/>
  <c r="C133" i="15"/>
  <c r="E64" i="17" s="1"/>
  <c r="D119" i="15"/>
  <c r="E119" i="15"/>
  <c r="F119" i="15"/>
  <c r="G119" i="15"/>
  <c r="B119" i="15"/>
  <c r="E25" i="17" s="1"/>
  <c r="C119" i="15"/>
  <c r="E56" i="17" s="1"/>
  <c r="E117" i="15"/>
  <c r="D117" i="15"/>
  <c r="C117" i="15"/>
  <c r="E54" i="17" s="1"/>
  <c r="G117" i="15"/>
  <c r="F117" i="15"/>
  <c r="B117" i="15"/>
  <c r="E23" i="17" s="1"/>
  <c r="F73" i="7"/>
  <c r="K73" i="7"/>
  <c r="B107" i="15"/>
  <c r="E9" i="17" s="1"/>
  <c r="G107" i="15"/>
  <c r="C107" i="15"/>
  <c r="E40" i="17" s="1"/>
  <c r="D107" i="15"/>
  <c r="F107" i="15"/>
  <c r="E107" i="15"/>
  <c r="BO32" i="13"/>
  <c r="L91" i="7"/>
  <c r="AG43" i="13" s="1"/>
  <c r="H584" i="78"/>
  <c r="N208" i="26"/>
  <c r="N149" i="17" s="1"/>
  <c r="Y208" i="26"/>
  <c r="N211" i="17" s="1"/>
  <c r="I73" i="10"/>
  <c r="J558" i="78"/>
  <c r="N206" i="26"/>
  <c r="N147" i="17" s="1"/>
  <c r="Y206" i="26"/>
  <c r="N209" i="17" s="1"/>
  <c r="K133" i="60"/>
  <c r="F37" i="79"/>
  <c r="G563" i="78"/>
  <c r="BU130" i="63"/>
  <c r="BV130" i="63" s="1"/>
  <c r="BW130" i="63"/>
  <c r="BX130" i="63" s="1"/>
  <c r="BS130" i="63"/>
  <c r="BR30" i="13"/>
  <c r="B116" i="15"/>
  <c r="E22" i="17" s="1"/>
  <c r="C116" i="15"/>
  <c r="E53" i="17" s="1"/>
  <c r="D116" i="15"/>
  <c r="E116" i="15"/>
  <c r="F116" i="15"/>
  <c r="G116" i="15"/>
  <c r="T557" i="78"/>
  <c r="J66" i="12"/>
  <c r="B128" i="69"/>
  <c r="F30" i="76" s="1"/>
  <c r="C128" i="69"/>
  <c r="F61" i="76" s="1"/>
  <c r="D128" i="69"/>
  <c r="F92" i="76" s="1"/>
  <c r="E128" i="69"/>
  <c r="F123" i="76" s="1"/>
  <c r="C17" i="17"/>
  <c r="C265" i="17"/>
  <c r="C48" i="17"/>
  <c r="C141" i="17"/>
  <c r="C203" i="17"/>
  <c r="C296" i="17"/>
  <c r="C79" i="17"/>
  <c r="C172" i="17"/>
  <c r="C110" i="17"/>
  <c r="C234" i="17"/>
  <c r="I94" i="10"/>
  <c r="J579" i="78"/>
  <c r="BS105" i="63"/>
  <c r="BW105" i="63"/>
  <c r="BX105" i="63" s="1"/>
  <c r="BU105" i="63"/>
  <c r="BV105" i="63" s="1"/>
  <c r="D121" i="15"/>
  <c r="E121" i="15"/>
  <c r="F121" i="15"/>
  <c r="G121" i="15"/>
  <c r="B121" i="15"/>
  <c r="E16" i="17" s="1"/>
  <c r="C121" i="15"/>
  <c r="E47" i="17" s="1"/>
  <c r="I72" i="10"/>
  <c r="J557" i="78"/>
  <c r="S126" i="62"/>
  <c r="I109" i="55" s="1"/>
  <c r="I108" i="55"/>
  <c r="K136" i="60"/>
  <c r="G566" i="78"/>
  <c r="F40" i="79"/>
  <c r="H92" i="55"/>
  <c r="BW115" i="63"/>
  <c r="BX115" i="63" s="1"/>
  <c r="BU115" i="63"/>
  <c r="BV115" i="63" s="1"/>
  <c r="BS115" i="63"/>
  <c r="Z88" i="69"/>
  <c r="D120" i="69"/>
  <c r="F75" i="76" s="1"/>
  <c r="C120" i="69"/>
  <c r="F44" i="76" s="1"/>
  <c r="B120" i="69"/>
  <c r="F13" i="76" s="1"/>
  <c r="E120" i="69"/>
  <c r="F106" i="76" s="1"/>
  <c r="AZ33" i="13"/>
  <c r="F75" i="29"/>
  <c r="AZ34" i="13" s="1"/>
  <c r="K139" i="60"/>
  <c r="F43" i="79"/>
  <c r="G569" i="78"/>
  <c r="M209" i="26"/>
  <c r="M139" i="17" s="1"/>
  <c r="X209" i="26"/>
  <c r="M201" i="17" s="1"/>
  <c r="M158" i="26"/>
  <c r="M77" i="17" s="1"/>
  <c r="Q189" i="14"/>
  <c r="X139" i="17" s="1"/>
  <c r="S189" i="14"/>
  <c r="X201" i="17" s="1"/>
  <c r="M189" i="14"/>
  <c r="X15" i="17" s="1"/>
  <c r="O189" i="14"/>
  <c r="X77" i="17" s="1"/>
  <c r="F108" i="55"/>
  <c r="F109" i="55" s="1"/>
  <c r="H107" i="55"/>
  <c r="H108" i="55" s="1"/>
  <c r="H109" i="55" s="1"/>
  <c r="G107" i="55"/>
  <c r="BS119" i="63"/>
  <c r="BU119" i="63"/>
  <c r="BV119" i="63" s="1"/>
  <c r="BW119" i="63"/>
  <c r="BX119" i="63" s="1"/>
  <c r="K134" i="60"/>
  <c r="F38" i="79"/>
  <c r="G564" i="78"/>
  <c r="C118" i="69"/>
  <c r="F46" i="76" s="1"/>
  <c r="D118" i="69"/>
  <c r="F77" i="76" s="1"/>
  <c r="E118" i="69"/>
  <c r="F108" i="76" s="1"/>
  <c r="B118" i="69"/>
  <c r="F15" i="76" s="1"/>
  <c r="N211" i="26"/>
  <c r="N137" i="17" s="1"/>
  <c r="Y211" i="26"/>
  <c r="N199" i="17" s="1"/>
  <c r="CQ33" i="13"/>
  <c r="BB124" i="63"/>
  <c r="CQ34" i="13" s="1"/>
  <c r="AL143" i="71"/>
  <c r="AL143" i="72"/>
  <c r="AL143" i="16"/>
  <c r="K154" i="60"/>
  <c r="F57" i="79"/>
  <c r="G584" i="78"/>
  <c r="H144" i="60"/>
  <c r="L111" i="55"/>
  <c r="BK36" i="13" s="1"/>
  <c r="L183" i="61"/>
  <c r="G106" i="55"/>
  <c r="L106" i="55" s="1"/>
  <c r="BK31" i="13" s="1"/>
  <c r="C129" i="60"/>
  <c r="E96" i="60"/>
  <c r="G75" i="33"/>
  <c r="H74" i="33"/>
  <c r="H75" i="33" s="1"/>
  <c r="N202" i="26"/>
  <c r="N143" i="17" s="1"/>
  <c r="Y202" i="26"/>
  <c r="N205" i="17" s="1"/>
  <c r="L68" i="7"/>
  <c r="AG20" i="13" s="1"/>
  <c r="H561" i="78"/>
  <c r="B106" i="69"/>
  <c r="F10" i="76" s="1"/>
  <c r="J93" i="55"/>
  <c r="C130" i="69"/>
  <c r="F63" i="76" s="1"/>
  <c r="E130" i="69"/>
  <c r="F125" i="76" s="1"/>
  <c r="B130" i="69"/>
  <c r="F32" i="76" s="1"/>
  <c r="D130" i="69"/>
  <c r="F94" i="76" s="1"/>
  <c r="I96" i="60"/>
  <c r="BR24" i="13"/>
  <c r="P89" i="10"/>
  <c r="L90" i="10"/>
  <c r="P90" i="10" s="1"/>
  <c r="L67" i="7"/>
  <c r="AG19" i="13" s="1"/>
  <c r="H560" i="78"/>
  <c r="E126" i="69"/>
  <c r="F121" i="76" s="1"/>
  <c r="B126" i="69"/>
  <c r="F28" i="76" s="1"/>
  <c r="C126" i="69"/>
  <c r="F59" i="76" s="1"/>
  <c r="D126" i="69"/>
  <c r="F90" i="76" s="1"/>
  <c r="D131" i="69"/>
  <c r="F95" i="76" s="1"/>
  <c r="C131" i="69"/>
  <c r="F64" i="76" s="1"/>
  <c r="E131" i="69"/>
  <c r="F126" i="76" s="1"/>
  <c r="B131" i="69"/>
  <c r="F33" i="76" s="1"/>
  <c r="B117" i="69"/>
  <c r="F25" i="76" s="1"/>
  <c r="E117" i="69"/>
  <c r="F118" i="76" s="1"/>
  <c r="D117" i="69"/>
  <c r="F87" i="76" s="1"/>
  <c r="C117" i="69"/>
  <c r="F56" i="76" s="1"/>
  <c r="I76" i="10"/>
  <c r="J561" i="78"/>
  <c r="E59" i="30"/>
  <c r="F57" i="30"/>
  <c r="C115" i="69"/>
  <c r="F54" i="76" s="1"/>
  <c r="B115" i="69"/>
  <c r="F23" i="76" s="1"/>
  <c r="D115" i="69"/>
  <c r="F85" i="76" s="1"/>
  <c r="E115" i="69"/>
  <c r="F116" i="76" s="1"/>
  <c r="E127" i="15"/>
  <c r="F127" i="15"/>
  <c r="G127" i="15"/>
  <c r="D127" i="15"/>
  <c r="C127" i="15"/>
  <c r="E58" i="17" s="1"/>
  <c r="B127" i="15"/>
  <c r="E27" i="17" s="1"/>
  <c r="D131" i="15"/>
  <c r="E131" i="15"/>
  <c r="G131" i="15"/>
  <c r="C131" i="15"/>
  <c r="E62" i="17" s="1"/>
  <c r="B131" i="15"/>
  <c r="E31" i="17" s="1"/>
  <c r="F131" i="15"/>
  <c r="M203" i="26"/>
  <c r="M144" i="17" s="1"/>
  <c r="M152" i="26"/>
  <c r="M82" i="17" s="1"/>
  <c r="X203" i="26"/>
  <c r="M206" i="17" s="1"/>
  <c r="M183" i="14"/>
  <c r="X20" i="17" s="1"/>
  <c r="O183" i="14"/>
  <c r="X82" i="17" s="1"/>
  <c r="S183" i="14"/>
  <c r="X206" i="17" s="1"/>
  <c r="Q183" i="14"/>
  <c r="X144" i="17" s="1"/>
  <c r="E59" i="39"/>
  <c r="BI16" i="13"/>
  <c r="BI18" i="13" s="1"/>
  <c r="K78" i="7"/>
  <c r="F78" i="7"/>
  <c r="F82" i="7" s="1"/>
  <c r="I87" i="10"/>
  <c r="J572" i="78"/>
  <c r="E105" i="69"/>
  <c r="F102" i="76" s="1"/>
  <c r="C105" i="69"/>
  <c r="F40" i="76" s="1"/>
  <c r="B105" i="69"/>
  <c r="F9" i="76" s="1"/>
  <c r="D105" i="69"/>
  <c r="F71" i="76" s="1"/>
  <c r="K143" i="60"/>
  <c r="J144" i="60"/>
  <c r="F47" i="79"/>
  <c r="G573" i="78"/>
  <c r="BT132" i="63"/>
  <c r="BY132" i="63"/>
  <c r="BZ132" i="63" s="1"/>
  <c r="AS42" i="13" s="1"/>
  <c r="B102" i="70"/>
  <c r="E99" i="75" s="1"/>
  <c r="I85" i="10"/>
  <c r="J570" i="78"/>
  <c r="L90" i="7"/>
  <c r="AG42" i="13" s="1"/>
  <c r="H583" i="78"/>
  <c r="B105" i="15"/>
  <c r="E7" i="17" s="1"/>
  <c r="C105" i="15"/>
  <c r="E38" i="17" s="1"/>
  <c r="D105" i="15"/>
  <c r="E105" i="15"/>
  <c r="F105" i="15"/>
  <c r="G105" i="15"/>
  <c r="K77" i="7"/>
  <c r="C59" i="39"/>
  <c r="BH16" i="13"/>
  <c r="BH18" i="13" s="1"/>
  <c r="K152" i="60"/>
  <c r="F55" i="79"/>
  <c r="G582" i="78"/>
  <c r="L86" i="7"/>
  <c r="AG38" i="13" s="1"/>
  <c r="H579" i="78"/>
  <c r="C106" i="69"/>
  <c r="F41" i="76" s="1"/>
  <c r="BO18" i="13"/>
  <c r="B114" i="69"/>
  <c r="F22" i="76" s="1"/>
  <c r="C114" i="69"/>
  <c r="F53" i="76" s="1"/>
  <c r="D114" i="69"/>
  <c r="F84" i="76" s="1"/>
  <c r="E114" i="69"/>
  <c r="F115" i="76" s="1"/>
  <c r="BR38" i="13"/>
  <c r="BU112" i="63"/>
  <c r="BV112" i="63" s="1"/>
  <c r="BW112" i="63"/>
  <c r="BX112" i="63" s="1"/>
  <c r="BS112" i="63"/>
  <c r="B114" i="15"/>
  <c r="E20" i="17" s="1"/>
  <c r="C114" i="15"/>
  <c r="E51" i="17" s="1"/>
  <c r="D114" i="15"/>
  <c r="E114" i="15"/>
  <c r="F114" i="15"/>
  <c r="G114" i="15"/>
  <c r="G113" i="15"/>
  <c r="E113" i="15"/>
  <c r="B113" i="15"/>
  <c r="E19" i="17" s="1"/>
  <c r="C113" i="15"/>
  <c r="E50" i="17" s="1"/>
  <c r="D113" i="15"/>
  <c r="F113" i="15"/>
  <c r="L87" i="7"/>
  <c r="AG39" i="13" s="1"/>
  <c r="H580" i="78"/>
  <c r="B118" i="15"/>
  <c r="E24" i="17" s="1"/>
  <c r="C118" i="15"/>
  <c r="E55" i="17" s="1"/>
  <c r="D118" i="15"/>
  <c r="E118" i="15"/>
  <c r="G118" i="15"/>
  <c r="F118" i="15"/>
  <c r="AL159" i="71"/>
  <c r="H159" i="71" s="1"/>
  <c r="AL159" i="72"/>
  <c r="H159" i="72" s="1"/>
  <c r="AL159" i="16"/>
  <c r="H159" i="16" s="1"/>
  <c r="BW122" i="63"/>
  <c r="BU122" i="63"/>
  <c r="BS122" i="63"/>
  <c r="E106" i="69"/>
  <c r="F103" i="76" s="1"/>
  <c r="G108" i="56"/>
  <c r="CJ34" i="13" s="1"/>
  <c r="CJ33" i="13"/>
  <c r="BR31" i="13"/>
  <c r="B119" i="69"/>
  <c r="F16" i="76" s="1"/>
  <c r="D119" i="69"/>
  <c r="F78" i="76" s="1"/>
  <c r="E119" i="69"/>
  <c r="F109" i="76" s="1"/>
  <c r="C119" i="69"/>
  <c r="F47" i="76" s="1"/>
  <c r="C96" i="60"/>
  <c r="E129" i="60"/>
  <c r="BS121" i="63"/>
  <c r="BW121" i="63"/>
  <c r="BX121" i="63" s="1"/>
  <c r="BU121" i="63"/>
  <c r="BV121" i="63" s="1"/>
  <c r="E66" i="7"/>
  <c r="K66" i="7" s="1"/>
  <c r="H559" i="78" s="1"/>
  <c r="M66" i="7"/>
  <c r="AE18" i="13" s="1"/>
  <c r="AG559" i="78"/>
  <c r="F130" i="15"/>
  <c r="G130" i="15"/>
  <c r="D130" i="15"/>
  <c r="B130" i="15"/>
  <c r="E30" i="17" s="1"/>
  <c r="C130" i="15"/>
  <c r="E61" i="17" s="1"/>
  <c r="E130" i="15"/>
  <c r="AO33" i="13"/>
  <c r="AV124" i="63"/>
  <c r="AO34" i="13" s="1"/>
  <c r="K84" i="7"/>
  <c r="F84" i="7"/>
  <c r="B109" i="55"/>
  <c r="V126" i="62"/>
  <c r="BR34" i="13" s="1"/>
  <c r="D82" i="7"/>
  <c r="N82" i="7" s="1"/>
  <c r="AF34" i="13" s="1"/>
  <c r="AU158" i="71"/>
  <c r="Q158" i="71" s="1"/>
  <c r="AU158" i="72"/>
  <c r="Q158" i="72" s="1"/>
  <c r="AU158" i="16"/>
  <c r="Q158" i="16" s="1"/>
  <c r="K65" i="7"/>
  <c r="F65" i="7"/>
  <c r="BR22" i="13"/>
  <c r="K153" i="60"/>
  <c r="F56" i="79"/>
  <c r="G583" i="78"/>
  <c r="G75" i="30"/>
  <c r="H74" i="30"/>
  <c r="H75" i="30" s="1"/>
  <c r="F79" i="7"/>
  <c r="K79" i="7"/>
  <c r="C143" i="60"/>
  <c r="B144" i="60"/>
  <c r="B109" i="15"/>
  <c r="E11" i="17" s="1"/>
  <c r="C109" i="15"/>
  <c r="E42" i="17" s="1"/>
  <c r="D109" i="15"/>
  <c r="G109" i="15"/>
  <c r="E109" i="15"/>
  <c r="F109" i="15"/>
  <c r="AQ33" i="13"/>
  <c r="BJ124" i="63"/>
  <c r="AQ34" i="13" s="1"/>
  <c r="H81" i="2"/>
  <c r="I80" i="2"/>
  <c r="I81" i="2" s="1"/>
  <c r="J112" i="60"/>
  <c r="F21" i="79"/>
  <c r="F574" i="78"/>
  <c r="I75" i="10"/>
  <c r="J560" i="78"/>
  <c r="BQ124" i="63"/>
  <c r="I170" i="61"/>
  <c r="L122" i="22"/>
  <c r="F115" i="79"/>
  <c r="M174" i="20"/>
  <c r="L102" i="55"/>
  <c r="BK27" i="13" s="1"/>
  <c r="K128" i="60"/>
  <c r="G558" i="78"/>
  <c r="F33" i="79"/>
  <c r="K126" i="60"/>
  <c r="F31" i="79"/>
  <c r="G556" i="78"/>
  <c r="R143" i="16"/>
  <c r="K130" i="60"/>
  <c r="F35" i="79"/>
  <c r="G560" i="78"/>
  <c r="I86" i="10"/>
  <c r="J571" i="78"/>
  <c r="Q79" i="10"/>
  <c r="AN23" i="13" s="1"/>
  <c r="BE23" i="13" s="1"/>
  <c r="S113" i="63"/>
  <c r="BU131" i="63"/>
  <c r="BV131" i="63" s="1"/>
  <c r="BW131" i="63"/>
  <c r="BX131" i="63" s="1"/>
  <c r="BS131" i="63"/>
  <c r="BF34" i="13"/>
  <c r="BG34" i="13" s="1"/>
  <c r="CA124" i="63"/>
  <c r="CC124" i="63"/>
  <c r="G111" i="60"/>
  <c r="F112" i="60"/>
  <c r="G112" i="60" s="1"/>
  <c r="L80" i="7"/>
  <c r="AG32" i="13" s="1"/>
  <c r="H573" i="78"/>
  <c r="Q76" i="10"/>
  <c r="AN20" i="13" s="1"/>
  <c r="BE20" i="13" s="1"/>
  <c r="S110" i="63"/>
  <c r="BR17" i="13"/>
  <c r="E75" i="30"/>
  <c r="F74" i="30"/>
  <c r="D132" i="15"/>
  <c r="B132" i="15"/>
  <c r="E32" i="17" s="1"/>
  <c r="E132" i="15"/>
  <c r="F132" i="15"/>
  <c r="G132" i="15"/>
  <c r="C132" i="15"/>
  <c r="E63" i="17" s="1"/>
  <c r="Q93" i="10"/>
  <c r="AN37" i="13" s="1"/>
  <c r="BE37" i="13" s="1"/>
  <c r="S127" i="63"/>
  <c r="Y212" i="26"/>
  <c r="N200" i="17" s="1"/>
  <c r="N212" i="26"/>
  <c r="N138" i="17" s="1"/>
  <c r="K141" i="60"/>
  <c r="F45" i="79"/>
  <c r="G571" i="78"/>
  <c r="D115" i="15"/>
  <c r="E115" i="15"/>
  <c r="F115" i="15"/>
  <c r="G115" i="15"/>
  <c r="C115" i="15"/>
  <c r="E52" i="17" s="1"/>
  <c r="B115" i="15"/>
  <c r="E21" i="17" s="1"/>
  <c r="M153" i="26"/>
  <c r="M83" i="17" s="1"/>
  <c r="X204" i="26"/>
  <c r="M207" i="17" s="1"/>
  <c r="M204" i="26"/>
  <c r="M145" i="17" s="1"/>
  <c r="S184" i="14"/>
  <c r="X207" i="17" s="1"/>
  <c r="M184" i="14"/>
  <c r="X21" i="17" s="1"/>
  <c r="O184" i="14"/>
  <c r="X83" i="17" s="1"/>
  <c r="Q184" i="14"/>
  <c r="X145" i="17" s="1"/>
  <c r="J92" i="55"/>
  <c r="L92" i="55" s="1"/>
  <c r="BK17" i="13" s="1"/>
  <c r="B122" i="15"/>
  <c r="E122" i="15"/>
  <c r="F122" i="15"/>
  <c r="G122" i="15"/>
  <c r="D122" i="15"/>
  <c r="C122" i="15"/>
  <c r="Q86" i="10"/>
  <c r="AN30" i="13" s="1"/>
  <c r="BE30" i="13" s="1"/>
  <c r="S120" i="63"/>
  <c r="E125" i="69"/>
  <c r="F120" i="76" s="1"/>
  <c r="C125" i="69"/>
  <c r="F58" i="76" s="1"/>
  <c r="B125" i="69"/>
  <c r="F27" i="76" s="1"/>
  <c r="D125" i="69"/>
  <c r="F89" i="76" s="1"/>
  <c r="B129" i="69"/>
  <c r="F31" i="76" s="1"/>
  <c r="E129" i="69"/>
  <c r="F124" i="76" s="1"/>
  <c r="D129" i="69"/>
  <c r="F93" i="76" s="1"/>
  <c r="C129" i="69"/>
  <c r="F62" i="76" s="1"/>
  <c r="L76" i="7"/>
  <c r="AG28" i="13" s="1"/>
  <c r="H569" i="78"/>
  <c r="C111" i="60"/>
  <c r="B112" i="60"/>
  <c r="C112" i="60" s="1"/>
  <c r="B107" i="69"/>
  <c r="F11" i="76" s="1"/>
  <c r="D107" i="69"/>
  <c r="F73" i="76" s="1"/>
  <c r="C107" i="69"/>
  <c r="F42" i="76" s="1"/>
  <c r="E107" i="69"/>
  <c r="F104" i="76" s="1"/>
  <c r="I84" i="10"/>
  <c r="J569" i="78"/>
  <c r="AU33" i="13"/>
  <c r="CD124" i="63"/>
  <c r="AU34" i="13" s="1"/>
  <c r="K112" i="60"/>
  <c r="I79" i="10"/>
  <c r="J564" i="78"/>
  <c r="B103" i="69"/>
  <c r="F7" i="76" s="1"/>
  <c r="E103" i="69"/>
  <c r="F100" i="76" s="1"/>
  <c r="D103" i="69"/>
  <c r="F69" i="76" s="1"/>
  <c r="C103" i="69"/>
  <c r="F38" i="76" s="1"/>
  <c r="Q73" i="10"/>
  <c r="AN17" i="13" s="1"/>
  <c r="BE17" i="13" s="1"/>
  <c r="S107" i="63"/>
  <c r="I71" i="10"/>
  <c r="J556" i="78"/>
  <c r="AP33" i="13"/>
  <c r="BH124" i="63"/>
  <c r="AP34" i="13" s="1"/>
  <c r="L170" i="61"/>
  <c r="G93" i="55"/>
  <c r="L93" i="55" s="1"/>
  <c r="BK18" i="13" s="1"/>
  <c r="M108" i="56"/>
  <c r="CL34" i="13" s="1"/>
  <c r="CL33" i="13"/>
  <c r="F112" i="15"/>
  <c r="B112" i="15"/>
  <c r="E18" i="17" s="1"/>
  <c r="C112" i="15"/>
  <c r="E49" i="17" s="1"/>
  <c r="D112" i="15"/>
  <c r="E112" i="15"/>
  <c r="G112" i="15"/>
  <c r="D112" i="69"/>
  <c r="F82" i="76" s="1"/>
  <c r="C112" i="69"/>
  <c r="F51" i="76" s="1"/>
  <c r="B112" i="69"/>
  <c r="F20" i="76" s="1"/>
  <c r="E112" i="69"/>
  <c r="F113" i="76" s="1"/>
  <c r="E111" i="69"/>
  <c r="F112" i="76" s="1"/>
  <c r="B111" i="69"/>
  <c r="F19" i="76" s="1"/>
  <c r="C111" i="69"/>
  <c r="F50" i="76" s="1"/>
  <c r="D111" i="69"/>
  <c r="F81" i="76" s="1"/>
  <c r="B116" i="69"/>
  <c r="F24" i="76" s="1"/>
  <c r="C116" i="69"/>
  <c r="F55" i="76" s="1"/>
  <c r="D116" i="69"/>
  <c r="F86" i="76" s="1"/>
  <c r="E116" i="69"/>
  <c r="F117" i="76" s="1"/>
  <c r="BR25" i="13"/>
  <c r="I81" i="10"/>
  <c r="J566" i="78"/>
  <c r="D104" i="69"/>
  <c r="F70" i="76" s="1"/>
  <c r="P72" i="10"/>
  <c r="L74" i="10"/>
  <c r="P74" i="10" s="1"/>
  <c r="S108" i="63" s="1"/>
  <c r="F85" i="7"/>
  <c r="K85" i="7"/>
  <c r="F129" i="15"/>
  <c r="G129" i="15"/>
  <c r="B129" i="15"/>
  <c r="E29" i="17" s="1"/>
  <c r="C129" i="15"/>
  <c r="E60" i="17" s="1"/>
  <c r="D129" i="15"/>
  <c r="E129" i="15"/>
  <c r="R143" i="72"/>
  <c r="M162" i="26" l="1"/>
  <c r="M79" i="17" s="1"/>
  <c r="M213" i="26"/>
  <c r="M141" i="17" s="1"/>
  <c r="X213" i="26"/>
  <c r="M203" i="17" s="1"/>
  <c r="M193" i="14"/>
  <c r="X17" i="17" s="1"/>
  <c r="O193" i="14"/>
  <c r="X79" i="17" s="1"/>
  <c r="Q193" i="14"/>
  <c r="X141" i="17" s="1"/>
  <c r="S193" i="14"/>
  <c r="X203" i="17" s="1"/>
  <c r="E153" i="17"/>
  <c r="E184" i="17"/>
  <c r="BS108" i="63"/>
  <c r="BU108" i="63"/>
  <c r="BV108" i="63" s="1"/>
  <c r="BW108" i="63"/>
  <c r="BX108" i="63" s="1"/>
  <c r="B123" i="15"/>
  <c r="E13" i="17"/>
  <c r="F75" i="30"/>
  <c r="BA34" i="13" s="1"/>
  <c r="BA33" i="13"/>
  <c r="E228" i="17"/>
  <c r="E197" i="17"/>
  <c r="L79" i="7"/>
  <c r="AG31" i="13" s="1"/>
  <c r="H572" i="78"/>
  <c r="N201" i="26"/>
  <c r="N142" i="17" s="1"/>
  <c r="Y201" i="26"/>
  <c r="N204" i="17" s="1"/>
  <c r="E92" i="17"/>
  <c r="E123" i="17"/>
  <c r="BV122" i="63"/>
  <c r="E86" i="17"/>
  <c r="E117" i="17"/>
  <c r="E255" i="17"/>
  <c r="E286" i="17"/>
  <c r="K144" i="60"/>
  <c r="J145" i="60"/>
  <c r="G574" i="78"/>
  <c r="F48" i="79"/>
  <c r="E93" i="17"/>
  <c r="E124" i="17"/>
  <c r="Q89" i="10"/>
  <c r="S123" i="63"/>
  <c r="S124" i="63" s="1"/>
  <c r="BT105" i="63"/>
  <c r="BY105" i="63"/>
  <c r="BZ105" i="63" s="1"/>
  <c r="AS15" i="13" s="1"/>
  <c r="E209" i="17"/>
  <c r="E240" i="17"/>
  <c r="E242" i="17"/>
  <c r="E211" i="17"/>
  <c r="E250" i="17"/>
  <c r="E219" i="17"/>
  <c r="E307" i="17"/>
  <c r="E276" i="17"/>
  <c r="E232" i="17"/>
  <c r="E201" i="17"/>
  <c r="E105" i="17"/>
  <c r="E74" i="17"/>
  <c r="Z86" i="70"/>
  <c r="B119" i="70" s="1"/>
  <c r="E116" i="75" s="1"/>
  <c r="B118" i="70"/>
  <c r="E115" i="75" s="1"/>
  <c r="E243" i="17"/>
  <c r="E212" i="17"/>
  <c r="D108" i="15"/>
  <c r="E70" i="17"/>
  <c r="E101" i="17"/>
  <c r="E166" i="17"/>
  <c r="E135" i="17"/>
  <c r="E290" i="17"/>
  <c r="E259" i="17"/>
  <c r="L65" i="7"/>
  <c r="AG17" i="13" s="1"/>
  <c r="H558" i="78"/>
  <c r="L84" i="7"/>
  <c r="AG36" i="13" s="1"/>
  <c r="H577" i="78"/>
  <c r="E216" i="17"/>
  <c r="E247" i="17"/>
  <c r="BT121" i="63"/>
  <c r="BY121" i="63"/>
  <c r="BZ121" i="63" s="1"/>
  <c r="AS31" i="13" s="1"/>
  <c r="E174" i="17"/>
  <c r="E143" i="17"/>
  <c r="E131" i="17"/>
  <c r="E162" i="17"/>
  <c r="E264" i="17"/>
  <c r="E295" i="17"/>
  <c r="AV16" i="13"/>
  <c r="AV18" i="13" s="1"/>
  <c r="J68" i="12"/>
  <c r="E118" i="17"/>
  <c r="E87" i="17"/>
  <c r="BS126" i="63"/>
  <c r="BU126" i="63"/>
  <c r="BV126" i="63" s="1"/>
  <c r="BW126" i="63"/>
  <c r="BX126" i="63" s="1"/>
  <c r="BT118" i="63"/>
  <c r="BY118" i="63"/>
  <c r="BZ118" i="63" s="1"/>
  <c r="AS28" i="13" s="1"/>
  <c r="L75" i="7"/>
  <c r="AG27" i="13" s="1"/>
  <c r="H568" i="78"/>
  <c r="L81" i="7"/>
  <c r="H574" i="78"/>
  <c r="BY117" i="63"/>
  <c r="BZ117" i="63" s="1"/>
  <c r="AS27" i="13" s="1"/>
  <c r="BT117" i="63"/>
  <c r="L63" i="7"/>
  <c r="AG15" i="13" s="1"/>
  <c r="H556" i="78"/>
  <c r="F66" i="7"/>
  <c r="E119" i="17"/>
  <c r="E88" i="17"/>
  <c r="B108" i="15"/>
  <c r="E8" i="17"/>
  <c r="E180" i="17"/>
  <c r="E149" i="17"/>
  <c r="L64" i="7"/>
  <c r="H557" i="78"/>
  <c r="BU107" i="63"/>
  <c r="BV107" i="63" s="1"/>
  <c r="BW107" i="63"/>
  <c r="BX107" i="63" s="1"/>
  <c r="BS107" i="63"/>
  <c r="C123" i="15"/>
  <c r="E44" i="17"/>
  <c r="E300" i="17"/>
  <c r="E269" i="17"/>
  <c r="E280" i="17"/>
  <c r="E311" i="17"/>
  <c r="F22" i="79"/>
  <c r="F575" i="78"/>
  <c r="E104" i="17"/>
  <c r="E73" i="17"/>
  <c r="Y210" i="26"/>
  <c r="N202" i="17" s="1"/>
  <c r="N210" i="26"/>
  <c r="N140" i="17" s="1"/>
  <c r="E298" i="17"/>
  <c r="E267" i="17"/>
  <c r="BY112" i="63"/>
  <c r="BZ112" i="63" s="1"/>
  <c r="AS22" i="13" s="1"/>
  <c r="BT112" i="63"/>
  <c r="E69" i="17"/>
  <c r="E100" i="17"/>
  <c r="E217" i="17"/>
  <c r="E248" i="17"/>
  <c r="E120" i="17"/>
  <c r="E89" i="17"/>
  <c r="N203" i="26"/>
  <c r="N144" i="17" s="1"/>
  <c r="Y203" i="26"/>
  <c r="N206" i="17" s="1"/>
  <c r="Z89" i="69"/>
  <c r="B121" i="69"/>
  <c r="F14" i="76" s="1"/>
  <c r="D121" i="69"/>
  <c r="F76" i="76" s="1"/>
  <c r="E121" i="69"/>
  <c r="F107" i="76" s="1"/>
  <c r="C121" i="69"/>
  <c r="F45" i="76" s="1"/>
  <c r="E233" i="17"/>
  <c r="E202" i="17"/>
  <c r="N209" i="26"/>
  <c r="N139" i="17" s="1"/>
  <c r="Y209" i="26"/>
  <c r="N201" i="17" s="1"/>
  <c r="E85" i="17"/>
  <c r="E116" i="17"/>
  <c r="E214" i="17"/>
  <c r="E245" i="17"/>
  <c r="E170" i="17"/>
  <c r="E139" i="17"/>
  <c r="G108" i="15"/>
  <c r="E256" i="17"/>
  <c r="E287" i="17"/>
  <c r="BT109" i="63"/>
  <c r="BY109" i="63"/>
  <c r="BZ109" i="63" s="1"/>
  <c r="AS19" i="13" s="1"/>
  <c r="Q72" i="10"/>
  <c r="S106" i="63"/>
  <c r="E193" i="17"/>
  <c r="E224" i="17"/>
  <c r="L78" i="7"/>
  <c r="AG30" i="13" s="1"/>
  <c r="H571" i="78"/>
  <c r="E271" i="17"/>
  <c r="E302" i="17"/>
  <c r="E144" i="60"/>
  <c r="D145" i="60"/>
  <c r="E145" i="60" s="1"/>
  <c r="C108" i="15"/>
  <c r="E39" i="17"/>
  <c r="E308" i="17"/>
  <c r="E277" i="17"/>
  <c r="E266" i="17"/>
  <c r="E297" i="17"/>
  <c r="D123" i="15"/>
  <c r="E106" i="17"/>
  <c r="E75" i="17"/>
  <c r="E238" i="17"/>
  <c r="E207" i="17"/>
  <c r="E218" i="17"/>
  <c r="E249" i="17"/>
  <c r="E299" i="17"/>
  <c r="E268" i="17"/>
  <c r="E306" i="17"/>
  <c r="E275" i="17"/>
  <c r="F59" i="30"/>
  <c r="BA16" i="13"/>
  <c r="BA18" i="13" s="1"/>
  <c r="BY115" i="63"/>
  <c r="BZ115" i="63" s="1"/>
  <c r="AS25" i="13" s="1"/>
  <c r="BT115" i="63"/>
  <c r="E171" i="17"/>
  <c r="E140" i="17"/>
  <c r="E270" i="17"/>
  <c r="E301" i="17"/>
  <c r="BT130" i="63"/>
  <c r="BY130" i="63"/>
  <c r="BZ130" i="63" s="1"/>
  <c r="AS40" i="13" s="1"/>
  <c r="R211" i="26"/>
  <c r="R137" i="17" s="1"/>
  <c r="AC211" i="26"/>
  <c r="R199" i="17" s="1"/>
  <c r="L73" i="7"/>
  <c r="AG25" i="13" s="1"/>
  <c r="H566" i="78"/>
  <c r="E147" i="17"/>
  <c r="E178" i="17"/>
  <c r="E188" i="17"/>
  <c r="E157" i="17"/>
  <c r="E152" i="17"/>
  <c r="E183" i="17"/>
  <c r="K108" i="56"/>
  <c r="CE34" i="13" s="1"/>
  <c r="CE33" i="13"/>
  <c r="E77" i="17"/>
  <c r="E108" i="17"/>
  <c r="AV33" i="13"/>
  <c r="J84" i="12"/>
  <c r="AV34" i="13" s="1"/>
  <c r="K129" i="60"/>
  <c r="F34" i="79"/>
  <c r="G559" i="78"/>
  <c r="E291" i="17"/>
  <c r="E260" i="17"/>
  <c r="E91" i="17"/>
  <c r="E122" i="17"/>
  <c r="BS113" i="63"/>
  <c r="BU113" i="63"/>
  <c r="BV113" i="63" s="1"/>
  <c r="BW113" i="63"/>
  <c r="BX113" i="63" s="1"/>
  <c r="E257" i="17"/>
  <c r="E288" i="17"/>
  <c r="E173" i="17"/>
  <c r="E142" i="17"/>
  <c r="G123" i="15"/>
  <c r="E292" i="17"/>
  <c r="E261" i="17"/>
  <c r="E176" i="17"/>
  <c r="E145" i="17"/>
  <c r="E156" i="17"/>
  <c r="E187" i="17"/>
  <c r="BW110" i="63"/>
  <c r="BX110" i="63" s="1"/>
  <c r="BU110" i="63"/>
  <c r="BV110" i="63" s="1"/>
  <c r="BS110" i="63"/>
  <c r="E154" i="17"/>
  <c r="E185" i="17"/>
  <c r="E241" i="17"/>
  <c r="E210" i="17"/>
  <c r="E237" i="17"/>
  <c r="E206" i="17"/>
  <c r="E244" i="17"/>
  <c r="E213" i="17"/>
  <c r="BT119" i="63"/>
  <c r="BY119" i="63"/>
  <c r="BZ119" i="63" s="1"/>
  <c r="AS29" i="13" s="1"/>
  <c r="E78" i="17"/>
  <c r="E109" i="17"/>
  <c r="E239" i="17"/>
  <c r="E208" i="17"/>
  <c r="E164" i="17"/>
  <c r="E133" i="17"/>
  <c r="E90" i="17"/>
  <c r="E121" i="17"/>
  <c r="H90" i="10"/>
  <c r="J575" i="78" s="1"/>
  <c r="J90" i="10"/>
  <c r="AV159" i="71"/>
  <c r="R159" i="71" s="1"/>
  <c r="AV159" i="72"/>
  <c r="R159" i="72" s="1"/>
  <c r="AV159" i="16"/>
  <c r="R159" i="16" s="1"/>
  <c r="L162" i="26"/>
  <c r="L79" i="17" s="1"/>
  <c r="W213" i="26"/>
  <c r="L203" i="17" s="1"/>
  <c r="L213" i="26"/>
  <c r="L141" i="17" s="1"/>
  <c r="N193" i="14"/>
  <c r="W79" i="17" s="1"/>
  <c r="P193" i="14"/>
  <c r="W141" i="17" s="1"/>
  <c r="R193" i="14"/>
  <c r="W203" i="17" s="1"/>
  <c r="L193" i="14"/>
  <c r="W17" i="17" s="1"/>
  <c r="F145" i="60"/>
  <c r="G145" i="60" s="1"/>
  <c r="G144" i="60"/>
  <c r="E229" i="17"/>
  <c r="E198" i="17"/>
  <c r="E274" i="17"/>
  <c r="E305" i="17"/>
  <c r="E235" i="17"/>
  <c r="E204" i="17"/>
  <c r="BU120" i="63"/>
  <c r="BV120" i="63" s="1"/>
  <c r="BW120" i="63"/>
  <c r="BX120" i="63" s="1"/>
  <c r="BS120" i="63"/>
  <c r="I144" i="60"/>
  <c r="H145" i="60"/>
  <c r="I145" i="60" s="1"/>
  <c r="BT133" i="63"/>
  <c r="BY133" i="63"/>
  <c r="BZ133" i="63" s="1"/>
  <c r="AS43" i="13" s="1"/>
  <c r="E181" i="17"/>
  <c r="E150" i="17"/>
  <c r="E215" i="17"/>
  <c r="E246" i="17"/>
  <c r="E111" i="17"/>
  <c r="E80" i="17"/>
  <c r="F123" i="15"/>
  <c r="E230" i="17"/>
  <c r="E199" i="17"/>
  <c r="E114" i="17"/>
  <c r="E83" i="17"/>
  <c r="BT131" i="63"/>
  <c r="BY131" i="63"/>
  <c r="BZ131" i="63" s="1"/>
  <c r="AS41" i="13" s="1"/>
  <c r="C144" i="60"/>
  <c r="B145" i="60"/>
  <c r="C145" i="60" s="1"/>
  <c r="AU159" i="71"/>
  <c r="Q159" i="71" s="1"/>
  <c r="AU159" i="72"/>
  <c r="Q159" i="72" s="1"/>
  <c r="AU159" i="16"/>
  <c r="Q159" i="16" s="1"/>
  <c r="E272" i="17"/>
  <c r="E303" i="17"/>
  <c r="E236" i="17"/>
  <c r="E205" i="17"/>
  <c r="E175" i="17"/>
  <c r="E144" i="17"/>
  <c r="E279" i="17"/>
  <c r="E310" i="17"/>
  <c r="E182" i="17"/>
  <c r="E151" i="17"/>
  <c r="G108" i="55"/>
  <c r="L107" i="55"/>
  <c r="BK32" i="13" s="1"/>
  <c r="E177" i="17"/>
  <c r="E146" i="17"/>
  <c r="E226" i="17"/>
  <c r="E195" i="17"/>
  <c r="E126" i="17"/>
  <c r="E95" i="17"/>
  <c r="BT129" i="63"/>
  <c r="BY129" i="63"/>
  <c r="BZ129" i="63" s="1"/>
  <c r="AS39" i="13" s="1"/>
  <c r="K90" i="10"/>
  <c r="AM34" i="13" s="1"/>
  <c r="AM33" i="13"/>
  <c r="C75" i="39"/>
  <c r="BH34" i="13" s="1"/>
  <c r="BH33" i="13"/>
  <c r="L74" i="7"/>
  <c r="AG26" i="13" s="1"/>
  <c r="H567" i="78"/>
  <c r="E167" i="17"/>
  <c r="E136" i="17"/>
  <c r="F108" i="15"/>
  <c r="E194" i="17"/>
  <c r="E225" i="17"/>
  <c r="E278" i="17"/>
  <c r="E309" i="17"/>
  <c r="BX122" i="63"/>
  <c r="BW123" i="63"/>
  <c r="L85" i="7"/>
  <c r="AG37" i="13" s="1"/>
  <c r="H578" i="78"/>
  <c r="N204" i="26"/>
  <c r="N145" i="17" s="1"/>
  <c r="Y204" i="26"/>
  <c r="N207" i="17" s="1"/>
  <c r="E123" i="15"/>
  <c r="E168" i="17"/>
  <c r="E137" i="17"/>
  <c r="BS127" i="63"/>
  <c r="BU127" i="63"/>
  <c r="BV127" i="63" s="1"/>
  <c r="BW127" i="63"/>
  <c r="BX127" i="63" s="1"/>
  <c r="E94" i="17"/>
  <c r="E125" i="17"/>
  <c r="Y213" i="26"/>
  <c r="N203" i="17" s="1"/>
  <c r="N213" i="26"/>
  <c r="N141" i="17" s="1"/>
  <c r="BT122" i="63"/>
  <c r="BS123" i="63"/>
  <c r="BY122" i="63"/>
  <c r="BZ122" i="63" s="1"/>
  <c r="AS32" i="13" s="1"/>
  <c r="E179" i="17"/>
  <c r="E148" i="17"/>
  <c r="E112" i="17"/>
  <c r="E81" i="17"/>
  <c r="E82" i="17"/>
  <c r="E113" i="17"/>
  <c r="L77" i="7"/>
  <c r="AG29" i="13" s="1"/>
  <c r="H570" i="78"/>
  <c r="E155" i="17"/>
  <c r="E186" i="17"/>
  <c r="I74" i="10"/>
  <c r="E84" i="17"/>
  <c r="E115" i="17"/>
  <c r="E102" i="17"/>
  <c r="E71" i="17"/>
  <c r="E273" i="17"/>
  <c r="E304" i="17"/>
  <c r="E281" i="17"/>
  <c r="E312" i="17"/>
  <c r="BY116" i="63"/>
  <c r="BZ116" i="63" s="1"/>
  <c r="AS26" i="13" s="1"/>
  <c r="BT116" i="63"/>
  <c r="E263" i="17"/>
  <c r="E294" i="17"/>
  <c r="I89" i="10"/>
  <c r="I90" i="10" s="1"/>
  <c r="J574" i="78"/>
  <c r="BT128" i="63"/>
  <c r="BY128" i="63"/>
  <c r="BZ128" i="63" s="1"/>
  <c r="AS38" i="13" s="1"/>
  <c r="E108" i="15"/>
  <c r="E132" i="17"/>
  <c r="E163" i="17"/>
  <c r="BX123" i="63" l="1"/>
  <c r="BW124" i="63"/>
  <c r="BX124" i="63" s="1"/>
  <c r="E165" i="17"/>
  <c r="F124" i="15"/>
  <c r="E231" i="17"/>
  <c r="E200" i="17"/>
  <c r="BY113" i="63"/>
  <c r="BZ113" i="63" s="1"/>
  <c r="AS23" i="13" s="1"/>
  <c r="BT113" i="63"/>
  <c r="Q74" i="10"/>
  <c r="AN16" i="13"/>
  <c r="B124" i="15"/>
  <c r="E17" i="17" s="1"/>
  <c r="E14" i="17"/>
  <c r="E134" i="17"/>
  <c r="Q90" i="10"/>
  <c r="AN34" i="13" s="1"/>
  <c r="BE34" i="13" s="1"/>
  <c r="AN33" i="13"/>
  <c r="BE33" i="13" s="1"/>
  <c r="E41" i="17"/>
  <c r="E103" i="17"/>
  <c r="BU123" i="63"/>
  <c r="BY108" i="63"/>
  <c r="BZ108" i="63" s="1"/>
  <c r="AS18" i="13" s="1"/>
  <c r="BT108" i="63"/>
  <c r="BT123" i="63"/>
  <c r="BS124" i="63"/>
  <c r="BY123" i="63"/>
  <c r="BZ123" i="63" s="1"/>
  <c r="AS33" i="13" s="1"/>
  <c r="BT127" i="63"/>
  <c r="BY127" i="63"/>
  <c r="BZ127" i="63" s="1"/>
  <c r="AS37" i="13" s="1"/>
  <c r="E289" i="17"/>
  <c r="E45" i="17"/>
  <c r="C124" i="15"/>
  <c r="E48" i="17" s="1"/>
  <c r="BY126" i="63"/>
  <c r="BZ126" i="63" s="1"/>
  <c r="AS36" i="13" s="1"/>
  <c r="BT126" i="63"/>
  <c r="E72" i="17"/>
  <c r="E258" i="17"/>
  <c r="L66" i="7"/>
  <c r="AG16" i="13"/>
  <c r="AG18" i="13" s="1"/>
  <c r="L82" i="7"/>
  <c r="AG34" i="13" s="1"/>
  <c r="AG33" i="13"/>
  <c r="G109" i="55"/>
  <c r="L109" i="55" s="1"/>
  <c r="BK34" i="13" s="1"/>
  <c r="L108" i="55"/>
  <c r="BK33" i="13" s="1"/>
  <c r="K145" i="60"/>
  <c r="F49" i="79"/>
  <c r="G575" i="78"/>
  <c r="E124" i="15"/>
  <c r="E169" i="17"/>
  <c r="E138" i="17"/>
  <c r="E227" i="17"/>
  <c r="BY110" i="63"/>
  <c r="BZ110" i="63" s="1"/>
  <c r="AS20" i="13" s="1"/>
  <c r="BT110" i="63"/>
  <c r="D124" i="15"/>
  <c r="E76" i="17"/>
  <c r="E107" i="17"/>
  <c r="C122" i="69"/>
  <c r="F48" i="76" s="1"/>
  <c r="B122" i="69"/>
  <c r="F17" i="76" s="1"/>
  <c r="E122" i="69"/>
  <c r="F110" i="76" s="1"/>
  <c r="D122" i="69"/>
  <c r="F79" i="76" s="1"/>
  <c r="BY107" i="63"/>
  <c r="BZ107" i="63" s="1"/>
  <c r="AS17" i="13" s="1"/>
  <c r="BT107" i="63"/>
  <c r="E196" i="17"/>
  <c r="BY120" i="63"/>
  <c r="BZ120" i="63" s="1"/>
  <c r="AS30" i="13" s="1"/>
  <c r="BT120" i="63"/>
  <c r="G124" i="15"/>
  <c r="E262" i="17"/>
  <c r="E293" i="17"/>
  <c r="BW106" i="63"/>
  <c r="BX106" i="63" s="1"/>
  <c r="BS106" i="63"/>
  <c r="BU106" i="63"/>
  <c r="BV106" i="63" s="1"/>
  <c r="E10" i="17"/>
  <c r="AN18" i="13" l="1"/>
  <c r="BE16" i="13"/>
  <c r="BE18" i="13" s="1"/>
  <c r="E234" i="17"/>
  <c r="E203" i="17"/>
  <c r="E265" i="17"/>
  <c r="E296" i="17"/>
  <c r="E110" i="17"/>
  <c r="E79" i="17"/>
  <c r="E172" i="17"/>
  <c r="E141" i="17"/>
  <c r="BT124" i="63"/>
  <c r="BV123" i="63"/>
  <c r="BU124" i="63"/>
  <c r="BV124" i="63" s="1"/>
  <c r="BY106" i="63"/>
  <c r="BZ106" i="63" s="1"/>
  <c r="AS16" i="13" s="1"/>
  <c r="BT106" i="63"/>
  <c r="BY124" i="63" l="1"/>
  <c r="BZ124" i="63" s="1"/>
  <c r="AS34" i="13" s="1"/>
  <c r="B50" i="59"/>
  <c r="E50" i="59"/>
  <c r="H50" i="59"/>
  <c r="K50" i="59"/>
  <c r="N50" i="59"/>
  <c r="B51" i="59"/>
  <c r="E51" i="59"/>
  <c r="H51" i="59"/>
  <c r="K51" i="59"/>
  <c r="N51" i="59"/>
  <c r="B52" i="59"/>
  <c r="E52" i="59"/>
  <c r="H52" i="59"/>
  <c r="K52" i="59"/>
  <c r="N52" i="59"/>
  <c r="B53" i="59"/>
  <c r="E53" i="59"/>
  <c r="H53" i="59"/>
  <c r="K53" i="59"/>
  <c r="N53" i="59"/>
  <c r="B54" i="59"/>
  <c r="E54" i="59"/>
  <c r="H54" i="59"/>
  <c r="K54" i="59"/>
  <c r="N54" i="59"/>
  <c r="B55" i="59"/>
  <c r="E55" i="59"/>
  <c r="H55" i="59"/>
  <c r="K55" i="59"/>
  <c r="N55" i="59"/>
  <c r="B57" i="59"/>
  <c r="E57" i="59"/>
  <c r="H57" i="59"/>
  <c r="K57" i="59"/>
  <c r="N57" i="59"/>
  <c r="B58" i="59"/>
  <c r="E58" i="59"/>
  <c r="H58" i="59"/>
  <c r="K58" i="59"/>
  <c r="N58" i="59"/>
  <c r="B59" i="59"/>
  <c r="E59" i="59"/>
  <c r="H59" i="59"/>
  <c r="K59" i="59"/>
  <c r="N59" i="59"/>
  <c r="B60" i="59"/>
  <c r="E60" i="59"/>
  <c r="H60" i="59"/>
  <c r="K60" i="59"/>
  <c r="N60" i="59"/>
  <c r="B61" i="59"/>
  <c r="E61" i="59"/>
  <c r="H61" i="59"/>
  <c r="K61" i="59"/>
  <c r="N61" i="59"/>
  <c r="B62" i="59"/>
  <c r="E62" i="59"/>
  <c r="H62" i="59"/>
  <c r="K62" i="59"/>
  <c r="N62" i="59"/>
  <c r="B63" i="59"/>
  <c r="E63" i="59"/>
  <c r="H63" i="59"/>
  <c r="K63" i="59"/>
  <c r="N63" i="59"/>
  <c r="B64" i="59"/>
  <c r="E64" i="59"/>
  <c r="H64" i="59"/>
  <c r="K64" i="59"/>
  <c r="N64" i="59"/>
  <c r="B65" i="59"/>
  <c r="E65" i="59"/>
  <c r="H65" i="59"/>
  <c r="K65" i="59"/>
  <c r="N65" i="59"/>
  <c r="B66" i="59"/>
  <c r="E66" i="59"/>
  <c r="H66" i="59"/>
  <c r="K66" i="59"/>
  <c r="N66" i="59"/>
  <c r="B67" i="59"/>
  <c r="E67" i="59"/>
  <c r="H67" i="59"/>
  <c r="K67" i="59"/>
  <c r="N67" i="59"/>
  <c r="B69" i="59"/>
  <c r="E69" i="59"/>
  <c r="H69" i="59"/>
  <c r="K69" i="59"/>
  <c r="N69" i="59"/>
  <c r="B70" i="59"/>
  <c r="E70" i="59"/>
  <c r="H70" i="59"/>
  <c r="K70" i="59"/>
  <c r="N70" i="59"/>
  <c r="B71" i="59"/>
  <c r="E71" i="59"/>
  <c r="H71" i="59"/>
  <c r="K71" i="59"/>
  <c r="N71" i="59"/>
  <c r="B72" i="59"/>
  <c r="E72" i="59"/>
  <c r="H72" i="59"/>
  <c r="K72" i="59"/>
  <c r="N72" i="59"/>
  <c r="B73" i="59"/>
  <c r="E73" i="59"/>
  <c r="H73" i="59"/>
  <c r="K73" i="59"/>
  <c r="N73" i="59"/>
  <c r="B74" i="59"/>
  <c r="E74" i="59"/>
  <c r="H74" i="59"/>
  <c r="K74" i="59"/>
  <c r="N74" i="59"/>
  <c r="B75" i="59"/>
  <c r="E75" i="59"/>
  <c r="H75" i="59"/>
  <c r="K75" i="59"/>
  <c r="N75" i="59"/>
  <c r="B76" i="59"/>
  <c r="E76" i="59"/>
  <c r="H76" i="59"/>
  <c r="K76" i="59"/>
  <c r="N76" i="59"/>
  <c r="B81" i="59"/>
  <c r="C81" i="59"/>
  <c r="D81" i="59"/>
  <c r="E81" i="59"/>
  <c r="B82" i="59"/>
  <c r="C82" i="59"/>
  <c r="D82" i="59"/>
  <c r="E82" i="59"/>
  <c r="B83" i="59"/>
  <c r="C83" i="59"/>
  <c r="D83" i="59"/>
  <c r="E83" i="59"/>
  <c r="B84" i="59"/>
  <c r="C84" i="59"/>
  <c r="D84" i="59"/>
  <c r="E84" i="59"/>
  <c r="B85" i="59"/>
  <c r="C85" i="59"/>
  <c r="D85" i="59"/>
  <c r="E85" i="59"/>
  <c r="B86" i="59"/>
  <c r="C86" i="59"/>
  <c r="D86" i="59"/>
  <c r="E86" i="59"/>
  <c r="B88" i="59"/>
  <c r="C88" i="59"/>
  <c r="D88" i="59"/>
  <c r="E88" i="59"/>
  <c r="B89" i="59"/>
  <c r="C89" i="59"/>
  <c r="D89" i="59"/>
  <c r="E89" i="59"/>
  <c r="B90" i="59"/>
  <c r="C90" i="59"/>
  <c r="D90" i="59"/>
  <c r="E90" i="59"/>
  <c r="B91" i="59"/>
  <c r="C91" i="59"/>
  <c r="D91" i="59"/>
  <c r="E91" i="59"/>
  <c r="B92" i="59"/>
  <c r="C92" i="59"/>
  <c r="D92" i="59"/>
  <c r="E92" i="59"/>
  <c r="B93" i="59"/>
  <c r="C93" i="59"/>
  <c r="D93" i="59"/>
  <c r="E93" i="59"/>
  <c r="B94" i="59"/>
  <c r="C94" i="59"/>
  <c r="D94" i="59"/>
  <c r="E94" i="59"/>
  <c r="B95" i="59"/>
  <c r="C95" i="59"/>
  <c r="D95" i="59"/>
  <c r="E95" i="59"/>
  <c r="B96" i="59"/>
  <c r="C96" i="59"/>
  <c r="D96" i="59"/>
  <c r="E96" i="59"/>
  <c r="B97" i="59"/>
  <c r="C97" i="59"/>
  <c r="D97" i="59"/>
  <c r="E97" i="59"/>
  <c r="B98" i="59"/>
  <c r="C98" i="59"/>
  <c r="D98" i="59"/>
  <c r="E98" i="59"/>
  <c r="B99" i="59"/>
  <c r="C99" i="59"/>
  <c r="D99" i="59"/>
  <c r="E99" i="59"/>
  <c r="B100" i="59"/>
  <c r="C100" i="59"/>
  <c r="D100" i="59"/>
  <c r="E100" i="59"/>
  <c r="B102" i="59"/>
  <c r="C102" i="59"/>
  <c r="D102" i="59"/>
  <c r="E102" i="59"/>
  <c r="B103" i="59"/>
  <c r="C103" i="59"/>
  <c r="D103" i="59"/>
  <c r="E103" i="59"/>
  <c r="B104" i="59"/>
  <c r="C104" i="59"/>
  <c r="D104" i="59"/>
  <c r="E104" i="59"/>
  <c r="B105" i="59"/>
  <c r="C105" i="59"/>
  <c r="D105" i="59"/>
  <c r="E105" i="59"/>
  <c r="B106" i="59"/>
  <c r="C106" i="59"/>
  <c r="D106" i="59"/>
  <c r="E106" i="59"/>
  <c r="B107" i="59"/>
  <c r="C107" i="59"/>
  <c r="D107" i="59"/>
  <c r="E107" i="59"/>
  <c r="B108" i="59"/>
  <c r="C108" i="59"/>
  <c r="D108" i="59"/>
  <c r="E108" i="59"/>
  <c r="B109" i="59"/>
  <c r="C109" i="59"/>
  <c r="D109" i="59"/>
  <c r="E109" i="59"/>
  <c r="B101" i="61"/>
  <c r="C101" i="61"/>
  <c r="D101" i="61"/>
  <c r="E101" i="61"/>
  <c r="B102" i="61"/>
  <c r="C102" i="61"/>
  <c r="D102" i="61"/>
  <c r="E102" i="61"/>
  <c r="B103" i="61"/>
  <c r="C103" i="61"/>
  <c r="D103" i="61"/>
  <c r="E103" i="61"/>
  <c r="B104" i="61"/>
  <c r="C104" i="61"/>
  <c r="D104" i="61"/>
  <c r="E104" i="61"/>
  <c r="B105" i="61"/>
  <c r="C105" i="61"/>
  <c r="D105" i="61"/>
  <c r="E105" i="61"/>
  <c r="B106" i="61"/>
  <c r="C106" i="61"/>
  <c r="D106" i="61"/>
  <c r="E106" i="61"/>
  <c r="B108" i="61"/>
  <c r="C108" i="61"/>
  <c r="D108" i="61"/>
  <c r="E108" i="61"/>
  <c r="B109" i="61"/>
  <c r="C109" i="61"/>
  <c r="D109" i="61"/>
  <c r="E109" i="61"/>
  <c r="B110" i="61"/>
  <c r="C110" i="61"/>
  <c r="D110" i="61"/>
  <c r="E110" i="61"/>
  <c r="B111" i="61"/>
  <c r="C111" i="61"/>
  <c r="D111" i="61"/>
  <c r="E111" i="61"/>
  <c r="B112" i="61"/>
  <c r="C112" i="61"/>
  <c r="D112" i="61"/>
  <c r="E112" i="61"/>
  <c r="B113" i="61"/>
  <c r="C113" i="61"/>
  <c r="D113" i="61"/>
  <c r="E113" i="61"/>
  <c r="B114" i="61"/>
  <c r="C114" i="61"/>
  <c r="D114" i="61"/>
  <c r="E114" i="61"/>
  <c r="B115" i="61"/>
  <c r="C115" i="61"/>
  <c r="D115" i="61"/>
  <c r="E115" i="61"/>
  <c r="B116" i="61"/>
  <c r="C116" i="61"/>
  <c r="D116" i="61"/>
  <c r="E116" i="61"/>
  <c r="B117" i="61"/>
  <c r="C117" i="61"/>
  <c r="D117" i="61"/>
  <c r="E117" i="61"/>
  <c r="B118" i="61"/>
  <c r="C118" i="61"/>
  <c r="D118" i="61"/>
  <c r="E118" i="61"/>
  <c r="B119" i="61"/>
  <c r="C119" i="61"/>
  <c r="D119" i="61"/>
  <c r="E119" i="61"/>
  <c r="B120" i="61"/>
  <c r="C120" i="61"/>
  <c r="D120" i="61"/>
  <c r="E120" i="61"/>
  <c r="B122" i="61"/>
  <c r="C122" i="61"/>
  <c r="D122" i="61"/>
  <c r="E122" i="61"/>
  <c r="B123" i="61"/>
  <c r="C123" i="61"/>
  <c r="D123" i="61"/>
  <c r="E123" i="61"/>
  <c r="B124" i="61"/>
  <c r="C124" i="61"/>
  <c r="D124" i="61"/>
  <c r="E124" i="61"/>
  <c r="B125" i="61"/>
  <c r="C125" i="61"/>
  <c r="D125" i="61"/>
  <c r="E125" i="61"/>
  <c r="B126" i="61"/>
  <c r="C126" i="61"/>
  <c r="D126" i="61"/>
  <c r="E126" i="61"/>
  <c r="B127" i="61"/>
  <c r="C127" i="61"/>
  <c r="D127" i="61"/>
  <c r="E127" i="61"/>
  <c r="B128" i="61"/>
  <c r="C128" i="61"/>
  <c r="D128" i="61"/>
  <c r="E128" i="61"/>
  <c r="B129" i="61"/>
  <c r="C129" i="61"/>
  <c r="D129" i="61"/>
  <c r="E129" i="61"/>
  <c r="B134" i="61"/>
  <c r="C134" i="61"/>
  <c r="D134" i="61"/>
  <c r="E134" i="61"/>
  <c r="F134" i="61"/>
  <c r="G134" i="61"/>
  <c r="H134" i="61"/>
  <c r="I134" i="61"/>
  <c r="J134" i="61"/>
  <c r="K134" i="61"/>
  <c r="B135" i="61"/>
  <c r="C135" i="61"/>
  <c r="D135" i="61"/>
  <c r="E135" i="61"/>
  <c r="F135" i="61"/>
  <c r="G135" i="61"/>
  <c r="H135" i="61"/>
  <c r="I135" i="61"/>
  <c r="J135" i="61"/>
  <c r="K135" i="61"/>
  <c r="B136" i="61"/>
  <c r="C136" i="61"/>
  <c r="D136" i="61"/>
  <c r="E136" i="61"/>
  <c r="F136" i="61"/>
  <c r="G136" i="61"/>
  <c r="H136" i="61"/>
  <c r="I136" i="61"/>
  <c r="J136" i="61"/>
  <c r="K136" i="61"/>
  <c r="B137" i="61"/>
  <c r="C137" i="61"/>
  <c r="D137" i="61"/>
  <c r="E137" i="61"/>
  <c r="F137" i="61"/>
  <c r="G137" i="61"/>
  <c r="H137" i="61"/>
  <c r="I137" i="61"/>
  <c r="J137" i="61"/>
  <c r="K137" i="61"/>
  <c r="B138" i="61"/>
  <c r="C138" i="61"/>
  <c r="D138" i="61"/>
  <c r="E138" i="61"/>
  <c r="F138" i="61"/>
  <c r="G138" i="61"/>
  <c r="H138" i="61"/>
  <c r="I138" i="61"/>
  <c r="J138" i="61"/>
  <c r="K138" i="61"/>
  <c r="B139" i="61"/>
  <c r="C139" i="61"/>
  <c r="D139" i="61"/>
  <c r="E139" i="61"/>
  <c r="F139" i="61"/>
  <c r="G139" i="61"/>
  <c r="H139" i="61"/>
  <c r="I139" i="61"/>
  <c r="J139" i="61"/>
  <c r="K139" i="61"/>
  <c r="B141" i="61"/>
  <c r="C141" i="61"/>
  <c r="D141" i="61"/>
  <c r="E141" i="61"/>
  <c r="F141" i="61"/>
  <c r="G141" i="61"/>
  <c r="H141" i="61"/>
  <c r="I141" i="61"/>
  <c r="J141" i="61"/>
  <c r="K141" i="61"/>
  <c r="B142" i="61"/>
  <c r="C142" i="61"/>
  <c r="D142" i="61"/>
  <c r="E142" i="61"/>
  <c r="F142" i="61"/>
  <c r="G142" i="61"/>
  <c r="H142" i="61"/>
  <c r="I142" i="61"/>
  <c r="J142" i="61"/>
  <c r="K142" i="61"/>
  <c r="B143" i="61"/>
  <c r="C143" i="61"/>
  <c r="D143" i="61"/>
  <c r="E143" i="61"/>
  <c r="F143" i="61"/>
  <c r="G143" i="61"/>
  <c r="H143" i="61"/>
  <c r="I143" i="61"/>
  <c r="J143" i="61"/>
  <c r="K143" i="61"/>
  <c r="B144" i="61"/>
  <c r="C144" i="61"/>
  <c r="D144" i="61"/>
  <c r="E144" i="61"/>
  <c r="F144" i="61"/>
  <c r="G144" i="61"/>
  <c r="H144" i="61"/>
  <c r="I144" i="61"/>
  <c r="J144" i="61"/>
  <c r="K144" i="61"/>
  <c r="B145" i="61"/>
  <c r="C145" i="61"/>
  <c r="D145" i="61"/>
  <c r="E145" i="61"/>
  <c r="F145" i="61"/>
  <c r="G145" i="61"/>
  <c r="H145" i="61"/>
  <c r="I145" i="61"/>
  <c r="J145" i="61"/>
  <c r="K145" i="61"/>
  <c r="B146" i="61"/>
  <c r="C146" i="61"/>
  <c r="D146" i="61"/>
  <c r="E146" i="61"/>
  <c r="F146" i="61"/>
  <c r="G146" i="61"/>
  <c r="H146" i="61"/>
  <c r="I146" i="61"/>
  <c r="J146" i="61"/>
  <c r="K146" i="61"/>
  <c r="B147" i="61"/>
  <c r="C147" i="61"/>
  <c r="D147" i="61"/>
  <c r="E147" i="61"/>
  <c r="F147" i="61"/>
  <c r="G147" i="61"/>
  <c r="H147" i="61"/>
  <c r="I147" i="61"/>
  <c r="J147" i="61"/>
  <c r="K147" i="61"/>
  <c r="B148" i="61"/>
  <c r="C148" i="61"/>
  <c r="D148" i="61"/>
  <c r="E148" i="61"/>
  <c r="F148" i="61"/>
  <c r="G148" i="61"/>
  <c r="H148" i="61"/>
  <c r="I148" i="61"/>
  <c r="J148" i="61"/>
  <c r="K148" i="61"/>
  <c r="B149" i="61"/>
  <c r="C149" i="61"/>
  <c r="D149" i="61"/>
  <c r="E149" i="61"/>
  <c r="F149" i="61"/>
  <c r="G149" i="61"/>
  <c r="H149" i="61"/>
  <c r="I149" i="61"/>
  <c r="J149" i="61"/>
  <c r="K149" i="61"/>
  <c r="B150" i="61"/>
  <c r="C150" i="61"/>
  <c r="D150" i="61"/>
  <c r="E150" i="61"/>
  <c r="F150" i="61"/>
  <c r="G150" i="61"/>
  <c r="H150" i="61"/>
  <c r="I150" i="61"/>
  <c r="J150" i="61"/>
  <c r="K150" i="61"/>
  <c r="B151" i="61"/>
  <c r="C151" i="61"/>
  <c r="D151" i="61"/>
  <c r="E151" i="61"/>
  <c r="F151" i="61"/>
  <c r="G151" i="61"/>
  <c r="H151" i="61"/>
  <c r="I151" i="61"/>
  <c r="J151" i="61"/>
  <c r="K151" i="61"/>
  <c r="B152" i="61"/>
  <c r="C152" i="61"/>
  <c r="D152" i="61"/>
  <c r="E152" i="61"/>
  <c r="F152" i="61"/>
  <c r="G152" i="61"/>
  <c r="H152" i="61"/>
  <c r="I152" i="61"/>
  <c r="J152" i="61"/>
  <c r="K152" i="61"/>
  <c r="B153" i="61"/>
  <c r="C153" i="61"/>
  <c r="D153" i="61"/>
  <c r="E153" i="61"/>
  <c r="F153" i="61"/>
  <c r="G153" i="61"/>
  <c r="H153" i="61"/>
  <c r="I153" i="61"/>
  <c r="J153" i="61"/>
  <c r="K153" i="61"/>
  <c r="B155" i="61"/>
  <c r="C155" i="61"/>
  <c r="D155" i="61"/>
  <c r="E155" i="61"/>
  <c r="F155" i="61"/>
  <c r="G155" i="61"/>
  <c r="H155" i="61"/>
  <c r="I155" i="61"/>
  <c r="J155" i="61"/>
  <c r="K155" i="61"/>
  <c r="B156" i="61"/>
  <c r="C156" i="61"/>
  <c r="D156" i="61"/>
  <c r="E156" i="61"/>
  <c r="F156" i="61"/>
  <c r="G156" i="61"/>
  <c r="H156" i="61"/>
  <c r="I156" i="61"/>
  <c r="J156" i="61"/>
  <c r="K156" i="61"/>
  <c r="B157" i="61"/>
  <c r="C157" i="61"/>
  <c r="D157" i="61"/>
  <c r="E157" i="61"/>
  <c r="F157" i="61"/>
  <c r="G157" i="61"/>
  <c r="H157" i="61"/>
  <c r="I157" i="61"/>
  <c r="J157" i="61"/>
  <c r="K157" i="61"/>
  <c r="B158" i="61"/>
  <c r="C158" i="61"/>
  <c r="D158" i="61"/>
  <c r="E158" i="61"/>
  <c r="F158" i="61"/>
  <c r="G158" i="61"/>
  <c r="H158" i="61"/>
  <c r="I158" i="61"/>
  <c r="J158" i="61"/>
  <c r="K158" i="61"/>
  <c r="B159" i="61"/>
  <c r="C159" i="61"/>
  <c r="D159" i="61"/>
  <c r="E159" i="61"/>
  <c r="F159" i="61"/>
  <c r="G159" i="61"/>
  <c r="H159" i="61"/>
  <c r="I159" i="61"/>
  <c r="J159" i="61"/>
  <c r="K159" i="61"/>
  <c r="B160" i="61"/>
  <c r="C160" i="61"/>
  <c r="D160" i="61"/>
  <c r="E160" i="61"/>
  <c r="F160" i="61"/>
  <c r="G160" i="61"/>
  <c r="H160" i="61"/>
  <c r="I160" i="61"/>
  <c r="J160" i="61"/>
  <c r="K160" i="61"/>
  <c r="B161" i="61"/>
  <c r="C161" i="61"/>
  <c r="D161" i="61"/>
  <c r="E161" i="61"/>
  <c r="F161" i="61"/>
  <c r="G161" i="61"/>
  <c r="H161" i="61"/>
  <c r="I161" i="61"/>
  <c r="J161" i="61"/>
  <c r="K161" i="61"/>
  <c r="B162" i="61"/>
  <c r="C162" i="61"/>
  <c r="D162" i="61"/>
  <c r="E162" i="61"/>
  <c r="F162" i="61"/>
  <c r="G162" i="61"/>
  <c r="H162" i="61"/>
  <c r="I162" i="61"/>
  <c r="J162" i="61"/>
  <c r="K162" i="61"/>
  <c r="F167" i="61"/>
  <c r="F168" i="61"/>
  <c r="F169" i="61"/>
  <c r="F170" i="61"/>
  <c r="F171" i="61"/>
  <c r="F172" i="61"/>
  <c r="F174" i="61"/>
  <c r="F175" i="61"/>
  <c r="F176" i="61"/>
  <c r="F177" i="61"/>
  <c r="F178" i="61"/>
  <c r="F179" i="61"/>
  <c r="F180" i="61"/>
  <c r="F181" i="61"/>
  <c r="F182" i="61"/>
  <c r="F183" i="61"/>
  <c r="F184" i="61"/>
  <c r="F186" i="61"/>
  <c r="F187" i="61"/>
  <c r="F188" i="61"/>
  <c r="F189" i="61"/>
  <c r="F190" i="61"/>
  <c r="F191" i="61"/>
  <c r="F192" i="61"/>
  <c r="F193" i="61"/>
  <c r="B99" i="26"/>
  <c r="C99" i="26"/>
  <c r="D99" i="26"/>
  <c r="E99" i="26"/>
  <c r="F99" i="26"/>
  <c r="G99" i="26"/>
  <c r="H99" i="26"/>
  <c r="I99" i="26"/>
  <c r="J99" i="26"/>
  <c r="K99" i="26"/>
  <c r="B100" i="26"/>
  <c r="C100" i="26"/>
  <c r="D100" i="26"/>
  <c r="E100" i="26"/>
  <c r="F100" i="26"/>
  <c r="G100" i="26"/>
  <c r="H100" i="26"/>
  <c r="I100" i="26"/>
  <c r="J100" i="26"/>
  <c r="K100" i="26"/>
  <c r="B101" i="26"/>
  <c r="C101" i="26"/>
  <c r="D101" i="26"/>
  <c r="E101" i="26"/>
  <c r="F101" i="26"/>
  <c r="G101" i="26"/>
  <c r="H101" i="26"/>
  <c r="I101" i="26"/>
  <c r="J101" i="26"/>
  <c r="K101" i="26"/>
  <c r="B102" i="26"/>
  <c r="C102" i="26"/>
  <c r="D102" i="26"/>
  <c r="E102" i="26"/>
  <c r="F102" i="26"/>
  <c r="G102" i="26"/>
  <c r="H102" i="26"/>
  <c r="I102" i="26"/>
  <c r="J102" i="26"/>
  <c r="K102" i="26"/>
  <c r="B103" i="26"/>
  <c r="C103" i="26"/>
  <c r="D103" i="26"/>
  <c r="E103" i="26"/>
  <c r="F103" i="26"/>
  <c r="G103" i="26"/>
  <c r="H103" i="26"/>
  <c r="I103" i="26"/>
  <c r="J103" i="26"/>
  <c r="K103" i="26"/>
  <c r="B104" i="26"/>
  <c r="C104" i="26"/>
  <c r="D104" i="26"/>
  <c r="E104" i="26"/>
  <c r="F104" i="26"/>
  <c r="G104" i="26"/>
  <c r="H104" i="26"/>
  <c r="I104" i="26"/>
  <c r="J104" i="26"/>
  <c r="K104" i="26"/>
  <c r="B106" i="26"/>
  <c r="C106" i="26"/>
  <c r="D106" i="26"/>
  <c r="E106" i="26"/>
  <c r="F106" i="26"/>
  <c r="G106" i="26"/>
  <c r="H106" i="26"/>
  <c r="I106" i="26"/>
  <c r="J106" i="26"/>
  <c r="K106" i="26"/>
  <c r="B107" i="26"/>
  <c r="C107" i="26"/>
  <c r="D107" i="26"/>
  <c r="E107" i="26"/>
  <c r="F107" i="26"/>
  <c r="G107" i="26"/>
  <c r="H107" i="26"/>
  <c r="I107" i="26"/>
  <c r="J107" i="26"/>
  <c r="K107" i="26"/>
  <c r="B108" i="26"/>
  <c r="C108" i="26"/>
  <c r="D108" i="26"/>
  <c r="E108" i="26"/>
  <c r="F108" i="26"/>
  <c r="G108" i="26"/>
  <c r="H108" i="26"/>
  <c r="I108" i="26"/>
  <c r="J108" i="26"/>
  <c r="K108" i="26"/>
  <c r="B109" i="26"/>
  <c r="C109" i="26"/>
  <c r="D109" i="26"/>
  <c r="E109" i="26"/>
  <c r="F109" i="26"/>
  <c r="G109" i="26"/>
  <c r="H109" i="26"/>
  <c r="I109" i="26"/>
  <c r="J109" i="26"/>
  <c r="K109" i="26"/>
  <c r="B110" i="26"/>
  <c r="C110" i="26"/>
  <c r="D110" i="26"/>
  <c r="E110" i="26"/>
  <c r="F110" i="26"/>
  <c r="G110" i="26"/>
  <c r="H110" i="26"/>
  <c r="I110" i="26"/>
  <c r="J110" i="26"/>
  <c r="K110" i="26"/>
  <c r="B111" i="26"/>
  <c r="C111" i="26"/>
  <c r="D111" i="26"/>
  <c r="E111" i="26"/>
  <c r="F111" i="26"/>
  <c r="G111" i="26"/>
  <c r="H111" i="26"/>
  <c r="I111" i="26"/>
  <c r="J111" i="26"/>
  <c r="K111" i="26"/>
  <c r="B112" i="26"/>
  <c r="C112" i="26"/>
  <c r="D112" i="26"/>
  <c r="E112" i="26"/>
  <c r="F112" i="26"/>
  <c r="G112" i="26"/>
  <c r="H112" i="26"/>
  <c r="I112" i="26"/>
  <c r="J112" i="26"/>
  <c r="K112" i="26"/>
  <c r="B113" i="26"/>
  <c r="C113" i="26"/>
  <c r="D113" i="26"/>
  <c r="E113" i="26"/>
  <c r="F113" i="26"/>
  <c r="G113" i="26"/>
  <c r="H113" i="26"/>
  <c r="I113" i="26"/>
  <c r="J113" i="26"/>
  <c r="K113" i="26"/>
  <c r="B114" i="26"/>
  <c r="C114" i="26"/>
  <c r="D114" i="26"/>
  <c r="E114" i="26"/>
  <c r="F114" i="26"/>
  <c r="G114" i="26"/>
  <c r="H114" i="26"/>
  <c r="I114" i="26"/>
  <c r="J114" i="26"/>
  <c r="K114" i="26"/>
  <c r="B115" i="26"/>
  <c r="C115" i="26"/>
  <c r="D115" i="26"/>
  <c r="E115" i="26"/>
  <c r="F115" i="26"/>
  <c r="G115" i="26"/>
  <c r="H115" i="26"/>
  <c r="I115" i="26"/>
  <c r="J115" i="26"/>
  <c r="K115" i="26"/>
  <c r="B116" i="26"/>
  <c r="C116" i="26"/>
  <c r="D116" i="26"/>
  <c r="E116" i="26"/>
  <c r="F116" i="26"/>
  <c r="G116" i="26"/>
  <c r="H116" i="26"/>
  <c r="I116" i="26"/>
  <c r="J116" i="26"/>
  <c r="K116" i="26"/>
  <c r="B117" i="26"/>
  <c r="C117" i="26"/>
  <c r="D117" i="26"/>
  <c r="E117" i="26"/>
  <c r="F117" i="26"/>
  <c r="G117" i="26"/>
  <c r="H117" i="26"/>
  <c r="I117" i="26"/>
  <c r="J117" i="26"/>
  <c r="K117" i="26"/>
  <c r="B118" i="26"/>
  <c r="C118" i="26"/>
  <c r="D118" i="26"/>
  <c r="E118" i="26"/>
  <c r="F118" i="26"/>
  <c r="G118" i="26"/>
  <c r="H118" i="26"/>
  <c r="I118" i="26"/>
  <c r="J118" i="26"/>
  <c r="K118" i="26"/>
  <c r="B120" i="26"/>
  <c r="C120" i="26"/>
  <c r="D120" i="26"/>
  <c r="E120" i="26"/>
  <c r="F120" i="26"/>
  <c r="G120" i="26"/>
  <c r="H120" i="26"/>
  <c r="I120" i="26"/>
  <c r="J120" i="26"/>
  <c r="K120" i="26"/>
  <c r="B121" i="26"/>
  <c r="C121" i="26"/>
  <c r="D121" i="26"/>
  <c r="E121" i="26"/>
  <c r="F121" i="26"/>
  <c r="G121" i="26"/>
  <c r="H121" i="26"/>
  <c r="I121" i="26"/>
  <c r="J121" i="26"/>
  <c r="K121" i="26"/>
  <c r="B122" i="26"/>
  <c r="C122" i="26"/>
  <c r="D122" i="26"/>
  <c r="E122" i="26"/>
  <c r="F122" i="26"/>
  <c r="G122" i="26"/>
  <c r="H122" i="26"/>
  <c r="I122" i="26"/>
  <c r="J122" i="26"/>
  <c r="K122" i="26"/>
  <c r="B123" i="26"/>
  <c r="C123" i="26"/>
  <c r="D123" i="26"/>
  <c r="E123" i="26"/>
  <c r="F123" i="26"/>
  <c r="G123" i="26"/>
  <c r="H123" i="26"/>
  <c r="I123" i="26"/>
  <c r="J123" i="26"/>
  <c r="K123" i="26"/>
  <c r="B124" i="26"/>
  <c r="C124" i="26"/>
  <c r="D124" i="26"/>
  <c r="E124" i="26"/>
  <c r="F124" i="26"/>
  <c r="G124" i="26"/>
  <c r="H124" i="26"/>
  <c r="I124" i="26"/>
  <c r="J124" i="26"/>
  <c r="K124" i="26"/>
  <c r="B125" i="26"/>
  <c r="C125" i="26"/>
  <c r="D125" i="26"/>
  <c r="E125" i="26"/>
  <c r="F125" i="26"/>
  <c r="G125" i="26"/>
  <c r="H125" i="26"/>
  <c r="I125" i="26"/>
  <c r="J125" i="26"/>
  <c r="K125" i="26"/>
  <c r="B126" i="26"/>
  <c r="C126" i="26"/>
  <c r="D126" i="26"/>
  <c r="E126" i="26"/>
  <c r="F126" i="26"/>
  <c r="G126" i="26"/>
  <c r="H126" i="26"/>
  <c r="I126" i="26"/>
  <c r="J126" i="26"/>
  <c r="K126" i="26"/>
  <c r="B127" i="26"/>
  <c r="C127" i="26"/>
  <c r="D127" i="26"/>
  <c r="E127" i="26"/>
  <c r="F127" i="26"/>
  <c r="G127" i="26"/>
  <c r="H127" i="26"/>
  <c r="I127" i="26"/>
  <c r="J127" i="26"/>
  <c r="K127" i="26"/>
  <c r="D143" i="26"/>
  <c r="E143" i="26"/>
  <c r="F143" i="26"/>
  <c r="G143" i="26"/>
  <c r="H143" i="26"/>
  <c r="I143" i="26"/>
  <c r="J143" i="26"/>
  <c r="K143" i="26"/>
  <c r="D144" i="26"/>
  <c r="E144" i="26"/>
  <c r="F144" i="26"/>
  <c r="G144" i="26"/>
  <c r="H144" i="26"/>
  <c r="I144" i="26"/>
  <c r="J144" i="26"/>
  <c r="K144" i="26"/>
  <c r="D145" i="26"/>
  <c r="E145" i="26"/>
  <c r="F145" i="26"/>
  <c r="G145" i="26"/>
  <c r="H145" i="26"/>
  <c r="I145" i="26"/>
  <c r="J145" i="26"/>
  <c r="K145" i="26"/>
  <c r="D146" i="26"/>
  <c r="E146" i="26"/>
  <c r="F146" i="26"/>
  <c r="G146" i="26"/>
  <c r="H146" i="26"/>
  <c r="I146" i="26"/>
  <c r="J146" i="26"/>
  <c r="K146" i="26"/>
  <c r="D147" i="26"/>
  <c r="E147" i="26"/>
  <c r="F147" i="26"/>
  <c r="G147" i="26"/>
  <c r="H147" i="26"/>
  <c r="I147" i="26"/>
  <c r="J147" i="26"/>
  <c r="K147" i="26"/>
  <c r="D148" i="26"/>
  <c r="E148" i="26"/>
  <c r="F148" i="26"/>
  <c r="G148" i="26"/>
  <c r="H148" i="26"/>
  <c r="I148" i="26"/>
  <c r="J148" i="26"/>
  <c r="K148" i="26"/>
  <c r="D150" i="26"/>
  <c r="E150" i="26"/>
  <c r="F150" i="26"/>
  <c r="G150" i="26"/>
  <c r="H150" i="26"/>
  <c r="I150" i="26"/>
  <c r="J150" i="26"/>
  <c r="K150" i="26"/>
  <c r="P150" i="26"/>
  <c r="Q150" i="26"/>
  <c r="S150" i="26"/>
  <c r="T150" i="26"/>
  <c r="U150" i="26"/>
  <c r="D151" i="26"/>
  <c r="E151" i="26"/>
  <c r="F151" i="26"/>
  <c r="G151" i="26"/>
  <c r="H151" i="26"/>
  <c r="I151" i="26"/>
  <c r="J151" i="26"/>
  <c r="K151" i="26"/>
  <c r="P151" i="26"/>
  <c r="Q151" i="26"/>
  <c r="S151" i="26"/>
  <c r="T151" i="26"/>
  <c r="U151" i="26"/>
  <c r="D152" i="26"/>
  <c r="E152" i="26"/>
  <c r="F152" i="26"/>
  <c r="G152" i="26"/>
  <c r="H152" i="26"/>
  <c r="I152" i="26"/>
  <c r="J152" i="26"/>
  <c r="K152" i="26"/>
  <c r="P152" i="26"/>
  <c r="Q152" i="26"/>
  <c r="S152" i="26"/>
  <c r="T152" i="26"/>
  <c r="U152" i="26"/>
  <c r="D153" i="26"/>
  <c r="E153" i="26"/>
  <c r="F153" i="26"/>
  <c r="G153" i="26"/>
  <c r="H153" i="26"/>
  <c r="I153" i="26"/>
  <c r="J153" i="26"/>
  <c r="K153" i="26"/>
  <c r="P153" i="26"/>
  <c r="Q153" i="26"/>
  <c r="S153" i="26"/>
  <c r="T153" i="26"/>
  <c r="U153" i="26"/>
  <c r="D154" i="26"/>
  <c r="E154" i="26"/>
  <c r="F154" i="26"/>
  <c r="G154" i="26"/>
  <c r="H154" i="26"/>
  <c r="I154" i="26"/>
  <c r="J154" i="26"/>
  <c r="K154" i="26"/>
  <c r="P154" i="26"/>
  <c r="Q154" i="26"/>
  <c r="S154" i="26"/>
  <c r="T154" i="26"/>
  <c r="U154" i="26"/>
  <c r="D155" i="26"/>
  <c r="E155" i="26"/>
  <c r="F155" i="26"/>
  <c r="G155" i="26"/>
  <c r="H155" i="26"/>
  <c r="I155" i="26"/>
  <c r="J155" i="26"/>
  <c r="K155" i="26"/>
  <c r="P155" i="26"/>
  <c r="Q155" i="26"/>
  <c r="S155" i="26"/>
  <c r="T155" i="26"/>
  <c r="U155" i="26"/>
  <c r="D156" i="26"/>
  <c r="E156" i="26"/>
  <c r="F156" i="26"/>
  <c r="G156" i="26"/>
  <c r="H156" i="26"/>
  <c r="I156" i="26"/>
  <c r="J156" i="26"/>
  <c r="K156" i="26"/>
  <c r="P156" i="26"/>
  <c r="Q156" i="26"/>
  <c r="S156" i="26"/>
  <c r="T156" i="26"/>
  <c r="U156" i="26"/>
  <c r="D157" i="26"/>
  <c r="E157" i="26"/>
  <c r="F157" i="26"/>
  <c r="G157" i="26"/>
  <c r="H157" i="26"/>
  <c r="I157" i="26"/>
  <c r="J157" i="26"/>
  <c r="K157" i="26"/>
  <c r="P157" i="26"/>
  <c r="Q157" i="26"/>
  <c r="S157" i="26"/>
  <c r="T157" i="26"/>
  <c r="U157" i="26"/>
  <c r="D158" i="26"/>
  <c r="E158" i="26"/>
  <c r="F158" i="26"/>
  <c r="G158" i="26"/>
  <c r="H158" i="26"/>
  <c r="I158" i="26"/>
  <c r="J158" i="26"/>
  <c r="K158" i="26"/>
  <c r="P158" i="26"/>
  <c r="Q158" i="26"/>
  <c r="S158" i="26"/>
  <c r="T158" i="26"/>
  <c r="U158" i="26"/>
  <c r="D159" i="26"/>
  <c r="E159" i="26"/>
  <c r="F159" i="26"/>
  <c r="G159" i="26"/>
  <c r="H159" i="26"/>
  <c r="I159" i="26"/>
  <c r="J159" i="26"/>
  <c r="K159" i="26"/>
  <c r="P159" i="26"/>
  <c r="Q159" i="26"/>
  <c r="S159" i="26"/>
  <c r="T159" i="26"/>
  <c r="U159" i="26"/>
  <c r="D160" i="26"/>
  <c r="E160" i="26"/>
  <c r="F160" i="26"/>
  <c r="G160" i="26"/>
  <c r="H160" i="26"/>
  <c r="I160" i="26"/>
  <c r="J160" i="26"/>
  <c r="K160" i="26"/>
  <c r="P160" i="26"/>
  <c r="Q160" i="26"/>
  <c r="S160" i="26"/>
  <c r="T160" i="26"/>
  <c r="U160" i="26"/>
  <c r="D161" i="26"/>
  <c r="E161" i="26"/>
  <c r="F161" i="26"/>
  <c r="G161" i="26"/>
  <c r="H161" i="26"/>
  <c r="I161" i="26"/>
  <c r="J161" i="26"/>
  <c r="K161" i="26"/>
  <c r="P161" i="26"/>
  <c r="Q161" i="26"/>
  <c r="S161" i="26"/>
  <c r="T161" i="26"/>
  <c r="U161" i="26"/>
  <c r="D162" i="26"/>
  <c r="E162" i="26"/>
  <c r="F162" i="26"/>
  <c r="G162" i="26"/>
  <c r="H162" i="26"/>
  <c r="I162" i="26"/>
  <c r="J162" i="26"/>
  <c r="K162" i="26"/>
  <c r="P162" i="26"/>
  <c r="Q162" i="26"/>
  <c r="S162" i="26"/>
  <c r="T162" i="26"/>
  <c r="U162" i="26"/>
  <c r="D164" i="26"/>
  <c r="E164" i="26"/>
  <c r="F164" i="26"/>
  <c r="G164" i="26"/>
  <c r="H164" i="26"/>
  <c r="I164" i="26"/>
  <c r="J164" i="26"/>
  <c r="K164" i="26"/>
  <c r="D165" i="26"/>
  <c r="E165" i="26"/>
  <c r="F165" i="26"/>
  <c r="G165" i="26"/>
  <c r="H165" i="26"/>
  <c r="I165" i="26"/>
  <c r="J165" i="26"/>
  <c r="K165" i="26"/>
  <c r="D166" i="26"/>
  <c r="E166" i="26"/>
  <c r="F166" i="26"/>
  <c r="G166" i="26"/>
  <c r="H166" i="26"/>
  <c r="I166" i="26"/>
  <c r="J166" i="26"/>
  <c r="K166" i="26"/>
  <c r="D167" i="26"/>
  <c r="E167" i="26"/>
  <c r="F167" i="26"/>
  <c r="G167" i="26"/>
  <c r="H167" i="26"/>
  <c r="I167" i="26"/>
  <c r="J167" i="26"/>
  <c r="K167" i="26"/>
  <c r="D168" i="26"/>
  <c r="E168" i="26"/>
  <c r="F168" i="26"/>
  <c r="G168" i="26"/>
  <c r="H168" i="26"/>
  <c r="I168" i="26"/>
  <c r="J168" i="26"/>
  <c r="K168" i="26"/>
  <c r="D169" i="26"/>
  <c r="E169" i="26"/>
  <c r="F169" i="26"/>
  <c r="G169" i="26"/>
  <c r="H169" i="26"/>
  <c r="I169" i="26"/>
  <c r="J169" i="26"/>
  <c r="K169" i="26"/>
  <c r="D170" i="26"/>
  <c r="E170" i="26"/>
  <c r="F170" i="26"/>
  <c r="G170" i="26"/>
  <c r="H170" i="26"/>
  <c r="I170" i="26"/>
  <c r="J170" i="26"/>
  <c r="K170" i="26"/>
  <c r="D171" i="26"/>
  <c r="E171" i="26"/>
  <c r="F171" i="26"/>
  <c r="G171" i="26"/>
  <c r="H171" i="26"/>
  <c r="I171" i="26"/>
  <c r="J171" i="26"/>
  <c r="K171" i="26"/>
  <c r="D194" i="26"/>
  <c r="E194" i="26"/>
  <c r="F194" i="26"/>
  <c r="G194" i="26"/>
  <c r="H194" i="26"/>
  <c r="I194" i="26"/>
  <c r="J194" i="26"/>
  <c r="K194" i="26"/>
  <c r="D195" i="26"/>
  <c r="E195" i="26"/>
  <c r="F195" i="26"/>
  <c r="G195" i="26"/>
  <c r="H195" i="26"/>
  <c r="I195" i="26"/>
  <c r="J195" i="26"/>
  <c r="K195" i="26"/>
  <c r="D196" i="26"/>
  <c r="E196" i="26"/>
  <c r="F196" i="26"/>
  <c r="G196" i="26"/>
  <c r="H196" i="26"/>
  <c r="I196" i="26"/>
  <c r="J196" i="26"/>
  <c r="K196" i="26"/>
  <c r="D197" i="26"/>
  <c r="E197" i="26"/>
  <c r="F197" i="26"/>
  <c r="G197" i="26"/>
  <c r="H197" i="26"/>
  <c r="I197" i="26"/>
  <c r="J197" i="26"/>
  <c r="K197" i="26"/>
  <c r="D198" i="26"/>
  <c r="E198" i="26"/>
  <c r="F198" i="26"/>
  <c r="G198" i="26"/>
  <c r="H198" i="26"/>
  <c r="I198" i="26"/>
  <c r="J198" i="26"/>
  <c r="K198" i="26"/>
  <c r="D199" i="26"/>
  <c r="E199" i="26"/>
  <c r="F199" i="26"/>
  <c r="G199" i="26"/>
  <c r="H199" i="26"/>
  <c r="I199" i="26"/>
  <c r="J199" i="26"/>
  <c r="K199" i="26"/>
  <c r="D201" i="26"/>
  <c r="E201" i="26"/>
  <c r="F201" i="26"/>
  <c r="G201" i="26"/>
  <c r="H201" i="26"/>
  <c r="I201" i="26"/>
  <c r="J201" i="26"/>
  <c r="K201" i="26"/>
  <c r="O201" i="26"/>
  <c r="P201" i="26"/>
  <c r="Q201" i="26"/>
  <c r="S201" i="26"/>
  <c r="T201" i="26"/>
  <c r="U201" i="26"/>
  <c r="Z201" i="26"/>
  <c r="AA201" i="26"/>
  <c r="AB201" i="26"/>
  <c r="AD201" i="26"/>
  <c r="AE201" i="26"/>
  <c r="AF201" i="26"/>
  <c r="D202" i="26"/>
  <c r="E202" i="26"/>
  <c r="F202" i="26"/>
  <c r="G202" i="26"/>
  <c r="H202" i="26"/>
  <c r="I202" i="26"/>
  <c r="J202" i="26"/>
  <c r="K202" i="26"/>
  <c r="O202" i="26"/>
  <c r="P202" i="26"/>
  <c r="Q202" i="26"/>
  <c r="S202" i="26"/>
  <c r="T202" i="26"/>
  <c r="U202" i="26"/>
  <c r="Z202" i="26"/>
  <c r="AA202" i="26"/>
  <c r="AB202" i="26"/>
  <c r="AD202" i="26"/>
  <c r="AE202" i="26"/>
  <c r="AF202" i="26"/>
  <c r="D203" i="26"/>
  <c r="E203" i="26"/>
  <c r="F203" i="26"/>
  <c r="G203" i="26"/>
  <c r="H203" i="26"/>
  <c r="I203" i="26"/>
  <c r="J203" i="26"/>
  <c r="K203" i="26"/>
  <c r="O203" i="26"/>
  <c r="P203" i="26"/>
  <c r="Q203" i="26"/>
  <c r="S203" i="26"/>
  <c r="T203" i="26"/>
  <c r="U203" i="26"/>
  <c r="Z203" i="26"/>
  <c r="AA203" i="26"/>
  <c r="AB203" i="26"/>
  <c r="AD203" i="26"/>
  <c r="AE203" i="26"/>
  <c r="AF203" i="26"/>
  <c r="D204" i="26"/>
  <c r="E204" i="26"/>
  <c r="F204" i="26"/>
  <c r="G204" i="26"/>
  <c r="H204" i="26"/>
  <c r="I204" i="26"/>
  <c r="J204" i="26"/>
  <c r="K204" i="26"/>
  <c r="O204" i="26"/>
  <c r="P204" i="26"/>
  <c r="Q204" i="26"/>
  <c r="S204" i="26"/>
  <c r="T204" i="26"/>
  <c r="U204" i="26"/>
  <c r="Z204" i="26"/>
  <c r="AA204" i="26"/>
  <c r="AB204" i="26"/>
  <c r="AD204" i="26"/>
  <c r="AE204" i="26"/>
  <c r="AF204" i="26"/>
  <c r="D205" i="26"/>
  <c r="E205" i="26"/>
  <c r="F205" i="26"/>
  <c r="G205" i="26"/>
  <c r="H205" i="26"/>
  <c r="I205" i="26"/>
  <c r="J205" i="26"/>
  <c r="K205" i="26"/>
  <c r="O205" i="26"/>
  <c r="P205" i="26"/>
  <c r="Q205" i="26"/>
  <c r="S205" i="26"/>
  <c r="T205" i="26"/>
  <c r="U205" i="26"/>
  <c r="Z205" i="26"/>
  <c r="AA205" i="26"/>
  <c r="AB205" i="26"/>
  <c r="AD205" i="26"/>
  <c r="AE205" i="26"/>
  <c r="AF205" i="26"/>
  <c r="D206" i="26"/>
  <c r="E206" i="26"/>
  <c r="F206" i="26"/>
  <c r="G206" i="26"/>
  <c r="H206" i="26"/>
  <c r="I206" i="26"/>
  <c r="J206" i="26"/>
  <c r="K206" i="26"/>
  <c r="O206" i="26"/>
  <c r="P206" i="26"/>
  <c r="Q206" i="26"/>
  <c r="S206" i="26"/>
  <c r="T206" i="26"/>
  <c r="U206" i="26"/>
  <c r="Z206" i="26"/>
  <c r="AA206" i="26"/>
  <c r="AB206" i="26"/>
  <c r="AD206" i="26"/>
  <c r="AE206" i="26"/>
  <c r="AF206" i="26"/>
  <c r="D207" i="26"/>
  <c r="E207" i="26"/>
  <c r="F207" i="26"/>
  <c r="G207" i="26"/>
  <c r="H207" i="26"/>
  <c r="I207" i="26"/>
  <c r="J207" i="26"/>
  <c r="K207" i="26"/>
  <c r="O207" i="26"/>
  <c r="P207" i="26"/>
  <c r="Q207" i="26"/>
  <c r="S207" i="26"/>
  <c r="T207" i="26"/>
  <c r="U207" i="26"/>
  <c r="Z207" i="26"/>
  <c r="AA207" i="26"/>
  <c r="AB207" i="26"/>
  <c r="AD207" i="26"/>
  <c r="AE207" i="26"/>
  <c r="AF207" i="26"/>
  <c r="D208" i="26"/>
  <c r="E208" i="26"/>
  <c r="F208" i="26"/>
  <c r="G208" i="26"/>
  <c r="H208" i="26"/>
  <c r="I208" i="26"/>
  <c r="J208" i="26"/>
  <c r="K208" i="26"/>
  <c r="O208" i="26"/>
  <c r="P208" i="26"/>
  <c r="Q208" i="26"/>
  <c r="S208" i="26"/>
  <c r="T208" i="26"/>
  <c r="U208" i="26"/>
  <c r="Z208" i="26"/>
  <c r="AA208" i="26"/>
  <c r="AB208" i="26"/>
  <c r="AD208" i="26"/>
  <c r="AE208" i="26"/>
  <c r="AF208" i="26"/>
  <c r="D209" i="26"/>
  <c r="E209" i="26"/>
  <c r="F209" i="26"/>
  <c r="G209" i="26"/>
  <c r="H209" i="26"/>
  <c r="I209" i="26"/>
  <c r="J209" i="26"/>
  <c r="K209" i="26"/>
  <c r="O209" i="26"/>
  <c r="P209" i="26"/>
  <c r="Q209" i="26"/>
  <c r="S209" i="26"/>
  <c r="T209" i="26"/>
  <c r="U209" i="26"/>
  <c r="Z209" i="26"/>
  <c r="AA209" i="26"/>
  <c r="AB209" i="26"/>
  <c r="AD209" i="26"/>
  <c r="AE209" i="26"/>
  <c r="AF209" i="26"/>
  <c r="D210" i="26"/>
  <c r="E210" i="26"/>
  <c r="F210" i="26"/>
  <c r="G210" i="26"/>
  <c r="H210" i="26"/>
  <c r="I210" i="26"/>
  <c r="J210" i="26"/>
  <c r="K210" i="26"/>
  <c r="O210" i="26"/>
  <c r="P210" i="26"/>
  <c r="Q210" i="26"/>
  <c r="S210" i="26"/>
  <c r="T210" i="26"/>
  <c r="U210" i="26"/>
  <c r="Z210" i="26"/>
  <c r="AA210" i="26"/>
  <c r="AB210" i="26"/>
  <c r="AD210" i="26"/>
  <c r="AE210" i="26"/>
  <c r="AF210" i="26"/>
  <c r="D211" i="26"/>
  <c r="E211" i="26"/>
  <c r="F211" i="26"/>
  <c r="G211" i="26"/>
  <c r="H211" i="26"/>
  <c r="I211" i="26"/>
  <c r="J211" i="26"/>
  <c r="K211" i="26"/>
  <c r="O211" i="26"/>
  <c r="P211" i="26"/>
  <c r="Q211" i="26"/>
  <c r="S211" i="26"/>
  <c r="T211" i="26"/>
  <c r="U211" i="26"/>
  <c r="Z211" i="26"/>
  <c r="AA211" i="26"/>
  <c r="AB211" i="26"/>
  <c r="AD211" i="26"/>
  <c r="AE211" i="26"/>
  <c r="AF211" i="26"/>
  <c r="D212" i="26"/>
  <c r="E212" i="26"/>
  <c r="F212" i="26"/>
  <c r="G212" i="26"/>
  <c r="H212" i="26"/>
  <c r="I212" i="26"/>
  <c r="J212" i="26"/>
  <c r="K212" i="26"/>
  <c r="O212" i="26"/>
  <c r="P212" i="26"/>
  <c r="Q212" i="26"/>
  <c r="S212" i="26"/>
  <c r="T212" i="26"/>
  <c r="U212" i="26"/>
  <c r="Z212" i="26"/>
  <c r="AA212" i="26"/>
  <c r="AB212" i="26"/>
  <c r="AD212" i="26"/>
  <c r="AE212" i="26"/>
  <c r="AF212" i="26"/>
  <c r="D213" i="26"/>
  <c r="E213" i="26"/>
  <c r="F213" i="26"/>
  <c r="G213" i="26"/>
  <c r="H213" i="26"/>
  <c r="I213" i="26"/>
  <c r="J213" i="26"/>
  <c r="K213" i="26"/>
  <c r="O213" i="26"/>
  <c r="P213" i="26"/>
  <c r="Q213" i="26"/>
  <c r="S213" i="26"/>
  <c r="T213" i="26"/>
  <c r="U213" i="26"/>
  <c r="Z213" i="26"/>
  <c r="AA213" i="26"/>
  <c r="AB213" i="26"/>
  <c r="AD213" i="26"/>
  <c r="AE213" i="26"/>
  <c r="AF213" i="26"/>
  <c r="D215" i="26"/>
  <c r="E215" i="26"/>
  <c r="F215" i="26"/>
  <c r="G215" i="26"/>
  <c r="H215" i="26"/>
  <c r="I215" i="26"/>
  <c r="J215" i="26"/>
  <c r="K215" i="26"/>
  <c r="D216" i="26"/>
  <c r="E216" i="26"/>
  <c r="F216" i="26"/>
  <c r="G216" i="26"/>
  <c r="H216" i="26"/>
  <c r="I216" i="26"/>
  <c r="J216" i="26"/>
  <c r="K216" i="26"/>
  <c r="D217" i="26"/>
  <c r="E217" i="26"/>
  <c r="F217" i="26"/>
  <c r="G217" i="26"/>
  <c r="H217" i="26"/>
  <c r="I217" i="26"/>
  <c r="J217" i="26"/>
  <c r="K217" i="26"/>
  <c r="D218" i="26"/>
  <c r="E218" i="26"/>
  <c r="F218" i="26"/>
  <c r="G218" i="26"/>
  <c r="H218" i="26"/>
  <c r="I218" i="26"/>
  <c r="J218" i="26"/>
  <c r="K218" i="26"/>
  <c r="D219" i="26"/>
  <c r="E219" i="26"/>
  <c r="F219" i="26"/>
  <c r="G219" i="26"/>
  <c r="H219" i="26"/>
  <c r="I219" i="26"/>
  <c r="J219" i="26"/>
  <c r="K219" i="26"/>
  <c r="D220" i="26"/>
  <c r="E220" i="26"/>
  <c r="F220" i="26"/>
  <c r="G220" i="26"/>
  <c r="H220" i="26"/>
  <c r="I220" i="26"/>
  <c r="J220" i="26"/>
  <c r="K220" i="26"/>
  <c r="D221" i="26"/>
  <c r="E221" i="26"/>
  <c r="F221" i="26"/>
  <c r="G221" i="26"/>
  <c r="H221" i="26"/>
  <c r="I221" i="26"/>
  <c r="J221" i="26"/>
  <c r="K221" i="26"/>
  <c r="D222" i="26"/>
  <c r="E222" i="26"/>
  <c r="F222" i="26"/>
  <c r="G222" i="26"/>
  <c r="H222" i="26"/>
  <c r="I222" i="26"/>
  <c r="J222" i="26"/>
  <c r="K222" i="26"/>
  <c r="B227" i="26"/>
  <c r="C227" i="26"/>
  <c r="D227" i="26"/>
  <c r="E227" i="26"/>
  <c r="F227" i="26"/>
  <c r="G227" i="26"/>
  <c r="H227" i="26"/>
  <c r="I227" i="26"/>
  <c r="J227" i="26"/>
  <c r="K227" i="26"/>
  <c r="B228" i="26"/>
  <c r="C228" i="26"/>
  <c r="D228" i="26"/>
  <c r="E228" i="26"/>
  <c r="F228" i="26"/>
  <c r="G228" i="26"/>
  <c r="H228" i="26"/>
  <c r="I228" i="26"/>
  <c r="J228" i="26"/>
  <c r="K228" i="26"/>
  <c r="B229" i="26"/>
  <c r="C229" i="26"/>
  <c r="D229" i="26"/>
  <c r="E229" i="26"/>
  <c r="F229" i="26"/>
  <c r="G229" i="26"/>
  <c r="H229" i="26"/>
  <c r="I229" i="26"/>
  <c r="J229" i="26"/>
  <c r="K229" i="26"/>
  <c r="B230" i="26"/>
  <c r="C230" i="26"/>
  <c r="D230" i="26"/>
  <c r="E230" i="26"/>
  <c r="F230" i="26"/>
  <c r="G230" i="26"/>
  <c r="H230" i="26"/>
  <c r="I230" i="26"/>
  <c r="J230" i="26"/>
  <c r="K230" i="26"/>
  <c r="B231" i="26"/>
  <c r="C231" i="26"/>
  <c r="D231" i="26"/>
  <c r="E231" i="26"/>
  <c r="F231" i="26"/>
  <c r="G231" i="26"/>
  <c r="H231" i="26"/>
  <c r="I231" i="26"/>
  <c r="J231" i="26"/>
  <c r="K231" i="26"/>
  <c r="B232" i="26"/>
  <c r="C232" i="26"/>
  <c r="D232" i="26"/>
  <c r="E232" i="26"/>
  <c r="F232" i="26"/>
  <c r="G232" i="26"/>
  <c r="H232" i="26"/>
  <c r="I232" i="26"/>
  <c r="J232" i="26"/>
  <c r="K232" i="26"/>
  <c r="B234" i="26"/>
  <c r="C234" i="26"/>
  <c r="D234" i="26"/>
  <c r="E234" i="26"/>
  <c r="F234" i="26"/>
  <c r="G234" i="26"/>
  <c r="H234" i="26"/>
  <c r="I234" i="26"/>
  <c r="J234" i="26"/>
  <c r="K234" i="26"/>
  <c r="B235" i="26"/>
  <c r="C235" i="26"/>
  <c r="D235" i="26"/>
  <c r="E235" i="26"/>
  <c r="F235" i="26"/>
  <c r="G235" i="26"/>
  <c r="H235" i="26"/>
  <c r="I235" i="26"/>
  <c r="J235" i="26"/>
  <c r="K235" i="26"/>
  <c r="B236" i="26"/>
  <c r="C236" i="26"/>
  <c r="D236" i="26"/>
  <c r="E236" i="26"/>
  <c r="F236" i="26"/>
  <c r="G236" i="26"/>
  <c r="H236" i="26"/>
  <c r="I236" i="26"/>
  <c r="J236" i="26"/>
  <c r="K236" i="26"/>
  <c r="B237" i="26"/>
  <c r="C237" i="26"/>
  <c r="D237" i="26"/>
  <c r="E237" i="26"/>
  <c r="F237" i="26"/>
  <c r="G237" i="26"/>
  <c r="H237" i="26"/>
  <c r="I237" i="26"/>
  <c r="J237" i="26"/>
  <c r="K237" i="26"/>
  <c r="B238" i="26"/>
  <c r="C238" i="26"/>
  <c r="D238" i="26"/>
  <c r="E238" i="26"/>
  <c r="F238" i="26"/>
  <c r="G238" i="26"/>
  <c r="H238" i="26"/>
  <c r="I238" i="26"/>
  <c r="J238" i="26"/>
  <c r="K238" i="26"/>
  <c r="B239" i="26"/>
  <c r="C239" i="26"/>
  <c r="D239" i="26"/>
  <c r="E239" i="26"/>
  <c r="F239" i="26"/>
  <c r="G239" i="26"/>
  <c r="H239" i="26"/>
  <c r="I239" i="26"/>
  <c r="J239" i="26"/>
  <c r="K239" i="26"/>
  <c r="B240" i="26"/>
  <c r="C240" i="26"/>
  <c r="D240" i="26"/>
  <c r="E240" i="26"/>
  <c r="F240" i="26"/>
  <c r="G240" i="26"/>
  <c r="H240" i="26"/>
  <c r="I240" i="26"/>
  <c r="J240" i="26"/>
  <c r="K240" i="26"/>
  <c r="B241" i="26"/>
  <c r="C241" i="26"/>
  <c r="D241" i="26"/>
  <c r="E241" i="26"/>
  <c r="F241" i="26"/>
  <c r="G241" i="26"/>
  <c r="H241" i="26"/>
  <c r="I241" i="26"/>
  <c r="J241" i="26"/>
  <c r="K241" i="26"/>
  <c r="B242" i="26"/>
  <c r="C242" i="26"/>
  <c r="D242" i="26"/>
  <c r="E242" i="26"/>
  <c r="F242" i="26"/>
  <c r="G242" i="26"/>
  <c r="H242" i="26"/>
  <c r="I242" i="26"/>
  <c r="J242" i="26"/>
  <c r="K242" i="26"/>
  <c r="B243" i="26"/>
  <c r="C243" i="26"/>
  <c r="D243" i="26"/>
  <c r="E243" i="26"/>
  <c r="F243" i="26"/>
  <c r="G243" i="26"/>
  <c r="H243" i="26"/>
  <c r="I243" i="26"/>
  <c r="J243" i="26"/>
  <c r="K243" i="26"/>
  <c r="B244" i="26"/>
  <c r="C244" i="26"/>
  <c r="D244" i="26"/>
  <c r="E244" i="26"/>
  <c r="F244" i="26"/>
  <c r="G244" i="26"/>
  <c r="H244" i="26"/>
  <c r="I244" i="26"/>
  <c r="J244" i="26"/>
  <c r="K244" i="26"/>
  <c r="B245" i="26"/>
  <c r="C245" i="26"/>
  <c r="D245" i="26"/>
  <c r="E245" i="26"/>
  <c r="F245" i="26"/>
  <c r="G245" i="26"/>
  <c r="H245" i="26"/>
  <c r="I245" i="26"/>
  <c r="J245" i="26"/>
  <c r="K245" i="26"/>
  <c r="B246" i="26"/>
  <c r="C246" i="26"/>
  <c r="D246" i="26"/>
  <c r="E246" i="26"/>
  <c r="F246" i="26"/>
  <c r="G246" i="26"/>
  <c r="H246" i="26"/>
  <c r="I246" i="26"/>
  <c r="J246" i="26"/>
  <c r="K246" i="26"/>
  <c r="B248" i="26"/>
  <c r="C248" i="26"/>
  <c r="D248" i="26"/>
  <c r="E248" i="26"/>
  <c r="F248" i="26"/>
  <c r="G248" i="26"/>
  <c r="H248" i="26"/>
  <c r="I248" i="26"/>
  <c r="J248" i="26"/>
  <c r="K248" i="26"/>
  <c r="B249" i="26"/>
  <c r="C249" i="26"/>
  <c r="D249" i="26"/>
  <c r="E249" i="26"/>
  <c r="F249" i="26"/>
  <c r="G249" i="26"/>
  <c r="H249" i="26"/>
  <c r="I249" i="26"/>
  <c r="J249" i="26"/>
  <c r="K249" i="26"/>
  <c r="B250" i="26"/>
  <c r="C250" i="26"/>
  <c r="D250" i="26"/>
  <c r="E250" i="26"/>
  <c r="F250" i="26"/>
  <c r="G250" i="26"/>
  <c r="H250" i="26"/>
  <c r="I250" i="26"/>
  <c r="J250" i="26"/>
  <c r="K250" i="26"/>
  <c r="B251" i="26"/>
  <c r="C251" i="26"/>
  <c r="D251" i="26"/>
  <c r="E251" i="26"/>
  <c r="F251" i="26"/>
  <c r="G251" i="26"/>
  <c r="H251" i="26"/>
  <c r="I251" i="26"/>
  <c r="J251" i="26"/>
  <c r="K251" i="26"/>
  <c r="B252" i="26"/>
  <c r="C252" i="26"/>
  <c r="D252" i="26"/>
  <c r="E252" i="26"/>
  <c r="F252" i="26"/>
  <c r="G252" i="26"/>
  <c r="H252" i="26"/>
  <c r="I252" i="26"/>
  <c r="J252" i="26"/>
  <c r="K252" i="26"/>
  <c r="B253" i="26"/>
  <c r="C253" i="26"/>
  <c r="D253" i="26"/>
  <c r="E253" i="26"/>
  <c r="F253" i="26"/>
  <c r="G253" i="26"/>
  <c r="H253" i="26"/>
  <c r="I253" i="26"/>
  <c r="J253" i="26"/>
  <c r="K253" i="26"/>
  <c r="B254" i="26"/>
  <c r="C254" i="26"/>
  <c r="D254" i="26"/>
  <c r="E254" i="26"/>
  <c r="F254" i="26"/>
  <c r="G254" i="26"/>
  <c r="H254" i="26"/>
  <c r="I254" i="26"/>
  <c r="J254" i="26"/>
  <c r="K254" i="26"/>
  <c r="B255" i="26"/>
  <c r="C255" i="26"/>
  <c r="D255" i="26"/>
  <c r="E255" i="26"/>
  <c r="F255" i="26"/>
  <c r="G255" i="26"/>
  <c r="H255" i="26"/>
  <c r="I255" i="26"/>
  <c r="J255" i="26"/>
  <c r="K255" i="26"/>
  <c r="B80" i="35"/>
  <c r="D80" i="35"/>
  <c r="F80" i="35"/>
  <c r="H80" i="35"/>
  <c r="J80" i="35"/>
  <c r="L80" i="35"/>
  <c r="N80" i="35"/>
  <c r="P80" i="35"/>
  <c r="R80" i="35"/>
  <c r="B81" i="35"/>
  <c r="D81" i="35"/>
  <c r="F81" i="35"/>
  <c r="H81" i="35"/>
  <c r="J81" i="35"/>
  <c r="L81" i="35"/>
  <c r="N81" i="35"/>
  <c r="P81" i="35"/>
  <c r="R81" i="35"/>
  <c r="B82" i="35"/>
  <c r="D82" i="35"/>
  <c r="F82" i="35"/>
  <c r="H82" i="35"/>
  <c r="J82" i="35"/>
  <c r="L82" i="35"/>
  <c r="N82" i="35"/>
  <c r="P82" i="35"/>
  <c r="R82" i="35"/>
  <c r="B83" i="35"/>
  <c r="D83" i="35"/>
  <c r="F83" i="35"/>
  <c r="H83" i="35"/>
  <c r="J83" i="35"/>
  <c r="L83" i="35"/>
  <c r="N83" i="35"/>
  <c r="P83" i="35"/>
  <c r="R83" i="35"/>
  <c r="B84" i="35"/>
  <c r="D84" i="35"/>
  <c r="F84" i="35"/>
  <c r="H84" i="35"/>
  <c r="J84" i="35"/>
  <c r="L84" i="35"/>
  <c r="N84" i="35"/>
  <c r="P84" i="35"/>
  <c r="R84" i="35"/>
  <c r="B85" i="35"/>
  <c r="D85" i="35"/>
  <c r="F85" i="35"/>
  <c r="H85" i="35"/>
  <c r="J85" i="35"/>
  <c r="L85" i="35"/>
  <c r="N85" i="35"/>
  <c r="P85" i="35"/>
  <c r="R85" i="35"/>
  <c r="B87" i="35"/>
  <c r="D87" i="35"/>
  <c r="F87" i="35"/>
  <c r="H87" i="35"/>
  <c r="J87" i="35"/>
  <c r="L87" i="35"/>
  <c r="N87" i="35"/>
  <c r="P87" i="35"/>
  <c r="R87" i="35"/>
  <c r="B88" i="35"/>
  <c r="D88" i="35"/>
  <c r="F88" i="35"/>
  <c r="H88" i="35"/>
  <c r="J88" i="35"/>
  <c r="L88" i="35"/>
  <c r="N88" i="35"/>
  <c r="P88" i="35"/>
  <c r="R88" i="35"/>
  <c r="B89" i="35"/>
  <c r="D89" i="35"/>
  <c r="F89" i="35"/>
  <c r="H89" i="35"/>
  <c r="J89" i="35"/>
  <c r="L89" i="35"/>
  <c r="N89" i="35"/>
  <c r="P89" i="35"/>
  <c r="R89" i="35"/>
  <c r="B90" i="35"/>
  <c r="D90" i="35"/>
  <c r="F90" i="35"/>
  <c r="H90" i="35"/>
  <c r="J90" i="35"/>
  <c r="L90" i="35"/>
  <c r="N90" i="35"/>
  <c r="P90" i="35"/>
  <c r="R90" i="35"/>
  <c r="B91" i="35"/>
  <c r="D91" i="35"/>
  <c r="F91" i="35"/>
  <c r="H91" i="35"/>
  <c r="J91" i="35"/>
  <c r="L91" i="35"/>
  <c r="N91" i="35"/>
  <c r="P91" i="35"/>
  <c r="R91" i="35"/>
  <c r="B92" i="35"/>
  <c r="D92" i="35"/>
  <c r="F92" i="35"/>
  <c r="H92" i="35"/>
  <c r="J92" i="35"/>
  <c r="L92" i="35"/>
  <c r="N92" i="35"/>
  <c r="P92" i="35"/>
  <c r="R92" i="35"/>
  <c r="B93" i="35"/>
  <c r="D93" i="35"/>
  <c r="F93" i="35"/>
  <c r="H93" i="35"/>
  <c r="J93" i="35"/>
  <c r="L93" i="35"/>
  <c r="N93" i="35"/>
  <c r="P93" i="35"/>
  <c r="R93" i="35"/>
  <c r="B94" i="35"/>
  <c r="D94" i="35"/>
  <c r="F94" i="35"/>
  <c r="H94" i="35"/>
  <c r="J94" i="35"/>
  <c r="L94" i="35"/>
  <c r="N94" i="35"/>
  <c r="P94" i="35"/>
  <c r="R94" i="35"/>
  <c r="B95" i="35"/>
  <c r="D95" i="35"/>
  <c r="F95" i="35"/>
  <c r="H95" i="35"/>
  <c r="J95" i="35"/>
  <c r="L95" i="35"/>
  <c r="N95" i="35"/>
  <c r="P95" i="35"/>
  <c r="R95" i="35"/>
  <c r="B96" i="35"/>
  <c r="D96" i="35"/>
  <c r="F96" i="35"/>
  <c r="H96" i="35"/>
  <c r="J96" i="35"/>
  <c r="L96" i="35"/>
  <c r="N96" i="35"/>
  <c r="P96" i="35"/>
  <c r="R96" i="35"/>
  <c r="B99" i="35"/>
  <c r="D99" i="35"/>
  <c r="F99" i="35"/>
  <c r="H99" i="35"/>
  <c r="J99" i="35"/>
  <c r="L99" i="35"/>
  <c r="N99" i="35"/>
  <c r="P99" i="35"/>
  <c r="R99" i="35"/>
  <c r="B101" i="35"/>
  <c r="D101" i="35"/>
  <c r="F101" i="35"/>
  <c r="H101" i="35"/>
  <c r="J101" i="35"/>
  <c r="L101" i="35"/>
  <c r="N101" i="35"/>
  <c r="P101" i="35"/>
  <c r="R101" i="35"/>
  <c r="B102" i="35"/>
  <c r="D102" i="35"/>
  <c r="F102" i="35"/>
  <c r="H102" i="35"/>
  <c r="J102" i="35"/>
  <c r="L102" i="35"/>
  <c r="N102" i="35"/>
  <c r="P102" i="35"/>
  <c r="R102" i="35"/>
  <c r="B103" i="35"/>
  <c r="D103" i="35"/>
  <c r="F103" i="35"/>
  <c r="H103" i="35"/>
  <c r="J103" i="35"/>
  <c r="L103" i="35"/>
  <c r="N103" i="35"/>
  <c r="P103" i="35"/>
  <c r="R103" i="35"/>
  <c r="B104" i="35"/>
  <c r="D104" i="35"/>
  <c r="F104" i="35"/>
  <c r="H104" i="35"/>
  <c r="J104" i="35"/>
  <c r="L104" i="35"/>
  <c r="N104" i="35"/>
  <c r="P104" i="35"/>
  <c r="R104" i="35"/>
  <c r="B105" i="35"/>
  <c r="D105" i="35"/>
  <c r="F105" i="35"/>
  <c r="H105" i="35"/>
  <c r="J105" i="35"/>
  <c r="L105" i="35"/>
  <c r="N105" i="35"/>
  <c r="P105" i="35"/>
  <c r="R105" i="35"/>
  <c r="B106" i="35"/>
  <c r="D106" i="35"/>
  <c r="F106" i="35"/>
  <c r="H106" i="35"/>
  <c r="J106" i="35"/>
  <c r="L106" i="35"/>
  <c r="N106" i="35"/>
  <c r="P106" i="35"/>
  <c r="R106" i="35"/>
  <c r="B107" i="35"/>
  <c r="D107" i="35"/>
  <c r="F107" i="35"/>
  <c r="H107" i="35"/>
  <c r="J107" i="35"/>
  <c r="L107" i="35"/>
  <c r="N107" i="35"/>
  <c r="P107" i="35"/>
  <c r="R107" i="35"/>
  <c r="B108" i="35"/>
  <c r="D108" i="35"/>
  <c r="F108" i="35"/>
  <c r="H108" i="35"/>
  <c r="J108" i="35"/>
  <c r="L108" i="35"/>
  <c r="N108" i="35"/>
  <c r="P108" i="35"/>
  <c r="R108" i="35"/>
  <c r="B115" i="35"/>
  <c r="C115" i="35"/>
  <c r="D115" i="35"/>
  <c r="E115" i="35"/>
  <c r="F115" i="35"/>
  <c r="G115" i="35"/>
  <c r="H115" i="35"/>
  <c r="I115" i="35"/>
  <c r="J115" i="35"/>
  <c r="B116" i="35"/>
  <c r="C116" i="35"/>
  <c r="D116" i="35"/>
  <c r="E116" i="35"/>
  <c r="F116" i="35"/>
  <c r="G116" i="35"/>
  <c r="H116" i="35"/>
  <c r="I116" i="35"/>
  <c r="J116" i="35"/>
  <c r="B117" i="35"/>
  <c r="C117" i="35"/>
  <c r="D117" i="35"/>
  <c r="E117" i="35"/>
  <c r="F117" i="35"/>
  <c r="G117" i="35"/>
  <c r="H117" i="35"/>
  <c r="I117" i="35"/>
  <c r="J117" i="35"/>
  <c r="B118" i="35"/>
  <c r="C118" i="35"/>
  <c r="D118" i="35"/>
  <c r="E118" i="35"/>
  <c r="F118" i="35"/>
  <c r="G118" i="35"/>
  <c r="H118" i="35"/>
  <c r="I118" i="35"/>
  <c r="J118" i="35"/>
  <c r="B119" i="35"/>
  <c r="C119" i="35"/>
  <c r="D119" i="35"/>
  <c r="E119" i="35"/>
  <c r="F119" i="35"/>
  <c r="G119" i="35"/>
  <c r="H119" i="35"/>
  <c r="I119" i="35"/>
  <c r="J119" i="35"/>
  <c r="B120" i="35"/>
  <c r="C120" i="35"/>
  <c r="D120" i="35"/>
  <c r="E120" i="35"/>
  <c r="F120" i="35"/>
  <c r="G120" i="35"/>
  <c r="H120" i="35"/>
  <c r="I120" i="35"/>
  <c r="J120" i="35"/>
  <c r="B122" i="35"/>
  <c r="C122" i="35"/>
  <c r="D122" i="35"/>
  <c r="E122" i="35"/>
  <c r="F122" i="35"/>
  <c r="G122" i="35"/>
  <c r="H122" i="35"/>
  <c r="I122" i="35"/>
  <c r="J122" i="35"/>
  <c r="B123" i="35"/>
  <c r="C123" i="35"/>
  <c r="D123" i="35"/>
  <c r="E123" i="35"/>
  <c r="F123" i="35"/>
  <c r="G123" i="35"/>
  <c r="H123" i="35"/>
  <c r="I123" i="35"/>
  <c r="J123" i="35"/>
  <c r="B124" i="35"/>
  <c r="C124" i="35"/>
  <c r="D124" i="35"/>
  <c r="E124" i="35"/>
  <c r="F124" i="35"/>
  <c r="G124" i="35"/>
  <c r="H124" i="35"/>
  <c r="I124" i="35"/>
  <c r="J124" i="35"/>
  <c r="B125" i="35"/>
  <c r="C125" i="35"/>
  <c r="D125" i="35"/>
  <c r="E125" i="35"/>
  <c r="F125" i="35"/>
  <c r="G125" i="35"/>
  <c r="H125" i="35"/>
  <c r="I125" i="35"/>
  <c r="J125" i="35"/>
  <c r="B126" i="35"/>
  <c r="C126" i="35"/>
  <c r="D126" i="35"/>
  <c r="E126" i="35"/>
  <c r="F126" i="35"/>
  <c r="G126" i="35"/>
  <c r="H126" i="35"/>
  <c r="I126" i="35"/>
  <c r="J126" i="35"/>
  <c r="B127" i="35"/>
  <c r="C127" i="35"/>
  <c r="D127" i="35"/>
  <c r="E127" i="35"/>
  <c r="F127" i="35"/>
  <c r="G127" i="35"/>
  <c r="H127" i="35"/>
  <c r="I127" i="35"/>
  <c r="J127" i="35"/>
  <c r="B128" i="35"/>
  <c r="C128" i="35"/>
  <c r="D128" i="35"/>
  <c r="E128" i="35"/>
  <c r="F128" i="35"/>
  <c r="G128" i="35"/>
  <c r="H128" i="35"/>
  <c r="I128" i="35"/>
  <c r="J128" i="35"/>
  <c r="B129" i="35"/>
  <c r="C129" i="35"/>
  <c r="D129" i="35"/>
  <c r="E129" i="35"/>
  <c r="F129" i="35"/>
  <c r="G129" i="35"/>
  <c r="H129" i="35"/>
  <c r="I129" i="35"/>
  <c r="J129" i="35"/>
  <c r="B130" i="35"/>
  <c r="C130" i="35"/>
  <c r="D130" i="35"/>
  <c r="E130" i="35"/>
  <c r="F130" i="35"/>
  <c r="G130" i="35"/>
  <c r="H130" i="35"/>
  <c r="I130" i="35"/>
  <c r="J130" i="35"/>
  <c r="B131" i="35"/>
  <c r="C131" i="35"/>
  <c r="D131" i="35"/>
  <c r="E131" i="35"/>
  <c r="F131" i="35"/>
  <c r="G131" i="35"/>
  <c r="H131" i="35"/>
  <c r="I131" i="35"/>
  <c r="J131" i="35"/>
  <c r="B134" i="35"/>
  <c r="C134" i="35"/>
  <c r="D134" i="35"/>
  <c r="E134" i="35"/>
  <c r="F134" i="35"/>
  <c r="G134" i="35"/>
  <c r="H134" i="35"/>
  <c r="I134" i="35"/>
  <c r="J134" i="35"/>
  <c r="B135" i="35"/>
  <c r="C135" i="35"/>
  <c r="D135" i="35"/>
  <c r="E135" i="35"/>
  <c r="F135" i="35"/>
  <c r="G135" i="35"/>
  <c r="H135" i="35"/>
  <c r="I135" i="35"/>
  <c r="J135" i="35"/>
  <c r="B136" i="35"/>
  <c r="C136" i="35"/>
  <c r="D136" i="35"/>
  <c r="E136" i="35"/>
  <c r="F136" i="35"/>
  <c r="G136" i="35"/>
  <c r="H136" i="35"/>
  <c r="I136" i="35"/>
  <c r="J136" i="35"/>
  <c r="B138" i="35"/>
  <c r="C138" i="35"/>
  <c r="D138" i="35"/>
  <c r="E138" i="35"/>
  <c r="F138" i="35"/>
  <c r="G138" i="35"/>
  <c r="H138" i="35"/>
  <c r="I138" i="35"/>
  <c r="J138" i="35"/>
  <c r="B139" i="35"/>
  <c r="C139" i="35"/>
  <c r="D139" i="35"/>
  <c r="E139" i="35"/>
  <c r="F139" i="35"/>
  <c r="G139" i="35"/>
  <c r="H139" i="35"/>
  <c r="I139" i="35"/>
  <c r="J139" i="35"/>
  <c r="B140" i="35"/>
  <c r="C140" i="35"/>
  <c r="D140" i="35"/>
  <c r="E140" i="35"/>
  <c r="F140" i="35"/>
  <c r="G140" i="35"/>
  <c r="H140" i="35"/>
  <c r="I140" i="35"/>
  <c r="J140" i="35"/>
  <c r="B141" i="35"/>
  <c r="C141" i="35"/>
  <c r="D141" i="35"/>
  <c r="E141" i="35"/>
  <c r="F141" i="35"/>
  <c r="G141" i="35"/>
  <c r="H141" i="35"/>
  <c r="I141" i="35"/>
  <c r="J141" i="35"/>
  <c r="B142" i="35"/>
  <c r="C142" i="35"/>
  <c r="D142" i="35"/>
  <c r="E142" i="35"/>
  <c r="F142" i="35"/>
  <c r="G142" i="35"/>
  <c r="H142" i="35"/>
  <c r="I142" i="35"/>
  <c r="J142" i="35"/>
  <c r="B143" i="35"/>
  <c r="C143" i="35"/>
  <c r="D143" i="35"/>
  <c r="E143" i="35"/>
  <c r="F143" i="35"/>
  <c r="G143" i="35"/>
  <c r="H143" i="35"/>
  <c r="I143" i="35"/>
  <c r="J143" i="35"/>
  <c r="B144" i="35"/>
  <c r="C144" i="35"/>
  <c r="D144" i="35"/>
  <c r="E144" i="35"/>
  <c r="F144" i="35"/>
  <c r="G144" i="35"/>
  <c r="H144" i="35"/>
  <c r="I144" i="35"/>
  <c r="J144" i="35"/>
  <c r="B145" i="35"/>
  <c r="C145" i="35"/>
  <c r="D145" i="35"/>
  <c r="E145" i="35"/>
  <c r="F145" i="35"/>
  <c r="G145" i="35"/>
  <c r="H145" i="35"/>
  <c r="I145" i="35"/>
  <c r="J145" i="35"/>
  <c r="B151" i="35"/>
  <c r="C151" i="35"/>
  <c r="D151" i="35"/>
  <c r="E151" i="35"/>
  <c r="F151" i="35"/>
  <c r="G151" i="35"/>
  <c r="B152" i="35"/>
  <c r="C152" i="35"/>
  <c r="D152" i="35"/>
  <c r="E152" i="35"/>
  <c r="F152" i="35"/>
  <c r="G152" i="35"/>
  <c r="B153" i="35"/>
  <c r="C153" i="35"/>
  <c r="D153" i="35"/>
  <c r="E153" i="35"/>
  <c r="F153" i="35"/>
  <c r="G153" i="35"/>
  <c r="B154" i="35"/>
  <c r="C154" i="35"/>
  <c r="D154" i="35"/>
  <c r="E154" i="35"/>
  <c r="F154" i="35"/>
  <c r="G154" i="35"/>
  <c r="B155" i="35"/>
  <c r="C155" i="35"/>
  <c r="D155" i="35"/>
  <c r="E155" i="35"/>
  <c r="F155" i="35"/>
  <c r="G155" i="35"/>
  <c r="B156" i="35"/>
  <c r="C156" i="35"/>
  <c r="D156" i="35"/>
  <c r="E156" i="35"/>
  <c r="F156" i="35"/>
  <c r="G156" i="35"/>
  <c r="B158" i="35"/>
  <c r="C158" i="35"/>
  <c r="D158" i="35"/>
  <c r="E158" i="35"/>
  <c r="F158" i="35"/>
  <c r="G158" i="35"/>
  <c r="B159" i="35"/>
  <c r="C159" i="35"/>
  <c r="D159" i="35"/>
  <c r="E159" i="35"/>
  <c r="F159" i="35"/>
  <c r="G159" i="35"/>
  <c r="B160" i="35"/>
  <c r="C160" i="35"/>
  <c r="D160" i="35"/>
  <c r="E160" i="35"/>
  <c r="F160" i="35"/>
  <c r="G160" i="35"/>
  <c r="B161" i="35"/>
  <c r="C161" i="35"/>
  <c r="D161" i="35"/>
  <c r="E161" i="35"/>
  <c r="F161" i="35"/>
  <c r="G161" i="35"/>
  <c r="B162" i="35"/>
  <c r="C162" i="35"/>
  <c r="D162" i="35"/>
  <c r="E162" i="35"/>
  <c r="F162" i="35"/>
  <c r="G162" i="35"/>
  <c r="B163" i="35"/>
  <c r="C163" i="35"/>
  <c r="D163" i="35"/>
  <c r="E163" i="35"/>
  <c r="F163" i="35"/>
  <c r="G163" i="35"/>
  <c r="B164" i="35"/>
  <c r="C164" i="35"/>
  <c r="D164" i="35"/>
  <c r="E164" i="35"/>
  <c r="F164" i="35"/>
  <c r="G164" i="35"/>
  <c r="B165" i="35"/>
  <c r="C165" i="35"/>
  <c r="D165" i="35"/>
  <c r="E165" i="35"/>
  <c r="F165" i="35"/>
  <c r="G165" i="35"/>
  <c r="B166" i="35"/>
  <c r="C166" i="35"/>
  <c r="D166" i="35"/>
  <c r="E166" i="35"/>
  <c r="F166" i="35"/>
  <c r="G166" i="35"/>
  <c r="B167" i="35"/>
  <c r="C167" i="35"/>
  <c r="D167" i="35"/>
  <c r="E167" i="35"/>
  <c r="F167" i="35"/>
  <c r="G167" i="35"/>
  <c r="B170" i="35"/>
  <c r="C170" i="35"/>
  <c r="D170" i="35"/>
  <c r="E170" i="35"/>
  <c r="F170" i="35"/>
  <c r="G170" i="35"/>
  <c r="B171" i="35"/>
  <c r="C171" i="35"/>
  <c r="D171" i="35"/>
  <c r="E171" i="35"/>
  <c r="F171" i="35"/>
  <c r="G171" i="35"/>
  <c r="B172" i="35"/>
  <c r="C172" i="35"/>
  <c r="D172" i="35"/>
  <c r="E172" i="35"/>
  <c r="F172" i="35"/>
  <c r="G172" i="35"/>
  <c r="B174" i="35"/>
  <c r="C174" i="35"/>
  <c r="D174" i="35"/>
  <c r="E174" i="35"/>
  <c r="F174" i="35"/>
  <c r="G174" i="35"/>
  <c r="B175" i="35"/>
  <c r="C175" i="35"/>
  <c r="D175" i="35"/>
  <c r="E175" i="35"/>
  <c r="F175" i="35"/>
  <c r="G175" i="35"/>
  <c r="B176" i="35"/>
  <c r="C176" i="35"/>
  <c r="D176" i="35"/>
  <c r="E176" i="35"/>
  <c r="F176" i="35"/>
  <c r="G176" i="35"/>
  <c r="B177" i="35"/>
  <c r="C177" i="35"/>
  <c r="D177" i="35"/>
  <c r="E177" i="35"/>
  <c r="F177" i="35"/>
  <c r="G177" i="35"/>
  <c r="B178" i="35"/>
  <c r="C178" i="35"/>
  <c r="D178" i="35"/>
  <c r="E178" i="35"/>
  <c r="F178" i="35"/>
  <c r="G178" i="35"/>
  <c r="B179" i="35"/>
  <c r="C179" i="35"/>
  <c r="D179" i="35"/>
  <c r="E179" i="35"/>
  <c r="F179" i="35"/>
  <c r="G179" i="35"/>
  <c r="B180" i="35"/>
  <c r="C180" i="35"/>
  <c r="D180" i="35"/>
  <c r="E180" i="35"/>
  <c r="F180" i="35"/>
  <c r="G180" i="35"/>
  <c r="B181" i="35"/>
  <c r="C181" i="35"/>
  <c r="D181" i="35"/>
  <c r="E181" i="35"/>
  <c r="F181" i="35"/>
  <c r="G181" i="35"/>
  <c r="D31" i="2"/>
  <c r="D32" i="2"/>
  <c r="D33" i="2"/>
  <c r="D34" i="2"/>
  <c r="D35" i="2"/>
  <c r="D36" i="2"/>
  <c r="D38" i="2"/>
  <c r="D39" i="2"/>
  <c r="D40" i="2"/>
  <c r="D41" i="2"/>
  <c r="D42" i="2"/>
  <c r="D43" i="2"/>
  <c r="D44" i="2"/>
  <c r="D45" i="2"/>
  <c r="D46" i="2"/>
  <c r="D47" i="2"/>
  <c r="D48" i="2"/>
  <c r="D50" i="2"/>
  <c r="D51" i="2"/>
  <c r="D52" i="2"/>
  <c r="D53" i="2"/>
  <c r="D54" i="2"/>
  <c r="D55" i="2"/>
  <c r="D56" i="2"/>
  <c r="D57" i="2"/>
  <c r="C62" i="2"/>
  <c r="F62" i="2"/>
  <c r="G62" i="2"/>
  <c r="J62" i="2"/>
  <c r="K62" i="2"/>
  <c r="C63" i="2"/>
  <c r="F63" i="2"/>
  <c r="G63" i="2"/>
  <c r="J63" i="2"/>
  <c r="K63" i="2"/>
  <c r="C64" i="2"/>
  <c r="F64" i="2"/>
  <c r="G64" i="2"/>
  <c r="J64" i="2"/>
  <c r="K64" i="2"/>
  <c r="C65" i="2"/>
  <c r="F65" i="2"/>
  <c r="G65" i="2"/>
  <c r="J65" i="2"/>
  <c r="K65" i="2"/>
  <c r="C66" i="2"/>
  <c r="F66" i="2"/>
  <c r="G66" i="2"/>
  <c r="J66" i="2"/>
  <c r="K66" i="2"/>
  <c r="C67" i="2"/>
  <c r="F67" i="2"/>
  <c r="G67" i="2"/>
  <c r="J67" i="2"/>
  <c r="K67" i="2"/>
  <c r="C69" i="2"/>
  <c r="F69" i="2"/>
  <c r="G69" i="2"/>
  <c r="J69" i="2"/>
  <c r="K69" i="2"/>
  <c r="C70" i="2"/>
  <c r="F70" i="2"/>
  <c r="G70" i="2"/>
  <c r="J70" i="2"/>
  <c r="K70" i="2"/>
  <c r="C71" i="2"/>
  <c r="F71" i="2"/>
  <c r="G71" i="2"/>
  <c r="J71" i="2"/>
  <c r="K71" i="2"/>
  <c r="C72" i="2"/>
  <c r="F72" i="2"/>
  <c r="G72" i="2"/>
  <c r="J72" i="2"/>
  <c r="K72" i="2"/>
  <c r="C73" i="2"/>
  <c r="F73" i="2"/>
  <c r="G73" i="2"/>
  <c r="J73" i="2"/>
  <c r="K73" i="2"/>
  <c r="C74" i="2"/>
  <c r="F74" i="2"/>
  <c r="G74" i="2"/>
  <c r="J74" i="2"/>
  <c r="K74" i="2"/>
  <c r="C75" i="2"/>
  <c r="F75" i="2"/>
  <c r="G75" i="2"/>
  <c r="J75" i="2"/>
  <c r="K75" i="2"/>
  <c r="C76" i="2"/>
  <c r="F76" i="2"/>
  <c r="G76" i="2"/>
  <c r="J76" i="2"/>
  <c r="K76" i="2"/>
  <c r="C77" i="2"/>
  <c r="F77" i="2"/>
  <c r="G77" i="2"/>
  <c r="J77" i="2"/>
  <c r="K77" i="2"/>
  <c r="C78" i="2"/>
  <c r="F78" i="2"/>
  <c r="G78" i="2"/>
  <c r="J78" i="2"/>
  <c r="K78" i="2"/>
  <c r="C79" i="2"/>
  <c r="F79" i="2"/>
  <c r="G79" i="2"/>
  <c r="J79" i="2"/>
  <c r="K79" i="2"/>
  <c r="C80" i="2"/>
  <c r="F80" i="2"/>
  <c r="G80" i="2"/>
  <c r="J80" i="2"/>
  <c r="K80" i="2"/>
  <c r="C81" i="2"/>
  <c r="F81" i="2"/>
  <c r="G81" i="2"/>
  <c r="J81" i="2"/>
  <c r="K81" i="2"/>
  <c r="C83" i="2"/>
  <c r="F83" i="2"/>
  <c r="G83" i="2"/>
  <c r="J83" i="2"/>
  <c r="K83" i="2"/>
  <c r="C84" i="2"/>
  <c r="F84" i="2"/>
  <c r="G84" i="2"/>
  <c r="J84" i="2"/>
  <c r="K84" i="2"/>
  <c r="C85" i="2"/>
  <c r="F85" i="2"/>
  <c r="G85" i="2"/>
  <c r="J85" i="2"/>
  <c r="K85" i="2"/>
  <c r="C86" i="2"/>
  <c r="F86" i="2"/>
  <c r="G86" i="2"/>
  <c r="J86" i="2"/>
  <c r="K86" i="2"/>
  <c r="C87" i="2"/>
  <c r="F87" i="2"/>
  <c r="G87" i="2"/>
  <c r="J87" i="2"/>
  <c r="K87" i="2"/>
  <c r="C88" i="2"/>
  <c r="F88" i="2"/>
  <c r="G88" i="2"/>
  <c r="J88" i="2"/>
  <c r="K88" i="2"/>
  <c r="C89" i="2"/>
  <c r="F89" i="2"/>
  <c r="G89" i="2"/>
  <c r="J89" i="2"/>
  <c r="K89" i="2"/>
  <c r="C90" i="2"/>
  <c r="F90" i="2"/>
  <c r="G90" i="2"/>
  <c r="J90" i="2"/>
  <c r="K90" i="2"/>
  <c r="B54" i="22" a="1"/>
  <c r="B54" i="22"/>
  <c r="E54" i="22" a="1"/>
  <c r="E54" i="22"/>
  <c r="H54" i="22" a="1"/>
  <c r="H54" i="22"/>
  <c r="K54" i="22" a="1"/>
  <c r="K54" i="22"/>
  <c r="N54" i="22" a="1"/>
  <c r="N54" i="22"/>
  <c r="Q54" i="22" a="1"/>
  <c r="Q54" i="22"/>
  <c r="T54" i="22" a="1"/>
  <c r="T54" i="22"/>
  <c r="W54" i="22" a="1"/>
  <c r="W54" i="22"/>
  <c r="B55" i="22" a="1"/>
  <c r="B55" i="22"/>
  <c r="E55" i="22" a="1"/>
  <c r="E55" i="22"/>
  <c r="H55" i="22" a="1"/>
  <c r="H55" i="22"/>
  <c r="K55" i="22" a="1"/>
  <c r="K55" i="22"/>
  <c r="N55" i="22" a="1"/>
  <c r="N55" i="22"/>
  <c r="Q55" i="22" a="1"/>
  <c r="Q55" i="22"/>
  <c r="T55" i="22" a="1"/>
  <c r="T55" i="22"/>
  <c r="W55" i="22" a="1"/>
  <c r="W55" i="22"/>
  <c r="B56" i="22" a="1"/>
  <c r="B56" i="22"/>
  <c r="E56" i="22" a="1"/>
  <c r="E56" i="22"/>
  <c r="H56" i="22" a="1"/>
  <c r="H56" i="22"/>
  <c r="K56" i="22" a="1"/>
  <c r="K56" i="22"/>
  <c r="N56" i="22" a="1"/>
  <c r="N56" i="22"/>
  <c r="Q56" i="22" a="1"/>
  <c r="Q56" i="22"/>
  <c r="T56" i="22" a="1"/>
  <c r="T56" i="22"/>
  <c r="W56" i="22" a="1"/>
  <c r="W56" i="22"/>
  <c r="B57" i="22"/>
  <c r="E57" i="22"/>
  <c r="H57" i="22"/>
  <c r="K57" i="22"/>
  <c r="N57" i="22"/>
  <c r="Q57" i="22"/>
  <c r="T57" i="22"/>
  <c r="W57" i="22"/>
  <c r="B58" i="22" a="1"/>
  <c r="B58" i="22"/>
  <c r="E58" i="22" a="1"/>
  <c r="E58" i="22"/>
  <c r="H58" i="22" a="1"/>
  <c r="H58" i="22"/>
  <c r="K58" i="22" a="1"/>
  <c r="K58" i="22"/>
  <c r="N58" i="22" a="1"/>
  <c r="N58" i="22"/>
  <c r="Q58" i="22" a="1"/>
  <c r="Q58" i="22"/>
  <c r="T58" i="22" a="1"/>
  <c r="T58" i="22"/>
  <c r="W58" i="22" a="1"/>
  <c r="W58" i="22"/>
  <c r="B59" i="22" a="1"/>
  <c r="B59" i="22"/>
  <c r="E59" i="22" a="1"/>
  <c r="E59" i="22"/>
  <c r="H59" i="22" a="1"/>
  <c r="H59" i="22"/>
  <c r="K59" i="22" a="1"/>
  <c r="K59" i="22"/>
  <c r="N59" i="22" a="1"/>
  <c r="N59" i="22"/>
  <c r="Q59" i="22" a="1"/>
  <c r="Q59" i="22"/>
  <c r="T59" i="22" a="1"/>
  <c r="T59" i="22"/>
  <c r="W59" i="22" a="1"/>
  <c r="W59" i="22"/>
  <c r="B61" i="22" a="1"/>
  <c r="B61" i="22"/>
  <c r="E61" i="22" a="1"/>
  <c r="E61" i="22"/>
  <c r="H61" i="22" a="1"/>
  <c r="H61" i="22"/>
  <c r="K61" i="22" a="1"/>
  <c r="K61" i="22"/>
  <c r="N61" i="22" a="1"/>
  <c r="N61" i="22"/>
  <c r="Q61" i="22" a="1"/>
  <c r="Q61" i="22"/>
  <c r="T61" i="22" a="1"/>
  <c r="T61" i="22"/>
  <c r="W61" i="22" a="1"/>
  <c r="W61" i="22"/>
  <c r="B62" i="22" a="1"/>
  <c r="B62" i="22"/>
  <c r="E62" i="22" a="1"/>
  <c r="E62" i="22"/>
  <c r="H62" i="22" a="1"/>
  <c r="H62" i="22"/>
  <c r="K62" i="22" a="1"/>
  <c r="K62" i="22"/>
  <c r="N62" i="22" a="1"/>
  <c r="N62" i="22"/>
  <c r="Q62" i="22" a="1"/>
  <c r="Q62" i="22"/>
  <c r="T62" i="22" a="1"/>
  <c r="T62" i="22"/>
  <c r="W62" i="22" a="1"/>
  <c r="W62" i="22"/>
  <c r="B63" i="22" a="1"/>
  <c r="B63" i="22"/>
  <c r="E63" i="22" a="1"/>
  <c r="E63" i="22"/>
  <c r="H63" i="22" a="1"/>
  <c r="H63" i="22"/>
  <c r="K63" i="22" a="1"/>
  <c r="K63" i="22"/>
  <c r="N63" i="22" a="1"/>
  <c r="N63" i="22"/>
  <c r="Q63" i="22" a="1"/>
  <c r="Q63" i="22"/>
  <c r="T63" i="22" a="1"/>
  <c r="T63" i="22"/>
  <c r="W63" i="22" a="1"/>
  <c r="W63" i="22"/>
  <c r="B64" i="22" a="1"/>
  <c r="B64" i="22"/>
  <c r="E64" i="22" a="1"/>
  <c r="E64" i="22"/>
  <c r="H64" i="22" a="1"/>
  <c r="H64" i="22"/>
  <c r="K64" i="22" a="1"/>
  <c r="K64" i="22"/>
  <c r="N64" i="22" a="1"/>
  <c r="N64" i="22"/>
  <c r="Q64" i="22" a="1"/>
  <c r="Q64" i="22"/>
  <c r="T64" i="22" a="1"/>
  <c r="T64" i="22"/>
  <c r="W64" i="22" a="1"/>
  <c r="W64" i="22"/>
  <c r="B65" i="22" a="1"/>
  <c r="B65" i="22"/>
  <c r="E65" i="22" a="1"/>
  <c r="E65" i="22"/>
  <c r="H65" i="22" a="1"/>
  <c r="H65" i="22"/>
  <c r="K65" i="22" a="1"/>
  <c r="K65" i="22"/>
  <c r="N65" i="22" a="1"/>
  <c r="N65" i="22"/>
  <c r="Q65" i="22" a="1"/>
  <c r="Q65" i="22"/>
  <c r="T65" i="22" a="1"/>
  <c r="T65" i="22"/>
  <c r="W65" i="22" a="1"/>
  <c r="W65" i="22"/>
  <c r="B66" i="22" a="1"/>
  <c r="B66" i="22"/>
  <c r="E66" i="22" a="1"/>
  <c r="E66" i="22"/>
  <c r="H66" i="22" a="1"/>
  <c r="H66" i="22"/>
  <c r="K66" i="22" a="1"/>
  <c r="K66" i="22"/>
  <c r="N66" i="22" a="1"/>
  <c r="N66" i="22"/>
  <c r="Q66" i="22" a="1"/>
  <c r="Q66" i="22"/>
  <c r="T66" i="22" a="1"/>
  <c r="T66" i="22"/>
  <c r="W66" i="22" a="1"/>
  <c r="W66" i="22"/>
  <c r="B67" i="22" a="1"/>
  <c r="B67" i="22"/>
  <c r="E67" i="22" a="1"/>
  <c r="E67" i="22"/>
  <c r="H67" i="22" a="1"/>
  <c r="H67" i="22"/>
  <c r="K67" i="22" a="1"/>
  <c r="K67" i="22"/>
  <c r="N67" i="22" a="1"/>
  <c r="N67" i="22"/>
  <c r="Q67" i="22" a="1"/>
  <c r="Q67" i="22"/>
  <c r="T67" i="22" a="1"/>
  <c r="T67" i="22"/>
  <c r="W67" i="22" a="1"/>
  <c r="W67" i="22"/>
  <c r="B68" i="22" a="1"/>
  <c r="B68" i="22"/>
  <c r="E68" i="22" a="1"/>
  <c r="E68" i="22"/>
  <c r="H68" i="22" a="1"/>
  <c r="H68" i="22"/>
  <c r="K68" i="22" a="1"/>
  <c r="K68" i="22"/>
  <c r="N68" i="22" a="1"/>
  <c r="N68" i="22"/>
  <c r="Q68" i="22" a="1"/>
  <c r="Q68" i="22"/>
  <c r="T68" i="22" a="1"/>
  <c r="T68" i="22"/>
  <c r="W68" i="22" a="1"/>
  <c r="W68" i="22"/>
  <c r="B69" i="22" a="1"/>
  <c r="B69" i="22"/>
  <c r="E69" i="22" a="1"/>
  <c r="E69" i="22"/>
  <c r="H69" i="22" a="1"/>
  <c r="H69" i="22"/>
  <c r="K69" i="22" a="1"/>
  <c r="K69" i="22"/>
  <c r="N69" i="22" a="1"/>
  <c r="N69" i="22"/>
  <c r="Q69" i="22" a="1"/>
  <c r="Q69" i="22"/>
  <c r="T69" i="22" a="1"/>
  <c r="T69" i="22"/>
  <c r="W69" i="22" a="1"/>
  <c r="W69" i="22"/>
  <c r="B70" i="22" a="1"/>
  <c r="B70" i="22"/>
  <c r="E70" i="22" a="1"/>
  <c r="E70" i="22"/>
  <c r="H70" i="22" a="1"/>
  <c r="H70" i="22"/>
  <c r="K70" i="22" a="1"/>
  <c r="K70" i="22"/>
  <c r="N70" i="22" a="1"/>
  <c r="N70" i="22"/>
  <c r="Q70" i="22" a="1"/>
  <c r="Q70" i="22"/>
  <c r="T70" i="22" a="1"/>
  <c r="T70" i="22"/>
  <c r="W70" i="22" a="1"/>
  <c r="W70" i="22"/>
  <c r="B71" i="22" a="1"/>
  <c r="B71" i="22"/>
  <c r="E71" i="22" a="1"/>
  <c r="E71" i="22"/>
  <c r="H71" i="22" a="1"/>
  <c r="H71" i="22"/>
  <c r="K71" i="22" a="1"/>
  <c r="K71" i="22"/>
  <c r="N71" i="22" a="1"/>
  <c r="N71" i="22"/>
  <c r="Q71" i="22" a="1"/>
  <c r="Q71" i="22"/>
  <c r="T71" i="22" a="1"/>
  <c r="T71" i="22"/>
  <c r="W71" i="22" a="1"/>
  <c r="W71" i="22"/>
  <c r="B73" i="22" a="1"/>
  <c r="B73" i="22"/>
  <c r="E73" i="22" a="1"/>
  <c r="E73" i="22"/>
  <c r="H73" i="22" a="1"/>
  <c r="H73" i="22"/>
  <c r="K73" i="22" a="1"/>
  <c r="K73" i="22"/>
  <c r="N73" i="22" a="1"/>
  <c r="N73" i="22"/>
  <c r="Q73" i="22" a="1"/>
  <c r="Q73" i="22"/>
  <c r="T73" i="22" a="1"/>
  <c r="T73" i="22"/>
  <c r="W73" i="22" a="1"/>
  <c r="W73" i="22"/>
  <c r="B74" i="22" a="1"/>
  <c r="B74" i="22"/>
  <c r="E74" i="22" a="1"/>
  <c r="E74" i="22"/>
  <c r="H74" i="22" a="1"/>
  <c r="H74" i="22"/>
  <c r="K74" i="22" a="1"/>
  <c r="K74" i="22"/>
  <c r="N74" i="22" a="1"/>
  <c r="N74" i="22"/>
  <c r="Q74" i="22" a="1"/>
  <c r="Q74" i="22"/>
  <c r="T74" i="22" a="1"/>
  <c r="T74" i="22"/>
  <c r="W74" i="22" a="1"/>
  <c r="W74" i="22"/>
  <c r="B75" i="22" a="1"/>
  <c r="B75" i="22"/>
  <c r="E75" i="22" a="1"/>
  <c r="E75" i="22"/>
  <c r="H75" i="22" a="1"/>
  <c r="H75" i="22"/>
  <c r="K75" i="22" a="1"/>
  <c r="K75" i="22"/>
  <c r="N75" i="22" a="1"/>
  <c r="N75" i="22"/>
  <c r="Q75" i="22" a="1"/>
  <c r="Q75" i="22"/>
  <c r="T75" i="22" a="1"/>
  <c r="T75" i="22"/>
  <c r="W75" i="22" a="1"/>
  <c r="W75" i="22"/>
  <c r="B76" i="22" a="1"/>
  <c r="B76" i="22"/>
  <c r="E76" i="22" a="1"/>
  <c r="E76" i="22"/>
  <c r="H76" i="22" a="1"/>
  <c r="H76" i="22"/>
  <c r="K76" i="22" a="1"/>
  <c r="K76" i="22"/>
  <c r="N76" i="22" a="1"/>
  <c r="N76" i="22"/>
  <c r="Q76" i="22" a="1"/>
  <c r="Q76" i="22"/>
  <c r="T76" i="22" a="1"/>
  <c r="T76" i="22"/>
  <c r="W76" i="22" a="1"/>
  <c r="W76" i="22"/>
  <c r="B77" i="22" a="1"/>
  <c r="B77" i="22"/>
  <c r="E77" i="22" a="1"/>
  <c r="E77" i="22"/>
  <c r="H77" i="22" a="1"/>
  <c r="H77" i="22"/>
  <c r="K77" i="22" a="1"/>
  <c r="K77" i="22"/>
  <c r="N77" i="22" a="1"/>
  <c r="N77" i="22"/>
  <c r="Q77" i="22" a="1"/>
  <c r="Q77" i="22"/>
  <c r="T77" i="22" a="1"/>
  <c r="T77" i="22"/>
  <c r="W77" i="22" a="1"/>
  <c r="W77" i="22"/>
  <c r="B78" i="22" a="1"/>
  <c r="B78" i="22"/>
  <c r="E78" i="22" a="1"/>
  <c r="E78" i="22"/>
  <c r="H78" i="22" a="1"/>
  <c r="H78" i="22"/>
  <c r="K78" i="22" a="1"/>
  <c r="K78" i="22"/>
  <c r="N78" i="22" a="1"/>
  <c r="N78" i="22"/>
  <c r="Q78" i="22" a="1"/>
  <c r="Q78" i="22"/>
  <c r="T78" i="22" a="1"/>
  <c r="T78" i="22"/>
  <c r="W78" i="22" a="1"/>
  <c r="W78" i="22"/>
  <c r="B79" i="22" a="1"/>
  <c r="B79" i="22"/>
  <c r="E79" i="22" a="1"/>
  <c r="E79" i="22"/>
  <c r="H79" i="22" a="1"/>
  <c r="H79" i="22"/>
  <c r="K79" i="22" a="1"/>
  <c r="K79" i="22"/>
  <c r="N79" i="22" a="1"/>
  <c r="N79" i="22"/>
  <c r="Q79" i="22" a="1"/>
  <c r="Q79" i="22"/>
  <c r="T79" i="22" a="1"/>
  <c r="T79" i="22"/>
  <c r="W79" i="22" a="1"/>
  <c r="W79" i="22"/>
  <c r="B80" i="22" a="1"/>
  <c r="B80" i="22"/>
  <c r="E80" i="22" a="1"/>
  <c r="E80" i="22"/>
  <c r="H80" i="22" a="1"/>
  <c r="H80" i="22"/>
  <c r="K80" i="22" a="1"/>
  <c r="K80" i="22"/>
  <c r="N80" i="22" a="1"/>
  <c r="N80" i="22"/>
  <c r="Q80" i="22" a="1"/>
  <c r="Q80" i="22"/>
  <c r="T80" i="22" a="1"/>
  <c r="T80" i="22"/>
  <c r="W80" i="22" a="1"/>
  <c r="W80" i="22"/>
  <c r="B86" i="22"/>
  <c r="C86" i="22"/>
  <c r="D86" i="22"/>
  <c r="E86" i="22"/>
  <c r="F86" i="22"/>
  <c r="G86" i="22"/>
  <c r="H86" i="22"/>
  <c r="I86" i="22"/>
  <c r="J86" i="22"/>
  <c r="K86" i="22"/>
  <c r="L86" i="22"/>
  <c r="M86" i="22"/>
  <c r="N86" i="22"/>
  <c r="O86" i="22"/>
  <c r="P86" i="22"/>
  <c r="B87" i="22"/>
  <c r="C87" i="22"/>
  <c r="D87" i="22"/>
  <c r="E87" i="22"/>
  <c r="F87" i="22"/>
  <c r="G87" i="22"/>
  <c r="H87" i="22"/>
  <c r="I87" i="22"/>
  <c r="J87" i="22"/>
  <c r="K87" i="22"/>
  <c r="L87" i="22"/>
  <c r="M87" i="22"/>
  <c r="N87" i="22"/>
  <c r="O87" i="22"/>
  <c r="P87" i="22"/>
  <c r="B88" i="22"/>
  <c r="C88" i="22"/>
  <c r="D88" i="22"/>
  <c r="E88" i="22"/>
  <c r="F88" i="22"/>
  <c r="G88" i="22"/>
  <c r="H88" i="22"/>
  <c r="I88" i="22"/>
  <c r="J88" i="22"/>
  <c r="K88" i="22"/>
  <c r="L88" i="22"/>
  <c r="M88" i="22"/>
  <c r="N88" i="22"/>
  <c r="O88" i="22"/>
  <c r="P88" i="22"/>
  <c r="B89" i="22"/>
  <c r="C89" i="22"/>
  <c r="D89" i="22"/>
  <c r="E89" i="22"/>
  <c r="F89" i="22"/>
  <c r="G89" i="22"/>
  <c r="H89" i="22"/>
  <c r="I89" i="22"/>
  <c r="J89" i="22"/>
  <c r="K89" i="22"/>
  <c r="L89" i="22"/>
  <c r="M89" i="22"/>
  <c r="N89" i="22"/>
  <c r="O89" i="22"/>
  <c r="P89" i="22"/>
  <c r="B90" i="22"/>
  <c r="C90" i="22"/>
  <c r="D90" i="22"/>
  <c r="E90" i="22"/>
  <c r="F90" i="22"/>
  <c r="G90" i="22"/>
  <c r="H90" i="22"/>
  <c r="I90" i="22"/>
  <c r="J90" i="22"/>
  <c r="K90" i="22"/>
  <c r="L90" i="22"/>
  <c r="M90" i="22"/>
  <c r="N90" i="22"/>
  <c r="O90" i="22"/>
  <c r="P90" i="22"/>
  <c r="B91" i="22"/>
  <c r="C91" i="22"/>
  <c r="D91" i="22"/>
  <c r="E91" i="22"/>
  <c r="F91" i="22"/>
  <c r="G91" i="22"/>
  <c r="H91" i="22"/>
  <c r="I91" i="22"/>
  <c r="J91" i="22"/>
  <c r="K91" i="22"/>
  <c r="L91" i="22"/>
  <c r="M91" i="22"/>
  <c r="N91" i="22"/>
  <c r="O91" i="22"/>
  <c r="P91" i="22"/>
  <c r="B93" i="22"/>
  <c r="C93" i="22"/>
  <c r="D93" i="22"/>
  <c r="E93" i="22"/>
  <c r="F93" i="22"/>
  <c r="G93" i="22"/>
  <c r="H93" i="22"/>
  <c r="I93" i="22"/>
  <c r="J93" i="22"/>
  <c r="K93" i="22"/>
  <c r="L93" i="22"/>
  <c r="M93" i="22"/>
  <c r="N93" i="22"/>
  <c r="O93" i="22"/>
  <c r="P93" i="22"/>
  <c r="B94" i="22"/>
  <c r="C94" i="22"/>
  <c r="D94" i="22"/>
  <c r="E94" i="22"/>
  <c r="F94" i="22"/>
  <c r="G94" i="22"/>
  <c r="H94" i="22"/>
  <c r="I94" i="22"/>
  <c r="J94" i="22"/>
  <c r="K94" i="22"/>
  <c r="L94" i="22"/>
  <c r="M94" i="22"/>
  <c r="N94" i="22"/>
  <c r="O94" i="22"/>
  <c r="P94" i="22"/>
  <c r="B95" i="22"/>
  <c r="C95" i="22"/>
  <c r="D95" i="22"/>
  <c r="E95" i="22"/>
  <c r="F95" i="22"/>
  <c r="G95" i="22"/>
  <c r="H95" i="22"/>
  <c r="I95" i="22"/>
  <c r="J95" i="22"/>
  <c r="K95" i="22"/>
  <c r="L95" i="22"/>
  <c r="M95" i="22"/>
  <c r="N95" i="22"/>
  <c r="O95" i="22"/>
  <c r="P95" i="22"/>
  <c r="B96" i="22"/>
  <c r="C96" i="22"/>
  <c r="D96" i="22"/>
  <c r="E96" i="22"/>
  <c r="F96" i="22"/>
  <c r="G96" i="22"/>
  <c r="H96" i="22"/>
  <c r="I96" i="22"/>
  <c r="J96" i="22"/>
  <c r="K96" i="22"/>
  <c r="L96" i="22"/>
  <c r="M96" i="22"/>
  <c r="N96" i="22"/>
  <c r="O96" i="22"/>
  <c r="P96" i="22"/>
  <c r="B97" i="22"/>
  <c r="C97" i="22"/>
  <c r="D97" i="22"/>
  <c r="E97" i="22"/>
  <c r="F97" i="22"/>
  <c r="G97" i="22"/>
  <c r="H97" i="22"/>
  <c r="I97" i="22"/>
  <c r="J97" i="22"/>
  <c r="K97" i="22"/>
  <c r="L97" i="22"/>
  <c r="M97" i="22"/>
  <c r="N97" i="22"/>
  <c r="O97" i="22"/>
  <c r="P97" i="22"/>
  <c r="B98" i="22"/>
  <c r="C98" i="22"/>
  <c r="D98" i="22"/>
  <c r="E98" i="22"/>
  <c r="F98" i="22"/>
  <c r="G98" i="22"/>
  <c r="H98" i="22"/>
  <c r="I98" i="22"/>
  <c r="J98" i="22"/>
  <c r="K98" i="22"/>
  <c r="L98" i="22"/>
  <c r="M98" i="22"/>
  <c r="N98" i="22"/>
  <c r="O98" i="22"/>
  <c r="P98" i="22"/>
  <c r="B99" i="22"/>
  <c r="C99" i="22"/>
  <c r="D99" i="22"/>
  <c r="E99" i="22"/>
  <c r="F99" i="22"/>
  <c r="G99" i="22"/>
  <c r="H99" i="22"/>
  <c r="I99" i="22"/>
  <c r="J99" i="22"/>
  <c r="K99" i="22"/>
  <c r="L99" i="22"/>
  <c r="M99" i="22"/>
  <c r="N99" i="22"/>
  <c r="O99" i="22"/>
  <c r="P99" i="22"/>
  <c r="B100" i="22"/>
  <c r="C100" i="22"/>
  <c r="D100" i="22"/>
  <c r="E100" i="22"/>
  <c r="F100" i="22"/>
  <c r="G100" i="22"/>
  <c r="H100" i="22"/>
  <c r="I100" i="22"/>
  <c r="J100" i="22"/>
  <c r="K100" i="22"/>
  <c r="L100" i="22"/>
  <c r="M100" i="22"/>
  <c r="N100" i="22"/>
  <c r="O100" i="22"/>
  <c r="P100" i="22"/>
  <c r="B101" i="22"/>
  <c r="C101" i="22"/>
  <c r="D101" i="22"/>
  <c r="E101" i="22"/>
  <c r="F101" i="22"/>
  <c r="G101" i="22"/>
  <c r="H101" i="22"/>
  <c r="I101" i="22"/>
  <c r="J101" i="22"/>
  <c r="K101" i="22"/>
  <c r="L101" i="22"/>
  <c r="M101" i="22"/>
  <c r="N101" i="22"/>
  <c r="O101" i="22"/>
  <c r="P101" i="22"/>
  <c r="B102" i="22"/>
  <c r="C102" i="22"/>
  <c r="D102" i="22"/>
  <c r="E102" i="22"/>
  <c r="F102" i="22"/>
  <c r="G102" i="22"/>
  <c r="H102" i="22"/>
  <c r="I102" i="22"/>
  <c r="J102" i="22"/>
  <c r="K102" i="22"/>
  <c r="L102" i="22"/>
  <c r="M102" i="22"/>
  <c r="N102" i="22"/>
  <c r="O102" i="22"/>
  <c r="P102" i="22"/>
  <c r="B103" i="22"/>
  <c r="C103" i="22"/>
  <c r="D103" i="22"/>
  <c r="E103" i="22"/>
  <c r="F103" i="22"/>
  <c r="G103" i="22"/>
  <c r="H103" i="22"/>
  <c r="I103" i="22"/>
  <c r="J103" i="22"/>
  <c r="K103" i="22"/>
  <c r="L103" i="22"/>
  <c r="M103" i="22"/>
  <c r="N103" i="22"/>
  <c r="O103" i="22"/>
  <c r="P103" i="22"/>
  <c r="B104" i="22"/>
  <c r="C104" i="22"/>
  <c r="D104" i="22"/>
  <c r="E104" i="22"/>
  <c r="F104" i="22"/>
  <c r="G104" i="22"/>
  <c r="H104" i="22"/>
  <c r="I104" i="22"/>
  <c r="J104" i="22"/>
  <c r="K104" i="22"/>
  <c r="L104" i="22"/>
  <c r="M104" i="22"/>
  <c r="N104" i="22"/>
  <c r="O104" i="22"/>
  <c r="P104" i="22"/>
  <c r="B105" i="22"/>
  <c r="C105" i="22"/>
  <c r="D105" i="22"/>
  <c r="E105" i="22"/>
  <c r="F105" i="22"/>
  <c r="G105" i="22"/>
  <c r="H105" i="22"/>
  <c r="I105" i="22"/>
  <c r="J105" i="22"/>
  <c r="K105" i="22"/>
  <c r="L105" i="22"/>
  <c r="M105" i="22"/>
  <c r="N105" i="22"/>
  <c r="O105" i="22"/>
  <c r="P105" i="22"/>
  <c r="B107" i="22"/>
  <c r="C107" i="22"/>
  <c r="D107" i="22"/>
  <c r="E107" i="22"/>
  <c r="F107" i="22"/>
  <c r="G107" i="22"/>
  <c r="H107" i="22"/>
  <c r="I107" i="22"/>
  <c r="J107" i="22"/>
  <c r="K107" i="22"/>
  <c r="L107" i="22"/>
  <c r="M107" i="22"/>
  <c r="N107" i="22"/>
  <c r="O107" i="22"/>
  <c r="P107" i="22"/>
  <c r="B108" i="22"/>
  <c r="C108" i="22"/>
  <c r="D108" i="22"/>
  <c r="E108" i="22"/>
  <c r="F108" i="22"/>
  <c r="G108" i="22"/>
  <c r="H108" i="22"/>
  <c r="I108" i="22"/>
  <c r="J108" i="22"/>
  <c r="K108" i="22"/>
  <c r="L108" i="22"/>
  <c r="M108" i="22"/>
  <c r="N108" i="22"/>
  <c r="O108" i="22"/>
  <c r="P108" i="22"/>
  <c r="B109" i="22"/>
  <c r="C109" i="22"/>
  <c r="D109" i="22"/>
  <c r="E109" i="22"/>
  <c r="F109" i="22"/>
  <c r="G109" i="22"/>
  <c r="H109" i="22"/>
  <c r="I109" i="22"/>
  <c r="J109" i="22"/>
  <c r="K109" i="22"/>
  <c r="L109" i="22"/>
  <c r="M109" i="22"/>
  <c r="N109" i="22"/>
  <c r="O109" i="22"/>
  <c r="P109" i="22"/>
  <c r="B110" i="22"/>
  <c r="C110" i="22"/>
  <c r="D110" i="22"/>
  <c r="E110" i="22"/>
  <c r="F110" i="22"/>
  <c r="G110" i="22"/>
  <c r="H110" i="22"/>
  <c r="I110" i="22"/>
  <c r="J110" i="22"/>
  <c r="K110" i="22"/>
  <c r="L110" i="22"/>
  <c r="M110" i="22"/>
  <c r="N110" i="22"/>
  <c r="O110" i="22"/>
  <c r="P110" i="22"/>
  <c r="B111" i="22"/>
  <c r="C111" i="22"/>
  <c r="D111" i="22"/>
  <c r="E111" i="22"/>
  <c r="F111" i="22"/>
  <c r="G111" i="22"/>
  <c r="H111" i="22"/>
  <c r="I111" i="22"/>
  <c r="J111" i="22"/>
  <c r="K111" i="22"/>
  <c r="L111" i="22"/>
  <c r="M111" i="22"/>
  <c r="N111" i="22"/>
  <c r="O111" i="22"/>
  <c r="P111" i="22"/>
  <c r="B112" i="22"/>
  <c r="C112" i="22"/>
  <c r="D112" i="22"/>
  <c r="E112" i="22"/>
  <c r="F112" i="22"/>
  <c r="G112" i="22"/>
  <c r="H112" i="22"/>
  <c r="I112" i="22"/>
  <c r="J112" i="22"/>
  <c r="K112" i="22"/>
  <c r="L112" i="22"/>
  <c r="M112" i="22"/>
  <c r="N112" i="22"/>
  <c r="O112" i="22"/>
  <c r="P112" i="22"/>
  <c r="B113" i="22"/>
  <c r="C113" i="22"/>
  <c r="D113" i="22"/>
  <c r="E113" i="22"/>
  <c r="F113" i="22"/>
  <c r="G113" i="22"/>
  <c r="H113" i="22"/>
  <c r="I113" i="22"/>
  <c r="J113" i="22"/>
  <c r="K113" i="22"/>
  <c r="L113" i="22"/>
  <c r="M113" i="22"/>
  <c r="N113" i="22"/>
  <c r="O113" i="22"/>
  <c r="P113" i="22"/>
  <c r="B114" i="22"/>
  <c r="C114" i="22"/>
  <c r="D114" i="22"/>
  <c r="E114" i="22"/>
  <c r="F114" i="22"/>
  <c r="G114" i="22"/>
  <c r="H114" i="22"/>
  <c r="I114" i="22"/>
  <c r="J114" i="22"/>
  <c r="K114" i="22"/>
  <c r="L114" i="22"/>
  <c r="M114" i="22"/>
  <c r="N114" i="22"/>
  <c r="O114" i="22"/>
  <c r="P114" i="22"/>
  <c r="B119" i="22"/>
  <c r="J119" i="22"/>
  <c r="K119" i="22"/>
  <c r="B120" i="22"/>
  <c r="J120" i="22"/>
  <c r="K120" i="22"/>
  <c r="B121" i="22"/>
  <c r="J121" i="22"/>
  <c r="K121" i="22"/>
  <c r="B122" i="22"/>
  <c r="J122" i="22"/>
  <c r="K122" i="22"/>
  <c r="B123" i="22"/>
  <c r="J123" i="22"/>
  <c r="K123" i="22"/>
  <c r="B124" i="22"/>
  <c r="J124" i="22"/>
  <c r="K124" i="22"/>
  <c r="B126" i="22"/>
  <c r="J126" i="22"/>
  <c r="K126" i="22"/>
  <c r="B127" i="22"/>
  <c r="J127" i="22"/>
  <c r="K127" i="22"/>
  <c r="B128" i="22"/>
  <c r="J128" i="22"/>
  <c r="K128" i="22"/>
  <c r="B129" i="22"/>
  <c r="J129" i="22"/>
  <c r="K129" i="22"/>
  <c r="B130" i="22"/>
  <c r="J130" i="22"/>
  <c r="K130" i="22"/>
  <c r="B131" i="22"/>
  <c r="J131" i="22"/>
  <c r="K131" i="22"/>
  <c r="B132" i="22"/>
  <c r="J132" i="22"/>
  <c r="K132" i="22"/>
  <c r="B133" i="22"/>
  <c r="J133" i="22"/>
  <c r="K133" i="22"/>
  <c r="B134" i="22"/>
  <c r="J134" i="22"/>
  <c r="K134" i="22"/>
  <c r="B135" i="22"/>
  <c r="J135" i="22"/>
  <c r="K135" i="22"/>
  <c r="B136" i="22"/>
  <c r="J136" i="22"/>
  <c r="K136" i="22"/>
  <c r="B138" i="22"/>
  <c r="J138" i="22"/>
  <c r="K138" i="22"/>
  <c r="B139" i="22"/>
  <c r="J139" i="22"/>
  <c r="K139" i="22"/>
  <c r="B140" i="22"/>
  <c r="J140" i="22"/>
  <c r="K140" i="22"/>
  <c r="B141" i="22"/>
  <c r="J141" i="22"/>
  <c r="K141" i="22"/>
  <c r="B142" i="22"/>
  <c r="J142" i="22"/>
  <c r="K142" i="22"/>
  <c r="B143" i="22"/>
  <c r="J143" i="22"/>
  <c r="K143" i="22"/>
  <c r="B144" i="22"/>
  <c r="J144" i="22"/>
  <c r="K144" i="22"/>
  <c r="B145" i="22"/>
  <c r="J145" i="22"/>
  <c r="K145" i="22"/>
  <c r="F139" i="79"/>
  <c r="F140" i="79"/>
  <c r="F141" i="79"/>
  <c r="F142" i="79"/>
  <c r="F143" i="79"/>
  <c r="F144" i="79"/>
  <c r="F145" i="79"/>
  <c r="F146" i="79"/>
  <c r="F147" i="79"/>
  <c r="F148" i="79"/>
  <c r="F149" i="79"/>
  <c r="F150" i="79"/>
  <c r="F151" i="79"/>
  <c r="F152" i="79"/>
  <c r="F153" i="79"/>
  <c r="F154" i="79"/>
  <c r="F155" i="79"/>
  <c r="F156" i="79"/>
  <c r="F157" i="79"/>
  <c r="F158" i="79"/>
  <c r="F159" i="79"/>
  <c r="F160" i="79"/>
  <c r="F161" i="79"/>
  <c r="F162" i="79"/>
  <c r="F163" i="79"/>
  <c r="F164" i="79"/>
  <c r="F165" i="79"/>
  <c r="B556" i="78"/>
  <c r="C556" i="78"/>
  <c r="E556" i="78"/>
  <c r="N556" i="78"/>
  <c r="U556" i="78"/>
  <c r="W556" i="78"/>
  <c r="X556" i="78"/>
  <c r="Y556" i="78"/>
  <c r="AB556" i="78"/>
  <c r="AC556" i="78"/>
  <c r="AE556" i="78"/>
  <c r="AF556" i="78"/>
  <c r="AL556" i="78"/>
  <c r="AO556" i="78"/>
  <c r="AP556" i="78"/>
  <c r="AS556" i="78"/>
  <c r="AT556" i="78"/>
  <c r="B557" i="78"/>
  <c r="C557" i="78"/>
  <c r="E557" i="78"/>
  <c r="N557" i="78"/>
  <c r="U557" i="78"/>
  <c r="W557" i="78"/>
  <c r="X557" i="78"/>
  <c r="Y557" i="78"/>
  <c r="AB557" i="78"/>
  <c r="AC557" i="78"/>
  <c r="AE557" i="78"/>
  <c r="AF557" i="78"/>
  <c r="AL557" i="78"/>
  <c r="AO557" i="78"/>
  <c r="AP557" i="78"/>
  <c r="AS557" i="78"/>
  <c r="AT557" i="78"/>
  <c r="B558" i="78"/>
  <c r="C558" i="78"/>
  <c r="E558" i="78"/>
  <c r="N558" i="78"/>
  <c r="U558" i="78"/>
  <c r="W558" i="78"/>
  <c r="X558" i="78"/>
  <c r="Y558" i="78"/>
  <c r="AB558" i="78"/>
  <c r="AC558" i="78"/>
  <c r="AE558" i="78"/>
  <c r="AF558" i="78"/>
  <c r="AL558" i="78"/>
  <c r="AO558" i="78"/>
  <c r="AP558" i="78"/>
  <c r="AS558" i="78"/>
  <c r="AT558" i="78"/>
  <c r="B559" i="78"/>
  <c r="C559" i="78"/>
  <c r="E559" i="78"/>
  <c r="N559" i="78"/>
  <c r="U559" i="78"/>
  <c r="W559" i="78"/>
  <c r="X559" i="78"/>
  <c r="Y559" i="78"/>
  <c r="AB559" i="78"/>
  <c r="AC559" i="78"/>
  <c r="AE559" i="78"/>
  <c r="AF559" i="78"/>
  <c r="AL559" i="78"/>
  <c r="AO559" i="78"/>
  <c r="AP559" i="78"/>
  <c r="AS559" i="78"/>
  <c r="AT559" i="78"/>
  <c r="B560" i="78"/>
  <c r="C560" i="78"/>
  <c r="E560" i="78"/>
  <c r="N560" i="78"/>
  <c r="U560" i="78"/>
  <c r="W560" i="78"/>
  <c r="X560" i="78"/>
  <c r="Y560" i="78"/>
  <c r="AB560" i="78"/>
  <c r="AC560" i="78"/>
  <c r="AE560" i="78"/>
  <c r="AF560" i="78"/>
  <c r="AL560" i="78"/>
  <c r="AO560" i="78"/>
  <c r="AP560" i="78"/>
  <c r="AS560" i="78"/>
  <c r="AT560" i="78"/>
  <c r="B561" i="78"/>
  <c r="C561" i="78"/>
  <c r="E561" i="78"/>
  <c r="N561" i="78"/>
  <c r="U561" i="78"/>
  <c r="W561" i="78"/>
  <c r="X561" i="78"/>
  <c r="Y561" i="78"/>
  <c r="AB561" i="78"/>
  <c r="AC561" i="78"/>
  <c r="AE561" i="78"/>
  <c r="AF561" i="78"/>
  <c r="AL561" i="78"/>
  <c r="AO561" i="78"/>
  <c r="AP561" i="78"/>
  <c r="AS561" i="78"/>
  <c r="AT561" i="78"/>
  <c r="B563" i="78"/>
  <c r="C563" i="78"/>
  <c r="E563" i="78"/>
  <c r="N563" i="78"/>
  <c r="U563" i="78"/>
  <c r="W563" i="78"/>
  <c r="X563" i="78"/>
  <c r="Y563" i="78"/>
  <c r="AB563" i="78"/>
  <c r="AC563" i="78"/>
  <c r="AE563" i="78"/>
  <c r="AF563" i="78"/>
  <c r="AL563" i="78"/>
  <c r="AO563" i="78"/>
  <c r="AP563" i="78"/>
  <c r="AS563" i="78"/>
  <c r="AT563" i="78"/>
  <c r="B564" i="78"/>
  <c r="C564" i="78"/>
  <c r="E564" i="78"/>
  <c r="N564" i="78"/>
  <c r="U564" i="78"/>
  <c r="W564" i="78"/>
  <c r="X564" i="78"/>
  <c r="Y564" i="78"/>
  <c r="AB564" i="78"/>
  <c r="AC564" i="78"/>
  <c r="AE564" i="78"/>
  <c r="AF564" i="78"/>
  <c r="AL564" i="78"/>
  <c r="AO564" i="78"/>
  <c r="AP564" i="78"/>
  <c r="AS564" i="78"/>
  <c r="AT564" i="78"/>
  <c r="B565" i="78"/>
  <c r="C565" i="78"/>
  <c r="E565" i="78"/>
  <c r="N565" i="78"/>
  <c r="U565" i="78"/>
  <c r="W565" i="78"/>
  <c r="X565" i="78"/>
  <c r="Y565" i="78"/>
  <c r="AB565" i="78"/>
  <c r="AC565" i="78"/>
  <c r="AE565" i="78"/>
  <c r="AF565" i="78"/>
  <c r="AL565" i="78"/>
  <c r="AO565" i="78"/>
  <c r="AP565" i="78"/>
  <c r="AS565" i="78"/>
  <c r="AT565" i="78"/>
  <c r="B566" i="78"/>
  <c r="C566" i="78"/>
  <c r="E566" i="78"/>
  <c r="N566" i="78"/>
  <c r="U566" i="78"/>
  <c r="W566" i="78"/>
  <c r="X566" i="78"/>
  <c r="Y566" i="78"/>
  <c r="AB566" i="78"/>
  <c r="AC566" i="78"/>
  <c r="AE566" i="78"/>
  <c r="AF566" i="78"/>
  <c r="AL566" i="78"/>
  <c r="AO566" i="78"/>
  <c r="AP566" i="78"/>
  <c r="AS566" i="78"/>
  <c r="AT566" i="78"/>
  <c r="B567" i="78"/>
  <c r="C567" i="78"/>
  <c r="E567" i="78"/>
  <c r="N567" i="78"/>
  <c r="U567" i="78"/>
  <c r="W567" i="78"/>
  <c r="X567" i="78"/>
  <c r="Y567" i="78"/>
  <c r="AB567" i="78"/>
  <c r="AC567" i="78"/>
  <c r="AE567" i="78"/>
  <c r="AF567" i="78"/>
  <c r="AL567" i="78"/>
  <c r="AO567" i="78"/>
  <c r="AP567" i="78"/>
  <c r="AS567" i="78"/>
  <c r="AT567" i="78"/>
  <c r="B568" i="78"/>
  <c r="C568" i="78"/>
  <c r="E568" i="78"/>
  <c r="N568" i="78"/>
  <c r="U568" i="78"/>
  <c r="W568" i="78"/>
  <c r="X568" i="78"/>
  <c r="Y568" i="78"/>
  <c r="AB568" i="78"/>
  <c r="AC568" i="78"/>
  <c r="AE568" i="78"/>
  <c r="AF568" i="78"/>
  <c r="AL568" i="78"/>
  <c r="AO568" i="78"/>
  <c r="AP568" i="78"/>
  <c r="AS568" i="78"/>
  <c r="AT568" i="78"/>
  <c r="B569" i="78"/>
  <c r="C569" i="78"/>
  <c r="E569" i="78"/>
  <c r="N569" i="78"/>
  <c r="U569" i="78"/>
  <c r="W569" i="78"/>
  <c r="X569" i="78"/>
  <c r="Y569" i="78"/>
  <c r="AB569" i="78"/>
  <c r="AC569" i="78"/>
  <c r="AE569" i="78"/>
  <c r="AF569" i="78"/>
  <c r="AL569" i="78"/>
  <c r="AO569" i="78"/>
  <c r="AP569" i="78"/>
  <c r="AS569" i="78"/>
  <c r="AT569" i="78"/>
  <c r="B570" i="78"/>
  <c r="C570" i="78"/>
  <c r="E570" i="78"/>
  <c r="N570" i="78"/>
  <c r="U570" i="78"/>
  <c r="W570" i="78"/>
  <c r="X570" i="78"/>
  <c r="Y570" i="78"/>
  <c r="AB570" i="78"/>
  <c r="AC570" i="78"/>
  <c r="AE570" i="78"/>
  <c r="AF570" i="78"/>
  <c r="AL570" i="78"/>
  <c r="AO570" i="78"/>
  <c r="AP570" i="78"/>
  <c r="AS570" i="78"/>
  <c r="AT570" i="78"/>
  <c r="B571" i="78"/>
  <c r="C571" i="78"/>
  <c r="E571" i="78"/>
  <c r="N571" i="78"/>
  <c r="U571" i="78"/>
  <c r="W571" i="78"/>
  <c r="X571" i="78"/>
  <c r="Y571" i="78"/>
  <c r="AB571" i="78"/>
  <c r="AC571" i="78"/>
  <c r="AE571" i="78"/>
  <c r="AF571" i="78"/>
  <c r="AL571" i="78"/>
  <c r="AO571" i="78"/>
  <c r="AP571" i="78"/>
  <c r="AS571" i="78"/>
  <c r="AT571" i="78"/>
  <c r="B572" i="78"/>
  <c r="C572" i="78"/>
  <c r="E572" i="78"/>
  <c r="N572" i="78"/>
  <c r="U572" i="78"/>
  <c r="W572" i="78"/>
  <c r="X572" i="78"/>
  <c r="Y572" i="78"/>
  <c r="AB572" i="78"/>
  <c r="AC572" i="78"/>
  <c r="AE572" i="78"/>
  <c r="AF572" i="78"/>
  <c r="AL572" i="78"/>
  <c r="AO572" i="78"/>
  <c r="AP572" i="78"/>
  <c r="AS572" i="78"/>
  <c r="AT572" i="78"/>
  <c r="B573" i="78"/>
  <c r="C573" i="78"/>
  <c r="E573" i="78"/>
  <c r="N573" i="78"/>
  <c r="U573" i="78"/>
  <c r="W573" i="78"/>
  <c r="X573" i="78"/>
  <c r="Y573" i="78"/>
  <c r="AB573" i="78"/>
  <c r="AC573" i="78"/>
  <c r="AE573" i="78"/>
  <c r="AF573" i="78"/>
  <c r="AL573" i="78"/>
  <c r="AO573" i="78"/>
  <c r="AP573" i="78"/>
  <c r="AS573" i="78"/>
  <c r="AT573" i="78"/>
  <c r="B574" i="78"/>
  <c r="C574" i="78"/>
  <c r="E574" i="78"/>
  <c r="N574" i="78"/>
  <c r="U574" i="78"/>
  <c r="W574" i="78"/>
  <c r="X574" i="78"/>
  <c r="Y574" i="78"/>
  <c r="AB574" i="78"/>
  <c r="AC574" i="78"/>
  <c r="AE574" i="78"/>
  <c r="AF574" i="78"/>
  <c r="AL574" i="78"/>
  <c r="AO574" i="78"/>
  <c r="AP574" i="78"/>
  <c r="AS574" i="78"/>
  <c r="AT574" i="78"/>
  <c r="B575" i="78"/>
  <c r="C575" i="78"/>
  <c r="E575" i="78"/>
  <c r="N575" i="78"/>
  <c r="U575" i="78"/>
  <c r="W575" i="78"/>
  <c r="X575" i="78"/>
  <c r="Y575" i="78"/>
  <c r="AB575" i="78"/>
  <c r="AC575" i="78"/>
  <c r="AE575" i="78"/>
  <c r="AF575" i="78"/>
  <c r="AL575" i="78"/>
  <c r="AO575" i="78"/>
  <c r="AP575" i="78"/>
  <c r="AS575" i="78"/>
  <c r="AT575" i="78"/>
  <c r="B577" i="78"/>
  <c r="C577" i="78"/>
  <c r="E577" i="78"/>
  <c r="N577" i="78"/>
  <c r="U577" i="78"/>
  <c r="W577" i="78"/>
  <c r="X577" i="78"/>
  <c r="Y577" i="78"/>
  <c r="AB577" i="78"/>
  <c r="AC577" i="78"/>
  <c r="AE577" i="78"/>
  <c r="AF577" i="78"/>
  <c r="AL577" i="78"/>
  <c r="AO577" i="78"/>
  <c r="AP577" i="78"/>
  <c r="AS577" i="78"/>
  <c r="AT577" i="78"/>
  <c r="B578" i="78"/>
  <c r="C578" i="78"/>
  <c r="E578" i="78"/>
  <c r="N578" i="78"/>
  <c r="U578" i="78"/>
  <c r="W578" i="78"/>
  <c r="X578" i="78"/>
  <c r="Y578" i="78"/>
  <c r="AB578" i="78"/>
  <c r="AC578" i="78"/>
  <c r="AE578" i="78"/>
  <c r="AF578" i="78"/>
  <c r="AL578" i="78"/>
  <c r="AO578" i="78"/>
  <c r="AP578" i="78"/>
  <c r="AS578" i="78"/>
  <c r="AT578" i="78"/>
  <c r="B579" i="78"/>
  <c r="C579" i="78"/>
  <c r="E579" i="78"/>
  <c r="N579" i="78"/>
  <c r="U579" i="78"/>
  <c r="W579" i="78"/>
  <c r="X579" i="78"/>
  <c r="Y579" i="78"/>
  <c r="AB579" i="78"/>
  <c r="AC579" i="78"/>
  <c r="AE579" i="78"/>
  <c r="AF579" i="78"/>
  <c r="AL579" i="78"/>
  <c r="AO579" i="78"/>
  <c r="AP579" i="78"/>
  <c r="AS579" i="78"/>
  <c r="AT579" i="78"/>
  <c r="B580" i="78"/>
  <c r="C580" i="78"/>
  <c r="E580" i="78"/>
  <c r="N580" i="78"/>
  <c r="U580" i="78"/>
  <c r="W580" i="78"/>
  <c r="X580" i="78"/>
  <c r="Y580" i="78"/>
  <c r="AB580" i="78"/>
  <c r="AC580" i="78"/>
  <c r="AE580" i="78"/>
  <c r="AF580" i="78"/>
  <c r="AL580" i="78"/>
  <c r="AO580" i="78"/>
  <c r="AP580" i="78"/>
  <c r="AS580" i="78"/>
  <c r="AT580" i="78"/>
  <c r="B581" i="78"/>
  <c r="C581" i="78"/>
  <c r="E581" i="78"/>
  <c r="N581" i="78"/>
  <c r="U581" i="78"/>
  <c r="W581" i="78"/>
  <c r="X581" i="78"/>
  <c r="Y581" i="78"/>
  <c r="AB581" i="78"/>
  <c r="AC581" i="78"/>
  <c r="AE581" i="78"/>
  <c r="AF581" i="78"/>
  <c r="AL581" i="78"/>
  <c r="AO581" i="78"/>
  <c r="AP581" i="78"/>
  <c r="AS581" i="78"/>
  <c r="AT581" i="78"/>
  <c r="B582" i="78"/>
  <c r="C582" i="78"/>
  <c r="E582" i="78"/>
  <c r="N582" i="78"/>
  <c r="U582" i="78"/>
  <c r="W582" i="78"/>
  <c r="X582" i="78"/>
  <c r="Y582" i="78"/>
  <c r="AB582" i="78"/>
  <c r="AC582" i="78"/>
  <c r="AE582" i="78"/>
  <c r="AF582" i="78"/>
  <c r="AL582" i="78"/>
  <c r="AO582" i="78"/>
  <c r="AP582" i="78"/>
  <c r="AS582" i="78"/>
  <c r="AT582" i="78"/>
  <c r="B583" i="78"/>
  <c r="C583" i="78"/>
  <c r="E583" i="78"/>
  <c r="N583" i="78"/>
  <c r="U583" i="78"/>
  <c r="W583" i="78"/>
  <c r="X583" i="78"/>
  <c r="Y583" i="78"/>
  <c r="AB583" i="78"/>
  <c r="AC583" i="78"/>
  <c r="AE583" i="78"/>
  <c r="AF583" i="78"/>
  <c r="AL583" i="78"/>
  <c r="AO583" i="78"/>
  <c r="AP583" i="78"/>
  <c r="AS583" i="78"/>
  <c r="AT583" i="78"/>
  <c r="B584" i="78"/>
  <c r="C584" i="78"/>
  <c r="E584" i="78"/>
  <c r="N584" i="78"/>
  <c r="U584" i="78"/>
  <c r="W584" i="78"/>
  <c r="X584" i="78"/>
  <c r="Y584" i="78"/>
  <c r="AB584" i="78"/>
  <c r="AC584" i="78"/>
  <c r="AE584" i="78"/>
  <c r="AF584" i="78"/>
  <c r="AL584" i="78"/>
  <c r="AO584" i="78"/>
  <c r="AP584" i="78"/>
  <c r="AS584" i="78"/>
  <c r="AT584" i="78"/>
  <c r="D29" i="5"/>
  <c r="D30" i="5"/>
  <c r="D31" i="5"/>
  <c r="D32" i="5"/>
  <c r="D33" i="5"/>
  <c r="D34" i="5"/>
  <c r="D36" i="5"/>
  <c r="D37" i="5"/>
  <c r="D38" i="5"/>
  <c r="D39" i="5"/>
  <c r="D40" i="5"/>
  <c r="D41" i="5"/>
  <c r="E41" i="5"/>
  <c r="D42" i="5"/>
  <c r="D43" i="5"/>
  <c r="D44" i="5"/>
  <c r="D45" i="5"/>
  <c r="D46" i="5"/>
  <c r="D48" i="5"/>
  <c r="D49" i="5"/>
  <c r="D50" i="5"/>
  <c r="D51" i="5"/>
  <c r="D52" i="5"/>
  <c r="D53" i="5"/>
  <c r="E53" i="5"/>
  <c r="D54" i="5"/>
  <c r="D55" i="5"/>
  <c r="C60" i="5"/>
  <c r="E60" i="5"/>
  <c r="F60" i="5"/>
  <c r="C61" i="5"/>
  <c r="E61" i="5"/>
  <c r="F61" i="5"/>
  <c r="C62" i="5"/>
  <c r="E62" i="5"/>
  <c r="F62" i="5"/>
  <c r="C63" i="5"/>
  <c r="E63" i="5"/>
  <c r="F63" i="5"/>
  <c r="C64" i="5"/>
  <c r="E64" i="5"/>
  <c r="F64" i="5"/>
  <c r="C65" i="5"/>
  <c r="E65" i="5"/>
  <c r="F65" i="5"/>
  <c r="C67" i="5"/>
  <c r="E67" i="5"/>
  <c r="F67" i="5"/>
  <c r="C68" i="5"/>
  <c r="E68" i="5"/>
  <c r="F68" i="5"/>
  <c r="C69" i="5"/>
  <c r="E69" i="5"/>
  <c r="F69" i="5"/>
  <c r="C70" i="5"/>
  <c r="E70" i="5"/>
  <c r="F70" i="5"/>
  <c r="C71" i="5"/>
  <c r="E71" i="5"/>
  <c r="F71" i="5"/>
  <c r="C72" i="5"/>
  <c r="E72" i="5"/>
  <c r="F72" i="5"/>
  <c r="C73" i="5"/>
  <c r="E73" i="5"/>
  <c r="F73" i="5"/>
  <c r="C74" i="5"/>
  <c r="E74" i="5"/>
  <c r="F74" i="5"/>
  <c r="C75" i="5"/>
  <c r="E75" i="5"/>
  <c r="F75" i="5"/>
  <c r="C76" i="5"/>
  <c r="E76" i="5"/>
  <c r="F76" i="5"/>
  <c r="C77" i="5"/>
  <c r="E77" i="5"/>
  <c r="F77" i="5"/>
  <c r="C78" i="5"/>
  <c r="E78" i="5"/>
  <c r="F78" i="5"/>
  <c r="C79" i="5"/>
  <c r="E79" i="5"/>
  <c r="F79" i="5"/>
  <c r="C81" i="5"/>
  <c r="E81" i="5"/>
  <c r="F81" i="5"/>
  <c r="C82" i="5"/>
  <c r="E82" i="5"/>
  <c r="F82" i="5"/>
  <c r="C83" i="5"/>
  <c r="E83" i="5"/>
  <c r="F83" i="5"/>
  <c r="C84" i="5"/>
  <c r="E84" i="5"/>
  <c r="F84" i="5"/>
  <c r="C85" i="5"/>
  <c r="E85" i="5"/>
  <c r="F85" i="5"/>
  <c r="C86" i="5"/>
  <c r="E86" i="5"/>
  <c r="F86" i="5"/>
  <c r="C87" i="5"/>
  <c r="E87" i="5"/>
  <c r="F87" i="5"/>
  <c r="C88" i="5"/>
  <c r="E88" i="5"/>
  <c r="F88" i="5"/>
  <c r="F36" i="40"/>
  <c r="F37" i="40"/>
  <c r="F38" i="40"/>
  <c r="F39" i="40"/>
  <c r="F40" i="40"/>
  <c r="F41" i="40"/>
  <c r="F43" i="40"/>
  <c r="F44" i="40"/>
  <c r="F45" i="40"/>
  <c r="F46" i="40"/>
  <c r="F47" i="40"/>
  <c r="F48" i="40"/>
  <c r="F49" i="40"/>
  <c r="F50" i="40"/>
  <c r="F51" i="40"/>
  <c r="F52" i="40"/>
  <c r="F53" i="40"/>
  <c r="F57" i="40"/>
  <c r="F58" i="40"/>
  <c r="F59" i="40"/>
  <c r="F60" i="40"/>
  <c r="F61" i="40"/>
  <c r="F62" i="40"/>
  <c r="F63" i="40"/>
  <c r="F64" i="40"/>
  <c r="D70" i="40"/>
  <c r="G70" i="40"/>
  <c r="H70" i="40"/>
  <c r="D71" i="40"/>
  <c r="G71" i="40"/>
  <c r="H71" i="40"/>
  <c r="D72" i="40"/>
  <c r="G72" i="40"/>
  <c r="H72" i="40"/>
  <c r="D73" i="40"/>
  <c r="G73" i="40"/>
  <c r="H73" i="40"/>
  <c r="D74" i="40"/>
  <c r="G74" i="40"/>
  <c r="H74" i="40"/>
  <c r="D75" i="40"/>
  <c r="G75" i="40"/>
  <c r="H75" i="40"/>
  <c r="D77" i="40"/>
  <c r="G77" i="40"/>
  <c r="H77" i="40"/>
  <c r="D78" i="40"/>
  <c r="G78" i="40"/>
  <c r="H78" i="40"/>
  <c r="D79" i="40"/>
  <c r="G79" i="40"/>
  <c r="H79" i="40"/>
  <c r="D80" i="40"/>
  <c r="G80" i="40"/>
  <c r="H80" i="40"/>
  <c r="D81" i="40"/>
  <c r="G81" i="40"/>
  <c r="H81" i="40"/>
  <c r="D82" i="40"/>
  <c r="G82" i="40"/>
  <c r="H82" i="40"/>
  <c r="D83" i="40"/>
  <c r="G83" i="40"/>
  <c r="H83" i="40"/>
  <c r="D84" i="40"/>
  <c r="G84" i="40"/>
  <c r="H84" i="40"/>
  <c r="D85" i="40"/>
  <c r="G85" i="40"/>
  <c r="H85" i="40"/>
  <c r="D86" i="40"/>
  <c r="G86" i="40"/>
  <c r="H86" i="40"/>
  <c r="D87" i="40"/>
  <c r="G87" i="40"/>
  <c r="H87" i="40"/>
  <c r="D88" i="40"/>
  <c r="G88" i="40"/>
  <c r="H88" i="40"/>
  <c r="D89" i="40"/>
  <c r="G89" i="40"/>
  <c r="H89" i="40"/>
  <c r="D91" i="40"/>
  <c r="G91" i="40"/>
  <c r="H91" i="40"/>
  <c r="D92" i="40"/>
  <c r="G92" i="40"/>
  <c r="H92" i="40"/>
  <c r="D93" i="40"/>
  <c r="G93" i="40"/>
  <c r="H93" i="40"/>
  <c r="D94" i="40"/>
  <c r="G94" i="40"/>
  <c r="H94" i="40"/>
  <c r="D95" i="40"/>
  <c r="G95" i="40"/>
  <c r="H95" i="40"/>
  <c r="D96" i="40"/>
  <c r="G96" i="40"/>
  <c r="H96" i="40"/>
  <c r="D97" i="40"/>
  <c r="G97" i="40"/>
  <c r="H97" i="40"/>
  <c r="D98" i="40"/>
  <c r="G98" i="40"/>
  <c r="H98" i="40"/>
  <c r="B15" i="13"/>
  <c r="C15" i="13"/>
  <c r="D15" i="13"/>
  <c r="E15" i="13"/>
  <c r="F15" i="13"/>
  <c r="G15" i="13"/>
  <c r="H15" i="13"/>
  <c r="I15" i="13"/>
  <c r="J15" i="13"/>
  <c r="K15" i="13"/>
  <c r="L15" i="13"/>
  <c r="M15" i="13"/>
  <c r="O15" i="13"/>
  <c r="P15" i="13"/>
  <c r="R15" i="13"/>
  <c r="S15" i="13"/>
  <c r="U15" i="13"/>
  <c r="V15" i="13"/>
  <c r="X15" i="13"/>
  <c r="Y15" i="13"/>
  <c r="Z15" i="13"/>
  <c r="AA15" i="13"/>
  <c r="AB15" i="13"/>
  <c r="AC15" i="13"/>
  <c r="AD15" i="13"/>
  <c r="AI15" i="13"/>
  <c r="AK15" i="13"/>
  <c r="BL15" i="13"/>
  <c r="BM15" i="13"/>
  <c r="BN15" i="13"/>
  <c r="BP15" i="13"/>
  <c r="BQ15" i="13"/>
  <c r="BS15" i="13"/>
  <c r="BT15" i="13"/>
  <c r="BU15" i="13"/>
  <c r="BV15" i="13"/>
  <c r="BW15" i="13"/>
  <c r="BX15" i="13"/>
  <c r="BY15" i="13"/>
  <c r="BZ15" i="13"/>
  <c r="CA15" i="13"/>
  <c r="CB15" i="13"/>
  <c r="CC15" i="13"/>
  <c r="CD15" i="13"/>
  <c r="CF15" i="13"/>
  <c r="CN15" i="13"/>
  <c r="CO15" i="13"/>
  <c r="B16" i="13"/>
  <c r="C16" i="13"/>
  <c r="D16" i="13"/>
  <c r="E16" i="13"/>
  <c r="F16" i="13"/>
  <c r="G16" i="13"/>
  <c r="H16" i="13"/>
  <c r="I16" i="13"/>
  <c r="J16" i="13"/>
  <c r="K16" i="13"/>
  <c r="L16" i="13"/>
  <c r="M16" i="13"/>
  <c r="O16" i="13"/>
  <c r="P16" i="13"/>
  <c r="R16" i="13"/>
  <c r="S16" i="13"/>
  <c r="U16" i="13"/>
  <c r="V16" i="13"/>
  <c r="X16" i="13"/>
  <c r="Y16" i="13"/>
  <c r="Z16" i="13"/>
  <c r="AA16" i="13"/>
  <c r="AB16" i="13"/>
  <c r="AC16" i="13"/>
  <c r="AD16" i="13"/>
  <c r="AI16" i="13"/>
  <c r="AK16" i="13"/>
  <c r="BL16" i="13"/>
  <c r="BM16" i="13"/>
  <c r="BN16" i="13"/>
  <c r="BP16" i="13"/>
  <c r="BQ16" i="13"/>
  <c r="BS16" i="13"/>
  <c r="BT16" i="13"/>
  <c r="BU16" i="13"/>
  <c r="BV16" i="13"/>
  <c r="BW16" i="13"/>
  <c r="BX16" i="13"/>
  <c r="BY16" i="13"/>
  <c r="BZ16" i="13"/>
  <c r="CA16" i="13"/>
  <c r="CB16" i="13"/>
  <c r="CC16" i="13"/>
  <c r="CD16" i="13"/>
  <c r="CF16" i="13"/>
  <c r="CN16" i="13"/>
  <c r="CO16" i="13"/>
  <c r="B17" i="13"/>
  <c r="C17" i="13"/>
  <c r="D17" i="13"/>
  <c r="E17" i="13"/>
  <c r="F17" i="13"/>
  <c r="G17" i="13"/>
  <c r="H17" i="13"/>
  <c r="I17" i="13"/>
  <c r="J17" i="13"/>
  <c r="K17" i="13"/>
  <c r="L17" i="13"/>
  <c r="M17" i="13"/>
  <c r="O17" i="13"/>
  <c r="P17" i="13"/>
  <c r="R17" i="13"/>
  <c r="S17" i="13"/>
  <c r="U17" i="13"/>
  <c r="V17" i="13"/>
  <c r="X17" i="13"/>
  <c r="Y17" i="13"/>
  <c r="Z17" i="13"/>
  <c r="AA17" i="13"/>
  <c r="AB17" i="13"/>
  <c r="AC17" i="13"/>
  <c r="AD17" i="13"/>
  <c r="AI17" i="13"/>
  <c r="AK17" i="13"/>
  <c r="BL17" i="13"/>
  <c r="BM17" i="13"/>
  <c r="BN17" i="13"/>
  <c r="BP17" i="13"/>
  <c r="BQ17" i="13"/>
  <c r="BS17" i="13"/>
  <c r="BT17" i="13"/>
  <c r="BU17" i="13"/>
  <c r="BV17" i="13"/>
  <c r="BW17" i="13"/>
  <c r="BX17" i="13"/>
  <c r="BY17" i="13"/>
  <c r="BZ17" i="13"/>
  <c r="CA17" i="13"/>
  <c r="CB17" i="13"/>
  <c r="CC17" i="13"/>
  <c r="CD17" i="13"/>
  <c r="CF17" i="13"/>
  <c r="CN17" i="13"/>
  <c r="CO17" i="13"/>
  <c r="B18" i="13"/>
  <c r="C18" i="13"/>
  <c r="D18" i="13"/>
  <c r="E18" i="13"/>
  <c r="F18" i="13"/>
  <c r="G18" i="13"/>
  <c r="H18" i="13"/>
  <c r="I18" i="13"/>
  <c r="J18" i="13"/>
  <c r="K18" i="13"/>
  <c r="L18" i="13"/>
  <c r="M18" i="13"/>
  <c r="O18" i="13"/>
  <c r="P18" i="13"/>
  <c r="R18" i="13"/>
  <c r="S18" i="13"/>
  <c r="U18" i="13"/>
  <c r="V18" i="13"/>
  <c r="X18" i="13"/>
  <c r="Y18" i="13"/>
  <c r="Z18" i="13"/>
  <c r="AA18" i="13"/>
  <c r="AB18" i="13"/>
  <c r="AC18" i="13"/>
  <c r="AD18" i="13"/>
  <c r="AI18" i="13"/>
  <c r="AK18" i="13"/>
  <c r="BL18" i="13"/>
  <c r="BM18" i="13"/>
  <c r="BN18" i="13"/>
  <c r="BP18" i="13"/>
  <c r="BQ18" i="13"/>
  <c r="BS18" i="13"/>
  <c r="BT18" i="13"/>
  <c r="BU18" i="13"/>
  <c r="BV18" i="13"/>
  <c r="BW18" i="13"/>
  <c r="BX18" i="13"/>
  <c r="BY18" i="13"/>
  <c r="BZ18" i="13"/>
  <c r="CA18" i="13"/>
  <c r="CB18" i="13"/>
  <c r="CC18" i="13"/>
  <c r="CD18" i="13"/>
  <c r="CF18" i="13"/>
  <c r="CN18" i="13"/>
  <c r="CO18" i="13"/>
  <c r="B19" i="13"/>
  <c r="C19" i="13"/>
  <c r="D19" i="13"/>
  <c r="E19" i="13"/>
  <c r="F19" i="13"/>
  <c r="G19" i="13"/>
  <c r="H19" i="13"/>
  <c r="I19" i="13"/>
  <c r="J19" i="13"/>
  <c r="K19" i="13"/>
  <c r="L19" i="13"/>
  <c r="M19" i="13"/>
  <c r="O19" i="13"/>
  <c r="P19" i="13"/>
  <c r="R19" i="13"/>
  <c r="S19" i="13"/>
  <c r="U19" i="13"/>
  <c r="V19" i="13"/>
  <c r="X19" i="13"/>
  <c r="Y19" i="13"/>
  <c r="Z19" i="13"/>
  <c r="AA19" i="13"/>
  <c r="AB19" i="13"/>
  <c r="AC19" i="13"/>
  <c r="AD19" i="13"/>
  <c r="AI19" i="13"/>
  <c r="AK19" i="13"/>
  <c r="BL19" i="13"/>
  <c r="BM19" i="13"/>
  <c r="BN19" i="13"/>
  <c r="BP19" i="13"/>
  <c r="BQ19" i="13"/>
  <c r="BS19" i="13"/>
  <c r="BT19" i="13"/>
  <c r="BU19" i="13"/>
  <c r="BV19" i="13"/>
  <c r="BW19" i="13"/>
  <c r="BX19" i="13"/>
  <c r="BY19" i="13"/>
  <c r="BZ19" i="13"/>
  <c r="CA19" i="13"/>
  <c r="CB19" i="13"/>
  <c r="CC19" i="13"/>
  <c r="CD19" i="13"/>
  <c r="CF19" i="13"/>
  <c r="CN19" i="13"/>
  <c r="CO19" i="13"/>
  <c r="B20" i="13"/>
  <c r="C20" i="13"/>
  <c r="D20" i="13"/>
  <c r="E20" i="13"/>
  <c r="F20" i="13"/>
  <c r="G20" i="13"/>
  <c r="H20" i="13"/>
  <c r="I20" i="13"/>
  <c r="J20" i="13"/>
  <c r="K20" i="13"/>
  <c r="L20" i="13"/>
  <c r="M20" i="13"/>
  <c r="O20" i="13"/>
  <c r="P20" i="13"/>
  <c r="R20" i="13"/>
  <c r="S20" i="13"/>
  <c r="U20" i="13"/>
  <c r="V20" i="13"/>
  <c r="X20" i="13"/>
  <c r="Y20" i="13"/>
  <c r="Z20" i="13"/>
  <c r="AA20" i="13"/>
  <c r="AB20" i="13"/>
  <c r="AC20" i="13"/>
  <c r="AD20" i="13"/>
  <c r="AI20" i="13"/>
  <c r="AK20" i="13"/>
  <c r="BL20" i="13"/>
  <c r="BM20" i="13"/>
  <c r="BN20" i="13"/>
  <c r="BP20" i="13"/>
  <c r="BQ20" i="13"/>
  <c r="BS20" i="13"/>
  <c r="BT20" i="13"/>
  <c r="BU20" i="13"/>
  <c r="BV20" i="13"/>
  <c r="BW20" i="13"/>
  <c r="BX20" i="13"/>
  <c r="BY20" i="13"/>
  <c r="BZ20" i="13"/>
  <c r="CA20" i="13"/>
  <c r="CB20" i="13"/>
  <c r="CC20" i="13"/>
  <c r="CD20" i="13"/>
  <c r="CF20" i="13"/>
  <c r="CN20" i="13"/>
  <c r="CO20" i="13"/>
  <c r="B22" i="13"/>
  <c r="C22" i="13"/>
  <c r="D22" i="13"/>
  <c r="E22" i="13"/>
  <c r="F22" i="13"/>
  <c r="G22" i="13"/>
  <c r="H22" i="13"/>
  <c r="I22" i="13"/>
  <c r="J22" i="13"/>
  <c r="K22" i="13"/>
  <c r="L22" i="13"/>
  <c r="M22" i="13"/>
  <c r="O22" i="13"/>
  <c r="P22" i="13"/>
  <c r="R22" i="13"/>
  <c r="S22" i="13"/>
  <c r="U22" i="13"/>
  <c r="V22" i="13"/>
  <c r="X22" i="13"/>
  <c r="Y22" i="13"/>
  <c r="Z22" i="13"/>
  <c r="AA22" i="13"/>
  <c r="AB22" i="13"/>
  <c r="AC22" i="13"/>
  <c r="AD22" i="13"/>
  <c r="AI22" i="13"/>
  <c r="AK22" i="13"/>
  <c r="BL22" i="13"/>
  <c r="BM22" i="13"/>
  <c r="BN22" i="13"/>
  <c r="BP22" i="13"/>
  <c r="BQ22" i="13"/>
  <c r="BS22" i="13"/>
  <c r="BT22" i="13"/>
  <c r="BU22" i="13"/>
  <c r="BV22" i="13"/>
  <c r="BW22" i="13"/>
  <c r="BX22" i="13"/>
  <c r="BY22" i="13"/>
  <c r="BZ22" i="13"/>
  <c r="CA22" i="13"/>
  <c r="CB22" i="13"/>
  <c r="CC22" i="13"/>
  <c r="CD22" i="13"/>
  <c r="CF22" i="13"/>
  <c r="CN22" i="13"/>
  <c r="CO22" i="13"/>
  <c r="B23" i="13"/>
  <c r="C23" i="13"/>
  <c r="D23" i="13"/>
  <c r="E23" i="13"/>
  <c r="F23" i="13"/>
  <c r="G23" i="13"/>
  <c r="H23" i="13"/>
  <c r="I23" i="13"/>
  <c r="J23" i="13"/>
  <c r="K23" i="13"/>
  <c r="L23" i="13"/>
  <c r="M23" i="13"/>
  <c r="O23" i="13"/>
  <c r="P23" i="13"/>
  <c r="R23" i="13"/>
  <c r="S23" i="13"/>
  <c r="U23" i="13"/>
  <c r="V23" i="13"/>
  <c r="X23" i="13"/>
  <c r="Y23" i="13"/>
  <c r="Z23" i="13"/>
  <c r="AA23" i="13"/>
  <c r="AB23" i="13"/>
  <c r="AC23" i="13"/>
  <c r="AD23" i="13"/>
  <c r="AI23" i="13"/>
  <c r="AK23" i="13"/>
  <c r="BL23" i="13"/>
  <c r="BM23" i="13"/>
  <c r="BN23" i="13"/>
  <c r="BP23" i="13"/>
  <c r="BQ23" i="13"/>
  <c r="BS23" i="13"/>
  <c r="BT23" i="13"/>
  <c r="BU23" i="13"/>
  <c r="BV23" i="13"/>
  <c r="BW23" i="13"/>
  <c r="BX23" i="13"/>
  <c r="BY23" i="13"/>
  <c r="BZ23" i="13"/>
  <c r="CA23" i="13"/>
  <c r="CB23" i="13"/>
  <c r="CC23" i="13"/>
  <c r="CD23" i="13"/>
  <c r="CF23" i="13"/>
  <c r="CN23" i="13"/>
  <c r="CO23" i="13"/>
  <c r="B24" i="13"/>
  <c r="C24" i="13"/>
  <c r="D24" i="13"/>
  <c r="E24" i="13"/>
  <c r="F24" i="13"/>
  <c r="G24" i="13"/>
  <c r="H24" i="13"/>
  <c r="I24" i="13"/>
  <c r="J24" i="13"/>
  <c r="K24" i="13"/>
  <c r="L24" i="13"/>
  <c r="M24" i="13"/>
  <c r="O24" i="13"/>
  <c r="P24" i="13"/>
  <c r="R24" i="13"/>
  <c r="S24" i="13"/>
  <c r="U24" i="13"/>
  <c r="V24" i="13"/>
  <c r="X24" i="13"/>
  <c r="Y24" i="13"/>
  <c r="Z24" i="13"/>
  <c r="AA24" i="13"/>
  <c r="AB24" i="13"/>
  <c r="AC24" i="13"/>
  <c r="AD24" i="13"/>
  <c r="AI24" i="13"/>
  <c r="AK24" i="13"/>
  <c r="BL24" i="13"/>
  <c r="BM24" i="13"/>
  <c r="BN24" i="13"/>
  <c r="BP24" i="13"/>
  <c r="BQ24" i="13"/>
  <c r="BS24" i="13"/>
  <c r="BT24" i="13"/>
  <c r="BU24" i="13"/>
  <c r="BV24" i="13"/>
  <c r="BW24" i="13"/>
  <c r="BX24" i="13"/>
  <c r="BY24" i="13"/>
  <c r="BZ24" i="13"/>
  <c r="CA24" i="13"/>
  <c r="CB24" i="13"/>
  <c r="CC24" i="13"/>
  <c r="CD24" i="13"/>
  <c r="CF24" i="13"/>
  <c r="CN24" i="13"/>
  <c r="CO24" i="13"/>
  <c r="B25" i="13"/>
  <c r="C25" i="13"/>
  <c r="D25" i="13"/>
  <c r="E25" i="13"/>
  <c r="F25" i="13"/>
  <c r="G25" i="13"/>
  <c r="H25" i="13"/>
  <c r="I25" i="13"/>
  <c r="J25" i="13"/>
  <c r="K25" i="13"/>
  <c r="L25" i="13"/>
  <c r="M25" i="13"/>
  <c r="O25" i="13"/>
  <c r="P25" i="13"/>
  <c r="R25" i="13"/>
  <c r="S25" i="13"/>
  <c r="U25" i="13"/>
  <c r="V25" i="13"/>
  <c r="X25" i="13"/>
  <c r="Y25" i="13"/>
  <c r="Z25" i="13"/>
  <c r="AA25" i="13"/>
  <c r="AB25" i="13"/>
  <c r="AC25" i="13"/>
  <c r="AD25" i="13"/>
  <c r="AI25" i="13"/>
  <c r="AK25" i="13"/>
  <c r="BL25" i="13"/>
  <c r="BM25" i="13"/>
  <c r="BN25" i="13"/>
  <c r="BP25" i="13"/>
  <c r="BQ25" i="13"/>
  <c r="BS25" i="13"/>
  <c r="BT25" i="13"/>
  <c r="BU25" i="13"/>
  <c r="BV25" i="13"/>
  <c r="BW25" i="13"/>
  <c r="BX25" i="13"/>
  <c r="BY25" i="13"/>
  <c r="BZ25" i="13"/>
  <c r="CA25" i="13"/>
  <c r="CB25" i="13"/>
  <c r="CC25" i="13"/>
  <c r="CD25" i="13"/>
  <c r="CF25" i="13"/>
  <c r="CN25" i="13"/>
  <c r="CO25" i="13"/>
  <c r="B26" i="13"/>
  <c r="C26" i="13"/>
  <c r="D26" i="13"/>
  <c r="E26" i="13"/>
  <c r="F26" i="13"/>
  <c r="G26" i="13"/>
  <c r="H26" i="13"/>
  <c r="I26" i="13"/>
  <c r="J26" i="13"/>
  <c r="K26" i="13"/>
  <c r="L26" i="13"/>
  <c r="M26" i="13"/>
  <c r="O26" i="13"/>
  <c r="P26" i="13"/>
  <c r="R26" i="13"/>
  <c r="S26" i="13"/>
  <c r="U26" i="13"/>
  <c r="V26" i="13"/>
  <c r="X26" i="13"/>
  <c r="Y26" i="13"/>
  <c r="Z26" i="13"/>
  <c r="AA26" i="13"/>
  <c r="AB26" i="13"/>
  <c r="AC26" i="13"/>
  <c r="AD26" i="13"/>
  <c r="AI26" i="13"/>
  <c r="AK26" i="13"/>
  <c r="BL26" i="13"/>
  <c r="BM26" i="13"/>
  <c r="BN26" i="13"/>
  <c r="BP26" i="13"/>
  <c r="BQ26" i="13"/>
  <c r="BS26" i="13"/>
  <c r="BT26" i="13"/>
  <c r="BU26" i="13"/>
  <c r="BV26" i="13"/>
  <c r="BW26" i="13"/>
  <c r="BX26" i="13"/>
  <c r="BY26" i="13"/>
  <c r="BZ26" i="13"/>
  <c r="CA26" i="13"/>
  <c r="CB26" i="13"/>
  <c r="CC26" i="13"/>
  <c r="CD26" i="13"/>
  <c r="CF26" i="13"/>
  <c r="CN26" i="13"/>
  <c r="CO26" i="13"/>
  <c r="B27" i="13"/>
  <c r="C27" i="13"/>
  <c r="D27" i="13"/>
  <c r="E27" i="13"/>
  <c r="F27" i="13"/>
  <c r="G27" i="13"/>
  <c r="H27" i="13"/>
  <c r="I27" i="13"/>
  <c r="J27" i="13"/>
  <c r="K27" i="13"/>
  <c r="L27" i="13"/>
  <c r="M27" i="13"/>
  <c r="O27" i="13"/>
  <c r="P27" i="13"/>
  <c r="R27" i="13"/>
  <c r="S27" i="13"/>
  <c r="U27" i="13"/>
  <c r="V27" i="13"/>
  <c r="X27" i="13"/>
  <c r="Y27" i="13"/>
  <c r="Z27" i="13"/>
  <c r="AA27" i="13"/>
  <c r="AB27" i="13"/>
  <c r="AC27" i="13"/>
  <c r="AD27" i="13"/>
  <c r="AI27" i="13"/>
  <c r="AK27" i="13"/>
  <c r="BL27" i="13"/>
  <c r="BM27" i="13"/>
  <c r="BN27" i="13"/>
  <c r="BP27" i="13"/>
  <c r="BQ27" i="13"/>
  <c r="BS27" i="13"/>
  <c r="BT27" i="13"/>
  <c r="BU27" i="13"/>
  <c r="BV27" i="13"/>
  <c r="BW27" i="13"/>
  <c r="BX27" i="13"/>
  <c r="BY27" i="13"/>
  <c r="BZ27" i="13"/>
  <c r="CA27" i="13"/>
  <c r="CB27" i="13"/>
  <c r="CC27" i="13"/>
  <c r="CD27" i="13"/>
  <c r="CF27" i="13"/>
  <c r="CN27" i="13"/>
  <c r="CO27" i="13"/>
  <c r="B28" i="13"/>
  <c r="C28" i="13"/>
  <c r="D28" i="13"/>
  <c r="E28" i="13"/>
  <c r="F28" i="13"/>
  <c r="G28" i="13"/>
  <c r="H28" i="13"/>
  <c r="I28" i="13"/>
  <c r="J28" i="13"/>
  <c r="K28" i="13"/>
  <c r="L28" i="13"/>
  <c r="M28" i="13"/>
  <c r="O28" i="13"/>
  <c r="P28" i="13"/>
  <c r="R28" i="13"/>
  <c r="S28" i="13"/>
  <c r="U28" i="13"/>
  <c r="V28" i="13"/>
  <c r="X28" i="13"/>
  <c r="Y28" i="13"/>
  <c r="Z28" i="13"/>
  <c r="AA28" i="13"/>
  <c r="AB28" i="13"/>
  <c r="AC28" i="13"/>
  <c r="AD28" i="13"/>
  <c r="AI28" i="13"/>
  <c r="AK28" i="13"/>
  <c r="BL28" i="13"/>
  <c r="BM28" i="13"/>
  <c r="BN28" i="13"/>
  <c r="BP28" i="13"/>
  <c r="BQ28" i="13"/>
  <c r="BS28" i="13"/>
  <c r="BT28" i="13"/>
  <c r="BU28" i="13"/>
  <c r="BV28" i="13"/>
  <c r="BW28" i="13"/>
  <c r="BX28" i="13"/>
  <c r="BY28" i="13"/>
  <c r="BZ28" i="13"/>
  <c r="CA28" i="13"/>
  <c r="CB28" i="13"/>
  <c r="CC28" i="13"/>
  <c r="CD28" i="13"/>
  <c r="CF28" i="13"/>
  <c r="CN28" i="13"/>
  <c r="CO28" i="13"/>
  <c r="B29" i="13"/>
  <c r="C29" i="13"/>
  <c r="D29" i="13"/>
  <c r="E29" i="13"/>
  <c r="F29" i="13"/>
  <c r="G29" i="13"/>
  <c r="H29" i="13"/>
  <c r="I29" i="13"/>
  <c r="J29" i="13"/>
  <c r="K29" i="13"/>
  <c r="L29" i="13"/>
  <c r="M29" i="13"/>
  <c r="O29" i="13"/>
  <c r="P29" i="13"/>
  <c r="R29" i="13"/>
  <c r="S29" i="13"/>
  <c r="U29" i="13"/>
  <c r="V29" i="13"/>
  <c r="X29" i="13"/>
  <c r="Y29" i="13"/>
  <c r="Z29" i="13"/>
  <c r="AA29" i="13"/>
  <c r="AB29" i="13"/>
  <c r="AC29" i="13"/>
  <c r="AD29" i="13"/>
  <c r="AI29" i="13"/>
  <c r="AK29" i="13"/>
  <c r="BL29" i="13"/>
  <c r="BM29" i="13"/>
  <c r="BN29" i="13"/>
  <c r="BP29" i="13"/>
  <c r="BQ29" i="13"/>
  <c r="BS29" i="13"/>
  <c r="BT29" i="13"/>
  <c r="BU29" i="13"/>
  <c r="BV29" i="13"/>
  <c r="BW29" i="13"/>
  <c r="BX29" i="13"/>
  <c r="BY29" i="13"/>
  <c r="BZ29" i="13"/>
  <c r="CA29" i="13"/>
  <c r="CB29" i="13"/>
  <c r="CC29" i="13"/>
  <c r="CD29" i="13"/>
  <c r="CF29" i="13"/>
  <c r="CN29" i="13"/>
  <c r="CO29" i="13"/>
  <c r="B30" i="13"/>
  <c r="C30" i="13"/>
  <c r="D30" i="13"/>
  <c r="E30" i="13"/>
  <c r="F30" i="13"/>
  <c r="G30" i="13"/>
  <c r="H30" i="13"/>
  <c r="I30" i="13"/>
  <c r="J30" i="13"/>
  <c r="K30" i="13"/>
  <c r="L30" i="13"/>
  <c r="M30" i="13"/>
  <c r="O30" i="13"/>
  <c r="P30" i="13"/>
  <c r="R30" i="13"/>
  <c r="S30" i="13"/>
  <c r="U30" i="13"/>
  <c r="V30" i="13"/>
  <c r="X30" i="13"/>
  <c r="Y30" i="13"/>
  <c r="Z30" i="13"/>
  <c r="AA30" i="13"/>
  <c r="AB30" i="13"/>
  <c r="AC30" i="13"/>
  <c r="AD30" i="13"/>
  <c r="AI30" i="13"/>
  <c r="AK30" i="13"/>
  <c r="BL30" i="13"/>
  <c r="BM30" i="13"/>
  <c r="BN30" i="13"/>
  <c r="BP30" i="13"/>
  <c r="BQ30" i="13"/>
  <c r="BS30" i="13"/>
  <c r="BT30" i="13"/>
  <c r="BU30" i="13"/>
  <c r="BV30" i="13"/>
  <c r="BW30" i="13"/>
  <c r="BX30" i="13"/>
  <c r="BY30" i="13"/>
  <c r="BZ30" i="13"/>
  <c r="CA30" i="13"/>
  <c r="CB30" i="13"/>
  <c r="CC30" i="13"/>
  <c r="CD30" i="13"/>
  <c r="CF30" i="13"/>
  <c r="CN30" i="13"/>
  <c r="CO30" i="13"/>
  <c r="B31" i="13"/>
  <c r="C31" i="13"/>
  <c r="D31" i="13"/>
  <c r="E31" i="13"/>
  <c r="F31" i="13"/>
  <c r="G31" i="13"/>
  <c r="H31" i="13"/>
  <c r="I31" i="13"/>
  <c r="J31" i="13"/>
  <c r="K31" i="13"/>
  <c r="L31" i="13"/>
  <c r="M31" i="13"/>
  <c r="O31" i="13"/>
  <c r="P31" i="13"/>
  <c r="R31" i="13"/>
  <c r="S31" i="13"/>
  <c r="U31" i="13"/>
  <c r="V31" i="13"/>
  <c r="X31" i="13"/>
  <c r="Y31" i="13"/>
  <c r="Z31" i="13"/>
  <c r="AA31" i="13"/>
  <c r="AB31" i="13"/>
  <c r="AC31" i="13"/>
  <c r="AD31" i="13"/>
  <c r="AI31" i="13"/>
  <c r="AK31" i="13"/>
  <c r="BL31" i="13"/>
  <c r="BM31" i="13"/>
  <c r="BN31" i="13"/>
  <c r="BP31" i="13"/>
  <c r="BQ31" i="13"/>
  <c r="BS31" i="13"/>
  <c r="BT31" i="13"/>
  <c r="BU31" i="13"/>
  <c r="BV31" i="13"/>
  <c r="BW31" i="13"/>
  <c r="BX31" i="13"/>
  <c r="BY31" i="13"/>
  <c r="BZ31" i="13"/>
  <c r="CA31" i="13"/>
  <c r="CB31" i="13"/>
  <c r="CC31" i="13"/>
  <c r="CD31" i="13"/>
  <c r="CF31" i="13"/>
  <c r="CN31" i="13"/>
  <c r="CO31" i="13"/>
  <c r="B32" i="13"/>
  <c r="C32" i="13"/>
  <c r="D32" i="13"/>
  <c r="E32" i="13"/>
  <c r="F32" i="13"/>
  <c r="G32" i="13"/>
  <c r="H32" i="13"/>
  <c r="I32" i="13"/>
  <c r="J32" i="13"/>
  <c r="K32" i="13"/>
  <c r="L32" i="13"/>
  <c r="M32" i="13"/>
  <c r="O32" i="13"/>
  <c r="P32" i="13"/>
  <c r="R32" i="13"/>
  <c r="S32" i="13"/>
  <c r="U32" i="13"/>
  <c r="V32" i="13"/>
  <c r="X32" i="13"/>
  <c r="Y32" i="13"/>
  <c r="Z32" i="13"/>
  <c r="AA32" i="13"/>
  <c r="AB32" i="13"/>
  <c r="AC32" i="13"/>
  <c r="AD32" i="13"/>
  <c r="AI32" i="13"/>
  <c r="AK32" i="13"/>
  <c r="BL32" i="13"/>
  <c r="BM32" i="13"/>
  <c r="BN32" i="13"/>
  <c r="BP32" i="13"/>
  <c r="BQ32" i="13"/>
  <c r="BS32" i="13"/>
  <c r="BT32" i="13"/>
  <c r="BU32" i="13"/>
  <c r="BV32" i="13"/>
  <c r="BW32" i="13"/>
  <c r="BX32" i="13"/>
  <c r="BY32" i="13"/>
  <c r="BZ32" i="13"/>
  <c r="CA32" i="13"/>
  <c r="CB32" i="13"/>
  <c r="CC32" i="13"/>
  <c r="CD32" i="13"/>
  <c r="CF32" i="13"/>
  <c r="CN32" i="13"/>
  <c r="CO32" i="13"/>
  <c r="B33" i="13"/>
  <c r="C33" i="13"/>
  <c r="D33" i="13"/>
  <c r="E33" i="13"/>
  <c r="F33" i="13"/>
  <c r="G33" i="13"/>
  <c r="H33" i="13"/>
  <c r="I33" i="13"/>
  <c r="J33" i="13"/>
  <c r="K33" i="13"/>
  <c r="L33" i="13"/>
  <c r="M33" i="13"/>
  <c r="O33" i="13"/>
  <c r="P33" i="13"/>
  <c r="R33" i="13"/>
  <c r="S33" i="13"/>
  <c r="U33" i="13"/>
  <c r="V33" i="13"/>
  <c r="X33" i="13"/>
  <c r="Y33" i="13"/>
  <c r="Z33" i="13"/>
  <c r="AA33" i="13"/>
  <c r="AB33" i="13"/>
  <c r="AC33" i="13"/>
  <c r="AD33" i="13"/>
  <c r="AI33" i="13"/>
  <c r="AK33" i="13"/>
  <c r="BL33" i="13"/>
  <c r="BM33" i="13"/>
  <c r="BN33" i="13"/>
  <c r="BP33" i="13"/>
  <c r="BQ33" i="13"/>
  <c r="BS33" i="13"/>
  <c r="BT33" i="13"/>
  <c r="BU33" i="13"/>
  <c r="BV33" i="13"/>
  <c r="BW33" i="13"/>
  <c r="BX33" i="13"/>
  <c r="BY33" i="13"/>
  <c r="BZ33" i="13"/>
  <c r="CA33" i="13"/>
  <c r="CB33" i="13"/>
  <c r="CC33" i="13"/>
  <c r="CD33" i="13"/>
  <c r="CF33" i="13"/>
  <c r="CN33" i="13"/>
  <c r="CO33" i="13"/>
  <c r="B34" i="13"/>
  <c r="C34" i="13"/>
  <c r="D34" i="13"/>
  <c r="E34" i="13"/>
  <c r="F34" i="13"/>
  <c r="G34" i="13"/>
  <c r="H34" i="13"/>
  <c r="I34" i="13"/>
  <c r="J34" i="13"/>
  <c r="K34" i="13"/>
  <c r="L34" i="13"/>
  <c r="M34" i="13"/>
  <c r="O34" i="13"/>
  <c r="P34" i="13"/>
  <c r="R34" i="13"/>
  <c r="S34" i="13"/>
  <c r="U34" i="13"/>
  <c r="V34" i="13"/>
  <c r="X34" i="13"/>
  <c r="Y34" i="13"/>
  <c r="Z34" i="13"/>
  <c r="AA34" i="13"/>
  <c r="AB34" i="13"/>
  <c r="AC34" i="13"/>
  <c r="AD34" i="13"/>
  <c r="AI34" i="13"/>
  <c r="AK34" i="13"/>
  <c r="BL34" i="13"/>
  <c r="BM34" i="13"/>
  <c r="BN34" i="13"/>
  <c r="BP34" i="13"/>
  <c r="BQ34" i="13"/>
  <c r="BS34" i="13"/>
  <c r="BT34" i="13"/>
  <c r="BU34" i="13"/>
  <c r="BV34" i="13"/>
  <c r="BW34" i="13"/>
  <c r="BX34" i="13"/>
  <c r="BY34" i="13"/>
  <c r="BZ34" i="13"/>
  <c r="CA34" i="13"/>
  <c r="CB34" i="13"/>
  <c r="CC34" i="13"/>
  <c r="CD34" i="13"/>
  <c r="CF34" i="13"/>
  <c r="CN34" i="13"/>
  <c r="CO34" i="13"/>
  <c r="B36" i="13"/>
  <c r="C36" i="13"/>
  <c r="D36" i="13"/>
  <c r="E36" i="13"/>
  <c r="F36" i="13"/>
  <c r="G36" i="13"/>
  <c r="H36" i="13"/>
  <c r="I36" i="13"/>
  <c r="J36" i="13"/>
  <c r="K36" i="13"/>
  <c r="L36" i="13"/>
  <c r="M36" i="13"/>
  <c r="O36" i="13"/>
  <c r="P36" i="13"/>
  <c r="R36" i="13"/>
  <c r="S36" i="13"/>
  <c r="U36" i="13"/>
  <c r="V36" i="13"/>
  <c r="X36" i="13"/>
  <c r="Y36" i="13"/>
  <c r="Z36" i="13"/>
  <c r="AA36" i="13"/>
  <c r="AB36" i="13"/>
  <c r="AC36" i="13"/>
  <c r="AD36" i="13"/>
  <c r="AI36" i="13"/>
  <c r="AK36" i="13"/>
  <c r="BL36" i="13"/>
  <c r="BM36" i="13"/>
  <c r="BN36" i="13"/>
  <c r="BP36" i="13"/>
  <c r="BQ36" i="13"/>
  <c r="BS36" i="13"/>
  <c r="BT36" i="13"/>
  <c r="BU36" i="13"/>
  <c r="BV36" i="13"/>
  <c r="BW36" i="13"/>
  <c r="BX36" i="13"/>
  <c r="BY36" i="13"/>
  <c r="BZ36" i="13"/>
  <c r="CA36" i="13"/>
  <c r="CB36" i="13"/>
  <c r="CC36" i="13"/>
  <c r="CD36" i="13"/>
  <c r="CF36" i="13"/>
  <c r="CN36" i="13"/>
  <c r="CO36" i="13"/>
  <c r="B37" i="13"/>
  <c r="C37" i="13"/>
  <c r="D37" i="13"/>
  <c r="E37" i="13"/>
  <c r="F37" i="13"/>
  <c r="G37" i="13"/>
  <c r="H37" i="13"/>
  <c r="I37" i="13"/>
  <c r="J37" i="13"/>
  <c r="K37" i="13"/>
  <c r="L37" i="13"/>
  <c r="M37" i="13"/>
  <c r="O37" i="13"/>
  <c r="P37" i="13"/>
  <c r="R37" i="13"/>
  <c r="S37" i="13"/>
  <c r="U37" i="13"/>
  <c r="V37" i="13"/>
  <c r="X37" i="13"/>
  <c r="Y37" i="13"/>
  <c r="Z37" i="13"/>
  <c r="AA37" i="13"/>
  <c r="AB37" i="13"/>
  <c r="AC37" i="13"/>
  <c r="AD37" i="13"/>
  <c r="AI37" i="13"/>
  <c r="AK37" i="13"/>
  <c r="BL37" i="13"/>
  <c r="BM37" i="13"/>
  <c r="BN37" i="13"/>
  <c r="BP37" i="13"/>
  <c r="BQ37" i="13"/>
  <c r="BS37" i="13"/>
  <c r="BT37" i="13"/>
  <c r="BU37" i="13"/>
  <c r="BV37" i="13"/>
  <c r="BW37" i="13"/>
  <c r="BX37" i="13"/>
  <c r="BY37" i="13"/>
  <c r="BZ37" i="13"/>
  <c r="CA37" i="13"/>
  <c r="CB37" i="13"/>
  <c r="CC37" i="13"/>
  <c r="CD37" i="13"/>
  <c r="CF37" i="13"/>
  <c r="CN37" i="13"/>
  <c r="CO37" i="13"/>
  <c r="B38" i="13"/>
  <c r="C38" i="13"/>
  <c r="D38" i="13"/>
  <c r="E38" i="13"/>
  <c r="F38" i="13"/>
  <c r="G38" i="13"/>
  <c r="H38" i="13"/>
  <c r="I38" i="13"/>
  <c r="J38" i="13"/>
  <c r="K38" i="13"/>
  <c r="L38" i="13"/>
  <c r="M38" i="13"/>
  <c r="O38" i="13"/>
  <c r="P38" i="13"/>
  <c r="R38" i="13"/>
  <c r="S38" i="13"/>
  <c r="U38" i="13"/>
  <c r="V38" i="13"/>
  <c r="X38" i="13"/>
  <c r="Y38" i="13"/>
  <c r="Z38" i="13"/>
  <c r="AA38" i="13"/>
  <c r="AB38" i="13"/>
  <c r="AC38" i="13"/>
  <c r="AD38" i="13"/>
  <c r="AI38" i="13"/>
  <c r="AK38" i="13"/>
  <c r="BL38" i="13"/>
  <c r="BM38" i="13"/>
  <c r="BN38" i="13"/>
  <c r="BP38" i="13"/>
  <c r="BQ38" i="13"/>
  <c r="BS38" i="13"/>
  <c r="BT38" i="13"/>
  <c r="BU38" i="13"/>
  <c r="BV38" i="13"/>
  <c r="BW38" i="13"/>
  <c r="BX38" i="13"/>
  <c r="BY38" i="13"/>
  <c r="BZ38" i="13"/>
  <c r="CA38" i="13"/>
  <c r="CB38" i="13"/>
  <c r="CC38" i="13"/>
  <c r="CD38" i="13"/>
  <c r="CF38" i="13"/>
  <c r="CN38" i="13"/>
  <c r="CO38" i="13"/>
  <c r="B39" i="13"/>
  <c r="C39" i="13"/>
  <c r="D39" i="13"/>
  <c r="E39" i="13"/>
  <c r="F39" i="13"/>
  <c r="G39" i="13"/>
  <c r="H39" i="13"/>
  <c r="I39" i="13"/>
  <c r="J39" i="13"/>
  <c r="K39" i="13"/>
  <c r="L39" i="13"/>
  <c r="M39" i="13"/>
  <c r="O39" i="13"/>
  <c r="P39" i="13"/>
  <c r="R39" i="13"/>
  <c r="S39" i="13"/>
  <c r="U39" i="13"/>
  <c r="V39" i="13"/>
  <c r="X39" i="13"/>
  <c r="Y39" i="13"/>
  <c r="Z39" i="13"/>
  <c r="AA39" i="13"/>
  <c r="AB39" i="13"/>
  <c r="AC39" i="13"/>
  <c r="AD39" i="13"/>
  <c r="AI39" i="13"/>
  <c r="AK39" i="13"/>
  <c r="BL39" i="13"/>
  <c r="BM39" i="13"/>
  <c r="BN39" i="13"/>
  <c r="BP39" i="13"/>
  <c r="BQ39" i="13"/>
  <c r="BS39" i="13"/>
  <c r="BT39" i="13"/>
  <c r="BU39" i="13"/>
  <c r="BV39" i="13"/>
  <c r="BW39" i="13"/>
  <c r="BX39" i="13"/>
  <c r="BY39" i="13"/>
  <c r="BZ39" i="13"/>
  <c r="CA39" i="13"/>
  <c r="CB39" i="13"/>
  <c r="CC39" i="13"/>
  <c r="CD39" i="13"/>
  <c r="CF39" i="13"/>
  <c r="CN39" i="13"/>
  <c r="CO39" i="13"/>
  <c r="B40" i="13"/>
  <c r="C40" i="13"/>
  <c r="D40" i="13"/>
  <c r="E40" i="13"/>
  <c r="F40" i="13"/>
  <c r="G40" i="13"/>
  <c r="H40" i="13"/>
  <c r="I40" i="13"/>
  <c r="J40" i="13"/>
  <c r="K40" i="13"/>
  <c r="L40" i="13"/>
  <c r="M40" i="13"/>
  <c r="O40" i="13"/>
  <c r="P40" i="13"/>
  <c r="R40" i="13"/>
  <c r="S40" i="13"/>
  <c r="U40" i="13"/>
  <c r="V40" i="13"/>
  <c r="X40" i="13"/>
  <c r="Y40" i="13"/>
  <c r="Z40" i="13"/>
  <c r="AA40" i="13"/>
  <c r="AB40" i="13"/>
  <c r="AC40" i="13"/>
  <c r="AD40" i="13"/>
  <c r="AI40" i="13"/>
  <c r="AK40" i="13"/>
  <c r="BL40" i="13"/>
  <c r="BM40" i="13"/>
  <c r="BN40" i="13"/>
  <c r="BP40" i="13"/>
  <c r="BQ40" i="13"/>
  <c r="BS40" i="13"/>
  <c r="BT40" i="13"/>
  <c r="BU40" i="13"/>
  <c r="BV40" i="13"/>
  <c r="BW40" i="13"/>
  <c r="BX40" i="13"/>
  <c r="BY40" i="13"/>
  <c r="BZ40" i="13"/>
  <c r="CA40" i="13"/>
  <c r="CB40" i="13"/>
  <c r="CC40" i="13"/>
  <c r="CD40" i="13"/>
  <c r="CF40" i="13"/>
  <c r="CN40" i="13"/>
  <c r="CO40" i="13"/>
  <c r="B41" i="13"/>
  <c r="C41" i="13"/>
  <c r="D41" i="13"/>
  <c r="E41" i="13"/>
  <c r="F41" i="13"/>
  <c r="G41" i="13"/>
  <c r="H41" i="13"/>
  <c r="I41" i="13"/>
  <c r="J41" i="13"/>
  <c r="K41" i="13"/>
  <c r="L41" i="13"/>
  <c r="M41" i="13"/>
  <c r="O41" i="13"/>
  <c r="P41" i="13"/>
  <c r="R41" i="13"/>
  <c r="S41" i="13"/>
  <c r="U41" i="13"/>
  <c r="V41" i="13"/>
  <c r="X41" i="13"/>
  <c r="Y41" i="13"/>
  <c r="Z41" i="13"/>
  <c r="AA41" i="13"/>
  <c r="AB41" i="13"/>
  <c r="AC41" i="13"/>
  <c r="AD41" i="13"/>
  <c r="AI41" i="13"/>
  <c r="AK41" i="13"/>
  <c r="BL41" i="13"/>
  <c r="BM41" i="13"/>
  <c r="BN41" i="13"/>
  <c r="BP41" i="13"/>
  <c r="BQ41" i="13"/>
  <c r="BS41" i="13"/>
  <c r="BT41" i="13"/>
  <c r="BU41" i="13"/>
  <c r="BV41" i="13"/>
  <c r="BW41" i="13"/>
  <c r="BX41" i="13"/>
  <c r="BY41" i="13"/>
  <c r="BZ41" i="13"/>
  <c r="CA41" i="13"/>
  <c r="CB41" i="13"/>
  <c r="CC41" i="13"/>
  <c r="CD41" i="13"/>
  <c r="CF41" i="13"/>
  <c r="CN41" i="13"/>
  <c r="CO41" i="13"/>
  <c r="B42" i="13"/>
  <c r="C42" i="13"/>
  <c r="D42" i="13"/>
  <c r="E42" i="13"/>
  <c r="F42" i="13"/>
  <c r="G42" i="13"/>
  <c r="H42" i="13"/>
  <c r="I42" i="13"/>
  <c r="J42" i="13"/>
  <c r="K42" i="13"/>
  <c r="L42" i="13"/>
  <c r="M42" i="13"/>
  <c r="O42" i="13"/>
  <c r="P42" i="13"/>
  <c r="R42" i="13"/>
  <c r="S42" i="13"/>
  <c r="U42" i="13"/>
  <c r="V42" i="13"/>
  <c r="X42" i="13"/>
  <c r="Y42" i="13"/>
  <c r="Z42" i="13"/>
  <c r="AA42" i="13"/>
  <c r="AB42" i="13"/>
  <c r="AC42" i="13"/>
  <c r="AD42" i="13"/>
  <c r="AI42" i="13"/>
  <c r="AK42" i="13"/>
  <c r="BL42" i="13"/>
  <c r="BM42" i="13"/>
  <c r="BN42" i="13"/>
  <c r="BP42" i="13"/>
  <c r="BQ42" i="13"/>
  <c r="BS42" i="13"/>
  <c r="BT42" i="13"/>
  <c r="BU42" i="13"/>
  <c r="BV42" i="13"/>
  <c r="BW42" i="13"/>
  <c r="BX42" i="13"/>
  <c r="BY42" i="13"/>
  <c r="BZ42" i="13"/>
  <c r="CA42" i="13"/>
  <c r="CB42" i="13"/>
  <c r="CC42" i="13"/>
  <c r="CD42" i="13"/>
  <c r="CF42" i="13"/>
  <c r="CN42" i="13"/>
  <c r="CO42" i="13"/>
  <c r="B43" i="13"/>
  <c r="C43" i="13"/>
  <c r="D43" i="13"/>
  <c r="E43" i="13"/>
  <c r="F43" i="13"/>
  <c r="G43" i="13"/>
  <c r="H43" i="13"/>
  <c r="I43" i="13"/>
  <c r="J43" i="13"/>
  <c r="K43" i="13"/>
  <c r="L43" i="13"/>
  <c r="M43" i="13"/>
  <c r="O43" i="13"/>
  <c r="P43" i="13"/>
  <c r="R43" i="13"/>
  <c r="S43" i="13"/>
  <c r="U43" i="13"/>
  <c r="V43" i="13"/>
  <c r="X43" i="13"/>
  <c r="Y43" i="13"/>
  <c r="Z43" i="13"/>
  <c r="AA43" i="13"/>
  <c r="AB43" i="13"/>
  <c r="AC43" i="13"/>
  <c r="AD43" i="13"/>
  <c r="AI43" i="13"/>
  <c r="AK43" i="13"/>
  <c r="BL43" i="13"/>
  <c r="BM43" i="13"/>
  <c r="BN43" i="13"/>
  <c r="BP43" i="13"/>
  <c r="BQ43" i="13"/>
  <c r="BS43" i="13"/>
  <c r="BT43" i="13"/>
  <c r="BU43" i="13"/>
  <c r="BV43" i="13"/>
  <c r="BW43" i="13"/>
  <c r="BX43" i="13"/>
  <c r="BY43" i="13"/>
  <c r="BZ43" i="13"/>
  <c r="CA43" i="13"/>
  <c r="CB43" i="13"/>
  <c r="CC43" i="13"/>
  <c r="CD43" i="13"/>
  <c r="CF43" i="13"/>
  <c r="CN43" i="13"/>
  <c r="CO43" i="13"/>
  <c r="B140" i="71"/>
  <c r="C140" i="71"/>
  <c r="D140" i="71"/>
  <c r="E140" i="71"/>
  <c r="F140" i="71"/>
  <c r="G140" i="71"/>
  <c r="I140" i="71"/>
  <c r="J140" i="71"/>
  <c r="K140" i="71"/>
  <c r="L140" i="71"/>
  <c r="M140" i="71"/>
  <c r="N140" i="71"/>
  <c r="O140" i="71"/>
  <c r="P140" i="71"/>
  <c r="AF140" i="71"/>
  <c r="AG140" i="71"/>
  <c r="AH140" i="71"/>
  <c r="AI140" i="71"/>
  <c r="AJ140" i="71"/>
  <c r="AK140" i="71"/>
  <c r="AM140" i="71"/>
  <c r="AN140" i="71"/>
  <c r="AO140" i="71"/>
  <c r="AP140" i="71"/>
  <c r="AQ140" i="71"/>
  <c r="AR140" i="71"/>
  <c r="AS140" i="71"/>
  <c r="AT140" i="71"/>
  <c r="B141" i="71"/>
  <c r="C141" i="71"/>
  <c r="D141" i="71"/>
  <c r="E141" i="71"/>
  <c r="F141" i="71"/>
  <c r="G141" i="71"/>
  <c r="I141" i="71"/>
  <c r="J141" i="71"/>
  <c r="K141" i="71"/>
  <c r="L141" i="71"/>
  <c r="M141" i="71"/>
  <c r="N141" i="71"/>
  <c r="O141" i="71"/>
  <c r="P141" i="71"/>
  <c r="AF141" i="71"/>
  <c r="AG141" i="71"/>
  <c r="AH141" i="71"/>
  <c r="AI141" i="71"/>
  <c r="AJ141" i="71"/>
  <c r="AK141" i="71"/>
  <c r="AM141" i="71"/>
  <c r="AN141" i="71"/>
  <c r="AO141" i="71"/>
  <c r="AP141" i="71"/>
  <c r="AQ141" i="71"/>
  <c r="AR141" i="71"/>
  <c r="AS141" i="71"/>
  <c r="AT141" i="71"/>
  <c r="B142" i="71"/>
  <c r="C142" i="71"/>
  <c r="D142" i="71"/>
  <c r="E142" i="71"/>
  <c r="F142" i="71"/>
  <c r="G142" i="71"/>
  <c r="I142" i="71"/>
  <c r="J142" i="71"/>
  <c r="K142" i="71"/>
  <c r="L142" i="71"/>
  <c r="M142" i="71"/>
  <c r="N142" i="71"/>
  <c r="O142" i="71"/>
  <c r="P142" i="71"/>
  <c r="AF142" i="71"/>
  <c r="AG142" i="71"/>
  <c r="AH142" i="71"/>
  <c r="AI142" i="71"/>
  <c r="AJ142" i="71"/>
  <c r="AK142" i="71"/>
  <c r="AM142" i="71"/>
  <c r="AN142" i="71"/>
  <c r="AO142" i="71"/>
  <c r="AP142" i="71"/>
  <c r="AQ142" i="71"/>
  <c r="AR142" i="71"/>
  <c r="AS142" i="71"/>
  <c r="AT142" i="71"/>
  <c r="B143" i="71"/>
  <c r="C143" i="71"/>
  <c r="D143" i="71"/>
  <c r="E143" i="71"/>
  <c r="F143" i="71"/>
  <c r="G143" i="71"/>
  <c r="I143" i="71"/>
  <c r="J143" i="71"/>
  <c r="K143" i="71"/>
  <c r="L143" i="71"/>
  <c r="M143" i="71"/>
  <c r="N143" i="71"/>
  <c r="O143" i="71"/>
  <c r="P143" i="71"/>
  <c r="AF143" i="71"/>
  <c r="AG143" i="71"/>
  <c r="AH143" i="71"/>
  <c r="AI143" i="71"/>
  <c r="AJ143" i="71"/>
  <c r="AK143" i="71"/>
  <c r="AM143" i="71"/>
  <c r="AN143" i="71"/>
  <c r="AO143" i="71"/>
  <c r="AP143" i="71"/>
  <c r="AQ143" i="71"/>
  <c r="AR143" i="71"/>
  <c r="AS143" i="71"/>
  <c r="AT143" i="71"/>
  <c r="B144" i="71"/>
  <c r="C144" i="71"/>
  <c r="D144" i="71"/>
  <c r="E144" i="71"/>
  <c r="F144" i="71"/>
  <c r="G144" i="71"/>
  <c r="I144" i="71"/>
  <c r="J144" i="71"/>
  <c r="K144" i="71"/>
  <c r="L144" i="71"/>
  <c r="M144" i="71"/>
  <c r="N144" i="71"/>
  <c r="O144" i="71"/>
  <c r="P144" i="71"/>
  <c r="AF144" i="71"/>
  <c r="AG144" i="71"/>
  <c r="AH144" i="71"/>
  <c r="AI144" i="71"/>
  <c r="AJ144" i="71"/>
  <c r="AK144" i="71"/>
  <c r="AM144" i="71"/>
  <c r="AN144" i="71"/>
  <c r="AO144" i="71"/>
  <c r="AP144" i="71"/>
  <c r="AQ144" i="71"/>
  <c r="AR144" i="71"/>
  <c r="AS144" i="71"/>
  <c r="AT144" i="71"/>
  <c r="B145" i="71"/>
  <c r="C145" i="71"/>
  <c r="D145" i="71"/>
  <c r="E145" i="71"/>
  <c r="F145" i="71"/>
  <c r="G145" i="71"/>
  <c r="I145" i="71"/>
  <c r="J145" i="71"/>
  <c r="K145" i="71"/>
  <c r="L145" i="71"/>
  <c r="M145" i="71"/>
  <c r="N145" i="71"/>
  <c r="O145" i="71"/>
  <c r="P145" i="71"/>
  <c r="AF145" i="71"/>
  <c r="AG145" i="71"/>
  <c r="AH145" i="71"/>
  <c r="AI145" i="71"/>
  <c r="AJ145" i="71"/>
  <c r="AK145" i="71"/>
  <c r="AM145" i="71"/>
  <c r="AN145" i="71"/>
  <c r="AO145" i="71"/>
  <c r="AP145" i="71"/>
  <c r="AQ145" i="71"/>
  <c r="AR145" i="71"/>
  <c r="AS145" i="71"/>
  <c r="AT145" i="71"/>
  <c r="B147" i="71"/>
  <c r="C147" i="71"/>
  <c r="D147" i="71"/>
  <c r="E147" i="71"/>
  <c r="F147" i="71"/>
  <c r="G147" i="71"/>
  <c r="I147" i="71"/>
  <c r="J147" i="71"/>
  <c r="K147" i="71"/>
  <c r="L147" i="71"/>
  <c r="M147" i="71"/>
  <c r="N147" i="71"/>
  <c r="O147" i="71"/>
  <c r="P147" i="71"/>
  <c r="AF147" i="71"/>
  <c r="AG147" i="71"/>
  <c r="AH147" i="71"/>
  <c r="AI147" i="71"/>
  <c r="AJ147" i="71"/>
  <c r="AK147" i="71"/>
  <c r="AM147" i="71"/>
  <c r="AN147" i="71"/>
  <c r="AO147" i="71"/>
  <c r="AP147" i="71"/>
  <c r="AQ147" i="71"/>
  <c r="AR147" i="71"/>
  <c r="AS147" i="71"/>
  <c r="AT147" i="71"/>
  <c r="B148" i="71"/>
  <c r="C148" i="71"/>
  <c r="D148" i="71"/>
  <c r="E148" i="71"/>
  <c r="F148" i="71"/>
  <c r="G148" i="71"/>
  <c r="I148" i="71"/>
  <c r="J148" i="71"/>
  <c r="K148" i="71"/>
  <c r="L148" i="71"/>
  <c r="M148" i="71"/>
  <c r="N148" i="71"/>
  <c r="O148" i="71"/>
  <c r="P148" i="71"/>
  <c r="AF148" i="71"/>
  <c r="AG148" i="71"/>
  <c r="AH148" i="71"/>
  <c r="AI148" i="71"/>
  <c r="AJ148" i="71"/>
  <c r="AK148" i="71"/>
  <c r="AM148" i="71"/>
  <c r="AN148" i="71"/>
  <c r="AO148" i="71"/>
  <c r="AP148" i="71"/>
  <c r="AQ148" i="71"/>
  <c r="AR148" i="71"/>
  <c r="AS148" i="71"/>
  <c r="AT148" i="71"/>
  <c r="B149" i="71"/>
  <c r="C149" i="71"/>
  <c r="D149" i="71"/>
  <c r="E149" i="71"/>
  <c r="F149" i="71"/>
  <c r="G149" i="71"/>
  <c r="I149" i="71"/>
  <c r="J149" i="71"/>
  <c r="K149" i="71"/>
  <c r="L149" i="71"/>
  <c r="M149" i="71"/>
  <c r="N149" i="71"/>
  <c r="O149" i="71"/>
  <c r="P149" i="71"/>
  <c r="AF149" i="71"/>
  <c r="AG149" i="71"/>
  <c r="AH149" i="71"/>
  <c r="AI149" i="71"/>
  <c r="AJ149" i="71"/>
  <c r="AK149" i="71"/>
  <c r="AM149" i="71"/>
  <c r="AN149" i="71"/>
  <c r="AO149" i="71"/>
  <c r="AP149" i="71"/>
  <c r="AQ149" i="71"/>
  <c r="AR149" i="71"/>
  <c r="AS149" i="71"/>
  <c r="AT149" i="71"/>
  <c r="B150" i="71"/>
  <c r="C150" i="71"/>
  <c r="D150" i="71"/>
  <c r="E150" i="71"/>
  <c r="F150" i="71"/>
  <c r="G150" i="71"/>
  <c r="I150" i="71"/>
  <c r="J150" i="71"/>
  <c r="K150" i="71"/>
  <c r="L150" i="71"/>
  <c r="M150" i="71"/>
  <c r="N150" i="71"/>
  <c r="O150" i="71"/>
  <c r="P150" i="71"/>
  <c r="AF150" i="71"/>
  <c r="AG150" i="71"/>
  <c r="AH150" i="71"/>
  <c r="AI150" i="71"/>
  <c r="AJ150" i="71"/>
  <c r="AK150" i="71"/>
  <c r="AM150" i="71"/>
  <c r="AN150" i="71"/>
  <c r="AO150" i="71"/>
  <c r="AP150" i="71"/>
  <c r="AQ150" i="71"/>
  <c r="AR150" i="71"/>
  <c r="AS150" i="71"/>
  <c r="AT150" i="71"/>
  <c r="B151" i="71"/>
  <c r="C151" i="71"/>
  <c r="D151" i="71"/>
  <c r="E151" i="71"/>
  <c r="F151" i="71"/>
  <c r="G151" i="71"/>
  <c r="I151" i="71"/>
  <c r="J151" i="71"/>
  <c r="K151" i="71"/>
  <c r="L151" i="71"/>
  <c r="M151" i="71"/>
  <c r="N151" i="71"/>
  <c r="O151" i="71"/>
  <c r="P151" i="71"/>
  <c r="AF151" i="71"/>
  <c r="AG151" i="71"/>
  <c r="AH151" i="71"/>
  <c r="AI151" i="71"/>
  <c r="AJ151" i="71"/>
  <c r="AK151" i="71"/>
  <c r="AM151" i="71"/>
  <c r="AN151" i="71"/>
  <c r="AO151" i="71"/>
  <c r="AP151" i="71"/>
  <c r="AQ151" i="71"/>
  <c r="AR151" i="71"/>
  <c r="AS151" i="71"/>
  <c r="AT151" i="71"/>
  <c r="B152" i="71"/>
  <c r="C152" i="71"/>
  <c r="D152" i="71"/>
  <c r="E152" i="71"/>
  <c r="F152" i="71"/>
  <c r="G152" i="71"/>
  <c r="I152" i="71"/>
  <c r="J152" i="71"/>
  <c r="K152" i="71"/>
  <c r="L152" i="71"/>
  <c r="M152" i="71"/>
  <c r="N152" i="71"/>
  <c r="O152" i="71"/>
  <c r="P152" i="71"/>
  <c r="AF152" i="71"/>
  <c r="AG152" i="71"/>
  <c r="AH152" i="71"/>
  <c r="AI152" i="71"/>
  <c r="AJ152" i="71"/>
  <c r="AK152" i="71"/>
  <c r="AM152" i="71"/>
  <c r="AN152" i="71"/>
  <c r="AO152" i="71"/>
  <c r="AP152" i="71"/>
  <c r="AQ152" i="71"/>
  <c r="AR152" i="71"/>
  <c r="AS152" i="71"/>
  <c r="AT152" i="71"/>
  <c r="B153" i="71"/>
  <c r="C153" i="71"/>
  <c r="D153" i="71"/>
  <c r="E153" i="71"/>
  <c r="F153" i="71"/>
  <c r="G153" i="71"/>
  <c r="I153" i="71"/>
  <c r="J153" i="71"/>
  <c r="K153" i="71"/>
  <c r="L153" i="71"/>
  <c r="M153" i="71"/>
  <c r="N153" i="71"/>
  <c r="O153" i="71"/>
  <c r="P153" i="71"/>
  <c r="AF153" i="71"/>
  <c r="AG153" i="71"/>
  <c r="AH153" i="71"/>
  <c r="AI153" i="71"/>
  <c r="AJ153" i="71"/>
  <c r="AK153" i="71"/>
  <c r="AM153" i="71"/>
  <c r="AN153" i="71"/>
  <c r="AO153" i="71"/>
  <c r="AP153" i="71"/>
  <c r="AQ153" i="71"/>
  <c r="AR153" i="71"/>
  <c r="AS153" i="71"/>
  <c r="AT153" i="71"/>
  <c r="B154" i="71"/>
  <c r="C154" i="71"/>
  <c r="D154" i="71"/>
  <c r="E154" i="71"/>
  <c r="F154" i="71"/>
  <c r="G154" i="71"/>
  <c r="I154" i="71"/>
  <c r="J154" i="71"/>
  <c r="K154" i="71"/>
  <c r="L154" i="71"/>
  <c r="M154" i="71"/>
  <c r="N154" i="71"/>
  <c r="O154" i="71"/>
  <c r="P154" i="71"/>
  <c r="AF154" i="71"/>
  <c r="AG154" i="71"/>
  <c r="AH154" i="71"/>
  <c r="AI154" i="71"/>
  <c r="AJ154" i="71"/>
  <c r="AK154" i="71"/>
  <c r="AM154" i="71"/>
  <c r="AN154" i="71"/>
  <c r="AO154" i="71"/>
  <c r="AP154" i="71"/>
  <c r="AQ154" i="71"/>
  <c r="AR154" i="71"/>
  <c r="AS154" i="71"/>
  <c r="AT154" i="71"/>
  <c r="B155" i="71"/>
  <c r="C155" i="71"/>
  <c r="D155" i="71"/>
  <c r="E155" i="71"/>
  <c r="F155" i="71"/>
  <c r="G155" i="71"/>
  <c r="I155" i="71"/>
  <c r="J155" i="71"/>
  <c r="K155" i="71"/>
  <c r="L155" i="71"/>
  <c r="M155" i="71"/>
  <c r="N155" i="71"/>
  <c r="O155" i="71"/>
  <c r="P155" i="71"/>
  <c r="AF155" i="71"/>
  <c r="AG155" i="71"/>
  <c r="AH155" i="71"/>
  <c r="AI155" i="71"/>
  <c r="AJ155" i="71"/>
  <c r="AK155" i="71"/>
  <c r="AM155" i="71"/>
  <c r="AN155" i="71"/>
  <c r="AO155" i="71"/>
  <c r="AP155" i="71"/>
  <c r="AQ155" i="71"/>
  <c r="AR155" i="71"/>
  <c r="AS155" i="71"/>
  <c r="AT155" i="71"/>
  <c r="B156" i="71"/>
  <c r="C156" i="71"/>
  <c r="D156" i="71"/>
  <c r="E156" i="71"/>
  <c r="F156" i="71"/>
  <c r="G156" i="71"/>
  <c r="I156" i="71"/>
  <c r="J156" i="71"/>
  <c r="K156" i="71"/>
  <c r="L156" i="71"/>
  <c r="M156" i="71"/>
  <c r="N156" i="71"/>
  <c r="O156" i="71"/>
  <c r="P156" i="71"/>
  <c r="AF156" i="71"/>
  <c r="AG156" i="71"/>
  <c r="AH156" i="71"/>
  <c r="AI156" i="71"/>
  <c r="AJ156" i="71"/>
  <c r="AK156" i="71"/>
  <c r="AM156" i="71"/>
  <c r="AN156" i="71"/>
  <c r="AO156" i="71"/>
  <c r="AP156" i="71"/>
  <c r="AQ156" i="71"/>
  <c r="AR156" i="71"/>
  <c r="AS156" i="71"/>
  <c r="AT156" i="71"/>
  <c r="B157" i="71"/>
  <c r="C157" i="71"/>
  <c r="D157" i="71"/>
  <c r="E157" i="71"/>
  <c r="F157" i="71"/>
  <c r="G157" i="71"/>
  <c r="I157" i="71"/>
  <c r="J157" i="71"/>
  <c r="K157" i="71"/>
  <c r="L157" i="71"/>
  <c r="M157" i="71"/>
  <c r="N157" i="71"/>
  <c r="O157" i="71"/>
  <c r="P157" i="71"/>
  <c r="AF157" i="71"/>
  <c r="AG157" i="71"/>
  <c r="AH157" i="71"/>
  <c r="AI157" i="71"/>
  <c r="AJ157" i="71"/>
  <c r="AK157" i="71"/>
  <c r="AM157" i="71"/>
  <c r="AN157" i="71"/>
  <c r="AO157" i="71"/>
  <c r="AP157" i="71"/>
  <c r="AQ157" i="71"/>
  <c r="AR157" i="71"/>
  <c r="AS157" i="71"/>
  <c r="AT157" i="71"/>
  <c r="B158" i="71"/>
  <c r="C158" i="71"/>
  <c r="D158" i="71"/>
  <c r="E158" i="71"/>
  <c r="F158" i="71"/>
  <c r="G158" i="71"/>
  <c r="I158" i="71"/>
  <c r="J158" i="71"/>
  <c r="K158" i="71"/>
  <c r="L158" i="71"/>
  <c r="M158" i="71"/>
  <c r="N158" i="71"/>
  <c r="O158" i="71"/>
  <c r="P158" i="71"/>
  <c r="AF158" i="71"/>
  <c r="AG158" i="71"/>
  <c r="AH158" i="71"/>
  <c r="AI158" i="71"/>
  <c r="AJ158" i="71"/>
  <c r="AK158" i="71"/>
  <c r="AM158" i="71"/>
  <c r="AN158" i="71"/>
  <c r="AO158" i="71"/>
  <c r="AP158" i="71"/>
  <c r="AQ158" i="71"/>
  <c r="AR158" i="71"/>
  <c r="AS158" i="71"/>
  <c r="AT158" i="71"/>
  <c r="B159" i="71"/>
  <c r="C159" i="71"/>
  <c r="D159" i="71"/>
  <c r="E159" i="71"/>
  <c r="F159" i="71"/>
  <c r="G159" i="71"/>
  <c r="I159" i="71"/>
  <c r="J159" i="71"/>
  <c r="K159" i="71"/>
  <c r="L159" i="71"/>
  <c r="M159" i="71"/>
  <c r="N159" i="71"/>
  <c r="O159" i="71"/>
  <c r="P159" i="71"/>
  <c r="AF159" i="71"/>
  <c r="AG159" i="71"/>
  <c r="AH159" i="71"/>
  <c r="AI159" i="71"/>
  <c r="AJ159" i="71"/>
  <c r="AK159" i="71"/>
  <c r="AM159" i="71"/>
  <c r="AN159" i="71"/>
  <c r="AO159" i="71"/>
  <c r="AP159" i="71"/>
  <c r="AQ159" i="71"/>
  <c r="AR159" i="71"/>
  <c r="AS159" i="71"/>
  <c r="AT159" i="71"/>
  <c r="B161" i="71"/>
  <c r="C161" i="71"/>
  <c r="D161" i="71"/>
  <c r="E161" i="71"/>
  <c r="F161" i="71"/>
  <c r="G161" i="71"/>
  <c r="I161" i="71"/>
  <c r="J161" i="71"/>
  <c r="K161" i="71"/>
  <c r="L161" i="71"/>
  <c r="M161" i="71"/>
  <c r="N161" i="71"/>
  <c r="O161" i="71"/>
  <c r="P161" i="71"/>
  <c r="AF161" i="71"/>
  <c r="AG161" i="71"/>
  <c r="AH161" i="71"/>
  <c r="AI161" i="71"/>
  <c r="AJ161" i="71"/>
  <c r="AK161" i="71"/>
  <c r="AM161" i="71"/>
  <c r="AN161" i="71"/>
  <c r="AO161" i="71"/>
  <c r="AP161" i="71"/>
  <c r="AQ161" i="71"/>
  <c r="AR161" i="71"/>
  <c r="AS161" i="71"/>
  <c r="AT161" i="71"/>
  <c r="B162" i="71"/>
  <c r="C162" i="71"/>
  <c r="D162" i="71"/>
  <c r="E162" i="71"/>
  <c r="F162" i="71"/>
  <c r="G162" i="71"/>
  <c r="I162" i="71"/>
  <c r="J162" i="71"/>
  <c r="K162" i="71"/>
  <c r="L162" i="71"/>
  <c r="M162" i="71"/>
  <c r="N162" i="71"/>
  <c r="O162" i="71"/>
  <c r="P162" i="71"/>
  <c r="AF162" i="71"/>
  <c r="AG162" i="71"/>
  <c r="AH162" i="71"/>
  <c r="AI162" i="71"/>
  <c r="AJ162" i="71"/>
  <c r="AK162" i="71"/>
  <c r="AM162" i="71"/>
  <c r="AN162" i="71"/>
  <c r="AO162" i="71"/>
  <c r="AP162" i="71"/>
  <c r="AQ162" i="71"/>
  <c r="AR162" i="71"/>
  <c r="AS162" i="71"/>
  <c r="AT162" i="71"/>
  <c r="B163" i="71"/>
  <c r="C163" i="71"/>
  <c r="D163" i="71"/>
  <c r="E163" i="71"/>
  <c r="F163" i="71"/>
  <c r="G163" i="71"/>
  <c r="I163" i="71"/>
  <c r="J163" i="71"/>
  <c r="K163" i="71"/>
  <c r="L163" i="71"/>
  <c r="M163" i="71"/>
  <c r="N163" i="71"/>
  <c r="O163" i="71"/>
  <c r="P163" i="71"/>
  <c r="AF163" i="71"/>
  <c r="AG163" i="71"/>
  <c r="AH163" i="71"/>
  <c r="AI163" i="71"/>
  <c r="AJ163" i="71"/>
  <c r="AK163" i="71"/>
  <c r="AM163" i="71"/>
  <c r="AN163" i="71"/>
  <c r="AO163" i="71"/>
  <c r="AP163" i="71"/>
  <c r="AQ163" i="71"/>
  <c r="AR163" i="71"/>
  <c r="AS163" i="71"/>
  <c r="AT163" i="71"/>
  <c r="B164" i="71"/>
  <c r="C164" i="71"/>
  <c r="D164" i="71"/>
  <c r="E164" i="71"/>
  <c r="F164" i="71"/>
  <c r="G164" i="71"/>
  <c r="I164" i="71"/>
  <c r="J164" i="71"/>
  <c r="K164" i="71"/>
  <c r="L164" i="71"/>
  <c r="M164" i="71"/>
  <c r="N164" i="71"/>
  <c r="O164" i="71"/>
  <c r="P164" i="71"/>
  <c r="AF164" i="71"/>
  <c r="AG164" i="71"/>
  <c r="AH164" i="71"/>
  <c r="AI164" i="71"/>
  <c r="AJ164" i="71"/>
  <c r="AK164" i="71"/>
  <c r="AM164" i="71"/>
  <c r="AN164" i="71"/>
  <c r="AO164" i="71"/>
  <c r="AP164" i="71"/>
  <c r="AQ164" i="71"/>
  <c r="AR164" i="71"/>
  <c r="AS164" i="71"/>
  <c r="AT164" i="71"/>
  <c r="B165" i="71"/>
  <c r="C165" i="71"/>
  <c r="D165" i="71"/>
  <c r="E165" i="71"/>
  <c r="F165" i="71"/>
  <c r="G165" i="71"/>
  <c r="I165" i="71"/>
  <c r="J165" i="71"/>
  <c r="K165" i="71"/>
  <c r="L165" i="71"/>
  <c r="M165" i="71"/>
  <c r="N165" i="71"/>
  <c r="O165" i="71"/>
  <c r="P165" i="71"/>
  <c r="AF165" i="71"/>
  <c r="AG165" i="71"/>
  <c r="AH165" i="71"/>
  <c r="AI165" i="71"/>
  <c r="AJ165" i="71"/>
  <c r="AK165" i="71"/>
  <c r="AM165" i="71"/>
  <c r="AN165" i="71"/>
  <c r="AO165" i="71"/>
  <c r="AP165" i="71"/>
  <c r="AQ165" i="71"/>
  <c r="AR165" i="71"/>
  <c r="AS165" i="71"/>
  <c r="AT165" i="71"/>
  <c r="B166" i="71"/>
  <c r="C166" i="71"/>
  <c r="D166" i="71"/>
  <c r="E166" i="71"/>
  <c r="F166" i="71"/>
  <c r="G166" i="71"/>
  <c r="I166" i="71"/>
  <c r="J166" i="71"/>
  <c r="K166" i="71"/>
  <c r="L166" i="71"/>
  <c r="M166" i="71"/>
  <c r="N166" i="71"/>
  <c r="O166" i="71"/>
  <c r="P166" i="71"/>
  <c r="AF166" i="71"/>
  <c r="AG166" i="71"/>
  <c r="AH166" i="71"/>
  <c r="AI166" i="71"/>
  <c r="AJ166" i="71"/>
  <c r="AK166" i="71"/>
  <c r="AM166" i="71"/>
  <c r="AN166" i="71"/>
  <c r="AO166" i="71"/>
  <c r="AP166" i="71"/>
  <c r="AQ166" i="71"/>
  <c r="AR166" i="71"/>
  <c r="AS166" i="71"/>
  <c r="AT166" i="71"/>
  <c r="B167" i="71"/>
  <c r="C167" i="71"/>
  <c r="D167" i="71"/>
  <c r="E167" i="71"/>
  <c r="F167" i="71"/>
  <c r="G167" i="71"/>
  <c r="I167" i="71"/>
  <c r="J167" i="71"/>
  <c r="K167" i="71"/>
  <c r="L167" i="71"/>
  <c r="M167" i="71"/>
  <c r="N167" i="71"/>
  <c r="O167" i="71"/>
  <c r="P167" i="71"/>
  <c r="AF167" i="71"/>
  <c r="AG167" i="71"/>
  <c r="AH167" i="71"/>
  <c r="AI167" i="71"/>
  <c r="AJ167" i="71"/>
  <c r="AK167" i="71"/>
  <c r="AM167" i="71"/>
  <c r="AN167" i="71"/>
  <c r="AO167" i="71"/>
  <c r="AP167" i="71"/>
  <c r="AQ167" i="71"/>
  <c r="AR167" i="71"/>
  <c r="AS167" i="71"/>
  <c r="AT167" i="71"/>
  <c r="B168" i="71"/>
  <c r="C168" i="71"/>
  <c r="D168" i="71"/>
  <c r="E168" i="71"/>
  <c r="F168" i="71"/>
  <c r="G168" i="71"/>
  <c r="I168" i="71"/>
  <c r="J168" i="71"/>
  <c r="K168" i="71"/>
  <c r="L168" i="71"/>
  <c r="M168" i="71"/>
  <c r="N168" i="71"/>
  <c r="O168" i="71"/>
  <c r="P168" i="71"/>
  <c r="AF168" i="71"/>
  <c r="AG168" i="71"/>
  <c r="AH168" i="71"/>
  <c r="AI168" i="71"/>
  <c r="AJ168" i="71"/>
  <c r="AK168" i="71"/>
  <c r="AM168" i="71"/>
  <c r="AN168" i="71"/>
  <c r="AO168" i="71"/>
  <c r="AP168" i="71"/>
  <c r="AQ168" i="71"/>
  <c r="AR168" i="71"/>
  <c r="AS168" i="71"/>
  <c r="AT168" i="71"/>
  <c r="B215" i="71"/>
  <c r="C215" i="71"/>
  <c r="D215" i="71"/>
  <c r="E215" i="71"/>
  <c r="B216" i="71"/>
  <c r="C216" i="71"/>
  <c r="D216" i="71"/>
  <c r="E216" i="71"/>
  <c r="B217" i="71"/>
  <c r="C217" i="71"/>
  <c r="D217" i="71"/>
  <c r="E217" i="71"/>
  <c r="B218" i="71"/>
  <c r="C218" i="71"/>
  <c r="D218" i="71"/>
  <c r="E218" i="71"/>
  <c r="B219" i="71"/>
  <c r="C219" i="71"/>
  <c r="D219" i="71"/>
  <c r="E219" i="71"/>
  <c r="B220" i="71"/>
  <c r="C220" i="71"/>
  <c r="D220" i="71"/>
  <c r="E220" i="71"/>
  <c r="B222" i="71"/>
  <c r="C222" i="71"/>
  <c r="D222" i="71"/>
  <c r="E222" i="71"/>
  <c r="B223" i="71"/>
  <c r="C223" i="71"/>
  <c r="D223" i="71"/>
  <c r="E223" i="71"/>
  <c r="B224" i="71"/>
  <c r="C224" i="71"/>
  <c r="D224" i="71"/>
  <c r="E224" i="71"/>
  <c r="B225" i="71"/>
  <c r="C225" i="71"/>
  <c r="D225" i="71"/>
  <c r="E225" i="71"/>
  <c r="B226" i="71"/>
  <c r="C226" i="71"/>
  <c r="D226" i="71"/>
  <c r="E226" i="71"/>
  <c r="B227" i="71"/>
  <c r="C227" i="71"/>
  <c r="D227" i="71"/>
  <c r="E227" i="71"/>
  <c r="B228" i="71"/>
  <c r="C228" i="71"/>
  <c r="D228" i="71"/>
  <c r="E228" i="71"/>
  <c r="B229" i="71"/>
  <c r="C229" i="71"/>
  <c r="D229" i="71"/>
  <c r="E229" i="71"/>
  <c r="B230" i="71"/>
  <c r="C230" i="71"/>
  <c r="D230" i="71"/>
  <c r="E230" i="71"/>
  <c r="B231" i="71"/>
  <c r="C231" i="71"/>
  <c r="D231" i="71"/>
  <c r="E231" i="71"/>
  <c r="B232" i="71"/>
  <c r="C232" i="71"/>
  <c r="D232" i="71"/>
  <c r="E232" i="71"/>
  <c r="B233" i="71"/>
  <c r="C233" i="71"/>
  <c r="D233" i="71"/>
  <c r="E233" i="71"/>
  <c r="B234" i="71"/>
  <c r="C234" i="71"/>
  <c r="D234" i="71"/>
  <c r="E234" i="71"/>
  <c r="B236" i="71"/>
  <c r="C236" i="71"/>
  <c r="D236" i="71"/>
  <c r="E236" i="71"/>
  <c r="B237" i="71"/>
  <c r="C237" i="71"/>
  <c r="D237" i="71"/>
  <c r="E237" i="71"/>
  <c r="B238" i="71"/>
  <c r="C238" i="71"/>
  <c r="D238" i="71"/>
  <c r="E238" i="71"/>
  <c r="B239" i="71"/>
  <c r="C239" i="71"/>
  <c r="D239" i="71"/>
  <c r="E239" i="71"/>
  <c r="B240" i="71"/>
  <c r="C240" i="71"/>
  <c r="D240" i="71"/>
  <c r="E240" i="71"/>
  <c r="B241" i="71"/>
  <c r="C241" i="71"/>
  <c r="D241" i="71"/>
  <c r="E241" i="71"/>
  <c r="B242" i="71"/>
  <c r="C242" i="71"/>
  <c r="D242" i="71"/>
  <c r="E242" i="71"/>
  <c r="B243" i="71"/>
  <c r="C243" i="71"/>
  <c r="D243" i="71"/>
  <c r="E243" i="71"/>
  <c r="B248" i="71"/>
  <c r="C248" i="71"/>
  <c r="D248" i="71"/>
  <c r="E248" i="71"/>
  <c r="B249" i="71"/>
  <c r="C249" i="71"/>
  <c r="D249" i="71"/>
  <c r="E249" i="71"/>
  <c r="B250" i="71"/>
  <c r="C250" i="71"/>
  <c r="D250" i="71"/>
  <c r="E250" i="71"/>
  <c r="B251" i="71"/>
  <c r="C251" i="71"/>
  <c r="D251" i="71"/>
  <c r="E251" i="71"/>
  <c r="B252" i="71"/>
  <c r="C252" i="71"/>
  <c r="D252" i="71"/>
  <c r="E252" i="71"/>
  <c r="B253" i="71"/>
  <c r="C253" i="71"/>
  <c r="D253" i="71"/>
  <c r="E253" i="71"/>
  <c r="B255" i="71"/>
  <c r="C255" i="71"/>
  <c r="D255" i="71"/>
  <c r="E255" i="71"/>
  <c r="B256" i="71"/>
  <c r="C256" i="71"/>
  <c r="D256" i="71"/>
  <c r="E256" i="71"/>
  <c r="B257" i="71"/>
  <c r="C257" i="71"/>
  <c r="D257" i="71"/>
  <c r="E257" i="71"/>
  <c r="B258" i="71"/>
  <c r="C258" i="71"/>
  <c r="D258" i="71"/>
  <c r="E258" i="71"/>
  <c r="B259" i="71"/>
  <c r="C259" i="71"/>
  <c r="D259" i="71"/>
  <c r="E259" i="71"/>
  <c r="B260" i="71"/>
  <c r="C260" i="71"/>
  <c r="D260" i="71"/>
  <c r="E260" i="71"/>
  <c r="B261" i="71"/>
  <c r="C261" i="71"/>
  <c r="D261" i="71"/>
  <c r="E261" i="71"/>
  <c r="B262" i="71"/>
  <c r="C262" i="71"/>
  <c r="D262" i="71"/>
  <c r="E262" i="71"/>
  <c r="B263" i="71"/>
  <c r="C263" i="71"/>
  <c r="D263" i="71"/>
  <c r="E263" i="71"/>
  <c r="B264" i="71"/>
  <c r="C264" i="71"/>
  <c r="D264" i="71"/>
  <c r="E264" i="71"/>
  <c r="B265" i="71"/>
  <c r="C265" i="71"/>
  <c r="D265" i="71"/>
  <c r="E265" i="71"/>
  <c r="B266" i="71"/>
  <c r="C266" i="71"/>
  <c r="D266" i="71"/>
  <c r="E266" i="71"/>
  <c r="B267" i="71"/>
  <c r="C267" i="71"/>
  <c r="D267" i="71"/>
  <c r="E267" i="71"/>
  <c r="B269" i="71"/>
  <c r="C269" i="71"/>
  <c r="D269" i="71"/>
  <c r="E269" i="71"/>
  <c r="B270" i="71"/>
  <c r="C270" i="71"/>
  <c r="D270" i="71"/>
  <c r="E270" i="71"/>
  <c r="B271" i="71"/>
  <c r="C271" i="71"/>
  <c r="D271" i="71"/>
  <c r="E271" i="71"/>
  <c r="B272" i="71"/>
  <c r="C272" i="71"/>
  <c r="D272" i="71"/>
  <c r="E272" i="71"/>
  <c r="B273" i="71"/>
  <c r="C273" i="71"/>
  <c r="D273" i="71"/>
  <c r="E273" i="71"/>
  <c r="B274" i="71"/>
  <c r="C274" i="71"/>
  <c r="D274" i="71"/>
  <c r="E274" i="71"/>
  <c r="B275" i="71"/>
  <c r="C275" i="71"/>
  <c r="D275" i="71"/>
  <c r="E275" i="71"/>
  <c r="B276" i="71"/>
  <c r="C276" i="71"/>
  <c r="D276" i="71"/>
  <c r="E276" i="71"/>
  <c r="B75" i="73"/>
  <c r="C75" i="73"/>
  <c r="D75" i="73"/>
  <c r="E75" i="73"/>
  <c r="B76" i="73"/>
  <c r="C76" i="73"/>
  <c r="D76" i="73"/>
  <c r="E76" i="73"/>
  <c r="B77" i="73"/>
  <c r="C77" i="73"/>
  <c r="D77" i="73"/>
  <c r="E77" i="73"/>
  <c r="B78" i="73"/>
  <c r="C78" i="73"/>
  <c r="D78" i="73"/>
  <c r="E78" i="73"/>
  <c r="B79" i="73"/>
  <c r="C79" i="73"/>
  <c r="D79" i="73"/>
  <c r="E79" i="73"/>
  <c r="B80" i="73"/>
  <c r="C80" i="73"/>
  <c r="D80" i="73"/>
  <c r="E80" i="73"/>
  <c r="B82" i="73"/>
  <c r="C82" i="73"/>
  <c r="D82" i="73"/>
  <c r="E82" i="73"/>
  <c r="B83" i="73"/>
  <c r="C83" i="73"/>
  <c r="D83" i="73"/>
  <c r="E83" i="73"/>
  <c r="B84" i="73"/>
  <c r="C84" i="73"/>
  <c r="D84" i="73"/>
  <c r="E84" i="73"/>
  <c r="B85" i="73"/>
  <c r="C85" i="73"/>
  <c r="D85" i="73"/>
  <c r="E85" i="73"/>
  <c r="B86" i="73"/>
  <c r="C86" i="73"/>
  <c r="D86" i="73"/>
  <c r="E86" i="73"/>
  <c r="B87" i="73"/>
  <c r="C87" i="73"/>
  <c r="D87" i="73"/>
  <c r="E87" i="73"/>
  <c r="B88" i="73"/>
  <c r="C88" i="73"/>
  <c r="D88" i="73"/>
  <c r="E88" i="73"/>
  <c r="B89" i="73"/>
  <c r="C89" i="73"/>
  <c r="D89" i="73"/>
  <c r="E89" i="73"/>
  <c r="B90" i="73"/>
  <c r="C90" i="73"/>
  <c r="D90" i="73"/>
  <c r="E90" i="73"/>
  <c r="B91" i="73"/>
  <c r="C91" i="73"/>
  <c r="D91" i="73"/>
  <c r="E91" i="73"/>
  <c r="B92" i="73"/>
  <c r="C92" i="73"/>
  <c r="D92" i="73"/>
  <c r="E92" i="73"/>
  <c r="B93" i="73"/>
  <c r="C93" i="73"/>
  <c r="D93" i="73"/>
  <c r="E93" i="73"/>
  <c r="B94" i="73"/>
  <c r="C94" i="73"/>
  <c r="D94" i="73"/>
  <c r="E94" i="73"/>
  <c r="B96" i="73"/>
  <c r="C96" i="73"/>
  <c r="D96" i="73"/>
  <c r="E96" i="73"/>
  <c r="B97" i="73"/>
  <c r="C97" i="73"/>
  <c r="D97" i="73"/>
  <c r="E97" i="73"/>
  <c r="B98" i="73"/>
  <c r="C98" i="73"/>
  <c r="D98" i="73"/>
  <c r="E98" i="73"/>
  <c r="B99" i="73"/>
  <c r="C99" i="73"/>
  <c r="D99" i="73"/>
  <c r="E99" i="73"/>
  <c r="B100" i="73"/>
  <c r="C100" i="73"/>
  <c r="D100" i="73"/>
  <c r="E100" i="73"/>
  <c r="B101" i="73"/>
  <c r="C101" i="73"/>
  <c r="D101" i="73"/>
  <c r="E101" i="73"/>
  <c r="B102" i="73"/>
  <c r="C102" i="73"/>
  <c r="D102" i="73"/>
  <c r="E102" i="73"/>
  <c r="B103" i="73"/>
  <c r="C103" i="73"/>
  <c r="D103" i="73"/>
  <c r="E103" i="73"/>
  <c r="C126" i="73"/>
  <c r="D126" i="73"/>
  <c r="E126" i="73"/>
  <c r="C127" i="73"/>
  <c r="D127" i="73"/>
  <c r="E127" i="73"/>
  <c r="C128" i="73"/>
  <c r="D128" i="73"/>
  <c r="E128" i="73"/>
  <c r="C129" i="73"/>
  <c r="D129" i="73"/>
  <c r="E129" i="73"/>
  <c r="C130" i="73"/>
  <c r="D130" i="73"/>
  <c r="E130" i="73"/>
  <c r="C131" i="73"/>
  <c r="D131" i="73"/>
  <c r="E131" i="73"/>
  <c r="C133" i="73"/>
  <c r="D133" i="73"/>
  <c r="E133" i="73"/>
  <c r="C134" i="73"/>
  <c r="D134" i="73"/>
  <c r="E134" i="73"/>
  <c r="C135" i="73"/>
  <c r="D135" i="73"/>
  <c r="E135" i="73"/>
  <c r="C136" i="73"/>
  <c r="D136" i="73"/>
  <c r="E136" i="73"/>
  <c r="C137" i="73"/>
  <c r="D137" i="73"/>
  <c r="E137" i="73"/>
  <c r="C138" i="73"/>
  <c r="D138" i="73"/>
  <c r="E138" i="73"/>
  <c r="C139" i="73"/>
  <c r="D139" i="73"/>
  <c r="E139" i="73"/>
  <c r="C140" i="73"/>
  <c r="D140" i="73"/>
  <c r="E140" i="73"/>
  <c r="C141" i="73"/>
  <c r="D141" i="73"/>
  <c r="E141" i="73"/>
  <c r="C142" i="73"/>
  <c r="D142" i="73"/>
  <c r="E142" i="73"/>
  <c r="C143" i="73"/>
  <c r="D143" i="73"/>
  <c r="E143" i="73"/>
  <c r="C144" i="73"/>
  <c r="D144" i="73"/>
  <c r="E144" i="73"/>
  <c r="C145" i="73"/>
  <c r="D145" i="73"/>
  <c r="E145" i="73"/>
  <c r="C147" i="73"/>
  <c r="D147" i="73"/>
  <c r="E147" i="73"/>
  <c r="C148" i="73"/>
  <c r="D148" i="73"/>
  <c r="E148" i="73"/>
  <c r="C149" i="73"/>
  <c r="D149" i="73"/>
  <c r="E149" i="73"/>
  <c r="C150" i="73"/>
  <c r="D150" i="73"/>
  <c r="E150" i="73"/>
  <c r="C151" i="73"/>
  <c r="D151" i="73"/>
  <c r="E151" i="73"/>
  <c r="C152" i="73"/>
  <c r="D152" i="73"/>
  <c r="E152" i="73"/>
  <c r="C153" i="73"/>
  <c r="D153" i="73"/>
  <c r="E153" i="73"/>
  <c r="C154" i="73"/>
  <c r="D154" i="73"/>
  <c r="E154" i="73"/>
  <c r="B159" i="73"/>
  <c r="C159" i="73"/>
  <c r="D159" i="73"/>
  <c r="E159" i="73"/>
  <c r="B160" i="73"/>
  <c r="C160" i="73"/>
  <c r="D160" i="73"/>
  <c r="E160" i="73"/>
  <c r="B161" i="73"/>
  <c r="C161" i="73"/>
  <c r="D161" i="73"/>
  <c r="E161" i="73"/>
  <c r="B162" i="73"/>
  <c r="C162" i="73"/>
  <c r="D162" i="73"/>
  <c r="E162" i="73"/>
  <c r="B163" i="73"/>
  <c r="C163" i="73"/>
  <c r="D163" i="73"/>
  <c r="E163" i="73"/>
  <c r="B164" i="73"/>
  <c r="C164" i="73"/>
  <c r="D164" i="73"/>
  <c r="E164" i="73"/>
  <c r="B166" i="73"/>
  <c r="C166" i="73"/>
  <c r="D166" i="73"/>
  <c r="E166" i="73"/>
  <c r="B167" i="73"/>
  <c r="C167" i="73"/>
  <c r="D167" i="73"/>
  <c r="E167" i="73"/>
  <c r="B168" i="73"/>
  <c r="C168" i="73"/>
  <c r="D168" i="73"/>
  <c r="E168" i="73"/>
  <c r="B169" i="73"/>
  <c r="C169" i="73"/>
  <c r="D169" i="73"/>
  <c r="E169" i="73"/>
  <c r="B170" i="73"/>
  <c r="C170" i="73"/>
  <c r="D170" i="73"/>
  <c r="E170" i="73"/>
  <c r="B171" i="73"/>
  <c r="C171" i="73"/>
  <c r="D171" i="73"/>
  <c r="E171" i="73"/>
  <c r="B172" i="73"/>
  <c r="C172" i="73"/>
  <c r="D172" i="73"/>
  <c r="E172" i="73"/>
  <c r="B173" i="73"/>
  <c r="C173" i="73"/>
  <c r="D173" i="73"/>
  <c r="E173" i="73"/>
  <c r="B174" i="73"/>
  <c r="C174" i="73"/>
  <c r="D174" i="73"/>
  <c r="E174" i="73"/>
  <c r="B175" i="73"/>
  <c r="C175" i="73"/>
  <c r="D175" i="73"/>
  <c r="E175" i="73"/>
  <c r="B176" i="73"/>
  <c r="C176" i="73"/>
  <c r="D176" i="73"/>
  <c r="E176" i="73"/>
  <c r="B177" i="73"/>
  <c r="C177" i="73"/>
  <c r="D177" i="73"/>
  <c r="E177" i="73"/>
  <c r="B178" i="73"/>
  <c r="C178" i="73"/>
  <c r="D178" i="73"/>
  <c r="E178" i="73"/>
  <c r="B180" i="73"/>
  <c r="C180" i="73"/>
  <c r="D180" i="73"/>
  <c r="E180" i="73"/>
  <c r="B181" i="73"/>
  <c r="C181" i="73"/>
  <c r="D181" i="73"/>
  <c r="E181" i="73"/>
  <c r="B182" i="73"/>
  <c r="C182" i="73"/>
  <c r="D182" i="73"/>
  <c r="E182" i="73"/>
  <c r="B183" i="73"/>
  <c r="C183" i="73"/>
  <c r="D183" i="73"/>
  <c r="E183" i="73"/>
  <c r="B184" i="73"/>
  <c r="C184" i="73"/>
  <c r="D184" i="73"/>
  <c r="E184" i="73"/>
  <c r="B185" i="73"/>
  <c r="C185" i="73"/>
  <c r="D185" i="73"/>
  <c r="E185" i="73"/>
  <c r="B186" i="73"/>
  <c r="C186" i="73"/>
  <c r="D186" i="73"/>
  <c r="E186" i="73"/>
  <c r="B187" i="73"/>
  <c r="C187" i="73"/>
  <c r="D187" i="73"/>
  <c r="E187" i="73"/>
  <c r="B276" i="74"/>
  <c r="C276" i="74"/>
  <c r="D276" i="74"/>
  <c r="E276" i="74"/>
  <c r="B277" i="74"/>
  <c r="C277" i="74"/>
  <c r="D277" i="74"/>
  <c r="E277" i="74"/>
  <c r="B278" i="74"/>
  <c r="C278" i="74"/>
  <c r="D278" i="74"/>
  <c r="E278" i="74"/>
  <c r="B279" i="74"/>
  <c r="C279" i="74"/>
  <c r="D279" i="74"/>
  <c r="E279" i="74"/>
  <c r="B280" i="74"/>
  <c r="C280" i="74"/>
  <c r="D280" i="74"/>
  <c r="E280" i="74"/>
  <c r="B281" i="74"/>
  <c r="C281" i="74"/>
  <c r="D281" i="74"/>
  <c r="E281" i="74"/>
  <c r="B283" i="74"/>
  <c r="C283" i="74"/>
  <c r="D283" i="74"/>
  <c r="E283" i="74"/>
  <c r="B284" i="74"/>
  <c r="C284" i="74"/>
  <c r="D284" i="74"/>
  <c r="E284" i="74"/>
  <c r="B285" i="74"/>
  <c r="C285" i="74"/>
  <c r="D285" i="74"/>
  <c r="E285" i="74"/>
  <c r="B286" i="74"/>
  <c r="C286" i="74"/>
  <c r="D286" i="74"/>
  <c r="E286" i="74"/>
  <c r="B287" i="74"/>
  <c r="C287" i="74"/>
  <c r="D287" i="74"/>
  <c r="E287" i="74"/>
  <c r="B288" i="74"/>
  <c r="C288" i="74"/>
  <c r="D288" i="74"/>
  <c r="E288" i="74"/>
  <c r="B289" i="74"/>
  <c r="C289" i="74"/>
  <c r="D289" i="74"/>
  <c r="E289" i="74"/>
  <c r="B290" i="74"/>
  <c r="C290" i="74"/>
  <c r="D290" i="74"/>
  <c r="E290" i="74"/>
  <c r="B291" i="74"/>
  <c r="C291" i="74"/>
  <c r="D291" i="74"/>
  <c r="E291" i="74"/>
  <c r="B292" i="74"/>
  <c r="C292" i="74"/>
  <c r="D292" i="74"/>
  <c r="E292" i="74"/>
  <c r="B293" i="74"/>
  <c r="C293" i="74"/>
  <c r="D293" i="74"/>
  <c r="E293" i="74"/>
  <c r="B294" i="74"/>
  <c r="C294" i="74"/>
  <c r="D294" i="74"/>
  <c r="E294" i="74"/>
  <c r="B295" i="74"/>
  <c r="C295" i="74"/>
  <c r="D295" i="74"/>
  <c r="E295" i="74"/>
  <c r="B297" i="74"/>
  <c r="C297" i="74"/>
  <c r="D297" i="74"/>
  <c r="E297" i="74"/>
  <c r="B298" i="74"/>
  <c r="C298" i="74"/>
  <c r="D298" i="74"/>
  <c r="E298" i="74"/>
  <c r="B299" i="74"/>
  <c r="C299" i="74"/>
  <c r="D299" i="74"/>
  <c r="E299" i="74"/>
  <c r="B300" i="74"/>
  <c r="C300" i="74"/>
  <c r="D300" i="74"/>
  <c r="E300" i="74"/>
  <c r="B301" i="74"/>
  <c r="C301" i="74"/>
  <c r="D301" i="74"/>
  <c r="E301" i="74"/>
  <c r="B302" i="74"/>
  <c r="C302" i="74"/>
  <c r="D302" i="74"/>
  <c r="E302" i="74"/>
  <c r="B303" i="74"/>
  <c r="C303" i="74"/>
  <c r="D303" i="74"/>
  <c r="E303" i="74"/>
  <c r="B304" i="74"/>
  <c r="C304" i="74"/>
  <c r="D304" i="74"/>
  <c r="E304" i="74"/>
  <c r="B311" i="74"/>
  <c r="C311" i="74"/>
  <c r="D311" i="74"/>
  <c r="E311" i="74"/>
  <c r="F311" i="74"/>
  <c r="G311" i="74"/>
  <c r="H311" i="74"/>
  <c r="I311" i="74"/>
  <c r="J311" i="74"/>
  <c r="K311" i="74"/>
  <c r="L311" i="74"/>
  <c r="M311" i="74"/>
  <c r="N311" i="74"/>
  <c r="O311" i="74"/>
  <c r="P311" i="74"/>
  <c r="Q311" i="74"/>
  <c r="R311" i="74"/>
  <c r="S311" i="74"/>
  <c r="T311" i="74"/>
  <c r="U311" i="74"/>
  <c r="B312" i="74"/>
  <c r="C312" i="74"/>
  <c r="D312" i="74"/>
  <c r="E312" i="74"/>
  <c r="F312" i="74"/>
  <c r="G312" i="74"/>
  <c r="H312" i="74"/>
  <c r="I312" i="74"/>
  <c r="J312" i="74"/>
  <c r="K312" i="74"/>
  <c r="L312" i="74"/>
  <c r="M312" i="74"/>
  <c r="N312" i="74"/>
  <c r="O312" i="74"/>
  <c r="P312" i="74"/>
  <c r="Q312" i="74"/>
  <c r="R312" i="74"/>
  <c r="S312" i="74"/>
  <c r="T312" i="74"/>
  <c r="U312" i="74"/>
  <c r="B313" i="74"/>
  <c r="C313" i="74"/>
  <c r="D313" i="74"/>
  <c r="E313" i="74"/>
  <c r="F313" i="74"/>
  <c r="G313" i="74"/>
  <c r="H313" i="74"/>
  <c r="I313" i="74"/>
  <c r="J313" i="74"/>
  <c r="K313" i="74"/>
  <c r="L313" i="74"/>
  <c r="M313" i="74"/>
  <c r="N313" i="74"/>
  <c r="O313" i="74"/>
  <c r="P313" i="74"/>
  <c r="Q313" i="74"/>
  <c r="R313" i="74"/>
  <c r="S313" i="74"/>
  <c r="T313" i="74"/>
  <c r="U313" i="74"/>
  <c r="B314" i="74"/>
  <c r="C314" i="74"/>
  <c r="D314" i="74"/>
  <c r="E314" i="74"/>
  <c r="F314" i="74"/>
  <c r="G314" i="74"/>
  <c r="H314" i="74"/>
  <c r="I314" i="74"/>
  <c r="J314" i="74"/>
  <c r="K314" i="74"/>
  <c r="L314" i="74"/>
  <c r="M314" i="74"/>
  <c r="N314" i="74"/>
  <c r="O314" i="74"/>
  <c r="P314" i="74"/>
  <c r="Q314" i="74"/>
  <c r="R314" i="74"/>
  <c r="S314" i="74"/>
  <c r="T314" i="74"/>
  <c r="U314" i="74"/>
  <c r="B315" i="74"/>
  <c r="C315" i="74"/>
  <c r="D315" i="74"/>
  <c r="E315" i="74"/>
  <c r="F315" i="74"/>
  <c r="G315" i="74"/>
  <c r="H315" i="74"/>
  <c r="I315" i="74"/>
  <c r="J315" i="74"/>
  <c r="K315" i="74"/>
  <c r="L315" i="74"/>
  <c r="M315" i="74"/>
  <c r="N315" i="74"/>
  <c r="O315" i="74"/>
  <c r="P315" i="74"/>
  <c r="Q315" i="74"/>
  <c r="R315" i="74"/>
  <c r="S315" i="74"/>
  <c r="T315" i="74"/>
  <c r="U315" i="74"/>
  <c r="B316" i="74"/>
  <c r="C316" i="74"/>
  <c r="D316" i="74"/>
  <c r="E316" i="74"/>
  <c r="F316" i="74"/>
  <c r="G316" i="74"/>
  <c r="H316" i="74"/>
  <c r="I316" i="74"/>
  <c r="J316" i="74"/>
  <c r="K316" i="74"/>
  <c r="L316" i="74"/>
  <c r="M316" i="74"/>
  <c r="N316" i="74"/>
  <c r="O316" i="74"/>
  <c r="P316" i="74"/>
  <c r="Q316" i="74"/>
  <c r="R316" i="74"/>
  <c r="S316" i="74"/>
  <c r="T316" i="74"/>
  <c r="U316" i="74"/>
  <c r="B318" i="74"/>
  <c r="C318" i="74"/>
  <c r="D318" i="74"/>
  <c r="E318" i="74"/>
  <c r="F318" i="74"/>
  <c r="G318" i="74"/>
  <c r="H318" i="74"/>
  <c r="I318" i="74"/>
  <c r="J318" i="74"/>
  <c r="K318" i="74"/>
  <c r="L318" i="74"/>
  <c r="M318" i="74"/>
  <c r="N318" i="74"/>
  <c r="O318" i="74"/>
  <c r="P318" i="74"/>
  <c r="Q318" i="74"/>
  <c r="R318" i="74"/>
  <c r="S318" i="74"/>
  <c r="T318" i="74"/>
  <c r="U318" i="74"/>
  <c r="B319" i="74"/>
  <c r="C319" i="74"/>
  <c r="D319" i="74"/>
  <c r="E319" i="74"/>
  <c r="F319" i="74"/>
  <c r="G319" i="74"/>
  <c r="H319" i="74"/>
  <c r="I319" i="74"/>
  <c r="J319" i="74"/>
  <c r="K319" i="74"/>
  <c r="L319" i="74"/>
  <c r="M319" i="74"/>
  <c r="N319" i="74"/>
  <c r="O319" i="74"/>
  <c r="P319" i="74"/>
  <c r="Q319" i="74"/>
  <c r="R319" i="74"/>
  <c r="S319" i="74"/>
  <c r="T319" i="74"/>
  <c r="U319" i="74"/>
  <c r="B320" i="74"/>
  <c r="C320" i="74"/>
  <c r="D320" i="74"/>
  <c r="E320" i="74"/>
  <c r="F320" i="74"/>
  <c r="G320" i="74"/>
  <c r="H320" i="74"/>
  <c r="I320" i="74"/>
  <c r="J320" i="74"/>
  <c r="K320" i="74"/>
  <c r="L320" i="74"/>
  <c r="M320" i="74"/>
  <c r="N320" i="74"/>
  <c r="O320" i="74"/>
  <c r="P320" i="74"/>
  <c r="Q320" i="74"/>
  <c r="R320" i="74"/>
  <c r="S320" i="74"/>
  <c r="T320" i="74"/>
  <c r="U320" i="74"/>
  <c r="B321" i="74"/>
  <c r="C321" i="74"/>
  <c r="D321" i="74"/>
  <c r="E321" i="74"/>
  <c r="F321" i="74"/>
  <c r="G321" i="74"/>
  <c r="H321" i="74"/>
  <c r="I321" i="74"/>
  <c r="J321" i="74"/>
  <c r="K321" i="74"/>
  <c r="L321" i="74"/>
  <c r="M321" i="74"/>
  <c r="N321" i="74"/>
  <c r="O321" i="74"/>
  <c r="P321" i="74"/>
  <c r="Q321" i="74"/>
  <c r="R321" i="74"/>
  <c r="S321" i="74"/>
  <c r="T321" i="74"/>
  <c r="U321" i="74"/>
  <c r="B322" i="74"/>
  <c r="C322" i="74"/>
  <c r="D322" i="74"/>
  <c r="E322" i="74"/>
  <c r="F322" i="74"/>
  <c r="G322" i="74"/>
  <c r="H322" i="74"/>
  <c r="I322" i="74"/>
  <c r="J322" i="74"/>
  <c r="K322" i="74"/>
  <c r="L322" i="74"/>
  <c r="M322" i="74"/>
  <c r="N322" i="74"/>
  <c r="O322" i="74"/>
  <c r="P322" i="74"/>
  <c r="Q322" i="74"/>
  <c r="R322" i="74"/>
  <c r="S322" i="74"/>
  <c r="T322" i="74"/>
  <c r="U322" i="74"/>
  <c r="B323" i="74"/>
  <c r="C323" i="74"/>
  <c r="D323" i="74"/>
  <c r="E323" i="74"/>
  <c r="F323" i="74"/>
  <c r="G323" i="74"/>
  <c r="H323" i="74"/>
  <c r="I323" i="74"/>
  <c r="J323" i="74"/>
  <c r="K323" i="74"/>
  <c r="L323" i="74"/>
  <c r="M323" i="74"/>
  <c r="N323" i="74"/>
  <c r="O323" i="74"/>
  <c r="P323" i="74"/>
  <c r="Q323" i="74"/>
  <c r="R323" i="74"/>
  <c r="S323" i="74"/>
  <c r="T323" i="74"/>
  <c r="U323" i="74"/>
  <c r="B324" i="74"/>
  <c r="C324" i="74"/>
  <c r="D324" i="74"/>
  <c r="E324" i="74"/>
  <c r="F324" i="74"/>
  <c r="G324" i="74"/>
  <c r="H324" i="74"/>
  <c r="I324" i="74"/>
  <c r="J324" i="74"/>
  <c r="K324" i="74"/>
  <c r="L324" i="74"/>
  <c r="M324" i="74"/>
  <c r="N324" i="74"/>
  <c r="O324" i="74"/>
  <c r="P324" i="74"/>
  <c r="Q324" i="74"/>
  <c r="R324" i="74"/>
  <c r="S324" i="74"/>
  <c r="T324" i="74"/>
  <c r="U324" i="74"/>
  <c r="B325" i="74"/>
  <c r="C325" i="74"/>
  <c r="D325" i="74"/>
  <c r="E325" i="74"/>
  <c r="F325" i="74"/>
  <c r="G325" i="74"/>
  <c r="H325" i="74"/>
  <c r="I325" i="74"/>
  <c r="J325" i="74"/>
  <c r="K325" i="74"/>
  <c r="L325" i="74"/>
  <c r="M325" i="74"/>
  <c r="N325" i="74"/>
  <c r="O325" i="74"/>
  <c r="P325" i="74"/>
  <c r="Q325" i="74"/>
  <c r="R325" i="74"/>
  <c r="S325" i="74"/>
  <c r="T325" i="74"/>
  <c r="U325" i="74"/>
  <c r="B326" i="74"/>
  <c r="C326" i="74"/>
  <c r="D326" i="74"/>
  <c r="E326" i="74"/>
  <c r="F326" i="74"/>
  <c r="G326" i="74"/>
  <c r="H326" i="74"/>
  <c r="I326" i="74"/>
  <c r="J326" i="74"/>
  <c r="K326" i="74"/>
  <c r="L326" i="74"/>
  <c r="M326" i="74"/>
  <c r="N326" i="74"/>
  <c r="O326" i="74"/>
  <c r="P326" i="74"/>
  <c r="Q326" i="74"/>
  <c r="R326" i="74"/>
  <c r="S326" i="74"/>
  <c r="T326" i="74"/>
  <c r="U326" i="74"/>
  <c r="B327" i="74"/>
  <c r="C327" i="74"/>
  <c r="D327" i="74"/>
  <c r="E327" i="74"/>
  <c r="F327" i="74"/>
  <c r="G327" i="74"/>
  <c r="H327" i="74"/>
  <c r="I327" i="74"/>
  <c r="J327" i="74"/>
  <c r="K327" i="74"/>
  <c r="L327" i="74"/>
  <c r="M327" i="74"/>
  <c r="N327" i="74"/>
  <c r="O327" i="74"/>
  <c r="P327" i="74"/>
  <c r="Q327" i="74"/>
  <c r="R327" i="74"/>
  <c r="S327" i="74"/>
  <c r="T327" i="74"/>
  <c r="U327" i="74"/>
  <c r="B328" i="74"/>
  <c r="C328" i="74"/>
  <c r="D328" i="74"/>
  <c r="E328" i="74"/>
  <c r="F328" i="74"/>
  <c r="G328" i="74"/>
  <c r="H328" i="74"/>
  <c r="I328" i="74"/>
  <c r="J328" i="74"/>
  <c r="K328" i="74"/>
  <c r="L328" i="74"/>
  <c r="M328" i="74"/>
  <c r="N328" i="74"/>
  <c r="O328" i="74"/>
  <c r="P328" i="74"/>
  <c r="Q328" i="74"/>
  <c r="R328" i="74"/>
  <c r="S328" i="74"/>
  <c r="T328" i="74"/>
  <c r="U328" i="74"/>
  <c r="B329" i="74"/>
  <c r="C329" i="74"/>
  <c r="D329" i="74"/>
  <c r="E329" i="74"/>
  <c r="F329" i="74"/>
  <c r="G329" i="74"/>
  <c r="H329" i="74"/>
  <c r="I329" i="74"/>
  <c r="J329" i="74"/>
  <c r="K329" i="74"/>
  <c r="L329" i="74"/>
  <c r="M329" i="74"/>
  <c r="N329" i="74"/>
  <c r="O329" i="74"/>
  <c r="P329" i="74"/>
  <c r="Q329" i="74"/>
  <c r="R329" i="74"/>
  <c r="S329" i="74"/>
  <c r="T329" i="74"/>
  <c r="U329" i="74"/>
  <c r="B330" i="74"/>
  <c r="C330" i="74"/>
  <c r="D330" i="74"/>
  <c r="E330" i="74"/>
  <c r="F330" i="74"/>
  <c r="G330" i="74"/>
  <c r="H330" i="74"/>
  <c r="I330" i="74"/>
  <c r="J330" i="74"/>
  <c r="K330" i="74"/>
  <c r="L330" i="74"/>
  <c r="M330" i="74"/>
  <c r="N330" i="74"/>
  <c r="O330" i="74"/>
  <c r="P330" i="74"/>
  <c r="Q330" i="74"/>
  <c r="R330" i="74"/>
  <c r="S330" i="74"/>
  <c r="T330" i="74"/>
  <c r="U330" i="74"/>
  <c r="B332" i="74"/>
  <c r="C332" i="74"/>
  <c r="D332" i="74"/>
  <c r="E332" i="74"/>
  <c r="F332" i="74"/>
  <c r="G332" i="74"/>
  <c r="H332" i="74"/>
  <c r="I332" i="74"/>
  <c r="J332" i="74"/>
  <c r="K332" i="74"/>
  <c r="L332" i="74"/>
  <c r="M332" i="74"/>
  <c r="N332" i="74"/>
  <c r="O332" i="74"/>
  <c r="P332" i="74"/>
  <c r="Q332" i="74"/>
  <c r="R332" i="74"/>
  <c r="S332" i="74"/>
  <c r="T332" i="74"/>
  <c r="U332" i="74"/>
  <c r="B333" i="74"/>
  <c r="C333" i="74"/>
  <c r="D333" i="74"/>
  <c r="E333" i="74"/>
  <c r="F333" i="74"/>
  <c r="G333" i="74"/>
  <c r="H333" i="74"/>
  <c r="I333" i="74"/>
  <c r="J333" i="74"/>
  <c r="K333" i="74"/>
  <c r="L333" i="74"/>
  <c r="M333" i="74"/>
  <c r="N333" i="74"/>
  <c r="O333" i="74"/>
  <c r="P333" i="74"/>
  <c r="Q333" i="74"/>
  <c r="R333" i="74"/>
  <c r="S333" i="74"/>
  <c r="T333" i="74"/>
  <c r="U333" i="74"/>
  <c r="B334" i="74"/>
  <c r="C334" i="74"/>
  <c r="D334" i="74"/>
  <c r="E334" i="74"/>
  <c r="F334" i="74"/>
  <c r="G334" i="74"/>
  <c r="H334" i="74"/>
  <c r="I334" i="74"/>
  <c r="J334" i="74"/>
  <c r="K334" i="74"/>
  <c r="L334" i="74"/>
  <c r="M334" i="74"/>
  <c r="N334" i="74"/>
  <c r="O334" i="74"/>
  <c r="P334" i="74"/>
  <c r="Q334" i="74"/>
  <c r="R334" i="74"/>
  <c r="S334" i="74"/>
  <c r="T334" i="74"/>
  <c r="U334" i="74"/>
  <c r="B335" i="74"/>
  <c r="C335" i="74"/>
  <c r="D335" i="74"/>
  <c r="E335" i="74"/>
  <c r="F335" i="74"/>
  <c r="G335" i="74"/>
  <c r="H335" i="74"/>
  <c r="I335" i="74"/>
  <c r="J335" i="74"/>
  <c r="K335" i="74"/>
  <c r="L335" i="74"/>
  <c r="M335" i="74"/>
  <c r="N335" i="74"/>
  <c r="O335" i="74"/>
  <c r="P335" i="74"/>
  <c r="Q335" i="74"/>
  <c r="R335" i="74"/>
  <c r="S335" i="74"/>
  <c r="T335" i="74"/>
  <c r="U335" i="74"/>
  <c r="B336" i="74"/>
  <c r="C336" i="74"/>
  <c r="D336" i="74"/>
  <c r="E336" i="74"/>
  <c r="F336" i="74"/>
  <c r="G336" i="74"/>
  <c r="H336" i="74"/>
  <c r="I336" i="74"/>
  <c r="J336" i="74"/>
  <c r="K336" i="74"/>
  <c r="L336" i="74"/>
  <c r="M336" i="74"/>
  <c r="N336" i="74"/>
  <c r="O336" i="74"/>
  <c r="P336" i="74"/>
  <c r="Q336" i="74"/>
  <c r="R336" i="74"/>
  <c r="S336" i="74"/>
  <c r="T336" i="74"/>
  <c r="U336" i="74"/>
  <c r="B337" i="74"/>
  <c r="C337" i="74"/>
  <c r="D337" i="74"/>
  <c r="E337" i="74"/>
  <c r="F337" i="74"/>
  <c r="G337" i="74"/>
  <c r="H337" i="74"/>
  <c r="I337" i="74"/>
  <c r="J337" i="74"/>
  <c r="K337" i="74"/>
  <c r="L337" i="74"/>
  <c r="M337" i="74"/>
  <c r="N337" i="74"/>
  <c r="O337" i="74"/>
  <c r="P337" i="74"/>
  <c r="Q337" i="74"/>
  <c r="R337" i="74"/>
  <c r="S337" i="74"/>
  <c r="T337" i="74"/>
  <c r="U337" i="74"/>
  <c r="B338" i="74"/>
  <c r="C338" i="74"/>
  <c r="D338" i="74"/>
  <c r="E338" i="74"/>
  <c r="F338" i="74"/>
  <c r="G338" i="74"/>
  <c r="H338" i="74"/>
  <c r="I338" i="74"/>
  <c r="J338" i="74"/>
  <c r="K338" i="74"/>
  <c r="L338" i="74"/>
  <c r="M338" i="74"/>
  <c r="N338" i="74"/>
  <c r="O338" i="74"/>
  <c r="P338" i="74"/>
  <c r="Q338" i="74"/>
  <c r="R338" i="74"/>
  <c r="S338" i="74"/>
  <c r="T338" i="74"/>
  <c r="U338" i="74"/>
  <c r="B339" i="74"/>
  <c r="C339" i="74"/>
  <c r="D339" i="74"/>
  <c r="E339" i="74"/>
  <c r="F339" i="74"/>
  <c r="G339" i="74"/>
  <c r="H339" i="74"/>
  <c r="I339" i="74"/>
  <c r="J339" i="74"/>
  <c r="K339" i="74"/>
  <c r="L339" i="74"/>
  <c r="M339" i="74"/>
  <c r="N339" i="74"/>
  <c r="O339" i="74"/>
  <c r="P339" i="74"/>
  <c r="Q339" i="74"/>
  <c r="R339" i="74"/>
  <c r="S339" i="74"/>
  <c r="T339" i="74"/>
  <c r="U339" i="74"/>
  <c r="B345" i="74"/>
  <c r="C345" i="74"/>
  <c r="D345" i="74"/>
  <c r="E345" i="74"/>
  <c r="F345" i="74"/>
  <c r="G345" i="74"/>
  <c r="H345" i="74"/>
  <c r="I345" i="74"/>
  <c r="J345" i="74"/>
  <c r="K345" i="74"/>
  <c r="L345" i="74"/>
  <c r="M345" i="74"/>
  <c r="N345" i="74"/>
  <c r="O345" i="74"/>
  <c r="P345" i="74"/>
  <c r="Q345" i="74"/>
  <c r="R345" i="74"/>
  <c r="S345" i="74"/>
  <c r="T345" i="74"/>
  <c r="U345" i="74"/>
  <c r="B346" i="74"/>
  <c r="C346" i="74"/>
  <c r="D346" i="74"/>
  <c r="E346" i="74"/>
  <c r="F346" i="74"/>
  <c r="G346" i="74"/>
  <c r="H346" i="74"/>
  <c r="I346" i="74"/>
  <c r="J346" i="74"/>
  <c r="K346" i="74"/>
  <c r="L346" i="74"/>
  <c r="M346" i="74"/>
  <c r="N346" i="74"/>
  <c r="O346" i="74"/>
  <c r="P346" i="74"/>
  <c r="Q346" i="74"/>
  <c r="R346" i="74"/>
  <c r="S346" i="74"/>
  <c r="T346" i="74"/>
  <c r="U346" i="74"/>
  <c r="B347" i="74"/>
  <c r="C347" i="74"/>
  <c r="D347" i="74"/>
  <c r="E347" i="74"/>
  <c r="F347" i="74"/>
  <c r="G347" i="74"/>
  <c r="H347" i="74"/>
  <c r="I347" i="74"/>
  <c r="J347" i="74"/>
  <c r="K347" i="74"/>
  <c r="L347" i="74"/>
  <c r="M347" i="74"/>
  <c r="N347" i="74"/>
  <c r="O347" i="74"/>
  <c r="P347" i="74"/>
  <c r="Q347" i="74"/>
  <c r="R347" i="74"/>
  <c r="S347" i="74"/>
  <c r="T347" i="74"/>
  <c r="U347" i="74"/>
  <c r="B348" i="74"/>
  <c r="C348" i="74"/>
  <c r="D348" i="74"/>
  <c r="E348" i="74"/>
  <c r="F348" i="74"/>
  <c r="G348" i="74"/>
  <c r="H348" i="74"/>
  <c r="I348" i="74"/>
  <c r="J348" i="74"/>
  <c r="K348" i="74"/>
  <c r="L348" i="74"/>
  <c r="M348" i="74"/>
  <c r="N348" i="74"/>
  <c r="O348" i="74"/>
  <c r="P348" i="74"/>
  <c r="Q348" i="74"/>
  <c r="R348" i="74"/>
  <c r="S348" i="74"/>
  <c r="T348" i="74"/>
  <c r="U348" i="74"/>
  <c r="B349" i="74"/>
  <c r="C349" i="74"/>
  <c r="D349" i="74"/>
  <c r="E349" i="74"/>
  <c r="F349" i="74"/>
  <c r="G349" i="74"/>
  <c r="H349" i="74"/>
  <c r="I349" i="74"/>
  <c r="J349" i="74"/>
  <c r="K349" i="74"/>
  <c r="L349" i="74"/>
  <c r="M349" i="74"/>
  <c r="N349" i="74"/>
  <c r="O349" i="74"/>
  <c r="P349" i="74"/>
  <c r="Q349" i="74"/>
  <c r="R349" i="74"/>
  <c r="S349" i="74"/>
  <c r="T349" i="74"/>
  <c r="U349" i="74"/>
  <c r="B350" i="74"/>
  <c r="C350" i="74"/>
  <c r="D350" i="74"/>
  <c r="E350" i="74"/>
  <c r="F350" i="74"/>
  <c r="G350" i="74"/>
  <c r="H350" i="74"/>
  <c r="I350" i="74"/>
  <c r="J350" i="74"/>
  <c r="K350" i="74"/>
  <c r="L350" i="74"/>
  <c r="M350" i="74"/>
  <c r="N350" i="74"/>
  <c r="O350" i="74"/>
  <c r="P350" i="74"/>
  <c r="Q350" i="74"/>
  <c r="R350" i="74"/>
  <c r="S350" i="74"/>
  <c r="T350" i="74"/>
  <c r="U350" i="74"/>
  <c r="B352" i="74"/>
  <c r="C352" i="74"/>
  <c r="D352" i="74"/>
  <c r="E352" i="74"/>
  <c r="F352" i="74"/>
  <c r="G352" i="74"/>
  <c r="H352" i="74"/>
  <c r="I352" i="74"/>
  <c r="J352" i="74"/>
  <c r="K352" i="74"/>
  <c r="L352" i="74"/>
  <c r="M352" i="74"/>
  <c r="N352" i="74"/>
  <c r="O352" i="74"/>
  <c r="P352" i="74"/>
  <c r="Q352" i="74"/>
  <c r="R352" i="74"/>
  <c r="S352" i="74"/>
  <c r="T352" i="74"/>
  <c r="U352" i="74"/>
  <c r="B353" i="74"/>
  <c r="C353" i="74"/>
  <c r="D353" i="74"/>
  <c r="E353" i="74"/>
  <c r="F353" i="74"/>
  <c r="G353" i="74"/>
  <c r="H353" i="74"/>
  <c r="I353" i="74"/>
  <c r="J353" i="74"/>
  <c r="K353" i="74"/>
  <c r="L353" i="74"/>
  <c r="M353" i="74"/>
  <c r="N353" i="74"/>
  <c r="O353" i="74"/>
  <c r="P353" i="74"/>
  <c r="Q353" i="74"/>
  <c r="R353" i="74"/>
  <c r="S353" i="74"/>
  <c r="T353" i="74"/>
  <c r="U353" i="74"/>
  <c r="B354" i="74"/>
  <c r="C354" i="74"/>
  <c r="D354" i="74"/>
  <c r="E354" i="74"/>
  <c r="F354" i="74"/>
  <c r="G354" i="74"/>
  <c r="H354" i="74"/>
  <c r="I354" i="74"/>
  <c r="J354" i="74"/>
  <c r="K354" i="74"/>
  <c r="L354" i="74"/>
  <c r="M354" i="74"/>
  <c r="N354" i="74"/>
  <c r="O354" i="74"/>
  <c r="P354" i="74"/>
  <c r="Q354" i="74"/>
  <c r="R354" i="74"/>
  <c r="S354" i="74"/>
  <c r="T354" i="74"/>
  <c r="U354" i="74"/>
  <c r="B355" i="74"/>
  <c r="C355" i="74"/>
  <c r="D355" i="74"/>
  <c r="E355" i="74"/>
  <c r="F355" i="74"/>
  <c r="G355" i="74"/>
  <c r="H355" i="74"/>
  <c r="I355" i="74"/>
  <c r="J355" i="74"/>
  <c r="K355" i="74"/>
  <c r="L355" i="74"/>
  <c r="M355" i="74"/>
  <c r="N355" i="74"/>
  <c r="O355" i="74"/>
  <c r="P355" i="74"/>
  <c r="Q355" i="74"/>
  <c r="R355" i="74"/>
  <c r="S355" i="74"/>
  <c r="T355" i="74"/>
  <c r="U355" i="74"/>
  <c r="B356" i="74"/>
  <c r="C356" i="74"/>
  <c r="D356" i="74"/>
  <c r="E356" i="74"/>
  <c r="F356" i="74"/>
  <c r="G356" i="74"/>
  <c r="H356" i="74"/>
  <c r="I356" i="74"/>
  <c r="J356" i="74"/>
  <c r="K356" i="74"/>
  <c r="L356" i="74"/>
  <c r="M356" i="74"/>
  <c r="N356" i="74"/>
  <c r="O356" i="74"/>
  <c r="P356" i="74"/>
  <c r="Q356" i="74"/>
  <c r="R356" i="74"/>
  <c r="S356" i="74"/>
  <c r="T356" i="74"/>
  <c r="U356" i="74"/>
  <c r="B357" i="74"/>
  <c r="C357" i="74"/>
  <c r="D357" i="74"/>
  <c r="E357" i="74"/>
  <c r="F357" i="74"/>
  <c r="G357" i="74"/>
  <c r="H357" i="74"/>
  <c r="I357" i="74"/>
  <c r="J357" i="74"/>
  <c r="K357" i="74"/>
  <c r="L357" i="74"/>
  <c r="M357" i="74"/>
  <c r="N357" i="74"/>
  <c r="O357" i="74"/>
  <c r="P357" i="74"/>
  <c r="Q357" i="74"/>
  <c r="R357" i="74"/>
  <c r="S357" i="74"/>
  <c r="T357" i="74"/>
  <c r="U357" i="74"/>
  <c r="B358" i="74"/>
  <c r="C358" i="74"/>
  <c r="D358" i="74"/>
  <c r="E358" i="74"/>
  <c r="F358" i="74"/>
  <c r="G358" i="74"/>
  <c r="H358" i="74"/>
  <c r="I358" i="74"/>
  <c r="J358" i="74"/>
  <c r="K358" i="74"/>
  <c r="L358" i="74"/>
  <c r="M358" i="74"/>
  <c r="N358" i="74"/>
  <c r="O358" i="74"/>
  <c r="P358" i="74"/>
  <c r="Q358" i="74"/>
  <c r="R358" i="74"/>
  <c r="S358" i="74"/>
  <c r="T358" i="74"/>
  <c r="U358" i="74"/>
  <c r="B359" i="74"/>
  <c r="C359" i="74"/>
  <c r="D359" i="74"/>
  <c r="E359" i="74"/>
  <c r="F359" i="74"/>
  <c r="G359" i="74"/>
  <c r="H359" i="74"/>
  <c r="I359" i="74"/>
  <c r="J359" i="74"/>
  <c r="K359" i="74"/>
  <c r="L359" i="74"/>
  <c r="M359" i="74"/>
  <c r="N359" i="74"/>
  <c r="O359" i="74"/>
  <c r="P359" i="74"/>
  <c r="Q359" i="74"/>
  <c r="R359" i="74"/>
  <c r="S359" i="74"/>
  <c r="T359" i="74"/>
  <c r="U359" i="74"/>
  <c r="B360" i="74"/>
  <c r="C360" i="74"/>
  <c r="D360" i="74"/>
  <c r="E360" i="74"/>
  <c r="F360" i="74"/>
  <c r="G360" i="74"/>
  <c r="H360" i="74"/>
  <c r="I360" i="74"/>
  <c r="J360" i="74"/>
  <c r="K360" i="74"/>
  <c r="L360" i="74"/>
  <c r="M360" i="74"/>
  <c r="N360" i="74"/>
  <c r="O360" i="74"/>
  <c r="P360" i="74"/>
  <c r="Q360" i="74"/>
  <c r="R360" i="74"/>
  <c r="S360" i="74"/>
  <c r="T360" i="74"/>
  <c r="U360" i="74"/>
  <c r="B361" i="74"/>
  <c r="C361" i="74"/>
  <c r="D361" i="74"/>
  <c r="E361" i="74"/>
  <c r="F361" i="74"/>
  <c r="G361" i="74"/>
  <c r="H361" i="74"/>
  <c r="I361" i="74"/>
  <c r="J361" i="74"/>
  <c r="K361" i="74"/>
  <c r="L361" i="74"/>
  <c r="M361" i="74"/>
  <c r="N361" i="74"/>
  <c r="O361" i="74"/>
  <c r="P361" i="74"/>
  <c r="Q361" i="74"/>
  <c r="R361" i="74"/>
  <c r="S361" i="74"/>
  <c r="T361" i="74"/>
  <c r="U361" i="74"/>
  <c r="B362" i="74"/>
  <c r="C362" i="74"/>
  <c r="D362" i="74"/>
  <c r="E362" i="74"/>
  <c r="F362" i="74"/>
  <c r="G362" i="74"/>
  <c r="H362" i="74"/>
  <c r="I362" i="74"/>
  <c r="J362" i="74"/>
  <c r="K362" i="74"/>
  <c r="L362" i="74"/>
  <c r="M362" i="74"/>
  <c r="N362" i="74"/>
  <c r="O362" i="74"/>
  <c r="P362" i="74"/>
  <c r="Q362" i="74"/>
  <c r="R362" i="74"/>
  <c r="S362" i="74"/>
  <c r="T362" i="74"/>
  <c r="U362" i="74"/>
  <c r="B363" i="74"/>
  <c r="C363" i="74"/>
  <c r="D363" i="74"/>
  <c r="E363" i="74"/>
  <c r="F363" i="74"/>
  <c r="G363" i="74"/>
  <c r="H363" i="74"/>
  <c r="I363" i="74"/>
  <c r="J363" i="74"/>
  <c r="K363" i="74"/>
  <c r="L363" i="74"/>
  <c r="M363" i="74"/>
  <c r="N363" i="74"/>
  <c r="O363" i="74"/>
  <c r="P363" i="74"/>
  <c r="Q363" i="74"/>
  <c r="R363" i="74"/>
  <c r="S363" i="74"/>
  <c r="T363" i="74"/>
  <c r="U363" i="74"/>
  <c r="B364" i="74"/>
  <c r="C364" i="74"/>
  <c r="D364" i="74"/>
  <c r="E364" i="74"/>
  <c r="F364" i="74"/>
  <c r="G364" i="74"/>
  <c r="H364" i="74"/>
  <c r="I364" i="74"/>
  <c r="J364" i="74"/>
  <c r="K364" i="74"/>
  <c r="L364" i="74"/>
  <c r="M364" i="74"/>
  <c r="N364" i="74"/>
  <c r="O364" i="74"/>
  <c r="P364" i="74"/>
  <c r="Q364" i="74"/>
  <c r="R364" i="74"/>
  <c r="S364" i="74"/>
  <c r="T364" i="74"/>
  <c r="U364" i="74"/>
  <c r="B366" i="74"/>
  <c r="C366" i="74"/>
  <c r="D366" i="74"/>
  <c r="E366" i="74"/>
  <c r="F366" i="74"/>
  <c r="G366" i="74"/>
  <c r="H366" i="74"/>
  <c r="I366" i="74"/>
  <c r="J366" i="74"/>
  <c r="K366" i="74"/>
  <c r="L366" i="74"/>
  <c r="M366" i="74"/>
  <c r="N366" i="74"/>
  <c r="O366" i="74"/>
  <c r="P366" i="74"/>
  <c r="Q366" i="74"/>
  <c r="R366" i="74"/>
  <c r="S366" i="74"/>
  <c r="T366" i="74"/>
  <c r="U366" i="74"/>
  <c r="B367" i="74"/>
  <c r="C367" i="74"/>
  <c r="D367" i="74"/>
  <c r="E367" i="74"/>
  <c r="F367" i="74"/>
  <c r="G367" i="74"/>
  <c r="H367" i="74"/>
  <c r="I367" i="74"/>
  <c r="J367" i="74"/>
  <c r="K367" i="74"/>
  <c r="L367" i="74"/>
  <c r="M367" i="74"/>
  <c r="N367" i="74"/>
  <c r="O367" i="74"/>
  <c r="P367" i="74"/>
  <c r="Q367" i="74"/>
  <c r="R367" i="74"/>
  <c r="S367" i="74"/>
  <c r="T367" i="74"/>
  <c r="U367" i="74"/>
  <c r="B368" i="74"/>
  <c r="C368" i="74"/>
  <c r="D368" i="74"/>
  <c r="E368" i="74"/>
  <c r="F368" i="74"/>
  <c r="G368" i="74"/>
  <c r="H368" i="74"/>
  <c r="I368" i="74"/>
  <c r="J368" i="74"/>
  <c r="K368" i="74"/>
  <c r="L368" i="74"/>
  <c r="M368" i="74"/>
  <c r="N368" i="74"/>
  <c r="O368" i="74"/>
  <c r="P368" i="74"/>
  <c r="Q368" i="74"/>
  <c r="R368" i="74"/>
  <c r="S368" i="74"/>
  <c r="T368" i="74"/>
  <c r="U368" i="74"/>
  <c r="B369" i="74"/>
  <c r="C369" i="74"/>
  <c r="D369" i="74"/>
  <c r="E369" i="74"/>
  <c r="F369" i="74"/>
  <c r="G369" i="74"/>
  <c r="H369" i="74"/>
  <c r="I369" i="74"/>
  <c r="J369" i="74"/>
  <c r="K369" i="74"/>
  <c r="L369" i="74"/>
  <c r="M369" i="74"/>
  <c r="N369" i="74"/>
  <c r="O369" i="74"/>
  <c r="P369" i="74"/>
  <c r="Q369" i="74"/>
  <c r="R369" i="74"/>
  <c r="S369" i="74"/>
  <c r="T369" i="74"/>
  <c r="U369" i="74"/>
  <c r="B370" i="74"/>
  <c r="C370" i="74"/>
  <c r="D370" i="74"/>
  <c r="E370" i="74"/>
  <c r="F370" i="74"/>
  <c r="G370" i="74"/>
  <c r="H370" i="74"/>
  <c r="I370" i="74"/>
  <c r="J370" i="74"/>
  <c r="K370" i="74"/>
  <c r="L370" i="74"/>
  <c r="M370" i="74"/>
  <c r="N370" i="74"/>
  <c r="O370" i="74"/>
  <c r="P370" i="74"/>
  <c r="Q370" i="74"/>
  <c r="R370" i="74"/>
  <c r="S370" i="74"/>
  <c r="T370" i="74"/>
  <c r="U370" i="74"/>
  <c r="B371" i="74"/>
  <c r="C371" i="74"/>
  <c r="D371" i="74"/>
  <c r="E371" i="74"/>
  <c r="F371" i="74"/>
  <c r="G371" i="74"/>
  <c r="H371" i="74"/>
  <c r="I371" i="74"/>
  <c r="J371" i="74"/>
  <c r="K371" i="74"/>
  <c r="L371" i="74"/>
  <c r="M371" i="74"/>
  <c r="N371" i="74"/>
  <c r="O371" i="74"/>
  <c r="P371" i="74"/>
  <c r="Q371" i="74"/>
  <c r="R371" i="74"/>
  <c r="S371" i="74"/>
  <c r="T371" i="74"/>
  <c r="U371" i="74"/>
  <c r="B372" i="74"/>
  <c r="C372" i="74"/>
  <c r="D372" i="74"/>
  <c r="E372" i="74"/>
  <c r="F372" i="74"/>
  <c r="G372" i="74"/>
  <c r="H372" i="74"/>
  <c r="I372" i="74"/>
  <c r="J372" i="74"/>
  <c r="K372" i="74"/>
  <c r="L372" i="74"/>
  <c r="M372" i="74"/>
  <c r="N372" i="74"/>
  <c r="O372" i="74"/>
  <c r="P372" i="74"/>
  <c r="Q372" i="74"/>
  <c r="R372" i="74"/>
  <c r="S372" i="74"/>
  <c r="T372" i="74"/>
  <c r="U372" i="74"/>
  <c r="B373" i="74"/>
  <c r="C373" i="74"/>
  <c r="D373" i="74"/>
  <c r="E373" i="74"/>
  <c r="F373" i="74"/>
  <c r="G373" i="74"/>
  <c r="H373" i="74"/>
  <c r="I373" i="74"/>
  <c r="J373" i="74"/>
  <c r="K373" i="74"/>
  <c r="L373" i="74"/>
  <c r="M373" i="74"/>
  <c r="N373" i="74"/>
  <c r="O373" i="74"/>
  <c r="P373" i="74"/>
  <c r="Q373" i="74"/>
  <c r="R373" i="74"/>
  <c r="S373" i="74"/>
  <c r="T373" i="74"/>
  <c r="U373" i="74"/>
  <c r="B379" i="74"/>
  <c r="C379" i="74"/>
  <c r="D379" i="74"/>
  <c r="E379" i="74"/>
  <c r="F379" i="74"/>
  <c r="G379" i="74"/>
  <c r="H379" i="74"/>
  <c r="I379" i="74"/>
  <c r="J379" i="74"/>
  <c r="K379" i="74"/>
  <c r="L379" i="74"/>
  <c r="M379" i="74"/>
  <c r="N379" i="74"/>
  <c r="O379" i="74"/>
  <c r="P379" i="74"/>
  <c r="Q379" i="74"/>
  <c r="R379" i="74"/>
  <c r="S379" i="74"/>
  <c r="T379" i="74"/>
  <c r="U379" i="74"/>
  <c r="B380" i="74"/>
  <c r="C380" i="74"/>
  <c r="D380" i="74"/>
  <c r="E380" i="74"/>
  <c r="F380" i="74"/>
  <c r="G380" i="74"/>
  <c r="H380" i="74"/>
  <c r="I380" i="74"/>
  <c r="J380" i="74"/>
  <c r="K380" i="74"/>
  <c r="L380" i="74"/>
  <c r="M380" i="74"/>
  <c r="N380" i="74"/>
  <c r="O380" i="74"/>
  <c r="P380" i="74"/>
  <c r="Q380" i="74"/>
  <c r="R380" i="74"/>
  <c r="S380" i="74"/>
  <c r="T380" i="74"/>
  <c r="U380" i="74"/>
  <c r="B381" i="74"/>
  <c r="C381" i="74"/>
  <c r="D381" i="74"/>
  <c r="E381" i="74"/>
  <c r="F381" i="74"/>
  <c r="G381" i="74"/>
  <c r="H381" i="74"/>
  <c r="I381" i="74"/>
  <c r="J381" i="74"/>
  <c r="K381" i="74"/>
  <c r="L381" i="74"/>
  <c r="M381" i="74"/>
  <c r="N381" i="74"/>
  <c r="O381" i="74"/>
  <c r="P381" i="74"/>
  <c r="Q381" i="74"/>
  <c r="R381" i="74"/>
  <c r="S381" i="74"/>
  <c r="T381" i="74"/>
  <c r="U381" i="74"/>
  <c r="B382" i="74"/>
  <c r="C382" i="74"/>
  <c r="D382" i="74"/>
  <c r="E382" i="74"/>
  <c r="F382" i="74"/>
  <c r="G382" i="74"/>
  <c r="H382" i="74"/>
  <c r="I382" i="74"/>
  <c r="J382" i="74"/>
  <c r="K382" i="74"/>
  <c r="L382" i="74"/>
  <c r="M382" i="74"/>
  <c r="N382" i="74"/>
  <c r="O382" i="74"/>
  <c r="P382" i="74"/>
  <c r="Q382" i="74"/>
  <c r="R382" i="74"/>
  <c r="S382" i="74"/>
  <c r="T382" i="74"/>
  <c r="U382" i="74"/>
  <c r="B383" i="74"/>
  <c r="C383" i="74"/>
  <c r="D383" i="74"/>
  <c r="E383" i="74"/>
  <c r="F383" i="74"/>
  <c r="G383" i="74"/>
  <c r="H383" i="74"/>
  <c r="I383" i="74"/>
  <c r="J383" i="74"/>
  <c r="K383" i="74"/>
  <c r="L383" i="74"/>
  <c r="M383" i="74"/>
  <c r="N383" i="74"/>
  <c r="O383" i="74"/>
  <c r="P383" i="74"/>
  <c r="Q383" i="74"/>
  <c r="R383" i="74"/>
  <c r="S383" i="74"/>
  <c r="T383" i="74"/>
  <c r="U383" i="74"/>
  <c r="B384" i="74"/>
  <c r="C384" i="74"/>
  <c r="D384" i="74"/>
  <c r="E384" i="74"/>
  <c r="F384" i="74"/>
  <c r="G384" i="74"/>
  <c r="H384" i="74"/>
  <c r="I384" i="74"/>
  <c r="J384" i="74"/>
  <c r="K384" i="74"/>
  <c r="L384" i="74"/>
  <c r="M384" i="74"/>
  <c r="N384" i="74"/>
  <c r="O384" i="74"/>
  <c r="P384" i="74"/>
  <c r="Q384" i="74"/>
  <c r="R384" i="74"/>
  <c r="S384" i="74"/>
  <c r="T384" i="74"/>
  <c r="U384" i="74"/>
  <c r="B386" i="74"/>
  <c r="C386" i="74"/>
  <c r="D386" i="74"/>
  <c r="E386" i="74"/>
  <c r="F386" i="74"/>
  <c r="G386" i="74"/>
  <c r="H386" i="74"/>
  <c r="I386" i="74"/>
  <c r="J386" i="74"/>
  <c r="K386" i="74"/>
  <c r="L386" i="74"/>
  <c r="M386" i="74"/>
  <c r="N386" i="74"/>
  <c r="O386" i="74"/>
  <c r="P386" i="74"/>
  <c r="Q386" i="74"/>
  <c r="R386" i="74"/>
  <c r="S386" i="74"/>
  <c r="T386" i="74"/>
  <c r="U386" i="74"/>
  <c r="B387" i="74"/>
  <c r="C387" i="74"/>
  <c r="D387" i="74"/>
  <c r="E387" i="74"/>
  <c r="F387" i="74"/>
  <c r="G387" i="74"/>
  <c r="H387" i="74"/>
  <c r="I387" i="74"/>
  <c r="J387" i="74"/>
  <c r="K387" i="74"/>
  <c r="L387" i="74"/>
  <c r="M387" i="74"/>
  <c r="N387" i="74"/>
  <c r="O387" i="74"/>
  <c r="P387" i="74"/>
  <c r="Q387" i="74"/>
  <c r="R387" i="74"/>
  <c r="S387" i="74"/>
  <c r="T387" i="74"/>
  <c r="U387" i="74"/>
  <c r="B388" i="74"/>
  <c r="C388" i="74"/>
  <c r="D388" i="74"/>
  <c r="E388" i="74"/>
  <c r="F388" i="74"/>
  <c r="G388" i="74"/>
  <c r="H388" i="74"/>
  <c r="I388" i="74"/>
  <c r="J388" i="74"/>
  <c r="K388" i="74"/>
  <c r="L388" i="74"/>
  <c r="M388" i="74"/>
  <c r="N388" i="74"/>
  <c r="O388" i="74"/>
  <c r="P388" i="74"/>
  <c r="Q388" i="74"/>
  <c r="R388" i="74"/>
  <c r="S388" i="74"/>
  <c r="T388" i="74"/>
  <c r="U388" i="74"/>
  <c r="B389" i="74"/>
  <c r="C389" i="74"/>
  <c r="D389" i="74"/>
  <c r="E389" i="74"/>
  <c r="F389" i="74"/>
  <c r="G389" i="74"/>
  <c r="H389" i="74"/>
  <c r="I389" i="74"/>
  <c r="J389" i="74"/>
  <c r="K389" i="74"/>
  <c r="L389" i="74"/>
  <c r="M389" i="74"/>
  <c r="N389" i="74"/>
  <c r="O389" i="74"/>
  <c r="P389" i="74"/>
  <c r="Q389" i="74"/>
  <c r="R389" i="74"/>
  <c r="S389" i="74"/>
  <c r="T389" i="74"/>
  <c r="U389" i="74"/>
  <c r="B390" i="74"/>
  <c r="C390" i="74"/>
  <c r="D390" i="74"/>
  <c r="E390" i="74"/>
  <c r="F390" i="74"/>
  <c r="G390" i="74"/>
  <c r="H390" i="74"/>
  <c r="I390" i="74"/>
  <c r="J390" i="74"/>
  <c r="K390" i="74"/>
  <c r="L390" i="74"/>
  <c r="M390" i="74"/>
  <c r="N390" i="74"/>
  <c r="O390" i="74"/>
  <c r="P390" i="74"/>
  <c r="Q390" i="74"/>
  <c r="R390" i="74"/>
  <c r="S390" i="74"/>
  <c r="T390" i="74"/>
  <c r="U390" i="74"/>
  <c r="B391" i="74"/>
  <c r="C391" i="74"/>
  <c r="D391" i="74"/>
  <c r="E391" i="74"/>
  <c r="F391" i="74"/>
  <c r="G391" i="74"/>
  <c r="H391" i="74"/>
  <c r="I391" i="74"/>
  <c r="J391" i="74"/>
  <c r="K391" i="74"/>
  <c r="L391" i="74"/>
  <c r="M391" i="74"/>
  <c r="N391" i="74"/>
  <c r="O391" i="74"/>
  <c r="P391" i="74"/>
  <c r="Q391" i="74"/>
  <c r="R391" i="74"/>
  <c r="S391" i="74"/>
  <c r="T391" i="74"/>
  <c r="U391" i="74"/>
  <c r="B392" i="74"/>
  <c r="C392" i="74"/>
  <c r="D392" i="74"/>
  <c r="E392" i="74"/>
  <c r="F392" i="74"/>
  <c r="G392" i="74"/>
  <c r="H392" i="74"/>
  <c r="I392" i="74"/>
  <c r="J392" i="74"/>
  <c r="K392" i="74"/>
  <c r="L392" i="74"/>
  <c r="M392" i="74"/>
  <c r="N392" i="74"/>
  <c r="O392" i="74"/>
  <c r="P392" i="74"/>
  <c r="Q392" i="74"/>
  <c r="R392" i="74"/>
  <c r="S392" i="74"/>
  <c r="T392" i="74"/>
  <c r="U392" i="74"/>
  <c r="B393" i="74"/>
  <c r="C393" i="74"/>
  <c r="D393" i="74"/>
  <c r="E393" i="74"/>
  <c r="F393" i="74"/>
  <c r="G393" i="74"/>
  <c r="H393" i="74"/>
  <c r="I393" i="74"/>
  <c r="J393" i="74"/>
  <c r="K393" i="74"/>
  <c r="L393" i="74"/>
  <c r="M393" i="74"/>
  <c r="N393" i="74"/>
  <c r="O393" i="74"/>
  <c r="P393" i="74"/>
  <c r="Q393" i="74"/>
  <c r="R393" i="74"/>
  <c r="S393" i="74"/>
  <c r="T393" i="74"/>
  <c r="U393" i="74"/>
  <c r="B394" i="74"/>
  <c r="C394" i="74"/>
  <c r="D394" i="74"/>
  <c r="E394" i="74"/>
  <c r="F394" i="74"/>
  <c r="G394" i="74"/>
  <c r="H394" i="74"/>
  <c r="I394" i="74"/>
  <c r="J394" i="74"/>
  <c r="K394" i="74"/>
  <c r="L394" i="74"/>
  <c r="M394" i="74"/>
  <c r="N394" i="74"/>
  <c r="O394" i="74"/>
  <c r="P394" i="74"/>
  <c r="Q394" i="74"/>
  <c r="R394" i="74"/>
  <c r="S394" i="74"/>
  <c r="T394" i="74"/>
  <c r="U394" i="74"/>
  <c r="B395" i="74"/>
  <c r="C395" i="74"/>
  <c r="D395" i="74"/>
  <c r="E395" i="74"/>
  <c r="F395" i="74"/>
  <c r="G395" i="74"/>
  <c r="H395" i="74"/>
  <c r="I395" i="74"/>
  <c r="J395" i="74"/>
  <c r="K395" i="74"/>
  <c r="L395" i="74"/>
  <c r="M395" i="74"/>
  <c r="N395" i="74"/>
  <c r="O395" i="74"/>
  <c r="P395" i="74"/>
  <c r="Q395" i="74"/>
  <c r="R395" i="74"/>
  <c r="S395" i="74"/>
  <c r="T395" i="74"/>
  <c r="U395" i="74"/>
  <c r="B396" i="74"/>
  <c r="C396" i="74"/>
  <c r="D396" i="74"/>
  <c r="E396" i="74"/>
  <c r="F396" i="74"/>
  <c r="G396" i="74"/>
  <c r="H396" i="74"/>
  <c r="I396" i="74"/>
  <c r="J396" i="74"/>
  <c r="K396" i="74"/>
  <c r="L396" i="74"/>
  <c r="M396" i="74"/>
  <c r="N396" i="74"/>
  <c r="O396" i="74"/>
  <c r="P396" i="74"/>
  <c r="Q396" i="74"/>
  <c r="R396" i="74"/>
  <c r="S396" i="74"/>
  <c r="T396" i="74"/>
  <c r="U396" i="74"/>
  <c r="B397" i="74"/>
  <c r="C397" i="74"/>
  <c r="D397" i="74"/>
  <c r="E397" i="74"/>
  <c r="F397" i="74"/>
  <c r="G397" i="74"/>
  <c r="H397" i="74"/>
  <c r="I397" i="74"/>
  <c r="J397" i="74"/>
  <c r="K397" i="74"/>
  <c r="L397" i="74"/>
  <c r="M397" i="74"/>
  <c r="N397" i="74"/>
  <c r="O397" i="74"/>
  <c r="P397" i="74"/>
  <c r="Q397" i="74"/>
  <c r="R397" i="74"/>
  <c r="S397" i="74"/>
  <c r="T397" i="74"/>
  <c r="U397" i="74"/>
  <c r="B398" i="74"/>
  <c r="C398" i="74"/>
  <c r="D398" i="74"/>
  <c r="E398" i="74"/>
  <c r="F398" i="74"/>
  <c r="G398" i="74"/>
  <c r="H398" i="74"/>
  <c r="I398" i="74"/>
  <c r="J398" i="74"/>
  <c r="K398" i="74"/>
  <c r="L398" i="74"/>
  <c r="M398" i="74"/>
  <c r="N398" i="74"/>
  <c r="O398" i="74"/>
  <c r="P398" i="74"/>
  <c r="Q398" i="74"/>
  <c r="R398" i="74"/>
  <c r="S398" i="74"/>
  <c r="T398" i="74"/>
  <c r="U398" i="74"/>
  <c r="B400" i="74"/>
  <c r="C400" i="74"/>
  <c r="D400" i="74"/>
  <c r="E400" i="74"/>
  <c r="F400" i="74"/>
  <c r="G400" i="74"/>
  <c r="H400" i="74"/>
  <c r="I400" i="74"/>
  <c r="J400" i="74"/>
  <c r="K400" i="74"/>
  <c r="L400" i="74"/>
  <c r="M400" i="74"/>
  <c r="N400" i="74"/>
  <c r="O400" i="74"/>
  <c r="P400" i="74"/>
  <c r="Q400" i="74"/>
  <c r="R400" i="74"/>
  <c r="S400" i="74"/>
  <c r="T400" i="74"/>
  <c r="U400" i="74"/>
  <c r="B401" i="74"/>
  <c r="C401" i="74"/>
  <c r="D401" i="74"/>
  <c r="E401" i="74"/>
  <c r="F401" i="74"/>
  <c r="G401" i="74"/>
  <c r="H401" i="74"/>
  <c r="I401" i="74"/>
  <c r="J401" i="74"/>
  <c r="K401" i="74"/>
  <c r="L401" i="74"/>
  <c r="M401" i="74"/>
  <c r="N401" i="74"/>
  <c r="O401" i="74"/>
  <c r="P401" i="74"/>
  <c r="Q401" i="74"/>
  <c r="R401" i="74"/>
  <c r="S401" i="74"/>
  <c r="T401" i="74"/>
  <c r="U401" i="74"/>
  <c r="B402" i="74"/>
  <c r="C402" i="74"/>
  <c r="D402" i="74"/>
  <c r="E402" i="74"/>
  <c r="F402" i="74"/>
  <c r="G402" i="74"/>
  <c r="H402" i="74"/>
  <c r="I402" i="74"/>
  <c r="J402" i="74"/>
  <c r="K402" i="74"/>
  <c r="L402" i="74"/>
  <c r="M402" i="74"/>
  <c r="N402" i="74"/>
  <c r="O402" i="74"/>
  <c r="P402" i="74"/>
  <c r="Q402" i="74"/>
  <c r="R402" i="74"/>
  <c r="S402" i="74"/>
  <c r="T402" i="74"/>
  <c r="U402" i="74"/>
  <c r="B403" i="74"/>
  <c r="C403" i="74"/>
  <c r="D403" i="74"/>
  <c r="E403" i="74"/>
  <c r="F403" i="74"/>
  <c r="G403" i="74"/>
  <c r="H403" i="74"/>
  <c r="I403" i="74"/>
  <c r="J403" i="74"/>
  <c r="K403" i="74"/>
  <c r="L403" i="74"/>
  <c r="M403" i="74"/>
  <c r="N403" i="74"/>
  <c r="O403" i="74"/>
  <c r="P403" i="74"/>
  <c r="Q403" i="74"/>
  <c r="R403" i="74"/>
  <c r="S403" i="74"/>
  <c r="T403" i="74"/>
  <c r="U403" i="74"/>
  <c r="B404" i="74"/>
  <c r="C404" i="74"/>
  <c r="D404" i="74"/>
  <c r="E404" i="74"/>
  <c r="F404" i="74"/>
  <c r="G404" i="74"/>
  <c r="H404" i="74"/>
  <c r="I404" i="74"/>
  <c r="J404" i="74"/>
  <c r="K404" i="74"/>
  <c r="L404" i="74"/>
  <c r="M404" i="74"/>
  <c r="N404" i="74"/>
  <c r="O404" i="74"/>
  <c r="P404" i="74"/>
  <c r="Q404" i="74"/>
  <c r="R404" i="74"/>
  <c r="S404" i="74"/>
  <c r="T404" i="74"/>
  <c r="U404" i="74"/>
  <c r="B405" i="74"/>
  <c r="C405" i="74"/>
  <c r="D405" i="74"/>
  <c r="E405" i="74"/>
  <c r="F405" i="74"/>
  <c r="G405" i="74"/>
  <c r="H405" i="74"/>
  <c r="I405" i="74"/>
  <c r="J405" i="74"/>
  <c r="K405" i="74"/>
  <c r="L405" i="74"/>
  <c r="M405" i="74"/>
  <c r="N405" i="74"/>
  <c r="O405" i="74"/>
  <c r="P405" i="74"/>
  <c r="Q405" i="74"/>
  <c r="R405" i="74"/>
  <c r="S405" i="74"/>
  <c r="T405" i="74"/>
  <c r="U405" i="74"/>
  <c r="B406" i="74"/>
  <c r="C406" i="74"/>
  <c r="D406" i="74"/>
  <c r="E406" i="74"/>
  <c r="F406" i="74"/>
  <c r="G406" i="74"/>
  <c r="H406" i="74"/>
  <c r="I406" i="74"/>
  <c r="J406" i="74"/>
  <c r="K406" i="74"/>
  <c r="L406" i="74"/>
  <c r="M406" i="74"/>
  <c r="N406" i="74"/>
  <c r="O406" i="74"/>
  <c r="P406" i="74"/>
  <c r="Q406" i="74"/>
  <c r="R406" i="74"/>
  <c r="S406" i="74"/>
  <c r="T406" i="74"/>
  <c r="U406" i="74"/>
  <c r="B407" i="74"/>
  <c r="C407" i="74"/>
  <c r="D407" i="74"/>
  <c r="E407" i="74"/>
  <c r="F407" i="74"/>
  <c r="G407" i="74"/>
  <c r="H407" i="74"/>
  <c r="I407" i="74"/>
  <c r="J407" i="74"/>
  <c r="K407" i="74"/>
  <c r="L407" i="74"/>
  <c r="M407" i="74"/>
  <c r="N407" i="74"/>
  <c r="O407" i="74"/>
  <c r="P407" i="74"/>
  <c r="Q407" i="74"/>
  <c r="R407" i="74"/>
  <c r="S407" i="74"/>
  <c r="T407" i="74"/>
  <c r="U407" i="74"/>
  <c r="B413" i="74"/>
  <c r="C413" i="74"/>
  <c r="D413" i="74"/>
  <c r="E413" i="74"/>
  <c r="F413" i="74"/>
  <c r="G413" i="74"/>
  <c r="H413" i="74"/>
  <c r="I413" i="74"/>
  <c r="J413" i="74"/>
  <c r="K413" i="74"/>
  <c r="L413" i="74"/>
  <c r="M413" i="74"/>
  <c r="N413" i="74"/>
  <c r="O413" i="74"/>
  <c r="P413" i="74"/>
  <c r="Q413" i="74"/>
  <c r="R413" i="74"/>
  <c r="S413" i="74"/>
  <c r="T413" i="74"/>
  <c r="U413" i="74"/>
  <c r="B414" i="74"/>
  <c r="C414" i="74"/>
  <c r="D414" i="74"/>
  <c r="E414" i="74"/>
  <c r="F414" i="74"/>
  <c r="G414" i="74"/>
  <c r="H414" i="74"/>
  <c r="I414" i="74"/>
  <c r="J414" i="74"/>
  <c r="K414" i="74"/>
  <c r="L414" i="74"/>
  <c r="M414" i="74"/>
  <c r="N414" i="74"/>
  <c r="O414" i="74"/>
  <c r="P414" i="74"/>
  <c r="Q414" i="74"/>
  <c r="R414" i="74"/>
  <c r="S414" i="74"/>
  <c r="T414" i="74"/>
  <c r="U414" i="74"/>
  <c r="B415" i="74"/>
  <c r="C415" i="74"/>
  <c r="D415" i="74"/>
  <c r="E415" i="74"/>
  <c r="F415" i="74"/>
  <c r="G415" i="74"/>
  <c r="H415" i="74"/>
  <c r="I415" i="74"/>
  <c r="J415" i="74"/>
  <c r="K415" i="74"/>
  <c r="L415" i="74"/>
  <c r="M415" i="74"/>
  <c r="N415" i="74"/>
  <c r="O415" i="74"/>
  <c r="P415" i="74"/>
  <c r="Q415" i="74"/>
  <c r="R415" i="74"/>
  <c r="S415" i="74"/>
  <c r="T415" i="74"/>
  <c r="U415" i="74"/>
  <c r="B416" i="74"/>
  <c r="C416" i="74"/>
  <c r="D416" i="74"/>
  <c r="E416" i="74"/>
  <c r="F416" i="74"/>
  <c r="G416" i="74"/>
  <c r="H416" i="74"/>
  <c r="I416" i="74"/>
  <c r="J416" i="74"/>
  <c r="K416" i="74"/>
  <c r="L416" i="74"/>
  <c r="M416" i="74"/>
  <c r="N416" i="74"/>
  <c r="O416" i="74"/>
  <c r="P416" i="74"/>
  <c r="Q416" i="74"/>
  <c r="R416" i="74"/>
  <c r="S416" i="74"/>
  <c r="T416" i="74"/>
  <c r="U416" i="74"/>
  <c r="B417" i="74"/>
  <c r="C417" i="74"/>
  <c r="D417" i="74"/>
  <c r="E417" i="74"/>
  <c r="F417" i="74"/>
  <c r="G417" i="74"/>
  <c r="H417" i="74"/>
  <c r="I417" i="74"/>
  <c r="J417" i="74"/>
  <c r="K417" i="74"/>
  <c r="L417" i="74"/>
  <c r="M417" i="74"/>
  <c r="N417" i="74"/>
  <c r="O417" i="74"/>
  <c r="P417" i="74"/>
  <c r="Q417" i="74"/>
  <c r="R417" i="74"/>
  <c r="S417" i="74"/>
  <c r="T417" i="74"/>
  <c r="U417" i="74"/>
  <c r="B418" i="74"/>
  <c r="C418" i="74"/>
  <c r="D418" i="74"/>
  <c r="E418" i="74"/>
  <c r="F418" i="74"/>
  <c r="G418" i="74"/>
  <c r="H418" i="74"/>
  <c r="I418" i="74"/>
  <c r="J418" i="74"/>
  <c r="K418" i="74"/>
  <c r="L418" i="74"/>
  <c r="M418" i="74"/>
  <c r="N418" i="74"/>
  <c r="O418" i="74"/>
  <c r="P418" i="74"/>
  <c r="Q418" i="74"/>
  <c r="R418" i="74"/>
  <c r="S418" i="74"/>
  <c r="T418" i="74"/>
  <c r="U418" i="74"/>
  <c r="B420" i="74"/>
  <c r="C420" i="74"/>
  <c r="D420" i="74"/>
  <c r="E420" i="74"/>
  <c r="F420" i="74"/>
  <c r="G420" i="74"/>
  <c r="H420" i="74"/>
  <c r="I420" i="74"/>
  <c r="J420" i="74"/>
  <c r="K420" i="74"/>
  <c r="L420" i="74"/>
  <c r="M420" i="74"/>
  <c r="N420" i="74"/>
  <c r="O420" i="74"/>
  <c r="P420" i="74"/>
  <c r="Q420" i="74"/>
  <c r="R420" i="74"/>
  <c r="S420" i="74"/>
  <c r="T420" i="74"/>
  <c r="U420" i="74"/>
  <c r="B421" i="74"/>
  <c r="C421" i="74"/>
  <c r="D421" i="74"/>
  <c r="E421" i="74"/>
  <c r="F421" i="74"/>
  <c r="G421" i="74"/>
  <c r="H421" i="74"/>
  <c r="I421" i="74"/>
  <c r="J421" i="74"/>
  <c r="K421" i="74"/>
  <c r="L421" i="74"/>
  <c r="M421" i="74"/>
  <c r="N421" i="74"/>
  <c r="O421" i="74"/>
  <c r="P421" i="74"/>
  <c r="Q421" i="74"/>
  <c r="R421" i="74"/>
  <c r="S421" i="74"/>
  <c r="T421" i="74"/>
  <c r="U421" i="74"/>
  <c r="B422" i="74"/>
  <c r="C422" i="74"/>
  <c r="D422" i="74"/>
  <c r="E422" i="74"/>
  <c r="F422" i="74"/>
  <c r="G422" i="74"/>
  <c r="H422" i="74"/>
  <c r="I422" i="74"/>
  <c r="J422" i="74"/>
  <c r="K422" i="74"/>
  <c r="L422" i="74"/>
  <c r="M422" i="74"/>
  <c r="N422" i="74"/>
  <c r="O422" i="74"/>
  <c r="P422" i="74"/>
  <c r="Q422" i="74"/>
  <c r="R422" i="74"/>
  <c r="S422" i="74"/>
  <c r="T422" i="74"/>
  <c r="U422" i="74"/>
  <c r="B423" i="74"/>
  <c r="C423" i="74"/>
  <c r="D423" i="74"/>
  <c r="E423" i="74"/>
  <c r="F423" i="74"/>
  <c r="G423" i="74"/>
  <c r="H423" i="74"/>
  <c r="I423" i="74"/>
  <c r="J423" i="74"/>
  <c r="K423" i="74"/>
  <c r="L423" i="74"/>
  <c r="M423" i="74"/>
  <c r="N423" i="74"/>
  <c r="O423" i="74"/>
  <c r="P423" i="74"/>
  <c r="Q423" i="74"/>
  <c r="R423" i="74"/>
  <c r="S423" i="74"/>
  <c r="T423" i="74"/>
  <c r="U423" i="74"/>
  <c r="B424" i="74"/>
  <c r="C424" i="74"/>
  <c r="D424" i="74"/>
  <c r="E424" i="74"/>
  <c r="F424" i="74"/>
  <c r="G424" i="74"/>
  <c r="H424" i="74"/>
  <c r="I424" i="74"/>
  <c r="J424" i="74"/>
  <c r="K424" i="74"/>
  <c r="L424" i="74"/>
  <c r="M424" i="74"/>
  <c r="N424" i="74"/>
  <c r="O424" i="74"/>
  <c r="P424" i="74"/>
  <c r="Q424" i="74"/>
  <c r="R424" i="74"/>
  <c r="S424" i="74"/>
  <c r="T424" i="74"/>
  <c r="U424" i="74"/>
  <c r="B425" i="74"/>
  <c r="C425" i="74"/>
  <c r="D425" i="74"/>
  <c r="E425" i="74"/>
  <c r="F425" i="74"/>
  <c r="G425" i="74"/>
  <c r="H425" i="74"/>
  <c r="I425" i="74"/>
  <c r="J425" i="74"/>
  <c r="K425" i="74"/>
  <c r="L425" i="74"/>
  <c r="M425" i="74"/>
  <c r="N425" i="74"/>
  <c r="O425" i="74"/>
  <c r="P425" i="74"/>
  <c r="Q425" i="74"/>
  <c r="R425" i="74"/>
  <c r="S425" i="74"/>
  <c r="T425" i="74"/>
  <c r="U425" i="74"/>
  <c r="B426" i="74"/>
  <c r="C426" i="74"/>
  <c r="D426" i="74"/>
  <c r="E426" i="74"/>
  <c r="F426" i="74"/>
  <c r="G426" i="74"/>
  <c r="H426" i="74"/>
  <c r="I426" i="74"/>
  <c r="J426" i="74"/>
  <c r="K426" i="74"/>
  <c r="L426" i="74"/>
  <c r="M426" i="74"/>
  <c r="N426" i="74"/>
  <c r="O426" i="74"/>
  <c r="P426" i="74"/>
  <c r="Q426" i="74"/>
  <c r="R426" i="74"/>
  <c r="S426" i="74"/>
  <c r="T426" i="74"/>
  <c r="U426" i="74"/>
  <c r="B427" i="74"/>
  <c r="C427" i="74"/>
  <c r="D427" i="74"/>
  <c r="E427" i="74"/>
  <c r="F427" i="74"/>
  <c r="G427" i="74"/>
  <c r="H427" i="74"/>
  <c r="I427" i="74"/>
  <c r="J427" i="74"/>
  <c r="K427" i="74"/>
  <c r="L427" i="74"/>
  <c r="M427" i="74"/>
  <c r="N427" i="74"/>
  <c r="O427" i="74"/>
  <c r="P427" i="74"/>
  <c r="Q427" i="74"/>
  <c r="R427" i="74"/>
  <c r="S427" i="74"/>
  <c r="T427" i="74"/>
  <c r="U427" i="74"/>
  <c r="B428" i="74"/>
  <c r="C428" i="74"/>
  <c r="D428" i="74"/>
  <c r="E428" i="74"/>
  <c r="F428" i="74"/>
  <c r="G428" i="74"/>
  <c r="H428" i="74"/>
  <c r="I428" i="74"/>
  <c r="J428" i="74"/>
  <c r="K428" i="74"/>
  <c r="L428" i="74"/>
  <c r="M428" i="74"/>
  <c r="N428" i="74"/>
  <c r="O428" i="74"/>
  <c r="P428" i="74"/>
  <c r="Q428" i="74"/>
  <c r="R428" i="74"/>
  <c r="S428" i="74"/>
  <c r="T428" i="74"/>
  <c r="U428" i="74"/>
  <c r="B429" i="74"/>
  <c r="C429" i="74"/>
  <c r="D429" i="74"/>
  <c r="E429" i="74"/>
  <c r="F429" i="74"/>
  <c r="G429" i="74"/>
  <c r="H429" i="74"/>
  <c r="I429" i="74"/>
  <c r="J429" i="74"/>
  <c r="K429" i="74"/>
  <c r="L429" i="74"/>
  <c r="M429" i="74"/>
  <c r="N429" i="74"/>
  <c r="O429" i="74"/>
  <c r="P429" i="74"/>
  <c r="Q429" i="74"/>
  <c r="R429" i="74"/>
  <c r="S429" i="74"/>
  <c r="T429" i="74"/>
  <c r="U429" i="74"/>
  <c r="B430" i="74"/>
  <c r="C430" i="74"/>
  <c r="D430" i="74"/>
  <c r="E430" i="74"/>
  <c r="F430" i="74"/>
  <c r="G430" i="74"/>
  <c r="H430" i="74"/>
  <c r="I430" i="74"/>
  <c r="J430" i="74"/>
  <c r="K430" i="74"/>
  <c r="L430" i="74"/>
  <c r="M430" i="74"/>
  <c r="N430" i="74"/>
  <c r="O430" i="74"/>
  <c r="P430" i="74"/>
  <c r="Q430" i="74"/>
  <c r="R430" i="74"/>
  <c r="S430" i="74"/>
  <c r="T430" i="74"/>
  <c r="U430" i="74"/>
  <c r="B431" i="74"/>
  <c r="C431" i="74"/>
  <c r="D431" i="74"/>
  <c r="E431" i="74"/>
  <c r="F431" i="74"/>
  <c r="G431" i="74"/>
  <c r="H431" i="74"/>
  <c r="I431" i="74"/>
  <c r="J431" i="74"/>
  <c r="K431" i="74"/>
  <c r="L431" i="74"/>
  <c r="M431" i="74"/>
  <c r="N431" i="74"/>
  <c r="O431" i="74"/>
  <c r="P431" i="74"/>
  <c r="Q431" i="74"/>
  <c r="R431" i="74"/>
  <c r="S431" i="74"/>
  <c r="T431" i="74"/>
  <c r="U431" i="74"/>
  <c r="B432" i="74"/>
  <c r="C432" i="74"/>
  <c r="D432" i="74"/>
  <c r="E432" i="74"/>
  <c r="F432" i="74"/>
  <c r="G432" i="74"/>
  <c r="H432" i="74"/>
  <c r="I432" i="74"/>
  <c r="J432" i="74"/>
  <c r="K432" i="74"/>
  <c r="L432" i="74"/>
  <c r="M432" i="74"/>
  <c r="N432" i="74"/>
  <c r="O432" i="74"/>
  <c r="P432" i="74"/>
  <c r="Q432" i="74"/>
  <c r="R432" i="74"/>
  <c r="S432" i="74"/>
  <c r="T432" i="74"/>
  <c r="U432" i="74"/>
  <c r="B434" i="74"/>
  <c r="C434" i="74"/>
  <c r="D434" i="74"/>
  <c r="E434" i="74"/>
  <c r="F434" i="74"/>
  <c r="G434" i="74"/>
  <c r="H434" i="74"/>
  <c r="I434" i="74"/>
  <c r="J434" i="74"/>
  <c r="K434" i="74"/>
  <c r="L434" i="74"/>
  <c r="M434" i="74"/>
  <c r="N434" i="74"/>
  <c r="O434" i="74"/>
  <c r="P434" i="74"/>
  <c r="Q434" i="74"/>
  <c r="R434" i="74"/>
  <c r="S434" i="74"/>
  <c r="T434" i="74"/>
  <c r="U434" i="74"/>
  <c r="B435" i="74"/>
  <c r="C435" i="74"/>
  <c r="D435" i="74"/>
  <c r="E435" i="74"/>
  <c r="F435" i="74"/>
  <c r="G435" i="74"/>
  <c r="H435" i="74"/>
  <c r="I435" i="74"/>
  <c r="J435" i="74"/>
  <c r="K435" i="74"/>
  <c r="L435" i="74"/>
  <c r="M435" i="74"/>
  <c r="N435" i="74"/>
  <c r="O435" i="74"/>
  <c r="P435" i="74"/>
  <c r="Q435" i="74"/>
  <c r="R435" i="74"/>
  <c r="S435" i="74"/>
  <c r="T435" i="74"/>
  <c r="U435" i="74"/>
  <c r="B436" i="74"/>
  <c r="C436" i="74"/>
  <c r="D436" i="74"/>
  <c r="E436" i="74"/>
  <c r="F436" i="74"/>
  <c r="G436" i="74"/>
  <c r="H436" i="74"/>
  <c r="I436" i="74"/>
  <c r="J436" i="74"/>
  <c r="K436" i="74"/>
  <c r="L436" i="74"/>
  <c r="M436" i="74"/>
  <c r="N436" i="74"/>
  <c r="O436" i="74"/>
  <c r="P436" i="74"/>
  <c r="Q436" i="74"/>
  <c r="R436" i="74"/>
  <c r="S436" i="74"/>
  <c r="T436" i="74"/>
  <c r="U436" i="74"/>
  <c r="B437" i="74"/>
  <c r="C437" i="74"/>
  <c r="D437" i="74"/>
  <c r="E437" i="74"/>
  <c r="F437" i="74"/>
  <c r="G437" i="74"/>
  <c r="H437" i="74"/>
  <c r="I437" i="74"/>
  <c r="J437" i="74"/>
  <c r="K437" i="74"/>
  <c r="L437" i="74"/>
  <c r="M437" i="74"/>
  <c r="N437" i="74"/>
  <c r="O437" i="74"/>
  <c r="P437" i="74"/>
  <c r="Q437" i="74"/>
  <c r="R437" i="74"/>
  <c r="S437" i="74"/>
  <c r="T437" i="74"/>
  <c r="U437" i="74"/>
  <c r="B438" i="74"/>
  <c r="C438" i="74"/>
  <c r="D438" i="74"/>
  <c r="E438" i="74"/>
  <c r="F438" i="74"/>
  <c r="G438" i="74"/>
  <c r="H438" i="74"/>
  <c r="I438" i="74"/>
  <c r="J438" i="74"/>
  <c r="K438" i="74"/>
  <c r="L438" i="74"/>
  <c r="M438" i="74"/>
  <c r="N438" i="74"/>
  <c r="O438" i="74"/>
  <c r="P438" i="74"/>
  <c r="Q438" i="74"/>
  <c r="R438" i="74"/>
  <c r="S438" i="74"/>
  <c r="T438" i="74"/>
  <c r="U438" i="74"/>
  <c r="B439" i="74"/>
  <c r="C439" i="74"/>
  <c r="D439" i="74"/>
  <c r="E439" i="74"/>
  <c r="F439" i="74"/>
  <c r="G439" i="74"/>
  <c r="H439" i="74"/>
  <c r="I439" i="74"/>
  <c r="J439" i="74"/>
  <c r="K439" i="74"/>
  <c r="L439" i="74"/>
  <c r="M439" i="74"/>
  <c r="N439" i="74"/>
  <c r="O439" i="74"/>
  <c r="P439" i="74"/>
  <c r="Q439" i="74"/>
  <c r="R439" i="74"/>
  <c r="S439" i="74"/>
  <c r="T439" i="74"/>
  <c r="U439" i="74"/>
  <c r="B440" i="74"/>
  <c r="C440" i="74"/>
  <c r="D440" i="74"/>
  <c r="E440" i="74"/>
  <c r="F440" i="74"/>
  <c r="G440" i="74"/>
  <c r="H440" i="74"/>
  <c r="I440" i="74"/>
  <c r="J440" i="74"/>
  <c r="K440" i="74"/>
  <c r="L440" i="74"/>
  <c r="M440" i="74"/>
  <c r="N440" i="74"/>
  <c r="O440" i="74"/>
  <c r="P440" i="74"/>
  <c r="Q440" i="74"/>
  <c r="R440" i="74"/>
  <c r="S440" i="74"/>
  <c r="T440" i="74"/>
  <c r="U440" i="74"/>
  <c r="B441" i="74"/>
  <c r="C441" i="74"/>
  <c r="D441" i="74"/>
  <c r="E441" i="74"/>
  <c r="F441" i="74"/>
  <c r="G441" i="74"/>
  <c r="H441" i="74"/>
  <c r="I441" i="74"/>
  <c r="J441" i="74"/>
  <c r="K441" i="74"/>
  <c r="L441" i="74"/>
  <c r="M441" i="74"/>
  <c r="N441" i="74"/>
  <c r="O441" i="74"/>
  <c r="P441" i="74"/>
  <c r="Q441" i="74"/>
  <c r="R441" i="74"/>
  <c r="S441" i="74"/>
  <c r="T441" i="74"/>
  <c r="U441" i="74"/>
  <c r="B7" i="76"/>
  <c r="D7" i="76"/>
  <c r="E7" i="76"/>
  <c r="G7" i="76"/>
  <c r="H7" i="76"/>
  <c r="I7" i="76"/>
  <c r="J7" i="76"/>
  <c r="K7" i="76"/>
  <c r="L7" i="76"/>
  <c r="B8" i="76"/>
  <c r="D8" i="76"/>
  <c r="E8" i="76"/>
  <c r="G8" i="76"/>
  <c r="H8" i="76"/>
  <c r="I8" i="76"/>
  <c r="J8" i="76"/>
  <c r="K8" i="76"/>
  <c r="L8" i="76"/>
  <c r="B9" i="76"/>
  <c r="D9" i="76"/>
  <c r="E9" i="76"/>
  <c r="G9" i="76"/>
  <c r="H9" i="76"/>
  <c r="I9" i="76"/>
  <c r="J9" i="76"/>
  <c r="K9" i="76"/>
  <c r="L9" i="76"/>
  <c r="B10" i="76"/>
  <c r="D10" i="76"/>
  <c r="E10" i="76"/>
  <c r="G10" i="76"/>
  <c r="H10" i="76"/>
  <c r="I10" i="76"/>
  <c r="J10" i="76"/>
  <c r="K10" i="76"/>
  <c r="L10" i="76"/>
  <c r="B11" i="76"/>
  <c r="D11" i="76"/>
  <c r="E11" i="76"/>
  <c r="G11" i="76"/>
  <c r="H11" i="76"/>
  <c r="I11" i="76"/>
  <c r="J11" i="76"/>
  <c r="K11" i="76"/>
  <c r="L11" i="76"/>
  <c r="B12" i="76"/>
  <c r="D12" i="76"/>
  <c r="E12" i="76"/>
  <c r="G12" i="76"/>
  <c r="H12" i="76"/>
  <c r="I12" i="76"/>
  <c r="J12" i="76"/>
  <c r="K12" i="76"/>
  <c r="L12" i="76"/>
  <c r="B13" i="76"/>
  <c r="D13" i="76"/>
  <c r="E13" i="76"/>
  <c r="G13" i="76"/>
  <c r="H13" i="76"/>
  <c r="I13" i="76"/>
  <c r="J13" i="76"/>
  <c r="K13" i="76"/>
  <c r="L13" i="76"/>
  <c r="B14" i="76"/>
  <c r="D14" i="76"/>
  <c r="E14" i="76"/>
  <c r="G14" i="76"/>
  <c r="H14" i="76"/>
  <c r="I14" i="76"/>
  <c r="J14" i="76"/>
  <c r="K14" i="76"/>
  <c r="L14" i="76"/>
  <c r="B15" i="76"/>
  <c r="D15" i="76"/>
  <c r="E15" i="76"/>
  <c r="G15" i="76"/>
  <c r="H15" i="76"/>
  <c r="I15" i="76"/>
  <c r="J15" i="76"/>
  <c r="K15" i="76"/>
  <c r="L15" i="76"/>
  <c r="B16" i="76"/>
  <c r="D16" i="76"/>
  <c r="E16" i="76"/>
  <c r="G16" i="76"/>
  <c r="H16" i="76"/>
  <c r="I16" i="76"/>
  <c r="J16" i="76"/>
  <c r="K16" i="76"/>
  <c r="L16" i="76"/>
  <c r="B17" i="76"/>
  <c r="D17" i="76"/>
  <c r="E17" i="76"/>
  <c r="G17" i="76"/>
  <c r="H17" i="76"/>
  <c r="I17" i="76"/>
  <c r="J17" i="76"/>
  <c r="K17" i="76"/>
  <c r="L17" i="76"/>
  <c r="B18" i="76"/>
  <c r="D18" i="76"/>
  <c r="E18" i="76"/>
  <c r="G18" i="76"/>
  <c r="H18" i="76"/>
  <c r="I18" i="76"/>
  <c r="J18" i="76"/>
  <c r="K18" i="76"/>
  <c r="L18" i="76"/>
  <c r="B19" i="76"/>
  <c r="D19" i="76"/>
  <c r="E19" i="76"/>
  <c r="G19" i="76"/>
  <c r="H19" i="76"/>
  <c r="I19" i="76"/>
  <c r="J19" i="76"/>
  <c r="K19" i="76"/>
  <c r="L19" i="76"/>
  <c r="B20" i="76"/>
  <c r="D20" i="76"/>
  <c r="E20" i="76"/>
  <c r="G20" i="76"/>
  <c r="H20" i="76"/>
  <c r="I20" i="76"/>
  <c r="J20" i="76"/>
  <c r="K20" i="76"/>
  <c r="L20" i="76"/>
  <c r="B21" i="76"/>
  <c r="D21" i="76"/>
  <c r="E21" i="76"/>
  <c r="G21" i="76"/>
  <c r="H21" i="76"/>
  <c r="I21" i="76"/>
  <c r="J21" i="76"/>
  <c r="K21" i="76"/>
  <c r="L21" i="76"/>
  <c r="B22" i="76"/>
  <c r="D22" i="76"/>
  <c r="E22" i="76"/>
  <c r="G22" i="76"/>
  <c r="H22" i="76"/>
  <c r="I22" i="76"/>
  <c r="J22" i="76"/>
  <c r="K22" i="76"/>
  <c r="L22" i="76"/>
  <c r="B23" i="76"/>
  <c r="D23" i="76"/>
  <c r="E23" i="76"/>
  <c r="G23" i="76"/>
  <c r="H23" i="76"/>
  <c r="I23" i="76"/>
  <c r="J23" i="76"/>
  <c r="K23" i="76"/>
  <c r="L23" i="76"/>
  <c r="B24" i="76"/>
  <c r="D24" i="76"/>
  <c r="E24" i="76"/>
  <c r="G24" i="76"/>
  <c r="H24" i="76"/>
  <c r="I24" i="76"/>
  <c r="J24" i="76"/>
  <c r="K24" i="76"/>
  <c r="L24" i="76"/>
  <c r="B25" i="76"/>
  <c r="D25" i="76"/>
  <c r="E25" i="76"/>
  <c r="G25" i="76"/>
  <c r="H25" i="76"/>
  <c r="I25" i="76"/>
  <c r="J25" i="76"/>
  <c r="K25" i="76"/>
  <c r="L25" i="76"/>
  <c r="B26" i="76"/>
  <c r="D26" i="76"/>
  <c r="E26" i="76"/>
  <c r="G26" i="76"/>
  <c r="H26" i="76"/>
  <c r="I26" i="76"/>
  <c r="J26" i="76"/>
  <c r="K26" i="76"/>
  <c r="L26" i="76"/>
  <c r="B27" i="76"/>
  <c r="D27" i="76"/>
  <c r="E27" i="76"/>
  <c r="G27" i="76"/>
  <c r="H27" i="76"/>
  <c r="I27" i="76"/>
  <c r="J27" i="76"/>
  <c r="K27" i="76"/>
  <c r="L27" i="76"/>
  <c r="B28" i="76"/>
  <c r="D28" i="76"/>
  <c r="E28" i="76"/>
  <c r="G28" i="76"/>
  <c r="H28" i="76"/>
  <c r="I28" i="76"/>
  <c r="J28" i="76"/>
  <c r="K28" i="76"/>
  <c r="L28" i="76"/>
  <c r="B29" i="76"/>
  <c r="D29" i="76"/>
  <c r="E29" i="76"/>
  <c r="G29" i="76"/>
  <c r="H29" i="76"/>
  <c r="I29" i="76"/>
  <c r="J29" i="76"/>
  <c r="K29" i="76"/>
  <c r="L29" i="76"/>
  <c r="B30" i="76"/>
  <c r="D30" i="76"/>
  <c r="E30" i="76"/>
  <c r="G30" i="76"/>
  <c r="H30" i="76"/>
  <c r="I30" i="76"/>
  <c r="J30" i="76"/>
  <c r="K30" i="76"/>
  <c r="L30" i="76"/>
  <c r="B31" i="76"/>
  <c r="D31" i="76"/>
  <c r="E31" i="76"/>
  <c r="G31" i="76"/>
  <c r="H31" i="76"/>
  <c r="I31" i="76"/>
  <c r="J31" i="76"/>
  <c r="K31" i="76"/>
  <c r="L31" i="76"/>
  <c r="B32" i="76"/>
  <c r="D32" i="76"/>
  <c r="E32" i="76"/>
  <c r="G32" i="76"/>
  <c r="H32" i="76"/>
  <c r="I32" i="76"/>
  <c r="J32" i="76"/>
  <c r="K32" i="76"/>
  <c r="L32" i="76"/>
  <c r="B33" i="76"/>
  <c r="D33" i="76"/>
  <c r="E33" i="76"/>
  <c r="G33" i="76"/>
  <c r="H33" i="76"/>
  <c r="I33" i="76"/>
  <c r="J33" i="76"/>
  <c r="K33" i="76"/>
  <c r="L33" i="76"/>
  <c r="B38" i="76"/>
  <c r="D38" i="76"/>
  <c r="E38" i="76"/>
  <c r="G38" i="76"/>
  <c r="H38" i="76"/>
  <c r="I38" i="76"/>
  <c r="J38" i="76"/>
  <c r="K38" i="76"/>
  <c r="L38" i="76"/>
  <c r="B39" i="76"/>
  <c r="D39" i="76"/>
  <c r="E39" i="76"/>
  <c r="G39" i="76"/>
  <c r="H39" i="76"/>
  <c r="I39" i="76"/>
  <c r="J39" i="76"/>
  <c r="K39" i="76"/>
  <c r="L39" i="76"/>
  <c r="B40" i="76"/>
  <c r="D40" i="76"/>
  <c r="E40" i="76"/>
  <c r="G40" i="76"/>
  <c r="H40" i="76"/>
  <c r="I40" i="76"/>
  <c r="J40" i="76"/>
  <c r="K40" i="76"/>
  <c r="L40" i="76"/>
  <c r="B41" i="76"/>
  <c r="D41" i="76"/>
  <c r="E41" i="76"/>
  <c r="G41" i="76"/>
  <c r="H41" i="76"/>
  <c r="I41" i="76"/>
  <c r="J41" i="76"/>
  <c r="K41" i="76"/>
  <c r="L41" i="76"/>
  <c r="B42" i="76"/>
  <c r="D42" i="76"/>
  <c r="E42" i="76"/>
  <c r="G42" i="76"/>
  <c r="H42" i="76"/>
  <c r="I42" i="76"/>
  <c r="J42" i="76"/>
  <c r="K42" i="76"/>
  <c r="L42" i="76"/>
  <c r="B43" i="76"/>
  <c r="D43" i="76"/>
  <c r="E43" i="76"/>
  <c r="G43" i="76"/>
  <c r="H43" i="76"/>
  <c r="I43" i="76"/>
  <c r="J43" i="76"/>
  <c r="K43" i="76"/>
  <c r="L43" i="76"/>
  <c r="B44" i="76"/>
  <c r="D44" i="76"/>
  <c r="E44" i="76"/>
  <c r="G44" i="76"/>
  <c r="H44" i="76"/>
  <c r="I44" i="76"/>
  <c r="J44" i="76"/>
  <c r="K44" i="76"/>
  <c r="L44" i="76"/>
  <c r="B45" i="76"/>
  <c r="D45" i="76"/>
  <c r="E45" i="76"/>
  <c r="G45" i="76"/>
  <c r="H45" i="76"/>
  <c r="I45" i="76"/>
  <c r="J45" i="76"/>
  <c r="K45" i="76"/>
  <c r="L45" i="76"/>
  <c r="B46" i="76"/>
  <c r="D46" i="76"/>
  <c r="E46" i="76"/>
  <c r="G46" i="76"/>
  <c r="H46" i="76"/>
  <c r="I46" i="76"/>
  <c r="J46" i="76"/>
  <c r="K46" i="76"/>
  <c r="L46" i="76"/>
  <c r="B47" i="76"/>
  <c r="D47" i="76"/>
  <c r="E47" i="76"/>
  <c r="G47" i="76"/>
  <c r="H47" i="76"/>
  <c r="I47" i="76"/>
  <c r="J47" i="76"/>
  <c r="K47" i="76"/>
  <c r="L47" i="76"/>
  <c r="B48" i="76"/>
  <c r="D48" i="76"/>
  <c r="E48" i="76"/>
  <c r="G48" i="76"/>
  <c r="H48" i="76"/>
  <c r="I48" i="76"/>
  <c r="J48" i="76"/>
  <c r="K48" i="76"/>
  <c r="L48" i="76"/>
  <c r="B49" i="76"/>
  <c r="D49" i="76"/>
  <c r="E49" i="76"/>
  <c r="G49" i="76"/>
  <c r="H49" i="76"/>
  <c r="I49" i="76"/>
  <c r="J49" i="76"/>
  <c r="K49" i="76"/>
  <c r="L49" i="76"/>
  <c r="B50" i="76"/>
  <c r="D50" i="76"/>
  <c r="E50" i="76"/>
  <c r="G50" i="76"/>
  <c r="H50" i="76"/>
  <c r="I50" i="76"/>
  <c r="J50" i="76"/>
  <c r="K50" i="76"/>
  <c r="L50" i="76"/>
  <c r="B51" i="76"/>
  <c r="D51" i="76"/>
  <c r="E51" i="76"/>
  <c r="G51" i="76"/>
  <c r="H51" i="76"/>
  <c r="I51" i="76"/>
  <c r="J51" i="76"/>
  <c r="K51" i="76"/>
  <c r="L51" i="76"/>
  <c r="B52" i="76"/>
  <c r="D52" i="76"/>
  <c r="E52" i="76"/>
  <c r="G52" i="76"/>
  <c r="H52" i="76"/>
  <c r="I52" i="76"/>
  <c r="J52" i="76"/>
  <c r="K52" i="76"/>
  <c r="L52" i="76"/>
  <c r="B53" i="76"/>
  <c r="D53" i="76"/>
  <c r="E53" i="76"/>
  <c r="G53" i="76"/>
  <c r="H53" i="76"/>
  <c r="I53" i="76"/>
  <c r="J53" i="76"/>
  <c r="K53" i="76"/>
  <c r="L53" i="76"/>
  <c r="B54" i="76"/>
  <c r="D54" i="76"/>
  <c r="E54" i="76"/>
  <c r="G54" i="76"/>
  <c r="H54" i="76"/>
  <c r="I54" i="76"/>
  <c r="J54" i="76"/>
  <c r="K54" i="76"/>
  <c r="L54" i="76"/>
  <c r="B55" i="76"/>
  <c r="D55" i="76"/>
  <c r="E55" i="76"/>
  <c r="G55" i="76"/>
  <c r="H55" i="76"/>
  <c r="I55" i="76"/>
  <c r="J55" i="76"/>
  <c r="K55" i="76"/>
  <c r="L55" i="76"/>
  <c r="B56" i="76"/>
  <c r="D56" i="76"/>
  <c r="E56" i="76"/>
  <c r="G56" i="76"/>
  <c r="H56" i="76"/>
  <c r="I56" i="76"/>
  <c r="J56" i="76"/>
  <c r="K56" i="76"/>
  <c r="L56" i="76"/>
  <c r="B57" i="76"/>
  <c r="D57" i="76"/>
  <c r="E57" i="76"/>
  <c r="G57" i="76"/>
  <c r="H57" i="76"/>
  <c r="I57" i="76"/>
  <c r="J57" i="76"/>
  <c r="K57" i="76"/>
  <c r="L57" i="76"/>
  <c r="B58" i="76"/>
  <c r="D58" i="76"/>
  <c r="E58" i="76"/>
  <c r="G58" i="76"/>
  <c r="H58" i="76"/>
  <c r="I58" i="76"/>
  <c r="J58" i="76"/>
  <c r="K58" i="76"/>
  <c r="L58" i="76"/>
  <c r="B59" i="76"/>
  <c r="D59" i="76"/>
  <c r="E59" i="76"/>
  <c r="G59" i="76"/>
  <c r="H59" i="76"/>
  <c r="I59" i="76"/>
  <c r="J59" i="76"/>
  <c r="K59" i="76"/>
  <c r="L59" i="76"/>
  <c r="B60" i="76"/>
  <c r="D60" i="76"/>
  <c r="E60" i="76"/>
  <c r="G60" i="76"/>
  <c r="H60" i="76"/>
  <c r="I60" i="76"/>
  <c r="J60" i="76"/>
  <c r="K60" i="76"/>
  <c r="L60" i="76"/>
  <c r="B61" i="76"/>
  <c r="D61" i="76"/>
  <c r="E61" i="76"/>
  <c r="G61" i="76"/>
  <c r="H61" i="76"/>
  <c r="I61" i="76"/>
  <c r="J61" i="76"/>
  <c r="K61" i="76"/>
  <c r="L61" i="76"/>
  <c r="B62" i="76"/>
  <c r="D62" i="76"/>
  <c r="E62" i="76"/>
  <c r="G62" i="76"/>
  <c r="H62" i="76"/>
  <c r="I62" i="76"/>
  <c r="J62" i="76"/>
  <c r="K62" i="76"/>
  <c r="L62" i="76"/>
  <c r="B63" i="76"/>
  <c r="D63" i="76"/>
  <c r="E63" i="76"/>
  <c r="G63" i="76"/>
  <c r="H63" i="76"/>
  <c r="I63" i="76"/>
  <c r="J63" i="76"/>
  <c r="K63" i="76"/>
  <c r="L63" i="76"/>
  <c r="B64" i="76"/>
  <c r="D64" i="76"/>
  <c r="E64" i="76"/>
  <c r="G64" i="76"/>
  <c r="H64" i="76"/>
  <c r="I64" i="76"/>
  <c r="J64" i="76"/>
  <c r="K64" i="76"/>
  <c r="L64" i="76"/>
  <c r="B69" i="76"/>
  <c r="D69" i="76"/>
  <c r="E69" i="76"/>
  <c r="G69" i="76"/>
  <c r="H69" i="76"/>
  <c r="I69" i="76"/>
  <c r="J69" i="76"/>
  <c r="K69" i="76"/>
  <c r="L69" i="76"/>
  <c r="B70" i="76"/>
  <c r="D70" i="76"/>
  <c r="E70" i="76"/>
  <c r="G70" i="76"/>
  <c r="H70" i="76"/>
  <c r="I70" i="76"/>
  <c r="J70" i="76"/>
  <c r="K70" i="76"/>
  <c r="L70" i="76"/>
  <c r="B71" i="76"/>
  <c r="D71" i="76"/>
  <c r="E71" i="76"/>
  <c r="G71" i="76"/>
  <c r="H71" i="76"/>
  <c r="I71" i="76"/>
  <c r="J71" i="76"/>
  <c r="K71" i="76"/>
  <c r="L71" i="76"/>
  <c r="B72" i="76"/>
  <c r="D72" i="76"/>
  <c r="E72" i="76"/>
  <c r="G72" i="76"/>
  <c r="H72" i="76"/>
  <c r="I72" i="76"/>
  <c r="J72" i="76"/>
  <c r="K72" i="76"/>
  <c r="L72" i="76"/>
  <c r="B73" i="76"/>
  <c r="D73" i="76"/>
  <c r="E73" i="76"/>
  <c r="G73" i="76"/>
  <c r="H73" i="76"/>
  <c r="I73" i="76"/>
  <c r="J73" i="76"/>
  <c r="K73" i="76"/>
  <c r="L73" i="76"/>
  <c r="B74" i="76"/>
  <c r="D74" i="76"/>
  <c r="E74" i="76"/>
  <c r="G74" i="76"/>
  <c r="H74" i="76"/>
  <c r="I74" i="76"/>
  <c r="J74" i="76"/>
  <c r="K74" i="76"/>
  <c r="L74" i="76"/>
  <c r="B75" i="76"/>
  <c r="D75" i="76"/>
  <c r="E75" i="76"/>
  <c r="G75" i="76"/>
  <c r="H75" i="76"/>
  <c r="I75" i="76"/>
  <c r="J75" i="76"/>
  <c r="K75" i="76"/>
  <c r="L75" i="76"/>
  <c r="B76" i="76"/>
  <c r="D76" i="76"/>
  <c r="E76" i="76"/>
  <c r="G76" i="76"/>
  <c r="H76" i="76"/>
  <c r="I76" i="76"/>
  <c r="J76" i="76"/>
  <c r="K76" i="76"/>
  <c r="L76" i="76"/>
  <c r="B77" i="76"/>
  <c r="D77" i="76"/>
  <c r="E77" i="76"/>
  <c r="G77" i="76"/>
  <c r="H77" i="76"/>
  <c r="I77" i="76"/>
  <c r="J77" i="76"/>
  <c r="K77" i="76"/>
  <c r="L77" i="76"/>
  <c r="B78" i="76"/>
  <c r="D78" i="76"/>
  <c r="E78" i="76"/>
  <c r="G78" i="76"/>
  <c r="H78" i="76"/>
  <c r="I78" i="76"/>
  <c r="J78" i="76"/>
  <c r="K78" i="76"/>
  <c r="L78" i="76"/>
  <c r="B79" i="76"/>
  <c r="D79" i="76"/>
  <c r="E79" i="76"/>
  <c r="G79" i="76"/>
  <c r="H79" i="76"/>
  <c r="I79" i="76"/>
  <c r="J79" i="76"/>
  <c r="K79" i="76"/>
  <c r="L79" i="76"/>
  <c r="B80" i="76"/>
  <c r="D80" i="76"/>
  <c r="E80" i="76"/>
  <c r="G80" i="76"/>
  <c r="H80" i="76"/>
  <c r="I80" i="76"/>
  <c r="J80" i="76"/>
  <c r="K80" i="76"/>
  <c r="L80" i="76"/>
  <c r="B81" i="76"/>
  <c r="D81" i="76"/>
  <c r="E81" i="76"/>
  <c r="G81" i="76"/>
  <c r="H81" i="76"/>
  <c r="I81" i="76"/>
  <c r="J81" i="76"/>
  <c r="K81" i="76"/>
  <c r="L81" i="76"/>
  <c r="B82" i="76"/>
  <c r="D82" i="76"/>
  <c r="E82" i="76"/>
  <c r="G82" i="76"/>
  <c r="H82" i="76"/>
  <c r="I82" i="76"/>
  <c r="J82" i="76"/>
  <c r="K82" i="76"/>
  <c r="L82" i="76"/>
  <c r="B83" i="76"/>
  <c r="D83" i="76"/>
  <c r="E83" i="76"/>
  <c r="G83" i="76"/>
  <c r="H83" i="76"/>
  <c r="I83" i="76"/>
  <c r="J83" i="76"/>
  <c r="K83" i="76"/>
  <c r="L83" i="76"/>
  <c r="B84" i="76"/>
  <c r="D84" i="76"/>
  <c r="E84" i="76"/>
  <c r="G84" i="76"/>
  <c r="H84" i="76"/>
  <c r="I84" i="76"/>
  <c r="J84" i="76"/>
  <c r="K84" i="76"/>
  <c r="L84" i="76"/>
  <c r="B85" i="76"/>
  <c r="D85" i="76"/>
  <c r="E85" i="76"/>
  <c r="G85" i="76"/>
  <c r="H85" i="76"/>
  <c r="I85" i="76"/>
  <c r="J85" i="76"/>
  <c r="K85" i="76"/>
  <c r="L85" i="76"/>
  <c r="B86" i="76"/>
  <c r="D86" i="76"/>
  <c r="E86" i="76"/>
  <c r="G86" i="76"/>
  <c r="H86" i="76"/>
  <c r="I86" i="76"/>
  <c r="J86" i="76"/>
  <c r="K86" i="76"/>
  <c r="L86" i="76"/>
  <c r="B87" i="76"/>
  <c r="D87" i="76"/>
  <c r="E87" i="76"/>
  <c r="G87" i="76"/>
  <c r="H87" i="76"/>
  <c r="I87" i="76"/>
  <c r="J87" i="76"/>
  <c r="K87" i="76"/>
  <c r="L87" i="76"/>
  <c r="B88" i="76"/>
  <c r="D88" i="76"/>
  <c r="E88" i="76"/>
  <c r="G88" i="76"/>
  <c r="H88" i="76"/>
  <c r="I88" i="76"/>
  <c r="J88" i="76"/>
  <c r="K88" i="76"/>
  <c r="L88" i="76"/>
  <c r="B89" i="76"/>
  <c r="D89" i="76"/>
  <c r="E89" i="76"/>
  <c r="G89" i="76"/>
  <c r="H89" i="76"/>
  <c r="I89" i="76"/>
  <c r="J89" i="76"/>
  <c r="K89" i="76"/>
  <c r="L89" i="76"/>
  <c r="B90" i="76"/>
  <c r="D90" i="76"/>
  <c r="E90" i="76"/>
  <c r="G90" i="76"/>
  <c r="H90" i="76"/>
  <c r="I90" i="76"/>
  <c r="J90" i="76"/>
  <c r="K90" i="76"/>
  <c r="L90" i="76"/>
  <c r="B91" i="76"/>
  <c r="D91" i="76"/>
  <c r="E91" i="76"/>
  <c r="G91" i="76"/>
  <c r="H91" i="76"/>
  <c r="I91" i="76"/>
  <c r="J91" i="76"/>
  <c r="K91" i="76"/>
  <c r="L91" i="76"/>
  <c r="B92" i="76"/>
  <c r="D92" i="76"/>
  <c r="E92" i="76"/>
  <c r="G92" i="76"/>
  <c r="H92" i="76"/>
  <c r="I92" i="76"/>
  <c r="J92" i="76"/>
  <c r="K92" i="76"/>
  <c r="L92" i="76"/>
  <c r="B93" i="76"/>
  <c r="D93" i="76"/>
  <c r="E93" i="76"/>
  <c r="G93" i="76"/>
  <c r="H93" i="76"/>
  <c r="I93" i="76"/>
  <c r="J93" i="76"/>
  <c r="K93" i="76"/>
  <c r="L93" i="76"/>
  <c r="B94" i="76"/>
  <c r="D94" i="76"/>
  <c r="E94" i="76"/>
  <c r="G94" i="76"/>
  <c r="H94" i="76"/>
  <c r="I94" i="76"/>
  <c r="J94" i="76"/>
  <c r="K94" i="76"/>
  <c r="L94" i="76"/>
  <c r="B95" i="76"/>
  <c r="D95" i="76"/>
  <c r="E95" i="76"/>
  <c r="G95" i="76"/>
  <c r="H95" i="76"/>
  <c r="I95" i="76"/>
  <c r="J95" i="76"/>
  <c r="K95" i="76"/>
  <c r="L95" i="76"/>
  <c r="B100" i="76"/>
  <c r="D100" i="76"/>
  <c r="E100" i="76"/>
  <c r="G100" i="76"/>
  <c r="H100" i="76"/>
  <c r="I100" i="76"/>
  <c r="J100" i="76"/>
  <c r="K100" i="76"/>
  <c r="L100" i="76"/>
  <c r="B101" i="76"/>
  <c r="D101" i="76"/>
  <c r="E101" i="76"/>
  <c r="G101" i="76"/>
  <c r="H101" i="76"/>
  <c r="I101" i="76"/>
  <c r="J101" i="76"/>
  <c r="K101" i="76"/>
  <c r="L101" i="76"/>
  <c r="B102" i="76"/>
  <c r="D102" i="76"/>
  <c r="E102" i="76"/>
  <c r="G102" i="76"/>
  <c r="H102" i="76"/>
  <c r="I102" i="76"/>
  <c r="J102" i="76"/>
  <c r="K102" i="76"/>
  <c r="L102" i="76"/>
  <c r="B103" i="76"/>
  <c r="D103" i="76"/>
  <c r="E103" i="76"/>
  <c r="G103" i="76"/>
  <c r="H103" i="76"/>
  <c r="I103" i="76"/>
  <c r="J103" i="76"/>
  <c r="K103" i="76"/>
  <c r="L103" i="76"/>
  <c r="B104" i="76"/>
  <c r="D104" i="76"/>
  <c r="E104" i="76"/>
  <c r="G104" i="76"/>
  <c r="H104" i="76"/>
  <c r="I104" i="76"/>
  <c r="J104" i="76"/>
  <c r="K104" i="76"/>
  <c r="L104" i="76"/>
  <c r="B105" i="76"/>
  <c r="D105" i="76"/>
  <c r="E105" i="76"/>
  <c r="G105" i="76"/>
  <c r="H105" i="76"/>
  <c r="I105" i="76"/>
  <c r="J105" i="76"/>
  <c r="K105" i="76"/>
  <c r="L105" i="76"/>
  <c r="B106" i="76"/>
  <c r="D106" i="76"/>
  <c r="E106" i="76"/>
  <c r="G106" i="76"/>
  <c r="H106" i="76"/>
  <c r="I106" i="76"/>
  <c r="J106" i="76"/>
  <c r="K106" i="76"/>
  <c r="L106" i="76"/>
  <c r="B107" i="76"/>
  <c r="D107" i="76"/>
  <c r="E107" i="76"/>
  <c r="G107" i="76"/>
  <c r="H107" i="76"/>
  <c r="I107" i="76"/>
  <c r="J107" i="76"/>
  <c r="K107" i="76"/>
  <c r="L107" i="76"/>
  <c r="B108" i="76"/>
  <c r="D108" i="76"/>
  <c r="E108" i="76"/>
  <c r="G108" i="76"/>
  <c r="H108" i="76"/>
  <c r="I108" i="76"/>
  <c r="J108" i="76"/>
  <c r="K108" i="76"/>
  <c r="L108" i="76"/>
  <c r="B109" i="76"/>
  <c r="D109" i="76"/>
  <c r="E109" i="76"/>
  <c r="G109" i="76"/>
  <c r="H109" i="76"/>
  <c r="I109" i="76"/>
  <c r="J109" i="76"/>
  <c r="K109" i="76"/>
  <c r="L109" i="76"/>
  <c r="B110" i="76"/>
  <c r="D110" i="76"/>
  <c r="E110" i="76"/>
  <c r="G110" i="76"/>
  <c r="H110" i="76"/>
  <c r="I110" i="76"/>
  <c r="J110" i="76"/>
  <c r="K110" i="76"/>
  <c r="L110" i="76"/>
  <c r="B111" i="76"/>
  <c r="D111" i="76"/>
  <c r="E111" i="76"/>
  <c r="G111" i="76"/>
  <c r="H111" i="76"/>
  <c r="I111" i="76"/>
  <c r="J111" i="76"/>
  <c r="K111" i="76"/>
  <c r="L111" i="76"/>
  <c r="B112" i="76"/>
  <c r="D112" i="76"/>
  <c r="E112" i="76"/>
  <c r="G112" i="76"/>
  <c r="H112" i="76"/>
  <c r="I112" i="76"/>
  <c r="J112" i="76"/>
  <c r="K112" i="76"/>
  <c r="L112" i="76"/>
  <c r="B113" i="76"/>
  <c r="D113" i="76"/>
  <c r="E113" i="76"/>
  <c r="G113" i="76"/>
  <c r="H113" i="76"/>
  <c r="I113" i="76"/>
  <c r="J113" i="76"/>
  <c r="K113" i="76"/>
  <c r="L113" i="76"/>
  <c r="B114" i="76"/>
  <c r="D114" i="76"/>
  <c r="E114" i="76"/>
  <c r="G114" i="76"/>
  <c r="H114" i="76"/>
  <c r="I114" i="76"/>
  <c r="J114" i="76"/>
  <c r="K114" i="76"/>
  <c r="L114" i="76"/>
  <c r="B115" i="76"/>
  <c r="D115" i="76"/>
  <c r="E115" i="76"/>
  <c r="G115" i="76"/>
  <c r="H115" i="76"/>
  <c r="I115" i="76"/>
  <c r="J115" i="76"/>
  <c r="K115" i="76"/>
  <c r="L115" i="76"/>
  <c r="B116" i="76"/>
  <c r="D116" i="76"/>
  <c r="E116" i="76"/>
  <c r="G116" i="76"/>
  <c r="H116" i="76"/>
  <c r="I116" i="76"/>
  <c r="J116" i="76"/>
  <c r="K116" i="76"/>
  <c r="L116" i="76"/>
  <c r="B117" i="76"/>
  <c r="D117" i="76"/>
  <c r="E117" i="76"/>
  <c r="G117" i="76"/>
  <c r="H117" i="76"/>
  <c r="I117" i="76"/>
  <c r="J117" i="76"/>
  <c r="K117" i="76"/>
  <c r="L117" i="76"/>
  <c r="B118" i="76"/>
  <c r="D118" i="76"/>
  <c r="E118" i="76"/>
  <c r="G118" i="76"/>
  <c r="H118" i="76"/>
  <c r="I118" i="76"/>
  <c r="J118" i="76"/>
  <c r="K118" i="76"/>
  <c r="L118" i="76"/>
  <c r="B119" i="76"/>
  <c r="D119" i="76"/>
  <c r="E119" i="76"/>
  <c r="G119" i="76"/>
  <c r="H119" i="76"/>
  <c r="I119" i="76"/>
  <c r="J119" i="76"/>
  <c r="K119" i="76"/>
  <c r="L119" i="76"/>
  <c r="B120" i="76"/>
  <c r="D120" i="76"/>
  <c r="E120" i="76"/>
  <c r="G120" i="76"/>
  <c r="H120" i="76"/>
  <c r="I120" i="76"/>
  <c r="J120" i="76"/>
  <c r="K120" i="76"/>
  <c r="L120" i="76"/>
  <c r="B121" i="76"/>
  <c r="D121" i="76"/>
  <c r="E121" i="76"/>
  <c r="G121" i="76"/>
  <c r="H121" i="76"/>
  <c r="I121" i="76"/>
  <c r="J121" i="76"/>
  <c r="K121" i="76"/>
  <c r="L121" i="76"/>
  <c r="B122" i="76"/>
  <c r="D122" i="76"/>
  <c r="E122" i="76"/>
  <c r="G122" i="76"/>
  <c r="H122" i="76"/>
  <c r="I122" i="76"/>
  <c r="J122" i="76"/>
  <c r="K122" i="76"/>
  <c r="L122" i="76"/>
  <c r="B123" i="76"/>
  <c r="D123" i="76"/>
  <c r="E123" i="76"/>
  <c r="G123" i="76"/>
  <c r="H123" i="76"/>
  <c r="I123" i="76"/>
  <c r="J123" i="76"/>
  <c r="K123" i="76"/>
  <c r="L123" i="76"/>
  <c r="B124" i="76"/>
  <c r="D124" i="76"/>
  <c r="E124" i="76"/>
  <c r="G124" i="76"/>
  <c r="H124" i="76"/>
  <c r="I124" i="76"/>
  <c r="J124" i="76"/>
  <c r="K124" i="76"/>
  <c r="L124" i="76"/>
  <c r="B125" i="76"/>
  <c r="D125" i="76"/>
  <c r="E125" i="76"/>
  <c r="G125" i="76"/>
  <c r="H125" i="76"/>
  <c r="I125" i="76"/>
  <c r="J125" i="76"/>
  <c r="K125" i="76"/>
  <c r="L125" i="76"/>
  <c r="B126" i="76"/>
  <c r="D126" i="76"/>
  <c r="E126" i="76"/>
  <c r="G126" i="76"/>
  <c r="H126" i="76"/>
  <c r="I126" i="76"/>
  <c r="J126" i="76"/>
  <c r="K126" i="76"/>
  <c r="L126" i="76"/>
  <c r="B131" i="76"/>
  <c r="C131" i="76"/>
  <c r="D131" i="76"/>
  <c r="E131" i="76"/>
  <c r="B132" i="76"/>
  <c r="C132" i="76"/>
  <c r="D132" i="76"/>
  <c r="E132" i="76"/>
  <c r="B133" i="76"/>
  <c r="C133" i="76"/>
  <c r="D133" i="76"/>
  <c r="E133" i="76"/>
  <c r="B134" i="76"/>
  <c r="C134" i="76"/>
  <c r="D134" i="76"/>
  <c r="E134" i="76"/>
  <c r="B135" i="76"/>
  <c r="C135" i="76"/>
  <c r="D135" i="76"/>
  <c r="E135" i="76"/>
  <c r="B136" i="76"/>
  <c r="C136" i="76"/>
  <c r="D136" i="76"/>
  <c r="E136" i="76"/>
  <c r="B137" i="76"/>
  <c r="C137" i="76"/>
  <c r="D137" i="76"/>
  <c r="E137" i="76"/>
  <c r="B138" i="76"/>
  <c r="C138" i="76"/>
  <c r="D138" i="76"/>
  <c r="E138" i="76"/>
  <c r="B139" i="76"/>
  <c r="C139" i="76"/>
  <c r="D139" i="76"/>
  <c r="E139" i="76"/>
  <c r="B140" i="76"/>
  <c r="C140" i="76"/>
  <c r="D140" i="76"/>
  <c r="E140" i="76"/>
  <c r="B141" i="76"/>
  <c r="C141" i="76"/>
  <c r="D141" i="76"/>
  <c r="E141" i="76"/>
  <c r="B142" i="76"/>
  <c r="C142" i="76"/>
  <c r="D142" i="76"/>
  <c r="E142" i="76"/>
  <c r="B143" i="76"/>
  <c r="C143" i="76"/>
  <c r="D143" i="76"/>
  <c r="E143" i="76"/>
  <c r="B144" i="76"/>
  <c r="C144" i="76"/>
  <c r="D144" i="76"/>
  <c r="E144" i="76"/>
  <c r="B145" i="76"/>
  <c r="C145" i="76"/>
  <c r="D145" i="76"/>
  <c r="E145" i="76"/>
  <c r="B146" i="76"/>
  <c r="C146" i="76"/>
  <c r="D146" i="76"/>
  <c r="E146" i="76"/>
  <c r="B147" i="76"/>
  <c r="C147" i="76"/>
  <c r="D147" i="76"/>
  <c r="E147" i="76"/>
  <c r="B148" i="76"/>
  <c r="C148" i="76"/>
  <c r="D148" i="76"/>
  <c r="E148" i="76"/>
  <c r="B149" i="76"/>
  <c r="C149" i="76"/>
  <c r="D149" i="76"/>
  <c r="E149" i="76"/>
  <c r="B150" i="76"/>
  <c r="C150" i="76"/>
  <c r="D150" i="76"/>
  <c r="E150" i="76"/>
  <c r="B151" i="76"/>
  <c r="C151" i="76"/>
  <c r="D151" i="76"/>
  <c r="E151" i="76"/>
  <c r="B152" i="76"/>
  <c r="C152" i="76"/>
  <c r="D152" i="76"/>
  <c r="E152" i="76"/>
  <c r="B153" i="76"/>
  <c r="C153" i="76"/>
  <c r="D153" i="76"/>
  <c r="E153" i="76"/>
  <c r="B154" i="76"/>
  <c r="C154" i="76"/>
  <c r="D154" i="76"/>
  <c r="E154" i="76"/>
  <c r="B155" i="76"/>
  <c r="C155" i="76"/>
  <c r="D155" i="76"/>
  <c r="E155" i="76"/>
  <c r="B156" i="76"/>
  <c r="C156" i="76"/>
  <c r="D156" i="76"/>
  <c r="E156" i="76"/>
  <c r="B157" i="76"/>
  <c r="C157" i="76"/>
  <c r="D157" i="76"/>
  <c r="E157" i="76"/>
  <c r="B161" i="76"/>
  <c r="C161" i="76"/>
  <c r="D161" i="76"/>
  <c r="E161" i="76"/>
  <c r="B162" i="76"/>
  <c r="C162" i="76"/>
  <c r="D162" i="76"/>
  <c r="E162" i="76"/>
  <c r="B163" i="76"/>
  <c r="C163" i="76"/>
  <c r="D163" i="76"/>
  <c r="E163" i="76"/>
  <c r="B164" i="76"/>
  <c r="C164" i="76"/>
  <c r="D164" i="76"/>
  <c r="E164" i="76"/>
  <c r="B165" i="76"/>
  <c r="C165" i="76"/>
  <c r="D165" i="76"/>
  <c r="E165" i="76"/>
  <c r="B166" i="76"/>
  <c r="C166" i="76"/>
  <c r="D166" i="76"/>
  <c r="E166" i="76"/>
  <c r="B167" i="76"/>
  <c r="C167" i="76"/>
  <c r="D167" i="76"/>
  <c r="E167" i="76"/>
  <c r="B168" i="76"/>
  <c r="C168" i="76"/>
  <c r="D168" i="76"/>
  <c r="E168" i="76"/>
  <c r="B169" i="76"/>
  <c r="C169" i="76"/>
  <c r="D169" i="76"/>
  <c r="E169" i="76"/>
  <c r="B170" i="76"/>
  <c r="C170" i="76"/>
  <c r="D170" i="76"/>
  <c r="E170" i="76"/>
  <c r="B171" i="76"/>
  <c r="C171" i="76"/>
  <c r="D171" i="76"/>
  <c r="E171" i="76"/>
  <c r="B172" i="76"/>
  <c r="C172" i="76"/>
  <c r="D172" i="76"/>
  <c r="E172" i="76"/>
  <c r="B173" i="76"/>
  <c r="C173" i="76"/>
  <c r="D173" i="76"/>
  <c r="E173" i="76"/>
  <c r="B174" i="76"/>
  <c r="C174" i="76"/>
  <c r="D174" i="76"/>
  <c r="E174" i="76"/>
  <c r="B175" i="76"/>
  <c r="C175" i="76"/>
  <c r="D175" i="76"/>
  <c r="E175" i="76"/>
  <c r="B176" i="76"/>
  <c r="C176" i="76"/>
  <c r="D176" i="76"/>
  <c r="E176" i="76"/>
  <c r="B177" i="76"/>
  <c r="C177" i="76"/>
  <c r="D177" i="76"/>
  <c r="E177" i="76"/>
  <c r="B178" i="76"/>
  <c r="C178" i="76"/>
  <c r="D178" i="76"/>
  <c r="E178" i="76"/>
  <c r="B179" i="76"/>
  <c r="C179" i="76"/>
  <c r="D179" i="76"/>
  <c r="E179" i="76"/>
  <c r="B180" i="76"/>
  <c r="C180" i="76"/>
  <c r="D180" i="76"/>
  <c r="E180" i="76"/>
  <c r="B181" i="76"/>
  <c r="C181" i="76"/>
  <c r="D181" i="76"/>
  <c r="E181" i="76"/>
  <c r="B182" i="76"/>
  <c r="C182" i="76"/>
  <c r="D182" i="76"/>
  <c r="E182" i="76"/>
  <c r="B183" i="76"/>
  <c r="C183" i="76"/>
  <c r="D183" i="76"/>
  <c r="E183" i="76"/>
  <c r="B184" i="76"/>
  <c r="C184" i="76"/>
  <c r="D184" i="76"/>
  <c r="E184" i="76"/>
  <c r="B185" i="76"/>
  <c r="C185" i="76"/>
  <c r="D185" i="76"/>
  <c r="E185" i="76"/>
  <c r="B186" i="76"/>
  <c r="C186" i="76"/>
  <c r="D186" i="76"/>
  <c r="E186" i="76"/>
  <c r="B187" i="76"/>
  <c r="C187" i="76"/>
  <c r="D187" i="76"/>
  <c r="E187" i="76"/>
  <c r="C8" i="77"/>
  <c r="E8" i="77"/>
  <c r="F8" i="77"/>
  <c r="G8" i="77"/>
  <c r="H8" i="77"/>
  <c r="I8" i="77"/>
  <c r="C9" i="77"/>
  <c r="E9" i="77"/>
  <c r="F9" i="77"/>
  <c r="G9" i="77"/>
  <c r="H9" i="77"/>
  <c r="I9" i="77"/>
  <c r="C10" i="77"/>
  <c r="E10" i="77"/>
  <c r="F10" i="77"/>
  <c r="G10" i="77"/>
  <c r="H10" i="77"/>
  <c r="I10" i="77"/>
  <c r="C11" i="77"/>
  <c r="E11" i="77"/>
  <c r="F11" i="77"/>
  <c r="G11" i="77"/>
  <c r="H11" i="77"/>
  <c r="I11" i="77"/>
  <c r="C12" i="77"/>
  <c r="E12" i="77"/>
  <c r="F12" i="77"/>
  <c r="G12" i="77"/>
  <c r="H12" i="77"/>
  <c r="I12" i="77"/>
  <c r="C13" i="77"/>
  <c r="E13" i="77"/>
  <c r="F13" i="77"/>
  <c r="G13" i="77"/>
  <c r="H13" i="77"/>
  <c r="I13" i="77"/>
  <c r="C14" i="77"/>
  <c r="E14" i="77"/>
  <c r="F14" i="77"/>
  <c r="G14" i="77"/>
  <c r="H14" i="77"/>
  <c r="I14" i="77"/>
  <c r="C15" i="77"/>
  <c r="E15" i="77"/>
  <c r="F15" i="77"/>
  <c r="G15" i="77"/>
  <c r="H15" i="77"/>
  <c r="I15" i="77"/>
  <c r="C16" i="77"/>
  <c r="E16" i="77"/>
  <c r="F16" i="77"/>
  <c r="G16" i="77"/>
  <c r="H16" i="77"/>
  <c r="I16" i="77"/>
  <c r="C17" i="77"/>
  <c r="E17" i="77"/>
  <c r="F17" i="77"/>
  <c r="G17" i="77"/>
  <c r="H17" i="77"/>
  <c r="I17" i="77"/>
  <c r="C18" i="77"/>
  <c r="E18" i="77"/>
  <c r="F18" i="77"/>
  <c r="G18" i="77"/>
  <c r="H18" i="77"/>
  <c r="I18" i="77"/>
  <c r="C19" i="77"/>
  <c r="E19" i="77"/>
  <c r="F19" i="77"/>
  <c r="G19" i="77"/>
  <c r="H19" i="77"/>
  <c r="I19" i="77"/>
  <c r="C20" i="77"/>
  <c r="E20" i="77"/>
  <c r="F20" i="77"/>
  <c r="G20" i="77"/>
  <c r="H20" i="77"/>
  <c r="I20" i="77"/>
  <c r="C21" i="77"/>
  <c r="E21" i="77"/>
  <c r="F21" i="77"/>
  <c r="G21" i="77"/>
  <c r="H21" i="77"/>
  <c r="I21" i="77"/>
  <c r="C22" i="77"/>
  <c r="E22" i="77"/>
  <c r="F22" i="77"/>
  <c r="G22" i="77"/>
  <c r="H22" i="77"/>
  <c r="I22" i="77"/>
  <c r="C23" i="77"/>
  <c r="E23" i="77"/>
  <c r="F23" i="77"/>
  <c r="G23" i="77"/>
  <c r="H23" i="77"/>
  <c r="I23" i="77"/>
  <c r="C24" i="77"/>
  <c r="E24" i="77"/>
  <c r="F24" i="77"/>
  <c r="G24" i="77"/>
  <c r="H24" i="77"/>
  <c r="I24" i="77"/>
  <c r="C25" i="77"/>
  <c r="E25" i="77"/>
  <c r="F25" i="77"/>
  <c r="G25" i="77"/>
  <c r="H25" i="77"/>
  <c r="I25" i="77"/>
  <c r="C26" i="77"/>
  <c r="E26" i="77"/>
  <c r="F26" i="77"/>
  <c r="G26" i="77"/>
  <c r="H26" i="77"/>
  <c r="I26" i="77"/>
  <c r="C27" i="77"/>
  <c r="E27" i="77"/>
  <c r="F27" i="77"/>
  <c r="G27" i="77"/>
  <c r="H27" i="77"/>
  <c r="I27" i="77"/>
  <c r="C28" i="77"/>
  <c r="E28" i="77"/>
  <c r="F28" i="77"/>
  <c r="G28" i="77"/>
  <c r="H28" i="77"/>
  <c r="I28" i="77"/>
  <c r="C29" i="77"/>
  <c r="E29" i="77"/>
  <c r="F29" i="77"/>
  <c r="G29" i="77"/>
  <c r="H29" i="77"/>
  <c r="I29" i="77"/>
  <c r="C30" i="77"/>
  <c r="E30" i="77"/>
  <c r="F30" i="77"/>
  <c r="G30" i="77"/>
  <c r="H30" i="77"/>
  <c r="I30" i="77"/>
  <c r="C31" i="77"/>
  <c r="E31" i="77"/>
  <c r="F31" i="77"/>
  <c r="G31" i="77"/>
  <c r="H31" i="77"/>
  <c r="I31" i="77"/>
  <c r="C32" i="77"/>
  <c r="E32" i="77"/>
  <c r="F32" i="77"/>
  <c r="G32" i="77"/>
  <c r="H32" i="77"/>
  <c r="I32" i="77"/>
  <c r="C33" i="77"/>
  <c r="E33" i="77"/>
  <c r="F33" i="77"/>
  <c r="G33" i="77"/>
  <c r="H33" i="77"/>
  <c r="I33" i="77"/>
  <c r="C38" i="77"/>
  <c r="E38" i="77"/>
  <c r="F38" i="77"/>
  <c r="G38" i="77"/>
  <c r="H38" i="77"/>
  <c r="I38" i="77"/>
  <c r="C39" i="77"/>
  <c r="E39" i="77"/>
  <c r="F39" i="77"/>
  <c r="G39" i="77"/>
  <c r="H39" i="77"/>
  <c r="I39" i="77"/>
  <c r="C40" i="77"/>
  <c r="E40" i="77"/>
  <c r="F40" i="77"/>
  <c r="G40" i="77"/>
  <c r="H40" i="77"/>
  <c r="I40" i="77"/>
  <c r="C41" i="77"/>
  <c r="E41" i="77"/>
  <c r="F41" i="77"/>
  <c r="G41" i="77"/>
  <c r="H41" i="77"/>
  <c r="I41" i="77"/>
  <c r="C42" i="77"/>
  <c r="E42" i="77"/>
  <c r="F42" i="77"/>
  <c r="G42" i="77"/>
  <c r="H42" i="77"/>
  <c r="I42" i="77"/>
  <c r="C43" i="77"/>
  <c r="E43" i="77"/>
  <c r="F43" i="77"/>
  <c r="G43" i="77"/>
  <c r="H43" i="77"/>
  <c r="I43" i="77"/>
  <c r="C44" i="77"/>
  <c r="E44" i="77"/>
  <c r="F44" i="77"/>
  <c r="G44" i="77"/>
  <c r="H44" i="77"/>
  <c r="I44" i="77"/>
  <c r="C45" i="77"/>
  <c r="E45" i="77"/>
  <c r="F45" i="77"/>
  <c r="G45" i="77"/>
  <c r="H45" i="77"/>
  <c r="I45" i="77"/>
  <c r="C46" i="77"/>
  <c r="E46" i="77"/>
  <c r="F46" i="77"/>
  <c r="G46" i="77"/>
  <c r="H46" i="77"/>
  <c r="I46" i="77"/>
  <c r="C47" i="77"/>
  <c r="E47" i="77"/>
  <c r="F47" i="77"/>
  <c r="G47" i="77"/>
  <c r="H47" i="77"/>
  <c r="I47" i="77"/>
  <c r="C48" i="77"/>
  <c r="E48" i="77"/>
  <c r="F48" i="77"/>
  <c r="G48" i="77"/>
  <c r="H48" i="77"/>
  <c r="I48" i="77"/>
  <c r="C49" i="77"/>
  <c r="E49" i="77"/>
  <c r="F49" i="77"/>
  <c r="G49" i="77"/>
  <c r="H49" i="77"/>
  <c r="I49" i="77"/>
  <c r="C50" i="77"/>
  <c r="E50" i="77"/>
  <c r="F50" i="77"/>
  <c r="G50" i="77"/>
  <c r="H50" i="77"/>
  <c r="I50" i="77"/>
  <c r="C51" i="77"/>
  <c r="E51" i="77"/>
  <c r="F51" i="77"/>
  <c r="G51" i="77"/>
  <c r="H51" i="77"/>
  <c r="I51" i="77"/>
  <c r="C52" i="77"/>
  <c r="E52" i="77"/>
  <c r="F52" i="77"/>
  <c r="G52" i="77"/>
  <c r="H52" i="77"/>
  <c r="I52" i="77"/>
  <c r="C53" i="77"/>
  <c r="E53" i="77"/>
  <c r="F53" i="77"/>
  <c r="G53" i="77"/>
  <c r="H53" i="77"/>
  <c r="I53" i="77"/>
  <c r="C54" i="77"/>
  <c r="E54" i="77"/>
  <c r="F54" i="77"/>
  <c r="G54" i="77"/>
  <c r="H54" i="77"/>
  <c r="I54" i="77"/>
  <c r="C55" i="77"/>
  <c r="E55" i="77"/>
  <c r="F55" i="77"/>
  <c r="G55" i="77"/>
  <c r="H55" i="77"/>
  <c r="I55" i="77"/>
  <c r="C56" i="77"/>
  <c r="E56" i="77"/>
  <c r="F56" i="77"/>
  <c r="G56" i="77"/>
  <c r="H56" i="77"/>
  <c r="I56" i="77"/>
  <c r="C57" i="77"/>
  <c r="E57" i="77"/>
  <c r="F57" i="77"/>
  <c r="G57" i="77"/>
  <c r="H57" i="77"/>
  <c r="I57" i="77"/>
  <c r="C58" i="77"/>
  <c r="E58" i="77"/>
  <c r="F58" i="77"/>
  <c r="G58" i="77"/>
  <c r="H58" i="77"/>
  <c r="I58" i="77"/>
  <c r="C59" i="77"/>
  <c r="E59" i="77"/>
  <c r="F59" i="77"/>
  <c r="G59" i="77"/>
  <c r="H59" i="77"/>
  <c r="I59" i="77"/>
  <c r="C60" i="77"/>
  <c r="E60" i="77"/>
  <c r="F60" i="77"/>
  <c r="G60" i="77"/>
  <c r="H60" i="77"/>
  <c r="I60" i="77"/>
  <c r="C61" i="77"/>
  <c r="E61" i="77"/>
  <c r="F61" i="77"/>
  <c r="G61" i="77"/>
  <c r="H61" i="77"/>
  <c r="I61" i="77"/>
  <c r="C62" i="77"/>
  <c r="E62" i="77"/>
  <c r="F62" i="77"/>
  <c r="G62" i="77"/>
  <c r="H62" i="77"/>
  <c r="I62" i="77"/>
  <c r="C63" i="77"/>
  <c r="E63" i="77"/>
  <c r="F63" i="77"/>
  <c r="G63" i="77"/>
  <c r="H63" i="77"/>
  <c r="I63" i="77"/>
  <c r="C68" i="77"/>
  <c r="E68" i="77"/>
  <c r="F68" i="77"/>
  <c r="G68" i="77"/>
  <c r="H68" i="77"/>
  <c r="I68" i="77"/>
  <c r="C69" i="77"/>
  <c r="E69" i="77"/>
  <c r="F69" i="77"/>
  <c r="G69" i="77"/>
  <c r="H69" i="77"/>
  <c r="I69" i="77"/>
  <c r="C70" i="77"/>
  <c r="E70" i="77"/>
  <c r="F70" i="77"/>
  <c r="G70" i="77"/>
  <c r="H70" i="77"/>
  <c r="I70" i="77"/>
  <c r="C71" i="77"/>
  <c r="E71" i="77"/>
  <c r="F71" i="77"/>
  <c r="G71" i="77"/>
  <c r="H71" i="77"/>
  <c r="I71" i="77"/>
  <c r="C72" i="77"/>
  <c r="E72" i="77"/>
  <c r="F72" i="77"/>
  <c r="G72" i="77"/>
  <c r="H72" i="77"/>
  <c r="I72" i="77"/>
  <c r="C73" i="77"/>
  <c r="E73" i="77"/>
  <c r="F73" i="77"/>
  <c r="G73" i="77"/>
  <c r="H73" i="77"/>
  <c r="I73" i="77"/>
  <c r="C74" i="77"/>
  <c r="E74" i="77"/>
  <c r="F74" i="77"/>
  <c r="G74" i="77"/>
  <c r="H74" i="77"/>
  <c r="I74" i="77"/>
  <c r="C75" i="77"/>
  <c r="E75" i="77"/>
  <c r="F75" i="77"/>
  <c r="G75" i="77"/>
  <c r="H75" i="77"/>
  <c r="I75" i="77"/>
  <c r="C76" i="77"/>
  <c r="E76" i="77"/>
  <c r="F76" i="77"/>
  <c r="G76" i="77"/>
  <c r="H76" i="77"/>
  <c r="I76" i="77"/>
  <c r="C77" i="77"/>
  <c r="E77" i="77"/>
  <c r="F77" i="77"/>
  <c r="G77" i="77"/>
  <c r="H77" i="77"/>
  <c r="I77" i="77"/>
  <c r="C78" i="77"/>
  <c r="E78" i="77"/>
  <c r="F78" i="77"/>
  <c r="G78" i="77"/>
  <c r="H78" i="77"/>
  <c r="I78" i="77"/>
  <c r="C79" i="77"/>
  <c r="E79" i="77"/>
  <c r="F79" i="77"/>
  <c r="G79" i="77"/>
  <c r="H79" i="77"/>
  <c r="I79" i="77"/>
  <c r="C80" i="77"/>
  <c r="E80" i="77"/>
  <c r="F80" i="77"/>
  <c r="G80" i="77"/>
  <c r="H80" i="77"/>
  <c r="I80" i="77"/>
  <c r="C81" i="77"/>
  <c r="E81" i="77"/>
  <c r="F81" i="77"/>
  <c r="G81" i="77"/>
  <c r="H81" i="77"/>
  <c r="I81" i="77"/>
  <c r="C82" i="77"/>
  <c r="E82" i="77"/>
  <c r="F82" i="77"/>
  <c r="G82" i="77"/>
  <c r="H82" i="77"/>
  <c r="I82" i="77"/>
  <c r="C83" i="77"/>
  <c r="E83" i="77"/>
  <c r="F83" i="77"/>
  <c r="G83" i="77"/>
  <c r="H83" i="77"/>
  <c r="I83" i="77"/>
  <c r="C84" i="77"/>
  <c r="E84" i="77"/>
  <c r="F84" i="77"/>
  <c r="G84" i="77"/>
  <c r="H84" i="77"/>
  <c r="I84" i="77"/>
  <c r="C85" i="77"/>
  <c r="E85" i="77"/>
  <c r="F85" i="77"/>
  <c r="G85" i="77"/>
  <c r="H85" i="77"/>
  <c r="I85" i="77"/>
  <c r="C86" i="77"/>
  <c r="E86" i="77"/>
  <c r="F86" i="77"/>
  <c r="G86" i="77"/>
  <c r="H86" i="77"/>
  <c r="I86" i="77"/>
  <c r="C87" i="77"/>
  <c r="E87" i="77"/>
  <c r="F87" i="77"/>
  <c r="G87" i="77"/>
  <c r="H87" i="77"/>
  <c r="I87" i="77"/>
  <c r="C88" i="77"/>
  <c r="E88" i="77"/>
  <c r="F88" i="77"/>
  <c r="G88" i="77"/>
  <c r="H88" i="77"/>
  <c r="I88" i="77"/>
  <c r="C89" i="77"/>
  <c r="E89" i="77"/>
  <c r="F89" i="77"/>
  <c r="G89" i="77"/>
  <c r="H89" i="77"/>
  <c r="I89" i="77"/>
  <c r="C90" i="77"/>
  <c r="E90" i="77"/>
  <c r="F90" i="77"/>
  <c r="G90" i="77"/>
  <c r="H90" i="77"/>
  <c r="I90" i="77"/>
  <c r="C91" i="77"/>
  <c r="E91" i="77"/>
  <c r="F91" i="77"/>
  <c r="G91" i="77"/>
  <c r="H91" i="77"/>
  <c r="I91" i="77"/>
  <c r="C92" i="77"/>
  <c r="E92" i="77"/>
  <c r="F92" i="77"/>
  <c r="G92" i="77"/>
  <c r="H92" i="77"/>
  <c r="I92" i="77"/>
  <c r="C93" i="77"/>
  <c r="E93" i="77"/>
  <c r="F93" i="77"/>
  <c r="G93" i="77"/>
  <c r="H93" i="77"/>
  <c r="I93" i="77"/>
  <c r="C98" i="77"/>
  <c r="E98" i="77"/>
  <c r="F98" i="77"/>
  <c r="G98" i="77"/>
  <c r="H98" i="77"/>
  <c r="I98" i="77"/>
  <c r="C99" i="77"/>
  <c r="E99" i="77"/>
  <c r="F99" i="77"/>
  <c r="G99" i="77"/>
  <c r="H99" i="77"/>
  <c r="I99" i="77"/>
  <c r="C100" i="77"/>
  <c r="E100" i="77"/>
  <c r="F100" i="77"/>
  <c r="G100" i="77"/>
  <c r="H100" i="77"/>
  <c r="I100" i="77"/>
  <c r="C101" i="77"/>
  <c r="E101" i="77"/>
  <c r="F101" i="77"/>
  <c r="G101" i="77"/>
  <c r="H101" i="77"/>
  <c r="I101" i="77"/>
  <c r="C102" i="77"/>
  <c r="E102" i="77"/>
  <c r="F102" i="77"/>
  <c r="G102" i="77"/>
  <c r="H102" i="77"/>
  <c r="I102" i="77"/>
  <c r="C103" i="77"/>
  <c r="E103" i="77"/>
  <c r="F103" i="77"/>
  <c r="G103" i="77"/>
  <c r="H103" i="77"/>
  <c r="I103" i="77"/>
  <c r="C104" i="77"/>
  <c r="E104" i="77"/>
  <c r="F104" i="77"/>
  <c r="G104" i="77"/>
  <c r="H104" i="77"/>
  <c r="I104" i="77"/>
  <c r="C105" i="77"/>
  <c r="E105" i="77"/>
  <c r="F105" i="77"/>
  <c r="G105" i="77"/>
  <c r="H105" i="77"/>
  <c r="I105" i="77"/>
  <c r="C106" i="77"/>
  <c r="E106" i="77"/>
  <c r="F106" i="77"/>
  <c r="G106" i="77"/>
  <c r="H106" i="77"/>
  <c r="I106" i="77"/>
  <c r="C107" i="77"/>
  <c r="E107" i="77"/>
  <c r="F107" i="77"/>
  <c r="G107" i="77"/>
  <c r="H107" i="77"/>
  <c r="I107" i="77"/>
  <c r="C108" i="77"/>
  <c r="E108" i="77"/>
  <c r="F108" i="77"/>
  <c r="G108" i="77"/>
  <c r="H108" i="77"/>
  <c r="I108" i="77"/>
  <c r="C109" i="77"/>
  <c r="E109" i="77"/>
  <c r="F109" i="77"/>
  <c r="G109" i="77"/>
  <c r="H109" i="77"/>
  <c r="I109" i="77"/>
  <c r="C110" i="77"/>
  <c r="E110" i="77"/>
  <c r="F110" i="77"/>
  <c r="G110" i="77"/>
  <c r="H110" i="77"/>
  <c r="I110" i="77"/>
  <c r="C111" i="77"/>
  <c r="E111" i="77"/>
  <c r="F111" i="77"/>
  <c r="G111" i="77"/>
  <c r="H111" i="77"/>
  <c r="I111" i="77"/>
  <c r="C112" i="77"/>
  <c r="E112" i="77"/>
  <c r="F112" i="77"/>
  <c r="G112" i="77"/>
  <c r="H112" i="77"/>
  <c r="I112" i="77"/>
  <c r="C113" i="77"/>
  <c r="E113" i="77"/>
  <c r="F113" i="77"/>
  <c r="G113" i="77"/>
  <c r="H113" i="77"/>
  <c r="I113" i="77"/>
  <c r="C114" i="77"/>
  <c r="E114" i="77"/>
  <c r="F114" i="77"/>
  <c r="G114" i="77"/>
  <c r="H114" i="77"/>
  <c r="I114" i="77"/>
  <c r="C115" i="77"/>
  <c r="E115" i="77"/>
  <c r="F115" i="77"/>
  <c r="G115" i="77"/>
  <c r="H115" i="77"/>
  <c r="I115" i="77"/>
  <c r="C116" i="77"/>
  <c r="E116" i="77"/>
  <c r="F116" i="77"/>
  <c r="G116" i="77"/>
  <c r="H116" i="77"/>
  <c r="I116" i="77"/>
  <c r="C117" i="77"/>
  <c r="E117" i="77"/>
  <c r="F117" i="77"/>
  <c r="G117" i="77"/>
  <c r="H117" i="77"/>
  <c r="I117" i="77"/>
  <c r="C118" i="77"/>
  <c r="E118" i="77"/>
  <c r="F118" i="77"/>
  <c r="G118" i="77"/>
  <c r="H118" i="77"/>
  <c r="I118" i="77"/>
  <c r="C119" i="77"/>
  <c r="E119" i="77"/>
  <c r="F119" i="77"/>
  <c r="G119" i="77"/>
  <c r="H119" i="77"/>
  <c r="I119" i="77"/>
  <c r="C120" i="77"/>
  <c r="E120" i="77"/>
  <c r="F120" i="77"/>
  <c r="G120" i="77"/>
  <c r="H120" i="77"/>
  <c r="I120" i="77"/>
  <c r="C121" i="77"/>
  <c r="E121" i="77"/>
  <c r="F121" i="77"/>
  <c r="G121" i="77"/>
  <c r="H121" i="77"/>
  <c r="I121" i="77"/>
  <c r="C122" i="77"/>
  <c r="E122" i="77"/>
  <c r="F122" i="77"/>
  <c r="G122" i="77"/>
  <c r="H122" i="77"/>
  <c r="I122" i="77"/>
  <c r="C123" i="77"/>
  <c r="E123" i="77"/>
  <c r="F123" i="77"/>
  <c r="G123" i="77"/>
  <c r="H123" i="77"/>
  <c r="I123" i="77"/>
  <c r="B127" i="77"/>
  <c r="C127" i="77"/>
  <c r="D127" i="77"/>
  <c r="E127" i="77"/>
  <c r="B128" i="77"/>
  <c r="C128" i="77"/>
  <c r="D128" i="77"/>
  <c r="E128" i="77"/>
  <c r="B129" i="77"/>
  <c r="C129" i="77"/>
  <c r="D129" i="77"/>
  <c r="E129" i="77"/>
  <c r="B130" i="77"/>
  <c r="C130" i="77"/>
  <c r="D130" i="77"/>
  <c r="E130" i="77"/>
  <c r="B131" i="77"/>
  <c r="C131" i="77"/>
  <c r="D131" i="77"/>
  <c r="E131" i="77"/>
  <c r="B132" i="77"/>
  <c r="C132" i="77"/>
  <c r="D132" i="77"/>
  <c r="E132" i="77"/>
  <c r="B133" i="77"/>
  <c r="C133" i="77"/>
  <c r="D133" i="77"/>
  <c r="E133" i="77"/>
  <c r="B134" i="77"/>
  <c r="C134" i="77"/>
  <c r="D134" i="77"/>
  <c r="E134" i="77"/>
  <c r="B135" i="77"/>
  <c r="C135" i="77"/>
  <c r="D135" i="77"/>
  <c r="E135" i="77"/>
  <c r="B136" i="77"/>
  <c r="C136" i="77"/>
  <c r="D136" i="77"/>
  <c r="E136" i="77"/>
  <c r="B137" i="77"/>
  <c r="C137" i="77"/>
  <c r="D137" i="77"/>
  <c r="E137" i="77"/>
  <c r="B138" i="77"/>
  <c r="C138" i="77"/>
  <c r="D138" i="77"/>
  <c r="E138" i="77"/>
  <c r="B139" i="77"/>
  <c r="C139" i="77"/>
  <c r="D139" i="77"/>
  <c r="E139" i="77"/>
  <c r="B140" i="77"/>
  <c r="C140" i="77"/>
  <c r="D140" i="77"/>
  <c r="E140" i="77"/>
  <c r="B141" i="77"/>
  <c r="C141" i="77"/>
  <c r="D141" i="77"/>
  <c r="E141" i="77"/>
  <c r="B142" i="77"/>
  <c r="C142" i="77"/>
  <c r="D142" i="77"/>
  <c r="E142" i="77"/>
  <c r="B143" i="77"/>
  <c r="C143" i="77"/>
  <c r="D143" i="77"/>
  <c r="E143" i="77"/>
  <c r="B144" i="77"/>
  <c r="C144" i="77"/>
  <c r="D144" i="77"/>
  <c r="E144" i="77"/>
  <c r="B145" i="77"/>
  <c r="C145" i="77"/>
  <c r="D145" i="77"/>
  <c r="E145" i="77"/>
  <c r="B146" i="77"/>
  <c r="C146" i="77"/>
  <c r="D146" i="77"/>
  <c r="E146" i="77"/>
  <c r="B147" i="77"/>
  <c r="C147" i="77"/>
  <c r="D147" i="77"/>
  <c r="E147" i="77"/>
  <c r="B148" i="77"/>
  <c r="C148" i="77"/>
  <c r="D148" i="77"/>
  <c r="E148" i="77"/>
  <c r="B149" i="77"/>
  <c r="C149" i="77"/>
  <c r="D149" i="77"/>
  <c r="E149" i="77"/>
  <c r="B150" i="77"/>
  <c r="C150" i="77"/>
  <c r="D150" i="77"/>
  <c r="E150" i="77"/>
  <c r="B151" i="77"/>
  <c r="C151" i="77"/>
  <c r="D151" i="77"/>
  <c r="E151" i="77"/>
  <c r="B152" i="77"/>
  <c r="C152" i="77"/>
  <c r="D152" i="77"/>
  <c r="E152" i="77"/>
  <c r="B140" i="72"/>
  <c r="C140" i="72"/>
  <c r="D140" i="72"/>
  <c r="E140" i="72"/>
  <c r="F140" i="72"/>
  <c r="G140" i="72"/>
  <c r="I140" i="72"/>
  <c r="J140" i="72"/>
  <c r="K140" i="72"/>
  <c r="L140" i="72"/>
  <c r="M140" i="72"/>
  <c r="N140" i="72"/>
  <c r="O140" i="72"/>
  <c r="P140" i="72"/>
  <c r="AF140" i="72"/>
  <c r="AG140" i="72"/>
  <c r="AH140" i="72"/>
  <c r="AI140" i="72"/>
  <c r="AJ140" i="72"/>
  <c r="AK140" i="72"/>
  <c r="AM140" i="72"/>
  <c r="AN140" i="72"/>
  <c r="AO140" i="72"/>
  <c r="AP140" i="72"/>
  <c r="AQ140" i="72"/>
  <c r="AR140" i="72"/>
  <c r="AS140" i="72"/>
  <c r="AT140" i="72"/>
  <c r="B141" i="72"/>
  <c r="C141" i="72"/>
  <c r="D141" i="72"/>
  <c r="E141" i="72"/>
  <c r="F141" i="72"/>
  <c r="G141" i="72"/>
  <c r="I141" i="72"/>
  <c r="J141" i="72"/>
  <c r="K141" i="72"/>
  <c r="L141" i="72"/>
  <c r="M141" i="72"/>
  <c r="N141" i="72"/>
  <c r="O141" i="72"/>
  <c r="P141" i="72"/>
  <c r="AF141" i="72"/>
  <c r="AG141" i="72"/>
  <c r="AH141" i="72"/>
  <c r="AI141" i="72"/>
  <c r="AJ141" i="72"/>
  <c r="AK141" i="72"/>
  <c r="AM141" i="72"/>
  <c r="AN141" i="72"/>
  <c r="AO141" i="72"/>
  <c r="AP141" i="72"/>
  <c r="AQ141" i="72"/>
  <c r="AR141" i="72"/>
  <c r="AS141" i="72"/>
  <c r="AT141" i="72"/>
  <c r="B142" i="72"/>
  <c r="C142" i="72"/>
  <c r="D142" i="72"/>
  <c r="E142" i="72"/>
  <c r="F142" i="72"/>
  <c r="G142" i="72"/>
  <c r="I142" i="72"/>
  <c r="J142" i="72"/>
  <c r="K142" i="72"/>
  <c r="L142" i="72"/>
  <c r="M142" i="72"/>
  <c r="N142" i="72"/>
  <c r="O142" i="72"/>
  <c r="P142" i="72"/>
  <c r="AF142" i="72"/>
  <c r="AG142" i="72"/>
  <c r="AH142" i="72"/>
  <c r="AI142" i="72"/>
  <c r="AJ142" i="72"/>
  <c r="AK142" i="72"/>
  <c r="AM142" i="72"/>
  <c r="AN142" i="72"/>
  <c r="AO142" i="72"/>
  <c r="AP142" i="72"/>
  <c r="AQ142" i="72"/>
  <c r="AR142" i="72"/>
  <c r="AS142" i="72"/>
  <c r="AT142" i="72"/>
  <c r="B143" i="72"/>
  <c r="C143" i="72"/>
  <c r="D143" i="72"/>
  <c r="E143" i="72"/>
  <c r="F143" i="72"/>
  <c r="G143" i="72"/>
  <c r="I143" i="72"/>
  <c r="J143" i="72"/>
  <c r="K143" i="72"/>
  <c r="L143" i="72"/>
  <c r="M143" i="72"/>
  <c r="N143" i="72"/>
  <c r="O143" i="72"/>
  <c r="P143" i="72"/>
  <c r="AF143" i="72"/>
  <c r="AG143" i="72"/>
  <c r="AH143" i="72"/>
  <c r="AI143" i="72"/>
  <c r="AJ143" i="72"/>
  <c r="AK143" i="72"/>
  <c r="AM143" i="72"/>
  <c r="AN143" i="72"/>
  <c r="AO143" i="72"/>
  <c r="AP143" i="72"/>
  <c r="AQ143" i="72"/>
  <c r="AR143" i="72"/>
  <c r="AS143" i="72"/>
  <c r="AT143" i="72"/>
  <c r="B144" i="72"/>
  <c r="C144" i="72"/>
  <c r="D144" i="72"/>
  <c r="E144" i="72"/>
  <c r="F144" i="72"/>
  <c r="G144" i="72"/>
  <c r="I144" i="72"/>
  <c r="J144" i="72"/>
  <c r="K144" i="72"/>
  <c r="L144" i="72"/>
  <c r="M144" i="72"/>
  <c r="N144" i="72"/>
  <c r="O144" i="72"/>
  <c r="P144" i="72"/>
  <c r="AF144" i="72"/>
  <c r="AG144" i="72"/>
  <c r="AH144" i="72"/>
  <c r="AI144" i="72"/>
  <c r="AJ144" i="72"/>
  <c r="AK144" i="72"/>
  <c r="AM144" i="72"/>
  <c r="AN144" i="72"/>
  <c r="AO144" i="72"/>
  <c r="AP144" i="72"/>
  <c r="AQ144" i="72"/>
  <c r="AR144" i="72"/>
  <c r="AS144" i="72"/>
  <c r="AT144" i="72"/>
  <c r="B145" i="72"/>
  <c r="C145" i="72"/>
  <c r="D145" i="72"/>
  <c r="E145" i="72"/>
  <c r="F145" i="72"/>
  <c r="G145" i="72"/>
  <c r="I145" i="72"/>
  <c r="J145" i="72"/>
  <c r="K145" i="72"/>
  <c r="L145" i="72"/>
  <c r="M145" i="72"/>
  <c r="N145" i="72"/>
  <c r="O145" i="72"/>
  <c r="P145" i="72"/>
  <c r="AF145" i="72"/>
  <c r="AG145" i="72"/>
  <c r="AH145" i="72"/>
  <c r="AI145" i="72"/>
  <c r="AJ145" i="72"/>
  <c r="AK145" i="72"/>
  <c r="AM145" i="72"/>
  <c r="AN145" i="72"/>
  <c r="AO145" i="72"/>
  <c r="AP145" i="72"/>
  <c r="AQ145" i="72"/>
  <c r="AR145" i="72"/>
  <c r="AS145" i="72"/>
  <c r="AT145" i="72"/>
  <c r="B147" i="72"/>
  <c r="C147" i="72"/>
  <c r="D147" i="72"/>
  <c r="E147" i="72"/>
  <c r="F147" i="72"/>
  <c r="G147" i="72"/>
  <c r="I147" i="72"/>
  <c r="J147" i="72"/>
  <c r="K147" i="72"/>
  <c r="L147" i="72"/>
  <c r="M147" i="72"/>
  <c r="N147" i="72"/>
  <c r="O147" i="72"/>
  <c r="P147" i="72"/>
  <c r="AF147" i="72"/>
  <c r="AG147" i="72"/>
  <c r="AH147" i="72"/>
  <c r="AI147" i="72"/>
  <c r="AJ147" i="72"/>
  <c r="AK147" i="72"/>
  <c r="AM147" i="72"/>
  <c r="AN147" i="72"/>
  <c r="AO147" i="72"/>
  <c r="AP147" i="72"/>
  <c r="AQ147" i="72"/>
  <c r="AR147" i="72"/>
  <c r="AS147" i="72"/>
  <c r="AT147" i="72"/>
  <c r="B148" i="72"/>
  <c r="C148" i="72"/>
  <c r="D148" i="72"/>
  <c r="E148" i="72"/>
  <c r="F148" i="72"/>
  <c r="G148" i="72"/>
  <c r="I148" i="72"/>
  <c r="J148" i="72"/>
  <c r="K148" i="72"/>
  <c r="L148" i="72"/>
  <c r="M148" i="72"/>
  <c r="N148" i="72"/>
  <c r="O148" i="72"/>
  <c r="P148" i="72"/>
  <c r="AF148" i="72"/>
  <c r="AG148" i="72"/>
  <c r="AH148" i="72"/>
  <c r="AI148" i="72"/>
  <c r="AJ148" i="72"/>
  <c r="AK148" i="72"/>
  <c r="AM148" i="72"/>
  <c r="AN148" i="72"/>
  <c r="AO148" i="72"/>
  <c r="AP148" i="72"/>
  <c r="AQ148" i="72"/>
  <c r="AR148" i="72"/>
  <c r="AS148" i="72"/>
  <c r="AT148" i="72"/>
  <c r="B149" i="72"/>
  <c r="C149" i="72"/>
  <c r="D149" i="72"/>
  <c r="E149" i="72"/>
  <c r="F149" i="72"/>
  <c r="G149" i="72"/>
  <c r="I149" i="72"/>
  <c r="J149" i="72"/>
  <c r="K149" i="72"/>
  <c r="L149" i="72"/>
  <c r="M149" i="72"/>
  <c r="N149" i="72"/>
  <c r="O149" i="72"/>
  <c r="P149" i="72"/>
  <c r="AF149" i="72"/>
  <c r="AG149" i="72"/>
  <c r="AH149" i="72"/>
  <c r="AI149" i="72"/>
  <c r="AJ149" i="72"/>
  <c r="AK149" i="72"/>
  <c r="AM149" i="72"/>
  <c r="AN149" i="72"/>
  <c r="AO149" i="72"/>
  <c r="AP149" i="72"/>
  <c r="AQ149" i="72"/>
  <c r="AR149" i="72"/>
  <c r="AS149" i="72"/>
  <c r="AT149" i="72"/>
  <c r="B150" i="72"/>
  <c r="C150" i="72"/>
  <c r="D150" i="72"/>
  <c r="E150" i="72"/>
  <c r="F150" i="72"/>
  <c r="G150" i="72"/>
  <c r="I150" i="72"/>
  <c r="J150" i="72"/>
  <c r="K150" i="72"/>
  <c r="L150" i="72"/>
  <c r="M150" i="72"/>
  <c r="N150" i="72"/>
  <c r="O150" i="72"/>
  <c r="P150" i="72"/>
  <c r="AF150" i="72"/>
  <c r="AG150" i="72"/>
  <c r="AH150" i="72"/>
  <c r="AI150" i="72"/>
  <c r="AJ150" i="72"/>
  <c r="AK150" i="72"/>
  <c r="AM150" i="72"/>
  <c r="AN150" i="72"/>
  <c r="AO150" i="72"/>
  <c r="AP150" i="72"/>
  <c r="AQ150" i="72"/>
  <c r="AR150" i="72"/>
  <c r="AS150" i="72"/>
  <c r="AT150" i="72"/>
  <c r="B151" i="72"/>
  <c r="C151" i="72"/>
  <c r="D151" i="72"/>
  <c r="E151" i="72"/>
  <c r="F151" i="72"/>
  <c r="G151" i="72"/>
  <c r="I151" i="72"/>
  <c r="J151" i="72"/>
  <c r="K151" i="72"/>
  <c r="L151" i="72"/>
  <c r="M151" i="72"/>
  <c r="N151" i="72"/>
  <c r="O151" i="72"/>
  <c r="P151" i="72"/>
  <c r="AF151" i="72"/>
  <c r="AG151" i="72"/>
  <c r="AH151" i="72"/>
  <c r="AI151" i="72"/>
  <c r="AJ151" i="72"/>
  <c r="AK151" i="72"/>
  <c r="AM151" i="72"/>
  <c r="AN151" i="72"/>
  <c r="AO151" i="72"/>
  <c r="AP151" i="72"/>
  <c r="AQ151" i="72"/>
  <c r="AR151" i="72"/>
  <c r="AS151" i="72"/>
  <c r="AT151" i="72"/>
  <c r="B152" i="72"/>
  <c r="C152" i="72"/>
  <c r="D152" i="72"/>
  <c r="E152" i="72"/>
  <c r="F152" i="72"/>
  <c r="G152" i="72"/>
  <c r="I152" i="72"/>
  <c r="J152" i="72"/>
  <c r="K152" i="72"/>
  <c r="L152" i="72"/>
  <c r="M152" i="72"/>
  <c r="N152" i="72"/>
  <c r="O152" i="72"/>
  <c r="P152" i="72"/>
  <c r="AF152" i="72"/>
  <c r="AG152" i="72"/>
  <c r="AH152" i="72"/>
  <c r="AI152" i="72"/>
  <c r="AJ152" i="72"/>
  <c r="AK152" i="72"/>
  <c r="AM152" i="72"/>
  <c r="AN152" i="72"/>
  <c r="AO152" i="72"/>
  <c r="AP152" i="72"/>
  <c r="AQ152" i="72"/>
  <c r="AR152" i="72"/>
  <c r="AS152" i="72"/>
  <c r="AT152" i="72"/>
  <c r="B153" i="72"/>
  <c r="C153" i="72"/>
  <c r="D153" i="72"/>
  <c r="E153" i="72"/>
  <c r="F153" i="72"/>
  <c r="G153" i="72"/>
  <c r="I153" i="72"/>
  <c r="J153" i="72"/>
  <c r="K153" i="72"/>
  <c r="L153" i="72"/>
  <c r="M153" i="72"/>
  <c r="N153" i="72"/>
  <c r="O153" i="72"/>
  <c r="P153" i="72"/>
  <c r="AF153" i="72"/>
  <c r="AG153" i="72"/>
  <c r="AH153" i="72"/>
  <c r="AI153" i="72"/>
  <c r="AJ153" i="72"/>
  <c r="AK153" i="72"/>
  <c r="AM153" i="72"/>
  <c r="AN153" i="72"/>
  <c r="AO153" i="72"/>
  <c r="AP153" i="72"/>
  <c r="AQ153" i="72"/>
  <c r="AR153" i="72"/>
  <c r="AS153" i="72"/>
  <c r="AT153" i="72"/>
  <c r="B154" i="72"/>
  <c r="C154" i="72"/>
  <c r="D154" i="72"/>
  <c r="E154" i="72"/>
  <c r="F154" i="72"/>
  <c r="G154" i="72"/>
  <c r="I154" i="72"/>
  <c r="J154" i="72"/>
  <c r="K154" i="72"/>
  <c r="L154" i="72"/>
  <c r="M154" i="72"/>
  <c r="N154" i="72"/>
  <c r="O154" i="72"/>
  <c r="P154" i="72"/>
  <c r="AF154" i="72"/>
  <c r="AG154" i="72"/>
  <c r="AH154" i="72"/>
  <c r="AI154" i="72"/>
  <c r="AJ154" i="72"/>
  <c r="AK154" i="72"/>
  <c r="AM154" i="72"/>
  <c r="AN154" i="72"/>
  <c r="AO154" i="72"/>
  <c r="AP154" i="72"/>
  <c r="AQ154" i="72"/>
  <c r="AR154" i="72"/>
  <c r="AS154" i="72"/>
  <c r="AT154" i="72"/>
  <c r="B155" i="72"/>
  <c r="C155" i="72"/>
  <c r="D155" i="72"/>
  <c r="E155" i="72"/>
  <c r="F155" i="72"/>
  <c r="G155" i="72"/>
  <c r="I155" i="72"/>
  <c r="J155" i="72"/>
  <c r="K155" i="72"/>
  <c r="L155" i="72"/>
  <c r="M155" i="72"/>
  <c r="N155" i="72"/>
  <c r="O155" i="72"/>
  <c r="P155" i="72"/>
  <c r="AF155" i="72"/>
  <c r="AG155" i="72"/>
  <c r="AH155" i="72"/>
  <c r="AI155" i="72"/>
  <c r="AJ155" i="72"/>
  <c r="AK155" i="72"/>
  <c r="AM155" i="72"/>
  <c r="AN155" i="72"/>
  <c r="AO155" i="72"/>
  <c r="AP155" i="72"/>
  <c r="AQ155" i="72"/>
  <c r="AR155" i="72"/>
  <c r="AS155" i="72"/>
  <c r="AT155" i="72"/>
  <c r="B156" i="72"/>
  <c r="C156" i="72"/>
  <c r="D156" i="72"/>
  <c r="E156" i="72"/>
  <c r="F156" i="72"/>
  <c r="G156" i="72"/>
  <c r="I156" i="72"/>
  <c r="J156" i="72"/>
  <c r="K156" i="72"/>
  <c r="L156" i="72"/>
  <c r="M156" i="72"/>
  <c r="N156" i="72"/>
  <c r="O156" i="72"/>
  <c r="P156" i="72"/>
  <c r="AF156" i="72"/>
  <c r="AG156" i="72"/>
  <c r="AH156" i="72"/>
  <c r="AI156" i="72"/>
  <c r="AJ156" i="72"/>
  <c r="AK156" i="72"/>
  <c r="AM156" i="72"/>
  <c r="AN156" i="72"/>
  <c r="AO156" i="72"/>
  <c r="AP156" i="72"/>
  <c r="AQ156" i="72"/>
  <c r="AR156" i="72"/>
  <c r="AS156" i="72"/>
  <c r="AT156" i="72"/>
  <c r="B157" i="72"/>
  <c r="C157" i="72"/>
  <c r="D157" i="72"/>
  <c r="E157" i="72"/>
  <c r="F157" i="72"/>
  <c r="G157" i="72"/>
  <c r="I157" i="72"/>
  <c r="J157" i="72"/>
  <c r="K157" i="72"/>
  <c r="L157" i="72"/>
  <c r="M157" i="72"/>
  <c r="N157" i="72"/>
  <c r="O157" i="72"/>
  <c r="P157" i="72"/>
  <c r="AF157" i="72"/>
  <c r="AG157" i="72"/>
  <c r="AH157" i="72"/>
  <c r="AI157" i="72"/>
  <c r="AJ157" i="72"/>
  <c r="AK157" i="72"/>
  <c r="AM157" i="72"/>
  <c r="AN157" i="72"/>
  <c r="AO157" i="72"/>
  <c r="AP157" i="72"/>
  <c r="AQ157" i="72"/>
  <c r="AR157" i="72"/>
  <c r="AS157" i="72"/>
  <c r="AT157" i="72"/>
  <c r="B158" i="72"/>
  <c r="C158" i="72"/>
  <c r="D158" i="72"/>
  <c r="E158" i="72"/>
  <c r="F158" i="72"/>
  <c r="G158" i="72"/>
  <c r="I158" i="72"/>
  <c r="J158" i="72"/>
  <c r="K158" i="72"/>
  <c r="L158" i="72"/>
  <c r="M158" i="72"/>
  <c r="N158" i="72"/>
  <c r="O158" i="72"/>
  <c r="P158" i="72"/>
  <c r="AF158" i="72"/>
  <c r="AG158" i="72"/>
  <c r="AH158" i="72"/>
  <c r="AI158" i="72"/>
  <c r="AJ158" i="72"/>
  <c r="AK158" i="72"/>
  <c r="AM158" i="72"/>
  <c r="AN158" i="72"/>
  <c r="AO158" i="72"/>
  <c r="AP158" i="72"/>
  <c r="AQ158" i="72"/>
  <c r="AR158" i="72"/>
  <c r="AS158" i="72"/>
  <c r="AT158" i="72"/>
  <c r="B159" i="72"/>
  <c r="C159" i="72"/>
  <c r="D159" i="72"/>
  <c r="E159" i="72"/>
  <c r="F159" i="72"/>
  <c r="G159" i="72"/>
  <c r="I159" i="72"/>
  <c r="J159" i="72"/>
  <c r="K159" i="72"/>
  <c r="L159" i="72"/>
  <c r="M159" i="72"/>
  <c r="N159" i="72"/>
  <c r="O159" i="72"/>
  <c r="P159" i="72"/>
  <c r="AF159" i="72"/>
  <c r="AG159" i="72"/>
  <c r="AH159" i="72"/>
  <c r="AI159" i="72"/>
  <c r="AJ159" i="72"/>
  <c r="AK159" i="72"/>
  <c r="AM159" i="72"/>
  <c r="AN159" i="72"/>
  <c r="AO159" i="72"/>
  <c r="AP159" i="72"/>
  <c r="AQ159" i="72"/>
  <c r="AR159" i="72"/>
  <c r="AS159" i="72"/>
  <c r="AT159" i="72"/>
  <c r="B161" i="72"/>
  <c r="C161" i="72"/>
  <c r="D161" i="72"/>
  <c r="E161" i="72"/>
  <c r="F161" i="72"/>
  <c r="G161" i="72"/>
  <c r="I161" i="72"/>
  <c r="J161" i="72"/>
  <c r="K161" i="72"/>
  <c r="L161" i="72"/>
  <c r="M161" i="72"/>
  <c r="N161" i="72"/>
  <c r="O161" i="72"/>
  <c r="P161" i="72"/>
  <c r="AF161" i="72"/>
  <c r="AG161" i="72"/>
  <c r="AH161" i="72"/>
  <c r="AI161" i="72"/>
  <c r="AJ161" i="72"/>
  <c r="AK161" i="72"/>
  <c r="AM161" i="72"/>
  <c r="AN161" i="72"/>
  <c r="AO161" i="72"/>
  <c r="AP161" i="72"/>
  <c r="AQ161" i="72"/>
  <c r="AR161" i="72"/>
  <c r="AS161" i="72"/>
  <c r="AT161" i="72"/>
  <c r="B162" i="72"/>
  <c r="C162" i="72"/>
  <c r="D162" i="72"/>
  <c r="E162" i="72"/>
  <c r="F162" i="72"/>
  <c r="G162" i="72"/>
  <c r="I162" i="72"/>
  <c r="J162" i="72"/>
  <c r="K162" i="72"/>
  <c r="L162" i="72"/>
  <c r="M162" i="72"/>
  <c r="N162" i="72"/>
  <c r="O162" i="72"/>
  <c r="P162" i="72"/>
  <c r="AF162" i="72"/>
  <c r="AG162" i="72"/>
  <c r="AH162" i="72"/>
  <c r="AI162" i="72"/>
  <c r="AJ162" i="72"/>
  <c r="AK162" i="72"/>
  <c r="AM162" i="72"/>
  <c r="AN162" i="72"/>
  <c r="AO162" i="72"/>
  <c r="AP162" i="72"/>
  <c r="AQ162" i="72"/>
  <c r="AR162" i="72"/>
  <c r="AS162" i="72"/>
  <c r="AT162" i="72"/>
  <c r="B163" i="72"/>
  <c r="C163" i="72"/>
  <c r="D163" i="72"/>
  <c r="E163" i="72"/>
  <c r="F163" i="72"/>
  <c r="G163" i="72"/>
  <c r="I163" i="72"/>
  <c r="J163" i="72"/>
  <c r="K163" i="72"/>
  <c r="L163" i="72"/>
  <c r="M163" i="72"/>
  <c r="N163" i="72"/>
  <c r="O163" i="72"/>
  <c r="P163" i="72"/>
  <c r="AF163" i="72"/>
  <c r="AG163" i="72"/>
  <c r="AH163" i="72"/>
  <c r="AI163" i="72"/>
  <c r="AJ163" i="72"/>
  <c r="AK163" i="72"/>
  <c r="AM163" i="72"/>
  <c r="AN163" i="72"/>
  <c r="AO163" i="72"/>
  <c r="AP163" i="72"/>
  <c r="AQ163" i="72"/>
  <c r="AR163" i="72"/>
  <c r="AS163" i="72"/>
  <c r="AT163" i="72"/>
  <c r="B164" i="72"/>
  <c r="C164" i="72"/>
  <c r="D164" i="72"/>
  <c r="E164" i="72"/>
  <c r="F164" i="72"/>
  <c r="G164" i="72"/>
  <c r="I164" i="72"/>
  <c r="J164" i="72"/>
  <c r="K164" i="72"/>
  <c r="L164" i="72"/>
  <c r="M164" i="72"/>
  <c r="N164" i="72"/>
  <c r="O164" i="72"/>
  <c r="P164" i="72"/>
  <c r="AF164" i="72"/>
  <c r="AG164" i="72"/>
  <c r="AH164" i="72"/>
  <c r="AI164" i="72"/>
  <c r="AJ164" i="72"/>
  <c r="AK164" i="72"/>
  <c r="AM164" i="72"/>
  <c r="AN164" i="72"/>
  <c r="AO164" i="72"/>
  <c r="AP164" i="72"/>
  <c r="AQ164" i="72"/>
  <c r="AR164" i="72"/>
  <c r="AS164" i="72"/>
  <c r="AT164" i="72"/>
  <c r="B165" i="72"/>
  <c r="C165" i="72"/>
  <c r="D165" i="72"/>
  <c r="E165" i="72"/>
  <c r="F165" i="72"/>
  <c r="G165" i="72"/>
  <c r="I165" i="72"/>
  <c r="J165" i="72"/>
  <c r="K165" i="72"/>
  <c r="L165" i="72"/>
  <c r="M165" i="72"/>
  <c r="N165" i="72"/>
  <c r="O165" i="72"/>
  <c r="P165" i="72"/>
  <c r="AF165" i="72"/>
  <c r="AG165" i="72"/>
  <c r="AH165" i="72"/>
  <c r="AI165" i="72"/>
  <c r="AJ165" i="72"/>
  <c r="AK165" i="72"/>
  <c r="AM165" i="72"/>
  <c r="AN165" i="72"/>
  <c r="AO165" i="72"/>
  <c r="AP165" i="72"/>
  <c r="AQ165" i="72"/>
  <c r="AR165" i="72"/>
  <c r="AS165" i="72"/>
  <c r="AT165" i="72"/>
  <c r="B166" i="72"/>
  <c r="C166" i="72"/>
  <c r="D166" i="72"/>
  <c r="E166" i="72"/>
  <c r="F166" i="72"/>
  <c r="G166" i="72"/>
  <c r="I166" i="72"/>
  <c r="J166" i="72"/>
  <c r="K166" i="72"/>
  <c r="L166" i="72"/>
  <c r="M166" i="72"/>
  <c r="N166" i="72"/>
  <c r="O166" i="72"/>
  <c r="P166" i="72"/>
  <c r="AF166" i="72"/>
  <c r="AG166" i="72"/>
  <c r="AH166" i="72"/>
  <c r="AI166" i="72"/>
  <c r="AJ166" i="72"/>
  <c r="AK166" i="72"/>
  <c r="AM166" i="72"/>
  <c r="AN166" i="72"/>
  <c r="AO166" i="72"/>
  <c r="AP166" i="72"/>
  <c r="AQ166" i="72"/>
  <c r="AR166" i="72"/>
  <c r="AS166" i="72"/>
  <c r="AT166" i="72"/>
  <c r="B167" i="72"/>
  <c r="C167" i="72"/>
  <c r="D167" i="72"/>
  <c r="E167" i="72"/>
  <c r="F167" i="72"/>
  <c r="G167" i="72"/>
  <c r="I167" i="72"/>
  <c r="J167" i="72"/>
  <c r="K167" i="72"/>
  <c r="L167" i="72"/>
  <c r="M167" i="72"/>
  <c r="N167" i="72"/>
  <c r="O167" i="72"/>
  <c r="P167" i="72"/>
  <c r="AF167" i="72"/>
  <c r="AG167" i="72"/>
  <c r="AH167" i="72"/>
  <c r="AI167" i="72"/>
  <c r="AJ167" i="72"/>
  <c r="AK167" i="72"/>
  <c r="AM167" i="72"/>
  <c r="AN167" i="72"/>
  <c r="AO167" i="72"/>
  <c r="AP167" i="72"/>
  <c r="AQ167" i="72"/>
  <c r="AR167" i="72"/>
  <c r="AS167" i="72"/>
  <c r="AT167" i="72"/>
  <c r="B168" i="72"/>
  <c r="C168" i="72"/>
  <c r="D168" i="72"/>
  <c r="E168" i="72"/>
  <c r="F168" i="72"/>
  <c r="G168" i="72"/>
  <c r="I168" i="72"/>
  <c r="J168" i="72"/>
  <c r="K168" i="72"/>
  <c r="L168" i="72"/>
  <c r="M168" i="72"/>
  <c r="N168" i="72"/>
  <c r="O168" i="72"/>
  <c r="P168" i="72"/>
  <c r="AF168" i="72"/>
  <c r="AG168" i="72"/>
  <c r="AH168" i="72"/>
  <c r="AI168" i="72"/>
  <c r="AJ168" i="72"/>
  <c r="AK168" i="72"/>
  <c r="AM168" i="72"/>
  <c r="AN168" i="72"/>
  <c r="AO168" i="72"/>
  <c r="AP168" i="72"/>
  <c r="AQ168" i="72"/>
  <c r="AR168" i="72"/>
  <c r="AS168" i="72"/>
  <c r="AT168" i="72"/>
  <c r="B188" i="72"/>
  <c r="B189" i="72"/>
  <c r="B190" i="72"/>
  <c r="B191" i="72"/>
  <c r="B192" i="72"/>
  <c r="B193" i="72"/>
  <c r="B195" i="72"/>
  <c r="B196" i="72"/>
  <c r="B197" i="72"/>
  <c r="B198" i="72"/>
  <c r="B199" i="72"/>
  <c r="B200" i="72"/>
  <c r="B201" i="72"/>
  <c r="B202" i="72"/>
  <c r="B203" i="72"/>
  <c r="B204" i="72"/>
  <c r="B205" i="72"/>
  <c r="B206" i="72"/>
  <c r="B207" i="72"/>
  <c r="B209" i="72"/>
  <c r="B210" i="72"/>
  <c r="B211" i="72"/>
  <c r="B212" i="72"/>
  <c r="B213" i="72"/>
  <c r="B214" i="72"/>
  <c r="B215" i="72"/>
  <c r="B216" i="72"/>
  <c r="B221" i="72"/>
  <c r="B222" i="72"/>
  <c r="B223" i="72"/>
  <c r="B224" i="72"/>
  <c r="B225" i="72"/>
  <c r="B226" i="72"/>
  <c r="B228" i="72"/>
  <c r="B229" i="72"/>
  <c r="B230" i="72"/>
  <c r="B231" i="72"/>
  <c r="B232" i="72"/>
  <c r="B233" i="72"/>
  <c r="B234" i="72"/>
  <c r="B235" i="72"/>
  <c r="B236" i="72"/>
  <c r="B237" i="72"/>
  <c r="B238" i="72"/>
  <c r="B239" i="72"/>
  <c r="B240" i="72"/>
  <c r="B242" i="72"/>
  <c r="B243" i="72"/>
  <c r="B244" i="72"/>
  <c r="B245" i="72"/>
  <c r="B246" i="72"/>
  <c r="B247" i="72"/>
  <c r="B248" i="72"/>
  <c r="B249" i="72"/>
  <c r="B97" i="75"/>
  <c r="C97" i="75"/>
  <c r="D97" i="75"/>
  <c r="G97" i="75"/>
  <c r="H97" i="75"/>
  <c r="I97" i="75"/>
  <c r="J97" i="75"/>
  <c r="K97" i="75"/>
  <c r="L97" i="75"/>
  <c r="B98" i="75"/>
  <c r="C98" i="75"/>
  <c r="D98" i="75"/>
  <c r="G98" i="75"/>
  <c r="H98" i="75"/>
  <c r="I98" i="75"/>
  <c r="J98" i="75"/>
  <c r="K98" i="75"/>
  <c r="L98" i="75"/>
  <c r="B99" i="75"/>
  <c r="C99" i="75"/>
  <c r="D99" i="75"/>
  <c r="G99" i="75"/>
  <c r="H99" i="75"/>
  <c r="I99" i="75"/>
  <c r="J99" i="75"/>
  <c r="K99" i="75"/>
  <c r="L99" i="75"/>
  <c r="B100" i="75"/>
  <c r="C100" i="75"/>
  <c r="D100" i="75"/>
  <c r="G100" i="75"/>
  <c r="H100" i="75"/>
  <c r="I100" i="75"/>
  <c r="J100" i="75"/>
  <c r="K100" i="75"/>
  <c r="L100" i="75"/>
  <c r="B101" i="75"/>
  <c r="C101" i="75"/>
  <c r="D101" i="75"/>
  <c r="G101" i="75"/>
  <c r="H101" i="75"/>
  <c r="I101" i="75"/>
  <c r="J101" i="75"/>
  <c r="K101" i="75"/>
  <c r="L101" i="75"/>
  <c r="B102" i="75"/>
  <c r="C102" i="75"/>
  <c r="D102" i="75"/>
  <c r="G102" i="75"/>
  <c r="H102" i="75"/>
  <c r="I102" i="75"/>
  <c r="J102" i="75"/>
  <c r="K102" i="75"/>
  <c r="L102" i="75"/>
  <c r="B104" i="75"/>
  <c r="C104" i="75"/>
  <c r="D104" i="75"/>
  <c r="G104" i="75"/>
  <c r="H104" i="75"/>
  <c r="I104" i="75"/>
  <c r="J104" i="75"/>
  <c r="K104" i="75"/>
  <c r="L104" i="75"/>
  <c r="B105" i="75"/>
  <c r="C105" i="75"/>
  <c r="D105" i="75"/>
  <c r="G105" i="75"/>
  <c r="H105" i="75"/>
  <c r="I105" i="75"/>
  <c r="J105" i="75"/>
  <c r="K105" i="75"/>
  <c r="L105" i="75"/>
  <c r="B106" i="75"/>
  <c r="C106" i="75"/>
  <c r="D106" i="75"/>
  <c r="G106" i="75"/>
  <c r="H106" i="75"/>
  <c r="I106" i="75"/>
  <c r="J106" i="75"/>
  <c r="K106" i="75"/>
  <c r="L106" i="75"/>
  <c r="B107" i="75"/>
  <c r="C107" i="75"/>
  <c r="D107" i="75"/>
  <c r="G107" i="75"/>
  <c r="H107" i="75"/>
  <c r="I107" i="75"/>
  <c r="J107" i="75"/>
  <c r="K107" i="75"/>
  <c r="L107" i="75"/>
  <c r="B108" i="75"/>
  <c r="C108" i="75"/>
  <c r="D108" i="75"/>
  <c r="G108" i="75"/>
  <c r="H108" i="75"/>
  <c r="I108" i="75"/>
  <c r="J108" i="75"/>
  <c r="K108" i="75"/>
  <c r="L108" i="75"/>
  <c r="B109" i="75"/>
  <c r="C109" i="75"/>
  <c r="D109" i="75"/>
  <c r="G109" i="75"/>
  <c r="H109" i="75"/>
  <c r="I109" i="75"/>
  <c r="J109" i="75"/>
  <c r="K109" i="75"/>
  <c r="L109" i="75"/>
  <c r="B110" i="75"/>
  <c r="C110" i="75"/>
  <c r="D110" i="75"/>
  <c r="G110" i="75"/>
  <c r="H110" i="75"/>
  <c r="I110" i="75"/>
  <c r="J110" i="75"/>
  <c r="K110" i="75"/>
  <c r="L110" i="75"/>
  <c r="B111" i="75"/>
  <c r="C111" i="75"/>
  <c r="D111" i="75"/>
  <c r="G111" i="75"/>
  <c r="H111" i="75"/>
  <c r="I111" i="75"/>
  <c r="J111" i="75"/>
  <c r="K111" i="75"/>
  <c r="L111" i="75"/>
  <c r="B112" i="75"/>
  <c r="C112" i="75"/>
  <c r="D112" i="75"/>
  <c r="G112" i="75"/>
  <c r="H112" i="75"/>
  <c r="I112" i="75"/>
  <c r="J112" i="75"/>
  <c r="K112" i="75"/>
  <c r="L112" i="75"/>
  <c r="B113" i="75"/>
  <c r="C113" i="75"/>
  <c r="D113" i="75"/>
  <c r="G113" i="75"/>
  <c r="H113" i="75"/>
  <c r="I113" i="75"/>
  <c r="J113" i="75"/>
  <c r="K113" i="75"/>
  <c r="L113" i="75"/>
  <c r="B114" i="75"/>
  <c r="C114" i="75"/>
  <c r="D114" i="75"/>
  <c r="G114" i="75"/>
  <c r="H114" i="75"/>
  <c r="I114" i="75"/>
  <c r="J114" i="75"/>
  <c r="K114" i="75"/>
  <c r="L114" i="75"/>
  <c r="B115" i="75"/>
  <c r="C115" i="75"/>
  <c r="D115" i="75"/>
  <c r="G115" i="75"/>
  <c r="H115" i="75"/>
  <c r="I115" i="75"/>
  <c r="J115" i="75"/>
  <c r="K115" i="75"/>
  <c r="L115" i="75"/>
  <c r="B116" i="75"/>
  <c r="C116" i="75"/>
  <c r="D116" i="75"/>
  <c r="G116" i="75"/>
  <c r="H116" i="75"/>
  <c r="I116" i="75"/>
  <c r="J116" i="75"/>
  <c r="K116" i="75"/>
  <c r="L116" i="75"/>
  <c r="B118" i="75"/>
  <c r="C118" i="75"/>
  <c r="D118" i="75"/>
  <c r="G118" i="75"/>
  <c r="H118" i="75"/>
  <c r="I118" i="75"/>
  <c r="J118" i="75"/>
  <c r="K118" i="75"/>
  <c r="L118" i="75"/>
  <c r="B119" i="75"/>
  <c r="C119" i="75"/>
  <c r="D119" i="75"/>
  <c r="G119" i="75"/>
  <c r="H119" i="75"/>
  <c r="I119" i="75"/>
  <c r="J119" i="75"/>
  <c r="K119" i="75"/>
  <c r="L119" i="75"/>
  <c r="B120" i="75"/>
  <c r="C120" i="75"/>
  <c r="D120" i="75"/>
  <c r="G120" i="75"/>
  <c r="H120" i="75"/>
  <c r="I120" i="75"/>
  <c r="J120" i="75"/>
  <c r="K120" i="75"/>
  <c r="L120" i="75"/>
  <c r="B121" i="75"/>
  <c r="C121" i="75"/>
  <c r="D121" i="75"/>
  <c r="G121" i="75"/>
  <c r="H121" i="75"/>
  <c r="I121" i="75"/>
  <c r="J121" i="75"/>
  <c r="K121" i="75"/>
  <c r="L121" i="75"/>
  <c r="B122" i="75"/>
  <c r="C122" i="75"/>
  <c r="D122" i="75"/>
  <c r="G122" i="75"/>
  <c r="H122" i="75"/>
  <c r="I122" i="75"/>
  <c r="J122" i="75"/>
  <c r="K122" i="75"/>
  <c r="L122" i="75"/>
  <c r="B123" i="75"/>
  <c r="C123" i="75"/>
  <c r="D123" i="75"/>
  <c r="G123" i="75"/>
  <c r="H123" i="75"/>
  <c r="I123" i="75"/>
  <c r="J123" i="75"/>
  <c r="K123" i="75"/>
  <c r="L123" i="75"/>
  <c r="B124" i="75"/>
  <c r="C124" i="75"/>
  <c r="D124" i="75"/>
  <c r="G124" i="75"/>
  <c r="H124" i="75"/>
  <c r="I124" i="75"/>
  <c r="J124" i="75"/>
  <c r="K124" i="75"/>
  <c r="L124" i="75"/>
  <c r="B125" i="75"/>
  <c r="C125" i="75"/>
  <c r="D125" i="75"/>
  <c r="G125" i="75"/>
  <c r="H125" i="75"/>
  <c r="I125" i="75"/>
  <c r="J125" i="75"/>
  <c r="K125" i="75"/>
  <c r="L125" i="75"/>
  <c r="B105" i="20" a="1"/>
  <c r="B105" i="20"/>
  <c r="D105" i="20" a="1"/>
  <c r="D105" i="20"/>
  <c r="F105" i="20" a="1"/>
  <c r="F105" i="20"/>
  <c r="H105" i="20" a="1"/>
  <c r="H105" i="20"/>
  <c r="L105" i="20" a="1"/>
  <c r="L105" i="20"/>
  <c r="P105" i="20" a="1"/>
  <c r="P105" i="20"/>
  <c r="R105" i="20" a="1"/>
  <c r="R105" i="20"/>
  <c r="T105" i="20" a="1"/>
  <c r="T105" i="20"/>
  <c r="V105" i="20" a="1"/>
  <c r="V105" i="20"/>
  <c r="X105" i="20" a="1"/>
  <c r="X105" i="20"/>
  <c r="Z105" i="20" a="1"/>
  <c r="Z105" i="20"/>
  <c r="B106" i="20" a="1"/>
  <c r="B106" i="20"/>
  <c r="D106" i="20" a="1"/>
  <c r="D106" i="20"/>
  <c r="F106" i="20" a="1"/>
  <c r="F106" i="20"/>
  <c r="H106" i="20" a="1"/>
  <c r="H106" i="20"/>
  <c r="L106" i="20" a="1"/>
  <c r="L106" i="20"/>
  <c r="P106" i="20" a="1"/>
  <c r="P106" i="20"/>
  <c r="R106" i="20" a="1"/>
  <c r="R106" i="20"/>
  <c r="T106" i="20" a="1"/>
  <c r="T106" i="20"/>
  <c r="V106" i="20" a="1"/>
  <c r="V106" i="20"/>
  <c r="X106" i="20" a="1"/>
  <c r="X106" i="20"/>
  <c r="Z106" i="20" a="1"/>
  <c r="Z106" i="20"/>
  <c r="B107" i="20" a="1"/>
  <c r="B107" i="20"/>
  <c r="D107" i="20" a="1"/>
  <c r="D107" i="20"/>
  <c r="F107" i="20" a="1"/>
  <c r="F107" i="20"/>
  <c r="H107" i="20" a="1"/>
  <c r="H107" i="20"/>
  <c r="L107" i="20" a="1"/>
  <c r="L107" i="20"/>
  <c r="P107" i="20" a="1"/>
  <c r="P107" i="20"/>
  <c r="R107" i="20" a="1"/>
  <c r="R107" i="20"/>
  <c r="T107" i="20" a="1"/>
  <c r="T107" i="20"/>
  <c r="V107" i="20" a="1"/>
  <c r="V107" i="20"/>
  <c r="X107" i="20" a="1"/>
  <c r="X107" i="20"/>
  <c r="Z107" i="20" a="1"/>
  <c r="Z107" i="20"/>
  <c r="B108" i="20"/>
  <c r="D108" i="20"/>
  <c r="F108" i="20"/>
  <c r="H108" i="20"/>
  <c r="L108" i="20"/>
  <c r="P108" i="20"/>
  <c r="R108" i="20"/>
  <c r="T108" i="20"/>
  <c r="V108" i="20"/>
  <c r="X108" i="20"/>
  <c r="Z108" i="20"/>
  <c r="B109" i="20" a="1"/>
  <c r="B109" i="20"/>
  <c r="D109" i="20" a="1"/>
  <c r="D109" i="20"/>
  <c r="F109" i="20" a="1"/>
  <c r="F109" i="20"/>
  <c r="H109" i="20" a="1"/>
  <c r="H109" i="20"/>
  <c r="L109" i="20" a="1"/>
  <c r="L109" i="20"/>
  <c r="P109" i="20" a="1"/>
  <c r="P109" i="20"/>
  <c r="R109" i="20" a="1"/>
  <c r="R109" i="20"/>
  <c r="T109" i="20" a="1"/>
  <c r="T109" i="20"/>
  <c r="V109" i="20" a="1"/>
  <c r="V109" i="20"/>
  <c r="X109" i="20" a="1"/>
  <c r="X109" i="20"/>
  <c r="Z109" i="20" a="1"/>
  <c r="Z109" i="20"/>
  <c r="B110" i="20" a="1"/>
  <c r="B110" i="20"/>
  <c r="D110" i="20" a="1"/>
  <c r="D110" i="20"/>
  <c r="F110" i="20" a="1"/>
  <c r="F110" i="20"/>
  <c r="H110" i="20" a="1"/>
  <c r="H110" i="20"/>
  <c r="L110" i="20" a="1"/>
  <c r="L110" i="20"/>
  <c r="P110" i="20" a="1"/>
  <c r="P110" i="20"/>
  <c r="R110" i="20" a="1"/>
  <c r="R110" i="20"/>
  <c r="T110" i="20" a="1"/>
  <c r="T110" i="20"/>
  <c r="V110" i="20" a="1"/>
  <c r="V110" i="20"/>
  <c r="X110" i="20" a="1"/>
  <c r="X110" i="20"/>
  <c r="Z110" i="20" a="1"/>
  <c r="Z110" i="20"/>
  <c r="B112" i="20" a="1"/>
  <c r="B112" i="20"/>
  <c r="D112" i="20" a="1"/>
  <c r="D112" i="20"/>
  <c r="F112" i="20" a="1"/>
  <c r="F112" i="20"/>
  <c r="H112" i="20" a="1"/>
  <c r="H112" i="20"/>
  <c r="L112" i="20" a="1"/>
  <c r="L112" i="20"/>
  <c r="P112" i="20" a="1"/>
  <c r="P112" i="20"/>
  <c r="R112" i="20" a="1"/>
  <c r="R112" i="20"/>
  <c r="T112" i="20" a="1"/>
  <c r="T112" i="20"/>
  <c r="V112" i="20" a="1"/>
  <c r="V112" i="20"/>
  <c r="X112" i="20" a="1"/>
  <c r="X112" i="20"/>
  <c r="Z112" i="20" a="1"/>
  <c r="Z112" i="20"/>
  <c r="B113" i="20" a="1"/>
  <c r="B113" i="20"/>
  <c r="D113" i="20" a="1"/>
  <c r="D113" i="20"/>
  <c r="F113" i="20" a="1"/>
  <c r="F113" i="20"/>
  <c r="H113" i="20" a="1"/>
  <c r="H113" i="20"/>
  <c r="L113" i="20" a="1"/>
  <c r="L113" i="20"/>
  <c r="P113" i="20" a="1"/>
  <c r="P113" i="20"/>
  <c r="R113" i="20" a="1"/>
  <c r="R113" i="20"/>
  <c r="T113" i="20" a="1"/>
  <c r="T113" i="20"/>
  <c r="V113" i="20" a="1"/>
  <c r="V113" i="20"/>
  <c r="X113" i="20" a="1"/>
  <c r="X113" i="20"/>
  <c r="Z113" i="20" a="1"/>
  <c r="Z113" i="20"/>
  <c r="B114" i="20" a="1"/>
  <c r="B114" i="20"/>
  <c r="D114" i="20" a="1"/>
  <c r="D114" i="20"/>
  <c r="F114" i="20" a="1"/>
  <c r="F114" i="20"/>
  <c r="H114" i="20" a="1"/>
  <c r="H114" i="20"/>
  <c r="L114" i="20" a="1"/>
  <c r="L114" i="20"/>
  <c r="P114" i="20" a="1"/>
  <c r="P114" i="20"/>
  <c r="R114" i="20" a="1"/>
  <c r="R114" i="20"/>
  <c r="T114" i="20" a="1"/>
  <c r="T114" i="20"/>
  <c r="V114" i="20" a="1"/>
  <c r="V114" i="20"/>
  <c r="X114" i="20" a="1"/>
  <c r="X114" i="20"/>
  <c r="Z114" i="20" a="1"/>
  <c r="Z114" i="20"/>
  <c r="B115" i="20" a="1"/>
  <c r="B115" i="20"/>
  <c r="D115" i="20" a="1"/>
  <c r="D115" i="20"/>
  <c r="F115" i="20" a="1"/>
  <c r="F115" i="20"/>
  <c r="H115" i="20" a="1"/>
  <c r="H115" i="20"/>
  <c r="L115" i="20" a="1"/>
  <c r="L115" i="20"/>
  <c r="P115" i="20" a="1"/>
  <c r="P115" i="20"/>
  <c r="R115" i="20" a="1"/>
  <c r="R115" i="20"/>
  <c r="T115" i="20" a="1"/>
  <c r="T115" i="20"/>
  <c r="V115" i="20" a="1"/>
  <c r="V115" i="20"/>
  <c r="X115" i="20" a="1"/>
  <c r="X115" i="20"/>
  <c r="Z115" i="20" a="1"/>
  <c r="Z115" i="20"/>
  <c r="B116" i="20" a="1"/>
  <c r="B116" i="20"/>
  <c r="D116" i="20" a="1"/>
  <c r="D116" i="20"/>
  <c r="F116" i="20" a="1"/>
  <c r="F116" i="20"/>
  <c r="H116" i="20" a="1"/>
  <c r="H116" i="20"/>
  <c r="L116" i="20" a="1"/>
  <c r="L116" i="20"/>
  <c r="P116" i="20" a="1"/>
  <c r="P116" i="20"/>
  <c r="R116" i="20" a="1"/>
  <c r="R116" i="20"/>
  <c r="T116" i="20" a="1"/>
  <c r="T116" i="20"/>
  <c r="V116" i="20" a="1"/>
  <c r="V116" i="20"/>
  <c r="X116" i="20" a="1"/>
  <c r="X116" i="20"/>
  <c r="Z116" i="20" a="1"/>
  <c r="Z116" i="20"/>
  <c r="B117" i="20" a="1"/>
  <c r="B117" i="20"/>
  <c r="D117" i="20" a="1"/>
  <c r="D117" i="20"/>
  <c r="F117" i="20" a="1"/>
  <c r="F117" i="20"/>
  <c r="H117" i="20" a="1"/>
  <c r="H117" i="20"/>
  <c r="L117" i="20" a="1"/>
  <c r="L117" i="20"/>
  <c r="P117" i="20" a="1"/>
  <c r="P117" i="20"/>
  <c r="R117" i="20" a="1"/>
  <c r="R117" i="20"/>
  <c r="T117" i="20" a="1"/>
  <c r="T117" i="20"/>
  <c r="V117" i="20" a="1"/>
  <c r="V117" i="20"/>
  <c r="X117" i="20" a="1"/>
  <c r="X117" i="20"/>
  <c r="Z117" i="20" a="1"/>
  <c r="Z117" i="20"/>
  <c r="B118" i="20" a="1"/>
  <c r="B118" i="20"/>
  <c r="D118" i="20" a="1"/>
  <c r="D118" i="20"/>
  <c r="F118" i="20" a="1"/>
  <c r="F118" i="20"/>
  <c r="H118" i="20" a="1"/>
  <c r="H118" i="20"/>
  <c r="L118" i="20" a="1"/>
  <c r="L118" i="20"/>
  <c r="P118" i="20" a="1"/>
  <c r="P118" i="20"/>
  <c r="R118" i="20" a="1"/>
  <c r="R118" i="20"/>
  <c r="T118" i="20" a="1"/>
  <c r="T118" i="20"/>
  <c r="V118" i="20" a="1"/>
  <c r="V118" i="20"/>
  <c r="X118" i="20" a="1"/>
  <c r="X118" i="20"/>
  <c r="Z118" i="20" a="1"/>
  <c r="Z118" i="20"/>
  <c r="B119" i="20" a="1"/>
  <c r="B119" i="20"/>
  <c r="D119" i="20" a="1"/>
  <c r="D119" i="20"/>
  <c r="F119" i="20" a="1"/>
  <c r="F119" i="20"/>
  <c r="H119" i="20" a="1"/>
  <c r="H119" i="20"/>
  <c r="L119" i="20" a="1"/>
  <c r="L119" i="20"/>
  <c r="P119" i="20" a="1"/>
  <c r="P119" i="20"/>
  <c r="R119" i="20" a="1"/>
  <c r="R119" i="20"/>
  <c r="T119" i="20" a="1"/>
  <c r="T119" i="20"/>
  <c r="V119" i="20" a="1"/>
  <c r="V119" i="20"/>
  <c r="X119" i="20" a="1"/>
  <c r="X119" i="20"/>
  <c r="Z119" i="20" a="1"/>
  <c r="Z119" i="20"/>
  <c r="B120" i="20" a="1"/>
  <c r="B120" i="20"/>
  <c r="D120" i="20" a="1"/>
  <c r="D120" i="20"/>
  <c r="F120" i="20" a="1"/>
  <c r="F120" i="20"/>
  <c r="H120" i="20" a="1"/>
  <c r="H120" i="20"/>
  <c r="L120" i="20" a="1"/>
  <c r="L120" i="20"/>
  <c r="P120" i="20" a="1"/>
  <c r="P120" i="20"/>
  <c r="R120" i="20" a="1"/>
  <c r="R120" i="20"/>
  <c r="T120" i="20" a="1"/>
  <c r="T120" i="20"/>
  <c r="V120" i="20" a="1"/>
  <c r="V120" i="20"/>
  <c r="X120" i="20" a="1"/>
  <c r="X120" i="20"/>
  <c r="Z120" i="20" a="1"/>
  <c r="Z120" i="20"/>
  <c r="B121" i="20" a="1"/>
  <c r="B121" i="20"/>
  <c r="D121" i="20" a="1"/>
  <c r="D121" i="20"/>
  <c r="F121" i="20" a="1"/>
  <c r="F121" i="20"/>
  <c r="H121" i="20" a="1"/>
  <c r="H121" i="20"/>
  <c r="L121" i="20" a="1"/>
  <c r="L121" i="20"/>
  <c r="P121" i="20" a="1"/>
  <c r="P121" i="20"/>
  <c r="R121" i="20" a="1"/>
  <c r="R121" i="20"/>
  <c r="T121" i="20" a="1"/>
  <c r="T121" i="20"/>
  <c r="V121" i="20" a="1"/>
  <c r="V121" i="20"/>
  <c r="X121" i="20" a="1"/>
  <c r="X121" i="20"/>
  <c r="Z121" i="20" a="1"/>
  <c r="Z121" i="20"/>
  <c r="B122" i="20" a="1"/>
  <c r="B122" i="20"/>
  <c r="D122" i="20" a="1"/>
  <c r="D122" i="20"/>
  <c r="F122" i="20" a="1"/>
  <c r="F122" i="20"/>
  <c r="H122" i="20" a="1"/>
  <c r="H122" i="20"/>
  <c r="L122" i="20" a="1"/>
  <c r="L122" i="20"/>
  <c r="P122" i="20" a="1"/>
  <c r="P122" i="20"/>
  <c r="R122" i="20" a="1"/>
  <c r="R122" i="20"/>
  <c r="T122" i="20" a="1"/>
  <c r="T122" i="20"/>
  <c r="V122" i="20" a="1"/>
  <c r="V122" i="20"/>
  <c r="X122" i="20" a="1"/>
  <c r="X122" i="20"/>
  <c r="Z122" i="20" a="1"/>
  <c r="Z122" i="20"/>
  <c r="B124" i="20" a="1"/>
  <c r="B124" i="20"/>
  <c r="D124" i="20" a="1"/>
  <c r="D124" i="20"/>
  <c r="F124" i="20" a="1"/>
  <c r="F124" i="20"/>
  <c r="H124" i="20" a="1"/>
  <c r="H124" i="20"/>
  <c r="L124" i="20" a="1"/>
  <c r="L124" i="20"/>
  <c r="P124" i="20" a="1"/>
  <c r="P124" i="20"/>
  <c r="R124" i="20" a="1"/>
  <c r="R124" i="20"/>
  <c r="T124" i="20" a="1"/>
  <c r="T124" i="20"/>
  <c r="V124" i="20" a="1"/>
  <c r="V124" i="20"/>
  <c r="X124" i="20" a="1"/>
  <c r="X124" i="20"/>
  <c r="Z124" i="20" a="1"/>
  <c r="Z124" i="20"/>
  <c r="B125" i="20" a="1"/>
  <c r="B125" i="20"/>
  <c r="D125" i="20" a="1"/>
  <c r="D125" i="20"/>
  <c r="F125" i="20" a="1"/>
  <c r="F125" i="20"/>
  <c r="H125" i="20" a="1"/>
  <c r="H125" i="20"/>
  <c r="L125" i="20" a="1"/>
  <c r="L125" i="20"/>
  <c r="P125" i="20" a="1"/>
  <c r="P125" i="20"/>
  <c r="R125" i="20" a="1"/>
  <c r="R125" i="20"/>
  <c r="T125" i="20" a="1"/>
  <c r="T125" i="20"/>
  <c r="V125" i="20" a="1"/>
  <c r="V125" i="20"/>
  <c r="X125" i="20" a="1"/>
  <c r="X125" i="20"/>
  <c r="Z125" i="20" a="1"/>
  <c r="Z125" i="20"/>
  <c r="B126" i="20" a="1"/>
  <c r="B126" i="20"/>
  <c r="D126" i="20" a="1"/>
  <c r="D126" i="20"/>
  <c r="F126" i="20" a="1"/>
  <c r="F126" i="20"/>
  <c r="H126" i="20" a="1"/>
  <c r="H126" i="20"/>
  <c r="L126" i="20" a="1"/>
  <c r="L126" i="20"/>
  <c r="P126" i="20" a="1"/>
  <c r="P126" i="20"/>
  <c r="R126" i="20" a="1"/>
  <c r="R126" i="20"/>
  <c r="T126" i="20" a="1"/>
  <c r="T126" i="20"/>
  <c r="V126" i="20" a="1"/>
  <c r="V126" i="20"/>
  <c r="X126" i="20" a="1"/>
  <c r="X126" i="20"/>
  <c r="Z126" i="20" a="1"/>
  <c r="Z126" i="20"/>
  <c r="B127" i="20" a="1"/>
  <c r="B127" i="20"/>
  <c r="D127" i="20" a="1"/>
  <c r="D127" i="20"/>
  <c r="F127" i="20" a="1"/>
  <c r="F127" i="20"/>
  <c r="H127" i="20" a="1"/>
  <c r="H127" i="20"/>
  <c r="L127" i="20" a="1"/>
  <c r="L127" i="20"/>
  <c r="P127" i="20" a="1"/>
  <c r="P127" i="20"/>
  <c r="R127" i="20" a="1"/>
  <c r="R127" i="20"/>
  <c r="T127" i="20" a="1"/>
  <c r="T127" i="20"/>
  <c r="V127" i="20" a="1"/>
  <c r="V127" i="20"/>
  <c r="X127" i="20" a="1"/>
  <c r="X127" i="20"/>
  <c r="Z127" i="20" a="1"/>
  <c r="Z127" i="20"/>
  <c r="B128" i="20" a="1"/>
  <c r="B128" i="20"/>
  <c r="D128" i="20" a="1"/>
  <c r="D128" i="20"/>
  <c r="F128" i="20" a="1"/>
  <c r="F128" i="20"/>
  <c r="H128" i="20" a="1"/>
  <c r="H128" i="20"/>
  <c r="L128" i="20" a="1"/>
  <c r="L128" i="20"/>
  <c r="P128" i="20" a="1"/>
  <c r="P128" i="20"/>
  <c r="R128" i="20" a="1"/>
  <c r="R128" i="20"/>
  <c r="T128" i="20" a="1"/>
  <c r="T128" i="20"/>
  <c r="V128" i="20" a="1"/>
  <c r="V128" i="20"/>
  <c r="X128" i="20" a="1"/>
  <c r="X128" i="20"/>
  <c r="Z128" i="20" a="1"/>
  <c r="Z128" i="20"/>
  <c r="B129" i="20" a="1"/>
  <c r="B129" i="20"/>
  <c r="D129" i="20" a="1"/>
  <c r="D129" i="20"/>
  <c r="F129" i="20" a="1"/>
  <c r="F129" i="20"/>
  <c r="H129" i="20" a="1"/>
  <c r="H129" i="20"/>
  <c r="L129" i="20" a="1"/>
  <c r="L129" i="20"/>
  <c r="P129" i="20" a="1"/>
  <c r="P129" i="20"/>
  <c r="R129" i="20" a="1"/>
  <c r="R129" i="20"/>
  <c r="T129" i="20" a="1"/>
  <c r="T129" i="20"/>
  <c r="V129" i="20" a="1"/>
  <c r="V129" i="20"/>
  <c r="X129" i="20" a="1"/>
  <c r="X129" i="20"/>
  <c r="Z129" i="20" a="1"/>
  <c r="Z129" i="20"/>
  <c r="B130" i="20" a="1"/>
  <c r="B130" i="20"/>
  <c r="D130" i="20" a="1"/>
  <c r="D130" i="20"/>
  <c r="F130" i="20" a="1"/>
  <c r="F130" i="20"/>
  <c r="H130" i="20" a="1"/>
  <c r="H130" i="20"/>
  <c r="L130" i="20" a="1"/>
  <c r="L130" i="20"/>
  <c r="P130" i="20" a="1"/>
  <c r="P130" i="20"/>
  <c r="R130" i="20" a="1"/>
  <c r="R130" i="20"/>
  <c r="T130" i="20" a="1"/>
  <c r="T130" i="20"/>
  <c r="V130" i="20" a="1"/>
  <c r="V130" i="20"/>
  <c r="X130" i="20" a="1"/>
  <c r="X130" i="20"/>
  <c r="Z130" i="20" a="1"/>
  <c r="Z130" i="20"/>
  <c r="B131" i="20" a="1"/>
  <c r="B131" i="20"/>
  <c r="D131" i="20" a="1"/>
  <c r="D131" i="20"/>
  <c r="F131" i="20" a="1"/>
  <c r="F131" i="20"/>
  <c r="H131" i="20" a="1"/>
  <c r="H131" i="20"/>
  <c r="L131" i="20" a="1"/>
  <c r="L131" i="20"/>
  <c r="P131" i="20" a="1"/>
  <c r="P131" i="20"/>
  <c r="R131" i="20" a="1"/>
  <c r="R131" i="20"/>
  <c r="T131" i="20" a="1"/>
  <c r="T131" i="20"/>
  <c r="V131" i="20" a="1"/>
  <c r="V131" i="20"/>
  <c r="X131" i="20" a="1"/>
  <c r="X131" i="20"/>
  <c r="Z131" i="20" a="1"/>
  <c r="Z131" i="20"/>
  <c r="B138" i="20"/>
  <c r="C138" i="20"/>
  <c r="D138" i="20"/>
  <c r="E138" i="20"/>
  <c r="G138" i="20"/>
  <c r="I138" i="20"/>
  <c r="J138" i="20"/>
  <c r="K138" i="20"/>
  <c r="L138" i="20"/>
  <c r="M138" i="20"/>
  <c r="N138" i="20"/>
  <c r="Q138" i="20"/>
  <c r="R138" i="20"/>
  <c r="U138" i="20"/>
  <c r="V138" i="20"/>
  <c r="W138" i="20"/>
  <c r="X138" i="20"/>
  <c r="Y138" i="20"/>
  <c r="Z138" i="20"/>
  <c r="AA138" i="20"/>
  <c r="AB138" i="20"/>
  <c r="AC138" i="20"/>
  <c r="AD138" i="20"/>
  <c r="AE138" i="20"/>
  <c r="AF138" i="20"/>
  <c r="B139" i="20"/>
  <c r="C139" i="20"/>
  <c r="D139" i="20"/>
  <c r="E139" i="20"/>
  <c r="G139" i="20"/>
  <c r="I139" i="20"/>
  <c r="J139" i="20"/>
  <c r="K139" i="20"/>
  <c r="L139" i="20"/>
  <c r="M139" i="20"/>
  <c r="N139" i="20"/>
  <c r="Q139" i="20"/>
  <c r="R139" i="20"/>
  <c r="U139" i="20"/>
  <c r="V139" i="20"/>
  <c r="W139" i="20"/>
  <c r="X139" i="20"/>
  <c r="Y139" i="20"/>
  <c r="Z139" i="20"/>
  <c r="AA139" i="20"/>
  <c r="AB139" i="20"/>
  <c r="AC139" i="20"/>
  <c r="AD139" i="20"/>
  <c r="AE139" i="20"/>
  <c r="AF139" i="20"/>
  <c r="B140" i="20"/>
  <c r="C140" i="20"/>
  <c r="D140" i="20"/>
  <c r="E140" i="20"/>
  <c r="G140" i="20"/>
  <c r="I140" i="20"/>
  <c r="J140" i="20"/>
  <c r="K140" i="20"/>
  <c r="L140" i="20"/>
  <c r="M140" i="20"/>
  <c r="N140" i="20"/>
  <c r="Q140" i="20"/>
  <c r="R140" i="20"/>
  <c r="U140" i="20"/>
  <c r="V140" i="20"/>
  <c r="W140" i="20"/>
  <c r="X140" i="20"/>
  <c r="Y140" i="20"/>
  <c r="Z140" i="20"/>
  <c r="AA140" i="20"/>
  <c r="AB140" i="20"/>
  <c r="AC140" i="20"/>
  <c r="AD140" i="20"/>
  <c r="AE140" i="20"/>
  <c r="AF140" i="20"/>
  <c r="B141" i="20"/>
  <c r="C141" i="20"/>
  <c r="D141" i="20"/>
  <c r="E141" i="20"/>
  <c r="G141" i="20"/>
  <c r="I141" i="20"/>
  <c r="J141" i="20"/>
  <c r="K141" i="20"/>
  <c r="L141" i="20"/>
  <c r="M141" i="20"/>
  <c r="N141" i="20"/>
  <c r="Q141" i="20"/>
  <c r="R141" i="20"/>
  <c r="U141" i="20"/>
  <c r="V141" i="20"/>
  <c r="W141" i="20"/>
  <c r="X141" i="20"/>
  <c r="Y141" i="20"/>
  <c r="Z141" i="20"/>
  <c r="AA141" i="20"/>
  <c r="AB141" i="20"/>
  <c r="AC141" i="20"/>
  <c r="AD141" i="20"/>
  <c r="AE141" i="20"/>
  <c r="AF141" i="20"/>
  <c r="B142" i="20"/>
  <c r="C142" i="20"/>
  <c r="D142" i="20"/>
  <c r="E142" i="20"/>
  <c r="G142" i="20"/>
  <c r="I142" i="20"/>
  <c r="J142" i="20"/>
  <c r="K142" i="20"/>
  <c r="L142" i="20"/>
  <c r="M142" i="20"/>
  <c r="N142" i="20"/>
  <c r="Q142" i="20"/>
  <c r="R142" i="20"/>
  <c r="U142" i="20"/>
  <c r="V142" i="20"/>
  <c r="W142" i="20"/>
  <c r="X142" i="20"/>
  <c r="Y142" i="20"/>
  <c r="Z142" i="20"/>
  <c r="AA142" i="20"/>
  <c r="AB142" i="20"/>
  <c r="AC142" i="20"/>
  <c r="AD142" i="20"/>
  <c r="AE142" i="20"/>
  <c r="AF142" i="20"/>
  <c r="B143" i="20"/>
  <c r="C143" i="20"/>
  <c r="D143" i="20"/>
  <c r="E143" i="20"/>
  <c r="G143" i="20"/>
  <c r="I143" i="20"/>
  <c r="J143" i="20"/>
  <c r="K143" i="20"/>
  <c r="L143" i="20"/>
  <c r="M143" i="20"/>
  <c r="N143" i="20"/>
  <c r="Q143" i="20"/>
  <c r="R143" i="20"/>
  <c r="U143" i="20"/>
  <c r="V143" i="20"/>
  <c r="W143" i="20"/>
  <c r="X143" i="20"/>
  <c r="Y143" i="20"/>
  <c r="Z143" i="20"/>
  <c r="AA143" i="20"/>
  <c r="AB143" i="20"/>
  <c r="AC143" i="20"/>
  <c r="AD143" i="20"/>
  <c r="AE143" i="20"/>
  <c r="AF143" i="20"/>
  <c r="B145" i="20"/>
  <c r="C145" i="20"/>
  <c r="D145" i="20"/>
  <c r="E145" i="20"/>
  <c r="G145" i="20"/>
  <c r="I145" i="20"/>
  <c r="J145" i="20"/>
  <c r="K145" i="20"/>
  <c r="L145" i="20"/>
  <c r="M145" i="20"/>
  <c r="N145" i="20"/>
  <c r="Q145" i="20"/>
  <c r="R145" i="20"/>
  <c r="U145" i="20"/>
  <c r="V145" i="20"/>
  <c r="W145" i="20"/>
  <c r="X145" i="20"/>
  <c r="Y145" i="20"/>
  <c r="Z145" i="20"/>
  <c r="AA145" i="20"/>
  <c r="AB145" i="20"/>
  <c r="AC145" i="20"/>
  <c r="AD145" i="20"/>
  <c r="AE145" i="20"/>
  <c r="AF145" i="20"/>
  <c r="B146" i="20"/>
  <c r="C146" i="20"/>
  <c r="D146" i="20"/>
  <c r="E146" i="20"/>
  <c r="G146" i="20"/>
  <c r="I146" i="20"/>
  <c r="J146" i="20"/>
  <c r="K146" i="20"/>
  <c r="L146" i="20"/>
  <c r="M146" i="20"/>
  <c r="N146" i="20"/>
  <c r="Q146" i="20"/>
  <c r="R146" i="20"/>
  <c r="U146" i="20"/>
  <c r="V146" i="20"/>
  <c r="W146" i="20"/>
  <c r="X146" i="20"/>
  <c r="Y146" i="20"/>
  <c r="Z146" i="20"/>
  <c r="AA146" i="20"/>
  <c r="AB146" i="20"/>
  <c r="AC146" i="20"/>
  <c r="AD146" i="20"/>
  <c r="AE146" i="20"/>
  <c r="AF146" i="20"/>
  <c r="B147" i="20"/>
  <c r="C147" i="20"/>
  <c r="D147" i="20"/>
  <c r="E147" i="20"/>
  <c r="G147" i="20"/>
  <c r="I147" i="20"/>
  <c r="J147" i="20"/>
  <c r="K147" i="20"/>
  <c r="L147" i="20"/>
  <c r="M147" i="20"/>
  <c r="N147" i="20"/>
  <c r="Q147" i="20"/>
  <c r="R147" i="20"/>
  <c r="U147" i="20"/>
  <c r="V147" i="20"/>
  <c r="W147" i="20"/>
  <c r="X147" i="20"/>
  <c r="Y147" i="20"/>
  <c r="Z147" i="20"/>
  <c r="AA147" i="20"/>
  <c r="AB147" i="20"/>
  <c r="AC147" i="20"/>
  <c r="AD147" i="20"/>
  <c r="AE147" i="20"/>
  <c r="AF147" i="20"/>
  <c r="B148" i="20"/>
  <c r="C148" i="20"/>
  <c r="D148" i="20"/>
  <c r="E148" i="20"/>
  <c r="G148" i="20"/>
  <c r="I148" i="20"/>
  <c r="J148" i="20"/>
  <c r="K148" i="20"/>
  <c r="L148" i="20"/>
  <c r="M148" i="20"/>
  <c r="N148" i="20"/>
  <c r="Q148" i="20"/>
  <c r="R148" i="20"/>
  <c r="U148" i="20"/>
  <c r="V148" i="20"/>
  <c r="W148" i="20"/>
  <c r="X148" i="20"/>
  <c r="Y148" i="20"/>
  <c r="Z148" i="20"/>
  <c r="AA148" i="20"/>
  <c r="AB148" i="20"/>
  <c r="AC148" i="20"/>
  <c r="AD148" i="20"/>
  <c r="AE148" i="20"/>
  <c r="AF148" i="20"/>
  <c r="B149" i="20"/>
  <c r="C149" i="20"/>
  <c r="D149" i="20"/>
  <c r="E149" i="20"/>
  <c r="G149" i="20"/>
  <c r="I149" i="20"/>
  <c r="J149" i="20"/>
  <c r="K149" i="20"/>
  <c r="L149" i="20"/>
  <c r="M149" i="20"/>
  <c r="N149" i="20"/>
  <c r="Q149" i="20"/>
  <c r="R149" i="20"/>
  <c r="U149" i="20"/>
  <c r="V149" i="20"/>
  <c r="W149" i="20"/>
  <c r="X149" i="20"/>
  <c r="Y149" i="20"/>
  <c r="Z149" i="20"/>
  <c r="AA149" i="20"/>
  <c r="AB149" i="20"/>
  <c r="AC149" i="20"/>
  <c r="AD149" i="20"/>
  <c r="AE149" i="20"/>
  <c r="AF149" i="20"/>
  <c r="B150" i="20"/>
  <c r="C150" i="20"/>
  <c r="D150" i="20"/>
  <c r="E150" i="20"/>
  <c r="G150" i="20"/>
  <c r="I150" i="20"/>
  <c r="J150" i="20"/>
  <c r="K150" i="20"/>
  <c r="L150" i="20"/>
  <c r="M150" i="20"/>
  <c r="N150" i="20"/>
  <c r="Q150" i="20"/>
  <c r="R150" i="20"/>
  <c r="U150" i="20"/>
  <c r="V150" i="20"/>
  <c r="W150" i="20"/>
  <c r="X150" i="20"/>
  <c r="Y150" i="20"/>
  <c r="Z150" i="20"/>
  <c r="AA150" i="20"/>
  <c r="AB150" i="20"/>
  <c r="AC150" i="20"/>
  <c r="AD150" i="20"/>
  <c r="AE150" i="20"/>
  <c r="AF150" i="20"/>
  <c r="B151" i="20"/>
  <c r="C151" i="20"/>
  <c r="D151" i="20"/>
  <c r="E151" i="20"/>
  <c r="G151" i="20"/>
  <c r="I151" i="20"/>
  <c r="J151" i="20"/>
  <c r="K151" i="20"/>
  <c r="L151" i="20"/>
  <c r="M151" i="20"/>
  <c r="N151" i="20"/>
  <c r="Q151" i="20"/>
  <c r="R151" i="20"/>
  <c r="U151" i="20"/>
  <c r="V151" i="20"/>
  <c r="W151" i="20"/>
  <c r="X151" i="20"/>
  <c r="Y151" i="20"/>
  <c r="Z151" i="20"/>
  <c r="AA151" i="20"/>
  <c r="AB151" i="20"/>
  <c r="AC151" i="20"/>
  <c r="AD151" i="20"/>
  <c r="AE151" i="20"/>
  <c r="AF151" i="20"/>
  <c r="B152" i="20"/>
  <c r="C152" i="20"/>
  <c r="D152" i="20"/>
  <c r="E152" i="20"/>
  <c r="G152" i="20"/>
  <c r="I152" i="20"/>
  <c r="J152" i="20"/>
  <c r="K152" i="20"/>
  <c r="L152" i="20"/>
  <c r="M152" i="20"/>
  <c r="N152" i="20"/>
  <c r="Q152" i="20"/>
  <c r="R152" i="20"/>
  <c r="U152" i="20"/>
  <c r="V152" i="20"/>
  <c r="W152" i="20"/>
  <c r="X152" i="20"/>
  <c r="Y152" i="20"/>
  <c r="Z152" i="20"/>
  <c r="AA152" i="20"/>
  <c r="AB152" i="20"/>
  <c r="AC152" i="20"/>
  <c r="AD152" i="20"/>
  <c r="AE152" i="20"/>
  <c r="AF152" i="20"/>
  <c r="B153" i="20"/>
  <c r="C153" i="20"/>
  <c r="D153" i="20"/>
  <c r="E153" i="20"/>
  <c r="G153" i="20"/>
  <c r="I153" i="20"/>
  <c r="J153" i="20"/>
  <c r="K153" i="20"/>
  <c r="L153" i="20"/>
  <c r="M153" i="20"/>
  <c r="N153" i="20"/>
  <c r="Q153" i="20"/>
  <c r="R153" i="20"/>
  <c r="U153" i="20"/>
  <c r="V153" i="20"/>
  <c r="W153" i="20"/>
  <c r="X153" i="20"/>
  <c r="Y153" i="20"/>
  <c r="Z153" i="20"/>
  <c r="AA153" i="20"/>
  <c r="AB153" i="20"/>
  <c r="AC153" i="20"/>
  <c r="AD153" i="20"/>
  <c r="AE153" i="20"/>
  <c r="AF153" i="20"/>
  <c r="B154" i="20"/>
  <c r="C154" i="20"/>
  <c r="D154" i="20"/>
  <c r="E154" i="20"/>
  <c r="G154" i="20"/>
  <c r="I154" i="20"/>
  <c r="J154" i="20"/>
  <c r="K154" i="20"/>
  <c r="L154" i="20"/>
  <c r="M154" i="20"/>
  <c r="N154" i="20"/>
  <c r="Q154" i="20"/>
  <c r="R154" i="20"/>
  <c r="U154" i="20"/>
  <c r="V154" i="20"/>
  <c r="W154" i="20"/>
  <c r="X154" i="20"/>
  <c r="Y154" i="20"/>
  <c r="Z154" i="20"/>
  <c r="AA154" i="20"/>
  <c r="AB154" i="20"/>
  <c r="AC154" i="20"/>
  <c r="AD154" i="20"/>
  <c r="AE154" i="20"/>
  <c r="AF154" i="20"/>
  <c r="B155" i="20"/>
  <c r="C155" i="20"/>
  <c r="D155" i="20"/>
  <c r="E155" i="20"/>
  <c r="G155" i="20"/>
  <c r="I155" i="20"/>
  <c r="J155" i="20"/>
  <c r="K155" i="20"/>
  <c r="L155" i="20"/>
  <c r="M155" i="20"/>
  <c r="N155" i="20"/>
  <c r="Q155" i="20"/>
  <c r="R155" i="20"/>
  <c r="U155" i="20"/>
  <c r="V155" i="20"/>
  <c r="W155" i="20"/>
  <c r="X155" i="20"/>
  <c r="Y155" i="20"/>
  <c r="Z155" i="20"/>
  <c r="AA155" i="20"/>
  <c r="AB155" i="20"/>
  <c r="AC155" i="20"/>
  <c r="AD155" i="20"/>
  <c r="AE155" i="20"/>
  <c r="AF155" i="20"/>
  <c r="B156" i="20"/>
  <c r="C156" i="20"/>
  <c r="D156" i="20"/>
  <c r="E156" i="20"/>
  <c r="G156" i="20"/>
  <c r="I156" i="20"/>
  <c r="J156" i="20"/>
  <c r="K156" i="20"/>
  <c r="L156" i="20"/>
  <c r="M156" i="20"/>
  <c r="N156" i="20"/>
  <c r="Q156" i="20"/>
  <c r="R156" i="20"/>
  <c r="U156" i="20"/>
  <c r="V156" i="20"/>
  <c r="W156" i="20"/>
  <c r="X156" i="20"/>
  <c r="Y156" i="20"/>
  <c r="Z156" i="20"/>
  <c r="AA156" i="20"/>
  <c r="AB156" i="20"/>
  <c r="AC156" i="20"/>
  <c r="AD156" i="20"/>
  <c r="AE156" i="20"/>
  <c r="AF156" i="20"/>
  <c r="B157" i="20"/>
  <c r="C157" i="20"/>
  <c r="D157" i="20"/>
  <c r="E157" i="20"/>
  <c r="G157" i="20"/>
  <c r="I157" i="20"/>
  <c r="J157" i="20"/>
  <c r="K157" i="20"/>
  <c r="L157" i="20"/>
  <c r="M157" i="20"/>
  <c r="N157" i="20"/>
  <c r="Q157" i="20"/>
  <c r="R157" i="20"/>
  <c r="U157" i="20"/>
  <c r="V157" i="20"/>
  <c r="W157" i="20"/>
  <c r="X157" i="20"/>
  <c r="Y157" i="20"/>
  <c r="Z157" i="20"/>
  <c r="AA157" i="20"/>
  <c r="AB157" i="20"/>
  <c r="AC157" i="20"/>
  <c r="AD157" i="20"/>
  <c r="AE157" i="20"/>
  <c r="AF157" i="20"/>
  <c r="B159" i="20"/>
  <c r="C159" i="20"/>
  <c r="D159" i="20"/>
  <c r="E159" i="20"/>
  <c r="G159" i="20"/>
  <c r="I159" i="20"/>
  <c r="J159" i="20"/>
  <c r="K159" i="20"/>
  <c r="L159" i="20"/>
  <c r="M159" i="20"/>
  <c r="N159" i="20"/>
  <c r="Q159" i="20"/>
  <c r="R159" i="20"/>
  <c r="U159" i="20"/>
  <c r="V159" i="20"/>
  <c r="W159" i="20"/>
  <c r="X159" i="20"/>
  <c r="Y159" i="20"/>
  <c r="Z159" i="20"/>
  <c r="AA159" i="20"/>
  <c r="AB159" i="20"/>
  <c r="AC159" i="20"/>
  <c r="AD159" i="20"/>
  <c r="AE159" i="20"/>
  <c r="AF159" i="20"/>
  <c r="B160" i="20"/>
  <c r="C160" i="20"/>
  <c r="D160" i="20"/>
  <c r="E160" i="20"/>
  <c r="G160" i="20"/>
  <c r="I160" i="20"/>
  <c r="J160" i="20"/>
  <c r="K160" i="20"/>
  <c r="L160" i="20"/>
  <c r="M160" i="20"/>
  <c r="N160" i="20"/>
  <c r="Q160" i="20"/>
  <c r="R160" i="20"/>
  <c r="U160" i="20"/>
  <c r="V160" i="20"/>
  <c r="W160" i="20"/>
  <c r="X160" i="20"/>
  <c r="Y160" i="20"/>
  <c r="Z160" i="20"/>
  <c r="AA160" i="20"/>
  <c r="AB160" i="20"/>
  <c r="AC160" i="20"/>
  <c r="AD160" i="20"/>
  <c r="AE160" i="20"/>
  <c r="AF160" i="20"/>
  <c r="B161" i="20"/>
  <c r="C161" i="20"/>
  <c r="D161" i="20"/>
  <c r="E161" i="20"/>
  <c r="G161" i="20"/>
  <c r="I161" i="20"/>
  <c r="J161" i="20"/>
  <c r="K161" i="20"/>
  <c r="L161" i="20"/>
  <c r="M161" i="20"/>
  <c r="N161" i="20"/>
  <c r="Q161" i="20"/>
  <c r="R161" i="20"/>
  <c r="U161" i="20"/>
  <c r="V161" i="20"/>
  <c r="W161" i="20"/>
  <c r="X161" i="20"/>
  <c r="Y161" i="20"/>
  <c r="Z161" i="20"/>
  <c r="AA161" i="20"/>
  <c r="AB161" i="20"/>
  <c r="AC161" i="20"/>
  <c r="AD161" i="20"/>
  <c r="AE161" i="20"/>
  <c r="AF161" i="20"/>
  <c r="B162" i="20"/>
  <c r="C162" i="20"/>
  <c r="D162" i="20"/>
  <c r="E162" i="20"/>
  <c r="G162" i="20"/>
  <c r="I162" i="20"/>
  <c r="J162" i="20"/>
  <c r="K162" i="20"/>
  <c r="L162" i="20"/>
  <c r="M162" i="20"/>
  <c r="N162" i="20"/>
  <c r="Q162" i="20"/>
  <c r="R162" i="20"/>
  <c r="U162" i="20"/>
  <c r="V162" i="20"/>
  <c r="W162" i="20"/>
  <c r="X162" i="20"/>
  <c r="Y162" i="20"/>
  <c r="Z162" i="20"/>
  <c r="AA162" i="20"/>
  <c r="AB162" i="20"/>
  <c r="AC162" i="20"/>
  <c r="AD162" i="20"/>
  <c r="AE162" i="20"/>
  <c r="AF162" i="20"/>
  <c r="B163" i="20"/>
  <c r="C163" i="20"/>
  <c r="D163" i="20"/>
  <c r="E163" i="20"/>
  <c r="G163" i="20"/>
  <c r="I163" i="20"/>
  <c r="J163" i="20"/>
  <c r="K163" i="20"/>
  <c r="L163" i="20"/>
  <c r="M163" i="20"/>
  <c r="N163" i="20"/>
  <c r="Q163" i="20"/>
  <c r="R163" i="20"/>
  <c r="U163" i="20"/>
  <c r="V163" i="20"/>
  <c r="W163" i="20"/>
  <c r="X163" i="20"/>
  <c r="Y163" i="20"/>
  <c r="Z163" i="20"/>
  <c r="AA163" i="20"/>
  <c r="AB163" i="20"/>
  <c r="AC163" i="20"/>
  <c r="AD163" i="20"/>
  <c r="AE163" i="20"/>
  <c r="AF163" i="20"/>
  <c r="B164" i="20"/>
  <c r="C164" i="20"/>
  <c r="D164" i="20"/>
  <c r="E164" i="20"/>
  <c r="G164" i="20"/>
  <c r="I164" i="20"/>
  <c r="J164" i="20"/>
  <c r="K164" i="20"/>
  <c r="L164" i="20"/>
  <c r="M164" i="20"/>
  <c r="N164" i="20"/>
  <c r="Q164" i="20"/>
  <c r="R164" i="20"/>
  <c r="U164" i="20"/>
  <c r="V164" i="20"/>
  <c r="W164" i="20"/>
  <c r="X164" i="20"/>
  <c r="Y164" i="20"/>
  <c r="Z164" i="20"/>
  <c r="AA164" i="20"/>
  <c r="AB164" i="20"/>
  <c r="AC164" i="20"/>
  <c r="AD164" i="20"/>
  <c r="AE164" i="20"/>
  <c r="AF164" i="20"/>
  <c r="B165" i="20"/>
  <c r="C165" i="20"/>
  <c r="D165" i="20"/>
  <c r="E165" i="20"/>
  <c r="G165" i="20"/>
  <c r="I165" i="20"/>
  <c r="J165" i="20"/>
  <c r="K165" i="20"/>
  <c r="L165" i="20"/>
  <c r="M165" i="20"/>
  <c r="N165" i="20"/>
  <c r="Q165" i="20"/>
  <c r="R165" i="20"/>
  <c r="U165" i="20"/>
  <c r="V165" i="20"/>
  <c r="W165" i="20"/>
  <c r="X165" i="20"/>
  <c r="Y165" i="20"/>
  <c r="Z165" i="20"/>
  <c r="AA165" i="20"/>
  <c r="AB165" i="20"/>
  <c r="AC165" i="20"/>
  <c r="AD165" i="20"/>
  <c r="AE165" i="20"/>
  <c r="AF165" i="20"/>
  <c r="B166" i="20"/>
  <c r="C166" i="20"/>
  <c r="D166" i="20"/>
  <c r="E166" i="20"/>
  <c r="G166" i="20"/>
  <c r="I166" i="20"/>
  <c r="J166" i="20"/>
  <c r="K166" i="20"/>
  <c r="L166" i="20"/>
  <c r="M166" i="20"/>
  <c r="N166" i="20"/>
  <c r="Q166" i="20"/>
  <c r="R166" i="20"/>
  <c r="U166" i="20"/>
  <c r="V166" i="20"/>
  <c r="W166" i="20"/>
  <c r="X166" i="20"/>
  <c r="Y166" i="20"/>
  <c r="Z166" i="20"/>
  <c r="AA166" i="20"/>
  <c r="AB166" i="20"/>
  <c r="AC166" i="20"/>
  <c r="AD166" i="20"/>
  <c r="AE166" i="20"/>
  <c r="AF166" i="20"/>
  <c r="C171" i="20"/>
  <c r="F171" i="20"/>
  <c r="G171" i="20"/>
  <c r="P171" i="20"/>
  <c r="S171" i="20"/>
  <c r="C172" i="20"/>
  <c r="F172" i="20"/>
  <c r="G172" i="20"/>
  <c r="P172" i="20"/>
  <c r="S172" i="20"/>
  <c r="C173" i="20"/>
  <c r="F173" i="20"/>
  <c r="G173" i="20"/>
  <c r="P173" i="20"/>
  <c r="S173" i="20"/>
  <c r="C174" i="20"/>
  <c r="F174" i="20"/>
  <c r="G174" i="20"/>
  <c r="P174" i="20"/>
  <c r="S174" i="20"/>
  <c r="C175" i="20"/>
  <c r="F175" i="20"/>
  <c r="G175" i="20"/>
  <c r="P175" i="20"/>
  <c r="S175" i="20"/>
  <c r="C176" i="20"/>
  <c r="F176" i="20"/>
  <c r="G176" i="20"/>
  <c r="P176" i="20"/>
  <c r="S176" i="20"/>
  <c r="C178" i="20"/>
  <c r="F178" i="20"/>
  <c r="G178" i="20"/>
  <c r="P178" i="20"/>
  <c r="S178" i="20"/>
  <c r="C179" i="20"/>
  <c r="F179" i="20"/>
  <c r="G179" i="20"/>
  <c r="P179" i="20"/>
  <c r="S179" i="20"/>
  <c r="C180" i="20"/>
  <c r="F180" i="20"/>
  <c r="G180" i="20"/>
  <c r="P180" i="20"/>
  <c r="S180" i="20"/>
  <c r="C181" i="20"/>
  <c r="F181" i="20"/>
  <c r="G181" i="20"/>
  <c r="P181" i="20"/>
  <c r="S181" i="20"/>
  <c r="C182" i="20"/>
  <c r="F182" i="20"/>
  <c r="G182" i="20"/>
  <c r="P182" i="20"/>
  <c r="S182" i="20"/>
  <c r="C183" i="20"/>
  <c r="F183" i="20"/>
  <c r="G183" i="20"/>
  <c r="P183" i="20"/>
  <c r="S183" i="20"/>
  <c r="C184" i="20"/>
  <c r="F184" i="20"/>
  <c r="G184" i="20"/>
  <c r="P184" i="20"/>
  <c r="S184" i="20"/>
  <c r="C185" i="20"/>
  <c r="F185" i="20"/>
  <c r="G185" i="20"/>
  <c r="P185" i="20"/>
  <c r="S185" i="20"/>
  <c r="C186" i="20"/>
  <c r="F186" i="20"/>
  <c r="G186" i="20"/>
  <c r="P186" i="20"/>
  <c r="S186" i="20"/>
  <c r="C187" i="20"/>
  <c r="F187" i="20"/>
  <c r="G187" i="20"/>
  <c r="P187" i="20"/>
  <c r="S187" i="20"/>
  <c r="C188" i="20"/>
  <c r="F188" i="20"/>
  <c r="G188" i="20"/>
  <c r="P188" i="20"/>
  <c r="S188" i="20"/>
  <c r="C190" i="20"/>
  <c r="F190" i="20"/>
  <c r="G190" i="20"/>
  <c r="P190" i="20"/>
  <c r="S190" i="20"/>
  <c r="C191" i="20"/>
  <c r="F191" i="20"/>
  <c r="G191" i="20"/>
  <c r="P191" i="20"/>
  <c r="S191" i="20"/>
  <c r="C192" i="20"/>
  <c r="F192" i="20"/>
  <c r="G192" i="20"/>
  <c r="P192" i="20"/>
  <c r="S192" i="20"/>
  <c r="C193" i="20"/>
  <c r="F193" i="20"/>
  <c r="G193" i="20"/>
  <c r="P193" i="20"/>
  <c r="S193" i="20"/>
  <c r="C194" i="20"/>
  <c r="F194" i="20"/>
  <c r="G194" i="20"/>
  <c r="P194" i="20"/>
  <c r="S194" i="20"/>
  <c r="C195" i="20"/>
  <c r="F195" i="20"/>
  <c r="G195" i="20"/>
  <c r="P195" i="20"/>
  <c r="S195" i="20"/>
  <c r="C196" i="20"/>
  <c r="F196" i="20"/>
  <c r="G196" i="20"/>
  <c r="P196" i="20"/>
  <c r="S196" i="20"/>
  <c r="C197" i="20"/>
  <c r="F197" i="20"/>
  <c r="G197" i="20"/>
  <c r="P197" i="20"/>
  <c r="S197" i="20"/>
  <c r="B119" i="57" a="1"/>
  <c r="B119" i="57"/>
  <c r="C119" i="57" a="1"/>
  <c r="C119" i="57"/>
  <c r="D119" i="57" a="1"/>
  <c r="D119" i="57"/>
  <c r="E119" i="57" a="1"/>
  <c r="E119" i="57"/>
  <c r="F119" i="57" a="1"/>
  <c r="F119" i="57"/>
  <c r="G119" i="57" a="1"/>
  <c r="G119" i="57"/>
  <c r="H119" i="57" a="1"/>
  <c r="H119" i="57"/>
  <c r="I119" i="57" a="1"/>
  <c r="I119" i="57"/>
  <c r="J119" i="57" a="1"/>
  <c r="J119" i="57"/>
  <c r="K119" i="57" a="1"/>
  <c r="K119" i="57"/>
  <c r="L119" i="57" a="1"/>
  <c r="L119" i="57"/>
  <c r="M119" i="57" a="1"/>
  <c r="M119" i="57"/>
  <c r="N119" i="57" a="1"/>
  <c r="N119" i="57"/>
  <c r="O119" i="57" a="1"/>
  <c r="O119" i="57"/>
  <c r="P119" i="57" a="1"/>
  <c r="P119" i="57"/>
  <c r="Q119" i="57" a="1"/>
  <c r="Q119" i="57"/>
  <c r="R119" i="57" a="1"/>
  <c r="R119" i="57"/>
  <c r="S119" i="57" a="1"/>
  <c r="S119" i="57"/>
  <c r="T119" i="57" a="1"/>
  <c r="T119" i="57"/>
  <c r="U119" i="57" a="1"/>
  <c r="U119" i="57"/>
  <c r="V119" i="57" a="1"/>
  <c r="V119" i="57"/>
  <c r="Y119" i="57" a="1"/>
  <c r="Y119" i="57"/>
  <c r="Z119" i="57" a="1"/>
  <c r="Z119" i="57"/>
  <c r="AA119" i="57" a="1"/>
  <c r="AA119" i="57"/>
  <c r="AB119" i="57" a="1"/>
  <c r="AB119" i="57"/>
  <c r="B120" i="57" a="1"/>
  <c r="B120" i="57"/>
  <c r="C120" i="57" a="1"/>
  <c r="C120" i="57"/>
  <c r="D120" i="57" a="1"/>
  <c r="D120" i="57"/>
  <c r="E120" i="57" a="1"/>
  <c r="E120" i="57"/>
  <c r="F120" i="57" a="1"/>
  <c r="F120" i="57"/>
  <c r="G120" i="57" a="1"/>
  <c r="G120" i="57"/>
  <c r="H120" i="57" a="1"/>
  <c r="H120" i="57"/>
  <c r="I120" i="57" a="1"/>
  <c r="I120" i="57"/>
  <c r="J120" i="57" a="1"/>
  <c r="J120" i="57"/>
  <c r="K120" i="57" a="1"/>
  <c r="K120" i="57"/>
  <c r="L120" i="57" a="1"/>
  <c r="L120" i="57"/>
  <c r="M120" i="57" a="1"/>
  <c r="M120" i="57"/>
  <c r="N120" i="57" a="1"/>
  <c r="N120" i="57"/>
  <c r="O120" i="57" a="1"/>
  <c r="O120" i="57"/>
  <c r="P120" i="57" a="1"/>
  <c r="P120" i="57"/>
  <c r="Q120" i="57" a="1"/>
  <c r="Q120" i="57"/>
  <c r="R120" i="57" a="1"/>
  <c r="R120" i="57"/>
  <c r="S120" i="57" a="1"/>
  <c r="S120" i="57"/>
  <c r="T120" i="57" a="1"/>
  <c r="T120" i="57"/>
  <c r="U120" i="57" a="1"/>
  <c r="U120" i="57"/>
  <c r="V120" i="57" a="1"/>
  <c r="V120" i="57"/>
  <c r="Y120" i="57" a="1"/>
  <c r="Y120" i="57"/>
  <c r="Z120" i="57" a="1"/>
  <c r="Z120" i="57"/>
  <c r="AA120" i="57" a="1"/>
  <c r="AA120" i="57"/>
  <c r="AB120" i="57" a="1"/>
  <c r="AB120" i="57"/>
  <c r="B121" i="57" a="1"/>
  <c r="B121" i="57"/>
  <c r="C121" i="57" a="1"/>
  <c r="C121" i="57"/>
  <c r="D121" i="57" a="1"/>
  <c r="D121" i="57"/>
  <c r="E121" i="57" a="1"/>
  <c r="E121" i="57"/>
  <c r="F121" i="57" a="1"/>
  <c r="F121" i="57"/>
  <c r="G121" i="57" a="1"/>
  <c r="G121" i="57"/>
  <c r="H121" i="57" a="1"/>
  <c r="H121" i="57"/>
  <c r="I121" i="57" a="1"/>
  <c r="I121" i="57"/>
  <c r="J121" i="57" a="1"/>
  <c r="J121" i="57"/>
  <c r="K121" i="57" a="1"/>
  <c r="K121" i="57"/>
  <c r="L121" i="57" a="1"/>
  <c r="L121" i="57"/>
  <c r="M121" i="57" a="1"/>
  <c r="M121" i="57"/>
  <c r="N121" i="57" a="1"/>
  <c r="N121" i="57"/>
  <c r="O121" i="57" a="1"/>
  <c r="O121" i="57"/>
  <c r="P121" i="57" a="1"/>
  <c r="P121" i="57"/>
  <c r="Q121" i="57" a="1"/>
  <c r="Q121" i="57"/>
  <c r="R121" i="57" a="1"/>
  <c r="R121" i="57"/>
  <c r="S121" i="57" a="1"/>
  <c r="S121" i="57"/>
  <c r="T121" i="57" a="1"/>
  <c r="T121" i="57"/>
  <c r="U121" i="57" a="1"/>
  <c r="U121" i="57"/>
  <c r="V121" i="57" a="1"/>
  <c r="V121" i="57"/>
  <c r="Y121" i="57" a="1"/>
  <c r="Y121" i="57"/>
  <c r="Z121" i="57" a="1"/>
  <c r="Z121" i="57"/>
  <c r="AA121" i="57" a="1"/>
  <c r="AA121" i="57"/>
  <c r="AB121" i="57" a="1"/>
  <c r="AB121" i="57"/>
  <c r="B122" i="57" a="1"/>
  <c r="B122" i="57"/>
  <c r="C122" i="57" a="1"/>
  <c r="C122" i="57"/>
  <c r="D122" i="57" a="1"/>
  <c r="D122" i="57"/>
  <c r="E122" i="57" a="1"/>
  <c r="E122" i="57"/>
  <c r="F122" i="57" a="1"/>
  <c r="F122" i="57"/>
  <c r="G122" i="57" a="1"/>
  <c r="G122" i="57"/>
  <c r="H122" i="57" a="1"/>
  <c r="H122" i="57"/>
  <c r="I122" i="57" a="1"/>
  <c r="I122" i="57"/>
  <c r="J122" i="57" a="1"/>
  <c r="J122" i="57"/>
  <c r="K122" i="57" a="1"/>
  <c r="K122" i="57"/>
  <c r="L122" i="57" a="1"/>
  <c r="L122" i="57"/>
  <c r="M122" i="57" a="1"/>
  <c r="M122" i="57"/>
  <c r="N122" i="57" a="1"/>
  <c r="N122" i="57"/>
  <c r="O122" i="57" a="1"/>
  <c r="O122" i="57"/>
  <c r="P122" i="57" a="1"/>
  <c r="P122" i="57"/>
  <c r="Q122" i="57" a="1"/>
  <c r="Q122" i="57"/>
  <c r="R122" i="57" a="1"/>
  <c r="R122" i="57"/>
  <c r="S122" i="57" a="1"/>
  <c r="S122" i="57"/>
  <c r="T122" i="57" a="1"/>
  <c r="T122" i="57"/>
  <c r="U122" i="57" a="1"/>
  <c r="U122" i="57"/>
  <c r="V122" i="57" a="1"/>
  <c r="V122" i="57"/>
  <c r="Y122" i="57" a="1"/>
  <c r="Y122" i="57"/>
  <c r="Z122" i="57" a="1"/>
  <c r="Z122" i="57"/>
  <c r="AA122" i="57" a="1"/>
  <c r="AA122" i="57"/>
  <c r="AB122" i="57" a="1"/>
  <c r="AB122" i="57"/>
  <c r="B123" i="57" a="1"/>
  <c r="B123" i="57"/>
  <c r="C123" i="57" a="1"/>
  <c r="C123" i="57"/>
  <c r="D123" i="57" a="1"/>
  <c r="D123" i="57"/>
  <c r="E123" i="57" a="1"/>
  <c r="E123" i="57"/>
  <c r="F123" i="57" a="1"/>
  <c r="F123" i="57"/>
  <c r="G123" i="57" a="1"/>
  <c r="G123" i="57"/>
  <c r="H123" i="57" a="1"/>
  <c r="H123" i="57"/>
  <c r="I123" i="57" a="1"/>
  <c r="I123" i="57"/>
  <c r="J123" i="57" a="1"/>
  <c r="J123" i="57"/>
  <c r="K123" i="57" a="1"/>
  <c r="K123" i="57"/>
  <c r="L123" i="57" a="1"/>
  <c r="L123" i="57"/>
  <c r="M123" i="57" a="1"/>
  <c r="M123" i="57"/>
  <c r="N123" i="57" a="1"/>
  <c r="N123" i="57"/>
  <c r="O123" i="57" a="1"/>
  <c r="O123" i="57"/>
  <c r="P123" i="57" a="1"/>
  <c r="P123" i="57"/>
  <c r="Q123" i="57" a="1"/>
  <c r="Q123" i="57"/>
  <c r="R123" i="57" a="1"/>
  <c r="R123" i="57"/>
  <c r="S123" i="57" a="1"/>
  <c r="S123" i="57"/>
  <c r="T123" i="57" a="1"/>
  <c r="T123" i="57"/>
  <c r="U123" i="57" a="1"/>
  <c r="U123" i="57"/>
  <c r="V123" i="57" a="1"/>
  <c r="V123" i="57"/>
  <c r="Y123" i="57" a="1"/>
  <c r="Y123" i="57"/>
  <c r="Z123" i="57" a="1"/>
  <c r="Z123" i="57"/>
  <c r="AA123" i="57" a="1"/>
  <c r="AA123" i="57"/>
  <c r="AB123" i="57" a="1"/>
  <c r="AB123" i="57"/>
  <c r="B124" i="57" a="1"/>
  <c r="B124" i="57"/>
  <c r="C124" i="57" a="1"/>
  <c r="C124" i="57"/>
  <c r="D124" i="57" a="1"/>
  <c r="D124" i="57"/>
  <c r="E124" i="57" a="1"/>
  <c r="E124" i="57"/>
  <c r="F124" i="57" a="1"/>
  <c r="F124" i="57"/>
  <c r="G124" i="57" a="1"/>
  <c r="G124" i="57"/>
  <c r="H124" i="57" a="1"/>
  <c r="H124" i="57"/>
  <c r="I124" i="57" a="1"/>
  <c r="I124" i="57"/>
  <c r="J124" i="57" a="1"/>
  <c r="J124" i="57"/>
  <c r="K124" i="57" a="1"/>
  <c r="K124" i="57"/>
  <c r="L124" i="57" a="1"/>
  <c r="L124" i="57"/>
  <c r="M124" i="57" a="1"/>
  <c r="M124" i="57"/>
  <c r="N124" i="57" a="1"/>
  <c r="N124" i="57"/>
  <c r="O124" i="57" a="1"/>
  <c r="O124" i="57"/>
  <c r="P124" i="57" a="1"/>
  <c r="P124" i="57"/>
  <c r="Q124" i="57" a="1"/>
  <c r="Q124" i="57"/>
  <c r="R124" i="57" a="1"/>
  <c r="R124" i="57"/>
  <c r="S124" i="57" a="1"/>
  <c r="S124" i="57"/>
  <c r="T124" i="57" a="1"/>
  <c r="T124" i="57"/>
  <c r="U124" i="57" a="1"/>
  <c r="U124" i="57"/>
  <c r="V124" i="57" a="1"/>
  <c r="V124" i="57"/>
  <c r="Y124" i="57" a="1"/>
  <c r="Y124" i="57"/>
  <c r="Z124" i="57" a="1"/>
  <c r="Z124" i="57"/>
  <c r="AA124" i="57" a="1"/>
  <c r="AA124" i="57"/>
  <c r="AB124" i="57" a="1"/>
  <c r="AB124" i="57"/>
  <c r="B126" i="57" a="1"/>
  <c r="B126" i="57"/>
  <c r="C126" i="57" a="1"/>
  <c r="C126" i="57"/>
  <c r="D126" i="57" a="1"/>
  <c r="D126" i="57"/>
  <c r="E126" i="57" a="1"/>
  <c r="E126" i="57"/>
  <c r="F126" i="57" a="1"/>
  <c r="F126" i="57"/>
  <c r="G126" i="57" a="1"/>
  <c r="G126" i="57"/>
  <c r="H126" i="57" a="1"/>
  <c r="H126" i="57"/>
  <c r="I126" i="57" a="1"/>
  <c r="I126" i="57"/>
  <c r="J126" i="57" a="1"/>
  <c r="J126" i="57"/>
  <c r="K126" i="57" a="1"/>
  <c r="K126" i="57"/>
  <c r="L126" i="57" a="1"/>
  <c r="L126" i="57"/>
  <c r="M126" i="57" a="1"/>
  <c r="M126" i="57"/>
  <c r="N126" i="57" a="1"/>
  <c r="N126" i="57"/>
  <c r="O126" i="57" a="1"/>
  <c r="O126" i="57"/>
  <c r="P126" i="57" a="1"/>
  <c r="P126" i="57"/>
  <c r="Q126" i="57" a="1"/>
  <c r="Q126" i="57"/>
  <c r="R126" i="57" a="1"/>
  <c r="R126" i="57"/>
  <c r="S126" i="57" a="1"/>
  <c r="S126" i="57"/>
  <c r="T126" i="57" a="1"/>
  <c r="T126" i="57"/>
  <c r="U126" i="57" a="1"/>
  <c r="U126" i="57"/>
  <c r="V126" i="57" a="1"/>
  <c r="V126" i="57"/>
  <c r="Y126" i="57" a="1"/>
  <c r="Y126" i="57"/>
  <c r="Z126" i="57" a="1"/>
  <c r="Z126" i="57"/>
  <c r="AA126" i="57" a="1"/>
  <c r="AA126" i="57"/>
  <c r="AB126" i="57" a="1"/>
  <c r="AB126" i="57"/>
  <c r="B127" i="57" a="1"/>
  <c r="B127" i="57"/>
  <c r="C127" i="57" a="1"/>
  <c r="C127" i="57"/>
  <c r="D127" i="57" a="1"/>
  <c r="D127" i="57"/>
  <c r="E127" i="57" a="1"/>
  <c r="E127" i="57"/>
  <c r="F127" i="57" a="1"/>
  <c r="F127" i="57"/>
  <c r="G127" i="57" a="1"/>
  <c r="G127" i="57"/>
  <c r="H127" i="57" a="1"/>
  <c r="H127" i="57"/>
  <c r="I127" i="57" a="1"/>
  <c r="I127" i="57"/>
  <c r="J127" i="57" a="1"/>
  <c r="J127" i="57"/>
  <c r="K127" i="57" a="1"/>
  <c r="K127" i="57"/>
  <c r="L127" i="57" a="1"/>
  <c r="L127" i="57"/>
  <c r="M127" i="57" a="1"/>
  <c r="M127" i="57"/>
  <c r="N127" i="57" a="1"/>
  <c r="N127" i="57"/>
  <c r="O127" i="57" a="1"/>
  <c r="O127" i="57"/>
  <c r="P127" i="57" a="1"/>
  <c r="P127" i="57"/>
  <c r="Q127" i="57" a="1"/>
  <c r="Q127" i="57"/>
  <c r="R127" i="57" a="1"/>
  <c r="R127" i="57"/>
  <c r="S127" i="57" a="1"/>
  <c r="S127" i="57"/>
  <c r="T127" i="57" a="1"/>
  <c r="T127" i="57"/>
  <c r="U127" i="57" a="1"/>
  <c r="U127" i="57"/>
  <c r="V127" i="57" a="1"/>
  <c r="V127" i="57"/>
  <c r="Y127" i="57" a="1"/>
  <c r="Y127" i="57"/>
  <c r="Z127" i="57" a="1"/>
  <c r="Z127" i="57"/>
  <c r="AA127" i="57" a="1"/>
  <c r="AA127" i="57"/>
  <c r="AB127" i="57" a="1"/>
  <c r="AB127" i="57"/>
  <c r="B128" i="57" a="1"/>
  <c r="B128" i="57"/>
  <c r="C128" i="57" a="1"/>
  <c r="C128" i="57"/>
  <c r="D128" i="57" a="1"/>
  <c r="D128" i="57"/>
  <c r="E128" i="57" a="1"/>
  <c r="E128" i="57"/>
  <c r="F128" i="57" a="1"/>
  <c r="F128" i="57"/>
  <c r="G128" i="57" a="1"/>
  <c r="G128" i="57"/>
  <c r="H128" i="57" a="1"/>
  <c r="H128" i="57"/>
  <c r="I128" i="57" a="1"/>
  <c r="I128" i="57"/>
  <c r="J128" i="57" a="1"/>
  <c r="J128" i="57"/>
  <c r="K128" i="57" a="1"/>
  <c r="K128" i="57"/>
  <c r="L128" i="57" a="1"/>
  <c r="L128" i="57"/>
  <c r="M128" i="57" a="1"/>
  <c r="M128" i="57"/>
  <c r="N128" i="57" a="1"/>
  <c r="N128" i="57"/>
  <c r="O128" i="57" a="1"/>
  <c r="O128" i="57"/>
  <c r="P128" i="57" a="1"/>
  <c r="P128" i="57"/>
  <c r="Q128" i="57" a="1"/>
  <c r="Q128" i="57"/>
  <c r="R128" i="57" a="1"/>
  <c r="R128" i="57"/>
  <c r="S128" i="57" a="1"/>
  <c r="S128" i="57"/>
  <c r="T128" i="57" a="1"/>
  <c r="T128" i="57"/>
  <c r="U128" i="57" a="1"/>
  <c r="U128" i="57"/>
  <c r="V128" i="57" a="1"/>
  <c r="V128" i="57"/>
  <c r="Y128" i="57" a="1"/>
  <c r="Y128" i="57"/>
  <c r="Z128" i="57" a="1"/>
  <c r="Z128" i="57"/>
  <c r="AA128" i="57" a="1"/>
  <c r="AA128" i="57"/>
  <c r="AB128" i="57" a="1"/>
  <c r="AB128" i="57"/>
  <c r="B129" i="57" a="1"/>
  <c r="B129" i="57"/>
  <c r="C129" i="57" a="1"/>
  <c r="C129" i="57"/>
  <c r="D129" i="57" a="1"/>
  <c r="D129" i="57"/>
  <c r="E129" i="57" a="1"/>
  <c r="E129" i="57"/>
  <c r="F129" i="57" a="1"/>
  <c r="F129" i="57"/>
  <c r="G129" i="57" a="1"/>
  <c r="G129" i="57"/>
  <c r="H129" i="57" a="1"/>
  <c r="H129" i="57"/>
  <c r="I129" i="57" a="1"/>
  <c r="I129" i="57"/>
  <c r="J129" i="57" a="1"/>
  <c r="J129" i="57"/>
  <c r="K129" i="57" a="1"/>
  <c r="K129" i="57"/>
  <c r="L129" i="57" a="1"/>
  <c r="L129" i="57"/>
  <c r="M129" i="57" a="1"/>
  <c r="M129" i="57"/>
  <c r="N129" i="57" a="1"/>
  <c r="N129" i="57"/>
  <c r="O129" i="57" a="1"/>
  <c r="O129" i="57"/>
  <c r="P129" i="57" a="1"/>
  <c r="P129" i="57"/>
  <c r="Q129" i="57" a="1"/>
  <c r="Q129" i="57"/>
  <c r="R129" i="57" a="1"/>
  <c r="R129" i="57"/>
  <c r="S129" i="57" a="1"/>
  <c r="S129" i="57"/>
  <c r="T129" i="57" a="1"/>
  <c r="T129" i="57"/>
  <c r="U129" i="57" a="1"/>
  <c r="U129" i="57"/>
  <c r="V129" i="57" a="1"/>
  <c r="V129" i="57"/>
  <c r="Y129" i="57" a="1"/>
  <c r="Y129" i="57"/>
  <c r="Z129" i="57" a="1"/>
  <c r="Z129" i="57"/>
  <c r="AA129" i="57" a="1"/>
  <c r="AA129" i="57"/>
  <c r="AB129" i="57" a="1"/>
  <c r="AB129" i="57"/>
  <c r="B130" i="57" a="1"/>
  <c r="B130" i="57"/>
  <c r="C130" i="57" a="1"/>
  <c r="C130" i="57"/>
  <c r="D130" i="57" a="1"/>
  <c r="D130" i="57"/>
  <c r="E130" i="57" a="1"/>
  <c r="E130" i="57"/>
  <c r="F130" i="57" a="1"/>
  <c r="F130" i="57"/>
  <c r="G130" i="57" a="1"/>
  <c r="G130" i="57"/>
  <c r="H130" i="57" a="1"/>
  <c r="H130" i="57"/>
  <c r="I130" i="57" a="1"/>
  <c r="I130" i="57"/>
  <c r="J130" i="57" a="1"/>
  <c r="J130" i="57"/>
  <c r="K130" i="57" a="1"/>
  <c r="K130" i="57"/>
  <c r="L130" i="57" a="1"/>
  <c r="L130" i="57"/>
  <c r="M130" i="57" a="1"/>
  <c r="M130" i="57"/>
  <c r="N130" i="57" a="1"/>
  <c r="N130" i="57"/>
  <c r="O130" i="57" a="1"/>
  <c r="O130" i="57"/>
  <c r="P130" i="57" a="1"/>
  <c r="P130" i="57"/>
  <c r="Q130" i="57" a="1"/>
  <c r="Q130" i="57"/>
  <c r="R130" i="57" a="1"/>
  <c r="R130" i="57"/>
  <c r="S130" i="57" a="1"/>
  <c r="S130" i="57"/>
  <c r="T130" i="57" a="1"/>
  <c r="T130" i="57"/>
  <c r="U130" i="57" a="1"/>
  <c r="U130" i="57"/>
  <c r="V130" i="57" a="1"/>
  <c r="V130" i="57"/>
  <c r="Y130" i="57" a="1"/>
  <c r="Y130" i="57"/>
  <c r="Z130" i="57" a="1"/>
  <c r="Z130" i="57"/>
  <c r="AA130" i="57" a="1"/>
  <c r="AA130" i="57"/>
  <c r="AB130" i="57" a="1"/>
  <c r="AB130" i="57"/>
  <c r="B131" i="57" a="1"/>
  <c r="B131" i="57"/>
  <c r="C131" i="57" a="1"/>
  <c r="C131" i="57"/>
  <c r="D131" i="57" a="1"/>
  <c r="D131" i="57"/>
  <c r="E131" i="57" a="1"/>
  <c r="E131" i="57"/>
  <c r="F131" i="57" a="1"/>
  <c r="F131" i="57"/>
  <c r="G131" i="57" a="1"/>
  <c r="G131" i="57"/>
  <c r="H131" i="57" a="1"/>
  <c r="H131" i="57"/>
  <c r="I131" i="57" a="1"/>
  <c r="I131" i="57"/>
  <c r="J131" i="57" a="1"/>
  <c r="J131" i="57"/>
  <c r="K131" i="57" a="1"/>
  <c r="K131" i="57"/>
  <c r="L131" i="57" a="1"/>
  <c r="L131" i="57"/>
  <c r="M131" i="57" a="1"/>
  <c r="M131" i="57"/>
  <c r="N131" i="57" a="1"/>
  <c r="N131" i="57"/>
  <c r="O131" i="57" a="1"/>
  <c r="O131" i="57"/>
  <c r="P131" i="57" a="1"/>
  <c r="P131" i="57"/>
  <c r="Q131" i="57" a="1"/>
  <c r="Q131" i="57"/>
  <c r="R131" i="57" a="1"/>
  <c r="R131" i="57"/>
  <c r="S131" i="57" a="1"/>
  <c r="S131" i="57"/>
  <c r="T131" i="57" a="1"/>
  <c r="T131" i="57"/>
  <c r="U131" i="57" a="1"/>
  <c r="U131" i="57"/>
  <c r="V131" i="57" a="1"/>
  <c r="V131" i="57"/>
  <c r="Y131" i="57" a="1"/>
  <c r="Y131" i="57"/>
  <c r="Z131" i="57" a="1"/>
  <c r="Z131" i="57"/>
  <c r="AA131" i="57" a="1"/>
  <c r="AA131" i="57"/>
  <c r="AB131" i="57" a="1"/>
  <c r="AB131" i="57"/>
  <c r="B132" i="57" a="1"/>
  <c r="B132" i="57"/>
  <c r="C132" i="57" a="1"/>
  <c r="C132" i="57"/>
  <c r="D132" i="57" a="1"/>
  <c r="D132" i="57"/>
  <c r="E132" i="57" a="1"/>
  <c r="E132" i="57"/>
  <c r="F132" i="57" a="1"/>
  <c r="F132" i="57"/>
  <c r="G132" i="57" a="1"/>
  <c r="G132" i="57"/>
  <c r="H132" i="57" a="1"/>
  <c r="H132" i="57"/>
  <c r="I132" i="57" a="1"/>
  <c r="I132" i="57"/>
  <c r="J132" i="57" a="1"/>
  <c r="J132" i="57"/>
  <c r="K132" i="57" a="1"/>
  <c r="K132" i="57"/>
  <c r="L132" i="57" a="1"/>
  <c r="L132" i="57"/>
  <c r="M132" i="57" a="1"/>
  <c r="M132" i="57"/>
  <c r="N132" i="57" a="1"/>
  <c r="N132" i="57"/>
  <c r="O132" i="57" a="1"/>
  <c r="O132" i="57"/>
  <c r="P132" i="57" a="1"/>
  <c r="P132" i="57"/>
  <c r="Q132" i="57" a="1"/>
  <c r="Q132" i="57"/>
  <c r="R132" i="57" a="1"/>
  <c r="R132" i="57"/>
  <c r="S132" i="57" a="1"/>
  <c r="S132" i="57"/>
  <c r="T132" i="57" a="1"/>
  <c r="T132" i="57"/>
  <c r="U132" i="57" a="1"/>
  <c r="U132" i="57"/>
  <c r="V132" i="57" a="1"/>
  <c r="V132" i="57"/>
  <c r="Y132" i="57" a="1"/>
  <c r="Y132" i="57"/>
  <c r="Z132" i="57" a="1"/>
  <c r="Z132" i="57"/>
  <c r="AA132" i="57" a="1"/>
  <c r="AA132" i="57"/>
  <c r="AB132" i="57" a="1"/>
  <c r="AB132" i="57"/>
  <c r="B133" i="57" a="1"/>
  <c r="B133" i="57"/>
  <c r="C133" i="57" a="1"/>
  <c r="C133" i="57"/>
  <c r="D133" i="57" a="1"/>
  <c r="D133" i="57"/>
  <c r="E133" i="57" a="1"/>
  <c r="E133" i="57"/>
  <c r="F133" i="57" a="1"/>
  <c r="F133" i="57"/>
  <c r="G133" i="57" a="1"/>
  <c r="G133" i="57"/>
  <c r="H133" i="57" a="1"/>
  <c r="H133" i="57"/>
  <c r="I133" i="57" a="1"/>
  <c r="I133" i="57"/>
  <c r="J133" i="57" a="1"/>
  <c r="J133" i="57"/>
  <c r="K133" i="57" a="1"/>
  <c r="K133" i="57"/>
  <c r="L133" i="57" a="1"/>
  <c r="L133" i="57"/>
  <c r="M133" i="57" a="1"/>
  <c r="M133" i="57"/>
  <c r="N133" i="57" a="1"/>
  <c r="N133" i="57"/>
  <c r="O133" i="57" a="1"/>
  <c r="O133" i="57"/>
  <c r="P133" i="57" a="1"/>
  <c r="P133" i="57"/>
  <c r="Q133" i="57" a="1"/>
  <c r="Q133" i="57"/>
  <c r="R133" i="57" a="1"/>
  <c r="R133" i="57"/>
  <c r="S133" i="57" a="1"/>
  <c r="S133" i="57"/>
  <c r="T133" i="57" a="1"/>
  <c r="T133" i="57"/>
  <c r="U133" i="57" a="1"/>
  <c r="U133" i="57"/>
  <c r="V133" i="57" a="1"/>
  <c r="V133" i="57"/>
  <c r="Y133" i="57" a="1"/>
  <c r="Y133" i="57"/>
  <c r="Z133" i="57" a="1"/>
  <c r="Z133" i="57"/>
  <c r="AA133" i="57" a="1"/>
  <c r="AA133" i="57"/>
  <c r="AB133" i="57" a="1"/>
  <c r="AB133" i="57"/>
  <c r="B134" i="57" a="1"/>
  <c r="B134" i="57"/>
  <c r="C134" i="57" a="1"/>
  <c r="C134" i="57"/>
  <c r="D134" i="57" a="1"/>
  <c r="D134" i="57"/>
  <c r="E134" i="57" a="1"/>
  <c r="E134" i="57"/>
  <c r="F134" i="57" a="1"/>
  <c r="F134" i="57"/>
  <c r="G134" i="57" a="1"/>
  <c r="G134" i="57"/>
  <c r="H134" i="57" a="1"/>
  <c r="H134" i="57"/>
  <c r="I134" i="57" a="1"/>
  <c r="I134" i="57"/>
  <c r="J134" i="57" a="1"/>
  <c r="J134" i="57"/>
  <c r="K134" i="57" a="1"/>
  <c r="K134" i="57"/>
  <c r="L134" i="57" a="1"/>
  <c r="L134" i="57"/>
  <c r="M134" i="57" a="1"/>
  <c r="M134" i="57"/>
  <c r="N134" i="57" a="1"/>
  <c r="N134" i="57"/>
  <c r="O134" i="57" a="1"/>
  <c r="O134" i="57"/>
  <c r="P134" i="57" a="1"/>
  <c r="P134" i="57"/>
  <c r="Q134" i="57" a="1"/>
  <c r="Q134" i="57"/>
  <c r="R134" i="57" a="1"/>
  <c r="R134" i="57"/>
  <c r="S134" i="57" a="1"/>
  <c r="S134" i="57"/>
  <c r="T134" i="57" a="1"/>
  <c r="T134" i="57"/>
  <c r="U134" i="57" a="1"/>
  <c r="U134" i="57"/>
  <c r="V134" i="57" a="1"/>
  <c r="V134" i="57"/>
  <c r="Y134" i="57" a="1"/>
  <c r="Y134" i="57"/>
  <c r="Z134" i="57" a="1"/>
  <c r="Z134" i="57"/>
  <c r="AA134" i="57" a="1"/>
  <c r="AA134" i="57"/>
  <c r="AB134" i="57" a="1"/>
  <c r="AB134" i="57"/>
  <c r="B135" i="57" a="1"/>
  <c r="B135" i="57"/>
  <c r="C135" i="57" a="1"/>
  <c r="C135" i="57"/>
  <c r="D135" i="57" a="1"/>
  <c r="D135" i="57"/>
  <c r="E135" i="57" a="1"/>
  <c r="E135" i="57"/>
  <c r="F135" i="57" a="1"/>
  <c r="F135" i="57"/>
  <c r="G135" i="57" a="1"/>
  <c r="G135" i="57"/>
  <c r="H135" i="57" a="1"/>
  <c r="H135" i="57"/>
  <c r="I135" i="57" a="1"/>
  <c r="I135" i="57"/>
  <c r="J135" i="57" a="1"/>
  <c r="J135" i="57"/>
  <c r="K135" i="57" a="1"/>
  <c r="K135" i="57"/>
  <c r="L135" i="57" a="1"/>
  <c r="L135" i="57"/>
  <c r="M135" i="57" a="1"/>
  <c r="M135" i="57"/>
  <c r="N135" i="57" a="1"/>
  <c r="N135" i="57"/>
  <c r="O135" i="57" a="1"/>
  <c r="O135" i="57"/>
  <c r="P135" i="57" a="1"/>
  <c r="P135" i="57"/>
  <c r="Q135" i="57" a="1"/>
  <c r="Q135" i="57"/>
  <c r="R135" i="57" a="1"/>
  <c r="R135" i="57"/>
  <c r="S135" i="57" a="1"/>
  <c r="S135" i="57"/>
  <c r="T135" i="57" a="1"/>
  <c r="T135" i="57"/>
  <c r="U135" i="57" a="1"/>
  <c r="U135" i="57"/>
  <c r="V135" i="57" a="1"/>
  <c r="V135" i="57"/>
  <c r="Y135" i="57" a="1"/>
  <c r="Y135" i="57"/>
  <c r="Z135" i="57" a="1"/>
  <c r="Z135" i="57"/>
  <c r="AA135" i="57" a="1"/>
  <c r="AA135" i="57"/>
  <c r="AB135" i="57" a="1"/>
  <c r="AB135" i="57"/>
  <c r="B136" i="57" a="1"/>
  <c r="B136" i="57"/>
  <c r="C136" i="57" a="1"/>
  <c r="C136" i="57"/>
  <c r="D136" i="57" a="1"/>
  <c r="D136" i="57"/>
  <c r="E136" i="57" a="1"/>
  <c r="E136" i="57"/>
  <c r="F136" i="57" a="1"/>
  <c r="F136" i="57"/>
  <c r="G136" i="57" a="1"/>
  <c r="G136" i="57"/>
  <c r="H136" i="57" a="1"/>
  <c r="H136" i="57"/>
  <c r="I136" i="57" a="1"/>
  <c r="I136" i="57"/>
  <c r="J136" i="57" a="1"/>
  <c r="J136" i="57"/>
  <c r="K136" i="57" a="1"/>
  <c r="K136" i="57"/>
  <c r="L136" i="57" a="1"/>
  <c r="L136" i="57"/>
  <c r="M136" i="57" a="1"/>
  <c r="M136" i="57"/>
  <c r="N136" i="57" a="1"/>
  <c r="N136" i="57"/>
  <c r="O136" i="57" a="1"/>
  <c r="O136" i="57"/>
  <c r="P136" i="57" a="1"/>
  <c r="P136" i="57"/>
  <c r="Q136" i="57" a="1"/>
  <c r="Q136" i="57"/>
  <c r="R136" i="57" a="1"/>
  <c r="R136" i="57"/>
  <c r="S136" i="57" a="1"/>
  <c r="S136" i="57"/>
  <c r="T136" i="57" a="1"/>
  <c r="T136" i="57"/>
  <c r="U136" i="57" a="1"/>
  <c r="U136" i="57"/>
  <c r="V136" i="57" a="1"/>
  <c r="V136" i="57"/>
  <c r="Y136" i="57" a="1"/>
  <c r="Y136" i="57"/>
  <c r="Z136" i="57" a="1"/>
  <c r="Z136" i="57"/>
  <c r="AA136" i="57" a="1"/>
  <c r="AA136" i="57"/>
  <c r="AB136" i="57" a="1"/>
  <c r="AB136" i="57"/>
  <c r="B137" i="57"/>
  <c r="C137" i="57"/>
  <c r="D137" i="57"/>
  <c r="E137" i="57"/>
  <c r="F137" i="57"/>
  <c r="G137" i="57"/>
  <c r="H137" i="57"/>
  <c r="I137" i="57"/>
  <c r="J137" i="57"/>
  <c r="K137" i="57"/>
  <c r="L137" i="57"/>
  <c r="M137" i="57"/>
  <c r="N137" i="57"/>
  <c r="O137" i="57"/>
  <c r="P137" i="57"/>
  <c r="Q137" i="57"/>
  <c r="R137" i="57"/>
  <c r="S137" i="57"/>
  <c r="T137" i="57"/>
  <c r="U137" i="57"/>
  <c r="V137" i="57"/>
  <c r="Y137" i="57"/>
  <c r="Z137" i="57"/>
  <c r="AA137" i="57"/>
  <c r="AB137" i="57"/>
  <c r="B138" i="57"/>
  <c r="C138" i="57"/>
  <c r="D138" i="57"/>
  <c r="E138" i="57"/>
  <c r="F138" i="57"/>
  <c r="G138" i="57"/>
  <c r="H138" i="57"/>
  <c r="I138" i="57"/>
  <c r="J138" i="57"/>
  <c r="K138" i="57"/>
  <c r="L138" i="57"/>
  <c r="M138" i="57"/>
  <c r="N138" i="57"/>
  <c r="O138" i="57"/>
  <c r="P138" i="57"/>
  <c r="Q138" i="57"/>
  <c r="R138" i="57"/>
  <c r="S138" i="57"/>
  <c r="T138" i="57"/>
  <c r="U138" i="57"/>
  <c r="V138" i="57"/>
  <c r="Y138" i="57"/>
  <c r="Z138" i="57"/>
  <c r="AA138" i="57"/>
  <c r="AB138" i="57"/>
  <c r="B140" i="57" a="1"/>
  <c r="B140" i="57"/>
  <c r="C140" i="57" a="1"/>
  <c r="C140" i="57"/>
  <c r="D140" i="57" a="1"/>
  <c r="D140" i="57"/>
  <c r="E140" i="57" a="1"/>
  <c r="E140" i="57"/>
  <c r="F140" i="57" a="1"/>
  <c r="F140" i="57"/>
  <c r="G140" i="57" a="1"/>
  <c r="G140" i="57"/>
  <c r="H140" i="57" a="1"/>
  <c r="H140" i="57"/>
  <c r="I140" i="57" a="1"/>
  <c r="I140" i="57"/>
  <c r="J140" i="57" a="1"/>
  <c r="J140" i="57"/>
  <c r="K140" i="57" a="1"/>
  <c r="K140" i="57"/>
  <c r="L140" i="57" a="1"/>
  <c r="L140" i="57"/>
  <c r="M140" i="57" a="1"/>
  <c r="M140" i="57"/>
  <c r="N140" i="57" a="1"/>
  <c r="N140" i="57"/>
  <c r="O140" i="57" a="1"/>
  <c r="O140" i="57"/>
  <c r="P140" i="57" a="1"/>
  <c r="P140" i="57"/>
  <c r="Q140" i="57" a="1"/>
  <c r="Q140" i="57"/>
  <c r="R140" i="57" a="1"/>
  <c r="R140" i="57"/>
  <c r="S140" i="57" a="1"/>
  <c r="S140" i="57"/>
  <c r="T140" i="57" a="1"/>
  <c r="T140" i="57"/>
  <c r="U140" i="57" a="1"/>
  <c r="U140" i="57"/>
  <c r="V140" i="57" a="1"/>
  <c r="V140" i="57"/>
  <c r="Y140" i="57" a="1"/>
  <c r="Y140" i="57"/>
  <c r="Z140" i="57" a="1"/>
  <c r="Z140" i="57"/>
  <c r="AA140" i="57" a="1"/>
  <c r="AA140" i="57"/>
  <c r="AB140" i="57" a="1"/>
  <c r="AB140" i="57"/>
  <c r="B141" i="57" a="1"/>
  <c r="B141" i="57"/>
  <c r="C141" i="57" a="1"/>
  <c r="C141" i="57"/>
  <c r="D141" i="57" a="1"/>
  <c r="D141" i="57"/>
  <c r="E141" i="57" a="1"/>
  <c r="E141" i="57"/>
  <c r="F141" i="57" a="1"/>
  <c r="F141" i="57"/>
  <c r="G141" i="57" a="1"/>
  <c r="G141" i="57"/>
  <c r="H141" i="57" a="1"/>
  <c r="H141" i="57"/>
  <c r="I141" i="57" a="1"/>
  <c r="I141" i="57"/>
  <c r="J141" i="57" a="1"/>
  <c r="J141" i="57"/>
  <c r="K141" i="57" a="1"/>
  <c r="K141" i="57"/>
  <c r="L141" i="57" a="1"/>
  <c r="L141" i="57"/>
  <c r="M141" i="57" a="1"/>
  <c r="M141" i="57"/>
  <c r="N141" i="57" a="1"/>
  <c r="N141" i="57"/>
  <c r="O141" i="57" a="1"/>
  <c r="O141" i="57"/>
  <c r="P141" i="57" a="1"/>
  <c r="P141" i="57"/>
  <c r="Q141" i="57" a="1"/>
  <c r="Q141" i="57"/>
  <c r="R141" i="57" a="1"/>
  <c r="R141" i="57"/>
  <c r="S141" i="57" a="1"/>
  <c r="S141" i="57"/>
  <c r="T141" i="57" a="1"/>
  <c r="T141" i="57"/>
  <c r="U141" i="57" a="1"/>
  <c r="U141" i="57"/>
  <c r="V141" i="57" a="1"/>
  <c r="V141" i="57"/>
  <c r="Y141" i="57" a="1"/>
  <c r="Y141" i="57"/>
  <c r="Z141" i="57" a="1"/>
  <c r="Z141" i="57"/>
  <c r="AA141" i="57" a="1"/>
  <c r="AA141" i="57"/>
  <c r="AB141" i="57" a="1"/>
  <c r="AB141" i="57"/>
  <c r="B142" i="57" a="1"/>
  <c r="B142" i="57"/>
  <c r="C142" i="57" a="1"/>
  <c r="C142" i="57"/>
  <c r="D142" i="57" a="1"/>
  <c r="D142" i="57"/>
  <c r="E142" i="57" a="1"/>
  <c r="E142" i="57"/>
  <c r="F142" i="57" a="1"/>
  <c r="F142" i="57"/>
  <c r="G142" i="57" a="1"/>
  <c r="G142" i="57"/>
  <c r="H142" i="57" a="1"/>
  <c r="H142" i="57"/>
  <c r="I142" i="57" a="1"/>
  <c r="I142" i="57"/>
  <c r="J142" i="57" a="1"/>
  <c r="J142" i="57"/>
  <c r="K142" i="57" a="1"/>
  <c r="K142" i="57"/>
  <c r="L142" i="57" a="1"/>
  <c r="L142" i="57"/>
  <c r="M142" i="57" a="1"/>
  <c r="M142" i="57"/>
  <c r="N142" i="57" a="1"/>
  <c r="N142" i="57"/>
  <c r="O142" i="57" a="1"/>
  <c r="O142" i="57"/>
  <c r="P142" i="57" a="1"/>
  <c r="P142" i="57"/>
  <c r="Q142" i="57" a="1"/>
  <c r="Q142" i="57"/>
  <c r="R142" i="57" a="1"/>
  <c r="R142" i="57"/>
  <c r="S142" i="57" a="1"/>
  <c r="S142" i="57"/>
  <c r="T142" i="57" a="1"/>
  <c r="T142" i="57"/>
  <c r="U142" i="57" a="1"/>
  <c r="U142" i="57"/>
  <c r="V142" i="57" a="1"/>
  <c r="V142" i="57"/>
  <c r="Y142" i="57" a="1"/>
  <c r="Y142" i="57"/>
  <c r="Z142" i="57" a="1"/>
  <c r="Z142" i="57"/>
  <c r="AA142" i="57" a="1"/>
  <c r="AA142" i="57"/>
  <c r="AB142" i="57" a="1"/>
  <c r="AB142" i="57"/>
  <c r="B143" i="57" a="1"/>
  <c r="B143" i="57"/>
  <c r="C143" i="57" a="1"/>
  <c r="C143" i="57"/>
  <c r="D143" i="57" a="1"/>
  <c r="D143" i="57"/>
  <c r="E143" i="57" a="1"/>
  <c r="E143" i="57"/>
  <c r="F143" i="57" a="1"/>
  <c r="F143" i="57"/>
  <c r="G143" i="57" a="1"/>
  <c r="G143" i="57"/>
  <c r="H143" i="57" a="1"/>
  <c r="H143" i="57"/>
  <c r="I143" i="57" a="1"/>
  <c r="I143" i="57"/>
  <c r="J143" i="57" a="1"/>
  <c r="J143" i="57"/>
  <c r="K143" i="57" a="1"/>
  <c r="K143" i="57"/>
  <c r="L143" i="57" a="1"/>
  <c r="L143" i="57"/>
  <c r="M143" i="57" a="1"/>
  <c r="M143" i="57"/>
  <c r="N143" i="57" a="1"/>
  <c r="N143" i="57"/>
  <c r="O143" i="57" a="1"/>
  <c r="O143" i="57"/>
  <c r="P143" i="57" a="1"/>
  <c r="P143" i="57"/>
  <c r="Q143" i="57" a="1"/>
  <c r="Q143" i="57"/>
  <c r="R143" i="57" a="1"/>
  <c r="R143" i="57"/>
  <c r="S143" i="57" a="1"/>
  <c r="S143" i="57"/>
  <c r="T143" i="57" a="1"/>
  <c r="T143" i="57"/>
  <c r="U143" i="57" a="1"/>
  <c r="U143" i="57"/>
  <c r="V143" i="57" a="1"/>
  <c r="V143" i="57"/>
  <c r="Y143" i="57" a="1"/>
  <c r="Y143" i="57"/>
  <c r="Z143" i="57" a="1"/>
  <c r="Z143" i="57"/>
  <c r="AA143" i="57" a="1"/>
  <c r="AA143" i="57"/>
  <c r="AB143" i="57" a="1"/>
  <c r="AB143" i="57"/>
  <c r="B144" i="57" a="1"/>
  <c r="B144" i="57"/>
  <c r="C144" i="57" a="1"/>
  <c r="C144" i="57"/>
  <c r="D144" i="57" a="1"/>
  <c r="D144" i="57"/>
  <c r="E144" i="57" a="1"/>
  <c r="E144" i="57"/>
  <c r="F144" i="57" a="1"/>
  <c r="F144" i="57"/>
  <c r="G144" i="57" a="1"/>
  <c r="G144" i="57"/>
  <c r="H144" i="57" a="1"/>
  <c r="H144" i="57"/>
  <c r="I144" i="57" a="1"/>
  <c r="I144" i="57"/>
  <c r="J144" i="57" a="1"/>
  <c r="J144" i="57"/>
  <c r="K144" i="57" a="1"/>
  <c r="K144" i="57"/>
  <c r="L144" i="57" a="1"/>
  <c r="L144" i="57"/>
  <c r="M144" i="57" a="1"/>
  <c r="M144" i="57"/>
  <c r="N144" i="57" a="1"/>
  <c r="N144" i="57"/>
  <c r="O144" i="57" a="1"/>
  <c r="O144" i="57"/>
  <c r="P144" i="57" a="1"/>
  <c r="P144" i="57"/>
  <c r="Q144" i="57" a="1"/>
  <c r="Q144" i="57"/>
  <c r="R144" i="57" a="1"/>
  <c r="R144" i="57"/>
  <c r="S144" i="57" a="1"/>
  <c r="S144" i="57"/>
  <c r="T144" i="57" a="1"/>
  <c r="T144" i="57"/>
  <c r="U144" i="57" a="1"/>
  <c r="U144" i="57"/>
  <c r="V144" i="57" a="1"/>
  <c r="V144" i="57"/>
  <c r="Y144" i="57" a="1"/>
  <c r="Y144" i="57"/>
  <c r="Z144" i="57" a="1"/>
  <c r="Z144" i="57"/>
  <c r="AA144" i="57" a="1"/>
  <c r="AA144" i="57"/>
  <c r="AB144" i="57" a="1"/>
  <c r="AB144" i="57"/>
  <c r="B145" i="57" a="1"/>
  <c r="B145" i="57"/>
  <c r="C145" i="57" a="1"/>
  <c r="C145" i="57"/>
  <c r="D145" i="57" a="1"/>
  <c r="D145" i="57"/>
  <c r="E145" i="57" a="1"/>
  <c r="E145" i="57"/>
  <c r="F145" i="57" a="1"/>
  <c r="F145" i="57"/>
  <c r="G145" i="57" a="1"/>
  <c r="G145" i="57"/>
  <c r="H145" i="57" a="1"/>
  <c r="H145" i="57"/>
  <c r="I145" i="57" a="1"/>
  <c r="I145" i="57"/>
  <c r="J145" i="57" a="1"/>
  <c r="J145" i="57"/>
  <c r="K145" i="57" a="1"/>
  <c r="K145" i="57"/>
  <c r="L145" i="57" a="1"/>
  <c r="L145" i="57"/>
  <c r="M145" i="57" a="1"/>
  <c r="M145" i="57"/>
  <c r="N145" i="57" a="1"/>
  <c r="N145" i="57"/>
  <c r="O145" i="57" a="1"/>
  <c r="O145" i="57"/>
  <c r="P145" i="57" a="1"/>
  <c r="P145" i="57"/>
  <c r="Q145" i="57" a="1"/>
  <c r="Q145" i="57"/>
  <c r="R145" i="57" a="1"/>
  <c r="R145" i="57"/>
  <c r="S145" i="57" a="1"/>
  <c r="S145" i="57"/>
  <c r="T145" i="57" a="1"/>
  <c r="T145" i="57"/>
  <c r="U145" i="57" a="1"/>
  <c r="U145" i="57"/>
  <c r="V145" i="57" a="1"/>
  <c r="V145" i="57"/>
  <c r="Y145" i="57" a="1"/>
  <c r="Y145" i="57"/>
  <c r="Z145" i="57" a="1"/>
  <c r="Z145" i="57"/>
  <c r="AA145" i="57" a="1"/>
  <c r="AA145" i="57"/>
  <c r="AB145" i="57" a="1"/>
  <c r="AB145" i="57"/>
  <c r="B146" i="57" a="1"/>
  <c r="B146" i="57"/>
  <c r="C146" i="57" a="1"/>
  <c r="C146" i="57"/>
  <c r="D146" i="57" a="1"/>
  <c r="D146" i="57"/>
  <c r="E146" i="57" a="1"/>
  <c r="E146" i="57"/>
  <c r="F146" i="57" a="1"/>
  <c r="F146" i="57"/>
  <c r="G146" i="57" a="1"/>
  <c r="G146" i="57"/>
  <c r="H146" i="57" a="1"/>
  <c r="H146" i="57"/>
  <c r="I146" i="57" a="1"/>
  <c r="I146" i="57"/>
  <c r="J146" i="57" a="1"/>
  <c r="J146" i="57"/>
  <c r="K146" i="57" a="1"/>
  <c r="K146" i="57"/>
  <c r="L146" i="57" a="1"/>
  <c r="L146" i="57"/>
  <c r="M146" i="57" a="1"/>
  <c r="M146" i="57"/>
  <c r="N146" i="57" a="1"/>
  <c r="N146" i="57"/>
  <c r="O146" i="57" a="1"/>
  <c r="O146" i="57"/>
  <c r="P146" i="57" a="1"/>
  <c r="P146" i="57"/>
  <c r="Q146" i="57" a="1"/>
  <c r="Q146" i="57"/>
  <c r="R146" i="57" a="1"/>
  <c r="R146" i="57"/>
  <c r="S146" i="57" a="1"/>
  <c r="S146" i="57"/>
  <c r="T146" i="57" a="1"/>
  <c r="T146" i="57"/>
  <c r="U146" i="57" a="1"/>
  <c r="U146" i="57"/>
  <c r="V146" i="57" a="1"/>
  <c r="V146" i="57"/>
  <c r="Y146" i="57" a="1"/>
  <c r="Y146" i="57"/>
  <c r="Z146" i="57" a="1"/>
  <c r="Z146" i="57"/>
  <c r="AA146" i="57" a="1"/>
  <c r="AA146" i="57"/>
  <c r="AB146" i="57" a="1"/>
  <c r="AB146" i="57"/>
  <c r="B147" i="57" a="1"/>
  <c r="B147" i="57"/>
  <c r="C147" i="57" a="1"/>
  <c r="C147" i="57"/>
  <c r="D147" i="57" a="1"/>
  <c r="D147" i="57"/>
  <c r="E147" i="57" a="1"/>
  <c r="E147" i="57"/>
  <c r="F147" i="57" a="1"/>
  <c r="F147" i="57"/>
  <c r="G147" i="57" a="1"/>
  <c r="G147" i="57"/>
  <c r="H147" i="57" a="1"/>
  <c r="H147" i="57"/>
  <c r="I147" i="57" a="1"/>
  <c r="I147" i="57"/>
  <c r="J147" i="57" a="1"/>
  <c r="J147" i="57"/>
  <c r="K147" i="57" a="1"/>
  <c r="K147" i="57"/>
  <c r="L147" i="57" a="1"/>
  <c r="L147" i="57"/>
  <c r="M147" i="57" a="1"/>
  <c r="M147" i="57"/>
  <c r="N147" i="57" a="1"/>
  <c r="N147" i="57"/>
  <c r="O147" i="57" a="1"/>
  <c r="O147" i="57"/>
  <c r="P147" i="57" a="1"/>
  <c r="P147" i="57"/>
  <c r="Q147" i="57" a="1"/>
  <c r="Q147" i="57"/>
  <c r="R147" i="57" a="1"/>
  <c r="R147" i="57"/>
  <c r="S147" i="57" a="1"/>
  <c r="S147" i="57"/>
  <c r="T147" i="57" a="1"/>
  <c r="T147" i="57"/>
  <c r="U147" i="57" a="1"/>
  <c r="U147" i="57"/>
  <c r="V147" i="57" a="1"/>
  <c r="V147" i="57"/>
  <c r="Y147" i="57" a="1"/>
  <c r="Y147" i="57"/>
  <c r="Z147" i="57" a="1"/>
  <c r="Z147" i="57"/>
  <c r="AA147" i="57" a="1"/>
  <c r="AA147" i="57"/>
  <c r="AB147" i="57" a="1"/>
  <c r="AB147" i="57"/>
  <c r="E152" i="57" a="1"/>
  <c r="E152" i="57"/>
  <c r="F152" i="57"/>
  <c r="G152" i="57"/>
  <c r="I152" i="57"/>
  <c r="J152" i="57"/>
  <c r="K152" i="57"/>
  <c r="L152" i="57"/>
  <c r="M152" i="57"/>
  <c r="N152" i="57"/>
  <c r="O152" i="57"/>
  <c r="P152" i="57"/>
  <c r="U152" i="57"/>
  <c r="V152" i="57" a="1"/>
  <c r="V152" i="57"/>
  <c r="Y152" i="57"/>
  <c r="Z152" i="57"/>
  <c r="AC152" i="57"/>
  <c r="AD152" i="57"/>
  <c r="AE152" i="57"/>
  <c r="AF152" i="57"/>
  <c r="AI152" i="57"/>
  <c r="E153" i="57" a="1"/>
  <c r="E153" i="57"/>
  <c r="F153" i="57"/>
  <c r="G153" i="57"/>
  <c r="I153" i="57"/>
  <c r="J153" i="57"/>
  <c r="K153" i="57"/>
  <c r="L153" i="57"/>
  <c r="M153" i="57"/>
  <c r="N153" i="57"/>
  <c r="O153" i="57"/>
  <c r="P153" i="57"/>
  <c r="U153" i="57"/>
  <c r="V153" i="57" a="1"/>
  <c r="V153" i="57"/>
  <c r="Y153" i="57"/>
  <c r="Z153" i="57"/>
  <c r="AC153" i="57"/>
  <c r="AD153" i="57"/>
  <c r="AE153" i="57"/>
  <c r="AF153" i="57"/>
  <c r="AI153" i="57"/>
  <c r="E154" i="57" a="1"/>
  <c r="E154" i="57"/>
  <c r="F154" i="57"/>
  <c r="G154" i="57"/>
  <c r="I154" i="57"/>
  <c r="J154" i="57"/>
  <c r="K154" i="57"/>
  <c r="L154" i="57"/>
  <c r="M154" i="57"/>
  <c r="N154" i="57"/>
  <c r="O154" i="57"/>
  <c r="P154" i="57"/>
  <c r="U154" i="57"/>
  <c r="V154" i="57" a="1"/>
  <c r="V154" i="57"/>
  <c r="Y154" i="57"/>
  <c r="Z154" i="57"/>
  <c r="AC154" i="57"/>
  <c r="AD154" i="57"/>
  <c r="AE154" i="57"/>
  <c r="AF154" i="57"/>
  <c r="AI154" i="57"/>
  <c r="E155" i="57" a="1"/>
  <c r="E155" i="57"/>
  <c r="F155" i="57"/>
  <c r="G155" i="57"/>
  <c r="I155" i="57"/>
  <c r="J155" i="57"/>
  <c r="K155" i="57"/>
  <c r="L155" i="57"/>
  <c r="M155" i="57"/>
  <c r="N155" i="57"/>
  <c r="O155" i="57"/>
  <c r="P155" i="57"/>
  <c r="U155" i="57"/>
  <c r="V155" i="57" a="1"/>
  <c r="V155" i="57"/>
  <c r="Y155" i="57"/>
  <c r="Z155" i="57"/>
  <c r="AC155" i="57"/>
  <c r="AD155" i="57"/>
  <c r="AE155" i="57"/>
  <c r="AF155" i="57"/>
  <c r="AI155" i="57"/>
  <c r="E156" i="57" a="1"/>
  <c r="E156" i="57"/>
  <c r="F156" i="57"/>
  <c r="G156" i="57"/>
  <c r="I156" i="57"/>
  <c r="J156" i="57"/>
  <c r="K156" i="57"/>
  <c r="L156" i="57"/>
  <c r="M156" i="57"/>
  <c r="N156" i="57"/>
  <c r="O156" i="57"/>
  <c r="P156" i="57"/>
  <c r="U156" i="57"/>
  <c r="V156" i="57" a="1"/>
  <c r="V156" i="57"/>
  <c r="Y156" i="57"/>
  <c r="Z156" i="57"/>
  <c r="AC156" i="57"/>
  <c r="AD156" i="57"/>
  <c r="AE156" i="57"/>
  <c r="AF156" i="57"/>
  <c r="AI156" i="57"/>
  <c r="E157" i="57" a="1"/>
  <c r="E157" i="57"/>
  <c r="F157" i="57"/>
  <c r="G157" i="57"/>
  <c r="I157" i="57"/>
  <c r="J157" i="57"/>
  <c r="K157" i="57"/>
  <c r="L157" i="57"/>
  <c r="M157" i="57"/>
  <c r="N157" i="57"/>
  <c r="O157" i="57"/>
  <c r="P157" i="57"/>
  <c r="U157" i="57"/>
  <c r="V157" i="57" a="1"/>
  <c r="V157" i="57"/>
  <c r="Y157" i="57"/>
  <c r="Z157" i="57"/>
  <c r="AC157" i="57"/>
  <c r="AD157" i="57"/>
  <c r="AE157" i="57"/>
  <c r="AF157" i="57"/>
  <c r="AI157" i="57"/>
  <c r="E159" i="57" a="1"/>
  <c r="E159" i="57"/>
  <c r="F159" i="57"/>
  <c r="G159" i="57"/>
  <c r="I159" i="57"/>
  <c r="J159" i="57"/>
  <c r="K159" i="57"/>
  <c r="L159" i="57"/>
  <c r="M159" i="57"/>
  <c r="N159" i="57"/>
  <c r="O159" i="57"/>
  <c r="P159" i="57"/>
  <c r="U159" i="57"/>
  <c r="V159" i="57" a="1"/>
  <c r="V159" i="57"/>
  <c r="Y159" i="57"/>
  <c r="Z159" i="57"/>
  <c r="AC159" i="57"/>
  <c r="AD159" i="57"/>
  <c r="AE159" i="57"/>
  <c r="AF159" i="57"/>
  <c r="AI159" i="57"/>
  <c r="E160" i="57" a="1"/>
  <c r="E160" i="57"/>
  <c r="F160" i="57"/>
  <c r="G160" i="57"/>
  <c r="I160" i="57"/>
  <c r="J160" i="57"/>
  <c r="K160" i="57"/>
  <c r="L160" i="57"/>
  <c r="M160" i="57"/>
  <c r="N160" i="57"/>
  <c r="O160" i="57"/>
  <c r="P160" i="57"/>
  <c r="U160" i="57"/>
  <c r="V160" i="57" a="1"/>
  <c r="V160" i="57"/>
  <c r="Y160" i="57"/>
  <c r="Z160" i="57"/>
  <c r="AC160" i="57"/>
  <c r="AD160" i="57"/>
  <c r="AE160" i="57"/>
  <c r="AF160" i="57"/>
  <c r="AI160" i="57"/>
  <c r="E161" i="57" a="1"/>
  <c r="E161" i="57"/>
  <c r="F161" i="57"/>
  <c r="G161" i="57"/>
  <c r="I161" i="57"/>
  <c r="J161" i="57"/>
  <c r="K161" i="57"/>
  <c r="L161" i="57"/>
  <c r="M161" i="57"/>
  <c r="N161" i="57"/>
  <c r="O161" i="57"/>
  <c r="P161" i="57"/>
  <c r="U161" i="57"/>
  <c r="V161" i="57" a="1"/>
  <c r="V161" i="57"/>
  <c r="Y161" i="57"/>
  <c r="Z161" i="57"/>
  <c r="AC161" i="57"/>
  <c r="AD161" i="57"/>
  <c r="AE161" i="57"/>
  <c r="AF161" i="57"/>
  <c r="AI161" i="57"/>
  <c r="E162" i="57" a="1"/>
  <c r="E162" i="57"/>
  <c r="F162" i="57"/>
  <c r="G162" i="57"/>
  <c r="I162" i="57"/>
  <c r="J162" i="57"/>
  <c r="K162" i="57"/>
  <c r="L162" i="57"/>
  <c r="M162" i="57"/>
  <c r="N162" i="57"/>
  <c r="O162" i="57"/>
  <c r="P162" i="57"/>
  <c r="U162" i="57"/>
  <c r="V162" i="57" a="1"/>
  <c r="V162" i="57"/>
  <c r="Y162" i="57"/>
  <c r="Z162" i="57"/>
  <c r="AC162" i="57"/>
  <c r="AD162" i="57"/>
  <c r="AE162" i="57"/>
  <c r="AF162" i="57"/>
  <c r="AI162" i="57"/>
  <c r="E163" i="57" a="1"/>
  <c r="E163" i="57"/>
  <c r="F163" i="57"/>
  <c r="G163" i="57"/>
  <c r="I163" i="57"/>
  <c r="J163" i="57"/>
  <c r="K163" i="57"/>
  <c r="L163" i="57"/>
  <c r="M163" i="57"/>
  <c r="N163" i="57"/>
  <c r="O163" i="57"/>
  <c r="P163" i="57"/>
  <c r="U163" i="57"/>
  <c r="V163" i="57" a="1"/>
  <c r="V163" i="57"/>
  <c r="Y163" i="57"/>
  <c r="Z163" i="57"/>
  <c r="AC163" i="57"/>
  <c r="AD163" i="57"/>
  <c r="AE163" i="57"/>
  <c r="AF163" i="57"/>
  <c r="AI163" i="57"/>
  <c r="E164" i="57" a="1"/>
  <c r="E164" i="57"/>
  <c r="F164" i="57"/>
  <c r="G164" i="57"/>
  <c r="I164" i="57"/>
  <c r="J164" i="57"/>
  <c r="K164" i="57"/>
  <c r="L164" i="57"/>
  <c r="M164" i="57"/>
  <c r="N164" i="57"/>
  <c r="O164" i="57"/>
  <c r="P164" i="57"/>
  <c r="U164" i="57"/>
  <c r="V164" i="57" a="1"/>
  <c r="V164" i="57"/>
  <c r="Y164" i="57"/>
  <c r="Z164" i="57"/>
  <c r="AC164" i="57"/>
  <c r="AD164" i="57"/>
  <c r="AE164" i="57"/>
  <c r="AF164" i="57"/>
  <c r="AI164" i="57"/>
  <c r="E165" i="57" a="1"/>
  <c r="E165" i="57"/>
  <c r="F165" i="57"/>
  <c r="G165" i="57"/>
  <c r="I165" i="57"/>
  <c r="J165" i="57"/>
  <c r="K165" i="57"/>
  <c r="L165" i="57"/>
  <c r="M165" i="57"/>
  <c r="N165" i="57"/>
  <c r="O165" i="57"/>
  <c r="P165" i="57"/>
  <c r="U165" i="57"/>
  <c r="V165" i="57" a="1"/>
  <c r="V165" i="57"/>
  <c r="Y165" i="57"/>
  <c r="Z165" i="57"/>
  <c r="AC165" i="57"/>
  <c r="AD165" i="57"/>
  <c r="AE165" i="57"/>
  <c r="AF165" i="57"/>
  <c r="AI165" i="57"/>
  <c r="E166" i="57" a="1"/>
  <c r="E166" i="57"/>
  <c r="F166" i="57"/>
  <c r="G166" i="57"/>
  <c r="I166" i="57"/>
  <c r="J166" i="57"/>
  <c r="K166" i="57"/>
  <c r="L166" i="57"/>
  <c r="M166" i="57"/>
  <c r="N166" i="57"/>
  <c r="O166" i="57"/>
  <c r="P166" i="57"/>
  <c r="U166" i="57"/>
  <c r="V166" i="57" a="1"/>
  <c r="V166" i="57"/>
  <c r="Y166" i="57"/>
  <c r="Z166" i="57"/>
  <c r="AC166" i="57"/>
  <c r="AD166" i="57"/>
  <c r="AE166" i="57"/>
  <c r="AF166" i="57"/>
  <c r="AI166" i="57"/>
  <c r="E167" i="57" a="1"/>
  <c r="E167" i="57"/>
  <c r="F167" i="57"/>
  <c r="G167" i="57"/>
  <c r="I167" i="57"/>
  <c r="J167" i="57"/>
  <c r="K167" i="57"/>
  <c r="L167" i="57"/>
  <c r="M167" i="57"/>
  <c r="N167" i="57"/>
  <c r="O167" i="57"/>
  <c r="P167" i="57"/>
  <c r="U167" i="57"/>
  <c r="V167" i="57" a="1"/>
  <c r="V167" i="57"/>
  <c r="Y167" i="57"/>
  <c r="Z167" i="57"/>
  <c r="AC167" i="57"/>
  <c r="AD167" i="57"/>
  <c r="AE167" i="57"/>
  <c r="AF167" i="57"/>
  <c r="AI167" i="57"/>
  <c r="E168" i="57" a="1"/>
  <c r="E168" i="57"/>
  <c r="F168" i="57"/>
  <c r="G168" i="57"/>
  <c r="I168" i="57"/>
  <c r="J168" i="57"/>
  <c r="K168" i="57"/>
  <c r="L168" i="57"/>
  <c r="M168" i="57"/>
  <c r="N168" i="57"/>
  <c r="O168" i="57"/>
  <c r="P168" i="57"/>
  <c r="U168" i="57"/>
  <c r="V168" i="57" a="1"/>
  <c r="V168" i="57"/>
  <c r="Y168" i="57"/>
  <c r="Z168" i="57"/>
  <c r="AC168" i="57"/>
  <c r="AD168" i="57"/>
  <c r="AE168" i="57"/>
  <c r="AF168" i="57"/>
  <c r="AI168" i="57"/>
  <c r="E169" i="57" a="1"/>
  <c r="E169" i="57"/>
  <c r="F169" i="57"/>
  <c r="G169" i="57"/>
  <c r="I169" i="57"/>
  <c r="J169" i="57"/>
  <c r="K169" i="57"/>
  <c r="L169" i="57"/>
  <c r="M169" i="57"/>
  <c r="N169" i="57"/>
  <c r="O169" i="57"/>
  <c r="P169" i="57"/>
  <c r="U169" i="57"/>
  <c r="V169" i="57" a="1"/>
  <c r="V169" i="57"/>
  <c r="Y169" i="57"/>
  <c r="Z169" i="57"/>
  <c r="AC169" i="57"/>
  <c r="AD169" i="57"/>
  <c r="AE169" i="57"/>
  <c r="AF169" i="57"/>
  <c r="AI169" i="57"/>
  <c r="E171" i="57" a="1"/>
  <c r="E171" i="57"/>
  <c r="F171" i="57"/>
  <c r="G171" i="57"/>
  <c r="I171" i="57"/>
  <c r="J171" i="57"/>
  <c r="K171" i="57"/>
  <c r="L171" i="57"/>
  <c r="M171" i="57"/>
  <c r="N171" i="57"/>
  <c r="O171" i="57"/>
  <c r="P171" i="57"/>
  <c r="U171" i="57"/>
  <c r="V171" i="57" a="1"/>
  <c r="V171" i="57"/>
  <c r="Y171" i="57"/>
  <c r="Z171" i="57"/>
  <c r="AC171" i="57"/>
  <c r="AD171" i="57"/>
  <c r="AE171" i="57"/>
  <c r="AF171" i="57"/>
  <c r="AI171" i="57"/>
  <c r="E172" i="57" a="1"/>
  <c r="E172" i="57"/>
  <c r="F172" i="57"/>
  <c r="G172" i="57"/>
  <c r="I172" i="57"/>
  <c r="J172" i="57"/>
  <c r="K172" i="57"/>
  <c r="L172" i="57"/>
  <c r="M172" i="57"/>
  <c r="N172" i="57"/>
  <c r="O172" i="57"/>
  <c r="P172" i="57"/>
  <c r="U172" i="57"/>
  <c r="V172" i="57" a="1"/>
  <c r="V172" i="57"/>
  <c r="Y172" i="57"/>
  <c r="Z172" i="57"/>
  <c r="AC172" i="57"/>
  <c r="AD172" i="57"/>
  <c r="AE172" i="57"/>
  <c r="AF172" i="57"/>
  <c r="AI172" i="57"/>
  <c r="E173" i="57" a="1"/>
  <c r="E173" i="57"/>
  <c r="F173" i="57"/>
  <c r="G173" i="57"/>
  <c r="I173" i="57"/>
  <c r="J173" i="57"/>
  <c r="K173" i="57"/>
  <c r="L173" i="57"/>
  <c r="M173" i="57"/>
  <c r="N173" i="57"/>
  <c r="O173" i="57"/>
  <c r="P173" i="57"/>
  <c r="U173" i="57"/>
  <c r="V173" i="57" a="1"/>
  <c r="V173" i="57"/>
  <c r="Y173" i="57"/>
  <c r="Z173" i="57"/>
  <c r="AC173" i="57"/>
  <c r="AD173" i="57"/>
  <c r="AE173" i="57"/>
  <c r="AF173" i="57"/>
  <c r="AI173" i="57"/>
  <c r="E174" i="57" a="1"/>
  <c r="E174" i="57"/>
  <c r="F174" i="57"/>
  <c r="G174" i="57"/>
  <c r="I174" i="57"/>
  <c r="J174" i="57"/>
  <c r="K174" i="57"/>
  <c r="L174" i="57"/>
  <c r="M174" i="57"/>
  <c r="N174" i="57"/>
  <c r="O174" i="57"/>
  <c r="P174" i="57"/>
  <c r="U174" i="57"/>
  <c r="V174" i="57" a="1"/>
  <c r="V174" i="57"/>
  <c r="Y174" i="57"/>
  <c r="Z174" i="57"/>
  <c r="AC174" i="57"/>
  <c r="AD174" i="57"/>
  <c r="AE174" i="57"/>
  <c r="AF174" i="57"/>
  <c r="AI174" i="57"/>
  <c r="E175" i="57" a="1"/>
  <c r="E175" i="57"/>
  <c r="F175" i="57"/>
  <c r="G175" i="57"/>
  <c r="I175" i="57"/>
  <c r="J175" i="57"/>
  <c r="K175" i="57"/>
  <c r="L175" i="57"/>
  <c r="M175" i="57"/>
  <c r="N175" i="57"/>
  <c r="O175" i="57"/>
  <c r="P175" i="57"/>
  <c r="U175" i="57"/>
  <c r="V175" i="57" a="1"/>
  <c r="V175" i="57"/>
  <c r="Y175" i="57"/>
  <c r="Z175" i="57"/>
  <c r="AC175" i="57"/>
  <c r="AD175" i="57"/>
  <c r="AE175" i="57"/>
  <c r="AF175" i="57"/>
  <c r="AI175" i="57"/>
  <c r="E176" i="57" a="1"/>
  <c r="E176" i="57"/>
  <c r="F176" i="57"/>
  <c r="G176" i="57"/>
  <c r="I176" i="57"/>
  <c r="J176" i="57"/>
  <c r="K176" i="57"/>
  <c r="L176" i="57"/>
  <c r="M176" i="57"/>
  <c r="N176" i="57"/>
  <c r="O176" i="57"/>
  <c r="P176" i="57"/>
  <c r="U176" i="57"/>
  <c r="V176" i="57" a="1"/>
  <c r="V176" i="57"/>
  <c r="Y176" i="57"/>
  <c r="Z176" i="57"/>
  <c r="AC176" i="57"/>
  <c r="AD176" i="57"/>
  <c r="AE176" i="57"/>
  <c r="AF176" i="57"/>
  <c r="AI176" i="57"/>
  <c r="E177" i="57" a="1"/>
  <c r="E177" i="57"/>
  <c r="F177" i="57"/>
  <c r="G177" i="57"/>
  <c r="I177" i="57"/>
  <c r="J177" i="57"/>
  <c r="K177" i="57"/>
  <c r="L177" i="57"/>
  <c r="M177" i="57"/>
  <c r="N177" i="57"/>
  <c r="O177" i="57"/>
  <c r="P177" i="57"/>
  <c r="U177" i="57"/>
  <c r="V177" i="57" a="1"/>
  <c r="V177" i="57"/>
  <c r="Y177" i="57"/>
  <c r="Z177" i="57"/>
  <c r="AC177" i="57"/>
  <c r="AD177" i="57"/>
  <c r="AE177" i="57"/>
  <c r="AF177" i="57"/>
  <c r="AI177" i="57"/>
  <c r="E178" i="57" a="1"/>
  <c r="E178" i="57"/>
  <c r="F178" i="57"/>
  <c r="G178" i="57"/>
  <c r="I178" i="57"/>
  <c r="J178" i="57"/>
  <c r="K178" i="57"/>
  <c r="L178" i="57"/>
  <c r="M178" i="57"/>
  <c r="N178" i="57"/>
  <c r="O178" i="57"/>
  <c r="P178" i="57"/>
  <c r="U178" i="57"/>
  <c r="V178" i="57" a="1"/>
  <c r="V178" i="57"/>
  <c r="Y178" i="57"/>
  <c r="Z178" i="57"/>
  <c r="AC178" i="57"/>
  <c r="AD178" i="57"/>
  <c r="AE178" i="57"/>
  <c r="AF178" i="57"/>
  <c r="AI178" i="57"/>
  <c r="B36" i="48"/>
  <c r="D36" i="48"/>
  <c r="F36" i="48"/>
  <c r="H36" i="48"/>
  <c r="J36" i="48"/>
  <c r="B37" i="48"/>
  <c r="D37" i="48"/>
  <c r="F37" i="48"/>
  <c r="H37" i="48"/>
  <c r="J37" i="48"/>
  <c r="B38" i="48"/>
  <c r="D38" i="48"/>
  <c r="F38" i="48"/>
  <c r="H38" i="48"/>
  <c r="J38" i="48"/>
  <c r="B39" i="48"/>
  <c r="D39" i="48"/>
  <c r="F39" i="48"/>
  <c r="H39" i="48"/>
  <c r="J39" i="48"/>
  <c r="B40" i="48"/>
  <c r="D40" i="48"/>
  <c r="F40" i="48"/>
  <c r="H40" i="48"/>
  <c r="J40" i="48"/>
  <c r="B41" i="48"/>
  <c r="D41" i="48"/>
  <c r="F41" i="48"/>
  <c r="H41" i="48"/>
  <c r="J41" i="48"/>
  <c r="B43" i="48"/>
  <c r="D43" i="48"/>
  <c r="F43" i="48"/>
  <c r="H43" i="48"/>
  <c r="J43" i="48"/>
  <c r="B44" i="48"/>
  <c r="D44" i="48"/>
  <c r="F44" i="48"/>
  <c r="H44" i="48"/>
  <c r="J44" i="48"/>
  <c r="B45" i="48"/>
  <c r="D45" i="48"/>
  <c r="F45" i="48"/>
  <c r="H45" i="48"/>
  <c r="J45" i="48"/>
  <c r="B46" i="48"/>
  <c r="D46" i="48"/>
  <c r="F46" i="48"/>
  <c r="H46" i="48"/>
  <c r="J46" i="48"/>
  <c r="B47" i="48"/>
  <c r="D47" i="48"/>
  <c r="F47" i="48"/>
  <c r="H47" i="48"/>
  <c r="J47" i="48"/>
  <c r="B48" i="48"/>
  <c r="D48" i="48"/>
  <c r="F48" i="48"/>
  <c r="H48" i="48"/>
  <c r="J48" i="48"/>
  <c r="B49" i="48"/>
  <c r="D49" i="48"/>
  <c r="F49" i="48"/>
  <c r="H49" i="48"/>
  <c r="J49" i="48"/>
  <c r="B50" i="48"/>
  <c r="D50" i="48"/>
  <c r="F50" i="48"/>
  <c r="H50" i="48"/>
  <c r="J50" i="48"/>
  <c r="B51" i="48"/>
  <c r="D51" i="48"/>
  <c r="F51" i="48"/>
  <c r="H51" i="48"/>
  <c r="J51" i="48"/>
  <c r="B52" i="48"/>
  <c r="D52" i="48"/>
  <c r="F52" i="48"/>
  <c r="H52" i="48"/>
  <c r="J52" i="48"/>
  <c r="B53" i="48"/>
  <c r="D53" i="48"/>
  <c r="F53" i="48"/>
  <c r="H53" i="48"/>
  <c r="J53" i="48"/>
  <c r="B55" i="48"/>
  <c r="D55" i="48"/>
  <c r="F55" i="48"/>
  <c r="H55" i="48"/>
  <c r="J55" i="48"/>
  <c r="B56" i="48"/>
  <c r="D56" i="48"/>
  <c r="F56" i="48"/>
  <c r="H56" i="48"/>
  <c r="J56" i="48"/>
  <c r="B57" i="48"/>
  <c r="D57" i="48"/>
  <c r="F57" i="48"/>
  <c r="H57" i="48"/>
  <c r="J57" i="48"/>
  <c r="B58" i="48"/>
  <c r="D58" i="48"/>
  <c r="F58" i="48"/>
  <c r="H58" i="48"/>
  <c r="J58" i="48"/>
  <c r="B59" i="48"/>
  <c r="D59" i="48"/>
  <c r="F59" i="48"/>
  <c r="H59" i="48"/>
  <c r="J59" i="48"/>
  <c r="B60" i="48"/>
  <c r="D60" i="48"/>
  <c r="F60" i="48"/>
  <c r="H60" i="48"/>
  <c r="J60" i="48"/>
  <c r="B61" i="48"/>
  <c r="D61" i="48"/>
  <c r="F61" i="48"/>
  <c r="H61" i="48"/>
  <c r="J61" i="48"/>
  <c r="B62" i="48"/>
  <c r="D62" i="48"/>
  <c r="F62" i="48"/>
  <c r="H62" i="48"/>
  <c r="J62" i="48"/>
  <c r="B72" i="48"/>
  <c r="C72" i="48"/>
  <c r="D72" i="48"/>
  <c r="E72" i="48"/>
  <c r="F72" i="48"/>
  <c r="G72" i="48"/>
  <c r="H72" i="48"/>
  <c r="I72" i="48"/>
  <c r="B73" i="48"/>
  <c r="C73" i="48"/>
  <c r="D73" i="48"/>
  <c r="E73" i="48"/>
  <c r="F73" i="48"/>
  <c r="G73" i="48"/>
  <c r="H73" i="48"/>
  <c r="I73" i="48"/>
  <c r="B74" i="48"/>
  <c r="C74" i="48"/>
  <c r="D74" i="48"/>
  <c r="E74" i="48"/>
  <c r="F74" i="48"/>
  <c r="G74" i="48"/>
  <c r="H74" i="48"/>
  <c r="I74" i="48"/>
  <c r="B75" i="48"/>
  <c r="C75" i="48"/>
  <c r="D75" i="48"/>
  <c r="E75" i="48"/>
  <c r="F75" i="48"/>
  <c r="G75" i="48"/>
  <c r="H75" i="48"/>
  <c r="I75" i="48"/>
  <c r="B76" i="48"/>
  <c r="C76" i="48"/>
  <c r="D76" i="48"/>
  <c r="E76" i="48"/>
  <c r="F76" i="48"/>
  <c r="G76" i="48"/>
  <c r="H76" i="48"/>
  <c r="I76" i="48"/>
  <c r="B77" i="48"/>
  <c r="C77" i="48"/>
  <c r="D77" i="48"/>
  <c r="E77" i="48"/>
  <c r="F77" i="48"/>
  <c r="G77" i="48"/>
  <c r="H77" i="48"/>
  <c r="I77" i="48"/>
  <c r="B79" i="48"/>
  <c r="C79" i="48"/>
  <c r="D79" i="48"/>
  <c r="E79" i="48"/>
  <c r="F79" i="48"/>
  <c r="G79" i="48"/>
  <c r="H79" i="48"/>
  <c r="I79" i="48"/>
  <c r="B80" i="48"/>
  <c r="C80" i="48"/>
  <c r="D80" i="48"/>
  <c r="E80" i="48"/>
  <c r="F80" i="48"/>
  <c r="G80" i="48"/>
  <c r="H80" i="48"/>
  <c r="I80" i="48"/>
  <c r="B81" i="48"/>
  <c r="C81" i="48"/>
  <c r="D81" i="48"/>
  <c r="E81" i="48"/>
  <c r="F81" i="48"/>
  <c r="G81" i="48"/>
  <c r="H81" i="48"/>
  <c r="I81" i="48"/>
  <c r="B82" i="48"/>
  <c r="C82" i="48"/>
  <c r="D82" i="48"/>
  <c r="E82" i="48"/>
  <c r="F82" i="48"/>
  <c r="G82" i="48"/>
  <c r="H82" i="48"/>
  <c r="I82" i="48"/>
  <c r="B83" i="48"/>
  <c r="C83" i="48"/>
  <c r="D83" i="48"/>
  <c r="E83" i="48"/>
  <c r="F83" i="48"/>
  <c r="G83" i="48"/>
  <c r="H83" i="48"/>
  <c r="I83" i="48"/>
  <c r="B84" i="48"/>
  <c r="C84" i="48"/>
  <c r="D84" i="48"/>
  <c r="E84" i="48"/>
  <c r="F84" i="48"/>
  <c r="G84" i="48"/>
  <c r="H84" i="48"/>
  <c r="I84" i="48"/>
  <c r="B85" i="48"/>
  <c r="C85" i="48"/>
  <c r="D85" i="48"/>
  <c r="E85" i="48"/>
  <c r="F85" i="48"/>
  <c r="G85" i="48"/>
  <c r="H85" i="48"/>
  <c r="I85" i="48"/>
  <c r="B86" i="48"/>
  <c r="C86" i="48"/>
  <c r="D86" i="48"/>
  <c r="E86" i="48"/>
  <c r="F86" i="48"/>
  <c r="G86" i="48"/>
  <c r="H86" i="48"/>
  <c r="I86" i="48"/>
  <c r="B87" i="48"/>
  <c r="C87" i="48"/>
  <c r="D87" i="48"/>
  <c r="E87" i="48"/>
  <c r="F87" i="48"/>
  <c r="G87" i="48"/>
  <c r="H87" i="48"/>
  <c r="I87" i="48"/>
  <c r="B88" i="48"/>
  <c r="C88" i="48"/>
  <c r="D88" i="48"/>
  <c r="E88" i="48"/>
  <c r="F88" i="48"/>
  <c r="G88" i="48"/>
  <c r="H88" i="48"/>
  <c r="I88" i="48"/>
  <c r="B89" i="48"/>
  <c r="C89" i="48"/>
  <c r="D89" i="48"/>
  <c r="E89" i="48"/>
  <c r="F89" i="48"/>
  <c r="G89" i="48"/>
  <c r="H89" i="48"/>
  <c r="I89" i="48"/>
  <c r="B90" i="48"/>
  <c r="C90" i="48"/>
  <c r="D90" i="48"/>
  <c r="E90" i="48"/>
  <c r="F90" i="48"/>
  <c r="G90" i="48"/>
  <c r="H90" i="48"/>
  <c r="I90" i="48"/>
  <c r="B91" i="48"/>
  <c r="C91" i="48"/>
  <c r="D91" i="48"/>
  <c r="E91" i="48"/>
  <c r="F91" i="48"/>
  <c r="G91" i="48"/>
  <c r="H91" i="48"/>
  <c r="I91" i="48"/>
  <c r="B93" i="48"/>
  <c r="C93" i="48"/>
  <c r="D93" i="48"/>
  <c r="E93" i="48"/>
  <c r="F93" i="48"/>
  <c r="G93" i="48"/>
  <c r="H93" i="48"/>
  <c r="I93" i="48"/>
  <c r="B94" i="48"/>
  <c r="C94" i="48"/>
  <c r="D94" i="48"/>
  <c r="E94" i="48"/>
  <c r="F94" i="48"/>
  <c r="G94" i="48"/>
  <c r="H94" i="48"/>
  <c r="I94" i="48"/>
  <c r="B95" i="48"/>
  <c r="C95" i="48"/>
  <c r="D95" i="48"/>
  <c r="E95" i="48"/>
  <c r="F95" i="48"/>
  <c r="G95" i="48"/>
  <c r="H95" i="48"/>
  <c r="I95" i="48"/>
  <c r="B96" i="48"/>
  <c r="C96" i="48"/>
  <c r="D96" i="48"/>
  <c r="E96" i="48"/>
  <c r="F96" i="48"/>
  <c r="G96" i="48"/>
  <c r="H96" i="48"/>
  <c r="I96" i="48"/>
  <c r="B97" i="48"/>
  <c r="C97" i="48"/>
  <c r="D97" i="48"/>
  <c r="E97" i="48"/>
  <c r="F97" i="48"/>
  <c r="G97" i="48"/>
  <c r="H97" i="48"/>
  <c r="I97" i="48"/>
  <c r="B98" i="48"/>
  <c r="C98" i="48"/>
  <c r="D98" i="48"/>
  <c r="E98" i="48"/>
  <c r="F98" i="48"/>
  <c r="G98" i="48"/>
  <c r="H98" i="48"/>
  <c r="I98" i="48"/>
  <c r="B99" i="48"/>
  <c r="C99" i="48"/>
  <c r="D99" i="48"/>
  <c r="E99" i="48"/>
  <c r="F99" i="48"/>
  <c r="G99" i="48"/>
  <c r="H99" i="48"/>
  <c r="I99" i="48"/>
  <c r="B100" i="48"/>
  <c r="C100" i="48"/>
  <c r="D100" i="48"/>
  <c r="E100" i="48"/>
  <c r="F100" i="48"/>
  <c r="G100" i="48"/>
  <c r="H100" i="48"/>
  <c r="I100" i="48"/>
  <c r="B75" i="1"/>
  <c r="D75" i="1"/>
  <c r="G75" i="1"/>
  <c r="I75" i="1"/>
  <c r="K75" i="1"/>
  <c r="M75" i="1"/>
  <c r="O75" i="1"/>
  <c r="Q75" i="1"/>
  <c r="S75" i="1"/>
  <c r="U75" i="1"/>
  <c r="W75" i="1"/>
  <c r="Y75" i="1"/>
  <c r="AA75" i="1"/>
  <c r="AC75" i="1"/>
  <c r="B76" i="1"/>
  <c r="D76" i="1"/>
  <c r="G76" i="1"/>
  <c r="I76" i="1"/>
  <c r="K76" i="1"/>
  <c r="M76" i="1"/>
  <c r="O76" i="1"/>
  <c r="Q76" i="1"/>
  <c r="S76" i="1"/>
  <c r="U76" i="1"/>
  <c r="W76" i="1"/>
  <c r="Y76" i="1"/>
  <c r="AA76" i="1"/>
  <c r="AC76" i="1"/>
  <c r="B77" i="1"/>
  <c r="D77" i="1"/>
  <c r="G77" i="1"/>
  <c r="I77" i="1"/>
  <c r="K77" i="1"/>
  <c r="M77" i="1"/>
  <c r="O77" i="1"/>
  <c r="Q77" i="1"/>
  <c r="S77" i="1"/>
  <c r="U77" i="1"/>
  <c r="W77" i="1"/>
  <c r="Y77" i="1"/>
  <c r="AA77" i="1"/>
  <c r="AC77" i="1"/>
  <c r="B78" i="1"/>
  <c r="D78" i="1"/>
  <c r="G78" i="1"/>
  <c r="I78" i="1"/>
  <c r="K78" i="1"/>
  <c r="M78" i="1"/>
  <c r="O78" i="1"/>
  <c r="Q78" i="1"/>
  <c r="S78" i="1"/>
  <c r="U78" i="1"/>
  <c r="W78" i="1"/>
  <c r="Y78" i="1"/>
  <c r="AA78" i="1"/>
  <c r="AC78" i="1"/>
  <c r="B79" i="1"/>
  <c r="D79" i="1"/>
  <c r="G79" i="1"/>
  <c r="I79" i="1"/>
  <c r="K79" i="1"/>
  <c r="M79" i="1"/>
  <c r="O79" i="1"/>
  <c r="Q79" i="1"/>
  <c r="S79" i="1"/>
  <c r="U79" i="1"/>
  <c r="W79" i="1"/>
  <c r="Y79" i="1"/>
  <c r="AA79" i="1"/>
  <c r="AC79" i="1"/>
  <c r="B80" i="1"/>
  <c r="D80" i="1"/>
  <c r="G80" i="1"/>
  <c r="I80" i="1"/>
  <c r="K80" i="1"/>
  <c r="M80" i="1"/>
  <c r="O80" i="1"/>
  <c r="Q80" i="1"/>
  <c r="S80" i="1"/>
  <c r="U80" i="1"/>
  <c r="W80" i="1"/>
  <c r="Y80" i="1"/>
  <c r="AA80" i="1"/>
  <c r="AC80" i="1"/>
  <c r="B82" i="1" a="1"/>
  <c r="B82" i="1"/>
  <c r="D82" i="1" a="1"/>
  <c r="D82" i="1"/>
  <c r="G82" i="1" a="1"/>
  <c r="G82" i="1"/>
  <c r="I82" i="1" a="1"/>
  <c r="I82" i="1"/>
  <c r="K82" i="1" a="1"/>
  <c r="K82" i="1"/>
  <c r="M82" i="1" a="1"/>
  <c r="M82" i="1"/>
  <c r="O82" i="1" a="1"/>
  <c r="O82" i="1"/>
  <c r="Q82" i="1" a="1"/>
  <c r="Q82" i="1"/>
  <c r="S82" i="1" a="1"/>
  <c r="S82" i="1"/>
  <c r="U82" i="1" a="1"/>
  <c r="U82" i="1"/>
  <c r="W82" i="1" a="1"/>
  <c r="W82" i="1"/>
  <c r="Y82" i="1" a="1"/>
  <c r="Y82" i="1"/>
  <c r="AA82" i="1" a="1"/>
  <c r="AA82" i="1"/>
  <c r="AC82" i="1" a="1"/>
  <c r="AC82" i="1"/>
  <c r="B83" i="1" a="1"/>
  <c r="B83" i="1"/>
  <c r="D83" i="1" a="1"/>
  <c r="D83" i="1"/>
  <c r="G83" i="1" a="1"/>
  <c r="G83" i="1"/>
  <c r="I83" i="1" a="1"/>
  <c r="I83" i="1"/>
  <c r="K83" i="1" a="1"/>
  <c r="K83" i="1"/>
  <c r="M83" i="1" a="1"/>
  <c r="M83" i="1"/>
  <c r="O83" i="1" a="1"/>
  <c r="O83" i="1"/>
  <c r="Q83" i="1" a="1"/>
  <c r="Q83" i="1"/>
  <c r="S83" i="1" a="1"/>
  <c r="S83" i="1"/>
  <c r="U83" i="1" a="1"/>
  <c r="U83" i="1"/>
  <c r="W83" i="1" a="1"/>
  <c r="W83" i="1"/>
  <c r="Y83" i="1" a="1"/>
  <c r="Y83" i="1"/>
  <c r="AA83" i="1" a="1"/>
  <c r="AA83" i="1"/>
  <c r="AC83" i="1" a="1"/>
  <c r="AC83" i="1"/>
  <c r="B84" i="1" a="1"/>
  <c r="B84" i="1"/>
  <c r="D84" i="1" a="1"/>
  <c r="D84" i="1"/>
  <c r="G84" i="1" a="1"/>
  <c r="G84" i="1"/>
  <c r="I84" i="1" a="1"/>
  <c r="I84" i="1"/>
  <c r="K84" i="1" a="1"/>
  <c r="K84" i="1"/>
  <c r="M84" i="1" a="1"/>
  <c r="M84" i="1"/>
  <c r="O84" i="1" a="1"/>
  <c r="O84" i="1"/>
  <c r="Q84" i="1" a="1"/>
  <c r="Q84" i="1"/>
  <c r="S84" i="1" a="1"/>
  <c r="S84" i="1"/>
  <c r="U84" i="1" a="1"/>
  <c r="U84" i="1"/>
  <c r="W84" i="1" a="1"/>
  <c r="W84" i="1"/>
  <c r="Y84" i="1" a="1"/>
  <c r="Y84" i="1"/>
  <c r="AA84" i="1" a="1"/>
  <c r="AA84" i="1"/>
  <c r="AC84" i="1" a="1"/>
  <c r="AC84" i="1"/>
  <c r="B85" i="1" a="1"/>
  <c r="B85" i="1"/>
  <c r="D85" i="1" a="1"/>
  <c r="D85" i="1"/>
  <c r="G85" i="1" a="1"/>
  <c r="G85" i="1"/>
  <c r="I85" i="1" a="1"/>
  <c r="I85" i="1"/>
  <c r="K85" i="1" a="1"/>
  <c r="K85" i="1"/>
  <c r="M85" i="1" a="1"/>
  <c r="M85" i="1"/>
  <c r="O85" i="1" a="1"/>
  <c r="O85" i="1"/>
  <c r="Q85" i="1" a="1"/>
  <c r="Q85" i="1"/>
  <c r="S85" i="1" a="1"/>
  <c r="S85" i="1"/>
  <c r="U85" i="1" a="1"/>
  <c r="U85" i="1"/>
  <c r="W85" i="1" a="1"/>
  <c r="W85" i="1"/>
  <c r="Y85" i="1" a="1"/>
  <c r="Y85" i="1"/>
  <c r="AA85" i="1" a="1"/>
  <c r="AA85" i="1"/>
  <c r="AC85" i="1" a="1"/>
  <c r="AC85" i="1"/>
  <c r="B86" i="1" a="1"/>
  <c r="B86" i="1"/>
  <c r="D86" i="1" a="1"/>
  <c r="D86" i="1"/>
  <c r="G86" i="1" a="1"/>
  <c r="G86" i="1"/>
  <c r="I86" i="1" a="1"/>
  <c r="I86" i="1"/>
  <c r="K86" i="1" a="1"/>
  <c r="K86" i="1"/>
  <c r="M86" i="1" a="1"/>
  <c r="M86" i="1"/>
  <c r="O86" i="1" a="1"/>
  <c r="O86" i="1"/>
  <c r="Q86" i="1" a="1"/>
  <c r="Q86" i="1"/>
  <c r="S86" i="1" a="1"/>
  <c r="S86" i="1"/>
  <c r="U86" i="1" a="1"/>
  <c r="U86" i="1"/>
  <c r="W86" i="1" a="1"/>
  <c r="W86" i="1"/>
  <c r="Y86" i="1" a="1"/>
  <c r="Y86" i="1"/>
  <c r="AA86" i="1" a="1"/>
  <c r="AA86" i="1"/>
  <c r="AC86" i="1" a="1"/>
  <c r="AC86" i="1"/>
  <c r="B87" i="1" a="1"/>
  <c r="B87" i="1"/>
  <c r="D87" i="1" a="1"/>
  <c r="D87" i="1"/>
  <c r="G87" i="1" a="1"/>
  <c r="G87" i="1"/>
  <c r="I87" i="1" a="1"/>
  <c r="I87" i="1"/>
  <c r="K87" i="1" a="1"/>
  <c r="K87" i="1"/>
  <c r="M87" i="1" a="1"/>
  <c r="M87" i="1"/>
  <c r="O87" i="1" a="1"/>
  <c r="O87" i="1"/>
  <c r="Q87" i="1" a="1"/>
  <c r="Q87" i="1"/>
  <c r="S87" i="1" a="1"/>
  <c r="S87" i="1"/>
  <c r="U87" i="1" a="1"/>
  <c r="U87" i="1"/>
  <c r="W87" i="1" a="1"/>
  <c r="W87" i="1"/>
  <c r="Y87" i="1" a="1"/>
  <c r="Y87" i="1"/>
  <c r="AA87" i="1" a="1"/>
  <c r="AA87" i="1"/>
  <c r="AC87" i="1" a="1"/>
  <c r="AC87" i="1"/>
  <c r="B88" i="1" a="1"/>
  <c r="B88" i="1"/>
  <c r="D88" i="1" a="1"/>
  <c r="D88" i="1"/>
  <c r="G88" i="1" a="1"/>
  <c r="G88" i="1"/>
  <c r="I88" i="1" a="1"/>
  <c r="I88" i="1"/>
  <c r="K88" i="1" a="1"/>
  <c r="K88" i="1"/>
  <c r="M88" i="1" a="1"/>
  <c r="M88" i="1"/>
  <c r="O88" i="1" a="1"/>
  <c r="O88" i="1"/>
  <c r="Q88" i="1" a="1"/>
  <c r="Q88" i="1"/>
  <c r="S88" i="1" a="1"/>
  <c r="S88" i="1"/>
  <c r="U88" i="1" a="1"/>
  <c r="U88" i="1"/>
  <c r="W88" i="1" a="1"/>
  <c r="W88" i="1"/>
  <c r="Y88" i="1" a="1"/>
  <c r="Y88" i="1"/>
  <c r="AA88" i="1" a="1"/>
  <c r="AA88" i="1"/>
  <c r="AC88" i="1" a="1"/>
  <c r="AC88" i="1"/>
  <c r="B89" i="1" a="1"/>
  <c r="B89" i="1"/>
  <c r="D89" i="1" a="1"/>
  <c r="D89" i="1"/>
  <c r="G89" i="1" a="1"/>
  <c r="G89" i="1"/>
  <c r="I89" i="1" a="1"/>
  <c r="I89" i="1"/>
  <c r="K89" i="1" a="1"/>
  <c r="K89" i="1"/>
  <c r="M89" i="1" a="1"/>
  <c r="M89" i="1"/>
  <c r="O89" i="1" a="1"/>
  <c r="O89" i="1"/>
  <c r="Q89" i="1" a="1"/>
  <c r="Q89" i="1"/>
  <c r="S89" i="1" a="1"/>
  <c r="S89" i="1"/>
  <c r="U89" i="1" a="1"/>
  <c r="U89" i="1"/>
  <c r="W89" i="1" a="1"/>
  <c r="W89" i="1"/>
  <c r="Y89" i="1" a="1"/>
  <c r="Y89" i="1"/>
  <c r="AA89" i="1" a="1"/>
  <c r="AA89" i="1"/>
  <c r="AC89" i="1" a="1"/>
  <c r="AC89" i="1"/>
  <c r="B90" i="1" a="1"/>
  <c r="B90" i="1"/>
  <c r="D90" i="1" a="1"/>
  <c r="D90" i="1"/>
  <c r="G90" i="1" a="1"/>
  <c r="G90" i="1"/>
  <c r="I90" i="1" a="1"/>
  <c r="I90" i="1"/>
  <c r="K90" i="1" a="1"/>
  <c r="K90" i="1"/>
  <c r="M90" i="1" a="1"/>
  <c r="M90" i="1"/>
  <c r="O90" i="1" a="1"/>
  <c r="O90" i="1"/>
  <c r="Q90" i="1" a="1"/>
  <c r="Q90" i="1"/>
  <c r="S90" i="1" a="1"/>
  <c r="S90" i="1"/>
  <c r="U90" i="1" a="1"/>
  <c r="U90" i="1"/>
  <c r="W90" i="1" a="1"/>
  <c r="W90" i="1"/>
  <c r="Y90" i="1" a="1"/>
  <c r="Y90" i="1"/>
  <c r="AA90" i="1" a="1"/>
  <c r="AA90" i="1"/>
  <c r="AC90" i="1" a="1"/>
  <c r="AC90" i="1"/>
  <c r="B91" i="1" a="1"/>
  <c r="B91" i="1"/>
  <c r="D91" i="1" a="1"/>
  <c r="D91" i="1"/>
  <c r="G91" i="1" a="1"/>
  <c r="G91" i="1"/>
  <c r="I91" i="1" a="1"/>
  <c r="I91" i="1"/>
  <c r="K91" i="1" a="1"/>
  <c r="K91" i="1"/>
  <c r="M91" i="1" a="1"/>
  <c r="M91" i="1"/>
  <c r="O91" i="1" a="1"/>
  <c r="O91" i="1"/>
  <c r="Q91" i="1" a="1"/>
  <c r="Q91" i="1"/>
  <c r="S91" i="1" a="1"/>
  <c r="S91" i="1"/>
  <c r="U91" i="1" a="1"/>
  <c r="U91" i="1"/>
  <c r="W91" i="1" a="1"/>
  <c r="W91" i="1"/>
  <c r="Y91" i="1" a="1"/>
  <c r="Y91" i="1"/>
  <c r="AA91" i="1" a="1"/>
  <c r="AA91" i="1"/>
  <c r="AC91" i="1" a="1"/>
  <c r="AC91" i="1"/>
  <c r="B92" i="1" a="1"/>
  <c r="B92" i="1"/>
  <c r="D92" i="1" a="1"/>
  <c r="D92" i="1"/>
  <c r="G92" i="1" a="1"/>
  <c r="G92" i="1"/>
  <c r="I92" i="1" a="1"/>
  <c r="I92" i="1"/>
  <c r="K92" i="1" a="1"/>
  <c r="K92" i="1"/>
  <c r="M92" i="1" a="1"/>
  <c r="M92" i="1"/>
  <c r="O92" i="1" a="1"/>
  <c r="O92" i="1"/>
  <c r="Q92" i="1" a="1"/>
  <c r="Q92" i="1"/>
  <c r="S92" i="1" a="1"/>
  <c r="S92" i="1"/>
  <c r="U92" i="1" a="1"/>
  <c r="U92" i="1"/>
  <c r="W92" i="1" a="1"/>
  <c r="W92" i="1"/>
  <c r="Y92" i="1" a="1"/>
  <c r="Y92" i="1"/>
  <c r="AA92" i="1" a="1"/>
  <c r="AA92" i="1"/>
  <c r="AC92" i="1" a="1"/>
  <c r="AC92" i="1"/>
  <c r="B94" i="1" a="1"/>
  <c r="B94" i="1"/>
  <c r="D94" i="1" a="1"/>
  <c r="D94" i="1"/>
  <c r="G94" i="1" a="1"/>
  <c r="G94" i="1"/>
  <c r="I94" i="1" a="1"/>
  <c r="I94" i="1"/>
  <c r="K94" i="1" a="1"/>
  <c r="K94" i="1"/>
  <c r="M94" i="1" a="1"/>
  <c r="M94" i="1"/>
  <c r="O94" i="1" a="1"/>
  <c r="O94" i="1"/>
  <c r="Q94" i="1" a="1"/>
  <c r="Q94" i="1"/>
  <c r="S94" i="1" a="1"/>
  <c r="S94" i="1"/>
  <c r="U94" i="1" a="1"/>
  <c r="U94" i="1"/>
  <c r="W94" i="1" a="1"/>
  <c r="W94" i="1"/>
  <c r="Y94" i="1" a="1"/>
  <c r="Y94" i="1"/>
  <c r="AA94" i="1" a="1"/>
  <c r="AA94" i="1"/>
  <c r="AC94" i="1" a="1"/>
  <c r="AC94" i="1"/>
  <c r="B95" i="1" a="1"/>
  <c r="B95" i="1"/>
  <c r="D95" i="1" a="1"/>
  <c r="D95" i="1"/>
  <c r="G95" i="1" a="1"/>
  <c r="G95" i="1"/>
  <c r="I95" i="1" a="1"/>
  <c r="I95" i="1"/>
  <c r="K95" i="1" a="1"/>
  <c r="K95" i="1"/>
  <c r="M95" i="1" a="1"/>
  <c r="M95" i="1"/>
  <c r="O95" i="1" a="1"/>
  <c r="O95" i="1"/>
  <c r="Q95" i="1" a="1"/>
  <c r="Q95" i="1"/>
  <c r="S95" i="1" a="1"/>
  <c r="S95" i="1"/>
  <c r="U95" i="1" a="1"/>
  <c r="U95" i="1"/>
  <c r="W95" i="1" a="1"/>
  <c r="W95" i="1"/>
  <c r="Y95" i="1" a="1"/>
  <c r="Y95" i="1"/>
  <c r="AA95" i="1" a="1"/>
  <c r="AA95" i="1"/>
  <c r="AC95" i="1" a="1"/>
  <c r="AC95" i="1"/>
  <c r="B96" i="1" a="1"/>
  <c r="B96" i="1"/>
  <c r="D96" i="1" a="1"/>
  <c r="D96" i="1"/>
  <c r="G96" i="1" a="1"/>
  <c r="G96" i="1"/>
  <c r="I96" i="1" a="1"/>
  <c r="I96" i="1"/>
  <c r="K96" i="1" a="1"/>
  <c r="K96" i="1"/>
  <c r="M96" i="1" a="1"/>
  <c r="M96" i="1"/>
  <c r="O96" i="1" a="1"/>
  <c r="O96" i="1"/>
  <c r="Q96" i="1" a="1"/>
  <c r="Q96" i="1"/>
  <c r="S96" i="1" a="1"/>
  <c r="S96" i="1"/>
  <c r="U96" i="1" a="1"/>
  <c r="U96" i="1"/>
  <c r="W96" i="1" a="1"/>
  <c r="W96" i="1"/>
  <c r="Y96" i="1" a="1"/>
  <c r="Y96" i="1"/>
  <c r="AA96" i="1" a="1"/>
  <c r="AA96" i="1"/>
  <c r="AC96" i="1" a="1"/>
  <c r="AC96" i="1"/>
  <c r="B97" i="1" a="1"/>
  <c r="B97" i="1"/>
  <c r="D97" i="1" a="1"/>
  <c r="D97" i="1"/>
  <c r="G97" i="1" a="1"/>
  <c r="G97" i="1"/>
  <c r="I97" i="1" a="1"/>
  <c r="I97" i="1"/>
  <c r="K97" i="1" a="1"/>
  <c r="K97" i="1"/>
  <c r="M97" i="1" a="1"/>
  <c r="M97" i="1"/>
  <c r="O97" i="1" a="1"/>
  <c r="O97" i="1"/>
  <c r="Q97" i="1" a="1"/>
  <c r="Q97" i="1"/>
  <c r="S97" i="1" a="1"/>
  <c r="S97" i="1"/>
  <c r="U97" i="1" a="1"/>
  <c r="U97" i="1"/>
  <c r="W97" i="1" a="1"/>
  <c r="W97" i="1"/>
  <c r="Y97" i="1" a="1"/>
  <c r="Y97" i="1"/>
  <c r="AA97" i="1" a="1"/>
  <c r="AA97" i="1"/>
  <c r="AC97" i="1" a="1"/>
  <c r="AC97" i="1"/>
  <c r="B98" i="1" a="1"/>
  <c r="B98" i="1"/>
  <c r="D98" i="1" a="1"/>
  <c r="D98" i="1"/>
  <c r="G98" i="1" a="1"/>
  <c r="G98" i="1"/>
  <c r="I98" i="1" a="1"/>
  <c r="I98" i="1"/>
  <c r="K98" i="1" a="1"/>
  <c r="K98" i="1"/>
  <c r="M98" i="1" a="1"/>
  <c r="M98" i="1"/>
  <c r="O98" i="1" a="1"/>
  <c r="O98" i="1"/>
  <c r="Q98" i="1" a="1"/>
  <c r="Q98" i="1"/>
  <c r="S98" i="1" a="1"/>
  <c r="S98" i="1"/>
  <c r="U98" i="1" a="1"/>
  <c r="U98" i="1"/>
  <c r="W98" i="1" a="1"/>
  <c r="W98" i="1"/>
  <c r="Y98" i="1" a="1"/>
  <c r="Y98" i="1"/>
  <c r="AA98" i="1" a="1"/>
  <c r="AA98" i="1"/>
  <c r="AC98" i="1" a="1"/>
  <c r="AC98" i="1"/>
  <c r="B99" i="1" a="1"/>
  <c r="B99" i="1"/>
  <c r="D99" i="1" a="1"/>
  <c r="D99" i="1"/>
  <c r="G99" i="1" a="1"/>
  <c r="G99" i="1"/>
  <c r="I99" i="1" a="1"/>
  <c r="I99" i="1"/>
  <c r="K99" i="1" a="1"/>
  <c r="K99" i="1"/>
  <c r="M99" i="1" a="1"/>
  <c r="M99" i="1"/>
  <c r="O99" i="1" a="1"/>
  <c r="O99" i="1"/>
  <c r="Q99" i="1" a="1"/>
  <c r="Q99" i="1"/>
  <c r="S99" i="1" a="1"/>
  <c r="S99" i="1"/>
  <c r="U99" i="1" a="1"/>
  <c r="U99" i="1"/>
  <c r="W99" i="1" a="1"/>
  <c r="W99" i="1"/>
  <c r="Y99" i="1" a="1"/>
  <c r="Y99" i="1"/>
  <c r="AA99" i="1" a="1"/>
  <c r="AA99" i="1"/>
  <c r="AC99" i="1" a="1"/>
  <c r="AC99" i="1"/>
  <c r="B100" i="1" a="1"/>
  <c r="B100" i="1"/>
  <c r="D100" i="1" a="1"/>
  <c r="D100" i="1"/>
  <c r="G100" i="1" a="1"/>
  <c r="G100" i="1"/>
  <c r="I100" i="1" a="1"/>
  <c r="I100" i="1"/>
  <c r="K100" i="1" a="1"/>
  <c r="K100" i="1"/>
  <c r="M100" i="1" a="1"/>
  <c r="M100" i="1"/>
  <c r="O100" i="1" a="1"/>
  <c r="O100" i="1"/>
  <c r="Q100" i="1" a="1"/>
  <c r="Q100" i="1"/>
  <c r="S100" i="1" a="1"/>
  <c r="S100" i="1"/>
  <c r="U100" i="1" a="1"/>
  <c r="U100" i="1"/>
  <c r="W100" i="1" a="1"/>
  <c r="W100" i="1"/>
  <c r="Y100" i="1" a="1"/>
  <c r="Y100" i="1"/>
  <c r="AA100" i="1" a="1"/>
  <c r="AA100" i="1"/>
  <c r="AC100" i="1" a="1"/>
  <c r="AC100" i="1"/>
  <c r="B101" i="1" a="1"/>
  <c r="B101" i="1"/>
  <c r="D101" i="1" a="1"/>
  <c r="D101" i="1"/>
  <c r="G101" i="1" a="1"/>
  <c r="G101" i="1"/>
  <c r="I101" i="1" a="1"/>
  <c r="I101" i="1"/>
  <c r="K101" i="1" a="1"/>
  <c r="K101" i="1"/>
  <c r="M101" i="1" a="1"/>
  <c r="M101" i="1"/>
  <c r="O101" i="1" a="1"/>
  <c r="O101" i="1"/>
  <c r="Q101" i="1" a="1"/>
  <c r="Q101" i="1"/>
  <c r="S101" i="1" a="1"/>
  <c r="S101" i="1"/>
  <c r="U101" i="1" a="1"/>
  <c r="U101" i="1"/>
  <c r="W101" i="1" a="1"/>
  <c r="W101" i="1"/>
  <c r="Y101" i="1" a="1"/>
  <c r="Y101" i="1"/>
  <c r="AA101" i="1" a="1"/>
  <c r="AA101" i="1"/>
  <c r="AC101" i="1" a="1"/>
  <c r="AC101" i="1"/>
  <c r="B108" i="1"/>
  <c r="C108" i="1"/>
  <c r="D108" i="1"/>
  <c r="E108" i="1"/>
  <c r="F108" i="1"/>
  <c r="G108" i="1"/>
  <c r="H108" i="1"/>
  <c r="I108" i="1"/>
  <c r="J108" i="1"/>
  <c r="K108" i="1"/>
  <c r="L108" i="1"/>
  <c r="M108" i="1"/>
  <c r="N108" i="1"/>
  <c r="O108" i="1"/>
  <c r="P108" i="1"/>
  <c r="Q108" i="1"/>
  <c r="R108" i="1"/>
  <c r="S108" i="1"/>
  <c r="T108" i="1"/>
  <c r="U108" i="1"/>
  <c r="V108" i="1"/>
  <c r="X108" i="1"/>
  <c r="Z108" i="1"/>
  <c r="AB108" i="1"/>
  <c r="B109" i="1"/>
  <c r="C109" i="1"/>
  <c r="D109" i="1"/>
  <c r="E109" i="1"/>
  <c r="F109" i="1"/>
  <c r="G109" i="1"/>
  <c r="H109" i="1"/>
  <c r="I109" i="1"/>
  <c r="J109" i="1"/>
  <c r="K109" i="1"/>
  <c r="L109" i="1"/>
  <c r="M109" i="1"/>
  <c r="N109" i="1"/>
  <c r="O109" i="1"/>
  <c r="P109" i="1"/>
  <c r="Q109" i="1"/>
  <c r="R109" i="1"/>
  <c r="S109" i="1"/>
  <c r="T109" i="1"/>
  <c r="U109" i="1"/>
  <c r="V109" i="1"/>
  <c r="X109" i="1"/>
  <c r="Z109" i="1"/>
  <c r="AB109" i="1"/>
  <c r="B110" i="1"/>
  <c r="C110" i="1"/>
  <c r="D110" i="1"/>
  <c r="E110" i="1"/>
  <c r="F110" i="1"/>
  <c r="G110" i="1"/>
  <c r="H110" i="1"/>
  <c r="I110" i="1"/>
  <c r="J110" i="1"/>
  <c r="K110" i="1"/>
  <c r="L110" i="1"/>
  <c r="M110" i="1"/>
  <c r="N110" i="1"/>
  <c r="O110" i="1"/>
  <c r="P110" i="1"/>
  <c r="Q110" i="1"/>
  <c r="R110" i="1"/>
  <c r="S110" i="1"/>
  <c r="T110" i="1"/>
  <c r="U110" i="1"/>
  <c r="V110" i="1"/>
  <c r="X110" i="1"/>
  <c r="Z110" i="1"/>
  <c r="AB110" i="1"/>
  <c r="B111" i="1"/>
  <c r="C111" i="1"/>
  <c r="D111" i="1"/>
  <c r="E111" i="1"/>
  <c r="F111" i="1"/>
  <c r="G111" i="1"/>
  <c r="H111" i="1"/>
  <c r="I111" i="1"/>
  <c r="J111" i="1"/>
  <c r="K111" i="1"/>
  <c r="L111" i="1"/>
  <c r="M111" i="1"/>
  <c r="N111" i="1"/>
  <c r="O111" i="1"/>
  <c r="P111" i="1"/>
  <c r="Q111" i="1"/>
  <c r="R111" i="1"/>
  <c r="S111" i="1"/>
  <c r="T111" i="1"/>
  <c r="U111" i="1"/>
  <c r="V111" i="1"/>
  <c r="X111" i="1"/>
  <c r="Z111" i="1"/>
  <c r="AB111" i="1"/>
  <c r="B112" i="1"/>
  <c r="C112" i="1"/>
  <c r="D112" i="1"/>
  <c r="E112" i="1"/>
  <c r="F112" i="1"/>
  <c r="G112" i="1"/>
  <c r="H112" i="1"/>
  <c r="I112" i="1"/>
  <c r="J112" i="1"/>
  <c r="K112" i="1"/>
  <c r="L112" i="1"/>
  <c r="M112" i="1"/>
  <c r="N112" i="1"/>
  <c r="O112" i="1"/>
  <c r="P112" i="1"/>
  <c r="Q112" i="1"/>
  <c r="R112" i="1"/>
  <c r="S112" i="1"/>
  <c r="T112" i="1"/>
  <c r="U112" i="1"/>
  <c r="V112" i="1"/>
  <c r="X112" i="1"/>
  <c r="Z112" i="1"/>
  <c r="AB112" i="1"/>
  <c r="B113" i="1"/>
  <c r="C113" i="1"/>
  <c r="D113" i="1"/>
  <c r="E113" i="1"/>
  <c r="F113" i="1"/>
  <c r="G113" i="1"/>
  <c r="H113" i="1"/>
  <c r="I113" i="1"/>
  <c r="J113" i="1"/>
  <c r="K113" i="1"/>
  <c r="L113" i="1"/>
  <c r="M113" i="1"/>
  <c r="N113" i="1"/>
  <c r="O113" i="1"/>
  <c r="P113" i="1"/>
  <c r="Q113" i="1"/>
  <c r="R113" i="1"/>
  <c r="S113" i="1"/>
  <c r="T113" i="1"/>
  <c r="U113" i="1"/>
  <c r="V113" i="1"/>
  <c r="X113" i="1"/>
  <c r="Z113" i="1"/>
  <c r="AB113" i="1"/>
  <c r="B115" i="1"/>
  <c r="C115" i="1"/>
  <c r="D115" i="1"/>
  <c r="E115" i="1"/>
  <c r="F115" i="1"/>
  <c r="G115" i="1"/>
  <c r="H115" i="1"/>
  <c r="I115" i="1"/>
  <c r="J115" i="1"/>
  <c r="K115" i="1"/>
  <c r="L115" i="1"/>
  <c r="M115" i="1"/>
  <c r="N115" i="1"/>
  <c r="O115" i="1"/>
  <c r="P115" i="1"/>
  <c r="Q115" i="1"/>
  <c r="R115" i="1"/>
  <c r="S115" i="1"/>
  <c r="T115" i="1"/>
  <c r="U115" i="1"/>
  <c r="V115" i="1"/>
  <c r="X115" i="1"/>
  <c r="Z115" i="1"/>
  <c r="AB115" i="1"/>
  <c r="B116" i="1"/>
  <c r="C116" i="1"/>
  <c r="D116" i="1"/>
  <c r="E116" i="1"/>
  <c r="F116" i="1"/>
  <c r="G116" i="1"/>
  <c r="H116" i="1"/>
  <c r="I116" i="1"/>
  <c r="J116" i="1"/>
  <c r="K116" i="1"/>
  <c r="L116" i="1"/>
  <c r="M116" i="1"/>
  <c r="N116" i="1"/>
  <c r="O116" i="1"/>
  <c r="P116" i="1"/>
  <c r="Q116" i="1"/>
  <c r="R116" i="1"/>
  <c r="S116" i="1"/>
  <c r="T116" i="1"/>
  <c r="U116" i="1"/>
  <c r="V116" i="1"/>
  <c r="X116" i="1"/>
  <c r="Z116" i="1"/>
  <c r="AB116" i="1"/>
  <c r="B117" i="1"/>
  <c r="C117" i="1"/>
  <c r="D117" i="1"/>
  <c r="E117" i="1"/>
  <c r="F117" i="1"/>
  <c r="G117" i="1"/>
  <c r="H117" i="1"/>
  <c r="I117" i="1"/>
  <c r="J117" i="1"/>
  <c r="K117" i="1"/>
  <c r="L117" i="1"/>
  <c r="M117" i="1"/>
  <c r="N117" i="1"/>
  <c r="O117" i="1"/>
  <c r="P117" i="1"/>
  <c r="Q117" i="1"/>
  <c r="R117" i="1"/>
  <c r="S117" i="1"/>
  <c r="T117" i="1"/>
  <c r="U117" i="1"/>
  <c r="V117" i="1"/>
  <c r="X117" i="1"/>
  <c r="Z117" i="1"/>
  <c r="AB117" i="1"/>
  <c r="B118" i="1"/>
  <c r="C118" i="1"/>
  <c r="D118" i="1"/>
  <c r="E118" i="1"/>
  <c r="F118" i="1"/>
  <c r="G118" i="1"/>
  <c r="H118" i="1"/>
  <c r="I118" i="1"/>
  <c r="J118" i="1"/>
  <c r="K118" i="1"/>
  <c r="L118" i="1"/>
  <c r="M118" i="1"/>
  <c r="N118" i="1"/>
  <c r="O118" i="1"/>
  <c r="P118" i="1"/>
  <c r="Q118" i="1"/>
  <c r="R118" i="1"/>
  <c r="S118" i="1"/>
  <c r="T118" i="1"/>
  <c r="U118" i="1"/>
  <c r="V118" i="1"/>
  <c r="X118" i="1"/>
  <c r="Z118" i="1"/>
  <c r="AB118" i="1"/>
  <c r="B119" i="1"/>
  <c r="C119" i="1"/>
  <c r="D119" i="1"/>
  <c r="E119" i="1"/>
  <c r="F119" i="1"/>
  <c r="G119" i="1"/>
  <c r="H119" i="1"/>
  <c r="I119" i="1"/>
  <c r="J119" i="1"/>
  <c r="K119" i="1"/>
  <c r="L119" i="1"/>
  <c r="M119" i="1"/>
  <c r="N119" i="1"/>
  <c r="O119" i="1"/>
  <c r="P119" i="1"/>
  <c r="Q119" i="1"/>
  <c r="R119" i="1"/>
  <c r="S119" i="1"/>
  <c r="T119" i="1"/>
  <c r="U119" i="1"/>
  <c r="V119" i="1"/>
  <c r="X119" i="1"/>
  <c r="Z119" i="1"/>
  <c r="AB119" i="1"/>
  <c r="B120" i="1"/>
  <c r="C120" i="1"/>
  <c r="D120" i="1"/>
  <c r="E120" i="1"/>
  <c r="F120" i="1"/>
  <c r="G120" i="1"/>
  <c r="H120" i="1"/>
  <c r="I120" i="1"/>
  <c r="J120" i="1"/>
  <c r="K120" i="1"/>
  <c r="L120" i="1"/>
  <c r="M120" i="1"/>
  <c r="N120" i="1"/>
  <c r="O120" i="1"/>
  <c r="P120" i="1"/>
  <c r="Q120" i="1"/>
  <c r="R120" i="1"/>
  <c r="S120" i="1"/>
  <c r="T120" i="1"/>
  <c r="U120" i="1"/>
  <c r="V120" i="1"/>
  <c r="X120" i="1"/>
  <c r="Z120" i="1"/>
  <c r="AB120" i="1"/>
  <c r="B121" i="1"/>
  <c r="C121" i="1"/>
  <c r="D121" i="1"/>
  <c r="E121" i="1"/>
  <c r="F121" i="1"/>
  <c r="G121" i="1"/>
  <c r="H121" i="1"/>
  <c r="I121" i="1"/>
  <c r="J121" i="1"/>
  <c r="K121" i="1"/>
  <c r="L121" i="1"/>
  <c r="M121" i="1"/>
  <c r="N121" i="1"/>
  <c r="O121" i="1"/>
  <c r="P121" i="1"/>
  <c r="Q121" i="1"/>
  <c r="R121" i="1"/>
  <c r="S121" i="1"/>
  <c r="T121" i="1"/>
  <c r="U121" i="1"/>
  <c r="V121" i="1"/>
  <c r="X121" i="1"/>
  <c r="Z121" i="1"/>
  <c r="AB121" i="1"/>
  <c r="B122" i="1"/>
  <c r="C122" i="1"/>
  <c r="D122" i="1"/>
  <c r="E122" i="1"/>
  <c r="F122" i="1"/>
  <c r="G122" i="1"/>
  <c r="H122" i="1"/>
  <c r="I122" i="1"/>
  <c r="J122" i="1"/>
  <c r="K122" i="1"/>
  <c r="L122" i="1"/>
  <c r="M122" i="1"/>
  <c r="N122" i="1"/>
  <c r="O122" i="1"/>
  <c r="P122" i="1"/>
  <c r="Q122" i="1"/>
  <c r="R122" i="1"/>
  <c r="S122" i="1"/>
  <c r="T122" i="1"/>
  <c r="U122" i="1"/>
  <c r="V122" i="1"/>
  <c r="X122" i="1"/>
  <c r="Z122" i="1"/>
  <c r="AB122" i="1"/>
  <c r="B123" i="1"/>
  <c r="C123" i="1"/>
  <c r="D123" i="1"/>
  <c r="E123" i="1"/>
  <c r="F123" i="1"/>
  <c r="G123" i="1"/>
  <c r="H123" i="1"/>
  <c r="I123" i="1"/>
  <c r="J123" i="1"/>
  <c r="K123" i="1"/>
  <c r="L123" i="1"/>
  <c r="M123" i="1"/>
  <c r="N123" i="1"/>
  <c r="O123" i="1"/>
  <c r="P123" i="1"/>
  <c r="Q123" i="1"/>
  <c r="R123" i="1"/>
  <c r="S123" i="1"/>
  <c r="T123" i="1"/>
  <c r="U123" i="1"/>
  <c r="V123" i="1"/>
  <c r="X123" i="1"/>
  <c r="Z123" i="1"/>
  <c r="AB123" i="1"/>
  <c r="B124" i="1"/>
  <c r="C124" i="1"/>
  <c r="D124" i="1"/>
  <c r="E124" i="1"/>
  <c r="F124" i="1"/>
  <c r="G124" i="1"/>
  <c r="H124" i="1"/>
  <c r="I124" i="1"/>
  <c r="J124" i="1"/>
  <c r="K124" i="1"/>
  <c r="L124" i="1"/>
  <c r="M124" i="1"/>
  <c r="N124" i="1"/>
  <c r="O124" i="1"/>
  <c r="P124" i="1"/>
  <c r="Q124" i="1"/>
  <c r="R124" i="1"/>
  <c r="S124" i="1"/>
  <c r="T124" i="1"/>
  <c r="U124" i="1"/>
  <c r="V124" i="1"/>
  <c r="X124" i="1"/>
  <c r="Z124" i="1"/>
  <c r="AB124" i="1"/>
  <c r="B125" i="1"/>
  <c r="C125" i="1"/>
  <c r="D125" i="1"/>
  <c r="E125" i="1"/>
  <c r="F125" i="1"/>
  <c r="G125" i="1"/>
  <c r="H125" i="1"/>
  <c r="I125" i="1"/>
  <c r="J125" i="1"/>
  <c r="K125" i="1"/>
  <c r="L125" i="1"/>
  <c r="M125" i="1"/>
  <c r="N125" i="1"/>
  <c r="O125" i="1"/>
  <c r="P125" i="1"/>
  <c r="Q125" i="1"/>
  <c r="R125" i="1"/>
  <c r="S125" i="1"/>
  <c r="T125" i="1"/>
  <c r="U125" i="1"/>
  <c r="V125" i="1"/>
  <c r="X125" i="1"/>
  <c r="Z125" i="1"/>
  <c r="AB125" i="1"/>
  <c r="B126" i="1"/>
  <c r="C126" i="1"/>
  <c r="D126" i="1"/>
  <c r="E126" i="1"/>
  <c r="F126" i="1"/>
  <c r="G126" i="1"/>
  <c r="H126" i="1"/>
  <c r="I126" i="1"/>
  <c r="J126" i="1"/>
  <c r="K126" i="1"/>
  <c r="L126" i="1"/>
  <c r="M126" i="1"/>
  <c r="N126" i="1"/>
  <c r="O126" i="1"/>
  <c r="P126" i="1"/>
  <c r="Q126" i="1"/>
  <c r="R126" i="1"/>
  <c r="S126" i="1"/>
  <c r="T126" i="1"/>
  <c r="U126" i="1"/>
  <c r="V126" i="1"/>
  <c r="X126" i="1"/>
  <c r="Z126" i="1"/>
  <c r="AB126" i="1"/>
  <c r="B127" i="1"/>
  <c r="C127" i="1"/>
  <c r="D127" i="1"/>
  <c r="E127" i="1"/>
  <c r="F127" i="1"/>
  <c r="G127" i="1"/>
  <c r="H127" i="1"/>
  <c r="I127" i="1"/>
  <c r="J127" i="1"/>
  <c r="K127" i="1"/>
  <c r="L127" i="1"/>
  <c r="M127" i="1"/>
  <c r="N127" i="1"/>
  <c r="O127" i="1"/>
  <c r="P127" i="1"/>
  <c r="Q127" i="1"/>
  <c r="R127" i="1"/>
  <c r="S127" i="1"/>
  <c r="T127" i="1"/>
  <c r="U127" i="1"/>
  <c r="V127" i="1"/>
  <c r="X127" i="1"/>
  <c r="Z127" i="1"/>
  <c r="AB127" i="1"/>
  <c r="B129" i="1"/>
  <c r="C129" i="1"/>
  <c r="D129" i="1"/>
  <c r="E129" i="1"/>
  <c r="F129" i="1"/>
  <c r="G129" i="1"/>
  <c r="H129" i="1"/>
  <c r="I129" i="1"/>
  <c r="J129" i="1"/>
  <c r="K129" i="1"/>
  <c r="L129" i="1"/>
  <c r="M129" i="1"/>
  <c r="N129" i="1"/>
  <c r="O129" i="1"/>
  <c r="P129" i="1"/>
  <c r="Q129" i="1"/>
  <c r="R129" i="1"/>
  <c r="S129" i="1"/>
  <c r="T129" i="1"/>
  <c r="U129" i="1"/>
  <c r="V129" i="1"/>
  <c r="X129" i="1"/>
  <c r="Z129" i="1"/>
  <c r="AB129" i="1"/>
  <c r="B130" i="1"/>
  <c r="C130" i="1"/>
  <c r="D130" i="1"/>
  <c r="E130" i="1"/>
  <c r="F130" i="1"/>
  <c r="G130" i="1"/>
  <c r="H130" i="1"/>
  <c r="I130" i="1"/>
  <c r="J130" i="1"/>
  <c r="K130" i="1"/>
  <c r="L130" i="1"/>
  <c r="M130" i="1"/>
  <c r="N130" i="1"/>
  <c r="O130" i="1"/>
  <c r="P130" i="1"/>
  <c r="Q130" i="1"/>
  <c r="R130" i="1"/>
  <c r="S130" i="1"/>
  <c r="T130" i="1"/>
  <c r="U130" i="1"/>
  <c r="V130" i="1"/>
  <c r="X130" i="1"/>
  <c r="Z130" i="1"/>
  <c r="AB130" i="1"/>
  <c r="B131" i="1"/>
  <c r="C131" i="1"/>
  <c r="D131" i="1"/>
  <c r="E131" i="1"/>
  <c r="F131" i="1"/>
  <c r="G131" i="1"/>
  <c r="H131" i="1"/>
  <c r="I131" i="1"/>
  <c r="J131" i="1"/>
  <c r="K131" i="1"/>
  <c r="L131" i="1"/>
  <c r="M131" i="1"/>
  <c r="N131" i="1"/>
  <c r="O131" i="1"/>
  <c r="P131" i="1"/>
  <c r="Q131" i="1"/>
  <c r="R131" i="1"/>
  <c r="S131" i="1"/>
  <c r="T131" i="1"/>
  <c r="U131" i="1"/>
  <c r="V131" i="1"/>
  <c r="X131" i="1"/>
  <c r="Z131" i="1"/>
  <c r="AB131" i="1"/>
  <c r="B132" i="1"/>
  <c r="C132" i="1"/>
  <c r="D132" i="1"/>
  <c r="E132" i="1"/>
  <c r="F132" i="1"/>
  <c r="G132" i="1"/>
  <c r="H132" i="1"/>
  <c r="I132" i="1"/>
  <c r="J132" i="1"/>
  <c r="K132" i="1"/>
  <c r="L132" i="1"/>
  <c r="M132" i="1"/>
  <c r="N132" i="1"/>
  <c r="O132" i="1"/>
  <c r="P132" i="1"/>
  <c r="Q132" i="1"/>
  <c r="R132" i="1"/>
  <c r="S132" i="1"/>
  <c r="T132" i="1"/>
  <c r="U132" i="1"/>
  <c r="V132" i="1"/>
  <c r="X132" i="1"/>
  <c r="Z132" i="1"/>
  <c r="AB132" i="1"/>
  <c r="B133" i="1"/>
  <c r="C133" i="1"/>
  <c r="D133" i="1"/>
  <c r="E133" i="1"/>
  <c r="F133" i="1"/>
  <c r="G133" i="1"/>
  <c r="H133" i="1"/>
  <c r="I133" i="1"/>
  <c r="J133" i="1"/>
  <c r="K133" i="1"/>
  <c r="L133" i="1"/>
  <c r="M133" i="1"/>
  <c r="N133" i="1"/>
  <c r="O133" i="1"/>
  <c r="P133" i="1"/>
  <c r="Q133" i="1"/>
  <c r="R133" i="1"/>
  <c r="S133" i="1"/>
  <c r="T133" i="1"/>
  <c r="U133" i="1"/>
  <c r="V133" i="1"/>
  <c r="X133" i="1"/>
  <c r="Z133" i="1"/>
  <c r="AB133" i="1"/>
  <c r="B134" i="1"/>
  <c r="C134" i="1"/>
  <c r="D134" i="1"/>
  <c r="E134" i="1"/>
  <c r="F134" i="1"/>
  <c r="G134" i="1"/>
  <c r="H134" i="1"/>
  <c r="I134" i="1"/>
  <c r="J134" i="1"/>
  <c r="K134" i="1"/>
  <c r="L134" i="1"/>
  <c r="M134" i="1"/>
  <c r="N134" i="1"/>
  <c r="O134" i="1"/>
  <c r="P134" i="1"/>
  <c r="Q134" i="1"/>
  <c r="R134" i="1"/>
  <c r="S134" i="1"/>
  <c r="T134" i="1"/>
  <c r="U134" i="1"/>
  <c r="V134" i="1"/>
  <c r="X134" i="1"/>
  <c r="Z134" i="1"/>
  <c r="AB134" i="1"/>
  <c r="B135" i="1"/>
  <c r="C135" i="1"/>
  <c r="D135" i="1"/>
  <c r="E135" i="1"/>
  <c r="F135" i="1"/>
  <c r="G135" i="1"/>
  <c r="H135" i="1"/>
  <c r="I135" i="1"/>
  <c r="J135" i="1"/>
  <c r="K135" i="1"/>
  <c r="L135" i="1"/>
  <c r="M135" i="1"/>
  <c r="N135" i="1"/>
  <c r="O135" i="1"/>
  <c r="P135" i="1"/>
  <c r="Q135" i="1"/>
  <c r="R135" i="1"/>
  <c r="S135" i="1"/>
  <c r="T135" i="1"/>
  <c r="U135" i="1"/>
  <c r="V135" i="1"/>
  <c r="X135" i="1"/>
  <c r="Z135" i="1"/>
  <c r="AB135" i="1"/>
  <c r="B136" i="1"/>
  <c r="C136" i="1"/>
  <c r="D136" i="1"/>
  <c r="E136" i="1"/>
  <c r="F136" i="1"/>
  <c r="G136" i="1"/>
  <c r="H136" i="1"/>
  <c r="I136" i="1"/>
  <c r="J136" i="1"/>
  <c r="K136" i="1"/>
  <c r="L136" i="1"/>
  <c r="M136" i="1"/>
  <c r="N136" i="1"/>
  <c r="O136" i="1"/>
  <c r="P136" i="1"/>
  <c r="Q136" i="1"/>
  <c r="R136" i="1"/>
  <c r="S136" i="1"/>
  <c r="T136" i="1"/>
  <c r="U136" i="1"/>
  <c r="V136" i="1"/>
  <c r="X136" i="1"/>
  <c r="Z136" i="1"/>
  <c r="AB136"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C8" i="18"/>
  <c r="E8" i="18"/>
  <c r="F8" i="18"/>
  <c r="G8" i="18"/>
  <c r="H8" i="18"/>
  <c r="I8" i="18"/>
  <c r="C9" i="18"/>
  <c r="E9" i="18"/>
  <c r="F9" i="18"/>
  <c r="G9" i="18"/>
  <c r="H9" i="18"/>
  <c r="I9" i="18"/>
  <c r="C10" i="18"/>
  <c r="E10" i="18"/>
  <c r="F10" i="18"/>
  <c r="G10" i="18"/>
  <c r="H10" i="18"/>
  <c r="I10" i="18"/>
  <c r="C11" i="18"/>
  <c r="E11" i="18"/>
  <c r="F11" i="18"/>
  <c r="G11" i="18"/>
  <c r="H11" i="18"/>
  <c r="I11" i="18"/>
  <c r="C12" i="18"/>
  <c r="E12" i="18"/>
  <c r="F12" i="18"/>
  <c r="G12" i="18"/>
  <c r="H12" i="18"/>
  <c r="I12" i="18"/>
  <c r="C13" i="18"/>
  <c r="E13" i="18"/>
  <c r="F13" i="18"/>
  <c r="G13" i="18"/>
  <c r="H13" i="18"/>
  <c r="I13" i="18"/>
  <c r="C14" i="18"/>
  <c r="E14" i="18"/>
  <c r="F14" i="18"/>
  <c r="G14" i="18"/>
  <c r="H14" i="18"/>
  <c r="I14" i="18"/>
  <c r="C15" i="18"/>
  <c r="E15" i="18"/>
  <c r="F15" i="18"/>
  <c r="G15" i="18"/>
  <c r="H15" i="18"/>
  <c r="I15" i="18"/>
  <c r="C16" i="18"/>
  <c r="E16" i="18"/>
  <c r="F16" i="18"/>
  <c r="G16" i="18"/>
  <c r="H16" i="18"/>
  <c r="I16" i="18"/>
  <c r="C17" i="18"/>
  <c r="E17" i="18"/>
  <c r="F17" i="18"/>
  <c r="G17" i="18"/>
  <c r="H17" i="18"/>
  <c r="I17" i="18"/>
  <c r="C18" i="18"/>
  <c r="E18" i="18"/>
  <c r="F18" i="18"/>
  <c r="G18" i="18"/>
  <c r="H18" i="18"/>
  <c r="I18" i="18"/>
  <c r="C19" i="18"/>
  <c r="E19" i="18"/>
  <c r="F19" i="18"/>
  <c r="G19" i="18"/>
  <c r="H19" i="18"/>
  <c r="I19" i="18"/>
  <c r="C20" i="18"/>
  <c r="E20" i="18"/>
  <c r="F20" i="18"/>
  <c r="G20" i="18"/>
  <c r="H20" i="18"/>
  <c r="I20" i="18"/>
  <c r="C21" i="18"/>
  <c r="E21" i="18"/>
  <c r="F21" i="18"/>
  <c r="G21" i="18"/>
  <c r="H21" i="18"/>
  <c r="I21" i="18"/>
  <c r="C22" i="18"/>
  <c r="E22" i="18"/>
  <c r="F22" i="18"/>
  <c r="G22" i="18"/>
  <c r="H22" i="18"/>
  <c r="I22" i="18"/>
  <c r="C23" i="18"/>
  <c r="E23" i="18"/>
  <c r="F23" i="18"/>
  <c r="G23" i="18"/>
  <c r="H23" i="18"/>
  <c r="I23" i="18"/>
  <c r="C24" i="18"/>
  <c r="E24" i="18"/>
  <c r="F24" i="18"/>
  <c r="G24" i="18"/>
  <c r="H24" i="18"/>
  <c r="I24" i="18"/>
  <c r="C25" i="18"/>
  <c r="E25" i="18"/>
  <c r="F25" i="18"/>
  <c r="G25" i="18"/>
  <c r="H25" i="18"/>
  <c r="I25" i="18"/>
  <c r="C26" i="18"/>
  <c r="E26" i="18"/>
  <c r="F26" i="18"/>
  <c r="G26" i="18"/>
  <c r="H26" i="18"/>
  <c r="I26" i="18"/>
  <c r="C27" i="18"/>
  <c r="E27" i="18"/>
  <c r="F27" i="18"/>
  <c r="G27" i="18"/>
  <c r="H27" i="18"/>
  <c r="I27" i="18"/>
  <c r="C28" i="18"/>
  <c r="E28" i="18"/>
  <c r="F28" i="18"/>
  <c r="G28" i="18"/>
  <c r="H28" i="18"/>
  <c r="I28" i="18"/>
  <c r="C29" i="18"/>
  <c r="E29" i="18"/>
  <c r="F29" i="18"/>
  <c r="G29" i="18"/>
  <c r="H29" i="18"/>
  <c r="I29" i="18"/>
  <c r="C30" i="18"/>
  <c r="E30" i="18"/>
  <c r="F30" i="18"/>
  <c r="G30" i="18"/>
  <c r="H30" i="18"/>
  <c r="I30" i="18"/>
  <c r="C31" i="18"/>
  <c r="E31" i="18"/>
  <c r="F31" i="18"/>
  <c r="G31" i="18"/>
  <c r="H31" i="18"/>
  <c r="I31" i="18"/>
  <c r="C32" i="18"/>
  <c r="E32" i="18"/>
  <c r="F32" i="18"/>
  <c r="G32" i="18"/>
  <c r="H32" i="18"/>
  <c r="I32" i="18"/>
  <c r="C33" i="18"/>
  <c r="E33" i="18"/>
  <c r="F33" i="18"/>
  <c r="G33" i="18"/>
  <c r="H33" i="18"/>
  <c r="I33" i="18"/>
  <c r="C38" i="18"/>
  <c r="E38" i="18"/>
  <c r="F38" i="18"/>
  <c r="G38" i="18"/>
  <c r="H38" i="18"/>
  <c r="I38" i="18"/>
  <c r="C39" i="18"/>
  <c r="E39" i="18"/>
  <c r="F39" i="18"/>
  <c r="G39" i="18"/>
  <c r="H39" i="18"/>
  <c r="I39" i="18"/>
  <c r="C40" i="18"/>
  <c r="E40" i="18"/>
  <c r="F40" i="18"/>
  <c r="G40" i="18"/>
  <c r="H40" i="18"/>
  <c r="I40" i="18"/>
  <c r="C41" i="18"/>
  <c r="E41" i="18"/>
  <c r="F41" i="18"/>
  <c r="G41" i="18"/>
  <c r="H41" i="18"/>
  <c r="I41" i="18"/>
  <c r="C42" i="18"/>
  <c r="E42" i="18"/>
  <c r="F42" i="18"/>
  <c r="G42" i="18"/>
  <c r="H42" i="18"/>
  <c r="I42" i="18"/>
  <c r="C43" i="18"/>
  <c r="E43" i="18"/>
  <c r="F43" i="18"/>
  <c r="G43" i="18"/>
  <c r="H43" i="18"/>
  <c r="I43" i="18"/>
  <c r="C44" i="18"/>
  <c r="E44" i="18"/>
  <c r="F44" i="18"/>
  <c r="G44" i="18"/>
  <c r="H44" i="18"/>
  <c r="I44" i="18"/>
  <c r="C45" i="18"/>
  <c r="E45" i="18"/>
  <c r="F45" i="18"/>
  <c r="G45" i="18"/>
  <c r="H45" i="18"/>
  <c r="I45" i="18"/>
  <c r="C46" i="18"/>
  <c r="E46" i="18"/>
  <c r="F46" i="18"/>
  <c r="G46" i="18"/>
  <c r="H46" i="18"/>
  <c r="I46" i="18"/>
  <c r="C47" i="18"/>
  <c r="E47" i="18"/>
  <c r="F47" i="18"/>
  <c r="G47" i="18"/>
  <c r="H47" i="18"/>
  <c r="I47" i="18"/>
  <c r="C48" i="18"/>
  <c r="E48" i="18"/>
  <c r="F48" i="18"/>
  <c r="G48" i="18"/>
  <c r="H48" i="18"/>
  <c r="I48" i="18"/>
  <c r="C49" i="18"/>
  <c r="E49" i="18"/>
  <c r="F49" i="18"/>
  <c r="G49" i="18"/>
  <c r="H49" i="18"/>
  <c r="I49" i="18"/>
  <c r="C50" i="18"/>
  <c r="E50" i="18"/>
  <c r="F50" i="18"/>
  <c r="G50" i="18"/>
  <c r="H50" i="18"/>
  <c r="I50" i="18"/>
  <c r="C51" i="18"/>
  <c r="E51" i="18"/>
  <c r="F51" i="18"/>
  <c r="G51" i="18"/>
  <c r="H51" i="18"/>
  <c r="I51" i="18"/>
  <c r="C52" i="18"/>
  <c r="E52" i="18"/>
  <c r="F52" i="18"/>
  <c r="G52" i="18"/>
  <c r="H52" i="18"/>
  <c r="I52" i="18"/>
  <c r="C53" i="18"/>
  <c r="E53" i="18"/>
  <c r="F53" i="18"/>
  <c r="G53" i="18"/>
  <c r="H53" i="18"/>
  <c r="I53" i="18"/>
  <c r="C54" i="18"/>
  <c r="E54" i="18"/>
  <c r="F54" i="18"/>
  <c r="G54" i="18"/>
  <c r="H54" i="18"/>
  <c r="I54" i="18"/>
  <c r="C55" i="18"/>
  <c r="E55" i="18"/>
  <c r="F55" i="18"/>
  <c r="G55" i="18"/>
  <c r="H55" i="18"/>
  <c r="I55" i="18"/>
  <c r="C56" i="18"/>
  <c r="E56" i="18"/>
  <c r="F56" i="18"/>
  <c r="G56" i="18"/>
  <c r="H56" i="18"/>
  <c r="I56" i="18"/>
  <c r="C57" i="18"/>
  <c r="E57" i="18"/>
  <c r="F57" i="18"/>
  <c r="G57" i="18"/>
  <c r="H57" i="18"/>
  <c r="I57" i="18"/>
  <c r="C58" i="18"/>
  <c r="E58" i="18"/>
  <c r="F58" i="18"/>
  <c r="G58" i="18"/>
  <c r="H58" i="18"/>
  <c r="I58" i="18"/>
  <c r="C59" i="18"/>
  <c r="E59" i="18"/>
  <c r="F59" i="18"/>
  <c r="G59" i="18"/>
  <c r="H59" i="18"/>
  <c r="I59" i="18"/>
  <c r="C60" i="18"/>
  <c r="E60" i="18"/>
  <c r="F60" i="18"/>
  <c r="G60" i="18"/>
  <c r="H60" i="18"/>
  <c r="I60" i="18"/>
  <c r="C61" i="18"/>
  <c r="E61" i="18"/>
  <c r="F61" i="18"/>
  <c r="G61" i="18"/>
  <c r="H61" i="18"/>
  <c r="I61" i="18"/>
  <c r="C62" i="18"/>
  <c r="E62" i="18"/>
  <c r="F62" i="18"/>
  <c r="G62" i="18"/>
  <c r="H62" i="18"/>
  <c r="I62" i="18"/>
  <c r="C63" i="18"/>
  <c r="E63" i="18"/>
  <c r="F63" i="18"/>
  <c r="G63" i="18"/>
  <c r="H63" i="18"/>
  <c r="I63" i="18"/>
  <c r="C68" i="18"/>
  <c r="E68" i="18"/>
  <c r="F68" i="18"/>
  <c r="G68" i="18"/>
  <c r="H68" i="18"/>
  <c r="I68" i="18"/>
  <c r="C69" i="18"/>
  <c r="E69" i="18"/>
  <c r="F69" i="18"/>
  <c r="G69" i="18"/>
  <c r="H69" i="18"/>
  <c r="I69" i="18"/>
  <c r="C70" i="18"/>
  <c r="E70" i="18"/>
  <c r="F70" i="18"/>
  <c r="G70" i="18"/>
  <c r="H70" i="18"/>
  <c r="I70" i="18"/>
  <c r="C71" i="18"/>
  <c r="E71" i="18"/>
  <c r="F71" i="18"/>
  <c r="G71" i="18"/>
  <c r="H71" i="18"/>
  <c r="I71" i="18"/>
  <c r="C72" i="18"/>
  <c r="E72" i="18"/>
  <c r="F72" i="18"/>
  <c r="G72" i="18"/>
  <c r="H72" i="18"/>
  <c r="I72" i="18"/>
  <c r="C73" i="18"/>
  <c r="E73" i="18"/>
  <c r="F73" i="18"/>
  <c r="G73" i="18"/>
  <c r="H73" i="18"/>
  <c r="I73" i="18"/>
  <c r="C74" i="18"/>
  <c r="E74" i="18"/>
  <c r="F74" i="18"/>
  <c r="G74" i="18"/>
  <c r="H74" i="18"/>
  <c r="I74" i="18"/>
  <c r="C75" i="18"/>
  <c r="E75" i="18"/>
  <c r="F75" i="18"/>
  <c r="G75" i="18"/>
  <c r="H75" i="18"/>
  <c r="I75" i="18"/>
  <c r="C76" i="18"/>
  <c r="E76" i="18"/>
  <c r="F76" i="18"/>
  <c r="G76" i="18"/>
  <c r="H76" i="18"/>
  <c r="I76" i="18"/>
  <c r="C77" i="18"/>
  <c r="E77" i="18"/>
  <c r="F77" i="18"/>
  <c r="G77" i="18"/>
  <c r="H77" i="18"/>
  <c r="I77" i="18"/>
  <c r="C78" i="18"/>
  <c r="E78" i="18"/>
  <c r="F78" i="18"/>
  <c r="G78" i="18"/>
  <c r="H78" i="18"/>
  <c r="I78" i="18"/>
  <c r="C79" i="18"/>
  <c r="E79" i="18"/>
  <c r="F79" i="18"/>
  <c r="G79" i="18"/>
  <c r="H79" i="18"/>
  <c r="I79" i="18"/>
  <c r="C80" i="18"/>
  <c r="E80" i="18"/>
  <c r="F80" i="18"/>
  <c r="G80" i="18"/>
  <c r="H80" i="18"/>
  <c r="I80" i="18"/>
  <c r="C81" i="18"/>
  <c r="E81" i="18"/>
  <c r="F81" i="18"/>
  <c r="G81" i="18"/>
  <c r="H81" i="18"/>
  <c r="I81" i="18"/>
  <c r="C82" i="18"/>
  <c r="E82" i="18"/>
  <c r="F82" i="18"/>
  <c r="G82" i="18"/>
  <c r="H82" i="18"/>
  <c r="I82" i="18"/>
  <c r="C83" i="18"/>
  <c r="E83" i="18"/>
  <c r="F83" i="18"/>
  <c r="G83" i="18"/>
  <c r="H83" i="18"/>
  <c r="I83" i="18"/>
  <c r="C84" i="18"/>
  <c r="E84" i="18"/>
  <c r="F84" i="18"/>
  <c r="G84" i="18"/>
  <c r="H84" i="18"/>
  <c r="I84" i="18"/>
  <c r="C85" i="18"/>
  <c r="E85" i="18"/>
  <c r="F85" i="18"/>
  <c r="G85" i="18"/>
  <c r="H85" i="18"/>
  <c r="I85" i="18"/>
  <c r="C86" i="18"/>
  <c r="E86" i="18"/>
  <c r="F86" i="18"/>
  <c r="G86" i="18"/>
  <c r="H86" i="18"/>
  <c r="I86" i="18"/>
  <c r="C87" i="18"/>
  <c r="E87" i="18"/>
  <c r="F87" i="18"/>
  <c r="G87" i="18"/>
  <c r="H87" i="18"/>
  <c r="I87" i="18"/>
  <c r="C88" i="18"/>
  <c r="E88" i="18"/>
  <c r="F88" i="18"/>
  <c r="G88" i="18"/>
  <c r="H88" i="18"/>
  <c r="I88" i="18"/>
  <c r="C89" i="18"/>
  <c r="E89" i="18"/>
  <c r="F89" i="18"/>
  <c r="G89" i="18"/>
  <c r="H89" i="18"/>
  <c r="I89" i="18"/>
  <c r="C90" i="18"/>
  <c r="E90" i="18"/>
  <c r="F90" i="18"/>
  <c r="G90" i="18"/>
  <c r="H90" i="18"/>
  <c r="I90" i="18"/>
  <c r="C91" i="18"/>
  <c r="E91" i="18"/>
  <c r="F91" i="18"/>
  <c r="G91" i="18"/>
  <c r="H91" i="18"/>
  <c r="I91" i="18"/>
  <c r="C92" i="18"/>
  <c r="E92" i="18"/>
  <c r="F92" i="18"/>
  <c r="G92" i="18"/>
  <c r="H92" i="18"/>
  <c r="I92" i="18"/>
  <c r="C93" i="18"/>
  <c r="E93" i="18"/>
  <c r="F93" i="18"/>
  <c r="G93" i="18"/>
  <c r="H93" i="18"/>
  <c r="I93" i="18"/>
  <c r="C98" i="18"/>
  <c r="E98" i="18"/>
  <c r="F98" i="18"/>
  <c r="G98" i="18"/>
  <c r="H98" i="18"/>
  <c r="I98" i="18"/>
  <c r="C99" i="18"/>
  <c r="E99" i="18"/>
  <c r="F99" i="18"/>
  <c r="G99" i="18"/>
  <c r="H99" i="18"/>
  <c r="I99" i="18"/>
  <c r="C100" i="18"/>
  <c r="E100" i="18"/>
  <c r="F100" i="18"/>
  <c r="G100" i="18"/>
  <c r="H100" i="18"/>
  <c r="I100" i="18"/>
  <c r="C101" i="18"/>
  <c r="E101" i="18"/>
  <c r="F101" i="18"/>
  <c r="G101" i="18"/>
  <c r="H101" i="18"/>
  <c r="I101" i="18"/>
  <c r="C102" i="18"/>
  <c r="E102" i="18"/>
  <c r="F102" i="18"/>
  <c r="G102" i="18"/>
  <c r="H102" i="18"/>
  <c r="I102" i="18"/>
  <c r="C103" i="18"/>
  <c r="E103" i="18"/>
  <c r="F103" i="18"/>
  <c r="G103" i="18"/>
  <c r="H103" i="18"/>
  <c r="I103" i="18"/>
  <c r="C104" i="18"/>
  <c r="E104" i="18"/>
  <c r="F104" i="18"/>
  <c r="G104" i="18"/>
  <c r="H104" i="18"/>
  <c r="I104" i="18"/>
  <c r="C105" i="18"/>
  <c r="E105" i="18"/>
  <c r="F105" i="18"/>
  <c r="G105" i="18"/>
  <c r="H105" i="18"/>
  <c r="I105" i="18"/>
  <c r="C106" i="18"/>
  <c r="E106" i="18"/>
  <c r="F106" i="18"/>
  <c r="G106" i="18"/>
  <c r="H106" i="18"/>
  <c r="I106" i="18"/>
  <c r="C107" i="18"/>
  <c r="E107" i="18"/>
  <c r="F107" i="18"/>
  <c r="G107" i="18"/>
  <c r="H107" i="18"/>
  <c r="I107" i="18"/>
  <c r="C108" i="18"/>
  <c r="E108" i="18"/>
  <c r="F108" i="18"/>
  <c r="G108" i="18"/>
  <c r="H108" i="18"/>
  <c r="I108" i="18"/>
  <c r="C109" i="18"/>
  <c r="E109" i="18"/>
  <c r="F109" i="18"/>
  <c r="G109" i="18"/>
  <c r="H109" i="18"/>
  <c r="I109" i="18"/>
  <c r="C110" i="18"/>
  <c r="E110" i="18"/>
  <c r="F110" i="18"/>
  <c r="G110" i="18"/>
  <c r="H110" i="18"/>
  <c r="I110" i="18"/>
  <c r="C111" i="18"/>
  <c r="E111" i="18"/>
  <c r="F111" i="18"/>
  <c r="G111" i="18"/>
  <c r="H111" i="18"/>
  <c r="I111" i="18"/>
  <c r="C112" i="18"/>
  <c r="E112" i="18"/>
  <c r="F112" i="18"/>
  <c r="G112" i="18"/>
  <c r="H112" i="18"/>
  <c r="I112" i="18"/>
  <c r="C113" i="18"/>
  <c r="E113" i="18"/>
  <c r="F113" i="18"/>
  <c r="G113" i="18"/>
  <c r="H113" i="18"/>
  <c r="I113" i="18"/>
  <c r="C114" i="18"/>
  <c r="E114" i="18"/>
  <c r="F114" i="18"/>
  <c r="G114" i="18"/>
  <c r="H114" i="18"/>
  <c r="I114" i="18"/>
  <c r="C115" i="18"/>
  <c r="E115" i="18"/>
  <c r="F115" i="18"/>
  <c r="G115" i="18"/>
  <c r="H115" i="18"/>
  <c r="I115" i="18"/>
  <c r="C116" i="18"/>
  <c r="E116" i="18"/>
  <c r="F116" i="18"/>
  <c r="G116" i="18"/>
  <c r="H116" i="18"/>
  <c r="I116" i="18"/>
  <c r="C117" i="18"/>
  <c r="E117" i="18"/>
  <c r="F117" i="18"/>
  <c r="G117" i="18"/>
  <c r="H117" i="18"/>
  <c r="I117" i="18"/>
  <c r="C118" i="18"/>
  <c r="E118" i="18"/>
  <c r="F118" i="18"/>
  <c r="G118" i="18"/>
  <c r="H118" i="18"/>
  <c r="I118" i="18"/>
  <c r="C119" i="18"/>
  <c r="E119" i="18"/>
  <c r="F119" i="18"/>
  <c r="G119" i="18"/>
  <c r="H119" i="18"/>
  <c r="I119" i="18"/>
  <c r="C120" i="18"/>
  <c r="E120" i="18"/>
  <c r="F120" i="18"/>
  <c r="G120" i="18"/>
  <c r="H120" i="18"/>
  <c r="I120" i="18"/>
  <c r="C121" i="18"/>
  <c r="E121" i="18"/>
  <c r="F121" i="18"/>
  <c r="G121" i="18"/>
  <c r="H121" i="18"/>
  <c r="I121" i="18"/>
  <c r="C122" i="18"/>
  <c r="E122" i="18"/>
  <c r="F122" i="18"/>
  <c r="G122" i="18"/>
  <c r="H122" i="18"/>
  <c r="I122" i="18"/>
  <c r="C123" i="18"/>
  <c r="E123" i="18"/>
  <c r="F123" i="18"/>
  <c r="G123" i="18"/>
  <c r="H123" i="18"/>
  <c r="I123" i="18"/>
  <c r="C128" i="18"/>
  <c r="E128" i="18"/>
  <c r="F128" i="18"/>
  <c r="G128" i="18"/>
  <c r="H128" i="18"/>
  <c r="I128" i="18"/>
  <c r="C129" i="18"/>
  <c r="E129" i="18"/>
  <c r="F129" i="18"/>
  <c r="G129" i="18"/>
  <c r="H129" i="18"/>
  <c r="I129" i="18"/>
  <c r="C130" i="18"/>
  <c r="E130" i="18"/>
  <c r="F130" i="18"/>
  <c r="G130" i="18"/>
  <c r="H130" i="18"/>
  <c r="I130" i="18"/>
  <c r="C131" i="18"/>
  <c r="E131" i="18"/>
  <c r="F131" i="18"/>
  <c r="G131" i="18"/>
  <c r="H131" i="18"/>
  <c r="I131" i="18"/>
  <c r="C132" i="18"/>
  <c r="E132" i="18"/>
  <c r="F132" i="18"/>
  <c r="G132" i="18"/>
  <c r="H132" i="18"/>
  <c r="I132" i="18"/>
  <c r="C133" i="18"/>
  <c r="E133" i="18"/>
  <c r="F133" i="18"/>
  <c r="G133" i="18"/>
  <c r="H133" i="18"/>
  <c r="I133" i="18"/>
  <c r="C134" i="18"/>
  <c r="E134" i="18"/>
  <c r="F134" i="18"/>
  <c r="G134" i="18"/>
  <c r="H134" i="18"/>
  <c r="I134" i="18"/>
  <c r="C135" i="18"/>
  <c r="E135" i="18"/>
  <c r="F135" i="18"/>
  <c r="G135" i="18"/>
  <c r="H135" i="18"/>
  <c r="I135" i="18"/>
  <c r="C136" i="18"/>
  <c r="E136" i="18"/>
  <c r="F136" i="18"/>
  <c r="G136" i="18"/>
  <c r="H136" i="18"/>
  <c r="I136" i="18"/>
  <c r="C137" i="18"/>
  <c r="E137" i="18"/>
  <c r="F137" i="18"/>
  <c r="G137" i="18"/>
  <c r="H137" i="18"/>
  <c r="I137" i="18"/>
  <c r="C138" i="18"/>
  <c r="E138" i="18"/>
  <c r="F138" i="18"/>
  <c r="G138" i="18"/>
  <c r="H138" i="18"/>
  <c r="I138" i="18"/>
  <c r="C139" i="18"/>
  <c r="E139" i="18"/>
  <c r="F139" i="18"/>
  <c r="G139" i="18"/>
  <c r="H139" i="18"/>
  <c r="I139" i="18"/>
  <c r="C140" i="18"/>
  <c r="E140" i="18"/>
  <c r="F140" i="18"/>
  <c r="G140" i="18"/>
  <c r="H140" i="18"/>
  <c r="I140" i="18"/>
  <c r="C141" i="18"/>
  <c r="E141" i="18"/>
  <c r="F141" i="18"/>
  <c r="G141" i="18"/>
  <c r="H141" i="18"/>
  <c r="I141" i="18"/>
  <c r="C142" i="18"/>
  <c r="E142" i="18"/>
  <c r="F142" i="18"/>
  <c r="G142" i="18"/>
  <c r="H142" i="18"/>
  <c r="I142" i="18"/>
  <c r="C143" i="18"/>
  <c r="E143" i="18"/>
  <c r="F143" i="18"/>
  <c r="G143" i="18"/>
  <c r="H143" i="18"/>
  <c r="I143" i="18"/>
  <c r="C144" i="18"/>
  <c r="E144" i="18"/>
  <c r="F144" i="18"/>
  <c r="G144" i="18"/>
  <c r="H144" i="18"/>
  <c r="I144" i="18"/>
  <c r="C145" i="18"/>
  <c r="E145" i="18"/>
  <c r="F145" i="18"/>
  <c r="G145" i="18"/>
  <c r="H145" i="18"/>
  <c r="I145" i="18"/>
  <c r="C146" i="18"/>
  <c r="E146" i="18"/>
  <c r="F146" i="18"/>
  <c r="G146" i="18"/>
  <c r="H146" i="18"/>
  <c r="I146" i="18"/>
  <c r="C147" i="18"/>
  <c r="E147" i="18"/>
  <c r="F147" i="18"/>
  <c r="G147" i="18"/>
  <c r="H147" i="18"/>
  <c r="I147" i="18"/>
  <c r="C148" i="18"/>
  <c r="E148" i="18"/>
  <c r="F148" i="18"/>
  <c r="G148" i="18"/>
  <c r="H148" i="18"/>
  <c r="I148" i="18"/>
  <c r="C149" i="18"/>
  <c r="E149" i="18"/>
  <c r="F149" i="18"/>
  <c r="G149" i="18"/>
  <c r="H149" i="18"/>
  <c r="I149" i="18"/>
  <c r="C150" i="18"/>
  <c r="E150" i="18"/>
  <c r="F150" i="18"/>
  <c r="G150" i="18"/>
  <c r="H150" i="18"/>
  <c r="I150" i="18"/>
  <c r="C151" i="18"/>
  <c r="E151" i="18"/>
  <c r="F151" i="18"/>
  <c r="G151" i="18"/>
  <c r="H151" i="18"/>
  <c r="I151" i="18"/>
  <c r="C152" i="18"/>
  <c r="E152" i="18"/>
  <c r="F152" i="18"/>
  <c r="G152" i="18"/>
  <c r="H152" i="18"/>
  <c r="I152" i="18"/>
  <c r="C153" i="18"/>
  <c r="E153" i="18"/>
  <c r="F153" i="18"/>
  <c r="G153" i="18"/>
  <c r="H153" i="18"/>
  <c r="I153" i="18"/>
  <c r="C158" i="18"/>
  <c r="E158" i="18"/>
  <c r="F158" i="18"/>
  <c r="G158" i="18"/>
  <c r="H158" i="18"/>
  <c r="I158" i="18"/>
  <c r="C159" i="18"/>
  <c r="E159" i="18"/>
  <c r="F159" i="18"/>
  <c r="G159" i="18"/>
  <c r="H159" i="18"/>
  <c r="I159" i="18"/>
  <c r="C160" i="18"/>
  <c r="E160" i="18"/>
  <c r="F160" i="18"/>
  <c r="G160" i="18"/>
  <c r="H160" i="18"/>
  <c r="I160" i="18"/>
  <c r="C161" i="18"/>
  <c r="E161" i="18"/>
  <c r="F161" i="18"/>
  <c r="G161" i="18"/>
  <c r="H161" i="18"/>
  <c r="I161" i="18"/>
  <c r="C162" i="18"/>
  <c r="E162" i="18"/>
  <c r="F162" i="18"/>
  <c r="G162" i="18"/>
  <c r="H162" i="18"/>
  <c r="I162" i="18"/>
  <c r="C163" i="18"/>
  <c r="E163" i="18"/>
  <c r="F163" i="18"/>
  <c r="G163" i="18"/>
  <c r="H163" i="18"/>
  <c r="I163" i="18"/>
  <c r="C164" i="18"/>
  <c r="E164" i="18"/>
  <c r="F164" i="18"/>
  <c r="G164" i="18"/>
  <c r="H164" i="18"/>
  <c r="I164" i="18"/>
  <c r="C165" i="18"/>
  <c r="E165" i="18"/>
  <c r="F165" i="18"/>
  <c r="G165" i="18"/>
  <c r="H165" i="18"/>
  <c r="I165" i="18"/>
  <c r="C166" i="18"/>
  <c r="E166" i="18"/>
  <c r="F166" i="18"/>
  <c r="G166" i="18"/>
  <c r="H166" i="18"/>
  <c r="I166" i="18"/>
  <c r="C167" i="18"/>
  <c r="E167" i="18"/>
  <c r="F167" i="18"/>
  <c r="G167" i="18"/>
  <c r="H167" i="18"/>
  <c r="I167" i="18"/>
  <c r="C168" i="18"/>
  <c r="E168" i="18"/>
  <c r="F168" i="18"/>
  <c r="G168" i="18"/>
  <c r="H168" i="18"/>
  <c r="I168" i="18"/>
  <c r="C169" i="18"/>
  <c r="E169" i="18"/>
  <c r="F169" i="18"/>
  <c r="G169" i="18"/>
  <c r="H169" i="18"/>
  <c r="I169" i="18"/>
  <c r="C170" i="18"/>
  <c r="E170" i="18"/>
  <c r="F170" i="18"/>
  <c r="G170" i="18"/>
  <c r="H170" i="18"/>
  <c r="I170" i="18"/>
  <c r="C171" i="18"/>
  <c r="E171" i="18"/>
  <c r="F171" i="18"/>
  <c r="G171" i="18"/>
  <c r="H171" i="18"/>
  <c r="I171" i="18"/>
  <c r="C172" i="18"/>
  <c r="E172" i="18"/>
  <c r="F172" i="18"/>
  <c r="G172" i="18"/>
  <c r="H172" i="18"/>
  <c r="I172" i="18"/>
  <c r="C173" i="18"/>
  <c r="E173" i="18"/>
  <c r="F173" i="18"/>
  <c r="G173" i="18"/>
  <c r="H173" i="18"/>
  <c r="I173" i="18"/>
  <c r="C174" i="18"/>
  <c r="E174" i="18"/>
  <c r="F174" i="18"/>
  <c r="G174" i="18"/>
  <c r="H174" i="18"/>
  <c r="I174" i="18"/>
  <c r="C175" i="18"/>
  <c r="E175" i="18"/>
  <c r="F175" i="18"/>
  <c r="G175" i="18"/>
  <c r="H175" i="18"/>
  <c r="I175" i="18"/>
  <c r="C176" i="18"/>
  <c r="E176" i="18"/>
  <c r="F176" i="18"/>
  <c r="G176" i="18"/>
  <c r="H176" i="18"/>
  <c r="I176" i="18"/>
  <c r="C177" i="18"/>
  <c r="E177" i="18"/>
  <c r="F177" i="18"/>
  <c r="G177" i="18"/>
  <c r="H177" i="18"/>
  <c r="I177" i="18"/>
  <c r="C178" i="18"/>
  <c r="E178" i="18"/>
  <c r="F178" i="18"/>
  <c r="G178" i="18"/>
  <c r="H178" i="18"/>
  <c r="I178" i="18"/>
  <c r="C179" i="18"/>
  <c r="E179" i="18"/>
  <c r="F179" i="18"/>
  <c r="G179" i="18"/>
  <c r="H179" i="18"/>
  <c r="I179" i="18"/>
  <c r="C180" i="18"/>
  <c r="E180" i="18"/>
  <c r="F180" i="18"/>
  <c r="G180" i="18"/>
  <c r="H180" i="18"/>
  <c r="I180" i="18"/>
  <c r="C181" i="18"/>
  <c r="E181" i="18"/>
  <c r="F181" i="18"/>
  <c r="G181" i="18"/>
  <c r="H181" i="18"/>
  <c r="I181" i="18"/>
  <c r="C182" i="18"/>
  <c r="E182" i="18"/>
  <c r="F182" i="18"/>
  <c r="G182" i="18"/>
  <c r="H182" i="18"/>
  <c r="I182" i="18"/>
  <c r="C183" i="18"/>
  <c r="E183" i="18"/>
  <c r="F183" i="18"/>
  <c r="G183" i="18"/>
  <c r="H183" i="18"/>
  <c r="I183" i="18"/>
  <c r="C188" i="18"/>
  <c r="E188" i="18"/>
  <c r="F188" i="18"/>
  <c r="G188" i="18"/>
  <c r="H188" i="18"/>
  <c r="I188" i="18"/>
  <c r="C189" i="18"/>
  <c r="E189" i="18"/>
  <c r="F189" i="18"/>
  <c r="G189" i="18"/>
  <c r="H189" i="18"/>
  <c r="I189" i="18"/>
  <c r="C190" i="18"/>
  <c r="E190" i="18"/>
  <c r="F190" i="18"/>
  <c r="G190" i="18"/>
  <c r="H190" i="18"/>
  <c r="I190" i="18"/>
  <c r="C191" i="18"/>
  <c r="E191" i="18"/>
  <c r="F191" i="18"/>
  <c r="G191" i="18"/>
  <c r="H191" i="18"/>
  <c r="I191" i="18"/>
  <c r="C192" i="18"/>
  <c r="E192" i="18"/>
  <c r="F192" i="18"/>
  <c r="G192" i="18"/>
  <c r="H192" i="18"/>
  <c r="I192" i="18"/>
  <c r="C193" i="18"/>
  <c r="E193" i="18"/>
  <c r="F193" i="18"/>
  <c r="G193" i="18"/>
  <c r="H193" i="18"/>
  <c r="I193" i="18"/>
  <c r="C194" i="18"/>
  <c r="E194" i="18"/>
  <c r="F194" i="18"/>
  <c r="G194" i="18"/>
  <c r="H194" i="18"/>
  <c r="I194" i="18"/>
  <c r="C195" i="18"/>
  <c r="E195" i="18"/>
  <c r="F195" i="18"/>
  <c r="G195" i="18"/>
  <c r="H195" i="18"/>
  <c r="I195" i="18"/>
  <c r="C196" i="18"/>
  <c r="E196" i="18"/>
  <c r="F196" i="18"/>
  <c r="G196" i="18"/>
  <c r="H196" i="18"/>
  <c r="I196" i="18"/>
  <c r="C197" i="18"/>
  <c r="E197" i="18"/>
  <c r="F197" i="18"/>
  <c r="G197" i="18"/>
  <c r="H197" i="18"/>
  <c r="I197" i="18"/>
  <c r="C198" i="18"/>
  <c r="E198" i="18"/>
  <c r="F198" i="18"/>
  <c r="G198" i="18"/>
  <c r="H198" i="18"/>
  <c r="I198" i="18"/>
  <c r="C199" i="18"/>
  <c r="E199" i="18"/>
  <c r="F199" i="18"/>
  <c r="G199" i="18"/>
  <c r="H199" i="18"/>
  <c r="I199" i="18"/>
  <c r="C200" i="18"/>
  <c r="E200" i="18"/>
  <c r="F200" i="18"/>
  <c r="G200" i="18"/>
  <c r="H200" i="18"/>
  <c r="I200" i="18"/>
  <c r="C201" i="18"/>
  <c r="E201" i="18"/>
  <c r="F201" i="18"/>
  <c r="G201" i="18"/>
  <c r="H201" i="18"/>
  <c r="I201" i="18"/>
  <c r="C202" i="18"/>
  <c r="E202" i="18"/>
  <c r="F202" i="18"/>
  <c r="G202" i="18"/>
  <c r="H202" i="18"/>
  <c r="I202" i="18"/>
  <c r="C203" i="18"/>
  <c r="E203" i="18"/>
  <c r="F203" i="18"/>
  <c r="G203" i="18"/>
  <c r="H203" i="18"/>
  <c r="I203" i="18"/>
  <c r="C204" i="18"/>
  <c r="E204" i="18"/>
  <c r="F204" i="18"/>
  <c r="G204" i="18"/>
  <c r="H204" i="18"/>
  <c r="I204" i="18"/>
  <c r="C205" i="18"/>
  <c r="E205" i="18"/>
  <c r="F205" i="18"/>
  <c r="G205" i="18"/>
  <c r="H205" i="18"/>
  <c r="I205" i="18"/>
  <c r="C206" i="18"/>
  <c r="E206" i="18"/>
  <c r="F206" i="18"/>
  <c r="G206" i="18"/>
  <c r="H206" i="18"/>
  <c r="I206" i="18"/>
  <c r="C207" i="18"/>
  <c r="E207" i="18"/>
  <c r="F207" i="18"/>
  <c r="G207" i="18"/>
  <c r="H207" i="18"/>
  <c r="I207" i="18"/>
  <c r="C208" i="18"/>
  <c r="E208" i="18"/>
  <c r="F208" i="18"/>
  <c r="G208" i="18"/>
  <c r="H208" i="18"/>
  <c r="I208" i="18"/>
  <c r="C209" i="18"/>
  <c r="E209" i="18"/>
  <c r="F209" i="18"/>
  <c r="G209" i="18"/>
  <c r="H209" i="18"/>
  <c r="I209" i="18"/>
  <c r="C210" i="18"/>
  <c r="E210" i="18"/>
  <c r="F210" i="18"/>
  <c r="G210" i="18"/>
  <c r="H210" i="18"/>
  <c r="I210" i="18"/>
  <c r="C211" i="18"/>
  <c r="E211" i="18"/>
  <c r="F211" i="18"/>
  <c r="G211" i="18"/>
  <c r="H211" i="18"/>
  <c r="I211" i="18"/>
  <c r="C212" i="18"/>
  <c r="E212" i="18"/>
  <c r="F212" i="18"/>
  <c r="G212" i="18"/>
  <c r="H212" i="18"/>
  <c r="I212" i="18"/>
  <c r="C213" i="18"/>
  <c r="E213" i="18"/>
  <c r="F213" i="18"/>
  <c r="G213" i="18"/>
  <c r="H213" i="18"/>
  <c r="I213" i="18"/>
  <c r="C218" i="18"/>
  <c r="E218" i="18"/>
  <c r="F218" i="18"/>
  <c r="G218" i="18"/>
  <c r="H218" i="18"/>
  <c r="I218" i="18"/>
  <c r="C219" i="18"/>
  <c r="E219" i="18"/>
  <c r="F219" i="18"/>
  <c r="G219" i="18"/>
  <c r="H219" i="18"/>
  <c r="I219" i="18"/>
  <c r="C220" i="18"/>
  <c r="E220" i="18"/>
  <c r="F220" i="18"/>
  <c r="G220" i="18"/>
  <c r="H220" i="18"/>
  <c r="I220" i="18"/>
  <c r="C221" i="18"/>
  <c r="E221" i="18"/>
  <c r="F221" i="18"/>
  <c r="G221" i="18"/>
  <c r="H221" i="18"/>
  <c r="I221" i="18"/>
  <c r="C222" i="18"/>
  <c r="E222" i="18"/>
  <c r="F222" i="18"/>
  <c r="G222" i="18"/>
  <c r="H222" i="18"/>
  <c r="I222" i="18"/>
  <c r="C223" i="18"/>
  <c r="E223" i="18"/>
  <c r="F223" i="18"/>
  <c r="G223" i="18"/>
  <c r="H223" i="18"/>
  <c r="I223" i="18"/>
  <c r="C224" i="18"/>
  <c r="E224" i="18"/>
  <c r="F224" i="18"/>
  <c r="G224" i="18"/>
  <c r="H224" i="18"/>
  <c r="I224" i="18"/>
  <c r="C225" i="18"/>
  <c r="E225" i="18"/>
  <c r="F225" i="18"/>
  <c r="G225" i="18"/>
  <c r="H225" i="18"/>
  <c r="I225" i="18"/>
  <c r="C226" i="18"/>
  <c r="E226" i="18"/>
  <c r="F226" i="18"/>
  <c r="G226" i="18"/>
  <c r="H226" i="18"/>
  <c r="I226" i="18"/>
  <c r="C227" i="18"/>
  <c r="E227" i="18"/>
  <c r="F227" i="18"/>
  <c r="G227" i="18"/>
  <c r="H227" i="18"/>
  <c r="I227" i="18"/>
  <c r="C228" i="18"/>
  <c r="E228" i="18"/>
  <c r="F228" i="18"/>
  <c r="G228" i="18"/>
  <c r="H228" i="18"/>
  <c r="I228" i="18"/>
  <c r="C229" i="18"/>
  <c r="E229" i="18"/>
  <c r="F229" i="18"/>
  <c r="G229" i="18"/>
  <c r="H229" i="18"/>
  <c r="I229" i="18"/>
  <c r="C230" i="18"/>
  <c r="E230" i="18"/>
  <c r="F230" i="18"/>
  <c r="G230" i="18"/>
  <c r="H230" i="18"/>
  <c r="I230" i="18"/>
  <c r="C231" i="18"/>
  <c r="E231" i="18"/>
  <c r="F231" i="18"/>
  <c r="G231" i="18"/>
  <c r="H231" i="18"/>
  <c r="I231" i="18"/>
  <c r="C232" i="18"/>
  <c r="E232" i="18"/>
  <c r="F232" i="18"/>
  <c r="G232" i="18"/>
  <c r="H232" i="18"/>
  <c r="I232" i="18"/>
  <c r="C233" i="18"/>
  <c r="E233" i="18"/>
  <c r="F233" i="18"/>
  <c r="G233" i="18"/>
  <c r="H233" i="18"/>
  <c r="I233" i="18"/>
  <c r="C234" i="18"/>
  <c r="E234" i="18"/>
  <c r="F234" i="18"/>
  <c r="G234" i="18"/>
  <c r="H234" i="18"/>
  <c r="I234" i="18"/>
  <c r="C235" i="18"/>
  <c r="E235" i="18"/>
  <c r="F235" i="18"/>
  <c r="G235" i="18"/>
  <c r="H235" i="18"/>
  <c r="I235" i="18"/>
  <c r="C236" i="18"/>
  <c r="E236" i="18"/>
  <c r="F236" i="18"/>
  <c r="G236" i="18"/>
  <c r="H236" i="18"/>
  <c r="I236" i="18"/>
  <c r="C237" i="18"/>
  <c r="E237" i="18"/>
  <c r="F237" i="18"/>
  <c r="G237" i="18"/>
  <c r="H237" i="18"/>
  <c r="I237" i="18"/>
  <c r="C238" i="18"/>
  <c r="E238" i="18"/>
  <c r="F238" i="18"/>
  <c r="G238" i="18"/>
  <c r="H238" i="18"/>
  <c r="I238" i="18"/>
  <c r="C239" i="18"/>
  <c r="E239" i="18"/>
  <c r="F239" i="18"/>
  <c r="G239" i="18"/>
  <c r="H239" i="18"/>
  <c r="I239" i="18"/>
  <c r="C240" i="18"/>
  <c r="E240" i="18"/>
  <c r="F240" i="18"/>
  <c r="G240" i="18"/>
  <c r="H240" i="18"/>
  <c r="I240" i="18"/>
  <c r="C241" i="18"/>
  <c r="E241" i="18"/>
  <c r="F241" i="18"/>
  <c r="G241" i="18"/>
  <c r="H241" i="18"/>
  <c r="I241" i="18"/>
  <c r="C242" i="18"/>
  <c r="E242" i="18"/>
  <c r="F242" i="18"/>
  <c r="G242" i="18"/>
  <c r="H242" i="18"/>
  <c r="I242" i="18"/>
  <c r="C243" i="18"/>
  <c r="E243" i="18"/>
  <c r="F243" i="18"/>
  <c r="G243" i="18"/>
  <c r="H243" i="18"/>
  <c r="I243" i="18"/>
  <c r="C249" i="18"/>
  <c r="E249" i="18"/>
  <c r="F249" i="18"/>
  <c r="G249" i="18"/>
  <c r="H249" i="18"/>
  <c r="I249" i="18"/>
  <c r="C250" i="18"/>
  <c r="E250" i="18"/>
  <c r="F250" i="18"/>
  <c r="G250" i="18"/>
  <c r="H250" i="18"/>
  <c r="I250" i="18"/>
  <c r="C251" i="18"/>
  <c r="E251" i="18"/>
  <c r="F251" i="18"/>
  <c r="G251" i="18"/>
  <c r="H251" i="18"/>
  <c r="I251" i="18"/>
  <c r="C252" i="18"/>
  <c r="E252" i="18"/>
  <c r="F252" i="18"/>
  <c r="G252" i="18"/>
  <c r="H252" i="18"/>
  <c r="I252" i="18"/>
  <c r="C253" i="18"/>
  <c r="E253" i="18"/>
  <c r="F253" i="18"/>
  <c r="G253" i="18"/>
  <c r="H253" i="18"/>
  <c r="I253" i="18"/>
  <c r="C254" i="18"/>
  <c r="E254" i="18"/>
  <c r="F254" i="18"/>
  <c r="G254" i="18"/>
  <c r="H254" i="18"/>
  <c r="I254" i="18"/>
  <c r="C255" i="18"/>
  <c r="E255" i="18"/>
  <c r="F255" i="18"/>
  <c r="G255" i="18"/>
  <c r="H255" i="18"/>
  <c r="I255" i="18"/>
  <c r="C256" i="18"/>
  <c r="E256" i="18"/>
  <c r="F256" i="18"/>
  <c r="G256" i="18"/>
  <c r="H256" i="18"/>
  <c r="I256" i="18"/>
  <c r="C257" i="18"/>
  <c r="E257" i="18"/>
  <c r="F257" i="18"/>
  <c r="G257" i="18"/>
  <c r="H257" i="18"/>
  <c r="I257" i="18"/>
  <c r="C258" i="18"/>
  <c r="E258" i="18"/>
  <c r="F258" i="18"/>
  <c r="G258" i="18"/>
  <c r="H258" i="18"/>
  <c r="I258" i="18"/>
  <c r="C259" i="18"/>
  <c r="E259" i="18"/>
  <c r="F259" i="18"/>
  <c r="G259" i="18"/>
  <c r="H259" i="18"/>
  <c r="I259" i="18"/>
  <c r="C260" i="18"/>
  <c r="E260" i="18"/>
  <c r="F260" i="18"/>
  <c r="G260" i="18"/>
  <c r="H260" i="18"/>
  <c r="I260" i="18"/>
  <c r="C261" i="18"/>
  <c r="E261" i="18"/>
  <c r="F261" i="18"/>
  <c r="G261" i="18"/>
  <c r="H261" i="18"/>
  <c r="I261" i="18"/>
  <c r="C262" i="18"/>
  <c r="E262" i="18"/>
  <c r="F262" i="18"/>
  <c r="G262" i="18"/>
  <c r="H262" i="18"/>
  <c r="I262" i="18"/>
  <c r="C263" i="18"/>
  <c r="E263" i="18"/>
  <c r="F263" i="18"/>
  <c r="G263" i="18"/>
  <c r="H263" i="18"/>
  <c r="I263" i="18"/>
  <c r="C264" i="18"/>
  <c r="E264" i="18"/>
  <c r="F264" i="18"/>
  <c r="G264" i="18"/>
  <c r="H264" i="18"/>
  <c r="I264" i="18"/>
  <c r="C265" i="18"/>
  <c r="E265" i="18"/>
  <c r="F265" i="18"/>
  <c r="G265" i="18"/>
  <c r="H265" i="18"/>
  <c r="I265" i="18"/>
  <c r="C266" i="18"/>
  <c r="E266" i="18"/>
  <c r="F266" i="18"/>
  <c r="G266" i="18"/>
  <c r="H266" i="18"/>
  <c r="I266" i="18"/>
  <c r="C267" i="18"/>
  <c r="E267" i="18"/>
  <c r="F267" i="18"/>
  <c r="G267" i="18"/>
  <c r="H267" i="18"/>
  <c r="I267" i="18"/>
  <c r="C268" i="18"/>
  <c r="E268" i="18"/>
  <c r="F268" i="18"/>
  <c r="G268" i="18"/>
  <c r="H268" i="18"/>
  <c r="I268" i="18"/>
  <c r="C269" i="18"/>
  <c r="E269" i="18"/>
  <c r="F269" i="18"/>
  <c r="G269" i="18"/>
  <c r="H269" i="18"/>
  <c r="I269" i="18"/>
  <c r="C270" i="18"/>
  <c r="E270" i="18"/>
  <c r="F270" i="18"/>
  <c r="G270" i="18"/>
  <c r="H270" i="18"/>
  <c r="I270" i="18"/>
  <c r="C271" i="18"/>
  <c r="E271" i="18"/>
  <c r="F271" i="18"/>
  <c r="G271" i="18"/>
  <c r="H271" i="18"/>
  <c r="I271" i="18"/>
  <c r="C272" i="18"/>
  <c r="E272" i="18"/>
  <c r="F272" i="18"/>
  <c r="G272" i="18"/>
  <c r="H272" i="18"/>
  <c r="I272" i="18"/>
  <c r="C273" i="18"/>
  <c r="E273" i="18"/>
  <c r="F273" i="18"/>
  <c r="G273" i="18"/>
  <c r="H273" i="18"/>
  <c r="I273" i="18"/>
  <c r="C274" i="18"/>
  <c r="E274" i="18"/>
  <c r="F274" i="18"/>
  <c r="G274" i="18"/>
  <c r="H274" i="18"/>
  <c r="I274" i="18"/>
  <c r="C279" i="18"/>
  <c r="E279" i="18"/>
  <c r="F279" i="18"/>
  <c r="G279" i="18"/>
  <c r="H279" i="18"/>
  <c r="I279" i="18"/>
  <c r="C280" i="18"/>
  <c r="E280" i="18"/>
  <c r="F280" i="18"/>
  <c r="G280" i="18"/>
  <c r="H280" i="18"/>
  <c r="I280" i="18"/>
  <c r="C281" i="18"/>
  <c r="E281" i="18"/>
  <c r="F281" i="18"/>
  <c r="G281" i="18"/>
  <c r="H281" i="18"/>
  <c r="I281" i="18"/>
  <c r="C282" i="18"/>
  <c r="E282" i="18"/>
  <c r="F282" i="18"/>
  <c r="G282" i="18"/>
  <c r="H282" i="18"/>
  <c r="I282" i="18"/>
  <c r="C283" i="18"/>
  <c r="E283" i="18"/>
  <c r="F283" i="18"/>
  <c r="G283" i="18"/>
  <c r="H283" i="18"/>
  <c r="I283" i="18"/>
  <c r="C284" i="18"/>
  <c r="E284" i="18"/>
  <c r="F284" i="18"/>
  <c r="G284" i="18"/>
  <c r="H284" i="18"/>
  <c r="I284" i="18"/>
  <c r="C285" i="18"/>
  <c r="E285" i="18"/>
  <c r="F285" i="18"/>
  <c r="G285" i="18"/>
  <c r="H285" i="18"/>
  <c r="I285" i="18"/>
  <c r="C286" i="18"/>
  <c r="E286" i="18"/>
  <c r="F286" i="18"/>
  <c r="G286" i="18"/>
  <c r="H286" i="18"/>
  <c r="I286" i="18"/>
  <c r="C287" i="18"/>
  <c r="E287" i="18"/>
  <c r="F287" i="18"/>
  <c r="G287" i="18"/>
  <c r="H287" i="18"/>
  <c r="I287" i="18"/>
  <c r="C288" i="18"/>
  <c r="E288" i="18"/>
  <c r="F288" i="18"/>
  <c r="G288" i="18"/>
  <c r="H288" i="18"/>
  <c r="I288" i="18"/>
  <c r="C289" i="18"/>
  <c r="E289" i="18"/>
  <c r="F289" i="18"/>
  <c r="G289" i="18"/>
  <c r="H289" i="18"/>
  <c r="I289" i="18"/>
  <c r="C290" i="18"/>
  <c r="E290" i="18"/>
  <c r="F290" i="18"/>
  <c r="G290" i="18"/>
  <c r="H290" i="18"/>
  <c r="I290" i="18"/>
  <c r="C291" i="18"/>
  <c r="E291" i="18"/>
  <c r="F291" i="18"/>
  <c r="G291" i="18"/>
  <c r="H291" i="18"/>
  <c r="I291" i="18"/>
  <c r="C292" i="18"/>
  <c r="E292" i="18"/>
  <c r="F292" i="18"/>
  <c r="G292" i="18"/>
  <c r="H292" i="18"/>
  <c r="I292" i="18"/>
  <c r="C293" i="18"/>
  <c r="E293" i="18"/>
  <c r="F293" i="18"/>
  <c r="G293" i="18"/>
  <c r="H293" i="18"/>
  <c r="I293" i="18"/>
  <c r="C294" i="18"/>
  <c r="E294" i="18"/>
  <c r="F294" i="18"/>
  <c r="G294" i="18"/>
  <c r="H294" i="18"/>
  <c r="I294" i="18"/>
  <c r="C295" i="18"/>
  <c r="E295" i="18"/>
  <c r="F295" i="18"/>
  <c r="G295" i="18"/>
  <c r="H295" i="18"/>
  <c r="I295" i="18"/>
  <c r="C296" i="18"/>
  <c r="E296" i="18"/>
  <c r="F296" i="18"/>
  <c r="G296" i="18"/>
  <c r="H296" i="18"/>
  <c r="I296" i="18"/>
  <c r="C297" i="18"/>
  <c r="E297" i="18"/>
  <c r="F297" i="18"/>
  <c r="G297" i="18"/>
  <c r="H297" i="18"/>
  <c r="I297" i="18"/>
  <c r="C298" i="18"/>
  <c r="E298" i="18"/>
  <c r="F298" i="18"/>
  <c r="G298" i="18"/>
  <c r="H298" i="18"/>
  <c r="I298" i="18"/>
  <c r="C299" i="18"/>
  <c r="E299" i="18"/>
  <c r="F299" i="18"/>
  <c r="G299" i="18"/>
  <c r="H299" i="18"/>
  <c r="I299" i="18"/>
  <c r="C300" i="18"/>
  <c r="E300" i="18"/>
  <c r="F300" i="18"/>
  <c r="G300" i="18"/>
  <c r="H300" i="18"/>
  <c r="I300" i="18"/>
  <c r="C301" i="18"/>
  <c r="E301" i="18"/>
  <c r="F301" i="18"/>
  <c r="G301" i="18"/>
  <c r="H301" i="18"/>
  <c r="I301" i="18"/>
  <c r="C302" i="18"/>
  <c r="E302" i="18"/>
  <c r="F302" i="18"/>
  <c r="G302" i="18"/>
  <c r="H302" i="18"/>
  <c r="I302" i="18"/>
  <c r="C303" i="18"/>
  <c r="E303" i="18"/>
  <c r="F303" i="18"/>
  <c r="G303" i="18"/>
  <c r="H303" i="18"/>
  <c r="I303" i="18"/>
  <c r="C304" i="18"/>
  <c r="E304" i="18"/>
  <c r="F304" i="18"/>
  <c r="G304" i="18"/>
  <c r="H304" i="18"/>
  <c r="I304" i="18"/>
  <c r="B308" i="18"/>
  <c r="C308" i="18"/>
  <c r="D308" i="18"/>
  <c r="E308" i="18"/>
  <c r="F308" i="18"/>
  <c r="G308" i="18"/>
  <c r="H308" i="18"/>
  <c r="I308" i="18"/>
  <c r="J308" i="18"/>
  <c r="B309" i="18"/>
  <c r="C309" i="18"/>
  <c r="D309" i="18"/>
  <c r="E309" i="18"/>
  <c r="F309" i="18"/>
  <c r="G309" i="18"/>
  <c r="H309" i="18"/>
  <c r="I309" i="18"/>
  <c r="J309" i="18"/>
  <c r="B310" i="18"/>
  <c r="C310" i="18"/>
  <c r="D310" i="18"/>
  <c r="E310" i="18"/>
  <c r="F310" i="18"/>
  <c r="G310" i="18"/>
  <c r="H310" i="18"/>
  <c r="I310" i="18"/>
  <c r="J310" i="18"/>
  <c r="B311" i="18"/>
  <c r="C311" i="18"/>
  <c r="D311" i="18"/>
  <c r="E311" i="18"/>
  <c r="F311" i="18"/>
  <c r="G311" i="18"/>
  <c r="H311" i="18"/>
  <c r="I311" i="18"/>
  <c r="J311" i="18"/>
  <c r="B312" i="18"/>
  <c r="C312" i="18"/>
  <c r="D312" i="18"/>
  <c r="E312" i="18"/>
  <c r="F312" i="18"/>
  <c r="G312" i="18"/>
  <c r="H312" i="18"/>
  <c r="I312" i="18"/>
  <c r="J312" i="18"/>
  <c r="B313" i="18"/>
  <c r="C313" i="18"/>
  <c r="D313" i="18"/>
  <c r="E313" i="18"/>
  <c r="F313" i="18"/>
  <c r="G313" i="18"/>
  <c r="H313" i="18"/>
  <c r="I313" i="18"/>
  <c r="J313" i="18"/>
  <c r="B314" i="18"/>
  <c r="C314" i="18"/>
  <c r="D314" i="18"/>
  <c r="E314" i="18"/>
  <c r="F314" i="18"/>
  <c r="G314" i="18"/>
  <c r="H314" i="18"/>
  <c r="I314" i="18"/>
  <c r="J314" i="18"/>
  <c r="B315" i="18"/>
  <c r="C315" i="18"/>
  <c r="D315" i="18"/>
  <c r="E315" i="18"/>
  <c r="F315" i="18"/>
  <c r="G315" i="18"/>
  <c r="H315" i="18"/>
  <c r="I315" i="18"/>
  <c r="J315" i="18"/>
  <c r="B316" i="18"/>
  <c r="C316" i="18"/>
  <c r="D316" i="18"/>
  <c r="E316" i="18"/>
  <c r="F316" i="18"/>
  <c r="G316" i="18"/>
  <c r="H316" i="18"/>
  <c r="I316" i="18"/>
  <c r="J316" i="18"/>
  <c r="B317" i="18"/>
  <c r="C317" i="18"/>
  <c r="D317" i="18"/>
  <c r="E317" i="18"/>
  <c r="F317" i="18"/>
  <c r="G317" i="18"/>
  <c r="H317" i="18"/>
  <c r="I317" i="18"/>
  <c r="J317" i="18"/>
  <c r="B318" i="18"/>
  <c r="C318" i="18"/>
  <c r="D318" i="18"/>
  <c r="E318" i="18"/>
  <c r="F318" i="18"/>
  <c r="G318" i="18"/>
  <c r="H318" i="18"/>
  <c r="I318" i="18"/>
  <c r="J318" i="18"/>
  <c r="B319" i="18"/>
  <c r="C319" i="18"/>
  <c r="D319" i="18"/>
  <c r="E319" i="18"/>
  <c r="F319" i="18"/>
  <c r="G319" i="18"/>
  <c r="H319" i="18"/>
  <c r="I319" i="18"/>
  <c r="J319" i="18"/>
  <c r="B320" i="18"/>
  <c r="C320" i="18"/>
  <c r="D320" i="18"/>
  <c r="E320" i="18"/>
  <c r="F320" i="18"/>
  <c r="G320" i="18"/>
  <c r="H320" i="18"/>
  <c r="I320" i="18"/>
  <c r="J320" i="18"/>
  <c r="B321" i="18"/>
  <c r="C321" i="18"/>
  <c r="D321" i="18"/>
  <c r="E321" i="18"/>
  <c r="F321" i="18"/>
  <c r="G321" i="18"/>
  <c r="H321" i="18"/>
  <c r="I321" i="18"/>
  <c r="J321" i="18"/>
  <c r="B322" i="18"/>
  <c r="C322" i="18"/>
  <c r="D322" i="18"/>
  <c r="E322" i="18"/>
  <c r="F322" i="18"/>
  <c r="G322" i="18"/>
  <c r="H322" i="18"/>
  <c r="I322" i="18"/>
  <c r="J322" i="18"/>
  <c r="B323" i="18"/>
  <c r="C323" i="18"/>
  <c r="D323" i="18"/>
  <c r="E323" i="18"/>
  <c r="F323" i="18"/>
  <c r="G323" i="18"/>
  <c r="H323" i="18"/>
  <c r="I323" i="18"/>
  <c r="J323" i="18"/>
  <c r="B324" i="18"/>
  <c r="C324" i="18"/>
  <c r="D324" i="18"/>
  <c r="E324" i="18"/>
  <c r="F324" i="18"/>
  <c r="G324" i="18"/>
  <c r="H324" i="18"/>
  <c r="I324" i="18"/>
  <c r="J324" i="18"/>
  <c r="B325" i="18"/>
  <c r="C325" i="18"/>
  <c r="D325" i="18"/>
  <c r="E325" i="18"/>
  <c r="F325" i="18"/>
  <c r="G325" i="18"/>
  <c r="H325" i="18"/>
  <c r="I325" i="18"/>
  <c r="J325" i="18"/>
  <c r="B326" i="18"/>
  <c r="C326" i="18"/>
  <c r="D326" i="18"/>
  <c r="E326" i="18"/>
  <c r="F326" i="18"/>
  <c r="G326" i="18"/>
  <c r="H326" i="18"/>
  <c r="I326" i="18"/>
  <c r="J326" i="18"/>
  <c r="B327" i="18"/>
  <c r="C327" i="18"/>
  <c r="D327" i="18"/>
  <c r="E327" i="18"/>
  <c r="F327" i="18"/>
  <c r="G327" i="18"/>
  <c r="H327" i="18"/>
  <c r="I327" i="18"/>
  <c r="J327" i="18"/>
  <c r="B328" i="18"/>
  <c r="C328" i="18"/>
  <c r="D328" i="18"/>
  <c r="E328" i="18"/>
  <c r="F328" i="18"/>
  <c r="G328" i="18"/>
  <c r="H328" i="18"/>
  <c r="I328" i="18"/>
  <c r="J328" i="18"/>
  <c r="B329" i="18"/>
  <c r="C329" i="18"/>
  <c r="D329" i="18"/>
  <c r="E329" i="18"/>
  <c r="F329" i="18"/>
  <c r="G329" i="18"/>
  <c r="H329" i="18"/>
  <c r="I329" i="18"/>
  <c r="J329" i="18"/>
  <c r="B330" i="18"/>
  <c r="C330" i="18"/>
  <c r="D330" i="18"/>
  <c r="E330" i="18"/>
  <c r="F330" i="18"/>
  <c r="G330" i="18"/>
  <c r="H330" i="18"/>
  <c r="I330" i="18"/>
  <c r="J330" i="18"/>
  <c r="B331" i="18"/>
  <c r="C331" i="18"/>
  <c r="D331" i="18"/>
  <c r="E331" i="18"/>
  <c r="F331" i="18"/>
  <c r="G331" i="18"/>
  <c r="H331" i="18"/>
  <c r="I331" i="18"/>
  <c r="J331" i="18"/>
  <c r="B332" i="18"/>
  <c r="C332" i="18"/>
  <c r="D332" i="18"/>
  <c r="E332" i="18"/>
  <c r="F332" i="18"/>
  <c r="G332" i="18"/>
  <c r="H332" i="18"/>
  <c r="I332" i="18"/>
  <c r="J332" i="18"/>
  <c r="B333" i="18"/>
  <c r="C333" i="18"/>
  <c r="D333" i="18"/>
  <c r="E333" i="18"/>
  <c r="F333" i="18"/>
  <c r="G333" i="18"/>
  <c r="H333" i="18"/>
  <c r="I333" i="18"/>
  <c r="J333" i="18"/>
  <c r="B140" i="16"/>
  <c r="C140" i="16"/>
  <c r="D140" i="16"/>
  <c r="E140" i="16"/>
  <c r="F140" i="16"/>
  <c r="G140" i="16"/>
  <c r="I140" i="16"/>
  <c r="J140" i="16"/>
  <c r="K140" i="16"/>
  <c r="L140" i="16"/>
  <c r="M140" i="16"/>
  <c r="N140" i="16"/>
  <c r="O140" i="16"/>
  <c r="P140" i="16"/>
  <c r="AF140" i="16"/>
  <c r="AG140" i="16"/>
  <c r="AH140" i="16"/>
  <c r="AI140" i="16"/>
  <c r="AJ140" i="16"/>
  <c r="AK140" i="16"/>
  <c r="AM140" i="16"/>
  <c r="AN140" i="16"/>
  <c r="AO140" i="16"/>
  <c r="AP140" i="16"/>
  <c r="AQ140" i="16"/>
  <c r="AR140" i="16"/>
  <c r="AS140" i="16"/>
  <c r="AT140" i="16"/>
  <c r="B141" i="16"/>
  <c r="C141" i="16"/>
  <c r="D141" i="16"/>
  <c r="E141" i="16"/>
  <c r="F141" i="16"/>
  <c r="G141" i="16"/>
  <c r="I141" i="16"/>
  <c r="J141" i="16"/>
  <c r="K141" i="16"/>
  <c r="L141" i="16"/>
  <c r="M141" i="16"/>
  <c r="N141" i="16"/>
  <c r="O141" i="16"/>
  <c r="P141" i="16"/>
  <c r="AF141" i="16"/>
  <c r="AG141" i="16"/>
  <c r="AH141" i="16"/>
  <c r="AI141" i="16"/>
  <c r="AJ141" i="16"/>
  <c r="AK141" i="16"/>
  <c r="AM141" i="16"/>
  <c r="AN141" i="16"/>
  <c r="AO141" i="16"/>
  <c r="AP141" i="16"/>
  <c r="AQ141" i="16"/>
  <c r="AR141" i="16"/>
  <c r="AS141" i="16"/>
  <c r="AT141" i="16"/>
  <c r="B142" i="16"/>
  <c r="C142" i="16"/>
  <c r="D142" i="16"/>
  <c r="E142" i="16"/>
  <c r="F142" i="16"/>
  <c r="G142" i="16"/>
  <c r="I142" i="16"/>
  <c r="J142" i="16"/>
  <c r="K142" i="16"/>
  <c r="L142" i="16"/>
  <c r="M142" i="16"/>
  <c r="N142" i="16"/>
  <c r="O142" i="16"/>
  <c r="P142" i="16"/>
  <c r="AF142" i="16"/>
  <c r="AG142" i="16"/>
  <c r="AH142" i="16"/>
  <c r="AI142" i="16"/>
  <c r="AJ142" i="16"/>
  <c r="AK142" i="16"/>
  <c r="AM142" i="16"/>
  <c r="AN142" i="16"/>
  <c r="AO142" i="16"/>
  <c r="AP142" i="16"/>
  <c r="AQ142" i="16"/>
  <c r="AR142" i="16"/>
  <c r="AS142" i="16"/>
  <c r="AT142" i="16"/>
  <c r="B143" i="16"/>
  <c r="C143" i="16"/>
  <c r="D143" i="16"/>
  <c r="E143" i="16"/>
  <c r="F143" i="16"/>
  <c r="G143" i="16"/>
  <c r="I143" i="16"/>
  <c r="J143" i="16"/>
  <c r="K143" i="16"/>
  <c r="L143" i="16"/>
  <c r="M143" i="16"/>
  <c r="N143" i="16"/>
  <c r="O143" i="16"/>
  <c r="P143" i="16"/>
  <c r="AF143" i="16"/>
  <c r="AG143" i="16"/>
  <c r="AH143" i="16"/>
  <c r="AI143" i="16"/>
  <c r="AJ143" i="16"/>
  <c r="AK143" i="16"/>
  <c r="AM143" i="16"/>
  <c r="AN143" i="16"/>
  <c r="AO143" i="16"/>
  <c r="AP143" i="16"/>
  <c r="AQ143" i="16"/>
  <c r="AR143" i="16"/>
  <c r="AS143" i="16"/>
  <c r="AT143" i="16"/>
  <c r="B144" i="16"/>
  <c r="C144" i="16"/>
  <c r="D144" i="16"/>
  <c r="E144" i="16"/>
  <c r="F144" i="16"/>
  <c r="G144" i="16"/>
  <c r="I144" i="16"/>
  <c r="J144" i="16"/>
  <c r="K144" i="16"/>
  <c r="L144" i="16"/>
  <c r="M144" i="16"/>
  <c r="N144" i="16"/>
  <c r="O144" i="16"/>
  <c r="P144" i="16"/>
  <c r="AF144" i="16"/>
  <c r="AG144" i="16"/>
  <c r="AH144" i="16"/>
  <c r="AI144" i="16"/>
  <c r="AJ144" i="16"/>
  <c r="AK144" i="16"/>
  <c r="AM144" i="16"/>
  <c r="AN144" i="16"/>
  <c r="AO144" i="16"/>
  <c r="AP144" i="16"/>
  <c r="AQ144" i="16"/>
  <c r="AR144" i="16"/>
  <c r="AS144" i="16"/>
  <c r="AT144" i="16"/>
  <c r="B145" i="16"/>
  <c r="C145" i="16"/>
  <c r="D145" i="16"/>
  <c r="E145" i="16"/>
  <c r="F145" i="16"/>
  <c r="G145" i="16"/>
  <c r="I145" i="16"/>
  <c r="J145" i="16"/>
  <c r="K145" i="16"/>
  <c r="L145" i="16"/>
  <c r="M145" i="16"/>
  <c r="N145" i="16"/>
  <c r="O145" i="16"/>
  <c r="P145" i="16"/>
  <c r="AF145" i="16"/>
  <c r="AG145" i="16"/>
  <c r="AH145" i="16"/>
  <c r="AI145" i="16"/>
  <c r="AJ145" i="16"/>
  <c r="AK145" i="16"/>
  <c r="AM145" i="16"/>
  <c r="AN145" i="16"/>
  <c r="AO145" i="16"/>
  <c r="AP145" i="16"/>
  <c r="AQ145" i="16"/>
  <c r="AR145" i="16"/>
  <c r="AS145" i="16"/>
  <c r="AT145" i="16"/>
  <c r="B147" i="16"/>
  <c r="C147" i="16"/>
  <c r="D147" i="16"/>
  <c r="E147" i="16"/>
  <c r="F147" i="16"/>
  <c r="G147" i="16"/>
  <c r="I147" i="16"/>
  <c r="J147" i="16"/>
  <c r="K147" i="16"/>
  <c r="L147" i="16"/>
  <c r="M147" i="16"/>
  <c r="N147" i="16"/>
  <c r="O147" i="16"/>
  <c r="P147" i="16"/>
  <c r="AF147" i="16"/>
  <c r="AG147" i="16"/>
  <c r="AH147" i="16"/>
  <c r="AI147" i="16"/>
  <c r="AJ147" i="16"/>
  <c r="AK147" i="16"/>
  <c r="AM147" i="16"/>
  <c r="AN147" i="16"/>
  <c r="AO147" i="16"/>
  <c r="AP147" i="16"/>
  <c r="AQ147" i="16"/>
  <c r="AR147" i="16"/>
  <c r="AS147" i="16"/>
  <c r="AT147" i="16"/>
  <c r="B148" i="16"/>
  <c r="C148" i="16"/>
  <c r="D148" i="16"/>
  <c r="E148" i="16"/>
  <c r="F148" i="16"/>
  <c r="G148" i="16"/>
  <c r="I148" i="16"/>
  <c r="J148" i="16"/>
  <c r="K148" i="16"/>
  <c r="L148" i="16"/>
  <c r="M148" i="16"/>
  <c r="N148" i="16"/>
  <c r="O148" i="16"/>
  <c r="P148" i="16"/>
  <c r="AF148" i="16"/>
  <c r="AG148" i="16"/>
  <c r="AH148" i="16"/>
  <c r="AI148" i="16"/>
  <c r="AJ148" i="16"/>
  <c r="AK148" i="16"/>
  <c r="AM148" i="16"/>
  <c r="AN148" i="16"/>
  <c r="AO148" i="16"/>
  <c r="AP148" i="16"/>
  <c r="AQ148" i="16"/>
  <c r="AR148" i="16"/>
  <c r="AS148" i="16"/>
  <c r="AT148" i="16"/>
  <c r="B149" i="16"/>
  <c r="C149" i="16"/>
  <c r="D149" i="16"/>
  <c r="E149" i="16"/>
  <c r="F149" i="16"/>
  <c r="G149" i="16"/>
  <c r="I149" i="16"/>
  <c r="J149" i="16"/>
  <c r="K149" i="16"/>
  <c r="L149" i="16"/>
  <c r="M149" i="16"/>
  <c r="N149" i="16"/>
  <c r="O149" i="16"/>
  <c r="P149" i="16"/>
  <c r="AF149" i="16"/>
  <c r="AG149" i="16"/>
  <c r="AH149" i="16"/>
  <c r="AI149" i="16"/>
  <c r="AJ149" i="16"/>
  <c r="AK149" i="16"/>
  <c r="AM149" i="16"/>
  <c r="AN149" i="16"/>
  <c r="AO149" i="16"/>
  <c r="AP149" i="16"/>
  <c r="AQ149" i="16"/>
  <c r="AR149" i="16"/>
  <c r="AS149" i="16"/>
  <c r="AT149" i="16"/>
  <c r="B150" i="16"/>
  <c r="C150" i="16"/>
  <c r="D150" i="16"/>
  <c r="E150" i="16"/>
  <c r="F150" i="16"/>
  <c r="G150" i="16"/>
  <c r="I150" i="16"/>
  <c r="J150" i="16"/>
  <c r="K150" i="16"/>
  <c r="L150" i="16"/>
  <c r="M150" i="16"/>
  <c r="N150" i="16"/>
  <c r="O150" i="16"/>
  <c r="P150" i="16"/>
  <c r="AF150" i="16"/>
  <c r="AG150" i="16"/>
  <c r="AH150" i="16"/>
  <c r="AI150" i="16"/>
  <c r="AJ150" i="16"/>
  <c r="AK150" i="16"/>
  <c r="AM150" i="16"/>
  <c r="AN150" i="16"/>
  <c r="AO150" i="16"/>
  <c r="AP150" i="16"/>
  <c r="AQ150" i="16"/>
  <c r="AR150" i="16"/>
  <c r="AS150" i="16"/>
  <c r="AT150" i="16"/>
  <c r="B151" i="16"/>
  <c r="C151" i="16"/>
  <c r="D151" i="16"/>
  <c r="E151" i="16"/>
  <c r="F151" i="16"/>
  <c r="G151" i="16"/>
  <c r="I151" i="16"/>
  <c r="J151" i="16"/>
  <c r="K151" i="16"/>
  <c r="L151" i="16"/>
  <c r="M151" i="16"/>
  <c r="N151" i="16"/>
  <c r="O151" i="16"/>
  <c r="P151" i="16"/>
  <c r="AF151" i="16"/>
  <c r="AG151" i="16"/>
  <c r="AH151" i="16"/>
  <c r="AI151" i="16"/>
  <c r="AJ151" i="16"/>
  <c r="AK151" i="16"/>
  <c r="AM151" i="16"/>
  <c r="AN151" i="16"/>
  <c r="AO151" i="16"/>
  <c r="AP151" i="16"/>
  <c r="AQ151" i="16"/>
  <c r="AR151" i="16"/>
  <c r="AS151" i="16"/>
  <c r="AT151" i="16"/>
  <c r="B152" i="16"/>
  <c r="C152" i="16"/>
  <c r="D152" i="16"/>
  <c r="E152" i="16"/>
  <c r="F152" i="16"/>
  <c r="G152" i="16"/>
  <c r="I152" i="16"/>
  <c r="J152" i="16"/>
  <c r="K152" i="16"/>
  <c r="L152" i="16"/>
  <c r="M152" i="16"/>
  <c r="N152" i="16"/>
  <c r="O152" i="16"/>
  <c r="P152" i="16"/>
  <c r="AF152" i="16"/>
  <c r="AG152" i="16"/>
  <c r="AH152" i="16"/>
  <c r="AI152" i="16"/>
  <c r="AJ152" i="16"/>
  <c r="AK152" i="16"/>
  <c r="AM152" i="16"/>
  <c r="AN152" i="16"/>
  <c r="AO152" i="16"/>
  <c r="AP152" i="16"/>
  <c r="AQ152" i="16"/>
  <c r="AR152" i="16"/>
  <c r="AS152" i="16"/>
  <c r="AT152" i="16"/>
  <c r="B153" i="16"/>
  <c r="C153" i="16"/>
  <c r="D153" i="16"/>
  <c r="E153" i="16"/>
  <c r="F153" i="16"/>
  <c r="G153" i="16"/>
  <c r="I153" i="16"/>
  <c r="J153" i="16"/>
  <c r="K153" i="16"/>
  <c r="L153" i="16"/>
  <c r="M153" i="16"/>
  <c r="N153" i="16"/>
  <c r="O153" i="16"/>
  <c r="P153" i="16"/>
  <c r="AF153" i="16"/>
  <c r="AG153" i="16"/>
  <c r="AH153" i="16"/>
  <c r="AI153" i="16"/>
  <c r="AJ153" i="16"/>
  <c r="AK153" i="16"/>
  <c r="AM153" i="16"/>
  <c r="AN153" i="16"/>
  <c r="AO153" i="16"/>
  <c r="AP153" i="16"/>
  <c r="AQ153" i="16"/>
  <c r="AR153" i="16"/>
  <c r="AS153" i="16"/>
  <c r="AT153" i="16"/>
  <c r="B154" i="16"/>
  <c r="C154" i="16"/>
  <c r="D154" i="16"/>
  <c r="E154" i="16"/>
  <c r="F154" i="16"/>
  <c r="G154" i="16"/>
  <c r="I154" i="16"/>
  <c r="J154" i="16"/>
  <c r="K154" i="16"/>
  <c r="L154" i="16"/>
  <c r="M154" i="16"/>
  <c r="N154" i="16"/>
  <c r="O154" i="16"/>
  <c r="P154" i="16"/>
  <c r="AF154" i="16"/>
  <c r="AG154" i="16"/>
  <c r="AH154" i="16"/>
  <c r="AI154" i="16"/>
  <c r="AJ154" i="16"/>
  <c r="AK154" i="16"/>
  <c r="AM154" i="16"/>
  <c r="AN154" i="16"/>
  <c r="AO154" i="16"/>
  <c r="AP154" i="16"/>
  <c r="AQ154" i="16"/>
  <c r="AR154" i="16"/>
  <c r="AS154" i="16"/>
  <c r="AT154" i="16"/>
  <c r="B155" i="16"/>
  <c r="C155" i="16"/>
  <c r="D155" i="16"/>
  <c r="E155" i="16"/>
  <c r="F155" i="16"/>
  <c r="G155" i="16"/>
  <c r="I155" i="16"/>
  <c r="J155" i="16"/>
  <c r="K155" i="16"/>
  <c r="L155" i="16"/>
  <c r="M155" i="16"/>
  <c r="N155" i="16"/>
  <c r="O155" i="16"/>
  <c r="P155" i="16"/>
  <c r="AF155" i="16"/>
  <c r="AG155" i="16"/>
  <c r="AH155" i="16"/>
  <c r="AI155" i="16"/>
  <c r="AJ155" i="16"/>
  <c r="AK155" i="16"/>
  <c r="AM155" i="16"/>
  <c r="AN155" i="16"/>
  <c r="AO155" i="16"/>
  <c r="AP155" i="16"/>
  <c r="AQ155" i="16"/>
  <c r="AR155" i="16"/>
  <c r="AS155" i="16"/>
  <c r="AT155" i="16"/>
  <c r="B156" i="16"/>
  <c r="C156" i="16"/>
  <c r="D156" i="16"/>
  <c r="E156" i="16"/>
  <c r="F156" i="16"/>
  <c r="G156" i="16"/>
  <c r="I156" i="16"/>
  <c r="J156" i="16"/>
  <c r="K156" i="16"/>
  <c r="L156" i="16"/>
  <c r="M156" i="16"/>
  <c r="N156" i="16"/>
  <c r="O156" i="16"/>
  <c r="P156" i="16"/>
  <c r="AF156" i="16"/>
  <c r="AG156" i="16"/>
  <c r="AH156" i="16"/>
  <c r="AI156" i="16"/>
  <c r="AJ156" i="16"/>
  <c r="AK156" i="16"/>
  <c r="AM156" i="16"/>
  <c r="AN156" i="16"/>
  <c r="AO156" i="16"/>
  <c r="AP156" i="16"/>
  <c r="AQ156" i="16"/>
  <c r="AR156" i="16"/>
  <c r="AS156" i="16"/>
  <c r="AT156" i="16"/>
  <c r="B157" i="16"/>
  <c r="C157" i="16"/>
  <c r="D157" i="16"/>
  <c r="E157" i="16"/>
  <c r="F157" i="16"/>
  <c r="G157" i="16"/>
  <c r="I157" i="16"/>
  <c r="J157" i="16"/>
  <c r="K157" i="16"/>
  <c r="L157" i="16"/>
  <c r="M157" i="16"/>
  <c r="N157" i="16"/>
  <c r="O157" i="16"/>
  <c r="P157" i="16"/>
  <c r="AF157" i="16"/>
  <c r="AG157" i="16"/>
  <c r="AH157" i="16"/>
  <c r="AI157" i="16"/>
  <c r="AJ157" i="16"/>
  <c r="AK157" i="16"/>
  <c r="AM157" i="16"/>
  <c r="AN157" i="16"/>
  <c r="AO157" i="16"/>
  <c r="AP157" i="16"/>
  <c r="AQ157" i="16"/>
  <c r="AR157" i="16"/>
  <c r="AS157" i="16"/>
  <c r="AT157" i="16"/>
  <c r="B158" i="16"/>
  <c r="C158" i="16"/>
  <c r="D158" i="16"/>
  <c r="E158" i="16"/>
  <c r="F158" i="16"/>
  <c r="G158" i="16"/>
  <c r="I158" i="16"/>
  <c r="J158" i="16"/>
  <c r="K158" i="16"/>
  <c r="L158" i="16"/>
  <c r="M158" i="16"/>
  <c r="N158" i="16"/>
  <c r="O158" i="16"/>
  <c r="P158" i="16"/>
  <c r="AF158" i="16"/>
  <c r="AG158" i="16"/>
  <c r="AH158" i="16"/>
  <c r="AI158" i="16"/>
  <c r="AJ158" i="16"/>
  <c r="AK158" i="16"/>
  <c r="AM158" i="16"/>
  <c r="AN158" i="16"/>
  <c r="AO158" i="16"/>
  <c r="AP158" i="16"/>
  <c r="AQ158" i="16"/>
  <c r="AR158" i="16"/>
  <c r="AS158" i="16"/>
  <c r="AT158" i="16"/>
  <c r="B159" i="16"/>
  <c r="C159" i="16"/>
  <c r="D159" i="16"/>
  <c r="E159" i="16"/>
  <c r="F159" i="16"/>
  <c r="G159" i="16"/>
  <c r="I159" i="16"/>
  <c r="J159" i="16"/>
  <c r="K159" i="16"/>
  <c r="L159" i="16"/>
  <c r="M159" i="16"/>
  <c r="N159" i="16"/>
  <c r="O159" i="16"/>
  <c r="P159" i="16"/>
  <c r="AF159" i="16"/>
  <c r="AG159" i="16"/>
  <c r="AH159" i="16"/>
  <c r="AI159" i="16"/>
  <c r="AJ159" i="16"/>
  <c r="AK159" i="16"/>
  <c r="AM159" i="16"/>
  <c r="AN159" i="16"/>
  <c r="AO159" i="16"/>
  <c r="AP159" i="16"/>
  <c r="AQ159" i="16"/>
  <c r="AR159" i="16"/>
  <c r="AS159" i="16"/>
  <c r="AT159" i="16"/>
  <c r="B161" i="16"/>
  <c r="C161" i="16"/>
  <c r="D161" i="16"/>
  <c r="E161" i="16"/>
  <c r="F161" i="16"/>
  <c r="G161" i="16"/>
  <c r="I161" i="16"/>
  <c r="J161" i="16"/>
  <c r="K161" i="16"/>
  <c r="L161" i="16"/>
  <c r="M161" i="16"/>
  <c r="N161" i="16"/>
  <c r="O161" i="16"/>
  <c r="P161" i="16"/>
  <c r="AF161" i="16"/>
  <c r="AG161" i="16"/>
  <c r="AH161" i="16"/>
  <c r="AI161" i="16"/>
  <c r="AJ161" i="16"/>
  <c r="AK161" i="16"/>
  <c r="AM161" i="16"/>
  <c r="AN161" i="16"/>
  <c r="AO161" i="16"/>
  <c r="AP161" i="16"/>
  <c r="AQ161" i="16"/>
  <c r="AR161" i="16"/>
  <c r="AS161" i="16"/>
  <c r="AT161" i="16"/>
  <c r="B162" i="16"/>
  <c r="C162" i="16"/>
  <c r="D162" i="16"/>
  <c r="E162" i="16"/>
  <c r="F162" i="16"/>
  <c r="G162" i="16"/>
  <c r="I162" i="16"/>
  <c r="J162" i="16"/>
  <c r="K162" i="16"/>
  <c r="L162" i="16"/>
  <c r="M162" i="16"/>
  <c r="N162" i="16"/>
  <c r="O162" i="16"/>
  <c r="P162" i="16"/>
  <c r="AF162" i="16"/>
  <c r="AG162" i="16"/>
  <c r="AH162" i="16"/>
  <c r="AI162" i="16"/>
  <c r="AJ162" i="16"/>
  <c r="AK162" i="16"/>
  <c r="AM162" i="16"/>
  <c r="AN162" i="16"/>
  <c r="AO162" i="16"/>
  <c r="AP162" i="16"/>
  <c r="AQ162" i="16"/>
  <c r="AR162" i="16"/>
  <c r="AS162" i="16"/>
  <c r="AT162" i="16"/>
  <c r="B163" i="16"/>
  <c r="C163" i="16"/>
  <c r="D163" i="16"/>
  <c r="E163" i="16"/>
  <c r="F163" i="16"/>
  <c r="G163" i="16"/>
  <c r="I163" i="16"/>
  <c r="J163" i="16"/>
  <c r="K163" i="16"/>
  <c r="L163" i="16"/>
  <c r="M163" i="16"/>
  <c r="N163" i="16"/>
  <c r="O163" i="16"/>
  <c r="P163" i="16"/>
  <c r="AF163" i="16"/>
  <c r="AG163" i="16"/>
  <c r="AH163" i="16"/>
  <c r="AI163" i="16"/>
  <c r="AJ163" i="16"/>
  <c r="AK163" i="16"/>
  <c r="AM163" i="16"/>
  <c r="AN163" i="16"/>
  <c r="AO163" i="16"/>
  <c r="AP163" i="16"/>
  <c r="AQ163" i="16"/>
  <c r="AR163" i="16"/>
  <c r="AS163" i="16"/>
  <c r="AT163" i="16"/>
  <c r="B164" i="16"/>
  <c r="C164" i="16"/>
  <c r="D164" i="16"/>
  <c r="E164" i="16"/>
  <c r="F164" i="16"/>
  <c r="G164" i="16"/>
  <c r="I164" i="16"/>
  <c r="J164" i="16"/>
  <c r="K164" i="16"/>
  <c r="L164" i="16"/>
  <c r="M164" i="16"/>
  <c r="N164" i="16"/>
  <c r="O164" i="16"/>
  <c r="P164" i="16"/>
  <c r="AF164" i="16"/>
  <c r="AG164" i="16"/>
  <c r="AH164" i="16"/>
  <c r="AI164" i="16"/>
  <c r="AJ164" i="16"/>
  <c r="AK164" i="16"/>
  <c r="AM164" i="16"/>
  <c r="AN164" i="16"/>
  <c r="AO164" i="16"/>
  <c r="AP164" i="16"/>
  <c r="AQ164" i="16"/>
  <c r="AR164" i="16"/>
  <c r="AS164" i="16"/>
  <c r="AT164" i="16"/>
  <c r="B165" i="16"/>
  <c r="C165" i="16"/>
  <c r="D165" i="16"/>
  <c r="E165" i="16"/>
  <c r="F165" i="16"/>
  <c r="G165" i="16"/>
  <c r="I165" i="16"/>
  <c r="J165" i="16"/>
  <c r="K165" i="16"/>
  <c r="L165" i="16"/>
  <c r="M165" i="16"/>
  <c r="N165" i="16"/>
  <c r="O165" i="16"/>
  <c r="P165" i="16"/>
  <c r="AF165" i="16"/>
  <c r="AG165" i="16"/>
  <c r="AH165" i="16"/>
  <c r="AI165" i="16"/>
  <c r="AJ165" i="16"/>
  <c r="AK165" i="16"/>
  <c r="AM165" i="16"/>
  <c r="AN165" i="16"/>
  <c r="AO165" i="16"/>
  <c r="AP165" i="16"/>
  <c r="AQ165" i="16"/>
  <c r="AR165" i="16"/>
  <c r="AS165" i="16"/>
  <c r="AT165" i="16"/>
  <c r="B166" i="16"/>
  <c r="C166" i="16"/>
  <c r="D166" i="16"/>
  <c r="E166" i="16"/>
  <c r="F166" i="16"/>
  <c r="G166" i="16"/>
  <c r="I166" i="16"/>
  <c r="J166" i="16"/>
  <c r="K166" i="16"/>
  <c r="L166" i="16"/>
  <c r="M166" i="16"/>
  <c r="N166" i="16"/>
  <c r="O166" i="16"/>
  <c r="P166" i="16"/>
  <c r="AF166" i="16"/>
  <c r="AG166" i="16"/>
  <c r="AH166" i="16"/>
  <c r="AI166" i="16"/>
  <c r="AJ166" i="16"/>
  <c r="AK166" i="16"/>
  <c r="AM166" i="16"/>
  <c r="AN166" i="16"/>
  <c r="AO166" i="16"/>
  <c r="AP166" i="16"/>
  <c r="AQ166" i="16"/>
  <c r="AR166" i="16"/>
  <c r="AS166" i="16"/>
  <c r="AT166" i="16"/>
  <c r="B167" i="16"/>
  <c r="C167" i="16"/>
  <c r="D167" i="16"/>
  <c r="E167" i="16"/>
  <c r="F167" i="16"/>
  <c r="G167" i="16"/>
  <c r="I167" i="16"/>
  <c r="J167" i="16"/>
  <c r="K167" i="16"/>
  <c r="L167" i="16"/>
  <c r="M167" i="16"/>
  <c r="N167" i="16"/>
  <c r="O167" i="16"/>
  <c r="P167" i="16"/>
  <c r="AF167" i="16"/>
  <c r="AG167" i="16"/>
  <c r="AH167" i="16"/>
  <c r="AI167" i="16"/>
  <c r="AJ167" i="16"/>
  <c r="AK167" i="16"/>
  <c r="AM167" i="16"/>
  <c r="AN167" i="16"/>
  <c r="AO167" i="16"/>
  <c r="AP167" i="16"/>
  <c r="AQ167" i="16"/>
  <c r="AR167" i="16"/>
  <c r="AS167" i="16"/>
  <c r="AT167" i="16"/>
  <c r="B168" i="16"/>
  <c r="C168" i="16"/>
  <c r="D168" i="16"/>
  <c r="E168" i="16"/>
  <c r="F168" i="16"/>
  <c r="G168" i="16"/>
  <c r="I168" i="16"/>
  <c r="J168" i="16"/>
  <c r="K168" i="16"/>
  <c r="L168" i="16"/>
  <c r="M168" i="16"/>
  <c r="N168" i="16"/>
  <c r="O168" i="16"/>
  <c r="P168" i="16"/>
  <c r="AF168" i="16"/>
  <c r="AG168" i="16"/>
  <c r="AH168" i="16"/>
  <c r="AI168" i="16"/>
  <c r="AJ168" i="16"/>
  <c r="AK168" i="16"/>
  <c r="AM168" i="16"/>
  <c r="AN168" i="16"/>
  <c r="AO168" i="16"/>
  <c r="AP168" i="16"/>
  <c r="AQ168" i="16"/>
  <c r="AR168" i="16"/>
  <c r="AS168" i="16"/>
  <c r="AT168" i="16"/>
  <c r="B194" i="16"/>
  <c r="C194" i="16"/>
  <c r="D194" i="16"/>
  <c r="E194" i="16"/>
  <c r="F194" i="16"/>
  <c r="G194" i="16"/>
  <c r="H194" i="16"/>
  <c r="I194" i="16"/>
  <c r="J194" i="16"/>
  <c r="K194" i="16"/>
  <c r="B195" i="16"/>
  <c r="C195" i="16"/>
  <c r="D195" i="16"/>
  <c r="E195" i="16"/>
  <c r="F195" i="16"/>
  <c r="G195" i="16"/>
  <c r="H195" i="16"/>
  <c r="I195" i="16"/>
  <c r="J195" i="16"/>
  <c r="K195" i="16"/>
  <c r="B196" i="16"/>
  <c r="C196" i="16"/>
  <c r="D196" i="16"/>
  <c r="E196" i="16"/>
  <c r="F196" i="16"/>
  <c r="G196" i="16"/>
  <c r="H196" i="16"/>
  <c r="I196" i="16"/>
  <c r="J196" i="16"/>
  <c r="K196" i="16"/>
  <c r="B197" i="16"/>
  <c r="C197" i="16"/>
  <c r="D197" i="16"/>
  <c r="E197" i="16"/>
  <c r="F197" i="16"/>
  <c r="G197" i="16"/>
  <c r="H197" i="16"/>
  <c r="I197" i="16"/>
  <c r="J197" i="16"/>
  <c r="K197" i="16"/>
  <c r="B198" i="16"/>
  <c r="C198" i="16"/>
  <c r="D198" i="16"/>
  <c r="E198" i="16"/>
  <c r="F198" i="16"/>
  <c r="G198" i="16"/>
  <c r="H198" i="16"/>
  <c r="I198" i="16"/>
  <c r="J198" i="16"/>
  <c r="K198" i="16"/>
  <c r="B199" i="16"/>
  <c r="C199" i="16"/>
  <c r="D199" i="16"/>
  <c r="E199" i="16"/>
  <c r="F199" i="16"/>
  <c r="G199" i="16"/>
  <c r="H199" i="16"/>
  <c r="I199" i="16"/>
  <c r="J199" i="16"/>
  <c r="K199" i="16"/>
  <c r="B201" i="16"/>
  <c r="C201" i="16"/>
  <c r="D201" i="16"/>
  <c r="E201" i="16"/>
  <c r="F201" i="16"/>
  <c r="G201" i="16"/>
  <c r="H201" i="16"/>
  <c r="I201" i="16"/>
  <c r="J201" i="16"/>
  <c r="K201" i="16"/>
  <c r="B202" i="16"/>
  <c r="C202" i="16"/>
  <c r="D202" i="16"/>
  <c r="E202" i="16"/>
  <c r="F202" i="16"/>
  <c r="G202" i="16"/>
  <c r="H202" i="16"/>
  <c r="I202" i="16"/>
  <c r="J202" i="16"/>
  <c r="K202" i="16"/>
  <c r="B203" i="16"/>
  <c r="C203" i="16"/>
  <c r="D203" i="16"/>
  <c r="E203" i="16"/>
  <c r="F203" i="16"/>
  <c r="G203" i="16"/>
  <c r="H203" i="16"/>
  <c r="I203" i="16"/>
  <c r="J203" i="16"/>
  <c r="K203" i="16"/>
  <c r="B204" i="16"/>
  <c r="C204" i="16"/>
  <c r="D204" i="16"/>
  <c r="E204" i="16"/>
  <c r="F204" i="16"/>
  <c r="G204" i="16"/>
  <c r="H204" i="16"/>
  <c r="I204" i="16"/>
  <c r="J204" i="16"/>
  <c r="K204" i="16"/>
  <c r="B205" i="16"/>
  <c r="C205" i="16"/>
  <c r="D205" i="16"/>
  <c r="E205" i="16"/>
  <c r="F205" i="16"/>
  <c r="G205" i="16"/>
  <c r="H205" i="16"/>
  <c r="I205" i="16"/>
  <c r="J205" i="16"/>
  <c r="K205" i="16"/>
  <c r="B206" i="16"/>
  <c r="C206" i="16"/>
  <c r="D206" i="16"/>
  <c r="E206" i="16"/>
  <c r="F206" i="16"/>
  <c r="G206" i="16"/>
  <c r="H206" i="16"/>
  <c r="I206" i="16"/>
  <c r="J206" i="16"/>
  <c r="K206" i="16"/>
  <c r="B207" i="16"/>
  <c r="C207" i="16"/>
  <c r="D207" i="16"/>
  <c r="E207" i="16"/>
  <c r="F207" i="16"/>
  <c r="G207" i="16"/>
  <c r="H207" i="16"/>
  <c r="I207" i="16"/>
  <c r="J207" i="16"/>
  <c r="K207" i="16"/>
  <c r="B208" i="16"/>
  <c r="C208" i="16"/>
  <c r="D208" i="16"/>
  <c r="E208" i="16"/>
  <c r="F208" i="16"/>
  <c r="G208" i="16"/>
  <c r="H208" i="16"/>
  <c r="I208" i="16"/>
  <c r="J208" i="16"/>
  <c r="K208" i="16"/>
  <c r="B209" i="16"/>
  <c r="C209" i="16"/>
  <c r="D209" i="16"/>
  <c r="E209" i="16"/>
  <c r="F209" i="16"/>
  <c r="G209" i="16"/>
  <c r="H209" i="16"/>
  <c r="I209" i="16"/>
  <c r="J209" i="16"/>
  <c r="K209" i="16"/>
  <c r="B210" i="16"/>
  <c r="C210" i="16"/>
  <c r="D210" i="16"/>
  <c r="E210" i="16"/>
  <c r="F210" i="16"/>
  <c r="G210" i="16"/>
  <c r="H210" i="16"/>
  <c r="I210" i="16"/>
  <c r="J210" i="16"/>
  <c r="K210" i="16"/>
  <c r="B211" i="16"/>
  <c r="C211" i="16"/>
  <c r="D211" i="16"/>
  <c r="E211" i="16"/>
  <c r="F211" i="16"/>
  <c r="G211" i="16"/>
  <c r="H211" i="16"/>
  <c r="I211" i="16"/>
  <c r="J211" i="16"/>
  <c r="K211" i="16"/>
  <c r="B212" i="16"/>
  <c r="C212" i="16"/>
  <c r="D212" i="16"/>
  <c r="E212" i="16"/>
  <c r="F212" i="16"/>
  <c r="G212" i="16"/>
  <c r="H212" i="16"/>
  <c r="I212" i="16"/>
  <c r="J212" i="16"/>
  <c r="K212" i="16"/>
  <c r="B213" i="16"/>
  <c r="C213" i="16"/>
  <c r="D213" i="16"/>
  <c r="E213" i="16"/>
  <c r="F213" i="16"/>
  <c r="G213" i="16"/>
  <c r="H213" i="16"/>
  <c r="I213" i="16"/>
  <c r="J213" i="16"/>
  <c r="K213" i="16"/>
  <c r="B215" i="16"/>
  <c r="C215" i="16"/>
  <c r="D215" i="16"/>
  <c r="E215" i="16"/>
  <c r="F215" i="16"/>
  <c r="G215" i="16"/>
  <c r="H215" i="16"/>
  <c r="I215" i="16"/>
  <c r="J215" i="16"/>
  <c r="K215" i="16"/>
  <c r="B216" i="16"/>
  <c r="C216" i="16"/>
  <c r="D216" i="16"/>
  <c r="E216" i="16"/>
  <c r="F216" i="16"/>
  <c r="G216" i="16"/>
  <c r="H216" i="16"/>
  <c r="I216" i="16"/>
  <c r="J216" i="16"/>
  <c r="K216" i="16"/>
  <c r="B217" i="16"/>
  <c r="C217" i="16"/>
  <c r="D217" i="16"/>
  <c r="E217" i="16"/>
  <c r="F217" i="16"/>
  <c r="G217" i="16"/>
  <c r="H217" i="16"/>
  <c r="I217" i="16"/>
  <c r="J217" i="16"/>
  <c r="K217" i="16"/>
  <c r="B218" i="16"/>
  <c r="C218" i="16"/>
  <c r="D218" i="16"/>
  <c r="E218" i="16"/>
  <c r="F218" i="16"/>
  <c r="G218" i="16"/>
  <c r="H218" i="16"/>
  <c r="I218" i="16"/>
  <c r="J218" i="16"/>
  <c r="K218" i="16"/>
  <c r="B219" i="16"/>
  <c r="C219" i="16"/>
  <c r="D219" i="16"/>
  <c r="E219" i="16"/>
  <c r="F219" i="16"/>
  <c r="G219" i="16"/>
  <c r="H219" i="16"/>
  <c r="I219" i="16"/>
  <c r="J219" i="16"/>
  <c r="K219" i="16"/>
  <c r="B220" i="16"/>
  <c r="C220" i="16"/>
  <c r="D220" i="16"/>
  <c r="E220" i="16"/>
  <c r="F220" i="16"/>
  <c r="G220" i="16"/>
  <c r="H220" i="16"/>
  <c r="I220" i="16"/>
  <c r="J220" i="16"/>
  <c r="K220" i="16"/>
  <c r="B221" i="16"/>
  <c r="C221" i="16"/>
  <c r="D221" i="16"/>
  <c r="E221" i="16"/>
  <c r="F221" i="16"/>
  <c r="G221" i="16"/>
  <c r="H221" i="16"/>
  <c r="I221" i="16"/>
  <c r="J221" i="16"/>
  <c r="K221" i="16"/>
  <c r="B222" i="16"/>
  <c r="C222" i="16"/>
  <c r="D222" i="16"/>
  <c r="E222" i="16"/>
  <c r="F222" i="16"/>
  <c r="G222" i="16"/>
  <c r="H222" i="16"/>
  <c r="I222" i="16"/>
  <c r="J222" i="16"/>
  <c r="K222" i="16"/>
  <c r="B227" i="16"/>
  <c r="C227" i="16"/>
  <c r="D227" i="16"/>
  <c r="E227" i="16"/>
  <c r="F227" i="16"/>
  <c r="G227" i="16"/>
  <c r="H227" i="16"/>
  <c r="I227" i="16"/>
  <c r="J227" i="16"/>
  <c r="K227" i="16"/>
  <c r="B228" i="16"/>
  <c r="C228" i="16"/>
  <c r="D228" i="16"/>
  <c r="E228" i="16"/>
  <c r="F228" i="16"/>
  <c r="G228" i="16"/>
  <c r="H228" i="16"/>
  <c r="I228" i="16"/>
  <c r="J228" i="16"/>
  <c r="K228" i="16"/>
  <c r="B229" i="16"/>
  <c r="C229" i="16"/>
  <c r="D229" i="16"/>
  <c r="E229" i="16"/>
  <c r="F229" i="16"/>
  <c r="G229" i="16"/>
  <c r="H229" i="16"/>
  <c r="I229" i="16"/>
  <c r="J229" i="16"/>
  <c r="K229" i="16"/>
  <c r="B230" i="16"/>
  <c r="C230" i="16"/>
  <c r="D230" i="16"/>
  <c r="E230" i="16"/>
  <c r="F230" i="16"/>
  <c r="G230" i="16"/>
  <c r="H230" i="16"/>
  <c r="I230" i="16"/>
  <c r="J230" i="16"/>
  <c r="K230" i="16"/>
  <c r="B231" i="16"/>
  <c r="C231" i="16"/>
  <c r="D231" i="16"/>
  <c r="E231" i="16"/>
  <c r="F231" i="16"/>
  <c r="G231" i="16"/>
  <c r="H231" i="16"/>
  <c r="I231" i="16"/>
  <c r="J231" i="16"/>
  <c r="K231" i="16"/>
  <c r="B232" i="16"/>
  <c r="C232" i="16"/>
  <c r="D232" i="16"/>
  <c r="E232" i="16"/>
  <c r="F232" i="16"/>
  <c r="G232" i="16"/>
  <c r="H232" i="16"/>
  <c r="I232" i="16"/>
  <c r="J232" i="16"/>
  <c r="K232" i="16"/>
  <c r="B234" i="16"/>
  <c r="C234" i="16"/>
  <c r="D234" i="16"/>
  <c r="E234" i="16"/>
  <c r="F234" i="16"/>
  <c r="G234" i="16"/>
  <c r="H234" i="16"/>
  <c r="I234" i="16"/>
  <c r="J234" i="16"/>
  <c r="K234" i="16"/>
  <c r="B235" i="16"/>
  <c r="C235" i="16"/>
  <c r="D235" i="16"/>
  <c r="E235" i="16"/>
  <c r="F235" i="16"/>
  <c r="G235" i="16"/>
  <c r="H235" i="16"/>
  <c r="I235" i="16"/>
  <c r="J235" i="16"/>
  <c r="K235" i="16"/>
  <c r="B236" i="16"/>
  <c r="C236" i="16"/>
  <c r="D236" i="16"/>
  <c r="E236" i="16"/>
  <c r="F236" i="16"/>
  <c r="G236" i="16"/>
  <c r="H236" i="16"/>
  <c r="I236" i="16"/>
  <c r="J236" i="16"/>
  <c r="K236" i="16"/>
  <c r="B237" i="16"/>
  <c r="C237" i="16"/>
  <c r="D237" i="16"/>
  <c r="E237" i="16"/>
  <c r="F237" i="16"/>
  <c r="G237" i="16"/>
  <c r="H237" i="16"/>
  <c r="I237" i="16"/>
  <c r="J237" i="16"/>
  <c r="K237" i="16"/>
  <c r="B238" i="16"/>
  <c r="C238" i="16"/>
  <c r="D238" i="16"/>
  <c r="E238" i="16"/>
  <c r="F238" i="16"/>
  <c r="G238" i="16"/>
  <c r="H238" i="16"/>
  <c r="I238" i="16"/>
  <c r="J238" i="16"/>
  <c r="K238" i="16"/>
  <c r="B239" i="16"/>
  <c r="C239" i="16"/>
  <c r="D239" i="16"/>
  <c r="E239" i="16"/>
  <c r="F239" i="16"/>
  <c r="G239" i="16"/>
  <c r="H239" i="16"/>
  <c r="I239" i="16"/>
  <c r="J239" i="16"/>
  <c r="K239" i="16"/>
  <c r="B240" i="16"/>
  <c r="C240" i="16"/>
  <c r="D240" i="16"/>
  <c r="E240" i="16"/>
  <c r="F240" i="16"/>
  <c r="G240" i="16"/>
  <c r="H240" i="16"/>
  <c r="I240" i="16"/>
  <c r="J240" i="16"/>
  <c r="K240" i="16"/>
  <c r="B241" i="16"/>
  <c r="C241" i="16"/>
  <c r="D241" i="16"/>
  <c r="E241" i="16"/>
  <c r="F241" i="16"/>
  <c r="G241" i="16"/>
  <c r="H241" i="16"/>
  <c r="I241" i="16"/>
  <c r="J241" i="16"/>
  <c r="K241" i="16"/>
  <c r="B242" i="16"/>
  <c r="C242" i="16"/>
  <c r="D242" i="16"/>
  <c r="E242" i="16"/>
  <c r="F242" i="16"/>
  <c r="G242" i="16"/>
  <c r="H242" i="16"/>
  <c r="I242" i="16"/>
  <c r="J242" i="16"/>
  <c r="K242" i="16"/>
  <c r="B243" i="16"/>
  <c r="C243" i="16"/>
  <c r="D243" i="16"/>
  <c r="E243" i="16"/>
  <c r="F243" i="16"/>
  <c r="G243" i="16"/>
  <c r="H243" i="16"/>
  <c r="I243" i="16"/>
  <c r="J243" i="16"/>
  <c r="K243" i="16"/>
  <c r="B244" i="16"/>
  <c r="C244" i="16"/>
  <c r="D244" i="16"/>
  <c r="E244" i="16"/>
  <c r="F244" i="16"/>
  <c r="G244" i="16"/>
  <c r="H244" i="16"/>
  <c r="I244" i="16"/>
  <c r="J244" i="16"/>
  <c r="K244" i="16"/>
  <c r="B245" i="16"/>
  <c r="C245" i="16"/>
  <c r="D245" i="16"/>
  <c r="E245" i="16"/>
  <c r="F245" i="16"/>
  <c r="G245" i="16"/>
  <c r="H245" i="16"/>
  <c r="I245" i="16"/>
  <c r="J245" i="16"/>
  <c r="K245" i="16"/>
  <c r="B246" i="16"/>
  <c r="C246" i="16"/>
  <c r="D246" i="16"/>
  <c r="E246" i="16"/>
  <c r="F246" i="16"/>
  <c r="G246" i="16"/>
  <c r="H246" i="16"/>
  <c r="I246" i="16"/>
  <c r="J246" i="16"/>
  <c r="K246" i="16"/>
  <c r="B248" i="16"/>
  <c r="C248" i="16"/>
  <c r="D248" i="16"/>
  <c r="E248" i="16"/>
  <c r="F248" i="16"/>
  <c r="G248" i="16"/>
  <c r="H248" i="16"/>
  <c r="I248" i="16"/>
  <c r="J248" i="16"/>
  <c r="K248" i="16"/>
  <c r="B249" i="16"/>
  <c r="C249" i="16"/>
  <c r="D249" i="16"/>
  <c r="E249" i="16"/>
  <c r="F249" i="16"/>
  <c r="G249" i="16"/>
  <c r="H249" i="16"/>
  <c r="I249" i="16"/>
  <c r="J249" i="16"/>
  <c r="K249" i="16"/>
  <c r="B250" i="16"/>
  <c r="C250" i="16"/>
  <c r="D250" i="16"/>
  <c r="E250" i="16"/>
  <c r="F250" i="16"/>
  <c r="G250" i="16"/>
  <c r="H250" i="16"/>
  <c r="I250" i="16"/>
  <c r="J250" i="16"/>
  <c r="K250" i="16"/>
  <c r="B251" i="16"/>
  <c r="C251" i="16"/>
  <c r="D251" i="16"/>
  <c r="E251" i="16"/>
  <c r="F251" i="16"/>
  <c r="G251" i="16"/>
  <c r="H251" i="16"/>
  <c r="I251" i="16"/>
  <c r="J251" i="16"/>
  <c r="K251" i="16"/>
  <c r="B252" i="16"/>
  <c r="C252" i="16"/>
  <c r="D252" i="16"/>
  <c r="E252" i="16"/>
  <c r="F252" i="16"/>
  <c r="G252" i="16"/>
  <c r="H252" i="16"/>
  <c r="I252" i="16"/>
  <c r="J252" i="16"/>
  <c r="K252" i="16"/>
  <c r="B253" i="16"/>
  <c r="C253" i="16"/>
  <c r="D253" i="16"/>
  <c r="E253" i="16"/>
  <c r="F253" i="16"/>
  <c r="G253" i="16"/>
  <c r="H253" i="16"/>
  <c r="I253" i="16"/>
  <c r="J253" i="16"/>
  <c r="K253" i="16"/>
  <c r="B254" i="16"/>
  <c r="C254" i="16"/>
  <c r="D254" i="16"/>
  <c r="E254" i="16"/>
  <c r="F254" i="16"/>
  <c r="G254" i="16"/>
  <c r="H254" i="16"/>
  <c r="I254" i="16"/>
  <c r="J254" i="16"/>
  <c r="K254" i="16"/>
  <c r="B255" i="16"/>
  <c r="C255" i="16"/>
  <c r="D255" i="16"/>
  <c r="E255" i="16"/>
  <c r="F255" i="16"/>
  <c r="G255" i="16"/>
  <c r="H255" i="16"/>
  <c r="I255" i="16"/>
  <c r="J255" i="16"/>
  <c r="K255" i="16"/>
  <c r="B174" i="14"/>
  <c r="C174" i="14"/>
  <c r="D174" i="14"/>
  <c r="E174" i="14"/>
  <c r="F174" i="14"/>
  <c r="G174" i="14"/>
  <c r="H174" i="14"/>
  <c r="I174" i="14"/>
  <c r="J174" i="14"/>
  <c r="K174" i="14"/>
  <c r="B175" i="14"/>
  <c r="C175" i="14"/>
  <c r="D175" i="14"/>
  <c r="E175" i="14"/>
  <c r="F175" i="14"/>
  <c r="G175" i="14"/>
  <c r="H175" i="14"/>
  <c r="I175" i="14"/>
  <c r="J175" i="14"/>
  <c r="K175" i="14"/>
  <c r="B176" i="14"/>
  <c r="C176" i="14"/>
  <c r="D176" i="14"/>
  <c r="E176" i="14"/>
  <c r="F176" i="14"/>
  <c r="G176" i="14"/>
  <c r="H176" i="14"/>
  <c r="I176" i="14"/>
  <c r="J176" i="14"/>
  <c r="K176" i="14"/>
  <c r="B177" i="14"/>
  <c r="C177" i="14"/>
  <c r="D177" i="14"/>
  <c r="E177" i="14"/>
  <c r="F177" i="14"/>
  <c r="G177" i="14"/>
  <c r="H177" i="14"/>
  <c r="I177" i="14"/>
  <c r="J177" i="14"/>
  <c r="K177" i="14"/>
  <c r="B178" i="14"/>
  <c r="C178" i="14"/>
  <c r="D178" i="14"/>
  <c r="E178" i="14"/>
  <c r="F178" i="14"/>
  <c r="G178" i="14"/>
  <c r="H178" i="14"/>
  <c r="I178" i="14"/>
  <c r="J178" i="14"/>
  <c r="K178" i="14"/>
  <c r="B179" i="14"/>
  <c r="C179" i="14"/>
  <c r="D179" i="14"/>
  <c r="E179" i="14"/>
  <c r="F179" i="14"/>
  <c r="G179" i="14"/>
  <c r="H179" i="14"/>
  <c r="I179" i="14"/>
  <c r="J179" i="14"/>
  <c r="K179" i="14"/>
  <c r="B181" i="14"/>
  <c r="C181" i="14"/>
  <c r="D181" i="14"/>
  <c r="E181" i="14"/>
  <c r="F181" i="14"/>
  <c r="G181" i="14"/>
  <c r="H181" i="14"/>
  <c r="I181" i="14"/>
  <c r="J181" i="14"/>
  <c r="K181" i="14"/>
  <c r="B182" i="14"/>
  <c r="C182" i="14"/>
  <c r="D182" i="14"/>
  <c r="E182" i="14"/>
  <c r="F182" i="14"/>
  <c r="G182" i="14"/>
  <c r="H182" i="14"/>
  <c r="I182" i="14"/>
  <c r="J182" i="14"/>
  <c r="K182" i="14"/>
  <c r="B183" i="14"/>
  <c r="C183" i="14"/>
  <c r="D183" i="14"/>
  <c r="E183" i="14"/>
  <c r="F183" i="14"/>
  <c r="G183" i="14"/>
  <c r="H183" i="14"/>
  <c r="I183" i="14"/>
  <c r="J183" i="14"/>
  <c r="K183" i="14"/>
  <c r="B184" i="14"/>
  <c r="C184" i="14"/>
  <c r="D184" i="14"/>
  <c r="E184" i="14"/>
  <c r="F184" i="14"/>
  <c r="G184" i="14"/>
  <c r="H184" i="14"/>
  <c r="I184" i="14"/>
  <c r="J184" i="14"/>
  <c r="K184" i="14"/>
  <c r="B185" i="14"/>
  <c r="C185" i="14"/>
  <c r="D185" i="14"/>
  <c r="E185" i="14"/>
  <c r="F185" i="14"/>
  <c r="G185" i="14"/>
  <c r="H185" i="14"/>
  <c r="I185" i="14"/>
  <c r="J185" i="14"/>
  <c r="K185" i="14"/>
  <c r="B186" i="14"/>
  <c r="C186" i="14"/>
  <c r="D186" i="14"/>
  <c r="E186" i="14"/>
  <c r="F186" i="14"/>
  <c r="G186" i="14"/>
  <c r="H186" i="14"/>
  <c r="I186" i="14"/>
  <c r="J186" i="14"/>
  <c r="K186" i="14"/>
  <c r="B187" i="14"/>
  <c r="C187" i="14"/>
  <c r="D187" i="14"/>
  <c r="E187" i="14"/>
  <c r="F187" i="14"/>
  <c r="G187" i="14"/>
  <c r="H187" i="14"/>
  <c r="I187" i="14"/>
  <c r="J187" i="14"/>
  <c r="K187" i="14"/>
  <c r="B188" i="14"/>
  <c r="C188" i="14"/>
  <c r="D188" i="14"/>
  <c r="E188" i="14"/>
  <c r="F188" i="14"/>
  <c r="G188" i="14"/>
  <c r="H188" i="14"/>
  <c r="I188" i="14"/>
  <c r="J188" i="14"/>
  <c r="K188" i="14"/>
  <c r="B189" i="14"/>
  <c r="C189" i="14"/>
  <c r="D189" i="14"/>
  <c r="E189" i="14"/>
  <c r="F189" i="14"/>
  <c r="G189" i="14"/>
  <c r="H189" i="14"/>
  <c r="I189" i="14"/>
  <c r="J189" i="14"/>
  <c r="K189" i="14"/>
  <c r="B190" i="14"/>
  <c r="C190" i="14"/>
  <c r="D190" i="14"/>
  <c r="E190" i="14"/>
  <c r="F190" i="14"/>
  <c r="G190" i="14"/>
  <c r="H190" i="14"/>
  <c r="I190" i="14"/>
  <c r="J190" i="14"/>
  <c r="K190" i="14"/>
  <c r="B191" i="14"/>
  <c r="C191" i="14"/>
  <c r="D191" i="14"/>
  <c r="E191" i="14"/>
  <c r="F191" i="14"/>
  <c r="G191" i="14"/>
  <c r="H191" i="14"/>
  <c r="I191" i="14"/>
  <c r="J191" i="14"/>
  <c r="K191" i="14"/>
  <c r="B192" i="14"/>
  <c r="C192" i="14"/>
  <c r="D192" i="14"/>
  <c r="E192" i="14"/>
  <c r="F192" i="14"/>
  <c r="G192" i="14"/>
  <c r="H192" i="14"/>
  <c r="I192" i="14"/>
  <c r="J192" i="14"/>
  <c r="K192" i="14"/>
  <c r="B193" i="14"/>
  <c r="C193" i="14"/>
  <c r="D193" i="14"/>
  <c r="E193" i="14"/>
  <c r="F193" i="14"/>
  <c r="G193" i="14"/>
  <c r="H193" i="14"/>
  <c r="I193" i="14"/>
  <c r="J193" i="14"/>
  <c r="K193" i="14"/>
  <c r="B195" i="14"/>
  <c r="C195" i="14"/>
  <c r="D195" i="14"/>
  <c r="E195" i="14"/>
  <c r="F195" i="14"/>
  <c r="G195" i="14"/>
  <c r="H195" i="14"/>
  <c r="I195" i="14"/>
  <c r="J195" i="14"/>
  <c r="K195" i="14"/>
  <c r="B196" i="14"/>
  <c r="C196" i="14"/>
  <c r="D196" i="14"/>
  <c r="E196" i="14"/>
  <c r="F196" i="14"/>
  <c r="G196" i="14"/>
  <c r="H196" i="14"/>
  <c r="I196" i="14"/>
  <c r="J196" i="14"/>
  <c r="K196" i="14"/>
  <c r="B197" i="14"/>
  <c r="C197" i="14"/>
  <c r="D197" i="14"/>
  <c r="E197" i="14"/>
  <c r="F197" i="14"/>
  <c r="G197" i="14"/>
  <c r="H197" i="14"/>
  <c r="I197" i="14"/>
  <c r="J197" i="14"/>
  <c r="K197" i="14"/>
  <c r="B198" i="14"/>
  <c r="C198" i="14"/>
  <c r="D198" i="14"/>
  <c r="E198" i="14"/>
  <c r="F198" i="14"/>
  <c r="G198" i="14"/>
  <c r="H198" i="14"/>
  <c r="I198" i="14"/>
  <c r="J198" i="14"/>
  <c r="K198" i="14"/>
  <c r="B199" i="14"/>
  <c r="C199" i="14"/>
  <c r="D199" i="14"/>
  <c r="E199" i="14"/>
  <c r="F199" i="14"/>
  <c r="G199" i="14"/>
  <c r="H199" i="14"/>
  <c r="I199" i="14"/>
  <c r="J199" i="14"/>
  <c r="K199" i="14"/>
  <c r="B200" i="14"/>
  <c r="C200" i="14"/>
  <c r="D200" i="14"/>
  <c r="E200" i="14"/>
  <c r="F200" i="14"/>
  <c r="G200" i="14"/>
  <c r="H200" i="14"/>
  <c r="I200" i="14"/>
  <c r="J200" i="14"/>
  <c r="K200" i="14"/>
  <c r="B201" i="14"/>
  <c r="C201" i="14"/>
  <c r="D201" i="14"/>
  <c r="E201" i="14"/>
  <c r="F201" i="14"/>
  <c r="G201" i="14"/>
  <c r="H201" i="14"/>
  <c r="I201" i="14"/>
  <c r="J201" i="14"/>
  <c r="K201" i="14"/>
  <c r="B202" i="14"/>
  <c r="C202" i="14"/>
  <c r="D202" i="14"/>
  <c r="E202" i="14"/>
  <c r="F202" i="14"/>
  <c r="G202" i="14"/>
  <c r="H202" i="14"/>
  <c r="I202" i="14"/>
  <c r="J202" i="14"/>
  <c r="K202" i="14"/>
  <c r="B209" i="14"/>
  <c r="C209" i="14"/>
  <c r="D209" i="14"/>
  <c r="E209" i="14"/>
  <c r="J209" i="14"/>
  <c r="K209" i="14"/>
  <c r="L209" i="14"/>
  <c r="M209" i="14"/>
  <c r="B210" i="14"/>
  <c r="C210" i="14"/>
  <c r="D210" i="14"/>
  <c r="E210" i="14"/>
  <c r="J210" i="14"/>
  <c r="K210" i="14"/>
  <c r="L210" i="14"/>
  <c r="M210" i="14"/>
  <c r="B211" i="14"/>
  <c r="C211" i="14"/>
  <c r="D211" i="14"/>
  <c r="E211" i="14"/>
  <c r="J211" i="14"/>
  <c r="K211" i="14"/>
  <c r="L211" i="14"/>
  <c r="M211" i="14"/>
  <c r="B212" i="14"/>
  <c r="C212" i="14"/>
  <c r="D212" i="14"/>
  <c r="E212" i="14"/>
  <c r="J212" i="14"/>
  <c r="K212" i="14"/>
  <c r="L212" i="14"/>
  <c r="M212" i="14"/>
  <c r="B213" i="14"/>
  <c r="C213" i="14"/>
  <c r="D213" i="14"/>
  <c r="E213" i="14"/>
  <c r="J213" i="14"/>
  <c r="K213" i="14"/>
  <c r="L213" i="14"/>
  <c r="M213" i="14"/>
  <c r="B214" i="14"/>
  <c r="C214" i="14"/>
  <c r="D214" i="14"/>
  <c r="E214" i="14"/>
  <c r="J214" i="14"/>
  <c r="K214" i="14"/>
  <c r="L214" i="14"/>
  <c r="M214" i="14"/>
  <c r="B216" i="14"/>
  <c r="C216" i="14"/>
  <c r="D216" i="14"/>
  <c r="E216" i="14"/>
  <c r="J216" i="14"/>
  <c r="K216" i="14"/>
  <c r="L216" i="14"/>
  <c r="M216" i="14"/>
  <c r="B217" i="14"/>
  <c r="C217" i="14"/>
  <c r="D217" i="14"/>
  <c r="E217" i="14"/>
  <c r="J217" i="14"/>
  <c r="K217" i="14"/>
  <c r="L217" i="14"/>
  <c r="M217" i="14"/>
  <c r="B218" i="14"/>
  <c r="C218" i="14"/>
  <c r="D218" i="14"/>
  <c r="E218" i="14"/>
  <c r="J218" i="14"/>
  <c r="K218" i="14"/>
  <c r="L218" i="14"/>
  <c r="M218" i="14"/>
  <c r="B219" i="14"/>
  <c r="C219" i="14"/>
  <c r="D219" i="14"/>
  <c r="E219" i="14"/>
  <c r="J219" i="14"/>
  <c r="K219" i="14"/>
  <c r="L219" i="14"/>
  <c r="M219" i="14"/>
  <c r="B220" i="14"/>
  <c r="C220" i="14"/>
  <c r="D220" i="14"/>
  <c r="E220" i="14"/>
  <c r="J220" i="14"/>
  <c r="K220" i="14"/>
  <c r="L220" i="14"/>
  <c r="M220" i="14"/>
  <c r="B221" i="14"/>
  <c r="C221" i="14"/>
  <c r="D221" i="14"/>
  <c r="E221" i="14"/>
  <c r="J221" i="14"/>
  <c r="K221" i="14"/>
  <c r="L221" i="14"/>
  <c r="M221" i="14"/>
  <c r="B222" i="14"/>
  <c r="C222" i="14"/>
  <c r="D222" i="14"/>
  <c r="E222" i="14"/>
  <c r="J222" i="14"/>
  <c r="K222" i="14"/>
  <c r="L222" i="14"/>
  <c r="M222" i="14"/>
  <c r="B223" i="14"/>
  <c r="C223" i="14"/>
  <c r="D223" i="14"/>
  <c r="E223" i="14"/>
  <c r="J223" i="14"/>
  <c r="K223" i="14"/>
  <c r="L223" i="14"/>
  <c r="M223" i="14"/>
  <c r="B224" i="14"/>
  <c r="C224" i="14"/>
  <c r="D224" i="14"/>
  <c r="E224" i="14"/>
  <c r="J224" i="14"/>
  <c r="K224" i="14"/>
  <c r="L224" i="14"/>
  <c r="M224" i="14"/>
  <c r="B225" i="14"/>
  <c r="C225" i="14"/>
  <c r="D225" i="14"/>
  <c r="E225" i="14"/>
  <c r="J225" i="14"/>
  <c r="K225" i="14"/>
  <c r="L225" i="14"/>
  <c r="M225" i="14"/>
  <c r="B226" i="14"/>
  <c r="C226" i="14"/>
  <c r="D226" i="14"/>
  <c r="E226" i="14"/>
  <c r="J226" i="14"/>
  <c r="K226" i="14"/>
  <c r="L226" i="14"/>
  <c r="M226" i="14"/>
  <c r="B227" i="14"/>
  <c r="C227" i="14"/>
  <c r="D227" i="14"/>
  <c r="E227" i="14"/>
  <c r="J227" i="14"/>
  <c r="K227" i="14"/>
  <c r="L227" i="14"/>
  <c r="M227" i="14"/>
  <c r="B228" i="14"/>
  <c r="C228" i="14"/>
  <c r="D228" i="14"/>
  <c r="E228" i="14"/>
  <c r="J228" i="14"/>
  <c r="K228" i="14"/>
  <c r="L228" i="14"/>
  <c r="M228" i="14"/>
  <c r="B230" i="14"/>
  <c r="C230" i="14"/>
  <c r="D230" i="14"/>
  <c r="E230" i="14"/>
  <c r="J230" i="14"/>
  <c r="K230" i="14"/>
  <c r="L230" i="14"/>
  <c r="M230" i="14"/>
  <c r="B231" i="14"/>
  <c r="C231" i="14"/>
  <c r="D231" i="14"/>
  <c r="E231" i="14"/>
  <c r="J231" i="14"/>
  <c r="K231" i="14"/>
  <c r="L231" i="14"/>
  <c r="M231" i="14"/>
  <c r="B232" i="14"/>
  <c r="C232" i="14"/>
  <c r="D232" i="14"/>
  <c r="E232" i="14"/>
  <c r="J232" i="14"/>
  <c r="K232" i="14"/>
  <c r="L232" i="14"/>
  <c r="M232" i="14"/>
  <c r="B233" i="14"/>
  <c r="C233" i="14"/>
  <c r="D233" i="14"/>
  <c r="E233" i="14"/>
  <c r="J233" i="14"/>
  <c r="K233" i="14"/>
  <c r="L233" i="14"/>
  <c r="M233" i="14"/>
  <c r="B234" i="14"/>
  <c r="C234" i="14"/>
  <c r="D234" i="14"/>
  <c r="E234" i="14"/>
  <c r="J234" i="14"/>
  <c r="K234" i="14"/>
  <c r="L234" i="14"/>
  <c r="M234" i="14"/>
  <c r="B235" i="14"/>
  <c r="C235" i="14"/>
  <c r="D235" i="14"/>
  <c r="E235" i="14"/>
  <c r="J235" i="14"/>
  <c r="K235" i="14"/>
  <c r="L235" i="14"/>
  <c r="M235" i="14"/>
  <c r="B236" i="14"/>
  <c r="C236" i="14"/>
  <c r="D236" i="14"/>
  <c r="E236" i="14"/>
  <c r="J236" i="14"/>
  <c r="K236" i="14"/>
  <c r="L236" i="14"/>
  <c r="M236" i="14"/>
  <c r="B237" i="14"/>
  <c r="C237" i="14"/>
  <c r="D237" i="14"/>
  <c r="E237" i="14"/>
  <c r="J237" i="14"/>
  <c r="K237" i="14"/>
  <c r="L237" i="14"/>
  <c r="M237" i="14"/>
  <c r="B243" i="14"/>
  <c r="C243" i="14"/>
  <c r="D243" i="14"/>
  <c r="E243" i="14"/>
  <c r="J243" i="14"/>
  <c r="K243" i="14"/>
  <c r="L243" i="14"/>
  <c r="M243" i="14"/>
  <c r="B244" i="14"/>
  <c r="C244" i="14"/>
  <c r="D244" i="14"/>
  <c r="E244" i="14"/>
  <c r="J244" i="14"/>
  <c r="K244" i="14"/>
  <c r="L244" i="14"/>
  <c r="M244" i="14"/>
  <c r="B245" i="14"/>
  <c r="C245" i="14"/>
  <c r="D245" i="14"/>
  <c r="E245" i="14"/>
  <c r="J245" i="14"/>
  <c r="K245" i="14"/>
  <c r="L245" i="14"/>
  <c r="M245" i="14"/>
  <c r="B246" i="14"/>
  <c r="C246" i="14"/>
  <c r="D246" i="14"/>
  <c r="E246" i="14"/>
  <c r="J246" i="14"/>
  <c r="K246" i="14"/>
  <c r="L246" i="14"/>
  <c r="M246" i="14"/>
  <c r="B247" i="14"/>
  <c r="C247" i="14"/>
  <c r="D247" i="14"/>
  <c r="E247" i="14"/>
  <c r="J247" i="14"/>
  <c r="K247" i="14"/>
  <c r="L247" i="14"/>
  <c r="M247" i="14"/>
  <c r="B248" i="14"/>
  <c r="C248" i="14"/>
  <c r="D248" i="14"/>
  <c r="E248" i="14"/>
  <c r="J248" i="14"/>
  <c r="K248" i="14"/>
  <c r="L248" i="14"/>
  <c r="M248" i="14"/>
  <c r="B250" i="14"/>
  <c r="C250" i="14"/>
  <c r="D250" i="14"/>
  <c r="E250" i="14"/>
  <c r="J250" i="14"/>
  <c r="K250" i="14"/>
  <c r="L250" i="14"/>
  <c r="M250" i="14"/>
  <c r="B251" i="14"/>
  <c r="C251" i="14"/>
  <c r="D251" i="14"/>
  <c r="E251" i="14"/>
  <c r="J251" i="14"/>
  <c r="K251" i="14"/>
  <c r="L251" i="14"/>
  <c r="M251" i="14"/>
  <c r="B252" i="14"/>
  <c r="C252" i="14"/>
  <c r="D252" i="14"/>
  <c r="E252" i="14"/>
  <c r="J252" i="14"/>
  <c r="K252" i="14"/>
  <c r="L252" i="14"/>
  <c r="M252" i="14"/>
  <c r="B253" i="14"/>
  <c r="C253" i="14"/>
  <c r="D253" i="14"/>
  <c r="E253" i="14"/>
  <c r="J253" i="14"/>
  <c r="K253" i="14"/>
  <c r="L253" i="14"/>
  <c r="M253" i="14"/>
  <c r="B254" i="14"/>
  <c r="C254" i="14"/>
  <c r="D254" i="14"/>
  <c r="E254" i="14"/>
  <c r="J254" i="14"/>
  <c r="K254" i="14"/>
  <c r="L254" i="14"/>
  <c r="M254" i="14"/>
  <c r="B255" i="14"/>
  <c r="C255" i="14"/>
  <c r="D255" i="14"/>
  <c r="E255" i="14"/>
  <c r="J255" i="14"/>
  <c r="K255" i="14"/>
  <c r="L255" i="14"/>
  <c r="M255" i="14"/>
  <c r="B256" i="14"/>
  <c r="C256" i="14"/>
  <c r="D256" i="14"/>
  <c r="E256" i="14"/>
  <c r="J256" i="14"/>
  <c r="K256" i="14"/>
  <c r="L256" i="14"/>
  <c r="M256" i="14"/>
  <c r="B257" i="14"/>
  <c r="C257" i="14"/>
  <c r="D257" i="14"/>
  <c r="E257" i="14"/>
  <c r="J257" i="14"/>
  <c r="K257" i="14"/>
  <c r="L257" i="14"/>
  <c r="M257" i="14"/>
  <c r="B258" i="14"/>
  <c r="C258" i="14"/>
  <c r="D258" i="14"/>
  <c r="E258" i="14"/>
  <c r="B259" i="14"/>
  <c r="C259" i="14"/>
  <c r="D259" i="14"/>
  <c r="E259" i="14"/>
  <c r="J259" i="14"/>
  <c r="K259" i="14"/>
  <c r="L259" i="14"/>
  <c r="M259" i="14"/>
  <c r="B260" i="14"/>
  <c r="C260" i="14"/>
  <c r="D260" i="14"/>
  <c r="E260" i="14"/>
  <c r="J260" i="14"/>
  <c r="K260" i="14"/>
  <c r="L260" i="14"/>
  <c r="M260" i="14"/>
  <c r="B261" i="14"/>
  <c r="C261" i="14"/>
  <c r="D261" i="14"/>
  <c r="E261" i="14"/>
  <c r="J261" i="14"/>
  <c r="K261" i="14"/>
  <c r="L261" i="14"/>
  <c r="M261" i="14"/>
  <c r="B262" i="14"/>
  <c r="C262" i="14"/>
  <c r="D262" i="14"/>
  <c r="E262" i="14"/>
  <c r="J262" i="14"/>
  <c r="K262" i="14"/>
  <c r="L262" i="14"/>
  <c r="M262" i="14"/>
  <c r="B264" i="14"/>
  <c r="C264" i="14"/>
  <c r="D264" i="14"/>
  <c r="E264" i="14"/>
  <c r="J264" i="14"/>
  <c r="K264" i="14"/>
  <c r="L264" i="14"/>
  <c r="M264" i="14"/>
  <c r="B265" i="14"/>
  <c r="C265" i="14"/>
  <c r="D265" i="14"/>
  <c r="E265" i="14"/>
  <c r="J265" i="14"/>
  <c r="K265" i="14"/>
  <c r="L265" i="14"/>
  <c r="M265" i="14"/>
  <c r="B266" i="14"/>
  <c r="C266" i="14"/>
  <c r="D266" i="14"/>
  <c r="E266" i="14"/>
  <c r="J266" i="14"/>
  <c r="K266" i="14"/>
  <c r="L266" i="14"/>
  <c r="M266" i="14"/>
  <c r="B267" i="14"/>
  <c r="C267" i="14"/>
  <c r="D267" i="14"/>
  <c r="E267" i="14"/>
  <c r="J267" i="14"/>
  <c r="K267" i="14"/>
  <c r="L267" i="14"/>
  <c r="M267" i="14"/>
  <c r="B268" i="14"/>
  <c r="C268" i="14"/>
  <c r="D268" i="14"/>
  <c r="E268" i="14"/>
  <c r="J268" i="14"/>
  <c r="K268" i="14"/>
  <c r="L268" i="14"/>
  <c r="M268" i="14"/>
  <c r="B269" i="14"/>
  <c r="C269" i="14"/>
  <c r="D269" i="14"/>
  <c r="E269" i="14"/>
  <c r="J269" i="14"/>
  <c r="K269" i="14"/>
  <c r="L269" i="14"/>
  <c r="M269" i="14"/>
  <c r="B270" i="14"/>
  <c r="C270" i="14"/>
  <c r="D270" i="14"/>
  <c r="E270" i="14"/>
  <c r="J270" i="14"/>
  <c r="K270" i="14"/>
  <c r="L270" i="14"/>
  <c r="M270" i="14"/>
  <c r="B271" i="14"/>
  <c r="C271" i="14"/>
  <c r="D271" i="14"/>
  <c r="E271" i="14"/>
  <c r="J271" i="14"/>
  <c r="K271" i="14"/>
  <c r="L271" i="14"/>
  <c r="M271" i="14"/>
  <c r="B277" i="14"/>
  <c r="C277" i="14"/>
  <c r="D277" i="14"/>
  <c r="E277" i="14"/>
  <c r="F277" i="14"/>
  <c r="G277" i="14"/>
  <c r="H277" i="14"/>
  <c r="J277" i="14"/>
  <c r="K277" i="14"/>
  <c r="L277" i="14"/>
  <c r="M277" i="14"/>
  <c r="N277" i="14"/>
  <c r="O277" i="14"/>
  <c r="P277" i="14"/>
  <c r="B278" i="14"/>
  <c r="C278" i="14"/>
  <c r="D278" i="14"/>
  <c r="E278" i="14"/>
  <c r="F278" i="14"/>
  <c r="G278" i="14"/>
  <c r="H278" i="14"/>
  <c r="J278" i="14"/>
  <c r="K278" i="14"/>
  <c r="L278" i="14"/>
  <c r="M278" i="14"/>
  <c r="N278" i="14"/>
  <c r="O278" i="14"/>
  <c r="P278" i="14"/>
  <c r="B279" i="14"/>
  <c r="C279" i="14"/>
  <c r="D279" i="14"/>
  <c r="E279" i="14"/>
  <c r="F279" i="14"/>
  <c r="G279" i="14"/>
  <c r="H279" i="14"/>
  <c r="J279" i="14"/>
  <c r="K279" i="14"/>
  <c r="L279" i="14"/>
  <c r="M279" i="14"/>
  <c r="N279" i="14"/>
  <c r="O279" i="14"/>
  <c r="P279" i="14"/>
  <c r="B280" i="14"/>
  <c r="C280" i="14"/>
  <c r="D280" i="14"/>
  <c r="E280" i="14"/>
  <c r="F280" i="14"/>
  <c r="G280" i="14"/>
  <c r="H280" i="14"/>
  <c r="J280" i="14"/>
  <c r="K280" i="14"/>
  <c r="L280" i="14"/>
  <c r="M280" i="14"/>
  <c r="N280" i="14"/>
  <c r="O280" i="14"/>
  <c r="P280" i="14"/>
  <c r="B281" i="14"/>
  <c r="C281" i="14"/>
  <c r="D281" i="14"/>
  <c r="E281" i="14"/>
  <c r="F281" i="14"/>
  <c r="G281" i="14"/>
  <c r="H281" i="14"/>
  <c r="J281" i="14"/>
  <c r="K281" i="14"/>
  <c r="L281" i="14"/>
  <c r="M281" i="14"/>
  <c r="N281" i="14"/>
  <c r="O281" i="14"/>
  <c r="P281" i="14"/>
  <c r="B282" i="14"/>
  <c r="C282" i="14"/>
  <c r="D282" i="14"/>
  <c r="E282" i="14"/>
  <c r="F282" i="14"/>
  <c r="G282" i="14"/>
  <c r="H282" i="14"/>
  <c r="J282" i="14"/>
  <c r="K282" i="14"/>
  <c r="L282" i="14"/>
  <c r="M282" i="14"/>
  <c r="N282" i="14"/>
  <c r="O282" i="14"/>
  <c r="P282" i="14"/>
  <c r="B284" i="14"/>
  <c r="C284" i="14"/>
  <c r="D284" i="14"/>
  <c r="E284" i="14"/>
  <c r="F284" i="14"/>
  <c r="G284" i="14"/>
  <c r="H284" i="14"/>
  <c r="J284" i="14"/>
  <c r="K284" i="14"/>
  <c r="L284" i="14"/>
  <c r="M284" i="14"/>
  <c r="N284" i="14"/>
  <c r="O284" i="14"/>
  <c r="P284" i="14"/>
  <c r="B285" i="14"/>
  <c r="C285" i="14"/>
  <c r="D285" i="14"/>
  <c r="E285" i="14"/>
  <c r="F285" i="14"/>
  <c r="G285" i="14"/>
  <c r="H285" i="14"/>
  <c r="J285" i="14"/>
  <c r="K285" i="14"/>
  <c r="L285" i="14"/>
  <c r="M285" i="14"/>
  <c r="N285" i="14"/>
  <c r="O285" i="14"/>
  <c r="P285" i="14"/>
  <c r="B286" i="14"/>
  <c r="C286" i="14"/>
  <c r="D286" i="14"/>
  <c r="E286" i="14"/>
  <c r="F286" i="14"/>
  <c r="G286" i="14"/>
  <c r="H286" i="14"/>
  <c r="J286" i="14"/>
  <c r="K286" i="14"/>
  <c r="L286" i="14"/>
  <c r="M286" i="14"/>
  <c r="N286" i="14"/>
  <c r="O286" i="14"/>
  <c r="P286" i="14"/>
  <c r="B287" i="14"/>
  <c r="C287" i="14"/>
  <c r="D287" i="14"/>
  <c r="E287" i="14"/>
  <c r="F287" i="14"/>
  <c r="G287" i="14"/>
  <c r="H287" i="14"/>
  <c r="J287" i="14"/>
  <c r="K287" i="14"/>
  <c r="L287" i="14"/>
  <c r="M287" i="14"/>
  <c r="N287" i="14"/>
  <c r="O287" i="14"/>
  <c r="P287" i="14"/>
  <c r="B288" i="14"/>
  <c r="C288" i="14"/>
  <c r="D288" i="14"/>
  <c r="E288" i="14"/>
  <c r="F288" i="14"/>
  <c r="G288" i="14"/>
  <c r="H288" i="14"/>
  <c r="J288" i="14"/>
  <c r="K288" i="14"/>
  <c r="L288" i="14"/>
  <c r="M288" i="14"/>
  <c r="N288" i="14"/>
  <c r="O288" i="14"/>
  <c r="P288" i="14"/>
  <c r="B289" i="14"/>
  <c r="C289" i="14"/>
  <c r="D289" i="14"/>
  <c r="E289" i="14"/>
  <c r="F289" i="14"/>
  <c r="G289" i="14"/>
  <c r="H289" i="14"/>
  <c r="J289" i="14"/>
  <c r="K289" i="14"/>
  <c r="L289" i="14"/>
  <c r="M289" i="14"/>
  <c r="N289" i="14"/>
  <c r="O289" i="14"/>
  <c r="P289" i="14"/>
  <c r="B290" i="14"/>
  <c r="C290" i="14"/>
  <c r="D290" i="14"/>
  <c r="E290" i="14"/>
  <c r="F290" i="14"/>
  <c r="G290" i="14"/>
  <c r="H290" i="14"/>
  <c r="J290" i="14"/>
  <c r="K290" i="14"/>
  <c r="L290" i="14"/>
  <c r="M290" i="14"/>
  <c r="N290" i="14"/>
  <c r="O290" i="14"/>
  <c r="P290" i="14"/>
  <c r="B291" i="14"/>
  <c r="C291" i="14"/>
  <c r="D291" i="14"/>
  <c r="E291" i="14"/>
  <c r="F291" i="14"/>
  <c r="G291" i="14"/>
  <c r="H291" i="14"/>
  <c r="J291" i="14"/>
  <c r="K291" i="14"/>
  <c r="L291" i="14"/>
  <c r="M291" i="14"/>
  <c r="N291" i="14"/>
  <c r="O291" i="14"/>
  <c r="P291" i="14"/>
  <c r="B292" i="14"/>
  <c r="C292" i="14"/>
  <c r="D292" i="14"/>
  <c r="E292" i="14"/>
  <c r="F292" i="14"/>
  <c r="G292" i="14"/>
  <c r="H292" i="14"/>
  <c r="J292" i="14"/>
  <c r="K292" i="14"/>
  <c r="L292" i="14"/>
  <c r="M292" i="14"/>
  <c r="N292" i="14"/>
  <c r="O292" i="14"/>
  <c r="P292" i="14"/>
  <c r="B293" i="14"/>
  <c r="C293" i="14"/>
  <c r="D293" i="14"/>
  <c r="E293" i="14"/>
  <c r="F293" i="14"/>
  <c r="G293" i="14"/>
  <c r="H293" i="14"/>
  <c r="J293" i="14"/>
  <c r="K293" i="14"/>
  <c r="L293" i="14"/>
  <c r="M293" i="14"/>
  <c r="N293" i="14"/>
  <c r="O293" i="14"/>
  <c r="P293" i="14"/>
  <c r="B294" i="14"/>
  <c r="C294" i="14"/>
  <c r="D294" i="14"/>
  <c r="E294" i="14"/>
  <c r="F294" i="14"/>
  <c r="G294" i="14"/>
  <c r="H294" i="14"/>
  <c r="J294" i="14"/>
  <c r="K294" i="14"/>
  <c r="L294" i="14"/>
  <c r="M294" i="14"/>
  <c r="N294" i="14"/>
  <c r="O294" i="14"/>
  <c r="P294" i="14"/>
  <c r="B295" i="14"/>
  <c r="C295" i="14"/>
  <c r="D295" i="14"/>
  <c r="E295" i="14"/>
  <c r="F295" i="14"/>
  <c r="G295" i="14"/>
  <c r="H295" i="14"/>
  <c r="J295" i="14"/>
  <c r="K295" i="14"/>
  <c r="L295" i="14"/>
  <c r="M295" i="14"/>
  <c r="N295" i="14"/>
  <c r="O295" i="14"/>
  <c r="P295" i="14"/>
  <c r="B296" i="14"/>
  <c r="C296" i="14"/>
  <c r="D296" i="14"/>
  <c r="E296" i="14"/>
  <c r="F296" i="14"/>
  <c r="G296" i="14"/>
  <c r="H296" i="14"/>
  <c r="J296" i="14"/>
  <c r="K296" i="14"/>
  <c r="L296" i="14"/>
  <c r="M296" i="14"/>
  <c r="N296" i="14"/>
  <c r="O296" i="14"/>
  <c r="P296" i="14"/>
  <c r="B298" i="14"/>
  <c r="C298" i="14"/>
  <c r="D298" i="14"/>
  <c r="E298" i="14"/>
  <c r="F298" i="14"/>
  <c r="G298" i="14"/>
  <c r="H298" i="14"/>
  <c r="J298" i="14"/>
  <c r="K298" i="14"/>
  <c r="L298" i="14"/>
  <c r="M298" i="14"/>
  <c r="N298" i="14"/>
  <c r="O298" i="14"/>
  <c r="P298" i="14"/>
  <c r="B299" i="14"/>
  <c r="C299" i="14"/>
  <c r="D299" i="14"/>
  <c r="E299" i="14"/>
  <c r="F299" i="14"/>
  <c r="G299" i="14"/>
  <c r="H299" i="14"/>
  <c r="J299" i="14"/>
  <c r="K299" i="14"/>
  <c r="L299" i="14"/>
  <c r="M299" i="14"/>
  <c r="N299" i="14"/>
  <c r="O299" i="14"/>
  <c r="P299" i="14"/>
  <c r="B300" i="14"/>
  <c r="C300" i="14"/>
  <c r="D300" i="14"/>
  <c r="E300" i="14"/>
  <c r="F300" i="14"/>
  <c r="G300" i="14"/>
  <c r="H300" i="14"/>
  <c r="J300" i="14"/>
  <c r="K300" i="14"/>
  <c r="L300" i="14"/>
  <c r="M300" i="14"/>
  <c r="N300" i="14"/>
  <c r="O300" i="14"/>
  <c r="P300" i="14"/>
  <c r="B301" i="14"/>
  <c r="C301" i="14"/>
  <c r="D301" i="14"/>
  <c r="E301" i="14"/>
  <c r="F301" i="14"/>
  <c r="G301" i="14"/>
  <c r="H301" i="14"/>
  <c r="J301" i="14"/>
  <c r="K301" i="14"/>
  <c r="L301" i="14"/>
  <c r="M301" i="14"/>
  <c r="N301" i="14"/>
  <c r="O301" i="14"/>
  <c r="P301" i="14"/>
  <c r="B302" i="14"/>
  <c r="C302" i="14"/>
  <c r="D302" i="14"/>
  <c r="E302" i="14"/>
  <c r="F302" i="14"/>
  <c r="G302" i="14"/>
  <c r="H302" i="14"/>
  <c r="J302" i="14"/>
  <c r="K302" i="14"/>
  <c r="L302" i="14"/>
  <c r="M302" i="14"/>
  <c r="N302" i="14"/>
  <c r="O302" i="14"/>
  <c r="P302" i="14"/>
  <c r="B303" i="14"/>
  <c r="C303" i="14"/>
  <c r="D303" i="14"/>
  <c r="E303" i="14"/>
  <c r="F303" i="14"/>
  <c r="G303" i="14"/>
  <c r="H303" i="14"/>
  <c r="J303" i="14"/>
  <c r="K303" i="14"/>
  <c r="L303" i="14"/>
  <c r="M303" i="14"/>
  <c r="N303" i="14"/>
  <c r="O303" i="14"/>
  <c r="P303" i="14"/>
  <c r="B304" i="14"/>
  <c r="C304" i="14"/>
  <c r="D304" i="14"/>
  <c r="E304" i="14"/>
  <c r="F304" i="14"/>
  <c r="G304" i="14"/>
  <c r="H304" i="14"/>
  <c r="J304" i="14"/>
  <c r="K304" i="14"/>
  <c r="L304" i="14"/>
  <c r="M304" i="14"/>
  <c r="N304" i="14"/>
  <c r="O304" i="14"/>
  <c r="P304" i="14"/>
  <c r="B305" i="14"/>
  <c r="C305" i="14"/>
  <c r="D305" i="14"/>
  <c r="E305" i="14"/>
  <c r="F305" i="14"/>
  <c r="G305" i="14"/>
  <c r="H305" i="14"/>
  <c r="J305" i="14"/>
  <c r="K305" i="14"/>
  <c r="L305" i="14"/>
  <c r="M305" i="14"/>
  <c r="N305" i="14"/>
  <c r="O305" i="14"/>
  <c r="P305" i="14"/>
  <c r="B311" i="14"/>
  <c r="C311" i="14"/>
  <c r="D311" i="14"/>
  <c r="E311" i="14"/>
  <c r="F311" i="14"/>
  <c r="G311" i="14"/>
  <c r="H311" i="14"/>
  <c r="J311" i="14"/>
  <c r="K311" i="14"/>
  <c r="L311" i="14"/>
  <c r="M311" i="14"/>
  <c r="N311" i="14"/>
  <c r="O311" i="14"/>
  <c r="P311" i="14"/>
  <c r="B312" i="14"/>
  <c r="C312" i="14"/>
  <c r="D312" i="14"/>
  <c r="E312" i="14"/>
  <c r="F312" i="14"/>
  <c r="G312" i="14"/>
  <c r="H312" i="14"/>
  <c r="J312" i="14"/>
  <c r="K312" i="14"/>
  <c r="L312" i="14"/>
  <c r="M312" i="14"/>
  <c r="N312" i="14"/>
  <c r="O312" i="14"/>
  <c r="P312" i="14"/>
  <c r="B313" i="14"/>
  <c r="C313" i="14"/>
  <c r="D313" i="14"/>
  <c r="E313" i="14"/>
  <c r="F313" i="14"/>
  <c r="G313" i="14"/>
  <c r="H313" i="14"/>
  <c r="J313" i="14"/>
  <c r="K313" i="14"/>
  <c r="L313" i="14"/>
  <c r="M313" i="14"/>
  <c r="N313" i="14"/>
  <c r="O313" i="14"/>
  <c r="P313" i="14"/>
  <c r="B314" i="14"/>
  <c r="C314" i="14"/>
  <c r="D314" i="14"/>
  <c r="E314" i="14"/>
  <c r="F314" i="14"/>
  <c r="G314" i="14"/>
  <c r="H314" i="14"/>
  <c r="J314" i="14"/>
  <c r="K314" i="14"/>
  <c r="L314" i="14"/>
  <c r="M314" i="14"/>
  <c r="N314" i="14"/>
  <c r="O314" i="14"/>
  <c r="P314" i="14"/>
  <c r="B315" i="14"/>
  <c r="C315" i="14"/>
  <c r="D315" i="14"/>
  <c r="E315" i="14"/>
  <c r="F315" i="14"/>
  <c r="G315" i="14"/>
  <c r="H315" i="14"/>
  <c r="J315" i="14"/>
  <c r="K315" i="14"/>
  <c r="L315" i="14"/>
  <c r="M315" i="14"/>
  <c r="N315" i="14"/>
  <c r="O315" i="14"/>
  <c r="P315" i="14"/>
  <c r="B316" i="14"/>
  <c r="C316" i="14"/>
  <c r="D316" i="14"/>
  <c r="E316" i="14"/>
  <c r="F316" i="14"/>
  <c r="G316" i="14"/>
  <c r="H316" i="14"/>
  <c r="J316" i="14"/>
  <c r="K316" i="14"/>
  <c r="L316" i="14"/>
  <c r="M316" i="14"/>
  <c r="N316" i="14"/>
  <c r="O316" i="14"/>
  <c r="P316" i="14"/>
  <c r="B318" i="14"/>
  <c r="C318" i="14"/>
  <c r="D318" i="14"/>
  <c r="E318" i="14"/>
  <c r="F318" i="14"/>
  <c r="G318" i="14"/>
  <c r="H318" i="14"/>
  <c r="J318" i="14"/>
  <c r="K318" i="14"/>
  <c r="L318" i="14"/>
  <c r="M318" i="14"/>
  <c r="N318" i="14"/>
  <c r="O318" i="14"/>
  <c r="P318" i="14"/>
  <c r="B319" i="14"/>
  <c r="C319" i="14"/>
  <c r="D319" i="14"/>
  <c r="E319" i="14"/>
  <c r="F319" i="14"/>
  <c r="G319" i="14"/>
  <c r="H319" i="14"/>
  <c r="J319" i="14"/>
  <c r="K319" i="14"/>
  <c r="L319" i="14"/>
  <c r="M319" i="14"/>
  <c r="N319" i="14"/>
  <c r="O319" i="14"/>
  <c r="P319" i="14"/>
  <c r="B320" i="14"/>
  <c r="C320" i="14"/>
  <c r="D320" i="14"/>
  <c r="E320" i="14"/>
  <c r="F320" i="14"/>
  <c r="G320" i="14"/>
  <c r="H320" i="14"/>
  <c r="J320" i="14"/>
  <c r="K320" i="14"/>
  <c r="L320" i="14"/>
  <c r="M320" i="14"/>
  <c r="N320" i="14"/>
  <c r="O320" i="14"/>
  <c r="P320" i="14"/>
  <c r="B321" i="14"/>
  <c r="C321" i="14"/>
  <c r="D321" i="14"/>
  <c r="E321" i="14"/>
  <c r="F321" i="14"/>
  <c r="G321" i="14"/>
  <c r="H321" i="14"/>
  <c r="J321" i="14"/>
  <c r="K321" i="14"/>
  <c r="L321" i="14"/>
  <c r="M321" i="14"/>
  <c r="N321" i="14"/>
  <c r="O321" i="14"/>
  <c r="P321" i="14"/>
  <c r="B322" i="14"/>
  <c r="C322" i="14"/>
  <c r="D322" i="14"/>
  <c r="E322" i="14"/>
  <c r="F322" i="14"/>
  <c r="G322" i="14"/>
  <c r="H322" i="14"/>
  <c r="J322" i="14"/>
  <c r="K322" i="14"/>
  <c r="L322" i="14"/>
  <c r="M322" i="14"/>
  <c r="N322" i="14"/>
  <c r="O322" i="14"/>
  <c r="P322" i="14"/>
  <c r="B323" i="14"/>
  <c r="C323" i="14"/>
  <c r="D323" i="14"/>
  <c r="E323" i="14"/>
  <c r="F323" i="14"/>
  <c r="G323" i="14"/>
  <c r="H323" i="14"/>
  <c r="J323" i="14"/>
  <c r="K323" i="14"/>
  <c r="L323" i="14"/>
  <c r="M323" i="14"/>
  <c r="N323" i="14"/>
  <c r="O323" i="14"/>
  <c r="P323" i="14"/>
  <c r="B324" i="14"/>
  <c r="C324" i="14"/>
  <c r="D324" i="14"/>
  <c r="E324" i="14"/>
  <c r="F324" i="14"/>
  <c r="G324" i="14"/>
  <c r="H324" i="14"/>
  <c r="J324" i="14"/>
  <c r="K324" i="14"/>
  <c r="L324" i="14"/>
  <c r="M324" i="14"/>
  <c r="N324" i="14"/>
  <c r="O324" i="14"/>
  <c r="P324" i="14"/>
  <c r="B325" i="14"/>
  <c r="C325" i="14"/>
  <c r="D325" i="14"/>
  <c r="E325" i="14"/>
  <c r="F325" i="14"/>
  <c r="G325" i="14"/>
  <c r="H325" i="14"/>
  <c r="J325" i="14"/>
  <c r="K325" i="14"/>
  <c r="L325" i="14"/>
  <c r="M325" i="14"/>
  <c r="N325" i="14"/>
  <c r="O325" i="14"/>
  <c r="P325" i="14"/>
  <c r="B326" i="14"/>
  <c r="C326" i="14"/>
  <c r="D326" i="14"/>
  <c r="E326" i="14"/>
  <c r="F326" i="14"/>
  <c r="G326" i="14"/>
  <c r="H326" i="14"/>
  <c r="J326" i="14"/>
  <c r="K326" i="14"/>
  <c r="L326" i="14"/>
  <c r="M326" i="14"/>
  <c r="N326" i="14"/>
  <c r="O326" i="14"/>
  <c r="P326" i="14"/>
  <c r="B327" i="14"/>
  <c r="C327" i="14"/>
  <c r="D327" i="14"/>
  <c r="E327" i="14"/>
  <c r="F327" i="14"/>
  <c r="G327" i="14"/>
  <c r="H327" i="14"/>
  <c r="J327" i="14"/>
  <c r="K327" i="14"/>
  <c r="L327" i="14"/>
  <c r="M327" i="14"/>
  <c r="N327" i="14"/>
  <c r="O327" i="14"/>
  <c r="P327" i="14"/>
  <c r="B328" i="14"/>
  <c r="C328" i="14"/>
  <c r="D328" i="14"/>
  <c r="E328" i="14"/>
  <c r="F328" i="14"/>
  <c r="G328" i="14"/>
  <c r="H328" i="14"/>
  <c r="J328" i="14"/>
  <c r="K328" i="14"/>
  <c r="L328" i="14"/>
  <c r="M328" i="14"/>
  <c r="N328" i="14"/>
  <c r="O328" i="14"/>
  <c r="P328" i="14"/>
  <c r="B329" i="14"/>
  <c r="C329" i="14"/>
  <c r="D329" i="14"/>
  <c r="E329" i="14"/>
  <c r="F329" i="14"/>
  <c r="G329" i="14"/>
  <c r="H329" i="14"/>
  <c r="J329" i="14"/>
  <c r="K329" i="14"/>
  <c r="L329" i="14"/>
  <c r="M329" i="14"/>
  <c r="N329" i="14"/>
  <c r="O329" i="14"/>
  <c r="P329" i="14"/>
  <c r="B330" i="14"/>
  <c r="C330" i="14"/>
  <c r="D330" i="14"/>
  <c r="E330" i="14"/>
  <c r="F330" i="14"/>
  <c r="G330" i="14"/>
  <c r="H330" i="14"/>
  <c r="J330" i="14"/>
  <c r="K330" i="14"/>
  <c r="L330" i="14"/>
  <c r="M330" i="14"/>
  <c r="N330" i="14"/>
  <c r="O330" i="14"/>
  <c r="P330" i="14"/>
  <c r="B332" i="14"/>
  <c r="C332" i="14"/>
  <c r="D332" i="14"/>
  <c r="E332" i="14"/>
  <c r="F332" i="14"/>
  <c r="G332" i="14"/>
  <c r="H332" i="14"/>
  <c r="J332" i="14"/>
  <c r="K332" i="14"/>
  <c r="L332" i="14"/>
  <c r="M332" i="14"/>
  <c r="N332" i="14"/>
  <c r="O332" i="14"/>
  <c r="P332" i="14"/>
  <c r="B333" i="14"/>
  <c r="C333" i="14"/>
  <c r="D333" i="14"/>
  <c r="E333" i="14"/>
  <c r="F333" i="14"/>
  <c r="G333" i="14"/>
  <c r="H333" i="14"/>
  <c r="J333" i="14"/>
  <c r="K333" i="14"/>
  <c r="L333" i="14"/>
  <c r="M333" i="14"/>
  <c r="N333" i="14"/>
  <c r="O333" i="14"/>
  <c r="P333" i="14"/>
  <c r="B334" i="14"/>
  <c r="C334" i="14"/>
  <c r="D334" i="14"/>
  <c r="E334" i="14"/>
  <c r="F334" i="14"/>
  <c r="G334" i="14"/>
  <c r="H334" i="14"/>
  <c r="J334" i="14"/>
  <c r="K334" i="14"/>
  <c r="L334" i="14"/>
  <c r="M334" i="14"/>
  <c r="N334" i="14"/>
  <c r="O334" i="14"/>
  <c r="P334" i="14"/>
  <c r="B335" i="14"/>
  <c r="C335" i="14"/>
  <c r="D335" i="14"/>
  <c r="E335" i="14"/>
  <c r="F335" i="14"/>
  <c r="G335" i="14"/>
  <c r="H335" i="14"/>
  <c r="J335" i="14"/>
  <c r="K335" i="14"/>
  <c r="L335" i="14"/>
  <c r="M335" i="14"/>
  <c r="N335" i="14"/>
  <c r="O335" i="14"/>
  <c r="P335" i="14"/>
  <c r="B336" i="14"/>
  <c r="C336" i="14"/>
  <c r="D336" i="14"/>
  <c r="E336" i="14"/>
  <c r="F336" i="14"/>
  <c r="G336" i="14"/>
  <c r="H336" i="14"/>
  <c r="J336" i="14"/>
  <c r="K336" i="14"/>
  <c r="L336" i="14"/>
  <c r="M336" i="14"/>
  <c r="N336" i="14"/>
  <c r="O336" i="14"/>
  <c r="P336" i="14"/>
  <c r="B337" i="14"/>
  <c r="C337" i="14"/>
  <c r="D337" i="14"/>
  <c r="E337" i="14"/>
  <c r="F337" i="14"/>
  <c r="G337" i="14"/>
  <c r="H337" i="14"/>
  <c r="J337" i="14"/>
  <c r="K337" i="14"/>
  <c r="L337" i="14"/>
  <c r="M337" i="14"/>
  <c r="N337" i="14"/>
  <c r="O337" i="14"/>
  <c r="P337" i="14"/>
  <c r="B338" i="14"/>
  <c r="C338" i="14"/>
  <c r="D338" i="14"/>
  <c r="E338" i="14"/>
  <c r="F338" i="14"/>
  <c r="G338" i="14"/>
  <c r="H338" i="14"/>
  <c r="J338" i="14"/>
  <c r="K338" i="14"/>
  <c r="L338" i="14"/>
  <c r="M338" i="14"/>
  <c r="N338" i="14"/>
  <c r="O338" i="14"/>
  <c r="P338" i="14"/>
  <c r="B339" i="14"/>
  <c r="C339" i="14"/>
  <c r="D339" i="14"/>
  <c r="E339" i="14"/>
  <c r="F339" i="14"/>
  <c r="G339" i="14"/>
  <c r="H339" i="14"/>
  <c r="J339" i="14"/>
  <c r="K339" i="14"/>
  <c r="L339" i="14"/>
  <c r="M339" i="14"/>
  <c r="N339" i="14"/>
  <c r="O339" i="14"/>
  <c r="P339" i="14"/>
  <c r="B345" i="14"/>
  <c r="C345" i="14"/>
  <c r="D345" i="14"/>
  <c r="E345" i="14"/>
  <c r="F345" i="14"/>
  <c r="G345" i="14"/>
  <c r="H345" i="14"/>
  <c r="J345" i="14"/>
  <c r="K345" i="14"/>
  <c r="L345" i="14"/>
  <c r="M345" i="14"/>
  <c r="N345" i="14"/>
  <c r="O345" i="14"/>
  <c r="P345" i="14"/>
  <c r="B346" i="14"/>
  <c r="C346" i="14"/>
  <c r="D346" i="14"/>
  <c r="E346" i="14"/>
  <c r="F346" i="14"/>
  <c r="G346" i="14"/>
  <c r="H346" i="14"/>
  <c r="J346" i="14"/>
  <c r="K346" i="14"/>
  <c r="L346" i="14"/>
  <c r="M346" i="14"/>
  <c r="N346" i="14"/>
  <c r="O346" i="14"/>
  <c r="P346" i="14"/>
  <c r="B347" i="14"/>
  <c r="C347" i="14"/>
  <c r="D347" i="14"/>
  <c r="E347" i="14"/>
  <c r="F347" i="14"/>
  <c r="G347" i="14"/>
  <c r="H347" i="14"/>
  <c r="J347" i="14"/>
  <c r="K347" i="14"/>
  <c r="L347" i="14"/>
  <c r="M347" i="14"/>
  <c r="N347" i="14"/>
  <c r="O347" i="14"/>
  <c r="P347" i="14"/>
  <c r="B348" i="14"/>
  <c r="C348" i="14"/>
  <c r="D348" i="14"/>
  <c r="E348" i="14"/>
  <c r="F348" i="14"/>
  <c r="G348" i="14"/>
  <c r="H348" i="14"/>
  <c r="J348" i="14"/>
  <c r="K348" i="14"/>
  <c r="L348" i="14"/>
  <c r="M348" i="14"/>
  <c r="N348" i="14"/>
  <c r="O348" i="14"/>
  <c r="P348" i="14"/>
  <c r="B349" i="14"/>
  <c r="C349" i="14"/>
  <c r="D349" i="14"/>
  <c r="E349" i="14"/>
  <c r="F349" i="14"/>
  <c r="G349" i="14"/>
  <c r="H349" i="14"/>
  <c r="J349" i="14"/>
  <c r="K349" i="14"/>
  <c r="L349" i="14"/>
  <c r="M349" i="14"/>
  <c r="N349" i="14"/>
  <c r="O349" i="14"/>
  <c r="P349" i="14"/>
  <c r="B350" i="14"/>
  <c r="C350" i="14"/>
  <c r="D350" i="14"/>
  <c r="E350" i="14"/>
  <c r="F350" i="14"/>
  <c r="G350" i="14"/>
  <c r="H350" i="14"/>
  <c r="J350" i="14"/>
  <c r="K350" i="14"/>
  <c r="L350" i="14"/>
  <c r="M350" i="14"/>
  <c r="N350" i="14"/>
  <c r="O350" i="14"/>
  <c r="P350" i="14"/>
  <c r="B352" i="14"/>
  <c r="C352" i="14"/>
  <c r="D352" i="14"/>
  <c r="E352" i="14"/>
  <c r="F352" i="14"/>
  <c r="G352" i="14"/>
  <c r="H352" i="14"/>
  <c r="J352" i="14"/>
  <c r="K352" i="14"/>
  <c r="L352" i="14"/>
  <c r="M352" i="14"/>
  <c r="N352" i="14"/>
  <c r="O352" i="14"/>
  <c r="P352" i="14"/>
  <c r="B353" i="14"/>
  <c r="C353" i="14"/>
  <c r="D353" i="14"/>
  <c r="E353" i="14"/>
  <c r="F353" i="14"/>
  <c r="G353" i="14"/>
  <c r="H353" i="14"/>
  <c r="J353" i="14"/>
  <c r="K353" i="14"/>
  <c r="L353" i="14"/>
  <c r="M353" i="14"/>
  <c r="N353" i="14"/>
  <c r="O353" i="14"/>
  <c r="P353" i="14"/>
  <c r="B354" i="14"/>
  <c r="C354" i="14"/>
  <c r="D354" i="14"/>
  <c r="E354" i="14"/>
  <c r="F354" i="14"/>
  <c r="G354" i="14"/>
  <c r="H354" i="14"/>
  <c r="J354" i="14"/>
  <c r="K354" i="14"/>
  <c r="L354" i="14"/>
  <c r="M354" i="14"/>
  <c r="N354" i="14"/>
  <c r="O354" i="14"/>
  <c r="P354" i="14"/>
  <c r="B355" i="14"/>
  <c r="C355" i="14"/>
  <c r="D355" i="14"/>
  <c r="E355" i="14"/>
  <c r="F355" i="14"/>
  <c r="G355" i="14"/>
  <c r="H355" i="14"/>
  <c r="J355" i="14"/>
  <c r="K355" i="14"/>
  <c r="L355" i="14"/>
  <c r="M355" i="14"/>
  <c r="N355" i="14"/>
  <c r="O355" i="14"/>
  <c r="P355" i="14"/>
  <c r="B356" i="14"/>
  <c r="C356" i="14"/>
  <c r="D356" i="14"/>
  <c r="E356" i="14"/>
  <c r="F356" i="14"/>
  <c r="G356" i="14"/>
  <c r="H356" i="14"/>
  <c r="J356" i="14"/>
  <c r="K356" i="14"/>
  <c r="L356" i="14"/>
  <c r="M356" i="14"/>
  <c r="N356" i="14"/>
  <c r="O356" i="14"/>
  <c r="P356" i="14"/>
  <c r="B357" i="14"/>
  <c r="C357" i="14"/>
  <c r="D357" i="14"/>
  <c r="E357" i="14"/>
  <c r="F357" i="14"/>
  <c r="G357" i="14"/>
  <c r="H357" i="14"/>
  <c r="J357" i="14"/>
  <c r="K357" i="14"/>
  <c r="L357" i="14"/>
  <c r="M357" i="14"/>
  <c r="N357" i="14"/>
  <c r="O357" i="14"/>
  <c r="P357" i="14"/>
  <c r="B358" i="14"/>
  <c r="C358" i="14"/>
  <c r="D358" i="14"/>
  <c r="E358" i="14"/>
  <c r="F358" i="14"/>
  <c r="G358" i="14"/>
  <c r="H358" i="14"/>
  <c r="J358" i="14"/>
  <c r="K358" i="14"/>
  <c r="L358" i="14"/>
  <c r="M358" i="14"/>
  <c r="N358" i="14"/>
  <c r="O358" i="14"/>
  <c r="P358" i="14"/>
  <c r="B359" i="14"/>
  <c r="C359" i="14"/>
  <c r="D359" i="14"/>
  <c r="E359" i="14"/>
  <c r="F359" i="14"/>
  <c r="G359" i="14"/>
  <c r="H359" i="14"/>
  <c r="J359" i="14"/>
  <c r="K359" i="14"/>
  <c r="L359" i="14"/>
  <c r="M359" i="14"/>
  <c r="N359" i="14"/>
  <c r="O359" i="14"/>
  <c r="P359" i="14"/>
  <c r="B360" i="14"/>
  <c r="C360" i="14"/>
  <c r="D360" i="14"/>
  <c r="E360" i="14"/>
  <c r="F360" i="14"/>
  <c r="G360" i="14"/>
  <c r="H360" i="14"/>
  <c r="J360" i="14"/>
  <c r="K360" i="14"/>
  <c r="L360" i="14"/>
  <c r="M360" i="14"/>
  <c r="N360" i="14"/>
  <c r="O360" i="14"/>
  <c r="P360" i="14"/>
  <c r="B361" i="14"/>
  <c r="C361" i="14"/>
  <c r="D361" i="14"/>
  <c r="E361" i="14"/>
  <c r="F361" i="14"/>
  <c r="G361" i="14"/>
  <c r="H361" i="14"/>
  <c r="J361" i="14"/>
  <c r="K361" i="14"/>
  <c r="L361" i="14"/>
  <c r="M361" i="14"/>
  <c r="N361" i="14"/>
  <c r="O361" i="14"/>
  <c r="P361" i="14"/>
  <c r="B362" i="14"/>
  <c r="C362" i="14"/>
  <c r="D362" i="14"/>
  <c r="E362" i="14"/>
  <c r="F362" i="14"/>
  <c r="G362" i="14"/>
  <c r="H362" i="14"/>
  <c r="J362" i="14"/>
  <c r="K362" i="14"/>
  <c r="L362" i="14"/>
  <c r="M362" i="14"/>
  <c r="N362" i="14"/>
  <c r="O362" i="14"/>
  <c r="P362" i="14"/>
  <c r="B363" i="14"/>
  <c r="C363" i="14"/>
  <c r="D363" i="14"/>
  <c r="E363" i="14"/>
  <c r="F363" i="14"/>
  <c r="G363" i="14"/>
  <c r="H363" i="14"/>
  <c r="J363" i="14"/>
  <c r="K363" i="14"/>
  <c r="L363" i="14"/>
  <c r="M363" i="14"/>
  <c r="N363" i="14"/>
  <c r="O363" i="14"/>
  <c r="P363" i="14"/>
  <c r="B364" i="14"/>
  <c r="C364" i="14"/>
  <c r="D364" i="14"/>
  <c r="E364" i="14"/>
  <c r="F364" i="14"/>
  <c r="G364" i="14"/>
  <c r="H364" i="14"/>
  <c r="J364" i="14"/>
  <c r="K364" i="14"/>
  <c r="L364" i="14"/>
  <c r="M364" i="14"/>
  <c r="N364" i="14"/>
  <c r="O364" i="14"/>
  <c r="P364" i="14"/>
  <c r="B366" i="14"/>
  <c r="C366" i="14"/>
  <c r="D366" i="14"/>
  <c r="E366" i="14"/>
  <c r="F366" i="14"/>
  <c r="G366" i="14"/>
  <c r="H366" i="14"/>
  <c r="J366" i="14"/>
  <c r="K366" i="14"/>
  <c r="L366" i="14"/>
  <c r="M366" i="14"/>
  <c r="N366" i="14"/>
  <c r="O366" i="14"/>
  <c r="P366" i="14"/>
  <c r="B367" i="14"/>
  <c r="C367" i="14"/>
  <c r="D367" i="14"/>
  <c r="E367" i="14"/>
  <c r="F367" i="14"/>
  <c r="G367" i="14"/>
  <c r="H367" i="14"/>
  <c r="J367" i="14"/>
  <c r="K367" i="14"/>
  <c r="L367" i="14"/>
  <c r="M367" i="14"/>
  <c r="N367" i="14"/>
  <c r="O367" i="14"/>
  <c r="P367" i="14"/>
  <c r="B368" i="14"/>
  <c r="C368" i="14"/>
  <c r="D368" i="14"/>
  <c r="E368" i="14"/>
  <c r="F368" i="14"/>
  <c r="G368" i="14"/>
  <c r="H368" i="14"/>
  <c r="J368" i="14"/>
  <c r="K368" i="14"/>
  <c r="L368" i="14"/>
  <c r="M368" i="14"/>
  <c r="N368" i="14"/>
  <c r="O368" i="14"/>
  <c r="P368" i="14"/>
  <c r="B369" i="14"/>
  <c r="C369" i="14"/>
  <c r="D369" i="14"/>
  <c r="E369" i="14"/>
  <c r="F369" i="14"/>
  <c r="G369" i="14"/>
  <c r="H369" i="14"/>
  <c r="J369" i="14"/>
  <c r="K369" i="14"/>
  <c r="L369" i="14"/>
  <c r="M369" i="14"/>
  <c r="N369" i="14"/>
  <c r="O369" i="14"/>
  <c r="P369" i="14"/>
  <c r="B370" i="14"/>
  <c r="C370" i="14"/>
  <c r="D370" i="14"/>
  <c r="E370" i="14"/>
  <c r="F370" i="14"/>
  <c r="G370" i="14"/>
  <c r="H370" i="14"/>
  <c r="J370" i="14"/>
  <c r="K370" i="14"/>
  <c r="L370" i="14"/>
  <c r="M370" i="14"/>
  <c r="N370" i="14"/>
  <c r="O370" i="14"/>
  <c r="P370" i="14"/>
  <c r="B371" i="14"/>
  <c r="C371" i="14"/>
  <c r="D371" i="14"/>
  <c r="E371" i="14"/>
  <c r="F371" i="14"/>
  <c r="G371" i="14"/>
  <c r="H371" i="14"/>
  <c r="J371" i="14"/>
  <c r="K371" i="14"/>
  <c r="L371" i="14"/>
  <c r="M371" i="14"/>
  <c r="N371" i="14"/>
  <c r="O371" i="14"/>
  <c r="P371" i="14"/>
  <c r="B372" i="14"/>
  <c r="C372" i="14"/>
  <c r="D372" i="14"/>
  <c r="E372" i="14"/>
  <c r="F372" i="14"/>
  <c r="G372" i="14"/>
  <c r="H372" i="14"/>
  <c r="J372" i="14"/>
  <c r="K372" i="14"/>
  <c r="L372" i="14"/>
  <c r="M372" i="14"/>
  <c r="N372" i="14"/>
  <c r="O372" i="14"/>
  <c r="P372" i="14"/>
  <c r="B373" i="14"/>
  <c r="C373" i="14"/>
  <c r="D373" i="14"/>
  <c r="E373" i="14"/>
  <c r="F373" i="14"/>
  <c r="G373" i="14"/>
  <c r="H373" i="14"/>
  <c r="J373" i="14"/>
  <c r="K373" i="14"/>
  <c r="L373" i="14"/>
  <c r="M373" i="14"/>
  <c r="N373" i="14"/>
  <c r="O373" i="14"/>
  <c r="P373" i="14"/>
  <c r="B379" i="14"/>
  <c r="C379" i="14"/>
  <c r="D379" i="14"/>
  <c r="E379" i="14"/>
  <c r="F379" i="14"/>
  <c r="G379" i="14"/>
  <c r="H379" i="14"/>
  <c r="J379" i="14"/>
  <c r="K379" i="14"/>
  <c r="L379" i="14"/>
  <c r="M379" i="14"/>
  <c r="N379" i="14"/>
  <c r="O379" i="14"/>
  <c r="P379" i="14"/>
  <c r="B380" i="14"/>
  <c r="C380" i="14"/>
  <c r="D380" i="14"/>
  <c r="E380" i="14"/>
  <c r="F380" i="14"/>
  <c r="G380" i="14"/>
  <c r="H380" i="14"/>
  <c r="J380" i="14"/>
  <c r="K380" i="14"/>
  <c r="L380" i="14"/>
  <c r="M380" i="14"/>
  <c r="N380" i="14"/>
  <c r="O380" i="14"/>
  <c r="P380" i="14"/>
  <c r="B381" i="14"/>
  <c r="C381" i="14"/>
  <c r="D381" i="14"/>
  <c r="E381" i="14"/>
  <c r="F381" i="14"/>
  <c r="G381" i="14"/>
  <c r="H381" i="14"/>
  <c r="J381" i="14"/>
  <c r="K381" i="14"/>
  <c r="L381" i="14"/>
  <c r="M381" i="14"/>
  <c r="N381" i="14"/>
  <c r="O381" i="14"/>
  <c r="P381" i="14"/>
  <c r="B382" i="14"/>
  <c r="C382" i="14"/>
  <c r="D382" i="14"/>
  <c r="E382" i="14"/>
  <c r="F382" i="14"/>
  <c r="G382" i="14"/>
  <c r="H382" i="14"/>
  <c r="J382" i="14"/>
  <c r="K382" i="14"/>
  <c r="L382" i="14"/>
  <c r="M382" i="14"/>
  <c r="N382" i="14"/>
  <c r="O382" i="14"/>
  <c r="P382" i="14"/>
  <c r="B383" i="14"/>
  <c r="C383" i="14"/>
  <c r="D383" i="14"/>
  <c r="E383" i="14"/>
  <c r="F383" i="14"/>
  <c r="G383" i="14"/>
  <c r="H383" i="14"/>
  <c r="J383" i="14"/>
  <c r="K383" i="14"/>
  <c r="L383" i="14"/>
  <c r="M383" i="14"/>
  <c r="N383" i="14"/>
  <c r="O383" i="14"/>
  <c r="P383" i="14"/>
  <c r="B384" i="14"/>
  <c r="C384" i="14"/>
  <c r="D384" i="14"/>
  <c r="E384" i="14"/>
  <c r="F384" i="14"/>
  <c r="G384" i="14"/>
  <c r="H384" i="14"/>
  <c r="J384" i="14"/>
  <c r="K384" i="14"/>
  <c r="L384" i="14"/>
  <c r="M384" i="14"/>
  <c r="N384" i="14"/>
  <c r="O384" i="14"/>
  <c r="P384" i="14"/>
  <c r="B386" i="14"/>
  <c r="C386" i="14"/>
  <c r="D386" i="14"/>
  <c r="E386" i="14"/>
  <c r="F386" i="14"/>
  <c r="G386" i="14"/>
  <c r="H386" i="14"/>
  <c r="J386" i="14"/>
  <c r="K386" i="14"/>
  <c r="L386" i="14"/>
  <c r="M386" i="14"/>
  <c r="N386" i="14"/>
  <c r="O386" i="14"/>
  <c r="P386" i="14"/>
  <c r="B387" i="14"/>
  <c r="C387" i="14"/>
  <c r="D387" i="14"/>
  <c r="E387" i="14"/>
  <c r="F387" i="14"/>
  <c r="G387" i="14"/>
  <c r="H387" i="14"/>
  <c r="J387" i="14"/>
  <c r="K387" i="14"/>
  <c r="L387" i="14"/>
  <c r="M387" i="14"/>
  <c r="N387" i="14"/>
  <c r="O387" i="14"/>
  <c r="P387" i="14"/>
  <c r="B388" i="14"/>
  <c r="C388" i="14"/>
  <c r="D388" i="14"/>
  <c r="E388" i="14"/>
  <c r="F388" i="14"/>
  <c r="G388" i="14"/>
  <c r="H388" i="14"/>
  <c r="J388" i="14"/>
  <c r="K388" i="14"/>
  <c r="L388" i="14"/>
  <c r="M388" i="14"/>
  <c r="N388" i="14"/>
  <c r="O388" i="14"/>
  <c r="P388" i="14"/>
  <c r="B389" i="14"/>
  <c r="C389" i="14"/>
  <c r="D389" i="14"/>
  <c r="E389" i="14"/>
  <c r="F389" i="14"/>
  <c r="G389" i="14"/>
  <c r="H389" i="14"/>
  <c r="J389" i="14"/>
  <c r="K389" i="14"/>
  <c r="L389" i="14"/>
  <c r="M389" i="14"/>
  <c r="N389" i="14"/>
  <c r="O389" i="14"/>
  <c r="P389" i="14"/>
  <c r="B390" i="14"/>
  <c r="C390" i="14"/>
  <c r="D390" i="14"/>
  <c r="E390" i="14"/>
  <c r="F390" i="14"/>
  <c r="G390" i="14"/>
  <c r="H390" i="14"/>
  <c r="J390" i="14"/>
  <c r="K390" i="14"/>
  <c r="L390" i="14"/>
  <c r="M390" i="14"/>
  <c r="N390" i="14"/>
  <c r="O390" i="14"/>
  <c r="P390" i="14"/>
  <c r="B391" i="14"/>
  <c r="C391" i="14"/>
  <c r="D391" i="14"/>
  <c r="E391" i="14"/>
  <c r="F391" i="14"/>
  <c r="G391" i="14"/>
  <c r="H391" i="14"/>
  <c r="J391" i="14"/>
  <c r="K391" i="14"/>
  <c r="L391" i="14"/>
  <c r="M391" i="14"/>
  <c r="N391" i="14"/>
  <c r="O391" i="14"/>
  <c r="P391" i="14"/>
  <c r="B392" i="14"/>
  <c r="C392" i="14"/>
  <c r="D392" i="14"/>
  <c r="E392" i="14"/>
  <c r="F392" i="14"/>
  <c r="G392" i="14"/>
  <c r="H392" i="14"/>
  <c r="J392" i="14"/>
  <c r="K392" i="14"/>
  <c r="L392" i="14"/>
  <c r="M392" i="14"/>
  <c r="N392" i="14"/>
  <c r="O392" i="14"/>
  <c r="P392" i="14"/>
  <c r="B393" i="14"/>
  <c r="C393" i="14"/>
  <c r="D393" i="14"/>
  <c r="E393" i="14"/>
  <c r="F393" i="14"/>
  <c r="G393" i="14"/>
  <c r="H393" i="14"/>
  <c r="J393" i="14"/>
  <c r="K393" i="14"/>
  <c r="L393" i="14"/>
  <c r="M393" i="14"/>
  <c r="N393" i="14"/>
  <c r="O393" i="14"/>
  <c r="P393" i="14"/>
  <c r="B394" i="14"/>
  <c r="C394" i="14"/>
  <c r="D394" i="14"/>
  <c r="E394" i="14"/>
  <c r="F394" i="14"/>
  <c r="G394" i="14"/>
  <c r="H394" i="14"/>
  <c r="J394" i="14"/>
  <c r="K394" i="14"/>
  <c r="L394" i="14"/>
  <c r="M394" i="14"/>
  <c r="N394" i="14"/>
  <c r="O394" i="14"/>
  <c r="P394" i="14"/>
  <c r="B395" i="14"/>
  <c r="C395" i="14"/>
  <c r="D395" i="14"/>
  <c r="E395" i="14"/>
  <c r="F395" i="14"/>
  <c r="G395" i="14"/>
  <c r="H395" i="14"/>
  <c r="J395" i="14"/>
  <c r="K395" i="14"/>
  <c r="L395" i="14"/>
  <c r="M395" i="14"/>
  <c r="N395" i="14"/>
  <c r="O395" i="14"/>
  <c r="P395" i="14"/>
  <c r="B396" i="14"/>
  <c r="C396" i="14"/>
  <c r="D396" i="14"/>
  <c r="E396" i="14"/>
  <c r="F396" i="14"/>
  <c r="G396" i="14"/>
  <c r="H396" i="14"/>
  <c r="J396" i="14"/>
  <c r="K396" i="14"/>
  <c r="L396" i="14"/>
  <c r="M396" i="14"/>
  <c r="N396" i="14"/>
  <c r="O396" i="14"/>
  <c r="P396" i="14"/>
  <c r="B397" i="14"/>
  <c r="C397" i="14"/>
  <c r="D397" i="14"/>
  <c r="E397" i="14"/>
  <c r="F397" i="14"/>
  <c r="G397" i="14"/>
  <c r="H397" i="14"/>
  <c r="J397" i="14"/>
  <c r="K397" i="14"/>
  <c r="L397" i="14"/>
  <c r="M397" i="14"/>
  <c r="N397" i="14"/>
  <c r="O397" i="14"/>
  <c r="P397" i="14"/>
  <c r="B398" i="14"/>
  <c r="C398" i="14"/>
  <c r="D398" i="14"/>
  <c r="E398" i="14"/>
  <c r="F398" i="14"/>
  <c r="G398" i="14"/>
  <c r="H398" i="14"/>
  <c r="J398" i="14"/>
  <c r="K398" i="14"/>
  <c r="L398" i="14"/>
  <c r="M398" i="14"/>
  <c r="N398" i="14"/>
  <c r="O398" i="14"/>
  <c r="P398" i="14"/>
  <c r="B400" i="14"/>
  <c r="C400" i="14"/>
  <c r="D400" i="14"/>
  <c r="E400" i="14"/>
  <c r="F400" i="14"/>
  <c r="G400" i="14"/>
  <c r="H400" i="14"/>
  <c r="J400" i="14"/>
  <c r="K400" i="14"/>
  <c r="L400" i="14"/>
  <c r="M400" i="14"/>
  <c r="N400" i="14"/>
  <c r="O400" i="14"/>
  <c r="P400" i="14"/>
  <c r="B401" i="14"/>
  <c r="C401" i="14"/>
  <c r="D401" i="14"/>
  <c r="E401" i="14"/>
  <c r="F401" i="14"/>
  <c r="G401" i="14"/>
  <c r="H401" i="14"/>
  <c r="J401" i="14"/>
  <c r="K401" i="14"/>
  <c r="L401" i="14"/>
  <c r="M401" i="14"/>
  <c r="N401" i="14"/>
  <c r="O401" i="14"/>
  <c r="P401" i="14"/>
  <c r="B402" i="14"/>
  <c r="C402" i="14"/>
  <c r="D402" i="14"/>
  <c r="E402" i="14"/>
  <c r="F402" i="14"/>
  <c r="G402" i="14"/>
  <c r="H402" i="14"/>
  <c r="J402" i="14"/>
  <c r="K402" i="14"/>
  <c r="L402" i="14"/>
  <c r="M402" i="14"/>
  <c r="N402" i="14"/>
  <c r="O402" i="14"/>
  <c r="P402" i="14"/>
  <c r="B403" i="14"/>
  <c r="C403" i="14"/>
  <c r="D403" i="14"/>
  <c r="E403" i="14"/>
  <c r="F403" i="14"/>
  <c r="G403" i="14"/>
  <c r="H403" i="14"/>
  <c r="J403" i="14"/>
  <c r="K403" i="14"/>
  <c r="L403" i="14"/>
  <c r="M403" i="14"/>
  <c r="N403" i="14"/>
  <c r="O403" i="14"/>
  <c r="P403" i="14"/>
  <c r="B404" i="14"/>
  <c r="C404" i="14"/>
  <c r="D404" i="14"/>
  <c r="E404" i="14"/>
  <c r="F404" i="14"/>
  <c r="G404" i="14"/>
  <c r="H404" i="14"/>
  <c r="J404" i="14"/>
  <c r="K404" i="14"/>
  <c r="L404" i="14"/>
  <c r="M404" i="14"/>
  <c r="N404" i="14"/>
  <c r="O404" i="14"/>
  <c r="P404" i="14"/>
  <c r="B405" i="14"/>
  <c r="C405" i="14"/>
  <c r="D405" i="14"/>
  <c r="E405" i="14"/>
  <c r="F405" i="14"/>
  <c r="G405" i="14"/>
  <c r="H405" i="14"/>
  <c r="J405" i="14"/>
  <c r="K405" i="14"/>
  <c r="L405" i="14"/>
  <c r="M405" i="14"/>
  <c r="N405" i="14"/>
  <c r="O405" i="14"/>
  <c r="P405" i="14"/>
  <c r="B406" i="14"/>
  <c r="C406" i="14"/>
  <c r="D406" i="14"/>
  <c r="E406" i="14"/>
  <c r="F406" i="14"/>
  <c r="G406" i="14"/>
  <c r="H406" i="14"/>
  <c r="J406" i="14"/>
  <c r="K406" i="14"/>
  <c r="L406" i="14"/>
  <c r="M406" i="14"/>
  <c r="N406" i="14"/>
  <c r="O406" i="14"/>
  <c r="P406" i="14"/>
  <c r="B407" i="14"/>
  <c r="C407" i="14"/>
  <c r="D407" i="14"/>
  <c r="E407" i="14"/>
  <c r="F407" i="14"/>
  <c r="G407" i="14"/>
  <c r="H407" i="14"/>
  <c r="J407" i="14"/>
  <c r="K407" i="14"/>
  <c r="L407" i="14"/>
  <c r="M407" i="14"/>
  <c r="N407" i="14"/>
  <c r="O407" i="14"/>
  <c r="P407" i="14"/>
  <c r="B413" i="14"/>
  <c r="C413" i="14"/>
  <c r="D413" i="14"/>
  <c r="E413" i="14"/>
  <c r="F413" i="14"/>
  <c r="G413" i="14"/>
  <c r="H413" i="14"/>
  <c r="J413" i="14"/>
  <c r="K413" i="14"/>
  <c r="L413" i="14"/>
  <c r="M413" i="14"/>
  <c r="N413" i="14"/>
  <c r="O413" i="14"/>
  <c r="P413" i="14"/>
  <c r="B414" i="14"/>
  <c r="C414" i="14"/>
  <c r="D414" i="14"/>
  <c r="E414" i="14"/>
  <c r="F414" i="14"/>
  <c r="G414" i="14"/>
  <c r="H414" i="14"/>
  <c r="J414" i="14"/>
  <c r="K414" i="14"/>
  <c r="L414" i="14"/>
  <c r="M414" i="14"/>
  <c r="N414" i="14"/>
  <c r="O414" i="14"/>
  <c r="P414" i="14"/>
  <c r="B415" i="14"/>
  <c r="C415" i="14"/>
  <c r="D415" i="14"/>
  <c r="E415" i="14"/>
  <c r="F415" i="14"/>
  <c r="G415" i="14"/>
  <c r="H415" i="14"/>
  <c r="J415" i="14"/>
  <c r="K415" i="14"/>
  <c r="L415" i="14"/>
  <c r="M415" i="14"/>
  <c r="N415" i="14"/>
  <c r="O415" i="14"/>
  <c r="P415" i="14"/>
  <c r="B416" i="14"/>
  <c r="C416" i="14"/>
  <c r="D416" i="14"/>
  <c r="E416" i="14"/>
  <c r="F416" i="14"/>
  <c r="G416" i="14"/>
  <c r="H416" i="14"/>
  <c r="J416" i="14"/>
  <c r="K416" i="14"/>
  <c r="L416" i="14"/>
  <c r="M416" i="14"/>
  <c r="N416" i="14"/>
  <c r="O416" i="14"/>
  <c r="P416" i="14"/>
  <c r="B417" i="14"/>
  <c r="C417" i="14"/>
  <c r="D417" i="14"/>
  <c r="E417" i="14"/>
  <c r="F417" i="14"/>
  <c r="G417" i="14"/>
  <c r="H417" i="14"/>
  <c r="J417" i="14"/>
  <c r="K417" i="14"/>
  <c r="L417" i="14"/>
  <c r="M417" i="14"/>
  <c r="N417" i="14"/>
  <c r="O417" i="14"/>
  <c r="P417" i="14"/>
  <c r="B418" i="14"/>
  <c r="C418" i="14"/>
  <c r="D418" i="14"/>
  <c r="E418" i="14"/>
  <c r="F418" i="14"/>
  <c r="G418" i="14"/>
  <c r="H418" i="14"/>
  <c r="J418" i="14"/>
  <c r="K418" i="14"/>
  <c r="L418" i="14"/>
  <c r="M418" i="14"/>
  <c r="N418" i="14"/>
  <c r="O418" i="14"/>
  <c r="P418" i="14"/>
  <c r="B420" i="14"/>
  <c r="C420" i="14"/>
  <c r="D420" i="14"/>
  <c r="E420" i="14"/>
  <c r="F420" i="14"/>
  <c r="G420" i="14"/>
  <c r="H420" i="14"/>
  <c r="J420" i="14"/>
  <c r="K420" i="14"/>
  <c r="L420" i="14"/>
  <c r="M420" i="14"/>
  <c r="N420" i="14"/>
  <c r="O420" i="14"/>
  <c r="P420" i="14"/>
  <c r="B421" i="14"/>
  <c r="C421" i="14"/>
  <c r="D421" i="14"/>
  <c r="E421" i="14"/>
  <c r="F421" i="14"/>
  <c r="G421" i="14"/>
  <c r="H421" i="14"/>
  <c r="J421" i="14"/>
  <c r="K421" i="14"/>
  <c r="L421" i="14"/>
  <c r="M421" i="14"/>
  <c r="N421" i="14"/>
  <c r="O421" i="14"/>
  <c r="P421" i="14"/>
  <c r="B422" i="14"/>
  <c r="C422" i="14"/>
  <c r="D422" i="14"/>
  <c r="E422" i="14"/>
  <c r="F422" i="14"/>
  <c r="G422" i="14"/>
  <c r="H422" i="14"/>
  <c r="J422" i="14"/>
  <c r="K422" i="14"/>
  <c r="L422" i="14"/>
  <c r="M422" i="14"/>
  <c r="N422" i="14"/>
  <c r="O422" i="14"/>
  <c r="P422" i="14"/>
  <c r="B423" i="14"/>
  <c r="C423" i="14"/>
  <c r="D423" i="14"/>
  <c r="E423" i="14"/>
  <c r="F423" i="14"/>
  <c r="G423" i="14"/>
  <c r="H423" i="14"/>
  <c r="J423" i="14"/>
  <c r="K423" i="14"/>
  <c r="L423" i="14"/>
  <c r="M423" i="14"/>
  <c r="N423" i="14"/>
  <c r="O423" i="14"/>
  <c r="P423" i="14"/>
  <c r="B424" i="14"/>
  <c r="C424" i="14"/>
  <c r="D424" i="14"/>
  <c r="E424" i="14"/>
  <c r="F424" i="14"/>
  <c r="G424" i="14"/>
  <c r="H424" i="14"/>
  <c r="J424" i="14"/>
  <c r="K424" i="14"/>
  <c r="L424" i="14"/>
  <c r="M424" i="14"/>
  <c r="N424" i="14"/>
  <c r="O424" i="14"/>
  <c r="P424" i="14"/>
  <c r="B425" i="14"/>
  <c r="C425" i="14"/>
  <c r="D425" i="14"/>
  <c r="E425" i="14"/>
  <c r="F425" i="14"/>
  <c r="G425" i="14"/>
  <c r="H425" i="14"/>
  <c r="J425" i="14"/>
  <c r="K425" i="14"/>
  <c r="L425" i="14"/>
  <c r="M425" i="14"/>
  <c r="N425" i="14"/>
  <c r="O425" i="14"/>
  <c r="P425" i="14"/>
  <c r="B426" i="14"/>
  <c r="C426" i="14"/>
  <c r="D426" i="14"/>
  <c r="E426" i="14"/>
  <c r="F426" i="14"/>
  <c r="G426" i="14"/>
  <c r="H426" i="14"/>
  <c r="J426" i="14"/>
  <c r="K426" i="14"/>
  <c r="L426" i="14"/>
  <c r="M426" i="14"/>
  <c r="N426" i="14"/>
  <c r="O426" i="14"/>
  <c r="P426" i="14"/>
  <c r="B427" i="14"/>
  <c r="C427" i="14"/>
  <c r="D427" i="14"/>
  <c r="E427" i="14"/>
  <c r="F427" i="14"/>
  <c r="G427" i="14"/>
  <c r="H427" i="14"/>
  <c r="J427" i="14"/>
  <c r="K427" i="14"/>
  <c r="L427" i="14"/>
  <c r="M427" i="14"/>
  <c r="N427" i="14"/>
  <c r="O427" i="14"/>
  <c r="P427" i="14"/>
  <c r="B428" i="14"/>
  <c r="C428" i="14"/>
  <c r="D428" i="14"/>
  <c r="E428" i="14"/>
  <c r="F428" i="14"/>
  <c r="G428" i="14"/>
  <c r="H428" i="14"/>
  <c r="J428" i="14"/>
  <c r="K428" i="14"/>
  <c r="L428" i="14"/>
  <c r="M428" i="14"/>
  <c r="N428" i="14"/>
  <c r="O428" i="14"/>
  <c r="P428" i="14"/>
  <c r="B429" i="14"/>
  <c r="C429" i="14"/>
  <c r="D429" i="14"/>
  <c r="E429" i="14"/>
  <c r="F429" i="14"/>
  <c r="G429" i="14"/>
  <c r="H429" i="14"/>
  <c r="J429" i="14"/>
  <c r="K429" i="14"/>
  <c r="L429" i="14"/>
  <c r="M429" i="14"/>
  <c r="N429" i="14"/>
  <c r="O429" i="14"/>
  <c r="P429" i="14"/>
  <c r="B430" i="14"/>
  <c r="C430" i="14"/>
  <c r="D430" i="14"/>
  <c r="E430" i="14"/>
  <c r="F430" i="14"/>
  <c r="G430" i="14"/>
  <c r="H430" i="14"/>
  <c r="J430" i="14"/>
  <c r="K430" i="14"/>
  <c r="L430" i="14"/>
  <c r="M430" i="14"/>
  <c r="N430" i="14"/>
  <c r="O430" i="14"/>
  <c r="P430" i="14"/>
  <c r="B431" i="14"/>
  <c r="C431" i="14"/>
  <c r="D431" i="14"/>
  <c r="E431" i="14"/>
  <c r="F431" i="14"/>
  <c r="G431" i="14"/>
  <c r="H431" i="14"/>
  <c r="J431" i="14"/>
  <c r="K431" i="14"/>
  <c r="L431" i="14"/>
  <c r="M431" i="14"/>
  <c r="N431" i="14"/>
  <c r="O431" i="14"/>
  <c r="P431" i="14"/>
  <c r="B432" i="14"/>
  <c r="C432" i="14"/>
  <c r="D432" i="14"/>
  <c r="E432" i="14"/>
  <c r="F432" i="14"/>
  <c r="G432" i="14"/>
  <c r="H432" i="14"/>
  <c r="J432" i="14"/>
  <c r="K432" i="14"/>
  <c r="L432" i="14"/>
  <c r="M432" i="14"/>
  <c r="N432" i="14"/>
  <c r="O432" i="14"/>
  <c r="P432" i="14"/>
  <c r="B434" i="14"/>
  <c r="C434" i="14"/>
  <c r="D434" i="14"/>
  <c r="E434" i="14"/>
  <c r="F434" i="14"/>
  <c r="G434" i="14"/>
  <c r="H434" i="14"/>
  <c r="J434" i="14"/>
  <c r="K434" i="14"/>
  <c r="L434" i="14"/>
  <c r="M434" i="14"/>
  <c r="N434" i="14"/>
  <c r="O434" i="14"/>
  <c r="P434" i="14"/>
  <c r="B435" i="14"/>
  <c r="C435" i="14"/>
  <c r="D435" i="14"/>
  <c r="E435" i="14"/>
  <c r="F435" i="14"/>
  <c r="G435" i="14"/>
  <c r="H435" i="14"/>
  <c r="J435" i="14"/>
  <c r="K435" i="14"/>
  <c r="L435" i="14"/>
  <c r="M435" i="14"/>
  <c r="N435" i="14"/>
  <c r="O435" i="14"/>
  <c r="P435" i="14"/>
  <c r="B436" i="14"/>
  <c r="C436" i="14"/>
  <c r="D436" i="14"/>
  <c r="E436" i="14"/>
  <c r="F436" i="14"/>
  <c r="G436" i="14"/>
  <c r="H436" i="14"/>
  <c r="J436" i="14"/>
  <c r="K436" i="14"/>
  <c r="L436" i="14"/>
  <c r="M436" i="14"/>
  <c r="N436" i="14"/>
  <c r="O436" i="14"/>
  <c r="P436" i="14"/>
  <c r="B437" i="14"/>
  <c r="C437" i="14"/>
  <c r="D437" i="14"/>
  <c r="E437" i="14"/>
  <c r="F437" i="14"/>
  <c r="G437" i="14"/>
  <c r="H437" i="14"/>
  <c r="J437" i="14"/>
  <c r="K437" i="14"/>
  <c r="L437" i="14"/>
  <c r="M437" i="14"/>
  <c r="N437" i="14"/>
  <c r="O437" i="14"/>
  <c r="P437" i="14"/>
  <c r="B438" i="14"/>
  <c r="C438" i="14"/>
  <c r="D438" i="14"/>
  <c r="E438" i="14"/>
  <c r="F438" i="14"/>
  <c r="G438" i="14"/>
  <c r="H438" i="14"/>
  <c r="J438" i="14"/>
  <c r="K438" i="14"/>
  <c r="L438" i="14"/>
  <c r="M438" i="14"/>
  <c r="N438" i="14"/>
  <c r="O438" i="14"/>
  <c r="P438" i="14"/>
  <c r="B439" i="14"/>
  <c r="C439" i="14"/>
  <c r="D439" i="14"/>
  <c r="E439" i="14"/>
  <c r="F439" i="14"/>
  <c r="G439" i="14"/>
  <c r="H439" i="14"/>
  <c r="J439" i="14"/>
  <c r="K439" i="14"/>
  <c r="L439" i="14"/>
  <c r="M439" i="14"/>
  <c r="N439" i="14"/>
  <c r="O439" i="14"/>
  <c r="P439" i="14"/>
  <c r="B440" i="14"/>
  <c r="C440" i="14"/>
  <c r="D440" i="14"/>
  <c r="E440" i="14"/>
  <c r="F440" i="14"/>
  <c r="G440" i="14"/>
  <c r="H440" i="14"/>
  <c r="J440" i="14"/>
  <c r="K440" i="14"/>
  <c r="L440" i="14"/>
  <c r="M440" i="14"/>
  <c r="N440" i="14"/>
  <c r="O440" i="14"/>
  <c r="P440" i="14"/>
  <c r="B441" i="14"/>
  <c r="C441" i="14"/>
  <c r="D441" i="14"/>
  <c r="E441" i="14"/>
  <c r="F441" i="14"/>
  <c r="G441" i="14"/>
  <c r="H441" i="14"/>
  <c r="J441" i="14"/>
  <c r="K441" i="14"/>
  <c r="L441" i="14"/>
  <c r="M441" i="14"/>
  <c r="N441" i="14"/>
  <c r="O441" i="14"/>
  <c r="P441" i="14"/>
  <c r="B447" i="14"/>
  <c r="C447" i="14"/>
  <c r="D447" i="14"/>
  <c r="E447" i="14"/>
  <c r="F447" i="14"/>
  <c r="G447" i="14"/>
  <c r="H447" i="14"/>
  <c r="J447" i="14"/>
  <c r="K447" i="14"/>
  <c r="L447" i="14"/>
  <c r="M447" i="14"/>
  <c r="N447" i="14"/>
  <c r="O447" i="14"/>
  <c r="P447" i="14"/>
  <c r="B448" i="14"/>
  <c r="C448" i="14"/>
  <c r="D448" i="14"/>
  <c r="E448" i="14"/>
  <c r="F448" i="14"/>
  <c r="G448" i="14"/>
  <c r="H448" i="14"/>
  <c r="J448" i="14"/>
  <c r="K448" i="14"/>
  <c r="L448" i="14"/>
  <c r="M448" i="14"/>
  <c r="N448" i="14"/>
  <c r="O448" i="14"/>
  <c r="P448" i="14"/>
  <c r="B449" i="14"/>
  <c r="C449" i="14"/>
  <c r="D449" i="14"/>
  <c r="E449" i="14"/>
  <c r="F449" i="14"/>
  <c r="G449" i="14"/>
  <c r="H449" i="14"/>
  <c r="J449" i="14"/>
  <c r="K449" i="14"/>
  <c r="L449" i="14"/>
  <c r="M449" i="14"/>
  <c r="N449" i="14"/>
  <c r="O449" i="14"/>
  <c r="P449" i="14"/>
  <c r="B450" i="14"/>
  <c r="C450" i="14"/>
  <c r="D450" i="14"/>
  <c r="E450" i="14"/>
  <c r="F450" i="14"/>
  <c r="G450" i="14"/>
  <c r="H450" i="14"/>
  <c r="J450" i="14"/>
  <c r="K450" i="14"/>
  <c r="L450" i="14"/>
  <c r="M450" i="14"/>
  <c r="N450" i="14"/>
  <c r="O450" i="14"/>
  <c r="P450" i="14"/>
  <c r="B451" i="14"/>
  <c r="C451" i="14"/>
  <c r="D451" i="14"/>
  <c r="E451" i="14"/>
  <c r="F451" i="14"/>
  <c r="G451" i="14"/>
  <c r="H451" i="14"/>
  <c r="J451" i="14"/>
  <c r="K451" i="14"/>
  <c r="L451" i="14"/>
  <c r="M451" i="14"/>
  <c r="N451" i="14"/>
  <c r="O451" i="14"/>
  <c r="P451" i="14"/>
  <c r="B452" i="14"/>
  <c r="C452" i="14"/>
  <c r="D452" i="14"/>
  <c r="E452" i="14"/>
  <c r="F452" i="14"/>
  <c r="G452" i="14"/>
  <c r="H452" i="14"/>
  <c r="J452" i="14"/>
  <c r="K452" i="14"/>
  <c r="L452" i="14"/>
  <c r="M452" i="14"/>
  <c r="N452" i="14"/>
  <c r="O452" i="14"/>
  <c r="P452" i="14"/>
  <c r="B454" i="14"/>
  <c r="C454" i="14"/>
  <c r="D454" i="14"/>
  <c r="E454" i="14"/>
  <c r="F454" i="14"/>
  <c r="G454" i="14"/>
  <c r="H454" i="14"/>
  <c r="J454" i="14"/>
  <c r="K454" i="14"/>
  <c r="L454" i="14"/>
  <c r="M454" i="14"/>
  <c r="N454" i="14"/>
  <c r="O454" i="14"/>
  <c r="P454" i="14"/>
  <c r="B455" i="14"/>
  <c r="C455" i="14"/>
  <c r="D455" i="14"/>
  <c r="E455" i="14"/>
  <c r="F455" i="14"/>
  <c r="G455" i="14"/>
  <c r="H455" i="14"/>
  <c r="J455" i="14"/>
  <c r="K455" i="14"/>
  <c r="L455" i="14"/>
  <c r="M455" i="14"/>
  <c r="N455" i="14"/>
  <c r="O455" i="14"/>
  <c r="P455" i="14"/>
  <c r="B456" i="14"/>
  <c r="C456" i="14"/>
  <c r="D456" i="14"/>
  <c r="E456" i="14"/>
  <c r="F456" i="14"/>
  <c r="G456" i="14"/>
  <c r="H456" i="14"/>
  <c r="J456" i="14"/>
  <c r="K456" i="14"/>
  <c r="L456" i="14"/>
  <c r="M456" i="14"/>
  <c r="N456" i="14"/>
  <c r="O456" i="14"/>
  <c r="P456" i="14"/>
  <c r="B457" i="14"/>
  <c r="C457" i="14"/>
  <c r="D457" i="14"/>
  <c r="E457" i="14"/>
  <c r="F457" i="14"/>
  <c r="G457" i="14"/>
  <c r="H457" i="14"/>
  <c r="J457" i="14"/>
  <c r="K457" i="14"/>
  <c r="L457" i="14"/>
  <c r="M457" i="14"/>
  <c r="N457" i="14"/>
  <c r="O457" i="14"/>
  <c r="P457" i="14"/>
  <c r="B458" i="14"/>
  <c r="C458" i="14"/>
  <c r="D458" i="14"/>
  <c r="E458" i="14"/>
  <c r="F458" i="14"/>
  <c r="G458" i="14"/>
  <c r="H458" i="14"/>
  <c r="J458" i="14"/>
  <c r="K458" i="14"/>
  <c r="L458" i="14"/>
  <c r="M458" i="14"/>
  <c r="N458" i="14"/>
  <c r="O458" i="14"/>
  <c r="P458" i="14"/>
  <c r="B459" i="14"/>
  <c r="C459" i="14"/>
  <c r="D459" i="14"/>
  <c r="E459" i="14"/>
  <c r="F459" i="14"/>
  <c r="G459" i="14"/>
  <c r="H459" i="14"/>
  <c r="J459" i="14"/>
  <c r="K459" i="14"/>
  <c r="L459" i="14"/>
  <c r="M459" i="14"/>
  <c r="N459" i="14"/>
  <c r="O459" i="14"/>
  <c r="P459" i="14"/>
  <c r="B460" i="14"/>
  <c r="C460" i="14"/>
  <c r="D460" i="14"/>
  <c r="E460" i="14"/>
  <c r="F460" i="14"/>
  <c r="G460" i="14"/>
  <c r="H460" i="14"/>
  <c r="J460" i="14"/>
  <c r="K460" i="14"/>
  <c r="L460" i="14"/>
  <c r="M460" i="14"/>
  <c r="N460" i="14"/>
  <c r="O460" i="14"/>
  <c r="P460" i="14"/>
  <c r="B461" i="14"/>
  <c r="C461" i="14"/>
  <c r="D461" i="14"/>
  <c r="E461" i="14"/>
  <c r="F461" i="14"/>
  <c r="G461" i="14"/>
  <c r="H461" i="14"/>
  <c r="J461" i="14"/>
  <c r="K461" i="14"/>
  <c r="L461" i="14"/>
  <c r="M461" i="14"/>
  <c r="N461" i="14"/>
  <c r="O461" i="14"/>
  <c r="P461" i="14"/>
  <c r="B462" i="14"/>
  <c r="C462" i="14"/>
  <c r="D462" i="14"/>
  <c r="E462" i="14"/>
  <c r="F462" i="14"/>
  <c r="G462" i="14"/>
  <c r="H462" i="14"/>
  <c r="J462" i="14"/>
  <c r="K462" i="14"/>
  <c r="L462" i="14"/>
  <c r="M462" i="14"/>
  <c r="N462" i="14"/>
  <c r="O462" i="14"/>
  <c r="P462" i="14"/>
  <c r="B463" i="14"/>
  <c r="C463" i="14"/>
  <c r="D463" i="14"/>
  <c r="E463" i="14"/>
  <c r="F463" i="14"/>
  <c r="G463" i="14"/>
  <c r="H463" i="14"/>
  <c r="J463" i="14"/>
  <c r="K463" i="14"/>
  <c r="L463" i="14"/>
  <c r="M463" i="14"/>
  <c r="N463" i="14"/>
  <c r="O463" i="14"/>
  <c r="P463" i="14"/>
  <c r="B464" i="14"/>
  <c r="C464" i="14"/>
  <c r="D464" i="14"/>
  <c r="E464" i="14"/>
  <c r="F464" i="14"/>
  <c r="G464" i="14"/>
  <c r="H464" i="14"/>
  <c r="J464" i="14"/>
  <c r="K464" i="14"/>
  <c r="L464" i="14"/>
  <c r="M464" i="14"/>
  <c r="N464" i="14"/>
  <c r="O464" i="14"/>
  <c r="P464" i="14"/>
  <c r="B465" i="14"/>
  <c r="C465" i="14"/>
  <c r="D465" i="14"/>
  <c r="E465" i="14"/>
  <c r="F465" i="14"/>
  <c r="G465" i="14"/>
  <c r="H465" i="14"/>
  <c r="J465" i="14"/>
  <c r="K465" i="14"/>
  <c r="L465" i="14"/>
  <c r="M465" i="14"/>
  <c r="N465" i="14"/>
  <c r="O465" i="14"/>
  <c r="P465" i="14"/>
  <c r="B466" i="14"/>
  <c r="C466" i="14"/>
  <c r="D466" i="14"/>
  <c r="E466" i="14"/>
  <c r="F466" i="14"/>
  <c r="G466" i="14"/>
  <c r="H466" i="14"/>
  <c r="J466" i="14"/>
  <c r="K466" i="14"/>
  <c r="L466" i="14"/>
  <c r="M466" i="14"/>
  <c r="N466" i="14"/>
  <c r="O466" i="14"/>
  <c r="P466" i="14"/>
  <c r="B468" i="14"/>
  <c r="C468" i="14"/>
  <c r="D468" i="14"/>
  <c r="E468" i="14"/>
  <c r="F468" i="14"/>
  <c r="G468" i="14"/>
  <c r="H468" i="14"/>
  <c r="J468" i="14"/>
  <c r="K468" i="14"/>
  <c r="L468" i="14"/>
  <c r="M468" i="14"/>
  <c r="N468" i="14"/>
  <c r="O468" i="14"/>
  <c r="P468" i="14"/>
  <c r="B469" i="14"/>
  <c r="C469" i="14"/>
  <c r="D469" i="14"/>
  <c r="E469" i="14"/>
  <c r="F469" i="14"/>
  <c r="G469" i="14"/>
  <c r="H469" i="14"/>
  <c r="J469" i="14"/>
  <c r="K469" i="14"/>
  <c r="L469" i="14"/>
  <c r="M469" i="14"/>
  <c r="N469" i="14"/>
  <c r="O469" i="14"/>
  <c r="P469" i="14"/>
  <c r="B470" i="14"/>
  <c r="C470" i="14"/>
  <c r="D470" i="14"/>
  <c r="E470" i="14"/>
  <c r="F470" i="14"/>
  <c r="G470" i="14"/>
  <c r="H470" i="14"/>
  <c r="J470" i="14"/>
  <c r="K470" i="14"/>
  <c r="L470" i="14"/>
  <c r="M470" i="14"/>
  <c r="N470" i="14"/>
  <c r="O470" i="14"/>
  <c r="P470" i="14"/>
  <c r="B471" i="14"/>
  <c r="C471" i="14"/>
  <c r="D471" i="14"/>
  <c r="E471" i="14"/>
  <c r="F471" i="14"/>
  <c r="G471" i="14"/>
  <c r="H471" i="14"/>
  <c r="J471" i="14"/>
  <c r="K471" i="14"/>
  <c r="L471" i="14"/>
  <c r="M471" i="14"/>
  <c r="N471" i="14"/>
  <c r="O471" i="14"/>
  <c r="P471" i="14"/>
  <c r="B472" i="14"/>
  <c r="C472" i="14"/>
  <c r="D472" i="14"/>
  <c r="E472" i="14"/>
  <c r="F472" i="14"/>
  <c r="G472" i="14"/>
  <c r="H472" i="14"/>
  <c r="J472" i="14"/>
  <c r="K472" i="14"/>
  <c r="L472" i="14"/>
  <c r="M472" i="14"/>
  <c r="N472" i="14"/>
  <c r="O472" i="14"/>
  <c r="P472" i="14"/>
  <c r="B473" i="14"/>
  <c r="C473" i="14"/>
  <c r="D473" i="14"/>
  <c r="E473" i="14"/>
  <c r="F473" i="14"/>
  <c r="G473" i="14"/>
  <c r="H473" i="14"/>
  <c r="J473" i="14"/>
  <c r="K473" i="14"/>
  <c r="L473" i="14"/>
  <c r="M473" i="14"/>
  <c r="N473" i="14"/>
  <c r="O473" i="14"/>
  <c r="P473" i="14"/>
  <c r="B474" i="14"/>
  <c r="C474" i="14"/>
  <c r="D474" i="14"/>
  <c r="E474" i="14"/>
  <c r="F474" i="14"/>
  <c r="G474" i="14"/>
  <c r="H474" i="14"/>
  <c r="J474" i="14"/>
  <c r="K474" i="14"/>
  <c r="L474" i="14"/>
  <c r="M474" i="14"/>
  <c r="N474" i="14"/>
  <c r="O474" i="14"/>
  <c r="P474" i="14"/>
  <c r="B475" i="14"/>
  <c r="C475" i="14"/>
  <c r="D475" i="14"/>
  <c r="E475" i="14"/>
  <c r="F475" i="14"/>
  <c r="G475" i="14"/>
  <c r="H475" i="14"/>
  <c r="J475" i="14"/>
  <c r="K475" i="14"/>
  <c r="L475" i="14"/>
  <c r="M475" i="14"/>
  <c r="N475" i="14"/>
  <c r="O475" i="14"/>
  <c r="P475" i="14"/>
  <c r="B481" i="14"/>
  <c r="C481" i="14"/>
  <c r="D481" i="14"/>
  <c r="E481" i="14"/>
  <c r="F481" i="14"/>
  <c r="H481" i="14"/>
  <c r="I481" i="14"/>
  <c r="J481" i="14"/>
  <c r="K481" i="14"/>
  <c r="L481" i="14"/>
  <c r="M481" i="14"/>
  <c r="N481" i="14"/>
  <c r="P481" i="14"/>
  <c r="Q481" i="14"/>
  <c r="B482" i="14"/>
  <c r="C482" i="14"/>
  <c r="D482" i="14"/>
  <c r="E482" i="14"/>
  <c r="F482" i="14"/>
  <c r="H482" i="14"/>
  <c r="I482" i="14"/>
  <c r="J482" i="14"/>
  <c r="K482" i="14"/>
  <c r="L482" i="14"/>
  <c r="M482" i="14"/>
  <c r="N482" i="14"/>
  <c r="P482" i="14"/>
  <c r="Q482" i="14"/>
  <c r="B483" i="14"/>
  <c r="C483" i="14"/>
  <c r="D483" i="14"/>
  <c r="E483" i="14"/>
  <c r="F483" i="14"/>
  <c r="H483" i="14"/>
  <c r="I483" i="14"/>
  <c r="J483" i="14"/>
  <c r="K483" i="14"/>
  <c r="L483" i="14"/>
  <c r="M483" i="14"/>
  <c r="N483" i="14"/>
  <c r="P483" i="14"/>
  <c r="Q483" i="14"/>
  <c r="B484" i="14"/>
  <c r="C484" i="14"/>
  <c r="D484" i="14"/>
  <c r="E484" i="14"/>
  <c r="F484" i="14"/>
  <c r="H484" i="14"/>
  <c r="I484" i="14"/>
  <c r="J484" i="14"/>
  <c r="K484" i="14"/>
  <c r="L484" i="14"/>
  <c r="M484" i="14"/>
  <c r="N484" i="14"/>
  <c r="P484" i="14"/>
  <c r="Q484" i="14"/>
  <c r="B485" i="14"/>
  <c r="C485" i="14"/>
  <c r="D485" i="14"/>
  <c r="E485" i="14"/>
  <c r="F485" i="14"/>
  <c r="H485" i="14"/>
  <c r="I485" i="14"/>
  <c r="J485" i="14"/>
  <c r="K485" i="14"/>
  <c r="L485" i="14"/>
  <c r="M485" i="14"/>
  <c r="N485" i="14"/>
  <c r="P485" i="14"/>
  <c r="Q485" i="14"/>
  <c r="B486" i="14"/>
  <c r="C486" i="14"/>
  <c r="D486" i="14"/>
  <c r="E486" i="14"/>
  <c r="F486" i="14"/>
  <c r="H486" i="14"/>
  <c r="I486" i="14"/>
  <c r="J486" i="14"/>
  <c r="K486" i="14"/>
  <c r="L486" i="14"/>
  <c r="M486" i="14"/>
  <c r="N486" i="14"/>
  <c r="P486" i="14"/>
  <c r="Q486" i="14"/>
  <c r="B488" i="14"/>
  <c r="C488" i="14"/>
  <c r="D488" i="14"/>
  <c r="E488" i="14"/>
  <c r="F488" i="14"/>
  <c r="H488" i="14"/>
  <c r="I488" i="14"/>
  <c r="J488" i="14"/>
  <c r="K488" i="14"/>
  <c r="L488" i="14"/>
  <c r="M488" i="14"/>
  <c r="N488" i="14"/>
  <c r="P488" i="14"/>
  <c r="Q488" i="14"/>
  <c r="B489" i="14"/>
  <c r="C489" i="14"/>
  <c r="D489" i="14"/>
  <c r="E489" i="14"/>
  <c r="F489" i="14"/>
  <c r="H489" i="14"/>
  <c r="I489" i="14"/>
  <c r="J489" i="14"/>
  <c r="K489" i="14"/>
  <c r="L489" i="14"/>
  <c r="M489" i="14"/>
  <c r="N489" i="14"/>
  <c r="P489" i="14"/>
  <c r="Q489" i="14"/>
  <c r="B490" i="14"/>
  <c r="C490" i="14"/>
  <c r="D490" i="14"/>
  <c r="E490" i="14"/>
  <c r="F490" i="14"/>
  <c r="H490" i="14"/>
  <c r="I490" i="14"/>
  <c r="J490" i="14"/>
  <c r="K490" i="14"/>
  <c r="L490" i="14"/>
  <c r="M490" i="14"/>
  <c r="N490" i="14"/>
  <c r="P490" i="14"/>
  <c r="Q490" i="14"/>
  <c r="B491" i="14"/>
  <c r="C491" i="14"/>
  <c r="D491" i="14"/>
  <c r="E491" i="14"/>
  <c r="F491" i="14"/>
  <c r="H491" i="14"/>
  <c r="I491" i="14"/>
  <c r="J491" i="14"/>
  <c r="K491" i="14"/>
  <c r="L491" i="14"/>
  <c r="M491" i="14"/>
  <c r="N491" i="14"/>
  <c r="P491" i="14"/>
  <c r="Q491" i="14"/>
  <c r="B492" i="14"/>
  <c r="C492" i="14"/>
  <c r="D492" i="14"/>
  <c r="E492" i="14"/>
  <c r="F492" i="14"/>
  <c r="H492" i="14"/>
  <c r="I492" i="14"/>
  <c r="J492" i="14"/>
  <c r="K492" i="14"/>
  <c r="L492" i="14"/>
  <c r="M492" i="14"/>
  <c r="N492" i="14"/>
  <c r="P492" i="14"/>
  <c r="Q492" i="14"/>
  <c r="B493" i="14"/>
  <c r="C493" i="14"/>
  <c r="D493" i="14"/>
  <c r="E493" i="14"/>
  <c r="F493" i="14"/>
  <c r="H493" i="14"/>
  <c r="I493" i="14"/>
  <c r="J493" i="14"/>
  <c r="K493" i="14"/>
  <c r="L493" i="14"/>
  <c r="M493" i="14"/>
  <c r="N493" i="14"/>
  <c r="P493" i="14"/>
  <c r="Q493" i="14"/>
  <c r="B494" i="14"/>
  <c r="C494" i="14"/>
  <c r="D494" i="14"/>
  <c r="E494" i="14"/>
  <c r="F494" i="14"/>
  <c r="H494" i="14"/>
  <c r="I494" i="14"/>
  <c r="J494" i="14"/>
  <c r="K494" i="14"/>
  <c r="L494" i="14"/>
  <c r="M494" i="14"/>
  <c r="N494" i="14"/>
  <c r="P494" i="14"/>
  <c r="Q494" i="14"/>
  <c r="B495" i="14"/>
  <c r="C495" i="14"/>
  <c r="D495" i="14"/>
  <c r="E495" i="14"/>
  <c r="F495" i="14"/>
  <c r="H495" i="14"/>
  <c r="I495" i="14"/>
  <c r="J495" i="14"/>
  <c r="K495" i="14"/>
  <c r="L495" i="14"/>
  <c r="M495" i="14"/>
  <c r="N495" i="14"/>
  <c r="P495" i="14"/>
  <c r="Q495" i="14"/>
  <c r="B496" i="14"/>
  <c r="C496" i="14"/>
  <c r="D496" i="14"/>
  <c r="E496" i="14"/>
  <c r="F496" i="14"/>
  <c r="H496" i="14"/>
  <c r="I496" i="14"/>
  <c r="J496" i="14"/>
  <c r="K496" i="14"/>
  <c r="L496" i="14"/>
  <c r="M496" i="14"/>
  <c r="N496" i="14"/>
  <c r="P496" i="14"/>
  <c r="Q496" i="14"/>
  <c r="B497" i="14"/>
  <c r="C497" i="14"/>
  <c r="D497" i="14"/>
  <c r="E497" i="14"/>
  <c r="F497" i="14"/>
  <c r="H497" i="14"/>
  <c r="I497" i="14"/>
  <c r="J497" i="14"/>
  <c r="K497" i="14"/>
  <c r="L497" i="14"/>
  <c r="M497" i="14"/>
  <c r="N497" i="14"/>
  <c r="P497" i="14"/>
  <c r="Q497" i="14"/>
  <c r="B498" i="14"/>
  <c r="C498" i="14"/>
  <c r="D498" i="14"/>
  <c r="E498" i="14"/>
  <c r="F498" i="14"/>
  <c r="H498" i="14"/>
  <c r="I498" i="14"/>
  <c r="J498" i="14"/>
  <c r="K498" i="14"/>
  <c r="L498" i="14"/>
  <c r="M498" i="14"/>
  <c r="N498" i="14"/>
  <c r="P498" i="14"/>
  <c r="Q498" i="14"/>
  <c r="B499" i="14"/>
  <c r="C499" i="14"/>
  <c r="D499" i="14"/>
  <c r="E499" i="14"/>
  <c r="F499" i="14"/>
  <c r="H499" i="14"/>
  <c r="I499" i="14"/>
  <c r="J499" i="14"/>
  <c r="K499" i="14"/>
  <c r="L499" i="14"/>
  <c r="M499" i="14"/>
  <c r="N499" i="14"/>
  <c r="P499" i="14"/>
  <c r="Q499" i="14"/>
  <c r="B500" i="14"/>
  <c r="C500" i="14"/>
  <c r="D500" i="14"/>
  <c r="E500" i="14"/>
  <c r="F500" i="14"/>
  <c r="H500" i="14"/>
  <c r="I500" i="14"/>
  <c r="J500" i="14"/>
  <c r="K500" i="14"/>
  <c r="L500" i="14"/>
  <c r="M500" i="14"/>
  <c r="N500" i="14"/>
  <c r="P500" i="14"/>
  <c r="Q500" i="14"/>
  <c r="B502" i="14"/>
  <c r="C502" i="14"/>
  <c r="D502" i="14"/>
  <c r="E502" i="14"/>
  <c r="F502" i="14"/>
  <c r="H502" i="14"/>
  <c r="I502" i="14"/>
  <c r="J502" i="14"/>
  <c r="K502" i="14"/>
  <c r="L502" i="14"/>
  <c r="M502" i="14"/>
  <c r="N502" i="14"/>
  <c r="P502" i="14"/>
  <c r="Q502" i="14"/>
  <c r="B503" i="14"/>
  <c r="C503" i="14"/>
  <c r="D503" i="14"/>
  <c r="E503" i="14"/>
  <c r="F503" i="14"/>
  <c r="H503" i="14"/>
  <c r="I503" i="14"/>
  <c r="J503" i="14"/>
  <c r="K503" i="14"/>
  <c r="L503" i="14"/>
  <c r="M503" i="14"/>
  <c r="N503" i="14"/>
  <c r="P503" i="14"/>
  <c r="Q503" i="14"/>
  <c r="B504" i="14"/>
  <c r="C504" i="14"/>
  <c r="D504" i="14"/>
  <c r="E504" i="14"/>
  <c r="F504" i="14"/>
  <c r="H504" i="14"/>
  <c r="I504" i="14"/>
  <c r="J504" i="14"/>
  <c r="K504" i="14"/>
  <c r="L504" i="14"/>
  <c r="M504" i="14"/>
  <c r="N504" i="14"/>
  <c r="P504" i="14"/>
  <c r="Q504" i="14"/>
  <c r="B505" i="14"/>
  <c r="C505" i="14"/>
  <c r="D505" i="14"/>
  <c r="E505" i="14"/>
  <c r="F505" i="14"/>
  <c r="H505" i="14"/>
  <c r="I505" i="14"/>
  <c r="J505" i="14"/>
  <c r="K505" i="14"/>
  <c r="L505" i="14"/>
  <c r="M505" i="14"/>
  <c r="N505" i="14"/>
  <c r="P505" i="14"/>
  <c r="Q505" i="14"/>
  <c r="B506" i="14"/>
  <c r="C506" i="14"/>
  <c r="D506" i="14"/>
  <c r="E506" i="14"/>
  <c r="F506" i="14"/>
  <c r="H506" i="14"/>
  <c r="I506" i="14"/>
  <c r="J506" i="14"/>
  <c r="K506" i="14"/>
  <c r="L506" i="14"/>
  <c r="M506" i="14"/>
  <c r="N506" i="14"/>
  <c r="P506" i="14"/>
  <c r="Q506" i="14"/>
  <c r="B507" i="14"/>
  <c r="C507" i="14"/>
  <c r="D507" i="14"/>
  <c r="E507" i="14"/>
  <c r="F507" i="14"/>
  <c r="H507" i="14"/>
  <c r="I507" i="14"/>
  <c r="J507" i="14"/>
  <c r="K507" i="14"/>
  <c r="L507" i="14"/>
  <c r="M507" i="14"/>
  <c r="N507" i="14"/>
  <c r="P507" i="14"/>
  <c r="Q507" i="14"/>
  <c r="B508" i="14"/>
  <c r="C508" i="14"/>
  <c r="D508" i="14"/>
  <c r="E508" i="14"/>
  <c r="F508" i="14"/>
  <c r="H508" i="14"/>
  <c r="I508" i="14"/>
  <c r="J508" i="14"/>
  <c r="K508" i="14"/>
  <c r="L508" i="14"/>
  <c r="M508" i="14"/>
  <c r="N508" i="14"/>
  <c r="P508" i="14"/>
  <c r="Q508" i="14"/>
  <c r="B509" i="14"/>
  <c r="C509" i="14"/>
  <c r="D509" i="14"/>
  <c r="E509" i="14"/>
  <c r="F509" i="14"/>
  <c r="H509" i="14"/>
  <c r="I509" i="14"/>
  <c r="J509" i="14"/>
  <c r="K509" i="14"/>
  <c r="L509" i="14"/>
  <c r="M509" i="14"/>
  <c r="N509" i="14"/>
  <c r="P509" i="14"/>
  <c r="Q509" i="14"/>
  <c r="B515" i="14"/>
  <c r="C515" i="14"/>
  <c r="D515" i="14"/>
  <c r="E515" i="14"/>
  <c r="F515" i="14"/>
  <c r="H515" i="14"/>
  <c r="I515" i="14"/>
  <c r="J515" i="14"/>
  <c r="K515" i="14"/>
  <c r="L515" i="14"/>
  <c r="M515" i="14"/>
  <c r="N515" i="14"/>
  <c r="P515" i="14"/>
  <c r="Q515" i="14"/>
  <c r="B516" i="14"/>
  <c r="C516" i="14"/>
  <c r="D516" i="14"/>
  <c r="E516" i="14"/>
  <c r="F516" i="14"/>
  <c r="H516" i="14"/>
  <c r="I516" i="14"/>
  <c r="J516" i="14"/>
  <c r="K516" i="14"/>
  <c r="L516" i="14"/>
  <c r="M516" i="14"/>
  <c r="N516" i="14"/>
  <c r="P516" i="14"/>
  <c r="Q516" i="14"/>
  <c r="B517" i="14"/>
  <c r="C517" i="14"/>
  <c r="D517" i="14"/>
  <c r="E517" i="14"/>
  <c r="F517" i="14"/>
  <c r="H517" i="14"/>
  <c r="I517" i="14"/>
  <c r="J517" i="14"/>
  <c r="K517" i="14"/>
  <c r="L517" i="14"/>
  <c r="M517" i="14"/>
  <c r="N517" i="14"/>
  <c r="P517" i="14"/>
  <c r="Q517" i="14"/>
  <c r="B518" i="14"/>
  <c r="C518" i="14"/>
  <c r="D518" i="14"/>
  <c r="E518" i="14"/>
  <c r="F518" i="14"/>
  <c r="H518" i="14"/>
  <c r="I518" i="14"/>
  <c r="J518" i="14"/>
  <c r="K518" i="14"/>
  <c r="L518" i="14"/>
  <c r="M518" i="14"/>
  <c r="N518" i="14"/>
  <c r="P518" i="14"/>
  <c r="Q518" i="14"/>
  <c r="B519" i="14"/>
  <c r="C519" i="14"/>
  <c r="D519" i="14"/>
  <c r="E519" i="14"/>
  <c r="F519" i="14"/>
  <c r="H519" i="14"/>
  <c r="I519" i="14"/>
  <c r="J519" i="14"/>
  <c r="K519" i="14"/>
  <c r="L519" i="14"/>
  <c r="M519" i="14"/>
  <c r="N519" i="14"/>
  <c r="P519" i="14"/>
  <c r="Q519" i="14"/>
  <c r="B520" i="14"/>
  <c r="C520" i="14"/>
  <c r="D520" i="14"/>
  <c r="E520" i="14"/>
  <c r="F520" i="14"/>
  <c r="H520" i="14"/>
  <c r="I520" i="14"/>
  <c r="J520" i="14"/>
  <c r="K520" i="14"/>
  <c r="L520" i="14"/>
  <c r="M520" i="14"/>
  <c r="N520" i="14"/>
  <c r="P520" i="14"/>
  <c r="Q520" i="14"/>
  <c r="B522" i="14"/>
  <c r="C522" i="14"/>
  <c r="D522" i="14"/>
  <c r="E522" i="14"/>
  <c r="F522" i="14"/>
  <c r="H522" i="14"/>
  <c r="I522" i="14"/>
  <c r="J522" i="14"/>
  <c r="K522" i="14"/>
  <c r="L522" i="14"/>
  <c r="M522" i="14"/>
  <c r="N522" i="14"/>
  <c r="P522" i="14"/>
  <c r="Q522" i="14"/>
  <c r="B523" i="14"/>
  <c r="C523" i="14"/>
  <c r="D523" i="14"/>
  <c r="E523" i="14"/>
  <c r="F523" i="14"/>
  <c r="H523" i="14"/>
  <c r="I523" i="14"/>
  <c r="J523" i="14"/>
  <c r="K523" i="14"/>
  <c r="L523" i="14"/>
  <c r="M523" i="14"/>
  <c r="N523" i="14"/>
  <c r="P523" i="14"/>
  <c r="Q523" i="14"/>
  <c r="B524" i="14"/>
  <c r="C524" i="14"/>
  <c r="D524" i="14"/>
  <c r="E524" i="14"/>
  <c r="F524" i="14"/>
  <c r="H524" i="14"/>
  <c r="I524" i="14"/>
  <c r="J524" i="14"/>
  <c r="K524" i="14"/>
  <c r="L524" i="14"/>
  <c r="M524" i="14"/>
  <c r="N524" i="14"/>
  <c r="P524" i="14"/>
  <c r="Q524" i="14"/>
  <c r="B525" i="14"/>
  <c r="C525" i="14"/>
  <c r="D525" i="14"/>
  <c r="E525" i="14"/>
  <c r="F525" i="14"/>
  <c r="H525" i="14"/>
  <c r="I525" i="14"/>
  <c r="J525" i="14"/>
  <c r="K525" i="14"/>
  <c r="L525" i="14"/>
  <c r="M525" i="14"/>
  <c r="N525" i="14"/>
  <c r="P525" i="14"/>
  <c r="Q525" i="14"/>
  <c r="B526" i="14"/>
  <c r="C526" i="14"/>
  <c r="D526" i="14"/>
  <c r="E526" i="14"/>
  <c r="F526" i="14"/>
  <c r="H526" i="14"/>
  <c r="I526" i="14"/>
  <c r="J526" i="14"/>
  <c r="K526" i="14"/>
  <c r="L526" i="14"/>
  <c r="M526" i="14"/>
  <c r="N526" i="14"/>
  <c r="P526" i="14"/>
  <c r="Q526" i="14"/>
  <c r="B527" i="14"/>
  <c r="C527" i="14"/>
  <c r="D527" i="14"/>
  <c r="E527" i="14"/>
  <c r="F527" i="14"/>
  <c r="H527" i="14"/>
  <c r="I527" i="14"/>
  <c r="J527" i="14"/>
  <c r="K527" i="14"/>
  <c r="L527" i="14"/>
  <c r="M527" i="14"/>
  <c r="N527" i="14"/>
  <c r="P527" i="14"/>
  <c r="Q527" i="14"/>
  <c r="B528" i="14"/>
  <c r="C528" i="14"/>
  <c r="D528" i="14"/>
  <c r="E528" i="14"/>
  <c r="F528" i="14"/>
  <c r="H528" i="14"/>
  <c r="I528" i="14"/>
  <c r="J528" i="14"/>
  <c r="K528" i="14"/>
  <c r="L528" i="14"/>
  <c r="M528" i="14"/>
  <c r="N528" i="14"/>
  <c r="P528" i="14"/>
  <c r="Q528" i="14"/>
  <c r="B529" i="14"/>
  <c r="C529" i="14"/>
  <c r="D529" i="14"/>
  <c r="E529" i="14"/>
  <c r="F529" i="14"/>
  <c r="H529" i="14"/>
  <c r="I529" i="14"/>
  <c r="J529" i="14"/>
  <c r="K529" i="14"/>
  <c r="L529" i="14"/>
  <c r="M529" i="14"/>
  <c r="N529" i="14"/>
  <c r="P529" i="14"/>
  <c r="Q529" i="14"/>
  <c r="B530" i="14"/>
  <c r="C530" i="14"/>
  <c r="D530" i="14"/>
  <c r="E530" i="14"/>
  <c r="F530" i="14"/>
  <c r="H530" i="14"/>
  <c r="I530" i="14"/>
  <c r="J530" i="14"/>
  <c r="K530" i="14"/>
  <c r="L530" i="14"/>
  <c r="M530" i="14"/>
  <c r="N530" i="14"/>
  <c r="P530" i="14"/>
  <c r="Q530" i="14"/>
  <c r="B531" i="14"/>
  <c r="C531" i="14"/>
  <c r="D531" i="14"/>
  <c r="E531" i="14"/>
  <c r="F531" i="14"/>
  <c r="H531" i="14"/>
  <c r="I531" i="14"/>
  <c r="J531" i="14"/>
  <c r="K531" i="14"/>
  <c r="L531" i="14"/>
  <c r="M531" i="14"/>
  <c r="N531" i="14"/>
  <c r="P531" i="14"/>
  <c r="Q531" i="14"/>
  <c r="B532" i="14"/>
  <c r="C532" i="14"/>
  <c r="D532" i="14"/>
  <c r="E532" i="14"/>
  <c r="F532" i="14"/>
  <c r="H532" i="14"/>
  <c r="I532" i="14"/>
  <c r="J532" i="14"/>
  <c r="K532" i="14"/>
  <c r="L532" i="14"/>
  <c r="M532" i="14"/>
  <c r="N532" i="14"/>
  <c r="P532" i="14"/>
  <c r="Q532" i="14"/>
  <c r="B533" i="14"/>
  <c r="C533" i="14"/>
  <c r="D533" i="14"/>
  <c r="E533" i="14"/>
  <c r="F533" i="14"/>
  <c r="H533" i="14"/>
  <c r="I533" i="14"/>
  <c r="J533" i="14"/>
  <c r="K533" i="14"/>
  <c r="L533" i="14"/>
  <c r="M533" i="14"/>
  <c r="N533" i="14"/>
  <c r="P533" i="14"/>
  <c r="Q533" i="14"/>
  <c r="B534" i="14"/>
  <c r="C534" i="14"/>
  <c r="D534" i="14"/>
  <c r="E534" i="14"/>
  <c r="F534" i="14"/>
  <c r="H534" i="14"/>
  <c r="I534" i="14"/>
  <c r="J534" i="14"/>
  <c r="K534" i="14"/>
  <c r="L534" i="14"/>
  <c r="M534" i="14"/>
  <c r="N534" i="14"/>
  <c r="P534" i="14"/>
  <c r="Q534" i="14"/>
  <c r="B536" i="14"/>
  <c r="C536" i="14"/>
  <c r="D536" i="14"/>
  <c r="E536" i="14"/>
  <c r="F536" i="14"/>
  <c r="H536" i="14"/>
  <c r="I536" i="14"/>
  <c r="J536" i="14"/>
  <c r="K536" i="14"/>
  <c r="L536" i="14"/>
  <c r="M536" i="14"/>
  <c r="N536" i="14"/>
  <c r="P536" i="14"/>
  <c r="Q536" i="14"/>
  <c r="B537" i="14"/>
  <c r="C537" i="14"/>
  <c r="D537" i="14"/>
  <c r="E537" i="14"/>
  <c r="F537" i="14"/>
  <c r="H537" i="14"/>
  <c r="I537" i="14"/>
  <c r="J537" i="14"/>
  <c r="K537" i="14"/>
  <c r="L537" i="14"/>
  <c r="M537" i="14"/>
  <c r="N537" i="14"/>
  <c r="P537" i="14"/>
  <c r="Q537" i="14"/>
  <c r="B538" i="14"/>
  <c r="C538" i="14"/>
  <c r="D538" i="14"/>
  <c r="E538" i="14"/>
  <c r="F538" i="14"/>
  <c r="H538" i="14"/>
  <c r="I538" i="14"/>
  <c r="J538" i="14"/>
  <c r="K538" i="14"/>
  <c r="L538" i="14"/>
  <c r="M538" i="14"/>
  <c r="N538" i="14"/>
  <c r="P538" i="14"/>
  <c r="Q538" i="14"/>
  <c r="B539" i="14"/>
  <c r="C539" i="14"/>
  <c r="D539" i="14"/>
  <c r="E539" i="14"/>
  <c r="F539" i="14"/>
  <c r="H539" i="14"/>
  <c r="I539" i="14"/>
  <c r="J539" i="14"/>
  <c r="K539" i="14"/>
  <c r="L539" i="14"/>
  <c r="M539" i="14"/>
  <c r="N539" i="14"/>
  <c r="P539" i="14"/>
  <c r="Q539" i="14"/>
  <c r="B540" i="14"/>
  <c r="C540" i="14"/>
  <c r="D540" i="14"/>
  <c r="E540" i="14"/>
  <c r="F540" i="14"/>
  <c r="H540" i="14"/>
  <c r="I540" i="14"/>
  <c r="J540" i="14"/>
  <c r="K540" i="14"/>
  <c r="L540" i="14"/>
  <c r="M540" i="14"/>
  <c r="N540" i="14"/>
  <c r="P540" i="14"/>
  <c r="Q540" i="14"/>
  <c r="B541" i="14"/>
  <c r="C541" i="14"/>
  <c r="D541" i="14"/>
  <c r="E541" i="14"/>
  <c r="F541" i="14"/>
  <c r="H541" i="14"/>
  <c r="I541" i="14"/>
  <c r="J541" i="14"/>
  <c r="K541" i="14"/>
  <c r="L541" i="14"/>
  <c r="M541" i="14"/>
  <c r="N541" i="14"/>
  <c r="P541" i="14"/>
  <c r="Q541" i="14"/>
  <c r="B542" i="14"/>
  <c r="C542" i="14"/>
  <c r="D542" i="14"/>
  <c r="E542" i="14"/>
  <c r="F542" i="14"/>
  <c r="H542" i="14"/>
  <c r="I542" i="14"/>
  <c r="J542" i="14"/>
  <c r="K542" i="14"/>
  <c r="L542" i="14"/>
  <c r="M542" i="14"/>
  <c r="N542" i="14"/>
  <c r="P542" i="14"/>
  <c r="Q542" i="14"/>
  <c r="B543" i="14"/>
  <c r="C543" i="14"/>
  <c r="D543" i="14"/>
  <c r="E543" i="14"/>
  <c r="F543" i="14"/>
  <c r="H543" i="14"/>
  <c r="I543" i="14"/>
  <c r="J543" i="14"/>
  <c r="K543" i="14"/>
  <c r="L543" i="14"/>
  <c r="M543" i="14"/>
  <c r="N543" i="14"/>
  <c r="P543" i="14"/>
  <c r="Q543" i="14"/>
  <c r="B7" i="17"/>
  <c r="D7" i="17"/>
  <c r="F7" i="17"/>
  <c r="G7" i="17"/>
  <c r="H7" i="17"/>
  <c r="I7" i="17"/>
  <c r="J7" i="17"/>
  <c r="B8" i="17"/>
  <c r="D8" i="17"/>
  <c r="F8" i="17"/>
  <c r="G8" i="17"/>
  <c r="H8" i="17"/>
  <c r="I8" i="17"/>
  <c r="J8" i="17"/>
  <c r="B9" i="17"/>
  <c r="D9" i="17"/>
  <c r="F9" i="17"/>
  <c r="G9" i="17"/>
  <c r="H9" i="17"/>
  <c r="I9" i="17"/>
  <c r="J9" i="17"/>
  <c r="B10" i="17"/>
  <c r="D10" i="17"/>
  <c r="F10" i="17"/>
  <c r="G10" i="17"/>
  <c r="H10" i="17"/>
  <c r="I10" i="17"/>
  <c r="J10" i="17"/>
  <c r="B11" i="17"/>
  <c r="D11" i="17"/>
  <c r="F11" i="17"/>
  <c r="G11" i="17"/>
  <c r="H11" i="17"/>
  <c r="I11" i="17"/>
  <c r="J11" i="17"/>
  <c r="B12" i="17"/>
  <c r="D12" i="17"/>
  <c r="F12" i="17"/>
  <c r="G12" i="17"/>
  <c r="H12" i="17"/>
  <c r="I12" i="17"/>
  <c r="J12" i="17"/>
  <c r="B13" i="17"/>
  <c r="D13" i="17"/>
  <c r="F13" i="17"/>
  <c r="G13" i="17"/>
  <c r="H13" i="17"/>
  <c r="I13" i="17"/>
  <c r="J13" i="17"/>
  <c r="U13" i="17"/>
  <c r="V13" i="17"/>
  <c r="Y13" i="17"/>
  <c r="Z13" i="17"/>
  <c r="B14" i="17"/>
  <c r="D14" i="17"/>
  <c r="F14" i="17"/>
  <c r="G14" i="17"/>
  <c r="H14" i="17"/>
  <c r="I14" i="17"/>
  <c r="J14" i="17"/>
  <c r="U14" i="17"/>
  <c r="V14" i="17"/>
  <c r="Y14" i="17"/>
  <c r="Z14" i="17"/>
  <c r="B15" i="17"/>
  <c r="D15" i="17"/>
  <c r="F15" i="17"/>
  <c r="G15" i="17"/>
  <c r="H15" i="17"/>
  <c r="I15" i="17"/>
  <c r="J15" i="17"/>
  <c r="U15" i="17"/>
  <c r="V15" i="17"/>
  <c r="Y15" i="17"/>
  <c r="Z15" i="17"/>
  <c r="B16" i="17"/>
  <c r="D16" i="17"/>
  <c r="F16" i="17"/>
  <c r="G16" i="17"/>
  <c r="H16" i="17"/>
  <c r="I16" i="17"/>
  <c r="J16" i="17"/>
  <c r="U16" i="17"/>
  <c r="V16" i="17"/>
  <c r="Y16" i="17"/>
  <c r="Z16" i="17"/>
  <c r="B17" i="17"/>
  <c r="D17" i="17"/>
  <c r="F17" i="17"/>
  <c r="G17" i="17"/>
  <c r="H17" i="17"/>
  <c r="I17" i="17"/>
  <c r="J17" i="17"/>
  <c r="U17" i="17"/>
  <c r="V17" i="17"/>
  <c r="Y17" i="17"/>
  <c r="Z17" i="17"/>
  <c r="B18" i="17"/>
  <c r="D18" i="17"/>
  <c r="F18" i="17"/>
  <c r="G18" i="17"/>
  <c r="H18" i="17"/>
  <c r="I18" i="17"/>
  <c r="J18" i="17"/>
  <c r="U18" i="17"/>
  <c r="V18" i="17"/>
  <c r="Y18" i="17"/>
  <c r="Z18" i="17"/>
  <c r="B19" i="17"/>
  <c r="D19" i="17"/>
  <c r="F19" i="17"/>
  <c r="G19" i="17"/>
  <c r="H19" i="17"/>
  <c r="I19" i="17"/>
  <c r="J19" i="17"/>
  <c r="U19" i="17"/>
  <c r="V19" i="17"/>
  <c r="Y19" i="17"/>
  <c r="Z19" i="17"/>
  <c r="B20" i="17"/>
  <c r="D20" i="17"/>
  <c r="F20" i="17"/>
  <c r="G20" i="17"/>
  <c r="H20" i="17"/>
  <c r="I20" i="17"/>
  <c r="J20" i="17"/>
  <c r="U20" i="17"/>
  <c r="V20" i="17"/>
  <c r="Y20" i="17"/>
  <c r="Z20" i="17"/>
  <c r="B21" i="17"/>
  <c r="D21" i="17"/>
  <c r="F21" i="17"/>
  <c r="G21" i="17"/>
  <c r="H21" i="17"/>
  <c r="I21" i="17"/>
  <c r="J21" i="17"/>
  <c r="U21" i="17"/>
  <c r="V21" i="17"/>
  <c r="Y21" i="17"/>
  <c r="Z21" i="17"/>
  <c r="B22" i="17"/>
  <c r="D22" i="17"/>
  <c r="F22" i="17"/>
  <c r="G22" i="17"/>
  <c r="H22" i="17"/>
  <c r="I22" i="17"/>
  <c r="J22" i="17"/>
  <c r="U22" i="17"/>
  <c r="V22" i="17"/>
  <c r="Y22" i="17"/>
  <c r="Z22" i="17"/>
  <c r="B23" i="17"/>
  <c r="D23" i="17"/>
  <c r="F23" i="17"/>
  <c r="G23" i="17"/>
  <c r="H23" i="17"/>
  <c r="I23" i="17"/>
  <c r="J23" i="17"/>
  <c r="U23" i="17"/>
  <c r="V23" i="17"/>
  <c r="Y23" i="17"/>
  <c r="Z23" i="17"/>
  <c r="B24" i="17"/>
  <c r="D24" i="17"/>
  <c r="F24" i="17"/>
  <c r="G24" i="17"/>
  <c r="H24" i="17"/>
  <c r="I24" i="17"/>
  <c r="J24" i="17"/>
  <c r="U24" i="17"/>
  <c r="V24" i="17"/>
  <c r="Y24" i="17"/>
  <c r="Z24" i="17"/>
  <c r="B25" i="17"/>
  <c r="D25" i="17"/>
  <c r="F25" i="17"/>
  <c r="G25" i="17"/>
  <c r="H25" i="17"/>
  <c r="I25" i="17"/>
  <c r="J25" i="17"/>
  <c r="U25" i="17"/>
  <c r="V25" i="17"/>
  <c r="Y25" i="17"/>
  <c r="Z25" i="17"/>
  <c r="B26" i="17"/>
  <c r="D26" i="17"/>
  <c r="F26" i="17"/>
  <c r="G26" i="17"/>
  <c r="H26" i="17"/>
  <c r="I26" i="17"/>
  <c r="J26" i="17"/>
  <c r="B27" i="17"/>
  <c r="D27" i="17"/>
  <c r="F27" i="17"/>
  <c r="G27" i="17"/>
  <c r="H27" i="17"/>
  <c r="I27" i="17"/>
  <c r="J27" i="17"/>
  <c r="B28" i="17"/>
  <c r="D28" i="17"/>
  <c r="F28" i="17"/>
  <c r="G28" i="17"/>
  <c r="H28" i="17"/>
  <c r="I28" i="17"/>
  <c r="J28" i="17"/>
  <c r="B29" i="17"/>
  <c r="D29" i="17"/>
  <c r="F29" i="17"/>
  <c r="G29" i="17"/>
  <c r="H29" i="17"/>
  <c r="I29" i="17"/>
  <c r="J29" i="17"/>
  <c r="B30" i="17"/>
  <c r="D30" i="17"/>
  <c r="F30" i="17"/>
  <c r="G30" i="17"/>
  <c r="H30" i="17"/>
  <c r="I30" i="17"/>
  <c r="J30" i="17"/>
  <c r="B31" i="17"/>
  <c r="D31" i="17"/>
  <c r="F31" i="17"/>
  <c r="G31" i="17"/>
  <c r="H31" i="17"/>
  <c r="I31" i="17"/>
  <c r="J31" i="17"/>
  <c r="B32" i="17"/>
  <c r="D32" i="17"/>
  <c r="F32" i="17"/>
  <c r="G32" i="17"/>
  <c r="H32" i="17"/>
  <c r="I32" i="17"/>
  <c r="J32" i="17"/>
  <c r="B33" i="17"/>
  <c r="D33" i="17"/>
  <c r="F33" i="17"/>
  <c r="G33" i="17"/>
  <c r="H33" i="17"/>
  <c r="I33" i="17"/>
  <c r="J33" i="17"/>
  <c r="B38" i="17"/>
  <c r="D38" i="17"/>
  <c r="F38" i="17"/>
  <c r="G38" i="17"/>
  <c r="H38" i="17"/>
  <c r="I38" i="17"/>
  <c r="J38" i="17"/>
  <c r="B39" i="17"/>
  <c r="D39" i="17"/>
  <c r="F39" i="17"/>
  <c r="G39" i="17"/>
  <c r="H39" i="17"/>
  <c r="I39" i="17"/>
  <c r="J39" i="17"/>
  <c r="B40" i="17"/>
  <c r="D40" i="17"/>
  <c r="F40" i="17"/>
  <c r="G40" i="17"/>
  <c r="H40" i="17"/>
  <c r="I40" i="17"/>
  <c r="J40" i="17"/>
  <c r="B41" i="17"/>
  <c r="D41" i="17"/>
  <c r="F41" i="17"/>
  <c r="G41" i="17"/>
  <c r="H41" i="17"/>
  <c r="I41" i="17"/>
  <c r="J41" i="17"/>
  <c r="B42" i="17"/>
  <c r="D42" i="17"/>
  <c r="F42" i="17"/>
  <c r="G42" i="17"/>
  <c r="H42" i="17"/>
  <c r="I42" i="17"/>
  <c r="J42" i="17"/>
  <c r="B43" i="17"/>
  <c r="D43" i="17"/>
  <c r="F43" i="17"/>
  <c r="G43" i="17"/>
  <c r="H43" i="17"/>
  <c r="I43" i="17"/>
  <c r="J43" i="17"/>
  <c r="B44" i="17"/>
  <c r="D44" i="17"/>
  <c r="F44" i="17"/>
  <c r="G44" i="17"/>
  <c r="H44" i="17"/>
  <c r="I44" i="17"/>
  <c r="J44" i="17"/>
  <c r="B45" i="17"/>
  <c r="D45" i="17"/>
  <c r="F45" i="17"/>
  <c r="G45" i="17"/>
  <c r="H45" i="17"/>
  <c r="I45" i="17"/>
  <c r="J45" i="17"/>
  <c r="B46" i="17"/>
  <c r="D46" i="17"/>
  <c r="F46" i="17"/>
  <c r="G46" i="17"/>
  <c r="H46" i="17"/>
  <c r="I46" i="17"/>
  <c r="J46" i="17"/>
  <c r="B47" i="17"/>
  <c r="D47" i="17"/>
  <c r="F47" i="17"/>
  <c r="G47" i="17"/>
  <c r="H47" i="17"/>
  <c r="I47" i="17"/>
  <c r="J47" i="17"/>
  <c r="B48" i="17"/>
  <c r="D48" i="17"/>
  <c r="F48" i="17"/>
  <c r="G48" i="17"/>
  <c r="H48" i="17"/>
  <c r="I48" i="17"/>
  <c r="J48" i="17"/>
  <c r="B49" i="17"/>
  <c r="D49" i="17"/>
  <c r="F49" i="17"/>
  <c r="G49" i="17"/>
  <c r="H49" i="17"/>
  <c r="I49" i="17"/>
  <c r="J49" i="17"/>
  <c r="B50" i="17"/>
  <c r="D50" i="17"/>
  <c r="F50" i="17"/>
  <c r="G50" i="17"/>
  <c r="H50" i="17"/>
  <c r="I50" i="17"/>
  <c r="J50" i="17"/>
  <c r="B51" i="17"/>
  <c r="D51" i="17"/>
  <c r="F51" i="17"/>
  <c r="G51" i="17"/>
  <c r="H51" i="17"/>
  <c r="I51" i="17"/>
  <c r="J51" i="17"/>
  <c r="B52" i="17"/>
  <c r="D52" i="17"/>
  <c r="F52" i="17"/>
  <c r="G52" i="17"/>
  <c r="H52" i="17"/>
  <c r="I52" i="17"/>
  <c r="J52" i="17"/>
  <c r="B53" i="17"/>
  <c r="D53" i="17"/>
  <c r="F53" i="17"/>
  <c r="G53" i="17"/>
  <c r="H53" i="17"/>
  <c r="I53" i="17"/>
  <c r="J53" i="17"/>
  <c r="B54" i="17"/>
  <c r="D54" i="17"/>
  <c r="F54" i="17"/>
  <c r="G54" i="17"/>
  <c r="H54" i="17"/>
  <c r="I54" i="17"/>
  <c r="J54" i="17"/>
  <c r="B55" i="17"/>
  <c r="D55" i="17"/>
  <c r="F55" i="17"/>
  <c r="G55" i="17"/>
  <c r="H55" i="17"/>
  <c r="I55" i="17"/>
  <c r="J55" i="17"/>
  <c r="B56" i="17"/>
  <c r="D56" i="17"/>
  <c r="F56" i="17"/>
  <c r="G56" i="17"/>
  <c r="H56" i="17"/>
  <c r="I56" i="17"/>
  <c r="J56" i="17"/>
  <c r="B57" i="17"/>
  <c r="D57" i="17"/>
  <c r="F57" i="17"/>
  <c r="G57" i="17"/>
  <c r="H57" i="17"/>
  <c r="I57" i="17"/>
  <c r="J57" i="17"/>
  <c r="B58" i="17"/>
  <c r="D58" i="17"/>
  <c r="F58" i="17"/>
  <c r="G58" i="17"/>
  <c r="H58" i="17"/>
  <c r="I58" i="17"/>
  <c r="J58" i="17"/>
  <c r="B59" i="17"/>
  <c r="D59" i="17"/>
  <c r="F59" i="17"/>
  <c r="G59" i="17"/>
  <c r="H59" i="17"/>
  <c r="I59" i="17"/>
  <c r="J59" i="17"/>
  <c r="B60" i="17"/>
  <c r="D60" i="17"/>
  <c r="F60" i="17"/>
  <c r="G60" i="17"/>
  <c r="H60" i="17"/>
  <c r="I60" i="17"/>
  <c r="J60" i="17"/>
  <c r="B61" i="17"/>
  <c r="D61" i="17"/>
  <c r="F61" i="17"/>
  <c r="G61" i="17"/>
  <c r="H61" i="17"/>
  <c r="I61" i="17"/>
  <c r="J61" i="17"/>
  <c r="B62" i="17"/>
  <c r="D62" i="17"/>
  <c r="F62" i="17"/>
  <c r="G62" i="17"/>
  <c r="H62" i="17"/>
  <c r="I62" i="17"/>
  <c r="J62" i="17"/>
  <c r="B63" i="17"/>
  <c r="D63" i="17"/>
  <c r="F63" i="17"/>
  <c r="G63" i="17"/>
  <c r="H63" i="17"/>
  <c r="I63" i="17"/>
  <c r="J63" i="17"/>
  <c r="B64" i="17"/>
  <c r="D64" i="17"/>
  <c r="F64" i="17"/>
  <c r="G64" i="17"/>
  <c r="H64" i="17"/>
  <c r="I64" i="17"/>
  <c r="J64" i="17"/>
  <c r="B69" i="17"/>
  <c r="D69" i="17"/>
  <c r="F69" i="17"/>
  <c r="G69" i="17"/>
  <c r="H69" i="17"/>
  <c r="I69" i="17"/>
  <c r="J69" i="17"/>
  <c r="B70" i="17"/>
  <c r="D70" i="17"/>
  <c r="F70" i="17"/>
  <c r="G70" i="17"/>
  <c r="H70" i="17"/>
  <c r="I70" i="17"/>
  <c r="J70" i="17"/>
  <c r="B71" i="17"/>
  <c r="D71" i="17"/>
  <c r="F71" i="17"/>
  <c r="G71" i="17"/>
  <c r="H71" i="17"/>
  <c r="I71" i="17"/>
  <c r="J71" i="17"/>
  <c r="B72" i="17"/>
  <c r="D72" i="17"/>
  <c r="F72" i="17"/>
  <c r="G72" i="17"/>
  <c r="H72" i="17"/>
  <c r="I72" i="17"/>
  <c r="J72" i="17"/>
  <c r="B73" i="17"/>
  <c r="D73" i="17"/>
  <c r="F73" i="17"/>
  <c r="G73" i="17"/>
  <c r="H73" i="17"/>
  <c r="I73" i="17"/>
  <c r="J73" i="17"/>
  <c r="B74" i="17"/>
  <c r="D74" i="17"/>
  <c r="F74" i="17"/>
  <c r="G74" i="17"/>
  <c r="H74" i="17"/>
  <c r="I74" i="17"/>
  <c r="J74" i="17"/>
  <c r="B75" i="17"/>
  <c r="D75" i="17"/>
  <c r="F75" i="17"/>
  <c r="G75" i="17"/>
  <c r="H75" i="17"/>
  <c r="I75" i="17"/>
  <c r="J75" i="17"/>
  <c r="P75" i="17"/>
  <c r="Q75" i="17"/>
  <c r="S75" i="17"/>
  <c r="T75" i="17"/>
  <c r="U75" i="17"/>
  <c r="V75" i="17"/>
  <c r="Y75" i="17"/>
  <c r="Z75" i="17"/>
  <c r="B76" i="17"/>
  <c r="D76" i="17"/>
  <c r="F76" i="17"/>
  <c r="G76" i="17"/>
  <c r="H76" i="17"/>
  <c r="I76" i="17"/>
  <c r="J76" i="17"/>
  <c r="P76" i="17"/>
  <c r="Q76" i="17"/>
  <c r="S76" i="17"/>
  <c r="T76" i="17"/>
  <c r="U76" i="17"/>
  <c r="V76" i="17"/>
  <c r="Y76" i="17"/>
  <c r="Z76" i="17"/>
  <c r="B77" i="17"/>
  <c r="D77" i="17"/>
  <c r="F77" i="17"/>
  <c r="G77" i="17"/>
  <c r="H77" i="17"/>
  <c r="I77" i="17"/>
  <c r="J77" i="17"/>
  <c r="P77" i="17"/>
  <c r="Q77" i="17"/>
  <c r="S77" i="17"/>
  <c r="T77" i="17"/>
  <c r="U77" i="17"/>
  <c r="V77" i="17"/>
  <c r="Y77" i="17"/>
  <c r="Z77" i="17"/>
  <c r="B78" i="17"/>
  <c r="D78" i="17"/>
  <c r="F78" i="17"/>
  <c r="G78" i="17"/>
  <c r="H78" i="17"/>
  <c r="I78" i="17"/>
  <c r="J78" i="17"/>
  <c r="P78" i="17"/>
  <c r="Q78" i="17"/>
  <c r="S78" i="17"/>
  <c r="T78" i="17"/>
  <c r="U78" i="17"/>
  <c r="V78" i="17"/>
  <c r="Y78" i="17"/>
  <c r="Z78" i="17"/>
  <c r="B79" i="17"/>
  <c r="D79" i="17"/>
  <c r="F79" i="17"/>
  <c r="G79" i="17"/>
  <c r="H79" i="17"/>
  <c r="I79" i="17"/>
  <c r="J79" i="17"/>
  <c r="P79" i="17"/>
  <c r="Q79" i="17"/>
  <c r="S79" i="17"/>
  <c r="T79" i="17"/>
  <c r="U79" i="17"/>
  <c r="V79" i="17"/>
  <c r="Y79" i="17"/>
  <c r="Z79" i="17"/>
  <c r="B80" i="17"/>
  <c r="D80" i="17"/>
  <c r="F80" i="17"/>
  <c r="G80" i="17"/>
  <c r="H80" i="17"/>
  <c r="I80" i="17"/>
  <c r="J80" i="17"/>
  <c r="P80" i="17"/>
  <c r="Q80" i="17"/>
  <c r="S80" i="17"/>
  <c r="T80" i="17"/>
  <c r="U80" i="17"/>
  <c r="V80" i="17"/>
  <c r="Y80" i="17"/>
  <c r="Z80" i="17"/>
  <c r="B81" i="17"/>
  <c r="D81" i="17"/>
  <c r="F81" i="17"/>
  <c r="G81" i="17"/>
  <c r="H81" i="17"/>
  <c r="I81" i="17"/>
  <c r="J81" i="17"/>
  <c r="P81" i="17"/>
  <c r="Q81" i="17"/>
  <c r="S81" i="17"/>
  <c r="T81" i="17"/>
  <c r="U81" i="17"/>
  <c r="V81" i="17"/>
  <c r="Y81" i="17"/>
  <c r="Z81" i="17"/>
  <c r="B82" i="17"/>
  <c r="D82" i="17"/>
  <c r="F82" i="17"/>
  <c r="G82" i="17"/>
  <c r="H82" i="17"/>
  <c r="I82" i="17"/>
  <c r="J82" i="17"/>
  <c r="P82" i="17"/>
  <c r="Q82" i="17"/>
  <c r="S82" i="17"/>
  <c r="T82" i="17"/>
  <c r="U82" i="17"/>
  <c r="V82" i="17"/>
  <c r="Y82" i="17"/>
  <c r="Z82" i="17"/>
  <c r="B83" i="17"/>
  <c r="D83" i="17"/>
  <c r="F83" i="17"/>
  <c r="G83" i="17"/>
  <c r="H83" i="17"/>
  <c r="I83" i="17"/>
  <c r="J83" i="17"/>
  <c r="P83" i="17"/>
  <c r="Q83" i="17"/>
  <c r="S83" i="17"/>
  <c r="T83" i="17"/>
  <c r="U83" i="17"/>
  <c r="V83" i="17"/>
  <c r="Y83" i="17"/>
  <c r="Z83" i="17"/>
  <c r="B84" i="17"/>
  <c r="D84" i="17"/>
  <c r="F84" i="17"/>
  <c r="G84" i="17"/>
  <c r="H84" i="17"/>
  <c r="I84" i="17"/>
  <c r="J84" i="17"/>
  <c r="P84" i="17"/>
  <c r="Q84" i="17"/>
  <c r="S84" i="17"/>
  <c r="T84" i="17"/>
  <c r="U84" i="17"/>
  <c r="V84" i="17"/>
  <c r="Y84" i="17"/>
  <c r="Z84" i="17"/>
  <c r="B85" i="17"/>
  <c r="D85" i="17"/>
  <c r="F85" i="17"/>
  <c r="G85" i="17"/>
  <c r="H85" i="17"/>
  <c r="I85" i="17"/>
  <c r="J85" i="17"/>
  <c r="P85" i="17"/>
  <c r="Q85" i="17"/>
  <c r="S85" i="17"/>
  <c r="T85" i="17"/>
  <c r="U85" i="17"/>
  <c r="V85" i="17"/>
  <c r="Y85" i="17"/>
  <c r="Z85" i="17"/>
  <c r="B86" i="17"/>
  <c r="D86" i="17"/>
  <c r="F86" i="17"/>
  <c r="G86" i="17"/>
  <c r="H86" i="17"/>
  <c r="I86" i="17"/>
  <c r="J86" i="17"/>
  <c r="P86" i="17"/>
  <c r="Q86" i="17"/>
  <c r="S86" i="17"/>
  <c r="T86" i="17"/>
  <c r="U86" i="17"/>
  <c r="V86" i="17"/>
  <c r="Y86" i="17"/>
  <c r="Z86" i="17"/>
  <c r="B87" i="17"/>
  <c r="D87" i="17"/>
  <c r="F87" i="17"/>
  <c r="G87" i="17"/>
  <c r="H87" i="17"/>
  <c r="I87" i="17"/>
  <c r="J87" i="17"/>
  <c r="P87" i="17"/>
  <c r="Q87" i="17"/>
  <c r="S87" i="17"/>
  <c r="T87" i="17"/>
  <c r="U87" i="17"/>
  <c r="V87" i="17"/>
  <c r="Y87" i="17"/>
  <c r="Z87" i="17"/>
  <c r="B88" i="17"/>
  <c r="D88" i="17"/>
  <c r="F88" i="17"/>
  <c r="G88" i="17"/>
  <c r="H88" i="17"/>
  <c r="I88" i="17"/>
  <c r="J88" i="17"/>
  <c r="B89" i="17"/>
  <c r="D89" i="17"/>
  <c r="F89" i="17"/>
  <c r="G89" i="17"/>
  <c r="H89" i="17"/>
  <c r="I89" i="17"/>
  <c r="J89" i="17"/>
  <c r="B90" i="17"/>
  <c r="D90" i="17"/>
  <c r="F90" i="17"/>
  <c r="G90" i="17"/>
  <c r="H90" i="17"/>
  <c r="I90" i="17"/>
  <c r="J90" i="17"/>
  <c r="B91" i="17"/>
  <c r="D91" i="17"/>
  <c r="F91" i="17"/>
  <c r="G91" i="17"/>
  <c r="H91" i="17"/>
  <c r="I91" i="17"/>
  <c r="J91" i="17"/>
  <c r="B92" i="17"/>
  <c r="D92" i="17"/>
  <c r="F92" i="17"/>
  <c r="G92" i="17"/>
  <c r="H92" i="17"/>
  <c r="I92" i="17"/>
  <c r="J92" i="17"/>
  <c r="B93" i="17"/>
  <c r="D93" i="17"/>
  <c r="F93" i="17"/>
  <c r="G93" i="17"/>
  <c r="H93" i="17"/>
  <c r="I93" i="17"/>
  <c r="J93" i="17"/>
  <c r="B94" i="17"/>
  <c r="D94" i="17"/>
  <c r="F94" i="17"/>
  <c r="G94" i="17"/>
  <c r="H94" i="17"/>
  <c r="I94" i="17"/>
  <c r="J94" i="17"/>
  <c r="B95" i="17"/>
  <c r="D95" i="17"/>
  <c r="F95" i="17"/>
  <c r="G95" i="17"/>
  <c r="H95" i="17"/>
  <c r="I95" i="17"/>
  <c r="J95" i="17"/>
  <c r="B100" i="17"/>
  <c r="D100" i="17"/>
  <c r="F100" i="17"/>
  <c r="G100" i="17"/>
  <c r="H100" i="17"/>
  <c r="I100" i="17"/>
  <c r="J100" i="17"/>
  <c r="B101" i="17"/>
  <c r="D101" i="17"/>
  <c r="F101" i="17"/>
  <c r="G101" i="17"/>
  <c r="H101" i="17"/>
  <c r="I101" i="17"/>
  <c r="J101" i="17"/>
  <c r="B102" i="17"/>
  <c r="D102" i="17"/>
  <c r="F102" i="17"/>
  <c r="G102" i="17"/>
  <c r="H102" i="17"/>
  <c r="I102" i="17"/>
  <c r="J102" i="17"/>
  <c r="B103" i="17"/>
  <c r="D103" i="17"/>
  <c r="F103" i="17"/>
  <c r="G103" i="17"/>
  <c r="H103" i="17"/>
  <c r="I103" i="17"/>
  <c r="J103" i="17"/>
  <c r="B104" i="17"/>
  <c r="D104" i="17"/>
  <c r="F104" i="17"/>
  <c r="G104" i="17"/>
  <c r="H104" i="17"/>
  <c r="I104" i="17"/>
  <c r="J104" i="17"/>
  <c r="B105" i="17"/>
  <c r="D105" i="17"/>
  <c r="F105" i="17"/>
  <c r="G105" i="17"/>
  <c r="H105" i="17"/>
  <c r="I105" i="17"/>
  <c r="J105" i="17"/>
  <c r="B106" i="17"/>
  <c r="D106" i="17"/>
  <c r="F106" i="17"/>
  <c r="G106" i="17"/>
  <c r="H106" i="17"/>
  <c r="I106" i="17"/>
  <c r="J106" i="17"/>
  <c r="B107" i="17"/>
  <c r="D107" i="17"/>
  <c r="F107" i="17"/>
  <c r="G107" i="17"/>
  <c r="H107" i="17"/>
  <c r="I107" i="17"/>
  <c r="J107" i="17"/>
  <c r="B108" i="17"/>
  <c r="D108" i="17"/>
  <c r="F108" i="17"/>
  <c r="G108" i="17"/>
  <c r="H108" i="17"/>
  <c r="I108" i="17"/>
  <c r="J108" i="17"/>
  <c r="B109" i="17"/>
  <c r="D109" i="17"/>
  <c r="F109" i="17"/>
  <c r="G109" i="17"/>
  <c r="H109" i="17"/>
  <c r="I109" i="17"/>
  <c r="J109" i="17"/>
  <c r="B110" i="17"/>
  <c r="D110" i="17"/>
  <c r="F110" i="17"/>
  <c r="G110" i="17"/>
  <c r="H110" i="17"/>
  <c r="I110" i="17"/>
  <c r="J110" i="17"/>
  <c r="B111" i="17"/>
  <c r="D111" i="17"/>
  <c r="F111" i="17"/>
  <c r="G111" i="17"/>
  <c r="H111" i="17"/>
  <c r="I111" i="17"/>
  <c r="J111" i="17"/>
  <c r="B112" i="17"/>
  <c r="D112" i="17"/>
  <c r="F112" i="17"/>
  <c r="G112" i="17"/>
  <c r="H112" i="17"/>
  <c r="I112" i="17"/>
  <c r="J112" i="17"/>
  <c r="B113" i="17"/>
  <c r="D113" i="17"/>
  <c r="F113" i="17"/>
  <c r="G113" i="17"/>
  <c r="H113" i="17"/>
  <c r="I113" i="17"/>
  <c r="J113" i="17"/>
  <c r="B114" i="17"/>
  <c r="D114" i="17"/>
  <c r="F114" i="17"/>
  <c r="G114" i="17"/>
  <c r="H114" i="17"/>
  <c r="I114" i="17"/>
  <c r="J114" i="17"/>
  <c r="B115" i="17"/>
  <c r="D115" i="17"/>
  <c r="F115" i="17"/>
  <c r="G115" i="17"/>
  <c r="H115" i="17"/>
  <c r="I115" i="17"/>
  <c r="J115" i="17"/>
  <c r="B116" i="17"/>
  <c r="D116" i="17"/>
  <c r="F116" i="17"/>
  <c r="G116" i="17"/>
  <c r="H116" i="17"/>
  <c r="I116" i="17"/>
  <c r="J116" i="17"/>
  <c r="B117" i="17"/>
  <c r="D117" i="17"/>
  <c r="F117" i="17"/>
  <c r="G117" i="17"/>
  <c r="H117" i="17"/>
  <c r="I117" i="17"/>
  <c r="J117" i="17"/>
  <c r="B118" i="17"/>
  <c r="D118" i="17"/>
  <c r="F118" i="17"/>
  <c r="G118" i="17"/>
  <c r="H118" i="17"/>
  <c r="I118" i="17"/>
  <c r="J118" i="17"/>
  <c r="B119" i="17"/>
  <c r="D119" i="17"/>
  <c r="F119" i="17"/>
  <c r="G119" i="17"/>
  <c r="H119" i="17"/>
  <c r="I119" i="17"/>
  <c r="J119" i="17"/>
  <c r="B120" i="17"/>
  <c r="D120" i="17"/>
  <c r="F120" i="17"/>
  <c r="G120" i="17"/>
  <c r="H120" i="17"/>
  <c r="I120" i="17"/>
  <c r="J120" i="17"/>
  <c r="B121" i="17"/>
  <c r="D121" i="17"/>
  <c r="F121" i="17"/>
  <c r="G121" i="17"/>
  <c r="H121" i="17"/>
  <c r="I121" i="17"/>
  <c r="J121" i="17"/>
  <c r="B122" i="17"/>
  <c r="D122" i="17"/>
  <c r="F122" i="17"/>
  <c r="G122" i="17"/>
  <c r="H122" i="17"/>
  <c r="I122" i="17"/>
  <c r="J122" i="17"/>
  <c r="B123" i="17"/>
  <c r="D123" i="17"/>
  <c r="F123" i="17"/>
  <c r="G123" i="17"/>
  <c r="H123" i="17"/>
  <c r="I123" i="17"/>
  <c r="J123" i="17"/>
  <c r="B124" i="17"/>
  <c r="D124" i="17"/>
  <c r="F124" i="17"/>
  <c r="G124" i="17"/>
  <c r="H124" i="17"/>
  <c r="I124" i="17"/>
  <c r="J124" i="17"/>
  <c r="B125" i="17"/>
  <c r="D125" i="17"/>
  <c r="F125" i="17"/>
  <c r="G125" i="17"/>
  <c r="H125" i="17"/>
  <c r="I125" i="17"/>
  <c r="J125" i="17"/>
  <c r="B126" i="17"/>
  <c r="D126" i="17"/>
  <c r="F126" i="17"/>
  <c r="G126" i="17"/>
  <c r="H126" i="17"/>
  <c r="I126" i="17"/>
  <c r="J126" i="17"/>
  <c r="B131" i="17"/>
  <c r="D131" i="17"/>
  <c r="F131" i="17"/>
  <c r="G131" i="17"/>
  <c r="H131" i="17"/>
  <c r="I131" i="17"/>
  <c r="J131" i="17"/>
  <c r="B132" i="17"/>
  <c r="D132" i="17"/>
  <c r="F132" i="17"/>
  <c r="G132" i="17"/>
  <c r="H132" i="17"/>
  <c r="I132" i="17"/>
  <c r="J132" i="17"/>
  <c r="B133" i="17"/>
  <c r="D133" i="17"/>
  <c r="F133" i="17"/>
  <c r="G133" i="17"/>
  <c r="H133" i="17"/>
  <c r="I133" i="17"/>
  <c r="J133" i="17"/>
  <c r="B134" i="17"/>
  <c r="D134" i="17"/>
  <c r="F134" i="17"/>
  <c r="G134" i="17"/>
  <c r="H134" i="17"/>
  <c r="I134" i="17"/>
  <c r="J134" i="17"/>
  <c r="B135" i="17"/>
  <c r="D135" i="17"/>
  <c r="F135" i="17"/>
  <c r="G135" i="17"/>
  <c r="H135" i="17"/>
  <c r="I135" i="17"/>
  <c r="J135" i="17"/>
  <c r="B136" i="17"/>
  <c r="D136" i="17"/>
  <c r="F136" i="17"/>
  <c r="G136" i="17"/>
  <c r="H136" i="17"/>
  <c r="I136" i="17"/>
  <c r="J136" i="17"/>
  <c r="B137" i="17"/>
  <c r="D137" i="17"/>
  <c r="F137" i="17"/>
  <c r="G137" i="17"/>
  <c r="H137" i="17"/>
  <c r="I137" i="17"/>
  <c r="J137" i="17"/>
  <c r="O137" i="17"/>
  <c r="P137" i="17"/>
  <c r="Q137" i="17"/>
  <c r="S137" i="17"/>
  <c r="T137" i="17"/>
  <c r="U137" i="17"/>
  <c r="V137" i="17"/>
  <c r="Y137" i="17"/>
  <c r="Z137" i="17"/>
  <c r="B138" i="17"/>
  <c r="D138" i="17"/>
  <c r="F138" i="17"/>
  <c r="G138" i="17"/>
  <c r="H138" i="17"/>
  <c r="I138" i="17"/>
  <c r="J138" i="17"/>
  <c r="O138" i="17"/>
  <c r="P138" i="17"/>
  <c r="Q138" i="17"/>
  <c r="S138" i="17"/>
  <c r="T138" i="17"/>
  <c r="U138" i="17"/>
  <c r="V138" i="17"/>
  <c r="Y138" i="17"/>
  <c r="Z138" i="17"/>
  <c r="B139" i="17"/>
  <c r="D139" i="17"/>
  <c r="F139" i="17"/>
  <c r="G139" i="17"/>
  <c r="H139" i="17"/>
  <c r="I139" i="17"/>
  <c r="J139" i="17"/>
  <c r="O139" i="17"/>
  <c r="P139" i="17"/>
  <c r="Q139" i="17"/>
  <c r="S139" i="17"/>
  <c r="T139" i="17"/>
  <c r="U139" i="17"/>
  <c r="V139" i="17"/>
  <c r="Y139" i="17"/>
  <c r="Z139" i="17"/>
  <c r="B140" i="17"/>
  <c r="D140" i="17"/>
  <c r="F140" i="17"/>
  <c r="G140" i="17"/>
  <c r="H140" i="17"/>
  <c r="I140" i="17"/>
  <c r="J140" i="17"/>
  <c r="O140" i="17"/>
  <c r="P140" i="17"/>
  <c r="Q140" i="17"/>
  <c r="S140" i="17"/>
  <c r="T140" i="17"/>
  <c r="U140" i="17"/>
  <c r="V140" i="17"/>
  <c r="Y140" i="17"/>
  <c r="Z140" i="17"/>
  <c r="B141" i="17"/>
  <c r="D141" i="17"/>
  <c r="F141" i="17"/>
  <c r="G141" i="17"/>
  <c r="H141" i="17"/>
  <c r="I141" i="17"/>
  <c r="J141" i="17"/>
  <c r="O141" i="17"/>
  <c r="P141" i="17"/>
  <c r="Q141" i="17"/>
  <c r="S141" i="17"/>
  <c r="T141" i="17"/>
  <c r="U141" i="17"/>
  <c r="V141" i="17"/>
  <c r="Y141" i="17"/>
  <c r="Z141" i="17"/>
  <c r="B142" i="17"/>
  <c r="D142" i="17"/>
  <c r="F142" i="17"/>
  <c r="G142" i="17"/>
  <c r="H142" i="17"/>
  <c r="I142" i="17"/>
  <c r="J142" i="17"/>
  <c r="O142" i="17"/>
  <c r="P142" i="17"/>
  <c r="Q142" i="17"/>
  <c r="S142" i="17"/>
  <c r="T142" i="17"/>
  <c r="U142" i="17"/>
  <c r="V142" i="17"/>
  <c r="Y142" i="17"/>
  <c r="Z142" i="17"/>
  <c r="B143" i="17"/>
  <c r="D143" i="17"/>
  <c r="F143" i="17"/>
  <c r="G143" i="17"/>
  <c r="H143" i="17"/>
  <c r="I143" i="17"/>
  <c r="J143" i="17"/>
  <c r="O143" i="17"/>
  <c r="P143" i="17"/>
  <c r="Q143" i="17"/>
  <c r="S143" i="17"/>
  <c r="T143" i="17"/>
  <c r="U143" i="17"/>
  <c r="V143" i="17"/>
  <c r="Y143" i="17"/>
  <c r="Z143" i="17"/>
  <c r="B144" i="17"/>
  <c r="D144" i="17"/>
  <c r="F144" i="17"/>
  <c r="G144" i="17"/>
  <c r="H144" i="17"/>
  <c r="I144" i="17"/>
  <c r="J144" i="17"/>
  <c r="O144" i="17"/>
  <c r="P144" i="17"/>
  <c r="Q144" i="17"/>
  <c r="S144" i="17"/>
  <c r="T144" i="17"/>
  <c r="U144" i="17"/>
  <c r="V144" i="17"/>
  <c r="Y144" i="17"/>
  <c r="Z144" i="17"/>
  <c r="B145" i="17"/>
  <c r="D145" i="17"/>
  <c r="F145" i="17"/>
  <c r="G145" i="17"/>
  <c r="H145" i="17"/>
  <c r="I145" i="17"/>
  <c r="J145" i="17"/>
  <c r="O145" i="17"/>
  <c r="P145" i="17"/>
  <c r="Q145" i="17"/>
  <c r="S145" i="17"/>
  <c r="T145" i="17"/>
  <c r="U145" i="17"/>
  <c r="V145" i="17"/>
  <c r="Y145" i="17"/>
  <c r="Z145" i="17"/>
  <c r="B146" i="17"/>
  <c r="D146" i="17"/>
  <c r="F146" i="17"/>
  <c r="G146" i="17"/>
  <c r="H146" i="17"/>
  <c r="I146" i="17"/>
  <c r="J146" i="17"/>
  <c r="O146" i="17"/>
  <c r="P146" i="17"/>
  <c r="Q146" i="17"/>
  <c r="S146" i="17"/>
  <c r="T146" i="17"/>
  <c r="U146" i="17"/>
  <c r="V146" i="17"/>
  <c r="Y146" i="17"/>
  <c r="Z146" i="17"/>
  <c r="B147" i="17"/>
  <c r="D147" i="17"/>
  <c r="F147" i="17"/>
  <c r="G147" i="17"/>
  <c r="H147" i="17"/>
  <c r="I147" i="17"/>
  <c r="J147" i="17"/>
  <c r="O147" i="17"/>
  <c r="P147" i="17"/>
  <c r="Q147" i="17"/>
  <c r="S147" i="17"/>
  <c r="T147" i="17"/>
  <c r="U147" i="17"/>
  <c r="V147" i="17"/>
  <c r="Y147" i="17"/>
  <c r="Z147" i="17"/>
  <c r="B148" i="17"/>
  <c r="D148" i="17"/>
  <c r="F148" i="17"/>
  <c r="G148" i="17"/>
  <c r="H148" i="17"/>
  <c r="I148" i="17"/>
  <c r="J148" i="17"/>
  <c r="O148" i="17"/>
  <c r="P148" i="17"/>
  <c r="Q148" i="17"/>
  <c r="S148" i="17"/>
  <c r="T148" i="17"/>
  <c r="U148" i="17"/>
  <c r="V148" i="17"/>
  <c r="Y148" i="17"/>
  <c r="Z148" i="17"/>
  <c r="B149" i="17"/>
  <c r="D149" i="17"/>
  <c r="F149" i="17"/>
  <c r="G149" i="17"/>
  <c r="H149" i="17"/>
  <c r="I149" i="17"/>
  <c r="J149" i="17"/>
  <c r="O149" i="17"/>
  <c r="P149" i="17"/>
  <c r="Q149" i="17"/>
  <c r="S149" i="17"/>
  <c r="T149" i="17"/>
  <c r="U149" i="17"/>
  <c r="V149" i="17"/>
  <c r="Y149" i="17"/>
  <c r="Z149" i="17"/>
  <c r="B150" i="17"/>
  <c r="D150" i="17"/>
  <c r="F150" i="17"/>
  <c r="G150" i="17"/>
  <c r="H150" i="17"/>
  <c r="I150" i="17"/>
  <c r="J150" i="17"/>
  <c r="B151" i="17"/>
  <c r="D151" i="17"/>
  <c r="F151" i="17"/>
  <c r="G151" i="17"/>
  <c r="H151" i="17"/>
  <c r="I151" i="17"/>
  <c r="J151" i="17"/>
  <c r="B152" i="17"/>
  <c r="D152" i="17"/>
  <c r="F152" i="17"/>
  <c r="G152" i="17"/>
  <c r="H152" i="17"/>
  <c r="I152" i="17"/>
  <c r="J152" i="17"/>
  <c r="B153" i="17"/>
  <c r="D153" i="17"/>
  <c r="F153" i="17"/>
  <c r="G153" i="17"/>
  <c r="H153" i="17"/>
  <c r="I153" i="17"/>
  <c r="J153" i="17"/>
  <c r="B154" i="17"/>
  <c r="D154" i="17"/>
  <c r="F154" i="17"/>
  <c r="G154" i="17"/>
  <c r="H154" i="17"/>
  <c r="I154" i="17"/>
  <c r="J154" i="17"/>
  <c r="B155" i="17"/>
  <c r="D155" i="17"/>
  <c r="F155" i="17"/>
  <c r="G155" i="17"/>
  <c r="H155" i="17"/>
  <c r="I155" i="17"/>
  <c r="J155" i="17"/>
  <c r="B156" i="17"/>
  <c r="D156" i="17"/>
  <c r="F156" i="17"/>
  <c r="G156" i="17"/>
  <c r="H156" i="17"/>
  <c r="I156" i="17"/>
  <c r="J156" i="17"/>
  <c r="B157" i="17"/>
  <c r="D157" i="17"/>
  <c r="F157" i="17"/>
  <c r="G157" i="17"/>
  <c r="H157" i="17"/>
  <c r="I157" i="17"/>
  <c r="J157" i="17"/>
  <c r="B162" i="17"/>
  <c r="D162" i="17"/>
  <c r="F162" i="17"/>
  <c r="G162" i="17"/>
  <c r="H162" i="17"/>
  <c r="I162" i="17"/>
  <c r="J162" i="17"/>
  <c r="B163" i="17"/>
  <c r="D163" i="17"/>
  <c r="F163" i="17"/>
  <c r="G163" i="17"/>
  <c r="H163" i="17"/>
  <c r="I163" i="17"/>
  <c r="J163" i="17"/>
  <c r="B164" i="17"/>
  <c r="D164" i="17"/>
  <c r="F164" i="17"/>
  <c r="G164" i="17"/>
  <c r="H164" i="17"/>
  <c r="I164" i="17"/>
  <c r="J164" i="17"/>
  <c r="B165" i="17"/>
  <c r="D165" i="17"/>
  <c r="F165" i="17"/>
  <c r="G165" i="17"/>
  <c r="H165" i="17"/>
  <c r="I165" i="17"/>
  <c r="J165" i="17"/>
  <c r="B166" i="17"/>
  <c r="D166" i="17"/>
  <c r="F166" i="17"/>
  <c r="G166" i="17"/>
  <c r="H166" i="17"/>
  <c r="I166" i="17"/>
  <c r="J166" i="17"/>
  <c r="B167" i="17"/>
  <c r="D167" i="17"/>
  <c r="F167" i="17"/>
  <c r="G167" i="17"/>
  <c r="H167" i="17"/>
  <c r="I167" i="17"/>
  <c r="J167" i="17"/>
  <c r="B168" i="17"/>
  <c r="D168" i="17"/>
  <c r="F168" i="17"/>
  <c r="G168" i="17"/>
  <c r="H168" i="17"/>
  <c r="I168" i="17"/>
  <c r="J168" i="17"/>
  <c r="B169" i="17"/>
  <c r="D169" i="17"/>
  <c r="F169" i="17"/>
  <c r="G169" i="17"/>
  <c r="H169" i="17"/>
  <c r="I169" i="17"/>
  <c r="J169" i="17"/>
  <c r="B170" i="17"/>
  <c r="D170" i="17"/>
  <c r="F170" i="17"/>
  <c r="G170" i="17"/>
  <c r="H170" i="17"/>
  <c r="I170" i="17"/>
  <c r="J170" i="17"/>
  <c r="B171" i="17"/>
  <c r="D171" i="17"/>
  <c r="F171" i="17"/>
  <c r="G171" i="17"/>
  <c r="H171" i="17"/>
  <c r="I171" i="17"/>
  <c r="J171" i="17"/>
  <c r="B172" i="17"/>
  <c r="D172" i="17"/>
  <c r="F172" i="17"/>
  <c r="G172" i="17"/>
  <c r="H172" i="17"/>
  <c r="I172" i="17"/>
  <c r="J172" i="17"/>
  <c r="B173" i="17"/>
  <c r="D173" i="17"/>
  <c r="F173" i="17"/>
  <c r="G173" i="17"/>
  <c r="H173" i="17"/>
  <c r="I173" i="17"/>
  <c r="J173" i="17"/>
  <c r="B174" i="17"/>
  <c r="D174" i="17"/>
  <c r="F174" i="17"/>
  <c r="G174" i="17"/>
  <c r="H174" i="17"/>
  <c r="I174" i="17"/>
  <c r="J174" i="17"/>
  <c r="B175" i="17"/>
  <c r="D175" i="17"/>
  <c r="F175" i="17"/>
  <c r="G175" i="17"/>
  <c r="H175" i="17"/>
  <c r="I175" i="17"/>
  <c r="J175" i="17"/>
  <c r="B176" i="17"/>
  <c r="D176" i="17"/>
  <c r="F176" i="17"/>
  <c r="G176" i="17"/>
  <c r="H176" i="17"/>
  <c r="I176" i="17"/>
  <c r="J176" i="17"/>
  <c r="B177" i="17"/>
  <c r="D177" i="17"/>
  <c r="F177" i="17"/>
  <c r="G177" i="17"/>
  <c r="H177" i="17"/>
  <c r="I177" i="17"/>
  <c r="J177" i="17"/>
  <c r="B178" i="17"/>
  <c r="D178" i="17"/>
  <c r="F178" i="17"/>
  <c r="G178" i="17"/>
  <c r="H178" i="17"/>
  <c r="I178" i="17"/>
  <c r="J178" i="17"/>
  <c r="B179" i="17"/>
  <c r="D179" i="17"/>
  <c r="F179" i="17"/>
  <c r="G179" i="17"/>
  <c r="H179" i="17"/>
  <c r="I179" i="17"/>
  <c r="J179" i="17"/>
  <c r="B180" i="17"/>
  <c r="D180" i="17"/>
  <c r="F180" i="17"/>
  <c r="G180" i="17"/>
  <c r="H180" i="17"/>
  <c r="I180" i="17"/>
  <c r="J180" i="17"/>
  <c r="B181" i="17"/>
  <c r="D181" i="17"/>
  <c r="F181" i="17"/>
  <c r="G181" i="17"/>
  <c r="H181" i="17"/>
  <c r="I181" i="17"/>
  <c r="J181" i="17"/>
  <c r="B182" i="17"/>
  <c r="D182" i="17"/>
  <c r="F182" i="17"/>
  <c r="G182" i="17"/>
  <c r="H182" i="17"/>
  <c r="I182" i="17"/>
  <c r="J182" i="17"/>
  <c r="B183" i="17"/>
  <c r="D183" i="17"/>
  <c r="F183" i="17"/>
  <c r="G183" i="17"/>
  <c r="H183" i="17"/>
  <c r="I183" i="17"/>
  <c r="J183" i="17"/>
  <c r="B184" i="17"/>
  <c r="D184" i="17"/>
  <c r="F184" i="17"/>
  <c r="G184" i="17"/>
  <c r="H184" i="17"/>
  <c r="I184" i="17"/>
  <c r="J184" i="17"/>
  <c r="B185" i="17"/>
  <c r="D185" i="17"/>
  <c r="F185" i="17"/>
  <c r="G185" i="17"/>
  <c r="H185" i="17"/>
  <c r="I185" i="17"/>
  <c r="J185" i="17"/>
  <c r="B186" i="17"/>
  <c r="D186" i="17"/>
  <c r="F186" i="17"/>
  <c r="G186" i="17"/>
  <c r="H186" i="17"/>
  <c r="I186" i="17"/>
  <c r="J186" i="17"/>
  <c r="B187" i="17"/>
  <c r="D187" i="17"/>
  <c r="F187" i="17"/>
  <c r="G187" i="17"/>
  <c r="H187" i="17"/>
  <c r="I187" i="17"/>
  <c r="J187" i="17"/>
  <c r="B188" i="17"/>
  <c r="D188" i="17"/>
  <c r="F188" i="17"/>
  <c r="G188" i="17"/>
  <c r="H188" i="17"/>
  <c r="I188" i="17"/>
  <c r="J188" i="17"/>
  <c r="B193" i="17"/>
  <c r="D193" i="17"/>
  <c r="F193" i="17"/>
  <c r="G193" i="17"/>
  <c r="H193" i="17"/>
  <c r="I193" i="17"/>
  <c r="J193" i="17"/>
  <c r="B194" i="17"/>
  <c r="D194" i="17"/>
  <c r="F194" i="17"/>
  <c r="G194" i="17"/>
  <c r="H194" i="17"/>
  <c r="I194" i="17"/>
  <c r="J194" i="17"/>
  <c r="B195" i="17"/>
  <c r="D195" i="17"/>
  <c r="F195" i="17"/>
  <c r="G195" i="17"/>
  <c r="H195" i="17"/>
  <c r="I195" i="17"/>
  <c r="J195" i="17"/>
  <c r="B196" i="17"/>
  <c r="D196" i="17"/>
  <c r="F196" i="17"/>
  <c r="G196" i="17"/>
  <c r="H196" i="17"/>
  <c r="I196" i="17"/>
  <c r="J196" i="17"/>
  <c r="B197" i="17"/>
  <c r="D197" i="17"/>
  <c r="F197" i="17"/>
  <c r="G197" i="17"/>
  <c r="H197" i="17"/>
  <c r="I197" i="17"/>
  <c r="J197" i="17"/>
  <c r="B198" i="17"/>
  <c r="D198" i="17"/>
  <c r="F198" i="17"/>
  <c r="G198" i="17"/>
  <c r="H198" i="17"/>
  <c r="I198" i="17"/>
  <c r="J198" i="17"/>
  <c r="B199" i="17"/>
  <c r="D199" i="17"/>
  <c r="F199" i="17"/>
  <c r="G199" i="17"/>
  <c r="H199" i="17"/>
  <c r="I199" i="17"/>
  <c r="J199" i="17"/>
  <c r="O199" i="17"/>
  <c r="P199" i="17"/>
  <c r="Q199" i="17"/>
  <c r="S199" i="17"/>
  <c r="T199" i="17"/>
  <c r="U199" i="17"/>
  <c r="V199" i="17"/>
  <c r="Y199" i="17"/>
  <c r="Z199" i="17"/>
  <c r="B200" i="17"/>
  <c r="D200" i="17"/>
  <c r="F200" i="17"/>
  <c r="G200" i="17"/>
  <c r="H200" i="17"/>
  <c r="I200" i="17"/>
  <c r="J200" i="17"/>
  <c r="O200" i="17"/>
  <c r="P200" i="17"/>
  <c r="Q200" i="17"/>
  <c r="S200" i="17"/>
  <c r="T200" i="17"/>
  <c r="U200" i="17"/>
  <c r="V200" i="17"/>
  <c r="Y200" i="17"/>
  <c r="Z200" i="17"/>
  <c r="B201" i="17"/>
  <c r="D201" i="17"/>
  <c r="F201" i="17"/>
  <c r="G201" i="17"/>
  <c r="H201" i="17"/>
  <c r="I201" i="17"/>
  <c r="J201" i="17"/>
  <c r="O201" i="17"/>
  <c r="P201" i="17"/>
  <c r="Q201" i="17"/>
  <c r="S201" i="17"/>
  <c r="T201" i="17"/>
  <c r="U201" i="17"/>
  <c r="V201" i="17"/>
  <c r="Y201" i="17"/>
  <c r="Z201" i="17"/>
  <c r="B202" i="17"/>
  <c r="D202" i="17"/>
  <c r="F202" i="17"/>
  <c r="G202" i="17"/>
  <c r="H202" i="17"/>
  <c r="I202" i="17"/>
  <c r="J202" i="17"/>
  <c r="O202" i="17"/>
  <c r="P202" i="17"/>
  <c r="Q202" i="17"/>
  <c r="S202" i="17"/>
  <c r="T202" i="17"/>
  <c r="U202" i="17"/>
  <c r="V202" i="17"/>
  <c r="Y202" i="17"/>
  <c r="Z202" i="17"/>
  <c r="B203" i="17"/>
  <c r="D203" i="17"/>
  <c r="F203" i="17"/>
  <c r="G203" i="17"/>
  <c r="H203" i="17"/>
  <c r="I203" i="17"/>
  <c r="J203" i="17"/>
  <c r="O203" i="17"/>
  <c r="P203" i="17"/>
  <c r="Q203" i="17"/>
  <c r="S203" i="17"/>
  <c r="T203" i="17"/>
  <c r="U203" i="17"/>
  <c r="V203" i="17"/>
  <c r="Y203" i="17"/>
  <c r="Z203" i="17"/>
  <c r="B204" i="17"/>
  <c r="D204" i="17"/>
  <c r="F204" i="17"/>
  <c r="G204" i="17"/>
  <c r="H204" i="17"/>
  <c r="I204" i="17"/>
  <c r="J204" i="17"/>
  <c r="O204" i="17"/>
  <c r="P204" i="17"/>
  <c r="Q204" i="17"/>
  <c r="S204" i="17"/>
  <c r="T204" i="17"/>
  <c r="U204" i="17"/>
  <c r="V204" i="17"/>
  <c r="Y204" i="17"/>
  <c r="Z204" i="17"/>
  <c r="B205" i="17"/>
  <c r="D205" i="17"/>
  <c r="F205" i="17"/>
  <c r="G205" i="17"/>
  <c r="H205" i="17"/>
  <c r="I205" i="17"/>
  <c r="J205" i="17"/>
  <c r="O205" i="17"/>
  <c r="P205" i="17"/>
  <c r="Q205" i="17"/>
  <c r="S205" i="17"/>
  <c r="T205" i="17"/>
  <c r="U205" i="17"/>
  <c r="V205" i="17"/>
  <c r="Y205" i="17"/>
  <c r="Z205" i="17"/>
  <c r="B206" i="17"/>
  <c r="D206" i="17"/>
  <c r="F206" i="17"/>
  <c r="G206" i="17"/>
  <c r="H206" i="17"/>
  <c r="I206" i="17"/>
  <c r="J206" i="17"/>
  <c r="O206" i="17"/>
  <c r="P206" i="17"/>
  <c r="Q206" i="17"/>
  <c r="S206" i="17"/>
  <c r="T206" i="17"/>
  <c r="U206" i="17"/>
  <c r="V206" i="17"/>
  <c r="Y206" i="17"/>
  <c r="Z206" i="17"/>
  <c r="B207" i="17"/>
  <c r="D207" i="17"/>
  <c r="F207" i="17"/>
  <c r="G207" i="17"/>
  <c r="H207" i="17"/>
  <c r="I207" i="17"/>
  <c r="J207" i="17"/>
  <c r="O207" i="17"/>
  <c r="P207" i="17"/>
  <c r="Q207" i="17"/>
  <c r="S207" i="17"/>
  <c r="T207" i="17"/>
  <c r="U207" i="17"/>
  <c r="V207" i="17"/>
  <c r="Y207" i="17"/>
  <c r="Z207" i="17"/>
  <c r="B208" i="17"/>
  <c r="D208" i="17"/>
  <c r="F208" i="17"/>
  <c r="G208" i="17"/>
  <c r="H208" i="17"/>
  <c r="I208" i="17"/>
  <c r="J208" i="17"/>
  <c r="O208" i="17"/>
  <c r="P208" i="17"/>
  <c r="Q208" i="17"/>
  <c r="S208" i="17"/>
  <c r="T208" i="17"/>
  <c r="U208" i="17"/>
  <c r="V208" i="17"/>
  <c r="Y208" i="17"/>
  <c r="Z208" i="17"/>
  <c r="B209" i="17"/>
  <c r="D209" i="17"/>
  <c r="F209" i="17"/>
  <c r="G209" i="17"/>
  <c r="H209" i="17"/>
  <c r="I209" i="17"/>
  <c r="J209" i="17"/>
  <c r="O209" i="17"/>
  <c r="P209" i="17"/>
  <c r="Q209" i="17"/>
  <c r="S209" i="17"/>
  <c r="T209" i="17"/>
  <c r="U209" i="17"/>
  <c r="V209" i="17"/>
  <c r="Y209" i="17"/>
  <c r="Z209" i="17"/>
  <c r="B210" i="17"/>
  <c r="D210" i="17"/>
  <c r="F210" i="17"/>
  <c r="G210" i="17"/>
  <c r="H210" i="17"/>
  <c r="I210" i="17"/>
  <c r="J210" i="17"/>
  <c r="O210" i="17"/>
  <c r="P210" i="17"/>
  <c r="Q210" i="17"/>
  <c r="S210" i="17"/>
  <c r="T210" i="17"/>
  <c r="U210" i="17"/>
  <c r="V210" i="17"/>
  <c r="Y210" i="17"/>
  <c r="Z210" i="17"/>
  <c r="B211" i="17"/>
  <c r="D211" i="17"/>
  <c r="F211" i="17"/>
  <c r="G211" i="17"/>
  <c r="H211" i="17"/>
  <c r="I211" i="17"/>
  <c r="J211" i="17"/>
  <c r="O211" i="17"/>
  <c r="P211" i="17"/>
  <c r="Q211" i="17"/>
  <c r="S211" i="17"/>
  <c r="T211" i="17"/>
  <c r="U211" i="17"/>
  <c r="V211" i="17"/>
  <c r="Y211" i="17"/>
  <c r="Z211" i="17"/>
  <c r="B212" i="17"/>
  <c r="D212" i="17"/>
  <c r="F212" i="17"/>
  <c r="G212" i="17"/>
  <c r="H212" i="17"/>
  <c r="I212" i="17"/>
  <c r="J212" i="17"/>
  <c r="B213" i="17"/>
  <c r="D213" i="17"/>
  <c r="F213" i="17"/>
  <c r="G213" i="17"/>
  <c r="H213" i="17"/>
  <c r="I213" i="17"/>
  <c r="J213" i="17"/>
  <c r="B214" i="17"/>
  <c r="D214" i="17"/>
  <c r="F214" i="17"/>
  <c r="G214" i="17"/>
  <c r="H214" i="17"/>
  <c r="I214" i="17"/>
  <c r="J214" i="17"/>
  <c r="B215" i="17"/>
  <c r="D215" i="17"/>
  <c r="F215" i="17"/>
  <c r="G215" i="17"/>
  <c r="H215" i="17"/>
  <c r="I215" i="17"/>
  <c r="J215" i="17"/>
  <c r="B216" i="17"/>
  <c r="D216" i="17"/>
  <c r="F216" i="17"/>
  <c r="G216" i="17"/>
  <c r="H216" i="17"/>
  <c r="I216" i="17"/>
  <c r="J216" i="17"/>
  <c r="B217" i="17"/>
  <c r="D217" i="17"/>
  <c r="F217" i="17"/>
  <c r="G217" i="17"/>
  <c r="H217" i="17"/>
  <c r="I217" i="17"/>
  <c r="J217" i="17"/>
  <c r="B218" i="17"/>
  <c r="D218" i="17"/>
  <c r="F218" i="17"/>
  <c r="G218" i="17"/>
  <c r="H218" i="17"/>
  <c r="I218" i="17"/>
  <c r="J218" i="17"/>
  <c r="B219" i="17"/>
  <c r="D219" i="17"/>
  <c r="F219" i="17"/>
  <c r="G219" i="17"/>
  <c r="H219" i="17"/>
  <c r="I219" i="17"/>
  <c r="J219" i="17"/>
  <c r="B224" i="17"/>
  <c r="D224" i="17"/>
  <c r="F224" i="17"/>
  <c r="G224" i="17"/>
  <c r="H224" i="17"/>
  <c r="I224" i="17"/>
  <c r="J224" i="17"/>
  <c r="B225" i="17"/>
  <c r="D225" i="17"/>
  <c r="F225" i="17"/>
  <c r="G225" i="17"/>
  <c r="H225" i="17"/>
  <c r="I225" i="17"/>
  <c r="J225" i="17"/>
  <c r="B226" i="17"/>
  <c r="D226" i="17"/>
  <c r="F226" i="17"/>
  <c r="G226" i="17"/>
  <c r="H226" i="17"/>
  <c r="I226" i="17"/>
  <c r="J226" i="17"/>
  <c r="B227" i="17"/>
  <c r="D227" i="17"/>
  <c r="F227" i="17"/>
  <c r="G227" i="17"/>
  <c r="H227" i="17"/>
  <c r="I227" i="17"/>
  <c r="J227" i="17"/>
  <c r="B228" i="17"/>
  <c r="D228" i="17"/>
  <c r="F228" i="17"/>
  <c r="G228" i="17"/>
  <c r="H228" i="17"/>
  <c r="I228" i="17"/>
  <c r="J228" i="17"/>
  <c r="B229" i="17"/>
  <c r="D229" i="17"/>
  <c r="F229" i="17"/>
  <c r="G229" i="17"/>
  <c r="H229" i="17"/>
  <c r="I229" i="17"/>
  <c r="J229" i="17"/>
  <c r="B230" i="17"/>
  <c r="D230" i="17"/>
  <c r="F230" i="17"/>
  <c r="G230" i="17"/>
  <c r="H230" i="17"/>
  <c r="I230" i="17"/>
  <c r="J230" i="17"/>
  <c r="B231" i="17"/>
  <c r="D231" i="17"/>
  <c r="F231" i="17"/>
  <c r="G231" i="17"/>
  <c r="H231" i="17"/>
  <c r="I231" i="17"/>
  <c r="J231" i="17"/>
  <c r="B232" i="17"/>
  <c r="D232" i="17"/>
  <c r="F232" i="17"/>
  <c r="G232" i="17"/>
  <c r="H232" i="17"/>
  <c r="I232" i="17"/>
  <c r="J232" i="17"/>
  <c r="B233" i="17"/>
  <c r="D233" i="17"/>
  <c r="F233" i="17"/>
  <c r="G233" i="17"/>
  <c r="H233" i="17"/>
  <c r="I233" i="17"/>
  <c r="J233" i="17"/>
  <c r="B234" i="17"/>
  <c r="D234" i="17"/>
  <c r="F234" i="17"/>
  <c r="G234" i="17"/>
  <c r="H234" i="17"/>
  <c r="I234" i="17"/>
  <c r="J234" i="17"/>
  <c r="B235" i="17"/>
  <c r="D235" i="17"/>
  <c r="F235" i="17"/>
  <c r="G235" i="17"/>
  <c r="H235" i="17"/>
  <c r="I235" i="17"/>
  <c r="J235" i="17"/>
  <c r="B236" i="17"/>
  <c r="D236" i="17"/>
  <c r="F236" i="17"/>
  <c r="G236" i="17"/>
  <c r="H236" i="17"/>
  <c r="I236" i="17"/>
  <c r="J236" i="17"/>
  <c r="B237" i="17"/>
  <c r="D237" i="17"/>
  <c r="F237" i="17"/>
  <c r="G237" i="17"/>
  <c r="H237" i="17"/>
  <c r="I237" i="17"/>
  <c r="J237" i="17"/>
  <c r="B238" i="17"/>
  <c r="D238" i="17"/>
  <c r="F238" i="17"/>
  <c r="G238" i="17"/>
  <c r="H238" i="17"/>
  <c r="I238" i="17"/>
  <c r="J238" i="17"/>
  <c r="B239" i="17"/>
  <c r="D239" i="17"/>
  <c r="F239" i="17"/>
  <c r="G239" i="17"/>
  <c r="H239" i="17"/>
  <c r="I239" i="17"/>
  <c r="J239" i="17"/>
  <c r="B240" i="17"/>
  <c r="D240" i="17"/>
  <c r="F240" i="17"/>
  <c r="G240" i="17"/>
  <c r="H240" i="17"/>
  <c r="I240" i="17"/>
  <c r="J240" i="17"/>
  <c r="B241" i="17"/>
  <c r="D241" i="17"/>
  <c r="F241" i="17"/>
  <c r="G241" i="17"/>
  <c r="H241" i="17"/>
  <c r="I241" i="17"/>
  <c r="J241" i="17"/>
  <c r="B242" i="17"/>
  <c r="D242" i="17"/>
  <c r="F242" i="17"/>
  <c r="G242" i="17"/>
  <c r="H242" i="17"/>
  <c r="I242" i="17"/>
  <c r="J242" i="17"/>
  <c r="B243" i="17"/>
  <c r="D243" i="17"/>
  <c r="F243" i="17"/>
  <c r="G243" i="17"/>
  <c r="H243" i="17"/>
  <c r="I243" i="17"/>
  <c r="J243" i="17"/>
  <c r="B244" i="17"/>
  <c r="D244" i="17"/>
  <c r="F244" i="17"/>
  <c r="G244" i="17"/>
  <c r="H244" i="17"/>
  <c r="I244" i="17"/>
  <c r="J244" i="17"/>
  <c r="B245" i="17"/>
  <c r="D245" i="17"/>
  <c r="F245" i="17"/>
  <c r="G245" i="17"/>
  <c r="H245" i="17"/>
  <c r="I245" i="17"/>
  <c r="J245" i="17"/>
  <c r="B246" i="17"/>
  <c r="D246" i="17"/>
  <c r="F246" i="17"/>
  <c r="G246" i="17"/>
  <c r="H246" i="17"/>
  <c r="I246" i="17"/>
  <c r="J246" i="17"/>
  <c r="B247" i="17"/>
  <c r="D247" i="17"/>
  <c r="F247" i="17"/>
  <c r="G247" i="17"/>
  <c r="H247" i="17"/>
  <c r="I247" i="17"/>
  <c r="J247" i="17"/>
  <c r="B248" i="17"/>
  <c r="D248" i="17"/>
  <c r="F248" i="17"/>
  <c r="G248" i="17"/>
  <c r="H248" i="17"/>
  <c r="I248" i="17"/>
  <c r="J248" i="17"/>
  <c r="B249" i="17"/>
  <c r="D249" i="17"/>
  <c r="F249" i="17"/>
  <c r="G249" i="17"/>
  <c r="H249" i="17"/>
  <c r="I249" i="17"/>
  <c r="J249" i="17"/>
  <c r="B250" i="17"/>
  <c r="D250" i="17"/>
  <c r="F250" i="17"/>
  <c r="G250" i="17"/>
  <c r="H250" i="17"/>
  <c r="I250" i="17"/>
  <c r="J250" i="17"/>
  <c r="B255" i="17"/>
  <c r="D255" i="17"/>
  <c r="F255" i="17"/>
  <c r="G255" i="17"/>
  <c r="H255" i="17"/>
  <c r="I255" i="17"/>
  <c r="J255" i="17"/>
  <c r="B256" i="17"/>
  <c r="D256" i="17"/>
  <c r="F256" i="17"/>
  <c r="G256" i="17"/>
  <c r="H256" i="17"/>
  <c r="I256" i="17"/>
  <c r="J256" i="17"/>
  <c r="B257" i="17"/>
  <c r="D257" i="17"/>
  <c r="F257" i="17"/>
  <c r="G257" i="17"/>
  <c r="H257" i="17"/>
  <c r="I257" i="17"/>
  <c r="J257" i="17"/>
  <c r="B258" i="17"/>
  <c r="D258" i="17"/>
  <c r="F258" i="17"/>
  <c r="G258" i="17"/>
  <c r="H258" i="17"/>
  <c r="I258" i="17"/>
  <c r="J258" i="17"/>
  <c r="B259" i="17"/>
  <c r="D259" i="17"/>
  <c r="F259" i="17"/>
  <c r="G259" i="17"/>
  <c r="H259" i="17"/>
  <c r="I259" i="17"/>
  <c r="J259" i="17"/>
  <c r="B260" i="17"/>
  <c r="D260" i="17"/>
  <c r="F260" i="17"/>
  <c r="G260" i="17"/>
  <c r="H260" i="17"/>
  <c r="I260" i="17"/>
  <c r="J260" i="17"/>
  <c r="B261" i="17"/>
  <c r="D261" i="17"/>
  <c r="F261" i="17"/>
  <c r="G261" i="17"/>
  <c r="H261" i="17"/>
  <c r="I261" i="17"/>
  <c r="J261" i="17"/>
  <c r="B262" i="17"/>
  <c r="D262" i="17"/>
  <c r="F262" i="17"/>
  <c r="G262" i="17"/>
  <c r="H262" i="17"/>
  <c r="I262" i="17"/>
  <c r="J262" i="17"/>
  <c r="B263" i="17"/>
  <c r="D263" i="17"/>
  <c r="F263" i="17"/>
  <c r="G263" i="17"/>
  <c r="H263" i="17"/>
  <c r="I263" i="17"/>
  <c r="J263" i="17"/>
  <c r="B264" i="17"/>
  <c r="D264" i="17"/>
  <c r="F264" i="17"/>
  <c r="G264" i="17"/>
  <c r="H264" i="17"/>
  <c r="I264" i="17"/>
  <c r="J264" i="17"/>
  <c r="B265" i="17"/>
  <c r="D265" i="17"/>
  <c r="F265" i="17"/>
  <c r="G265" i="17"/>
  <c r="H265" i="17"/>
  <c r="I265" i="17"/>
  <c r="J265" i="17"/>
  <c r="B266" i="17"/>
  <c r="D266" i="17"/>
  <c r="F266" i="17"/>
  <c r="G266" i="17"/>
  <c r="H266" i="17"/>
  <c r="I266" i="17"/>
  <c r="J266" i="17"/>
  <c r="B267" i="17"/>
  <c r="D267" i="17"/>
  <c r="F267" i="17"/>
  <c r="G267" i="17"/>
  <c r="H267" i="17"/>
  <c r="I267" i="17"/>
  <c r="J267" i="17"/>
  <c r="B268" i="17"/>
  <c r="D268" i="17"/>
  <c r="F268" i="17"/>
  <c r="G268" i="17"/>
  <c r="H268" i="17"/>
  <c r="I268" i="17"/>
  <c r="J268" i="17"/>
  <c r="B269" i="17"/>
  <c r="D269" i="17"/>
  <c r="F269" i="17"/>
  <c r="G269" i="17"/>
  <c r="H269" i="17"/>
  <c r="I269" i="17"/>
  <c r="J269" i="17"/>
  <c r="B270" i="17"/>
  <c r="D270" i="17"/>
  <c r="F270" i="17"/>
  <c r="G270" i="17"/>
  <c r="H270" i="17"/>
  <c r="I270" i="17"/>
  <c r="J270" i="17"/>
  <c r="B271" i="17"/>
  <c r="D271" i="17"/>
  <c r="F271" i="17"/>
  <c r="G271" i="17"/>
  <c r="H271" i="17"/>
  <c r="I271" i="17"/>
  <c r="J271" i="17"/>
  <c r="B272" i="17"/>
  <c r="D272" i="17"/>
  <c r="F272" i="17"/>
  <c r="G272" i="17"/>
  <c r="H272" i="17"/>
  <c r="I272" i="17"/>
  <c r="J272" i="17"/>
  <c r="B273" i="17"/>
  <c r="D273" i="17"/>
  <c r="F273" i="17"/>
  <c r="G273" i="17"/>
  <c r="H273" i="17"/>
  <c r="I273" i="17"/>
  <c r="J273" i="17"/>
  <c r="B274" i="17"/>
  <c r="D274" i="17"/>
  <c r="F274" i="17"/>
  <c r="G274" i="17"/>
  <c r="H274" i="17"/>
  <c r="I274" i="17"/>
  <c r="J274" i="17"/>
  <c r="B275" i="17"/>
  <c r="D275" i="17"/>
  <c r="F275" i="17"/>
  <c r="G275" i="17"/>
  <c r="H275" i="17"/>
  <c r="I275" i="17"/>
  <c r="J275" i="17"/>
  <c r="B276" i="17"/>
  <c r="D276" i="17"/>
  <c r="F276" i="17"/>
  <c r="G276" i="17"/>
  <c r="H276" i="17"/>
  <c r="I276" i="17"/>
  <c r="J276" i="17"/>
  <c r="B277" i="17"/>
  <c r="D277" i="17"/>
  <c r="F277" i="17"/>
  <c r="G277" i="17"/>
  <c r="H277" i="17"/>
  <c r="I277" i="17"/>
  <c r="J277" i="17"/>
  <c r="B278" i="17"/>
  <c r="D278" i="17"/>
  <c r="F278" i="17"/>
  <c r="G278" i="17"/>
  <c r="H278" i="17"/>
  <c r="I278" i="17"/>
  <c r="J278" i="17"/>
  <c r="B279" i="17"/>
  <c r="D279" i="17"/>
  <c r="F279" i="17"/>
  <c r="G279" i="17"/>
  <c r="H279" i="17"/>
  <c r="I279" i="17"/>
  <c r="J279" i="17"/>
  <c r="B280" i="17"/>
  <c r="D280" i="17"/>
  <c r="F280" i="17"/>
  <c r="G280" i="17"/>
  <c r="H280" i="17"/>
  <c r="I280" i="17"/>
  <c r="J280" i="17"/>
  <c r="B281" i="17"/>
  <c r="D281" i="17"/>
  <c r="F281" i="17"/>
  <c r="G281" i="17"/>
  <c r="H281" i="17"/>
  <c r="I281" i="17"/>
  <c r="J281" i="17"/>
  <c r="B286" i="17"/>
  <c r="D286" i="17"/>
  <c r="F286" i="17"/>
  <c r="G286" i="17"/>
  <c r="H286" i="17"/>
  <c r="I286" i="17"/>
  <c r="J286" i="17"/>
  <c r="B287" i="17"/>
  <c r="D287" i="17"/>
  <c r="F287" i="17"/>
  <c r="G287" i="17"/>
  <c r="H287" i="17"/>
  <c r="I287" i="17"/>
  <c r="J287" i="17"/>
  <c r="B288" i="17"/>
  <c r="D288" i="17"/>
  <c r="F288" i="17"/>
  <c r="G288" i="17"/>
  <c r="H288" i="17"/>
  <c r="I288" i="17"/>
  <c r="J288" i="17"/>
  <c r="B289" i="17"/>
  <c r="D289" i="17"/>
  <c r="F289" i="17"/>
  <c r="G289" i="17"/>
  <c r="H289" i="17"/>
  <c r="I289" i="17"/>
  <c r="J289" i="17"/>
  <c r="B290" i="17"/>
  <c r="D290" i="17"/>
  <c r="F290" i="17"/>
  <c r="G290" i="17"/>
  <c r="H290" i="17"/>
  <c r="I290" i="17"/>
  <c r="J290" i="17"/>
  <c r="B291" i="17"/>
  <c r="D291" i="17"/>
  <c r="F291" i="17"/>
  <c r="G291" i="17"/>
  <c r="H291" i="17"/>
  <c r="I291" i="17"/>
  <c r="J291" i="17"/>
  <c r="B292" i="17"/>
  <c r="D292" i="17"/>
  <c r="F292" i="17"/>
  <c r="G292" i="17"/>
  <c r="H292" i="17"/>
  <c r="I292" i="17"/>
  <c r="J292" i="17"/>
  <c r="B293" i="17"/>
  <c r="D293" i="17"/>
  <c r="F293" i="17"/>
  <c r="G293" i="17"/>
  <c r="H293" i="17"/>
  <c r="I293" i="17"/>
  <c r="J293" i="17"/>
  <c r="B294" i="17"/>
  <c r="D294" i="17"/>
  <c r="F294" i="17"/>
  <c r="G294" i="17"/>
  <c r="H294" i="17"/>
  <c r="I294" i="17"/>
  <c r="J294" i="17"/>
  <c r="B295" i="17"/>
  <c r="D295" i="17"/>
  <c r="F295" i="17"/>
  <c r="G295" i="17"/>
  <c r="H295" i="17"/>
  <c r="I295" i="17"/>
  <c r="J295" i="17"/>
  <c r="B296" i="17"/>
  <c r="D296" i="17"/>
  <c r="F296" i="17"/>
  <c r="G296" i="17"/>
  <c r="H296" i="17"/>
  <c r="I296" i="17"/>
  <c r="J296" i="17"/>
  <c r="B297" i="17"/>
  <c r="D297" i="17"/>
  <c r="F297" i="17"/>
  <c r="G297" i="17"/>
  <c r="H297" i="17"/>
  <c r="I297" i="17"/>
  <c r="J297" i="17"/>
  <c r="B298" i="17"/>
  <c r="D298" i="17"/>
  <c r="F298" i="17"/>
  <c r="G298" i="17"/>
  <c r="H298" i="17"/>
  <c r="I298" i="17"/>
  <c r="J298" i="17"/>
  <c r="B299" i="17"/>
  <c r="D299" i="17"/>
  <c r="F299" i="17"/>
  <c r="G299" i="17"/>
  <c r="H299" i="17"/>
  <c r="I299" i="17"/>
  <c r="J299" i="17"/>
  <c r="B300" i="17"/>
  <c r="D300" i="17"/>
  <c r="F300" i="17"/>
  <c r="G300" i="17"/>
  <c r="H300" i="17"/>
  <c r="I300" i="17"/>
  <c r="J300" i="17"/>
  <c r="B301" i="17"/>
  <c r="D301" i="17"/>
  <c r="F301" i="17"/>
  <c r="G301" i="17"/>
  <c r="H301" i="17"/>
  <c r="I301" i="17"/>
  <c r="J301" i="17"/>
  <c r="B302" i="17"/>
  <c r="D302" i="17"/>
  <c r="F302" i="17"/>
  <c r="G302" i="17"/>
  <c r="H302" i="17"/>
  <c r="I302" i="17"/>
  <c r="J302" i="17"/>
  <c r="B303" i="17"/>
  <c r="D303" i="17"/>
  <c r="F303" i="17"/>
  <c r="G303" i="17"/>
  <c r="H303" i="17"/>
  <c r="I303" i="17"/>
  <c r="J303" i="17"/>
  <c r="B304" i="17"/>
  <c r="D304" i="17"/>
  <c r="F304" i="17"/>
  <c r="G304" i="17"/>
  <c r="H304" i="17"/>
  <c r="I304" i="17"/>
  <c r="J304" i="17"/>
  <c r="B305" i="17"/>
  <c r="D305" i="17"/>
  <c r="F305" i="17"/>
  <c r="G305" i="17"/>
  <c r="H305" i="17"/>
  <c r="I305" i="17"/>
  <c r="J305" i="17"/>
  <c r="B306" i="17"/>
  <c r="D306" i="17"/>
  <c r="F306" i="17"/>
  <c r="G306" i="17"/>
  <c r="H306" i="17"/>
  <c r="I306" i="17"/>
  <c r="J306" i="17"/>
  <c r="B307" i="17"/>
  <c r="D307" i="17"/>
  <c r="F307" i="17"/>
  <c r="G307" i="17"/>
  <c r="H307" i="17"/>
  <c r="I307" i="17"/>
  <c r="J307" i="17"/>
  <c r="B308" i="17"/>
  <c r="D308" i="17"/>
  <c r="F308" i="17"/>
  <c r="G308" i="17"/>
  <c r="H308" i="17"/>
  <c r="I308" i="17"/>
  <c r="J308" i="17"/>
  <c r="B309" i="17"/>
  <c r="D309" i="17"/>
  <c r="F309" i="17"/>
  <c r="G309" i="17"/>
  <c r="H309" i="17"/>
  <c r="I309" i="17"/>
  <c r="J309" i="17"/>
  <c r="B310" i="17"/>
  <c r="D310" i="17"/>
  <c r="F310" i="17"/>
  <c r="G310" i="17"/>
  <c r="H310" i="17"/>
  <c r="I310" i="17"/>
  <c r="J310" i="17"/>
  <c r="B311" i="17"/>
  <c r="D311" i="17"/>
  <c r="F311" i="17"/>
  <c r="G311" i="17"/>
  <c r="H311" i="17"/>
  <c r="I311" i="17"/>
  <c r="J311" i="17"/>
  <c r="B312" i="17"/>
  <c r="D312" i="17"/>
  <c r="F312" i="17"/>
  <c r="G312" i="17"/>
  <c r="H312" i="17"/>
  <c r="I312" i="17"/>
  <c r="J312" i="17"/>
  <c r="B317" i="17"/>
  <c r="C317" i="17"/>
  <c r="D317" i="17"/>
  <c r="E317" i="17"/>
  <c r="F317" i="17"/>
  <c r="G317" i="17"/>
  <c r="H317" i="17"/>
  <c r="I317" i="17"/>
  <c r="J317" i="17"/>
  <c r="K317" i="17"/>
  <c r="B318" i="17"/>
  <c r="C318" i="17"/>
  <c r="D318" i="17"/>
  <c r="E318" i="17"/>
  <c r="F318" i="17"/>
  <c r="G318" i="17"/>
  <c r="H318" i="17"/>
  <c r="I318" i="17"/>
  <c r="J318" i="17"/>
  <c r="K318" i="17"/>
  <c r="B319" i="17"/>
  <c r="C319" i="17"/>
  <c r="D319" i="17"/>
  <c r="E319" i="17"/>
  <c r="F319" i="17"/>
  <c r="G319" i="17"/>
  <c r="H319" i="17"/>
  <c r="I319" i="17"/>
  <c r="J319" i="17"/>
  <c r="K319" i="17"/>
  <c r="B320" i="17"/>
  <c r="C320" i="17"/>
  <c r="D320" i="17"/>
  <c r="E320" i="17"/>
  <c r="F320" i="17"/>
  <c r="G320" i="17"/>
  <c r="H320" i="17"/>
  <c r="I320" i="17"/>
  <c r="J320" i="17"/>
  <c r="K320" i="17"/>
  <c r="B321" i="17"/>
  <c r="C321" i="17"/>
  <c r="D321" i="17"/>
  <c r="E321" i="17"/>
  <c r="F321" i="17"/>
  <c r="G321" i="17"/>
  <c r="H321" i="17"/>
  <c r="I321" i="17"/>
  <c r="J321" i="17"/>
  <c r="K321" i="17"/>
  <c r="B322" i="17"/>
  <c r="C322" i="17"/>
  <c r="D322" i="17"/>
  <c r="E322" i="17"/>
  <c r="F322" i="17"/>
  <c r="G322" i="17"/>
  <c r="H322" i="17"/>
  <c r="I322" i="17"/>
  <c r="J322" i="17"/>
  <c r="K322" i="17"/>
  <c r="B323" i="17"/>
  <c r="C323" i="17"/>
  <c r="D323" i="17"/>
  <c r="E323" i="17"/>
  <c r="F323" i="17"/>
  <c r="G323" i="17"/>
  <c r="H323" i="17"/>
  <c r="I323" i="17"/>
  <c r="J323" i="17"/>
  <c r="K323" i="17"/>
  <c r="B324" i="17"/>
  <c r="C324" i="17"/>
  <c r="D324" i="17"/>
  <c r="E324" i="17"/>
  <c r="F324" i="17"/>
  <c r="G324" i="17"/>
  <c r="H324" i="17"/>
  <c r="I324" i="17"/>
  <c r="J324" i="17"/>
  <c r="K324" i="17"/>
  <c r="B325" i="17"/>
  <c r="C325" i="17"/>
  <c r="D325" i="17"/>
  <c r="E325" i="17"/>
  <c r="F325" i="17"/>
  <c r="G325" i="17"/>
  <c r="H325" i="17"/>
  <c r="I325" i="17"/>
  <c r="J325" i="17"/>
  <c r="K325" i="17"/>
  <c r="B326" i="17"/>
  <c r="C326" i="17"/>
  <c r="D326" i="17"/>
  <c r="E326" i="17"/>
  <c r="F326" i="17"/>
  <c r="G326" i="17"/>
  <c r="H326" i="17"/>
  <c r="I326" i="17"/>
  <c r="J326" i="17"/>
  <c r="K326" i="17"/>
  <c r="B327" i="17"/>
  <c r="C327" i="17"/>
  <c r="D327" i="17"/>
  <c r="E327" i="17"/>
  <c r="F327" i="17"/>
  <c r="G327" i="17"/>
  <c r="H327" i="17"/>
  <c r="I327" i="17"/>
  <c r="J327" i="17"/>
  <c r="K327" i="17"/>
  <c r="B328" i="17"/>
  <c r="C328" i="17"/>
  <c r="D328" i="17"/>
  <c r="E328" i="17"/>
  <c r="F328" i="17"/>
  <c r="G328" i="17"/>
  <c r="H328" i="17"/>
  <c r="I328" i="17"/>
  <c r="J328" i="17"/>
  <c r="K328" i="17"/>
  <c r="B329" i="17"/>
  <c r="C329" i="17"/>
  <c r="D329" i="17"/>
  <c r="E329" i="17"/>
  <c r="F329" i="17"/>
  <c r="G329" i="17"/>
  <c r="H329" i="17"/>
  <c r="I329" i="17"/>
  <c r="J329" i="17"/>
  <c r="K329" i="17"/>
  <c r="B330" i="17"/>
  <c r="C330" i="17"/>
  <c r="D330" i="17"/>
  <c r="E330" i="17"/>
  <c r="F330" i="17"/>
  <c r="G330" i="17"/>
  <c r="H330" i="17"/>
  <c r="I330" i="17"/>
  <c r="J330" i="17"/>
  <c r="K330" i="17"/>
  <c r="B331" i="17"/>
  <c r="C331" i="17"/>
  <c r="D331" i="17"/>
  <c r="E331" i="17"/>
  <c r="F331" i="17"/>
  <c r="G331" i="17"/>
  <c r="H331" i="17"/>
  <c r="I331" i="17"/>
  <c r="J331" i="17"/>
  <c r="K331" i="17"/>
  <c r="B332" i="17"/>
  <c r="C332" i="17"/>
  <c r="D332" i="17"/>
  <c r="E332" i="17"/>
  <c r="F332" i="17"/>
  <c r="G332" i="17"/>
  <c r="H332" i="17"/>
  <c r="I332" i="17"/>
  <c r="J332" i="17"/>
  <c r="K332" i="17"/>
  <c r="B333" i="17"/>
  <c r="C333" i="17"/>
  <c r="D333" i="17"/>
  <c r="E333" i="17"/>
  <c r="F333" i="17"/>
  <c r="G333" i="17"/>
  <c r="H333" i="17"/>
  <c r="I333" i="17"/>
  <c r="J333" i="17"/>
  <c r="K333" i="17"/>
  <c r="B334" i="17"/>
  <c r="C334" i="17"/>
  <c r="D334" i="17"/>
  <c r="E334" i="17"/>
  <c r="F334" i="17"/>
  <c r="G334" i="17"/>
  <c r="H334" i="17"/>
  <c r="I334" i="17"/>
  <c r="J334" i="17"/>
  <c r="K334" i="17"/>
  <c r="B335" i="17"/>
  <c r="C335" i="17"/>
  <c r="D335" i="17"/>
  <c r="E335" i="17"/>
  <c r="F335" i="17"/>
  <c r="G335" i="17"/>
  <c r="H335" i="17"/>
  <c r="I335" i="17"/>
  <c r="J335" i="17"/>
  <c r="K335" i="17"/>
  <c r="B336" i="17"/>
  <c r="C336" i="17"/>
  <c r="D336" i="17"/>
  <c r="E336" i="17"/>
  <c r="F336" i="17"/>
  <c r="G336" i="17"/>
  <c r="H336" i="17"/>
  <c r="I336" i="17"/>
  <c r="J336" i="17"/>
  <c r="K336" i="17"/>
  <c r="B337" i="17"/>
  <c r="C337" i="17"/>
  <c r="D337" i="17"/>
  <c r="E337" i="17"/>
  <c r="F337" i="17"/>
  <c r="G337" i="17"/>
  <c r="H337" i="17"/>
  <c r="I337" i="17"/>
  <c r="J337" i="17"/>
  <c r="K337" i="17"/>
  <c r="B338" i="17"/>
  <c r="C338" i="17"/>
  <c r="D338" i="17"/>
  <c r="E338" i="17"/>
  <c r="F338" i="17"/>
  <c r="G338" i="17"/>
  <c r="H338" i="17"/>
  <c r="I338" i="17"/>
  <c r="J338" i="17"/>
  <c r="K338" i="17"/>
  <c r="B339" i="17"/>
  <c r="C339" i="17"/>
  <c r="D339" i="17"/>
  <c r="E339" i="17"/>
  <c r="F339" i="17"/>
  <c r="G339" i="17"/>
  <c r="H339" i="17"/>
  <c r="I339" i="17"/>
  <c r="J339" i="17"/>
  <c r="K339" i="17"/>
  <c r="B340" i="17"/>
  <c r="C340" i="17"/>
  <c r="D340" i="17"/>
  <c r="E340" i="17"/>
  <c r="F340" i="17"/>
  <c r="G340" i="17"/>
  <c r="H340" i="17"/>
  <c r="I340" i="17"/>
  <c r="J340" i="17"/>
  <c r="K340" i="17"/>
  <c r="B341" i="17"/>
  <c r="C341" i="17"/>
  <c r="D341" i="17"/>
  <c r="E341" i="17"/>
  <c r="F341" i="17"/>
  <c r="G341" i="17"/>
  <c r="H341" i="17"/>
  <c r="I341" i="17"/>
  <c r="J341" i="17"/>
  <c r="K341" i="17"/>
  <c r="B342" i="17"/>
  <c r="C342" i="17"/>
  <c r="D342" i="17"/>
  <c r="E342" i="17"/>
  <c r="F342" i="17"/>
  <c r="G342" i="17"/>
  <c r="H342" i="17"/>
  <c r="I342" i="17"/>
  <c r="J342" i="17"/>
  <c r="K342" i="17"/>
  <c r="B343" i="17"/>
  <c r="C343" i="17"/>
  <c r="D343" i="17"/>
  <c r="E343" i="17"/>
  <c r="F343" i="17"/>
  <c r="G343" i="17"/>
  <c r="H343" i="17"/>
  <c r="I343" i="17"/>
  <c r="J343" i="17"/>
  <c r="K343" i="17"/>
  <c r="B347" i="17"/>
  <c r="C347" i="17"/>
  <c r="D347" i="17"/>
  <c r="E347" i="17"/>
  <c r="F347" i="17"/>
  <c r="G347" i="17"/>
  <c r="H347" i="17"/>
  <c r="I347" i="17"/>
  <c r="J347" i="17"/>
  <c r="B348" i="17"/>
  <c r="C348" i="17"/>
  <c r="D348" i="17"/>
  <c r="E348" i="17"/>
  <c r="F348" i="17"/>
  <c r="G348" i="17"/>
  <c r="H348" i="17"/>
  <c r="I348" i="17"/>
  <c r="J348" i="17"/>
  <c r="B349" i="17"/>
  <c r="C349" i="17"/>
  <c r="D349" i="17"/>
  <c r="E349" i="17"/>
  <c r="F349" i="17"/>
  <c r="G349" i="17"/>
  <c r="H349" i="17"/>
  <c r="I349" i="17"/>
  <c r="J349" i="17"/>
  <c r="B350" i="17"/>
  <c r="C350" i="17"/>
  <c r="D350" i="17"/>
  <c r="E350" i="17"/>
  <c r="F350" i="17"/>
  <c r="G350" i="17"/>
  <c r="H350" i="17"/>
  <c r="I350" i="17"/>
  <c r="J350" i="17"/>
  <c r="B351" i="17"/>
  <c r="C351" i="17"/>
  <c r="D351" i="17"/>
  <c r="E351" i="17"/>
  <c r="F351" i="17"/>
  <c r="G351" i="17"/>
  <c r="H351" i="17"/>
  <c r="I351" i="17"/>
  <c r="J351" i="17"/>
  <c r="B352" i="17"/>
  <c r="C352" i="17"/>
  <c r="D352" i="17"/>
  <c r="E352" i="17"/>
  <c r="F352" i="17"/>
  <c r="G352" i="17"/>
  <c r="H352" i="17"/>
  <c r="I352" i="17"/>
  <c r="J352" i="17"/>
  <c r="B353" i="17"/>
  <c r="C353" i="17"/>
  <c r="D353" i="17"/>
  <c r="E353" i="17"/>
  <c r="F353" i="17"/>
  <c r="G353" i="17"/>
  <c r="H353" i="17"/>
  <c r="I353" i="17"/>
  <c r="J353" i="17"/>
  <c r="B354" i="17"/>
  <c r="C354" i="17"/>
  <c r="D354" i="17"/>
  <c r="E354" i="17"/>
  <c r="F354" i="17"/>
  <c r="G354" i="17"/>
  <c r="H354" i="17"/>
  <c r="I354" i="17"/>
  <c r="J354" i="17"/>
  <c r="B355" i="17"/>
  <c r="C355" i="17"/>
  <c r="D355" i="17"/>
  <c r="E355" i="17"/>
  <c r="F355" i="17"/>
  <c r="G355" i="17"/>
  <c r="H355" i="17"/>
  <c r="I355" i="17"/>
  <c r="J355" i="17"/>
  <c r="B356" i="17"/>
  <c r="C356" i="17"/>
  <c r="D356" i="17"/>
  <c r="E356" i="17"/>
  <c r="F356" i="17"/>
  <c r="G356" i="17"/>
  <c r="H356" i="17"/>
  <c r="I356" i="17"/>
  <c r="J356" i="17"/>
  <c r="B357" i="17"/>
  <c r="C357" i="17"/>
  <c r="D357" i="17"/>
  <c r="E357" i="17"/>
  <c r="F357" i="17"/>
  <c r="G357" i="17"/>
  <c r="H357" i="17"/>
  <c r="I357" i="17"/>
  <c r="J357" i="17"/>
  <c r="B358" i="17"/>
  <c r="C358" i="17"/>
  <c r="D358" i="17"/>
  <c r="E358" i="17"/>
  <c r="F358" i="17"/>
  <c r="G358" i="17"/>
  <c r="H358" i="17"/>
  <c r="I358" i="17"/>
  <c r="J358" i="17"/>
  <c r="B359" i="17"/>
  <c r="C359" i="17"/>
  <c r="D359" i="17"/>
  <c r="E359" i="17"/>
  <c r="F359" i="17"/>
  <c r="G359" i="17"/>
  <c r="H359" i="17"/>
  <c r="I359" i="17"/>
  <c r="J359" i="17"/>
  <c r="B360" i="17"/>
  <c r="C360" i="17"/>
  <c r="D360" i="17"/>
  <c r="E360" i="17"/>
  <c r="F360" i="17"/>
  <c r="G360" i="17"/>
  <c r="H360" i="17"/>
  <c r="I360" i="17"/>
  <c r="J360" i="17"/>
  <c r="B361" i="17"/>
  <c r="C361" i="17"/>
  <c r="D361" i="17"/>
  <c r="E361" i="17"/>
  <c r="F361" i="17"/>
  <c r="G361" i="17"/>
  <c r="H361" i="17"/>
  <c r="I361" i="17"/>
  <c r="J361" i="17"/>
  <c r="B362" i="17"/>
  <c r="C362" i="17"/>
  <c r="D362" i="17"/>
  <c r="E362" i="17"/>
  <c r="F362" i="17"/>
  <c r="G362" i="17"/>
  <c r="H362" i="17"/>
  <c r="I362" i="17"/>
  <c r="J362" i="17"/>
  <c r="B363" i="17"/>
  <c r="C363" i="17"/>
  <c r="D363" i="17"/>
  <c r="E363" i="17"/>
  <c r="F363" i="17"/>
  <c r="G363" i="17"/>
  <c r="H363" i="17"/>
  <c r="I363" i="17"/>
  <c r="J363" i="17"/>
  <c r="B364" i="17"/>
  <c r="C364" i="17"/>
  <c r="D364" i="17"/>
  <c r="E364" i="17"/>
  <c r="F364" i="17"/>
  <c r="G364" i="17"/>
  <c r="H364" i="17"/>
  <c r="I364" i="17"/>
  <c r="J364" i="17"/>
  <c r="B365" i="17"/>
  <c r="C365" i="17"/>
  <c r="D365" i="17"/>
  <c r="E365" i="17"/>
  <c r="F365" i="17"/>
  <c r="G365" i="17"/>
  <c r="H365" i="17"/>
  <c r="I365" i="17"/>
  <c r="J365" i="17"/>
  <c r="B366" i="17"/>
  <c r="C366" i="17"/>
  <c r="D366" i="17"/>
  <c r="E366" i="17"/>
  <c r="F366" i="17"/>
  <c r="G366" i="17"/>
  <c r="H366" i="17"/>
  <c r="I366" i="17"/>
  <c r="J366" i="17"/>
  <c r="B367" i="17"/>
  <c r="C367" i="17"/>
  <c r="D367" i="17"/>
  <c r="E367" i="17"/>
  <c r="F367" i="17"/>
  <c r="G367" i="17"/>
  <c r="H367" i="17"/>
  <c r="I367" i="17"/>
  <c r="J367" i="17"/>
  <c r="B368" i="17"/>
  <c r="C368" i="17"/>
  <c r="D368" i="17"/>
  <c r="E368" i="17"/>
  <c r="F368" i="17"/>
  <c r="G368" i="17"/>
  <c r="H368" i="17"/>
  <c r="I368" i="17"/>
  <c r="J368" i="17"/>
  <c r="B369" i="17"/>
  <c r="C369" i="17"/>
  <c r="D369" i="17"/>
  <c r="E369" i="17"/>
  <c r="F369" i="17"/>
  <c r="G369" i="17"/>
  <c r="H369" i="17"/>
  <c r="I369" i="17"/>
  <c r="J369" i="17"/>
  <c r="B370" i="17"/>
  <c r="C370" i="17"/>
  <c r="D370" i="17"/>
  <c r="E370" i="17"/>
  <c r="F370" i="17"/>
  <c r="G370" i="17"/>
  <c r="H370" i="17"/>
  <c r="I370" i="17"/>
  <c r="J370" i="17"/>
  <c r="B371" i="17"/>
  <c r="C371" i="17"/>
  <c r="D371" i="17"/>
  <c r="E371" i="17"/>
  <c r="F371" i="17"/>
  <c r="G371" i="17"/>
  <c r="H371" i="17"/>
  <c r="I371" i="17"/>
  <c r="J371" i="17"/>
  <c r="B372" i="17"/>
  <c r="C372" i="17"/>
  <c r="D372" i="17"/>
  <c r="E372" i="17"/>
  <c r="F372" i="17"/>
  <c r="G372" i="17"/>
  <c r="H372" i="17"/>
  <c r="I372" i="17"/>
  <c r="J372" i="17"/>
  <c r="B373" i="17"/>
  <c r="C373" i="17"/>
  <c r="D373" i="17"/>
  <c r="E373" i="17"/>
  <c r="F373" i="17"/>
  <c r="G373" i="17"/>
  <c r="H373" i="17"/>
  <c r="I373" i="17"/>
  <c r="J373" i="17"/>
  <c r="B89" i="3"/>
  <c r="D89" i="3"/>
  <c r="F89" i="3"/>
  <c r="H89" i="3"/>
  <c r="J89" i="3"/>
  <c r="L89" i="3"/>
  <c r="N89" i="3"/>
  <c r="P89" i="3"/>
  <c r="R89" i="3"/>
  <c r="T89" i="3"/>
  <c r="V89" i="3"/>
  <c r="B90" i="3"/>
  <c r="D90" i="3"/>
  <c r="F90" i="3"/>
  <c r="H90" i="3"/>
  <c r="J90" i="3"/>
  <c r="L90" i="3"/>
  <c r="N90" i="3"/>
  <c r="P90" i="3"/>
  <c r="R90" i="3"/>
  <c r="T90" i="3"/>
  <c r="V90" i="3"/>
  <c r="B91" i="3"/>
  <c r="D91" i="3"/>
  <c r="F91" i="3"/>
  <c r="H91" i="3"/>
  <c r="J91" i="3"/>
  <c r="L91" i="3"/>
  <c r="N91" i="3"/>
  <c r="P91" i="3"/>
  <c r="R91" i="3"/>
  <c r="T91" i="3"/>
  <c r="V91" i="3"/>
  <c r="B92" i="3"/>
  <c r="D92" i="3"/>
  <c r="F92" i="3"/>
  <c r="H92" i="3"/>
  <c r="J92" i="3"/>
  <c r="L92" i="3"/>
  <c r="N92" i="3"/>
  <c r="P92" i="3"/>
  <c r="R92" i="3"/>
  <c r="T92" i="3"/>
  <c r="V92" i="3"/>
  <c r="B93" i="3"/>
  <c r="D93" i="3"/>
  <c r="F93" i="3"/>
  <c r="H93" i="3"/>
  <c r="J93" i="3"/>
  <c r="L93" i="3"/>
  <c r="N93" i="3"/>
  <c r="P93" i="3"/>
  <c r="R93" i="3"/>
  <c r="T93" i="3"/>
  <c r="V93" i="3"/>
  <c r="B94" i="3"/>
  <c r="D94" i="3"/>
  <c r="F94" i="3"/>
  <c r="H94" i="3"/>
  <c r="J94" i="3"/>
  <c r="L94" i="3"/>
  <c r="N94" i="3"/>
  <c r="P94" i="3"/>
  <c r="R94" i="3"/>
  <c r="T94" i="3"/>
  <c r="V94" i="3"/>
  <c r="B96" i="3"/>
  <c r="D96" i="3"/>
  <c r="F96" i="3"/>
  <c r="H96" i="3"/>
  <c r="J96" i="3"/>
  <c r="L96" i="3"/>
  <c r="N96" i="3"/>
  <c r="P96" i="3"/>
  <c r="R96" i="3"/>
  <c r="T96" i="3"/>
  <c r="V96" i="3"/>
  <c r="B97" i="3"/>
  <c r="D97" i="3"/>
  <c r="F97" i="3"/>
  <c r="H97" i="3"/>
  <c r="J97" i="3"/>
  <c r="L97" i="3"/>
  <c r="N97" i="3"/>
  <c r="P97" i="3"/>
  <c r="R97" i="3"/>
  <c r="T97" i="3"/>
  <c r="V97" i="3"/>
  <c r="B98" i="3"/>
  <c r="D98" i="3"/>
  <c r="F98" i="3"/>
  <c r="H98" i="3"/>
  <c r="J98" i="3"/>
  <c r="L98" i="3"/>
  <c r="N98" i="3"/>
  <c r="P98" i="3"/>
  <c r="R98" i="3"/>
  <c r="T98" i="3"/>
  <c r="V98" i="3"/>
  <c r="B99" i="3"/>
  <c r="D99" i="3"/>
  <c r="F99" i="3"/>
  <c r="H99" i="3"/>
  <c r="J99" i="3"/>
  <c r="L99" i="3"/>
  <c r="N99" i="3"/>
  <c r="P99" i="3"/>
  <c r="R99" i="3"/>
  <c r="T99" i="3"/>
  <c r="V99" i="3"/>
  <c r="B100" i="3"/>
  <c r="D100" i="3"/>
  <c r="F100" i="3"/>
  <c r="H100" i="3"/>
  <c r="J100" i="3"/>
  <c r="L100" i="3"/>
  <c r="N100" i="3"/>
  <c r="P100" i="3"/>
  <c r="R100" i="3"/>
  <c r="T100" i="3"/>
  <c r="V100" i="3"/>
  <c r="B101" i="3"/>
  <c r="D101" i="3"/>
  <c r="F101" i="3"/>
  <c r="H101" i="3"/>
  <c r="J101" i="3"/>
  <c r="L101" i="3"/>
  <c r="N101" i="3"/>
  <c r="P101" i="3"/>
  <c r="R101" i="3"/>
  <c r="T101" i="3"/>
  <c r="V101" i="3"/>
  <c r="B102" i="3"/>
  <c r="D102" i="3"/>
  <c r="F102" i="3"/>
  <c r="H102" i="3"/>
  <c r="J102" i="3"/>
  <c r="L102" i="3"/>
  <c r="N102" i="3"/>
  <c r="P102" i="3"/>
  <c r="R102" i="3"/>
  <c r="T102" i="3"/>
  <c r="V102" i="3"/>
  <c r="B103" i="3"/>
  <c r="D103" i="3"/>
  <c r="F103" i="3"/>
  <c r="H103" i="3"/>
  <c r="J103" i="3"/>
  <c r="L103" i="3"/>
  <c r="N103" i="3"/>
  <c r="P103" i="3"/>
  <c r="R103" i="3"/>
  <c r="T103" i="3"/>
  <c r="V103" i="3"/>
  <c r="B104" i="3"/>
  <c r="D104" i="3"/>
  <c r="F104" i="3"/>
  <c r="H104" i="3"/>
  <c r="J104" i="3"/>
  <c r="L104" i="3"/>
  <c r="N104" i="3"/>
  <c r="P104" i="3"/>
  <c r="R104" i="3"/>
  <c r="T104" i="3"/>
  <c r="V104" i="3"/>
  <c r="B105" i="3"/>
  <c r="D105" i="3"/>
  <c r="F105" i="3"/>
  <c r="H105" i="3"/>
  <c r="J105" i="3"/>
  <c r="L105" i="3"/>
  <c r="N105" i="3"/>
  <c r="P105" i="3"/>
  <c r="R105" i="3"/>
  <c r="T105" i="3"/>
  <c r="V105" i="3"/>
  <c r="B108" i="3"/>
  <c r="D108" i="3"/>
  <c r="F108" i="3"/>
  <c r="H108" i="3"/>
  <c r="J108" i="3"/>
  <c r="L108" i="3"/>
  <c r="N108" i="3"/>
  <c r="P108" i="3"/>
  <c r="R108" i="3"/>
  <c r="T108" i="3"/>
  <c r="V108" i="3"/>
  <c r="B110" i="3"/>
  <c r="D110" i="3"/>
  <c r="F110" i="3"/>
  <c r="H110" i="3"/>
  <c r="J110" i="3"/>
  <c r="L110" i="3"/>
  <c r="N110" i="3"/>
  <c r="P110" i="3"/>
  <c r="R110" i="3"/>
  <c r="T110" i="3"/>
  <c r="V110" i="3"/>
  <c r="B111" i="3"/>
  <c r="D111" i="3"/>
  <c r="F111" i="3"/>
  <c r="H111" i="3"/>
  <c r="J111" i="3"/>
  <c r="L111" i="3"/>
  <c r="N111" i="3"/>
  <c r="P111" i="3"/>
  <c r="R111" i="3"/>
  <c r="T111" i="3"/>
  <c r="V111" i="3"/>
  <c r="B112" i="3"/>
  <c r="D112" i="3"/>
  <c r="F112" i="3"/>
  <c r="H112" i="3"/>
  <c r="J112" i="3"/>
  <c r="L112" i="3"/>
  <c r="N112" i="3"/>
  <c r="P112" i="3"/>
  <c r="R112" i="3"/>
  <c r="T112" i="3"/>
  <c r="V112" i="3"/>
  <c r="B113" i="3"/>
  <c r="D113" i="3"/>
  <c r="F113" i="3"/>
  <c r="H113" i="3"/>
  <c r="J113" i="3"/>
  <c r="L113" i="3"/>
  <c r="N113" i="3"/>
  <c r="P113" i="3"/>
  <c r="R113" i="3"/>
  <c r="T113" i="3"/>
  <c r="V113" i="3"/>
  <c r="B114" i="3"/>
  <c r="D114" i="3"/>
  <c r="F114" i="3"/>
  <c r="H114" i="3"/>
  <c r="J114" i="3"/>
  <c r="L114" i="3"/>
  <c r="N114" i="3"/>
  <c r="P114" i="3"/>
  <c r="R114" i="3"/>
  <c r="T114" i="3"/>
  <c r="V114" i="3"/>
  <c r="B115" i="3"/>
  <c r="D115" i="3"/>
  <c r="F115" i="3"/>
  <c r="H115" i="3"/>
  <c r="J115" i="3"/>
  <c r="L115" i="3"/>
  <c r="N115" i="3"/>
  <c r="P115" i="3"/>
  <c r="R115" i="3"/>
  <c r="T115" i="3"/>
  <c r="V115" i="3"/>
  <c r="B116" i="3"/>
  <c r="D116" i="3"/>
  <c r="F116" i="3"/>
  <c r="H116" i="3"/>
  <c r="J116" i="3"/>
  <c r="L116" i="3"/>
  <c r="N116" i="3"/>
  <c r="P116" i="3"/>
  <c r="R116" i="3"/>
  <c r="T116" i="3"/>
  <c r="V116" i="3"/>
  <c r="B117" i="3"/>
  <c r="D117" i="3"/>
  <c r="F117" i="3"/>
  <c r="H117" i="3"/>
  <c r="J117" i="3"/>
  <c r="L117" i="3"/>
  <c r="N117" i="3"/>
  <c r="P117" i="3"/>
  <c r="R117" i="3"/>
  <c r="T117" i="3"/>
  <c r="V117" i="3"/>
  <c r="B126" i="3"/>
  <c r="C126" i="3"/>
  <c r="D126" i="3"/>
  <c r="E126" i="3"/>
  <c r="F126" i="3"/>
  <c r="G126" i="3"/>
  <c r="H126" i="3"/>
  <c r="I126" i="3"/>
  <c r="J126" i="3"/>
  <c r="K126" i="3"/>
  <c r="L126" i="3"/>
  <c r="M126" i="3"/>
  <c r="N126" i="3"/>
  <c r="O126" i="3"/>
  <c r="P126" i="3"/>
  <c r="Q126" i="3"/>
  <c r="R126" i="3"/>
  <c r="S126" i="3"/>
  <c r="T126" i="3"/>
  <c r="U126" i="3"/>
  <c r="V126" i="3"/>
  <c r="W126" i="3"/>
  <c r="X126" i="3"/>
  <c r="B127" i="3"/>
  <c r="C127" i="3"/>
  <c r="D127" i="3"/>
  <c r="E127" i="3"/>
  <c r="F127" i="3"/>
  <c r="G127" i="3"/>
  <c r="H127" i="3"/>
  <c r="I127" i="3"/>
  <c r="J127" i="3"/>
  <c r="K127" i="3"/>
  <c r="L127" i="3"/>
  <c r="M127" i="3"/>
  <c r="N127" i="3"/>
  <c r="O127" i="3"/>
  <c r="P127" i="3"/>
  <c r="Q127" i="3"/>
  <c r="R127" i="3"/>
  <c r="S127" i="3"/>
  <c r="T127" i="3"/>
  <c r="U127" i="3"/>
  <c r="V127" i="3"/>
  <c r="W127" i="3"/>
  <c r="X127" i="3"/>
  <c r="B128" i="3"/>
  <c r="C128" i="3"/>
  <c r="D128" i="3"/>
  <c r="E128" i="3"/>
  <c r="F128" i="3"/>
  <c r="G128" i="3"/>
  <c r="H128" i="3"/>
  <c r="I128" i="3"/>
  <c r="J128" i="3"/>
  <c r="K128" i="3"/>
  <c r="L128" i="3"/>
  <c r="M128" i="3"/>
  <c r="N128" i="3"/>
  <c r="O128" i="3"/>
  <c r="P128" i="3"/>
  <c r="Q128" i="3"/>
  <c r="R128" i="3"/>
  <c r="S128" i="3"/>
  <c r="T128" i="3"/>
  <c r="U128" i="3"/>
  <c r="V128" i="3"/>
  <c r="W128" i="3"/>
  <c r="X128" i="3"/>
  <c r="B129" i="3"/>
  <c r="C129" i="3"/>
  <c r="D129" i="3"/>
  <c r="E129" i="3"/>
  <c r="F129" i="3"/>
  <c r="G129" i="3"/>
  <c r="H129" i="3"/>
  <c r="I129" i="3"/>
  <c r="J129" i="3"/>
  <c r="K129" i="3"/>
  <c r="L129" i="3"/>
  <c r="M129" i="3"/>
  <c r="N129" i="3"/>
  <c r="O129" i="3"/>
  <c r="P129" i="3"/>
  <c r="Q129" i="3"/>
  <c r="R129" i="3"/>
  <c r="S129" i="3"/>
  <c r="T129" i="3"/>
  <c r="U129" i="3"/>
  <c r="V129" i="3"/>
  <c r="W129" i="3"/>
  <c r="X129" i="3"/>
  <c r="B130" i="3"/>
  <c r="C130" i="3"/>
  <c r="D130" i="3"/>
  <c r="E130" i="3"/>
  <c r="F130" i="3"/>
  <c r="G130" i="3"/>
  <c r="H130" i="3"/>
  <c r="I130" i="3"/>
  <c r="J130" i="3"/>
  <c r="K130" i="3"/>
  <c r="L130" i="3"/>
  <c r="M130" i="3"/>
  <c r="N130" i="3"/>
  <c r="O130" i="3"/>
  <c r="P130" i="3"/>
  <c r="Q130" i="3"/>
  <c r="R130" i="3"/>
  <c r="S130" i="3"/>
  <c r="T130" i="3"/>
  <c r="U130" i="3"/>
  <c r="V130" i="3"/>
  <c r="W130" i="3"/>
  <c r="X130" i="3"/>
  <c r="B131" i="3"/>
  <c r="C131" i="3"/>
  <c r="D131" i="3"/>
  <c r="E131" i="3"/>
  <c r="F131" i="3"/>
  <c r="G131" i="3"/>
  <c r="H131" i="3"/>
  <c r="I131" i="3"/>
  <c r="J131" i="3"/>
  <c r="K131" i="3"/>
  <c r="L131" i="3"/>
  <c r="M131" i="3"/>
  <c r="N131" i="3"/>
  <c r="O131" i="3"/>
  <c r="P131" i="3"/>
  <c r="Q131" i="3"/>
  <c r="R131" i="3"/>
  <c r="S131" i="3"/>
  <c r="T131" i="3"/>
  <c r="U131" i="3"/>
  <c r="V131" i="3"/>
  <c r="W131" i="3"/>
  <c r="X131" i="3"/>
  <c r="B133" i="3"/>
  <c r="C133" i="3"/>
  <c r="D133" i="3"/>
  <c r="E133" i="3"/>
  <c r="F133" i="3"/>
  <c r="G133" i="3"/>
  <c r="H133" i="3"/>
  <c r="I133" i="3"/>
  <c r="J133" i="3"/>
  <c r="K133" i="3"/>
  <c r="L133" i="3"/>
  <c r="M133" i="3"/>
  <c r="N133" i="3"/>
  <c r="O133" i="3"/>
  <c r="P133" i="3"/>
  <c r="Q133" i="3"/>
  <c r="R133" i="3"/>
  <c r="S133" i="3"/>
  <c r="T133" i="3"/>
  <c r="U133" i="3"/>
  <c r="V133" i="3"/>
  <c r="W133" i="3"/>
  <c r="X133" i="3"/>
  <c r="B134" i="3"/>
  <c r="C134" i="3"/>
  <c r="D134" i="3"/>
  <c r="E134" i="3"/>
  <c r="F134" i="3"/>
  <c r="G134" i="3"/>
  <c r="H134" i="3"/>
  <c r="I134" i="3"/>
  <c r="J134" i="3"/>
  <c r="K134" i="3"/>
  <c r="L134" i="3"/>
  <c r="M134" i="3"/>
  <c r="N134" i="3"/>
  <c r="O134" i="3"/>
  <c r="P134" i="3"/>
  <c r="Q134" i="3"/>
  <c r="R134" i="3"/>
  <c r="S134" i="3"/>
  <c r="T134" i="3"/>
  <c r="U134" i="3"/>
  <c r="V134" i="3"/>
  <c r="W134" i="3"/>
  <c r="X134" i="3"/>
  <c r="B135" i="3"/>
  <c r="C135" i="3"/>
  <c r="D135" i="3"/>
  <c r="E135" i="3"/>
  <c r="F135" i="3"/>
  <c r="G135" i="3"/>
  <c r="H135" i="3"/>
  <c r="I135" i="3"/>
  <c r="J135" i="3"/>
  <c r="K135" i="3"/>
  <c r="L135" i="3"/>
  <c r="M135" i="3"/>
  <c r="N135" i="3"/>
  <c r="O135" i="3"/>
  <c r="P135" i="3"/>
  <c r="Q135" i="3"/>
  <c r="R135" i="3"/>
  <c r="S135" i="3"/>
  <c r="T135" i="3"/>
  <c r="U135" i="3"/>
  <c r="V135" i="3"/>
  <c r="W135" i="3"/>
  <c r="X135" i="3"/>
  <c r="B136" i="3"/>
  <c r="C136" i="3"/>
  <c r="D136" i="3"/>
  <c r="E136" i="3"/>
  <c r="F136" i="3"/>
  <c r="G136" i="3"/>
  <c r="H136" i="3"/>
  <c r="I136" i="3"/>
  <c r="J136" i="3"/>
  <c r="K136" i="3"/>
  <c r="L136" i="3"/>
  <c r="M136" i="3"/>
  <c r="N136" i="3"/>
  <c r="O136" i="3"/>
  <c r="P136" i="3"/>
  <c r="Q136" i="3"/>
  <c r="R136" i="3"/>
  <c r="S136" i="3"/>
  <c r="T136" i="3"/>
  <c r="U136" i="3"/>
  <c r="V136" i="3"/>
  <c r="W136" i="3"/>
  <c r="X136" i="3"/>
  <c r="B137" i="3"/>
  <c r="C137" i="3"/>
  <c r="D137" i="3"/>
  <c r="E137" i="3"/>
  <c r="F137" i="3"/>
  <c r="G137" i="3"/>
  <c r="H137" i="3"/>
  <c r="I137" i="3"/>
  <c r="J137" i="3"/>
  <c r="K137" i="3"/>
  <c r="L137" i="3"/>
  <c r="M137" i="3"/>
  <c r="N137" i="3"/>
  <c r="O137" i="3"/>
  <c r="P137" i="3"/>
  <c r="Q137" i="3"/>
  <c r="R137" i="3"/>
  <c r="S137" i="3"/>
  <c r="T137" i="3"/>
  <c r="U137" i="3"/>
  <c r="V137" i="3"/>
  <c r="W137" i="3"/>
  <c r="X137" i="3"/>
  <c r="B138" i="3"/>
  <c r="C138" i="3"/>
  <c r="D138" i="3"/>
  <c r="E138" i="3"/>
  <c r="F138" i="3"/>
  <c r="G138" i="3"/>
  <c r="H138" i="3"/>
  <c r="I138" i="3"/>
  <c r="J138" i="3"/>
  <c r="K138" i="3"/>
  <c r="L138" i="3"/>
  <c r="M138" i="3"/>
  <c r="N138" i="3"/>
  <c r="O138" i="3"/>
  <c r="P138" i="3"/>
  <c r="Q138" i="3"/>
  <c r="R138" i="3"/>
  <c r="S138" i="3"/>
  <c r="T138" i="3"/>
  <c r="U138" i="3"/>
  <c r="V138" i="3"/>
  <c r="W138" i="3"/>
  <c r="X138" i="3"/>
  <c r="B139" i="3"/>
  <c r="C139" i="3"/>
  <c r="D139" i="3"/>
  <c r="E139" i="3"/>
  <c r="F139" i="3"/>
  <c r="G139" i="3"/>
  <c r="H139" i="3"/>
  <c r="I139" i="3"/>
  <c r="J139" i="3"/>
  <c r="K139" i="3"/>
  <c r="L139" i="3"/>
  <c r="M139" i="3"/>
  <c r="N139" i="3"/>
  <c r="O139" i="3"/>
  <c r="P139" i="3"/>
  <c r="Q139" i="3"/>
  <c r="R139" i="3"/>
  <c r="S139" i="3"/>
  <c r="T139" i="3"/>
  <c r="U139" i="3"/>
  <c r="V139" i="3"/>
  <c r="W139" i="3"/>
  <c r="X139" i="3"/>
  <c r="B140" i="3"/>
  <c r="C140" i="3"/>
  <c r="D140" i="3"/>
  <c r="E140" i="3"/>
  <c r="F140" i="3"/>
  <c r="G140" i="3"/>
  <c r="H140" i="3"/>
  <c r="I140" i="3"/>
  <c r="J140" i="3"/>
  <c r="K140" i="3"/>
  <c r="L140" i="3"/>
  <c r="M140" i="3"/>
  <c r="N140" i="3"/>
  <c r="O140" i="3"/>
  <c r="P140" i="3"/>
  <c r="Q140" i="3"/>
  <c r="R140" i="3"/>
  <c r="S140" i="3"/>
  <c r="T140" i="3"/>
  <c r="U140" i="3"/>
  <c r="V140" i="3"/>
  <c r="W140" i="3"/>
  <c r="X140" i="3"/>
  <c r="B141" i="3"/>
  <c r="C141" i="3"/>
  <c r="D141" i="3"/>
  <c r="E141" i="3"/>
  <c r="F141" i="3"/>
  <c r="G141" i="3"/>
  <c r="H141" i="3"/>
  <c r="I141" i="3"/>
  <c r="J141" i="3"/>
  <c r="K141" i="3"/>
  <c r="L141" i="3"/>
  <c r="M141" i="3"/>
  <c r="N141" i="3"/>
  <c r="O141" i="3"/>
  <c r="P141" i="3"/>
  <c r="Q141" i="3"/>
  <c r="R141" i="3"/>
  <c r="S141" i="3"/>
  <c r="T141" i="3"/>
  <c r="U141" i="3"/>
  <c r="V141" i="3"/>
  <c r="W141" i="3"/>
  <c r="X141" i="3"/>
  <c r="B142" i="3"/>
  <c r="C142" i="3"/>
  <c r="D142" i="3"/>
  <c r="E142" i="3"/>
  <c r="F142" i="3"/>
  <c r="G142" i="3"/>
  <c r="H142" i="3"/>
  <c r="I142" i="3"/>
  <c r="J142" i="3"/>
  <c r="K142" i="3"/>
  <c r="L142" i="3"/>
  <c r="M142" i="3"/>
  <c r="N142" i="3"/>
  <c r="O142" i="3"/>
  <c r="P142" i="3"/>
  <c r="Q142" i="3"/>
  <c r="R142" i="3"/>
  <c r="S142" i="3"/>
  <c r="T142" i="3"/>
  <c r="U142" i="3"/>
  <c r="V142" i="3"/>
  <c r="W142" i="3"/>
  <c r="X142" i="3"/>
  <c r="B145" i="3"/>
  <c r="C145" i="3"/>
  <c r="D145" i="3"/>
  <c r="E145" i="3"/>
  <c r="F145" i="3"/>
  <c r="G145" i="3"/>
  <c r="H145" i="3"/>
  <c r="I145" i="3"/>
  <c r="J145" i="3"/>
  <c r="K145" i="3"/>
  <c r="L145" i="3"/>
  <c r="M145" i="3"/>
  <c r="N145" i="3"/>
  <c r="O145" i="3"/>
  <c r="P145" i="3"/>
  <c r="Q145" i="3"/>
  <c r="R145" i="3"/>
  <c r="S145" i="3"/>
  <c r="T145" i="3"/>
  <c r="U145" i="3"/>
  <c r="V145" i="3"/>
  <c r="W145" i="3"/>
  <c r="X145" i="3"/>
  <c r="B146" i="3"/>
  <c r="C146" i="3"/>
  <c r="D146" i="3"/>
  <c r="E146" i="3"/>
  <c r="F146" i="3"/>
  <c r="G146" i="3"/>
  <c r="H146" i="3"/>
  <c r="I146" i="3"/>
  <c r="J146" i="3"/>
  <c r="K146" i="3"/>
  <c r="L146" i="3"/>
  <c r="M146" i="3"/>
  <c r="N146" i="3"/>
  <c r="O146" i="3"/>
  <c r="P146" i="3"/>
  <c r="Q146" i="3"/>
  <c r="R146" i="3"/>
  <c r="S146" i="3"/>
  <c r="T146" i="3"/>
  <c r="U146" i="3"/>
  <c r="V146" i="3"/>
  <c r="W146" i="3"/>
  <c r="X146" i="3"/>
  <c r="B147" i="3"/>
  <c r="C147" i="3"/>
  <c r="D147" i="3"/>
  <c r="E147" i="3"/>
  <c r="F147" i="3"/>
  <c r="G147" i="3"/>
  <c r="H147" i="3"/>
  <c r="I147" i="3"/>
  <c r="J147" i="3"/>
  <c r="K147" i="3"/>
  <c r="L147" i="3"/>
  <c r="M147" i="3"/>
  <c r="N147" i="3"/>
  <c r="O147" i="3"/>
  <c r="P147" i="3"/>
  <c r="Q147" i="3"/>
  <c r="R147" i="3"/>
  <c r="S147" i="3"/>
  <c r="T147" i="3"/>
  <c r="U147" i="3"/>
  <c r="V147" i="3"/>
  <c r="W147" i="3"/>
  <c r="X147" i="3"/>
  <c r="B149" i="3"/>
  <c r="C149" i="3"/>
  <c r="D149" i="3"/>
  <c r="E149" i="3"/>
  <c r="F149" i="3"/>
  <c r="G149" i="3"/>
  <c r="H149" i="3"/>
  <c r="I149" i="3"/>
  <c r="J149" i="3"/>
  <c r="K149" i="3"/>
  <c r="L149" i="3"/>
  <c r="M149" i="3"/>
  <c r="N149" i="3"/>
  <c r="O149" i="3"/>
  <c r="P149" i="3"/>
  <c r="Q149" i="3"/>
  <c r="R149" i="3"/>
  <c r="S149" i="3"/>
  <c r="T149" i="3"/>
  <c r="U149" i="3"/>
  <c r="V149" i="3"/>
  <c r="W149" i="3"/>
  <c r="X149" i="3"/>
  <c r="B150" i="3"/>
  <c r="C150" i="3"/>
  <c r="D150" i="3"/>
  <c r="E150" i="3"/>
  <c r="F150" i="3"/>
  <c r="G150" i="3"/>
  <c r="H150" i="3"/>
  <c r="I150" i="3"/>
  <c r="J150" i="3"/>
  <c r="K150" i="3"/>
  <c r="L150" i="3"/>
  <c r="M150" i="3"/>
  <c r="N150" i="3"/>
  <c r="O150" i="3"/>
  <c r="P150" i="3"/>
  <c r="Q150" i="3"/>
  <c r="R150" i="3"/>
  <c r="S150" i="3"/>
  <c r="T150" i="3"/>
  <c r="U150" i="3"/>
  <c r="V150" i="3"/>
  <c r="W150" i="3"/>
  <c r="X150" i="3"/>
  <c r="B151" i="3"/>
  <c r="C151" i="3"/>
  <c r="D151" i="3"/>
  <c r="E151" i="3"/>
  <c r="F151" i="3"/>
  <c r="G151" i="3"/>
  <c r="H151" i="3"/>
  <c r="I151" i="3"/>
  <c r="J151" i="3"/>
  <c r="K151" i="3"/>
  <c r="L151" i="3"/>
  <c r="M151" i="3"/>
  <c r="N151" i="3"/>
  <c r="O151" i="3"/>
  <c r="P151" i="3"/>
  <c r="Q151" i="3"/>
  <c r="R151" i="3"/>
  <c r="S151" i="3"/>
  <c r="T151" i="3"/>
  <c r="U151" i="3"/>
  <c r="V151" i="3"/>
  <c r="W151" i="3"/>
  <c r="X151" i="3"/>
  <c r="B152" i="3"/>
  <c r="C152" i="3"/>
  <c r="D152" i="3"/>
  <c r="E152" i="3"/>
  <c r="F152" i="3"/>
  <c r="G152" i="3"/>
  <c r="H152" i="3"/>
  <c r="I152" i="3"/>
  <c r="J152" i="3"/>
  <c r="K152" i="3"/>
  <c r="L152" i="3"/>
  <c r="M152" i="3"/>
  <c r="N152" i="3"/>
  <c r="O152" i="3"/>
  <c r="P152" i="3"/>
  <c r="Q152" i="3"/>
  <c r="R152" i="3"/>
  <c r="S152" i="3"/>
  <c r="T152" i="3"/>
  <c r="U152" i="3"/>
  <c r="V152" i="3"/>
  <c r="W152" i="3"/>
  <c r="X152" i="3"/>
  <c r="B153" i="3"/>
  <c r="C153" i="3"/>
  <c r="D153" i="3"/>
  <c r="E153" i="3"/>
  <c r="F153" i="3"/>
  <c r="G153" i="3"/>
  <c r="H153" i="3"/>
  <c r="I153" i="3"/>
  <c r="J153" i="3"/>
  <c r="K153" i="3"/>
  <c r="L153" i="3"/>
  <c r="M153" i="3"/>
  <c r="N153" i="3"/>
  <c r="O153" i="3"/>
  <c r="P153" i="3"/>
  <c r="Q153" i="3"/>
  <c r="R153" i="3"/>
  <c r="S153" i="3"/>
  <c r="T153" i="3"/>
  <c r="U153" i="3"/>
  <c r="V153" i="3"/>
  <c r="W153" i="3"/>
  <c r="X153" i="3"/>
  <c r="B154" i="3"/>
  <c r="C154" i="3"/>
  <c r="D154" i="3"/>
  <c r="E154" i="3"/>
  <c r="F154" i="3"/>
  <c r="G154" i="3"/>
  <c r="H154" i="3"/>
  <c r="I154" i="3"/>
  <c r="J154" i="3"/>
  <c r="K154" i="3"/>
  <c r="L154" i="3"/>
  <c r="M154" i="3"/>
  <c r="N154" i="3"/>
  <c r="O154" i="3"/>
  <c r="P154" i="3"/>
  <c r="Q154" i="3"/>
  <c r="R154" i="3"/>
  <c r="S154" i="3"/>
  <c r="T154" i="3"/>
  <c r="U154" i="3"/>
  <c r="V154" i="3"/>
  <c r="W154" i="3"/>
  <c r="X154" i="3"/>
  <c r="B155" i="3"/>
  <c r="C155" i="3"/>
  <c r="D155" i="3"/>
  <c r="E155" i="3"/>
  <c r="F155" i="3"/>
  <c r="G155" i="3"/>
  <c r="H155" i="3"/>
  <c r="I155" i="3"/>
  <c r="J155" i="3"/>
  <c r="K155" i="3"/>
  <c r="L155" i="3"/>
  <c r="M155" i="3"/>
  <c r="N155" i="3"/>
  <c r="O155" i="3"/>
  <c r="P155" i="3"/>
  <c r="Q155" i="3"/>
  <c r="R155" i="3"/>
  <c r="S155" i="3"/>
  <c r="T155" i="3"/>
  <c r="U155" i="3"/>
  <c r="V155" i="3"/>
  <c r="W155" i="3"/>
  <c r="X155" i="3"/>
  <c r="B156" i="3"/>
  <c r="C156" i="3"/>
  <c r="D156" i="3"/>
  <c r="E156" i="3"/>
  <c r="F156" i="3"/>
  <c r="G156" i="3"/>
  <c r="H156" i="3"/>
  <c r="I156" i="3"/>
  <c r="J156" i="3"/>
  <c r="K156" i="3"/>
  <c r="L156" i="3"/>
  <c r="M156" i="3"/>
  <c r="N156" i="3"/>
  <c r="O156" i="3"/>
  <c r="P156" i="3"/>
  <c r="Q156" i="3"/>
  <c r="R156" i="3"/>
  <c r="S156" i="3"/>
  <c r="T156" i="3"/>
  <c r="U156" i="3"/>
  <c r="V156" i="3"/>
  <c r="W156" i="3"/>
  <c r="X156" i="3"/>
  <c r="B164" i="3"/>
  <c r="C164" i="3"/>
  <c r="D164" i="3"/>
  <c r="E164" i="3"/>
  <c r="F164" i="3"/>
  <c r="G164" i="3"/>
  <c r="H164" i="3"/>
  <c r="I164" i="3"/>
  <c r="J164" i="3"/>
  <c r="K164" i="3"/>
  <c r="L164" i="3"/>
  <c r="M164" i="3"/>
  <c r="N164" i="3"/>
  <c r="O164" i="3"/>
  <c r="P164" i="3"/>
  <c r="Q164" i="3"/>
  <c r="R164" i="3"/>
  <c r="S164" i="3"/>
  <c r="B165" i="3"/>
  <c r="C165" i="3"/>
  <c r="D165" i="3"/>
  <c r="E165" i="3"/>
  <c r="F165" i="3"/>
  <c r="G165" i="3"/>
  <c r="H165" i="3"/>
  <c r="I165" i="3"/>
  <c r="J165" i="3"/>
  <c r="K165" i="3"/>
  <c r="L165" i="3"/>
  <c r="M165" i="3"/>
  <c r="N165" i="3"/>
  <c r="O165" i="3"/>
  <c r="P165" i="3"/>
  <c r="Q165" i="3"/>
  <c r="R165" i="3"/>
  <c r="S165" i="3"/>
  <c r="B166" i="3"/>
  <c r="C166" i="3"/>
  <c r="D166" i="3"/>
  <c r="E166" i="3"/>
  <c r="F166" i="3"/>
  <c r="G166" i="3"/>
  <c r="H166" i="3"/>
  <c r="I166" i="3"/>
  <c r="J166" i="3"/>
  <c r="K166" i="3"/>
  <c r="L166" i="3"/>
  <c r="M166" i="3"/>
  <c r="N166" i="3"/>
  <c r="O166" i="3"/>
  <c r="P166" i="3"/>
  <c r="Q166" i="3"/>
  <c r="R166" i="3"/>
  <c r="S166" i="3"/>
  <c r="B167" i="3"/>
  <c r="C167" i="3"/>
  <c r="D167" i="3"/>
  <c r="E167" i="3"/>
  <c r="F167" i="3"/>
  <c r="G167" i="3"/>
  <c r="H167" i="3"/>
  <c r="I167" i="3"/>
  <c r="J167" i="3"/>
  <c r="K167" i="3"/>
  <c r="L167" i="3"/>
  <c r="M167" i="3"/>
  <c r="N167" i="3"/>
  <c r="O167" i="3"/>
  <c r="P167" i="3"/>
  <c r="Q167" i="3"/>
  <c r="R167" i="3"/>
  <c r="S167" i="3"/>
  <c r="B168" i="3"/>
  <c r="C168" i="3"/>
  <c r="D168" i="3"/>
  <c r="E168" i="3"/>
  <c r="F168" i="3"/>
  <c r="G168" i="3"/>
  <c r="H168" i="3"/>
  <c r="I168" i="3"/>
  <c r="J168" i="3"/>
  <c r="K168" i="3"/>
  <c r="L168" i="3"/>
  <c r="M168" i="3"/>
  <c r="N168" i="3"/>
  <c r="O168" i="3"/>
  <c r="P168" i="3"/>
  <c r="Q168" i="3"/>
  <c r="R168" i="3"/>
  <c r="S168" i="3"/>
  <c r="B169" i="3"/>
  <c r="C169" i="3"/>
  <c r="D169" i="3"/>
  <c r="E169" i="3"/>
  <c r="F169" i="3"/>
  <c r="G169" i="3"/>
  <c r="H169" i="3"/>
  <c r="I169" i="3"/>
  <c r="J169" i="3"/>
  <c r="K169" i="3"/>
  <c r="L169" i="3"/>
  <c r="M169" i="3"/>
  <c r="N169" i="3"/>
  <c r="O169" i="3"/>
  <c r="P169" i="3"/>
  <c r="Q169" i="3"/>
  <c r="R169" i="3"/>
  <c r="S169" i="3"/>
  <c r="B171" i="3"/>
  <c r="C171" i="3"/>
  <c r="D171" i="3"/>
  <c r="E171" i="3"/>
  <c r="F171" i="3"/>
  <c r="G171" i="3"/>
  <c r="H171" i="3"/>
  <c r="I171" i="3"/>
  <c r="J171" i="3"/>
  <c r="K171" i="3"/>
  <c r="L171" i="3"/>
  <c r="M171" i="3"/>
  <c r="N171" i="3"/>
  <c r="O171" i="3"/>
  <c r="P171" i="3"/>
  <c r="Q171" i="3"/>
  <c r="R171" i="3"/>
  <c r="S171" i="3"/>
  <c r="B172" i="3"/>
  <c r="C172" i="3"/>
  <c r="D172" i="3"/>
  <c r="E172" i="3"/>
  <c r="F172" i="3"/>
  <c r="G172" i="3"/>
  <c r="H172" i="3"/>
  <c r="I172" i="3"/>
  <c r="J172" i="3"/>
  <c r="K172" i="3"/>
  <c r="L172" i="3"/>
  <c r="M172" i="3"/>
  <c r="N172" i="3"/>
  <c r="O172" i="3"/>
  <c r="P172" i="3"/>
  <c r="Q172" i="3"/>
  <c r="R172" i="3"/>
  <c r="S172" i="3"/>
  <c r="B173" i="3"/>
  <c r="C173" i="3"/>
  <c r="D173" i="3"/>
  <c r="E173" i="3"/>
  <c r="F173" i="3"/>
  <c r="G173" i="3"/>
  <c r="H173" i="3"/>
  <c r="I173" i="3"/>
  <c r="J173" i="3"/>
  <c r="K173" i="3"/>
  <c r="L173" i="3"/>
  <c r="M173" i="3"/>
  <c r="N173" i="3"/>
  <c r="O173" i="3"/>
  <c r="P173" i="3"/>
  <c r="Q173" i="3"/>
  <c r="R173" i="3"/>
  <c r="S173" i="3"/>
  <c r="B174" i="3"/>
  <c r="C174" i="3"/>
  <c r="D174" i="3"/>
  <c r="E174" i="3"/>
  <c r="F174" i="3"/>
  <c r="G174" i="3"/>
  <c r="H174" i="3"/>
  <c r="I174" i="3"/>
  <c r="J174" i="3"/>
  <c r="K174" i="3"/>
  <c r="L174" i="3"/>
  <c r="M174" i="3"/>
  <c r="N174" i="3"/>
  <c r="O174" i="3"/>
  <c r="P174" i="3"/>
  <c r="Q174" i="3"/>
  <c r="R174" i="3"/>
  <c r="S174" i="3"/>
  <c r="B175" i="3"/>
  <c r="C175" i="3"/>
  <c r="D175" i="3"/>
  <c r="E175" i="3"/>
  <c r="F175" i="3"/>
  <c r="G175" i="3"/>
  <c r="H175" i="3"/>
  <c r="I175" i="3"/>
  <c r="J175" i="3"/>
  <c r="K175" i="3"/>
  <c r="L175" i="3"/>
  <c r="M175" i="3"/>
  <c r="N175" i="3"/>
  <c r="O175" i="3"/>
  <c r="P175" i="3"/>
  <c r="Q175" i="3"/>
  <c r="R175" i="3"/>
  <c r="S175" i="3"/>
  <c r="B176" i="3"/>
  <c r="C176" i="3"/>
  <c r="D176" i="3"/>
  <c r="E176" i="3"/>
  <c r="F176" i="3"/>
  <c r="G176" i="3"/>
  <c r="H176" i="3"/>
  <c r="I176" i="3"/>
  <c r="J176" i="3"/>
  <c r="K176" i="3"/>
  <c r="L176" i="3"/>
  <c r="M176" i="3"/>
  <c r="N176" i="3"/>
  <c r="O176" i="3"/>
  <c r="P176" i="3"/>
  <c r="Q176" i="3"/>
  <c r="R176" i="3"/>
  <c r="S176" i="3"/>
  <c r="B177" i="3"/>
  <c r="C177" i="3"/>
  <c r="D177" i="3"/>
  <c r="E177" i="3"/>
  <c r="F177" i="3"/>
  <c r="G177" i="3"/>
  <c r="H177" i="3"/>
  <c r="I177" i="3"/>
  <c r="J177" i="3"/>
  <c r="K177" i="3"/>
  <c r="L177" i="3"/>
  <c r="M177" i="3"/>
  <c r="N177" i="3"/>
  <c r="O177" i="3"/>
  <c r="P177" i="3"/>
  <c r="Q177" i="3"/>
  <c r="R177" i="3"/>
  <c r="S177" i="3"/>
  <c r="B178" i="3"/>
  <c r="C178" i="3"/>
  <c r="D178" i="3"/>
  <c r="E178" i="3"/>
  <c r="F178" i="3"/>
  <c r="G178" i="3"/>
  <c r="H178" i="3"/>
  <c r="I178" i="3"/>
  <c r="J178" i="3"/>
  <c r="K178" i="3"/>
  <c r="L178" i="3"/>
  <c r="M178" i="3"/>
  <c r="N178" i="3"/>
  <c r="O178" i="3"/>
  <c r="P178" i="3"/>
  <c r="Q178" i="3"/>
  <c r="R178" i="3"/>
  <c r="S178" i="3"/>
  <c r="B179" i="3"/>
  <c r="C179" i="3"/>
  <c r="D179" i="3"/>
  <c r="E179" i="3"/>
  <c r="F179" i="3"/>
  <c r="G179" i="3"/>
  <c r="H179" i="3"/>
  <c r="I179" i="3"/>
  <c r="J179" i="3"/>
  <c r="K179" i="3"/>
  <c r="L179" i="3"/>
  <c r="M179" i="3"/>
  <c r="N179" i="3"/>
  <c r="O179" i="3"/>
  <c r="P179" i="3"/>
  <c r="Q179" i="3"/>
  <c r="R179" i="3"/>
  <c r="S179" i="3"/>
  <c r="B180" i="3"/>
  <c r="C180" i="3"/>
  <c r="D180" i="3"/>
  <c r="E180" i="3"/>
  <c r="F180" i="3"/>
  <c r="G180" i="3"/>
  <c r="H180" i="3"/>
  <c r="I180" i="3"/>
  <c r="J180" i="3"/>
  <c r="K180" i="3"/>
  <c r="L180" i="3"/>
  <c r="M180" i="3"/>
  <c r="N180" i="3"/>
  <c r="O180" i="3"/>
  <c r="P180" i="3"/>
  <c r="Q180" i="3"/>
  <c r="R180" i="3"/>
  <c r="S180" i="3"/>
  <c r="B183" i="3"/>
  <c r="C183" i="3"/>
  <c r="D183" i="3"/>
  <c r="E183" i="3"/>
  <c r="F183" i="3"/>
  <c r="G183" i="3"/>
  <c r="H183" i="3"/>
  <c r="I183" i="3"/>
  <c r="J183" i="3"/>
  <c r="K183" i="3"/>
  <c r="L183" i="3"/>
  <c r="M183" i="3"/>
  <c r="N183" i="3"/>
  <c r="O183" i="3"/>
  <c r="P183" i="3"/>
  <c r="Q183" i="3"/>
  <c r="R183" i="3"/>
  <c r="S183" i="3"/>
  <c r="B184" i="3"/>
  <c r="C184" i="3"/>
  <c r="D184" i="3"/>
  <c r="E184" i="3"/>
  <c r="F184" i="3"/>
  <c r="G184" i="3"/>
  <c r="H184" i="3"/>
  <c r="I184" i="3"/>
  <c r="J184" i="3"/>
  <c r="K184" i="3"/>
  <c r="L184" i="3"/>
  <c r="M184" i="3"/>
  <c r="N184" i="3"/>
  <c r="O184" i="3"/>
  <c r="P184" i="3"/>
  <c r="Q184" i="3"/>
  <c r="R184" i="3"/>
  <c r="S184" i="3"/>
  <c r="B185" i="3"/>
  <c r="C185" i="3"/>
  <c r="D185" i="3"/>
  <c r="E185" i="3"/>
  <c r="F185" i="3"/>
  <c r="G185" i="3"/>
  <c r="H185" i="3"/>
  <c r="I185" i="3"/>
  <c r="J185" i="3"/>
  <c r="K185" i="3"/>
  <c r="L185" i="3"/>
  <c r="M185" i="3"/>
  <c r="N185" i="3"/>
  <c r="O185" i="3"/>
  <c r="P185" i="3"/>
  <c r="Q185" i="3"/>
  <c r="R185" i="3"/>
  <c r="S185" i="3"/>
  <c r="B187" i="3"/>
  <c r="C187" i="3"/>
  <c r="D187" i="3"/>
  <c r="E187" i="3"/>
  <c r="F187" i="3"/>
  <c r="G187" i="3"/>
  <c r="H187" i="3"/>
  <c r="I187" i="3"/>
  <c r="J187" i="3"/>
  <c r="K187" i="3"/>
  <c r="L187" i="3"/>
  <c r="M187" i="3"/>
  <c r="N187" i="3"/>
  <c r="O187" i="3"/>
  <c r="P187" i="3"/>
  <c r="Q187" i="3"/>
  <c r="R187" i="3"/>
  <c r="S187" i="3"/>
  <c r="B188" i="3"/>
  <c r="C188" i="3"/>
  <c r="D188" i="3"/>
  <c r="E188" i="3"/>
  <c r="F188" i="3"/>
  <c r="G188" i="3"/>
  <c r="H188" i="3"/>
  <c r="I188" i="3"/>
  <c r="J188" i="3"/>
  <c r="K188" i="3"/>
  <c r="L188" i="3"/>
  <c r="M188" i="3"/>
  <c r="N188" i="3"/>
  <c r="O188" i="3"/>
  <c r="P188" i="3"/>
  <c r="Q188" i="3"/>
  <c r="R188" i="3"/>
  <c r="S188" i="3"/>
  <c r="B189" i="3"/>
  <c r="C189" i="3"/>
  <c r="D189" i="3"/>
  <c r="E189" i="3"/>
  <c r="F189" i="3"/>
  <c r="G189" i="3"/>
  <c r="H189" i="3"/>
  <c r="I189" i="3"/>
  <c r="J189" i="3"/>
  <c r="K189" i="3"/>
  <c r="L189" i="3"/>
  <c r="M189" i="3"/>
  <c r="N189" i="3"/>
  <c r="O189" i="3"/>
  <c r="P189" i="3"/>
  <c r="Q189" i="3"/>
  <c r="R189" i="3"/>
  <c r="S189" i="3"/>
  <c r="B190" i="3"/>
  <c r="C190" i="3"/>
  <c r="D190" i="3"/>
  <c r="E190" i="3"/>
  <c r="F190" i="3"/>
  <c r="G190" i="3"/>
  <c r="H190" i="3"/>
  <c r="I190" i="3"/>
  <c r="J190" i="3"/>
  <c r="K190" i="3"/>
  <c r="L190" i="3"/>
  <c r="M190" i="3"/>
  <c r="N190" i="3"/>
  <c r="O190" i="3"/>
  <c r="P190" i="3"/>
  <c r="Q190" i="3"/>
  <c r="R190" i="3"/>
  <c r="S190" i="3"/>
  <c r="B191" i="3"/>
  <c r="C191" i="3"/>
  <c r="D191" i="3"/>
  <c r="E191" i="3"/>
  <c r="F191" i="3"/>
  <c r="G191" i="3"/>
  <c r="H191" i="3"/>
  <c r="I191" i="3"/>
  <c r="J191" i="3"/>
  <c r="K191" i="3"/>
  <c r="L191" i="3"/>
  <c r="M191" i="3"/>
  <c r="N191" i="3"/>
  <c r="O191" i="3"/>
  <c r="P191" i="3"/>
  <c r="Q191" i="3"/>
  <c r="R191" i="3"/>
  <c r="S191" i="3"/>
  <c r="B192" i="3"/>
  <c r="C192" i="3"/>
  <c r="D192" i="3"/>
  <c r="E192" i="3"/>
  <c r="F192" i="3"/>
  <c r="G192" i="3"/>
  <c r="H192" i="3"/>
  <c r="I192" i="3"/>
  <c r="J192" i="3"/>
  <c r="K192" i="3"/>
  <c r="L192" i="3"/>
  <c r="M192" i="3"/>
  <c r="N192" i="3"/>
  <c r="O192" i="3"/>
  <c r="P192" i="3"/>
  <c r="Q192" i="3"/>
  <c r="R192" i="3"/>
  <c r="S192" i="3"/>
  <c r="B193" i="3"/>
  <c r="C193" i="3"/>
  <c r="D193" i="3"/>
  <c r="E193" i="3"/>
  <c r="F193" i="3"/>
  <c r="G193" i="3"/>
  <c r="H193" i="3"/>
  <c r="I193" i="3"/>
  <c r="J193" i="3"/>
  <c r="K193" i="3"/>
  <c r="L193" i="3"/>
  <c r="M193" i="3"/>
  <c r="N193" i="3"/>
  <c r="O193" i="3"/>
  <c r="P193" i="3"/>
  <c r="Q193" i="3"/>
  <c r="R193" i="3"/>
  <c r="S193" i="3"/>
  <c r="B194" i="3"/>
  <c r="C194" i="3"/>
  <c r="D194" i="3"/>
  <c r="E194" i="3"/>
  <c r="F194" i="3"/>
  <c r="G194" i="3"/>
  <c r="H194" i="3"/>
  <c r="I194" i="3"/>
  <c r="J194" i="3"/>
  <c r="K194" i="3"/>
  <c r="L194" i="3"/>
  <c r="M194" i="3"/>
  <c r="N194" i="3"/>
  <c r="O194" i="3"/>
  <c r="P194" i="3"/>
  <c r="Q194" i="3"/>
  <c r="R194" i="3"/>
  <c r="S19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Wang</author>
  </authors>
  <commentList>
    <comment ref="A70" authorId="0" shapeId="0" xr:uid="{00000000-0006-0000-0000-000001000000}">
      <text>
        <r>
          <rPr>
            <sz val="8"/>
            <color indexed="81"/>
            <rFont val="Tahoma"/>
            <family val="2"/>
          </rPr>
          <t>This cell contains comments.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 Elgowainy</author>
    <author>tc={253968E7-49C3-44E3-A3D7-12B4A71A2BEC}</author>
    <author>Jeongwoo Han</author>
    <author>Zare-Mehrjerdi, Omid</author>
    <author>tc={B49AB7D1-C47D-49A9-B9A8-EFF73525765A}</author>
  </authors>
  <commentList>
    <comment ref="B42" authorId="0" shapeId="0" xr:uid="{00000000-0006-0000-2C00-000001000000}">
      <text>
        <r>
          <rPr>
            <b/>
            <sz val="10"/>
            <color indexed="81"/>
            <rFont val="Tahoma"/>
            <family val="2"/>
          </rPr>
          <t>Btu per (short ton, as received)</t>
        </r>
        <r>
          <rPr>
            <sz val="10"/>
            <color indexed="81"/>
            <rFont val="Tahoma"/>
            <family val="2"/>
          </rPr>
          <t xml:space="preserve">
</t>
        </r>
      </text>
    </comment>
    <comment ref="C42" authorId="0" shapeId="0" xr:uid="{00000000-0006-0000-2C00-000002000000}">
      <text>
        <r>
          <rPr>
            <b/>
            <sz val="10"/>
            <color indexed="81"/>
            <rFont val="Tahoma"/>
            <family val="2"/>
          </rPr>
          <t>Btu per (short ton, as received)</t>
        </r>
        <r>
          <rPr>
            <sz val="10"/>
            <color indexed="81"/>
            <rFont val="Tahoma"/>
            <family val="2"/>
          </rPr>
          <t xml:space="preserve">
</t>
        </r>
      </text>
    </comment>
    <comment ref="D42" authorId="0" shapeId="0" xr:uid="{00000000-0006-0000-2C00-000003000000}">
      <text>
        <r>
          <rPr>
            <b/>
            <sz val="10"/>
            <color indexed="81"/>
            <rFont val="Tahoma"/>
            <family val="2"/>
          </rPr>
          <t>Btu per (short ton, as received)</t>
        </r>
        <r>
          <rPr>
            <sz val="10"/>
            <color indexed="81"/>
            <rFont val="Tahoma"/>
            <family val="2"/>
          </rPr>
          <t xml:space="preserve">
</t>
        </r>
      </text>
    </comment>
    <comment ref="E42" authorId="0" shapeId="0" xr:uid="{00000000-0006-0000-2C00-000004000000}">
      <text>
        <r>
          <rPr>
            <b/>
            <sz val="10"/>
            <color indexed="81"/>
            <rFont val="Tahoma"/>
            <family val="2"/>
          </rPr>
          <t>Btu per (short ton, as received)</t>
        </r>
        <r>
          <rPr>
            <sz val="10"/>
            <color indexed="81"/>
            <rFont val="Tahoma"/>
            <family val="2"/>
          </rPr>
          <t xml:space="preserve">
</t>
        </r>
      </text>
    </comment>
    <comment ref="F42" authorId="0" shapeId="0" xr:uid="{00000000-0006-0000-2C00-000005000000}">
      <text>
        <r>
          <rPr>
            <b/>
            <sz val="10"/>
            <color indexed="81"/>
            <rFont val="Tahoma"/>
            <family val="2"/>
          </rPr>
          <t>Btu per (short ton, as received)</t>
        </r>
        <r>
          <rPr>
            <sz val="10"/>
            <color indexed="81"/>
            <rFont val="Tahoma"/>
            <family val="2"/>
          </rPr>
          <t xml:space="preserve">
</t>
        </r>
      </text>
    </comment>
    <comment ref="G42" authorId="0" shapeId="0" xr:uid="{00000000-0006-0000-2C00-000006000000}">
      <text>
        <r>
          <rPr>
            <b/>
            <sz val="10"/>
            <color indexed="81"/>
            <rFont val="Tahoma"/>
            <family val="2"/>
          </rPr>
          <t>Btu per (short ton, as received)</t>
        </r>
        <r>
          <rPr>
            <sz val="10"/>
            <color indexed="81"/>
            <rFont val="Tahoma"/>
            <family val="2"/>
          </rPr>
          <t xml:space="preserve">
</t>
        </r>
      </text>
    </comment>
    <comment ref="H42" authorId="0" shapeId="0" xr:uid="{00000000-0006-0000-2C00-000007000000}">
      <text>
        <r>
          <rPr>
            <b/>
            <sz val="10"/>
            <color indexed="81"/>
            <rFont val="Tahoma"/>
            <family val="2"/>
          </rPr>
          <t>Btu per (short ton, as received)</t>
        </r>
        <r>
          <rPr>
            <sz val="10"/>
            <color indexed="81"/>
            <rFont val="Tahoma"/>
            <family val="2"/>
          </rPr>
          <t xml:space="preserve">
</t>
        </r>
      </text>
    </comment>
    <comment ref="B43" authorId="0" shapeId="0" xr:uid="{00000000-0006-0000-2C00-000008000000}">
      <text>
        <r>
          <rPr>
            <b/>
            <sz val="10"/>
            <color indexed="81"/>
            <rFont val="Tahoma"/>
            <family val="2"/>
          </rPr>
          <t>Btu per (short ton, dry matter)</t>
        </r>
        <r>
          <rPr>
            <sz val="10"/>
            <color indexed="81"/>
            <rFont val="Tahoma"/>
            <family val="2"/>
          </rPr>
          <t xml:space="preserve">
</t>
        </r>
      </text>
    </comment>
    <comment ref="C43" authorId="0" shapeId="0" xr:uid="{00000000-0006-0000-2C00-000009000000}">
      <text>
        <r>
          <rPr>
            <b/>
            <sz val="10"/>
            <color indexed="81"/>
            <rFont val="Tahoma"/>
            <family val="2"/>
          </rPr>
          <t>Btu per (short ton, dry matter)</t>
        </r>
        <r>
          <rPr>
            <sz val="10"/>
            <color indexed="81"/>
            <rFont val="Tahoma"/>
            <family val="2"/>
          </rPr>
          <t xml:space="preserve">
</t>
        </r>
      </text>
    </comment>
    <comment ref="D43" authorId="0" shapeId="0" xr:uid="{00000000-0006-0000-2C00-00000A000000}">
      <text>
        <r>
          <rPr>
            <b/>
            <sz val="10"/>
            <color indexed="81"/>
            <rFont val="Tahoma"/>
            <family val="2"/>
          </rPr>
          <t>Btu per (short ton, dry matter)</t>
        </r>
        <r>
          <rPr>
            <sz val="10"/>
            <color indexed="81"/>
            <rFont val="Tahoma"/>
            <family val="2"/>
          </rPr>
          <t xml:space="preserve">
</t>
        </r>
      </text>
    </comment>
    <comment ref="E43" authorId="0" shapeId="0" xr:uid="{00000000-0006-0000-2C00-00000B000000}">
      <text>
        <r>
          <rPr>
            <b/>
            <sz val="10"/>
            <color indexed="81"/>
            <rFont val="Tahoma"/>
            <family val="2"/>
          </rPr>
          <t>Btu per (short ton, dry matter)</t>
        </r>
        <r>
          <rPr>
            <sz val="10"/>
            <color indexed="81"/>
            <rFont val="Tahoma"/>
            <family val="2"/>
          </rPr>
          <t xml:space="preserve">
</t>
        </r>
      </text>
    </comment>
    <comment ref="F43" authorId="0" shapeId="0" xr:uid="{00000000-0006-0000-2C00-00000C000000}">
      <text>
        <r>
          <rPr>
            <b/>
            <sz val="10"/>
            <color indexed="81"/>
            <rFont val="Tahoma"/>
            <family val="2"/>
          </rPr>
          <t>Btu per (short ton, dry matter)</t>
        </r>
        <r>
          <rPr>
            <sz val="10"/>
            <color indexed="81"/>
            <rFont val="Tahoma"/>
            <family val="2"/>
          </rPr>
          <t xml:space="preserve">
</t>
        </r>
      </text>
    </comment>
    <comment ref="G43" authorId="0" shapeId="0" xr:uid="{00000000-0006-0000-2C00-00000D000000}">
      <text>
        <r>
          <rPr>
            <b/>
            <sz val="10"/>
            <color indexed="81"/>
            <rFont val="Tahoma"/>
            <family val="2"/>
          </rPr>
          <t>Btu per (short ton, dry matter)</t>
        </r>
        <r>
          <rPr>
            <sz val="10"/>
            <color indexed="81"/>
            <rFont val="Tahoma"/>
            <family val="2"/>
          </rPr>
          <t xml:space="preserve">
</t>
        </r>
      </text>
    </comment>
    <comment ref="H43" authorId="0" shapeId="0" xr:uid="{00000000-0006-0000-2C00-00000E000000}">
      <text>
        <r>
          <rPr>
            <b/>
            <sz val="10"/>
            <color indexed="81"/>
            <rFont val="Tahoma"/>
            <family val="2"/>
          </rPr>
          <t>Btu per (short ton, dry matter)</t>
        </r>
        <r>
          <rPr>
            <sz val="10"/>
            <color indexed="81"/>
            <rFont val="Tahoma"/>
            <family val="2"/>
          </rPr>
          <t xml:space="preserve">
</t>
        </r>
      </text>
    </comment>
    <comment ref="B44" authorId="0" shapeId="0" xr:uid="{00000000-0006-0000-2C00-00000F000000}">
      <text>
        <r>
          <rPr>
            <b/>
            <sz val="10"/>
            <color indexed="81"/>
            <rFont val="Tahoma"/>
            <family val="2"/>
          </rPr>
          <t>Btu per (short ton, dry matter)</t>
        </r>
        <r>
          <rPr>
            <sz val="10"/>
            <color indexed="81"/>
            <rFont val="Tahoma"/>
            <family val="2"/>
          </rPr>
          <t xml:space="preserve">
</t>
        </r>
      </text>
    </comment>
    <comment ref="C44" authorId="0" shapeId="0" xr:uid="{00000000-0006-0000-2C00-000010000000}">
      <text>
        <r>
          <rPr>
            <b/>
            <sz val="10"/>
            <color indexed="81"/>
            <rFont val="Tahoma"/>
            <family val="2"/>
          </rPr>
          <t>Btu per (short ton, dry matter)</t>
        </r>
        <r>
          <rPr>
            <sz val="10"/>
            <color indexed="81"/>
            <rFont val="Tahoma"/>
            <family val="2"/>
          </rPr>
          <t xml:space="preserve">
</t>
        </r>
      </text>
    </comment>
    <comment ref="D44" authorId="0" shapeId="0" xr:uid="{00000000-0006-0000-2C00-000011000000}">
      <text>
        <r>
          <rPr>
            <b/>
            <sz val="10"/>
            <color indexed="81"/>
            <rFont val="Tahoma"/>
            <family val="2"/>
          </rPr>
          <t>Btu per (short ton, dry matter)</t>
        </r>
        <r>
          <rPr>
            <sz val="10"/>
            <color indexed="81"/>
            <rFont val="Tahoma"/>
            <family val="2"/>
          </rPr>
          <t xml:space="preserve">
</t>
        </r>
      </text>
    </comment>
    <comment ref="E44" authorId="0" shapeId="0" xr:uid="{00000000-0006-0000-2C00-000012000000}">
      <text>
        <r>
          <rPr>
            <b/>
            <sz val="10"/>
            <color indexed="81"/>
            <rFont val="Tahoma"/>
            <family val="2"/>
          </rPr>
          <t>Btu per (short ton, dry matter)</t>
        </r>
        <r>
          <rPr>
            <sz val="10"/>
            <color indexed="81"/>
            <rFont val="Tahoma"/>
            <family val="2"/>
          </rPr>
          <t xml:space="preserve">
</t>
        </r>
      </text>
    </comment>
    <comment ref="F44" authorId="0" shapeId="0" xr:uid="{00000000-0006-0000-2C00-000013000000}">
      <text>
        <r>
          <rPr>
            <b/>
            <sz val="10"/>
            <color indexed="81"/>
            <rFont val="Tahoma"/>
            <family val="2"/>
          </rPr>
          <t>Btu per (short ton, dry matter)</t>
        </r>
        <r>
          <rPr>
            <sz val="10"/>
            <color indexed="81"/>
            <rFont val="Tahoma"/>
            <family val="2"/>
          </rPr>
          <t xml:space="preserve">
</t>
        </r>
      </text>
    </comment>
    <comment ref="G44" authorId="0" shapeId="0" xr:uid="{00000000-0006-0000-2C00-000014000000}">
      <text>
        <r>
          <rPr>
            <b/>
            <sz val="10"/>
            <color indexed="81"/>
            <rFont val="Tahoma"/>
            <family val="2"/>
          </rPr>
          <t>Btu per (short ton, dry matter)</t>
        </r>
        <r>
          <rPr>
            <sz val="10"/>
            <color indexed="81"/>
            <rFont val="Tahoma"/>
            <family val="2"/>
          </rPr>
          <t xml:space="preserve">
</t>
        </r>
      </text>
    </comment>
    <comment ref="H44" authorId="0" shapeId="0" xr:uid="{00000000-0006-0000-2C00-000015000000}">
      <text>
        <r>
          <rPr>
            <b/>
            <sz val="10"/>
            <color indexed="81"/>
            <rFont val="Tahoma"/>
            <family val="2"/>
          </rPr>
          <t>Btu per (short ton, dry matter)</t>
        </r>
        <r>
          <rPr>
            <sz val="10"/>
            <color indexed="81"/>
            <rFont val="Tahoma"/>
            <family val="2"/>
          </rPr>
          <t xml:space="preserve">
</t>
        </r>
      </text>
    </comment>
    <comment ref="Y523" authorId="1" shapeId="0" xr:uid="{00000000-0006-0000-2C00-000016000000}">
      <text>
        <t>[Threaded comment]
Your version of Excel allows you to read this threaded comment; however, any edits to it will get removed if the file is opened in a newer version of Excel. Learn more: https://go.microsoft.com/fwlink/?linkid=870924
Comment:
    Combined PET, uses weighted averages of PTA-derived PET and DMT-derived PET production routes</t>
      </text>
    </comment>
    <comment ref="AJ554" authorId="2" shapeId="0" xr:uid="{00000000-0006-0000-2C00-000017000000}">
      <text>
        <r>
          <rPr>
            <sz val="9"/>
            <color indexed="81"/>
            <rFont val="Tahoma"/>
            <family val="2"/>
          </rPr>
          <t>50 % is primiry mining and 50% mining as co-product of copper mining</t>
        </r>
      </text>
    </comment>
    <comment ref="AS554" authorId="3" shapeId="0" xr:uid="{00000000-0006-0000-2C00-000018000000}">
      <text>
        <r>
          <rPr>
            <sz val="9"/>
            <color indexed="81"/>
            <rFont val="Tahoma"/>
            <family val="2"/>
          </rPr>
          <t>Data from "Wrought Aluminum" (W.Al) tab of GREET 2</t>
        </r>
      </text>
    </comment>
    <comment ref="AT554" authorId="3" shapeId="0" xr:uid="{00000000-0006-0000-2C00-000019000000}">
      <text>
        <r>
          <rPr>
            <sz val="9"/>
            <color indexed="81"/>
            <rFont val="Tahoma"/>
            <family val="2"/>
          </rPr>
          <t>Data from  "Cobalt" tab of GREET 2.</t>
        </r>
      </text>
    </comment>
    <comment ref="AU554" authorId="3" shapeId="0" xr:uid="{00000000-0006-0000-2C00-00001A000000}">
      <text>
        <r>
          <rPr>
            <sz val="9"/>
            <color indexed="81"/>
            <rFont val="Tahoma"/>
            <family val="2"/>
          </rPr>
          <t>Data from "Glass" tab of GREET 2</t>
        </r>
      </text>
    </comment>
    <comment ref="BA554" authorId="4" shapeId="0" xr:uid="{00000000-0006-0000-2C00-00001B000000}">
      <text>
        <t>[Threaded comment]
Your version of Excel allows you to read this threaded comment; however, any edits to it will get removed if the file is opened in a newer version of Excel. Learn more: https://go.microsoft.com/fwlink/?linkid=870924
Comment:
    Fossil-based ethylene glycol, from GREET2</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Michael Wang</author>
    <author>aburnham</author>
    <author>jhan</author>
    <author>ywu</author>
  </authors>
  <commentList>
    <comment ref="B3" authorId="0" shapeId="0" xr:uid="{00000000-0006-0000-0100-000001000000}">
      <text>
        <r>
          <rPr>
            <sz val="8"/>
            <color indexed="81"/>
            <rFont val="Tahoma"/>
            <family val="2"/>
          </rPr>
          <t>GREET is designed in the way through which many common cells are shared for simulations of passenger cars, sport utility vehicles, and pick-up trucks. Because of this, cars, SUVs, and PUTs cannot be simulated simultaneously. Each vehicle type needs to be simulated separately. 
If one vehicle type is selected, GREET generates results for the selected vehicle type. Before another vehicle type is simulated, results for the vehicle type already simulated need to be stored elsewhere outside of the GREET model.
Make sure when doing a Total Energy Cycle simulation, to have the corresponding vehicle types chosen in both GREET 1 and GREET 2.
1 = Passenger Cars
2 = LDT1 or SUVs
3 = LDT2 or PUTs</t>
        </r>
      </text>
    </comment>
    <comment ref="B8" authorId="0" shapeId="0" xr:uid="{00000000-0006-0000-0100-000002000000}">
      <text>
        <r>
          <rPr>
            <sz val="8"/>
            <color indexed="81"/>
            <rFont val="Tahoma"/>
            <family val="2"/>
          </rPr>
          <t>GREET is designed in the way through which many common cells are shared for simulations of passenger cars, sport utility vehicles, and pick-up trucks. Because of this, cars, SUVs, and PUTs cannot be simulated simultaneously. Each vehicle type needs to be simulated separately. 
If one vehicle type is selected, GREET generates results for the selected vehicle type. Before another vehicle type is simulated, results for the vehicle type already simulated need to be stored elsewhere outside of the GREET model.
Make sure when doing a Total Energy Cycle simulation, to have the corresponding vehicle types chosen in both GREET 1 and GREET 2.
1 = Passenger Cars
2 = LDT1 or SUVs
3 = LDT2 or PUTs</t>
        </r>
      </text>
    </comment>
    <comment ref="B11" authorId="0" shapeId="0" xr:uid="{00000000-0006-0000-0100-000003000000}">
      <text>
        <r>
          <rPr>
            <sz val="8"/>
            <color indexed="81"/>
            <rFont val="Tahoma"/>
            <family val="2"/>
          </rPr>
          <t>GREET is designed in the way through which many common cells are shared for simulations of passenger cars, sport utility vehicles, and pick-up trucks. Because of this, cars, SUVs, and PUTs cannot be simulated simultaneously. Each vehicle type needs to be simulated separately. 
If one vehicle type is selected, GREET generates results for the selected vehicle type. Before another vehicle type is simulated, results for the vehicle type already simulated need to be stored elsewhere outside of the GREET model.
Make sure when doing a Total Energy Cycle simulation, to have the corresponding vehicle types chosen in both GREET 1 and GREET 2.
1 = Passenger Cars
2 = LDT1 or SUVs
3 = LDT2 or PUTs</t>
        </r>
      </text>
    </comment>
    <comment ref="B14" authorId="0" shapeId="0" xr:uid="{00000000-0006-0000-0100-000004000000}">
      <text>
        <r>
          <rPr>
            <sz val="8"/>
            <color indexed="81"/>
            <rFont val="Tahoma"/>
            <family val="2"/>
          </rPr>
          <t>GREET is designed in the way through which many common cells are shared for simulations of passenger cars, sport utility vehicles, and pick-up trucks. Because of this, cars, SUVs, and PUTs cannot be simulated simultaneously. Each vehicle type needs to be simulated separately. 
If one vehicle type is selected, GREET generates results for the selected vehicle type. Before another vehicle type is simulated, results for the vehicle type already simulated need to be stored elsewhere outside of the GREET model.
Make sure when doing a Total Energy Cycle simulation, to have the corresponding vehicle types chosen in both GREET 1 and GREET 2.
1 = Passenger Cars
2 = LDT1 or SUVs
3 = LDT2 or PUTs</t>
        </r>
      </text>
    </comment>
    <comment ref="A45" authorId="1" shapeId="0" xr:uid="{00000000-0006-0000-0100-000005000000}">
      <text>
        <r>
          <rPr>
            <sz val="9"/>
            <color indexed="81"/>
            <rFont val="Tahoma"/>
            <family val="2"/>
          </rPr>
          <t>Based on Kelly, J., Dai, Q., and Elgowainy,A.  2016, Vehicle Materials: Fuel Cell Vehicle Material Composition Update,Systems Assessment Group, Argonne National Laboratory, Argonne, Ill.</t>
        </r>
      </text>
    </comment>
    <comment ref="A73" authorId="1" shapeId="0" xr:uid="{00000000-0006-0000-0100-000006000000}">
      <text>
        <r>
          <rPr>
            <sz val="9"/>
            <color indexed="81"/>
            <rFont val="Tahoma"/>
            <family val="2"/>
          </rPr>
          <t>Lead-acid battery is always installed in HEV and FCV for starter purpose.</t>
        </r>
      </text>
    </comment>
    <comment ref="C110" authorId="1" shapeId="0" xr:uid="{00000000-0006-0000-0100-000007000000}">
      <text>
        <r>
          <rPr>
            <sz val="8"/>
            <color indexed="81"/>
            <rFont val="Tahoma"/>
            <family val="2"/>
          </rPr>
          <t>From Autonomie MY2010 average results includes both battery and packaging</t>
        </r>
      </text>
    </comment>
    <comment ref="E110" authorId="1" shapeId="0" xr:uid="{00000000-0006-0000-0100-000008000000}">
      <text>
        <r>
          <rPr>
            <sz val="8"/>
            <color indexed="8"/>
            <rFont val="Tahoma"/>
            <family val="2"/>
          </rPr>
          <t>J.B. Dunn, L. Gaines, M. Barnes, J. Sullivan and M. Wang, 2012. "Material and Energy Flows in the Materials Production, Assembly, and End of Life Stages of the Automotive Lithium Ion Battery Life Cycle," ANL/ESD/12-3
Table 1.</t>
        </r>
      </text>
    </comment>
    <comment ref="C111" authorId="1" shapeId="0" xr:uid="{00000000-0006-0000-0100-000009000000}">
      <text>
        <r>
          <rPr>
            <sz val="8"/>
            <color indexed="81"/>
            <rFont val="Tahoma"/>
            <family val="2"/>
          </rPr>
          <t>From Autonomie MY2010 average results includes both battery and packaging</t>
        </r>
      </text>
    </comment>
    <comment ref="E111" authorId="1" shapeId="0" xr:uid="{00000000-0006-0000-0100-00000A000000}">
      <text>
        <r>
          <rPr>
            <sz val="8"/>
            <color indexed="8"/>
            <rFont val="Tahoma"/>
            <family val="2"/>
          </rPr>
          <t>J.B. Dunn, L. Gaines, M. Barnes, J. Sullivan and M. Wang, 2012. "Material and Energy Flows in the Materials Production, Assembly, and End of Life Stages of the Automotive Lithium Ion Battery Life Cycle," ANL/ESD/12-3
Table 1.</t>
        </r>
      </text>
    </comment>
    <comment ref="C116" authorId="1" shapeId="0" xr:uid="{00000000-0006-0000-0100-00000B000000}">
      <text>
        <r>
          <rPr>
            <sz val="8"/>
            <color indexed="81"/>
            <rFont val="Tahoma"/>
            <family val="2"/>
          </rPr>
          <t>Based on Kalhammer, F.R., B.M. Kopf, D.H. Swan, V.P. Roan, and M.P. Walsh, 2007, Status and Prospects for Zero Emissions Vehicle Technology: Report of the ARB Independent Expert Panel 2007, California Air Resources Board, Sacramento, Calif.
Table 3-9</t>
        </r>
      </text>
    </comment>
    <comment ref="E116" authorId="1" shapeId="0" xr:uid="{00000000-0006-0000-0100-00000C000000}">
      <text>
        <r>
          <rPr>
            <sz val="8"/>
            <color indexed="81"/>
            <rFont val="Tahoma"/>
            <family val="2"/>
          </rPr>
          <t>From Autonomie MY2010 average results includes both battery and packaging</t>
        </r>
      </text>
    </comment>
    <comment ref="C117" authorId="1" shapeId="0" xr:uid="{00000000-0006-0000-0100-00000D000000}">
      <text>
        <r>
          <rPr>
            <sz val="8"/>
            <color indexed="81"/>
            <rFont val="Tahoma"/>
            <family val="2"/>
          </rPr>
          <t>Based on Kalhammer, F.R., B.M. Kopf, D.H. Swan, V.P. Roan, and M.P. Walsh, 2007, Status and Prospects for Zero Emissions Vehicle Technology: Report of the ARB Independent Expert Panel 2007, California Air Resources Board, Sacramento, Calif.
Table 3-9</t>
        </r>
      </text>
    </comment>
    <comment ref="E117" authorId="1" shapeId="0" xr:uid="{00000000-0006-0000-0100-00000E000000}">
      <text>
        <r>
          <rPr>
            <sz val="8"/>
            <color indexed="81"/>
            <rFont val="Tahoma"/>
            <family val="2"/>
          </rPr>
          <t>From Autonomie MY2010 average results includes both battery and packaging</t>
        </r>
      </text>
    </comment>
    <comment ref="A124" authorId="1" shapeId="0" xr:uid="{00000000-0006-0000-0100-00000F000000}">
      <text>
        <r>
          <rPr>
            <sz val="9"/>
            <color indexed="81"/>
            <rFont val="Tahoma"/>
            <family val="2"/>
          </rPr>
          <t>Based on Burnham, A., M. Wang, and Y. Wu, 2006, Development and Applications of GREET 2.7 — The Transportation Vehicle-Cycle Model, ANL/ESD/06-5, Center for Transportation Research, Argonne National Laboratory, Argonne, Ill.
Section 4.6 Tire and Fluid Replacement</t>
        </r>
      </text>
    </comment>
    <comment ref="B130" authorId="2" shapeId="0" xr:uid="{00000000-0006-0000-0100-000010000000}">
      <text>
        <r>
          <rPr>
            <sz val="9"/>
            <color indexed="81"/>
            <rFont val="Tahoma"/>
            <family val="2"/>
          </rPr>
          <t>Assumed to be the same as Li-Ion</t>
        </r>
      </text>
    </comment>
    <comment ref="B131" authorId="2" shapeId="0" xr:uid="{00000000-0006-0000-0100-000011000000}">
      <text>
        <r>
          <rPr>
            <sz val="9"/>
            <color indexed="81"/>
            <rFont val="Tahoma"/>
            <family val="2"/>
          </rPr>
          <t>Assumed to be the same as Li-Ion</t>
        </r>
      </text>
    </comment>
    <comment ref="B132" authorId="2" shapeId="0" xr:uid="{00000000-0006-0000-0100-000012000000}">
      <text>
        <r>
          <rPr>
            <sz val="9"/>
            <color indexed="81"/>
            <rFont val="Tahoma"/>
            <family val="2"/>
          </rPr>
          <t>J.B. Dunn, L. Gaines, M. Barnes, J. Sullivan and M. Wang, 2012. "Material and Energy Flows in the Materials Production, Assembly, and End of Life Stages of the Automotive Lithium Ion Battery Life Cycle," ANL/ESD/12-3</t>
        </r>
      </text>
    </comment>
    <comment ref="B135" authorId="1" shapeId="0" xr:uid="{00000000-0006-0000-0100-000013000000}">
      <text>
        <r>
          <rPr>
            <sz val="8"/>
            <color indexed="81"/>
            <rFont val="Tahoma"/>
            <family val="2"/>
          </rPr>
          <t xml:space="preserve">Data from "Characterization of automotive paints: an environmental impact analysis" values in the paper were converted from electrical energy to primary energy
</t>
        </r>
      </text>
    </comment>
    <comment ref="B136" authorId="1" shapeId="0" xr:uid="{00000000-0006-0000-0100-000014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37" authorId="1" shapeId="0" xr:uid="{00000000-0006-0000-0100-000015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38" authorId="1" shapeId="0" xr:uid="{00000000-0006-0000-0100-000016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39" authorId="1" shapeId="0" xr:uid="{00000000-0006-0000-0100-000017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40" authorId="1" shapeId="0" xr:uid="{00000000-0006-0000-0100-000018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41" authorId="1" shapeId="0" xr:uid="{00000000-0006-0000-0100-000019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42" authorId="3" shapeId="0" xr:uid="{00000000-0006-0000-0100-00001A000000}">
      <text>
        <r>
          <rPr>
            <sz val="8"/>
            <color indexed="81"/>
            <rFont val="Tahoma"/>
            <family val="2"/>
          </rPr>
          <t>Source: Life-cycle energy savings potenital from aluminum-intensive vehicles. F. Stodolsky, etc. Electricity use is 1.1 MJ/kg of vehicle.
Use conventional ICEV to calculate</t>
        </r>
      </text>
    </comment>
    <comment ref="A148" authorId="1" shapeId="0" xr:uid="{00000000-0006-0000-0100-00001B000000}">
      <text>
        <r>
          <rPr>
            <sz val="9"/>
            <color rgb="FF000000"/>
            <rFont val="Tahoma"/>
            <family val="2"/>
          </rPr>
          <t xml:space="preserve">Based on Burnham, A., M. Wang, and Y. Wu, 2006, Development and Applications of GREET 2.7 — The Transportation Vehicle-Cycle Model, ANL/ESD/06-5, Center for Transportation Research, Argonne National Laboratory, Argonne, Ill.
</t>
        </r>
        <r>
          <rPr>
            <sz val="9"/>
            <color rgb="FF000000"/>
            <rFont val="Tahoma"/>
            <family val="2"/>
          </rPr>
          <t xml:space="preserve">
</t>
        </r>
        <r>
          <rPr>
            <sz val="9"/>
            <color rgb="FF000000"/>
            <rFont val="Tahoma"/>
            <family val="2"/>
          </rPr>
          <t>Section 8.2 Total Energy-Cycle Results</t>
        </r>
      </text>
    </comment>
    <comment ref="D149" authorId="1" shapeId="0" xr:uid="{00000000-0006-0000-0100-00001C000000}">
      <text>
        <r>
          <rPr>
            <sz val="9"/>
            <color rgb="FF000000"/>
            <rFont val="Tahoma"/>
            <family val="2"/>
          </rPr>
          <t>Assumed to be similar to HEV</t>
        </r>
      </text>
    </comment>
    <comment ref="E149" authorId="1" shapeId="0" xr:uid="{00000000-0006-0000-0100-00001D000000}">
      <text>
        <r>
          <rPr>
            <sz val="9"/>
            <color rgb="FF000000"/>
            <rFont val="Tahoma"/>
            <family val="2"/>
          </rPr>
          <t>Assumed to be similar to FCV</t>
        </r>
      </text>
    </comment>
    <comment ref="A152" authorId="1" shapeId="0" xr:uid="{00000000-0006-0000-0100-00001E000000}">
      <text>
        <r>
          <rPr>
            <sz val="9"/>
            <color rgb="FF000000"/>
            <rFont val="Tahoma"/>
            <family val="2"/>
          </rPr>
          <t xml:space="preserve">Based on Burnham, A., M. Wang, and Y. Wu, 2006, Development and Applications of GREET 2.7 — The Transportation Vehicle-Cycle Model, ANL/ESD/06-5, Center for Transportation Research, Argonne National Laboratory, Argonne, Ill.
</t>
        </r>
        <r>
          <rPr>
            <sz val="9"/>
            <color rgb="FF000000"/>
            <rFont val="Tahoma"/>
            <family val="2"/>
          </rPr>
          <t xml:space="preserve">
</t>
        </r>
        <r>
          <rPr>
            <sz val="9"/>
            <color rgb="FF000000"/>
            <rFont val="Tahoma"/>
            <family val="2"/>
          </rPr>
          <t>Section 8.2 Total Energy-Cycle Results</t>
        </r>
      </text>
    </comment>
    <comment ref="D153" authorId="1" shapeId="0" xr:uid="{00000000-0006-0000-0100-00001F000000}">
      <text>
        <r>
          <rPr>
            <sz val="9"/>
            <color rgb="FF000000"/>
            <rFont val="Tahoma"/>
            <family val="2"/>
          </rPr>
          <t>Assumed to be similar to HEV</t>
        </r>
      </text>
    </comment>
    <comment ref="E153" authorId="1" shapeId="0" xr:uid="{00000000-0006-0000-0100-000020000000}">
      <text>
        <r>
          <rPr>
            <sz val="9"/>
            <color rgb="FF000000"/>
            <rFont val="Tahoma"/>
            <family val="2"/>
          </rPr>
          <t>Assumed to be similar to FCV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ywu</author>
  </authors>
  <commentList>
    <comment ref="A149" authorId="0" shapeId="0" xr:uid="{00000000-0006-0000-2900-000001000000}">
      <text>
        <r>
          <rPr>
            <sz val="8"/>
            <color indexed="81"/>
            <rFont val="Tahoma"/>
            <family val="2"/>
          </rPr>
          <t xml:space="preserve">The replaced tire material weights are included.
</t>
        </r>
      </text>
    </comment>
    <comment ref="E207" authorId="0" shapeId="0" xr:uid="{00000000-0006-0000-2900-000002000000}">
      <text>
        <r>
          <rPr>
            <sz val="8"/>
            <color indexed="81"/>
            <rFont val="Tahoma"/>
            <family val="2"/>
          </rPr>
          <t xml:space="preserve">Replaced tires included.
</t>
        </r>
      </text>
    </comment>
    <comment ref="M207" authorId="0" shapeId="0" xr:uid="{00000000-0006-0000-2900-000003000000}">
      <text>
        <r>
          <rPr>
            <sz val="8"/>
            <color indexed="81"/>
            <rFont val="Tahoma"/>
            <family val="2"/>
          </rPr>
          <t xml:space="preserve">Replaced tires included.
</t>
        </r>
      </text>
    </comment>
    <comment ref="E241" authorId="0" shapeId="0" xr:uid="{00000000-0006-0000-2900-000004000000}">
      <text>
        <r>
          <rPr>
            <sz val="8"/>
            <color indexed="81"/>
            <rFont val="Tahoma"/>
            <family val="2"/>
          </rPr>
          <t xml:space="preserve">Replaced tires included.
</t>
        </r>
      </text>
    </comment>
    <comment ref="M241" authorId="0" shapeId="0" xr:uid="{00000000-0006-0000-2900-000005000000}">
      <text>
        <r>
          <rPr>
            <sz val="8"/>
            <color indexed="81"/>
            <rFont val="Tahoma"/>
            <family val="2"/>
          </rPr>
          <t xml:space="preserve">Replaced tires included.
</t>
        </r>
      </text>
    </comment>
    <comment ref="E275" authorId="0" shapeId="0" xr:uid="{00000000-0006-0000-2900-000006000000}">
      <text>
        <r>
          <rPr>
            <sz val="8"/>
            <color indexed="81"/>
            <rFont val="Tahoma"/>
            <family val="2"/>
          </rPr>
          <t xml:space="preserve">Replaced tires included.
</t>
        </r>
      </text>
    </comment>
    <comment ref="M275" authorId="0" shapeId="0" xr:uid="{00000000-0006-0000-2900-000007000000}">
      <text>
        <r>
          <rPr>
            <sz val="8"/>
            <color indexed="81"/>
            <rFont val="Tahoma"/>
            <family val="2"/>
          </rPr>
          <t xml:space="preserve">Replaced tires included.
</t>
        </r>
      </text>
    </comment>
    <comment ref="E309" authorId="0" shapeId="0" xr:uid="{00000000-0006-0000-2900-000008000000}">
      <text>
        <r>
          <rPr>
            <sz val="8"/>
            <color indexed="81"/>
            <rFont val="Tahoma"/>
            <family val="2"/>
          </rPr>
          <t xml:space="preserve">Replaced tires included.
</t>
        </r>
      </text>
    </comment>
    <comment ref="M309" authorId="0" shapeId="0" xr:uid="{00000000-0006-0000-2900-000009000000}">
      <text>
        <r>
          <rPr>
            <sz val="8"/>
            <color indexed="81"/>
            <rFont val="Tahoma"/>
            <family val="2"/>
          </rPr>
          <t xml:space="preserve">Replaced tires included.
</t>
        </r>
      </text>
    </comment>
    <comment ref="E343" authorId="0" shapeId="0" xr:uid="{00000000-0006-0000-2900-00000A000000}">
      <text>
        <r>
          <rPr>
            <sz val="8"/>
            <color indexed="81"/>
            <rFont val="Tahoma"/>
            <family val="2"/>
          </rPr>
          <t xml:space="preserve">Replaced tires included.
</t>
        </r>
      </text>
    </comment>
    <comment ref="M343" authorId="0" shapeId="0" xr:uid="{00000000-0006-0000-2900-00000B000000}">
      <text>
        <r>
          <rPr>
            <sz val="8"/>
            <color indexed="81"/>
            <rFont val="Tahoma"/>
            <family val="2"/>
          </rPr>
          <t xml:space="preserve">Replaced tires included.
</t>
        </r>
      </text>
    </comment>
    <comment ref="E377" authorId="0" shapeId="0" xr:uid="{00000000-0006-0000-2900-00000C000000}">
      <text>
        <r>
          <rPr>
            <sz val="8"/>
            <color indexed="81"/>
            <rFont val="Tahoma"/>
            <family val="2"/>
          </rPr>
          <t xml:space="preserve">Replaced tires included.
</t>
        </r>
      </text>
    </comment>
    <comment ref="M377" authorId="0" shapeId="0" xr:uid="{00000000-0006-0000-2900-00000D000000}">
      <text>
        <r>
          <rPr>
            <sz val="8"/>
            <color indexed="81"/>
            <rFont val="Tahoma"/>
            <family val="2"/>
          </rPr>
          <t xml:space="preserve">Replaced tires included.
</t>
        </r>
      </text>
    </comment>
    <comment ref="E411" authorId="0" shapeId="0" xr:uid="{00000000-0006-0000-2900-00000E000000}">
      <text>
        <r>
          <rPr>
            <sz val="8"/>
            <color indexed="81"/>
            <rFont val="Tahoma"/>
            <family val="2"/>
          </rPr>
          <t xml:space="preserve">Replaced tires included.
</t>
        </r>
      </text>
    </comment>
    <comment ref="M411" authorId="0" shapeId="0" xr:uid="{00000000-0006-0000-2900-00000F000000}">
      <text>
        <r>
          <rPr>
            <sz val="8"/>
            <color indexed="81"/>
            <rFont val="Tahoma"/>
            <family val="2"/>
          </rPr>
          <t xml:space="preserve">Replaced tires included.
</t>
        </r>
      </text>
    </comment>
    <comment ref="E445" authorId="0" shapeId="0" xr:uid="{00000000-0006-0000-2900-000010000000}">
      <text>
        <r>
          <rPr>
            <sz val="8"/>
            <color indexed="81"/>
            <rFont val="Tahoma"/>
            <family val="2"/>
          </rPr>
          <t xml:space="preserve">Replaced tires included.
</t>
        </r>
      </text>
    </comment>
    <comment ref="M445" authorId="0" shapeId="0" xr:uid="{00000000-0006-0000-2900-000011000000}">
      <text>
        <r>
          <rPr>
            <sz val="8"/>
            <color indexed="81"/>
            <rFont val="Tahoma"/>
            <family val="2"/>
          </rPr>
          <t xml:space="preserve">Replaced tires included.
</t>
        </r>
      </text>
    </comment>
    <comment ref="E479" authorId="0" shapeId="0" xr:uid="{00000000-0006-0000-2900-000012000000}">
      <text>
        <r>
          <rPr>
            <sz val="8"/>
            <color indexed="81"/>
            <rFont val="Tahoma"/>
            <family val="2"/>
          </rPr>
          <t xml:space="preserve">Replaced tires included.
</t>
        </r>
      </text>
    </comment>
    <comment ref="M479" authorId="0" shapeId="0" xr:uid="{00000000-0006-0000-2900-000013000000}">
      <text>
        <r>
          <rPr>
            <sz val="8"/>
            <color indexed="81"/>
            <rFont val="Tahoma"/>
            <family val="2"/>
          </rPr>
          <t xml:space="preserve">Replaced tires included.
</t>
        </r>
      </text>
    </comment>
    <comment ref="E513" authorId="0" shapeId="0" xr:uid="{00000000-0006-0000-2900-000014000000}">
      <text>
        <r>
          <rPr>
            <sz val="8"/>
            <color indexed="81"/>
            <rFont val="Tahoma"/>
            <family val="2"/>
          </rPr>
          <t xml:space="preserve">Replaced tires included.
</t>
        </r>
      </text>
    </comment>
    <comment ref="M513" authorId="0" shapeId="0" xr:uid="{00000000-0006-0000-2900-000015000000}">
      <text>
        <r>
          <rPr>
            <sz val="8"/>
            <color indexed="81"/>
            <rFont val="Tahoma"/>
            <family val="2"/>
          </rPr>
          <t xml:space="preserve">Replaced tires included.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ywu</author>
    <author>aburnham</author>
  </authors>
  <commentList>
    <comment ref="BE13" authorId="0" shapeId="0" xr:uid="{00000000-0006-0000-1E00-000001000000}">
      <text>
        <r>
          <rPr>
            <sz val="8"/>
            <color indexed="81"/>
            <rFont val="Tahoma"/>
            <family val="2"/>
          </rPr>
          <t xml:space="preserve">The results for fiber glass are applied here.
</t>
        </r>
      </text>
    </comment>
    <comment ref="BF13" authorId="0" shapeId="0" xr:uid="{00000000-0006-0000-1E00-000002000000}">
      <text>
        <r>
          <rPr>
            <sz val="8"/>
            <color indexed="81"/>
            <rFont val="Tahoma"/>
            <family val="2"/>
          </rPr>
          <t xml:space="preserve">The results for carbon fiber are applied here.
</t>
        </r>
      </text>
    </comment>
    <comment ref="BG13" authorId="1" shapeId="0" xr:uid="{00000000-0006-0000-1E00-000003000000}">
      <text>
        <r>
          <rPr>
            <sz val="8"/>
            <color indexed="81"/>
            <rFont val="Tahoma"/>
            <family val="2"/>
          </rPr>
          <t>Used ANL Carbon fiber as baseline then used ratio of SOFC paper's data for Carbon paper energy over Carbon fiber (3.5) and multiplied that time ANL Carbon Fiber.</t>
        </r>
      </text>
    </comment>
    <comment ref="G34" authorId="1" shapeId="0" xr:uid="{00000000-0006-0000-1E00-000004000000}">
      <text>
        <r>
          <rPr>
            <sz val="8"/>
            <color indexed="81"/>
            <rFont val="Tahoma"/>
            <family val="2"/>
          </rPr>
          <t>In this cell the GHG calculation includes CF4 and C2F6.</t>
        </r>
      </text>
    </comment>
    <comment ref="H34" authorId="1" shapeId="0" xr:uid="{00000000-0006-0000-1E00-000005000000}">
      <text>
        <r>
          <rPr>
            <sz val="8"/>
            <color indexed="81"/>
            <rFont val="Tahoma"/>
            <family val="2"/>
          </rPr>
          <t>In this cell the GHG calculation includes CF4 and C2F6.</t>
        </r>
      </text>
    </comment>
    <comment ref="I34" authorId="1" shapeId="0" xr:uid="{00000000-0006-0000-1E00-000006000000}">
      <text>
        <r>
          <rPr>
            <sz val="8"/>
            <color indexed="81"/>
            <rFont val="Tahoma"/>
            <family val="2"/>
          </rPr>
          <t>In this cell the GHG calculation includes CF4 and C2F6.</t>
        </r>
      </text>
    </comment>
    <comment ref="J34" authorId="1" shapeId="0" xr:uid="{00000000-0006-0000-1E00-000007000000}">
      <text>
        <r>
          <rPr>
            <sz val="8"/>
            <color indexed="81"/>
            <rFont val="Tahoma"/>
            <family val="2"/>
          </rPr>
          <t>In this cell the GHG calculation includes CF4 and C2F6.</t>
        </r>
      </text>
    </comment>
    <comment ref="K34" authorId="1" shapeId="0" xr:uid="{00000000-0006-0000-1E00-000008000000}">
      <text>
        <r>
          <rPr>
            <sz val="8"/>
            <color indexed="81"/>
            <rFont val="Tahoma"/>
            <family val="2"/>
          </rPr>
          <t>In this cell the GHG calculation includes CF4 and C2F6.</t>
        </r>
      </text>
    </comment>
    <comment ref="L34" authorId="1" shapeId="0" xr:uid="{00000000-0006-0000-1E00-000009000000}">
      <text>
        <r>
          <rPr>
            <sz val="8"/>
            <color indexed="81"/>
            <rFont val="Tahoma"/>
            <family val="2"/>
          </rPr>
          <t>In this cell the GHG calculation includes CF4 and C2F6.</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aburnham</author>
    <author>ywu</author>
    <author>Dai, Qiang</author>
    <author>Jeongwoo Han</author>
    <author>Michael Wang</author>
    <author>ladmin</author>
  </authors>
  <commentList>
    <comment ref="A123" authorId="0" shapeId="0" xr:uid="{00000000-0006-0000-0200-000001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A164" authorId="0" shapeId="0" xr:uid="{00000000-0006-0000-0200-000002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C171" authorId="1" shapeId="0" xr:uid="{00000000-0006-0000-0200-000003000000}">
      <text>
        <r>
          <rPr>
            <sz val="8"/>
            <color indexed="81"/>
            <rFont val="Tahoma"/>
            <family val="2"/>
          </rPr>
          <t>Data from "Life Cycle Material Data Update for GREET Model" Keoleian et al. 2012
Based onTable 2.1</t>
        </r>
      </text>
    </comment>
    <comment ref="C172" authorId="0" shapeId="0" xr:uid="{00000000-0006-0000-0200-000004000000}">
      <text>
        <r>
          <rPr>
            <sz val="9"/>
            <color indexed="81"/>
            <rFont val="Tahoma"/>
            <family val="2"/>
          </rPr>
          <t>From "Life Cycle Inventory Report for the North American Aluminum Industry" Weston 1998
Page 5-6</t>
        </r>
      </text>
    </comment>
    <comment ref="C173" authorId="0" shapeId="0" xr:uid="{00000000-0006-0000-0200-000005000000}">
      <text>
        <r>
          <rPr>
            <sz val="9"/>
            <color indexed="81"/>
            <rFont val="Tahoma"/>
            <family val="2"/>
          </rPr>
          <t>Updated value using data from "Life Cycle Inventory Report for the North American Aluminum Industry" Weston 1998
Page 5-6</t>
        </r>
      </text>
    </comment>
    <comment ref="B179" authorId="1" shapeId="0" xr:uid="{00000000-0006-0000-0200-000006000000}">
      <text>
        <r>
          <rPr>
            <sz val="8"/>
            <color indexed="81"/>
            <rFont val="Tahoma"/>
            <family val="2"/>
          </rPr>
          <t>Data from "Life Cycle Material Data Update for GREET Model" Keoleian et al. 2012
Based onTable 2.1</t>
        </r>
      </text>
    </comment>
    <comment ref="C179" authorId="1" shapeId="0" xr:uid="{00000000-0006-0000-0200-000007000000}">
      <text>
        <r>
          <rPr>
            <sz val="8"/>
            <color indexed="81"/>
            <rFont val="Tahoma"/>
            <family val="2"/>
          </rPr>
          <t>Data from "Life Cycle Material Data Update for GREET Model" Keoleian et al. 2012
Based onTable 2.1</t>
        </r>
      </text>
    </comment>
    <comment ref="D179" authorId="1" shapeId="0" xr:uid="{00000000-0006-0000-0200-000008000000}">
      <text>
        <r>
          <rPr>
            <sz val="8"/>
            <color indexed="81"/>
            <rFont val="Tahoma"/>
            <family val="2"/>
          </rPr>
          <t>Data from "Life Cycle Material Data Update for GREET Model" Keoleian et al. 2012
Based onTable 2.1</t>
        </r>
      </text>
    </comment>
    <comment ref="B184" authorId="1" shapeId="0" xr:uid="{00000000-0006-0000-0200-000009000000}">
      <text>
        <r>
          <rPr>
            <sz val="8"/>
            <color indexed="81"/>
            <rFont val="Tahoma"/>
            <family val="2"/>
          </rPr>
          <t>Data from "Life Cycle Material Data Update for GREET Model" Keoleian et al. 2012</t>
        </r>
      </text>
    </comment>
    <comment ref="G184" authorId="2" shapeId="0" xr:uid="{00000000-0006-0000-0200-00000A000000}">
      <text>
        <r>
          <rPr>
            <sz val="9"/>
            <color indexed="81"/>
            <rFont val="Tahoma"/>
            <family val="2"/>
          </rPr>
          <t>Title: Update of Process Energy Requirement and Material Efficiency for Steel and Al Stamping in the GREET Model
Publication date: September 2017
Authors: Q. Dai, J.C. Kelly, and A. Elgowainy</t>
        </r>
      </text>
    </comment>
    <comment ref="B185" authorId="0" shapeId="0" xr:uid="{00000000-0006-0000-0200-00000B000000}">
      <text>
        <r>
          <rPr>
            <sz val="8"/>
            <color indexed="81"/>
            <rFont val="Tahoma"/>
            <family val="2"/>
          </rPr>
          <t>Based on Athena 2002, Cradle-to-gate life cycle inventory: Canadian and US Steel Production by Mill Type</t>
        </r>
      </text>
    </comment>
    <comment ref="J185" authorId="0" shapeId="0" xr:uid="{00000000-0006-0000-0200-00000C000000}">
      <text>
        <r>
          <rPr>
            <sz val="8"/>
            <color indexed="81"/>
            <rFont val="Tahoma"/>
            <family val="2"/>
          </rPr>
          <t>Data from "Energy Analysis of 108 Industrial Processes" Brown et al. 1996
Page 309</t>
        </r>
      </text>
    </comment>
    <comment ref="B186" authorId="0" shapeId="0" xr:uid="{00000000-0006-0000-0200-00000D000000}">
      <text>
        <r>
          <rPr>
            <sz val="8"/>
            <color indexed="81"/>
            <rFont val="Tahoma"/>
            <family val="2"/>
          </rPr>
          <t>Recycled steel for construction was not updated in "Life Cycle Material Data Update for GREET Model" Keoleian et al. 2012
Assumed to be the same as recycled steel</t>
        </r>
      </text>
    </comment>
    <comment ref="J186" authorId="0" shapeId="0" xr:uid="{00000000-0006-0000-0200-00000E000000}">
      <text>
        <r>
          <rPr>
            <sz val="9"/>
            <color indexed="81"/>
            <rFont val="Tahoma"/>
            <family val="2"/>
          </rPr>
          <t>Data from "Energy Analysis of 108 Industrial Processes" Brown et al. 1996
Page 309</t>
        </r>
      </text>
    </comment>
    <comment ref="B187" authorId="0" shapeId="0" xr:uid="{00000000-0006-0000-0200-00000F000000}">
      <text>
        <r>
          <rPr>
            <sz val="8"/>
            <color indexed="81"/>
            <rFont val="Tahoma"/>
            <family val="2"/>
          </rPr>
          <t>Stainless steel was not updated in "Life Cycle Material Data Update for GREET Model" Keoleian et al. 2012
Have kept the same intermediate amount of EAF, which is then sent to the rod and bar mill.</t>
        </r>
      </text>
    </comment>
    <comment ref="J187" authorId="0" shapeId="0" xr:uid="{00000000-0006-0000-0200-000010000000}">
      <text>
        <r>
          <rPr>
            <sz val="9"/>
            <color indexed="81"/>
            <rFont val="Tahoma"/>
            <family val="2"/>
          </rPr>
          <t>Data from "Energy Analysis of 108 Industrial Processes" Brown et al. 1996
Page 309</t>
        </r>
      </text>
    </comment>
    <comment ref="B190" authorId="0" shapeId="0" xr:uid="{00000000-0006-0000-0200-000011000000}">
      <text>
        <r>
          <rPr>
            <sz val="9"/>
            <color indexed="81"/>
            <rFont val="Tahoma"/>
            <family val="2"/>
          </rPr>
          <t xml:space="preserve">Data is based on from Table 7 of "Energy-Consumption and Carbon-Emission Analysis of Vehicle and Component Manufacturing" Sullivan et al 2010
Calculations in Listofprocesses_ajb_020112,xls
</t>
        </r>
      </text>
    </comment>
    <comment ref="C190" authorId="0" shapeId="0" xr:uid="{00000000-0006-0000-0200-000012000000}">
      <text>
        <r>
          <rPr>
            <sz val="9"/>
            <color indexed="81"/>
            <rFont val="Tahoma"/>
            <family val="2"/>
          </rPr>
          <t xml:space="preserve">Data is based on from Table 7 of "Energy-Consumption and Carbon-Emission Analysis of Vehicle and Component Manufacturing" Sullivan et al 2010
Calculations in Listofprocesses_ajb_020112,xls
</t>
        </r>
      </text>
    </comment>
    <comment ref="B194" authorId="0" shapeId="0" xr:uid="{00000000-0006-0000-0200-000013000000}">
      <text>
        <r>
          <rPr>
            <sz val="9"/>
            <color indexed="81"/>
            <rFont val="Tahoma"/>
            <family val="2"/>
          </rPr>
          <t>Data from "Life Cycle Inventory Report for the North American Aluminum Industry" Weston 1998
Page 5-6. All rolled aluminum is assumed to be cold rolled based on page 2-2</t>
        </r>
      </text>
    </comment>
    <comment ref="C194" authorId="0" shapeId="0" xr:uid="{00000000-0006-0000-0200-000014000000}">
      <text>
        <r>
          <rPr>
            <sz val="9"/>
            <color indexed="81"/>
            <rFont val="Tahoma"/>
            <family val="2"/>
          </rPr>
          <t>Data from "Life Cycle Inventory Report for the North American Aluminum Industry" Weston 1998
Page 5-6. All rolled aluminum is assumed to be cold rolled based on page 2-2</t>
        </r>
      </text>
    </comment>
    <comment ref="D194" authorId="0" shapeId="0" xr:uid="{00000000-0006-0000-0200-000015000000}">
      <text>
        <r>
          <rPr>
            <sz val="9"/>
            <color indexed="81"/>
            <rFont val="Tahoma"/>
            <family val="2"/>
          </rPr>
          <t>Data from "Life Cycle Inventory Report for the North American Aluminum Industry" Weston 1998
Page 5-6. All rolled aluminum is assumed to be cold rolled based on page 2-2</t>
        </r>
      </text>
    </comment>
    <comment ref="B199" authorId="1" shapeId="0" xr:uid="{00000000-0006-0000-0200-000016000000}">
      <text>
        <r>
          <rPr>
            <sz val="8"/>
            <color indexed="81"/>
            <rFont val="Tahoma"/>
            <family val="2"/>
          </rPr>
          <t xml:space="preserve">Virgin Production (Bauxite Mining through Primary Ingot Casting) data from "Life Cycle Impact Assessment of Aluminum Beverage Cans" Aluminum Association 2010.
</t>
        </r>
      </text>
    </comment>
    <comment ref="G199" authorId="3" shapeId="0" xr:uid="{00000000-0006-0000-0200-00001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199" authorId="3" shapeId="0" xr:uid="{00000000-0006-0000-0200-00001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L199" authorId="3" shapeId="0" xr:uid="{00000000-0006-0000-0200-000019000000}">
      <text>
        <r>
          <rPr>
            <sz val="9"/>
            <color indexed="81"/>
            <rFont val="Tahoma"/>
            <family val="2"/>
          </rPr>
          <t xml:space="preserve">Title: Update of Process Energy Requirement and Material Efficiency for Steel and Al Stamping in the GREET Model
Publication date: September 2017
Authors: Q. Dai, J.C. Kelly, and A. Elgowainy
</t>
        </r>
      </text>
    </comment>
    <comment ref="B200" authorId="1" shapeId="0" xr:uid="{00000000-0006-0000-0200-00001A000000}">
      <text>
        <r>
          <rPr>
            <sz val="8"/>
            <color indexed="81"/>
            <rFont val="Tahoma"/>
            <family val="2"/>
          </rPr>
          <t xml:space="preserve">Virgin Production (Bauxite Mining through Primary Ingot Casting) data from "Life Cycle Impact Assessment of Aluminum Beverage Cans" Aluminum Association 2010.
</t>
        </r>
      </text>
    </comment>
    <comment ref="G200" authorId="3" shapeId="0" xr:uid="{00000000-0006-0000-0200-00001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200" authorId="3" shapeId="0" xr:uid="{00000000-0006-0000-0200-00001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200" authorId="3" shapeId="0" xr:uid="{00000000-0006-0000-0200-00001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L200" authorId="3" shapeId="0" xr:uid="{00000000-0006-0000-0200-00001E000000}">
      <text>
        <r>
          <rPr>
            <sz val="9"/>
            <color indexed="81"/>
            <rFont val="Tahoma"/>
            <family val="2"/>
          </rPr>
          <t xml:space="preserve">Title: Update of Process Energy Requirement and Material Efficiency for Steel and Al Stamping in the GREET Model
Publication date: September 2017
Authors: Q. Dai, J.C. Kelly, and A. Elgowainy
</t>
        </r>
      </text>
    </comment>
    <comment ref="B201" authorId="1" shapeId="0" xr:uid="{00000000-0006-0000-0200-00001F000000}">
      <text>
        <r>
          <rPr>
            <sz val="8"/>
            <color indexed="81"/>
            <rFont val="Tahoma"/>
            <family val="2"/>
          </rPr>
          <t xml:space="preserve">Virgin Production (Bauxite Mining through Primary Ingot Casting) data from "Life Cycle Impact Assessment of Aluminum Beverage Cans" Aluminum Association 2010.
</t>
        </r>
      </text>
    </comment>
    <comment ref="G201" authorId="3" shapeId="0" xr:uid="{00000000-0006-0000-0200-00002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M201" authorId="3" shapeId="0" xr:uid="{00000000-0006-0000-0200-00002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H202" authorId="3" shapeId="0" xr:uid="{00000000-0006-0000-0200-00002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202" authorId="3" shapeId="0" xr:uid="{00000000-0006-0000-0200-00002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202" authorId="3" shapeId="0" xr:uid="{00000000-0006-0000-0200-00002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L202" authorId="3" shapeId="0" xr:uid="{00000000-0006-0000-0200-000025000000}">
      <text>
        <r>
          <rPr>
            <sz val="9"/>
            <color indexed="81"/>
            <rFont val="Tahoma"/>
            <family val="2"/>
          </rPr>
          <t xml:space="preserve">Title: Update of Process Energy Requirement and Material Efficiency for Steel and Al Stamping in the GREET Model
Publication date: September 2017
Authors: Q. Dai, J.C. Kelly, and A. Elgowainy
</t>
        </r>
      </text>
    </comment>
    <comment ref="H203" authorId="3" shapeId="0" xr:uid="{00000000-0006-0000-0200-00002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203" authorId="3" shapeId="0" xr:uid="{00000000-0006-0000-0200-00002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203" authorId="3" shapeId="0" xr:uid="{00000000-0006-0000-0200-00002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203" authorId="3" shapeId="0" xr:uid="{00000000-0006-0000-0200-00002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L203" authorId="3" shapeId="0" xr:uid="{00000000-0006-0000-0200-00002A000000}">
      <text>
        <r>
          <rPr>
            <sz val="9"/>
            <color indexed="81"/>
            <rFont val="Tahoma"/>
            <family val="2"/>
          </rPr>
          <t>Title: Update of Process Energy Requirement and Material Efficiency for Steel and Al Stamping in the GREET Model
Publication date: September 2017
Authors: Q. Dai, J.C. Kelly, and A. Elgowainy</t>
        </r>
      </text>
    </comment>
    <comment ref="H204" authorId="3" shapeId="0" xr:uid="{00000000-0006-0000-0200-00002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204" authorId="3" shapeId="0" xr:uid="{00000000-0006-0000-0200-00002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M204" authorId="3" shapeId="0" xr:uid="{00000000-0006-0000-0200-00002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208" authorId="1" shapeId="0" xr:uid="{00000000-0006-0000-0200-00002E000000}">
      <text>
        <r>
          <rPr>
            <sz val="8"/>
            <color indexed="81"/>
            <rFont val="Tahoma"/>
            <family val="2"/>
          </rPr>
          <t xml:space="preserve">Virgin Production (Bauxite Mining through Primary Ingot Casting) data from "Life Cycle Impact Assessment of Aluminum Beverage Cans" Aluminum Association 2010.
</t>
        </r>
      </text>
    </comment>
    <comment ref="G208" authorId="3" shapeId="0" xr:uid="{00000000-0006-0000-0200-00002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208" authorId="0" shapeId="0" xr:uid="{00000000-0006-0000-0200-000030000000}">
      <text>
        <r>
          <rPr>
            <sz val="9"/>
            <color indexed="81"/>
            <rFont val="Tahoma"/>
            <family val="2"/>
          </rPr>
          <t>Data from "Life Cycle Inventory Report for the North American Aluminum Industry" Weston 1998
Table 4-7</t>
        </r>
      </text>
    </comment>
    <comment ref="K208" authorId="0" shapeId="0" xr:uid="{00000000-0006-0000-0200-000031000000}">
      <text>
        <r>
          <rPr>
            <sz val="9"/>
            <color indexed="81"/>
            <rFont val="Tahoma"/>
            <family val="2"/>
          </rPr>
          <t>Data from "Energy Analysis of 108 Industrial Processes" Brown et al. 1996
Page 309</t>
        </r>
      </text>
    </comment>
    <comment ref="H209" authorId="3" shapeId="0" xr:uid="{00000000-0006-0000-0200-00003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209" authorId="3" shapeId="0" xr:uid="{00000000-0006-0000-0200-00003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209" authorId="0" shapeId="0" xr:uid="{00000000-0006-0000-0200-000034000000}">
      <text>
        <r>
          <rPr>
            <sz val="9"/>
            <color indexed="81"/>
            <rFont val="Tahoma"/>
            <family val="2"/>
          </rPr>
          <t>Data from "Life Cycle Inventory Report for the North American Aluminum Industry" Weston 1998
Table 4-7</t>
        </r>
      </text>
    </comment>
    <comment ref="K209" authorId="0" shapeId="0" xr:uid="{00000000-0006-0000-0200-000035000000}">
      <text>
        <r>
          <rPr>
            <sz val="9"/>
            <color indexed="81"/>
            <rFont val="Tahoma"/>
            <family val="2"/>
          </rPr>
          <t>Data from "Energy Analysis of 108 Industrial Processes" Brown et al. 1996
Page 309</t>
        </r>
      </text>
    </comment>
    <comment ref="B212" authorId="4" shapeId="0" xr:uid="{00000000-0006-0000-0200-000036000000}">
      <text>
        <r>
          <rPr>
            <sz val="8"/>
            <color indexed="81"/>
            <rFont val="Tahoma"/>
            <family val="2"/>
          </rPr>
          <t>Based on the chemical composition of nickel hydroxide.</t>
        </r>
      </text>
    </comment>
    <comment ref="A218" authorId="0" shapeId="0" xr:uid="{00000000-0006-0000-0200-000037000000}">
      <text>
        <r>
          <rPr>
            <sz val="9"/>
            <color indexed="81"/>
            <rFont val="Tahoma"/>
            <family val="2"/>
          </rPr>
          <t xml:space="preserve">Data is based on from Table A-1 of "Energy-Consumption and Carbon-Emission Analysis of Vehicle and Component Manufacturing" Sullivan et al 2010
Calculations in Listofprocesses_ajb_020112,xls
</t>
        </r>
      </text>
    </comment>
    <comment ref="B224" authorId="3" shapeId="0" xr:uid="{00000000-0006-0000-0200-000038000000}">
      <text>
        <r>
          <rPr>
            <sz val="9"/>
            <color indexed="81"/>
            <rFont val="Tahoma"/>
            <family val="2"/>
          </rPr>
          <t xml:space="preserve">Title: Life Cycle Assessment Update of Glass and Glass Fiber for GREET
Publication Date: September 2015
Authors: Q. Dai, J.C. Kelly, J. Sullivan, and A. Elgowainy
</t>
        </r>
      </text>
    </comment>
    <comment ref="B225" authorId="3" shapeId="0" xr:uid="{00000000-0006-0000-0200-000039000000}">
      <text>
        <r>
          <rPr>
            <sz val="9"/>
            <color indexed="81"/>
            <rFont val="Tahoma"/>
            <family val="2"/>
          </rPr>
          <t xml:space="preserve">Title: Life Cycle Assessment Update of Glass and Glass Fiber for GREET
Publication Date: September 2015
Authors: Q. Dai, J.C. Kelly, J. Sullivan, and A. Elgowainy
</t>
        </r>
      </text>
    </comment>
    <comment ref="B226" authorId="3" shapeId="0" xr:uid="{00000000-0006-0000-0200-00003A000000}">
      <text>
        <r>
          <rPr>
            <sz val="9"/>
            <color indexed="81"/>
            <rFont val="Tahoma"/>
            <family val="2"/>
          </rPr>
          <t xml:space="preserve">Title: Life Cycle Assessment Update of Glass and Glass Fiber for GREET
Publication Date: September 2015
Authors: Q. Dai, J.C. Kelly, J. Sullivan, and A. Elgowainy
</t>
        </r>
      </text>
    </comment>
    <comment ref="B234" authorId="0" shapeId="0" xr:uid="{00000000-0006-0000-0200-00003B000000}">
      <text>
        <r>
          <rPr>
            <sz val="9"/>
            <color indexed="81"/>
            <rFont val="Tahoma"/>
            <family val="2"/>
          </rPr>
          <t>Data from "Life Cycle Material Data Update for GREET Model" Keoleian et al. 2012
Table 2.42</t>
        </r>
      </text>
    </comment>
    <comment ref="B235" authorId="0" shapeId="0" xr:uid="{00000000-0006-0000-0200-00003C000000}">
      <text>
        <r>
          <rPr>
            <sz val="9"/>
            <color indexed="81"/>
            <rFont val="Tahoma"/>
            <family val="2"/>
          </rPr>
          <t>Data from "Life Cycle Material Data Update for GREET Model" Keoleian et al. 2012
Table 2.42</t>
        </r>
      </text>
    </comment>
    <comment ref="B236" authorId="0" shapeId="0" xr:uid="{00000000-0006-0000-0200-00003D000000}">
      <text>
        <r>
          <rPr>
            <sz val="9"/>
            <color indexed="81"/>
            <rFont val="Tahoma"/>
            <family val="2"/>
          </rPr>
          <t>Data from "Life Cycle Material Data Update for GREET Model" Keoleian et al. 2012
Table 2.42</t>
        </r>
      </text>
    </comment>
    <comment ref="B237" authorId="0" shapeId="0" xr:uid="{00000000-0006-0000-0200-00003E000000}">
      <text>
        <r>
          <rPr>
            <sz val="9"/>
            <color indexed="81"/>
            <rFont val="Tahoma"/>
            <family val="2"/>
          </rPr>
          <t>Data from "Life Cycle Material Data Update for GREET Model" Keoleian et al. 2012
Table 2.42</t>
        </r>
      </text>
    </comment>
    <comment ref="B238" authorId="0" shapeId="0" xr:uid="{00000000-0006-0000-0200-00003F000000}">
      <text>
        <r>
          <rPr>
            <sz val="9"/>
            <color indexed="81"/>
            <rFont val="Tahoma"/>
            <family val="2"/>
          </rPr>
          <t>Data from "Life Cycle Material Data Update for GREET Model" Keoleian et al. 2012
Table 2.42</t>
        </r>
      </text>
    </comment>
    <comment ref="B239" authorId="0" shapeId="0" xr:uid="{00000000-0006-0000-0200-000040000000}">
      <text>
        <r>
          <rPr>
            <sz val="9"/>
            <color indexed="81"/>
            <rFont val="Tahoma"/>
            <family val="2"/>
          </rPr>
          <t>Data from "Life Cycle Material Data Update for GREET Model" Keoleian et al. 2012
Table 2.42</t>
        </r>
      </text>
    </comment>
    <comment ref="B240" authorId="0" shapeId="0" xr:uid="{00000000-0006-0000-0200-000041000000}">
      <text>
        <r>
          <rPr>
            <sz val="9"/>
            <color indexed="81"/>
            <rFont val="Tahoma"/>
            <family val="2"/>
          </rPr>
          <t>Data from "Life Cycle Material Data Update for GREET Model" Keoleian et al. 2012
Table 2.42</t>
        </r>
      </text>
    </comment>
    <comment ref="B241" authorId="0" shapeId="0" xr:uid="{00000000-0006-0000-0200-000042000000}">
      <text>
        <r>
          <rPr>
            <sz val="9"/>
            <color indexed="81"/>
            <rFont val="Tahoma"/>
            <family val="2"/>
          </rPr>
          <t>Data from "Life Cycle Material Data Update for GREET Model" Keoleian et al. 2012
Table 2.42</t>
        </r>
      </text>
    </comment>
    <comment ref="B242" authorId="0" shapeId="0" xr:uid="{00000000-0006-0000-0200-000043000000}">
      <text>
        <r>
          <rPr>
            <sz val="9"/>
            <color indexed="81"/>
            <rFont val="Tahoma"/>
            <family val="2"/>
          </rPr>
          <t>Data from "Life Cycle Material Data Update for GREET Model" Keoleian et al. 2012
Table 2.42</t>
        </r>
      </text>
    </comment>
    <comment ref="B248" authorId="0" shapeId="0" xr:uid="{00000000-0006-0000-0200-000044000000}">
      <text>
        <r>
          <rPr>
            <sz val="9"/>
            <color indexed="81"/>
            <rFont val="Tahoma"/>
            <family val="2"/>
          </rPr>
          <t>Data from "Life Cycle Material Data Update for GREET Model" Keoleian et al. 2012
Table 2.41</t>
        </r>
      </text>
    </comment>
    <comment ref="B249" authorId="0" shapeId="0" xr:uid="{00000000-0006-0000-0200-000045000000}">
      <text>
        <r>
          <rPr>
            <sz val="9"/>
            <color indexed="81"/>
            <rFont val="Tahoma"/>
            <family val="2"/>
          </rPr>
          <t>Data from "Life Cycle Material Data Update for GREET Model" Keoleian et al. 2012
Table 2.41</t>
        </r>
      </text>
    </comment>
    <comment ref="B250" authorId="0" shapeId="0" xr:uid="{00000000-0006-0000-0200-000046000000}">
      <text>
        <r>
          <rPr>
            <sz val="9"/>
            <color indexed="81"/>
            <rFont val="Tahoma"/>
            <family val="2"/>
          </rPr>
          <t>Data from "Life Cycle Material Data Update for GREET Model" Keoleian et al. 2012
Table 2.41</t>
        </r>
      </text>
    </comment>
    <comment ref="B251" authorId="0" shapeId="0" xr:uid="{00000000-0006-0000-0200-000047000000}">
      <text>
        <r>
          <rPr>
            <sz val="9"/>
            <color indexed="81"/>
            <rFont val="Tahoma"/>
            <family val="2"/>
          </rPr>
          <t>Data from "Life Cycle Material Data Update for GREET Model" Keoleian et al. 2012
Table 2.41</t>
        </r>
      </text>
    </comment>
    <comment ref="B252" authorId="0" shapeId="0" xr:uid="{00000000-0006-0000-0200-000048000000}">
      <text>
        <r>
          <rPr>
            <sz val="9"/>
            <color indexed="81"/>
            <rFont val="Tahoma"/>
            <family val="2"/>
          </rPr>
          <t>Data from "Life Cycle Material Data Update for GREET Model" Keoleian et al. 2012
Table 2.41</t>
        </r>
      </text>
    </comment>
    <comment ref="B253" authorId="0" shapeId="0" xr:uid="{00000000-0006-0000-0200-000049000000}">
      <text>
        <r>
          <rPr>
            <sz val="9"/>
            <color indexed="81"/>
            <rFont val="Tahoma"/>
            <family val="2"/>
          </rPr>
          <t>Data from "Life Cycle Material Data Update for GREET Model" Keoleian et al. 2012
Table 2.41</t>
        </r>
      </text>
    </comment>
    <comment ref="B254" authorId="0" shapeId="0" xr:uid="{00000000-0006-0000-0200-00004A000000}">
      <text>
        <r>
          <rPr>
            <sz val="9"/>
            <color indexed="81"/>
            <rFont val="Tahoma"/>
            <family val="2"/>
          </rPr>
          <t>Data from "Life Cycle Material Data Update for GREET Model" Keoleian et al. 2012
Table 2.41</t>
        </r>
      </text>
    </comment>
    <comment ref="B255" authorId="0" shapeId="0" xr:uid="{00000000-0006-0000-0200-00004B000000}">
      <text>
        <r>
          <rPr>
            <sz val="9"/>
            <color indexed="81"/>
            <rFont val="Tahoma"/>
            <family val="2"/>
          </rPr>
          <t>Data from "Life Cycle Material Data Update for GREET Model" Keoleian et al. 2012
Table 2.41</t>
        </r>
      </text>
    </comment>
    <comment ref="B256" authorId="0" shapeId="0" xr:uid="{00000000-0006-0000-0200-00004C000000}">
      <text>
        <r>
          <rPr>
            <sz val="9"/>
            <color indexed="81"/>
            <rFont val="Tahoma"/>
            <family val="2"/>
          </rPr>
          <t>Data from "Life Cycle Material Data Update for GREET Model" Keoleian et al. 2012
Table 2.41</t>
        </r>
      </text>
    </comment>
    <comment ref="B267" authorId="0" shapeId="0" xr:uid="{00000000-0006-0000-0200-00004D000000}">
      <text>
        <r>
          <rPr>
            <sz val="9"/>
            <color indexed="81"/>
            <rFont val="Tahoma"/>
            <family val="2"/>
          </rPr>
          <t xml:space="preserve">Data is based on from Table A-1 of "Energy-Consumption and Carbon-Emission Analysis of Vehicle and Component Manufacturing" Sullivan et al 2010
Calculations in Listofprocesses_ajb_020112,xls
</t>
        </r>
      </text>
    </comment>
    <comment ref="C267" authorId="0" shapeId="0" xr:uid="{00000000-0006-0000-0200-00004E000000}">
      <text>
        <r>
          <rPr>
            <sz val="9"/>
            <color indexed="81"/>
            <rFont val="Tahoma"/>
            <family val="2"/>
          </rPr>
          <t xml:space="preserve">Data is based on from Table A-1 of "Energy-Consumption and Carbon-Emission Analysis of Vehicle and Component Manufacturing" Sullivan et al 2010
Calculations in Listofprocesses_ajb_020112,xls
</t>
        </r>
      </text>
    </comment>
    <comment ref="D296" authorId="3" shapeId="0" xr:uid="{00000000-0006-0000-0200-00004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296" authorId="3" shapeId="0" xr:uid="{00000000-0006-0000-0200-00005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F296" authorId="3" shapeId="0" xr:uid="{00000000-0006-0000-0200-00005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M296" authorId="1" shapeId="0" xr:uid="{00000000-0006-0000-0200-000052000000}">
      <text>
        <r>
          <rPr>
            <sz val="8"/>
            <color indexed="81"/>
            <rFont val="Tahoma"/>
            <family val="2"/>
          </rPr>
          <t xml:space="preserve">Title: Life Cycle Assessment Update of Aluminum Production and Semi-fabrication for GREET Model
Publication Date: September 2015
Authors: Q. Dai, J.C. Kelly, A. Burnham, and A. Elgowainy
</t>
        </r>
      </text>
    </comment>
    <comment ref="O296" authorId="3" shapeId="0" xr:uid="{00000000-0006-0000-0200-00005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P296" authorId="3" shapeId="0" xr:uid="{00000000-0006-0000-0200-00005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Q296" authorId="3" shapeId="0" xr:uid="{00000000-0006-0000-0200-00005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R296" authorId="1" shapeId="0" xr:uid="{00000000-0006-0000-0200-000056000000}">
      <text>
        <r>
          <rPr>
            <sz val="8"/>
            <color indexed="81"/>
            <rFont val="Tahoma"/>
            <family val="2"/>
          </rPr>
          <t xml:space="preserve">Title: Life Cycle Assessment Update of Aluminum Production and Semi-fabrication for GREET Model
Publication Date: September 2015
Authors: Q. Dai, J.C. Kelly, A. Burnham, and A. Elgowainy
</t>
        </r>
      </text>
    </comment>
    <comment ref="B311" authorId="0" shapeId="0" xr:uid="{00000000-0006-0000-0200-000057000000}">
      <text>
        <r>
          <rPr>
            <sz val="8"/>
            <color indexed="81"/>
            <rFont val="Tahoma"/>
            <family val="2"/>
          </rPr>
          <t>Data based on Athena, Cradle-to-gate life cycle inventory: Canadian and US Steel Production by Mill Type, 2002</t>
        </r>
      </text>
    </comment>
    <comment ref="B312" authorId="0" shapeId="0" xr:uid="{00000000-0006-0000-0200-000058000000}">
      <text>
        <r>
          <rPr>
            <sz val="8"/>
            <color indexed="81"/>
            <rFont val="Tahoma"/>
            <family val="2"/>
          </rPr>
          <t>Data based on Athena, Cradle-to-gate life cycle inventory: Canadian and US Steel Production by Mill Type, 2002</t>
        </r>
      </text>
    </comment>
    <comment ref="B313" authorId="0" shapeId="0" xr:uid="{00000000-0006-0000-0200-000059000000}">
      <text>
        <r>
          <rPr>
            <sz val="8"/>
            <color indexed="81"/>
            <rFont val="Tahoma"/>
            <family val="2"/>
          </rPr>
          <t>Data based on Athena, Cradle-to-gate life cycle inventory: Canadian and US Steel Production by Mill Type, 2002</t>
        </r>
      </text>
    </comment>
    <comment ref="B314" authorId="0" shapeId="0" xr:uid="{00000000-0006-0000-0200-00005A000000}">
      <text>
        <r>
          <rPr>
            <sz val="8"/>
            <color indexed="81"/>
            <rFont val="Tahoma"/>
            <family val="2"/>
          </rPr>
          <t>Data based on Athena, Cradle-to-gate life cycle inventory: Canadian and US Steel Production by Mill Type, 2002</t>
        </r>
      </text>
    </comment>
    <comment ref="B315" authorId="0" shapeId="0" xr:uid="{00000000-0006-0000-0200-00005B000000}">
      <text>
        <r>
          <rPr>
            <sz val="8"/>
            <color indexed="81"/>
            <rFont val="Tahoma"/>
            <family val="2"/>
          </rPr>
          <t>Data based on Athena, Cradle-to-gate life cycle inventory: Canadian and US Steel Production by Mill Type, 2002</t>
        </r>
      </text>
    </comment>
    <comment ref="B316" authorId="0" shapeId="0" xr:uid="{00000000-0006-0000-0200-00005C000000}">
      <text>
        <r>
          <rPr>
            <sz val="8"/>
            <color indexed="81"/>
            <rFont val="Tahoma"/>
            <family val="2"/>
          </rPr>
          <t>Data based on Athena, Cradle-to-gate life cycle inventory: Canadian and US Steel Production by Mill Type, 2002</t>
        </r>
      </text>
    </comment>
    <comment ref="B325" authorId="0" shapeId="0" xr:uid="{00000000-0006-0000-0200-00005D000000}">
      <text>
        <r>
          <rPr>
            <sz val="8"/>
            <color indexed="81"/>
            <rFont val="Tahoma"/>
            <family val="2"/>
          </rPr>
          <t>Data based on Athena, Cradle-to-gate life cycle inventory: Canadian and US Steel Production by Mill Type, 2002</t>
        </r>
      </text>
    </comment>
    <comment ref="B326" authorId="0" shapeId="0" xr:uid="{00000000-0006-0000-0200-00005E000000}">
      <text>
        <r>
          <rPr>
            <sz val="8"/>
            <color indexed="81"/>
            <rFont val="Tahoma"/>
            <family val="2"/>
          </rPr>
          <t>Data based on Athena, Cradle-to-gate life cycle inventory: Canadian and US Steel Production by Mill Type, 2002</t>
        </r>
      </text>
    </comment>
    <comment ref="B327" authorId="0" shapeId="0" xr:uid="{00000000-0006-0000-0200-00005F000000}">
      <text>
        <r>
          <rPr>
            <sz val="8"/>
            <color indexed="81"/>
            <rFont val="Tahoma"/>
            <family val="2"/>
          </rPr>
          <t>Data based on Athena, Cradle-to-gate life cycle inventory: Canadian and US Steel Production by Mill Type, 2002</t>
        </r>
      </text>
    </comment>
    <comment ref="B328" authorId="0" shapeId="0" xr:uid="{00000000-0006-0000-0200-000060000000}">
      <text>
        <r>
          <rPr>
            <sz val="8"/>
            <color indexed="81"/>
            <rFont val="Tahoma"/>
            <family val="2"/>
          </rPr>
          <t>Data based on Athena, Cradle-to-gate life cycle inventory: Canadian and US Steel Production by Mill Type, 2002</t>
        </r>
      </text>
    </comment>
    <comment ref="B329" authorId="0" shapeId="0" xr:uid="{00000000-0006-0000-0200-000061000000}">
      <text>
        <r>
          <rPr>
            <sz val="9"/>
            <color indexed="81"/>
            <rFont val="Tahoma"/>
            <family val="2"/>
          </rPr>
          <t>Title: Update of Process Energy Requirement and Material Efficiency for Steel and Al Stamping in the GREET Model
Publication date: September 2017
Authors: Q. Dai, J.C. Kelly, and A. Elgowainy</t>
        </r>
      </text>
    </comment>
    <comment ref="B330" authorId="0" shapeId="0" xr:uid="{00000000-0006-0000-0200-000062000000}">
      <text>
        <r>
          <rPr>
            <sz val="8"/>
            <color indexed="81"/>
            <rFont val="Tahoma"/>
            <family val="2"/>
          </rPr>
          <t>Data based on Athena, Cradle-to-gate life cycle inventory: Canadian and US Steel Production by Mill Type, 2002</t>
        </r>
      </text>
    </comment>
    <comment ref="B331" authorId="0" shapeId="0" xr:uid="{00000000-0006-0000-0200-000063000000}">
      <text>
        <r>
          <rPr>
            <sz val="8"/>
            <color indexed="81"/>
            <rFont val="Tahoma"/>
            <family val="2"/>
          </rPr>
          <t>Data based on Athena, Cradle-to-gate life cycle inventory: Canadian and US Steel Production by Mill Type, 2002</t>
        </r>
      </text>
    </comment>
    <comment ref="B332" authorId="0" shapeId="0" xr:uid="{00000000-0006-0000-0200-000064000000}">
      <text>
        <r>
          <rPr>
            <sz val="9"/>
            <color indexed="81"/>
            <rFont val="Tahoma"/>
            <family val="2"/>
          </rPr>
          <t xml:space="preserve">Data is based on from Table A-2 of "Energy-Consumption and Carbon-Emission Analysis of Vehicle and Component Manufacturing" Sullivan et al 2010
Calculations in Listofprocesses_ajb_020112,xls
</t>
        </r>
      </text>
    </comment>
    <comment ref="B335" authorId="1" shapeId="0" xr:uid="{00000000-0006-0000-0200-000065000000}">
      <text>
        <r>
          <rPr>
            <sz val="8"/>
            <color indexed="81"/>
            <rFont val="Tahoma"/>
            <family val="2"/>
          </rPr>
          <t xml:space="preserve">Based on  "Total Energy Cycle Assessment of Electric and Conventional Vehicles: An Energy and Environmental Analysis Volume II" Argonne Nat'l Lab et al. 1997 and Burnham, A., M. Wang, and Y. Wu, 2006, Development and Applications of GREET 2.7 — The Transportation Vehicle-Cycle Model, ANL/ESD/06-5, Center for Transportation Research, Argonne National Laboratory, Argonne, Ill. .
Coke is the only energy feedstock.
</t>
        </r>
      </text>
    </comment>
    <comment ref="B336" authorId="1" shapeId="0" xr:uid="{00000000-0006-0000-0200-000066000000}">
      <text>
        <r>
          <rPr>
            <sz val="8"/>
            <color indexed="81"/>
            <rFont val="Tahoma"/>
            <family val="2"/>
          </rPr>
          <t xml:space="preserve">Based on  "Total Energy Cycle Assessment of Electric and Conventional Vehicles: An Energy and Environmental Analysis Volume II" Argonne Nat'l Lab et al. 1997 and Burnham, A., M. Wang, and Y. Wu, 2006, Development and Applications of GREET 2.7 — The Transportation Vehicle-Cycle Model, ANL/ESD/06-5, Center for Transportation Research, Argonne National Laboratory, Argonne, Ill. .
Coke is the only energy feedstock.
</t>
        </r>
      </text>
    </comment>
    <comment ref="B337" authorId="0" shapeId="0" xr:uid="{00000000-0006-0000-0200-000067000000}">
      <text>
        <r>
          <rPr>
            <sz val="9"/>
            <color indexed="81"/>
            <rFont val="Tahoma"/>
            <family val="2"/>
          </rPr>
          <t xml:space="preserve">Data is based on from Table A-2 of "Energy-Consumption and Carbon-Emission Analysis of Vehicle and Component Manufacturing" Sullivan et al 2010
Calculations in Listofprocesses_ajb_020112,xls
</t>
        </r>
      </text>
    </comment>
    <comment ref="B338" authorId="0" shapeId="0" xr:uid="{00000000-0006-0000-0200-000068000000}">
      <text>
        <r>
          <rPr>
            <sz val="9"/>
            <color indexed="81"/>
            <rFont val="Tahoma"/>
            <family val="2"/>
          </rPr>
          <t xml:space="preserve">Data is based on from Table A-2 of "Energy-Consumption and Carbon-Emission Analysis of Vehicle and Component Manufacturing" Sullivan et al 2010
Calculations in Listofprocesses_ajb_020112,xls
</t>
        </r>
      </text>
    </comment>
    <comment ref="B341" authorId="3" shapeId="0" xr:uid="{00000000-0006-0000-0200-00006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42" authorId="3" shapeId="0" xr:uid="{00000000-0006-0000-0200-00006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43" authorId="3" shapeId="0" xr:uid="{00000000-0006-0000-0200-00006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44" authorId="3" shapeId="0" xr:uid="{00000000-0006-0000-0200-00006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45" authorId="3" shapeId="0" xr:uid="{00000000-0006-0000-0200-00006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46" authorId="3" shapeId="0" xr:uid="{00000000-0006-0000-0200-00006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47" authorId="3" shapeId="0" xr:uid="{00000000-0006-0000-0200-00006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48" authorId="3" shapeId="0" xr:uid="{00000000-0006-0000-0200-00007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49" authorId="3" shapeId="0" xr:uid="{00000000-0006-0000-0200-00007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50" authorId="0" shapeId="0" xr:uid="{00000000-0006-0000-0200-000072000000}">
      <text>
        <r>
          <rPr>
            <sz val="9"/>
            <color indexed="81"/>
            <rFont val="Tahoma"/>
            <family val="2"/>
          </rPr>
          <t>Title: Update of Process Energy Requirement and Material Efficiency for Steel and Al Stamping in the GREET Model
Publication date: September 2017
Authors: Q. Dai, J.C. Kelly, and A. Elgowainy</t>
        </r>
      </text>
    </comment>
    <comment ref="B351" authorId="3" shapeId="0" xr:uid="{00000000-0006-0000-0200-00007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54" authorId="3" shapeId="0" xr:uid="{00000000-0006-0000-0200-00007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55" authorId="3" shapeId="0" xr:uid="{00000000-0006-0000-0200-00007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56" authorId="3" shapeId="0" xr:uid="{00000000-0006-0000-0200-00007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57" authorId="3" shapeId="0" xr:uid="{00000000-0006-0000-0200-00007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58" authorId="3" shapeId="0" xr:uid="{00000000-0006-0000-0200-00007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59" authorId="3" shapeId="0" xr:uid="{00000000-0006-0000-0200-00007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60" authorId="3" shapeId="0" xr:uid="{00000000-0006-0000-0200-00007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61" authorId="1" shapeId="0" xr:uid="{00000000-0006-0000-0200-00007B000000}">
      <text>
        <r>
          <rPr>
            <sz val="8"/>
            <color indexed="81"/>
            <rFont val="Tahoma"/>
            <family val="2"/>
          </rPr>
          <t>Data from "Life Cycle Material Data Update for GREET Model" Keoleian et al. 2012
Appendix, total includes kerosene and propane</t>
        </r>
      </text>
    </comment>
    <comment ref="B362" authorId="0" shapeId="0" xr:uid="{00000000-0006-0000-0200-00007C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365" authorId="0" shapeId="0" xr:uid="{00000000-0006-0000-0200-00007D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366" authorId="1" shapeId="0" xr:uid="{00000000-0006-0000-0200-00007E000000}">
      <text>
        <r>
          <rPr>
            <sz val="8"/>
            <color indexed="81"/>
            <rFont val="Tahoma"/>
            <family val="2"/>
          </rPr>
          <t xml:space="preserve">Based on Burnham, A., M. Wang, and Y. Wu, 2006, Development and Applications of GREET 2.7 — The Transportation Vehicle-Cycle Model, ANL/ESD/06-5, Center for Transportation Research, Argonne National Laboratory, Argonne, Ill.
Coke is the only energy feedstock.
</t>
        </r>
      </text>
    </comment>
    <comment ref="B367" authorId="0" shapeId="0" xr:uid="{00000000-0006-0000-0200-00007F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370" authorId="1" shapeId="0" xr:uid="{00000000-0006-0000-0200-000080000000}">
      <text>
        <r>
          <rPr>
            <sz val="8"/>
            <color indexed="81"/>
            <rFont val="Tahoma"/>
            <family val="2"/>
          </rPr>
          <t xml:space="preserve">Title: Material and Energy Flows Associated with Select Metals in GREET2: Molybdenum, Platinum, Zinc, Nickel, Silicon. 
Publication Date: September 2015
Authors: P.T. Benavides, Q. Dai, J. Sullivan, J.C. Kelly, and J.B. Dunn
</t>
        </r>
      </text>
    </comment>
    <comment ref="B371" authorId="1" shapeId="0" xr:uid="{00000000-0006-0000-0200-000081000000}">
      <text>
        <r>
          <rPr>
            <sz val="8"/>
            <color indexed="81"/>
            <rFont val="Tahoma"/>
            <family val="2"/>
          </rPr>
          <t xml:space="preserve">Title: Material and Energy Flows Associated with Select Metals in GREET2: Molybdenum, Platinum, Zinc, Nickel, Silicon. 
Publication Date: September 2015
Authors: P.T. Benavides, Q. Dai, J. Sullivan, J.C. Kelly, and J.B. Dunn
</t>
        </r>
      </text>
    </comment>
    <comment ref="B372" authorId="1" shapeId="0" xr:uid="{00000000-0006-0000-0200-000082000000}">
      <text>
        <r>
          <rPr>
            <sz val="8"/>
            <color indexed="81"/>
            <rFont val="Tahoma"/>
            <family val="2"/>
          </rPr>
          <t xml:space="preserve">Title: Material and Energy Flows Associated with Select Metals in GREET2: Molybdenum, Platinum, Zinc, Nickel, Silicon. 
Publication Date: September 2015
Authors: P.T. Benavides, Q. Dai, J. Sullivan, J.C. Kelly, and J.B. Dunn
</t>
        </r>
      </text>
    </comment>
    <comment ref="B373" authorId="1" shapeId="0" xr:uid="{00000000-0006-0000-0200-000083000000}">
      <text>
        <r>
          <rPr>
            <sz val="8"/>
            <color indexed="81"/>
            <rFont val="Tahoma"/>
            <family val="2"/>
          </rPr>
          <t xml:space="preserve">Title: Material and Energy Flows Associated with Select Metals in GREET2: Molybdenum, Platinum, Zinc, Nickel, Silicon. 
Publication Date: September 2015
Authors: P.T. Benavides, Q. Dai, J. Sullivan, J.C. Kelly, and J.B. Dunn
</t>
        </r>
      </text>
    </comment>
    <comment ref="B387" authorId="1" shapeId="0" xr:uid="{00000000-0006-0000-0200-000084000000}">
      <text>
        <r>
          <rPr>
            <sz val="8"/>
            <color indexed="81"/>
            <rFont val="Tahoma"/>
            <family val="2"/>
          </rPr>
          <t>Data from "Life Cycle Material Data Update for GREET Model" Keoleian et al. 2012
Appendix</t>
        </r>
      </text>
    </comment>
    <comment ref="B388" authorId="1" shapeId="0" xr:uid="{00000000-0006-0000-0200-000085000000}">
      <text>
        <r>
          <rPr>
            <sz val="8"/>
            <color indexed="81"/>
            <rFont val="Tahoma"/>
            <family val="2"/>
          </rPr>
          <t>Data from "Life Cycle Material Data Update for GREET Model" Keoleian et al. 2012
Appendix</t>
        </r>
      </text>
    </comment>
    <comment ref="B389" authorId="3" shapeId="0" xr:uid="{00000000-0006-0000-0200-000086000000}">
      <text>
        <r>
          <rPr>
            <sz val="9"/>
            <color indexed="81"/>
            <rFont val="Tahoma"/>
            <family val="2"/>
          </rPr>
          <t>Data from "Updated Life Cycle Inventory of Copper: Imports from Chile" Kelly et al. 2015.</t>
        </r>
      </text>
    </comment>
    <comment ref="B390" authorId="0" shapeId="0" xr:uid="{00000000-0006-0000-0200-000087000000}">
      <text>
        <r>
          <rPr>
            <sz val="9"/>
            <color indexed="81"/>
            <rFont val="Tahoma"/>
            <family val="2"/>
          </rPr>
          <t xml:space="preserve">Data is based on from Table A-2 of "Energy-Consumption and Carbon-Emission Analysis of Vehicle and Component Manufacturing" Sullivan et al 2010
Calculations in Listofprocesses_ajb_020112,xls
</t>
        </r>
      </text>
    </comment>
    <comment ref="B396" authorId="0" shapeId="0" xr:uid="{00000000-0006-0000-0200-000088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The additional 0.11 comes from beneficiation process of zinc ore, see Report of Metals update </t>
        </r>
      </text>
    </comment>
    <comment ref="B397" authorId="0" shapeId="0" xr:uid="{00000000-0006-0000-0200-000089000000}">
      <text>
        <r>
          <rPr>
            <sz val="9"/>
            <color indexed="81"/>
            <rFont val="Tahoma"/>
            <family val="2"/>
          </rPr>
          <t>Moats, M., Guerra, E., Siegmund, A., &amp; Manthey, J. (2010). Primary Zinc Smelter Operation Data Survey. USA, Canada, Germany: College of Mines and Earth Science, School of Engineering Laurentian University, LanMetCon-Recylex GmbH.</t>
        </r>
      </text>
    </comment>
    <comment ref="B398" authorId="3" shapeId="0" xr:uid="{00000000-0006-0000-0200-00008A000000}">
      <text>
        <r>
          <rPr>
            <sz val="9"/>
            <color indexed="81"/>
            <rFont val="Tahoma"/>
            <family val="2"/>
          </rPr>
          <t>this value can be found on the new metals report, this value correspond to French process to produce zinc oxide from zinc metal. See Brown et at 1996</t>
        </r>
      </text>
    </comment>
    <comment ref="B401" authorId="1" shapeId="0" xr:uid="{00000000-0006-0000-0200-00008B000000}">
      <text>
        <r>
          <rPr>
            <sz val="8"/>
            <color indexed="81"/>
            <rFont val="Tahoma"/>
            <family val="2"/>
          </rPr>
          <t xml:space="preserve">Mining energy use is included in the next step (magnesium production).
</t>
        </r>
      </text>
    </comment>
    <comment ref="B402" authorId="0" shapeId="0" xr:uid="{00000000-0006-0000-0200-00008C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414" authorId="3" shapeId="0" xr:uid="{00000000-0006-0000-0200-00008D000000}">
      <text>
        <r>
          <rPr>
            <sz val="9"/>
            <color indexed="81"/>
            <rFont val="Tahoma"/>
            <family val="2"/>
          </rPr>
          <t xml:space="preserve">Title: Life Cycle Assessment Update of Glass and Glass Fiber for GREET
Publication Date: September 2015
Authors: Q. Dai, J.C. Kelly, J. Sullivan, and A. Elgowainy
</t>
        </r>
      </text>
    </comment>
    <comment ref="B415" authorId="3" shapeId="0" xr:uid="{00000000-0006-0000-0200-00008E000000}">
      <text>
        <r>
          <rPr>
            <sz val="9"/>
            <color indexed="81"/>
            <rFont val="Tahoma"/>
            <family val="2"/>
          </rPr>
          <t xml:space="preserve">Title: Life Cycle Assessment Update of Glass and Glass Fiber for GREET
Publication Date: September 2015
Authors: Q. Dai, J.C. Kelly, J. Sullivan, and A. Elgowainy
</t>
        </r>
      </text>
    </comment>
    <comment ref="B416" authorId="3" shapeId="0" xr:uid="{00000000-0006-0000-0200-00008F000000}">
      <text>
        <r>
          <rPr>
            <sz val="9"/>
            <color indexed="81"/>
            <rFont val="Tahoma"/>
            <family val="2"/>
          </rPr>
          <t xml:space="preserve">Title: Life Cycle Assessment Update of Glass and Glass Fiber for GREET
Publication Date: September 2015
Authors: Q. Dai, J.C. Kelly, J. Sullivan, and A. Elgowainy
</t>
        </r>
      </text>
    </comment>
    <comment ref="B417" authorId="3" shapeId="0" xr:uid="{00000000-0006-0000-0200-000090000000}">
      <text>
        <r>
          <rPr>
            <sz val="9"/>
            <color indexed="81"/>
            <rFont val="Tahoma"/>
            <family val="2"/>
          </rPr>
          <t xml:space="preserve">Title: Life Cycle Assessment Update of Glass and Glass Fiber for GREET
Publication Date: September 2015
Authors: Q. Dai, J.C. Kelly, J. Sullivan, and A. Elgowainy
</t>
        </r>
      </text>
    </comment>
    <comment ref="B418" authorId="3" shapeId="0" xr:uid="{00000000-0006-0000-0200-000091000000}">
      <text>
        <r>
          <rPr>
            <sz val="9"/>
            <color indexed="81"/>
            <rFont val="Tahoma"/>
            <family val="2"/>
          </rPr>
          <t xml:space="preserve">Title: Life Cycle Assessment Update of Glass and Glass Fiber for GREET
Publication Date: September 2015
Authors: Q. Dai, J.C. Kelly, J. Sullivan, and A. Elgowainy
</t>
        </r>
      </text>
    </comment>
    <comment ref="B419" authorId="3" shapeId="0" xr:uid="{00000000-0006-0000-0200-000092000000}">
      <text>
        <r>
          <rPr>
            <sz val="9"/>
            <color indexed="81"/>
            <rFont val="Tahoma"/>
            <family val="2"/>
          </rPr>
          <t xml:space="preserve">Title: Life Cycle Assessment Update of Glass and Glass Fiber for GREET
Publication Date: September 2015
Authors: Q. Dai, J.C. Kelly, J. Sullivan, and A. Elgowainy
</t>
        </r>
      </text>
    </comment>
    <comment ref="B420" authorId="3" shapeId="0" xr:uid="{00000000-0006-0000-0200-000093000000}">
      <text>
        <r>
          <rPr>
            <sz val="9"/>
            <color indexed="81"/>
            <rFont val="Tahoma"/>
            <family val="2"/>
          </rPr>
          <t xml:space="preserve">Title: Life Cycle Assessment Update of Glass and Glass Fiber for GREET
Publication Date: September 2015
Authors: Q. Dai, J.C. Kelly, J. Sullivan, and A. Elgowainy
</t>
        </r>
      </text>
    </comment>
    <comment ref="B421" authorId="3" shapeId="0" xr:uid="{00000000-0006-0000-0200-000094000000}">
      <text>
        <r>
          <rPr>
            <sz val="9"/>
            <color indexed="81"/>
            <rFont val="Tahoma"/>
            <family val="2"/>
          </rPr>
          <t xml:space="preserve">Title: Life Cycle Assessment Update of Glass and Glass Fiber for GREET
Publication Date: September 2015
Authors: Q. Dai, J.C. Kelly, J. Sullivan, and A. Elgowainy
</t>
        </r>
      </text>
    </comment>
    <comment ref="B422" authorId="3" shapeId="0" xr:uid="{00000000-0006-0000-0200-000095000000}">
      <text>
        <r>
          <rPr>
            <sz val="9"/>
            <color indexed="81"/>
            <rFont val="Tahoma"/>
            <family val="2"/>
          </rPr>
          <t xml:space="preserve">Title: Life Cycle Assessment Update of Glass and Glass Fiber for GREET
Publication Date: September 2015
Authors: Q. Dai, J.C. Kelly, J. Sullivan, and A. Elgowainy
</t>
        </r>
      </text>
    </comment>
    <comment ref="B423" authorId="3" shapeId="0" xr:uid="{00000000-0006-0000-0200-000096000000}">
      <text>
        <r>
          <rPr>
            <sz val="9"/>
            <color indexed="81"/>
            <rFont val="Tahoma"/>
            <family val="2"/>
          </rPr>
          <t xml:space="preserve">Title: Life Cycle Assessment Update of Glass and Glass Fiber for GREET
Publication Date: September 2015
Authors: Q. Dai, J.C. Kelly, J. Sullivan, and A. Elgowainy
</t>
        </r>
      </text>
    </comment>
    <comment ref="B426" authorId="0" shapeId="0" xr:uid="{00000000-0006-0000-0200-000097000000}">
      <text>
        <r>
          <rPr>
            <sz val="8"/>
            <color indexed="81"/>
            <rFont val="Tahoma"/>
            <family val="2"/>
          </rPr>
          <t>Data from "Life Cycle Material Data Update for GREET Model" Keoleian et al. 2012
Appendix - Only Process fuels and Electricity are included, feeds are accounted for on Plastic tab</t>
        </r>
      </text>
    </comment>
    <comment ref="B427" authorId="0" shapeId="0" xr:uid="{00000000-0006-0000-0200-000098000000}">
      <text>
        <r>
          <rPr>
            <sz val="8"/>
            <color indexed="81"/>
            <rFont val="Tahoma"/>
            <family val="2"/>
          </rPr>
          <t>Data from "Life Cycle Material Data Update for GREET Model" Keoleian et al. 2012
Appendix - Only Process fuels and Electricity are included, feeds are accounted for on Plastic tab</t>
        </r>
      </text>
    </comment>
    <comment ref="B428" authorId="0" shapeId="0" xr:uid="{00000000-0006-0000-0200-000099000000}">
      <text>
        <r>
          <rPr>
            <sz val="8"/>
            <color indexed="81"/>
            <rFont val="Tahoma"/>
            <family val="2"/>
          </rPr>
          <t>Data from "Life Cycle Material Data Update for GREET Model" Keoleian et al. 2012
Appendix - Only Process fuels and Electricity are included, feeds are accounted for on Plastic tab</t>
        </r>
      </text>
    </comment>
    <comment ref="B429" authorId="0" shapeId="0" xr:uid="{00000000-0006-0000-0200-00009A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0" authorId="0" shapeId="0" xr:uid="{00000000-0006-0000-0200-00009B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1" authorId="0" shapeId="0" xr:uid="{00000000-0006-0000-0200-00009C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2" authorId="0" shapeId="0" xr:uid="{00000000-0006-0000-0200-00009D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3" authorId="0" shapeId="0" xr:uid="{00000000-0006-0000-0200-00009E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4" authorId="0" shapeId="0" xr:uid="{00000000-0006-0000-0200-00009F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5" authorId="0" shapeId="0" xr:uid="{00000000-0006-0000-0200-0000A0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6" authorId="0" shapeId="0" xr:uid="{00000000-0006-0000-0200-0000A1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7" authorId="0" shapeId="0" xr:uid="{00000000-0006-0000-0200-0000A2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8" authorId="0" shapeId="0" xr:uid="{00000000-0006-0000-0200-0000A3000000}">
      <text>
        <r>
          <rPr>
            <sz val="8"/>
            <color indexed="81"/>
            <rFont val="Tahoma"/>
            <family val="2"/>
          </rPr>
          <t>Data from "Life Cycle Material Data Update for GREET Model" Keoleian et al. 2012
Appendix - Only Process fuels and Electricity are included, feeds are accounted for on Plastic tab</t>
        </r>
      </text>
    </comment>
    <comment ref="B439" authorId="0" shapeId="0" xr:uid="{00000000-0006-0000-0200-0000A4000000}">
      <text>
        <r>
          <rPr>
            <sz val="8"/>
            <color indexed="81"/>
            <rFont val="Tahoma"/>
            <family val="2"/>
          </rPr>
          <t>Data from "Life Cycle Material Data Update for GREET Model" Keoleian et al. 2012
Appendix - Only Process fuels and Electricity are included, feeds are accounted for on Plastic tab</t>
        </r>
      </text>
    </comment>
    <comment ref="B440" authorId="0" shapeId="0" xr:uid="{00000000-0006-0000-0200-0000A5000000}">
      <text>
        <r>
          <rPr>
            <sz val="8"/>
            <color indexed="81"/>
            <rFont val="Tahoma"/>
            <family val="2"/>
          </rPr>
          <t>Data from "Life Cycle Material Data Update for GREET Model" Keoleian et al. 2012
Appendix - Only Process fuels and Electricity are included, feeds are accounted for on Plastic tab</t>
        </r>
      </text>
    </comment>
    <comment ref="B441" authorId="0" shapeId="0" xr:uid="{00000000-0006-0000-0200-0000A6000000}">
      <text>
        <r>
          <rPr>
            <sz val="8"/>
            <color indexed="81"/>
            <rFont val="Tahoma"/>
            <family val="2"/>
          </rPr>
          <t>Data from "Life Cycle Material Data Update for GREET Model" Keoleian et al. 2012
Appendix - Only Process fuels and Electricity are included, feeds are accounted for on Plastic tab</t>
        </r>
      </text>
    </comment>
    <comment ref="B442" authorId="0" shapeId="0" xr:uid="{00000000-0006-0000-0200-0000A7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443" authorId="0" shapeId="0" xr:uid="{00000000-0006-0000-0200-0000A8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444" authorId="3" shapeId="0" xr:uid="{00000000-0006-0000-0200-0000A9000000}">
      <text>
        <r>
          <rPr>
            <sz val="9"/>
            <color indexed="81"/>
            <rFont val="Tahoma"/>
            <family val="2"/>
          </rPr>
          <t xml:space="preserve">Title: Life Cycle Assessment Update of Glass and Glass Fiber for GREET
Publication Date: September 2015
Authors: Q. Dai, J.C. Kelly, J. Sullivan, and A. Elgowainy
</t>
        </r>
      </text>
    </comment>
    <comment ref="B445" authorId="3" shapeId="0" xr:uid="{00000000-0006-0000-0200-0000AA000000}">
      <text>
        <r>
          <rPr>
            <sz val="9"/>
            <color indexed="81"/>
            <rFont val="Tahoma"/>
            <family val="2"/>
          </rPr>
          <t xml:space="preserve">Title: Life Cycle Assessment Update of Glass and Glass Fiber for GREET
Publication Date: September 2015
Authors: Q. Dai, J.C. Kelly, J. Sullivan, and A. Elgowainy
</t>
        </r>
      </text>
    </comment>
    <comment ref="B446" authorId="3" shapeId="0" xr:uid="{00000000-0006-0000-0200-0000AB000000}">
      <text>
        <r>
          <rPr>
            <sz val="9"/>
            <color indexed="81"/>
            <rFont val="Tahoma"/>
            <family val="2"/>
          </rPr>
          <t xml:space="preserve">Title: Life Cycle Assessment Update of Glass and Glass Fiber for GREET
Publication Date: September 2015
Authors: Q. Dai, J.C. Kelly, J. Sullivan, and A. Elgowainy
</t>
        </r>
      </text>
    </comment>
    <comment ref="B447" authorId="0" shapeId="0" xr:uid="{00000000-0006-0000-0200-0000AC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448" authorId="0" shapeId="0" xr:uid="{00000000-0006-0000-0200-0000AD000000}">
      <text>
        <r>
          <rPr>
            <sz val="8"/>
            <color indexed="81"/>
            <rFont val="Tahoma"/>
            <family val="2"/>
          </rPr>
          <t>Data from "Life Cycle Material Data Update for GREET Model" Keoleian et al. 2012
Appendix</t>
        </r>
      </text>
    </comment>
    <comment ref="B449" authorId="0" shapeId="0" xr:uid="{00000000-0006-0000-0200-0000AE000000}">
      <text>
        <r>
          <rPr>
            <sz val="8"/>
            <color indexed="81"/>
            <rFont val="Tahoma"/>
            <family val="2"/>
          </rPr>
          <t>Data from "Life Cycle Material Data Update for GREET Model" Keoleian et al. 2012
Appendix</t>
        </r>
      </text>
    </comment>
    <comment ref="B450" authorId="0" shapeId="0" xr:uid="{00000000-0006-0000-0200-0000AF000000}">
      <text>
        <r>
          <rPr>
            <sz val="8"/>
            <color indexed="81"/>
            <rFont val="Tahoma"/>
            <family val="2"/>
          </rPr>
          <t>Data from "Life Cycle Material Data Update for GREET Model" Keoleian et al. 2012
Appendix</t>
        </r>
      </text>
    </comment>
    <comment ref="B451" authorId="0" shapeId="0" xr:uid="{00000000-0006-0000-0200-0000B0000000}">
      <text>
        <r>
          <rPr>
            <sz val="8"/>
            <color indexed="81"/>
            <rFont val="Tahoma"/>
            <family val="2"/>
          </rPr>
          <t>Data from "Life Cycle Material Data Update for GREET Model" Keoleian et al. 2012
Appendix</t>
        </r>
      </text>
    </comment>
    <comment ref="B452" authorId="0" shapeId="0" xr:uid="{00000000-0006-0000-0200-0000B1000000}">
      <text>
        <r>
          <rPr>
            <sz val="8"/>
            <color indexed="81"/>
            <rFont val="Tahoma"/>
            <family val="2"/>
          </rPr>
          <t>Data from "Life Cycle Material Data Update for GREET Model" Keoleian et al. 2012
Appendix</t>
        </r>
      </text>
    </comment>
    <comment ref="B453" authorId="0" shapeId="0" xr:uid="{00000000-0006-0000-0200-0000B2000000}">
      <text>
        <r>
          <rPr>
            <sz val="8"/>
            <color indexed="81"/>
            <rFont val="Tahoma"/>
            <family val="2"/>
          </rPr>
          <t>Data from "Life Cycle Material Data Update for GREET Model" Keoleian et al. 2012
Appendix</t>
        </r>
      </text>
    </comment>
    <comment ref="B454" authorId="0" shapeId="0" xr:uid="{00000000-0006-0000-0200-0000B3000000}">
      <text>
        <r>
          <rPr>
            <sz val="8"/>
            <color indexed="81"/>
            <rFont val="Tahoma"/>
            <family val="2"/>
          </rPr>
          <t>Data from "Life Cycle Material Data Update for GREET Model" Keoleian et al. 2012
Appendix</t>
        </r>
      </text>
    </comment>
    <comment ref="B455" authorId="0" shapeId="0" xr:uid="{00000000-0006-0000-0200-0000B4000000}">
      <text>
        <r>
          <rPr>
            <sz val="8"/>
            <color indexed="81"/>
            <rFont val="Tahoma"/>
            <family val="2"/>
          </rPr>
          <t>Data from "Life Cycle Material Data Update for GREET Model" Keoleian et al. 2012
Appendix</t>
        </r>
      </text>
    </comment>
    <comment ref="B456" authorId="0" shapeId="0" xr:uid="{00000000-0006-0000-0200-0000B5000000}">
      <text>
        <r>
          <rPr>
            <sz val="8"/>
            <color indexed="81"/>
            <rFont val="Tahoma"/>
            <family val="2"/>
          </rPr>
          <t>Data from "Life Cycle Material Data Update for GREET Model" Keoleian et al. 2012
Appendix</t>
        </r>
      </text>
    </comment>
    <comment ref="B459" authorId="0" shapeId="0" xr:uid="{00000000-0006-0000-0200-0000B6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460" authorId="0" shapeId="0" xr:uid="{00000000-0006-0000-0200-0000B7000000}">
      <text>
        <r>
          <rPr>
            <sz val="8"/>
            <color indexed="81"/>
            <rFont val="Tahoma"/>
            <family val="2"/>
          </rPr>
          <t xml:space="preserve">Data from Data from "Energy Analysis of 108 Industrial Processes" Brown et al. 1996
Page 234
Documented in "Energy-Consumption and Carbon-Emission Analysis of Vehicle and Component Manufacturing" Sullivan et al 2010 and "Life Cycle Material Data Update for GREET Model" Keoleian et al. 2011
Calculations in Listofprocesses_ajb_020112,xls
</t>
        </r>
      </text>
    </comment>
    <comment ref="B461" authorId="0" shapeId="0" xr:uid="{00000000-0006-0000-0200-0000B8000000}">
      <text>
        <r>
          <rPr>
            <sz val="8"/>
            <color indexed="81"/>
            <rFont val="Tahoma"/>
            <family val="2"/>
          </rPr>
          <t>Data from "Life Cycle Material Data Update for GREET Model" Keoleian et al. 2012
Appendix</t>
        </r>
      </text>
    </comment>
    <comment ref="B464" authorId="5" shapeId="0" xr:uid="{00000000-0006-0000-0200-0000B9000000}">
      <text>
        <r>
          <rPr>
            <b/>
            <sz val="9"/>
            <color indexed="81"/>
            <rFont val="Tahoma"/>
            <family val="2"/>
          </rPr>
          <t>Kingsbury, Kathryn:</t>
        </r>
        <r>
          <rPr>
            <sz val="9"/>
            <color indexed="81"/>
            <rFont val="Tahoma"/>
            <family val="2"/>
          </rPr>
          <t xml:space="preserve">
Move cells G448:I453 over to cells E448:G453</t>
        </r>
      </text>
    </comment>
    <comment ref="B466" authorId="5" shapeId="0" xr:uid="{00000000-0006-0000-0200-0000BA000000}">
      <text>
        <r>
          <rPr>
            <sz val="9"/>
            <color indexed="81"/>
            <rFont val="Tahoma"/>
            <family val="2"/>
          </rPr>
          <t>Source: Anglo American Platinum 2019 Environmental, Social, and Governance Report</t>
        </r>
      </text>
    </comment>
    <comment ref="B493" authorId="1" shapeId="0" xr:uid="{00000000-0006-0000-0200-0000BB000000}">
      <text>
        <r>
          <rPr>
            <sz val="8"/>
            <color indexed="81"/>
            <rFont val="Tahoma"/>
            <family val="2"/>
          </rPr>
          <t xml:space="preserve">Based on Burnham, A., M. Wang, and Y. Wu, 2006, Development and Applications of GREET 2.7 — The Transportation Vehicle-Cycle Model, ANL/ESD/06-5, Center for Transportation Research, Argonne National Laboratory, Argonne, Ill.
Japanese Data.
</t>
        </r>
      </text>
    </comment>
    <comment ref="B494" authorId="1" shapeId="0" xr:uid="{00000000-0006-0000-0200-0000BC000000}">
      <text>
        <r>
          <rPr>
            <sz val="8"/>
            <color indexed="81"/>
            <rFont val="Tahoma"/>
            <family val="2"/>
          </rPr>
          <t xml:space="preserve">Based on Burnham, A., M. Wang, and Y. Wu, 2006, Development and Applications of GREET 2.7 — The Transportation Vehicle-Cycle Model, ANL/ESD/06-5, Center for Transportation Research, Argonne National Laboratory, Argonne, Ill.
Japanese Data.
</t>
        </r>
      </text>
    </comment>
    <comment ref="B498" authorId="1" shapeId="0" xr:uid="{00000000-0006-0000-0200-0000BD000000}">
      <text>
        <r>
          <rPr>
            <sz val="8"/>
            <color indexed="81"/>
            <rFont val="Tahoma"/>
            <family val="2"/>
          </rPr>
          <t xml:space="preserve">The data for zinc production is applied here.
</t>
        </r>
      </text>
    </comment>
    <comment ref="B499" authorId="1" shapeId="0" xr:uid="{00000000-0006-0000-0200-0000BE000000}">
      <text>
        <r>
          <rPr>
            <sz val="8"/>
            <color indexed="81"/>
            <rFont val="Tahoma"/>
            <family val="2"/>
          </rPr>
          <t xml:space="preserve">The data for zinc production is applied here.
</t>
        </r>
      </text>
    </comment>
    <comment ref="B502" authorId="0" shapeId="0" xr:uid="{00000000-0006-0000-0200-0000BF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503" authorId="0" shapeId="0" xr:uid="{00000000-0006-0000-0200-0000C0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504" authorId="0" shapeId="0" xr:uid="{00000000-0006-0000-0200-0000C1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510" authorId="3" shapeId="0" xr:uid="{00000000-0006-0000-0200-0000C2000000}">
      <text>
        <r>
          <rPr>
            <sz val="9"/>
            <color indexed="81"/>
            <rFont val="Tahoma"/>
            <family val="2"/>
          </rPr>
          <t xml:space="preserve">Thompson creek air quality permit </t>
        </r>
      </text>
    </comment>
    <comment ref="B511" authorId="3" shapeId="0" xr:uid="{00000000-0006-0000-0200-0000C3000000}">
      <text>
        <r>
          <rPr>
            <sz val="9"/>
            <color indexed="81"/>
            <rFont val="Tahoma"/>
            <family val="2"/>
          </rPr>
          <t>This is from Fthenakis et al. Renewable and sustainable Energy reviews 13 (2009) 439-517</t>
        </r>
      </text>
    </comment>
    <comment ref="B512" authorId="3" shapeId="0" xr:uid="{00000000-0006-0000-0200-0000C4000000}">
      <text>
        <r>
          <rPr>
            <sz val="9"/>
            <color indexed="81"/>
            <rFont val="Tahoma"/>
            <family val="2"/>
          </rPr>
          <t>from the Climax Molybdenum company, air quality permit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aburnham</author>
    <author>Kelly, Jarod Cory</author>
  </authors>
  <commentList>
    <comment ref="A2" authorId="0" shapeId="0" xr:uid="{00000000-0006-0000-0300-000001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B6" authorId="0" shapeId="0" xr:uid="{00000000-0006-0000-0300-000002000000}">
      <text>
        <r>
          <rPr>
            <sz val="9"/>
            <color indexed="81"/>
            <rFont val="Tahoma"/>
            <family val="2"/>
          </rPr>
          <t>Conventional: Adjusted to match MY2010 Autonomie average case results (mid-size car)
Lightweight: Weight based on percent reduction calculated from ASCM model and than scaling conventional weight from Autonomie</t>
        </r>
      </text>
    </comment>
    <comment ref="A9" authorId="0" shapeId="0" xr:uid="{00000000-0006-0000-0300-000003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A21" authorId="0" shapeId="0" xr:uid="{00000000-0006-0000-0300-000004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B26" authorId="0" shapeId="0" xr:uid="{00000000-0006-0000-0300-000005000000}">
      <text>
        <r>
          <rPr>
            <sz val="9"/>
            <color indexed="81"/>
            <rFont val="Tahoma"/>
            <family val="2"/>
          </rPr>
          <t>Assumed to be similar to HEV</t>
        </r>
      </text>
    </comment>
    <comment ref="B27" authorId="0" shapeId="0" xr:uid="{00000000-0006-0000-0300-000006000000}">
      <text>
        <r>
          <rPr>
            <sz val="9"/>
            <color indexed="81"/>
            <rFont val="Tahoma"/>
            <family val="2"/>
          </rPr>
          <t>Assumed to be similar to FCV</t>
        </r>
      </text>
    </comment>
    <comment ref="B32" authorId="0" shapeId="0" xr:uid="{00000000-0006-0000-0300-000007000000}">
      <text>
        <r>
          <rPr>
            <sz val="9"/>
            <color indexed="81"/>
            <rFont val="Tahoma"/>
            <family val="2"/>
          </rPr>
          <t>Assumed to be similar to HEV</t>
        </r>
      </text>
    </comment>
    <comment ref="B33" authorId="0" shapeId="0" xr:uid="{00000000-0006-0000-0300-000008000000}">
      <text>
        <r>
          <rPr>
            <sz val="9"/>
            <color indexed="81"/>
            <rFont val="Tahoma"/>
            <family val="2"/>
          </rPr>
          <t>Assumed to be similar to FCV</t>
        </r>
      </text>
    </comment>
    <comment ref="B38" authorId="0" shapeId="0" xr:uid="{00000000-0006-0000-0300-000009000000}">
      <text>
        <r>
          <rPr>
            <sz val="9"/>
            <color indexed="81"/>
            <rFont val="Tahoma"/>
            <family val="2"/>
          </rPr>
          <t>Assumed to be similar to HEV</t>
        </r>
      </text>
    </comment>
    <comment ref="B39" authorId="0" shapeId="0" xr:uid="{00000000-0006-0000-0300-00000A000000}">
      <text>
        <r>
          <rPr>
            <sz val="9"/>
            <color indexed="81"/>
            <rFont val="Tahoma"/>
            <family val="2"/>
          </rPr>
          <t>Assumed to be similar to FCV</t>
        </r>
      </text>
    </comment>
    <comment ref="A47" authorId="0" shapeId="0" xr:uid="{00000000-0006-0000-0300-00000B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A57" authorId="0" shapeId="0" xr:uid="{00000000-0006-0000-0300-00000C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K58" authorId="1" shapeId="0" xr:uid="{00000000-0006-0000-0300-00000D000000}">
      <text>
        <r>
          <rPr>
            <sz val="9"/>
            <color indexed="81"/>
            <rFont val="Tahoma"/>
            <family val="2"/>
          </rPr>
          <t>Based on Kelly, J., Dai, Q., and Elgowainy,A.  2016, Vehicle Materials: Fuel Cell Vehicle Material Composition Update,Systems Assessment Group, Argonne National Laboratory, Argonne, Ill.</t>
        </r>
      </text>
    </comment>
    <comment ref="L58" authorId="1" shapeId="0" xr:uid="{00000000-0006-0000-0300-00000E000000}">
      <text>
        <r>
          <rPr>
            <sz val="9"/>
            <color indexed="81"/>
            <rFont val="Tahoma"/>
            <family val="2"/>
          </rPr>
          <t>Based on Kelly, J., Dai, Q., and Elgowainy,A.  2016, Vehicle Materials: Fuel Cell Vehicle Material Composition Update,Systems Assessment Group, Argonne National Laboratory, Argonne, Ill.</t>
        </r>
      </text>
    </comment>
    <comment ref="A87" authorId="0" shapeId="0" xr:uid="{00000000-0006-0000-0300-00000F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A97" authorId="0" shapeId="0" xr:uid="{00000000-0006-0000-0300-000010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C98" authorId="0" shapeId="0" xr:uid="{00000000-0006-0000-0300-000011000000}">
      <text>
        <r>
          <rPr>
            <sz val="9"/>
            <color indexed="81"/>
            <rFont val="Tahoma"/>
            <family val="2"/>
          </rPr>
          <t>Conventional: Used MY2015 Autonomie average case results (mid-size car)
Lightweight: Argonne component sizing equations used to scale battery's for lightweight vehicles</t>
        </r>
      </text>
    </comment>
    <comment ref="D98" authorId="0" shapeId="0" xr:uid="{00000000-0006-0000-0300-000012000000}">
      <text>
        <r>
          <rPr>
            <sz val="9"/>
            <color indexed="81"/>
            <rFont val="Tahoma"/>
            <family val="2"/>
          </rPr>
          <t>Conventional: Used MY2015 Autonomie average case results (mid-size car)
Lightweight: Argonne component sizing equations used to scale battery's for lightweight vehicles</t>
        </r>
      </text>
    </comment>
    <comment ref="A104" authorId="0" shapeId="0" xr:uid="{00000000-0006-0000-0300-000013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C105" authorId="0" shapeId="0" xr:uid="{00000000-0006-0000-0300-000014000000}">
      <text>
        <r>
          <rPr>
            <sz val="9"/>
            <color indexed="81"/>
            <rFont val="Tahoma"/>
            <family val="2"/>
          </rPr>
          <t>Conventional: Used MY2015 Autonomie average case results (mid-size car)
Lightweight: Argonne component sizing equations used to scale battery's for lightweight vehicles</t>
        </r>
      </text>
    </comment>
    <comment ref="D105" authorId="0" shapeId="0" xr:uid="{00000000-0006-0000-0300-000015000000}">
      <text>
        <r>
          <rPr>
            <sz val="9"/>
            <color indexed="81"/>
            <rFont val="Tahoma"/>
            <family val="2"/>
          </rPr>
          <t>Conventional: Used MY2015 Autonomie average case results (mid-size car)
Lightweight: Argonne component sizing equations used to scale battery's for lightweight vehicles</t>
        </r>
      </text>
    </comment>
    <comment ref="A111" authorId="0" shapeId="0" xr:uid="{00000000-0006-0000-0300-000016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A119" authorId="0" shapeId="0" xr:uid="{00000000-0006-0000-0300-000017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A123" authorId="0" shapeId="0" xr:uid="{00000000-0006-0000-0300-000018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G124" authorId="0" shapeId="0" xr:uid="{00000000-0006-0000-0300-000019000000}">
      <text>
        <r>
          <rPr>
            <sz val="9"/>
            <color indexed="81"/>
            <rFont val="Tahoma"/>
            <family val="2"/>
          </rPr>
          <t>For EV - similar reasoning on ICEV, HEV, FCV all having same lifetime.</t>
        </r>
      </text>
    </comment>
    <comment ref="H124" authorId="0" shapeId="0" xr:uid="{00000000-0006-0000-0300-00001A000000}">
      <text>
        <r>
          <rPr>
            <sz val="9"/>
            <color indexed="81"/>
            <rFont val="Tahoma"/>
            <family val="2"/>
          </rPr>
          <t>For EV - similar reasoning on ICEV, HEV, FCV all having same lifetime.</t>
        </r>
      </text>
    </comment>
    <comment ref="I124" authorId="0" shapeId="0" xr:uid="{00000000-0006-0000-0300-00001B000000}">
      <text>
        <r>
          <rPr>
            <sz val="9"/>
            <color indexed="81"/>
            <rFont val="Tahoma"/>
            <family val="2"/>
          </rPr>
          <t>For EV - similar reasoning on ICEV, HEV, FCV all having same lifetime.</t>
        </r>
      </text>
    </comment>
    <comment ref="J124" authorId="0" shapeId="0" xr:uid="{00000000-0006-0000-0300-00001C000000}">
      <text>
        <r>
          <rPr>
            <sz val="9"/>
            <color indexed="81"/>
            <rFont val="Tahoma"/>
            <family val="2"/>
          </rPr>
          <t>For EV - similar reasoning on ICEV, HEV, FCV all having same lifetime</t>
        </r>
      </text>
    </comment>
    <comment ref="A127" authorId="0" shapeId="0" xr:uid="{00000000-0006-0000-0300-00001D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B175" authorId="0" shapeId="0" xr:uid="{00000000-0006-0000-0300-00001E000000}">
      <text>
        <r>
          <rPr>
            <sz val="9"/>
            <color indexed="81"/>
            <rFont val="Tahoma"/>
            <family val="2"/>
          </rPr>
          <t>Updated chassis values for steel (conv.) and aluminum (LW) tires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Benavides Gallego, Pahola T.</author>
    <author>Jeongwoo Han</author>
  </authors>
  <commentList>
    <comment ref="CE68" authorId="0" shapeId="0" xr:uid="{00000000-0006-0000-2700-000001000000}">
      <text>
        <r>
          <rPr>
            <b/>
            <sz val="9"/>
            <color indexed="81"/>
            <rFont val="Tahoma"/>
            <family val="2"/>
          </rPr>
          <t>Benavides Gallego, Pahola T.:</t>
        </r>
        <r>
          <rPr>
            <sz val="9"/>
            <color indexed="81"/>
            <rFont val="Tahoma"/>
            <family val="2"/>
          </rPr>
          <t xml:space="preserve">
production per ton Bauxite</t>
        </r>
      </text>
    </comment>
    <comment ref="CE70" authorId="0" shapeId="0" xr:uid="{00000000-0006-0000-2700-000002000000}">
      <text>
        <r>
          <rPr>
            <b/>
            <sz val="9"/>
            <color indexed="81"/>
            <rFont val="Tahoma"/>
            <family val="2"/>
          </rPr>
          <t>Benavides Gallego, Pahola T.:</t>
        </r>
        <r>
          <rPr>
            <sz val="9"/>
            <color indexed="81"/>
            <rFont val="Tahoma"/>
            <family val="2"/>
          </rPr>
          <t xml:space="preserve">
5.575 ton of bauxite are produced- according to GREET.NET pathway Bauxite (Aluminium Ore) Mining</t>
        </r>
      </text>
    </comment>
    <comment ref="CF93" authorId="1" shapeId="0" xr:uid="{00000000-0006-0000-2700-00000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CF98" authorId="1" shapeId="0" xr:uid="{00000000-0006-0000-2700-00000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CF99" authorId="1" shapeId="0" xr:uid="{00000000-0006-0000-2700-00000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ywu</author>
  </authors>
  <commentList>
    <comment ref="A19" authorId="0" shapeId="0" xr:uid="{00000000-0006-0000-0B00-000001000000}">
      <text>
        <r>
          <rPr>
            <sz val="8"/>
            <color rgb="FF000000"/>
            <rFont val="Tahoma"/>
            <family val="2"/>
          </rPr>
          <t xml:space="preserve">Title: Material and Energy Flows Associated with Select Metals in GREET2: Molybdenum, Platinum, Zinc, Nickel, Silicon. 
</t>
        </r>
        <r>
          <rPr>
            <sz val="8"/>
            <color rgb="FF000000"/>
            <rFont val="Tahoma"/>
            <family val="2"/>
          </rPr>
          <t xml:space="preserve">Publication Date: September 2015
</t>
        </r>
        <r>
          <rPr>
            <sz val="8"/>
            <color rgb="FF000000"/>
            <rFont val="Tahoma"/>
            <family val="2"/>
          </rPr>
          <t xml:space="preserve">Authors: P.T. Benavides, Q. Dai, J. Sullivan, J.C. Kelly, and J.B. Dunn
</t>
        </r>
      </text>
    </comment>
    <comment ref="A20" authorId="0" shapeId="0" xr:uid="{00000000-0006-0000-0B00-000002000000}">
      <text>
        <r>
          <rPr>
            <sz val="8"/>
            <color rgb="FF000000"/>
            <rFont val="Tahoma"/>
            <family val="2"/>
          </rPr>
          <t xml:space="preserve">Title: Material and Energy Flows Associated with Select Metals in GREET2: Molybdenum, Platinum, Zinc, Nickel, Silicon. 
</t>
        </r>
        <r>
          <rPr>
            <sz val="8"/>
            <color rgb="FF000000"/>
            <rFont val="Tahoma"/>
            <family val="2"/>
          </rPr>
          <t xml:space="preserve">Publication Date: September 2015
</t>
        </r>
        <r>
          <rPr>
            <sz val="8"/>
            <color rgb="FF000000"/>
            <rFont val="Tahoma"/>
            <family val="2"/>
          </rPr>
          <t xml:space="preserve">Authors: P.T. Benavides, Q. Dai, J. Sullivan, J.C. Kelly, and J.B. Dunn
</t>
        </r>
      </text>
    </comment>
    <comment ref="J90" authorId="0" shapeId="0" xr:uid="{00000000-0006-0000-0B00-000003000000}">
      <text>
        <r>
          <rPr>
            <sz val="8"/>
            <color indexed="81"/>
            <rFont val="Tahoma"/>
            <family val="2"/>
          </rPr>
          <t xml:space="preserve">The data for Nickel Refining is applied here.
</t>
        </r>
      </text>
    </comment>
    <comment ref="AD90" authorId="0" shapeId="0" xr:uid="{00000000-0006-0000-0B00-000004000000}">
      <text>
        <r>
          <rPr>
            <sz val="8"/>
            <color indexed="81"/>
            <rFont val="Tahoma"/>
            <family val="2"/>
          </rPr>
          <t xml:space="preserve">The data for Nickel Refining is applied here.
</t>
        </r>
      </text>
    </comment>
    <comment ref="J91" authorId="0" shapeId="0" xr:uid="{00000000-0006-0000-0B00-000005000000}">
      <text>
        <r>
          <rPr>
            <sz val="8"/>
            <color indexed="81"/>
            <rFont val="Tahoma"/>
            <family val="2"/>
          </rPr>
          <t xml:space="preserve">The data for Nickel Refining is applied here.
</t>
        </r>
      </text>
    </comment>
    <comment ref="AD91" authorId="0" shapeId="0" xr:uid="{00000000-0006-0000-0B00-000006000000}">
      <text>
        <r>
          <rPr>
            <sz val="8"/>
            <color indexed="81"/>
            <rFont val="Tahoma"/>
            <family val="2"/>
          </rPr>
          <t xml:space="preserve">The data for Nickel Refining is applied here.
</t>
        </r>
      </text>
    </comment>
    <comment ref="J93" authorId="0" shapeId="0" xr:uid="{00000000-0006-0000-0B00-000007000000}">
      <text>
        <r>
          <rPr>
            <sz val="8"/>
            <color indexed="81"/>
            <rFont val="Tahoma"/>
            <family val="2"/>
          </rPr>
          <t xml:space="preserve">The data for Nickel Refining is applied here.
</t>
        </r>
      </text>
    </comment>
    <comment ref="AD93" authorId="0" shapeId="0" xr:uid="{00000000-0006-0000-0B00-000008000000}">
      <text>
        <r>
          <rPr>
            <sz val="8"/>
            <color indexed="81"/>
            <rFont val="Tahoma"/>
            <family val="2"/>
          </rPr>
          <t xml:space="preserve">The data for Nickel Refining is applied here.
</t>
        </r>
      </text>
    </comment>
    <comment ref="J94" authorId="0" shapeId="0" xr:uid="{00000000-0006-0000-0B00-000009000000}">
      <text>
        <r>
          <rPr>
            <sz val="8"/>
            <color indexed="81"/>
            <rFont val="Tahoma"/>
            <family val="2"/>
          </rPr>
          <t xml:space="preserve">The data for Nickel Refining is applied here.
</t>
        </r>
      </text>
    </comment>
    <comment ref="AD94" authorId="0" shapeId="0" xr:uid="{00000000-0006-0000-0B00-00000A000000}">
      <text>
        <r>
          <rPr>
            <sz val="8"/>
            <color indexed="81"/>
            <rFont val="Tahoma"/>
            <family val="2"/>
          </rPr>
          <t xml:space="preserve">The data for Nickel Refining is applied here.
</t>
        </r>
      </text>
    </comment>
    <comment ref="J96" authorId="0" shapeId="0" xr:uid="{00000000-0006-0000-0B00-00000B000000}">
      <text>
        <r>
          <rPr>
            <sz val="8"/>
            <color indexed="81"/>
            <rFont val="Tahoma"/>
            <family val="2"/>
          </rPr>
          <t xml:space="preserve">The data for Nickel Refining is applied here.
</t>
        </r>
      </text>
    </comment>
    <comment ref="AD96" authorId="0" shapeId="0" xr:uid="{00000000-0006-0000-0B00-00000C000000}">
      <text>
        <r>
          <rPr>
            <sz val="8"/>
            <color indexed="81"/>
            <rFont val="Tahoma"/>
            <family val="2"/>
          </rPr>
          <t xml:space="preserve">The data for Nickel Refining is applied here.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H132" authorId="0" shapeId="0" xr:uid="{00000000-0006-0000-2800-000001000000}">
      <text>
        <r>
          <rPr>
            <sz val="9"/>
            <color indexed="81"/>
            <rFont val="Tahoma"/>
            <family val="2"/>
          </rPr>
          <t>Li2CO3 not recovered from the default pyro and hydro via inorganic acid leaching process. Inclueded here for user exploration.</t>
        </r>
      </text>
    </comment>
    <comment ref="I132" authorId="0" shapeId="0" xr:uid="{00000000-0006-0000-2800-000002000000}">
      <text>
        <r>
          <rPr>
            <sz val="9"/>
            <color indexed="81"/>
            <rFont val="Tahoma"/>
            <family val="2"/>
          </rPr>
          <t>Li2CO3 not recovered from the default pyro and hydro via inorganic acid leaching process. Inclueded here for user exploration.</t>
        </r>
      </text>
    </comment>
    <comment ref="L165" authorId="0" shapeId="0" xr:uid="{00000000-0006-0000-2800-000003000000}">
      <text>
        <r>
          <rPr>
            <sz val="9"/>
            <color indexed="81"/>
            <rFont val="Tahoma"/>
            <family val="2"/>
          </rPr>
          <t>With Li2CO3 imported from Chile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aburnham</author>
    <author>Kelly, Jarod Cory</author>
  </authors>
  <commentList>
    <comment ref="A2" authorId="0" shapeId="0" xr:uid="{00000000-0006-0000-0400-000001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B6" authorId="0" shapeId="0" xr:uid="{00000000-0006-0000-0400-000002000000}">
      <text>
        <r>
          <rPr>
            <sz val="9"/>
            <color indexed="81"/>
            <rFont val="Tahoma"/>
            <family val="2"/>
          </rPr>
          <t>Conventional: Adjusted to match MY2015 Autonomie average case results (mid-size SUV)
Lightweight: Weight based on percent reduction calculated from ASCM model and than scaling conventional weight from Autonomie</t>
        </r>
      </text>
    </comment>
    <comment ref="A9" authorId="0" shapeId="0" xr:uid="{00000000-0006-0000-0400-000003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A21" authorId="0" shapeId="0" xr:uid="{00000000-0006-0000-0400-000004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B26" authorId="0" shapeId="0" xr:uid="{00000000-0006-0000-0400-000005000000}">
      <text>
        <r>
          <rPr>
            <sz val="9"/>
            <color indexed="81"/>
            <rFont val="Tahoma"/>
            <family val="2"/>
          </rPr>
          <t>Assumed to be similar to HEV</t>
        </r>
      </text>
    </comment>
    <comment ref="B27" authorId="0" shapeId="0" xr:uid="{00000000-0006-0000-0400-000006000000}">
      <text>
        <r>
          <rPr>
            <sz val="9"/>
            <color indexed="81"/>
            <rFont val="Tahoma"/>
            <family val="2"/>
          </rPr>
          <t>Assumed to be similar to FCV</t>
        </r>
      </text>
    </comment>
    <comment ref="B32" authorId="0" shapeId="0" xr:uid="{00000000-0006-0000-0400-000007000000}">
      <text>
        <r>
          <rPr>
            <sz val="9"/>
            <color indexed="81"/>
            <rFont val="Tahoma"/>
            <family val="2"/>
          </rPr>
          <t>Assumed to be similar to HEV</t>
        </r>
      </text>
    </comment>
    <comment ref="B33" authorId="0" shapeId="0" xr:uid="{00000000-0006-0000-0400-000008000000}">
      <text>
        <r>
          <rPr>
            <sz val="9"/>
            <color indexed="81"/>
            <rFont val="Tahoma"/>
            <family val="2"/>
          </rPr>
          <t>Assumed to be similar to FCV</t>
        </r>
      </text>
    </comment>
    <comment ref="B38" authorId="0" shapeId="0" xr:uid="{00000000-0006-0000-0400-000009000000}">
      <text>
        <r>
          <rPr>
            <sz val="9"/>
            <color indexed="81"/>
            <rFont val="Tahoma"/>
            <family val="2"/>
          </rPr>
          <t>Assumed to be similar to HEV</t>
        </r>
      </text>
    </comment>
    <comment ref="B39" authorId="0" shapeId="0" xr:uid="{00000000-0006-0000-0400-00000A000000}">
      <text>
        <r>
          <rPr>
            <sz val="9"/>
            <color indexed="81"/>
            <rFont val="Tahoma"/>
            <family val="2"/>
          </rPr>
          <t>Assumed to be similar to FCV</t>
        </r>
      </text>
    </comment>
    <comment ref="A47" authorId="0" shapeId="0" xr:uid="{00000000-0006-0000-0400-00000B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A57" authorId="0" shapeId="0" xr:uid="{00000000-0006-0000-0400-00000C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K58" authorId="1" shapeId="0" xr:uid="{00000000-0006-0000-0400-00000D000000}">
      <text>
        <r>
          <rPr>
            <sz val="9"/>
            <color indexed="81"/>
            <rFont val="Tahoma"/>
            <family val="2"/>
          </rPr>
          <t>Based on Kelly, J., Dai, Q., and Elgowainy,A.  2016, Vehicle Materials: Fuel Cell Vehicle Material Composition Update,Systems Assessment Group, Argonne National Laboratory, Argonne, Ill.</t>
        </r>
      </text>
    </comment>
    <comment ref="L58" authorId="1" shapeId="0" xr:uid="{00000000-0006-0000-0400-00000E000000}">
      <text>
        <r>
          <rPr>
            <sz val="9"/>
            <color indexed="81"/>
            <rFont val="Tahoma"/>
            <family val="2"/>
          </rPr>
          <t xml:space="preserve">Based on Kelly, J., Dai, Q., and Elgowainy,A.  2016, Vehicle Materials: Fuel Cell Vehicle Material Composition Update,Systems Assessment Group, Argonne National </t>
        </r>
        <r>
          <rPr>
            <b/>
            <sz val="9"/>
            <color indexed="81"/>
            <rFont val="Tahoma"/>
            <family val="2"/>
          </rPr>
          <t>Laboratory, Argonne, Ill.</t>
        </r>
        <r>
          <rPr>
            <sz val="9"/>
            <color indexed="81"/>
            <rFont val="Tahoma"/>
            <family val="2"/>
          </rPr>
          <t xml:space="preserve">
</t>
        </r>
      </text>
    </comment>
    <comment ref="A87" authorId="0" shapeId="0" xr:uid="{00000000-0006-0000-0400-00000F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A97" authorId="0" shapeId="0" xr:uid="{00000000-0006-0000-0400-000010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C98" authorId="0" shapeId="0" xr:uid="{00000000-0006-0000-0400-000011000000}">
      <text>
        <r>
          <rPr>
            <sz val="9"/>
            <color indexed="81"/>
            <rFont val="Tahoma"/>
            <family val="2"/>
          </rPr>
          <t>Conventional: Used MY2015 Autonomie average case results (mid-size SUV)
Lightweight: Argonne component sizing equations used to scale battery's for lightweight vehicles</t>
        </r>
      </text>
    </comment>
    <comment ref="D98" authorId="0" shapeId="0" xr:uid="{00000000-0006-0000-0400-000012000000}">
      <text>
        <r>
          <rPr>
            <sz val="9"/>
            <color indexed="81"/>
            <rFont val="Tahoma"/>
            <family val="2"/>
          </rPr>
          <t>Conventional: Used MY2015 Autonomie average case results (mid-size SUV)
Lightweight: Argonne component sizing equations used to scale battery's for lightweight vehicles</t>
        </r>
      </text>
    </comment>
    <comment ref="A104" authorId="0" shapeId="0" xr:uid="{00000000-0006-0000-0400-000013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C105" authorId="0" shapeId="0" xr:uid="{00000000-0006-0000-0400-000014000000}">
      <text>
        <r>
          <rPr>
            <sz val="9"/>
            <color indexed="81"/>
            <rFont val="Tahoma"/>
            <family val="2"/>
          </rPr>
          <t>Conventional: Used MY2015 Autonomie average case results (mid-size SUV)
Lightweight: Argonne component sizing equations used to scale battery's for lightweight vehicles</t>
        </r>
      </text>
    </comment>
    <comment ref="D105" authorId="0" shapeId="0" xr:uid="{00000000-0006-0000-0400-000015000000}">
      <text>
        <r>
          <rPr>
            <sz val="9"/>
            <color indexed="81"/>
            <rFont val="Tahoma"/>
            <family val="2"/>
          </rPr>
          <t>Conventional: Used MY2015 Autonomie average case results (mid-size SUV)
Lightweight: Argonne component sizing equations used to scale battery's for lightweight vehicles</t>
        </r>
      </text>
    </comment>
    <comment ref="A111" authorId="0" shapeId="0" xr:uid="{00000000-0006-0000-0400-000016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A119" authorId="0" shapeId="0" xr:uid="{00000000-0006-0000-0400-000017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A123" authorId="0" shapeId="0" xr:uid="{00000000-0006-0000-0400-000018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G124" authorId="0" shapeId="0" xr:uid="{00000000-0006-0000-0400-000019000000}">
      <text>
        <r>
          <rPr>
            <sz val="9"/>
            <color indexed="81"/>
            <rFont val="Tahoma"/>
            <family val="2"/>
          </rPr>
          <t>For EV - similar reasoning on ICEV, HEV, FCV all having same lifetime.</t>
        </r>
      </text>
    </comment>
    <comment ref="H124" authorId="0" shapeId="0" xr:uid="{00000000-0006-0000-0400-00001A000000}">
      <text>
        <r>
          <rPr>
            <sz val="9"/>
            <color indexed="81"/>
            <rFont val="Tahoma"/>
            <family val="2"/>
          </rPr>
          <t>For EV - similar reasoning on ICEV, HEV, FCV all having same lifetime.</t>
        </r>
      </text>
    </comment>
    <comment ref="I124" authorId="0" shapeId="0" xr:uid="{00000000-0006-0000-0400-00001B000000}">
      <text>
        <r>
          <rPr>
            <sz val="9"/>
            <color indexed="81"/>
            <rFont val="Tahoma"/>
            <family val="2"/>
          </rPr>
          <t>For EV - similar reasoning on ICEV, HEV, FCV all having same lifetime.</t>
        </r>
      </text>
    </comment>
    <comment ref="J124" authorId="0" shapeId="0" xr:uid="{00000000-0006-0000-0400-00001C000000}">
      <text>
        <r>
          <rPr>
            <sz val="9"/>
            <color indexed="81"/>
            <rFont val="Tahoma"/>
            <family val="2"/>
          </rPr>
          <t>For EV - similar reasoning on ICEV, HEV, FCV all having same lifetime</t>
        </r>
      </text>
    </comment>
    <comment ref="A127" authorId="0" shapeId="0" xr:uid="{00000000-0006-0000-0400-00001D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B143" authorId="0" shapeId="0" xr:uid="{00000000-0006-0000-0400-00001E000000}">
      <text>
        <r>
          <rPr>
            <sz val="9"/>
            <color indexed="81"/>
            <rFont val="Tahoma"/>
            <family val="2"/>
          </rPr>
          <t xml:space="preserve">Very minor change to LW ICEV from 54.9% to 54.8% steel and from 17.6% to 17.7% cast al </t>
        </r>
      </text>
    </comment>
    <comment ref="B175" authorId="0" shapeId="0" xr:uid="{00000000-0006-0000-0400-00001F000000}">
      <text>
        <r>
          <rPr>
            <sz val="9"/>
            <color indexed="81"/>
            <rFont val="Tahoma"/>
            <family val="2"/>
          </rPr>
          <t>Updated chassis values for steel (conv.) and aluminum (LW) tires and updated lightweight % to account for revised driveshaft values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aburnham</author>
    <author>Kelly, Jarod Cory</author>
  </authors>
  <commentList>
    <comment ref="A2" authorId="0" shapeId="0" xr:uid="{00000000-0006-0000-0500-000001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B6" authorId="0" shapeId="0" xr:uid="{00000000-0006-0000-0500-000002000000}">
      <text>
        <r>
          <rPr>
            <sz val="9"/>
            <color indexed="81"/>
            <rFont val="Tahoma"/>
            <family val="2"/>
          </rPr>
          <t>Conventional: Adjusted to match MY2010 Autonomie average case results (pick-up truck)
Lightweight: Weight based on percent reduction calculated from ASCM model and than scaling conventional weight from Autonomie</t>
        </r>
      </text>
    </comment>
    <comment ref="G6" authorId="0" shapeId="0" xr:uid="{00000000-0006-0000-0500-000003000000}">
      <text>
        <r>
          <rPr>
            <sz val="9"/>
            <color indexed="81"/>
            <rFont val="Tahoma"/>
            <family val="2"/>
          </rPr>
          <t>Used PHEV20 - MY2010 Autonomie average case results (pick-up truck). 
PHEV10 = 4640 lb
PHEV20 = 4760 lb
PHEV30 (series) = 5350 lb
PHEV40 (series) = 5510 lb</t>
        </r>
      </text>
    </comment>
    <comment ref="H6" authorId="0" shapeId="0" xr:uid="{00000000-0006-0000-0500-000004000000}">
      <text>
        <r>
          <rPr>
            <sz val="9"/>
            <color indexed="81"/>
            <rFont val="Tahoma"/>
            <family val="2"/>
          </rPr>
          <t>Weight based on percent reduction calculated from ASCM model and than scaling conventional weight from Autonomie
PHEV10 = 3080 lb
PHEV20 = 3430 lb
PHEV30 (series) = 3550 lb
PHEV40 (series) = 3660 lb</t>
        </r>
      </text>
    </comment>
    <comment ref="A9" authorId="0" shapeId="0" xr:uid="{00000000-0006-0000-0500-000005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C11" authorId="0" shapeId="0" xr:uid="{00000000-0006-0000-0500-000006000000}">
      <text>
        <r>
          <rPr>
            <sz val="9"/>
            <color indexed="81"/>
            <rFont val="Tahoma"/>
            <family val="2"/>
          </rPr>
          <t>Argonne component sizing equations shows PUT weight of standard lead-acid battery is equivalent to SUV. Battery weights of actual SUVs and PUTs (looked at Edge and F150) are similar so this assumption seems reasonable.</t>
        </r>
      </text>
    </comment>
    <comment ref="C17" authorId="0" shapeId="0" xr:uid="{00000000-0006-0000-0500-000007000000}">
      <text>
        <r>
          <rPr>
            <sz val="9"/>
            <color indexed="81"/>
            <rFont val="Tahoma"/>
            <family val="2"/>
          </rPr>
          <t>Argonne component sizing equations shows PUT weight of standard lead-acid battery is equivalent to SUV. Battery weights of actual SUVs and PUTs (looked at Edge and F150) are similar so this assumption seems reasonable.</t>
        </r>
      </text>
    </comment>
    <comment ref="A21" authorId="0" shapeId="0" xr:uid="{00000000-0006-0000-0500-000008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C23" authorId="0" shapeId="0" xr:uid="{00000000-0006-0000-0500-000009000000}">
      <text>
        <r>
          <rPr>
            <sz val="9"/>
            <color indexed="81"/>
            <rFont val="Tahoma"/>
            <family val="2"/>
          </rPr>
          <t>ORNL data shows PUT fluid weight is equivalent to SUV.</t>
        </r>
      </text>
    </comment>
    <comment ref="C24" authorId="0" shapeId="0" xr:uid="{00000000-0006-0000-0500-00000A000000}">
      <text>
        <r>
          <rPr>
            <sz val="9"/>
            <color indexed="81"/>
            <rFont val="Tahoma"/>
            <family val="2"/>
          </rPr>
          <t>ORNL data shows PUT fluid weight is equivalent to SUV.</t>
        </r>
      </text>
    </comment>
    <comment ref="B26" authorId="0" shapeId="0" xr:uid="{00000000-0006-0000-0500-00000B000000}">
      <text>
        <r>
          <rPr>
            <sz val="9"/>
            <color indexed="81"/>
            <rFont val="Tahoma"/>
            <family val="2"/>
          </rPr>
          <t>Assumed to be similar to HEV</t>
        </r>
      </text>
    </comment>
    <comment ref="B27" authorId="0" shapeId="0" xr:uid="{00000000-0006-0000-0500-00000C000000}">
      <text>
        <r>
          <rPr>
            <sz val="9"/>
            <color indexed="81"/>
            <rFont val="Tahoma"/>
            <family val="2"/>
          </rPr>
          <t>Assumed to be similar to FCV</t>
        </r>
      </text>
    </comment>
    <comment ref="D29" authorId="1" shapeId="0" xr:uid="{00000000-0006-0000-0500-00000D000000}">
      <text>
        <r>
          <rPr>
            <sz val="9"/>
            <color indexed="8"/>
            <rFont val="Tahoma"/>
            <family val="2"/>
          </rPr>
          <t xml:space="preserve">
No data given</t>
        </r>
      </text>
    </comment>
    <comment ref="E29" authorId="1" shapeId="0" xr:uid="{00000000-0006-0000-0500-00000E000000}">
      <text>
        <r>
          <rPr>
            <sz val="9"/>
            <color indexed="8"/>
            <rFont val="Tahoma"/>
            <family val="2"/>
          </rPr>
          <t>No data given</t>
        </r>
      </text>
    </comment>
    <comment ref="G29" authorId="1" shapeId="0" xr:uid="{00000000-0006-0000-0500-00000F000000}">
      <text>
        <r>
          <rPr>
            <sz val="9"/>
            <color indexed="8"/>
            <rFont val="Tahoma"/>
            <family val="2"/>
          </rPr>
          <t>No data given</t>
        </r>
      </text>
    </comment>
    <comment ref="I29" authorId="1" shapeId="0" xr:uid="{00000000-0006-0000-0500-000010000000}">
      <text>
        <r>
          <rPr>
            <sz val="9"/>
            <color indexed="8"/>
            <rFont val="Tahoma"/>
            <family val="2"/>
          </rPr>
          <t>No data given</t>
        </r>
      </text>
    </comment>
    <comment ref="D30" authorId="1" shapeId="0" xr:uid="{00000000-0006-0000-0500-000011000000}">
      <text>
        <r>
          <rPr>
            <sz val="9"/>
            <color indexed="8"/>
            <rFont val="Tahoma"/>
            <family val="2"/>
          </rPr>
          <t>No data given</t>
        </r>
      </text>
    </comment>
    <comment ref="E30" authorId="1" shapeId="0" xr:uid="{00000000-0006-0000-0500-000012000000}">
      <text>
        <r>
          <rPr>
            <sz val="9"/>
            <color indexed="8"/>
            <rFont val="Tahoma"/>
            <family val="2"/>
          </rPr>
          <t>No data given</t>
        </r>
      </text>
    </comment>
    <comment ref="G30" authorId="1" shapeId="0" xr:uid="{00000000-0006-0000-0500-000013000000}">
      <text>
        <r>
          <rPr>
            <sz val="9"/>
            <color indexed="8"/>
            <rFont val="Tahoma"/>
            <family val="2"/>
          </rPr>
          <t>No data given</t>
        </r>
      </text>
    </comment>
    <comment ref="I30" authorId="1" shapeId="0" xr:uid="{00000000-0006-0000-0500-000014000000}">
      <text>
        <r>
          <rPr>
            <sz val="9"/>
            <color indexed="8"/>
            <rFont val="Tahoma"/>
            <family val="2"/>
          </rPr>
          <t>No data given</t>
        </r>
      </text>
    </comment>
    <comment ref="B32" authorId="0" shapeId="0" xr:uid="{00000000-0006-0000-0500-000015000000}">
      <text>
        <r>
          <rPr>
            <sz val="9"/>
            <color indexed="81"/>
            <rFont val="Tahoma"/>
            <family val="2"/>
          </rPr>
          <t>Assumed to be similar to HEV</t>
        </r>
      </text>
    </comment>
    <comment ref="B33" authorId="0" shapeId="0" xr:uid="{00000000-0006-0000-0500-000016000000}">
      <text>
        <r>
          <rPr>
            <sz val="9"/>
            <color indexed="81"/>
            <rFont val="Tahoma"/>
            <family val="2"/>
          </rPr>
          <t>Assumed to be similar to FCV</t>
        </r>
      </text>
    </comment>
    <comment ref="C35" authorId="0" shapeId="0" xr:uid="{00000000-0006-0000-0500-000017000000}">
      <text>
        <r>
          <rPr>
            <sz val="9"/>
            <color indexed="81"/>
            <rFont val="Tahoma"/>
            <family val="2"/>
          </rPr>
          <t>ORNL data shows PUT fluid weight is equivalent to SUV.</t>
        </r>
      </text>
    </comment>
    <comment ref="C36" authorId="0" shapeId="0" xr:uid="{00000000-0006-0000-0500-000018000000}">
      <text>
        <r>
          <rPr>
            <sz val="9"/>
            <color indexed="81"/>
            <rFont val="Tahoma"/>
            <family val="2"/>
          </rPr>
          <t>ORNL data shows PUT fluid weight is equivalent to SUV.</t>
        </r>
      </text>
    </comment>
    <comment ref="B38" authorId="0" shapeId="0" xr:uid="{00000000-0006-0000-0500-000019000000}">
      <text>
        <r>
          <rPr>
            <sz val="9"/>
            <color indexed="81"/>
            <rFont val="Tahoma"/>
            <family val="2"/>
          </rPr>
          <t>Assumed to be similar to HEV</t>
        </r>
      </text>
    </comment>
    <comment ref="B39" authorId="0" shapeId="0" xr:uid="{00000000-0006-0000-0500-00001A000000}">
      <text>
        <r>
          <rPr>
            <sz val="9"/>
            <color indexed="81"/>
            <rFont val="Tahoma"/>
            <family val="2"/>
          </rPr>
          <t>Assumed to be similar to FCV</t>
        </r>
      </text>
    </comment>
    <comment ref="A47" authorId="0" shapeId="0" xr:uid="{00000000-0006-0000-0500-00001B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A51" authorId="1" shapeId="0" xr:uid="{00000000-0006-0000-0500-00001C000000}">
      <text>
        <r>
          <rPr>
            <sz val="9"/>
            <color indexed="81"/>
            <rFont val="Tahoma"/>
            <family val="2"/>
          </rPr>
          <t xml:space="preserve">
Based on Elgowainy, A., et al., 2016, Cradle-to-Grave Lifecycle Analysis of U.S. Light-Duty Vehicle-Fuel Pathways: A Greenhouse Gas Emissions and Economic Assessment of Current (2015) and Future (2025-2030) Technologies, ANL/ESD-16/7, Rev 1., Argonne National Laboratory.
</t>
        </r>
      </text>
    </comment>
    <comment ref="A57" authorId="0" shapeId="0" xr:uid="{00000000-0006-0000-0500-00001D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K58" authorId="1" shapeId="0" xr:uid="{00000000-0006-0000-0500-00001E000000}">
      <text>
        <r>
          <rPr>
            <sz val="9"/>
            <color indexed="81"/>
            <rFont val="Tahoma"/>
            <family val="2"/>
          </rPr>
          <t>Based on Kelly, J., Dai, Q., and Elgowainy,A.  2016, Vehicle Materials: Fuel Cell Vehicle Material Composition Update,Systems Assessment Group, Argonne National Laboratory, Argonne, Ill.</t>
        </r>
      </text>
    </comment>
    <comment ref="L58" authorId="1" shapeId="0" xr:uid="{00000000-0006-0000-0500-00001F000000}">
      <text>
        <r>
          <rPr>
            <sz val="9"/>
            <color indexed="81"/>
            <rFont val="Tahoma"/>
            <family val="2"/>
          </rPr>
          <t>Based on Kelly, J., Dai, Q., and Elgowainy,A.  2016, Vehicle Materials: Fuel Cell Vehicle Material Composition Update,Systems Assessment Group, Argonne National Laboratory, Argonne, Ill.</t>
        </r>
      </text>
    </comment>
    <comment ref="A87" authorId="0" shapeId="0" xr:uid="{00000000-0006-0000-0500-000020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A97" authorId="0" shapeId="0" xr:uid="{00000000-0006-0000-0500-000021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C98" authorId="0" shapeId="0" xr:uid="{00000000-0006-0000-0500-000022000000}">
      <text>
        <r>
          <rPr>
            <sz val="9"/>
            <color indexed="81"/>
            <rFont val="Tahoma"/>
            <family val="2"/>
          </rPr>
          <t>Conventional: Used MY2015 Autonomie average case results (pick-up truck)
Lightweight: Argonne component sizing equations used to scale battery's for lightweight vehicles</t>
        </r>
      </text>
    </comment>
    <comment ref="D98" authorId="0" shapeId="0" xr:uid="{00000000-0006-0000-0500-000023000000}">
      <text>
        <r>
          <rPr>
            <sz val="9"/>
            <color indexed="81"/>
            <rFont val="Tahoma"/>
            <family val="2"/>
          </rPr>
          <t>Conventional: Used MY2015 Autonomie average case results (pick-up truck)
Lightweight: Argonne component sizing equations used to scale battery's for lightweight vehicles</t>
        </r>
      </text>
    </comment>
    <comment ref="A104" authorId="0" shapeId="0" xr:uid="{00000000-0006-0000-0500-000024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C105" authorId="0" shapeId="0" xr:uid="{00000000-0006-0000-0500-000025000000}">
      <text>
        <r>
          <rPr>
            <sz val="9"/>
            <color indexed="81"/>
            <rFont val="Tahoma"/>
            <family val="2"/>
          </rPr>
          <t>Conventional: Used MY2015 Autonomie average case results (pick-up truck)
Lightweight: Argonne component sizing equations used to scale battery's for lightweight vehicles</t>
        </r>
      </text>
    </comment>
    <comment ref="D105" authorId="0" shapeId="0" xr:uid="{00000000-0006-0000-0500-000026000000}">
      <text>
        <r>
          <rPr>
            <sz val="9"/>
            <color indexed="81"/>
            <rFont val="Tahoma"/>
            <family val="2"/>
          </rPr>
          <t>Conventional: Used MY2015 Autonomie average case results (pick-up truck)
Lightweight: Argonne component sizing equations used to scale battery's for lightweight vehicles</t>
        </r>
      </text>
    </comment>
    <comment ref="A111" authorId="0" shapeId="0" xr:uid="{00000000-0006-0000-0500-000027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A119" authorId="0" shapeId="0" xr:uid="{00000000-0006-0000-0500-000028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A123" authorId="0" shapeId="0" xr:uid="{00000000-0006-0000-0500-000029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G124" authorId="0" shapeId="0" xr:uid="{00000000-0006-0000-0500-00002A000000}">
      <text>
        <r>
          <rPr>
            <sz val="9"/>
            <color indexed="81"/>
            <rFont val="Tahoma"/>
            <family val="2"/>
          </rPr>
          <t>For EV - similar reasoning on ICEV, HEV, FCV all having same lifetime.</t>
        </r>
      </text>
    </comment>
    <comment ref="H124" authorId="0" shapeId="0" xr:uid="{00000000-0006-0000-0500-00002B000000}">
      <text>
        <r>
          <rPr>
            <sz val="9"/>
            <color indexed="81"/>
            <rFont val="Tahoma"/>
            <family val="2"/>
          </rPr>
          <t>For EV - similar reasoning on ICEV, HEV, FCV all having same lifetime.</t>
        </r>
      </text>
    </comment>
    <comment ref="I124" authorId="0" shapeId="0" xr:uid="{00000000-0006-0000-0500-00002C000000}">
      <text>
        <r>
          <rPr>
            <sz val="9"/>
            <color indexed="81"/>
            <rFont val="Tahoma"/>
            <family val="2"/>
          </rPr>
          <t>For EV - similar reasoning on ICEV, HEV, FCV all having same lifetime.</t>
        </r>
      </text>
    </comment>
    <comment ref="J124" authorId="0" shapeId="0" xr:uid="{00000000-0006-0000-0500-00002D000000}">
      <text>
        <r>
          <rPr>
            <sz val="9"/>
            <color indexed="81"/>
            <rFont val="Tahoma"/>
            <family val="2"/>
          </rPr>
          <t>For EV - similar reasoning on ICEV, HEV, FCV all having same lifetime</t>
        </r>
      </text>
    </comment>
    <comment ref="A127" authorId="0" shapeId="0" xr:uid="{00000000-0006-0000-0500-00002E000000}">
      <text>
        <r>
          <rPr>
            <sz val="9"/>
            <color indexed="81"/>
            <rFont val="Tahoma"/>
            <family val="2"/>
          </rPr>
          <t xml:space="preserve">Based on Elgowainy, A., et al., 2016, Cradle-to-Grave Lifecycle Analysis of U.S. Light-Duty Vehicle-Fuel Pathways: A Greenhouse Gas Emissions and Economic Assessment of Current (2015) and Future (2025-2030) Technologies, ANL/ESD-16/7, Rev 1., Argonne National Laboratory.
</t>
        </r>
      </text>
    </comment>
    <comment ref="B175" authorId="0" shapeId="0" xr:uid="{00000000-0006-0000-0500-00002F000000}">
      <text>
        <r>
          <rPr>
            <sz val="9"/>
            <color indexed="81"/>
            <rFont val="Tahoma"/>
            <family val="2"/>
          </rPr>
          <t>Updated chassis values for steel (conv.) and aluminum (LW) tires and updated lightweight % to account for revised driveshaft values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aburnham</author>
    <author>tc={311EEC7A-0578-4A5B-9170-371DCBBB555F}</author>
    <author>tc={76C382A5-7BD2-4BB3-8E76-B9190AF47DED}</author>
    <author>tc={40F95635-5120-43D0-9921-6D0235CA9333}</author>
    <author>jhan</author>
  </authors>
  <commentList>
    <comment ref="E27" authorId="0" shapeId="0" xr:uid="{00000000-0006-0000-0600-000001000000}">
      <text>
        <r>
          <rPr>
            <sz val="8"/>
            <color indexed="81"/>
            <rFont val="Tahoma"/>
            <family val="2"/>
          </rPr>
          <t>Includes central boiler station which provides steam to other process stages</t>
        </r>
      </text>
    </comment>
    <comment ref="AI46"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Fuel ratio does not include electricity consumption</t>
      </text>
    </comment>
    <comment ref="AK46"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(LHV ratio of H2 from the mixture of H2 and NG)</t>
      </text>
    </comment>
    <comment ref="AQ46" authorId="3" shapeId="0" xr:uid="{00000000-0006-0000-0600-000004000000}">
      <text>
        <t>[Threaded comment]
Your version of Excel allows you to read this threaded comment; however, any edits to it will get removed if the file is opened in a newer version of Excel. Learn more: https://go.microsoft.com/fwlink/?linkid=870924
Comment:
    Fuel ratio does not include electricity consumption</t>
      </text>
    </comment>
    <comment ref="E70" authorId="4" shapeId="0" xr:uid="{00000000-0006-0000-0600-000005000000}">
      <text>
        <r>
          <rPr>
            <sz val="9"/>
            <color indexed="81"/>
            <rFont val="Tahoma"/>
            <family val="2"/>
          </rPr>
          <t>Products</t>
        </r>
      </text>
    </comment>
    <comment ref="E71" authorId="4" shapeId="0" xr:uid="{00000000-0006-0000-0600-000006000000}">
      <text>
        <r>
          <rPr>
            <sz val="9"/>
            <color indexed="81"/>
            <rFont val="Tahoma"/>
            <family val="2"/>
          </rPr>
          <t>Products</t>
        </r>
      </text>
    </comment>
    <comment ref="E72" authorId="4" shapeId="0" xr:uid="{00000000-0006-0000-0600-000007000000}">
      <text>
        <r>
          <rPr>
            <sz val="9"/>
            <color indexed="81"/>
            <rFont val="Tahoma"/>
            <family val="2"/>
          </rPr>
          <t>Products</t>
        </r>
      </text>
    </comment>
    <comment ref="J73" authorId="4" shapeId="0" xr:uid="{00000000-0006-0000-0600-000008000000}">
      <text>
        <r>
          <rPr>
            <sz val="9"/>
            <color indexed="81"/>
            <rFont val="Tahoma"/>
            <family val="2"/>
          </rPr>
          <t>Products</t>
        </r>
      </text>
    </comment>
    <comment ref="E74" authorId="4" shapeId="0" xr:uid="{00000000-0006-0000-0600-000009000000}">
      <text>
        <r>
          <rPr>
            <sz val="9"/>
            <color indexed="81"/>
            <rFont val="Tahoma"/>
            <family val="2"/>
          </rPr>
          <t>Products</t>
        </r>
      </text>
    </comment>
    <comment ref="E82" authorId="0" shapeId="0" xr:uid="{00000000-0006-0000-0600-00000A000000}">
      <text>
        <r>
          <rPr>
            <sz val="8"/>
            <color indexed="81"/>
            <rFont val="Tahoma"/>
            <family val="2"/>
          </rPr>
          <t>Data based on Athena, Cradle-to-gate life cycle inventory: Canadian and US Steel Production by Mill Type, 2002</t>
        </r>
      </text>
    </comment>
    <comment ref="H82" authorId="0" shapeId="0" xr:uid="{00000000-0006-0000-0600-00000B000000}">
      <text>
        <r>
          <rPr>
            <sz val="8"/>
            <color indexed="81"/>
            <rFont val="Tahoma"/>
            <family val="2"/>
          </rPr>
          <t>Data based on Athena, Cradle-to-gate life cycle inventory: Canadian and US Steel Production by Mill Type, 2002</t>
        </r>
      </text>
    </comment>
    <comment ref="J82" authorId="0" shapeId="0" xr:uid="{00000000-0006-0000-0600-00000C000000}">
      <text>
        <r>
          <rPr>
            <sz val="8"/>
            <color indexed="81"/>
            <rFont val="Tahoma"/>
            <family val="2"/>
          </rPr>
          <t>Data based on Athena, Cradle-to-gate life cycle inventory: Canadian and US Steel Production by Mill Type, 2002</t>
        </r>
      </text>
    </comment>
    <comment ref="L82" authorId="0" shapeId="0" xr:uid="{00000000-0006-0000-0600-00000D000000}">
      <text>
        <r>
          <rPr>
            <sz val="8"/>
            <color indexed="81"/>
            <rFont val="Tahoma"/>
            <family val="2"/>
          </rPr>
          <t>Data based on Athena, Cradle-to-gate life cycle inventory: Canadian and US Steel Production by Mill Type, 2002</t>
        </r>
      </text>
    </comment>
    <comment ref="Z82" authorId="0" shapeId="0" xr:uid="{00000000-0006-0000-0600-00000E000000}">
      <text>
        <r>
          <rPr>
            <sz val="8"/>
            <color indexed="81"/>
            <rFont val="Tahoma"/>
            <family val="2"/>
          </rPr>
          <t>Data based on Athena, Cradle-to-gate life cycle inventory: Canadian and US Steel Production by Mill Type, 2002</t>
        </r>
      </text>
    </comment>
    <comment ref="E83" authorId="0" shapeId="0" xr:uid="{00000000-0006-0000-0600-00000F000000}">
      <text>
        <r>
          <rPr>
            <sz val="8"/>
            <color indexed="81"/>
            <rFont val="Tahoma"/>
            <family val="2"/>
          </rPr>
          <t>Data based on Athena, Cradle-to-gate life cycle inventory: Canadian and US Steel Production by Mill Type, 2002</t>
        </r>
      </text>
    </comment>
    <comment ref="H83" authorId="0" shapeId="0" xr:uid="{00000000-0006-0000-0600-000010000000}">
      <text>
        <r>
          <rPr>
            <sz val="8"/>
            <color indexed="81"/>
            <rFont val="Tahoma"/>
            <family val="2"/>
          </rPr>
          <t>Data based on Athena, Cradle-to-gate life cycle inventory: Canadian and US Steel Production by Mill Type, 2002</t>
        </r>
      </text>
    </comment>
    <comment ref="J83" authorId="0" shapeId="0" xr:uid="{00000000-0006-0000-0600-000011000000}">
      <text>
        <r>
          <rPr>
            <sz val="8"/>
            <color indexed="81"/>
            <rFont val="Tahoma"/>
            <family val="2"/>
          </rPr>
          <t>Data based on Athena, Cradle-to-gate life cycle inventory: Canadian and US Steel Production by Mill Type, 2002</t>
        </r>
      </text>
    </comment>
    <comment ref="L83" authorId="0" shapeId="0" xr:uid="{00000000-0006-0000-0600-000012000000}">
      <text>
        <r>
          <rPr>
            <sz val="8"/>
            <color indexed="81"/>
            <rFont val="Tahoma"/>
            <family val="2"/>
          </rPr>
          <t>Data based on Athena, Cradle-to-gate life cycle inventory: Canadian and US Steel Production by Mill Type, 2002</t>
        </r>
      </text>
    </comment>
    <comment ref="Z83" authorId="0" shapeId="0" xr:uid="{00000000-0006-0000-0600-000013000000}">
      <text>
        <r>
          <rPr>
            <sz val="8"/>
            <color indexed="81"/>
            <rFont val="Tahoma"/>
            <family val="2"/>
          </rPr>
          <t>Data based on Athena, Cradle-to-gate life cycle inventory: Canadian and US Steel Production by Mill Type, 2002</t>
        </r>
      </text>
    </comment>
    <comment ref="E84" authorId="0" shapeId="0" xr:uid="{00000000-0006-0000-0600-000014000000}">
      <text>
        <r>
          <rPr>
            <sz val="8"/>
            <color indexed="81"/>
            <rFont val="Tahoma"/>
            <family val="2"/>
          </rPr>
          <t>Data based on Athena, Cradle-to-gate life cycle inventory: Canadian and US Steel Production by Mill Type, 2002</t>
        </r>
      </text>
    </comment>
    <comment ref="H84" authorId="0" shapeId="0" xr:uid="{00000000-0006-0000-0600-000015000000}">
      <text>
        <r>
          <rPr>
            <sz val="8"/>
            <color indexed="81"/>
            <rFont val="Tahoma"/>
            <family val="2"/>
          </rPr>
          <t>Data based on Athena, Cradle-to-gate life cycle inventory: Canadian and US Steel Production by Mill Type, 2002</t>
        </r>
      </text>
    </comment>
    <comment ref="J84" authorId="0" shapeId="0" xr:uid="{00000000-0006-0000-0600-000016000000}">
      <text>
        <r>
          <rPr>
            <sz val="8"/>
            <color indexed="81"/>
            <rFont val="Tahoma"/>
            <family val="2"/>
          </rPr>
          <t>Data based on Athena, Cradle-to-gate life cycle inventory: Canadian and US Steel Production by Mill Type, 2002</t>
        </r>
      </text>
    </comment>
    <comment ref="L84" authorId="0" shapeId="0" xr:uid="{00000000-0006-0000-0600-000017000000}">
      <text>
        <r>
          <rPr>
            <sz val="8"/>
            <color indexed="81"/>
            <rFont val="Tahoma"/>
            <family val="2"/>
          </rPr>
          <t>Data based on Athena, Cradle-to-gate life cycle inventory: Canadian and US Steel Production by Mill Type, 2002</t>
        </r>
      </text>
    </comment>
    <comment ref="Z84" authorId="0" shapeId="0" xr:uid="{00000000-0006-0000-0600-000018000000}">
      <text>
        <r>
          <rPr>
            <sz val="8"/>
            <color indexed="81"/>
            <rFont val="Tahoma"/>
            <family val="2"/>
          </rPr>
          <t>Data based on Athena, Cradle-to-gate life cycle inventory: Canadian and US Steel Production by Mill Type, 2002</t>
        </r>
      </text>
    </comment>
    <comment ref="E85" authorId="0" shapeId="0" xr:uid="{00000000-0006-0000-0600-000019000000}">
      <text>
        <r>
          <rPr>
            <sz val="8"/>
            <color indexed="81"/>
            <rFont val="Tahoma"/>
            <family val="2"/>
          </rPr>
          <t>Data based on Athena, Cradle-to-gate life cycle inventory: Canadian and US Steel Production by Mill Type, 2002</t>
        </r>
      </text>
    </comment>
    <comment ref="H85" authorId="0" shapeId="0" xr:uid="{00000000-0006-0000-0600-00001A000000}">
      <text>
        <r>
          <rPr>
            <sz val="8"/>
            <color indexed="81"/>
            <rFont val="Tahoma"/>
            <family val="2"/>
          </rPr>
          <t>Data based on Athena, Cradle-to-gate life cycle inventory: Canadian and US Steel Production by Mill Type, 2002</t>
        </r>
      </text>
    </comment>
    <comment ref="J85" authorId="0" shapeId="0" xr:uid="{00000000-0006-0000-0600-00001B000000}">
      <text>
        <r>
          <rPr>
            <sz val="8"/>
            <color indexed="81"/>
            <rFont val="Tahoma"/>
            <family val="2"/>
          </rPr>
          <t>Data based on Athena, Cradle-to-gate life cycle inventory: Canadian and US Steel Production by Mill Type, 2002</t>
        </r>
      </text>
    </comment>
    <comment ref="L85" authorId="0" shapeId="0" xr:uid="{00000000-0006-0000-0600-00001C000000}">
      <text>
        <r>
          <rPr>
            <sz val="8"/>
            <color indexed="81"/>
            <rFont val="Tahoma"/>
            <family val="2"/>
          </rPr>
          <t>Data based on Athena, Cradle-to-gate life cycle inventory: Canadian and US Steel Production by Mill Type, 2002</t>
        </r>
      </text>
    </comment>
    <comment ref="Z85" authorId="0" shapeId="0" xr:uid="{00000000-0006-0000-0600-00001D000000}">
      <text>
        <r>
          <rPr>
            <sz val="8"/>
            <color indexed="81"/>
            <rFont val="Tahoma"/>
            <family val="2"/>
          </rPr>
          <t>Data based on Athena, Cradle-to-gate life cycle inventory: Canadian and US Steel Production by Mill Type, 2002</t>
        </r>
      </text>
    </comment>
    <comment ref="E87" authorId="0" shapeId="0" xr:uid="{00000000-0006-0000-0600-00001E000000}">
      <text>
        <r>
          <rPr>
            <sz val="8"/>
            <color indexed="81"/>
            <rFont val="Tahoma"/>
            <family val="2"/>
          </rPr>
          <t>Data based on Athena, Cradle-to-gate life cycle inventory: Canadian and US Steel Production by Mill Type, 2002</t>
        </r>
      </text>
    </comment>
    <comment ref="H87" authorId="0" shapeId="0" xr:uid="{00000000-0006-0000-0600-00001F000000}">
      <text>
        <r>
          <rPr>
            <sz val="8"/>
            <color indexed="81"/>
            <rFont val="Tahoma"/>
            <family val="2"/>
          </rPr>
          <t>Data based on Athena, Cradle-to-gate life cycle inventory: Canadian and US Steel Production by Mill Type, 2002</t>
        </r>
      </text>
    </comment>
    <comment ref="J87" authorId="0" shapeId="0" xr:uid="{00000000-0006-0000-0600-000020000000}">
      <text>
        <r>
          <rPr>
            <sz val="8"/>
            <color indexed="81"/>
            <rFont val="Tahoma"/>
            <family val="2"/>
          </rPr>
          <t>Data based on Athena, Cradle-to-gate life cycle inventory: Canadian and US Steel Production by Mill Type, 2002</t>
        </r>
      </text>
    </comment>
    <comment ref="Z87" authorId="0" shapeId="0" xr:uid="{00000000-0006-0000-0600-000021000000}">
      <text>
        <r>
          <rPr>
            <sz val="8"/>
            <color indexed="81"/>
            <rFont val="Tahoma"/>
            <family val="2"/>
          </rPr>
          <t>Data based on Athena, Cradle-to-gate life cycle inventory: Canadian and US Steel Production by Mill Type, 2002</t>
        </r>
      </text>
    </comment>
    <comment ref="Z90" authorId="0" shapeId="0" xr:uid="{00000000-0006-0000-0600-000022000000}">
      <text>
        <r>
          <rPr>
            <sz val="8"/>
            <color indexed="81"/>
            <rFont val="Tahoma"/>
            <family val="2"/>
          </rPr>
          <t>Data based on Athena, Cradle-to-gate life cycle inventory: Canadian and US Steel Production by Mill Type, 2002</t>
        </r>
      </text>
    </comment>
    <comment ref="H92" authorId="0" shapeId="0" xr:uid="{00000000-0006-0000-0600-000023000000}">
      <text>
        <r>
          <rPr>
            <sz val="8"/>
            <color indexed="81"/>
            <rFont val="Tahoma"/>
            <family val="2"/>
          </rPr>
          <t>Data based on Athena, Cradle-to-gate life cycle inventory: Canadian and US Steel Production by Mill Type, 2002</t>
        </r>
      </text>
    </comment>
    <comment ref="J92" authorId="0" shapeId="0" xr:uid="{00000000-0006-0000-0600-000024000000}">
      <text>
        <r>
          <rPr>
            <sz val="8"/>
            <color indexed="81"/>
            <rFont val="Tahoma"/>
            <family val="2"/>
          </rPr>
          <t>Data based on Athena, Cradle-to-gate life cycle inventory: Canadian and US Steel Production by Mill Type, 2002</t>
        </r>
      </text>
    </comment>
    <comment ref="Z92" authorId="0" shapeId="0" xr:uid="{00000000-0006-0000-0600-000025000000}">
      <text>
        <r>
          <rPr>
            <sz val="8"/>
            <color indexed="81"/>
            <rFont val="Tahoma"/>
            <family val="2"/>
          </rPr>
          <t>Data based on Athena, Cradle-to-gate life cycle inventory: Canadian and US Steel Production by Mill Type, 2002</t>
        </r>
      </text>
    </comment>
    <comment ref="B105" authorId="4" shapeId="0" xr:uid="{00000000-0006-0000-0600-000026000000}">
      <text>
        <r>
          <rPr>
            <sz val="9"/>
            <color indexed="81"/>
            <rFont val="Tahoma"/>
            <family val="2"/>
          </rPr>
          <t>Coke LHV: 25.674 mmBtu/ton
Energy Allocation among Coke, Tar, Benzole and Coke Oven Gas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Kelly, Jarod Cory</author>
    <author>Jeongwoo Han</author>
    <author>aburnham</author>
  </authors>
  <commentList>
    <comment ref="A25" authorId="0" shapeId="0" xr:uid="{00000000-0006-0000-0800-000001000000}">
      <text>
        <r>
          <rPr>
            <sz val="9"/>
            <color indexed="81"/>
            <rFont val="Tahoma"/>
            <family val="2"/>
          </rPr>
          <t xml:space="preserve">
100% wind</t>
        </r>
      </text>
    </comment>
    <comment ref="N83" authorId="1" shapeId="0" xr:uid="{00000000-0006-0000-0800-00000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P83" authorId="1" shapeId="0" xr:uid="{00000000-0006-0000-0800-00000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R83" authorId="1" shapeId="0" xr:uid="{00000000-0006-0000-0800-00000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V83" authorId="1" shapeId="0" xr:uid="{00000000-0006-0000-0800-00000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L84" authorId="1" shapeId="0" xr:uid="{00000000-0006-0000-0800-00000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N84" authorId="1" shapeId="0" xr:uid="{00000000-0006-0000-0800-00000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P84" authorId="1" shapeId="0" xr:uid="{00000000-0006-0000-0800-00000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R84" authorId="1" shapeId="0" xr:uid="{00000000-0006-0000-0800-00000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F85" authorId="1" shapeId="0" xr:uid="{00000000-0006-0000-0800-00000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F86" authorId="1" shapeId="0" xr:uid="{00000000-0006-0000-0800-00000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H86" authorId="1" shapeId="0" xr:uid="{00000000-0006-0000-0800-00000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F87" authorId="1" shapeId="0" xr:uid="{00000000-0006-0000-0800-00000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H87" authorId="1" shapeId="0" xr:uid="{00000000-0006-0000-0800-00000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N87" authorId="1" shapeId="0" xr:uid="{00000000-0006-0000-0800-00000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P87" authorId="1" shapeId="0" xr:uid="{00000000-0006-0000-0800-00001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R87" authorId="1" shapeId="0" xr:uid="{00000000-0006-0000-0800-00001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V87" authorId="1" shapeId="0" xr:uid="{00000000-0006-0000-0800-00001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N88" authorId="1" shapeId="0" xr:uid="{00000000-0006-0000-0800-00001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C94" authorId="1" shapeId="0" xr:uid="{00000000-0006-0000-0800-00001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94" authorId="1" shapeId="0" xr:uid="{00000000-0006-0000-0800-00001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94" authorId="1" shapeId="0" xr:uid="{00000000-0006-0000-0800-00001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94" authorId="1" shapeId="0" xr:uid="{00000000-0006-0000-0800-00001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94" authorId="1" shapeId="0" xr:uid="{00000000-0006-0000-0800-00001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M94" authorId="1" shapeId="0" xr:uid="{00000000-0006-0000-0800-00001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4" authorId="1" shapeId="0" xr:uid="{00000000-0006-0000-0800-00001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Q94" authorId="1" shapeId="0" xr:uid="{00000000-0006-0000-0800-00001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S94" authorId="1" shapeId="0" xr:uid="{00000000-0006-0000-0800-00001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W94" authorId="1" shapeId="0" xr:uid="{00000000-0006-0000-0800-00001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6" authorId="1" shapeId="0" xr:uid="{00000000-0006-0000-0800-00001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Q96" authorId="1" shapeId="0" xr:uid="{00000000-0006-0000-0800-00001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S96" authorId="1" shapeId="0" xr:uid="{00000000-0006-0000-0800-00002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W96" authorId="1" shapeId="0" xr:uid="{00000000-0006-0000-0800-00002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S97" authorId="1" shapeId="0" xr:uid="{00000000-0006-0000-0800-00002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98" authorId="1" shapeId="0" xr:uid="{00000000-0006-0000-0800-00002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98" authorId="1" shapeId="0" xr:uid="{00000000-0006-0000-0800-00002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98" authorId="1" shapeId="0" xr:uid="{00000000-0006-0000-0800-00002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98" authorId="1" shapeId="0" xr:uid="{00000000-0006-0000-0800-00002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8" authorId="1" shapeId="0" xr:uid="{00000000-0006-0000-0800-00002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Q98" authorId="1" shapeId="0" xr:uid="{00000000-0006-0000-0800-00002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C99" authorId="1" shapeId="0" xr:uid="{00000000-0006-0000-0800-00002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99" authorId="1" shapeId="0" xr:uid="{00000000-0006-0000-0800-00002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99" authorId="1" shapeId="0" xr:uid="{00000000-0006-0000-0800-00002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99" authorId="1" shapeId="0" xr:uid="{00000000-0006-0000-0800-00002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99" authorId="1" shapeId="0" xr:uid="{00000000-0006-0000-0800-00002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9" authorId="1" shapeId="0" xr:uid="{00000000-0006-0000-0800-00002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Q99" authorId="1" shapeId="0" xr:uid="{00000000-0006-0000-0800-00002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S99" authorId="1" shapeId="0" xr:uid="{00000000-0006-0000-0800-00003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C100" authorId="1" shapeId="0" xr:uid="{00000000-0006-0000-0800-00003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100" authorId="1" shapeId="0" xr:uid="{00000000-0006-0000-0800-00003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100" authorId="1" shapeId="0" xr:uid="{00000000-0006-0000-0800-00003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100" authorId="1" shapeId="0" xr:uid="{00000000-0006-0000-0800-00003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100" authorId="1" shapeId="0" xr:uid="{00000000-0006-0000-0800-00003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100" authorId="1" shapeId="0" xr:uid="{00000000-0006-0000-0800-00003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Q100" authorId="1" shapeId="0" xr:uid="{00000000-0006-0000-0800-00003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S100" authorId="1" shapeId="0" xr:uid="{00000000-0006-0000-0800-00003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101" authorId="1" shapeId="0" xr:uid="{00000000-0006-0000-0800-00003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101" authorId="1" shapeId="0" xr:uid="{00000000-0006-0000-0800-00003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101" authorId="1" shapeId="0" xr:uid="{00000000-0006-0000-0800-00003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101" authorId="1" shapeId="0" xr:uid="{00000000-0006-0000-0800-00003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101" authorId="1" shapeId="0" xr:uid="{00000000-0006-0000-0800-00003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Q101" authorId="1" shapeId="0" xr:uid="{00000000-0006-0000-0800-00003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W101" authorId="1" shapeId="0" xr:uid="{00000000-0006-0000-0800-00003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104" authorId="1" shapeId="0" xr:uid="{00000000-0006-0000-0800-00004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S104" authorId="1" shapeId="0" xr:uid="{00000000-0006-0000-0800-00004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105" authorId="1" shapeId="0" xr:uid="{00000000-0006-0000-0800-00004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S105" authorId="1" shapeId="0" xr:uid="{00000000-0006-0000-0800-00004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106" authorId="1" shapeId="0" xr:uid="{00000000-0006-0000-0800-00004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107" authorId="1" shapeId="0" xr:uid="{00000000-0006-0000-0800-00004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108" authorId="1" shapeId="0" xr:uid="{00000000-0006-0000-0800-00004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108" authorId="1" shapeId="0" xr:uid="{00000000-0006-0000-0800-00004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108" authorId="1" shapeId="0" xr:uid="{00000000-0006-0000-0800-00004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W121" authorId="1" shapeId="0" xr:uid="{00000000-0006-0000-0800-000049000000}">
      <text>
        <r>
          <rPr>
            <sz val="9"/>
            <color indexed="81"/>
            <rFont val="Tahoma"/>
            <family val="2"/>
          </rPr>
          <t>1.9154 ton Al2O3/ton Al</t>
        </r>
      </text>
    </comment>
    <comment ref="A147" authorId="2" shapeId="0" xr:uid="{00000000-0006-0000-0800-00004A000000}">
      <text>
        <r>
          <rPr>
            <sz val="8"/>
            <color indexed="81"/>
            <rFont val="Tahoma"/>
            <family val="2"/>
          </rPr>
          <t>GHG calculations for aluminum include CF4 and C2F6.</t>
        </r>
      </text>
    </comment>
    <comment ref="C147" authorId="2" shapeId="0" xr:uid="{00000000-0006-0000-0800-00004B000000}">
      <text>
        <r>
          <rPr>
            <sz val="8"/>
            <color indexed="81"/>
            <rFont val="Tahoma"/>
            <family val="2"/>
          </rPr>
          <t>In this cell the GHG calculation includes CF4 and C2F6.</t>
        </r>
      </text>
    </comment>
    <comment ref="D147" authorId="2" shapeId="0" xr:uid="{00000000-0006-0000-0800-00004C000000}">
      <text>
        <r>
          <rPr>
            <sz val="8"/>
            <color indexed="81"/>
            <rFont val="Tahoma"/>
            <family val="2"/>
          </rPr>
          <t>In this cell the GHG calculation includes CF4 and C2F6.</t>
        </r>
      </text>
    </comment>
    <comment ref="E147" authorId="2" shapeId="0" xr:uid="{00000000-0006-0000-0800-00004D000000}">
      <text>
        <r>
          <rPr>
            <sz val="8"/>
            <color indexed="81"/>
            <rFont val="Tahoma"/>
            <family val="2"/>
          </rPr>
          <t>In this cell the GHG calculation includes CF4 and C2F6.</t>
        </r>
      </text>
    </comment>
    <comment ref="F147" authorId="2" shapeId="0" xr:uid="{00000000-0006-0000-0800-00004E000000}">
      <text>
        <r>
          <rPr>
            <sz val="8"/>
            <color indexed="81"/>
            <rFont val="Tahoma"/>
            <family val="2"/>
          </rPr>
          <t>In this cell the GHG calculation includes CF4 and C2F6.</t>
        </r>
      </text>
    </comment>
    <comment ref="G147" authorId="2" shapeId="0" xr:uid="{00000000-0006-0000-0800-00004F000000}">
      <text>
        <r>
          <rPr>
            <sz val="8"/>
            <color indexed="81"/>
            <rFont val="Tahoma"/>
            <family val="2"/>
          </rPr>
          <t>In this cell the GHG calculation includes CF4 and C2F6.</t>
        </r>
      </text>
    </comment>
    <comment ref="H147" authorId="2" shapeId="0" xr:uid="{00000000-0006-0000-0800-000050000000}">
      <text>
        <r>
          <rPr>
            <sz val="8"/>
            <color indexed="81"/>
            <rFont val="Tahoma"/>
            <family val="2"/>
          </rPr>
          <t>In this cell the GHG calculation includes CF4 and C2F6.</t>
        </r>
      </text>
    </comment>
    <comment ref="I147" authorId="2" shapeId="0" xr:uid="{00000000-0006-0000-0800-000051000000}">
      <text>
        <r>
          <rPr>
            <sz val="8"/>
            <color indexed="81"/>
            <rFont val="Tahoma"/>
            <family val="2"/>
          </rPr>
          <t>In this cell the GHG calculation includes CF4 and C2F6.</t>
        </r>
      </text>
    </comment>
    <comment ref="J147" authorId="2" shapeId="0" xr:uid="{00000000-0006-0000-0800-000052000000}">
      <text>
        <r>
          <rPr>
            <sz val="8"/>
            <color indexed="81"/>
            <rFont val="Tahoma"/>
            <family val="2"/>
          </rPr>
          <t>In this cell the GHG calculation includes CF4 and C2F6.</t>
        </r>
      </text>
    </comment>
    <comment ref="K147" authorId="2" shapeId="0" xr:uid="{00000000-0006-0000-0800-000053000000}">
      <text>
        <r>
          <rPr>
            <sz val="8"/>
            <color indexed="81"/>
            <rFont val="Tahoma"/>
            <family val="2"/>
          </rPr>
          <t>In this cell the GHG calculation includes CF4 and C2F6.</t>
        </r>
      </text>
    </comment>
    <comment ref="L147" authorId="2" shapeId="0" xr:uid="{00000000-0006-0000-0800-000054000000}">
      <text>
        <r>
          <rPr>
            <sz val="8"/>
            <color indexed="81"/>
            <rFont val="Tahoma"/>
            <family val="2"/>
          </rPr>
          <t>In this cell the GHG calculation includes CF4 and C2F6.</t>
        </r>
      </text>
    </comment>
    <comment ref="M147" authorId="2" shapeId="0" xr:uid="{00000000-0006-0000-0800-000055000000}">
      <text>
        <r>
          <rPr>
            <sz val="8"/>
            <color indexed="81"/>
            <rFont val="Tahoma"/>
            <family val="2"/>
          </rPr>
          <t>In this cell the GHG calculation includes CF4 and C2F6.</t>
        </r>
      </text>
    </comment>
    <comment ref="N147" authorId="2" shapeId="0" xr:uid="{00000000-0006-0000-0800-000056000000}">
      <text>
        <r>
          <rPr>
            <sz val="8"/>
            <color indexed="81"/>
            <rFont val="Tahoma"/>
            <family val="2"/>
          </rPr>
          <t>In this cell the GHG calculation includes CF4 and C2F6.</t>
        </r>
      </text>
    </comment>
    <comment ref="O147" authorId="2" shapeId="0" xr:uid="{00000000-0006-0000-0800-000057000000}">
      <text>
        <r>
          <rPr>
            <sz val="8"/>
            <color indexed="81"/>
            <rFont val="Tahoma"/>
            <family val="2"/>
          </rPr>
          <t>In this cell the GHG calculation includes CF4 and C2F6.</t>
        </r>
      </text>
    </comment>
    <comment ref="P147" authorId="2" shapeId="0" xr:uid="{00000000-0006-0000-0800-000058000000}">
      <text>
        <r>
          <rPr>
            <sz val="8"/>
            <color indexed="81"/>
            <rFont val="Tahoma"/>
            <family val="2"/>
          </rPr>
          <t>In this cell the GHG calculation includes CF4 and C2F6.</t>
        </r>
      </text>
    </comment>
    <comment ref="Q147" authorId="2" shapeId="0" xr:uid="{00000000-0006-0000-0800-000059000000}">
      <text>
        <r>
          <rPr>
            <sz val="8"/>
            <color indexed="81"/>
            <rFont val="Tahoma"/>
            <family val="2"/>
          </rPr>
          <t>In this cell the GHG calculation includes CF4 and C2F6.</t>
        </r>
      </text>
    </comment>
    <comment ref="R147" authorId="2" shapeId="0" xr:uid="{00000000-0006-0000-0800-00005A000000}">
      <text>
        <r>
          <rPr>
            <sz val="8"/>
            <color indexed="81"/>
            <rFont val="Tahoma"/>
            <family val="2"/>
          </rPr>
          <t>In this cell the GHG calculation includes CF4 and C2F6.</t>
        </r>
      </text>
    </comment>
    <comment ref="S147" authorId="2" shapeId="0" xr:uid="{00000000-0006-0000-0800-00005B000000}">
      <text>
        <r>
          <rPr>
            <sz val="8"/>
            <color indexed="81"/>
            <rFont val="Tahoma"/>
            <family val="2"/>
          </rPr>
          <t>In this cell the GHG calculation includes CF4 and C2F6.</t>
        </r>
      </text>
    </comment>
    <comment ref="T147" authorId="2" shapeId="0" xr:uid="{00000000-0006-0000-0800-00005C000000}">
      <text>
        <r>
          <rPr>
            <sz val="8"/>
            <color indexed="81"/>
            <rFont val="Tahoma"/>
            <family val="2"/>
          </rPr>
          <t>In this cell the GHG calculation includes CF4 and C2F6.</t>
        </r>
      </text>
    </comment>
    <comment ref="U147" authorId="2" shapeId="0" xr:uid="{00000000-0006-0000-0800-00005D000000}">
      <text>
        <r>
          <rPr>
            <sz val="8"/>
            <color indexed="81"/>
            <rFont val="Tahoma"/>
            <family val="2"/>
          </rPr>
          <t>In this cell the GHG calculation includes CF4 and C2F6.</t>
        </r>
      </text>
    </comment>
    <comment ref="V147" authorId="2" shapeId="0" xr:uid="{00000000-0006-0000-0800-00005E000000}">
      <text>
        <r>
          <rPr>
            <sz val="8"/>
            <color indexed="81"/>
            <rFont val="Tahoma"/>
            <family val="2"/>
          </rPr>
          <t>In this cell the GHG calculation includes CF4 and C2F6.</t>
        </r>
      </text>
    </comment>
    <comment ref="X147" authorId="2" shapeId="0" xr:uid="{00000000-0006-0000-0800-00005F000000}">
      <text>
        <r>
          <rPr>
            <sz val="8"/>
            <color indexed="81"/>
            <rFont val="Tahoma"/>
            <family val="2"/>
          </rPr>
          <t>In this cell the GHG calculation includes CF4 and C2F6.</t>
        </r>
      </text>
    </comment>
    <comment ref="A185" authorId="2" shapeId="0" xr:uid="{00000000-0006-0000-0800-000060000000}">
      <text>
        <r>
          <rPr>
            <sz val="8"/>
            <color indexed="81"/>
            <rFont val="Tahoma"/>
            <family val="2"/>
          </rPr>
          <t>GHG calculations for aluminum include CF4 and C2F6.</t>
        </r>
      </text>
    </comment>
    <comment ref="B185" authorId="2" shapeId="0" xr:uid="{00000000-0006-0000-0800-000061000000}">
      <text>
        <r>
          <rPr>
            <sz val="8"/>
            <color indexed="81"/>
            <rFont val="Tahoma"/>
            <family val="2"/>
          </rPr>
          <t>In this cell the GHG calculation includes CF4 and C2F6.</t>
        </r>
      </text>
    </comment>
    <comment ref="C185" authorId="2" shapeId="0" xr:uid="{00000000-0006-0000-0800-000062000000}">
      <text>
        <r>
          <rPr>
            <sz val="8"/>
            <color indexed="81"/>
            <rFont val="Tahoma"/>
            <family val="2"/>
          </rPr>
          <t>In this cell the GHG calculation includes CF4 and C2F6.</t>
        </r>
      </text>
    </comment>
    <comment ref="D185" authorId="2" shapeId="0" xr:uid="{00000000-0006-0000-0800-000063000000}">
      <text>
        <r>
          <rPr>
            <sz val="8"/>
            <color indexed="81"/>
            <rFont val="Tahoma"/>
            <family val="2"/>
          </rPr>
          <t>In this cell the GHG calculation includes CF4 and C2F6.</t>
        </r>
      </text>
    </comment>
    <comment ref="E185" authorId="2" shapeId="0" xr:uid="{00000000-0006-0000-0800-000064000000}">
      <text>
        <r>
          <rPr>
            <sz val="8"/>
            <color indexed="81"/>
            <rFont val="Tahoma"/>
            <family val="2"/>
          </rPr>
          <t>In this cell the GHG calculation includes CF4 and C2F6.</t>
        </r>
      </text>
    </comment>
    <comment ref="F185" authorId="2" shapeId="0" xr:uid="{00000000-0006-0000-0800-000065000000}">
      <text>
        <r>
          <rPr>
            <sz val="8"/>
            <color indexed="81"/>
            <rFont val="Tahoma"/>
            <family val="2"/>
          </rPr>
          <t>In this cell the GHG calculation includes CF4 and C2F6.</t>
        </r>
      </text>
    </comment>
    <comment ref="G185" authorId="2" shapeId="0" xr:uid="{00000000-0006-0000-0800-000066000000}">
      <text>
        <r>
          <rPr>
            <sz val="8"/>
            <color indexed="81"/>
            <rFont val="Tahoma"/>
            <family val="2"/>
          </rPr>
          <t>In this cell the GHG calculation includes CF4 and C2F6.</t>
        </r>
      </text>
    </comment>
    <comment ref="H185" authorId="2" shapeId="0" xr:uid="{00000000-0006-0000-0800-000067000000}">
      <text>
        <r>
          <rPr>
            <sz val="8"/>
            <color indexed="81"/>
            <rFont val="Tahoma"/>
            <family val="2"/>
          </rPr>
          <t>In this cell the GHG calculation includes CF4 and C2F6.</t>
        </r>
      </text>
    </comment>
    <comment ref="I185" authorId="2" shapeId="0" xr:uid="{00000000-0006-0000-0800-000068000000}">
      <text>
        <r>
          <rPr>
            <sz val="8"/>
            <color indexed="81"/>
            <rFont val="Tahoma"/>
            <family val="2"/>
          </rPr>
          <t>In this cell the GHG calculation includes CF4 and C2F6.</t>
        </r>
      </text>
    </comment>
    <comment ref="J185" authorId="2" shapeId="0" xr:uid="{00000000-0006-0000-0800-000069000000}">
      <text>
        <r>
          <rPr>
            <sz val="8"/>
            <color indexed="81"/>
            <rFont val="Tahoma"/>
            <family val="2"/>
          </rPr>
          <t>In this cell the GHG calculation includes CF4 and C2F6.</t>
        </r>
      </text>
    </comment>
    <comment ref="K185" authorId="2" shapeId="0" xr:uid="{00000000-0006-0000-0800-00006A000000}">
      <text>
        <r>
          <rPr>
            <sz val="8"/>
            <color indexed="81"/>
            <rFont val="Tahoma"/>
            <family val="2"/>
          </rPr>
          <t>In this cell the GHG calculation includes CF4 and C2F6.</t>
        </r>
      </text>
    </comment>
    <comment ref="L185" authorId="2" shapeId="0" xr:uid="{00000000-0006-0000-0800-00006B000000}">
      <text>
        <r>
          <rPr>
            <sz val="8"/>
            <color indexed="81"/>
            <rFont val="Tahoma"/>
            <family val="2"/>
          </rPr>
          <t>In this cell the GHG calculation includes CF4 and C2F6.</t>
        </r>
      </text>
    </comment>
    <comment ref="M185" authorId="2" shapeId="0" xr:uid="{00000000-0006-0000-0800-00006C000000}">
      <text>
        <r>
          <rPr>
            <sz val="8"/>
            <color indexed="81"/>
            <rFont val="Tahoma"/>
            <family val="2"/>
          </rPr>
          <t>In this cell the GHG calculation includes CF4 and C2F6.</t>
        </r>
      </text>
    </comment>
    <comment ref="N185" authorId="2" shapeId="0" xr:uid="{00000000-0006-0000-0800-00006D000000}">
      <text>
        <r>
          <rPr>
            <sz val="8"/>
            <color indexed="81"/>
            <rFont val="Tahoma"/>
            <family val="2"/>
          </rPr>
          <t>In this cell the GHG calculation includes CF4 and C2F6.</t>
        </r>
      </text>
    </comment>
    <comment ref="O185" authorId="2" shapeId="0" xr:uid="{00000000-0006-0000-0800-00006E000000}">
      <text>
        <r>
          <rPr>
            <sz val="8"/>
            <color indexed="81"/>
            <rFont val="Tahoma"/>
            <family val="2"/>
          </rPr>
          <t>In this cell the GHG calculation includes CF4 and C2F6.</t>
        </r>
      </text>
    </comment>
    <comment ref="P185" authorId="2" shapeId="0" xr:uid="{00000000-0006-0000-0800-00006F000000}">
      <text>
        <r>
          <rPr>
            <sz val="8"/>
            <color indexed="81"/>
            <rFont val="Tahoma"/>
            <family val="2"/>
          </rPr>
          <t>In this cell the GHG calculation includes CF4 and C2F6.</t>
        </r>
      </text>
    </comment>
    <comment ref="Q185" authorId="2" shapeId="0" xr:uid="{00000000-0006-0000-0800-000070000000}">
      <text>
        <r>
          <rPr>
            <sz val="8"/>
            <color indexed="81"/>
            <rFont val="Tahoma"/>
            <family val="2"/>
          </rPr>
          <t>In this cell the GHG calculation includes CF4 and C2F6.</t>
        </r>
      </text>
    </comment>
    <comment ref="R185" authorId="2" shapeId="0" xr:uid="{00000000-0006-0000-0800-000071000000}">
      <text>
        <r>
          <rPr>
            <sz val="8"/>
            <color indexed="81"/>
            <rFont val="Tahoma"/>
            <family val="2"/>
          </rPr>
          <t>In this cell the GHG calculation includes CF4 and C2F6.</t>
        </r>
      </text>
    </comment>
    <comment ref="S185" authorId="2" shapeId="0" xr:uid="{00000000-0006-0000-0800-000072000000}">
      <text>
        <r>
          <rPr>
            <sz val="8"/>
            <color indexed="81"/>
            <rFont val="Tahoma"/>
            <family val="2"/>
          </rPr>
          <t>In this cell the GHG calculation includes CF4 and C2F6.</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Microsoft Office User</author>
    <author>Jeongwoo Han</author>
    <author>aburnham</author>
  </authors>
  <commentList>
    <comment ref="A16" authorId="0" shapeId="0" xr:uid="{00000000-0006-0000-0900-000001000000}">
      <text>
        <r>
          <rPr>
            <b/>
            <sz val="10"/>
            <color indexed="81"/>
            <rFont val="Calibri"/>
            <family val="2"/>
          </rPr>
          <t>Microsoft Office User:</t>
        </r>
        <r>
          <rPr>
            <sz val="10"/>
            <color indexed="81"/>
            <rFont val="Calibri"/>
            <family val="2"/>
          </rPr>
          <t xml:space="preserve">
100% hydro</t>
        </r>
      </text>
    </comment>
    <comment ref="C85" authorId="1" shapeId="0" xr:uid="{00000000-0006-0000-0900-00000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85" authorId="1" shapeId="0" xr:uid="{00000000-0006-0000-0900-00000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85" authorId="1" shapeId="0" xr:uid="{00000000-0006-0000-0900-00000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85" authorId="1" shapeId="0" xr:uid="{00000000-0006-0000-0900-00000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85" authorId="1" shapeId="0" xr:uid="{00000000-0006-0000-0900-00000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M85" authorId="1" shapeId="0" xr:uid="{00000000-0006-0000-0900-00000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85" authorId="1" shapeId="0" xr:uid="{00000000-0006-0000-0900-00000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87" authorId="1" shapeId="0" xr:uid="{00000000-0006-0000-0900-00000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89" authorId="1" shapeId="0" xr:uid="{00000000-0006-0000-0900-00000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89" authorId="1" shapeId="0" xr:uid="{00000000-0006-0000-0900-00000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89" authorId="1" shapeId="0" xr:uid="{00000000-0006-0000-0900-00000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89" authorId="1" shapeId="0" xr:uid="{00000000-0006-0000-0900-00000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89" authorId="1" shapeId="0" xr:uid="{00000000-0006-0000-0900-00000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C90" authorId="1" shapeId="0" xr:uid="{00000000-0006-0000-0900-00000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90" authorId="1" shapeId="0" xr:uid="{00000000-0006-0000-0900-00001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90" authorId="1" shapeId="0" xr:uid="{00000000-0006-0000-0900-00001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90" authorId="1" shapeId="0" xr:uid="{00000000-0006-0000-0900-00001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90" authorId="1" shapeId="0" xr:uid="{00000000-0006-0000-0900-00001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0" authorId="1" shapeId="0" xr:uid="{00000000-0006-0000-0900-00001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C91" authorId="1" shapeId="0" xr:uid="{00000000-0006-0000-0900-00001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91" authorId="1" shapeId="0" xr:uid="{00000000-0006-0000-0900-00001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91" authorId="1" shapeId="0" xr:uid="{00000000-0006-0000-0900-00001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91" authorId="1" shapeId="0" xr:uid="{00000000-0006-0000-0900-00001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91" authorId="1" shapeId="0" xr:uid="{00000000-0006-0000-0900-00001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1" authorId="1" shapeId="0" xr:uid="{00000000-0006-0000-0900-00001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92" authorId="1" shapeId="0" xr:uid="{00000000-0006-0000-0900-00001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92" authorId="1" shapeId="0" xr:uid="{00000000-0006-0000-0900-00001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92" authorId="1" shapeId="0" xr:uid="{00000000-0006-0000-0900-00001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92" authorId="1" shapeId="0" xr:uid="{00000000-0006-0000-0900-00001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2" authorId="1" shapeId="0" xr:uid="{00000000-0006-0000-0900-00001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5" authorId="1" shapeId="0" xr:uid="{00000000-0006-0000-0900-00002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6" authorId="1" shapeId="0" xr:uid="{00000000-0006-0000-0900-00002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97" authorId="1" shapeId="0" xr:uid="{00000000-0006-0000-0900-00002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98" authorId="1" shapeId="0" xr:uid="{00000000-0006-0000-0900-00002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G99" authorId="1" shapeId="0" xr:uid="{00000000-0006-0000-0900-00002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99" authorId="1" shapeId="0" xr:uid="{00000000-0006-0000-0900-00002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O99" authorId="1" shapeId="0" xr:uid="{00000000-0006-0000-0900-00002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A136" authorId="2" shapeId="0" xr:uid="{00000000-0006-0000-0900-000027000000}">
      <text>
        <r>
          <rPr>
            <sz val="8"/>
            <color indexed="81"/>
            <rFont val="Tahoma"/>
            <family val="2"/>
          </rPr>
          <t>GHG calculations for aluminum include CF4 and C2F6.</t>
        </r>
      </text>
    </comment>
    <comment ref="B136" authorId="2" shapeId="0" xr:uid="{00000000-0006-0000-0900-000028000000}">
      <text>
        <r>
          <rPr>
            <sz val="8"/>
            <color indexed="81"/>
            <rFont val="Tahoma"/>
            <family val="2"/>
          </rPr>
          <t>In this cell the GHG calculation includes CF4 and C2F6.</t>
        </r>
      </text>
    </comment>
    <comment ref="C136" authorId="2" shapeId="0" xr:uid="{00000000-0006-0000-0900-000029000000}">
      <text>
        <r>
          <rPr>
            <sz val="8"/>
            <color indexed="81"/>
            <rFont val="Tahoma"/>
            <family val="2"/>
          </rPr>
          <t>In this cell the GHG calculation includes CF4 and C2F6.</t>
        </r>
      </text>
    </comment>
    <comment ref="D136" authorId="2" shapeId="0" xr:uid="{00000000-0006-0000-0900-00002A000000}">
      <text>
        <r>
          <rPr>
            <sz val="8"/>
            <color indexed="81"/>
            <rFont val="Tahoma"/>
            <family val="2"/>
          </rPr>
          <t>In this cell the GHG calculation includes CF4 and C2F6.</t>
        </r>
      </text>
    </comment>
    <comment ref="E136" authorId="2" shapeId="0" xr:uid="{00000000-0006-0000-0900-00002B000000}">
      <text>
        <r>
          <rPr>
            <sz val="8"/>
            <color indexed="81"/>
            <rFont val="Tahoma"/>
            <family val="2"/>
          </rPr>
          <t>In this cell the GHG calculation includes CF4 and C2F6.</t>
        </r>
      </text>
    </comment>
    <comment ref="F136" authorId="2" shapeId="0" xr:uid="{00000000-0006-0000-0900-00002C000000}">
      <text>
        <r>
          <rPr>
            <sz val="8"/>
            <color indexed="81"/>
            <rFont val="Tahoma"/>
            <family val="2"/>
          </rPr>
          <t>In this cell the GHG calculation includes CF4 and C2F6.</t>
        </r>
      </text>
    </comment>
    <comment ref="G136" authorId="2" shapeId="0" xr:uid="{00000000-0006-0000-0900-00002D000000}">
      <text>
        <r>
          <rPr>
            <sz val="8"/>
            <color indexed="81"/>
            <rFont val="Tahoma"/>
            <family val="2"/>
          </rPr>
          <t>In this cell the GHG calculation includes CF4 and C2F6.</t>
        </r>
      </text>
    </comment>
    <comment ref="H136" authorId="2" shapeId="0" xr:uid="{00000000-0006-0000-0900-00002E000000}">
      <text>
        <r>
          <rPr>
            <sz val="8"/>
            <color indexed="81"/>
            <rFont val="Tahoma"/>
            <family val="2"/>
          </rPr>
          <t>In this cell the GHG calculation includes CF4 and C2F6.</t>
        </r>
      </text>
    </comment>
    <comment ref="I136" authorId="2" shapeId="0" xr:uid="{00000000-0006-0000-0900-00002F000000}">
      <text>
        <r>
          <rPr>
            <sz val="8"/>
            <color indexed="81"/>
            <rFont val="Tahoma"/>
            <family val="2"/>
          </rPr>
          <t>In this cell the GHG calculation includes CF4 and C2F6.</t>
        </r>
      </text>
    </comment>
    <comment ref="J136" authorId="2" shapeId="0" xr:uid="{00000000-0006-0000-0900-000030000000}">
      <text>
        <r>
          <rPr>
            <sz val="8"/>
            <color indexed="81"/>
            <rFont val="Tahoma"/>
            <family val="2"/>
          </rPr>
          <t>In this cell the GHG calculation includes CF4 and C2F6.</t>
        </r>
      </text>
    </comment>
    <comment ref="A172" authorId="2" shapeId="0" xr:uid="{00000000-0006-0000-0900-000031000000}">
      <text>
        <r>
          <rPr>
            <sz val="8"/>
            <color indexed="81"/>
            <rFont val="Tahoma"/>
            <family val="2"/>
          </rPr>
          <t>GHG calculations for aluminum include CF4 and C2F6.</t>
        </r>
      </text>
    </comment>
    <comment ref="B172" authorId="2" shapeId="0" xr:uid="{00000000-0006-0000-0900-000032000000}">
      <text>
        <r>
          <rPr>
            <sz val="8"/>
            <color indexed="81"/>
            <rFont val="Tahoma"/>
            <family val="2"/>
          </rPr>
          <t>In this cell the GHG calculation includes CF4 and C2F6.</t>
        </r>
      </text>
    </comment>
    <comment ref="C172" authorId="2" shapeId="0" xr:uid="{00000000-0006-0000-0900-000033000000}">
      <text>
        <r>
          <rPr>
            <sz val="8"/>
            <color indexed="81"/>
            <rFont val="Tahoma"/>
            <family val="2"/>
          </rPr>
          <t>In this cell the GHG calculation includes CF4 and C2F6.</t>
        </r>
      </text>
    </comment>
    <comment ref="D172" authorId="2" shapeId="0" xr:uid="{00000000-0006-0000-0900-000034000000}">
      <text>
        <r>
          <rPr>
            <sz val="8"/>
            <color indexed="81"/>
            <rFont val="Tahoma"/>
            <family val="2"/>
          </rPr>
          <t>In this cell the GHG calculation includes CF4 and C2F6.</t>
        </r>
      </text>
    </comment>
    <comment ref="E172" authorId="2" shapeId="0" xr:uid="{00000000-0006-0000-0900-000035000000}">
      <text>
        <r>
          <rPr>
            <sz val="8"/>
            <color indexed="81"/>
            <rFont val="Tahoma"/>
            <family val="2"/>
          </rPr>
          <t>In this cell the GHG calculation includes CF4 and C2F6.</t>
        </r>
      </text>
    </comment>
    <comment ref="F172" authorId="2" shapeId="0" xr:uid="{00000000-0006-0000-0900-000036000000}">
      <text>
        <r>
          <rPr>
            <sz val="8"/>
            <color indexed="81"/>
            <rFont val="Tahoma"/>
            <family val="2"/>
          </rPr>
          <t>In this cell the GHG calculation includes CF4 and C2F6.</t>
        </r>
      </text>
    </comment>
    <comment ref="G172" authorId="2" shapeId="0" xr:uid="{00000000-0006-0000-0900-000037000000}">
      <text>
        <r>
          <rPr>
            <sz val="8"/>
            <color indexed="81"/>
            <rFont val="Tahoma"/>
            <family val="2"/>
          </rPr>
          <t>In this cell the GHG calculation includes CF4 and C2F6.</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tc={1CDA4987-4D6E-4BE4-B1BB-90FBA6164361}</author>
  </authors>
  <commentList>
    <comment ref="A4" authorId="0" shapeId="0" xr:uid="{00000000-0006-0000-2600-000001000000}">
      <text>
        <t>[Threaded comment]
Your version of Excel allows you to read this threaded comment; however, any edits to it will get removed if the file is opened in a newer version of Excel. Learn more: https://go.microsoft.com/fwlink/?linkid=870924
Comment:
    (Source: The Role of Critical Minerals in Clean Energy Transitions, by IEA; and https://www.csaglobal.com/wp-content/uploads/2019/11/African-Exploration-Showcase_An-Overview-of-Lithium_Geology-to-Markets_Michael-Crnwright_November_2019.pdf)</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D27" authorId="0" shapeId="0" xr:uid="{00000000-0006-0000-0C00-000001000000}">
      <text>
        <r>
          <rPr>
            <b/>
            <sz val="9"/>
            <color indexed="81"/>
            <rFont val="Tahoma"/>
            <family val="2"/>
          </rPr>
          <t>Includes transportation of diesel</t>
        </r>
      </text>
    </comment>
    <comment ref="G27" authorId="0" shapeId="0" xr:uid="{00000000-0006-0000-0C00-000002000000}">
      <text>
        <r>
          <rPr>
            <b/>
            <sz val="9"/>
            <color indexed="81"/>
            <rFont val="Tahoma"/>
            <family val="2"/>
          </rPr>
          <t>Includes transportation of sulfur, lime, MgO, and NaOH</t>
        </r>
        <r>
          <rPr>
            <sz val="9"/>
            <color indexed="81"/>
            <rFont val="Tahoma"/>
            <family val="2"/>
          </rPr>
          <t xml:space="preserve">
</t>
        </r>
      </text>
    </comment>
    <comment ref="J27" authorId="0" shapeId="0" xr:uid="{00000000-0006-0000-0C00-000003000000}">
      <text>
        <r>
          <rPr>
            <b/>
            <sz val="9"/>
            <color indexed="81"/>
            <rFont val="Tahoma"/>
            <family val="2"/>
          </rPr>
          <t>Includes transportation of crude Co(OH)2</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ywu</author>
  </authors>
  <commentList>
    <comment ref="C42" authorId="0" shapeId="0" xr:uid="{00000000-0006-0000-0D00-000001000000}">
      <text>
        <r>
          <rPr>
            <sz val="8"/>
            <color indexed="81"/>
            <rFont val="Tahoma"/>
            <family val="2"/>
          </rPr>
          <t>Data from "Life Cycle Material Data Update for GREET Model" Keoleian et al. 2012
Appendix</t>
        </r>
      </text>
    </comment>
    <comment ref="E44" authorId="0" shapeId="0" xr:uid="{00000000-0006-0000-0D00-000002000000}">
      <text>
        <r>
          <rPr>
            <sz val="8"/>
            <color indexed="81"/>
            <rFont val="Tahoma"/>
            <family val="2"/>
          </rPr>
          <t>Data from "Life Cycle Material Data Update for GREET Model" Keoleian et al. 2012
Appendix</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Jeongwoo Han</author>
  </authors>
  <commentList>
    <comment ref="D33" authorId="0" shapeId="0" xr:uid="{00000000-0006-0000-1000-000001000000}">
      <text>
        <r>
          <rPr>
            <sz val="9"/>
            <color indexed="81"/>
            <rFont val="Tahoma"/>
            <family val="2"/>
          </rPr>
          <t xml:space="preserve">Title: Life Cycle Assessment Update of Glass and Glass Fiber for GREET
Publication Date: September 2015
Authors: Q. Dai, J.C. Kelly, J. Sullivan, and A. Elgowainy
</t>
        </r>
      </text>
    </comment>
    <comment ref="R33" authorId="0" shapeId="0" xr:uid="{00000000-0006-0000-1000-000002000000}">
      <text>
        <r>
          <rPr>
            <sz val="9"/>
            <color indexed="81"/>
            <rFont val="Tahoma"/>
            <family val="2"/>
          </rPr>
          <t xml:space="preserve">Title: Life Cycle Assessment Update of Glass and Glass Fiber for GREET
Publication Date: September 2015
Authors: Q. Dai, J.C. Kelly, J. Sullivan, and A. Elgowainy
</t>
        </r>
      </text>
    </comment>
    <comment ref="D34" authorId="0" shapeId="0" xr:uid="{00000000-0006-0000-1000-000003000000}">
      <text>
        <r>
          <rPr>
            <sz val="9"/>
            <color indexed="81"/>
            <rFont val="Tahoma"/>
            <family val="2"/>
          </rPr>
          <t xml:space="preserve">Title: Life Cycle Assessment Update of Glass and Glass Fiber for GREET
Publication Date: September 2015
Authors: Q. Dai, J.C. Kelly, J. Sullivan, and A. Elgowainy
</t>
        </r>
      </text>
    </comment>
    <comment ref="R34" authorId="0" shapeId="0" xr:uid="{00000000-0006-0000-1000-000004000000}">
      <text>
        <r>
          <rPr>
            <sz val="9"/>
            <color indexed="81"/>
            <rFont val="Tahoma"/>
            <family val="2"/>
          </rPr>
          <t xml:space="preserve">Title: Life Cycle Assessment Update of Glass and Glass Fiber for GREET
Publication Date: September 2015
Authors: Q. Dai, J.C. Kelly, J. Sullivan, and A. Elgowainy
</t>
        </r>
      </text>
    </comment>
    <comment ref="D35" authorId="0" shapeId="0" xr:uid="{00000000-0006-0000-1000-000005000000}">
      <text>
        <r>
          <rPr>
            <sz val="9"/>
            <color indexed="81"/>
            <rFont val="Tahoma"/>
            <family val="2"/>
          </rPr>
          <t xml:space="preserve">Title: Life Cycle Assessment Update of Glass and Glass Fiber for GREET
Publication Date: September 2015
Authors: Q. Dai, J.C. Kelly, J. Sullivan, and A. Elgowainy
</t>
        </r>
      </text>
    </comment>
    <comment ref="D36" authorId="0" shapeId="0" xr:uid="{00000000-0006-0000-1000-000006000000}">
      <text>
        <r>
          <rPr>
            <sz val="9"/>
            <color indexed="81"/>
            <rFont val="Tahoma"/>
            <family val="2"/>
          </rPr>
          <t xml:space="preserve">Title: Life Cycle Assessment Update of Glass and Glass Fiber for GREET
Publication Date: September 2015
Authors: Q. Dai, J.C. Kelly, J. Sullivan, and A. Elgowainy
</t>
        </r>
      </text>
    </comment>
    <comment ref="R37" authorId="0" shapeId="0" xr:uid="{00000000-0006-0000-1000-000007000000}">
      <text>
        <r>
          <rPr>
            <sz val="9"/>
            <color indexed="81"/>
            <rFont val="Tahoma"/>
            <family val="2"/>
          </rPr>
          <t xml:space="preserve">Title: Life Cycle Assessment Update of Glass and Glass Fiber for GREET
Publication Date: September 2015
Authors: Q. Dai, J.C. Kelly, J. Sullivan, and A. Elgowainy
</t>
        </r>
      </text>
    </comment>
    <comment ref="R38" authorId="0" shapeId="0" xr:uid="{00000000-0006-0000-1000-000008000000}">
      <text>
        <r>
          <rPr>
            <sz val="9"/>
            <color indexed="81"/>
            <rFont val="Tahoma"/>
            <family val="2"/>
          </rPr>
          <t xml:space="preserve">Title: Life Cycle Assessment Update of Glass and Glass Fiber for GREET
Publication Date: September 2015
Authors: Q. Dai, J.C. Kelly, J. Sullivan, and A. Elgowainy
</t>
        </r>
      </text>
    </comment>
    <comment ref="E44" authorId="0" shapeId="0" xr:uid="{00000000-0006-0000-1000-000009000000}">
      <text>
        <r>
          <rPr>
            <sz val="9"/>
            <color indexed="81"/>
            <rFont val="Tahoma"/>
            <family val="2"/>
          </rPr>
          <t xml:space="preserve">Title: Life Cycle Assessment Update of Glass and Glass Fiber for GREET
Publication Date: September 2015
Authors: Q. Dai, J.C. Kelly, J. Sullivan, and A. Elgowainy
</t>
        </r>
      </text>
    </comment>
    <comment ref="K44" authorId="0" shapeId="0" xr:uid="{00000000-0006-0000-1000-00000A000000}">
      <text>
        <r>
          <rPr>
            <sz val="9"/>
            <color indexed="81"/>
            <rFont val="Tahoma"/>
            <family val="2"/>
          </rPr>
          <t xml:space="preserve">Title: Life Cycle Assessment Update of Glass and Glass Fiber for GREET
Publication Date: September 2015
Authors: Q. Dai, J.C. Kelly, J. Sullivan, and A. Elgowainy
</t>
        </r>
      </text>
    </comment>
    <comment ref="Q44" authorId="0" shapeId="0" xr:uid="{00000000-0006-0000-1000-00000B000000}">
      <text>
        <r>
          <rPr>
            <sz val="9"/>
            <color indexed="81"/>
            <rFont val="Tahoma"/>
            <family val="2"/>
          </rPr>
          <t xml:space="preserve">Title: Life Cycle Assessment Update of Glass and Glass Fiber for GREET
Publication Date: September 2015
Authors: Q. Dai, J.C. Kelly, J. Sullivan, and A. Elgowainy
</t>
        </r>
      </text>
    </comment>
    <comment ref="S44" authorId="0" shapeId="0" xr:uid="{00000000-0006-0000-1000-00000C000000}">
      <text>
        <r>
          <rPr>
            <sz val="9"/>
            <color indexed="81"/>
            <rFont val="Tahoma"/>
            <family val="2"/>
          </rPr>
          <t xml:space="preserve">Title: Life Cycle Assessment Update of Glass and Glass Fiber for GREET
Publication Date: September 2015
Authors: Q. Dai, J.C. Kelly, J. Sullivan, and A. Elgowainy
</t>
        </r>
      </text>
    </comment>
    <comment ref="W44" authorId="0" shapeId="0" xr:uid="{00000000-0006-0000-1000-00000D000000}">
      <text>
        <r>
          <rPr>
            <sz val="9"/>
            <color indexed="81"/>
            <rFont val="Tahoma"/>
            <family val="2"/>
          </rPr>
          <t xml:space="preserve">Title: Life Cycle Assessment Update of Glass and Glass Fiber for GREET
Publication Date: September 2015
Authors: Q. Dai, J.C. Kelly, J. Sullivan, and A. Elgowainy
</t>
        </r>
      </text>
    </comment>
    <comment ref="G48" authorId="0" shapeId="0" xr:uid="{00000000-0006-0000-1000-00000E000000}">
      <text>
        <r>
          <rPr>
            <sz val="9"/>
            <color indexed="81"/>
            <rFont val="Tahoma"/>
            <family val="2"/>
          </rPr>
          <t xml:space="preserve">Title: Life Cycle Assessment Update of Glass and Glass Fiber for GREET
Publication Date: September 2015
Authors: Q. Dai, J.C. Kelly, J. Sullivan, and A. Elgowainy
</t>
        </r>
      </text>
    </comment>
    <comment ref="U48" authorId="0" shapeId="0" xr:uid="{00000000-0006-0000-1000-00000F000000}">
      <text>
        <r>
          <rPr>
            <sz val="9"/>
            <color indexed="81"/>
            <rFont val="Tahoma"/>
            <family val="2"/>
          </rPr>
          <t xml:space="preserve">Title: Life Cycle Assessment Update of Glass and Glass Fiber for GREET
Publication Date: September 2015
Authors: Q. Dai, J.C. Kelly, J. Sullivan, and A. Elgowainy
</t>
        </r>
      </text>
    </comment>
    <comment ref="U49" authorId="0" shapeId="0" xr:uid="{00000000-0006-0000-1000-000010000000}">
      <text>
        <r>
          <rPr>
            <sz val="9"/>
            <color indexed="81"/>
            <rFont val="Tahoma"/>
            <family val="2"/>
          </rPr>
          <t xml:space="preserve">Title: Life Cycle Assessment Update of Glass and Glass Fiber for GREET
Publication Date: September 2015
Authors: Q. Dai, J.C. Kelly, J. Sullivan, and A. Elgowainy
</t>
        </r>
      </text>
    </comment>
    <comment ref="U50" authorId="0" shapeId="0" xr:uid="{00000000-0006-0000-1000-000011000000}">
      <text>
        <r>
          <rPr>
            <sz val="9"/>
            <color indexed="81"/>
            <rFont val="Tahoma"/>
            <family val="2"/>
          </rPr>
          <t xml:space="preserve">Title: Life Cycle Assessment Update of Glass and Glass Fiber for GREET
Publication Date: September 2015
Authors: Q. Dai, J.C. Kelly, J. Sullivan, and A. Elgowainy
</t>
        </r>
      </text>
    </comment>
    <comment ref="G51" authorId="0" shapeId="0" xr:uid="{00000000-0006-0000-1000-000012000000}">
      <text>
        <r>
          <rPr>
            <sz val="9"/>
            <color indexed="81"/>
            <rFont val="Tahoma"/>
            <family val="2"/>
          </rPr>
          <t xml:space="preserve">Title: Life Cycle Assessment Update of Glass and Glass Fiber for GREET
Publication Date: September 2015
Authors: Q. Dai, J.C. Kelly, J. Sullivan, and A. Elgowainy
</t>
        </r>
      </text>
    </comment>
    <comment ref="U51" authorId="0" shapeId="0" xr:uid="{00000000-0006-0000-1000-000013000000}">
      <text>
        <r>
          <rPr>
            <sz val="9"/>
            <color indexed="81"/>
            <rFont val="Tahoma"/>
            <family val="2"/>
          </rPr>
          <t xml:space="preserve">Title: Life Cycle Assessment Update of Glass and Glass Fiber for GREET
Publication Date: September 2015
Authors: Q. Dai, J.C. Kelly, J. Sullivan, and A. Elgowainy
</t>
        </r>
      </text>
    </comment>
    <comment ref="G56" authorId="0" shapeId="0" xr:uid="{00000000-0006-0000-1000-000014000000}">
      <text>
        <r>
          <rPr>
            <sz val="9"/>
            <color indexed="81"/>
            <rFont val="Tahoma"/>
            <family val="2"/>
          </rPr>
          <t xml:space="preserve">Title: Life Cycle Assessment Update of Glass and Glass Fiber for GREET
Publication Date: September 2015
Authors: Q. Dai, J.C. Kelly, J. Sullivan, and A. Elgowainy
</t>
        </r>
      </text>
    </comment>
    <comment ref="U56" authorId="0" shapeId="0" xr:uid="{00000000-0006-0000-1000-000015000000}">
      <text>
        <r>
          <rPr>
            <sz val="9"/>
            <color indexed="81"/>
            <rFont val="Tahoma"/>
            <family val="2"/>
          </rPr>
          <t xml:space="preserve">Title: Life Cycle Assessment Update of Glass and Glass Fiber for GREET
Publication Date: September 2015
Authors: Q. Dai, J.C. Kelly, J. Sullivan, and A. Elgowainy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tc={4669ED68-621B-4EF7-8E74-7EF6EA6B453E}</author>
    <author>aburnham</author>
    <author>ywu</author>
    <author>tc={4C0E406E-DEEA-4B3C-B79D-24858E0E2339}</author>
  </authors>
  <commentList>
    <comment ref="A50" authorId="0" shapeId="0" xr:uid="{00000000-0006-0000-1100-000001000000}">
      <text>
        <t>[Threaded comment]
Your version of Excel allows you to read this threaded comment; however, any edits to it will get removed if the file is opened in a newer version of Excel. Learn more: https://go.microsoft.com/fwlink/?linkid=870924
Comment:
    Calculations for energy and emissions burden of many resins are performed in the GREET1 Plastics tab and exported to GREET2 for vehicle applications</t>
      </text>
    </comment>
    <comment ref="B56" authorId="1" shapeId="0" xr:uid="{00000000-0006-0000-1100-000002000000}">
      <text>
        <r>
          <rPr>
            <sz val="8"/>
            <color indexed="81"/>
            <rFont val="Tahoma"/>
            <family val="2"/>
          </rPr>
          <t>Data from "Life Cycle Material Data Update for GREET Model" Keoleian et al. 2011
Value in Appendix p. 50 is for Crude Oil but Residual Oil is assumed to be process fuel</t>
        </r>
      </text>
    </comment>
    <comment ref="C80" authorId="2" shapeId="0" xr:uid="{00000000-0006-0000-1100-000003000000}">
      <text>
        <r>
          <rPr>
            <sz val="8"/>
            <color indexed="81"/>
            <rFont val="Tahoma"/>
            <family val="2"/>
          </rPr>
          <t>Data from "Life Cycle Material Data Update for GREET Model" Keoleian et al. 2011
Appendix p. 50</t>
        </r>
      </text>
    </comment>
    <comment ref="C81" authorId="2" shapeId="0" xr:uid="{00000000-0006-0000-1100-000004000000}">
      <text>
        <r>
          <rPr>
            <sz val="8"/>
            <color indexed="81"/>
            <rFont val="Tahoma"/>
            <family val="2"/>
          </rPr>
          <t>Data from "Life Cycle Material Data Update for GREET Model" Keoleian et al. 2011
Appendix p. 50</t>
        </r>
      </text>
    </comment>
    <comment ref="C82" authorId="2" shapeId="0" xr:uid="{00000000-0006-0000-1100-000005000000}">
      <text>
        <r>
          <rPr>
            <sz val="8"/>
            <color indexed="81"/>
            <rFont val="Tahoma"/>
            <family val="2"/>
          </rPr>
          <t>Data from "Life Cycle Material Data Update for GREET Model" Keoleian et al. 2011
Appendix p. 50</t>
        </r>
      </text>
    </comment>
    <comment ref="C83" authorId="2" shapeId="0" xr:uid="{00000000-0006-0000-1100-000006000000}">
      <text>
        <r>
          <rPr>
            <sz val="8"/>
            <color indexed="81"/>
            <rFont val="Tahoma"/>
            <family val="2"/>
          </rPr>
          <t>Data from "Life Cycle Material Data Update for GREET Model" Keoleian et al. 2011
Appendix p. 50</t>
        </r>
      </text>
    </comment>
    <comment ref="C84" authorId="1" shapeId="0" xr:uid="{00000000-0006-0000-1100-000007000000}">
      <text>
        <r>
          <rPr>
            <sz val="8"/>
            <color indexed="81"/>
            <rFont val="Tahoma"/>
            <family val="2"/>
          </rPr>
          <t>Examined non-combustion emissions data from plastics with PM10 and PM2.5 results in "Life Cycle Material Data Update for GREET Model" Keoleian et al. 2011. The PM2.5 emissions were roughly 10% of those for PM10. For plastics from European data we used the 10% factor instead of the placeholder 50% previously used.</t>
        </r>
      </text>
    </comment>
    <comment ref="C85" authorId="2" shapeId="0" xr:uid="{00000000-0006-0000-1100-000008000000}">
      <text>
        <r>
          <rPr>
            <sz val="8"/>
            <color indexed="81"/>
            <rFont val="Tahoma"/>
            <family val="2"/>
          </rPr>
          <t>Data from "Life Cycle Material Data Update for GREET Model" Keoleian et al. 2011
Appendix p. 50</t>
        </r>
      </text>
    </comment>
    <comment ref="C88" authorId="2" shapeId="0" xr:uid="{00000000-0006-0000-1100-000009000000}">
      <text>
        <r>
          <rPr>
            <sz val="8"/>
            <color indexed="81"/>
            <rFont val="Tahoma"/>
            <family val="2"/>
          </rPr>
          <t>Data from "Life Cycle Material Data Update for GREET Model" Keoleian et al. 2011
Appendix p. 50</t>
        </r>
      </text>
    </comment>
    <comment ref="C89" authorId="2" shapeId="0" xr:uid="{00000000-0006-0000-1100-00000A000000}">
      <text>
        <r>
          <rPr>
            <sz val="8"/>
            <color indexed="81"/>
            <rFont val="Tahoma"/>
            <family val="2"/>
          </rPr>
          <t>Data from "Life Cycle Material Data Update for GREET Model" Keoleian et al. 2011
Appendix p. 50</t>
        </r>
      </text>
    </comment>
    <comment ref="C90" authorId="2" shapeId="0" xr:uid="{00000000-0006-0000-1100-00000B000000}">
      <text>
        <r>
          <rPr>
            <sz val="8"/>
            <color indexed="81"/>
            <rFont val="Tahoma"/>
            <family val="2"/>
          </rPr>
          <t>Data from "Life Cycle Material Data Update for GREET Model" Keoleian et al. 2011
Appendix p. 50</t>
        </r>
      </text>
    </comment>
    <comment ref="M103" authorId="3" shapeId="0" xr:uid="{00000000-0006-0000-1100-00000C000000}">
      <text>
        <t>[Threaded comment]
Your version of Excel allows you to read this threaded comment; however, any edits to it will get removed if the file is opened in a newer version of Excel. Learn more: https://go.microsoft.com/fwlink/?linkid=870924
Comment:
    Combined from PTA-route and DMT-route</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ladmin</author>
    <author>Jeongwoo Han</author>
    <author>aburnham</author>
  </authors>
  <commentList>
    <comment ref="B5" authorId="0" shapeId="0" xr:uid="{00000000-0006-0000-1300-000001000000}">
      <text>
        <r>
          <rPr>
            <sz val="9"/>
            <color indexed="81"/>
            <rFont val="Tahoma"/>
            <family val="2"/>
          </rPr>
          <t>Selection of North American mine is only valid for platinum production due to limited data, while South African mine may be selected for platinum, palladium, rhodium, and gold</t>
        </r>
      </text>
    </comment>
    <comment ref="A7" authorId="1" shapeId="0" xr:uid="{00000000-0006-0000-1300-000002000000}">
      <text>
        <r>
          <rPr>
            <sz val="9"/>
            <color indexed="81"/>
            <rFont val="Tahoma"/>
            <family val="2"/>
          </rPr>
          <t>NOTE: Water consumption related to the primary activities in the production of platinum group metals in South Africa, see  report</t>
        </r>
      </text>
    </comment>
    <comment ref="C15" authorId="0" shapeId="0" xr:uid="{00000000-0006-0000-1300-000003000000}">
      <text>
        <r>
          <rPr>
            <sz val="9"/>
            <color indexed="81"/>
            <rFont val="Tahoma"/>
            <family val="2"/>
          </rPr>
          <t>LS diesel combusted in heavy heavy-duty truck</t>
        </r>
      </text>
    </comment>
    <comment ref="A17" authorId="0" shapeId="0" xr:uid="{00000000-0006-0000-1300-000004000000}">
      <text>
        <r>
          <rPr>
            <b/>
            <sz val="9"/>
            <color indexed="81"/>
            <rFont val="Tahoma"/>
            <family val="2"/>
          </rPr>
          <t>Kingsbury, Kathryn:</t>
        </r>
        <r>
          <rPr>
            <sz val="9"/>
            <color indexed="81"/>
            <rFont val="Tahoma"/>
            <family val="2"/>
          </rPr>
          <t xml:space="preserve">
Add text in row 16 and insert new row below row 16</t>
        </r>
      </text>
    </comment>
    <comment ref="C17" authorId="0" shapeId="0" xr:uid="{00000000-0006-0000-1300-000005000000}">
      <text>
        <r>
          <rPr>
            <sz val="9"/>
            <color indexed="81"/>
            <rFont val="Tahoma"/>
            <family val="2"/>
          </rPr>
          <t>Conventional diesel combusted in stationary reciprocating engine</t>
        </r>
      </text>
    </comment>
    <comment ref="F20" authorId="0" shapeId="0" xr:uid="{00000000-0006-0000-1300-000006000000}">
      <text>
        <r>
          <rPr>
            <b/>
            <sz val="9"/>
            <color indexed="81"/>
            <rFont val="Tahoma"/>
            <family val="2"/>
          </rPr>
          <t>Kingsbury, Kathryn:</t>
        </r>
        <r>
          <rPr>
            <sz val="9"/>
            <color indexed="81"/>
            <rFont val="Tahoma"/>
            <family val="2"/>
          </rPr>
          <t xml:space="preserve">
Insert new values in cells N18:U61 into cells F18:M61</t>
        </r>
      </text>
    </comment>
    <comment ref="C47" authorId="2" shapeId="0" xr:uid="{00000000-0006-0000-1300-000007000000}">
      <text>
        <r>
          <rPr>
            <sz val="8"/>
            <color indexed="81"/>
            <rFont val="Tahoma"/>
            <family val="2"/>
          </rPr>
          <t>From Nickel Mining assumption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Jeongwoo Han</author>
  </authors>
  <commentList>
    <comment ref="C43" authorId="0" shapeId="0" xr:uid="{00000000-0006-0000-1800-000001000000}">
      <text>
        <r>
          <rPr>
            <sz val="9"/>
            <color indexed="81"/>
            <rFont val="Tahoma"/>
            <family val="2"/>
          </rPr>
          <t>from Thompson creek mining company</t>
        </r>
      </text>
    </comment>
    <comment ref="C46" authorId="0" shapeId="0" xr:uid="{00000000-0006-0000-1800-000002000000}">
      <text>
        <r>
          <rPr>
            <sz val="9"/>
            <color indexed="81"/>
            <rFont val="Tahoma"/>
            <family val="2"/>
          </rPr>
          <t>from Thompson creek mining company</t>
        </r>
      </text>
    </comment>
    <comment ref="C47" authorId="0" shapeId="0" xr:uid="{00000000-0006-0000-1800-000003000000}">
      <text>
        <r>
          <rPr>
            <sz val="9"/>
            <color indexed="81"/>
            <rFont val="Tahoma"/>
            <family val="2"/>
          </rPr>
          <t>from Thompson creek mining company</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ywu</author>
  </authors>
  <commentList>
    <comment ref="C52" authorId="0" shapeId="0" xr:uid="{00000000-0006-0000-1A00-000001000000}">
      <text>
        <r>
          <rPr>
            <sz val="8"/>
            <color indexed="81"/>
            <rFont val="Tahoma"/>
            <family val="2"/>
          </rPr>
          <t xml:space="preserve">The data for zinc ore mining is applied here.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Lee, Uisung</author>
  </authors>
  <commentList>
    <comment ref="A21" authorId="0" shapeId="0" xr:uid="{00000000-0006-0000-1C00-000001000000}">
      <text>
        <r>
          <rPr>
            <sz val="9"/>
            <color indexed="81"/>
            <rFont val="Tahoma"/>
            <family val="2"/>
          </rPr>
          <t>Calcination: 553 kgCO2/MT (PCA Cement LCI)</t>
        </r>
      </text>
    </comment>
    <comment ref="H74" authorId="0" shapeId="0" xr:uid="{00000000-0006-0000-1C00-000002000000}">
      <text>
        <r>
          <rPr>
            <sz val="9"/>
            <color indexed="81"/>
            <rFont val="Tahoma"/>
            <family val="2"/>
          </rPr>
          <t>S balance</t>
        </r>
      </text>
    </comment>
    <comment ref="M74" authorId="0" shapeId="0" xr:uid="{00000000-0006-0000-1C00-000003000000}">
      <text>
        <r>
          <rPr>
            <sz val="9"/>
            <color indexed="81"/>
            <rFont val="Tahoma"/>
            <family val="2"/>
          </rPr>
          <t>S balance</t>
        </r>
      </text>
    </comment>
    <comment ref="R74" authorId="0" shapeId="0" xr:uid="{00000000-0006-0000-1C00-000004000000}">
      <text>
        <r>
          <rPr>
            <sz val="9"/>
            <color indexed="81"/>
            <rFont val="Tahoma"/>
            <family val="2"/>
          </rPr>
          <t>S balance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ywu</author>
  </authors>
  <commentList>
    <comment ref="E25" authorId="0" shapeId="0" xr:uid="{00000000-0006-0000-1F00-000001000000}">
      <text>
        <r>
          <rPr>
            <sz val="8"/>
            <color indexed="81"/>
            <rFont val="Tahoma"/>
            <family val="2"/>
          </rPr>
          <t>to be burned.</t>
        </r>
      </text>
    </comment>
    <comment ref="G25" authorId="0" shapeId="0" xr:uid="{00000000-0006-0000-1F00-000002000000}">
      <text>
        <r>
          <rPr>
            <sz val="8"/>
            <color indexed="81"/>
            <rFont val="Tahoma"/>
            <family val="2"/>
          </rPr>
          <t>to be burned.</t>
        </r>
      </text>
    </comment>
    <comment ref="I25" authorId="0" shapeId="0" xr:uid="{00000000-0006-0000-1F00-000003000000}">
      <text>
        <r>
          <rPr>
            <sz val="8"/>
            <color indexed="81"/>
            <rFont val="Tahoma"/>
            <family val="2"/>
          </rPr>
          <t>to be burned.</t>
        </r>
      </text>
    </comment>
    <comment ref="K25" authorId="0" shapeId="0" xr:uid="{00000000-0006-0000-1F00-000004000000}">
      <text>
        <r>
          <rPr>
            <sz val="8"/>
            <color indexed="81"/>
            <rFont val="Tahoma"/>
            <family val="2"/>
          </rPr>
          <t>to be burned.</t>
        </r>
      </text>
    </comment>
    <comment ref="M25" authorId="0" shapeId="0" xr:uid="{00000000-0006-0000-1F00-000005000000}">
      <text>
        <r>
          <rPr>
            <sz val="8"/>
            <color indexed="81"/>
            <rFont val="Tahoma"/>
            <family val="2"/>
          </rPr>
          <t>to be volatilized.</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Andrew Burnham</author>
    <author>aburnham</author>
  </authors>
  <commentList>
    <comment ref="E81" authorId="0" shapeId="0" xr:uid="{00000000-0006-0000-2100-000001000000}">
      <text>
        <r>
          <rPr>
            <sz val="8"/>
            <color indexed="81"/>
            <rFont val="Tahoma"/>
            <family val="2"/>
          </rPr>
          <t>Data from "Life Cycle Environmental Assessment of Paint Processes"  Papasavva et al. 2002
Average value used from range</t>
        </r>
      </text>
    </comment>
    <comment ref="E82" authorId="0" shapeId="0" xr:uid="{00000000-0006-0000-2100-000002000000}">
      <text>
        <r>
          <rPr>
            <sz val="8"/>
            <color indexed="81"/>
            <rFont val="Tahoma"/>
            <family val="2"/>
          </rPr>
          <t>Data from "Life Cycle Environmental Assessment of Paint Processes"  Papasavva et al. 2002
Average value used from range</t>
        </r>
      </text>
    </comment>
    <comment ref="E83" authorId="0" shapeId="0" xr:uid="{00000000-0006-0000-2100-000003000000}">
      <text>
        <r>
          <rPr>
            <sz val="8"/>
            <color indexed="81"/>
            <rFont val="Tahoma"/>
            <family val="2"/>
          </rPr>
          <t>Data from "Life Cycle Environmental Assessment of Paint Processes"  Papasavva et al. 2002
Average value used from range</t>
        </r>
      </text>
    </comment>
    <comment ref="E84" authorId="0" shapeId="0" xr:uid="{00000000-0006-0000-2100-000004000000}">
      <text>
        <r>
          <rPr>
            <sz val="8"/>
            <color indexed="81"/>
            <rFont val="Tahoma"/>
            <family val="2"/>
          </rPr>
          <t xml:space="preserve">Data from "Life Cycle Environmental Assessment of Paint Processes"  Papasavva et al. 2002
</t>
        </r>
      </text>
    </comment>
    <comment ref="A136" authorId="1" shapeId="0" xr:uid="{00000000-0006-0000-2100-000005000000}">
      <text>
        <r>
          <rPr>
            <sz val="8"/>
            <color indexed="81"/>
            <rFont val="Tahoma"/>
            <family val="2"/>
          </rPr>
          <t>Not used for Vehi_ADR calculation. Though can be used to calculate Part Manufacturing value for Part Manufacturing and Vehicle Assembly calculation.
Includes Machining
See "Energy-Consumption and Carbon-Emission Analysis of Vehicle and Component Manufacturing" Sullivan et al 2010</t>
        </r>
      </text>
    </comment>
    <comment ref="A137" authorId="1" shapeId="0" xr:uid="{00000000-0006-0000-2100-000006000000}">
      <text>
        <r>
          <rPr>
            <sz val="8"/>
            <color indexed="81"/>
            <rFont val="Tahoma"/>
            <family val="2"/>
          </rPr>
          <t>Not used for Vehi_ADR calculation. Though can be used to calculate Part Manufacturing value for Part Manufacturing and Vehicle Assembly calculation.
Includes Machining
See "Energy-Consumption and Carbon-Emission Analysis of Vehicle and Component Manufacturing" Sullivan et al 2010</t>
        </r>
      </text>
    </comment>
    <comment ref="R138" authorId="1" shapeId="0" xr:uid="{00000000-0006-0000-2100-000007000000}">
      <text>
        <r>
          <rPr>
            <sz val="8"/>
            <color indexed="81"/>
            <rFont val="Tahoma"/>
            <family val="2"/>
          </rPr>
          <t>The VMA stage does not include material production except for float glass production. Because of the lack of data for the float process alone, we include the total process, i.e. both making the glass and “floating” it for auto window applications.
See "Energy-Consumption and Carbon-Emission Analysis of Vehicle and Component Manufacturing" Sullivan et al 2010</t>
        </r>
      </text>
    </comment>
    <comment ref="AV138" authorId="1" shapeId="0" xr:uid="{00000000-0006-0000-2100-000008000000}">
      <text>
        <r>
          <rPr>
            <sz val="8"/>
            <color indexed="81"/>
            <rFont val="Tahoma"/>
            <family val="2"/>
          </rPr>
          <t>The VMA stage does not include material production except for float glass production. Because of the lack of data for the float process alone, we include the total process, i.e. both making the glass and “floating” it for auto window applications.
See "Energy-Consumption and Carbon-Emission Analysis of Vehicle and Component Manufacturing" Sullivan et al 2010</t>
        </r>
      </text>
    </comment>
    <comment ref="A170" authorId="1" shapeId="0" xr:uid="{00000000-0006-0000-2100-000009000000}">
      <text>
        <r>
          <rPr>
            <sz val="8"/>
            <color indexed="81"/>
            <rFont val="Tahoma"/>
            <family val="2"/>
          </rPr>
          <t>See "Energy-Consumption and Carbon-Emission Analysis of Vehicle and Component Manufacturing" Sullivan et al 2010</t>
        </r>
      </text>
    </comment>
    <comment ref="A224" authorId="1" shapeId="0" xr:uid="{00000000-0006-0000-2100-00000A000000}">
      <text>
        <r>
          <rPr>
            <sz val="8"/>
            <color indexed="81"/>
            <rFont val="Tahoma"/>
            <family val="2"/>
          </rPr>
          <t>See "Energy-Consumption and Carbon-Emission Analysis of Vehicle and Component Manufacturing" Sullivan et al 2010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Jeongwoo Han</author>
  </authors>
  <commentList>
    <comment ref="A48" authorId="0" shapeId="0" xr:uid="{00000000-0006-0000-2400-000001000000}">
      <text>
        <r>
          <rPr>
            <sz val="9"/>
            <color indexed="81"/>
            <rFont val="Tahoma"/>
            <family val="2"/>
          </rPr>
          <t>The upstream of Li2CO3 is used as a surrogate of that of LiCl.</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Michael Wang</author>
    <author>aburnham</author>
  </authors>
  <commentList>
    <comment ref="A2" authorId="0" shapeId="0" xr:uid="{00000000-0006-0000-2B00-000001000000}">
      <text>
        <r>
          <rPr>
            <sz val="8"/>
            <color indexed="81"/>
            <rFont val="Tahoma"/>
            <family val="2"/>
          </rPr>
          <t>Make sure when doing a Total Energy Cycle simulation, to have the corresponding vehicle types chosen in both GREET 1 and GREET 2.
1 = Passenger Car
2 = LDT1 or SUV
3 = LDT2 or PUT</t>
        </r>
      </text>
    </comment>
    <comment ref="A125" authorId="1" shapeId="0" xr:uid="{00000000-0006-0000-2B00-000002000000}">
      <text>
        <r>
          <rPr>
            <sz val="9"/>
            <color indexed="81"/>
            <rFont val="Tahoma"/>
            <family val="2"/>
          </rPr>
          <t>GREET 1 does not assume PHEVs are available till model year 2010, so you need to choose simulation year 2015 or later to simulate these vehicles</t>
        </r>
      </text>
    </comment>
    <comment ref="A155" authorId="1" shapeId="0" xr:uid="{00000000-0006-0000-2B00-000003000000}">
      <text>
        <r>
          <rPr>
            <sz val="9"/>
            <color indexed="81"/>
            <rFont val="Tahoma"/>
            <family val="2"/>
          </rPr>
          <t>GREET 1 does not assume PHEVs are available till model year 2010, so you need to choose simulation year 2015 or later to simulate the total energy cycle of these vehicles.</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aburnham</author>
  </authors>
  <commentList>
    <comment ref="B15" authorId="0" shapeId="0" xr:uid="{00000000-0006-0000-2D00-000001000000}">
      <text>
        <r>
          <rPr>
            <sz val="9"/>
            <color indexed="81"/>
            <rFont val="Tahoma"/>
            <family val="2"/>
          </rPr>
          <t>No data available, assumed to be the same as COG VOC</t>
        </r>
      </text>
    </comment>
    <comment ref="D15" authorId="0" shapeId="0" xr:uid="{00000000-0006-0000-2D00-000002000000}">
      <text>
        <r>
          <rPr>
            <sz val="9"/>
            <color indexed="81"/>
            <rFont val="Tahoma"/>
            <family val="2"/>
          </rPr>
          <t>Data from "Life Cycle Material Data Update for GREET Model" Keoleian et al. 2011
Based on Athena 2002, Cradle-to-gate life cycle inventory: Canadian and US Steel Production by Mill Type</t>
        </r>
      </text>
    </comment>
    <comment ref="B16" authorId="0" shapeId="0" xr:uid="{00000000-0006-0000-2D00-000003000000}">
      <text>
        <r>
          <rPr>
            <sz val="9"/>
            <color indexed="81"/>
            <rFont val="Tahoma"/>
            <family val="2"/>
          </rPr>
          <t>Data from "Life Cycle Material Data Update for GREET Model" Keoleian et al. 2011
Based on Athena 2002, Cradle-to-gate life cycle inventory: Canadian and US Steel Production by Mill Type</t>
        </r>
      </text>
    </comment>
    <comment ref="D16" authorId="0" shapeId="0" xr:uid="{00000000-0006-0000-2D00-000004000000}">
      <text>
        <r>
          <rPr>
            <sz val="9"/>
            <color indexed="81"/>
            <rFont val="Tahoma"/>
            <family val="2"/>
          </rPr>
          <t>Data from "Life Cycle Material Data Update for GREET Model" Keoleian et al. 2011
Based on Athena 2002, Cradle-to-gate life cycle inventory: Canadian and US Steel Production by Mill Type</t>
        </r>
      </text>
    </comment>
    <comment ref="B17" authorId="0" shapeId="0" xr:uid="{00000000-0006-0000-2D00-000005000000}">
      <text>
        <r>
          <rPr>
            <sz val="9"/>
            <color indexed="81"/>
            <rFont val="Tahoma"/>
            <family val="2"/>
          </rPr>
          <t>Data from "Life Cycle Material Data Update for GREET Model" Keoleian et al. 2011
Based on Athena 2002, Cradle-to-gate life cycle inventory: Canadian and US Steel Production by Mill Type</t>
        </r>
      </text>
    </comment>
    <comment ref="D17" authorId="0" shapeId="0" xr:uid="{00000000-0006-0000-2D00-000006000000}">
      <text>
        <r>
          <rPr>
            <sz val="9"/>
            <color indexed="81"/>
            <rFont val="Tahoma"/>
            <family val="2"/>
          </rPr>
          <t>Data from "Life Cycle Material Data Update for GREET Model" Keoleian et al. 2011
Based on Athena 2002, Cradle-to-gate life cycle inventory: Canadian and US Steel Production by Mill Type</t>
        </r>
      </text>
    </comment>
    <comment ref="B18" authorId="0" shapeId="0" xr:uid="{00000000-0006-0000-2D00-000007000000}">
      <text>
        <r>
          <rPr>
            <sz val="9"/>
            <color indexed="81"/>
            <rFont val="Tahoma"/>
            <family val="2"/>
          </rPr>
          <t>Data from "Life Cycle Material Data Update for GREET Model" Keoleian et al. 2011
Based on Athena 2002, Cradle-to-gate life cycle inventory: Canadian and US Steel Production by Mill Type</t>
        </r>
      </text>
    </comment>
    <comment ref="D18" authorId="0" shapeId="0" xr:uid="{00000000-0006-0000-2D00-000008000000}">
      <text>
        <r>
          <rPr>
            <sz val="9"/>
            <color indexed="81"/>
            <rFont val="Tahoma"/>
            <family val="2"/>
          </rPr>
          <t>No data available, assumed to be the same as BFG PM10</t>
        </r>
      </text>
    </comment>
    <comment ref="B19" authorId="0" shapeId="0" xr:uid="{00000000-0006-0000-2D00-000009000000}">
      <text>
        <r>
          <rPr>
            <sz val="9"/>
            <color indexed="81"/>
            <rFont val="Tahoma"/>
            <family val="2"/>
          </rPr>
          <t>No data available, assumed to be the same as PM10</t>
        </r>
      </text>
    </comment>
    <comment ref="D19" authorId="0" shapeId="0" xr:uid="{00000000-0006-0000-2D00-00000A000000}">
      <text>
        <r>
          <rPr>
            <sz val="9"/>
            <color indexed="81"/>
            <rFont val="Tahoma"/>
            <family val="2"/>
          </rPr>
          <t>No data available, assumed to be the same as PM10</t>
        </r>
      </text>
    </comment>
    <comment ref="B20" authorId="0" shapeId="0" xr:uid="{00000000-0006-0000-2D00-00000B000000}">
      <text>
        <r>
          <rPr>
            <sz val="9"/>
            <color indexed="81"/>
            <rFont val="Tahoma"/>
            <family val="2"/>
          </rPr>
          <t>EGRID2010 Average BFG plant emission factors
Calculations in Blast furnace gas emission factors1.xlsx</t>
        </r>
      </text>
    </comment>
    <comment ref="D20" authorId="0" shapeId="0" xr:uid="{00000000-0006-0000-2D00-00000C000000}">
      <text>
        <r>
          <rPr>
            <sz val="9"/>
            <color indexed="81"/>
            <rFont val="Tahoma"/>
            <family val="2"/>
          </rPr>
          <t>Data from "Life Cycle Material Data Update for GREET Model" Keoleian et al. 2011
Based on Athena 2002, Cradle-to-gate life cycle inventory: Canadian and US Steel Production by Mill Type</t>
        </r>
      </text>
    </comment>
    <comment ref="B23" authorId="0" shapeId="0" xr:uid="{00000000-0006-0000-2D00-00000D000000}">
      <text>
        <r>
          <rPr>
            <sz val="9"/>
            <color indexed="81"/>
            <rFont val="Tahoma"/>
            <family val="2"/>
          </rPr>
          <t>EGRID2010 Average BFG plant emission factors
Calculations in Blast furnace gas emission factors1.xlsx</t>
        </r>
      </text>
    </comment>
    <comment ref="D23" authorId="0" shapeId="0" xr:uid="{00000000-0006-0000-2D00-00000E000000}">
      <text>
        <r>
          <rPr>
            <sz val="9"/>
            <color indexed="81"/>
            <rFont val="Tahoma"/>
            <family val="2"/>
          </rPr>
          <t>Data from "Life Cycle Material Data Update for GREET Model" Keoleian et al. 2011
Based on Athena 2002, Cradle-to-gate life cycle inventory: Canadian and US Steel Production by Mill Type</t>
        </r>
      </text>
    </comment>
    <comment ref="B24" authorId="0" shapeId="0" xr:uid="{00000000-0006-0000-2D00-00000F000000}">
      <text>
        <r>
          <rPr>
            <sz val="9"/>
            <color indexed="81"/>
            <rFont val="Tahoma"/>
            <family val="2"/>
          </rPr>
          <t>EGRID2010 Average BFG plant emission factors
Calculations in Blast furnace gas emission factors1.xlsx</t>
        </r>
      </text>
    </comment>
    <comment ref="D24" authorId="0" shapeId="0" xr:uid="{00000000-0006-0000-2D00-000010000000}">
      <text>
        <r>
          <rPr>
            <sz val="9"/>
            <color indexed="81"/>
            <rFont val="Tahoma"/>
            <family val="2"/>
          </rPr>
          <t>No data available, assumed to be the same as BFG N2O</t>
        </r>
      </text>
    </comment>
    <comment ref="B25" authorId="0" shapeId="0" xr:uid="{00000000-0006-0000-2D00-000011000000}">
      <text>
        <r>
          <rPr>
            <sz val="9"/>
            <color indexed="81"/>
            <rFont val="Tahoma"/>
            <family val="2"/>
          </rPr>
          <t>Data from "Life Cycle Material Data Update for GREET Model" Keoleian et al. 2011
Based on Athena 2002, Cradle-to-gate life cycle inventory: Canadian and US Steel Production by Mill Type</t>
        </r>
      </text>
    </comment>
    <comment ref="D25" authorId="0" shapeId="0" xr:uid="{00000000-0006-0000-2D00-000012000000}">
      <text>
        <r>
          <rPr>
            <sz val="9"/>
            <color indexed="81"/>
            <rFont val="Tahoma"/>
            <family val="2"/>
          </rPr>
          <t>Data from "Life Cycle Material Data Update for GREET Model" Keoleian et al. 2011
Based on Athena 2002, Cradle-to-gate life cycle inventory: Canadian and US Steel Production by Mill Type</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Michael Wang</author>
    <author>jhan</author>
    <author>aburnham</author>
    <author>ywu</author>
  </authors>
  <commentList>
    <comment ref="B3" authorId="0" shapeId="0" xr:uid="{00000000-0006-0000-2F00-000001000000}">
      <text>
        <r>
          <rPr>
            <sz val="8"/>
            <color indexed="81"/>
            <rFont val="Tahoma"/>
            <family val="2"/>
          </rPr>
          <t xml:space="preserve">Similar to the GREET design for light-duty vehicles, three different truck types have been considered: Class 6 pickup-and-delivery (PnD), Class 8 regional day-cab, and Class 8 long-haul sleeper-cab trucks. Again, each of these truck types has to be simulated separately. 
If one truck type is selected, GREET generates results for the selected truck type. Before another truck type is simulated, results for the truck type already simulated need to be stored elsewhere outside of the GREET model. 
Make sure when doing a Total Energy Cycle simulation, to have the corresponding vehicle types chosen in both GREET 1 and GREET 2. 
1 = Class 6 PnD truck 
2 = Class 8 regional day-cab truck
3 = Class 8 long-haul sleeper-cab truck 
</t>
        </r>
      </text>
    </comment>
    <comment ref="B120" authorId="0" shapeId="0" xr:uid="{00000000-0006-0000-2F00-000002000000}">
      <text>
        <r>
          <rPr>
            <sz val="8"/>
            <color indexed="81"/>
            <rFont val="Tahoma"/>
            <family val="2"/>
          </rPr>
          <t xml:space="preserve">Similar to the GREET design for light-duty vehicles, three different truck types have been considered: Class 6 pickup-and-delivery (PnD), Class 8 regional day-cab, and Class 8 long-haul sleeper-cab trucks. Again, each of these truck types has to be simulated separately. 
If one truck type is selected, GREET generates results for the selected truck type. Before another truck type is simulated, results for the truck type already simulated need to be stored elsewhere outside of the GREET model. 
Make sure when doing a Total Energy Cycle simulation, to have the corresponding vehicle types chosen in both GREET 1 and GREET 2. 
1 = Class 6 PnD truck 
2 = Class 8 regional day-cab truck
3 = Class 8 long-haul sleeper-cab truck 
</t>
        </r>
      </text>
    </comment>
    <comment ref="B133" authorId="1" shapeId="0" xr:uid="{00000000-0006-0000-2F00-000003000000}">
      <text>
        <r>
          <rPr>
            <sz val="9"/>
            <color indexed="81"/>
            <rFont val="Tahoma"/>
            <family val="2"/>
          </rPr>
          <t>Assumed to be the same as Li-Ion</t>
        </r>
      </text>
    </comment>
    <comment ref="B134" authorId="1" shapeId="0" xr:uid="{00000000-0006-0000-2F00-000004000000}">
      <text>
        <r>
          <rPr>
            <sz val="9"/>
            <color indexed="81"/>
            <rFont val="Tahoma"/>
            <family val="2"/>
          </rPr>
          <t>J.B. Dunn, L. Gaines, M. Barnes, J. Sullivan and M. Wang, 2012. "Material and Energy Flows in the Materials Production, Assembly, and End of Life Stages of the Automotive Lithium Ion Battery Life Cycle," ANL/ESD/12-3</t>
        </r>
      </text>
    </comment>
    <comment ref="B137" authorId="2" shapeId="0" xr:uid="{00000000-0006-0000-2F00-000005000000}">
      <text>
        <r>
          <rPr>
            <sz val="8"/>
            <color indexed="81"/>
            <rFont val="Tahoma"/>
            <family val="2"/>
          </rPr>
          <t xml:space="preserve">Data from "Characterization of automotive paints: an environmental impact analysis" values in the paper were converted from electrical energy to primary energy
</t>
        </r>
      </text>
    </comment>
    <comment ref="B138" authorId="2" shapeId="0" xr:uid="{00000000-0006-0000-2F00-000006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39" authorId="2" shapeId="0" xr:uid="{00000000-0006-0000-2F00-000007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40" authorId="2" shapeId="0" xr:uid="{00000000-0006-0000-2F00-000008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41" authorId="2" shapeId="0" xr:uid="{00000000-0006-0000-2F00-000009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42" authorId="2" shapeId="0" xr:uid="{00000000-0006-0000-2F00-00000A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43" authorId="2" shapeId="0" xr:uid="{00000000-0006-0000-2F00-00000B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44" authorId="3" shapeId="0" xr:uid="{00000000-0006-0000-2F00-00000C000000}">
      <text>
        <r>
          <rPr>
            <sz val="8"/>
            <color indexed="81"/>
            <rFont val="Tahoma"/>
            <family val="2"/>
          </rPr>
          <t>Source: Life-cycle energy savings potenital from aluminum-intensive vehicles. F. Stodolsky, etc. Electricity use is 1.1 MJ/kg of vehicle.
Use conventional ICEV to calculate</t>
        </r>
      </text>
    </comment>
    <comment ref="B180" authorId="2" shapeId="0" xr:uid="{00000000-0006-0000-2F00-00000D000000}">
      <text>
        <r>
          <rPr>
            <sz val="8"/>
            <color indexed="81"/>
            <rFont val="Tahoma"/>
            <family val="2"/>
          </rPr>
          <t xml:space="preserve">Data from "Characterization of automotive paints: an environmental impact analysis" values in the paper were converted from electrical energy to primary energy
</t>
        </r>
      </text>
    </comment>
    <comment ref="B181" authorId="2" shapeId="0" xr:uid="{00000000-0006-0000-2F00-00000E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82" authorId="2" shapeId="0" xr:uid="{00000000-0006-0000-2F00-00000F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83" authorId="2" shapeId="0" xr:uid="{00000000-0006-0000-2F00-000010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84" authorId="2" shapeId="0" xr:uid="{00000000-0006-0000-2F00-000011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85" authorId="2" shapeId="0" xr:uid="{00000000-0006-0000-2F00-000012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86" authorId="2" shapeId="0" xr:uid="{00000000-0006-0000-2F00-000013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187" authorId="3" shapeId="0" xr:uid="{00000000-0006-0000-2F00-000014000000}">
      <text>
        <r>
          <rPr>
            <sz val="8"/>
            <color indexed="81"/>
            <rFont val="Tahoma"/>
            <family val="2"/>
          </rPr>
          <t>Source: Life-cycle energy savings potenital from aluminum-intensive vehicles. F. Stodolsky, etc. Electricity use is 1.1 MJ/kg of vehicle.
Use conventional ICEV to calculate</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ABK</author>
    <author>aburnham</author>
    <author>ywu</author>
    <author>Dai, Qiang</author>
    <author>Jeongwoo Han</author>
    <author>Michael Wang</author>
  </authors>
  <commentList>
    <comment ref="C169" authorId="0" shapeId="0" xr:uid="{00000000-0006-0000-3000-000001000000}">
      <text>
        <r>
          <rPr>
            <b/>
            <sz val="9"/>
            <color indexed="81"/>
            <rFont val="Tahoma"/>
            <family val="2"/>
          </rPr>
          <t>ABK:</t>
        </r>
        <r>
          <rPr>
            <sz val="9"/>
            <color indexed="81"/>
            <rFont val="Tahoma"/>
            <family val="2"/>
          </rPr>
          <t xml:space="preserve">
Steel = 1  - Rubber </t>
        </r>
      </text>
    </comment>
    <comment ref="A182" authorId="1" shapeId="0" xr:uid="{00000000-0006-0000-3000-000002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C190" authorId="0" shapeId="0" xr:uid="{00000000-0006-0000-3000-000003000000}">
      <text>
        <r>
          <rPr>
            <b/>
            <sz val="9"/>
            <color indexed="81"/>
            <rFont val="Tahoma"/>
            <family val="2"/>
          </rPr>
          <t>ABK:</t>
        </r>
        <r>
          <rPr>
            <sz val="9"/>
            <color indexed="81"/>
            <rFont val="Tahoma"/>
            <family val="2"/>
          </rPr>
          <t xml:space="preserve">
100% - (% sum of others)</t>
        </r>
      </text>
    </comment>
    <comment ref="D190" authorId="0" shapeId="0" xr:uid="{00000000-0006-0000-3000-000004000000}">
      <text>
        <r>
          <rPr>
            <b/>
            <sz val="9"/>
            <color indexed="81"/>
            <rFont val="Tahoma"/>
            <family val="2"/>
          </rPr>
          <t>ABK:</t>
        </r>
        <r>
          <rPr>
            <sz val="9"/>
            <color indexed="81"/>
            <rFont val="Tahoma"/>
            <family val="2"/>
          </rPr>
          <t xml:space="preserve">
100% - (% sum of others)</t>
        </r>
      </text>
    </comment>
    <comment ref="E190" authorId="0" shapeId="0" xr:uid="{00000000-0006-0000-3000-000005000000}">
      <text>
        <r>
          <rPr>
            <b/>
            <sz val="9"/>
            <color indexed="81"/>
            <rFont val="Tahoma"/>
            <family val="2"/>
          </rPr>
          <t>ABK:</t>
        </r>
        <r>
          <rPr>
            <sz val="9"/>
            <color indexed="81"/>
            <rFont val="Tahoma"/>
            <family val="2"/>
          </rPr>
          <t xml:space="preserve">
100% - (% sum of others)</t>
        </r>
      </text>
    </comment>
    <comment ref="F190" authorId="0" shapeId="0" xr:uid="{00000000-0006-0000-3000-000006000000}">
      <text>
        <r>
          <rPr>
            <b/>
            <sz val="9"/>
            <color indexed="81"/>
            <rFont val="Tahoma"/>
            <family val="2"/>
          </rPr>
          <t>ABK:</t>
        </r>
        <r>
          <rPr>
            <sz val="9"/>
            <color indexed="81"/>
            <rFont val="Tahoma"/>
            <family val="2"/>
          </rPr>
          <t xml:space="preserve">
100% - (% sum of others)</t>
        </r>
      </text>
    </comment>
    <comment ref="A300" authorId="1" shapeId="0" xr:uid="{00000000-0006-0000-3000-000007000000}">
      <text>
        <r>
          <rPr>
            <sz val="9"/>
            <color indexed="81"/>
            <rFont val="Tahoma"/>
            <family val="2"/>
          </rPr>
          <t xml:space="preserve">Based on Burnham, A., 2012, Updated Vehicle Specifications in the GREET Vehicle-Cycle Model Center for Transportation Research, Argonne National Laboratory, Argonne, Ill.
</t>
        </r>
      </text>
    </comment>
    <comment ref="C307" authorId="2" shapeId="0" xr:uid="{00000000-0006-0000-3000-000008000000}">
      <text>
        <r>
          <rPr>
            <sz val="8"/>
            <color indexed="81"/>
            <rFont val="Tahoma"/>
            <family val="2"/>
          </rPr>
          <t>Data from "Life Cycle Material Data Update for GREET Model" Keoleian et al. 2012
Based onTable 2.1</t>
        </r>
      </text>
    </comment>
    <comment ref="C308" authorId="1" shapeId="0" xr:uid="{00000000-0006-0000-3000-000009000000}">
      <text>
        <r>
          <rPr>
            <sz val="9"/>
            <color indexed="81"/>
            <rFont val="Tahoma"/>
            <family val="2"/>
          </rPr>
          <t>From "Life Cycle Inventory Report for the North American Aluminum Industry" Weston 1998
Page 5-6</t>
        </r>
      </text>
    </comment>
    <comment ref="C309" authorId="1" shapeId="0" xr:uid="{00000000-0006-0000-3000-00000A000000}">
      <text>
        <r>
          <rPr>
            <sz val="9"/>
            <color indexed="81"/>
            <rFont val="Tahoma"/>
            <family val="2"/>
          </rPr>
          <t>Updated value using data from "Life Cycle Inventory Report for the North American Aluminum Industry" Weston 1998
Page 5-6</t>
        </r>
      </text>
    </comment>
    <comment ref="B315" authorId="2" shapeId="0" xr:uid="{00000000-0006-0000-3000-00000B000000}">
      <text>
        <r>
          <rPr>
            <sz val="8"/>
            <color indexed="81"/>
            <rFont val="Tahoma"/>
            <family val="2"/>
          </rPr>
          <t>Data from "Life Cycle Material Data Update for GREET Model" Keoleian et al. 2012
Based onTable 2.1</t>
        </r>
      </text>
    </comment>
    <comment ref="C315" authorId="2" shapeId="0" xr:uid="{00000000-0006-0000-3000-00000C000000}">
      <text>
        <r>
          <rPr>
            <sz val="8"/>
            <color indexed="81"/>
            <rFont val="Tahoma"/>
            <family val="2"/>
          </rPr>
          <t>Data from "Life Cycle Material Data Update for GREET Model" Keoleian et al. 2012
Based onTable 2.1</t>
        </r>
      </text>
    </comment>
    <comment ref="D315" authorId="2" shapeId="0" xr:uid="{00000000-0006-0000-3000-00000D000000}">
      <text>
        <r>
          <rPr>
            <sz val="8"/>
            <color indexed="81"/>
            <rFont val="Tahoma"/>
            <family val="2"/>
          </rPr>
          <t>Data from "Life Cycle Material Data Update for GREET Model" Keoleian et al. 2012
Based onTable 2.1</t>
        </r>
      </text>
    </comment>
    <comment ref="D316" authorId="0" shapeId="0" xr:uid="{00000000-0006-0000-3000-00000E000000}">
      <text>
        <r>
          <rPr>
            <b/>
            <sz val="9"/>
            <color indexed="81"/>
            <rFont val="Tahoma"/>
            <family val="2"/>
          </rPr>
          <t>ABK:</t>
        </r>
        <r>
          <rPr>
            <sz val="9"/>
            <color indexed="81"/>
            <rFont val="Tahoma"/>
            <family val="2"/>
          </rPr>
          <t xml:space="preserve">
100% - (% sum of others)</t>
        </r>
      </text>
    </comment>
    <comment ref="B320" authorId="2" shapeId="0" xr:uid="{00000000-0006-0000-3000-00000F000000}">
      <text>
        <r>
          <rPr>
            <sz val="8"/>
            <color indexed="81"/>
            <rFont val="Tahoma"/>
            <family val="2"/>
          </rPr>
          <t>Data from "Life Cycle Material Data Update for GREET Model" Keoleian et al. 2012</t>
        </r>
      </text>
    </comment>
    <comment ref="G320" authorId="3" shapeId="0" xr:uid="{00000000-0006-0000-3000-000010000000}">
      <text>
        <r>
          <rPr>
            <sz val="9"/>
            <color indexed="81"/>
            <rFont val="Tahoma"/>
            <family val="2"/>
          </rPr>
          <t>Title: Update of Process Energy Requirement and Material Efficiency for Steel and Al Stamping in the GREET Model
Publication date: September 2017
Authors: Q. Dai, J.C. Kelly, and A. Elgowainy</t>
        </r>
      </text>
    </comment>
    <comment ref="B321" authorId="1" shapeId="0" xr:uid="{00000000-0006-0000-3000-000011000000}">
      <text>
        <r>
          <rPr>
            <sz val="8"/>
            <color indexed="81"/>
            <rFont val="Tahoma"/>
            <family val="2"/>
          </rPr>
          <t>Based on Athena 2002, Cradle-to-gate life cycle inventory: Canadian and US Steel Production by Mill Type</t>
        </r>
      </text>
    </comment>
    <comment ref="J321" authorId="1" shapeId="0" xr:uid="{00000000-0006-0000-3000-000012000000}">
      <text>
        <r>
          <rPr>
            <sz val="8"/>
            <color indexed="81"/>
            <rFont val="Tahoma"/>
            <family val="2"/>
          </rPr>
          <t>Data from "Energy Analysis of 108 Industrial Processes" Brown et al. 1996
Page 309</t>
        </r>
      </text>
    </comment>
    <comment ref="B322" authorId="1" shapeId="0" xr:uid="{00000000-0006-0000-3000-000013000000}">
      <text>
        <r>
          <rPr>
            <sz val="8"/>
            <color indexed="81"/>
            <rFont val="Tahoma"/>
            <family val="2"/>
          </rPr>
          <t>Recycled steel for construction was not updated in "Life Cycle Material Data Update for GREET Model" Keoleian et al. 2012
Assumed to be the same as recycled steel</t>
        </r>
      </text>
    </comment>
    <comment ref="J322" authorId="1" shapeId="0" xr:uid="{00000000-0006-0000-3000-000014000000}">
      <text>
        <r>
          <rPr>
            <sz val="9"/>
            <color indexed="81"/>
            <rFont val="Tahoma"/>
            <family val="2"/>
          </rPr>
          <t>Data from "Energy Analysis of 108 Industrial Processes" Brown et al. 1996
Page 309</t>
        </r>
      </text>
    </comment>
    <comment ref="B323" authorId="1" shapeId="0" xr:uid="{00000000-0006-0000-3000-000015000000}">
      <text>
        <r>
          <rPr>
            <sz val="8"/>
            <color indexed="81"/>
            <rFont val="Tahoma"/>
            <family val="2"/>
          </rPr>
          <t>Stainless steel was not updated in "Life Cycle Material Data Update for GREET Model" Keoleian et al. 2012
Have kept the same intermediate amount of EAF, which is then sent to the rod and bar mill.</t>
        </r>
      </text>
    </comment>
    <comment ref="J323" authorId="1" shapeId="0" xr:uid="{00000000-0006-0000-3000-000016000000}">
      <text>
        <r>
          <rPr>
            <sz val="9"/>
            <color indexed="81"/>
            <rFont val="Tahoma"/>
            <family val="2"/>
          </rPr>
          <t>Data from "Energy Analysis of 108 Industrial Processes" Brown et al. 1996
Page 309</t>
        </r>
      </text>
    </comment>
    <comment ref="B326" authorId="1" shapeId="0" xr:uid="{00000000-0006-0000-3000-000017000000}">
      <text>
        <r>
          <rPr>
            <sz val="9"/>
            <color indexed="81"/>
            <rFont val="Tahoma"/>
            <family val="2"/>
          </rPr>
          <t xml:space="preserve">Data is based on from Table 7 of "Energy-Consumption and Carbon-Emission Analysis of Vehicle and Component Manufacturing" Sullivan et al 2010
Calculations in Listofprocesses_ajb_020112,xls
</t>
        </r>
      </text>
    </comment>
    <comment ref="C326" authorId="1" shapeId="0" xr:uid="{00000000-0006-0000-3000-000018000000}">
      <text>
        <r>
          <rPr>
            <sz val="9"/>
            <color indexed="81"/>
            <rFont val="Tahoma"/>
            <family val="2"/>
          </rPr>
          <t xml:space="preserve">Data is based on from Table 7 of "Energy-Consumption and Carbon-Emission Analysis of Vehicle and Component Manufacturing" Sullivan et al 2010
Calculations in Listofprocesses_ajb_020112,xls
</t>
        </r>
      </text>
    </comment>
    <comment ref="B330" authorId="1" shapeId="0" xr:uid="{00000000-0006-0000-3000-000019000000}">
      <text>
        <r>
          <rPr>
            <sz val="9"/>
            <color indexed="81"/>
            <rFont val="Tahoma"/>
            <family val="2"/>
          </rPr>
          <t>Data from "Life Cycle Inventory Report for the North American Aluminum Industry" Weston 1998
Page 5-6. All rolled aluminum is assumed to be cold rolled based on page 2-2</t>
        </r>
      </text>
    </comment>
    <comment ref="C330" authorId="1" shapeId="0" xr:uid="{00000000-0006-0000-3000-00001A000000}">
      <text>
        <r>
          <rPr>
            <sz val="9"/>
            <color indexed="81"/>
            <rFont val="Tahoma"/>
            <family val="2"/>
          </rPr>
          <t>Data from "Life Cycle Inventory Report for the North American Aluminum Industry" Weston 1998
Page 5-6. All rolled aluminum is assumed to be cold rolled based on page 2-2</t>
        </r>
      </text>
    </comment>
    <comment ref="D330" authorId="1" shapeId="0" xr:uid="{00000000-0006-0000-3000-00001B000000}">
      <text>
        <r>
          <rPr>
            <sz val="9"/>
            <color indexed="81"/>
            <rFont val="Tahoma"/>
            <family val="2"/>
          </rPr>
          <t>Data from "Life Cycle Inventory Report for the North American Aluminum Industry" Weston 1998
Page 5-6. All rolled aluminum is assumed to be cold rolled based on page 2-2</t>
        </r>
      </text>
    </comment>
    <comment ref="B335" authorId="2" shapeId="0" xr:uid="{00000000-0006-0000-3000-00001C000000}">
      <text>
        <r>
          <rPr>
            <sz val="8"/>
            <color indexed="81"/>
            <rFont val="Tahoma"/>
            <family val="2"/>
          </rPr>
          <t xml:space="preserve">Virgin Production (Bauxite Mining through Primary Ingot Casting) data from "Life Cycle Impact Assessment of Aluminum Beverage Cans" Aluminum Association 2010.
</t>
        </r>
      </text>
    </comment>
    <comment ref="G335" authorId="4" shapeId="0" xr:uid="{00000000-0006-0000-3000-00001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335" authorId="4" shapeId="0" xr:uid="{00000000-0006-0000-3000-00001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L335" authorId="4" shapeId="0" xr:uid="{00000000-0006-0000-3000-00001F000000}">
      <text>
        <r>
          <rPr>
            <sz val="9"/>
            <color indexed="81"/>
            <rFont val="Tahoma"/>
            <family val="2"/>
          </rPr>
          <t xml:space="preserve">Title: Update of Process Energy Requirement and Material Efficiency for Steel and Al Stamping in the GREET Model
Publication date: September 2017
Authors: Q. Dai, J.C. Kelly, and A. Elgowainy
</t>
        </r>
      </text>
    </comment>
    <comment ref="B336" authorId="2" shapeId="0" xr:uid="{00000000-0006-0000-3000-000020000000}">
      <text>
        <r>
          <rPr>
            <sz val="8"/>
            <color indexed="81"/>
            <rFont val="Tahoma"/>
            <family val="2"/>
          </rPr>
          <t xml:space="preserve">Virgin Production (Bauxite Mining through Primary Ingot Casting) data from "Life Cycle Impact Assessment of Aluminum Beverage Cans" Aluminum Association 2010.
</t>
        </r>
      </text>
    </comment>
    <comment ref="G336" authorId="4" shapeId="0" xr:uid="{00000000-0006-0000-3000-00002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336" authorId="4" shapeId="0" xr:uid="{00000000-0006-0000-3000-00002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336" authorId="4" shapeId="0" xr:uid="{00000000-0006-0000-3000-00002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L336" authorId="4" shapeId="0" xr:uid="{00000000-0006-0000-3000-000024000000}">
      <text>
        <r>
          <rPr>
            <sz val="9"/>
            <color indexed="81"/>
            <rFont val="Tahoma"/>
            <family val="2"/>
          </rPr>
          <t xml:space="preserve">Title: Update of Process Energy Requirement and Material Efficiency for Steel and Al Stamping in the GREET Model
Publication date: September 2017
Authors: Q. Dai, J.C. Kelly, and A. Elgowainy
</t>
        </r>
      </text>
    </comment>
    <comment ref="B337" authorId="2" shapeId="0" xr:uid="{00000000-0006-0000-3000-000025000000}">
      <text>
        <r>
          <rPr>
            <sz val="8"/>
            <color indexed="81"/>
            <rFont val="Tahoma"/>
            <family val="2"/>
          </rPr>
          <t xml:space="preserve">Virgin Production (Bauxite Mining through Primary Ingot Casting) data from "Life Cycle Impact Assessment of Aluminum Beverage Cans" Aluminum Association 2010.
</t>
        </r>
      </text>
    </comment>
    <comment ref="G337" authorId="4" shapeId="0" xr:uid="{00000000-0006-0000-3000-000026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M337" authorId="4" shapeId="0" xr:uid="{00000000-0006-0000-3000-00002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H338" authorId="4" shapeId="0" xr:uid="{00000000-0006-0000-3000-00002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338" authorId="4" shapeId="0" xr:uid="{00000000-0006-0000-3000-00002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338" authorId="4" shapeId="0" xr:uid="{00000000-0006-0000-3000-00002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L338" authorId="4" shapeId="0" xr:uid="{00000000-0006-0000-3000-00002B000000}">
      <text>
        <r>
          <rPr>
            <sz val="9"/>
            <color indexed="81"/>
            <rFont val="Tahoma"/>
            <family val="2"/>
          </rPr>
          <t xml:space="preserve">Title: Update of Process Energy Requirement and Material Efficiency for Steel and Al Stamping in the GREET Model
Publication date: September 2017
Authors: Q. Dai, J.C. Kelly, and A. Elgowainy
</t>
        </r>
      </text>
    </comment>
    <comment ref="H339" authorId="4" shapeId="0" xr:uid="{00000000-0006-0000-3000-00002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339" authorId="4" shapeId="0" xr:uid="{00000000-0006-0000-3000-00002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339" authorId="4" shapeId="0" xr:uid="{00000000-0006-0000-3000-00002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K339" authorId="4" shapeId="0" xr:uid="{00000000-0006-0000-3000-00002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L339" authorId="4" shapeId="0" xr:uid="{00000000-0006-0000-3000-000030000000}">
      <text>
        <r>
          <rPr>
            <sz val="9"/>
            <color indexed="81"/>
            <rFont val="Tahoma"/>
            <family val="2"/>
          </rPr>
          <t>Title: Update of Process Energy Requirement and Material Efficiency for Steel and Al Stamping in the GREET Model
Publication date: September 2017
Authors: Q. Dai, J.C. Kelly, and A. Elgowainy</t>
        </r>
      </text>
    </comment>
    <comment ref="H340" authorId="4" shapeId="0" xr:uid="{00000000-0006-0000-3000-00003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340" authorId="4" shapeId="0" xr:uid="{00000000-0006-0000-3000-00003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M340" authorId="4" shapeId="0" xr:uid="{00000000-0006-0000-3000-00003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344" authorId="2" shapeId="0" xr:uid="{00000000-0006-0000-3000-000034000000}">
      <text>
        <r>
          <rPr>
            <sz val="8"/>
            <color indexed="81"/>
            <rFont val="Tahoma"/>
            <family val="2"/>
          </rPr>
          <t xml:space="preserve">Virgin Production (Bauxite Mining through Primary Ingot Casting) data from "Life Cycle Impact Assessment of Aluminum Beverage Cans" Aluminum Association 2010.
</t>
        </r>
      </text>
    </comment>
    <comment ref="G344" authorId="4" shapeId="0" xr:uid="{00000000-0006-0000-3000-00003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344" authorId="1" shapeId="0" xr:uid="{00000000-0006-0000-3000-000036000000}">
      <text>
        <r>
          <rPr>
            <sz val="9"/>
            <color indexed="81"/>
            <rFont val="Tahoma"/>
            <family val="2"/>
          </rPr>
          <t>Data from "Life Cycle Inventory Report for the North American Aluminum Industry" Weston 1998
Table 4-7</t>
        </r>
      </text>
    </comment>
    <comment ref="K344" authorId="1" shapeId="0" xr:uid="{00000000-0006-0000-3000-000037000000}">
      <text>
        <r>
          <rPr>
            <sz val="9"/>
            <color indexed="81"/>
            <rFont val="Tahoma"/>
            <family val="2"/>
          </rPr>
          <t>Data from "Energy Analysis of 108 Industrial Processes" Brown et al. 1996
Page 309</t>
        </r>
      </text>
    </comment>
    <comment ref="H345" authorId="4" shapeId="0" xr:uid="{00000000-0006-0000-3000-00003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I345" authorId="4" shapeId="0" xr:uid="{00000000-0006-0000-3000-00003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J345" authorId="1" shapeId="0" xr:uid="{00000000-0006-0000-3000-00003A000000}">
      <text>
        <r>
          <rPr>
            <sz val="9"/>
            <color indexed="81"/>
            <rFont val="Tahoma"/>
            <family val="2"/>
          </rPr>
          <t>Data from "Life Cycle Inventory Report for the North American Aluminum Industry" Weston 1998
Table 4-7</t>
        </r>
      </text>
    </comment>
    <comment ref="K345" authorId="1" shapeId="0" xr:uid="{00000000-0006-0000-3000-00003B000000}">
      <text>
        <r>
          <rPr>
            <sz val="9"/>
            <color indexed="81"/>
            <rFont val="Tahoma"/>
            <family val="2"/>
          </rPr>
          <t>Data from "Energy Analysis of 108 Industrial Processes" Brown et al. 1996
Page 309</t>
        </r>
      </text>
    </comment>
    <comment ref="B348" authorId="5" shapeId="0" xr:uid="{00000000-0006-0000-3000-00003C000000}">
      <text>
        <r>
          <rPr>
            <sz val="8"/>
            <color indexed="81"/>
            <rFont val="Tahoma"/>
            <family val="2"/>
          </rPr>
          <t>Based on the chemical composition of nickel hydroxide.</t>
        </r>
      </text>
    </comment>
    <comment ref="A354" authorId="1" shapeId="0" xr:uid="{00000000-0006-0000-3000-00003D000000}">
      <text>
        <r>
          <rPr>
            <sz val="9"/>
            <color indexed="81"/>
            <rFont val="Tahoma"/>
            <family val="2"/>
          </rPr>
          <t xml:space="preserve">Data is based on from Table A-1 of "Energy-Consumption and Carbon-Emission Analysis of Vehicle and Component Manufacturing" Sullivan et al 2010
Calculations in Listofprocesses_ajb_020112,xls
</t>
        </r>
      </text>
    </comment>
    <comment ref="Q356" authorId="0" shapeId="0" xr:uid="{00000000-0006-0000-3000-00003E000000}">
      <text>
        <r>
          <rPr>
            <b/>
            <sz val="9"/>
            <color indexed="81"/>
            <rFont val="Tahoma"/>
            <family val="2"/>
          </rPr>
          <t>ABK:</t>
        </r>
        <r>
          <rPr>
            <sz val="9"/>
            <color indexed="81"/>
            <rFont val="Tahoma"/>
            <family val="2"/>
          </rPr>
          <t xml:space="preserve">
100% - (% sum of others)</t>
        </r>
      </text>
    </comment>
    <comment ref="B360" authorId="4" shapeId="0" xr:uid="{00000000-0006-0000-3000-00003F000000}">
      <text>
        <r>
          <rPr>
            <sz val="9"/>
            <color indexed="81"/>
            <rFont val="Tahoma"/>
            <family val="2"/>
          </rPr>
          <t xml:space="preserve">Title: Life Cycle Assessment Update of Glass and Glass Fiber for GREET
Publication Date: September 2015
Authors: Q. Dai, J.C. Kelly, J. Sullivan, and A. Elgowainy
</t>
        </r>
      </text>
    </comment>
    <comment ref="E360" authorId="0" shapeId="0" xr:uid="{00000000-0006-0000-3000-000040000000}">
      <text>
        <r>
          <rPr>
            <b/>
            <sz val="9"/>
            <color indexed="81"/>
            <rFont val="Tahoma"/>
            <family val="2"/>
          </rPr>
          <t>ABK:</t>
        </r>
        <r>
          <rPr>
            <sz val="9"/>
            <color indexed="81"/>
            <rFont val="Tahoma"/>
            <family val="2"/>
          </rPr>
          <t xml:space="preserve">
100% - (% sum of others)</t>
        </r>
      </text>
    </comment>
    <comment ref="B361" authorId="4" shapeId="0" xr:uid="{00000000-0006-0000-3000-000041000000}">
      <text>
        <r>
          <rPr>
            <sz val="9"/>
            <color indexed="81"/>
            <rFont val="Tahoma"/>
            <family val="2"/>
          </rPr>
          <t xml:space="preserve">Title: Life Cycle Assessment Update of Glass and Glass Fiber for GREET
Publication Date: September 2015
Authors: Q. Dai, J.C. Kelly, J. Sullivan, and A. Elgowainy
</t>
        </r>
      </text>
    </comment>
    <comment ref="E361" authorId="0" shapeId="0" xr:uid="{00000000-0006-0000-3000-000042000000}">
      <text>
        <r>
          <rPr>
            <b/>
            <sz val="9"/>
            <color indexed="81"/>
            <rFont val="Tahoma"/>
            <family val="2"/>
          </rPr>
          <t>ABK:</t>
        </r>
        <r>
          <rPr>
            <sz val="9"/>
            <color indexed="81"/>
            <rFont val="Tahoma"/>
            <family val="2"/>
          </rPr>
          <t xml:space="preserve">
100% - (% sum of others)</t>
        </r>
      </text>
    </comment>
    <comment ref="B362" authorId="4" shapeId="0" xr:uid="{00000000-0006-0000-3000-000043000000}">
      <text>
        <r>
          <rPr>
            <sz val="9"/>
            <color indexed="81"/>
            <rFont val="Tahoma"/>
            <family val="2"/>
          </rPr>
          <t xml:space="preserve">Title: Life Cycle Assessment Update of Glass and Glass Fiber for GREET
Publication Date: September 2015
Authors: Q. Dai, J.C. Kelly, J. Sullivan, and A. Elgowainy
</t>
        </r>
      </text>
    </comment>
    <comment ref="E362" authorId="0" shapeId="0" xr:uid="{00000000-0006-0000-3000-000044000000}">
      <text>
        <r>
          <rPr>
            <b/>
            <sz val="9"/>
            <color indexed="81"/>
            <rFont val="Tahoma"/>
            <family val="2"/>
          </rPr>
          <t>ABK:</t>
        </r>
        <r>
          <rPr>
            <sz val="9"/>
            <color indexed="81"/>
            <rFont val="Tahoma"/>
            <family val="2"/>
          </rPr>
          <t xml:space="preserve">
100% - (% sum of others)</t>
        </r>
      </text>
    </comment>
    <comment ref="D364" authorId="0" shapeId="0" xr:uid="{00000000-0006-0000-3000-000045000000}">
      <text>
        <r>
          <rPr>
            <b/>
            <sz val="9"/>
            <color indexed="81"/>
            <rFont val="Tahoma"/>
            <family val="2"/>
          </rPr>
          <t>ABK:</t>
        </r>
        <r>
          <rPr>
            <sz val="9"/>
            <color indexed="81"/>
            <rFont val="Tahoma"/>
            <family val="2"/>
          </rPr>
          <t xml:space="preserve">
100% - (% sum of others)</t>
        </r>
      </text>
    </comment>
    <comment ref="D365" authorId="0" shapeId="0" xr:uid="{00000000-0006-0000-3000-000046000000}">
      <text>
        <r>
          <rPr>
            <b/>
            <sz val="9"/>
            <color indexed="81"/>
            <rFont val="Tahoma"/>
            <family val="2"/>
          </rPr>
          <t>ABK:</t>
        </r>
        <r>
          <rPr>
            <sz val="9"/>
            <color indexed="81"/>
            <rFont val="Tahoma"/>
            <family val="2"/>
          </rPr>
          <t xml:space="preserve">
100% - (% sum of others)</t>
        </r>
      </text>
    </comment>
    <comment ref="B370" authorId="1" shapeId="0" xr:uid="{00000000-0006-0000-3000-000047000000}">
      <text>
        <r>
          <rPr>
            <sz val="9"/>
            <color indexed="81"/>
            <rFont val="Tahoma"/>
            <family val="2"/>
          </rPr>
          <t>Data from "Life Cycle Material Data Update for GREET Model" Keoleian et al. 2012
Table 2.42</t>
        </r>
      </text>
    </comment>
    <comment ref="B371" authorId="1" shapeId="0" xr:uid="{00000000-0006-0000-3000-000048000000}">
      <text>
        <r>
          <rPr>
            <sz val="9"/>
            <color indexed="81"/>
            <rFont val="Tahoma"/>
            <family val="2"/>
          </rPr>
          <t>Data from "Life Cycle Material Data Update for GREET Model" Keoleian et al. 2012
Table 2.42</t>
        </r>
      </text>
    </comment>
    <comment ref="B372" authorId="1" shapeId="0" xr:uid="{00000000-0006-0000-3000-000049000000}">
      <text>
        <r>
          <rPr>
            <sz val="9"/>
            <color indexed="81"/>
            <rFont val="Tahoma"/>
            <family val="2"/>
          </rPr>
          <t>Data from "Life Cycle Material Data Update for GREET Model" Keoleian et al. 2012
Table 2.42</t>
        </r>
      </text>
    </comment>
    <comment ref="B373" authorId="1" shapeId="0" xr:uid="{00000000-0006-0000-3000-00004A000000}">
      <text>
        <r>
          <rPr>
            <sz val="9"/>
            <color indexed="81"/>
            <rFont val="Tahoma"/>
            <family val="2"/>
          </rPr>
          <t>Data from "Life Cycle Material Data Update for GREET Model" Keoleian et al. 2012
Table 2.42</t>
        </r>
      </text>
    </comment>
    <comment ref="B374" authorId="1" shapeId="0" xr:uid="{00000000-0006-0000-3000-00004B000000}">
      <text>
        <r>
          <rPr>
            <sz val="9"/>
            <color indexed="81"/>
            <rFont val="Tahoma"/>
            <family val="2"/>
          </rPr>
          <t>Data from "Life Cycle Material Data Update for GREET Model" Keoleian et al. 2012
Table 2.42</t>
        </r>
      </text>
    </comment>
    <comment ref="B375" authorId="1" shapeId="0" xr:uid="{00000000-0006-0000-3000-00004C000000}">
      <text>
        <r>
          <rPr>
            <sz val="9"/>
            <color indexed="81"/>
            <rFont val="Tahoma"/>
            <family val="2"/>
          </rPr>
          <t>Data from "Life Cycle Material Data Update for GREET Model" Keoleian et al. 2012
Table 2.42</t>
        </r>
      </text>
    </comment>
    <comment ref="B376" authorId="1" shapeId="0" xr:uid="{00000000-0006-0000-3000-00004D000000}">
      <text>
        <r>
          <rPr>
            <sz val="9"/>
            <color indexed="81"/>
            <rFont val="Tahoma"/>
            <family val="2"/>
          </rPr>
          <t>Data from "Life Cycle Material Data Update for GREET Model" Keoleian et al. 2012
Table 2.42</t>
        </r>
      </text>
    </comment>
    <comment ref="B377" authorId="1" shapeId="0" xr:uid="{00000000-0006-0000-3000-00004E000000}">
      <text>
        <r>
          <rPr>
            <sz val="9"/>
            <color indexed="81"/>
            <rFont val="Tahoma"/>
            <family val="2"/>
          </rPr>
          <t>Data from "Life Cycle Material Data Update for GREET Model" Keoleian et al. 2012
Table 2.42</t>
        </r>
      </text>
    </comment>
    <comment ref="B378" authorId="1" shapeId="0" xr:uid="{00000000-0006-0000-3000-00004F000000}">
      <text>
        <r>
          <rPr>
            <sz val="9"/>
            <color indexed="81"/>
            <rFont val="Tahoma"/>
            <family val="2"/>
          </rPr>
          <t>Data from "Life Cycle Material Data Update for GREET Model" Keoleian et al. 2012
Table 2.42</t>
        </r>
      </text>
    </comment>
    <comment ref="B384" authorId="1" shapeId="0" xr:uid="{00000000-0006-0000-3000-000050000000}">
      <text>
        <r>
          <rPr>
            <sz val="9"/>
            <color indexed="81"/>
            <rFont val="Tahoma"/>
            <family val="2"/>
          </rPr>
          <t>Data from "Life Cycle Material Data Update for GREET Model" Keoleian et al. 2012
Table 2.41</t>
        </r>
      </text>
    </comment>
    <comment ref="B385" authorId="1" shapeId="0" xr:uid="{00000000-0006-0000-3000-000051000000}">
      <text>
        <r>
          <rPr>
            <sz val="9"/>
            <color indexed="81"/>
            <rFont val="Tahoma"/>
            <family val="2"/>
          </rPr>
          <t>Data from "Life Cycle Material Data Update for GREET Model" Keoleian et al. 2012
Table 2.41</t>
        </r>
      </text>
    </comment>
    <comment ref="B386" authorId="1" shapeId="0" xr:uid="{00000000-0006-0000-3000-000052000000}">
      <text>
        <r>
          <rPr>
            <sz val="9"/>
            <color indexed="81"/>
            <rFont val="Tahoma"/>
            <family val="2"/>
          </rPr>
          <t>Data from "Life Cycle Material Data Update for GREET Model" Keoleian et al. 2012
Table 2.41</t>
        </r>
      </text>
    </comment>
    <comment ref="B387" authorId="1" shapeId="0" xr:uid="{00000000-0006-0000-3000-000053000000}">
      <text>
        <r>
          <rPr>
            <sz val="9"/>
            <color indexed="81"/>
            <rFont val="Tahoma"/>
            <family val="2"/>
          </rPr>
          <t>Data from "Life Cycle Material Data Update for GREET Model" Keoleian et al. 2012
Table 2.41</t>
        </r>
      </text>
    </comment>
    <comment ref="B388" authorId="1" shapeId="0" xr:uid="{00000000-0006-0000-3000-000054000000}">
      <text>
        <r>
          <rPr>
            <sz val="9"/>
            <color indexed="81"/>
            <rFont val="Tahoma"/>
            <family val="2"/>
          </rPr>
          <t>Data from "Life Cycle Material Data Update for GREET Model" Keoleian et al. 2012
Table 2.41</t>
        </r>
      </text>
    </comment>
    <comment ref="B389" authorId="1" shapeId="0" xr:uid="{00000000-0006-0000-3000-000055000000}">
      <text>
        <r>
          <rPr>
            <sz val="9"/>
            <color indexed="81"/>
            <rFont val="Tahoma"/>
            <family val="2"/>
          </rPr>
          <t>Data from "Life Cycle Material Data Update for GREET Model" Keoleian et al. 2012
Table 2.41</t>
        </r>
      </text>
    </comment>
    <comment ref="B390" authorId="1" shapeId="0" xr:uid="{00000000-0006-0000-3000-000056000000}">
      <text>
        <r>
          <rPr>
            <sz val="9"/>
            <color indexed="81"/>
            <rFont val="Tahoma"/>
            <family val="2"/>
          </rPr>
          <t>Data from "Life Cycle Material Data Update for GREET Model" Keoleian et al. 2012
Table 2.41</t>
        </r>
      </text>
    </comment>
    <comment ref="B391" authorId="1" shapeId="0" xr:uid="{00000000-0006-0000-3000-000057000000}">
      <text>
        <r>
          <rPr>
            <sz val="9"/>
            <color indexed="81"/>
            <rFont val="Tahoma"/>
            <family val="2"/>
          </rPr>
          <t>Data from "Life Cycle Material Data Update for GREET Model" Keoleian et al. 2012
Table 2.41</t>
        </r>
      </text>
    </comment>
    <comment ref="B392" authorId="1" shapeId="0" xr:uid="{00000000-0006-0000-3000-000058000000}">
      <text>
        <r>
          <rPr>
            <sz val="9"/>
            <color indexed="81"/>
            <rFont val="Tahoma"/>
            <family val="2"/>
          </rPr>
          <t>Data from "Life Cycle Material Data Update for GREET Model" Keoleian et al. 2012
Table 2.41</t>
        </r>
      </text>
    </comment>
    <comment ref="C392" authorId="0" shapeId="0" xr:uid="{00000000-0006-0000-3000-000059000000}">
      <text>
        <r>
          <rPr>
            <b/>
            <sz val="9"/>
            <color indexed="81"/>
            <rFont val="Tahoma"/>
            <family val="2"/>
          </rPr>
          <t>ABK:</t>
        </r>
        <r>
          <rPr>
            <sz val="9"/>
            <color indexed="81"/>
            <rFont val="Tahoma"/>
            <family val="2"/>
          </rPr>
          <t xml:space="preserve">
100% - (% sum of others)</t>
        </r>
      </text>
    </comment>
    <comment ref="D392" authorId="0" shapeId="0" xr:uid="{00000000-0006-0000-3000-00005A000000}">
      <text>
        <r>
          <rPr>
            <b/>
            <sz val="9"/>
            <color indexed="81"/>
            <rFont val="Tahoma"/>
            <family val="2"/>
          </rPr>
          <t>ABK:</t>
        </r>
        <r>
          <rPr>
            <sz val="9"/>
            <color indexed="81"/>
            <rFont val="Tahoma"/>
            <family val="2"/>
          </rPr>
          <t xml:space="preserve">
100% - (% sum of others)</t>
        </r>
      </text>
    </comment>
    <comment ref="E392" authorId="0" shapeId="0" xr:uid="{00000000-0006-0000-3000-00005B000000}">
      <text>
        <r>
          <rPr>
            <b/>
            <sz val="9"/>
            <color indexed="81"/>
            <rFont val="Tahoma"/>
            <family val="2"/>
          </rPr>
          <t>ABK:</t>
        </r>
        <r>
          <rPr>
            <sz val="9"/>
            <color indexed="81"/>
            <rFont val="Tahoma"/>
            <family val="2"/>
          </rPr>
          <t xml:space="preserve">
100% - (% sum of others)</t>
        </r>
      </text>
    </comment>
    <comment ref="F392" authorId="0" shapeId="0" xr:uid="{00000000-0006-0000-3000-00005C000000}">
      <text>
        <r>
          <rPr>
            <b/>
            <sz val="9"/>
            <color indexed="81"/>
            <rFont val="Tahoma"/>
            <family val="2"/>
          </rPr>
          <t>ABK:</t>
        </r>
        <r>
          <rPr>
            <sz val="9"/>
            <color indexed="81"/>
            <rFont val="Tahoma"/>
            <family val="2"/>
          </rPr>
          <t xml:space="preserve">
100% - (% sum of others)</t>
        </r>
      </text>
    </comment>
    <comment ref="G392" authorId="0" shapeId="0" xr:uid="{00000000-0006-0000-3000-00005D000000}">
      <text>
        <r>
          <rPr>
            <b/>
            <sz val="9"/>
            <color indexed="81"/>
            <rFont val="Tahoma"/>
            <family val="2"/>
          </rPr>
          <t>ABK:</t>
        </r>
        <r>
          <rPr>
            <sz val="9"/>
            <color indexed="81"/>
            <rFont val="Tahoma"/>
            <family val="2"/>
          </rPr>
          <t xml:space="preserve">
100% - (% sum of others)</t>
        </r>
      </text>
    </comment>
    <comment ref="H392" authorId="0" shapeId="0" xr:uid="{00000000-0006-0000-3000-00005E000000}">
      <text>
        <r>
          <rPr>
            <b/>
            <sz val="9"/>
            <color indexed="81"/>
            <rFont val="Tahoma"/>
            <family val="2"/>
          </rPr>
          <t>ABK:</t>
        </r>
        <r>
          <rPr>
            <sz val="9"/>
            <color indexed="81"/>
            <rFont val="Tahoma"/>
            <family val="2"/>
          </rPr>
          <t xml:space="preserve">
100% - (% sum of others)</t>
        </r>
      </text>
    </comment>
    <comment ref="I392" authorId="0" shapeId="0" xr:uid="{00000000-0006-0000-3000-00005F000000}">
      <text>
        <r>
          <rPr>
            <b/>
            <sz val="9"/>
            <color indexed="81"/>
            <rFont val="Tahoma"/>
            <family val="2"/>
          </rPr>
          <t>ABK:</t>
        </r>
        <r>
          <rPr>
            <sz val="9"/>
            <color indexed="81"/>
            <rFont val="Tahoma"/>
            <family val="2"/>
          </rPr>
          <t xml:space="preserve">
100% - (% sum of others)</t>
        </r>
      </text>
    </comment>
    <comment ref="J392" authorId="0" shapeId="0" xr:uid="{00000000-0006-0000-3000-000060000000}">
      <text>
        <r>
          <rPr>
            <b/>
            <sz val="9"/>
            <color indexed="81"/>
            <rFont val="Tahoma"/>
            <family val="2"/>
          </rPr>
          <t>ABK:</t>
        </r>
        <r>
          <rPr>
            <sz val="9"/>
            <color indexed="81"/>
            <rFont val="Tahoma"/>
            <family val="2"/>
          </rPr>
          <t xml:space="preserve">
100% - (% sum of others)</t>
        </r>
      </text>
    </comment>
    <comment ref="K392" authorId="0" shapeId="0" xr:uid="{00000000-0006-0000-3000-000061000000}">
      <text>
        <r>
          <rPr>
            <b/>
            <sz val="9"/>
            <color indexed="81"/>
            <rFont val="Tahoma"/>
            <family val="2"/>
          </rPr>
          <t>ABK:</t>
        </r>
        <r>
          <rPr>
            <sz val="9"/>
            <color indexed="81"/>
            <rFont val="Tahoma"/>
            <family val="2"/>
          </rPr>
          <t xml:space="preserve">
100% - (% sum of others)</t>
        </r>
      </text>
    </comment>
    <comment ref="L392" authorId="0" shapeId="0" xr:uid="{00000000-0006-0000-3000-000062000000}">
      <text>
        <r>
          <rPr>
            <b/>
            <sz val="9"/>
            <color indexed="81"/>
            <rFont val="Tahoma"/>
            <family val="2"/>
          </rPr>
          <t>ABK:</t>
        </r>
        <r>
          <rPr>
            <sz val="9"/>
            <color indexed="81"/>
            <rFont val="Tahoma"/>
            <family val="2"/>
          </rPr>
          <t xml:space="preserve">
100% - (% sum of others)</t>
        </r>
      </text>
    </comment>
    <comment ref="M392" authorId="0" shapeId="0" xr:uid="{00000000-0006-0000-3000-000063000000}">
      <text>
        <r>
          <rPr>
            <b/>
            <sz val="9"/>
            <color indexed="81"/>
            <rFont val="Tahoma"/>
            <family val="2"/>
          </rPr>
          <t>ABK:</t>
        </r>
        <r>
          <rPr>
            <sz val="9"/>
            <color indexed="81"/>
            <rFont val="Tahoma"/>
            <family val="2"/>
          </rPr>
          <t xml:space="preserve">
100% - (% sum of others)</t>
        </r>
      </text>
    </comment>
    <comment ref="N392" authorId="0" shapeId="0" xr:uid="{00000000-0006-0000-3000-000064000000}">
      <text>
        <r>
          <rPr>
            <b/>
            <sz val="9"/>
            <color indexed="81"/>
            <rFont val="Tahoma"/>
            <family val="2"/>
          </rPr>
          <t>ABK:</t>
        </r>
        <r>
          <rPr>
            <sz val="9"/>
            <color indexed="81"/>
            <rFont val="Tahoma"/>
            <family val="2"/>
          </rPr>
          <t xml:space="preserve">
100% - (% sum of others)</t>
        </r>
      </text>
    </comment>
    <comment ref="O392" authorId="0" shapeId="0" xr:uid="{00000000-0006-0000-3000-000065000000}">
      <text>
        <r>
          <rPr>
            <b/>
            <sz val="9"/>
            <color indexed="81"/>
            <rFont val="Tahoma"/>
            <family val="2"/>
          </rPr>
          <t>ABK:</t>
        </r>
        <r>
          <rPr>
            <sz val="9"/>
            <color indexed="81"/>
            <rFont val="Tahoma"/>
            <family val="2"/>
          </rPr>
          <t xml:space="preserve">
100% - (% sum of others)</t>
        </r>
      </text>
    </comment>
    <comment ref="B395" authorId="1" shapeId="0" xr:uid="{00000000-0006-0000-3000-000066000000}">
      <text>
        <r>
          <rPr>
            <sz val="9"/>
            <color indexed="81"/>
            <rFont val="Tahoma"/>
            <family val="2"/>
          </rPr>
          <t xml:space="preserve">Data is based on from Table A-1 of "Energy-Consumption and Carbon-Emission Analysis of Vehicle and Component Manufacturing" Sullivan et al 2010
Calculations in Listofprocesses_ajb_020112,xls
</t>
        </r>
      </text>
    </comment>
    <comment ref="C395" authorId="1" shapeId="0" xr:uid="{00000000-0006-0000-3000-000067000000}">
      <text>
        <r>
          <rPr>
            <sz val="9"/>
            <color indexed="81"/>
            <rFont val="Tahoma"/>
            <family val="2"/>
          </rPr>
          <t xml:space="preserve">Data is based on from Table A-1 of "Energy-Consumption and Carbon-Emission Analysis of Vehicle and Component Manufacturing" Sullivan et al 2010
Calculations in Listofprocesses_ajb_020112,xls
</t>
        </r>
      </text>
    </comment>
    <comment ref="C396" authorId="0" shapeId="0" xr:uid="{00000000-0006-0000-3000-000068000000}">
      <text>
        <r>
          <rPr>
            <b/>
            <sz val="9"/>
            <color indexed="81"/>
            <rFont val="Tahoma"/>
            <family val="2"/>
          </rPr>
          <t>ABK:</t>
        </r>
        <r>
          <rPr>
            <sz val="9"/>
            <color indexed="81"/>
            <rFont val="Tahoma"/>
            <family val="2"/>
          </rPr>
          <t xml:space="preserve">
100% - (% sum of others)</t>
        </r>
      </text>
    </comment>
    <comment ref="D424" authorId="4" shapeId="0" xr:uid="{00000000-0006-0000-3000-00006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E424" authorId="4" shapeId="0" xr:uid="{00000000-0006-0000-3000-00006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F424" authorId="4" shapeId="0" xr:uid="{00000000-0006-0000-3000-00006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M424" authorId="2" shapeId="0" xr:uid="{00000000-0006-0000-3000-00006C000000}">
      <text>
        <r>
          <rPr>
            <sz val="8"/>
            <color indexed="81"/>
            <rFont val="Tahoma"/>
            <family val="2"/>
          </rPr>
          <t xml:space="preserve">Title: Life Cycle Assessment Update of Aluminum Production and Semi-fabrication for GREET Model
Publication Date: September 2015
Authors: Q. Dai, J.C. Kelly, A. Burnham, and A. Elgowainy
</t>
        </r>
      </text>
    </comment>
    <comment ref="O424" authorId="4" shapeId="0" xr:uid="{00000000-0006-0000-3000-00006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P424" authorId="4" shapeId="0" xr:uid="{00000000-0006-0000-3000-00006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Q424" authorId="4" shapeId="0" xr:uid="{00000000-0006-0000-3000-00006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R424" authorId="2" shapeId="0" xr:uid="{00000000-0006-0000-3000-000070000000}">
      <text>
        <r>
          <rPr>
            <sz val="8"/>
            <color indexed="81"/>
            <rFont val="Tahoma"/>
            <family val="2"/>
          </rPr>
          <t xml:space="preserve">Title: Life Cycle Assessment Update of Aluminum Production and Semi-fabrication for GREET Model
Publication Date: September 2015
Authors: Q. Dai, J.C. Kelly, A. Burnham, and A. Elgowainy
</t>
        </r>
      </text>
    </comment>
    <comment ref="C425" authorId="0" shapeId="0" xr:uid="{00000000-0006-0000-3000-000071000000}">
      <text>
        <r>
          <rPr>
            <b/>
            <sz val="9"/>
            <color indexed="81"/>
            <rFont val="Tahoma"/>
            <family val="2"/>
          </rPr>
          <t>ABK:</t>
        </r>
        <r>
          <rPr>
            <sz val="9"/>
            <color indexed="81"/>
            <rFont val="Tahoma"/>
            <family val="2"/>
          </rPr>
          <t xml:space="preserve">
Based on US grid mix numbers as provided in GREET 1 sheet </t>
        </r>
      </text>
    </comment>
    <comment ref="K425" authorId="0" shapeId="0" xr:uid="{00000000-0006-0000-3000-000072000000}">
      <text>
        <r>
          <rPr>
            <b/>
            <sz val="9"/>
            <color indexed="81"/>
            <rFont val="Tahoma"/>
            <family val="2"/>
          </rPr>
          <t>ABK:</t>
        </r>
        <r>
          <rPr>
            <sz val="9"/>
            <color indexed="81"/>
            <rFont val="Tahoma"/>
            <family val="2"/>
          </rPr>
          <t xml:space="preserve">
Based on 100% wind-based grid, where wind is replaced by all renewables </t>
        </r>
      </text>
    </comment>
    <comment ref="L425" authorId="0" shapeId="0" xr:uid="{00000000-0006-0000-3000-000073000000}">
      <text>
        <r>
          <rPr>
            <b/>
            <sz val="9"/>
            <color indexed="81"/>
            <rFont val="Tahoma"/>
            <family val="2"/>
          </rPr>
          <t>ABK:</t>
        </r>
        <r>
          <rPr>
            <sz val="9"/>
            <color indexed="81"/>
            <rFont val="Tahoma"/>
            <family val="2"/>
          </rPr>
          <t xml:space="preserve">
Based on 100% hydro-based grid </t>
        </r>
      </text>
    </comment>
    <comment ref="N425" authorId="0" shapeId="0" xr:uid="{00000000-0006-0000-3000-000074000000}">
      <text>
        <r>
          <rPr>
            <b/>
            <sz val="9"/>
            <color indexed="81"/>
            <rFont val="Tahoma"/>
            <family val="2"/>
          </rPr>
          <t>ABK:</t>
        </r>
        <r>
          <rPr>
            <sz val="9"/>
            <color indexed="81"/>
            <rFont val="Tahoma"/>
            <family val="2"/>
          </rPr>
          <t xml:space="preserve">
Based on US grid mix numbers as provided in GREET 1 sheet </t>
        </r>
      </text>
    </comment>
    <comment ref="C426" authorId="0" shapeId="0" xr:uid="{00000000-0006-0000-3000-000075000000}">
      <text>
        <r>
          <rPr>
            <b/>
            <sz val="9"/>
            <color indexed="81"/>
            <rFont val="Tahoma"/>
            <family val="2"/>
          </rPr>
          <t>ABK:</t>
        </r>
        <r>
          <rPr>
            <sz val="9"/>
            <color indexed="81"/>
            <rFont val="Tahoma"/>
            <family val="2"/>
          </rPr>
          <t xml:space="preserve">
Based on US grid mix numbers as provided in GREET 1 sheet </t>
        </r>
      </text>
    </comment>
    <comment ref="K426" authorId="0" shapeId="0" xr:uid="{00000000-0006-0000-3000-000076000000}">
      <text>
        <r>
          <rPr>
            <b/>
            <sz val="9"/>
            <color indexed="81"/>
            <rFont val="Tahoma"/>
            <family val="2"/>
          </rPr>
          <t>ABK:</t>
        </r>
        <r>
          <rPr>
            <sz val="9"/>
            <color indexed="81"/>
            <rFont val="Tahoma"/>
            <family val="2"/>
          </rPr>
          <t xml:space="preserve">
Based on 100% wind-based grid, where wind is replaced by all renewables </t>
        </r>
      </text>
    </comment>
    <comment ref="L426" authorId="0" shapeId="0" xr:uid="{00000000-0006-0000-3000-000077000000}">
      <text>
        <r>
          <rPr>
            <b/>
            <sz val="9"/>
            <color indexed="81"/>
            <rFont val="Tahoma"/>
            <family val="2"/>
          </rPr>
          <t>ABK:</t>
        </r>
        <r>
          <rPr>
            <sz val="9"/>
            <color indexed="81"/>
            <rFont val="Tahoma"/>
            <family val="2"/>
          </rPr>
          <t xml:space="preserve">
Based on 100% hydro-based grid </t>
        </r>
      </text>
    </comment>
    <comment ref="N426" authorId="0" shapeId="0" xr:uid="{00000000-0006-0000-3000-000078000000}">
      <text>
        <r>
          <rPr>
            <b/>
            <sz val="9"/>
            <color indexed="81"/>
            <rFont val="Tahoma"/>
            <family val="2"/>
          </rPr>
          <t>ABK:</t>
        </r>
        <r>
          <rPr>
            <sz val="9"/>
            <color indexed="81"/>
            <rFont val="Tahoma"/>
            <family val="2"/>
          </rPr>
          <t xml:space="preserve">
Based on US grid mix numbers as provided in GREET 1 sheet </t>
        </r>
      </text>
    </comment>
    <comment ref="C427" authorId="0" shapeId="0" xr:uid="{00000000-0006-0000-3000-000079000000}">
      <text>
        <r>
          <rPr>
            <b/>
            <sz val="9"/>
            <color indexed="81"/>
            <rFont val="Tahoma"/>
            <family val="2"/>
          </rPr>
          <t>ABK:</t>
        </r>
        <r>
          <rPr>
            <sz val="9"/>
            <color indexed="81"/>
            <rFont val="Tahoma"/>
            <family val="2"/>
          </rPr>
          <t xml:space="preserve">
Based on US grid mix numbers as provided in GREET 1 sheet </t>
        </r>
      </text>
    </comment>
    <comment ref="K427" authorId="0" shapeId="0" xr:uid="{00000000-0006-0000-3000-00007A000000}">
      <text>
        <r>
          <rPr>
            <b/>
            <sz val="9"/>
            <color indexed="81"/>
            <rFont val="Tahoma"/>
            <family val="2"/>
          </rPr>
          <t>ABK:</t>
        </r>
        <r>
          <rPr>
            <sz val="9"/>
            <color indexed="81"/>
            <rFont val="Tahoma"/>
            <family val="2"/>
          </rPr>
          <t xml:space="preserve">
Based on 100% wind-based grid, where wind is replaced by all renewables </t>
        </r>
      </text>
    </comment>
    <comment ref="L427" authorId="0" shapeId="0" xr:uid="{00000000-0006-0000-3000-00007B000000}">
      <text>
        <r>
          <rPr>
            <b/>
            <sz val="9"/>
            <color indexed="81"/>
            <rFont val="Tahoma"/>
            <family val="2"/>
          </rPr>
          <t>ABK:</t>
        </r>
        <r>
          <rPr>
            <sz val="9"/>
            <color indexed="81"/>
            <rFont val="Tahoma"/>
            <family val="2"/>
          </rPr>
          <t xml:space="preserve">
Based on 100% hydro-based grid </t>
        </r>
      </text>
    </comment>
    <comment ref="N427" authorId="0" shapeId="0" xr:uid="{00000000-0006-0000-3000-00007C000000}">
      <text>
        <r>
          <rPr>
            <b/>
            <sz val="9"/>
            <color indexed="81"/>
            <rFont val="Tahoma"/>
            <family val="2"/>
          </rPr>
          <t>ABK:</t>
        </r>
        <r>
          <rPr>
            <sz val="9"/>
            <color indexed="81"/>
            <rFont val="Tahoma"/>
            <family val="2"/>
          </rPr>
          <t xml:space="preserve">
Based on US grid mix numbers as provided in GREET 1 sheet </t>
        </r>
      </text>
    </comment>
    <comment ref="C428" authorId="0" shapeId="0" xr:uid="{00000000-0006-0000-3000-00007D000000}">
      <text>
        <r>
          <rPr>
            <b/>
            <sz val="9"/>
            <color indexed="81"/>
            <rFont val="Tahoma"/>
            <family val="2"/>
          </rPr>
          <t>ABK:</t>
        </r>
        <r>
          <rPr>
            <sz val="9"/>
            <color indexed="81"/>
            <rFont val="Tahoma"/>
            <family val="2"/>
          </rPr>
          <t xml:space="preserve">
Based on US grid mix numbers as provided in GREET 1 sheet </t>
        </r>
      </text>
    </comment>
    <comment ref="K428" authorId="0" shapeId="0" xr:uid="{00000000-0006-0000-3000-00007E000000}">
      <text>
        <r>
          <rPr>
            <b/>
            <sz val="9"/>
            <color indexed="81"/>
            <rFont val="Tahoma"/>
            <family val="2"/>
          </rPr>
          <t>ABK:</t>
        </r>
        <r>
          <rPr>
            <sz val="9"/>
            <color indexed="81"/>
            <rFont val="Tahoma"/>
            <family val="2"/>
          </rPr>
          <t xml:space="preserve">
Based on 100% wind-based grid, where wind is replaced by all renewables </t>
        </r>
      </text>
    </comment>
    <comment ref="L428" authorId="0" shapeId="0" xr:uid="{00000000-0006-0000-3000-00007F000000}">
      <text>
        <r>
          <rPr>
            <b/>
            <sz val="9"/>
            <color indexed="81"/>
            <rFont val="Tahoma"/>
            <family val="2"/>
          </rPr>
          <t>ABK:</t>
        </r>
        <r>
          <rPr>
            <sz val="9"/>
            <color indexed="81"/>
            <rFont val="Tahoma"/>
            <family val="2"/>
          </rPr>
          <t xml:space="preserve">
Based on 100% hydro-based grid </t>
        </r>
      </text>
    </comment>
    <comment ref="N428" authorId="0" shapeId="0" xr:uid="{00000000-0006-0000-3000-000080000000}">
      <text>
        <r>
          <rPr>
            <b/>
            <sz val="9"/>
            <color indexed="81"/>
            <rFont val="Tahoma"/>
            <family val="2"/>
          </rPr>
          <t>ABK:</t>
        </r>
        <r>
          <rPr>
            <sz val="9"/>
            <color indexed="81"/>
            <rFont val="Tahoma"/>
            <family val="2"/>
          </rPr>
          <t xml:space="preserve">
Based on US grid mix numbers as provided in GREET 1 sheet </t>
        </r>
      </text>
    </comment>
    <comment ref="C429" authorId="0" shapeId="0" xr:uid="{00000000-0006-0000-3000-000081000000}">
      <text>
        <r>
          <rPr>
            <b/>
            <sz val="9"/>
            <color indexed="81"/>
            <rFont val="Tahoma"/>
            <family val="2"/>
          </rPr>
          <t>ABK:</t>
        </r>
        <r>
          <rPr>
            <sz val="9"/>
            <color indexed="81"/>
            <rFont val="Tahoma"/>
            <family val="2"/>
          </rPr>
          <t xml:space="preserve">
Based on US grid mix numbers as provided in GREET 1 sheet </t>
        </r>
      </text>
    </comment>
    <comment ref="K429" authorId="0" shapeId="0" xr:uid="{00000000-0006-0000-3000-000082000000}">
      <text>
        <r>
          <rPr>
            <b/>
            <sz val="9"/>
            <color indexed="81"/>
            <rFont val="Tahoma"/>
            <family val="2"/>
          </rPr>
          <t>ABK:</t>
        </r>
        <r>
          <rPr>
            <sz val="9"/>
            <color indexed="81"/>
            <rFont val="Tahoma"/>
            <family val="2"/>
          </rPr>
          <t xml:space="preserve">
Based on 100% wind-based grid, where wind is replaced by all renewables </t>
        </r>
      </text>
    </comment>
    <comment ref="L429" authorId="0" shapeId="0" xr:uid="{00000000-0006-0000-3000-000083000000}">
      <text>
        <r>
          <rPr>
            <b/>
            <sz val="9"/>
            <color indexed="81"/>
            <rFont val="Tahoma"/>
            <family val="2"/>
          </rPr>
          <t>ABK:</t>
        </r>
        <r>
          <rPr>
            <sz val="9"/>
            <color indexed="81"/>
            <rFont val="Tahoma"/>
            <family val="2"/>
          </rPr>
          <t xml:space="preserve">
Based on 100% hydro-based grid </t>
        </r>
      </text>
    </comment>
    <comment ref="N429" authorId="0" shapeId="0" xr:uid="{00000000-0006-0000-3000-000084000000}">
      <text>
        <r>
          <rPr>
            <b/>
            <sz val="9"/>
            <color indexed="81"/>
            <rFont val="Tahoma"/>
            <family val="2"/>
          </rPr>
          <t>ABK:</t>
        </r>
        <r>
          <rPr>
            <sz val="9"/>
            <color indexed="81"/>
            <rFont val="Tahoma"/>
            <family val="2"/>
          </rPr>
          <t xml:space="preserve">
Based on US grid mix numbers as provided in GREET 1 sheet </t>
        </r>
      </text>
    </comment>
    <comment ref="C430" authorId="0" shapeId="0" xr:uid="{00000000-0006-0000-3000-000085000000}">
      <text>
        <r>
          <rPr>
            <b/>
            <sz val="9"/>
            <color indexed="81"/>
            <rFont val="Tahoma"/>
            <family val="2"/>
          </rPr>
          <t>ABK:</t>
        </r>
        <r>
          <rPr>
            <sz val="9"/>
            <color indexed="81"/>
            <rFont val="Tahoma"/>
            <family val="2"/>
          </rPr>
          <t xml:space="preserve">
Based on US grid mix numbers as provided in GREET 1 sheet </t>
        </r>
      </text>
    </comment>
    <comment ref="D430" authorId="0" shapeId="0" xr:uid="{00000000-0006-0000-3000-000086000000}">
      <text>
        <r>
          <rPr>
            <b/>
            <sz val="9"/>
            <color indexed="81"/>
            <rFont val="Tahoma"/>
            <family val="2"/>
          </rPr>
          <t>ABK:</t>
        </r>
        <r>
          <rPr>
            <sz val="9"/>
            <color indexed="81"/>
            <rFont val="Tahoma"/>
            <family val="2"/>
          </rPr>
          <t xml:space="preserve">
100% - (% sum of others)</t>
        </r>
      </text>
    </comment>
    <comment ref="E430" authorId="0" shapeId="0" xr:uid="{00000000-0006-0000-3000-000087000000}">
      <text>
        <r>
          <rPr>
            <b/>
            <sz val="9"/>
            <color indexed="81"/>
            <rFont val="Tahoma"/>
            <family val="2"/>
          </rPr>
          <t>ABK:</t>
        </r>
        <r>
          <rPr>
            <sz val="9"/>
            <color indexed="81"/>
            <rFont val="Tahoma"/>
            <family val="2"/>
          </rPr>
          <t xml:space="preserve">
100% - (% sum of others)</t>
        </r>
      </text>
    </comment>
    <comment ref="F430" authorId="0" shapeId="0" xr:uid="{00000000-0006-0000-3000-000088000000}">
      <text>
        <r>
          <rPr>
            <b/>
            <sz val="9"/>
            <color indexed="81"/>
            <rFont val="Tahoma"/>
            <family val="2"/>
          </rPr>
          <t>ABK:</t>
        </r>
        <r>
          <rPr>
            <sz val="9"/>
            <color indexed="81"/>
            <rFont val="Tahoma"/>
            <family val="2"/>
          </rPr>
          <t xml:space="preserve">
100% - (% sum of others)</t>
        </r>
      </text>
    </comment>
    <comment ref="K430" authorId="0" shapeId="0" xr:uid="{00000000-0006-0000-3000-000089000000}">
      <text>
        <r>
          <rPr>
            <b/>
            <sz val="9"/>
            <color indexed="81"/>
            <rFont val="Tahoma"/>
            <family val="2"/>
          </rPr>
          <t>ABK:</t>
        </r>
        <r>
          <rPr>
            <sz val="9"/>
            <color indexed="81"/>
            <rFont val="Tahoma"/>
            <family val="2"/>
          </rPr>
          <t xml:space="preserve">
Based on 100% wind-based grid, where wind is replaced by all renewables </t>
        </r>
      </text>
    </comment>
    <comment ref="L430" authorId="0" shapeId="0" xr:uid="{00000000-0006-0000-3000-00008A000000}">
      <text>
        <r>
          <rPr>
            <b/>
            <sz val="9"/>
            <color indexed="81"/>
            <rFont val="Tahoma"/>
            <family val="2"/>
          </rPr>
          <t>ABK:</t>
        </r>
        <r>
          <rPr>
            <sz val="9"/>
            <color indexed="81"/>
            <rFont val="Tahoma"/>
            <family val="2"/>
          </rPr>
          <t xml:space="preserve">
Based on 100% hydro-based grid </t>
        </r>
      </text>
    </comment>
    <comment ref="N430" authorId="0" shapeId="0" xr:uid="{00000000-0006-0000-3000-00008B000000}">
      <text>
        <r>
          <rPr>
            <b/>
            <sz val="9"/>
            <color indexed="81"/>
            <rFont val="Tahoma"/>
            <family val="2"/>
          </rPr>
          <t>ABK:</t>
        </r>
        <r>
          <rPr>
            <sz val="9"/>
            <color indexed="81"/>
            <rFont val="Tahoma"/>
            <family val="2"/>
          </rPr>
          <t xml:space="preserve">
100% - (% sum of others)</t>
        </r>
      </text>
    </comment>
    <comment ref="O430" authorId="0" shapeId="0" xr:uid="{00000000-0006-0000-3000-00008C000000}">
      <text>
        <r>
          <rPr>
            <b/>
            <sz val="9"/>
            <color indexed="81"/>
            <rFont val="Tahoma"/>
            <family val="2"/>
          </rPr>
          <t>ABK:</t>
        </r>
        <r>
          <rPr>
            <sz val="9"/>
            <color indexed="81"/>
            <rFont val="Tahoma"/>
            <family val="2"/>
          </rPr>
          <t xml:space="preserve">
100% - (% sum of others)</t>
        </r>
      </text>
    </comment>
    <comment ref="P430" authorId="0" shapeId="0" xr:uid="{00000000-0006-0000-3000-00008D000000}">
      <text>
        <r>
          <rPr>
            <b/>
            <sz val="9"/>
            <color indexed="81"/>
            <rFont val="Tahoma"/>
            <family val="2"/>
          </rPr>
          <t>ABK:</t>
        </r>
        <r>
          <rPr>
            <sz val="9"/>
            <color indexed="81"/>
            <rFont val="Tahoma"/>
            <family val="2"/>
          </rPr>
          <t xml:space="preserve">
100% - (% sum of others)</t>
        </r>
      </text>
    </comment>
    <comment ref="Q430" authorId="0" shapeId="0" xr:uid="{00000000-0006-0000-3000-00008E000000}">
      <text>
        <r>
          <rPr>
            <b/>
            <sz val="9"/>
            <color indexed="81"/>
            <rFont val="Tahoma"/>
            <family val="2"/>
          </rPr>
          <t>ABK:</t>
        </r>
        <r>
          <rPr>
            <sz val="9"/>
            <color indexed="81"/>
            <rFont val="Tahoma"/>
            <family val="2"/>
          </rPr>
          <t xml:space="preserve">
100% - (% sum of others)</t>
        </r>
      </text>
    </comment>
    <comment ref="C431" authorId="0" shapeId="0" xr:uid="{00000000-0006-0000-3000-00008F000000}">
      <text>
        <r>
          <rPr>
            <b/>
            <sz val="9"/>
            <color indexed="81"/>
            <rFont val="Tahoma"/>
            <family val="2"/>
          </rPr>
          <t>ABK:</t>
        </r>
        <r>
          <rPr>
            <sz val="9"/>
            <color indexed="81"/>
            <rFont val="Tahoma"/>
            <family val="2"/>
          </rPr>
          <t xml:space="preserve">
100% - (% sum of others)</t>
        </r>
      </text>
    </comment>
    <comment ref="D431" authorId="0" shapeId="0" xr:uid="{00000000-0006-0000-3000-000090000000}">
      <text>
        <r>
          <rPr>
            <b/>
            <sz val="9"/>
            <color indexed="81"/>
            <rFont val="Tahoma"/>
            <family val="2"/>
          </rPr>
          <t>ABK:</t>
        </r>
        <r>
          <rPr>
            <sz val="9"/>
            <color indexed="81"/>
            <rFont val="Tahoma"/>
            <family val="2"/>
          </rPr>
          <t xml:space="preserve">
100% - (% sum of others)</t>
        </r>
      </text>
    </comment>
    <comment ref="E431" authorId="0" shapeId="0" xr:uid="{00000000-0006-0000-3000-000091000000}">
      <text>
        <r>
          <rPr>
            <b/>
            <sz val="9"/>
            <color indexed="81"/>
            <rFont val="Tahoma"/>
            <family val="2"/>
          </rPr>
          <t>ABK:</t>
        </r>
        <r>
          <rPr>
            <sz val="9"/>
            <color indexed="81"/>
            <rFont val="Tahoma"/>
            <family val="2"/>
          </rPr>
          <t xml:space="preserve">
100% - (% sum of others)</t>
        </r>
      </text>
    </comment>
    <comment ref="F431" authorId="0" shapeId="0" xr:uid="{00000000-0006-0000-3000-000092000000}">
      <text>
        <r>
          <rPr>
            <b/>
            <sz val="9"/>
            <color indexed="81"/>
            <rFont val="Tahoma"/>
            <family val="2"/>
          </rPr>
          <t>ABK:</t>
        </r>
        <r>
          <rPr>
            <sz val="9"/>
            <color indexed="81"/>
            <rFont val="Tahoma"/>
            <family val="2"/>
          </rPr>
          <t xml:space="preserve">
100% - (% sum of others)</t>
        </r>
      </text>
    </comment>
    <comment ref="K431" authorId="0" shapeId="0" xr:uid="{00000000-0006-0000-3000-000093000000}">
      <text>
        <r>
          <rPr>
            <b/>
            <sz val="9"/>
            <color indexed="81"/>
            <rFont val="Tahoma"/>
            <family val="2"/>
          </rPr>
          <t>ABK:</t>
        </r>
        <r>
          <rPr>
            <sz val="9"/>
            <color indexed="81"/>
            <rFont val="Tahoma"/>
            <family val="2"/>
          </rPr>
          <t xml:space="preserve">
Based on 100% wind-based grid, where wind is replaced by all renewables </t>
        </r>
      </text>
    </comment>
    <comment ref="L431" authorId="0" shapeId="0" xr:uid="{00000000-0006-0000-3000-000094000000}">
      <text>
        <r>
          <rPr>
            <b/>
            <sz val="9"/>
            <color indexed="81"/>
            <rFont val="Tahoma"/>
            <family val="2"/>
          </rPr>
          <t>ABK:</t>
        </r>
        <r>
          <rPr>
            <sz val="9"/>
            <color indexed="81"/>
            <rFont val="Tahoma"/>
            <family val="2"/>
          </rPr>
          <t xml:space="preserve">
Based on 100% hydro-based grid </t>
        </r>
      </text>
    </comment>
    <comment ref="M431" authorId="0" shapeId="0" xr:uid="{00000000-0006-0000-3000-000095000000}">
      <text>
        <r>
          <rPr>
            <b/>
            <sz val="9"/>
            <color indexed="81"/>
            <rFont val="Tahoma"/>
            <family val="2"/>
          </rPr>
          <t>ABK:</t>
        </r>
        <r>
          <rPr>
            <sz val="9"/>
            <color indexed="81"/>
            <rFont val="Tahoma"/>
            <family val="2"/>
          </rPr>
          <t xml:space="preserve">
100% - (% sum of others)</t>
        </r>
      </text>
    </comment>
    <comment ref="N431" authorId="0" shapeId="0" xr:uid="{00000000-0006-0000-3000-000096000000}">
      <text>
        <r>
          <rPr>
            <b/>
            <sz val="9"/>
            <color indexed="81"/>
            <rFont val="Tahoma"/>
            <family val="2"/>
          </rPr>
          <t>ABK:</t>
        </r>
        <r>
          <rPr>
            <sz val="9"/>
            <color indexed="81"/>
            <rFont val="Tahoma"/>
            <family val="2"/>
          </rPr>
          <t xml:space="preserve">
100% - (% sum of others)</t>
        </r>
      </text>
    </comment>
    <comment ref="O431" authorId="0" shapeId="0" xr:uid="{00000000-0006-0000-3000-000097000000}">
      <text>
        <r>
          <rPr>
            <b/>
            <sz val="9"/>
            <color indexed="81"/>
            <rFont val="Tahoma"/>
            <family val="2"/>
          </rPr>
          <t>ABK:</t>
        </r>
        <r>
          <rPr>
            <sz val="9"/>
            <color indexed="81"/>
            <rFont val="Tahoma"/>
            <family val="2"/>
          </rPr>
          <t xml:space="preserve">
100% - (% sum of others)</t>
        </r>
      </text>
    </comment>
    <comment ref="P431" authorId="0" shapeId="0" xr:uid="{00000000-0006-0000-3000-000098000000}">
      <text>
        <r>
          <rPr>
            <b/>
            <sz val="9"/>
            <color indexed="81"/>
            <rFont val="Tahoma"/>
            <family val="2"/>
          </rPr>
          <t>ABK:</t>
        </r>
        <r>
          <rPr>
            <sz val="9"/>
            <color indexed="81"/>
            <rFont val="Tahoma"/>
            <family val="2"/>
          </rPr>
          <t xml:space="preserve">
100% - (% sum of others)</t>
        </r>
      </text>
    </comment>
    <comment ref="Q431" authorId="0" shapeId="0" xr:uid="{00000000-0006-0000-3000-000099000000}">
      <text>
        <r>
          <rPr>
            <b/>
            <sz val="9"/>
            <color indexed="81"/>
            <rFont val="Tahoma"/>
            <family val="2"/>
          </rPr>
          <t>ABK:</t>
        </r>
        <r>
          <rPr>
            <sz val="9"/>
            <color indexed="81"/>
            <rFont val="Tahoma"/>
            <family val="2"/>
          </rPr>
          <t xml:space="preserve">
100% - (% sum of others)</t>
        </r>
      </text>
    </comment>
    <comment ref="R431" authorId="0" shapeId="0" xr:uid="{00000000-0006-0000-3000-00009A000000}">
      <text>
        <r>
          <rPr>
            <b/>
            <sz val="9"/>
            <color indexed="81"/>
            <rFont val="Tahoma"/>
            <family val="2"/>
          </rPr>
          <t>ABK:</t>
        </r>
        <r>
          <rPr>
            <sz val="9"/>
            <color indexed="81"/>
            <rFont val="Tahoma"/>
            <family val="2"/>
          </rPr>
          <t xml:space="preserve">
100% - (% sum of others)</t>
        </r>
      </text>
    </comment>
    <comment ref="B439" authorId="1" shapeId="0" xr:uid="{00000000-0006-0000-3000-00009B000000}">
      <text>
        <r>
          <rPr>
            <sz val="8"/>
            <color indexed="81"/>
            <rFont val="Tahoma"/>
            <family val="2"/>
          </rPr>
          <t>Data based on Athena, Cradle-to-gate life cycle inventory: Canadian and US Steel Production by Mill Type, 2002</t>
        </r>
      </text>
    </comment>
    <comment ref="B440" authorId="1" shapeId="0" xr:uid="{00000000-0006-0000-3000-00009C000000}">
      <text>
        <r>
          <rPr>
            <sz val="8"/>
            <color indexed="81"/>
            <rFont val="Tahoma"/>
            <family val="2"/>
          </rPr>
          <t>Data based on Athena, Cradle-to-gate life cycle inventory: Canadian and US Steel Production by Mill Type, 2002</t>
        </r>
      </text>
    </comment>
    <comment ref="B441" authorId="1" shapeId="0" xr:uid="{00000000-0006-0000-3000-00009D000000}">
      <text>
        <r>
          <rPr>
            <sz val="8"/>
            <color indexed="81"/>
            <rFont val="Tahoma"/>
            <family val="2"/>
          </rPr>
          <t>Data based on Athena, Cradle-to-gate life cycle inventory: Canadian and US Steel Production by Mill Type, 2002</t>
        </r>
      </text>
    </comment>
    <comment ref="B442" authorId="1" shapeId="0" xr:uid="{00000000-0006-0000-3000-00009E000000}">
      <text>
        <r>
          <rPr>
            <sz val="8"/>
            <color indexed="81"/>
            <rFont val="Tahoma"/>
            <family val="2"/>
          </rPr>
          <t>Data based on Athena, Cradle-to-gate life cycle inventory: Canadian and US Steel Production by Mill Type, 2002</t>
        </r>
      </text>
    </comment>
    <comment ref="B443" authorId="1" shapeId="0" xr:uid="{00000000-0006-0000-3000-00009F000000}">
      <text>
        <r>
          <rPr>
            <sz val="8"/>
            <color indexed="81"/>
            <rFont val="Tahoma"/>
            <family val="2"/>
          </rPr>
          <t>Data based on Athena, Cradle-to-gate life cycle inventory: Canadian and US Steel Production by Mill Type, 2002</t>
        </r>
      </text>
    </comment>
    <comment ref="B444" authorId="1" shapeId="0" xr:uid="{00000000-0006-0000-3000-0000A0000000}">
      <text>
        <r>
          <rPr>
            <sz val="8"/>
            <color indexed="81"/>
            <rFont val="Tahoma"/>
            <family val="2"/>
          </rPr>
          <t>Data based on Athena, Cradle-to-gate life cycle inventory: Canadian and US Steel Production by Mill Type, 2002</t>
        </r>
      </text>
    </comment>
    <comment ref="B445" authorId="1" shapeId="0" xr:uid="{00000000-0006-0000-3000-0000A1000000}">
      <text>
        <r>
          <rPr>
            <sz val="8"/>
            <color indexed="81"/>
            <rFont val="Tahoma"/>
            <family val="2"/>
          </rPr>
          <t>Data based on Athena, Cradle-to-gate life cycle inventory: Canadian and US Steel Production by Mill Type, 2002</t>
        </r>
      </text>
    </comment>
    <comment ref="B446" authorId="1" shapeId="0" xr:uid="{00000000-0006-0000-3000-0000A2000000}">
      <text>
        <r>
          <rPr>
            <sz val="8"/>
            <color indexed="81"/>
            <rFont val="Tahoma"/>
            <family val="2"/>
          </rPr>
          <t>Data based on Athena, Cradle-to-gate life cycle inventory: Canadian and US Steel Production by Mill Type, 2002</t>
        </r>
      </text>
    </comment>
    <comment ref="B447" authorId="1" shapeId="0" xr:uid="{00000000-0006-0000-3000-0000A3000000}">
      <text>
        <r>
          <rPr>
            <sz val="8"/>
            <color indexed="81"/>
            <rFont val="Tahoma"/>
            <family val="2"/>
          </rPr>
          <t>Data based on Athena, Cradle-to-gate life cycle inventory: Canadian and US Steel Production by Mill Type, 2002</t>
        </r>
      </text>
    </comment>
    <comment ref="B448" authorId="1" shapeId="0" xr:uid="{00000000-0006-0000-3000-0000A4000000}">
      <text>
        <r>
          <rPr>
            <sz val="8"/>
            <color indexed="81"/>
            <rFont val="Tahoma"/>
            <family val="2"/>
          </rPr>
          <t>Data based on Athena, Cradle-to-gate life cycle inventory: Canadian and US Steel Production by Mill Type, 2002</t>
        </r>
      </text>
    </comment>
    <comment ref="B449" authorId="1" shapeId="0" xr:uid="{00000000-0006-0000-3000-0000A5000000}">
      <text>
        <r>
          <rPr>
            <sz val="9"/>
            <color indexed="81"/>
            <rFont val="Tahoma"/>
            <family val="2"/>
          </rPr>
          <t>Title: Update of Process Energy Requirement and Material Efficiency for Steel and Al Stamping in the GREET Model
Publication date: September 2017
Authors: Q. Dai, J.C. Kelly, and A. Elgowainy</t>
        </r>
      </text>
    </comment>
    <comment ref="B450" authorId="1" shapeId="0" xr:uid="{00000000-0006-0000-3000-0000A6000000}">
      <text>
        <r>
          <rPr>
            <sz val="8"/>
            <color indexed="81"/>
            <rFont val="Tahoma"/>
            <family val="2"/>
          </rPr>
          <t>Data based on Athena, Cradle-to-gate life cycle inventory: Canadian and US Steel Production by Mill Type, 2002</t>
        </r>
      </text>
    </comment>
    <comment ref="B451" authorId="1" shapeId="0" xr:uid="{00000000-0006-0000-3000-0000A7000000}">
      <text>
        <r>
          <rPr>
            <sz val="8"/>
            <color indexed="81"/>
            <rFont val="Tahoma"/>
            <family val="2"/>
          </rPr>
          <t>Data based on Athena, Cradle-to-gate life cycle inventory: Canadian and US Steel Production by Mill Type, 2002</t>
        </r>
      </text>
    </comment>
    <comment ref="B452" authorId="1" shapeId="0" xr:uid="{00000000-0006-0000-3000-0000A8000000}">
      <text>
        <r>
          <rPr>
            <sz val="9"/>
            <color indexed="81"/>
            <rFont val="Tahoma"/>
            <family val="2"/>
          </rPr>
          <t xml:space="preserve">Data is based on from Table A-2 of "Energy-Consumption and Carbon-Emission Analysis of Vehicle and Component Manufacturing" Sullivan et al 2010
Calculations in Listofprocesses_ajb_020112,xls
</t>
        </r>
      </text>
    </comment>
    <comment ref="B455" authorId="2" shapeId="0" xr:uid="{00000000-0006-0000-3000-0000A9000000}">
      <text>
        <r>
          <rPr>
            <sz val="8"/>
            <color indexed="81"/>
            <rFont val="Tahoma"/>
            <family val="2"/>
          </rPr>
          <t xml:space="preserve">Based on  "Total Energy Cycle Assessment of Electric and Conventional Vehicles: An Energy and Environmental Analysis Volume II" Argonne Nat'l Lab et al. 1997 and Burnham, A., M. Wang, and Y. Wu, 2006, Development and Applications of GREET 2.7 — The Transportation Vehicle-Cycle Model, ANL/ESD/06-5, Center for Transportation Research, Argonne National Laboratory, Argonne, Ill. .
Coke is the only energy feedstock.
</t>
        </r>
      </text>
    </comment>
    <comment ref="B456" authorId="2" shapeId="0" xr:uid="{00000000-0006-0000-3000-0000AA000000}">
      <text>
        <r>
          <rPr>
            <sz val="8"/>
            <color indexed="81"/>
            <rFont val="Tahoma"/>
            <family val="2"/>
          </rPr>
          <t xml:space="preserve">Based on  "Total Energy Cycle Assessment of Electric and Conventional Vehicles: An Energy and Environmental Analysis Volume II" Argonne Nat'l Lab et al. 1997 and Burnham, A., M. Wang, and Y. Wu, 2006, Development and Applications of GREET 2.7 — The Transportation Vehicle-Cycle Model, ANL/ESD/06-5, Center for Transportation Research, Argonne National Laboratory, Argonne, Ill. .
Coke is the only energy feedstock.
</t>
        </r>
      </text>
    </comment>
    <comment ref="B457" authorId="1" shapeId="0" xr:uid="{00000000-0006-0000-3000-0000AB000000}">
      <text>
        <r>
          <rPr>
            <sz val="9"/>
            <color indexed="81"/>
            <rFont val="Tahoma"/>
            <family val="2"/>
          </rPr>
          <t xml:space="preserve">Data is based on from Table A-2 of "Energy-Consumption and Carbon-Emission Analysis of Vehicle and Component Manufacturing" Sullivan et al 2010
Calculations in Listofprocesses_ajb_020112,xls
</t>
        </r>
      </text>
    </comment>
    <comment ref="B458" authorId="1" shapeId="0" xr:uid="{00000000-0006-0000-3000-0000AC000000}">
      <text>
        <r>
          <rPr>
            <sz val="9"/>
            <color indexed="81"/>
            <rFont val="Tahoma"/>
            <family val="2"/>
          </rPr>
          <t xml:space="preserve">Data is based on from Table A-2 of "Energy-Consumption and Carbon-Emission Analysis of Vehicle and Component Manufacturing" Sullivan et al 2010
Calculations in Listofprocesses_ajb_020112,xls
</t>
        </r>
      </text>
    </comment>
    <comment ref="B461" authorId="4" shapeId="0" xr:uid="{00000000-0006-0000-3000-0000A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62" authorId="4" shapeId="0" xr:uid="{00000000-0006-0000-3000-0000A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63" authorId="4" shapeId="0" xr:uid="{00000000-0006-0000-3000-0000AF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64" authorId="4" shapeId="0" xr:uid="{00000000-0006-0000-3000-0000B0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65" authorId="4" shapeId="0" xr:uid="{00000000-0006-0000-3000-0000B1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66" authorId="4" shapeId="0" xr:uid="{00000000-0006-0000-3000-0000B2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67" authorId="4" shapeId="0" xr:uid="{00000000-0006-0000-3000-0000B3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68" authorId="4" shapeId="0" xr:uid="{00000000-0006-0000-3000-0000B4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69" authorId="4" shapeId="0" xr:uid="{00000000-0006-0000-3000-0000B5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70" authorId="1" shapeId="0" xr:uid="{00000000-0006-0000-3000-0000B6000000}">
      <text>
        <r>
          <rPr>
            <sz val="9"/>
            <color indexed="81"/>
            <rFont val="Tahoma"/>
            <family val="2"/>
          </rPr>
          <t>Title: Update of Process Energy Requirement and Material Efficiency for Steel and Al Stamping in the GREET Model
Publication date: September 2017
Authors: Q. Dai, J.C. Kelly, and A. Elgowainy</t>
        </r>
      </text>
    </comment>
    <comment ref="B471" authorId="4" shapeId="0" xr:uid="{00000000-0006-0000-3000-0000B7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74" authorId="4" shapeId="0" xr:uid="{00000000-0006-0000-3000-0000B8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75" authorId="4" shapeId="0" xr:uid="{00000000-0006-0000-3000-0000B9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76" authorId="4" shapeId="0" xr:uid="{00000000-0006-0000-3000-0000BA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77" authorId="4" shapeId="0" xr:uid="{00000000-0006-0000-3000-0000BB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78" authorId="4" shapeId="0" xr:uid="{00000000-0006-0000-3000-0000BC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79" authorId="4" shapeId="0" xr:uid="{00000000-0006-0000-3000-0000BD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80" authorId="4" shapeId="0" xr:uid="{00000000-0006-0000-3000-0000BE000000}">
      <text>
        <r>
          <rPr>
            <sz val="9"/>
            <color indexed="81"/>
            <rFont val="Tahoma"/>
            <family val="2"/>
          </rPr>
          <t xml:space="preserve">Title: Life Cycle Assessment Update of Aluminum Production and Semi-fabrication for GREET Model
Publication Date: September 2015
Authors: Q. Dai, J.C. Kelly, A. Burnham, and A. Elgowainy
</t>
        </r>
      </text>
    </comment>
    <comment ref="B481" authorId="2" shapeId="0" xr:uid="{00000000-0006-0000-3000-0000BF000000}">
      <text>
        <r>
          <rPr>
            <sz val="8"/>
            <color indexed="81"/>
            <rFont val="Tahoma"/>
            <family val="2"/>
          </rPr>
          <t>Data from "Life Cycle Material Data Update for GREET Model" Keoleian et al. 2012
Appendix, total includes kerosene and propane</t>
        </r>
      </text>
    </comment>
    <comment ref="B482" authorId="1" shapeId="0" xr:uid="{00000000-0006-0000-3000-0000C0000000}">
      <text>
        <r>
          <rPr>
            <sz val="8"/>
            <color indexed="81"/>
            <rFont val="Tahoma"/>
            <family val="2"/>
          </rPr>
          <t>Data is based on from Table A-2 of "Energy-Consumption and Carbon-Emission Analysis of Vehicle and Component Manufacturing" Sullivan et al 2010
Calculations in Listofprocesses_ajb_020112,xls</t>
        </r>
        <r>
          <rPr>
            <sz val="9"/>
            <color indexed="81"/>
            <rFont val="Tahoma"/>
            <family val="2"/>
          </rPr>
          <t xml:space="preserve">
</t>
        </r>
      </text>
    </comment>
    <comment ref="B485" authorId="1" shapeId="0" xr:uid="{00000000-0006-0000-3000-0000C1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486" authorId="2" shapeId="0" xr:uid="{00000000-0006-0000-3000-0000C2000000}">
      <text>
        <r>
          <rPr>
            <sz val="8"/>
            <color indexed="81"/>
            <rFont val="Tahoma"/>
            <family val="2"/>
          </rPr>
          <t xml:space="preserve">Based on Burnham, A., M. Wang, and Y. Wu, 2006, Development and Applications of GREET 2.7 — The Transportation Vehicle-Cycle Model, ANL/ESD/06-5, Center for Transportation Research, Argonne National Laboratory, Argonne, Ill.
Coke is the only energy feedstock.
</t>
        </r>
      </text>
    </comment>
    <comment ref="B487" authorId="1" shapeId="0" xr:uid="{00000000-0006-0000-3000-0000C3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490" authorId="2" shapeId="0" xr:uid="{00000000-0006-0000-3000-0000C4000000}">
      <text>
        <r>
          <rPr>
            <sz val="8"/>
            <color indexed="81"/>
            <rFont val="Tahoma"/>
            <family val="2"/>
          </rPr>
          <t xml:space="preserve">Title: Material and Energy Flows Associated with Select Metals in GREET2: Molybdenum, Platinum, Zinc, Nickel, Silicon. 
Publication Date: September 2015
Authors: P.T. Benavides, Q. Dai, J. Sullivan, J.C. Kelly, and J.B. Dunn
</t>
        </r>
      </text>
    </comment>
    <comment ref="B491" authorId="2" shapeId="0" xr:uid="{00000000-0006-0000-3000-0000C5000000}">
      <text>
        <r>
          <rPr>
            <sz val="8"/>
            <color indexed="81"/>
            <rFont val="Tahoma"/>
            <family val="2"/>
          </rPr>
          <t xml:space="preserve">Title: Material and Energy Flows Associated with Select Metals in GREET2: Molybdenum, Platinum, Zinc, Nickel, Silicon. 
Publication Date: September 2015
Authors: P.T. Benavides, Q. Dai, J. Sullivan, J.C. Kelly, and J.B. Dunn
</t>
        </r>
      </text>
    </comment>
    <comment ref="B492" authorId="2" shapeId="0" xr:uid="{00000000-0006-0000-3000-0000C6000000}">
      <text>
        <r>
          <rPr>
            <sz val="8"/>
            <color indexed="81"/>
            <rFont val="Tahoma"/>
            <family val="2"/>
          </rPr>
          <t xml:space="preserve">Title: Material and Energy Flows Associated with Select Metals in GREET2: Molybdenum, Platinum, Zinc, Nickel, Silicon. 
Publication Date: September 2015
Authors: P.T. Benavides, Q. Dai, J. Sullivan, J.C. Kelly, and J.B. Dunn
</t>
        </r>
      </text>
    </comment>
    <comment ref="B493" authorId="2" shapeId="0" xr:uid="{00000000-0006-0000-3000-0000C7000000}">
      <text>
        <r>
          <rPr>
            <sz val="8"/>
            <color indexed="81"/>
            <rFont val="Tahoma"/>
            <family val="2"/>
          </rPr>
          <t xml:space="preserve">Title: Material and Energy Flows Associated with Select Metals in GREET2: Molybdenum, Platinum, Zinc, Nickel, Silicon. 
Publication Date: September 2015
Authors: P.T. Benavides, Q. Dai, J. Sullivan, J.C. Kelly, and J.B. Dunn
</t>
        </r>
      </text>
    </comment>
    <comment ref="B507" authorId="2" shapeId="0" xr:uid="{00000000-0006-0000-3000-0000C8000000}">
      <text>
        <r>
          <rPr>
            <sz val="8"/>
            <color indexed="81"/>
            <rFont val="Tahoma"/>
            <family val="2"/>
          </rPr>
          <t>Data from "Life Cycle Material Data Update for GREET Model" Keoleian et al. 2012
Appendix</t>
        </r>
      </text>
    </comment>
    <comment ref="B508" authorId="2" shapeId="0" xr:uid="{00000000-0006-0000-3000-0000C9000000}">
      <text>
        <r>
          <rPr>
            <sz val="8"/>
            <color indexed="81"/>
            <rFont val="Tahoma"/>
            <family val="2"/>
          </rPr>
          <t>Data from "Life Cycle Material Data Update for GREET Model" Keoleian et al. 2012
Appendix</t>
        </r>
      </text>
    </comment>
    <comment ref="B509" authorId="4" shapeId="0" xr:uid="{00000000-0006-0000-3000-0000CA000000}">
      <text>
        <r>
          <rPr>
            <sz val="9"/>
            <color indexed="81"/>
            <rFont val="Tahoma"/>
            <family val="2"/>
          </rPr>
          <t>Data from "Updated Life Cycle Inventory of Copper: Imports from Chile" Kelly et al. 2015.</t>
        </r>
      </text>
    </comment>
    <comment ref="B510" authorId="1" shapeId="0" xr:uid="{00000000-0006-0000-3000-0000CB000000}">
      <text>
        <r>
          <rPr>
            <sz val="9"/>
            <color indexed="81"/>
            <rFont val="Tahoma"/>
            <family val="2"/>
          </rPr>
          <t xml:space="preserve">Data is based on from Table A-2 of "Energy-Consumption and Carbon-Emission Analysis of Vehicle and Component Manufacturing" Sullivan et al 2010
Calculations in Listofprocesses_ajb_020112,xls
</t>
        </r>
      </text>
    </comment>
    <comment ref="C512" authorId="0" shapeId="0" xr:uid="{00000000-0006-0000-3000-0000CC000000}">
      <text>
        <r>
          <rPr>
            <b/>
            <sz val="9"/>
            <color indexed="81"/>
            <rFont val="Tahoma"/>
            <family val="2"/>
          </rPr>
          <t>ABK:</t>
        </r>
        <r>
          <rPr>
            <sz val="9"/>
            <color indexed="81"/>
            <rFont val="Tahoma"/>
            <family val="2"/>
          </rPr>
          <t xml:space="preserve">
100% - (% sum of others)</t>
        </r>
      </text>
    </comment>
    <comment ref="B516" authorId="1" shapeId="0" xr:uid="{00000000-0006-0000-3000-0000CD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The additional 0.11 comes from beneficiation process of zinc ore, see Report of Metals update </t>
        </r>
      </text>
    </comment>
    <comment ref="B517" authorId="1" shapeId="0" xr:uid="{00000000-0006-0000-3000-0000CE000000}">
      <text>
        <r>
          <rPr>
            <sz val="9"/>
            <color indexed="81"/>
            <rFont val="Tahoma"/>
            <family val="2"/>
          </rPr>
          <t>Moats, M., Guerra, E., Siegmund, A., &amp; Manthey, J. (2010). Primary Zinc Smelter Operation Data Survey. USA, Canada, Germany: College of Mines and Earth Science, School of Engineering Laurentian University, LanMetCon-Recylex GmbH.</t>
        </r>
      </text>
    </comment>
    <comment ref="B518" authorId="4" shapeId="0" xr:uid="{00000000-0006-0000-3000-0000CF000000}">
      <text>
        <r>
          <rPr>
            <sz val="9"/>
            <color indexed="81"/>
            <rFont val="Tahoma"/>
            <family val="2"/>
          </rPr>
          <t>this value can be found on the new metals report, this value correspond to French process to produce zinc oxide from zinc metal. See Brown et at 1996</t>
        </r>
      </text>
    </comment>
    <comment ref="B521" authorId="2" shapeId="0" xr:uid="{00000000-0006-0000-3000-0000D0000000}">
      <text>
        <r>
          <rPr>
            <sz val="8"/>
            <color indexed="81"/>
            <rFont val="Tahoma"/>
            <family val="2"/>
          </rPr>
          <t xml:space="preserve">Mining energy use is included in the next step (magnesium production).
</t>
        </r>
      </text>
    </comment>
    <comment ref="B522" authorId="1" shapeId="0" xr:uid="{00000000-0006-0000-3000-0000D1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C528" authorId="0" shapeId="0" xr:uid="{00000000-0006-0000-3000-0000D2000000}">
      <text>
        <r>
          <rPr>
            <b/>
            <sz val="9"/>
            <color indexed="81"/>
            <rFont val="Tahoma"/>
            <family val="2"/>
          </rPr>
          <t>ABK:</t>
        </r>
        <r>
          <rPr>
            <sz val="9"/>
            <color indexed="81"/>
            <rFont val="Tahoma"/>
            <family val="2"/>
          </rPr>
          <t xml:space="preserve">
100% - (% sum of others)</t>
        </r>
      </text>
    </comment>
    <comment ref="B534" authorId="4" shapeId="0" xr:uid="{00000000-0006-0000-3000-0000D3000000}">
      <text>
        <r>
          <rPr>
            <sz val="9"/>
            <color indexed="81"/>
            <rFont val="Tahoma"/>
            <family val="2"/>
          </rPr>
          <t xml:space="preserve">Title: Life Cycle Assessment Update of Glass and Glass Fiber for GREET
Publication Date: September 2015
Authors: Q. Dai, J.C. Kelly, J. Sullivan, and A. Elgowainy
</t>
        </r>
      </text>
    </comment>
    <comment ref="B535" authorId="4" shapeId="0" xr:uid="{00000000-0006-0000-3000-0000D4000000}">
      <text>
        <r>
          <rPr>
            <sz val="9"/>
            <color indexed="81"/>
            <rFont val="Tahoma"/>
            <family val="2"/>
          </rPr>
          <t xml:space="preserve">Title: Life Cycle Assessment Update of Glass and Glass Fiber for GREET
Publication Date: September 2015
Authors: Q. Dai, J.C. Kelly, J. Sullivan, and A. Elgowainy
</t>
        </r>
      </text>
    </comment>
    <comment ref="B536" authorId="4" shapeId="0" xr:uid="{00000000-0006-0000-3000-0000D5000000}">
      <text>
        <r>
          <rPr>
            <sz val="9"/>
            <color indexed="81"/>
            <rFont val="Tahoma"/>
            <family val="2"/>
          </rPr>
          <t xml:space="preserve">Title: Life Cycle Assessment Update of Glass and Glass Fiber for GREET
Publication Date: September 2015
Authors: Q. Dai, J.C. Kelly, J. Sullivan, and A. Elgowainy
</t>
        </r>
      </text>
    </comment>
    <comment ref="B537" authorId="4" shapeId="0" xr:uid="{00000000-0006-0000-3000-0000D6000000}">
      <text>
        <r>
          <rPr>
            <sz val="9"/>
            <color indexed="81"/>
            <rFont val="Tahoma"/>
            <family val="2"/>
          </rPr>
          <t xml:space="preserve">Title: Life Cycle Assessment Update of Glass and Glass Fiber for GREET
Publication Date: September 2015
Authors: Q. Dai, J.C. Kelly, J. Sullivan, and A. Elgowainy
</t>
        </r>
      </text>
    </comment>
    <comment ref="B538" authorId="4" shapeId="0" xr:uid="{00000000-0006-0000-3000-0000D7000000}">
      <text>
        <r>
          <rPr>
            <sz val="9"/>
            <color indexed="81"/>
            <rFont val="Tahoma"/>
            <family val="2"/>
          </rPr>
          <t xml:space="preserve">Title: Life Cycle Assessment Update of Glass and Glass Fiber for GREET
Publication Date: September 2015
Authors: Q. Dai, J.C. Kelly, J. Sullivan, and A. Elgowainy
</t>
        </r>
      </text>
    </comment>
    <comment ref="B539" authorId="4" shapeId="0" xr:uid="{00000000-0006-0000-3000-0000D8000000}">
      <text>
        <r>
          <rPr>
            <sz val="9"/>
            <color indexed="81"/>
            <rFont val="Tahoma"/>
            <family val="2"/>
          </rPr>
          <t xml:space="preserve">Title: Life Cycle Assessment Update of Glass and Glass Fiber for GREET
Publication Date: September 2015
Authors: Q. Dai, J.C. Kelly, J. Sullivan, and A. Elgowainy
</t>
        </r>
      </text>
    </comment>
    <comment ref="B540" authorId="4" shapeId="0" xr:uid="{00000000-0006-0000-3000-0000D9000000}">
      <text>
        <r>
          <rPr>
            <sz val="9"/>
            <color indexed="81"/>
            <rFont val="Tahoma"/>
            <family val="2"/>
          </rPr>
          <t xml:space="preserve">Title: Life Cycle Assessment Update of Glass and Glass Fiber for GREET
Publication Date: September 2015
Authors: Q. Dai, J.C. Kelly, J. Sullivan, and A. Elgowainy
</t>
        </r>
      </text>
    </comment>
    <comment ref="B541" authorId="4" shapeId="0" xr:uid="{00000000-0006-0000-3000-0000DA000000}">
      <text>
        <r>
          <rPr>
            <sz val="9"/>
            <color indexed="81"/>
            <rFont val="Tahoma"/>
            <family val="2"/>
          </rPr>
          <t xml:space="preserve">Title: Life Cycle Assessment Update of Glass and Glass Fiber for GREET
Publication Date: September 2015
Authors: Q. Dai, J.C. Kelly, J. Sullivan, and A. Elgowainy
</t>
        </r>
      </text>
    </comment>
    <comment ref="B542" authorId="4" shapeId="0" xr:uid="{00000000-0006-0000-3000-0000DB000000}">
      <text>
        <r>
          <rPr>
            <sz val="9"/>
            <color indexed="81"/>
            <rFont val="Tahoma"/>
            <family val="2"/>
          </rPr>
          <t xml:space="preserve">Title: Life Cycle Assessment Update of Glass and Glass Fiber for GREET
Publication Date: September 2015
Authors: Q. Dai, J.C. Kelly, J. Sullivan, and A. Elgowainy
</t>
        </r>
      </text>
    </comment>
    <comment ref="B543" authorId="4" shapeId="0" xr:uid="{00000000-0006-0000-3000-0000DC000000}">
      <text>
        <r>
          <rPr>
            <sz val="9"/>
            <color indexed="81"/>
            <rFont val="Tahoma"/>
            <family val="2"/>
          </rPr>
          <t xml:space="preserve">Title: Life Cycle Assessment Update of Glass and Glass Fiber for GREET
Publication Date: September 2015
Authors: Q. Dai, J.C. Kelly, J. Sullivan, and A. Elgowainy
</t>
        </r>
      </text>
    </comment>
    <comment ref="B546" authorId="1" shapeId="0" xr:uid="{00000000-0006-0000-3000-0000DD000000}">
      <text>
        <r>
          <rPr>
            <sz val="8"/>
            <color indexed="81"/>
            <rFont val="Tahoma"/>
            <family val="2"/>
          </rPr>
          <t>Data from "Life Cycle Material Data Update for GREET Model" Keoleian et al. 2012
Appendix - Only Process fuels and Electricity are included, feeds are accounted for on Plastic tab</t>
        </r>
      </text>
    </comment>
    <comment ref="B547" authorId="1" shapeId="0" xr:uid="{00000000-0006-0000-3000-0000DE000000}">
      <text>
        <r>
          <rPr>
            <sz val="8"/>
            <color indexed="81"/>
            <rFont val="Tahoma"/>
            <family val="2"/>
          </rPr>
          <t>Data from "Life Cycle Material Data Update for GREET Model" Keoleian et al. 2012
Appendix - Only Process fuels and Electricity are included, feeds are accounted for on Plastic tab</t>
        </r>
      </text>
    </comment>
    <comment ref="B548" authorId="1" shapeId="0" xr:uid="{00000000-0006-0000-3000-0000DF000000}">
      <text>
        <r>
          <rPr>
            <sz val="8"/>
            <color indexed="81"/>
            <rFont val="Tahoma"/>
            <family val="2"/>
          </rPr>
          <t>Data from "Life Cycle Material Data Update for GREET Model" Keoleian et al. 2012
Appendix - Only Process fuels and Electricity are included, feeds are accounted for on Plastic tab</t>
        </r>
      </text>
    </comment>
    <comment ref="B549" authorId="1" shapeId="0" xr:uid="{00000000-0006-0000-3000-0000E0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0" authorId="1" shapeId="0" xr:uid="{00000000-0006-0000-3000-0000E1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1" authorId="1" shapeId="0" xr:uid="{00000000-0006-0000-3000-0000E2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2" authorId="1" shapeId="0" xr:uid="{00000000-0006-0000-3000-0000E3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3" authorId="1" shapeId="0" xr:uid="{00000000-0006-0000-3000-0000E4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4" authorId="1" shapeId="0" xr:uid="{00000000-0006-0000-3000-0000E5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5" authorId="1" shapeId="0" xr:uid="{00000000-0006-0000-3000-0000E6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6" authorId="1" shapeId="0" xr:uid="{00000000-0006-0000-3000-0000E7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7" authorId="1" shapeId="0" xr:uid="{00000000-0006-0000-3000-0000E8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8" authorId="1" shapeId="0" xr:uid="{00000000-0006-0000-3000-0000E9000000}">
      <text>
        <r>
          <rPr>
            <sz val="8"/>
            <color indexed="81"/>
            <rFont val="Tahoma"/>
            <family val="2"/>
          </rPr>
          <t>Data from "Life Cycle Material Data Update for GREET Model" Keoleian et al. 2012
Appendix - Only Process fuels and Electricity are included, feeds are accounted for on Plastic tab</t>
        </r>
      </text>
    </comment>
    <comment ref="B559" authorId="1" shapeId="0" xr:uid="{00000000-0006-0000-3000-0000EA000000}">
      <text>
        <r>
          <rPr>
            <sz val="8"/>
            <color indexed="81"/>
            <rFont val="Tahoma"/>
            <family val="2"/>
          </rPr>
          <t>Data from "Life Cycle Material Data Update for GREET Model" Keoleian et al. 2012
Appendix - Only Process fuels and Electricity are included, feeds are accounted for on Plastic tab</t>
        </r>
      </text>
    </comment>
    <comment ref="B560" authorId="1" shapeId="0" xr:uid="{00000000-0006-0000-3000-0000EB000000}">
      <text>
        <r>
          <rPr>
            <sz val="8"/>
            <color indexed="81"/>
            <rFont val="Tahoma"/>
            <family val="2"/>
          </rPr>
          <t>Data from "Life Cycle Material Data Update for GREET Model" Keoleian et al. 2012
Appendix - Only Process fuels and Electricity are included, feeds are accounted for on Plastic tab</t>
        </r>
      </text>
    </comment>
    <comment ref="B561" authorId="1" shapeId="0" xr:uid="{00000000-0006-0000-3000-0000EC000000}">
      <text>
        <r>
          <rPr>
            <sz val="8"/>
            <color indexed="81"/>
            <rFont val="Tahoma"/>
            <family val="2"/>
          </rPr>
          <t>Data from "Life Cycle Material Data Update for GREET Model" Keoleian et al. 2012
Appendix - Only Process fuels and Electricity are included, feeds are accounted for on Plastic tab</t>
        </r>
      </text>
    </comment>
    <comment ref="B562" authorId="1" shapeId="0" xr:uid="{00000000-0006-0000-3000-0000ED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563" authorId="1" shapeId="0" xr:uid="{00000000-0006-0000-3000-0000EE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564" authorId="4" shapeId="0" xr:uid="{00000000-0006-0000-3000-0000EF000000}">
      <text>
        <r>
          <rPr>
            <sz val="9"/>
            <color indexed="81"/>
            <rFont val="Tahoma"/>
            <family val="2"/>
          </rPr>
          <t xml:space="preserve">Title: Life Cycle Assessment Update of Glass and Glass Fiber for GREET
Publication Date: September 2015
Authors: Q. Dai, J.C. Kelly, J. Sullivan, and A. Elgowainy
</t>
        </r>
      </text>
    </comment>
    <comment ref="B565" authorId="4" shapeId="0" xr:uid="{00000000-0006-0000-3000-0000F0000000}">
      <text>
        <r>
          <rPr>
            <sz val="9"/>
            <color indexed="81"/>
            <rFont val="Tahoma"/>
            <family val="2"/>
          </rPr>
          <t xml:space="preserve">Title: Life Cycle Assessment Update of Glass and Glass Fiber for GREET
Publication Date: September 2015
Authors: Q. Dai, J.C. Kelly, J. Sullivan, and A. Elgowainy
</t>
        </r>
      </text>
    </comment>
    <comment ref="B566" authorId="4" shapeId="0" xr:uid="{00000000-0006-0000-3000-0000F1000000}">
      <text>
        <r>
          <rPr>
            <sz val="9"/>
            <color indexed="81"/>
            <rFont val="Tahoma"/>
            <family val="2"/>
          </rPr>
          <t xml:space="preserve">Title: Life Cycle Assessment Update of Glass and Glass Fiber for GREET
Publication Date: September 2015
Authors: Q. Dai, J.C. Kelly, J. Sullivan, and A. Elgowainy
</t>
        </r>
      </text>
    </comment>
    <comment ref="B567" authorId="1" shapeId="0" xr:uid="{00000000-0006-0000-3000-0000F2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568" authorId="1" shapeId="0" xr:uid="{00000000-0006-0000-3000-0000F3000000}">
      <text>
        <r>
          <rPr>
            <sz val="8"/>
            <color indexed="81"/>
            <rFont val="Tahoma"/>
            <family val="2"/>
          </rPr>
          <t>Data from "Life Cycle Material Data Update for GREET Model" Keoleian et al. 2012
Appendix</t>
        </r>
      </text>
    </comment>
    <comment ref="B569" authorId="1" shapeId="0" xr:uid="{00000000-0006-0000-3000-0000F4000000}">
      <text>
        <r>
          <rPr>
            <sz val="8"/>
            <color indexed="81"/>
            <rFont val="Tahoma"/>
            <family val="2"/>
          </rPr>
          <t>Data from "Life Cycle Material Data Update for GREET Model" Keoleian et al. 2012
Appendix</t>
        </r>
      </text>
    </comment>
    <comment ref="B570" authorId="1" shapeId="0" xr:uid="{00000000-0006-0000-3000-0000F5000000}">
      <text>
        <r>
          <rPr>
            <sz val="8"/>
            <color indexed="81"/>
            <rFont val="Tahoma"/>
            <family val="2"/>
          </rPr>
          <t>Data from "Life Cycle Material Data Update for GREET Model" Keoleian et al. 2012
Appendix</t>
        </r>
      </text>
    </comment>
    <comment ref="B571" authorId="1" shapeId="0" xr:uid="{00000000-0006-0000-3000-0000F6000000}">
      <text>
        <r>
          <rPr>
            <sz val="8"/>
            <color indexed="81"/>
            <rFont val="Tahoma"/>
            <family val="2"/>
          </rPr>
          <t>Data from "Life Cycle Material Data Update for GREET Model" Keoleian et al. 2012
Appendix</t>
        </r>
      </text>
    </comment>
    <comment ref="B572" authorId="1" shapeId="0" xr:uid="{00000000-0006-0000-3000-0000F7000000}">
      <text>
        <r>
          <rPr>
            <sz val="8"/>
            <color indexed="81"/>
            <rFont val="Tahoma"/>
            <family val="2"/>
          </rPr>
          <t>Data from "Life Cycle Material Data Update for GREET Model" Keoleian et al. 2012
Appendix</t>
        </r>
      </text>
    </comment>
    <comment ref="B573" authorId="1" shapeId="0" xr:uid="{00000000-0006-0000-3000-0000F8000000}">
      <text>
        <r>
          <rPr>
            <sz val="8"/>
            <color indexed="81"/>
            <rFont val="Tahoma"/>
            <family val="2"/>
          </rPr>
          <t>Data from "Life Cycle Material Data Update for GREET Model" Keoleian et al. 2012
Appendix</t>
        </r>
      </text>
    </comment>
    <comment ref="B574" authorId="1" shapeId="0" xr:uid="{00000000-0006-0000-3000-0000F9000000}">
      <text>
        <r>
          <rPr>
            <sz val="8"/>
            <color indexed="81"/>
            <rFont val="Tahoma"/>
            <family val="2"/>
          </rPr>
          <t>Data from "Life Cycle Material Data Update for GREET Model" Keoleian et al. 2012
Appendix</t>
        </r>
      </text>
    </comment>
    <comment ref="B575" authorId="1" shapeId="0" xr:uid="{00000000-0006-0000-3000-0000FA000000}">
      <text>
        <r>
          <rPr>
            <sz val="8"/>
            <color indexed="81"/>
            <rFont val="Tahoma"/>
            <family val="2"/>
          </rPr>
          <t>Data from "Life Cycle Material Data Update for GREET Model" Keoleian et al. 2012
Appendix</t>
        </r>
      </text>
    </comment>
    <comment ref="B576" authorId="1" shapeId="0" xr:uid="{00000000-0006-0000-3000-0000FB000000}">
      <text>
        <r>
          <rPr>
            <sz val="8"/>
            <color indexed="81"/>
            <rFont val="Tahoma"/>
            <family val="2"/>
          </rPr>
          <t>Data from "Life Cycle Material Data Update for GREET Model" Keoleian et al. 2012
Appendix</t>
        </r>
      </text>
    </comment>
    <comment ref="B579" authorId="1" shapeId="0" xr:uid="{00000000-0006-0000-3000-0000FC00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580" authorId="1" shapeId="0" xr:uid="{00000000-0006-0000-3000-0000FD000000}">
      <text>
        <r>
          <rPr>
            <sz val="8"/>
            <color indexed="81"/>
            <rFont val="Tahoma"/>
            <family val="2"/>
          </rPr>
          <t xml:space="preserve">Data from Data from "Energy Analysis of 108 Industrial Processes" Brown et al. 1996
Page 234
Documented in "Energy-Consumption and Carbon-Emission Analysis of Vehicle and Component Manufacturing" Sullivan et al 2010 and "Life Cycle Material Data Update for GREET Model" Keoleian et al. 2011
Calculations in Listofprocesses_ajb_020112,xls
</t>
        </r>
      </text>
    </comment>
    <comment ref="B581" authorId="1" shapeId="0" xr:uid="{00000000-0006-0000-3000-0000FE000000}">
      <text>
        <r>
          <rPr>
            <sz val="8"/>
            <color indexed="81"/>
            <rFont val="Tahoma"/>
            <family val="2"/>
          </rPr>
          <t>Data from "Life Cycle Material Data Update for GREET Model" Keoleian et al. 2012
Appendix</t>
        </r>
      </text>
    </comment>
    <comment ref="B586" authorId="4" shapeId="0" xr:uid="{00000000-0006-0000-3000-0000FF000000}">
      <text>
        <r>
          <rPr>
            <sz val="9"/>
            <color indexed="81"/>
            <rFont val="Tahoma"/>
            <family val="2"/>
          </rPr>
          <t>For South Africa cases: Based on Anglo Americas Platinum  Company, South Africa. Annual report 2014 - Metals report
For North America cases: Based on Burnham, A., M. Wang, and Y. Wu, 2006, Development and Applications of GREET 2.7 — The Transportation Vehicle-Cycle Model, ANL/ESD/06-5, Center for Transportation Research, Argonne National Laboratory, Argonne, Ill.</t>
        </r>
      </text>
    </comment>
    <comment ref="B587" authorId="4" shapeId="0" xr:uid="{00000000-0006-0000-3000-000000010000}">
      <text>
        <r>
          <rPr>
            <sz val="9"/>
            <color indexed="81"/>
            <rFont val="Tahoma"/>
            <family val="2"/>
          </rPr>
          <t>Platinum  Company, South Africa. Annual report 2014 t</t>
        </r>
      </text>
    </comment>
    <comment ref="B588" authorId="4" shapeId="0" xr:uid="{00000000-0006-0000-3000-000001010000}">
      <text>
        <r>
          <rPr>
            <sz val="9"/>
            <color indexed="81"/>
            <rFont val="Tahoma"/>
            <family val="2"/>
          </rPr>
          <t xml:space="preserve">Platinum  Company, South Africa. Annual report 2014 </t>
        </r>
      </text>
    </comment>
    <comment ref="B589" authorId="4" shapeId="0" xr:uid="{00000000-0006-0000-3000-000002010000}">
      <text>
        <r>
          <rPr>
            <sz val="9"/>
            <color indexed="81"/>
            <rFont val="Tahoma"/>
            <family val="2"/>
          </rPr>
          <t>For South Africa cases: Platinum  Company, South Africa. Annual report 2014 -  Metals report 
For North America cases: Based on Burnham, A., M. Wang, and Y. Wu, 2006, Development and Applications of GREET 2.7 — The Transportation Vehicle-Cycle Model, ANL/ESD/06-5, Center for Transportation Research, Argonne National Laboratory, Argonne, Ill.
Value depends 4.10) Selection of Method for Estimating Energy Use for Platinum, which is on this sheet</t>
        </r>
      </text>
    </comment>
    <comment ref="B592" authorId="2" shapeId="0" xr:uid="{00000000-0006-0000-3000-000003010000}">
      <text>
        <r>
          <rPr>
            <sz val="8"/>
            <color indexed="81"/>
            <rFont val="Tahoma"/>
            <family val="2"/>
          </rPr>
          <t xml:space="preserve">Based on Burnham, A., M. Wang, and Y. Wu, 2006, Development and Applications of GREET 2.7 — The Transportation Vehicle-Cycle Model, ANL/ESD/06-5, Center for Transportation Research, Argonne National Laboratory, Argonne, Ill.
Japanese Data.
</t>
        </r>
      </text>
    </comment>
    <comment ref="B593" authorId="2" shapeId="0" xr:uid="{00000000-0006-0000-3000-000004010000}">
      <text>
        <r>
          <rPr>
            <sz val="8"/>
            <color indexed="81"/>
            <rFont val="Tahoma"/>
            <family val="2"/>
          </rPr>
          <t xml:space="preserve">Based on Burnham, A., M. Wang, and Y. Wu, 2006, Development and Applications of GREET 2.7 — The Transportation Vehicle-Cycle Model, ANL/ESD/06-5, Center for Transportation Research, Argonne National Laboratory, Argonne, Ill.
Japanese Data.
</t>
        </r>
      </text>
    </comment>
    <comment ref="B597" authorId="2" shapeId="0" xr:uid="{00000000-0006-0000-3000-000005010000}">
      <text>
        <r>
          <rPr>
            <sz val="8"/>
            <color indexed="81"/>
            <rFont val="Tahoma"/>
            <family val="2"/>
          </rPr>
          <t xml:space="preserve">The data for zinc production is applied here.
</t>
        </r>
      </text>
    </comment>
    <comment ref="B598" authorId="2" shapeId="0" xr:uid="{00000000-0006-0000-3000-000006010000}">
      <text>
        <r>
          <rPr>
            <sz val="8"/>
            <color indexed="81"/>
            <rFont val="Tahoma"/>
            <family val="2"/>
          </rPr>
          <t xml:space="preserve">The data for zinc production is applied here.
</t>
        </r>
      </text>
    </comment>
    <comment ref="B601" authorId="1" shapeId="0" xr:uid="{00000000-0006-0000-3000-00000701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602" authorId="1" shapeId="0" xr:uid="{00000000-0006-0000-3000-00000801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603" authorId="1" shapeId="0" xr:uid="{00000000-0006-0000-3000-000009010000}">
      <text>
        <r>
          <rPr>
            <sz val="9"/>
            <color indexed="81"/>
            <rFont val="Tahoma"/>
            <family val="2"/>
          </rPr>
          <t xml:space="preserve">Based on Burnham, A., M. Wang, and Y. Wu, 2006, Development and Applications of GREET 2.7 — The Transportation Vehicle-Cycle Model, ANL/ESD/06-5, Center for Transportation Research, Argonne National Laboratory, Argonne, Ill.
</t>
        </r>
      </text>
    </comment>
    <comment ref="B609" authorId="4" shapeId="0" xr:uid="{00000000-0006-0000-3000-00000A010000}">
      <text>
        <r>
          <rPr>
            <sz val="9"/>
            <color indexed="81"/>
            <rFont val="Tahoma"/>
            <family val="2"/>
          </rPr>
          <t xml:space="preserve">Thompson creek air quality permit </t>
        </r>
      </text>
    </comment>
    <comment ref="B610" authorId="4" shapeId="0" xr:uid="{00000000-0006-0000-3000-00000B010000}">
      <text>
        <r>
          <rPr>
            <sz val="9"/>
            <color indexed="81"/>
            <rFont val="Tahoma"/>
            <family val="2"/>
          </rPr>
          <t>This is from Fthenakis et al. Renewable and sustainable Energy reviews 13 (2009) 439-517</t>
        </r>
      </text>
    </comment>
    <comment ref="B611" authorId="4" shapeId="0" xr:uid="{00000000-0006-0000-3000-00000C010000}">
      <text>
        <r>
          <rPr>
            <sz val="9"/>
            <color indexed="81"/>
            <rFont val="Tahoma"/>
            <family val="2"/>
          </rPr>
          <t>from the Climax Molybdenum company, air quality permit</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Kelly, Jarod Cory</author>
  </authors>
  <commentList>
    <comment ref="L32" authorId="0" shapeId="0" xr:uid="{00000000-0006-0000-3100-000001000000}">
      <text>
        <r>
          <rPr>
            <sz val="9"/>
            <color indexed="81"/>
            <rFont val="Tahoma"/>
            <family val="2"/>
          </rPr>
          <t>Based on Kelly, J., Dai, Q., and Elgowainy,A.  2016, Vehicle Materials: Fuel Cell Vehicle Material Composition Update,Systems Assessment Group, Argonne National Laboratory, Argonne, Ill.</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Kelly, Jarod Cory</author>
  </authors>
  <commentList>
    <comment ref="L32" authorId="0" shapeId="0" xr:uid="{00000000-0006-0000-3200-000001000000}">
      <text>
        <r>
          <rPr>
            <sz val="9"/>
            <color indexed="81"/>
            <rFont val="Tahoma"/>
            <family val="2"/>
          </rPr>
          <t>Based on Kelly, J., Dai, Q., and Elgowainy,A.  2016, Vehicle Materials: Fuel Cell Vehicle Material Composition Update,Systems Assessment Group, Argonne National Laboratory, Argonne, Ill.</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Kelly, Jarod Cory</author>
  </authors>
  <commentList>
    <comment ref="L32" authorId="0" shapeId="0" xr:uid="{00000000-0006-0000-3300-000001000000}">
      <text>
        <r>
          <rPr>
            <sz val="9"/>
            <color indexed="81"/>
            <rFont val="Tahoma"/>
            <family val="2"/>
          </rPr>
          <t>Based on Kelly, J., Dai, Q., and Elgowainy,A.  2016, Vehicle Materials: Fuel Cell Vehicle Material Composition Update,Systems Assessment Group, Argonne National Laboratory, Argonne, Ill.</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ywu</author>
    <author>ABK</author>
  </authors>
  <commentList>
    <comment ref="E23" authorId="0" shapeId="0" xr:uid="{00000000-0006-0000-3400-000001000000}">
      <text>
        <r>
          <rPr>
            <sz val="8"/>
            <color indexed="81"/>
            <rFont val="Tahoma"/>
            <family val="2"/>
          </rPr>
          <t>to be burned.</t>
        </r>
      </text>
    </comment>
    <comment ref="G23" authorId="0" shapeId="0" xr:uid="{00000000-0006-0000-3400-000002000000}">
      <text>
        <r>
          <rPr>
            <sz val="8"/>
            <color indexed="81"/>
            <rFont val="Tahoma"/>
            <family val="2"/>
          </rPr>
          <t>to be burned.</t>
        </r>
      </text>
    </comment>
    <comment ref="I23" authorId="0" shapeId="0" xr:uid="{00000000-0006-0000-3400-000003000000}">
      <text>
        <r>
          <rPr>
            <sz val="8"/>
            <color indexed="81"/>
            <rFont val="Tahoma"/>
            <family val="2"/>
          </rPr>
          <t>to be burned.</t>
        </r>
      </text>
    </comment>
    <comment ref="K23" authorId="0" shapeId="0" xr:uid="{00000000-0006-0000-3400-000004000000}">
      <text>
        <r>
          <rPr>
            <sz val="8"/>
            <color indexed="81"/>
            <rFont val="Tahoma"/>
            <family val="2"/>
          </rPr>
          <t>to be burned.</t>
        </r>
      </text>
    </comment>
    <comment ref="M23" authorId="0" shapeId="0" xr:uid="{00000000-0006-0000-3400-000005000000}">
      <text>
        <r>
          <rPr>
            <sz val="8"/>
            <color indexed="81"/>
            <rFont val="Tahoma"/>
            <family val="2"/>
          </rPr>
          <t>to be burned.</t>
        </r>
      </text>
    </comment>
    <comment ref="O23" authorId="0" shapeId="0" xr:uid="{00000000-0006-0000-3400-000006000000}">
      <text>
        <r>
          <rPr>
            <sz val="8"/>
            <color indexed="81"/>
            <rFont val="Tahoma"/>
            <family val="2"/>
          </rPr>
          <t>to be burned.</t>
        </r>
      </text>
    </comment>
    <comment ref="Q23" authorId="0" shapeId="0" xr:uid="{00000000-0006-0000-3400-000007000000}">
      <text>
        <r>
          <rPr>
            <sz val="8"/>
            <color indexed="81"/>
            <rFont val="Tahoma"/>
            <family val="2"/>
          </rPr>
          <t>to be burned.</t>
        </r>
      </text>
    </comment>
    <comment ref="S23" authorId="0" shapeId="0" xr:uid="{00000000-0006-0000-3400-000008000000}">
      <text>
        <r>
          <rPr>
            <sz val="8"/>
            <color indexed="81"/>
            <rFont val="Tahoma"/>
            <family val="2"/>
          </rPr>
          <t>to be burned.</t>
        </r>
      </text>
    </comment>
    <comment ref="U23" authorId="0" shapeId="0" xr:uid="{00000000-0006-0000-3400-000009000000}">
      <text>
        <r>
          <rPr>
            <sz val="8"/>
            <color indexed="81"/>
            <rFont val="Tahoma"/>
            <family val="2"/>
          </rPr>
          <t>to be burned.</t>
        </r>
      </text>
    </comment>
    <comment ref="W23" authorId="0" shapeId="0" xr:uid="{00000000-0006-0000-3400-00000A000000}">
      <text>
        <r>
          <rPr>
            <sz val="8"/>
            <color indexed="81"/>
            <rFont val="Tahoma"/>
            <family val="2"/>
          </rPr>
          <t>to be volatilized.</t>
        </r>
      </text>
    </comment>
    <comment ref="Y23" authorId="0" shapeId="0" xr:uid="{00000000-0006-0000-3400-00000B000000}">
      <text>
        <r>
          <rPr>
            <sz val="8"/>
            <color indexed="81"/>
            <rFont val="Tahoma"/>
            <family val="2"/>
          </rPr>
          <t>to be burned.</t>
        </r>
      </text>
    </comment>
    <comment ref="D38" authorId="1" shapeId="0" xr:uid="{00000000-0006-0000-3400-00000C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F38" authorId="1" shapeId="0" xr:uid="{00000000-0006-0000-3400-00000D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H38" authorId="1" shapeId="0" xr:uid="{00000000-0006-0000-3400-00000E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J38" authorId="1" shapeId="0" xr:uid="{00000000-0006-0000-3400-00000F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L38" authorId="1" shapeId="0" xr:uid="{00000000-0006-0000-3400-000010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N38" authorId="1" shapeId="0" xr:uid="{00000000-0006-0000-3400-000011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P38" authorId="1" shapeId="0" xr:uid="{00000000-0006-0000-3400-000012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R38" authorId="1" shapeId="0" xr:uid="{00000000-0006-0000-3400-000013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T38" authorId="1" shapeId="0" xr:uid="{00000000-0006-0000-3400-000014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V38" authorId="1" shapeId="0" xr:uid="{00000000-0006-0000-3400-000015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X38" authorId="1" shapeId="0" xr:uid="{00000000-0006-0000-3400-000016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D39" authorId="1" shapeId="0" xr:uid="{00000000-0006-0000-3400-000017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F39" authorId="1" shapeId="0" xr:uid="{00000000-0006-0000-3400-000018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H39" authorId="1" shapeId="0" xr:uid="{00000000-0006-0000-3400-000019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J39" authorId="1" shapeId="0" xr:uid="{00000000-0006-0000-3400-00001A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L39" authorId="1" shapeId="0" xr:uid="{00000000-0006-0000-3400-00001B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N39" authorId="1" shapeId="0" xr:uid="{00000000-0006-0000-3400-00001C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P39" authorId="1" shapeId="0" xr:uid="{00000000-0006-0000-3400-00001D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R39" authorId="1" shapeId="0" xr:uid="{00000000-0006-0000-3400-00001E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T39" authorId="1" shapeId="0" xr:uid="{00000000-0006-0000-3400-00001F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V39" authorId="1" shapeId="0" xr:uid="{00000000-0006-0000-3400-000020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X39" authorId="1" shapeId="0" xr:uid="{00000000-0006-0000-3400-000021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D40" authorId="1" shapeId="0" xr:uid="{00000000-0006-0000-3400-000022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F40" authorId="1" shapeId="0" xr:uid="{00000000-0006-0000-3400-000023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H40" authorId="1" shapeId="0" xr:uid="{00000000-0006-0000-3400-000024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J40" authorId="1" shapeId="0" xr:uid="{00000000-0006-0000-3400-000025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L40" authorId="1" shapeId="0" xr:uid="{00000000-0006-0000-3400-000026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N40" authorId="1" shapeId="0" xr:uid="{00000000-0006-0000-3400-000027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P40" authorId="1" shapeId="0" xr:uid="{00000000-0006-0000-3400-000028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R40" authorId="1" shapeId="0" xr:uid="{00000000-0006-0000-3400-000029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T40" authorId="1" shapeId="0" xr:uid="{00000000-0006-0000-3400-00002A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V40" authorId="1" shapeId="0" xr:uid="{00000000-0006-0000-3400-00002B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X40" authorId="1" shapeId="0" xr:uid="{00000000-0006-0000-3400-00002C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D41" authorId="1" shapeId="0" xr:uid="{00000000-0006-0000-3400-00002D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F41" authorId="1" shapeId="0" xr:uid="{00000000-0006-0000-3400-00002E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H41" authorId="1" shapeId="0" xr:uid="{00000000-0006-0000-3400-00002F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J41" authorId="1" shapeId="0" xr:uid="{00000000-0006-0000-3400-000030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L41" authorId="1" shapeId="0" xr:uid="{00000000-0006-0000-3400-000031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N41" authorId="1" shapeId="0" xr:uid="{00000000-0006-0000-3400-000032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P41" authorId="1" shapeId="0" xr:uid="{00000000-0006-0000-3400-000033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R41" authorId="1" shapeId="0" xr:uid="{00000000-0006-0000-3400-000034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T41" authorId="1" shapeId="0" xr:uid="{00000000-0006-0000-3400-000035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V41" authorId="1" shapeId="0" xr:uid="{00000000-0006-0000-3400-000036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X41" authorId="1" shapeId="0" xr:uid="{00000000-0006-0000-3400-000037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D42" authorId="1" shapeId="0" xr:uid="{00000000-0006-0000-3400-000038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F42" authorId="1" shapeId="0" xr:uid="{00000000-0006-0000-3400-000039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H42" authorId="1" shapeId="0" xr:uid="{00000000-0006-0000-3400-00003A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J42" authorId="1" shapeId="0" xr:uid="{00000000-0006-0000-3400-00003B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L42" authorId="1" shapeId="0" xr:uid="{00000000-0006-0000-3400-00003C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N42" authorId="1" shapeId="0" xr:uid="{00000000-0006-0000-3400-00003D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P42" authorId="1" shapeId="0" xr:uid="{00000000-0006-0000-3400-00003E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R42" authorId="1" shapeId="0" xr:uid="{00000000-0006-0000-3400-00003F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T42" authorId="1" shapeId="0" xr:uid="{00000000-0006-0000-3400-000040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V42" authorId="1" shapeId="0" xr:uid="{00000000-0006-0000-3400-000041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X42" authorId="1" shapeId="0" xr:uid="{00000000-0006-0000-3400-000042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D43" authorId="1" shapeId="0" xr:uid="{00000000-0006-0000-3400-000043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F43" authorId="1" shapeId="0" xr:uid="{00000000-0006-0000-3400-000044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H43" authorId="1" shapeId="0" xr:uid="{00000000-0006-0000-3400-000045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J43" authorId="1" shapeId="0" xr:uid="{00000000-0006-0000-3400-000046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L43" authorId="1" shapeId="0" xr:uid="{00000000-0006-0000-3400-000047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N43" authorId="1" shapeId="0" xr:uid="{00000000-0006-0000-3400-000048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P43" authorId="1" shapeId="0" xr:uid="{00000000-0006-0000-3400-000049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R43" authorId="1" shapeId="0" xr:uid="{00000000-0006-0000-3400-00004A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T43" authorId="1" shapeId="0" xr:uid="{00000000-0006-0000-3400-00004B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V43" authorId="1" shapeId="0" xr:uid="{00000000-0006-0000-3400-00004C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X43" authorId="1" shapeId="0" xr:uid="{00000000-0006-0000-3400-00004D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B45" authorId="1" shapeId="0" xr:uid="{00000000-0006-0000-3400-00004E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6" authorId="1" shapeId="0" xr:uid="{00000000-0006-0000-3400-00004F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7" authorId="1" shapeId="0" xr:uid="{00000000-0006-0000-3400-000050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8" authorId="1" shapeId="0" xr:uid="{00000000-0006-0000-3400-000051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9" authorId="1" shapeId="0" xr:uid="{00000000-0006-0000-3400-000052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50" authorId="1" shapeId="0" xr:uid="{00000000-0006-0000-3400-000053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51" authorId="1" shapeId="0" xr:uid="{00000000-0006-0000-3400-000054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52" authorId="1" shapeId="0" xr:uid="{00000000-0006-0000-3400-000055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53" authorId="1" shapeId="0" xr:uid="{00000000-0006-0000-3400-000056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54" authorId="1" shapeId="0" xr:uid="{00000000-0006-0000-3400-000057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55" authorId="1" shapeId="0" xr:uid="{00000000-0006-0000-3400-000058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ywu</author>
    <author>ABK</author>
  </authors>
  <commentList>
    <comment ref="E20" authorId="0" shapeId="0" xr:uid="{00000000-0006-0000-3500-000001000000}">
      <text>
        <r>
          <rPr>
            <sz val="8"/>
            <color indexed="81"/>
            <rFont val="Tahoma"/>
            <family val="2"/>
          </rPr>
          <t>to be burned.</t>
        </r>
      </text>
    </comment>
    <comment ref="G20" authorId="0" shapeId="0" xr:uid="{00000000-0006-0000-3500-000002000000}">
      <text>
        <r>
          <rPr>
            <sz val="8"/>
            <color indexed="81"/>
            <rFont val="Tahoma"/>
            <family val="2"/>
          </rPr>
          <t>to be burned.</t>
        </r>
      </text>
    </comment>
    <comment ref="I20" authorId="0" shapeId="0" xr:uid="{00000000-0006-0000-3500-000003000000}">
      <text>
        <r>
          <rPr>
            <sz val="8"/>
            <color indexed="81"/>
            <rFont val="Tahoma"/>
            <family val="2"/>
          </rPr>
          <t>to be burned.</t>
        </r>
      </text>
    </comment>
    <comment ref="K20" authorId="0" shapeId="0" xr:uid="{00000000-0006-0000-3500-000004000000}">
      <text>
        <r>
          <rPr>
            <sz val="8"/>
            <color indexed="81"/>
            <rFont val="Tahoma"/>
            <family val="2"/>
          </rPr>
          <t>to be burned.</t>
        </r>
      </text>
    </comment>
    <comment ref="M20" authorId="0" shapeId="0" xr:uid="{00000000-0006-0000-3500-000005000000}">
      <text>
        <r>
          <rPr>
            <sz val="8"/>
            <color indexed="81"/>
            <rFont val="Tahoma"/>
            <family val="2"/>
          </rPr>
          <t>to be burned.</t>
        </r>
      </text>
    </comment>
    <comment ref="O20" authorId="0" shapeId="0" xr:uid="{00000000-0006-0000-3500-000006000000}">
      <text>
        <r>
          <rPr>
            <sz val="8"/>
            <color indexed="81"/>
            <rFont val="Tahoma"/>
            <family val="2"/>
          </rPr>
          <t>to be burned.</t>
        </r>
      </text>
    </comment>
    <comment ref="Q20" authorId="0" shapeId="0" xr:uid="{00000000-0006-0000-3500-000007000000}">
      <text>
        <r>
          <rPr>
            <sz val="8"/>
            <color indexed="81"/>
            <rFont val="Tahoma"/>
            <family val="2"/>
          </rPr>
          <t>to be burned.</t>
        </r>
      </text>
    </comment>
    <comment ref="S20" authorId="0" shapeId="0" xr:uid="{00000000-0006-0000-3500-000008000000}">
      <text>
        <r>
          <rPr>
            <sz val="8"/>
            <color indexed="81"/>
            <rFont val="Tahoma"/>
            <family val="2"/>
          </rPr>
          <t>to be burned.</t>
        </r>
      </text>
    </comment>
    <comment ref="U20" authorId="0" shapeId="0" xr:uid="{00000000-0006-0000-3500-000009000000}">
      <text>
        <r>
          <rPr>
            <sz val="8"/>
            <color indexed="81"/>
            <rFont val="Tahoma"/>
            <family val="2"/>
          </rPr>
          <t>to be burned.</t>
        </r>
      </text>
    </comment>
    <comment ref="W20" authorId="0" shapeId="0" xr:uid="{00000000-0006-0000-3500-00000A000000}">
      <text>
        <r>
          <rPr>
            <sz val="8"/>
            <color indexed="81"/>
            <rFont val="Tahoma"/>
            <family val="2"/>
          </rPr>
          <t>to be volatilized.</t>
        </r>
      </text>
    </comment>
    <comment ref="Y20" authorId="0" shapeId="0" xr:uid="{00000000-0006-0000-3500-00000B000000}">
      <text>
        <r>
          <rPr>
            <sz val="8"/>
            <color indexed="81"/>
            <rFont val="Tahoma"/>
            <family val="2"/>
          </rPr>
          <t>to be burned.</t>
        </r>
      </text>
    </comment>
    <comment ref="D35" authorId="1" shapeId="0" xr:uid="{00000000-0006-0000-3500-00000C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F35" authorId="1" shapeId="0" xr:uid="{00000000-0006-0000-3500-00000D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H35" authorId="1" shapeId="0" xr:uid="{00000000-0006-0000-3500-00000E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J35" authorId="1" shapeId="0" xr:uid="{00000000-0006-0000-3500-00000F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L35" authorId="1" shapeId="0" xr:uid="{00000000-0006-0000-3500-000010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N35" authorId="1" shapeId="0" xr:uid="{00000000-0006-0000-3500-000011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P35" authorId="1" shapeId="0" xr:uid="{00000000-0006-0000-3500-000012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R35" authorId="1" shapeId="0" xr:uid="{00000000-0006-0000-3500-000013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T35" authorId="1" shapeId="0" xr:uid="{00000000-0006-0000-3500-000014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V35" authorId="1" shapeId="0" xr:uid="{00000000-0006-0000-3500-000015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X35" authorId="1" shapeId="0" xr:uid="{00000000-0006-0000-3500-000016000000}">
      <text>
        <r>
          <rPr>
            <b/>
            <sz val="9"/>
            <color indexed="81"/>
            <rFont val="Tahoma"/>
            <family val="2"/>
          </rPr>
          <t>ABK:</t>
        </r>
        <r>
          <rPr>
            <sz val="9"/>
            <color indexed="81"/>
            <rFont val="Tahoma"/>
            <family val="2"/>
          </rPr>
          <t xml:space="preserve">
A complex formula, but the logic works as follows: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B36" authorId="1" shapeId="0" xr:uid="{00000000-0006-0000-3500-000017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D36" authorId="1" shapeId="0" xr:uid="{00000000-0006-0000-3500-000018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F36" authorId="1" shapeId="0" xr:uid="{00000000-0006-0000-3500-000019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H36" authorId="1" shapeId="0" xr:uid="{00000000-0006-0000-3500-00001A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J36" authorId="1" shapeId="0" xr:uid="{00000000-0006-0000-3500-00001B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L36" authorId="1" shapeId="0" xr:uid="{00000000-0006-0000-3500-00001C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N36" authorId="1" shapeId="0" xr:uid="{00000000-0006-0000-3500-00001D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P36" authorId="1" shapeId="0" xr:uid="{00000000-0006-0000-3500-00001E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R36" authorId="1" shapeId="0" xr:uid="{00000000-0006-0000-3500-00001F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T36" authorId="1" shapeId="0" xr:uid="{00000000-0006-0000-3500-000020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V36" authorId="1" shapeId="0" xr:uid="{00000000-0006-0000-3500-000021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X36" authorId="1" shapeId="0" xr:uid="{00000000-0006-0000-3500-000022000000}">
      <text>
        <r>
          <rPr>
            <b/>
            <sz val="9"/>
            <color indexed="81"/>
            <rFont val="Tahoma"/>
            <family val="2"/>
          </rPr>
          <t>ABK:</t>
        </r>
        <r>
          <rPr>
            <sz val="9"/>
            <color indexed="81"/>
            <rFont val="Tahoma"/>
            <family val="2"/>
          </rPr>
          <t xml:space="preserve">
A complex formula, but the logic works as follows (same as for total energy, just that here, focus is only on fossil fuels):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B37" authorId="1" shapeId="0" xr:uid="{00000000-0006-0000-3500-000023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D37" authorId="1" shapeId="0" xr:uid="{00000000-0006-0000-3500-000024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F37" authorId="1" shapeId="0" xr:uid="{00000000-0006-0000-3500-000025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H37" authorId="1" shapeId="0" xr:uid="{00000000-0006-0000-3500-000026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J37" authorId="1" shapeId="0" xr:uid="{00000000-0006-0000-3500-000027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L37" authorId="1" shapeId="0" xr:uid="{00000000-0006-0000-3500-000028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N37" authorId="1" shapeId="0" xr:uid="{00000000-0006-0000-3500-000029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P37" authorId="1" shapeId="0" xr:uid="{00000000-0006-0000-3500-00002A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R37" authorId="1" shapeId="0" xr:uid="{00000000-0006-0000-3500-00002B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T37" authorId="1" shapeId="0" xr:uid="{00000000-0006-0000-3500-00002C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V37" authorId="1" shapeId="0" xr:uid="{00000000-0006-0000-3500-00002D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X37" authorId="1" shapeId="0" xr:uid="{00000000-0006-0000-3500-00002E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coal): 
For each fuel (from residual oil to electricity), there are two components: one, amount of fuel consumed and therefore, energy provided by it; and two, life cycle energy consumed to produce that fuel in the first place. 
Unlike in other cases, first component, i.e., amount of fuel consumed, the quantity of energy of fuel is multiplied by 1 (first term in bracket after each quantity is multiplied), is not considered at all. This is because, it is not coal that is being consumed but the concerned fuel. It is only when coal is consumed (row 51), that the term "1" is separately added to consider its own consumption.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B38" authorId="1" shapeId="0" xr:uid="{00000000-0006-0000-3500-00002F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D38" authorId="1" shapeId="0" xr:uid="{00000000-0006-0000-3500-000030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F38" authorId="1" shapeId="0" xr:uid="{00000000-0006-0000-3500-000031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H38" authorId="1" shapeId="0" xr:uid="{00000000-0006-0000-3500-000032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J38" authorId="1" shapeId="0" xr:uid="{00000000-0006-0000-3500-000033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L38" authorId="1" shapeId="0" xr:uid="{00000000-0006-0000-3500-000034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N38" authorId="1" shapeId="0" xr:uid="{00000000-0006-0000-3500-000035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P38" authorId="1" shapeId="0" xr:uid="{00000000-0006-0000-3500-000036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R38" authorId="1" shapeId="0" xr:uid="{00000000-0006-0000-3500-000037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T38" authorId="1" shapeId="0" xr:uid="{00000000-0006-0000-3500-000038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V38" authorId="1" shapeId="0" xr:uid="{00000000-0006-0000-3500-000039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X38" authorId="1" shapeId="0" xr:uid="{00000000-0006-0000-3500-00003A000000}">
      <text>
        <r>
          <rPr>
            <b/>
            <sz val="9"/>
            <color indexed="81"/>
            <rFont val="Tahoma"/>
            <family val="2"/>
          </rPr>
          <t>ABK:</t>
        </r>
        <r>
          <rPr>
            <sz val="9"/>
            <color indexed="81"/>
            <rFont val="Tahoma"/>
            <family val="2"/>
          </rPr>
          <t xml:space="preserve">
Natural gas energy used = Fossil fuel energy used - Coal energy used - Petroleum energy used </t>
        </r>
      </text>
    </comment>
    <comment ref="B39" authorId="1" shapeId="0" xr:uid="{00000000-0006-0000-3500-00003B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D39" authorId="1" shapeId="0" xr:uid="{00000000-0006-0000-3500-00003C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F39" authorId="1" shapeId="0" xr:uid="{00000000-0006-0000-3500-00003D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H39" authorId="1" shapeId="0" xr:uid="{00000000-0006-0000-3500-00003E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J39" authorId="1" shapeId="0" xr:uid="{00000000-0006-0000-3500-00003F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L39" authorId="1" shapeId="0" xr:uid="{00000000-0006-0000-3500-000040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N39" authorId="1" shapeId="0" xr:uid="{00000000-0006-0000-3500-000041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P39" authorId="1" shapeId="0" xr:uid="{00000000-0006-0000-3500-000042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R39" authorId="1" shapeId="0" xr:uid="{00000000-0006-0000-3500-000043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T39" authorId="1" shapeId="0" xr:uid="{00000000-0006-0000-3500-000044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V39" authorId="1" shapeId="0" xr:uid="{00000000-0006-0000-3500-000045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X39" authorId="1" shapeId="0" xr:uid="{00000000-0006-0000-3500-000046000000}">
      <text>
        <r>
          <rPr>
            <b/>
            <sz val="9"/>
            <color indexed="81"/>
            <rFont val="Tahoma"/>
            <family val="2"/>
          </rPr>
          <t>ABK:</t>
        </r>
        <r>
          <rPr>
            <sz val="9"/>
            <color indexed="81"/>
            <rFont val="Tahoma"/>
            <family val="2"/>
          </rPr>
          <t xml:space="preserve">
A complex formula, but the logic works as follows (same as for total energy, just that here, focus is only on energy derived from petroleum): 
For each fuel (from residual oil to electricity), there are two components: one, amount of fuel consumed and therefore, energy provided by it; and two, life cycle energy consumed to produce that fuel in the first place. 
To represent the first component, i.e., amount of fuel consumed, the quantity of energy of fuel is multiplied by 1 (first term in bracket after each quantity is multiplied). However, this term is only added for petroleum-related fuels. For other fuels like natural gas and coal, it is not considered because the point here is to look at energy consumption of petroleum products and not other sources. 
For the second quantity, GREET Import-Export sheet is referred to. Here, for different fuels, different things are considered. 
For crude oil and related products (residual fuel oil, gasoline, and diesel), there is the feedstock crude used to run the equipment (amounting to a specific value of energy consumed), as well as energy consumed in the form of other inputs for both their production (via crude oil refining) as well as transportation/transmission and distribution. To account for the first aspect (i.e., feedstock), the energy value of this feedstock (obtained from Greet 1 through Greet Import-Export sheet) is multiplied by loss factor (also taken from Import-Export sheet). Regarding the second aspect (energy consumed for other inputs, T&amp;D), that value is directly added. Both values are in BTU per mmBTU of fuel used. Hence, the total sum of these two aspects constitutes the second quantity (life cycle energy consumed to produce that fuel in the first place). To convert these values to mmBTU, they are divided by 10^6. 
For natural gas, the value of B216 includes energy consumed for recovery, processing, transportation and distribution for both conventional and shale gas, multiplied by loss factors (associated with each of these steps) and the respective shares of conventional and shale gas in overall natural gas production (48% and 52% respectively) - all obtained from GREET 1, and then incorporated into GREET 1 Import-Export sheet here. Since this sum of energies across all these steps is in BTU per mmBTU of gas used, it is converted into mmBTU by dividing it by 10^6. 
For coal, the value of B284 includes energy consumed for coal mining and cleaning, non-combustion emissions for coal mining and cleaning, and transportation to power plants, multiplied by loss factor associated with the transport step - all obtained from GREET 1 and then incorporated in Export-Import sheet here. Since the sum of these energies is in BTU per mmBTU of coal used, it is converted into mmBTU by dividing it by 10^6. 
For electricity, the formula is quite complex, but basically it combines two aspects - feedstock and fuels. Feedstock refers to the amount of energy that is consumed in extraction, processing, and transportation + distribution of all fuels used to produce electricity, apportioned by their respective role or share in US electricity mix. Regarding fuels, it comes from the actual amount of energy (based on quantity of fuels) that is used up by power plants to produce electricity (i.e., feedstock in some sense of electricity). Obviously, given the inefficiencies associated with this conversion of fuel to electricity, unlike in other cases, this fuel energy used to produce electricity will be higher than it - i.e., for 1 mmBTU of electricity, more than 1 mmBTU of fuel energy will be used. Since all these energies are available in BTU per mmBTU of electricity at consumer-end, they are summed up and the sum is divided by 10^6 to obtain mmBTU of life cycle energy. 
Lastly, for various material inputs (like limestone, lime, iron ore etc.), their consumption is multiplied by the respective life cycle energies consumed per ton of material. This value is obtained from GREET 1 via Export-Import sheet. This gives the overall energy consumed. 
For major raw material - here, iron ore, the amount used up (if at all) is multiplied by total energy consumed (combustion and non-combustion emissions) to obtain the total energy consumed for it - this is to capture captive use of material (in small quantities) for producing it (in large amounts). 
Lastly, other sources of energy that are derived during the process, such as coke or blast furnace gas, if used, or produced (i.e., benefitting the environment by reducing the need for fossil or even alternative energy), are directly added up. </t>
        </r>
      </text>
    </comment>
    <comment ref="B40" authorId="1" shapeId="0" xr:uid="{00000000-0006-0000-3500-000047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D40" authorId="1" shapeId="0" xr:uid="{00000000-0006-0000-3500-000048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F40" authorId="1" shapeId="0" xr:uid="{00000000-0006-0000-3500-000049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H40" authorId="1" shapeId="0" xr:uid="{00000000-0006-0000-3500-00004A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J40" authorId="1" shapeId="0" xr:uid="{00000000-0006-0000-3500-00004B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L40" authorId="1" shapeId="0" xr:uid="{00000000-0006-0000-3500-00004C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N40" authorId="1" shapeId="0" xr:uid="{00000000-0006-0000-3500-00004D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P40" authorId="1" shapeId="0" xr:uid="{00000000-0006-0000-3500-00004E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R40" authorId="1" shapeId="0" xr:uid="{00000000-0006-0000-3500-00004F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T40" authorId="1" shapeId="0" xr:uid="{00000000-0006-0000-3500-000050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V40" authorId="1" shapeId="0" xr:uid="{00000000-0006-0000-3500-000051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X40" authorId="1" shapeId="0" xr:uid="{00000000-0006-0000-3500-000052000000}">
      <text>
        <r>
          <rPr>
            <b/>
            <sz val="9"/>
            <color indexed="81"/>
            <rFont val="Tahoma"/>
            <family val="2"/>
          </rPr>
          <t>ABK:</t>
        </r>
        <r>
          <rPr>
            <sz val="9"/>
            <color indexed="81"/>
            <rFont val="Tahoma"/>
            <family val="2"/>
          </rPr>
          <t xml:space="preserve">
Logic is the same as for total energy sheet, but here, focus is only on water consumed during both the concerned process itself, and all other life cycle processes that precede it (e.g. gasoline production or diesel production or natural gas production and transport/distribution). Also, unlike for energy, here the units are grams of water per mmBTU of various fuels/energy sources used. 
Hence, the additional term of "1" that is used for total energy and/or other calculations, is not considered here. </t>
        </r>
      </text>
    </comment>
    <comment ref="B42" authorId="1" shapeId="0" xr:uid="{00000000-0006-0000-3500-000053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3" authorId="1" shapeId="0" xr:uid="{00000000-0006-0000-3500-000054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4" authorId="1" shapeId="0" xr:uid="{00000000-0006-0000-3500-000055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5" authorId="1" shapeId="0" xr:uid="{00000000-0006-0000-3500-000056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6" authorId="1" shapeId="0" xr:uid="{00000000-0006-0000-3500-000057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7" authorId="1" shapeId="0" xr:uid="{00000000-0006-0000-3500-000058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8" authorId="1" shapeId="0" xr:uid="{00000000-0006-0000-3500-000059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49" authorId="1" shapeId="0" xr:uid="{00000000-0006-0000-3500-00005A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50" authorId="1" shapeId="0" xr:uid="{00000000-0006-0000-3500-00005B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51" authorId="1" shapeId="0" xr:uid="{00000000-0006-0000-3500-00005C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 ref="B52" authorId="1" shapeId="0" xr:uid="{00000000-0006-0000-3500-00005D000000}">
      <text>
        <r>
          <rPr>
            <b/>
            <sz val="9"/>
            <color indexed="81"/>
            <rFont val="Tahoma"/>
            <family val="2"/>
          </rPr>
          <t>ABK:</t>
        </r>
        <r>
          <rPr>
            <sz val="9"/>
            <color indexed="81"/>
            <rFont val="Tahoma"/>
            <family val="2"/>
          </rPr>
          <t xml:space="preserve">
For every fuel or material, calculations consist of three or four kinds of terms. We separate these for each fuel and material. 
For each fuel, take the concerned amount of it that is used (e.g. residual fuel oil, or coal, or whatever it maybe). That amount is multiplied at the beginning of each term, prior to the bracket. Inside each bracket, multiple components are involved. 
One component is related to emissions associated with equipment used in the process itself. This includes the share of different equipment used with regard to the concerned fuel (e.g. gasoline stationary reciprocating engine and gasoline off-road equipment for gasoline, or NG industrial boiler, NG conversion to blast furnace gas, and NG off-road equipment for natural gas), which is multiplied by emissions associated with the concerned equipment use (fuel use in that equipment). There can be one or more terms associated with this multiplication. 
Then, there is the life cycle emission aspect – basically, the amount of emissions emitted during the life cycle of concerned fuel production. That is taken by multiplying these emissions both for feedstock and for concerned fuel production through other inputs – both of which are involved by simply taking terms based on Greet Export-Import sheet (feedstock involves multiplied term, while for other inputs, it’s a single term). 
Then, we come to product inputs and/or product aspects that are generated during the process. For most inputs like limestone and lime, it’s straightforward multiplication of the product output/credit earned multiplied by life cycle emissions associated with it. For others, like blast furnace gas for instance, it is the maximum value of it generated multiplied by emissions associated with its combustion and/or flaring, as may be occurring.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Andrew Burnham</author>
    <author>aburnham</author>
  </authors>
  <commentList>
    <comment ref="E81" authorId="0" shapeId="0" xr:uid="{00000000-0006-0000-3600-000001000000}">
      <text>
        <r>
          <rPr>
            <sz val="8"/>
            <color indexed="81"/>
            <rFont val="Tahoma"/>
            <family val="2"/>
          </rPr>
          <t>Data from "Life Cycle Environmental Assessment of Paint Processes"  Papasavva et al. 2002
Average value used from range</t>
        </r>
      </text>
    </comment>
    <comment ref="E82" authorId="0" shapeId="0" xr:uid="{00000000-0006-0000-3600-000002000000}">
      <text>
        <r>
          <rPr>
            <sz val="8"/>
            <color indexed="81"/>
            <rFont val="Tahoma"/>
            <family val="2"/>
          </rPr>
          <t>Data from "Life Cycle Environmental Assessment of Paint Processes"  Papasavva et al. 2002
Average value used from range</t>
        </r>
      </text>
    </comment>
    <comment ref="E83" authorId="0" shapeId="0" xr:uid="{00000000-0006-0000-3600-000003000000}">
      <text>
        <r>
          <rPr>
            <sz val="8"/>
            <color indexed="81"/>
            <rFont val="Tahoma"/>
            <family val="2"/>
          </rPr>
          <t>Data from "Life Cycle Environmental Assessment of Paint Processes"  Papasavva et al. 2002
Average value used from range</t>
        </r>
      </text>
    </comment>
    <comment ref="E84" authorId="0" shapeId="0" xr:uid="{00000000-0006-0000-3600-000004000000}">
      <text>
        <r>
          <rPr>
            <sz val="8"/>
            <color indexed="81"/>
            <rFont val="Tahoma"/>
            <family val="2"/>
          </rPr>
          <t xml:space="preserve">Data from "Life Cycle Environmental Assessment of Paint Processes"  Papasavva et al. 2002
</t>
        </r>
      </text>
    </comment>
    <comment ref="A136" authorId="1" shapeId="0" xr:uid="{00000000-0006-0000-3600-000005000000}">
      <text>
        <r>
          <rPr>
            <sz val="8"/>
            <color indexed="81"/>
            <rFont val="Tahoma"/>
            <family val="2"/>
          </rPr>
          <t>Not used for Vehi_ADR calculation. Though can be used to calculate Part Manufacturing value for Part Manufacturing and Vehicle Assembly calculation.
Includes Machining
See "Energy-Consumption and Carbon-Emission Analysis of Vehicle and Component Manufacturing" Sullivan et al 2010</t>
        </r>
      </text>
    </comment>
    <comment ref="A137" authorId="1" shapeId="0" xr:uid="{00000000-0006-0000-3600-000006000000}">
      <text>
        <r>
          <rPr>
            <sz val="8"/>
            <color indexed="81"/>
            <rFont val="Tahoma"/>
            <family val="2"/>
          </rPr>
          <t>Not used for Vehi_ADR calculation. Though can be used to calculate Part Manufacturing value for Part Manufacturing and Vehicle Assembly calculation.
Includes Machining
See "Energy-Consumption and Carbon-Emission Analysis of Vehicle and Component Manufacturing" Sullivan et al 2010</t>
        </r>
      </text>
    </comment>
    <comment ref="R138" authorId="1" shapeId="0" xr:uid="{00000000-0006-0000-3600-000007000000}">
      <text>
        <r>
          <rPr>
            <sz val="8"/>
            <color indexed="81"/>
            <rFont val="Tahoma"/>
            <family val="2"/>
          </rPr>
          <t>The VMA stage does not include material production except for float glass production. Because of the lack of data for the float process alone, we include the total process, i.e. both making the glass and “floating” it for auto window applications.
See "Energy-Consumption and Carbon-Emission Analysis of Vehicle and Component Manufacturing" Sullivan et al 2010</t>
        </r>
      </text>
    </comment>
    <comment ref="AV138" authorId="1" shapeId="0" xr:uid="{00000000-0006-0000-3600-000008000000}">
      <text>
        <r>
          <rPr>
            <sz val="8"/>
            <color indexed="81"/>
            <rFont val="Tahoma"/>
            <family val="2"/>
          </rPr>
          <t>The VMA stage does not include material production except for float glass production. Because of the lack of data for the float process alone, we include the total process, i.e. both making the glass and “floating” it for auto window applications.
See "Energy-Consumption and Carbon-Emission Analysis of Vehicle and Component Manufacturing" Sullivan et al 2010</t>
        </r>
      </text>
    </comment>
    <comment ref="A170" authorId="1" shapeId="0" xr:uid="{00000000-0006-0000-3600-000009000000}">
      <text>
        <r>
          <rPr>
            <sz val="8"/>
            <color indexed="81"/>
            <rFont val="Tahoma"/>
            <family val="2"/>
          </rPr>
          <t>See "Energy-Consumption and Carbon-Emission Analysis of Vehicle and Component Manufacturing" Sullivan et al 2010</t>
        </r>
      </text>
    </comment>
    <comment ref="A245" authorId="1" shapeId="0" xr:uid="{00000000-0006-0000-3600-00000A000000}">
      <text>
        <r>
          <rPr>
            <sz val="8"/>
            <color indexed="81"/>
            <rFont val="Tahoma"/>
            <family val="2"/>
          </rPr>
          <t>See "Energy-Consumption and Carbon-Emission Analysis of Vehicle and Component Manufacturing" Sullivan et al 2010</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Andrew Burnham</author>
    <author>aburnham</author>
  </authors>
  <commentList>
    <comment ref="E81" authorId="0" shapeId="0" xr:uid="{00000000-0006-0000-3700-000001000000}">
      <text>
        <r>
          <rPr>
            <sz val="8"/>
            <color indexed="81"/>
            <rFont val="Tahoma"/>
            <family val="2"/>
          </rPr>
          <t>Data from "Life Cycle Environmental Assessment of Paint Processes"  Papasavva et al. 2002
Average value used from range</t>
        </r>
      </text>
    </comment>
    <comment ref="E82" authorId="0" shapeId="0" xr:uid="{00000000-0006-0000-3700-000002000000}">
      <text>
        <r>
          <rPr>
            <sz val="8"/>
            <color indexed="81"/>
            <rFont val="Tahoma"/>
            <family val="2"/>
          </rPr>
          <t>Data from "Life Cycle Environmental Assessment of Paint Processes"  Papasavva et al. 2002
Average value used from range</t>
        </r>
      </text>
    </comment>
    <comment ref="E83" authorId="0" shapeId="0" xr:uid="{00000000-0006-0000-3700-000003000000}">
      <text>
        <r>
          <rPr>
            <sz val="8"/>
            <color indexed="81"/>
            <rFont val="Tahoma"/>
            <family val="2"/>
          </rPr>
          <t>Data from "Life Cycle Environmental Assessment of Paint Processes"  Papasavva et al. 2002
Average value used from range</t>
        </r>
      </text>
    </comment>
    <comment ref="E84" authorId="0" shapeId="0" xr:uid="{00000000-0006-0000-3700-000004000000}">
      <text>
        <r>
          <rPr>
            <sz val="8"/>
            <color indexed="81"/>
            <rFont val="Tahoma"/>
            <family val="2"/>
          </rPr>
          <t xml:space="preserve">Data from "Life Cycle Environmental Assessment of Paint Processes"  Papasavva et al. 2002
</t>
        </r>
      </text>
    </comment>
    <comment ref="A136" authorId="1" shapeId="0" xr:uid="{00000000-0006-0000-3700-000005000000}">
      <text>
        <r>
          <rPr>
            <sz val="8"/>
            <color indexed="81"/>
            <rFont val="Tahoma"/>
            <family val="2"/>
          </rPr>
          <t>Not used for Vehi_ADR calculation. Though can be used to calculate Part Manufacturing value for Part Manufacturing and Vehicle Assembly calculation.
Includes Machining
See "Energy-Consumption and Carbon-Emission Analysis of Vehicle and Component Manufacturing" Sullivan et al 2010</t>
        </r>
      </text>
    </comment>
    <comment ref="A137" authorId="1" shapeId="0" xr:uid="{00000000-0006-0000-3700-000006000000}">
      <text>
        <r>
          <rPr>
            <sz val="8"/>
            <color indexed="81"/>
            <rFont val="Tahoma"/>
            <family val="2"/>
          </rPr>
          <t>Not used for Vehi_ADR calculation. Though can be used to calculate Part Manufacturing value for Part Manufacturing and Vehicle Assembly calculation.
Includes Machining
See "Energy-Consumption and Carbon-Emission Analysis of Vehicle and Component Manufacturing" Sullivan et al 2010</t>
        </r>
      </text>
    </comment>
    <comment ref="R138" authorId="1" shapeId="0" xr:uid="{00000000-0006-0000-3700-000007000000}">
      <text>
        <r>
          <rPr>
            <sz val="8"/>
            <color indexed="81"/>
            <rFont val="Tahoma"/>
            <family val="2"/>
          </rPr>
          <t>The VMA stage does not include material production except for float glass production. Because of the lack of data for the float process alone, we include the total process, i.e. both making the glass and “floating” it for auto window applications.
See "Energy-Consumption and Carbon-Emission Analysis of Vehicle and Component Manufacturing" Sullivan et al 2010</t>
        </r>
      </text>
    </comment>
    <comment ref="AV138" authorId="1" shapeId="0" xr:uid="{00000000-0006-0000-3700-000008000000}">
      <text>
        <r>
          <rPr>
            <sz val="8"/>
            <color indexed="81"/>
            <rFont val="Tahoma"/>
            <family val="2"/>
          </rPr>
          <t>The VMA stage does not include material production except for float glass production. Because of the lack of data for the float process alone, we include the total process, i.e. both making the glass and “floating” it for auto window applications.
See "Energy-Consumption and Carbon-Emission Analysis of Vehicle and Component Manufacturing" Sullivan et al 2010</t>
        </r>
      </text>
    </comment>
    <comment ref="A170" authorId="1" shapeId="0" xr:uid="{00000000-0006-0000-3700-000009000000}">
      <text>
        <r>
          <rPr>
            <sz val="8"/>
            <color indexed="81"/>
            <rFont val="Tahoma"/>
            <family val="2"/>
          </rPr>
          <t>See "Energy-Consumption and Carbon-Emission Analysis of Vehicle and Component Manufacturing" Sullivan et al 2010</t>
        </r>
      </text>
    </comment>
    <comment ref="A218" authorId="1" shapeId="0" xr:uid="{00000000-0006-0000-3700-00000A000000}">
      <text>
        <r>
          <rPr>
            <sz val="8"/>
            <color indexed="81"/>
            <rFont val="Tahoma"/>
            <family val="2"/>
          </rPr>
          <t>See "Energy-Consumption and Carbon-Emission Analysis of Vehicle and Component Manufacturing" Sullivan et al 2010</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ywu</author>
  </authors>
  <commentList>
    <comment ref="A232" authorId="0" shapeId="0" xr:uid="{00000000-0006-0000-3900-000001000000}">
      <text>
        <r>
          <rPr>
            <sz val="8"/>
            <color indexed="81"/>
            <rFont val="Tahoma"/>
            <family val="2"/>
          </rPr>
          <t xml:space="preserve">The replaced tire material weights are included.
</t>
        </r>
      </text>
    </comment>
    <comment ref="E309" authorId="0" shapeId="0" xr:uid="{00000000-0006-0000-3900-000002000000}">
      <text>
        <r>
          <rPr>
            <sz val="8"/>
            <color indexed="81"/>
            <rFont val="Tahoma"/>
            <family val="2"/>
          </rPr>
          <t xml:space="preserve">Replaced tires included.
</t>
        </r>
      </text>
    </comment>
    <comment ref="O309" authorId="0" shapeId="0" xr:uid="{00000000-0006-0000-3900-000003000000}">
      <text>
        <r>
          <rPr>
            <sz val="8"/>
            <color indexed="81"/>
            <rFont val="Tahoma"/>
            <family val="2"/>
          </rPr>
          <t xml:space="preserve">Replaced tires included.
</t>
        </r>
      </text>
    </comment>
    <comment ref="E343" authorId="0" shapeId="0" xr:uid="{00000000-0006-0000-3900-000004000000}">
      <text>
        <r>
          <rPr>
            <sz val="8"/>
            <color indexed="81"/>
            <rFont val="Tahoma"/>
            <family val="2"/>
          </rPr>
          <t xml:space="preserve">Replaced tires included.
</t>
        </r>
      </text>
    </comment>
    <comment ref="O343" authorId="0" shapeId="0" xr:uid="{00000000-0006-0000-3900-000005000000}">
      <text>
        <r>
          <rPr>
            <sz val="8"/>
            <color indexed="81"/>
            <rFont val="Tahoma"/>
            <family val="2"/>
          </rPr>
          <t xml:space="preserve">Replaced tires included.
</t>
        </r>
      </text>
    </comment>
    <comment ref="E377" authorId="0" shapeId="0" xr:uid="{00000000-0006-0000-3900-000006000000}">
      <text>
        <r>
          <rPr>
            <sz val="8"/>
            <color indexed="81"/>
            <rFont val="Tahoma"/>
            <family val="2"/>
          </rPr>
          <t xml:space="preserve">Replaced tires included.
</t>
        </r>
      </text>
    </comment>
    <comment ref="O377" authorId="0" shapeId="0" xr:uid="{00000000-0006-0000-3900-000007000000}">
      <text>
        <r>
          <rPr>
            <sz val="8"/>
            <color indexed="81"/>
            <rFont val="Tahoma"/>
            <family val="2"/>
          </rPr>
          <t xml:space="preserve">Replaced tires included.
</t>
        </r>
      </text>
    </comment>
    <comment ref="E411" authorId="0" shapeId="0" xr:uid="{00000000-0006-0000-3900-000008000000}">
      <text>
        <r>
          <rPr>
            <sz val="8"/>
            <color indexed="81"/>
            <rFont val="Tahoma"/>
            <family val="2"/>
          </rPr>
          <t xml:space="preserve">Replaced tires included.
</t>
        </r>
      </text>
    </comment>
    <comment ref="O411" authorId="0" shapeId="0" xr:uid="{00000000-0006-0000-3900-000009000000}">
      <text>
        <r>
          <rPr>
            <sz val="8"/>
            <color indexed="81"/>
            <rFont val="Tahoma"/>
            <family val="2"/>
          </rPr>
          <t xml:space="preserve">Replaced tires included.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Michael Wang</author>
  </authors>
  <commentList>
    <comment ref="A2" authorId="0" shapeId="0" xr:uid="{00000000-0006-0000-3C00-000001000000}">
      <text>
        <r>
          <rPr>
            <sz val="8"/>
            <color indexed="81"/>
            <rFont val="Tahoma"/>
            <family val="2"/>
          </rPr>
          <t>Make sure when doing a Total Energy Cycle simulation, to have the corresponding vehicle types chosen in both GREET 1 and GREET 2.
1 = Passenger Car
2 = LDT1 or SUV
3 = LDT2 or PUT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<sst xmlns="http://schemas.openxmlformats.org/spreadsheetml/2006/main" count="18609" uniqueCount="2779">
  <si>
    <t>******************************************************************************************************************************************************</t>
  </si>
  <si>
    <t>COPYRIGHT NOTIFICATION</t>
  </si>
  <si>
    <t>GREET® SOFTWARE</t>
  </si>
  <si>
    <t>GREET2 MODEL</t>
  </si>
  <si>
    <t xml:space="preserve"> Email contact: greet@anl.gov</t>
  </si>
  <si>
    <r>
      <t xml:space="preserve">© COPYRIGHT </t>
    </r>
    <r>
      <rPr>
        <sz val="10"/>
        <rFont val="Arial"/>
        <family val="2"/>
      </rPr>
      <t>2017 UChicago Argonne, LLC                                                                                   ALL RIGHTS RESERVED</t>
    </r>
  </si>
  <si>
    <t>THIS SOFTWARE DISCLOSES MATERIAL PROTECTED UNDER COPYRIGHT LAW, AND FURTHER DISSEMINATION IS PROHIBITED WITHOUT PRIOR WRITTEN CONSENT OF THE PATENT COUNSEL OF ARGONNE NATIONAL LABORATORY, EXCEPT AS NOTED IN THE “LICENSING TERMS AND CONDITIONS” NOTED BELOW.</t>
  </si>
  <si>
    <t>ARGONNE NATIONAL LABORATORY, WITH A FACILITY IN THE STATE OF ILLINOIS, IS OWNED BY THE UNITED STATES GOVERNMENT, AND OPERATED BY UCHICAGO ARGONNE, LLC UNDER PROVISION OF A CONTRACT WITH THE DEPARTMENT OF ENERGY.</t>
  </si>
  <si>
    <t>GOVERNMENT LICENSE</t>
  </si>
  <si>
    <r>
      <t xml:space="preserve">NOTICE:   This data was produced by UChicago Argonne, LLC under Contract No. DE-AC02-06CH11357 with the Department of Energy.  For 5 years from </t>
    </r>
    <r>
      <rPr>
        <sz val="10"/>
        <rFont val="Arial"/>
        <family val="2"/>
      </rPr>
      <t>August 2017, the Government is granted for itself and others acting on its behalf a nonexclusive, paid-up, irrevocable worldwide license in this data to reproduce, prepare derivative works, and perform publicly and display publicly, by or on behalf of the Government. There is provision for the possible extension of the term of this license. Subsequent to that period or any extension granted, the Government is granted for itself and others acting on its behalf a nonexclusive, paid-up, irrevocable worldwide license in this ﻿data to reproduce, prepare derivative works, distribute copies to the public, perform publicly and display publicly, and to permit others to do so. The specific term of the license can be identified by inquiry made to UChicago Argonne, LLC or DOE.</t>
    </r>
  </si>
  <si>
    <t>END-USER LICENSING TERMS AND CONDITIONS</t>
  </si>
  <si>
    <t>Redistribution and use of the GREET software is permitted provided that the following conditions are met:</t>
  </si>
  <si>
    <t>1. Redistributions of the GREET software must retain the above copyright notice, this list of conditions and the following disclaimer.  Modification or reverse compilation of the source code is not permitted.</t>
  </si>
  <si>
    <t>2. Neither the names of UChicago Argonne, LLC or the Department of Energy nor the names of its contributors may be used to endorse or promote products derived from this software without prior written permission.</t>
  </si>
  <si>
    <t>3. The software redistribution, if any, must include the following acknowledgment: "This product includes software produced by UChicago Argonne, LLC under Contract No. DE-AC02-06CH11357 with the Department of Energy.”</t>
  </si>
  <si>
    <t>4. Any published results should indicate that the GREET software was developed by Argonne National Laboratory.  If you publish results generated using GREET you should identify the GREET software version number.  If you publish results generated using input data other than the input data supplied with the GREET software you must indicate that these results relied upon changed input data.</t>
  </si>
  <si>
    <t>*****************************************************************************************************************************************************</t>
  </si>
  <si>
    <t>DISCLAIMER</t>
  </si>
  <si>
    <t>THIS SOFTWARE AND MANUAL ARE SUPPLIED "AS IS" WITHOUT WARRANTY OF ANY KIND.</t>
  </si>
  <si>
    <t>Neither the United States GOVERNMENT, nor the United States Department of Energy, NOR uchicago argonne, LLC, nor any of their employees, makes any warranty, express or implied, or assumes any legal liability or responsibility for the accuracy, completeness, or usefulness of any information, data, apparatus, product, or process disclosed, or represents that its use would not infringe privately owned rights</t>
  </si>
  <si>
    <t>Color Scheme for the GREET Model</t>
  </si>
  <si>
    <t>Clear cells are primarily for calculations and secondary assumptions</t>
  </si>
  <si>
    <t>Yellow cells are key input assumptions that users can change for their own simulations</t>
  </si>
  <si>
    <t>Peach cells are key options that users can select for their own simulations from drop-down menu</t>
  </si>
  <si>
    <t>Cells with red triangle in the upper right corner contain comments. Users are advised to read the comments</t>
  </si>
  <si>
    <t>Brief Descriptions of GREET 2_2017 Worksheets</t>
  </si>
  <si>
    <t>Sheet</t>
  </si>
  <si>
    <t>Description</t>
  </si>
  <si>
    <t>Vehi_Inputs</t>
    <phoneticPr fontId="4" type="noConversion"/>
  </si>
  <si>
    <t>Key input parameters of vehicle and vehicle components that users can specify for GREET simulations.</t>
  </si>
  <si>
    <t>Mat_Inputs</t>
  </si>
  <si>
    <t>Key input parameters of vehicle materials that users can specify for GREET simulations.</t>
  </si>
  <si>
    <t>Car</t>
  </si>
  <si>
    <t>Key input parameters of car and car components that users can specify for GREET simulations. This sheet is linked to Vehi_Inputs and Mat_Inputs sheets when the user selects car for simulation.</t>
  </si>
  <si>
    <t>SUV</t>
  </si>
  <si>
    <t>Key input parameters of SUV and SUV components that users can specify for GREET simulations. This sheet is linked to Vehi_Inputs and Mat_Inputs sheets when the user selects SUV for simulation.</t>
  </si>
  <si>
    <t>PUT</t>
  </si>
  <si>
    <t>Key input parameters of pickup truck and pickup truck components that users can specify for GREET simulations. This sheet is linked to Vehi_Inputs and Mat_Inputs sheets when the user selects pickup truck for simulation.</t>
  </si>
  <si>
    <t>Steel</t>
  </si>
  <si>
    <t>Calculations of energy use and emissions for steel.</t>
  </si>
  <si>
    <t>C.Iron</t>
  </si>
  <si>
    <t>Calculations of energy use and emissions for cast iron.</t>
  </si>
  <si>
    <t>W.Al</t>
  </si>
  <si>
    <t>Calculations of energy use and emissions for wrought aluminum.</t>
  </si>
  <si>
    <t>C.Al</t>
  </si>
  <si>
    <t>Calculations of energy use and emissions for cast aluminum.</t>
  </si>
  <si>
    <t>Lead</t>
  </si>
  <si>
    <t>Calculations of energy use and emissions for lead.</t>
  </si>
  <si>
    <t>Nickel</t>
  </si>
  <si>
    <t>Calculations of energy use and emissions for nickel.</t>
  </si>
  <si>
    <t>Cobalt</t>
  </si>
  <si>
    <t>Calculations of energy use and emissions for cobalt oxide.</t>
  </si>
  <si>
    <t>Copper</t>
  </si>
  <si>
    <t>Calculations of energy use and emissions for copper.</t>
  </si>
  <si>
    <t>Zinc</t>
  </si>
  <si>
    <t>Calculations of energy use and emissions for zinc.</t>
  </si>
  <si>
    <t>Magnesium</t>
  </si>
  <si>
    <t>Calculations of energy use and emissions for magnesium.</t>
  </si>
  <si>
    <t>Glass</t>
  </si>
  <si>
    <t>Calculations of energy use and emissions for glass.</t>
  </si>
  <si>
    <t>Plastic</t>
  </si>
  <si>
    <t>Rubber</t>
  </si>
  <si>
    <t>Calculations of energy use and emissions for rubber.</t>
  </si>
  <si>
    <t>Platinum</t>
  </si>
  <si>
    <t>Calculations of energy use and emissions for platinum.</t>
  </si>
  <si>
    <t>Vanadium</t>
  </si>
  <si>
    <t>Calculations of energy use and emissions for vanadium.</t>
  </si>
  <si>
    <t>Zirconium</t>
  </si>
  <si>
    <t>Calculations of energy use and emissions for zirconium.</t>
  </si>
  <si>
    <t>Titanium</t>
  </si>
  <si>
    <t>Calculations of energy use and emissions for titanium.</t>
  </si>
  <si>
    <t>Chromium</t>
  </si>
  <si>
    <t>Calculations of energy use and emissions for chromium.</t>
  </si>
  <si>
    <t>Molybdenum</t>
  </si>
  <si>
    <t>Calculations of energy use and emissions for molybdenum.</t>
  </si>
  <si>
    <t>Rare Earth</t>
  </si>
  <si>
    <t>Calculations of energy use and emissions for rare earth.</t>
  </si>
  <si>
    <t>Manganese</t>
  </si>
  <si>
    <t>Calculations of energy use and emissions for manganese.</t>
  </si>
  <si>
    <t>FC Materials</t>
  </si>
  <si>
    <t>Calculations of energy use and emissions for fuel cell materials.</t>
  </si>
  <si>
    <t>Cement_Concrete</t>
  </si>
  <si>
    <t>Calculations of energy use and emissions for cement and concrete.</t>
  </si>
  <si>
    <t>Silicon</t>
  </si>
  <si>
    <t>Calculations of energy use and emissions for silicon.</t>
  </si>
  <si>
    <t>Mat_Sum</t>
  </si>
  <si>
    <t>Summary of energy use and emissions results for vehicle materials (per pound of material.</t>
  </si>
  <si>
    <t>Vehi_Fluids</t>
    <phoneticPr fontId="4" type="noConversion"/>
  </si>
  <si>
    <t>Calculations of energy use and emissions for fluids, fluids use and fluids disposal.</t>
  </si>
  <si>
    <t>Battery_Assembly</t>
  </si>
  <si>
    <t>Calculations of energy use and emissions for battery assembly.</t>
  </si>
  <si>
    <t>Vehi_ADR</t>
    <phoneticPr fontId="4" type="noConversion"/>
  </si>
  <si>
    <t>Calculations of energy use and emissions for vehicle assembly, vehicle disposal and vehicle recycling.</t>
  </si>
  <si>
    <t>Battery _Sum</t>
    <phoneticPr fontId="4" type="noConversion"/>
  </si>
  <si>
    <t>Summary of energy use and emissions results for battery (per vehicle lifetime.</t>
  </si>
  <si>
    <t>Battery_Materials</t>
  </si>
  <si>
    <t>Calculations of energy use and emissions for battery material.</t>
  </si>
  <si>
    <t>Anode</t>
  </si>
  <si>
    <t>Calculations of energy use and emissions for battery anode.</t>
  </si>
  <si>
    <t>LiMn2O4</t>
  </si>
  <si>
    <t>Calculations of energy use and emissions for LiMn2O4</t>
  </si>
  <si>
    <t>Li_Chemicals</t>
  </si>
  <si>
    <t>Calculations of energy use and emissions for lithium chemicals</t>
  </si>
  <si>
    <t>Other Cathodes</t>
  </si>
  <si>
    <t>Calculations of energy use and emissions for Other Cathodes</t>
  </si>
  <si>
    <t>Vehi_Comp_Sum</t>
    <phoneticPr fontId="4" type="noConversion"/>
  </si>
  <si>
    <t>Vehi_Sum</t>
    <phoneticPr fontId="4" type="noConversion"/>
  </si>
  <si>
    <t>TEC_Results</t>
    <phoneticPr fontId="4" type="noConversion"/>
  </si>
  <si>
    <t>GREET2_Factors_T&amp;D</t>
  </si>
  <si>
    <t>Calculations of energy use and emissions of T&amp;D of several materials.</t>
  </si>
  <si>
    <t>Key Notes for GREET Simulations</t>
  </si>
  <si>
    <t>The cells which are colored as yellow and green present default assumptions for GREET calculations. Users can simply place their</t>
  </si>
  <si>
    <t xml:space="preserve">    own assumptions regarding given issues in these cells to replace the default assumptions.</t>
  </si>
  <si>
    <t xml:space="preserve">Whenever changes are made for input assumptions, users need to press the F9 key so that  </t>
  </si>
  <si>
    <t xml:space="preserve">    GREET recalculates results with the new input assumptions.</t>
  </si>
  <si>
    <t>The GREET model is designed with the so-called circular calculation feature in Excel in order to account for secondary energy and emission</t>
  </si>
  <si>
    <t xml:space="preserve">    effects. In circular calculations, if a cell requiring a value is accidentally inputted with a non-value entry, the whole</t>
  </si>
  <si>
    <t xml:space="preserve">    model may be corrupted, and the model cannot be repaired by inputting a value to the same cell. Users are strongly </t>
  </si>
  <si>
    <t xml:space="preserve">    recommended to save their work frequently and keep the original copy of the GREET model as a backup.</t>
  </si>
  <si>
    <t>This software was authored by:</t>
  </si>
  <si>
    <t>Michael Wang</t>
  </si>
  <si>
    <t>Systems Assessment Center</t>
  </si>
  <si>
    <t>Energy Systems Division</t>
  </si>
  <si>
    <t>Argonne National Laboratory</t>
  </si>
  <si>
    <t>9700 S. Cass Avenue</t>
  </si>
  <si>
    <t>Argonne, IL 60439 USA</t>
  </si>
  <si>
    <t>Phone: 630/252-2819</t>
  </si>
  <si>
    <t>E-mail: mwang@anl.gov</t>
  </si>
  <si>
    <t>Scenario Control Variables and Input Assumptions Related to Vehicle and its Components</t>
  </si>
  <si>
    <t>1. Selection of Vehicle Types for Simulation</t>
  </si>
  <si>
    <t xml:space="preserve">  1 -- Passenger Cars</t>
  </si>
  <si>
    <t xml:space="preserve">  2 -- Sport Utility Vehicles</t>
  </si>
  <si>
    <t xml:space="preserve">  3 -- Pick-Up Trucks</t>
  </si>
  <si>
    <t>When the "Passenger Cars" option is selected, select one of the following two vehicles for ICEVs</t>
  </si>
  <si>
    <t xml:space="preserve">  1 -- Passenger Cars 1, 2 -- Passenger Cars 2</t>
  </si>
  <si>
    <t xml:space="preserve">  </t>
  </si>
  <si>
    <t>When the "Sport Utility Vehicles" option is selected, select one of the following two vehicles for ICEVs</t>
  </si>
  <si>
    <t xml:space="preserve">  1 -- Sport Utility Vehicles 1, 2 -- Sport Utility Vehicles 2</t>
  </si>
  <si>
    <t>When the "Pick-Up Trucks" option is selected, select one of the following two vehicles for ICEVs</t>
  </si>
  <si>
    <t xml:space="preserve">  1 -- Pick-Up Trucks 1, 2 -- Pick-Up Trucks 2</t>
  </si>
  <si>
    <t>2. Specification of Total Vehicle Weight, pounds</t>
  </si>
  <si>
    <t>ICEV: Conventional Material</t>
  </si>
  <si>
    <t>ICEV: Lightweight Material</t>
  </si>
  <si>
    <t>HEV: Conventional Material</t>
  </si>
  <si>
    <t>HEV: Lightweight Material</t>
  </si>
  <si>
    <t>PHEV: Conventional Material</t>
  </si>
  <si>
    <t>PHEV: Lightweight Material</t>
  </si>
  <si>
    <t>EV: Conventional Material</t>
  </si>
  <si>
    <t>EV: Lightweight Material</t>
  </si>
  <si>
    <t>FCV: Conventional Material</t>
  </si>
  <si>
    <t>FCV: Lightweight Material</t>
  </si>
  <si>
    <t>3. Vehicle Battery and Fluids Weight, pounds per vehicle</t>
  </si>
  <si>
    <t>3.1) Battery Weight</t>
  </si>
  <si>
    <t>Lead-Acid</t>
  </si>
  <si>
    <t>Ni-MH</t>
  </si>
  <si>
    <t>Li-Ion</t>
  </si>
  <si>
    <t>3.2) Fluids Weight</t>
  </si>
  <si>
    <t>Engine Oil</t>
  </si>
  <si>
    <t>Power Steering Fluid</t>
  </si>
  <si>
    <t>Brake Fluid</t>
  </si>
  <si>
    <t>Transmission Fluid</t>
  </si>
  <si>
    <t>Powertrain Coolant</t>
  </si>
  <si>
    <t>Windshield Fluid</t>
  </si>
  <si>
    <t>Adhesives</t>
  </si>
  <si>
    <t xml:space="preserve">    ICEV: Lightweight Material</t>
  </si>
  <si>
    <t xml:space="preserve">    HEV</t>
  </si>
  <si>
    <t>PHEV</t>
  </si>
  <si>
    <t>EV</t>
  </si>
  <si>
    <t xml:space="preserve">    FCV</t>
  </si>
  <si>
    <t>4. Key Input Parameters for Vehicle Components: Body, Powertrain System, Transmission System, Chassis, Traction Motor, Generator, Electronic Controller, and Fuel Cell Auxiliary System</t>
  </si>
  <si>
    <t>4.1) Vehicle Components Weight, pounds (excluding battery, fluids, and fuel)</t>
  </si>
  <si>
    <t>4.2.a) Fuel Cell Stack Size, kW</t>
  </si>
  <si>
    <t>Conventional Material</t>
    <phoneticPr fontId="4" type="noConversion"/>
  </si>
  <si>
    <t>Lightweight Material</t>
  </si>
  <si>
    <t>4.2.b) Fuel Cell Stack and Auxiliary System, based on Stack Power, Weight-to-Power Ratio, lb/kW</t>
  </si>
  <si>
    <t>Fuel Cell Stack and BOP (Powertrain System)</t>
  </si>
  <si>
    <t>4.2.c) Weight of Fuel Cell Stack and Auxiliary System, pounds</t>
  </si>
  <si>
    <t>Fuel Cell Stack and BOP (Powertrain System): Conventional Material</t>
  </si>
  <si>
    <t>Fuel Cell Onboard Storage: Convenional Material</t>
  </si>
  <si>
    <t>Fuel Cell Stack and BOP (Powertrain System): Lightweight Material</t>
  </si>
  <si>
    <t>Fuel Cell Onboard Storage: Lightweight Material</t>
  </si>
  <si>
    <t>4.3) Vehicle Components Composition, % by wt</t>
  </si>
  <si>
    <t>Powertrain System (including BOP)</t>
  </si>
  <si>
    <t>Transmission System</t>
  </si>
  <si>
    <t>Chassis (w/o battery)</t>
  </si>
  <si>
    <t>Traction Motor</t>
  </si>
  <si>
    <t>Generator</t>
  </si>
  <si>
    <t>Electronic Controller</t>
  </si>
  <si>
    <t>Fuel Cell Onboard Storage</t>
  </si>
  <si>
    <t>Body: including BIW, interior, exterior, and glass</t>
  </si>
  <si>
    <t>4.4) Tire Replacements During Lifetime of Vehicle</t>
  </si>
  <si>
    <t>4.5) Vehicle Tire Weight (lbs/tire)</t>
  </si>
  <si>
    <t>5. Key Input Parameters for Batteries</t>
  </si>
  <si>
    <t>5.1) Battery Type for Hybrid, Plug-in Hybrid, Electric, and Fuel Cell Vehicles</t>
  </si>
  <si>
    <t>HEV</t>
  </si>
  <si>
    <t>Note: Battery Types</t>
  </si>
  <si>
    <t>1 -- Ni-MH</t>
  </si>
  <si>
    <t>2 -- Li-Ion</t>
  </si>
  <si>
    <t>FCV</t>
  </si>
  <si>
    <t>5.2) Battery Size in Peak Battery Power (High Power Applications), kW</t>
  </si>
  <si>
    <t>Li-Ion</t>
    <phoneticPr fontId="4" type="noConversion"/>
  </si>
  <si>
    <t>5.3) Battery Size in Peak Battery Energy (High Energy Applications), kWh</t>
  </si>
  <si>
    <t>5.4) Battery Replacements During Lifetime of Vehicle</t>
  </si>
  <si>
    <t>ICEV</t>
  </si>
  <si>
    <t>5.5) Li-ion Battery Cathode Material</t>
  </si>
  <si>
    <t>1. LMO, 2. NMC111, 3.LFP: Hydrothermal, 4. LFP: Solid State</t>
  </si>
  <si>
    <t>Hydrothermal and solid state refer to the technique used to prepare the cathode material from raw material inputs.  For additional details consult Dunn et al. 2014.</t>
  </si>
  <si>
    <t>1. LMO, 2. NMC111, 3.LFP: Hydrothermal, 4. LFP: Solid State, 5. NMC622, 6. NMC811, 7. LMR-NMC: Graphite, 8. LMR-NMC: Graphite-Silicon, 9. NCA, 10. NMC532</t>
  </si>
  <si>
    <t>5.6) Battery Specific Power</t>
  </si>
  <si>
    <t>Li-ion Battery Specific Power (W/kg)</t>
  </si>
  <si>
    <t>W/kg</t>
  </si>
  <si>
    <t>W/lb</t>
  </si>
  <si>
    <t>LMO</t>
  </si>
  <si>
    <t>NMC111</t>
  </si>
  <si>
    <t>LFP</t>
  </si>
  <si>
    <t>5.7) Battery Specific Energy</t>
  </si>
  <si>
    <t>Li-ion Battery Specific Energy (Wh/kg)</t>
  </si>
  <si>
    <t>Split-PHEV</t>
  </si>
  <si>
    <t>Series-PHEV</t>
  </si>
  <si>
    <t>Wh/kg</t>
  </si>
  <si>
    <t>Wh/lb</t>
  </si>
  <si>
    <t>NMC622</t>
  </si>
  <si>
    <t>NMC811</t>
  </si>
  <si>
    <t>LMR-NMC:Gr</t>
  </si>
  <si>
    <t>LMR-NMC:Gr-SI</t>
  </si>
  <si>
    <t>NCA</t>
  </si>
  <si>
    <t>NMC532</t>
  </si>
  <si>
    <t>6. Key Input Parameters for Fluids</t>
  </si>
  <si>
    <t>6.1) Fluids Replacements During Lifetime of Vehicle</t>
  </si>
  <si>
    <t>6.2) Ratio of Waste to Product when Fluids is Disposed</t>
  </si>
  <si>
    <t>7. GREET Default Key Assumptions for Vehicle Assembly</t>
  </si>
  <si>
    <t>7.1) Energy Use of Battery Assembly</t>
  </si>
  <si>
    <t>Lead-Acid (mmBtu per ton of battery)</t>
  </si>
  <si>
    <t>Ni-MH (mmBtu per ton of battery)</t>
  </si>
  <si>
    <t>Li-Ion (mmBtu per kWh battery)</t>
  </si>
  <si>
    <t>7.2) Energy Use of Vehicle Assembling, Disposal and Recycling: mmBtu per vehicle</t>
  </si>
  <si>
    <t>Paint Production</t>
  </si>
  <si>
    <t>Vehicle Assembly - Painting</t>
  </si>
  <si>
    <t>Vehicle Assembly - HVAC &amp; Lighting</t>
  </si>
  <si>
    <t>Vehicle Assembly - Heating</t>
  </si>
  <si>
    <t>Vehicle Assembly - Material Handling</t>
  </si>
  <si>
    <t>Vehicle Assembly - Welding</t>
  </si>
  <si>
    <t>Vehicle Assembly - Compressed Air</t>
  </si>
  <si>
    <t>Vehicle Disposal</t>
  </si>
  <si>
    <t>8. Lifetime VMT of a Vehicle, miles</t>
  </si>
  <si>
    <t>9. Ratios of Fuel Economy of Chosen Conventional Vehicles Relative to Their Baseline Vehicles</t>
  </si>
  <si>
    <t>10. Ratios of Fuel Economy of Lightweight Material Vehicles Relative to Their Conventional Material Vehicles Counterpart</t>
  </si>
  <si>
    <t>Scenario Control Variables and Input Assumptions Related to Vehicle Materials</t>
  </si>
  <si>
    <t>1. Material Compostion for Vehicle Components</t>
  </si>
  <si>
    <t>1.1) Material Composition for Each Component, % by wt</t>
  </si>
  <si>
    <t>Body</t>
  </si>
  <si>
    <t xml:space="preserve">    Steel</t>
  </si>
  <si>
    <t xml:space="preserve">    Wrought Aluminum</t>
  </si>
  <si>
    <t xml:space="preserve">    Cast Aluminum</t>
  </si>
  <si>
    <t xml:space="preserve">    Copper/Brass</t>
  </si>
  <si>
    <t xml:space="preserve">    Zinc</t>
  </si>
  <si>
    <t xml:space="preserve">    Magnesium</t>
  </si>
  <si>
    <t xml:space="preserve">    Glass Fiber-Reinforced Plastic</t>
  </si>
  <si>
    <t xml:space="preserve">    Glass</t>
  </si>
  <si>
    <t xml:space="preserve">    Carbon Fiber-Reinforced Plastic</t>
  </si>
  <si>
    <t xml:space="preserve">    Average Plastic</t>
  </si>
  <si>
    <t xml:space="preserve">    Rubber</t>
  </si>
  <si>
    <t xml:space="preserve">    Others</t>
  </si>
  <si>
    <t>Powertrain System (Including BOP)</t>
  </si>
  <si>
    <t xml:space="preserve">    Stainless Steel</t>
  </si>
  <si>
    <t xml:space="preserve">    Cast iron</t>
  </si>
  <si>
    <t xml:space="preserve">    PFSA</t>
  </si>
  <si>
    <t xml:space="preserve">    Carbon Paper</t>
  </si>
  <si>
    <t xml:space="preserve">    PTFE</t>
  </si>
  <si>
    <t xml:space="preserve">    Carbon &amp; PFSA Suspension</t>
  </si>
  <si>
    <t xml:space="preserve">    Platinum</t>
  </si>
  <si>
    <t xml:space="preserve">    Carbon</t>
  </si>
  <si>
    <t xml:space="preserve">    Nickel</t>
  </si>
  <si>
    <t xml:space="preserve">    Silicon</t>
  </si>
  <si>
    <t>Transmission System/Gearbox</t>
  </si>
  <si>
    <t xml:space="preserve">    Copper</t>
  </si>
  <si>
    <t xml:space="preserve">    Cast Iron</t>
  </si>
  <si>
    <t xml:space="preserve">    Carbon Fiber-Reinforced Plastic</t>
    <phoneticPr fontId="4" type="noConversion"/>
  </si>
  <si>
    <t xml:space="preserve">    Average Plastics</t>
  </si>
  <si>
    <t>1.2) Vehicle Material Compostion Aggregated by Each Component: % by wt</t>
  </si>
  <si>
    <t>Stainless Steel</t>
  </si>
  <si>
    <t>Cast Iron</t>
  </si>
  <si>
    <t>Wrought Aluminum</t>
  </si>
  <si>
    <t>Cast Aluminum</t>
  </si>
  <si>
    <t>Copper/Brass</t>
  </si>
  <si>
    <t>Average Plastic</t>
  </si>
  <si>
    <t>Carbon Fiber-Reinforced Plastic for General Use</t>
  </si>
  <si>
    <t>Carbon Fiber-Reinforced Plastic for High Pressure Vessels</t>
  </si>
  <si>
    <t>Glass Fiber-Reinforced Plastic</t>
  </si>
  <si>
    <t>PFSA</t>
  </si>
  <si>
    <t>Carbon Paper</t>
  </si>
  <si>
    <t>PTFE</t>
  </si>
  <si>
    <t>Carbon &amp; PFSA Suspension</t>
  </si>
  <si>
    <t>Carbon</t>
  </si>
  <si>
    <t>Others</t>
  </si>
  <si>
    <t>1.3) Material Composition of Tire, % by wt</t>
  </si>
  <si>
    <t>2. Battery Material Composition, % by wt</t>
  </si>
  <si>
    <t xml:space="preserve">    Plastic: Polypropylene</t>
    <phoneticPr fontId="4" type="noConversion"/>
  </si>
  <si>
    <t xml:space="preserve">    Lead</t>
  </si>
  <si>
    <t xml:space="preserve">    Sulfuric Acid</t>
  </si>
  <si>
    <t xml:space="preserve">    Fiberglass</t>
  </si>
  <si>
    <t xml:space="preserve">    Water</t>
  </si>
  <si>
    <t xml:space="preserve">    Iron</t>
  </si>
  <si>
    <t xml:space="preserve">    Aluminum</t>
  </si>
  <si>
    <t xml:space="preserve">    Cobalt</t>
  </si>
  <si>
    <t xml:space="preserve">    Rare Earth Metals</t>
  </si>
  <si>
    <t xml:space="preserve">    Average Plastic</t>
    <phoneticPr fontId="4" type="noConversion"/>
  </si>
  <si>
    <t>Split PHEV</t>
  </si>
  <si>
    <t>Series PHEV</t>
  </si>
  <si>
    <t xml:space="preserve">    Active Material</t>
  </si>
  <si>
    <t xml:space="preserve">    Graphite/Carbon</t>
  </si>
  <si>
    <t xml:space="preserve">    Binder</t>
  </si>
  <si>
    <r>
      <t xml:space="preserve">    Electrolyte: LiPF</t>
    </r>
    <r>
      <rPr>
        <vertAlign val="subscript"/>
        <sz val="8"/>
        <rFont val="Arial"/>
        <family val="2"/>
      </rPr>
      <t>6</t>
    </r>
  </si>
  <si>
    <t xml:space="preserve">    Electrolyte: Ethylene Carbonate</t>
  </si>
  <si>
    <t xml:space="preserve">    Electrolyte: Dimethyl Carbonate</t>
  </si>
  <si>
    <t xml:space="preserve">    Plastic: Polyethylene</t>
  </si>
  <si>
    <t xml:space="preserve">    Plastic: Polyethylene Terephthalate</t>
  </si>
  <si>
    <t xml:space="preserve">    Thermal Insulation</t>
  </si>
  <si>
    <t xml:space="preserve">    Coolant: Glycol</t>
  </si>
  <si>
    <t xml:space="preserve">    Electronic Parts</t>
  </si>
  <si>
    <t>3. Share of Key Material Compostion in Specific Fluids</t>
  </si>
  <si>
    <t xml:space="preserve">  Share of ethylene glycol in engine coolant, % by wt</t>
  </si>
  <si>
    <t xml:space="preserve">  Share of methanol in windshield fluid, % by wt</t>
  </si>
  <si>
    <t>4. Key Input Parameters for Material Use</t>
  </si>
  <si>
    <t>4.1) Share of Virgin and Recycled Materials Used in Vehicle, % by wt</t>
  </si>
  <si>
    <t>Virgin Material</t>
  </si>
  <si>
    <t>Recycled Material</t>
  </si>
  <si>
    <t>4.2.a) Shares of Steel Types in a Vehicle for Average Virgin Stamped Steel Calculation, % by wt</t>
  </si>
  <si>
    <t>Hot Rolled</t>
  </si>
  <si>
    <t>Cold Rolled</t>
  </si>
  <si>
    <t>Galvanized Rolled</t>
  </si>
  <si>
    <t>4.2b) Tons of Steel Feedstock per Ton of Steel Output</t>
  </si>
  <si>
    <t>Hot Rolling</t>
  </si>
  <si>
    <t>Skin Mill</t>
  </si>
  <si>
    <t>Cold Rolling</t>
  </si>
  <si>
    <t>Galvanizing</t>
  </si>
  <si>
    <t>Stamping</t>
  </si>
  <si>
    <t>Electric Arc Furnace</t>
  </si>
  <si>
    <t>Rod and Bar Mill</t>
  </si>
  <si>
    <t>Machining</t>
  </si>
  <si>
    <t>Virgin Stamped Steel</t>
  </si>
  <si>
    <t>Recycled Steel</t>
  </si>
  <si>
    <t>Recycled Steel for Construction</t>
  </si>
  <si>
    <t>4.3 Shares of Iron Types in a Vehicle for Average Iron Calculation, % by wt</t>
  </si>
  <si>
    <t>Forged Iron</t>
  </si>
  <si>
    <t>4.4.a) Shares of Wrought Aluminum Types in a Vehicle for Average Virgin Wrought Aluminum Calculation, % by wt</t>
  </si>
  <si>
    <t>Extruded</t>
  </si>
  <si>
    <t>4.4.b) Tons of Intermediate Material Needed per Ton of Final Wrought Aluminum Product</t>
  </si>
  <si>
    <t>Bauxite Mining</t>
  </si>
  <si>
    <t>Bauxite Refining</t>
  </si>
  <si>
    <t>Anode Production</t>
  </si>
  <si>
    <t>Alumina Reduction</t>
  </si>
  <si>
    <t>Primary Ingot Casting</t>
  </si>
  <si>
    <t>Scrap Preparation</t>
  </si>
  <si>
    <t>Secondary Ingot Casting</t>
  </si>
  <si>
    <t>Extrusion</t>
  </si>
  <si>
    <t>Virgin Hot Rolled Wrought Aluminum</t>
  </si>
  <si>
    <t>Virgin Cold Rolled Wrought Aluminum</t>
  </si>
  <si>
    <t>Virgin Extruded Wrought Aluminum</t>
  </si>
  <si>
    <t>Recycled Hot Rolled Wrought Aluminum</t>
  </si>
  <si>
    <t>Recycled Cold Rolled Wrought Aluminum</t>
  </si>
  <si>
    <t>Recycled Extruded Wrought Aluminum</t>
  </si>
  <si>
    <t>4.5) Tons of Intermediate Material Needed per Ton of Final Cast Aluminum Product</t>
  </si>
  <si>
    <t>Shape Casting</t>
  </si>
  <si>
    <t>Virgin Cast Aluminum</t>
  </si>
  <si>
    <t>Recycled Cast Aluminum</t>
  </si>
  <si>
    <t>4.6) Tons of Nickel Needed per Ton of Nickel Hydroxide Product</t>
  </si>
  <si>
    <t>4.7) Composition of Fiber Glass, % by wt</t>
  </si>
  <si>
    <t>Glass Fiber</t>
  </si>
  <si>
    <t>4.8.a) Shares of Individual Plastic in a Vehicle for Average Plastic Calculation, % by wt</t>
  </si>
  <si>
    <t>ABS</t>
  </si>
  <si>
    <t>EPDM</t>
  </si>
  <si>
    <t>Liquid Epoxy</t>
  </si>
  <si>
    <t>GPPS</t>
  </si>
  <si>
    <t>HIPS</t>
  </si>
  <si>
    <t>HDPE</t>
  </si>
  <si>
    <t>LDPE</t>
  </si>
  <si>
    <t>LLDPE</t>
  </si>
  <si>
    <t>Nylon 6</t>
  </si>
  <si>
    <t>Nylon 66</t>
  </si>
  <si>
    <t>PC</t>
  </si>
  <si>
    <t>PET</t>
  </si>
  <si>
    <t>PP</t>
  </si>
  <si>
    <t>PUR Flexible Foam</t>
  </si>
  <si>
    <t>PUR Rigid Foam</t>
  </si>
  <si>
    <t>PVC</t>
  </si>
  <si>
    <t>4.8.b) Composition of Glass Fiber-Reinforced Plastic and Carbon Fiber-Reinforced Plastic, % by wt</t>
  </si>
  <si>
    <t>Inert Filler</t>
  </si>
  <si>
    <t>Glass Fiber-Reinforced Plastic (SMC)</t>
  </si>
  <si>
    <t>Glass Fiber-Reinforced Plastic (prepregs)</t>
  </si>
  <si>
    <t>Glass Fiber-Reinforced Plastic (RTM)</t>
  </si>
  <si>
    <t>Carbon Fiber</t>
  </si>
  <si>
    <t>4.8.c) Tons of Resin (or Intermediate Material) Needed per Ton of Final Transformed Plastic and Rubber Product</t>
  </si>
  <si>
    <t>Carbon Fiber-Reinforced Plastic</t>
  </si>
  <si>
    <t>Blow Molding (HDPE)</t>
  </si>
  <si>
    <t>Calendaring (PVC)</t>
  </si>
  <si>
    <t>Compression Molding</t>
  </si>
  <si>
    <t>Extrusion (HDPE)</t>
  </si>
  <si>
    <t>Extrusion (PVC)</t>
  </si>
  <si>
    <t>Extrusion (PP)</t>
  </si>
  <si>
    <t>Injection Molding (HDPE)</t>
  </si>
  <si>
    <t>Injection Molding (PVC)</t>
  </si>
  <si>
    <t>Injection Molding (PP)</t>
  </si>
  <si>
    <t>4.8.d) Material Transformation Percentage by Plastic Type, % by wt</t>
  </si>
  <si>
    <t/>
  </si>
  <si>
    <t>GFRP</t>
  </si>
  <si>
    <t>CFRP</t>
  </si>
  <si>
    <t>HPDE</t>
  </si>
  <si>
    <t>4.9) Material Transformation Percentage for Average Rubber Calculation, % by wt</t>
  </si>
  <si>
    <t>4.10) Selection of Method for Estimating Energy Use for PGMs</t>
  </si>
  <si>
    <t xml:space="preserve">  1 -- South African mine</t>
  </si>
  <si>
    <t xml:space="preserve">  1 -- Weight based energy allocation</t>
  </si>
  <si>
    <t xml:space="preserve">  2 -- North American mine </t>
  </si>
  <si>
    <t xml:space="preserve">  2 -- Market value based energy allocation</t>
  </si>
  <si>
    <t>4.11.a) Selection of Wrought Aluminum Electric Generation Mix for Alumina Reduction: Hall-Heroult Process (Aluminum Smelting)</t>
  </si>
  <si>
    <t xml:space="preserve">  1 -- US national grid mix</t>
  </si>
  <si>
    <t xml:space="preserve">  2 -- NA smelter mix</t>
  </si>
  <si>
    <t xml:space="preserve">  3 -- US smelter mix</t>
  </si>
  <si>
    <t xml:space="preserve">  4 -- US market-weighted mix</t>
  </si>
  <si>
    <t xml:space="preserve">  5 -- European smelter mix</t>
  </si>
  <si>
    <t xml:space="preserve">  6 -- Chinese smelter mix</t>
  </si>
  <si>
    <t xml:space="preserve">  7 -- Japan aluminum mix</t>
  </si>
  <si>
    <t xml:space="preserve">  8 -- Korea aluminum mix</t>
  </si>
  <si>
    <t xml:space="preserve">  9 -- 100% wind mix</t>
  </si>
  <si>
    <t xml:space="preserve">  10 -- 100% hydro mix</t>
  </si>
  <si>
    <t xml:space="preserve">  11 -- User defined mix</t>
  </si>
  <si>
    <t>4.11.b) Selection of Cast Aluminum Electric Generation Mix for Alumina Reduction: Hall-Heroult Process (Aluminum Smelting)</t>
  </si>
  <si>
    <t xml:space="preserve">  5 -- User-defined mix</t>
  </si>
  <si>
    <t>4.11.c) Electric Generation Mixes for Alumina Reduction: Hall-Heroult Process (Aluminum Smelting)</t>
  </si>
  <si>
    <t>US Mix</t>
  </si>
  <si>
    <t>NA smelter mix</t>
  </si>
  <si>
    <t>US smelter mix</t>
  </si>
  <si>
    <t>US market-weighted mix</t>
  </si>
  <si>
    <t>Eurpoean smelter mix</t>
  </si>
  <si>
    <t>Chinese smelter mix</t>
  </si>
  <si>
    <t>Japan aluminum mix</t>
  </si>
  <si>
    <t>Korea aluminum mix</t>
  </si>
  <si>
    <t>100% renewable mix</t>
  </si>
  <si>
    <t>100% hydro mix</t>
  </si>
  <si>
    <t>User defined Mix</t>
  </si>
  <si>
    <t>Petroleum</t>
  </si>
  <si>
    <t>NG</t>
  </si>
  <si>
    <t>Coal</t>
  </si>
  <si>
    <t>Biomass</t>
  </si>
  <si>
    <t>Nuclear</t>
  </si>
  <si>
    <t>Hydro</t>
  </si>
  <si>
    <t>4.12) Selection of Method for Estimating Material and Energy Use for Cobalt</t>
  </si>
  <si>
    <t xml:space="preserve">  1 -- Weight based allocation</t>
  </si>
  <si>
    <t xml:space="preserve">  2 -- Market value based allocation</t>
  </si>
  <si>
    <t>5. GREET Default Key Assumptions for Material</t>
  </si>
  <si>
    <t>5.1) Energy Use of Steel: mmBtu per ton of material product</t>
  </si>
  <si>
    <t>Iron Ore Extraction and Processing (per ton of Iron Ore)</t>
  </si>
  <si>
    <t>Coke Production (per ton of Steel)</t>
  </si>
  <si>
    <t>Sintering (per ton of Steel)</t>
  </si>
  <si>
    <t>Blast Furnace (per ton of Steel)</t>
  </si>
  <si>
    <t>Basic Oxygen Furnace (per ton of Steel)</t>
  </si>
  <si>
    <t>On-site Generation and Other Steam Uses and Losses (per ton of Steel)</t>
  </si>
  <si>
    <t>Hot Rolling (per ton of Hot Strip)</t>
  </si>
  <si>
    <t>Skin Mill (per ton of Hot Rolled Steel)</t>
  </si>
  <si>
    <t>Cold Rolling (per ton of Cold Rolled Steel)</t>
  </si>
  <si>
    <t>Galvanizing (per ton of Galvanized Steel)</t>
  </si>
  <si>
    <t>5.2) Energy Use of Cast Iron: mmBtu per ton of material product</t>
  </si>
  <si>
    <t>Iron Recycling</t>
  </si>
  <si>
    <t>Iron Casting</t>
  </si>
  <si>
    <t>Iron Forging</t>
  </si>
  <si>
    <t>5.3) Energy Use of Wrought Aluminum: mmBtu per ton of material product</t>
  </si>
  <si>
    <t>Bauxite Refining: Bayer Process</t>
  </si>
  <si>
    <t>Alumina Reduction: Hall-Heroult Process</t>
  </si>
  <si>
    <t>Scrap Preparation (Recycled Wrought Al)</t>
  </si>
  <si>
    <t>Secondary Ingot Casting (Recycled Al)</t>
  </si>
  <si>
    <t>5.4) Energy Use of Cast Aluminum: mmBtu per ton of material product</t>
  </si>
  <si>
    <t>Scrap Preparation (Recycled Cast Al)</t>
  </si>
  <si>
    <t>5.5) Energy Use of Lead: mmBtu per ton of lead</t>
  </si>
  <si>
    <t>Lead Ore Mining</t>
  </si>
  <si>
    <t>Virgin Lead</t>
  </si>
  <si>
    <t>Recycled Lead</t>
  </si>
  <si>
    <t>5.6) Energy Use of Nickel: mmBtu per ton of nickel or nickel hydroxide</t>
  </si>
  <si>
    <t>Nickel Ore Mining</t>
  </si>
  <si>
    <t>Beneficiation</t>
  </si>
  <si>
    <t>Primary Extraction</t>
  </si>
  <si>
    <t>Nickel Refining</t>
  </si>
  <si>
    <t>Recycled Nickel</t>
  </si>
  <si>
    <t>Nickel Hydroxide</t>
  </si>
  <si>
    <t>Recycled Nickel Hydroxide</t>
  </si>
  <si>
    <t>5.7) Energy Use of Cobalt: mmBtu per ton of cobalt</t>
  </si>
  <si>
    <t>Allocation Method</t>
  </si>
  <si>
    <t>Weight based</t>
  </si>
  <si>
    <t>Market value based</t>
  </si>
  <si>
    <t>Cobalt Ore Mining</t>
  </si>
  <si>
    <t>Cobalt Ore Processing</t>
  </si>
  <si>
    <t>CoSO4 Production</t>
  </si>
  <si>
    <t>Co3O4 Production</t>
  </si>
  <si>
    <t>Cobalt Electrowinning</t>
  </si>
  <si>
    <t>5.8) Energy Use of Copper: mmBtu per ton of copper</t>
  </si>
  <si>
    <t>Copper Ore Mining</t>
  </si>
  <si>
    <t>Copper Smelting/Refining</t>
  </si>
  <si>
    <t>Chilean copper production (mining/refining)</t>
  </si>
  <si>
    <t>Drawing Wire</t>
  </si>
  <si>
    <t>Production Shares for Copper</t>
  </si>
  <si>
    <t>U.S. and other sources</t>
  </si>
  <si>
    <t>Chile</t>
  </si>
  <si>
    <t>5.9) Energy Use of Zinc: mmBtu per ton of zinc</t>
  </si>
  <si>
    <t>Zinc Ore Mining</t>
  </si>
  <si>
    <t>Zinc metal</t>
  </si>
  <si>
    <t>Zinc Oxide</t>
  </si>
  <si>
    <t>5.10) Energy Use of Magnesium: mmBtu per ton of magnesium</t>
  </si>
  <si>
    <t>Magnesium Ore Mining</t>
  </si>
  <si>
    <t>Magnesium Production via Electrolytic Production</t>
  </si>
  <si>
    <t>Magnesium Production via Thermal Production (Pidgeon)</t>
  </si>
  <si>
    <t>Magnesium Recyclying</t>
  </si>
  <si>
    <t>Magnesium Cast and Molding</t>
  </si>
  <si>
    <t>Production Shares for Vigrin Magnesium</t>
  </si>
  <si>
    <t>Electrolytic Production</t>
  </si>
  <si>
    <t>Thermal Production</t>
  </si>
  <si>
    <t>5.11) Energy Use of Sulfuric Acid: mmBtu per ton of sulfuric acid</t>
  </si>
  <si>
    <t>Sulfuric Acid</t>
  </si>
  <si>
    <t>5.12) Energy Use of Glass: mmBtu per ton of material product</t>
  </si>
  <si>
    <t>Glass Batch Preparation</t>
  </si>
  <si>
    <t>Glass Melting and Refining</t>
  </si>
  <si>
    <t>Glass Forming</t>
  </si>
  <si>
    <t>Glass Annealing</t>
  </si>
  <si>
    <t>Glass Tempering</t>
  </si>
  <si>
    <t>Glass Laminating</t>
  </si>
  <si>
    <t>Glass Fiber Batch Preparation</t>
  </si>
  <si>
    <t>Glass Fiber Melting and Refining</t>
  </si>
  <si>
    <t>Glass Fiber Forming</t>
  </si>
  <si>
    <t>Glass Fiber Post-forming</t>
  </si>
  <si>
    <t>5.13) Energy Use of Plastic: mmBtu per ton of material product</t>
  </si>
  <si>
    <t>Acrylonitrile‐Butadiene‐Styrene (ABS)</t>
  </si>
  <si>
    <t>Ethylene Propylene Diene Monomer (EPDM)</t>
  </si>
  <si>
    <t>General Purpose Polystyrene (GPPS)</t>
  </si>
  <si>
    <t>High-Impact Polystyrene (HIPS)</t>
  </si>
  <si>
    <t>High-Density Polyethylene (HDPE)</t>
  </si>
  <si>
    <t>Low-Density Polyethylene (LDPE)</t>
  </si>
  <si>
    <t>Linear Low-Density Polyethylene (LLDPE)</t>
  </si>
  <si>
    <t>Polycarbonate (PC)</t>
  </si>
  <si>
    <t>Polyethylene Terephthalate (PET)</t>
  </si>
  <si>
    <t>Polypropylene (PP)</t>
  </si>
  <si>
    <t>Polyurethane (PUR) Flexible Foam</t>
  </si>
  <si>
    <t>Polyurethane (PUR) Rigid Foam</t>
  </si>
  <si>
    <t>Polyvinyl Chloride (PVC)</t>
  </si>
  <si>
    <t>Glass Fiber-Reinforced Plastic Fabrication: Sheet Molding Compound (SMC)</t>
  </si>
  <si>
    <t>Glass Fiber-Reinforced Plastic Fabrication: Prepregs</t>
  </si>
  <si>
    <t>Glass Fiber-Reinforced Plastic Fabrication: Resin Transfer Molding (RTM)</t>
  </si>
  <si>
    <t>Carbon Fiber-Reinforced Plastic Fabrication</t>
  </si>
  <si>
    <t>Blow Molding (HPDE)</t>
  </si>
  <si>
    <t>5.14) Energy Use of Rubber: mmBtu per ton of rubber</t>
  </si>
  <si>
    <t>Styrene-butadiene Rubber</t>
  </si>
  <si>
    <t>5.15) Energy Use of PGMs: mmBtu per ton of PGM</t>
  </si>
  <si>
    <t>Location</t>
  </si>
  <si>
    <t>South African Mine</t>
  </si>
  <si>
    <t>North American Mine</t>
  </si>
  <si>
    <t>Platinum Ore Mining</t>
  </si>
  <si>
    <t>Concentration</t>
  </si>
  <si>
    <t>Palladium</t>
  </si>
  <si>
    <t>Smelting</t>
  </si>
  <si>
    <t>Rhodium</t>
  </si>
  <si>
    <t>Processing</t>
  </si>
  <si>
    <t>Gold</t>
  </si>
  <si>
    <t>5.17) Energy Use of Vanadium: mmBtu per ton of vanadium</t>
  </si>
  <si>
    <t>PUR Flexible Foam Hybrid Final</t>
  </si>
  <si>
    <t>Ore Mining</t>
  </si>
  <si>
    <t>Nylon66-PE</t>
  </si>
  <si>
    <t>Virgin Vanadium</t>
  </si>
  <si>
    <t>Nylon6-PE</t>
  </si>
  <si>
    <t>Recycled Vanadium</t>
  </si>
  <si>
    <t>Epoxy-PE</t>
  </si>
  <si>
    <t>PC-PE</t>
  </si>
  <si>
    <t>5.18) Energy Use of Zirconium: mmBtu per ton of zirconium</t>
  </si>
  <si>
    <t>Virgin Zirconium</t>
  </si>
  <si>
    <t>Recycled Zirconium</t>
  </si>
  <si>
    <t>5.19) Energy Use of Titanium: mmBtu per ton of titanium</t>
  </si>
  <si>
    <t>Virgin Titanium</t>
  </si>
  <si>
    <t>Recycled Titanium</t>
  </si>
  <si>
    <t>5.20) Energy Use of Chromium: mmBtu per ton of chromium</t>
  </si>
  <si>
    <t>Virgin Chromium</t>
  </si>
  <si>
    <t>Recycled Chromium</t>
  </si>
  <si>
    <t>5.16) Energy Use of Rare Earth: mmBtu per ton of rare earth</t>
  </si>
  <si>
    <t>Rare Earth Ore Mining</t>
  </si>
  <si>
    <t>Virgin Rare Earth</t>
  </si>
  <si>
    <t>Recycled Rare Earth</t>
  </si>
  <si>
    <t>5.17) Energy Use of Manganese: mmBtu per ton of manganese</t>
  </si>
  <si>
    <t>Manganese Ore Mining</t>
  </si>
  <si>
    <t>Virgin Manganese</t>
  </si>
  <si>
    <t>5.18) Energy Use of Fuel-Cell Materials: mmBtu per ton of material product</t>
  </si>
  <si>
    <t>Nafion 117 Sheet</t>
  </si>
  <si>
    <t>Nafion Dry Polymer</t>
  </si>
  <si>
    <t>5.19) Energy Use of Fluids: mmBtu per ton of material product</t>
  </si>
  <si>
    <t>Ethylene Glycol</t>
  </si>
  <si>
    <t>5.20) Energy Use of Molybdenum: mmBtu per ton of Molybdenum</t>
  </si>
  <si>
    <t xml:space="preserve">Primary Mining and beneficiation (mmBtu/MoS2) </t>
  </si>
  <si>
    <t>Secondary Mining and beneficiation (mmBtu/Mo)</t>
  </si>
  <si>
    <t>Conversion (mmBtu/MoS2)</t>
  </si>
  <si>
    <t>Scenario Control Variables and Input Assumptions Related to Passenger Car and its Components</t>
  </si>
  <si>
    <t>1. Specification of Total Vehicle Weight, pounds</t>
  </si>
  <si>
    <t>PHEV10: Conventional Material</t>
  </si>
  <si>
    <t>PHEV10: Lightweight Material</t>
  </si>
  <si>
    <t>PHEV20: Conventional Material</t>
  </si>
  <si>
    <t>PHEV20: Lightweight Material</t>
  </si>
  <si>
    <t>PHEV30: Conventional Material</t>
  </si>
  <si>
    <t>PHEV30: Lightweight Material</t>
  </si>
  <si>
    <t>PHEV40: Conventional Material</t>
  </si>
  <si>
    <t>PHEV40: Lightweight Material</t>
  </si>
  <si>
    <t>EV100: Conventional Material</t>
  </si>
  <si>
    <t>EV100: Lightweight Material</t>
  </si>
  <si>
    <t>EV300: Conventional Material</t>
  </si>
  <si>
    <t>EV300: Lightweight Material</t>
  </si>
  <si>
    <t>Passenger Car 1</t>
  </si>
  <si>
    <t>Passenger Car 2</t>
  </si>
  <si>
    <t>Selected Passenger Car</t>
  </si>
  <si>
    <t>2. Vehicle Battery and Fluids Weight, pounds per vehicle</t>
  </si>
  <si>
    <t>2.1) Battery Weight</t>
  </si>
  <si>
    <t>Baseline vehicle total vehicle weight: (sans fluids)</t>
  </si>
  <si>
    <t xml:space="preserve"> Passenger Car 1 - Lead-Acid</t>
  </si>
  <si>
    <t>Passenger Car 1 - Ni-MH</t>
  </si>
  <si>
    <t>Passenger Car 1 - Li-Ion</t>
  </si>
  <si>
    <t xml:space="preserve"> Passenger Car 2 - Lead-Acid</t>
  </si>
  <si>
    <t>Passenger Car 2 - Ni-MH</t>
  </si>
  <si>
    <t>Passenger Car 2 - Li-Ion</t>
  </si>
  <si>
    <t xml:space="preserve"> Selected Passenger Car - Lead-Acid</t>
  </si>
  <si>
    <t>Selected Passenger Car - Ni-MH</t>
  </si>
  <si>
    <t>Selected Passenger Car - Li-Ion</t>
  </si>
  <si>
    <t>2.2) Fluids Weight</t>
  </si>
  <si>
    <t>Passenger Car 1 - ICEV (CM)</t>
  </si>
  <si>
    <t>Passenger Car 1 - ICEV (LW)</t>
  </si>
  <si>
    <t>Passenger Car 1 - HEV</t>
  </si>
  <si>
    <t>Passenger Car 1 - PHEV</t>
  </si>
  <si>
    <t>Passenger Car 1 - EV</t>
  </si>
  <si>
    <t xml:space="preserve"> Passenger Car 1 - FCV</t>
  </si>
  <si>
    <t>Passenger Car 2 - ICEV (CM)</t>
  </si>
  <si>
    <t>Passenger Car 2 - ICEV (LW)</t>
  </si>
  <si>
    <t>Passenger Car 2 - HEV</t>
  </si>
  <si>
    <t>Passenger Car 2 - PHEV</t>
  </si>
  <si>
    <t>Passenger Car 2 - EV</t>
  </si>
  <si>
    <t xml:space="preserve"> Passenger Car 2 - FCV</t>
  </si>
  <si>
    <t>Selected Passenger Car - ICEV (CM)</t>
  </si>
  <si>
    <t>Selected Passenger Car - ICEV (LW)</t>
  </si>
  <si>
    <t>Selected Passenger Car - HEV</t>
  </si>
  <si>
    <t>Selected Passenger Car - PHEV</t>
  </si>
  <si>
    <t>Selected Passenger Car - EV</t>
  </si>
  <si>
    <t xml:space="preserve"> Selected Passenger Car - FCV</t>
  </si>
  <si>
    <t>3. Key Input Parameters for Vehicle Components: Body, Powertrain System, Transmission System, Chassis, Traction Motor, Generator, Electronic Controller, and Fuel Cell Auxiliary System</t>
  </si>
  <si>
    <t>3.1) Vehicle Components Weight, pounds (excluding battery, fluids, and fuel)</t>
  </si>
  <si>
    <t>Passenger Car</t>
  </si>
  <si>
    <t>3.2.a) Fuel Cell Stack Size, kW</t>
  </si>
  <si>
    <t>Passenger Car - Conventional Material</t>
  </si>
  <si>
    <t>Passenger Car - Lightweight Material</t>
  </si>
  <si>
    <t>3.2.b) Passenger Car Weight of Fuel Cell Stack and Auxiliary System, pounds</t>
  </si>
  <si>
    <t>3.3) Passenger Car Components Composition, % by wt</t>
  </si>
  <si>
    <t>3.4) Tire Replacements During Lifetime of Vehicle</t>
    <phoneticPr fontId="4" type="noConversion"/>
  </si>
  <si>
    <t>3.5) Vehice Tire Weight (lbs/tire)</t>
  </si>
  <si>
    <t>4. Key Input Parameters for Batteries</t>
  </si>
  <si>
    <t>4.1) Passenger Car Battery Size in Peak Battery Power (High Power Applications), kW</t>
  </si>
  <si>
    <t>4.2) Passenger Car Battery Size in Peak Battery Energy (High Energy Applications), kWh</t>
  </si>
  <si>
    <t>PHEV10/EV100</t>
  </si>
  <si>
    <t>PHEV20/EV300</t>
  </si>
  <si>
    <t>PHEV30</t>
  </si>
  <si>
    <t>PHEV40</t>
  </si>
  <si>
    <t>4.3) Battery Replacements During Lifetime of Passenger Car</t>
  </si>
  <si>
    <t>5. Fluids Replacements During Lifetime of Passenger Car</t>
  </si>
  <si>
    <t>6. Lifetime VMT of a Vehicle, miles</t>
  </si>
  <si>
    <t>7. Material Composition for Each Passenger Car Component, % by wt</t>
  </si>
  <si>
    <t>Selcted Passenger Car</t>
  </si>
  <si>
    <t>8. Fuel Economy of Passenger Car (mpgge)</t>
  </si>
  <si>
    <t>Scenario Control Variables and Input Assumptions Related to Sport Utility Vehicle and its Components</t>
  </si>
  <si>
    <t>SUV 1</t>
  </si>
  <si>
    <t>SUV 2</t>
  </si>
  <si>
    <t>Selected SUV</t>
  </si>
  <si>
    <t>SUV 1 - Lead-Acid</t>
  </si>
  <si>
    <t>SUV 1 - Ni-MH</t>
  </si>
  <si>
    <t>SUV 1 - Li-Ion</t>
  </si>
  <si>
    <t>SUV 2 - Lead-Acid</t>
  </si>
  <si>
    <t>SUV 2 - Ni-MH</t>
  </si>
  <si>
    <t>SUV 2 - Li-Ion</t>
  </si>
  <si>
    <t>Selected SUV - Lead-Acid</t>
  </si>
  <si>
    <t>Selected SUV - Ni-MH</t>
  </si>
  <si>
    <t>Selected SUV - Li-Ion</t>
  </si>
  <si>
    <t>SUV 1 - ICEV (CM)</t>
  </si>
  <si>
    <t>SUV 1 - ICEV (LW)</t>
  </si>
  <si>
    <t>SUV 1 - HEV</t>
  </si>
  <si>
    <t>SUV 1 - PHEV</t>
  </si>
  <si>
    <t xml:space="preserve"> SUV 1 - EV</t>
  </si>
  <si>
    <t xml:space="preserve"> SUV 1 - FCV</t>
  </si>
  <si>
    <t>SUV 2 - ICEV (CM)</t>
  </si>
  <si>
    <t>SUV 2 - ICEV (LW)</t>
  </si>
  <si>
    <t>SUV 2 - HEV</t>
  </si>
  <si>
    <t>SUV 2 - PHEV</t>
  </si>
  <si>
    <t xml:space="preserve"> SUV 2 - EV</t>
  </si>
  <si>
    <t xml:space="preserve"> SUV 2 - FCV</t>
  </si>
  <si>
    <t>Selected SUV - ICEV (CM)</t>
  </si>
  <si>
    <t>Selected SUV - ICEV (LW)</t>
  </si>
  <si>
    <t>Selected SUV - HEV</t>
  </si>
  <si>
    <t>Selected SUV - PHEV</t>
  </si>
  <si>
    <t xml:space="preserve"> Selected SUV - EV</t>
  </si>
  <si>
    <t xml:space="preserve"> Selected SUV - FCV</t>
  </si>
  <si>
    <t>SUV - Conventional Material</t>
  </si>
  <si>
    <t>SUV - Lightweight Material</t>
  </si>
  <si>
    <t>3.2.b) SUV Weight of Fuel Cell Stack and Auxiliary System, pounds</t>
  </si>
  <si>
    <t>3.3) SUV Components Composition, % by wt</t>
  </si>
  <si>
    <t>4.1) SUV Battery Size in Peak Battery Power (High Power Applications), kW</t>
  </si>
  <si>
    <t>4.2) SUV Battery Size in Peak Battery Energy (High Energy Applications), kWh</t>
  </si>
  <si>
    <t>4.3) Battery Replacements During Lifetime of SUV</t>
  </si>
  <si>
    <t>5. Fluids Replacements During Lifetime of SUV</t>
  </si>
  <si>
    <t>ICEV: Light-weight Material</t>
  </si>
  <si>
    <t>HEV: Light-weight Material</t>
  </si>
  <si>
    <t>PHEV: Light-Weight Material</t>
  </si>
  <si>
    <t>EV: Light-Weight Material</t>
  </si>
  <si>
    <t>FCV: Light-weight Material</t>
  </si>
  <si>
    <t>7. Material Composition for Each SUV Component, % by wt</t>
  </si>
  <si>
    <t>Powertrain System</t>
  </si>
  <si>
    <t>8. Fuel Economy of SUV (mpgge)</t>
  </si>
  <si>
    <t>Scenario Control Variables and Input Assumptions Related to Pick-UpTruck and its Components</t>
  </si>
  <si>
    <t>PUT 1</t>
  </si>
  <si>
    <t>PUT 2</t>
  </si>
  <si>
    <t>Selected PUT</t>
  </si>
  <si>
    <t>PUT 1 - Lead-Acid</t>
  </si>
  <si>
    <t>PUT 1 - Ni-MH</t>
  </si>
  <si>
    <t>PUT 1 - Li-Ion</t>
  </si>
  <si>
    <t>PUT 2 - Lead-Acid</t>
  </si>
  <si>
    <t>PUT 2 - Ni-MH</t>
  </si>
  <si>
    <t>PUT 2 - Li-Ion</t>
  </si>
  <si>
    <t>Selected PUT - Lead-Acid</t>
  </si>
  <si>
    <t>Selected PUT - Ni-MH</t>
  </si>
  <si>
    <t>Selected PUT - Li-Ion</t>
  </si>
  <si>
    <t>PUT 1 - ICEV (CM)</t>
  </si>
  <si>
    <t>PUT 1 - ICEV (LW)</t>
  </si>
  <si>
    <t>PUT 1 - HEV</t>
  </si>
  <si>
    <t>PUT 1 - PHEV</t>
  </si>
  <si>
    <t xml:space="preserve"> PUT 1 - EV</t>
  </si>
  <si>
    <t xml:space="preserve"> PUT 1 - FCV</t>
  </si>
  <si>
    <t>PUT 2 - ICEV (CM)</t>
  </si>
  <si>
    <t>PUT 2 - ICEV (LW)</t>
  </si>
  <si>
    <t>PUT 2 - HEV</t>
  </si>
  <si>
    <t>PUT 2 - PHEV</t>
  </si>
  <si>
    <t xml:space="preserve"> PUT 2 - EV</t>
  </si>
  <si>
    <t xml:space="preserve"> PUT 2 - FCV</t>
  </si>
  <si>
    <t>Selected PUT - ICEV (CM)</t>
  </si>
  <si>
    <t>Selected PUT - ICEV (LW)</t>
  </si>
  <si>
    <t>Selected PUT - HEV</t>
  </si>
  <si>
    <t>Selected PUT - PHEV</t>
  </si>
  <si>
    <t xml:space="preserve"> Selected PUT - EV</t>
  </si>
  <si>
    <t xml:space="preserve"> Selected PUT - FCV</t>
  </si>
  <si>
    <t>PUT - Conventional Material</t>
  </si>
  <si>
    <t>PUT - Lightweight Material</t>
  </si>
  <si>
    <t>3.2.b) PUT Weight of Fuel Cell Stack and Auxiliary System, pounds</t>
  </si>
  <si>
    <t>3.3) PUT Components Composition, % by wt</t>
  </si>
  <si>
    <t>4.1) PUT Battery Size in Peak Battery Power (High Power Applications), kW</t>
  </si>
  <si>
    <t>4.2) PUT Battery Size in Peak Battery Energy (High Energy Applications), kWh</t>
  </si>
  <si>
    <t>4.3) Battery Replacements During Lifetime of PUT</t>
  </si>
  <si>
    <t>5. Fluids Replacements During Lifetime of PUT</t>
  </si>
  <si>
    <t>7. Material Composition for Each PUT Component, % by wt</t>
  </si>
  <si>
    <t>Fuel Cell Auxiliary System</t>
  </si>
  <si>
    <t>8. Fuel Economy of PUT (mpgge)</t>
  </si>
  <si>
    <t>Steel: Virgin Steel, Recycled Steel and Stainless Steel</t>
  </si>
  <si>
    <t>1) Key Input Parameters (from the Mat_Inputs sheet)</t>
  </si>
  <si>
    <t>1.1) Shares of Rolled Steel Types in a Vehicle for Average Virgin Stamped Steel Calculation, % by wt</t>
  </si>
  <si>
    <t>Hot Rolled Steel Pathway: Steel Production --&gt; Hot Rolling --&gt; Skin Mill --&gt; Stamping</t>
  </si>
  <si>
    <t>Cold Rolled Steel Pathway: Steel Production --&gt; Hot Rolling --&gt; Cold Rolling --&gt; Stamping</t>
  </si>
  <si>
    <t>Galvanized Rolled Steel Pathway: Steel Production --&gt; Hot Rolling --&gt; Cold Rolling --&gt; Galvanizing --&gt; Stamping</t>
  </si>
  <si>
    <t>1.2) Loss Factor (Tons of Steel Feedstock per Ton of Steel Output from Each Process)</t>
  </si>
  <si>
    <t>Recycled Steel Pathway: Electric Arc Furnace --&gt; Rod and Bar Mill --&gt; Machining</t>
  </si>
  <si>
    <t>Stainless Steel Pathway: Electric Arc Furnace --&gt; Rod and Bar Mill --&gt; Machining</t>
  </si>
  <si>
    <t>2) Shares of Combustion Processes for Each stage</t>
  </si>
  <si>
    <t>Iron Ore Extraction and Processing</t>
  </si>
  <si>
    <t>Coke Production</t>
  </si>
  <si>
    <t>Sintering</t>
  </si>
  <si>
    <t>Blast Furnace (Including BF Gas Flaring and Loss and Stoves)</t>
  </si>
  <si>
    <t>Basic Oxygen Furnace (including Ladles and Caster)</t>
  </si>
  <si>
    <t>On-site Generation and Other Steam Uses and Losses</t>
  </si>
  <si>
    <t>Resi. oil industrial boiler</t>
  </si>
  <si>
    <t>NG industrial boiler</t>
  </si>
  <si>
    <t>NG Conversion to Blast Furnace Gas</t>
  </si>
  <si>
    <t>NG Off-road Equipment</t>
  </si>
  <si>
    <t>Coal industrial boiler</t>
  </si>
  <si>
    <t>Coal Conversion to Coke</t>
  </si>
  <si>
    <t>Coke Oven Gas Combustion</t>
  </si>
  <si>
    <t>Coke Oven Gas Flaring</t>
  </si>
  <si>
    <t>Blast Furnace Gas Combustion</t>
  </si>
  <si>
    <t>Blast Furnace Gas Flaring</t>
  </si>
  <si>
    <t>Blast Furnace Gas Venting</t>
  </si>
  <si>
    <t>Gasoline Stationary Reciprocating Engine</t>
  </si>
  <si>
    <t>Gasoline Off-road Equipment</t>
  </si>
  <si>
    <t>Diesel Heavy Heavy-Duty Truck</t>
  </si>
  <si>
    <t>Diesel Off-road Equipment</t>
  </si>
  <si>
    <t>3) Calculations of Energy Consumption and Emissions for Each Stage</t>
  </si>
  <si>
    <t>Combustion Emissions</t>
  </si>
  <si>
    <t>Non-Combustion Emissions</t>
  </si>
  <si>
    <t>Displacement Credit (Exported Coke, Tar and Benzole)</t>
  </si>
  <si>
    <t>Per ton of Iron Ore</t>
  </si>
  <si>
    <t>Per ton of Steel</t>
  </si>
  <si>
    <t>Per ton of Hot Strip</t>
  </si>
  <si>
    <t>Per ton of Hot Rolled Steel</t>
  </si>
  <si>
    <t>Per ton of Cold Rolled Steel</t>
  </si>
  <si>
    <t>Per ton of Galvanized Steel</t>
  </si>
  <si>
    <t>Per ton of Stamped Steel</t>
  </si>
  <si>
    <t>Per ton of Cast Steel</t>
  </si>
  <si>
    <t>Per ton of Rod and Bar</t>
  </si>
  <si>
    <t>Energy inputs: mmBtu per ton of material product, except as noted</t>
  </si>
  <si>
    <t>Urban emission share</t>
  </si>
  <si>
    <t xml:space="preserve">Shares of process fuels </t>
  </si>
  <si>
    <t xml:space="preserve">     Resid. oil</t>
  </si>
  <si>
    <t xml:space="preserve">     Gasoline</t>
  </si>
  <si>
    <t xml:space="preserve">     Diesel</t>
  </si>
  <si>
    <t>(for truck)</t>
  </si>
  <si>
    <t xml:space="preserve">     Natural gas</t>
  </si>
  <si>
    <t xml:space="preserve">     Coal</t>
  </si>
  <si>
    <t xml:space="preserve">     Electricity</t>
  </si>
  <si>
    <t>Energy use: mmBtu per ton of material product, except as noted</t>
  </si>
  <si>
    <t xml:space="preserve">     Natural gas used</t>
  </si>
  <si>
    <t xml:space="preserve">     Limestone (ton)</t>
  </si>
  <si>
    <t xml:space="preserve">     Lime (ton)</t>
  </si>
  <si>
    <t xml:space="preserve">     Coke</t>
  </si>
  <si>
    <t xml:space="preserve">     Tar</t>
  </si>
  <si>
    <t xml:space="preserve">     Benzole (Light Oil)</t>
  </si>
  <si>
    <t xml:space="preserve">     Blast furnace gas</t>
  </si>
  <si>
    <t xml:space="preserve">     Coke oven gas</t>
  </si>
  <si>
    <t xml:space="preserve">     Total energy</t>
  </si>
  <si>
    <t xml:space="preserve">     Fossil fuels</t>
  </si>
  <si>
    <t xml:space="preserve">     Petroleum</t>
  </si>
  <si>
    <t>Water consumption</t>
  </si>
  <si>
    <t>Total Emissions: grams per ton of material product</t>
  </si>
  <si>
    <t xml:space="preserve">     VOC</t>
  </si>
  <si>
    <t xml:space="preserve">     CO</t>
  </si>
  <si>
    <t xml:space="preserve">     NOx</t>
  </si>
  <si>
    <t xml:space="preserve">     PM10</t>
  </si>
  <si>
    <t xml:space="preserve">     PM2.5</t>
  </si>
  <si>
    <t xml:space="preserve">     SOx</t>
  </si>
  <si>
    <t xml:space="preserve">     BC</t>
  </si>
  <si>
    <t xml:space="preserve">     OC</t>
  </si>
  <si>
    <t xml:space="preserve">     CH4</t>
  </si>
  <si>
    <t xml:space="preserve">     N2O</t>
  </si>
  <si>
    <t xml:space="preserve">     CO2</t>
  </si>
  <si>
    <t>Urban Emissions: grams per ton of material product</t>
  </si>
  <si>
    <t>4) Summary of Energy Consumption and Emissions</t>
  </si>
  <si>
    <t>4.1) Energy Use and Emissions Related to Virgin Steel</t>
  </si>
  <si>
    <t>Steel Production</t>
  </si>
  <si>
    <t>Final Hot Rolled Steel Product: Combined</t>
  </si>
  <si>
    <t>Final Cold Rolled Steel Product: Combined</t>
  </si>
  <si>
    <t>Final Galvanized Steel Product: Combined</t>
  </si>
  <si>
    <t>Final Stamped Hot Rolled Steel Product: Combined</t>
  </si>
  <si>
    <t>Final Stamped Cold Rolled Steel Product: Combined</t>
  </si>
  <si>
    <t>Final Stamped Galvanized Steel Product: Combined</t>
  </si>
  <si>
    <t>Final Average Stamped Steel Product: Combined</t>
  </si>
  <si>
    <t>Loss Factor (Tons of Steel Feedstock per Ton of Steel Output from Each Process)</t>
  </si>
  <si>
    <t>Energy Use: mmBtu per ton of intermediate material product and final steel product</t>
  </si>
  <si>
    <t>per ton</t>
  </si>
  <si>
    <t>per lb</t>
  </si>
  <si>
    <t>Water consumptions: gal per ton</t>
  </si>
  <si>
    <t>Total Emissions: grams per ton of intermediate material product and final steel product</t>
  </si>
  <si>
    <t xml:space="preserve">     NOx </t>
  </si>
  <si>
    <t xml:space="preserve">     CO2 (VOC, CO, CO2)</t>
  </si>
  <si>
    <t xml:space="preserve">     GHGs</t>
  </si>
  <si>
    <t>Urban Emissions: grams per ton of intermediate material product and final steel product</t>
  </si>
  <si>
    <t>4.2) Energy Use and Emissions Related to Recycled Steel</t>
  </si>
  <si>
    <t>Final Steel Product: Combined</t>
  </si>
  <si>
    <t xml:space="preserve">     Total Energy</t>
  </si>
  <si>
    <t>4.3) Energy Use and Emissions Related to Recycled Steel for Construction</t>
  </si>
  <si>
    <t>4.4) Energy Use and Emissions Related to Stainless Steel</t>
  </si>
  <si>
    <t>Cast and Forged Iron</t>
  </si>
  <si>
    <r>
      <t>1) Key Input Parameters (from the</t>
    </r>
    <r>
      <rPr>
        <b/>
        <i/>
        <sz val="11"/>
        <rFont val="Arial"/>
        <family val="2"/>
      </rPr>
      <t xml:space="preserve"> Mat_Inputs </t>
    </r>
    <r>
      <rPr>
        <b/>
        <sz val="11"/>
        <rFont val="Arial"/>
        <family val="2"/>
      </rPr>
      <t>sheet)</t>
    </r>
  </si>
  <si>
    <t>1.1) Shares of Iron Types in a Vehicle for Average Iron Calculation, % by wt</t>
  </si>
  <si>
    <t>(for trucks)</t>
  </si>
  <si>
    <t>Energy use: mmBtu per ton of product</t>
  </si>
  <si>
    <t xml:space="preserve">     Coke input: ton</t>
  </si>
  <si>
    <t>Total Emissions: grams per ton of product</t>
  </si>
  <si>
    <t>Urban Emissions: grams per ton of product</t>
  </si>
  <si>
    <t>4) Summary of Energy Consumption and Emissions Related to Cast and Forged Iron</t>
  </si>
  <si>
    <t>Final Cast Iron Product: Combined</t>
  </si>
  <si>
    <t>Final Forged Iron Product: Combined</t>
  </si>
  <si>
    <t>Final Iron Product: Combined</t>
  </si>
  <si>
    <t>Energy Use: mmBtu per ton of product</t>
  </si>
  <si>
    <t>Virgin and Recycled Wrought Aluminum</t>
  </si>
  <si>
    <t>1) Key Input Parameters</t>
  </si>
  <si>
    <t>1.1) Shares of Wrought Aluminum Types in a Vehicle for Average Virgin Wrought Aluminum Calculation, % by wt</t>
  </si>
  <si>
    <t>1.2) Tons of Intermediate Material Needed per Ton of Final Wrought Aluminum Product (from the Mat_Inputs sheet)</t>
  </si>
  <si>
    <t>1.3) Electric Generation Mix for Alumina Reduction: Hall-Heroult Process for Wrought Aluminum (from the Mat_Inputs sheet)</t>
  </si>
  <si>
    <t>Total energy</t>
  </si>
  <si>
    <t>Fossil fuels</t>
  </si>
  <si>
    <t>Natural gas</t>
  </si>
  <si>
    <t>VOC: Total</t>
  </si>
  <si>
    <t>CO: Total</t>
  </si>
  <si>
    <t>NOx: Total</t>
  </si>
  <si>
    <t>PM10: Total</t>
  </si>
  <si>
    <t>PM2.5: Total</t>
  </si>
  <si>
    <t>SOx: Total</t>
  </si>
  <si>
    <t>BC: Total</t>
  </si>
  <si>
    <t>OC: Total</t>
  </si>
  <si>
    <t>CH4</t>
  </si>
  <si>
    <t>N2O</t>
  </si>
  <si>
    <t>CO2</t>
  </si>
  <si>
    <t>VOC: Urban</t>
  </si>
  <si>
    <t>CO: Urban</t>
  </si>
  <si>
    <t>NOx: Urban</t>
  </si>
  <si>
    <t>PM10: Urban</t>
  </si>
  <si>
    <t>PM2.5: Urban</t>
  </si>
  <si>
    <t>SOx: Urban</t>
  </si>
  <si>
    <t>BC: Urban</t>
  </si>
  <si>
    <t>OC: Urban</t>
  </si>
  <si>
    <t>Scrap Preparation (Recycled Al)</t>
  </si>
  <si>
    <t xml:space="preserve">     Liquefied petroleum gas</t>
  </si>
  <si>
    <t xml:space="preserve">     Sodium Hydroxide (50%): ton</t>
  </si>
  <si>
    <t xml:space="preserve">     Lime: ton</t>
  </si>
  <si>
    <t xml:space="preserve">     Pet coke input: ton</t>
  </si>
  <si>
    <t xml:space="preserve">     Steel Sheet Part: ton</t>
  </si>
  <si>
    <t xml:space="preserve">     Primary Al ingot: ton</t>
  </si>
  <si>
    <t xml:space="preserve">     CF4</t>
  </si>
  <si>
    <t xml:space="preserve">     C2F6</t>
  </si>
  <si>
    <t>4.1) Energy Use and Emissions Related to Virgin Wrought Aluminum</t>
  </si>
  <si>
    <t>Final Hot Rolled Aluminum Product: Combined</t>
  </si>
  <si>
    <t>Final Cold Rolled Aluminum Product: Combined</t>
  </si>
  <si>
    <t>Final Stamped Hot Rolled Aluminum Product: Combined</t>
  </si>
  <si>
    <t>Final Stamped Cold Rolled Aluminum Product: Combined</t>
  </si>
  <si>
    <t>Final Extruded Aluminum Product: Combined</t>
  </si>
  <si>
    <t>Final Average Wrought Aluminum Product: Combined</t>
  </si>
  <si>
    <t>Final Al2O3</t>
  </si>
  <si>
    <t>Tons of intermediate material needed per ton of hot rolled aluminum</t>
  </si>
  <si>
    <t>Tons of intermediate material needed per ton of cold rolled aluminum</t>
  </si>
  <si>
    <t>Tons of intermediate material needed per ton of extruded aluminum</t>
  </si>
  <si>
    <t>Energy Use: mmBtu per ton of intermediate material product and final aluminum product</t>
  </si>
  <si>
    <t>Total Emissions: grams per ton of intermediate material product and final aluminum product</t>
  </si>
  <si>
    <t>Urban Emissions: grams per ton of intermediate material product and final aluminum product</t>
  </si>
  <si>
    <t>4.2) Energy Use and Emissions Related to Recycled Wrought Aluminum</t>
  </si>
  <si>
    <t>Virgin and Recycled Cast Aluminum</t>
  </si>
  <si>
    <t>1.1) Tons of Intermediate Material Needed per Ton of Final Cast Aluminum Product (from the Mat_Inputs sheet)</t>
  </si>
  <si>
    <t>1.2) Electric Generation Mix for Alumina Reduction: Hall-Heroult Process for Cast Aluminum (from the Mat_Inputs sheet)</t>
  </si>
  <si>
    <t>Residual oil</t>
  </si>
  <si>
    <t>Nuclear power</t>
  </si>
  <si>
    <t>4.1) Energy Use and Emissions Related to Virgin Cast Aluminum</t>
  </si>
  <si>
    <t>Final Shape Cast Aluminum Product: Combined</t>
  </si>
  <si>
    <t>Tons of intermediate material needed per ton of aluminum</t>
  </si>
  <si>
    <t>4.2) Energy Use and Emissions Related to Recycled Cast Aluminum</t>
  </si>
  <si>
    <t>Virgin and Recycled Lead</t>
  </si>
  <si>
    <t>1) Shares of Combustion Processes for Each stage</t>
  </si>
  <si>
    <t>2) Calculations of Energy Consumption and Emissions for Each Stage</t>
  </si>
  <si>
    <t>Final Virgin Lead Product: Combined</t>
  </si>
  <si>
    <t>Final Recycled Lead Product: Combined</t>
  </si>
  <si>
    <t>Nickel: Virgin Nickel, Recycled Nickel, Nicel Sulfate, Nickel Hydroxide, and Recycled Nickel Hydroxide</t>
  </si>
  <si>
    <r>
      <t xml:space="preserve">1) Key Input Parameter (from the </t>
    </r>
    <r>
      <rPr>
        <b/>
        <i/>
        <sz val="11"/>
        <rFont val="Arial"/>
        <family val="2"/>
      </rPr>
      <t>Mat_Inputs</t>
    </r>
    <r>
      <rPr>
        <b/>
        <sz val="11"/>
        <rFont val="Arial"/>
        <family val="2"/>
      </rPr>
      <t xml:space="preserve"> sheet): Tons of Nickel Needed per Ton of Nickel Hydroxide Product</t>
    </r>
  </si>
  <si>
    <t>2) Other Key Input Parameters</t>
  </si>
  <si>
    <t>2.a) Shares of Combustion Processes for Each stage</t>
  </si>
  <si>
    <t>For NiSO4 Production from Class I Ni</t>
  </si>
  <si>
    <t>For NiSO4 Production from MHP</t>
  </si>
  <si>
    <t>Laterite Mining</t>
  </si>
  <si>
    <t>MHP Refining</t>
  </si>
  <si>
    <t>2.b) Shares of Nickel Ore Production and Class 1 Nickel Production</t>
  </si>
  <si>
    <t>Australia</t>
  </si>
  <si>
    <t>Brazil</t>
  </si>
  <si>
    <t>Canada</t>
  </si>
  <si>
    <t>Finland</t>
  </si>
  <si>
    <t>Japan</t>
  </si>
  <si>
    <t>New Caledonia</t>
  </si>
  <si>
    <t>Norway</t>
  </si>
  <si>
    <t>Russia</t>
  </si>
  <si>
    <t>China</t>
  </si>
  <si>
    <t>Papua New Guinea</t>
  </si>
  <si>
    <t>Nickel Ore Production</t>
  </si>
  <si>
    <t>Class 1 Nickel Production</t>
  </si>
  <si>
    <t>Mixed Hydroxide Precipitate (MHP) Production</t>
  </si>
  <si>
    <t>NiSO4 Production from MHP</t>
  </si>
  <si>
    <t>2.c) User-defined Electricity Mix for Nickel Production: Btu or Gallons or Grams per mmBtu of Electricity Available at User Sites</t>
  </si>
  <si>
    <t>For Class I Ni Production</t>
  </si>
  <si>
    <t>Mining</t>
  </si>
  <si>
    <t>Refining</t>
  </si>
  <si>
    <t>Laterite Mining and Beneficiation</t>
  </si>
  <si>
    <t>Total Emissions</t>
  </si>
  <si>
    <t>VOC</t>
  </si>
  <si>
    <t>CO</t>
  </si>
  <si>
    <t>NOx</t>
  </si>
  <si>
    <t>PM10</t>
  </si>
  <si>
    <t>PM2.5</t>
  </si>
  <si>
    <t>SOx</t>
  </si>
  <si>
    <t>BC</t>
  </si>
  <si>
    <t>OC</t>
  </si>
  <si>
    <t>Urban Emissions</t>
  </si>
  <si>
    <t>Urban VOC</t>
  </si>
  <si>
    <t>Urban CO</t>
  </si>
  <si>
    <t>Urban NOx</t>
  </si>
  <si>
    <t>Urban PM10</t>
  </si>
  <si>
    <t>Urban PM2.5</t>
  </si>
  <si>
    <t>Urban SOx</t>
  </si>
  <si>
    <t>Urban BC</t>
  </si>
  <si>
    <t>Urban OC</t>
  </si>
  <si>
    <t>2.d) Share of NiSO4 Production</t>
  </si>
  <si>
    <t>From Class I Ni</t>
  </si>
  <si>
    <t>From MHP</t>
  </si>
  <si>
    <t>NiSO4</t>
  </si>
  <si>
    <t>2.5) Materials Consumption for Each Stage</t>
  </si>
  <si>
    <t>Class I Ni Production</t>
  </si>
  <si>
    <t>NiSO4 Production</t>
  </si>
  <si>
    <t>Generic</t>
  </si>
  <si>
    <t>Ni Ore Mining</t>
  </si>
  <si>
    <t>Ammonium nitrate</t>
  </si>
  <si>
    <t>Lime</t>
  </si>
  <si>
    <t>Limestone</t>
  </si>
  <si>
    <t>Sulfur</t>
  </si>
  <si>
    <t>Coke</t>
  </si>
  <si>
    <t>Sodium hydroxide</t>
  </si>
  <si>
    <t>Sand</t>
  </si>
  <si>
    <t>Ammonia</t>
  </si>
  <si>
    <t>Oxygen</t>
  </si>
  <si>
    <t>Sulfuric acid</t>
  </si>
  <si>
    <t>Soda ash</t>
  </si>
  <si>
    <t>Hydrochloric acid</t>
  </si>
  <si>
    <t>Kerosene</t>
  </si>
  <si>
    <t>Sodium chlorate</t>
  </si>
  <si>
    <t>Engine oil</t>
  </si>
  <si>
    <t>Nitrogen</t>
  </si>
  <si>
    <t>Class I Ni</t>
  </si>
  <si>
    <t>Nickel Hydroxide Production</t>
  </si>
  <si>
    <t>Vigin Nickel</t>
  </si>
  <si>
    <t>Upstream Emissions</t>
  </si>
  <si>
    <t>On-site Emissions</t>
  </si>
  <si>
    <t>Energy use: mmBtu per ton of nickel, nickel sulfate, or nickel hydroxide product</t>
  </si>
  <si>
    <t>4) Summary of Energy Consumption and Emissions Related to Nickel</t>
  </si>
  <si>
    <t>Final Class I Nickel</t>
  </si>
  <si>
    <t>Final Recycled Nickel</t>
  </si>
  <si>
    <t>Final Refined Nickel</t>
  </si>
  <si>
    <t>Final NiSO4 from Class I Ni</t>
  </si>
  <si>
    <t>Final NiSO4 from MHP</t>
  </si>
  <si>
    <t>Final Generic NiSO4</t>
  </si>
  <si>
    <t>Final NiSO4 Combined</t>
  </si>
  <si>
    <t>Final Virgin Nickel Hydroxide</t>
  </si>
  <si>
    <t>Final Recycled Nickel Hydroxide</t>
  </si>
  <si>
    <t>Virgin Class I</t>
  </si>
  <si>
    <t>Nickel Beneficiation</t>
  </si>
  <si>
    <t>Nickel Primary Extraction</t>
  </si>
  <si>
    <t>Virgin</t>
  </si>
  <si>
    <t>Recycled</t>
  </si>
  <si>
    <t>5) Summary of Energy Consumption and Emissions Related to Auxiliary Materials (per ton materials)</t>
  </si>
  <si>
    <t>Energy Use: mmBtu</t>
  </si>
  <si>
    <t>Total Emissions: grams</t>
  </si>
  <si>
    <t>Urban Emissions: grams</t>
  </si>
  <si>
    <t>Cobalt Oxide</t>
  </si>
  <si>
    <r>
      <t xml:space="preserve">1) Key Input Parameters (from the </t>
    </r>
    <r>
      <rPr>
        <b/>
        <i/>
        <sz val="11"/>
        <rFont val="Arial"/>
        <family val="2"/>
      </rPr>
      <t>Mat_Inputs</t>
    </r>
    <r>
      <rPr>
        <b/>
        <sz val="11"/>
        <rFont val="Arial"/>
        <family val="2"/>
      </rPr>
      <t xml:space="preserve"> sheet): Selection of Method for Estimating Material and Energy Use for Cobalt</t>
    </r>
  </si>
  <si>
    <t>2. a) Shares of Combustion Processes for Each stage</t>
  </si>
  <si>
    <r>
      <t>CoSO</t>
    </r>
    <r>
      <rPr>
        <b/>
        <vertAlign val="subscript"/>
        <sz val="10"/>
        <rFont val="Arial"/>
        <family val="2"/>
      </rPr>
      <t>4</t>
    </r>
    <r>
      <rPr>
        <b/>
        <sz val="10"/>
        <rFont val="Arial"/>
        <family val="2"/>
      </rPr>
      <t xml:space="preserve"> Production</t>
    </r>
  </si>
  <si>
    <r>
      <t>Co</t>
    </r>
    <r>
      <rPr>
        <b/>
        <vertAlign val="subscript"/>
        <sz val="10"/>
        <rFont val="Arial"/>
        <family val="2"/>
      </rPr>
      <t>3</t>
    </r>
    <r>
      <rPr>
        <b/>
        <sz val="10"/>
        <rFont val="Arial"/>
        <family val="2"/>
      </rPr>
      <t>O</t>
    </r>
    <r>
      <rPr>
        <b/>
        <vertAlign val="subscript"/>
        <sz val="10"/>
        <rFont val="Arial"/>
        <family val="2"/>
      </rPr>
      <t>4</t>
    </r>
    <r>
      <rPr>
        <b/>
        <sz val="10"/>
        <rFont val="Arial"/>
        <family val="2"/>
      </rPr>
      <t xml:space="preserve"> Production</t>
    </r>
  </si>
  <si>
    <t>Co electrowinning</t>
  </si>
  <si>
    <t>Sulfur Production</t>
  </si>
  <si>
    <r>
      <t>Na</t>
    </r>
    <r>
      <rPr>
        <b/>
        <vertAlign val="subscript"/>
        <sz val="10"/>
        <rFont val="Arial"/>
        <family val="2"/>
      </rPr>
      <t>2</t>
    </r>
    <r>
      <rPr>
        <b/>
        <sz val="10"/>
        <rFont val="Arial"/>
        <family val="2"/>
      </rPr>
      <t>S</t>
    </r>
    <r>
      <rPr>
        <b/>
        <vertAlign val="subscript"/>
        <sz val="10"/>
        <rFont val="Arial"/>
        <family val="2"/>
      </rPr>
      <t>2</t>
    </r>
    <r>
      <rPr>
        <b/>
        <sz val="10"/>
        <rFont val="Arial"/>
        <family val="2"/>
      </rPr>
      <t>O</t>
    </r>
    <r>
      <rPr>
        <b/>
        <vertAlign val="subscript"/>
        <sz val="10"/>
        <rFont val="Arial"/>
        <family val="2"/>
      </rPr>
      <t>5</t>
    </r>
    <r>
      <rPr>
        <b/>
        <sz val="10"/>
        <rFont val="Arial"/>
        <family val="2"/>
      </rPr>
      <t xml:space="preserve"> Production</t>
    </r>
  </si>
  <si>
    <r>
      <t>NH</t>
    </r>
    <r>
      <rPr>
        <b/>
        <vertAlign val="subscript"/>
        <sz val="10"/>
        <rFont val="Arial"/>
        <family val="2"/>
      </rPr>
      <t>4</t>
    </r>
    <r>
      <rPr>
        <b/>
        <sz val="10"/>
        <rFont val="Arial"/>
        <family val="2"/>
      </rPr>
      <t>HCO</t>
    </r>
    <r>
      <rPr>
        <b/>
        <vertAlign val="subscript"/>
        <sz val="10"/>
        <rFont val="Arial"/>
        <family val="2"/>
      </rPr>
      <t>3</t>
    </r>
    <r>
      <rPr>
        <b/>
        <sz val="10"/>
        <rFont val="Arial"/>
        <family val="2"/>
      </rPr>
      <t xml:space="preserve"> Production</t>
    </r>
  </si>
  <si>
    <t>NG large industrial boiler</t>
  </si>
  <si>
    <t>NG small industrial boiler</t>
  </si>
  <si>
    <t>2.b) Cobalt Contents of Cobalt Products</t>
  </si>
  <si>
    <t>Crude Co(OH)2</t>
  </si>
  <si>
    <r>
      <t>CoSO</t>
    </r>
    <r>
      <rPr>
        <b/>
        <vertAlign val="subscript"/>
        <sz val="10"/>
        <rFont val="Arial"/>
        <family val="2"/>
      </rPr>
      <t>4</t>
    </r>
  </si>
  <si>
    <r>
      <t>CoCl</t>
    </r>
    <r>
      <rPr>
        <b/>
        <vertAlign val="subscript"/>
        <sz val="10"/>
        <rFont val="Arial"/>
        <family val="2"/>
      </rPr>
      <t>2</t>
    </r>
  </si>
  <si>
    <r>
      <t>Co</t>
    </r>
    <r>
      <rPr>
        <b/>
        <vertAlign val="subscript"/>
        <sz val="10"/>
        <rFont val="Arial"/>
        <family val="2"/>
      </rPr>
      <t>3</t>
    </r>
    <r>
      <rPr>
        <b/>
        <sz val="10"/>
        <rFont val="Arial"/>
        <family val="2"/>
      </rPr>
      <t>O</t>
    </r>
    <r>
      <rPr>
        <b/>
        <vertAlign val="subscript"/>
        <sz val="10"/>
        <rFont val="Arial"/>
        <family val="2"/>
      </rPr>
      <t>4</t>
    </r>
  </si>
  <si>
    <t>CoO</t>
  </si>
  <si>
    <t>Co metal</t>
  </si>
  <si>
    <t>Cobalt content (%)</t>
  </si>
  <si>
    <t>2.c) Shares of CoSO4 Production</t>
  </si>
  <si>
    <t>US</t>
  </si>
  <si>
    <t>Wind</t>
  </si>
  <si>
    <t>Production share (%)</t>
  </si>
  <si>
    <t>Cobalt Production per Ton of Cobalt Content</t>
  </si>
  <si>
    <t>Auxiliary Materials</t>
  </si>
  <si>
    <t>Transportation</t>
  </si>
  <si>
    <t>Ore mining</t>
  </si>
  <si>
    <t>Ore processing</t>
  </si>
  <si>
    <t>Mass</t>
  </si>
  <si>
    <t>Value</t>
  </si>
  <si>
    <t xml:space="preserve">    Sulfur (ton)</t>
  </si>
  <si>
    <t xml:space="preserve">    Limestone (ton)</t>
  </si>
  <si>
    <t xml:space="preserve">    Lime (ton)</t>
  </si>
  <si>
    <t xml:space="preserve">    Sodium hydroxide (ton)</t>
  </si>
  <si>
    <t xml:space="preserve">    Magnesium oxide (ton)</t>
  </si>
  <si>
    <t xml:space="preserve">    Sulfuric acid (ton)</t>
  </si>
  <si>
    <t xml:space="preserve">    Hydrochloric acid (ton)</t>
  </si>
  <si>
    <t xml:space="preserve">    Kerosene (ton)</t>
  </si>
  <si>
    <t xml:space="preserve">    Na2S2O5 (ton)</t>
  </si>
  <si>
    <t xml:space="preserve">    NH4HCO3 (ton)</t>
  </si>
  <si>
    <t xml:space="preserve">    Na2CO3 (ton)</t>
  </si>
  <si>
    <t xml:space="preserve">    Ammonia (ton)</t>
  </si>
  <si>
    <t>Water consumptions</t>
  </si>
  <si>
    <t>Emissions</t>
  </si>
  <si>
    <t>4) Summary of Energy Consumption and Emissions Related to Cobalt</t>
  </si>
  <si>
    <t>Per ton Cobalt</t>
  </si>
  <si>
    <t>Per ton Cobalt Products</t>
  </si>
  <si>
    <r>
      <t>Final Virgin CoSO</t>
    </r>
    <r>
      <rPr>
        <b/>
        <vertAlign val="subscript"/>
        <sz val="10"/>
        <rFont val="Arial"/>
        <family val="2"/>
      </rPr>
      <t>4</t>
    </r>
    <r>
      <rPr>
        <b/>
        <sz val="10"/>
        <rFont val="Arial"/>
        <family val="2"/>
      </rPr>
      <t xml:space="preserve"> Product</t>
    </r>
  </si>
  <si>
    <r>
      <t>Final Virgin CoCl</t>
    </r>
    <r>
      <rPr>
        <b/>
        <vertAlign val="subscript"/>
        <sz val="10"/>
        <rFont val="Arial"/>
        <family val="2"/>
      </rPr>
      <t>2</t>
    </r>
    <r>
      <rPr>
        <b/>
        <sz val="10"/>
        <rFont val="Arial"/>
        <family val="2"/>
      </rPr>
      <t xml:space="preserve"> Product</t>
    </r>
  </si>
  <si>
    <r>
      <t>Final Virgin Co</t>
    </r>
    <r>
      <rPr>
        <b/>
        <vertAlign val="subscript"/>
        <sz val="10"/>
        <rFont val="Arial"/>
        <family val="2"/>
      </rPr>
      <t>3</t>
    </r>
    <r>
      <rPr>
        <b/>
        <sz val="10"/>
        <rFont val="Arial"/>
        <family val="2"/>
      </rPr>
      <t>O</t>
    </r>
    <r>
      <rPr>
        <b/>
        <vertAlign val="subscript"/>
        <sz val="10"/>
        <rFont val="Arial"/>
        <family val="2"/>
      </rPr>
      <t>4</t>
    </r>
    <r>
      <rPr>
        <b/>
        <sz val="10"/>
        <rFont val="Arial"/>
        <family val="2"/>
      </rPr>
      <t xml:space="preserve"> Product</t>
    </r>
  </si>
  <si>
    <t>Final Virgin CoO Product</t>
  </si>
  <si>
    <t>Final Virgin Co Metal Product</t>
  </si>
  <si>
    <t>5) Summary of Energy Consumption and Emissions Related to Auxiliary Materials</t>
  </si>
  <si>
    <t>Magnesium oxide</t>
  </si>
  <si>
    <r>
      <t>Na</t>
    </r>
    <r>
      <rPr>
        <b/>
        <vertAlign val="subscript"/>
        <sz val="10"/>
        <rFont val="Arial"/>
        <family val="2"/>
      </rPr>
      <t>2</t>
    </r>
    <r>
      <rPr>
        <b/>
        <sz val="10"/>
        <rFont val="Arial"/>
        <family val="2"/>
      </rPr>
      <t>S</t>
    </r>
    <r>
      <rPr>
        <b/>
        <vertAlign val="subscript"/>
        <sz val="10"/>
        <rFont val="Arial"/>
        <family val="2"/>
      </rPr>
      <t>2</t>
    </r>
    <r>
      <rPr>
        <b/>
        <sz val="10"/>
        <rFont val="Arial"/>
        <family val="2"/>
      </rPr>
      <t>O</t>
    </r>
    <r>
      <rPr>
        <b/>
        <vertAlign val="subscript"/>
        <sz val="10"/>
        <rFont val="Arial"/>
        <family val="2"/>
      </rPr>
      <t>5</t>
    </r>
  </si>
  <si>
    <r>
      <t>NH</t>
    </r>
    <r>
      <rPr>
        <b/>
        <vertAlign val="subscript"/>
        <sz val="10"/>
        <rFont val="Arial"/>
        <family val="2"/>
      </rPr>
      <t>4</t>
    </r>
    <r>
      <rPr>
        <b/>
        <sz val="10"/>
        <rFont val="Arial"/>
        <family val="2"/>
      </rPr>
      <t>HCO</t>
    </r>
    <r>
      <rPr>
        <b/>
        <vertAlign val="subscript"/>
        <sz val="10"/>
        <rFont val="Arial"/>
        <family val="2"/>
      </rPr>
      <t>3</t>
    </r>
  </si>
  <si>
    <t>1) Shares of Production Location for Copper</t>
  </si>
  <si>
    <t xml:space="preserve">U.S. </t>
  </si>
  <si>
    <t>Chilean Copper production</t>
  </si>
  <si>
    <t>3) Summary of Energy Consumption and Emissions Related to Copper</t>
  </si>
  <si>
    <t>Copper Smelting / Refining</t>
  </si>
  <si>
    <t>Final Copper Product in U.S.: Combined</t>
  </si>
  <si>
    <t>Chilean Copper Production</t>
  </si>
  <si>
    <t>Final Copper Product: Combined</t>
  </si>
  <si>
    <t>Zinc and Zinc Oxide</t>
  </si>
  <si>
    <t>ton of Zn/ ton of ZnO</t>
  </si>
  <si>
    <t>Water consumption mining (gal/ton of product)</t>
  </si>
  <si>
    <t>Water consumption processing Zn metal (gal/ton of product)</t>
  </si>
  <si>
    <t>Oxygen input for Zinc (ton /ton of product)</t>
  </si>
  <si>
    <t>Lime input for Zinc (ton /ton of product)</t>
  </si>
  <si>
    <t>Coal input for Zinc Oxide (ton/ton of product)</t>
  </si>
  <si>
    <t>Units</t>
  </si>
  <si>
    <t>Per ton Zn</t>
  </si>
  <si>
    <t>Per ton ZnO</t>
  </si>
  <si>
    <t>Material Inputs</t>
  </si>
  <si>
    <t xml:space="preserve">     Oxygen (ton /ton of product)</t>
  </si>
  <si>
    <t xml:space="preserve">     Lime (ton /ton of product)</t>
  </si>
  <si>
    <t xml:space="preserve">     Coal (ton/ton of product)</t>
  </si>
  <si>
    <t>4) Summary of Energy Consumption and Emissions Related to Zinc and Zinc Oxide</t>
  </si>
  <si>
    <t>Final Zinc Product: Combined</t>
  </si>
  <si>
    <t>Final Zinc Oxide Product: Combined</t>
  </si>
  <si>
    <t>1) Shares of Production Processes for Virgin Magnesium</t>
  </si>
  <si>
    <t>Magnesium via Electrolytic production</t>
  </si>
  <si>
    <t>Magnesium via Thermal production</t>
  </si>
  <si>
    <t>Magnesium Recycling</t>
  </si>
  <si>
    <t>Magnesium Casting and Molding</t>
  </si>
  <si>
    <t xml:space="preserve">     SF6</t>
  </si>
  <si>
    <t xml:space="preserve">     HFC-134a</t>
  </si>
  <si>
    <t>3) Summary of Energy Consumption and Emissions Related to Magnesium</t>
  </si>
  <si>
    <t>Virgin Magnesium</t>
  </si>
  <si>
    <t>Recycled Magnesium</t>
  </si>
  <si>
    <t>Final Magnesium Product: Combined</t>
  </si>
  <si>
    <t>Glass and Fiber Glass</t>
  </si>
  <si>
    <r>
      <t xml:space="preserve">1) Key Input Parameter (from the </t>
    </r>
    <r>
      <rPr>
        <b/>
        <i/>
        <sz val="11"/>
        <rFont val="Arial"/>
        <family val="2"/>
      </rPr>
      <t>Mat_Inputs</t>
    </r>
    <r>
      <rPr>
        <b/>
        <sz val="11"/>
        <rFont val="Arial"/>
        <family val="2"/>
      </rPr>
      <t xml:space="preserve"> sheet)</t>
    </r>
  </si>
  <si>
    <t>Composition of Fiber Glass:</t>
  </si>
  <si>
    <t>Diesel Reciprocating Engine</t>
  </si>
  <si>
    <t>Dolomite Mining &amp; Transpt.</t>
  </si>
  <si>
    <t>Refined B2O3</t>
  </si>
  <si>
    <t>E Glass as a representative of Glass Fiber</t>
  </si>
  <si>
    <t>Batch Preparation</t>
  </si>
  <si>
    <t>Melting and Refining</t>
  </si>
  <si>
    <t>Forming</t>
  </si>
  <si>
    <t>Annealing</t>
  </si>
  <si>
    <t>Tempering</t>
  </si>
  <si>
    <t>Laminating</t>
  </si>
  <si>
    <t>Post-forming</t>
  </si>
  <si>
    <t xml:space="preserve">     Sand (ton)</t>
  </si>
  <si>
    <t xml:space="preserve">     Soda ash (ton)</t>
  </si>
  <si>
    <t xml:space="preserve">     Dolomite (ton)</t>
  </si>
  <si>
    <t xml:space="preserve">     Kaolin (ton)</t>
  </si>
  <si>
    <t xml:space="preserve">     Refined B2O3 (ton)</t>
  </si>
  <si>
    <t>3) Summary of Energy Consumption and Emissions Related to Glass</t>
  </si>
  <si>
    <t>E Glass</t>
  </si>
  <si>
    <t>Final Flat Glass Product</t>
  </si>
  <si>
    <t>Final Automotive Glass Product</t>
  </si>
  <si>
    <t>Final E Glass Product</t>
  </si>
  <si>
    <t>Plastic Production</t>
  </si>
  <si>
    <r>
      <t>1) Key Input Parameters (from the</t>
    </r>
    <r>
      <rPr>
        <b/>
        <i/>
        <sz val="11"/>
        <rFont val="Arial"/>
        <family val="2"/>
      </rPr>
      <t xml:space="preserve"> Mat_Inputs</t>
    </r>
    <r>
      <rPr>
        <b/>
        <sz val="11"/>
        <rFont val="Arial"/>
        <family val="2"/>
      </rPr>
      <t xml:space="preserve"> sheet)</t>
    </r>
  </si>
  <si>
    <t>1.1) Shares of Individual Plastic in a Vehicle for Average Plastic Calculation, % by wt</t>
  </si>
  <si>
    <t>1.2) Composition of Glass Fiber-Reinforced Plastic and Carbon Fiber-Reinforced Plastic, % by wt</t>
  </si>
  <si>
    <t>1.3) Tons of Resin (or Intermediate Material) Needed per Ton of Final Transformed Plastic and Rubber Product</t>
  </si>
  <si>
    <t>1.4) Material Transformation Percentage by Plastic Type, % by wt</t>
  </si>
  <si>
    <t>Glass Fiber-Reinforced Plastic (GRRP) SMC</t>
  </si>
  <si>
    <t>Glass Fiber-Reinforced Plastic (GRRP) Prepregs</t>
  </si>
  <si>
    <t>Glass Fiber-Reinforced Plastic (GRRP) RTM</t>
  </si>
  <si>
    <t>Carbon Fiber-Reinforced Plastic (CFRP) Fabrication</t>
  </si>
  <si>
    <t xml:space="preserve">     Crude oil as feed</t>
  </si>
  <si>
    <t xml:space="preserve">     Natural gas as feed</t>
  </si>
  <si>
    <t>4.1) Summary of Energy Consumption and Emissions Related to Plastic and Transformation</t>
  </si>
  <si>
    <t>ABS Resin</t>
  </si>
  <si>
    <t>EPDM Resin</t>
  </si>
  <si>
    <t>Liquid Epoxy Resin</t>
  </si>
  <si>
    <t>GPPS Resin</t>
  </si>
  <si>
    <t>HIPS Resin</t>
  </si>
  <si>
    <t>HDPE Resin</t>
  </si>
  <si>
    <t>LDPE Resin</t>
  </si>
  <si>
    <t>LLDPE Resin</t>
  </si>
  <si>
    <t>Nylon 6 Resin</t>
  </si>
  <si>
    <t>Nylon 66 Resin</t>
  </si>
  <si>
    <t>PC Resin</t>
  </si>
  <si>
    <t>PET Resin</t>
  </si>
  <si>
    <t>PP Resin</t>
  </si>
  <si>
    <t>PVC Resin</t>
  </si>
  <si>
    <t>GFRP SMC</t>
  </si>
  <si>
    <t>GFRP Prepregs</t>
  </si>
  <si>
    <t>GFRP RTM</t>
  </si>
  <si>
    <t>CFRP Fabrication</t>
  </si>
  <si>
    <t>Final ABS Product: Combined</t>
  </si>
  <si>
    <t>Final EPDM Product: Combined</t>
  </si>
  <si>
    <t>Final Liquid Epoxy Product: Combined</t>
  </si>
  <si>
    <t>Final GPPS Product: Combined</t>
  </si>
  <si>
    <t>Final HIPS Product: Combined</t>
  </si>
  <si>
    <t>Final HDPE Product: Combined</t>
  </si>
  <si>
    <t>Final LDPE Product: Combined</t>
  </si>
  <si>
    <t>Final LLDPE Product: Combined</t>
  </si>
  <si>
    <t>Final Nylon 6 Product: Combined</t>
  </si>
  <si>
    <t>Final Nylon 66 Product: Combined</t>
  </si>
  <si>
    <t>Final PC Product: Combined</t>
  </si>
  <si>
    <t>Final PET Product: Combined</t>
  </si>
  <si>
    <t>Final PP Product: Combined</t>
  </si>
  <si>
    <t>Final PUR Flexible Foam Product: Combined</t>
  </si>
  <si>
    <t>Final PUR Rigid Foam Product: Combined</t>
  </si>
  <si>
    <t>Final PVC Product: Combined</t>
  </si>
  <si>
    <t>Final Average Plastic Product: Combined</t>
  </si>
  <si>
    <t>Final Glass Fiber-Reinforced Plastic Product: SMC</t>
  </si>
  <si>
    <t>Final Glass Fiber-Reinforced Plastic Product: Prepregs</t>
  </si>
  <si>
    <t>Final Glass Fiber-Reinforced Plastic Product: RTM</t>
  </si>
  <si>
    <t>Final Glass Fiber-Reinforced Plastic Product: Combined</t>
  </si>
  <si>
    <t>Final Carbon Fiber-Reinforced Plastic Product for General Use: Combined</t>
  </si>
  <si>
    <t>Final Carbon Fiber-Reinforced Plastic Product for High Pressure Vessels: Combined</t>
  </si>
  <si>
    <r>
      <t xml:space="preserve">1) Key Input Parameters (from the </t>
    </r>
    <r>
      <rPr>
        <b/>
        <i/>
        <sz val="11"/>
        <rFont val="Arial"/>
        <family val="2"/>
      </rPr>
      <t>Mat_Inputs</t>
    </r>
    <r>
      <rPr>
        <b/>
        <sz val="11"/>
        <rFont val="Arial"/>
        <family val="2"/>
      </rPr>
      <t xml:space="preserve"> sheet)</t>
    </r>
  </si>
  <si>
    <t>1.1) Tons of Resin (or Intermediate Material) Needed per Ton of Final Transformed Plastic and Rubber Product</t>
  </si>
  <si>
    <t>1.2) Material Transformation Percentage for Average Rubber Calculation, % by wt</t>
  </si>
  <si>
    <t>3) Summary of Energy Consumption and Emissions Related to Rubber</t>
  </si>
  <si>
    <t>Final Compression Molded Rubber Product: Combined</t>
  </si>
  <si>
    <t>Final Injection Molded Rubber Product: Combined</t>
  </si>
  <si>
    <t>Final Average Rubber Product: Combined</t>
  </si>
  <si>
    <t>Platinum-Group Metals (PGMs)</t>
  </si>
  <si>
    <t>1) Key Input Parameters (from the Mat_Inputs sheet): Selection of Method for Estimating Energy Use for PGMs</t>
  </si>
  <si>
    <t xml:space="preserve">Water consumption (gal/ton of product) </t>
  </si>
  <si>
    <t>North America</t>
  </si>
  <si>
    <t>South America</t>
  </si>
  <si>
    <t>Diesel stationary reciprocating engine</t>
  </si>
  <si>
    <t>3) Calculations of Energy Consumption and Emissions for Each Product</t>
  </si>
  <si>
    <t xml:space="preserve">South Africa </t>
  </si>
  <si>
    <t xml:space="preserve">North America </t>
  </si>
  <si>
    <t>Platinum Mining</t>
  </si>
  <si>
    <t>Platinum Processing</t>
  </si>
  <si>
    <t>4) Summary of Energy Consumption and Emissions Related to PGMs</t>
  </si>
  <si>
    <t>Final Platinum Product: Combined</t>
  </si>
  <si>
    <t>South Africa</t>
  </si>
  <si>
    <t>Final Platinum Product: Combined for North America and South Africa</t>
  </si>
  <si>
    <t>Virgin Vanadium and Recycled Vanadium</t>
  </si>
  <si>
    <t>3) Summary of Energy Consumption and Emissions Related to Vanadium</t>
  </si>
  <si>
    <t>Vanadium Ore Mining</t>
  </si>
  <si>
    <t>Final Virgin Vanadium Product: Combined</t>
  </si>
  <si>
    <t>Final Recycled Vanadium Product: Combined</t>
  </si>
  <si>
    <t>Virgin Zirconium and Recycled Zirconium</t>
  </si>
  <si>
    <t>3) Summary of Energy Consumption and Emissions Related to Zirconium</t>
  </si>
  <si>
    <t>Zirconium Ore Mining</t>
  </si>
  <si>
    <t>Final Virgin Zirconium Product: Combined</t>
  </si>
  <si>
    <t>Final Recycled Zirconium Product: Combined</t>
  </si>
  <si>
    <t>Virgin Titanium and Recycled Titanium</t>
  </si>
  <si>
    <t>3) Summary of Energy Consumption and Emissions Related to Titanium</t>
  </si>
  <si>
    <t>Final Virgin Titanium Product: Combined</t>
  </si>
  <si>
    <t>Final Recycled Titanium Product: Combined</t>
  </si>
  <si>
    <t>Virgin Chromium and Recycled Chromium</t>
  </si>
  <si>
    <t>3) Summary of Energy Consumption and Emissions Related to Chromium</t>
  </si>
  <si>
    <t>Chromium Ore Mining</t>
  </si>
  <si>
    <t>Final Virgin Chromium Product: Combined</t>
  </si>
  <si>
    <t>Final Recycled Chromium Product: Combined</t>
  </si>
  <si>
    <t xml:space="preserve">Molybdenum </t>
  </si>
  <si>
    <t>1.a) Key Assumptions</t>
  </si>
  <si>
    <t>Primary Mining</t>
  </si>
  <si>
    <t>Co-produced Mo</t>
  </si>
  <si>
    <t>Share of Mo</t>
  </si>
  <si>
    <t>ton Mo/ton MoS2</t>
  </si>
  <si>
    <t xml:space="preserve">Primary Mining and Beneficiation </t>
  </si>
  <si>
    <t>Co-Produced Mining &amp; beneficiation</t>
  </si>
  <si>
    <t>mmBtu/ton MoS2</t>
  </si>
  <si>
    <t>mmBtu/ton Mo</t>
  </si>
  <si>
    <t>Ammonium hydroxide (ton_ NH4OH/ton_ammonium molybdate)</t>
  </si>
  <si>
    <t>3) Summary of Energy Consumption and Emissions Related to Molybdenum</t>
  </si>
  <si>
    <t>Primary Mining and beneficiation</t>
  </si>
  <si>
    <t xml:space="preserve">Co-produced mining </t>
  </si>
  <si>
    <r>
      <t>Molybdenum Concentration (MoS</t>
    </r>
    <r>
      <rPr>
        <b/>
        <vertAlign val="subscript"/>
        <sz val="10"/>
        <rFont val="Arial"/>
        <family val="2"/>
      </rPr>
      <t>2</t>
    </r>
    <r>
      <rPr>
        <b/>
        <sz val="10"/>
        <rFont val="Arial"/>
        <family val="2"/>
      </rPr>
      <t>)</t>
    </r>
  </si>
  <si>
    <t>per ton MoS2</t>
  </si>
  <si>
    <t>per ton Mo</t>
  </si>
  <si>
    <t>3) Summary of Energy Consumption and Emissions Related to Rare Earth</t>
  </si>
  <si>
    <t>Final Rare Earth Product: Combined</t>
  </si>
  <si>
    <t>Final Recycled Rare Earth Product: Combined</t>
  </si>
  <si>
    <t>% Mn in Mn Ore</t>
  </si>
  <si>
    <t>1.b) Shares of Combustion Processes for Each stage</t>
  </si>
  <si>
    <t>3) Summary of Energy Consumption and Emissions Related to Manganese</t>
  </si>
  <si>
    <t>Fuel Cell Materials</t>
  </si>
  <si>
    <t>3) Summary of Energy Consumption and Emissions Related to FC Materials</t>
  </si>
  <si>
    <t>Nafion117 Sheet</t>
  </si>
  <si>
    <t>Cement / Concrete</t>
  </si>
  <si>
    <t>1.1. Materials shares</t>
  </si>
  <si>
    <t>Selection:</t>
  </si>
  <si>
    <t>U.S. National Average</t>
  </si>
  <si>
    <t>Material Shares in Cement</t>
  </si>
  <si>
    <t>Material Shares in Concrete</t>
  </si>
  <si>
    <t>Technology Contribution</t>
  </si>
  <si>
    <t>Clinker 
(limestone)</t>
  </si>
  <si>
    <t>Gypsum</t>
  </si>
  <si>
    <t>Clay</t>
  </si>
  <si>
    <t>Cement</t>
  </si>
  <si>
    <t>Aggregate</t>
  </si>
  <si>
    <t>Water</t>
  </si>
  <si>
    <t>Wet</t>
  </si>
  <si>
    <t>Dry</t>
  </si>
  <si>
    <t>Preheater</t>
  </si>
  <si>
    <t>Precalciner</t>
  </si>
  <si>
    <t>Selected</t>
  </si>
  <si>
    <t>User Defined</t>
  </si>
  <si>
    <t>1.2. Transportation</t>
  </si>
  <si>
    <t>Cement - Wet Process</t>
  </si>
  <si>
    <t>Cement - Dry Process</t>
  </si>
  <si>
    <t>Cement - Dry with Preheater</t>
  </si>
  <si>
    <t>Cement - Dry with Precalciner</t>
  </si>
  <si>
    <t>Ready-mix Facility</t>
  </si>
  <si>
    <t>Gypsum Quarrying</t>
  </si>
  <si>
    <t>Clay Quarrying</t>
  </si>
  <si>
    <t>Sand and Gravel Quarrying</t>
  </si>
  <si>
    <t>Miles</t>
  </si>
  <si>
    <t>Share</t>
  </si>
  <si>
    <t xml:space="preserve">     Concrete truck</t>
  </si>
  <si>
    <t xml:space="preserve">     Long-Haul Truck</t>
  </si>
  <si>
    <t xml:space="preserve">     Barge</t>
  </si>
  <si>
    <t xml:space="preserve">     Freight Rail</t>
  </si>
  <si>
    <t>1.3. Major parameters</t>
  </si>
  <si>
    <t>CO2 from calcination (g/ton)</t>
  </si>
  <si>
    <t>Dry with Preheater</t>
  </si>
  <si>
    <t>Dry with Precalciner</t>
  </si>
  <si>
    <t>Sulfur emission adjustment factor</t>
  </si>
  <si>
    <t>Avoided landfill gas emissions</t>
  </si>
  <si>
    <t>Fugitive CH4</t>
  </si>
  <si>
    <t>g CH4/mmBtu MSW</t>
  </si>
  <si>
    <t>g CO2/mmBtu MSW</t>
  </si>
  <si>
    <t>2) Calculations of Fuels and Upstream Emissions for Each Stage</t>
  </si>
  <si>
    <t>Energy Use</t>
  </si>
  <si>
    <t>Facility Emissions based on Federal Datasets</t>
  </si>
  <si>
    <t>On-site Mobile Fuel Use</t>
  </si>
  <si>
    <t>On-site Fuel use</t>
  </si>
  <si>
    <t>Energy inputs: mmBTU per ton of material product</t>
  </si>
  <si>
    <t>Urban share</t>
  </si>
  <si>
    <t xml:space="preserve">     LPG</t>
  </si>
  <si>
    <t xml:space="preserve">     Pet Coke</t>
  </si>
  <si>
    <t xml:space="preserve">     Waste</t>
  </si>
  <si>
    <t xml:space="preserve">     Tire Derived Fuel</t>
  </si>
  <si>
    <t>     Solvents</t>
  </si>
  <si>
    <t>     Waste Oil</t>
  </si>
  <si>
    <t>     Renewables</t>
  </si>
  <si>
    <t xml:space="preserve">     Total energy (Btu)</t>
  </si>
  <si>
    <t xml:space="preserve">     Fossil fuels (Btu)</t>
  </si>
  <si>
    <t xml:space="preserve">     Coal (Btu)</t>
  </si>
  <si>
    <t xml:space="preserve">     Natural gas (Btu)</t>
  </si>
  <si>
    <t xml:space="preserve">     Petroleum (Btu)</t>
  </si>
  <si>
    <t xml:space="preserve">     Water consumption (gallons)</t>
  </si>
  <si>
    <t>3)  Summary of Energy Consumption and Emissions Related to Cement</t>
  </si>
  <si>
    <t>Wet Process Cement Product: Combined Emissions</t>
  </si>
  <si>
    <t>Dry Process Cement Product: Combined Emissions</t>
  </si>
  <si>
    <t>Dry with Preheater Cement Product: Combined Emissions</t>
  </si>
  <si>
    <t>Dry with Precalciner Cement Product: Combined Emissions</t>
  </si>
  <si>
    <t>Energy Use: Btu per ton of product</t>
  </si>
  <si>
    <t xml:space="preserve">    PM10</t>
  </si>
  <si>
    <t xml:space="preserve">    SOx</t>
  </si>
  <si>
    <t>4)  Summary of Energy Consumption and Emissions Related to Concrete</t>
  </si>
  <si>
    <t>Ready-mix Concrete from Wet Process Cement, Delivered</t>
  </si>
  <si>
    <t>Ready-mix Concrete from Dry Process Cement, Delivered</t>
  </si>
  <si>
    <t>Ready-mix Concrete from Dry with Preheater Cement, Delivered</t>
  </si>
  <si>
    <t>Ready-mix Concrete from Dry with Precalciner Cement, Delivered</t>
  </si>
  <si>
    <t>Metallurgical grade Si</t>
  </si>
  <si>
    <t>High purity Silicon</t>
  </si>
  <si>
    <t>Polycrystaline Si for PV application</t>
  </si>
  <si>
    <t>Moncrystaline Si for PV application</t>
  </si>
  <si>
    <t>Monocrystaline Si for electrical application</t>
  </si>
  <si>
    <t xml:space="preserve">     Pet coke</t>
  </si>
  <si>
    <t xml:space="preserve">     Wood</t>
  </si>
  <si>
    <t xml:space="preserve">     Charcoal</t>
  </si>
  <si>
    <t xml:space="preserve">     Hydrogen</t>
  </si>
  <si>
    <t xml:space="preserve">     Hydroelectric</t>
  </si>
  <si>
    <t xml:space="preserve">     Graphite (ton)</t>
  </si>
  <si>
    <t>3) Summary of Energy Consumption and Emissions Related to Silicon</t>
  </si>
  <si>
    <t>Final Silicon for PV Application: Combined</t>
  </si>
  <si>
    <t>Final High Purity Silicon</t>
  </si>
  <si>
    <t>Final Metallurgical Grade Silicon</t>
  </si>
  <si>
    <t>Final Electrical Grade Silicon</t>
  </si>
  <si>
    <t xml:space="preserve">Sand </t>
  </si>
  <si>
    <t>Share of metallurgical grade Si</t>
  </si>
  <si>
    <t>Share of high purity silicon</t>
  </si>
  <si>
    <t>Share of polycrystaline Si for PV application</t>
  </si>
  <si>
    <t>Share of moncrystaline Si for PV application</t>
  </si>
  <si>
    <t>Share of monocrystaline Si for electrical application</t>
  </si>
  <si>
    <t>Summary of Material Production</t>
  </si>
  <si>
    <r>
      <t xml:space="preserve">1) Key Input Parameters (from the </t>
    </r>
    <r>
      <rPr>
        <b/>
        <i/>
        <sz val="11"/>
        <rFont val="Arial"/>
        <family val="2"/>
      </rPr>
      <t>Mat_Inputs</t>
    </r>
    <r>
      <rPr>
        <b/>
        <sz val="11"/>
        <rFont val="Arial"/>
        <family val="2"/>
      </rPr>
      <t xml:space="preserve"> sheet): Share of Virgin and Recycled Materials Used in Vehicle</t>
    </r>
  </si>
  <si>
    <t>Virgin Material Product</t>
  </si>
  <si>
    <t>Recycled Material Product</t>
  </si>
  <si>
    <t>2) Summary of Energy Consumption and Emissions of Material Products</t>
  </si>
  <si>
    <t>Virgin Steel</t>
  </si>
  <si>
    <t>Average Steel</t>
  </si>
  <si>
    <t>Virgin Wrought Aluminum</t>
  </si>
  <si>
    <t>Recycled Wrought Aluminum</t>
  </si>
  <si>
    <t>Average Wrought Aluminum</t>
  </si>
  <si>
    <t>Average Cast Aluminum</t>
  </si>
  <si>
    <t>Average Lead</t>
  </si>
  <si>
    <t>Virgin Nickel</t>
  </si>
  <si>
    <t>Average Nickel</t>
  </si>
  <si>
    <t>Virgin Nickel Hydroxide</t>
  </si>
  <si>
    <t>Average Nickel Hydroxide</t>
  </si>
  <si>
    <t>Refined Nickel</t>
  </si>
  <si>
    <t>Virgin Cobalt Oxide</t>
  </si>
  <si>
    <t>Virgin Cobalt Chloride</t>
  </si>
  <si>
    <t>Virgin Cobalt Metal</t>
  </si>
  <si>
    <t>Average Magnesium</t>
  </si>
  <si>
    <t>Fiber Glass</t>
  </si>
  <si>
    <t>High-Density Polyethylene</t>
  </si>
  <si>
    <t>Polyethylene Terephthalate</t>
  </si>
  <si>
    <t>Polypropylene</t>
  </si>
  <si>
    <t>Glass Fiber Composite Plastic</t>
  </si>
  <si>
    <t>Carbon Fiber Composite Plastic for General Use</t>
  </si>
  <si>
    <t>Carbon Fiber Composite Plastic for High Pressure Vessels</t>
  </si>
  <si>
    <t>Thermal Insulation</t>
  </si>
  <si>
    <r>
      <t>LiMn</t>
    </r>
    <r>
      <rPr>
        <b/>
        <vertAlign val="subscript"/>
        <sz val="10"/>
        <rFont val="Arial"/>
        <family val="2"/>
      </rPr>
      <t>2</t>
    </r>
    <r>
      <rPr>
        <b/>
        <sz val="10"/>
        <rFont val="Arial"/>
        <family val="2"/>
      </rPr>
      <t>O</t>
    </r>
    <r>
      <rPr>
        <b/>
        <vertAlign val="subscript"/>
        <sz val="10"/>
        <rFont val="Arial"/>
        <family val="2"/>
      </rPr>
      <t>4</t>
    </r>
    <r>
      <rPr>
        <b/>
        <sz val="8"/>
        <rFont val="Arial"/>
        <family val="2"/>
      </rPr>
      <t/>
    </r>
  </si>
  <si>
    <t>NMC(442): Coprecipitation</t>
  </si>
  <si>
    <t>NMC(111): Coprecipitation</t>
  </si>
  <si>
    <t>NMC(532): Coprecipitation</t>
  </si>
  <si>
    <t>NMC(622): Coprecipitation</t>
  </si>
  <si>
    <t>NMC(811): Coprecipitation</t>
  </si>
  <si>
    <t>Recycled NMC(111): Coprecipitation</t>
  </si>
  <si>
    <t>LMR-NMC:Solid State</t>
  </si>
  <si>
    <t>LFP: Hydrothermal</t>
  </si>
  <si>
    <t>LFP: Solid State</t>
  </si>
  <si>
    <t>LCO: Hydrothermal</t>
  </si>
  <si>
    <t>LCO: Solid State</t>
  </si>
  <si>
    <t>NMP</t>
  </si>
  <si>
    <t>Graphite</t>
  </si>
  <si>
    <t>PVDF</t>
  </si>
  <si>
    <r>
      <t>LiPF</t>
    </r>
    <r>
      <rPr>
        <vertAlign val="subscript"/>
        <sz val="10"/>
        <rFont val="Arial"/>
        <family val="2"/>
      </rPr>
      <t>6</t>
    </r>
  </si>
  <si>
    <t>Ethylene Carbonate</t>
  </si>
  <si>
    <t>Dimethyl Carbonate</t>
  </si>
  <si>
    <t>BMS</t>
  </si>
  <si>
    <t>Coolant</t>
  </si>
  <si>
    <t>Silicon as anode material</t>
  </si>
  <si>
    <t>Energy Use: mmBtu per lb of material product</t>
  </si>
  <si>
    <t>Fluids</t>
  </si>
  <si>
    <r>
      <t xml:space="preserve">1) Key Input Parameters (from the </t>
    </r>
    <r>
      <rPr>
        <b/>
        <i/>
        <sz val="11"/>
        <rFont val="Arial"/>
        <family val="2"/>
      </rPr>
      <t xml:space="preserve">Vehi_Inputs </t>
    </r>
    <r>
      <rPr>
        <b/>
        <sz val="11"/>
        <rFont val="Arial"/>
        <family val="2"/>
      </rPr>
      <t>and</t>
    </r>
    <r>
      <rPr>
        <b/>
        <i/>
        <sz val="11"/>
        <rFont val="Arial"/>
        <family val="2"/>
      </rPr>
      <t xml:space="preserve"> Mat_Inputs</t>
    </r>
    <r>
      <rPr>
        <b/>
        <sz val="11"/>
        <rFont val="Arial"/>
        <family val="2"/>
      </rPr>
      <t xml:space="preserve"> sheets)</t>
    </r>
  </si>
  <si>
    <t>Weight: lb of fluids per vehicle</t>
  </si>
  <si>
    <t xml:space="preserve">    ICEVs (Conventional Materials)</t>
  </si>
  <si>
    <t xml:space="preserve">    ICEVs (Lightweighting Materials)</t>
  </si>
  <si>
    <t xml:space="preserve">    HEVs</t>
  </si>
  <si>
    <t xml:space="preserve">    PHEVs</t>
  </si>
  <si>
    <t xml:space="preserve">    EVs</t>
  </si>
  <si>
    <t xml:space="preserve">    FCVs</t>
  </si>
  <si>
    <t>Numbers of Replacement per Life</t>
  </si>
  <si>
    <t>Ratio of Waste to Product</t>
  </si>
  <si>
    <t>Methanol</t>
  </si>
  <si>
    <t>Production</t>
  </si>
  <si>
    <t>Waste Disposal</t>
  </si>
  <si>
    <t>Windshield Fluid Use</t>
  </si>
  <si>
    <t>4) Summary of Energy Consumption and Emissions Related to Fluids</t>
  </si>
  <si>
    <t>Disposal</t>
  </si>
  <si>
    <t>Use</t>
  </si>
  <si>
    <t>5) Per-vehicle Lifetime Energy Consumption and Emissions of Fluids</t>
  </si>
  <si>
    <t>ICEVs (CM)</t>
  </si>
  <si>
    <t>ICEVs (LW)</t>
  </si>
  <si>
    <t>HEVs</t>
  </si>
  <si>
    <t>PHEVs</t>
  </si>
  <si>
    <t>EVs</t>
  </si>
  <si>
    <t>FCVs</t>
  </si>
  <si>
    <t>Energy Use: mmBtu per vehicle</t>
  </si>
  <si>
    <t>Battery Assembly: Lead-Acid battery, Ni-MH battery, and Li-Ion battery</t>
  </si>
  <si>
    <t>1.1) Shares of Combustion Processes for Each stage</t>
  </si>
  <si>
    <t>1.2) Battery Assembly Location Shares</t>
  </si>
  <si>
    <t>Korea</t>
  </si>
  <si>
    <t>Europe</t>
  </si>
  <si>
    <t>Battery Assembly: Lead-Acid</t>
  </si>
  <si>
    <t>Battery Assembly: Nickel Metal Hydride</t>
  </si>
  <si>
    <t>Battery Assembly: Lithium Ion per kWh</t>
  </si>
  <si>
    <t>Energy use: mmBtu per ton of product, except as noted</t>
  </si>
  <si>
    <t>per kWh</t>
  </si>
  <si>
    <t>Total Emissions: grams per ton of product, except as noted</t>
  </si>
  <si>
    <t>Urban Emissions: grams per ton of product, except as noted</t>
  </si>
  <si>
    <t>3) Summary of Energy Consumption and Emissions Related to Battery Assembly</t>
  </si>
  <si>
    <t>Battery Assembly: Lithium Ion</t>
  </si>
  <si>
    <t>Vehicle Assembly, Disposal, and Recycling</t>
  </si>
  <si>
    <t>1.1) Share of Virgin and Recycled Materials Used in Vehicle, % by wt (from the Mat_Inputs sheet)</t>
  </si>
  <si>
    <t>1.2) Shares of Steel Types in a Vehicle for Average Virgin Stamped Steel Calculation, % by wt</t>
  </si>
  <si>
    <t>1.3 Shares of Iron Types in a Vehicle for Average Iron Calculation, % by wt</t>
  </si>
  <si>
    <t>1.4) Shares of Wrought Aluminum Types in a Vehicle for Average Virgin Wrought Aluminum Calculation, % by wt</t>
  </si>
  <si>
    <t>1.5) Composition of Fiber Glass, % by wt</t>
  </si>
  <si>
    <t>1.6) Shares of Individual Plastic in a Vehicle for Average Plastic Calculation, % by wt</t>
  </si>
  <si>
    <t>1.7) Material Transformation Percentage by Plastic Type, % by wt</t>
  </si>
  <si>
    <t>1.9) Material Transformation Percentage for Average Rubber Calculation, % by wt</t>
  </si>
  <si>
    <t>Energy use: mmBtu per vehicle</t>
  </si>
  <si>
    <t>4) Summary of Energy Consumption and Emissions Related to Vehicle Assembly, Disposal and Recycling</t>
  </si>
  <si>
    <t>Total ADR</t>
  </si>
  <si>
    <t>Total Emissions: grams per vehicle</t>
  </si>
  <si>
    <t>Urban Emissions: grams per vehicle</t>
  </si>
  <si>
    <t>5) Summary of Energy Consumption and Emissions Related to Material Transformation (Only used to examine Part Manufacturing and Vehicle Assembly (VMA))</t>
  </si>
  <si>
    <t>5.1) Energy Use and Emissions Related to Material Transformation Processes</t>
  </si>
  <si>
    <t>Virgin Hot Rolled Stamped Steel</t>
  </si>
  <si>
    <t>Virgin Cold Rolled Stamped Steel</t>
  </si>
  <si>
    <t>Virgin Galvanized Stamped Steel</t>
  </si>
  <si>
    <t>Recycled Steel Rod and Bar</t>
  </si>
  <si>
    <t>Stainless Steel Rod and Bar</t>
  </si>
  <si>
    <t>Virgin Wrought Hot Rolled Stamped Aluminum</t>
  </si>
  <si>
    <t>Virgin Wrought Cold Rolled Stamped Aluminum</t>
  </si>
  <si>
    <t>Virgin Wrought Extruded Aluminum</t>
  </si>
  <si>
    <t>Recycled Wrought Cold Rolled Stamped Aluminum</t>
  </si>
  <si>
    <t>Recycled Wrought Hot Rolled Stamped Aluminum</t>
  </si>
  <si>
    <t>Recycled Wrought Extruded Aluminum</t>
  </si>
  <si>
    <t>Copper Wire</t>
  </si>
  <si>
    <t>Glass Production</t>
  </si>
  <si>
    <t>GFRP Fabrication</t>
  </si>
  <si>
    <t>Plastic Blow Molding (HPDE)</t>
  </si>
  <si>
    <t>Plastic Calendaring (PVC)</t>
  </si>
  <si>
    <t>Plastic Compression Molding</t>
  </si>
  <si>
    <t>Plastic Extrusion (HDPE)</t>
  </si>
  <si>
    <t>Plastic Extrusion (PVC)</t>
  </si>
  <si>
    <t>Plastic Extrusion (PP)</t>
  </si>
  <si>
    <t>Plastic Injection Molding (HDPE)</t>
  </si>
  <si>
    <t>Plastic Injection Molding (PVC)</t>
  </si>
  <si>
    <t>Plastic Injection Molding (PP)</t>
  </si>
  <si>
    <t>Rubber Compression Molding</t>
  </si>
  <si>
    <t>Rubber Injection Molding (PVC)</t>
  </si>
  <si>
    <t>Energy Use: mmBtu per ton of material product transformed</t>
  </si>
  <si>
    <t>5.2) Energy Use and Emissions Related to Material Transformation for Vehicle Materials: per-vehicle lifetime</t>
  </si>
  <si>
    <t>Energy use: mmBtu per vehicle lifetime</t>
  </si>
  <si>
    <t>6) Summary of Energy Consumption and Emissions Related to Part Manufacturing and Vehicle Assembly (VMA): per-vehicle lifetime</t>
  </si>
  <si>
    <t>Summary of Energy Consumption and Emissions for Battery</t>
  </si>
  <si>
    <r>
      <t xml:space="preserve">1) Key Input Parameters (from the </t>
    </r>
    <r>
      <rPr>
        <b/>
        <i/>
        <sz val="11"/>
        <rFont val="Arial"/>
        <family val="2"/>
      </rPr>
      <t xml:space="preserve">Vehi_Inputs </t>
    </r>
    <r>
      <rPr>
        <b/>
        <sz val="11"/>
        <rFont val="Arial"/>
        <family val="2"/>
      </rPr>
      <t>and</t>
    </r>
    <r>
      <rPr>
        <b/>
        <i/>
        <sz val="11"/>
        <rFont val="Arial"/>
        <family val="2"/>
      </rPr>
      <t xml:space="preserve"> Mat_Inputs</t>
    </r>
    <r>
      <rPr>
        <b/>
        <sz val="11"/>
        <rFont val="Arial"/>
        <family val="2"/>
      </rPr>
      <t xml:space="preserve"> sheet)</t>
    </r>
  </si>
  <si>
    <t>Battery Type for Hybrid Electric Vehicle, Plug-in Hybrid Electric Vehicle, Electric Vehicle and Fuel Cell Vehicle Simulation</t>
  </si>
  <si>
    <t xml:space="preserve">   1 -- Ni-MH</t>
  </si>
  <si>
    <t xml:space="preserve">   2 -- Li Ion</t>
  </si>
  <si>
    <t>Peak Battery Power Output  (High Power Applications), kilowatts</t>
  </si>
  <si>
    <t>Peak Battery Energy Output (High Energy Applications), kilowatt-hours</t>
  </si>
  <si>
    <t>Battery Replacements During Lifetime of Vehicle</t>
  </si>
  <si>
    <t>Battery Specific Power: W/kg</t>
  </si>
  <si>
    <t>Battery Specific Energy: Wh/kg</t>
  </si>
  <si>
    <t>Battery Weight: lb per Vehicle</t>
  </si>
  <si>
    <t>Battery Material Composition, % by wt</t>
  </si>
  <si>
    <t xml:space="preserve">    Plastic (polypropylene)</t>
  </si>
  <si>
    <r>
      <t xml:space="preserve">    Electrolyte: LiPF</t>
    </r>
    <r>
      <rPr>
        <vertAlign val="subscript"/>
        <sz val="10"/>
        <rFont val="Arial"/>
        <family val="2"/>
      </rPr>
      <t>6</t>
    </r>
  </si>
  <si>
    <t>2) Calculations of Energy Consumption and Emissions for Each Battery Type: per-vehicle lifetime</t>
  </si>
  <si>
    <t>2.1) Lead-Acid Battery</t>
  </si>
  <si>
    <t>Weight by Materials: lb per battery</t>
  </si>
  <si>
    <t>Total Emissions: grams per vehicle lifetime</t>
  </si>
  <si>
    <t>Urban Emissions: grams per vehicle lifetime</t>
  </si>
  <si>
    <t>2.2) Ni-MH Battery</t>
  </si>
  <si>
    <t>2.3) Li-Ion Battery</t>
  </si>
  <si>
    <t>3) Summary of Energy Consumption and Emissions for Battery: per-vehicle lifetime</t>
  </si>
  <si>
    <t>Battery Materials Production</t>
  </si>
  <si>
    <t>1) Key Input Assumptions</t>
  </si>
  <si>
    <t>1.1) Upstream Material Use: ton per ton of product</t>
  </si>
  <si>
    <r>
      <t>LiPF</t>
    </r>
    <r>
      <rPr>
        <b/>
        <vertAlign val="subscript"/>
        <sz val="10"/>
        <rFont val="Arial"/>
        <family val="2"/>
      </rPr>
      <t>3</t>
    </r>
    <r>
      <rPr>
        <b/>
        <sz val="10"/>
        <rFont val="Arial"/>
        <family val="2"/>
      </rPr>
      <t xml:space="preserve"> (ton/ton LiPF</t>
    </r>
    <r>
      <rPr>
        <b/>
        <vertAlign val="subscript"/>
        <sz val="10"/>
        <rFont val="Arial"/>
        <family val="2"/>
      </rPr>
      <t>3</t>
    </r>
    <r>
      <rPr>
        <b/>
        <sz val="10"/>
        <rFont val="Arial"/>
        <family val="2"/>
      </rPr>
      <t>)</t>
    </r>
  </si>
  <si>
    <t>Ethylene Oxide (ton/ton Ethylene Oxide)</t>
  </si>
  <si>
    <t>Ethylene Carbonate (ton/ton Ethylene Carbonate)</t>
  </si>
  <si>
    <t>Dimethyl Carbonate (ton/ton Dimethyl Carbonate)</t>
  </si>
  <si>
    <t>N-Methyl-2-pyrrolidone (NMP)</t>
  </si>
  <si>
    <t>GBL</t>
  </si>
  <si>
    <t>Methyl amine</t>
  </si>
  <si>
    <r>
      <t xml:space="preserve">     Sulfuric acid (H</t>
    </r>
    <r>
      <rPr>
        <vertAlign val="subscript"/>
        <sz val="10"/>
        <rFont val="Arial"/>
        <family val="2"/>
      </rPr>
      <t>2</t>
    </r>
    <r>
      <rPr>
        <sz val="10"/>
        <rFont val="Arial"/>
        <family val="2"/>
      </rPr>
      <t>SO</t>
    </r>
    <r>
      <rPr>
        <vertAlign val="subscript"/>
        <sz val="10"/>
        <rFont val="Arial"/>
        <family val="2"/>
      </rPr>
      <t>4</t>
    </r>
    <r>
      <rPr>
        <sz val="10"/>
        <rFont val="Arial"/>
        <family val="2"/>
      </rPr>
      <t>)</t>
    </r>
  </si>
  <si>
    <t xml:space="preserve">     Ethylene</t>
  </si>
  <si>
    <t xml:space="preserve">     Ethylene Oxide</t>
  </si>
  <si>
    <t>Gamma Butyrolactone (GBL)</t>
  </si>
  <si>
    <t>Methylamine</t>
  </si>
  <si>
    <t>1,4-Butanediol</t>
  </si>
  <si>
    <t>1.2) BMS Production Location Shares</t>
  </si>
  <si>
    <t>Ethylene</t>
  </si>
  <si>
    <t>Ethylene Oxide</t>
  </si>
  <si>
    <t>Battery Management System</t>
  </si>
  <si>
    <t xml:space="preserve">Methylamine </t>
  </si>
  <si>
    <t>Resi. Oil Conversion</t>
  </si>
  <si>
    <t>Diesel off-road vehicle</t>
  </si>
  <si>
    <t>Diesel industrial boiler</t>
  </si>
  <si>
    <t>Gasoline stationary recip engine</t>
  </si>
  <si>
    <t>LPG industrial boiler</t>
  </si>
  <si>
    <t>NG utility boiler</t>
  </si>
  <si>
    <t>NG stationary recip engine</t>
  </si>
  <si>
    <t>NG Conversion</t>
  </si>
  <si>
    <t>NG Kiln</t>
  </si>
  <si>
    <t>NG Dryer</t>
  </si>
  <si>
    <t>Coal Kiln</t>
  </si>
  <si>
    <t>LiPF6</t>
  </si>
  <si>
    <t>N-Methyl-2-pyrrolidone</t>
  </si>
  <si>
    <t>Energy inputs: mmBtu per ton</t>
  </si>
  <si>
    <t>4) Summary of Energy Consumption and Emissions Related to Li2CO3 Production</t>
  </si>
  <si>
    <t>Anode Materials Production</t>
  </si>
  <si>
    <t xml:space="preserve">1.1) Chlorine co-produced during metallic lithium production: </t>
  </si>
  <si>
    <t>ton/ton of metallic lithium</t>
  </si>
  <si>
    <t>Carbonization</t>
  </si>
  <si>
    <t>Graphitization</t>
  </si>
  <si>
    <t>Heating &amp; melting eutectic</t>
  </si>
  <si>
    <t>Electrolysis</t>
  </si>
  <si>
    <t>Synthetic graphite</t>
  </si>
  <si>
    <t>Metallic lithium</t>
  </si>
  <si>
    <t>Pet coke (ton per ton of product)</t>
  </si>
  <si>
    <t>Coal tar pitch (ton per ton of product)</t>
  </si>
  <si>
    <t>Lithium chloride (ton per ton of product)</t>
  </si>
  <si>
    <t>Potassium chloride (ton per ton of product)</t>
  </si>
  <si>
    <t>LiMn2O4 Production</t>
  </si>
  <si>
    <r>
      <t>1.1) Share of LiMn</t>
    </r>
    <r>
      <rPr>
        <b/>
        <vertAlign val="subscript"/>
        <sz val="10"/>
        <rFont val="Arial"/>
        <family val="2"/>
      </rPr>
      <t>2</t>
    </r>
    <r>
      <rPr>
        <b/>
        <sz val="10"/>
        <rFont val="Arial"/>
        <family val="2"/>
      </rPr>
      <t>O</t>
    </r>
    <r>
      <rPr>
        <b/>
        <vertAlign val="subscript"/>
        <sz val="10"/>
        <rFont val="Arial"/>
        <family val="2"/>
      </rPr>
      <t>4</t>
    </r>
    <r>
      <rPr>
        <b/>
        <sz val="10"/>
        <rFont val="Arial"/>
        <family val="2"/>
      </rPr>
      <t xml:space="preserve"> Sources</t>
    </r>
  </si>
  <si>
    <r>
      <t>Virgin Li</t>
    </r>
    <r>
      <rPr>
        <vertAlign val="subscript"/>
        <sz val="10"/>
        <rFont val="Arial"/>
        <family val="2"/>
      </rPr>
      <t>2</t>
    </r>
    <r>
      <rPr>
        <sz val="10"/>
        <rFont val="Arial"/>
        <family val="2"/>
      </rPr>
      <t>CO</t>
    </r>
    <r>
      <rPr>
        <vertAlign val="subscript"/>
        <sz val="10"/>
        <rFont val="Arial"/>
        <family val="2"/>
      </rPr>
      <t>3</t>
    </r>
  </si>
  <si>
    <t>From Chile</t>
  </si>
  <si>
    <t>From U.S.</t>
  </si>
  <si>
    <t>From ore</t>
  </si>
  <si>
    <t>Share of LiMn2O4 Sources</t>
  </si>
  <si>
    <r>
      <t>1.2) NMP required during LiMn</t>
    </r>
    <r>
      <rPr>
        <b/>
        <vertAlign val="subscript"/>
        <sz val="10"/>
        <rFont val="Arial"/>
        <family val="2"/>
      </rPr>
      <t>2</t>
    </r>
    <r>
      <rPr>
        <b/>
        <sz val="10"/>
        <rFont val="Arial"/>
        <family val="2"/>
      </rPr>
      <t>O</t>
    </r>
    <r>
      <rPr>
        <b/>
        <vertAlign val="subscript"/>
        <sz val="10"/>
        <rFont val="Arial"/>
        <family val="2"/>
      </rPr>
      <t>4</t>
    </r>
    <r>
      <rPr>
        <b/>
        <sz val="10"/>
        <rFont val="Arial"/>
        <family val="2"/>
      </rPr>
      <t xml:space="preserve"> battery manufacturing process</t>
    </r>
  </si>
  <si>
    <r>
      <t>ton NMP/ton LiMn</t>
    </r>
    <r>
      <rPr>
        <vertAlign val="subscript"/>
        <sz val="10"/>
        <rFont val="Arial"/>
        <family val="2"/>
      </rPr>
      <t>2</t>
    </r>
    <r>
      <rPr>
        <sz val="10"/>
        <rFont val="Arial"/>
        <family val="2"/>
      </rPr>
      <t>O</t>
    </r>
    <r>
      <rPr>
        <vertAlign val="subscript"/>
        <sz val="10"/>
        <rFont val="Arial"/>
        <family val="2"/>
      </rPr>
      <t>4</t>
    </r>
  </si>
  <si>
    <t>1.3) Upstream Material Use: ton per ton of product</t>
  </si>
  <si>
    <r>
      <t>Virgin LiMn</t>
    </r>
    <r>
      <rPr>
        <b/>
        <vertAlign val="subscript"/>
        <sz val="10"/>
        <rFont val="Arial"/>
        <family val="2"/>
      </rPr>
      <t>2</t>
    </r>
    <r>
      <rPr>
        <b/>
        <sz val="10"/>
        <rFont val="Arial"/>
        <family val="2"/>
      </rPr>
      <t>O</t>
    </r>
    <r>
      <rPr>
        <b/>
        <vertAlign val="subscript"/>
        <sz val="10"/>
        <rFont val="Arial"/>
        <family val="2"/>
      </rPr>
      <t>4</t>
    </r>
    <r>
      <rPr>
        <b/>
        <sz val="10"/>
        <rFont val="Arial"/>
        <family val="2"/>
      </rPr>
      <t xml:space="preserve"> Production (ton/ton LiMn</t>
    </r>
    <r>
      <rPr>
        <b/>
        <vertAlign val="subscript"/>
        <sz val="10"/>
        <rFont val="Arial"/>
        <family val="2"/>
      </rPr>
      <t>2</t>
    </r>
    <r>
      <rPr>
        <b/>
        <sz val="10"/>
        <rFont val="Arial"/>
        <family val="2"/>
      </rPr>
      <t>O</t>
    </r>
    <r>
      <rPr>
        <b/>
        <vertAlign val="subscript"/>
        <sz val="10"/>
        <rFont val="Arial"/>
        <family val="2"/>
      </rPr>
      <t>4</t>
    </r>
    <r>
      <rPr>
        <b/>
        <sz val="10"/>
        <rFont val="Arial"/>
        <family val="2"/>
      </rPr>
      <t>)</t>
    </r>
  </si>
  <si>
    <t>Mn2O3 Production</t>
  </si>
  <si>
    <t xml:space="preserve">     Manganese in manganese ore</t>
  </si>
  <si>
    <r>
      <t xml:space="preserve">     Li</t>
    </r>
    <r>
      <rPr>
        <vertAlign val="subscript"/>
        <sz val="10"/>
        <rFont val="Arial"/>
        <family val="2"/>
      </rPr>
      <t>2</t>
    </r>
    <r>
      <rPr>
        <sz val="10"/>
        <rFont val="Arial"/>
        <family val="2"/>
      </rPr>
      <t>CO</t>
    </r>
    <r>
      <rPr>
        <vertAlign val="subscript"/>
        <sz val="10"/>
        <rFont val="Arial"/>
        <family val="2"/>
      </rPr>
      <t>3</t>
    </r>
  </si>
  <si>
    <r>
      <t xml:space="preserve">     Mn</t>
    </r>
    <r>
      <rPr>
        <vertAlign val="subscript"/>
        <sz val="10"/>
        <rFont val="Arial"/>
        <family val="2"/>
      </rPr>
      <t>2</t>
    </r>
    <r>
      <rPr>
        <sz val="10"/>
        <rFont val="Arial"/>
        <family val="2"/>
      </rPr>
      <t>O</t>
    </r>
    <r>
      <rPr>
        <vertAlign val="subscript"/>
        <sz val="10"/>
        <rFont val="Arial"/>
        <family val="2"/>
      </rPr>
      <t>3</t>
    </r>
  </si>
  <si>
    <t>NG Calciner</t>
  </si>
  <si>
    <r>
      <t>Mn</t>
    </r>
    <r>
      <rPr>
        <b/>
        <vertAlign val="subscript"/>
        <sz val="10"/>
        <rFont val="Arial"/>
        <family val="2"/>
      </rPr>
      <t>2</t>
    </r>
    <r>
      <rPr>
        <b/>
        <sz val="10"/>
        <rFont val="Arial"/>
        <family val="2"/>
      </rPr>
      <t>O</t>
    </r>
    <r>
      <rPr>
        <b/>
        <vertAlign val="subscript"/>
        <sz val="10"/>
        <rFont val="Arial"/>
        <family val="2"/>
      </rPr>
      <t xml:space="preserve">3 </t>
    </r>
    <r>
      <rPr>
        <b/>
        <sz val="10"/>
        <rFont val="Arial"/>
        <family val="2"/>
      </rPr>
      <t>Production</t>
    </r>
  </si>
  <si>
    <r>
      <t>LiMn</t>
    </r>
    <r>
      <rPr>
        <b/>
        <vertAlign val="subscript"/>
        <sz val="10"/>
        <rFont val="Arial"/>
        <family val="2"/>
      </rPr>
      <t>2</t>
    </r>
    <r>
      <rPr>
        <b/>
        <sz val="10"/>
        <rFont val="Arial"/>
        <family val="2"/>
      </rPr>
      <t>O</t>
    </r>
    <r>
      <rPr>
        <b/>
        <vertAlign val="subscript"/>
        <sz val="10"/>
        <rFont val="Arial"/>
        <family val="2"/>
      </rPr>
      <t>4</t>
    </r>
    <r>
      <rPr>
        <b/>
        <sz val="10"/>
        <rFont val="Arial"/>
        <family val="2"/>
      </rPr>
      <t xml:space="preserve"> Production</t>
    </r>
  </si>
  <si>
    <t>4) Summary of Energy Consumption and Emissions Related to LiMn2O4 Production</t>
  </si>
  <si>
    <r>
      <t>LiMn</t>
    </r>
    <r>
      <rPr>
        <b/>
        <vertAlign val="subscript"/>
        <sz val="10"/>
        <rFont val="Arial"/>
        <family val="2"/>
      </rPr>
      <t>2</t>
    </r>
    <r>
      <rPr>
        <b/>
        <sz val="10"/>
        <rFont val="Arial"/>
        <family val="2"/>
      </rPr>
      <t>O</t>
    </r>
    <r>
      <rPr>
        <b/>
        <vertAlign val="subscript"/>
        <sz val="10"/>
        <rFont val="Arial"/>
        <family val="2"/>
      </rPr>
      <t>4</t>
    </r>
    <r>
      <rPr>
        <b/>
        <sz val="10"/>
        <rFont val="Arial"/>
        <family val="2"/>
      </rPr>
      <t xml:space="preserve"> with Virgin Li</t>
    </r>
    <r>
      <rPr>
        <b/>
        <vertAlign val="subscript"/>
        <sz val="10"/>
        <rFont val="Arial"/>
        <family val="2"/>
      </rPr>
      <t>2</t>
    </r>
    <r>
      <rPr>
        <b/>
        <sz val="10"/>
        <rFont val="Arial"/>
        <family val="2"/>
      </rPr>
      <t>CO</t>
    </r>
    <r>
      <rPr>
        <b/>
        <vertAlign val="subscript"/>
        <sz val="10"/>
        <rFont val="Arial"/>
        <family val="2"/>
      </rPr>
      <t>3</t>
    </r>
  </si>
  <si>
    <r>
      <t>Li</t>
    </r>
    <r>
      <rPr>
        <b/>
        <vertAlign val="subscript"/>
        <sz val="10"/>
        <rFont val="Arial"/>
        <family val="2"/>
      </rPr>
      <t>2</t>
    </r>
    <r>
      <rPr>
        <b/>
        <sz val="10"/>
        <rFont val="Arial"/>
        <family val="2"/>
      </rPr>
      <t>CO3 Production from Ore</t>
    </r>
  </si>
  <si>
    <t>Hydrogen Peroxide</t>
  </si>
  <si>
    <r>
      <t>Combined LiMn</t>
    </r>
    <r>
      <rPr>
        <b/>
        <vertAlign val="subscript"/>
        <sz val="10"/>
        <rFont val="Arial"/>
        <family val="2"/>
      </rPr>
      <t>2</t>
    </r>
    <r>
      <rPr>
        <b/>
        <sz val="10"/>
        <rFont val="Arial"/>
        <family val="2"/>
      </rPr>
      <t>O</t>
    </r>
    <r>
      <rPr>
        <b/>
        <vertAlign val="subscript"/>
        <sz val="10"/>
        <rFont val="Arial"/>
        <family val="2"/>
      </rPr>
      <t>4</t>
    </r>
  </si>
  <si>
    <r>
      <t>Li</t>
    </r>
    <r>
      <rPr>
        <b/>
        <vertAlign val="subscript"/>
        <sz val="10"/>
        <rFont val="Arial"/>
        <family val="2"/>
      </rPr>
      <t>2</t>
    </r>
    <r>
      <rPr>
        <b/>
        <sz val="10"/>
        <rFont val="Arial"/>
        <family val="2"/>
      </rPr>
      <t>CO3 Production in Chile</t>
    </r>
  </si>
  <si>
    <r>
      <t>Li</t>
    </r>
    <r>
      <rPr>
        <b/>
        <vertAlign val="subscript"/>
        <sz val="10"/>
        <rFont val="Arial"/>
        <family val="2"/>
      </rPr>
      <t>2</t>
    </r>
    <r>
      <rPr>
        <b/>
        <sz val="10"/>
        <rFont val="Arial"/>
        <family val="2"/>
      </rPr>
      <t>CO3 Production in U.S.</t>
    </r>
  </si>
  <si>
    <r>
      <t>LiMn</t>
    </r>
    <r>
      <rPr>
        <b/>
        <vertAlign val="subscript"/>
        <sz val="10"/>
        <rFont val="Arial"/>
        <family val="2"/>
      </rPr>
      <t>2</t>
    </r>
    <r>
      <rPr>
        <b/>
        <sz val="10"/>
        <rFont val="Arial"/>
        <family val="2"/>
      </rPr>
      <t>O</t>
    </r>
    <r>
      <rPr>
        <b/>
        <vertAlign val="subscript"/>
        <sz val="10"/>
        <rFont val="Arial"/>
        <family val="2"/>
      </rPr>
      <t>4</t>
    </r>
    <r>
      <rPr>
        <b/>
        <sz val="10"/>
        <rFont val="Arial"/>
        <family val="2"/>
      </rPr>
      <t xml:space="preserve"> Production with Virgin Li</t>
    </r>
    <r>
      <rPr>
        <b/>
        <vertAlign val="subscript"/>
        <sz val="10"/>
        <rFont val="Arial"/>
        <family val="2"/>
      </rPr>
      <t>2</t>
    </r>
    <r>
      <rPr>
        <b/>
        <sz val="10"/>
        <rFont val="Arial"/>
        <family val="2"/>
      </rPr>
      <t>CO</t>
    </r>
    <r>
      <rPr>
        <b/>
        <vertAlign val="subscript"/>
        <sz val="10"/>
        <rFont val="Arial"/>
        <family val="2"/>
      </rPr>
      <t>3</t>
    </r>
  </si>
  <si>
    <r>
      <t>Li</t>
    </r>
    <r>
      <rPr>
        <b/>
        <vertAlign val="subscript"/>
        <sz val="10"/>
        <rFont val="Arial"/>
        <family val="2"/>
      </rPr>
      <t>2</t>
    </r>
    <r>
      <rPr>
        <b/>
        <sz val="10"/>
        <rFont val="Arial"/>
        <family val="2"/>
      </rPr>
      <t>CO</t>
    </r>
    <r>
      <rPr>
        <b/>
        <vertAlign val="subscript"/>
        <sz val="10"/>
        <rFont val="Arial"/>
        <family val="2"/>
      </rPr>
      <t>3</t>
    </r>
  </si>
  <si>
    <t>Soda Ash</t>
  </si>
  <si>
    <r>
      <t>Mn</t>
    </r>
    <r>
      <rPr>
        <b/>
        <vertAlign val="subscript"/>
        <sz val="10"/>
        <rFont val="Arial"/>
        <family val="2"/>
      </rPr>
      <t>2</t>
    </r>
    <r>
      <rPr>
        <b/>
        <sz val="10"/>
        <rFont val="Arial"/>
        <family val="2"/>
      </rPr>
      <t>O</t>
    </r>
    <r>
      <rPr>
        <b/>
        <vertAlign val="subscript"/>
        <sz val="10"/>
        <rFont val="Arial"/>
        <family val="2"/>
      </rPr>
      <t>3</t>
    </r>
  </si>
  <si>
    <r>
      <t>LiMn</t>
    </r>
    <r>
      <rPr>
        <b/>
        <vertAlign val="subscript"/>
        <sz val="10"/>
        <rFont val="Arial"/>
        <family val="2"/>
      </rPr>
      <t>2</t>
    </r>
    <r>
      <rPr>
        <b/>
        <sz val="10"/>
        <rFont val="Arial"/>
        <family val="2"/>
      </rPr>
      <t>O</t>
    </r>
    <r>
      <rPr>
        <b/>
        <vertAlign val="subscript"/>
        <sz val="10"/>
        <rFont val="Arial"/>
        <family val="2"/>
      </rPr>
      <t>4</t>
    </r>
    <r>
      <rPr>
        <b/>
        <sz val="10"/>
        <rFont val="Arial"/>
        <family val="2"/>
      </rPr>
      <t xml:space="preserve"> with Virgin  Li</t>
    </r>
    <r>
      <rPr>
        <b/>
        <vertAlign val="subscript"/>
        <sz val="10"/>
        <rFont val="Arial"/>
        <family val="2"/>
      </rPr>
      <t>2</t>
    </r>
    <r>
      <rPr>
        <b/>
        <sz val="10"/>
        <rFont val="Arial"/>
        <family val="2"/>
      </rPr>
      <t>CO</t>
    </r>
    <r>
      <rPr>
        <b/>
        <vertAlign val="subscript"/>
        <sz val="10"/>
        <rFont val="Arial"/>
        <family val="2"/>
      </rPr>
      <t>3</t>
    </r>
    <r>
      <rPr>
        <b/>
        <sz val="10"/>
        <rFont val="Arial"/>
        <family val="2"/>
      </rPr>
      <t xml:space="preserve"> from Chile</t>
    </r>
  </si>
  <si>
    <r>
      <t>LiMn</t>
    </r>
    <r>
      <rPr>
        <b/>
        <vertAlign val="subscript"/>
        <sz val="10"/>
        <rFont val="Arial"/>
        <family val="2"/>
      </rPr>
      <t>2</t>
    </r>
    <r>
      <rPr>
        <b/>
        <sz val="10"/>
        <rFont val="Arial"/>
        <family val="2"/>
      </rPr>
      <t>O</t>
    </r>
    <r>
      <rPr>
        <b/>
        <vertAlign val="subscript"/>
        <sz val="10"/>
        <rFont val="Arial"/>
        <family val="2"/>
      </rPr>
      <t>4</t>
    </r>
    <r>
      <rPr>
        <b/>
        <sz val="10"/>
        <rFont val="Arial"/>
        <family val="2"/>
      </rPr>
      <t xml:space="preserve"> with Virgin Li</t>
    </r>
    <r>
      <rPr>
        <b/>
        <vertAlign val="subscript"/>
        <sz val="10"/>
        <rFont val="Arial"/>
        <family val="2"/>
      </rPr>
      <t>2</t>
    </r>
    <r>
      <rPr>
        <b/>
        <sz val="10"/>
        <rFont val="Arial"/>
        <family val="2"/>
      </rPr>
      <t>CO</t>
    </r>
    <r>
      <rPr>
        <b/>
        <vertAlign val="subscript"/>
        <sz val="10"/>
        <rFont val="Arial"/>
        <family val="2"/>
      </rPr>
      <t>3</t>
    </r>
    <r>
      <rPr>
        <b/>
        <sz val="10"/>
        <rFont val="Arial"/>
        <family val="2"/>
      </rPr>
      <t xml:space="preserve"> from U.S.</t>
    </r>
  </si>
  <si>
    <r>
      <t>LiMn</t>
    </r>
    <r>
      <rPr>
        <b/>
        <vertAlign val="subscript"/>
        <sz val="10"/>
        <rFont val="Arial"/>
        <family val="2"/>
      </rPr>
      <t>2</t>
    </r>
    <r>
      <rPr>
        <b/>
        <sz val="10"/>
        <rFont val="Arial"/>
        <family val="2"/>
      </rPr>
      <t>O</t>
    </r>
    <r>
      <rPr>
        <b/>
        <vertAlign val="subscript"/>
        <sz val="10"/>
        <rFont val="Arial"/>
        <family val="2"/>
      </rPr>
      <t>4</t>
    </r>
    <r>
      <rPr>
        <b/>
        <sz val="10"/>
        <rFont val="Arial"/>
        <family val="2"/>
      </rPr>
      <t xml:space="preserve"> with Virgin Li</t>
    </r>
    <r>
      <rPr>
        <b/>
        <vertAlign val="subscript"/>
        <sz val="10"/>
        <rFont val="Arial"/>
        <family val="2"/>
      </rPr>
      <t>2</t>
    </r>
    <r>
      <rPr>
        <b/>
        <sz val="10"/>
        <rFont val="Arial"/>
        <family val="2"/>
      </rPr>
      <t>CO</t>
    </r>
    <r>
      <rPr>
        <b/>
        <vertAlign val="subscript"/>
        <sz val="10"/>
        <rFont val="Arial"/>
        <family val="2"/>
      </rPr>
      <t>3</t>
    </r>
    <r>
      <rPr>
        <b/>
        <sz val="10"/>
        <rFont val="Arial"/>
        <family val="2"/>
      </rPr>
      <t xml:space="preserve"> from Ore</t>
    </r>
  </si>
  <si>
    <t>Lithium Production</t>
  </si>
  <si>
    <t>1.1) Share of Lithium Chemical Products from Source Type</t>
  </si>
  <si>
    <t>Brine - Chile</t>
  </si>
  <si>
    <t>Brine - US</t>
  </si>
  <si>
    <t>Ore</t>
  </si>
  <si>
    <t>Share of Li2CO3 Source</t>
  </si>
  <si>
    <t>Share of LiOH Source</t>
  </si>
  <si>
    <t>N/A</t>
  </si>
  <si>
    <t>1.2) Upstream Material Use: ton per ton of product</t>
  </si>
  <si>
    <r>
      <t>Li</t>
    </r>
    <r>
      <rPr>
        <b/>
        <vertAlign val="subscript"/>
        <sz val="10"/>
        <rFont val="Arial"/>
        <family val="2"/>
      </rPr>
      <t>2</t>
    </r>
    <r>
      <rPr>
        <b/>
        <sz val="10"/>
        <rFont val="Arial"/>
        <family val="2"/>
      </rPr>
      <t>CO</t>
    </r>
    <r>
      <rPr>
        <b/>
        <vertAlign val="subscript"/>
        <sz val="10"/>
        <rFont val="Arial"/>
        <family val="2"/>
      </rPr>
      <t>3</t>
    </r>
    <r>
      <rPr>
        <b/>
        <sz val="10"/>
        <rFont val="Arial"/>
        <family val="2"/>
      </rPr>
      <t xml:space="preserve"> in Chile (ton/ton Li</t>
    </r>
    <r>
      <rPr>
        <b/>
        <vertAlign val="subscript"/>
        <sz val="10"/>
        <rFont val="Arial"/>
        <family val="2"/>
      </rPr>
      <t>2</t>
    </r>
    <r>
      <rPr>
        <b/>
        <sz val="10"/>
        <rFont val="Arial"/>
        <family val="2"/>
      </rPr>
      <t>CO</t>
    </r>
    <r>
      <rPr>
        <b/>
        <vertAlign val="subscript"/>
        <sz val="10"/>
        <rFont val="Arial"/>
        <family val="2"/>
      </rPr>
      <t>3</t>
    </r>
    <r>
      <rPr>
        <b/>
        <sz val="10"/>
        <rFont val="Arial"/>
        <family val="2"/>
      </rPr>
      <t>)</t>
    </r>
  </si>
  <si>
    <r>
      <t>Li</t>
    </r>
    <r>
      <rPr>
        <b/>
        <vertAlign val="subscript"/>
        <sz val="10"/>
        <rFont val="Arial"/>
        <family val="2"/>
      </rPr>
      <t>2</t>
    </r>
    <r>
      <rPr>
        <b/>
        <sz val="10"/>
        <rFont val="Arial"/>
        <family val="2"/>
      </rPr>
      <t>CO</t>
    </r>
    <r>
      <rPr>
        <b/>
        <vertAlign val="subscript"/>
        <sz val="10"/>
        <rFont val="Arial"/>
        <family val="2"/>
      </rPr>
      <t>3</t>
    </r>
    <r>
      <rPr>
        <b/>
        <sz val="10"/>
        <rFont val="Arial"/>
        <family val="2"/>
      </rPr>
      <t xml:space="preserve"> in U.S. (ton/ton Li</t>
    </r>
    <r>
      <rPr>
        <b/>
        <vertAlign val="subscript"/>
        <sz val="10"/>
        <rFont val="Arial"/>
        <family val="2"/>
      </rPr>
      <t>2</t>
    </r>
    <r>
      <rPr>
        <b/>
        <sz val="10"/>
        <rFont val="Arial"/>
        <family val="2"/>
      </rPr>
      <t>CO</t>
    </r>
    <r>
      <rPr>
        <b/>
        <vertAlign val="subscript"/>
        <sz val="10"/>
        <rFont val="Arial"/>
        <family val="2"/>
      </rPr>
      <t>3</t>
    </r>
    <r>
      <rPr>
        <b/>
        <sz val="10"/>
        <rFont val="Arial"/>
        <family val="2"/>
      </rPr>
      <t>)</t>
    </r>
  </si>
  <si>
    <r>
      <t>H</t>
    </r>
    <r>
      <rPr>
        <b/>
        <vertAlign val="subscript"/>
        <sz val="10"/>
        <rFont val="Arial"/>
        <family val="2"/>
      </rPr>
      <t>2</t>
    </r>
    <r>
      <rPr>
        <b/>
        <sz val="10"/>
        <rFont val="Arial"/>
        <family val="2"/>
      </rPr>
      <t>O</t>
    </r>
    <r>
      <rPr>
        <b/>
        <vertAlign val="subscript"/>
        <sz val="10"/>
        <rFont val="Arial"/>
        <family val="2"/>
      </rPr>
      <t>2</t>
    </r>
    <r>
      <rPr>
        <b/>
        <sz val="10"/>
        <rFont val="Arial"/>
        <family val="2"/>
      </rPr>
      <t xml:space="preserve"> (ton/ton H</t>
    </r>
    <r>
      <rPr>
        <b/>
        <vertAlign val="subscript"/>
        <sz val="10"/>
        <rFont val="Arial"/>
        <family val="2"/>
      </rPr>
      <t>2</t>
    </r>
    <r>
      <rPr>
        <b/>
        <sz val="10"/>
        <rFont val="Arial"/>
        <family val="2"/>
      </rPr>
      <t>O</t>
    </r>
    <r>
      <rPr>
        <b/>
        <vertAlign val="subscript"/>
        <sz val="10"/>
        <rFont val="Arial"/>
        <family val="2"/>
      </rPr>
      <t>2</t>
    </r>
    <r>
      <rPr>
        <b/>
        <sz val="10"/>
        <rFont val="Arial"/>
        <family val="2"/>
      </rPr>
      <t>)</t>
    </r>
  </si>
  <si>
    <t>LiOH from Chile (ton/ton Li2CO3)</t>
  </si>
  <si>
    <t>Spodumene from Ore Mining and Processing (Australia) (ton/ton Li2CO3)</t>
  </si>
  <si>
    <t>Li2CO3 from Spodumene (ton/ton Li2CO3)</t>
  </si>
  <si>
    <t>LiOH from Spodumene (ton/ton Li2CO3)</t>
  </si>
  <si>
    <r>
      <t xml:space="preserve">     H</t>
    </r>
    <r>
      <rPr>
        <vertAlign val="subscript"/>
        <sz val="10"/>
        <rFont val="Arial"/>
        <family val="2"/>
      </rPr>
      <t>2</t>
    </r>
  </si>
  <si>
    <t xml:space="preserve">     Hydrochloric acid (HCl)</t>
  </si>
  <si>
    <r>
      <t xml:space="preserve">     Soda Ash (Na</t>
    </r>
    <r>
      <rPr>
        <vertAlign val="subscript"/>
        <sz val="10"/>
        <rFont val="Arial"/>
        <family val="2"/>
      </rPr>
      <t>2</t>
    </r>
    <r>
      <rPr>
        <sz val="10"/>
        <rFont val="Arial"/>
        <family val="2"/>
      </rPr>
      <t>CO</t>
    </r>
    <r>
      <rPr>
        <vertAlign val="subscript"/>
        <sz val="10"/>
        <rFont val="Arial"/>
        <family val="2"/>
      </rPr>
      <t>3</t>
    </r>
    <r>
      <rPr>
        <sz val="10"/>
        <rFont val="Arial"/>
        <family val="2"/>
      </rPr>
      <t>)</t>
    </r>
  </si>
  <si>
    <t xml:space="preserve">     Concentrated Lithium Brine</t>
  </si>
  <si>
    <t xml:space="preserve">     Lime</t>
  </si>
  <si>
    <t xml:space="preserve">     Organic solvent</t>
  </si>
  <si>
    <t xml:space="preserve">     Alcohol</t>
  </si>
  <si>
    <r>
      <t xml:space="preserve">     Hydrogen Peroxide (H</t>
    </r>
    <r>
      <rPr>
        <vertAlign val="subscript"/>
        <sz val="10"/>
        <rFont val="Arial"/>
        <family val="2"/>
      </rPr>
      <t>2</t>
    </r>
    <r>
      <rPr>
        <sz val="10"/>
        <rFont val="Arial"/>
        <family val="2"/>
      </rPr>
      <t>O</t>
    </r>
    <r>
      <rPr>
        <vertAlign val="subscript"/>
        <sz val="10"/>
        <rFont val="Arial"/>
        <family val="2"/>
      </rPr>
      <t>2</t>
    </r>
    <r>
      <rPr>
        <sz val="10"/>
        <rFont val="Arial"/>
        <family val="2"/>
      </rPr>
      <t>)</t>
    </r>
  </si>
  <si>
    <t xml:space="preserve">     Limestone</t>
  </si>
  <si>
    <t>Oleic Acid</t>
  </si>
  <si>
    <t>Diatomaceous earth</t>
  </si>
  <si>
    <r>
      <t>Type of Alcohol for Li</t>
    </r>
    <r>
      <rPr>
        <vertAlign val="subscript"/>
        <sz val="10"/>
        <rFont val="Arial"/>
        <family val="2"/>
      </rPr>
      <t>2</t>
    </r>
    <r>
      <rPr>
        <sz val="10"/>
        <rFont val="Arial"/>
        <family val="2"/>
      </rPr>
      <t>CO</t>
    </r>
    <r>
      <rPr>
        <vertAlign val="subscript"/>
        <sz val="10"/>
        <rFont val="Arial"/>
        <family val="2"/>
      </rPr>
      <t>3</t>
    </r>
    <r>
      <rPr>
        <sz val="10"/>
        <rFont val="Arial"/>
        <family val="2"/>
      </rPr>
      <t xml:space="preserve"> Production in Chile</t>
    </r>
  </si>
  <si>
    <t>Ethanol</t>
  </si>
  <si>
    <t>Soda Ash (Na2CO3) in Chile</t>
  </si>
  <si>
    <t>Concentrated Li Brine Production - Chile</t>
  </si>
  <si>
    <t>Li2CO3 Production - Chile</t>
  </si>
  <si>
    <t>Soda Ash (Na2CO3) in U.S.</t>
  </si>
  <si>
    <t>Li2CO3 Production - U.S. (Nevada)</t>
  </si>
  <si>
    <t>Hydrogen Peroxide Production</t>
  </si>
  <si>
    <t>Brine-based Lithium Products</t>
  </si>
  <si>
    <t>Ore-based Lithium Products</t>
  </si>
  <si>
    <t>Soda Ash Production in Chile</t>
  </si>
  <si>
    <t>Soda Ash Production in U.S.</t>
  </si>
  <si>
    <r>
      <t>Li</t>
    </r>
    <r>
      <rPr>
        <b/>
        <vertAlign val="subscript"/>
        <sz val="10"/>
        <rFont val="Arial"/>
        <family val="2"/>
      </rPr>
      <t>2</t>
    </r>
    <r>
      <rPr>
        <b/>
        <sz val="10"/>
        <rFont val="Arial"/>
        <family val="2"/>
      </rPr>
      <t>CO</t>
    </r>
    <r>
      <rPr>
        <b/>
        <vertAlign val="subscript"/>
        <sz val="10"/>
        <rFont val="Arial"/>
        <family val="2"/>
      </rPr>
      <t>3</t>
    </r>
    <r>
      <rPr>
        <b/>
        <sz val="10"/>
        <rFont val="Arial"/>
        <family val="2"/>
      </rPr>
      <t xml:space="preserve"> Production - Chile</t>
    </r>
  </si>
  <si>
    <r>
      <t>Li</t>
    </r>
    <r>
      <rPr>
        <b/>
        <vertAlign val="subscript"/>
        <sz val="10"/>
        <rFont val="Arial"/>
        <family val="2"/>
      </rPr>
      <t>2</t>
    </r>
    <r>
      <rPr>
        <b/>
        <sz val="10"/>
        <rFont val="Arial"/>
        <family val="2"/>
      </rPr>
      <t>CO</t>
    </r>
    <r>
      <rPr>
        <b/>
        <vertAlign val="subscript"/>
        <sz val="10"/>
        <rFont val="Arial"/>
        <family val="2"/>
      </rPr>
      <t>3</t>
    </r>
    <r>
      <rPr>
        <b/>
        <sz val="10"/>
        <rFont val="Arial"/>
        <family val="2"/>
      </rPr>
      <t xml:space="preserve"> Production - U.S. (Nevada)</t>
    </r>
  </si>
  <si>
    <t>LiOH from Brine - Chile</t>
  </si>
  <si>
    <t>Li2CO3 from Ore</t>
  </si>
  <si>
    <t>LiOH from Ore</t>
  </si>
  <si>
    <t>4) Summary of Energy Consumption and Emissions Related to Lithium Chemicals Production</t>
  </si>
  <si>
    <t>Lithium Products and Auxiliaries</t>
  </si>
  <si>
    <t>Average Results</t>
  </si>
  <si>
    <t>Lithium Products from Brine in Chile</t>
  </si>
  <si>
    <t>Lithium Products from Ore in Australia</t>
  </si>
  <si>
    <r>
      <t>H</t>
    </r>
    <r>
      <rPr>
        <b/>
        <vertAlign val="subscript"/>
        <sz val="10"/>
        <rFont val="Arial"/>
        <family val="2"/>
      </rPr>
      <t>2</t>
    </r>
  </si>
  <si>
    <t>Hydrochloric Acid</t>
  </si>
  <si>
    <t xml:space="preserve">Soda Ash </t>
  </si>
  <si>
    <t xml:space="preserve">Concentrated Lithium Brine </t>
  </si>
  <si>
    <t>Lime for Chile</t>
  </si>
  <si>
    <t xml:space="preserve">Organic Solvent </t>
  </si>
  <si>
    <t xml:space="preserve">Sulfuric Acid </t>
  </si>
  <si>
    <t>Alcohol</t>
  </si>
  <si>
    <t>LiOH</t>
  </si>
  <si>
    <t>Diesel Dispersant</t>
  </si>
  <si>
    <r>
      <t>Average Li</t>
    </r>
    <r>
      <rPr>
        <b/>
        <vertAlign val="subscript"/>
        <sz val="10"/>
        <rFont val="Arial"/>
        <family val="2"/>
      </rPr>
      <t>2</t>
    </r>
    <r>
      <rPr>
        <b/>
        <sz val="10"/>
        <rFont val="Arial"/>
        <family val="2"/>
      </rPr>
      <t>CO</t>
    </r>
    <r>
      <rPr>
        <b/>
        <vertAlign val="subscript"/>
        <sz val="10"/>
        <rFont val="Arial"/>
        <family val="2"/>
      </rPr>
      <t>3</t>
    </r>
  </si>
  <si>
    <t>Average LiOH</t>
  </si>
  <si>
    <t xml:space="preserve">Production of LMO, LFP, NMC, and LMR-NMC Cathodes </t>
  </si>
  <si>
    <t>Reference: Dunn et al. 2014.  Material and Energy Flows in the Production of Cathode and Anode Materials for Lithium Ion Batteries.  ANL/ESD/14/10.  https://greet.es.anl.gov/publications</t>
  </si>
  <si>
    <r>
      <t>Manganese Sulfate (ton/ton MnSO</t>
    </r>
    <r>
      <rPr>
        <b/>
        <vertAlign val="subscript"/>
        <sz val="10"/>
        <rFont val="Arial"/>
        <family val="2"/>
      </rPr>
      <t>4</t>
    </r>
    <r>
      <rPr>
        <b/>
        <sz val="10"/>
        <rFont val="Arial"/>
        <family val="2"/>
      </rPr>
      <t>)</t>
    </r>
  </si>
  <si>
    <r>
      <t>Ammonium Hydroxide (ton/ton NH</t>
    </r>
    <r>
      <rPr>
        <b/>
        <vertAlign val="subscript"/>
        <sz val="10"/>
        <rFont val="Arial"/>
        <family val="2"/>
      </rPr>
      <t>4</t>
    </r>
    <r>
      <rPr>
        <b/>
        <sz val="10"/>
        <rFont val="Arial"/>
        <family val="2"/>
      </rPr>
      <t>OH)</t>
    </r>
  </si>
  <si>
    <r>
      <t>Nickel Cobalt Manganese Hydroxide (ton/ton Ni</t>
    </r>
    <r>
      <rPr>
        <b/>
        <vertAlign val="subscript"/>
        <sz val="10"/>
        <rFont val="Arial"/>
        <family val="2"/>
      </rPr>
      <t>0.4</t>
    </r>
    <r>
      <rPr>
        <b/>
        <sz val="10"/>
        <rFont val="Arial"/>
        <family val="2"/>
      </rPr>
      <t>Co</t>
    </r>
    <r>
      <rPr>
        <b/>
        <vertAlign val="subscript"/>
        <sz val="10"/>
        <rFont val="Arial"/>
        <family val="2"/>
      </rPr>
      <t>0.2</t>
    </r>
    <r>
      <rPr>
        <b/>
        <sz val="10"/>
        <rFont val="Arial"/>
        <family val="2"/>
      </rPr>
      <t>Mn</t>
    </r>
    <r>
      <rPr>
        <b/>
        <vertAlign val="subscript"/>
        <sz val="10"/>
        <rFont val="Arial"/>
        <family val="2"/>
      </rPr>
      <t>0.4</t>
    </r>
    <r>
      <rPr>
        <b/>
        <sz val="10"/>
        <rFont val="Arial"/>
        <family val="2"/>
      </rPr>
      <t>(OH)</t>
    </r>
    <r>
      <rPr>
        <b/>
        <vertAlign val="subscript"/>
        <sz val="10"/>
        <rFont val="Arial"/>
        <family val="2"/>
      </rPr>
      <t>2</t>
    </r>
    <r>
      <rPr>
        <b/>
        <sz val="10"/>
        <rFont val="Arial"/>
        <family val="2"/>
      </rPr>
      <t>)</t>
    </r>
  </si>
  <si>
    <r>
      <t>NCM (ton/ton LiNi</t>
    </r>
    <r>
      <rPr>
        <b/>
        <vertAlign val="subscript"/>
        <sz val="10"/>
        <rFont val="Arial"/>
        <family val="2"/>
      </rPr>
      <t>0.4</t>
    </r>
    <r>
      <rPr>
        <b/>
        <sz val="10"/>
        <rFont val="Arial"/>
        <family val="2"/>
      </rPr>
      <t>Co</t>
    </r>
    <r>
      <rPr>
        <b/>
        <vertAlign val="subscript"/>
        <sz val="10"/>
        <rFont val="Arial"/>
        <family val="2"/>
      </rPr>
      <t>0.2</t>
    </r>
    <r>
      <rPr>
        <b/>
        <sz val="10"/>
        <rFont val="Arial"/>
        <family val="2"/>
      </rPr>
      <t>Mn</t>
    </r>
    <r>
      <rPr>
        <b/>
        <vertAlign val="subscript"/>
        <sz val="10"/>
        <rFont val="Arial"/>
        <family val="2"/>
      </rPr>
      <t>0.4</t>
    </r>
    <r>
      <rPr>
        <b/>
        <sz val="10"/>
        <rFont val="Arial"/>
        <family val="2"/>
      </rPr>
      <t>O</t>
    </r>
    <r>
      <rPr>
        <b/>
        <vertAlign val="subscript"/>
        <sz val="10"/>
        <rFont val="Arial"/>
        <family val="2"/>
      </rPr>
      <t>2</t>
    </r>
    <r>
      <rPr>
        <b/>
        <sz val="10"/>
        <rFont val="Arial"/>
        <family val="2"/>
      </rPr>
      <t>)</t>
    </r>
  </si>
  <si>
    <r>
      <t>Nickel Cobalt Manganese Hydroxide (ton/ton Ni1/3Co1/3Mn1/3(OH)</t>
    </r>
    <r>
      <rPr>
        <b/>
        <vertAlign val="subscript"/>
        <sz val="10"/>
        <rFont val="Arial"/>
        <family val="2"/>
      </rPr>
      <t>2</t>
    </r>
    <r>
      <rPr>
        <b/>
        <sz val="10"/>
        <rFont val="Arial"/>
        <family val="2"/>
      </rPr>
      <t>)</t>
    </r>
  </si>
  <si>
    <r>
      <t>NCM (ton/ton LiNi1/3Co1/3Mn1/3O</t>
    </r>
    <r>
      <rPr>
        <b/>
        <vertAlign val="subscript"/>
        <sz val="10"/>
        <rFont val="Arial"/>
        <family val="2"/>
      </rPr>
      <t>2</t>
    </r>
    <r>
      <rPr>
        <b/>
        <sz val="10"/>
        <rFont val="Arial"/>
        <family val="2"/>
      </rPr>
      <t>)</t>
    </r>
  </si>
  <si>
    <r>
      <t>Nickel Cobalt Manganese Hydroxide (ton/ton Ni0.5Co</t>
    </r>
    <r>
      <rPr>
        <b/>
        <vertAlign val="subscript"/>
        <sz val="10"/>
        <rFont val="Arial"/>
        <family val="2"/>
      </rPr>
      <t>0.3</t>
    </r>
    <r>
      <rPr>
        <b/>
        <sz val="10"/>
        <rFont val="Arial"/>
        <family val="2"/>
      </rPr>
      <t>Mn</t>
    </r>
    <r>
      <rPr>
        <b/>
        <vertAlign val="subscript"/>
        <sz val="10"/>
        <rFont val="Arial"/>
        <family val="2"/>
      </rPr>
      <t>0.2</t>
    </r>
    <r>
      <rPr>
        <b/>
        <sz val="10"/>
        <rFont val="Arial"/>
        <family val="2"/>
      </rPr>
      <t>(OH)</t>
    </r>
    <r>
      <rPr>
        <b/>
        <vertAlign val="subscript"/>
        <sz val="10"/>
        <rFont val="Arial"/>
        <family val="2"/>
      </rPr>
      <t>2</t>
    </r>
    <r>
      <rPr>
        <b/>
        <sz val="10"/>
        <rFont val="Arial"/>
        <family val="2"/>
      </rPr>
      <t>)</t>
    </r>
  </si>
  <si>
    <r>
      <t>NCM (ton/ton LiNi</t>
    </r>
    <r>
      <rPr>
        <b/>
        <vertAlign val="subscript"/>
        <sz val="10"/>
        <rFont val="Arial"/>
        <family val="2"/>
      </rPr>
      <t>0.5</t>
    </r>
    <r>
      <rPr>
        <b/>
        <sz val="10"/>
        <rFont val="Arial"/>
        <family val="2"/>
      </rPr>
      <t>Co</t>
    </r>
    <r>
      <rPr>
        <b/>
        <vertAlign val="subscript"/>
        <sz val="10"/>
        <rFont val="Arial"/>
        <family val="2"/>
      </rPr>
      <t>0.2</t>
    </r>
    <r>
      <rPr>
        <b/>
        <sz val="10"/>
        <rFont val="Arial"/>
        <family val="2"/>
      </rPr>
      <t>Mn</t>
    </r>
    <r>
      <rPr>
        <b/>
        <vertAlign val="subscript"/>
        <sz val="10"/>
        <rFont val="Arial"/>
        <family val="2"/>
      </rPr>
      <t>0.3</t>
    </r>
    <r>
      <rPr>
        <b/>
        <sz val="10"/>
        <rFont val="Arial"/>
        <family val="2"/>
      </rPr>
      <t>O</t>
    </r>
    <r>
      <rPr>
        <b/>
        <vertAlign val="subscript"/>
        <sz val="10"/>
        <rFont val="Arial"/>
        <family val="2"/>
      </rPr>
      <t>2</t>
    </r>
    <r>
      <rPr>
        <b/>
        <sz val="10"/>
        <rFont val="Arial"/>
        <family val="2"/>
      </rPr>
      <t>)</t>
    </r>
  </si>
  <si>
    <r>
      <t>Nickel Cobalt Manganese Hydroxide (ton/ton Ni0.6Co</t>
    </r>
    <r>
      <rPr>
        <b/>
        <vertAlign val="subscript"/>
        <sz val="10"/>
        <rFont val="Arial"/>
        <family val="2"/>
      </rPr>
      <t>0.2</t>
    </r>
    <r>
      <rPr>
        <b/>
        <sz val="10"/>
        <rFont val="Arial"/>
        <family val="2"/>
      </rPr>
      <t>Mn</t>
    </r>
    <r>
      <rPr>
        <b/>
        <vertAlign val="subscript"/>
        <sz val="10"/>
        <rFont val="Arial"/>
        <family val="2"/>
      </rPr>
      <t>0.2</t>
    </r>
    <r>
      <rPr>
        <b/>
        <sz val="10"/>
        <rFont val="Arial"/>
        <family val="2"/>
      </rPr>
      <t>(OH)</t>
    </r>
    <r>
      <rPr>
        <b/>
        <vertAlign val="subscript"/>
        <sz val="10"/>
        <rFont val="Arial"/>
        <family val="2"/>
      </rPr>
      <t>2</t>
    </r>
    <r>
      <rPr>
        <b/>
        <sz val="10"/>
        <rFont val="Arial"/>
        <family val="2"/>
      </rPr>
      <t>)</t>
    </r>
  </si>
  <si>
    <r>
      <t>NCM (ton/ton LiNi</t>
    </r>
    <r>
      <rPr>
        <b/>
        <vertAlign val="subscript"/>
        <sz val="10"/>
        <rFont val="Arial"/>
        <family val="2"/>
      </rPr>
      <t>0.6</t>
    </r>
    <r>
      <rPr>
        <b/>
        <sz val="10"/>
        <rFont val="Arial"/>
        <family val="2"/>
      </rPr>
      <t>Co</t>
    </r>
    <r>
      <rPr>
        <b/>
        <vertAlign val="subscript"/>
        <sz val="10"/>
        <rFont val="Arial"/>
        <family val="2"/>
      </rPr>
      <t>0.2</t>
    </r>
    <r>
      <rPr>
        <b/>
        <sz val="10"/>
        <rFont val="Arial"/>
        <family val="2"/>
      </rPr>
      <t>Mn</t>
    </r>
    <r>
      <rPr>
        <b/>
        <vertAlign val="subscript"/>
        <sz val="10"/>
        <rFont val="Arial"/>
        <family val="2"/>
      </rPr>
      <t>0.2</t>
    </r>
    <r>
      <rPr>
        <b/>
        <sz val="10"/>
        <rFont val="Arial"/>
        <family val="2"/>
      </rPr>
      <t>O</t>
    </r>
    <r>
      <rPr>
        <b/>
        <vertAlign val="subscript"/>
        <sz val="10"/>
        <rFont val="Arial"/>
        <family val="2"/>
      </rPr>
      <t>2</t>
    </r>
    <r>
      <rPr>
        <b/>
        <sz val="10"/>
        <rFont val="Arial"/>
        <family val="2"/>
      </rPr>
      <t>)</t>
    </r>
  </si>
  <si>
    <r>
      <t>Nickel Cobalt Manganese Hydroxide (ton/ton Ni</t>
    </r>
    <r>
      <rPr>
        <b/>
        <vertAlign val="subscript"/>
        <sz val="10"/>
        <rFont val="Arial"/>
        <family val="2"/>
      </rPr>
      <t>0.8</t>
    </r>
    <r>
      <rPr>
        <b/>
        <sz val="10"/>
        <rFont val="Arial"/>
        <family val="2"/>
      </rPr>
      <t>Co</t>
    </r>
    <r>
      <rPr>
        <b/>
        <vertAlign val="subscript"/>
        <sz val="10"/>
        <rFont val="Arial"/>
        <family val="2"/>
      </rPr>
      <t>0.1</t>
    </r>
    <r>
      <rPr>
        <b/>
        <sz val="10"/>
        <rFont val="Arial"/>
        <family val="2"/>
      </rPr>
      <t>Mn</t>
    </r>
    <r>
      <rPr>
        <b/>
        <vertAlign val="subscript"/>
        <sz val="10"/>
        <rFont val="Arial"/>
        <family val="2"/>
      </rPr>
      <t>0.1</t>
    </r>
    <r>
      <rPr>
        <b/>
        <sz val="10"/>
        <rFont val="Arial"/>
        <family val="2"/>
      </rPr>
      <t>(OH)</t>
    </r>
    <r>
      <rPr>
        <b/>
        <vertAlign val="subscript"/>
        <sz val="10"/>
        <rFont val="Arial"/>
        <family val="2"/>
      </rPr>
      <t>2</t>
    </r>
    <r>
      <rPr>
        <b/>
        <sz val="10"/>
        <rFont val="Arial"/>
        <family val="2"/>
      </rPr>
      <t>)</t>
    </r>
  </si>
  <si>
    <r>
      <t>NCM (ton/ton LiNi</t>
    </r>
    <r>
      <rPr>
        <b/>
        <vertAlign val="subscript"/>
        <sz val="10"/>
        <rFont val="Arial"/>
        <family val="2"/>
      </rPr>
      <t>0.8</t>
    </r>
    <r>
      <rPr>
        <b/>
        <sz val="10"/>
        <rFont val="Arial"/>
        <family val="2"/>
      </rPr>
      <t>Co</t>
    </r>
    <r>
      <rPr>
        <b/>
        <vertAlign val="subscript"/>
        <sz val="10"/>
        <rFont val="Arial"/>
        <family val="2"/>
      </rPr>
      <t>0.1</t>
    </r>
    <r>
      <rPr>
        <b/>
        <sz val="10"/>
        <rFont val="Arial"/>
        <family val="2"/>
      </rPr>
      <t>Mn</t>
    </r>
    <r>
      <rPr>
        <b/>
        <vertAlign val="subscript"/>
        <sz val="10"/>
        <rFont val="Arial"/>
        <family val="2"/>
      </rPr>
      <t>0.1</t>
    </r>
    <r>
      <rPr>
        <b/>
        <sz val="10"/>
        <rFont val="Arial"/>
        <family val="2"/>
      </rPr>
      <t>O</t>
    </r>
    <r>
      <rPr>
        <b/>
        <vertAlign val="subscript"/>
        <sz val="10"/>
        <rFont val="Arial"/>
        <family val="2"/>
      </rPr>
      <t>2</t>
    </r>
    <r>
      <rPr>
        <b/>
        <sz val="10"/>
        <rFont val="Arial"/>
        <family val="2"/>
      </rPr>
      <t>)</t>
    </r>
  </si>
  <si>
    <r>
      <t>Recycled Nickel Cobalt Manganese Hydroxide (ton/ton Ni1/3Co1/3Mn1/3(OH)</t>
    </r>
    <r>
      <rPr>
        <b/>
        <vertAlign val="subscript"/>
        <sz val="10"/>
        <rFont val="Arial"/>
        <family val="2"/>
      </rPr>
      <t>2</t>
    </r>
    <r>
      <rPr>
        <b/>
        <sz val="10"/>
        <rFont val="Arial"/>
        <family val="2"/>
      </rPr>
      <t>)</t>
    </r>
  </si>
  <si>
    <r>
      <t>Recycled NCM (ton/ton LiNi1/3Co1/3Mn1/3O</t>
    </r>
    <r>
      <rPr>
        <b/>
        <vertAlign val="subscript"/>
        <sz val="10"/>
        <rFont val="Arial"/>
        <family val="2"/>
      </rPr>
      <t>2</t>
    </r>
    <r>
      <rPr>
        <b/>
        <sz val="10"/>
        <rFont val="Arial"/>
        <family val="2"/>
      </rPr>
      <t>)</t>
    </r>
  </si>
  <si>
    <r>
      <t>Lithium Iron Phosphate via hydrothermal preparation (ton/ton LiFePO</t>
    </r>
    <r>
      <rPr>
        <b/>
        <vertAlign val="subscript"/>
        <sz val="10"/>
        <rFont val="Arial"/>
        <family val="2"/>
      </rPr>
      <t>4</t>
    </r>
    <r>
      <rPr>
        <b/>
        <sz val="10"/>
        <rFont val="Arial"/>
        <family val="2"/>
      </rPr>
      <t>)</t>
    </r>
  </si>
  <si>
    <t>Ni0.219Co0.125Mn0.656(OH)2 (ton/ton Ni0.219Co0.125Mn0.656(OH)2)</t>
  </si>
  <si>
    <t>LMR-NMC (ton/ton recovered 0.5Li2MnO3∙0.5LiNi0.44Co0.25Mn0.31O2)</t>
  </si>
  <si>
    <r>
      <t>Lithium Cobalt Oxide via solid state preparation (ton/ton recovered LiCoO</t>
    </r>
    <r>
      <rPr>
        <b/>
        <vertAlign val="subscript"/>
        <sz val="10"/>
        <rFont val="Arial"/>
        <family val="2"/>
      </rPr>
      <t>2</t>
    </r>
    <r>
      <rPr>
        <b/>
        <sz val="10"/>
        <rFont val="Arial"/>
        <family val="2"/>
      </rPr>
      <t>)</t>
    </r>
  </si>
  <si>
    <r>
      <t>Sodium Chlorate (ton/ton NaClO</t>
    </r>
    <r>
      <rPr>
        <b/>
        <vertAlign val="subscript"/>
        <sz val="10"/>
        <rFont val="Arial"/>
        <family val="2"/>
      </rPr>
      <t>3</t>
    </r>
    <r>
      <rPr>
        <b/>
        <sz val="10"/>
        <rFont val="Arial"/>
        <family val="2"/>
      </rPr>
      <t>)</t>
    </r>
  </si>
  <si>
    <r>
      <t>Lithium Cobalt Oxide via hydrothermal preparation (ton/ton LiCoO</t>
    </r>
    <r>
      <rPr>
        <b/>
        <vertAlign val="subscript"/>
        <sz val="10"/>
        <rFont val="Arial"/>
        <family val="2"/>
      </rPr>
      <t>2</t>
    </r>
    <r>
      <rPr>
        <b/>
        <sz val="10"/>
        <rFont val="Arial"/>
        <family val="2"/>
      </rPr>
      <t>)</t>
    </r>
  </si>
  <si>
    <r>
      <t>Lithium Iron Phosphate via solid state preparation (ton/ton LiFePO</t>
    </r>
    <r>
      <rPr>
        <b/>
        <vertAlign val="subscript"/>
        <sz val="10"/>
        <rFont val="Arial"/>
        <family val="2"/>
      </rPr>
      <t>4</t>
    </r>
    <r>
      <rPr>
        <b/>
        <sz val="10"/>
        <rFont val="Arial"/>
        <family val="2"/>
      </rPr>
      <t>)</t>
    </r>
  </si>
  <si>
    <t>Graphite Silicon (ton/ton Gr-Si)</t>
  </si>
  <si>
    <t>Aluminum Hydroxide (ton /ton Al(OH)3)</t>
  </si>
  <si>
    <t>Aluminum sulfate (ton/ton Al2(SO4)3)</t>
  </si>
  <si>
    <t>Nickel Cobalt Aluminum  (ton/ton Ni0.8Co0.15Al0.05(OH)2)</t>
  </si>
  <si>
    <t>LiNCA (ton/ton LiNi0.8Co0.15Al0.05O2)</t>
  </si>
  <si>
    <t>Sulfuric acid (H2SO4)</t>
  </si>
  <si>
    <t>Ammonia (NH3)</t>
  </si>
  <si>
    <t>Nickel Sulfate (NiSO4)</t>
  </si>
  <si>
    <t>Cobalt Sulfate (CoSO4)</t>
  </si>
  <si>
    <t>Manganese Sulfate (MnSO4)</t>
  </si>
  <si>
    <t>Sodium Hydroxide (NaOH)</t>
  </si>
  <si>
    <t>Ammonium Hydroxide (NH4OH)</t>
  </si>
  <si>
    <t>Ni0.219Co0.125Mn0.656(OH)2</t>
  </si>
  <si>
    <t>Ni0.4Co0.2Mn0.4(OH)2</t>
  </si>
  <si>
    <t>Ni1/3Co1/3Mn1/3(OH)2</t>
  </si>
  <si>
    <t>Ni0.5Co0.2Mn0.3(OH)2</t>
  </si>
  <si>
    <t>Ni0.6Co0.2Mn0.2(OH)2</t>
  </si>
  <si>
    <t>Ni0.8Co0.1Mn0.1(OH)2</t>
  </si>
  <si>
    <t>Recycled Ni1/3Co1/3Mn1/3(OH)2</t>
  </si>
  <si>
    <t>Lithium Hydoxide (LiOH)</t>
  </si>
  <si>
    <t>Oxygen (O2)</t>
  </si>
  <si>
    <t>Phosphoric Acid (H3PO4)</t>
  </si>
  <si>
    <t>Iron Sulfate (FeSO4)</t>
  </si>
  <si>
    <t>Cobalt Oxide (Co3O4)</t>
  </si>
  <si>
    <t>Lithium Carbonate (Li2CO3)</t>
  </si>
  <si>
    <t>Hydrochloric Acid (HCl)</t>
  </si>
  <si>
    <t>Sodium Chloride (NaCl)</t>
  </si>
  <si>
    <t>Sodium Chlorate (NaClO3)</t>
  </si>
  <si>
    <t>Cobalt Chloride (CoCl2)</t>
  </si>
  <si>
    <t>Iron Oxide (Fe3O4)</t>
  </si>
  <si>
    <t>Diammonium Phosphate</t>
  </si>
  <si>
    <t>Ni0.8Co0.15Al0.05(OH)2</t>
  </si>
  <si>
    <t>Aluminum hydroxide Al(OH)3</t>
  </si>
  <si>
    <t>Bauxite</t>
  </si>
  <si>
    <t>Limestone (CaCO3)</t>
  </si>
  <si>
    <r>
      <t>Aluminum sulfate (Al</t>
    </r>
    <r>
      <rPr>
        <vertAlign val="subscript"/>
        <sz val="10"/>
        <rFont val="Arial"/>
        <family val="2"/>
      </rPr>
      <t>2</t>
    </r>
    <r>
      <rPr>
        <sz val="10"/>
        <rFont val="Arial"/>
        <family val="2"/>
      </rPr>
      <t>(SO</t>
    </r>
    <r>
      <rPr>
        <vertAlign val="subscript"/>
        <sz val="10"/>
        <rFont val="Arial"/>
        <family val="2"/>
      </rPr>
      <t>4</t>
    </r>
    <r>
      <rPr>
        <sz val="10"/>
        <rFont val="Arial"/>
        <family val="2"/>
      </rPr>
      <t>)3)</t>
    </r>
  </si>
  <si>
    <t>Hydrogen peroxide (H2O2)</t>
  </si>
  <si>
    <t>Soda ash (Na2CO3)</t>
  </si>
  <si>
    <t>Lime (CaO)</t>
  </si>
  <si>
    <t>Manganese Sulfate Production</t>
  </si>
  <si>
    <t>Ammonium Hydroxide Production</t>
  </si>
  <si>
    <r>
      <t>Production of Nickel Cobalt Manganese Hydroxide (Ni</t>
    </r>
    <r>
      <rPr>
        <b/>
        <vertAlign val="subscript"/>
        <sz val="10"/>
        <rFont val="Arial"/>
        <family val="2"/>
      </rPr>
      <t>0.4</t>
    </r>
    <r>
      <rPr>
        <b/>
        <sz val="10"/>
        <rFont val="Arial"/>
        <family val="2"/>
      </rPr>
      <t>Co</t>
    </r>
    <r>
      <rPr>
        <b/>
        <vertAlign val="subscript"/>
        <sz val="10"/>
        <rFont val="Arial"/>
        <family val="2"/>
      </rPr>
      <t>0.2</t>
    </r>
    <r>
      <rPr>
        <b/>
        <sz val="10"/>
        <rFont val="Arial"/>
        <family val="2"/>
      </rPr>
      <t>Mn</t>
    </r>
    <r>
      <rPr>
        <b/>
        <vertAlign val="subscript"/>
        <sz val="10"/>
        <rFont val="Arial"/>
        <family val="2"/>
      </rPr>
      <t>0.4</t>
    </r>
    <r>
      <rPr>
        <b/>
        <sz val="10"/>
        <rFont val="Arial"/>
        <family val="2"/>
      </rPr>
      <t>(OH)</t>
    </r>
    <r>
      <rPr>
        <b/>
        <vertAlign val="subscript"/>
        <sz val="10"/>
        <rFont val="Arial"/>
        <family val="2"/>
      </rPr>
      <t>2)</t>
    </r>
  </si>
  <si>
    <r>
      <t>Production of LiNi</t>
    </r>
    <r>
      <rPr>
        <b/>
        <vertAlign val="subscript"/>
        <sz val="10"/>
        <rFont val="Arial"/>
        <family val="2"/>
      </rPr>
      <t>0.4</t>
    </r>
    <r>
      <rPr>
        <b/>
        <sz val="10"/>
        <rFont val="Arial"/>
        <family val="2"/>
      </rPr>
      <t>Co</t>
    </r>
    <r>
      <rPr>
        <b/>
        <vertAlign val="subscript"/>
        <sz val="10"/>
        <rFont val="Arial"/>
        <family val="2"/>
      </rPr>
      <t>0.2</t>
    </r>
    <r>
      <rPr>
        <b/>
        <sz val="10"/>
        <rFont val="Arial"/>
        <family val="2"/>
      </rPr>
      <t>Mn</t>
    </r>
    <r>
      <rPr>
        <b/>
        <vertAlign val="subscript"/>
        <sz val="10"/>
        <rFont val="Arial"/>
        <family val="2"/>
      </rPr>
      <t>0.4</t>
    </r>
    <r>
      <rPr>
        <b/>
        <sz val="10"/>
        <rFont val="Arial"/>
        <family val="2"/>
      </rPr>
      <t>O</t>
    </r>
    <r>
      <rPr>
        <b/>
        <vertAlign val="subscript"/>
        <sz val="10"/>
        <rFont val="Arial"/>
        <family val="2"/>
      </rPr>
      <t>2</t>
    </r>
  </si>
  <si>
    <r>
      <t>Production of Nickel Cobalt Manganese Hydroxide (Ni1/3Co1/3Mn1/3(OH)</t>
    </r>
    <r>
      <rPr>
        <b/>
        <vertAlign val="subscript"/>
        <sz val="10"/>
        <rFont val="Arial"/>
        <family val="2"/>
      </rPr>
      <t>2)</t>
    </r>
  </si>
  <si>
    <r>
      <t>Production of LiNi1/3Co1/3Mn1/3O</t>
    </r>
    <r>
      <rPr>
        <b/>
        <vertAlign val="subscript"/>
        <sz val="10"/>
        <rFont val="Arial"/>
        <family val="2"/>
      </rPr>
      <t>2</t>
    </r>
  </si>
  <si>
    <r>
      <t>Production of Nickel Cobalt Manganese Hydroxide (Ni</t>
    </r>
    <r>
      <rPr>
        <b/>
        <vertAlign val="subscript"/>
        <sz val="10"/>
        <rFont val="Arial"/>
        <family val="2"/>
      </rPr>
      <t>0.5</t>
    </r>
    <r>
      <rPr>
        <b/>
        <sz val="10"/>
        <rFont val="Arial"/>
        <family val="2"/>
      </rPr>
      <t>Co</t>
    </r>
    <r>
      <rPr>
        <b/>
        <vertAlign val="subscript"/>
        <sz val="10"/>
        <rFont val="Arial"/>
        <family val="2"/>
      </rPr>
      <t>0.3</t>
    </r>
    <r>
      <rPr>
        <b/>
        <sz val="10"/>
        <rFont val="Arial"/>
        <family val="2"/>
      </rPr>
      <t>Mn</t>
    </r>
    <r>
      <rPr>
        <b/>
        <vertAlign val="subscript"/>
        <sz val="10"/>
        <rFont val="Arial"/>
        <family val="2"/>
      </rPr>
      <t>0.2</t>
    </r>
    <r>
      <rPr>
        <b/>
        <sz val="10"/>
        <rFont val="Arial"/>
        <family val="2"/>
      </rPr>
      <t>(OH)</t>
    </r>
    <r>
      <rPr>
        <b/>
        <vertAlign val="subscript"/>
        <sz val="10"/>
        <rFont val="Arial"/>
        <family val="2"/>
      </rPr>
      <t>2)</t>
    </r>
  </si>
  <si>
    <r>
      <t>Production of LiNi</t>
    </r>
    <r>
      <rPr>
        <b/>
        <vertAlign val="subscript"/>
        <sz val="10"/>
        <rFont val="Arial"/>
        <family val="2"/>
      </rPr>
      <t>0.5</t>
    </r>
    <r>
      <rPr>
        <b/>
        <sz val="10"/>
        <rFont val="Arial"/>
        <family val="2"/>
      </rPr>
      <t>Co</t>
    </r>
    <r>
      <rPr>
        <b/>
        <vertAlign val="subscript"/>
        <sz val="10"/>
        <rFont val="Arial"/>
        <family val="2"/>
      </rPr>
      <t>0.3</t>
    </r>
    <r>
      <rPr>
        <b/>
        <sz val="10"/>
        <rFont val="Arial"/>
        <family val="2"/>
      </rPr>
      <t>Mn</t>
    </r>
    <r>
      <rPr>
        <b/>
        <vertAlign val="subscript"/>
        <sz val="10"/>
        <rFont val="Arial"/>
        <family val="2"/>
      </rPr>
      <t>0.2</t>
    </r>
    <r>
      <rPr>
        <b/>
        <sz val="10"/>
        <rFont val="Arial"/>
        <family val="2"/>
      </rPr>
      <t>O</t>
    </r>
    <r>
      <rPr>
        <b/>
        <vertAlign val="subscript"/>
        <sz val="10"/>
        <rFont val="Arial"/>
        <family val="2"/>
      </rPr>
      <t>2</t>
    </r>
  </si>
  <si>
    <r>
      <t>Production of Nickel Cobalt Manganese Hydroxide (Ni</t>
    </r>
    <r>
      <rPr>
        <b/>
        <vertAlign val="subscript"/>
        <sz val="10"/>
        <rFont val="Arial"/>
        <family val="2"/>
      </rPr>
      <t>0.6</t>
    </r>
    <r>
      <rPr>
        <b/>
        <sz val="10"/>
        <rFont val="Arial"/>
        <family val="2"/>
      </rPr>
      <t>Co</t>
    </r>
    <r>
      <rPr>
        <b/>
        <vertAlign val="subscript"/>
        <sz val="10"/>
        <rFont val="Arial"/>
        <family val="2"/>
      </rPr>
      <t>0.2</t>
    </r>
    <r>
      <rPr>
        <b/>
        <sz val="10"/>
        <rFont val="Arial"/>
        <family val="2"/>
      </rPr>
      <t>Mn</t>
    </r>
    <r>
      <rPr>
        <b/>
        <vertAlign val="subscript"/>
        <sz val="10"/>
        <rFont val="Arial"/>
        <family val="2"/>
      </rPr>
      <t>0.2</t>
    </r>
    <r>
      <rPr>
        <b/>
        <sz val="10"/>
        <rFont val="Arial"/>
        <family val="2"/>
      </rPr>
      <t>(OH)</t>
    </r>
    <r>
      <rPr>
        <b/>
        <vertAlign val="subscript"/>
        <sz val="10"/>
        <rFont val="Arial"/>
        <family val="2"/>
      </rPr>
      <t>2)</t>
    </r>
  </si>
  <si>
    <r>
      <t>Production of LiNi</t>
    </r>
    <r>
      <rPr>
        <b/>
        <vertAlign val="subscript"/>
        <sz val="10"/>
        <rFont val="Arial"/>
        <family val="2"/>
      </rPr>
      <t>0.6</t>
    </r>
    <r>
      <rPr>
        <b/>
        <sz val="10"/>
        <rFont val="Arial"/>
        <family val="2"/>
      </rPr>
      <t>Co</t>
    </r>
    <r>
      <rPr>
        <b/>
        <vertAlign val="subscript"/>
        <sz val="10"/>
        <rFont val="Arial"/>
        <family val="2"/>
      </rPr>
      <t>0.2</t>
    </r>
    <r>
      <rPr>
        <b/>
        <sz val="10"/>
        <rFont val="Arial"/>
        <family val="2"/>
      </rPr>
      <t>Mn</t>
    </r>
    <r>
      <rPr>
        <b/>
        <vertAlign val="subscript"/>
        <sz val="10"/>
        <rFont val="Arial"/>
        <family val="2"/>
      </rPr>
      <t>0.2</t>
    </r>
    <r>
      <rPr>
        <b/>
        <sz val="10"/>
        <rFont val="Arial"/>
        <family val="2"/>
      </rPr>
      <t>O</t>
    </r>
    <r>
      <rPr>
        <b/>
        <vertAlign val="subscript"/>
        <sz val="10"/>
        <rFont val="Arial"/>
        <family val="2"/>
      </rPr>
      <t>2</t>
    </r>
  </si>
  <si>
    <r>
      <t>Production of Nickel Cobalt Manganese Hydroxide (Ni</t>
    </r>
    <r>
      <rPr>
        <b/>
        <vertAlign val="subscript"/>
        <sz val="10"/>
        <rFont val="Arial"/>
        <family val="2"/>
      </rPr>
      <t>0.8</t>
    </r>
    <r>
      <rPr>
        <b/>
        <sz val="10"/>
        <rFont val="Arial"/>
        <family val="2"/>
      </rPr>
      <t>Co</t>
    </r>
    <r>
      <rPr>
        <b/>
        <vertAlign val="subscript"/>
        <sz val="10"/>
        <rFont val="Arial"/>
        <family val="2"/>
      </rPr>
      <t>0.1</t>
    </r>
    <r>
      <rPr>
        <b/>
        <sz val="10"/>
        <rFont val="Arial"/>
        <family val="2"/>
      </rPr>
      <t>Mn</t>
    </r>
    <r>
      <rPr>
        <b/>
        <vertAlign val="subscript"/>
        <sz val="10"/>
        <rFont val="Arial"/>
        <family val="2"/>
      </rPr>
      <t>0.1</t>
    </r>
    <r>
      <rPr>
        <b/>
        <sz val="10"/>
        <rFont val="Arial"/>
        <family val="2"/>
      </rPr>
      <t>(OH)</t>
    </r>
    <r>
      <rPr>
        <b/>
        <vertAlign val="subscript"/>
        <sz val="10"/>
        <rFont val="Arial"/>
        <family val="2"/>
      </rPr>
      <t>2)</t>
    </r>
  </si>
  <si>
    <r>
      <t>Production of LiNi</t>
    </r>
    <r>
      <rPr>
        <b/>
        <vertAlign val="subscript"/>
        <sz val="10"/>
        <rFont val="Arial"/>
        <family val="2"/>
      </rPr>
      <t>0.8</t>
    </r>
    <r>
      <rPr>
        <b/>
        <sz val="10"/>
        <rFont val="Arial"/>
        <family val="2"/>
      </rPr>
      <t>Co</t>
    </r>
    <r>
      <rPr>
        <b/>
        <vertAlign val="subscript"/>
        <sz val="10"/>
        <rFont val="Arial"/>
        <family val="2"/>
      </rPr>
      <t>0.1</t>
    </r>
    <r>
      <rPr>
        <b/>
        <sz val="10"/>
        <rFont val="Arial"/>
        <family val="2"/>
      </rPr>
      <t>Mn</t>
    </r>
    <r>
      <rPr>
        <b/>
        <vertAlign val="subscript"/>
        <sz val="10"/>
        <rFont val="Arial"/>
        <family val="2"/>
      </rPr>
      <t>0.1</t>
    </r>
    <r>
      <rPr>
        <b/>
        <sz val="10"/>
        <rFont val="Arial"/>
        <family val="2"/>
      </rPr>
      <t>O</t>
    </r>
    <r>
      <rPr>
        <b/>
        <vertAlign val="subscript"/>
        <sz val="10"/>
        <rFont val="Arial"/>
        <family val="2"/>
      </rPr>
      <t>2</t>
    </r>
  </si>
  <si>
    <r>
      <t>Production of recycled Nickel Cobalt Manganese Hydroxide (Ni1/3Co1/3Mn1/3(OH)</t>
    </r>
    <r>
      <rPr>
        <b/>
        <vertAlign val="subscript"/>
        <sz val="10"/>
        <rFont val="Arial"/>
        <family val="2"/>
      </rPr>
      <t>2)</t>
    </r>
  </si>
  <si>
    <r>
      <t>Production of recycled LiNi1/3Co1/3Mn1/3O</t>
    </r>
    <r>
      <rPr>
        <b/>
        <vertAlign val="subscript"/>
        <sz val="10"/>
        <rFont val="Arial"/>
        <family val="2"/>
      </rPr>
      <t>2</t>
    </r>
  </si>
  <si>
    <t>Lithium Iron Phosphate Production</t>
  </si>
  <si>
    <r>
      <t>Production of Ni</t>
    </r>
    <r>
      <rPr>
        <b/>
        <vertAlign val="subscript"/>
        <sz val="10"/>
        <rFont val="Arial"/>
        <family val="2"/>
      </rPr>
      <t>0.219</t>
    </r>
    <r>
      <rPr>
        <b/>
        <sz val="10"/>
        <rFont val="Arial"/>
        <family val="2"/>
      </rPr>
      <t>Co</t>
    </r>
    <r>
      <rPr>
        <b/>
        <vertAlign val="subscript"/>
        <sz val="10"/>
        <rFont val="Arial"/>
        <family val="2"/>
      </rPr>
      <t>0.125</t>
    </r>
    <r>
      <rPr>
        <b/>
        <sz val="10"/>
        <rFont val="Arial"/>
        <family val="2"/>
      </rPr>
      <t>Mn</t>
    </r>
    <r>
      <rPr>
        <b/>
        <vertAlign val="subscript"/>
        <sz val="10"/>
        <rFont val="Arial"/>
        <family val="2"/>
      </rPr>
      <t>0.656</t>
    </r>
    <r>
      <rPr>
        <b/>
        <sz val="10"/>
        <rFont val="Arial"/>
        <family val="2"/>
      </rPr>
      <t>(OH)</t>
    </r>
    <r>
      <rPr>
        <b/>
        <vertAlign val="subscript"/>
        <sz val="10"/>
        <rFont val="Arial"/>
        <family val="2"/>
      </rPr>
      <t>2</t>
    </r>
  </si>
  <si>
    <r>
      <t>Production of 0.5 Li</t>
    </r>
    <r>
      <rPr>
        <b/>
        <vertAlign val="subscript"/>
        <sz val="10"/>
        <rFont val="Arial"/>
        <family val="2"/>
      </rPr>
      <t>2</t>
    </r>
    <r>
      <rPr>
        <b/>
        <sz val="10"/>
        <rFont val="Arial"/>
        <family val="2"/>
      </rPr>
      <t>MnO</t>
    </r>
    <r>
      <rPr>
        <b/>
        <vertAlign val="subscript"/>
        <sz val="10"/>
        <rFont val="Arial"/>
        <family val="2"/>
      </rPr>
      <t>3</t>
    </r>
    <r>
      <rPr>
        <b/>
        <sz val="10"/>
        <rFont val="Calibri"/>
        <family val="2"/>
      </rPr>
      <t>∙</t>
    </r>
    <r>
      <rPr>
        <b/>
        <sz val="10"/>
        <rFont val="Arial"/>
        <family val="2"/>
      </rPr>
      <t>0.5LiNi</t>
    </r>
    <r>
      <rPr>
        <b/>
        <vertAlign val="subscript"/>
        <sz val="10"/>
        <rFont val="Arial"/>
        <family val="2"/>
      </rPr>
      <t>0.44</t>
    </r>
    <r>
      <rPr>
        <b/>
        <sz val="10"/>
        <rFont val="Arial"/>
        <family val="2"/>
      </rPr>
      <t>Co</t>
    </r>
    <r>
      <rPr>
        <b/>
        <vertAlign val="subscript"/>
        <sz val="10"/>
        <rFont val="Arial"/>
        <family val="2"/>
      </rPr>
      <t>0.25</t>
    </r>
    <r>
      <rPr>
        <b/>
        <sz val="10"/>
        <rFont val="Arial"/>
        <family val="2"/>
      </rPr>
      <t>Mn</t>
    </r>
    <r>
      <rPr>
        <b/>
        <vertAlign val="subscript"/>
        <sz val="10"/>
        <rFont val="Arial"/>
        <family val="2"/>
      </rPr>
      <t>0.31</t>
    </r>
    <r>
      <rPr>
        <b/>
        <sz val="10"/>
        <rFont val="Arial"/>
        <family val="2"/>
      </rPr>
      <t>O</t>
    </r>
    <r>
      <rPr>
        <b/>
        <vertAlign val="subscript"/>
        <sz val="10"/>
        <rFont val="Arial"/>
        <family val="2"/>
      </rPr>
      <t>2</t>
    </r>
  </si>
  <si>
    <t>LCO Production</t>
  </si>
  <si>
    <r>
      <t>NaClO</t>
    </r>
    <r>
      <rPr>
        <b/>
        <vertAlign val="subscript"/>
        <sz val="10"/>
        <rFont val="Arial"/>
        <family val="2"/>
      </rPr>
      <t>3</t>
    </r>
    <r>
      <rPr>
        <b/>
        <sz val="10"/>
        <rFont val="Arial"/>
        <family val="2"/>
      </rPr>
      <t xml:space="preserve"> Production</t>
    </r>
  </si>
  <si>
    <r>
      <t>LiCoO</t>
    </r>
    <r>
      <rPr>
        <b/>
        <vertAlign val="subscript"/>
        <sz val="10"/>
        <rFont val="Arial"/>
        <family val="2"/>
      </rPr>
      <t xml:space="preserve">2 </t>
    </r>
    <r>
      <rPr>
        <b/>
        <sz val="10"/>
        <rFont val="Arial"/>
        <family val="2"/>
      </rPr>
      <t>Production</t>
    </r>
  </si>
  <si>
    <r>
      <t>LiFePO</t>
    </r>
    <r>
      <rPr>
        <b/>
        <vertAlign val="subscript"/>
        <sz val="10"/>
        <rFont val="Arial"/>
        <family val="2"/>
      </rPr>
      <t>4</t>
    </r>
    <r>
      <rPr>
        <b/>
        <sz val="10"/>
        <rFont val="Arial"/>
        <family val="2"/>
      </rPr>
      <t xml:space="preserve"> Production</t>
    </r>
  </si>
  <si>
    <t>Production of Graphite Silicon</t>
  </si>
  <si>
    <r>
      <t>Fe</t>
    </r>
    <r>
      <rPr>
        <b/>
        <vertAlign val="subscript"/>
        <sz val="10"/>
        <rFont val="Arial"/>
        <family val="2"/>
      </rPr>
      <t>3</t>
    </r>
    <r>
      <rPr>
        <b/>
        <sz val="10"/>
        <rFont val="Arial"/>
        <family val="2"/>
      </rPr>
      <t>O</t>
    </r>
    <r>
      <rPr>
        <b/>
        <vertAlign val="subscript"/>
        <sz val="10"/>
        <rFont val="Arial"/>
        <family val="2"/>
      </rPr>
      <t>4</t>
    </r>
    <r>
      <rPr>
        <b/>
        <sz val="10"/>
        <rFont val="Arial"/>
        <family val="2"/>
      </rPr>
      <t xml:space="preserve"> Production</t>
    </r>
  </si>
  <si>
    <t>Quartz</t>
  </si>
  <si>
    <t>Iron Sulfate Production</t>
  </si>
  <si>
    <r>
      <t>Production of Nickel Cobalt Aluminum(Ni</t>
    </r>
    <r>
      <rPr>
        <b/>
        <vertAlign val="subscript"/>
        <sz val="10"/>
        <rFont val="Arial"/>
        <family val="2"/>
      </rPr>
      <t>0.8</t>
    </r>
    <r>
      <rPr>
        <b/>
        <sz val="10"/>
        <rFont val="Arial"/>
        <family val="2"/>
      </rPr>
      <t>Co</t>
    </r>
    <r>
      <rPr>
        <b/>
        <vertAlign val="subscript"/>
        <sz val="10"/>
        <rFont val="Arial"/>
        <family val="2"/>
      </rPr>
      <t>0.15</t>
    </r>
    <r>
      <rPr>
        <b/>
        <sz val="10"/>
        <rFont val="Arial"/>
        <family val="2"/>
      </rPr>
      <t>Al</t>
    </r>
    <r>
      <rPr>
        <b/>
        <vertAlign val="subscript"/>
        <sz val="10"/>
        <rFont val="Arial"/>
        <family val="2"/>
      </rPr>
      <t>0.05</t>
    </r>
    <r>
      <rPr>
        <b/>
        <sz val="10"/>
        <rFont val="Arial"/>
        <family val="2"/>
      </rPr>
      <t>(OH)</t>
    </r>
    <r>
      <rPr>
        <b/>
        <vertAlign val="subscript"/>
        <sz val="10"/>
        <rFont val="Arial"/>
        <family val="2"/>
      </rPr>
      <t>2)</t>
    </r>
  </si>
  <si>
    <r>
      <t>Production of LiNi</t>
    </r>
    <r>
      <rPr>
        <b/>
        <vertAlign val="subscript"/>
        <sz val="10"/>
        <rFont val="Arial"/>
        <family val="2"/>
      </rPr>
      <t>0.8</t>
    </r>
    <r>
      <rPr>
        <b/>
        <sz val="10"/>
        <rFont val="Arial"/>
        <family val="2"/>
      </rPr>
      <t>Co</t>
    </r>
    <r>
      <rPr>
        <b/>
        <vertAlign val="subscript"/>
        <sz val="10"/>
        <rFont val="Arial"/>
        <family val="2"/>
      </rPr>
      <t>0.15</t>
    </r>
    <r>
      <rPr>
        <b/>
        <sz val="10"/>
        <rFont val="Arial"/>
        <family val="2"/>
      </rPr>
      <t>Al</t>
    </r>
    <r>
      <rPr>
        <b/>
        <vertAlign val="subscript"/>
        <sz val="10"/>
        <rFont val="Arial"/>
        <family val="2"/>
      </rPr>
      <t>0.05</t>
    </r>
    <r>
      <rPr>
        <b/>
        <sz val="10"/>
        <rFont val="Arial"/>
        <family val="2"/>
      </rPr>
      <t>O</t>
    </r>
    <r>
      <rPr>
        <b/>
        <vertAlign val="subscript"/>
        <sz val="10"/>
        <rFont val="Arial"/>
        <family val="2"/>
      </rPr>
      <t>2</t>
    </r>
  </si>
  <si>
    <r>
      <t>Production of Ni</t>
    </r>
    <r>
      <rPr>
        <b/>
        <vertAlign val="subscript"/>
        <sz val="10"/>
        <rFont val="Arial"/>
        <family val="2"/>
      </rPr>
      <t>0.4</t>
    </r>
    <r>
      <rPr>
        <b/>
        <sz val="10"/>
        <rFont val="Arial"/>
        <family val="2"/>
      </rPr>
      <t>Co</t>
    </r>
    <r>
      <rPr>
        <b/>
        <vertAlign val="subscript"/>
        <sz val="10"/>
        <rFont val="Arial"/>
        <family val="2"/>
      </rPr>
      <t>0.2</t>
    </r>
    <r>
      <rPr>
        <b/>
        <sz val="10"/>
        <rFont val="Arial"/>
        <family val="2"/>
      </rPr>
      <t>Mn</t>
    </r>
    <r>
      <rPr>
        <b/>
        <vertAlign val="subscript"/>
        <sz val="10"/>
        <rFont val="Arial"/>
        <family val="2"/>
      </rPr>
      <t>0.4</t>
    </r>
    <r>
      <rPr>
        <b/>
        <sz val="10"/>
        <rFont val="Arial"/>
        <family val="2"/>
      </rPr>
      <t>(OH)</t>
    </r>
    <r>
      <rPr>
        <b/>
        <vertAlign val="subscript"/>
        <sz val="10"/>
        <rFont val="Arial"/>
        <family val="2"/>
      </rPr>
      <t>2</t>
    </r>
  </si>
  <si>
    <r>
      <t>Production of Ni1/3Co1/3Mn1/3(OH)</t>
    </r>
    <r>
      <rPr>
        <b/>
        <vertAlign val="subscript"/>
        <sz val="10"/>
        <rFont val="Arial"/>
        <family val="2"/>
      </rPr>
      <t>2</t>
    </r>
  </si>
  <si>
    <r>
      <t>Production of Ni</t>
    </r>
    <r>
      <rPr>
        <b/>
        <vertAlign val="subscript"/>
        <sz val="10"/>
        <rFont val="Arial"/>
        <family val="2"/>
      </rPr>
      <t>0.5</t>
    </r>
    <r>
      <rPr>
        <b/>
        <sz val="10"/>
        <rFont val="Arial"/>
        <family val="2"/>
      </rPr>
      <t>Co</t>
    </r>
    <r>
      <rPr>
        <b/>
        <vertAlign val="subscript"/>
        <sz val="10"/>
        <rFont val="Arial"/>
        <family val="2"/>
      </rPr>
      <t>0.3</t>
    </r>
    <r>
      <rPr>
        <b/>
        <sz val="10"/>
        <rFont val="Arial"/>
        <family val="2"/>
      </rPr>
      <t>Mn</t>
    </r>
    <r>
      <rPr>
        <b/>
        <vertAlign val="subscript"/>
        <sz val="10"/>
        <rFont val="Arial"/>
        <family val="2"/>
      </rPr>
      <t>0.2</t>
    </r>
    <r>
      <rPr>
        <b/>
        <sz val="10"/>
        <rFont val="Arial"/>
        <family val="2"/>
      </rPr>
      <t>(OH)</t>
    </r>
    <r>
      <rPr>
        <b/>
        <vertAlign val="subscript"/>
        <sz val="10"/>
        <rFont val="Arial"/>
        <family val="2"/>
      </rPr>
      <t>2</t>
    </r>
  </si>
  <si>
    <r>
      <t>Production of Ni</t>
    </r>
    <r>
      <rPr>
        <b/>
        <vertAlign val="subscript"/>
        <sz val="10"/>
        <rFont val="Arial"/>
        <family val="2"/>
      </rPr>
      <t>0.6</t>
    </r>
    <r>
      <rPr>
        <b/>
        <sz val="10"/>
        <rFont val="Arial"/>
        <family val="2"/>
      </rPr>
      <t>Co</t>
    </r>
    <r>
      <rPr>
        <b/>
        <vertAlign val="subscript"/>
        <sz val="10"/>
        <rFont val="Arial"/>
        <family val="2"/>
      </rPr>
      <t>0.2</t>
    </r>
    <r>
      <rPr>
        <b/>
        <sz val="10"/>
        <rFont val="Arial"/>
        <family val="2"/>
      </rPr>
      <t>Mn</t>
    </r>
    <r>
      <rPr>
        <b/>
        <vertAlign val="subscript"/>
        <sz val="10"/>
        <rFont val="Arial"/>
        <family val="2"/>
      </rPr>
      <t>0.2</t>
    </r>
    <r>
      <rPr>
        <b/>
        <sz val="10"/>
        <rFont val="Arial"/>
        <family val="2"/>
      </rPr>
      <t>(OH)</t>
    </r>
    <r>
      <rPr>
        <b/>
        <vertAlign val="subscript"/>
        <sz val="10"/>
        <rFont val="Arial"/>
        <family val="2"/>
      </rPr>
      <t>2</t>
    </r>
  </si>
  <si>
    <r>
      <t>Production of Ni</t>
    </r>
    <r>
      <rPr>
        <b/>
        <vertAlign val="subscript"/>
        <sz val="10"/>
        <rFont val="Arial"/>
        <family val="2"/>
      </rPr>
      <t>0.8</t>
    </r>
    <r>
      <rPr>
        <b/>
        <sz val="10"/>
        <rFont val="Arial"/>
        <family val="2"/>
      </rPr>
      <t>Co</t>
    </r>
    <r>
      <rPr>
        <b/>
        <vertAlign val="subscript"/>
        <sz val="10"/>
        <rFont val="Arial"/>
        <family val="2"/>
      </rPr>
      <t>0.1</t>
    </r>
    <r>
      <rPr>
        <b/>
        <sz val="10"/>
        <rFont val="Arial"/>
        <family val="2"/>
      </rPr>
      <t>Mn</t>
    </r>
    <r>
      <rPr>
        <b/>
        <vertAlign val="subscript"/>
        <sz val="10"/>
        <rFont val="Arial"/>
        <family val="2"/>
      </rPr>
      <t>0.1</t>
    </r>
    <r>
      <rPr>
        <b/>
        <sz val="10"/>
        <rFont val="Arial"/>
        <family val="2"/>
      </rPr>
      <t>(OH)</t>
    </r>
    <r>
      <rPr>
        <b/>
        <vertAlign val="subscript"/>
        <sz val="10"/>
        <rFont val="Arial"/>
        <family val="2"/>
      </rPr>
      <t>2</t>
    </r>
  </si>
  <si>
    <r>
      <t>Production of recycled Ni1/3Co1/3Mn1/3(OH)</t>
    </r>
    <r>
      <rPr>
        <b/>
        <vertAlign val="subscript"/>
        <sz val="10"/>
        <rFont val="Arial"/>
        <family val="2"/>
      </rPr>
      <t>2</t>
    </r>
  </si>
  <si>
    <t xml:space="preserve">Lithium Iron Phosphate Production via hydrothermal preparation </t>
  </si>
  <si>
    <t>LCO Production via solid state preparation</t>
  </si>
  <si>
    <r>
      <t>LiCoO</t>
    </r>
    <r>
      <rPr>
        <b/>
        <vertAlign val="subscript"/>
        <sz val="10"/>
        <rFont val="Arial"/>
        <family val="2"/>
      </rPr>
      <t>2</t>
    </r>
    <r>
      <rPr>
        <b/>
        <sz val="10"/>
        <rFont val="Arial"/>
        <family val="2"/>
      </rPr>
      <t xml:space="preserve"> Production via hydrothermal preparation</t>
    </r>
  </si>
  <si>
    <r>
      <t>LiFePO</t>
    </r>
    <r>
      <rPr>
        <b/>
        <vertAlign val="subscript"/>
        <sz val="10"/>
        <rFont val="Arial"/>
        <family val="2"/>
      </rPr>
      <t>4</t>
    </r>
    <r>
      <rPr>
        <b/>
        <sz val="10"/>
        <rFont val="Arial"/>
        <family val="2"/>
      </rPr>
      <t xml:space="preserve"> Production via solid state preparation</t>
    </r>
  </si>
  <si>
    <t>Iron Sulfate Production- Waste Product of Steel Making</t>
  </si>
  <si>
    <t>Aluminum hydroxide Production</t>
  </si>
  <si>
    <t>Aluminum Sulfate Production</t>
  </si>
  <si>
    <r>
      <t>Production of Ni</t>
    </r>
    <r>
      <rPr>
        <b/>
        <vertAlign val="subscript"/>
        <sz val="10"/>
        <rFont val="Arial"/>
        <family val="2"/>
      </rPr>
      <t>0.8</t>
    </r>
    <r>
      <rPr>
        <b/>
        <sz val="10"/>
        <rFont val="Arial"/>
        <family val="2"/>
      </rPr>
      <t>Co</t>
    </r>
    <r>
      <rPr>
        <b/>
        <vertAlign val="subscript"/>
        <sz val="10"/>
        <rFont val="Arial"/>
        <family val="2"/>
      </rPr>
      <t>0.15</t>
    </r>
    <r>
      <rPr>
        <b/>
        <sz val="10"/>
        <rFont val="Arial"/>
        <family val="2"/>
      </rPr>
      <t>AL</t>
    </r>
    <r>
      <rPr>
        <b/>
        <vertAlign val="subscript"/>
        <sz val="10"/>
        <rFont val="Arial"/>
        <family val="2"/>
      </rPr>
      <t>0.05</t>
    </r>
    <r>
      <rPr>
        <b/>
        <sz val="10"/>
        <rFont val="Arial"/>
        <family val="2"/>
      </rPr>
      <t>(OH)</t>
    </r>
    <r>
      <rPr>
        <b/>
        <vertAlign val="subscript"/>
        <sz val="10"/>
        <rFont val="Arial"/>
        <family val="2"/>
      </rPr>
      <t>2</t>
    </r>
  </si>
  <si>
    <t>Bauxite production</t>
  </si>
  <si>
    <t>4) Summary of Energy Consumption and Emissions Related to Other Cathode Production</t>
  </si>
  <si>
    <t xml:space="preserve">Manganese Sulfate  </t>
  </si>
  <si>
    <t xml:space="preserve">Ammonium Hydroxide  </t>
  </si>
  <si>
    <r>
      <t>Nickel Cobalt Manganese Hydroxide (Ni</t>
    </r>
    <r>
      <rPr>
        <b/>
        <vertAlign val="subscript"/>
        <sz val="10"/>
        <rFont val="Arial"/>
        <family val="2"/>
      </rPr>
      <t>0.4</t>
    </r>
    <r>
      <rPr>
        <b/>
        <sz val="10"/>
        <rFont val="Arial"/>
        <family val="2"/>
      </rPr>
      <t>Co</t>
    </r>
    <r>
      <rPr>
        <b/>
        <vertAlign val="subscript"/>
        <sz val="10"/>
        <rFont val="Arial"/>
        <family val="2"/>
      </rPr>
      <t>0.2</t>
    </r>
    <r>
      <rPr>
        <b/>
        <sz val="10"/>
        <rFont val="Arial"/>
        <family val="2"/>
      </rPr>
      <t>Mn</t>
    </r>
    <r>
      <rPr>
        <b/>
        <vertAlign val="subscript"/>
        <sz val="10"/>
        <rFont val="Arial"/>
        <family val="2"/>
      </rPr>
      <t>0.4</t>
    </r>
    <r>
      <rPr>
        <b/>
        <sz val="10"/>
        <rFont val="Arial"/>
        <family val="2"/>
      </rPr>
      <t>(OH)</t>
    </r>
    <r>
      <rPr>
        <b/>
        <vertAlign val="subscript"/>
        <sz val="10"/>
        <rFont val="Arial"/>
        <family val="2"/>
      </rPr>
      <t>2</t>
    </r>
    <r>
      <rPr>
        <b/>
        <sz val="10"/>
        <rFont val="Arial"/>
        <family val="2"/>
      </rPr>
      <t>)</t>
    </r>
  </si>
  <si>
    <r>
      <t>NMC: Co-precipitation (LiNi</t>
    </r>
    <r>
      <rPr>
        <b/>
        <vertAlign val="subscript"/>
        <sz val="10"/>
        <rFont val="Arial"/>
        <family val="2"/>
      </rPr>
      <t>0.4</t>
    </r>
    <r>
      <rPr>
        <b/>
        <sz val="10"/>
        <rFont val="Arial"/>
        <family val="2"/>
      </rPr>
      <t>Co</t>
    </r>
    <r>
      <rPr>
        <b/>
        <vertAlign val="subscript"/>
        <sz val="10"/>
        <rFont val="Arial"/>
        <family val="2"/>
      </rPr>
      <t>0.2</t>
    </r>
    <r>
      <rPr>
        <b/>
        <sz val="10"/>
        <rFont val="Arial"/>
        <family val="2"/>
      </rPr>
      <t>Mn</t>
    </r>
    <r>
      <rPr>
        <b/>
        <vertAlign val="subscript"/>
        <sz val="10"/>
        <rFont val="Arial"/>
        <family val="2"/>
      </rPr>
      <t>0.4</t>
    </r>
    <r>
      <rPr>
        <b/>
        <sz val="10"/>
        <rFont val="Arial"/>
        <family val="2"/>
      </rPr>
      <t>O</t>
    </r>
    <r>
      <rPr>
        <b/>
        <vertAlign val="subscript"/>
        <sz val="10"/>
        <rFont val="Arial"/>
        <family val="2"/>
      </rPr>
      <t>2</t>
    </r>
    <r>
      <rPr>
        <b/>
        <sz val="10"/>
        <rFont val="Arial"/>
        <family val="2"/>
      </rPr>
      <t>)</t>
    </r>
  </si>
  <si>
    <r>
      <t>Nickel Cobalt Manganese Hydroxide (Ni1/3Co1/3Mn1/3(OH)</t>
    </r>
    <r>
      <rPr>
        <b/>
        <vertAlign val="subscript"/>
        <sz val="10"/>
        <rFont val="Arial"/>
        <family val="2"/>
      </rPr>
      <t>2</t>
    </r>
    <r>
      <rPr>
        <b/>
        <sz val="10"/>
        <rFont val="Arial"/>
        <family val="2"/>
      </rPr>
      <t>)</t>
    </r>
  </si>
  <si>
    <r>
      <t>NMC: Co-precipitation (LiNi1/3Co1/3Mn1/3O</t>
    </r>
    <r>
      <rPr>
        <b/>
        <vertAlign val="subscript"/>
        <sz val="10"/>
        <rFont val="Arial"/>
        <family val="2"/>
      </rPr>
      <t>2</t>
    </r>
    <r>
      <rPr>
        <b/>
        <sz val="10"/>
        <rFont val="Arial"/>
        <family val="2"/>
      </rPr>
      <t>)</t>
    </r>
  </si>
  <si>
    <r>
      <t>Nickel Cobalt Manganese Hydroxide (Ni</t>
    </r>
    <r>
      <rPr>
        <b/>
        <vertAlign val="subscript"/>
        <sz val="10"/>
        <rFont val="Arial"/>
        <family val="2"/>
      </rPr>
      <t>0.5</t>
    </r>
    <r>
      <rPr>
        <b/>
        <sz val="10"/>
        <rFont val="Arial"/>
        <family val="2"/>
      </rPr>
      <t>Co</t>
    </r>
    <r>
      <rPr>
        <b/>
        <vertAlign val="subscript"/>
        <sz val="10"/>
        <rFont val="Arial"/>
        <family val="2"/>
      </rPr>
      <t>0.3</t>
    </r>
    <r>
      <rPr>
        <b/>
        <sz val="10"/>
        <rFont val="Arial"/>
        <family val="2"/>
      </rPr>
      <t>Mn</t>
    </r>
    <r>
      <rPr>
        <b/>
        <vertAlign val="subscript"/>
        <sz val="10"/>
        <rFont val="Arial"/>
        <family val="2"/>
      </rPr>
      <t>0.2</t>
    </r>
    <r>
      <rPr>
        <b/>
        <sz val="10"/>
        <rFont val="Arial"/>
        <family val="2"/>
      </rPr>
      <t>(OH)</t>
    </r>
    <r>
      <rPr>
        <b/>
        <vertAlign val="subscript"/>
        <sz val="10"/>
        <rFont val="Arial"/>
        <family val="2"/>
      </rPr>
      <t>2</t>
    </r>
    <r>
      <rPr>
        <b/>
        <sz val="10"/>
        <rFont val="Arial"/>
        <family val="2"/>
      </rPr>
      <t>)</t>
    </r>
  </si>
  <si>
    <r>
      <t>NMC: Co-precipitation (LiNi</t>
    </r>
    <r>
      <rPr>
        <b/>
        <vertAlign val="subscript"/>
        <sz val="10"/>
        <rFont val="Arial"/>
        <family val="2"/>
      </rPr>
      <t>0.5</t>
    </r>
    <r>
      <rPr>
        <b/>
        <sz val="10"/>
        <rFont val="Arial"/>
        <family val="2"/>
      </rPr>
      <t>Co</t>
    </r>
    <r>
      <rPr>
        <b/>
        <vertAlign val="subscript"/>
        <sz val="10"/>
        <rFont val="Arial"/>
        <family val="2"/>
      </rPr>
      <t>0.3</t>
    </r>
    <r>
      <rPr>
        <b/>
        <sz val="10"/>
        <rFont val="Arial"/>
        <family val="2"/>
      </rPr>
      <t>Mn</t>
    </r>
    <r>
      <rPr>
        <b/>
        <vertAlign val="subscript"/>
        <sz val="10"/>
        <rFont val="Arial"/>
        <family val="2"/>
      </rPr>
      <t>0.2</t>
    </r>
    <r>
      <rPr>
        <b/>
        <sz val="10"/>
        <rFont val="Arial"/>
        <family val="2"/>
      </rPr>
      <t>O</t>
    </r>
    <r>
      <rPr>
        <b/>
        <vertAlign val="subscript"/>
        <sz val="10"/>
        <rFont val="Arial"/>
        <family val="2"/>
      </rPr>
      <t>2</t>
    </r>
    <r>
      <rPr>
        <b/>
        <sz val="10"/>
        <rFont val="Arial"/>
        <family val="2"/>
      </rPr>
      <t>)</t>
    </r>
  </si>
  <si>
    <r>
      <t>Nickel Cobalt Manganese Hydroxide (Ni</t>
    </r>
    <r>
      <rPr>
        <b/>
        <vertAlign val="subscript"/>
        <sz val="10"/>
        <rFont val="Arial"/>
        <family val="2"/>
      </rPr>
      <t>0.6</t>
    </r>
    <r>
      <rPr>
        <b/>
        <sz val="10"/>
        <rFont val="Arial"/>
        <family val="2"/>
      </rPr>
      <t>Co</t>
    </r>
    <r>
      <rPr>
        <b/>
        <vertAlign val="subscript"/>
        <sz val="10"/>
        <rFont val="Arial"/>
        <family val="2"/>
      </rPr>
      <t>0.2</t>
    </r>
    <r>
      <rPr>
        <b/>
        <sz val="10"/>
        <rFont val="Arial"/>
        <family val="2"/>
      </rPr>
      <t>Mn</t>
    </r>
    <r>
      <rPr>
        <b/>
        <vertAlign val="subscript"/>
        <sz val="10"/>
        <rFont val="Arial"/>
        <family val="2"/>
      </rPr>
      <t>0.2</t>
    </r>
    <r>
      <rPr>
        <b/>
        <sz val="10"/>
        <rFont val="Arial"/>
        <family val="2"/>
      </rPr>
      <t>(OH)</t>
    </r>
    <r>
      <rPr>
        <b/>
        <vertAlign val="subscript"/>
        <sz val="10"/>
        <rFont val="Arial"/>
        <family val="2"/>
      </rPr>
      <t>2</t>
    </r>
    <r>
      <rPr>
        <b/>
        <sz val="10"/>
        <rFont val="Arial"/>
        <family val="2"/>
      </rPr>
      <t>)</t>
    </r>
  </si>
  <si>
    <r>
      <t>NMC: Co-precipitation (LiNi</t>
    </r>
    <r>
      <rPr>
        <b/>
        <vertAlign val="subscript"/>
        <sz val="10"/>
        <rFont val="Arial"/>
        <family val="2"/>
      </rPr>
      <t>0.6</t>
    </r>
    <r>
      <rPr>
        <b/>
        <sz val="10"/>
        <rFont val="Arial"/>
        <family val="2"/>
      </rPr>
      <t>Co</t>
    </r>
    <r>
      <rPr>
        <b/>
        <vertAlign val="subscript"/>
        <sz val="10"/>
        <rFont val="Arial"/>
        <family val="2"/>
      </rPr>
      <t>0.2</t>
    </r>
    <r>
      <rPr>
        <b/>
        <sz val="10"/>
        <rFont val="Arial"/>
        <family val="2"/>
      </rPr>
      <t>Mn</t>
    </r>
    <r>
      <rPr>
        <b/>
        <vertAlign val="subscript"/>
        <sz val="10"/>
        <rFont val="Arial"/>
        <family val="2"/>
      </rPr>
      <t>0.2</t>
    </r>
    <r>
      <rPr>
        <b/>
        <sz val="10"/>
        <rFont val="Arial"/>
        <family val="2"/>
      </rPr>
      <t>O</t>
    </r>
    <r>
      <rPr>
        <b/>
        <vertAlign val="subscript"/>
        <sz val="10"/>
        <rFont val="Arial"/>
        <family val="2"/>
      </rPr>
      <t>2</t>
    </r>
    <r>
      <rPr>
        <b/>
        <sz val="10"/>
        <rFont val="Arial"/>
        <family val="2"/>
      </rPr>
      <t>)</t>
    </r>
  </si>
  <si>
    <r>
      <t>Nickel Cobalt Manganese Hydroxide (Ni</t>
    </r>
    <r>
      <rPr>
        <b/>
        <vertAlign val="subscript"/>
        <sz val="10"/>
        <rFont val="Arial"/>
        <family val="2"/>
      </rPr>
      <t>0.8</t>
    </r>
    <r>
      <rPr>
        <b/>
        <sz val="10"/>
        <rFont val="Arial"/>
        <family val="2"/>
      </rPr>
      <t>Co</t>
    </r>
    <r>
      <rPr>
        <b/>
        <vertAlign val="subscript"/>
        <sz val="10"/>
        <rFont val="Arial"/>
        <family val="2"/>
      </rPr>
      <t>0.1</t>
    </r>
    <r>
      <rPr>
        <b/>
        <sz val="10"/>
        <rFont val="Arial"/>
        <family val="2"/>
      </rPr>
      <t>Mn</t>
    </r>
    <r>
      <rPr>
        <b/>
        <vertAlign val="subscript"/>
        <sz val="10"/>
        <rFont val="Arial"/>
        <family val="2"/>
      </rPr>
      <t>0.1</t>
    </r>
    <r>
      <rPr>
        <b/>
        <sz val="10"/>
        <rFont val="Arial"/>
        <family val="2"/>
      </rPr>
      <t>(OH)</t>
    </r>
    <r>
      <rPr>
        <b/>
        <vertAlign val="subscript"/>
        <sz val="10"/>
        <rFont val="Arial"/>
        <family val="2"/>
      </rPr>
      <t>2</t>
    </r>
    <r>
      <rPr>
        <b/>
        <sz val="10"/>
        <rFont val="Arial"/>
        <family val="2"/>
      </rPr>
      <t>)</t>
    </r>
  </si>
  <si>
    <r>
      <t>NMC: Co-precipitation (LiNi</t>
    </r>
    <r>
      <rPr>
        <b/>
        <vertAlign val="subscript"/>
        <sz val="10"/>
        <rFont val="Arial"/>
        <family val="2"/>
      </rPr>
      <t>0.8</t>
    </r>
    <r>
      <rPr>
        <b/>
        <sz val="10"/>
        <rFont val="Arial"/>
        <family val="2"/>
      </rPr>
      <t>Co</t>
    </r>
    <r>
      <rPr>
        <b/>
        <vertAlign val="subscript"/>
        <sz val="10"/>
        <rFont val="Arial"/>
        <family val="2"/>
      </rPr>
      <t>0.1</t>
    </r>
    <r>
      <rPr>
        <b/>
        <sz val="10"/>
        <rFont val="Arial"/>
        <family val="2"/>
      </rPr>
      <t>Mn</t>
    </r>
    <r>
      <rPr>
        <b/>
        <vertAlign val="subscript"/>
        <sz val="10"/>
        <rFont val="Arial"/>
        <family val="2"/>
      </rPr>
      <t>0.1</t>
    </r>
    <r>
      <rPr>
        <b/>
        <sz val="10"/>
        <rFont val="Arial"/>
        <family val="2"/>
      </rPr>
      <t>O</t>
    </r>
    <r>
      <rPr>
        <b/>
        <vertAlign val="subscript"/>
        <sz val="10"/>
        <rFont val="Arial"/>
        <family val="2"/>
      </rPr>
      <t>2</t>
    </r>
    <r>
      <rPr>
        <b/>
        <sz val="10"/>
        <rFont val="Arial"/>
        <family val="2"/>
      </rPr>
      <t>)</t>
    </r>
  </si>
  <si>
    <r>
      <t>Recycled Nickel Cobalt Manganese Hydroxide (Ni1/3Co1/3Mn1/3(OH)</t>
    </r>
    <r>
      <rPr>
        <b/>
        <vertAlign val="subscript"/>
        <sz val="10"/>
        <rFont val="Arial"/>
        <family val="2"/>
      </rPr>
      <t>2</t>
    </r>
    <r>
      <rPr>
        <b/>
        <sz val="10"/>
        <rFont val="Arial"/>
        <family val="2"/>
      </rPr>
      <t>)</t>
    </r>
  </si>
  <si>
    <r>
      <t>Recycled NMC: Co-precipitation (LiNi1/3Co1/3Mn1/3O</t>
    </r>
    <r>
      <rPr>
        <b/>
        <vertAlign val="subscript"/>
        <sz val="10"/>
        <rFont val="Arial"/>
        <family val="2"/>
      </rPr>
      <t>2</t>
    </r>
    <r>
      <rPr>
        <b/>
        <sz val="10"/>
        <rFont val="Arial"/>
        <family val="2"/>
      </rPr>
      <t>)</t>
    </r>
  </si>
  <si>
    <r>
      <t>LFP: Hydrothermal (LiFePO</t>
    </r>
    <r>
      <rPr>
        <b/>
        <vertAlign val="subscript"/>
        <sz val="10"/>
        <rFont val="Arial"/>
        <family val="2"/>
      </rPr>
      <t>4</t>
    </r>
    <r>
      <rPr>
        <b/>
        <sz val="10"/>
        <rFont val="Arial"/>
        <family val="2"/>
      </rPr>
      <t>)</t>
    </r>
  </si>
  <si>
    <r>
      <t>Nickel Cobalt Manganese Hydroxide (Ni</t>
    </r>
    <r>
      <rPr>
        <b/>
        <vertAlign val="subscript"/>
        <sz val="10"/>
        <rFont val="Arial"/>
        <family val="2"/>
      </rPr>
      <t>0.219</t>
    </r>
    <r>
      <rPr>
        <b/>
        <sz val="10"/>
        <rFont val="Arial"/>
        <family val="2"/>
      </rPr>
      <t>Co</t>
    </r>
    <r>
      <rPr>
        <b/>
        <vertAlign val="subscript"/>
        <sz val="10"/>
        <rFont val="Arial"/>
        <family val="2"/>
      </rPr>
      <t>0.125</t>
    </r>
    <r>
      <rPr>
        <b/>
        <sz val="10"/>
        <rFont val="Arial"/>
        <family val="2"/>
      </rPr>
      <t>Mn</t>
    </r>
    <r>
      <rPr>
        <b/>
        <vertAlign val="subscript"/>
        <sz val="10"/>
        <rFont val="Arial"/>
        <family val="2"/>
      </rPr>
      <t>0.656</t>
    </r>
    <r>
      <rPr>
        <b/>
        <sz val="10"/>
        <rFont val="Arial"/>
        <family val="2"/>
      </rPr>
      <t>(OH)</t>
    </r>
    <r>
      <rPr>
        <b/>
        <vertAlign val="subscript"/>
        <sz val="10"/>
        <rFont val="Arial"/>
        <family val="2"/>
      </rPr>
      <t>2</t>
    </r>
  </si>
  <si>
    <r>
      <t>LMR-NMC:Solid State (0.5 Li</t>
    </r>
    <r>
      <rPr>
        <b/>
        <vertAlign val="subscript"/>
        <sz val="10"/>
        <rFont val="Arial"/>
        <family val="2"/>
      </rPr>
      <t>2</t>
    </r>
    <r>
      <rPr>
        <b/>
        <sz val="10"/>
        <rFont val="Arial"/>
        <family val="2"/>
      </rPr>
      <t>MnO</t>
    </r>
    <r>
      <rPr>
        <b/>
        <vertAlign val="subscript"/>
        <sz val="10"/>
        <rFont val="Arial"/>
        <family val="2"/>
      </rPr>
      <t>3</t>
    </r>
    <r>
      <rPr>
        <b/>
        <sz val="10"/>
        <rFont val="Arial"/>
        <family val="2"/>
      </rPr>
      <t>∙</t>
    </r>
    <r>
      <rPr>
        <b/>
        <vertAlign val="subscript"/>
        <sz val="10"/>
        <rFont val="Arial"/>
        <family val="2"/>
      </rPr>
      <t>0.5</t>
    </r>
    <r>
      <rPr>
        <b/>
        <sz val="10"/>
        <rFont val="Arial"/>
        <family val="2"/>
      </rPr>
      <t>LiNi</t>
    </r>
    <r>
      <rPr>
        <b/>
        <vertAlign val="subscript"/>
        <sz val="10"/>
        <rFont val="Arial"/>
        <family val="2"/>
      </rPr>
      <t>0.44</t>
    </r>
    <r>
      <rPr>
        <b/>
        <sz val="10"/>
        <rFont val="Arial"/>
        <family val="2"/>
      </rPr>
      <t>Co</t>
    </r>
    <r>
      <rPr>
        <b/>
        <vertAlign val="subscript"/>
        <sz val="10"/>
        <rFont val="Arial"/>
        <family val="2"/>
      </rPr>
      <t>0.25</t>
    </r>
    <r>
      <rPr>
        <b/>
        <sz val="10"/>
        <rFont val="Arial"/>
        <family val="2"/>
      </rPr>
      <t>Mn</t>
    </r>
    <r>
      <rPr>
        <b/>
        <vertAlign val="subscript"/>
        <sz val="10"/>
        <rFont val="Arial"/>
        <family val="2"/>
      </rPr>
      <t>0.31</t>
    </r>
    <r>
      <rPr>
        <b/>
        <sz val="10"/>
        <rFont val="Arial"/>
        <family val="2"/>
      </rPr>
      <t>O</t>
    </r>
    <r>
      <rPr>
        <b/>
        <vertAlign val="subscript"/>
        <sz val="10"/>
        <rFont val="Arial"/>
        <family val="2"/>
      </rPr>
      <t>2</t>
    </r>
    <r>
      <rPr>
        <b/>
        <sz val="10"/>
        <rFont val="Arial"/>
        <family val="2"/>
      </rPr>
      <t>)</t>
    </r>
  </si>
  <si>
    <r>
      <t>LiCoO</t>
    </r>
    <r>
      <rPr>
        <b/>
        <vertAlign val="subscript"/>
        <sz val="10"/>
        <rFont val="Arial"/>
        <family val="2"/>
      </rPr>
      <t>2</t>
    </r>
    <r>
      <rPr>
        <b/>
        <sz val="10"/>
        <rFont val="Arial"/>
        <family val="2"/>
      </rPr>
      <t>: Solid State</t>
    </r>
  </si>
  <si>
    <t xml:space="preserve">NaClO3  </t>
  </si>
  <si>
    <r>
      <t>LiCoO</t>
    </r>
    <r>
      <rPr>
        <b/>
        <vertAlign val="subscript"/>
        <sz val="10"/>
        <rFont val="Arial"/>
        <family val="2"/>
      </rPr>
      <t>2</t>
    </r>
    <r>
      <rPr>
        <b/>
        <sz val="10"/>
        <rFont val="Arial"/>
        <family val="2"/>
      </rPr>
      <t>: Hydrothermal</t>
    </r>
  </si>
  <si>
    <r>
      <t>LFP: Solid State (LiFePO</t>
    </r>
    <r>
      <rPr>
        <b/>
        <vertAlign val="subscript"/>
        <sz val="10"/>
        <rFont val="Arial"/>
        <family val="2"/>
      </rPr>
      <t>4</t>
    </r>
    <r>
      <rPr>
        <b/>
        <sz val="10"/>
        <rFont val="Arial"/>
        <family val="2"/>
      </rPr>
      <t>)</t>
    </r>
  </si>
  <si>
    <t xml:space="preserve">Fe3O4  </t>
  </si>
  <si>
    <t>Iron Sulfate</t>
  </si>
  <si>
    <t>Production of Ni0.8Co0.15Al0.05(OH)2</t>
  </si>
  <si>
    <t>Production of LiNi0.8Co0.15Al0.05O2</t>
  </si>
  <si>
    <t>Water consumption (gal/ton)</t>
  </si>
  <si>
    <t>5) Energy Consumption, Water Consumption, and Emissions from Material Production for Other Cathodes</t>
  </si>
  <si>
    <r>
      <t>Sulfuric acid (H</t>
    </r>
    <r>
      <rPr>
        <b/>
        <vertAlign val="subscript"/>
        <sz val="10"/>
        <rFont val="Arial"/>
        <family val="2"/>
      </rPr>
      <t>2</t>
    </r>
    <r>
      <rPr>
        <b/>
        <sz val="10"/>
        <rFont val="Arial"/>
        <family val="2"/>
      </rPr>
      <t>SO</t>
    </r>
    <r>
      <rPr>
        <b/>
        <vertAlign val="subscript"/>
        <sz val="10"/>
        <rFont val="Arial"/>
        <family val="2"/>
      </rPr>
      <t>4</t>
    </r>
    <r>
      <rPr>
        <b/>
        <sz val="10"/>
        <rFont val="Arial"/>
        <family val="2"/>
      </rPr>
      <t>)</t>
    </r>
  </si>
  <si>
    <t>Cobalt Chloride</t>
  </si>
  <si>
    <t>Aluminum sulfate (Al2(SO4)3)</t>
  </si>
  <si>
    <t>Energy Use: mmBtu per ton of material product</t>
  </si>
  <si>
    <t>Total Emissions: g/ton of material product</t>
  </si>
  <si>
    <t>Urban Emissions: g/ton of material product</t>
  </si>
  <si>
    <t>Recycling of Li-ion Batteries</t>
  </si>
  <si>
    <t>1). Key Input Assumptions</t>
  </si>
  <si>
    <t>1.1) Upstream Material Use: ton per ton of battery cells recycled</t>
  </si>
  <si>
    <t>Pyro</t>
  </si>
  <si>
    <t>Hydro: Inorganic Acid Leaching</t>
  </si>
  <si>
    <t>Hydro: Organic Acid Leaching</t>
  </si>
  <si>
    <t>Direct</t>
  </si>
  <si>
    <r>
      <t>Hydrogen Peroxide (H</t>
    </r>
    <r>
      <rPr>
        <vertAlign val="subscript"/>
        <sz val="10"/>
        <rFont val="Arial"/>
        <family val="2"/>
      </rPr>
      <t>2</t>
    </r>
    <r>
      <rPr>
        <sz val="10"/>
        <rFont val="Arial"/>
        <family val="2"/>
      </rPr>
      <t>O</t>
    </r>
    <r>
      <rPr>
        <vertAlign val="subscript"/>
        <sz val="10"/>
        <rFont val="Arial"/>
        <family val="2"/>
      </rPr>
      <t>2</t>
    </r>
    <r>
      <rPr>
        <sz val="10"/>
        <rFont val="Arial"/>
        <family val="2"/>
      </rPr>
      <t>)</t>
    </r>
  </si>
  <si>
    <t>Amonium Hydroxide (NH4OH)</t>
  </si>
  <si>
    <r>
      <t>Sulfuric Acid (H</t>
    </r>
    <r>
      <rPr>
        <vertAlign val="subscript"/>
        <sz val="10"/>
        <rFont val="Arial"/>
        <family val="2"/>
      </rPr>
      <t>2</t>
    </r>
    <r>
      <rPr>
        <sz val="10"/>
        <rFont val="Arial"/>
        <family val="2"/>
      </rPr>
      <t>SO</t>
    </r>
    <r>
      <rPr>
        <vertAlign val="subscript"/>
        <sz val="10"/>
        <rFont val="Arial"/>
        <family val="2"/>
      </rPr>
      <t>4</t>
    </r>
    <r>
      <rPr>
        <sz val="10"/>
        <rFont val="Arial"/>
        <family val="2"/>
      </rPr>
      <t>)</t>
    </r>
  </si>
  <si>
    <r>
      <t>Soda Ash (Na</t>
    </r>
    <r>
      <rPr>
        <vertAlign val="subscript"/>
        <sz val="10"/>
        <rFont val="Arial"/>
        <family val="2"/>
      </rPr>
      <t>2</t>
    </r>
    <r>
      <rPr>
        <sz val="10"/>
        <rFont val="Arial"/>
        <family val="2"/>
      </rPr>
      <t>CO</t>
    </r>
    <r>
      <rPr>
        <vertAlign val="subscript"/>
        <sz val="10"/>
        <rFont val="Arial"/>
        <family val="2"/>
      </rPr>
      <t>3</t>
    </r>
    <r>
      <rPr>
        <sz val="10"/>
        <rFont val="Arial"/>
        <family val="2"/>
      </rPr>
      <t>)</t>
    </r>
  </si>
  <si>
    <t>Citric Acid</t>
  </si>
  <si>
    <r>
      <t>Lithium Carbonate (Li</t>
    </r>
    <r>
      <rPr>
        <vertAlign val="subscript"/>
        <sz val="10"/>
        <rFont val="Arial"/>
        <family val="2"/>
      </rPr>
      <t>2</t>
    </r>
    <r>
      <rPr>
        <sz val="10"/>
        <rFont val="Arial"/>
        <family val="2"/>
      </rPr>
      <t>CO</t>
    </r>
    <r>
      <rPr>
        <vertAlign val="subscript"/>
        <sz val="10"/>
        <rFont val="Arial"/>
        <family val="2"/>
      </rPr>
      <t>3</t>
    </r>
    <r>
      <rPr>
        <sz val="10"/>
        <rFont val="Arial"/>
        <family val="2"/>
      </rPr>
      <t>)</t>
    </r>
  </si>
  <si>
    <t>Carbon Dioxide</t>
  </si>
  <si>
    <t>1.2) Quantity of Recovered Materials: ton per ton of battery cells recycled</t>
  </si>
  <si>
    <r>
      <t>Cobalt Sulfate (CoSO</t>
    </r>
    <r>
      <rPr>
        <vertAlign val="subscript"/>
        <sz val="10"/>
        <rFont val="Arial"/>
        <family val="2"/>
      </rPr>
      <t>4</t>
    </r>
    <r>
      <rPr>
        <sz val="10"/>
        <rFont val="Arial"/>
        <family val="2"/>
      </rPr>
      <t>)</t>
    </r>
  </si>
  <si>
    <r>
      <t>Nickel Sulfate (NiSO</t>
    </r>
    <r>
      <rPr>
        <vertAlign val="subscript"/>
        <sz val="10"/>
        <rFont val="Arial"/>
        <family val="2"/>
      </rPr>
      <t>4</t>
    </r>
    <r>
      <rPr>
        <sz val="10"/>
        <rFont val="Arial"/>
        <family val="2"/>
      </rPr>
      <t>)</t>
    </r>
  </si>
  <si>
    <r>
      <t>Li(Ni</t>
    </r>
    <r>
      <rPr>
        <vertAlign val="subscript"/>
        <sz val="10"/>
        <rFont val="Arial"/>
        <family val="2"/>
      </rPr>
      <t>1/3</t>
    </r>
    <r>
      <rPr>
        <sz val="10"/>
        <rFont val="Arial"/>
        <family val="2"/>
      </rPr>
      <t>Mn</t>
    </r>
    <r>
      <rPr>
        <vertAlign val="subscript"/>
        <sz val="10"/>
        <rFont val="Arial"/>
        <family val="2"/>
      </rPr>
      <t>1/3</t>
    </r>
    <r>
      <rPr>
        <sz val="10"/>
        <rFont val="Arial"/>
        <family val="2"/>
      </rPr>
      <t>Co</t>
    </r>
    <r>
      <rPr>
        <vertAlign val="subscript"/>
        <sz val="10"/>
        <rFont val="Arial"/>
        <family val="2"/>
      </rPr>
      <t>1/3</t>
    </r>
    <r>
      <rPr>
        <sz val="10"/>
        <rFont val="Arial"/>
        <family val="2"/>
      </rPr>
      <t>)O2 (NMC111)</t>
    </r>
  </si>
  <si>
    <t>1.3) Allocation Factors for Recovered Materials</t>
  </si>
  <si>
    <t>1.4) Shares of Sources of Battery Materials</t>
  </si>
  <si>
    <t>via Pyro</t>
  </si>
  <si>
    <t>via Hydro: Inorganic Acid Leaching</t>
  </si>
  <si>
    <t>via Hydro: Organic Acid Leaching</t>
  </si>
  <si>
    <t>via Direct</t>
  </si>
  <si>
    <t>2) Shares of Combustion Processes for Each Stage</t>
  </si>
  <si>
    <t>Energy inputs: mmBtu per ton of battery cells recycled</t>
  </si>
  <si>
    <t>Energy use: mmBtu per ton of battery cells recycled</t>
  </si>
  <si>
    <t>Total Emissions: grams per ton of battery cells recycled</t>
  </si>
  <si>
    <t>Urban Emissions: grams per ton of battery cells recycled</t>
  </si>
  <si>
    <t>4) Summary of Energy Consumption and Emissions Related to Battery Recycling</t>
  </si>
  <si>
    <t>Energy Use: mmBtu per ton of battery cells recycled</t>
  </si>
  <si>
    <t>Water consumption (gal/ton battery cells recycled)</t>
  </si>
  <si>
    <t>5) Summary of Energy Consumption and Emissions Related to Recovered Materials</t>
  </si>
  <si>
    <r>
      <t>CoSO</t>
    </r>
    <r>
      <rPr>
        <b/>
        <vertAlign val="subscript"/>
        <sz val="10"/>
        <rFont val="Arial"/>
        <family val="2"/>
      </rPr>
      <t>4</t>
    </r>
    <r>
      <rPr>
        <b/>
        <sz val="10"/>
        <rFont val="Arial"/>
        <family val="2"/>
      </rPr>
      <t xml:space="preserve"> via Pyro</t>
    </r>
  </si>
  <si>
    <r>
      <t>CoSO</t>
    </r>
    <r>
      <rPr>
        <b/>
        <vertAlign val="subscript"/>
        <sz val="10"/>
        <rFont val="Arial"/>
        <family val="2"/>
      </rPr>
      <t>4</t>
    </r>
    <r>
      <rPr>
        <b/>
        <sz val="10"/>
        <rFont val="Arial"/>
        <family val="2"/>
      </rPr>
      <t xml:space="preserve"> via Hydro: Inorganic Leaching</t>
    </r>
  </si>
  <si>
    <r>
      <t>CoSO</t>
    </r>
    <r>
      <rPr>
        <b/>
        <vertAlign val="subscript"/>
        <sz val="10"/>
        <rFont val="Arial"/>
        <family val="2"/>
      </rPr>
      <t>4</t>
    </r>
    <r>
      <rPr>
        <b/>
        <sz val="10"/>
        <rFont val="Arial"/>
        <family val="2"/>
      </rPr>
      <t xml:space="preserve"> via Hydro: Organic Acid Leaching</t>
    </r>
  </si>
  <si>
    <r>
      <t>NiSO</t>
    </r>
    <r>
      <rPr>
        <b/>
        <vertAlign val="subscript"/>
        <sz val="10"/>
        <rFont val="Arial"/>
        <family val="2"/>
      </rPr>
      <t>4</t>
    </r>
    <r>
      <rPr>
        <b/>
        <sz val="10"/>
        <rFont val="Arial"/>
        <family val="2"/>
      </rPr>
      <t xml:space="preserve"> via Pyro</t>
    </r>
  </si>
  <si>
    <r>
      <t>NiSO</t>
    </r>
    <r>
      <rPr>
        <b/>
        <vertAlign val="subscript"/>
        <sz val="10"/>
        <rFont val="Arial"/>
        <family val="2"/>
      </rPr>
      <t>4</t>
    </r>
    <r>
      <rPr>
        <b/>
        <sz val="10"/>
        <rFont val="Arial"/>
        <family val="2"/>
      </rPr>
      <t xml:space="preserve"> via Hydro: Inorganic Leaching</t>
    </r>
  </si>
  <si>
    <r>
      <t>NiSO</t>
    </r>
    <r>
      <rPr>
        <b/>
        <vertAlign val="subscript"/>
        <sz val="10"/>
        <rFont val="Arial"/>
        <family val="2"/>
      </rPr>
      <t>4</t>
    </r>
    <r>
      <rPr>
        <b/>
        <sz val="10"/>
        <rFont val="Arial"/>
        <family val="2"/>
      </rPr>
      <t xml:space="preserve"> via Hydro: Organic Acid Leaching</t>
    </r>
  </si>
  <si>
    <r>
      <t>Li</t>
    </r>
    <r>
      <rPr>
        <b/>
        <vertAlign val="subscript"/>
        <sz val="10"/>
        <rFont val="Arial"/>
        <family val="2"/>
      </rPr>
      <t>2</t>
    </r>
    <r>
      <rPr>
        <b/>
        <sz val="10"/>
        <rFont val="Arial"/>
        <family val="2"/>
      </rPr>
      <t>CO3 via Pyro</t>
    </r>
  </si>
  <si>
    <r>
      <t>Li</t>
    </r>
    <r>
      <rPr>
        <b/>
        <vertAlign val="subscript"/>
        <sz val="10"/>
        <rFont val="Arial"/>
        <family val="2"/>
      </rPr>
      <t>2</t>
    </r>
    <r>
      <rPr>
        <b/>
        <sz val="10"/>
        <rFont val="Arial"/>
        <family val="2"/>
      </rPr>
      <t>CO</t>
    </r>
    <r>
      <rPr>
        <b/>
        <vertAlign val="subscript"/>
        <sz val="10"/>
        <rFont val="Arial"/>
        <family val="2"/>
      </rPr>
      <t>3</t>
    </r>
    <r>
      <rPr>
        <b/>
        <sz val="10"/>
        <rFont val="Arial"/>
        <family val="2"/>
      </rPr>
      <t xml:space="preserve"> via Hydro: Inorganic Leaching</t>
    </r>
  </si>
  <si>
    <r>
      <t>Li</t>
    </r>
    <r>
      <rPr>
        <b/>
        <vertAlign val="subscript"/>
        <sz val="10"/>
        <rFont val="Arial"/>
        <family val="2"/>
      </rPr>
      <t>2</t>
    </r>
    <r>
      <rPr>
        <b/>
        <sz val="10"/>
        <rFont val="Arial"/>
        <family val="2"/>
      </rPr>
      <t>CO</t>
    </r>
    <r>
      <rPr>
        <b/>
        <vertAlign val="subscript"/>
        <sz val="10"/>
        <rFont val="Arial"/>
        <family val="2"/>
      </rPr>
      <t>3</t>
    </r>
    <r>
      <rPr>
        <b/>
        <sz val="10"/>
        <rFont val="Arial"/>
        <family val="2"/>
      </rPr>
      <t xml:space="preserve"> via Hydro: Organic Acid Leaching</t>
    </r>
  </si>
  <si>
    <t>NMC111 via Direct</t>
  </si>
  <si>
    <t>Energy Use: mmBtu per ton of recycled materials</t>
  </si>
  <si>
    <t>Total Emissions: grams per ton of recycled materials</t>
  </si>
  <si>
    <t>Urban Emissions: grams per ton of recycled materials</t>
  </si>
  <si>
    <t>6) Energy Consumption, Water Consumption, and Emissions from Material Production for Battery Recycling</t>
  </si>
  <si>
    <t>Ammonim Hydroxide</t>
  </si>
  <si>
    <t>Sodium Hydroxide</t>
  </si>
  <si>
    <t>Lithium Carbonate</t>
  </si>
  <si>
    <t>Summary of Energy Consumption and Emissions for Vehicle Components</t>
  </si>
  <si>
    <t>Vehicle Weight (lbs): without Battery, Fluids and Fuel</t>
  </si>
  <si>
    <t>Vehicle Components Composition (% by wt)</t>
  </si>
  <si>
    <t>Material Composition for Each Component (% by wt)</t>
  </si>
  <si>
    <t xml:space="preserve">    Motor steel (Stainless Steel)</t>
  </si>
  <si>
    <t>Hydrogen Storage System</t>
  </si>
  <si>
    <t>Vehicle Material Composition (% by wt): aggregated by each component</t>
  </si>
  <si>
    <t>Tire Replacements During Lifetime of Vehicle</t>
  </si>
  <si>
    <t>Vehicle Tire Weight (lbs/tire)</t>
  </si>
  <si>
    <t>Material Composition of Tire (% by wt)</t>
  </si>
  <si>
    <t>2) Summary of Energy Consumption and Emissions for Vehicle Materials: per-vehicle lifetime</t>
  </si>
  <si>
    <t>Vehicle Weight: lbs</t>
  </si>
  <si>
    <t>Weight by Materials: lbs, per-vehicle lifetime</t>
  </si>
  <si>
    <t>Stainless steel</t>
  </si>
  <si>
    <t>Cast iron</t>
  </si>
  <si>
    <t>PFSA (Nafion117 Sheet)</t>
  </si>
  <si>
    <t xml:space="preserve">PTFE </t>
  </si>
  <si>
    <t>Carbon &amp; PFSA Suspension (Nafion Dry Polymer)</t>
  </si>
  <si>
    <t>3) Summary of Energy Consumption and Emissions by Vehicle Component: per-vehicle lifetime</t>
  </si>
  <si>
    <t>3.1) ICEV: Conventional Material</t>
  </si>
  <si>
    <t>mmBtu or grams per vehicle lifetime</t>
  </si>
  <si>
    <t>Percentage of each vehicle component</t>
  </si>
  <si>
    <t>Energy use</t>
  </si>
  <si>
    <t>3.2) ICEV: Lightweight Material</t>
  </si>
  <si>
    <t>3.3) HEV: Conventional Material</t>
  </si>
  <si>
    <t>3.4) HEV: Lightweight Material</t>
  </si>
  <si>
    <t>3.5) PHEV: Conventional Material</t>
  </si>
  <si>
    <t>3.6) PHEV: Lightweight Material</t>
  </si>
  <si>
    <t>3.7) EV: Conventional Material</t>
  </si>
  <si>
    <t>3.7) EV: Lightweight Material</t>
  </si>
  <si>
    <t>3.8) FCV: Conventional Material</t>
  </si>
  <si>
    <t>3.9) FCV: Lightweight Material</t>
  </si>
  <si>
    <t>Energy Use and Emissions of Vehicle Cycle</t>
  </si>
  <si>
    <t>1) Summary of Energy Consumption and Emissions: mmBtu or grams per-vehicle lifetime</t>
  </si>
  <si>
    <t>1.1) ICEV: Conventional Material</t>
  </si>
  <si>
    <t>Percentage of each stage</t>
  </si>
  <si>
    <t>Components</t>
  </si>
  <si>
    <t>ADR</t>
  </si>
  <si>
    <t>Batteries</t>
  </si>
  <si>
    <t>Total</t>
  </si>
  <si>
    <t>CO2 (VOC, CO, CO2)</t>
  </si>
  <si>
    <t>GHGs</t>
  </si>
  <si>
    <t>1.2) ICEV: Lightweight Material</t>
  </si>
  <si>
    <t>1.3) HEV: Conventional Material</t>
  </si>
  <si>
    <t>1.4) HEV: Lightweight Material</t>
  </si>
  <si>
    <t>1.5) PHEV: Conventional Material</t>
  </si>
  <si>
    <t>1.6) PHEV: Lightweight Material</t>
  </si>
  <si>
    <t>1.7) EV: Conventional Material</t>
  </si>
  <si>
    <t>1.7) EV: Lightweight Material</t>
  </si>
  <si>
    <t>1.8) FCV: Conventional Material</t>
  </si>
  <si>
    <t>1.9) FCV: Lightweight Material</t>
  </si>
  <si>
    <t>2) Summary of Energy Consumption and Emissions of Vehicle Cycles: Btu or grams per mile</t>
  </si>
  <si>
    <t>Lifetime VMT</t>
  </si>
  <si>
    <t>3) Vehicle Cycle Energy and Emission Changes (%, relative to gasoline ICEV with conventional material)</t>
  </si>
  <si>
    <t>Energy Use and Emissions of Well-to-Pump, Vehicle Cycle and Vehicle Operation</t>
    <phoneticPr fontId="5" type="noConversion"/>
  </si>
  <si>
    <t>Energy Unit:</t>
  </si>
  <si>
    <t>Btu</t>
  </si>
  <si>
    <t>Emission Unit:</t>
  </si>
  <si>
    <t>g</t>
  </si>
  <si>
    <t>Service Functional Unit:</t>
  </si>
  <si>
    <t>mile</t>
  </si>
  <si>
    <t>Per Vehicle Distnace Travelled</t>
  </si>
  <si>
    <t>Gasoline Vehicle: CG and RFG, Conventional Material</t>
  </si>
  <si>
    <t>Energy Unit</t>
  </si>
  <si>
    <t>mBtu</t>
  </si>
  <si>
    <t>J</t>
  </si>
  <si>
    <t>kJ</t>
  </si>
  <si>
    <t>MJ</t>
  </si>
  <si>
    <t>Item</t>
  </si>
  <si>
    <t>WTP</t>
    <phoneticPr fontId="5" type="noConversion"/>
  </si>
  <si>
    <t>Vehicle Cycle</t>
  </si>
  <si>
    <t>Vehicle Operation</t>
  </si>
  <si>
    <t>Emission Unit</t>
  </si>
  <si>
    <t>mg</t>
  </si>
  <si>
    <t>kg</t>
  </si>
  <si>
    <t>lb</t>
  </si>
  <si>
    <t>oz</t>
  </si>
  <si>
    <t>Functional Unit</t>
  </si>
  <si>
    <t>km</t>
  </si>
  <si>
    <t xml:space="preserve"> </t>
  </si>
  <si>
    <t>Gasoline Vehicle: CG and RFG, Lightweight Material</t>
  </si>
  <si>
    <t>Grid-Independent SI HEV: CG and RFG, Conventional Material</t>
  </si>
  <si>
    <t>Grid-Independent SI HEV: CG and RFG, Lightweight Material</t>
  </si>
  <si>
    <t>Grid-Connected SI PHEV: CG and RFG, Conventional Material</t>
  </si>
  <si>
    <t>Grid-Connected SI PHEV: CG and RFG, Lightweight Material</t>
  </si>
  <si>
    <t>EV, Conventional Material</t>
  </si>
  <si>
    <t>EV, Lightweight Material</t>
  </si>
  <si>
    <t>FCV: G.H2, Conventional Material</t>
  </si>
  <si>
    <t>FCV: G.H2, Lightweight Material</t>
  </si>
  <si>
    <t>2) Well-to-Pump, Vehicle Cycle and Vehicle Operation Energy and Emission Changes (%, relative to GV with conventional material)</t>
    <phoneticPr fontId="5" type="noConversion"/>
  </si>
  <si>
    <t>GV: CG and RFG, Lightweight Material</t>
  </si>
  <si>
    <t>GI HEV: CG and RFG, Conventional Material</t>
  </si>
  <si>
    <t>GI HEV: CG and RFG, Lightweight Material</t>
  </si>
  <si>
    <t>GC PHEV: CG and RFG, Conventional Material</t>
  </si>
  <si>
    <t>GC PHEV: CG and RFG, Lightweight Material</t>
  </si>
  <si>
    <t>Data imported from GREET 1</t>
  </si>
  <si>
    <t>Inputs</t>
  </si>
  <si>
    <t>Vehicle Types for Simulation</t>
  </si>
  <si>
    <t xml:space="preserve">  1 -- Passenger Cars; 2 -- Light-Duty Trucks 1; 3 -- Light-Duty Trucks 2</t>
  </si>
  <si>
    <t>Methanol Feedstock Source</t>
  </si>
  <si>
    <t>Energy Efficiency of Steam Boilers</t>
  </si>
  <si>
    <t>Share of Petroleum and NG for of Liquefied Petroleum Gas and Naphtha</t>
  </si>
  <si>
    <t>NG or RNG</t>
  </si>
  <si>
    <t>Liquefied Petroleum Gas</t>
  </si>
  <si>
    <t>PHEV:</t>
  </si>
  <si>
    <t>BEV:</t>
  </si>
  <si>
    <t>Vehicle Model Year</t>
  </si>
  <si>
    <t>LDT1</t>
  </si>
  <si>
    <t>LDT2</t>
  </si>
  <si>
    <t>Gasoline vehicle (MPGGE)</t>
  </si>
  <si>
    <t>HEV (MPGGE)</t>
  </si>
  <si>
    <t>PHEV (MPGGE)</t>
  </si>
  <si>
    <t>EV (MPGGE)</t>
  </si>
  <si>
    <t>FCV (MPGGE)</t>
  </si>
  <si>
    <t>Fuel_Specs</t>
  </si>
  <si>
    <t>1) Specifications of Fuels</t>
  </si>
  <si>
    <t>Fuel</t>
  </si>
  <si>
    <t>Heating Value</t>
  </si>
  <si>
    <t>Density</t>
  </si>
  <si>
    <t>C ratio</t>
  </si>
  <si>
    <t>S ratio</t>
  </si>
  <si>
    <t>Calculation: LHV</t>
  </si>
  <si>
    <t>LHV</t>
  </si>
  <si>
    <t>HHV</t>
  </si>
  <si>
    <t>(% by wt)</t>
  </si>
  <si>
    <t>(ppm by wt)</t>
  </si>
  <si>
    <t>Actual ratio by wt</t>
  </si>
  <si>
    <t>Use LHV or HHV in calculations?</t>
  </si>
  <si>
    <t>1 -- LHV; 2 -- HHV</t>
  </si>
  <si>
    <t>Liquid Fuels:</t>
  </si>
  <si>
    <t>Btu/gal</t>
  </si>
  <si>
    <t>grams/gal</t>
  </si>
  <si>
    <t>Conventional gasoline</t>
  </si>
  <si>
    <t>Petroleum naphtha</t>
  </si>
  <si>
    <t>Diesel for non-road engines</t>
  </si>
  <si>
    <t>Conventional Jet Fuel</t>
  </si>
  <si>
    <t>n-Hexane</t>
  </si>
  <si>
    <t>Lubricants</t>
  </si>
  <si>
    <t>Gaseous Fuels (at 32F and 1atm):</t>
  </si>
  <si>
    <t>Btu/ft3</t>
  </si>
  <si>
    <t>gms/ft3</t>
  </si>
  <si>
    <t>Gaseous hydrogen</t>
  </si>
  <si>
    <t>Solid Fuels:</t>
  </si>
  <si>
    <t>Btu/ton</t>
  </si>
  <si>
    <t>Bituminous coal</t>
  </si>
  <si>
    <t>Pet Coke</t>
  </si>
  <si>
    <t>Tire Derived Fuel</t>
  </si>
  <si>
    <t>Municipal solid waste (defined by EISA)</t>
  </si>
  <si>
    <t>Forest residue</t>
  </si>
  <si>
    <t>2) Global Warming Potentials of Greenhouse Gases: relative to CO2</t>
  </si>
  <si>
    <t>Metrics for Carbon Dioxide, Methane, Nitrous Oxide</t>
  </si>
  <si>
    <t>AR Edition/Type</t>
  </si>
  <si>
    <t>Time Horizon (YR)</t>
  </si>
  <si>
    <t>Metrics for Near Term Climate Forcers</t>
  </si>
  <si>
    <t>3) Carbon and Sulfur Ratios of Pollutants</t>
  </si>
  <si>
    <t>Carbon ratio of VOC</t>
  </si>
  <si>
    <t>Carbon ratio of CO</t>
  </si>
  <si>
    <t>Carbon ratio of CH4</t>
  </si>
  <si>
    <t>Carbon ratio of CO2</t>
  </si>
  <si>
    <t>Sulfur ratio of SO2</t>
  </si>
  <si>
    <t>EF</t>
  </si>
  <si>
    <t>Emission Factors of Fuel Combustion for Stationary Applications (grams per mmBtu of fuel burned)</t>
  </si>
  <si>
    <t>Natural Gas</t>
  </si>
  <si>
    <t>Residual Oil</t>
  </si>
  <si>
    <t>Diesel Fuel</t>
  </si>
  <si>
    <t>Gasoline</t>
  </si>
  <si>
    <t>Crude</t>
  </si>
  <si>
    <t>LPG</t>
  </si>
  <si>
    <t>Utility/ Industrial Boiler (&gt;100 mmBtu/hr input)</t>
  </si>
  <si>
    <t>Small Industrial Boiler (10-100 mmBtu/hr input)</t>
  </si>
  <si>
    <t>Large Gas Turbine</t>
  </si>
  <si>
    <t>CC Gas Turbine</t>
  </si>
  <si>
    <t>Small Turbine</t>
  </si>
  <si>
    <t>Stationary Reciprocating Engine</t>
  </si>
  <si>
    <t xml:space="preserve">    NG Flaring in Oil Field</t>
  </si>
  <si>
    <t>Utility Boiler</t>
  </si>
  <si>
    <t>Industrial Boiler</t>
  </si>
  <si>
    <t>Commercial Boiler</t>
  </si>
  <si>
    <t>Turbine</t>
  </si>
  <si>
    <t>Farming Tractor</t>
  </si>
  <si>
    <t>Heavy Heavy-Duty Truck (Origin to Destination)</t>
  </si>
  <si>
    <t>Heavy Heavy-Duty Truck (Destination to Origin)</t>
  </si>
  <si>
    <t>IGCC Turbine</t>
  </si>
  <si>
    <t>Kiln</t>
  </si>
  <si>
    <t>Biogenic CO2</t>
  </si>
  <si>
    <t>2.2) Emission Factors of Fuel Combustion: Feedstock and Fuel Transportation from Product Origin to Product Destination (grams per mmBtu of fuel burned)</t>
  </si>
  <si>
    <t>Ocean Tanker</t>
  </si>
  <si>
    <t>Locomotive</t>
  </si>
  <si>
    <t>Heavy Heavy-Duty Truck: grams per MMBtu</t>
  </si>
  <si>
    <t>Refuse Truck:
grams per MMBtu</t>
  </si>
  <si>
    <t>Bunker Fuel</t>
  </si>
  <si>
    <t>Diesel</t>
  </si>
  <si>
    <t>LNG</t>
  </si>
  <si>
    <t>2.3) Emission Factors of Fuel Combustion for Feedstock and Fuel Transportation: Trip from Product Destination Back to Product Origin (grams per mmBtu of fuel burned)</t>
  </si>
  <si>
    <t>Urban_Shares</t>
  </si>
  <si>
    <t>Urban VMT of all LDVs</t>
  </si>
  <si>
    <t>Fuel Prod_TS</t>
  </si>
  <si>
    <t>Electric Generation Mixes</t>
  </si>
  <si>
    <t>U.S. Mix: Stationary Use</t>
  </si>
  <si>
    <t>Summary of Energy Consumption and Emissions: Btu or Grams per mmBtu of Fuel Throughput at Each Stage</t>
  </si>
  <si>
    <t>1) Energy Use and Total Emissions</t>
  </si>
  <si>
    <t>Feedstocks</t>
  </si>
  <si>
    <t>Fuels for Use in the U.S.</t>
  </si>
  <si>
    <t>Fuels</t>
  </si>
  <si>
    <t>Crude for Use in U.S. Refineries</t>
  </si>
  <si>
    <t>Gasoline blendstock</t>
  </si>
  <si>
    <t>Resi. Oil</t>
  </si>
  <si>
    <t>Conv. Diesel</t>
  </si>
  <si>
    <t>LS Diesel</t>
  </si>
  <si>
    <t>Crude for Use in Chilean Refineries</t>
  </si>
  <si>
    <t>Gasoline in Chile</t>
  </si>
  <si>
    <t>Resi. Oil in Chile</t>
  </si>
  <si>
    <t>Diesel in Chile</t>
  </si>
  <si>
    <t>Loss factor</t>
  </si>
  <si>
    <t>CO2 (w/ C in VOC &amp; CO)</t>
  </si>
  <si>
    <t>2) Urban Emissions: Grams per mmBtu of Fuel Throughput at Each Stage</t>
  </si>
  <si>
    <t>Natural Gas as Stationary Fuels</t>
  </si>
  <si>
    <t>Methanol: Combined</t>
  </si>
  <si>
    <t>Natural Gas/Landfill Gas to Liquefied Petroleum Gas</t>
  </si>
  <si>
    <t>NG as Stationary Fuels in Chile</t>
  </si>
  <si>
    <t>Natural Gas to Methanol in Chile</t>
  </si>
  <si>
    <t>Liquefied Petroleum Gas in Chile: Combined</t>
  </si>
  <si>
    <t>Feedstock</t>
  </si>
  <si>
    <t>Hydrogen</t>
  </si>
  <si>
    <t>G. Hydrogen for Use in Refineries</t>
  </si>
  <si>
    <t>WTP</t>
  </si>
  <si>
    <t>PTW</t>
  </si>
  <si>
    <t>Coal to Power Plants</t>
  </si>
  <si>
    <t>Coal in Chile</t>
  </si>
  <si>
    <t>Urban</t>
  </si>
  <si>
    <t>Electric</t>
  </si>
  <si>
    <t>Fuel-Cycle Energy Use and Emissions of Electric Generation: Btu or Grams per mmBtu of Electricity Available at User Sites (wall outlets)</t>
  </si>
  <si>
    <t>Stationary Use</t>
  </si>
  <si>
    <t>Oil-Fired Power Plant</t>
  </si>
  <si>
    <t>NG-Fired Power Plant</t>
  </si>
  <si>
    <t>Coal-Fired Power Plant</t>
  </si>
  <si>
    <t>Biomass-Fired Power Plant</t>
  </si>
  <si>
    <t>Nuclear Power Plant (LWR): for electrolysis to G.H2 at refueling station</t>
  </si>
  <si>
    <t>Other Power Plants</t>
  </si>
  <si>
    <t>NG-Fired Combined Cycle Power Plant</t>
  </si>
  <si>
    <t>Wind Power Plants</t>
  </si>
  <si>
    <t>Chilean Generation Mix</t>
  </si>
  <si>
    <t>South African Generation Mix</t>
  </si>
  <si>
    <t>Congo</t>
  </si>
  <si>
    <t>Chile Grid for Lithium</t>
  </si>
  <si>
    <t>T&amp;D Loss</t>
  </si>
  <si>
    <t>Per mmBtu</t>
  </si>
  <si>
    <t>Results</t>
  </si>
  <si>
    <t xml:space="preserve">Service Functional Unit: </t>
  </si>
  <si>
    <t>Btu/mile or grams/mile</t>
  </si>
  <si>
    <t xml:space="preserve">Total Energy </t>
  </si>
  <si>
    <t>Fossil Fuels</t>
  </si>
  <si>
    <t>T&amp;D</t>
  </si>
  <si>
    <t>Concrete truck (surrogate)</t>
  </si>
  <si>
    <t xml:space="preserve">              BC</t>
  </si>
  <si>
    <t xml:space="preserve">              OC</t>
  </si>
  <si>
    <t>EtOH</t>
  </si>
  <si>
    <t>Jet Fuel</t>
  </si>
  <si>
    <t>Sugar Cane Ethanol Produced in Brazil, Used in Chile</t>
  </si>
  <si>
    <t>Willow</t>
  </si>
  <si>
    <t>Pertoleum Conv. Jet Fuel</t>
  </si>
  <si>
    <t>Sugar Cane</t>
  </si>
  <si>
    <t>Ag_Inputs</t>
  </si>
  <si>
    <t>Limestone in U.S.</t>
  </si>
  <si>
    <t>Lime in U.S.</t>
  </si>
  <si>
    <t>Lime in Chile</t>
  </si>
  <si>
    <t>Hydrochloric Acid in U.S.</t>
  </si>
  <si>
    <t>Hydrochloric Acid in Chile</t>
  </si>
  <si>
    <t>Sulfuric Acid in U.S.</t>
  </si>
  <si>
    <t>Sulfuric Acid in Chile</t>
  </si>
  <si>
    <t>NaCl</t>
  </si>
  <si>
    <t>DAP</t>
  </si>
  <si>
    <t>KCl</t>
  </si>
  <si>
    <t>Ammonium Nitrate</t>
  </si>
  <si>
    <t>Energy Use: mmBtu/ton</t>
  </si>
  <si>
    <t>Total Emissions: grams/ton</t>
  </si>
  <si>
    <t>Urban Emissions: grams/ton</t>
  </si>
  <si>
    <t>Enzymes_Yeast</t>
  </si>
  <si>
    <t>Chemicals</t>
  </si>
  <si>
    <t>Catalyst</t>
  </si>
  <si>
    <t>Plastics</t>
  </si>
  <si>
    <t xml:space="preserve">H3PO4 </t>
  </si>
  <si>
    <t>Mono Ethylene Glycol</t>
  </si>
  <si>
    <t>Kaolin</t>
  </si>
  <si>
    <t>MgO</t>
  </si>
  <si>
    <t>Fossil Acrylonitrile-Butadiene-Styrene (ABS) Resin</t>
  </si>
  <si>
    <t>Ethylene Propylene Diene Monomer (EPDM) Resin</t>
  </si>
  <si>
    <t>Fossil General Purpose Polystyrene (GPPS) Resin</t>
  </si>
  <si>
    <t>Fossil High-Impact Polystyrene (HIPS) Resin</t>
  </si>
  <si>
    <t>Fossil High-Density Polyethylene (HDPE) Resin</t>
  </si>
  <si>
    <t>Fossil Low-Density Polyethylene (LDPE) Resin</t>
  </si>
  <si>
    <t>Fossil Linear Low-Density Polyethylene (LLDPE) Resin</t>
  </si>
  <si>
    <t>Fossil Nylon 6 Resin</t>
  </si>
  <si>
    <t>Fossil Nylon 66 Resin</t>
  </si>
  <si>
    <t>Fossil Polycarbonate (PC) Resin</t>
  </si>
  <si>
    <t>Fossil Polyethylene Terephthalate (PET) Resin</t>
  </si>
  <si>
    <t>Fossil Polypropylene (PP) Resin</t>
  </si>
  <si>
    <t>Fosil Polyurethane (PUR) Flexible Foam</t>
  </si>
  <si>
    <t>Fossil Polyurethane (PUR) Rigid Foam</t>
  </si>
  <si>
    <t>Fossil based Polyvinyl Chloride (PVC) Resin</t>
  </si>
  <si>
    <t>Energy Use: mmBtu per ton</t>
  </si>
  <si>
    <t>Total Emissions: grams per ton</t>
  </si>
  <si>
    <t>Urban Emissions: grams per ton</t>
  </si>
  <si>
    <t>Data exported to GREET 1</t>
  </si>
  <si>
    <t>Aluminum (Virgin)</t>
  </si>
  <si>
    <t>Aluminum (Recycled)</t>
  </si>
  <si>
    <t>Bentonite</t>
  </si>
  <si>
    <t>Concrete</t>
  </si>
  <si>
    <t>Gelex</t>
  </si>
  <si>
    <t xml:space="preserve">Glass </t>
  </si>
  <si>
    <t>Gilsonite</t>
  </si>
  <si>
    <t>Lead (Virgin)</t>
  </si>
  <si>
    <t>Lead (Recycled)</t>
  </si>
  <si>
    <t>Oil</t>
  </si>
  <si>
    <t>Polypac</t>
  </si>
  <si>
    <t>Xanthum Gum</t>
  </si>
  <si>
    <t>Al2O3</t>
  </si>
  <si>
    <t>Copper Mining</t>
  </si>
  <si>
    <t>Vehicle Assembly</t>
  </si>
  <si>
    <t>Mining of MoS2</t>
  </si>
  <si>
    <t>NH4OH</t>
  </si>
  <si>
    <t>Mn2O3 (Ore)</t>
  </si>
  <si>
    <t>ZnO</t>
  </si>
  <si>
    <t>CoCl2</t>
  </si>
  <si>
    <t>Polymer</t>
  </si>
  <si>
    <t>Bauxite Extraction</t>
  </si>
  <si>
    <t>Dolomite Mining</t>
  </si>
  <si>
    <t xml:space="preserve">    Total energy</t>
  </si>
  <si>
    <t xml:space="preserve">    Fossil fuels</t>
  </si>
  <si>
    <t xml:space="preserve">    Coal</t>
  </si>
  <si>
    <t xml:space="preserve">    Natural gas</t>
  </si>
  <si>
    <t xml:space="preserve">    Petroleum</t>
  </si>
  <si>
    <t xml:space="preserve">    VOC</t>
  </si>
  <si>
    <t xml:space="preserve">    CO</t>
  </si>
  <si>
    <t xml:space="preserve">    NOx</t>
  </si>
  <si>
    <t xml:space="preserve">    PM2.5</t>
  </si>
  <si>
    <t xml:space="preserve">    BC</t>
  </si>
  <si>
    <t xml:space="preserve">    OC</t>
  </si>
  <si>
    <t xml:space="preserve">    CH4</t>
  </si>
  <si>
    <t xml:space="preserve">    N2O</t>
  </si>
  <si>
    <t xml:space="preserve">    CO2</t>
  </si>
  <si>
    <t xml:space="preserve">    CO2 (w/ C in VOC &amp; CO)</t>
  </si>
  <si>
    <t xml:space="preserve">    GHGs</t>
  </si>
  <si>
    <t>Data specific to GREET 2</t>
  </si>
  <si>
    <t>Global Warming Potentials of Greenhouse Gases: relative to CO2</t>
  </si>
  <si>
    <t>AR5/GWP</t>
  </si>
  <si>
    <t>AR5/GTP</t>
  </si>
  <si>
    <t>AR4/GWP</t>
  </si>
  <si>
    <t>AR3/GWP</t>
  </si>
  <si>
    <t>AR2/GWP</t>
  </si>
  <si>
    <t>CF4</t>
  </si>
  <si>
    <t>C2F6</t>
  </si>
  <si>
    <t xml:space="preserve">SF6 </t>
  </si>
  <si>
    <t>HFC-134a</t>
  </si>
  <si>
    <t>Emission Factors</t>
  </si>
  <si>
    <t>Blast Furnace Gas</t>
  </si>
  <si>
    <t>Coke Oven  Gas</t>
  </si>
  <si>
    <t>Combustion</t>
  </si>
  <si>
    <t>Flaring</t>
  </si>
  <si>
    <t>Dryer</t>
  </si>
  <si>
    <t>Calciner</t>
  </si>
  <si>
    <t>Transportation &amp; Distribution</t>
  </si>
  <si>
    <t>Horsepower Requirements for Ocean Tanker and Barges: Calculated with Cargo Capacity (unit is in HP)</t>
  </si>
  <si>
    <t>Cement/Gypsum/Clay</t>
  </si>
  <si>
    <t>Spodumene</t>
  </si>
  <si>
    <t>Cargo Payload By Transportation Mode and by Product Fuel Type: Tons</t>
  </si>
  <si>
    <t>For Cobalt Production in Congo and China</t>
  </si>
  <si>
    <t>Material Transported</t>
  </si>
  <si>
    <r>
      <t>Mn</t>
    </r>
    <r>
      <rPr>
        <b/>
        <vertAlign val="subscript"/>
        <sz val="10"/>
        <rFont val="Arial"/>
        <family val="2"/>
      </rPr>
      <t>2</t>
    </r>
    <r>
      <rPr>
        <b/>
        <sz val="10"/>
        <rFont val="Arial"/>
        <family val="2"/>
      </rPr>
      <t>CO</t>
    </r>
    <r>
      <rPr>
        <b/>
        <vertAlign val="subscript"/>
        <sz val="10"/>
        <rFont val="Arial"/>
        <family val="2"/>
      </rPr>
      <t>3</t>
    </r>
  </si>
  <si>
    <r>
      <t>LiMn</t>
    </r>
    <r>
      <rPr>
        <b/>
        <vertAlign val="subscript"/>
        <sz val="10"/>
        <rFont val="Arial"/>
        <family val="2"/>
      </rPr>
      <t>2</t>
    </r>
    <r>
      <rPr>
        <b/>
        <sz val="10"/>
        <rFont val="Arial"/>
        <family val="2"/>
      </rPr>
      <t>O</t>
    </r>
    <r>
      <rPr>
        <b/>
        <vertAlign val="subscript"/>
        <sz val="10"/>
        <rFont val="Arial"/>
        <family val="2"/>
      </rPr>
      <t>4</t>
    </r>
  </si>
  <si>
    <t>Li Brine</t>
  </si>
  <si>
    <t>LiOH in Chile</t>
  </si>
  <si>
    <t>Heavy Heavy-Duty Truck</t>
  </si>
  <si>
    <t xml:space="preserve">Energy Consumption and Emissions of Material Transportation </t>
  </si>
  <si>
    <t>Cement to Ready-Mix Facilities in U.S. (per mile)</t>
  </si>
  <si>
    <t xml:space="preserve">Concrete </t>
  </si>
  <si>
    <t>Lithium from Ore</t>
  </si>
  <si>
    <t>Material</t>
  </si>
  <si>
    <t>Soda Ash in U.S.</t>
  </si>
  <si>
    <t>Li2CO3 in U.S. (NV)</t>
  </si>
  <si>
    <t>Mn2CO3 in U.S.</t>
  </si>
  <si>
    <t>Li Brine in Chile</t>
  </si>
  <si>
    <t>Soda Ash in Chile</t>
  </si>
  <si>
    <t>Li2CO3 in Chile</t>
  </si>
  <si>
    <t>Diesel to Congo</t>
  </si>
  <si>
    <t>Sulfur to Congo</t>
  </si>
  <si>
    <t>Lime to Congo</t>
  </si>
  <si>
    <t>MgO to Congo</t>
  </si>
  <si>
    <t>NaOH to Congo</t>
  </si>
  <si>
    <t>Crude Co(OH)2     Congo to China</t>
  </si>
  <si>
    <t>Transportation Mode</t>
  </si>
  <si>
    <t>Truck</t>
  </si>
  <si>
    <t>Rail</t>
  </si>
  <si>
    <t>Tanker</t>
  </si>
  <si>
    <t>Urban Emission Share</t>
  </si>
  <si>
    <t>Distance (Miles, one-way)</t>
  </si>
  <si>
    <t>Share of Fuel Type Used:</t>
  </si>
  <si>
    <t xml:space="preserve">                   Residual Oil</t>
  </si>
  <si>
    <t xml:space="preserve">                   Diesel</t>
  </si>
  <si>
    <t xml:space="preserve">                   Natural Gas</t>
  </si>
  <si>
    <t xml:space="preserve">                   Electricity</t>
  </si>
  <si>
    <t>Energy Intensity: Btu/ton-mile</t>
  </si>
  <si>
    <t xml:space="preserve">                  Origin to Destination</t>
  </si>
  <si>
    <t xml:space="preserve">                  Back-Haul</t>
  </si>
  <si>
    <t>Energy Consumption: Btu/ton of material transported</t>
  </si>
  <si>
    <t xml:space="preserve">           Total energy </t>
  </si>
  <si>
    <t xml:space="preserve">           Fossil energy</t>
  </si>
  <si>
    <t xml:space="preserve">           Coal</t>
  </si>
  <si>
    <t xml:space="preserve">           Natural gas</t>
  </si>
  <si>
    <t xml:space="preserve">           Petroleum</t>
  </si>
  <si>
    <t>Total Emissions: grams/ton of material transported</t>
  </si>
  <si>
    <t xml:space="preserve">              VOC</t>
  </si>
  <si>
    <t xml:space="preserve">              CO</t>
  </si>
  <si>
    <t xml:space="preserve">              NOx</t>
  </si>
  <si>
    <t xml:space="preserve">              PM10</t>
  </si>
  <si>
    <t xml:space="preserve">              PM2.5</t>
  </si>
  <si>
    <t xml:space="preserve">              SOx</t>
  </si>
  <si>
    <t xml:space="preserve">              CH4</t>
  </si>
  <si>
    <t xml:space="preserve">              N2O</t>
  </si>
  <si>
    <t xml:space="preserve">              CO2</t>
  </si>
  <si>
    <t>Urban Emissions: grams/ton of material transported</t>
  </si>
  <si>
    <t xml:space="preserve">Engine oil </t>
  </si>
  <si>
    <t>Acrylonitrile</t>
  </si>
  <si>
    <t>Polyacrylonitrile (PAN)</t>
  </si>
  <si>
    <t xml:space="preserve">Carbon fiber </t>
  </si>
  <si>
    <t>Propylene</t>
  </si>
  <si>
    <t>Methyl methacrylate</t>
  </si>
  <si>
    <t xml:space="preserve">1.5) Tons of Different Raw Materials Needed per Ton of Intermediate Input and/or Final Carbon Fiber </t>
  </si>
  <si>
    <t>Methyl Methacrylate</t>
  </si>
  <si>
    <t>Carbon Fiber production (from PAN)</t>
  </si>
  <si>
    <t>PAN</t>
  </si>
  <si>
    <t>Spodumene Concentrate in Australia</t>
  </si>
  <si>
    <t>Spodumene Concentrate in China</t>
  </si>
  <si>
    <t>Spodumene Concentrate from Ore Mining and Processing</t>
  </si>
  <si>
    <t>Electrolytic Manganese Metal</t>
  </si>
  <si>
    <t xml:space="preserve">1.d) Material inputs ton/ton </t>
  </si>
  <si>
    <t xml:space="preserve">H2SO4, </t>
  </si>
  <si>
    <t>1.c) Share of Mn Production</t>
  </si>
  <si>
    <t>CaCO3</t>
  </si>
  <si>
    <t>EMM</t>
  </si>
  <si>
    <t>Mn</t>
  </si>
  <si>
    <t>Final Manganese</t>
  </si>
  <si>
    <t>1.2) NMC Cathode Powder Production Location Share</t>
  </si>
  <si>
    <t>Direct Manganese</t>
  </si>
  <si>
    <t>Manganese Product: Combined</t>
  </si>
  <si>
    <t>Model Year</t>
  </si>
  <si>
    <t>MY</t>
  </si>
  <si>
    <t>PHEV50: Conventional Material</t>
  </si>
  <si>
    <t>PHEV50: Lightweight Material</t>
  </si>
  <si>
    <t>EV200: Conventional Material</t>
  </si>
  <si>
    <t>EV400: Conventional Material</t>
  </si>
  <si>
    <t>EV500: Conventional Material</t>
  </si>
  <si>
    <t>Baseline vehicle weight sans battery and fluids (lbs)</t>
  </si>
  <si>
    <t>EV200: Lightweight Material</t>
  </si>
  <si>
    <t>EV400: Lightweight Material</t>
  </si>
  <si>
    <t>EV500: Lightweight Material</t>
  </si>
  <si>
    <t>Battery Power (kW), for HEV and FCV</t>
  </si>
  <si>
    <t>Battery Storage (kWh), for PHEV and EV</t>
  </si>
  <si>
    <t>PHEV30/EV300</t>
  </si>
  <si>
    <t>PHEV50/EV500</t>
  </si>
  <si>
    <t>PHEV40/EV400</t>
  </si>
  <si>
    <t>PHEV20/EV200</t>
  </si>
  <si>
    <t>MHDV Results</t>
  </si>
  <si>
    <t>1. Class 6 PnD Trucks: Well-to-Wheels Energy Consumption, Water Consumption, and Emissions: per mile and per mmBtu</t>
  </si>
  <si>
    <r>
      <t>CO</t>
    </r>
    <r>
      <rPr>
        <vertAlign val="subscript"/>
        <sz val="10"/>
        <rFont val="Arial"/>
        <family val="2"/>
      </rPr>
      <t>2</t>
    </r>
    <r>
      <rPr>
        <sz val="10"/>
        <rFont val="Arial"/>
        <family val="2"/>
      </rPr>
      <t xml:space="preserve"> (w/ C in VOC &amp; CO)</t>
    </r>
  </si>
  <si>
    <r>
      <t>CH</t>
    </r>
    <r>
      <rPr>
        <vertAlign val="subscript"/>
        <sz val="10"/>
        <rFont val="Arial"/>
        <family val="2"/>
      </rPr>
      <t>4</t>
    </r>
  </si>
  <si>
    <r>
      <t>N</t>
    </r>
    <r>
      <rPr>
        <vertAlign val="subscript"/>
        <sz val="10"/>
        <rFont val="Arial"/>
        <family val="2"/>
      </rPr>
      <t>2</t>
    </r>
    <r>
      <rPr>
        <sz val="10"/>
        <rFont val="Arial"/>
        <family val="2"/>
      </rPr>
      <t>O</t>
    </r>
  </si>
  <si>
    <r>
      <t>PM</t>
    </r>
    <r>
      <rPr>
        <vertAlign val="subscript"/>
        <sz val="10"/>
        <rFont val="Arial"/>
        <family val="2"/>
      </rPr>
      <t>10</t>
    </r>
    <r>
      <rPr>
        <sz val="10"/>
        <rFont val="Arial"/>
        <family val="2"/>
      </rPr>
      <t>: Total</t>
    </r>
  </si>
  <si>
    <r>
      <t>PM</t>
    </r>
    <r>
      <rPr>
        <vertAlign val="subscript"/>
        <sz val="10"/>
        <rFont val="Arial"/>
        <family val="2"/>
      </rPr>
      <t>2.5</t>
    </r>
    <r>
      <rPr>
        <sz val="10"/>
        <rFont val="Arial"/>
        <family val="2"/>
      </rPr>
      <t>: Total</t>
    </r>
  </si>
  <si>
    <r>
      <t>SO</t>
    </r>
    <r>
      <rPr>
        <vertAlign val="subscript"/>
        <sz val="10"/>
        <rFont val="Arial"/>
        <family val="2"/>
      </rPr>
      <t>x</t>
    </r>
    <r>
      <rPr>
        <sz val="10"/>
        <rFont val="Arial"/>
        <family val="2"/>
      </rPr>
      <t>: Total</t>
    </r>
  </si>
  <si>
    <r>
      <t>NO</t>
    </r>
    <r>
      <rPr>
        <vertAlign val="subscript"/>
        <sz val="10"/>
        <rFont val="Arial"/>
        <family val="2"/>
      </rPr>
      <t>x</t>
    </r>
    <r>
      <rPr>
        <sz val="10"/>
        <rFont val="Arial"/>
        <family val="2"/>
      </rPr>
      <t>: Urban</t>
    </r>
  </si>
  <si>
    <r>
      <t>PM</t>
    </r>
    <r>
      <rPr>
        <vertAlign val="subscript"/>
        <sz val="10"/>
        <rFont val="Arial"/>
        <family val="2"/>
      </rPr>
      <t>10</t>
    </r>
    <r>
      <rPr>
        <sz val="10"/>
        <rFont val="Arial"/>
        <family val="2"/>
      </rPr>
      <t>: Urban</t>
    </r>
  </si>
  <si>
    <r>
      <t>PM</t>
    </r>
    <r>
      <rPr>
        <vertAlign val="subscript"/>
        <sz val="10"/>
        <rFont val="Arial"/>
        <family val="2"/>
      </rPr>
      <t>2.5</t>
    </r>
    <r>
      <rPr>
        <sz val="10"/>
        <rFont val="Arial"/>
        <family val="2"/>
      </rPr>
      <t>: Urban</t>
    </r>
  </si>
  <si>
    <r>
      <t>SO</t>
    </r>
    <r>
      <rPr>
        <vertAlign val="subscript"/>
        <sz val="10"/>
        <rFont val="Arial"/>
        <family val="2"/>
      </rPr>
      <t>x</t>
    </r>
    <r>
      <rPr>
        <sz val="10"/>
        <rFont val="Arial"/>
        <family val="2"/>
      </rPr>
      <t>: Urban</t>
    </r>
  </si>
  <si>
    <t>2. Class 8 Day-Cab Trucks: Well-to-Wheels Energy Consumption, Water Consumption, and Emissions: per mile and per mmBtu</t>
  </si>
  <si>
    <t>3. Class 8 Sleeper-Cab Trucks: Well-to-Wheels Energy Consumption, Water Consumption, and Emissions: per mile and per mmBtu</t>
  </si>
  <si>
    <t>4. Results: Chosen Vehicle</t>
  </si>
  <si>
    <t>Scenario Control Variables and Input Assumptions Related to Truck and its Components</t>
  </si>
  <si>
    <t>1. Selection of Truck Types for Simulation</t>
  </si>
  <si>
    <t xml:space="preserve">  1 -- Class 6 PnD Trucks</t>
  </si>
  <si>
    <t xml:space="preserve">  2 -- Class 8 Day-Cab Trucks</t>
  </si>
  <si>
    <t xml:space="preserve">  3 -- Class 8 Sleeper-Cab Trucks</t>
  </si>
  <si>
    <t>2. Specification of Total Truck Weight, pounds</t>
  </si>
  <si>
    <t>3. Truck Battery and Fluids Weight, pounds per vehicle</t>
  </si>
  <si>
    <t>Steer axle</t>
  </si>
  <si>
    <t>Drive axle</t>
  </si>
  <si>
    <t>Inter-axle/Drive shafts</t>
  </si>
  <si>
    <t>Wheel-end: Steer axle</t>
  </si>
  <si>
    <t>Wheel-end: Drive axle</t>
  </si>
  <si>
    <t>Coolant cleaner</t>
  </si>
  <si>
    <t>4.1) Truck Components Weight, pounds (excluding battery, fluids, and fuel)</t>
  </si>
  <si>
    <t>Hydrogen Tank Onboard Storage</t>
  </si>
  <si>
    <t>4.3) Vehicle Components Composition, weight in pounds</t>
  </si>
  <si>
    <t>Van/Box (Class 8 trailer is in Section 9)</t>
  </si>
  <si>
    <t>Lift-gates</t>
  </si>
  <si>
    <t>4.4) Vehicle Components Composition, % by wt</t>
  </si>
  <si>
    <t>4.5) Tire Replacements and No. of Tires During Lifetime of Truck</t>
  </si>
  <si>
    <t>Type of tire</t>
  </si>
  <si>
    <t>No. of replacements</t>
  </si>
  <si>
    <t>No. of tires/use cycle</t>
  </si>
  <si>
    <t>Steer tire</t>
  </si>
  <si>
    <t>Drive tire</t>
  </si>
  <si>
    <t>4.6) Vehicle Tire Weight (lbs./tire)</t>
  </si>
  <si>
    <t>4.7) Replacements of Frequently Replaced Components</t>
  </si>
  <si>
    <t>Windshield Wiper Blades</t>
  </si>
  <si>
    <t>Engine oil filter</t>
  </si>
  <si>
    <t>5. Key Input Parameters for Batteries, Fuel Stacks and Hydrogen Tanks</t>
  </si>
  <si>
    <t>5.1) Battery Size in Peak Battery Power (High Power Applications), kW</t>
  </si>
  <si>
    <t>5.2) Battery Size in Peak Battery Energy (High Energy Applications), kWh</t>
  </si>
  <si>
    <t>5.3) Battery Replacements During Lifetime of Truck</t>
  </si>
  <si>
    <t>5.4) Li-ion Battery Cathode Material</t>
  </si>
  <si>
    <t>1. NMC811, 2. NMC622, 3.NMC532, 4. NMC111</t>
  </si>
  <si>
    <t>5.5) Battery Specific Power</t>
  </si>
  <si>
    <t>Type of truck</t>
  </si>
  <si>
    <t>5.6) Battery Specific Energy</t>
  </si>
  <si>
    <t>5.7) Fuel Stack Replacement During Lifetime of Truck</t>
  </si>
  <si>
    <t>5.8) Fuel Cell Truck: Pressure Option</t>
  </si>
  <si>
    <t>For "Fuel Cell Electric Vehicles or Trucks", select one of the following two options for pressure</t>
  </si>
  <si>
    <t xml:space="preserve">  1 -- 700 bar, 2 -- 350 bar</t>
  </si>
  <si>
    <t>6. Key Input Parameters for Fluids and Repeatedly Replaced Components</t>
  </si>
  <si>
    <t>6.1) Fluids Replacements During Lifetime of Truck</t>
  </si>
  <si>
    <t>Inter-axle/   Drive shafts</t>
  </si>
  <si>
    <t>7. GREET Default Key Assumptions for Truck Assembly</t>
  </si>
  <si>
    <t>7.2) Energy Use of Vehicle Assembling, Disposal and Recycling: mmBtu per MHDV</t>
  </si>
  <si>
    <t>8. Lifetime VMT of MHDV, miles</t>
  </si>
  <si>
    <t>9. Trailers</t>
  </si>
  <si>
    <t>9.1) Trailer Tire: Number of Tires &amp; Replacements</t>
  </si>
  <si>
    <t>No. of tires</t>
  </si>
  <si>
    <t>Trailer tire</t>
  </si>
  <si>
    <t>9.2) Trailer Tire Weight (lbs./tire)</t>
  </si>
  <si>
    <t>Tire weight (lbs.)</t>
  </si>
  <si>
    <t>9.3) Trailer Vehicle Fluids, weight in pounds</t>
  </si>
  <si>
    <t>Trailers</t>
  </si>
  <si>
    <t>9.4) Fluid Replacements During Lifetime of Trailer</t>
  </si>
  <si>
    <t>9.5) Trailer Composition: Component-wise, weight in pounds</t>
  </si>
  <si>
    <t>Components/Subsystems</t>
  </si>
  <si>
    <t>Body of trailer</t>
  </si>
  <si>
    <t>Chassis (Axles, suspensions, brakes, tires, wheels)</t>
  </si>
  <si>
    <t>Auxiliary</t>
  </si>
  <si>
    <t>9.6) Trailer Composition: Component-wise, wt.%</t>
  </si>
  <si>
    <t>9.7) Energy Use of Trailer Assembling, Disposal and Recycling: mmBtu per trailer</t>
  </si>
  <si>
    <t>Trailer Assembly - Painting</t>
  </si>
  <si>
    <t>Trailer Assembly - HVAC &amp; Lighting</t>
  </si>
  <si>
    <t>Trailer Assembly - Heating</t>
  </si>
  <si>
    <t>Trailer Assembly - Material Handling</t>
  </si>
  <si>
    <t>Trailer Assembly - Welding</t>
  </si>
  <si>
    <t>Trailer Assembly - Compressed Air</t>
  </si>
  <si>
    <t>Trailer Disposal</t>
  </si>
  <si>
    <t>Scenario Control Variables and Input Assumptions Related to Truck Materials</t>
  </si>
  <si>
    <t>1. Material Compostion for Truck Components</t>
  </si>
  <si>
    <t>Wrought aluminum</t>
  </si>
  <si>
    <t>Cast aluminum</t>
  </si>
  <si>
    <t>Glass fiber-reinforced plastic</t>
  </si>
  <si>
    <t>Damask</t>
  </si>
  <si>
    <t>Latex</t>
  </si>
  <si>
    <t>Leather</t>
  </si>
  <si>
    <t>Silica</t>
  </si>
  <si>
    <t>Cotton paper</t>
  </si>
  <si>
    <t>Copper &amp; Brass</t>
  </si>
  <si>
    <t>Bronze</t>
  </si>
  <si>
    <t>Fiberglass</t>
  </si>
  <si>
    <t>Iron</t>
  </si>
  <si>
    <t>Nichrome</t>
  </si>
  <si>
    <t>Nylon</t>
  </si>
  <si>
    <t>Plastic (Polyphenylenesulfide + Others)</t>
  </si>
  <si>
    <t>Ceramic</t>
  </si>
  <si>
    <t>Carbon paper</t>
  </si>
  <si>
    <t>PFSA Nafion</t>
  </si>
  <si>
    <t>Niobium</t>
  </si>
  <si>
    <t>Brass</t>
  </si>
  <si>
    <t>Magnet</t>
  </si>
  <si>
    <t>Grease</t>
  </si>
  <si>
    <t>Van/Box</t>
  </si>
  <si>
    <t>Wood</t>
  </si>
  <si>
    <t>Carbon fiber reinforced composite (Tanks)</t>
  </si>
  <si>
    <t>Liftgates</t>
  </si>
  <si>
    <t>Plastic (Average)</t>
  </si>
  <si>
    <t>Plastic (PPS &amp; Others)</t>
  </si>
  <si>
    <t>Carbon fiber-reinforced plastic</t>
  </si>
  <si>
    <t>1.4) Material Composition of Frequently Replaced Components</t>
  </si>
  <si>
    <t>All Li-ion Battery Chemistries</t>
  </si>
  <si>
    <t>3. Material Compostion for Trailer Components</t>
  </si>
  <si>
    <t>3.1) Trailer: Total Weight</t>
  </si>
  <si>
    <t>Weight</t>
  </si>
  <si>
    <t>3.2) Trailer: Material Composition (Break-up), wt%</t>
  </si>
  <si>
    <t>Trailer body</t>
  </si>
  <si>
    <t>Trailer chassis</t>
  </si>
  <si>
    <t>Magnets</t>
  </si>
  <si>
    <t>Materials</t>
  </si>
  <si>
    <t>4.1) Share of Virgin and Recycled Materials Used in Truck, % by wt</t>
  </si>
  <si>
    <t>4.10) Selection of Method for Estimating Energy Use for Platinum</t>
  </si>
  <si>
    <r>
      <t>CoSO</t>
    </r>
    <r>
      <rPr>
        <vertAlign val="subscript"/>
        <sz val="10"/>
        <rFont val="Arial"/>
        <family val="2"/>
      </rPr>
      <t>4</t>
    </r>
    <r>
      <rPr>
        <sz val="10"/>
        <rFont val="Arial"/>
        <family val="2"/>
      </rPr>
      <t xml:space="preserve"> Production</t>
    </r>
  </si>
  <si>
    <r>
      <t>Co</t>
    </r>
    <r>
      <rPr>
        <vertAlign val="subscript"/>
        <sz val="10"/>
        <rFont val="Arial"/>
        <family val="2"/>
      </rPr>
      <t>3</t>
    </r>
    <r>
      <rPr>
        <sz val="10"/>
        <rFont val="Arial"/>
        <family val="2"/>
      </rPr>
      <t>O</t>
    </r>
    <r>
      <rPr>
        <vertAlign val="subscript"/>
        <sz val="10"/>
        <rFont val="Arial"/>
        <family val="2"/>
      </rPr>
      <t>4</t>
    </r>
    <r>
      <rPr>
        <sz val="10"/>
        <rFont val="Arial"/>
        <family val="2"/>
      </rPr>
      <t xml:space="preserve"> Production</t>
    </r>
  </si>
  <si>
    <t>Production Shares for Virgin Magnesium</t>
  </si>
  <si>
    <t>5.15) Energy Use of Platinum: mmBtu per ton of platinum</t>
  </si>
  <si>
    <r>
      <t>Primary Mining and beneficiation (mmBtu/MoS</t>
    </r>
    <r>
      <rPr>
        <vertAlign val="subscript"/>
        <sz val="10"/>
        <rFont val="Arial"/>
        <family val="2"/>
      </rPr>
      <t>2</t>
    </r>
    <r>
      <rPr>
        <sz val="10"/>
        <rFont val="Arial"/>
        <family val="2"/>
      </rPr>
      <t xml:space="preserve">) </t>
    </r>
  </si>
  <si>
    <r>
      <t>Conversion (mmBtu/MoS</t>
    </r>
    <r>
      <rPr>
        <vertAlign val="subscript"/>
        <sz val="10"/>
        <rFont val="Arial"/>
        <family val="2"/>
      </rPr>
      <t>2</t>
    </r>
    <r>
      <rPr>
        <sz val="10"/>
        <rFont val="Arial"/>
        <family val="2"/>
      </rPr>
      <t>)</t>
    </r>
  </si>
  <si>
    <t xml:space="preserve">How can injection molding (PP) be used for polymers other than PP? </t>
  </si>
  <si>
    <t>Values are from an older source, and can be considered for revision</t>
  </si>
  <si>
    <t>Unclear on data sources used for this</t>
  </si>
  <si>
    <t>mmBTU</t>
  </si>
  <si>
    <t>US ton</t>
  </si>
  <si>
    <t>MJ//kg</t>
  </si>
  <si>
    <t>Scenario Control Variables and Input Assumptions Related to Class 6 PnD Truck and its Components</t>
  </si>
  <si>
    <t>1. Specification of Total Truck Weight, pounds</t>
  </si>
  <si>
    <t>Class 6 PnD Truck</t>
  </si>
  <si>
    <t>Class 6 PnD Truck - Lead-Acid</t>
  </si>
  <si>
    <t>Class 6 PnD Truck - Li-Ion</t>
  </si>
  <si>
    <t>Class 6 PnD Truck - ICEV</t>
  </si>
  <si>
    <t>Class 6 PnD Truck - HEV</t>
  </si>
  <si>
    <t>Class 6 PnD Truck - BEV</t>
  </si>
  <si>
    <t>Class 6 PnD Truck - FCV</t>
  </si>
  <si>
    <t>3.1) Truck Components Weight, pounds (excluding battery, fluids, and fuel)</t>
  </si>
  <si>
    <t>3.2.b) Truck Weight of Fuel Cell Stack and Auxiliary System, pounds</t>
  </si>
  <si>
    <t>3.3) Class 6 PnD Truck Components Composition, weight in pounds</t>
  </si>
  <si>
    <t>Hydrogen Tank Storage: 700 bar</t>
  </si>
  <si>
    <t>Hydrogen Tank Storage: 350 bar</t>
  </si>
  <si>
    <t>3.4) Class 6 PnD Truck Components Composition, % by wt</t>
  </si>
  <si>
    <t>3.5) Tire Replacements During Lifetime of Class 6 PnD Truck</t>
  </si>
  <si>
    <t>3.6) Vehicle Tire Weight (lbs./tire)</t>
  </si>
  <si>
    <t>4. Key Input Parameters for Batteries and Fuel Cell Stacks</t>
  </si>
  <si>
    <t>4.1) Class 6 PnD Truck Battery Size in Peak Battery Power (High Power Applications), kW</t>
  </si>
  <si>
    <t>4.2) Class 6 PnD Truck Battery Size in Peak Battery Energy (High Energy Applications), kWh</t>
  </si>
  <si>
    <t>4.3) Battery Replacements During Lifetime of Class 6 PnD Truck</t>
  </si>
  <si>
    <t>4.4) Battery Specific Power</t>
  </si>
  <si>
    <t>4.5) Battery Specific Energy</t>
  </si>
  <si>
    <t>4.6) Fuel Stack Replacement</t>
  </si>
  <si>
    <t>5. Fluids Replacements During Lifetime of Class 6 PnD Truck</t>
  </si>
  <si>
    <t>6. Lifetime VMT of Class 6 PnD Truck, miles</t>
  </si>
  <si>
    <t>7. Material Composition for Each Class 6 PnD Truck Component, % by wt</t>
  </si>
  <si>
    <t>Hydrogen tank pressure</t>
  </si>
  <si>
    <t>700 bar</t>
  </si>
  <si>
    <t>350 bar</t>
  </si>
  <si>
    <t>8. Fuel Economy of Class 6 PnD Truck (mpgge)</t>
  </si>
  <si>
    <t>9. Trailers: Details</t>
  </si>
  <si>
    <t>9.1) Trailers Tires: No. of replacements and tires</t>
  </si>
  <si>
    <t>Weight (lbs.)</t>
  </si>
  <si>
    <t>9.3) Trailers Weight, pounds (excluding fluids, at any moment of time)</t>
  </si>
  <si>
    <t>9.4) Trailer Vehicle Fluids, weight in pounds</t>
  </si>
  <si>
    <t>Inter-axle/   
Drive shafts</t>
  </si>
  <si>
    <t>9.5) Fluid Replacements During Lifetime of Trailer</t>
  </si>
  <si>
    <t>9.6) Material Composition for Each Trailer Component, % by wt</t>
  </si>
  <si>
    <t>10. Component Replacements During Lifetime of Truck</t>
  </si>
  <si>
    <t>10.1) Material Composition of Frequently Replaced Components, weight by pounds (for single component)</t>
  </si>
  <si>
    <t>10.2) Material Composition of Frequently Replaced Components, wt %</t>
  </si>
  <si>
    <t>10.3) Number of Replacements of Frequently Replaced Components</t>
  </si>
  <si>
    <t>11. Li-ion battery: Material Composition</t>
  </si>
  <si>
    <t>Scenario Control Variables and Input Assumptions Related to Class 8 Day-Cab Truck and its Components</t>
  </si>
  <si>
    <t>Class 8 Day-Cab Truck</t>
  </si>
  <si>
    <t>Class 8 Day-Cab Truck - Lead-Acid</t>
  </si>
  <si>
    <t>Class 8 Day-Cab Truck - Li-Ion</t>
  </si>
  <si>
    <t>Class 8 Day-Cab Truck - ICEV</t>
  </si>
  <si>
    <t>Class 8 Day-Cab Truck - HEV</t>
  </si>
  <si>
    <t>Class 8 Day-Cab Truck - BEV</t>
  </si>
  <si>
    <t>Class 8 Day-Cab Truck - FCV</t>
  </si>
  <si>
    <t xml:space="preserve">Class 8 Day-Cab Truck </t>
  </si>
  <si>
    <t>3.3) Class 8 Day-Cab Truck Components Composition, weight in pounds</t>
  </si>
  <si>
    <t>3.4) Class 8 Day-Cab Truck Components Composition, % by wt</t>
  </si>
  <si>
    <t>3.5) Tire Replacements and Numbers During Lifetime of Class 8 Day-Cab Truck</t>
  </si>
  <si>
    <t>4.1) Class 8 Day-Cab Truck Battery Size in Peak Battery Power (High Power Applications), kW</t>
  </si>
  <si>
    <t>4.2) Class 8 Day-Cab Truck Battery Size in Peak Battery Energy (High Energy Applications), kWh</t>
  </si>
  <si>
    <t>4.3) Battery Replacements During Lifetime of Class 8 Day-Cab Truck</t>
  </si>
  <si>
    <t>5. Fluids Replacements During Lifetime of Class 8 Day-Cab Truck</t>
  </si>
  <si>
    <t>6. Lifetime VMT of Class 8 Day-Cab Truck, miles</t>
  </si>
  <si>
    <t>7. Material Composition for Each Class 8 Day-Cab Truck Component, % by wt</t>
  </si>
  <si>
    <t>Van/Box (No van/box in Class 8 trucks)</t>
  </si>
  <si>
    <t>8. Fuel Economy of Class 8 Day-Cab Truck (mpgge)</t>
  </si>
  <si>
    <t>Scenario Control Variables and Input Assumptions Related to Class 8 Sleeper-Cab Truck and its Components</t>
  </si>
  <si>
    <t>Class 8 Sleeper-Cab Truck</t>
  </si>
  <si>
    <t>Class 8 Sleeper-Cab Truck - Lead-Acid</t>
  </si>
  <si>
    <t>Class 8 Sleeper-Cab Truck - Li-Ion</t>
  </si>
  <si>
    <t>Class 8 Sleeper-Cab Truck - ICEV</t>
  </si>
  <si>
    <t>Class 8 Sleeper-Cab Truck - HEV</t>
  </si>
  <si>
    <t>Class 8 Sleeper-Cab Truck - BEV</t>
  </si>
  <si>
    <t>Class 8 Sleeper-Cab Truck - FCV</t>
  </si>
  <si>
    <t>3.3) Class 8 Sleeper-Cab Truck Components Composition, weight in pounds</t>
  </si>
  <si>
    <t>3.4) Class 8 Sleeper-Cab Truck Components Composition, % by wt</t>
  </si>
  <si>
    <t>3.5) Tire Replacements and Numbers During Lifetime of Class 8 Sleeper-Cab Truck</t>
  </si>
  <si>
    <t>4.1) Class 8 Sleeper-Cab Truck Battery Size in Peak Battery Power (High Power Applications), kW</t>
  </si>
  <si>
    <t>4.2) Class 8 Sleeper-Cab Truck Battery Size in Peak Battery Energy (High Energy Applications), kWh</t>
  </si>
  <si>
    <t>4.3) Battery Replacements During Lifetime of Class 8 Sleeper-Cab Truck</t>
  </si>
  <si>
    <t>5. Fluids Replacements During Lifetime of Class 8 Sleeper-Cab Truck</t>
  </si>
  <si>
    <t>6. Lifetime VMT of Class 8 Sleeper-Cab Truck, miles</t>
  </si>
  <si>
    <t>7. Material Composition for Each Class 8 Sleeper-Cab Truck Component, % by wt</t>
  </si>
  <si>
    <t>8. Fuel Economy of Class 8 Sleeper-Cab Truck (mpgge)</t>
  </si>
  <si>
    <t>Fluids: MHDVs</t>
  </si>
  <si>
    <t xml:space="preserve">    ICEVs</t>
  </si>
  <si>
    <r>
      <t xml:space="preserve">     NO</t>
    </r>
    <r>
      <rPr>
        <vertAlign val="subscript"/>
        <sz val="10"/>
        <rFont val="Arial"/>
        <family val="2"/>
      </rPr>
      <t>x</t>
    </r>
  </si>
  <si>
    <r>
      <t xml:space="preserve">     PM</t>
    </r>
    <r>
      <rPr>
        <vertAlign val="subscript"/>
        <sz val="10"/>
        <rFont val="Arial"/>
        <family val="2"/>
      </rPr>
      <t>10</t>
    </r>
  </si>
  <si>
    <r>
      <t xml:space="preserve">     PM</t>
    </r>
    <r>
      <rPr>
        <vertAlign val="subscript"/>
        <sz val="10"/>
        <rFont val="Arial"/>
        <family val="2"/>
      </rPr>
      <t>2.5</t>
    </r>
  </si>
  <si>
    <r>
      <t xml:space="preserve">     SO</t>
    </r>
    <r>
      <rPr>
        <vertAlign val="subscript"/>
        <sz val="10"/>
        <rFont val="Arial"/>
        <family val="2"/>
      </rPr>
      <t>x</t>
    </r>
  </si>
  <si>
    <r>
      <t xml:space="preserve">     CH</t>
    </r>
    <r>
      <rPr>
        <vertAlign val="subscript"/>
        <sz val="10"/>
        <rFont val="Arial"/>
        <family val="2"/>
      </rPr>
      <t>4</t>
    </r>
  </si>
  <si>
    <r>
      <t xml:space="preserve">     N</t>
    </r>
    <r>
      <rPr>
        <vertAlign val="subscript"/>
        <sz val="10"/>
        <rFont val="Arial"/>
        <family val="2"/>
      </rPr>
      <t>2</t>
    </r>
    <r>
      <rPr>
        <sz val="10"/>
        <rFont val="Arial"/>
        <family val="2"/>
      </rPr>
      <t>O</t>
    </r>
  </si>
  <si>
    <r>
      <t xml:space="preserve">     CO</t>
    </r>
    <r>
      <rPr>
        <vertAlign val="subscript"/>
        <sz val="10"/>
        <rFont val="Arial"/>
        <family val="2"/>
      </rPr>
      <t>2</t>
    </r>
  </si>
  <si>
    <t>Coolant Cleaner</t>
  </si>
  <si>
    <r>
      <t xml:space="preserve">     CO</t>
    </r>
    <r>
      <rPr>
        <vertAlign val="subscript"/>
        <sz val="10"/>
        <rFont val="Arial"/>
        <family val="2"/>
      </rPr>
      <t>2</t>
    </r>
    <r>
      <rPr>
        <sz val="10"/>
        <rFont val="Arial"/>
        <family val="2"/>
      </rPr>
      <t xml:space="preserve"> (VOC, CO, CO</t>
    </r>
    <r>
      <rPr>
        <vertAlign val="subscript"/>
        <sz val="10"/>
        <rFont val="Arial"/>
        <family val="2"/>
      </rPr>
      <t>2</t>
    </r>
    <r>
      <rPr>
        <sz val="10"/>
        <rFont val="Arial"/>
        <family val="2"/>
      </rPr>
      <t>)</t>
    </r>
  </si>
  <si>
    <t>ICEVs</t>
  </si>
  <si>
    <t>Fluids: Class 8 Trailers</t>
  </si>
  <si>
    <t>Weight: lb of fluids per trailer</t>
  </si>
  <si>
    <t>Fluids in trailer</t>
  </si>
  <si>
    <t>Numbers of Replacement per Life (same as tractor life)</t>
  </si>
  <si>
    <t>Trailer</t>
  </si>
  <si>
    <t>Truck: Vehicle Assembly, Disposal, and Recycling</t>
  </si>
  <si>
    <t>1.1) Share of Virgin and Recycled Materials Used in Truck, % by wt (from Mat_Inputs sheet)</t>
  </si>
  <si>
    <t>1.2) Shares of Steel Types in a Truck for Average Virgin Stamped Steel Calculation, % by wt</t>
  </si>
  <si>
    <t>1.3 Shares of Iron Types in a Truck for Average Iron Calculation, % by wt</t>
  </si>
  <si>
    <t>1.4) Shares of Wrought Aluminum Types in a Truck for Average Virgin Wrought Aluminum Calculation, % by wt</t>
  </si>
  <si>
    <t>1.6) Shares of Individual Plastic in a Truck for Average Plastic Calculation, % by wt</t>
  </si>
  <si>
    <t>Trailer: Vehicle Assembly, Disposal, and Recycling</t>
  </si>
  <si>
    <t>Trailer  Assembly - Painting</t>
  </si>
  <si>
    <t>5) Summary of Energy Consumption and Emissions Related to Material Transformation (Only used to examine Part Manufacturing and Trailer Assembly (VMA))</t>
  </si>
  <si>
    <t>5.2) Energy Use and Emissions Related to Material Transformation for Trailer Materials: per-trailer lifetime</t>
  </si>
  <si>
    <t>6) Summary of Energy Consumption and Emissions Related to Part Manufacturing and Trailer Assembly (VMA): per-trailer lifetime</t>
  </si>
  <si>
    <t>Summary of Energy Consumption and Emissions for Battery: For Class 6 &amp; Class 8 Trucks</t>
  </si>
  <si>
    <t>2.2) Li-Ion Battery</t>
  </si>
  <si>
    <t>Summary of Energy Consumption and Emissions for Truck Components</t>
  </si>
  <si>
    <t>Truck Weight (lbs): without Battery, Fluids and Fuel</t>
  </si>
  <si>
    <t>Truck Components Composition (% by wt)</t>
  </si>
  <si>
    <t>Truck Material Composition (% by wt): aggregated by each component</t>
  </si>
  <si>
    <t>Tire Replacements During Lifetime of Truck</t>
  </si>
  <si>
    <t>Truck Tire Weight (lbs/tire)</t>
  </si>
  <si>
    <t>Replacements of Frequently Replaced Components During Lifetime of Truck</t>
  </si>
  <si>
    <t>Material Composition of Frequently Replaced Components During Lifetime of Truck (weight in pounds of single component)</t>
  </si>
  <si>
    <t>Material Composition of Frequently Replaced Components During Lifetime of Truck (wt %)</t>
  </si>
  <si>
    <t>Fuel Stack Replacements During MHDV Lifetime</t>
  </si>
  <si>
    <t>3.1) ICEV</t>
  </si>
  <si>
    <t>3.2) HEV</t>
  </si>
  <si>
    <t>3.3) EV</t>
  </si>
  <si>
    <t>Summary of Energy Consumption &amp; Emissions for Trailer Components</t>
  </si>
  <si>
    <t>Trailer Weight (lbs.) without fluids</t>
  </si>
  <si>
    <t>Trailer Components Composition (by wt.%)</t>
  </si>
  <si>
    <t>Trailer Material Composition (% by wt): Overall</t>
  </si>
  <si>
    <t>Tire Replacements During Lifetime of Trailer</t>
  </si>
  <si>
    <t>Trailer tire weight (lbs/tire)</t>
  </si>
  <si>
    <t>2) Summary of Energy Consumption and Emissions for Trailer Materials: per-trailer lifetime</t>
  </si>
  <si>
    <t xml:space="preserve">Body </t>
  </si>
  <si>
    <t>Chassis</t>
  </si>
  <si>
    <t>Trailer: Vehicle Fluids</t>
  </si>
  <si>
    <t>Trailer: ADR</t>
  </si>
  <si>
    <t>Trailer: Material Composition (Weight, lbs.)</t>
  </si>
  <si>
    <t>Energy Use and Emissions of Vehicle Cycle: Trucks</t>
  </si>
  <si>
    <t>1.1) ICEV</t>
  </si>
  <si>
    <r>
      <t>CO</t>
    </r>
    <r>
      <rPr>
        <vertAlign val="subscript"/>
        <sz val="10"/>
        <rFont val="Arial"/>
        <family val="2"/>
      </rPr>
      <t>2</t>
    </r>
  </si>
  <si>
    <r>
      <t>CO</t>
    </r>
    <r>
      <rPr>
        <vertAlign val="subscript"/>
        <sz val="10"/>
        <rFont val="Arial"/>
        <family val="2"/>
      </rPr>
      <t>2</t>
    </r>
    <r>
      <rPr>
        <sz val="10"/>
        <rFont val="Arial"/>
        <family val="2"/>
      </rPr>
      <t xml:space="preserve"> (VOC, CO, CO</t>
    </r>
    <r>
      <rPr>
        <vertAlign val="subscript"/>
        <sz val="10"/>
        <rFont val="Arial"/>
        <family val="2"/>
      </rPr>
      <t>2</t>
    </r>
    <r>
      <rPr>
        <sz val="10"/>
        <rFont val="Arial"/>
        <family val="2"/>
      </rPr>
      <t>)</t>
    </r>
  </si>
  <si>
    <r>
      <t>NO</t>
    </r>
    <r>
      <rPr>
        <vertAlign val="subscript"/>
        <sz val="10"/>
        <rFont val="Arial"/>
        <family val="2"/>
      </rPr>
      <t>x</t>
    </r>
    <r>
      <rPr>
        <sz val="10"/>
        <rFont val="Arial"/>
        <family val="2"/>
      </rPr>
      <t>: Total</t>
    </r>
  </si>
  <si>
    <t>1.2) HEV</t>
  </si>
  <si>
    <t>1.3) EV</t>
  </si>
  <si>
    <t>5. Energy Consumption, Water Consumption, and Emissions used for steel Production Pathways</t>
  </si>
  <si>
    <t>1) Energy Use and Total Emissions:Btu or Grams per mmBtu of Fuel Throughput at Each Stage</t>
  </si>
  <si>
    <t>Natural Gas used for steel production</t>
  </si>
  <si>
    <t>Electricity 
(per mmBtu)</t>
  </si>
  <si>
    <t>Hydrogen production</t>
  </si>
  <si>
    <t>Pet coke boiler</t>
  </si>
  <si>
    <t>1.3) Energy switching options for steel production</t>
  </si>
  <si>
    <t>RNG</t>
  </si>
  <si>
    <t>NG to RNG</t>
  </si>
  <si>
    <t>Electricity</t>
  </si>
  <si>
    <t>Renewable electricity</t>
  </si>
  <si>
    <t>Grid electricity to renewable electricity</t>
  </si>
  <si>
    <t>1.4) Iron sources for crude steel production using BF-BOF technology</t>
  </si>
  <si>
    <t>Iron ore</t>
  </si>
  <si>
    <t>Scrap</t>
  </si>
  <si>
    <t>Irion ratio</t>
  </si>
  <si>
    <t>Iron ore mining for DRI production</t>
  </si>
  <si>
    <t>Pelletizing for DRI production</t>
  </si>
  <si>
    <t>DRI production using 100% NG</t>
  </si>
  <si>
    <t>DRI production using 83% H2</t>
  </si>
  <si>
    <t>EAF and LRF for steel production from DRI</t>
  </si>
  <si>
    <t>Iron ore mining for FIT production</t>
  </si>
  <si>
    <t>FIT production using 100% H2</t>
  </si>
  <si>
    <t>EAF and LRF for steel production from FIT</t>
  </si>
  <si>
    <t xml:space="preserve">     H2</t>
  </si>
  <si>
    <t xml:space="preserve">     Iron Ore or pellet (ton)</t>
  </si>
  <si>
    <t>Iron Ore Mining for DRI production</t>
  </si>
  <si>
    <t xml:space="preserve">DRI production using 83% H2 </t>
  </si>
  <si>
    <t>Iron Ore Mining for FIT production</t>
  </si>
  <si>
    <t>Steel production from DRI_100% NG
(100% DRI and 0% scrap)</t>
  </si>
  <si>
    <t>Steel production from DRI_83% H2
(100% DRI and 0% scrap)</t>
  </si>
  <si>
    <t>Steel production from FIT_100% H2
(100% DRI and 0% scrap)</t>
  </si>
  <si>
    <t>Combined Waste to NG as Intermediate Fuel</t>
  </si>
  <si>
    <t>Central Plants: Solar Energy to Gaseous Hydrogen</t>
  </si>
  <si>
    <t>1) Data to Export to the GREET Building LCA Module</t>
  </si>
  <si>
    <t>2) Data Imported from the GREET Building LCA Module</t>
  </si>
  <si>
    <t>Material Category</t>
  </si>
  <si>
    <t>Metric</t>
  </si>
  <si>
    <t>Unit</t>
  </si>
  <si>
    <t>Life-Cycle Results</t>
  </si>
  <si>
    <t>Year</t>
  </si>
  <si>
    <t>Comments</t>
  </si>
  <si>
    <t>System Boundary</t>
  </si>
  <si>
    <t>Data source</t>
  </si>
  <si>
    <t>Total Energy</t>
  </si>
  <si>
    <t>ton</t>
  </si>
  <si>
    <t>US average</t>
  </si>
  <si>
    <t>Cradle to Gate</t>
  </si>
  <si>
    <t>GREET</t>
  </si>
  <si>
    <t>Water Consumption</t>
  </si>
  <si>
    <t>Gal</t>
  </si>
  <si>
    <t>BC Total</t>
  </si>
  <si>
    <t>OC Total</t>
  </si>
  <si>
    <t>BC Urban</t>
  </si>
  <si>
    <t>OC Urban</t>
  </si>
  <si>
    <t>Ready-mix Concrete</t>
  </si>
  <si>
    <t>With US average cement</t>
  </si>
  <si>
    <t>Dolomite</t>
  </si>
  <si>
    <t>MG silicon</t>
  </si>
  <si>
    <t>3.4) FCV</t>
  </si>
  <si>
    <t>1.4) FCV</t>
  </si>
  <si>
    <t>5. Fuel Economy Values</t>
  </si>
  <si>
    <t>Class 6 PnD</t>
  </si>
  <si>
    <t>Class 8 day-cab</t>
  </si>
  <si>
    <t>Class 8 sleeper-cab</t>
  </si>
  <si>
    <t>Fleet year</t>
  </si>
  <si>
    <t>Diesel vehicle (MPDGE)</t>
  </si>
  <si>
    <t>HEV (MPDGE)</t>
  </si>
  <si>
    <t>EV (MPDGE)</t>
  </si>
  <si>
    <t>FCV (MPDGE)</t>
  </si>
  <si>
    <t>4. Key Input Parameters for Truck Components: Body, Powertrain System, Transmission System, Chassis, Traction Motor, Generator, Electronic Controller, Van/Box, and Fuel Cell Auxiliary System</t>
  </si>
  <si>
    <t>Trailer axle</t>
  </si>
  <si>
    <t>Wheel-end: Trailer axle</t>
  </si>
  <si>
    <t>3.3) Overall Aggregate Material Composition, wt.%</t>
  </si>
  <si>
    <t>3. Key Input Parameters for Truck Components: Body, Powertrain System, Transmission System, Chassis, Traction Motor, Generator, Electronic Controller, Van/Box, and Fuel Cell Auxiliary System</t>
  </si>
  <si>
    <t>4) Summary of Energy Consumption and Emissions Related to Vehicle Assembly, Disposal and Recycling (for Truck)</t>
  </si>
  <si>
    <t>Total ADR (Truck)</t>
  </si>
  <si>
    <r>
      <t xml:space="preserve">1.1) Share of Virgin and Recycled Materials Used in Truck Trailer, % by wt (from </t>
    </r>
    <r>
      <rPr>
        <b/>
        <i/>
        <sz val="10"/>
        <rFont val="Arial"/>
        <family val="2"/>
      </rPr>
      <t xml:space="preserve">MHDV_Mat_Parameters </t>
    </r>
    <r>
      <rPr>
        <b/>
        <sz val="10"/>
        <rFont val="Arial"/>
        <family val="2"/>
      </rPr>
      <t>sheet)</t>
    </r>
  </si>
  <si>
    <t>1.2) Shares of Steel Types in a Truck Trailer for Average Virgin Stamped Steel Calculation, % by wt</t>
  </si>
  <si>
    <t>1.3) Shares of Iron Types in a Truck Trailer for Average Iron Calculation, % by wt</t>
  </si>
  <si>
    <t>1.4) Shares of Wrought Aluminum Types in a Truck Trailer for Average Virgin Wrought Aluminum Calculation, % by wt</t>
  </si>
  <si>
    <t>1.6) Shares of Individual Plastic in a Truck Trailer for Average Plastic Calculation, % by wt</t>
  </si>
  <si>
    <t>4) Summary of Energy Consumption and Emissions Related to Trailer Assembly, Disposal and Recycling</t>
  </si>
  <si>
    <t>Trailer  Assembly - Welding</t>
  </si>
  <si>
    <t>Total ADR (Trailer)</t>
  </si>
  <si>
    <r>
      <t xml:space="preserve">1) Key Input Parameters (from </t>
    </r>
    <r>
      <rPr>
        <b/>
        <i/>
        <sz val="11"/>
        <rFont val="Arial"/>
        <family val="2"/>
      </rPr>
      <t xml:space="preserve">MHDV_Inputs </t>
    </r>
    <r>
      <rPr>
        <b/>
        <sz val="11"/>
        <rFont val="Arial"/>
        <family val="2"/>
      </rPr>
      <t xml:space="preserve">and </t>
    </r>
    <r>
      <rPr>
        <b/>
        <i/>
        <sz val="11"/>
        <rFont val="Arial"/>
        <family val="2"/>
      </rPr>
      <t xml:space="preserve">MHDV_Mat_Parameters </t>
    </r>
    <r>
      <rPr>
        <b/>
        <sz val="11"/>
        <rFont val="Arial"/>
        <family val="2"/>
      </rPr>
      <t>sheet)</t>
    </r>
  </si>
  <si>
    <r>
      <t xml:space="preserve">1) Key Input Parameters (from </t>
    </r>
    <r>
      <rPr>
        <b/>
        <i/>
        <sz val="11"/>
        <rFont val="Arial"/>
        <family val="2"/>
      </rPr>
      <t xml:space="preserve">MHDV_Inputs, MHDV_Mat_Parameters, </t>
    </r>
    <r>
      <rPr>
        <b/>
        <sz val="11"/>
        <rFont val="Arial"/>
        <family val="2"/>
      </rPr>
      <t>and</t>
    </r>
    <r>
      <rPr>
        <b/>
        <i/>
        <sz val="11"/>
        <rFont val="Arial"/>
        <family val="2"/>
      </rPr>
      <t xml:space="preserve"> Mat_Inputs</t>
    </r>
    <r>
      <rPr>
        <b/>
        <sz val="11"/>
        <rFont val="Arial"/>
        <family val="2"/>
      </rPr>
      <t xml:space="preserve"> sheet)</t>
    </r>
  </si>
  <si>
    <t>Trailer: Fluid Usage (Per cycle, weight in pounds)</t>
  </si>
  <si>
    <t>Inter-axle/
Drive shafts</t>
  </si>
  <si>
    <t>Trailer: Fluid Replacements</t>
  </si>
  <si>
    <t>CIDI Vehicle: Diesel</t>
  </si>
  <si>
    <t>Grid-Independent CIDI HEV</t>
  </si>
  <si>
    <t>EV: Electricity, US Mix</t>
  </si>
  <si>
    <r>
      <t>FCV: G.H</t>
    </r>
    <r>
      <rPr>
        <b/>
        <vertAlign val="subscript"/>
        <sz val="10"/>
        <rFont val="Arial"/>
        <family val="2"/>
      </rPr>
      <t>2</t>
    </r>
  </si>
  <si>
    <t>Final Iron Product Mix</t>
  </si>
  <si>
    <t>Liquefied Natural Gas (as an intermediate fuel)</t>
  </si>
  <si>
    <t>4.8.e) Tons of Raw Materials Needed per Ton of Final Carbon Fiber</t>
  </si>
  <si>
    <t>9. Vehicle Time Series Data</t>
  </si>
  <si>
    <t xml:space="preserve">  Sodium hydroxide</t>
  </si>
  <si>
    <t xml:space="preserve">  Dispersant (Diesel) </t>
  </si>
  <si>
    <t xml:space="preserve">  Oleic Acid</t>
  </si>
  <si>
    <t xml:space="preserve">  Spodumene concentrate</t>
  </si>
  <si>
    <t xml:space="preserve">  Diatomaceous earth</t>
  </si>
  <si>
    <t>1) Key Input Parameters (from MHDV_Inputs and MHDV_Mat_Parameters sheets)</t>
  </si>
  <si>
    <t>Fuel Cell Stack Size, kW</t>
  </si>
  <si>
    <t>Vehi_Plastics</t>
  </si>
  <si>
    <t>Calculations of energy use and emissions for vehicle plastics.</t>
  </si>
  <si>
    <t>Battery_Recycling</t>
  </si>
  <si>
    <t>Calculations of energy use and emissions for battery recycling</t>
  </si>
  <si>
    <t>GREET_Building_Import_Export</t>
  </si>
  <si>
    <t>GREET1_Import_Export</t>
  </si>
  <si>
    <t>Summary of parameters imported from GREET 1 for use in GREET 2 and exported from GREET 2 to GREET 1</t>
  </si>
  <si>
    <t>Summary of parameters for GREET Building Module</t>
  </si>
  <si>
    <t>MHDV_Inputs</t>
  </si>
  <si>
    <t>MHDV_Mat_Parameters</t>
  </si>
  <si>
    <t>Class 6 PnD Trucks</t>
  </si>
  <si>
    <t>Class 8 Day-cab Trucks</t>
  </si>
  <si>
    <t>Class 8 Sleeper-cab Trucks</t>
  </si>
  <si>
    <t>MHDV_Fluids</t>
  </si>
  <si>
    <t>MHDV_Trailer_Fluids</t>
  </si>
  <si>
    <t>MHDV_ADR</t>
  </si>
  <si>
    <t>MHDV_Trailer_ADR</t>
  </si>
  <si>
    <t>MHDV_Battery_Sum</t>
  </si>
  <si>
    <t>MHDV_Comp_Sum</t>
  </si>
  <si>
    <t>MHDV_Trailer_Comp_Sum</t>
  </si>
  <si>
    <t>MHDV_Sum</t>
  </si>
  <si>
    <t>MHDV_TEC_Results</t>
  </si>
  <si>
    <t>Key input parameters of medium/heavy-duty vehicles components that users can specify for GREET simulations.</t>
  </si>
  <si>
    <t>Key input parameters of medium/heavy-duty vehicles materials that users can specify for GREET simulations.</t>
  </si>
  <si>
    <t xml:space="preserve">Key input parameters of Class 6 pickup-and-delivery (PnD) truck components that users can specify for GREET simulations. </t>
  </si>
  <si>
    <t xml:space="preserve">Key input parameters of Class 8 regional day-cab truck components that users can specify for GREET simulations. </t>
  </si>
  <si>
    <t xml:space="preserve">Key input parameters of Class 8 long-haul sleeper-cab truck components that users can specify for GREET simulations. </t>
  </si>
  <si>
    <t>Calculations of energy use and emissions for fluids, fluids use and fluids disposal of medium/heavy-duty vehicles.</t>
  </si>
  <si>
    <t>Calculations of energy use and emissions for fluids, fluids use and fluids disposal medium/heavy-duty vehicles.</t>
  </si>
  <si>
    <t>Calculations of energy use and emissions for vehicle assembly, vehicle disposal and vehicle recycling medium/heavy-duty vehicles.</t>
  </si>
  <si>
    <t>Well-to-Pump, vehicle operation and vehicle-cycle energy use and emissions results for medium/heavy-duty vehicles/fuel technology combinations (per mile).</t>
  </si>
  <si>
    <t>Vehicle-cycle energy use and emissions results for various medium/heavy-duty vehicles technologies (per vehicle lifetime).</t>
  </si>
  <si>
    <t>Summary of energy use and emissions results for medium/heavy-duty vehicles battery (per vehicle lifetime).</t>
  </si>
  <si>
    <t>Summary of energy use and emissions results for medium/heavy-duty vehicles components (per vehicle lifetime).</t>
  </si>
  <si>
    <t>Summary of energy use and emissions results for vehicle components (per vehicle lifetime).</t>
  </si>
  <si>
    <t>Vehicle-cycle energy use and emissions results for various vehicle technologies (per vehicle lifetime).</t>
  </si>
  <si>
    <t>Well-to-Pump, vehicle operation and vehicle-cycle energy use and emissions results for vehicle/fuel technology combinations (per mile).</t>
  </si>
  <si>
    <t>Battery.Cu.Mine</t>
  </si>
  <si>
    <t>Battery.Cu.Prod</t>
  </si>
  <si>
    <t>Battery.Ni.Mine</t>
  </si>
  <si>
    <t>Battery.Ni.Prod</t>
  </si>
  <si>
    <t>Battery.Co.Mine</t>
  </si>
  <si>
    <t>Battery.Co.Prod</t>
  </si>
  <si>
    <t>Battery.Mn.Mine</t>
  </si>
  <si>
    <t>Battery.Li.Prod</t>
  </si>
  <si>
    <t>Battery.Graphite.Prod</t>
  </si>
  <si>
    <t>Copper mining</t>
  </si>
  <si>
    <t>Copper production</t>
  </si>
  <si>
    <t>Recycled Ni total</t>
  </si>
  <si>
    <t>Virgin Ni production total</t>
  </si>
  <si>
    <t>Virgin Ni mining total</t>
  </si>
  <si>
    <t>Virgin Cobalt mining</t>
  </si>
  <si>
    <t>Virgin Cobalt production</t>
  </si>
  <si>
    <t>Lithium in LiPF6</t>
  </si>
  <si>
    <t>NMC111 Ni mining</t>
  </si>
  <si>
    <t>NMC111 Ni production</t>
  </si>
  <si>
    <t>NMC111 Co mining</t>
  </si>
  <si>
    <t>NMC111 Co production</t>
  </si>
  <si>
    <t>NMC111 Li production</t>
  </si>
  <si>
    <t>NMC111 all else</t>
  </si>
  <si>
    <t>NMC111 Mn mining</t>
  </si>
  <si>
    <t>Battery.Remainder</t>
  </si>
  <si>
    <t>PHEV NMC111</t>
  </si>
  <si>
    <t>BEV NMC111</t>
  </si>
  <si>
    <t>Cu Production</t>
  </si>
  <si>
    <t>Cu Mining</t>
  </si>
  <si>
    <t>CV</t>
  </si>
  <si>
    <t>BEV</t>
  </si>
  <si>
    <t>Battery.Total</t>
  </si>
  <si>
    <t>Car.Cu.Mine</t>
  </si>
  <si>
    <t>Car.Cu.Prod</t>
  </si>
  <si>
    <t>Car.Remainder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</si>
</sst>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9">
    <numFmt numFmtId="43" formatCode="_(* #,##0.00_);_(* \(#,##0.00\);_(* &quot;-&quot;??_);_(@_)"/>
    <numFmt numFmtId="164" formatCode="0.000"/>
    <numFmt numFmtId="165" formatCode="0.0"/>
    <numFmt numFmtId="166" formatCode="_(* #,##0_);_(* \(#,##0\);_(* &quot;-&quot;??_);_(@_)"/>
    <numFmt numFmtId="167" formatCode="_(* #,##0.000_);_(* \(#,##0.000\);_(* &quot;-&quot;??_);_(@_)"/>
    <numFmt numFmtId="168" formatCode="0.0000"/>
    <numFmt numFmtId="169" formatCode="#,##0.000"/>
    <numFmt numFmtId="170" formatCode="0.0%"/>
    <numFmt numFmtId="171" formatCode="#,##0.000_);\(#,##0.000\)"/>
    <numFmt numFmtId="172" formatCode="0.000%"/>
    <numFmt numFmtId="173" formatCode="0.0000%"/>
    <numFmt numFmtId="174" formatCode="#,##0.0"/>
    <numFmt numFmtId="175" formatCode="_(* #,##0.00000_);_(* \(#,##0.00000\);_(* &quot;-&quot;??_);_(@_)"/>
    <numFmt numFmtId="176" formatCode="0.000000"/>
    <numFmt numFmtId="177" formatCode="#,##0.00000"/>
    <numFmt numFmtId="178" formatCode="#,##0.0000"/>
    <numFmt numFmtId="179" formatCode="#,##0.000000"/>
    <numFmt numFmtId="180" formatCode="#,##0.0000000"/>
    <numFmt numFmtId="181" formatCode="#,##0.0000000000"/>
    <numFmt numFmtId="182" formatCode="_(* #,##0.0000_);_(* \(#,##0.0000\);_(* &quot;-&quot;??_);_(@_)"/>
    <numFmt numFmtId="183" formatCode="0.00000%"/>
    <numFmt numFmtId="184" formatCode="0.0000000000000000%"/>
    <numFmt numFmtId="185" formatCode="0.00000"/>
    <numFmt numFmtId="186" formatCode="0.000000000000000"/>
    <numFmt numFmtId="187" formatCode="0.00000000000"/>
    <numFmt numFmtId="188" formatCode="0.0000000000000000"/>
    <numFmt numFmtId="189" formatCode="0.000000000000000000"/>
    <numFmt numFmtId="190" formatCode="0.00000000000000000000"/>
    <numFmt numFmtId="191" formatCode="0.0E+00"/>
  </numFmts>
  <fonts count="63">
    <font>
      <sz val="10"/>
      <name val="Arial"/>
      <family val="2"/>
    </font>
    <font>
      <b/>
      <sz val="10"/>
      <name val="Arial"/>
      <family val="2"/>
    </font>
    <font>
      <sz val="10"/>
      <name val="Arial"/>
      <family val="2"/>
    </font>
    <font>
      <b/>
      <sz val="8"/>
      <name val="Arial"/>
      <family val="2"/>
    </font>
    <font>
      <sz val="8"/>
      <name val="Arial"/>
      <family val="2"/>
    </font>
    <font>
      <sz val="8"/>
      <name val="Arial"/>
      <family val="2"/>
    </font>
    <font>
      <b/>
      <sz val="12"/>
      <name val="Arial"/>
      <family val="2"/>
    </font>
    <font>
      <sz val="8"/>
      <color indexed="81"/>
      <name val="Tahoma"/>
      <family val="2"/>
    </font>
    <font>
      <sz val="10"/>
      <color indexed="10"/>
      <name val="Arial"/>
      <family val="2"/>
    </font>
    <font>
      <sz val="9"/>
      <color indexed="81"/>
      <name val="Tahoma"/>
      <family val="2"/>
    </font>
    <font>
      <b/>
      <sz val="11"/>
      <name val="Arial"/>
      <family val="2"/>
    </font>
    <font>
      <b/>
      <u/>
      <sz val="10"/>
      <name val="Arial"/>
      <family val="2"/>
    </font>
    <font>
      <b/>
      <sz val="14"/>
      <name val="Arial"/>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8"/>
      <color indexed="62"/>
      <name val="Cambria"/>
      <family val="1"/>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19"/>
      <name val="Calibri"/>
      <family val="2"/>
    </font>
    <font>
      <b/>
      <sz val="11"/>
      <color indexed="63"/>
      <name val="Calibri"/>
      <family val="2"/>
    </font>
    <font>
      <b/>
      <sz val="11"/>
      <color indexed="8"/>
      <name val="Calibri"/>
      <family val="2"/>
    </font>
    <font>
      <sz val="11"/>
      <color indexed="10"/>
      <name val="Calibri"/>
      <family val="2"/>
    </font>
    <font>
      <b/>
      <vertAlign val="subscript"/>
      <sz val="10"/>
      <name val="Arial"/>
      <family val="2"/>
    </font>
    <font>
      <vertAlign val="subscript"/>
      <sz val="10"/>
      <name val="Arial"/>
      <family val="2"/>
    </font>
    <font>
      <vertAlign val="subscript"/>
      <sz val="8"/>
      <name val="Arial"/>
      <family val="2"/>
    </font>
    <font>
      <b/>
      <i/>
      <sz val="11"/>
      <name val="Arial"/>
      <family val="2"/>
    </font>
    <font>
      <b/>
      <i/>
      <sz val="10"/>
      <color indexed="10"/>
      <name val="Arial"/>
      <family val="2"/>
    </font>
    <font>
      <sz val="10"/>
      <color indexed="23"/>
      <name val="Arial"/>
      <family val="2"/>
    </font>
    <font>
      <sz val="10"/>
      <name val="CG Times"/>
      <family val="1"/>
    </font>
    <font>
      <sz val="10"/>
      <name val="Century-WP"/>
      <family val="1"/>
      <charset val="2"/>
    </font>
    <font>
      <b/>
      <sz val="10"/>
      <name val="Calibri"/>
      <family val="2"/>
    </font>
    <font>
      <sz val="9"/>
      <color indexed="8"/>
      <name val="Tahoma"/>
      <family val="2"/>
    </font>
    <font>
      <sz val="8"/>
      <color indexed="8"/>
      <name val="Tahoma"/>
      <family val="2"/>
    </font>
    <font>
      <b/>
      <sz val="9"/>
      <color indexed="81"/>
      <name val="Tahoma"/>
      <family val="2"/>
    </font>
    <font>
      <sz val="11"/>
      <color rgb="FF000000"/>
      <name val="Calibri"/>
      <family val="2"/>
    </font>
    <font>
      <sz val="10"/>
      <color rgb="FF000000"/>
      <name val="Arial"/>
      <family val="2"/>
    </font>
    <font>
      <sz val="10"/>
      <color indexed="81"/>
      <name val="Calibri"/>
      <family val="2"/>
    </font>
    <font>
      <b/>
      <sz val="10"/>
      <color indexed="81"/>
      <name val="Calibri"/>
      <family val="2"/>
    </font>
    <font>
      <sz val="9"/>
      <color rgb="FF000000"/>
      <name val="Tahoma"/>
      <family val="2"/>
    </font>
    <font>
      <sz val="10"/>
      <color rgb="FF00B0F0"/>
      <name val="Arial"/>
      <family val="2"/>
    </font>
    <font>
      <sz val="10"/>
      <color rgb="FFFF0000"/>
      <name val="Arial"/>
      <family val="2"/>
    </font>
    <font>
      <sz val="10"/>
      <color rgb="FF7030A0"/>
      <name val="Arial"/>
      <family val="2"/>
    </font>
    <font>
      <b/>
      <sz val="10"/>
      <color indexed="81"/>
      <name val="Tahoma"/>
      <family val="2"/>
    </font>
    <font>
      <sz val="10"/>
      <color indexed="81"/>
      <name val="Tahoma"/>
      <family val="2"/>
    </font>
    <font>
      <sz val="10"/>
      <name val="Arial"/>
      <family val="2"/>
    </font>
    <font>
      <b/>
      <i/>
      <sz val="10"/>
      <name val="Arial"/>
      <family val="2"/>
    </font>
    <font>
      <i/>
      <sz val="10"/>
      <name val="Arial"/>
      <family val="2"/>
    </font>
    <font>
      <sz val="11"/>
      <name val="Calibri"/>
      <family val="2"/>
    </font>
    <font>
      <b/>
      <sz val="10"/>
      <color theme="9"/>
      <name val="Arial"/>
      <family val="2"/>
    </font>
    <font>
      <b/>
      <sz val="10"/>
      <color theme="1" tint="4.9989318521683403E-2"/>
      <name val="Arial"/>
      <family val="2"/>
    </font>
    <font>
      <sz val="8"/>
      <color rgb="FF000000"/>
      <name val="Tahoma"/>
      <family val="2"/>
    </font>
    <font>
      <b/>
      <sz val="10"/>
      <color rgb="FFFF0000"/>
      <name val="Arial"/>
      <family val="2"/>
    </font>
    <font>
      <sz val="10"/>
      <color rgb="FF0070C0"/>
      <name val="Arial"/>
      <family val="2"/>
    </font>
    <font>
      <b/>
      <sz val="10"/>
      <color theme="0"/>
      <name val="Arial"/>
      <family val="2"/>
    </font>
    <font>
      <sz val="10"/>
      <color rgb="FF000000"/>
      <name val="Calibri"/>
      <family val="2"/>
    </font>
  </fonts>
  <fills count="33">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29"/>
        <bgColor indexed="64"/>
      </patternFill>
    </fill>
    <fill>
      <patternFill patternType="solid">
        <fgColor indexed="13"/>
        <bgColor indexed="64"/>
      </patternFill>
    </fill>
    <fill>
      <patternFill patternType="solid">
        <fgColor indexed="9"/>
        <bgColor indexed="64"/>
      </patternFill>
    </fill>
    <fill>
      <patternFill patternType="solid">
        <fgColor indexed="13"/>
        <bgColor indexed="8"/>
      </patternFill>
    </fill>
    <fill>
      <patternFill patternType="solid">
        <fgColor rgb="FFFFFF00"/>
        <bgColor indexed="64"/>
      </patternFill>
    </fill>
    <fill>
      <patternFill patternType="solid">
        <fgColor rgb="FFFFFF00"/>
        <bgColor indexed="8"/>
      </patternFill>
    </fill>
    <fill>
      <patternFill patternType="solid">
        <fgColor rgb="FFFFFF00"/>
        <bgColor rgb="FF000000"/>
      </patternFill>
    </fill>
    <fill>
      <patternFill patternType="solid">
        <fgColor theme="0"/>
        <bgColor indexed="64"/>
      </patternFill>
    </fill>
    <fill>
      <patternFill patternType="solid">
        <fgColor theme="1" tint="0.249977111117893"/>
        <bgColor indexed="64"/>
      </patternFill>
    </fill>
    <fill>
      <patternFill patternType="solid">
        <fgColor rgb="FFFF8080"/>
        <bgColor indexed="64"/>
      </patternFill>
    </fill>
    <fill>
      <patternFill patternType="solid">
        <fgColor theme="9"/>
        <bgColor indexed="64"/>
      </patternFill>
    </fill>
    <fill>
      <patternFill patternType="solid">
        <fgColor theme="8" tint="0.59999389629810485"/>
        <bgColor indexed="64"/>
      </patternFill>
    </fill>
    <fill>
      <patternFill patternType="solid">
        <fgColor theme="6"/>
        <bgColor indexed="64"/>
      </patternFill>
    </fill>
    <fill>
      <patternFill patternType="solid">
        <fgColor theme="4"/>
        <bgColor theme="4"/>
      </patternFill>
    </fill>
    <fill>
      <patternFill patternType="solid">
        <fgColor theme="9" tint="0.59999389629810485"/>
        <bgColor indexed="64"/>
      </pattern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hair">
        <color auto="1"/>
      </left>
      <right style="hair">
        <color auto="1"/>
      </right>
      <top style="hair">
        <color auto="1"/>
      </top>
      <bottom style="hair">
        <color auto="1"/>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style="medium">
        <color auto="1"/>
      </left>
      <right/>
      <top/>
      <bottom/>
      <diagonal/>
    </border>
    <border>
      <left style="medium">
        <color auto="1"/>
      </left>
      <right style="medium">
        <color auto="1"/>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50">
    <xf numFmtId="0" fontId="0" fillId="0" borderId="0"/>
    <xf numFmtId="0" fontId="18" fillId="2" borderId="0" applyNumberFormat="0" applyBorder="0" applyAlignment="0" applyProtection="0"/>
    <xf numFmtId="0" fontId="18" fillId="3" borderId="0" applyNumberFormat="0" applyBorder="0" applyAlignment="0" applyProtection="0"/>
    <xf numFmtId="0" fontId="18" fillId="4" borderId="0" applyNumberFormat="0" applyBorder="0" applyAlignment="0" applyProtection="0"/>
    <xf numFmtId="0" fontId="18" fillId="5" borderId="0" applyNumberFormat="0" applyBorder="0" applyAlignment="0" applyProtection="0"/>
    <xf numFmtId="0" fontId="18" fillId="6" borderId="0" applyNumberFormat="0" applyBorder="0" applyAlignment="0" applyProtection="0"/>
    <xf numFmtId="0" fontId="18" fillId="4" borderId="0" applyNumberFormat="0" applyBorder="0" applyAlignment="0" applyProtection="0"/>
    <xf numFmtId="0" fontId="18" fillId="6" borderId="0" applyNumberFormat="0" applyBorder="0" applyAlignment="0" applyProtection="0"/>
    <xf numFmtId="0" fontId="18" fillId="3" borderId="0" applyNumberFormat="0" applyBorder="0" applyAlignment="0" applyProtection="0"/>
    <xf numFmtId="0" fontId="18" fillId="7" borderId="0" applyNumberFormat="0" applyBorder="0" applyAlignment="0" applyProtection="0"/>
    <xf numFmtId="0" fontId="18" fillId="8" borderId="0" applyNumberFormat="0" applyBorder="0" applyAlignment="0" applyProtection="0"/>
    <xf numFmtId="0" fontId="18" fillId="6" borderId="0" applyNumberFormat="0" applyBorder="0" applyAlignment="0" applyProtection="0"/>
    <xf numFmtId="0" fontId="18" fillId="4" borderId="0" applyNumberFormat="0" applyBorder="0" applyAlignment="0" applyProtection="0"/>
    <xf numFmtId="0" fontId="19" fillId="6"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8" borderId="0" applyNumberFormat="0" applyBorder="0" applyAlignment="0" applyProtection="0"/>
    <xf numFmtId="0" fontId="19" fillId="6" borderId="0" applyNumberFormat="0" applyBorder="0" applyAlignment="0" applyProtection="0"/>
    <xf numFmtId="0" fontId="19" fillId="3" borderId="0" applyNumberFormat="0" applyBorder="0" applyAlignment="0" applyProtection="0"/>
    <xf numFmtId="0" fontId="19" fillId="11"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20" fillId="15" borderId="0" applyNumberFormat="0" applyBorder="0" applyAlignment="0" applyProtection="0"/>
    <xf numFmtId="0" fontId="21" fillId="16" borderId="1" applyNumberFormat="0" applyAlignment="0" applyProtection="0"/>
    <xf numFmtId="0" fontId="22" fillId="17" borderId="2" applyNumberFormat="0" applyAlignment="0" applyProtection="0"/>
    <xf numFmtId="43" fontId="2" fillId="0" borderId="0" applyFont="0" applyFill="0" applyBorder="0" applyAlignment="0" applyProtection="0"/>
    <xf numFmtId="0" fontId="23" fillId="0" borderId="0" applyNumberFormat="0" applyFill="0" applyBorder="0" applyAlignment="0" applyProtection="0"/>
    <xf numFmtId="0" fontId="24" fillId="6"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25" fillId="7" borderId="1" applyNumberFormat="0" applyAlignment="0" applyProtection="0"/>
    <xf numFmtId="0" fontId="16" fillId="0" borderId="6" applyNumberFormat="0" applyFill="0" applyAlignment="0" applyProtection="0"/>
    <xf numFmtId="0" fontId="26" fillId="7" borderId="0" applyNumberFormat="0" applyBorder="0" applyAlignment="0" applyProtection="0"/>
    <xf numFmtId="0" fontId="2" fillId="0" borderId="0" applyBorder="0"/>
    <xf numFmtId="0" fontId="2" fillId="0" borderId="7"/>
    <xf numFmtId="0" fontId="2" fillId="0" borderId="7"/>
    <xf numFmtId="0" fontId="2" fillId="4" borderId="8" applyNumberFormat="0" applyFont="0" applyAlignment="0" applyProtection="0"/>
    <xf numFmtId="0" fontId="27" fillId="16" borderId="9" applyNumberFormat="0" applyAlignment="0" applyProtection="0"/>
    <xf numFmtId="9" fontId="2" fillId="0" borderId="0" applyFont="0" applyFill="0" applyBorder="0" applyAlignment="0" applyProtection="0"/>
    <xf numFmtId="0" fontId="17" fillId="0" borderId="0" applyNumberFormat="0" applyFill="0" applyBorder="0" applyAlignment="0" applyProtection="0"/>
    <xf numFmtId="0" fontId="28" fillId="0" borderId="10" applyNumberFormat="0" applyFill="0" applyAlignment="0" applyProtection="0"/>
    <xf numFmtId="0" fontId="29" fillId="0" borderId="0" applyNumberFormat="0" applyFill="0" applyBorder="0" applyAlignment="0" applyProtection="0"/>
    <xf numFmtId="0" fontId="2" fillId="0" borderId="7"/>
    <xf numFmtId="0" fontId="2" fillId="0" borderId="7"/>
    <xf numFmtId="0" fontId="52" fillId="0" borderId="0"/>
  </cellStyleXfs>
  <cellXfs count="3182">
    <xf numFmtId="0" fontId="0" fillId="0" borderId="0" xfId="0"/>
    <xf numFmtId="0" fontId="0" fillId="0" borderId="0" xfId="0" applyBorder="1"/>
    <xf numFmtId="0" fontId="6" fillId="0" borderId="0" xfId="0" applyFont="1" applyBorder="1"/>
    <xf numFmtId="0" fontId="1" fillId="0" borderId="0" xfId="0" applyFont="1" applyBorder="1"/>
    <xf numFmtId="170" fontId="2" fillId="0" borderId="0" xfId="43" applyNumberFormat="1" applyBorder="1"/>
    <xf numFmtId="0" fontId="2" fillId="0" borderId="0" xfId="0" applyFont="1" applyBorder="1"/>
    <xf numFmtId="0" fontId="6" fillId="0" borderId="0" xfId="0" applyFont="1" applyFill="1" applyBorder="1"/>
    <xf numFmtId="0" fontId="0" fillId="0" borderId="0" xfId="0" applyBorder="1" applyAlignment="1"/>
    <xf numFmtId="0" fontId="0" fillId="0" borderId="0" xfId="0" applyFill="1"/>
    <xf numFmtId="0" fontId="10" fillId="0" borderId="0" xfId="0" applyNumberFormat="1" applyFont="1" applyBorder="1" applyAlignment="1"/>
    <xf numFmtId="0" fontId="0" fillId="0" borderId="0" xfId="0" applyNumberFormat="1" applyFont="1" applyBorder="1" applyAlignment="1"/>
    <xf numFmtId="3" fontId="0" fillId="0" borderId="0" xfId="0" applyNumberFormat="1" applyFont="1" applyFill="1" applyBorder="1" applyAlignment="1"/>
    <xf numFmtId="3" fontId="0" fillId="0" borderId="16" xfId="0" applyNumberFormat="1" applyFont="1" applyFill="1" applyBorder="1" applyAlignment="1"/>
    <xf numFmtId="170" fontId="2" fillId="0" borderId="18" xfId="43" applyNumberFormat="1" applyFont="1" applyFill="1" applyBorder="1" applyAlignment="1">
      <alignment horizontal="center"/>
    </xf>
    <xf numFmtId="3" fontId="2" fillId="0" borderId="12" xfId="28" applyNumberFormat="1" applyFont="1" applyBorder="1" applyAlignment="1"/>
    <xf numFmtId="3" fontId="2" fillId="0" borderId="12" xfId="28" applyNumberFormat="1" applyFont="1" applyFill="1" applyBorder="1" applyAlignment="1"/>
    <xf numFmtId="3" fontId="2" fillId="0" borderId="13" xfId="28" applyNumberFormat="1" applyFont="1" applyFill="1" applyBorder="1" applyAlignment="1"/>
    <xf numFmtId="3" fontId="2" fillId="0" borderId="14" xfId="28" applyNumberFormat="1" applyFont="1" applyFill="1" applyBorder="1" applyAlignment="1"/>
    <xf numFmtId="169" fontId="2" fillId="0" borderId="12" xfId="28" applyNumberFormat="1" applyFont="1" applyBorder="1" applyAlignment="1"/>
    <xf numFmtId="169" fontId="2" fillId="0" borderId="13" xfId="28" applyNumberFormat="1" applyFont="1" applyFill="1" applyBorder="1" applyAlignment="1"/>
    <xf numFmtId="169" fontId="2" fillId="0" borderId="14" xfId="28" applyNumberFormat="1" applyFont="1" applyFill="1" applyBorder="1" applyAlignment="1"/>
    <xf numFmtId="169" fontId="2" fillId="0" borderId="12" xfId="28" applyNumberFormat="1" applyFont="1" applyFill="1" applyBorder="1" applyAlignment="1"/>
    <xf numFmtId="3" fontId="2" fillId="0" borderId="15" xfId="28" applyNumberFormat="1" applyFont="1" applyFill="1" applyBorder="1" applyAlignment="1"/>
    <xf numFmtId="3" fontId="2" fillId="0" borderId="16" xfId="28" applyNumberFormat="1" applyFont="1" applyFill="1" applyBorder="1" applyAlignment="1"/>
    <xf numFmtId="3" fontId="2" fillId="0" borderId="17" xfId="28" applyNumberFormat="1" applyFont="1" applyFill="1" applyBorder="1" applyAlignment="1"/>
    <xf numFmtId="0" fontId="0" fillId="0" borderId="0" xfId="0" applyNumberFormat="1" applyFont="1" applyFill="1" applyBorder="1" applyAlignment="1"/>
    <xf numFmtId="169" fontId="2" fillId="0" borderId="15" xfId="28" applyNumberFormat="1" applyFont="1" applyFill="1" applyBorder="1" applyAlignment="1"/>
    <xf numFmtId="169" fontId="2" fillId="0" borderId="16" xfId="28" applyNumberFormat="1" applyFont="1" applyFill="1" applyBorder="1" applyAlignment="1"/>
    <xf numFmtId="169" fontId="2" fillId="0" borderId="17" xfId="28" applyNumberFormat="1" applyFont="1" applyFill="1" applyBorder="1" applyAlignment="1"/>
    <xf numFmtId="0" fontId="0" fillId="0" borderId="13" xfId="0" applyNumberFormat="1" applyFont="1" applyBorder="1" applyAlignment="1"/>
    <xf numFmtId="0" fontId="0" fillId="0" borderId="13" xfId="0" applyNumberFormat="1" applyFont="1" applyFill="1" applyBorder="1" applyAlignment="1"/>
    <xf numFmtId="0" fontId="0" fillId="0" borderId="16" xfId="0" applyNumberFormat="1" applyFont="1" applyFill="1" applyBorder="1" applyAlignment="1"/>
    <xf numFmtId="0" fontId="1" fillId="0" borderId="0" xfId="0" applyNumberFormat="1" applyFont="1" applyBorder="1" applyAlignment="1"/>
    <xf numFmtId="0" fontId="0" fillId="0" borderId="19" xfId="0" applyNumberFormat="1" applyFont="1" applyFill="1" applyBorder="1" applyAlignment="1"/>
    <xf numFmtId="0" fontId="1" fillId="0" borderId="12" xfId="0" applyNumberFormat="1" applyFont="1" applyBorder="1" applyAlignment="1"/>
    <xf numFmtId="0" fontId="1" fillId="0" borderId="15" xfId="0" applyNumberFormat="1" applyFont="1" applyBorder="1" applyAlignment="1"/>
    <xf numFmtId="0" fontId="1" fillId="0" borderId="13" xfId="0" applyNumberFormat="1" applyFont="1" applyBorder="1" applyAlignment="1"/>
    <xf numFmtId="176" fontId="2" fillId="0" borderId="14" xfId="28" applyNumberFormat="1" applyFont="1" applyFill="1" applyBorder="1" applyAlignment="1"/>
    <xf numFmtId="3" fontId="2" fillId="0" borderId="0" xfId="28" applyNumberFormat="1" applyFont="1" applyFill="1" applyBorder="1" applyAlignment="1"/>
    <xf numFmtId="170" fontId="2" fillId="0" borderId="0" xfId="43" applyNumberFormat="1" applyFont="1" applyFill="1" applyBorder="1" applyAlignment="1"/>
    <xf numFmtId="0" fontId="2" fillId="0" borderId="0" xfId="28" applyNumberFormat="1" applyFont="1" applyBorder="1" applyAlignment="1"/>
    <xf numFmtId="0" fontId="0" fillId="0" borderId="13" xfId="0" applyNumberFormat="1" applyFont="1" applyBorder="1" applyAlignment="1">
      <alignment horizontal="right"/>
    </xf>
    <xf numFmtId="0" fontId="0" fillId="0" borderId="16" xfId="0" applyNumberFormat="1" applyFont="1" applyBorder="1" applyAlignment="1">
      <alignment horizontal="right"/>
    </xf>
    <xf numFmtId="3" fontId="2" fillId="0" borderId="18" xfId="28" applyNumberFormat="1" applyFont="1" applyFill="1" applyBorder="1" applyAlignment="1"/>
    <xf numFmtId="0" fontId="1" fillId="0" borderId="0" xfId="0" applyNumberFormat="1" applyFont="1" applyFill="1" applyBorder="1" applyAlignment="1"/>
    <xf numFmtId="170" fontId="2" fillId="0" borderId="18" xfId="43" applyNumberFormat="1" applyFont="1" applyFill="1" applyBorder="1" applyAlignment="1"/>
    <xf numFmtId="3" fontId="2" fillId="0" borderId="0" xfId="43" applyNumberFormat="1" applyFont="1" applyFill="1" applyBorder="1" applyAlignment="1"/>
    <xf numFmtId="3" fontId="0" fillId="0" borderId="0" xfId="0" applyNumberFormat="1" applyBorder="1"/>
    <xf numFmtId="0" fontId="1" fillId="0" borderId="13" xfId="0" applyNumberFormat="1" applyFont="1" applyFill="1" applyBorder="1" applyAlignment="1"/>
    <xf numFmtId="0" fontId="2" fillId="0" borderId="21" xfId="0" applyFont="1" applyBorder="1"/>
    <xf numFmtId="0" fontId="0" fillId="0" borderId="20" xfId="0" applyBorder="1"/>
    <xf numFmtId="0" fontId="0" fillId="0" borderId="14" xfId="0" applyBorder="1"/>
    <xf numFmtId="0" fontId="2" fillId="0" borderId="20" xfId="0" applyFont="1" applyBorder="1"/>
    <xf numFmtId="3" fontId="0" fillId="0" borderId="18" xfId="0" applyNumberFormat="1" applyBorder="1"/>
    <xf numFmtId="3" fontId="2" fillId="0" borderId="0" xfId="28" applyNumberFormat="1" applyFont="1" applyBorder="1" applyAlignment="1"/>
    <xf numFmtId="170" fontId="2" fillId="0" borderId="17" xfId="43" applyNumberFormat="1" applyFont="1" applyFill="1" applyBorder="1" applyAlignment="1"/>
    <xf numFmtId="0" fontId="1" fillId="0" borderId="19" xfId="0" applyNumberFormat="1" applyFont="1" applyBorder="1" applyAlignment="1"/>
    <xf numFmtId="0" fontId="1" fillId="0" borderId="16" xfId="0" applyNumberFormat="1" applyFont="1" applyBorder="1" applyAlignment="1"/>
    <xf numFmtId="0" fontId="0" fillId="0" borderId="11" xfId="0" applyBorder="1"/>
    <xf numFmtId="0" fontId="0" fillId="0" borderId="12" xfId="0" applyBorder="1"/>
    <xf numFmtId="0" fontId="0" fillId="18" borderId="11" xfId="0" applyNumberFormat="1" applyFont="1" applyFill="1" applyBorder="1" applyAlignment="1"/>
    <xf numFmtId="0" fontId="0" fillId="18" borderId="15" xfId="0" applyNumberFormat="1" applyFont="1" applyFill="1" applyBorder="1" applyAlignment="1"/>
    <xf numFmtId="0" fontId="2" fillId="0" borderId="0" xfId="0" applyFont="1" applyFill="1"/>
    <xf numFmtId="0" fontId="1" fillId="0" borderId="0" xfId="0" applyFont="1" applyFill="1"/>
    <xf numFmtId="0" fontId="2" fillId="0" borderId="0" xfId="0" applyFont="1" applyFill="1" applyBorder="1"/>
    <xf numFmtId="0" fontId="8" fillId="0" borderId="0" xfId="0" applyFont="1" applyFill="1"/>
    <xf numFmtId="176" fontId="2" fillId="0" borderId="0" xfId="0" applyNumberFormat="1" applyFont="1" applyFill="1"/>
    <xf numFmtId="0" fontId="6" fillId="0" borderId="0" xfId="0" applyNumberFormat="1" applyFont="1" applyFill="1" applyBorder="1"/>
    <xf numFmtId="0" fontId="1" fillId="0" borderId="19" xfId="0" applyNumberFormat="1" applyFont="1" applyBorder="1" applyAlignment="1">
      <alignment horizontal="centerContinuous"/>
    </xf>
    <xf numFmtId="0" fontId="1" fillId="0" borderId="20" xfId="0" applyNumberFormat="1" applyFont="1" applyBorder="1" applyAlignment="1">
      <alignment horizontal="centerContinuous"/>
    </xf>
    <xf numFmtId="0" fontId="1" fillId="0" borderId="19" xfId="0" applyFont="1" applyFill="1" applyBorder="1" applyAlignment="1">
      <alignment horizontal="right" textRotation="90" wrapText="1"/>
    </xf>
    <xf numFmtId="0" fontId="1" fillId="0" borderId="20" xfId="0" applyFont="1" applyFill="1" applyBorder="1" applyAlignment="1">
      <alignment horizontal="right" textRotation="90" wrapText="1"/>
    </xf>
    <xf numFmtId="0" fontId="1" fillId="0" borderId="21" xfId="0" applyFont="1" applyFill="1" applyBorder="1" applyAlignment="1">
      <alignment horizontal="right" textRotation="90" wrapText="1"/>
    </xf>
    <xf numFmtId="0" fontId="2" fillId="0" borderId="0" xfId="0" applyNumberFormat="1" applyFont="1" applyFill="1" applyBorder="1" applyAlignment="1"/>
    <xf numFmtId="0" fontId="2" fillId="0" borderId="0" xfId="0" applyFont="1" applyFill="1" applyBorder="1" applyAlignment="1">
      <alignment horizontal="center"/>
    </xf>
    <xf numFmtId="0" fontId="10" fillId="0" borderId="0" xfId="0" applyFont="1" applyBorder="1"/>
    <xf numFmtId="169" fontId="0" fillId="0" borderId="12" xfId="0" applyNumberFormat="1" applyBorder="1"/>
    <xf numFmtId="169" fontId="0" fillId="0" borderId="11" xfId="0" applyNumberFormat="1" applyBorder="1"/>
    <xf numFmtId="3" fontId="0" fillId="0" borderId="15" xfId="0" applyNumberFormat="1" applyBorder="1"/>
    <xf numFmtId="169" fontId="0" fillId="0" borderId="15" xfId="0" applyNumberFormat="1" applyBorder="1"/>
    <xf numFmtId="0" fontId="0" fillId="0" borderId="19" xfId="0" applyBorder="1"/>
    <xf numFmtId="0" fontId="6" fillId="0" borderId="0" xfId="0" applyFont="1"/>
    <xf numFmtId="0" fontId="2" fillId="0" borderId="0" xfId="43" applyNumberFormat="1" applyFont="1" applyFill="1" applyBorder="1" applyAlignment="1"/>
    <xf numFmtId="0" fontId="2" fillId="0" borderId="12" xfId="0" applyNumberFormat="1" applyFont="1" applyFill="1" applyBorder="1" applyAlignment="1"/>
    <xf numFmtId="0" fontId="2" fillId="0" borderId="0" xfId="43" applyNumberFormat="1" applyFont="1" applyBorder="1" applyAlignment="1"/>
    <xf numFmtId="0" fontId="0" fillId="0" borderId="17" xfId="0" applyBorder="1"/>
    <xf numFmtId="0" fontId="1" fillId="0" borderId="0" xfId="0" applyFont="1" applyFill="1" applyBorder="1" applyAlignment="1">
      <alignment horizontal="left"/>
    </xf>
    <xf numFmtId="3" fontId="1" fillId="0" borderId="0" xfId="0" applyNumberFormat="1" applyFont="1" applyFill="1" applyBorder="1" applyAlignment="1">
      <alignment horizontal="center"/>
    </xf>
    <xf numFmtId="169" fontId="1" fillId="0" borderId="0" xfId="0" applyNumberFormat="1" applyFont="1" applyFill="1" applyBorder="1" applyAlignment="1">
      <alignment horizontal="center"/>
    </xf>
    <xf numFmtId="0" fontId="1" fillId="0" borderId="0" xfId="0" applyFont="1" applyBorder="1" applyAlignment="1">
      <alignment horizontal="center"/>
    </xf>
    <xf numFmtId="0" fontId="1" fillId="0" borderId="15" xfId="0" applyNumberFormat="1" applyFont="1" applyFill="1" applyBorder="1" applyAlignment="1"/>
    <xf numFmtId="170" fontId="2" fillId="0" borderId="12" xfId="43" applyNumberFormat="1" applyFont="1" applyFill="1" applyBorder="1" applyAlignment="1"/>
    <xf numFmtId="164" fontId="2" fillId="0" borderId="0" xfId="0" applyNumberFormat="1" applyFont="1" applyBorder="1"/>
    <xf numFmtId="0" fontId="1" fillId="0" borderId="14" xfId="0" applyFont="1" applyBorder="1" applyAlignment="1">
      <alignment horizontal="center"/>
    </xf>
    <xf numFmtId="0" fontId="2" fillId="0" borderId="14" xfId="0" applyFont="1" applyBorder="1"/>
    <xf numFmtId="0" fontId="2" fillId="0" borderId="13" xfId="0" applyFont="1" applyBorder="1"/>
    <xf numFmtId="164" fontId="2" fillId="0" borderId="14" xfId="0" applyNumberFormat="1" applyFont="1" applyBorder="1"/>
    <xf numFmtId="164" fontId="2" fillId="0" borderId="18" xfId="0" applyNumberFormat="1" applyFont="1" applyBorder="1"/>
    <xf numFmtId="164" fontId="2" fillId="0" borderId="17" xfId="0" applyNumberFormat="1" applyFont="1" applyBorder="1"/>
    <xf numFmtId="179" fontId="1" fillId="0" borderId="12" xfId="0" applyNumberFormat="1" applyFont="1" applyFill="1" applyBorder="1" applyAlignment="1">
      <alignment horizontal="center"/>
    </xf>
    <xf numFmtId="0" fontId="2" fillId="0" borderId="12" xfId="0" applyFont="1" applyBorder="1"/>
    <xf numFmtId="164" fontId="2" fillId="0" borderId="12" xfId="0" applyNumberFormat="1" applyFont="1" applyBorder="1"/>
    <xf numFmtId="164" fontId="2" fillId="0" borderId="15" xfId="0" applyNumberFormat="1" applyFont="1" applyBorder="1"/>
    <xf numFmtId="169" fontId="1" fillId="0" borderId="12" xfId="0" applyNumberFormat="1" applyFont="1" applyFill="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2" fillId="0" borderId="13" xfId="0" applyFont="1" applyFill="1" applyBorder="1" applyAlignment="1"/>
    <xf numFmtId="170" fontId="2" fillId="19" borderId="11" xfId="43" applyNumberFormat="1" applyFont="1" applyFill="1" applyBorder="1" applyAlignment="1"/>
    <xf numFmtId="170" fontId="2" fillId="19" borderId="21" xfId="43" applyNumberFormat="1" applyFont="1" applyFill="1" applyBorder="1" applyAlignment="1"/>
    <xf numFmtId="170" fontId="2" fillId="19" borderId="19" xfId="43" applyNumberFormat="1" applyFont="1" applyFill="1" applyBorder="1" applyAlignment="1"/>
    <xf numFmtId="170" fontId="2" fillId="19" borderId="20" xfId="43" applyNumberFormat="1" applyFont="1" applyFill="1" applyBorder="1" applyAlignment="1"/>
    <xf numFmtId="0" fontId="1" fillId="0" borderId="0" xfId="0" applyFont="1" applyFill="1" applyBorder="1"/>
    <xf numFmtId="164" fontId="0" fillId="0" borderId="0" xfId="0" applyNumberFormat="1"/>
    <xf numFmtId="0" fontId="1" fillId="0" borderId="11" xfId="0" applyNumberFormat="1" applyFont="1" applyBorder="1" applyAlignment="1">
      <alignment horizontal="centerContinuous"/>
    </xf>
    <xf numFmtId="0" fontId="1" fillId="0" borderId="20" xfId="0" applyFont="1" applyBorder="1" applyAlignment="1">
      <alignment horizontal="centerContinuous" wrapText="1"/>
    </xf>
    <xf numFmtId="0" fontId="0" fillId="19" borderId="0" xfId="0" applyFill="1"/>
    <xf numFmtId="0" fontId="0" fillId="18" borderId="0" xfId="0" applyFill="1"/>
    <xf numFmtId="9" fontId="0" fillId="19" borderId="18" xfId="0" applyNumberFormat="1" applyFill="1" applyBorder="1"/>
    <xf numFmtId="0" fontId="0" fillId="0" borderId="15" xfId="0" applyBorder="1"/>
    <xf numFmtId="0" fontId="0" fillId="0" borderId="15" xfId="0" applyBorder="1" applyAlignment="1">
      <alignment horizontal="right"/>
    </xf>
    <xf numFmtId="0" fontId="10" fillId="0" borderId="0" xfId="0" applyFont="1"/>
    <xf numFmtId="169" fontId="0" fillId="19" borderId="0" xfId="0" applyNumberFormat="1" applyFill="1" applyBorder="1"/>
    <xf numFmtId="164" fontId="0" fillId="0" borderId="0" xfId="0" applyNumberFormat="1" applyBorder="1"/>
    <xf numFmtId="169" fontId="0" fillId="19" borderId="14" xfId="0" applyNumberFormat="1" applyFill="1" applyBorder="1"/>
    <xf numFmtId="164" fontId="0" fillId="0" borderId="18" xfId="0" applyNumberFormat="1" applyBorder="1"/>
    <xf numFmtId="0" fontId="0" fillId="0" borderId="18" xfId="0" applyBorder="1"/>
    <xf numFmtId="169" fontId="0" fillId="19" borderId="18" xfId="0" applyNumberFormat="1" applyFill="1" applyBorder="1"/>
    <xf numFmtId="170" fontId="0" fillId="0" borderId="0" xfId="0" applyNumberFormat="1" applyBorder="1"/>
    <xf numFmtId="170" fontId="0" fillId="0" borderId="14" xfId="0" applyNumberFormat="1" applyBorder="1"/>
    <xf numFmtId="170" fontId="0" fillId="0" borderId="18" xfId="0" applyNumberFormat="1" applyBorder="1"/>
    <xf numFmtId="170" fontId="0" fillId="0" borderId="17" xfId="0" applyNumberFormat="1" applyBorder="1"/>
    <xf numFmtId="0" fontId="0" fillId="0" borderId="21" xfId="0" applyBorder="1"/>
    <xf numFmtId="0" fontId="6" fillId="0" borderId="19" xfId="0" applyFont="1" applyBorder="1"/>
    <xf numFmtId="0" fontId="6" fillId="0" borderId="0" xfId="0" applyFont="1" applyFill="1"/>
    <xf numFmtId="0" fontId="10" fillId="0" borderId="0" xfId="0" applyFont="1" applyFill="1"/>
    <xf numFmtId="0" fontId="0" fillId="0" borderId="19" xfId="0" applyFill="1" applyBorder="1"/>
    <xf numFmtId="0" fontId="0" fillId="0" borderId="17" xfId="0" applyFill="1" applyBorder="1"/>
    <xf numFmtId="3" fontId="0" fillId="0" borderId="16" xfId="0" applyNumberFormat="1" applyFill="1" applyBorder="1"/>
    <xf numFmtId="3" fontId="0" fillId="0" borderId="18" xfId="0" applyNumberFormat="1" applyFill="1" applyBorder="1"/>
    <xf numFmtId="3" fontId="0" fillId="0" borderId="17" xfId="0" applyNumberFormat="1" applyFill="1" applyBorder="1"/>
    <xf numFmtId="0" fontId="0" fillId="0" borderId="14" xfId="0" applyFill="1" applyBorder="1"/>
    <xf numFmtId="0" fontId="0" fillId="0" borderId="13" xfId="0" applyFill="1" applyBorder="1" applyAlignment="1">
      <alignment horizontal="right"/>
    </xf>
    <xf numFmtId="0" fontId="0" fillId="0" borderId="16" xfId="0" applyFill="1" applyBorder="1" applyAlignment="1">
      <alignment horizontal="right"/>
    </xf>
    <xf numFmtId="174" fontId="0" fillId="0" borderId="0" xfId="0" applyNumberFormat="1" applyFill="1" applyBorder="1"/>
    <xf numFmtId="174" fontId="0" fillId="0" borderId="14" xfId="0" applyNumberFormat="1" applyFill="1" applyBorder="1"/>
    <xf numFmtId="174" fontId="0" fillId="0" borderId="18" xfId="0" applyNumberFormat="1" applyFill="1" applyBorder="1"/>
    <xf numFmtId="174" fontId="0" fillId="0" borderId="17" xfId="0" applyNumberFormat="1" applyFill="1" applyBorder="1"/>
    <xf numFmtId="0" fontId="0" fillId="0" borderId="11" xfId="0" applyFill="1" applyBorder="1" applyAlignment="1">
      <alignment horizontal="center"/>
    </xf>
    <xf numFmtId="0" fontId="0" fillId="0" borderId="15" xfId="0" applyFill="1" applyBorder="1" applyAlignment="1">
      <alignment horizontal="center"/>
    </xf>
    <xf numFmtId="3" fontId="0" fillId="0" borderId="11" xfId="0" applyNumberFormat="1" applyFill="1" applyBorder="1" applyAlignment="1">
      <alignment horizontal="center"/>
    </xf>
    <xf numFmtId="3" fontId="0" fillId="0" borderId="12" xfId="0" applyNumberFormat="1" applyFill="1" applyBorder="1" applyAlignment="1">
      <alignment horizontal="center"/>
    </xf>
    <xf numFmtId="170" fontId="0" fillId="0" borderId="0" xfId="0" applyNumberFormat="1" applyFill="1" applyBorder="1"/>
    <xf numFmtId="170" fontId="0" fillId="0" borderId="14" xfId="0" applyNumberFormat="1" applyFill="1" applyBorder="1"/>
    <xf numFmtId="170" fontId="0" fillId="0" borderId="18" xfId="0" applyNumberFormat="1" applyFill="1" applyBorder="1"/>
    <xf numFmtId="170" fontId="0" fillId="0" borderId="17" xfId="0" applyNumberFormat="1" applyFill="1" applyBorder="1"/>
    <xf numFmtId="0" fontId="0" fillId="0" borderId="16" xfId="0" applyFill="1" applyBorder="1" applyAlignment="1">
      <alignment horizontal="right" wrapText="1"/>
    </xf>
    <xf numFmtId="0" fontId="0" fillId="0" borderId="19" xfId="0" applyFill="1" applyBorder="1" applyAlignment="1">
      <alignment horizontal="right"/>
    </xf>
    <xf numFmtId="0" fontId="0" fillId="18" borderId="14" xfId="0" applyFill="1" applyBorder="1" applyAlignment="1">
      <alignment horizontal="center"/>
    </xf>
    <xf numFmtId="3" fontId="0" fillId="0" borderId="0" xfId="0" applyNumberFormat="1" applyFill="1" applyBorder="1"/>
    <xf numFmtId="3" fontId="0" fillId="0" borderId="14" xfId="0" applyNumberFormat="1" applyFill="1" applyBorder="1"/>
    <xf numFmtId="0" fontId="0" fillId="0" borderId="13" xfId="0" applyFill="1" applyBorder="1"/>
    <xf numFmtId="0" fontId="0" fillId="0" borderId="16" xfId="0" applyFill="1" applyBorder="1"/>
    <xf numFmtId="3" fontId="0" fillId="19" borderId="18" xfId="0" applyNumberFormat="1" applyFill="1" applyBorder="1"/>
    <xf numFmtId="3" fontId="0" fillId="19" borderId="13" xfId="0" applyNumberFormat="1" applyFill="1" applyBorder="1"/>
    <xf numFmtId="3" fontId="0" fillId="19" borderId="16" xfId="0" applyNumberFormat="1" applyFill="1" applyBorder="1"/>
    <xf numFmtId="3" fontId="0" fillId="19" borderId="17" xfId="0" applyNumberFormat="1" applyFill="1" applyBorder="1"/>
    <xf numFmtId="170" fontId="0" fillId="19" borderId="16" xfId="0" applyNumberFormat="1" applyFill="1" applyBorder="1"/>
    <xf numFmtId="170" fontId="0" fillId="19" borderId="18" xfId="0" applyNumberFormat="1" applyFill="1" applyBorder="1"/>
    <xf numFmtId="170" fontId="0" fillId="19" borderId="17" xfId="0" applyNumberFormat="1" applyFill="1" applyBorder="1"/>
    <xf numFmtId="164" fontId="0" fillId="19" borderId="11" xfId="0" applyNumberFormat="1" applyFill="1" applyBorder="1"/>
    <xf numFmtId="164" fontId="0" fillId="19" borderId="12" xfId="0" applyNumberFormat="1" applyFill="1" applyBorder="1"/>
    <xf numFmtId="164" fontId="0" fillId="19" borderId="15" xfId="0" applyNumberFormat="1" applyFill="1" applyBorder="1"/>
    <xf numFmtId="0" fontId="1" fillId="0" borderId="0" xfId="0" applyFont="1"/>
    <xf numFmtId="0" fontId="0" fillId="0" borderId="13" xfId="0" applyBorder="1"/>
    <xf numFmtId="0" fontId="0" fillId="0" borderId="16" xfId="0" applyBorder="1"/>
    <xf numFmtId="0" fontId="0" fillId="0" borderId="21" xfId="0" applyBorder="1" applyAlignment="1">
      <alignment horizontal="right" wrapText="1"/>
    </xf>
    <xf numFmtId="0" fontId="0" fillId="0" borderId="20" xfId="0" applyBorder="1" applyAlignment="1">
      <alignment horizontal="right" wrapText="1"/>
    </xf>
    <xf numFmtId="0" fontId="1" fillId="0" borderId="13" xfId="0" applyFont="1" applyBorder="1"/>
    <xf numFmtId="0" fontId="1" fillId="0" borderId="19" xfId="0" applyFont="1" applyBorder="1"/>
    <xf numFmtId="170" fontId="0" fillId="0" borderId="21" xfId="0" applyNumberFormat="1" applyBorder="1"/>
    <xf numFmtId="170" fontId="0" fillId="0" borderId="20" xfId="0" applyNumberFormat="1" applyBorder="1"/>
    <xf numFmtId="170" fontId="0" fillId="0" borderId="21" xfId="43" applyNumberFormat="1" applyFont="1" applyBorder="1"/>
    <xf numFmtId="170" fontId="0" fillId="0" borderId="20" xfId="43" applyNumberFormat="1" applyFont="1" applyBorder="1"/>
    <xf numFmtId="170" fontId="0" fillId="0" borderId="0" xfId="43" applyNumberFormat="1" applyFont="1" applyBorder="1"/>
    <xf numFmtId="170" fontId="0" fillId="0" borderId="14" xfId="43" applyNumberFormat="1" applyFont="1" applyBorder="1"/>
    <xf numFmtId="170" fontId="0" fillId="0" borderId="18" xfId="43" applyNumberFormat="1" applyFont="1" applyBorder="1"/>
    <xf numFmtId="170" fontId="0" fillId="0" borderId="17" xfId="43" applyNumberFormat="1" applyFont="1" applyBorder="1"/>
    <xf numFmtId="170" fontId="0" fillId="19" borderId="0" xfId="43" applyNumberFormat="1" applyFont="1" applyFill="1" applyBorder="1"/>
    <xf numFmtId="170" fontId="0" fillId="19" borderId="14" xfId="43" applyNumberFormat="1" applyFont="1" applyFill="1" applyBorder="1"/>
    <xf numFmtId="170" fontId="0" fillId="19" borderId="0" xfId="43" applyNumberFormat="1" applyFont="1" applyFill="1"/>
    <xf numFmtId="170" fontId="0" fillId="19" borderId="18" xfId="43" applyNumberFormat="1" applyFont="1" applyFill="1" applyBorder="1"/>
    <xf numFmtId="0" fontId="0" fillId="0" borderId="13" xfId="0" applyBorder="1" applyAlignment="1">
      <alignment horizontal="right"/>
    </xf>
    <xf numFmtId="0" fontId="0" fillId="0" borderId="16" xfId="0" applyBorder="1" applyAlignment="1">
      <alignment horizontal="right"/>
    </xf>
    <xf numFmtId="170" fontId="0" fillId="0" borderId="16" xfId="43" applyNumberFormat="1" applyFont="1" applyBorder="1"/>
    <xf numFmtId="164" fontId="0" fillId="19" borderId="0" xfId="0" applyNumberFormat="1" applyFill="1" applyBorder="1"/>
    <xf numFmtId="164" fontId="0" fillId="0" borderId="14" xfId="0" applyNumberFormat="1" applyBorder="1"/>
    <xf numFmtId="164" fontId="0" fillId="19" borderId="14" xfId="0" applyNumberFormat="1" applyFill="1" applyBorder="1"/>
    <xf numFmtId="164" fontId="0" fillId="19" borderId="18" xfId="0" applyNumberFormat="1" applyFill="1" applyBorder="1"/>
    <xf numFmtId="164" fontId="0" fillId="19" borderId="17" xfId="0" applyNumberFormat="1" applyFill="1" applyBorder="1"/>
    <xf numFmtId="170" fontId="0" fillId="19" borderId="16" xfId="43" applyNumberFormat="1" applyFont="1" applyFill="1" applyBorder="1"/>
    <xf numFmtId="0" fontId="0" fillId="0" borderId="16" xfId="0" applyBorder="1" applyAlignment="1">
      <alignment wrapText="1"/>
    </xf>
    <xf numFmtId="0" fontId="0" fillId="0" borderId="13" xfId="0" applyBorder="1" applyAlignment="1">
      <alignment horizontal="right" wrapText="1"/>
    </xf>
    <xf numFmtId="0" fontId="0" fillId="0" borderId="16" xfId="0" applyBorder="1" applyAlignment="1">
      <alignment horizontal="right" wrapText="1"/>
    </xf>
    <xf numFmtId="164" fontId="0" fillId="0" borderId="0" xfId="43" applyNumberFormat="1" applyFont="1" applyBorder="1"/>
    <xf numFmtId="164" fontId="0" fillId="0" borderId="14" xfId="43" applyNumberFormat="1" applyFont="1" applyBorder="1"/>
    <xf numFmtId="164" fontId="0" fillId="0" borderId="18" xfId="43" applyNumberFormat="1" applyFont="1" applyBorder="1"/>
    <xf numFmtId="164" fontId="0" fillId="19" borderId="0" xfId="43" applyNumberFormat="1" applyFont="1" applyFill="1" applyBorder="1"/>
    <xf numFmtId="164" fontId="0" fillId="19" borderId="14" xfId="43" applyNumberFormat="1" applyFont="1" applyFill="1" applyBorder="1"/>
    <xf numFmtId="164" fontId="0" fillId="19" borderId="18" xfId="43" applyNumberFormat="1" applyFont="1" applyFill="1" applyBorder="1"/>
    <xf numFmtId="164" fontId="0" fillId="19" borderId="17" xfId="43" applyNumberFormat="1" applyFont="1" applyFill="1" applyBorder="1"/>
    <xf numFmtId="170" fontId="0" fillId="0" borderId="17" xfId="43" applyNumberFormat="1" applyFont="1" applyFill="1" applyBorder="1"/>
    <xf numFmtId="164" fontId="0" fillId="19" borderId="20" xfId="0" applyNumberFormat="1" applyFill="1" applyBorder="1"/>
    <xf numFmtId="170" fontId="0" fillId="0" borderId="13" xfId="43" applyNumberFormat="1" applyFont="1" applyBorder="1"/>
    <xf numFmtId="169" fontId="0" fillId="19" borderId="0" xfId="0" applyNumberFormat="1" applyFill="1"/>
    <xf numFmtId="165" fontId="0" fillId="19" borderId="0" xfId="0" applyNumberFormat="1" applyFill="1" applyBorder="1"/>
    <xf numFmtId="165" fontId="0" fillId="19" borderId="14" xfId="0" applyNumberFormat="1" applyFill="1" applyBorder="1"/>
    <xf numFmtId="174" fontId="0" fillId="19" borderId="0" xfId="0" applyNumberFormat="1" applyFill="1" applyBorder="1"/>
    <xf numFmtId="174" fontId="0" fillId="19" borderId="14" xfId="0" applyNumberFormat="1" applyFill="1" applyBorder="1"/>
    <xf numFmtId="0" fontId="0" fillId="0" borderId="0" xfId="0" applyFill="1" applyAlignment="1">
      <alignment horizontal="right" wrapText="1"/>
    </xf>
    <xf numFmtId="165" fontId="0" fillId="19" borderId="18" xfId="0" applyNumberFormat="1" applyFill="1" applyBorder="1"/>
    <xf numFmtId="165" fontId="0" fillId="19" borderId="17" xfId="0" applyNumberFormat="1" applyFill="1" applyBorder="1"/>
    <xf numFmtId="170" fontId="2" fillId="19" borderId="0" xfId="43" applyNumberFormat="1" applyFill="1" applyBorder="1"/>
    <xf numFmtId="170" fontId="2" fillId="19" borderId="14" xfId="43" applyNumberFormat="1" applyFill="1" applyBorder="1"/>
    <xf numFmtId="170" fontId="2" fillId="0" borderId="18" xfId="43" applyNumberFormat="1" applyFill="1" applyBorder="1"/>
    <xf numFmtId="170" fontId="2" fillId="0" borderId="17" xfId="43" applyNumberFormat="1" applyFill="1" applyBorder="1"/>
    <xf numFmtId="170" fontId="0" fillId="19" borderId="0" xfId="0" applyNumberFormat="1" applyFill="1" applyBorder="1"/>
    <xf numFmtId="170" fontId="0" fillId="19" borderId="14" xfId="0" applyNumberFormat="1" applyFill="1" applyBorder="1"/>
    <xf numFmtId="0" fontId="1" fillId="0" borderId="13" xfId="0" applyFont="1" applyFill="1" applyBorder="1" applyAlignment="1">
      <alignment wrapText="1"/>
    </xf>
    <xf numFmtId="169" fontId="0" fillId="0" borderId="0" xfId="0" applyNumberFormat="1" applyBorder="1"/>
    <xf numFmtId="9" fontId="0" fillId="0" borderId="0" xfId="0" applyNumberFormat="1" applyBorder="1"/>
    <xf numFmtId="0" fontId="2" fillId="0" borderId="13" xfId="0" applyFont="1" applyFill="1" applyBorder="1"/>
    <xf numFmtId="169" fontId="0" fillId="0" borderId="18" xfId="0" applyNumberFormat="1" applyBorder="1"/>
    <xf numFmtId="170" fontId="0" fillId="0" borderId="13" xfId="0" applyNumberFormat="1" applyBorder="1"/>
    <xf numFmtId="164" fontId="0" fillId="0" borderId="13" xfId="0" applyNumberFormat="1" applyBorder="1"/>
    <xf numFmtId="169" fontId="0" fillId="0" borderId="13" xfId="0" applyNumberFormat="1" applyBorder="1"/>
    <xf numFmtId="169" fontId="0" fillId="0" borderId="14" xfId="0" applyNumberFormat="1" applyBorder="1"/>
    <xf numFmtId="164" fontId="0" fillId="0" borderId="16" xfId="0" applyNumberFormat="1" applyBorder="1"/>
    <xf numFmtId="169" fontId="0" fillId="0" borderId="17" xfId="0" applyNumberFormat="1" applyBorder="1"/>
    <xf numFmtId="0" fontId="1" fillId="0" borderId="19" xfId="0" applyFont="1" applyFill="1" applyBorder="1"/>
    <xf numFmtId="170" fontId="0" fillId="0" borderId="16" xfId="0" applyNumberFormat="1" applyBorder="1"/>
    <xf numFmtId="169" fontId="0" fillId="0" borderId="19" xfId="0" applyNumberFormat="1" applyBorder="1"/>
    <xf numFmtId="169" fontId="0" fillId="0" borderId="21" xfId="0" applyNumberFormat="1" applyBorder="1"/>
    <xf numFmtId="3" fontId="0" fillId="0" borderId="16" xfId="0" applyNumberFormat="1" applyBorder="1"/>
    <xf numFmtId="3" fontId="0" fillId="0" borderId="17" xfId="0" applyNumberFormat="1" applyBorder="1"/>
    <xf numFmtId="9" fontId="0" fillId="0" borderId="13" xfId="0" applyNumberFormat="1" applyBorder="1"/>
    <xf numFmtId="3" fontId="0" fillId="0" borderId="14" xfId="0" applyNumberFormat="1" applyBorder="1"/>
    <xf numFmtId="3" fontId="2" fillId="0" borderId="0" xfId="28" applyNumberFormat="1" applyFont="1" applyFill="1" applyBorder="1"/>
    <xf numFmtId="3" fontId="2" fillId="0" borderId="14" xfId="28" applyNumberFormat="1" applyFont="1" applyFill="1" applyBorder="1"/>
    <xf numFmtId="169" fontId="0" fillId="0" borderId="20" xfId="0" applyNumberFormat="1" applyBorder="1"/>
    <xf numFmtId="169" fontId="0" fillId="0" borderId="16" xfId="0" applyNumberFormat="1" applyBorder="1"/>
    <xf numFmtId="3" fontId="0" fillId="0" borderId="13" xfId="0" applyNumberFormat="1" applyBorder="1"/>
    <xf numFmtId="3" fontId="2" fillId="0" borderId="13" xfId="28" applyNumberFormat="1" applyFont="1" applyFill="1" applyBorder="1"/>
    <xf numFmtId="3" fontId="0" fillId="0" borderId="12" xfId="0" applyNumberFormat="1" applyBorder="1"/>
    <xf numFmtId="3" fontId="2" fillId="0" borderId="12" xfId="28" applyNumberFormat="1" applyFont="1" applyFill="1" applyBorder="1"/>
    <xf numFmtId="164" fontId="0" fillId="0" borderId="17" xfId="0" applyNumberFormat="1" applyBorder="1"/>
    <xf numFmtId="0" fontId="1" fillId="0" borderId="0" xfId="0" applyFont="1" applyBorder="1" applyAlignment="1">
      <alignment textRotation="90" wrapText="1"/>
    </xf>
    <xf numFmtId="170" fontId="0" fillId="0" borderId="0" xfId="0" applyNumberFormat="1" applyBorder="1" applyAlignment="1"/>
    <xf numFmtId="164" fontId="0" fillId="0" borderId="0" xfId="0" applyNumberFormat="1" applyBorder="1" applyAlignment="1"/>
    <xf numFmtId="169" fontId="0" fillId="0" borderId="0" xfId="0" applyNumberFormat="1" applyBorder="1" applyAlignment="1"/>
    <xf numFmtId="0" fontId="1" fillId="0" borderId="19" xfId="0" applyFont="1" applyFill="1" applyBorder="1" applyAlignment="1"/>
    <xf numFmtId="0" fontId="1" fillId="0" borderId="13" xfId="0" applyFont="1" applyFill="1" applyBorder="1" applyAlignment="1"/>
    <xf numFmtId="0" fontId="1" fillId="0" borderId="14" xfId="0" applyFont="1" applyBorder="1" applyAlignment="1">
      <alignment textRotation="90" wrapText="1"/>
    </xf>
    <xf numFmtId="0" fontId="0" fillId="0" borderId="14" xfId="0" applyBorder="1" applyAlignment="1"/>
    <xf numFmtId="170" fontId="0" fillId="0" borderId="14" xfId="0" applyNumberFormat="1" applyBorder="1" applyAlignment="1"/>
    <xf numFmtId="0" fontId="0" fillId="0" borderId="19" xfId="0" applyBorder="1" applyAlignment="1">
      <alignment horizontal="right" wrapText="1"/>
    </xf>
    <xf numFmtId="0" fontId="1" fillId="0" borderId="21" xfId="0" applyFont="1" applyBorder="1" applyAlignment="1">
      <alignment horizontal="centerContinuous" wrapText="1"/>
    </xf>
    <xf numFmtId="0" fontId="1" fillId="0" borderId="19" xfId="0" applyFont="1" applyBorder="1" applyAlignment="1">
      <alignment horizontal="centerContinuous" wrapText="1"/>
    </xf>
    <xf numFmtId="169" fontId="0" fillId="0" borderId="14" xfId="0" applyNumberFormat="1" applyBorder="1" applyAlignment="1"/>
    <xf numFmtId="169" fontId="0" fillId="0" borderId="17" xfId="0" applyNumberFormat="1" applyBorder="1" applyAlignment="1"/>
    <xf numFmtId="0" fontId="1" fillId="0" borderId="13" xfId="0" applyFont="1" applyBorder="1" applyAlignment="1">
      <alignment textRotation="90" wrapText="1"/>
    </xf>
    <xf numFmtId="0" fontId="0" fillId="0" borderId="13" xfId="0" applyBorder="1" applyAlignment="1"/>
    <xf numFmtId="170" fontId="0" fillId="0" borderId="13" xfId="0" applyNumberFormat="1" applyBorder="1" applyAlignment="1"/>
    <xf numFmtId="164" fontId="0" fillId="0" borderId="13" xfId="0" applyNumberFormat="1" applyBorder="1" applyAlignment="1"/>
    <xf numFmtId="169" fontId="0" fillId="0" borderId="13" xfId="0" applyNumberFormat="1" applyBorder="1" applyAlignment="1"/>
    <xf numFmtId="0" fontId="0" fillId="0" borderId="19" xfId="0" applyBorder="1" applyAlignment="1"/>
    <xf numFmtId="0" fontId="0" fillId="0" borderId="21" xfId="0" applyBorder="1" applyAlignment="1"/>
    <xf numFmtId="0" fontId="0" fillId="0" borderId="20" xfId="0" applyBorder="1" applyAlignment="1"/>
    <xf numFmtId="0" fontId="2" fillId="0" borderId="16" xfId="0" applyFont="1" applyFill="1" applyBorder="1" applyAlignment="1"/>
    <xf numFmtId="170" fontId="0" fillId="0" borderId="16" xfId="0" applyNumberFormat="1" applyBorder="1" applyAlignment="1"/>
    <xf numFmtId="170" fontId="0" fillId="0" borderId="18" xfId="0" applyNumberFormat="1" applyBorder="1" applyAlignment="1"/>
    <xf numFmtId="170" fontId="0" fillId="0" borderId="17" xfId="0" applyNumberFormat="1" applyBorder="1" applyAlignment="1"/>
    <xf numFmtId="169" fontId="0" fillId="0" borderId="19" xfId="0" applyNumberFormat="1" applyBorder="1" applyAlignment="1"/>
    <xf numFmtId="3" fontId="0" fillId="0" borderId="16" xfId="0" applyNumberFormat="1" applyBorder="1" applyAlignment="1"/>
    <xf numFmtId="3" fontId="0" fillId="0" borderId="17" xfId="0" applyNumberFormat="1" applyBorder="1" applyAlignment="1"/>
    <xf numFmtId="169" fontId="0" fillId="0" borderId="21" xfId="0" applyNumberFormat="1" applyBorder="1" applyAlignment="1"/>
    <xf numFmtId="169" fontId="0" fillId="0" borderId="20" xfId="0" applyNumberFormat="1" applyBorder="1" applyAlignment="1"/>
    <xf numFmtId="169" fontId="0" fillId="0" borderId="16" xfId="0" applyNumberFormat="1" applyBorder="1" applyAlignment="1"/>
    <xf numFmtId="169" fontId="0" fillId="0" borderId="18" xfId="0" applyNumberFormat="1" applyBorder="1" applyAlignment="1"/>
    <xf numFmtId="3" fontId="0" fillId="0" borderId="18" xfId="0" applyNumberFormat="1" applyBorder="1" applyAlignment="1"/>
    <xf numFmtId="164" fontId="0" fillId="0" borderId="14" xfId="0" applyNumberFormat="1" applyBorder="1" applyAlignment="1"/>
    <xf numFmtId="0" fontId="1" fillId="0" borderId="12" xfId="0" applyFont="1" applyFill="1" applyBorder="1"/>
    <xf numFmtId="0" fontId="2" fillId="0" borderId="12" xfId="0" applyFont="1" applyFill="1" applyBorder="1"/>
    <xf numFmtId="0" fontId="2" fillId="0" borderId="15" xfId="0" applyFont="1" applyFill="1" applyBorder="1"/>
    <xf numFmtId="0" fontId="1" fillId="0" borderId="11" xfId="0" applyFont="1" applyFill="1" applyBorder="1"/>
    <xf numFmtId="3" fontId="2" fillId="0" borderId="18" xfId="28" applyNumberFormat="1" applyFont="1" applyFill="1" applyBorder="1"/>
    <xf numFmtId="3" fontId="2" fillId="0" borderId="16" xfId="28" applyNumberFormat="1" applyFont="1" applyFill="1" applyBorder="1"/>
    <xf numFmtId="3" fontId="2" fillId="0" borderId="17" xfId="28" applyNumberFormat="1" applyFont="1" applyFill="1" applyBorder="1"/>
    <xf numFmtId="0" fontId="6" fillId="20" borderId="0" xfId="0" applyFont="1" applyFill="1" applyBorder="1"/>
    <xf numFmtId="3" fontId="0" fillId="0" borderId="16" xfId="0" applyNumberFormat="1" applyFill="1" applyBorder="1" applyAlignment="1">
      <alignment horizontal="right"/>
    </xf>
    <xf numFmtId="0" fontId="0" fillId="20" borderId="0" xfId="0" applyFill="1"/>
    <xf numFmtId="0" fontId="1" fillId="20" borderId="0" xfId="0" applyFont="1" applyFill="1" applyBorder="1"/>
    <xf numFmtId="0" fontId="10" fillId="20" borderId="0" xfId="0" applyFont="1" applyFill="1" applyBorder="1"/>
    <xf numFmtId="170" fontId="0" fillId="0" borderId="0" xfId="43" applyNumberFormat="1" applyFont="1" applyFill="1" applyBorder="1"/>
    <xf numFmtId="0" fontId="0" fillId="20" borderId="0" xfId="0" applyFont="1" applyFill="1" applyBorder="1"/>
    <xf numFmtId="1" fontId="0" fillId="20" borderId="0" xfId="0" applyNumberFormat="1" applyFont="1" applyFill="1" applyBorder="1" applyProtection="1"/>
    <xf numFmtId="0" fontId="0" fillId="19" borderId="16" xfId="0" applyFont="1" applyFill="1" applyBorder="1"/>
    <xf numFmtId="0" fontId="0" fillId="19" borderId="18" xfId="0" applyFont="1" applyFill="1" applyBorder="1"/>
    <xf numFmtId="0" fontId="0" fillId="19" borderId="17" xfId="0" applyFont="1" applyFill="1" applyBorder="1"/>
    <xf numFmtId="0" fontId="0" fillId="20" borderId="0" xfId="0" applyFill="1" applyBorder="1" applyAlignment="1">
      <alignment horizontal="center"/>
    </xf>
    <xf numFmtId="0" fontId="0" fillId="20" borderId="0" xfId="0" applyFill="1" applyBorder="1"/>
    <xf numFmtId="0" fontId="0" fillId="20" borderId="14" xfId="0" applyFill="1" applyBorder="1"/>
    <xf numFmtId="0" fontId="0" fillId="20" borderId="14" xfId="0" applyFill="1" applyBorder="1" applyAlignment="1">
      <alignment horizontal="center"/>
    </xf>
    <xf numFmtId="0" fontId="0" fillId="0" borderId="0" xfId="0" applyFill="1" applyBorder="1" applyAlignment="1">
      <alignment horizontal="right"/>
    </xf>
    <xf numFmtId="0" fontId="1" fillId="20" borderId="0" xfId="0" applyFont="1" applyFill="1"/>
    <xf numFmtId="0" fontId="2" fillId="19" borderId="0" xfId="0" applyFont="1" applyFill="1" applyBorder="1" applyAlignment="1">
      <alignment horizontal="center"/>
    </xf>
    <xf numFmtId="0" fontId="2" fillId="19" borderId="18" xfId="0" applyFont="1" applyFill="1" applyBorder="1" applyAlignment="1">
      <alignment horizontal="center"/>
    </xf>
    <xf numFmtId="0" fontId="0" fillId="19" borderId="0" xfId="0" applyFill="1" applyBorder="1" applyAlignment="1">
      <alignment horizontal="center"/>
    </xf>
    <xf numFmtId="0" fontId="0" fillId="19" borderId="14" xfId="0" applyFill="1" applyBorder="1" applyAlignment="1">
      <alignment horizontal="center"/>
    </xf>
    <xf numFmtId="0" fontId="0" fillId="19" borderId="18" xfId="0" applyFill="1" applyBorder="1" applyAlignment="1">
      <alignment horizontal="center"/>
    </xf>
    <xf numFmtId="0" fontId="0" fillId="19" borderId="17" xfId="0" applyFill="1" applyBorder="1" applyAlignment="1">
      <alignment horizontal="center"/>
    </xf>
    <xf numFmtId="3" fontId="0" fillId="20" borderId="16" xfId="0" applyNumberFormat="1" applyFill="1" applyBorder="1"/>
    <xf numFmtId="3" fontId="0" fillId="20" borderId="18" xfId="0" applyNumberFormat="1" applyFill="1" applyBorder="1"/>
    <xf numFmtId="3" fontId="0" fillId="20" borderId="17" xfId="0" applyNumberFormat="1" applyFill="1" applyBorder="1"/>
    <xf numFmtId="3" fontId="0" fillId="0" borderId="0" xfId="0" applyNumberFormat="1" applyFill="1" applyBorder="1" applyAlignment="1">
      <alignment horizontal="center"/>
    </xf>
    <xf numFmtId="3" fontId="0" fillId="0" borderId="14" xfId="0" applyNumberFormat="1" applyFill="1" applyBorder="1" applyAlignment="1">
      <alignment horizontal="center"/>
    </xf>
    <xf numFmtId="3" fontId="0" fillId="0" borderId="18" xfId="0" applyNumberFormat="1" applyFill="1" applyBorder="1" applyAlignment="1">
      <alignment horizontal="center"/>
    </xf>
    <xf numFmtId="3" fontId="0" fillId="0" borderId="17" xfId="0" applyNumberFormat="1" applyFill="1" applyBorder="1" applyAlignment="1">
      <alignment horizontal="center"/>
    </xf>
    <xf numFmtId="0" fontId="0" fillId="0" borderId="17" xfId="0" applyFill="1" applyBorder="1" applyAlignment="1">
      <alignment horizontal="right"/>
    </xf>
    <xf numFmtId="0" fontId="0" fillId="0" borderId="18" xfId="0" applyFill="1" applyBorder="1" applyAlignment="1">
      <alignment horizontal="right"/>
    </xf>
    <xf numFmtId="0" fontId="0" fillId="0" borderId="14" xfId="0" applyBorder="1" applyAlignment="1">
      <alignment horizontal="right"/>
    </xf>
    <xf numFmtId="0" fontId="0" fillId="0" borderId="0" xfId="0" applyBorder="1" applyAlignment="1">
      <alignment horizontal="right"/>
    </xf>
    <xf numFmtId="169" fontId="0" fillId="0" borderId="21" xfId="0" applyNumberFormat="1" applyBorder="1" applyAlignment="1">
      <alignment horizontal="right"/>
    </xf>
    <xf numFmtId="169" fontId="0" fillId="0" borderId="20" xfId="0" applyNumberFormat="1" applyBorder="1" applyAlignment="1">
      <alignment horizontal="right"/>
    </xf>
    <xf numFmtId="169" fontId="0" fillId="0" borderId="14" xfId="0" applyNumberFormat="1" applyBorder="1" applyAlignment="1">
      <alignment horizontal="right"/>
    </xf>
    <xf numFmtId="0" fontId="6" fillId="0" borderId="11" xfId="0" applyFont="1" applyBorder="1"/>
    <xf numFmtId="0" fontId="6" fillId="0" borderId="12" xfId="0" applyFont="1" applyBorder="1"/>
    <xf numFmtId="0" fontId="1" fillId="0" borderId="15" xfId="0" applyFont="1" applyFill="1" applyBorder="1"/>
    <xf numFmtId="0" fontId="1" fillId="0" borderId="12" xfId="0" applyFont="1" applyFill="1" applyBorder="1" applyAlignment="1">
      <alignment wrapText="1"/>
    </xf>
    <xf numFmtId="169" fontId="2" fillId="19" borderId="0" xfId="0" applyNumberFormat="1" applyFont="1" applyFill="1" applyBorder="1"/>
    <xf numFmtId="169" fontId="2" fillId="19" borderId="14" xfId="0" applyNumberFormat="1" applyFont="1" applyFill="1" applyBorder="1"/>
    <xf numFmtId="3" fontId="2" fillId="19" borderId="17" xfId="0" applyNumberFormat="1" applyFont="1" applyFill="1" applyBorder="1"/>
    <xf numFmtId="3" fontId="2" fillId="19" borderId="18" xfId="28" applyNumberFormat="1" applyFont="1" applyFill="1" applyBorder="1" applyAlignment="1"/>
    <xf numFmtId="3" fontId="2" fillId="19" borderId="17" xfId="28" applyNumberFormat="1" applyFont="1" applyFill="1" applyBorder="1" applyAlignment="1"/>
    <xf numFmtId="3" fontId="2" fillId="19" borderId="13" xfId="28" applyNumberFormat="1" applyFont="1" applyFill="1" applyBorder="1" applyAlignment="1"/>
    <xf numFmtId="3" fontId="2" fillId="19" borderId="0" xfId="28" applyNumberFormat="1" applyFont="1" applyFill="1" applyBorder="1" applyAlignment="1"/>
    <xf numFmtId="3" fontId="2" fillId="19" borderId="16" xfId="28" applyNumberFormat="1" applyFont="1" applyFill="1" applyBorder="1" applyAlignment="1"/>
    <xf numFmtId="0" fontId="1" fillId="0" borderId="0" xfId="0" applyNumberFormat="1" applyFont="1" applyBorder="1" applyAlignment="1">
      <alignment horizontal="center" wrapText="1"/>
    </xf>
    <xf numFmtId="169" fontId="2" fillId="0" borderId="13" xfId="0" applyNumberFormat="1" applyFont="1" applyFill="1" applyBorder="1"/>
    <xf numFmtId="169" fontId="2" fillId="0" borderId="14" xfId="0" applyNumberFormat="1" applyFont="1" applyFill="1" applyBorder="1"/>
    <xf numFmtId="169" fontId="2" fillId="0" borderId="0" xfId="0" applyNumberFormat="1" applyFont="1" applyFill="1" applyBorder="1"/>
    <xf numFmtId="0" fontId="0" fillId="0" borderId="0" xfId="0" applyFont="1" applyBorder="1"/>
    <xf numFmtId="0" fontId="1" fillId="0" borderId="0" xfId="0" applyNumberFormat="1" applyFont="1" applyBorder="1" applyAlignment="1">
      <alignment horizontal="center"/>
    </xf>
    <xf numFmtId="0" fontId="0" fillId="0" borderId="0" xfId="0" applyNumberFormat="1" applyFont="1" applyBorder="1" applyAlignment="1">
      <alignment wrapText="1"/>
    </xf>
    <xf numFmtId="0" fontId="0" fillId="0" borderId="0" xfId="0" applyNumberFormat="1" applyFont="1" applyBorder="1" applyAlignment="1">
      <alignment horizontal="center"/>
    </xf>
    <xf numFmtId="0" fontId="0" fillId="0" borderId="0" xfId="0" applyNumberFormat="1" applyFont="1" applyBorder="1" applyAlignment="1">
      <alignment vertical="center" wrapText="1"/>
    </xf>
    <xf numFmtId="0" fontId="0" fillId="0" borderId="11" xfId="0" applyFont="1" applyBorder="1"/>
    <xf numFmtId="0" fontId="0" fillId="0" borderId="15" xfId="0" applyFont="1" applyBorder="1"/>
    <xf numFmtId="0" fontId="0" fillId="19" borderId="11" xfId="0" applyFont="1" applyFill="1" applyBorder="1"/>
    <xf numFmtId="0" fontId="0" fillId="19" borderId="15" xfId="0" applyFont="1" applyFill="1" applyBorder="1"/>
    <xf numFmtId="0" fontId="1" fillId="0" borderId="0" xfId="0" applyFont="1" applyBorder="1" applyAlignment="1">
      <alignment horizontal="centerContinuous"/>
    </xf>
    <xf numFmtId="0" fontId="1" fillId="0" borderId="0" xfId="0" applyFont="1" applyBorder="1" applyAlignment="1">
      <alignment horizontal="left"/>
    </xf>
    <xf numFmtId="0" fontId="0" fillId="0" borderId="0" xfId="0" applyFont="1" applyBorder="1" applyAlignment="1">
      <alignment horizontal="centerContinuous"/>
    </xf>
    <xf numFmtId="0" fontId="1" fillId="0" borderId="0" xfId="0" applyFont="1" applyFill="1" applyBorder="1" applyAlignment="1">
      <alignment horizontal="right"/>
    </xf>
    <xf numFmtId="0" fontId="0" fillId="0" borderId="0" xfId="0" applyFont="1" applyFill="1" applyBorder="1"/>
    <xf numFmtId="0" fontId="1" fillId="0" borderId="0" xfId="0" applyFont="1" applyBorder="1" applyAlignment="1">
      <alignment horizontal="right"/>
    </xf>
    <xf numFmtId="0" fontId="0" fillId="0" borderId="0" xfId="0" applyFont="1" applyBorder="1" applyAlignment="1">
      <alignment horizontal="right"/>
    </xf>
    <xf numFmtId="0" fontId="0" fillId="0" borderId="0" xfId="0" applyFont="1" applyBorder="1" applyAlignment="1">
      <alignment horizontal="left"/>
    </xf>
    <xf numFmtId="164" fontId="2" fillId="0" borderId="21" xfId="0" applyNumberFormat="1" applyFont="1" applyFill="1" applyBorder="1"/>
    <xf numFmtId="170" fontId="2" fillId="0" borderId="18" xfId="43" applyNumberFormat="1" applyFont="1" applyFill="1" applyBorder="1"/>
    <xf numFmtId="170" fontId="2" fillId="0" borderId="0" xfId="43" applyNumberFormat="1" applyFont="1" applyBorder="1"/>
    <xf numFmtId="171" fontId="2" fillId="0" borderId="0" xfId="28" applyNumberFormat="1" applyFont="1" applyBorder="1"/>
    <xf numFmtId="164" fontId="2" fillId="0" borderId="18" xfId="28" applyNumberFormat="1" applyFont="1" applyBorder="1"/>
    <xf numFmtId="171" fontId="2" fillId="0" borderId="0" xfId="0" applyNumberFormat="1" applyFont="1" applyBorder="1"/>
    <xf numFmtId="164" fontId="2" fillId="0" borderId="22" xfId="0" applyNumberFormat="1" applyFont="1" applyFill="1" applyBorder="1"/>
    <xf numFmtId="3" fontId="2" fillId="0" borderId="18" xfId="0" applyNumberFormat="1" applyFont="1" applyFill="1" applyBorder="1"/>
    <xf numFmtId="0" fontId="1" fillId="0" borderId="23" xfId="0" applyFont="1" applyFill="1" applyBorder="1"/>
    <xf numFmtId="166" fontId="2" fillId="0" borderId="0" xfId="28" applyNumberFormat="1" applyFont="1" applyFill="1" applyBorder="1"/>
    <xf numFmtId="164" fontId="2" fillId="0" borderId="0" xfId="0" applyNumberFormat="1" applyFont="1" applyFill="1" applyBorder="1"/>
    <xf numFmtId="0" fontId="2" fillId="0" borderId="21" xfId="0" applyFont="1" applyFill="1" applyBorder="1" applyAlignment="1">
      <alignment horizontal="right" wrapText="1"/>
    </xf>
    <xf numFmtId="0" fontId="2" fillId="0" borderId="19" xfId="0" applyFont="1" applyFill="1" applyBorder="1" applyAlignment="1">
      <alignment horizontal="right" wrapText="1"/>
    </xf>
    <xf numFmtId="0" fontId="2" fillId="0" borderId="20" xfId="0" applyFont="1" applyFill="1" applyBorder="1" applyAlignment="1">
      <alignment horizontal="right" wrapText="1"/>
    </xf>
    <xf numFmtId="0" fontId="10" fillId="0" borderId="0" xfId="0" applyFont="1" applyFill="1" applyBorder="1"/>
    <xf numFmtId="170" fontId="2" fillId="0" borderId="0" xfId="43" applyNumberFormat="1" applyFont="1" applyFill="1" applyBorder="1"/>
    <xf numFmtId="164" fontId="2" fillId="0" borderId="13" xfId="0" applyNumberFormat="1" applyFont="1" applyFill="1" applyBorder="1"/>
    <xf numFmtId="164" fontId="2" fillId="0" borderId="14" xfId="0" applyNumberFormat="1" applyFont="1" applyFill="1" applyBorder="1"/>
    <xf numFmtId="0" fontId="2" fillId="0" borderId="0" xfId="0" applyFont="1" applyBorder="1" applyAlignment="1">
      <alignment wrapText="1"/>
    </xf>
    <xf numFmtId="164" fontId="2" fillId="0" borderId="18" xfId="0" applyNumberFormat="1" applyFont="1" applyFill="1" applyBorder="1"/>
    <xf numFmtId="164" fontId="2" fillId="0" borderId="16" xfId="0" applyNumberFormat="1" applyFont="1" applyFill="1" applyBorder="1"/>
    <xf numFmtId="164" fontId="2" fillId="0" borderId="17" xfId="0" applyNumberFormat="1" applyFont="1" applyFill="1" applyBorder="1"/>
    <xf numFmtId="169" fontId="2" fillId="0" borderId="0" xfId="28" applyNumberFormat="1" applyFont="1" applyFill="1" applyBorder="1"/>
    <xf numFmtId="169" fontId="2" fillId="0" borderId="13" xfId="28" applyNumberFormat="1" applyFont="1" applyFill="1" applyBorder="1"/>
    <xf numFmtId="169" fontId="2" fillId="0" borderId="14" xfId="28" applyNumberFormat="1" applyFont="1" applyFill="1" applyBorder="1"/>
    <xf numFmtId="0" fontId="2" fillId="0" borderId="21" xfId="0" applyFont="1" applyFill="1" applyBorder="1"/>
    <xf numFmtId="0" fontId="2" fillId="0" borderId="19" xfId="0" applyFont="1" applyFill="1" applyBorder="1"/>
    <xf numFmtId="0" fontId="2" fillId="0" borderId="20" xfId="0" applyFont="1" applyFill="1" applyBorder="1"/>
    <xf numFmtId="0" fontId="2" fillId="0" borderId="14" xfId="0" applyFont="1" applyFill="1" applyBorder="1"/>
    <xf numFmtId="164" fontId="2" fillId="0" borderId="0" xfId="28" applyNumberFormat="1" applyFont="1" applyFill="1" applyBorder="1"/>
    <xf numFmtId="0" fontId="2" fillId="0" borderId="0" xfId="0" applyFont="1" applyFill="1" applyBorder="1" applyAlignment="1">
      <alignment horizontal="right"/>
    </xf>
    <xf numFmtId="170" fontId="2" fillId="0" borderId="0" xfId="0" applyNumberFormat="1" applyFont="1" applyFill="1" applyBorder="1" applyAlignment="1">
      <alignment horizontal="right" wrapText="1"/>
    </xf>
    <xf numFmtId="164" fontId="2" fillId="0" borderId="12" xfId="0" applyNumberFormat="1" applyFont="1" applyFill="1" applyBorder="1"/>
    <xf numFmtId="3" fontId="2" fillId="0" borderId="15" xfId="28" applyNumberFormat="1" applyFont="1" applyFill="1" applyBorder="1"/>
    <xf numFmtId="0" fontId="1" fillId="0" borderId="21" xfId="0" applyFont="1" applyBorder="1" applyAlignment="1">
      <alignment horizontal="right" textRotation="90" wrapText="1"/>
    </xf>
    <xf numFmtId="0" fontId="2" fillId="0" borderId="21" xfId="0" applyFont="1" applyBorder="1" applyAlignment="1">
      <alignment horizontal="right"/>
    </xf>
    <xf numFmtId="166" fontId="2" fillId="0" borderId="18" xfId="28" applyNumberFormat="1" applyFont="1" applyFill="1" applyBorder="1"/>
    <xf numFmtId="0" fontId="2" fillId="0" borderId="21" xfId="0" applyFont="1" applyBorder="1" applyAlignment="1">
      <alignment wrapText="1"/>
    </xf>
    <xf numFmtId="0" fontId="2" fillId="0" borderId="21" xfId="0" applyFont="1" applyBorder="1" applyAlignment="1">
      <alignment horizontal="right" wrapText="1"/>
    </xf>
    <xf numFmtId="164" fontId="2" fillId="0" borderId="21" xfId="0" applyNumberFormat="1" applyFont="1" applyBorder="1"/>
    <xf numFmtId="0" fontId="1" fillId="0" borderId="0" xfId="0" quotePrefix="1" applyFont="1" applyFill="1" applyBorder="1" applyAlignment="1">
      <alignment horizontal="left"/>
    </xf>
    <xf numFmtId="0" fontId="1" fillId="0" borderId="0" xfId="0" applyFont="1" applyBorder="1" applyAlignment="1">
      <alignment horizontal="right" textRotation="90" wrapText="1"/>
    </xf>
    <xf numFmtId="0" fontId="2" fillId="0" borderId="21" xfId="0" quotePrefix="1" applyFont="1" applyFill="1" applyBorder="1" applyAlignment="1">
      <alignment horizontal="right" wrapText="1"/>
    </xf>
    <xf numFmtId="0" fontId="1" fillId="0" borderId="0" xfId="0" applyNumberFormat="1" applyFont="1" applyFill="1" applyBorder="1"/>
    <xf numFmtId="0" fontId="2" fillId="0" borderId="0" xfId="0" applyNumberFormat="1" applyFont="1" applyFill="1" applyBorder="1" applyAlignment="1">
      <alignment horizontal="right" wrapText="1"/>
    </xf>
    <xf numFmtId="170" fontId="2" fillId="0" borderId="0" xfId="0" applyNumberFormat="1" applyFont="1" applyFill="1" applyBorder="1" applyAlignment="1">
      <alignment horizontal="right"/>
    </xf>
    <xf numFmtId="0" fontId="2" fillId="0" borderId="0" xfId="0" applyFont="1" applyFill="1" applyBorder="1" applyAlignment="1"/>
    <xf numFmtId="164" fontId="2" fillId="0" borderId="0" xfId="0" applyNumberFormat="1" applyFont="1" applyFill="1" applyBorder="1" applyAlignment="1">
      <alignment horizontal="right"/>
    </xf>
    <xf numFmtId="164" fontId="2" fillId="0" borderId="0" xfId="43" applyNumberFormat="1" applyFont="1" applyFill="1" applyBorder="1" applyAlignment="1"/>
    <xf numFmtId="170" fontId="2" fillId="0" borderId="13" xfId="43" applyNumberFormat="1" applyFont="1" applyFill="1" applyBorder="1"/>
    <xf numFmtId="0" fontId="2" fillId="0" borderId="0" xfId="0" applyNumberFormat="1" applyFont="1" applyFill="1" applyBorder="1"/>
    <xf numFmtId="0" fontId="1" fillId="0" borderId="0" xfId="0" applyFont="1" applyFill="1" applyBorder="1" applyAlignment="1">
      <alignment horizontal="right" textRotation="90" wrapText="1"/>
    </xf>
    <xf numFmtId="3" fontId="2" fillId="0" borderId="0" xfId="0" applyNumberFormat="1" applyFont="1" applyFill="1" applyBorder="1"/>
    <xf numFmtId="0" fontId="2" fillId="0" borderId="0" xfId="0" applyNumberFormat="1" applyFont="1" applyBorder="1"/>
    <xf numFmtId="0" fontId="10" fillId="0" borderId="0" xfId="0" applyNumberFormat="1" applyFont="1" applyFill="1" applyBorder="1"/>
    <xf numFmtId="170" fontId="1" fillId="0" borderId="0" xfId="43" applyNumberFormat="1" applyFont="1" applyFill="1" applyBorder="1"/>
    <xf numFmtId="2" fontId="34" fillId="0" borderId="0" xfId="0" applyNumberFormat="1" applyFont="1" applyFill="1" applyBorder="1"/>
    <xf numFmtId="2" fontId="8" fillId="0" borderId="0" xfId="0" applyNumberFormat="1" applyFont="1" applyFill="1" applyBorder="1"/>
    <xf numFmtId="2" fontId="2" fillId="0" borderId="0" xfId="0" applyNumberFormat="1" applyFont="1" applyFill="1" applyBorder="1"/>
    <xf numFmtId="170" fontId="2" fillId="0" borderId="18" xfId="43" applyNumberFormat="1" applyFont="1" applyBorder="1"/>
    <xf numFmtId="170" fontId="2" fillId="0" borderId="16" xfId="43" applyNumberFormat="1" applyFont="1" applyBorder="1"/>
    <xf numFmtId="170" fontId="2" fillId="0" borderId="17" xfId="43" applyNumberFormat="1" applyFont="1" applyFill="1" applyBorder="1"/>
    <xf numFmtId="164" fontId="2" fillId="19" borderId="0" xfId="0" applyNumberFormat="1" applyFont="1" applyFill="1" applyBorder="1"/>
    <xf numFmtId="165" fontId="2" fillId="0" borderId="0" xfId="0" applyNumberFormat="1" applyFont="1" applyFill="1" applyBorder="1"/>
    <xf numFmtId="0" fontId="2" fillId="0" borderId="0" xfId="0" applyFont="1" applyBorder="1" applyAlignment="1">
      <alignment textRotation="90"/>
    </xf>
    <xf numFmtId="0" fontId="2" fillId="0" borderId="20" xfId="0" applyFont="1" applyBorder="1" applyAlignment="1">
      <alignment horizontal="right" wrapText="1"/>
    </xf>
    <xf numFmtId="0" fontId="2" fillId="0" borderId="19" xfId="0" applyFont="1" applyBorder="1" applyAlignment="1">
      <alignment horizontal="right" wrapText="1"/>
    </xf>
    <xf numFmtId="170" fontId="2" fillId="0" borderId="21" xfId="0" applyNumberFormat="1" applyFont="1" applyFill="1" applyBorder="1" applyAlignment="1">
      <alignment horizontal="right"/>
    </xf>
    <xf numFmtId="176" fontId="2" fillId="0" borderId="0" xfId="0" applyNumberFormat="1" applyFont="1" applyFill="1" applyBorder="1"/>
    <xf numFmtId="164" fontId="2" fillId="0" borderId="0" xfId="0" applyNumberFormat="1" applyFont="1" applyFill="1"/>
    <xf numFmtId="0" fontId="2" fillId="0" borderId="0" xfId="0" quotePrefix="1" applyFont="1" applyFill="1" applyBorder="1" applyAlignment="1">
      <alignment horizontal="right"/>
    </xf>
    <xf numFmtId="0" fontId="2" fillId="0" borderId="0" xfId="0" quotePrefix="1" applyFont="1" applyBorder="1" applyAlignment="1">
      <alignment horizontal="right"/>
    </xf>
    <xf numFmtId="0" fontId="2" fillId="0" borderId="0" xfId="0" applyFont="1"/>
    <xf numFmtId="0" fontId="2" fillId="0" borderId="0" xfId="0" applyFont="1" applyBorder="1" applyAlignment="1">
      <alignment horizontal="left" wrapText="1"/>
    </xf>
    <xf numFmtId="0" fontId="2" fillId="0" borderId="0" xfId="0" applyFont="1" applyBorder="1" applyAlignment="1">
      <alignment horizontal="right"/>
    </xf>
    <xf numFmtId="0" fontId="2" fillId="0" borderId="21" xfId="0" applyFont="1" applyFill="1" applyBorder="1" applyAlignment="1">
      <alignment horizontal="right"/>
    </xf>
    <xf numFmtId="0" fontId="2" fillId="0" borderId="0" xfId="0" applyFont="1" applyFill="1" applyBorder="1" applyAlignment="1">
      <alignment horizontal="left"/>
    </xf>
    <xf numFmtId="1" fontId="2" fillId="0" borderId="0" xfId="0" applyNumberFormat="1" applyFont="1" applyFill="1" applyBorder="1"/>
    <xf numFmtId="10" fontId="2" fillId="0" borderId="0" xfId="43" applyNumberFormat="1" applyFont="1" applyBorder="1"/>
    <xf numFmtId="10" fontId="2" fillId="0" borderId="0" xfId="43" applyNumberFormat="1" applyFont="1" applyFill="1" applyBorder="1"/>
    <xf numFmtId="1" fontId="2" fillId="0" borderId="21" xfId="0" applyNumberFormat="1" applyFont="1" applyBorder="1"/>
    <xf numFmtId="2" fontId="2" fillId="0" borderId="0" xfId="0" applyNumberFormat="1" applyFont="1" applyBorder="1"/>
    <xf numFmtId="165" fontId="2" fillId="0" borderId="0" xfId="0" applyNumberFormat="1" applyFont="1" applyBorder="1"/>
    <xf numFmtId="165" fontId="2" fillId="0" borderId="18" xfId="0" applyNumberFormat="1" applyFont="1" applyBorder="1"/>
    <xf numFmtId="170" fontId="35" fillId="0" borderId="0" xfId="43" applyNumberFormat="1" applyFont="1" applyFill="1" applyBorder="1"/>
    <xf numFmtId="170" fontId="2" fillId="0" borderId="0" xfId="43" applyNumberFormat="1" applyFont="1" applyFill="1" applyBorder="1" applyAlignment="1">
      <alignment horizontal="right"/>
    </xf>
    <xf numFmtId="10" fontId="2" fillId="0" borderId="0" xfId="43" applyNumberFormat="1" applyFont="1" applyFill="1" applyBorder="1" applyAlignment="1">
      <alignment horizontal="right"/>
    </xf>
    <xf numFmtId="173" fontId="2" fillId="0" borderId="0" xfId="43" applyNumberFormat="1" applyFont="1" applyFill="1" applyBorder="1" applyAlignment="1">
      <alignment horizontal="right"/>
    </xf>
    <xf numFmtId="172" fontId="2" fillId="0" borderId="0" xfId="43" applyNumberFormat="1" applyFont="1" applyFill="1" applyBorder="1" applyAlignment="1">
      <alignment horizontal="right"/>
    </xf>
    <xf numFmtId="0" fontId="1" fillId="0" borderId="0" xfId="0" applyFont="1" applyFill="1" applyBorder="1" applyAlignment="1">
      <alignment horizontal="right" wrapText="1"/>
    </xf>
    <xf numFmtId="0" fontId="1" fillId="0" borderId="0" xfId="0" applyFont="1" applyBorder="1" applyAlignment="1">
      <alignment horizontal="right" wrapText="1"/>
    </xf>
    <xf numFmtId="170" fontId="2" fillId="0" borderId="21" xfId="43" applyNumberFormat="1" applyFont="1" applyBorder="1"/>
    <xf numFmtId="37" fontId="2" fillId="0" borderId="0" xfId="0" applyNumberFormat="1" applyFont="1" applyFill="1" applyBorder="1"/>
    <xf numFmtId="171" fontId="2" fillId="0" borderId="0" xfId="0" applyNumberFormat="1" applyFont="1" applyFill="1" applyBorder="1"/>
    <xf numFmtId="167" fontId="2" fillId="0" borderId="0" xfId="0" applyNumberFormat="1" applyFont="1" applyFill="1" applyBorder="1"/>
    <xf numFmtId="0" fontId="2" fillId="0" borderId="0" xfId="0" applyNumberFormat="1" applyFont="1" applyFill="1" applyBorder="1" applyAlignment="1">
      <alignment horizontal="right"/>
    </xf>
    <xf numFmtId="0" fontId="1" fillId="0" borderId="0" xfId="0" applyFont="1" applyFill="1" applyBorder="1" applyAlignment="1">
      <alignment horizontal="centerContinuous"/>
    </xf>
    <xf numFmtId="0" fontId="2" fillId="0" borderId="11" xfId="0" applyNumberFormat="1" applyFont="1" applyFill="1" applyBorder="1" applyAlignment="1"/>
    <xf numFmtId="164" fontId="2" fillId="0" borderId="21" xfId="0" applyNumberFormat="1" applyFont="1" applyFill="1" applyBorder="1" applyAlignment="1">
      <alignment horizontal="right"/>
    </xf>
    <xf numFmtId="164" fontId="2" fillId="0" borderId="20" xfId="0" applyNumberFormat="1" applyFont="1" applyFill="1" applyBorder="1" applyAlignment="1">
      <alignment horizontal="right"/>
    </xf>
    <xf numFmtId="1" fontId="2" fillId="0" borderId="0" xfId="0" applyNumberFormat="1" applyFont="1" applyFill="1" applyBorder="1" applyAlignment="1">
      <alignment horizontal="right"/>
    </xf>
    <xf numFmtId="164" fontId="2" fillId="0" borderId="14" xfId="0" applyNumberFormat="1" applyFont="1" applyFill="1" applyBorder="1" applyAlignment="1">
      <alignment horizontal="right"/>
    </xf>
    <xf numFmtId="0" fontId="2" fillId="0" borderId="15" xfId="0" applyNumberFormat="1" applyFont="1" applyFill="1" applyBorder="1" applyAlignment="1"/>
    <xf numFmtId="164" fontId="2" fillId="0" borderId="18" xfId="0" applyNumberFormat="1" applyFont="1" applyFill="1" applyBorder="1" applyAlignment="1">
      <alignment horizontal="right"/>
    </xf>
    <xf numFmtId="1" fontId="2" fillId="0" borderId="18" xfId="0" applyNumberFormat="1" applyFont="1" applyFill="1" applyBorder="1" applyAlignment="1">
      <alignment horizontal="right"/>
    </xf>
    <xf numFmtId="164" fontId="2" fillId="0" borderId="17" xfId="0" applyNumberFormat="1" applyFont="1" applyFill="1" applyBorder="1" applyAlignment="1">
      <alignment horizontal="right"/>
    </xf>
    <xf numFmtId="164" fontId="2" fillId="0" borderId="0" xfId="0" applyNumberFormat="1" applyFont="1" applyFill="1" applyBorder="1" applyAlignment="1"/>
    <xf numFmtId="164" fontId="2" fillId="0" borderId="14" xfId="0" applyNumberFormat="1" applyFont="1" applyFill="1" applyBorder="1" applyAlignment="1"/>
    <xf numFmtId="164" fontId="2" fillId="0" borderId="18" xfId="0" applyNumberFormat="1" applyFont="1" applyFill="1" applyBorder="1" applyAlignment="1"/>
    <xf numFmtId="164" fontId="2" fillId="0" borderId="17" xfId="0" applyNumberFormat="1" applyFont="1" applyFill="1" applyBorder="1" applyAlignment="1"/>
    <xf numFmtId="0" fontId="0" fillId="0" borderId="13" xfId="0" applyFont="1" applyBorder="1"/>
    <xf numFmtId="169" fontId="0" fillId="0" borderId="14" xfId="0" applyNumberFormat="1" applyFill="1" applyBorder="1"/>
    <xf numFmtId="169" fontId="0" fillId="0" borderId="0" xfId="0" applyNumberFormat="1" applyFill="1" applyBorder="1"/>
    <xf numFmtId="164" fontId="0" fillId="0" borderId="0" xfId="0" applyNumberFormat="1" applyFill="1" applyBorder="1"/>
    <xf numFmtId="0" fontId="2" fillId="0" borderId="11" xfId="0" applyFont="1" applyBorder="1"/>
    <xf numFmtId="0" fontId="1" fillId="0" borderId="11" xfId="0" applyFont="1" applyBorder="1"/>
    <xf numFmtId="0" fontId="0" fillId="0" borderId="12" xfId="0" applyFont="1" applyFill="1" applyBorder="1"/>
    <xf numFmtId="0" fontId="2" fillId="0" borderId="15" xfId="0" applyFont="1" applyBorder="1"/>
    <xf numFmtId="0" fontId="0" fillId="0" borderId="0" xfId="0" applyBorder="1" applyAlignment="1">
      <alignment wrapText="1"/>
    </xf>
    <xf numFmtId="0" fontId="2" fillId="0" borderId="11" xfId="0" applyFont="1" applyBorder="1" applyAlignment="1">
      <alignment wrapText="1"/>
    </xf>
    <xf numFmtId="0" fontId="1" fillId="0" borderId="12" xfId="0" applyFont="1" applyBorder="1"/>
    <xf numFmtId="0" fontId="0" fillId="0" borderId="12" xfId="0" applyFont="1" applyBorder="1"/>
    <xf numFmtId="0" fontId="0" fillId="0" borderId="0" xfId="0" applyFill="1" applyBorder="1"/>
    <xf numFmtId="0" fontId="0" fillId="0" borderId="12" xfId="0" applyFill="1" applyBorder="1"/>
    <xf numFmtId="169" fontId="2" fillId="0" borderId="12" xfId="0" applyNumberFormat="1" applyFont="1" applyBorder="1"/>
    <xf numFmtId="169" fontId="2" fillId="0" borderId="15" xfId="0" applyNumberFormat="1" applyFont="1" applyBorder="1"/>
    <xf numFmtId="169" fontId="2" fillId="0" borderId="11" xfId="0" applyNumberFormat="1" applyFont="1" applyBorder="1"/>
    <xf numFmtId="169" fontId="2" fillId="0" borderId="12" xfId="0" applyNumberFormat="1" applyFont="1" applyFill="1" applyBorder="1"/>
    <xf numFmtId="169" fontId="2" fillId="0" borderId="11" xfId="28" applyNumberFormat="1" applyFont="1" applyFill="1" applyBorder="1"/>
    <xf numFmtId="169" fontId="2" fillId="0" borderId="0" xfId="0" applyNumberFormat="1" applyFont="1" applyBorder="1"/>
    <xf numFmtId="169" fontId="2" fillId="0" borderId="14" xfId="0" applyNumberFormat="1" applyFont="1" applyBorder="1"/>
    <xf numFmtId="169" fontId="2" fillId="0" borderId="13" xfId="0" applyNumberFormat="1" applyFont="1" applyBorder="1"/>
    <xf numFmtId="169" fontId="2" fillId="0" borderId="18" xfId="0" applyNumberFormat="1" applyFont="1" applyBorder="1"/>
    <xf numFmtId="169" fontId="2" fillId="0" borderId="17" xfId="0" applyNumberFormat="1" applyFont="1" applyBorder="1"/>
    <xf numFmtId="169" fontId="2" fillId="0" borderId="16" xfId="0" applyNumberFormat="1" applyFont="1" applyBorder="1"/>
    <xf numFmtId="169" fontId="2" fillId="0" borderId="17" xfId="0" applyNumberFormat="1" applyFont="1" applyFill="1" applyBorder="1"/>
    <xf numFmtId="169" fontId="2" fillId="0" borderId="16" xfId="0" applyNumberFormat="1" applyFont="1" applyFill="1" applyBorder="1"/>
    <xf numFmtId="169" fontId="2" fillId="0" borderId="15" xfId="0" applyNumberFormat="1" applyFont="1" applyFill="1" applyBorder="1"/>
    <xf numFmtId="169" fontId="2" fillId="0" borderId="18" xfId="0" applyNumberFormat="1" applyFont="1" applyFill="1" applyBorder="1"/>
    <xf numFmtId="169" fontId="2" fillId="0" borderId="21" xfId="0" applyNumberFormat="1" applyFont="1" applyBorder="1"/>
    <xf numFmtId="169" fontId="2" fillId="0" borderId="20" xfId="0" applyNumberFormat="1" applyFont="1" applyBorder="1"/>
    <xf numFmtId="169" fontId="2" fillId="0" borderId="19" xfId="0" applyNumberFormat="1" applyFont="1" applyBorder="1"/>
    <xf numFmtId="169" fontId="2" fillId="0" borderId="20" xfId="0" applyNumberFormat="1" applyFont="1" applyFill="1" applyBorder="1"/>
    <xf numFmtId="169" fontId="2" fillId="0" borderId="19" xfId="0" applyNumberFormat="1" applyFont="1" applyFill="1" applyBorder="1"/>
    <xf numFmtId="169" fontId="2" fillId="0" borderId="11" xfId="0" applyNumberFormat="1" applyFont="1" applyFill="1" applyBorder="1"/>
    <xf numFmtId="169" fontId="2" fillId="0" borderId="21" xfId="0" applyNumberFormat="1" applyFont="1" applyFill="1" applyBorder="1"/>
    <xf numFmtId="169" fontId="2" fillId="0" borderId="21" xfId="28" applyNumberFormat="1" applyFont="1" applyFill="1" applyBorder="1"/>
    <xf numFmtId="169" fontId="2" fillId="0" borderId="20" xfId="28" applyNumberFormat="1" applyFont="1" applyFill="1" applyBorder="1"/>
    <xf numFmtId="169" fontId="2" fillId="0" borderId="19" xfId="28" applyNumberFormat="1" applyFont="1" applyFill="1" applyBorder="1"/>
    <xf numFmtId="3" fontId="2" fillId="0" borderId="14" xfId="0" applyNumberFormat="1" applyFont="1" applyFill="1" applyBorder="1"/>
    <xf numFmtId="3" fontId="2" fillId="0" borderId="13" xfId="0" applyNumberFormat="1" applyFont="1" applyFill="1" applyBorder="1"/>
    <xf numFmtId="0" fontId="1" fillId="0" borderId="20" xfId="0" applyFont="1" applyBorder="1" applyAlignment="1">
      <alignment horizontal="right" textRotation="90" wrapText="1"/>
    </xf>
    <xf numFmtId="0" fontId="1" fillId="0" borderId="19" xfId="0" applyFont="1" applyBorder="1" applyAlignment="1">
      <alignment horizontal="right" textRotation="90" wrapText="1"/>
    </xf>
    <xf numFmtId="170" fontId="0" fillId="0" borderId="21" xfId="0" applyNumberFormat="1" applyFill="1" applyBorder="1"/>
    <xf numFmtId="0" fontId="0" fillId="0" borderId="0" xfId="0" applyFont="1" applyFill="1"/>
    <xf numFmtId="3" fontId="0" fillId="0" borderId="0" xfId="0" applyNumberFormat="1" applyFill="1"/>
    <xf numFmtId="0" fontId="0" fillId="0" borderId="19" xfId="0" applyFont="1" applyFill="1" applyBorder="1"/>
    <xf numFmtId="0" fontId="0" fillId="0" borderId="21" xfId="0" applyFont="1" applyFill="1" applyBorder="1"/>
    <xf numFmtId="0" fontId="0" fillId="0" borderId="20" xfId="0" applyFill="1" applyBorder="1"/>
    <xf numFmtId="3" fontId="0" fillId="0" borderId="18" xfId="0" applyNumberFormat="1" applyFont="1" applyFill="1" applyBorder="1"/>
    <xf numFmtId="3" fontId="0" fillId="0" borderId="17" xfId="0" applyNumberFormat="1" applyFont="1" applyFill="1" applyBorder="1"/>
    <xf numFmtId="174" fontId="2" fillId="0" borderId="0" xfId="0" applyNumberFormat="1" applyFont="1" applyFill="1" applyBorder="1"/>
    <xf numFmtId="0" fontId="10" fillId="0" borderId="0" xfId="0" quotePrefix="1" applyFont="1" applyFill="1" applyBorder="1" applyAlignment="1">
      <alignment horizontal="left"/>
    </xf>
    <xf numFmtId="0" fontId="2" fillId="0" borderId="0" xfId="0" quotePrefix="1" applyFont="1" applyFill="1" applyBorder="1" applyAlignment="1">
      <alignment horizontal="left"/>
    </xf>
    <xf numFmtId="0" fontId="2" fillId="0" borderId="19" xfId="0" quotePrefix="1" applyFont="1" applyFill="1" applyBorder="1" applyAlignment="1">
      <alignment horizontal="left"/>
    </xf>
    <xf numFmtId="0" fontId="2" fillId="0" borderId="16" xfId="0" quotePrefix="1" applyFont="1" applyFill="1" applyBorder="1" applyAlignment="1">
      <alignment horizontal="left"/>
    </xf>
    <xf numFmtId="170" fontId="2" fillId="0" borderId="20" xfId="43" applyNumberFormat="1" applyFont="1" applyFill="1" applyBorder="1"/>
    <xf numFmtId="0" fontId="0" fillId="0" borderId="0" xfId="0" applyNumberFormat="1" applyFont="1" applyBorder="1" applyAlignment="1">
      <alignment horizontal="right"/>
    </xf>
    <xf numFmtId="3" fontId="2" fillId="0" borderId="0" xfId="0" applyNumberFormat="1" applyFont="1" applyBorder="1"/>
    <xf numFmtId="3" fontId="0" fillId="0" borderId="0" xfId="0" applyNumberFormat="1" applyFont="1" applyBorder="1"/>
    <xf numFmtId="3" fontId="2" fillId="0" borderId="18" xfId="0" applyNumberFormat="1" applyFont="1" applyBorder="1"/>
    <xf numFmtId="0" fontId="10" fillId="0" borderId="19" xfId="0" applyNumberFormat="1" applyFont="1" applyBorder="1" applyAlignment="1"/>
    <xf numFmtId="0" fontId="2" fillId="0" borderId="16" xfId="0" applyFont="1" applyBorder="1"/>
    <xf numFmtId="3" fontId="0" fillId="0" borderId="11" xfId="0" applyNumberFormat="1" applyFont="1" applyBorder="1" applyAlignment="1"/>
    <xf numFmtId="3" fontId="2" fillId="0" borderId="20" xfId="28" applyNumberFormat="1" applyFont="1" applyBorder="1" applyAlignment="1"/>
    <xf numFmtId="3" fontId="2" fillId="0" borderId="17" xfId="0" applyNumberFormat="1" applyFont="1" applyBorder="1"/>
    <xf numFmtId="164" fontId="2" fillId="0" borderId="20" xfId="0" applyNumberFormat="1" applyFont="1" applyBorder="1" applyAlignment="1">
      <alignment horizontal="right"/>
    </xf>
    <xf numFmtId="169" fontId="2" fillId="0" borderId="20" xfId="0" applyNumberFormat="1" applyFont="1" applyBorder="1" applyAlignment="1">
      <alignment horizontal="right"/>
    </xf>
    <xf numFmtId="169" fontId="2" fillId="0" borderId="14" xfId="0" applyNumberFormat="1" applyFont="1" applyBorder="1" applyAlignment="1">
      <alignment horizontal="right"/>
    </xf>
    <xf numFmtId="0" fontId="2" fillId="0" borderId="19" xfId="0" quotePrefix="1" applyFont="1" applyFill="1" applyBorder="1" applyAlignment="1">
      <alignment horizontal="right" wrapText="1"/>
    </xf>
    <xf numFmtId="174" fontId="0" fillId="19" borderId="21" xfId="0" applyNumberFormat="1" applyFill="1" applyBorder="1"/>
    <xf numFmtId="0" fontId="0" fillId="0" borderId="18" xfId="0" applyFill="1" applyBorder="1"/>
    <xf numFmtId="0" fontId="0" fillId="0" borderId="13" xfId="0" applyFont="1" applyFill="1" applyBorder="1" applyAlignment="1">
      <alignment horizontal="right"/>
    </xf>
    <xf numFmtId="165" fontId="0" fillId="0" borderId="0" xfId="0" applyNumberFormat="1" applyFill="1" applyBorder="1"/>
    <xf numFmtId="165" fontId="0" fillId="0" borderId="14" xfId="0" applyNumberFormat="1" applyFill="1" applyBorder="1"/>
    <xf numFmtId="170" fontId="2" fillId="0" borderId="0" xfId="43" applyNumberFormat="1" applyFill="1" applyBorder="1"/>
    <xf numFmtId="170" fontId="2" fillId="21" borderId="0" xfId="0" applyNumberFormat="1" applyFont="1" applyFill="1" applyBorder="1"/>
    <xf numFmtId="170" fontId="2" fillId="19" borderId="13" xfId="43" applyNumberFormat="1" applyFill="1" applyBorder="1"/>
    <xf numFmtId="170" fontId="0" fillId="19" borderId="13" xfId="0" applyNumberFormat="1" applyFill="1" applyBorder="1"/>
    <xf numFmtId="170" fontId="0" fillId="0" borderId="19" xfId="0" applyNumberFormat="1" applyBorder="1"/>
    <xf numFmtId="0" fontId="0" fillId="0" borderId="21" xfId="0" applyFont="1" applyBorder="1"/>
    <xf numFmtId="0" fontId="0" fillId="0" borderId="20" xfId="0" applyFont="1" applyBorder="1"/>
    <xf numFmtId="0" fontId="0" fillId="0" borderId="16" xfId="0" applyFont="1" applyFill="1" applyBorder="1" applyAlignment="1">
      <alignment horizontal="right"/>
    </xf>
    <xf numFmtId="0" fontId="0" fillId="0" borderId="0" xfId="0" applyFill="1" applyBorder="1" applyAlignment="1">
      <alignment horizontal="right" wrapText="1"/>
    </xf>
    <xf numFmtId="0" fontId="0" fillId="0" borderId="14" xfId="0" applyFill="1" applyBorder="1" applyAlignment="1">
      <alignment horizontal="right" wrapText="1"/>
    </xf>
    <xf numFmtId="174" fontId="0" fillId="19" borderId="20" xfId="0" applyNumberFormat="1" applyFill="1" applyBorder="1"/>
    <xf numFmtId="0" fontId="0" fillId="0" borderId="18" xfId="0" applyFill="1" applyBorder="1" applyAlignment="1">
      <alignment horizontal="right" wrapText="1"/>
    </xf>
    <xf numFmtId="0" fontId="0" fillId="0" borderId="13" xfId="0" applyFont="1" applyFill="1" applyBorder="1" applyAlignment="1">
      <alignment horizontal="right" wrapText="1"/>
    </xf>
    <xf numFmtId="0" fontId="0" fillId="0" borderId="0" xfId="0" applyFont="1" applyFill="1" applyBorder="1" applyAlignment="1">
      <alignment horizontal="right" wrapText="1"/>
    </xf>
    <xf numFmtId="165" fontId="0" fillId="0" borderId="18" xfId="0" applyNumberFormat="1" applyFill="1" applyBorder="1"/>
    <xf numFmtId="165" fontId="0" fillId="0" borderId="17" xfId="0" applyNumberFormat="1" applyFill="1" applyBorder="1"/>
    <xf numFmtId="170" fontId="2" fillId="0" borderId="14" xfId="43" applyNumberFormat="1" applyFill="1" applyBorder="1"/>
    <xf numFmtId="170" fontId="2" fillId="0" borderId="13" xfId="43" applyNumberFormat="1" applyFill="1" applyBorder="1"/>
    <xf numFmtId="0" fontId="0" fillId="0" borderId="11" xfId="0" applyFill="1" applyBorder="1"/>
    <xf numFmtId="0" fontId="1" fillId="0" borderId="13" xfId="0" applyFont="1" applyFill="1" applyBorder="1"/>
    <xf numFmtId="0" fontId="0" fillId="0" borderId="19" xfId="0" applyFont="1" applyFill="1" applyBorder="1" applyAlignment="1">
      <alignment horizontal="right"/>
    </xf>
    <xf numFmtId="0" fontId="0" fillId="0" borderId="21" xfId="0" applyFill="1" applyBorder="1" applyAlignment="1">
      <alignment horizontal="right" wrapText="1"/>
    </xf>
    <xf numFmtId="0" fontId="0" fillId="0" borderId="20" xfId="0" applyFill="1" applyBorder="1" applyAlignment="1">
      <alignment horizontal="right" wrapText="1"/>
    </xf>
    <xf numFmtId="170" fontId="0" fillId="0" borderId="20" xfId="0" applyNumberFormat="1" applyFill="1" applyBorder="1"/>
    <xf numFmtId="174" fontId="0" fillId="19" borderId="18" xfId="0" applyNumberFormat="1" applyFill="1" applyBorder="1"/>
    <xf numFmtId="174" fontId="0" fillId="19" borderId="17" xfId="0" applyNumberFormat="1" applyFill="1" applyBorder="1"/>
    <xf numFmtId="169" fontId="0" fillId="0" borderId="13" xfId="0" applyNumberFormat="1" applyFill="1" applyBorder="1"/>
    <xf numFmtId="170" fontId="0" fillId="0" borderId="13" xfId="0" applyNumberFormat="1" applyFill="1" applyBorder="1"/>
    <xf numFmtId="170" fontId="0" fillId="0" borderId="16" xfId="0" applyNumberFormat="1" applyFill="1" applyBorder="1"/>
    <xf numFmtId="164" fontId="0" fillId="0" borderId="13" xfId="0" applyNumberFormat="1" applyFill="1" applyBorder="1"/>
    <xf numFmtId="169" fontId="0" fillId="0" borderId="19" xfId="0" applyNumberFormat="1" applyFill="1" applyBorder="1"/>
    <xf numFmtId="169" fontId="0" fillId="0" borderId="20" xfId="0" applyNumberFormat="1" applyFill="1" applyBorder="1"/>
    <xf numFmtId="169" fontId="0" fillId="0" borderId="16" xfId="0" applyNumberFormat="1" applyFill="1" applyBorder="1"/>
    <xf numFmtId="169" fontId="0" fillId="0" borderId="17" xfId="0" applyNumberFormat="1" applyFill="1" applyBorder="1"/>
    <xf numFmtId="164" fontId="0" fillId="0" borderId="16" xfId="0" applyNumberFormat="1" applyFill="1" applyBorder="1"/>
    <xf numFmtId="0" fontId="10" fillId="0" borderId="19" xfId="0" applyFont="1" applyBorder="1"/>
    <xf numFmtId="170" fontId="2" fillId="0" borderId="14" xfId="43" applyNumberFormat="1" applyFont="1" applyFill="1" applyBorder="1"/>
    <xf numFmtId="0" fontId="2" fillId="0" borderId="16" xfId="0" applyFont="1" applyFill="1" applyBorder="1"/>
    <xf numFmtId="0" fontId="0" fillId="0" borderId="13" xfId="0" applyBorder="1" applyAlignment="1">
      <alignment wrapText="1"/>
    </xf>
    <xf numFmtId="170" fontId="2" fillId="0" borderId="21" xfId="43" applyNumberFormat="1" applyFont="1" applyFill="1" applyBorder="1"/>
    <xf numFmtId="0" fontId="0" fillId="0" borderId="13" xfId="0" applyFont="1" applyFill="1" applyBorder="1" applyAlignment="1">
      <alignment wrapText="1"/>
    </xf>
    <xf numFmtId="170" fontId="0" fillId="0" borderId="14" xfId="43" applyNumberFormat="1" applyFont="1" applyFill="1" applyBorder="1"/>
    <xf numFmtId="170" fontId="0" fillId="0" borderId="12" xfId="0" applyNumberFormat="1" applyBorder="1"/>
    <xf numFmtId="170" fontId="0" fillId="0" borderId="11" xfId="0" applyNumberFormat="1" applyBorder="1"/>
    <xf numFmtId="170" fontId="0" fillId="0" borderId="15" xfId="0" applyNumberFormat="1" applyBorder="1"/>
    <xf numFmtId="169" fontId="2" fillId="0" borderId="21" xfId="0" applyNumberFormat="1" applyFont="1" applyBorder="1" applyAlignment="1">
      <alignment horizontal="right"/>
    </xf>
    <xf numFmtId="3" fontId="2" fillId="0" borderId="13" xfId="0" applyNumberFormat="1" applyFont="1" applyBorder="1"/>
    <xf numFmtId="3" fontId="2" fillId="0" borderId="14" xfId="0" applyNumberFormat="1" applyFont="1" applyBorder="1"/>
    <xf numFmtId="169" fontId="2" fillId="0" borderId="0" xfId="0" applyNumberFormat="1" applyFont="1" applyFill="1" applyBorder="1" applyAlignment="1">
      <alignment horizontal="right" wrapText="1"/>
    </xf>
    <xf numFmtId="169" fontId="2" fillId="0" borderId="0" xfId="28" applyNumberFormat="1" applyFont="1" applyBorder="1"/>
    <xf numFmtId="169" fontId="10" fillId="0" borderId="0" xfId="0" applyNumberFormat="1" applyFont="1" applyFill="1" applyBorder="1"/>
    <xf numFmtId="169" fontId="2" fillId="0" borderId="18" xfId="28" applyNumberFormat="1" applyFont="1" applyFill="1" applyBorder="1"/>
    <xf numFmtId="169" fontId="2" fillId="0" borderId="21" xfId="0" applyNumberFormat="1" applyFont="1" applyFill="1" applyBorder="1" applyAlignment="1">
      <alignment horizontal="right" wrapText="1"/>
    </xf>
    <xf numFmtId="169" fontId="2" fillId="0" borderId="21" xfId="0" quotePrefix="1" applyNumberFormat="1" applyFont="1" applyFill="1" applyBorder="1" applyAlignment="1">
      <alignment horizontal="right" wrapText="1"/>
    </xf>
    <xf numFmtId="169" fontId="2" fillId="0" borderId="0" xfId="0" applyNumberFormat="1" applyFont="1" applyBorder="1" applyAlignment="1">
      <alignment horizontal="right" wrapText="1"/>
    </xf>
    <xf numFmtId="169" fontId="10" fillId="0" borderId="0" xfId="0" applyNumberFormat="1" applyFont="1" applyBorder="1"/>
    <xf numFmtId="169" fontId="1" fillId="0" borderId="0" xfId="0" applyNumberFormat="1" applyFont="1" applyBorder="1"/>
    <xf numFmtId="169" fontId="1" fillId="0" borderId="19" xfId="0" applyNumberFormat="1" applyFont="1" applyBorder="1"/>
    <xf numFmtId="169" fontId="1" fillId="0" borderId="21" xfId="0" applyNumberFormat="1" applyFont="1" applyFill="1" applyBorder="1" applyAlignment="1">
      <alignment horizontal="right" wrapText="1"/>
    </xf>
    <xf numFmtId="169" fontId="8" fillId="0" borderId="0" xfId="0" applyNumberFormat="1" applyFont="1" applyFill="1" applyBorder="1"/>
    <xf numFmtId="169" fontId="8" fillId="0" borderId="0" xfId="0" applyNumberFormat="1" applyFont="1" applyBorder="1"/>
    <xf numFmtId="169" fontId="2" fillId="0" borderId="0" xfId="0" applyNumberFormat="1" applyFont="1" applyBorder="1" applyAlignment="1">
      <alignment wrapText="1"/>
    </xf>
    <xf numFmtId="169" fontId="2" fillId="0" borderId="0" xfId="0" applyNumberFormat="1" applyFont="1" applyFill="1" applyBorder="1" applyAlignment="1">
      <alignment wrapText="1"/>
    </xf>
    <xf numFmtId="169" fontId="2" fillId="0" borderId="21" xfId="0" applyNumberFormat="1" applyFont="1" applyFill="1" applyBorder="1" applyAlignment="1">
      <alignment horizontal="right"/>
    </xf>
    <xf numFmtId="3" fontId="2" fillId="0" borderId="0" xfId="0" applyNumberFormat="1" applyFont="1" applyBorder="1" applyAlignment="1">
      <alignment wrapText="1"/>
    </xf>
    <xf numFmtId="3" fontId="2" fillId="0" borderId="0" xfId="0" applyNumberFormat="1" applyFont="1" applyFill="1" applyBorder="1" applyAlignment="1">
      <alignment wrapText="1"/>
    </xf>
    <xf numFmtId="169" fontId="2" fillId="0" borderId="0" xfId="0" applyNumberFormat="1" applyFont="1" applyFill="1" applyBorder="1" applyAlignment="1">
      <alignment horizontal="right"/>
    </xf>
    <xf numFmtId="169" fontId="1" fillId="0" borderId="0" xfId="0" applyNumberFormat="1" applyFont="1" applyFill="1" applyBorder="1"/>
    <xf numFmtId="169" fontId="2" fillId="0" borderId="0" xfId="0" applyNumberFormat="1" applyFont="1" applyBorder="1" applyAlignment="1">
      <alignment horizontal="centerContinuous"/>
    </xf>
    <xf numFmtId="169" fontId="2" fillId="0" borderId="0" xfId="0" applyNumberFormat="1" applyFont="1" applyFill="1"/>
    <xf numFmtId="3" fontId="2" fillId="0" borderId="0" xfId="0" applyNumberFormat="1" applyFont="1" applyFill="1"/>
    <xf numFmtId="169" fontId="2" fillId="0" borderId="19" xfId="0" applyNumberFormat="1" applyFont="1" applyFill="1" applyBorder="1" applyAlignment="1">
      <alignment horizontal="right"/>
    </xf>
    <xf numFmtId="3" fontId="2" fillId="0" borderId="19" xfId="0" applyNumberFormat="1" applyFont="1" applyBorder="1"/>
    <xf numFmtId="3" fontId="2" fillId="0" borderId="21" xfId="0" applyNumberFormat="1" applyFont="1" applyBorder="1"/>
    <xf numFmtId="4" fontId="2" fillId="0" borderId="13" xfId="0" applyNumberFormat="1" applyFont="1" applyBorder="1"/>
    <xf numFmtId="4" fontId="2" fillId="0" borderId="0" xfId="0" applyNumberFormat="1" applyFont="1" applyBorder="1"/>
    <xf numFmtId="4" fontId="2" fillId="0" borderId="16" xfId="0" applyNumberFormat="1" applyFont="1" applyBorder="1"/>
    <xf numFmtId="4" fontId="2" fillId="0" borderId="18" xfId="0" applyNumberFormat="1" applyFont="1" applyBorder="1"/>
    <xf numFmtId="3" fontId="2" fillId="0" borderId="12" xfId="0" applyNumberFormat="1" applyFont="1" applyFill="1" applyBorder="1"/>
    <xf numFmtId="3" fontId="0" fillId="0" borderId="0" xfId="0" applyNumberFormat="1"/>
    <xf numFmtId="3" fontId="2" fillId="0" borderId="21" xfId="28" applyNumberFormat="1" applyFont="1" applyBorder="1"/>
    <xf numFmtId="37" fontId="2" fillId="0" borderId="21" xfId="0" applyNumberFormat="1" applyFont="1" applyFill="1" applyBorder="1"/>
    <xf numFmtId="37" fontId="2" fillId="0" borderId="18" xfId="0" applyNumberFormat="1" applyFont="1" applyFill="1" applyBorder="1"/>
    <xf numFmtId="1" fontId="2" fillId="0" borderId="18" xfId="0" applyNumberFormat="1" applyFont="1" applyFill="1" applyBorder="1"/>
    <xf numFmtId="171" fontId="2" fillId="0" borderId="21" xfId="0" applyNumberFormat="1" applyFont="1" applyFill="1" applyBorder="1"/>
    <xf numFmtId="169" fontId="0" fillId="0" borderId="18" xfId="0" applyNumberFormat="1" applyFill="1" applyBorder="1"/>
    <xf numFmtId="0" fontId="2" fillId="19" borderId="0" xfId="0" applyFont="1" applyFill="1" applyBorder="1"/>
    <xf numFmtId="170" fontId="2" fillId="19" borderId="0" xfId="43" applyNumberFormat="1" applyFont="1" applyFill="1" applyBorder="1"/>
    <xf numFmtId="0" fontId="2" fillId="0" borderId="19" xfId="0" applyFont="1" applyBorder="1"/>
    <xf numFmtId="164" fontId="0" fillId="19" borderId="13" xfId="0" applyNumberFormat="1" applyFill="1" applyBorder="1" applyAlignment="1"/>
    <xf numFmtId="165" fontId="0" fillId="0" borderId="0" xfId="0" applyNumberFormat="1" applyFill="1"/>
    <xf numFmtId="0" fontId="0" fillId="0" borderId="17" xfId="0" applyBorder="1" applyAlignment="1">
      <alignment horizontal="center"/>
    </xf>
    <xf numFmtId="0" fontId="0" fillId="0" borderId="18" xfId="0" applyBorder="1" applyAlignment="1">
      <alignment horizontal="center"/>
    </xf>
    <xf numFmtId="9" fontId="0" fillId="0" borderId="14" xfId="43" applyFont="1" applyBorder="1"/>
    <xf numFmtId="9" fontId="2" fillId="22" borderId="17" xfId="43" applyFont="1" applyFill="1" applyBorder="1"/>
    <xf numFmtId="0" fontId="0" fillId="0" borderId="15" xfId="0" applyFill="1" applyBorder="1"/>
    <xf numFmtId="170" fontId="2" fillId="23" borderId="0" xfId="0" applyNumberFormat="1" applyFont="1" applyFill="1" applyBorder="1"/>
    <xf numFmtId="169" fontId="0" fillId="0" borderId="21" xfId="0" applyNumberFormat="1" applyFill="1" applyBorder="1"/>
    <xf numFmtId="3" fontId="0" fillId="0" borderId="13" xfId="0" applyNumberFormat="1" applyFill="1" applyBorder="1"/>
    <xf numFmtId="169" fontId="0" fillId="0" borderId="0" xfId="0" applyNumberFormat="1" applyFill="1" applyBorder="1" applyAlignment="1">
      <alignment horizontal="right"/>
    </xf>
    <xf numFmtId="0" fontId="2" fillId="0" borderId="19" xfId="0" applyFont="1" applyBorder="1" applyAlignment="1">
      <alignment horizontal="right"/>
    </xf>
    <xf numFmtId="0" fontId="2" fillId="0" borderId="20" xfId="0" applyFont="1" applyBorder="1" applyAlignment="1">
      <alignment horizontal="right"/>
    </xf>
    <xf numFmtId="170" fontId="2" fillId="0" borderId="16" xfId="43" applyNumberFormat="1" applyFont="1" applyBorder="1" applyAlignment="1">
      <alignment horizontal="right"/>
    </xf>
    <xf numFmtId="170" fontId="2" fillId="0" borderId="17" xfId="43" applyNumberFormat="1" applyFont="1" applyBorder="1" applyAlignment="1">
      <alignment horizontal="right"/>
    </xf>
    <xf numFmtId="0" fontId="2" fillId="0" borderId="17" xfId="0" applyFont="1" applyBorder="1"/>
    <xf numFmtId="169" fontId="2" fillId="0" borderId="17" xfId="28" applyNumberFormat="1" applyFont="1" applyFill="1" applyBorder="1"/>
    <xf numFmtId="0" fontId="1" fillId="0" borderId="16" xfId="0" applyFont="1" applyBorder="1"/>
    <xf numFmtId="0" fontId="1" fillId="0" borderId="19" xfId="0" applyFont="1" applyFill="1" applyBorder="1" applyAlignment="1">
      <alignment wrapText="1"/>
    </xf>
    <xf numFmtId="0" fontId="1" fillId="0" borderId="16" xfId="0" applyFont="1" applyFill="1" applyBorder="1"/>
    <xf numFmtId="0" fontId="0" fillId="0" borderId="13" xfId="0" applyFont="1" applyFill="1" applyBorder="1"/>
    <xf numFmtId="164" fontId="2" fillId="19" borderId="18" xfId="28" applyNumberFormat="1" applyFont="1" applyFill="1" applyBorder="1"/>
    <xf numFmtId="164" fontId="2" fillId="0" borderId="19" xfId="0" applyNumberFormat="1" applyFont="1" applyFill="1" applyBorder="1"/>
    <xf numFmtId="170" fontId="2" fillId="0" borderId="16" xfId="43" applyNumberFormat="1" applyFont="1" applyFill="1" applyBorder="1"/>
    <xf numFmtId="170" fontId="2" fillId="0" borderId="13" xfId="43" applyNumberFormat="1" applyFont="1" applyBorder="1"/>
    <xf numFmtId="171" fontId="2" fillId="0" borderId="13" xfId="28" applyNumberFormat="1" applyFont="1" applyBorder="1"/>
    <xf numFmtId="164" fontId="2" fillId="0" borderId="16" xfId="28" applyNumberFormat="1" applyFont="1" applyBorder="1"/>
    <xf numFmtId="3" fontId="2" fillId="0" borderId="16" xfId="0" applyNumberFormat="1" applyFont="1" applyFill="1" applyBorder="1"/>
    <xf numFmtId="0" fontId="2" fillId="0" borderId="18" xfId="0" applyFont="1" applyBorder="1"/>
    <xf numFmtId="0" fontId="1" fillId="0" borderId="21" xfId="0" applyFont="1" applyFill="1" applyBorder="1" applyAlignment="1">
      <alignment horizontal="right" wrapText="1"/>
    </xf>
    <xf numFmtId="0" fontId="1" fillId="0" borderId="19" xfId="0" applyFont="1" applyFill="1" applyBorder="1" applyAlignment="1">
      <alignment horizontal="right" wrapText="1"/>
    </xf>
    <xf numFmtId="0" fontId="1" fillId="0" borderId="20" xfId="0" applyFont="1" applyFill="1" applyBorder="1" applyAlignment="1">
      <alignment horizontal="right" wrapText="1"/>
    </xf>
    <xf numFmtId="169" fontId="2" fillId="0" borderId="20" xfId="0" applyNumberFormat="1" applyFont="1" applyFill="1" applyBorder="1" applyAlignment="1">
      <alignment horizontal="right"/>
    </xf>
    <xf numFmtId="3" fontId="2" fillId="0" borderId="20" xfId="0" applyNumberFormat="1" applyFont="1" applyFill="1" applyBorder="1" applyAlignment="1">
      <alignment horizontal="right"/>
    </xf>
    <xf numFmtId="169" fontId="0" fillId="0" borderId="20" xfId="0" applyNumberFormat="1" applyFont="1" applyFill="1" applyBorder="1" applyAlignment="1">
      <alignment horizontal="right"/>
    </xf>
    <xf numFmtId="164" fontId="2" fillId="0" borderId="11" xfId="0" applyNumberFormat="1" applyFont="1" applyFill="1" applyBorder="1" applyAlignment="1">
      <alignment horizontal="right"/>
    </xf>
    <xf numFmtId="169" fontId="0" fillId="0" borderId="11" xfId="0" applyNumberFormat="1" applyFont="1" applyFill="1" applyBorder="1" applyAlignment="1">
      <alignment horizontal="right"/>
    </xf>
    <xf numFmtId="3" fontId="2" fillId="0" borderId="21" xfId="0" applyNumberFormat="1" applyFont="1" applyFill="1" applyBorder="1" applyAlignment="1">
      <alignment horizontal="right"/>
    </xf>
    <xf numFmtId="169" fontId="2" fillId="0" borderId="11" xfId="0" applyNumberFormat="1" applyFont="1" applyFill="1" applyBorder="1" applyAlignment="1">
      <alignment horizontal="right"/>
    </xf>
    <xf numFmtId="3" fontId="2" fillId="0" borderId="11" xfId="0" applyNumberFormat="1" applyFont="1" applyFill="1" applyBorder="1" applyAlignment="1">
      <alignment horizontal="right"/>
    </xf>
    <xf numFmtId="170" fontId="2" fillId="0" borderId="16" xfId="0" applyNumberFormat="1" applyFont="1" applyBorder="1" applyAlignment="1">
      <alignment horizontal="right"/>
    </xf>
    <xf numFmtId="170" fontId="2" fillId="0" borderId="18" xfId="0" applyNumberFormat="1" applyFont="1" applyBorder="1" applyAlignment="1">
      <alignment horizontal="right"/>
    </xf>
    <xf numFmtId="170" fontId="2" fillId="0" borderId="17" xfId="0" applyNumberFormat="1" applyFont="1" applyBorder="1" applyAlignment="1">
      <alignment horizontal="right"/>
    </xf>
    <xf numFmtId="3" fontId="2" fillId="0" borderId="14" xfId="0" applyNumberFormat="1" applyFont="1" applyFill="1" applyBorder="1" applyAlignment="1">
      <alignment horizontal="right" wrapText="1"/>
    </xf>
    <xf numFmtId="169" fontId="2" fillId="0" borderId="14" xfId="0" applyNumberFormat="1" applyFont="1" applyFill="1" applyBorder="1" applyAlignment="1">
      <alignment horizontal="right" wrapText="1"/>
    </xf>
    <xf numFmtId="0" fontId="0" fillId="0" borderId="11" xfId="0" applyFont="1" applyFill="1" applyBorder="1"/>
    <xf numFmtId="169" fontId="2" fillId="0" borderId="20" xfId="0" applyNumberFormat="1" applyFont="1" applyFill="1" applyBorder="1" applyAlignment="1">
      <alignment horizontal="right" wrapText="1"/>
    </xf>
    <xf numFmtId="166" fontId="2" fillId="0" borderId="20" xfId="28" applyNumberFormat="1" applyFont="1" applyFill="1" applyBorder="1"/>
    <xf numFmtId="171" fontId="2" fillId="0" borderId="0" xfId="28" applyNumberFormat="1" applyFont="1" applyFill="1" applyBorder="1"/>
    <xf numFmtId="166" fontId="2" fillId="0" borderId="21" xfId="28" applyNumberFormat="1" applyFont="1" applyFill="1" applyBorder="1"/>
    <xf numFmtId="171" fontId="2" fillId="0" borderId="13" xfId="28" applyNumberFormat="1" applyFont="1" applyFill="1" applyBorder="1"/>
    <xf numFmtId="166" fontId="2" fillId="0" borderId="19" xfId="28" applyNumberFormat="1" applyFont="1" applyFill="1" applyBorder="1"/>
    <xf numFmtId="0" fontId="2" fillId="0" borderId="14" xfId="0" applyNumberFormat="1" applyFont="1" applyBorder="1"/>
    <xf numFmtId="0" fontId="2" fillId="0" borderId="14" xfId="0" applyNumberFormat="1" applyFont="1" applyFill="1" applyBorder="1"/>
    <xf numFmtId="0" fontId="2" fillId="0" borderId="20" xfId="0" applyNumberFormat="1" applyFont="1" applyFill="1" applyBorder="1"/>
    <xf numFmtId="0" fontId="2" fillId="0" borderId="13" xfId="0" applyFont="1" applyBorder="1" applyAlignment="1">
      <alignment wrapText="1"/>
    </xf>
    <xf numFmtId="0" fontId="2" fillId="0" borderId="16" xfId="0" applyFont="1" applyBorder="1" applyAlignment="1">
      <alignment wrapText="1"/>
    </xf>
    <xf numFmtId="164" fontId="2" fillId="0" borderId="12" xfId="0" applyNumberFormat="1" applyFont="1" applyFill="1" applyBorder="1" applyAlignment="1">
      <alignment horizontal="right"/>
    </xf>
    <xf numFmtId="169" fontId="1" fillId="0" borderId="19" xfId="0" applyNumberFormat="1" applyFont="1" applyFill="1" applyBorder="1"/>
    <xf numFmtId="0" fontId="2" fillId="0" borderId="13" xfId="0" applyFont="1" applyFill="1" applyBorder="1" applyAlignment="1">
      <alignment horizontal="right"/>
    </xf>
    <xf numFmtId="0" fontId="2" fillId="0" borderId="16" xfId="0" applyFont="1" applyFill="1" applyBorder="1" applyAlignment="1">
      <alignment horizontal="right"/>
    </xf>
    <xf numFmtId="0" fontId="2" fillId="0" borderId="11" xfId="0" applyFont="1" applyFill="1" applyBorder="1"/>
    <xf numFmtId="3" fontId="2" fillId="0" borderId="20" xfId="0" applyNumberFormat="1" applyFont="1" applyFill="1" applyBorder="1" applyAlignment="1">
      <alignment horizontal="right" wrapText="1"/>
    </xf>
    <xf numFmtId="169" fontId="2" fillId="0" borderId="12" xfId="0" applyNumberFormat="1" applyFont="1" applyFill="1" applyBorder="1" applyAlignment="1">
      <alignment horizontal="right" wrapText="1"/>
    </xf>
    <xf numFmtId="169" fontId="2" fillId="0" borderId="15" xfId="0" applyNumberFormat="1" applyFont="1" applyFill="1" applyBorder="1" applyAlignment="1">
      <alignment horizontal="right" wrapText="1"/>
    </xf>
    <xf numFmtId="166" fontId="2" fillId="0" borderId="14" xfId="28" applyNumberFormat="1" applyFont="1" applyFill="1" applyBorder="1"/>
    <xf numFmtId="0" fontId="2" fillId="0" borderId="17" xfId="0" applyFont="1" applyFill="1" applyBorder="1"/>
    <xf numFmtId="0" fontId="1" fillId="0" borderId="11" xfId="0" applyFont="1" applyFill="1" applyBorder="1" applyAlignment="1">
      <alignment horizontal="right" wrapText="1"/>
    </xf>
    <xf numFmtId="169" fontId="2" fillId="0" borderId="13" xfId="0" applyNumberFormat="1" applyFont="1" applyFill="1" applyBorder="1" applyAlignment="1">
      <alignment horizontal="right"/>
    </xf>
    <xf numFmtId="169" fontId="2" fillId="0" borderId="14" xfId="0" applyNumberFormat="1" applyFont="1" applyFill="1" applyBorder="1" applyAlignment="1">
      <alignment horizontal="right"/>
    </xf>
    <xf numFmtId="164" fontId="2" fillId="0" borderId="11" xfId="0" applyNumberFormat="1" applyFont="1" applyFill="1" applyBorder="1"/>
    <xf numFmtId="169" fontId="2" fillId="0" borderId="13" xfId="28" applyNumberFormat="1" applyFont="1" applyBorder="1"/>
    <xf numFmtId="177" fontId="0" fillId="0" borderId="13" xfId="0" applyNumberFormat="1" applyBorder="1"/>
    <xf numFmtId="177" fontId="0" fillId="0" borderId="14" xfId="0" applyNumberFormat="1" applyBorder="1"/>
    <xf numFmtId="177" fontId="0" fillId="0" borderId="0" xfId="0" applyNumberFormat="1" applyBorder="1"/>
    <xf numFmtId="177" fontId="2" fillId="0" borderId="0" xfId="28" applyNumberFormat="1" applyFont="1" applyFill="1" applyBorder="1"/>
    <xf numFmtId="177" fontId="2" fillId="0" borderId="0" xfId="0" applyNumberFormat="1" applyFont="1" applyFill="1" applyBorder="1"/>
    <xf numFmtId="177" fontId="2" fillId="0" borderId="13" xfId="28" applyNumberFormat="1" applyFont="1" applyFill="1" applyBorder="1"/>
    <xf numFmtId="177" fontId="2" fillId="0" borderId="14" xfId="0" applyNumberFormat="1" applyFont="1" applyFill="1" applyBorder="1"/>
    <xf numFmtId="177" fontId="2" fillId="0" borderId="0" xfId="0" applyNumberFormat="1" applyFont="1" applyBorder="1"/>
    <xf numFmtId="177" fontId="2" fillId="0" borderId="13" xfId="28" applyNumberFormat="1" applyFont="1" applyBorder="1"/>
    <xf numFmtId="177" fontId="2" fillId="0" borderId="14" xfId="0" applyNumberFormat="1" applyFont="1" applyBorder="1"/>
    <xf numFmtId="177" fontId="2" fillId="0" borderId="0" xfId="28" applyNumberFormat="1" applyFont="1" applyBorder="1"/>
    <xf numFmtId="177" fontId="0" fillId="0" borderId="0" xfId="0" applyNumberFormat="1" applyFill="1" applyBorder="1"/>
    <xf numFmtId="177" fontId="0" fillId="0" borderId="13" xfId="0" applyNumberFormat="1" applyFill="1" applyBorder="1"/>
    <xf numFmtId="177" fontId="0" fillId="0" borderId="14" xfId="0" applyNumberFormat="1" applyFill="1" applyBorder="1"/>
    <xf numFmtId="1" fontId="0" fillId="0" borderId="0" xfId="0" applyNumberFormat="1"/>
    <xf numFmtId="1" fontId="0" fillId="0" borderId="0" xfId="0" applyNumberFormat="1" applyFill="1" applyBorder="1"/>
    <xf numFmtId="164" fontId="2" fillId="19" borderId="14" xfId="0" applyNumberFormat="1" applyFont="1" applyFill="1" applyBorder="1"/>
    <xf numFmtId="166" fontId="2" fillId="0" borderId="0" xfId="28" applyNumberFormat="1" applyFont="1" applyBorder="1"/>
    <xf numFmtId="0" fontId="0" fillId="0" borderId="16" xfId="0" applyFont="1" applyBorder="1"/>
    <xf numFmtId="166" fontId="2" fillId="0" borderId="18" xfId="28" applyNumberFormat="1" applyFont="1" applyBorder="1"/>
    <xf numFmtId="171" fontId="2" fillId="19" borderId="18" xfId="28" applyNumberFormat="1" applyFont="1" applyFill="1" applyBorder="1"/>
    <xf numFmtId="171" fontId="2" fillId="0" borderId="16" xfId="28" applyNumberFormat="1" applyFont="1" applyFill="1" applyBorder="1"/>
    <xf numFmtId="171" fontId="2" fillId="0" borderId="13" xfId="0" applyNumberFormat="1" applyFont="1" applyFill="1" applyBorder="1"/>
    <xf numFmtId="0" fontId="2" fillId="19" borderId="14" xfId="0" applyFont="1" applyFill="1" applyBorder="1"/>
    <xf numFmtId="166" fontId="2" fillId="0" borderId="16" xfId="28" applyNumberFormat="1" applyFont="1" applyFill="1" applyBorder="1"/>
    <xf numFmtId="166" fontId="2" fillId="0" borderId="17" xfId="28" applyNumberFormat="1" applyFont="1" applyBorder="1"/>
    <xf numFmtId="171" fontId="2" fillId="0" borderId="16" xfId="28" applyNumberFormat="1" applyFont="1" applyBorder="1"/>
    <xf numFmtId="171" fontId="2" fillId="0" borderId="13" xfId="0" applyNumberFormat="1" applyFont="1" applyBorder="1"/>
    <xf numFmtId="166" fontId="2" fillId="0" borderId="13" xfId="28" applyNumberFormat="1" applyFont="1" applyFill="1" applyBorder="1"/>
    <xf numFmtId="0" fontId="1" fillId="0" borderId="21" xfId="0" applyFont="1" applyBorder="1" applyAlignment="1">
      <alignment horizontal="right" wrapText="1"/>
    </xf>
    <xf numFmtId="164" fontId="2" fillId="0" borderId="14" xfId="28" applyNumberFormat="1" applyFont="1" applyFill="1" applyBorder="1"/>
    <xf numFmtId="164" fontId="2" fillId="0" borderId="11" xfId="0" applyNumberFormat="1" applyFont="1" applyBorder="1" applyAlignment="1">
      <alignment horizontal="right"/>
    </xf>
    <xf numFmtId="3" fontId="2" fillId="0" borderId="12" xfId="0" applyNumberFormat="1" applyFont="1" applyBorder="1"/>
    <xf numFmtId="170" fontId="2" fillId="0" borderId="14" xfId="43" applyNumberFormat="1" applyFont="1" applyBorder="1"/>
    <xf numFmtId="170" fontId="2" fillId="0" borderId="17" xfId="43" applyNumberFormat="1" applyFont="1" applyBorder="1"/>
    <xf numFmtId="169" fontId="0" fillId="0" borderId="16" xfId="0" applyNumberFormat="1" applyFont="1" applyBorder="1"/>
    <xf numFmtId="169" fontId="0" fillId="0" borderId="13" xfId="0" applyNumberFormat="1" applyFont="1" applyFill="1" applyBorder="1"/>
    <xf numFmtId="0" fontId="2" fillId="0" borderId="18" xfId="0" applyFont="1" applyFill="1" applyBorder="1"/>
    <xf numFmtId="169" fontId="2" fillId="0" borderId="16" xfId="28" applyNumberFormat="1" applyFont="1" applyFill="1" applyBorder="1"/>
    <xf numFmtId="3" fontId="2" fillId="0" borderId="17" xfId="0" applyNumberFormat="1" applyFont="1" applyFill="1" applyBorder="1"/>
    <xf numFmtId="169" fontId="0" fillId="0" borderId="13" xfId="0" applyNumberFormat="1" applyFont="1" applyBorder="1"/>
    <xf numFmtId="169" fontId="2" fillId="0" borderId="11" xfId="0" applyNumberFormat="1" applyFont="1" applyBorder="1" applyAlignment="1">
      <alignment horizontal="right"/>
    </xf>
    <xf numFmtId="169" fontId="2" fillId="0" borderId="19" xfId="0" applyNumberFormat="1" applyFont="1" applyBorder="1" applyAlignment="1">
      <alignment horizontal="right"/>
    </xf>
    <xf numFmtId="3" fontId="2" fillId="0" borderId="15" xfId="0" applyNumberFormat="1" applyFont="1" applyFill="1" applyBorder="1"/>
    <xf numFmtId="0" fontId="1" fillId="0" borderId="14" xfId="0" applyFont="1" applyBorder="1" applyAlignment="1">
      <alignment horizontal="right" textRotation="90" wrapText="1"/>
    </xf>
    <xf numFmtId="169" fontId="1" fillId="0" borderId="13" xfId="0" applyNumberFormat="1" applyFont="1" applyFill="1" applyBorder="1"/>
    <xf numFmtId="169" fontId="1" fillId="0" borderId="19" xfId="0" applyNumberFormat="1" applyFont="1" applyFill="1" applyBorder="1" applyAlignment="1">
      <alignment horizontal="right" wrapText="1"/>
    </xf>
    <xf numFmtId="169" fontId="1" fillId="0" borderId="20" xfId="0" applyNumberFormat="1" applyFont="1" applyFill="1" applyBorder="1" applyAlignment="1">
      <alignment horizontal="right" wrapText="1"/>
    </xf>
    <xf numFmtId="169" fontId="2" fillId="0" borderId="19" xfId="0" applyNumberFormat="1" applyFont="1" applyFill="1" applyBorder="1" applyAlignment="1">
      <alignment horizontal="right" wrapText="1"/>
    </xf>
    <xf numFmtId="169" fontId="2" fillId="0" borderId="12" xfId="0" applyNumberFormat="1" applyFont="1" applyFill="1" applyBorder="1" applyAlignment="1">
      <alignment horizontal="right"/>
    </xf>
    <xf numFmtId="0" fontId="1" fillId="0" borderId="13" xfId="0" applyFont="1" applyBorder="1" applyAlignment="1">
      <alignment horizontal="right" textRotation="90" wrapText="1"/>
    </xf>
    <xf numFmtId="2" fontId="2" fillId="0" borderId="14" xfId="0" applyNumberFormat="1" applyFont="1" applyFill="1" applyBorder="1"/>
    <xf numFmtId="3" fontId="2" fillId="0" borderId="17" xfId="28" applyNumberFormat="1" applyFont="1" applyBorder="1"/>
    <xf numFmtId="169" fontId="2" fillId="0" borderId="0" xfId="0" applyNumberFormat="1" applyFont="1" applyBorder="1" applyAlignment="1">
      <alignment horizontal="right"/>
    </xf>
    <xf numFmtId="169" fontId="2" fillId="0" borderId="13" xfId="0" applyNumberFormat="1" applyFont="1" applyBorder="1" applyAlignment="1">
      <alignment horizontal="right" wrapText="1"/>
    </xf>
    <xf numFmtId="169" fontId="2" fillId="0" borderId="12" xfId="0" applyNumberFormat="1" applyFont="1" applyBorder="1" applyAlignment="1">
      <alignment horizontal="right"/>
    </xf>
    <xf numFmtId="169" fontId="1" fillId="0" borderId="19" xfId="0" applyNumberFormat="1" applyFont="1" applyBorder="1" applyAlignment="1">
      <alignment horizontal="right" wrapText="1"/>
    </xf>
    <xf numFmtId="169" fontId="2" fillId="0" borderId="13" xfId="0" applyNumberFormat="1" applyFont="1" applyBorder="1" applyAlignment="1">
      <alignment horizontal="right"/>
    </xf>
    <xf numFmtId="169" fontId="0" fillId="0" borderId="16" xfId="0" applyNumberFormat="1" applyFont="1" applyFill="1" applyBorder="1"/>
    <xf numFmtId="0" fontId="10" fillId="0" borderId="19" xfId="0" applyFont="1" applyFill="1" applyBorder="1"/>
    <xf numFmtId="0" fontId="2" fillId="0" borderId="20" xfId="0" quotePrefix="1" applyFont="1" applyFill="1" applyBorder="1" applyAlignment="1">
      <alignment horizontal="right" wrapText="1"/>
    </xf>
    <xf numFmtId="0" fontId="1" fillId="0" borderId="13" xfId="0" applyFont="1" applyFill="1" applyBorder="1" applyAlignment="1">
      <alignment horizontal="right" wrapText="1"/>
    </xf>
    <xf numFmtId="0" fontId="1" fillId="0" borderId="14" xfId="0" applyFont="1" applyFill="1" applyBorder="1" applyAlignment="1">
      <alignment horizontal="right" wrapText="1"/>
    </xf>
    <xf numFmtId="169" fontId="2" fillId="0" borderId="18" xfId="28" applyNumberFormat="1" applyFont="1" applyBorder="1"/>
    <xf numFmtId="169" fontId="1" fillId="0" borderId="13" xfId="0" applyNumberFormat="1" applyFont="1" applyBorder="1" applyAlignment="1">
      <alignment horizontal="right" wrapText="1"/>
    </xf>
    <xf numFmtId="169" fontId="2" fillId="0" borderId="19" xfId="0" applyNumberFormat="1" applyFont="1" applyBorder="1" applyAlignment="1">
      <alignment horizontal="right" wrapText="1"/>
    </xf>
    <xf numFmtId="169" fontId="2" fillId="0" borderId="12" xfId="28" applyNumberFormat="1" applyFont="1" applyFill="1" applyBorder="1"/>
    <xf numFmtId="170" fontId="2" fillId="0" borderId="16" xfId="0" applyNumberFormat="1" applyFont="1" applyFill="1" applyBorder="1" applyAlignment="1">
      <alignment horizontal="right"/>
    </xf>
    <xf numFmtId="170" fontId="2" fillId="0" borderId="18" xfId="0" applyNumberFormat="1" applyFont="1" applyFill="1" applyBorder="1" applyAlignment="1">
      <alignment horizontal="right"/>
    </xf>
    <xf numFmtId="170" fontId="2" fillId="0" borderId="17" xfId="0" applyNumberFormat="1" applyFont="1" applyFill="1" applyBorder="1" applyAlignment="1">
      <alignment horizontal="right"/>
    </xf>
    <xf numFmtId="0" fontId="1" fillId="0" borderId="19" xfId="0" applyNumberFormat="1" applyFont="1" applyFill="1" applyBorder="1"/>
    <xf numFmtId="170" fontId="2" fillId="0" borderId="19" xfId="43" applyNumberFormat="1" applyFont="1" applyFill="1" applyBorder="1"/>
    <xf numFmtId="164" fontId="2" fillId="0" borderId="18" xfId="43" applyNumberFormat="1" applyFont="1" applyFill="1" applyBorder="1" applyAlignment="1"/>
    <xf numFmtId="0" fontId="2" fillId="0" borderId="19" xfId="0" applyNumberFormat="1" applyFont="1" applyFill="1" applyBorder="1"/>
    <xf numFmtId="0" fontId="2" fillId="0" borderId="13" xfId="0" applyNumberFormat="1" applyFont="1" applyFill="1" applyBorder="1"/>
    <xf numFmtId="0" fontId="2" fillId="0" borderId="16" xfId="0" applyNumberFormat="1" applyFont="1" applyFill="1" applyBorder="1"/>
    <xf numFmtId="0" fontId="1" fillId="0" borderId="11" xfId="0" applyNumberFormat="1" applyFont="1" applyFill="1" applyBorder="1"/>
    <xf numFmtId="0" fontId="1" fillId="0" borderId="12" xfId="0" applyNumberFormat="1" applyFont="1" applyFill="1" applyBorder="1"/>
    <xf numFmtId="0" fontId="1" fillId="0" borderId="11" xfId="0" applyNumberFormat="1" applyFont="1" applyFill="1" applyBorder="1" applyAlignment="1">
      <alignment wrapText="1"/>
    </xf>
    <xf numFmtId="0" fontId="2" fillId="0" borderId="12" xfId="0" applyNumberFormat="1" applyFont="1" applyFill="1" applyBorder="1"/>
    <xf numFmtId="0" fontId="2" fillId="0" borderId="15" xfId="0" applyNumberFormat="1" applyFont="1" applyFill="1" applyBorder="1"/>
    <xf numFmtId="169" fontId="0" fillId="0" borderId="12" xfId="0" applyNumberFormat="1" applyFont="1" applyFill="1" applyBorder="1"/>
    <xf numFmtId="169" fontId="1" fillId="0" borderId="11" xfId="0" applyNumberFormat="1" applyFont="1" applyFill="1" applyBorder="1"/>
    <xf numFmtId="3" fontId="2" fillId="0" borderId="15" xfId="0" applyNumberFormat="1" applyFont="1" applyBorder="1"/>
    <xf numFmtId="169" fontId="1" fillId="0" borderId="12" xfId="0" applyNumberFormat="1" applyFont="1" applyFill="1" applyBorder="1"/>
    <xf numFmtId="164" fontId="2" fillId="0" borderId="16" xfId="43" applyNumberFormat="1" applyFont="1" applyFill="1" applyBorder="1"/>
    <xf numFmtId="164" fontId="2" fillId="0" borderId="17" xfId="43" applyNumberFormat="1" applyFont="1" applyFill="1" applyBorder="1"/>
    <xf numFmtId="169" fontId="2" fillId="0" borderId="16" xfId="28" applyNumberFormat="1" applyFont="1" applyBorder="1"/>
    <xf numFmtId="169" fontId="1" fillId="0" borderId="21" xfId="0" applyNumberFormat="1" applyFont="1" applyBorder="1" applyAlignment="1">
      <alignment horizontal="right" wrapText="1"/>
    </xf>
    <xf numFmtId="169" fontId="2" fillId="0" borderId="20" xfId="0" applyNumberFormat="1" applyFont="1" applyBorder="1" applyAlignment="1">
      <alignment horizontal="right" wrapText="1"/>
    </xf>
    <xf numFmtId="169" fontId="1" fillId="0" borderId="20" xfId="0" applyNumberFormat="1" applyFont="1" applyBorder="1"/>
    <xf numFmtId="169" fontId="2" fillId="0" borderId="11" xfId="0" applyNumberFormat="1" applyFont="1" applyBorder="1" applyAlignment="1">
      <alignment horizontal="right" wrapText="1"/>
    </xf>
    <xf numFmtId="3" fontId="2" fillId="22" borderId="0" xfId="0" applyNumberFormat="1" applyFont="1" applyFill="1" applyBorder="1"/>
    <xf numFmtId="169" fontId="2" fillId="0" borderId="14" xfId="28" applyNumberFormat="1" applyFont="1" applyBorder="1"/>
    <xf numFmtId="3" fontId="2" fillId="0" borderId="18" xfId="28" applyNumberFormat="1" applyFont="1" applyBorder="1"/>
    <xf numFmtId="164" fontId="0" fillId="0" borderId="12" xfId="0" applyNumberFormat="1" applyBorder="1"/>
    <xf numFmtId="164" fontId="0" fillId="0" borderId="15" xfId="0" applyNumberFormat="1" applyBorder="1"/>
    <xf numFmtId="174" fontId="2" fillId="0" borderId="18" xfId="0" applyNumberFormat="1" applyFont="1" applyFill="1" applyBorder="1"/>
    <xf numFmtId="165" fontId="2" fillId="0" borderId="14" xfId="0" applyNumberFormat="1" applyFont="1" applyFill="1" applyBorder="1"/>
    <xf numFmtId="2" fontId="2" fillId="0" borderId="0" xfId="43" applyNumberFormat="1" applyFont="1" applyFill="1" applyBorder="1"/>
    <xf numFmtId="165" fontId="2" fillId="0" borderId="13" xfId="0" applyNumberFormat="1" applyFont="1" applyFill="1" applyBorder="1"/>
    <xf numFmtId="2" fontId="2" fillId="0" borderId="13" xfId="43" applyNumberFormat="1" applyFont="1" applyFill="1" applyBorder="1"/>
    <xf numFmtId="169" fontId="0" fillId="0" borderId="14" xfId="0" applyNumberFormat="1" applyFont="1" applyFill="1" applyBorder="1" applyAlignment="1">
      <alignment horizontal="right"/>
    </xf>
    <xf numFmtId="169" fontId="2" fillId="0" borderId="19" xfId="0" applyNumberFormat="1" applyFont="1" applyFill="1" applyBorder="1" applyAlignment="1">
      <alignment horizontal="center" wrapText="1"/>
    </xf>
    <xf numFmtId="169" fontId="0" fillId="0" borderId="14" xfId="0" applyNumberFormat="1" applyFont="1" applyFill="1" applyBorder="1"/>
    <xf numFmtId="169" fontId="1" fillId="0" borderId="13" xfId="0" applyNumberFormat="1" applyFont="1" applyBorder="1"/>
    <xf numFmtId="170" fontId="2" fillId="19" borderId="13" xfId="43" applyNumberFormat="1" applyFont="1" applyFill="1" applyBorder="1"/>
    <xf numFmtId="170" fontId="2" fillId="0" borderId="14" xfId="0" applyNumberFormat="1" applyFont="1" applyBorder="1"/>
    <xf numFmtId="170" fontId="2" fillId="0" borderId="17" xfId="0" applyNumberFormat="1" applyFont="1" applyBorder="1"/>
    <xf numFmtId="170" fontId="2" fillId="0" borderId="0" xfId="0" applyNumberFormat="1" applyFont="1" applyFill="1" applyBorder="1"/>
    <xf numFmtId="170" fontId="2" fillId="0" borderId="18" xfId="0" applyNumberFormat="1" applyFont="1" applyFill="1" applyBorder="1"/>
    <xf numFmtId="3" fontId="2" fillId="22" borderId="13" xfId="0" applyNumberFormat="1" applyFont="1" applyFill="1" applyBorder="1"/>
    <xf numFmtId="170" fontId="2" fillId="0" borderId="14" xfId="0" applyNumberFormat="1" applyFont="1" applyFill="1" applyBorder="1"/>
    <xf numFmtId="170" fontId="2" fillId="0" borderId="17" xfId="0" applyNumberFormat="1" applyFont="1" applyFill="1" applyBorder="1"/>
    <xf numFmtId="170" fontId="2" fillId="0" borderId="11" xfId="43" applyNumberFormat="1" applyFont="1" applyFill="1" applyBorder="1"/>
    <xf numFmtId="170" fontId="2" fillId="0" borderId="15" xfId="43" applyNumberFormat="1" applyFont="1" applyFill="1" applyBorder="1"/>
    <xf numFmtId="169" fontId="2" fillId="0" borderId="14" xfId="0" applyNumberFormat="1" applyFont="1" applyFill="1" applyBorder="1" applyAlignment="1">
      <alignment wrapText="1"/>
    </xf>
    <xf numFmtId="169" fontId="2" fillId="0" borderId="17" xfId="0" applyNumberFormat="1" applyFont="1" applyFill="1" applyBorder="1" applyAlignment="1">
      <alignment wrapText="1"/>
    </xf>
    <xf numFmtId="3" fontId="2" fillId="0" borderId="14" xfId="28" applyNumberFormat="1" applyFont="1" applyFill="1" applyBorder="1" applyAlignment="1">
      <alignment wrapText="1"/>
    </xf>
    <xf numFmtId="169" fontId="2" fillId="0" borderId="13" xfId="0" applyNumberFormat="1" applyFont="1" applyFill="1" applyBorder="1" applyAlignment="1">
      <alignment horizontal="right" wrapText="1"/>
    </xf>
    <xf numFmtId="169" fontId="2" fillId="0" borderId="20" xfId="0" applyNumberFormat="1" applyFont="1" applyFill="1" applyBorder="1" applyAlignment="1">
      <alignment wrapText="1"/>
    </xf>
    <xf numFmtId="169" fontId="1" fillId="0" borderId="21" xfId="0" applyNumberFormat="1" applyFont="1" applyFill="1" applyBorder="1" applyAlignment="1">
      <alignment horizontal="right"/>
    </xf>
    <xf numFmtId="169" fontId="1" fillId="0" borderId="20" xfId="0" applyNumberFormat="1" applyFont="1" applyFill="1" applyBorder="1" applyAlignment="1">
      <alignment horizontal="right"/>
    </xf>
    <xf numFmtId="0" fontId="1" fillId="0" borderId="19" xfId="0" applyFont="1" applyFill="1" applyBorder="1" applyAlignment="1">
      <alignment horizontal="right"/>
    </xf>
    <xf numFmtId="0" fontId="2" fillId="0" borderId="19" xfId="0" applyFont="1" applyFill="1" applyBorder="1" applyAlignment="1">
      <alignment horizontal="right"/>
    </xf>
    <xf numFmtId="170" fontId="2" fillId="0" borderId="20" xfId="0" applyNumberFormat="1" applyFont="1" applyFill="1" applyBorder="1" applyAlignment="1">
      <alignment horizontal="right"/>
    </xf>
    <xf numFmtId="170" fontId="2" fillId="0" borderId="14" xfId="0" applyNumberFormat="1" applyFont="1" applyFill="1" applyBorder="1" applyAlignment="1">
      <alignment horizontal="right"/>
    </xf>
    <xf numFmtId="0" fontId="2" fillId="0" borderId="20" xfId="0" applyFont="1" applyFill="1" applyBorder="1" applyAlignment="1">
      <alignment horizontal="right"/>
    </xf>
    <xf numFmtId="0" fontId="2" fillId="0" borderId="13" xfId="0" applyFont="1" applyBorder="1" applyAlignment="1">
      <alignment horizontal="right"/>
    </xf>
    <xf numFmtId="0" fontId="2" fillId="0" borderId="16" xfId="0" applyFont="1" applyBorder="1" applyAlignment="1">
      <alignment horizontal="right"/>
    </xf>
    <xf numFmtId="169" fontId="2" fillId="22" borderId="14" xfId="0" applyNumberFormat="1" applyFont="1" applyFill="1" applyBorder="1"/>
    <xf numFmtId="169" fontId="2" fillId="0" borderId="11" xfId="0" applyNumberFormat="1" applyFont="1" applyFill="1" applyBorder="1" applyAlignment="1">
      <alignment horizontal="right" wrapText="1"/>
    </xf>
    <xf numFmtId="169" fontId="2" fillId="0" borderId="0" xfId="28" applyNumberFormat="1" applyFont="1" applyFill="1" applyBorder="1" applyAlignment="1">
      <alignment horizontal="right"/>
    </xf>
    <xf numFmtId="169" fontId="1" fillId="0" borderId="20" xfId="0" applyNumberFormat="1" applyFont="1" applyBorder="1" applyAlignment="1">
      <alignment horizontal="right" wrapText="1"/>
    </xf>
    <xf numFmtId="3" fontId="2" fillId="0" borderId="20" xfId="0" applyNumberFormat="1" applyFont="1" applyBorder="1"/>
    <xf numFmtId="4" fontId="2" fillId="0" borderId="14" xfId="0" applyNumberFormat="1" applyFont="1" applyBorder="1"/>
    <xf numFmtId="4" fontId="2" fillId="0" borderId="13" xfId="0" applyNumberFormat="1" applyFont="1" applyFill="1" applyBorder="1"/>
    <xf numFmtId="4" fontId="2" fillId="0" borderId="17" xfId="0" applyNumberFormat="1" applyFont="1" applyBorder="1"/>
    <xf numFmtId="169" fontId="1" fillId="0" borderId="11" xfId="0" applyNumberFormat="1" applyFont="1" applyBorder="1"/>
    <xf numFmtId="0" fontId="2" fillId="0" borderId="19" xfId="0" applyFont="1" applyBorder="1" applyAlignment="1">
      <alignment horizontal="left"/>
    </xf>
    <xf numFmtId="0" fontId="2" fillId="0" borderId="20" xfId="0" applyFont="1" applyBorder="1" applyAlignment="1">
      <alignment horizontal="center"/>
    </xf>
    <xf numFmtId="0" fontId="2" fillId="0" borderId="13" xfId="0" applyFont="1" applyBorder="1" applyAlignment="1">
      <alignment horizontal="left"/>
    </xf>
    <xf numFmtId="0" fontId="2" fillId="0" borderId="14" xfId="0" applyFont="1" applyBorder="1" applyAlignment="1">
      <alignment horizontal="center"/>
    </xf>
    <xf numFmtId="0" fontId="2" fillId="0" borderId="16" xfId="0" applyFont="1" applyBorder="1" applyAlignment="1">
      <alignment horizontal="left"/>
    </xf>
    <xf numFmtId="0" fontId="2" fillId="0" borderId="17" xfId="0" applyFont="1" applyBorder="1" applyAlignment="1">
      <alignment horizontal="center"/>
    </xf>
    <xf numFmtId="0" fontId="2" fillId="0" borderId="19" xfId="0" applyFont="1" applyFill="1" applyBorder="1" applyAlignment="1">
      <alignment horizontal="left"/>
    </xf>
    <xf numFmtId="0" fontId="2" fillId="0" borderId="13" xfId="0" applyFont="1" applyFill="1" applyBorder="1" applyAlignment="1">
      <alignment horizontal="left"/>
    </xf>
    <xf numFmtId="0" fontId="2" fillId="0" borderId="14" xfId="0" applyFont="1" applyFill="1" applyBorder="1" applyAlignment="1">
      <alignment horizontal="right"/>
    </xf>
    <xf numFmtId="0" fontId="2" fillId="0" borderId="16" xfId="0" applyFont="1" applyFill="1" applyBorder="1" applyAlignment="1">
      <alignment horizontal="left"/>
    </xf>
    <xf numFmtId="0" fontId="2" fillId="0" borderId="18" xfId="0" applyFont="1" applyFill="1" applyBorder="1" applyAlignment="1">
      <alignment horizontal="right"/>
    </xf>
    <xf numFmtId="0" fontId="2" fillId="0" borderId="17" xfId="0" applyFont="1" applyFill="1" applyBorder="1" applyAlignment="1">
      <alignment horizontal="right"/>
    </xf>
    <xf numFmtId="1" fontId="2" fillId="0" borderId="17" xfId="0" applyNumberFormat="1" applyFont="1" applyFill="1" applyBorder="1" applyAlignment="1">
      <alignment horizontal="right"/>
    </xf>
    <xf numFmtId="174" fontId="2" fillId="0" borderId="14" xfId="0" applyNumberFormat="1" applyFont="1" applyBorder="1"/>
    <xf numFmtId="174" fontId="2" fillId="0" borderId="17" xfId="0" applyNumberFormat="1" applyFont="1" applyBorder="1"/>
    <xf numFmtId="10" fontId="2" fillId="0" borderId="18" xfId="43" applyNumberFormat="1" applyFont="1" applyFill="1" applyBorder="1"/>
    <xf numFmtId="10" fontId="2" fillId="0" borderId="14" xfId="43" applyNumberFormat="1" applyFont="1" applyFill="1" applyBorder="1"/>
    <xf numFmtId="10" fontId="2" fillId="0" borderId="21" xfId="43" applyNumberFormat="1" applyFont="1" applyBorder="1"/>
    <xf numFmtId="10" fontId="2" fillId="0" borderId="20" xfId="43" applyNumberFormat="1" applyFont="1" applyBorder="1"/>
    <xf numFmtId="10" fontId="2" fillId="0" borderId="21" xfId="43" applyNumberFormat="1" applyFont="1" applyFill="1" applyBorder="1"/>
    <xf numFmtId="10" fontId="2" fillId="0" borderId="20" xfId="43" applyNumberFormat="1" applyFont="1" applyFill="1" applyBorder="1"/>
    <xf numFmtId="0" fontId="1" fillId="0" borderId="20" xfId="0" applyFont="1" applyBorder="1" applyAlignment="1">
      <alignment horizontal="right" wrapText="1"/>
    </xf>
    <xf numFmtId="1" fontId="2" fillId="0" borderId="20" xfId="0" applyNumberFormat="1" applyFont="1" applyBorder="1"/>
    <xf numFmtId="4" fontId="2" fillId="0" borderId="12" xfId="0" applyNumberFormat="1" applyFont="1" applyBorder="1"/>
    <xf numFmtId="4" fontId="2" fillId="0" borderId="15" xfId="0" applyNumberFormat="1" applyFont="1" applyBorder="1"/>
    <xf numFmtId="2" fontId="2" fillId="0" borderId="14" xfId="0" applyNumberFormat="1" applyFont="1" applyBorder="1"/>
    <xf numFmtId="169" fontId="1" fillId="0" borderId="12" xfId="0" applyNumberFormat="1" applyFont="1" applyBorder="1"/>
    <xf numFmtId="0" fontId="0" fillId="22" borderId="0" xfId="0" applyFill="1"/>
    <xf numFmtId="3" fontId="1" fillId="0" borderId="12" xfId="0" applyNumberFormat="1" applyFont="1" applyFill="1" applyBorder="1"/>
    <xf numFmtId="166" fontId="2" fillId="0" borderId="17" xfId="28" applyNumberFormat="1" applyFont="1" applyFill="1" applyBorder="1"/>
    <xf numFmtId="170" fontId="35" fillId="0" borderId="14" xfId="43" applyNumberFormat="1" applyFont="1" applyFill="1" applyBorder="1"/>
    <xf numFmtId="170" fontId="35" fillId="0" borderId="18" xfId="43" applyNumberFormat="1" applyFont="1" applyFill="1" applyBorder="1"/>
    <xf numFmtId="170" fontId="2" fillId="0" borderId="14" xfId="43" applyNumberFormat="1" applyFont="1" applyFill="1" applyBorder="1" applyAlignment="1">
      <alignment horizontal="right"/>
    </xf>
    <xf numFmtId="10" fontId="2" fillId="0" borderId="14" xfId="43" applyNumberFormat="1" applyFont="1" applyFill="1" applyBorder="1" applyAlignment="1">
      <alignment horizontal="right"/>
    </xf>
    <xf numFmtId="172" fontId="2" fillId="0" borderId="14" xfId="43" applyNumberFormat="1" applyFont="1" applyFill="1" applyBorder="1" applyAlignment="1">
      <alignment horizontal="right"/>
    </xf>
    <xf numFmtId="170" fontId="2" fillId="0" borderId="18" xfId="43" applyNumberFormat="1" applyFont="1" applyFill="1" applyBorder="1" applyAlignment="1">
      <alignment horizontal="right"/>
    </xf>
    <xf numFmtId="170" fontId="2" fillId="0" borderId="17" xfId="43" applyNumberFormat="1" applyFont="1" applyFill="1" applyBorder="1" applyAlignment="1">
      <alignment horizontal="right"/>
    </xf>
    <xf numFmtId="166" fontId="2" fillId="0" borderId="18" xfId="0" applyNumberFormat="1" applyFont="1" applyFill="1" applyBorder="1"/>
    <xf numFmtId="0" fontId="1" fillId="0" borderId="19" xfId="39" applyFont="1" applyFill="1" applyBorder="1"/>
    <xf numFmtId="0" fontId="2" fillId="0" borderId="21" xfId="40" applyFont="1" applyFill="1" applyBorder="1" applyAlignment="1">
      <alignment horizontal="right" wrapText="1"/>
    </xf>
    <xf numFmtId="0" fontId="2" fillId="0" borderId="20" xfId="40" applyFont="1" applyFill="1" applyBorder="1" applyAlignment="1">
      <alignment horizontal="right" wrapText="1"/>
    </xf>
    <xf numFmtId="170" fontId="2" fillId="0" borderId="16" xfId="0" applyNumberFormat="1" applyFont="1" applyFill="1" applyBorder="1"/>
    <xf numFmtId="166" fontId="2" fillId="0" borderId="17" xfId="0" applyNumberFormat="1" applyFont="1" applyFill="1" applyBorder="1"/>
    <xf numFmtId="10" fontId="2" fillId="0" borderId="13" xfId="43" applyNumberFormat="1" applyFont="1" applyFill="1" applyBorder="1"/>
    <xf numFmtId="170" fontId="2" fillId="0" borderId="20" xfId="43" applyNumberFormat="1" applyFont="1" applyBorder="1"/>
    <xf numFmtId="0" fontId="0" fillId="0" borderId="16" xfId="0" applyFont="1" applyFill="1" applyBorder="1"/>
    <xf numFmtId="3" fontId="2" fillId="0" borderId="19" xfId="28" applyNumberFormat="1" applyFont="1" applyBorder="1"/>
    <xf numFmtId="3" fontId="2" fillId="0" borderId="20" xfId="28" applyNumberFormat="1" applyFont="1" applyBorder="1"/>
    <xf numFmtId="37" fontId="2" fillId="0" borderId="14" xfId="0" applyNumberFormat="1" applyFont="1" applyFill="1" applyBorder="1"/>
    <xf numFmtId="171" fontId="2" fillId="0" borderId="14" xfId="0" applyNumberFormat="1" applyFont="1" applyFill="1" applyBorder="1"/>
    <xf numFmtId="37" fontId="2" fillId="0" borderId="20" xfId="0" applyNumberFormat="1" applyFont="1" applyFill="1" applyBorder="1"/>
    <xf numFmtId="37" fontId="2" fillId="0" borderId="17" xfId="0" applyNumberFormat="1" applyFont="1" applyFill="1" applyBorder="1"/>
    <xf numFmtId="171" fontId="2" fillId="0" borderId="20" xfId="0" applyNumberFormat="1" applyFont="1" applyFill="1" applyBorder="1"/>
    <xf numFmtId="0" fontId="0" fillId="0" borderId="15" xfId="0" applyFont="1" applyFill="1" applyBorder="1"/>
    <xf numFmtId="171" fontId="2" fillId="0" borderId="18" xfId="0" applyNumberFormat="1" applyFont="1" applyFill="1" applyBorder="1"/>
    <xf numFmtId="171" fontId="2" fillId="0" borderId="17" xfId="0" applyNumberFormat="1" applyFont="1" applyFill="1" applyBorder="1"/>
    <xf numFmtId="0" fontId="1" fillId="0" borderId="16" xfId="0" applyFont="1" applyFill="1" applyBorder="1" applyAlignment="1">
      <alignment horizontal="left" wrapText="1"/>
    </xf>
    <xf numFmtId="4" fontId="0" fillId="0" borderId="13" xfId="0" applyNumberFormat="1" applyFont="1" applyFill="1" applyBorder="1"/>
    <xf numFmtId="4" fontId="0" fillId="0" borderId="16" xfId="0" applyNumberFormat="1" applyFont="1" applyFill="1" applyBorder="1"/>
    <xf numFmtId="4" fontId="2" fillId="0" borderId="12" xfId="0" applyNumberFormat="1" applyFont="1" applyFill="1" applyBorder="1"/>
    <xf numFmtId="4" fontId="0" fillId="0" borderId="12" xfId="0" applyNumberFormat="1" applyFont="1" applyFill="1" applyBorder="1"/>
    <xf numFmtId="4" fontId="0" fillId="0" borderId="15" xfId="0" applyNumberFormat="1" applyFont="1" applyFill="1" applyBorder="1"/>
    <xf numFmtId="169" fontId="0" fillId="0" borderId="12" xfId="0" applyNumberFormat="1" applyFill="1" applyBorder="1"/>
    <xf numFmtId="169" fontId="0" fillId="0" borderId="11" xfId="0" applyNumberFormat="1" applyFill="1" applyBorder="1"/>
    <xf numFmtId="169" fontId="0" fillId="0" borderId="15" xfId="0" applyNumberFormat="1" applyFill="1" applyBorder="1"/>
    <xf numFmtId="169" fontId="2" fillId="0" borderId="0" xfId="28" applyNumberFormat="1" applyFont="1" applyFill="1" applyBorder="1" applyAlignment="1"/>
    <xf numFmtId="169" fontId="2" fillId="0" borderId="18" xfId="28" applyNumberFormat="1" applyFont="1" applyFill="1" applyBorder="1" applyAlignment="1"/>
    <xf numFmtId="169" fontId="0" fillId="0" borderId="0" xfId="0" applyNumberFormat="1" applyFont="1" applyFill="1" applyBorder="1"/>
    <xf numFmtId="9" fontId="0" fillId="0" borderId="0" xfId="43" applyFont="1" applyFill="1"/>
    <xf numFmtId="170" fontId="35" fillId="0" borderId="13" xfId="43" applyNumberFormat="1" applyFont="1" applyFill="1" applyBorder="1"/>
    <xf numFmtId="170" fontId="35" fillId="0" borderId="16" xfId="43" applyNumberFormat="1" applyFont="1" applyFill="1" applyBorder="1"/>
    <xf numFmtId="164" fontId="1" fillId="0" borderId="19" xfId="0" applyNumberFormat="1" applyFont="1" applyFill="1" applyBorder="1" applyAlignment="1">
      <alignment horizontal="right" wrapText="1"/>
    </xf>
    <xf numFmtId="164" fontId="1" fillId="0" borderId="21" xfId="0" applyNumberFormat="1" applyFont="1" applyFill="1" applyBorder="1" applyAlignment="1">
      <alignment horizontal="right" wrapText="1"/>
    </xf>
    <xf numFmtId="0" fontId="0" fillId="18" borderId="20" xfId="0" applyFill="1" applyBorder="1" applyAlignment="1">
      <alignment horizontal="center"/>
    </xf>
    <xf numFmtId="0" fontId="0" fillId="18" borderId="17" xfId="0" applyFill="1" applyBorder="1" applyAlignment="1">
      <alignment horizontal="center"/>
    </xf>
    <xf numFmtId="170" fontId="0" fillId="22" borderId="0" xfId="0" applyNumberFormat="1" applyFill="1" applyBorder="1"/>
    <xf numFmtId="170" fontId="0" fillId="22" borderId="13" xfId="0" applyNumberFormat="1" applyFill="1" applyBorder="1"/>
    <xf numFmtId="172" fontId="0" fillId="22" borderId="0" xfId="0" applyNumberFormat="1" applyFill="1" applyBorder="1"/>
    <xf numFmtId="170" fontId="0" fillId="22" borderId="14" xfId="0" applyNumberFormat="1" applyFill="1" applyBorder="1"/>
    <xf numFmtId="172" fontId="0" fillId="22" borderId="14" xfId="0" applyNumberFormat="1" applyFill="1" applyBorder="1"/>
    <xf numFmtId="0" fontId="1" fillId="0" borderId="11" xfId="0" applyFont="1" applyFill="1" applyBorder="1" applyAlignment="1">
      <alignment horizontal="left"/>
    </xf>
    <xf numFmtId="170" fontId="2" fillId="24" borderId="14" xfId="43" applyNumberFormat="1" applyFont="1" applyFill="1" applyBorder="1"/>
    <xf numFmtId="170" fontId="2" fillId="22" borderId="0" xfId="43" applyNumberFormat="1" applyFill="1" applyBorder="1"/>
    <xf numFmtId="1" fontId="42" fillId="24" borderId="15" xfId="0" applyNumberFormat="1" applyFont="1" applyFill="1" applyBorder="1" applyAlignment="1">
      <alignment horizontal="center"/>
    </xf>
    <xf numFmtId="3" fontId="42" fillId="24" borderId="12" xfId="0" applyNumberFormat="1" applyFont="1" applyFill="1" applyBorder="1" applyAlignment="1">
      <alignment horizontal="center"/>
    </xf>
    <xf numFmtId="3" fontId="42" fillId="24" borderId="15" xfId="0" applyNumberFormat="1" applyFont="1" applyFill="1" applyBorder="1" applyAlignment="1">
      <alignment horizontal="center"/>
    </xf>
    <xf numFmtId="0" fontId="0" fillId="0" borderId="13" xfId="0" applyFill="1" applyBorder="1" applyAlignment="1">
      <alignment horizontal="left"/>
    </xf>
    <xf numFmtId="170" fontId="2" fillId="22" borderId="0" xfId="43" applyNumberFormat="1" applyFont="1" applyFill="1" applyBorder="1"/>
    <xf numFmtId="170" fontId="2" fillId="22" borderId="14" xfId="43" applyNumberFormat="1" applyFont="1" applyFill="1" applyBorder="1"/>
    <xf numFmtId="170" fontId="2" fillId="22" borderId="18" xfId="43" applyNumberFormat="1" applyFont="1" applyFill="1" applyBorder="1"/>
    <xf numFmtId="170" fontId="2" fillId="22" borderId="17" xfId="43" applyNumberFormat="1" applyFont="1" applyFill="1" applyBorder="1"/>
    <xf numFmtId="170" fontId="2" fillId="22" borderId="13" xfId="43" applyNumberFormat="1" applyFill="1" applyBorder="1"/>
    <xf numFmtId="10" fontId="0" fillId="22" borderId="0" xfId="0" applyNumberFormat="1" applyFill="1" applyBorder="1"/>
    <xf numFmtId="10" fontId="0" fillId="0" borderId="0" xfId="0" applyNumberFormat="1" applyFill="1" applyBorder="1"/>
    <xf numFmtId="170" fontId="0" fillId="22" borderId="0" xfId="0" applyNumberFormat="1" applyFill="1"/>
    <xf numFmtId="170" fontId="0" fillId="0" borderId="19" xfId="0" applyNumberFormat="1" applyFill="1" applyBorder="1"/>
    <xf numFmtId="0" fontId="1" fillId="0" borderId="19" xfId="0" applyFont="1" applyFill="1" applyBorder="1" applyAlignment="1">
      <alignment horizontal="left"/>
    </xf>
    <xf numFmtId="9" fontId="0" fillId="0" borderId="17" xfId="0" applyNumberFormat="1" applyFill="1" applyBorder="1"/>
    <xf numFmtId="0" fontId="0" fillId="0" borderId="21" xfId="0" applyFont="1" applyFill="1" applyBorder="1" applyAlignment="1">
      <alignment horizontal="right" wrapText="1"/>
    </xf>
    <xf numFmtId="0" fontId="2" fillId="0" borderId="0" xfId="0" applyFont="1" applyFill="1" applyBorder="1" applyAlignment="1">
      <alignment horizontal="centerContinuous"/>
    </xf>
    <xf numFmtId="164" fontId="2" fillId="0" borderId="20" xfId="0" applyNumberFormat="1" applyFont="1" applyFill="1" applyBorder="1"/>
    <xf numFmtId="164" fontId="1" fillId="0" borderId="20" xfId="0" applyNumberFormat="1" applyFont="1" applyFill="1" applyBorder="1" applyAlignment="1">
      <alignment horizontal="right" wrapText="1"/>
    </xf>
    <xf numFmtId="169" fontId="0" fillId="0" borderId="15" xfId="0" applyNumberFormat="1" applyFont="1" applyFill="1" applyBorder="1"/>
    <xf numFmtId="3" fontId="2" fillId="19" borderId="14" xfId="0" applyNumberFormat="1" applyFont="1" applyFill="1" applyBorder="1"/>
    <xf numFmtId="3" fontId="2" fillId="22" borderId="14" xfId="0" applyNumberFormat="1" applyFont="1" applyFill="1" applyBorder="1"/>
    <xf numFmtId="3" fontId="0" fillId="22" borderId="14" xfId="0" applyNumberFormat="1" applyFill="1" applyBorder="1"/>
    <xf numFmtId="0" fontId="2" fillId="0" borderId="13" xfId="28" applyNumberFormat="1" applyFont="1" applyBorder="1" applyAlignment="1">
      <alignment horizontal="right"/>
    </xf>
    <xf numFmtId="0" fontId="2" fillId="0" borderId="0" xfId="28" applyNumberFormat="1" applyFont="1" applyBorder="1" applyAlignment="1">
      <alignment horizontal="right"/>
    </xf>
    <xf numFmtId="0" fontId="2" fillId="0" borderId="14" xfId="28" applyNumberFormat="1" applyFont="1" applyBorder="1" applyAlignment="1">
      <alignment horizontal="right"/>
    </xf>
    <xf numFmtId="3" fontId="0" fillId="0" borderId="21" xfId="0" applyNumberFormat="1" applyFont="1" applyBorder="1"/>
    <xf numFmtId="3" fontId="0" fillId="0" borderId="15" xfId="0" applyNumberFormat="1" applyFont="1" applyFill="1" applyBorder="1" applyAlignment="1"/>
    <xf numFmtId="166" fontId="2" fillId="0" borderId="16" xfId="28" applyNumberFormat="1" applyFont="1" applyFill="1" applyBorder="1" applyAlignment="1"/>
    <xf numFmtId="166" fontId="2" fillId="0" borderId="18" xfId="28" applyNumberFormat="1" applyFont="1" applyFill="1" applyBorder="1" applyAlignment="1"/>
    <xf numFmtId="166" fontId="2" fillId="0" borderId="17" xfId="28" applyNumberFormat="1" applyFont="1" applyFill="1" applyBorder="1" applyAlignment="1"/>
    <xf numFmtId="0" fontId="0" fillId="0" borderId="17" xfId="0" applyFont="1" applyFill="1" applyBorder="1" applyAlignment="1">
      <alignment horizontal="right"/>
    </xf>
    <xf numFmtId="0" fontId="0" fillId="0" borderId="18" xfId="0" applyFont="1" applyFill="1" applyBorder="1" applyAlignment="1">
      <alignment horizontal="right"/>
    </xf>
    <xf numFmtId="3" fontId="0" fillId="19" borderId="13" xfId="0" applyNumberFormat="1" applyFont="1" applyFill="1" applyBorder="1"/>
    <xf numFmtId="3" fontId="0" fillId="0" borderId="14" xfId="0" applyNumberFormat="1" applyFont="1" applyFill="1" applyBorder="1"/>
    <xf numFmtId="3" fontId="0" fillId="19" borderId="16" xfId="0" applyNumberFormat="1" applyFont="1" applyFill="1" applyBorder="1"/>
    <xf numFmtId="3" fontId="0" fillId="0" borderId="0" xfId="0" applyNumberFormat="1" applyFont="1" applyFill="1"/>
    <xf numFmtId="3" fontId="0" fillId="22" borderId="16" xfId="0" applyNumberFormat="1" applyFont="1" applyFill="1" applyBorder="1"/>
    <xf numFmtId="3" fontId="0" fillId="22" borderId="18" xfId="0" applyNumberFormat="1" applyFont="1" applyFill="1" applyBorder="1"/>
    <xf numFmtId="3" fontId="0" fillId="22" borderId="17" xfId="0" applyNumberFormat="1" applyFont="1" applyFill="1" applyBorder="1"/>
    <xf numFmtId="3" fontId="0" fillId="21" borderId="0" xfId="0" applyNumberFormat="1" applyFont="1" applyFill="1" applyBorder="1"/>
    <xf numFmtId="3" fontId="0" fillId="0" borderId="0" xfId="0" applyNumberFormat="1" applyFont="1" applyFill="1" applyBorder="1"/>
    <xf numFmtId="165" fontId="0" fillId="0" borderId="0" xfId="0" applyNumberFormat="1" applyFont="1" applyFill="1"/>
    <xf numFmtId="174" fontId="0" fillId="19" borderId="21" xfId="0" applyNumberFormat="1" applyFont="1" applyFill="1" applyBorder="1"/>
    <xf numFmtId="174" fontId="0" fillId="19" borderId="20" xfId="0" applyNumberFormat="1" applyFont="1" applyFill="1" applyBorder="1"/>
    <xf numFmtId="174" fontId="0" fillId="0" borderId="0" xfId="0" applyNumberFormat="1" applyFont="1" applyFill="1" applyBorder="1"/>
    <xf numFmtId="174" fontId="0" fillId="0" borderId="14" xfId="0" applyNumberFormat="1" applyFont="1" applyFill="1" applyBorder="1"/>
    <xf numFmtId="0" fontId="0" fillId="0" borderId="18" xfId="0" applyFont="1" applyFill="1" applyBorder="1" applyAlignment="1">
      <alignment horizontal="right" wrapText="1"/>
    </xf>
    <xf numFmtId="174" fontId="0" fillId="0" borderId="18" xfId="0" applyNumberFormat="1" applyFont="1" applyFill="1" applyBorder="1"/>
    <xf numFmtId="174" fontId="0" fillId="0" borderId="17" xfId="0" applyNumberFormat="1" applyFont="1" applyFill="1" applyBorder="1"/>
    <xf numFmtId="174" fontId="0" fillId="21" borderId="21" xfId="0" applyNumberFormat="1" applyFont="1" applyFill="1" applyBorder="1"/>
    <xf numFmtId="0" fontId="0" fillId="19" borderId="21" xfId="0" applyFont="1" applyFill="1" applyBorder="1" applyAlignment="1">
      <alignment horizontal="right" wrapText="1"/>
    </xf>
    <xf numFmtId="0" fontId="0" fillId="19" borderId="20" xfId="0" applyFont="1" applyFill="1" applyBorder="1" applyAlignment="1">
      <alignment horizontal="right" wrapText="1"/>
    </xf>
    <xf numFmtId="0" fontId="0" fillId="19" borderId="0" xfId="0" applyFont="1" applyFill="1" applyBorder="1" applyAlignment="1">
      <alignment horizontal="right" wrapText="1"/>
    </xf>
    <xf numFmtId="0" fontId="0" fillId="19" borderId="14" xfId="0" applyFont="1" applyFill="1" applyBorder="1" applyAlignment="1">
      <alignment horizontal="right" wrapText="1"/>
    </xf>
    <xf numFmtId="0" fontId="0" fillId="19" borderId="18" xfId="0" applyFont="1" applyFill="1" applyBorder="1" applyAlignment="1">
      <alignment horizontal="right" wrapText="1"/>
    </xf>
    <xf numFmtId="0" fontId="0" fillId="19" borderId="17" xfId="0" applyFont="1" applyFill="1" applyBorder="1" applyAlignment="1">
      <alignment horizontal="right" wrapText="1"/>
    </xf>
    <xf numFmtId="174" fontId="0" fillId="0" borderId="21" xfId="0" applyNumberFormat="1" applyFont="1" applyFill="1" applyBorder="1"/>
    <xf numFmtId="174" fontId="0" fillId="0" borderId="20" xfId="0" applyNumberFormat="1" applyFont="1" applyFill="1" applyBorder="1"/>
    <xf numFmtId="0" fontId="0" fillId="0" borderId="0" xfId="0" applyFont="1" applyFill="1" applyAlignment="1">
      <alignment horizontal="right" wrapText="1"/>
    </xf>
    <xf numFmtId="165" fontId="0" fillId="19" borderId="0" xfId="0" applyNumberFormat="1" applyFont="1" applyFill="1" applyBorder="1"/>
    <xf numFmtId="165" fontId="0" fillId="19" borderId="14" xfId="0" applyNumberFormat="1" applyFont="1" applyFill="1" applyBorder="1"/>
    <xf numFmtId="165" fontId="0" fillId="19" borderId="18" xfId="0" applyNumberFormat="1" applyFont="1" applyFill="1" applyBorder="1"/>
    <xf numFmtId="165" fontId="0" fillId="19" borderId="17" xfId="0" applyNumberFormat="1" applyFont="1" applyFill="1" applyBorder="1"/>
    <xf numFmtId="165" fontId="0" fillId="21" borderId="0" xfId="0" applyNumberFormat="1" applyFont="1" applyFill="1" applyBorder="1"/>
    <xf numFmtId="165" fontId="0" fillId="21" borderId="14" xfId="0" applyNumberFormat="1" applyFont="1" applyFill="1" applyBorder="1"/>
    <xf numFmtId="165" fontId="0" fillId="0" borderId="0" xfId="0" applyNumberFormat="1" applyFont="1" applyFill="1" applyBorder="1"/>
    <xf numFmtId="165" fontId="0" fillId="0" borderId="14" xfId="0" applyNumberFormat="1" applyFont="1" applyFill="1" applyBorder="1"/>
    <xf numFmtId="165" fontId="0" fillId="0" borderId="18" xfId="0" applyNumberFormat="1" applyFont="1" applyFill="1" applyBorder="1"/>
    <xf numFmtId="165" fontId="0" fillId="0" borderId="17" xfId="0" applyNumberFormat="1" applyFont="1" applyFill="1" applyBorder="1"/>
    <xf numFmtId="3" fontId="0" fillId="0" borderId="16" xfId="0" applyNumberFormat="1" applyFont="1" applyFill="1" applyBorder="1" applyAlignment="1">
      <alignment horizontal="right"/>
    </xf>
    <xf numFmtId="0" fontId="0" fillId="22" borderId="15" xfId="0" applyFont="1" applyFill="1" applyBorder="1" applyAlignment="1">
      <alignment horizontal="center"/>
    </xf>
    <xf numFmtId="3" fontId="0" fillId="0" borderId="11" xfId="0" applyNumberFormat="1" applyFont="1" applyFill="1" applyBorder="1" applyAlignment="1">
      <alignment horizontal="center"/>
    </xf>
    <xf numFmtId="0" fontId="0" fillId="0" borderId="13" xfId="0" applyFont="1" applyFill="1" applyBorder="1" applyAlignment="1">
      <alignment horizontal="left"/>
    </xf>
    <xf numFmtId="3" fontId="0" fillId="22" borderId="12" xfId="0" applyNumberFormat="1" applyFont="1" applyFill="1" applyBorder="1" applyAlignment="1">
      <alignment horizontal="center"/>
    </xf>
    <xf numFmtId="3" fontId="0" fillId="0" borderId="12" xfId="0" applyNumberFormat="1" applyFont="1" applyFill="1" applyBorder="1" applyAlignment="1">
      <alignment horizontal="center"/>
    </xf>
    <xf numFmtId="3" fontId="0" fillId="22" borderId="15" xfId="0" applyNumberFormat="1" applyFont="1" applyFill="1" applyBorder="1" applyAlignment="1">
      <alignment horizontal="center"/>
    </xf>
    <xf numFmtId="0" fontId="0" fillId="0" borderId="14" xfId="0" applyFont="1" applyFill="1" applyBorder="1" applyAlignment="1">
      <alignment horizontal="right" wrapText="1"/>
    </xf>
    <xf numFmtId="0" fontId="0" fillId="0" borderId="14" xfId="0" applyFont="1" applyFill="1" applyBorder="1"/>
    <xf numFmtId="170" fontId="0" fillId="22" borderId="0" xfId="43" applyNumberFormat="1" applyFont="1" applyFill="1" applyBorder="1"/>
    <xf numFmtId="170" fontId="0" fillId="22" borderId="14" xfId="43" applyNumberFormat="1" applyFont="1" applyFill="1" applyBorder="1"/>
    <xf numFmtId="170" fontId="0" fillId="22" borderId="18" xfId="43" applyNumberFormat="1" applyFont="1" applyFill="1" applyBorder="1"/>
    <xf numFmtId="170" fontId="0" fillId="22" borderId="17" xfId="43" applyNumberFormat="1" applyFont="1" applyFill="1" applyBorder="1"/>
    <xf numFmtId="0" fontId="0" fillId="0" borderId="16" xfId="0" applyFont="1" applyFill="1" applyBorder="1" applyAlignment="1">
      <alignment horizontal="right" wrapText="1"/>
    </xf>
    <xf numFmtId="170" fontId="0" fillId="0" borderId="16" xfId="43" applyNumberFormat="1" applyFont="1" applyFill="1" applyBorder="1"/>
    <xf numFmtId="170" fontId="0" fillId="0" borderId="18" xfId="43" applyNumberFormat="1" applyFont="1" applyFill="1" applyBorder="1"/>
    <xf numFmtId="170" fontId="0" fillId="0" borderId="13" xfId="43" applyNumberFormat="1" applyFont="1" applyFill="1" applyBorder="1"/>
    <xf numFmtId="170" fontId="0" fillId="21" borderId="13" xfId="0" applyNumberFormat="1" applyFont="1" applyFill="1" applyBorder="1"/>
    <xf numFmtId="170" fontId="0" fillId="21" borderId="0" xfId="0" applyNumberFormat="1" applyFont="1" applyFill="1" applyBorder="1"/>
    <xf numFmtId="170" fontId="0" fillId="19" borderId="0" xfId="43" applyNumberFormat="1" applyFont="1" applyFill="1" applyBorder="1" applyAlignment="1">
      <alignment horizontal="right" wrapText="1"/>
    </xf>
    <xf numFmtId="170" fontId="0" fillId="19" borderId="14" xfId="43" applyNumberFormat="1" applyFont="1" applyFill="1" applyBorder="1" applyAlignment="1">
      <alignment horizontal="right" wrapText="1"/>
    </xf>
    <xf numFmtId="170" fontId="0" fillId="19" borderId="13" xfId="0" applyNumberFormat="1" applyFont="1" applyFill="1" applyBorder="1"/>
    <xf numFmtId="170" fontId="0" fillId="19" borderId="0" xfId="0" applyNumberFormat="1" applyFont="1" applyFill="1" applyBorder="1"/>
    <xf numFmtId="0" fontId="0" fillId="20" borderId="0" xfId="0" applyFont="1" applyFill="1"/>
    <xf numFmtId="0" fontId="0" fillId="0" borderId="20" xfId="0" applyFont="1" applyFill="1" applyBorder="1"/>
    <xf numFmtId="0" fontId="0" fillId="0" borderId="18" xfId="0" applyFont="1" applyFill="1" applyBorder="1"/>
    <xf numFmtId="0" fontId="0" fillId="0" borderId="17" xfId="0" applyFont="1" applyFill="1" applyBorder="1"/>
    <xf numFmtId="1" fontId="0" fillId="22" borderId="0" xfId="0" applyNumberFormat="1" applyFont="1" applyFill="1" applyBorder="1"/>
    <xf numFmtId="1" fontId="0" fillId="22" borderId="18" xfId="0" applyNumberFormat="1" applyFont="1" applyFill="1" applyBorder="1"/>
    <xf numFmtId="0" fontId="0" fillId="20" borderId="0" xfId="0" applyFont="1" applyFill="1" applyBorder="1" applyAlignment="1">
      <alignment horizontal="right"/>
    </xf>
    <xf numFmtId="3" fontId="0" fillId="20" borderId="0" xfId="0" applyNumberFormat="1" applyFont="1" applyFill="1" applyBorder="1"/>
    <xf numFmtId="0" fontId="0" fillId="19" borderId="0" xfId="0" applyFont="1" applyFill="1" applyBorder="1" applyAlignment="1">
      <alignment horizontal="center"/>
    </xf>
    <xf numFmtId="0" fontId="0" fillId="20" borderId="14" xfId="0" applyFont="1" applyFill="1" applyBorder="1"/>
    <xf numFmtId="0" fontId="0" fillId="19" borderId="14" xfId="0" applyFont="1" applyFill="1" applyBorder="1" applyAlignment="1">
      <alignment horizontal="center"/>
    </xf>
    <xf numFmtId="0" fontId="0" fillId="19" borderId="18" xfId="0" applyFont="1" applyFill="1" applyBorder="1" applyAlignment="1">
      <alignment horizontal="center"/>
    </xf>
    <xf numFmtId="0" fontId="0" fillId="19" borderId="17" xfId="0" applyFont="1" applyFill="1" applyBorder="1" applyAlignment="1">
      <alignment horizontal="center"/>
    </xf>
    <xf numFmtId="0" fontId="0" fillId="0" borderId="0" xfId="0" applyFont="1" applyFill="1" applyBorder="1" applyAlignment="1">
      <alignment horizontal="right"/>
    </xf>
    <xf numFmtId="0" fontId="0" fillId="20" borderId="0" xfId="0" applyFont="1" applyFill="1" applyBorder="1" applyAlignment="1">
      <alignment horizontal="center"/>
    </xf>
    <xf numFmtId="3" fontId="0" fillId="19" borderId="18" xfId="0" applyNumberFormat="1" applyFont="1" applyFill="1" applyBorder="1"/>
    <xf numFmtId="3" fontId="0" fillId="19" borderId="17" xfId="0" applyNumberFormat="1" applyFont="1" applyFill="1" applyBorder="1"/>
    <xf numFmtId="0" fontId="0" fillId="0" borderId="21" xfId="0" applyFont="1" applyBorder="1" applyAlignment="1">
      <alignment horizontal="right" wrapText="1"/>
    </xf>
    <xf numFmtId="0" fontId="0" fillId="0" borderId="20" xfId="0" applyFont="1" applyBorder="1" applyAlignment="1">
      <alignment horizontal="right" wrapText="1"/>
    </xf>
    <xf numFmtId="170" fontId="0" fillId="0" borderId="21" xfId="0" applyNumberFormat="1" applyFont="1" applyBorder="1"/>
    <xf numFmtId="170" fontId="0" fillId="0" borderId="20" xfId="0" applyNumberFormat="1" applyFont="1" applyBorder="1"/>
    <xf numFmtId="170" fontId="0" fillId="0" borderId="0" xfId="0" applyNumberFormat="1" applyFont="1" applyFill="1" applyBorder="1"/>
    <xf numFmtId="170" fontId="0" fillId="19" borderId="14" xfId="0" applyNumberFormat="1" applyFont="1" applyFill="1" applyBorder="1"/>
    <xf numFmtId="170" fontId="0" fillId="0" borderId="18" xfId="0" applyNumberFormat="1" applyFont="1" applyFill="1" applyBorder="1"/>
    <xf numFmtId="170" fontId="0" fillId="0" borderId="18" xfId="0" applyNumberFormat="1" applyFont="1" applyBorder="1"/>
    <xf numFmtId="170" fontId="0" fillId="0" borderId="17" xfId="0" applyNumberFormat="1" applyFont="1" applyBorder="1"/>
    <xf numFmtId="170" fontId="0" fillId="0" borderId="16" xfId="0" applyNumberFormat="1" applyFont="1" applyBorder="1"/>
    <xf numFmtId="170" fontId="0" fillId="0" borderId="0" xfId="0" applyNumberFormat="1" applyFont="1" applyBorder="1"/>
    <xf numFmtId="170" fontId="0" fillId="0" borderId="14" xfId="0" applyNumberFormat="1" applyFont="1" applyBorder="1"/>
    <xf numFmtId="170" fontId="0" fillId="0" borderId="13" xfId="0" applyNumberFormat="1" applyFont="1" applyBorder="1"/>
    <xf numFmtId="170" fontId="0" fillId="22" borderId="0" xfId="0" applyNumberFormat="1" applyFont="1" applyFill="1" applyBorder="1"/>
    <xf numFmtId="172" fontId="0" fillId="22" borderId="0" xfId="0" applyNumberFormat="1" applyFont="1" applyFill="1" applyBorder="1"/>
    <xf numFmtId="170" fontId="0" fillId="0" borderId="17" xfId="0" applyNumberFormat="1" applyFont="1" applyFill="1" applyBorder="1"/>
    <xf numFmtId="170" fontId="0" fillId="0" borderId="13" xfId="0" applyNumberFormat="1" applyFont="1" applyFill="1" applyBorder="1"/>
    <xf numFmtId="170" fontId="0" fillId="0" borderId="21" xfId="0" applyNumberFormat="1" applyFont="1" applyFill="1" applyBorder="1"/>
    <xf numFmtId="170" fontId="0" fillId="0" borderId="19" xfId="0" applyNumberFormat="1" applyFont="1" applyBorder="1"/>
    <xf numFmtId="170" fontId="0" fillId="0" borderId="14" xfId="0" applyNumberFormat="1" applyFont="1" applyFill="1" applyBorder="1"/>
    <xf numFmtId="170" fontId="0" fillId="22" borderId="0" xfId="0" applyNumberFormat="1" applyFont="1" applyFill="1"/>
    <xf numFmtId="3" fontId="43" fillId="24" borderId="0" xfId="0" applyNumberFormat="1" applyFont="1" applyFill="1" applyBorder="1"/>
    <xf numFmtId="0" fontId="0" fillId="0" borderId="14" xfId="0" applyFont="1" applyBorder="1"/>
    <xf numFmtId="0" fontId="0" fillId="0" borderId="17" xfId="0" applyFont="1" applyBorder="1"/>
    <xf numFmtId="169" fontId="0" fillId="0" borderId="18" xfId="0" applyNumberFormat="1" applyFont="1" applyFill="1" applyBorder="1"/>
    <xf numFmtId="0" fontId="0" fillId="0" borderId="18" xfId="0" applyFont="1" applyBorder="1"/>
    <xf numFmtId="170" fontId="0" fillId="0" borderId="12" xfId="0" applyNumberFormat="1" applyFont="1" applyBorder="1"/>
    <xf numFmtId="170" fontId="0" fillId="0" borderId="11" xfId="0" applyNumberFormat="1" applyFont="1" applyBorder="1"/>
    <xf numFmtId="170" fontId="0" fillId="0" borderId="15" xfId="0" applyNumberFormat="1" applyFont="1" applyBorder="1"/>
    <xf numFmtId="164" fontId="0" fillId="0" borderId="19" xfId="0" applyNumberFormat="1" applyFont="1" applyFill="1" applyBorder="1"/>
    <xf numFmtId="0" fontId="0" fillId="0" borderId="19" xfId="0" applyFont="1" applyBorder="1"/>
    <xf numFmtId="164" fontId="0" fillId="0" borderId="13" xfId="0" applyNumberFormat="1" applyFont="1" applyBorder="1"/>
    <xf numFmtId="169" fontId="0" fillId="0" borderId="13" xfId="28" applyNumberFormat="1" applyFont="1" applyFill="1" applyBorder="1"/>
    <xf numFmtId="169" fontId="0" fillId="0" borderId="19" xfId="0" applyNumberFormat="1" applyFont="1" applyBorder="1"/>
    <xf numFmtId="169" fontId="0" fillId="0" borderId="20" xfId="0" applyNumberFormat="1" applyFont="1" applyBorder="1"/>
    <xf numFmtId="169" fontId="0" fillId="0" borderId="19" xfId="0" applyNumberFormat="1" applyFont="1" applyFill="1" applyBorder="1"/>
    <xf numFmtId="169" fontId="0" fillId="0" borderId="20" xfId="0" applyNumberFormat="1" applyFont="1" applyFill="1" applyBorder="1"/>
    <xf numFmtId="169" fontId="0" fillId="0" borderId="14" xfId="0" applyNumberFormat="1" applyFont="1" applyBorder="1"/>
    <xf numFmtId="169" fontId="0" fillId="0" borderId="17" xfId="0" applyNumberFormat="1" applyFont="1" applyBorder="1"/>
    <xf numFmtId="169" fontId="0" fillId="0" borderId="17" xfId="0" applyNumberFormat="1" applyFont="1" applyFill="1" applyBorder="1"/>
    <xf numFmtId="169" fontId="0" fillId="0" borderId="0" xfId="0" applyNumberFormat="1" applyFont="1"/>
    <xf numFmtId="3" fontId="0" fillId="0" borderId="18" xfId="0" applyNumberFormat="1" applyFont="1" applyBorder="1"/>
    <xf numFmtId="3" fontId="0" fillId="0" borderId="17" xfId="0" applyNumberFormat="1" applyFont="1" applyBorder="1"/>
    <xf numFmtId="174" fontId="0" fillId="0" borderId="13" xfId="0" applyNumberFormat="1" applyFont="1" applyFill="1" applyBorder="1"/>
    <xf numFmtId="169" fontId="0" fillId="0" borderId="19" xfId="0" applyNumberFormat="1" applyFont="1" applyFill="1" applyBorder="1" applyAlignment="1">
      <alignment horizontal="right"/>
    </xf>
    <xf numFmtId="164" fontId="0" fillId="0" borderId="0" xfId="0" applyNumberFormat="1" applyFont="1" applyFill="1" applyBorder="1"/>
    <xf numFmtId="3" fontId="0" fillId="0" borderId="16" xfId="0" applyNumberFormat="1" applyFont="1" applyBorder="1"/>
    <xf numFmtId="3" fontId="0" fillId="0" borderId="13" xfId="0" applyNumberFormat="1" applyFont="1" applyFill="1" applyBorder="1"/>
    <xf numFmtId="3" fontId="0" fillId="0" borderId="14" xfId="28" applyNumberFormat="1" applyFont="1" applyFill="1" applyBorder="1"/>
    <xf numFmtId="169" fontId="0" fillId="0" borderId="19" xfId="28" applyNumberFormat="1" applyFont="1" applyFill="1" applyBorder="1"/>
    <xf numFmtId="169" fontId="0" fillId="0" borderId="20" xfId="28" applyNumberFormat="1" applyFont="1" applyFill="1" applyBorder="1"/>
    <xf numFmtId="169" fontId="0" fillId="0" borderId="14" xfId="28" applyNumberFormat="1" applyFont="1" applyFill="1" applyBorder="1"/>
    <xf numFmtId="164" fontId="0" fillId="0" borderId="16" xfId="0" applyNumberFormat="1" applyFont="1" applyBorder="1"/>
    <xf numFmtId="169" fontId="0" fillId="0" borderId="17" xfId="28" applyNumberFormat="1" applyFont="1" applyFill="1" applyBorder="1"/>
    <xf numFmtId="0" fontId="36" fillId="0" borderId="0" xfId="0" applyFont="1" applyFill="1" applyBorder="1"/>
    <xf numFmtId="3" fontId="0" fillId="0" borderId="15" xfId="0" applyNumberFormat="1" applyFill="1" applyBorder="1" applyAlignment="1">
      <alignment horizontal="center"/>
    </xf>
    <xf numFmtId="9" fontId="0" fillId="0" borderId="0" xfId="0" applyNumberFormat="1" applyFill="1" applyBorder="1"/>
    <xf numFmtId="9" fontId="0" fillId="0" borderId="14" xfId="0" applyNumberFormat="1" applyFill="1" applyBorder="1"/>
    <xf numFmtId="4" fontId="2" fillId="0" borderId="19" xfId="0" applyNumberFormat="1" applyFont="1" applyFill="1" applyBorder="1"/>
    <xf numFmtId="170" fontId="2" fillId="0" borderId="20" xfId="0" applyNumberFormat="1" applyFont="1" applyFill="1" applyBorder="1"/>
    <xf numFmtId="4" fontId="2" fillId="0" borderId="11" xfId="0" applyNumberFormat="1" applyFont="1" applyFill="1" applyBorder="1"/>
    <xf numFmtId="0" fontId="37" fillId="0" borderId="0" xfId="0" applyFont="1" applyFill="1" applyBorder="1"/>
    <xf numFmtId="3" fontId="2" fillId="0" borderId="15" xfId="28" applyNumberFormat="1" applyFont="1" applyBorder="1" applyAlignment="1"/>
    <xf numFmtId="166" fontId="2" fillId="0" borderId="0" xfId="28" applyNumberFormat="1" applyFont="1" applyFill="1" applyBorder="1" applyAlignment="1"/>
    <xf numFmtId="3" fontId="43" fillId="24" borderId="14" xfId="0" applyNumberFormat="1" applyFont="1" applyFill="1" applyBorder="1"/>
    <xf numFmtId="3" fontId="43" fillId="24" borderId="17" xfId="0" applyNumberFormat="1" applyFont="1" applyFill="1" applyBorder="1"/>
    <xf numFmtId="3" fontId="43" fillId="24" borderId="20" xfId="0" applyNumberFormat="1" applyFont="1" applyFill="1" applyBorder="1"/>
    <xf numFmtId="179" fontId="2" fillId="0" borderId="13" xfId="28" applyNumberFormat="1" applyFont="1" applyFill="1" applyBorder="1"/>
    <xf numFmtId="0" fontId="0" fillId="0" borderId="0" xfId="0"/>
    <xf numFmtId="3" fontId="0" fillId="22" borderId="18" xfId="0" applyNumberFormat="1" applyFill="1" applyBorder="1"/>
    <xf numFmtId="164" fontId="0" fillId="22" borderId="15" xfId="0" applyNumberFormat="1" applyFill="1" applyBorder="1"/>
    <xf numFmtId="0" fontId="0" fillId="22" borderId="0" xfId="0" applyFont="1" applyFill="1"/>
    <xf numFmtId="164" fontId="0" fillId="22" borderId="0" xfId="0" applyNumberFormat="1" applyFill="1" applyBorder="1"/>
    <xf numFmtId="164" fontId="0" fillId="22" borderId="0" xfId="43" applyNumberFormat="1" applyFont="1" applyFill="1" applyBorder="1"/>
    <xf numFmtId="164" fontId="0" fillId="22" borderId="0" xfId="0" applyNumberFormat="1" applyFill="1"/>
    <xf numFmtId="164" fontId="0" fillId="22" borderId="18" xfId="0" applyNumberFormat="1" applyFill="1" applyBorder="1"/>
    <xf numFmtId="170" fontId="0" fillId="0" borderId="12" xfId="0" applyNumberFormat="1" applyFill="1" applyBorder="1"/>
    <xf numFmtId="170" fontId="0" fillId="0" borderId="11" xfId="0" applyNumberFormat="1" applyFill="1" applyBorder="1"/>
    <xf numFmtId="170" fontId="0" fillId="0" borderId="15" xfId="0" applyNumberFormat="1" applyFill="1" applyBorder="1"/>
    <xf numFmtId="170" fontId="0" fillId="0" borderId="0" xfId="43" applyNumberFormat="1" applyFont="1" applyFill="1"/>
    <xf numFmtId="164" fontId="0" fillId="0" borderId="0" xfId="0" applyNumberFormat="1" applyFill="1"/>
    <xf numFmtId="169" fontId="0" fillId="22" borderId="0" xfId="0" applyNumberFormat="1" applyFill="1"/>
    <xf numFmtId="3" fontId="0" fillId="0" borderId="12" xfId="0" applyNumberFormat="1" applyFill="1" applyBorder="1"/>
    <xf numFmtId="0" fontId="0" fillId="0" borderId="0" xfId="0"/>
    <xf numFmtId="0" fontId="1" fillId="0" borderId="19" xfId="0" applyNumberFormat="1" applyFont="1" applyFill="1" applyBorder="1" applyAlignment="1">
      <alignment textRotation="90" wrapText="1"/>
    </xf>
    <xf numFmtId="0" fontId="1" fillId="0" borderId="21" xfId="0" applyNumberFormat="1" applyFont="1" applyFill="1" applyBorder="1" applyAlignment="1">
      <alignment textRotation="90" wrapText="1"/>
    </xf>
    <xf numFmtId="0" fontId="1" fillId="0" borderId="20" xfId="0" applyNumberFormat="1" applyFont="1" applyFill="1" applyBorder="1" applyAlignment="1">
      <alignment textRotation="90" wrapText="1"/>
    </xf>
    <xf numFmtId="169" fontId="2" fillId="0" borderId="14" xfId="0" quotePrefix="1" applyNumberFormat="1" applyFont="1" applyFill="1" applyBorder="1" applyAlignment="1">
      <alignment horizontal="right" wrapText="1"/>
    </xf>
    <xf numFmtId="169" fontId="2" fillId="0" borderId="0" xfId="0" quotePrefix="1" applyNumberFormat="1" applyFont="1" applyFill="1" applyBorder="1" applyAlignment="1">
      <alignment horizontal="right" wrapText="1"/>
    </xf>
    <xf numFmtId="169" fontId="1" fillId="0" borderId="24" xfId="0" applyNumberFormat="1" applyFont="1" applyFill="1" applyBorder="1"/>
    <xf numFmtId="169" fontId="1" fillId="0" borderId="25" xfId="0" applyNumberFormat="1" applyFont="1" applyFill="1" applyBorder="1" applyAlignment="1">
      <alignment horizontal="right" wrapText="1"/>
    </xf>
    <xf numFmtId="3" fontId="2" fillId="0" borderId="25" xfId="0" applyNumberFormat="1" applyFont="1" applyFill="1" applyBorder="1"/>
    <xf numFmtId="164" fontId="2" fillId="0" borderId="13" xfId="28" applyNumberFormat="1" applyFont="1" applyFill="1" applyBorder="1"/>
    <xf numFmtId="164" fontId="2" fillId="0" borderId="16" xfId="28" applyNumberFormat="1" applyFont="1" applyFill="1" applyBorder="1"/>
    <xf numFmtId="167" fontId="2" fillId="0" borderId="13" xfId="28" applyNumberFormat="1" applyFont="1" applyFill="1" applyBorder="1"/>
    <xf numFmtId="166" fontId="0" fillId="0" borderId="0" xfId="0" applyNumberFormat="1" applyFill="1" applyBorder="1"/>
    <xf numFmtId="169" fontId="0" fillId="0" borderId="21" xfId="0" applyNumberFormat="1" applyFont="1" applyFill="1" applyBorder="1"/>
    <xf numFmtId="169" fontId="0" fillId="0" borderId="13" xfId="0" applyNumberFormat="1" applyFont="1" applyFill="1" applyBorder="1" applyAlignment="1">
      <alignment horizontal="left" indent="2"/>
    </xf>
    <xf numFmtId="169" fontId="0" fillId="0" borderId="16" xfId="0" applyNumberFormat="1" applyFont="1" applyFill="1" applyBorder="1" applyAlignment="1">
      <alignment horizontal="left" indent="2"/>
    </xf>
    <xf numFmtId="169" fontId="0" fillId="0" borderId="24" xfId="0" applyNumberFormat="1" applyFont="1" applyFill="1" applyBorder="1"/>
    <xf numFmtId="166" fontId="2" fillId="0" borderId="14" xfId="0" applyNumberFormat="1" applyFont="1" applyFill="1" applyBorder="1"/>
    <xf numFmtId="166" fontId="2" fillId="0" borderId="25" xfId="0" applyNumberFormat="1" applyFont="1" applyFill="1" applyBorder="1"/>
    <xf numFmtId="166" fontId="2" fillId="0" borderId="13" xfId="0" applyNumberFormat="1" applyFont="1" applyFill="1" applyBorder="1"/>
    <xf numFmtId="166" fontId="2" fillId="0" borderId="16" xfId="0" applyNumberFormat="1" applyFont="1" applyFill="1" applyBorder="1"/>
    <xf numFmtId="166" fontId="2" fillId="0" borderId="0" xfId="0" applyNumberFormat="1" applyFont="1" applyFill="1" applyBorder="1"/>
    <xf numFmtId="166" fontId="2" fillId="0" borderId="24" xfId="0" applyNumberFormat="1" applyFont="1" applyFill="1" applyBorder="1"/>
    <xf numFmtId="0" fontId="1" fillId="0" borderId="21" xfId="0" applyFont="1" applyFill="1" applyBorder="1" applyAlignment="1">
      <alignment horizontal="center" vertical="center" wrapText="1"/>
    </xf>
    <xf numFmtId="0" fontId="1" fillId="0" borderId="21" xfId="0" applyFont="1" applyFill="1" applyBorder="1" applyAlignment="1">
      <alignment horizontal="center" vertical="center"/>
    </xf>
    <xf numFmtId="9" fontId="1" fillId="0" borderId="21" xfId="0" applyNumberFormat="1" applyFont="1" applyFill="1" applyBorder="1" applyAlignment="1">
      <alignment horizontal="center" vertical="center"/>
    </xf>
    <xf numFmtId="170" fontId="1" fillId="0" borderId="21" xfId="0" applyNumberFormat="1" applyFont="1" applyFill="1" applyBorder="1" applyAlignment="1">
      <alignment horizontal="center" vertical="center"/>
    </xf>
    <xf numFmtId="170" fontId="1" fillId="0" borderId="20" xfId="0" applyNumberFormat="1" applyFont="1" applyFill="1" applyBorder="1" applyAlignment="1">
      <alignment horizontal="center" vertical="center"/>
    </xf>
    <xf numFmtId="170" fontId="0" fillId="0" borderId="18" xfId="0" applyNumberFormat="1" applyFill="1" applyBorder="1" applyAlignment="1">
      <alignment horizontal="center"/>
    </xf>
    <xf numFmtId="170" fontId="0" fillId="0" borderId="17" xfId="0" applyNumberFormat="1" applyFill="1" applyBorder="1" applyAlignment="1">
      <alignment horizontal="center"/>
    </xf>
    <xf numFmtId="167" fontId="2" fillId="0" borderId="0" xfId="28" applyNumberFormat="1" applyFont="1" applyFill="1" applyBorder="1"/>
    <xf numFmtId="170" fontId="0" fillId="0" borderId="0" xfId="0" applyNumberFormat="1"/>
    <xf numFmtId="1" fontId="2" fillId="0" borderId="14" xfId="0" applyNumberFormat="1" applyFont="1" applyFill="1" applyBorder="1"/>
    <xf numFmtId="1" fontId="2" fillId="0" borderId="17" xfId="0" applyNumberFormat="1" applyFont="1" applyFill="1" applyBorder="1"/>
    <xf numFmtId="1" fontId="2" fillId="0" borderId="20" xfId="0" applyNumberFormat="1" applyFont="1" applyFill="1" applyBorder="1"/>
    <xf numFmtId="1" fontId="2" fillId="0" borderId="21" xfId="0" applyNumberFormat="1" applyFont="1" applyFill="1" applyBorder="1" applyAlignment="1">
      <alignment horizontal="right"/>
    </xf>
    <xf numFmtId="1" fontId="2" fillId="0" borderId="20" xfId="0" applyNumberFormat="1" applyFont="1" applyFill="1" applyBorder="1" applyAlignment="1">
      <alignment horizontal="right"/>
    </xf>
    <xf numFmtId="1" fontId="2" fillId="0" borderId="14" xfId="0" applyNumberFormat="1" applyFont="1" applyFill="1" applyBorder="1" applyAlignment="1">
      <alignment horizontal="right"/>
    </xf>
    <xf numFmtId="0" fontId="1" fillId="0" borderId="16" xfId="28" applyNumberFormat="1" applyFont="1" applyFill="1" applyBorder="1" applyAlignment="1">
      <alignment horizontal="right"/>
    </xf>
    <xf numFmtId="0" fontId="1" fillId="0" borderId="18" xfId="28" applyNumberFormat="1" applyFont="1" applyFill="1" applyBorder="1" applyAlignment="1">
      <alignment horizontal="right"/>
    </xf>
    <xf numFmtId="0" fontId="1" fillId="0" borderId="18" xfId="43" applyNumberFormat="1" applyFont="1" applyFill="1" applyBorder="1" applyAlignment="1"/>
    <xf numFmtId="3" fontId="1" fillId="0" borderId="18" xfId="28" applyNumberFormat="1" applyFont="1" applyFill="1" applyBorder="1" applyAlignment="1"/>
    <xf numFmtId="176" fontId="1" fillId="0" borderId="17" xfId="28" applyNumberFormat="1" applyFont="1" applyFill="1" applyBorder="1" applyAlignment="1"/>
    <xf numFmtId="4" fontId="2" fillId="0" borderId="0" xfId="28" applyNumberFormat="1" applyFont="1" applyFill="1" applyBorder="1" applyAlignment="1"/>
    <xf numFmtId="0" fontId="0" fillId="0" borderId="0" xfId="0"/>
    <xf numFmtId="0" fontId="0" fillId="0" borderId="24" xfId="0" applyFill="1" applyBorder="1" applyAlignment="1">
      <alignment horizontal="right" wrapText="1"/>
    </xf>
    <xf numFmtId="0" fontId="0" fillId="0" borderId="25" xfId="0" applyFill="1" applyBorder="1" applyAlignment="1">
      <alignment horizontal="right" wrapText="1"/>
    </xf>
    <xf numFmtId="0" fontId="47" fillId="0" borderId="0" xfId="0" applyFont="1" applyFill="1"/>
    <xf numFmtId="0" fontId="1" fillId="0" borderId="24" xfId="28" applyNumberFormat="1" applyFont="1" applyFill="1" applyBorder="1" applyAlignment="1">
      <alignment horizontal="right"/>
    </xf>
    <xf numFmtId="176" fontId="1" fillId="0" borderId="25" xfId="28" applyNumberFormat="1" applyFont="1" applyFill="1" applyBorder="1" applyAlignment="1"/>
    <xf numFmtId="0" fontId="0" fillId="0" borderId="25" xfId="0" applyBorder="1"/>
    <xf numFmtId="43" fontId="2" fillId="0" borderId="0" xfId="0" applyNumberFormat="1" applyFont="1" applyBorder="1"/>
    <xf numFmtId="182" fontId="2" fillId="0" borderId="0" xfId="0" applyNumberFormat="1" applyFont="1" applyBorder="1"/>
    <xf numFmtId="179" fontId="2" fillId="0" borderId="0" xfId="0" applyNumberFormat="1" applyFont="1" applyFill="1" applyBorder="1"/>
    <xf numFmtId="43" fontId="0" fillId="0" borderId="0" xfId="0" applyNumberFormat="1" applyFill="1"/>
    <xf numFmtId="0" fontId="0" fillId="25" borderId="0" xfId="0" applyFont="1" applyFill="1"/>
    <xf numFmtId="0" fontId="0" fillId="0" borderId="19" xfId="0" applyFill="1" applyBorder="1" applyAlignment="1">
      <alignment horizontal="right" wrapText="1"/>
    </xf>
    <xf numFmtId="9" fontId="0" fillId="0" borderId="24" xfId="0" applyNumberFormat="1" applyFill="1" applyBorder="1"/>
    <xf numFmtId="9" fontId="0" fillId="0" borderId="25" xfId="0" applyNumberFormat="1" applyFill="1" applyBorder="1"/>
    <xf numFmtId="9" fontId="0" fillId="0" borderId="16" xfId="0" applyNumberFormat="1" applyFill="1" applyBorder="1"/>
    <xf numFmtId="9" fontId="0" fillId="0" borderId="18" xfId="0" applyNumberFormat="1" applyFill="1" applyBorder="1"/>
    <xf numFmtId="164" fontId="0" fillId="0" borderId="14" xfId="0" applyNumberFormat="1" applyFill="1" applyBorder="1"/>
    <xf numFmtId="164" fontId="0" fillId="22" borderId="14" xfId="0" applyNumberFormat="1" applyFill="1" applyBorder="1"/>
    <xf numFmtId="164" fontId="0" fillId="22" borderId="17" xfId="0" applyNumberFormat="1" applyFill="1" applyBorder="1"/>
    <xf numFmtId="0" fontId="0" fillId="0" borderId="24" xfId="0" applyFont="1" applyFill="1" applyBorder="1" applyAlignment="1">
      <alignment horizontal="right" wrapText="1"/>
    </xf>
    <xf numFmtId="0" fontId="0" fillId="0" borderId="25" xfId="0" applyFont="1" applyFill="1" applyBorder="1" applyAlignment="1">
      <alignment horizontal="right" wrapText="1"/>
    </xf>
    <xf numFmtId="3" fontId="0" fillId="0" borderId="16" xfId="0" applyNumberFormat="1" applyFont="1" applyFill="1" applyBorder="1"/>
    <xf numFmtId="2" fontId="0" fillId="0" borderId="18" xfId="0" applyNumberFormat="1" applyFont="1" applyFill="1" applyBorder="1"/>
    <xf numFmtId="2" fontId="0" fillId="0" borderId="17" xfId="0" applyNumberFormat="1" applyFont="1" applyFill="1" applyBorder="1"/>
    <xf numFmtId="2" fontId="0" fillId="22" borderId="21" xfId="0" applyNumberFormat="1" applyFont="1" applyFill="1" applyBorder="1"/>
    <xf numFmtId="2" fontId="0" fillId="22" borderId="20" xfId="0" applyNumberFormat="1" applyFont="1" applyFill="1" applyBorder="1"/>
    <xf numFmtId="2" fontId="0" fillId="22" borderId="0" xfId="0" applyNumberFormat="1" applyFont="1" applyFill="1"/>
    <xf numFmtId="0" fontId="1" fillId="0" borderId="0" xfId="0" applyFont="1" applyFill="1" applyBorder="1" applyAlignment="1">
      <alignment horizontal="center"/>
    </xf>
    <xf numFmtId="0" fontId="1" fillId="0" borderId="14" xfId="0" applyFont="1" applyFill="1" applyBorder="1" applyAlignment="1">
      <alignment horizontal="center"/>
    </xf>
    <xf numFmtId="3" fontId="2" fillId="22" borderId="25" xfId="28" applyNumberFormat="1" applyFont="1" applyFill="1" applyBorder="1" applyAlignment="1"/>
    <xf numFmtId="3" fontId="2" fillId="22" borderId="16" xfId="28" applyNumberFormat="1" applyFont="1" applyFill="1" applyBorder="1" applyAlignment="1"/>
    <xf numFmtId="3" fontId="2" fillId="22" borderId="18" xfId="28" applyNumberFormat="1" applyFont="1" applyFill="1" applyBorder="1" applyAlignment="1"/>
    <xf numFmtId="3" fontId="2" fillId="22" borderId="17" xfId="28" applyNumberFormat="1" applyFont="1" applyFill="1" applyBorder="1" applyAlignment="1"/>
    <xf numFmtId="3" fontId="2" fillId="22" borderId="14" xfId="28" applyNumberFormat="1" applyFont="1" applyFill="1" applyBorder="1" applyAlignment="1"/>
    <xf numFmtId="170" fontId="2" fillId="22" borderId="11" xfId="43" applyNumberFormat="1" applyFont="1" applyFill="1" applyBorder="1" applyAlignment="1"/>
    <xf numFmtId="170" fontId="2" fillId="22" borderId="21" xfId="43" applyNumberFormat="1" applyFont="1" applyFill="1" applyBorder="1" applyAlignment="1"/>
    <xf numFmtId="170" fontId="2" fillId="22" borderId="20" xfId="43" applyNumberFormat="1" applyFont="1" applyFill="1" applyBorder="1" applyAlignment="1"/>
    <xf numFmtId="0" fontId="0" fillId="0" borderId="25" xfId="0" applyFill="1" applyBorder="1"/>
    <xf numFmtId="174" fontId="2" fillId="0" borderId="0" xfId="28" applyNumberFormat="1" applyFont="1" applyFill="1" applyBorder="1" applyAlignment="1"/>
    <xf numFmtId="176" fontId="2" fillId="0" borderId="17" xfId="28" applyNumberFormat="1" applyFont="1" applyFill="1" applyBorder="1" applyAlignment="1"/>
    <xf numFmtId="166" fontId="2" fillId="0" borderId="21" xfId="28" applyNumberFormat="1" applyFill="1" applyBorder="1"/>
    <xf numFmtId="37" fontId="2" fillId="0" borderId="21" xfId="28" applyNumberFormat="1" applyFill="1" applyBorder="1"/>
    <xf numFmtId="9" fontId="2" fillId="0" borderId="21" xfId="43" applyFill="1" applyBorder="1"/>
    <xf numFmtId="175" fontId="2" fillId="0" borderId="20" xfId="28" applyNumberFormat="1" applyFill="1" applyBorder="1"/>
    <xf numFmtId="166" fontId="2" fillId="0" borderId="18" xfId="28" applyNumberFormat="1" applyFill="1" applyBorder="1"/>
    <xf numFmtId="37" fontId="2" fillId="0" borderId="18" xfId="28" applyNumberFormat="1" applyFill="1" applyBorder="1"/>
    <xf numFmtId="9" fontId="2" fillId="0" borderId="18" xfId="43" applyFill="1" applyBorder="1"/>
    <xf numFmtId="175" fontId="2" fillId="0" borderId="17" xfId="28" applyNumberFormat="1" applyFill="1" applyBorder="1"/>
    <xf numFmtId="3" fontId="2" fillId="0" borderId="25" xfId="28" applyNumberFormat="1" applyFont="1" applyFill="1" applyBorder="1" applyAlignment="1"/>
    <xf numFmtId="0" fontId="1" fillId="0" borderId="11" xfId="0" applyFont="1" applyBorder="1" applyAlignment="1">
      <alignment horizontal="center"/>
    </xf>
    <xf numFmtId="0" fontId="1" fillId="0" borderId="25" xfId="0" applyFont="1" applyBorder="1" applyAlignment="1">
      <alignment horizontal="right" textRotation="90" wrapText="1"/>
    </xf>
    <xf numFmtId="0" fontId="1" fillId="0" borderId="11" xfId="0" applyFont="1" applyBorder="1" applyAlignment="1">
      <alignment vertical="center"/>
    </xf>
    <xf numFmtId="0" fontId="1" fillId="0" borderId="24" xfId="0" applyFont="1" applyFill="1" applyBorder="1" applyAlignment="1">
      <alignment horizontal="right" wrapText="1"/>
    </xf>
    <xf numFmtId="0" fontId="1" fillId="0" borderId="25" xfId="0" applyFont="1" applyFill="1" applyBorder="1" applyAlignment="1">
      <alignment horizontal="right" wrapText="1"/>
    </xf>
    <xf numFmtId="9" fontId="0" fillId="0" borderId="0" xfId="43" applyFont="1" applyBorder="1" applyAlignment="1">
      <alignment horizontal="center"/>
    </xf>
    <xf numFmtId="9" fontId="0" fillId="0" borderId="21" xfId="43" applyFont="1" applyBorder="1" applyAlignment="1">
      <alignment horizontal="center"/>
    </xf>
    <xf numFmtId="9" fontId="0" fillId="0" borderId="19" xfId="43" applyFont="1" applyBorder="1" applyAlignment="1">
      <alignment horizontal="center"/>
    </xf>
    <xf numFmtId="9" fontId="0" fillId="0" borderId="20" xfId="43" applyFont="1" applyBorder="1" applyAlignment="1">
      <alignment horizontal="center"/>
    </xf>
    <xf numFmtId="9" fontId="0" fillId="0" borderId="24" xfId="43" applyFont="1" applyBorder="1" applyAlignment="1">
      <alignment horizontal="center"/>
    </xf>
    <xf numFmtId="9" fontId="0" fillId="0" borderId="25" xfId="43" applyFont="1" applyBorder="1" applyAlignment="1">
      <alignment horizontal="center"/>
    </xf>
    <xf numFmtId="170" fontId="0" fillId="0" borderId="0" xfId="43" applyNumberFormat="1" applyFont="1" applyFill="1" applyBorder="1" applyAlignment="1">
      <alignment horizontal="center" vertical="center"/>
    </xf>
    <xf numFmtId="170" fontId="0" fillId="0" borderId="14" xfId="43" applyNumberFormat="1" applyFont="1" applyFill="1" applyBorder="1" applyAlignment="1">
      <alignment horizontal="center" vertical="center"/>
    </xf>
    <xf numFmtId="170" fontId="0" fillId="0" borderId="13" xfId="43" applyNumberFormat="1" applyFont="1" applyFill="1" applyBorder="1" applyAlignment="1">
      <alignment horizontal="center" vertical="center"/>
    </xf>
    <xf numFmtId="9" fontId="2" fillId="0" borderId="18" xfId="43" applyFont="1" applyFill="1" applyBorder="1"/>
    <xf numFmtId="169" fontId="0" fillId="0" borderId="12" xfId="0" applyNumberFormat="1" applyFont="1" applyBorder="1"/>
    <xf numFmtId="169" fontId="48" fillId="0" borderId="0" xfId="0" applyNumberFormat="1" applyFont="1" applyFill="1" applyBorder="1"/>
    <xf numFmtId="2" fontId="0" fillId="22" borderId="13" xfId="0" applyNumberFormat="1" applyFont="1" applyFill="1" applyBorder="1"/>
    <xf numFmtId="178" fontId="0" fillId="22" borderId="0" xfId="0" applyNumberFormat="1" applyFont="1" applyFill="1" applyBorder="1"/>
    <xf numFmtId="2" fontId="0" fillId="0" borderId="24" xfId="0" applyNumberFormat="1" applyFont="1" applyFill="1" applyBorder="1"/>
    <xf numFmtId="0" fontId="0" fillId="0" borderId="25" xfId="0" applyFont="1" applyBorder="1"/>
    <xf numFmtId="170" fontId="0" fillId="22" borderId="13" xfId="0" applyNumberFormat="1" applyFont="1" applyFill="1" applyBorder="1"/>
    <xf numFmtId="9" fontId="0" fillId="22" borderId="0" xfId="0" applyNumberFormat="1" applyFont="1" applyFill="1" applyBorder="1"/>
    <xf numFmtId="9" fontId="0" fillId="0" borderId="0" xfId="28" applyNumberFormat="1" applyFont="1" applyBorder="1"/>
    <xf numFmtId="169" fontId="0" fillId="0" borderId="13" xfId="28" applyNumberFormat="1" applyFont="1" applyBorder="1"/>
    <xf numFmtId="169" fontId="0" fillId="0" borderId="0" xfId="0" applyNumberFormat="1" applyFont="1" applyBorder="1"/>
    <xf numFmtId="169" fontId="0" fillId="0" borderId="0" xfId="28" applyNumberFormat="1" applyFont="1" applyBorder="1"/>
    <xf numFmtId="178" fontId="0" fillId="0" borderId="0" xfId="28" applyNumberFormat="1" applyFont="1" applyBorder="1"/>
    <xf numFmtId="169" fontId="0" fillId="0" borderId="16" xfId="28" applyNumberFormat="1" applyFont="1" applyBorder="1"/>
    <xf numFmtId="169" fontId="0" fillId="0" borderId="18" xfId="0" applyNumberFormat="1" applyFont="1" applyBorder="1"/>
    <xf numFmtId="169" fontId="0" fillId="0" borderId="18" xfId="28" applyNumberFormat="1" applyFont="1" applyBorder="1"/>
    <xf numFmtId="4" fontId="0" fillId="0" borderId="14" xfId="0" applyNumberFormat="1" applyFont="1" applyFill="1" applyBorder="1"/>
    <xf numFmtId="169" fontId="0" fillId="0" borderId="21" xfId="0" applyNumberFormat="1" applyFont="1" applyFill="1" applyBorder="1" applyAlignment="1">
      <alignment horizontal="right"/>
    </xf>
    <xf numFmtId="174" fontId="0" fillId="22" borderId="0" xfId="0" applyNumberFormat="1" applyFont="1" applyFill="1" applyBorder="1"/>
    <xf numFmtId="169" fontId="0" fillId="0" borderId="0" xfId="28" applyNumberFormat="1" applyFont="1" applyFill="1" applyBorder="1"/>
    <xf numFmtId="165" fontId="0" fillId="22" borderId="0" xfId="0" applyNumberFormat="1" applyFont="1" applyFill="1" applyBorder="1"/>
    <xf numFmtId="2" fontId="0" fillId="22" borderId="0" xfId="0" applyNumberFormat="1" applyFont="1" applyFill="1" applyBorder="1"/>
    <xf numFmtId="2" fontId="0" fillId="22" borderId="18" xfId="0" applyNumberFormat="1" applyFont="1" applyFill="1" applyBorder="1"/>
    <xf numFmtId="2" fontId="0" fillId="0" borderId="13" xfId="0" applyNumberFormat="1" applyFont="1" applyFill="1" applyBorder="1"/>
    <xf numFmtId="178" fontId="0" fillId="0" borderId="0" xfId="0" applyNumberFormat="1" applyFont="1" applyFill="1" applyBorder="1"/>
    <xf numFmtId="169" fontId="0" fillId="0" borderId="11" xfId="0" applyNumberFormat="1" applyFont="1" applyFill="1" applyBorder="1"/>
    <xf numFmtId="4" fontId="48" fillId="0" borderId="0" xfId="0" applyNumberFormat="1" applyFont="1" applyFill="1" applyBorder="1"/>
    <xf numFmtId="2" fontId="0" fillId="0" borderId="0" xfId="0" applyNumberFormat="1" applyFont="1" applyFill="1" applyBorder="1"/>
    <xf numFmtId="0" fontId="1" fillId="0" borderId="24" xfId="0" applyFont="1" applyBorder="1" applyAlignment="1">
      <alignment horizontal="right" textRotation="90" wrapText="1"/>
    </xf>
    <xf numFmtId="0" fontId="1" fillId="0" borderId="11" xfId="0" applyFont="1" applyFill="1" applyBorder="1" applyAlignment="1">
      <alignment wrapText="1"/>
    </xf>
    <xf numFmtId="170" fontId="0" fillId="0" borderId="25" xfId="43" applyNumberFormat="1" applyFont="1" applyFill="1" applyBorder="1" applyAlignment="1">
      <alignment wrapText="1"/>
    </xf>
    <xf numFmtId="170" fontId="0" fillId="0" borderId="0" xfId="43" applyNumberFormat="1" applyFont="1" applyBorder="1" applyAlignment="1">
      <alignment horizontal="right"/>
    </xf>
    <xf numFmtId="169" fontId="0" fillId="0" borderId="19" xfId="0" applyNumberFormat="1" applyFont="1" applyFill="1" applyBorder="1" applyAlignment="1">
      <alignment vertical="center"/>
    </xf>
    <xf numFmtId="174" fontId="0" fillId="0" borderId="24" xfId="0" applyNumberFormat="1" applyFont="1" applyFill="1" applyBorder="1"/>
    <xf numFmtId="4" fontId="0" fillId="0" borderId="25" xfId="0" applyNumberFormat="1" applyFont="1" applyFill="1" applyBorder="1"/>
    <xf numFmtId="3" fontId="0" fillId="0" borderId="24" xfId="0" applyNumberFormat="1" applyFont="1" applyFill="1" applyBorder="1"/>
    <xf numFmtId="169" fontId="0" fillId="0" borderId="13" xfId="0" applyNumberFormat="1" applyFont="1" applyFill="1" applyBorder="1" applyAlignment="1">
      <alignment horizontal="right"/>
    </xf>
    <xf numFmtId="174" fontId="0" fillId="0" borderId="16" xfId="0" applyNumberFormat="1" applyFont="1" applyFill="1" applyBorder="1"/>
    <xf numFmtId="169" fontId="0" fillId="0" borderId="25" xfId="0" applyNumberFormat="1" applyFont="1" applyFill="1" applyBorder="1"/>
    <xf numFmtId="170" fontId="0" fillId="22" borderId="20" xfId="43" applyNumberFormat="1" applyFont="1" applyFill="1" applyBorder="1"/>
    <xf numFmtId="0" fontId="0" fillId="26" borderId="0" xfId="0" applyFill="1" applyBorder="1"/>
    <xf numFmtId="169" fontId="2" fillId="0" borderId="0" xfId="0" applyNumberFormat="1" applyFont="1"/>
    <xf numFmtId="3" fontId="2" fillId="0" borderId="0" xfId="0" applyNumberFormat="1" applyFont="1"/>
    <xf numFmtId="3" fontId="2" fillId="0" borderId="18" xfId="28" applyNumberFormat="1" applyBorder="1"/>
    <xf numFmtId="3" fontId="2" fillId="0" borderId="14" xfId="28" applyNumberFormat="1" applyBorder="1"/>
    <xf numFmtId="3" fontId="2" fillId="0" borderId="17" xfId="28" applyNumberFormat="1" applyBorder="1"/>
    <xf numFmtId="169" fontId="2" fillId="0" borderId="14" xfId="28" applyNumberFormat="1" applyBorder="1"/>
    <xf numFmtId="170" fontId="0" fillId="0" borderId="0" xfId="43" applyNumberFormat="1" applyFont="1" applyFill="1" applyBorder="1" applyAlignment="1">
      <alignment horizontal="right"/>
    </xf>
    <xf numFmtId="170" fontId="0" fillId="0" borderId="15" xfId="43" applyNumberFormat="1" applyFont="1" applyFill="1" applyBorder="1" applyAlignment="1">
      <alignment horizontal="right"/>
    </xf>
    <xf numFmtId="9" fontId="0" fillId="0" borderId="20" xfId="43" applyFont="1" applyFill="1" applyBorder="1" applyAlignment="1">
      <alignment horizontal="center"/>
    </xf>
    <xf numFmtId="0" fontId="0" fillId="0" borderId="22" xfId="0" applyFont="1" applyFill="1" applyBorder="1" applyAlignment="1">
      <alignment vertical="center"/>
    </xf>
    <xf numFmtId="0" fontId="0" fillId="0" borderId="0" xfId="0" applyFont="1"/>
    <xf numFmtId="3" fontId="0" fillId="0" borderId="15" xfId="0" applyNumberFormat="1" applyFont="1" applyBorder="1"/>
    <xf numFmtId="169" fontId="0" fillId="0" borderId="15" xfId="0" applyNumberFormat="1" applyFont="1" applyBorder="1"/>
    <xf numFmtId="3" fontId="0" fillId="0" borderId="0" xfId="28" applyNumberFormat="1" applyFont="1" applyFill="1" applyBorder="1"/>
    <xf numFmtId="3" fontId="0" fillId="0" borderId="18" xfId="28" applyNumberFormat="1" applyFont="1" applyFill="1" applyBorder="1"/>
    <xf numFmtId="169" fontId="0" fillId="0" borderId="21" xfId="0" applyNumberFormat="1" applyFont="1" applyBorder="1"/>
    <xf numFmtId="9" fontId="0" fillId="22" borderId="0" xfId="43" applyFont="1" applyFill="1" applyBorder="1"/>
    <xf numFmtId="177" fontId="0" fillId="0" borderId="0" xfId="0" applyNumberFormat="1" applyFont="1" applyBorder="1"/>
    <xf numFmtId="3" fontId="0" fillId="22" borderId="0" xfId="28" applyNumberFormat="1" applyFont="1" applyFill="1" applyBorder="1"/>
    <xf numFmtId="169" fontId="0" fillId="0" borderId="21" xfId="28" applyNumberFormat="1" applyFont="1" applyFill="1" applyBorder="1"/>
    <xf numFmtId="0" fontId="0" fillId="0" borderId="0" xfId="0"/>
    <xf numFmtId="0" fontId="0" fillId="0" borderId="26" xfId="0" applyBorder="1"/>
    <xf numFmtId="0" fontId="1" fillId="0" borderId="27" xfId="0" applyFont="1" applyBorder="1" applyAlignment="1">
      <alignment wrapText="1"/>
    </xf>
    <xf numFmtId="0" fontId="1" fillId="0" borderId="25" xfId="0" applyFont="1" applyBorder="1" applyAlignment="1">
      <alignment wrapText="1"/>
    </xf>
    <xf numFmtId="164" fontId="0" fillId="0" borderId="19" xfId="0" applyNumberFormat="1" applyBorder="1"/>
    <xf numFmtId="164" fontId="0" fillId="0" borderId="21" xfId="0" applyNumberFormat="1" applyBorder="1"/>
    <xf numFmtId="164" fontId="0" fillId="0" borderId="20" xfId="0" applyNumberFormat="1" applyBorder="1"/>
    <xf numFmtId="164" fontId="0" fillId="0" borderId="17" xfId="43" applyNumberFormat="1" applyFont="1" applyBorder="1"/>
    <xf numFmtId="170" fontId="0" fillId="0" borderId="19" xfId="43" applyNumberFormat="1" applyFont="1" applyBorder="1"/>
    <xf numFmtId="0" fontId="1" fillId="0" borderId="27" xfId="0" applyFont="1" applyBorder="1" applyAlignment="1">
      <alignment horizontal="right" textRotation="90" wrapText="1"/>
    </xf>
    <xf numFmtId="3" fontId="0" fillId="0" borderId="26" xfId="0" applyNumberFormat="1" applyBorder="1"/>
    <xf numFmtId="3" fontId="0" fillId="0" borderId="24" xfId="0" applyNumberFormat="1" applyBorder="1"/>
    <xf numFmtId="3" fontId="0" fillId="0" borderId="27" xfId="0" applyNumberFormat="1" applyBorder="1"/>
    <xf numFmtId="1" fontId="0" fillId="0" borderId="27" xfId="0" applyNumberFormat="1" applyBorder="1"/>
    <xf numFmtId="0" fontId="0" fillId="0" borderId="27" xfId="0" applyBorder="1"/>
    <xf numFmtId="166" fontId="0" fillId="0" borderId="16" xfId="28" applyNumberFormat="1" applyFont="1" applyBorder="1"/>
    <xf numFmtId="166" fontId="0" fillId="0" borderId="18" xfId="28" applyNumberFormat="1" applyFont="1" applyBorder="1"/>
    <xf numFmtId="3" fontId="2" fillId="0" borderId="13" xfId="28" applyNumberFormat="1" applyBorder="1"/>
    <xf numFmtId="3" fontId="2" fillId="0" borderId="0" xfId="28" applyNumberFormat="1" applyBorder="1"/>
    <xf numFmtId="3" fontId="2" fillId="0" borderId="16" xfId="28" applyNumberFormat="1" applyBorder="1"/>
    <xf numFmtId="169" fontId="0" fillId="0" borderId="0" xfId="0" applyNumberFormat="1"/>
    <xf numFmtId="0" fontId="1" fillId="0" borderId="24" xfId="0" applyFont="1" applyBorder="1" applyAlignment="1">
      <alignment wrapText="1"/>
    </xf>
    <xf numFmtId="1" fontId="0" fillId="0" borderId="18" xfId="0" applyNumberFormat="1" applyBorder="1"/>
    <xf numFmtId="0" fontId="0" fillId="0" borderId="0" xfId="0"/>
    <xf numFmtId="170" fontId="2" fillId="0" borderId="12" xfId="43" applyNumberFormat="1" applyFont="1" applyFill="1" applyBorder="1"/>
    <xf numFmtId="3" fontId="2" fillId="0" borderId="14" xfId="0" applyNumberFormat="1" applyFont="1" applyFill="1" applyBorder="1" applyAlignment="1">
      <alignment horizontal="right"/>
    </xf>
    <xf numFmtId="169" fontId="2" fillId="0" borderId="17" xfId="0" applyNumberFormat="1" applyFont="1" applyFill="1" applyBorder="1" applyAlignment="1">
      <alignment horizontal="right"/>
    </xf>
    <xf numFmtId="170" fontId="0" fillId="0" borderId="0" xfId="0" applyNumberFormat="1" applyFill="1" applyBorder="1" applyAlignment="1">
      <alignment horizontal="center"/>
    </xf>
    <xf numFmtId="0" fontId="1" fillId="0" borderId="21" xfId="0" applyFont="1" applyFill="1" applyBorder="1" applyAlignment="1">
      <alignment horizontal="right"/>
    </xf>
    <xf numFmtId="0" fontId="1" fillId="0" borderId="20" xfId="0" applyFont="1" applyFill="1" applyBorder="1" applyAlignment="1">
      <alignment horizontal="right"/>
    </xf>
    <xf numFmtId="9" fontId="2" fillId="0" borderId="17" xfId="43" applyFont="1" applyFill="1" applyBorder="1"/>
    <xf numFmtId="0" fontId="1" fillId="0" borderId="24" xfId="0" applyFont="1" applyFill="1" applyBorder="1" applyAlignment="1">
      <alignment horizontal="right"/>
    </xf>
    <xf numFmtId="0" fontId="1" fillId="0" borderId="25" xfId="0" applyFont="1" applyFill="1" applyBorder="1" applyAlignment="1">
      <alignment horizontal="right"/>
    </xf>
    <xf numFmtId="9" fontId="2" fillId="0" borderId="16" xfId="43" applyFont="1" applyFill="1" applyBorder="1"/>
    <xf numFmtId="2" fontId="2" fillId="0" borderId="18" xfId="0" applyNumberFormat="1" applyFont="1" applyFill="1" applyBorder="1"/>
    <xf numFmtId="2" fontId="2" fillId="0" borderId="17" xfId="0" applyNumberFormat="1" applyFont="1" applyFill="1" applyBorder="1"/>
    <xf numFmtId="169" fontId="0" fillId="0" borderId="19" xfId="0" applyNumberFormat="1" applyFill="1" applyBorder="1" applyAlignment="1"/>
    <xf numFmtId="169" fontId="0" fillId="0" borderId="13" xfId="0" applyNumberFormat="1" applyFill="1" applyBorder="1" applyAlignment="1"/>
    <xf numFmtId="169" fontId="0" fillId="0" borderId="16" xfId="0" applyNumberFormat="1" applyFill="1" applyBorder="1" applyAlignment="1"/>
    <xf numFmtId="3" fontId="0" fillId="0" borderId="16" xfId="0" applyNumberFormat="1" applyFill="1" applyBorder="1" applyAlignment="1"/>
    <xf numFmtId="0" fontId="1" fillId="0" borderId="27" xfId="0" applyFont="1" applyBorder="1" applyAlignment="1">
      <alignment textRotation="90" wrapText="1"/>
    </xf>
    <xf numFmtId="0" fontId="1" fillId="0" borderId="25" xfId="0" applyFont="1" applyBorder="1" applyAlignment="1">
      <alignment textRotation="90" wrapText="1"/>
    </xf>
    <xf numFmtId="170" fontId="0" fillId="0" borderId="27" xfId="0" applyNumberFormat="1" applyBorder="1"/>
    <xf numFmtId="170" fontId="0" fillId="0" borderId="25" xfId="0" applyNumberFormat="1" applyBorder="1"/>
    <xf numFmtId="0" fontId="1" fillId="0" borderId="24" xfId="0" applyFont="1" applyBorder="1" applyAlignment="1">
      <alignment textRotation="90" wrapText="1"/>
    </xf>
    <xf numFmtId="0" fontId="1" fillId="0" borderId="25" xfId="0" applyFont="1" applyFill="1" applyBorder="1" applyAlignment="1">
      <alignment textRotation="90" wrapText="1"/>
    </xf>
    <xf numFmtId="3" fontId="2" fillId="0" borderId="18" xfId="28" applyNumberFormat="1" applyFill="1" applyBorder="1"/>
    <xf numFmtId="0" fontId="1" fillId="0" borderId="27" xfId="0" applyFont="1" applyFill="1" applyBorder="1" applyAlignment="1">
      <alignment textRotation="90" wrapText="1"/>
    </xf>
    <xf numFmtId="166" fontId="2" fillId="0" borderId="0" xfId="28" applyNumberFormat="1" applyFill="1" applyBorder="1"/>
    <xf numFmtId="37" fontId="2" fillId="0" borderId="0" xfId="28" applyNumberFormat="1" applyFill="1" applyBorder="1"/>
    <xf numFmtId="9" fontId="2" fillId="0" borderId="0" xfId="43" applyFill="1" applyBorder="1"/>
    <xf numFmtId="175" fontId="2" fillId="0" borderId="14" xfId="28" applyNumberFormat="1" applyFill="1" applyBorder="1"/>
    <xf numFmtId="170" fontId="2" fillId="0" borderId="16" xfId="43" applyNumberFormat="1" applyFont="1" applyFill="1" applyBorder="1" applyAlignment="1">
      <alignment horizontal="center"/>
    </xf>
    <xf numFmtId="0" fontId="2" fillId="0" borderId="26" xfId="0" applyFont="1" applyBorder="1"/>
    <xf numFmtId="0" fontId="2" fillId="0" borderId="26" xfId="0" applyFont="1" applyFill="1" applyBorder="1"/>
    <xf numFmtId="170" fontId="2" fillId="0" borderId="13" xfId="43" applyNumberFormat="1" applyFont="1" applyFill="1" applyBorder="1" applyAlignment="1"/>
    <xf numFmtId="170" fontId="0" fillId="0" borderId="12" xfId="43" applyNumberFormat="1" applyFont="1" applyFill="1" applyBorder="1" applyAlignment="1"/>
    <xf numFmtId="0" fontId="0" fillId="0" borderId="26" xfId="0" applyFill="1" applyBorder="1"/>
    <xf numFmtId="3" fontId="0" fillId="0" borderId="27" xfId="0" applyNumberFormat="1" applyFill="1" applyBorder="1"/>
    <xf numFmtId="0" fontId="1" fillId="0" borderId="25" xfId="0" applyFont="1" applyFill="1" applyBorder="1" applyAlignment="1">
      <alignment wrapText="1"/>
    </xf>
    <xf numFmtId="3" fontId="1" fillId="0" borderId="27" xfId="28" applyNumberFormat="1" applyFont="1" applyFill="1" applyBorder="1" applyAlignment="1">
      <alignment horizontal="center" vertical="center" wrapText="1"/>
    </xf>
    <xf numFmtId="3" fontId="2" fillId="22" borderId="27" xfId="28" applyNumberFormat="1" applyFont="1" applyFill="1" applyBorder="1" applyAlignment="1"/>
    <xf numFmtId="3" fontId="1" fillId="0" borderId="25" xfId="28" applyNumberFormat="1" applyFont="1" applyFill="1" applyBorder="1" applyAlignment="1">
      <alignment horizontal="center" vertical="center" wrapText="1"/>
    </xf>
    <xf numFmtId="170" fontId="2" fillId="22" borderId="19" xfId="43" applyNumberFormat="1" applyFont="1" applyFill="1" applyBorder="1" applyAlignment="1"/>
    <xf numFmtId="3" fontId="1" fillId="0" borderId="20" xfId="0" applyNumberFormat="1" applyFont="1" applyFill="1" applyBorder="1" applyAlignment="1">
      <alignment horizontal="center"/>
    </xf>
    <xf numFmtId="10" fontId="0" fillId="0" borderId="0" xfId="0" applyNumberFormat="1" applyFont="1" applyBorder="1"/>
    <xf numFmtId="0" fontId="1" fillId="0" borderId="15" xfId="0" applyFont="1" applyBorder="1"/>
    <xf numFmtId="0" fontId="0" fillId="0" borderId="18" xfId="0" applyFont="1" applyBorder="1" applyAlignment="1">
      <alignment horizontal="center" wrapText="1"/>
    </xf>
    <xf numFmtId="0" fontId="0" fillId="0" borderId="18" xfId="0" applyFont="1" applyBorder="1" applyAlignment="1">
      <alignment horizontal="center"/>
    </xf>
    <xf numFmtId="170" fontId="0" fillId="0" borderId="16" xfId="43" applyNumberFormat="1" applyFont="1" applyBorder="1" applyAlignment="1">
      <alignment horizontal="center" wrapText="1"/>
    </xf>
    <xf numFmtId="170" fontId="0" fillId="0" borderId="18" xfId="43" applyNumberFormat="1" applyFont="1" applyBorder="1" applyAlignment="1">
      <alignment horizontal="center" wrapText="1"/>
    </xf>
    <xf numFmtId="170" fontId="0" fillId="0" borderId="17" xfId="43" applyNumberFormat="1" applyFont="1" applyBorder="1" applyAlignment="1">
      <alignment horizontal="center" wrapText="1"/>
    </xf>
    <xf numFmtId="170" fontId="0" fillId="0" borderId="18" xfId="43" applyNumberFormat="1" applyFont="1" applyFill="1" applyBorder="1" applyAlignment="1">
      <alignment horizontal="center"/>
    </xf>
    <xf numFmtId="170" fontId="0" fillId="0" borderId="17" xfId="43" applyNumberFormat="1" applyFont="1" applyFill="1" applyBorder="1" applyAlignment="1">
      <alignment horizontal="center"/>
    </xf>
    <xf numFmtId="0" fontId="0" fillId="0" borderId="12" xfId="0" applyFont="1" applyBorder="1" applyAlignment="1">
      <alignment horizontal="right"/>
    </xf>
    <xf numFmtId="0" fontId="0" fillId="0" borderId="11" xfId="0" applyFont="1" applyBorder="1" applyAlignment="1">
      <alignment horizontal="right"/>
    </xf>
    <xf numFmtId="9" fontId="0" fillId="0" borderId="21" xfId="43" applyNumberFormat="1" applyFont="1" applyFill="1" applyBorder="1" applyAlignment="1">
      <alignment horizontal="center"/>
    </xf>
    <xf numFmtId="0" fontId="0" fillId="0" borderId="15" xfId="0" applyFont="1" applyBorder="1" applyAlignment="1">
      <alignment horizontal="right"/>
    </xf>
    <xf numFmtId="9" fontId="0" fillId="22" borderId="18" xfId="43" applyFont="1" applyFill="1" applyBorder="1" applyAlignment="1">
      <alignment horizontal="center"/>
    </xf>
    <xf numFmtId="9" fontId="0" fillId="0" borderId="18" xfId="43" applyFont="1" applyFill="1" applyBorder="1" applyAlignment="1">
      <alignment horizontal="center"/>
    </xf>
    <xf numFmtId="9" fontId="0" fillId="22" borderId="16" xfId="43" applyNumberFormat="1" applyFont="1" applyFill="1" applyBorder="1" applyAlignment="1">
      <alignment horizontal="center"/>
    </xf>
    <xf numFmtId="9" fontId="0" fillId="22" borderId="18" xfId="43" applyNumberFormat="1" applyFont="1" applyFill="1" applyBorder="1" applyAlignment="1">
      <alignment horizontal="center"/>
    </xf>
    <xf numFmtId="9" fontId="0" fillId="0" borderId="17" xfId="43" applyNumberFormat="1" applyFont="1" applyFill="1" applyBorder="1" applyAlignment="1">
      <alignment horizontal="center"/>
    </xf>
    <xf numFmtId="9" fontId="0" fillId="0" borderId="18" xfId="43" applyNumberFormat="1" applyFont="1" applyFill="1" applyBorder="1" applyAlignment="1">
      <alignment horizontal="center"/>
    </xf>
    <xf numFmtId="9" fontId="0" fillId="22" borderId="17" xfId="43" applyNumberFormat="1" applyFont="1" applyFill="1" applyBorder="1" applyAlignment="1">
      <alignment horizontal="center"/>
    </xf>
    <xf numFmtId="9" fontId="0" fillId="0" borderId="0" xfId="43" applyNumberFormat="1" applyFont="1" applyFill="1" applyBorder="1" applyAlignment="1">
      <alignment horizontal="center"/>
    </xf>
    <xf numFmtId="0" fontId="0" fillId="26" borderId="21" xfId="0" applyFont="1" applyFill="1" applyBorder="1"/>
    <xf numFmtId="0" fontId="0" fillId="26" borderId="19" xfId="0" applyFont="1" applyFill="1" applyBorder="1"/>
    <xf numFmtId="0" fontId="0" fillId="26" borderId="20" xfId="0" applyFont="1" applyFill="1" applyBorder="1"/>
    <xf numFmtId="169" fontId="0" fillId="22" borderId="19" xfId="0" applyNumberFormat="1" applyFont="1" applyFill="1" applyBorder="1"/>
    <xf numFmtId="9" fontId="0" fillId="22" borderId="20" xfId="43" applyFont="1" applyFill="1" applyBorder="1"/>
    <xf numFmtId="174" fontId="0" fillId="22" borderId="13" xfId="0" applyNumberFormat="1" applyFont="1" applyFill="1" applyBorder="1"/>
    <xf numFmtId="165" fontId="0" fillId="22" borderId="13" xfId="0" applyNumberFormat="1" applyFont="1" applyFill="1" applyBorder="1"/>
    <xf numFmtId="9" fontId="0" fillId="22" borderId="14" xfId="43" applyFont="1" applyFill="1" applyBorder="1"/>
    <xf numFmtId="9" fontId="0" fillId="0" borderId="0" xfId="43" applyFont="1" applyFill="1" applyBorder="1"/>
    <xf numFmtId="0" fontId="0" fillId="26" borderId="13" xfId="0" applyFont="1" applyFill="1" applyBorder="1"/>
    <xf numFmtId="0" fontId="0" fillId="26" borderId="14" xfId="0" applyFont="1" applyFill="1" applyBorder="1"/>
    <xf numFmtId="3" fontId="0" fillId="22" borderId="0" xfId="0" applyNumberFormat="1" applyFont="1" applyFill="1" applyBorder="1"/>
    <xf numFmtId="3" fontId="0" fillId="22" borderId="13" xfId="0" applyNumberFormat="1" applyFont="1" applyFill="1" applyBorder="1"/>
    <xf numFmtId="174" fontId="0" fillId="22" borderId="16" xfId="0" applyNumberFormat="1" applyFont="1" applyFill="1" applyBorder="1"/>
    <xf numFmtId="9" fontId="0" fillId="22" borderId="18" xfId="43" applyFont="1" applyFill="1" applyBorder="1"/>
    <xf numFmtId="165" fontId="0" fillId="22" borderId="16" xfId="0" applyNumberFormat="1" applyFont="1" applyFill="1" applyBorder="1"/>
    <xf numFmtId="9" fontId="0" fillId="22" borderId="17" xfId="43" applyFont="1" applyFill="1" applyBorder="1"/>
    <xf numFmtId="165" fontId="0" fillId="22" borderId="18" xfId="0" applyNumberFormat="1" applyFont="1" applyFill="1" applyBorder="1"/>
    <xf numFmtId="9" fontId="0" fillId="0" borderId="18" xfId="43" applyFont="1" applyFill="1" applyBorder="1"/>
    <xf numFmtId="0" fontId="0" fillId="26" borderId="16" xfId="0" applyFont="1" applyFill="1" applyBorder="1"/>
    <xf numFmtId="0" fontId="0" fillId="26" borderId="17" xfId="0" applyFont="1" applyFill="1" applyBorder="1"/>
    <xf numFmtId="3" fontId="0" fillId="22" borderId="0" xfId="43" applyNumberFormat="1" applyFont="1" applyFill="1" applyBorder="1"/>
    <xf numFmtId="9" fontId="0" fillId="0" borderId="0" xfId="0" applyNumberFormat="1" applyFont="1" applyBorder="1"/>
    <xf numFmtId="0" fontId="0" fillId="0" borderId="27" xfId="0" applyFont="1" applyBorder="1"/>
    <xf numFmtId="0" fontId="0" fillId="0" borderId="22" xfId="0" applyFont="1" applyBorder="1" applyAlignment="1">
      <alignment vertical="center"/>
    </xf>
    <xf numFmtId="4" fontId="0" fillId="0" borderId="0" xfId="0" applyNumberFormat="1" applyFont="1" applyFill="1" applyBorder="1"/>
    <xf numFmtId="0" fontId="1" fillId="26" borderId="27" xfId="0" applyFont="1" applyFill="1" applyBorder="1" applyAlignment="1">
      <alignment wrapText="1"/>
    </xf>
    <xf numFmtId="0" fontId="0" fillId="26" borderId="21" xfId="0" applyFill="1" applyBorder="1"/>
    <xf numFmtId="169" fontId="0" fillId="26" borderId="0" xfId="0" applyNumberFormat="1" applyFill="1" applyBorder="1"/>
    <xf numFmtId="3" fontId="0" fillId="26" borderId="18" xfId="0" applyNumberFormat="1" applyFill="1" applyBorder="1"/>
    <xf numFmtId="3" fontId="0" fillId="26" borderId="0" xfId="0" applyNumberFormat="1" applyFill="1" applyBorder="1"/>
    <xf numFmtId="3" fontId="2" fillId="26" borderId="0" xfId="28" applyNumberFormat="1" applyFill="1" applyBorder="1"/>
    <xf numFmtId="3" fontId="2" fillId="26" borderId="18" xfId="28" applyNumberFormat="1" applyFill="1" applyBorder="1"/>
    <xf numFmtId="169" fontId="0" fillId="26" borderId="18" xfId="0" applyNumberFormat="1" applyFill="1" applyBorder="1"/>
    <xf numFmtId="0" fontId="0" fillId="0" borderId="17" xfId="0" applyFont="1" applyFill="1" applyBorder="1" applyAlignment="1">
      <alignment horizontal="right" wrapText="1"/>
    </xf>
    <xf numFmtId="170" fontId="0" fillId="0" borderId="19" xfId="43" applyNumberFormat="1" applyFont="1" applyFill="1" applyBorder="1"/>
    <xf numFmtId="170" fontId="0" fillId="0" borderId="21" xfId="43" applyNumberFormat="1" applyFont="1" applyFill="1" applyBorder="1"/>
    <xf numFmtId="0" fontId="0" fillId="0" borderId="27" xfId="0" applyFill="1" applyBorder="1" applyAlignment="1">
      <alignment horizontal="right" wrapText="1"/>
    </xf>
    <xf numFmtId="170" fontId="2" fillId="0" borderId="12" xfId="0" applyNumberFormat="1" applyFont="1" applyFill="1" applyBorder="1" applyAlignment="1">
      <alignment horizontal="right" wrapText="1"/>
    </xf>
    <xf numFmtId="170" fontId="2" fillId="0" borderId="15" xfId="0" applyNumberFormat="1" applyFont="1" applyFill="1" applyBorder="1" applyAlignment="1">
      <alignment horizontal="right" wrapText="1"/>
    </xf>
    <xf numFmtId="0" fontId="2" fillId="0" borderId="24" xfId="0" applyFont="1" applyFill="1" applyBorder="1"/>
    <xf numFmtId="170" fontId="2" fillId="0" borderId="17" xfId="43" applyNumberFormat="1" applyFont="1" applyFill="1" applyBorder="1" applyAlignment="1">
      <alignment horizontal="center"/>
    </xf>
    <xf numFmtId="0" fontId="0" fillId="0" borderId="24" xfId="0" applyFont="1" applyFill="1" applyBorder="1"/>
    <xf numFmtId="0" fontId="0" fillId="0" borderId="27" xfId="0" applyFill="1" applyBorder="1"/>
    <xf numFmtId="170" fontId="0" fillId="0" borderId="16" xfId="0" applyNumberFormat="1" applyFont="1" applyFill="1" applyBorder="1"/>
    <xf numFmtId="0" fontId="1" fillId="0" borderId="26" xfId="0" applyFont="1" applyBorder="1"/>
    <xf numFmtId="0" fontId="1" fillId="0" borderId="21" xfId="0" applyFont="1" applyBorder="1" applyAlignment="1">
      <alignment textRotation="90" wrapText="1"/>
    </xf>
    <xf numFmtId="0" fontId="53" fillId="0" borderId="0" xfId="0" applyFont="1" applyAlignment="1">
      <alignment textRotation="90" wrapText="1"/>
    </xf>
    <xf numFmtId="164" fontId="54" fillId="0" borderId="21" xfId="0" applyNumberFormat="1" applyFont="1" applyBorder="1"/>
    <xf numFmtId="164" fontId="54" fillId="0" borderId="0" xfId="0" applyNumberFormat="1" applyFont="1"/>
    <xf numFmtId="0" fontId="54" fillId="0" borderId="0" xfId="0" applyFont="1"/>
    <xf numFmtId="0" fontId="54" fillId="0" borderId="18" xfId="0" applyFont="1" applyBorder="1"/>
    <xf numFmtId="0" fontId="0" fillId="0" borderId="0" xfId="0" applyAlignment="1">
      <alignment wrapText="1"/>
    </xf>
    <xf numFmtId="0" fontId="1" fillId="0" borderId="0" xfId="0" applyFont="1" applyAlignment="1">
      <alignment horizontal="center" wrapText="1"/>
    </xf>
    <xf numFmtId="0" fontId="1" fillId="0" borderId="0" xfId="0" applyFont="1" applyAlignment="1">
      <alignment textRotation="90" wrapText="1"/>
    </xf>
    <xf numFmtId="0" fontId="1" fillId="0" borderId="12" xfId="0" applyFont="1" applyBorder="1" applyAlignment="1">
      <alignment wrapText="1"/>
    </xf>
    <xf numFmtId="169" fontId="0" fillId="22" borderId="13" xfId="0" applyNumberFormat="1" applyFill="1" applyBorder="1"/>
    <xf numFmtId="0" fontId="0" fillId="22" borderId="13" xfId="0" applyFill="1" applyBorder="1"/>
    <xf numFmtId="9" fontId="0" fillId="22" borderId="13" xfId="0" applyNumberFormat="1" applyFill="1" applyBorder="1"/>
    <xf numFmtId="9" fontId="0" fillId="0" borderId="0" xfId="0" applyNumberFormat="1"/>
    <xf numFmtId="3" fontId="0" fillId="0" borderId="25" xfId="0" applyNumberFormat="1" applyBorder="1"/>
    <xf numFmtId="164" fontId="0" fillId="19" borderId="0" xfId="0" applyNumberFormat="1" applyFill="1"/>
    <xf numFmtId="3" fontId="1" fillId="0" borderId="19" xfId="28" applyNumberFormat="1" applyFont="1" applyFill="1" applyBorder="1" applyAlignment="1">
      <alignment horizontal="right" wrapText="1"/>
    </xf>
    <xf numFmtId="3" fontId="1" fillId="0" borderId="21" xfId="28" applyNumberFormat="1" applyFont="1" applyFill="1" applyBorder="1" applyAlignment="1">
      <alignment horizontal="right" wrapText="1"/>
    </xf>
    <xf numFmtId="3" fontId="1" fillId="0" borderId="20" xfId="28" applyNumberFormat="1" applyFont="1" applyFill="1" applyBorder="1" applyAlignment="1">
      <alignment horizontal="right" wrapText="1"/>
    </xf>
    <xf numFmtId="3" fontId="2" fillId="19" borderId="24" xfId="28" applyNumberFormat="1" applyFont="1" applyFill="1" applyBorder="1" applyAlignment="1"/>
    <xf numFmtId="3" fontId="2" fillId="19" borderId="27" xfId="28" applyNumberFormat="1" applyFont="1" applyFill="1" applyBorder="1" applyAlignment="1"/>
    <xf numFmtId="3" fontId="2" fillId="19" borderId="25" xfId="28" applyNumberFormat="1" applyFont="1" applyFill="1" applyBorder="1" applyAlignment="1"/>
    <xf numFmtId="0" fontId="1" fillId="0" borderId="24" xfId="0" applyFont="1" applyBorder="1" applyAlignment="1">
      <alignment horizontal="centerContinuous" wrapText="1"/>
    </xf>
    <xf numFmtId="0" fontId="1" fillId="0" borderId="27" xfId="0" applyFont="1" applyBorder="1" applyAlignment="1">
      <alignment horizontal="centerContinuous" wrapText="1"/>
    </xf>
    <xf numFmtId="0" fontId="1" fillId="0" borderId="25" xfId="0" applyFont="1" applyBorder="1" applyAlignment="1">
      <alignment horizontal="centerContinuous" wrapText="1"/>
    </xf>
    <xf numFmtId="3" fontId="2" fillId="0" borderId="16" xfId="0" applyNumberFormat="1" applyFont="1" applyBorder="1"/>
    <xf numFmtId="170" fontId="54" fillId="0" borderId="0" xfId="0" applyNumberFormat="1" applyFont="1" applyFill="1" applyBorder="1"/>
    <xf numFmtId="184" fontId="0" fillId="0" borderId="0" xfId="0" applyNumberFormat="1" applyFill="1"/>
    <xf numFmtId="0" fontId="55" fillId="0" borderId="0" xfId="0" applyFont="1" applyAlignment="1">
      <alignment horizontal="left" vertical="center" indent="1"/>
    </xf>
    <xf numFmtId="0" fontId="55" fillId="0" borderId="0" xfId="0" applyFont="1" applyAlignment="1">
      <alignment horizontal="left" vertical="center" indent="2"/>
    </xf>
    <xf numFmtId="0" fontId="55" fillId="0" borderId="0" xfId="0" applyFont="1"/>
    <xf numFmtId="0" fontId="0" fillId="0" borderId="0" xfId="0" applyAlignment="1">
      <alignment horizontal="left" indent="1"/>
    </xf>
    <xf numFmtId="0" fontId="55" fillId="0" borderId="0" xfId="0" applyFont="1" applyAlignment="1">
      <alignment horizontal="left" indent="1"/>
    </xf>
    <xf numFmtId="169" fontId="0" fillId="0" borderId="0" xfId="0" applyNumberFormat="1" applyFont="1" applyFill="1"/>
    <xf numFmtId="0" fontId="56" fillId="0" borderId="0" xfId="0" applyFont="1"/>
    <xf numFmtId="0" fontId="2" fillId="0" borderId="27" xfId="0" applyFont="1" applyBorder="1" applyAlignment="1">
      <alignment horizontal="right"/>
    </xf>
    <xf numFmtId="0" fontId="2" fillId="0" borderId="27" xfId="0" applyFont="1" applyBorder="1" applyAlignment="1">
      <alignment horizontal="right" wrapText="1"/>
    </xf>
    <xf numFmtId="0" fontId="0" fillId="0" borderId="27" xfId="0" applyBorder="1" applyAlignment="1">
      <alignment horizontal="right"/>
    </xf>
    <xf numFmtId="170" fontId="2" fillId="22" borderId="0" xfId="0" applyNumberFormat="1" applyFont="1" applyFill="1"/>
    <xf numFmtId="0" fontId="0" fillId="18" borderId="0" xfId="0" applyFill="1" applyBorder="1" applyAlignment="1">
      <alignment horizontal="center"/>
    </xf>
    <xf numFmtId="0" fontId="0" fillId="27" borderId="0" xfId="0" applyFill="1" applyBorder="1" applyAlignment="1">
      <alignment horizontal="center"/>
    </xf>
    <xf numFmtId="0" fontId="0" fillId="0" borderId="25" xfId="0" applyFont="1" applyFill="1" applyBorder="1"/>
    <xf numFmtId="170" fontId="0" fillId="22" borderId="13" xfId="43" applyNumberFormat="1" applyFont="1" applyFill="1" applyBorder="1"/>
    <xf numFmtId="170" fontId="0" fillId="22" borderId="16" xfId="43" applyNumberFormat="1" applyFont="1" applyFill="1" applyBorder="1"/>
    <xf numFmtId="0" fontId="0" fillId="0" borderId="27" xfId="0" applyFont="1" applyFill="1" applyBorder="1" applyAlignment="1">
      <alignment horizontal="right" wrapText="1"/>
    </xf>
    <xf numFmtId="170" fontId="0" fillId="22" borderId="14" xfId="0" applyNumberFormat="1" applyFont="1" applyFill="1" applyBorder="1"/>
    <xf numFmtId="170" fontId="2" fillId="24" borderId="0" xfId="43" applyNumberFormat="1" applyFont="1" applyFill="1" applyBorder="1"/>
    <xf numFmtId="170" fontId="2" fillId="22" borderId="13" xfId="43" applyNumberFormat="1" applyFont="1" applyFill="1" applyBorder="1"/>
    <xf numFmtId="170" fontId="2" fillId="22" borderId="16" xfId="43" applyNumberFormat="1" applyFont="1" applyFill="1" applyBorder="1"/>
    <xf numFmtId="170" fontId="2" fillId="22" borderId="0" xfId="43" applyNumberFormat="1" applyFont="1" applyFill="1"/>
    <xf numFmtId="0" fontId="2" fillId="0" borderId="27" xfId="0" applyFont="1" applyFill="1" applyBorder="1"/>
    <xf numFmtId="0" fontId="2" fillId="0" borderId="25" xfId="0" applyFont="1" applyFill="1" applyBorder="1"/>
    <xf numFmtId="3" fontId="0" fillId="0" borderId="27" xfId="0" applyNumberFormat="1" applyFont="1" applyFill="1" applyBorder="1"/>
    <xf numFmtId="3" fontId="0" fillId="0" borderId="25" xfId="0" applyNumberFormat="1" applyFont="1" applyFill="1" applyBorder="1"/>
    <xf numFmtId="3" fontId="0" fillId="0" borderId="21" xfId="0" applyNumberFormat="1" applyFont="1" applyFill="1" applyBorder="1"/>
    <xf numFmtId="3" fontId="0" fillId="0" borderId="20" xfId="0" applyNumberFormat="1" applyFont="1" applyFill="1" applyBorder="1"/>
    <xf numFmtId="3" fontId="0" fillId="0" borderId="19" xfId="0" applyNumberFormat="1" applyFont="1" applyFill="1" applyBorder="1"/>
    <xf numFmtId="3" fontId="0" fillId="0" borderId="12" xfId="0" applyNumberFormat="1" applyFont="1" applyFill="1" applyBorder="1"/>
    <xf numFmtId="3" fontId="0" fillId="0" borderId="26" xfId="0" applyNumberFormat="1" applyFont="1" applyFill="1" applyBorder="1"/>
    <xf numFmtId="3" fontId="0" fillId="0" borderId="15" xfId="0" applyNumberFormat="1" applyFont="1" applyFill="1" applyBorder="1"/>
    <xf numFmtId="0" fontId="2" fillId="0" borderId="15" xfId="0" applyFont="1" applyFill="1" applyBorder="1" applyAlignment="1">
      <alignment wrapText="1"/>
    </xf>
    <xf numFmtId="169" fontId="0" fillId="0" borderId="16" xfId="28" applyNumberFormat="1" applyFont="1" applyFill="1" applyBorder="1"/>
    <xf numFmtId="3" fontId="0" fillId="0" borderId="16" xfId="28" applyNumberFormat="1" applyFont="1" applyFill="1" applyBorder="1"/>
    <xf numFmtId="3" fontId="0" fillId="0" borderId="17" xfId="28" applyNumberFormat="1" applyFont="1" applyFill="1" applyBorder="1"/>
    <xf numFmtId="0" fontId="1" fillId="0" borderId="27" xfId="0" applyFont="1" applyFill="1" applyBorder="1"/>
    <xf numFmtId="0" fontId="1" fillId="0" borderId="25" xfId="0" applyFont="1" applyFill="1" applyBorder="1"/>
    <xf numFmtId="0" fontId="1" fillId="0" borderId="17" xfId="0" applyFont="1" applyFill="1" applyBorder="1"/>
    <xf numFmtId="0" fontId="1" fillId="0" borderId="21" xfId="0" applyFont="1" applyFill="1" applyBorder="1"/>
    <xf numFmtId="0" fontId="1" fillId="0" borderId="20" xfId="0" applyFont="1" applyFill="1" applyBorder="1"/>
    <xf numFmtId="0" fontId="1" fillId="0" borderId="24" xfId="0" applyFont="1" applyFill="1" applyBorder="1"/>
    <xf numFmtId="169" fontId="0" fillId="0" borderId="26" xfId="0" applyNumberFormat="1" applyFont="1" applyFill="1" applyBorder="1"/>
    <xf numFmtId="169" fontId="10" fillId="0" borderId="0" xfId="0" applyNumberFormat="1" applyFont="1" applyFill="1"/>
    <xf numFmtId="0" fontId="1" fillId="0" borderId="24" xfId="0" applyFont="1" applyFill="1" applyBorder="1" applyAlignment="1">
      <alignment wrapText="1"/>
    </xf>
    <xf numFmtId="0" fontId="1" fillId="0" borderId="27" xfId="0" applyFont="1" applyFill="1" applyBorder="1" applyAlignment="1">
      <alignment wrapText="1"/>
    </xf>
    <xf numFmtId="3" fontId="2" fillId="0" borderId="26" xfId="0" applyNumberFormat="1" applyFont="1" applyFill="1" applyBorder="1"/>
    <xf numFmtId="3" fontId="2" fillId="0" borderId="27" xfId="0" applyNumberFormat="1" applyFont="1" applyFill="1" applyBorder="1"/>
    <xf numFmtId="3" fontId="0" fillId="0" borderId="13" xfId="28" applyNumberFormat="1" applyFont="1" applyFill="1" applyBorder="1"/>
    <xf numFmtId="3" fontId="0" fillId="0" borderId="12" xfId="28" applyNumberFormat="1" applyFont="1" applyFill="1" applyBorder="1"/>
    <xf numFmtId="3" fontId="0" fillId="0" borderId="15" xfId="28" applyNumberFormat="1" applyFont="1" applyFill="1" applyBorder="1"/>
    <xf numFmtId="164" fontId="0" fillId="0" borderId="19" xfId="0" applyNumberFormat="1" applyFont="1" applyFill="1" applyBorder="1" applyAlignment="1">
      <alignment horizontal="right"/>
    </xf>
    <xf numFmtId="164" fontId="0" fillId="0" borderId="11" xfId="0" applyNumberFormat="1" applyFont="1" applyFill="1" applyBorder="1" applyAlignment="1">
      <alignment horizontal="right"/>
    </xf>
    <xf numFmtId="0" fontId="1" fillId="0" borderId="16" xfId="0" applyFont="1" applyFill="1" applyBorder="1" applyAlignment="1">
      <alignment horizontal="right" vertical="center" wrapText="1"/>
    </xf>
    <xf numFmtId="0" fontId="1" fillId="0" borderId="18" xfId="0" applyFont="1" applyFill="1" applyBorder="1" applyAlignment="1">
      <alignment horizontal="right" vertical="center" wrapText="1"/>
    </xf>
    <xf numFmtId="0" fontId="0" fillId="0" borderId="11" xfId="0" applyFont="1" applyFill="1" applyBorder="1" applyAlignment="1">
      <alignment wrapText="1"/>
    </xf>
    <xf numFmtId="0" fontId="2" fillId="0" borderId="0" xfId="0" applyFont="1" applyAlignment="1">
      <alignment wrapText="1"/>
    </xf>
    <xf numFmtId="0" fontId="0" fillId="0" borderId="15" xfId="0" applyFont="1" applyFill="1" applyBorder="1" applyAlignment="1">
      <alignment wrapText="1"/>
    </xf>
    <xf numFmtId="0" fontId="1" fillId="0" borderId="18" xfId="0" applyFont="1" applyFill="1" applyBorder="1" applyAlignment="1">
      <alignment vertical="center" wrapText="1"/>
    </xf>
    <xf numFmtId="0" fontId="1" fillId="0" borderId="18" xfId="0" applyFont="1" applyFill="1" applyBorder="1" applyAlignment="1">
      <alignment horizontal="center" vertical="center" wrapText="1"/>
    </xf>
    <xf numFmtId="0" fontId="1" fillId="0" borderId="26" xfId="0" applyFont="1" applyFill="1" applyBorder="1" applyAlignment="1">
      <alignment horizontal="center" vertical="center" wrapText="1"/>
    </xf>
    <xf numFmtId="0" fontId="57" fillId="0" borderId="11" xfId="0" applyFont="1" applyFill="1" applyBorder="1" applyAlignment="1">
      <alignment vertical="center"/>
    </xf>
    <xf numFmtId="0" fontId="2" fillId="0" borderId="0" xfId="0" applyFont="1" applyBorder="1" applyAlignment="1">
      <alignment vertical="center"/>
    </xf>
    <xf numFmtId="0" fontId="2" fillId="0" borderId="0" xfId="0" applyFont="1" applyAlignment="1">
      <alignment vertical="center"/>
    </xf>
    <xf numFmtId="0" fontId="57" fillId="0" borderId="12" xfId="0" applyFont="1" applyFill="1" applyBorder="1" applyAlignment="1">
      <alignment vertical="center"/>
    </xf>
    <xf numFmtId="0" fontId="57" fillId="0" borderId="15" xfId="0" applyFont="1" applyFill="1" applyBorder="1" applyAlignment="1">
      <alignment vertical="center" wrapText="1"/>
    </xf>
    <xf numFmtId="0" fontId="2" fillId="0" borderId="0" xfId="0" applyFont="1" applyBorder="1" applyAlignment="1">
      <alignment vertical="center" wrapText="1"/>
    </xf>
    <xf numFmtId="0" fontId="2" fillId="0" borderId="0" xfId="0" applyFont="1" applyAlignment="1">
      <alignment vertical="center" wrapText="1"/>
    </xf>
    <xf numFmtId="0" fontId="0" fillId="0" borderId="24" xfId="0" applyFont="1" applyFill="1" applyBorder="1" applyAlignment="1">
      <alignment wrapText="1"/>
    </xf>
    <xf numFmtId="0" fontId="2" fillId="0" borderId="0" xfId="0" applyFont="1" applyFill="1" applyAlignment="1">
      <alignment vertical="center" wrapText="1"/>
    </xf>
    <xf numFmtId="0" fontId="2" fillId="0" borderId="26" xfId="0" applyFont="1" applyFill="1" applyBorder="1" applyAlignment="1">
      <alignment vertical="center" wrapText="1"/>
    </xf>
    <xf numFmtId="0" fontId="1" fillId="0" borderId="26" xfId="0" applyFont="1" applyFill="1" applyBorder="1" applyAlignment="1">
      <alignment vertical="center" wrapText="1"/>
    </xf>
    <xf numFmtId="170" fontId="2" fillId="22" borderId="18" xfId="0" applyNumberFormat="1" applyFont="1" applyFill="1" applyBorder="1"/>
    <xf numFmtId="164" fontId="2" fillId="22" borderId="19" xfId="0" applyNumberFormat="1" applyFont="1" applyFill="1" applyBorder="1"/>
    <xf numFmtId="164" fontId="2" fillId="22" borderId="0" xfId="0" applyNumberFormat="1" applyFont="1" applyFill="1"/>
    <xf numFmtId="164" fontId="2" fillId="22" borderId="14" xfId="0" applyNumberFormat="1" applyFont="1" applyFill="1" applyBorder="1"/>
    <xf numFmtId="164" fontId="2" fillId="22" borderId="12" xfId="0" applyNumberFormat="1" applyFont="1" applyFill="1" applyBorder="1"/>
    <xf numFmtId="164" fontId="2" fillId="22" borderId="15" xfId="0" applyNumberFormat="1" applyFont="1" applyFill="1" applyBorder="1"/>
    <xf numFmtId="164" fontId="2" fillId="22" borderId="13" xfId="0" applyNumberFormat="1" applyFont="1" applyFill="1" applyBorder="1"/>
    <xf numFmtId="164" fontId="2" fillId="22" borderId="21" xfId="0" applyNumberFormat="1" applyFont="1" applyFill="1" applyBorder="1"/>
    <xf numFmtId="0" fontId="2" fillId="0" borderId="19" xfId="0" applyFont="1" applyFill="1" applyBorder="1" applyAlignment="1">
      <alignment horizontal="center" vertical="center" wrapText="1"/>
    </xf>
    <xf numFmtId="0" fontId="2" fillId="0" borderId="21" xfId="0" applyFont="1" applyFill="1" applyBorder="1" applyAlignment="1">
      <alignment horizontal="center" vertical="center" wrapText="1"/>
    </xf>
    <xf numFmtId="0" fontId="0" fillId="0" borderId="20" xfId="0" applyFill="1" applyBorder="1" applyAlignment="1">
      <alignment horizontal="center" vertical="center" wrapText="1"/>
    </xf>
    <xf numFmtId="0" fontId="0" fillId="0" borderId="21" xfId="0" applyFill="1" applyBorder="1" applyAlignment="1">
      <alignment horizontal="center" vertical="center" wrapText="1"/>
    </xf>
    <xf numFmtId="0" fontId="0" fillId="0" borderId="27" xfId="0" applyFont="1" applyFill="1" applyBorder="1" applyAlignment="1">
      <alignment horizontal="center" vertical="center" wrapText="1"/>
    </xf>
    <xf numFmtId="0" fontId="1" fillId="0" borderId="18" xfId="0" applyFont="1" applyFill="1" applyBorder="1"/>
    <xf numFmtId="169" fontId="0" fillId="22" borderId="14" xfId="0" applyNumberFormat="1" applyFont="1" applyFill="1" applyBorder="1"/>
    <xf numFmtId="3" fontId="0" fillId="22" borderId="25" xfId="0" applyNumberFormat="1" applyFont="1" applyFill="1" applyBorder="1"/>
    <xf numFmtId="3" fontId="0" fillId="22" borderId="25" xfId="0" applyNumberFormat="1" applyFill="1" applyBorder="1"/>
    <xf numFmtId="169" fontId="0" fillId="22" borderId="14" xfId="0" applyNumberFormat="1" applyFill="1" applyBorder="1"/>
    <xf numFmtId="3" fontId="0" fillId="22" borderId="17" xfId="0" applyNumberFormat="1" applyFill="1" applyBorder="1"/>
    <xf numFmtId="0" fontId="0" fillId="0" borderId="25" xfId="0" applyFill="1" applyBorder="1" applyAlignment="1">
      <alignment horizontal="center" wrapText="1"/>
    </xf>
    <xf numFmtId="0" fontId="0" fillId="0" borderId="24" xfId="0" applyBorder="1" applyAlignment="1">
      <alignment horizontal="center" wrapText="1"/>
    </xf>
    <xf numFmtId="0" fontId="0" fillId="0" borderId="27" xfId="0" applyBorder="1" applyAlignment="1">
      <alignment horizontal="center" wrapText="1"/>
    </xf>
    <xf numFmtId="9" fontId="0" fillId="19" borderId="16" xfId="0" applyNumberFormat="1" applyFill="1" applyBorder="1"/>
    <xf numFmtId="169" fontId="0" fillId="0" borderId="0" xfId="0" applyNumberFormat="1" applyFill="1"/>
    <xf numFmtId="3" fontId="0" fillId="0" borderId="15" xfId="0" applyNumberFormat="1" applyFill="1" applyBorder="1"/>
    <xf numFmtId="0" fontId="48" fillId="0" borderId="0" xfId="0" applyFont="1"/>
    <xf numFmtId="0" fontId="53" fillId="0" borderId="21" xfId="0" applyFont="1" applyFill="1" applyBorder="1" applyAlignment="1">
      <alignment textRotation="90" wrapText="1"/>
    </xf>
    <xf numFmtId="169" fontId="0" fillId="26" borderId="11" xfId="0" applyNumberFormat="1" applyFill="1" applyBorder="1"/>
    <xf numFmtId="3" fontId="0" fillId="26" borderId="15" xfId="0" applyNumberFormat="1" applyFill="1" applyBorder="1"/>
    <xf numFmtId="3" fontId="0" fillId="0" borderId="25" xfId="0" applyNumberFormat="1" applyFill="1" applyBorder="1"/>
    <xf numFmtId="3" fontId="2" fillId="0" borderId="14" xfId="28" applyNumberFormat="1" applyFill="1" applyBorder="1"/>
    <xf numFmtId="3" fontId="2" fillId="0" borderId="17" xfId="28" applyNumberFormat="1" applyFill="1" applyBorder="1"/>
    <xf numFmtId="0" fontId="1" fillId="0" borderId="24" xfId="0" applyFont="1" applyFill="1" applyBorder="1" applyAlignment="1">
      <alignment textRotation="90" wrapText="1"/>
    </xf>
    <xf numFmtId="167" fontId="0" fillId="0" borderId="0" xfId="28" applyNumberFormat="1" applyFont="1" applyFill="1" applyBorder="1"/>
    <xf numFmtId="167" fontId="0" fillId="0" borderId="0" xfId="0" applyNumberFormat="1" applyFill="1" applyBorder="1"/>
    <xf numFmtId="3" fontId="2" fillId="0" borderId="13" xfId="28" applyNumberFormat="1" applyFill="1" applyBorder="1"/>
    <xf numFmtId="3" fontId="2" fillId="0" borderId="0" xfId="28" applyNumberFormat="1" applyFill="1" applyBorder="1"/>
    <xf numFmtId="3" fontId="2" fillId="0" borderId="16" xfId="28" applyNumberFormat="1" applyFill="1" applyBorder="1"/>
    <xf numFmtId="3" fontId="1" fillId="0" borderId="26" xfId="0" applyNumberFormat="1" applyFont="1" applyFill="1" applyBorder="1"/>
    <xf numFmtId="169" fontId="2" fillId="0" borderId="0" xfId="28" applyNumberFormat="1" applyFill="1" applyBorder="1"/>
    <xf numFmtId="169" fontId="2" fillId="0" borderId="24" xfId="0" applyNumberFormat="1" applyFont="1" applyFill="1" applyBorder="1"/>
    <xf numFmtId="169" fontId="2" fillId="0" borderId="27" xfId="0" applyNumberFormat="1" applyFont="1" applyFill="1" applyBorder="1"/>
    <xf numFmtId="169" fontId="0" fillId="0" borderId="27" xfId="28" applyNumberFormat="1" applyFont="1" applyFill="1" applyBorder="1"/>
    <xf numFmtId="169" fontId="2" fillId="0" borderId="25" xfId="0" applyNumberFormat="1" applyFont="1" applyFill="1" applyBorder="1"/>
    <xf numFmtId="167" fontId="0" fillId="0" borderId="18" xfId="0" applyNumberFormat="1" applyFill="1" applyBorder="1"/>
    <xf numFmtId="0" fontId="1" fillId="0" borderId="26" xfId="0" applyFont="1" applyFill="1" applyBorder="1"/>
    <xf numFmtId="169" fontId="0" fillId="26" borderId="21" xfId="0" applyNumberFormat="1" applyFill="1" applyBorder="1"/>
    <xf numFmtId="0" fontId="1" fillId="26" borderId="26" xfId="0" applyFont="1" applyFill="1" applyBorder="1" applyAlignment="1">
      <alignment horizontal="center" vertical="center" wrapText="1"/>
    </xf>
    <xf numFmtId="0" fontId="1" fillId="26" borderId="25" xfId="0" applyFont="1" applyFill="1" applyBorder="1" applyAlignment="1">
      <alignment horizontal="center" vertical="center" wrapText="1"/>
    </xf>
    <xf numFmtId="0" fontId="0" fillId="26" borderId="12" xfId="0" applyFill="1" applyBorder="1"/>
    <xf numFmtId="169" fontId="0" fillId="26" borderId="12" xfId="0" applyNumberFormat="1" applyFill="1" applyBorder="1"/>
    <xf numFmtId="169" fontId="0" fillId="26" borderId="15" xfId="0" applyNumberFormat="1" applyFill="1" applyBorder="1"/>
    <xf numFmtId="3" fontId="0" fillId="26" borderId="12" xfId="0" applyNumberFormat="1" applyFill="1" applyBorder="1"/>
    <xf numFmtId="3" fontId="2" fillId="26" borderId="12" xfId="28" applyNumberFormat="1" applyFont="1" applyFill="1" applyBorder="1"/>
    <xf numFmtId="3" fontId="2" fillId="26" borderId="0" xfId="28" applyNumberFormat="1" applyFont="1" applyFill="1" applyBorder="1"/>
    <xf numFmtId="166" fontId="0" fillId="22" borderId="14" xfId="28" applyNumberFormat="1" applyFont="1" applyFill="1" applyBorder="1"/>
    <xf numFmtId="166" fontId="0" fillId="22" borderId="17" xfId="28" applyNumberFormat="1" applyFont="1" applyFill="1" applyBorder="1"/>
    <xf numFmtId="0" fontId="2" fillId="0" borderId="21" xfId="0" applyNumberFormat="1" applyFont="1" applyBorder="1"/>
    <xf numFmtId="0" fontId="59" fillId="0" borderId="0" xfId="0" applyFont="1" applyFill="1" applyBorder="1" applyAlignment="1">
      <alignment horizontal="right" textRotation="90" wrapText="1"/>
    </xf>
    <xf numFmtId="164" fontId="48" fillId="0" borderId="0" xfId="0" applyNumberFormat="1" applyFont="1" applyFill="1" applyBorder="1"/>
    <xf numFmtId="0" fontId="48" fillId="0" borderId="0" xfId="0" applyFont="1" applyFill="1" applyBorder="1"/>
    <xf numFmtId="170" fontId="48" fillId="0" borderId="0" xfId="43" applyNumberFormat="1" applyFont="1" applyFill="1" applyBorder="1"/>
    <xf numFmtId="169" fontId="48" fillId="0" borderId="0" xfId="28" applyNumberFormat="1" applyFont="1" applyFill="1" applyBorder="1"/>
    <xf numFmtId="3" fontId="48" fillId="0" borderId="0" xfId="0" applyNumberFormat="1" applyFont="1" applyFill="1" applyBorder="1"/>
    <xf numFmtId="169" fontId="48" fillId="0" borderId="0" xfId="0" applyNumberFormat="1" applyFont="1" applyFill="1" applyBorder="1" applyAlignment="1">
      <alignment horizontal="right"/>
    </xf>
    <xf numFmtId="3" fontId="48" fillId="0" borderId="0" xfId="28" applyNumberFormat="1" applyFont="1" applyFill="1" applyBorder="1"/>
    <xf numFmtId="0" fontId="49" fillId="0" borderId="0" xfId="0" applyFont="1" applyFill="1" applyBorder="1"/>
    <xf numFmtId="0" fontId="60" fillId="0" borderId="0" xfId="0" applyFont="1" applyBorder="1"/>
    <xf numFmtId="0" fontId="0" fillId="0" borderId="27" xfId="0" applyFill="1" applyBorder="1" applyAlignment="1">
      <alignment horizontal="center"/>
    </xf>
    <xf numFmtId="0" fontId="0" fillId="0" borderId="25" xfId="0" applyFill="1" applyBorder="1" applyAlignment="1">
      <alignment horizontal="center"/>
    </xf>
    <xf numFmtId="0" fontId="1" fillId="0" borderId="24" xfId="0" applyFont="1" applyFill="1" applyBorder="1" applyAlignment="1">
      <alignment horizontal="center" vertical="center" wrapText="1"/>
    </xf>
    <xf numFmtId="0" fontId="1" fillId="0" borderId="27" xfId="0" applyFont="1" applyFill="1" applyBorder="1" applyAlignment="1">
      <alignment horizontal="center" vertical="center" wrapText="1"/>
    </xf>
    <xf numFmtId="0" fontId="1" fillId="0" borderId="25" xfId="0" applyFont="1" applyFill="1" applyBorder="1" applyAlignment="1">
      <alignment horizontal="center" vertical="center" wrapText="1"/>
    </xf>
    <xf numFmtId="0" fontId="0" fillId="0" borderId="24" xfId="0" applyFont="1" applyFill="1" applyBorder="1" applyAlignment="1">
      <alignment horizontal="center" vertical="center" wrapText="1"/>
    </xf>
    <xf numFmtId="0" fontId="0" fillId="0" borderId="25" xfId="0" applyFont="1" applyFill="1" applyBorder="1" applyAlignment="1">
      <alignment horizontal="center" vertical="center" wrapText="1"/>
    </xf>
    <xf numFmtId="169" fontId="1" fillId="0" borderId="19" xfId="0" applyNumberFormat="1" applyFont="1" applyFill="1" applyBorder="1" applyAlignment="1">
      <alignment horizontal="center" wrapText="1"/>
    </xf>
    <xf numFmtId="0" fontId="0" fillId="0" borderId="25" xfId="0" applyFont="1" applyFill="1" applyBorder="1" applyAlignment="1">
      <alignment horizontal="center"/>
    </xf>
    <xf numFmtId="0" fontId="1" fillId="0" borderId="27" xfId="0" applyFont="1" applyBorder="1" applyAlignment="1">
      <alignment horizontal="center"/>
    </xf>
    <xf numFmtId="0" fontId="0" fillId="0" borderId="21" xfId="0" applyFill="1" applyBorder="1"/>
    <xf numFmtId="0" fontId="0" fillId="0" borderId="26" xfId="0" applyFill="1" applyBorder="1" applyAlignment="1">
      <alignment horizontal="center"/>
    </xf>
    <xf numFmtId="0" fontId="0" fillId="18" borderId="26" xfId="0" applyFill="1" applyBorder="1" applyAlignment="1">
      <alignment horizontal="center"/>
    </xf>
    <xf numFmtId="0" fontId="0" fillId="0" borderId="24" xfId="0" applyFill="1" applyBorder="1"/>
    <xf numFmtId="4" fontId="0" fillId="22" borderId="26" xfId="0" applyNumberFormat="1" applyFill="1" applyBorder="1" applyAlignment="1">
      <alignment horizontal="center"/>
    </xf>
    <xf numFmtId="0" fontId="0" fillId="20" borderId="26" xfId="0" applyFill="1" applyBorder="1" applyAlignment="1">
      <alignment horizontal="center"/>
    </xf>
    <xf numFmtId="0" fontId="2" fillId="0" borderId="24" xfId="38" applyFill="1" applyBorder="1"/>
    <xf numFmtId="0" fontId="2" fillId="0" borderId="27" xfId="38" applyFill="1" applyBorder="1" applyAlignment="1">
      <alignment horizontal="right" wrapText="1"/>
    </xf>
    <xf numFmtId="0" fontId="2" fillId="0" borderId="25" xfId="38" applyFill="1" applyBorder="1" applyAlignment="1">
      <alignment horizontal="right" wrapText="1"/>
    </xf>
    <xf numFmtId="0" fontId="0" fillId="0" borderId="24" xfId="0" applyFill="1" applyBorder="1" applyAlignment="1">
      <alignment horizontal="right"/>
    </xf>
    <xf numFmtId="0" fontId="0" fillId="0" borderId="27" xfId="0" applyFill="1" applyBorder="1" applyAlignment="1">
      <alignment horizontal="right"/>
    </xf>
    <xf numFmtId="0" fontId="0" fillId="0" borderId="25" xfId="0" applyFill="1" applyBorder="1" applyAlignment="1">
      <alignment horizontal="right"/>
    </xf>
    <xf numFmtId="0" fontId="0" fillId="0" borderId="27" xfId="0" applyFont="1" applyFill="1" applyBorder="1"/>
    <xf numFmtId="166" fontId="0" fillId="22" borderId="24" xfId="0" applyNumberFormat="1" applyFont="1" applyFill="1" applyBorder="1"/>
    <xf numFmtId="166" fontId="0" fillId="22" borderId="27" xfId="0" applyNumberFormat="1" applyFont="1" applyFill="1" applyBorder="1"/>
    <xf numFmtId="166" fontId="0" fillId="22" borderId="25" xfId="0" applyNumberFormat="1" applyFont="1" applyFill="1" applyBorder="1"/>
    <xf numFmtId="9" fontId="0" fillId="0" borderId="27" xfId="0" applyNumberFormat="1" applyFill="1" applyBorder="1"/>
    <xf numFmtId="0" fontId="0" fillId="0" borderId="24" xfId="0" applyBorder="1" applyAlignment="1">
      <alignment horizontal="right"/>
    </xf>
    <xf numFmtId="0" fontId="0" fillId="0" borderId="25" xfId="0" applyBorder="1" applyAlignment="1">
      <alignment horizontal="right"/>
    </xf>
    <xf numFmtId="0" fontId="0" fillId="0" borderId="24" xfId="0" applyBorder="1"/>
    <xf numFmtId="0" fontId="0" fillId="0" borderId="27" xfId="0" applyBorder="1" applyAlignment="1">
      <alignment horizontal="right" wrapText="1"/>
    </xf>
    <xf numFmtId="0" fontId="0" fillId="0" borderId="25" xfId="0" applyBorder="1" applyAlignment="1">
      <alignment horizontal="right" wrapText="1"/>
    </xf>
    <xf numFmtId="0" fontId="0" fillId="0" borderId="24" xfId="0" applyBorder="1" applyAlignment="1">
      <alignment horizontal="right" wrapText="1"/>
    </xf>
    <xf numFmtId="0" fontId="0" fillId="19" borderId="26" xfId="0" applyFont="1" applyFill="1" applyBorder="1" applyAlignment="1">
      <alignment horizontal="center"/>
    </xf>
    <xf numFmtId="0" fontId="0" fillId="0" borderId="24" xfId="38" applyFont="1" applyFill="1" applyBorder="1"/>
    <xf numFmtId="0" fontId="0" fillId="0" borderId="24" xfId="38" applyFont="1" applyFill="1" applyBorder="1" applyAlignment="1">
      <alignment horizontal="right" wrapText="1"/>
    </xf>
    <xf numFmtId="0" fontId="0" fillId="0" borderId="27" xfId="38" applyFont="1" applyFill="1" applyBorder="1" applyAlignment="1">
      <alignment horizontal="right" wrapText="1"/>
    </xf>
    <xf numFmtId="0" fontId="0" fillId="0" borderId="25" xfId="38" applyFont="1" applyFill="1" applyBorder="1" applyAlignment="1">
      <alignment horizontal="right" wrapText="1"/>
    </xf>
    <xf numFmtId="0" fontId="0" fillId="0" borderId="24" xfId="0" applyFont="1" applyFill="1" applyBorder="1" applyAlignment="1">
      <alignment horizontal="right"/>
    </xf>
    <xf numFmtId="0" fontId="0" fillId="0" borderId="27" xfId="0" applyFont="1" applyFill="1" applyBorder="1" applyAlignment="1">
      <alignment horizontal="right"/>
    </xf>
    <xf numFmtId="0" fontId="0" fillId="0" borderId="25" xfId="0" applyFont="1" applyFill="1" applyBorder="1" applyAlignment="1">
      <alignment horizontal="right"/>
    </xf>
    <xf numFmtId="0" fontId="0" fillId="0" borderId="27" xfId="0" applyFont="1" applyFill="1" applyBorder="1" applyAlignment="1">
      <alignment horizontal="center"/>
    </xf>
    <xf numFmtId="0" fontId="0" fillId="0" borderId="24" xfId="0" applyFont="1" applyBorder="1" applyAlignment="1">
      <alignment horizontal="right" wrapText="1"/>
    </xf>
    <xf numFmtId="0" fontId="0" fillId="0" borderId="27" xfId="0" applyFont="1" applyBorder="1" applyAlignment="1">
      <alignment horizontal="right" wrapText="1"/>
    </xf>
    <xf numFmtId="0" fontId="0" fillId="0" borderId="25" xfId="0" applyFont="1" applyBorder="1" applyAlignment="1">
      <alignment horizontal="right"/>
    </xf>
    <xf numFmtId="0" fontId="0" fillId="0" borderId="25" xfId="0" applyFont="1" applyBorder="1" applyAlignment="1">
      <alignment horizontal="right" wrapText="1"/>
    </xf>
    <xf numFmtId="0" fontId="2" fillId="0" borderId="24" xfId="38" applyFill="1" applyBorder="1" applyAlignment="1">
      <alignment horizontal="right" wrapText="1"/>
    </xf>
    <xf numFmtId="0" fontId="1" fillId="0" borderId="26" xfId="0" applyFont="1" applyBorder="1" applyAlignment="1">
      <alignment textRotation="90" wrapText="1"/>
    </xf>
    <xf numFmtId="164" fontId="0" fillId="0" borderId="25" xfId="0" applyNumberFormat="1" applyBorder="1"/>
    <xf numFmtId="164" fontId="0" fillId="0" borderId="27" xfId="0" applyNumberFormat="1" applyBorder="1"/>
    <xf numFmtId="0" fontId="0" fillId="0" borderId="24" xfId="0" applyFont="1" applyBorder="1"/>
    <xf numFmtId="164" fontId="0" fillId="0" borderId="24" xfId="0" applyNumberFormat="1" applyBorder="1"/>
    <xf numFmtId="169" fontId="0" fillId="0" borderId="25" xfId="0" applyNumberFormat="1" applyBorder="1"/>
    <xf numFmtId="0" fontId="2" fillId="0" borderId="24" xfId="0" applyFont="1" applyBorder="1" applyAlignment="1">
      <alignment horizontal="right"/>
    </xf>
    <xf numFmtId="0" fontId="2" fillId="0" borderId="25" xfId="0" applyFont="1" applyBorder="1" applyAlignment="1">
      <alignment horizontal="right"/>
    </xf>
    <xf numFmtId="0" fontId="2" fillId="0" borderId="24" xfId="0" applyFont="1" applyBorder="1"/>
    <xf numFmtId="0" fontId="2" fillId="0" borderId="25" xfId="0" applyFont="1" applyBorder="1" applyAlignment="1">
      <alignment horizontal="right" wrapText="1"/>
    </xf>
    <xf numFmtId="164" fontId="1" fillId="0" borderId="27" xfId="0" applyNumberFormat="1" applyFont="1" applyFill="1" applyBorder="1" applyAlignment="1">
      <alignment horizontal="right" wrapText="1"/>
    </xf>
    <xf numFmtId="164" fontId="1" fillId="0" borderId="24" xfId="0" applyNumberFormat="1" applyFont="1" applyFill="1" applyBorder="1" applyAlignment="1">
      <alignment horizontal="right" wrapText="1"/>
    </xf>
    <xf numFmtId="164" fontId="1" fillId="0" borderId="25" xfId="0" applyNumberFormat="1" applyFont="1" applyFill="1" applyBorder="1" applyAlignment="1">
      <alignment horizontal="right" wrapText="1"/>
    </xf>
    <xf numFmtId="0" fontId="1" fillId="0" borderId="27" xfId="0" applyFont="1" applyFill="1" applyBorder="1" applyAlignment="1">
      <alignment horizontal="right" wrapText="1"/>
    </xf>
    <xf numFmtId="0" fontId="2" fillId="0" borderId="27" xfId="0" applyFont="1" applyFill="1" applyBorder="1" applyAlignment="1">
      <alignment horizontal="right" wrapText="1"/>
    </xf>
    <xf numFmtId="0" fontId="2" fillId="0" borderId="25" xfId="0" applyFont="1" applyFill="1" applyBorder="1" applyAlignment="1">
      <alignment horizontal="right" wrapText="1"/>
    </xf>
    <xf numFmtId="3" fontId="0" fillId="0" borderId="24" xfId="0" applyNumberFormat="1" applyFill="1" applyBorder="1"/>
    <xf numFmtId="164" fontId="2" fillId="0" borderId="27" xfId="0" applyNumberFormat="1" applyFont="1" applyFill="1" applyBorder="1"/>
    <xf numFmtId="164" fontId="2" fillId="0" borderId="26" xfId="0" applyNumberFormat="1" applyFont="1" applyFill="1" applyBorder="1"/>
    <xf numFmtId="164" fontId="2" fillId="0" borderId="25" xfId="0" applyNumberFormat="1" applyFont="1" applyFill="1" applyBorder="1"/>
    <xf numFmtId="164" fontId="2" fillId="0" borderId="24" xfId="0" applyNumberFormat="1" applyFont="1" applyFill="1" applyBorder="1"/>
    <xf numFmtId="169" fontId="2" fillId="0" borderId="24" xfId="0" applyNumberFormat="1" applyFont="1" applyFill="1" applyBorder="1" applyAlignment="1">
      <alignment horizontal="right" wrapText="1"/>
    </xf>
    <xf numFmtId="169" fontId="2" fillId="0" borderId="25" xfId="0" applyNumberFormat="1" applyFont="1" applyFill="1" applyBorder="1" applyAlignment="1">
      <alignment horizontal="right" wrapText="1"/>
    </xf>
    <xf numFmtId="0" fontId="0" fillId="0" borderId="26" xfId="0" applyFont="1" applyBorder="1"/>
    <xf numFmtId="0" fontId="0" fillId="0" borderId="26" xfId="0" applyNumberFormat="1" applyFont="1" applyFill="1" applyBorder="1" applyAlignment="1"/>
    <xf numFmtId="169" fontId="2" fillId="0" borderId="26" xfId="0" applyNumberFormat="1" applyFont="1" applyFill="1" applyBorder="1"/>
    <xf numFmtId="166" fontId="2" fillId="0" borderId="27" xfId="0" applyNumberFormat="1" applyFont="1" applyFill="1" applyBorder="1"/>
    <xf numFmtId="169" fontId="1" fillId="0" borderId="27" xfId="0" applyNumberFormat="1" applyFont="1" applyFill="1" applyBorder="1" applyAlignment="1">
      <alignment horizontal="right" wrapText="1"/>
    </xf>
    <xf numFmtId="0" fontId="1" fillId="0" borderId="24" xfId="0" applyFont="1" applyFill="1" applyBorder="1" applyAlignment="1">
      <alignment horizontal="right" textRotation="90" wrapText="1"/>
    </xf>
    <xf numFmtId="0" fontId="1" fillId="0" borderId="25" xfId="0" applyFont="1" applyFill="1" applyBorder="1" applyAlignment="1">
      <alignment horizontal="right" textRotation="90" wrapText="1"/>
    </xf>
    <xf numFmtId="0" fontId="1" fillId="0" borderId="27" xfId="0" applyFont="1" applyFill="1" applyBorder="1" applyAlignment="1">
      <alignment horizontal="right" textRotation="90" wrapText="1"/>
    </xf>
    <xf numFmtId="169" fontId="1" fillId="0" borderId="24" xfId="0" applyNumberFormat="1" applyFont="1" applyBorder="1" applyAlignment="1">
      <alignment horizontal="right" wrapText="1"/>
    </xf>
    <xf numFmtId="169" fontId="1" fillId="0" borderId="27" xfId="0" applyNumberFormat="1" applyFont="1" applyBorder="1" applyAlignment="1">
      <alignment horizontal="right" wrapText="1"/>
    </xf>
    <xf numFmtId="169" fontId="1" fillId="0" borderId="25" xfId="0" applyNumberFormat="1" applyFont="1" applyBorder="1" applyAlignment="1">
      <alignment horizontal="right" wrapText="1"/>
    </xf>
    <xf numFmtId="3" fontId="2" fillId="0" borderId="24" xfId="0" applyNumberFormat="1" applyFont="1" applyBorder="1"/>
    <xf numFmtId="3" fontId="2" fillId="0" borderId="27" xfId="0" applyNumberFormat="1" applyFont="1" applyBorder="1"/>
    <xf numFmtId="3" fontId="2" fillId="0" borderId="25" xfId="0" applyNumberFormat="1" applyFont="1" applyBorder="1"/>
    <xf numFmtId="169" fontId="2" fillId="0" borderId="26" xfId="0" applyNumberFormat="1" applyFont="1" applyBorder="1"/>
    <xf numFmtId="169" fontId="2" fillId="0" borderId="25" xfId="0" applyNumberFormat="1" applyFont="1" applyBorder="1"/>
    <xf numFmtId="3" fontId="2" fillId="0" borderId="26" xfId="0" applyNumberFormat="1" applyFont="1" applyBorder="1"/>
    <xf numFmtId="0" fontId="1" fillId="0" borderId="24" xfId="0" applyFont="1" applyBorder="1"/>
    <xf numFmtId="169" fontId="2" fillId="0" borderId="24" xfId="0" applyNumberFormat="1" applyFont="1" applyBorder="1"/>
    <xf numFmtId="3" fontId="2" fillId="0" borderId="24" xfId="0" applyNumberFormat="1" applyFont="1" applyFill="1" applyBorder="1"/>
    <xf numFmtId="0" fontId="1" fillId="0" borderId="26" xfId="0" applyFont="1" applyBorder="1" applyAlignment="1">
      <alignment horizontal="right" textRotation="90" wrapText="1"/>
    </xf>
    <xf numFmtId="0" fontId="1" fillId="0" borderId="27" xfId="0" applyFont="1" applyBorder="1"/>
    <xf numFmtId="169" fontId="0" fillId="0" borderId="26" xfId="0" applyNumberFormat="1" applyBorder="1"/>
    <xf numFmtId="0" fontId="2" fillId="0" borderId="24" xfId="0" applyNumberFormat="1" applyFont="1" applyFill="1" applyBorder="1" applyAlignment="1">
      <alignment horizontal="right" wrapText="1"/>
    </xf>
    <xf numFmtId="0" fontId="2" fillId="0" borderId="27" xfId="0" applyNumberFormat="1" applyFont="1" applyFill="1" applyBorder="1" applyAlignment="1">
      <alignment horizontal="right" wrapText="1"/>
    </xf>
    <xf numFmtId="0" fontId="2" fillId="0" borderId="25" xfId="0" applyNumberFormat="1" applyFont="1" applyFill="1" applyBorder="1" applyAlignment="1">
      <alignment horizontal="right" wrapText="1"/>
    </xf>
    <xf numFmtId="0" fontId="2" fillId="0" borderId="24" xfId="0" applyFont="1" applyFill="1" applyBorder="1" applyAlignment="1"/>
    <xf numFmtId="0" fontId="2" fillId="0" borderId="24" xfId="0" applyFont="1" applyFill="1" applyBorder="1" applyAlignment="1">
      <alignment horizontal="right"/>
    </xf>
    <xf numFmtId="0" fontId="2" fillId="0" borderId="24" xfId="0" applyFont="1" applyFill="1" applyBorder="1" applyAlignment="1">
      <alignment horizontal="right" wrapText="1"/>
    </xf>
    <xf numFmtId="1" fontId="2" fillId="0" borderId="26" xfId="0" applyNumberFormat="1" applyFont="1" applyFill="1" applyBorder="1" applyAlignment="1">
      <alignment horizontal="center"/>
    </xf>
    <xf numFmtId="9" fontId="2" fillId="19" borderId="27" xfId="0" applyNumberFormat="1" applyFont="1" applyFill="1" applyBorder="1"/>
    <xf numFmtId="9" fontId="2" fillId="0" borderId="25" xfId="0" applyNumberFormat="1" applyFont="1" applyFill="1" applyBorder="1"/>
    <xf numFmtId="9" fontId="0" fillId="0" borderId="27" xfId="43" applyFont="1" applyBorder="1" applyAlignment="1">
      <alignment horizontal="center"/>
    </xf>
    <xf numFmtId="170" fontId="0" fillId="0" borderId="27" xfId="43" applyNumberFormat="1" applyFont="1" applyFill="1" applyBorder="1" applyAlignment="1">
      <alignment wrapText="1"/>
    </xf>
    <xf numFmtId="0" fontId="1" fillId="0" borderId="26" xfId="0" applyFont="1" applyFill="1" applyBorder="1" applyAlignment="1">
      <alignment wrapText="1"/>
    </xf>
    <xf numFmtId="170" fontId="48" fillId="0" borderId="27" xfId="43" applyNumberFormat="1" applyFont="1" applyFill="1" applyBorder="1"/>
    <xf numFmtId="170" fontId="0" fillId="0" borderId="27" xfId="43" applyNumberFormat="1" applyFont="1" applyFill="1" applyBorder="1"/>
    <xf numFmtId="183" fontId="0" fillId="0" borderId="27" xfId="43" applyNumberFormat="1" applyFont="1" applyFill="1" applyBorder="1"/>
    <xf numFmtId="169" fontId="2" fillId="0" borderId="24" xfId="0" applyNumberFormat="1" applyFont="1" applyFill="1" applyBorder="1" applyAlignment="1">
      <alignment horizontal="right"/>
    </xf>
    <xf numFmtId="169" fontId="2" fillId="0" borderId="25" xfId="0" applyNumberFormat="1" applyFont="1" applyFill="1" applyBorder="1" applyAlignment="1">
      <alignment horizontal="right"/>
    </xf>
    <xf numFmtId="169" fontId="2" fillId="0" borderId="27" xfId="0" applyNumberFormat="1" applyFont="1" applyFill="1" applyBorder="1" applyAlignment="1">
      <alignment horizontal="right"/>
    </xf>
    <xf numFmtId="169" fontId="2" fillId="0" borderId="25" xfId="0" applyNumberFormat="1" applyFont="1" applyFill="1" applyBorder="1" applyAlignment="1">
      <alignment wrapText="1"/>
    </xf>
    <xf numFmtId="0" fontId="1" fillId="0" borderId="27" xfId="0" applyFont="1" applyFill="1" applyBorder="1" applyAlignment="1">
      <alignment horizontal="right"/>
    </xf>
    <xf numFmtId="169" fontId="1" fillId="0" borderId="26" xfId="0" applyNumberFormat="1" applyFont="1" applyFill="1" applyBorder="1" applyAlignment="1">
      <alignment wrapText="1"/>
    </xf>
    <xf numFmtId="169" fontId="2" fillId="0" borderId="27" xfId="0" applyNumberFormat="1" applyFont="1" applyFill="1" applyBorder="1" applyAlignment="1">
      <alignment horizontal="right" wrapText="1"/>
    </xf>
    <xf numFmtId="169" fontId="2" fillId="0" borderId="27" xfId="0" applyNumberFormat="1" applyFont="1" applyBorder="1" applyAlignment="1">
      <alignment horizontal="right" wrapText="1"/>
    </xf>
    <xf numFmtId="169" fontId="1" fillId="0" borderId="26" xfId="0" applyNumberFormat="1" applyFont="1" applyFill="1" applyBorder="1"/>
    <xf numFmtId="169" fontId="1" fillId="0" borderId="24" xfId="0" applyNumberFormat="1" applyFont="1" applyBorder="1"/>
    <xf numFmtId="0" fontId="2" fillId="0" borderId="25" xfId="0" applyFont="1" applyBorder="1"/>
    <xf numFmtId="169" fontId="0" fillId="0" borderId="27" xfId="0" applyNumberFormat="1" applyBorder="1"/>
    <xf numFmtId="3" fontId="0" fillId="0" borderId="24" xfId="0" applyNumberFormat="1" applyFont="1" applyBorder="1"/>
    <xf numFmtId="0" fontId="1" fillId="0" borderId="26" xfId="0" applyFont="1" applyFill="1" applyBorder="1" applyAlignment="1">
      <alignment textRotation="90" wrapText="1"/>
    </xf>
    <xf numFmtId="170" fontId="0" fillId="0" borderId="26" xfId="0" applyNumberFormat="1" applyBorder="1"/>
    <xf numFmtId="170" fontId="0" fillId="0" borderId="26" xfId="0" applyNumberFormat="1" applyFill="1" applyBorder="1"/>
    <xf numFmtId="170" fontId="0" fillId="0" borderId="26" xfId="0" applyNumberFormat="1" applyFont="1" applyBorder="1"/>
    <xf numFmtId="3" fontId="0" fillId="0" borderId="26" xfId="0" applyNumberFormat="1" applyFont="1" applyBorder="1"/>
    <xf numFmtId="0" fontId="2" fillId="0" borderId="26" xfId="0" applyFont="1" applyFill="1" applyBorder="1" applyAlignment="1">
      <alignment horizontal="center"/>
    </xf>
    <xf numFmtId="0" fontId="1" fillId="0" borderId="24" xfId="0" applyFont="1" applyBorder="1" applyAlignment="1">
      <alignment horizontal="right" wrapText="1"/>
    </xf>
    <xf numFmtId="0" fontId="1" fillId="0" borderId="27" xfId="0" applyFont="1" applyBorder="1" applyAlignment="1">
      <alignment horizontal="right" wrapText="1"/>
    </xf>
    <xf numFmtId="0" fontId="1" fillId="0" borderId="25" xfId="0" applyFont="1" applyBorder="1" applyAlignment="1">
      <alignment horizontal="right" wrapText="1"/>
    </xf>
    <xf numFmtId="0" fontId="1" fillId="0" borderId="27" xfId="28" applyNumberFormat="1" applyFont="1" applyBorder="1" applyAlignment="1">
      <alignment horizontal="right"/>
    </xf>
    <xf numFmtId="0" fontId="1" fillId="0" borderId="27" xfId="28" applyNumberFormat="1" applyFont="1" applyFill="1" applyBorder="1" applyAlignment="1">
      <alignment horizontal="right"/>
    </xf>
    <xf numFmtId="0" fontId="1" fillId="0" borderId="27" xfId="28" applyNumberFormat="1" applyFont="1" applyBorder="1" applyAlignment="1"/>
    <xf numFmtId="0" fontId="1" fillId="0" borderId="27" xfId="43" applyNumberFormat="1" applyFont="1" applyFill="1" applyBorder="1" applyAlignment="1"/>
    <xf numFmtId="3" fontId="1" fillId="0" borderId="27" xfId="28" applyNumberFormat="1" applyFont="1" applyBorder="1" applyAlignment="1"/>
    <xf numFmtId="0" fontId="1" fillId="0" borderId="26" xfId="0" applyNumberFormat="1" applyFont="1" applyBorder="1" applyAlignment="1">
      <alignment horizontal="right" wrapText="1"/>
    </xf>
    <xf numFmtId="3" fontId="2" fillId="0" borderId="27" xfId="28" applyNumberFormat="1" applyFont="1" applyFill="1" applyBorder="1" applyAlignment="1"/>
    <xf numFmtId="3" fontId="2" fillId="0" borderId="26" xfId="28" applyNumberFormat="1" applyFont="1" applyFill="1" applyBorder="1" applyAlignment="1"/>
    <xf numFmtId="0" fontId="1" fillId="0" borderId="24" xfId="0" applyFont="1" applyBorder="1" applyAlignment="1">
      <alignment horizontal="centerContinuous"/>
    </xf>
    <xf numFmtId="0" fontId="0" fillId="0" borderId="27" xfId="0" applyBorder="1" applyAlignment="1">
      <alignment horizontal="centerContinuous"/>
    </xf>
    <xf numFmtId="0" fontId="0" fillId="0" borderId="25" xfId="0" applyBorder="1" applyAlignment="1">
      <alignment horizontal="centerContinuous"/>
    </xf>
    <xf numFmtId="170" fontId="2" fillId="0" borderId="26" xfId="43" applyNumberFormat="1" applyFont="1" applyFill="1" applyBorder="1" applyAlignment="1"/>
    <xf numFmtId="170" fontId="0" fillId="0" borderId="26" xfId="43" applyNumberFormat="1" applyFont="1" applyFill="1" applyBorder="1" applyAlignment="1"/>
    <xf numFmtId="0" fontId="1" fillId="0" borderId="24" xfId="0" applyNumberFormat="1" applyFont="1" applyFill="1" applyBorder="1" applyAlignment="1">
      <alignment horizontal="right" textRotation="90" wrapText="1"/>
    </xf>
    <xf numFmtId="0" fontId="1" fillId="0" borderId="27" xfId="0" applyNumberFormat="1" applyFont="1" applyFill="1" applyBorder="1" applyAlignment="1">
      <alignment horizontal="right" textRotation="90" wrapText="1"/>
    </xf>
    <xf numFmtId="0" fontId="1" fillId="0" borderId="25" xfId="0" applyNumberFormat="1" applyFont="1" applyFill="1" applyBorder="1" applyAlignment="1">
      <alignment horizontal="right" textRotation="90" wrapText="1"/>
    </xf>
    <xf numFmtId="0" fontId="1" fillId="0" borderId="26" xfId="0" applyNumberFormat="1" applyFont="1" applyBorder="1" applyAlignment="1">
      <alignment wrapText="1"/>
    </xf>
    <xf numFmtId="3" fontId="1" fillId="0" borderId="24" xfId="28" applyNumberFormat="1" applyFont="1" applyFill="1" applyBorder="1" applyAlignment="1">
      <alignment horizontal="right"/>
    </xf>
    <xf numFmtId="3" fontId="1" fillId="0" borderId="27" xfId="28" applyNumberFormat="1" applyFont="1" applyFill="1" applyBorder="1" applyAlignment="1">
      <alignment horizontal="right" wrapText="1"/>
    </xf>
    <xf numFmtId="3" fontId="1" fillId="0" borderId="24" xfId="28" applyNumberFormat="1" applyFont="1" applyFill="1" applyBorder="1" applyAlignment="1">
      <alignment horizontal="right" wrapText="1"/>
    </xf>
    <xf numFmtId="3" fontId="1" fillId="0" borderId="25" xfId="28" applyNumberFormat="1" applyFont="1" applyFill="1" applyBorder="1" applyAlignment="1">
      <alignment horizontal="right" wrapText="1"/>
    </xf>
    <xf numFmtId="3" fontId="1" fillId="0" borderId="27" xfId="28" applyNumberFormat="1" applyFont="1" applyFill="1" applyBorder="1" applyAlignment="1">
      <alignment horizontal="center" wrapText="1"/>
    </xf>
    <xf numFmtId="3" fontId="1" fillId="0" borderId="25" xfId="28" applyNumberFormat="1" applyFont="1" applyFill="1" applyBorder="1" applyAlignment="1">
      <alignment horizontal="center" wrapText="1"/>
    </xf>
    <xf numFmtId="3" fontId="1" fillId="0" borderId="27" xfId="0" applyNumberFormat="1" applyFont="1" applyFill="1" applyBorder="1" applyAlignment="1">
      <alignment horizontal="centerContinuous" wrapText="1"/>
    </xf>
    <xf numFmtId="3" fontId="1" fillId="0" borderId="27" xfId="0" applyNumberFormat="1" applyFont="1" applyFill="1" applyBorder="1" applyAlignment="1">
      <alignment horizontal="center" wrapText="1"/>
    </xf>
    <xf numFmtId="3" fontId="1" fillId="0" borderId="26" xfId="0" applyNumberFormat="1" applyFont="1" applyFill="1" applyBorder="1" applyAlignment="1">
      <alignment horizontal="center" wrapText="1"/>
    </xf>
    <xf numFmtId="3" fontId="1" fillId="0" borderId="24" xfId="0" applyNumberFormat="1" applyFont="1" applyFill="1" applyBorder="1" applyAlignment="1">
      <alignment horizontal="centerContinuous" wrapText="1"/>
    </xf>
    <xf numFmtId="0" fontId="1" fillId="0" borderId="26" xfId="0" applyFont="1" applyFill="1" applyBorder="1" applyAlignment="1">
      <alignment horizontal="center" wrapText="1"/>
    </xf>
    <xf numFmtId="0" fontId="1" fillId="0" borderId="27" xfId="0" applyFont="1" applyFill="1" applyBorder="1" applyAlignment="1">
      <alignment horizontal="centerContinuous" wrapText="1"/>
    </xf>
    <xf numFmtId="0" fontId="1" fillId="0" borderId="24" xfId="0" applyNumberFormat="1" applyFont="1" applyFill="1" applyBorder="1" applyAlignment="1">
      <alignment wrapText="1"/>
    </xf>
    <xf numFmtId="0" fontId="0" fillId="0" borderId="24" xfId="0" applyNumberFormat="1" applyFont="1" applyBorder="1" applyAlignment="1"/>
    <xf numFmtId="3" fontId="0" fillId="28" borderId="0" xfId="0" applyNumberFormat="1" applyFill="1"/>
    <xf numFmtId="164" fontId="0" fillId="22" borderId="19" xfId="43" applyNumberFormat="1" applyFont="1" applyFill="1" applyBorder="1"/>
    <xf numFmtId="170" fontId="0" fillId="22" borderId="16" xfId="0" applyNumberFormat="1" applyFill="1" applyBorder="1"/>
    <xf numFmtId="0" fontId="0" fillId="22" borderId="16" xfId="0" applyFill="1" applyBorder="1"/>
    <xf numFmtId="169" fontId="0" fillId="22" borderId="13" xfId="28" applyNumberFormat="1" applyFont="1" applyFill="1" applyBorder="1"/>
    <xf numFmtId="169" fontId="0" fillId="22" borderId="0" xfId="28" applyNumberFormat="1" applyFont="1" applyFill="1" applyBorder="1"/>
    <xf numFmtId="169" fontId="0" fillId="22" borderId="16" xfId="28" applyNumberFormat="1" applyFont="1" applyFill="1" applyBorder="1"/>
    <xf numFmtId="169" fontId="0" fillId="28" borderId="13" xfId="0" applyNumberFormat="1" applyFill="1" applyBorder="1"/>
    <xf numFmtId="3" fontId="0" fillId="28" borderId="13" xfId="0" applyNumberFormat="1" applyFill="1" applyBorder="1"/>
    <xf numFmtId="169" fontId="0" fillId="28" borderId="14" xfId="0" applyNumberFormat="1" applyFill="1" applyBorder="1"/>
    <xf numFmtId="169" fontId="0" fillId="28" borderId="16" xfId="0" applyNumberFormat="1" applyFill="1" applyBorder="1"/>
    <xf numFmtId="169" fontId="0" fillId="28" borderId="17" xfId="0" applyNumberFormat="1" applyFill="1" applyBorder="1"/>
    <xf numFmtId="169" fontId="0" fillId="28" borderId="0" xfId="0" applyNumberFormat="1" applyFill="1"/>
    <xf numFmtId="169" fontId="0" fillId="28" borderId="18" xfId="0" applyNumberFormat="1" applyFill="1" applyBorder="1"/>
    <xf numFmtId="0" fontId="47" fillId="0" borderId="0" xfId="0" applyFont="1"/>
    <xf numFmtId="0" fontId="0" fillId="0" borderId="25" xfId="0" applyFont="1" applyBorder="1" applyAlignment="1">
      <alignment horizontal="centerContinuous"/>
    </xf>
    <xf numFmtId="170" fontId="0" fillId="0" borderId="0" xfId="0" applyNumberFormat="1" applyFont="1"/>
    <xf numFmtId="3" fontId="0" fillId="0" borderId="0" xfId="0" applyNumberFormat="1" applyFont="1"/>
    <xf numFmtId="3" fontId="0" fillId="0" borderId="14" xfId="0" applyNumberFormat="1" applyFont="1" applyBorder="1"/>
    <xf numFmtId="164" fontId="0" fillId="0" borderId="0" xfId="0" applyNumberFormat="1" applyFont="1"/>
    <xf numFmtId="164" fontId="0" fillId="0" borderId="14" xfId="0" applyNumberFormat="1" applyFont="1" applyBorder="1"/>
    <xf numFmtId="164" fontId="0" fillId="0" borderId="18" xfId="0" applyNumberFormat="1" applyFont="1" applyBorder="1"/>
    <xf numFmtId="164" fontId="0" fillId="0" borderId="17" xfId="0" applyNumberFormat="1" applyFont="1" applyBorder="1"/>
    <xf numFmtId="9" fontId="0" fillId="0" borderId="27" xfId="0" applyNumberFormat="1" applyFill="1" applyBorder="1" applyAlignment="1">
      <alignment horizontal="center"/>
    </xf>
    <xf numFmtId="9" fontId="0" fillId="22" borderId="24" xfId="0" applyNumberFormat="1" applyFill="1" applyBorder="1"/>
    <xf numFmtId="9" fontId="0" fillId="22" borderId="27" xfId="0" applyNumberFormat="1" applyFill="1" applyBorder="1"/>
    <xf numFmtId="164" fontId="0" fillId="0" borderId="19" xfId="0" applyNumberFormat="1" applyFont="1" applyBorder="1"/>
    <xf numFmtId="164" fontId="0" fillId="0" borderId="21" xfId="0" applyNumberFormat="1" applyFont="1" applyBorder="1"/>
    <xf numFmtId="169" fontId="0" fillId="19" borderId="21" xfId="0" applyNumberFormat="1" applyFont="1" applyFill="1" applyBorder="1"/>
    <xf numFmtId="169" fontId="0" fillId="19" borderId="13" xfId="0" applyNumberFormat="1" applyFont="1" applyFill="1" applyBorder="1"/>
    <xf numFmtId="169" fontId="0" fillId="19" borderId="0" xfId="0" applyNumberFormat="1" applyFont="1" applyFill="1"/>
    <xf numFmtId="164" fontId="0" fillId="22" borderId="0" xfId="0" applyNumberFormat="1" applyFont="1" applyFill="1"/>
    <xf numFmtId="168" fontId="0" fillId="0" borderId="13" xfId="0" applyNumberFormat="1" applyFont="1" applyBorder="1"/>
    <xf numFmtId="3" fontId="0" fillId="22" borderId="0" xfId="0" applyNumberFormat="1" applyFont="1" applyFill="1"/>
    <xf numFmtId="164" fontId="0" fillId="22" borderId="13" xfId="0" applyNumberFormat="1" applyFont="1" applyFill="1" applyBorder="1"/>
    <xf numFmtId="10" fontId="0" fillId="22" borderId="13" xfId="0" applyNumberFormat="1" applyFont="1" applyFill="1" applyBorder="1"/>
    <xf numFmtId="166" fontId="0" fillId="22" borderId="18" xfId="0" applyNumberFormat="1" applyFont="1" applyFill="1" applyBorder="1"/>
    <xf numFmtId="3" fontId="0" fillId="0" borderId="25" xfId="0" applyNumberFormat="1" applyFont="1" applyBorder="1"/>
    <xf numFmtId="3" fontId="0" fillId="0" borderId="27" xfId="0" applyNumberFormat="1" applyFont="1" applyBorder="1"/>
    <xf numFmtId="165" fontId="0" fillId="0" borderId="13" xfId="0" applyNumberFormat="1" applyFont="1" applyBorder="1" applyAlignment="1">
      <alignment wrapText="1"/>
    </xf>
    <xf numFmtId="165" fontId="0" fillId="0" borderId="0" xfId="0" applyNumberFormat="1" applyFont="1" applyAlignment="1">
      <alignment wrapText="1"/>
    </xf>
    <xf numFmtId="3" fontId="0" fillId="0" borderId="16" xfId="0" applyNumberFormat="1" applyFont="1" applyBorder="1" applyAlignment="1">
      <alignment wrapText="1"/>
    </xf>
    <xf numFmtId="3" fontId="0" fillId="0" borderId="18" xfId="0" applyNumberFormat="1" applyFont="1" applyBorder="1" applyAlignment="1">
      <alignment wrapText="1"/>
    </xf>
    <xf numFmtId="165" fontId="0" fillId="0" borderId="13" xfId="0" applyNumberFormat="1" applyFont="1" applyBorder="1"/>
    <xf numFmtId="165" fontId="0" fillId="0" borderId="0" xfId="0" applyNumberFormat="1" applyFont="1"/>
    <xf numFmtId="164" fontId="0" fillId="0" borderId="13" xfId="0" applyNumberFormat="1" applyFont="1" applyBorder="1" applyAlignment="1">
      <alignment wrapText="1"/>
    </xf>
    <xf numFmtId="178" fontId="0" fillId="0" borderId="0" xfId="0" applyNumberFormat="1"/>
    <xf numFmtId="178" fontId="0" fillId="0" borderId="27" xfId="0" applyNumberFormat="1" applyFont="1" applyFill="1" applyBorder="1"/>
    <xf numFmtId="0" fontId="1" fillId="0" borderId="26" xfId="0" applyFont="1" applyBorder="1" applyAlignment="1">
      <alignment wrapText="1"/>
    </xf>
    <xf numFmtId="0" fontId="0" fillId="0" borderId="0" xfId="0" applyAlignment="1">
      <alignment horizontal="right"/>
    </xf>
    <xf numFmtId="0" fontId="0" fillId="0" borderId="12" xfId="0" applyBorder="1" applyAlignment="1">
      <alignment horizontal="left"/>
    </xf>
    <xf numFmtId="0" fontId="0" fillId="0" borderId="15" xfId="0" applyBorder="1" applyAlignment="1">
      <alignment horizontal="left"/>
    </xf>
    <xf numFmtId="170" fontId="1" fillId="0" borderId="0" xfId="0" applyNumberFormat="1" applyFont="1" applyBorder="1" applyAlignment="1">
      <alignment horizontal="right" wrapText="1"/>
    </xf>
    <xf numFmtId="3" fontId="0" fillId="19" borderId="0" xfId="0" applyNumberFormat="1" applyFill="1"/>
    <xf numFmtId="3" fontId="42" fillId="0" borderId="0" xfId="28" applyNumberFormat="1" applyFont="1" applyFill="1" applyBorder="1"/>
    <xf numFmtId="0" fontId="1" fillId="0" borderId="0" xfId="0" applyFont="1" applyFill="1" applyBorder="1" applyAlignment="1">
      <alignment wrapText="1"/>
    </xf>
    <xf numFmtId="0" fontId="0" fillId="0" borderId="0" xfId="0" applyFill="1" applyBorder="1" applyAlignment="1">
      <alignment horizontal="left"/>
    </xf>
    <xf numFmtId="0" fontId="0" fillId="0" borderId="19" xfId="0" applyFont="1" applyFill="1" applyBorder="1" applyAlignment="1">
      <alignment horizontal="right" wrapText="1"/>
    </xf>
    <xf numFmtId="0" fontId="0" fillId="0" borderId="20" xfId="0" applyFont="1" applyFill="1" applyBorder="1" applyAlignment="1">
      <alignment horizontal="right" wrapText="1"/>
    </xf>
    <xf numFmtId="3" fontId="0" fillId="22" borderId="27" xfId="0" applyNumberFormat="1" applyFont="1" applyFill="1" applyBorder="1"/>
    <xf numFmtId="3" fontId="0" fillId="26" borderId="25" xfId="0" applyNumberFormat="1" applyFont="1" applyFill="1" applyBorder="1"/>
    <xf numFmtId="3" fontId="0" fillId="26" borderId="27" xfId="0" applyNumberFormat="1" applyFont="1" applyFill="1" applyBorder="1"/>
    <xf numFmtId="1" fontId="0" fillId="26" borderId="14" xfId="0" applyNumberFormat="1" applyFont="1" applyFill="1" applyBorder="1"/>
    <xf numFmtId="166" fontId="0" fillId="0" borderId="0" xfId="28" applyNumberFormat="1" applyFont="1" applyFill="1" applyBorder="1"/>
    <xf numFmtId="0" fontId="0" fillId="0" borderId="26" xfId="0" applyFont="1" applyFill="1" applyBorder="1" applyAlignment="1">
      <alignment horizontal="right" wrapText="1"/>
    </xf>
    <xf numFmtId="1" fontId="0" fillId="26" borderId="18" xfId="0" applyNumberFormat="1" applyFont="1" applyFill="1" applyBorder="1"/>
    <xf numFmtId="1" fontId="0" fillId="26" borderId="17" xfId="0" applyNumberFormat="1" applyFont="1" applyFill="1" applyBorder="1"/>
    <xf numFmtId="0" fontId="0" fillId="0" borderId="21" xfId="0" applyFont="1" applyFill="1" applyBorder="1" applyAlignment="1">
      <alignment horizontal="right"/>
    </xf>
    <xf numFmtId="0" fontId="0" fillId="0" borderId="20" xfId="0" applyFont="1" applyFill="1" applyBorder="1" applyAlignment="1">
      <alignment horizontal="right"/>
    </xf>
    <xf numFmtId="0" fontId="1" fillId="0" borderId="27" xfId="0" applyFont="1" applyBorder="1" applyAlignment="1">
      <alignment horizontal="center" wrapText="1"/>
    </xf>
    <xf numFmtId="0" fontId="1" fillId="0" borderId="24" xfId="0" applyFont="1" applyBorder="1" applyAlignment="1">
      <alignment horizontal="center"/>
    </xf>
    <xf numFmtId="0" fontId="1" fillId="0" borderId="25" xfId="0" applyFont="1" applyBorder="1" applyAlignment="1">
      <alignment horizontal="center"/>
    </xf>
    <xf numFmtId="0" fontId="1" fillId="0" borderId="27" xfId="0" applyFont="1" applyBorder="1" applyAlignment="1">
      <alignment horizontal="center"/>
    </xf>
    <xf numFmtId="0" fontId="1" fillId="0" borderId="20" xfId="0" applyFont="1" applyBorder="1" applyAlignment="1">
      <alignment horizontal="center" wrapText="1"/>
    </xf>
    <xf numFmtId="0" fontId="1" fillId="0" borderId="26" xfId="0" applyFont="1" applyBorder="1" applyAlignment="1">
      <alignment wrapText="1"/>
    </xf>
    <xf numFmtId="0" fontId="1" fillId="0" borderId="21" xfId="0" applyFont="1" applyBorder="1" applyAlignment="1">
      <alignment horizontal="center"/>
    </xf>
    <xf numFmtId="0" fontId="1" fillId="0" borderId="19" xfId="0" applyFont="1" applyBorder="1" applyAlignment="1">
      <alignment horizontal="center"/>
    </xf>
    <xf numFmtId="0" fontId="1" fillId="0" borderId="21" xfId="0" applyFont="1" applyBorder="1" applyAlignment="1">
      <alignment horizontal="center" wrapText="1"/>
    </xf>
    <xf numFmtId="0" fontId="0" fillId="0" borderId="24" xfId="0" applyBorder="1" applyAlignment="1">
      <alignment horizontal="center"/>
    </xf>
    <xf numFmtId="0" fontId="0" fillId="0" borderId="25" xfId="0" applyBorder="1" applyAlignment="1">
      <alignment horizontal="center"/>
    </xf>
    <xf numFmtId="0" fontId="1" fillId="0" borderId="11" xfId="0" applyFont="1" applyBorder="1" applyAlignment="1">
      <alignment horizontal="center" wrapText="1"/>
    </xf>
    <xf numFmtId="0" fontId="1" fillId="0" borderId="19" xfId="0" applyFont="1" applyBorder="1" applyAlignment="1">
      <alignment horizontal="center" wrapText="1"/>
    </xf>
    <xf numFmtId="3" fontId="0" fillId="28" borderId="14" xfId="0" applyNumberFormat="1" applyFill="1" applyBorder="1"/>
    <xf numFmtId="0" fontId="0" fillId="26" borderId="19" xfId="0" applyFill="1" applyBorder="1"/>
    <xf numFmtId="0" fontId="0" fillId="26" borderId="16" xfId="0" applyFill="1" applyBorder="1"/>
    <xf numFmtId="0" fontId="1" fillId="26" borderId="13" xfId="0" applyFont="1" applyFill="1" applyBorder="1" applyAlignment="1">
      <alignment horizontal="right" wrapText="1"/>
    </xf>
    <xf numFmtId="0" fontId="1" fillId="26" borderId="0" xfId="0" applyFont="1" applyFill="1" applyAlignment="1">
      <alignment horizontal="right" wrapText="1"/>
    </xf>
    <xf numFmtId="0" fontId="1" fillId="26" borderId="14" xfId="0" applyFont="1" applyFill="1" applyBorder="1" applyAlignment="1">
      <alignment horizontal="right" wrapText="1"/>
    </xf>
    <xf numFmtId="0" fontId="0" fillId="26" borderId="13" xfId="0" applyFill="1" applyBorder="1"/>
    <xf numFmtId="3" fontId="0" fillId="26" borderId="19" xfId="0" applyNumberFormat="1" applyFill="1" applyBorder="1"/>
    <xf numFmtId="3" fontId="0" fillId="26" borderId="21" xfId="0" applyNumberFormat="1" applyFill="1" applyBorder="1"/>
    <xf numFmtId="3" fontId="0" fillId="26" borderId="20" xfId="0" applyNumberFormat="1" applyFill="1" applyBorder="1"/>
    <xf numFmtId="3" fontId="0" fillId="26" borderId="13" xfId="0" applyNumberFormat="1" applyFill="1" applyBorder="1"/>
    <xf numFmtId="3" fontId="0" fillId="26" borderId="0" xfId="0" applyNumberFormat="1" applyFill="1"/>
    <xf numFmtId="3" fontId="0" fillId="26" borderId="14" xfId="0" applyNumberFormat="1" applyFill="1" applyBorder="1"/>
    <xf numFmtId="169" fontId="0" fillId="26" borderId="13" xfId="0" applyNumberFormat="1" applyFill="1" applyBorder="1"/>
    <xf numFmtId="169" fontId="0" fillId="26" borderId="0" xfId="0" applyNumberFormat="1" applyFill="1"/>
    <xf numFmtId="169" fontId="0" fillId="26" borderId="14" xfId="0" applyNumberFormat="1" applyFill="1" applyBorder="1"/>
    <xf numFmtId="169" fontId="0" fillId="26" borderId="16" xfId="0" applyNumberFormat="1" applyFill="1" applyBorder="1"/>
    <xf numFmtId="169" fontId="0" fillId="26" borderId="17" xfId="0" applyNumberFormat="1" applyFill="1" applyBorder="1"/>
    <xf numFmtId="0" fontId="0" fillId="0" borderId="0" xfId="0" applyAlignment="1">
      <alignment horizontal="right" wrapText="1"/>
    </xf>
    <xf numFmtId="0" fontId="0" fillId="0" borderId="19" xfId="0" applyBorder="1" applyAlignment="1">
      <alignment horizontal="right"/>
    </xf>
    <xf numFmtId="174" fontId="0" fillId="0" borderId="19" xfId="0" applyNumberFormat="1" applyBorder="1"/>
    <xf numFmtId="174" fontId="0" fillId="0" borderId="21" xfId="0" applyNumberFormat="1" applyBorder="1"/>
    <xf numFmtId="174" fontId="0" fillId="0" borderId="20" xfId="0" applyNumberFormat="1" applyBorder="1"/>
    <xf numFmtId="174" fontId="0" fillId="0" borderId="0" xfId="0" applyNumberFormat="1"/>
    <xf numFmtId="174" fontId="0" fillId="0" borderId="16" xfId="0" applyNumberFormat="1" applyBorder="1"/>
    <xf numFmtId="174" fontId="0" fillId="0" borderId="18" xfId="0" applyNumberFormat="1" applyBorder="1"/>
    <xf numFmtId="174" fontId="0" fillId="0" borderId="17" xfId="0" applyNumberFormat="1" applyBorder="1"/>
    <xf numFmtId="0" fontId="2" fillId="0" borderId="24" xfId="0" applyFont="1" applyBorder="1" applyAlignment="1">
      <alignment horizontal="center" vertical="center" wrapText="1"/>
    </xf>
    <xf numFmtId="0" fontId="2" fillId="0" borderId="27" xfId="0" applyFont="1" applyBorder="1" applyAlignment="1">
      <alignment horizontal="center" vertical="center" wrapText="1"/>
    </xf>
    <xf numFmtId="0" fontId="0" fillId="0" borderId="27" xfId="0" applyBorder="1" applyAlignment="1">
      <alignment horizontal="center" vertical="center" wrapText="1"/>
    </xf>
    <xf numFmtId="0" fontId="2" fillId="0" borderId="25" xfId="0" applyFont="1" applyBorder="1" applyAlignment="1">
      <alignment horizontal="center" vertical="center" wrapText="1"/>
    </xf>
    <xf numFmtId="174" fontId="0" fillId="0" borderId="13" xfId="0" applyNumberFormat="1" applyBorder="1"/>
    <xf numFmtId="174" fontId="0" fillId="0" borderId="14" xfId="0" applyNumberFormat="1" applyBorder="1"/>
    <xf numFmtId="174" fontId="0" fillId="0" borderId="26" xfId="0" applyNumberFormat="1" applyBorder="1" applyAlignment="1">
      <alignment horizontal="center"/>
    </xf>
    <xf numFmtId="4" fontId="0" fillId="0" borderId="26" xfId="0" applyNumberFormat="1" applyBorder="1" applyAlignment="1">
      <alignment horizontal="center"/>
    </xf>
    <xf numFmtId="174" fontId="0" fillId="0" borderId="11" xfId="0" applyNumberFormat="1" applyBorder="1" applyAlignment="1">
      <alignment horizontal="center"/>
    </xf>
    <xf numFmtId="0" fontId="0" fillId="0" borderId="0" xfId="0" applyAlignment="1">
      <alignment horizontal="left"/>
    </xf>
    <xf numFmtId="174" fontId="0" fillId="0" borderId="15" xfId="0" applyNumberFormat="1" applyBorder="1" applyAlignment="1">
      <alignment horizontal="center"/>
    </xf>
    <xf numFmtId="0" fontId="0" fillId="0" borderId="11" xfId="0" applyBorder="1" applyAlignment="1">
      <alignment horizontal="right"/>
    </xf>
    <xf numFmtId="3" fontId="0" fillId="0" borderId="19" xfId="0" applyNumberFormat="1" applyBorder="1"/>
    <xf numFmtId="3" fontId="0" fillId="0" borderId="21" xfId="0" applyNumberFormat="1" applyBorder="1"/>
    <xf numFmtId="3" fontId="0" fillId="0" borderId="20" xfId="0" applyNumberFormat="1" applyBorder="1"/>
    <xf numFmtId="0" fontId="0" fillId="0" borderId="12" xfId="0" applyBorder="1" applyAlignment="1">
      <alignment horizontal="right"/>
    </xf>
    <xf numFmtId="0" fontId="0" fillId="0" borderId="12" xfId="0" applyBorder="1" applyAlignment="1">
      <alignment horizontal="right" wrapText="1"/>
    </xf>
    <xf numFmtId="0" fontId="0" fillId="0" borderId="15" xfId="0" applyBorder="1" applyAlignment="1">
      <alignment horizontal="right" wrapText="1"/>
    </xf>
    <xf numFmtId="0" fontId="1" fillId="0" borderId="26" xfId="0" applyFont="1" applyBorder="1" applyAlignment="1">
      <alignment horizontal="center" vertical="center"/>
    </xf>
    <xf numFmtId="0" fontId="1" fillId="0" borderId="24" xfId="0" applyFont="1" applyBorder="1" applyAlignment="1">
      <alignment horizontal="center" vertical="center"/>
    </xf>
    <xf numFmtId="0" fontId="1" fillId="0" borderId="25" xfId="0" applyFont="1" applyBorder="1" applyAlignment="1">
      <alignment horizontal="center" vertical="center"/>
    </xf>
    <xf numFmtId="0" fontId="0" fillId="0" borderId="13" xfId="0" applyBorder="1" applyAlignment="1">
      <alignment horizontal="center" vertical="center"/>
    </xf>
    <xf numFmtId="0" fontId="0" fillId="0" borderId="16" xfId="0" applyBorder="1" applyAlignment="1">
      <alignment horizontal="center" vertical="center"/>
    </xf>
    <xf numFmtId="0" fontId="1" fillId="0" borderId="24" xfId="38" applyFont="1" applyBorder="1"/>
    <xf numFmtId="0" fontId="0" fillId="0" borderId="24" xfId="38" applyFont="1" applyBorder="1"/>
    <xf numFmtId="0" fontId="0" fillId="0" borderId="24" xfId="38" applyFont="1" applyBorder="1" applyAlignment="1">
      <alignment horizontal="right" wrapText="1"/>
    </xf>
    <xf numFmtId="0" fontId="0" fillId="0" borderId="27" xfId="38" applyFont="1" applyBorder="1" applyAlignment="1">
      <alignment horizontal="right" wrapText="1"/>
    </xf>
    <xf numFmtId="0" fontId="0" fillId="0" borderId="25" xfId="38" applyFont="1" applyBorder="1" applyAlignment="1">
      <alignment horizontal="right" wrapText="1"/>
    </xf>
    <xf numFmtId="0" fontId="0" fillId="0" borderId="26" xfId="0" applyBorder="1" applyAlignment="1">
      <alignment horizontal="right"/>
    </xf>
    <xf numFmtId="3" fontId="0" fillId="0" borderId="11" xfId="0" applyNumberFormat="1" applyBorder="1"/>
    <xf numFmtId="3" fontId="0" fillId="0" borderId="19" xfId="0" applyNumberFormat="1" applyBorder="1" applyAlignment="1">
      <alignment horizontal="center"/>
    </xf>
    <xf numFmtId="3" fontId="0" fillId="0" borderId="20" xfId="0" applyNumberFormat="1" applyBorder="1" applyAlignment="1">
      <alignment horizontal="center"/>
    </xf>
    <xf numFmtId="3" fontId="0" fillId="0" borderId="13" xfId="0" applyNumberFormat="1" applyBorder="1" applyAlignment="1">
      <alignment horizontal="center"/>
    </xf>
    <xf numFmtId="3" fontId="0" fillId="0" borderId="14" xfId="0" applyNumberFormat="1" applyBorder="1" applyAlignment="1">
      <alignment horizontal="center"/>
    </xf>
    <xf numFmtId="3" fontId="0" fillId="0" borderId="16" xfId="0" applyNumberFormat="1" applyBorder="1" applyAlignment="1">
      <alignment horizontal="center"/>
    </xf>
    <xf numFmtId="3" fontId="0" fillId="0" borderId="17" xfId="0" applyNumberFormat="1" applyBorder="1" applyAlignment="1">
      <alignment horizontal="center"/>
    </xf>
    <xf numFmtId="0" fontId="0" fillId="27" borderId="14" xfId="0" applyFill="1" applyBorder="1" applyAlignment="1">
      <alignment horizontal="center"/>
    </xf>
    <xf numFmtId="0" fontId="0" fillId="0" borderId="17" xfId="0" applyBorder="1" applyAlignment="1">
      <alignment horizontal="right"/>
    </xf>
    <xf numFmtId="0" fontId="0" fillId="0" borderId="19" xfId="0" applyBorder="1" applyAlignment="1">
      <alignment horizontal="left"/>
    </xf>
    <xf numFmtId="37" fontId="0" fillId="0" borderId="21" xfId="0" applyNumberFormat="1" applyBorder="1" applyAlignment="1">
      <alignment horizontal="right"/>
    </xf>
    <xf numFmtId="37" fontId="0" fillId="0" borderId="20" xfId="0" applyNumberFormat="1" applyBorder="1" applyAlignment="1">
      <alignment horizontal="right"/>
    </xf>
    <xf numFmtId="166" fontId="0" fillId="0" borderId="0" xfId="0" applyNumberFormat="1" applyAlignment="1">
      <alignment horizontal="right"/>
    </xf>
    <xf numFmtId="37" fontId="0" fillId="0" borderId="18" xfId="0" applyNumberFormat="1" applyBorder="1" applyAlignment="1">
      <alignment horizontal="right"/>
    </xf>
    <xf numFmtId="37" fontId="0" fillId="0" borderId="17" xfId="0" applyNumberFormat="1" applyBorder="1" applyAlignment="1">
      <alignment horizontal="right"/>
    </xf>
    <xf numFmtId="0" fontId="0" fillId="0" borderId="11" xfId="0" applyBorder="1" applyAlignment="1">
      <alignment horizontal="left"/>
    </xf>
    <xf numFmtId="3" fontId="0" fillId="0" borderId="19" xfId="0" applyNumberFormat="1" applyBorder="1" applyAlignment="1">
      <alignment horizontal="right"/>
    </xf>
    <xf numFmtId="3" fontId="0" fillId="0" borderId="21" xfId="0" applyNumberFormat="1" applyBorder="1" applyAlignment="1">
      <alignment horizontal="right"/>
    </xf>
    <xf numFmtId="3" fontId="0" fillId="0" borderId="20" xfId="0" applyNumberFormat="1" applyBorder="1" applyAlignment="1">
      <alignment horizontal="right"/>
    </xf>
    <xf numFmtId="3" fontId="0" fillId="0" borderId="13" xfId="0" applyNumberFormat="1" applyBorder="1" applyAlignment="1">
      <alignment horizontal="right"/>
    </xf>
    <xf numFmtId="3" fontId="0" fillId="0" borderId="0" xfId="0" applyNumberFormat="1" applyAlignment="1">
      <alignment horizontal="right"/>
    </xf>
    <xf numFmtId="3" fontId="0" fillId="0" borderId="14" xfId="0" applyNumberFormat="1" applyBorder="1" applyAlignment="1">
      <alignment horizontal="right"/>
    </xf>
    <xf numFmtId="1" fontId="0" fillId="0" borderId="0" xfId="0" applyNumberFormat="1" applyAlignment="1">
      <alignment horizontal="right"/>
    </xf>
    <xf numFmtId="3" fontId="0" fillId="0" borderId="16" xfId="0" applyNumberFormat="1" applyBorder="1" applyAlignment="1">
      <alignment horizontal="right"/>
    </xf>
    <xf numFmtId="3" fontId="0" fillId="0" borderId="18" xfId="0" applyNumberFormat="1" applyBorder="1" applyAlignment="1">
      <alignment horizontal="right"/>
    </xf>
    <xf numFmtId="3" fontId="0" fillId="0" borderId="17" xfId="0" applyNumberFormat="1" applyBorder="1" applyAlignment="1">
      <alignment horizontal="right"/>
    </xf>
    <xf numFmtId="170" fontId="0" fillId="22" borderId="24" xfId="43" applyNumberFormat="1" applyFont="1" applyFill="1" applyBorder="1" applyAlignment="1">
      <alignment horizontal="right"/>
    </xf>
    <xf numFmtId="170" fontId="0" fillId="22" borderId="27" xfId="43" applyNumberFormat="1" applyFont="1" applyFill="1" applyBorder="1" applyAlignment="1">
      <alignment horizontal="right"/>
    </xf>
    <xf numFmtId="170" fontId="0" fillId="22" borderId="25" xfId="43" applyNumberFormat="1" applyFont="1" applyFill="1" applyBorder="1" applyAlignment="1">
      <alignment horizontal="right"/>
    </xf>
    <xf numFmtId="0" fontId="0" fillId="0" borderId="19" xfId="38" applyFont="1" applyBorder="1" applyAlignment="1">
      <alignment horizontal="right" wrapText="1"/>
    </xf>
    <xf numFmtId="0" fontId="0" fillId="0" borderId="21" xfId="38" applyFont="1" applyBorder="1" applyAlignment="1">
      <alignment horizontal="right" wrapText="1"/>
    </xf>
    <xf numFmtId="0" fontId="0" fillId="0" borderId="20" xfId="38" applyFont="1" applyBorder="1" applyAlignment="1">
      <alignment horizontal="right" wrapText="1"/>
    </xf>
    <xf numFmtId="164" fontId="0" fillId="22" borderId="11" xfId="0" applyNumberFormat="1" applyFill="1" applyBorder="1"/>
    <xf numFmtId="3" fontId="0" fillId="0" borderId="24" xfId="0" applyNumberFormat="1" applyBorder="1" applyAlignment="1">
      <alignment horizontal="center" vertical="center"/>
    </xf>
    <xf numFmtId="3" fontId="0" fillId="0" borderId="25" xfId="0" applyNumberFormat="1" applyBorder="1" applyAlignment="1">
      <alignment horizontal="center" vertical="center"/>
    </xf>
    <xf numFmtId="0" fontId="1" fillId="0" borderId="26" xfId="0" applyFont="1" applyBorder="1" applyAlignment="1">
      <alignment horizontal="right" wrapText="1"/>
    </xf>
    <xf numFmtId="0" fontId="0" fillId="0" borderId="15" xfId="0" applyBorder="1" applyAlignment="1">
      <alignment horizontal="right" vertical="center"/>
    </xf>
    <xf numFmtId="3" fontId="0" fillId="0" borderId="15" xfId="0" applyNumberFormat="1" applyBorder="1" applyAlignment="1">
      <alignment horizontal="center" vertical="center"/>
    </xf>
    <xf numFmtId="0" fontId="0" fillId="0" borderId="0" xfId="0" applyAlignment="1">
      <alignment horizontal="center" vertical="center"/>
    </xf>
    <xf numFmtId="0" fontId="2" fillId="0" borderId="19" xfId="0" applyFont="1" applyBorder="1" applyAlignment="1">
      <alignment horizontal="center" vertical="center" wrapText="1"/>
    </xf>
    <xf numFmtId="0" fontId="2" fillId="0" borderId="21" xfId="0" applyFont="1" applyBorder="1" applyAlignment="1">
      <alignment horizontal="center" vertical="center" wrapText="1"/>
    </xf>
    <xf numFmtId="0" fontId="0" fillId="0" borderId="21" xfId="0" applyBorder="1" applyAlignment="1">
      <alignment horizontal="center" vertical="center" wrapText="1"/>
    </xf>
    <xf numFmtId="0" fontId="2" fillId="0" borderId="20" xfId="0" applyFont="1" applyBorder="1" applyAlignment="1">
      <alignment horizontal="center" vertical="center" wrapText="1"/>
    </xf>
    <xf numFmtId="0" fontId="1" fillId="0" borderId="24" xfId="0" applyFont="1" applyBorder="1" applyAlignment="1">
      <alignment horizontal="left"/>
    </xf>
    <xf numFmtId="3" fontId="0" fillId="0" borderId="11" xfId="43" applyNumberFormat="1" applyFont="1" applyFill="1" applyBorder="1"/>
    <xf numFmtId="3" fontId="0" fillId="0" borderId="12" xfId="43" applyNumberFormat="1" applyFont="1" applyFill="1" applyBorder="1"/>
    <xf numFmtId="3" fontId="0" fillId="0" borderId="15" xfId="43" applyNumberFormat="1" applyFont="1" applyFill="1" applyBorder="1"/>
    <xf numFmtId="9" fontId="0" fillId="0" borderId="11" xfId="43" applyFont="1" applyFill="1" applyBorder="1"/>
    <xf numFmtId="9" fontId="0" fillId="0" borderId="12" xfId="43" applyFont="1" applyFill="1" applyBorder="1"/>
    <xf numFmtId="9" fontId="0" fillId="0" borderId="15" xfId="43" applyFont="1" applyFill="1" applyBorder="1"/>
    <xf numFmtId="0" fontId="0" fillId="0" borderId="12" xfId="0" applyBorder="1" applyAlignment="1">
      <alignment horizontal="left" indent="1"/>
    </xf>
    <xf numFmtId="0" fontId="0" fillId="0" borderId="15" xfId="0" applyBorder="1" applyAlignment="1">
      <alignment horizontal="left" indent="1"/>
    </xf>
    <xf numFmtId="0" fontId="0" fillId="0" borderId="13" xfId="0" applyBorder="1" applyAlignment="1">
      <alignment horizontal="left" indent="1"/>
    </xf>
    <xf numFmtId="0" fontId="0" fillId="0" borderId="16" xfId="0" applyBorder="1" applyAlignment="1">
      <alignment horizontal="left" indent="1"/>
    </xf>
    <xf numFmtId="0" fontId="1" fillId="0" borderId="11" xfId="0" applyFont="1" applyBorder="1" applyAlignment="1">
      <alignment horizontal="left"/>
    </xf>
    <xf numFmtId="185" fontId="48" fillId="0" borderId="0" xfId="0" applyNumberFormat="1" applyFont="1"/>
    <xf numFmtId="0" fontId="1" fillId="0" borderId="19" xfId="0" applyFont="1" applyBorder="1" applyAlignment="1">
      <alignment horizontal="left"/>
    </xf>
    <xf numFmtId="170" fontId="0" fillId="0" borderId="20" xfId="43" applyNumberFormat="1" applyFont="1" applyFill="1" applyBorder="1"/>
    <xf numFmtId="170" fontId="0" fillId="19" borderId="13" xfId="43" applyNumberFormat="1" applyFont="1" applyFill="1" applyBorder="1"/>
    <xf numFmtId="0" fontId="0" fillId="0" borderId="11" xfId="0" applyBorder="1" applyAlignment="1">
      <alignment horizontal="right" wrapText="1"/>
    </xf>
    <xf numFmtId="0" fontId="0" fillId="0" borderId="11" xfId="0" applyBorder="1" applyAlignment="1">
      <alignment horizontal="left" indent="1"/>
    </xf>
    <xf numFmtId="0" fontId="0" fillId="29" borderId="0" xfId="0" applyFill="1"/>
    <xf numFmtId="0" fontId="0" fillId="29" borderId="14" xfId="0" applyFill="1" applyBorder="1"/>
    <xf numFmtId="0" fontId="0" fillId="29" borderId="18" xfId="0" applyFill="1" applyBorder="1"/>
    <xf numFmtId="0" fontId="0" fillId="29" borderId="17" xfId="0" applyFill="1" applyBorder="1"/>
    <xf numFmtId="0" fontId="0" fillId="0" borderId="18" xfId="0" applyBorder="1" applyAlignment="1">
      <alignment horizontal="right" wrapText="1"/>
    </xf>
    <xf numFmtId="0" fontId="0" fillId="0" borderId="17" xfId="0" applyBorder="1" applyAlignment="1">
      <alignment horizontal="right" wrapText="1"/>
    </xf>
    <xf numFmtId="170" fontId="0" fillId="22" borderId="21" xfId="43" applyNumberFormat="1" applyFont="1" applyFill="1" applyBorder="1"/>
    <xf numFmtId="0" fontId="0" fillId="0" borderId="16" xfId="0" applyBorder="1" applyAlignment="1">
      <alignment horizontal="center"/>
    </xf>
    <xf numFmtId="3" fontId="0" fillId="22" borderId="13" xfId="0" applyNumberFormat="1" applyFill="1" applyBorder="1"/>
    <xf numFmtId="3" fontId="0" fillId="22" borderId="0" xfId="0" applyNumberFormat="1" applyFill="1"/>
    <xf numFmtId="3" fontId="0" fillId="22" borderId="16" xfId="0" applyNumberFormat="1" applyFill="1" applyBorder="1"/>
    <xf numFmtId="0" fontId="1" fillId="0" borderId="0" xfId="0" applyFont="1" applyAlignment="1">
      <alignment horizontal="left"/>
    </xf>
    <xf numFmtId="0" fontId="1" fillId="30" borderId="0" xfId="0" applyFont="1" applyFill="1"/>
    <xf numFmtId="0" fontId="6" fillId="20" borderId="0" xfId="0" applyFont="1" applyFill="1"/>
    <xf numFmtId="3" fontId="43" fillId="0" borderId="24" xfId="0" applyNumberFormat="1" applyFont="1" applyBorder="1"/>
    <xf numFmtId="3" fontId="43" fillId="0" borderId="27" xfId="0" applyNumberFormat="1" applyFont="1" applyBorder="1"/>
    <xf numFmtId="3" fontId="43" fillId="0" borderId="25" xfId="0" applyNumberFormat="1" applyFont="1" applyBorder="1"/>
    <xf numFmtId="3" fontId="43" fillId="0" borderId="0" xfId="0" applyNumberFormat="1" applyFont="1"/>
    <xf numFmtId="165" fontId="0" fillId="0" borderId="0" xfId="0" applyNumberFormat="1"/>
    <xf numFmtId="43" fontId="0" fillId="0" borderId="0" xfId="0" applyNumberFormat="1"/>
    <xf numFmtId="174" fontId="0" fillId="22" borderId="19" xfId="0" applyNumberFormat="1" applyFill="1" applyBorder="1"/>
    <xf numFmtId="174" fontId="0" fillId="22" borderId="21" xfId="0" applyNumberFormat="1" applyFill="1" applyBorder="1"/>
    <xf numFmtId="174" fontId="0" fillId="22" borderId="20" xfId="0" applyNumberFormat="1" applyFill="1" applyBorder="1"/>
    <xf numFmtId="174" fontId="0" fillId="0" borderId="24" xfId="0" applyNumberFormat="1" applyBorder="1"/>
    <xf numFmtId="174" fontId="0" fillId="0" borderId="27" xfId="0" applyNumberFormat="1" applyBorder="1"/>
    <xf numFmtId="174" fontId="0" fillId="0" borderId="25" xfId="0" applyNumberFormat="1" applyBorder="1"/>
    <xf numFmtId="174" fontId="0" fillId="0" borderId="16" xfId="0" applyNumberFormat="1" applyBorder="1" applyAlignment="1">
      <alignment horizontal="right" wrapText="1"/>
    </xf>
    <xf numFmtId="174" fontId="0" fillId="0" borderId="18" xfId="0" applyNumberFormat="1" applyBorder="1" applyAlignment="1">
      <alignment horizontal="right" wrapText="1"/>
    </xf>
    <xf numFmtId="174" fontId="0" fillId="0" borderId="17" xfId="0" applyNumberFormat="1" applyBorder="1" applyAlignment="1">
      <alignment horizontal="right" wrapText="1"/>
    </xf>
    <xf numFmtId="174" fontId="0" fillId="22" borderId="24" xfId="0" applyNumberFormat="1" applyFill="1" applyBorder="1"/>
    <xf numFmtId="174" fontId="0" fillId="22" borderId="27" xfId="0" applyNumberFormat="1" applyFill="1" applyBorder="1"/>
    <xf numFmtId="174" fontId="0" fillId="22" borderId="25" xfId="0" applyNumberFormat="1" applyFill="1" applyBorder="1"/>
    <xf numFmtId="174" fontId="0" fillId="22" borderId="13" xfId="0" applyNumberFormat="1" applyFill="1" applyBorder="1"/>
    <xf numFmtId="174" fontId="0" fillId="22" borderId="0" xfId="0" applyNumberFormat="1" applyFill="1"/>
    <xf numFmtId="174" fontId="0" fillId="22" borderId="14" xfId="0" applyNumberFormat="1" applyFill="1" applyBorder="1"/>
    <xf numFmtId="174" fontId="0" fillId="22" borderId="16" xfId="0" applyNumberFormat="1" applyFill="1" applyBorder="1"/>
    <xf numFmtId="174" fontId="0" fillId="22" borderId="18" xfId="0" applyNumberFormat="1" applyFill="1" applyBorder="1"/>
    <xf numFmtId="174" fontId="0" fillId="22" borderId="17" xfId="0" applyNumberFormat="1" applyFill="1" applyBorder="1"/>
    <xf numFmtId="3" fontId="0" fillId="0" borderId="24" xfId="0" applyNumberFormat="1" applyBorder="1" applyAlignment="1">
      <alignment horizontal="right"/>
    </xf>
    <xf numFmtId="3" fontId="0" fillId="0" borderId="27" xfId="0" applyNumberFormat="1" applyBorder="1" applyAlignment="1">
      <alignment horizontal="right"/>
    </xf>
    <xf numFmtId="3" fontId="0" fillId="0" borderId="25" xfId="0" applyNumberFormat="1" applyBorder="1" applyAlignment="1">
      <alignment horizontal="right"/>
    </xf>
    <xf numFmtId="174" fontId="0" fillId="22" borderId="26" xfId="0" applyNumberFormat="1" applyFill="1" applyBorder="1" applyAlignment="1">
      <alignment horizontal="center"/>
    </xf>
    <xf numFmtId="174" fontId="0" fillId="22" borderId="11" xfId="0" applyNumberFormat="1" applyFill="1" applyBorder="1" applyAlignment="1">
      <alignment horizontal="center"/>
    </xf>
    <xf numFmtId="0" fontId="0" fillId="0" borderId="13" xfId="0" applyBorder="1" applyAlignment="1">
      <alignment horizontal="left"/>
    </xf>
    <xf numFmtId="3" fontId="0" fillId="22" borderId="19" xfId="43" applyNumberFormat="1" applyFont="1" applyFill="1" applyBorder="1"/>
    <xf numFmtId="3" fontId="0" fillId="22" borderId="21" xfId="43" applyNumberFormat="1" applyFont="1" applyFill="1" applyBorder="1"/>
    <xf numFmtId="3" fontId="0" fillId="0" borderId="20" xfId="43" applyNumberFormat="1" applyFont="1" applyFill="1" applyBorder="1"/>
    <xf numFmtId="174" fontId="0" fillId="22" borderId="18" xfId="43" applyNumberFormat="1" applyFont="1" applyFill="1" applyBorder="1"/>
    <xf numFmtId="174" fontId="0" fillId="22" borderId="17" xfId="43" applyNumberFormat="1" applyFont="1" applyFill="1" applyBorder="1"/>
    <xf numFmtId="3" fontId="0" fillId="22" borderId="13" xfId="43" applyNumberFormat="1" applyFont="1" applyFill="1" applyBorder="1"/>
    <xf numFmtId="3" fontId="0" fillId="22" borderId="14" xfId="43" applyNumberFormat="1" applyFont="1" applyFill="1" applyBorder="1"/>
    <xf numFmtId="3" fontId="0" fillId="0" borderId="14" xfId="43" applyNumberFormat="1" applyFont="1" applyFill="1" applyBorder="1"/>
    <xf numFmtId="3" fontId="0" fillId="22" borderId="16" xfId="43" applyNumberFormat="1" applyFont="1" applyFill="1" applyBorder="1"/>
    <xf numFmtId="3" fontId="0" fillId="22" borderId="18" xfId="43" applyNumberFormat="1" applyFont="1" applyFill="1" applyBorder="1"/>
    <xf numFmtId="3" fontId="0" fillId="22" borderId="17" xfId="43" applyNumberFormat="1" applyFont="1" applyFill="1" applyBorder="1"/>
    <xf numFmtId="0" fontId="1" fillId="0" borderId="19" xfId="0" applyFont="1" applyBorder="1" applyAlignment="1">
      <alignment horizontal="center" vertical="center"/>
    </xf>
    <xf numFmtId="0" fontId="1" fillId="0" borderId="20" xfId="0" applyFont="1" applyBorder="1" applyAlignment="1">
      <alignment horizontal="center" vertical="center"/>
    </xf>
    <xf numFmtId="1" fontId="0" fillId="22" borderId="19" xfId="0" applyNumberFormat="1" applyFill="1" applyBorder="1" applyAlignment="1">
      <alignment horizontal="center" vertical="center"/>
    </xf>
    <xf numFmtId="1" fontId="0" fillId="22" borderId="20" xfId="0" applyNumberFormat="1" applyFill="1" applyBorder="1" applyAlignment="1">
      <alignment horizontal="center" vertical="center"/>
    </xf>
    <xf numFmtId="1" fontId="0" fillId="22" borderId="16" xfId="0" applyNumberFormat="1" applyFill="1" applyBorder="1" applyAlignment="1">
      <alignment horizontal="center" vertical="center"/>
    </xf>
    <xf numFmtId="1" fontId="0" fillId="22" borderId="17" xfId="0" applyNumberFormat="1" applyFill="1" applyBorder="1" applyAlignment="1">
      <alignment horizontal="center" vertical="center"/>
    </xf>
    <xf numFmtId="3" fontId="0" fillId="22" borderId="19" xfId="0" applyNumberFormat="1" applyFill="1" applyBorder="1"/>
    <xf numFmtId="3" fontId="0" fillId="22" borderId="21" xfId="0" applyNumberFormat="1" applyFill="1" applyBorder="1"/>
    <xf numFmtId="3" fontId="0" fillId="22" borderId="20" xfId="0" applyNumberFormat="1" applyFill="1" applyBorder="1"/>
    <xf numFmtId="0" fontId="10" fillId="20" borderId="0" xfId="0" applyFont="1" applyFill="1"/>
    <xf numFmtId="3" fontId="43" fillId="24" borderId="11" xfId="0" applyNumberFormat="1" applyFont="1" applyFill="1" applyBorder="1"/>
    <xf numFmtId="3" fontId="43" fillId="24" borderId="15" xfId="0" applyNumberFormat="1" applyFont="1" applyFill="1" applyBorder="1"/>
    <xf numFmtId="3" fontId="43" fillId="22" borderId="26" xfId="0" applyNumberFormat="1" applyFont="1" applyFill="1" applyBorder="1"/>
    <xf numFmtId="3" fontId="0" fillId="22" borderId="19" xfId="0" applyNumberFormat="1" applyFill="1" applyBorder="1" applyAlignment="1">
      <alignment horizontal="center"/>
    </xf>
    <xf numFmtId="3" fontId="0" fillId="22" borderId="13" xfId="0" applyNumberFormat="1" applyFill="1" applyBorder="1" applyAlignment="1">
      <alignment horizontal="center"/>
    </xf>
    <xf numFmtId="3" fontId="0" fillId="22" borderId="14" xfId="0" applyNumberFormat="1" applyFill="1" applyBorder="1" applyAlignment="1">
      <alignment horizontal="center"/>
    </xf>
    <xf numFmtId="3" fontId="0" fillId="22" borderId="16" xfId="0" applyNumberFormat="1" applyFill="1" applyBorder="1" applyAlignment="1">
      <alignment horizontal="center"/>
    </xf>
    <xf numFmtId="3" fontId="0" fillId="22" borderId="17" xfId="0" applyNumberFormat="1" applyFill="1" applyBorder="1" applyAlignment="1">
      <alignment horizontal="center"/>
    </xf>
    <xf numFmtId="0" fontId="0" fillId="0" borderId="24" xfId="0" applyBorder="1" applyAlignment="1">
      <alignment horizontal="left"/>
    </xf>
    <xf numFmtId="3" fontId="0" fillId="22" borderId="13" xfId="0" applyNumberFormat="1" applyFill="1" applyBorder="1" applyAlignment="1">
      <alignment horizontal="right"/>
    </xf>
    <xf numFmtId="3" fontId="0" fillId="22" borderId="0" xfId="0" applyNumberFormat="1" applyFill="1" applyAlignment="1">
      <alignment horizontal="right"/>
    </xf>
    <xf numFmtId="3" fontId="0" fillId="22" borderId="14" xfId="0" applyNumberFormat="1" applyFill="1" applyBorder="1" applyAlignment="1">
      <alignment horizontal="right"/>
    </xf>
    <xf numFmtId="3" fontId="0" fillId="22" borderId="16" xfId="0" applyNumberFormat="1" applyFill="1" applyBorder="1" applyAlignment="1">
      <alignment horizontal="right"/>
    </xf>
    <xf numFmtId="3" fontId="0" fillId="22" borderId="18" xfId="0" applyNumberFormat="1" applyFill="1" applyBorder="1" applyAlignment="1">
      <alignment horizontal="right"/>
    </xf>
    <xf numFmtId="3" fontId="0" fillId="22" borderId="17" xfId="0" applyNumberFormat="1" applyFill="1" applyBorder="1" applyAlignment="1">
      <alignment horizontal="right"/>
    </xf>
    <xf numFmtId="0" fontId="0" fillId="0" borderId="26" xfId="0" applyBorder="1" applyAlignment="1">
      <alignment horizontal="left"/>
    </xf>
    <xf numFmtId="0" fontId="0" fillId="22" borderId="26" xfId="0" applyFill="1" applyBorder="1"/>
    <xf numFmtId="3" fontId="0" fillId="22" borderId="24" xfId="0" applyNumberFormat="1" applyFill="1" applyBorder="1"/>
    <xf numFmtId="3" fontId="0" fillId="22" borderId="27" xfId="0" applyNumberFormat="1" applyFill="1" applyBorder="1"/>
    <xf numFmtId="170" fontId="48" fillId="0" borderId="0" xfId="0" applyNumberFormat="1" applyFont="1"/>
    <xf numFmtId="186" fontId="48" fillId="0" borderId="0" xfId="0" applyNumberFormat="1" applyFont="1"/>
    <xf numFmtId="170" fontId="0" fillId="22" borderId="18" xfId="0" applyNumberFormat="1" applyFill="1" applyBorder="1"/>
    <xf numFmtId="170" fontId="0" fillId="22" borderId="17" xfId="0" applyNumberFormat="1" applyFill="1" applyBorder="1"/>
    <xf numFmtId="187" fontId="48" fillId="0" borderId="0" xfId="0" applyNumberFormat="1" applyFont="1"/>
    <xf numFmtId="0" fontId="1" fillId="0" borderId="12" xfId="0" applyFont="1" applyBorder="1" applyAlignment="1">
      <alignment horizontal="left"/>
    </xf>
    <xf numFmtId="170" fontId="0" fillId="22" borderId="19" xfId="0" applyNumberFormat="1" applyFill="1" applyBorder="1"/>
    <xf numFmtId="170" fontId="0" fillId="22" borderId="20" xfId="0" applyNumberFormat="1" applyFill="1" applyBorder="1"/>
    <xf numFmtId="188" fontId="48" fillId="0" borderId="0" xfId="0" applyNumberFormat="1" applyFont="1"/>
    <xf numFmtId="0" fontId="1" fillId="0" borderId="19" xfId="0" applyFont="1" applyBorder="1" applyAlignment="1">
      <alignment horizontal="left" indent="1"/>
    </xf>
    <xf numFmtId="0" fontId="0" fillId="0" borderId="0" xfId="38" applyFont="1" applyBorder="1" applyAlignment="1">
      <alignment horizontal="right" wrapText="1"/>
    </xf>
    <xf numFmtId="2" fontId="0" fillId="0" borderId="0" xfId="0" applyNumberFormat="1"/>
    <xf numFmtId="3" fontId="0" fillId="22" borderId="16" xfId="0" applyNumberFormat="1" applyFill="1" applyBorder="1" applyAlignment="1">
      <alignment horizontal="center" vertical="center"/>
    </xf>
    <xf numFmtId="3" fontId="0" fillId="22" borderId="17" xfId="0" applyNumberFormat="1" applyFill="1" applyBorder="1" applyAlignment="1">
      <alignment horizontal="center" vertical="center"/>
    </xf>
    <xf numFmtId="0" fontId="0" fillId="0" borderId="26" xfId="0" applyBorder="1" applyAlignment="1">
      <alignment horizontal="right" wrapText="1"/>
    </xf>
    <xf numFmtId="0" fontId="0" fillId="0" borderId="16" xfId="0" applyBorder="1" applyAlignment="1">
      <alignment horizontal="right" vertical="center"/>
    </xf>
    <xf numFmtId="3" fontId="0" fillId="22" borderId="26" xfId="0" applyNumberFormat="1" applyFill="1" applyBorder="1"/>
    <xf numFmtId="3" fontId="0" fillId="22" borderId="11" xfId="43" applyNumberFormat="1" applyFont="1" applyFill="1" applyBorder="1"/>
    <xf numFmtId="3" fontId="0" fillId="22" borderId="12" xfId="43" applyNumberFormat="1" applyFont="1" applyFill="1" applyBorder="1"/>
    <xf numFmtId="3" fontId="0" fillId="22" borderId="15" xfId="43" applyNumberFormat="1" applyFont="1" applyFill="1" applyBorder="1"/>
    <xf numFmtId="3" fontId="0" fillId="22" borderId="27" xfId="0" applyNumberFormat="1" applyFill="1" applyBorder="1" applyAlignment="1">
      <alignment horizontal="right" wrapText="1"/>
    </xf>
    <xf numFmtId="3" fontId="0" fillId="22" borderId="25" xfId="0" applyNumberFormat="1" applyFill="1" applyBorder="1" applyAlignment="1">
      <alignment horizontal="right" wrapText="1"/>
    </xf>
    <xf numFmtId="170" fontId="0" fillId="22" borderId="12" xfId="0" applyNumberFormat="1" applyFill="1" applyBorder="1"/>
    <xf numFmtId="170" fontId="0" fillId="22" borderId="15" xfId="0" applyNumberFormat="1" applyFill="1" applyBorder="1"/>
    <xf numFmtId="164" fontId="0" fillId="22" borderId="13" xfId="0" applyNumberFormat="1" applyFill="1" applyBorder="1"/>
    <xf numFmtId="164" fontId="0" fillId="22" borderId="16" xfId="0" applyNumberFormat="1" applyFill="1" applyBorder="1"/>
    <xf numFmtId="168" fontId="48" fillId="0" borderId="0" xfId="43" applyNumberFormat="1" applyFont="1" applyFill="1" applyBorder="1"/>
    <xf numFmtId="170" fontId="0" fillId="22" borderId="19" xfId="43" applyNumberFormat="1" applyFont="1" applyFill="1" applyBorder="1"/>
    <xf numFmtId="189" fontId="48" fillId="0" borderId="0" xfId="0" applyNumberFormat="1" applyFont="1"/>
    <xf numFmtId="3" fontId="0" fillId="22" borderId="19" xfId="0" applyNumberFormat="1" applyFill="1" applyBorder="1" applyAlignment="1">
      <alignment horizontal="center" vertical="center"/>
    </xf>
    <xf numFmtId="3" fontId="0" fillId="22" borderId="20" xfId="0" applyNumberFormat="1" applyFill="1" applyBorder="1" applyAlignment="1">
      <alignment horizontal="center" vertical="center"/>
    </xf>
    <xf numFmtId="190" fontId="48" fillId="0" borderId="0" xfId="0" applyNumberFormat="1" applyFont="1"/>
    <xf numFmtId="0" fontId="0" fillId="22" borderId="19" xfId="0" applyFill="1" applyBorder="1"/>
    <xf numFmtId="0" fontId="0" fillId="22" borderId="21" xfId="0" applyFill="1" applyBorder="1"/>
    <xf numFmtId="0" fontId="0" fillId="22" borderId="20" xfId="0" applyFill="1" applyBorder="1"/>
    <xf numFmtId="0" fontId="0" fillId="22" borderId="18" xfId="0" applyFill="1" applyBorder="1"/>
    <xf numFmtId="0" fontId="0" fillId="22" borderId="17" xfId="0" applyFill="1" applyBorder="1"/>
    <xf numFmtId="170" fontId="0" fillId="22" borderId="21" xfId="0" applyNumberFormat="1" applyFill="1" applyBorder="1"/>
    <xf numFmtId="0" fontId="6" fillId="25" borderId="0" xfId="0" applyFont="1" applyFill="1"/>
    <xf numFmtId="0" fontId="2" fillId="25" borderId="0" xfId="0" applyFont="1" applyFill="1"/>
    <xf numFmtId="0" fontId="2" fillId="25" borderId="0" xfId="0" applyFont="1" applyFill="1" applyAlignment="1">
      <alignment wrapText="1"/>
    </xf>
    <xf numFmtId="0" fontId="1" fillId="25" borderId="0" xfId="0" applyFont="1" applyFill="1"/>
    <xf numFmtId="0" fontId="10" fillId="25" borderId="0" xfId="0" applyFont="1" applyFill="1"/>
    <xf numFmtId="0" fontId="2" fillId="25" borderId="19" xfId="0" applyFont="1" applyFill="1" applyBorder="1"/>
    <xf numFmtId="0" fontId="2" fillId="25" borderId="21" xfId="0" applyFont="1" applyFill="1" applyBorder="1" applyAlignment="1">
      <alignment horizontal="center" vertical="center" wrapText="1"/>
    </xf>
    <xf numFmtId="0" fontId="2" fillId="25" borderId="27" xfId="0" applyFont="1" applyFill="1" applyBorder="1" applyAlignment="1">
      <alignment horizontal="center" vertical="center" wrapText="1"/>
    </xf>
    <xf numFmtId="0" fontId="0" fillId="25" borderId="27" xfId="0" applyFill="1" applyBorder="1" applyAlignment="1">
      <alignment horizontal="center" vertical="center" wrapText="1"/>
    </xf>
    <xf numFmtId="0" fontId="2" fillId="25" borderId="25" xfId="0" applyFont="1" applyFill="1" applyBorder="1" applyAlignment="1">
      <alignment horizontal="center" vertical="center" wrapText="1"/>
    </xf>
    <xf numFmtId="0" fontId="2" fillId="25" borderId="21" xfId="0" applyFont="1" applyFill="1" applyBorder="1" applyAlignment="1">
      <alignment horizontal="center" vertical="center"/>
    </xf>
    <xf numFmtId="0" fontId="2" fillId="25" borderId="21" xfId="0" applyFont="1" applyFill="1" applyBorder="1"/>
    <xf numFmtId="0" fontId="2" fillId="25" borderId="20" xfId="0" applyFont="1" applyFill="1" applyBorder="1" applyAlignment="1">
      <alignment horizontal="center" vertical="center"/>
    </xf>
    <xf numFmtId="0" fontId="0" fillId="25" borderId="13" xfId="0" applyFill="1" applyBorder="1"/>
    <xf numFmtId="165" fontId="2" fillId="25" borderId="0" xfId="0" applyNumberFormat="1" applyFont="1" applyFill="1" applyAlignment="1">
      <alignment horizontal="center" vertical="center"/>
    </xf>
    <xf numFmtId="165" fontId="2" fillId="25" borderId="14" xfId="0" applyNumberFormat="1" applyFont="1" applyFill="1" applyBorder="1" applyAlignment="1">
      <alignment horizontal="center" vertical="center"/>
    </xf>
    <xf numFmtId="0" fontId="2" fillId="25" borderId="13" xfId="0" applyFont="1" applyFill="1" applyBorder="1"/>
    <xf numFmtId="0" fontId="2" fillId="25" borderId="16" xfId="0" applyFont="1" applyFill="1" applyBorder="1"/>
    <xf numFmtId="165" fontId="2" fillId="25" borderId="18" xfId="0" applyNumberFormat="1" applyFont="1" applyFill="1" applyBorder="1" applyAlignment="1">
      <alignment horizontal="center" vertical="center"/>
    </xf>
    <xf numFmtId="165" fontId="2" fillId="25" borderId="17" xfId="0" applyNumberFormat="1" applyFont="1" applyFill="1" applyBorder="1" applyAlignment="1">
      <alignment horizontal="center" vertical="center"/>
    </xf>
    <xf numFmtId="0" fontId="2" fillId="25" borderId="24" xfId="0" applyFont="1" applyFill="1" applyBorder="1"/>
    <xf numFmtId="3" fontId="2" fillId="25" borderId="27" xfId="0" applyNumberFormat="1" applyFont="1" applyFill="1" applyBorder="1" applyAlignment="1">
      <alignment horizontal="center" vertical="center"/>
    </xf>
    <xf numFmtId="3" fontId="2" fillId="25" borderId="25" xfId="0" applyNumberFormat="1" applyFont="1" applyFill="1" applyBorder="1" applyAlignment="1">
      <alignment horizontal="center" vertical="center"/>
    </xf>
    <xf numFmtId="170" fontId="2" fillId="25" borderId="27" xfId="43" applyNumberFormat="1" applyFont="1" applyFill="1" applyBorder="1" applyAlignment="1">
      <alignment horizontal="center" vertical="center"/>
    </xf>
    <xf numFmtId="170" fontId="2" fillId="25" borderId="25" xfId="43" applyNumberFormat="1" applyFont="1" applyFill="1" applyBorder="1" applyAlignment="1">
      <alignment horizontal="center" vertical="center"/>
    </xf>
    <xf numFmtId="170" fontId="2" fillId="25" borderId="11" xfId="43" applyNumberFormat="1" applyFont="1" applyFill="1" applyBorder="1"/>
    <xf numFmtId="170" fontId="2" fillId="25" borderId="15" xfId="43" applyNumberFormat="1" applyFont="1" applyFill="1" applyBorder="1"/>
    <xf numFmtId="170" fontId="2" fillId="22" borderId="20" xfId="43" applyNumberFormat="1" applyFont="1" applyFill="1" applyBorder="1"/>
    <xf numFmtId="0" fontId="1" fillId="25" borderId="19" xfId="0" applyFont="1" applyFill="1" applyBorder="1" applyAlignment="1">
      <alignment horizontal="center" vertical="center" wrapText="1"/>
    </xf>
    <xf numFmtId="0" fontId="1" fillId="25" borderId="13" xfId="0" applyFont="1" applyFill="1" applyBorder="1" applyAlignment="1">
      <alignment horizontal="center" vertical="center" wrapText="1"/>
    </xf>
    <xf numFmtId="0" fontId="1" fillId="25" borderId="24" xfId="0" applyFont="1" applyFill="1" applyBorder="1" applyAlignment="1">
      <alignment horizontal="center" vertical="center" textRotation="90" wrapText="1"/>
    </xf>
    <xf numFmtId="0" fontId="1" fillId="25" borderId="25" xfId="0" applyFont="1" applyFill="1" applyBorder="1" applyAlignment="1">
      <alignment horizontal="center" vertical="center" textRotation="90" wrapText="1"/>
    </xf>
    <xf numFmtId="0" fontId="1" fillId="25" borderId="27" xfId="0" applyFont="1" applyFill="1" applyBorder="1" applyAlignment="1">
      <alignment horizontal="center" vertical="center" textRotation="90" wrapText="1"/>
    </xf>
    <xf numFmtId="164" fontId="2" fillId="25" borderId="13" xfId="0" applyNumberFormat="1" applyFont="1" applyFill="1" applyBorder="1" applyAlignment="1">
      <alignment horizontal="center" vertical="center" wrapText="1"/>
    </xf>
    <xf numFmtId="0" fontId="2" fillId="25" borderId="14" xfId="0" applyFont="1" applyFill="1" applyBorder="1" applyAlignment="1">
      <alignment horizontal="center" vertical="center" wrapText="1"/>
    </xf>
    <xf numFmtId="164" fontId="2" fillId="25" borderId="19" xfId="0" applyNumberFormat="1" applyFont="1" applyFill="1" applyBorder="1" applyAlignment="1">
      <alignment horizontal="center" vertical="center" wrapText="1"/>
    </xf>
    <xf numFmtId="0" fontId="2" fillId="25" borderId="19" xfId="0" applyFont="1" applyFill="1" applyBorder="1" applyAlignment="1">
      <alignment horizontal="center" vertical="center" wrapText="1"/>
    </xf>
    <xf numFmtId="0" fontId="2" fillId="25" borderId="20" xfId="0" applyFont="1" applyFill="1" applyBorder="1" applyAlignment="1">
      <alignment horizontal="center" vertical="center" wrapText="1"/>
    </xf>
    <xf numFmtId="164" fontId="2" fillId="25" borderId="0" xfId="0" applyNumberFormat="1" applyFont="1" applyFill="1" applyAlignment="1">
      <alignment horizontal="center" vertical="center" wrapText="1"/>
    </xf>
    <xf numFmtId="0" fontId="2" fillId="25" borderId="0" xfId="0" applyFont="1" applyFill="1" applyAlignment="1">
      <alignment horizontal="center" vertical="center" wrapText="1"/>
    </xf>
    <xf numFmtId="170" fontId="2" fillId="25" borderId="13" xfId="43" applyNumberFormat="1" applyFont="1" applyFill="1" applyBorder="1" applyAlignment="1">
      <alignment horizontal="center" vertical="center" wrapText="1"/>
    </xf>
    <xf numFmtId="170" fontId="2" fillId="25" borderId="16" xfId="43" applyNumberFormat="1" applyFont="1" applyFill="1" applyBorder="1" applyAlignment="1">
      <alignment horizontal="center" vertical="center" wrapText="1"/>
    </xf>
    <xf numFmtId="170" fontId="2" fillId="22" borderId="18" xfId="43" applyNumberFormat="1" applyFont="1" applyFill="1" applyBorder="1" applyAlignment="1">
      <alignment horizontal="center" vertical="center" wrapText="1"/>
    </xf>
    <xf numFmtId="0" fontId="2" fillId="25" borderId="16" xfId="0" applyFont="1" applyFill="1" applyBorder="1" applyAlignment="1">
      <alignment horizontal="center" vertical="center" wrapText="1"/>
    </xf>
    <xf numFmtId="170" fontId="2" fillId="22" borderId="14" xfId="43" applyNumberFormat="1" applyFont="1" applyFill="1" applyBorder="1" applyAlignment="1">
      <alignment horizontal="center" vertical="center" wrapText="1"/>
    </xf>
    <xf numFmtId="0" fontId="2" fillId="25" borderId="18" xfId="0" applyFont="1" applyFill="1" applyBorder="1" applyAlignment="1">
      <alignment horizontal="center" vertical="center" wrapText="1"/>
    </xf>
    <xf numFmtId="170" fontId="2" fillId="25" borderId="0" xfId="43" applyNumberFormat="1" applyFont="1" applyFill="1" applyBorder="1" applyAlignment="1">
      <alignment horizontal="center" vertical="center" wrapText="1"/>
    </xf>
    <xf numFmtId="170" fontId="2" fillId="22" borderId="0" xfId="43" applyNumberFormat="1" applyFont="1" applyFill="1" applyBorder="1" applyAlignment="1">
      <alignment horizontal="center" vertical="center" wrapText="1"/>
    </xf>
    <xf numFmtId="170" fontId="2" fillId="22" borderId="17" xfId="43" applyNumberFormat="1" applyFont="1" applyFill="1" applyBorder="1" applyAlignment="1">
      <alignment horizontal="center" vertical="center" wrapText="1"/>
    </xf>
    <xf numFmtId="170" fontId="2" fillId="25" borderId="17" xfId="43" applyNumberFormat="1" applyFont="1" applyFill="1" applyBorder="1" applyAlignment="1">
      <alignment horizontal="center" vertical="center" wrapText="1"/>
    </xf>
    <xf numFmtId="0" fontId="2" fillId="25" borderId="13" xfId="0" applyFont="1" applyFill="1" applyBorder="1" applyAlignment="1">
      <alignment horizontal="center" vertical="center" wrapText="1"/>
    </xf>
    <xf numFmtId="0" fontId="2" fillId="25" borderId="17" xfId="0" applyFont="1" applyFill="1" applyBorder="1" applyAlignment="1">
      <alignment horizontal="center" vertical="center" wrapText="1"/>
    </xf>
    <xf numFmtId="170" fontId="2" fillId="25" borderId="18" xfId="43" applyNumberFormat="1" applyFont="1" applyFill="1" applyBorder="1" applyAlignment="1">
      <alignment horizontal="center" vertical="center" wrapText="1"/>
    </xf>
    <xf numFmtId="169" fontId="2" fillId="25" borderId="13" xfId="0" applyNumberFormat="1" applyFont="1" applyFill="1" applyBorder="1" applyAlignment="1">
      <alignment horizontal="center" vertical="center" wrapText="1"/>
    </xf>
    <xf numFmtId="169" fontId="2" fillId="25" borderId="14" xfId="0" applyNumberFormat="1" applyFont="1" applyFill="1" applyBorder="1" applyAlignment="1">
      <alignment horizontal="center" vertical="center" wrapText="1"/>
    </xf>
    <xf numFmtId="169" fontId="2" fillId="25" borderId="0" xfId="0" applyNumberFormat="1" applyFont="1" applyFill="1" applyAlignment="1">
      <alignment horizontal="center" vertical="center" wrapText="1"/>
    </xf>
    <xf numFmtId="169" fontId="2" fillId="25" borderId="0" xfId="0" applyNumberFormat="1" applyFont="1" applyFill="1"/>
    <xf numFmtId="169" fontId="2" fillId="25" borderId="17" xfId="0" applyNumberFormat="1" applyFont="1" applyFill="1" applyBorder="1" applyAlignment="1">
      <alignment horizontal="center" vertical="center" wrapText="1"/>
    </xf>
    <xf numFmtId="169" fontId="2" fillId="25" borderId="19" xfId="0" applyNumberFormat="1" applyFont="1" applyFill="1" applyBorder="1" applyAlignment="1">
      <alignment horizontal="center" vertical="center" wrapText="1"/>
    </xf>
    <xf numFmtId="169" fontId="0" fillId="25" borderId="16" xfId="0" applyNumberFormat="1" applyFill="1" applyBorder="1" applyAlignment="1">
      <alignment horizontal="center" vertical="center" wrapText="1"/>
    </xf>
    <xf numFmtId="169" fontId="2" fillId="25" borderId="16" xfId="0" applyNumberFormat="1" applyFont="1" applyFill="1" applyBorder="1" applyAlignment="1">
      <alignment horizontal="center" vertical="center" wrapText="1"/>
    </xf>
    <xf numFmtId="169" fontId="1" fillId="25" borderId="19" xfId="0" applyNumberFormat="1" applyFont="1" applyFill="1" applyBorder="1" applyAlignment="1">
      <alignment horizontal="center" vertical="center" wrapText="1"/>
    </xf>
    <xf numFmtId="0" fontId="0" fillId="25" borderId="16" xfId="0" applyFill="1" applyBorder="1"/>
    <xf numFmtId="3" fontId="2" fillId="25" borderId="0" xfId="0" applyNumberFormat="1" applyFont="1" applyFill="1" applyAlignment="1">
      <alignment horizontal="center" vertical="center" wrapText="1"/>
    </xf>
    <xf numFmtId="3" fontId="2" fillId="25" borderId="0" xfId="0" applyNumberFormat="1" applyFont="1" applyFill="1"/>
    <xf numFmtId="169" fontId="1" fillId="25" borderId="13" xfId="0" applyNumberFormat="1" applyFont="1" applyFill="1" applyBorder="1" applyAlignment="1">
      <alignment horizontal="center" vertical="center" wrapText="1"/>
    </xf>
    <xf numFmtId="169" fontId="2" fillId="25" borderId="0" xfId="28" applyNumberFormat="1" applyFont="1" applyFill="1" applyBorder="1" applyAlignment="1">
      <alignment horizontal="center" vertical="center" wrapText="1"/>
    </xf>
    <xf numFmtId="169" fontId="2" fillId="25" borderId="18" xfId="0" applyNumberFormat="1" applyFont="1" applyFill="1" applyBorder="1" applyAlignment="1">
      <alignment horizontal="center" vertical="center" wrapText="1"/>
    </xf>
    <xf numFmtId="169" fontId="2" fillId="25" borderId="0" xfId="0" applyNumberFormat="1" applyFont="1" applyFill="1" applyAlignment="1">
      <alignment wrapText="1"/>
    </xf>
    <xf numFmtId="169" fontId="10" fillId="25" borderId="0" xfId="0" applyNumberFormat="1" applyFont="1" applyFill="1"/>
    <xf numFmtId="169" fontId="2" fillId="25" borderId="24" xfId="0" applyNumberFormat="1" applyFont="1" applyFill="1" applyBorder="1"/>
    <xf numFmtId="169" fontId="2" fillId="25" borderId="13" xfId="0" applyNumberFormat="1" applyFont="1" applyFill="1" applyBorder="1"/>
    <xf numFmtId="169" fontId="2" fillId="25" borderId="24" xfId="0" applyNumberFormat="1" applyFont="1" applyFill="1" applyBorder="1" applyAlignment="1">
      <alignment horizontal="center" vertical="center" wrapText="1"/>
    </xf>
    <xf numFmtId="169" fontId="2" fillId="25" borderId="25" xfId="0" applyNumberFormat="1" applyFont="1" applyFill="1" applyBorder="1" applyAlignment="1">
      <alignment horizontal="center" vertical="center" wrapText="1"/>
    </xf>
    <xf numFmtId="169" fontId="2" fillId="25" borderId="27" xfId="0" applyNumberFormat="1" applyFont="1" applyFill="1" applyBorder="1" applyAlignment="1">
      <alignment horizontal="center" vertical="center" wrapText="1"/>
    </xf>
    <xf numFmtId="169" fontId="1" fillId="25" borderId="19" xfId="0" applyNumberFormat="1" applyFont="1" applyFill="1" applyBorder="1"/>
    <xf numFmtId="169" fontId="1" fillId="25" borderId="14" xfId="0" applyNumberFormat="1" applyFont="1" applyFill="1" applyBorder="1" applyAlignment="1">
      <alignment horizontal="center" vertical="center" wrapText="1"/>
    </xf>
    <xf numFmtId="169" fontId="1" fillId="25" borderId="20" xfId="0" applyNumberFormat="1" applyFont="1" applyFill="1" applyBorder="1" applyAlignment="1">
      <alignment horizontal="center" vertical="center" wrapText="1"/>
    </xf>
    <xf numFmtId="169" fontId="1" fillId="25" borderId="0" xfId="0" applyNumberFormat="1" applyFont="1" applyFill="1" applyAlignment="1">
      <alignment horizontal="center" vertical="center" wrapText="1"/>
    </xf>
    <xf numFmtId="169" fontId="2" fillId="25" borderId="16" xfId="0" applyNumberFormat="1" applyFont="1" applyFill="1" applyBorder="1"/>
    <xf numFmtId="169" fontId="2" fillId="25" borderId="27" xfId="0" applyNumberFormat="1" applyFont="1" applyFill="1" applyBorder="1" applyAlignment="1">
      <alignment horizontal="center" vertical="center"/>
    </xf>
    <xf numFmtId="3" fontId="2" fillId="25" borderId="13" xfId="28" applyNumberFormat="1" applyFont="1" applyFill="1" applyBorder="1" applyAlignment="1">
      <alignment horizontal="center" vertical="center" wrapText="1"/>
    </xf>
    <xf numFmtId="3" fontId="2" fillId="25" borderId="14" xfId="28" applyNumberFormat="1" applyFont="1" applyFill="1" applyBorder="1" applyAlignment="1">
      <alignment horizontal="center" vertical="center" wrapText="1"/>
    </xf>
    <xf numFmtId="3" fontId="2" fillId="25" borderId="14" xfId="0" applyNumberFormat="1" applyFont="1" applyFill="1" applyBorder="1" applyAlignment="1">
      <alignment horizontal="center" vertical="center" wrapText="1"/>
    </xf>
    <xf numFmtId="3" fontId="2" fillId="25" borderId="0" xfId="28" applyNumberFormat="1" applyFont="1" applyFill="1" applyBorder="1" applyAlignment="1">
      <alignment horizontal="center" vertical="center" wrapText="1"/>
    </xf>
    <xf numFmtId="3" fontId="2" fillId="25" borderId="0" xfId="28" applyNumberFormat="1" applyFont="1" applyFill="1" applyBorder="1" applyAlignment="1">
      <alignment horizontal="center" vertical="center"/>
    </xf>
    <xf numFmtId="3" fontId="2" fillId="25" borderId="14" xfId="28" applyNumberFormat="1" applyFont="1" applyFill="1" applyBorder="1" applyAlignment="1">
      <alignment horizontal="center" vertical="center"/>
    </xf>
    <xf numFmtId="3" fontId="0" fillId="25" borderId="13" xfId="0" applyNumberFormat="1" applyFill="1" applyBorder="1" applyAlignment="1">
      <alignment horizontal="center" vertical="center" wrapText="1"/>
    </xf>
    <xf numFmtId="3" fontId="0" fillId="25" borderId="14" xfId="0" applyNumberFormat="1" applyFill="1" applyBorder="1" applyAlignment="1">
      <alignment horizontal="center" vertical="center" wrapText="1"/>
    </xf>
    <xf numFmtId="3" fontId="0" fillId="25" borderId="16" xfId="0" applyNumberFormat="1" applyFill="1" applyBorder="1" applyAlignment="1">
      <alignment horizontal="center" vertical="center"/>
    </xf>
    <xf numFmtId="3" fontId="0" fillId="25" borderId="17" xfId="0" applyNumberFormat="1" applyFill="1" applyBorder="1" applyAlignment="1">
      <alignment horizontal="center" vertical="center"/>
    </xf>
    <xf numFmtId="3" fontId="0" fillId="25" borderId="18" xfId="0" applyNumberFormat="1" applyFill="1" applyBorder="1" applyAlignment="1">
      <alignment horizontal="center" vertical="center"/>
    </xf>
    <xf numFmtId="169" fontId="2" fillId="25" borderId="19" xfId="0" applyNumberFormat="1" applyFont="1" applyFill="1" applyBorder="1"/>
    <xf numFmtId="3" fontId="2" fillId="25" borderId="0" xfId="0" applyNumberFormat="1" applyFont="1" applyFill="1" applyAlignment="1">
      <alignment wrapText="1"/>
    </xf>
    <xf numFmtId="169" fontId="1" fillId="25" borderId="13" xfId="0" applyNumberFormat="1" applyFont="1" applyFill="1" applyBorder="1"/>
    <xf numFmtId="0" fontId="0" fillId="25" borderId="16" xfId="0" applyFill="1" applyBorder="1" applyAlignment="1">
      <alignment horizontal="left" indent="1"/>
    </xf>
    <xf numFmtId="0" fontId="1" fillId="25" borderId="19" xfId="0" applyFont="1" applyFill="1" applyBorder="1"/>
    <xf numFmtId="0" fontId="1" fillId="25" borderId="13" xfId="0" applyFont="1" applyFill="1" applyBorder="1"/>
    <xf numFmtId="0" fontId="1" fillId="25" borderId="24" xfId="0" applyFont="1" applyFill="1" applyBorder="1" applyAlignment="1">
      <alignment horizontal="right" textRotation="90" wrapText="1"/>
    </xf>
    <xf numFmtId="0" fontId="1" fillId="25" borderId="25" xfId="0" applyFont="1" applyFill="1" applyBorder="1" applyAlignment="1">
      <alignment horizontal="right" textRotation="90" wrapText="1"/>
    </xf>
    <xf numFmtId="0" fontId="1" fillId="25" borderId="19" xfId="0" applyFont="1" applyFill="1" applyBorder="1" applyAlignment="1">
      <alignment wrapText="1"/>
    </xf>
    <xf numFmtId="164" fontId="2" fillId="25" borderId="13" xfId="0" applyNumberFormat="1" applyFont="1" applyFill="1" applyBorder="1"/>
    <xf numFmtId="0" fontId="2" fillId="25" borderId="14" xfId="0" applyFont="1" applyFill="1" applyBorder="1"/>
    <xf numFmtId="0" fontId="2" fillId="25" borderId="20" xfId="0" applyFont="1" applyFill="1" applyBorder="1"/>
    <xf numFmtId="170" fontId="2" fillId="25" borderId="16" xfId="43" applyNumberFormat="1" applyFont="1" applyFill="1" applyBorder="1"/>
    <xf numFmtId="169" fontId="2" fillId="25" borderId="14" xfId="0" applyNumberFormat="1" applyFont="1" applyFill="1" applyBorder="1"/>
    <xf numFmtId="169" fontId="2" fillId="25" borderId="20" xfId="0" applyNumberFormat="1" applyFont="1" applyFill="1" applyBorder="1"/>
    <xf numFmtId="3" fontId="0" fillId="25" borderId="13" xfId="0" applyNumberFormat="1" applyFill="1" applyBorder="1"/>
    <xf numFmtId="3" fontId="0" fillId="25" borderId="14" xfId="0" applyNumberFormat="1" applyFill="1" applyBorder="1"/>
    <xf numFmtId="169" fontId="2" fillId="25" borderId="19" xfId="0" applyNumberFormat="1" applyFont="1" applyFill="1" applyBorder="1" applyAlignment="1">
      <alignment horizontal="right"/>
    </xf>
    <xf numFmtId="169" fontId="2" fillId="25" borderId="20" xfId="0" applyNumberFormat="1" applyFont="1" applyFill="1" applyBorder="1" applyAlignment="1">
      <alignment horizontal="right"/>
    </xf>
    <xf numFmtId="3" fontId="2" fillId="25" borderId="16" xfId="28" applyNumberFormat="1" applyFont="1" applyFill="1" applyBorder="1"/>
    <xf numFmtId="3" fontId="2" fillId="25" borderId="17" xfId="28" applyNumberFormat="1" applyFont="1" applyFill="1" applyBorder="1"/>
    <xf numFmtId="169" fontId="2" fillId="25" borderId="13" xfId="28" applyNumberFormat="1" applyFont="1" applyFill="1" applyBorder="1"/>
    <xf numFmtId="169" fontId="2" fillId="25" borderId="14" xfId="28" applyNumberFormat="1" applyFont="1" applyFill="1" applyBorder="1"/>
    <xf numFmtId="169" fontId="2" fillId="25" borderId="24" xfId="0" applyNumberFormat="1" applyFont="1" applyFill="1" applyBorder="1" applyAlignment="1">
      <alignment horizontal="center" vertical="center"/>
    </xf>
    <xf numFmtId="169" fontId="2" fillId="25" borderId="25" xfId="0" applyNumberFormat="1" applyFont="1" applyFill="1" applyBorder="1" applyAlignment="1">
      <alignment horizontal="center" vertical="center"/>
    </xf>
    <xf numFmtId="169" fontId="1" fillId="25" borderId="0" xfId="0" applyNumberFormat="1" applyFont="1" applyFill="1" applyAlignment="1">
      <alignment horizontal="center" vertical="center"/>
    </xf>
    <xf numFmtId="169" fontId="2" fillId="25" borderId="0" xfId="0" applyNumberFormat="1" applyFont="1" applyFill="1" applyAlignment="1">
      <alignment horizontal="right"/>
    </xf>
    <xf numFmtId="0" fontId="1" fillId="25" borderId="19" xfId="0" applyFont="1" applyFill="1" applyBorder="1" applyAlignment="1">
      <alignment horizontal="right"/>
    </xf>
    <xf numFmtId="0" fontId="2" fillId="25" borderId="21" xfId="0" applyFont="1" applyFill="1" applyBorder="1" applyAlignment="1">
      <alignment horizontal="right" wrapText="1"/>
    </xf>
    <xf numFmtId="0" fontId="2" fillId="25" borderId="20" xfId="0" applyFont="1" applyFill="1" applyBorder="1" applyAlignment="1">
      <alignment horizontal="right" wrapText="1"/>
    </xf>
    <xf numFmtId="0" fontId="2" fillId="25" borderId="19" xfId="0" applyFont="1" applyFill="1" applyBorder="1" applyAlignment="1">
      <alignment horizontal="right"/>
    </xf>
    <xf numFmtId="170" fontId="2" fillId="25" borderId="21" xfId="0" applyNumberFormat="1" applyFont="1" applyFill="1" applyBorder="1" applyAlignment="1">
      <alignment horizontal="right"/>
    </xf>
    <xf numFmtId="170" fontId="2" fillId="25" borderId="20" xfId="0" applyNumberFormat="1" applyFont="1" applyFill="1" applyBorder="1" applyAlignment="1">
      <alignment horizontal="right"/>
    </xf>
    <xf numFmtId="0" fontId="2" fillId="25" borderId="13" xfId="0" applyFont="1" applyFill="1" applyBorder="1" applyAlignment="1">
      <alignment horizontal="right"/>
    </xf>
    <xf numFmtId="170" fontId="2" fillId="25" borderId="0" xfId="0" applyNumberFormat="1" applyFont="1" applyFill="1" applyAlignment="1">
      <alignment horizontal="right"/>
    </xf>
    <xf numFmtId="170" fontId="2" fillId="25" borderId="14" xfId="0" applyNumberFormat="1" applyFont="1" applyFill="1" applyBorder="1" applyAlignment="1">
      <alignment horizontal="right"/>
    </xf>
    <xf numFmtId="0" fontId="2" fillId="25" borderId="16" xfId="0" applyFont="1" applyFill="1" applyBorder="1" applyAlignment="1">
      <alignment horizontal="right"/>
    </xf>
    <xf numFmtId="170" fontId="2" fillId="25" borderId="18" xfId="0" applyNumberFormat="1" applyFont="1" applyFill="1" applyBorder="1" applyAlignment="1">
      <alignment horizontal="right"/>
    </xf>
    <xf numFmtId="170" fontId="2" fillId="25" borderId="17" xfId="0" applyNumberFormat="1" applyFont="1" applyFill="1" applyBorder="1" applyAlignment="1">
      <alignment horizontal="right"/>
    </xf>
    <xf numFmtId="0" fontId="2" fillId="25" borderId="0" xfId="0" applyFont="1" applyFill="1" applyAlignment="1">
      <alignment horizontal="right"/>
    </xf>
    <xf numFmtId="176" fontId="2" fillId="25" borderId="0" xfId="0" applyNumberFormat="1" applyFont="1" applyFill="1"/>
    <xf numFmtId="0" fontId="2" fillId="25" borderId="24" xfId="0" applyFont="1" applyFill="1" applyBorder="1" applyAlignment="1">
      <alignment horizontal="right" wrapText="1"/>
    </xf>
    <xf numFmtId="0" fontId="2" fillId="25" borderId="27" xfId="0" applyFont="1" applyFill="1" applyBorder="1" applyAlignment="1">
      <alignment horizontal="right" wrapText="1"/>
    </xf>
    <xf numFmtId="0" fontId="2" fillId="25" borderId="25" xfId="0" applyFont="1" applyFill="1" applyBorder="1" applyAlignment="1">
      <alignment horizontal="right" wrapText="1"/>
    </xf>
    <xf numFmtId="170" fontId="2" fillId="25" borderId="18" xfId="43" applyNumberFormat="1" applyFont="1" applyFill="1" applyBorder="1"/>
    <xf numFmtId="170" fontId="2" fillId="25" borderId="17" xfId="43" applyNumberFormat="1" applyFont="1" applyFill="1" applyBorder="1"/>
    <xf numFmtId="170" fontId="2" fillId="25" borderId="0" xfId="43" applyNumberFormat="1" applyFont="1" applyFill="1" applyBorder="1"/>
    <xf numFmtId="164" fontId="2" fillId="25" borderId="0" xfId="0" applyNumberFormat="1" applyFont="1" applyFill="1"/>
    <xf numFmtId="0" fontId="2" fillId="25" borderId="20" xfId="0" applyFont="1" applyFill="1" applyBorder="1" applyAlignment="1">
      <alignment horizontal="right"/>
    </xf>
    <xf numFmtId="0" fontId="2" fillId="25" borderId="24" xfId="0" applyFont="1" applyFill="1" applyBorder="1" applyAlignment="1">
      <alignment horizontal="right"/>
    </xf>
    <xf numFmtId="0" fontId="2" fillId="25" borderId="0" xfId="0" quotePrefix="1" applyFont="1" applyFill="1" applyAlignment="1">
      <alignment horizontal="right"/>
    </xf>
    <xf numFmtId="170" fontId="2" fillId="25" borderId="13" xfId="43" applyNumberFormat="1" applyFont="1" applyFill="1" applyBorder="1"/>
    <xf numFmtId="170" fontId="2" fillId="25" borderId="14" xfId="43" applyNumberFormat="1" applyFont="1" applyFill="1" applyBorder="1"/>
    <xf numFmtId="0" fontId="2" fillId="25" borderId="0" xfId="0" applyFont="1" applyFill="1" applyAlignment="1">
      <alignment horizontal="left" wrapText="1"/>
    </xf>
    <xf numFmtId="3" fontId="2" fillId="25" borderId="17" xfId="0" applyNumberFormat="1" applyFont="1" applyFill="1" applyBorder="1"/>
    <xf numFmtId="169" fontId="2" fillId="25" borderId="17" xfId="0" applyNumberFormat="1" applyFont="1" applyFill="1" applyBorder="1"/>
    <xf numFmtId="169" fontId="1" fillId="25" borderId="11" xfId="0" applyNumberFormat="1" applyFont="1" applyFill="1" applyBorder="1"/>
    <xf numFmtId="169" fontId="2" fillId="25" borderId="12" xfId="0" applyNumberFormat="1" applyFont="1" applyFill="1" applyBorder="1"/>
    <xf numFmtId="169" fontId="2" fillId="25" borderId="15" xfId="0" applyNumberFormat="1" applyFont="1" applyFill="1" applyBorder="1"/>
    <xf numFmtId="169" fontId="2" fillId="25" borderId="26" xfId="0" applyNumberFormat="1" applyFont="1" applyFill="1" applyBorder="1"/>
    <xf numFmtId="169" fontId="2" fillId="25" borderId="27" xfId="0" applyNumberFormat="1" applyFont="1" applyFill="1" applyBorder="1"/>
    <xf numFmtId="169" fontId="2" fillId="25" borderId="25" xfId="0" applyNumberFormat="1" applyFont="1" applyFill="1" applyBorder="1"/>
    <xf numFmtId="3" fontId="2" fillId="25" borderId="15" xfId="0" applyNumberFormat="1" applyFont="1" applyFill="1" applyBorder="1"/>
    <xf numFmtId="169" fontId="2" fillId="25" borderId="11" xfId="0" applyNumberFormat="1" applyFont="1" applyFill="1" applyBorder="1"/>
    <xf numFmtId="0" fontId="0" fillId="25" borderId="12" xfId="0" applyFill="1" applyBorder="1"/>
    <xf numFmtId="3" fontId="2" fillId="25" borderId="0" xfId="28" applyNumberFormat="1" applyFont="1" applyFill="1" applyBorder="1"/>
    <xf numFmtId="0" fontId="0" fillId="25" borderId="15" xfId="0" applyFill="1" applyBorder="1"/>
    <xf numFmtId="3" fontId="2" fillId="25" borderId="18" xfId="28" applyNumberFormat="1" applyFont="1" applyFill="1" applyBorder="1"/>
    <xf numFmtId="169" fontId="2" fillId="25" borderId="21" xfId="28" applyNumberFormat="1" applyFont="1" applyFill="1" applyBorder="1"/>
    <xf numFmtId="169" fontId="2" fillId="25" borderId="20" xfId="28" applyNumberFormat="1" applyFont="1" applyFill="1" applyBorder="1"/>
    <xf numFmtId="169" fontId="2" fillId="25" borderId="18" xfId="0" applyNumberFormat="1" applyFont="1" applyFill="1" applyBorder="1"/>
    <xf numFmtId="169" fontId="1" fillId="25" borderId="0" xfId="0" applyNumberFormat="1" applyFont="1" applyFill="1"/>
    <xf numFmtId="169" fontId="1" fillId="25" borderId="26" xfId="0" applyNumberFormat="1" applyFont="1" applyFill="1" applyBorder="1"/>
    <xf numFmtId="169" fontId="1" fillId="25" borderId="27" xfId="0" applyNumberFormat="1" applyFont="1" applyFill="1" applyBorder="1" applyAlignment="1">
      <alignment horizontal="right" wrapText="1"/>
    </xf>
    <xf numFmtId="169" fontId="1" fillId="25" borderId="25" xfId="0" applyNumberFormat="1" applyFont="1" applyFill="1" applyBorder="1" applyAlignment="1">
      <alignment horizontal="right" wrapText="1"/>
    </xf>
    <xf numFmtId="169" fontId="1" fillId="25" borderId="12" xfId="0" applyNumberFormat="1" applyFont="1" applyFill="1" applyBorder="1"/>
    <xf numFmtId="169" fontId="2" fillId="25" borderId="14" xfId="0" applyNumberFormat="1" applyFont="1" applyFill="1" applyBorder="1" applyAlignment="1">
      <alignment horizontal="right"/>
    </xf>
    <xf numFmtId="169" fontId="2" fillId="25" borderId="15" xfId="0" applyNumberFormat="1" applyFont="1" applyFill="1" applyBorder="1" applyAlignment="1">
      <alignment horizontal="left" indent="1"/>
    </xf>
    <xf numFmtId="169" fontId="2" fillId="25" borderId="21" xfId="0" applyNumberFormat="1" applyFont="1" applyFill="1" applyBorder="1" applyAlignment="1">
      <alignment horizontal="right"/>
    </xf>
    <xf numFmtId="169" fontId="2" fillId="25" borderId="21" xfId="0" applyNumberFormat="1" applyFont="1" applyFill="1" applyBorder="1"/>
    <xf numFmtId="3" fontId="2" fillId="25" borderId="14" xfId="28" applyNumberFormat="1" applyFont="1" applyFill="1" applyBorder="1"/>
    <xf numFmtId="169" fontId="2" fillId="25" borderId="0" xfId="28" applyNumberFormat="1" applyFont="1" applyFill="1" applyBorder="1" applyAlignment="1">
      <alignment horizontal="right"/>
    </xf>
    <xf numFmtId="169" fontId="2" fillId="25" borderId="0" xfId="28" applyNumberFormat="1" applyFont="1" applyFill="1" applyBorder="1"/>
    <xf numFmtId="169" fontId="2" fillId="25" borderId="0" xfId="0" applyNumberFormat="1" applyFont="1" applyFill="1" applyAlignment="1">
      <alignment horizontal="centerContinuous"/>
    </xf>
    <xf numFmtId="169" fontId="1" fillId="25" borderId="24" xfId="0" applyNumberFormat="1" applyFont="1" applyFill="1" applyBorder="1" applyAlignment="1">
      <alignment horizontal="right" wrapText="1"/>
    </xf>
    <xf numFmtId="169" fontId="1" fillId="25" borderId="0" xfId="0" applyNumberFormat="1" applyFont="1" applyFill="1" applyAlignment="1">
      <alignment horizontal="right" wrapText="1"/>
    </xf>
    <xf numFmtId="3" fontId="2" fillId="25" borderId="27" xfId="0" applyNumberFormat="1" applyFont="1" applyFill="1" applyBorder="1"/>
    <xf numFmtId="3" fontId="2" fillId="25" borderId="25" xfId="0" applyNumberFormat="1" applyFont="1" applyFill="1" applyBorder="1"/>
    <xf numFmtId="3" fontId="2" fillId="25" borderId="21" xfId="0" applyNumberFormat="1" applyFont="1" applyFill="1" applyBorder="1"/>
    <xf numFmtId="3" fontId="2" fillId="25" borderId="20" xfId="0" applyNumberFormat="1" applyFont="1" applyFill="1" applyBorder="1"/>
    <xf numFmtId="0" fontId="2" fillId="25" borderId="13" xfId="0" applyFont="1" applyFill="1" applyBorder="1" applyAlignment="1">
      <alignment horizontal="left" indent="1"/>
    </xf>
    <xf numFmtId="4" fontId="2" fillId="25" borderId="0" xfId="0" applyNumberFormat="1" applyFont="1" applyFill="1"/>
    <xf numFmtId="4" fontId="2" fillId="25" borderId="14" xfId="0" applyNumberFormat="1" applyFont="1" applyFill="1" applyBorder="1"/>
    <xf numFmtId="0" fontId="2" fillId="25" borderId="16" xfId="0" applyFont="1" applyFill="1" applyBorder="1" applyAlignment="1">
      <alignment horizontal="left" indent="1"/>
    </xf>
    <xf numFmtId="4" fontId="2" fillId="25" borderId="18" xfId="0" applyNumberFormat="1" applyFont="1" applyFill="1" applyBorder="1"/>
    <xf numFmtId="4" fontId="2" fillId="25" borderId="17" xfId="0" applyNumberFormat="1" applyFont="1" applyFill="1" applyBorder="1"/>
    <xf numFmtId="9" fontId="2" fillId="25" borderId="0" xfId="43" applyFont="1" applyFill="1" applyBorder="1"/>
    <xf numFmtId="3" fontId="2" fillId="25" borderId="26" xfId="0" applyNumberFormat="1" applyFont="1" applyFill="1" applyBorder="1"/>
    <xf numFmtId="3" fontId="2" fillId="25" borderId="24" xfId="0" applyNumberFormat="1" applyFont="1" applyFill="1" applyBorder="1"/>
    <xf numFmtId="3" fontId="2" fillId="25" borderId="13" xfId="28" applyNumberFormat="1" applyFont="1" applyFill="1" applyBorder="1"/>
    <xf numFmtId="3" fontId="2" fillId="25" borderId="18" xfId="0" applyNumberFormat="1" applyFont="1" applyFill="1" applyBorder="1"/>
    <xf numFmtId="169" fontId="1" fillId="25" borderId="26" xfId="0" applyNumberFormat="1" applyFont="1" applyFill="1" applyBorder="1" applyAlignment="1">
      <alignment horizontal="right" wrapText="1"/>
    </xf>
    <xf numFmtId="169" fontId="2" fillId="25" borderId="12" xfId="0" applyNumberFormat="1" applyFont="1" applyFill="1" applyBorder="1" applyAlignment="1">
      <alignment horizontal="right"/>
    </xf>
    <xf numFmtId="3" fontId="2" fillId="25" borderId="12" xfId="28" applyNumberFormat="1" applyFont="1" applyFill="1" applyBorder="1"/>
    <xf numFmtId="169" fontId="2" fillId="25" borderId="11" xfId="0" applyNumberFormat="1" applyFont="1" applyFill="1" applyBorder="1" applyAlignment="1">
      <alignment horizontal="right"/>
    </xf>
    <xf numFmtId="0" fontId="2" fillId="25" borderId="19" xfId="0" applyFont="1" applyFill="1" applyBorder="1" applyAlignment="1">
      <alignment horizontal="left"/>
    </xf>
    <xf numFmtId="3" fontId="2" fillId="25" borderId="20" xfId="0" applyNumberFormat="1" applyFont="1" applyFill="1" applyBorder="1" applyAlignment="1">
      <alignment horizontal="right"/>
    </xf>
    <xf numFmtId="0" fontId="2" fillId="25" borderId="16" xfId="0" applyFont="1" applyFill="1" applyBorder="1" applyAlignment="1">
      <alignment horizontal="left"/>
    </xf>
    <xf numFmtId="3" fontId="2" fillId="25" borderId="17" xfId="0" applyNumberFormat="1" applyFont="1" applyFill="1" applyBorder="1" applyAlignment="1">
      <alignment horizontal="right"/>
    </xf>
    <xf numFmtId="0" fontId="2" fillId="25" borderId="0" xfId="0" applyFont="1" applyFill="1" applyAlignment="1">
      <alignment horizontal="left"/>
    </xf>
    <xf numFmtId="0" fontId="1" fillId="25" borderId="24" xfId="0" applyFont="1" applyFill="1" applyBorder="1" applyAlignment="1">
      <alignment horizontal="right"/>
    </xf>
    <xf numFmtId="0" fontId="2" fillId="25" borderId="25" xfId="0" applyFont="1" applyFill="1" applyBorder="1" applyAlignment="1">
      <alignment horizontal="right"/>
    </xf>
    <xf numFmtId="0" fontId="2" fillId="25" borderId="24" xfId="0" applyFont="1" applyFill="1" applyBorder="1" applyAlignment="1">
      <alignment horizontal="left"/>
    </xf>
    <xf numFmtId="3" fontId="2" fillId="25" borderId="25" xfId="0" applyNumberFormat="1" applyFont="1" applyFill="1" applyBorder="1" applyAlignment="1">
      <alignment horizontal="right"/>
    </xf>
    <xf numFmtId="0" fontId="2" fillId="25" borderId="21" xfId="0" applyFont="1" applyFill="1" applyBorder="1" applyAlignment="1">
      <alignment horizontal="right"/>
    </xf>
    <xf numFmtId="3" fontId="2" fillId="25" borderId="21" xfId="0" applyNumberFormat="1" applyFont="1" applyFill="1" applyBorder="1" applyAlignment="1">
      <alignment horizontal="right"/>
    </xf>
    <xf numFmtId="0" fontId="2" fillId="25" borderId="13" xfId="0" applyFont="1" applyFill="1" applyBorder="1" applyAlignment="1">
      <alignment horizontal="left"/>
    </xf>
    <xf numFmtId="3" fontId="2" fillId="25" borderId="0" xfId="0" applyNumberFormat="1" applyFont="1" applyFill="1" applyAlignment="1">
      <alignment horizontal="right"/>
    </xf>
    <xf numFmtId="3" fontId="2" fillId="25" borderId="14" xfId="0" applyNumberFormat="1" applyFont="1" applyFill="1" applyBorder="1" applyAlignment="1">
      <alignment horizontal="right"/>
    </xf>
    <xf numFmtId="3" fontId="2" fillId="25" borderId="18" xfId="0" applyNumberFormat="1" applyFont="1" applyFill="1" applyBorder="1" applyAlignment="1">
      <alignment horizontal="right"/>
    </xf>
    <xf numFmtId="0" fontId="2" fillId="25" borderId="25" xfId="0" applyFont="1" applyFill="1" applyBorder="1"/>
    <xf numFmtId="3" fontId="2" fillId="25" borderId="14" xfId="0" applyNumberFormat="1" applyFont="1" applyFill="1" applyBorder="1"/>
    <xf numFmtId="0" fontId="2" fillId="25" borderId="0" xfId="0" applyFont="1" applyFill="1" applyAlignment="1">
      <alignment horizontal="right" wrapText="1"/>
    </xf>
    <xf numFmtId="174" fontId="2" fillId="25" borderId="0" xfId="0" applyNumberFormat="1" applyFont="1" applyFill="1"/>
    <xf numFmtId="174" fontId="2" fillId="25" borderId="14" xfId="0" applyNumberFormat="1" applyFont="1" applyFill="1" applyBorder="1"/>
    <xf numFmtId="174" fontId="2" fillId="25" borderId="18" xfId="0" applyNumberFormat="1" applyFont="1" applyFill="1" applyBorder="1"/>
    <xf numFmtId="174" fontId="2" fillId="25" borderId="17" xfId="0" applyNumberFormat="1" applyFont="1" applyFill="1" applyBorder="1"/>
    <xf numFmtId="10" fontId="2" fillId="25" borderId="0" xfId="43" applyNumberFormat="1" applyFont="1" applyFill="1" applyBorder="1"/>
    <xf numFmtId="10" fontId="2" fillId="25" borderId="14" xfId="43" applyNumberFormat="1" applyFont="1" applyFill="1" applyBorder="1"/>
    <xf numFmtId="185" fontId="2" fillId="25" borderId="0" xfId="43" applyNumberFormat="1" applyFont="1" applyFill="1" applyBorder="1"/>
    <xf numFmtId="10" fontId="2" fillId="25" borderId="21" xfId="43" applyNumberFormat="1" applyFont="1" applyFill="1" applyBorder="1"/>
    <xf numFmtId="10" fontId="2" fillId="25" borderId="20" xfId="43" applyNumberFormat="1" applyFont="1" applyFill="1" applyBorder="1"/>
    <xf numFmtId="10" fontId="2" fillId="25" borderId="18" xfId="43" applyNumberFormat="1" applyFont="1" applyFill="1" applyBorder="1"/>
    <xf numFmtId="0" fontId="2" fillId="25" borderId="11" xfId="0" applyFont="1" applyFill="1" applyBorder="1"/>
    <xf numFmtId="0" fontId="1" fillId="25" borderId="27" xfId="0" applyFont="1" applyFill="1" applyBorder="1" applyAlignment="1">
      <alignment horizontal="right" wrapText="1"/>
    </xf>
    <xf numFmtId="0" fontId="1" fillId="25" borderId="25" xfId="0" applyFont="1" applyFill="1" applyBorder="1" applyAlignment="1">
      <alignment horizontal="right" wrapText="1"/>
    </xf>
    <xf numFmtId="0" fontId="1" fillId="25" borderId="0" xfId="0" applyFont="1" applyFill="1" applyAlignment="1">
      <alignment horizontal="right" wrapText="1"/>
    </xf>
    <xf numFmtId="0" fontId="1" fillId="25" borderId="11" xfId="0" applyFont="1" applyFill="1" applyBorder="1"/>
    <xf numFmtId="1" fontId="2" fillId="25" borderId="19" xfId="0" applyNumberFormat="1" applyFont="1" applyFill="1" applyBorder="1"/>
    <xf numFmtId="1" fontId="2" fillId="25" borderId="21" xfId="0" applyNumberFormat="1" applyFont="1" applyFill="1" applyBorder="1"/>
    <xf numFmtId="1" fontId="2" fillId="25" borderId="20" xfId="0" applyNumberFormat="1" applyFont="1" applyFill="1" applyBorder="1"/>
    <xf numFmtId="1" fontId="2" fillId="25" borderId="0" xfId="0" applyNumberFormat="1" applyFont="1" applyFill="1"/>
    <xf numFmtId="4" fontId="2" fillId="25" borderId="12" xfId="0" applyNumberFormat="1" applyFont="1" applyFill="1" applyBorder="1"/>
    <xf numFmtId="4" fontId="2" fillId="25" borderId="13" xfId="0" applyNumberFormat="1" applyFont="1" applyFill="1" applyBorder="1"/>
    <xf numFmtId="4" fontId="2" fillId="25" borderId="15" xfId="0" applyNumberFormat="1" applyFont="1" applyFill="1" applyBorder="1"/>
    <xf numFmtId="4" fontId="2" fillId="25" borderId="16" xfId="0" applyNumberFormat="1" applyFont="1" applyFill="1" applyBorder="1"/>
    <xf numFmtId="3" fontId="2" fillId="25" borderId="13" xfId="0" applyNumberFormat="1" applyFont="1" applyFill="1" applyBorder="1"/>
    <xf numFmtId="3" fontId="0" fillId="25" borderId="0" xfId="0" applyNumberFormat="1" applyFill="1"/>
    <xf numFmtId="169" fontId="2" fillId="25" borderId="19" xfId="28" applyNumberFormat="1" applyFont="1" applyFill="1" applyBorder="1"/>
    <xf numFmtId="0" fontId="0" fillId="25" borderId="0" xfId="0" applyFill="1"/>
    <xf numFmtId="0" fontId="2" fillId="25" borderId="26" xfId="0" applyFont="1" applyFill="1" applyBorder="1"/>
    <xf numFmtId="165" fontId="2" fillId="25" borderId="0" xfId="0" applyNumberFormat="1" applyFont="1" applyFill="1"/>
    <xf numFmtId="2" fontId="2" fillId="25" borderId="0" xfId="0" applyNumberFormat="1" applyFont="1" applyFill="1"/>
    <xf numFmtId="2" fontId="2" fillId="25" borderId="14" xfId="0" applyNumberFormat="1" applyFont="1" applyFill="1" applyBorder="1"/>
    <xf numFmtId="0" fontId="2" fillId="25" borderId="12" xfId="0" applyFont="1" applyFill="1" applyBorder="1"/>
    <xf numFmtId="0" fontId="2" fillId="25" borderId="15" xfId="0" applyFont="1" applyFill="1" applyBorder="1"/>
    <xf numFmtId="165" fontId="2" fillId="25" borderId="18" xfId="0" applyNumberFormat="1" applyFont="1" applyFill="1" applyBorder="1"/>
    <xf numFmtId="2" fontId="2" fillId="25" borderId="18" xfId="0" applyNumberFormat="1" applyFont="1" applyFill="1" applyBorder="1"/>
    <xf numFmtId="2" fontId="2" fillId="25" borderId="17" xfId="0" applyNumberFormat="1" applyFont="1" applyFill="1" applyBorder="1"/>
    <xf numFmtId="169" fontId="0" fillId="25" borderId="0" xfId="0" applyNumberFormat="1" applyFill="1"/>
    <xf numFmtId="0" fontId="2" fillId="25" borderId="19" xfId="0" applyFont="1" applyFill="1" applyBorder="1" applyAlignment="1">
      <alignment horizontal="right" wrapText="1"/>
    </xf>
    <xf numFmtId="0" fontId="48" fillId="25" borderId="0" xfId="0" applyFont="1" applyFill="1" applyAlignment="1">
      <alignment horizontal="right" wrapText="1"/>
    </xf>
    <xf numFmtId="166" fontId="48" fillId="25" borderId="0" xfId="28" applyNumberFormat="1" applyFont="1" applyFill="1" applyBorder="1"/>
    <xf numFmtId="0" fontId="1" fillId="25" borderId="24" xfId="0" applyFont="1" applyFill="1" applyBorder="1"/>
    <xf numFmtId="170" fontId="2" fillId="25" borderId="21" xfId="43" applyNumberFormat="1" applyFont="1" applyFill="1" applyBorder="1"/>
    <xf numFmtId="170" fontId="2" fillId="25" borderId="20" xfId="43" applyNumberFormat="1" applyFont="1" applyFill="1" applyBorder="1"/>
    <xf numFmtId="2" fontId="2" fillId="25" borderId="0" xfId="43" applyNumberFormat="1" applyFont="1" applyFill="1" applyBorder="1"/>
    <xf numFmtId="170" fontId="35" fillId="25" borderId="0" xfId="43" applyNumberFormat="1" applyFont="1" applyFill="1" applyBorder="1"/>
    <xf numFmtId="0" fontId="0" fillId="25" borderId="13" xfId="0" applyFill="1" applyBorder="1" applyAlignment="1">
      <alignment horizontal="left" indent="1"/>
    </xf>
    <xf numFmtId="0" fontId="1" fillId="25" borderId="19" xfId="0" applyFont="1" applyFill="1" applyBorder="1" applyAlignment="1">
      <alignment horizontal="left"/>
    </xf>
    <xf numFmtId="0" fontId="0" fillId="25" borderId="0" xfId="0" applyFill="1" applyAlignment="1">
      <alignment horizontal="left" indent="1"/>
    </xf>
    <xf numFmtId="0" fontId="2" fillId="25" borderId="0" xfId="0" applyFont="1" applyFill="1" applyAlignment="1">
      <alignment horizontal="centerContinuous"/>
    </xf>
    <xf numFmtId="0" fontId="2" fillId="25" borderId="19" xfId="0" applyFont="1" applyFill="1" applyBorder="1" applyAlignment="1">
      <alignment horizontal="left" indent="1"/>
    </xf>
    <xf numFmtId="170" fontId="2" fillId="25" borderId="21" xfId="43" applyNumberFormat="1" applyFont="1" applyFill="1" applyBorder="1" applyAlignment="1">
      <alignment horizontal="right"/>
    </xf>
    <xf numFmtId="170" fontId="2" fillId="25" borderId="20" xfId="43" applyNumberFormat="1" applyFont="1" applyFill="1" applyBorder="1" applyAlignment="1">
      <alignment horizontal="right"/>
    </xf>
    <xf numFmtId="170" fontId="2" fillId="25" borderId="0" xfId="43" applyNumberFormat="1" applyFont="1" applyFill="1" applyBorder="1" applyAlignment="1">
      <alignment horizontal="right"/>
    </xf>
    <xf numFmtId="170" fontId="2" fillId="25" borderId="14" xfId="43" applyNumberFormat="1" applyFont="1" applyFill="1" applyBorder="1" applyAlignment="1">
      <alignment horizontal="right"/>
    </xf>
    <xf numFmtId="10" fontId="2" fillId="25" borderId="0" xfId="43" applyNumberFormat="1" applyFont="1" applyFill="1" applyBorder="1" applyAlignment="1">
      <alignment horizontal="right"/>
    </xf>
    <xf numFmtId="0" fontId="2" fillId="25" borderId="0" xfId="0" applyFont="1" applyFill="1" applyAlignment="1">
      <alignment horizontal="left" indent="1"/>
    </xf>
    <xf numFmtId="170" fontId="2" fillId="25" borderId="18" xfId="43" applyNumberFormat="1" applyFont="1" applyFill="1" applyBorder="1" applyAlignment="1">
      <alignment horizontal="right"/>
    </xf>
    <xf numFmtId="170" fontId="2" fillId="25" borderId="17" xfId="43" applyNumberFormat="1" applyFont="1" applyFill="1" applyBorder="1" applyAlignment="1">
      <alignment horizontal="right"/>
    </xf>
    <xf numFmtId="0" fontId="1" fillId="25" borderId="19" xfId="0" applyFont="1" applyFill="1" applyBorder="1" applyAlignment="1">
      <alignment horizontal="center" vertical="center"/>
    </xf>
    <xf numFmtId="0" fontId="1" fillId="25" borderId="21" xfId="0" applyFont="1" applyFill="1" applyBorder="1" applyAlignment="1">
      <alignment horizontal="center" vertical="center"/>
    </xf>
    <xf numFmtId="0" fontId="1" fillId="25" borderId="20" xfId="0" applyFont="1" applyFill="1" applyBorder="1" applyAlignment="1">
      <alignment horizontal="center" vertical="center"/>
    </xf>
    <xf numFmtId="0" fontId="0" fillId="25" borderId="13" xfId="0" applyFill="1" applyBorder="1" applyAlignment="1">
      <alignment horizontal="center" vertical="center"/>
    </xf>
    <xf numFmtId="0" fontId="0" fillId="25" borderId="16" xfId="0" applyFill="1" applyBorder="1" applyAlignment="1">
      <alignment horizontal="center" vertical="center"/>
    </xf>
    <xf numFmtId="3" fontId="0" fillId="25" borderId="18" xfId="0" applyNumberFormat="1" applyFill="1" applyBorder="1"/>
    <xf numFmtId="3" fontId="0" fillId="25" borderId="17" xfId="0" applyNumberFormat="1" applyFill="1" applyBorder="1"/>
    <xf numFmtId="0" fontId="1" fillId="25" borderId="24" xfId="39" applyFont="1" applyFill="1" applyBorder="1"/>
    <xf numFmtId="0" fontId="2" fillId="25" borderId="27" xfId="40" applyFill="1" applyBorder="1" applyAlignment="1">
      <alignment horizontal="right" wrapText="1"/>
    </xf>
    <xf numFmtId="0" fontId="2" fillId="25" borderId="25" xfId="40" applyFill="1" applyBorder="1" applyAlignment="1">
      <alignment horizontal="right" wrapText="1"/>
    </xf>
    <xf numFmtId="0" fontId="2" fillId="25" borderId="0" xfId="40" applyFill="1" applyBorder="1" applyAlignment="1">
      <alignment horizontal="right" wrapText="1"/>
    </xf>
    <xf numFmtId="0" fontId="2" fillId="25" borderId="19" xfId="39" applyFill="1" applyBorder="1" applyAlignment="1">
      <alignment horizontal="left"/>
    </xf>
    <xf numFmtId="3" fontId="2" fillId="25" borderId="21" xfId="40" applyNumberFormat="1" applyFill="1" applyBorder="1" applyAlignment="1">
      <alignment horizontal="right" wrapText="1"/>
    </xf>
    <xf numFmtId="3" fontId="2" fillId="25" borderId="20" xfId="40" applyNumberFormat="1" applyFill="1" applyBorder="1" applyAlignment="1">
      <alignment horizontal="right" wrapText="1"/>
    </xf>
    <xf numFmtId="0" fontId="2" fillId="25" borderId="16" xfId="39" applyFill="1" applyBorder="1" applyAlignment="1">
      <alignment horizontal="left"/>
    </xf>
    <xf numFmtId="3" fontId="2" fillId="25" borderId="18" xfId="40" applyNumberFormat="1" applyFill="1" applyBorder="1" applyAlignment="1">
      <alignment horizontal="right" wrapText="1"/>
    </xf>
    <xf numFmtId="3" fontId="2" fillId="25" borderId="17" xfId="40" applyNumberFormat="1" applyFill="1" applyBorder="1" applyAlignment="1">
      <alignment horizontal="right" wrapText="1"/>
    </xf>
    <xf numFmtId="166" fontId="2" fillId="25" borderId="0" xfId="28" applyNumberFormat="1" applyFont="1" applyFill="1" applyBorder="1"/>
    <xf numFmtId="170" fontId="2" fillId="25" borderId="16" xfId="0" applyNumberFormat="1" applyFont="1" applyFill="1" applyBorder="1"/>
    <xf numFmtId="170" fontId="2" fillId="25" borderId="17" xfId="0" applyNumberFormat="1" applyFont="1" applyFill="1" applyBorder="1"/>
    <xf numFmtId="0" fontId="0" fillId="25" borderId="24" xfId="38" applyFont="1" applyFill="1" applyBorder="1"/>
    <xf numFmtId="0" fontId="0" fillId="25" borderId="27" xfId="38" applyFont="1" applyFill="1" applyBorder="1" applyAlignment="1">
      <alignment horizontal="right" wrapText="1"/>
    </xf>
    <xf numFmtId="0" fontId="0" fillId="25" borderId="25" xfId="38" applyFont="1" applyFill="1" applyBorder="1" applyAlignment="1">
      <alignment horizontal="right" wrapText="1"/>
    </xf>
    <xf numFmtId="0" fontId="0" fillId="25" borderId="19" xfId="0" applyFill="1" applyBorder="1"/>
    <xf numFmtId="3" fontId="0" fillId="25" borderId="21" xfId="0" applyNumberFormat="1" applyFill="1" applyBorder="1"/>
    <xf numFmtId="3" fontId="0" fillId="25" borderId="20" xfId="0" applyNumberFormat="1" applyFill="1" applyBorder="1"/>
    <xf numFmtId="0" fontId="0" fillId="25" borderId="21" xfId="0" applyFill="1" applyBorder="1"/>
    <xf numFmtId="0" fontId="0" fillId="25" borderId="20" xfId="0" applyFill="1" applyBorder="1"/>
    <xf numFmtId="164" fontId="0" fillId="25" borderId="0" xfId="43" applyNumberFormat="1" applyFont="1" applyFill="1" applyBorder="1"/>
    <xf numFmtId="164" fontId="0" fillId="25" borderId="14" xfId="43" applyNumberFormat="1" applyFont="1" applyFill="1" applyBorder="1"/>
    <xf numFmtId="0" fontId="2" fillId="25" borderId="0" xfId="0" applyFont="1" applyFill="1" applyAlignment="1">
      <alignment horizontal="center" vertical="center"/>
    </xf>
    <xf numFmtId="164" fontId="0" fillId="25" borderId="18" xfId="43" applyNumberFormat="1" applyFont="1" applyFill="1" applyBorder="1"/>
    <xf numFmtId="164" fontId="0" fillId="25" borderId="17" xfId="43" applyNumberFormat="1" applyFont="1" applyFill="1" applyBorder="1"/>
    <xf numFmtId="165" fontId="0" fillId="25" borderId="21" xfId="43" applyNumberFormat="1" applyFont="1" applyFill="1" applyBorder="1"/>
    <xf numFmtId="165" fontId="0" fillId="25" borderId="20" xfId="43" applyNumberFormat="1" applyFont="1" applyFill="1" applyBorder="1"/>
    <xf numFmtId="170" fontId="0" fillId="25" borderId="0" xfId="43" applyNumberFormat="1" applyFont="1" applyFill="1" applyBorder="1"/>
    <xf numFmtId="170" fontId="0" fillId="25" borderId="14" xfId="43" applyNumberFormat="1" applyFont="1" applyFill="1" applyBorder="1"/>
    <xf numFmtId="170" fontId="0" fillId="25" borderId="18" xfId="43" applyNumberFormat="1" applyFont="1" applyFill="1" applyBorder="1"/>
    <xf numFmtId="170" fontId="0" fillId="25" borderId="17" xfId="43" applyNumberFormat="1" applyFont="1" applyFill="1" applyBorder="1"/>
    <xf numFmtId="170" fontId="0" fillId="25" borderId="21" xfId="43" applyNumberFormat="1" applyFont="1" applyFill="1" applyBorder="1"/>
    <xf numFmtId="170" fontId="0" fillId="25" borderId="20" xfId="43" applyNumberFormat="1" applyFont="1" applyFill="1" applyBorder="1"/>
    <xf numFmtId="166" fontId="2" fillId="25" borderId="24" xfId="0" applyNumberFormat="1" applyFont="1" applyFill="1" applyBorder="1"/>
    <xf numFmtId="166" fontId="2" fillId="25" borderId="27" xfId="0" applyNumberFormat="1" applyFont="1" applyFill="1" applyBorder="1"/>
    <xf numFmtId="166" fontId="2" fillId="25" borderId="25" xfId="0" applyNumberFormat="1" applyFont="1" applyFill="1" applyBorder="1"/>
    <xf numFmtId="166" fontId="2" fillId="25" borderId="0" xfId="0" applyNumberFormat="1" applyFont="1" applyFill="1"/>
    <xf numFmtId="10" fontId="2" fillId="25" borderId="19" xfId="43" applyNumberFormat="1" applyFont="1" applyFill="1" applyBorder="1"/>
    <xf numFmtId="3" fontId="2" fillId="25" borderId="16" xfId="0" applyNumberFormat="1" applyFont="1" applyFill="1" applyBorder="1"/>
    <xf numFmtId="164" fontId="1" fillId="25" borderId="24" xfId="0" applyNumberFormat="1" applyFont="1" applyFill="1" applyBorder="1" applyAlignment="1">
      <alignment horizontal="right" wrapText="1"/>
    </xf>
    <xf numFmtId="164" fontId="1" fillId="25" borderId="27" xfId="0" applyNumberFormat="1" applyFont="1" applyFill="1" applyBorder="1" applyAlignment="1">
      <alignment horizontal="right" wrapText="1"/>
    </xf>
    <xf numFmtId="164" fontId="1" fillId="25" borderId="25" xfId="0" applyNumberFormat="1" applyFont="1" applyFill="1" applyBorder="1" applyAlignment="1">
      <alignment horizontal="right" wrapText="1"/>
    </xf>
    <xf numFmtId="0" fontId="1" fillId="25" borderId="25" xfId="0" applyFont="1" applyFill="1" applyBorder="1" applyAlignment="1">
      <alignment wrapText="1"/>
    </xf>
    <xf numFmtId="164" fontId="1" fillId="25" borderId="0" xfId="0" applyNumberFormat="1" applyFont="1" applyFill="1" applyAlignment="1">
      <alignment horizontal="right" wrapText="1"/>
    </xf>
    <xf numFmtId="10" fontId="2" fillId="25" borderId="0" xfId="0" applyNumberFormat="1" applyFont="1" applyFill="1"/>
    <xf numFmtId="164" fontId="2" fillId="25" borderId="14" xfId="0" applyNumberFormat="1" applyFont="1" applyFill="1" applyBorder="1"/>
    <xf numFmtId="164" fontId="2" fillId="25" borderId="25" xfId="0" applyNumberFormat="1" applyFont="1" applyFill="1" applyBorder="1"/>
    <xf numFmtId="170" fontId="2" fillId="25" borderId="24" xfId="43" applyNumberFormat="1" applyFont="1" applyFill="1" applyBorder="1"/>
    <xf numFmtId="170" fontId="2" fillId="25" borderId="27" xfId="43" applyNumberFormat="1" applyFont="1" applyFill="1" applyBorder="1"/>
    <xf numFmtId="170" fontId="2" fillId="25" borderId="25" xfId="43" applyNumberFormat="1" applyFont="1" applyFill="1" applyBorder="1"/>
    <xf numFmtId="170" fontId="2" fillId="25" borderId="19" xfId="43" applyNumberFormat="1" applyFont="1" applyFill="1" applyBorder="1"/>
    <xf numFmtId="164" fontId="2" fillId="25" borderId="20" xfId="0" applyNumberFormat="1" applyFont="1" applyFill="1" applyBorder="1"/>
    <xf numFmtId="164" fontId="2" fillId="25" borderId="17" xfId="0" applyNumberFormat="1" applyFont="1" applyFill="1" applyBorder="1"/>
    <xf numFmtId="0" fontId="1" fillId="25" borderId="25" xfId="0" applyFont="1" applyFill="1" applyBorder="1"/>
    <xf numFmtId="0" fontId="1" fillId="0" borderId="11" xfId="0" applyFont="1" applyBorder="1" applyAlignment="1">
      <alignment horizontal="right" wrapText="1"/>
    </xf>
    <xf numFmtId="0" fontId="0" fillId="0" borderId="19" xfId="0" applyBorder="1" applyAlignment="1">
      <alignment horizontal="left" indent="1"/>
    </xf>
    <xf numFmtId="3" fontId="0" fillId="0" borderId="16" xfId="0" applyNumberFormat="1" applyBorder="1" applyAlignment="1">
      <alignment horizontal="center" vertical="center"/>
    </xf>
    <xf numFmtId="3" fontId="0" fillId="0" borderId="17" xfId="0" applyNumberFormat="1" applyBorder="1" applyAlignment="1">
      <alignment horizontal="center" vertical="center"/>
    </xf>
    <xf numFmtId="0" fontId="0" fillId="0" borderId="24" xfId="0" applyBorder="1" applyAlignment="1">
      <alignment horizontal="right" vertical="center"/>
    </xf>
    <xf numFmtId="3" fontId="0" fillId="0" borderId="26" xfId="0" applyNumberFormat="1" applyBorder="1" applyAlignment="1">
      <alignment horizontal="center" vertical="center"/>
    </xf>
    <xf numFmtId="165" fontId="0" fillId="0" borderId="27" xfId="0" applyNumberFormat="1" applyBorder="1" applyAlignment="1">
      <alignment horizontal="center" vertical="center"/>
    </xf>
    <xf numFmtId="10" fontId="2" fillId="0" borderId="19" xfId="43" applyNumberFormat="1" applyFont="1" applyFill="1" applyBorder="1"/>
    <xf numFmtId="0" fontId="1" fillId="0" borderId="13" xfId="0" applyFont="1" applyBorder="1" applyAlignment="1">
      <alignment horizontal="right" wrapText="1"/>
    </xf>
    <xf numFmtId="0" fontId="1" fillId="0" borderId="0" xfId="0" applyFont="1" applyAlignment="1">
      <alignment horizontal="right" wrapText="1"/>
    </xf>
    <xf numFmtId="0" fontId="1" fillId="0" borderId="14" xfId="0" applyFont="1" applyBorder="1" applyAlignment="1">
      <alignment horizontal="right" wrapText="1"/>
    </xf>
    <xf numFmtId="0" fontId="1" fillId="0" borderId="16" xfId="0" applyFont="1" applyBorder="1" applyAlignment="1">
      <alignment horizontal="right" wrapText="1"/>
    </xf>
    <xf numFmtId="0" fontId="1" fillId="0" borderId="18" xfId="0" applyFont="1" applyBorder="1" applyAlignment="1">
      <alignment horizontal="right" wrapText="1"/>
    </xf>
    <xf numFmtId="0" fontId="1" fillId="0" borderId="17" xfId="0" applyFont="1" applyBorder="1" applyAlignment="1">
      <alignment horizontal="right" wrapText="1"/>
    </xf>
    <xf numFmtId="170" fontId="2" fillId="0" borderId="19" xfId="43" applyNumberFormat="1" applyFont="1" applyBorder="1"/>
    <xf numFmtId="164" fontId="2" fillId="0" borderId="0" xfId="0" applyNumberFormat="1" applyFont="1"/>
    <xf numFmtId="1" fontId="2" fillId="0" borderId="0" xfId="0" applyNumberFormat="1" applyFont="1"/>
    <xf numFmtId="3" fontId="2" fillId="0" borderId="13" xfId="28" applyNumberFormat="1" applyFont="1" applyBorder="1"/>
    <xf numFmtId="3" fontId="2" fillId="0" borderId="0" xfId="28" applyNumberFormat="1" applyFont="1" applyBorder="1"/>
    <xf numFmtId="182" fontId="2" fillId="0" borderId="0" xfId="0" applyNumberFormat="1" applyFont="1"/>
    <xf numFmtId="166" fontId="2" fillId="0" borderId="0" xfId="0" applyNumberFormat="1" applyFont="1"/>
    <xf numFmtId="37" fontId="2" fillId="0" borderId="19" xfId="0" applyNumberFormat="1" applyFont="1" applyBorder="1"/>
    <xf numFmtId="37" fontId="2" fillId="0" borderId="21" xfId="0" applyNumberFormat="1" applyFont="1" applyBorder="1"/>
    <xf numFmtId="37" fontId="2" fillId="0" borderId="20" xfId="0" applyNumberFormat="1" applyFont="1" applyBorder="1"/>
    <xf numFmtId="37" fontId="2" fillId="0" borderId="0" xfId="0" applyNumberFormat="1" applyFont="1"/>
    <xf numFmtId="37" fontId="2" fillId="0" borderId="13" xfId="0" applyNumberFormat="1" applyFont="1" applyBorder="1"/>
    <xf numFmtId="37" fontId="2" fillId="0" borderId="14" xfId="0" applyNumberFormat="1" applyFont="1" applyBorder="1"/>
    <xf numFmtId="171" fontId="2" fillId="0" borderId="16" xfId="0" applyNumberFormat="1" applyFont="1" applyBorder="1"/>
    <xf numFmtId="171" fontId="2" fillId="0" borderId="18" xfId="0" applyNumberFormat="1" applyFont="1" applyBorder="1"/>
    <xf numFmtId="171" fontId="2" fillId="0" borderId="17" xfId="0" applyNumberFormat="1" applyFont="1" applyBorder="1"/>
    <xf numFmtId="171" fontId="2" fillId="0" borderId="0" xfId="0" applyNumberFormat="1" applyFont="1"/>
    <xf numFmtId="37" fontId="2" fillId="0" borderId="16" xfId="0" applyNumberFormat="1" applyFont="1" applyBorder="1"/>
    <xf numFmtId="37" fontId="2" fillId="0" borderId="18" xfId="0" applyNumberFormat="1" applyFont="1" applyBorder="1"/>
    <xf numFmtId="1" fontId="2" fillId="0" borderId="17" xfId="0" applyNumberFormat="1" applyFont="1" applyBorder="1"/>
    <xf numFmtId="171" fontId="2" fillId="0" borderId="19" xfId="0" applyNumberFormat="1" applyFont="1" applyBorder="1"/>
    <xf numFmtId="171" fontId="2" fillId="0" borderId="21" xfId="0" applyNumberFormat="1" applyFont="1" applyBorder="1"/>
    <xf numFmtId="164" fontId="2" fillId="0" borderId="20" xfId="0" applyNumberFormat="1" applyFont="1" applyBorder="1"/>
    <xf numFmtId="167" fontId="2" fillId="0" borderId="0" xfId="0" applyNumberFormat="1" applyFont="1"/>
    <xf numFmtId="0" fontId="1" fillId="0" borderId="0" xfId="0" applyFont="1" applyAlignment="1">
      <alignment horizontal="centerContinuous"/>
    </xf>
    <xf numFmtId="164" fontId="0" fillId="0" borderId="21" xfId="0" applyNumberFormat="1" applyBorder="1" applyAlignment="1">
      <alignment horizontal="right"/>
    </xf>
    <xf numFmtId="164" fontId="0" fillId="0" borderId="20" xfId="0" applyNumberFormat="1" applyBorder="1" applyAlignment="1">
      <alignment horizontal="right"/>
    </xf>
    <xf numFmtId="164" fontId="0" fillId="0" borderId="0" xfId="0" applyNumberFormat="1" applyAlignment="1">
      <alignment horizontal="right"/>
    </xf>
    <xf numFmtId="164" fontId="0" fillId="0" borderId="14" xfId="0" applyNumberFormat="1" applyBorder="1" applyAlignment="1">
      <alignment horizontal="right"/>
    </xf>
    <xf numFmtId="0" fontId="1" fillId="0" borderId="19" xfId="0" applyFont="1" applyBorder="1" applyAlignment="1">
      <alignment horizontal="right" wrapText="1"/>
    </xf>
    <xf numFmtId="164" fontId="0" fillId="0" borderId="18" xfId="0" applyNumberFormat="1" applyBorder="1" applyAlignment="1">
      <alignment horizontal="right"/>
    </xf>
    <xf numFmtId="1" fontId="0" fillId="0" borderId="18" xfId="0" applyNumberFormat="1" applyBorder="1" applyAlignment="1">
      <alignment horizontal="right"/>
    </xf>
    <xf numFmtId="164" fontId="0" fillId="0" borderId="17" xfId="0" applyNumberFormat="1" applyBorder="1" applyAlignment="1">
      <alignment horizontal="right"/>
    </xf>
    <xf numFmtId="191" fontId="0" fillId="0" borderId="0" xfId="0" applyNumberFormat="1"/>
    <xf numFmtId="0" fontId="1" fillId="0" borderId="16" xfId="0" applyFont="1" applyBorder="1" applyAlignment="1">
      <alignment horizontal="left" wrapText="1"/>
    </xf>
    <xf numFmtId="0" fontId="36" fillId="0" borderId="0" xfId="0" applyFont="1"/>
    <xf numFmtId="0" fontId="37" fillId="0" borderId="0" xfId="0" applyFont="1"/>
    <xf numFmtId="0" fontId="2" fillId="0" borderId="0" xfId="0" applyFont="1" applyAlignment="1">
      <alignment horizontal="center"/>
    </xf>
    <xf numFmtId="3" fontId="0" fillId="0" borderId="0" xfId="0" applyNumberFormat="1" applyAlignment="1">
      <alignment horizontal="center"/>
    </xf>
    <xf numFmtId="4" fontId="0" fillId="0" borderId="21" xfId="0" applyNumberFormat="1" applyBorder="1"/>
    <xf numFmtId="4" fontId="0" fillId="0" borderId="20" xfId="0" applyNumberFormat="1" applyBorder="1"/>
    <xf numFmtId="4" fontId="0" fillId="0" borderId="0" xfId="0" applyNumberFormat="1"/>
    <xf numFmtId="4" fontId="0" fillId="0" borderId="14" xfId="0" applyNumberFormat="1" applyBorder="1"/>
    <xf numFmtId="4" fontId="0" fillId="0" borderId="18" xfId="0" applyNumberFormat="1" applyBorder="1"/>
    <xf numFmtId="4" fontId="0" fillId="0" borderId="17" xfId="0" applyNumberFormat="1" applyBorder="1"/>
    <xf numFmtId="0" fontId="12" fillId="0" borderId="0" xfId="0" applyFont="1"/>
    <xf numFmtId="0" fontId="1" fillId="0" borderId="21" xfId="0" applyFont="1" applyBorder="1" applyAlignment="1">
      <alignment horizontal="right"/>
    </xf>
    <xf numFmtId="0" fontId="1" fillId="0" borderId="20" xfId="0" applyFont="1" applyBorder="1" applyAlignment="1">
      <alignment horizontal="right"/>
    </xf>
    <xf numFmtId="0" fontId="1" fillId="0" borderId="13" xfId="0" applyFont="1" applyBorder="1" applyAlignment="1">
      <alignment horizontal="right"/>
    </xf>
    <xf numFmtId="0" fontId="1" fillId="0" borderId="0" xfId="0" applyFont="1" applyAlignment="1">
      <alignment horizontal="right"/>
    </xf>
    <xf numFmtId="0" fontId="1" fillId="0" borderId="14" xfId="0" applyFont="1" applyBorder="1"/>
    <xf numFmtId="0" fontId="1" fillId="0" borderId="24" xfId="0" applyFont="1" applyBorder="1" applyAlignment="1">
      <alignment horizontal="right"/>
    </xf>
    <xf numFmtId="0" fontId="1" fillId="0" borderId="27" xfId="0" applyFont="1" applyBorder="1" applyAlignment="1">
      <alignment horizontal="right"/>
    </xf>
    <xf numFmtId="0" fontId="1" fillId="0" borderId="25" xfId="0" applyFont="1" applyBorder="1"/>
    <xf numFmtId="2" fontId="0" fillId="0" borderId="20" xfId="0" applyNumberFormat="1" applyBorder="1"/>
    <xf numFmtId="2" fontId="0" fillId="0" borderId="14" xfId="0" applyNumberFormat="1" applyBorder="1"/>
    <xf numFmtId="2" fontId="0" fillId="0" borderId="17" xfId="0" applyNumberFormat="1" applyBorder="1"/>
    <xf numFmtId="0" fontId="1" fillId="0" borderId="27" xfId="0" applyFont="1" applyBorder="1" applyAlignment="1">
      <alignment horizontal="centerContinuous"/>
    </xf>
    <xf numFmtId="0" fontId="1" fillId="0" borderId="25" xfId="0" applyFont="1" applyBorder="1" applyAlignment="1">
      <alignment horizontal="centerContinuous"/>
    </xf>
    <xf numFmtId="0" fontId="1" fillId="0" borderId="26" xfId="0" applyFont="1" applyBorder="1" applyAlignment="1">
      <alignment horizontal="centerContinuous"/>
    </xf>
    <xf numFmtId="3" fontId="1" fillId="0" borderId="21" xfId="0" applyNumberFormat="1" applyFont="1" applyBorder="1"/>
    <xf numFmtId="0" fontId="1" fillId="0" borderId="26" xfId="0" applyFont="1" applyBorder="1" applyAlignment="1">
      <alignment horizontal="centerContinuous" wrapText="1"/>
    </xf>
    <xf numFmtId="0" fontId="1" fillId="0" borderId="21" xfId="0" applyFont="1" applyBorder="1"/>
    <xf numFmtId="0" fontId="1" fillId="0" borderId="20" xfId="0" applyFont="1" applyBorder="1"/>
    <xf numFmtId="0" fontId="1" fillId="0" borderId="21" xfId="0" applyFont="1" applyBorder="1" applyAlignment="1">
      <alignment horizontal="left"/>
    </xf>
    <xf numFmtId="165" fontId="0" fillId="0" borderId="19" xfId="0" applyNumberFormat="1" applyBorder="1" applyAlignment="1">
      <alignment horizontal="left"/>
    </xf>
    <xf numFmtId="165" fontId="0" fillId="0" borderId="21" xfId="0" applyNumberFormat="1" applyBorder="1" applyAlignment="1">
      <alignment horizontal="left"/>
    </xf>
    <xf numFmtId="165" fontId="0" fillId="0" borderId="20" xfId="0" applyNumberFormat="1" applyBorder="1" applyAlignment="1">
      <alignment horizontal="left"/>
    </xf>
    <xf numFmtId="0" fontId="1" fillId="0" borderId="18" xfId="0" applyFont="1" applyBorder="1" applyAlignment="1">
      <alignment horizontal="left"/>
    </xf>
    <xf numFmtId="165" fontId="0" fillId="0" borderId="16" xfId="0" applyNumberFormat="1" applyBorder="1" applyAlignment="1">
      <alignment horizontal="left"/>
    </xf>
    <xf numFmtId="165" fontId="0" fillId="0" borderId="18" xfId="0" applyNumberFormat="1" applyBorder="1" applyAlignment="1">
      <alignment horizontal="left"/>
    </xf>
    <xf numFmtId="165" fontId="0" fillId="0" borderId="17" xfId="0" applyNumberFormat="1" applyBorder="1" applyAlignment="1">
      <alignment horizontal="left"/>
    </xf>
    <xf numFmtId="10" fontId="0" fillId="0" borderId="0" xfId="0" applyNumberFormat="1"/>
    <xf numFmtId="0" fontId="11" fillId="0" borderId="0" xfId="0" applyFont="1"/>
    <xf numFmtId="0" fontId="1" fillId="0" borderId="15" xfId="0" applyFont="1" applyBorder="1" applyAlignment="1">
      <alignment horizontal="center" wrapText="1"/>
    </xf>
    <xf numFmtId="0" fontId="1" fillId="0" borderId="25" xfId="0" applyFont="1" applyBorder="1" applyAlignment="1">
      <alignment horizontal="right"/>
    </xf>
    <xf numFmtId="0" fontId="2" fillId="0" borderId="24" xfId="0" applyFont="1" applyBorder="1" applyAlignment="1">
      <alignment horizontal="right" wrapText="1"/>
    </xf>
    <xf numFmtId="0" fontId="1" fillId="0" borderId="26" xfId="0" applyFont="1" applyBorder="1" applyAlignment="1">
      <alignment horizontal="right"/>
    </xf>
    <xf numFmtId="0" fontId="2" fillId="0" borderId="12" xfId="0" applyFont="1" applyBorder="1" applyAlignment="1">
      <alignment horizontal="right"/>
    </xf>
    <xf numFmtId="0" fontId="2" fillId="0" borderId="15" xfId="0" applyFont="1" applyBorder="1" applyAlignment="1">
      <alignment horizontal="right"/>
    </xf>
    <xf numFmtId="0" fontId="1" fillId="0" borderId="27" xfId="47" applyFont="1" applyBorder="1" applyAlignment="1">
      <alignment horizontal="center" wrapText="1"/>
    </xf>
    <xf numFmtId="169" fontId="2" fillId="0" borderId="0" xfId="48" applyNumberFormat="1" applyBorder="1"/>
    <xf numFmtId="3" fontId="2" fillId="0" borderId="27" xfId="48" applyNumberFormat="1" applyBorder="1"/>
    <xf numFmtId="3" fontId="2" fillId="0" borderId="0" xfId="48" applyNumberFormat="1" applyBorder="1"/>
    <xf numFmtId="3" fontId="2" fillId="0" borderId="18" xfId="48" applyNumberFormat="1" applyBorder="1"/>
    <xf numFmtId="169" fontId="2" fillId="0" borderId="18" xfId="48" applyNumberFormat="1" applyBorder="1"/>
    <xf numFmtId="3" fontId="49" fillId="0" borderId="21" xfId="0" applyNumberFormat="1" applyFont="1" applyBorder="1"/>
    <xf numFmtId="9" fontId="0" fillId="22" borderId="18" xfId="0" applyNumberFormat="1" applyFill="1" applyBorder="1" applyAlignment="1">
      <alignment horizontal="right"/>
    </xf>
    <xf numFmtId="9" fontId="0" fillId="22" borderId="17" xfId="0" applyNumberFormat="1" applyFill="1" applyBorder="1" applyAlignment="1">
      <alignment horizontal="right"/>
    </xf>
    <xf numFmtId="169" fontId="0" fillId="22" borderId="21" xfId="0" applyNumberFormat="1" applyFill="1" applyBorder="1"/>
    <xf numFmtId="169" fontId="0" fillId="22" borderId="19" xfId="0" applyNumberFormat="1" applyFill="1" applyBorder="1"/>
    <xf numFmtId="169" fontId="0" fillId="22" borderId="16" xfId="0" applyNumberFormat="1" applyFill="1" applyBorder="1"/>
    <xf numFmtId="169" fontId="0" fillId="22" borderId="18" xfId="0" applyNumberFormat="1" applyFill="1" applyBorder="1"/>
    <xf numFmtId="170" fontId="0" fillId="28" borderId="0" xfId="0" applyNumberFormat="1" applyFill="1"/>
    <xf numFmtId="0" fontId="1" fillId="0" borderId="24" xfId="0" applyFont="1" applyBorder="1" applyAlignment="1">
      <alignment horizontal="center" textRotation="90" wrapText="1"/>
    </xf>
    <xf numFmtId="0" fontId="1" fillId="0" borderId="27" xfId="0" applyFont="1" applyBorder="1" applyAlignment="1">
      <alignment horizontal="center" textRotation="90" wrapText="1"/>
    </xf>
    <xf numFmtId="0" fontId="1" fillId="0" borderId="25" xfId="0" applyFont="1" applyBorder="1" applyAlignment="1">
      <alignment horizontal="center" textRotation="90" wrapText="1"/>
    </xf>
    <xf numFmtId="169" fontId="0" fillId="22" borderId="0" xfId="0" applyNumberFormat="1" applyFont="1" applyFill="1"/>
    <xf numFmtId="0" fontId="61" fillId="31" borderId="28" xfId="0" applyFont="1" applyFill="1" applyBorder="1"/>
    <xf numFmtId="0" fontId="61" fillId="31" borderId="29" xfId="0" applyFont="1" applyFill="1" applyBorder="1"/>
    <xf numFmtId="0" fontId="61" fillId="31" borderId="30" xfId="0" applyFont="1" applyFill="1" applyBorder="1"/>
    <xf numFmtId="0" fontId="1" fillId="0" borderId="27" xfId="0" applyFont="1" applyFill="1" applyBorder="1" applyAlignment="1">
      <alignment horizontal="center"/>
    </xf>
    <xf numFmtId="0" fontId="1" fillId="0" borderId="25" xfId="0" applyFont="1" applyFill="1" applyBorder="1" applyAlignment="1">
      <alignment horizontal="center"/>
    </xf>
    <xf numFmtId="0" fontId="1" fillId="0" borderId="24" xfId="0" applyFont="1" applyBorder="1" applyAlignment="1">
      <alignment horizontal="center" wrapText="1"/>
    </xf>
    <xf numFmtId="0" fontId="1" fillId="0" borderId="25" xfId="0" applyFont="1" applyBorder="1" applyAlignment="1">
      <alignment horizontal="center" wrapText="1"/>
    </xf>
    <xf numFmtId="0" fontId="1" fillId="0" borderId="27" xfId="0" applyFont="1" applyBorder="1" applyAlignment="1">
      <alignment horizontal="center" wrapText="1"/>
    </xf>
    <xf numFmtId="0" fontId="1" fillId="0" borderId="24" xfId="0" applyFont="1" applyFill="1" applyBorder="1" applyAlignment="1">
      <alignment horizontal="center" wrapText="1"/>
    </xf>
    <xf numFmtId="0" fontId="1" fillId="0" borderId="25" xfId="0" applyFont="1" applyFill="1" applyBorder="1" applyAlignment="1">
      <alignment horizontal="center" wrapText="1"/>
    </xf>
    <xf numFmtId="0" fontId="1" fillId="0" borderId="27" xfId="0" applyFont="1" applyFill="1" applyBorder="1" applyAlignment="1">
      <alignment horizontal="center" wrapText="1"/>
    </xf>
    <xf numFmtId="0" fontId="1" fillId="0" borderId="27" xfId="0" applyFont="1" applyFill="1" applyBorder="1" applyAlignment="1">
      <alignment horizontal="center" vertical="center" wrapText="1"/>
    </xf>
    <xf numFmtId="0" fontId="2" fillId="0" borderId="21" xfId="0" applyFont="1" applyFill="1" applyBorder="1" applyAlignment="1">
      <alignment horizontal="center" vertical="center"/>
    </xf>
    <xf numFmtId="0" fontId="2" fillId="0" borderId="20" xfId="0" applyFont="1" applyFill="1" applyBorder="1" applyAlignment="1">
      <alignment horizontal="center" vertical="center"/>
    </xf>
    <xf numFmtId="0" fontId="1" fillId="0" borderId="26" xfId="0" applyFont="1" applyBorder="1" applyAlignment="1">
      <alignment horizontal="center" wrapText="1"/>
    </xf>
    <xf numFmtId="0" fontId="1" fillId="0" borderId="26" xfId="0" applyFont="1" applyBorder="1" applyAlignment="1">
      <alignment wrapText="1"/>
    </xf>
    <xf numFmtId="0" fontId="1" fillId="0" borderId="21" xfId="0" applyFont="1" applyFill="1" applyBorder="1" applyAlignment="1">
      <alignment horizontal="center"/>
    </xf>
    <xf numFmtId="0" fontId="1" fillId="0" borderId="19" xfId="0" applyFont="1" applyFill="1" applyBorder="1" applyAlignment="1">
      <alignment horizontal="center"/>
    </xf>
    <xf numFmtId="169" fontId="1" fillId="0" borderId="20" xfId="0" applyNumberFormat="1" applyFont="1" applyFill="1" applyBorder="1" applyAlignment="1">
      <alignment horizontal="center" vertical="center" wrapText="1"/>
    </xf>
    <xf numFmtId="169" fontId="1" fillId="0" borderId="26" xfId="0" applyNumberFormat="1" applyFont="1" applyFill="1" applyBorder="1" applyAlignment="1">
      <alignment horizontal="center" wrapText="1"/>
    </xf>
    <xf numFmtId="0" fontId="1" fillId="0" borderId="16" xfId="0" applyFont="1" applyBorder="1" applyAlignment="1">
      <alignment horizontal="center"/>
    </xf>
    <xf numFmtId="0" fontId="1" fillId="0" borderId="17" xfId="0" applyFont="1" applyBorder="1" applyAlignment="1">
      <alignment horizontal="center"/>
    </xf>
    <xf numFmtId="0" fontId="1" fillId="0" borderId="15" xfId="0" applyFont="1" applyFill="1" applyBorder="1" applyAlignment="1">
      <alignment horizontal="center"/>
    </xf>
    <xf numFmtId="0" fontId="1" fillId="0" borderId="0" xfId="0" applyFont="1" applyAlignment="1">
      <alignment horizontal="center"/>
    </xf>
    <xf numFmtId="1" fontId="0" fillId="22" borderId="16" xfId="0" applyNumberFormat="1" applyFill="1" applyBorder="1"/>
    <xf numFmtId="1" fontId="0" fillId="22" borderId="18" xfId="0" applyNumberFormat="1" applyFill="1" applyBorder="1"/>
    <xf numFmtId="1" fontId="0" fillId="22" borderId="17" xfId="0" applyNumberFormat="1" applyFill="1" applyBorder="1"/>
    <xf numFmtId="1" fontId="52" fillId="22" borderId="25" xfId="49" applyNumberFormat="1" applyFill="1" applyBorder="1"/>
    <xf numFmtId="0" fontId="48" fillId="0" borderId="0" xfId="0" applyFont="1" applyFill="1"/>
    <xf numFmtId="170" fontId="2" fillId="0" borderId="19" xfId="43" applyNumberFormat="1" applyFont="1" applyFill="1" applyBorder="1" applyAlignment="1"/>
    <xf numFmtId="164" fontId="2" fillId="22" borderId="13" xfId="43" applyNumberFormat="1" applyFont="1" applyFill="1" applyBorder="1" applyAlignment="1"/>
    <xf numFmtId="164" fontId="2" fillId="22" borderId="17" xfId="0" applyNumberFormat="1" applyFont="1" applyFill="1" applyBorder="1"/>
    <xf numFmtId="0" fontId="0" fillId="0" borderId="16" xfId="0" applyFont="1" applyFill="1" applyBorder="1" applyAlignment="1">
      <alignment horizontal="left"/>
    </xf>
    <xf numFmtId="0" fontId="0" fillId="0" borderId="18" xfId="0" applyFill="1" applyBorder="1" applyAlignment="1">
      <alignment horizontal="center"/>
    </xf>
    <xf numFmtId="0" fontId="0" fillId="0" borderId="17" xfId="0" applyFill="1" applyBorder="1" applyAlignment="1">
      <alignment horizontal="center"/>
    </xf>
    <xf numFmtId="0" fontId="0" fillId="0" borderId="18" xfId="0" applyFont="1" applyFill="1" applyBorder="1" applyAlignment="1">
      <alignment horizontal="center"/>
    </xf>
    <xf numFmtId="0" fontId="0" fillId="0" borderId="17" xfId="0" applyFont="1" applyFill="1" applyBorder="1" applyAlignment="1">
      <alignment horizontal="center"/>
    </xf>
    <xf numFmtId="3" fontId="43" fillId="0" borderId="0" xfId="0" applyNumberFormat="1" applyFont="1" applyFill="1" applyBorder="1"/>
    <xf numFmtId="166" fontId="0" fillId="0" borderId="24" xfId="28" applyNumberFormat="1" applyFont="1" applyFill="1" applyBorder="1"/>
    <xf numFmtId="166" fontId="0" fillId="0" borderId="27" xfId="28" applyNumberFormat="1" applyFont="1" applyFill="1" applyBorder="1"/>
    <xf numFmtId="166" fontId="0" fillId="0" borderId="25" xfId="28" applyNumberFormat="1" applyFont="1" applyFill="1" applyBorder="1"/>
    <xf numFmtId="3" fontId="0" fillId="22" borderId="11" xfId="0" applyNumberFormat="1" applyFont="1" applyFill="1" applyBorder="1" applyAlignment="1">
      <alignment horizontal="center"/>
    </xf>
    <xf numFmtId="3" fontId="43" fillId="22" borderId="14" xfId="0" applyNumberFormat="1" applyFont="1" applyFill="1" applyBorder="1"/>
    <xf numFmtId="3" fontId="43" fillId="22" borderId="17" xfId="0" applyNumberFormat="1" applyFont="1" applyFill="1" applyBorder="1"/>
    <xf numFmtId="1" fontId="2" fillId="0" borderId="11" xfId="43" applyNumberFormat="1" applyFont="1" applyFill="1" applyBorder="1"/>
    <xf numFmtId="1" fontId="2" fillId="0" borderId="20" xfId="43" applyNumberFormat="1" applyFont="1" applyFill="1" applyBorder="1"/>
    <xf numFmtId="1" fontId="2" fillId="0" borderId="12" xfId="43" applyNumberFormat="1" applyFont="1" applyFill="1" applyBorder="1"/>
    <xf numFmtId="1" fontId="2" fillId="0" borderId="14" xfId="43" applyNumberFormat="1" applyFont="1" applyFill="1" applyBorder="1"/>
    <xf numFmtId="3" fontId="43" fillId="0" borderId="12" xfId="0" applyNumberFormat="1" applyFont="1" applyFill="1" applyBorder="1"/>
    <xf numFmtId="3" fontId="43" fillId="0" borderId="14" xfId="0" applyNumberFormat="1" applyFont="1" applyFill="1" applyBorder="1"/>
    <xf numFmtId="3" fontId="43" fillId="0" borderId="15" xfId="0" applyNumberFormat="1" applyFont="1" applyFill="1" applyBorder="1"/>
    <xf numFmtId="3" fontId="43" fillId="0" borderId="17" xfId="0" applyNumberFormat="1" applyFont="1" applyFill="1" applyBorder="1"/>
    <xf numFmtId="1" fontId="0" fillId="22" borderId="19" xfId="0" applyNumberFormat="1" applyFont="1" applyFill="1" applyBorder="1"/>
    <xf numFmtId="1" fontId="0" fillId="22" borderId="13" xfId="0" applyNumberFormat="1" applyFont="1" applyFill="1" applyBorder="1"/>
    <xf numFmtId="1" fontId="0" fillId="22" borderId="16" xfId="0" applyNumberFormat="1" applyFont="1" applyFill="1" applyBorder="1"/>
    <xf numFmtId="1" fontId="0" fillId="22" borderId="21" xfId="0" applyNumberFormat="1" applyFont="1" applyFill="1" applyBorder="1"/>
    <xf numFmtId="1" fontId="0" fillId="22" borderId="20" xfId="0" applyNumberFormat="1" applyFont="1" applyFill="1" applyBorder="1"/>
    <xf numFmtId="1" fontId="0" fillId="22" borderId="14" xfId="0" applyNumberFormat="1" applyFont="1" applyFill="1" applyBorder="1"/>
    <xf numFmtId="3" fontId="0" fillId="26" borderId="0" xfId="28" applyNumberFormat="1" applyFont="1" applyFill="1" applyBorder="1"/>
    <xf numFmtId="3" fontId="0" fillId="26" borderId="14" xfId="28" applyNumberFormat="1" applyFont="1" applyFill="1" applyBorder="1"/>
    <xf numFmtId="3" fontId="42" fillId="0" borderId="13" xfId="28" applyNumberFormat="1" applyFont="1" applyFill="1" applyBorder="1"/>
    <xf numFmtId="3" fontId="42" fillId="0" borderId="16" xfId="28" applyNumberFormat="1" applyFont="1" applyFill="1" applyBorder="1"/>
    <xf numFmtId="0" fontId="0" fillId="0" borderId="12" xfId="0" applyFill="1" applyBorder="1" applyAlignment="1">
      <alignment horizontal="left"/>
    </xf>
    <xf numFmtId="0" fontId="0" fillId="0" borderId="15" xfId="0" applyFill="1" applyBorder="1" applyAlignment="1">
      <alignment horizontal="left"/>
    </xf>
    <xf numFmtId="3" fontId="0" fillId="26" borderId="21" xfId="0" applyNumberFormat="1" applyFont="1" applyFill="1" applyBorder="1"/>
    <xf numFmtId="3" fontId="0" fillId="0" borderId="21" xfId="28" applyNumberFormat="1" applyFont="1" applyFill="1" applyBorder="1"/>
    <xf numFmtId="3" fontId="0" fillId="26" borderId="21" xfId="28" applyNumberFormat="1" applyFont="1" applyFill="1" applyBorder="1"/>
    <xf numFmtId="3" fontId="0" fillId="26" borderId="20" xfId="28" applyNumberFormat="1" applyFont="1" applyFill="1" applyBorder="1"/>
    <xf numFmtId="4" fontId="0" fillId="0" borderId="13" xfId="28" applyNumberFormat="1" applyFont="1" applyFill="1" applyBorder="1"/>
    <xf numFmtId="4" fontId="0" fillId="0" borderId="14" xfId="28" applyNumberFormat="1" applyFont="1" applyFill="1" applyBorder="1"/>
    <xf numFmtId="4" fontId="0" fillId="0" borderId="17" xfId="28" applyNumberFormat="1" applyFont="1" applyFill="1" applyBorder="1"/>
    <xf numFmtId="3" fontId="0" fillId="0" borderId="19" xfId="28" applyNumberFormat="1" applyFont="1" applyFill="1" applyBorder="1"/>
    <xf numFmtId="3" fontId="0" fillId="0" borderId="20" xfId="28" applyNumberFormat="1" applyFont="1" applyFill="1" applyBorder="1"/>
    <xf numFmtId="166" fontId="0" fillId="0" borderId="11" xfId="28" applyNumberFormat="1" applyFont="1" applyFill="1" applyBorder="1"/>
    <xf numFmtId="3" fontId="62" fillId="24" borderId="0" xfId="0" applyNumberFormat="1" applyFont="1" applyFill="1" applyBorder="1"/>
    <xf numFmtId="3" fontId="62" fillId="24" borderId="20" xfId="0" applyNumberFormat="1" applyFont="1" applyFill="1" applyBorder="1"/>
    <xf numFmtId="0" fontId="0" fillId="0" borderId="21" xfId="0" applyFill="1" applyBorder="1" applyAlignment="1">
      <alignment horizontal="right"/>
    </xf>
    <xf numFmtId="0" fontId="0" fillId="0" borderId="20" xfId="0" applyFill="1" applyBorder="1" applyAlignment="1">
      <alignment horizontal="right"/>
    </xf>
    <xf numFmtId="9" fontId="0" fillId="22" borderId="24" xfId="0" applyNumberFormat="1" applyFill="1" applyBorder="1" applyAlignment="1">
      <alignment horizontal="right"/>
    </xf>
    <xf numFmtId="9" fontId="0" fillId="0" borderId="25" xfId="0" applyNumberFormat="1" applyFill="1" applyBorder="1" applyAlignment="1">
      <alignment horizontal="right"/>
    </xf>
    <xf numFmtId="170" fontId="2" fillId="0" borderId="12" xfId="43" applyNumberFormat="1" applyFill="1" applyBorder="1"/>
    <xf numFmtId="170" fontId="0" fillId="0" borderId="12" xfId="43" applyNumberFormat="1" applyFont="1" applyFill="1" applyBorder="1"/>
    <xf numFmtId="170" fontId="2" fillId="0" borderId="15" xfId="43" applyNumberFormat="1" applyFill="1" applyBorder="1"/>
    <xf numFmtId="170" fontId="2" fillId="0" borderId="16" xfId="43" applyNumberFormat="1" applyFill="1" applyBorder="1"/>
    <xf numFmtId="164" fontId="0" fillId="0" borderId="0" xfId="0" applyNumberFormat="1" applyFont="1" applyBorder="1"/>
    <xf numFmtId="0" fontId="1" fillId="0" borderId="16" xfId="0" applyFont="1" applyFill="1" applyBorder="1" applyAlignment="1">
      <alignment textRotation="90" wrapText="1"/>
    </xf>
    <xf numFmtId="0" fontId="1" fillId="0" borderId="17" xfId="0" applyFont="1" applyFill="1" applyBorder="1" applyAlignment="1">
      <alignment textRotation="90" wrapText="1"/>
    </xf>
    <xf numFmtId="0" fontId="1" fillId="0" borderId="18" xfId="0" applyFont="1" applyFill="1" applyBorder="1" applyAlignment="1">
      <alignment textRotation="90" wrapText="1"/>
    </xf>
    <xf numFmtId="164" fontId="0" fillId="0" borderId="13" xfId="0" applyNumberFormat="1" applyFont="1" applyFill="1" applyBorder="1"/>
    <xf numFmtId="164" fontId="0" fillId="0" borderId="14" xfId="0" applyNumberFormat="1" applyFont="1" applyFill="1" applyBorder="1"/>
    <xf numFmtId="1" fontId="0" fillId="0" borderId="14" xfId="0" applyNumberFormat="1" applyFill="1" applyBorder="1"/>
    <xf numFmtId="178" fontId="0" fillId="0" borderId="13" xfId="0" applyNumberFormat="1" applyFill="1" applyBorder="1"/>
    <xf numFmtId="178" fontId="0" fillId="0" borderId="14" xfId="0" applyNumberFormat="1" applyFill="1" applyBorder="1"/>
    <xf numFmtId="1" fontId="0" fillId="0" borderId="0" xfId="0" applyNumberFormat="1" applyFill="1"/>
    <xf numFmtId="1" fontId="0" fillId="0" borderId="13" xfId="0" applyNumberFormat="1" applyFill="1" applyBorder="1"/>
    <xf numFmtId="2" fontId="0" fillId="0" borderId="0" xfId="0" applyNumberFormat="1" applyFill="1"/>
    <xf numFmtId="2" fontId="0" fillId="0" borderId="14" xfId="0" applyNumberFormat="1" applyFill="1" applyBorder="1"/>
    <xf numFmtId="0" fontId="1" fillId="0" borderId="24" xfId="0" applyFont="1" applyFill="1" applyBorder="1" applyAlignment="1">
      <alignment horizontal="center" textRotation="90" wrapText="1"/>
    </xf>
    <xf numFmtId="3" fontId="0" fillId="0" borderId="26" xfId="0" applyNumberFormat="1" applyFill="1" applyBorder="1"/>
    <xf numFmtId="170" fontId="0" fillId="0" borderId="0" xfId="0" applyNumberFormat="1" applyFill="1"/>
    <xf numFmtId="3" fontId="0" fillId="22" borderId="14" xfId="0" applyNumberFormat="1" applyFont="1" applyFill="1" applyBorder="1"/>
    <xf numFmtId="164" fontId="0" fillId="0" borderId="20" xfId="0" applyNumberFormat="1" applyFont="1" applyFill="1" applyBorder="1"/>
    <xf numFmtId="170" fontId="0" fillId="0" borderId="0" xfId="0" applyNumberFormat="1" applyFont="1" applyFill="1"/>
    <xf numFmtId="164" fontId="0" fillId="0" borderId="16" xfId="0" applyNumberFormat="1" applyFont="1" applyFill="1" applyBorder="1"/>
    <xf numFmtId="164" fontId="0" fillId="0" borderId="17" xfId="0" applyNumberFormat="1" applyFont="1" applyFill="1" applyBorder="1"/>
    <xf numFmtId="1" fontId="0" fillId="0" borderId="16" xfId="0" applyNumberFormat="1" applyFont="1" applyFill="1" applyBorder="1"/>
    <xf numFmtId="1" fontId="0" fillId="0" borderId="17" xfId="0" applyNumberFormat="1" applyFont="1" applyFill="1" applyBorder="1"/>
    <xf numFmtId="10" fontId="1" fillId="0" borderId="26" xfId="0" applyNumberFormat="1" applyFont="1" applyFill="1" applyBorder="1" applyAlignment="1">
      <alignment textRotation="90" wrapText="1"/>
    </xf>
    <xf numFmtId="164" fontId="0" fillId="0" borderId="26" xfId="0" applyNumberFormat="1" applyFill="1" applyBorder="1"/>
    <xf numFmtId="3" fontId="1" fillId="0" borderId="26" xfId="0" applyNumberFormat="1" applyFont="1" applyFill="1" applyBorder="1" applyAlignment="1">
      <alignment horizontal="center" textRotation="90" wrapText="1"/>
    </xf>
    <xf numFmtId="164" fontId="0" fillId="0" borderId="12" xfId="0" applyNumberFormat="1" applyFill="1" applyBorder="1"/>
    <xf numFmtId="164" fontId="0" fillId="0" borderId="11" xfId="0" applyNumberFormat="1" applyFill="1" applyBorder="1"/>
    <xf numFmtId="164" fontId="0" fillId="0" borderId="15" xfId="0" applyNumberFormat="1" applyFill="1" applyBorder="1"/>
    <xf numFmtId="2" fontId="2" fillId="0" borderId="0" xfId="0" applyNumberFormat="1" applyFont="1" applyFill="1"/>
    <xf numFmtId="0" fontId="10" fillId="0" borderId="26" xfId="0" applyFont="1" applyFill="1" applyBorder="1" applyAlignment="1">
      <alignment horizontal="right" wrapText="1"/>
    </xf>
    <xf numFmtId="0" fontId="10" fillId="0" borderId="11" xfId="0" applyFont="1" applyBorder="1"/>
    <xf numFmtId="164" fontId="0" fillId="0" borderId="21" xfId="0" applyNumberFormat="1" applyFont="1" applyFill="1" applyBorder="1"/>
    <xf numFmtId="4" fontId="0" fillId="0" borderId="19" xfId="0" applyNumberFormat="1" applyFont="1" applyFill="1" applyBorder="1"/>
    <xf numFmtId="4" fontId="0" fillId="0" borderId="20" xfId="0" applyNumberFormat="1" applyFont="1" applyFill="1" applyBorder="1"/>
    <xf numFmtId="4" fontId="0" fillId="0" borderId="21" xfId="0" applyNumberFormat="1" applyFont="1" applyFill="1" applyBorder="1"/>
    <xf numFmtId="4" fontId="0" fillId="0" borderId="17" xfId="0" applyNumberFormat="1" applyFont="1" applyFill="1" applyBorder="1"/>
    <xf numFmtId="4" fontId="0" fillId="0" borderId="0" xfId="0" applyNumberFormat="1" applyFont="1" applyFill="1"/>
    <xf numFmtId="4" fontId="0" fillId="0" borderId="18" xfId="0" applyNumberFormat="1" applyFont="1" applyFill="1" applyBorder="1"/>
    <xf numFmtId="4" fontId="0" fillId="0" borderId="0" xfId="28" applyNumberFormat="1" applyFont="1" applyFill="1" applyBorder="1"/>
    <xf numFmtId="166" fontId="0" fillId="0" borderId="15" xfId="28" applyNumberFormat="1" applyFont="1" applyFill="1" applyBorder="1"/>
    <xf numFmtId="3" fontId="0" fillId="0" borderId="12" xfId="28" applyNumberFormat="1" applyFont="1" applyFill="1" applyBorder="1" applyAlignment="1">
      <alignment horizontal="right"/>
    </xf>
    <xf numFmtId="169" fontId="0" fillId="0" borderId="11" xfId="0" applyNumberFormat="1" applyFill="1" applyBorder="1" applyAlignment="1">
      <alignment horizontal="right"/>
    </xf>
    <xf numFmtId="9" fontId="2" fillId="22" borderId="0" xfId="0" applyNumberFormat="1" applyFont="1" applyFill="1" applyBorder="1"/>
    <xf numFmtId="9" fontId="2" fillId="0" borderId="20" xfId="43" applyFont="1" applyFill="1" applyBorder="1"/>
    <xf numFmtId="9" fontId="2" fillId="0" borderId="14" xfId="43" applyFont="1" applyFill="1" applyBorder="1"/>
    <xf numFmtId="9" fontId="0" fillId="0" borderId="13" xfId="0" applyNumberFormat="1" applyFill="1" applyBorder="1"/>
    <xf numFmtId="9" fontId="2" fillId="22" borderId="18" xfId="43" applyFont="1" applyFill="1" applyBorder="1"/>
    <xf numFmtId="0" fontId="2" fillId="22" borderId="11" xfId="0" applyFont="1" applyFill="1" applyBorder="1"/>
    <xf numFmtId="0" fontId="2" fillId="22" borderId="12" xfId="0" applyFont="1" applyFill="1" applyBorder="1"/>
    <xf numFmtId="0" fontId="2" fillId="22" borderId="15" xfId="0" applyFont="1" applyFill="1" applyBorder="1"/>
    <xf numFmtId="0" fontId="1" fillId="0" borderId="26" xfId="0" applyFont="1" applyFill="1" applyBorder="1" applyAlignment="1">
      <alignment horizontal="right" textRotation="90" wrapText="1"/>
    </xf>
    <xf numFmtId="2" fontId="2" fillId="0" borderId="11" xfId="0" applyNumberFormat="1" applyFont="1" applyFill="1" applyBorder="1"/>
    <xf numFmtId="4" fontId="2" fillId="0" borderId="15" xfId="0" applyNumberFormat="1" applyFont="1" applyFill="1" applyBorder="1"/>
    <xf numFmtId="4" fontId="2" fillId="0" borderId="0" xfId="0" applyNumberFormat="1" applyFont="1" applyFill="1" applyBorder="1"/>
    <xf numFmtId="4" fontId="2" fillId="0" borderId="16" xfId="0" applyNumberFormat="1" applyFont="1" applyFill="1" applyBorder="1"/>
    <xf numFmtId="174" fontId="2" fillId="0" borderId="13" xfId="0" applyNumberFormat="1" applyFont="1" applyFill="1" applyBorder="1"/>
    <xf numFmtId="169" fontId="0" fillId="0" borderId="20" xfId="0" applyNumberFormat="1" applyFill="1" applyBorder="1" applyAlignment="1">
      <alignment horizontal="right"/>
    </xf>
    <xf numFmtId="169" fontId="0" fillId="0" borderId="14" xfId="0" applyNumberFormat="1" applyFill="1" applyBorder="1" applyAlignment="1">
      <alignment horizontal="right"/>
    </xf>
    <xf numFmtId="169" fontId="0" fillId="0" borderId="12" xfId="0" applyNumberFormat="1" applyFill="1" applyBorder="1" applyAlignment="1">
      <alignment horizontal="right"/>
    </xf>
    <xf numFmtId="0" fontId="2" fillId="0" borderId="11" xfId="0" applyFont="1" applyFill="1" applyBorder="1" applyAlignment="1">
      <alignment textRotation="90"/>
    </xf>
    <xf numFmtId="0" fontId="1" fillId="0" borderId="11" xfId="0" applyFont="1" applyFill="1" applyBorder="1" applyAlignment="1">
      <alignment horizontal="right" textRotation="90" wrapText="1"/>
    </xf>
    <xf numFmtId="0" fontId="1" fillId="0" borderId="27" xfId="0" applyFont="1" applyFill="1" applyBorder="1" applyAlignment="1">
      <alignment textRotation="90"/>
    </xf>
    <xf numFmtId="0" fontId="1" fillId="0" borderId="26" xfId="0" applyFont="1" applyFill="1" applyBorder="1" applyAlignment="1">
      <alignment textRotation="90"/>
    </xf>
    <xf numFmtId="0" fontId="2" fillId="0" borderId="0" xfId="0" applyFont="1" applyFill="1" applyBorder="1" applyAlignment="1">
      <alignment textRotation="90"/>
    </xf>
    <xf numFmtId="0" fontId="2" fillId="0" borderId="11" xfId="0" applyFont="1" applyFill="1" applyBorder="1" applyAlignment="1">
      <alignment horizontal="right" wrapText="1"/>
    </xf>
    <xf numFmtId="0" fontId="0" fillId="0" borderId="11" xfId="0" applyFont="1" applyFill="1" applyBorder="1" applyAlignment="1">
      <alignment horizontal="right" wrapText="1"/>
    </xf>
    <xf numFmtId="169" fontId="0" fillId="0" borderId="19" xfId="0" applyNumberFormat="1" applyFont="1" applyBorder="1" applyAlignment="1">
      <alignment horizontal="right"/>
    </xf>
    <xf numFmtId="164" fontId="0" fillId="22" borderId="13" xfId="0" applyNumberFormat="1" applyFill="1" applyBorder="1" applyAlignment="1"/>
    <xf numFmtId="170" fontId="0" fillId="0" borderId="13" xfId="0" applyNumberFormat="1" applyFill="1" applyBorder="1" applyAlignment="1"/>
    <xf numFmtId="170" fontId="0" fillId="0" borderId="0" xfId="0" applyNumberFormat="1" applyFill="1" applyBorder="1" applyAlignment="1"/>
    <xf numFmtId="170" fontId="0" fillId="0" borderId="14" xfId="0" applyNumberFormat="1" applyFill="1" applyBorder="1" applyAlignment="1"/>
    <xf numFmtId="170" fontId="0" fillId="0" borderId="16" xfId="0" applyNumberFormat="1" applyFill="1" applyBorder="1" applyAlignment="1"/>
    <xf numFmtId="170" fontId="0" fillId="0" borderId="18" xfId="0" applyNumberFormat="1" applyFill="1" applyBorder="1" applyAlignment="1"/>
    <xf numFmtId="170" fontId="0" fillId="0" borderId="17" xfId="0" applyNumberFormat="1" applyFill="1" applyBorder="1" applyAlignment="1"/>
    <xf numFmtId="0" fontId="0" fillId="0" borderId="13" xfId="0" applyFill="1" applyBorder="1" applyAlignment="1"/>
    <xf numFmtId="0" fontId="0" fillId="0" borderId="0" xfId="0" applyFill="1" applyBorder="1" applyAlignment="1"/>
    <xf numFmtId="0" fontId="0" fillId="0" borderId="14" xfId="0" applyFill="1" applyBorder="1" applyAlignment="1"/>
    <xf numFmtId="169" fontId="0" fillId="0" borderId="0" xfId="0" applyNumberFormat="1" applyFill="1" applyBorder="1" applyAlignment="1"/>
    <xf numFmtId="169" fontId="0" fillId="0" borderId="14" xfId="0" applyNumberFormat="1" applyFill="1" applyBorder="1" applyAlignment="1"/>
    <xf numFmtId="3" fontId="0" fillId="0" borderId="0" xfId="0" applyNumberFormat="1" applyFill="1" applyBorder="1" applyAlignment="1"/>
    <xf numFmtId="0" fontId="1" fillId="0" borderId="19" xfId="0" applyFont="1" applyFill="1" applyBorder="1" applyAlignment="1">
      <alignment textRotation="90" wrapText="1"/>
    </xf>
    <xf numFmtId="0" fontId="1" fillId="0" borderId="20" xfId="0" applyFont="1" applyFill="1" applyBorder="1" applyAlignment="1">
      <alignment textRotation="90" wrapText="1"/>
    </xf>
    <xf numFmtId="164" fontId="0" fillId="0" borderId="11" xfId="0" applyNumberFormat="1" applyFont="1" applyBorder="1"/>
    <xf numFmtId="164" fontId="0" fillId="0" borderId="12" xfId="0" applyNumberFormat="1" applyFont="1" applyBorder="1"/>
    <xf numFmtId="164" fontId="0" fillId="24" borderId="12" xfId="0" applyNumberFormat="1" applyFont="1" applyFill="1" applyBorder="1"/>
    <xf numFmtId="164" fontId="0" fillId="24" borderId="13" xfId="0" applyNumberFormat="1" applyFont="1" applyFill="1" applyBorder="1"/>
    <xf numFmtId="164" fontId="0" fillId="24" borderId="14" xfId="0" applyNumberFormat="1" applyFont="1" applyFill="1" applyBorder="1"/>
    <xf numFmtId="164" fontId="0" fillId="0" borderId="15" xfId="0" applyNumberFormat="1" applyFont="1" applyBorder="1"/>
    <xf numFmtId="0" fontId="0" fillId="0" borderId="13" xfId="0" applyFont="1" applyBorder="1" applyAlignment="1">
      <alignment horizontal="left" indent="1"/>
    </xf>
    <xf numFmtId="0" fontId="0" fillId="0" borderId="16" xfId="0" applyFont="1" applyBorder="1" applyAlignment="1">
      <alignment horizontal="left" indent="1"/>
    </xf>
    <xf numFmtId="0" fontId="1" fillId="0" borderId="20" xfId="0" applyFont="1" applyFill="1" applyBorder="1" applyAlignment="1">
      <alignment wrapText="1"/>
    </xf>
    <xf numFmtId="0" fontId="1" fillId="0" borderId="14" xfId="0" applyFont="1" applyFill="1" applyBorder="1" applyAlignment="1">
      <alignment wrapText="1"/>
    </xf>
    <xf numFmtId="170" fontId="0" fillId="0" borderId="19" xfId="0" applyNumberFormat="1" applyFont="1" applyFill="1" applyBorder="1"/>
    <xf numFmtId="170" fontId="0" fillId="0" borderId="20" xfId="0" applyNumberFormat="1" applyFont="1" applyFill="1" applyBorder="1"/>
    <xf numFmtId="170" fontId="0" fillId="0" borderId="25" xfId="0" applyNumberFormat="1" applyFont="1" applyFill="1" applyBorder="1"/>
    <xf numFmtId="170" fontId="0" fillId="0" borderId="27" xfId="0" applyNumberFormat="1" applyFont="1" applyFill="1" applyBorder="1"/>
    <xf numFmtId="170" fontId="0" fillId="0" borderId="24" xfId="0" applyNumberFormat="1" applyFont="1" applyFill="1" applyBorder="1"/>
    <xf numFmtId="164" fontId="0" fillId="0" borderId="18" xfId="0" applyNumberFormat="1" applyFill="1" applyBorder="1"/>
    <xf numFmtId="167" fontId="0" fillId="0" borderId="21" xfId="0" applyNumberFormat="1" applyFill="1" applyBorder="1"/>
    <xf numFmtId="4" fontId="0" fillId="0" borderId="0" xfId="0" applyNumberFormat="1" applyFill="1" applyBorder="1"/>
    <xf numFmtId="4" fontId="2" fillId="0" borderId="14" xfId="0" applyNumberFormat="1" applyFont="1" applyFill="1" applyBorder="1"/>
    <xf numFmtId="0" fontId="1" fillId="0" borderId="26" xfId="0" applyFont="1" applyFill="1" applyBorder="1" applyAlignment="1">
      <alignment horizontal="right" wrapText="1"/>
    </xf>
    <xf numFmtId="164" fontId="0" fillId="0" borderId="12" xfId="0" applyNumberFormat="1" applyFont="1" applyFill="1" applyBorder="1"/>
    <xf numFmtId="164" fontId="0" fillId="0" borderId="0" xfId="0" applyNumberFormat="1" applyFont="1" applyFill="1"/>
    <xf numFmtId="164" fontId="0" fillId="0" borderId="11" xfId="0" applyNumberFormat="1" applyFont="1" applyFill="1" applyBorder="1"/>
    <xf numFmtId="164" fontId="0" fillId="0" borderId="15" xfId="0" applyNumberFormat="1" applyFont="1" applyFill="1" applyBorder="1"/>
    <xf numFmtId="0" fontId="1" fillId="0" borderId="24" xfId="0" applyFont="1" applyFill="1" applyBorder="1" applyAlignment="1">
      <alignment horizontal="centerContinuous" wrapText="1"/>
    </xf>
    <xf numFmtId="0" fontId="1" fillId="0" borderId="25" xfId="0" applyFont="1" applyFill="1" applyBorder="1" applyAlignment="1">
      <alignment horizontal="centerContinuous" wrapText="1"/>
    </xf>
    <xf numFmtId="0" fontId="1" fillId="0" borderId="19" xfId="0" applyFont="1" applyFill="1" applyBorder="1" applyAlignment="1">
      <alignment horizontal="centerContinuous" wrapText="1"/>
    </xf>
    <xf numFmtId="0" fontId="1" fillId="0" borderId="21" xfId="0" applyFont="1" applyFill="1" applyBorder="1" applyAlignment="1">
      <alignment horizontal="centerContinuous" wrapText="1"/>
    </xf>
    <xf numFmtId="0" fontId="1" fillId="0" borderId="20" xfId="0" applyFont="1" applyFill="1" applyBorder="1" applyAlignment="1">
      <alignment horizontal="centerContinuous" wrapText="1"/>
    </xf>
    <xf numFmtId="0" fontId="1" fillId="0" borderId="26" xfId="0" applyFont="1" applyFill="1" applyBorder="1" applyAlignment="1">
      <alignment horizontal="centerContinuous" wrapText="1"/>
    </xf>
    <xf numFmtId="0" fontId="1" fillId="0" borderId="11" xfId="0" applyFont="1" applyFill="1" applyBorder="1" applyAlignment="1">
      <alignment horizontal="centerContinuous" wrapText="1"/>
    </xf>
    <xf numFmtId="3" fontId="0" fillId="0" borderId="12" xfId="28" applyNumberFormat="1" applyFont="1" applyFill="1" applyBorder="1" applyAlignment="1"/>
    <xf numFmtId="169" fontId="0" fillId="0" borderId="12" xfId="28" applyNumberFormat="1" applyFont="1" applyFill="1" applyBorder="1" applyAlignment="1"/>
    <xf numFmtId="3" fontId="0" fillId="0" borderId="15" xfId="28" applyNumberFormat="1" applyFont="1" applyFill="1" applyBorder="1" applyAlignment="1"/>
    <xf numFmtId="169" fontId="0" fillId="0" borderId="11" xfId="0" applyNumberFormat="1" applyFont="1" applyBorder="1"/>
    <xf numFmtId="3" fontId="0" fillId="0" borderId="12" xfId="0" applyNumberFormat="1" applyFont="1" applyBorder="1"/>
    <xf numFmtId="3" fontId="1" fillId="0" borderId="0" xfId="0" applyNumberFormat="1" applyFont="1" applyFill="1"/>
    <xf numFmtId="3" fontId="1" fillId="0" borderId="24" xfId="0" applyNumberFormat="1" applyFont="1" applyFill="1" applyBorder="1" applyAlignment="1">
      <alignment horizontal="left"/>
    </xf>
    <xf numFmtId="0" fontId="1" fillId="0" borderId="0" xfId="0" applyFont="1" applyFill="1" applyAlignment="1">
      <alignment horizontal="right" wrapText="1"/>
    </xf>
    <xf numFmtId="3" fontId="0" fillId="0" borderId="19" xfId="0" applyNumberFormat="1" applyFill="1" applyBorder="1"/>
    <xf numFmtId="3" fontId="0" fillId="0" borderId="21" xfId="0" applyNumberFormat="1" applyFill="1" applyBorder="1"/>
    <xf numFmtId="3" fontId="0" fillId="0" borderId="20" xfId="0" applyNumberFormat="1" applyFill="1" applyBorder="1"/>
    <xf numFmtId="0" fontId="1" fillId="0" borderId="24" xfId="0" applyFont="1" applyFill="1" applyBorder="1" applyAlignment="1">
      <alignment horizontal="left"/>
    </xf>
    <xf numFmtId="3" fontId="1" fillId="0" borderId="24" xfId="0" applyNumberFormat="1" applyFont="1" applyFill="1" applyBorder="1"/>
    <xf numFmtId="3" fontId="1" fillId="0" borderId="27" xfId="0" applyNumberFormat="1" applyFont="1" applyFill="1" applyBorder="1"/>
    <xf numFmtId="4" fontId="0" fillId="0" borderId="0" xfId="0" applyNumberFormat="1" applyFill="1"/>
    <xf numFmtId="4" fontId="0" fillId="0" borderId="14" xfId="0" applyNumberFormat="1" applyFill="1" applyBorder="1"/>
    <xf numFmtId="4" fontId="0" fillId="0" borderId="18" xfId="0" applyNumberFormat="1" applyFill="1" applyBorder="1"/>
    <xf numFmtId="0" fontId="1" fillId="26" borderId="24" xfId="0" applyFont="1" applyFill="1" applyBorder="1" applyAlignment="1">
      <alignment horizontal="left"/>
    </xf>
    <xf numFmtId="0" fontId="1" fillId="26" borderId="27" xfId="0" applyFont="1" applyFill="1" applyBorder="1" applyAlignment="1">
      <alignment horizontal="center"/>
    </xf>
    <xf numFmtId="0" fontId="1" fillId="26" borderId="25" xfId="0" applyFont="1" applyFill="1" applyBorder="1" applyAlignment="1">
      <alignment horizontal="center"/>
    </xf>
    <xf numFmtId="4" fontId="0" fillId="0" borderId="17" xfId="0" applyNumberFormat="1" applyFill="1" applyBorder="1"/>
    <xf numFmtId="3" fontId="2" fillId="22" borderId="21" xfId="28" applyNumberFormat="1" applyFont="1" applyFill="1" applyBorder="1" applyAlignment="1"/>
    <xf numFmtId="3" fontId="2" fillId="22" borderId="20" xfId="28" applyNumberFormat="1" applyFont="1" applyFill="1" applyBorder="1" applyAlignment="1"/>
    <xf numFmtId="169" fontId="0" fillId="0" borderId="27" xfId="0" applyNumberFormat="1" applyFont="1" applyFill="1" applyBorder="1"/>
    <xf numFmtId="164" fontId="0" fillId="0" borderId="18" xfId="0" applyNumberFormat="1" applyFont="1" applyFill="1" applyBorder="1"/>
    <xf numFmtId="0" fontId="0" fillId="0" borderId="25" xfId="0" applyFont="1" applyFill="1" applyBorder="1" applyAlignment="1">
      <alignment horizontal="centerContinuous"/>
    </xf>
    <xf numFmtId="0" fontId="1" fillId="0" borderId="13" xfId="0" applyFont="1" applyFill="1" applyBorder="1" applyAlignment="1">
      <alignment horizontal="center"/>
    </xf>
    <xf numFmtId="0" fontId="1" fillId="0" borderId="0" xfId="0" applyFont="1" applyFill="1" applyAlignment="1">
      <alignment horizontal="center"/>
    </xf>
    <xf numFmtId="9" fontId="0" fillId="22" borderId="0" xfId="0" applyNumberFormat="1" applyFont="1" applyFill="1"/>
    <xf numFmtId="0" fontId="2" fillId="0" borderId="19" xfId="28" applyNumberFormat="1" applyFont="1" applyBorder="1" applyAlignment="1">
      <alignment horizontal="right"/>
    </xf>
    <xf numFmtId="0" fontId="2" fillId="0" borderId="21" xfId="28" applyNumberFormat="1" applyFont="1" applyBorder="1" applyAlignment="1">
      <alignment horizontal="right"/>
    </xf>
    <xf numFmtId="0" fontId="2" fillId="0" borderId="21" xfId="28" applyNumberFormat="1" applyFont="1" applyFill="1" applyBorder="1" applyAlignment="1">
      <alignment horizontal="right"/>
    </xf>
    <xf numFmtId="0" fontId="2" fillId="0" borderId="20" xfId="28" applyNumberFormat="1" applyFont="1" applyFill="1" applyBorder="1" applyAlignment="1">
      <alignment horizontal="right"/>
    </xf>
    <xf numFmtId="0" fontId="0" fillId="0" borderId="19" xfId="0" applyNumberFormat="1" applyFont="1" applyBorder="1" applyAlignment="1">
      <alignment horizontal="right"/>
    </xf>
    <xf numFmtId="3" fontId="0" fillId="0" borderId="21" xfId="0" applyNumberFormat="1" applyFont="1" applyBorder="1" applyAlignment="1"/>
    <xf numFmtId="0" fontId="0" fillId="0" borderId="21" xfId="0" applyNumberFormat="1" applyFont="1" applyBorder="1" applyAlignment="1"/>
    <xf numFmtId="3" fontId="0" fillId="0" borderId="20" xfId="0" applyNumberFormat="1" applyFont="1" applyBorder="1" applyAlignment="1"/>
    <xf numFmtId="3" fontId="0" fillId="0" borderId="12" xfId="0" applyNumberFormat="1" applyFont="1" applyBorder="1" applyAlignment="1"/>
    <xf numFmtId="3" fontId="0" fillId="0" borderId="0" xfId="0" applyNumberFormat="1" applyFont="1" applyBorder="1" applyAlignment="1"/>
    <xf numFmtId="3" fontId="0" fillId="0" borderId="14" xfId="0" applyNumberFormat="1" applyFont="1" applyBorder="1" applyAlignment="1"/>
    <xf numFmtId="0" fontId="0" fillId="0" borderId="19" xfId="0" applyNumberFormat="1" applyFont="1" applyBorder="1" applyAlignment="1"/>
    <xf numFmtId="0" fontId="0" fillId="0" borderId="20" xfId="0" applyNumberFormat="1" applyFont="1" applyBorder="1" applyAlignment="1">
      <alignment horizontal="centerContinuous"/>
    </xf>
    <xf numFmtId="169" fontId="0" fillId="19" borderId="19" xfId="0" applyNumberFormat="1" applyFont="1" applyFill="1" applyBorder="1"/>
    <xf numFmtId="169" fontId="0" fillId="19" borderId="20" xfId="0" applyNumberFormat="1" applyFont="1" applyFill="1" applyBorder="1"/>
    <xf numFmtId="169" fontId="0" fillId="0" borderId="13" xfId="0" applyNumberFormat="1" applyFont="1" applyFill="1" applyBorder="1" applyAlignment="1"/>
    <xf numFmtId="169" fontId="0" fillId="19" borderId="0" xfId="0" applyNumberFormat="1" applyFont="1" applyFill="1" applyBorder="1" applyAlignment="1"/>
    <xf numFmtId="169" fontId="0" fillId="19" borderId="14" xfId="0" applyNumberFormat="1" applyFont="1" applyFill="1" applyBorder="1" applyAlignment="1"/>
    <xf numFmtId="169" fontId="0" fillId="19" borderId="14" xfId="0" applyNumberFormat="1" applyFont="1" applyFill="1" applyBorder="1"/>
    <xf numFmtId="169" fontId="0" fillId="19" borderId="0" xfId="0" applyNumberFormat="1" applyFont="1" applyFill="1" applyBorder="1"/>
    <xf numFmtId="169" fontId="0" fillId="0" borderId="0" xfId="0" applyNumberFormat="1" applyFont="1" applyFill="1" applyBorder="1" applyAlignment="1"/>
    <xf numFmtId="169" fontId="0" fillId="0" borderId="14" xfId="0" applyNumberFormat="1" applyFont="1" applyFill="1" applyBorder="1" applyAlignment="1"/>
    <xf numFmtId="3" fontId="0" fillId="19" borderId="18" xfId="0" applyNumberFormat="1" applyFont="1" applyFill="1" applyBorder="1" applyAlignment="1"/>
    <xf numFmtId="3" fontId="0" fillId="19" borderId="17" xfId="0" applyNumberFormat="1" applyFont="1" applyFill="1" applyBorder="1" applyAlignment="1"/>
    <xf numFmtId="0" fontId="0" fillId="0" borderId="0" xfId="0" applyFont="1" applyFill="1" applyBorder="1" applyAlignment="1">
      <alignment horizontal="center"/>
    </xf>
    <xf numFmtId="3" fontId="0" fillId="19" borderId="15" xfId="0" applyNumberFormat="1" applyFont="1" applyFill="1" applyBorder="1" applyAlignment="1"/>
    <xf numFmtId="3" fontId="0" fillId="22" borderId="15" xfId="0" applyNumberFormat="1" applyFont="1" applyFill="1" applyBorder="1" applyAlignment="1"/>
    <xf numFmtId="3" fontId="0" fillId="22" borderId="16" xfId="0" applyNumberFormat="1" applyFont="1" applyFill="1" applyBorder="1" applyAlignment="1"/>
    <xf numFmtId="3" fontId="0" fillId="22" borderId="17" xfId="0" applyNumberFormat="1" applyFont="1" applyFill="1" applyBorder="1" applyAlignment="1"/>
    <xf numFmtId="3" fontId="0" fillId="22" borderId="18" xfId="0" applyNumberFormat="1" applyFont="1" applyFill="1" applyBorder="1" applyAlignment="1"/>
    <xf numFmtId="179" fontId="0" fillId="0" borderId="12" xfId="0" applyNumberFormat="1" applyFont="1" applyFill="1" applyBorder="1" applyAlignment="1">
      <alignment horizontal="center"/>
    </xf>
    <xf numFmtId="179" fontId="0" fillId="0" borderId="0" xfId="0" applyNumberFormat="1" applyFont="1" applyFill="1" applyBorder="1" applyAlignment="1">
      <alignment horizontal="center"/>
    </xf>
    <xf numFmtId="169" fontId="0" fillId="0" borderId="0" xfId="0" applyNumberFormat="1" applyFont="1" applyFill="1" applyBorder="1" applyAlignment="1">
      <alignment horizontal="center"/>
    </xf>
    <xf numFmtId="3" fontId="0" fillId="0" borderId="0" xfId="0" applyNumberFormat="1" applyFont="1" applyFill="1" applyBorder="1" applyAlignment="1">
      <alignment horizontal="center"/>
    </xf>
    <xf numFmtId="0" fontId="0" fillId="0" borderId="12" xfId="0" applyFont="1" applyFill="1" applyBorder="1" applyAlignment="1">
      <alignment horizontal="center"/>
    </xf>
    <xf numFmtId="0" fontId="0" fillId="0" borderId="12" xfId="0" applyFont="1" applyFill="1" applyBorder="1" applyAlignment="1"/>
    <xf numFmtId="170" fontId="0" fillId="19" borderId="13" xfId="0" applyNumberFormat="1" applyFont="1" applyFill="1" applyBorder="1" applyAlignment="1"/>
    <xf numFmtId="170" fontId="0" fillId="19" borderId="0" xfId="0" applyNumberFormat="1" applyFont="1" applyFill="1" applyBorder="1" applyAlignment="1"/>
    <xf numFmtId="170" fontId="0" fillId="22" borderId="0" xfId="0" applyNumberFormat="1" applyFont="1" applyFill="1" applyBorder="1" applyAlignment="1"/>
    <xf numFmtId="170" fontId="0" fillId="22" borderId="13" xfId="0" applyNumberFormat="1" applyFont="1" applyFill="1" applyBorder="1" applyAlignment="1"/>
    <xf numFmtId="170" fontId="0" fillId="0" borderId="14" xfId="0" applyNumberFormat="1" applyFont="1" applyFill="1" applyBorder="1" applyAlignment="1"/>
    <xf numFmtId="170" fontId="0" fillId="19" borderId="12" xfId="0" applyNumberFormat="1" applyFont="1" applyFill="1" applyBorder="1" applyAlignment="1"/>
    <xf numFmtId="170" fontId="0" fillId="19" borderId="14" xfId="0" applyNumberFormat="1" applyFont="1" applyFill="1" applyBorder="1" applyAlignment="1"/>
    <xf numFmtId="170" fontId="0" fillId="22" borderId="12" xfId="0" applyNumberFormat="1" applyFont="1" applyFill="1" applyBorder="1" applyAlignment="1"/>
    <xf numFmtId="170" fontId="0" fillId="22" borderId="14" xfId="0" applyNumberFormat="1" applyFont="1" applyFill="1" applyBorder="1" applyAlignment="1"/>
    <xf numFmtId="9" fontId="0" fillId="22" borderId="14" xfId="0" applyNumberFormat="1" applyFont="1" applyFill="1" applyBorder="1"/>
    <xf numFmtId="176" fontId="0" fillId="0" borderId="0" xfId="0" applyNumberFormat="1" applyFont="1" applyFill="1" applyBorder="1" applyAlignment="1">
      <alignment horizontal="center"/>
    </xf>
    <xf numFmtId="164" fontId="0" fillId="0" borderId="0" xfId="0" applyNumberFormat="1" applyFont="1" applyFill="1" applyBorder="1" applyAlignment="1">
      <alignment horizontal="center"/>
    </xf>
    <xf numFmtId="168" fontId="0" fillId="0" borderId="12" xfId="0" applyNumberFormat="1" applyFont="1" applyFill="1" applyBorder="1" applyAlignment="1">
      <alignment horizontal="center"/>
    </xf>
    <xf numFmtId="168" fontId="0" fillId="0" borderId="0" xfId="0" applyNumberFormat="1" applyFont="1" applyFill="1" applyBorder="1" applyAlignment="1">
      <alignment horizontal="center"/>
    </xf>
    <xf numFmtId="0" fontId="0" fillId="0" borderId="13" xfId="0" applyFont="1" applyFill="1" applyBorder="1" applyAlignment="1"/>
    <xf numFmtId="0" fontId="0" fillId="0" borderId="16" xfId="0" applyNumberFormat="1" applyFont="1" applyBorder="1" applyAlignment="1"/>
    <xf numFmtId="178" fontId="0" fillId="0" borderId="12" xfId="0" applyNumberFormat="1" applyFont="1" applyFill="1" applyBorder="1" applyAlignment="1">
      <alignment horizontal="center"/>
    </xf>
    <xf numFmtId="174" fontId="0" fillId="0" borderId="0" xfId="0" applyNumberFormat="1" applyFont="1" applyFill="1" applyBorder="1" applyAlignment="1">
      <alignment horizontal="center"/>
    </xf>
    <xf numFmtId="3" fontId="0" fillId="0" borderId="13" xfId="0" applyNumberFormat="1" applyFont="1" applyFill="1" applyBorder="1" applyAlignment="1">
      <alignment horizontal="center"/>
    </xf>
    <xf numFmtId="179" fontId="0" fillId="0" borderId="11" xfId="0" applyNumberFormat="1" applyFont="1" applyFill="1" applyBorder="1" applyAlignment="1">
      <alignment horizontal="center"/>
    </xf>
    <xf numFmtId="169" fontId="0" fillId="0" borderId="21" xfId="0" applyNumberFormat="1" applyFont="1" applyFill="1" applyBorder="1" applyAlignment="1">
      <alignment horizontal="center"/>
    </xf>
    <xf numFmtId="3" fontId="0" fillId="0" borderId="21" xfId="0" applyNumberFormat="1" applyFont="1" applyFill="1" applyBorder="1" applyAlignment="1">
      <alignment horizontal="center"/>
    </xf>
    <xf numFmtId="169" fontId="0" fillId="0" borderId="11" xfId="0" applyNumberFormat="1" applyFont="1" applyFill="1" applyBorder="1" applyAlignment="1">
      <alignment horizontal="center"/>
    </xf>
    <xf numFmtId="3" fontId="0" fillId="0" borderId="19" xfId="0" applyNumberFormat="1" applyFont="1" applyFill="1" applyBorder="1" applyAlignment="1">
      <alignment horizontal="center"/>
    </xf>
    <xf numFmtId="3" fontId="0" fillId="0" borderId="12" xfId="0" applyNumberFormat="1" applyFont="1" applyFill="1" applyBorder="1" applyAlignment="1"/>
    <xf numFmtId="3" fontId="0" fillId="0" borderId="13" xfId="0" applyNumberFormat="1" applyFont="1" applyBorder="1" applyAlignment="1"/>
    <xf numFmtId="3" fontId="0" fillId="0" borderId="14" xfId="0" applyNumberFormat="1" applyFont="1" applyFill="1" applyBorder="1" applyAlignment="1"/>
    <xf numFmtId="3" fontId="0" fillId="0" borderId="13" xfId="0" applyNumberFormat="1" applyFont="1" applyFill="1" applyBorder="1" applyAlignment="1"/>
    <xf numFmtId="3" fontId="0" fillId="0" borderId="13" xfId="0" applyNumberFormat="1" applyFont="1" applyBorder="1"/>
    <xf numFmtId="3" fontId="0" fillId="0" borderId="18" xfId="0" applyNumberFormat="1" applyFont="1" applyFill="1" applyBorder="1" applyAlignment="1"/>
    <xf numFmtId="3" fontId="0" fillId="0" borderId="16" xfId="0" applyNumberFormat="1" applyFont="1" applyBorder="1" applyAlignment="1"/>
    <xf numFmtId="3" fontId="0" fillId="0" borderId="17" xfId="0" applyNumberFormat="1" applyFont="1" applyFill="1" applyBorder="1" applyAlignment="1"/>
    <xf numFmtId="3" fontId="0" fillId="0" borderId="18" xfId="0" applyNumberFormat="1" applyFont="1" applyBorder="1" applyAlignment="1"/>
    <xf numFmtId="181" fontId="0" fillId="0" borderId="12" xfId="0" applyNumberFormat="1" applyFont="1" applyFill="1" applyBorder="1" applyAlignment="1">
      <alignment horizontal="center"/>
    </xf>
    <xf numFmtId="180" fontId="0" fillId="0" borderId="12" xfId="0" applyNumberFormat="1" applyFont="1" applyFill="1" applyBorder="1" applyAlignment="1">
      <alignment horizontal="center"/>
    </xf>
    <xf numFmtId="169" fontId="0" fillId="0" borderId="26" xfId="0" applyNumberFormat="1" applyFont="1" applyFill="1" applyBorder="1" applyAlignment="1"/>
    <xf numFmtId="169" fontId="0" fillId="0" borderId="27" xfId="0" applyNumberFormat="1" applyFont="1" applyFill="1" applyBorder="1" applyAlignment="1"/>
    <xf numFmtId="169" fontId="0" fillId="0" borderId="24" xfId="0" applyNumberFormat="1" applyFont="1" applyFill="1" applyBorder="1" applyAlignment="1"/>
    <xf numFmtId="169" fontId="0" fillId="0" borderId="25" xfId="0" applyNumberFormat="1" applyFont="1" applyFill="1" applyBorder="1" applyAlignment="1"/>
    <xf numFmtId="169" fontId="0" fillId="0" borderId="12" xfId="0" applyNumberFormat="1" applyFont="1" applyBorder="1" applyAlignment="1"/>
    <xf numFmtId="169" fontId="0" fillId="0" borderId="0" xfId="0" applyNumberFormat="1" applyFont="1" applyBorder="1" applyAlignment="1"/>
    <xf numFmtId="169" fontId="0" fillId="0" borderId="13" xfId="0" applyNumberFormat="1" applyFont="1" applyBorder="1" applyAlignment="1"/>
    <xf numFmtId="169" fontId="0" fillId="0" borderId="14" xfId="0" applyNumberFormat="1" applyFont="1" applyBorder="1" applyAlignment="1"/>
    <xf numFmtId="169" fontId="0" fillId="0" borderId="12" xfId="0" applyNumberFormat="1" applyFont="1" applyFill="1" applyBorder="1" applyAlignment="1"/>
    <xf numFmtId="3" fontId="0" fillId="0" borderId="15" xfId="0" applyNumberFormat="1" applyFont="1" applyBorder="1" applyAlignment="1"/>
    <xf numFmtId="3" fontId="0" fillId="0" borderId="17" xfId="0" applyNumberFormat="1" applyFont="1" applyBorder="1" applyAlignment="1"/>
    <xf numFmtId="0" fontId="2" fillId="0" borderId="24" xfId="0" applyFont="1" applyFill="1" applyBorder="1" applyAlignment="1">
      <alignment horizontal="center" vertical="center" wrapText="1"/>
    </xf>
    <xf numFmtId="0" fontId="2" fillId="0" borderId="27" xfId="0" applyFont="1" applyFill="1" applyBorder="1" applyAlignment="1">
      <alignment horizontal="center" vertical="center" wrapText="1"/>
    </xf>
    <xf numFmtId="0" fontId="0" fillId="0" borderId="27" xfId="0" applyFill="1" applyBorder="1" applyAlignment="1">
      <alignment horizontal="center" vertical="center" wrapText="1"/>
    </xf>
    <xf numFmtId="0" fontId="2" fillId="0" borderId="25" xfId="0" applyFont="1" applyFill="1" applyBorder="1" applyAlignment="1">
      <alignment horizontal="center" vertical="center" wrapText="1"/>
    </xf>
    <xf numFmtId="174" fontId="0" fillId="0" borderId="24" xfId="0" applyNumberFormat="1" applyFill="1" applyBorder="1" applyAlignment="1">
      <alignment horizontal="center" vertical="center"/>
    </xf>
    <xf numFmtId="174" fontId="0" fillId="0" borderId="27" xfId="0" applyNumberFormat="1" applyFill="1" applyBorder="1" applyAlignment="1">
      <alignment horizontal="center" vertical="center"/>
    </xf>
    <xf numFmtId="174" fontId="0" fillId="0" borderId="25" xfId="0" applyNumberFormat="1" applyFill="1" applyBorder="1" applyAlignment="1">
      <alignment horizontal="center" vertical="center"/>
    </xf>
    <xf numFmtId="0" fontId="2" fillId="0" borderId="20" xfId="0" applyFont="1" applyFill="1" applyBorder="1" applyAlignment="1">
      <alignment horizontal="center" vertical="center" wrapText="1"/>
    </xf>
    <xf numFmtId="3" fontId="0" fillId="0" borderId="24" xfId="0" applyNumberFormat="1" applyFill="1" applyBorder="1" applyAlignment="1">
      <alignment horizontal="center" vertical="center"/>
    </xf>
    <xf numFmtId="3" fontId="0" fillId="0" borderId="27" xfId="0" applyNumberFormat="1" applyFill="1" applyBorder="1" applyAlignment="1">
      <alignment horizontal="center" vertical="center"/>
    </xf>
    <xf numFmtId="3" fontId="0" fillId="0" borderId="25" xfId="0" applyNumberFormat="1" applyFill="1" applyBorder="1" applyAlignment="1">
      <alignment horizontal="center" vertical="center"/>
    </xf>
    <xf numFmtId="0" fontId="0" fillId="0" borderId="0" xfId="0" applyFill="1" applyAlignment="1">
      <alignment horizontal="left" indent="1"/>
    </xf>
    <xf numFmtId="0" fontId="0" fillId="0" borderId="15" xfId="0" applyFill="1" applyBorder="1" applyAlignment="1">
      <alignment horizontal="left" indent="1"/>
    </xf>
    <xf numFmtId="1" fontId="0" fillId="22" borderId="24" xfId="0" applyNumberFormat="1" applyFill="1" applyBorder="1"/>
    <xf numFmtId="1" fontId="0" fillId="22" borderId="27" xfId="0" applyNumberFormat="1" applyFill="1" applyBorder="1"/>
    <xf numFmtId="1" fontId="0" fillId="22" borderId="25" xfId="0" applyNumberFormat="1" applyFill="1" applyBorder="1"/>
    <xf numFmtId="2" fontId="0" fillId="0" borderId="27" xfId="0" applyNumberFormat="1" applyFill="1" applyBorder="1"/>
    <xf numFmtId="2" fontId="0" fillId="0" borderId="25" xfId="0" applyNumberFormat="1" applyFill="1" applyBorder="1"/>
    <xf numFmtId="4" fontId="0" fillId="0" borderId="27" xfId="0" applyNumberFormat="1" applyFill="1" applyBorder="1"/>
    <xf numFmtId="4" fontId="0" fillId="0" borderId="25" xfId="0" applyNumberFormat="1" applyFill="1" applyBorder="1"/>
    <xf numFmtId="169" fontId="2" fillId="0" borderId="20" xfId="0" applyNumberFormat="1" applyFont="1" applyFill="1" applyBorder="1" applyAlignment="1">
      <alignment horizontal="center" vertical="center" wrapText="1"/>
    </xf>
    <xf numFmtId="3" fontId="2" fillId="0" borderId="17" xfId="28" applyNumberFormat="1" applyFont="1" applyFill="1" applyBorder="1" applyAlignment="1">
      <alignment horizontal="center" vertical="center" wrapText="1"/>
    </xf>
    <xf numFmtId="169" fontId="2" fillId="25" borderId="20" xfId="0" applyNumberFormat="1" applyFont="1" applyFill="1" applyBorder="1" applyAlignment="1">
      <alignment horizontal="right" vertical="center" wrapText="1"/>
    </xf>
    <xf numFmtId="169" fontId="2" fillId="25" borderId="21" xfId="0" applyNumberFormat="1" applyFont="1" applyFill="1" applyBorder="1" applyAlignment="1">
      <alignment horizontal="right" vertical="center" wrapText="1"/>
    </xf>
    <xf numFmtId="169" fontId="2" fillId="25" borderId="19" xfId="0" applyNumberFormat="1" applyFont="1" applyFill="1" applyBorder="1" applyAlignment="1">
      <alignment horizontal="right" vertical="center" wrapText="1"/>
    </xf>
    <xf numFmtId="169" fontId="2" fillId="25" borderId="14" xfId="0" applyNumberFormat="1" applyFont="1" applyFill="1" applyBorder="1" applyAlignment="1">
      <alignment horizontal="right" vertical="center" wrapText="1"/>
    </xf>
    <xf numFmtId="169" fontId="2" fillId="25" borderId="0" xfId="0" applyNumberFormat="1" applyFont="1" applyFill="1" applyAlignment="1">
      <alignment horizontal="right" vertical="center" wrapText="1"/>
    </xf>
    <xf numFmtId="169" fontId="2" fillId="25" borderId="13" xfId="0" applyNumberFormat="1" applyFont="1" applyFill="1" applyBorder="1" applyAlignment="1">
      <alignment horizontal="right" vertical="center" wrapText="1"/>
    </xf>
    <xf numFmtId="3" fontId="0" fillId="25" borderId="17" xfId="0" applyNumberFormat="1" applyFill="1" applyBorder="1" applyAlignment="1">
      <alignment horizontal="right" vertical="center" wrapText="1"/>
    </xf>
    <xf numFmtId="3" fontId="0" fillId="25" borderId="0" xfId="0" applyNumberFormat="1" applyFill="1" applyAlignment="1">
      <alignment horizontal="right" vertical="center" wrapText="1"/>
    </xf>
    <xf numFmtId="3" fontId="2" fillId="25" borderId="16" xfId="0" applyNumberFormat="1" applyFont="1" applyFill="1" applyBorder="1" applyAlignment="1">
      <alignment horizontal="right" vertical="center" wrapText="1"/>
    </xf>
    <xf numFmtId="169" fontId="2" fillId="25" borderId="16" xfId="0" applyNumberFormat="1" applyFont="1" applyFill="1" applyBorder="1" applyAlignment="1">
      <alignment horizontal="right" vertical="center" wrapText="1"/>
    </xf>
    <xf numFmtId="3" fontId="0" fillId="25" borderId="16" xfId="0" applyNumberFormat="1" applyFill="1" applyBorder="1" applyAlignment="1">
      <alignment horizontal="right" vertical="center" wrapText="1"/>
    </xf>
    <xf numFmtId="3" fontId="0" fillId="0" borderId="13" xfId="0" applyNumberFormat="1" applyFont="1" applyFill="1" applyBorder="1" applyAlignment="1">
      <alignment horizontal="right"/>
    </xf>
    <xf numFmtId="3" fontId="2" fillId="25" borderId="17" xfId="28" applyNumberFormat="1" applyFont="1" applyFill="1" applyBorder="1" applyAlignment="1">
      <alignment horizontal="right" vertical="center" wrapText="1"/>
    </xf>
    <xf numFmtId="3" fontId="2" fillId="25" borderId="18" xfId="28" applyNumberFormat="1" applyFont="1" applyFill="1" applyBorder="1" applyAlignment="1">
      <alignment horizontal="right" vertical="center" wrapText="1"/>
    </xf>
    <xf numFmtId="3" fontId="2" fillId="25" borderId="13" xfId="0" applyNumberFormat="1" applyFont="1" applyFill="1" applyBorder="1" applyAlignment="1">
      <alignment horizontal="right" vertical="center" wrapText="1"/>
    </xf>
    <xf numFmtId="3" fontId="2" fillId="25" borderId="0" xfId="0" applyNumberFormat="1" applyFont="1" applyFill="1" applyAlignment="1">
      <alignment horizontal="right" vertical="center" wrapText="1"/>
    </xf>
    <xf numFmtId="3" fontId="2" fillId="25" borderId="17" xfId="0" applyNumberFormat="1" applyFont="1" applyFill="1" applyBorder="1" applyAlignment="1">
      <alignment horizontal="right" vertical="center" wrapText="1"/>
    </xf>
    <xf numFmtId="169" fontId="2" fillId="25" borderId="20" xfId="28" applyNumberFormat="1" applyFont="1" applyFill="1" applyBorder="1" applyAlignment="1">
      <alignment horizontal="right" vertical="center" wrapText="1"/>
    </xf>
    <xf numFmtId="169" fontId="2" fillId="25" borderId="0" xfId="28" applyNumberFormat="1" applyFont="1" applyFill="1" applyBorder="1" applyAlignment="1">
      <alignment horizontal="right" vertical="center" wrapText="1"/>
    </xf>
    <xf numFmtId="169" fontId="2" fillId="25" borderId="13" xfId="28" applyNumberFormat="1" applyFont="1" applyFill="1" applyBorder="1" applyAlignment="1">
      <alignment horizontal="right" vertical="center" wrapText="1"/>
    </xf>
    <xf numFmtId="169" fontId="2" fillId="25" borderId="14" xfId="28" applyNumberFormat="1" applyFont="1" applyFill="1" applyBorder="1" applyAlignment="1">
      <alignment horizontal="right" vertical="center" wrapText="1"/>
    </xf>
    <xf numFmtId="169" fontId="0" fillId="0" borderId="16" xfId="0" applyNumberFormat="1" applyFont="1" applyFill="1" applyBorder="1" applyAlignment="1">
      <alignment horizontal="right"/>
    </xf>
    <xf numFmtId="169" fontId="2" fillId="25" borderId="17" xfId="28" applyNumberFormat="1" applyFont="1" applyFill="1" applyBorder="1" applyAlignment="1">
      <alignment horizontal="right" vertical="center" wrapText="1"/>
    </xf>
    <xf numFmtId="169" fontId="2" fillId="25" borderId="18" xfId="0" applyNumberFormat="1" applyFont="1" applyFill="1" applyBorder="1" applyAlignment="1">
      <alignment horizontal="right" vertical="center" wrapText="1"/>
    </xf>
    <xf numFmtId="169" fontId="2" fillId="25" borderId="18" xfId="28" applyNumberFormat="1" applyFont="1" applyFill="1" applyBorder="1" applyAlignment="1">
      <alignment horizontal="right" vertical="center" wrapText="1"/>
    </xf>
    <xf numFmtId="169" fontId="1" fillId="0" borderId="21" xfId="0" applyNumberFormat="1" applyFont="1" applyFill="1" applyBorder="1" applyAlignment="1">
      <alignment horizontal="center" vertical="center" wrapText="1"/>
    </xf>
    <xf numFmtId="169" fontId="2" fillId="0" borderId="21" xfId="0" applyNumberFormat="1" applyFont="1" applyFill="1" applyBorder="1" applyAlignment="1">
      <alignment horizontal="center" vertical="center" wrapText="1"/>
    </xf>
    <xf numFmtId="3" fontId="2" fillId="0" borderId="0" xfId="28" applyNumberFormat="1" applyFont="1" applyFill="1" applyBorder="1" applyAlignment="1">
      <alignment horizontal="center" vertical="center" wrapText="1"/>
    </xf>
    <xf numFmtId="3" fontId="2" fillId="0" borderId="14" xfId="28" applyNumberFormat="1" applyFont="1" applyFill="1" applyBorder="1" applyAlignment="1">
      <alignment horizontal="center" vertical="center" wrapText="1"/>
    </xf>
    <xf numFmtId="3" fontId="2" fillId="0" borderId="18" xfId="28" applyNumberFormat="1" applyFont="1" applyFill="1" applyBorder="1" applyAlignment="1">
      <alignment horizontal="center" vertical="center" wrapText="1"/>
    </xf>
    <xf numFmtId="3" fontId="2" fillId="0" borderId="21" xfId="28" applyNumberFormat="1" applyFont="1" applyFill="1" applyBorder="1" applyAlignment="1">
      <alignment horizontal="center" vertical="center" wrapText="1"/>
    </xf>
    <xf numFmtId="3" fontId="2" fillId="0" borderId="20" xfId="28" applyNumberFormat="1" applyFont="1" applyFill="1" applyBorder="1" applyAlignment="1">
      <alignment horizontal="center" vertical="center" wrapText="1"/>
    </xf>
    <xf numFmtId="0" fontId="0" fillId="0" borderId="0" xfId="0" applyFont="1" applyFill="1" applyAlignment="1">
      <alignment wrapText="1"/>
    </xf>
    <xf numFmtId="0" fontId="0" fillId="0" borderId="16" xfId="0" applyFill="1" applyBorder="1" applyAlignment="1">
      <alignment horizontal="left" indent="1"/>
    </xf>
    <xf numFmtId="165" fontId="2" fillId="0" borderId="18" xfId="0" applyNumberFormat="1" applyFont="1" applyFill="1" applyBorder="1" applyAlignment="1">
      <alignment horizontal="center" vertical="center"/>
    </xf>
    <xf numFmtId="165" fontId="2" fillId="0" borderId="17" xfId="0" applyNumberFormat="1" applyFont="1" applyFill="1" applyBorder="1" applyAlignment="1">
      <alignment horizontal="center" vertical="center"/>
    </xf>
    <xf numFmtId="3" fontId="2" fillId="0" borderId="27" xfId="0" applyNumberFormat="1" applyFont="1" applyFill="1" applyBorder="1" applyAlignment="1">
      <alignment horizontal="center" vertical="center"/>
    </xf>
    <xf numFmtId="3" fontId="2" fillId="0" borderId="25" xfId="0" applyNumberFormat="1" applyFont="1" applyFill="1" applyBorder="1" applyAlignment="1">
      <alignment horizontal="center" vertical="center"/>
    </xf>
    <xf numFmtId="170" fontId="2" fillId="0" borderId="18" xfId="43" applyNumberFormat="1" applyFont="1" applyFill="1" applyBorder="1" applyAlignment="1">
      <alignment horizontal="center" vertical="center"/>
    </xf>
    <xf numFmtId="170" fontId="2" fillId="0" borderId="17" xfId="43" applyNumberFormat="1" applyFont="1" applyFill="1" applyBorder="1" applyAlignment="1">
      <alignment horizontal="center" vertical="center"/>
    </xf>
    <xf numFmtId="0" fontId="1" fillId="0" borderId="27" xfId="0" applyFont="1" applyFill="1" applyBorder="1" applyAlignment="1">
      <alignment horizontal="center" vertical="center" textRotation="90" wrapText="1"/>
    </xf>
    <xf numFmtId="0" fontId="1" fillId="0" borderId="24" xfId="0" applyFont="1" applyFill="1" applyBorder="1" applyAlignment="1">
      <alignment horizontal="center" vertical="center" textRotation="90" wrapText="1"/>
    </xf>
    <xf numFmtId="0" fontId="1" fillId="0" borderId="25" xfId="0" applyFont="1" applyFill="1" applyBorder="1" applyAlignment="1">
      <alignment horizontal="center" vertical="center" textRotation="90" wrapText="1"/>
    </xf>
    <xf numFmtId="0" fontId="2" fillId="0" borderId="0" xfId="0" applyFont="1" applyFill="1" applyAlignment="1">
      <alignment horizontal="center" vertical="center" wrapText="1"/>
    </xf>
    <xf numFmtId="170" fontId="2" fillId="0" borderId="0" xfId="43" applyNumberFormat="1" applyFont="1" applyFill="1" applyBorder="1" applyAlignment="1">
      <alignment horizontal="center" vertical="center" wrapText="1"/>
    </xf>
    <xf numFmtId="170" fontId="2" fillId="0" borderId="18" xfId="43" applyNumberFormat="1" applyFont="1" applyFill="1" applyBorder="1" applyAlignment="1">
      <alignment horizontal="center" vertical="center" wrapText="1"/>
    </xf>
    <xf numFmtId="169" fontId="2" fillId="0" borderId="0" xfId="0" applyNumberFormat="1" applyFont="1" applyFill="1" applyAlignment="1">
      <alignment horizontal="center" vertical="center" wrapText="1"/>
    </xf>
    <xf numFmtId="0" fontId="2" fillId="25" borderId="0" xfId="0" applyFont="1" applyFill="1" applyBorder="1" applyAlignment="1">
      <alignment horizontal="center" vertical="center" wrapText="1"/>
    </xf>
    <xf numFmtId="3" fontId="0" fillId="0" borderId="14" xfId="0" applyNumberFormat="1" applyFill="1" applyBorder="1" applyAlignment="1">
      <alignment horizontal="right"/>
    </xf>
    <xf numFmtId="3" fontId="0" fillId="25" borderId="13" xfId="0" applyNumberFormat="1" applyFill="1" applyBorder="1" applyAlignment="1">
      <alignment horizontal="right" vertical="center" wrapText="1"/>
    </xf>
    <xf numFmtId="3" fontId="2" fillId="0" borderId="17" xfId="28" applyNumberFormat="1" applyFont="1" applyFill="1" applyBorder="1" applyAlignment="1">
      <alignment horizontal="right"/>
    </xf>
    <xf numFmtId="169" fontId="2" fillId="0" borderId="14" xfId="28" applyNumberFormat="1" applyFont="1" applyFill="1" applyBorder="1" applyAlignment="1">
      <alignment horizontal="right"/>
    </xf>
    <xf numFmtId="169" fontId="2" fillId="0" borderId="17" xfId="28" applyNumberFormat="1" applyFont="1" applyFill="1" applyBorder="1" applyAlignment="1">
      <alignment horizontal="right"/>
    </xf>
    <xf numFmtId="169" fontId="0" fillId="0" borderId="0" xfId="0" applyNumberFormat="1" applyFont="1" applyFill="1" applyBorder="1" applyAlignment="1">
      <alignment horizontal="right"/>
    </xf>
    <xf numFmtId="169" fontId="0" fillId="0" borderId="18" xfId="0" applyNumberFormat="1" applyFont="1" applyFill="1" applyBorder="1" applyAlignment="1">
      <alignment horizontal="right"/>
    </xf>
    <xf numFmtId="0" fontId="1" fillId="25" borderId="11" xfId="0" applyFont="1" applyFill="1" applyBorder="1" applyAlignment="1">
      <alignment wrapText="1"/>
    </xf>
    <xf numFmtId="0" fontId="1" fillId="25" borderId="12" xfId="0" applyFont="1" applyFill="1" applyBorder="1"/>
    <xf numFmtId="169" fontId="0" fillId="25" borderId="15" xfId="0" applyNumberFormat="1" applyFill="1" applyBorder="1"/>
    <xf numFmtId="169" fontId="1" fillId="0" borderId="25" xfId="0" applyNumberFormat="1" applyFont="1" applyFill="1" applyBorder="1" applyAlignment="1">
      <alignment horizontal="center" vertical="center"/>
    </xf>
    <xf numFmtId="3" fontId="2" fillId="0" borderId="25" xfId="28" applyNumberFormat="1" applyFont="1" applyFill="1" applyBorder="1" applyAlignment="1">
      <alignment horizontal="center" vertical="center" wrapText="1"/>
    </xf>
    <xf numFmtId="169" fontId="1" fillId="25" borderId="13" xfId="0" applyNumberFormat="1" applyFont="1" applyFill="1" applyBorder="1" applyAlignment="1">
      <alignment horizontal="right" vertical="center" wrapText="1"/>
    </xf>
    <xf numFmtId="169" fontId="1" fillId="25" borderId="20" xfId="0" applyNumberFormat="1" applyFont="1" applyFill="1" applyBorder="1" applyAlignment="1">
      <alignment horizontal="right" vertical="center" wrapText="1"/>
    </xf>
    <xf numFmtId="169" fontId="1" fillId="25" borderId="0" xfId="0" applyNumberFormat="1" applyFont="1" applyFill="1" applyAlignment="1">
      <alignment horizontal="right" vertical="center" wrapText="1"/>
    </xf>
    <xf numFmtId="169" fontId="2" fillId="25" borderId="17" xfId="0" applyNumberFormat="1" applyFont="1" applyFill="1" applyBorder="1" applyAlignment="1">
      <alignment horizontal="right" vertical="center" wrapText="1"/>
    </xf>
    <xf numFmtId="169" fontId="2" fillId="25" borderId="24" xfId="0" applyNumberFormat="1" applyFont="1" applyFill="1" applyBorder="1" applyAlignment="1">
      <alignment horizontal="right" vertical="center" wrapText="1"/>
    </xf>
    <xf numFmtId="169" fontId="2" fillId="25" borderId="25" xfId="0" applyNumberFormat="1" applyFont="1" applyFill="1" applyBorder="1" applyAlignment="1">
      <alignment horizontal="right" vertical="center" wrapText="1"/>
    </xf>
    <xf numFmtId="169" fontId="2" fillId="25" borderId="27" xfId="0" applyNumberFormat="1" applyFont="1" applyFill="1" applyBorder="1" applyAlignment="1">
      <alignment horizontal="right" vertical="center" wrapText="1"/>
    </xf>
    <xf numFmtId="169" fontId="2" fillId="25" borderId="27" xfId="0" applyNumberFormat="1" applyFont="1" applyFill="1" applyBorder="1" applyAlignment="1">
      <alignment horizontal="right" vertical="center"/>
    </xf>
    <xf numFmtId="169" fontId="1" fillId="25" borderId="14" xfId="0" applyNumberFormat="1" applyFont="1" applyFill="1" applyBorder="1" applyAlignment="1">
      <alignment horizontal="right" vertical="center" wrapText="1"/>
    </xf>
    <xf numFmtId="3" fontId="2" fillId="25" borderId="13" xfId="28" applyNumberFormat="1" applyFont="1" applyFill="1" applyBorder="1" applyAlignment="1">
      <alignment horizontal="right" vertical="center" wrapText="1"/>
    </xf>
    <xf numFmtId="3" fontId="2" fillId="25" borderId="14" xfId="28" applyNumberFormat="1" applyFont="1" applyFill="1" applyBorder="1" applyAlignment="1">
      <alignment horizontal="right" vertical="center" wrapText="1"/>
    </xf>
    <xf numFmtId="3" fontId="2" fillId="25" borderId="14" xfId="0" applyNumberFormat="1" applyFont="1" applyFill="1" applyBorder="1" applyAlignment="1">
      <alignment horizontal="right" vertical="center" wrapText="1"/>
    </xf>
    <xf numFmtId="3" fontId="2" fillId="25" borderId="0" xfId="28" applyNumberFormat="1" applyFont="1" applyFill="1" applyBorder="1" applyAlignment="1">
      <alignment horizontal="right" vertical="center" wrapText="1"/>
    </xf>
    <xf numFmtId="3" fontId="2" fillId="25" borderId="0" xfId="28" applyNumberFormat="1" applyFont="1" applyFill="1" applyBorder="1" applyAlignment="1">
      <alignment horizontal="right" vertical="center"/>
    </xf>
    <xf numFmtId="3" fontId="2" fillId="25" borderId="14" xfId="28" applyNumberFormat="1" applyFont="1" applyFill="1" applyBorder="1" applyAlignment="1">
      <alignment horizontal="right" vertical="center"/>
    </xf>
    <xf numFmtId="3" fontId="0" fillId="25" borderId="14" xfId="0" applyNumberFormat="1" applyFill="1" applyBorder="1" applyAlignment="1">
      <alignment horizontal="right" vertical="center" wrapText="1"/>
    </xf>
    <xf numFmtId="3" fontId="0" fillId="25" borderId="16" xfId="0" applyNumberFormat="1" applyFill="1" applyBorder="1" applyAlignment="1">
      <alignment horizontal="right" vertical="center"/>
    </xf>
    <xf numFmtId="3" fontId="0" fillId="25" borderId="17" xfId="0" applyNumberFormat="1" applyFill="1" applyBorder="1" applyAlignment="1">
      <alignment horizontal="right" vertical="center"/>
    </xf>
    <xf numFmtId="3" fontId="0" fillId="25" borderId="18" xfId="0" applyNumberFormat="1" applyFill="1" applyBorder="1" applyAlignment="1">
      <alignment horizontal="right" vertical="center"/>
    </xf>
    <xf numFmtId="169" fontId="1" fillId="25" borderId="19" xfId="0" applyNumberFormat="1" applyFont="1" applyFill="1" applyBorder="1" applyAlignment="1">
      <alignment horizontal="right" vertical="center" wrapText="1"/>
    </xf>
    <xf numFmtId="169" fontId="2" fillId="0" borderId="0" xfId="0" applyNumberFormat="1" applyFont="1" applyFill="1" applyAlignment="1">
      <alignment horizontal="right" wrapText="1"/>
    </xf>
    <xf numFmtId="0" fontId="2" fillId="25" borderId="12" xfId="0" applyFont="1" applyFill="1" applyBorder="1" applyAlignment="1">
      <alignment horizontal="left" indent="1"/>
    </xf>
    <xf numFmtId="0" fontId="2" fillId="25" borderId="15" xfId="0" applyFont="1" applyFill="1" applyBorder="1" applyAlignment="1">
      <alignment horizontal="left" indent="1"/>
    </xf>
    <xf numFmtId="170" fontId="2" fillId="0" borderId="0" xfId="0" applyNumberFormat="1" applyFont="1" applyFill="1" applyAlignment="1">
      <alignment horizontal="right"/>
    </xf>
    <xf numFmtId="0" fontId="2" fillId="0" borderId="0" xfId="0" applyFont="1" applyFill="1" applyAlignment="1">
      <alignment horizontal="right"/>
    </xf>
    <xf numFmtId="0" fontId="2" fillId="0" borderId="26" xfId="0" applyFont="1" applyFill="1" applyBorder="1" applyAlignment="1">
      <alignment horizontal="right"/>
    </xf>
    <xf numFmtId="170" fontId="2" fillId="0" borderId="26" xfId="0" applyNumberFormat="1" applyFont="1" applyFill="1" applyBorder="1"/>
    <xf numFmtId="165" fontId="0" fillId="0" borderId="27" xfId="0" applyNumberFormat="1" applyFill="1" applyBorder="1" applyAlignment="1">
      <alignment horizontal="center" vertical="center"/>
    </xf>
    <xf numFmtId="0" fontId="1" fillId="0" borderId="24" xfId="0" applyFont="1" applyFill="1" applyBorder="1" applyAlignment="1">
      <alignment horizontal="left" wrapText="1"/>
    </xf>
    <xf numFmtId="0" fontId="1" fillId="0" borderId="27" xfId="0" applyFont="1" applyFill="1" applyBorder="1" applyAlignment="1">
      <alignment horizontal="left" wrapText="1"/>
    </xf>
    <xf numFmtId="0" fontId="1" fillId="0" borderId="25" xfId="0" applyFont="1" applyFill="1" applyBorder="1" applyAlignment="1">
      <alignment horizontal="left" wrapText="1"/>
    </xf>
    <xf numFmtId="0" fontId="1" fillId="0" borderId="19" xfId="0" applyFont="1" applyFill="1" applyBorder="1" applyAlignment="1">
      <alignment horizontal="left" wrapText="1"/>
    </xf>
    <xf numFmtId="0" fontId="1" fillId="0" borderId="21" xfId="0" applyFont="1" applyFill="1" applyBorder="1" applyAlignment="1">
      <alignment horizontal="left" wrapText="1"/>
    </xf>
    <xf numFmtId="0" fontId="1" fillId="0" borderId="20" xfId="0" applyFont="1" applyFill="1" applyBorder="1" applyAlignment="1">
      <alignment horizontal="left" wrapText="1"/>
    </xf>
    <xf numFmtId="9" fontId="0" fillId="0" borderId="13" xfId="43" applyFont="1" applyFill="1" applyBorder="1"/>
    <xf numFmtId="9" fontId="0" fillId="0" borderId="16" xfId="43" applyFont="1" applyFill="1" applyBorder="1"/>
    <xf numFmtId="164" fontId="0" fillId="0" borderId="21" xfId="0" applyNumberFormat="1" applyFill="1" applyBorder="1"/>
    <xf numFmtId="3" fontId="2" fillId="0" borderId="19" xfId="28" applyNumberFormat="1" applyFont="1" applyFill="1" applyBorder="1"/>
    <xf numFmtId="3" fontId="2" fillId="0" borderId="21" xfId="28" applyNumberFormat="1" applyFont="1" applyFill="1" applyBorder="1"/>
    <xf numFmtId="3" fontId="2" fillId="0" borderId="20" xfId="28" applyNumberFormat="1" applyFont="1" applyFill="1" applyBorder="1"/>
    <xf numFmtId="0" fontId="0" fillId="0" borderId="0" xfId="0" applyFill="1" applyAlignment="1">
      <alignment horizontal="right"/>
    </xf>
    <xf numFmtId="0" fontId="1" fillId="0" borderId="0" xfId="0" applyFont="1" applyFill="1" applyAlignment="1">
      <alignment horizontal="centerContinuous"/>
    </xf>
    <xf numFmtId="0" fontId="1" fillId="0" borderId="13" xfId="0" applyFont="1" applyFill="1" applyBorder="1" applyAlignment="1">
      <alignment horizontal="left" wrapText="1"/>
    </xf>
    <xf numFmtId="4" fontId="0" fillId="0" borderId="13" xfId="0" applyNumberFormat="1" applyFill="1" applyBorder="1"/>
    <xf numFmtId="4" fontId="0" fillId="0" borderId="16" xfId="0" applyNumberFormat="1" applyFill="1" applyBorder="1"/>
    <xf numFmtId="178" fontId="0" fillId="0" borderId="17" xfId="0" applyNumberFormat="1" applyFill="1" applyBorder="1"/>
    <xf numFmtId="164" fontId="0" fillId="22" borderId="19" xfId="0" applyNumberFormat="1" applyFont="1" applyFill="1" applyBorder="1"/>
    <xf numFmtId="170" fontId="0" fillId="22" borderId="16" xfId="0" applyNumberFormat="1" applyFont="1" applyFill="1" applyBorder="1"/>
    <xf numFmtId="0" fontId="0" fillId="22" borderId="16" xfId="0" applyFont="1" applyFill="1" applyBorder="1"/>
    <xf numFmtId="169" fontId="0" fillId="19" borderId="13" xfId="28" applyNumberFormat="1" applyFont="1" applyFill="1" applyBorder="1"/>
    <xf numFmtId="169" fontId="0" fillId="0" borderId="20" xfId="0" applyNumberFormat="1" applyFont="1" applyBorder="1" applyAlignment="1">
      <alignment horizontal="right"/>
    </xf>
    <xf numFmtId="3" fontId="0" fillId="19" borderId="14" xfId="28" applyNumberFormat="1" applyFont="1" applyFill="1" applyBorder="1"/>
    <xf numFmtId="169" fontId="0" fillId="0" borderId="21" xfId="0" applyNumberFormat="1" applyFont="1" applyFill="1" applyBorder="1" applyAlignment="1">
      <alignment horizontal="right" wrapText="1"/>
    </xf>
    <xf numFmtId="169" fontId="1" fillId="0" borderId="24" xfId="0" applyNumberFormat="1" applyFont="1" applyFill="1" applyBorder="1" applyAlignment="1">
      <alignment wrapText="1"/>
    </xf>
    <xf numFmtId="169" fontId="0" fillId="0" borderId="19" xfId="0" applyNumberFormat="1" applyFont="1" applyFill="1" applyBorder="1" applyAlignment="1">
      <alignment horizontal="right" wrapText="1"/>
    </xf>
    <xf numFmtId="170" fontId="1" fillId="0" borderId="0" xfId="43" applyNumberFormat="1" applyFont="1" applyFill="1" applyBorder="1" applyAlignment="1"/>
    <xf numFmtId="164" fontId="2" fillId="0" borderId="19" xfId="43" applyNumberFormat="1" applyFont="1" applyFill="1" applyBorder="1" applyAlignment="1"/>
    <xf numFmtId="164" fontId="2" fillId="0" borderId="13" xfId="43" applyNumberFormat="1" applyFont="1" applyFill="1" applyBorder="1" applyAlignment="1"/>
    <xf numFmtId="164" fontId="2" fillId="0" borderId="17" xfId="43" applyNumberFormat="1" applyFont="1" applyFill="1" applyBorder="1" applyAlignment="1"/>
    <xf numFmtId="0" fontId="0" fillId="0" borderId="25" xfId="0" applyBorder="1"/>
    <xf numFmtId="4" fontId="0" fillId="0" borderId="17" xfId="0" applyNumberFormat="1" applyFont="1" applyFill="1" applyBorder="1" applyAlignment="1"/>
    <xf numFmtId="0" fontId="1" fillId="32" borderId="0" xfId="0" applyFont="1" applyFill="1" applyBorder="1" applyAlignment="1">
      <alignment horizontal="right"/>
    </xf>
    <xf numFmtId="0" fontId="1" fillId="0" borderId="24" xfId="0" applyFont="1" applyFill="1" applyBorder="1" applyAlignment="1">
      <alignment horizontal="center" wrapText="1"/>
    </xf>
    <xf numFmtId="0" fontId="1" fillId="0" borderId="25" xfId="0" applyFont="1" applyFill="1" applyBorder="1" applyAlignment="1">
      <alignment horizontal="center" wrapText="1"/>
    </xf>
    <xf numFmtId="0" fontId="1" fillId="0" borderId="19" xfId="0" applyFont="1" applyFill="1" applyBorder="1" applyAlignment="1">
      <alignment horizontal="center" wrapText="1"/>
    </xf>
    <xf numFmtId="0" fontId="1" fillId="0" borderId="21" xfId="0" applyFont="1" applyFill="1" applyBorder="1" applyAlignment="1">
      <alignment horizontal="center" wrapText="1"/>
    </xf>
    <xf numFmtId="0" fontId="1" fillId="0" borderId="19" xfId="0" applyFont="1" applyBorder="1" applyAlignment="1">
      <alignment horizontal="center"/>
    </xf>
    <xf numFmtId="0" fontId="1" fillId="0" borderId="21" xfId="0" applyFont="1" applyBorder="1" applyAlignment="1">
      <alignment horizontal="center"/>
    </xf>
    <xf numFmtId="0" fontId="1" fillId="0" borderId="24" xfId="0" applyFont="1" applyBorder="1" applyAlignment="1">
      <alignment horizontal="center"/>
    </xf>
    <xf numFmtId="0" fontId="1" fillId="0" borderId="27" xfId="0" applyFont="1" applyBorder="1" applyAlignment="1">
      <alignment horizontal="center"/>
    </xf>
    <xf numFmtId="0" fontId="1" fillId="0" borderId="25" xfId="0" applyFont="1" applyBorder="1" applyAlignment="1">
      <alignment horizontal="center"/>
    </xf>
    <xf numFmtId="0" fontId="1" fillId="0" borderId="19" xfId="0" applyFont="1" applyBorder="1" applyAlignment="1">
      <alignment horizontal="center" wrapText="1"/>
    </xf>
    <xf numFmtId="0" fontId="1" fillId="0" borderId="20" xfId="0" applyFont="1" applyBorder="1" applyAlignment="1">
      <alignment horizontal="center" wrapText="1"/>
    </xf>
    <xf numFmtId="0" fontId="0" fillId="0" borderId="21" xfId="0" applyFill="1" applyBorder="1"/>
    <xf numFmtId="0" fontId="1" fillId="0" borderId="11" xfId="0" applyFont="1" applyFill="1" applyBorder="1" applyAlignment="1">
      <alignment horizontal="center" wrapText="1"/>
    </xf>
    <xf numFmtId="0" fontId="1" fillId="0" borderId="15" xfId="0" applyFont="1" applyFill="1" applyBorder="1" applyAlignment="1">
      <alignment horizontal="center" wrapText="1"/>
    </xf>
    <xf numFmtId="0" fontId="1" fillId="0" borderId="20" xfId="0" applyFont="1" applyFill="1" applyBorder="1" applyAlignment="1">
      <alignment horizontal="center" wrapText="1"/>
    </xf>
    <xf numFmtId="0" fontId="1" fillId="0" borderId="19" xfId="43" applyNumberFormat="1" applyFont="1" applyFill="1" applyBorder="1" applyAlignment="1">
      <alignment horizontal="center" wrapText="1"/>
    </xf>
    <xf numFmtId="0" fontId="1" fillId="0" borderId="21" xfId="43" applyNumberFormat="1" applyFont="1" applyFill="1" applyBorder="1" applyAlignment="1">
      <alignment horizontal="center" wrapText="1"/>
    </xf>
    <xf numFmtId="0" fontId="1" fillId="0" borderId="20" xfId="43" applyNumberFormat="1" applyFont="1" applyFill="1" applyBorder="1" applyAlignment="1">
      <alignment horizontal="center" wrapText="1"/>
    </xf>
    <xf numFmtId="0" fontId="1" fillId="0" borderId="24" xfId="0" applyFont="1" applyBorder="1" applyAlignment="1">
      <alignment horizontal="center" wrapText="1"/>
    </xf>
    <xf numFmtId="0" fontId="1" fillId="0" borderId="25" xfId="0" applyFont="1" applyBorder="1" applyAlignment="1">
      <alignment horizontal="center" wrapText="1"/>
    </xf>
    <xf numFmtId="0" fontId="0" fillId="0" borderId="19" xfId="0" applyFill="1" applyBorder="1" applyAlignment="1">
      <alignment horizontal="center"/>
    </xf>
    <xf numFmtId="0" fontId="0" fillId="0" borderId="20" xfId="0" applyFill="1" applyBorder="1" applyAlignment="1">
      <alignment horizontal="center"/>
    </xf>
    <xf numFmtId="0" fontId="0" fillId="0" borderId="19" xfId="0" applyFont="1" applyFill="1" applyBorder="1" applyAlignment="1">
      <alignment horizontal="center"/>
    </xf>
    <xf numFmtId="0" fontId="0" fillId="0" borderId="20" xfId="0" applyFont="1" applyFill="1" applyBorder="1" applyAlignment="1">
      <alignment horizontal="center"/>
    </xf>
    <xf numFmtId="0" fontId="1" fillId="0" borderId="20" xfId="0" applyFont="1" applyBorder="1" applyAlignment="1">
      <alignment horizontal="center"/>
    </xf>
    <xf numFmtId="0" fontId="1" fillId="0" borderId="27" xfId="0" applyFont="1" applyFill="1" applyBorder="1" applyAlignment="1">
      <alignment horizontal="center"/>
    </xf>
    <xf numFmtId="0" fontId="1" fillId="0" borderId="25" xfId="0" applyFont="1" applyFill="1" applyBorder="1" applyAlignment="1">
      <alignment horizontal="center"/>
    </xf>
    <xf numFmtId="0" fontId="1" fillId="0" borderId="24" xfId="0" applyFont="1" applyFill="1" applyBorder="1" applyAlignment="1">
      <alignment horizontal="center"/>
    </xf>
    <xf numFmtId="0" fontId="0" fillId="0" borderId="24" xfId="0" applyFill="1" applyBorder="1" applyAlignment="1">
      <alignment horizontal="center"/>
    </xf>
    <xf numFmtId="0" fontId="0" fillId="0" borderId="27" xfId="0" applyFill="1" applyBorder="1" applyAlignment="1">
      <alignment horizontal="center"/>
    </xf>
    <xf numFmtId="0" fontId="0" fillId="0" borderId="25" xfId="0" applyFill="1" applyBorder="1" applyAlignment="1">
      <alignment horizontal="center"/>
    </xf>
    <xf numFmtId="0" fontId="0" fillId="0" borderId="21" xfId="0" applyFont="1" applyFill="1" applyBorder="1" applyAlignment="1">
      <alignment horizontal="center"/>
    </xf>
    <xf numFmtId="0" fontId="1" fillId="0" borderId="27" xfId="0" applyFont="1" applyBorder="1" applyAlignment="1">
      <alignment horizontal="center" wrapText="1"/>
    </xf>
    <xf numFmtId="0" fontId="1" fillId="0" borderId="27" xfId="0" applyFont="1" applyFill="1" applyBorder="1" applyAlignment="1">
      <alignment horizontal="center" wrapText="1"/>
    </xf>
    <xf numFmtId="0" fontId="1" fillId="0" borderId="19" xfId="0" applyFont="1" applyFill="1" applyBorder="1" applyAlignment="1">
      <alignment horizontal="center" vertical="center" wrapText="1"/>
    </xf>
    <xf numFmtId="0" fontId="1" fillId="0" borderId="20" xfId="0" applyFont="1" applyFill="1" applyBorder="1" applyAlignment="1">
      <alignment horizontal="center" vertical="center" wrapText="1"/>
    </xf>
    <xf numFmtId="0" fontId="1" fillId="0" borderId="13" xfId="0" applyFont="1" applyFill="1" applyBorder="1" applyAlignment="1">
      <alignment horizontal="center" vertical="center" wrapText="1"/>
    </xf>
    <xf numFmtId="0" fontId="1" fillId="0" borderId="14" xfId="0" applyFont="1" applyFill="1" applyBorder="1" applyAlignment="1">
      <alignment horizontal="center" vertical="center" wrapText="1"/>
    </xf>
    <xf numFmtId="0" fontId="1" fillId="0" borderId="16" xfId="0" applyFont="1" applyFill="1" applyBorder="1" applyAlignment="1">
      <alignment horizontal="center" vertical="center" wrapText="1"/>
    </xf>
    <xf numFmtId="0" fontId="1" fillId="0" borderId="17"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27" xfId="0" applyFont="1" applyFill="1" applyBorder="1" applyAlignment="1">
      <alignment horizontal="center" vertical="center" wrapText="1"/>
    </xf>
    <xf numFmtId="0" fontId="1" fillId="0" borderId="25" xfId="0" applyFont="1" applyFill="1" applyBorder="1" applyAlignment="1">
      <alignment horizontal="center" vertical="center" wrapText="1"/>
    </xf>
    <xf numFmtId="0" fontId="2" fillId="0" borderId="24" xfId="0" applyFont="1" applyFill="1" applyBorder="1" applyAlignment="1">
      <alignment horizontal="center" vertical="center"/>
    </xf>
    <xf numFmtId="0" fontId="2" fillId="0" borderId="27" xfId="0" applyFont="1" applyFill="1" applyBorder="1" applyAlignment="1">
      <alignment horizontal="center" vertical="center"/>
    </xf>
    <xf numFmtId="0" fontId="2" fillId="0" borderId="25" xfId="0" applyFont="1" applyFill="1" applyBorder="1" applyAlignment="1">
      <alignment horizontal="center" vertical="center"/>
    </xf>
    <xf numFmtId="0" fontId="0" fillId="0" borderId="24" xfId="0" applyFont="1" applyFill="1" applyBorder="1" applyAlignment="1">
      <alignment horizontal="center" vertical="center" wrapText="1"/>
    </xf>
    <xf numFmtId="0" fontId="0" fillId="0" borderId="25" xfId="0" applyFont="1" applyFill="1" applyBorder="1" applyAlignment="1">
      <alignment horizontal="center" vertical="center" wrapText="1"/>
    </xf>
    <xf numFmtId="0" fontId="2" fillId="0" borderId="19"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8" xfId="0" applyFont="1" applyFill="1" applyBorder="1" applyAlignment="1">
      <alignment horizontal="center" vertical="center"/>
    </xf>
    <xf numFmtId="0" fontId="2" fillId="0" borderId="17" xfId="0" applyFont="1" applyFill="1" applyBorder="1" applyAlignment="1">
      <alignment horizontal="center" vertical="center"/>
    </xf>
    <xf numFmtId="0" fontId="2" fillId="0" borderId="11" xfId="0" applyFont="1" applyFill="1" applyBorder="1" applyAlignment="1">
      <alignment horizontal="center" vertical="center" wrapText="1"/>
    </xf>
    <xf numFmtId="0" fontId="2" fillId="0" borderId="15" xfId="0" applyFont="1" applyFill="1" applyBorder="1" applyAlignment="1">
      <alignment horizontal="center" vertical="center" wrapText="1"/>
    </xf>
    <xf numFmtId="0" fontId="1" fillId="0" borderId="24" xfId="0" applyFont="1" applyFill="1" applyBorder="1" applyAlignment="1">
      <alignment horizontal="center" vertical="center"/>
    </xf>
    <xf numFmtId="0" fontId="1" fillId="0" borderId="27" xfId="0" applyFont="1" applyFill="1" applyBorder="1" applyAlignment="1">
      <alignment horizontal="center" vertical="center"/>
    </xf>
    <xf numFmtId="0" fontId="1" fillId="0" borderId="25" xfId="0" applyFont="1" applyFill="1" applyBorder="1" applyAlignment="1">
      <alignment horizontal="center" vertical="center"/>
    </xf>
    <xf numFmtId="169" fontId="1" fillId="0" borderId="19" xfId="0" applyNumberFormat="1" applyFont="1" applyBorder="1" applyAlignment="1">
      <alignment horizontal="center" vertical="center"/>
    </xf>
    <xf numFmtId="169" fontId="1" fillId="0" borderId="21" xfId="0" applyNumberFormat="1" applyFont="1" applyBorder="1" applyAlignment="1">
      <alignment horizontal="center" vertical="center"/>
    </xf>
    <xf numFmtId="169" fontId="1" fillId="0" borderId="20" xfId="0" applyNumberFormat="1" applyFont="1" applyBorder="1" applyAlignment="1">
      <alignment horizontal="center" vertical="center"/>
    </xf>
    <xf numFmtId="169" fontId="1" fillId="0" borderId="16" xfId="0" applyNumberFormat="1" applyFont="1" applyBorder="1" applyAlignment="1">
      <alignment horizontal="center" vertical="center"/>
    </xf>
    <xf numFmtId="169" fontId="1" fillId="0" borderId="18" xfId="0" applyNumberFormat="1" applyFont="1" applyBorder="1" applyAlignment="1">
      <alignment horizontal="center" vertical="center"/>
    </xf>
    <xf numFmtId="169" fontId="1" fillId="0" borderId="17" xfId="0" applyNumberFormat="1" applyFont="1" applyBorder="1" applyAlignment="1">
      <alignment horizontal="center" vertical="center"/>
    </xf>
    <xf numFmtId="0" fontId="1" fillId="0" borderId="24" xfId="0" applyFont="1" applyBorder="1" applyAlignment="1">
      <alignment horizontal="center" vertical="center" wrapText="1"/>
    </xf>
    <xf numFmtId="0" fontId="1" fillId="0" borderId="27" xfId="0" applyFont="1" applyBorder="1" applyAlignment="1">
      <alignment horizontal="center" vertical="center" wrapText="1"/>
    </xf>
    <xf numFmtId="0" fontId="1" fillId="0" borderId="11" xfId="0" applyFont="1" applyFill="1" applyBorder="1" applyAlignment="1">
      <alignment horizontal="center" vertical="center" wrapText="1"/>
    </xf>
    <xf numFmtId="0" fontId="1" fillId="0" borderId="15" xfId="0" applyFont="1" applyFill="1" applyBorder="1" applyAlignment="1">
      <alignment horizontal="center" vertical="center" wrapText="1"/>
    </xf>
    <xf numFmtId="0" fontId="1" fillId="0" borderId="16" xfId="0" applyFont="1" applyBorder="1" applyAlignment="1">
      <alignment horizontal="center" vertical="center"/>
    </xf>
    <xf numFmtId="0" fontId="1" fillId="0" borderId="18" xfId="0" applyFont="1" applyBorder="1" applyAlignment="1">
      <alignment horizontal="center" vertical="center"/>
    </xf>
    <xf numFmtId="0" fontId="1" fillId="0" borderId="17" xfId="0" applyFont="1" applyBorder="1" applyAlignment="1">
      <alignment horizontal="center" vertical="center"/>
    </xf>
    <xf numFmtId="0" fontId="1" fillId="0" borderId="16" xfId="0" applyFont="1" applyFill="1" applyBorder="1" applyAlignment="1">
      <alignment horizontal="center" wrapText="1"/>
    </xf>
    <xf numFmtId="0" fontId="1" fillId="0" borderId="17" xfId="0" applyFont="1" applyFill="1" applyBorder="1" applyAlignment="1">
      <alignment horizontal="center" wrapText="1"/>
    </xf>
    <xf numFmtId="0" fontId="1" fillId="0" borderId="24" xfId="0" applyFont="1" applyBorder="1" applyAlignment="1">
      <alignment horizontal="center" textRotation="90" wrapText="1"/>
    </xf>
    <xf numFmtId="0" fontId="1" fillId="0" borderId="25" xfId="0" applyFont="1" applyBorder="1" applyAlignment="1">
      <alignment horizontal="center" textRotation="90" wrapText="1"/>
    </xf>
    <xf numFmtId="0" fontId="1" fillId="20" borderId="27" xfId="0" applyFont="1" applyFill="1" applyBorder="1" applyAlignment="1">
      <alignment horizontal="center" wrapText="1"/>
    </xf>
    <xf numFmtId="0" fontId="1" fillId="20" borderId="25" xfId="0" applyFont="1" applyFill="1" applyBorder="1" applyAlignment="1">
      <alignment horizontal="center" wrapText="1"/>
    </xf>
    <xf numFmtId="0" fontId="1" fillId="20" borderId="20" xfId="0" applyFont="1" applyFill="1" applyBorder="1" applyAlignment="1">
      <alignment horizontal="center" wrapText="1"/>
    </xf>
    <xf numFmtId="0" fontId="1" fillId="0" borderId="18" xfId="0" applyFont="1" applyFill="1" applyBorder="1" applyAlignment="1">
      <alignment horizontal="center" wrapText="1"/>
    </xf>
    <xf numFmtId="0" fontId="1" fillId="0" borderId="19" xfId="0" applyFont="1" applyFill="1" applyBorder="1" applyAlignment="1">
      <alignment horizontal="center"/>
    </xf>
    <xf numFmtId="0" fontId="1" fillId="0" borderId="21" xfId="0" applyFont="1" applyFill="1" applyBorder="1" applyAlignment="1">
      <alignment horizontal="center"/>
    </xf>
    <xf numFmtId="0" fontId="1" fillId="0" borderId="20" xfId="0" applyFont="1" applyFill="1" applyBorder="1" applyAlignment="1">
      <alignment horizontal="center"/>
    </xf>
    <xf numFmtId="0" fontId="1" fillId="0" borderId="16" xfId="0" applyFont="1" applyFill="1" applyBorder="1" applyAlignment="1">
      <alignment horizontal="center"/>
    </xf>
    <xf numFmtId="0" fontId="1" fillId="0" borderId="18" xfId="0" applyFont="1" applyFill="1" applyBorder="1" applyAlignment="1">
      <alignment horizontal="center"/>
    </xf>
    <xf numFmtId="0" fontId="1" fillId="0" borderId="17" xfId="0" applyFont="1" applyFill="1" applyBorder="1" applyAlignment="1">
      <alignment horizontal="center"/>
    </xf>
    <xf numFmtId="0" fontId="10" fillId="0" borderId="24" xfId="0" applyFont="1" applyFill="1" applyBorder="1" applyAlignment="1">
      <alignment horizontal="center"/>
    </xf>
    <xf numFmtId="0" fontId="10" fillId="0" borderId="27" xfId="0" applyFont="1" applyFill="1" applyBorder="1" applyAlignment="1">
      <alignment horizontal="center"/>
    </xf>
    <xf numFmtId="0" fontId="10" fillId="0" borderId="25" xfId="0" applyFont="1" applyFill="1" applyBorder="1" applyAlignment="1">
      <alignment horizontal="center"/>
    </xf>
    <xf numFmtId="169" fontId="10" fillId="0" borderId="24" xfId="0" applyNumberFormat="1" applyFont="1" applyFill="1" applyBorder="1" applyAlignment="1">
      <alignment horizontal="center"/>
    </xf>
    <xf numFmtId="169" fontId="10" fillId="0" borderId="27" xfId="0" applyNumberFormat="1" applyFont="1" applyFill="1" applyBorder="1" applyAlignment="1">
      <alignment horizontal="center"/>
    </xf>
    <xf numFmtId="169" fontId="10" fillId="0" borderId="25" xfId="0" applyNumberFormat="1" applyFont="1" applyFill="1" applyBorder="1" applyAlignment="1">
      <alignment horizontal="center"/>
    </xf>
    <xf numFmtId="169" fontId="1" fillId="0" borderId="24" xfId="0" applyNumberFormat="1" applyFont="1" applyFill="1" applyBorder="1" applyAlignment="1">
      <alignment horizontal="center" wrapText="1"/>
    </xf>
    <xf numFmtId="169" fontId="1" fillId="0" borderId="25" xfId="0" applyNumberFormat="1" applyFont="1" applyFill="1" applyBorder="1" applyAlignment="1">
      <alignment horizontal="center" wrapText="1"/>
    </xf>
    <xf numFmtId="169" fontId="1" fillId="0" borderId="21" xfId="0" applyNumberFormat="1" applyFont="1" applyFill="1" applyBorder="1" applyAlignment="1">
      <alignment horizontal="center" wrapText="1"/>
    </xf>
    <xf numFmtId="169" fontId="1" fillId="0" borderId="21" xfId="0" quotePrefix="1" applyNumberFormat="1" applyFont="1" applyFill="1" applyBorder="1" applyAlignment="1">
      <alignment horizontal="center" wrapText="1"/>
    </xf>
    <xf numFmtId="169" fontId="0" fillId="0" borderId="24" xfId="0" applyNumberFormat="1" applyFont="1" applyFill="1" applyBorder="1" applyAlignment="1">
      <alignment horizontal="center"/>
    </xf>
    <xf numFmtId="169" fontId="2" fillId="0" borderId="25" xfId="0" applyNumberFormat="1" applyFont="1" applyFill="1" applyBorder="1" applyAlignment="1">
      <alignment horizontal="center"/>
    </xf>
    <xf numFmtId="169" fontId="1" fillId="0" borderId="25" xfId="0" quotePrefix="1" applyNumberFormat="1" applyFont="1" applyFill="1" applyBorder="1" applyAlignment="1">
      <alignment horizontal="center" wrapText="1"/>
    </xf>
    <xf numFmtId="169" fontId="1" fillId="0" borderId="27" xfId="0" applyNumberFormat="1" applyFont="1" applyFill="1" applyBorder="1" applyAlignment="1">
      <alignment horizontal="center" wrapText="1"/>
    </xf>
    <xf numFmtId="169" fontId="1" fillId="0" borderId="27" xfId="0" quotePrefix="1" applyNumberFormat="1" applyFont="1" applyFill="1" applyBorder="1" applyAlignment="1">
      <alignment horizontal="center" wrapText="1"/>
    </xf>
    <xf numFmtId="0" fontId="0" fillId="0" borderId="24" xfId="0" applyBorder="1" applyAlignment="1"/>
    <xf numFmtId="0" fontId="0" fillId="0" borderId="25" xfId="0" applyBorder="1" applyAlignment="1"/>
    <xf numFmtId="0" fontId="0" fillId="0" borderId="27" xfId="0" applyBorder="1" applyAlignment="1"/>
    <xf numFmtId="0" fontId="1" fillId="0" borderId="13" xfId="0" applyFont="1" applyFill="1" applyBorder="1" applyAlignment="1">
      <alignment horizontal="center" wrapText="1"/>
    </xf>
    <xf numFmtId="0" fontId="1" fillId="0" borderId="14" xfId="0" quotePrefix="1" applyFont="1" applyFill="1" applyBorder="1" applyAlignment="1">
      <alignment horizontal="center" wrapText="1"/>
    </xf>
    <xf numFmtId="0" fontId="1" fillId="0" borderId="17" xfId="0" applyFont="1" applyBorder="1" applyAlignment="1">
      <alignment horizontal="center" wrapText="1"/>
    </xf>
    <xf numFmtId="0" fontId="1" fillId="0" borderId="0" xfId="0" applyFont="1" applyFill="1" applyBorder="1" applyAlignment="1">
      <alignment horizontal="center" wrapText="1"/>
    </xf>
    <xf numFmtId="169" fontId="1" fillId="0" borderId="11" xfId="0" applyNumberFormat="1" applyFont="1" applyBorder="1" applyAlignment="1">
      <alignment horizontal="center" wrapText="1"/>
    </xf>
    <xf numFmtId="0" fontId="1" fillId="0" borderId="26" xfId="0" applyFont="1" applyBorder="1" applyAlignment="1">
      <alignment horizontal="center" wrapText="1"/>
    </xf>
    <xf numFmtId="169" fontId="1" fillId="0" borderId="26" xfId="0" applyNumberFormat="1" applyFont="1" applyBorder="1" applyAlignment="1">
      <alignment horizontal="center" wrapText="1"/>
    </xf>
    <xf numFmtId="0" fontId="1" fillId="0" borderId="26" xfId="0" applyFont="1" applyBorder="1" applyAlignment="1">
      <alignment horizontal="center"/>
    </xf>
    <xf numFmtId="0" fontId="1" fillId="0" borderId="26" xfId="0" applyFont="1" applyBorder="1" applyAlignment="1">
      <alignment wrapText="1"/>
    </xf>
    <xf numFmtId="0" fontId="59" fillId="0" borderId="0" xfId="0" applyFont="1" applyFill="1" applyBorder="1" applyAlignment="1">
      <alignment horizontal="center" wrapText="1"/>
    </xf>
    <xf numFmtId="169" fontId="1" fillId="0" borderId="26" xfId="0" applyNumberFormat="1" applyFont="1" applyFill="1" applyBorder="1" applyAlignment="1">
      <alignment horizontal="center" wrapText="1"/>
    </xf>
    <xf numFmtId="169" fontId="1" fillId="0" borderId="21" xfId="0" applyNumberFormat="1" applyFont="1" applyBorder="1" applyAlignment="1">
      <alignment horizontal="center" wrapText="1"/>
    </xf>
    <xf numFmtId="169" fontId="1" fillId="0" borderId="20" xfId="0" applyNumberFormat="1" applyFont="1" applyBorder="1" applyAlignment="1">
      <alignment horizontal="center" wrapText="1"/>
    </xf>
    <xf numFmtId="169" fontId="1" fillId="0" borderId="19" xfId="0" applyNumberFormat="1" applyFont="1" applyBorder="1" applyAlignment="1">
      <alignment horizontal="center" wrapText="1"/>
    </xf>
    <xf numFmtId="169" fontId="1" fillId="0" borderId="24" xfId="0" applyNumberFormat="1" applyFont="1" applyFill="1" applyBorder="1" applyAlignment="1">
      <alignment horizontal="center"/>
    </xf>
    <xf numFmtId="169" fontId="1" fillId="0" borderId="27" xfId="0" applyNumberFormat="1" applyFont="1" applyFill="1" applyBorder="1" applyAlignment="1">
      <alignment horizontal="center"/>
    </xf>
    <xf numFmtId="169" fontId="1" fillId="0" borderId="25" xfId="0" applyNumberFormat="1" applyFont="1" applyFill="1" applyBorder="1" applyAlignment="1">
      <alignment horizontal="center"/>
    </xf>
    <xf numFmtId="169" fontId="1" fillId="0" borderId="19" xfId="0" applyNumberFormat="1" applyFont="1" applyFill="1" applyBorder="1" applyAlignment="1">
      <alignment horizontal="center" wrapText="1"/>
    </xf>
    <xf numFmtId="169" fontId="1" fillId="0" borderId="20" xfId="0" applyNumberFormat="1" applyFont="1" applyFill="1" applyBorder="1" applyAlignment="1">
      <alignment horizontal="center" wrapText="1"/>
    </xf>
    <xf numFmtId="169" fontId="1" fillId="0" borderId="16" xfId="0" applyNumberFormat="1" applyFont="1" applyFill="1" applyBorder="1" applyAlignment="1">
      <alignment horizontal="center" wrapText="1"/>
    </xf>
    <xf numFmtId="169" fontId="1" fillId="0" borderId="17" xfId="0" applyNumberFormat="1" applyFont="1" applyFill="1" applyBorder="1" applyAlignment="1">
      <alignment horizontal="center" wrapText="1"/>
    </xf>
    <xf numFmtId="0" fontId="1" fillId="0" borderId="21" xfId="0" applyFont="1" applyBorder="1" applyAlignment="1">
      <alignment horizontal="center" wrapText="1"/>
    </xf>
    <xf numFmtId="0" fontId="0" fillId="0" borderId="19" xfId="0" applyFont="1" applyBorder="1" applyAlignment="1">
      <alignment horizontal="center"/>
    </xf>
    <xf numFmtId="0" fontId="0" fillId="0" borderId="13" xfId="0" applyFont="1" applyBorder="1" applyAlignment="1">
      <alignment horizontal="center"/>
    </xf>
    <xf numFmtId="0" fontId="1" fillId="0" borderId="26" xfId="0" applyFont="1" applyBorder="1" applyAlignment="1">
      <alignment horizontal="center" vertical="center" wrapText="1"/>
    </xf>
    <xf numFmtId="9" fontId="0" fillId="0" borderId="24" xfId="43" applyNumberFormat="1" applyFont="1" applyFill="1" applyBorder="1" applyAlignment="1">
      <alignment horizontal="center" vertical="center" wrapText="1"/>
    </xf>
    <xf numFmtId="9" fontId="0" fillId="0" borderId="25" xfId="43" applyNumberFormat="1" applyFont="1" applyFill="1" applyBorder="1" applyAlignment="1">
      <alignment horizontal="center" vertical="center" wrapText="1"/>
    </xf>
    <xf numFmtId="169" fontId="1" fillId="0" borderId="19" xfId="0" applyNumberFormat="1" applyFont="1" applyFill="1" applyBorder="1" applyAlignment="1">
      <alignment horizontal="center" vertical="center" wrapText="1"/>
    </xf>
    <xf numFmtId="169" fontId="1" fillId="0" borderId="20" xfId="0" applyNumberFormat="1" applyFont="1" applyFill="1" applyBorder="1" applyAlignment="1">
      <alignment horizontal="center" vertical="center" wrapText="1"/>
    </xf>
    <xf numFmtId="170" fontId="0" fillId="0" borderId="24" xfId="43" applyNumberFormat="1" applyFont="1" applyFill="1" applyBorder="1" applyAlignment="1">
      <alignment horizontal="center" vertical="center" wrapText="1"/>
    </xf>
    <xf numFmtId="170" fontId="0" fillId="0" borderId="27" xfId="43" applyNumberFormat="1" applyFont="1" applyFill="1" applyBorder="1" applyAlignment="1">
      <alignment horizontal="center" vertical="center" wrapText="1"/>
    </xf>
    <xf numFmtId="170" fontId="0" fillId="0" borderId="25" xfId="43" applyNumberFormat="1" applyFont="1" applyFill="1" applyBorder="1" applyAlignment="1">
      <alignment horizontal="center" vertical="center" wrapText="1"/>
    </xf>
    <xf numFmtId="0" fontId="0" fillId="0" borderId="27" xfId="0" applyFont="1" applyBorder="1" applyAlignment="1">
      <alignment horizontal="center" vertical="center" wrapText="1"/>
    </xf>
    <xf numFmtId="0" fontId="0" fillId="0" borderId="24" xfId="0" applyFont="1" applyBorder="1" applyAlignment="1">
      <alignment horizontal="center" vertical="center" wrapText="1"/>
    </xf>
    <xf numFmtId="0" fontId="0" fillId="0" borderId="25" xfId="0" applyFont="1" applyBorder="1" applyAlignment="1">
      <alignment horizontal="center" vertical="center" wrapText="1"/>
    </xf>
    <xf numFmtId="9" fontId="0" fillId="0" borderId="27" xfId="43" applyNumberFormat="1" applyFont="1" applyFill="1" applyBorder="1" applyAlignment="1">
      <alignment horizontal="center" vertical="center" wrapText="1"/>
    </xf>
    <xf numFmtId="170" fontId="0" fillId="0" borderId="24" xfId="43" applyNumberFormat="1" applyFont="1" applyBorder="1" applyAlignment="1">
      <alignment horizontal="center"/>
    </xf>
    <xf numFmtId="170" fontId="0" fillId="0" borderId="27" xfId="43" applyNumberFormat="1" applyFont="1" applyBorder="1" applyAlignment="1">
      <alignment horizontal="center"/>
    </xf>
    <xf numFmtId="170" fontId="0" fillId="0" borderId="25" xfId="43" applyNumberFormat="1" applyFont="1" applyBorder="1" applyAlignment="1">
      <alignment horizontal="center"/>
    </xf>
    <xf numFmtId="0" fontId="0" fillId="0" borderId="27" xfId="0" applyFont="1" applyFill="1" applyBorder="1" applyAlignment="1">
      <alignment horizontal="center"/>
    </xf>
    <xf numFmtId="0" fontId="0" fillId="0" borderId="25" xfId="0" applyFont="1" applyFill="1" applyBorder="1" applyAlignment="1">
      <alignment horizontal="center"/>
    </xf>
    <xf numFmtId="0" fontId="0" fillId="18" borderId="24" xfId="0" applyFont="1" applyFill="1" applyBorder="1" applyAlignment="1">
      <alignment horizontal="center"/>
    </xf>
    <xf numFmtId="0" fontId="0" fillId="18" borderId="25" xfId="0" applyFont="1" applyFill="1" applyBorder="1" applyAlignment="1">
      <alignment horizontal="center"/>
    </xf>
    <xf numFmtId="0" fontId="1" fillId="0" borderId="12" xfId="0" applyFont="1" applyFill="1" applyBorder="1" applyAlignment="1">
      <alignment horizontal="center" vertical="center" wrapText="1"/>
    </xf>
    <xf numFmtId="0" fontId="0" fillId="0" borderId="24" xfId="0" applyBorder="1" applyAlignment="1">
      <alignment horizontal="center"/>
    </xf>
    <xf numFmtId="0" fontId="0" fillId="0" borderId="27" xfId="0" applyBorder="1" applyAlignment="1">
      <alignment horizontal="center"/>
    </xf>
    <xf numFmtId="0" fontId="0" fillId="0" borderId="25" xfId="0" applyBorder="1" applyAlignment="1">
      <alignment horizontal="center"/>
    </xf>
    <xf numFmtId="0" fontId="1" fillId="26" borderId="19" xfId="0" applyFont="1" applyFill="1" applyBorder="1" applyAlignment="1">
      <alignment horizontal="center" vertical="center" wrapText="1"/>
    </xf>
    <xf numFmtId="0" fontId="1" fillId="26" borderId="20" xfId="0" applyFont="1" applyFill="1" applyBorder="1" applyAlignment="1">
      <alignment horizontal="center" vertical="center" wrapText="1"/>
    </xf>
    <xf numFmtId="0" fontId="1" fillId="26" borderId="16" xfId="0" applyFont="1" applyFill="1" applyBorder="1" applyAlignment="1">
      <alignment horizontal="center" vertical="center" wrapText="1"/>
    </xf>
    <xf numFmtId="0" fontId="1" fillId="26" borderId="17" xfId="0" applyFont="1" applyFill="1" applyBorder="1" applyAlignment="1">
      <alignment horizontal="center" vertical="center" wrapText="1"/>
    </xf>
    <xf numFmtId="0" fontId="2" fillId="0" borderId="25" xfId="0" applyFont="1" applyFill="1" applyBorder="1" applyAlignment="1"/>
    <xf numFmtId="3" fontId="1" fillId="0" borderId="24" xfId="28" applyNumberFormat="1" applyFont="1" applyFill="1" applyBorder="1" applyAlignment="1">
      <alignment horizontal="center"/>
    </xf>
    <xf numFmtId="3" fontId="1" fillId="0" borderId="27" xfId="28" applyNumberFormat="1" applyFont="1" applyFill="1" applyBorder="1" applyAlignment="1">
      <alignment horizontal="center"/>
    </xf>
    <xf numFmtId="3" fontId="1" fillId="0" borderId="25" xfId="28" applyNumberFormat="1" applyFont="1" applyFill="1" applyBorder="1" applyAlignment="1">
      <alignment horizontal="center"/>
    </xf>
    <xf numFmtId="0" fontId="1" fillId="0" borderId="16" xfId="0" applyFont="1" applyBorder="1" applyAlignment="1">
      <alignment horizontal="center" wrapText="1"/>
    </xf>
    <xf numFmtId="0" fontId="1" fillId="0" borderId="18" xfId="0" applyFont="1" applyBorder="1" applyAlignment="1">
      <alignment horizontal="center" wrapText="1"/>
    </xf>
    <xf numFmtId="0" fontId="1" fillId="0" borderId="11" xfId="0" applyFont="1" applyFill="1" applyBorder="1" applyAlignment="1">
      <alignment horizontal="center"/>
    </xf>
    <xf numFmtId="0" fontId="1" fillId="0" borderId="15" xfId="0" applyFont="1" applyFill="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4" xfId="0" applyBorder="1" applyAlignment="1">
      <alignment horizontal="left"/>
    </xf>
    <xf numFmtId="0" fontId="0" fillId="0" borderId="27" xfId="0" applyBorder="1" applyAlignment="1">
      <alignment horizontal="left"/>
    </xf>
    <xf numFmtId="0" fontId="0" fillId="0" borderId="25" xfId="0" applyBorder="1" applyAlignment="1">
      <alignment horizontal="left"/>
    </xf>
    <xf numFmtId="0" fontId="0" fillId="0" borderId="0" xfId="0" applyAlignment="1">
      <alignment horizontal="left"/>
    </xf>
    <xf numFmtId="0" fontId="0" fillId="0" borderId="16"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174" fontId="0" fillId="0" borderId="24" xfId="0" applyNumberFormat="1" applyBorder="1" applyAlignment="1">
      <alignment horizontal="center"/>
    </xf>
    <xf numFmtId="174" fontId="0" fillId="0" borderId="27" xfId="0" applyNumberFormat="1" applyBorder="1" applyAlignment="1">
      <alignment horizontal="center"/>
    </xf>
    <xf numFmtId="174" fontId="0" fillId="0" borderId="25" xfId="0" applyNumberFormat="1" applyBorder="1" applyAlignment="1">
      <alignment horizontal="center"/>
    </xf>
    <xf numFmtId="166" fontId="0" fillId="0" borderId="24" xfId="28" applyNumberFormat="1" applyFont="1" applyFill="1" applyBorder="1" applyAlignment="1">
      <alignment horizontal="center"/>
    </xf>
    <xf numFmtId="166" fontId="0" fillId="0" borderId="27" xfId="28" applyNumberFormat="1" applyFont="1" applyFill="1" applyBorder="1" applyAlignment="1">
      <alignment horizontal="center"/>
    </xf>
    <xf numFmtId="166" fontId="0" fillId="0" borderId="25" xfId="28" applyNumberFormat="1" applyFont="1" applyFill="1" applyBorder="1" applyAlignment="1">
      <alignment horizontal="center"/>
    </xf>
    <xf numFmtId="0" fontId="1" fillId="0" borderId="0" xfId="0" applyFont="1" applyAlignment="1">
      <alignment horizontal="center"/>
    </xf>
    <xf numFmtId="170" fontId="0" fillId="0" borderId="24" xfId="0" applyNumberFormat="1" applyBorder="1" applyAlignment="1">
      <alignment horizontal="center"/>
    </xf>
    <xf numFmtId="170" fontId="0" fillId="0" borderId="25" xfId="0" applyNumberFormat="1" applyBorder="1" applyAlignment="1">
      <alignment horizontal="center"/>
    </xf>
    <xf numFmtId="0" fontId="0" fillId="0" borderId="24" xfId="0" applyBorder="1" applyAlignment="1">
      <alignment horizontal="center" vertical="center" wrapText="1"/>
    </xf>
    <xf numFmtId="0" fontId="0" fillId="0" borderId="27" xfId="0" applyBorder="1" applyAlignment="1">
      <alignment horizontal="center" vertical="center" wrapText="1"/>
    </xf>
    <xf numFmtId="0" fontId="0" fillId="0" borderId="25" xfId="0" applyBorder="1" applyAlignment="1">
      <alignment horizontal="center" vertical="center" wrapText="1"/>
    </xf>
    <xf numFmtId="0" fontId="1" fillId="25" borderId="27" xfId="0" applyFont="1" applyFill="1" applyBorder="1" applyAlignment="1">
      <alignment horizontal="center" vertical="center" wrapText="1"/>
    </xf>
    <xf numFmtId="0" fontId="1" fillId="25" borderId="25" xfId="0" applyFont="1" applyFill="1" applyBorder="1" applyAlignment="1">
      <alignment horizontal="center" vertical="center" wrapText="1"/>
    </xf>
    <xf numFmtId="0" fontId="1" fillId="25" borderId="24" xfId="0" applyFont="1" applyFill="1" applyBorder="1" applyAlignment="1">
      <alignment horizontal="center" vertical="center" wrapText="1"/>
    </xf>
    <xf numFmtId="0" fontId="1" fillId="25" borderId="26" xfId="0" applyFont="1" applyFill="1" applyBorder="1" applyAlignment="1">
      <alignment horizontal="center" vertical="center" wrapText="1"/>
    </xf>
    <xf numFmtId="169" fontId="1" fillId="25" borderId="24" xfId="0" applyNumberFormat="1" applyFont="1" applyFill="1" applyBorder="1" applyAlignment="1">
      <alignment horizontal="center" vertical="center" wrapText="1"/>
    </xf>
    <xf numFmtId="169" fontId="1" fillId="25" borderId="25" xfId="0" applyNumberFormat="1" applyFont="1" applyFill="1" applyBorder="1" applyAlignment="1">
      <alignment horizontal="center" vertical="center" wrapText="1"/>
    </xf>
    <xf numFmtId="169" fontId="1" fillId="25" borderId="27" xfId="0" applyNumberFormat="1" applyFont="1" applyFill="1" applyBorder="1" applyAlignment="1">
      <alignment horizontal="center" vertical="center" wrapText="1"/>
    </xf>
    <xf numFmtId="0" fontId="1" fillId="0" borderId="26" xfId="0" applyFont="1" applyFill="1" applyBorder="1" applyAlignment="1">
      <alignment horizontal="center" vertical="center" wrapText="1"/>
    </xf>
    <xf numFmtId="169" fontId="1" fillId="0" borderId="24" xfId="0" applyNumberFormat="1" applyFont="1" applyFill="1" applyBorder="1" applyAlignment="1">
      <alignment horizontal="center" vertical="center" wrapText="1"/>
    </xf>
    <xf numFmtId="169" fontId="1" fillId="0" borderId="25" xfId="0" applyNumberFormat="1" applyFont="1" applyFill="1" applyBorder="1" applyAlignment="1">
      <alignment horizontal="center" vertical="center" wrapText="1"/>
    </xf>
    <xf numFmtId="169" fontId="1" fillId="0" borderId="27" xfId="0" applyNumberFormat="1" applyFont="1" applyFill="1" applyBorder="1" applyAlignment="1">
      <alignment horizontal="center" vertical="center" wrapText="1"/>
    </xf>
    <xf numFmtId="0" fontId="1" fillId="25" borderId="24" xfId="0" applyFont="1" applyFill="1" applyBorder="1" applyAlignment="1">
      <alignment horizontal="center" wrapText="1"/>
    </xf>
    <xf numFmtId="0" fontId="1" fillId="25" borderId="25" xfId="0" applyFont="1" applyFill="1" applyBorder="1" applyAlignment="1">
      <alignment horizontal="center" wrapText="1"/>
    </xf>
    <xf numFmtId="0" fontId="1" fillId="25" borderId="24" xfId="0" applyFont="1" applyFill="1" applyBorder="1" applyAlignment="1">
      <alignment horizontal="center"/>
    </xf>
    <xf numFmtId="0" fontId="1" fillId="25" borderId="27" xfId="0" applyFont="1" applyFill="1" applyBorder="1" applyAlignment="1">
      <alignment horizontal="center"/>
    </xf>
    <xf numFmtId="0" fontId="1" fillId="25" borderId="25" xfId="0" applyFont="1" applyFill="1" applyBorder="1" applyAlignment="1">
      <alignment horizontal="center"/>
    </xf>
    <xf numFmtId="0" fontId="0" fillId="0" borderId="25" xfId="0" applyFill="1" applyBorder="1"/>
    <xf numFmtId="0" fontId="0" fillId="0" borderId="25" xfId="0" applyBorder="1"/>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4" xfId="49" xr:uid="{00000000-0005-0000-0000-000026000000}"/>
    <cellStyle name="Normal_Graphs" xfId="48" xr:uid="{00000000-0005-0000-0000-000027000000}"/>
    <cellStyle name="Normal_greet2_6-format" xfId="38" xr:uid="{00000000-0005-0000-0000-000028000000}"/>
    <cellStyle name="Normal_PowerPlantInfra_Sum" xfId="47" xr:uid="{00000000-0005-0000-0000-000029000000}"/>
    <cellStyle name="Normal_Steel" xfId="39" xr:uid="{00000000-0005-0000-0000-00002A000000}"/>
    <cellStyle name="Normal_Veh_lbs" xfId="40" xr:uid="{00000000-0005-0000-0000-00002B000000}"/>
    <cellStyle name="Note" xfId="41" builtinId="10" customBuiltin="1"/>
    <cellStyle name="Output" xfId="42" builtinId="21" customBuiltin="1"/>
    <cellStyle name="Percent" xfId="43" builtinId="5"/>
    <cellStyle name="Title" xfId="44" builtinId="15" customBuiltin="1"/>
    <cellStyle name="Total" xfId="45" builtinId="25" customBuiltin="1"/>
    <cellStyle name="Warning Text" xfId="46" builtinId="11" customBuiltin="1"/>
  </cellStyles>
  <dxfs count="17">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numFmt numFmtId="3" formatCode="#,##0"/>
    </dxf>
    <dxf>
      <numFmt numFmtId="3" formatCode="#,##0"/>
    </dxf>
    <dxf>
      <alignment horizontal="general" vertical="bottom" textRotation="0" wrapText="1" indent="0" justifyLastLine="0" shrinkToFit="0" readingOrder="0"/>
    </dxf>
    <dxf>
      <font>
        <b/>
        <i val="0"/>
        <strike val="0"/>
        <condense val="0"/>
        <extend val="0"/>
        <outline val="0"/>
        <shadow val="0"/>
        <u val="none"/>
        <vertAlign val="baseline"/>
        <sz val="10"/>
        <color auto="1"/>
        <name val="Arial"/>
        <scheme val="none"/>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6"/>
      <tableStyleElement type="headerRow" dxfId="1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REET1_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Inputs"/>
      <sheetName val="Results"/>
      <sheetName val="Electric"/>
      <sheetName val="Petroleum"/>
      <sheetName val="Co_processing"/>
      <sheetName val="NG"/>
      <sheetName val="MeOH_FTD"/>
      <sheetName val="EtOH"/>
      <sheetName val="Bio_electricity"/>
      <sheetName val="Hydrogen"/>
      <sheetName val="BioOil"/>
      <sheetName val="Algae"/>
      <sheetName val="Waste"/>
      <sheetName val="RNG"/>
      <sheetName val="Pyrolysis_IDL"/>
      <sheetName val="IBR"/>
      <sheetName val="PTF"/>
      <sheetName val="E_fuel"/>
      <sheetName val="Fuel_Prod_TS"/>
      <sheetName val="EF_TS"/>
      <sheetName val="AgMining_EF_TS"/>
      <sheetName val="EF"/>
      <sheetName val="WCF"/>
      <sheetName val="Fuel_Specs"/>
      <sheetName val="Car_TS"/>
      <sheetName val="LDT1_TS"/>
      <sheetName val="LDT2_TS"/>
      <sheetName val="Vehicles"/>
      <sheetName val="Urban_Shares"/>
      <sheetName val="Compression"/>
      <sheetName val="Coal"/>
      <sheetName val="T&amp;D_Flowcharts"/>
      <sheetName val="T&amp;D"/>
      <sheetName val="Uranium"/>
      <sheetName val="Ag_Inputs"/>
      <sheetName val="Enzymes_Yeast"/>
      <sheetName val="Pretreatment"/>
      <sheetName val="Catalyst"/>
      <sheetName val="Steam_Cracking"/>
      <sheetName val="Chemicals"/>
      <sheetName val="Plastics"/>
      <sheetName val="Animal_Feed"/>
      <sheetName val="EtOH-Diesel Additives"/>
      <sheetName val="OilGasCoalInfra"/>
      <sheetName val="ElecInfra"/>
      <sheetName val="Woody"/>
      <sheetName val="HDV_TS"/>
      <sheetName val="HDV_WTW"/>
      <sheetName val="JetFuel_WTP"/>
      <sheetName val="JetFuel_PTWa"/>
      <sheetName val="JetFuel_WTWa"/>
      <sheetName val="Rail_PTW"/>
      <sheetName val="Rail_WTW"/>
      <sheetName val="Marine_WTH"/>
      <sheetName val="Dist_Spec"/>
      <sheetName val="Forecast_Specs"/>
      <sheetName val="Forecast_Deleted"/>
    </sheetNames>
    <definedNames>
      <definedName name="BEV_AER" refersTo="='Inputs'!$F$877"/>
      <definedName name="Grid_AER" refersTo="='Inputs'!$F$876"/>
      <definedName name="HDVResults_ServiceFunctionalUnit_VT" refersTo="='HDV_WTW'!$G$9"/>
      <definedName name="HDVResults_ServiceUnit_Emissions" refersTo="='HDV_WTW'!$F$8"/>
      <definedName name="HDVResults_ServiceUnit_Energy" refersTo="='HDV_WTW'!$D$8"/>
      <definedName name="MYear" refersTo="='Car_TS'!$C$5"/>
      <definedName name="MYear_LDV1" refersTo="='LDT1_TS'!$C$5"/>
      <definedName name="MYear_LDV2" refersTo="='LDT2_TS'!$C$5"/>
      <definedName name="NG_LPG_NGShare" refersTo="='Inputs'!$F$144"/>
      <definedName name="NG_MeOH_FeedstockShare" refersTo="='Inputs'!$F$152"/>
      <definedName name="NG_Steam_Eff" refersTo="='Inputs'!$E$897"/>
      <definedName name="Results_ServiceFunctionalUnit" refersTo="='Results'!$E$11"/>
      <definedName name="Results_ServiceUnit_Emission" refersTo="='Results'!$E$10"/>
      <definedName name="Results_ServiceUnit_Energy" refersTo="='Results'!$C$10"/>
      <definedName name="RNAV_LHT_BEV" refersTo="='HDV_WTW'!$A$223"/>
      <definedName name="RNAV_LHT_CIDI_Diesel" refersTo="='HDV_WTW'!$A$12"/>
      <definedName name="RNAV_LHT_CIDIHEV_Diesel" refersTo="='HDV_WTW'!$A$315"/>
      <definedName name="RNAV_LHT_FC_GH2" refersTo="='HDV_WTW'!$A$345"/>
      <definedName name="RNAV_MVT_BEV" refersTo="='HDV_WTW'!$A$1425"/>
      <definedName name="RNAV_MVV_CIDI_Diesel" refersTo="='HDV_WTW'!$A$1125"/>
      <definedName name="RNAV_MVV_CIDIHEV_Diesel" refersTo="='HDV_WTW'!$A$1275"/>
      <definedName name="RNAV_MVV_FC_GH2" refersTo="='HDV_WTW'!$A$1395"/>
      <definedName name="RNAV_SHT_BEV" refersTo="='HDV_WTW'!$A$645"/>
      <definedName name="RNAV_SHT_CIDI_Diesel" refersTo="='HDV_WTW'!$A$405"/>
      <definedName name="RNAV_SHT_CIDIHEV_Diesel" refersTo="='HDV_WTW'!$A$705"/>
      <definedName name="RNAV_SHT_FC_GH2" refersTo="='HDV_WTW'!$A$615"/>
      <definedName name="T2g" refersTo="='Fuel_Specs'!$F$171"/>
      <definedName name="T2lb" refersTo="='Fuel_Specs'!$F$174"/>
    </definedNames>
    <sheetDataSet>
      <sheetData sheetId="0" refreshError="1"/>
      <sheetData sheetId="1">
        <row r="16">
          <cell r="E16">
            <v>1</v>
          </cell>
        </row>
        <row r="144">
          <cell r="F144">
            <v>0.75</v>
          </cell>
        </row>
        <row r="152">
          <cell r="F152">
            <v>1</v>
          </cell>
        </row>
        <row r="171">
          <cell r="F171">
            <v>1</v>
          </cell>
        </row>
        <row r="174">
          <cell r="F174" t="str">
            <v>Willow</v>
          </cell>
        </row>
        <row r="875">
          <cell r="C875" t="str">
            <v>12.3.a) Rated All Electric Range (RAER) [miles]</v>
          </cell>
        </row>
        <row r="876">
          <cell r="F876">
            <v>20</v>
          </cell>
        </row>
        <row r="877">
          <cell r="F877">
            <v>300</v>
          </cell>
        </row>
        <row r="897">
          <cell r="E897">
            <v>0.8</v>
          </cell>
        </row>
      </sheetData>
      <sheetData sheetId="2">
        <row r="8">
          <cell r="D8" t="str">
            <v>Select units from a pink drop down menu for the Results</v>
          </cell>
        </row>
        <row r="9">
          <cell r="G9" t="str">
            <v>Per Energy in Fuels</v>
          </cell>
        </row>
        <row r="10">
          <cell r="C10" t="str">
            <v>Btu</v>
          </cell>
          <cell r="E10" t="str">
            <v>g</v>
          </cell>
        </row>
        <row r="11">
          <cell r="E11" t="str">
            <v>mile</v>
          </cell>
        </row>
        <row r="12">
          <cell r="A12" t="str">
            <v>1.  Well-to-Pump Energy Consumption, Water Consmption and Emissions: Btu or Gallon or g per mmBtu of Fuel Available at Fuel Station Pumps</v>
          </cell>
        </row>
        <row r="42">
          <cell r="A42" t="str">
            <v>2.  Well-to-Wheels Energy Consumption, Water Consumption, and Emissions: per mile and per mmBtu</v>
          </cell>
        </row>
        <row r="43">
          <cell r="A43" t="str">
            <v>Gasoline Vehicle: Gasoline</v>
          </cell>
        </row>
        <row r="44">
          <cell r="B44" t="str">
            <v>Btu/mile or Gallon/mile or g/mile</v>
          </cell>
        </row>
        <row r="46">
          <cell r="B46">
            <v>189.21633818295808</v>
          </cell>
          <cell r="C46">
            <v>808.94679268967286</v>
          </cell>
          <cell r="D46">
            <v>3654.7903628213289</v>
          </cell>
          <cell r="E46">
            <v>4652.9534936939599</v>
          </cell>
        </row>
        <row r="47">
          <cell r="B47">
            <v>177.75094618857503</v>
          </cell>
          <cell r="C47">
            <v>718.04564261016321</v>
          </cell>
          <cell r="D47">
            <v>3411.1125234717219</v>
          </cell>
          <cell r="E47">
            <v>4306.9091122704604</v>
          </cell>
        </row>
        <row r="48">
          <cell r="B48">
            <v>14.308234582626907</v>
          </cell>
          <cell r="C48">
            <v>22.780839094963412</v>
          </cell>
          <cell r="D48">
            <v>0</v>
          </cell>
          <cell r="E48">
            <v>37.089073677590321</v>
          </cell>
        </row>
        <row r="49">
          <cell r="B49">
            <v>131.07143998258178</v>
          </cell>
          <cell r="C49">
            <v>462.32677402560824</v>
          </cell>
          <cell r="D49">
            <v>0</v>
          </cell>
          <cell r="E49">
            <v>593.39821400819005</v>
          </cell>
        </row>
        <row r="50">
          <cell r="B50">
            <v>32.371271623366347</v>
          </cell>
          <cell r="C50">
            <v>232.93802948959154</v>
          </cell>
          <cell r="D50">
            <v>3411.1125234717219</v>
          </cell>
          <cell r="E50">
            <v>3676.4218245846796</v>
          </cell>
        </row>
        <row r="51">
          <cell r="B51">
            <v>5.2099388580250851E-2</v>
          </cell>
          <cell r="C51">
            <v>0.13580224875880942</v>
          </cell>
          <cell r="D51">
            <v>0</v>
          </cell>
          <cell r="E51">
            <v>0.18790163733906026</v>
          </cell>
        </row>
        <row r="52">
          <cell r="B52">
            <v>-2.6198497702593033</v>
          </cell>
          <cell r="C52">
            <v>53.250166929810092</v>
          </cell>
          <cell r="D52">
            <v>280.34266487325334</v>
          </cell>
          <cell r="E52">
            <v>330.97298203280411</v>
          </cell>
        </row>
        <row r="53">
          <cell r="B53">
            <v>0.26963101906560533</v>
          </cell>
          <cell r="C53">
            <v>0.1494018264083295</v>
          </cell>
          <cell r="D53">
            <v>7.9522606701268542E-3</v>
          </cell>
          <cell r="E53">
            <v>0.42698510614406165</v>
          </cell>
        </row>
        <row r="54">
          <cell r="B54">
            <v>2.4764866676149844E-4</v>
          </cell>
          <cell r="C54">
            <v>1.0297184619148953E-2</v>
          </cell>
          <cell r="D54">
            <v>3.8553552069305742E-3</v>
          </cell>
          <cell r="E54">
            <v>1.4400188492841026E-2</v>
          </cell>
        </row>
        <row r="55">
          <cell r="B55">
            <v>5.534707698400652</v>
          </cell>
          <cell r="C55">
            <v>60.46097564613445</v>
          </cell>
          <cell r="D55">
            <v>281.60290182319375</v>
          </cell>
          <cell r="E55">
            <v>347.59858516772886</v>
          </cell>
        </row>
        <row r="56">
          <cell r="B56">
            <v>1.0866358583268008E-2</v>
          </cell>
          <cell r="C56">
            <v>9.6489572914224261E-2</v>
          </cell>
          <cell r="D56">
            <v>0.15342570652283241</v>
          </cell>
          <cell r="E56">
            <v>0.26078163802032467</v>
          </cell>
        </row>
        <row r="57">
          <cell r="B57">
            <v>2.1703895389781624E-2</v>
          </cell>
          <cell r="C57">
            <v>3.4592696897342845E-2</v>
          </cell>
          <cell r="D57">
            <v>1.4655810643908089</v>
          </cell>
          <cell r="E57">
            <v>1.5218776566779333</v>
          </cell>
        </row>
        <row r="58">
          <cell r="B58">
            <v>3.3427671322850232E-2</v>
          </cell>
          <cell r="C58">
            <v>5.8375059740266175E-2</v>
          </cell>
          <cell r="D58">
            <v>3.929186469028307E-2</v>
          </cell>
          <cell r="E58">
            <v>0.13109459575339946</v>
          </cell>
        </row>
        <row r="59">
          <cell r="B59">
            <v>1.6429860314667042E-3</v>
          </cell>
          <cell r="C59">
            <v>8.7080570277520732E-3</v>
          </cell>
          <cell r="D59">
            <v>3.5187572574832765E-2</v>
          </cell>
          <cell r="E59">
            <v>4.5538615634051538E-2</v>
          </cell>
        </row>
        <row r="60">
          <cell r="B60">
            <v>1.4037512872792468E-3</v>
          </cell>
          <cell r="C60">
            <v>5.5660722901984469E-3</v>
          </cell>
          <cell r="D60">
            <v>8.0207109471285513E-3</v>
          </cell>
          <cell r="E60">
            <v>1.4990534524606245E-2</v>
          </cell>
        </row>
        <row r="61">
          <cell r="B61">
            <v>7.537436296590861E-3</v>
          </cell>
          <cell r="C61">
            <v>1.7942740804306589E-2</v>
          </cell>
          <cell r="D61">
            <v>1.6661719597067142E-3</v>
          </cell>
          <cell r="E61">
            <v>2.7146349060604164E-2</v>
          </cell>
        </row>
        <row r="62">
          <cell r="B62">
            <v>2.5486425564443996E-4</v>
          </cell>
          <cell r="C62">
            <v>6.7859184092758059E-4</v>
          </cell>
          <cell r="D62">
            <v>3.3838787821687246E-3</v>
          </cell>
          <cell r="E62">
            <v>4.317334878740745E-3</v>
          </cell>
        </row>
        <row r="63">
          <cell r="B63">
            <v>5.1390420594536854E-4</v>
          </cell>
          <cell r="C63">
            <v>9.8936143042499384E-4</v>
          </cell>
          <cell r="D63">
            <v>1.7169926457971099E-3</v>
          </cell>
          <cell r="E63">
            <v>3.2202582821674723E-3</v>
          </cell>
        </row>
        <row r="64">
          <cell r="B64">
            <v>1.9455140330840756E-3</v>
          </cell>
          <cell r="C64">
            <v>5.5900379745598708E-2</v>
          </cell>
          <cell r="D64">
            <v>0.10739799456598269</v>
          </cell>
          <cell r="E64">
            <v>0.16524388834466547</v>
          </cell>
        </row>
        <row r="65">
          <cell r="B65">
            <v>7.7192377501208781E-4</v>
          </cell>
          <cell r="C65">
            <v>9.1753259977244341E-3</v>
          </cell>
          <cell r="D65">
            <v>1.0259067450735662</v>
          </cell>
          <cell r="E65">
            <v>1.0358539948463026</v>
          </cell>
        </row>
        <row r="66">
          <cell r="B66">
            <v>1.6238311289926484E-3</v>
          </cell>
          <cell r="C66">
            <v>1.3780416950301957E-2</v>
          </cell>
          <cell r="D66">
            <v>2.7504305283198145E-2</v>
          </cell>
          <cell r="E66">
            <v>4.2908553362492753E-2</v>
          </cell>
        </row>
        <row r="67">
          <cell r="B67">
            <v>1.256651986881415E-4</v>
          </cell>
          <cell r="C67">
            <v>3.0264293114335796E-3</v>
          </cell>
          <cell r="D67">
            <v>2.4631300802382933E-2</v>
          </cell>
          <cell r="E67">
            <v>2.7783395312504653E-2</v>
          </cell>
        </row>
        <row r="68">
          <cell r="B68">
            <v>1.113548742925645E-4</v>
          </cell>
          <cell r="C68">
            <v>2.6383957353592184E-3</v>
          </cell>
          <cell r="D68">
            <v>5.6144976629899854E-3</v>
          </cell>
          <cell r="E68">
            <v>8.364248272641768E-3</v>
          </cell>
        </row>
        <row r="69">
          <cell r="B69">
            <v>7.4359173589592714E-4</v>
          </cell>
          <cell r="C69">
            <v>4.8128485800535961E-3</v>
          </cell>
          <cell r="D69">
            <v>1.1663203717946998E-3</v>
          </cell>
          <cell r="E69">
            <v>6.7227606877442222E-3</v>
          </cell>
        </row>
        <row r="70">
          <cell r="B70">
            <v>1.1928418312179161E-5</v>
          </cell>
          <cell r="C70">
            <v>3.0164002751446753E-4</v>
          </cell>
          <cell r="D70">
            <v>2.3687151475181071E-3</v>
          </cell>
          <cell r="E70">
            <v>2.6822835933447537E-3</v>
          </cell>
        </row>
        <row r="71">
          <cell r="B71">
            <v>3.5701550777344389E-5</v>
          </cell>
          <cell r="C71">
            <v>3.9052906335436226E-4</v>
          </cell>
          <cell r="D71">
            <v>1.2018948520579769E-3</v>
          </cell>
          <cell r="E71">
            <v>1.6281254661896834E-3</v>
          </cell>
        </row>
        <row r="144">
          <cell r="F144">
            <v>1.5634988841789508</v>
          </cell>
        </row>
        <row r="152">
          <cell r="F152">
            <v>0.1003560609121342</v>
          </cell>
        </row>
        <row r="171">
          <cell r="F171">
            <v>3.1168314108924071</v>
          </cell>
        </row>
        <row r="174">
          <cell r="F174">
            <v>1.5634988841789508</v>
          </cell>
        </row>
        <row r="223">
          <cell r="A223" t="str">
            <v>LPGV: Dedicated, Crude and NG Mix</v>
          </cell>
        </row>
        <row r="315">
          <cell r="A315" t="str">
            <v>Item</v>
          </cell>
        </row>
        <row r="345">
          <cell r="A345" t="str">
            <v>Item</v>
          </cell>
        </row>
        <row r="405">
          <cell r="A405" t="str">
            <v>Item</v>
          </cell>
        </row>
        <row r="615">
          <cell r="A615" t="str">
            <v>Item</v>
          </cell>
        </row>
        <row r="645">
          <cell r="A645" t="str">
            <v>Item</v>
          </cell>
        </row>
        <row r="705">
          <cell r="A705" t="str">
            <v>Item</v>
          </cell>
        </row>
        <row r="876">
          <cell r="F876">
            <v>0.63554836780232549</v>
          </cell>
        </row>
        <row r="877">
          <cell r="F877">
            <v>9.1985630338125759E-3</v>
          </cell>
        </row>
        <row r="897">
          <cell r="E897">
            <v>1.8968110930776438</v>
          </cell>
        </row>
        <row r="1063">
          <cell r="A1063" t="str">
            <v>Grid-Independent SI HEV: Gasoline</v>
          </cell>
        </row>
        <row r="1066">
          <cell r="B1066">
            <v>127.03129955530059</v>
          </cell>
          <cell r="C1066">
            <v>543.09032366485553</v>
          </cell>
          <cell r="D1066">
            <v>2453.6611047956376</v>
          </cell>
          <cell r="E1066">
            <v>3123.7827280157935</v>
          </cell>
        </row>
        <row r="1067">
          <cell r="B1067">
            <v>119.33395344373422</v>
          </cell>
          <cell r="C1067">
            <v>482.06339894704308</v>
          </cell>
          <cell r="D1067">
            <v>2290.0668142461745</v>
          </cell>
          <cell r="E1067">
            <v>2891.4641666369516</v>
          </cell>
        </row>
        <row r="1068">
          <cell r="B1068">
            <v>9.6059021690595898</v>
          </cell>
          <cell r="C1068">
            <v>15.294025996820814</v>
          </cell>
          <cell r="D1068">
            <v>0</v>
          </cell>
          <cell r="E1068">
            <v>24.899928165880404</v>
          </cell>
        </row>
        <row r="1069">
          <cell r="B1069">
            <v>87.995442230112658</v>
          </cell>
          <cell r="C1069">
            <v>310.38530545335516</v>
          </cell>
          <cell r="D1069">
            <v>0</v>
          </cell>
          <cell r="E1069">
            <v>398.3807476834678</v>
          </cell>
        </row>
        <row r="1070">
          <cell r="B1070">
            <v>21.732609044561968</v>
          </cell>
          <cell r="C1070">
            <v>156.38406749686709</v>
          </cell>
          <cell r="D1070">
            <v>2290.0668142461745</v>
          </cell>
          <cell r="E1070">
            <v>2468.1834907876037</v>
          </cell>
        </row>
        <row r="1071">
          <cell r="B1071">
            <v>3.4977175337715792E-2</v>
          </cell>
          <cell r="C1071">
            <v>9.1171493476864582E-2</v>
          </cell>
          <cell r="D1071">
            <v>0</v>
          </cell>
          <cell r="E1071">
            <v>0.12614866881458037</v>
          </cell>
        </row>
        <row r="1072">
          <cell r="B1072">
            <v>-1.7588487556180241</v>
          </cell>
          <cell r="C1072">
            <v>35.749755922714023</v>
          </cell>
          <cell r="D1072">
            <v>188.213801046214</v>
          </cell>
          <cell r="E1072">
            <v>222.20470821331</v>
          </cell>
        </row>
        <row r="1073">
          <cell r="B1073">
            <v>0.18101808269434508</v>
          </cell>
          <cell r="C1073">
            <v>0.10030163540230087</v>
          </cell>
          <cell r="D1073">
            <v>3.7375625149596212E-3</v>
          </cell>
          <cell r="E1073">
            <v>0.28505728061160557</v>
          </cell>
        </row>
        <row r="1074">
          <cell r="B1074">
            <v>1.6626012464860242E-4</v>
          </cell>
          <cell r="C1074">
            <v>6.9130644662753352E-3</v>
          </cell>
          <cell r="D1074">
            <v>3.8553552069305742E-3</v>
          </cell>
          <cell r="E1074">
            <v>1.0934679797854513E-2</v>
          </cell>
        </row>
        <row r="1075">
          <cell r="B1075">
            <v>3.7157526582442082</v>
          </cell>
          <cell r="C1075">
            <v>40.590767068346011</v>
          </cell>
          <cell r="D1075">
            <v>189.34759705149941</v>
          </cell>
          <cell r="E1075">
            <v>233.65411677808962</v>
          </cell>
        </row>
        <row r="1076">
          <cell r="B1076">
            <v>7.2951821471765156E-3</v>
          </cell>
          <cell r="C1076">
            <v>6.4778739291413867E-2</v>
          </cell>
          <cell r="D1076">
            <v>0.13510741897857262</v>
          </cell>
          <cell r="E1076">
            <v>0.20718134041716302</v>
          </cell>
        </row>
        <row r="1077">
          <cell r="B1077">
            <v>1.4571014655776563E-2</v>
          </cell>
          <cell r="C1077">
            <v>2.3223973596524537E-2</v>
          </cell>
          <cell r="D1077">
            <v>1.4655810643908089</v>
          </cell>
          <cell r="E1077">
            <v>1.5033760526431101</v>
          </cell>
        </row>
        <row r="1078">
          <cell r="B1078">
            <v>2.2441828068478976E-2</v>
          </cell>
          <cell r="C1078">
            <v>3.9190377383025575E-2</v>
          </cell>
          <cell r="D1078">
            <v>3.3005166339837778E-2</v>
          </cell>
          <cell r="E1078">
            <v>9.4637371791342323E-2</v>
          </cell>
        </row>
        <row r="1079">
          <cell r="B1079">
            <v>1.1030265818093032E-3</v>
          </cell>
          <cell r="C1079">
            <v>5.8461960074896136E-3</v>
          </cell>
          <cell r="D1079">
            <v>3.5187572574832765E-2</v>
          </cell>
          <cell r="E1079">
            <v>4.2136795164131685E-2</v>
          </cell>
        </row>
        <row r="1080">
          <cell r="B1080">
            <v>9.4241518458668366E-4</v>
          </cell>
          <cell r="C1080">
            <v>3.7368094279415631E-3</v>
          </cell>
          <cell r="D1080">
            <v>8.0207109471285513E-3</v>
          </cell>
          <cell r="E1080">
            <v>1.2699935559656799E-2</v>
          </cell>
        </row>
        <row r="1081">
          <cell r="B1081">
            <v>5.0602941440786543E-3</v>
          </cell>
          <cell r="C1081">
            <v>1.2045945418048846E-2</v>
          </cell>
          <cell r="D1081">
            <v>1.1185925663538116E-3</v>
          </cell>
          <cell r="E1081">
            <v>1.8224832128481312E-2</v>
          </cell>
        </row>
        <row r="1082">
          <cell r="B1082">
            <v>1.7110434498210529E-4</v>
          </cell>
          <cell r="C1082">
            <v>4.5557589925085163E-4</v>
          </cell>
          <cell r="D1082">
            <v>3.3838787821687246E-3</v>
          </cell>
          <cell r="E1082">
            <v>4.0105590264016815E-3</v>
          </cell>
        </row>
        <row r="1083">
          <cell r="B1083">
            <v>3.4501206267427209E-4</v>
          </cell>
          <cell r="C1083">
            <v>6.6421255925191308E-4</v>
          </cell>
          <cell r="D1083">
            <v>1.7169926457971099E-3</v>
          </cell>
          <cell r="E1083">
            <v>2.7262172677232953E-3</v>
          </cell>
        </row>
        <row r="1084">
          <cell r="B1084">
            <v>1.3061302121108436E-3</v>
          </cell>
          <cell r="C1084">
            <v>3.7528989055120462E-2</v>
          </cell>
          <cell r="D1084">
            <v>9.457519328500083E-2</v>
          </cell>
          <cell r="E1084">
            <v>0.13341031255223212</v>
          </cell>
        </row>
        <row r="1085">
          <cell r="B1085">
            <v>5.1823474251258236E-4</v>
          </cell>
          <cell r="C1085">
            <v>6.1598992799843022E-3</v>
          </cell>
          <cell r="D1085">
            <v>1.0259067450735662</v>
          </cell>
          <cell r="E1085">
            <v>1.032584879096063</v>
          </cell>
        </row>
        <row r="1086">
          <cell r="B1086">
            <v>1.0901668458187382E-3</v>
          </cell>
          <cell r="C1086">
            <v>9.2515492606040379E-3</v>
          </cell>
          <cell r="D1086">
            <v>2.3103616437886443E-2</v>
          </cell>
          <cell r="E1086">
            <v>3.3445332544309217E-2</v>
          </cell>
        </row>
        <row r="1087">
          <cell r="B1087">
            <v>8.4365936110624004E-5</v>
          </cell>
          <cell r="C1087">
            <v>2.0318078879209968E-3</v>
          </cell>
          <cell r="D1087">
            <v>2.4631300802382933E-2</v>
          </cell>
          <cell r="E1087">
            <v>2.6747474626414552E-2</v>
          </cell>
        </row>
        <row r="1088">
          <cell r="B1088">
            <v>7.4758630935579693E-5</v>
          </cell>
          <cell r="C1088">
            <v>1.7712996785709425E-3</v>
          </cell>
          <cell r="D1088">
            <v>5.6144976629899854E-3</v>
          </cell>
          <cell r="E1088">
            <v>7.4605559724965076E-3</v>
          </cell>
        </row>
        <row r="1089">
          <cell r="B1089">
            <v>4.9921389165721126E-4</v>
          </cell>
          <cell r="C1089">
            <v>3.2311290640025508E-3</v>
          </cell>
          <cell r="D1089">
            <v>7.8301479644766808E-4</v>
          </cell>
          <cell r="E1089">
            <v>4.5133577521074301E-3</v>
          </cell>
        </row>
        <row r="1090">
          <cell r="B1090">
            <v>8.0082010590977565E-6</v>
          </cell>
          <cell r="C1090">
            <v>2.025074846127138E-4</v>
          </cell>
          <cell r="D1090">
            <v>2.3687151475181071E-3</v>
          </cell>
          <cell r="E1090">
            <v>2.5792308331899186E-3</v>
          </cell>
        </row>
        <row r="1091">
          <cell r="B1091">
            <v>2.3968407987054454E-5</v>
          </cell>
          <cell r="C1091">
            <v>2.6218356674913746E-4</v>
          </cell>
          <cell r="D1091">
            <v>1.2018948520579769E-3</v>
          </cell>
          <cell r="E1091">
            <v>1.4880468267941687E-3</v>
          </cell>
        </row>
        <row r="1125">
          <cell r="A1125" t="str">
            <v>Item</v>
          </cell>
        </row>
        <row r="1275">
          <cell r="A1275" t="str">
            <v>Item</v>
          </cell>
        </row>
        <row r="1393">
          <cell r="A1393" t="str">
            <v>Grid-Connected SI PHEV: Gasoline and Electricity (NGCC Turbine)</v>
          </cell>
        </row>
        <row r="1395">
          <cell r="A1395" t="str">
            <v>Item</v>
          </cell>
        </row>
        <row r="1396">
          <cell r="B1396">
            <v>166.330320698393</v>
          </cell>
          <cell r="C1396">
            <v>837.94478112218167</v>
          </cell>
          <cell r="D1396">
            <v>1991.1804228885471</v>
          </cell>
          <cell r="E1396">
            <v>2995.4555247091221</v>
          </cell>
        </row>
        <row r="1397">
          <cell r="B1397">
            <v>160.98391424985294</v>
          </cell>
          <cell r="C1397">
            <v>800.53423452089623</v>
          </cell>
          <cell r="D1397">
            <v>1890.8943301744803</v>
          </cell>
          <cell r="E1397">
            <v>2852.4124789452294</v>
          </cell>
        </row>
        <row r="1398">
          <cell r="B1398">
            <v>6.7173772591691074</v>
          </cell>
          <cell r="C1398">
            <v>9.3754990100023061</v>
          </cell>
          <cell r="D1398">
            <v>0</v>
          </cell>
          <cell r="E1398">
            <v>16.092876269171413</v>
          </cell>
        </row>
        <row r="1399">
          <cell r="B1399">
            <v>137.01855898311595</v>
          </cell>
          <cell r="C1399">
            <v>695.29263260889888</v>
          </cell>
          <cell r="D1399">
            <v>487.0442808632497</v>
          </cell>
          <cell r="E1399">
            <v>1319.3554724552646</v>
          </cell>
        </row>
        <row r="1400">
          <cell r="B1400">
            <v>17.247978007567909</v>
          </cell>
          <cell r="C1400">
            <v>95.866102901995021</v>
          </cell>
          <cell r="D1400">
            <v>1403.8500493112306</v>
          </cell>
          <cell r="E1400">
            <v>1516.9641302207935</v>
          </cell>
        </row>
        <row r="1401">
          <cell r="B1401">
            <v>2.4432203915915367E-2</v>
          </cell>
          <cell r="C1401">
            <v>7.9718158023873942E-2</v>
          </cell>
          <cell r="D1401">
            <v>0</v>
          </cell>
          <cell r="E1401">
            <v>0.10415036193978931</v>
          </cell>
        </row>
        <row r="1402">
          <cell r="B1402">
            <v>4.2810936504085664</v>
          </cell>
          <cell r="C1402">
            <v>80.852746524321986</v>
          </cell>
          <cell r="D1402">
            <v>115.37847295827133</v>
          </cell>
          <cell r="E1402">
            <v>200.5123131330019</v>
          </cell>
        </row>
        <row r="1403">
          <cell r="B1403">
            <v>0.29329083412953066</v>
          </cell>
          <cell r="C1403">
            <v>6.2843658439109579E-2</v>
          </cell>
          <cell r="D1403">
            <v>2.2184453611861737E-3</v>
          </cell>
          <cell r="E1403">
            <v>0.35835293792982642</v>
          </cell>
        </row>
        <row r="1404">
          <cell r="B1404">
            <v>8.9255361861383011E-4</v>
          </cell>
          <cell r="C1404">
            <v>4.3599348182699425E-3</v>
          </cell>
          <cell r="D1404">
            <v>2.2883616903548957E-3</v>
          </cell>
          <cell r="E1404">
            <v>7.5408501272386684E-3</v>
          </cell>
        </row>
        <row r="1405">
          <cell r="B1405">
            <v>13.316345383227151</v>
          </cell>
          <cell r="C1405">
            <v>83.893439004336813</v>
          </cell>
          <cell r="D1405">
            <v>116.05144216705096</v>
          </cell>
          <cell r="E1405">
            <v>213.26122655461495</v>
          </cell>
        </row>
        <row r="1406">
          <cell r="B1406">
            <v>1.2942944004155764E-2</v>
          </cell>
          <cell r="C1406">
            <v>4.0372471032433868E-2</v>
          </cell>
          <cell r="D1406">
            <v>8.0193555477717379E-2</v>
          </cell>
          <cell r="E1406">
            <v>0.13350897051430702</v>
          </cell>
        </row>
        <row r="1407">
          <cell r="B1407">
            <v>3.1058944144042956E-2</v>
          </cell>
          <cell r="C1407">
            <v>1.927032011426312E-2</v>
          </cell>
          <cell r="D1407">
            <v>0.86990157374670984</v>
          </cell>
          <cell r="E1407">
            <v>0.92023083800501593</v>
          </cell>
        </row>
        <row r="1408">
          <cell r="B1408">
            <v>3.9272537070721494E-2</v>
          </cell>
          <cell r="C1408">
            <v>3.1508849183569304E-2</v>
          </cell>
          <cell r="D1408">
            <v>1.9590350092801648E-2</v>
          </cell>
          <cell r="E1408">
            <v>9.0371736347092446E-2</v>
          </cell>
        </row>
        <row r="1409">
          <cell r="B1409">
            <v>1.0699974962242211E-3</v>
          </cell>
          <cell r="C1409">
            <v>6.1471090529024346E-3</v>
          </cell>
          <cell r="D1409">
            <v>3.3363867345525988E-2</v>
          </cell>
          <cell r="E1409">
            <v>4.0580973894652643E-2</v>
          </cell>
        </row>
        <row r="1410">
          <cell r="B1410">
            <v>9.3226686597921733E-4</v>
          </cell>
          <cell r="C1410">
            <v>4.7664441493739523E-3</v>
          </cell>
          <cell r="D1410">
            <v>6.4074312977100666E-3</v>
          </cell>
          <cell r="E1410">
            <v>1.2106142313063235E-2</v>
          </cell>
        </row>
        <row r="1411">
          <cell r="B1411">
            <v>1.3949797456329641E-2</v>
          </cell>
          <cell r="C1411">
            <v>8.4660755575093997E-3</v>
          </cell>
          <cell r="D1411">
            <v>6.8571633791037867E-4</v>
          </cell>
          <cell r="E1411">
            <v>2.310158935174942E-2</v>
          </cell>
        </row>
        <row r="1412">
          <cell r="B1412">
            <v>1.9904690200261849E-4</v>
          </cell>
          <cell r="C1412">
            <v>3.5107157233179112E-4</v>
          </cell>
          <cell r="D1412">
            <v>2.2439552972139043E-3</v>
          </cell>
          <cell r="E1412">
            <v>2.7940737715483137E-3</v>
          </cell>
        </row>
        <row r="1413">
          <cell r="B1413">
            <v>3.4508767951803467E-4</v>
          </cell>
          <cell r="C1413">
            <v>2.0906606405671517E-3</v>
          </cell>
          <cell r="D1413">
            <v>1.3134826438910329E-3</v>
          </cell>
          <cell r="E1413">
            <v>3.7492309639762193E-3</v>
          </cell>
        </row>
        <row r="1414">
          <cell r="B1414">
            <v>1.1625468439572966E-3</v>
          </cell>
          <cell r="C1414">
            <v>2.3213116313264177E-2</v>
          </cell>
          <cell r="D1414">
            <v>5.6135488834402163E-2</v>
          </cell>
          <cell r="E1414">
            <v>8.0511151991623633E-2</v>
          </cell>
        </row>
        <row r="1415">
          <cell r="B1415">
            <v>1.9460166851006952E-3</v>
          </cell>
          <cell r="C1415">
            <v>5.351648929925748E-3</v>
          </cell>
          <cell r="D1415">
            <v>0.60893110162269692</v>
          </cell>
          <cell r="E1415">
            <v>0.61622876723772335</v>
          </cell>
        </row>
        <row r="1416">
          <cell r="B1416">
            <v>2.6020649066961364E-3</v>
          </cell>
          <cell r="C1416">
            <v>8.0139995054190095E-3</v>
          </cell>
          <cell r="D1416">
            <v>1.3713245064961152E-2</v>
          </cell>
          <cell r="E1416">
            <v>2.4329309477076295E-2</v>
          </cell>
        </row>
        <row r="1417">
          <cell r="B1417">
            <v>6.3389697187040317E-5</v>
          </cell>
          <cell r="C1417">
            <v>2.0478430344196084E-3</v>
          </cell>
          <cell r="D1417">
            <v>2.3354707141868186E-2</v>
          </cell>
          <cell r="E1417">
            <v>2.5465939873474834E-2</v>
          </cell>
        </row>
        <row r="1418">
          <cell r="B1418">
            <v>5.6483243766303076E-5</v>
          </cell>
          <cell r="C1418">
            <v>1.8607361044312141E-3</v>
          </cell>
          <cell r="D1418">
            <v>4.4852019083970462E-3</v>
          </cell>
          <cell r="E1418">
            <v>6.4024212565945635E-3</v>
          </cell>
        </row>
        <row r="1419">
          <cell r="B1419">
            <v>4.4490736603510904E-4</v>
          </cell>
          <cell r="C1419">
            <v>2.3193110591155459E-3</v>
          </cell>
          <cell r="D1419">
            <v>4.8000143653726502E-4</v>
          </cell>
          <cell r="E1419">
            <v>3.2442198616879198E-3</v>
          </cell>
        </row>
        <row r="1420">
          <cell r="B1420">
            <v>6.6853446948420709E-6</v>
          </cell>
          <cell r="C1420">
            <v>1.4661262071511932E-4</v>
          </cell>
          <cell r="D1420">
            <v>1.5707687080497329E-3</v>
          </cell>
          <cell r="E1420">
            <v>1.7240666734596943E-3</v>
          </cell>
        </row>
        <row r="1421">
          <cell r="B1421">
            <v>1.8213680037680017E-5</v>
          </cell>
          <cell r="C1421">
            <v>6.8765443404668336E-4</v>
          </cell>
          <cell r="D1421">
            <v>9.1943785072372307E-4</v>
          </cell>
          <cell r="E1421">
            <v>1.6253059648080864E-3</v>
          </cell>
        </row>
        <row r="1425">
          <cell r="A1425" t="str">
            <v>Item</v>
          </cell>
        </row>
        <row r="2083">
          <cell r="A2083" t="str">
            <v>Electric Vehicle: NGCC Turbine</v>
          </cell>
        </row>
        <row r="2086">
          <cell r="B2086">
            <v>172.29317285104764</v>
          </cell>
          <cell r="C2086">
            <v>983.65019265631406</v>
          </cell>
          <cell r="D2086">
            <v>948.63593000605249</v>
          </cell>
          <cell r="E2086">
            <v>2104.5792955134143</v>
          </cell>
        </row>
        <row r="2087">
          <cell r="B2087">
            <v>171.07037761587341</v>
          </cell>
          <cell r="C2087">
            <v>983.65019265631406</v>
          </cell>
          <cell r="D2087">
            <v>948.63593000605249</v>
          </cell>
          <cell r="E2087">
            <v>2103.3565002782398</v>
          </cell>
        </row>
        <row r="2088">
          <cell r="B2088">
            <v>1.6142781820084329</v>
          </cell>
          <cell r="C2088">
            <v>0</v>
          </cell>
          <cell r="D2088">
            <v>0</v>
          </cell>
          <cell r="E2088">
            <v>1.6142781820084329</v>
          </cell>
        </row>
        <row r="2089">
          <cell r="B2089">
            <v>161.81020918934044</v>
          </cell>
          <cell r="C2089">
            <v>983.65019265631406</v>
          </cell>
          <cell r="D2089">
            <v>948.63593000605249</v>
          </cell>
          <cell r="E2089">
            <v>2094.096331851707</v>
          </cell>
        </row>
        <row r="2090">
          <cell r="B2090">
            <v>7.6458902445245309</v>
          </cell>
          <cell r="C2090">
            <v>0</v>
          </cell>
          <cell r="D2090">
            <v>0</v>
          </cell>
          <cell r="E2090">
            <v>7.6458902445245309</v>
          </cell>
        </row>
        <row r="2091">
          <cell r="B2091">
            <v>5.8249099108880096E-3</v>
          </cell>
          <cell r="C2091">
            <v>4.6411691020279443E-2</v>
          </cell>
          <cell r="D2091">
            <v>0</v>
          </cell>
          <cell r="E2091">
            <v>5.223660093116745E-2</v>
          </cell>
        </row>
        <row r="2092">
          <cell r="B2092">
            <v>10.438522339451788</v>
          </cell>
          <cell r="C2092">
            <v>114.79503273571233</v>
          </cell>
          <cell r="D2092">
            <v>0</v>
          </cell>
          <cell r="E2092">
            <v>125.23355507516412</v>
          </cell>
        </row>
        <row r="2093">
          <cell r="B2093">
            <v>0.35511919756316274</v>
          </cell>
          <cell r="C2093">
            <v>2.6431692483986258E-3</v>
          </cell>
          <cell r="D2093">
            <v>0</v>
          </cell>
          <cell r="E2093">
            <v>0.35776236681156137</v>
          </cell>
        </row>
        <row r="2094">
          <cell r="B2094">
            <v>1.5399486415544389E-3</v>
          </cell>
          <cell r="C2094">
            <v>2.3783528087527978E-4</v>
          </cell>
          <cell r="D2094">
            <v>0</v>
          </cell>
          <cell r="E2094">
            <v>1.7777839224297188E-3</v>
          </cell>
        </row>
        <row r="2095">
          <cell r="B2095">
            <v>21.500184656358599</v>
          </cell>
          <cell r="C2095">
            <v>114.93735416259624</v>
          </cell>
          <cell r="D2095">
            <v>0</v>
          </cell>
          <cell r="E2095">
            <v>136.43753881895483</v>
          </cell>
        </row>
        <row r="2096">
          <cell r="B2096">
            <v>1.649906307966665E-2</v>
          </cell>
          <cell r="C2096">
            <v>1.2894004984759771E-3</v>
          </cell>
          <cell r="D2096">
            <v>0</v>
          </cell>
          <cell r="E2096">
            <v>1.7788463578142628E-2</v>
          </cell>
        </row>
        <row r="2097">
          <cell r="B2097">
            <v>4.309700116358714E-2</v>
          </cell>
          <cell r="C2097">
            <v>9.8042014511524143E-3</v>
          </cell>
          <cell r="D2097">
            <v>0</v>
          </cell>
          <cell r="E2097">
            <v>5.2901202614739552E-2</v>
          </cell>
        </row>
        <row r="2098">
          <cell r="B2098">
            <v>4.9697212316034765E-2</v>
          </cell>
          <cell r="C2098">
            <v>1.4577823492814333E-2</v>
          </cell>
          <cell r="D2098">
            <v>0</v>
          </cell>
          <cell r="E2098">
            <v>6.4275035808849093E-2</v>
          </cell>
        </row>
        <row r="2099">
          <cell r="B2099">
            <v>7.6706578018041597E-4</v>
          </cell>
          <cell r="C2099">
            <v>4.9926262061396826E-3</v>
          </cell>
          <cell r="D2099">
            <v>3.070061626177846E-2</v>
          </cell>
          <cell r="E2099">
            <v>3.6460308248098559E-2</v>
          </cell>
        </row>
        <row r="2100">
          <cell r="B2100">
            <v>6.9057196399155017E-4</v>
          </cell>
          <cell r="C2100">
            <v>4.8220529724942486E-3</v>
          </cell>
          <cell r="D2100">
            <v>4.0514755732562798E-3</v>
          </cell>
          <cell r="E2100">
            <v>9.5641005097420774E-3</v>
          </cell>
        </row>
        <row r="2101">
          <cell r="B2101">
            <v>2.1128604810511958E-2</v>
          </cell>
          <cell r="C2101">
            <v>2.1068815241840062E-3</v>
          </cell>
          <cell r="D2101">
            <v>0</v>
          </cell>
          <cell r="E2101">
            <v>2.3235486334695965E-2</v>
          </cell>
        </row>
        <row r="2102">
          <cell r="B2102">
            <v>1.8339344815890179E-4</v>
          </cell>
          <cell r="C2102">
            <v>1.3983953620233321E-4</v>
          </cell>
          <cell r="D2102">
            <v>5.7926606569309554E-4</v>
          </cell>
          <cell r="E2102">
            <v>9.0249905005433055E-4</v>
          </cell>
        </row>
        <row r="2103">
          <cell r="B2103">
            <v>2.601974923909443E-4</v>
          </cell>
          <cell r="C2103">
            <v>3.2789960212960892E-3</v>
          </cell>
          <cell r="D2103">
            <v>7.242161151725634E-4</v>
          </cell>
          <cell r="E2103">
            <v>4.2634096288595965E-3</v>
          </cell>
        </row>
        <row r="2104">
          <cell r="B2104">
            <v>7.0482252521803467E-4</v>
          </cell>
          <cell r="C2104">
            <v>4.0358235602298088E-4</v>
          </cell>
          <cell r="D2104">
            <v>0</v>
          </cell>
          <cell r="E2104">
            <v>1.1084048812410156E-3</v>
          </cell>
        </row>
        <row r="2105">
          <cell r="B2105">
            <v>3.1715643712720188E-3</v>
          </cell>
          <cell r="C2105">
            <v>3.0687150542107054E-3</v>
          </cell>
          <cell r="D2105">
            <v>0</v>
          </cell>
          <cell r="E2105">
            <v>6.2402794254827242E-3</v>
          </cell>
        </row>
        <row r="2106">
          <cell r="B2106">
            <v>3.7664902117448534E-3</v>
          </cell>
          <cell r="C2106">
            <v>4.5628587532508848E-3</v>
          </cell>
          <cell r="D2106">
            <v>0</v>
          </cell>
          <cell r="E2106">
            <v>8.3293489649957381E-3</v>
          </cell>
        </row>
        <row r="2107">
          <cell r="B2107">
            <v>2.2733908151739882E-5</v>
          </cell>
          <cell r="C2107">
            <v>1.562692002521721E-3</v>
          </cell>
          <cell r="D2107">
            <v>2.1490431383244919E-2</v>
          </cell>
          <cell r="E2107">
            <v>2.3075857293918381E-2</v>
          </cell>
        </row>
        <row r="2108">
          <cell r="B2108">
            <v>2.0753033836093879E-5</v>
          </cell>
          <cell r="C2108">
            <v>1.5093025803906996E-3</v>
          </cell>
          <cell r="D2108">
            <v>2.8360329012793958E-3</v>
          </cell>
          <cell r="E2108">
            <v>4.3660885155061896E-3</v>
          </cell>
        </row>
        <row r="2109">
          <cell r="B2109">
            <v>2.7050363676097333E-4</v>
          </cell>
          <cell r="C2109">
            <v>6.5945391706959404E-4</v>
          </cell>
          <cell r="D2109">
            <v>0</v>
          </cell>
          <cell r="E2109">
            <v>9.2995755383056737E-4</v>
          </cell>
        </row>
        <row r="2110">
          <cell r="B2110">
            <v>3.4595393832548475E-6</v>
          </cell>
          <cell r="C2110">
            <v>4.3769774831330289E-5</v>
          </cell>
          <cell r="D2110">
            <v>4.0548624598516685E-4</v>
          </cell>
          <cell r="E2110">
            <v>4.52715560199752E-4</v>
          </cell>
        </row>
        <row r="2111">
          <cell r="B2111">
            <v>6.8572872934306281E-6</v>
          </cell>
          <cell r="C2111">
            <v>1.0263257546656759E-3</v>
          </cell>
          <cell r="D2111">
            <v>5.0695128062079435E-4</v>
          </cell>
          <cell r="E2111">
            <v>1.540134322579901E-3</v>
          </cell>
        </row>
        <row r="2113">
          <cell r="A2113" t="str">
            <v>FCV: G.H2, Central Plants, NA NG</v>
          </cell>
        </row>
        <row r="2116">
          <cell r="B2116">
            <v>106.54998766327778</v>
          </cell>
          <cell r="C2116">
            <v>877.25490809330915</v>
          </cell>
          <cell r="D2116">
            <v>1706.001085320451</v>
          </cell>
          <cell r="E2116">
            <v>2689.8059810770378</v>
          </cell>
        </row>
        <row r="2117">
          <cell r="B2117">
            <v>105.80224015539584</v>
          </cell>
          <cell r="C2117">
            <v>779.36099636019208</v>
          </cell>
          <cell r="D2117">
            <v>1706.001085320451</v>
          </cell>
          <cell r="E2117">
            <v>2591.1643218360387</v>
          </cell>
        </row>
        <row r="2118">
          <cell r="B2118">
            <v>0.98690511684319127</v>
          </cell>
          <cell r="C2118">
            <v>129.40754086542017</v>
          </cell>
          <cell r="D2118">
            <v>0</v>
          </cell>
          <cell r="E2118">
            <v>130.39444598226336</v>
          </cell>
        </row>
        <row r="2119">
          <cell r="B2119">
            <v>99.308379223154418</v>
          </cell>
          <cell r="C2119">
            <v>643.36284683903375</v>
          </cell>
          <cell r="D2119">
            <v>1706.001085320451</v>
          </cell>
          <cell r="E2119">
            <v>2448.6723113826392</v>
          </cell>
        </row>
        <row r="2120">
          <cell r="B2120">
            <v>5.5069558153982268</v>
          </cell>
          <cell r="C2120">
            <v>6.5906086557382064</v>
          </cell>
          <cell r="D2120">
            <v>0</v>
          </cell>
          <cell r="E2120">
            <v>12.097564471136433</v>
          </cell>
        </row>
        <row r="2121">
          <cell r="B2121">
            <v>4.1861686378877119E-3</v>
          </cell>
          <cell r="C2121">
            <v>6.3080374812109444E-2</v>
          </cell>
          <cell r="D2121">
            <v>0</v>
          </cell>
          <cell r="E2121">
            <v>6.7266543449997163E-2</v>
          </cell>
        </row>
        <row r="2122">
          <cell r="B2122">
            <v>6.5858408346100159</v>
          </cell>
          <cell r="C2122">
            <v>153.12835200489471</v>
          </cell>
          <cell r="D2122">
            <v>0</v>
          </cell>
          <cell r="E2122">
            <v>159.71419283950473</v>
          </cell>
        </row>
        <row r="2123">
          <cell r="B2123">
            <v>0.21773444511290102</v>
          </cell>
          <cell r="C2123">
            <v>0.16372639728724472</v>
          </cell>
          <cell r="D2123">
            <v>0</v>
          </cell>
          <cell r="E2123">
            <v>0.38146084240014577</v>
          </cell>
        </row>
        <row r="2124">
          <cell r="B2124">
            <v>3.3200486923815482E-4</v>
          </cell>
          <cell r="C2124">
            <v>1.2071993276440911E-3</v>
          </cell>
          <cell r="D2124">
            <v>0</v>
          </cell>
          <cell r="E2124">
            <v>1.5392041968822459E-3</v>
          </cell>
        </row>
        <row r="2125">
          <cell r="B2125">
            <v>13.205855478345157</v>
          </cell>
          <cell r="C2125">
            <v>158.36005174533773</v>
          </cell>
          <cell r="D2125">
            <v>0</v>
          </cell>
          <cell r="E2125">
            <v>171.56590722368287</v>
          </cell>
        </row>
        <row r="2126">
          <cell r="B2126">
            <v>9.8179775505813447E-3</v>
          </cell>
          <cell r="C2126">
            <v>1.0754215064147931E-2</v>
          </cell>
          <cell r="D2126">
            <v>0</v>
          </cell>
          <cell r="E2126">
            <v>2.0572192614729277E-2</v>
          </cell>
        </row>
        <row r="2127">
          <cell r="B2127">
            <v>2.0081937970153414E-2</v>
          </cell>
          <cell r="C2127">
            <v>1.5382967124017051E-2</v>
          </cell>
          <cell r="D2127">
            <v>0</v>
          </cell>
          <cell r="E2127">
            <v>3.5464905094170468E-2</v>
          </cell>
        </row>
        <row r="2128">
          <cell r="B2128">
            <v>2.2853741434820222E-2</v>
          </cell>
          <cell r="C2128">
            <v>2.9782006680773025E-2</v>
          </cell>
          <cell r="D2128">
            <v>0</v>
          </cell>
          <cell r="E2128">
            <v>5.2635748115593246E-2</v>
          </cell>
        </row>
        <row r="2129">
          <cell r="B2129">
            <v>5.3045559095139143E-4</v>
          </cell>
          <cell r="C2129">
            <v>7.0187610831231664E-3</v>
          </cell>
          <cell r="D2129">
            <v>3.070061626177846E-2</v>
          </cell>
          <cell r="E2129">
            <v>3.8249832935853018E-2</v>
          </cell>
        </row>
        <row r="2130">
          <cell r="B2130">
            <v>4.7687228779518095E-4</v>
          </cell>
          <cell r="C2130">
            <v>5.7771857855048779E-3</v>
          </cell>
          <cell r="D2130">
            <v>4.0514755732562798E-3</v>
          </cell>
          <cell r="E2130">
            <v>1.0305533646556338E-2</v>
          </cell>
        </row>
        <row r="2131">
          <cell r="B2131">
            <v>1.5208454022621668E-2</v>
          </cell>
          <cell r="C2131">
            <v>2.2097351997585998E-2</v>
          </cell>
          <cell r="D2131">
            <v>0</v>
          </cell>
          <cell r="E2131">
            <v>3.7305806020207666E-2</v>
          </cell>
        </row>
        <row r="2132">
          <cell r="B2132">
            <v>1.2834651660946131E-4</v>
          </cell>
          <cell r="C2132">
            <v>5.4300264825608954E-4</v>
          </cell>
          <cell r="D2132">
            <v>5.7926606569309554E-4</v>
          </cell>
          <cell r="E2132">
            <v>1.2506152305586465E-3</v>
          </cell>
        </row>
        <row r="2133">
          <cell r="B2133">
            <v>1.7892612433619093E-4</v>
          </cell>
          <cell r="C2133">
            <v>1.5636050353179819E-3</v>
          </cell>
          <cell r="D2133">
            <v>7.242161151725634E-4</v>
          </cell>
          <cell r="E2133">
            <v>2.4667472748267361E-3</v>
          </cell>
        </row>
        <row r="2134">
          <cell r="B2134">
            <v>2.1766059645111929E-4</v>
          </cell>
          <cell r="C2134">
            <v>1.0488570380007311E-3</v>
          </cell>
          <cell r="D2134">
            <v>0</v>
          </cell>
          <cell r="E2134">
            <v>1.2665176344518504E-3</v>
          </cell>
        </row>
        <row r="2135">
          <cell r="B2135">
            <v>7.4767053719550073E-4</v>
          </cell>
          <cell r="C2135">
            <v>1.1720185576101895E-3</v>
          </cell>
          <cell r="D2135">
            <v>0</v>
          </cell>
          <cell r="E2135">
            <v>1.9196890948056902E-3</v>
          </cell>
        </row>
        <row r="2136">
          <cell r="B2136">
            <v>8.9618952153522878E-4</v>
          </cell>
          <cell r="C2136">
            <v>5.1545705900708227E-3</v>
          </cell>
          <cell r="D2136">
            <v>0</v>
          </cell>
          <cell r="E2136">
            <v>6.0507601116060513E-3</v>
          </cell>
        </row>
        <row r="2137">
          <cell r="B2137">
            <v>1.2970933797831975E-5</v>
          </cell>
          <cell r="C2137">
            <v>1.5733480662903359E-3</v>
          </cell>
          <cell r="D2137">
            <v>2.1490431383244919E-2</v>
          </cell>
          <cell r="E2137">
            <v>2.3076750383333088E-2</v>
          </cell>
        </row>
        <row r="2138">
          <cell r="B2138">
            <v>1.1640187941169208E-5</v>
          </cell>
          <cell r="C2138">
            <v>1.4830115352044524E-3</v>
          </cell>
          <cell r="D2138">
            <v>2.8360329012793958E-3</v>
          </cell>
          <cell r="E2138">
            <v>4.3306846244250173E-3</v>
          </cell>
        </row>
        <row r="2139">
          <cell r="B2139">
            <v>1.8843386205933253E-4</v>
          </cell>
          <cell r="C2139">
            <v>4.4792597488041604E-3</v>
          </cell>
          <cell r="D2139">
            <v>0</v>
          </cell>
          <cell r="E2139">
            <v>4.6676936108634931E-3</v>
          </cell>
        </row>
        <row r="2140">
          <cell r="B2140">
            <v>1.9351847769928886E-6</v>
          </cell>
          <cell r="C2140">
            <v>1.2225948801368726E-4</v>
          </cell>
          <cell r="D2140">
            <v>4.0548624598516685E-4</v>
          </cell>
          <cell r="E2140">
            <v>5.29680918775847E-4</v>
          </cell>
        </row>
        <row r="2141">
          <cell r="B2141">
            <v>3.6228161668826454E-6</v>
          </cell>
          <cell r="C2141">
            <v>3.9528307446257555E-4</v>
          </cell>
          <cell r="D2141">
            <v>5.0695128062079435E-4</v>
          </cell>
          <cell r="E2141">
            <v>9.0585717125025262E-4</v>
          </cell>
        </row>
      </sheetData>
      <sheetData sheetId="3">
        <row r="201">
          <cell r="DV201" t="str">
            <v>Hydroelectric Power Plant</v>
          </cell>
        </row>
        <row r="202">
          <cell r="DV202" t="str">
            <v>Total</v>
          </cell>
          <cell r="DX202" t="str">
            <v>Urban</v>
          </cell>
        </row>
        <row r="203">
          <cell r="DV203" t="str">
            <v>Feedstock</v>
          </cell>
          <cell r="DW203" t="str">
            <v>Fuel</v>
          </cell>
          <cell r="DX203" t="str">
            <v>Feedstock</v>
          </cell>
          <cell r="DY203" t="str">
            <v>Fuel</v>
          </cell>
        </row>
        <row r="204">
          <cell r="B204">
            <v>106003.44460026028</v>
          </cell>
          <cell r="C204">
            <v>1922051.8186798245</v>
          </cell>
          <cell r="J204">
            <v>442654.89208396128</v>
          </cell>
          <cell r="K204">
            <v>3377933.1642007744</v>
          </cell>
          <cell r="N204">
            <v>198948.0682620474</v>
          </cell>
          <cell r="O204">
            <v>2231223.5886768731</v>
          </cell>
          <cell r="R204">
            <v>65178.906095065111</v>
          </cell>
          <cell r="S204">
            <v>3040940.148089</v>
          </cell>
          <cell r="V204">
            <v>123345.15286158121</v>
          </cell>
          <cell r="W204">
            <v>4895634.1915483447</v>
          </cell>
          <cell r="Z204">
            <v>27641.82550928232</v>
          </cell>
          <cell r="AA204">
            <v>1051124.5748727412</v>
          </cell>
          <cell r="AL204">
            <v>0</v>
          </cell>
          <cell r="AM204">
            <v>1051124.5748727412</v>
          </cell>
          <cell r="BN204">
            <v>233169.21354221058</v>
          </cell>
          <cell r="BO204">
            <v>2615017.3457495291</v>
          </cell>
          <cell r="DV204">
            <v>0</v>
          </cell>
          <cell r="DW204">
            <v>1051124.5748727412</v>
          </cell>
          <cell r="DZ204">
            <v>0</v>
          </cell>
          <cell r="EA204">
            <v>1051124.5748727412</v>
          </cell>
        </row>
        <row r="205">
          <cell r="B205">
            <v>103605.1975688151</v>
          </cell>
          <cell r="C205">
            <v>1502643.7169081401</v>
          </cell>
          <cell r="J205">
            <v>426343.47949059447</v>
          </cell>
          <cell r="K205">
            <v>3377933.1642007744</v>
          </cell>
          <cell r="N205">
            <v>197536.09850206002</v>
          </cell>
          <cell r="O205">
            <v>2231223.5886768731</v>
          </cell>
          <cell r="R205">
            <v>62754.776493134144</v>
          </cell>
          <cell r="S205">
            <v>3040940.148089</v>
          </cell>
          <cell r="V205">
            <v>122751.35145288649</v>
          </cell>
          <cell r="W205">
            <v>0</v>
          </cell>
          <cell r="Z205">
            <v>23614.795869240788</v>
          </cell>
          <cell r="AA205">
            <v>0</v>
          </cell>
          <cell r="AL205">
            <v>0</v>
          </cell>
          <cell r="AM205">
            <v>0</v>
          </cell>
          <cell r="BN205">
            <v>231514.37023884166</v>
          </cell>
          <cell r="BO205">
            <v>2615017.3457495291</v>
          </cell>
          <cell r="DV205">
            <v>0</v>
          </cell>
          <cell r="DW205">
            <v>0</v>
          </cell>
          <cell r="DZ205">
            <v>0</v>
          </cell>
          <cell r="EA205">
            <v>0</v>
          </cell>
        </row>
        <row r="206">
          <cell r="B206">
            <v>3517.1114050130009</v>
          </cell>
          <cell r="C206">
            <v>554078.62467488006</v>
          </cell>
          <cell r="J206">
            <v>20560.713471436815</v>
          </cell>
          <cell r="K206">
            <v>0</v>
          </cell>
          <cell r="N206">
            <v>1864.0177125636733</v>
          </cell>
          <cell r="O206">
            <v>0</v>
          </cell>
          <cell r="R206">
            <v>5121.7721528905649</v>
          </cell>
          <cell r="S206">
            <v>3040940.148089</v>
          </cell>
          <cell r="V206">
            <v>753.87370377245713</v>
          </cell>
          <cell r="W206">
            <v>0</v>
          </cell>
          <cell r="Z206">
            <v>5322.6336271248847</v>
          </cell>
          <cell r="AA206">
            <v>0</v>
          </cell>
          <cell r="AL206">
            <v>0</v>
          </cell>
          <cell r="AM206">
            <v>0</v>
          </cell>
          <cell r="BN206">
            <v>2184.6482243534065</v>
          </cell>
          <cell r="BO206">
            <v>0</v>
          </cell>
          <cell r="DV206">
            <v>0</v>
          </cell>
          <cell r="DW206">
            <v>0</v>
          </cell>
          <cell r="DZ206">
            <v>0</v>
          </cell>
          <cell r="EA206">
            <v>0</v>
          </cell>
        </row>
        <row r="207">
          <cell r="B207">
            <v>86537.039495847857</v>
          </cell>
          <cell r="C207">
            <v>944671.95129643846</v>
          </cell>
          <cell r="J207">
            <v>266866.53785560548</v>
          </cell>
          <cell r="K207">
            <v>0</v>
          </cell>
          <cell r="N207">
            <v>186843.32066441086</v>
          </cell>
          <cell r="O207">
            <v>2231223.5886768731</v>
          </cell>
          <cell r="R207">
            <v>10973.663061626932</v>
          </cell>
          <cell r="S207">
            <v>0</v>
          </cell>
          <cell r="V207">
            <v>12856.282521690038</v>
          </cell>
          <cell r="W207">
            <v>0</v>
          </cell>
          <cell r="Z207">
            <v>15346.075349790523</v>
          </cell>
          <cell r="AA207">
            <v>0</v>
          </cell>
          <cell r="AL207">
            <v>0</v>
          </cell>
          <cell r="AM207">
            <v>0</v>
          </cell>
          <cell r="BN207">
            <v>218982.32295250037</v>
          </cell>
          <cell r="BO207">
            <v>2615017.3457495291</v>
          </cell>
          <cell r="DV207">
            <v>0</v>
          </cell>
          <cell r="DW207">
            <v>0</v>
          </cell>
          <cell r="DZ207">
            <v>0</v>
          </cell>
          <cell r="EA207">
            <v>0</v>
          </cell>
        </row>
        <row r="208">
          <cell r="B208">
            <v>13551.04666795425</v>
          </cell>
          <cell r="C208">
            <v>3893.1409368216327</v>
          </cell>
          <cell r="J208">
            <v>138916.22816355215</v>
          </cell>
          <cell r="K208">
            <v>3377933.1642007744</v>
          </cell>
          <cell r="N208">
            <v>8828.7601250854732</v>
          </cell>
          <cell r="O208">
            <v>0</v>
          </cell>
          <cell r="R208">
            <v>46659.341278616645</v>
          </cell>
          <cell r="S208">
            <v>0</v>
          </cell>
          <cell r="V208">
            <v>109141.19522742399</v>
          </cell>
          <cell r="W208">
            <v>0</v>
          </cell>
          <cell r="Z208">
            <v>2946.0868923253825</v>
          </cell>
          <cell r="AA208">
            <v>0</v>
          </cell>
          <cell r="AL208">
            <v>0</v>
          </cell>
          <cell r="AM208">
            <v>0</v>
          </cell>
          <cell r="BN208">
            <v>10347.399061987875</v>
          </cell>
          <cell r="BO208">
            <v>0</v>
          </cell>
          <cell r="DV208">
            <v>0</v>
          </cell>
          <cell r="DW208">
            <v>0</v>
          </cell>
          <cell r="DZ208">
            <v>0</v>
          </cell>
          <cell r="EA208">
            <v>0</v>
          </cell>
        </row>
        <row r="209">
          <cell r="B209">
            <v>10.977184640973855</v>
          </cell>
          <cell r="C209">
            <v>97.708187335273578</v>
          </cell>
          <cell r="J209">
            <v>68.285758839808167</v>
          </cell>
          <cell r="K209">
            <v>102.85842539346756</v>
          </cell>
          <cell r="N209">
            <v>6.7260620684807213</v>
          </cell>
          <cell r="O209">
            <v>50.950620065118848</v>
          </cell>
          <cell r="R209">
            <v>11.366487954077781</v>
          </cell>
          <cell r="S209">
            <v>131.9507056299372</v>
          </cell>
          <cell r="V209">
            <v>2.2745748028423174</v>
          </cell>
          <cell r="W209">
            <v>131.9507056299372</v>
          </cell>
          <cell r="Z209">
            <v>17.972996056314582</v>
          </cell>
          <cell r="AA209">
            <v>131.9507056299372</v>
          </cell>
          <cell r="AL209">
            <v>0</v>
          </cell>
          <cell r="AM209">
            <v>133.39435297209417</v>
          </cell>
          <cell r="BN209">
            <v>7.883014981970172</v>
          </cell>
          <cell r="BO209">
            <v>0</v>
          </cell>
          <cell r="DV209">
            <v>0</v>
          </cell>
          <cell r="DW209">
            <v>547.65963237709161</v>
          </cell>
          <cell r="DZ209">
            <v>0</v>
          </cell>
          <cell r="EA209">
            <v>0.30805420327729133</v>
          </cell>
        </row>
        <row r="210">
          <cell r="B210">
            <v>12.472523250282284</v>
          </cell>
          <cell r="C210">
            <v>1.3843453190325286</v>
          </cell>
          <cell r="D210">
            <v>0.39699210494476034</v>
          </cell>
          <cell r="E210">
            <v>0.46711571458719037</v>
          </cell>
          <cell r="J210">
            <v>20.140928645706303</v>
          </cell>
          <cell r="K210">
            <v>22.124108003078582</v>
          </cell>
          <cell r="L210">
            <v>6.7424800036443466</v>
          </cell>
          <cell r="M210">
            <v>0.22124108003078585</v>
          </cell>
          <cell r="N210">
            <v>19.051577456705864</v>
          </cell>
          <cell r="O210">
            <v>1.6985617782471361</v>
          </cell>
          <cell r="P210">
            <v>0.81386323984487208</v>
          </cell>
          <cell r="Q210">
            <v>0.53164983659135367</v>
          </cell>
          <cell r="R210">
            <v>22.408360754920984</v>
          </cell>
          <cell r="S210">
            <v>3.491128425528538</v>
          </cell>
          <cell r="T210">
            <v>0.19437355114094731</v>
          </cell>
          <cell r="U210">
            <v>1.3266288017008445</v>
          </cell>
          <cell r="V210">
            <v>2.6624288521529373</v>
          </cell>
          <cell r="W210">
            <v>2.2823616077639306</v>
          </cell>
          <cell r="X210">
            <v>0.30990985431264584</v>
          </cell>
          <cell r="Y210">
            <v>2.9670700900931095E-2</v>
          </cell>
          <cell r="Z210">
            <v>0.89014160297368672</v>
          </cell>
          <cell r="AA210">
            <v>0</v>
          </cell>
          <cell r="AB210">
            <v>2.627941462436708E-2</v>
          </cell>
          <cell r="AC210">
            <v>0</v>
          </cell>
          <cell r="AL210">
            <v>0</v>
          </cell>
          <cell r="AM210">
            <v>0</v>
          </cell>
          <cell r="AN210">
            <v>0</v>
          </cell>
          <cell r="AO210">
            <v>0</v>
          </cell>
          <cell r="BN210">
            <v>22.328647727644441</v>
          </cell>
          <cell r="BO210">
            <v>24.360982417999224</v>
          </cell>
          <cell r="BP210">
            <v>0.9538562159627948</v>
          </cell>
          <cell r="BQ210">
            <v>7.6249874968337572</v>
          </cell>
          <cell r="DV210">
            <v>0</v>
          </cell>
          <cell r="DW210">
            <v>0</v>
          </cell>
          <cell r="DX210">
            <v>0</v>
          </cell>
          <cell r="DY210">
            <v>0</v>
          </cell>
          <cell r="DZ210">
            <v>0</v>
          </cell>
          <cell r="EA210">
            <v>0</v>
          </cell>
          <cell r="EB210">
            <v>0</v>
          </cell>
          <cell r="EC210">
            <v>0</v>
          </cell>
        </row>
        <row r="211">
          <cell r="B211">
            <v>23.251518024300388</v>
          </cell>
          <cell r="C211">
            <v>14.203449605047195</v>
          </cell>
          <cell r="D211">
            <v>1.6247699994881077</v>
          </cell>
          <cell r="E211">
            <v>4.75456896664992</v>
          </cell>
          <cell r="J211">
            <v>34.52745494878139</v>
          </cell>
          <cell r="K211">
            <v>195.74475038140849</v>
          </cell>
          <cell r="L211">
            <v>4.3554816525991447</v>
          </cell>
          <cell r="M211">
            <v>1.9574475038140848</v>
          </cell>
          <cell r="N211">
            <v>49.764392793412618</v>
          </cell>
          <cell r="O211">
            <v>13.683582175057047</v>
          </cell>
          <cell r="P211">
            <v>3.6622263934903572</v>
          </cell>
          <cell r="Q211">
            <v>4.2829612207928562</v>
          </cell>
          <cell r="R211">
            <v>5.5215952868681075</v>
          </cell>
          <cell r="S211">
            <v>42.359434128781892</v>
          </cell>
          <cell r="T211">
            <v>0.22772427268704931</v>
          </cell>
          <cell r="U211">
            <v>16.096584968937119</v>
          </cell>
          <cell r="V211">
            <v>20.694845326610515</v>
          </cell>
          <cell r="W211">
            <v>296.29895041883213</v>
          </cell>
          <cell r="X211">
            <v>0.79096678961123534</v>
          </cell>
          <cell r="Y211">
            <v>3.8518863554448175</v>
          </cell>
          <cell r="Z211">
            <v>3.3186588220653257</v>
          </cell>
          <cell r="AA211">
            <v>0</v>
          </cell>
          <cell r="AB211">
            <v>7.9614471220226163E-2</v>
          </cell>
          <cell r="AC211">
            <v>0</v>
          </cell>
          <cell r="AL211">
            <v>0</v>
          </cell>
          <cell r="AM211">
            <v>0</v>
          </cell>
          <cell r="AN211">
            <v>0</v>
          </cell>
          <cell r="AO211">
            <v>0</v>
          </cell>
          <cell r="BN211">
            <v>58.324388024526677</v>
          </cell>
          <cell r="BO211">
            <v>66.577739908694298</v>
          </cell>
          <cell r="BP211">
            <v>4.2921675764095459</v>
          </cell>
          <cell r="BQ211">
            <v>20.838832591421319</v>
          </cell>
          <cell r="DV211">
            <v>0</v>
          </cell>
          <cell r="DW211">
            <v>0</v>
          </cell>
          <cell r="DX211">
            <v>0</v>
          </cell>
          <cell r="DY211">
            <v>0</v>
          </cell>
          <cell r="DZ211">
            <v>0</v>
          </cell>
          <cell r="EA211">
            <v>0</v>
          </cell>
          <cell r="EB211">
            <v>0</v>
          </cell>
          <cell r="EC211">
            <v>0</v>
          </cell>
        </row>
        <row r="212">
          <cell r="B212">
            <v>28.518775920038625</v>
          </cell>
          <cell r="C212">
            <v>48.640785186047147</v>
          </cell>
          <cell r="D212">
            <v>2.1182171276592108</v>
          </cell>
          <cell r="E212">
            <v>16.935400164333767</v>
          </cell>
          <cell r="J212">
            <v>63.626091589943989</v>
          </cell>
          <cell r="K212">
            <v>1049.1218972798997</v>
          </cell>
          <cell r="L212">
            <v>7.301707468913281</v>
          </cell>
          <cell r="M212">
            <v>10.491218972798999</v>
          </cell>
          <cell r="N212">
            <v>57.385700342471964</v>
          </cell>
          <cell r="O212">
            <v>31.501405184135699</v>
          </cell>
          <cell r="P212">
            <v>4.3491912033123361</v>
          </cell>
          <cell r="Q212">
            <v>9.8599398226344732</v>
          </cell>
          <cell r="R212">
            <v>16.539718978285681</v>
          </cell>
          <cell r="S212">
            <v>184.02208956749908</v>
          </cell>
          <cell r="T212">
            <v>1.0923347944151363</v>
          </cell>
          <cell r="U212">
            <v>69.92839403564966</v>
          </cell>
          <cell r="V212">
            <v>25.590958767075847</v>
          </cell>
          <cell r="W212">
            <v>358.65682407718799</v>
          </cell>
          <cell r="X212">
            <v>0.67018377931403383</v>
          </cell>
          <cell r="Y212">
            <v>4.6625387130034444</v>
          </cell>
          <cell r="Z212">
            <v>3.2936341825633892</v>
          </cell>
          <cell r="AA212">
            <v>0</v>
          </cell>
          <cell r="AB212">
            <v>0.20548234186423489</v>
          </cell>
          <cell r="AC212">
            <v>0</v>
          </cell>
          <cell r="AL212">
            <v>0</v>
          </cell>
          <cell r="AM212">
            <v>0</v>
          </cell>
          <cell r="AN212">
            <v>0</v>
          </cell>
          <cell r="AO212">
            <v>0</v>
          </cell>
          <cell r="BN212">
            <v>67.256640058443423</v>
          </cell>
          <cell r="BO212">
            <v>97.584314498840939</v>
          </cell>
          <cell r="BP212">
            <v>5.0972975072334181</v>
          </cell>
          <cell r="BQ212">
            <v>30.543890438137211</v>
          </cell>
          <cell r="DV212">
            <v>0</v>
          </cell>
          <cell r="DW212">
            <v>0</v>
          </cell>
          <cell r="DX212">
            <v>0</v>
          </cell>
          <cell r="DY212">
            <v>0</v>
          </cell>
          <cell r="DZ212">
            <v>0</v>
          </cell>
          <cell r="EA212">
            <v>0</v>
          </cell>
          <cell r="EB212">
            <v>0</v>
          </cell>
          <cell r="EC212">
            <v>0</v>
          </cell>
        </row>
        <row r="213">
          <cell r="B213">
            <v>5.1745820816930257</v>
          </cell>
          <cell r="C213">
            <v>7.1768326048667737</v>
          </cell>
          <cell r="D213">
            <v>3.050930832595148E-2</v>
          </cell>
          <cell r="E213">
            <v>2.5133634608820414</v>
          </cell>
          <cell r="J213">
            <v>4.7056079992241582</v>
          </cell>
          <cell r="K213">
            <v>58.821042947190023</v>
          </cell>
          <cell r="L213">
            <v>1.367081611103351</v>
          </cell>
          <cell r="M213">
            <v>0.58821042947190028</v>
          </cell>
          <cell r="N213">
            <v>0.8857359387579824</v>
          </cell>
          <cell r="O213">
            <v>6.4547797151457944</v>
          </cell>
          <cell r="P213">
            <v>2.6250994371933751E-2</v>
          </cell>
          <cell r="Q213">
            <v>2.0203460508406335</v>
          </cell>
          <cell r="R213">
            <v>25.898582695152708</v>
          </cell>
          <cell r="S213">
            <v>23.933194120399715</v>
          </cell>
          <cell r="T213">
            <v>5.00956540237322E-2</v>
          </cell>
          <cell r="U213">
            <v>9.0946137657518911</v>
          </cell>
          <cell r="V213">
            <v>1.6853383648971199</v>
          </cell>
          <cell r="W213">
            <v>9.7790282814025531</v>
          </cell>
          <cell r="X213">
            <v>7.2175422069196915E-2</v>
          </cell>
          <cell r="Y213">
            <v>0.12712736765823321</v>
          </cell>
          <cell r="Z213">
            <v>0.21837506157379888</v>
          </cell>
          <cell r="AA213">
            <v>0</v>
          </cell>
          <cell r="AB213">
            <v>2.5798214500552929E-2</v>
          </cell>
          <cell r="AC213">
            <v>0</v>
          </cell>
          <cell r="AL213">
            <v>0</v>
          </cell>
          <cell r="AM213">
            <v>0</v>
          </cell>
          <cell r="AN213">
            <v>0</v>
          </cell>
          <cell r="AO213">
            <v>0</v>
          </cell>
          <cell r="BN213">
            <v>1.0380917696282486</v>
          </cell>
          <cell r="BO213">
            <v>28.555433543844639</v>
          </cell>
          <cell r="BP213">
            <v>3.0766439533067111E-2</v>
          </cell>
          <cell r="BQ213">
            <v>8.9378506992233717</v>
          </cell>
          <cell r="DV213">
            <v>0</v>
          </cell>
          <cell r="DW213">
            <v>0</v>
          </cell>
          <cell r="DX213">
            <v>0</v>
          </cell>
          <cell r="DY213">
            <v>0</v>
          </cell>
          <cell r="DZ213">
            <v>0</v>
          </cell>
          <cell r="EA213">
            <v>0</v>
          </cell>
          <cell r="EB213">
            <v>0</v>
          </cell>
          <cell r="EC213">
            <v>0</v>
          </cell>
        </row>
        <row r="214">
          <cell r="B214">
            <v>1.0588300822753236</v>
          </cell>
          <cell r="C214">
            <v>6.35534772691501</v>
          </cell>
          <cell r="D214">
            <v>2.7304772519740048E-2</v>
          </cell>
          <cell r="E214">
            <v>2.2095989823847715</v>
          </cell>
          <cell r="J214">
            <v>4.119717209918619</v>
          </cell>
          <cell r="K214">
            <v>49.680027303956521</v>
          </cell>
          <cell r="L214">
            <v>1.2050388756536443</v>
          </cell>
          <cell r="M214">
            <v>0.49680027303956525</v>
          </cell>
          <cell r="N214">
            <v>0.79740802237603958</v>
          </cell>
          <cell r="O214">
            <v>6.3194957542577823</v>
          </cell>
          <cell r="P214">
            <v>2.3963665674885611E-2</v>
          </cell>
          <cell r="Q214">
            <v>1.9780021710826858</v>
          </cell>
          <cell r="R214">
            <v>3.6349931067730199</v>
          </cell>
          <cell r="S214">
            <v>19.806760354780902</v>
          </cell>
          <cell r="T214">
            <v>4.4768578403809406E-2</v>
          </cell>
          <cell r="U214">
            <v>7.5265689348167424</v>
          </cell>
          <cell r="V214">
            <v>1.2947125548840177</v>
          </cell>
          <cell r="W214">
            <v>8.6289551595682337</v>
          </cell>
          <cell r="X214">
            <v>4.8241494361903052E-2</v>
          </cell>
          <cell r="Y214">
            <v>0.11217641707438702</v>
          </cell>
          <cell r="Z214">
            <v>0.1567291951427299</v>
          </cell>
          <cell r="AA214">
            <v>0</v>
          </cell>
          <cell r="AB214">
            <v>2.266725076362432E-2</v>
          </cell>
          <cell r="AC214">
            <v>0</v>
          </cell>
          <cell r="AL214">
            <v>0</v>
          </cell>
          <cell r="AM214">
            <v>0</v>
          </cell>
          <cell r="AN214">
            <v>0</v>
          </cell>
          <cell r="AO214">
            <v>0</v>
          </cell>
          <cell r="BN214">
            <v>0.93457052925373885</v>
          </cell>
          <cell r="BO214">
            <v>28.552339258965734</v>
          </cell>
          <cell r="BP214">
            <v>2.8085666414422124E-2</v>
          </cell>
          <cell r="BQ214">
            <v>8.9368821880562752</v>
          </cell>
          <cell r="DV214">
            <v>0</v>
          </cell>
          <cell r="DW214">
            <v>0</v>
          </cell>
          <cell r="DX214">
            <v>0</v>
          </cell>
          <cell r="DY214">
            <v>0</v>
          </cell>
          <cell r="DZ214">
            <v>0</v>
          </cell>
          <cell r="EA214">
            <v>0</v>
          </cell>
          <cell r="EB214">
            <v>0</v>
          </cell>
          <cell r="EC214">
            <v>0</v>
          </cell>
        </row>
        <row r="215">
          <cell r="B215">
            <v>14.345177394134257</v>
          </cell>
          <cell r="C215">
            <v>50.440916232668343</v>
          </cell>
          <cell r="D215">
            <v>0.22287869776601199</v>
          </cell>
          <cell r="E215">
            <v>18.708604007353312</v>
          </cell>
          <cell r="J215">
            <v>20.81957169280696</v>
          </cell>
          <cell r="K215">
            <v>687.03582281634112</v>
          </cell>
          <cell r="L215">
            <v>3.0818396353553927</v>
          </cell>
          <cell r="M215">
            <v>6.8703582281634112</v>
          </cell>
          <cell r="N215">
            <v>24.39733996748436</v>
          </cell>
          <cell r="O215">
            <v>1.667173568898271</v>
          </cell>
          <cell r="P215">
            <v>0.31235234165650783</v>
          </cell>
          <cell r="Q215">
            <v>0.52182532706515883</v>
          </cell>
          <cell r="R215">
            <v>20.655058072200056</v>
          </cell>
          <cell r="S215">
            <v>266.83955098629616</v>
          </cell>
          <cell r="T215">
            <v>0.14218045873161997</v>
          </cell>
          <cell r="U215">
            <v>101.39902937479253</v>
          </cell>
          <cell r="V215">
            <v>0.53344654383242662</v>
          </cell>
          <cell r="W215">
            <v>205.50614292069625</v>
          </cell>
          <cell r="X215">
            <v>0.10320680831376064</v>
          </cell>
          <cell r="Y215">
            <v>2.6715798579690513</v>
          </cell>
          <cell r="Z215">
            <v>0.68369844851327555</v>
          </cell>
          <cell r="AA215">
            <v>0</v>
          </cell>
          <cell r="AB215">
            <v>0.18349199496083884</v>
          </cell>
          <cell r="AC215">
            <v>0</v>
          </cell>
          <cell r="AL215">
            <v>0</v>
          </cell>
          <cell r="AM215">
            <v>0</v>
          </cell>
          <cell r="AN215">
            <v>0</v>
          </cell>
          <cell r="AO215">
            <v>0</v>
          </cell>
          <cell r="BN215">
            <v>28.593937214043734</v>
          </cell>
          <cell r="BO215">
            <v>5.1718554097571792</v>
          </cell>
          <cell r="BP215">
            <v>0.36608020619825987</v>
          </cell>
          <cell r="BQ215">
            <v>1.6187907432539972</v>
          </cell>
          <cell r="DV215">
            <v>0</v>
          </cell>
          <cell r="DW215">
            <v>0</v>
          </cell>
          <cell r="DX215">
            <v>0</v>
          </cell>
          <cell r="DY215">
            <v>0</v>
          </cell>
          <cell r="DZ215">
            <v>0</v>
          </cell>
          <cell r="EA215">
            <v>0</v>
          </cell>
          <cell r="EB215">
            <v>0</v>
          </cell>
          <cell r="EC215">
            <v>0</v>
          </cell>
        </row>
        <row r="216">
          <cell r="B216">
            <v>0.12036691135625063</v>
          </cell>
          <cell r="C216">
            <v>0.3320061591165549</v>
          </cell>
          <cell r="D216">
            <v>3.0414501051360641E-3</v>
          </cell>
          <cell r="E216">
            <v>0.1122394442191615</v>
          </cell>
          <cell r="J216">
            <v>0.61049328011600157</v>
          </cell>
          <cell r="K216">
            <v>4.3344465281972244</v>
          </cell>
          <cell r="L216">
            <v>0.12932731263735411</v>
          </cell>
          <cell r="M216">
            <v>4.334446528197225E-2</v>
          </cell>
          <cell r="N216">
            <v>0.21176562970764037</v>
          </cell>
          <cell r="O216">
            <v>0.40141347051622406</v>
          </cell>
          <cell r="P216">
            <v>3.9947530478764504E-3</v>
          </cell>
          <cell r="Q216">
            <v>0.12564241627157813</v>
          </cell>
          <cell r="R216">
            <v>0.10945994724606099</v>
          </cell>
          <cell r="S216">
            <v>0.8516906952555785</v>
          </cell>
          <cell r="T216">
            <v>4.2214192308278643E-3</v>
          </cell>
          <cell r="U216">
            <v>0.32364246419711984</v>
          </cell>
          <cell r="V216">
            <v>0.87661646603540688</v>
          </cell>
          <cell r="W216">
            <v>1.1907958120204163</v>
          </cell>
          <cell r="X216">
            <v>5.8156734416528509E-3</v>
          </cell>
          <cell r="Y216">
            <v>1.5480345556265412E-2</v>
          </cell>
          <cell r="Z216">
            <v>2.6106976668296679E-2</v>
          </cell>
          <cell r="AA216">
            <v>0</v>
          </cell>
          <cell r="AB216">
            <v>1.2714025395155965E-3</v>
          </cell>
          <cell r="AC216">
            <v>0</v>
          </cell>
          <cell r="AL216">
            <v>0</v>
          </cell>
          <cell r="AM216">
            <v>0</v>
          </cell>
          <cell r="AN216">
            <v>0</v>
          </cell>
          <cell r="AO216">
            <v>0</v>
          </cell>
          <cell r="BN216">
            <v>0.24819152940537004</v>
          </cell>
          <cell r="BO216">
            <v>5.7104678517931458</v>
          </cell>
          <cell r="BP216">
            <v>4.6818922877995628E-3</v>
          </cell>
          <cell r="BQ216">
            <v>1.7873764376112546</v>
          </cell>
          <cell r="DV216">
            <v>0</v>
          </cell>
          <cell r="DW216">
            <v>0</v>
          </cell>
          <cell r="DX216">
            <v>0</v>
          </cell>
          <cell r="DY216">
            <v>0</v>
          </cell>
          <cell r="DZ216">
            <v>0</v>
          </cell>
          <cell r="EA216">
            <v>0</v>
          </cell>
          <cell r="EB216">
            <v>0</v>
          </cell>
          <cell r="EC216">
            <v>0</v>
          </cell>
        </row>
        <row r="217">
          <cell r="B217">
            <v>0.18899446749829235</v>
          </cell>
          <cell r="C217">
            <v>1.9641917514564646</v>
          </cell>
          <cell r="D217">
            <v>9.1463957961391736E-3</v>
          </cell>
          <cell r="E217">
            <v>0.63061857028077517</v>
          </cell>
          <cell r="J217">
            <v>1.215939378123539</v>
          </cell>
          <cell r="K217">
            <v>6.9617011754377582</v>
          </cell>
          <cell r="L217">
            <v>0.19587684692504587</v>
          </cell>
          <cell r="M217">
            <v>6.9617011754377581E-2</v>
          </cell>
          <cell r="N217">
            <v>0.30045176846653199</v>
          </cell>
          <cell r="O217">
            <v>3.9193880502722833</v>
          </cell>
          <cell r="P217">
            <v>7.9181550723738461E-3</v>
          </cell>
          <cell r="Q217">
            <v>1.2267684597352249</v>
          </cell>
          <cell r="R217">
            <v>0.24146697877174175</v>
          </cell>
          <cell r="S217">
            <v>1.6043475887372527</v>
          </cell>
          <cell r="T217">
            <v>1.8935221294433934E-2</v>
          </cell>
          <cell r="U217">
            <v>0.609652083720156</v>
          </cell>
          <cell r="V217">
            <v>0.26967503813785865</v>
          </cell>
          <cell r="W217">
            <v>2.8130393820192436</v>
          </cell>
          <cell r="X217">
            <v>8.2838596710150293E-3</v>
          </cell>
          <cell r="Y217">
            <v>3.6569511966250162E-2</v>
          </cell>
          <cell r="Z217">
            <v>4.80124266177092E-2</v>
          </cell>
          <cell r="AA217">
            <v>0</v>
          </cell>
          <cell r="AB217">
            <v>6.3308453023262897E-3</v>
          </cell>
          <cell r="AC217">
            <v>0</v>
          </cell>
          <cell r="AL217">
            <v>0</v>
          </cell>
          <cell r="AM217">
            <v>0</v>
          </cell>
          <cell r="AN217">
            <v>0</v>
          </cell>
          <cell r="AO217">
            <v>0</v>
          </cell>
          <cell r="BN217">
            <v>0.35213261014644376</v>
          </cell>
          <cell r="BO217">
            <v>12.220401202837332</v>
          </cell>
          <cell r="BP217">
            <v>9.2801604311072445E-3</v>
          </cell>
          <cell r="BQ217">
            <v>3.8249855764880847</v>
          </cell>
          <cell r="DV217">
            <v>0</v>
          </cell>
          <cell r="DW217">
            <v>0</v>
          </cell>
          <cell r="DX217">
            <v>0</v>
          </cell>
          <cell r="DY217">
            <v>0</v>
          </cell>
          <cell r="DZ217">
            <v>0</v>
          </cell>
          <cell r="EA217">
            <v>0</v>
          </cell>
          <cell r="EB217">
            <v>0</v>
          </cell>
          <cell r="EC217">
            <v>0</v>
          </cell>
        </row>
        <row r="218">
          <cell r="B218">
            <v>257.51755724313688</v>
          </cell>
          <cell r="C218">
            <v>10.382627952963064</v>
          </cell>
          <cell r="J218">
            <v>340.68758220532948</v>
          </cell>
          <cell r="K218">
            <v>10.993694694161251</v>
          </cell>
          <cell r="N218">
            <v>410.05849035607918</v>
          </cell>
          <cell r="O218">
            <v>3.3790915398841155</v>
          </cell>
          <cell r="R218">
            <v>449.46682961277276</v>
          </cell>
          <cell r="S218">
            <v>48.578417910370973</v>
          </cell>
          <cell r="V218">
            <v>11.550841541978789</v>
          </cell>
          <cell r="W218">
            <v>55.922799566856398</v>
          </cell>
          <cell r="Z218">
            <v>4.8041871434971757</v>
          </cell>
          <cell r="AA218">
            <v>0</v>
          </cell>
          <cell r="AL218">
            <v>0</v>
          </cell>
          <cell r="AM218">
            <v>0</v>
          </cell>
          <cell r="BN218">
            <v>480.5928327823471</v>
          </cell>
          <cell r="BO218">
            <v>2.5296277015840873</v>
          </cell>
          <cell r="DV218">
            <v>0</v>
          </cell>
          <cell r="DW218">
            <v>0</v>
          </cell>
          <cell r="DZ218">
            <v>0</v>
          </cell>
          <cell r="EA218">
            <v>0</v>
          </cell>
        </row>
        <row r="219">
          <cell r="B219">
            <v>0.78272682781517544</v>
          </cell>
          <cell r="C219">
            <v>1.6478794436111424</v>
          </cell>
          <cell r="J219">
            <v>0.55390812969256786</v>
          </cell>
          <cell r="K219">
            <v>64.853344420802316</v>
          </cell>
          <cell r="N219">
            <v>1.7781888997127302</v>
          </cell>
          <cell r="O219">
            <v>0.5463952447081295</v>
          </cell>
          <cell r="R219">
            <v>9.865970950172219E-2</v>
          </cell>
          <cell r="S219">
            <v>7.0651811691678752</v>
          </cell>
          <cell r="V219">
            <v>0.10678964013557873</v>
          </cell>
          <cell r="W219">
            <v>34.620757894393115</v>
          </cell>
          <cell r="Z219">
            <v>3.3326322510046663E-2</v>
          </cell>
          <cell r="AA219">
            <v>0</v>
          </cell>
          <cell r="AL219">
            <v>0</v>
          </cell>
          <cell r="AM219">
            <v>0</v>
          </cell>
          <cell r="BN219">
            <v>2.084055959414417</v>
          </cell>
          <cell r="BO219">
            <v>0.6805651020176392</v>
          </cell>
          <cell r="DV219">
            <v>0</v>
          </cell>
          <cell r="DW219">
            <v>0</v>
          </cell>
          <cell r="DZ219">
            <v>0</v>
          </cell>
          <cell r="EA219">
            <v>0</v>
          </cell>
        </row>
        <row r="220">
          <cell r="B220">
            <v>6539.1671960671201</v>
          </cell>
          <cell r="C220">
            <v>111833.86399449916</v>
          </cell>
          <cell r="J220">
            <v>33173.408096886509</v>
          </cell>
          <cell r="K220">
            <v>286991.92611215019</v>
          </cell>
          <cell r="N220">
            <v>11915.852303289112</v>
          </cell>
          <cell r="O220">
            <v>132526.88901202218</v>
          </cell>
          <cell r="R220">
            <v>4865.8219255837148</v>
          </cell>
          <cell r="S220">
            <v>304017.22365784185</v>
          </cell>
          <cell r="V220">
            <v>9466.5024747364441</v>
          </cell>
          <cell r="W220">
            <v>-626.51369552552023</v>
          </cell>
          <cell r="Z220">
            <v>1667.4374754571463</v>
          </cell>
          <cell r="AA220">
            <v>0</v>
          </cell>
          <cell r="AL220">
            <v>0</v>
          </cell>
          <cell r="AM220">
            <v>588.52502361267909</v>
          </cell>
          <cell r="BN220">
            <v>13965.503332173284</v>
          </cell>
          <cell r="BO220">
            <v>155177.69098017461</v>
          </cell>
          <cell r="DV220">
            <v>0</v>
          </cell>
          <cell r="DW220">
            <v>0</v>
          </cell>
          <cell r="DZ220">
            <v>0</v>
          </cell>
          <cell r="EA220">
            <v>0</v>
          </cell>
        </row>
        <row r="221">
          <cell r="B221">
            <v>6614.5779932829719</v>
          </cell>
          <cell r="C221">
            <v>111860.49824393236</v>
          </cell>
          <cell r="J221">
            <v>33290.438087037524</v>
          </cell>
          <cell r="K221">
            <v>287368.47847554961</v>
          </cell>
          <cell r="N221">
            <v>12053.430908371207</v>
          </cell>
          <cell r="O221">
            <v>132553.68563488711</v>
          </cell>
          <cell r="R221">
            <v>4944.3381091968686</v>
          </cell>
          <cell r="S221">
            <v>304094.66916649422</v>
          </cell>
          <cell r="V221">
            <v>9507.3208492198501</v>
          </cell>
          <cell r="W221">
            <v>-153.78769880887222</v>
          </cell>
          <cell r="Z221">
            <v>1675.4267854115647</v>
          </cell>
          <cell r="AA221">
            <v>0</v>
          </cell>
          <cell r="AL221">
            <v>0</v>
          </cell>
          <cell r="AM221">
            <v>588.52502361267909</v>
          </cell>
          <cell r="BN221">
            <v>14126.746894010605</v>
          </cell>
          <cell r="BO221">
            <v>155358.23820475771</v>
          </cell>
          <cell r="DV221">
            <v>0</v>
          </cell>
          <cell r="DW221">
            <v>0</v>
          </cell>
          <cell r="DZ221">
            <v>0</v>
          </cell>
          <cell r="EA221">
            <v>0</v>
          </cell>
        </row>
        <row r="222">
          <cell r="B222">
            <v>14547.5273199481</v>
          </cell>
          <cell r="C222">
            <v>112608.6651350782</v>
          </cell>
          <cell r="J222">
            <v>43657.851207565938</v>
          </cell>
          <cell r="K222">
            <v>304884.42558788706</v>
          </cell>
          <cell r="N222">
            <v>24826.405677477454</v>
          </cell>
          <cell r="O222">
            <v>132799.85312093128</v>
          </cell>
          <cell r="R222">
            <v>18454.487820598006</v>
          </cell>
          <cell r="S222">
            <v>307424.29471363482</v>
          </cell>
          <cell r="V222">
            <v>9882.1453501151427</v>
          </cell>
          <cell r="W222">
            <v>10698.397130210995</v>
          </cell>
          <cell r="Z222">
            <v>1828.3838751816422</v>
          </cell>
          <cell r="AA222">
            <v>0</v>
          </cell>
          <cell r="AL222">
            <v>0</v>
          </cell>
          <cell r="AM222">
            <v>588.52502361267909</v>
          </cell>
          <cell r="BN222">
            <v>29096.806706725838</v>
          </cell>
          <cell r="BO222">
            <v>155614.4767878399</v>
          </cell>
          <cell r="DV222">
            <v>0</v>
          </cell>
          <cell r="DW222">
            <v>0</v>
          </cell>
          <cell r="DZ222">
            <v>0</v>
          </cell>
          <cell r="EA222">
            <v>0</v>
          </cell>
        </row>
        <row r="228">
          <cell r="F228">
            <v>1.7000000000000001E-2</v>
          </cell>
          <cell r="H228">
            <v>7.2455734693231135E-4</v>
          </cell>
          <cell r="I228">
            <v>1.63452384299894E-2</v>
          </cell>
          <cell r="J228">
            <v>3.5462623242209099E-2</v>
          </cell>
          <cell r="K228">
            <v>1.1007977000515401E-2</v>
          </cell>
          <cell r="L228">
            <v>1.6517183228958296E-3</v>
          </cell>
          <cell r="M228">
            <v>4.4321959257891301E-3</v>
          </cell>
          <cell r="N228">
            <v>0.13364999999999999</v>
          </cell>
          <cell r="O228">
            <v>0.72413793103448298</v>
          </cell>
          <cell r="P228">
            <v>2.84081301362914E-4</v>
          </cell>
          <cell r="Q228">
            <v>2.6208189895903199E-2</v>
          </cell>
          <cell r="S228">
            <v>0</v>
          </cell>
          <cell r="T228">
            <v>0</v>
          </cell>
          <cell r="U228">
            <v>0</v>
          </cell>
          <cell r="V228">
            <v>0</v>
          </cell>
          <cell r="W228">
            <v>0.03</v>
          </cell>
          <cell r="X228">
            <v>1E-3</v>
          </cell>
          <cell r="AC228">
            <v>1.7000000000000001E-2</v>
          </cell>
          <cell r="AF228">
            <v>1</v>
          </cell>
        </row>
        <row r="229">
          <cell r="F229">
            <v>0.156</v>
          </cell>
          <cell r="H229">
            <v>0</v>
          </cell>
          <cell r="I229">
            <v>0.19925203160588301</v>
          </cell>
          <cell r="J229">
            <v>8.46382330954316E-2</v>
          </cell>
          <cell r="K229">
            <v>0.106448272437974</v>
          </cell>
          <cell r="L229">
            <v>2.4803249443084745E-2</v>
          </cell>
          <cell r="M229">
            <v>9.5547916015569501E-2</v>
          </cell>
          <cell r="N229">
            <v>0.33667000000000002</v>
          </cell>
          <cell r="O229">
            <v>0</v>
          </cell>
          <cell r="P229">
            <v>1.7788900537725302E-2</v>
          </cell>
          <cell r="Q229">
            <v>0.49066995164065003</v>
          </cell>
          <cell r="S229">
            <v>0</v>
          </cell>
          <cell r="T229">
            <v>0</v>
          </cell>
          <cell r="U229">
            <v>0</v>
          </cell>
          <cell r="V229">
            <v>0</v>
          </cell>
          <cell r="W229">
            <v>0.22</v>
          </cell>
          <cell r="X229">
            <v>0.20499999999999999</v>
          </cell>
          <cell r="AC229">
            <v>0.156</v>
          </cell>
          <cell r="AF229">
            <v>0</v>
          </cell>
        </row>
        <row r="230">
          <cell r="F230">
            <v>0.35699999999999998</v>
          </cell>
          <cell r="H230">
            <v>0.87621155490798519</v>
          </cell>
          <cell r="I230">
            <v>0.68786981654287604</v>
          </cell>
          <cell r="J230">
            <v>2.5643067755837901E-2</v>
          </cell>
          <cell r="K230">
            <v>0.10036740541793</v>
          </cell>
          <cell r="L230">
            <v>0.70119854101343393</v>
          </cell>
          <cell r="M230">
            <v>0.160113077819132</v>
          </cell>
          <cell r="N230">
            <v>0.27638000000000001</v>
          </cell>
          <cell r="O230">
            <v>0.13793103448275901</v>
          </cell>
          <cell r="P230">
            <v>1.1295613649430099E-3</v>
          </cell>
          <cell r="Q230">
            <v>0.15776747539538299</v>
          </cell>
          <cell r="S230">
            <v>0</v>
          </cell>
          <cell r="T230">
            <v>1</v>
          </cell>
          <cell r="U230">
            <v>0</v>
          </cell>
          <cell r="V230">
            <v>0</v>
          </cell>
          <cell r="W230">
            <v>0.4</v>
          </cell>
          <cell r="X230">
            <v>0.215</v>
          </cell>
          <cell r="AC230">
            <v>0.35699999999999998</v>
          </cell>
          <cell r="AF230">
            <v>0</v>
          </cell>
        </row>
        <row r="231">
          <cell r="F231">
            <v>7.2999999999999995E-2</v>
          </cell>
          <cell r="H231">
            <v>1.7539830857432454E-3</v>
          </cell>
          <cell r="I231">
            <v>9.4118686757103092E-3</v>
          </cell>
          <cell r="J231">
            <v>6.3780954225486006E-2</v>
          </cell>
          <cell r="K231">
            <v>1.4027920289889299E-2</v>
          </cell>
          <cell r="L231">
            <v>8.993238518091768E-3</v>
          </cell>
          <cell r="M231">
            <v>0.154075631445862</v>
          </cell>
          <cell r="N231">
            <v>2.767E-2</v>
          </cell>
          <cell r="O231">
            <v>0</v>
          </cell>
          <cell r="P231">
            <v>1.82623693733302E-3</v>
          </cell>
          <cell r="Q231">
            <v>4.2027244861935797E-5</v>
          </cell>
          <cell r="S231">
            <v>0</v>
          </cell>
          <cell r="T231">
            <v>0</v>
          </cell>
          <cell r="U231">
            <v>0</v>
          </cell>
          <cell r="V231">
            <v>0</v>
          </cell>
          <cell r="W231">
            <v>0</v>
          </cell>
          <cell r="X231">
            <v>6.3E-2</v>
          </cell>
          <cell r="AC231">
            <v>7.2999999999999995E-2</v>
          </cell>
          <cell r="AF231">
            <v>0</v>
          </cell>
        </row>
        <row r="232">
          <cell r="F232">
            <v>0</v>
          </cell>
          <cell r="H232">
            <v>5.3831047480282536E-2</v>
          </cell>
          <cell r="I232">
            <v>0</v>
          </cell>
          <cell r="J232">
            <v>2.9029683113441701E-2</v>
          </cell>
          <cell r="K232">
            <v>0.14951871624039101</v>
          </cell>
          <cell r="L232">
            <v>2.914508943579459E-2</v>
          </cell>
          <cell r="M232">
            <v>0.32654771713498298</v>
          </cell>
          <cell r="N232">
            <v>0.12341000000000001</v>
          </cell>
          <cell r="O232">
            <v>0</v>
          </cell>
          <cell r="P232">
            <v>0</v>
          </cell>
          <cell r="Q232">
            <v>0.16580588642930899</v>
          </cell>
          <cell r="S232">
            <v>0</v>
          </cell>
          <cell r="T232">
            <v>0</v>
          </cell>
          <cell r="U232">
            <v>0</v>
          </cell>
          <cell r="V232">
            <v>0</v>
          </cell>
          <cell r="W232">
            <v>0.3</v>
          </cell>
          <cell r="X232">
            <v>0.26600000000000001</v>
          </cell>
          <cell r="AC232">
            <v>0</v>
          </cell>
          <cell r="AF232">
            <v>0</v>
          </cell>
        </row>
        <row r="233">
          <cell r="F233">
            <v>0.28699999999999998</v>
          </cell>
          <cell r="H233">
            <v>2.2211839979728233E-2</v>
          </cell>
          <cell r="I233">
            <v>5.6571637456264701E-2</v>
          </cell>
          <cell r="J233">
            <v>0.75179240826182103</v>
          </cell>
          <cell r="K233">
            <v>0.59992528950317503</v>
          </cell>
          <cell r="L233">
            <v>0.19288022200841712</v>
          </cell>
          <cell r="M233">
            <v>0.23949484331050899</v>
          </cell>
          <cell r="N233">
            <v>8.3089999999999997E-2</v>
          </cell>
          <cell r="O233">
            <v>0.13793103448275901</v>
          </cell>
          <cell r="P233">
            <v>0.96698569447732396</v>
          </cell>
          <cell r="Q233">
            <v>0.15626570184565</v>
          </cell>
          <cell r="S233">
            <v>1</v>
          </cell>
          <cell r="T233">
            <v>0</v>
          </cell>
          <cell r="U233">
            <v>1</v>
          </cell>
          <cell r="V233">
            <v>0</v>
          </cell>
          <cell r="W233">
            <v>0.01</v>
          </cell>
          <cell r="X233">
            <v>9.5000000000000001E-2</v>
          </cell>
          <cell r="AC233">
            <v>0.28699999999999998</v>
          </cell>
          <cell r="AF233">
            <v>0</v>
          </cell>
        </row>
        <row r="234">
          <cell r="F234">
            <v>0.1100000000000001</v>
          </cell>
          <cell r="H234">
            <v>4.5267017199328463E-2</v>
          </cell>
          <cell r="I234">
            <v>3.0549407289276576E-2</v>
          </cell>
          <cell r="J234">
            <v>9.6530303057726918E-3</v>
          </cell>
          <cell r="K234">
            <v>1.8704419110125214E-2</v>
          </cell>
          <cell r="L234">
            <v>4.1327941258281986E-2</v>
          </cell>
          <cell r="M234">
            <v>1.9788618348155373E-2</v>
          </cell>
          <cell r="N234">
            <v>1.912999999999998E-2</v>
          </cell>
          <cell r="O234">
            <v>0</v>
          </cell>
          <cell r="P234">
            <v>1.1985525381311812E-2</v>
          </cell>
          <cell r="Q234">
            <v>3.2407675482429843E-3</v>
          </cell>
          <cell r="S234">
            <v>0</v>
          </cell>
          <cell r="T234">
            <v>0</v>
          </cell>
          <cell r="U234">
            <v>0</v>
          </cell>
          <cell r="V234">
            <v>1</v>
          </cell>
          <cell r="W234">
            <v>4.0000000000000036E-2</v>
          </cell>
          <cell r="X234">
            <v>0.155</v>
          </cell>
          <cell r="AC234">
            <v>0.1100000000000001</v>
          </cell>
          <cell r="AF234">
            <v>0</v>
          </cell>
        </row>
        <row r="235">
          <cell r="F235">
            <v>6.7000000000000004E-2</v>
          </cell>
          <cell r="H235">
            <v>0.08</v>
          </cell>
          <cell r="I235">
            <v>0.05</v>
          </cell>
          <cell r="J235">
            <v>0.16</v>
          </cell>
          <cell r="K235">
            <v>0.05</v>
          </cell>
          <cell r="L235">
            <v>0.05</v>
          </cell>
          <cell r="M235">
            <v>0.03</v>
          </cell>
          <cell r="N235">
            <v>0.06</v>
          </cell>
          <cell r="O235">
            <v>7.0000000000000007E-2</v>
          </cell>
          <cell r="P235">
            <v>0.08</v>
          </cell>
          <cell r="Q235">
            <v>0.1</v>
          </cell>
          <cell r="S235">
            <v>0.21</v>
          </cell>
          <cell r="T235">
            <v>4.8637978879840102E-2</v>
          </cell>
          <cell r="U235">
            <v>4.8637978879840102E-2</v>
          </cell>
          <cell r="V235">
            <v>4.8637978879840102E-2</v>
          </cell>
          <cell r="W235">
            <v>3.3500000000000002E-2</v>
          </cell>
          <cell r="X235">
            <v>6.4399999999999999E-2</v>
          </cell>
          <cell r="AC235">
            <v>6.7000000000000004E-2</v>
          </cell>
          <cell r="AF235">
            <v>0</v>
          </cell>
        </row>
        <row r="237">
          <cell r="F237">
            <v>2382609.426608603</v>
          </cell>
          <cell r="H237">
            <v>2959758.2447541622</v>
          </cell>
          <cell r="I237">
            <v>2826129.6915897159</v>
          </cell>
          <cell r="J237">
            <v>1781119.0038606902</v>
          </cell>
          <cell r="K237">
            <v>1496598.7407871522</v>
          </cell>
          <cell r="L237">
            <v>2571033.2454258362</v>
          </cell>
          <cell r="M237">
            <v>2103365.3602713253</v>
          </cell>
          <cell r="N237">
            <v>2597732.8057718687</v>
          </cell>
          <cell r="O237">
            <v>3416766.20993326</v>
          </cell>
          <cell r="P237">
            <v>1123031.7243846634</v>
          </cell>
          <cell r="Q237">
            <v>2250843.6752304151</v>
          </cell>
          <cell r="S237">
            <v>1265822.7848101265</v>
          </cell>
          <cell r="T237">
            <v>3106119.0541840652</v>
          </cell>
          <cell r="U237">
            <v>1051124.5748727412</v>
          </cell>
          <cell r="V237">
            <v>1051124.5748727412</v>
          </cell>
          <cell r="W237">
            <v>2232367.9574408042</v>
          </cell>
          <cell r="X237">
            <v>2070046.2910800946</v>
          </cell>
          <cell r="AC237">
            <v>2382609.426608603</v>
          </cell>
          <cell r="AF237">
            <v>3634762.3750945898</v>
          </cell>
        </row>
        <row r="238">
          <cell r="F238">
            <v>1591251.5333474271</v>
          </cell>
          <cell r="H238">
            <v>2816586.1494433009</v>
          </cell>
          <cell r="I238">
            <v>2686055.9911818737</v>
          </cell>
          <cell r="J238">
            <v>485396.84670356411</v>
          </cell>
          <cell r="K238">
            <v>618062.12061739189</v>
          </cell>
          <cell r="L238">
            <v>2247841.3970208052</v>
          </cell>
          <cell r="M238">
            <v>757647.76830052678</v>
          </cell>
          <cell r="N238">
            <v>2216716.1508961683</v>
          </cell>
          <cell r="O238">
            <v>3256028.200039105</v>
          </cell>
          <cell r="P238">
            <v>49652.48901269566</v>
          </cell>
          <cell r="Q238">
            <v>1886873.6603442156</v>
          </cell>
          <cell r="S238">
            <v>0</v>
          </cell>
          <cell r="T238">
            <v>3103694.924582134</v>
          </cell>
          <cell r="U238">
            <v>0</v>
          </cell>
          <cell r="V238">
            <v>0</v>
          </cell>
          <cell r="W238">
            <v>1867305.4583462989</v>
          </cell>
          <cell r="X238">
            <v>1202939.4091250128</v>
          </cell>
          <cell r="AC238">
            <v>1591251.5333474271</v>
          </cell>
          <cell r="AF238">
            <v>3619244.316642439</v>
          </cell>
        </row>
        <row r="239">
          <cell r="F239">
            <v>1109554.7194655344</v>
          </cell>
          <cell r="H239">
            <v>2760291.4824380921</v>
          </cell>
          <cell r="I239">
            <v>2099013.6897695088</v>
          </cell>
          <cell r="J239">
            <v>89699.704278770078</v>
          </cell>
          <cell r="K239">
            <v>307396.57913292677</v>
          </cell>
          <cell r="L239">
            <v>2139198.8692545677</v>
          </cell>
          <cell r="M239">
            <v>480425.88335062005</v>
          </cell>
          <cell r="N239">
            <v>856148.71578864008</v>
          </cell>
          <cell r="O239">
            <v>445027.98739321413</v>
          </cell>
          <cell r="P239">
            <v>3599.7577752504108</v>
          </cell>
          <cell r="Q239">
            <v>510464.42472962796</v>
          </cell>
          <cell r="S239">
            <v>0</v>
          </cell>
          <cell r="T239">
            <v>3046061.9202418905</v>
          </cell>
          <cell r="U239">
            <v>0</v>
          </cell>
          <cell r="V239">
            <v>0</v>
          </cell>
          <cell r="W239">
            <v>1201923.5738308509</v>
          </cell>
          <cell r="X239">
            <v>667833.88186104607</v>
          </cell>
          <cell r="AC239">
            <v>1109554.7194655344</v>
          </cell>
          <cell r="AF239">
            <v>19560.681923858629</v>
          </cell>
        </row>
        <row r="240">
          <cell r="F240">
            <v>394220.02603781188</v>
          </cell>
          <cell r="H240">
            <v>11020.552315193439</v>
          </cell>
          <cell r="I240">
            <v>494544.21080893546</v>
          </cell>
          <cell r="J240">
            <v>244263.9818860071</v>
          </cell>
          <cell r="K240">
            <v>264291.3500655918</v>
          </cell>
          <cell r="L240">
            <v>68772.762746920838</v>
          </cell>
          <cell r="M240">
            <v>236342.9942194327</v>
          </cell>
          <cell r="N240">
            <v>865374.87794625305</v>
          </cell>
          <cell r="O240">
            <v>199235.45310990885</v>
          </cell>
          <cell r="P240">
            <v>44596.581326973632</v>
          </cell>
          <cell r="Q240">
            <v>1266097.0588192537</v>
          </cell>
          <cell r="S240">
            <v>0</v>
          </cell>
          <cell r="T240">
            <v>10973.663061626881</v>
          </cell>
          <cell r="U240">
            <v>0</v>
          </cell>
          <cell r="V240">
            <v>0</v>
          </cell>
          <cell r="W240">
            <v>540375.60062826285</v>
          </cell>
          <cell r="X240">
            <v>511699.68482439365</v>
          </cell>
          <cell r="AC240">
            <v>394220.02603781188</v>
          </cell>
          <cell r="AF240">
            <v>253886.68882364826</v>
          </cell>
        </row>
        <row r="241">
          <cell r="F241">
            <v>87476.787844080798</v>
          </cell>
          <cell r="H241">
            <v>45274.114690015347</v>
          </cell>
          <cell r="I241">
            <v>92498.090603429475</v>
          </cell>
          <cell r="J241">
            <v>151433.16053878693</v>
          </cell>
          <cell r="K241">
            <v>46374.191418873343</v>
          </cell>
          <cell r="L241">
            <v>39869.76501931667</v>
          </cell>
          <cell r="M241">
            <v>40878.890730474042</v>
          </cell>
          <cell r="N241">
            <v>495192.55716127518</v>
          </cell>
          <cell r="O241">
            <v>2611764.7595359823</v>
          </cell>
          <cell r="P241">
            <v>1456.1499104716188</v>
          </cell>
          <cell r="Q241">
            <v>110312.17679533377</v>
          </cell>
          <cell r="S241">
            <v>0</v>
          </cell>
          <cell r="T241">
            <v>46659.341278616645</v>
          </cell>
          <cell r="U241">
            <v>0</v>
          </cell>
          <cell r="V241">
            <v>0</v>
          </cell>
          <cell r="W241">
            <v>125006.28388718517</v>
          </cell>
          <cell r="X241">
            <v>23405.842439573102</v>
          </cell>
          <cell r="AC241">
            <v>87476.787844080798</v>
          </cell>
          <cell r="AF241">
            <v>3345796.9458949319</v>
          </cell>
        </row>
        <row r="242">
          <cell r="F242">
            <v>234.57549977244099</v>
          </cell>
          <cell r="H242">
            <v>151.16794689315333</v>
          </cell>
          <cell r="I242">
            <v>145.32653042116465</v>
          </cell>
          <cell r="J242">
            <v>497.50069631701359</v>
          </cell>
          <cell r="K242">
            <v>375.80008938931559</v>
          </cell>
          <cell r="L242">
            <v>213.72240580600732</v>
          </cell>
          <cell r="M242">
            <v>225.5965089423604</v>
          </cell>
          <cell r="N242">
            <v>151.43109754561084</v>
          </cell>
          <cell r="O242">
            <v>224.2750484275843</v>
          </cell>
          <cell r="P242">
            <v>549.16407481948352</v>
          </cell>
          <cell r="Q242">
            <v>175.30502313607809</v>
          </cell>
          <cell r="S242">
            <v>659.5222465116376</v>
          </cell>
          <cell r="T242">
            <v>143.31719358401497</v>
          </cell>
          <cell r="U242">
            <v>547.65963237709161</v>
          </cell>
          <cell r="V242">
            <v>0.30805420327729133</v>
          </cell>
          <cell r="W242">
            <v>123.64861739304608</v>
          </cell>
          <cell r="X242">
            <v>145.63218327519124</v>
          </cell>
          <cell r="AC242">
            <v>234.57549977244099</v>
          </cell>
          <cell r="AF242">
            <v>162.82007701513018</v>
          </cell>
        </row>
        <row r="243">
          <cell r="F243">
            <v>13.829535389161544</v>
          </cell>
          <cell r="H243">
            <v>23.55721838020337</v>
          </cell>
          <cell r="I243">
            <v>22.719883098077283</v>
          </cell>
          <cell r="J243">
            <v>4.8252747951439723</v>
          </cell>
          <cell r="K243">
            <v>5.4838424769355996</v>
          </cell>
          <cell r="L243">
            <v>18.842553792930783</v>
          </cell>
          <cell r="M243">
            <v>7.2277540751617222</v>
          </cell>
          <cell r="N243">
            <v>20.28166900836862</v>
          </cell>
          <cell r="O243">
            <v>34.963126657685841</v>
          </cell>
          <cell r="P243">
            <v>0.43371176904167436</v>
          </cell>
          <cell r="Q243">
            <v>16.408939369380576</v>
          </cell>
          <cell r="S243">
            <v>0</v>
          </cell>
          <cell r="T243">
            <v>25.899489180449521</v>
          </cell>
          <cell r="U243">
            <v>0</v>
          </cell>
          <cell r="V243">
            <v>0</v>
          </cell>
          <cell r="W243">
            <v>16.202015015344244</v>
          </cell>
          <cell r="X243">
            <v>10.588156178485006</v>
          </cell>
          <cell r="AC243">
            <v>13.829535389161544</v>
          </cell>
          <cell r="AF243">
            <v>40.209350688905616</v>
          </cell>
        </row>
        <row r="244">
          <cell r="F244">
            <v>55.110256655432849</v>
          </cell>
          <cell r="H244">
            <v>44.316309774266756</v>
          </cell>
          <cell r="I244">
            <v>52.400430188983144</v>
          </cell>
          <cell r="J244">
            <v>39.728995594044967</v>
          </cell>
          <cell r="K244">
            <v>19.064712531717607</v>
          </cell>
          <cell r="L244">
            <v>38.530855008866524</v>
          </cell>
          <cell r="M244">
            <v>63.431358562976044</v>
          </cell>
          <cell r="N244">
            <v>75.452160477080866</v>
          </cell>
          <cell r="O244">
            <v>177.33502468513137</v>
          </cell>
          <cell r="P244">
            <v>1.8893595602953712</v>
          </cell>
          <cell r="Q244">
            <v>47.86902444075983</v>
          </cell>
          <cell r="S244">
            <v>0</v>
          </cell>
          <cell r="T244">
            <v>47.881029415649998</v>
          </cell>
          <cell r="U244">
            <v>0</v>
          </cell>
          <cell r="V244">
            <v>0</v>
          </cell>
          <cell r="W244">
            <v>40.372329530412344</v>
          </cell>
          <cell r="X244">
            <v>45.13265167838243</v>
          </cell>
          <cell r="AC244">
            <v>55.110256655432849</v>
          </cell>
          <cell r="AF244">
            <v>219.0722306707259</v>
          </cell>
        </row>
        <row r="245">
          <cell r="F245">
            <v>135.04013691678378</v>
          </cell>
          <cell r="H245">
            <v>183.43923383104445</v>
          </cell>
          <cell r="I245">
            <v>177.73042011520519</v>
          </cell>
          <cell r="J245">
            <v>86.902994789521514</v>
          </cell>
          <cell r="K245">
            <v>47.791930169709744</v>
          </cell>
          <cell r="L245">
            <v>148.44042335863679</v>
          </cell>
          <cell r="M245">
            <v>103.78301554648974</v>
          </cell>
          <cell r="N245">
            <v>248.07702573807705</v>
          </cell>
          <cell r="O245">
            <v>852.59092471677047</v>
          </cell>
          <cell r="P245">
            <v>2.9219110820295837</v>
          </cell>
          <cell r="Q245">
            <v>110.97291825903579</v>
          </cell>
          <cell r="S245">
            <v>0</v>
          </cell>
          <cell r="T245">
            <v>200.56180854578477</v>
          </cell>
          <cell r="U245">
            <v>0</v>
          </cell>
          <cell r="V245">
            <v>0</v>
          </cell>
          <cell r="W245">
            <v>132.04926169467828</v>
          </cell>
          <cell r="X245">
            <v>89.013878863482361</v>
          </cell>
          <cell r="AC245">
            <v>135.04013691678378</v>
          </cell>
          <cell r="AF245">
            <v>1058.6261756886076</v>
          </cell>
        </row>
        <row r="246">
          <cell r="F246">
            <v>21.262295302688923</v>
          </cell>
          <cell r="H246">
            <v>45.232167091800804</v>
          </cell>
          <cell r="I246">
            <v>36.939531826626379</v>
          </cell>
          <cell r="J246">
            <v>5.5377165885403627</v>
          </cell>
          <cell r="K246">
            <v>6.6852145627024626</v>
          </cell>
          <cell r="L246">
            <v>35.389097255820417</v>
          </cell>
          <cell r="M246">
            <v>10.591839103790694</v>
          </cell>
          <cell r="N246">
            <v>25.381471842333635</v>
          </cell>
          <cell r="O246">
            <v>54.089949701738874</v>
          </cell>
          <cell r="P246">
            <v>0.23355021023063549</v>
          </cell>
          <cell r="Q246">
            <v>13.916536648406193</v>
          </cell>
          <cell r="S246">
            <v>0</v>
          </cell>
          <cell r="T246">
            <v>49.831776815552423</v>
          </cell>
          <cell r="U246">
            <v>0</v>
          </cell>
          <cell r="V246">
            <v>0</v>
          </cell>
          <cell r="W246">
            <v>23.150566677649579</v>
          </cell>
          <cell r="X246">
            <v>13.282570852028522</v>
          </cell>
          <cell r="AC246">
            <v>21.262295302688923</v>
          </cell>
          <cell r="AF246">
            <v>60.436843039375511</v>
          </cell>
        </row>
        <row r="247">
          <cell r="F247">
            <v>11.336774877915566</v>
          </cell>
          <cell r="H247">
            <v>21.307157885833195</v>
          </cell>
          <cell r="I247">
            <v>18.542248179523231</v>
          </cell>
          <cell r="J247">
            <v>4.2458511171751079</v>
          </cell>
          <cell r="K247">
            <v>3.8707804212655583</v>
          </cell>
          <cell r="L247">
            <v>16.82060276765629</v>
          </cell>
          <cell r="M247">
            <v>6.1318347797134329</v>
          </cell>
          <cell r="N247">
            <v>16.556882694124255</v>
          </cell>
          <cell r="O247">
            <v>43.160922618204552</v>
          </cell>
          <cell r="P247">
            <v>0.19284445531857342</v>
          </cell>
          <cell r="Q247">
            <v>9.1191164932837427</v>
          </cell>
          <cell r="S247">
            <v>0</v>
          </cell>
          <cell r="T247">
            <v>23.441753461553922</v>
          </cell>
          <cell r="U247">
            <v>0</v>
          </cell>
          <cell r="V247">
            <v>0</v>
          </cell>
          <cell r="W247">
            <v>12.406027815414401</v>
          </cell>
          <cell r="X247">
            <v>7.3412517867670539</v>
          </cell>
          <cell r="AC247">
            <v>11.336774877915566</v>
          </cell>
          <cell r="AF247">
            <v>51.18303367646849</v>
          </cell>
        </row>
        <row r="248">
          <cell r="F248">
            <v>136.40886768856197</v>
          </cell>
          <cell r="H248">
            <v>261.43549785469185</v>
          </cell>
          <cell r="I248">
            <v>216.77189634482403</v>
          </cell>
          <cell r="J248">
            <v>54.184548075402326</v>
          </cell>
          <cell r="K248">
            <v>42.475008485376556</v>
          </cell>
          <cell r="L248">
            <v>205.57366273162924</v>
          </cell>
          <cell r="M248">
            <v>82.021480960493449</v>
          </cell>
          <cell r="N248">
            <v>190.90320174150682</v>
          </cell>
          <cell r="O248">
            <v>564.92426116951526</v>
          </cell>
          <cell r="P248">
            <v>1.4123252878657837</v>
          </cell>
          <cell r="Q248">
            <v>81.204035283823941</v>
          </cell>
          <cell r="S248">
            <v>0</v>
          </cell>
          <cell r="T248">
            <v>287.49460905849622</v>
          </cell>
          <cell r="U248">
            <v>0</v>
          </cell>
          <cell r="V248">
            <v>0</v>
          </cell>
          <cell r="W248">
            <v>139.94600097241468</v>
          </cell>
          <cell r="X248">
            <v>82.389801223358305</v>
          </cell>
          <cell r="AC248">
            <v>136.40886768856197</v>
          </cell>
          <cell r="AF248">
            <v>673.4267387810313</v>
          </cell>
        </row>
        <row r="249">
          <cell r="F249">
            <v>0.68703204057446321</v>
          </cell>
          <cell r="H249">
            <v>0.87978832989832667</v>
          </cell>
          <cell r="I249">
            <v>0.88487496530331611</v>
          </cell>
          <cell r="J249">
            <v>0.43550316802705341</v>
          </cell>
          <cell r="K249">
            <v>0.24943591797318657</v>
          </cell>
          <cell r="L249">
            <v>0.71771505151280279</v>
          </cell>
          <cell r="M249">
            <v>0.55067260314033506</v>
          </cell>
          <cell r="N249">
            <v>1.2078251215370495</v>
          </cell>
          <cell r="O249">
            <v>3.7986872602464881</v>
          </cell>
          <cell r="P249">
            <v>1.7759250912416608E-2</v>
          </cell>
          <cell r="Q249">
            <v>0.61999244892087246</v>
          </cell>
          <cell r="S249">
            <v>0</v>
          </cell>
          <cell r="T249">
            <v>0.96115064250163951</v>
          </cell>
          <cell r="U249">
            <v>0</v>
          </cell>
          <cell r="V249">
            <v>0</v>
          </cell>
          <cell r="W249">
            <v>0.66495918123039233</v>
          </cell>
          <cell r="X249">
            <v>0.48247911329450821</v>
          </cell>
          <cell r="AC249">
            <v>0.68703204057446321</v>
          </cell>
          <cell r="AF249">
            <v>4.7044279303544068</v>
          </cell>
        </row>
        <row r="250">
          <cell r="F250">
            <v>1.7143980598659061</v>
          </cell>
          <cell r="H250">
            <v>1.6868484281704208</v>
          </cell>
          <cell r="I250">
            <v>2.2764304332311975</v>
          </cell>
          <cell r="J250">
            <v>1.0108277797715346</v>
          </cell>
          <cell r="K250">
            <v>0.77600735931903619</v>
          </cell>
          <cell r="L250">
            <v>1.4436450927096769</v>
          </cell>
          <cell r="M250">
            <v>1.2020806103392325</v>
          </cell>
          <cell r="N250">
            <v>3.1526571513952404</v>
          </cell>
          <cell r="O250">
            <v>6.3182047110073807</v>
          </cell>
          <cell r="P250">
            <v>8.8005281892824236E-2</v>
          </cell>
          <cell r="Q250">
            <v>2.7316453078578689</v>
          </cell>
          <cell r="S250">
            <v>0</v>
          </cell>
          <cell r="T250">
            <v>1.8458145675089945</v>
          </cell>
          <cell r="U250">
            <v>0</v>
          </cell>
          <cell r="V250">
            <v>0</v>
          </cell>
          <cell r="W250">
            <v>1.8962505790677162</v>
          </cell>
          <cell r="X250">
            <v>1.501961519133618</v>
          </cell>
          <cell r="AC250">
            <v>1.7143980598659061</v>
          </cell>
          <cell r="AF250">
            <v>7.7798966450302576</v>
          </cell>
        </row>
        <row r="251">
          <cell r="F251">
            <v>258.1857580067205</v>
          </cell>
          <cell r="H251">
            <v>451.92258067789231</v>
          </cell>
          <cell r="I251">
            <v>431.97037060345087</v>
          </cell>
          <cell r="J251">
            <v>73.253258677815282</v>
          </cell>
          <cell r="K251">
            <v>99.676057402842872</v>
          </cell>
          <cell r="L251">
            <v>361.32819672733643</v>
          </cell>
          <cell r="M251">
            <v>130.21911580012699</v>
          </cell>
          <cell r="N251">
            <v>330.24797769705731</v>
          </cell>
          <cell r="O251">
            <v>330.7892380859185</v>
          </cell>
          <cell r="P251">
            <v>8.4177976136756794</v>
          </cell>
          <cell r="Q251">
            <v>308.08597714600899</v>
          </cell>
          <cell r="S251">
            <v>0</v>
          </cell>
          <cell r="T251">
            <v>498.04524752314376</v>
          </cell>
          <cell r="U251">
            <v>0</v>
          </cell>
          <cell r="V251">
            <v>0</v>
          </cell>
          <cell r="W251">
            <v>297.43333156762492</v>
          </cell>
          <cell r="X251">
            <v>201.04576253738853</v>
          </cell>
          <cell r="AC251">
            <v>258.1857580067205</v>
          </cell>
          <cell r="AF251">
            <v>334.57621038121812</v>
          </cell>
        </row>
        <row r="252">
          <cell r="F252">
            <v>6.6964063942426124</v>
          </cell>
          <cell r="H252">
            <v>6.6048690749579633</v>
          </cell>
          <cell r="I252">
            <v>6.7966467247729678</v>
          </cell>
          <cell r="J252">
            <v>5.5676059853002036</v>
          </cell>
          <cell r="K252">
            <v>2.181727275808103</v>
          </cell>
          <cell r="L252">
            <v>5.5101393992255394</v>
          </cell>
          <cell r="M252">
            <v>6.8856866218919182</v>
          </cell>
          <cell r="N252">
            <v>12.619982616655999</v>
          </cell>
          <cell r="O252">
            <v>49.462629595058374</v>
          </cell>
          <cell r="P252">
            <v>0.1359263673544453</v>
          </cell>
          <cell r="Q252">
            <v>4.2198355654513309</v>
          </cell>
          <cell r="S252">
            <v>0</v>
          </cell>
          <cell r="T252">
            <v>7.1638408786695971</v>
          </cell>
          <cell r="U252">
            <v>0</v>
          </cell>
          <cell r="V252">
            <v>0</v>
          </cell>
          <cell r="W252">
            <v>5.2653781573060741</v>
          </cell>
          <cell r="X252">
            <v>4.3509591157254528</v>
          </cell>
          <cell r="AC252">
            <v>6.6964063942426124</v>
          </cell>
          <cell r="AF252">
            <v>62.22597598235555</v>
          </cell>
        </row>
        <row r="253">
          <cell r="F253">
            <v>141625.93460352023</v>
          </cell>
          <cell r="H253">
            <v>280221.75670655654</v>
          </cell>
          <cell r="I253">
            <v>246921.71953019683</v>
          </cell>
          <cell r="J253">
            <v>36369.457878094043</v>
          </cell>
          <cell r="K253">
            <v>50347.242370480468</v>
          </cell>
          <cell r="L253">
            <v>221144.5133393289</v>
          </cell>
          <cell r="M253">
            <v>65303.625550250254</v>
          </cell>
          <cell r="N253">
            <v>179381.44632951394</v>
          </cell>
          <cell r="O253">
            <v>280752.47766051651</v>
          </cell>
          <cell r="P253">
            <v>3128.6127551876652</v>
          </cell>
          <cell r="Q253">
            <v>135593.61997472835</v>
          </cell>
          <cell r="S253">
            <v>0</v>
          </cell>
          <cell r="T253">
            <v>308883.04558342556</v>
          </cell>
          <cell r="U253">
            <v>0</v>
          </cell>
          <cell r="V253">
            <v>0</v>
          </cell>
          <cell r="W253">
            <v>162844.64462787917</v>
          </cell>
          <cell r="X253">
            <v>98981.144294546335</v>
          </cell>
          <cell r="AC253">
            <v>141625.93460352023</v>
          </cell>
          <cell r="AF253">
            <v>304593.13944572065</v>
          </cell>
        </row>
        <row r="255">
          <cell r="F255">
            <v>0.91370574477103128</v>
          </cell>
          <cell r="H255">
            <v>1.385447538831643</v>
          </cell>
          <cell r="I255">
            <v>1.4334197534445121</v>
          </cell>
          <cell r="J255">
            <v>0.47823891482547631</v>
          </cell>
          <cell r="K255">
            <v>0.38178253759223857</v>
          </cell>
          <cell r="L255">
            <v>1.1168185753190198</v>
          </cell>
          <cell r="M255">
            <v>0.4549476799227688</v>
          </cell>
          <cell r="N255">
            <v>1.8386682069058016</v>
          </cell>
          <cell r="O255">
            <v>5.373137209804951</v>
          </cell>
          <cell r="P255">
            <v>2.921475718044398E-2</v>
          </cell>
          <cell r="Q255">
            <v>1.1490821261827686</v>
          </cell>
          <cell r="S255">
            <v>0</v>
          </cell>
          <cell r="T255">
            <v>1.5210023528417917</v>
          </cell>
          <cell r="U255">
            <v>0</v>
          </cell>
          <cell r="V255">
            <v>0</v>
          </cell>
          <cell r="W255">
            <v>1.1036481343199205</v>
          </cell>
          <cell r="X255">
            <v>0.64894492764131173</v>
          </cell>
          <cell r="AC255">
            <v>0.91370574477103128</v>
          </cell>
          <cell r="AF255">
            <v>6.6250197646822429</v>
          </cell>
        </row>
        <row r="256">
          <cell r="F256">
            <v>7.6613456247226051</v>
          </cell>
          <cell r="H256">
            <v>14.808727161701215</v>
          </cell>
          <cell r="I256">
            <v>12.977558004347806</v>
          </cell>
          <cell r="J256">
            <v>1.8272740394779985</v>
          </cell>
          <cell r="K256">
            <v>2.6344777261193721</v>
          </cell>
          <cell r="L256">
            <v>11.714921844134402</v>
          </cell>
          <cell r="M256">
            <v>4.062619979243097</v>
          </cell>
          <cell r="N256">
            <v>8.2673712372773984</v>
          </cell>
          <cell r="O256">
            <v>6.9797854358218663</v>
          </cell>
          <cell r="P256">
            <v>0.17584458170270023</v>
          </cell>
          <cell r="Q256">
            <v>7.0324215485920138</v>
          </cell>
          <cell r="T256">
            <v>16.324309241624167</v>
          </cell>
          <cell r="U256">
            <v>0</v>
          </cell>
          <cell r="V256">
            <v>0</v>
          </cell>
          <cell r="W256">
            <v>8.3579463675506673</v>
          </cell>
          <cell r="X256">
            <v>5.5504389011718738</v>
          </cell>
          <cell r="AC256">
            <v>7.6613456247226051</v>
          </cell>
          <cell r="AF256">
            <v>6.0058810414336765</v>
          </cell>
        </row>
        <row r="257">
          <cell r="F257">
            <v>28.819022496020391</v>
          </cell>
          <cell r="H257">
            <v>64.384965643724982</v>
          </cell>
          <cell r="I257">
            <v>52.099823357974287</v>
          </cell>
          <cell r="J257">
            <v>4.5313148460073647</v>
          </cell>
          <cell r="K257">
            <v>8.9549186651495276</v>
          </cell>
          <cell r="L257">
            <v>50.307423024643249</v>
          </cell>
          <cell r="M257">
            <v>13.433432260733131</v>
          </cell>
          <cell r="N257">
            <v>27.289350779712347</v>
          </cell>
          <cell r="O257">
            <v>23.201464596611579</v>
          </cell>
          <cell r="P257">
            <v>0.35963608669288932</v>
          </cell>
          <cell r="Q257">
            <v>19.743266576432852</v>
          </cell>
          <cell r="S257">
            <v>0</v>
          </cell>
          <cell r="T257">
            <v>71.020728830064797</v>
          </cell>
          <cell r="U257">
            <v>0</v>
          </cell>
          <cell r="V257">
            <v>0</v>
          </cell>
          <cell r="W257">
            <v>31.626495173925754</v>
          </cell>
          <cell r="X257">
            <v>18.903938886505856</v>
          </cell>
          <cell r="AC257">
            <v>28.819022496020391</v>
          </cell>
          <cell r="AF257">
            <v>16.927514461229727</v>
          </cell>
        </row>
        <row r="258">
          <cell r="F258">
            <v>3.7031939714483095</v>
          </cell>
          <cell r="H258">
            <v>8.2891088137870135</v>
          </cell>
          <cell r="I258">
            <v>6.7416454391323919</v>
          </cell>
          <cell r="J258">
            <v>0.5555491910347724</v>
          </cell>
          <cell r="K258">
            <v>1.1655330468747478</v>
          </cell>
          <cell r="L258">
            <v>6.4780673708720666</v>
          </cell>
          <cell r="M258">
            <v>1.6747246828677693</v>
          </cell>
          <cell r="N258">
            <v>3.5286076709263612</v>
          </cell>
          <cell r="O258">
            <v>2.7387363472100787</v>
          </cell>
          <cell r="P258">
            <v>4.9280198783260246E-2</v>
          </cell>
          <cell r="Q258">
            <v>2.6452852798259689</v>
          </cell>
          <cell r="S258">
            <v>0</v>
          </cell>
          <cell r="T258">
            <v>9.1447094197756229</v>
          </cell>
          <cell r="U258">
            <v>0</v>
          </cell>
          <cell r="V258">
            <v>0</v>
          </cell>
          <cell r="W258">
            <v>4.1091489693055063</v>
          </cell>
          <cell r="X258">
            <v>2.4475899093409912</v>
          </cell>
          <cell r="AC258">
            <v>3.7031939714483095</v>
          </cell>
          <cell r="AF258">
            <v>1.8601905876018328</v>
          </cell>
        </row>
        <row r="259">
          <cell r="F259">
            <v>3.1160582648142969</v>
          </cell>
          <cell r="H259">
            <v>6.8630719174287051</v>
          </cell>
          <cell r="I259">
            <v>5.6443979294979254</v>
          </cell>
          <cell r="J259">
            <v>0.49248442313613</v>
          </cell>
          <cell r="K259">
            <v>0.99882459175817861</v>
          </cell>
          <cell r="L259">
            <v>5.3712701500134656</v>
          </cell>
          <cell r="M259">
            <v>1.4154846016239842</v>
          </cell>
          <cell r="N259">
            <v>3.037531970833153</v>
          </cell>
          <cell r="O259">
            <v>2.3289840419431784</v>
          </cell>
          <cell r="P259">
            <v>4.6473500398442287E-2</v>
          </cell>
          <cell r="Q259">
            <v>2.3521712601260538</v>
          </cell>
          <cell r="S259">
            <v>0</v>
          </cell>
          <cell r="T259">
            <v>7.571337513220552</v>
          </cell>
          <cell r="U259">
            <v>0</v>
          </cell>
          <cell r="V259">
            <v>0</v>
          </cell>
          <cell r="W259">
            <v>3.4715833464101395</v>
          </cell>
          <cell r="X259">
            <v>2.0907168973924151</v>
          </cell>
          <cell r="AC259">
            <v>3.1160582648142969</v>
          </cell>
          <cell r="AF259">
            <v>1.6190651321221843</v>
          </cell>
        </row>
        <row r="260">
          <cell r="F260">
            <v>37.475394447701035</v>
          </cell>
          <cell r="H260">
            <v>92.027251115163438</v>
          </cell>
          <cell r="I260">
            <v>70.302781198466334</v>
          </cell>
          <cell r="J260">
            <v>3.6351857080226928</v>
          </cell>
          <cell r="K260">
            <v>10.471129117152589</v>
          </cell>
          <cell r="L260">
            <v>71.370156301834058</v>
          </cell>
          <cell r="M260">
            <v>16.545201209978927</v>
          </cell>
          <cell r="N260">
            <v>30.134226550944298</v>
          </cell>
          <cell r="O260">
            <v>21.699696218441122</v>
          </cell>
          <cell r="P260">
            <v>0.1421156814021684</v>
          </cell>
          <cell r="Q260">
            <v>17.674801087765335</v>
          </cell>
          <cell r="S260">
            <v>0</v>
          </cell>
          <cell r="T260">
            <v>101.54120983352415</v>
          </cell>
          <cell r="U260">
            <v>0</v>
          </cell>
          <cell r="V260">
            <v>0</v>
          </cell>
          <cell r="W260">
            <v>40.509040685043878</v>
          </cell>
          <cell r="X260">
            <v>22.610547269478271</v>
          </cell>
          <cell r="AC260">
            <v>37.475394447701035</v>
          </cell>
          <cell r="AF260">
            <v>9.4681430740249866</v>
          </cell>
        </row>
        <row r="261">
          <cell r="F261">
            <v>0.14455077592616405</v>
          </cell>
          <cell r="H261">
            <v>0.29730996682898186</v>
          </cell>
          <cell r="I261">
            <v>0.25474564300339952</v>
          </cell>
          <cell r="J261">
            <v>3.0464287856857206E-2</v>
          </cell>
          <cell r="K261">
            <v>4.9166493721271222E-2</v>
          </cell>
          <cell r="L261">
            <v>0.2339618325801501</v>
          </cell>
          <cell r="M261">
            <v>6.8011147816169307E-2</v>
          </cell>
          <cell r="N261">
            <v>0.15999451204564066</v>
          </cell>
          <cell r="O261">
            <v>0.17417166449491467</v>
          </cell>
          <cell r="P261">
            <v>2.8586251838306409E-3</v>
          </cell>
          <cell r="Q261">
            <v>0.12692483990359549</v>
          </cell>
          <cell r="S261">
            <v>0</v>
          </cell>
          <cell r="T261">
            <v>0.3278638834279477</v>
          </cell>
          <cell r="U261">
            <v>0</v>
          </cell>
          <cell r="V261">
            <v>0</v>
          </cell>
          <cell r="W261">
            <v>0.16263940254889381</v>
          </cell>
          <cell r="X261">
            <v>0.10058535148701921</v>
          </cell>
          <cell r="AC261">
            <v>0.14455077592616405</v>
          </cell>
          <cell r="AF261">
            <v>0.16427337163174172</v>
          </cell>
        </row>
        <row r="262">
          <cell r="F262">
            <v>0.43316488811689158</v>
          </cell>
          <cell r="H262">
            <v>0.57018361956488317</v>
          </cell>
          <cell r="I262">
            <v>0.6841412184675556</v>
          </cell>
          <cell r="J262">
            <v>0.15072324566178502</v>
          </cell>
          <cell r="K262">
            <v>0.19930359747282977</v>
          </cell>
          <cell r="L262">
            <v>0.47309245710742925</v>
          </cell>
          <cell r="M262">
            <v>0.2243759242000494</v>
          </cell>
          <cell r="N262">
            <v>0.63449423960450047</v>
          </cell>
          <cell r="O262">
            <v>0.28536346346124597</v>
          </cell>
          <cell r="P262">
            <v>2.3609372234991845E-2</v>
          </cell>
          <cell r="Q262">
            <v>0.75369430327446363</v>
          </cell>
          <cell r="S262">
            <v>0</v>
          </cell>
          <cell r="T262">
            <v>0.62858730501458993</v>
          </cell>
          <cell r="U262">
            <v>0</v>
          </cell>
          <cell r="V262">
            <v>0</v>
          </cell>
          <cell r="W262">
            <v>0.52458293457104577</v>
          </cell>
          <cell r="X262">
            <v>0.39965368921114214</v>
          </cell>
          <cell r="AC262">
            <v>0.43316488811689158</v>
          </cell>
          <cell r="AF262">
            <v>0.25258077398824641</v>
          </cell>
        </row>
      </sheetData>
      <sheetData sheetId="4">
        <row r="262">
          <cell r="D262">
            <v>0.86340162433430534</v>
          </cell>
          <cell r="F262">
            <v>0.80583557500656444</v>
          </cell>
          <cell r="H262">
            <v>0.88035087318703953</v>
          </cell>
          <cell r="I262">
            <v>0.99919999999999998</v>
          </cell>
          <cell r="J262">
            <v>1.0008441227818503</v>
          </cell>
          <cell r="K262">
            <v>1.0008439382074072</v>
          </cell>
          <cell r="O262">
            <v>1.0257000000000001</v>
          </cell>
          <cell r="U262">
            <v>0.86340162433430534</v>
          </cell>
          <cell r="W262">
            <v>0.99919999999999998</v>
          </cell>
          <cell r="X262">
            <v>1.0008441227818503</v>
          </cell>
        </row>
        <row r="263">
          <cell r="B263">
            <v>64246.537428366886</v>
          </cell>
          <cell r="D263">
            <v>173501.05935335869</v>
          </cell>
          <cell r="F263">
            <v>221338.76703811908</v>
          </cell>
          <cell r="H263">
            <v>142039.73077429229</v>
          </cell>
          <cell r="I263">
            <v>66847.977165531804</v>
          </cell>
          <cell r="J263">
            <v>118338.76261401227</v>
          </cell>
          <cell r="K263">
            <v>118355.83736564037</v>
          </cell>
          <cell r="O263">
            <v>86957.744170981241</v>
          </cell>
          <cell r="T263">
            <v>43738.167463884907</v>
          </cell>
          <cell r="U263">
            <v>175298.91445579089</v>
          </cell>
          <cell r="W263">
            <v>68967.069069737452</v>
          </cell>
          <cell r="X263">
            <v>120647.38636902017</v>
          </cell>
        </row>
        <row r="264">
          <cell r="B264">
            <v>60353.576899843283</v>
          </cell>
          <cell r="D264">
            <v>170438.58375633782</v>
          </cell>
          <cell r="F264">
            <v>196466.9847864722</v>
          </cell>
          <cell r="H264">
            <v>138905.31326051778</v>
          </cell>
          <cell r="I264">
            <v>65909.008840421724</v>
          </cell>
          <cell r="J264">
            <v>116541.61149427183</v>
          </cell>
          <cell r="K264">
            <v>116557.6336103911</v>
          </cell>
          <cell r="O264">
            <v>85910.034354084288</v>
          </cell>
          <cell r="T264">
            <v>40122.294215017311</v>
          </cell>
          <cell r="U264">
            <v>172620.3894115056</v>
          </cell>
          <cell r="W264">
            <v>68270.557181433192</v>
          </cell>
          <cell r="X264">
            <v>119072.82739470426</v>
          </cell>
        </row>
        <row r="265">
          <cell r="B265">
            <v>4858.2196308954171</v>
          </cell>
          <cell r="D265">
            <v>3991.6916499839508</v>
          </cell>
          <cell r="F265">
            <v>6233.1452240608569</v>
          </cell>
          <cell r="H265">
            <v>4093.4753695890386</v>
          </cell>
          <cell r="I265">
            <v>1232.4402680172841</v>
          </cell>
          <cell r="J265">
            <v>2365.8584397501622</v>
          </cell>
          <cell r="K265">
            <v>2367.246787814342</v>
          </cell>
          <cell r="O265">
            <v>1380.4525805019518</v>
          </cell>
          <cell r="T265">
            <v>4777.7230903718473</v>
          </cell>
          <cell r="U265">
            <v>3483.1446641408647</v>
          </cell>
          <cell r="W265">
            <v>911.04405841408231</v>
          </cell>
          <cell r="X265">
            <v>2070.673226442907</v>
          </cell>
        </row>
        <row r="266">
          <cell r="B266">
            <v>44504.011944721788</v>
          </cell>
          <cell r="D266">
            <v>102434.64121021709</v>
          </cell>
          <cell r="F266">
            <v>126498.8489432027</v>
          </cell>
          <cell r="H266">
            <v>78878.659923656494</v>
          </cell>
          <cell r="I266">
            <v>34534.49774144766</v>
          </cell>
          <cell r="J266">
            <v>78725.104913838019</v>
          </cell>
          <cell r="K266">
            <v>78728.803278013744</v>
          </cell>
          <cell r="O266">
            <v>42851.45822911679</v>
          </cell>
          <cell r="T266">
            <v>27231.07154810365</v>
          </cell>
          <cell r="U266">
            <v>101652.81155440646</v>
          </cell>
          <cell r="W266">
            <v>34112.798670405144</v>
          </cell>
          <cell r="X266">
            <v>78321.369795159058</v>
          </cell>
        </row>
        <row r="267">
          <cell r="B267">
            <v>10991.345324226078</v>
          </cell>
          <cell r="D267">
            <v>64012.250896136764</v>
          </cell>
          <cell r="F267">
            <v>63734.990619208642</v>
          </cell>
          <cell r="H267">
            <v>55933.177967272255</v>
          </cell>
          <cell r="I267">
            <v>30142.070830956774</v>
          </cell>
          <cell r="J267">
            <v>35450.648140683639</v>
          </cell>
          <cell r="K267">
            <v>35461.583544563029</v>
          </cell>
          <cell r="O267">
            <v>41678.123544465547</v>
          </cell>
          <cell r="T267">
            <v>8113.4995765418171</v>
          </cell>
          <cell r="U267">
            <v>67484.433192958284</v>
          </cell>
          <cell r="W267">
            <v>33246.71445261396</v>
          </cell>
          <cell r="X267">
            <v>38680.784373102295</v>
          </cell>
        </row>
        <row r="268">
          <cell r="B268">
            <v>17.689832445545051</v>
          </cell>
          <cell r="D268">
            <v>10.575141200774549</v>
          </cell>
          <cell r="F268">
            <v>37.157329224753774</v>
          </cell>
          <cell r="H268">
            <v>8.9130978460134376</v>
          </cell>
          <cell r="I268">
            <v>2.5395680711243136</v>
          </cell>
          <cell r="J268">
            <v>4.1039728235597872</v>
          </cell>
          <cell r="K268">
            <v>4.1044582654907771</v>
          </cell>
          <cell r="O268">
            <v>2.5276110041231052</v>
          </cell>
          <cell r="T268">
            <v>20.66253603379246</v>
          </cell>
          <cell r="U268">
            <v>10.537697444478242</v>
          </cell>
          <cell r="W268">
            <v>2.532945412214882</v>
          </cell>
          <cell r="X268">
            <v>4.1042794944792425</v>
          </cell>
        </row>
        <row r="269">
          <cell r="B269">
            <v>3.6895646545857375</v>
          </cell>
          <cell r="D269">
            <v>23.999765721997559</v>
          </cell>
          <cell r="F269">
            <v>26.400850209022327</v>
          </cell>
          <cell r="H269">
            <v>4.835588130419886</v>
          </cell>
          <cell r="I269">
            <v>2.2758876348530905</v>
          </cell>
          <cell r="J269">
            <v>3.6705055402851192</v>
          </cell>
          <cell r="K269">
            <v>3.6707805358216521</v>
          </cell>
          <cell r="O269">
            <v>2.49088668264024</v>
          </cell>
          <cell r="T269">
            <v>3.7733963378013256</v>
          </cell>
          <cell r="U269">
            <v>24.380784995001218</v>
          </cell>
          <cell r="W269">
            <v>2.5603700032579737</v>
          </cell>
          <cell r="X269">
            <v>4.0427053692736115</v>
          </cell>
        </row>
        <row r="270">
          <cell r="B270">
            <v>7.3693431597470385</v>
          </cell>
          <cell r="D270">
            <v>7.1914348590241559</v>
          </cell>
          <cell r="F270">
            <v>9.4650290340152061</v>
          </cell>
          <cell r="H270">
            <v>6.6351926691711265</v>
          </cell>
          <cell r="I270">
            <v>2.8580260001402666</v>
          </cell>
          <cell r="J270">
            <v>4.2136099920256909</v>
          </cell>
          <cell r="K270">
            <v>4.2156719122869406</v>
          </cell>
          <cell r="O270">
            <v>3.1233548249799492</v>
          </cell>
          <cell r="T270">
            <v>7.1424035793641218</v>
          </cell>
          <cell r="U270">
            <v>7.7920347465337212</v>
          </cell>
          <cell r="W270">
            <v>3.4249064617735918</v>
          </cell>
          <cell r="X270">
            <v>4.8128920709844971</v>
          </cell>
        </row>
        <row r="271">
          <cell r="B271">
            <v>11.350035400801717</v>
          </cell>
          <cell r="D271">
            <v>10.812256789250938</v>
          </cell>
          <cell r="F271">
            <v>15.972204680764051</v>
          </cell>
          <cell r="H271">
            <v>9.2432669566193475</v>
          </cell>
          <cell r="I271">
            <v>7.4948499845494396</v>
          </cell>
          <cell r="J271">
            <v>6.340233595763654</v>
          </cell>
          <cell r="K271">
            <v>6.3457378271820684</v>
          </cell>
          <cell r="O271">
            <v>4.1470171028756413</v>
          </cell>
          <cell r="T271">
            <v>11.237610264267484</v>
          </cell>
          <cell r="U271">
            <v>20.160775764467918</v>
          </cell>
          <cell r="W271">
            <v>14.276979599191259</v>
          </cell>
          <cell r="X271">
            <v>15.461251199647119</v>
          </cell>
        </row>
        <row r="272">
          <cell r="B272">
            <v>0.55785966782025265</v>
          </cell>
          <cell r="D272">
            <v>1.3885577824167463</v>
          </cell>
          <cell r="F272">
            <v>2.3826420022159236</v>
          </cell>
          <cell r="H272">
            <v>1.3805224685523414</v>
          </cell>
          <cell r="I272">
            <v>0.83563016769465182</v>
          </cell>
          <cell r="J272">
            <v>0.73472361683676457</v>
          </cell>
          <cell r="K272">
            <v>0.73499289858700567</v>
          </cell>
          <cell r="O272">
            <v>0.66567774287365788</v>
          </cell>
          <cell r="T272">
            <v>0.56697728692824367</v>
          </cell>
          <cell r="U272">
            <v>2.2560727605899986</v>
          </cell>
          <cell r="W272">
            <v>1.4801944763205788</v>
          </cell>
          <cell r="X272">
            <v>1.5858048507471807</v>
          </cell>
        </row>
        <row r="273">
          <cell r="B273">
            <v>0.47662987501164428</v>
          </cell>
          <cell r="D273">
            <v>1.1964893337767593</v>
          </cell>
          <cell r="F273">
            <v>1.5229525465591129</v>
          </cell>
          <cell r="H273">
            <v>1.185826776755188</v>
          </cell>
          <cell r="I273">
            <v>0.74334844566159419</v>
          </cell>
          <cell r="J273">
            <v>0.62621302326422779</v>
          </cell>
          <cell r="K273">
            <v>0.6264362690627483</v>
          </cell>
          <cell r="O273">
            <v>0.54183279356599545</v>
          </cell>
          <cell r="T273">
            <v>0.48281266533126233</v>
          </cell>
          <cell r="U273">
            <v>1.9985178441273679</v>
          </cell>
          <cell r="W273">
            <v>1.3338012244592872</v>
          </cell>
          <cell r="X273">
            <v>1.4116801985067855</v>
          </cell>
        </row>
        <row r="274">
          <cell r="B274">
            <v>2.5592619949901905</v>
          </cell>
          <cell r="D274">
            <v>3.499153908925273</v>
          </cell>
          <cell r="F274">
            <v>4.9093761948238317</v>
          </cell>
          <cell r="H274">
            <v>4.4366683174462329</v>
          </cell>
          <cell r="I274">
            <v>3.60619087018204</v>
          </cell>
          <cell r="J274">
            <v>2.0412563485182633</v>
          </cell>
          <cell r="K274">
            <v>2.0421471736618648</v>
          </cell>
          <cell r="O274">
            <v>1.5070636363739351</v>
          </cell>
          <cell r="T274">
            <v>2.7740097508815116</v>
          </cell>
          <cell r="U274">
            <v>10.669288654818084</v>
          </cell>
          <cell r="W274">
            <v>8.9474441147734005</v>
          </cell>
          <cell r="X274">
            <v>9.0616132394839273</v>
          </cell>
        </row>
        <row r="275">
          <cell r="B275">
            <v>8.6536638942778826E-2</v>
          </cell>
          <cell r="D275">
            <v>0.14816187121582722</v>
          </cell>
          <cell r="F275">
            <v>0.18567189183560701</v>
          </cell>
          <cell r="H275">
            <v>0.10602093725854764</v>
          </cell>
          <cell r="I275">
            <v>9.426241847332123E-2</v>
          </cell>
          <cell r="J275">
            <v>8.4131317894943131E-2</v>
          </cell>
          <cell r="K275">
            <v>8.4162434600118533E-2</v>
          </cell>
          <cell r="O275">
            <v>7.0727943473925317E-2</v>
          </cell>
          <cell r="T275">
            <v>9.0259949793973934E-2</v>
          </cell>
          <cell r="U275">
            <v>0.26912213412948982</v>
          </cell>
          <cell r="W275">
            <v>0.18321661119308663</v>
          </cell>
          <cell r="X275">
            <v>0.20242478352308854</v>
          </cell>
        </row>
        <row r="276">
          <cell r="B276">
            <v>0.17449109373388111</v>
          </cell>
          <cell r="D276">
            <v>0.21642085798901028</v>
          </cell>
          <cell r="F276">
            <v>0.27070264836236807</v>
          </cell>
          <cell r="H276">
            <v>0.16880312849590329</v>
          </cell>
          <cell r="I276">
            <v>0.18561399254104205</v>
          </cell>
          <cell r="J276">
            <v>0.12535039527647979</v>
          </cell>
          <cell r="K276">
            <v>0.12543545378073678</v>
          </cell>
          <cell r="O276">
            <v>9.0964282667679211E-2</v>
          </cell>
          <cell r="T276">
            <v>0.1718163458523812</v>
          </cell>
          <cell r="U276">
            <v>0.52958203024709127</v>
          </cell>
          <cell r="W276">
            <v>0.41508305826094477</v>
          </cell>
          <cell r="X276">
            <v>0.43126141824598607</v>
          </cell>
        </row>
        <row r="277">
          <cell r="B277">
            <v>91.550547508731526</v>
          </cell>
          <cell r="D277">
            <v>36.572942893424909</v>
          </cell>
          <cell r="F277">
            <v>40.878357327449613</v>
          </cell>
          <cell r="H277">
            <v>30.058249780404445</v>
          </cell>
          <cell r="I277">
            <v>9.3795085157783014</v>
          </cell>
          <cell r="J277">
            <v>17.916450450979063</v>
          </cell>
          <cell r="K277">
            <v>17.918249592514702</v>
          </cell>
          <cell r="O277">
            <v>10.028429250035648</v>
          </cell>
          <cell r="T277">
            <v>88.313339575181999</v>
          </cell>
          <cell r="U277">
            <v>36.665724762677122</v>
          </cell>
          <cell r="W277">
            <v>9.5279841966148364</v>
          </cell>
          <cell r="X277">
            <v>18.090323302710207</v>
          </cell>
        </row>
        <row r="278">
          <cell r="B278">
            <v>8.4086657055974914E-2</v>
          </cell>
          <cell r="D278">
            <v>0.21571491520379504</v>
          </cell>
          <cell r="F278">
            <v>2.8174487718633481</v>
          </cell>
          <cell r="H278">
            <v>0.17157700702075168</v>
          </cell>
          <cell r="I278">
            <v>7.9959028291297585E-2</v>
          </cell>
          <cell r="J278">
            <v>0.13837317914284586</v>
          </cell>
          <cell r="K278">
            <v>0.1383942180216145</v>
          </cell>
          <cell r="O278">
            <v>9.7783372610900074E-2</v>
          </cell>
          <cell r="T278">
            <v>5.3288072255089199E-2</v>
          </cell>
          <cell r="U278">
            <v>0.22123476868893444</v>
          </cell>
          <cell r="W278">
            <v>8.3471417807825396E-2</v>
          </cell>
          <cell r="X278">
            <v>0.14438827538363594</v>
          </cell>
        </row>
        <row r="279">
          <cell r="B279">
            <v>5286.5584411032723</v>
          </cell>
          <cell r="D279">
            <v>12402.422394999337</v>
          </cell>
          <cell r="F279">
            <v>14472.808530973474</v>
          </cell>
          <cell r="H279">
            <v>10780.737871143083</v>
          </cell>
          <cell r="I279">
            <v>4538.2937973823082</v>
          </cell>
          <cell r="J279">
            <v>7628.7526507578123</v>
          </cell>
          <cell r="K279">
            <v>7629.9937124287499</v>
          </cell>
          <cell r="O279">
            <v>4944.8612663950453</v>
          </cell>
          <cell r="T279">
            <v>3577.9342003456763</v>
          </cell>
          <cell r="U279">
            <v>12613.317832142131</v>
          </cell>
          <cell r="W279">
            <v>4751.6142014115985</v>
          </cell>
          <cell r="X279">
            <v>7866.9484519849557</v>
          </cell>
        </row>
        <row r="280">
          <cell r="B280">
            <v>5309.6379806706191</v>
          </cell>
          <cell r="D280">
            <v>12488.522491039934</v>
          </cell>
          <cell r="F280">
            <v>14569.964797845047</v>
          </cell>
          <cell r="H280">
            <v>10806.23551882016</v>
          </cell>
          <cell r="I280">
            <v>4549.8781642254398</v>
          </cell>
          <cell r="J280">
            <v>7646.8137801553603</v>
          </cell>
          <cell r="K280">
            <v>7648.0589390561308</v>
          </cell>
          <cell r="O280">
            <v>4957.532658899956</v>
          </cell>
          <cell r="T280">
            <v>3600.9183959851102</v>
          </cell>
          <cell r="U280">
            <v>12701.549238073485</v>
          </cell>
          <cell r="W280">
            <v>4764.9760171235876</v>
          </cell>
          <cell r="X280">
            <v>7887.1113331640718</v>
          </cell>
        </row>
        <row r="281">
          <cell r="B281">
            <v>8078.4373700523975</v>
          </cell>
          <cell r="D281">
            <v>13642.875230371686</v>
          </cell>
          <cell r="F281">
            <v>16542.939442212322</v>
          </cell>
          <cell r="H281">
            <v>11753.450919092793</v>
          </cell>
          <cell r="I281">
            <v>4852.4525621959829</v>
          </cell>
          <cell r="J281">
            <v>8220.9761861575862</v>
          </cell>
          <cell r="K281">
            <v>8222.2808946073001</v>
          </cell>
          <cell r="O281">
            <v>5284.2981301429136</v>
          </cell>
          <cell r="T281">
            <v>6264.4399223881683</v>
          </cell>
          <cell r="U281">
            <v>13860.148194656365</v>
          </cell>
          <cell r="W281">
            <v>5072.935468741106</v>
          </cell>
          <cell r="X281">
            <v>8468.0839252220412</v>
          </cell>
        </row>
        <row r="283">
          <cell r="D283">
            <v>0.86340162433430534</v>
          </cell>
          <cell r="F283">
            <v>0.80583557500656444</v>
          </cell>
          <cell r="H283">
            <v>0.88035087318703953</v>
          </cell>
          <cell r="I283">
            <v>0.99919999999999998</v>
          </cell>
          <cell r="J283">
            <v>1.0008441227818503</v>
          </cell>
          <cell r="K283">
            <v>1.0008439382074072</v>
          </cell>
          <cell r="O283">
            <v>1.0257000000000001</v>
          </cell>
          <cell r="U283">
            <v>0.86340162433430534</v>
          </cell>
          <cell r="W283">
            <v>0.99919999999999998</v>
          </cell>
          <cell r="X283">
            <v>1.0008441227818503</v>
          </cell>
        </row>
        <row r="284">
          <cell r="B284">
            <v>0.66058006060285668</v>
          </cell>
          <cell r="D284">
            <v>15.4075957279119</v>
          </cell>
          <cell r="F284">
            <v>15.295098814490197</v>
          </cell>
          <cell r="H284">
            <v>1.887791233203125</v>
          </cell>
          <cell r="I284">
            <v>1.3359855290764489</v>
          </cell>
          <cell r="J284">
            <v>2.1025334456099047</v>
          </cell>
          <cell r="K284">
            <v>2.1025989254720532</v>
          </cell>
          <cell r="O284">
            <v>1.5814632329887681</v>
          </cell>
          <cell r="T284">
            <v>0.66849644259478103</v>
          </cell>
          <cell r="U284">
            <v>15.403816159708999</v>
          </cell>
          <cell r="W284">
            <v>1.3324534468294373</v>
          </cell>
          <cell r="X284">
            <v>2.0987706106750279</v>
          </cell>
        </row>
        <row r="285">
          <cell r="B285">
            <v>0.26209908816228761</v>
          </cell>
          <cell r="D285">
            <v>2.5593016940652977</v>
          </cell>
          <cell r="F285">
            <v>2.5104931027128754</v>
          </cell>
          <cell r="H285">
            <v>2.7265029137195405</v>
          </cell>
          <cell r="I285">
            <v>1.0275030807993932</v>
          </cell>
          <cell r="J285">
            <v>1.5388790153125751</v>
          </cell>
          <cell r="K285">
            <v>1.5395812114033265</v>
          </cell>
          <cell r="O285">
            <v>1.4195405082046608</v>
          </cell>
          <cell r="T285">
            <v>0.2574057409426625</v>
          </cell>
          <cell r="U285">
            <v>2.3971709025808634</v>
          </cell>
          <cell r="W285">
            <v>0.99439835730077908</v>
          </cell>
          <cell r="X285">
            <v>1.3793481883171712</v>
          </cell>
        </row>
        <row r="286">
          <cell r="B286">
            <v>0.55135581001096456</v>
          </cell>
          <cell r="D286">
            <v>3.8186571270793439</v>
          </cell>
          <cell r="F286">
            <v>3.7705081775645573</v>
          </cell>
          <cell r="H286">
            <v>3.2161322439914533</v>
          </cell>
          <cell r="I286">
            <v>1.6106755471434804</v>
          </cell>
          <cell r="J286">
            <v>2.2446016270847244</v>
          </cell>
          <cell r="K286">
            <v>2.2455474218748193</v>
          </cell>
          <cell r="O286">
            <v>2.0295225404096406</v>
          </cell>
          <cell r="T286">
            <v>0.57930458111442618</v>
          </cell>
          <cell r="U286">
            <v>3.5870288469926104</v>
          </cell>
          <cell r="W286">
            <v>1.366712266752997</v>
          </cell>
          <cell r="X286">
            <v>2.0320979690254846</v>
          </cell>
        </row>
        <row r="287">
          <cell r="B287">
            <v>4.2668376148122675E-2</v>
          </cell>
          <cell r="D287">
            <v>0.87462448637991352</v>
          </cell>
          <cell r="F287">
            <v>0.82807193053264927</v>
          </cell>
          <cell r="H287">
            <v>0.88963976629910002</v>
          </cell>
          <cell r="I287">
            <v>0.36207524943072006</v>
          </cell>
          <cell r="J287">
            <v>0.45483094706646748</v>
          </cell>
          <cell r="K287">
            <v>0.4548825435344504</v>
          </cell>
          <cell r="O287">
            <v>0.47174233724531456</v>
          </cell>
          <cell r="T287">
            <v>4.3844639452657735E-2</v>
          </cell>
          <cell r="U287">
            <v>0.86259927269631875</v>
          </cell>
          <cell r="W287">
            <v>0.34431479418803762</v>
          </cell>
          <cell r="X287">
            <v>0.44489464386009259</v>
          </cell>
        </row>
        <row r="288">
          <cell r="B288">
            <v>3.7809446941895634E-2</v>
          </cell>
          <cell r="D288">
            <v>0.76286020996608928</v>
          </cell>
          <cell r="F288">
            <v>0.72190070385391381</v>
          </cell>
          <cell r="H288">
            <v>0.77497025098806682</v>
          </cell>
          <cell r="I288">
            <v>0.31895932002291172</v>
          </cell>
          <cell r="J288">
            <v>0.3915206485057301</v>
          </cell>
          <cell r="K288">
            <v>0.39155454988116373</v>
          </cell>
          <cell r="O288">
            <v>0.38936475973484852</v>
          </cell>
          <cell r="T288">
            <v>3.9295407207891458E-2</v>
          </cell>
          <cell r="U288">
            <v>0.75490999046269458</v>
          </cell>
          <cell r="W288">
            <v>0.30254021156428113</v>
          </cell>
          <cell r="X288">
            <v>0.38551243726319667</v>
          </cell>
        </row>
        <row r="289">
          <cell r="B289">
            <v>0.25247922431237874</v>
          </cell>
          <cell r="D289">
            <v>1.3376060375183247</v>
          </cell>
          <cell r="F289">
            <v>1.3168603674270116</v>
          </cell>
          <cell r="H289">
            <v>2.283014746828985</v>
          </cell>
          <cell r="I289">
            <v>0.66006752302410532</v>
          </cell>
          <cell r="J289">
            <v>0.7193984730428461</v>
          </cell>
          <cell r="K289">
            <v>0.71952355581701122</v>
          </cell>
          <cell r="O289">
            <v>0.75250885714545079</v>
          </cell>
          <cell r="T289">
            <v>0.26749077502506058</v>
          </cell>
          <cell r="U289">
            <v>1.2969009853577314</v>
          </cell>
          <cell r="W289">
            <v>0.52904172256430926</v>
          </cell>
          <cell r="X289">
            <v>0.69482070890896963</v>
          </cell>
        </row>
        <row r="290">
          <cell r="B290">
            <v>4.0501765382100511E-3</v>
          </cell>
          <cell r="D290">
            <v>8.7509798965951499E-2</v>
          </cell>
          <cell r="F290">
            <v>8.2532785076519524E-2</v>
          </cell>
          <cell r="H290">
            <v>5.9853371629218728E-2</v>
          </cell>
          <cell r="I290">
            <v>3.423899359357236E-2</v>
          </cell>
          <cell r="J290">
            <v>5.0578531179931392E-2</v>
          </cell>
          <cell r="K290">
            <v>5.0582596887480333E-2</v>
          </cell>
          <cell r="O290">
            <v>4.9736013363425965E-2</v>
          </cell>
          <cell r="T290">
            <v>4.403121804603595E-3</v>
          </cell>
          <cell r="U290">
            <v>8.6551382945444816E-2</v>
          </cell>
          <cell r="W290">
            <v>3.1864849579977303E-2</v>
          </cell>
          <cell r="X290">
            <v>4.9837593562489055E-2</v>
          </cell>
        </row>
        <row r="291">
          <cell r="B291">
            <v>1.212210869470246E-2</v>
          </cell>
          <cell r="D291">
            <v>0.11121768025013316</v>
          </cell>
          <cell r="F291">
            <v>0.1068540256992721</v>
          </cell>
          <cell r="H291">
            <v>7.8320235111229097E-2</v>
          </cell>
          <cell r="I291">
            <v>4.5874777430716891E-2</v>
          </cell>
          <cell r="J291">
            <v>6.5196188127315008E-2</v>
          </cell>
          <cell r="K291">
            <v>6.5207164371857848E-2</v>
          </cell>
          <cell r="O291">
            <v>6.1197416141852978E-2</v>
          </cell>
          <cell r="T291">
            <v>1.2500866642439538E-2</v>
          </cell>
          <cell r="U291">
            <v>0.10831036177679798</v>
          </cell>
          <cell r="W291">
            <v>3.934284970487037E-2</v>
          </cell>
          <cell r="X291">
            <v>6.2923717197122933E-2</v>
          </cell>
        </row>
      </sheetData>
      <sheetData sheetId="5" refreshError="1"/>
      <sheetData sheetId="6">
        <row r="84">
          <cell r="G84">
            <v>1.0166250453537191</v>
          </cell>
          <cell r="U84">
            <v>1.0000577907384296</v>
          </cell>
          <cell r="AF84">
            <v>1</v>
          </cell>
        </row>
        <row r="85">
          <cell r="B85">
            <v>104256.16637857581</v>
          </cell>
          <cell r="F85">
            <v>73705.660707926101</v>
          </cell>
          <cell r="G85">
            <v>121271.47015587486</v>
          </cell>
          <cell r="T85">
            <v>73085.181848764609</v>
          </cell>
          <cell r="U85">
            <v>49154.218609526622</v>
          </cell>
          <cell r="Z85">
            <v>119266.45084386863</v>
          </cell>
          <cell r="AE85">
            <v>64443.287601151947</v>
          </cell>
          <cell r="AF85">
            <v>69961.751960537789</v>
          </cell>
        </row>
        <row r="86">
          <cell r="B86">
            <v>103509.59065074382</v>
          </cell>
          <cell r="F86">
            <v>73190.314219429943</v>
          </cell>
          <cell r="G86">
            <v>120392.1796316884</v>
          </cell>
          <cell r="T86">
            <v>72573.570680014076</v>
          </cell>
          <cell r="U86">
            <v>47634.747555728412</v>
          </cell>
          <cell r="Z86">
            <v>118166.77906272929</v>
          </cell>
          <cell r="AE86">
            <v>63263.74775680506</v>
          </cell>
          <cell r="AF86">
            <v>69049.860722497513</v>
          </cell>
        </row>
        <row r="87">
          <cell r="B87">
            <v>985.78131152850392</v>
          </cell>
          <cell r="F87">
            <v>680.11731525012169</v>
          </cell>
          <cell r="G87">
            <v>1160.5993294839029</v>
          </cell>
          <cell r="T87">
            <v>675.20710374127361</v>
          </cell>
          <cell r="U87">
            <v>2007.4207432390203</v>
          </cell>
          <cell r="Z87">
            <v>1498.756538687564</v>
          </cell>
          <cell r="AE87">
            <v>1557.9527669574779</v>
          </cell>
          <cell r="AF87">
            <v>1191.351382162155</v>
          </cell>
        </row>
        <row r="88">
          <cell r="B88">
            <v>98509.55604950212</v>
          </cell>
          <cell r="F88">
            <v>68517.354060922924</v>
          </cell>
          <cell r="G88">
            <v>113033.16485135093</v>
          </cell>
          <cell r="T88">
            <v>68002.54990931676</v>
          </cell>
          <cell r="U88">
            <v>41339.030951621993</v>
          </cell>
          <cell r="Z88">
            <v>112547.34534236124</v>
          </cell>
          <cell r="AE88">
            <v>56998.084273966284</v>
          </cell>
          <cell r="AF88">
            <v>48258.061062173998</v>
          </cell>
        </row>
        <row r="89">
          <cell r="B89">
            <v>4014.2532897131937</v>
          </cell>
          <cell r="F89">
            <v>3992.8428432568899</v>
          </cell>
          <cell r="G89">
            <v>6198.4154508535703</v>
          </cell>
          <cell r="T89">
            <v>3895.8136669560499</v>
          </cell>
          <cell r="U89">
            <v>4288.2958608674035</v>
          </cell>
          <cell r="Z89">
            <v>4120.6771816804876</v>
          </cell>
          <cell r="AE89">
            <v>4707.7107158813014</v>
          </cell>
          <cell r="AF89">
            <v>19600.448278161355</v>
          </cell>
        </row>
        <row r="90">
          <cell r="B90">
            <v>3.082010158389092</v>
          </cell>
          <cell r="F90">
            <v>2.1180352004334098</v>
          </cell>
          <cell r="G90">
            <v>0.5296635492269347</v>
          </cell>
          <cell r="T90">
            <v>2.9575206868510007</v>
          </cell>
          <cell r="U90">
            <v>0.56925896409083376</v>
          </cell>
          <cell r="Z90">
            <v>3.2330083742893301</v>
          </cell>
          <cell r="AE90">
            <v>6.7658391130185258</v>
          </cell>
          <cell r="AF90">
            <v>2.4361046351501323</v>
          </cell>
        </row>
        <row r="91">
          <cell r="B91">
            <v>10.286863782994383</v>
          </cell>
          <cell r="F91">
            <v>6.7240900668699961</v>
          </cell>
          <cell r="G91">
            <v>1.7955600041359487</v>
          </cell>
          <cell r="T91">
            <v>6.6757431838311687</v>
          </cell>
          <cell r="U91">
            <v>6.1980200504202863</v>
          </cell>
          <cell r="Z91">
            <v>11.570946261166544</v>
          </cell>
          <cell r="AE91">
            <v>5.8375749251855398</v>
          </cell>
          <cell r="AF91">
            <v>6.1705187789247606</v>
          </cell>
        </row>
        <row r="92">
          <cell r="B92">
            <v>31.245883768795618</v>
          </cell>
          <cell r="F92">
            <v>13.015600657718384</v>
          </cell>
          <cell r="G92">
            <v>6.8699424914580023</v>
          </cell>
          <cell r="T92">
            <v>12.775002485788779</v>
          </cell>
          <cell r="U92">
            <v>3.4041570100868896</v>
          </cell>
          <cell r="Z92">
            <v>37.749741900422208</v>
          </cell>
          <cell r="AE92">
            <v>11.153760878898765</v>
          </cell>
          <cell r="AF92">
            <v>4.8155231818836626</v>
          </cell>
        </row>
        <row r="93">
          <cell r="B93">
            <v>36.269984486244958</v>
          </cell>
          <cell r="F93">
            <v>14.737758953188404</v>
          </cell>
          <cell r="G93">
            <v>29.574141983621402</v>
          </cell>
          <cell r="T93">
            <v>14.476941030388947</v>
          </cell>
          <cell r="U93">
            <v>5.1058395977899522</v>
          </cell>
          <cell r="Z93">
            <v>43.968466567599407</v>
          </cell>
          <cell r="AE93">
            <v>13.33159324979685</v>
          </cell>
          <cell r="AF93">
            <v>15.171906984702007</v>
          </cell>
        </row>
        <row r="94">
          <cell r="B94">
            <v>0.42004758610254456</v>
          </cell>
          <cell r="F94">
            <v>0.37779309010293843</v>
          </cell>
          <cell r="G94">
            <v>1.5237799156385166</v>
          </cell>
          <cell r="T94">
            <v>0.37238563774227679</v>
          </cell>
          <cell r="U94">
            <v>0.26560716821849051</v>
          </cell>
          <cell r="Z94">
            <v>0.4445154288539086</v>
          </cell>
          <cell r="AE94">
            <v>0.40409010604357137</v>
          </cell>
          <cell r="AF94">
            <v>1.3962797541555816</v>
          </cell>
        </row>
        <row r="95">
          <cell r="B95">
            <v>0.37869799481321043</v>
          </cell>
          <cell r="F95">
            <v>0.33951411551007071</v>
          </cell>
          <cell r="G95">
            <v>1.4200788659949402</v>
          </cell>
          <cell r="T95">
            <v>0.33467638323629473</v>
          </cell>
          <cell r="U95">
            <v>0.22486912794629649</v>
          </cell>
          <cell r="Z95">
            <v>0.39812486868589303</v>
          </cell>
          <cell r="AE95">
            <v>0.35728293120124738</v>
          </cell>
          <cell r="AF95">
            <v>1.2593592244867051</v>
          </cell>
        </row>
        <row r="96">
          <cell r="B96">
            <v>11.10038516731889</v>
          </cell>
          <cell r="F96">
            <v>10.76603583522674</v>
          </cell>
          <cell r="G96">
            <v>9.2540199122630415</v>
          </cell>
          <cell r="T96">
            <v>10.757760736283636</v>
          </cell>
          <cell r="U96">
            <v>11.01887162681793</v>
          </cell>
          <cell r="Z96">
            <v>11.310974668180325</v>
          </cell>
          <cell r="AE96">
            <v>8.6793123030198025</v>
          </cell>
          <cell r="AF96">
            <v>16.41552841430839</v>
          </cell>
        </row>
        <row r="97">
          <cell r="B97">
            <v>9.922907856156217E-2</v>
          </cell>
          <cell r="F97">
            <v>9.1460661908547888E-2</v>
          </cell>
          <cell r="G97">
            <v>0.17553139000186452</v>
          </cell>
          <cell r="T97">
            <v>9.0307871393449993E-2</v>
          </cell>
          <cell r="U97">
            <v>2.5429140713950811E-2</v>
          </cell>
          <cell r="Z97">
            <v>0.10283901123103301</v>
          </cell>
          <cell r="AE97">
            <v>8.7599924167753696E-2</v>
          </cell>
          <cell r="AF97">
            <v>0.1671484957574681</v>
          </cell>
        </row>
        <row r="98">
          <cell r="B98">
            <v>0.14327969770686483</v>
          </cell>
          <cell r="F98">
            <v>0.12728282905404409</v>
          </cell>
          <cell r="G98">
            <v>0.64776248902265365</v>
          </cell>
          <cell r="T98">
            <v>0.1254706075649813</v>
          </cell>
          <cell r="U98">
            <v>0.10577535820024467</v>
          </cell>
          <cell r="Z98">
            <v>0.14962709543534916</v>
          </cell>
          <cell r="AE98">
            <v>0.1319230614777703</v>
          </cell>
          <cell r="AF98">
            <v>0.42685738050580713</v>
          </cell>
        </row>
        <row r="99">
          <cell r="B99">
            <v>216.36395413450404</v>
          </cell>
          <cell r="F99">
            <v>148.06611961923701</v>
          </cell>
          <cell r="G99">
            <v>107.00030044730954</v>
          </cell>
          <cell r="T99">
            <v>149.0633128910298</v>
          </cell>
          <cell r="U99">
            <v>12.978850126012652</v>
          </cell>
          <cell r="Z99">
            <v>314.87579596697032</v>
          </cell>
          <cell r="AE99">
            <v>131.24062692973465</v>
          </cell>
          <cell r="AF99">
            <v>16.826877750412478</v>
          </cell>
        </row>
        <row r="100">
          <cell r="B100">
            <v>1.4197316238953248</v>
          </cell>
          <cell r="F100">
            <v>0.13351667975761411</v>
          </cell>
          <cell r="G100">
            <v>5.2549243527369768E-2</v>
          </cell>
          <cell r="T100">
            <v>0.1333443621887164</v>
          </cell>
          <cell r="U100">
            <v>3.4198021361509054E-2</v>
          </cell>
          <cell r="Z100">
            <v>1.8721672602423411</v>
          </cell>
          <cell r="AE100">
            <v>0.11174210142846</v>
          </cell>
          <cell r="AF100">
            <v>6.815604565361226E-2</v>
          </cell>
        </row>
        <row r="101">
          <cell r="B101">
            <v>6132.7053209759642</v>
          </cell>
          <cell r="F101">
            <v>4537.9264847164368</v>
          </cell>
          <cell r="G101">
            <v>7108.7925275680036</v>
          </cell>
          <cell r="T101">
            <v>4496.3487398131638</v>
          </cell>
          <cell r="U101">
            <v>3415.0612184339643</v>
          </cell>
          <cell r="Z101">
            <v>6736.8447688776942</v>
          </cell>
          <cell r="AE101">
            <v>4159.9158147153285</v>
          </cell>
          <cell r="AF101">
            <v>5203.0730150480249</v>
          </cell>
        </row>
        <row r="102">
          <cell r="B102">
            <v>6213.8667209267851</v>
          </cell>
          <cell r="F102">
            <v>4579.3363188393587</v>
          </cell>
          <cell r="G102">
            <v>7125.1843134960418</v>
          </cell>
          <cell r="T102">
            <v>4537.2298099756772</v>
          </cell>
          <cell r="U102">
            <v>3439.7277705117203</v>
          </cell>
          <cell r="Z102">
            <v>6832.2285743780412</v>
          </cell>
          <cell r="AE102">
            <v>4195.6369284228067</v>
          </cell>
          <cell r="AF102">
            <v>5229.8717159567295</v>
          </cell>
        </row>
        <row r="103">
          <cell r="B103">
            <v>13081.014225294166</v>
          </cell>
          <cell r="F103">
            <v>9056.7018275522369</v>
          </cell>
          <cell r="G103">
            <v>10349.11887645008</v>
          </cell>
          <cell r="T103">
            <v>9044.4654526865816</v>
          </cell>
          <cell r="U103">
            <v>3838.1557499528999</v>
          </cell>
          <cell r="Z103">
            <v>16774.626777351372</v>
          </cell>
          <cell r="AE103">
            <v>8162.4673931933885</v>
          </cell>
          <cell r="AF103">
            <v>5752.7394005673113</v>
          </cell>
        </row>
        <row r="105">
          <cell r="G105">
            <v>1.0166250453537191</v>
          </cell>
          <cell r="U105">
            <v>1.0000577907384296</v>
          </cell>
          <cell r="AF105">
            <v>0.97013106135058214</v>
          </cell>
        </row>
        <row r="106">
          <cell r="B106">
            <v>0.59812330026145544</v>
          </cell>
          <cell r="F106">
            <v>5.301814271734448E-2</v>
          </cell>
          <cell r="G106">
            <v>6.6348587554027907E-2</v>
          </cell>
          <cell r="T106">
            <v>0.11609614283471048</v>
          </cell>
          <cell r="U106">
            <v>0.95148434501048273</v>
          </cell>
          <cell r="Z106">
            <v>0.10040523017126046</v>
          </cell>
          <cell r="AE106">
            <v>0.23420499582758658</v>
          </cell>
          <cell r="AF106">
            <v>0.51636340015161797</v>
          </cell>
        </row>
        <row r="107">
          <cell r="B107">
            <v>2.8737184061530598</v>
          </cell>
          <cell r="F107">
            <v>0.21613249675516999</v>
          </cell>
          <cell r="G107">
            <v>0.12089829554479326</v>
          </cell>
          <cell r="T107">
            <v>0.32817750999977696</v>
          </cell>
          <cell r="U107">
            <v>0.23272768344404121</v>
          </cell>
          <cell r="Z107">
            <v>0.2352150743257431</v>
          </cell>
          <cell r="AE107">
            <v>0.30279919891586932</v>
          </cell>
          <cell r="AF107">
            <v>0.67414954664431614</v>
          </cell>
        </row>
        <row r="108">
          <cell r="B108">
            <v>3.4062695270437726</v>
          </cell>
          <cell r="F108">
            <v>0.27110806004506283</v>
          </cell>
          <cell r="G108">
            <v>1.3191051375429959</v>
          </cell>
          <cell r="T108">
            <v>0.39666837767072294</v>
          </cell>
          <cell r="U108">
            <v>0.34785145723503486</v>
          </cell>
          <cell r="Z108">
            <v>0.30152687542096268</v>
          </cell>
          <cell r="AE108">
            <v>0.42501629952821945</v>
          </cell>
          <cell r="AF108">
            <v>0.79392601805641327</v>
          </cell>
        </row>
        <row r="109">
          <cell r="B109">
            <v>1.4612388752382365E-2</v>
          </cell>
          <cell r="F109">
            <v>5.3001360468764502E-3</v>
          </cell>
          <cell r="G109">
            <v>6.3712566175151419E-2</v>
          </cell>
          <cell r="T109">
            <v>8.7314962599946491E-3</v>
          </cell>
          <cell r="U109">
            <v>2.243845428351476E-2</v>
          </cell>
          <cell r="Z109">
            <v>1.1542553871191998E-2</v>
          </cell>
          <cell r="AE109">
            <v>1.6198667301387873E-2</v>
          </cell>
          <cell r="AF109">
            <v>0.22399407871044419</v>
          </cell>
        </row>
        <row r="110">
          <cell r="B110">
            <v>1.3496899530451377E-2</v>
          </cell>
          <cell r="F110">
            <v>4.6742897818304518E-3</v>
          </cell>
          <cell r="G110">
            <v>5.8324147084318115E-2</v>
          </cell>
          <cell r="T110">
            <v>7.8026189685430633E-3</v>
          </cell>
          <cell r="U110">
            <v>1.6525391315033115E-2</v>
          </cell>
          <cell r="Z110">
            <v>1.0154460774370152E-2</v>
          </cell>
          <cell r="AE110">
            <v>1.4500738927668089E-2</v>
          </cell>
          <cell r="AF110">
            <v>0.19599480601881314</v>
          </cell>
        </row>
        <row r="111">
          <cell r="B111">
            <v>0.14705101704010839</v>
          </cell>
          <cell r="F111">
            <v>2.6282758865746145E-2</v>
          </cell>
          <cell r="G111">
            <v>0.44353178429238937</v>
          </cell>
          <cell r="T111">
            <v>0.13246906381259446</v>
          </cell>
          <cell r="U111">
            <v>0.19812665264335894</v>
          </cell>
          <cell r="Z111">
            <v>0.16478656614601161</v>
          </cell>
          <cell r="AE111">
            <v>0.15822897381390594</v>
          </cell>
          <cell r="AF111">
            <v>0.6540973532111185</v>
          </cell>
        </row>
        <row r="112">
          <cell r="B112">
            <v>2.2540595793461085E-3</v>
          </cell>
          <cell r="F112">
            <v>4.1773863346071809E-4</v>
          </cell>
          <cell r="G112">
            <v>8.217688952397495E-3</v>
          </cell>
          <cell r="T112">
            <v>1.296308810643663E-3</v>
          </cell>
          <cell r="U112">
            <v>1.4248713479043632E-3</v>
          </cell>
          <cell r="Z112">
            <v>1.414638317444679E-3</v>
          </cell>
          <cell r="AE112">
            <v>1.9413608253232143E-3</v>
          </cell>
          <cell r="AF112">
            <v>1.517362756272779E-2</v>
          </cell>
        </row>
        <row r="113">
          <cell r="B113">
            <v>4.6353752836528189E-3</v>
          </cell>
          <cell r="F113">
            <v>1.1978547257745192E-3</v>
          </cell>
          <cell r="G113">
            <v>2.1792777289757655E-2</v>
          </cell>
          <cell r="T113">
            <v>2.3909630979877792E-3</v>
          </cell>
          <cell r="U113">
            <v>5.7478216883142105E-3</v>
          </cell>
          <cell r="Z113">
            <v>2.7094352226085354E-3</v>
          </cell>
          <cell r="AE113">
            <v>4.5446131711996737E-3</v>
          </cell>
          <cell r="AF113">
            <v>1.9996124989907636E-2</v>
          </cell>
        </row>
      </sheetData>
      <sheetData sheetId="7">
        <row r="162">
          <cell r="O162">
            <v>1.0002491498669328</v>
          </cell>
          <cell r="BK162">
            <v>1.0008307840362127</v>
          </cell>
        </row>
        <row r="163">
          <cell r="N163">
            <v>75559.068828277828</v>
          </cell>
          <cell r="O163">
            <v>450693.11722026649</v>
          </cell>
          <cell r="BJ163">
            <v>73085.181848764609</v>
          </cell>
          <cell r="BK163">
            <v>665525.22275215667</v>
          </cell>
        </row>
        <row r="164">
          <cell r="N164">
            <v>75028.809682751002</v>
          </cell>
          <cell r="O164">
            <v>432212.0751883937</v>
          </cell>
          <cell r="BJ164">
            <v>72573.570680014062</v>
          </cell>
          <cell r="BK164">
            <v>689250.77906834835</v>
          </cell>
        </row>
        <row r="165">
          <cell r="N165">
            <v>699.85584499729134</v>
          </cell>
          <cell r="O165">
            <v>24427.317744774264</v>
          </cell>
          <cell r="BJ165">
            <v>675.20710374127361</v>
          </cell>
          <cell r="BK165">
            <v>-31364.904480798043</v>
          </cell>
        </row>
        <row r="166">
          <cell r="N166">
            <v>70423.740307322048</v>
          </cell>
          <cell r="O166">
            <v>395765.10447239323</v>
          </cell>
          <cell r="BJ166">
            <v>68002.549909316745</v>
          </cell>
          <cell r="BK166">
            <v>716214.13546648296</v>
          </cell>
        </row>
        <row r="167">
          <cell r="N167">
            <v>3905.2135304316657</v>
          </cell>
          <cell r="O167">
            <v>12019.652971226187</v>
          </cell>
          <cell r="BJ167">
            <v>3895.8136669560499</v>
          </cell>
          <cell r="BK167">
            <v>4401.5480826633866</v>
          </cell>
        </row>
        <row r="168">
          <cell r="N168">
            <v>2.9685879010753644</v>
          </cell>
          <cell r="O168">
            <v>5.881336587480372</v>
          </cell>
          <cell r="BJ168">
            <v>2.9575206868510007</v>
          </cell>
          <cell r="BK168">
            <v>-4.0153292671976706</v>
          </cell>
        </row>
        <row r="169">
          <cell r="N169">
            <v>6.9623400036726135</v>
          </cell>
          <cell r="O169">
            <v>16.514820735352078</v>
          </cell>
          <cell r="BJ169">
            <v>6.6757431838311687</v>
          </cell>
          <cell r="BK169">
            <v>25.040004298342684</v>
          </cell>
        </row>
        <row r="170">
          <cell r="N170">
            <v>14.24094518046563</v>
          </cell>
          <cell r="O170">
            <v>6.1607678621665194</v>
          </cell>
          <cell r="BJ170">
            <v>12.775002485788779</v>
          </cell>
          <cell r="BK170">
            <v>9.1403617227007459</v>
          </cell>
        </row>
        <row r="171">
          <cell r="N171">
            <v>16.206547367366674</v>
          </cell>
          <cell r="O171">
            <v>7.8172144833386525</v>
          </cell>
          <cell r="BJ171">
            <v>14.476941030388947</v>
          </cell>
          <cell r="BK171">
            <v>9.1358038360292912</v>
          </cell>
        </row>
        <row r="172">
          <cell r="N172">
            <v>0.37616832611661294</v>
          </cell>
          <cell r="O172">
            <v>1.621372012149018</v>
          </cell>
          <cell r="BJ172">
            <v>0.37238563774227679</v>
          </cell>
          <cell r="BK172">
            <v>1.09747526095952</v>
          </cell>
        </row>
        <row r="173">
          <cell r="N173">
            <v>0.33817015661872996</v>
          </cell>
          <cell r="O173">
            <v>1.3183325057836706</v>
          </cell>
          <cell r="BJ173">
            <v>0.33467638323629473</v>
          </cell>
          <cell r="BK173">
            <v>1.2908705049508178</v>
          </cell>
        </row>
        <row r="174">
          <cell r="N174">
            <v>10.784953142355143</v>
          </cell>
          <cell r="O174">
            <v>6.4519732036729671</v>
          </cell>
          <cell r="BJ174">
            <v>10.757760736283636</v>
          </cell>
          <cell r="BK174">
            <v>4.1397358831570719</v>
          </cell>
        </row>
        <row r="175">
          <cell r="N175">
            <v>9.1015902442063784E-2</v>
          </cell>
          <cell r="O175">
            <v>-1.4599468006497895E-2</v>
          </cell>
          <cell r="BJ175">
            <v>9.0307871393449993E-2</v>
          </cell>
          <cell r="BK175">
            <v>4.3784170945835414E-2</v>
          </cell>
        </row>
        <row r="176">
          <cell r="N176">
            <v>0.12688402542682517</v>
          </cell>
          <cell r="O176">
            <v>-1.9305439297598745E-2</v>
          </cell>
          <cell r="BJ176">
            <v>0.1254706075649813</v>
          </cell>
          <cell r="BK176">
            <v>-2.0832575653890385E-2</v>
          </cell>
        </row>
        <row r="177">
          <cell r="N177">
            <v>154.40463472003435</v>
          </cell>
          <cell r="O177">
            <v>62.978623551634705</v>
          </cell>
          <cell r="BJ177">
            <v>149.0633128910298</v>
          </cell>
          <cell r="BK177">
            <v>92.991643680801957</v>
          </cell>
        </row>
        <row r="178">
          <cell r="N178">
            <v>0.23543858911900134</v>
          </cell>
          <cell r="O178">
            <v>0.10098735912854986</v>
          </cell>
          <cell r="BJ178">
            <v>0.1333443621887164</v>
          </cell>
          <cell r="BK178">
            <v>-3.8959957387724627E-2</v>
          </cell>
        </row>
        <row r="179">
          <cell r="N179">
            <v>4626.2182640240544</v>
          </cell>
          <cell r="O179">
            <v>14126.334954658636</v>
          </cell>
          <cell r="BJ179">
            <v>4496.3487398131638</v>
          </cell>
          <cell r="BK179">
            <v>25649.779387193943</v>
          </cell>
        </row>
        <row r="180">
          <cell r="N180">
            <v>4670.2961851762329</v>
          </cell>
          <cell r="O180">
            <v>14187.48735259103</v>
          </cell>
          <cell r="BJ180">
            <v>4537.2298099756772</v>
          </cell>
          <cell r="BK180">
            <v>25742.184159488021</v>
          </cell>
        </row>
        <row r="181">
          <cell r="N181">
            <v>9364.826452893798</v>
          </cell>
          <cell r="O181">
            <v>16103.607709309137</v>
          </cell>
          <cell r="BJ181">
            <v>9044.4654526865816</v>
          </cell>
          <cell r="BK181">
            <v>28521.609081204333</v>
          </cell>
        </row>
        <row r="183">
          <cell r="O183">
            <v>1.0002491498669328</v>
          </cell>
          <cell r="BK183">
            <v>1.0008307840362127</v>
          </cell>
        </row>
        <row r="184">
          <cell r="N184">
            <v>0.15435226553406992</v>
          </cell>
          <cell r="O184">
            <v>8.9398699032097682</v>
          </cell>
          <cell r="BJ184">
            <v>0.11609614283471048</v>
          </cell>
          <cell r="BK184">
            <v>13.400761298486412</v>
          </cell>
        </row>
        <row r="185">
          <cell r="N185">
            <v>0.53020456238213698</v>
          </cell>
          <cell r="O185">
            <v>0.76891695617002465</v>
          </cell>
          <cell r="BJ185">
            <v>0.32817750999977696</v>
          </cell>
          <cell r="BK185">
            <v>0.20253813534967849</v>
          </cell>
        </row>
        <row r="186">
          <cell r="N186">
            <v>0.63552560845766881</v>
          </cell>
          <cell r="O186">
            <v>1.1791039259069889</v>
          </cell>
          <cell r="BJ186">
            <v>0.39666837767072294</v>
          </cell>
          <cell r="BK186">
            <v>-0.40227579323343077</v>
          </cell>
        </row>
        <row r="187">
          <cell r="N187">
            <v>9.1982336280945522E-3</v>
          </cell>
          <cell r="O187">
            <v>0.2243456773297875</v>
          </cell>
          <cell r="BJ187">
            <v>8.7314962599946491E-3</v>
          </cell>
          <cell r="BK187">
            <v>1.9762136190278452E-2</v>
          </cell>
        </row>
        <row r="188">
          <cell r="N188">
            <v>8.2545458813226957E-3</v>
          </cell>
          <cell r="O188">
            <v>0.19365130662881372</v>
          </cell>
          <cell r="BJ188">
            <v>7.8026189685430633E-3</v>
          </cell>
          <cell r="BK188">
            <v>2.6969693301927701E-2</v>
          </cell>
        </row>
        <row r="189">
          <cell r="N189">
            <v>0.13362636134613437</v>
          </cell>
          <cell r="O189">
            <v>0.88125993715211537</v>
          </cell>
          <cell r="BJ189">
            <v>0.13246906381259446</v>
          </cell>
          <cell r="BK189">
            <v>-0.97984380525396197</v>
          </cell>
        </row>
        <row r="190">
          <cell r="N190">
            <v>1.3723207572987437E-3</v>
          </cell>
          <cell r="O190">
            <v>-4.4712862576963184E-4</v>
          </cell>
          <cell r="BJ190">
            <v>1.296308810643663E-3</v>
          </cell>
          <cell r="BK190">
            <v>-5.0420256979468508E-3</v>
          </cell>
        </row>
        <row r="191">
          <cell r="N191">
            <v>2.5690910164227654E-3</v>
          </cell>
          <cell r="O191">
            <v>1.3922461951116311E-2</v>
          </cell>
          <cell r="BJ191">
            <v>2.3909630979877792E-3</v>
          </cell>
          <cell r="BK191">
            <v>-3.3355766322693228E-2</v>
          </cell>
        </row>
      </sheetData>
      <sheetData sheetId="8">
        <row r="511">
          <cell r="BU511">
            <v>493058.40522266092</v>
          </cell>
        </row>
        <row r="512">
          <cell r="BU512">
            <v>487777.8738812973</v>
          </cell>
        </row>
        <row r="513">
          <cell r="BU513">
            <v>6881.5186304899598</v>
          </cell>
        </row>
        <row r="514">
          <cell r="BU514">
            <v>133550.01704392373</v>
          </cell>
        </row>
        <row r="515">
          <cell r="BU515">
            <v>347346.33820688364</v>
          </cell>
        </row>
        <row r="516">
          <cell r="BU516">
            <v>23.410987990169129</v>
          </cell>
        </row>
        <row r="518">
          <cell r="BU518">
            <v>19.22599430202547</v>
          </cell>
        </row>
        <row r="519">
          <cell r="BU519">
            <v>88.618851871176716</v>
          </cell>
        </row>
        <row r="520">
          <cell r="BU520">
            <v>129.90169147879547</v>
          </cell>
        </row>
        <row r="521">
          <cell r="BU521">
            <v>9.5252394843431141</v>
          </cell>
        </row>
        <row r="522">
          <cell r="BU522">
            <v>8.089415678227855</v>
          </cell>
        </row>
        <row r="523">
          <cell r="BU523">
            <v>20.053448219663576</v>
          </cell>
        </row>
        <row r="524">
          <cell r="BU524">
            <v>4.2556227319091926</v>
          </cell>
        </row>
        <row r="525">
          <cell r="BU525">
            <v>1.5029302214351241</v>
          </cell>
        </row>
        <row r="526">
          <cell r="BU526">
            <v>55.05586690038183</v>
          </cell>
        </row>
        <row r="527">
          <cell r="BU527">
            <v>34.946013296317858</v>
          </cell>
        </row>
        <row r="528">
          <cell r="BU528">
            <v>36037.720812715808</v>
          </cell>
        </row>
        <row r="533">
          <cell r="BU533">
            <v>1.0225237827547016</v>
          </cell>
        </row>
        <row r="534">
          <cell r="BU534">
            <v>2.0899360873734776</v>
          </cell>
        </row>
        <row r="535">
          <cell r="BU535">
            <v>2.4763849144633836</v>
          </cell>
        </row>
        <row r="536">
          <cell r="BU536">
            <v>0.25788274757392365</v>
          </cell>
        </row>
        <row r="537">
          <cell r="BU537">
            <v>0.1965424403298931</v>
          </cell>
        </row>
        <row r="538">
          <cell r="BU538">
            <v>0.72587055787442578</v>
          </cell>
        </row>
        <row r="539">
          <cell r="BU539">
            <v>2.3616578806511385E-2</v>
          </cell>
        </row>
        <row r="540">
          <cell r="BU540">
            <v>4.3133240126004946E-2</v>
          </cell>
        </row>
        <row r="546">
          <cell r="CC546">
            <v>1.0005044983835341</v>
          </cell>
        </row>
        <row r="547">
          <cell r="CB547">
            <v>121204.33283849375</v>
          </cell>
          <cell r="CC547">
            <v>1586815.6953535194</v>
          </cell>
        </row>
        <row r="548">
          <cell r="CB548">
            <v>110487.29335478559</v>
          </cell>
          <cell r="CC548">
            <v>65275.214825194031</v>
          </cell>
        </row>
        <row r="549">
          <cell r="CB549">
            <v>1125.0310703897558</v>
          </cell>
          <cell r="CC549">
            <v>2116.8663860224638</v>
          </cell>
        </row>
        <row r="550">
          <cell r="CB550">
            <v>58087.236815470664</v>
          </cell>
          <cell r="CC550">
            <v>4649.0148267699606</v>
          </cell>
        </row>
        <row r="551">
          <cell r="CB551">
            <v>51275.025468925189</v>
          </cell>
          <cell r="CC551">
            <v>58509.333612401606</v>
          </cell>
        </row>
        <row r="552">
          <cell r="CB552">
            <v>9.3432281548124614</v>
          </cell>
          <cell r="CC552">
            <v>1.689521610168401</v>
          </cell>
        </row>
        <row r="553">
          <cell r="CB553">
            <v>6.9241509976970139</v>
          </cell>
          <cell r="CC553">
            <v>52.479452316868276</v>
          </cell>
        </row>
        <row r="554">
          <cell r="CB554">
            <v>26.590091522045395</v>
          </cell>
          <cell r="CC554">
            <v>138.10118877834728</v>
          </cell>
        </row>
        <row r="555">
          <cell r="CB555">
            <v>40.941712240974979</v>
          </cell>
          <cell r="CC555">
            <v>225.0603859372049</v>
          </cell>
        </row>
        <row r="556">
          <cell r="CB556">
            <v>2.1457898018414423</v>
          </cell>
          <cell r="CC556">
            <v>169.26055090899951</v>
          </cell>
        </row>
        <row r="557">
          <cell r="CB557">
            <v>1.804399960794512</v>
          </cell>
          <cell r="CC557">
            <v>66.054177861953917</v>
          </cell>
        </row>
        <row r="558">
          <cell r="CB558">
            <v>5.3305298026040981</v>
          </cell>
          <cell r="CC558">
            <v>120.6687161056966</v>
          </cell>
        </row>
        <row r="559">
          <cell r="CB559">
            <v>0.50983075035308534</v>
          </cell>
          <cell r="CC559">
            <v>7.1653791235805926</v>
          </cell>
        </row>
        <row r="560">
          <cell r="CB560">
            <v>0.33105315955685138</v>
          </cell>
          <cell r="CC560">
            <v>17.227972508152927</v>
          </cell>
        </row>
        <row r="561">
          <cell r="CB561">
            <v>28.164469077245464</v>
          </cell>
          <cell r="CC561">
            <v>41.010178247226207</v>
          </cell>
        </row>
        <row r="562">
          <cell r="CB562">
            <v>19.421049427064631</v>
          </cell>
          <cell r="CC562">
            <v>6.7696938742853936</v>
          </cell>
        </row>
        <row r="563">
          <cell r="CB563">
            <v>8188.5479093720442</v>
          </cell>
          <cell r="CC563">
            <v>5295.8157057125482</v>
          </cell>
        </row>
        <row r="564">
          <cell r="CB564">
            <v>8251.9126095161755</v>
          </cell>
          <cell r="CC564">
            <v>5676.392819228</v>
          </cell>
        </row>
        <row r="565">
          <cell r="CB565">
            <v>14243.424780005666</v>
          </cell>
          <cell r="CC565">
            <v>8700.6670433304153</v>
          </cell>
        </row>
        <row r="568">
          <cell r="CB568">
            <v>3.2070456336414358E-4</v>
          </cell>
          <cell r="CC568">
            <v>0.10686355351027062</v>
          </cell>
        </row>
        <row r="569">
          <cell r="CB569">
            <v>1.1238745700386228E-3</v>
          </cell>
          <cell r="CC569">
            <v>7.0138239263291657E-2</v>
          </cell>
        </row>
        <row r="570">
          <cell r="CB570">
            <v>8.7840580361080894E-4</v>
          </cell>
          <cell r="CC570">
            <v>0.11971727072304329</v>
          </cell>
        </row>
        <row r="571">
          <cell r="CB571">
            <v>8.3183263853533619E-5</v>
          </cell>
          <cell r="CC571">
            <v>2.201102033795475E-2</v>
          </cell>
        </row>
        <row r="572">
          <cell r="CB572">
            <v>4.9970625173925579E-5</v>
          </cell>
          <cell r="CC572">
            <v>1.9372572129877579E-2</v>
          </cell>
        </row>
        <row r="573">
          <cell r="CB573">
            <v>1.0379440780784518E-4</v>
          </cell>
          <cell r="CC573">
            <v>5.2814136777637695E-2</v>
          </cell>
        </row>
        <row r="574">
          <cell r="CB574">
            <v>5.857208932378369E-6</v>
          </cell>
          <cell r="CC574">
            <v>2.0674280978666593E-3</v>
          </cell>
        </row>
        <row r="575">
          <cell r="CB575">
            <v>8.3714871918704221E-6</v>
          </cell>
          <cell r="CC575">
            <v>3.1601047661500197E-3</v>
          </cell>
        </row>
      </sheetData>
      <sheetData sheetId="9" refreshError="1"/>
      <sheetData sheetId="10">
        <row r="255">
          <cell r="D255">
            <v>1377410.4683195592</v>
          </cell>
          <cell r="E255">
            <v>274916.20675849199</v>
          </cell>
          <cell r="BV255">
            <v>315292.14238480804</v>
          </cell>
          <cell r="BW255">
            <v>1000000</v>
          </cell>
        </row>
        <row r="256">
          <cell r="D256">
            <v>0</v>
          </cell>
          <cell r="E256">
            <v>217737.58667885224</v>
          </cell>
          <cell r="BV256">
            <v>311835.22390836041</v>
          </cell>
          <cell r="BW256">
            <v>1000000</v>
          </cell>
        </row>
        <row r="257">
          <cell r="D257">
            <v>0</v>
          </cell>
          <cell r="E257">
            <v>75585.763092010471</v>
          </cell>
          <cell r="BV257">
            <v>4568.4430277141837</v>
          </cell>
          <cell r="BW257">
            <v>0</v>
          </cell>
        </row>
        <row r="258">
          <cell r="D258">
            <v>0</v>
          </cell>
          <cell r="E258">
            <v>139787.14942183299</v>
          </cell>
          <cell r="BV258">
            <v>302423.85010499106</v>
          </cell>
          <cell r="BW258">
            <v>1000000</v>
          </cell>
        </row>
        <row r="259">
          <cell r="D259">
            <v>0</v>
          </cell>
          <cell r="E259">
            <v>2364.6741650087765</v>
          </cell>
          <cell r="BV259">
            <v>4842.930775655158</v>
          </cell>
          <cell r="BW259">
            <v>0</v>
          </cell>
        </row>
        <row r="260">
          <cell r="D260">
            <v>25.499999999999996</v>
          </cell>
          <cell r="E260">
            <v>14.733015778633225</v>
          </cell>
          <cell r="BV260">
            <v>25.421719380908073</v>
          </cell>
          <cell r="BW260">
            <v>0</v>
          </cell>
        </row>
        <row r="261">
          <cell r="D261">
            <v>0</v>
          </cell>
          <cell r="E261">
            <v>1.8783895161050606</v>
          </cell>
          <cell r="BV261">
            <v>10.272813316541296</v>
          </cell>
          <cell r="BW261">
            <v>0</v>
          </cell>
        </row>
        <row r="262">
          <cell r="D262">
            <v>0</v>
          </cell>
          <cell r="E262">
            <v>5.0772667842731654</v>
          </cell>
          <cell r="BV262">
            <v>15.96103329059012</v>
          </cell>
          <cell r="BW262">
            <v>0</v>
          </cell>
        </row>
        <row r="263">
          <cell r="D263">
            <v>0</v>
          </cell>
          <cell r="E263">
            <v>10.459485122770852</v>
          </cell>
          <cell r="BV263">
            <v>20.908770075710624</v>
          </cell>
          <cell r="BW263">
            <v>0</v>
          </cell>
        </row>
        <row r="264">
          <cell r="D264">
            <v>0</v>
          </cell>
          <cell r="E264">
            <v>1.6743153577769136</v>
          </cell>
          <cell r="BV264">
            <v>2.8332130563147859</v>
          </cell>
          <cell r="BW264">
            <v>0</v>
          </cell>
        </row>
        <row r="265">
          <cell r="D265">
            <v>0</v>
          </cell>
          <cell r="E265">
            <v>1.0050404821015453</v>
          </cell>
          <cell r="BV265">
            <v>2.7103586737852869</v>
          </cell>
          <cell r="BW265">
            <v>0</v>
          </cell>
        </row>
        <row r="266">
          <cell r="D266">
            <v>0</v>
          </cell>
          <cell r="E266">
            <v>8.7821803641458889</v>
          </cell>
          <cell r="BV266">
            <v>13.517601776857449</v>
          </cell>
          <cell r="BW266">
            <v>0</v>
          </cell>
        </row>
        <row r="267">
          <cell r="D267">
            <v>0</v>
          </cell>
          <cell r="E267">
            <v>6.1322139897181022E-2</v>
          </cell>
          <cell r="BV267">
            <v>0.33521912550680899</v>
          </cell>
          <cell r="BW267">
            <v>0</v>
          </cell>
        </row>
        <row r="268">
          <cell r="D268">
            <v>0</v>
          </cell>
          <cell r="E268">
            <v>0.2918785293859868</v>
          </cell>
          <cell r="BV268">
            <v>0.74390455950981149</v>
          </cell>
          <cell r="BW268">
            <v>0</v>
          </cell>
        </row>
        <row r="269">
          <cell r="D269">
            <v>0</v>
          </cell>
          <cell r="E269">
            <v>36.315629084431826</v>
          </cell>
          <cell r="BV269">
            <v>189.07175451935237</v>
          </cell>
          <cell r="BW269">
            <v>0</v>
          </cell>
        </row>
        <row r="270">
          <cell r="D270">
            <v>0</v>
          </cell>
          <cell r="E270">
            <v>0.32948463898522529</v>
          </cell>
          <cell r="BV270">
            <v>0.58896658312112093</v>
          </cell>
          <cell r="BW270">
            <v>0</v>
          </cell>
        </row>
        <row r="271">
          <cell r="D271">
            <v>0</v>
          </cell>
          <cell r="E271">
            <v>16046.241592441667</v>
          </cell>
          <cell r="BV271">
            <v>78292.576714647614</v>
          </cell>
          <cell r="BW271">
            <v>0</v>
          </cell>
        </row>
        <row r="272">
          <cell r="D272">
            <v>0</v>
          </cell>
          <cell r="E272">
            <v>16060.0744685231</v>
          </cell>
          <cell r="BV272">
            <v>78349.67527322653</v>
          </cell>
          <cell r="BW272">
            <v>0</v>
          </cell>
        </row>
        <row r="273">
          <cell r="D273">
            <v>0</v>
          </cell>
          <cell r="E273">
            <v>17236.856770387141</v>
          </cell>
          <cell r="BV273">
            <v>84177.904053334205</v>
          </cell>
          <cell r="BW273">
            <v>0</v>
          </cell>
        </row>
        <row r="276">
          <cell r="D276">
            <v>0</v>
          </cell>
          <cell r="E276">
            <v>0.11713548850333648</v>
          </cell>
          <cell r="BV276">
            <v>0.63102128060304064</v>
          </cell>
          <cell r="BW276">
            <v>0</v>
          </cell>
        </row>
        <row r="277">
          <cell r="D277">
            <v>0</v>
          </cell>
          <cell r="E277">
            <v>0.86476128237295469</v>
          </cell>
          <cell r="BV277">
            <v>0.30307119022435658</v>
          </cell>
          <cell r="BW277">
            <v>0</v>
          </cell>
        </row>
        <row r="278">
          <cell r="D278">
            <v>0</v>
          </cell>
          <cell r="E278">
            <v>2.5828429263168973</v>
          </cell>
          <cell r="BV278">
            <v>1.0910716536475462</v>
          </cell>
          <cell r="BW278">
            <v>0</v>
          </cell>
        </row>
        <row r="279">
          <cell r="D279">
            <v>0</v>
          </cell>
          <cell r="E279">
            <v>0.34483865644557532</v>
          </cell>
          <cell r="BV279">
            <v>0.6019856083697217</v>
          </cell>
          <cell r="BW279">
            <v>0</v>
          </cell>
        </row>
        <row r="280">
          <cell r="D280">
            <v>0</v>
          </cell>
          <cell r="E280">
            <v>0.30322699105721879</v>
          </cell>
          <cell r="BV280">
            <v>0.58781630778889249</v>
          </cell>
          <cell r="BW280">
            <v>0</v>
          </cell>
        </row>
        <row r="281">
          <cell r="D281">
            <v>0</v>
          </cell>
          <cell r="E281">
            <v>2.5662867811539618</v>
          </cell>
          <cell r="BV281">
            <v>0.29610597618136292</v>
          </cell>
          <cell r="BW281">
            <v>0</v>
          </cell>
        </row>
        <row r="282">
          <cell r="D282">
            <v>0</v>
          </cell>
          <cell r="E282">
            <v>1.562708213784288E-2</v>
          </cell>
          <cell r="BV282">
            <v>5.794101110192542E-2</v>
          </cell>
          <cell r="BW282">
            <v>0</v>
          </cell>
        </row>
        <row r="283">
          <cell r="D283">
            <v>0</v>
          </cell>
          <cell r="E283">
            <v>8.6724341725470236E-2</v>
          </cell>
          <cell r="BV283">
            <v>0.15137056896869841</v>
          </cell>
          <cell r="BW283">
            <v>0</v>
          </cell>
        </row>
      </sheetData>
      <sheetData sheetId="11" refreshError="1"/>
      <sheetData sheetId="12" refreshError="1"/>
      <sheetData sheetId="13" refreshError="1"/>
      <sheetData sheetId="14">
        <row r="270">
          <cell r="Y270">
            <v>1</v>
          </cell>
        </row>
        <row r="271">
          <cell r="Y271">
            <v>0</v>
          </cell>
        </row>
        <row r="272">
          <cell r="Y272">
            <v>0</v>
          </cell>
        </row>
        <row r="273">
          <cell r="Y273">
            <v>0</v>
          </cell>
        </row>
        <row r="274">
          <cell r="Y274">
            <v>0</v>
          </cell>
        </row>
        <row r="275">
          <cell r="Y275">
            <v>0</v>
          </cell>
        </row>
        <row r="276">
          <cell r="Y276">
            <v>0</v>
          </cell>
        </row>
        <row r="277">
          <cell r="Y277">
            <v>-28.216209696614314</v>
          </cell>
        </row>
        <row r="278">
          <cell r="Y278">
            <v>-42.331377382329954</v>
          </cell>
        </row>
        <row r="279">
          <cell r="Y279">
            <v>-13.685436653377941</v>
          </cell>
        </row>
        <row r="280">
          <cell r="Y280">
            <v>-5.4061596857689773</v>
          </cell>
        </row>
        <row r="281">
          <cell r="Y281">
            <v>-5.4061596857689773</v>
          </cell>
        </row>
        <row r="282">
          <cell r="Y282">
            <v>-0.27393692777212614</v>
          </cell>
        </row>
        <row r="283">
          <cell r="Y283">
            <v>-5.72954763659021</v>
          </cell>
        </row>
        <row r="284">
          <cell r="Y284">
            <v>0.13580324168234237</v>
          </cell>
        </row>
        <row r="285">
          <cell r="Y285">
            <v>384.29844655783586</v>
          </cell>
        </row>
        <row r="286">
          <cell r="Y286">
            <v>-1.3019529375153069</v>
          </cell>
        </row>
        <row r="287">
          <cell r="Y287">
            <v>258.20196307358003</v>
          </cell>
        </row>
        <row r="288">
          <cell r="Y288">
            <v>103.74070696594693</v>
          </cell>
        </row>
        <row r="289">
          <cell r="Y289">
            <v>10230.855847225419</v>
          </cell>
        </row>
        <row r="291">
          <cell r="Y291">
            <v>-14.108104848307157</v>
          </cell>
        </row>
        <row r="292">
          <cell r="Y292">
            <v>-21.165688691164977</v>
          </cell>
        </row>
        <row r="293">
          <cell r="Y293">
            <v>-6.8427183266889706</v>
          </cell>
        </row>
        <row r="294">
          <cell r="Y294">
            <v>-2.7030798428844887</v>
          </cell>
        </row>
        <row r="295">
          <cell r="Y295">
            <v>-2.7030798428844887</v>
          </cell>
        </row>
        <row r="296">
          <cell r="Y296">
            <v>-0.13696846388606307</v>
          </cell>
        </row>
        <row r="297">
          <cell r="Y297">
            <v>-2.864773818295105</v>
          </cell>
        </row>
        <row r="298">
          <cell r="Y298">
            <v>6.7901620841171184E-2</v>
          </cell>
        </row>
      </sheetData>
      <sheetData sheetId="15" refreshError="1"/>
      <sheetData sheetId="16" refreshError="1"/>
      <sheetData sheetId="17" refreshError="1"/>
      <sheetData sheetId="18" refreshError="1"/>
      <sheetData sheetId="19">
        <row r="359">
          <cell r="L359">
            <v>0</v>
          </cell>
          <cell r="O359">
            <v>2025</v>
          </cell>
          <cell r="P359">
            <v>0</v>
          </cell>
        </row>
      </sheetData>
      <sheetData sheetId="20" refreshError="1"/>
      <sheetData sheetId="21" refreshError="1"/>
      <sheetData sheetId="22">
        <row r="4">
          <cell r="AF4" t="str">
            <v>Willow</v>
          </cell>
          <cell r="BJ4" t="str">
            <v>Char</v>
          </cell>
        </row>
        <row r="5">
          <cell r="AF5" t="str">
            <v>Small Industrial Boiler</v>
          </cell>
          <cell r="AG5" t="str">
            <v>Large Industrial Boiler</v>
          </cell>
          <cell r="AH5" t="str">
            <v>Utility Boiler</v>
          </cell>
          <cell r="AI5" t="str">
            <v>Gasification Turbine</v>
          </cell>
          <cell r="AJ5" t="str">
            <v>Gasifier</v>
          </cell>
          <cell r="BJ5" t="str">
            <v xml:space="preserve"> Boiler</v>
          </cell>
        </row>
        <row r="6">
          <cell r="B6">
            <v>2.54</v>
          </cell>
          <cell r="C6">
            <v>2.54</v>
          </cell>
          <cell r="D6">
            <v>1.056</v>
          </cell>
          <cell r="E6">
            <v>0.26700000000000002</v>
          </cell>
          <cell r="F6">
            <v>1.056</v>
          </cell>
          <cell r="G6">
            <v>130.05799999999999</v>
          </cell>
          <cell r="H6">
            <v>2.5</v>
          </cell>
          <cell r="I6">
            <v>100</v>
          </cell>
          <cell r="L6">
            <v>2.089</v>
          </cell>
          <cell r="M6">
            <v>0.90500000000000003</v>
          </cell>
          <cell r="N6">
            <v>3.6509999999999998</v>
          </cell>
          <cell r="Q6">
            <v>1.1729999780654907</v>
          </cell>
          <cell r="R6">
            <v>1.2010000000000001</v>
          </cell>
          <cell r="S6">
            <v>2.0270000000000001</v>
          </cell>
          <cell r="T6">
            <v>0.25800000000000001</v>
          </cell>
          <cell r="U6">
            <v>41.5</v>
          </cell>
          <cell r="V6">
            <v>598.35</v>
          </cell>
          <cell r="W6">
            <v>145.66999999999999</v>
          </cell>
          <cell r="X6">
            <v>0.81999999284744263</v>
          </cell>
          <cell r="Z6">
            <v>4.2720000000000002</v>
          </cell>
          <cell r="AA6">
            <v>4.2720000000000002</v>
          </cell>
          <cell r="AB6">
            <v>1.4950000000000001</v>
          </cell>
          <cell r="AC6">
            <v>0.12199999999999996</v>
          </cell>
          <cell r="AD6">
            <v>0.47154493127067021</v>
          </cell>
          <cell r="AE6">
            <v>10</v>
          </cell>
          <cell r="AF6">
            <v>0.61498714625340167</v>
          </cell>
          <cell r="AG6">
            <v>0.61498714625340167</v>
          </cell>
          <cell r="AH6">
            <v>7.9859999999999998</v>
          </cell>
          <cell r="AI6">
            <v>1.3320632546304543</v>
          </cell>
          <cell r="AJ6">
            <v>2.4170000553131104</v>
          </cell>
          <cell r="BG6">
            <v>0.47154493127067021</v>
          </cell>
          <cell r="BJ6">
            <v>1.4950000000000001</v>
          </cell>
        </row>
        <row r="7">
          <cell r="B7">
            <v>22.21</v>
          </cell>
          <cell r="C7">
            <v>24.97</v>
          </cell>
          <cell r="D7">
            <v>41.286000000000001</v>
          </cell>
          <cell r="E7">
            <v>14.532999999999999</v>
          </cell>
          <cell r="F7">
            <v>41.286000000000001</v>
          </cell>
          <cell r="G7">
            <v>660.91099999999994</v>
          </cell>
          <cell r="H7">
            <v>26</v>
          </cell>
          <cell r="I7">
            <v>50</v>
          </cell>
          <cell r="L7">
            <v>16.209</v>
          </cell>
          <cell r="M7">
            <v>36.017000000000003</v>
          </cell>
          <cell r="N7">
            <v>16.152999999999999</v>
          </cell>
          <cell r="Q7">
            <v>16.686000823974609</v>
          </cell>
          <cell r="R7">
            <v>25.114999999999998</v>
          </cell>
          <cell r="S7">
            <v>526.19200000000001</v>
          </cell>
          <cell r="T7">
            <v>1.56</v>
          </cell>
          <cell r="U7">
            <v>200.11</v>
          </cell>
          <cell r="V7">
            <v>1303.953</v>
          </cell>
          <cell r="W7">
            <v>5850.26</v>
          </cell>
          <cell r="X7">
            <v>23.739999771118164</v>
          </cell>
          <cell r="Z7">
            <v>3.5310000000000001</v>
          </cell>
          <cell r="AA7">
            <v>3.5310000000000001</v>
          </cell>
          <cell r="AB7">
            <v>12.417</v>
          </cell>
          <cell r="AC7">
            <v>2.2349999999999994</v>
          </cell>
          <cell r="AD7">
            <v>23.954809379648633</v>
          </cell>
          <cell r="AE7">
            <v>100</v>
          </cell>
          <cell r="AF7">
            <v>9.7513534250812377</v>
          </cell>
          <cell r="AG7">
            <v>9.7513534250812377</v>
          </cell>
          <cell r="AH7">
            <v>270.17</v>
          </cell>
          <cell r="AI7">
            <v>11.078546431240618</v>
          </cell>
          <cell r="AJ7">
            <v>28.822000503540039</v>
          </cell>
          <cell r="BG7">
            <v>23.954809379648633</v>
          </cell>
          <cell r="BJ7">
            <v>12.417</v>
          </cell>
        </row>
        <row r="8">
          <cell r="B8">
            <v>36.4</v>
          </cell>
          <cell r="C8">
            <v>41.05</v>
          </cell>
          <cell r="D8">
            <v>31.969000000000001</v>
          </cell>
          <cell r="E8">
            <v>17.425000000000001</v>
          </cell>
          <cell r="F8">
            <v>31.969000000000001</v>
          </cell>
          <cell r="G8">
            <v>752.81600000000003</v>
          </cell>
          <cell r="H8">
            <v>48.900001525878899</v>
          </cell>
          <cell r="I8">
            <v>100</v>
          </cell>
          <cell r="L8">
            <v>112.08</v>
          </cell>
          <cell r="M8">
            <v>137.08099999999999</v>
          </cell>
          <cell r="N8">
            <v>114.437</v>
          </cell>
          <cell r="Q8">
            <v>82.224998474121094</v>
          </cell>
          <cell r="R8">
            <v>66.543000000000006</v>
          </cell>
          <cell r="S8">
            <v>267.89</v>
          </cell>
          <cell r="T8">
            <v>256.41199999999998</v>
          </cell>
          <cell r="U8">
            <v>434.31</v>
          </cell>
          <cell r="V8">
            <v>98.587999999999994</v>
          </cell>
          <cell r="W8">
            <v>169.44</v>
          </cell>
          <cell r="X8">
            <v>181.60000610351563</v>
          </cell>
          <cell r="Z8">
            <v>69.412999999999997</v>
          </cell>
          <cell r="AA8">
            <v>69.412999999999997</v>
          </cell>
          <cell r="AB8">
            <v>116.035</v>
          </cell>
          <cell r="AC8">
            <v>11.902000000000001</v>
          </cell>
          <cell r="AD8">
            <v>121.63087470943928</v>
          </cell>
          <cell r="AE8">
            <v>40</v>
          </cell>
          <cell r="AF8">
            <v>64.213488868141468</v>
          </cell>
          <cell r="AG8">
            <v>64.213488868141468</v>
          </cell>
          <cell r="AH8">
            <v>103.351</v>
          </cell>
          <cell r="AI8">
            <v>10.313598990440369</v>
          </cell>
          <cell r="AJ8">
            <v>30</v>
          </cell>
          <cell r="BG8">
            <v>121.63087470943928</v>
          </cell>
          <cell r="BJ8">
            <v>116.035</v>
          </cell>
        </row>
        <row r="9">
          <cell r="B9">
            <v>3.5070000000000001</v>
          </cell>
          <cell r="C9">
            <v>3.5070000000000001</v>
          </cell>
          <cell r="D9">
            <v>3.5750000000000002</v>
          </cell>
          <cell r="E9">
            <v>0.13300000000000001</v>
          </cell>
          <cell r="F9">
            <v>3.5750000000000002</v>
          </cell>
          <cell r="G9">
            <v>7.1970000000000001</v>
          </cell>
          <cell r="H9">
            <v>3.7000000476837154</v>
          </cell>
          <cell r="I9">
            <v>90</v>
          </cell>
          <cell r="L9">
            <v>11.81</v>
          </cell>
          <cell r="M9">
            <v>29.265000000000001</v>
          </cell>
          <cell r="N9">
            <v>20.38</v>
          </cell>
          <cell r="Q9">
            <v>6.4169999999999998</v>
          </cell>
          <cell r="R9">
            <v>8.4039999999999999</v>
          </cell>
          <cell r="S9">
            <v>22.539000000000001</v>
          </cell>
          <cell r="T9">
            <v>25.943999999999999</v>
          </cell>
          <cell r="U9">
            <v>29.83</v>
          </cell>
          <cell r="V9">
            <v>52.558</v>
          </cell>
          <cell r="W9">
            <v>7.92</v>
          </cell>
          <cell r="X9">
            <v>29.711999893188477</v>
          </cell>
          <cell r="Z9">
            <v>3.738</v>
          </cell>
          <cell r="AA9">
            <v>3.738</v>
          </cell>
          <cell r="AB9">
            <v>22.42</v>
          </cell>
          <cell r="AC9">
            <v>251.84100000000001</v>
          </cell>
          <cell r="AD9">
            <v>2.6634014598039615</v>
          </cell>
          <cell r="AE9">
            <v>20</v>
          </cell>
          <cell r="AF9">
            <v>1.4347004592228441</v>
          </cell>
          <cell r="AG9">
            <v>1.4347004592228441</v>
          </cell>
          <cell r="AH9">
            <v>20.334</v>
          </cell>
          <cell r="AI9">
            <v>5.8689917039267616</v>
          </cell>
          <cell r="AJ9">
            <v>2.9600000381469727</v>
          </cell>
          <cell r="BG9">
            <v>2.6634014598039615</v>
          </cell>
          <cell r="BJ9">
            <v>22.42</v>
          </cell>
        </row>
        <row r="10">
          <cell r="B10">
            <v>3.5070000000000001</v>
          </cell>
          <cell r="C10">
            <v>3.5070000000000001</v>
          </cell>
          <cell r="D10">
            <v>3.5750000000000002</v>
          </cell>
          <cell r="E10">
            <v>0.13300000000000001</v>
          </cell>
          <cell r="F10">
            <v>3.5750000000000002</v>
          </cell>
          <cell r="G10">
            <v>7.1970000000000001</v>
          </cell>
          <cell r="H10">
            <v>3.7000000476837154</v>
          </cell>
          <cell r="I10">
            <v>90</v>
          </cell>
          <cell r="L10">
            <v>9.8699999999999992</v>
          </cell>
          <cell r="M10">
            <v>14.882</v>
          </cell>
          <cell r="N10">
            <v>10.615</v>
          </cell>
          <cell r="Q10">
            <v>5.03</v>
          </cell>
          <cell r="R10">
            <v>7.5220000000000002</v>
          </cell>
          <cell r="S10">
            <v>22.3</v>
          </cell>
          <cell r="T10">
            <v>6.5739999999999998</v>
          </cell>
          <cell r="U10">
            <v>28.935099999999998</v>
          </cell>
          <cell r="V10">
            <v>52.558</v>
          </cell>
          <cell r="W10">
            <v>7.6823999999999995</v>
          </cell>
          <cell r="X10">
            <v>19.312799453735352</v>
          </cell>
          <cell r="Z10">
            <v>3.738</v>
          </cell>
          <cell r="AA10">
            <v>3.738</v>
          </cell>
          <cell r="AB10">
            <v>16.93</v>
          </cell>
          <cell r="AC10">
            <v>73.411000000000001</v>
          </cell>
          <cell r="AD10">
            <v>2.5210846263102669</v>
          </cell>
          <cell r="AE10">
            <v>20</v>
          </cell>
          <cell r="AF10">
            <v>1.2671066692492206</v>
          </cell>
          <cell r="AG10">
            <v>1.2671066692492206</v>
          </cell>
          <cell r="AH10">
            <v>18.893999999999998</v>
          </cell>
          <cell r="AI10">
            <v>2.9344958519633808</v>
          </cell>
          <cell r="AJ10">
            <v>2.9600000381469727</v>
          </cell>
          <cell r="BG10">
            <v>2.5210846263102669</v>
          </cell>
          <cell r="BJ10">
            <v>16.93</v>
          </cell>
        </row>
        <row r="11">
          <cell r="B11">
            <v>0.26856561546286878</v>
          </cell>
          <cell r="C11">
            <v>0.26856561546286878</v>
          </cell>
          <cell r="D11">
            <v>0.26856561546286878</v>
          </cell>
          <cell r="E11">
            <v>0.26856561546286878</v>
          </cell>
          <cell r="F11">
            <v>0.26856561546286878</v>
          </cell>
          <cell r="G11">
            <v>0.26856561546286878</v>
          </cell>
          <cell r="H11">
            <v>0.26856561546286878</v>
          </cell>
          <cell r="I11">
            <v>30</v>
          </cell>
          <cell r="L11">
            <v>269.58</v>
          </cell>
          <cell r="M11">
            <v>115.509</v>
          </cell>
          <cell r="N11">
            <v>256.83999999999997</v>
          </cell>
          <cell r="Q11">
            <v>0.54242117555469049</v>
          </cell>
          <cell r="R11">
            <v>0.54242117555469049</v>
          </cell>
          <cell r="S11">
            <v>0.54242117555469049</v>
          </cell>
          <cell r="T11">
            <v>0.54242117555469049</v>
          </cell>
          <cell r="U11">
            <v>0.54242117555469049</v>
          </cell>
          <cell r="V11">
            <v>0.48565767938668286</v>
          </cell>
          <cell r="W11">
            <v>0.48565767938668286</v>
          </cell>
          <cell r="X11">
            <v>395.46499633789063</v>
          </cell>
          <cell r="Z11">
            <v>0</v>
          </cell>
          <cell r="AA11">
            <v>0</v>
          </cell>
          <cell r="AB11">
            <v>74.64</v>
          </cell>
          <cell r="AC11">
            <v>4.1099999999999994</v>
          </cell>
          <cell r="AD11">
            <v>217.68799999999999</v>
          </cell>
          <cell r="AE11">
            <v>20</v>
          </cell>
          <cell r="AF11">
            <v>58.923404780462455</v>
          </cell>
          <cell r="AG11">
            <v>58.923404780462455</v>
          </cell>
          <cell r="AH11">
            <v>58.923404780462455</v>
          </cell>
          <cell r="AI11">
            <v>58.923404780462455</v>
          </cell>
          <cell r="AJ11">
            <v>58.923404780462455</v>
          </cell>
          <cell r="BG11">
            <v>217.68799999999999</v>
          </cell>
          <cell r="BJ11">
            <v>0</v>
          </cell>
        </row>
        <row r="12">
          <cell r="B12">
            <v>0.57865500000000003</v>
          </cell>
          <cell r="C12">
            <v>0.57865500000000003</v>
          </cell>
          <cell r="D12">
            <v>0.103675</v>
          </cell>
          <cell r="E12">
            <v>3.8569999999999998E-3</v>
          </cell>
          <cell r="F12">
            <v>0.103675</v>
          </cell>
          <cell r="G12">
            <v>1.4394</v>
          </cell>
          <cell r="H12">
            <v>3.5150000452995296</v>
          </cell>
          <cell r="I12">
            <v>14.85</v>
          </cell>
          <cell r="L12">
            <v>0.62575799999999993</v>
          </cell>
          <cell r="M12">
            <v>0.94351879999999999</v>
          </cell>
          <cell r="N12">
            <v>0.67299100000000001</v>
          </cell>
          <cell r="Q12">
            <v>0.503</v>
          </cell>
          <cell r="R12">
            <v>0.75219999999999998</v>
          </cell>
          <cell r="S12">
            <v>18.129899999999999</v>
          </cell>
          <cell r="T12">
            <v>0.65739999999999998</v>
          </cell>
          <cell r="U12">
            <v>16.290461299999997</v>
          </cell>
          <cell r="V12">
            <v>5.2558000000000007</v>
          </cell>
          <cell r="W12">
            <v>1.0448063999999999</v>
          </cell>
          <cell r="X12">
            <v>0.56007118415832513</v>
          </cell>
          <cell r="Z12">
            <v>0.61677000000000004</v>
          </cell>
          <cell r="AA12">
            <v>0.61677000000000004</v>
          </cell>
          <cell r="AB12">
            <v>0.72798999999999991</v>
          </cell>
          <cell r="AC12">
            <v>3.1566730000000001</v>
          </cell>
          <cell r="AD12">
            <v>0.10840663893134148</v>
          </cell>
          <cell r="AE12">
            <v>0.86</v>
          </cell>
          <cell r="AF12">
            <v>0.17486072035639247</v>
          </cell>
          <cell r="AG12">
            <v>0.17486072035639247</v>
          </cell>
          <cell r="AH12">
            <v>2.6073719999999998</v>
          </cell>
          <cell r="AI12">
            <v>0.40496042757094658</v>
          </cell>
          <cell r="AJ12">
            <v>0.40848000526428224</v>
          </cell>
          <cell r="BG12">
            <v>0.10840663893134148</v>
          </cell>
          <cell r="BJ12">
            <v>0.72798999999999991</v>
          </cell>
        </row>
        <row r="13">
          <cell r="B13">
            <v>1.5009959999999998</v>
          </cell>
          <cell r="C13">
            <v>1.5009959999999998</v>
          </cell>
          <cell r="D13">
            <v>2.431</v>
          </cell>
          <cell r="E13">
            <v>9.0440000000000006E-2</v>
          </cell>
          <cell r="F13">
            <v>2.431</v>
          </cell>
          <cell r="G13">
            <v>3.0803159999999998</v>
          </cell>
          <cell r="H13">
            <v>0.18500000238418576</v>
          </cell>
          <cell r="I13">
            <v>38.519999999999996</v>
          </cell>
          <cell r="L13">
            <v>0.43428</v>
          </cell>
          <cell r="M13">
            <v>0.65480800000000006</v>
          </cell>
          <cell r="N13">
            <v>0.46706000000000003</v>
          </cell>
          <cell r="Q13">
            <v>1.2575000000000001</v>
          </cell>
          <cell r="R13">
            <v>1.8805000000000001</v>
          </cell>
          <cell r="S13">
            <v>4.0363000000000007</v>
          </cell>
          <cell r="T13">
            <v>1.6435</v>
          </cell>
          <cell r="U13">
            <v>10.098349899999999</v>
          </cell>
          <cell r="V13">
            <v>16.818560000000002</v>
          </cell>
          <cell r="W13">
            <v>6.6375935999999998</v>
          </cell>
          <cell r="X13">
            <v>0.40556878852844241</v>
          </cell>
          <cell r="Z13">
            <v>1.5998639999999997</v>
          </cell>
          <cell r="AA13">
            <v>1.5998639999999997</v>
          </cell>
          <cell r="AB13">
            <v>1.3713299999999997</v>
          </cell>
          <cell r="AC13">
            <v>5.9462909999999995</v>
          </cell>
          <cell r="AD13">
            <v>0.20420785473113159</v>
          </cell>
          <cell r="AE13">
            <v>1.62</v>
          </cell>
          <cell r="AF13">
            <v>0.41307677417524596</v>
          </cell>
          <cell r="AG13">
            <v>0.41307677417524596</v>
          </cell>
          <cell r="AH13">
            <v>6.1594439999999997</v>
          </cell>
          <cell r="AI13">
            <v>0.95664564774006222</v>
          </cell>
          <cell r="AJ13">
            <v>0.96496001243591312</v>
          </cell>
          <cell r="BG13">
            <v>0.20420785473113159</v>
          </cell>
          <cell r="BJ13">
            <v>1.3713299999999997</v>
          </cell>
        </row>
        <row r="14">
          <cell r="B14">
            <v>1.06</v>
          </cell>
          <cell r="C14">
            <v>1.06</v>
          </cell>
          <cell r="D14">
            <v>1.056</v>
          </cell>
          <cell r="E14">
            <v>1.1419999999999999</v>
          </cell>
          <cell r="F14">
            <v>1.056</v>
          </cell>
          <cell r="G14">
            <v>392.35399999999998</v>
          </cell>
          <cell r="H14">
            <v>49</v>
          </cell>
          <cell r="I14">
            <v>2.85</v>
          </cell>
          <cell r="L14">
            <v>3.1819999999999999</v>
          </cell>
          <cell r="M14">
            <v>3.2309999999999999</v>
          </cell>
          <cell r="N14">
            <v>1.5349999999999999</v>
          </cell>
          <cell r="Q14">
            <v>0.18000000715255737</v>
          </cell>
          <cell r="R14">
            <v>0.76300000000000001</v>
          </cell>
          <cell r="S14">
            <v>4.2210000000000001</v>
          </cell>
          <cell r="T14">
            <v>3.024</v>
          </cell>
          <cell r="U14">
            <v>0.62999999523162842</v>
          </cell>
          <cell r="V14">
            <v>3</v>
          </cell>
          <cell r="W14">
            <v>2.6149999193205855</v>
          </cell>
          <cell r="X14">
            <v>0.36000001430511475</v>
          </cell>
          <cell r="Z14">
            <v>1.0680000000000001</v>
          </cell>
          <cell r="AA14">
            <v>1.0680000000000001</v>
          </cell>
          <cell r="AB14">
            <v>1.0580000000000001</v>
          </cell>
          <cell r="AC14">
            <v>1.0499999999999996</v>
          </cell>
          <cell r="AD14">
            <v>1.246</v>
          </cell>
          <cell r="AE14">
            <v>0</v>
          </cell>
          <cell r="AF14">
            <v>9.8650000000000002</v>
          </cell>
          <cell r="AG14">
            <v>9.8650000000000002</v>
          </cell>
          <cell r="AH14">
            <v>9.8650000000000002</v>
          </cell>
          <cell r="AI14">
            <v>3.8340001106262211</v>
          </cell>
          <cell r="AJ14">
            <v>1.1000000238418579</v>
          </cell>
          <cell r="BG14">
            <v>1.246</v>
          </cell>
          <cell r="BJ14">
            <v>1.0580000000000001</v>
          </cell>
        </row>
        <row r="15">
          <cell r="B15">
            <v>0.75</v>
          </cell>
          <cell r="C15">
            <v>0.35</v>
          </cell>
          <cell r="D15">
            <v>0.10199999999999999</v>
          </cell>
          <cell r="E15">
            <v>0.11899999999999999</v>
          </cell>
          <cell r="F15">
            <v>0.10199999999999999</v>
          </cell>
          <cell r="G15">
            <v>0.111</v>
          </cell>
          <cell r="H15">
            <v>1.1000000238418579</v>
          </cell>
          <cell r="I15">
            <v>0</v>
          </cell>
          <cell r="L15">
            <v>0.63800000000000001</v>
          </cell>
          <cell r="M15">
            <v>1.712</v>
          </cell>
          <cell r="N15">
            <v>1.712</v>
          </cell>
          <cell r="Q15">
            <v>0.38999998569488525</v>
          </cell>
          <cell r="R15">
            <v>0.91800000000000004</v>
          </cell>
          <cell r="S15">
            <v>0.6</v>
          </cell>
          <cell r="T15">
            <v>0.60299999999999998</v>
          </cell>
          <cell r="U15">
            <v>0.92000001668930043</v>
          </cell>
          <cell r="V15">
            <v>0.6</v>
          </cell>
          <cell r="W15">
            <v>1.1039999723434448</v>
          </cell>
          <cell r="X15">
            <v>2</v>
          </cell>
          <cell r="Z15">
            <v>4.806</v>
          </cell>
          <cell r="AA15">
            <v>4.806</v>
          </cell>
          <cell r="AB15">
            <v>1.5860000000000001</v>
          </cell>
          <cell r="AC15">
            <v>1.5809999999999997</v>
          </cell>
          <cell r="AD15">
            <v>0.85699999999999998</v>
          </cell>
          <cell r="AE15">
            <v>0</v>
          </cell>
          <cell r="AF15">
            <v>6.1070000000000002</v>
          </cell>
          <cell r="AG15">
            <v>6.1070000000000002</v>
          </cell>
          <cell r="AH15">
            <v>6.1070000000000002</v>
          </cell>
          <cell r="AI15">
            <v>11</v>
          </cell>
          <cell r="AJ15">
            <v>1.1000000238418579</v>
          </cell>
          <cell r="BG15">
            <v>0.85699999999999998</v>
          </cell>
          <cell r="BJ15">
            <v>1.5860000000000001</v>
          </cell>
        </row>
        <row r="16">
          <cell r="B16">
            <v>59366.949503269869</v>
          </cell>
          <cell r="C16">
            <v>59362.612360412735</v>
          </cell>
          <cell r="D16">
            <v>59341.609065174642</v>
          </cell>
          <cell r="E16">
            <v>59385.872043746065</v>
          </cell>
          <cell r="F16">
            <v>59341.609065174642</v>
          </cell>
          <cell r="G16">
            <v>56889.786903269873</v>
          </cell>
          <cell r="H16">
            <v>59229.283455650831</v>
          </cell>
          <cell r="I16">
            <v>59014.60666993654</v>
          </cell>
          <cell r="L16">
            <v>85040.498287440714</v>
          </cell>
          <cell r="M16">
            <v>85012.926813631188</v>
          </cell>
          <cell r="N16">
            <v>85040.247304107383</v>
          </cell>
          <cell r="Q16">
            <v>78168.681100745569</v>
          </cell>
          <cell r="R16">
            <v>78153.745013896463</v>
          </cell>
          <cell r="S16">
            <v>77354.254432944086</v>
          </cell>
          <cell r="T16">
            <v>78187.481280563123</v>
          </cell>
          <cell r="U16">
            <v>77753.520071052437</v>
          </cell>
          <cell r="V16">
            <v>72916.962673629678</v>
          </cell>
          <cell r="W16">
            <v>67184.677376232503</v>
          </cell>
          <cell r="X16">
            <v>77264.397841775266</v>
          </cell>
          <cell r="Z16">
            <v>68039.647796249905</v>
          </cell>
          <cell r="AA16">
            <v>68039.647796249905</v>
          </cell>
          <cell r="AB16">
            <v>100017.06454396401</v>
          </cell>
          <cell r="AC16">
            <v>100037.36601301163</v>
          </cell>
          <cell r="AD16">
            <v>100001.60646895067</v>
          </cell>
          <cell r="AE16">
            <v>99855.836365392577</v>
          </cell>
          <cell r="AF16">
            <v>105173.1907876577</v>
          </cell>
          <cell r="AG16">
            <v>105173.1907876577</v>
          </cell>
          <cell r="AH16">
            <v>104740.98849583627</v>
          </cell>
          <cell r="AI16">
            <v>105185.45556113936</v>
          </cell>
          <cell r="AJ16">
            <v>105161.71010433085</v>
          </cell>
          <cell r="BG16">
            <v>106933.47159684247</v>
          </cell>
          <cell r="BJ16">
            <v>90002.849570264574</v>
          </cell>
        </row>
        <row r="37">
          <cell r="B37">
            <v>79.891003050459602</v>
          </cell>
          <cell r="C37">
            <v>79.891003050459602</v>
          </cell>
          <cell r="D37">
            <v>79.891003050459602</v>
          </cell>
          <cell r="S37">
            <v>28.788439232706082</v>
          </cell>
          <cell r="T37">
            <v>28.788439232706082</v>
          </cell>
          <cell r="AD37">
            <v>5.812353466897128</v>
          </cell>
          <cell r="AE37">
            <v>6.4581705187745868</v>
          </cell>
          <cell r="CH37">
            <v>4.946392666098264</v>
          </cell>
        </row>
        <row r="38">
          <cell r="B38">
            <v>181.52600634265971</v>
          </cell>
          <cell r="C38">
            <v>181.52600634265971</v>
          </cell>
          <cell r="D38">
            <v>90.763003171329856</v>
          </cell>
          <cell r="S38">
            <v>49.437007475078644</v>
          </cell>
          <cell r="T38">
            <v>24.718503737539322</v>
          </cell>
          <cell r="AD38">
            <v>161.77639496566306</v>
          </cell>
          <cell r="AE38">
            <v>1426.102965111254</v>
          </cell>
          <cell r="CH38">
            <v>135.04165433469868</v>
          </cell>
        </row>
        <row r="39">
          <cell r="B39">
            <v>2054.8190944821517</v>
          </cell>
          <cell r="C39">
            <v>2054.8190944821517</v>
          </cell>
          <cell r="D39">
            <v>2054.8190944821517</v>
          </cell>
          <cell r="S39">
            <v>416.51117997791005</v>
          </cell>
          <cell r="T39">
            <v>416.51117997791005</v>
          </cell>
          <cell r="AD39">
            <v>101.53518337732018</v>
          </cell>
          <cell r="AE39">
            <v>12.400895348793513</v>
          </cell>
          <cell r="CH39">
            <v>91.763683522730702</v>
          </cell>
        </row>
        <row r="40">
          <cell r="B40">
            <v>181.11800463373413</v>
          </cell>
          <cell r="C40">
            <v>181.11800463373413</v>
          </cell>
          <cell r="D40">
            <v>18.111800463373413</v>
          </cell>
          <cell r="S40">
            <v>6.8629270988412223</v>
          </cell>
          <cell r="T40">
            <v>0.68629270988412228</v>
          </cell>
          <cell r="AD40">
            <v>5.4409986926760716</v>
          </cell>
          <cell r="AE40">
            <v>6.045554102973413</v>
          </cell>
          <cell r="CH40">
            <v>5.1794309976553343</v>
          </cell>
        </row>
        <row r="41">
          <cell r="B41">
            <v>166.66600341438362</v>
          </cell>
          <cell r="C41">
            <v>166.66600341438362</v>
          </cell>
          <cell r="D41">
            <v>16.666600341438365</v>
          </cell>
          <cell r="S41">
            <v>6.6570392858759853</v>
          </cell>
          <cell r="T41">
            <v>0.66570392858759853</v>
          </cell>
          <cell r="AD41">
            <v>0.92824869708043045</v>
          </cell>
          <cell r="AE41">
            <v>1.0313874412004784</v>
          </cell>
          <cell r="CH41">
            <v>0.81078923308885331</v>
          </cell>
        </row>
        <row r="42">
          <cell r="B42">
            <v>1443.5650804305726</v>
          </cell>
          <cell r="C42">
            <v>0.54242117555469049</v>
          </cell>
          <cell r="D42">
            <v>0.26856561546286878</v>
          </cell>
          <cell r="S42">
            <v>0.54242117555469049</v>
          </cell>
          <cell r="T42">
            <v>0.26856561546286878</v>
          </cell>
          <cell r="AD42">
            <v>0.54469976387990127</v>
          </cell>
          <cell r="AE42">
            <v>0</v>
          </cell>
          <cell r="CH42">
            <v>0.54469976387990127</v>
          </cell>
        </row>
        <row r="43">
          <cell r="B43">
            <v>24.999900512157541</v>
          </cell>
          <cell r="C43">
            <v>24.999900512157541</v>
          </cell>
          <cell r="D43">
            <v>2.4999900512157542</v>
          </cell>
          <cell r="S43">
            <v>0.55919130001358275</v>
          </cell>
          <cell r="T43">
            <v>5.5919130001358279E-2</v>
          </cell>
          <cell r="AD43">
            <v>3.1580812470205132E-2</v>
          </cell>
          <cell r="AE43">
            <v>3.5089791633561261E-2</v>
          </cell>
          <cell r="CH43">
            <v>1.9510999112621483E-2</v>
          </cell>
        </row>
        <row r="44">
          <cell r="B44">
            <v>64.999741331609613</v>
          </cell>
          <cell r="C44">
            <v>64.999741331609613</v>
          </cell>
          <cell r="D44">
            <v>6.4999741331609613</v>
          </cell>
          <cell r="S44">
            <v>5.8981368072861224</v>
          </cell>
          <cell r="T44">
            <v>0.58981368072861229</v>
          </cell>
          <cell r="AD44">
            <v>5.8681168095304902E-2</v>
          </cell>
          <cell r="AE44">
            <v>6.5201297883672113E-2</v>
          </cell>
          <cell r="CH44">
            <v>3.3904729948254143E-2</v>
          </cell>
        </row>
        <row r="45">
          <cell r="B45">
            <v>4.5809998512268066</v>
          </cell>
          <cell r="C45">
            <v>4.5809998512268066</v>
          </cell>
          <cell r="D45">
            <v>91.619997024536133</v>
          </cell>
          <cell r="S45">
            <v>6.8245112110180699</v>
          </cell>
          <cell r="T45">
            <v>136.4902242203614</v>
          </cell>
          <cell r="AD45">
            <v>0.79687952050913158</v>
          </cell>
          <cell r="AE45">
            <v>57.124520793904985</v>
          </cell>
          <cell r="CH45">
            <v>0.70505558699841731</v>
          </cell>
        </row>
        <row r="46">
          <cell r="B46">
            <v>2</v>
          </cell>
          <cell r="C46">
            <v>2</v>
          </cell>
          <cell r="D46">
            <v>2</v>
          </cell>
          <cell r="S46">
            <v>2.1321383520886243</v>
          </cell>
          <cell r="T46">
            <v>2.1321383520886243</v>
          </cell>
          <cell r="AD46">
            <v>0.10695653375963685</v>
          </cell>
          <cell r="AE46">
            <v>2.9710148266565792E-2</v>
          </cell>
          <cell r="CH46">
            <v>0.12704156612067988</v>
          </cell>
        </row>
        <row r="47">
          <cell r="B47">
            <v>84534.38426123267</v>
          </cell>
          <cell r="C47">
            <v>77652.206280545564</v>
          </cell>
          <cell r="D47">
            <v>58769.106070771144</v>
          </cell>
          <cell r="S47">
            <v>78012.874708330055</v>
          </cell>
          <cell r="T47">
            <v>58908.766816610587</v>
          </cell>
          <cell r="AD47">
            <v>77924.526172916216</v>
          </cell>
          <cell r="AE47">
            <v>57241.155732804895</v>
          </cell>
          <cell r="CH47">
            <v>77969.48933517313</v>
          </cell>
        </row>
        <row r="52">
          <cell r="B52">
            <v>79.891003050459602</v>
          </cell>
          <cell r="C52">
            <v>79.891003050459602</v>
          </cell>
          <cell r="D52">
            <v>79.891003050459602</v>
          </cell>
          <cell r="S52">
            <v>28.788439232706082</v>
          </cell>
          <cell r="T52">
            <v>28.788439232706082</v>
          </cell>
          <cell r="AD52">
            <v>7.3235653682903816</v>
          </cell>
          <cell r="AE52">
            <v>8.1372948536559804</v>
          </cell>
        </row>
        <row r="53">
          <cell r="B53">
            <v>181.52600634265971</v>
          </cell>
          <cell r="C53">
            <v>181.52600634265971</v>
          </cell>
          <cell r="D53">
            <v>90.763003171329856</v>
          </cell>
          <cell r="S53">
            <v>49.437007475078644</v>
          </cell>
          <cell r="T53">
            <v>24.718503737539322</v>
          </cell>
          <cell r="AD53">
            <v>203.83825765673546</v>
          </cell>
          <cell r="AE53">
            <v>1796.88973604018</v>
          </cell>
        </row>
        <row r="54">
          <cell r="B54">
            <v>2054.8190944821517</v>
          </cell>
          <cell r="C54">
            <v>2054.8190944821517</v>
          </cell>
          <cell r="D54">
            <v>2054.8190944821517</v>
          </cell>
          <cell r="S54">
            <v>416.51117997791005</v>
          </cell>
          <cell r="T54">
            <v>416.51117997791005</v>
          </cell>
          <cell r="AD54">
            <v>127.93433105542343</v>
          </cell>
          <cell r="AE54">
            <v>15.625128139479827</v>
          </cell>
        </row>
        <row r="55">
          <cell r="B55">
            <v>181.11800463373413</v>
          </cell>
          <cell r="C55">
            <v>181.11800463373413</v>
          </cell>
          <cell r="D55">
            <v>18.111800463373413</v>
          </cell>
          <cell r="S55">
            <v>6.8629270988412223</v>
          </cell>
          <cell r="T55">
            <v>0.68629270988412228</v>
          </cell>
          <cell r="AD55">
            <v>6.8556583527718491</v>
          </cell>
          <cell r="AE55">
            <v>7.6173981697464992</v>
          </cell>
        </row>
        <row r="56">
          <cell r="B56">
            <v>166.66600341438362</v>
          </cell>
          <cell r="C56">
            <v>166.66600341438362</v>
          </cell>
          <cell r="D56">
            <v>16.666600341438365</v>
          </cell>
          <cell r="S56">
            <v>6.6570392858759853</v>
          </cell>
          <cell r="T56">
            <v>0.66570392858759853</v>
          </cell>
          <cell r="AD56">
            <v>1.1695933583213423</v>
          </cell>
          <cell r="AE56">
            <v>1.2995481759126026</v>
          </cell>
        </row>
        <row r="57">
          <cell r="B57">
            <v>1443.5650804305726</v>
          </cell>
          <cell r="C57">
            <v>0.54242117555469049</v>
          </cell>
          <cell r="D57">
            <v>0.26856561546286878</v>
          </cell>
          <cell r="S57">
            <v>0.54242117555469049</v>
          </cell>
          <cell r="T57">
            <v>0.26856561546286878</v>
          </cell>
          <cell r="AD57">
            <v>0.54469976387990127</v>
          </cell>
          <cell r="AE57">
            <v>0</v>
          </cell>
        </row>
        <row r="58">
          <cell r="B58">
            <v>24.999900512157541</v>
          </cell>
          <cell r="C58">
            <v>24.999900512157541</v>
          </cell>
          <cell r="D58">
            <v>2.4999900512157542</v>
          </cell>
          <cell r="S58">
            <v>0.55919130001358275</v>
          </cell>
          <cell r="T58">
            <v>5.5919130001358279E-2</v>
          </cell>
          <cell r="AD58">
            <v>3.9791823712458464E-2</v>
          </cell>
          <cell r="AE58">
            <v>4.4213137458287186E-2</v>
          </cell>
        </row>
        <row r="59">
          <cell r="B59">
            <v>64.999741331609613</v>
          </cell>
          <cell r="C59">
            <v>64.999741331609613</v>
          </cell>
          <cell r="D59">
            <v>6.4999741331609613</v>
          </cell>
          <cell r="S59">
            <v>5.8981368072861224</v>
          </cell>
          <cell r="T59">
            <v>0.58981368072861229</v>
          </cell>
          <cell r="AD59">
            <v>7.3938271800084179E-2</v>
          </cell>
          <cell r="AE59">
            <v>8.2153635333426872E-2</v>
          </cell>
        </row>
        <row r="60">
          <cell r="B60">
            <v>4.5809998512268066</v>
          </cell>
          <cell r="C60">
            <v>4.5809998512268066</v>
          </cell>
          <cell r="D60">
            <v>91.619997024536133</v>
          </cell>
          <cell r="S60">
            <v>6.8245112110180699</v>
          </cell>
          <cell r="T60">
            <v>136.4902242203614</v>
          </cell>
          <cell r="AD60">
            <v>1.0040681958415056</v>
          </cell>
          <cell r="AE60">
            <v>71.976896200320269</v>
          </cell>
        </row>
        <row r="61">
          <cell r="B61">
            <v>2</v>
          </cell>
          <cell r="C61">
            <v>2</v>
          </cell>
          <cell r="D61">
            <v>2</v>
          </cell>
          <cell r="S61">
            <v>2.1321383520886243</v>
          </cell>
          <cell r="T61">
            <v>2.1321383520886243</v>
          </cell>
          <cell r="AD61">
            <v>0.13476523253714243</v>
          </cell>
          <cell r="AE61">
            <v>3.7434786815872895E-2</v>
          </cell>
        </row>
        <row r="62">
          <cell r="B62">
            <v>84534.38426123267</v>
          </cell>
          <cell r="C62">
            <v>77652.206280545564</v>
          </cell>
          <cell r="D62">
            <v>58769.106070771144</v>
          </cell>
          <cell r="S62">
            <v>78012.874708330055</v>
          </cell>
          <cell r="T62">
            <v>58908.766816610587</v>
          </cell>
          <cell r="AD62">
            <v>77853.149247499474</v>
          </cell>
          <cell r="AE62">
            <v>56612.413503848089</v>
          </cell>
        </row>
        <row r="64">
          <cell r="A64" t="str">
            <v>3) Time-Series Tables for Emission Factors of Fuel Combustions in Agricultural and Mining Equipment (emission factors are in grams/mmBtu of fuel burned)</v>
          </cell>
        </row>
        <row r="65">
          <cell r="A65" t="str">
            <v>3.1) CNG-powered Agricultural and Mining Equipment</v>
          </cell>
        </row>
        <row r="66">
          <cell r="B66" t="str">
            <v>Iron ore extraction and processing</v>
          </cell>
          <cell r="C66" t="str">
            <v>Bauxite mining</v>
          </cell>
          <cell r="D66" t="str">
            <v>Lead ore mining</v>
          </cell>
          <cell r="E66" t="str">
            <v>Nickel ore mining</v>
          </cell>
          <cell r="F66" t="str">
            <v>Cobalt ore mining</v>
          </cell>
          <cell r="G66" t="str">
            <v>Copper ore mining</v>
          </cell>
          <cell r="H66" t="str">
            <v>Zinc ore mining</v>
          </cell>
          <cell r="I66" t="str">
            <v>Magnesium ore mining</v>
          </cell>
          <cell r="J66" t="str">
            <v>Dolomite mining</v>
          </cell>
          <cell r="K66" t="str">
            <v>South Africa mining</v>
          </cell>
          <cell r="L66" t="str">
            <v>North America platinum mining</v>
          </cell>
          <cell r="M66" t="str">
            <v>Vanadium ore mining</v>
          </cell>
          <cell r="N66" t="str">
            <v>Zirconium ore mining</v>
          </cell>
          <cell r="O66" t="str">
            <v>Primary mining and beneficiation</v>
          </cell>
          <cell r="P66" t="str">
            <v>Manganese ore mining</v>
          </cell>
          <cell r="AN66" t="str">
            <v>Limestone mining</v>
          </cell>
        </row>
        <row r="67">
          <cell r="A67" t="str">
            <v>VOC</v>
          </cell>
          <cell r="B67">
            <v>137.15726050000001</v>
          </cell>
          <cell r="C67">
            <v>137.15726050000001</v>
          </cell>
          <cell r="D67">
            <v>137.15726050000001</v>
          </cell>
          <cell r="E67">
            <v>137.15726050000001</v>
          </cell>
          <cell r="F67">
            <v>137.15726050000001</v>
          </cell>
          <cell r="G67">
            <v>137.15726050000001</v>
          </cell>
          <cell r="H67">
            <v>137.15726050000001</v>
          </cell>
          <cell r="I67">
            <v>137.15726050000001</v>
          </cell>
          <cell r="J67">
            <v>137.15726050000001</v>
          </cell>
          <cell r="K67">
            <v>137.15726050000001</v>
          </cell>
          <cell r="L67">
            <v>137.15726050000001</v>
          </cell>
          <cell r="M67">
            <v>137.15726050000001</v>
          </cell>
          <cell r="N67">
            <v>137.15726050000001</v>
          </cell>
          <cell r="O67">
            <v>137.15726050000001</v>
          </cell>
          <cell r="P67">
            <v>137.15726050000001</v>
          </cell>
          <cell r="AN67">
            <v>137.15726050000001</v>
          </cell>
        </row>
        <row r="68">
          <cell r="A68" t="str">
            <v>CO</v>
          </cell>
          <cell r="B68">
            <v>1806.2556152</v>
          </cell>
          <cell r="C68">
            <v>1806.2556152</v>
          </cell>
          <cell r="D68">
            <v>1806.2556152</v>
          </cell>
          <cell r="E68">
            <v>1806.2556152</v>
          </cell>
          <cell r="F68">
            <v>1806.2556152</v>
          </cell>
          <cell r="G68">
            <v>1806.2556152</v>
          </cell>
          <cell r="H68">
            <v>1806.2556152</v>
          </cell>
          <cell r="I68">
            <v>1806.2556152</v>
          </cell>
          <cell r="J68">
            <v>1806.2556152</v>
          </cell>
          <cell r="K68">
            <v>1806.2556152</v>
          </cell>
          <cell r="L68">
            <v>1806.2556152</v>
          </cell>
          <cell r="M68">
            <v>1806.2556152</v>
          </cell>
          <cell r="N68">
            <v>1806.2556152</v>
          </cell>
          <cell r="O68">
            <v>1806.2556152</v>
          </cell>
          <cell r="P68">
            <v>1806.2556152</v>
          </cell>
          <cell r="AN68">
            <v>1806.2556152</v>
          </cell>
        </row>
        <row r="69">
          <cell r="A69" t="str">
            <v>NOx</v>
          </cell>
          <cell r="B69">
            <v>191.8619063225</v>
          </cell>
          <cell r="C69">
            <v>191.8619063225</v>
          </cell>
          <cell r="D69">
            <v>191.8619063225</v>
          </cell>
          <cell r="E69">
            <v>191.8619063225</v>
          </cell>
          <cell r="F69">
            <v>191.8619063225</v>
          </cell>
          <cell r="G69">
            <v>191.8619063225</v>
          </cell>
          <cell r="H69">
            <v>191.8619063225</v>
          </cell>
          <cell r="I69">
            <v>191.8619063225</v>
          </cell>
          <cell r="J69">
            <v>191.8619063225</v>
          </cell>
          <cell r="K69">
            <v>191.8619063225</v>
          </cell>
          <cell r="L69">
            <v>191.8619063225</v>
          </cell>
          <cell r="M69">
            <v>191.8619063225</v>
          </cell>
          <cell r="N69">
            <v>191.8619063225</v>
          </cell>
          <cell r="O69">
            <v>191.8619063225</v>
          </cell>
          <cell r="P69">
            <v>191.8619063225</v>
          </cell>
          <cell r="AN69">
            <v>191.8619063225</v>
          </cell>
        </row>
        <row r="70">
          <cell r="A70" t="str">
            <v>PM10</v>
          </cell>
          <cell r="B70">
            <v>7.427593184</v>
          </cell>
          <cell r="C70">
            <v>7.427593184</v>
          </cell>
          <cell r="D70">
            <v>7.427593184</v>
          </cell>
          <cell r="E70">
            <v>7.427593184</v>
          </cell>
          <cell r="F70">
            <v>7.427593184</v>
          </cell>
          <cell r="G70">
            <v>7.427593184</v>
          </cell>
          <cell r="H70">
            <v>7.427593184</v>
          </cell>
          <cell r="I70">
            <v>7.427593184</v>
          </cell>
          <cell r="J70">
            <v>7.427593184</v>
          </cell>
          <cell r="K70">
            <v>7.427593184</v>
          </cell>
          <cell r="L70">
            <v>7.427593184</v>
          </cell>
          <cell r="M70">
            <v>7.427593184</v>
          </cell>
          <cell r="N70">
            <v>7.427593184</v>
          </cell>
          <cell r="O70">
            <v>7.427593184</v>
          </cell>
          <cell r="P70">
            <v>7.427593184</v>
          </cell>
          <cell r="AN70">
            <v>7.427593184</v>
          </cell>
        </row>
        <row r="71">
          <cell r="A71" t="str">
            <v>PM2.5</v>
          </cell>
          <cell r="B71">
            <v>7.427593184</v>
          </cell>
          <cell r="C71">
            <v>7.427593184</v>
          </cell>
          <cell r="D71">
            <v>7.427593184</v>
          </cell>
          <cell r="E71">
            <v>7.427593184</v>
          </cell>
          <cell r="F71">
            <v>7.427593184</v>
          </cell>
          <cell r="G71">
            <v>7.427593184</v>
          </cell>
          <cell r="H71">
            <v>7.427593184</v>
          </cell>
          <cell r="I71">
            <v>7.427593184</v>
          </cell>
          <cell r="J71">
            <v>7.427593184</v>
          </cell>
          <cell r="K71">
            <v>7.427593184</v>
          </cell>
          <cell r="L71">
            <v>7.427593184</v>
          </cell>
          <cell r="M71">
            <v>7.427593184</v>
          </cell>
          <cell r="N71">
            <v>7.427593184</v>
          </cell>
          <cell r="O71">
            <v>7.427593184</v>
          </cell>
          <cell r="P71">
            <v>7.427593184</v>
          </cell>
          <cell r="AN71">
            <v>7.427593184</v>
          </cell>
        </row>
        <row r="72">
          <cell r="A72" t="str">
            <v>SOx</v>
          </cell>
          <cell r="B72">
            <v>0.31651675499999998</v>
          </cell>
          <cell r="C72">
            <v>0.31651675499999998</v>
          </cell>
          <cell r="D72">
            <v>0.31651675499999998</v>
          </cell>
          <cell r="E72">
            <v>0.31651675499999998</v>
          </cell>
          <cell r="F72">
            <v>0.31651675499999998</v>
          </cell>
          <cell r="G72">
            <v>0.31651675499999998</v>
          </cell>
          <cell r="H72">
            <v>0.31651675499999998</v>
          </cell>
          <cell r="I72">
            <v>0.31651675499999998</v>
          </cell>
          <cell r="J72">
            <v>0.31651675499999998</v>
          </cell>
          <cell r="K72">
            <v>0.31651675499999998</v>
          </cell>
          <cell r="L72">
            <v>0.31651675499999998</v>
          </cell>
          <cell r="M72">
            <v>0.31651675499999998</v>
          </cell>
          <cell r="N72">
            <v>0.31651675499999998</v>
          </cell>
          <cell r="O72">
            <v>0.31651675499999998</v>
          </cell>
          <cell r="P72">
            <v>0.31651675499999998</v>
          </cell>
          <cell r="AN72">
            <v>0.31651675499999998</v>
          </cell>
        </row>
        <row r="73">
          <cell r="A73" t="str">
            <v>BC</v>
          </cell>
          <cell r="B73">
            <v>0.72421494597728997</v>
          </cell>
          <cell r="C73">
            <v>0.72421494597728997</v>
          </cell>
          <cell r="D73">
            <v>0.72421494597728997</v>
          </cell>
          <cell r="E73">
            <v>0.72421494597728997</v>
          </cell>
          <cell r="F73">
            <v>0.72421494597728997</v>
          </cell>
          <cell r="G73">
            <v>0.72421494597728997</v>
          </cell>
          <cell r="H73">
            <v>0.72421494597728997</v>
          </cell>
          <cell r="I73">
            <v>0.72421494597728997</v>
          </cell>
          <cell r="J73">
            <v>0.72421494597728997</v>
          </cell>
          <cell r="K73">
            <v>0.72421494597728997</v>
          </cell>
          <cell r="L73">
            <v>0.72421494597728997</v>
          </cell>
          <cell r="M73">
            <v>0.72421494597728997</v>
          </cell>
          <cell r="N73">
            <v>0.72421494597728997</v>
          </cell>
          <cell r="O73">
            <v>0.72421494597728997</v>
          </cell>
          <cell r="P73">
            <v>0.72421494597728997</v>
          </cell>
          <cell r="AN73">
            <v>0.72421494597728997</v>
          </cell>
        </row>
        <row r="74">
          <cell r="A74" t="str">
            <v>OC</v>
          </cell>
          <cell r="B74">
            <v>6.2170208092032802</v>
          </cell>
          <cell r="C74">
            <v>6.2170208092032802</v>
          </cell>
          <cell r="D74">
            <v>6.2170208092032802</v>
          </cell>
          <cell r="E74">
            <v>6.2170208092032802</v>
          </cell>
          <cell r="F74">
            <v>6.2170208092032802</v>
          </cell>
          <cell r="G74">
            <v>6.2170208092032802</v>
          </cell>
          <cell r="H74">
            <v>6.2170208092032802</v>
          </cell>
          <cell r="I74">
            <v>6.2170208092032802</v>
          </cell>
          <cell r="J74">
            <v>6.2170208092032802</v>
          </cell>
          <cell r="K74">
            <v>6.2170208092032802</v>
          </cell>
          <cell r="L74">
            <v>6.2170208092032802</v>
          </cell>
          <cell r="M74">
            <v>6.2170208092032802</v>
          </cell>
          <cell r="N74">
            <v>6.2170208092032802</v>
          </cell>
          <cell r="O74">
            <v>6.2170208092032802</v>
          </cell>
          <cell r="P74">
            <v>6.2170208092032802</v>
          </cell>
          <cell r="AN74">
            <v>6.2170208092032802</v>
          </cell>
        </row>
        <row r="75">
          <cell r="A75" t="str">
            <v>CH4</v>
          </cell>
          <cell r="B75">
            <v>632.67479101099991</v>
          </cell>
          <cell r="C75">
            <v>632.67479101099991</v>
          </cell>
          <cell r="D75">
            <v>632.67479101099991</v>
          </cell>
          <cell r="E75">
            <v>632.67479101099991</v>
          </cell>
          <cell r="F75">
            <v>632.67479101099991</v>
          </cell>
          <cell r="G75">
            <v>632.67479101099991</v>
          </cell>
          <cell r="H75">
            <v>632.67479101099991</v>
          </cell>
          <cell r="I75">
            <v>632.67479101099991</v>
          </cell>
          <cell r="J75">
            <v>632.67479101099991</v>
          </cell>
          <cell r="K75">
            <v>632.67479101099991</v>
          </cell>
          <cell r="L75">
            <v>632.67479101099991</v>
          </cell>
          <cell r="M75">
            <v>632.67479101099991</v>
          </cell>
          <cell r="N75">
            <v>632.67479101099991</v>
          </cell>
          <cell r="O75">
            <v>632.67479101099991</v>
          </cell>
          <cell r="P75">
            <v>632.67479101099991</v>
          </cell>
          <cell r="AN75">
            <v>632.67479101099991</v>
          </cell>
        </row>
        <row r="76">
          <cell r="A76" t="str">
            <v>N2O</v>
          </cell>
          <cell r="B76">
            <v>1.96</v>
          </cell>
          <cell r="C76">
            <v>1.96</v>
          </cell>
          <cell r="D76">
            <v>1.96</v>
          </cell>
          <cell r="E76">
            <v>1.96</v>
          </cell>
          <cell r="F76">
            <v>1.96</v>
          </cell>
          <cell r="G76">
            <v>1.96</v>
          </cell>
          <cell r="H76">
            <v>1.96</v>
          </cell>
          <cell r="I76">
            <v>1.96</v>
          </cell>
          <cell r="J76">
            <v>1.96</v>
          </cell>
          <cell r="K76">
            <v>1.96</v>
          </cell>
          <cell r="L76">
            <v>1.96</v>
          </cell>
          <cell r="M76">
            <v>1.96</v>
          </cell>
          <cell r="N76">
            <v>1.96</v>
          </cell>
          <cell r="O76">
            <v>1.96</v>
          </cell>
          <cell r="P76">
            <v>1.96</v>
          </cell>
          <cell r="AN76">
            <v>1.96</v>
          </cell>
        </row>
        <row r="77">
          <cell r="A77" t="str">
            <v>CO2</v>
          </cell>
          <cell r="B77">
            <v>54406.951446974148</v>
          </cell>
          <cell r="C77">
            <v>54406.951446974148</v>
          </cell>
          <cell r="D77">
            <v>54406.951446974148</v>
          </cell>
          <cell r="E77">
            <v>54406.951446974148</v>
          </cell>
          <cell r="F77">
            <v>54406.951446974148</v>
          </cell>
          <cell r="G77">
            <v>54406.951446974148</v>
          </cell>
          <cell r="H77">
            <v>54406.951446974148</v>
          </cell>
          <cell r="I77">
            <v>54406.951446974148</v>
          </cell>
          <cell r="J77">
            <v>54406.951446974148</v>
          </cell>
          <cell r="K77">
            <v>54406.951446974148</v>
          </cell>
          <cell r="L77">
            <v>54406.951446974148</v>
          </cell>
          <cell r="M77">
            <v>54406.951446974148</v>
          </cell>
          <cell r="N77">
            <v>54406.951446974148</v>
          </cell>
          <cell r="O77">
            <v>54406.951446974148</v>
          </cell>
          <cell r="P77">
            <v>54406.951446974148</v>
          </cell>
          <cell r="AN77">
            <v>54406.951446974148</v>
          </cell>
        </row>
        <row r="79">
          <cell r="A79" t="str">
            <v>3.2) Gasoline-powered Agricultural and Mining Equipment</v>
          </cell>
        </row>
        <row r="80">
          <cell r="B80" t="str">
            <v>Iron ore extraction and processing</v>
          </cell>
          <cell r="C80" t="str">
            <v>Bauxite mining</v>
          </cell>
          <cell r="D80" t="str">
            <v>Lead ore mining</v>
          </cell>
          <cell r="E80" t="str">
            <v>Nickel ore mining</v>
          </cell>
          <cell r="F80" t="str">
            <v>Cobalt ore mining</v>
          </cell>
          <cell r="G80" t="str">
            <v>Copper ore mining</v>
          </cell>
          <cell r="H80" t="str">
            <v>Zinc ore mining</v>
          </cell>
          <cell r="I80" t="str">
            <v>Magnesium ore mining</v>
          </cell>
          <cell r="J80" t="str">
            <v>Dolomite mining</v>
          </cell>
          <cell r="K80" t="str">
            <v>South Africa mining</v>
          </cell>
          <cell r="L80" t="str">
            <v>North America platinum mining</v>
          </cell>
          <cell r="M80" t="str">
            <v>Vanadium ore mining</v>
          </cell>
          <cell r="N80" t="str">
            <v>Zirconium ore mining</v>
          </cell>
          <cell r="O80" t="str">
            <v>Primary mining and beneficiation</v>
          </cell>
          <cell r="P80" t="str">
            <v>Manganese ore mining</v>
          </cell>
          <cell r="AN80" t="str">
            <v>Limestone mining</v>
          </cell>
        </row>
        <row r="81">
          <cell r="A81" t="str">
            <v>VOC</v>
          </cell>
          <cell r="B81">
            <v>82.294356300000004</v>
          </cell>
          <cell r="C81">
            <v>82.294356300000004</v>
          </cell>
          <cell r="D81">
            <v>82.294356300000004</v>
          </cell>
          <cell r="E81">
            <v>82.294356300000004</v>
          </cell>
          <cell r="F81">
            <v>82.294356300000004</v>
          </cell>
          <cell r="G81">
            <v>82.294356300000004</v>
          </cell>
          <cell r="H81">
            <v>82.294356300000004</v>
          </cell>
          <cell r="I81">
            <v>82.294356300000004</v>
          </cell>
          <cell r="J81">
            <v>82.294356300000004</v>
          </cell>
          <cell r="K81">
            <v>82.294356300000004</v>
          </cell>
          <cell r="L81">
            <v>82.294356300000004</v>
          </cell>
          <cell r="M81">
            <v>82.294356300000004</v>
          </cell>
          <cell r="N81">
            <v>82.294356300000004</v>
          </cell>
          <cell r="O81">
            <v>82.294356300000004</v>
          </cell>
          <cell r="P81">
            <v>82.294356300000004</v>
          </cell>
          <cell r="AN81">
            <v>82.294356300000004</v>
          </cell>
        </row>
        <row r="82">
          <cell r="A82" t="str">
            <v>CO</v>
          </cell>
          <cell r="B82">
            <v>1329.370371</v>
          </cell>
          <cell r="C82">
            <v>1329.370371</v>
          </cell>
          <cell r="D82">
            <v>1329.370371</v>
          </cell>
          <cell r="E82">
            <v>1329.370371</v>
          </cell>
          <cell r="F82">
            <v>1329.370371</v>
          </cell>
          <cell r="G82">
            <v>1329.370371</v>
          </cell>
          <cell r="H82">
            <v>1329.370371</v>
          </cell>
          <cell r="I82">
            <v>1329.370371</v>
          </cell>
          <cell r="J82">
            <v>1329.370371</v>
          </cell>
          <cell r="K82">
            <v>1329.370371</v>
          </cell>
          <cell r="L82">
            <v>1329.370371</v>
          </cell>
          <cell r="M82">
            <v>1329.370371</v>
          </cell>
          <cell r="N82">
            <v>1329.370371</v>
          </cell>
          <cell r="O82">
            <v>1329.370371</v>
          </cell>
          <cell r="P82">
            <v>1329.370371</v>
          </cell>
          <cell r="AN82">
            <v>1329.370371</v>
          </cell>
        </row>
        <row r="83">
          <cell r="A83" t="str">
            <v>NOx</v>
          </cell>
          <cell r="B83">
            <v>151.25280665599999</v>
          </cell>
          <cell r="C83">
            <v>151.25280665599999</v>
          </cell>
          <cell r="D83">
            <v>151.25280665599999</v>
          </cell>
          <cell r="E83">
            <v>151.25280665599999</v>
          </cell>
          <cell r="F83">
            <v>151.25280665599999</v>
          </cell>
          <cell r="G83">
            <v>151.25280665599999</v>
          </cell>
          <cell r="H83">
            <v>151.25280665599999</v>
          </cell>
          <cell r="I83">
            <v>151.25280665599999</v>
          </cell>
          <cell r="J83">
            <v>151.25280665599999</v>
          </cell>
          <cell r="K83">
            <v>151.25280665599999</v>
          </cell>
          <cell r="L83">
            <v>151.25280665599999</v>
          </cell>
          <cell r="M83">
            <v>151.25280665599999</v>
          </cell>
          <cell r="N83">
            <v>151.25280665599999</v>
          </cell>
          <cell r="O83">
            <v>151.25280665599999</v>
          </cell>
          <cell r="P83">
            <v>151.25280665599999</v>
          </cell>
          <cell r="AN83">
            <v>151.25280665599999</v>
          </cell>
        </row>
        <row r="84">
          <cell r="A84" t="str">
            <v>PM10</v>
          </cell>
          <cell r="B84">
            <v>7.5964021199999996</v>
          </cell>
          <cell r="C84">
            <v>7.5964021199999996</v>
          </cell>
          <cell r="D84">
            <v>7.5964021199999996</v>
          </cell>
          <cell r="E84">
            <v>7.5964021199999996</v>
          </cell>
          <cell r="F84">
            <v>7.5964021199999996</v>
          </cell>
          <cell r="G84">
            <v>7.5964021199999996</v>
          </cell>
          <cell r="H84">
            <v>7.5964021199999996</v>
          </cell>
          <cell r="I84">
            <v>7.5964021199999996</v>
          </cell>
          <cell r="J84">
            <v>7.5964021199999996</v>
          </cell>
          <cell r="K84">
            <v>7.5964021199999996</v>
          </cell>
          <cell r="L84">
            <v>7.5964021199999996</v>
          </cell>
          <cell r="M84">
            <v>7.5964021199999996</v>
          </cell>
          <cell r="N84">
            <v>7.5964021199999996</v>
          </cell>
          <cell r="O84">
            <v>7.5964021199999996</v>
          </cell>
          <cell r="P84">
            <v>7.5964021199999996</v>
          </cell>
          <cell r="AN84">
            <v>7.5964021199999996</v>
          </cell>
        </row>
        <row r="85">
          <cell r="A85" t="str">
            <v>PM2.5</v>
          </cell>
          <cell r="B85">
            <v>6.995020285499999</v>
          </cell>
          <cell r="C85">
            <v>6.995020285499999</v>
          </cell>
          <cell r="D85">
            <v>6.995020285499999</v>
          </cell>
          <cell r="E85">
            <v>6.995020285499999</v>
          </cell>
          <cell r="F85">
            <v>6.995020285499999</v>
          </cell>
          <cell r="G85">
            <v>6.995020285499999</v>
          </cell>
          <cell r="H85">
            <v>6.995020285499999</v>
          </cell>
          <cell r="I85">
            <v>6.995020285499999</v>
          </cell>
          <cell r="J85">
            <v>6.995020285499999</v>
          </cell>
          <cell r="K85">
            <v>6.995020285499999</v>
          </cell>
          <cell r="L85">
            <v>6.995020285499999</v>
          </cell>
          <cell r="M85">
            <v>6.995020285499999</v>
          </cell>
          <cell r="N85">
            <v>6.995020285499999</v>
          </cell>
          <cell r="O85">
            <v>6.995020285499999</v>
          </cell>
          <cell r="P85">
            <v>6.995020285499999</v>
          </cell>
          <cell r="AN85">
            <v>6.995020285499999</v>
          </cell>
        </row>
        <row r="86">
          <cell r="A86" t="str">
            <v>SOx</v>
          </cell>
          <cell r="B86">
            <v>0.464224574</v>
          </cell>
          <cell r="C86">
            <v>0.464224574</v>
          </cell>
          <cell r="D86">
            <v>0.464224574</v>
          </cell>
          <cell r="E86">
            <v>0.464224574</v>
          </cell>
          <cell r="F86">
            <v>0.464224574</v>
          </cell>
          <cell r="G86">
            <v>0.464224574</v>
          </cell>
          <cell r="H86">
            <v>0.464224574</v>
          </cell>
          <cell r="I86">
            <v>0.464224574</v>
          </cell>
          <cell r="J86">
            <v>0.464224574</v>
          </cell>
          <cell r="K86">
            <v>0.464224574</v>
          </cell>
          <cell r="L86">
            <v>0.464224574</v>
          </cell>
          <cell r="M86">
            <v>0.464224574</v>
          </cell>
          <cell r="N86">
            <v>0.464224574</v>
          </cell>
          <cell r="O86">
            <v>0.464224574</v>
          </cell>
          <cell r="P86">
            <v>0.464224574</v>
          </cell>
          <cell r="AN86">
            <v>0.464224574</v>
          </cell>
        </row>
        <row r="87">
          <cell r="A87" t="str">
            <v>BC</v>
          </cell>
          <cell r="B87">
            <v>0.68203765508940795</v>
          </cell>
          <cell r="C87">
            <v>0.68203765508940795</v>
          </cell>
          <cell r="D87">
            <v>0.68203765508940795</v>
          </cell>
          <cell r="E87">
            <v>0.68203765508940795</v>
          </cell>
          <cell r="F87">
            <v>0.68203765508940795</v>
          </cell>
          <cell r="G87">
            <v>0.68203765508940795</v>
          </cell>
          <cell r="H87">
            <v>0.68203765508940795</v>
          </cell>
          <cell r="I87">
            <v>0.68203765508940795</v>
          </cell>
          <cell r="J87">
            <v>0.68203765508940795</v>
          </cell>
          <cell r="K87">
            <v>0.68203765508940795</v>
          </cell>
          <cell r="L87">
            <v>0.68203765508940795</v>
          </cell>
          <cell r="M87">
            <v>0.68203765508940795</v>
          </cell>
          <cell r="N87">
            <v>0.68203765508940795</v>
          </cell>
          <cell r="O87">
            <v>0.68203765508940795</v>
          </cell>
          <cell r="P87">
            <v>0.68203765508940795</v>
          </cell>
          <cell r="AN87">
            <v>0.68203765508940795</v>
          </cell>
        </row>
        <row r="88">
          <cell r="A88" t="str">
            <v>OC</v>
          </cell>
          <cell r="B88">
            <v>5.8549499950309301</v>
          </cell>
          <cell r="C88">
            <v>5.8549499950309301</v>
          </cell>
          <cell r="D88">
            <v>5.8549499950309301</v>
          </cell>
          <cell r="E88">
            <v>5.8549499950309301</v>
          </cell>
          <cell r="F88">
            <v>5.8549499950309301</v>
          </cell>
          <cell r="G88">
            <v>5.8549499950309301</v>
          </cell>
          <cell r="H88">
            <v>5.8549499950309301</v>
          </cell>
          <cell r="I88">
            <v>5.8549499950309301</v>
          </cell>
          <cell r="J88">
            <v>5.8549499950309301</v>
          </cell>
          <cell r="K88">
            <v>5.8549499950309301</v>
          </cell>
          <cell r="L88">
            <v>5.8549499950309301</v>
          </cell>
          <cell r="M88">
            <v>5.8549499950309301</v>
          </cell>
          <cell r="N88">
            <v>5.8549499950309301</v>
          </cell>
          <cell r="O88">
            <v>5.8549499950309301</v>
          </cell>
          <cell r="P88">
            <v>5.8549499950309301</v>
          </cell>
          <cell r="AN88">
            <v>5.8549499950309301</v>
          </cell>
        </row>
        <row r="89">
          <cell r="A89" t="str">
            <v>CH4</v>
          </cell>
          <cell r="B89">
            <v>6.140425046999999</v>
          </cell>
          <cell r="C89">
            <v>6.140425046999999</v>
          </cell>
          <cell r="D89">
            <v>6.140425046999999</v>
          </cell>
          <cell r="E89">
            <v>6.140425046999999</v>
          </cell>
          <cell r="F89">
            <v>6.140425046999999</v>
          </cell>
          <cell r="G89">
            <v>6.140425046999999</v>
          </cell>
          <cell r="H89">
            <v>6.140425046999999</v>
          </cell>
          <cell r="I89">
            <v>6.140425046999999</v>
          </cell>
          <cell r="J89">
            <v>6.140425046999999</v>
          </cell>
          <cell r="K89">
            <v>6.140425046999999</v>
          </cell>
          <cell r="L89">
            <v>6.140425046999999</v>
          </cell>
          <cell r="M89">
            <v>6.140425046999999</v>
          </cell>
          <cell r="N89">
            <v>6.140425046999999</v>
          </cell>
          <cell r="O89">
            <v>6.140425046999999</v>
          </cell>
          <cell r="P89">
            <v>6.140425046999999</v>
          </cell>
          <cell r="AN89">
            <v>6.140425046999999</v>
          </cell>
        </row>
        <row r="90">
          <cell r="A90" t="str">
            <v>N2O</v>
          </cell>
          <cell r="B90">
            <v>1.96</v>
          </cell>
          <cell r="C90">
            <v>1.96</v>
          </cell>
          <cell r="D90">
            <v>1.96</v>
          </cell>
          <cell r="E90">
            <v>1.96</v>
          </cell>
          <cell r="F90">
            <v>1.96</v>
          </cell>
          <cell r="G90">
            <v>1.96</v>
          </cell>
          <cell r="H90">
            <v>1.96</v>
          </cell>
          <cell r="I90">
            <v>1.96</v>
          </cell>
          <cell r="J90">
            <v>1.96</v>
          </cell>
          <cell r="K90">
            <v>1.96</v>
          </cell>
          <cell r="L90">
            <v>1.96</v>
          </cell>
          <cell r="M90">
            <v>1.96</v>
          </cell>
          <cell r="N90">
            <v>1.96</v>
          </cell>
          <cell r="O90">
            <v>1.96</v>
          </cell>
          <cell r="P90">
            <v>1.96</v>
          </cell>
          <cell r="AN90">
            <v>1.96</v>
          </cell>
        </row>
        <row r="91">
          <cell r="A91" t="str">
            <v>CO2</v>
          </cell>
          <cell r="B91">
            <v>74476.758344615431</v>
          </cell>
          <cell r="C91">
            <v>74476.758344615431</v>
          </cell>
          <cell r="D91">
            <v>74476.758344615431</v>
          </cell>
          <cell r="E91">
            <v>74476.758344615431</v>
          </cell>
          <cell r="F91">
            <v>74476.758344615431</v>
          </cell>
          <cell r="G91">
            <v>74476.758344615431</v>
          </cell>
          <cell r="H91">
            <v>74476.758344615431</v>
          </cell>
          <cell r="I91">
            <v>74476.758344615431</v>
          </cell>
          <cell r="J91">
            <v>74476.758344615431</v>
          </cell>
          <cell r="K91">
            <v>74476.758344615431</v>
          </cell>
          <cell r="L91">
            <v>74476.758344615431</v>
          </cell>
          <cell r="M91">
            <v>74476.758344615431</v>
          </cell>
          <cell r="N91">
            <v>74476.758344615431</v>
          </cell>
          <cell r="O91">
            <v>74476.758344615431</v>
          </cell>
          <cell r="P91">
            <v>74476.758344615431</v>
          </cell>
          <cell r="AN91">
            <v>74476.758344615431</v>
          </cell>
        </row>
        <row r="93">
          <cell r="A93" t="str">
            <v>3.3) Diesel-powered Agricultural and Mining Equipment</v>
          </cell>
        </row>
        <row r="94">
          <cell r="B94" t="str">
            <v>Iron ore extraction and processing</v>
          </cell>
          <cell r="C94" t="str">
            <v>Bauxite mining</v>
          </cell>
          <cell r="D94" t="str">
            <v>Lead ore mining</v>
          </cell>
          <cell r="E94" t="str">
            <v>Nickel ore mining</v>
          </cell>
          <cell r="F94" t="str">
            <v>Cobalt ore mining</v>
          </cell>
          <cell r="G94" t="str">
            <v>Copper ore mining</v>
          </cell>
          <cell r="H94" t="str">
            <v>Zinc ore mining</v>
          </cell>
          <cell r="I94" t="str">
            <v>Magnesium ore mining</v>
          </cell>
          <cell r="J94" t="str">
            <v>Dolomite mining</v>
          </cell>
          <cell r="K94" t="str">
            <v>South Africa mining</v>
          </cell>
          <cell r="L94" t="str">
            <v>North America platinum mining</v>
          </cell>
          <cell r="M94" t="str">
            <v>Vanadium ore mining</v>
          </cell>
          <cell r="N94" t="str">
            <v>Zirconium ore mining</v>
          </cell>
          <cell r="O94" t="str">
            <v>Primary mining and beneficiation</v>
          </cell>
          <cell r="P94" t="str">
            <v>Manganese ore mining</v>
          </cell>
          <cell r="AN94" t="str">
            <v>Limestone mining</v>
          </cell>
        </row>
        <row r="95">
          <cell r="A95" t="str">
            <v>VOC</v>
          </cell>
          <cell r="B95">
            <v>29.003485316499997</v>
          </cell>
          <cell r="C95">
            <v>28.338800130999999</v>
          </cell>
          <cell r="D95">
            <v>29.931934464499999</v>
          </cell>
          <cell r="E95">
            <v>29.161743693999998</v>
          </cell>
          <cell r="F95">
            <v>24.266284549999998</v>
          </cell>
          <cell r="G95">
            <v>39.037066449999998</v>
          </cell>
          <cell r="H95">
            <v>39.037066449999998</v>
          </cell>
          <cell r="I95">
            <v>39.037066449999998</v>
          </cell>
          <cell r="J95">
            <v>39.037066449999998</v>
          </cell>
          <cell r="K95">
            <v>39.037066449999998</v>
          </cell>
          <cell r="L95">
            <v>39.037066449999998</v>
          </cell>
          <cell r="M95">
            <v>39.037066449999998</v>
          </cell>
          <cell r="N95">
            <v>39.037066449999998</v>
          </cell>
          <cell r="O95">
            <v>39.037066449999998</v>
          </cell>
          <cell r="P95">
            <v>39.037066449999998</v>
          </cell>
          <cell r="AN95">
            <v>29.014035874999998</v>
          </cell>
        </row>
        <row r="96">
          <cell r="A96" t="str">
            <v>CO</v>
          </cell>
          <cell r="B96">
            <v>70.456629663000001</v>
          </cell>
          <cell r="C96">
            <v>74.149325137999995</v>
          </cell>
          <cell r="D96">
            <v>80.574615264499997</v>
          </cell>
          <cell r="E96">
            <v>72.672246947999994</v>
          </cell>
          <cell r="F96">
            <v>83.349412149999992</v>
          </cell>
          <cell r="G96">
            <v>198.35049979999999</v>
          </cell>
          <cell r="H96">
            <v>198.35049979999999</v>
          </cell>
          <cell r="I96">
            <v>198.35049979999999</v>
          </cell>
          <cell r="J96">
            <v>198.35049979999999</v>
          </cell>
          <cell r="K96">
            <v>198.35049979999999</v>
          </cell>
          <cell r="L96">
            <v>198.35049979999999</v>
          </cell>
          <cell r="M96">
            <v>198.35049979999999</v>
          </cell>
          <cell r="N96">
            <v>198.35049979999999</v>
          </cell>
          <cell r="O96">
            <v>198.35049979999999</v>
          </cell>
          <cell r="P96">
            <v>198.35049979999999</v>
          </cell>
          <cell r="AN96">
            <v>70.889202561499999</v>
          </cell>
        </row>
        <row r="97">
          <cell r="A97" t="str">
            <v>NOx</v>
          </cell>
          <cell r="B97">
            <v>361.13696599702996</v>
          </cell>
          <cell r="C97">
            <v>328.28790761286501</v>
          </cell>
          <cell r="D97">
            <v>378.318233997525</v>
          </cell>
          <cell r="E97">
            <v>366.05247120217996</v>
          </cell>
          <cell r="F97">
            <v>202.90834107199998</v>
          </cell>
          <cell r="G97">
            <v>432.14032560149997</v>
          </cell>
          <cell r="H97">
            <v>432.14032560149997</v>
          </cell>
          <cell r="I97">
            <v>432.14032560149997</v>
          </cell>
          <cell r="J97">
            <v>432.14032560149997</v>
          </cell>
          <cell r="K97">
            <v>432.14032560149997</v>
          </cell>
          <cell r="L97">
            <v>432.14032560149997</v>
          </cell>
          <cell r="M97">
            <v>432.14032560149997</v>
          </cell>
          <cell r="N97">
            <v>432.14032560149997</v>
          </cell>
          <cell r="O97">
            <v>432.14032560149997</v>
          </cell>
          <cell r="P97">
            <v>432.14032560149997</v>
          </cell>
          <cell r="AN97">
            <v>361.29575190245498</v>
          </cell>
        </row>
        <row r="98">
          <cell r="A98" t="str">
            <v>PM10</v>
          </cell>
          <cell r="B98">
            <v>8.3499230080700002</v>
          </cell>
          <cell r="C98">
            <v>9.306753158434999</v>
          </cell>
          <cell r="D98">
            <v>9.6998669681450007</v>
          </cell>
          <cell r="E98">
            <v>8.7012566061199994</v>
          </cell>
          <cell r="F98">
            <v>12.249198418500001</v>
          </cell>
          <cell r="G98">
            <v>30.586069091499997</v>
          </cell>
          <cell r="H98">
            <v>30.586069091499997</v>
          </cell>
          <cell r="I98">
            <v>30.586069091499997</v>
          </cell>
          <cell r="J98">
            <v>30.586069091499997</v>
          </cell>
          <cell r="K98">
            <v>30.586069091499997</v>
          </cell>
          <cell r="L98">
            <v>30.586069091499997</v>
          </cell>
          <cell r="M98">
            <v>30.586069091499997</v>
          </cell>
          <cell r="N98">
            <v>30.586069091499997</v>
          </cell>
          <cell r="O98">
            <v>30.586069091499997</v>
          </cell>
          <cell r="P98">
            <v>30.586069091499997</v>
          </cell>
          <cell r="AN98">
            <v>8.4126988311449988</v>
          </cell>
        </row>
        <row r="99">
          <cell r="A99" t="str">
            <v>PM2.5</v>
          </cell>
          <cell r="B99">
            <v>8.1001912883749991</v>
          </cell>
          <cell r="C99">
            <v>9.0284294252049992</v>
          </cell>
          <cell r="D99">
            <v>9.4095155982249992</v>
          </cell>
          <cell r="E99">
            <v>8.4404467999999984</v>
          </cell>
          <cell r="F99">
            <v>11.879928870999999</v>
          </cell>
          <cell r="G99">
            <v>29.668170501999999</v>
          </cell>
          <cell r="H99">
            <v>29.668170501999999</v>
          </cell>
          <cell r="I99">
            <v>29.668170501999999</v>
          </cell>
          <cell r="J99">
            <v>29.668170501999999</v>
          </cell>
          <cell r="K99">
            <v>29.668170501999999</v>
          </cell>
          <cell r="L99">
            <v>29.668170501999999</v>
          </cell>
          <cell r="M99">
            <v>29.668170501999999</v>
          </cell>
          <cell r="N99">
            <v>29.668170501999999</v>
          </cell>
          <cell r="O99">
            <v>29.668170501999999</v>
          </cell>
          <cell r="P99">
            <v>29.668170501999999</v>
          </cell>
          <cell r="AN99">
            <v>8.1610680109199976</v>
          </cell>
        </row>
        <row r="100">
          <cell r="A100" t="str">
            <v>SOx</v>
          </cell>
          <cell r="B100">
            <v>0.383301790305</v>
          </cell>
          <cell r="C100">
            <v>0.39163673151999995</v>
          </cell>
          <cell r="D100">
            <v>0.39037066450000002</v>
          </cell>
          <cell r="E100">
            <v>0.38488437407999998</v>
          </cell>
          <cell r="F100">
            <v>0.42202234</v>
          </cell>
          <cell r="G100">
            <v>0.45367401549999997</v>
          </cell>
          <cell r="H100">
            <v>0.45367401549999997</v>
          </cell>
          <cell r="I100">
            <v>0.45367401549999997</v>
          </cell>
          <cell r="J100">
            <v>0.45367401549999997</v>
          </cell>
          <cell r="K100">
            <v>0.45367401549999997</v>
          </cell>
          <cell r="L100">
            <v>0.45367401549999997</v>
          </cell>
          <cell r="M100">
            <v>0.45367401549999997</v>
          </cell>
          <cell r="N100">
            <v>0.45367401549999997</v>
          </cell>
          <cell r="O100">
            <v>0.45367401549999997</v>
          </cell>
          <cell r="P100">
            <v>0.45367401549999997</v>
          </cell>
          <cell r="AN100">
            <v>0.383723812645</v>
          </cell>
        </row>
        <row r="101">
          <cell r="A101" t="str">
            <v>BC</v>
          </cell>
          <cell r="B101">
            <v>6.2474876652239733</v>
          </cell>
          <cell r="C101">
            <v>6.9634159814550447</v>
          </cell>
          <cell r="D101">
            <v>7.2573388137154033</v>
          </cell>
          <cell r="E101">
            <v>6.5099187654564341</v>
          </cell>
          <cell r="F101">
            <v>9.1627106623799328</v>
          </cell>
          <cell r="G101">
            <v>22.882364460579371</v>
          </cell>
          <cell r="H101">
            <v>22.882364460579371</v>
          </cell>
          <cell r="I101">
            <v>22.882364460579371</v>
          </cell>
          <cell r="J101">
            <v>22.882364460579371</v>
          </cell>
          <cell r="K101">
            <v>22.882364460579371</v>
          </cell>
          <cell r="L101">
            <v>22.882364460579371</v>
          </cell>
          <cell r="M101">
            <v>22.882364460579371</v>
          </cell>
          <cell r="N101">
            <v>22.882364460579371</v>
          </cell>
          <cell r="O101">
            <v>22.882364460579371</v>
          </cell>
          <cell r="P101">
            <v>22.882364460579371</v>
          </cell>
          <cell r="AN101">
            <v>6.2944404543198269</v>
          </cell>
        </row>
        <row r="102">
          <cell r="A102" t="str">
            <v>OC</v>
          </cell>
          <cell r="B102">
            <v>1.7070229464547608</v>
          </cell>
          <cell r="C102">
            <v>1.9026385489674147</v>
          </cell>
          <cell r="D102">
            <v>1.9829481143545147</v>
          </cell>
          <cell r="E102">
            <v>1.7787279155503857</v>
          </cell>
          <cell r="F102">
            <v>2.5035595411371681</v>
          </cell>
          <cell r="G102">
            <v>6.2522286231596071</v>
          </cell>
          <cell r="H102">
            <v>6.2522286231596071</v>
          </cell>
          <cell r="I102">
            <v>6.2522286231596071</v>
          </cell>
          <cell r="J102">
            <v>6.2522286231596071</v>
          </cell>
          <cell r="K102">
            <v>6.2522286231596071</v>
          </cell>
          <cell r="L102">
            <v>6.2522286231596071</v>
          </cell>
          <cell r="M102">
            <v>6.2522286231596071</v>
          </cell>
          <cell r="N102">
            <v>6.2522286231596071</v>
          </cell>
          <cell r="O102">
            <v>6.2522286231596071</v>
          </cell>
          <cell r="P102">
            <v>6.2522286231596071</v>
          </cell>
          <cell r="AN102">
            <v>1.7198520215456676</v>
          </cell>
        </row>
        <row r="103">
          <cell r="A103" t="str">
            <v>CH4</v>
          </cell>
          <cell r="B103">
            <v>2.3951877906699997</v>
          </cell>
          <cell r="C103">
            <v>2.3007602920949997</v>
          </cell>
          <cell r="D103">
            <v>2.4081649776249998</v>
          </cell>
          <cell r="E103">
            <v>2.3856922880199996</v>
          </cell>
          <cell r="F103">
            <v>1.9835049979999999</v>
          </cell>
          <cell r="G103">
            <v>1.772493828</v>
          </cell>
          <cell r="H103">
            <v>1.772493828</v>
          </cell>
          <cell r="I103">
            <v>1.772493828</v>
          </cell>
          <cell r="J103">
            <v>1.772493828</v>
          </cell>
          <cell r="K103">
            <v>1.772493828</v>
          </cell>
          <cell r="L103">
            <v>1.772493828</v>
          </cell>
          <cell r="M103">
            <v>1.772493828</v>
          </cell>
          <cell r="N103">
            <v>1.772493828</v>
          </cell>
          <cell r="O103">
            <v>1.772493828</v>
          </cell>
          <cell r="P103">
            <v>1.772493828</v>
          </cell>
          <cell r="AN103">
            <v>2.3874858829649996</v>
          </cell>
        </row>
        <row r="104">
          <cell r="A104" t="str">
            <v>N2O</v>
          </cell>
          <cell r="B104">
            <v>2.02</v>
          </cell>
          <cell r="C104">
            <v>2.02</v>
          </cell>
          <cell r="D104">
            <v>2.02</v>
          </cell>
          <cell r="E104">
            <v>2.02</v>
          </cell>
          <cell r="F104">
            <v>2.02</v>
          </cell>
          <cell r="G104">
            <v>2.02</v>
          </cell>
          <cell r="H104">
            <v>2.02</v>
          </cell>
          <cell r="I104">
            <v>2.02</v>
          </cell>
          <cell r="J104">
            <v>2.02</v>
          </cell>
          <cell r="K104">
            <v>2.02</v>
          </cell>
          <cell r="L104">
            <v>2.02</v>
          </cell>
          <cell r="M104">
            <v>2.02</v>
          </cell>
          <cell r="N104">
            <v>2.02</v>
          </cell>
          <cell r="O104">
            <v>2.02</v>
          </cell>
          <cell r="P104">
            <v>2.02</v>
          </cell>
          <cell r="AN104">
            <v>2.02</v>
          </cell>
        </row>
        <row r="105">
          <cell r="A105" t="str">
            <v>CO2</v>
          </cell>
          <cell r="B105">
            <v>77991.354285908121</v>
          </cell>
          <cell r="C105">
            <v>77987.882756515683</v>
          </cell>
          <cell r="D105">
            <v>77972.525240473231</v>
          </cell>
          <cell r="E105">
            <v>77987.405475625535</v>
          </cell>
          <cell r="F105">
            <v>77986.990602544945</v>
          </cell>
          <cell r="G105">
            <v>77760.819284795536</v>
          </cell>
          <cell r="H105">
            <v>77760.819284795536</v>
          </cell>
          <cell r="I105">
            <v>77760.819284795536</v>
          </cell>
          <cell r="J105">
            <v>77760.819284795536</v>
          </cell>
          <cell r="K105">
            <v>77760.819284795536</v>
          </cell>
          <cell r="L105">
            <v>77760.819284795536</v>
          </cell>
          <cell r="M105">
            <v>77760.819284795536</v>
          </cell>
          <cell r="N105">
            <v>77760.819284795536</v>
          </cell>
          <cell r="O105">
            <v>77760.819284795536</v>
          </cell>
          <cell r="P105">
            <v>77760.819284795536</v>
          </cell>
          <cell r="AN105">
            <v>77990.662826168395</v>
          </cell>
        </row>
        <row r="107">
          <cell r="A107" t="str">
            <v>4) Mass fractions of black carbon and organic carbon emissions of corresponding PM2.5 emission factors</v>
          </cell>
        </row>
        <row r="108">
          <cell r="A108" t="str">
            <v>4.1) Stationary, mobile, and open burning emission sources, %</v>
          </cell>
        </row>
        <row r="109">
          <cell r="B109" t="str">
            <v>Natural gas</v>
          </cell>
        </row>
        <row r="110">
          <cell r="B110" t="str">
            <v>Boiler</v>
          </cell>
          <cell r="C110" t="str">
            <v>Engine</v>
          </cell>
          <cell r="D110" t="str">
            <v>Combined cycle</v>
          </cell>
          <cell r="E110" t="str">
            <v>Simple cycle</v>
          </cell>
          <cell r="G110" t="str">
            <v>Flared</v>
          </cell>
        </row>
        <row r="111">
          <cell r="A111" t="str">
            <v>BC</v>
          </cell>
          <cell r="B111">
            <v>16.5</v>
          </cell>
          <cell r="C111">
            <v>20</v>
          </cell>
          <cell r="D111">
            <v>2.9</v>
          </cell>
          <cell r="E111">
            <v>2.9</v>
          </cell>
          <cell r="G111">
            <v>95</v>
          </cell>
        </row>
        <row r="112">
          <cell r="A112" t="str">
            <v>OC</v>
          </cell>
          <cell r="B112">
            <v>42.8</v>
          </cell>
          <cell r="C112">
            <v>42.8</v>
          </cell>
          <cell r="D112">
            <v>68</v>
          </cell>
          <cell r="E112">
            <v>68</v>
          </cell>
          <cell r="G112">
            <v>5</v>
          </cell>
        </row>
      </sheetData>
      <sheetData sheetId="23" refreshError="1"/>
      <sheetData sheetId="24">
        <row r="5">
          <cell r="B5">
            <v>1</v>
          </cell>
          <cell r="C5" t="str">
            <v>1 -- LHV; 2 -- HHV</v>
          </cell>
        </row>
        <row r="8">
          <cell r="D8">
            <v>144475.84269846199</v>
          </cell>
          <cell r="F8">
            <v>0.85562068501529054</v>
          </cell>
        </row>
        <row r="9">
          <cell r="G9">
            <v>48000</v>
          </cell>
        </row>
        <row r="10">
          <cell r="C10">
            <v>152370.90134048002</v>
          </cell>
          <cell r="E10">
            <v>3839.6821254480283</v>
          </cell>
        </row>
        <row r="11">
          <cell r="E11">
            <v>3500.47748781362</v>
          </cell>
        </row>
        <row r="12">
          <cell r="A12" t="str">
            <v>Diluent</v>
          </cell>
        </row>
        <row r="15">
          <cell r="B15">
            <v>116090</v>
          </cell>
          <cell r="C15">
            <v>116090</v>
          </cell>
          <cell r="D15">
            <v>124340</v>
          </cell>
          <cell r="E15">
            <v>2819</v>
          </cell>
          <cell r="F15">
            <v>0.86299999999999999</v>
          </cell>
          <cell r="G15">
            <v>10</v>
          </cell>
          <cell r="H15">
            <v>1.0000000000000001E-5</v>
          </cell>
        </row>
        <row r="20">
          <cell r="B20">
            <v>128450</v>
          </cell>
        </row>
        <row r="22">
          <cell r="B22">
            <v>128450</v>
          </cell>
          <cell r="C22">
            <v>128450</v>
          </cell>
          <cell r="D22">
            <v>137380</v>
          </cell>
          <cell r="E22">
            <v>3167</v>
          </cell>
          <cell r="F22">
            <v>0.86499999999999999</v>
          </cell>
          <cell r="G22">
            <v>11</v>
          </cell>
          <cell r="H22">
            <v>1.1E-5</v>
          </cell>
        </row>
        <row r="24">
          <cell r="B24">
            <v>116920</v>
          </cell>
          <cell r="C24">
            <v>116920</v>
          </cell>
          <cell r="D24">
            <v>125080</v>
          </cell>
          <cell r="E24">
            <v>2745</v>
          </cell>
          <cell r="F24">
            <v>0.85</v>
          </cell>
          <cell r="G24">
            <v>1</v>
          </cell>
          <cell r="H24">
            <v>9.9999999999999995E-7</v>
          </cell>
        </row>
        <row r="26">
          <cell r="B26">
            <v>124307.03423937227</v>
          </cell>
          <cell r="C26">
            <v>124307.03423937227</v>
          </cell>
          <cell r="D26">
            <v>132948.69438683367</v>
          </cell>
          <cell r="E26">
            <v>3035.8996219999995</v>
          </cell>
          <cell r="F26">
            <v>0.86199999999999999</v>
          </cell>
          <cell r="G26">
            <v>700</v>
          </cell>
          <cell r="H26">
            <v>6.9999999999999999E-4</v>
          </cell>
        </row>
        <row r="29">
          <cell r="B29">
            <v>140352.52220119376</v>
          </cell>
          <cell r="C29">
            <v>140352.52220119376</v>
          </cell>
          <cell r="D29">
            <v>150110</v>
          </cell>
          <cell r="E29">
            <v>3752</v>
          </cell>
          <cell r="F29">
            <v>0.86799999999999999</v>
          </cell>
          <cell r="G29">
            <v>5000</v>
          </cell>
          <cell r="H29">
            <v>5.0000000000000001E-3</v>
          </cell>
        </row>
        <row r="31">
          <cell r="B31">
            <v>57250</v>
          </cell>
          <cell r="C31">
            <v>57250</v>
          </cell>
          <cell r="D31">
            <v>65200</v>
          </cell>
          <cell r="E31">
            <v>3006</v>
          </cell>
          <cell r="F31">
            <v>0.375</v>
          </cell>
          <cell r="G31">
            <v>0</v>
          </cell>
          <cell r="H31">
            <v>0</v>
          </cell>
        </row>
        <row r="32">
          <cell r="B32">
            <v>76330</v>
          </cell>
          <cell r="C32">
            <v>76330</v>
          </cell>
          <cell r="D32">
            <v>84530</v>
          </cell>
          <cell r="E32">
            <v>2988</v>
          </cell>
          <cell r="F32">
            <v>0.52200000000000002</v>
          </cell>
          <cell r="G32">
            <v>0.5</v>
          </cell>
          <cell r="H32">
            <v>4.9999999999999998E-7</v>
          </cell>
        </row>
        <row r="59">
          <cell r="B59">
            <v>105124.8</v>
          </cell>
          <cell r="C59">
            <v>105124.8</v>
          </cell>
          <cell r="D59">
            <v>112166.3</v>
          </cell>
          <cell r="E59">
            <v>2478.6999999999998</v>
          </cell>
          <cell r="F59">
            <v>0.83625099999999997</v>
          </cell>
          <cell r="G59">
            <v>0</v>
          </cell>
          <cell r="H59">
            <v>0</v>
          </cell>
        </row>
        <row r="70">
          <cell r="B70">
            <v>983</v>
          </cell>
          <cell r="C70">
            <v>983</v>
          </cell>
          <cell r="D70">
            <v>1089</v>
          </cell>
          <cell r="E70">
            <v>22</v>
          </cell>
          <cell r="F70">
            <v>0.72399999999999998</v>
          </cell>
          <cell r="G70">
            <v>6</v>
          </cell>
          <cell r="H70">
            <v>6.0000000000000002E-6</v>
          </cell>
        </row>
        <row r="72">
          <cell r="B72">
            <v>290</v>
          </cell>
          <cell r="C72">
            <v>290</v>
          </cell>
          <cell r="D72">
            <v>343</v>
          </cell>
          <cell r="E72">
            <v>2.5499999999999998</v>
          </cell>
          <cell r="F72">
            <v>0</v>
          </cell>
          <cell r="G72">
            <v>0</v>
          </cell>
          <cell r="H72">
            <v>0</v>
          </cell>
        </row>
        <row r="77">
          <cell r="B77">
            <v>22639319.979813498</v>
          </cell>
          <cell r="C77">
            <v>22639319.979813498</v>
          </cell>
          <cell r="D77">
            <v>23633492.9618803</v>
          </cell>
          <cell r="F77">
            <v>0.61199999999999999</v>
          </cell>
          <cell r="G77">
            <v>15352.092718927001</v>
          </cell>
          <cell r="H77">
            <v>1.5352092718927001E-2</v>
          </cell>
        </row>
        <row r="82">
          <cell r="B82">
            <v>26949428.734871496</v>
          </cell>
          <cell r="C82">
            <v>26949428.734871496</v>
          </cell>
          <cell r="D82">
            <v>28595925.1717753</v>
          </cell>
          <cell r="F82">
            <v>0.86670000000000003</v>
          </cell>
          <cell r="G82">
            <v>45137.714412408997</v>
          </cell>
          <cell r="H82">
            <v>4.5137714412408998E-2</v>
          </cell>
        </row>
        <row r="83">
          <cell r="B83">
            <v>26664354.295994278</v>
          </cell>
          <cell r="C83">
            <v>26664354.295994278</v>
          </cell>
          <cell r="D83">
            <v>28293433.886979699</v>
          </cell>
          <cell r="F83">
            <v>0.48798697000000002</v>
          </cell>
          <cell r="G83">
            <v>45137.714412408997</v>
          </cell>
          <cell r="H83">
            <v>4.5137714412408998E-2</v>
          </cell>
        </row>
        <row r="86">
          <cell r="B86">
            <v>15396000</v>
          </cell>
        </row>
        <row r="91">
          <cell r="B91">
            <v>17289000</v>
          </cell>
          <cell r="C91">
            <v>17289000</v>
          </cell>
          <cell r="D91">
            <v>17906000</v>
          </cell>
          <cell r="F91">
            <v>0.503</v>
          </cell>
          <cell r="G91">
            <v>400</v>
          </cell>
          <cell r="H91">
            <v>4.0000000000000002E-4</v>
          </cell>
        </row>
        <row r="100">
          <cell r="B100">
            <v>11209638.734587256</v>
          </cell>
          <cell r="C100">
            <v>11209638.734587256</v>
          </cell>
          <cell r="D100">
            <v>13583444.58426456</v>
          </cell>
          <cell r="F100">
            <v>0.49161518093556933</v>
          </cell>
          <cell r="G100">
            <v>1765.2250661959399</v>
          </cell>
          <cell r="H100">
            <v>1.7652250661959398E-3</v>
          </cell>
        </row>
        <row r="123">
          <cell r="B123">
            <v>144230</v>
          </cell>
          <cell r="E123">
            <v>3785.4109999999991</v>
          </cell>
          <cell r="F123">
            <v>0.80800504236780391</v>
          </cell>
          <cell r="G123">
            <v>3510</v>
          </cell>
        </row>
        <row r="127">
          <cell r="B127" t="str">
            <v>AR5/GWP</v>
          </cell>
        </row>
        <row r="128">
          <cell r="B128">
            <v>100</v>
          </cell>
        </row>
        <row r="129">
          <cell r="B129">
            <v>1</v>
          </cell>
        </row>
        <row r="130">
          <cell r="B130">
            <v>30</v>
          </cell>
        </row>
        <row r="131">
          <cell r="B131">
            <v>265</v>
          </cell>
        </row>
        <row r="136">
          <cell r="B136">
            <v>0</v>
          </cell>
        </row>
        <row r="137">
          <cell r="B137">
            <v>0</v>
          </cell>
        </row>
        <row r="138">
          <cell r="B138">
            <v>0</v>
          </cell>
        </row>
        <row r="139">
          <cell r="B139">
            <v>0</v>
          </cell>
        </row>
        <row r="140">
          <cell r="B140">
            <v>0</v>
          </cell>
        </row>
        <row r="143">
          <cell r="B143">
            <v>0.85</v>
          </cell>
        </row>
        <row r="144">
          <cell r="B144">
            <v>0.42857142857142855</v>
          </cell>
        </row>
        <row r="145">
          <cell r="B145">
            <v>0.75</v>
          </cell>
        </row>
        <row r="146">
          <cell r="B146">
            <v>0.27272727272727271</v>
          </cell>
        </row>
        <row r="147">
          <cell r="B147">
            <v>0.5</v>
          </cell>
        </row>
        <row r="152">
          <cell r="F152">
            <v>200</v>
          </cell>
        </row>
        <row r="171">
          <cell r="F171">
            <v>907184.74</v>
          </cell>
        </row>
        <row r="174">
          <cell r="F174">
            <v>2000</v>
          </cell>
        </row>
      </sheetData>
      <sheetData sheetId="25">
        <row r="5">
          <cell r="C5">
            <v>2020</v>
          </cell>
        </row>
        <row r="9">
          <cell r="C9">
            <v>30.697662208289234</v>
          </cell>
          <cell r="G9">
            <v>3.929186469028307E-2</v>
          </cell>
        </row>
        <row r="10">
          <cell r="C10">
            <v>30.697662208289234</v>
          </cell>
          <cell r="E10">
            <v>0.11360334229618067</v>
          </cell>
        </row>
        <row r="11">
          <cell r="E11" t="str">
            <v>VOC (Evap.)</v>
          </cell>
        </row>
        <row r="12">
          <cell r="A12" t="str">
            <v>MY</v>
          </cell>
        </row>
        <row r="144">
          <cell r="F144">
            <v>1</v>
          </cell>
        </row>
        <row r="152">
          <cell r="F152">
            <v>0.8</v>
          </cell>
        </row>
        <row r="171">
          <cell r="F171">
            <v>0.8</v>
          </cell>
        </row>
        <row r="174">
          <cell r="F174">
            <v>1</v>
          </cell>
        </row>
        <row r="223">
          <cell r="A223" t="str">
            <v>MY</v>
          </cell>
        </row>
        <row r="315">
          <cell r="A315" t="str">
            <v>MY</v>
          </cell>
        </row>
        <row r="345">
          <cell r="A345" t="str">
            <v>MY</v>
          </cell>
        </row>
        <row r="472">
          <cell r="C472">
            <v>1.4895253283667027</v>
          </cell>
        </row>
        <row r="615">
          <cell r="A615" t="str">
            <v>MY</v>
          </cell>
        </row>
        <row r="638">
          <cell r="C638">
            <v>1.6</v>
          </cell>
        </row>
        <row r="645">
          <cell r="A645" t="str">
            <v>MY</v>
          </cell>
        </row>
        <row r="655">
          <cell r="C655">
            <v>2.5990203212938017</v>
          </cell>
        </row>
        <row r="705">
          <cell r="A705" t="str">
            <v>MY</v>
          </cell>
        </row>
        <row r="876">
          <cell r="F876">
            <v>1</v>
          </cell>
        </row>
        <row r="897">
          <cell r="E897">
            <v>0.85</v>
          </cell>
        </row>
        <row r="1125">
          <cell r="A1125" t="str">
            <v>MY</v>
          </cell>
        </row>
        <row r="1261">
          <cell r="C1261">
            <v>2.1176726842055862</v>
          </cell>
        </row>
        <row r="1275">
          <cell r="A1275" t="str">
            <v>MY</v>
          </cell>
        </row>
        <row r="1278">
          <cell r="C1278">
            <v>1.3633347016310522</v>
          </cell>
        </row>
        <row r="1395">
          <cell r="A1395" t="str">
            <v>MY</v>
          </cell>
        </row>
      </sheetData>
      <sheetData sheetId="26">
        <row r="5">
          <cell r="C5">
            <v>2015</v>
          </cell>
        </row>
        <row r="9">
          <cell r="C9">
            <v>27.493729326961894</v>
          </cell>
          <cell r="G9">
            <v>4.9772510438706091E-2</v>
          </cell>
        </row>
        <row r="10">
          <cell r="C10">
            <v>27.493729326961894</v>
          </cell>
          <cell r="E10">
            <v>8.4891981282390047E-2</v>
          </cell>
        </row>
        <row r="11">
          <cell r="E11" t="str">
            <v>VOC (Evap.)</v>
          </cell>
        </row>
        <row r="12">
          <cell r="A12" t="str">
            <v>MY</v>
          </cell>
        </row>
        <row r="144">
          <cell r="F144">
            <v>1</v>
          </cell>
        </row>
        <row r="152">
          <cell r="F152">
            <v>0.8</v>
          </cell>
        </row>
        <row r="171">
          <cell r="F171">
            <v>0.8</v>
          </cell>
        </row>
        <row r="174">
          <cell r="F174">
            <v>1</v>
          </cell>
        </row>
        <row r="223">
          <cell r="A223" t="str">
            <v>MY</v>
          </cell>
        </row>
        <row r="315">
          <cell r="A315" t="str">
            <v>MY</v>
          </cell>
        </row>
        <row r="345">
          <cell r="A345" t="str">
            <v>MY</v>
          </cell>
        </row>
        <row r="472">
          <cell r="C472">
            <v>1.4406733542845316</v>
          </cell>
        </row>
        <row r="615">
          <cell r="A615" t="str">
            <v>MY</v>
          </cell>
        </row>
        <row r="638">
          <cell r="C638">
            <v>1.6</v>
          </cell>
        </row>
        <row r="645">
          <cell r="A645" t="str">
            <v>MY</v>
          </cell>
        </row>
        <row r="655">
          <cell r="C655">
            <v>2.3943610807261733</v>
          </cell>
        </row>
        <row r="705">
          <cell r="A705" t="str">
            <v>MY</v>
          </cell>
        </row>
        <row r="876">
          <cell r="F876">
            <v>1</v>
          </cell>
        </row>
        <row r="897">
          <cell r="E897">
            <v>0.85</v>
          </cell>
        </row>
        <row r="1125">
          <cell r="A1125" t="str">
            <v>MY</v>
          </cell>
        </row>
        <row r="1261">
          <cell r="C1261">
            <v>2.3483775755356691</v>
          </cell>
        </row>
        <row r="1275">
          <cell r="A1275" t="str">
            <v>MY</v>
          </cell>
        </row>
        <row r="1278">
          <cell r="C1278">
            <v>1.3883419180180354</v>
          </cell>
        </row>
        <row r="1395">
          <cell r="A1395" t="str">
            <v>MY</v>
          </cell>
        </row>
      </sheetData>
      <sheetData sheetId="27">
        <row r="5">
          <cell r="C5">
            <v>2015</v>
          </cell>
        </row>
        <row r="9">
          <cell r="C9">
            <v>20.930021604895195</v>
          </cell>
          <cell r="G9">
            <v>4.595642864996264E-2</v>
          </cell>
        </row>
        <row r="10">
          <cell r="C10">
            <v>20.930021604895195</v>
          </cell>
          <cell r="E10">
            <v>0.11948559654239575</v>
          </cell>
        </row>
        <row r="11">
          <cell r="E11" t="str">
            <v>VOC (Evap.)</v>
          </cell>
        </row>
        <row r="12">
          <cell r="A12" t="str">
            <v>MY</v>
          </cell>
        </row>
        <row r="144">
          <cell r="F144">
            <v>1</v>
          </cell>
        </row>
        <row r="152">
          <cell r="F152">
            <v>0.8</v>
          </cell>
        </row>
        <row r="171">
          <cell r="F171">
            <v>0.8</v>
          </cell>
        </row>
        <row r="174">
          <cell r="F174">
            <v>1</v>
          </cell>
        </row>
        <row r="223">
          <cell r="A223" t="str">
            <v>MY</v>
          </cell>
        </row>
        <row r="315">
          <cell r="A315" t="str">
            <v>MY</v>
          </cell>
        </row>
        <row r="345">
          <cell r="A345" t="str">
            <v>MY</v>
          </cell>
        </row>
        <row r="472">
          <cell r="C472">
            <v>1.4487875079709907</v>
          </cell>
        </row>
        <row r="615">
          <cell r="A615" t="str">
            <v>MY</v>
          </cell>
        </row>
        <row r="638">
          <cell r="C638">
            <v>1.6</v>
          </cell>
        </row>
        <row r="645">
          <cell r="A645" t="str">
            <v>MY</v>
          </cell>
        </row>
        <row r="655">
          <cell r="C655">
            <v>2.3797777355574223</v>
          </cell>
        </row>
        <row r="705">
          <cell r="A705" t="str">
            <v>MY</v>
          </cell>
        </row>
        <row r="876">
          <cell r="F876">
            <v>0.74</v>
          </cell>
        </row>
        <row r="897">
          <cell r="E897">
            <v>1</v>
          </cell>
        </row>
        <row r="1125">
          <cell r="A1125" t="str">
            <v>MY</v>
          </cell>
        </row>
        <row r="1260">
          <cell r="C1260">
            <v>2.0437454192772453</v>
          </cell>
        </row>
        <row r="1275">
          <cell r="A1275" t="str">
            <v>MY</v>
          </cell>
        </row>
        <row r="1277">
          <cell r="C1277">
            <v>1.4089379085266129</v>
          </cell>
        </row>
        <row r="1395">
          <cell r="A1395" t="str">
            <v>MY</v>
          </cell>
        </row>
      </sheetData>
      <sheetData sheetId="28">
        <row r="30">
          <cell r="C30">
            <v>0.41518680326937984</v>
          </cell>
        </row>
        <row r="31">
          <cell r="C31">
            <v>0.58481319673062016</v>
          </cell>
        </row>
      </sheetData>
      <sheetData sheetId="29">
        <row r="11">
          <cell r="C11">
            <v>0.7</v>
          </cell>
        </row>
      </sheetData>
      <sheetData sheetId="30" refreshError="1"/>
      <sheetData sheetId="31">
        <row r="72">
          <cell r="B72">
            <v>21433.80103552025</v>
          </cell>
          <cell r="H72">
            <v>32767.677046736848</v>
          </cell>
        </row>
        <row r="73">
          <cell r="B73">
            <v>20636.636512747795</v>
          </cell>
          <cell r="H73">
            <v>31915.949605314603</v>
          </cell>
        </row>
        <row r="74">
          <cell r="B74">
            <v>1684.2725944833903</v>
          </cell>
          <cell r="H74">
            <v>1753.5441539119327</v>
          </cell>
        </row>
        <row r="75">
          <cell r="B75">
            <v>3608.6415803096424</v>
          </cell>
          <cell r="H75">
            <v>4789.9730610004481</v>
          </cell>
        </row>
        <row r="76">
          <cell r="B76">
            <v>15343.722337954761</v>
          </cell>
          <cell r="H76">
            <v>25372.432390402224</v>
          </cell>
        </row>
        <row r="77">
          <cell r="B77">
            <v>3.7378203452050038</v>
          </cell>
          <cell r="H77">
            <v>3.9468253056397478</v>
          </cell>
        </row>
        <row r="78">
          <cell r="B78">
            <v>7.3688924028981431</v>
          </cell>
          <cell r="C78">
            <v>6.3918900627852326E-2</v>
          </cell>
          <cell r="H78">
            <v>7.5476487056325556</v>
          </cell>
          <cell r="I78">
            <v>9.7978023526864522E-2</v>
          </cell>
        </row>
        <row r="79">
          <cell r="B79">
            <v>1.8157527008014316</v>
          </cell>
          <cell r="C79">
            <v>7.488614099496721E-2</v>
          </cell>
          <cell r="H79">
            <v>3.4886110155226451</v>
          </cell>
          <cell r="I79">
            <v>0.20147351958500848</v>
          </cell>
        </row>
        <row r="80">
          <cell r="B80">
            <v>5.4390149666969405</v>
          </cell>
          <cell r="C80">
            <v>0.35920956717993474</v>
          </cell>
          <cell r="H80">
            <v>8.8846796489411517</v>
          </cell>
          <cell r="I80">
            <v>0.61533182347850701</v>
          </cell>
        </row>
        <row r="81">
          <cell r="B81">
            <v>8.5166367747908485</v>
          </cell>
          <cell r="C81">
            <v>1.6473738904467919E-2</v>
          </cell>
          <cell r="H81">
            <v>8.6417289925759775</v>
          </cell>
          <cell r="I81">
            <v>2.913090237735769E-2</v>
          </cell>
        </row>
        <row r="82">
          <cell r="B82">
            <v>1.195351743130274</v>
          </cell>
          <cell r="C82">
            <v>1.4721953153843906E-2</v>
          </cell>
          <cell r="H82">
            <v>1.2925007042296084</v>
          </cell>
          <cell r="I82">
            <v>2.4897079622204631E-2</v>
          </cell>
        </row>
        <row r="83">
          <cell r="B83">
            <v>6.7923264077328822</v>
          </cell>
          <cell r="C83">
            <v>4.6755428192485009E-2</v>
          </cell>
          <cell r="H83">
            <v>6.8416466035087202</v>
          </cell>
          <cell r="I83">
            <v>5.6436217810193187E-2</v>
          </cell>
        </row>
        <row r="84">
          <cell r="B84">
            <v>3.5995429674881389E-2</v>
          </cell>
          <cell r="C84">
            <v>1.3881954347180116E-3</v>
          </cell>
          <cell r="H84">
            <v>4.9717965144004173E-2</v>
          </cell>
          <cell r="I84">
            <v>2.7578009598772254E-3</v>
          </cell>
        </row>
        <row r="85">
          <cell r="B85">
            <v>7.9405370383065721E-2</v>
          </cell>
          <cell r="C85">
            <v>6.2267655304999291E-3</v>
          </cell>
          <cell r="H85">
            <v>0.11699368115984905</v>
          </cell>
          <cell r="I85">
            <v>9.3977816565443371E-3</v>
          </cell>
        </row>
        <row r="86">
          <cell r="B86">
            <v>147.805220663494</v>
          </cell>
          <cell r="H86">
            <v>148.86717761966958</v>
          </cell>
        </row>
        <row r="87">
          <cell r="B87">
            <v>3.2443818259205899E-2</v>
          </cell>
          <cell r="H87">
            <v>4.394720418445297E-2</v>
          </cell>
        </row>
        <row r="88">
          <cell r="B88">
            <v>1600.1044705340598</v>
          </cell>
          <cell r="H88">
            <v>2470.5207884431743</v>
          </cell>
        </row>
        <row r="89">
          <cell r="B89">
            <v>1625.9241775291136</v>
          </cell>
          <cell r="H89">
            <v>2499.5263966001221</v>
          </cell>
        </row>
        <row r="90">
          <cell r="B90">
            <v>6068.6784092726239</v>
          </cell>
          <cell r="H90">
            <v>6977.1877342990892</v>
          </cell>
        </row>
      </sheetData>
      <sheetData sheetId="32" refreshError="1"/>
      <sheetData sheetId="33">
        <row r="47">
          <cell r="A47" t="str">
            <v>4) Fuel Economy and Resultant Energy Consumption of Heavy-Duty Trucks</v>
          </cell>
        </row>
        <row r="48">
          <cell r="E48" t="str">
            <v>Energy Consumption: Btu/mile</v>
          </cell>
        </row>
        <row r="49">
          <cell r="E49" t="str">
            <v>Heavy Heavy-Duty Truck</v>
          </cell>
          <cell r="F49" t="str">
            <v>Medium Heavy-Duty Truck</v>
          </cell>
        </row>
        <row r="50">
          <cell r="A50" t="str">
            <v>Trip from Product Origin to Destination</v>
          </cell>
          <cell r="D50">
            <v>4.3152052881349006</v>
          </cell>
          <cell r="E50">
            <v>17919.85304059858</v>
          </cell>
          <cell r="F50">
            <v>19855.30899836577</v>
          </cell>
        </row>
        <row r="51">
          <cell r="A51" t="str">
            <v>Trip from Product Destination Back to Origin</v>
          </cell>
          <cell r="E51">
            <v>14222.105587776652</v>
          </cell>
          <cell r="F51">
            <v>18556.36354987455</v>
          </cell>
        </row>
        <row r="53">
          <cell r="A53" t="str">
            <v>5) Calculation of Energy Consumption for Ocean Tanker and Barge</v>
          </cell>
        </row>
        <row r="54">
          <cell r="B54" t="str">
            <v>Ocean Tanker</v>
          </cell>
        </row>
        <row r="55">
          <cell r="A55" t="str">
            <v xml:space="preserve">Average Speed (Miles/Hour) </v>
          </cell>
          <cell r="B55">
            <v>20</v>
          </cell>
        </row>
        <row r="56">
          <cell r="A56" t="str">
            <v>Trip from Product Origin to Destination</v>
          </cell>
        </row>
        <row r="57">
          <cell r="A57" t="str">
            <v xml:space="preserve">    Load Factor</v>
          </cell>
          <cell r="B57">
            <v>0.83</v>
          </cell>
        </row>
        <row r="58">
          <cell r="A58" t="str">
            <v xml:space="preserve">    Energy Consumption: Btu/hphr</v>
          </cell>
          <cell r="B58">
            <v>5439.4635606414267</v>
          </cell>
        </row>
        <row r="59">
          <cell r="A59" t="str">
            <v>Trip from Product Destination Back to Origin</v>
          </cell>
        </row>
        <row r="60">
          <cell r="A60" t="str">
            <v xml:space="preserve">    Load Factor</v>
          </cell>
          <cell r="B60">
            <v>0.7</v>
          </cell>
        </row>
        <row r="61">
          <cell r="A61" t="str">
            <v xml:space="preserve">    Energy Consumption: Btu/hphr</v>
          </cell>
          <cell r="B61">
            <v>5439.4635606414267</v>
          </cell>
        </row>
        <row r="63">
          <cell r="A63" t="str">
            <v>6) Energy Intensity of Rail Transportation: Btu/ton-mile</v>
          </cell>
        </row>
        <row r="64">
          <cell r="A64" t="str">
            <v>Trip from Product Orighin to Destination</v>
          </cell>
          <cell r="B64">
            <v>273</v>
          </cell>
        </row>
        <row r="243">
          <cell r="A243" t="str">
            <v xml:space="preserve">A1) Energy Consumption, Water Consumption, and Emissions from Transportation Related Fuel Production </v>
          </cell>
        </row>
        <row r="245">
          <cell r="A245" t="str">
            <v>Energy Consumption (Btu per Btu, Gallon per Btu, or Grams Per mmBtu)</v>
          </cell>
        </row>
        <row r="246">
          <cell r="A246" t="str">
            <v xml:space="preserve">           Total energy </v>
          </cell>
          <cell r="B246">
            <v>0.18263953200827743</v>
          </cell>
          <cell r="C246">
            <v>0.13104311736395599</v>
          </cell>
          <cell r="D246">
            <v>0.10425616637857581</v>
          </cell>
        </row>
        <row r="247">
          <cell r="A247" t="str">
            <v xml:space="preserve">           Fossil energy</v>
          </cell>
          <cell r="B247">
            <v>0.17694613422334241</v>
          </cell>
          <cell r="C247">
            <v>0.12621430287874513</v>
          </cell>
          <cell r="D247">
            <v>0.10350959065074382</v>
          </cell>
        </row>
        <row r="248">
          <cell r="A248" t="str">
            <v xml:space="preserve">           Coal</v>
          </cell>
          <cell r="B248">
            <v>7.2281790045152505E-3</v>
          </cell>
          <cell r="C248">
            <v>6.0867733232079857E-3</v>
          </cell>
          <cell r="D248">
            <v>9.8578131152850398E-4</v>
          </cell>
        </row>
        <row r="249">
          <cell r="A249" t="str">
            <v xml:space="preserve">           Natural gas</v>
          </cell>
          <cell r="B249">
            <v>0.12326668370892607</v>
          </cell>
          <cell r="C249">
            <v>7.9002906476613677E-2</v>
          </cell>
          <cell r="D249">
            <v>9.8509556049502123E-2</v>
          </cell>
        </row>
        <row r="250">
          <cell r="A250" t="str">
            <v xml:space="preserve">           Petroleum</v>
          </cell>
          <cell r="B250">
            <v>4.6451271509901082E-2</v>
          </cell>
          <cell r="C250">
            <v>4.1124623078923471E-2</v>
          </cell>
          <cell r="D250">
            <v>4.0142532897131933E-3</v>
          </cell>
        </row>
        <row r="251">
          <cell r="B251">
            <v>2.1808737659679235E-5</v>
          </cell>
          <cell r="C251">
            <v>2.021524865071293E-5</v>
          </cell>
          <cell r="D251">
            <v>3.0820101583890919E-6</v>
          </cell>
        </row>
        <row r="252">
          <cell r="A252" t="str">
            <v xml:space="preserve">              VOC</v>
          </cell>
          <cell r="B252">
            <v>7.3631846404509016</v>
          </cell>
          <cell r="C252">
            <v>5.9625006377151593</v>
          </cell>
          <cell r="D252">
            <v>10.286863782994383</v>
          </cell>
        </row>
        <row r="253">
          <cell r="A253" t="str">
            <v xml:space="preserve">              CO</v>
          </cell>
          <cell r="B253">
            <v>11.589173782221145</v>
          </cell>
          <cell r="C253">
            <v>10.221473685359507</v>
          </cell>
          <cell r="D253">
            <v>31.245883768795618</v>
          </cell>
        </row>
        <row r="254">
          <cell r="A254" t="str">
            <v xml:space="preserve">              NOx</v>
          </cell>
          <cell r="B254">
            <v>17.699849820021996</v>
          </cell>
          <cell r="C254">
            <v>18.835805357030516</v>
          </cell>
          <cell r="D254">
            <v>36.269984486244958</v>
          </cell>
        </row>
        <row r="255">
          <cell r="A255" t="str">
            <v xml:space="preserve">              PM10</v>
          </cell>
          <cell r="B255">
            <v>1.2930541867116996</v>
          </cell>
          <cell r="C255">
            <v>1.3930435477806482</v>
          </cell>
          <cell r="D255">
            <v>0.42004758610254456</v>
          </cell>
        </row>
        <row r="256">
          <cell r="A256" t="str">
            <v xml:space="preserve">              PM2.5</v>
          </cell>
          <cell r="B256">
            <v>1.1032452324118798</v>
          </cell>
          <cell r="C256">
            <v>1.2195970167732291</v>
          </cell>
          <cell r="D256">
            <v>0.37869799481321043</v>
          </cell>
        </row>
        <row r="257">
          <cell r="A257" t="str">
            <v xml:space="preserve">              SOx</v>
          </cell>
          <cell r="B257">
            <v>4.6026786748631485</v>
          </cell>
          <cell r="C257">
            <v>6.1634054555762381</v>
          </cell>
          <cell r="D257">
            <v>11.10038516731889</v>
          </cell>
        </row>
        <row r="258">
          <cell r="B258">
            <v>0.17074100438611831</v>
          </cell>
          <cell r="C258">
            <v>0.18072982810494581</v>
          </cell>
          <cell r="D258">
            <v>9.922907856156217E-2</v>
          </cell>
        </row>
        <row r="259">
          <cell r="B259">
            <v>0.29998878091781167</v>
          </cell>
          <cell r="C259">
            <v>0.35996549339993605</v>
          </cell>
          <cell r="D259">
            <v>0.14327969770686483</v>
          </cell>
        </row>
        <row r="260">
          <cell r="A260" t="str">
            <v xml:space="preserve">              CH4</v>
          </cell>
          <cell r="B260">
            <v>109.54427786255357</v>
          </cell>
          <cell r="C260">
            <v>100.85681558650283</v>
          </cell>
          <cell r="D260">
            <v>216.36395413450404</v>
          </cell>
        </row>
        <row r="261">
          <cell r="A261" t="str">
            <v xml:space="preserve">              N2O</v>
          </cell>
          <cell r="B261">
            <v>0.22253081566169136</v>
          </cell>
          <cell r="C261">
            <v>0.16397841602162772</v>
          </cell>
          <cell r="D261">
            <v>1.4197316238953248</v>
          </cell>
        </row>
        <row r="262">
          <cell r="A262" t="str">
            <v xml:space="preserve">              CO2</v>
          </cell>
          <cell r="B262">
            <v>12919.773596278803</v>
          </cell>
          <cell r="C262">
            <v>9820.6229917326982</v>
          </cell>
          <cell r="D262">
            <v>6132.7053209759642</v>
          </cell>
        </row>
        <row r="263">
          <cell r="A263" t="str">
            <v>Urban Area Emissions</v>
          </cell>
        </row>
        <row r="264">
          <cell r="A264" t="str">
            <v xml:space="preserve">              VOC</v>
          </cell>
          <cell r="B264">
            <v>2.7636711168911523</v>
          </cell>
          <cell r="C264">
            <v>1.9960371256308234</v>
          </cell>
          <cell r="D264">
            <v>0.59812330026145544</v>
          </cell>
        </row>
        <row r="265">
          <cell r="A265" t="str">
            <v xml:space="preserve">              CO</v>
          </cell>
          <cell r="B265">
            <v>1.8011993472862826</v>
          </cell>
          <cell r="C265">
            <v>1.2893924896911511</v>
          </cell>
          <cell r="D265">
            <v>2.8737184061530598</v>
          </cell>
        </row>
        <row r="266">
          <cell r="A266" t="str">
            <v xml:space="preserve">              NOx</v>
          </cell>
          <cell r="B266">
            <v>2.7964228490958249</v>
          </cell>
          <cell r="C266">
            <v>2.1615902725064364</v>
          </cell>
          <cell r="D266">
            <v>3.4062695270437726</v>
          </cell>
        </row>
        <row r="267">
          <cell r="A267" t="str">
            <v xml:space="preserve">              PM10</v>
          </cell>
          <cell r="B267">
            <v>0.49753534056296134</v>
          </cell>
          <cell r="C267">
            <v>0.40470949087792424</v>
          </cell>
          <cell r="D267">
            <v>1.4612388752382365E-2</v>
          </cell>
        </row>
        <row r="268">
          <cell r="A268" t="str">
            <v xml:space="preserve">              PM2.5</v>
          </cell>
          <cell r="B268">
            <v>0.42936201126315854</v>
          </cell>
          <cell r="C268">
            <v>0.35673851940725382</v>
          </cell>
          <cell r="D268">
            <v>1.3496899530451377E-2</v>
          </cell>
        </row>
        <row r="269">
          <cell r="A269" t="str">
            <v xml:space="preserve">              SOx</v>
          </cell>
          <cell r="B269">
            <v>0.97209082082041087</v>
          </cell>
          <cell r="C269">
            <v>0.91234476395703412</v>
          </cell>
          <cell r="D269">
            <v>0.14705101704010839</v>
          </cell>
        </row>
        <row r="270">
          <cell r="B270">
            <v>5.4632126564427862E-2</v>
          </cell>
          <cell r="C270">
            <v>3.8285929990551845E-2</v>
          </cell>
          <cell r="D270">
            <v>2.2540595793461085E-3</v>
          </cell>
        </row>
        <row r="271">
          <cell r="B271">
            <v>7.7328529370130739E-2</v>
          </cell>
          <cell r="C271">
            <v>5.7987188438463587E-2</v>
          </cell>
          <cell r="D271">
            <v>4.6353752836528189E-3</v>
          </cell>
        </row>
      </sheetData>
      <sheetData sheetId="34" refreshError="1"/>
      <sheetData sheetId="35">
        <row r="62">
          <cell r="EX62">
            <v>9.9673385660502358</v>
          </cell>
        </row>
        <row r="63">
          <cell r="EX63">
            <v>13.564308510553797</v>
          </cell>
        </row>
        <row r="64">
          <cell r="EX64">
            <v>2.9525361791118421</v>
          </cell>
        </row>
        <row r="65">
          <cell r="EX65">
            <v>9.6757315770071433</v>
          </cell>
        </row>
        <row r="66">
          <cell r="EX66">
            <v>0.93604075443481216</v>
          </cell>
        </row>
        <row r="67">
          <cell r="EX67">
            <v>6503.4767644037756</v>
          </cell>
        </row>
        <row r="69">
          <cell r="EX69">
            <v>1037.8224505560145</v>
          </cell>
        </row>
        <row r="70">
          <cell r="EX70">
            <v>816.95995258539676</v>
          </cell>
        </row>
        <row r="71">
          <cell r="EX71">
            <v>1800.7896419594401</v>
          </cell>
        </row>
        <row r="72">
          <cell r="EX72">
            <v>296.3401285510248</v>
          </cell>
        </row>
        <row r="73">
          <cell r="EX73">
            <v>110.74665560133678</v>
          </cell>
        </row>
        <row r="74">
          <cell r="EX74">
            <v>947.58645305837581</v>
          </cell>
        </row>
        <row r="75">
          <cell r="EX75">
            <v>12.586270396987064</v>
          </cell>
        </row>
        <row r="76">
          <cell r="EX76">
            <v>19.95385281913407</v>
          </cell>
        </row>
        <row r="77">
          <cell r="EX77">
            <v>2416.5424400066786</v>
          </cell>
        </row>
        <row r="78">
          <cell r="EX78">
            <v>576.32362481775112</v>
          </cell>
        </row>
        <row r="79">
          <cell r="EX79">
            <v>1098608.0322948128</v>
          </cell>
        </row>
        <row r="81">
          <cell r="EX81">
            <v>229.13630553582834</v>
          </cell>
        </row>
        <row r="82">
          <cell r="EX82">
            <v>33.732304811650636</v>
          </cell>
        </row>
        <row r="83">
          <cell r="EX83">
            <v>50.578029002753922</v>
          </cell>
        </row>
        <row r="84">
          <cell r="EX84">
            <v>1.799525219559784</v>
          </cell>
        </row>
        <row r="85">
          <cell r="EX85">
            <v>1.4802275993400302</v>
          </cell>
        </row>
        <row r="86">
          <cell r="EX86">
            <v>8.8564701569071591</v>
          </cell>
        </row>
        <row r="87">
          <cell r="EX87">
            <v>0.15828335620488307</v>
          </cell>
        </row>
        <row r="88">
          <cell r="EX88">
            <v>0.48282251861824921</v>
          </cell>
        </row>
        <row r="97">
          <cell r="B97">
            <v>36.332146164303289</v>
          </cell>
          <cell r="D97">
            <v>18.457659102195958</v>
          </cell>
          <cell r="G97">
            <v>18.805632290779293</v>
          </cell>
          <cell r="I97">
            <v>0.10780072572602144</v>
          </cell>
          <cell r="S97">
            <v>22.030770128685567</v>
          </cell>
          <cell r="BC97">
            <v>4.2758164530245066</v>
          </cell>
          <cell r="BD97">
            <v>4.3841375780629379</v>
          </cell>
          <cell r="BE97">
            <v>27.171021888442034</v>
          </cell>
          <cell r="BF97">
            <v>29.249082687244254</v>
          </cell>
          <cell r="BG97">
            <v>0.5138426396398883</v>
          </cell>
          <cell r="BH97">
            <v>1.2056463627591429</v>
          </cell>
          <cell r="BI97">
            <v>2.9277647032766043</v>
          </cell>
          <cell r="BJ97">
            <v>6.4534711664929061</v>
          </cell>
        </row>
        <row r="98">
          <cell r="B98">
            <v>36.134685221273628</v>
          </cell>
          <cell r="D98">
            <v>18.264568206463903</v>
          </cell>
          <cell r="G98">
            <v>17.48809726990309</v>
          </cell>
          <cell r="I98">
            <v>0.10719526757869353</v>
          </cell>
          <cell r="S98">
            <v>20.994989284803754</v>
          </cell>
          <cell r="BC98">
            <v>4.1898503794963649</v>
          </cell>
          <cell r="BD98">
            <v>4.225931713588742</v>
          </cell>
          <cell r="BE98">
            <v>24.52973321585894</v>
          </cell>
          <cell r="BF98">
            <v>24.557159317814673</v>
          </cell>
          <cell r="BG98">
            <v>0.48462781003145922</v>
          </cell>
          <cell r="BH98">
            <v>1.1489996119701806</v>
          </cell>
          <cell r="BI98">
            <v>2.791267195019409</v>
          </cell>
          <cell r="BJ98">
            <v>5.7532258524030953</v>
          </cell>
        </row>
        <row r="99">
          <cell r="B99">
            <v>0.2607338691094655</v>
          </cell>
          <cell r="D99">
            <v>0.25479040623859678</v>
          </cell>
          <cell r="G99">
            <v>1.7400212765519092</v>
          </cell>
          <cell r="I99">
            <v>4.2504034000769506E-3</v>
          </cell>
          <cell r="S99">
            <v>1.3679549528897281</v>
          </cell>
          <cell r="BC99">
            <v>3.5022632827296989</v>
          </cell>
          <cell r="BD99">
            <v>3.6101644650946731</v>
          </cell>
          <cell r="BE99">
            <v>4.0460128080585509</v>
          </cell>
          <cell r="BF99">
            <v>7.1087200248754714</v>
          </cell>
          <cell r="BG99">
            <v>3.8530498315894418E-2</v>
          </cell>
          <cell r="BH99">
            <v>7.8773039248976814E-2</v>
          </cell>
          <cell r="BI99">
            <v>0.44033378589744537</v>
          </cell>
          <cell r="BJ99">
            <v>0.92515589581679947</v>
          </cell>
        </row>
        <row r="100">
          <cell r="B100">
            <v>34.832404635984659</v>
          </cell>
          <cell r="D100">
            <v>16.383653114157042</v>
          </cell>
          <cell r="G100">
            <v>9.8693778472072076</v>
          </cell>
          <cell r="I100">
            <v>1.1051329900043733E-2</v>
          </cell>
          <cell r="S100">
            <v>15.132972788107695</v>
          </cell>
          <cell r="BC100">
            <v>0.466525820246666</v>
          </cell>
          <cell r="BD100">
            <v>0.34701301100333681</v>
          </cell>
          <cell r="BE100">
            <v>19.798523406029425</v>
          </cell>
          <cell r="BF100">
            <v>16.363208567371363</v>
          </cell>
          <cell r="BG100">
            <v>0.13153323869335384</v>
          </cell>
          <cell r="BH100">
            <v>0.16345586980666998</v>
          </cell>
          <cell r="BI100">
            <v>1.3956582253195202</v>
          </cell>
          <cell r="BJ100">
            <v>2.9918957500376986</v>
          </cell>
        </row>
        <row r="101">
          <cell r="B101">
            <v>1.0415467161795053</v>
          </cell>
          <cell r="D101">
            <v>1.6261246860682634</v>
          </cell>
          <cell r="G101">
            <v>5.8786981461439733</v>
          </cell>
          <cell r="I101">
            <v>9.1893534278572858E-2</v>
          </cell>
          <cell r="S101">
            <v>4.4940615438063301</v>
          </cell>
          <cell r="BC101">
            <v>0.22106127651999968</v>
          </cell>
          <cell r="BD101">
            <v>0.26875423749073213</v>
          </cell>
          <cell r="BE101">
            <v>0.68519700177096265</v>
          </cell>
          <cell r="BF101">
            <v>1.0852307255678384</v>
          </cell>
          <cell r="BG101">
            <v>0.31456407302221095</v>
          </cell>
          <cell r="BH101">
            <v>0.90677070291453388</v>
          </cell>
          <cell r="BI101">
            <v>0.95527518380244358</v>
          </cell>
          <cell r="BJ101">
            <v>1.8361742065485971</v>
          </cell>
        </row>
        <row r="102">
          <cell r="B102">
            <v>422.2183973339246</v>
          </cell>
          <cell r="D102">
            <v>1375.562993869341</v>
          </cell>
          <cell r="G102">
            <v>11888.585274010791</v>
          </cell>
          <cell r="I102">
            <v>26.409569078578205</v>
          </cell>
          <cell r="S102">
            <v>8678.2911296875773</v>
          </cell>
          <cell r="BC102">
            <v>1102.2778342369234</v>
          </cell>
          <cell r="BD102">
            <v>1127.9542181900342</v>
          </cell>
          <cell r="BE102">
            <v>787.45867821343597</v>
          </cell>
          <cell r="BF102">
            <v>1486.4997927118548</v>
          </cell>
          <cell r="BG102">
            <v>71.585895167352376</v>
          </cell>
          <cell r="BH102">
            <v>34.196962363374084</v>
          </cell>
          <cell r="BI102">
            <v>485.56129412044334</v>
          </cell>
          <cell r="BJ102">
            <v>578.47610458381234</v>
          </cell>
        </row>
        <row r="104">
          <cell r="B104">
            <v>4648.1415229431868</v>
          </cell>
          <cell r="D104">
            <v>2113.7849790729192</v>
          </cell>
          <cell r="G104">
            <v>401.36003363645159</v>
          </cell>
          <cell r="I104">
            <v>3.0007778627888633</v>
          </cell>
          <cell r="S104">
            <v>1316.36474764843</v>
          </cell>
          <cell r="BC104">
            <v>90.052707313868567</v>
          </cell>
          <cell r="BD104">
            <v>90.983630423164499</v>
          </cell>
          <cell r="BE104">
            <v>236.94023959186924</v>
          </cell>
          <cell r="BF104">
            <v>245.58439249726143</v>
          </cell>
          <cell r="BG104">
            <v>16.386342714946565</v>
          </cell>
          <cell r="BH104">
            <v>13.223245275381981</v>
          </cell>
          <cell r="BI104">
            <v>55.227596548340742</v>
          </cell>
          <cell r="BJ104">
            <v>82.020950205761295</v>
          </cell>
        </row>
        <row r="105">
          <cell r="B105">
            <v>4836.6320464911105</v>
          </cell>
          <cell r="D105">
            <v>2331.9157745068433</v>
          </cell>
          <cell r="G105">
            <v>1090.3132948922203</v>
          </cell>
          <cell r="I105">
            <v>18.066358060290298</v>
          </cell>
          <cell r="S105">
            <v>1870.2655937365553</v>
          </cell>
          <cell r="BC105">
            <v>420.56556155670182</v>
          </cell>
          <cell r="BD105">
            <v>431.10980413081552</v>
          </cell>
          <cell r="BE105">
            <v>814.73130258495576</v>
          </cell>
          <cell r="BF105">
            <v>958.18287074375576</v>
          </cell>
          <cell r="BG105">
            <v>36.193146201590267</v>
          </cell>
          <cell r="BH105">
            <v>170.62357719230678</v>
          </cell>
          <cell r="BI105">
            <v>183.97368534480478</v>
          </cell>
          <cell r="BJ105">
            <v>225.77709391833065</v>
          </cell>
        </row>
        <row r="106">
          <cell r="B106">
            <v>1922.8587031608201</v>
          </cell>
          <cell r="D106">
            <v>2693.5708159377241</v>
          </cell>
          <cell r="G106">
            <v>5499.89955477691</v>
          </cell>
          <cell r="I106">
            <v>14.969385706424767</v>
          </cell>
          <cell r="S106">
            <v>4411.0132191601469</v>
          </cell>
          <cell r="BC106">
            <v>235.86819253415379</v>
          </cell>
          <cell r="BD106">
            <v>261.58086565886384</v>
          </cell>
          <cell r="BE106">
            <v>1344.5598268288322</v>
          </cell>
          <cell r="BF106">
            <v>1719.7509942687502</v>
          </cell>
          <cell r="BG106">
            <v>288.99271490543373</v>
          </cell>
          <cell r="BH106">
            <v>123.8826327161168</v>
          </cell>
          <cell r="BI106">
            <v>913.39998567633234</v>
          </cell>
          <cell r="BJ106">
            <v>1109.0841427257183</v>
          </cell>
        </row>
        <row r="107">
          <cell r="B107">
            <v>87.482698753180699</v>
          </cell>
          <cell r="D107">
            <v>1193.1552244471927</v>
          </cell>
          <cell r="G107">
            <v>1300.6863712315703</v>
          </cell>
          <cell r="I107">
            <v>3.0828975820344748</v>
          </cell>
          <cell r="S107">
            <v>957.99807945950272</v>
          </cell>
          <cell r="BC107">
            <v>125.43411723973426</v>
          </cell>
          <cell r="BD107">
            <v>127.70743662190986</v>
          </cell>
          <cell r="BE107">
            <v>137.26759404572465</v>
          </cell>
          <cell r="BF107">
            <v>186.941193988121</v>
          </cell>
          <cell r="BG107">
            <v>19.300317267717091</v>
          </cell>
          <cell r="BH107">
            <v>7.8381422086762802</v>
          </cell>
          <cell r="BI107">
            <v>73.991378917815894</v>
          </cell>
          <cell r="BJ107">
            <v>109.62713049542373</v>
          </cell>
        </row>
        <row r="108">
          <cell r="B108">
            <v>78.958349841330133</v>
          </cell>
          <cell r="D108">
            <v>968.1262239291666</v>
          </cell>
          <cell r="G108">
            <v>1024.8931228161459</v>
          </cell>
          <cell r="I108">
            <v>0.5412854216344879</v>
          </cell>
          <cell r="S108">
            <v>756.91127973164043</v>
          </cell>
          <cell r="BC108">
            <v>95.182715522071618</v>
          </cell>
          <cell r="BD108">
            <v>96.37911509869511</v>
          </cell>
          <cell r="BE108">
            <v>95.956988988933361</v>
          </cell>
          <cell r="BF108">
            <v>117.90496600561342</v>
          </cell>
          <cell r="BG108">
            <v>17.569091223792814</v>
          </cell>
          <cell r="BH108">
            <v>2.6925910170325222</v>
          </cell>
          <cell r="BI108">
            <v>65.104319965124773</v>
          </cell>
          <cell r="BJ108">
            <v>84.823544017791875</v>
          </cell>
        </row>
        <row r="109">
          <cell r="B109">
            <v>666.22795731068788</v>
          </cell>
          <cell r="D109">
            <v>997.87328888439606</v>
          </cell>
          <cell r="G109">
            <v>13669.136032418517</v>
          </cell>
          <cell r="I109">
            <v>1.6483951101043521</v>
          </cell>
          <cell r="S109">
            <v>9996.307282515465</v>
          </cell>
          <cell r="BC109">
            <v>122.92932415142776</v>
          </cell>
          <cell r="BD109">
            <v>138.00471185010412</v>
          </cell>
          <cell r="BE109">
            <v>712.12055898957874</v>
          </cell>
          <cell r="BF109">
            <v>1110.6609115125023</v>
          </cell>
          <cell r="BG109">
            <v>1950.6014611258231</v>
          </cell>
          <cell r="BH109">
            <v>1828.0437386709966</v>
          </cell>
          <cell r="BI109">
            <v>544.33560519064861</v>
          </cell>
          <cell r="BJ109">
            <v>889.8757708912583</v>
          </cell>
        </row>
        <row r="110">
          <cell r="B110">
            <v>13.222739831466653</v>
          </cell>
          <cell r="D110">
            <v>18.550547435768834</v>
          </cell>
          <cell r="G110">
            <v>56.36767857563953</v>
          </cell>
          <cell r="I110">
            <v>0.1094505527701294</v>
          </cell>
          <cell r="S110">
            <v>43.697733086522923</v>
          </cell>
          <cell r="BC110">
            <v>7.8073237255591943</v>
          </cell>
          <cell r="BD110">
            <v>7.9155082301471706</v>
          </cell>
          <cell r="BE110">
            <v>10.21975488022491</v>
          </cell>
          <cell r="BF110">
            <v>11.555067895706532</v>
          </cell>
          <cell r="BG110">
            <v>2.510337273218286</v>
          </cell>
          <cell r="BH110">
            <v>0.24154965238111176</v>
          </cell>
          <cell r="BI110">
            <v>10.177360112006111</v>
          </cell>
          <cell r="BJ110">
            <v>10.543765316074069</v>
          </cell>
        </row>
        <row r="111">
          <cell r="B111">
            <v>31.899893306173396</v>
          </cell>
          <cell r="D111">
            <v>48.689738292416337</v>
          </cell>
          <cell r="G111">
            <v>123.30467113769438</v>
          </cell>
          <cell r="I111">
            <v>9.5465744912783562E-2</v>
          </cell>
          <cell r="S111">
            <v>96.398525878635397</v>
          </cell>
          <cell r="BC111">
            <v>14.891416269796229</v>
          </cell>
          <cell r="BD111">
            <v>14.972158095275681</v>
          </cell>
          <cell r="BE111">
            <v>30.558939824876735</v>
          </cell>
          <cell r="BF111">
            <v>28.196772944619227</v>
          </cell>
          <cell r="BG111">
            <v>7.412240328039009</v>
          </cell>
          <cell r="BH111">
            <v>0.47347654107933645</v>
          </cell>
          <cell r="BI111">
            <v>24.899766353109769</v>
          </cell>
          <cell r="BJ111">
            <v>28.00638563684997</v>
          </cell>
        </row>
        <row r="112">
          <cell r="B112">
            <v>6652.5762628044313</v>
          </cell>
          <cell r="D112">
            <v>3251.1379607622525</v>
          </cell>
          <cell r="G112">
            <v>2642.3308640036607</v>
          </cell>
          <cell r="I112">
            <v>10.295662027028325</v>
          </cell>
          <cell r="S112">
            <v>3447.0675439317106</v>
          </cell>
          <cell r="BC112">
            <v>617.13478939951381</v>
          </cell>
          <cell r="BD112">
            <v>639.46440304470275</v>
          </cell>
          <cell r="BE112">
            <v>4245.2020170345586</v>
          </cell>
          <cell r="BF112">
            <v>4853.4223761591002</v>
          </cell>
          <cell r="BG112">
            <v>57.494095868365036</v>
          </cell>
          <cell r="BH112">
            <v>120.91325997257937</v>
          </cell>
          <cell r="BI112">
            <v>414.71330775899582</v>
          </cell>
          <cell r="BJ112">
            <v>848.80641530714388</v>
          </cell>
        </row>
        <row r="113">
          <cell r="B113">
            <v>44.764413385518836</v>
          </cell>
          <cell r="D113">
            <v>3422.1638881981294</v>
          </cell>
          <cell r="G113">
            <v>29.959153681304358</v>
          </cell>
          <cell r="I113">
            <v>6.0745354337307655E-2</v>
          </cell>
          <cell r="S113">
            <v>32.134751087710882</v>
          </cell>
          <cell r="BC113">
            <v>1.081973667413807</v>
          </cell>
          <cell r="BD113">
            <v>2.0458742399181418</v>
          </cell>
          <cell r="BE113">
            <v>35.285608281649488</v>
          </cell>
          <cell r="BF113">
            <v>61.971709689620333</v>
          </cell>
          <cell r="BG113">
            <v>0.90162048446381204</v>
          </cell>
          <cell r="BH113">
            <v>0.80059138590309131</v>
          </cell>
          <cell r="BI113">
            <v>4.3148370514009589</v>
          </cell>
          <cell r="BJ113">
            <v>9.4912602368213577</v>
          </cell>
        </row>
        <row r="114">
          <cell r="B114">
            <v>2156596.5788576729</v>
          </cell>
          <cell r="D114">
            <v>1121168.3726105727</v>
          </cell>
          <cell r="G114">
            <v>1234184.9315974379</v>
          </cell>
          <cell r="I114">
            <v>8351.9011348439562</v>
          </cell>
          <cell r="S114">
            <v>1392967.4674207468</v>
          </cell>
          <cell r="BC114">
            <v>1143451.7836002663</v>
          </cell>
          <cell r="BD114">
            <v>1150868.7874685032</v>
          </cell>
          <cell r="BE114">
            <v>1636030.8555933388</v>
          </cell>
          <cell r="BF114">
            <v>1769901.7206287128</v>
          </cell>
          <cell r="BG114">
            <v>37166.973904260427</v>
          </cell>
          <cell r="BH114">
            <v>89315.415521881427</v>
          </cell>
          <cell r="BI114">
            <v>204507.08669571063</v>
          </cell>
          <cell r="BJ114">
            <v>426089.90262157749</v>
          </cell>
        </row>
        <row r="116">
          <cell r="B116">
            <v>20.058451526914183</v>
          </cell>
          <cell r="D116">
            <v>14.618043874394614</v>
          </cell>
          <cell r="G116">
            <v>28.21574163495924</v>
          </cell>
          <cell r="I116">
            <v>0.27371203838695446</v>
          </cell>
          <cell r="S116">
            <v>25.0437299698586</v>
          </cell>
          <cell r="BC116">
            <v>0.98303250272448806</v>
          </cell>
          <cell r="BD116">
            <v>1.0021134701406591</v>
          </cell>
          <cell r="BE116">
            <v>13.550778888195858</v>
          </cell>
          <cell r="BF116">
            <v>10.520118231111306</v>
          </cell>
          <cell r="BG116">
            <v>1.4847613827115975</v>
          </cell>
          <cell r="BH116">
            <v>2.4419277628374165</v>
          </cell>
          <cell r="BI116">
            <v>4.6094809478262286</v>
          </cell>
          <cell r="BJ116">
            <v>7.2009051764130625</v>
          </cell>
        </row>
        <row r="117">
          <cell r="B117">
            <v>86.823416327189477</v>
          </cell>
          <cell r="D117">
            <v>50.702259548363728</v>
          </cell>
          <cell r="G117">
            <v>65.803658545601934</v>
          </cell>
          <cell r="I117">
            <v>0.16139065657493154</v>
          </cell>
          <cell r="S117">
            <v>68.068440902983866</v>
          </cell>
          <cell r="BC117">
            <v>2.3826572118045588</v>
          </cell>
          <cell r="BD117">
            <v>2.4806242733779316</v>
          </cell>
          <cell r="BE117">
            <v>66.456871119805129</v>
          </cell>
          <cell r="BF117">
            <v>55.938971972883472</v>
          </cell>
          <cell r="BG117">
            <v>2.434306008450752</v>
          </cell>
          <cell r="BH117">
            <v>2.0580637849257619</v>
          </cell>
          <cell r="BI117">
            <v>9.4783316544131502</v>
          </cell>
          <cell r="BJ117">
            <v>19.27345927305652</v>
          </cell>
        </row>
        <row r="118">
          <cell r="B118">
            <v>126.56966259087434</v>
          </cell>
          <cell r="D118">
            <v>122.74418850240161</v>
          </cell>
          <cell r="G118">
            <v>273.84430945875903</v>
          </cell>
          <cell r="I118">
            <v>0.2538141497087702</v>
          </cell>
          <cell r="S118">
            <v>227.9594752406872</v>
          </cell>
          <cell r="BC118">
            <v>6.0852834120914387</v>
          </cell>
          <cell r="BD118">
            <v>8.1681944486008202</v>
          </cell>
          <cell r="BE118">
            <v>152.76292670980587</v>
          </cell>
          <cell r="BF118">
            <v>186.20924112745982</v>
          </cell>
          <cell r="BG118">
            <v>15.943757079445119</v>
          </cell>
          <cell r="BH118">
            <v>4.2993952844985772</v>
          </cell>
          <cell r="BI118">
            <v>48.006154165032157</v>
          </cell>
          <cell r="BJ118">
            <v>75.321907331044059</v>
          </cell>
        </row>
        <row r="119">
          <cell r="B119">
            <v>3.7351959762276614</v>
          </cell>
          <cell r="D119">
            <v>7.2374516402375608</v>
          </cell>
          <cell r="G119">
            <v>24.14940077226041</v>
          </cell>
          <cell r="I119">
            <v>4.5174857869258948E-2</v>
          </cell>
          <cell r="S119">
            <v>18.495772784949438</v>
          </cell>
          <cell r="BC119">
            <v>0.63211602754707863</v>
          </cell>
          <cell r="BD119">
            <v>0.8990351275303603</v>
          </cell>
          <cell r="BE119">
            <v>17.88134440614235</v>
          </cell>
          <cell r="BF119">
            <v>24.295567226485108</v>
          </cell>
          <cell r="BG119">
            <v>1.2067316973096258</v>
          </cell>
          <cell r="BH119">
            <v>0.67067544099813825</v>
          </cell>
          <cell r="BI119">
            <v>4.1372321670221046</v>
          </cell>
          <cell r="BJ119">
            <v>7.8138241968392803</v>
          </cell>
        </row>
        <row r="120">
          <cell r="B120">
            <v>3.2670455136667744</v>
          </cell>
          <cell r="D120">
            <v>6.4807538787025063</v>
          </cell>
          <cell r="G120">
            <v>21.686873930780198</v>
          </cell>
          <cell r="I120">
            <v>3.9030126321925485E-2</v>
          </cell>
          <cell r="S120">
            <v>16.578817845891173</v>
          </cell>
          <cell r="BC120">
            <v>0.5558056675291263</v>
          </cell>
          <cell r="BD120">
            <v>0.7600995704505773</v>
          </cell>
          <cell r="BE120">
            <v>15.895332617876749</v>
          </cell>
          <cell r="BF120">
            <v>20.753212315119033</v>
          </cell>
          <cell r="BG120">
            <v>1.1004189917429632</v>
          </cell>
          <cell r="BH120">
            <v>0.57357426157881031</v>
          </cell>
          <cell r="BI120">
            <v>3.7572712853762082</v>
          </cell>
          <cell r="BJ120">
            <v>6.9943910643762335</v>
          </cell>
        </row>
        <row r="121">
          <cell r="B121">
            <v>26.047084929251056</v>
          </cell>
          <cell r="D121">
            <v>50.90366888267156</v>
          </cell>
          <cell r="G121">
            <v>166.95633536886908</v>
          </cell>
          <cell r="I121">
            <v>9.136272393306541E-2</v>
          </cell>
          <cell r="S121">
            <v>127.9367708049795</v>
          </cell>
          <cell r="BC121">
            <v>4.0348874062284592</v>
          </cell>
          <cell r="BD121">
            <v>7.6820821711845113</v>
          </cell>
          <cell r="BE121">
            <v>120.29862838086358</v>
          </cell>
          <cell r="BF121">
            <v>223.20434422276813</v>
          </cell>
          <cell r="BG121">
            <v>8.0351702842159529</v>
          </cell>
          <cell r="BH121">
            <v>3.2905438203151762</v>
          </cell>
          <cell r="BI121">
            <v>29.416185416486215</v>
          </cell>
          <cell r="BJ121">
            <v>55.302637661044471</v>
          </cell>
        </row>
        <row r="122">
          <cell r="B122">
            <v>0.39101748068799402</v>
          </cell>
          <cell r="D122">
            <v>0.85385740644559183</v>
          </cell>
          <cell r="G122">
            <v>2.4883499781673786</v>
          </cell>
          <cell r="I122">
            <v>4.887358606919817E-3</v>
          </cell>
          <cell r="S122">
            <v>1.8914172513545242</v>
          </cell>
          <cell r="BC122">
            <v>3.5884710133770592E-2</v>
          </cell>
          <cell r="BD122">
            <v>4.5951107626409048E-2</v>
          </cell>
          <cell r="BE122">
            <v>0.92373820101168835</v>
          </cell>
          <cell r="BF122">
            <v>1.0813451371081595</v>
          </cell>
          <cell r="BG122">
            <v>0.14297900238188035</v>
          </cell>
          <cell r="BH122">
            <v>5.6521552352692253E-2</v>
          </cell>
          <cell r="BI122">
            <v>0.48050921921907164</v>
          </cell>
          <cell r="BJ122">
            <v>0.65913620904424008</v>
          </cell>
        </row>
        <row r="123">
          <cell r="B123">
            <v>1.1071991763985429</v>
          </cell>
          <cell r="D123">
            <v>2.3552932713845758</v>
          </cell>
          <cell r="G123">
            <v>7.4838509701750713</v>
          </cell>
          <cell r="I123">
            <v>7.0374479543004352E-3</v>
          </cell>
          <cell r="S123">
            <v>5.7005602389298922</v>
          </cell>
          <cell r="BC123">
            <v>0.15854690350696832</v>
          </cell>
          <cell r="BD123">
            <v>0.12820924700942246</v>
          </cell>
          <cell r="BE123">
            <v>4.4841476838419965</v>
          </cell>
          <cell r="BF123">
            <v>3.3282108480291184</v>
          </cell>
          <cell r="BG123">
            <v>0.41986049773161876</v>
          </cell>
          <cell r="BH123">
            <v>9.4959077404743519E-2</v>
          </cell>
          <cell r="BI123">
            <v>1.3464283020803702</v>
          </cell>
          <cell r="BJ123">
            <v>2.2358944538252707</v>
          </cell>
        </row>
      </sheetData>
      <sheetData sheetId="36">
        <row r="82">
          <cell r="F82">
            <v>27.581918666336783</v>
          </cell>
        </row>
        <row r="83">
          <cell r="F83">
            <v>24.61952370317384</v>
          </cell>
        </row>
        <row r="84">
          <cell r="F84">
            <v>4.486187999167087</v>
          </cell>
        </row>
        <row r="85">
          <cell r="F85">
            <v>19.191353333698519</v>
          </cell>
        </row>
        <row r="86">
          <cell r="F86">
            <v>0.94198237030823551</v>
          </cell>
        </row>
        <row r="87">
          <cell r="F87">
            <v>2812.7446529122171</v>
          </cell>
        </row>
        <row r="89">
          <cell r="F89">
            <v>246.06829187253942</v>
          </cell>
        </row>
        <row r="90">
          <cell r="F90">
            <v>915.72013904324626</v>
          </cell>
        </row>
        <row r="91">
          <cell r="F91">
            <v>1538.7321009648394</v>
          </cell>
        </row>
        <row r="92">
          <cell r="F92">
            <v>156.32513173420713</v>
          </cell>
        </row>
        <row r="93">
          <cell r="F93">
            <v>107.01414091920527</v>
          </cell>
        </row>
        <row r="94">
          <cell r="F94">
            <v>785.933534059934</v>
          </cell>
        </row>
        <row r="95">
          <cell r="F95">
            <v>11.363682492622178</v>
          </cell>
        </row>
        <row r="96">
          <cell r="F96">
            <v>33.759433484885044</v>
          </cell>
        </row>
        <row r="97">
          <cell r="F97">
            <v>4394.2572761342935</v>
          </cell>
        </row>
        <row r="98">
          <cell r="F98">
            <v>40.148180645194728</v>
          </cell>
        </row>
        <row r="99">
          <cell r="F99">
            <v>1665901.8087901033</v>
          </cell>
        </row>
        <row r="101">
          <cell r="F101">
            <v>14.092742652400997</v>
          </cell>
        </row>
        <row r="102">
          <cell r="F102">
            <v>76.818454470770462</v>
          </cell>
        </row>
        <row r="103">
          <cell r="F103">
            <v>172.0556602035559</v>
          </cell>
        </row>
        <row r="104">
          <cell r="F104">
            <v>18.2651553906428</v>
          </cell>
        </row>
        <row r="105">
          <cell r="F105">
            <v>16.068269758237211</v>
          </cell>
        </row>
        <row r="106">
          <cell r="F106">
            <v>134.70998823085495</v>
          </cell>
        </row>
        <row r="107">
          <cell r="F107">
            <v>0.86090444874827443</v>
          </cell>
        </row>
        <row r="108">
          <cell r="F108">
            <v>4.5725994995086534</v>
          </cell>
        </row>
      </sheetData>
      <sheetData sheetId="37" refreshError="1"/>
      <sheetData sheetId="38">
        <row r="134">
          <cell r="H134">
            <v>13.958222229485669</v>
          </cell>
          <cell r="AD134">
            <v>8.628040121627647</v>
          </cell>
        </row>
        <row r="135">
          <cell r="H135">
            <v>12.032463881305377</v>
          </cell>
          <cell r="AD135">
            <v>8.6218648459523024</v>
          </cell>
        </row>
        <row r="136">
          <cell r="H136">
            <v>2.5764999782367553</v>
          </cell>
          <cell r="AD136">
            <v>8.1336347279510526E-3</v>
          </cell>
        </row>
        <row r="137">
          <cell r="H137">
            <v>8.3193107866285878</v>
          </cell>
          <cell r="AD137">
            <v>8.5095469313023582</v>
          </cell>
        </row>
        <row r="138">
          <cell r="H138">
            <v>1.136653116440034</v>
          </cell>
          <cell r="AD138">
            <v>0.10418427992199286</v>
          </cell>
        </row>
        <row r="139">
          <cell r="H139">
            <v>1154.6586722255424</v>
          </cell>
          <cell r="AD139">
            <v>25.37432547874074</v>
          </cell>
        </row>
        <row r="141">
          <cell r="H141">
            <v>182.41915542958532</v>
          </cell>
          <cell r="AD141">
            <v>100.22940705194921</v>
          </cell>
        </row>
        <row r="142">
          <cell r="H142">
            <v>502.17175601704741</v>
          </cell>
          <cell r="AD142">
            <v>437.76752562589706</v>
          </cell>
        </row>
        <row r="143">
          <cell r="H143">
            <v>909.37731155218137</v>
          </cell>
          <cell r="AD143">
            <v>589.50432361195533</v>
          </cell>
        </row>
        <row r="144">
          <cell r="H144">
            <v>153.61073230208956</v>
          </cell>
          <cell r="AD144">
            <v>30.904150144503273</v>
          </cell>
        </row>
        <row r="145">
          <cell r="H145">
            <v>112.36051233001348</v>
          </cell>
          <cell r="AD145">
            <v>30.219300024541578</v>
          </cell>
        </row>
        <row r="146">
          <cell r="H146">
            <v>894.24409520396046</v>
          </cell>
          <cell r="AD146">
            <v>88.339509916009874</v>
          </cell>
        </row>
        <row r="147">
          <cell r="H147">
            <v>10.720041854811267</v>
          </cell>
          <cell r="AD147">
            <v>5.2602693867353523</v>
          </cell>
        </row>
        <row r="148">
          <cell r="H148">
            <v>26.693023313019893</v>
          </cell>
          <cell r="AD148">
            <v>12.749936893136017</v>
          </cell>
        </row>
        <row r="149">
          <cell r="H149">
            <v>2025.3218828538595</v>
          </cell>
          <cell r="AD149">
            <v>1690.2749129344336</v>
          </cell>
        </row>
        <row r="150">
          <cell r="H150">
            <v>18.379045552518484</v>
          </cell>
          <cell r="AD150">
            <v>15.26686139015032</v>
          </cell>
        </row>
        <row r="151">
          <cell r="H151">
            <v>829313.50024401851</v>
          </cell>
          <cell r="AD151">
            <v>513204.7419073421</v>
          </cell>
        </row>
        <row r="153">
          <cell r="H153">
            <v>8.9001963384421945</v>
          </cell>
          <cell r="AD153">
            <v>4.821749466846434</v>
          </cell>
        </row>
        <row r="154">
          <cell r="H154">
            <v>41.444422774952926</v>
          </cell>
          <cell r="AD154">
            <v>22.364434259465195</v>
          </cell>
        </row>
        <row r="155">
          <cell r="H155">
            <v>109.24300833940238</v>
          </cell>
          <cell r="AD155">
            <v>26.555178199614343</v>
          </cell>
        </row>
        <row r="156">
          <cell r="H156">
            <v>12.758370758378994</v>
          </cell>
          <cell r="AD156">
            <v>0.14784423128307853</v>
          </cell>
        </row>
        <row r="157">
          <cell r="H157">
            <v>11.222045696964107</v>
          </cell>
          <cell r="AD157">
            <v>0.1344483673518081</v>
          </cell>
        </row>
        <row r="158">
          <cell r="H158">
            <v>92.82302065983383</v>
          </cell>
          <cell r="AD158">
            <v>1.2058937421657858</v>
          </cell>
        </row>
        <row r="159">
          <cell r="H159">
            <v>0.67074917248447075</v>
          </cell>
          <cell r="AD159">
            <v>2.1260636944233555E-2</v>
          </cell>
        </row>
        <row r="160">
          <cell r="H160">
            <v>3.2385294259532635</v>
          </cell>
          <cell r="AD160">
            <v>4.1274587924128893E-2</v>
          </cell>
        </row>
      </sheetData>
      <sheetData sheetId="39" refreshError="1"/>
      <sheetData sheetId="40">
        <row r="147">
          <cell r="B147">
            <v>2.6364718422641102</v>
          </cell>
          <cell r="T147">
            <v>51.699025058349832</v>
          </cell>
          <cell r="AF147">
            <v>60.952324939334659</v>
          </cell>
          <cell r="AJ147">
            <v>38.907451643223773</v>
          </cell>
          <cell r="BE147">
            <v>2.6364718422641102</v>
          </cell>
        </row>
        <row r="148">
          <cell r="B148">
            <v>2.088123588820042</v>
          </cell>
          <cell r="T148">
            <v>50.225238840493738</v>
          </cell>
          <cell r="AF148">
            <v>60.39023898524789</v>
          </cell>
          <cell r="AJ148">
            <v>38.318200645055015</v>
          </cell>
          <cell r="BE148">
            <v>2.088123588820042</v>
          </cell>
        </row>
        <row r="149">
          <cell r="B149">
            <v>0.72487445690386099</v>
          </cell>
          <cell r="T149">
            <v>1.9433754935600551</v>
          </cell>
          <cell r="AF149">
            <v>0.74521030182023129</v>
          </cell>
          <cell r="AJ149">
            <v>0.77529282850867631</v>
          </cell>
          <cell r="BE149">
            <v>0.72487445690386099</v>
          </cell>
        </row>
        <row r="150">
          <cell r="B150">
            <v>1.3405716880299723</v>
          </cell>
          <cell r="T150">
            <v>31.171703421386844</v>
          </cell>
          <cell r="AF150">
            <v>59.33432685116582</v>
          </cell>
          <cell r="AJ150">
            <v>24.699886666985829</v>
          </cell>
          <cell r="BE150">
            <v>1.3405716880299723</v>
          </cell>
        </row>
        <row r="151">
          <cell r="B151">
            <v>2.2677443886208647E-2</v>
          </cell>
          <cell r="T151">
            <v>17.110159925546839</v>
          </cell>
          <cell r="AF151">
            <v>0.310701832261844</v>
          </cell>
          <cell r="AJ151">
            <v>12.843021149560508</v>
          </cell>
          <cell r="BE151">
            <v>2.2677443886208647E-2</v>
          </cell>
        </row>
        <row r="152">
          <cell r="B152">
            <v>141.29098356912166</v>
          </cell>
          <cell r="T152">
            <v>1540.5483717078678</v>
          </cell>
          <cell r="AF152">
            <v>404.07514953492762</v>
          </cell>
          <cell r="AJ152">
            <v>1096.4613141041298</v>
          </cell>
          <cell r="BE152">
            <v>141.29098356912166</v>
          </cell>
        </row>
        <row r="154">
          <cell r="B154">
            <v>18.013929140109258</v>
          </cell>
          <cell r="T154">
            <v>846.11200216680379</v>
          </cell>
          <cell r="AF154">
            <v>730.08103420812517</v>
          </cell>
          <cell r="AJ154">
            <v>646.99772514048402</v>
          </cell>
          <cell r="BE154">
            <v>18.013929140109258</v>
          </cell>
        </row>
        <row r="155">
          <cell r="B155">
            <v>48.691457918151862</v>
          </cell>
          <cell r="T155">
            <v>984.4130011662071</v>
          </cell>
          <cell r="AF155">
            <v>2283.8314111800755</v>
          </cell>
          <cell r="AJ155">
            <v>835.5471536135426</v>
          </cell>
          <cell r="BE155">
            <v>48.691457918151862</v>
          </cell>
        </row>
        <row r="156">
          <cell r="B156">
            <v>100.30742943791151</v>
          </cell>
          <cell r="T156">
            <v>1441.5895692786014</v>
          </cell>
          <cell r="AF156">
            <v>3073.5820151486628</v>
          </cell>
          <cell r="AJ156">
            <v>1170.2795529204723</v>
          </cell>
          <cell r="BE156">
            <v>100.30742943791151</v>
          </cell>
        </row>
        <row r="157">
          <cell r="B157">
            <v>16.056839092527738</v>
          </cell>
          <cell r="T157">
            <v>118.78982533120535</v>
          </cell>
          <cell r="AF157">
            <v>178.77335374029866</v>
          </cell>
          <cell r="AJ157">
            <v>83.828398036640237</v>
          </cell>
          <cell r="BE157">
            <v>16.056839092527738</v>
          </cell>
        </row>
        <row r="158">
          <cell r="B158">
            <v>9.6384311519474348</v>
          </cell>
          <cell r="T158">
            <v>95.933231252537055</v>
          </cell>
          <cell r="AF158">
            <v>169.65316533457147</v>
          </cell>
          <cell r="AJ158">
            <v>72.240149797399781</v>
          </cell>
          <cell r="BE158">
            <v>9.6384311519474348</v>
          </cell>
        </row>
        <row r="159">
          <cell r="B159">
            <v>84.221921714843376</v>
          </cell>
          <cell r="T159">
            <v>586.81780644282935</v>
          </cell>
          <cell r="AF159">
            <v>679.22036202182142</v>
          </cell>
          <cell r="AJ159">
            <v>387.31790386698236</v>
          </cell>
          <cell r="BE159">
            <v>84.221921714843376</v>
          </cell>
        </row>
        <row r="160">
          <cell r="B160">
            <v>0.58808499161464722</v>
          </cell>
          <cell r="T160">
            <v>11.165059425994443</v>
          </cell>
          <cell r="AF160">
            <v>26.739053988852422</v>
          </cell>
          <cell r="AJ160">
            <v>9.454219512945258</v>
          </cell>
          <cell r="BE160">
            <v>0.58808499161464722</v>
          </cell>
        </row>
        <row r="161">
          <cell r="B161">
            <v>2.7991420846411841</v>
          </cell>
          <cell r="T161">
            <v>31.250656502180593</v>
          </cell>
          <cell r="AF161">
            <v>64.669354838838814</v>
          </cell>
          <cell r="AJ161">
            <v>24.748024737437266</v>
          </cell>
          <cell r="BE161">
            <v>2.7991420846411841</v>
          </cell>
        </row>
        <row r="162">
          <cell r="B162">
            <v>348.27024075492994</v>
          </cell>
          <cell r="T162">
            <v>6564.0736089543952</v>
          </cell>
          <cell r="AF162">
            <v>10949.111989471214</v>
          </cell>
          <cell r="AJ162">
            <v>5112.628749053506</v>
          </cell>
          <cell r="BE162">
            <v>348.27024075492994</v>
          </cell>
        </row>
        <row r="163">
          <cell r="B163">
            <v>3.1597881528542135</v>
          </cell>
          <cell r="T163">
            <v>27.712881670574507</v>
          </cell>
          <cell r="AF163">
            <v>81.817670530732585</v>
          </cell>
          <cell r="AJ163">
            <v>23.052392545257241</v>
          </cell>
          <cell r="BE163">
            <v>3.1597881528542135</v>
          </cell>
        </row>
        <row r="164">
          <cell r="B164">
            <v>153884.94054773616</v>
          </cell>
          <cell r="T164">
            <v>1773372.0129246025</v>
          </cell>
          <cell r="AF164">
            <v>3049563.8092327197</v>
          </cell>
          <cell r="AJ164">
            <v>961657.50852660066</v>
          </cell>
          <cell r="BE164">
            <v>153884.94054773616</v>
          </cell>
        </row>
        <row r="168">
          <cell r="B168">
            <v>1.123340165391536</v>
          </cell>
          <cell r="T168">
            <v>391.14053613353923</v>
          </cell>
          <cell r="AF168">
            <v>92.236403133069857</v>
          </cell>
          <cell r="AJ168">
            <v>292.50637471349972</v>
          </cell>
          <cell r="BE168">
            <v>1.123340165391536</v>
          </cell>
        </row>
        <row r="169">
          <cell r="B169">
            <v>8.2931406559794372</v>
          </cell>
          <cell r="T169">
            <v>219.98576463648351</v>
          </cell>
          <cell r="AF169">
            <v>125.91184020641307</v>
          </cell>
          <cell r="AJ169">
            <v>163.56548568441761</v>
          </cell>
          <cell r="BE169">
            <v>8.2931406559794372</v>
          </cell>
        </row>
        <row r="170">
          <cell r="B170">
            <v>24.769702479590872</v>
          </cell>
          <cell r="T170">
            <v>361.36482326231305</v>
          </cell>
          <cell r="AF170">
            <v>164.97012659154117</v>
          </cell>
          <cell r="AJ170">
            <v>255.03734294608418</v>
          </cell>
          <cell r="BE170">
            <v>24.769702479590872</v>
          </cell>
        </row>
        <row r="171">
          <cell r="B171">
            <v>3.3070345999703905</v>
          </cell>
          <cell r="T171">
            <v>41.07494706023909</v>
          </cell>
          <cell r="AF171">
            <v>7.3699047786546332</v>
          </cell>
          <cell r="AJ171">
            <v>27.634369770702303</v>
          </cell>
          <cell r="BE171">
            <v>3.3070345999703905</v>
          </cell>
        </row>
        <row r="172">
          <cell r="B172">
            <v>2.9079748813758655</v>
          </cell>
          <cell r="T172">
            <v>37.056148238730685</v>
          </cell>
          <cell r="AF172">
            <v>6.7474220828154472</v>
          </cell>
          <cell r="AJ172">
            <v>25.000352829601859</v>
          </cell>
          <cell r="BE172">
            <v>2.9079748813758655</v>
          </cell>
        </row>
        <row r="173">
          <cell r="B173">
            <v>24.610927516655124</v>
          </cell>
          <cell r="T173">
            <v>100.83295277123608</v>
          </cell>
          <cell r="AF173">
            <v>31.625829629732181</v>
          </cell>
          <cell r="AJ173">
            <v>52.66647133617515</v>
          </cell>
          <cell r="BE173">
            <v>24.610927516655124</v>
          </cell>
        </row>
        <row r="174">
          <cell r="B174">
            <v>0.14986516262158683</v>
          </cell>
          <cell r="T174">
            <v>3.077374146624734</v>
          </cell>
          <cell r="AF174">
            <v>0.46811574073818046</v>
          </cell>
          <cell r="AJ174">
            <v>2.166216636388504</v>
          </cell>
          <cell r="BE174">
            <v>0.14986516262158683</v>
          </cell>
        </row>
        <row r="175">
          <cell r="B175">
            <v>0.83169445589998869</v>
          </cell>
          <cell r="T175">
            <v>10.807742711940605</v>
          </cell>
          <cell r="AF175">
            <v>1.5823965087609191</v>
          </cell>
          <cell r="AJ175">
            <v>7.304668983264146</v>
          </cell>
          <cell r="BE175">
            <v>0.83169445589998869</v>
          </cell>
        </row>
        <row r="214">
          <cell r="N214">
            <v>48.608987838692599</v>
          </cell>
        </row>
        <row r="215">
          <cell r="N215">
            <v>48.419506943406986</v>
          </cell>
        </row>
        <row r="216">
          <cell r="N216">
            <v>0.23996072490507064</v>
          </cell>
        </row>
        <row r="217">
          <cell r="N217">
            <v>11.250489701406456</v>
          </cell>
        </row>
        <row r="218">
          <cell r="N218">
            <v>36.929056517095461</v>
          </cell>
        </row>
        <row r="219">
          <cell r="N219">
            <v>1092.3042318411799</v>
          </cell>
        </row>
        <row r="221">
          <cell r="N221">
            <v>452.30669609179438</v>
          </cell>
        </row>
        <row r="222">
          <cell r="N222">
            <v>592.00056561061285</v>
          </cell>
        </row>
        <row r="223">
          <cell r="N223">
            <v>820.32527122798558</v>
          </cell>
        </row>
        <row r="224">
          <cell r="N224">
            <v>75.624030509861214</v>
          </cell>
        </row>
        <row r="225">
          <cell r="N225">
            <v>66.003550590029022</v>
          </cell>
        </row>
        <row r="226">
          <cell r="N226">
            <v>295.61939852421051</v>
          </cell>
        </row>
        <row r="227">
          <cell r="N227">
            <v>7.4428086942570246</v>
          </cell>
        </row>
        <row r="228">
          <cell r="N228">
            <v>14.567934330529638</v>
          </cell>
        </row>
        <row r="229">
          <cell r="N229">
            <v>4841.4188563511771</v>
          </cell>
        </row>
        <row r="230">
          <cell r="N230">
            <v>10.782169963768833</v>
          </cell>
        </row>
        <row r="231">
          <cell r="N231">
            <v>663923.00877071545</v>
          </cell>
        </row>
        <row r="233">
          <cell r="N233">
            <v>202.77485925939601</v>
          </cell>
        </row>
        <row r="234">
          <cell r="N234">
            <v>145.15216224431077</v>
          </cell>
        </row>
        <row r="235">
          <cell r="N235">
            <v>194.65782667949108</v>
          </cell>
        </row>
        <row r="236">
          <cell r="N236">
            <v>39.011222083379792</v>
          </cell>
        </row>
        <row r="237">
          <cell r="N237">
            <v>34.461865530083934</v>
          </cell>
        </row>
        <row r="238">
          <cell r="N238">
            <v>84.308348060355456</v>
          </cell>
        </row>
        <row r="239">
          <cell r="N239">
            <v>2.6472596344498123</v>
          </cell>
        </row>
        <row r="240">
          <cell r="N240">
            <v>5.2853204874132356</v>
          </cell>
        </row>
      </sheetData>
      <sheetData sheetId="41">
        <row r="179">
          <cell r="B179">
            <v>8.8059798208622464</v>
          </cell>
          <cell r="C179">
            <v>3.6464433633775926</v>
          </cell>
          <cell r="D179">
            <v>3.3118142449363788</v>
          </cell>
          <cell r="E179">
            <v>7.7126941662541624</v>
          </cell>
          <cell r="F179">
            <v>10.753744951341078</v>
          </cell>
          <cell r="G179">
            <v>3.4375536712597441</v>
          </cell>
          <cell r="H179">
            <v>12.543521803387323</v>
          </cell>
          <cell r="I179">
            <v>4.3968238107912239</v>
          </cell>
          <cell r="J179">
            <v>5.017408721354931</v>
          </cell>
        </row>
        <row r="180">
          <cell r="B180">
            <v>7.9453756034729182</v>
          </cell>
          <cell r="C180">
            <v>2.8880355482295657</v>
          </cell>
          <cell r="D180">
            <v>2.6230044773408681</v>
          </cell>
          <cell r="E180">
            <v>6.1085646217558605</v>
          </cell>
          <cell r="F180">
            <v>8.5233759055065512</v>
          </cell>
          <cell r="G180">
            <v>2.7225919100384397</v>
          </cell>
          <cell r="H180">
            <v>9.9346495360399665</v>
          </cell>
          <cell r="I180">
            <v>3.4823476465860397</v>
          </cell>
          <cell r="J180">
            <v>3.9738598144159876</v>
          </cell>
        </row>
        <row r="181">
          <cell r="B181">
            <v>1.1376481493627471</v>
          </cell>
          <cell r="C181">
            <v>1.0025571334716477</v>
          </cell>
          <cell r="D181">
            <v>0.91055383701846537</v>
          </cell>
          <cell r="E181">
            <v>2.1205365843118331</v>
          </cell>
          <cell r="F181">
            <v>2.9483740808154275</v>
          </cell>
          <cell r="G181">
            <v>0.94512477265541883</v>
          </cell>
          <cell r="H181">
            <v>3.4487296276541386</v>
          </cell>
          <cell r="I181">
            <v>1.2088675558212083</v>
          </cell>
          <cell r="J181">
            <v>1.3794918510616556</v>
          </cell>
        </row>
        <row r="182">
          <cell r="B182">
            <v>6.7552419808132749</v>
          </cell>
          <cell r="C182">
            <v>1.8541137654445308</v>
          </cell>
          <cell r="D182">
            <v>1.6839642819638037</v>
          </cell>
          <cell r="E182">
            <v>3.9216877919830648</v>
          </cell>
          <cell r="F182">
            <v>5.4714129386544057</v>
          </cell>
          <cell r="G182">
            <v>1.7478992393929256</v>
          </cell>
          <cell r="H182">
            <v>6.3780276080502905</v>
          </cell>
          <cell r="I182">
            <v>2.2356610920376769</v>
          </cell>
          <cell r="J182">
            <v>2.5512110432201167</v>
          </cell>
        </row>
        <row r="183">
          <cell r="B183">
            <v>5.248547329689645E-2</v>
          </cell>
          <cell r="C183">
            <v>3.1364649313387033E-2</v>
          </cell>
          <cell r="D183">
            <v>2.8486358358599015E-2</v>
          </cell>
          <cell r="E183">
            <v>6.6340245460962677E-2</v>
          </cell>
          <cell r="F183">
            <v>0.1035888860367182</v>
          </cell>
          <cell r="G183">
            <v>2.956789799009512E-2</v>
          </cell>
          <cell r="H183">
            <v>0.10789230033553882</v>
          </cell>
          <cell r="I183">
            <v>3.7818998727154107E-2</v>
          </cell>
          <cell r="J183">
            <v>4.3156920134215536E-2</v>
          </cell>
        </row>
        <row r="184">
          <cell r="B184">
            <v>234.00451115639197</v>
          </cell>
          <cell r="C184">
            <v>195.41629881329291</v>
          </cell>
          <cell r="D184">
            <v>177.48321243721207</v>
          </cell>
          <cell r="E184">
            <v>413.33046962566902</v>
          </cell>
          <cell r="F184">
            <v>574.96853512887026</v>
          </cell>
          <cell r="G184">
            <v>184.22170549973941</v>
          </cell>
          <cell r="H184">
            <v>672.21902567309041</v>
          </cell>
          <cell r="I184">
            <v>235.62988644450445</v>
          </cell>
          <cell r="J184">
            <v>268.88761026923618</v>
          </cell>
        </row>
        <row r="186">
          <cell r="B186">
            <v>82.569512384024051</v>
          </cell>
          <cell r="C186">
            <v>24.914649687628035</v>
          </cell>
          <cell r="D186">
            <v>22.628266373691091</v>
          </cell>
          <cell r="E186">
            <v>52.697671169104233</v>
          </cell>
          <cell r="F186">
            <v>73.656124116125781</v>
          </cell>
          <cell r="G186">
            <v>23.487392224988607</v>
          </cell>
          <cell r="H186">
            <v>85.704732101212116</v>
          </cell>
          <cell r="I186">
            <v>30.041691058274516</v>
          </cell>
          <cell r="J186">
            <v>34.281892840484851</v>
          </cell>
        </row>
        <row r="187">
          <cell r="B187">
            <v>302.85593645914105</v>
          </cell>
          <cell r="C187">
            <v>67.344031797566956</v>
          </cell>
          <cell r="D187">
            <v>61.163962138724607</v>
          </cell>
          <cell r="E187">
            <v>142.44124189440888</v>
          </cell>
          <cell r="F187">
            <v>201.30101807729716</v>
          </cell>
          <cell r="G187">
            <v>63.48617013174416</v>
          </cell>
          <cell r="H187">
            <v>231.65897478751481</v>
          </cell>
          <cell r="I187">
            <v>81.202369820425574</v>
          </cell>
          <cell r="J187">
            <v>92.663589915005929</v>
          </cell>
        </row>
        <row r="188">
          <cell r="B188">
            <v>465.05778626967435</v>
          </cell>
          <cell r="C188">
            <v>138.73289086874223</v>
          </cell>
          <cell r="D188">
            <v>126.00156328623807</v>
          </cell>
          <cell r="E188">
            <v>293.4378108864442</v>
          </cell>
          <cell r="F188">
            <v>411.38326367622341</v>
          </cell>
          <cell r="G188">
            <v>130.78545607481539</v>
          </cell>
          <cell r="H188">
            <v>477.23188544114049</v>
          </cell>
          <cell r="I188">
            <v>167.28192847799397</v>
          </cell>
          <cell r="J188">
            <v>190.89275417645624</v>
          </cell>
        </row>
        <row r="189">
          <cell r="B189">
            <v>41.763147812206462</v>
          </cell>
          <cell r="C189">
            <v>22.207843606434519</v>
          </cell>
          <cell r="D189">
            <v>20.169860183152153</v>
          </cell>
          <cell r="E189">
            <v>46.972430052986915</v>
          </cell>
          <cell r="F189">
            <v>65.533456111367997</v>
          </cell>
          <cell r="G189">
            <v>20.935647893718862</v>
          </cell>
          <cell r="H189">
            <v>76.393499836372357</v>
          </cell>
          <cell r="I189">
            <v>26.777867040461647</v>
          </cell>
          <cell r="J189">
            <v>30.557399934548947</v>
          </cell>
        </row>
        <row r="190">
          <cell r="B190">
            <v>31.551478302608352</v>
          </cell>
          <cell r="C190">
            <v>13.33069170092422</v>
          </cell>
          <cell r="D190">
            <v>12.107352362407815</v>
          </cell>
          <cell r="E190">
            <v>28.196118208350839</v>
          </cell>
          <cell r="F190">
            <v>39.423217775693203</v>
          </cell>
          <cell r="G190">
            <v>12.567031386577616</v>
          </cell>
          <cell r="H190">
            <v>45.856689749842211</v>
          </cell>
          <cell r="I190">
            <v>16.073937490324646</v>
          </cell>
          <cell r="J190">
            <v>18.342675899936886</v>
          </cell>
        </row>
        <row r="191">
          <cell r="B191">
            <v>179.91388317307005</v>
          </cell>
          <cell r="C191">
            <v>116.48539634099107</v>
          </cell>
          <cell r="D191">
            <v>105.79569089256864</v>
          </cell>
          <cell r="E191">
            <v>246.38151406273028</v>
          </cell>
          <cell r="F191">
            <v>342.96199822536494</v>
          </cell>
          <cell r="G191">
            <v>109.81242869743041</v>
          </cell>
          <cell r="H191">
            <v>400.70198908177406</v>
          </cell>
          <cell r="I191">
            <v>140.45625098290805</v>
          </cell>
          <cell r="J191">
            <v>160.28079563270964</v>
          </cell>
        </row>
        <row r="192">
          <cell r="B192">
            <v>3.7946313439166111</v>
          </cell>
          <cell r="C192">
            <v>0.81336678071010426</v>
          </cell>
          <cell r="D192">
            <v>0.7387252240820914</v>
          </cell>
          <cell r="E192">
            <v>1.7203747870080792</v>
          </cell>
          <cell r="F192">
            <v>2.5050640057020352</v>
          </cell>
          <cell r="G192">
            <v>0.76677235445140535</v>
          </cell>
          <cell r="H192">
            <v>2.797927440874302</v>
          </cell>
          <cell r="I192">
            <v>0.98074481678504244</v>
          </cell>
          <cell r="J192">
            <v>1.1191709763497208</v>
          </cell>
        </row>
        <row r="193">
          <cell r="B193">
            <v>11.350686821153074</v>
          </cell>
          <cell r="C193">
            <v>3.8714288216806527</v>
          </cell>
          <cell r="D193">
            <v>3.5161530955531179</v>
          </cell>
          <cell r="E193">
            <v>8.1885671906849407</v>
          </cell>
          <cell r="F193">
            <v>11.447271117597962</v>
          </cell>
          <cell r="G193">
            <v>3.6496506411283129</v>
          </cell>
          <cell r="H193">
            <v>13.317456764235169</v>
          </cell>
          <cell r="I193">
            <v>4.6681077226939127</v>
          </cell>
          <cell r="J193">
            <v>5.3269827056940686</v>
          </cell>
        </row>
        <row r="194">
          <cell r="B194">
            <v>1466.7247593123452</v>
          </cell>
          <cell r="C194">
            <v>481.68453298258765</v>
          </cell>
          <cell r="D194">
            <v>437.48100242523117</v>
          </cell>
          <cell r="E194">
            <v>1018.824404300768</v>
          </cell>
          <cell r="F194">
            <v>1420.3021596961446</v>
          </cell>
          <cell r="G194">
            <v>454.09081390738942</v>
          </cell>
          <cell r="H194">
            <v>1656.9626454378779</v>
          </cell>
          <cell r="I194">
            <v>580.8076015051447</v>
          </cell>
          <cell r="J194">
            <v>662.78505817515122</v>
          </cell>
        </row>
        <row r="195">
          <cell r="B195">
            <v>14.14319593082873</v>
          </cell>
          <cell r="C195">
            <v>4.3702300760245194</v>
          </cell>
          <cell r="D195">
            <v>3.9691800412391771</v>
          </cell>
          <cell r="E195">
            <v>9.2435956502342869</v>
          </cell>
          <cell r="F195">
            <v>12.96216399912517</v>
          </cell>
          <cell r="G195">
            <v>4.1198776300676094</v>
          </cell>
          <cell r="H195">
            <v>15.033299788771775</v>
          </cell>
          <cell r="I195">
            <v>5.269554396452258</v>
          </cell>
          <cell r="J195">
            <v>6.0133199155087107</v>
          </cell>
        </row>
        <row r="196">
          <cell r="B196">
            <v>518424.56488374178</v>
          </cell>
          <cell r="C196">
            <v>212834.71008063818</v>
          </cell>
          <cell r="D196">
            <v>193303.15993419473</v>
          </cell>
          <cell r="E196">
            <v>450172.63761772355</v>
          </cell>
          <cell r="F196">
            <v>628023.23142349732</v>
          </cell>
          <cell r="G196">
            <v>200642.28786800985</v>
          </cell>
          <cell r="H196">
            <v>732137.1979136524</v>
          </cell>
          <cell r="I196">
            <v>256632.73162114772</v>
          </cell>
          <cell r="J196">
            <v>292854.879165461</v>
          </cell>
        </row>
        <row r="198">
          <cell r="B198">
            <v>4.293312532984972</v>
          </cell>
          <cell r="C198">
            <v>1.5536658595184474</v>
          </cell>
          <cell r="D198">
            <v>1.4110880692956755</v>
          </cell>
          <cell r="E198">
            <v>3.2862020376800083</v>
          </cell>
          <cell r="F198">
            <v>4.6137372696798424</v>
          </cell>
          <cell r="G198">
            <v>1.4646627541066566</v>
          </cell>
          <cell r="H198">
            <v>5.3445068638051145</v>
          </cell>
          <cell r="I198">
            <v>1.8733857527452693</v>
          </cell>
          <cell r="J198">
            <v>2.1378027455220461</v>
          </cell>
        </row>
        <row r="199">
          <cell r="B199">
            <v>25.155850619648302</v>
          </cell>
          <cell r="C199">
            <v>11.470051461116174</v>
          </cell>
          <cell r="D199">
            <v>10.4174605317034</v>
          </cell>
          <cell r="E199">
            <v>24.260626088222921</v>
          </cell>
          <cell r="F199">
            <v>33.764536840388203</v>
          </cell>
          <cell r="G199">
            <v>10.812979547603957</v>
          </cell>
          <cell r="H199">
            <v>39.456211505563701</v>
          </cell>
          <cell r="I199">
            <v>13.830406878587246</v>
          </cell>
          <cell r="J199">
            <v>15.782484602225482</v>
          </cell>
        </row>
        <row r="200">
          <cell r="B200">
            <v>53.178488012915018</v>
          </cell>
          <cell r="C200">
            <v>34.258403891003375</v>
          </cell>
          <cell r="D200">
            <v>31.114557037824532</v>
          </cell>
          <cell r="E200">
            <v>72.460906561449292</v>
          </cell>
          <cell r="F200">
            <v>100.79106724085221</v>
          </cell>
          <cell r="G200">
            <v>32.295881309928099</v>
          </cell>
          <cell r="H200">
            <v>117.84662295097657</v>
          </cell>
          <cell r="I200">
            <v>41.308242289040777</v>
          </cell>
          <cell r="J200">
            <v>47.13864918039063</v>
          </cell>
        </row>
        <row r="201">
          <cell r="B201">
            <v>5.2330979261734818</v>
          </cell>
          <cell r="C201">
            <v>4.5738832390359709</v>
          </cell>
          <cell r="D201">
            <v>4.1541442321166526</v>
          </cell>
          <cell r="E201">
            <v>9.6743481412979957</v>
          </cell>
          <cell r="F201">
            <v>13.458617174544822</v>
          </cell>
          <cell r="G201">
            <v>4.3118643438075477</v>
          </cell>
          <cell r="H201">
            <v>15.733853077551434</v>
          </cell>
          <cell r="I201">
            <v>5.5151161636429284</v>
          </cell>
          <cell r="J201">
            <v>6.2935412310205745</v>
          </cell>
        </row>
        <row r="202">
          <cell r="B202">
            <v>4.604367641493913</v>
          </cell>
          <cell r="C202">
            <v>4.0219529513183119</v>
          </cell>
          <cell r="D202">
            <v>3.6528638317590674</v>
          </cell>
          <cell r="E202">
            <v>8.5069449799018582</v>
          </cell>
          <cell r="F202">
            <v>11.834436566335011</v>
          </cell>
          <cell r="G202">
            <v>3.7915518645631474</v>
          </cell>
          <cell r="H202">
            <v>13.835249724084404</v>
          </cell>
          <cell r="I202">
            <v>4.849607340632982</v>
          </cell>
          <cell r="J202">
            <v>5.5340998896337625</v>
          </cell>
        </row>
        <row r="203">
          <cell r="B203">
            <v>39.107139990076561</v>
          </cell>
          <cell r="C203">
            <v>34.038805903804551</v>
          </cell>
          <cell r="D203">
            <v>30.915111257459859</v>
          </cell>
          <cell r="E203">
            <v>71.996428727568798</v>
          </cell>
          <cell r="F203">
            <v>100.12263885387492</v>
          </cell>
          <cell r="G203">
            <v>32.08886318517726</v>
          </cell>
          <cell r="H203">
            <v>117.09122053116302</v>
          </cell>
          <cell r="I203">
            <v>41.043454504698701</v>
          </cell>
          <cell r="J203">
            <v>46.836488212465213</v>
          </cell>
        </row>
        <row r="204">
          <cell r="B204">
            <v>0.24390020682632096</v>
          </cell>
          <cell r="C204">
            <v>0.20727504799508703</v>
          </cell>
          <cell r="D204">
            <v>0.18825370043157794</v>
          </cell>
          <cell r="E204">
            <v>0.43841324111530366</v>
          </cell>
          <cell r="F204">
            <v>0.6102103647361643</v>
          </cell>
          <cell r="G204">
            <v>0.19540111587968439</v>
          </cell>
          <cell r="H204">
            <v>0.71301233139578046</v>
          </cell>
          <cell r="I204">
            <v>0.24992897889507715</v>
          </cell>
          <cell r="J204">
            <v>0.2852049325583122</v>
          </cell>
        </row>
        <row r="205">
          <cell r="B205">
            <v>1.3201585335840009</v>
          </cell>
          <cell r="C205">
            <v>1.1502974090062921</v>
          </cell>
          <cell r="D205">
            <v>1.0447361896036012</v>
          </cell>
          <cell r="E205">
            <v>2.4330261659905053</v>
          </cell>
          <cell r="F205">
            <v>3.3837260522898593</v>
          </cell>
          <cell r="G205">
            <v>1.0844016175003699</v>
          </cell>
          <cell r="H205">
            <v>3.9569463151857152</v>
          </cell>
          <cell r="I205">
            <v>1.3870104464547504</v>
          </cell>
          <cell r="J205">
            <v>1.5827785260742862</v>
          </cell>
        </row>
        <row r="212">
          <cell r="B212">
            <v>77.596002766837358</v>
          </cell>
          <cell r="C212">
            <v>62.979293750163698</v>
          </cell>
          <cell r="D212">
            <v>72.636124227315989</v>
          </cell>
          <cell r="E212">
            <v>72.945438586366762</v>
          </cell>
          <cell r="F212">
            <v>55.116158403378762</v>
          </cell>
          <cell r="G212">
            <v>60.495420518881886</v>
          </cell>
          <cell r="H212">
            <v>58.475027449034584</v>
          </cell>
          <cell r="I212">
            <v>94.835418546299437</v>
          </cell>
          <cell r="J212">
            <v>106.69727724580859</v>
          </cell>
          <cell r="K212">
            <v>83.806441045614477</v>
          </cell>
          <cell r="N212">
            <v>53.405756763063579</v>
          </cell>
          <cell r="O212">
            <v>52.602346934212065</v>
          </cell>
          <cell r="P212">
            <v>63.70823245041985</v>
          </cell>
          <cell r="Q212">
            <v>60.864149838191082</v>
          </cell>
          <cell r="R212">
            <v>43.693649474888339</v>
          </cell>
        </row>
        <row r="213">
          <cell r="B213">
            <v>76.019223109284738</v>
          </cell>
          <cell r="C213">
            <v>62.638714253519275</v>
          </cell>
          <cell r="D213">
            <v>71.837434091175652</v>
          </cell>
          <cell r="E213">
            <v>72.136632449425576</v>
          </cell>
          <cell r="F213">
            <v>54.577705008166838</v>
          </cell>
          <cell r="G213">
            <v>59.469483527358612</v>
          </cell>
          <cell r="H213">
            <v>58.01683403337973</v>
          </cell>
          <cell r="I213">
            <v>92.997799235024047</v>
          </cell>
          <cell r="J213">
            <v>103.58809836007964</v>
          </cell>
          <cell r="K213">
            <v>81.221371877609286</v>
          </cell>
          <cell r="N213">
            <v>51.871761584385574</v>
          </cell>
          <cell r="O213">
            <v>52.16476399272878</v>
          </cell>
          <cell r="P213">
            <v>61.67652243984417</v>
          </cell>
          <cell r="Q213">
            <v>59.0329682131322</v>
          </cell>
          <cell r="R213">
            <v>42.557047017601541</v>
          </cell>
        </row>
        <row r="214">
          <cell r="B214">
            <v>3.417115781505375</v>
          </cell>
          <cell r="C214">
            <v>0.44682276214470279</v>
          </cell>
          <cell r="D214">
            <v>1.0477263686195526</v>
          </cell>
          <cell r="E214">
            <v>1.0611379491911492</v>
          </cell>
          <cell r="F214">
            <v>0.7073815194525136</v>
          </cell>
          <cell r="G214">
            <v>1.3499989517115407</v>
          </cell>
          <cell r="H214">
            <v>0.60349225690286623</v>
          </cell>
          <cell r="I214">
            <v>2.4206545092788616</v>
          </cell>
          <cell r="J214">
            <v>4.100810724512451</v>
          </cell>
          <cell r="K214">
            <v>3.7909231923750908</v>
          </cell>
          <cell r="N214">
            <v>2.0378089343867281</v>
          </cell>
          <cell r="O214">
            <v>0.56778319866556093</v>
          </cell>
          <cell r="P214">
            <v>3.4696300215726423</v>
          </cell>
          <cell r="Q214">
            <v>3.5131666771556751</v>
          </cell>
          <cell r="R214">
            <v>1.9420812818191651</v>
          </cell>
        </row>
        <row r="215">
          <cell r="B215">
            <v>48.288034134584244</v>
          </cell>
          <cell r="C215">
            <v>50.25288669520193</v>
          </cell>
          <cell r="D215">
            <v>42.3916991507528</v>
          </cell>
          <cell r="E215">
            <v>42.813966267291484</v>
          </cell>
          <cell r="F215">
            <v>32.583886381291208</v>
          </cell>
          <cell r="G215">
            <v>36.274767143994822</v>
          </cell>
          <cell r="H215">
            <v>49.656630973943741</v>
          </cell>
          <cell r="I215">
            <v>60.532856259368423</v>
          </cell>
          <cell r="J215">
            <v>66.763787738480616</v>
          </cell>
          <cell r="K215">
            <v>43.479916587501172</v>
          </cell>
          <cell r="N215">
            <v>22.555822954669768</v>
          </cell>
          <cell r="O215">
            <v>14.133048311354559</v>
          </cell>
          <cell r="P215">
            <v>43.829135106879463</v>
          </cell>
          <cell r="Q215">
            <v>38.220669919513377</v>
          </cell>
          <cell r="R215">
            <v>36.875975045381331</v>
          </cell>
        </row>
        <row r="216">
          <cell r="B216">
            <v>24.314073193195135</v>
          </cell>
          <cell r="C216">
            <v>11.93900479617264</v>
          </cell>
          <cell r="D216">
            <v>28.398008571803306</v>
          </cell>
          <cell r="E216">
            <v>28.26152823294294</v>
          </cell>
          <cell r="F216">
            <v>21.286437107423122</v>
          </cell>
          <cell r="G216">
            <v>21.844717431652249</v>
          </cell>
          <cell r="H216">
            <v>7.7567108025331271</v>
          </cell>
          <cell r="I216">
            <v>30.044288466376766</v>
          </cell>
          <cell r="J216">
            <v>32.723499897086583</v>
          </cell>
          <cell r="K216">
            <v>33.950532097733003</v>
          </cell>
          <cell r="N216">
            <v>27.278129695329078</v>
          </cell>
          <cell r="O216">
            <v>37.463932482708664</v>
          </cell>
          <cell r="P216">
            <v>14.377757311392077</v>
          </cell>
          <cell r="Q216">
            <v>17.299131616463178</v>
          </cell>
          <cell r="R216">
            <v>3.7389906904010561</v>
          </cell>
        </row>
        <row r="217">
          <cell r="B217">
            <v>925.77206066942119</v>
          </cell>
          <cell r="C217">
            <v>411.61982043953935</v>
          </cell>
          <cell r="D217">
            <v>778.8982296233421</v>
          </cell>
          <cell r="E217">
            <v>780.35365981645396</v>
          </cell>
          <cell r="F217">
            <v>1583.0968805571597</v>
          </cell>
          <cell r="G217">
            <v>1735.7790550806708</v>
          </cell>
          <cell r="H217">
            <v>371.0281925820438</v>
          </cell>
          <cell r="I217">
            <v>1133.9290671771985</v>
          </cell>
          <cell r="J217">
            <v>1508.3181621414242</v>
          </cell>
          <cell r="K217">
            <v>1333.2425902618934</v>
          </cell>
          <cell r="N217">
            <v>1154.1270702066618</v>
          </cell>
          <cell r="O217">
            <v>1176.4396771196859</v>
          </cell>
          <cell r="P217">
            <v>867.93046109540501</v>
          </cell>
          <cell r="Q217">
            <v>855.24335630167468</v>
          </cell>
          <cell r="R217">
            <v>443.56600092969427</v>
          </cell>
        </row>
        <row r="219">
          <cell r="B219">
            <v>1072.5750604791422</v>
          </cell>
          <cell r="C219">
            <v>1169.6933939384749</v>
          </cell>
          <cell r="D219">
            <v>908.22783480577266</v>
          </cell>
          <cell r="E219">
            <v>928.99198589672585</v>
          </cell>
          <cell r="F219">
            <v>1637.899327673397</v>
          </cell>
          <cell r="G219">
            <v>1711.9795932102829</v>
          </cell>
          <cell r="H219">
            <v>1209.9568615935639</v>
          </cell>
          <cell r="I219">
            <v>823.98839132469152</v>
          </cell>
          <cell r="J219">
            <v>893.71521159902329</v>
          </cell>
          <cell r="K219">
            <v>637.81578996464964</v>
          </cell>
          <cell r="N219">
            <v>1099.5771058228208</v>
          </cell>
          <cell r="O219">
            <v>1026.7477614685836</v>
          </cell>
          <cell r="P219">
            <v>886.82080714438507</v>
          </cell>
          <cell r="Q219">
            <v>1010.7455185324339</v>
          </cell>
          <cell r="R219">
            <v>730.33526161501493</v>
          </cell>
        </row>
        <row r="220">
          <cell r="B220">
            <v>10431.173006416149</v>
          </cell>
          <cell r="C220">
            <v>5167.4529591078945</v>
          </cell>
          <cell r="D220">
            <v>11043.546708857215</v>
          </cell>
          <cell r="E220">
            <v>11001.926984330334</v>
          </cell>
          <cell r="F220">
            <v>3636.331937273399</v>
          </cell>
          <cell r="G220">
            <v>3803.0300771803068</v>
          </cell>
          <cell r="H220">
            <v>4407.4103979428874</v>
          </cell>
          <cell r="I220">
            <v>8274.1637983886358</v>
          </cell>
          <cell r="J220">
            <v>4876.8701831040389</v>
          </cell>
          <cell r="K220">
            <v>2437.865480320796</v>
          </cell>
          <cell r="N220">
            <v>13108.552804620305</v>
          </cell>
          <cell r="O220">
            <v>5978.1339907268557</v>
          </cell>
          <cell r="P220">
            <v>6259.5455042627036</v>
          </cell>
          <cell r="Q220">
            <v>7065.274820424831</v>
          </cell>
          <cell r="R220">
            <v>2749.2197691929387</v>
          </cell>
        </row>
        <row r="221">
          <cell r="B221">
            <v>3815.3709824858011</v>
          </cell>
          <cell r="C221">
            <v>2177.9182493251124</v>
          </cell>
          <cell r="D221">
            <v>3105.0183854301895</v>
          </cell>
          <cell r="E221">
            <v>3102.5331459813833</v>
          </cell>
          <cell r="F221">
            <v>1429.7453983134715</v>
          </cell>
          <cell r="G221">
            <v>1663.4763787485654</v>
          </cell>
          <cell r="H221">
            <v>2253.5867879032157</v>
          </cell>
          <cell r="I221">
            <v>13192.507699890419</v>
          </cell>
          <cell r="J221">
            <v>7280.2928113699181</v>
          </cell>
          <cell r="K221">
            <v>4296.1494981184569</v>
          </cell>
          <cell r="N221">
            <v>1760.0178594008939</v>
          </cell>
          <cell r="O221">
            <v>1153.3314026523449</v>
          </cell>
          <cell r="P221">
            <v>3395.45439002701</v>
          </cell>
          <cell r="Q221">
            <v>3482.507244704655</v>
          </cell>
          <cell r="R221">
            <v>2093.5593264302211</v>
          </cell>
        </row>
        <row r="222">
          <cell r="B222">
            <v>257.17103835173839</v>
          </cell>
          <cell r="C222">
            <v>157.33458819847166</v>
          </cell>
          <cell r="D222">
            <v>220.59517501989092</v>
          </cell>
          <cell r="E222">
            <v>232.84652993154376</v>
          </cell>
          <cell r="F222">
            <v>225.68249123896294</v>
          </cell>
          <cell r="G222">
            <v>239.95207481146983</v>
          </cell>
          <cell r="H222">
            <v>180.14742248702572</v>
          </cell>
          <cell r="I222">
            <v>786.69572361256792</v>
          </cell>
          <cell r="J222">
            <v>798.4398019557874</v>
          </cell>
          <cell r="K222">
            <v>461.54047377038876</v>
          </cell>
          <cell r="N222">
            <v>138.4989131359867</v>
          </cell>
          <cell r="O222">
            <v>182.15494606842441</v>
          </cell>
          <cell r="P222">
            <v>362.74389893072396</v>
          </cell>
          <cell r="Q222">
            <v>369.50722012301173</v>
          </cell>
          <cell r="R222">
            <v>166.73613558478317</v>
          </cell>
        </row>
        <row r="223">
          <cell r="B223">
            <v>146.59659053362094</v>
          </cell>
          <cell r="C223">
            <v>65.538664897845123</v>
          </cell>
          <cell r="D223">
            <v>142.61957450893274</v>
          </cell>
          <cell r="E223">
            <v>141.81902333144109</v>
          </cell>
          <cell r="F223">
            <v>96.321864066449635</v>
          </cell>
          <cell r="G223">
            <v>107.89660375880001</v>
          </cell>
          <cell r="H223">
            <v>77.506565042354822</v>
          </cell>
          <cell r="I223">
            <v>417.86211830165456</v>
          </cell>
          <cell r="J223">
            <v>486.93910795859205</v>
          </cell>
          <cell r="K223">
            <v>303.05868170062172</v>
          </cell>
          <cell r="N223">
            <v>99.218458634706479</v>
          </cell>
          <cell r="O223">
            <v>78.754610373610433</v>
          </cell>
          <cell r="P223">
            <v>189.87414962075928</v>
          </cell>
          <cell r="Q223">
            <v>203.64297246712374</v>
          </cell>
          <cell r="R223">
            <v>94.833734449033514</v>
          </cell>
        </row>
        <row r="224">
          <cell r="B224">
            <v>16597.898086344059</v>
          </cell>
          <cell r="C224">
            <v>20729.440761920367</v>
          </cell>
          <cell r="D224">
            <v>13102.125124166721</v>
          </cell>
          <cell r="E224">
            <v>13566.498511051901</v>
          </cell>
          <cell r="F224">
            <v>21638.48273409441</v>
          </cell>
          <cell r="G224">
            <v>22194.185450956553</v>
          </cell>
          <cell r="H224">
            <v>22020.523573883103</v>
          </cell>
          <cell r="I224">
            <v>3012.6763872940687</v>
          </cell>
          <cell r="J224">
            <v>2898.529209542115</v>
          </cell>
          <cell r="K224">
            <v>1925.9980994738269</v>
          </cell>
          <cell r="N224">
            <v>6960.7542898320226</v>
          </cell>
          <cell r="O224">
            <v>17958.647992426846</v>
          </cell>
          <cell r="P224">
            <v>12309.143800506332</v>
          </cell>
          <cell r="Q224">
            <v>11211.797079327558</v>
          </cell>
          <cell r="R224">
            <v>10435.593050640837</v>
          </cell>
        </row>
        <row r="225">
          <cell r="B225">
            <v>21.178309469327107</v>
          </cell>
          <cell r="C225">
            <v>10.786085867444674</v>
          </cell>
          <cell r="D225">
            <v>22.168165223579688</v>
          </cell>
          <cell r="E225">
            <v>22.007590213419547</v>
          </cell>
          <cell r="F225">
            <v>10.509779918393727</v>
          </cell>
          <cell r="G225">
            <v>12.55249453109532</v>
          </cell>
          <cell r="H225">
            <v>12.395123618006286</v>
          </cell>
          <cell r="I225">
            <v>43.643321042198757</v>
          </cell>
          <cell r="J225">
            <v>41.982220320610587</v>
          </cell>
          <cell r="K225">
            <v>33.740891196167524</v>
          </cell>
          <cell r="N225">
            <v>13.428910421510084</v>
          </cell>
          <cell r="O225">
            <v>9.1221949498168726</v>
          </cell>
          <cell r="P225">
            <v>30.13483392693913</v>
          </cell>
          <cell r="Q225">
            <v>31.268836054827844</v>
          </cell>
          <cell r="R225">
            <v>16.847786393199371</v>
          </cell>
        </row>
        <row r="226">
          <cell r="B226">
            <v>46.161761399754994</v>
          </cell>
          <cell r="C226">
            <v>20.200974888194303</v>
          </cell>
          <cell r="D226">
            <v>44.835883118395671</v>
          </cell>
          <cell r="E226">
            <v>44.396992632785867</v>
          </cell>
          <cell r="F226">
            <v>27.427262191223573</v>
          </cell>
          <cell r="G226">
            <v>33.59585246534774</v>
          </cell>
          <cell r="H226">
            <v>24.832385365394536</v>
          </cell>
          <cell r="I226">
            <v>83.859532982616457</v>
          </cell>
          <cell r="J226">
            <v>86.813069309965158</v>
          </cell>
          <cell r="K226">
            <v>71.984427860446885</v>
          </cell>
          <cell r="N226">
            <v>33.012344452647227</v>
          </cell>
          <cell r="O226">
            <v>19.203472284022059</v>
          </cell>
          <cell r="P226">
            <v>49.919664798501678</v>
          </cell>
          <cell r="Q226">
            <v>50.004905116827658</v>
          </cell>
          <cell r="R226">
            <v>34.452572532599923</v>
          </cell>
        </row>
        <row r="227">
          <cell r="B227">
            <v>22086.564407846585</v>
          </cell>
          <cell r="C227">
            <v>23207.391895019195</v>
          </cell>
          <cell r="D227">
            <v>19333.504909065399</v>
          </cell>
          <cell r="E227">
            <v>19678.8612671023</v>
          </cell>
          <cell r="F227">
            <v>19522.613584419491</v>
          </cell>
          <cell r="G227">
            <v>20542.488448566037</v>
          </cell>
          <cell r="H227">
            <v>23353.996186961369</v>
          </cell>
          <cell r="I227">
            <v>16947.171427196929</v>
          </cell>
          <cell r="J227">
            <v>18349.837144306286</v>
          </cell>
          <cell r="K227">
            <v>11811.085872045223</v>
          </cell>
          <cell r="N227">
            <v>12309.514322144076</v>
          </cell>
          <cell r="O227">
            <v>16643.834771552109</v>
          </cell>
          <cell r="P227">
            <v>17938.836369708763</v>
          </cell>
          <cell r="Q227">
            <v>15834.318939663332</v>
          </cell>
          <cell r="R227">
            <v>13729.907097186462</v>
          </cell>
        </row>
        <row r="228">
          <cell r="B228">
            <v>83.626137691925166</v>
          </cell>
          <cell r="C228">
            <v>71.319232955989307</v>
          </cell>
          <cell r="D228">
            <v>74.740080417744096</v>
          </cell>
          <cell r="E228">
            <v>75.115558765624598</v>
          </cell>
          <cell r="F228">
            <v>20.496995900226466</v>
          </cell>
          <cell r="G228">
            <v>28.901155780998753</v>
          </cell>
          <cell r="H228">
            <v>88.537631970868759</v>
          </cell>
          <cell r="I228">
            <v>7943.4522378824695</v>
          </cell>
          <cell r="J228">
            <v>801.49833896299094</v>
          </cell>
          <cell r="K228">
            <v>99.534724183859737</v>
          </cell>
          <cell r="N228">
            <v>34.356532086627169</v>
          </cell>
          <cell r="O228">
            <v>20.625336465390895</v>
          </cell>
          <cell r="P228">
            <v>82.263218165689466</v>
          </cell>
          <cell r="Q228">
            <v>73.206095531316436</v>
          </cell>
          <cell r="R228">
            <v>62.566806143576542</v>
          </cell>
        </row>
        <row r="229">
          <cell r="B229">
            <v>2324182.7836142015</v>
          </cell>
          <cell r="C229">
            <v>886870.58675922733</v>
          </cell>
          <cell r="D229">
            <v>2165261.1188676115</v>
          </cell>
          <cell r="E229">
            <v>2136644.9432889167</v>
          </cell>
          <cell r="F229">
            <v>1086767.4185633152</v>
          </cell>
          <cell r="G229">
            <v>1369697.1160907259</v>
          </cell>
          <cell r="H229">
            <v>1133381.4333114787</v>
          </cell>
          <cell r="I229">
            <v>5262206.7510018079</v>
          </cell>
          <cell r="J229">
            <v>5122459.5100147333</v>
          </cell>
          <cell r="K229">
            <v>3513639.7864607051</v>
          </cell>
          <cell r="N229">
            <v>1653963.355946966</v>
          </cell>
          <cell r="O229">
            <v>942362.83074902557</v>
          </cell>
          <cell r="P229">
            <v>2471400.1020670705</v>
          </cell>
          <cell r="Q229">
            <v>2343833.9073217441</v>
          </cell>
          <cell r="R229">
            <v>1561630.5646125549</v>
          </cell>
        </row>
        <row r="233">
          <cell r="B233">
            <v>44.729627911165764</v>
          </cell>
          <cell r="C233">
            <v>35.776296504106853</v>
          </cell>
          <cell r="D233">
            <v>44.000026937774777</v>
          </cell>
          <cell r="E233">
            <v>44.202869875921479</v>
          </cell>
          <cell r="F233">
            <v>517.06142660286662</v>
          </cell>
          <cell r="G233">
            <v>527.91578833979179</v>
          </cell>
          <cell r="H233">
            <v>33.118511484758663</v>
          </cell>
          <cell r="I233">
            <v>71.201311593161435</v>
          </cell>
          <cell r="J233">
            <v>73.788639163919953</v>
          </cell>
          <cell r="K233">
            <v>57.703785432624599</v>
          </cell>
          <cell r="N233">
            <v>456.96677060960025</v>
          </cell>
          <cell r="O233">
            <v>234.28055389653952</v>
          </cell>
          <cell r="P233">
            <v>39.80096324264872</v>
          </cell>
          <cell r="Q233">
            <v>44.320443774148771</v>
          </cell>
          <cell r="R233">
            <v>23.932689819364011</v>
          </cell>
        </row>
        <row r="234">
          <cell r="B234">
            <v>143.84454809409422</v>
          </cell>
          <cell r="C234">
            <v>135.82436076403098</v>
          </cell>
          <cell r="D234">
            <v>122.40873418634744</v>
          </cell>
          <cell r="E234">
            <v>123.62482590437509</v>
          </cell>
          <cell r="F234">
            <v>381.84575419028141</v>
          </cell>
          <cell r="G234">
            <v>401.52200755860804</v>
          </cell>
          <cell r="H234">
            <v>134.9035505415435</v>
          </cell>
          <cell r="I234">
            <v>190.41111109204127</v>
          </cell>
          <cell r="J234">
            <v>215.68635180040062</v>
          </cell>
          <cell r="K234">
            <v>147.72107609214206</v>
          </cell>
          <cell r="N234">
            <v>746.43264398040901</v>
          </cell>
          <cell r="O234">
            <v>421.22457650369154</v>
          </cell>
          <cell r="P234">
            <v>137.45176061282913</v>
          </cell>
          <cell r="Q234">
            <v>122.65184306621624</v>
          </cell>
          <cell r="R234">
            <v>106.99043178030662</v>
          </cell>
        </row>
        <row r="235">
          <cell r="B235">
            <v>216.68556337037418</v>
          </cell>
          <cell r="C235">
            <v>171.07090081346419</v>
          </cell>
          <cell r="D235">
            <v>170.51615603261664</v>
          </cell>
          <cell r="E235">
            <v>172.22355423821122</v>
          </cell>
          <cell r="F235">
            <v>388.91503286390707</v>
          </cell>
          <cell r="G235">
            <v>426.32578812345128</v>
          </cell>
          <cell r="H235">
            <v>172.66215015294054</v>
          </cell>
          <cell r="I235">
            <v>283.83568754834812</v>
          </cell>
          <cell r="J235">
            <v>347.78985469738024</v>
          </cell>
          <cell r="K235">
            <v>252.53873568511889</v>
          </cell>
          <cell r="N235">
            <v>252.79942645129211</v>
          </cell>
          <cell r="O235">
            <v>225.33558249599182</v>
          </cell>
          <cell r="P235">
            <v>221.00910868907675</v>
          </cell>
          <cell r="Q235">
            <v>198.97970415323681</v>
          </cell>
          <cell r="R235">
            <v>157.85810710229711</v>
          </cell>
        </row>
        <row r="236">
          <cell r="B236">
            <v>10.885414883203552</v>
          </cell>
          <cell r="C236">
            <v>2.8772333674172286</v>
          </cell>
          <cell r="D236">
            <v>6.3588347861924666</v>
          </cell>
          <cell r="E236">
            <v>6.4365186564479959</v>
          </cell>
          <cell r="F236">
            <v>50.088318296896603</v>
          </cell>
          <cell r="G236">
            <v>53.632964558696393</v>
          </cell>
          <cell r="H236">
            <v>3.5222059766445937</v>
          </cell>
          <cell r="I236">
            <v>17.168341373841638</v>
          </cell>
          <cell r="J236">
            <v>23.994924659896046</v>
          </cell>
          <cell r="K236">
            <v>19.592990658044233</v>
          </cell>
          <cell r="N236">
            <v>28.445030595816682</v>
          </cell>
          <cell r="O236">
            <v>45.93291631244626</v>
          </cell>
          <cell r="P236">
            <v>14.265460949237006</v>
          </cell>
          <cell r="Q236">
            <v>13.539064134339617</v>
          </cell>
          <cell r="R236">
            <v>7.376666308570619</v>
          </cell>
        </row>
        <row r="237">
          <cell r="B237">
            <v>9.604438211545034</v>
          </cell>
          <cell r="C237">
            <v>2.5619066822458718</v>
          </cell>
          <cell r="D237">
            <v>5.6223707960491476</v>
          </cell>
          <cell r="E237">
            <v>5.6909225246295936</v>
          </cell>
          <cell r="F237">
            <v>40.213368849113621</v>
          </cell>
          <cell r="G237">
            <v>43.485094689257139</v>
          </cell>
          <cell r="H237">
            <v>3.1273861479988292</v>
          </cell>
          <cell r="I237">
            <v>15.145401467452768</v>
          </cell>
          <cell r="J237">
            <v>21.149343463760783</v>
          </cell>
          <cell r="K237">
            <v>17.264390093925421</v>
          </cell>
          <cell r="N237">
            <v>24.758371599208118</v>
          </cell>
          <cell r="O237">
            <v>36.604684688135706</v>
          </cell>
          <cell r="P237">
            <v>12.568150841624499</v>
          </cell>
          <cell r="Q237">
            <v>11.924749509378106</v>
          </cell>
          <cell r="R237">
            <v>6.5061053827816657</v>
          </cell>
        </row>
        <row r="238">
          <cell r="B238">
            <v>77.998682913621693</v>
          </cell>
          <cell r="C238">
            <v>21.507972442286228</v>
          </cell>
          <cell r="D238">
            <v>43.19032776650279</v>
          </cell>
          <cell r="E238">
            <v>43.70247163762248</v>
          </cell>
          <cell r="F238">
            <v>1124.019266726719</v>
          </cell>
          <cell r="G238">
            <v>1169.8933889782747</v>
          </cell>
          <cell r="H238">
            <v>26.421015921362329</v>
          </cell>
          <cell r="I238">
            <v>99.0957574120483</v>
          </cell>
          <cell r="J238">
            <v>155.09698683257568</v>
          </cell>
          <cell r="K238">
            <v>127.55876375360594</v>
          </cell>
          <cell r="N238">
            <v>417.97536024186263</v>
          </cell>
          <cell r="O238">
            <v>976.72013009960153</v>
          </cell>
          <cell r="P238">
            <v>98.55777105401225</v>
          </cell>
          <cell r="Q238">
            <v>89.951533302245053</v>
          </cell>
          <cell r="R238">
            <v>55.013395321796999</v>
          </cell>
        </row>
        <row r="239">
          <cell r="B239">
            <v>0.63353313573624537</v>
          </cell>
          <cell r="C239">
            <v>0.23398401085561887</v>
          </cell>
          <cell r="D239">
            <v>0.43757387475230891</v>
          </cell>
          <cell r="E239">
            <v>0.44215258618842312</v>
          </cell>
          <cell r="F239">
            <v>3.5296748279848802</v>
          </cell>
          <cell r="G239">
            <v>3.7780669091839263</v>
          </cell>
          <cell r="H239">
            <v>0.25458555385189074</v>
          </cell>
          <cell r="I239">
            <v>1.1700898407584217</v>
          </cell>
          <cell r="J239">
            <v>1.443489246285212</v>
          </cell>
          <cell r="K239">
            <v>1.1618153452196938</v>
          </cell>
          <cell r="N239">
            <v>2.7533941030790121</v>
          </cell>
          <cell r="O239">
            <v>2.8114370452948649</v>
          </cell>
          <cell r="P239">
            <v>0.80523543743278414</v>
          </cell>
          <cell r="Q239">
            <v>0.79679372021690797</v>
          </cell>
          <cell r="R239">
            <v>0.39962776270827127</v>
          </cell>
        </row>
        <row r="240">
          <cell r="B240">
            <v>2.7483212072600116</v>
          </cell>
          <cell r="C240">
            <v>0.76409575721752465</v>
          </cell>
          <cell r="D240">
            <v>1.5915833540744382</v>
          </cell>
          <cell r="E240">
            <v>1.609287703629402</v>
          </cell>
          <cell r="F240">
            <v>11.635822304640264</v>
          </cell>
          <cell r="G240">
            <v>12.684858811703741</v>
          </cell>
          <cell r="H240">
            <v>0.91717777570936321</v>
          </cell>
          <cell r="I240">
            <v>3.7687193761392135</v>
          </cell>
          <cell r="J240">
            <v>5.6088677591072376</v>
          </cell>
          <cell r="K240">
            <v>4.6209849702587462</v>
          </cell>
          <cell r="N240">
            <v>6.7276034138006793</v>
          </cell>
          <cell r="O240">
            <v>5.8838024101742503</v>
          </cell>
          <cell r="P240">
            <v>3.4702034567994531</v>
          </cell>
          <cell r="Q240">
            <v>3.2278635680547727</v>
          </cell>
          <cell r="R240">
            <v>1.8747206252700128</v>
          </cell>
        </row>
      </sheetData>
      <sheetData sheetId="42" refreshError="1"/>
      <sheetData sheetId="43" refreshError="1"/>
      <sheetData sheetId="44" refreshError="1"/>
      <sheetData sheetId="45" refreshError="1"/>
      <sheetData sheetId="46" refreshError="1"/>
      <sheetData sheetId="47">
        <row r="4">
          <cell r="C4">
            <v>7.1680275339863702</v>
          </cell>
        </row>
        <row r="7">
          <cell r="X7">
            <v>2020</v>
          </cell>
        </row>
        <row r="8">
          <cell r="X8">
            <v>2020</v>
          </cell>
        </row>
        <row r="10">
          <cell r="X10">
            <v>2020</v>
          </cell>
        </row>
        <row r="101">
          <cell r="C101">
            <v>2.0899774379882992</v>
          </cell>
        </row>
        <row r="149">
          <cell r="C149">
            <v>1.022974825480008</v>
          </cell>
        </row>
        <row r="165">
          <cell r="C165">
            <v>1.1028432955109111</v>
          </cell>
        </row>
        <row r="262">
          <cell r="C262">
            <v>4.4534195626357791</v>
          </cell>
        </row>
        <row r="375">
          <cell r="C375">
            <v>3.7672485454471381</v>
          </cell>
        </row>
        <row r="391">
          <cell r="C391">
            <v>1.574877998920718</v>
          </cell>
        </row>
        <row r="407">
          <cell r="C407">
            <v>1.426243467365641</v>
          </cell>
        </row>
        <row r="618">
          <cell r="C618">
            <v>6.4693024928784704</v>
          </cell>
        </row>
        <row r="699">
          <cell r="C699">
            <v>1.5306598327105621</v>
          </cell>
        </row>
        <row r="763">
          <cell r="C763">
            <v>4.73841116021487</v>
          </cell>
        </row>
        <row r="779">
          <cell r="C779">
            <v>2.5172337434306788</v>
          </cell>
        </row>
      </sheetData>
      <sheetData sheetId="48">
        <row r="8">
          <cell r="D8" t="str">
            <v>Btu</v>
          </cell>
          <cell r="F8" t="str">
            <v>g</v>
          </cell>
        </row>
        <row r="9">
          <cell r="G9" t="str">
            <v>mile</v>
          </cell>
        </row>
        <row r="10">
          <cell r="C10" t="str">
            <v>Service Functional Unit for Buses:</v>
          </cell>
        </row>
        <row r="12">
          <cell r="A12" t="str">
            <v>CIDI Combination Long-Haul Trucks: Conventional and LS Diesel</v>
          </cell>
        </row>
        <row r="14">
          <cell r="B14" t="str">
            <v>Btu/mile or Gallon/mile or g/mile</v>
          </cell>
        </row>
        <row r="16">
          <cell r="B16">
            <v>1161.570132281041</v>
          </cell>
          <cell r="C16">
            <v>2138.0557699973933</v>
          </cell>
          <cell r="D16">
            <v>18064.641487789326</v>
          </cell>
          <cell r="E16">
            <v>21364.267390067762</v>
          </cell>
        </row>
        <row r="17">
          <cell r="B17">
            <v>1091.1858461064921</v>
          </cell>
          <cell r="C17">
            <v>2105.5718638368185</v>
          </cell>
          <cell r="D17">
            <v>18064.641487789326</v>
          </cell>
          <cell r="E17">
            <v>21261.399197732637</v>
          </cell>
        </row>
        <row r="18">
          <cell r="B18">
            <v>87.836061602565124</v>
          </cell>
          <cell r="C18">
            <v>42.76346453498698</v>
          </cell>
          <cell r="D18">
            <v>0</v>
          </cell>
          <cell r="E18">
            <v>130.59952613755212</v>
          </cell>
        </row>
        <row r="19">
          <cell r="B19">
            <v>804.62750384494234</v>
          </cell>
          <cell r="C19">
            <v>1422.2076059800106</v>
          </cell>
          <cell r="D19">
            <v>0</v>
          </cell>
          <cell r="E19">
            <v>2226.8351098249532</v>
          </cell>
        </row>
        <row r="20">
          <cell r="B20">
            <v>198.72228065898466</v>
          </cell>
          <cell r="C20">
            <v>640.60079332182056</v>
          </cell>
          <cell r="D20">
            <v>18064.641487789326</v>
          </cell>
          <cell r="E20">
            <v>18903.964561770132</v>
          </cell>
        </row>
        <row r="21">
          <cell r="B21">
            <v>0.31983017040741918</v>
          </cell>
          <cell r="C21">
            <v>7.4145567067684506E-2</v>
          </cell>
          <cell r="D21">
            <v>0</v>
          </cell>
          <cell r="E21">
            <v>0.39397573747510367</v>
          </cell>
        </row>
        <row r="22">
          <cell r="B22">
            <v>95.99765432415127</v>
          </cell>
          <cell r="C22">
            <v>138.15944281153139</v>
          </cell>
          <cell r="D22">
            <v>1428.3725609393252</v>
          </cell>
          <cell r="E22">
            <v>1662.5296580750078</v>
          </cell>
        </row>
        <row r="23">
          <cell r="B23">
            <v>1.6552235472407806</v>
          </cell>
          <cell r="C23">
            <v>0.32368675497750526</v>
          </cell>
          <cell r="D23">
            <v>1.4279963898586301E-2</v>
          </cell>
          <cell r="E23">
            <v>1.9931902661168721</v>
          </cell>
        </row>
        <row r="24">
          <cell r="B24">
            <v>1.5202772518049163E-3</v>
          </cell>
          <cell r="C24">
            <v>2.5000419325434185E-3</v>
          </cell>
          <cell r="D24">
            <v>1.9166453667045131E-3</v>
          </cell>
          <cell r="E24">
            <v>5.9369645510528478E-3</v>
          </cell>
        </row>
        <row r="25">
          <cell r="B25">
            <v>146.05723421310299</v>
          </cell>
          <cell r="C25">
            <v>148.53255657298055</v>
          </cell>
          <cell r="D25">
            <v>1429.3088708784596</v>
          </cell>
          <cell r="E25">
            <v>1723.8986616645429</v>
          </cell>
        </row>
        <row r="26">
          <cell r="B26">
            <v>6.6706911771938396E-2</v>
          </cell>
          <cell r="C26">
            <v>6.6311334359973342E-2</v>
          </cell>
          <cell r="D26">
            <v>0.10415651994681022</v>
          </cell>
          <cell r="E26">
            <v>0.23717476607872195</v>
          </cell>
        </row>
        <row r="27">
          <cell r="B27">
            <v>0.13323689106881326</v>
          </cell>
          <cell r="C27">
            <v>7.6154601725606827E-2</v>
          </cell>
          <cell r="D27">
            <v>2.8990092232225142</v>
          </cell>
          <cell r="E27">
            <v>3.1084007160169342</v>
          </cell>
        </row>
        <row r="28">
          <cell r="B28">
            <v>0.20520735668600648</v>
          </cell>
          <cell r="C28">
            <v>0.11463347882354728</v>
          </cell>
          <cell r="D28">
            <v>1.8194955645718054</v>
          </cell>
          <cell r="E28">
            <v>2.1393364000813593</v>
          </cell>
        </row>
        <row r="29">
          <cell r="B29">
            <v>1.008603971640842E-2</v>
          </cell>
          <cell r="C29">
            <v>1.3277383209045356E-2</v>
          </cell>
          <cell r="D29">
            <v>9.7501896966844193E-2</v>
          </cell>
          <cell r="E29">
            <v>0.12086531989229797</v>
          </cell>
        </row>
        <row r="30">
          <cell r="B30">
            <v>8.6174142471672332E-3</v>
          </cell>
          <cell r="C30">
            <v>1.131634661556688E-2</v>
          </cell>
          <cell r="D30">
            <v>1.6634080236808423E-2</v>
          </cell>
          <cell r="E30">
            <v>3.6567841099542538E-2</v>
          </cell>
        </row>
        <row r="31">
          <cell r="B31">
            <v>4.6271167490966249E-2</v>
          </cell>
          <cell r="C31">
            <v>3.6890656557503836E-2</v>
          </cell>
          <cell r="D31">
            <v>9.8398059529739117E-3</v>
          </cell>
          <cell r="E31">
            <v>9.3001630001443999E-2</v>
          </cell>
        </row>
        <row r="32">
          <cell r="B32">
            <v>1.5645726472962921E-3</v>
          </cell>
          <cell r="C32">
            <v>1.520364207790657E-3</v>
          </cell>
          <cell r="D32">
            <v>2.1350928479191645E-3</v>
          </cell>
          <cell r="E32">
            <v>5.2200297030061136E-3</v>
          </cell>
        </row>
        <row r="33">
          <cell r="B33">
            <v>3.1547792448163368E-3</v>
          </cell>
          <cell r="C33">
            <v>2.2659465024071779E-3</v>
          </cell>
          <cell r="D33">
            <v>3.1327831529812155E-3</v>
          </cell>
          <cell r="E33">
            <v>8.5535089002047315E-3</v>
          </cell>
        </row>
        <row r="34">
          <cell r="B34">
            <v>1.1943212803214615E-2</v>
          </cell>
          <cell r="C34">
            <v>3.798269578126371E-2</v>
          </cell>
          <cell r="D34">
            <v>5.2078259973405115E-3</v>
          </cell>
          <cell r="E34">
            <v>5.5133734581818833E-2</v>
          </cell>
        </row>
        <row r="35">
          <cell r="B35">
            <v>4.73872187815348E-3</v>
          </cell>
          <cell r="C35">
            <v>2.7811982625337479E-2</v>
          </cell>
          <cell r="D35">
            <v>0.14495046116112573</v>
          </cell>
          <cell r="E35">
            <v>0.17750116566461668</v>
          </cell>
        </row>
        <row r="36">
          <cell r="B36">
            <v>9.9684507026145622E-3</v>
          </cell>
          <cell r="C36">
            <v>4.0565009119998219E-2</v>
          </cell>
          <cell r="D36">
            <v>9.0974778228590278E-2</v>
          </cell>
          <cell r="E36">
            <v>0.14150823805120305</v>
          </cell>
        </row>
        <row r="37">
          <cell r="B37">
            <v>7.7143941619970844E-4</v>
          </cell>
          <cell r="C37">
            <v>8.2172900680035667E-3</v>
          </cell>
          <cell r="D37">
            <v>4.8750948483422098E-3</v>
          </cell>
          <cell r="E37">
            <v>1.3863824332545484E-2</v>
          </cell>
        </row>
        <row r="38">
          <cell r="B38">
            <v>6.8359052555538001E-4</v>
          </cell>
          <cell r="C38">
            <v>7.0732925665159454E-3</v>
          </cell>
          <cell r="D38">
            <v>8.3170401184042117E-4</v>
          </cell>
          <cell r="E38">
            <v>8.5885871039117472E-3</v>
          </cell>
        </row>
        <row r="39">
          <cell r="B39">
            <v>4.5647958274752931E-3</v>
          </cell>
          <cell r="C39">
            <v>1.2997935077853679E-2</v>
          </cell>
          <cell r="D39">
            <v>4.9199029764869561E-4</v>
          </cell>
          <cell r="E39">
            <v>1.8054721202977665E-2</v>
          </cell>
        </row>
        <row r="40">
          <cell r="B40">
            <v>7.3226733853099497E-5</v>
          </cell>
          <cell r="C40">
            <v>9.1375647829370038E-4</v>
          </cell>
          <cell r="D40">
            <v>1.0675464239595823E-4</v>
          </cell>
          <cell r="E40">
            <v>1.093737854542758E-3</v>
          </cell>
        </row>
        <row r="41">
          <cell r="B41">
            <v>2.1916635454058924E-4</v>
          </cell>
          <cell r="C41">
            <v>1.1779440468129613E-3</v>
          </cell>
          <cell r="D41">
            <v>1.5663915764906077E-4</v>
          </cell>
          <cell r="E41">
            <v>1.5537495590026112E-3</v>
          </cell>
        </row>
        <row r="144">
          <cell r="F144">
            <v>3.820329904536969E-2</v>
          </cell>
        </row>
        <row r="152">
          <cell r="F152">
            <v>0.27732057996387977</v>
          </cell>
        </row>
        <row r="171">
          <cell r="F171">
            <v>2.9686942116854884</v>
          </cell>
        </row>
        <row r="174">
          <cell r="F174">
            <v>0.23544702060928901</v>
          </cell>
        </row>
        <row r="223">
          <cell r="A223" t="str">
            <v>Combination Long-Haul Trucks: Electricity, NGCC Turbine</v>
          </cell>
        </row>
        <row r="224">
          <cell r="B224" t="str">
            <v>Btu/mile or Gallon/mile or g/mile</v>
          </cell>
        </row>
        <row r="226">
          <cell r="B226">
            <v>1846.8742343598617</v>
          </cell>
          <cell r="C226">
            <v>10544.110172088076</v>
          </cell>
          <cell r="D226">
            <v>10168.779342352973</v>
          </cell>
          <cell r="E226">
            <v>22559.763748800913</v>
          </cell>
        </row>
        <row r="227">
          <cell r="B227">
            <v>1833.766640040418</v>
          </cell>
          <cell r="C227">
            <v>10544.110172088076</v>
          </cell>
          <cell r="D227">
            <v>10168.779342352973</v>
          </cell>
          <cell r="E227">
            <v>22546.656154481469</v>
          </cell>
        </row>
        <row r="228">
          <cell r="B228">
            <v>17.304044798212242</v>
          </cell>
          <cell r="C228">
            <v>0</v>
          </cell>
          <cell r="D228">
            <v>0</v>
          </cell>
          <cell r="E228">
            <v>17.304044798212242</v>
          </cell>
        </row>
        <row r="229">
          <cell r="B229">
            <v>1734.5034702363428</v>
          </cell>
          <cell r="C229">
            <v>10544.110172088076</v>
          </cell>
          <cell r="D229">
            <v>10168.779342352973</v>
          </cell>
          <cell r="E229">
            <v>22447.39298467739</v>
          </cell>
        </row>
        <row r="230">
          <cell r="B230">
            <v>81.959125005863015</v>
          </cell>
          <cell r="C230">
            <v>0</v>
          </cell>
          <cell r="D230">
            <v>0</v>
          </cell>
          <cell r="E230">
            <v>81.959125005863015</v>
          </cell>
        </row>
        <row r="231">
          <cell r="B231">
            <v>6.2439363405228793E-2</v>
          </cell>
          <cell r="C231">
            <v>0.49750407923899259</v>
          </cell>
          <cell r="D231">
            <v>0</v>
          </cell>
          <cell r="E231">
            <v>0.55994344264422136</v>
          </cell>
        </row>
        <row r="232">
          <cell r="B232">
            <v>111.89438115571916</v>
          </cell>
          <cell r="C232">
            <v>1230.5304074664316</v>
          </cell>
          <cell r="D232">
            <v>0</v>
          </cell>
          <cell r="E232">
            <v>1342.4247886221508</v>
          </cell>
        </row>
        <row r="233">
          <cell r="B233">
            <v>3.8066540029010012</v>
          </cell>
          <cell r="C233">
            <v>2.8333108626074383E-2</v>
          </cell>
          <cell r="D233">
            <v>0</v>
          </cell>
          <cell r="E233">
            <v>3.8349871115270755</v>
          </cell>
        </row>
        <row r="234">
          <cell r="B234">
            <v>1.6507278966782748E-2</v>
          </cell>
          <cell r="C234">
            <v>2.5494443279539618E-3</v>
          </cell>
          <cell r="D234">
            <v>0</v>
          </cell>
          <cell r="E234">
            <v>1.9056723294736708E-2</v>
          </cell>
        </row>
        <row r="235">
          <cell r="B235">
            <v>230.46843016894661</v>
          </cell>
          <cell r="C235">
            <v>1232.0560034721216</v>
          </cell>
          <cell r="D235">
            <v>0</v>
          </cell>
          <cell r="E235">
            <v>1462.5244336410683</v>
          </cell>
        </row>
        <row r="236">
          <cell r="B236">
            <v>0.17685955855754107</v>
          </cell>
          <cell r="C236">
            <v>1.3821560767615546E-2</v>
          </cell>
          <cell r="D236">
            <v>0</v>
          </cell>
          <cell r="E236">
            <v>0.19068111932515661</v>
          </cell>
        </row>
        <row r="237">
          <cell r="B237">
            <v>0.46197269288213749</v>
          </cell>
          <cell r="C237">
            <v>0.10509486098013346</v>
          </cell>
          <cell r="D237">
            <v>0</v>
          </cell>
          <cell r="E237">
            <v>0.56706755386227092</v>
          </cell>
        </row>
        <row r="238">
          <cell r="B238">
            <v>0.53272279700453662</v>
          </cell>
          <cell r="C238">
            <v>0.15626508094549241</v>
          </cell>
          <cell r="D238">
            <v>0</v>
          </cell>
          <cell r="E238">
            <v>0.68898787795002903</v>
          </cell>
        </row>
        <row r="239">
          <cell r="B239">
            <v>8.2224617611465715E-3</v>
          </cell>
          <cell r="C239">
            <v>5.3517806592840507E-2</v>
          </cell>
          <cell r="D239">
            <v>9.2776112380665202E-2</v>
          </cell>
          <cell r="E239">
            <v>0.15451638073465229</v>
          </cell>
        </row>
        <row r="240">
          <cell r="B240">
            <v>7.4024962577588574E-3</v>
          </cell>
          <cell r="C240">
            <v>5.1689369022864667E-2</v>
          </cell>
          <cell r="D240">
            <v>1.228637608748109E-2</v>
          </cell>
          <cell r="E240">
            <v>7.1378241368104611E-2</v>
          </cell>
        </row>
        <row r="241">
          <cell r="B241">
            <v>0.22648532838989438</v>
          </cell>
          <cell r="C241">
            <v>2.2584442189292554E-2</v>
          </cell>
          <cell r="D241">
            <v>0</v>
          </cell>
          <cell r="E241">
            <v>0.24906977057918694</v>
          </cell>
        </row>
        <row r="242">
          <cell r="B242">
            <v>1.9658621903022619E-3</v>
          </cell>
          <cell r="C242">
            <v>1.4989917016630754E-3</v>
          </cell>
          <cell r="D242">
            <v>1.5691693295503853E-3</v>
          </cell>
          <cell r="E242">
            <v>5.0340232215157227E-3</v>
          </cell>
        </row>
        <row r="243">
          <cell r="B243">
            <v>2.7891531428081142E-3</v>
          </cell>
          <cell r="C243">
            <v>3.5148770935547975E-2</v>
          </cell>
          <cell r="D243">
            <v>2.0812252444626896E-3</v>
          </cell>
          <cell r="E243">
            <v>4.0019149322818783E-2</v>
          </cell>
        </row>
        <row r="244">
          <cell r="B244">
            <v>7.5552532934489219E-3</v>
          </cell>
          <cell r="C244">
            <v>4.3261485202636665E-3</v>
          </cell>
          <cell r="D244">
            <v>0</v>
          </cell>
          <cell r="E244">
            <v>1.1881401813712588E-2</v>
          </cell>
        </row>
        <row r="245">
          <cell r="B245">
            <v>3.3997171350370246E-2</v>
          </cell>
          <cell r="C245">
            <v>3.2894691486781778E-2</v>
          </cell>
          <cell r="D245">
            <v>0</v>
          </cell>
          <cell r="E245">
            <v>6.6891862837152025E-2</v>
          </cell>
        </row>
        <row r="246">
          <cell r="B246">
            <v>4.0374401439887873E-2</v>
          </cell>
          <cell r="C246">
            <v>4.8910970335939108E-2</v>
          </cell>
          <cell r="D246">
            <v>0</v>
          </cell>
          <cell r="E246">
            <v>8.9285371775826988E-2</v>
          </cell>
        </row>
        <row r="247">
          <cell r="B247">
            <v>2.4369316855085533E-4</v>
          </cell>
          <cell r="C247">
            <v>1.6751073463559082E-2</v>
          </cell>
          <cell r="D247">
            <v>4.6388056190332606E-3</v>
          </cell>
          <cell r="E247">
            <v>2.16335722511432E-2</v>
          </cell>
        </row>
        <row r="248">
          <cell r="B248">
            <v>2.2245944422775269E-4</v>
          </cell>
          <cell r="C248">
            <v>1.6178772504156641E-2</v>
          </cell>
          <cell r="D248">
            <v>6.1431880437405454E-4</v>
          </cell>
          <cell r="E248">
            <v>1.701555075275845E-2</v>
          </cell>
        </row>
        <row r="249">
          <cell r="B249">
            <v>2.8996285155557921E-3</v>
          </cell>
          <cell r="C249">
            <v>7.0689304052485701E-3</v>
          </cell>
          <cell r="D249">
            <v>0</v>
          </cell>
          <cell r="E249">
            <v>9.9685589208043622E-3</v>
          </cell>
        </row>
        <row r="250">
          <cell r="B250">
            <v>3.7084081997899857E-5</v>
          </cell>
          <cell r="C250">
            <v>4.6918440262054252E-4</v>
          </cell>
          <cell r="D250">
            <v>7.8458466477519264E-5</v>
          </cell>
          <cell r="E250">
            <v>5.8472695109596168E-4</v>
          </cell>
        </row>
        <row r="251">
          <cell r="B251">
            <v>7.35057983451797E-5</v>
          </cell>
          <cell r="C251">
            <v>1.1001565302826515E-2</v>
          </cell>
          <cell r="D251">
            <v>1.0406126222313449E-4</v>
          </cell>
          <cell r="E251">
            <v>1.1179132363394829E-2</v>
          </cell>
        </row>
        <row r="315">
          <cell r="A315" t="str">
            <v>Grid-Independent Hybrid Long-haul Trucks : Conventional and LS Diesel</v>
          </cell>
        </row>
        <row r="316">
          <cell r="B316" t="str">
            <v>Btu/mile or Gallon/mile or g/mile</v>
          </cell>
        </row>
        <row r="318">
          <cell r="B318">
            <v>1135.4826173126989</v>
          </cell>
          <cell r="C318">
            <v>2090.0375226674405</v>
          </cell>
          <cell r="D318">
            <v>17658.93063821282</v>
          </cell>
          <cell r="E318">
            <v>20884.450778192961</v>
          </cell>
        </row>
        <row r="319">
          <cell r="B319">
            <v>1066.6790803913259</v>
          </cell>
          <cell r="C319">
            <v>2058.2831672801199</v>
          </cell>
          <cell r="D319">
            <v>17658.93063821282</v>
          </cell>
          <cell r="E319">
            <v>20783.892885884266</v>
          </cell>
        </row>
        <row r="320">
          <cell r="B320">
            <v>85.86336575912317</v>
          </cell>
          <cell r="C320">
            <v>41.803046829545565</v>
          </cell>
          <cell r="D320">
            <v>0</v>
          </cell>
          <cell r="E320">
            <v>127.66641258866873</v>
          </cell>
        </row>
        <row r="321">
          <cell r="B321">
            <v>786.55650540314014</v>
          </cell>
          <cell r="C321">
            <v>1390.2664763159466</v>
          </cell>
          <cell r="D321">
            <v>0</v>
          </cell>
          <cell r="E321">
            <v>2176.8229817190868</v>
          </cell>
        </row>
        <row r="322">
          <cell r="B322">
            <v>194.25920922906258</v>
          </cell>
          <cell r="C322">
            <v>626.21364413462766</v>
          </cell>
          <cell r="D322">
            <v>17658.93063821282</v>
          </cell>
          <cell r="E322">
            <v>18479.403491576511</v>
          </cell>
        </row>
        <row r="323">
          <cell r="B323">
            <v>0.31264715654888769</v>
          </cell>
          <cell r="C323">
            <v>7.2480343817740933E-2</v>
          </cell>
          <cell r="D323">
            <v>0</v>
          </cell>
          <cell r="E323">
            <v>0.38512750036662863</v>
          </cell>
        </row>
        <row r="324">
          <cell r="B324">
            <v>93.841658595172674</v>
          </cell>
          <cell r="C324">
            <v>135.05654232175576</v>
          </cell>
          <cell r="D324">
            <v>1396.2920915966611</v>
          </cell>
          <cell r="E324">
            <v>1625.1902925135896</v>
          </cell>
        </row>
        <row r="325">
          <cell r="B325">
            <v>1.618049150392439</v>
          </cell>
          <cell r="C325">
            <v>0.31641712671240224</v>
          </cell>
          <cell r="D325">
            <v>1.4279963898586301E-2</v>
          </cell>
          <cell r="E325">
            <v>1.9487462410034275</v>
          </cell>
        </row>
        <row r="326">
          <cell r="B326">
            <v>1.4861335918912376E-3</v>
          </cell>
          <cell r="C326">
            <v>2.4438938967733929E-3</v>
          </cell>
          <cell r="D326">
            <v>1.9166453667045131E-3</v>
          </cell>
          <cell r="E326">
            <v>5.8466728553691434E-3</v>
          </cell>
        </row>
        <row r="327">
          <cell r="B327">
            <v>142.77695850879704</v>
          </cell>
          <cell r="C327">
            <v>145.19668800577278</v>
          </cell>
          <cell r="D327">
            <v>1397.2284015357955</v>
          </cell>
          <cell r="E327">
            <v>1685.2020480503652</v>
          </cell>
        </row>
        <row r="328">
          <cell r="B328">
            <v>6.5208752073285553E-2</v>
          </cell>
          <cell r="C328">
            <v>6.4822058870176238E-2</v>
          </cell>
          <cell r="D328">
            <v>0.10415651994681022</v>
          </cell>
          <cell r="E328">
            <v>0.23418733089027202</v>
          </cell>
        </row>
        <row r="329">
          <cell r="B329">
            <v>0.13024454536923216</v>
          </cell>
          <cell r="C329">
            <v>7.4444257892537086E-2</v>
          </cell>
          <cell r="D329">
            <v>1.4495046116112571</v>
          </cell>
          <cell r="E329">
            <v>1.6541934148730264</v>
          </cell>
        </row>
        <row r="330">
          <cell r="B330">
            <v>0.20059863798673397</v>
          </cell>
          <cell r="C330">
            <v>0.11205894413849148</v>
          </cell>
          <cell r="D330">
            <v>1.8194955645718054</v>
          </cell>
          <cell r="E330">
            <v>2.1321531466970307</v>
          </cell>
        </row>
        <row r="331">
          <cell r="B331">
            <v>9.8595189883346063E-3</v>
          </cell>
          <cell r="C331">
            <v>1.2979188615726922E-2</v>
          </cell>
          <cell r="D331">
            <v>9.7501896966844193E-2</v>
          </cell>
          <cell r="E331">
            <v>0.12034060457090573</v>
          </cell>
        </row>
        <row r="332">
          <cell r="B332">
            <v>8.423877140010463E-3</v>
          </cell>
          <cell r="C332">
            <v>1.1062194624639895E-2</v>
          </cell>
          <cell r="D332">
            <v>1.6634080236808423E-2</v>
          </cell>
          <cell r="E332">
            <v>3.612015200145878E-2</v>
          </cell>
        </row>
        <row r="333">
          <cell r="B333">
            <v>4.5231970854468034E-2</v>
          </cell>
          <cell r="C333">
            <v>3.6062135292717221E-2</v>
          </cell>
          <cell r="D333">
            <v>9.6188153490060768E-3</v>
          </cell>
          <cell r="E333">
            <v>9.0912921496191332E-2</v>
          </cell>
        </row>
        <row r="334">
          <cell r="B334">
            <v>1.5294341642885995E-3</v>
          </cell>
          <cell r="C334">
            <v>1.4862185949466157E-3</v>
          </cell>
          <cell r="D334">
            <v>2.1350928479191645E-3</v>
          </cell>
          <cell r="E334">
            <v>5.1507456071543797E-3</v>
          </cell>
        </row>
        <row r="335">
          <cell r="B335">
            <v>3.0839265700756879E-3</v>
          </cell>
          <cell r="C335">
            <v>2.2150559778867807E-3</v>
          </cell>
          <cell r="D335">
            <v>3.1327831529812155E-3</v>
          </cell>
          <cell r="E335">
            <v>8.4317657009436841E-3</v>
          </cell>
        </row>
        <row r="336">
          <cell r="B336">
            <v>1.1674982126378847E-2</v>
          </cell>
          <cell r="C336">
            <v>3.7129648584891789E-2</v>
          </cell>
          <cell r="D336">
            <v>5.2078259973405115E-3</v>
          </cell>
          <cell r="E336">
            <v>5.4012456708611142E-2</v>
          </cell>
        </row>
        <row r="337">
          <cell r="B337">
            <v>4.6322956930342262E-3</v>
          </cell>
          <cell r="C337">
            <v>2.7187357824067008E-2</v>
          </cell>
          <cell r="D337">
            <v>7.2475230580562863E-2</v>
          </cell>
          <cell r="E337">
            <v>0.1042948840976641</v>
          </cell>
        </row>
        <row r="338">
          <cell r="B338">
            <v>9.7445708871057406E-3</v>
          </cell>
          <cell r="C338">
            <v>3.965396616770505E-2</v>
          </cell>
          <cell r="D338">
            <v>9.0974778228590278E-2</v>
          </cell>
          <cell r="E338">
            <v>0.14037331528340108</v>
          </cell>
        </row>
        <row r="339">
          <cell r="B339">
            <v>7.5411378362876902E-4</v>
          </cell>
          <cell r="C339">
            <v>8.0327392848086824E-3</v>
          </cell>
          <cell r="D339">
            <v>4.8750948483422098E-3</v>
          </cell>
          <cell r="E339">
            <v>1.366194791677966E-2</v>
          </cell>
        </row>
        <row r="340">
          <cell r="B340">
            <v>6.682378769532481E-4</v>
          </cell>
          <cell r="C340">
            <v>6.9144346374281117E-3</v>
          </cell>
          <cell r="D340">
            <v>8.3170401184042117E-4</v>
          </cell>
          <cell r="E340">
            <v>8.4143765262217809E-3</v>
          </cell>
        </row>
        <row r="341">
          <cell r="B341">
            <v>4.4622758192835923E-3</v>
          </cell>
          <cell r="C341">
            <v>1.2706016564732851E-2</v>
          </cell>
          <cell r="D341">
            <v>4.8094076745030384E-4</v>
          </cell>
          <cell r="E341">
            <v>1.7649233151466749E-2</v>
          </cell>
        </row>
        <row r="342">
          <cell r="B342">
            <v>7.1582146529108854E-5</v>
          </cell>
          <cell r="C342">
            <v>8.9323456993669486E-4</v>
          </cell>
          <cell r="D342">
            <v>1.0675464239595823E-4</v>
          </cell>
          <cell r="E342">
            <v>1.071571358861762E-3</v>
          </cell>
        </row>
        <row r="343">
          <cell r="B343">
            <v>2.142441329753646E-4</v>
          </cell>
          <cell r="C343">
            <v>1.15148879275718E-3</v>
          </cell>
          <cell r="D343">
            <v>1.5663915764906077E-4</v>
          </cell>
          <cell r="E343">
            <v>1.5223720833816054E-3</v>
          </cell>
        </row>
        <row r="345">
          <cell r="A345" t="str">
            <v>Fuel-Cell Combination Long-Haul Trucks: G.H2, Central Plants, NA NG</v>
          </cell>
        </row>
        <row r="346">
          <cell r="B346" t="str">
            <v>Btu/mile or Gallon/mile or g/mile</v>
          </cell>
        </row>
        <row r="348">
          <cell r="B348">
            <v>1023.0329935769294</v>
          </cell>
          <cell r="C348">
            <v>7585.4476268677899</v>
          </cell>
          <cell r="D348">
            <v>16380.061937467344</v>
          </cell>
          <cell r="E348">
            <v>24988.542557912064</v>
          </cell>
        </row>
        <row r="349">
          <cell r="B349">
            <v>1015.8535429903593</v>
          </cell>
          <cell r="C349">
            <v>6819.7050670377266</v>
          </cell>
          <cell r="D349">
            <v>16380.061937467344</v>
          </cell>
          <cell r="E349">
            <v>24215.620547495429</v>
          </cell>
        </row>
        <row r="350">
          <cell r="B350">
            <v>9.4757073013575592</v>
          </cell>
          <cell r="C350">
            <v>1012.2461521587489</v>
          </cell>
          <cell r="D350">
            <v>0</v>
          </cell>
          <cell r="E350">
            <v>1021.7218594601065</v>
          </cell>
        </row>
        <row r="351">
          <cell r="B351">
            <v>953.50314638235614</v>
          </cell>
          <cell r="C351">
            <v>5751.3829606037689</v>
          </cell>
          <cell r="D351">
            <v>16380.061937467344</v>
          </cell>
          <cell r="E351">
            <v>23084.948044453471</v>
          </cell>
        </row>
        <row r="352">
          <cell r="B352">
            <v>52.874689306645543</v>
          </cell>
          <cell r="C352">
            <v>56.075954275208296</v>
          </cell>
          <cell r="D352">
            <v>0</v>
          </cell>
          <cell r="E352">
            <v>108.95064358185384</v>
          </cell>
        </row>
        <row r="353">
          <cell r="B353">
            <v>4.0193234435372045E-2</v>
          </cell>
          <cell r="C353">
            <v>0.56078197693449017</v>
          </cell>
          <cell r="D353">
            <v>0</v>
          </cell>
          <cell r="E353">
            <v>0.60097521136986221</v>
          </cell>
        </row>
        <row r="354">
          <cell r="B354">
            <v>63.233535845582672</v>
          </cell>
          <cell r="C354">
            <v>1421.3294204921526</v>
          </cell>
          <cell r="D354">
            <v>0</v>
          </cell>
          <cell r="E354">
            <v>1484.5629563377354</v>
          </cell>
        </row>
        <row r="355">
          <cell r="B355">
            <v>2.0905635568218175</v>
          </cell>
          <cell r="C355">
            <v>1.461382651185382</v>
          </cell>
          <cell r="D355">
            <v>0</v>
          </cell>
          <cell r="E355">
            <v>3.5519462080071995</v>
          </cell>
        </row>
        <row r="356">
          <cell r="B356">
            <v>3.1877238346775224E-3</v>
          </cell>
          <cell r="C356">
            <v>1.0587159770171788E-2</v>
          </cell>
          <cell r="D356">
            <v>0</v>
          </cell>
          <cell r="E356">
            <v>1.3774883604849311E-2</v>
          </cell>
        </row>
        <row r="357">
          <cell r="B357">
            <v>126.79518936642674</v>
          </cell>
          <cell r="C357">
            <v>1467.9764973668096</v>
          </cell>
          <cell r="D357">
            <v>0</v>
          </cell>
          <cell r="E357">
            <v>1594.7716867332363</v>
          </cell>
        </row>
        <row r="358">
          <cell r="B358">
            <v>9.4266692889576037E-2</v>
          </cell>
          <cell r="C358">
            <v>9.7533897498654237E-2</v>
          </cell>
          <cell r="D358">
            <v>0</v>
          </cell>
          <cell r="E358">
            <v>0.19180059038823027</v>
          </cell>
        </row>
        <row r="359">
          <cell r="B359">
            <v>0.1928154621974946</v>
          </cell>
          <cell r="C359">
            <v>0.1322320283592609</v>
          </cell>
          <cell r="D359">
            <v>0</v>
          </cell>
          <cell r="E359">
            <v>0.32504749055675553</v>
          </cell>
        </row>
        <row r="360">
          <cell r="B360">
            <v>0.21942875853147706</v>
          </cell>
          <cell r="C360">
            <v>0.25408798326170667</v>
          </cell>
          <cell r="D360">
            <v>0</v>
          </cell>
          <cell r="E360">
            <v>0.4735167417931837</v>
          </cell>
        </row>
        <row r="361">
          <cell r="B361">
            <v>5.0931359362104594E-3</v>
          </cell>
          <cell r="C361">
            <v>6.2289829832112231E-2</v>
          </cell>
          <cell r="D361">
            <v>9.2776112380665202E-2</v>
          </cell>
          <cell r="E361">
            <v>0.16015907814898789</v>
          </cell>
        </row>
        <row r="362">
          <cell r="B362">
            <v>4.5786592268665417E-3</v>
          </cell>
          <cell r="C362">
            <v>5.2407693168890171E-2</v>
          </cell>
          <cell r="D362">
            <v>1.228637608748109E-2</v>
          </cell>
          <cell r="E362">
            <v>6.9272728483237803E-2</v>
          </cell>
        </row>
        <row r="363">
          <cell r="B363">
            <v>0.1460230131195222</v>
          </cell>
          <cell r="C363">
            <v>0.1854137244073516</v>
          </cell>
          <cell r="D363">
            <v>0</v>
          </cell>
          <cell r="E363">
            <v>0.3314367375268738</v>
          </cell>
        </row>
        <row r="364">
          <cell r="B364">
            <v>1.2323109930063509E-3</v>
          </cell>
          <cell r="C364">
            <v>5.0268039042267124E-3</v>
          </cell>
          <cell r="D364">
            <v>1.5691693295503853E-3</v>
          </cell>
          <cell r="E364">
            <v>7.8282842267834492E-3</v>
          </cell>
        </row>
        <row r="365">
          <cell r="B365">
            <v>1.71794790992602E-3</v>
          </cell>
          <cell r="C365">
            <v>1.4123723865221188E-2</v>
          </cell>
          <cell r="D365">
            <v>2.0812252444626896E-3</v>
          </cell>
          <cell r="E365">
            <v>1.7922897019609897E-2</v>
          </cell>
        </row>
        <row r="366">
          <cell r="B366">
            <v>2.0898545035484095E-3</v>
          </cell>
          <cell r="C366">
            <v>9.713712232322454E-3</v>
          </cell>
          <cell r="D366">
            <v>0</v>
          </cell>
          <cell r="E366">
            <v>1.1803566735870864E-2</v>
          </cell>
        </row>
        <row r="367">
          <cell r="B367">
            <v>7.1787115573735743E-3</v>
          </cell>
          <cell r="C367">
            <v>8.6187939514364553E-3</v>
          </cell>
          <cell r="D367">
            <v>0</v>
          </cell>
          <cell r="E367">
            <v>1.5797505508810029E-2</v>
          </cell>
        </row>
        <row r="368">
          <cell r="B368">
            <v>8.6047072283654998E-3</v>
          </cell>
          <cell r="C368">
            <v>4.1623331364645598E-2</v>
          </cell>
          <cell r="D368">
            <v>0</v>
          </cell>
          <cell r="E368">
            <v>5.0228038593011101E-2</v>
          </cell>
        </row>
        <row r="369">
          <cell r="B369">
            <v>1.2453960365175701E-4</v>
          </cell>
          <cell r="C369">
            <v>1.4055941829522361E-2</v>
          </cell>
          <cell r="D369">
            <v>4.6388056190332606E-3</v>
          </cell>
          <cell r="E369">
            <v>1.8819287052207378E-2</v>
          </cell>
        </row>
        <row r="370">
          <cell r="B370">
            <v>1.1176253115003012E-4</v>
          </cell>
          <cell r="C370">
            <v>1.3315340340144387E-2</v>
          </cell>
          <cell r="D370">
            <v>6.1431880437405454E-4</v>
          </cell>
          <cell r="E370">
            <v>1.4041421675668471E-2</v>
          </cell>
        </row>
        <row r="371">
          <cell r="B371">
            <v>1.8092358546584826E-3</v>
          </cell>
          <cell r="C371">
            <v>3.5189810821818775E-2</v>
          </cell>
          <cell r="D371">
            <v>0</v>
          </cell>
          <cell r="E371">
            <v>3.6999046676477257E-2</v>
          </cell>
        </row>
        <row r="372">
          <cell r="B372">
            <v>1.8580554713793334E-5</v>
          </cell>
          <cell r="C372">
            <v>1.1262629652584713E-3</v>
          </cell>
          <cell r="D372">
            <v>7.8458466477519264E-5</v>
          </cell>
          <cell r="E372">
            <v>1.2233019864497838E-3</v>
          </cell>
        </row>
        <row r="373">
          <cell r="B373">
            <v>3.478424117792933E-5</v>
          </cell>
          <cell r="C373">
            <v>3.5311025792709809E-3</v>
          </cell>
          <cell r="D373">
            <v>1.0406126222313449E-4</v>
          </cell>
          <cell r="E373">
            <v>3.6699480826720447E-3</v>
          </cell>
        </row>
        <row r="405">
          <cell r="A405" t="str">
            <v>CIDI Combination Short-Haul Trucks: Conventional and LS Diesel</v>
          </cell>
        </row>
        <row r="406">
          <cell r="B406" t="str">
            <v>Btu/mile or Gallon/mile or g/mile</v>
          </cell>
        </row>
        <row r="408">
          <cell r="B408">
            <v>1869.6120079732184</v>
          </cell>
          <cell r="C408">
            <v>3441.3201839597577</v>
          </cell>
          <cell r="D408">
            <v>29076.049483967403</v>
          </cell>
          <cell r="E408">
            <v>34386.981675900381</v>
          </cell>
        </row>
        <row r="409">
          <cell r="B409">
            <v>1756.3245680266123</v>
          </cell>
          <cell r="C409">
            <v>3389.0355225898738</v>
          </cell>
          <cell r="D409">
            <v>29076.049483967403</v>
          </cell>
          <cell r="E409">
            <v>34221.409574583886</v>
          </cell>
        </row>
        <row r="410">
          <cell r="B410">
            <v>141.37704727543593</v>
          </cell>
          <cell r="C410">
            <v>68.830184743252701</v>
          </cell>
          <cell r="D410">
            <v>0</v>
          </cell>
          <cell r="E410">
            <v>210.20723201868861</v>
          </cell>
        </row>
        <row r="411">
          <cell r="B411">
            <v>1295.0929103005269</v>
          </cell>
          <cell r="C411">
            <v>2289.1225799250624</v>
          </cell>
          <cell r="D411">
            <v>0</v>
          </cell>
          <cell r="E411">
            <v>3584.2154902255893</v>
          </cell>
        </row>
        <row r="412">
          <cell r="B412">
            <v>319.85461045064955</v>
          </cell>
          <cell r="C412">
            <v>1031.0827579215588</v>
          </cell>
          <cell r="D412">
            <v>29076.049483967403</v>
          </cell>
          <cell r="E412">
            <v>30426.986852339611</v>
          </cell>
        </row>
        <row r="413">
          <cell r="B413">
            <v>0.51478452354106852</v>
          </cell>
          <cell r="C413">
            <v>0.11934143163228886</v>
          </cell>
          <cell r="D413">
            <v>0</v>
          </cell>
          <cell r="E413">
            <v>0.63412595517335735</v>
          </cell>
        </row>
        <row r="414">
          <cell r="B414">
            <v>154.51358663057525</v>
          </cell>
          <cell r="C414">
            <v>222.37534016829531</v>
          </cell>
          <cell r="D414">
            <v>2299.0567922288456</v>
          </cell>
          <cell r="E414">
            <v>2675.9457190277162</v>
          </cell>
        </row>
        <row r="415">
          <cell r="B415">
            <v>2.6641747526034414</v>
          </cell>
          <cell r="C415">
            <v>0.52099191181803628</v>
          </cell>
          <cell r="D415">
            <v>1.8848781255282401E-2</v>
          </cell>
          <cell r="E415">
            <v>3.20401544567676</v>
          </cell>
        </row>
        <row r="416">
          <cell r="B416">
            <v>2.4469711526081978E-3</v>
          </cell>
          <cell r="C416">
            <v>4.0239571314914365E-3</v>
          </cell>
          <cell r="D416">
            <v>2.8749891195057132E-3</v>
          </cell>
          <cell r="E416">
            <v>9.3459174036053475E-3</v>
          </cell>
        </row>
        <row r="417">
          <cell r="B417">
            <v>235.08727656411966</v>
          </cell>
          <cell r="C417">
            <v>239.07144616268164</v>
          </cell>
          <cell r="D417">
            <v>2300.384127783173</v>
          </cell>
          <cell r="E417">
            <v>2774.5428505099744</v>
          </cell>
        </row>
        <row r="418">
          <cell r="B418">
            <v>0.10736850044406197</v>
          </cell>
          <cell r="C418">
            <v>0.10673179650433474</v>
          </cell>
          <cell r="D418">
            <v>0.13076929251592995</v>
          </cell>
          <cell r="E418">
            <v>0.34486958946432666</v>
          </cell>
        </row>
        <row r="419">
          <cell r="B419">
            <v>0.21445221818685939</v>
          </cell>
          <cell r="C419">
            <v>0.12257508512982658</v>
          </cell>
          <cell r="D419">
            <v>3.2216375986334529</v>
          </cell>
          <cell r="E419">
            <v>3.5586649019501388</v>
          </cell>
        </row>
        <row r="420">
          <cell r="B420">
            <v>0.33029270254322901</v>
          </cell>
          <cell r="C420">
            <v>0.18450898707542962</v>
          </cell>
          <cell r="D420">
            <v>2.0974783099682677</v>
          </cell>
          <cell r="E420">
            <v>2.6122799995869261</v>
          </cell>
        </row>
        <row r="421">
          <cell r="B421">
            <v>1.623404428423229E-2</v>
          </cell>
          <cell r="C421">
            <v>2.1370689889680414E-2</v>
          </cell>
          <cell r="D421">
            <v>0.11921026591264205</v>
          </cell>
          <cell r="E421">
            <v>0.15681500008655475</v>
          </cell>
        </row>
        <row r="422">
          <cell r="B422">
            <v>1.3870209560695948E-2</v>
          </cell>
          <cell r="C422">
            <v>1.8214291957820389E-2</v>
          </cell>
          <cell r="D422">
            <v>1.9296611219237994E-2</v>
          </cell>
          <cell r="E422">
            <v>5.1381112737754329E-2</v>
          </cell>
        </row>
        <row r="423">
          <cell r="B423">
            <v>7.4476028575362591E-2</v>
          </cell>
          <cell r="C423">
            <v>5.9377572274936556E-2</v>
          </cell>
          <cell r="D423">
            <v>1.5837717288477368E-2</v>
          </cell>
          <cell r="E423">
            <v>0.14969131813877651</v>
          </cell>
        </row>
        <row r="424">
          <cell r="B424">
            <v>2.5182670657925097E-3</v>
          </cell>
          <cell r="C424">
            <v>2.4471111131242167E-3</v>
          </cell>
          <cell r="D424">
            <v>2.4399541224719087E-3</v>
          </cell>
          <cell r="E424">
            <v>7.4053323013886351E-3</v>
          </cell>
        </row>
        <row r="425">
          <cell r="B425">
            <v>5.0777934062669556E-3</v>
          </cell>
          <cell r="C425">
            <v>3.647167461172609E-3</v>
          </cell>
          <cell r="D425">
            <v>3.4497467549635288E-3</v>
          </cell>
          <cell r="E425">
            <v>1.2174707622403094E-2</v>
          </cell>
        </row>
        <row r="426">
          <cell r="B426">
            <v>1.9223268100756401E-2</v>
          </cell>
          <cell r="C426">
            <v>6.1135270401962108E-2</v>
          </cell>
          <cell r="D426">
            <v>0.11769236326433695</v>
          </cell>
          <cell r="E426">
            <v>0.19805090176705548</v>
          </cell>
        </row>
        <row r="427">
          <cell r="B427">
            <v>7.6272375465122446E-3</v>
          </cell>
          <cell r="C427">
            <v>4.4764939487349602E-2</v>
          </cell>
          <cell r="D427">
            <v>2.8994738387701076</v>
          </cell>
          <cell r="E427">
            <v>2.9518660158039696</v>
          </cell>
        </row>
        <row r="428">
          <cell r="B428">
            <v>1.6044778198539295E-2</v>
          </cell>
          <cell r="C428">
            <v>6.5291647957027674E-2</v>
          </cell>
          <cell r="D428">
            <v>1.8877304789714409</v>
          </cell>
          <cell r="E428">
            <v>1.9690669051270078</v>
          </cell>
        </row>
        <row r="429">
          <cell r="B429">
            <v>1.2416748294986832E-3</v>
          </cell>
          <cell r="C429">
            <v>1.3226187345200638E-2</v>
          </cell>
          <cell r="D429">
            <v>0.10728923932137785</v>
          </cell>
          <cell r="E429">
            <v>0.12175710149607717</v>
          </cell>
        </row>
        <row r="430">
          <cell r="B430">
            <v>1.1002771331639568E-3</v>
          </cell>
          <cell r="C430">
            <v>1.1384859468017299E-2</v>
          </cell>
          <cell r="D430">
            <v>1.7366950097314194E-2</v>
          </cell>
          <cell r="E430">
            <v>2.9852086698495449E-2</v>
          </cell>
        </row>
        <row r="431">
          <cell r="B431">
            <v>7.3472938532212198E-3</v>
          </cell>
          <cell r="C431">
            <v>2.0920902513815599E-2</v>
          </cell>
          <cell r="D431">
            <v>1.4253945559629631E-2</v>
          </cell>
          <cell r="E431">
            <v>4.2522141926666451E-2</v>
          </cell>
        </row>
        <row r="432">
          <cell r="B432">
            <v>1.1786251825153646E-4</v>
          </cell>
          <cell r="C432">
            <v>1.4707420901279536E-3</v>
          </cell>
          <cell r="D432">
            <v>2.195958710224718E-3</v>
          </cell>
          <cell r="E432">
            <v>3.784563318604208E-3</v>
          </cell>
        </row>
        <row r="433">
          <cell r="B433">
            <v>3.527604892768207E-4</v>
          </cell>
          <cell r="C433">
            <v>1.8959667379853352E-3</v>
          </cell>
          <cell r="D433">
            <v>3.1047720794671759E-3</v>
          </cell>
          <cell r="E433">
            <v>5.3534993067293323E-3</v>
          </cell>
        </row>
        <row r="615">
          <cell r="A615" t="str">
            <v>Fuel-Cell Combination Short-Haul Trucks: G.H2, Central Plants, NA NG</v>
          </cell>
        </row>
        <row r="616">
          <cell r="B616" t="str">
            <v>Btu/mile or Gallon/mile or g/mile</v>
          </cell>
        </row>
        <row r="618">
          <cell r="B618">
            <v>1153.0883490976153</v>
          </cell>
          <cell r="C618">
            <v>8549.7646079326332</v>
          </cell>
          <cell r="D618">
            <v>18462.413916438956</v>
          </cell>
          <cell r="E618">
            <v>28165.266873469205</v>
          </cell>
        </row>
        <row r="619">
          <cell r="B619">
            <v>1144.9961948110258</v>
          </cell>
          <cell r="C619">
            <v>7686.6753139490438</v>
          </cell>
          <cell r="D619">
            <v>18462.413916438956</v>
          </cell>
          <cell r="E619">
            <v>27294.085425199024</v>
          </cell>
        </row>
        <row r="620">
          <cell r="B620">
            <v>10.680327767779835</v>
          </cell>
          <cell r="C620">
            <v>1140.9302063583684</v>
          </cell>
          <cell r="D620">
            <v>0</v>
          </cell>
          <cell r="E620">
            <v>1151.6105341261482</v>
          </cell>
        </row>
        <row r="621">
          <cell r="B621">
            <v>1074.7193646973376</v>
          </cell>
          <cell r="C621">
            <v>6482.540372313083</v>
          </cell>
          <cell r="D621">
            <v>18462.413916438956</v>
          </cell>
          <cell r="E621">
            <v>26019.673653449376</v>
          </cell>
        </row>
        <row r="622">
          <cell r="B622">
            <v>59.596502345908476</v>
          </cell>
          <cell r="C622">
            <v>63.204735277592974</v>
          </cell>
          <cell r="D622">
            <v>0</v>
          </cell>
          <cell r="E622">
            <v>122.80123762350145</v>
          </cell>
        </row>
        <row r="623">
          <cell r="B623">
            <v>4.5302889184376485E-2</v>
          </cell>
          <cell r="C623">
            <v>0.63207263895391008</v>
          </cell>
          <cell r="D623">
            <v>0</v>
          </cell>
          <cell r="E623">
            <v>0.67737552813828661</v>
          </cell>
        </row>
        <row r="624">
          <cell r="B624">
            <v>71.272240400431315</v>
          </cell>
          <cell r="C624">
            <v>1602.0190993731858</v>
          </cell>
          <cell r="D624">
            <v>0</v>
          </cell>
          <cell r="E624">
            <v>1673.291339773617</v>
          </cell>
        </row>
        <row r="625">
          <cell r="B625">
            <v>2.3563311208477042</v>
          </cell>
          <cell r="C625">
            <v>1.6471641865268278</v>
          </cell>
          <cell r="D625">
            <v>0</v>
          </cell>
          <cell r="E625">
            <v>4.0034953073745321</v>
          </cell>
        </row>
        <row r="626">
          <cell r="B626">
            <v>3.592970350893203E-3</v>
          </cell>
          <cell r="C626">
            <v>1.1933076115498783E-2</v>
          </cell>
          <cell r="D626">
            <v>0</v>
          </cell>
          <cell r="E626">
            <v>1.5526046466391986E-2</v>
          </cell>
        </row>
        <row r="627">
          <cell r="B627">
            <v>142.91431116884914</v>
          </cell>
          <cell r="C627">
            <v>1654.5962901395978</v>
          </cell>
          <cell r="D627">
            <v>0</v>
          </cell>
          <cell r="E627">
            <v>1797.5106013084469</v>
          </cell>
        </row>
        <row r="628">
          <cell r="B628">
            <v>0.10625055688466352</v>
          </cell>
          <cell r="C628">
            <v>0.10993311218102192</v>
          </cell>
          <cell r="D628">
            <v>0</v>
          </cell>
          <cell r="E628">
            <v>0.21618366906568542</v>
          </cell>
        </row>
        <row r="629">
          <cell r="B629">
            <v>0.21732755872167658</v>
          </cell>
          <cell r="C629">
            <v>0.14904232046856608</v>
          </cell>
          <cell r="D629">
            <v>0</v>
          </cell>
          <cell r="E629">
            <v>0.36636987919024266</v>
          </cell>
        </row>
        <row r="630">
          <cell r="B630">
            <v>0.24732412982590055</v>
          </cell>
          <cell r="C630">
            <v>0.28638948595429836</v>
          </cell>
          <cell r="D630">
            <v>0</v>
          </cell>
          <cell r="E630">
            <v>0.53371361578019894</v>
          </cell>
        </row>
        <row r="631">
          <cell r="B631">
            <v>5.740612223933161E-3</v>
          </cell>
          <cell r="C631">
            <v>7.0208563651061345E-2</v>
          </cell>
          <cell r="D631">
            <v>0.11458257409218819</v>
          </cell>
          <cell r="E631">
            <v>0.1905317499671827</v>
          </cell>
        </row>
        <row r="632">
          <cell r="B632">
            <v>5.1607315131924842E-3</v>
          </cell>
          <cell r="C632">
            <v>5.9070138280526242E-2</v>
          </cell>
          <cell r="D632">
            <v>1.5039149755902231E-2</v>
          </cell>
          <cell r="E632">
            <v>7.9270019549620957E-2</v>
          </cell>
        </row>
        <row r="633">
          <cell r="B633">
            <v>0.16458651498573368</v>
          </cell>
          <cell r="C633">
            <v>0.208984858474006</v>
          </cell>
          <cell r="D633">
            <v>0</v>
          </cell>
          <cell r="E633">
            <v>0.37357137345973968</v>
          </cell>
        </row>
        <row r="634">
          <cell r="B634">
            <v>1.3889712818863093E-3</v>
          </cell>
          <cell r="C634">
            <v>5.6658475841486694E-3</v>
          </cell>
          <cell r="D634">
            <v>1.9207431362550063E-3</v>
          </cell>
          <cell r="E634">
            <v>8.9755620022899853E-3</v>
          </cell>
        </row>
        <row r="635">
          <cell r="B635">
            <v>1.936345877141382E-3</v>
          </cell>
          <cell r="C635">
            <v>1.591923382443074E-2</v>
          </cell>
          <cell r="D635">
            <v>2.5475256417659933E-3</v>
          </cell>
          <cell r="E635">
            <v>2.0403105343338116E-2</v>
          </cell>
        </row>
        <row r="636">
          <cell r="B636">
            <v>2.355531927592365E-3</v>
          </cell>
          <cell r="C636">
            <v>1.0948589607472657E-2</v>
          </cell>
          <cell r="D636">
            <v>0</v>
          </cell>
          <cell r="E636">
            <v>1.3304121535065022E-2</v>
          </cell>
        </row>
        <row r="637">
          <cell r="B637">
            <v>8.0913213066548147E-3</v>
          </cell>
          <cell r="C637">
            <v>9.7144773932719176E-3</v>
          </cell>
          <cell r="D637">
            <v>0</v>
          </cell>
          <cell r="E637">
            <v>1.7805798699926732E-2</v>
          </cell>
        </row>
        <row r="638">
          <cell r="B638">
            <v>9.6985998640504098E-3</v>
          </cell>
          <cell r="C638">
            <v>4.6914790381678007E-2</v>
          </cell>
          <cell r="D638">
            <v>0</v>
          </cell>
          <cell r="E638">
            <v>5.6613390245728416E-2</v>
          </cell>
        </row>
        <row r="639">
          <cell r="B639">
            <v>1.4037197907955558E-4</v>
          </cell>
          <cell r="C639">
            <v>1.5842834845968507E-2</v>
          </cell>
          <cell r="D639">
            <v>0.10312431668296938</v>
          </cell>
          <cell r="E639">
            <v>0.11910752350801745</v>
          </cell>
        </row>
        <row r="640">
          <cell r="B640">
            <v>1.259705926826183E-4</v>
          </cell>
          <cell r="C640">
            <v>1.5008082737201974E-2</v>
          </cell>
          <cell r="D640">
            <v>1.3535234780312008E-2</v>
          </cell>
          <cell r="E640">
            <v>2.8669288110196599E-2</v>
          </cell>
        </row>
        <row r="641">
          <cell r="B641">
            <v>2.0392390058527328E-3</v>
          </cell>
          <cell r="C641">
            <v>3.9663394162601978E-2</v>
          </cell>
          <cell r="D641">
            <v>0</v>
          </cell>
          <cell r="E641">
            <v>4.1702633168454711E-2</v>
          </cell>
        </row>
        <row r="642">
          <cell r="B642">
            <v>2.0942649254483465E-5</v>
          </cell>
          <cell r="C642">
            <v>1.2694416616212663E-3</v>
          </cell>
          <cell r="D642">
            <v>1.7286688226295058E-3</v>
          </cell>
          <cell r="E642">
            <v>3.0190531335052553E-3</v>
          </cell>
        </row>
        <row r="643">
          <cell r="B643">
            <v>3.9206265571390593E-5</v>
          </cell>
          <cell r="C643">
            <v>3.9800018857551423E-3</v>
          </cell>
          <cell r="D643">
            <v>2.2927730775893942E-3</v>
          </cell>
          <cell r="E643">
            <v>6.3119812289159274E-3</v>
          </cell>
        </row>
        <row r="645">
          <cell r="A645" t="str">
            <v>Combination Short-Haul Trucks: Electricity, NGCC Turbine</v>
          </cell>
        </row>
        <row r="646">
          <cell r="B646" t="str">
            <v>Btu/mile or Gallon/mile or g/mile</v>
          </cell>
        </row>
        <row r="648">
          <cell r="B648">
            <v>1649.1520493329249</v>
          </cell>
          <cell r="C648">
            <v>9415.2815471586637</v>
          </cell>
          <cell r="D648">
            <v>9080.1327885048213</v>
          </cell>
          <cell r="E648">
            <v>20144.566384996411</v>
          </cell>
        </row>
        <row r="649">
          <cell r="B649">
            <v>1637.4477244625164</v>
          </cell>
          <cell r="C649">
            <v>9415.2815471586637</v>
          </cell>
          <cell r="D649">
            <v>9080.1327885048213</v>
          </cell>
          <cell r="E649">
            <v>20132.862060126001</v>
          </cell>
        </row>
        <row r="650">
          <cell r="B650">
            <v>15.451512837099903</v>
          </cell>
          <cell r="C650">
            <v>0</v>
          </cell>
          <cell r="D650">
            <v>0</v>
          </cell>
          <cell r="E650">
            <v>15.451512837099903</v>
          </cell>
        </row>
        <row r="651">
          <cell r="B651">
            <v>1548.8114454673673</v>
          </cell>
          <cell r="C651">
            <v>9415.2815471586637</v>
          </cell>
          <cell r="D651">
            <v>9080.1327885048213</v>
          </cell>
          <cell r="E651">
            <v>20044.225781130852</v>
          </cell>
        </row>
        <row r="652">
          <cell r="B652">
            <v>73.184766158049058</v>
          </cell>
          <cell r="C652">
            <v>0</v>
          </cell>
          <cell r="D652">
            <v>0</v>
          </cell>
          <cell r="E652">
            <v>73.184766158049058</v>
          </cell>
        </row>
        <row r="653">
          <cell r="B653">
            <v>5.5754746155992067E-2</v>
          </cell>
          <cell r="C653">
            <v>0.44424241595034814</v>
          </cell>
          <cell r="D653">
            <v>0</v>
          </cell>
          <cell r="E653">
            <v>0.49999716210634021</v>
          </cell>
        </row>
        <row r="654">
          <cell r="B654">
            <v>99.9152213825503</v>
          </cell>
          <cell r="C654">
            <v>1098.7926007550393</v>
          </cell>
          <cell r="D654">
            <v>0</v>
          </cell>
          <cell r="E654">
            <v>1198.7078221375896</v>
          </cell>
        </row>
        <row r="655">
          <cell r="B655">
            <v>3.3991222213143693</v>
          </cell>
          <cell r="C655">
            <v>2.5299829996739506E-2</v>
          </cell>
          <cell r="D655">
            <v>0</v>
          </cell>
          <cell r="E655">
            <v>3.4244220513111086</v>
          </cell>
        </row>
        <row r="656">
          <cell r="B656">
            <v>1.4740046956373142E-2</v>
          </cell>
          <cell r="C656">
            <v>2.276506575209631E-3</v>
          </cell>
          <cell r="D656">
            <v>0</v>
          </cell>
          <cell r="E656">
            <v>1.7016553531582775E-2</v>
          </cell>
        </row>
        <row r="657">
          <cell r="B657">
            <v>205.79500046542026</v>
          </cell>
          <cell r="C657">
            <v>1100.154869897372</v>
          </cell>
          <cell r="D657">
            <v>0</v>
          </cell>
          <cell r="E657">
            <v>1305.9498703627924</v>
          </cell>
        </row>
        <row r="658">
          <cell r="B658">
            <v>0.15792537359230602</v>
          </cell>
          <cell r="C658">
            <v>1.2341855682876655E-2</v>
          </cell>
          <cell r="D658">
            <v>0</v>
          </cell>
          <cell r="E658">
            <v>0.17026722927518267</v>
          </cell>
        </row>
        <row r="659">
          <cell r="B659">
            <v>0.41251493958195462</v>
          </cell>
          <cell r="C659">
            <v>9.3843642482683107E-2</v>
          </cell>
          <cell r="D659">
            <v>0</v>
          </cell>
          <cell r="E659">
            <v>0.50635858206463769</v>
          </cell>
        </row>
        <row r="660">
          <cell r="B660">
            <v>0.47569069732076646</v>
          </cell>
          <cell r="C660">
            <v>0.13953569424815562</v>
          </cell>
          <cell r="D660">
            <v>0</v>
          </cell>
          <cell r="E660">
            <v>0.61522639156892212</v>
          </cell>
        </row>
        <row r="661">
          <cell r="B661">
            <v>7.3421835724815834E-3</v>
          </cell>
          <cell r="C661">
            <v>4.7788311069799055E-2</v>
          </cell>
          <cell r="D661">
            <v>0.11458257409218819</v>
          </cell>
          <cell r="E661">
            <v>0.16971306873446884</v>
          </cell>
        </row>
        <row r="662">
          <cell r="B662">
            <v>6.6100017242883037E-3</v>
          </cell>
          <cell r="C662">
            <v>4.6155621897193806E-2</v>
          </cell>
          <cell r="D662">
            <v>1.5039149755902231E-2</v>
          </cell>
          <cell r="E662">
            <v>6.7804773377384345E-2</v>
          </cell>
        </row>
        <row r="663">
          <cell r="B663">
            <v>0.20223832056842533</v>
          </cell>
          <cell r="C663">
            <v>2.0166602807376432E-2</v>
          </cell>
          <cell r="D663">
            <v>0</v>
          </cell>
          <cell r="E663">
            <v>0.22240492337580176</v>
          </cell>
        </row>
        <row r="664">
          <cell r="B664">
            <v>1.7554014234037907E-3</v>
          </cell>
          <cell r="C664">
            <v>1.3385130350186203E-3</v>
          </cell>
          <cell r="D664">
            <v>1.9207431362550063E-3</v>
          </cell>
          <cell r="E664">
            <v>5.0146575946774172E-3</v>
          </cell>
        </row>
        <row r="665">
          <cell r="B665">
            <v>2.4905527056419559E-3</v>
          </cell>
          <cell r="C665">
            <v>3.1385822890091786E-2</v>
          </cell>
          <cell r="D665">
            <v>2.5475256417659933E-3</v>
          </cell>
          <cell r="E665">
            <v>3.6423901237499737E-2</v>
          </cell>
        </row>
        <row r="666">
          <cell r="B666">
            <v>6.746404936684415E-3</v>
          </cell>
          <cell r="C666">
            <v>3.8630008287403941E-3</v>
          </cell>
          <cell r="D666">
            <v>0</v>
          </cell>
          <cell r="E666">
            <v>1.0609405765424809E-2</v>
          </cell>
        </row>
        <row r="667">
          <cell r="B667">
            <v>3.0357510956028198E-2</v>
          </cell>
          <cell r="C667">
            <v>2.9373060097079812E-2</v>
          </cell>
          <cell r="D667">
            <v>0</v>
          </cell>
          <cell r="E667">
            <v>5.9730571053108014E-2</v>
          </cell>
        </row>
        <row r="668">
          <cell r="B668">
            <v>3.6052009192850946E-2</v>
          </cell>
          <cell r="C668">
            <v>4.3674672299672701E-2</v>
          </cell>
          <cell r="D668">
            <v>0</v>
          </cell>
          <cell r="E668">
            <v>7.9726681492523654E-2</v>
          </cell>
        </row>
        <row r="669">
          <cell r="B669">
            <v>2.1760392821949437E-4</v>
          </cell>
          <cell r="C669">
            <v>1.4957741364847109E-2</v>
          </cell>
          <cell r="D669">
            <v>0.10312431668296938</v>
          </cell>
          <cell r="E669">
            <v>0.11829966197603599</v>
          </cell>
        </row>
        <row r="670">
          <cell r="B670">
            <v>1.9864343847366583E-4</v>
          </cell>
          <cell r="C670">
            <v>1.4446709653821659E-2</v>
          </cell>
          <cell r="D670">
            <v>1.3535234780312008E-2</v>
          </cell>
          <cell r="E670">
            <v>2.8180587872607334E-2</v>
          </cell>
        </row>
        <row r="671">
          <cell r="B671">
            <v>2.5892008344523079E-3</v>
          </cell>
          <cell r="C671">
            <v>6.3121466787088238E-3</v>
          </cell>
          <cell r="D671">
            <v>0</v>
          </cell>
          <cell r="E671">
            <v>8.9013475131611321E-3</v>
          </cell>
        </row>
        <row r="672">
          <cell r="B672">
            <v>3.3113943920314795E-5</v>
          </cell>
          <cell r="C672">
            <v>4.1895457996082809E-4</v>
          </cell>
          <cell r="D672">
            <v>1.7286688226295058E-3</v>
          </cell>
          <cell r="E672">
            <v>2.1807373465106486E-3</v>
          </cell>
        </row>
        <row r="673">
          <cell r="B673">
            <v>6.5636433560849487E-5</v>
          </cell>
          <cell r="C673">
            <v>9.8237625645987287E-3</v>
          </cell>
          <cell r="D673">
            <v>2.2927730775893942E-3</v>
          </cell>
          <cell r="E673">
            <v>1.2182172075748973E-2</v>
          </cell>
        </row>
        <row r="705">
          <cell r="A705" t="str">
            <v>Grid-Independent Hybrid Short-haul Trucks : Conventional and LS Diesel</v>
          </cell>
        </row>
        <row r="706">
          <cell r="B706" t="str">
            <v>Btu/mile or Gallon/mile or g/mile</v>
          </cell>
        </row>
        <row r="708">
          <cell r="B708">
            <v>1310.8645548620857</v>
          </cell>
          <cell r="C708">
            <v>2412.8560534731751</v>
          </cell>
          <cell r="D708">
            <v>20386.455853622698</v>
          </cell>
          <cell r="E708">
            <v>24110.176461957959</v>
          </cell>
        </row>
        <row r="709">
          <cell r="B709">
            <v>1231.4339088757765</v>
          </cell>
          <cell r="C709">
            <v>2376.1970520009672</v>
          </cell>
          <cell r="D709">
            <v>20386.455853622698</v>
          </cell>
          <cell r="E709">
            <v>23994.086814499442</v>
          </cell>
        </row>
        <row r="710">
          <cell r="B710">
            <v>99.125465259145415</v>
          </cell>
          <cell r="C710">
            <v>48.259772134407221</v>
          </cell>
          <cell r="D710">
            <v>0</v>
          </cell>
          <cell r="E710">
            <v>147.38523739355264</v>
          </cell>
        </row>
        <row r="711">
          <cell r="B711">
            <v>908.04476229618967</v>
          </cell>
          <cell r="C711">
            <v>1605.0012724357725</v>
          </cell>
          <cell r="D711">
            <v>0</v>
          </cell>
          <cell r="E711">
            <v>2513.0460347319622</v>
          </cell>
        </row>
        <row r="712">
          <cell r="B712">
            <v>224.26368132044144</v>
          </cell>
          <cell r="C712">
            <v>722.9360074307873</v>
          </cell>
          <cell r="D712">
            <v>20386.455853622698</v>
          </cell>
          <cell r="E712">
            <v>21333.655542373926</v>
          </cell>
        </row>
        <row r="713">
          <cell r="B713">
            <v>0.36093734016668771</v>
          </cell>
          <cell r="C713">
            <v>8.3675357232464512E-2</v>
          </cell>
          <cell r="D713">
            <v>0</v>
          </cell>
          <cell r="E713">
            <v>0.44461269739915221</v>
          </cell>
        </row>
        <row r="714">
          <cell r="B714">
            <v>108.33605212998545</v>
          </cell>
          <cell r="C714">
            <v>155.91681592697228</v>
          </cell>
          <cell r="D714">
            <v>1611.9510804898825</v>
          </cell>
          <cell r="E714">
            <v>1876.2039485468404</v>
          </cell>
        </row>
        <row r="715">
          <cell r="B715">
            <v>1.8679663140013083</v>
          </cell>
          <cell r="C715">
            <v>0.36528960429199386</v>
          </cell>
          <cell r="D715">
            <v>1.8848781255282401E-2</v>
          </cell>
          <cell r="E715">
            <v>2.2521046995485845</v>
          </cell>
        </row>
        <row r="716">
          <cell r="B716">
            <v>1.7156756252338205E-3</v>
          </cell>
          <cell r="C716">
            <v>2.8213676160942789E-3</v>
          </cell>
          <cell r="D716">
            <v>2.8749891195057132E-3</v>
          </cell>
          <cell r="E716">
            <v>7.4120323608338123E-3</v>
          </cell>
        </row>
        <row r="717">
          <cell r="B717">
            <v>164.82969559071165</v>
          </cell>
          <cell r="C717">
            <v>167.62316647399709</v>
          </cell>
          <cell r="D717">
            <v>1613.27841604421</v>
          </cell>
          <cell r="E717">
            <v>1945.7312781089186</v>
          </cell>
        </row>
        <row r="718">
          <cell r="B718">
            <v>7.528062557396191E-2</v>
          </cell>
          <cell r="C718">
            <v>7.4834205341865578E-2</v>
          </cell>
          <cell r="D718">
            <v>0.13076929251592995</v>
          </cell>
          <cell r="E718">
            <v>0.28088412343175745</v>
          </cell>
        </row>
        <row r="719">
          <cell r="B719">
            <v>0.15036157787489521</v>
          </cell>
          <cell r="C719">
            <v>8.5942609333194891E-2</v>
          </cell>
          <cell r="D719">
            <v>1.6108187993167264</v>
          </cell>
          <cell r="E719">
            <v>1.8471229865248167</v>
          </cell>
        </row>
        <row r="720">
          <cell r="B720">
            <v>0.231582271961813</v>
          </cell>
          <cell r="C720">
            <v>0.12936710407251087</v>
          </cell>
          <cell r="D720">
            <v>2.0974783099682677</v>
          </cell>
          <cell r="E720">
            <v>2.4584276860025915</v>
          </cell>
        </row>
        <row r="721">
          <cell r="B721">
            <v>1.138237941535856E-2</v>
          </cell>
          <cell r="C721">
            <v>1.4983900279770175E-2</v>
          </cell>
          <cell r="D721">
            <v>0.11921026591264205</v>
          </cell>
          <cell r="E721">
            <v>0.14557654560777078</v>
          </cell>
        </row>
        <row r="722">
          <cell r="B722">
            <v>9.7249942790728957E-3</v>
          </cell>
          <cell r="C722">
            <v>1.2770815344355828E-2</v>
          </cell>
          <cell r="D722">
            <v>1.9296611219237994E-2</v>
          </cell>
          <cell r="E722">
            <v>4.1792420842666718E-2</v>
          </cell>
        </row>
        <row r="723">
          <cell r="B723">
            <v>5.2218313548474567E-2</v>
          </cell>
          <cell r="C723">
            <v>4.163214320245797E-2</v>
          </cell>
          <cell r="D723">
            <v>1.1104497689816313E-2</v>
          </cell>
          <cell r="E723">
            <v>0.10495495444074884</v>
          </cell>
        </row>
        <row r="724">
          <cell r="B724">
            <v>1.7656642245267586E-3</v>
          </cell>
          <cell r="C724">
            <v>1.715773757508724E-3</v>
          </cell>
          <cell r="D724">
            <v>2.4399541224719087E-3</v>
          </cell>
          <cell r="E724">
            <v>5.9213921045073916E-3</v>
          </cell>
        </row>
        <row r="725">
          <cell r="B725">
            <v>3.5602570826465912E-3</v>
          </cell>
          <cell r="C725">
            <v>2.557184340980121E-3</v>
          </cell>
          <cell r="D725">
            <v>3.4497467549635288E-3</v>
          </cell>
          <cell r="E725">
            <v>9.5671881785902406E-3</v>
          </cell>
        </row>
        <row r="726">
          <cell r="B726">
            <v>1.3478251463099042E-2</v>
          </cell>
          <cell r="C726">
            <v>4.286454017201053E-2</v>
          </cell>
          <cell r="D726">
            <v>0.11769236326433695</v>
          </cell>
          <cell r="E726">
            <v>0.17403515489944651</v>
          </cell>
        </row>
        <row r="727">
          <cell r="B727">
            <v>5.3477808810582809E-3</v>
          </cell>
          <cell r="C727">
            <v>3.1386604399340871E-2</v>
          </cell>
          <cell r="D727">
            <v>1.4497369193850538</v>
          </cell>
          <cell r="E727">
            <v>1.486471304665453</v>
          </cell>
        </row>
        <row r="728">
          <cell r="B728">
            <v>1.1249676906969456E-2</v>
          </cell>
          <cell r="C728">
            <v>4.5778753383267271E-2</v>
          </cell>
          <cell r="D728">
            <v>1.8877304789714409</v>
          </cell>
          <cell r="E728">
            <v>1.9447589092616775</v>
          </cell>
        </row>
        <row r="729">
          <cell r="B729">
            <v>8.7059107221863926E-4</v>
          </cell>
          <cell r="C729">
            <v>9.2734428923486774E-3</v>
          </cell>
          <cell r="D729">
            <v>0.10728923932137785</v>
          </cell>
          <cell r="E729">
            <v>0.11743327328594516</v>
          </cell>
        </row>
        <row r="730">
          <cell r="B730">
            <v>7.7145112902514185E-4</v>
          </cell>
          <cell r="C730">
            <v>7.9824095454374515E-3</v>
          </cell>
          <cell r="D730">
            <v>1.7366950097314194E-2</v>
          </cell>
          <cell r="E730">
            <v>2.612081077177679E-2</v>
          </cell>
        </row>
        <row r="731">
          <cell r="B731">
            <v>5.1515004424820413E-3</v>
          </cell>
          <cell r="C731">
            <v>1.4668535206305126E-2</v>
          </cell>
          <cell r="D731">
            <v>9.9940479208346818E-3</v>
          </cell>
          <cell r="E731">
            <v>2.9814083569621848E-2</v>
          </cell>
        </row>
        <row r="732">
          <cell r="B732">
            <v>8.2638428114405841E-5</v>
          </cell>
          <cell r="C732">
            <v>1.0311998784082108E-3</v>
          </cell>
          <cell r="D732">
            <v>2.195958710224718E-3</v>
          </cell>
          <cell r="E732">
            <v>3.3097970167473346E-3</v>
          </cell>
        </row>
        <row r="733">
          <cell r="B733">
            <v>2.4733539353445101E-4</v>
          </cell>
          <cell r="C733">
            <v>1.3293429778067989E-3</v>
          </cell>
          <cell r="D733">
            <v>3.1047720794671759E-3</v>
          </cell>
          <cell r="E733">
            <v>4.6814504508084255E-3</v>
          </cell>
        </row>
        <row r="876">
          <cell r="F876">
            <v>0</v>
          </cell>
        </row>
        <row r="877">
          <cell r="F877">
            <v>0</v>
          </cell>
        </row>
        <row r="897">
          <cell r="E897">
            <v>3131.6067030242075</v>
          </cell>
        </row>
        <row r="1125">
          <cell r="A1125" t="str">
            <v>CIDI Medium Heavy-Duty Vocational Vehicles: Conventional and LS Diesel</v>
          </cell>
        </row>
        <row r="1126">
          <cell r="B1126" t="str">
            <v>Btu/mile or Gallon/mile or g/mile</v>
          </cell>
        </row>
        <row r="1128">
          <cell r="B1128">
            <v>1287.0269553807836</v>
          </cell>
          <cell r="C1128">
            <v>2368.9791357585304</v>
          </cell>
          <cell r="D1128">
            <v>20015.735501409781</v>
          </cell>
          <cell r="E1128">
            <v>23671.741592549093</v>
          </cell>
        </row>
        <row r="1129">
          <cell r="B1129">
            <v>1209.0407270641263</v>
          </cell>
          <cell r="C1129">
            <v>2332.9867650158189</v>
          </cell>
          <cell r="D1129">
            <v>20015.735501409781</v>
          </cell>
          <cell r="E1129">
            <v>23557.762993489727</v>
          </cell>
        </row>
        <row r="1130">
          <cell r="B1130">
            <v>97.322904399229714</v>
          </cell>
          <cell r="C1130">
            <v>47.382185571453796</v>
          </cell>
          <cell r="D1130">
            <v>0</v>
          </cell>
          <cell r="E1130">
            <v>144.7050899706835</v>
          </cell>
        </row>
        <row r="1131">
          <cell r="B1131">
            <v>891.53229556236477</v>
          </cell>
          <cell r="C1131">
            <v>1575.8149027552463</v>
          </cell>
          <cell r="D1131">
            <v>0</v>
          </cell>
          <cell r="E1131">
            <v>2467.3471983176109</v>
          </cell>
        </row>
        <row r="1132">
          <cell r="B1132">
            <v>220.18552710253184</v>
          </cell>
          <cell r="C1132">
            <v>709.78967668911912</v>
          </cell>
          <cell r="D1132">
            <v>20015.735501409781</v>
          </cell>
          <cell r="E1132">
            <v>20945.710705201433</v>
          </cell>
        </row>
        <row r="1133">
          <cell r="B1133">
            <v>0.3543738247212303</v>
          </cell>
          <cell r="C1133">
            <v>8.215375101863856E-2</v>
          </cell>
          <cell r="D1133">
            <v>0</v>
          </cell>
          <cell r="E1133">
            <v>0.43652757573986889</v>
          </cell>
        </row>
        <row r="1134">
          <cell r="B1134">
            <v>106.36600006741232</v>
          </cell>
          <cell r="C1134">
            <v>153.0815248233402</v>
          </cell>
          <cell r="D1134">
            <v>1582.5731091955577</v>
          </cell>
          <cell r="E1134">
            <v>1842.0206340863101</v>
          </cell>
        </row>
        <row r="1135">
          <cell r="B1135">
            <v>1.8339980198151773</v>
          </cell>
          <cell r="C1135">
            <v>0.35864694449201784</v>
          </cell>
          <cell r="D1135">
            <v>4.2223062639929303E-2</v>
          </cell>
          <cell r="E1135">
            <v>2.2348680269471242</v>
          </cell>
        </row>
        <row r="1136">
          <cell r="B1136">
            <v>1.6844766823358192E-3</v>
          </cell>
          <cell r="C1136">
            <v>2.7700620628450748E-3</v>
          </cell>
          <cell r="D1136">
            <v>5.3226713554296052E-3</v>
          </cell>
          <cell r="E1136">
            <v>9.7772101006104988E-3</v>
          </cell>
        </row>
        <row r="1137">
          <cell r="B1137">
            <v>161.83232698268662</v>
          </cell>
          <cell r="C1137">
            <v>164.57499960475468</v>
          </cell>
          <cell r="D1137">
            <v>1585.2503089839445</v>
          </cell>
          <cell r="E1137">
            <v>1911.6576355713855</v>
          </cell>
        </row>
        <row r="1138">
          <cell r="B1138">
            <v>7.3911674529799493E-2</v>
          </cell>
          <cell r="C1138">
            <v>7.3473372288729466E-2</v>
          </cell>
          <cell r="D1138">
            <v>0.19534604650403914</v>
          </cell>
          <cell r="E1138">
            <v>0.34273109332256813</v>
          </cell>
        </row>
        <row r="1139">
          <cell r="B1139">
            <v>0.14762730677307612</v>
          </cell>
          <cell r="C1139">
            <v>8.4379773957057785E-2</v>
          </cell>
          <cell r="D1139">
            <v>1.623866351548499</v>
          </cell>
          <cell r="E1139">
            <v>1.855873432278633</v>
          </cell>
        </row>
        <row r="1140">
          <cell r="B1140">
            <v>0.22737103181078425</v>
          </cell>
          <cell r="C1140">
            <v>0.12701460991016708</v>
          </cell>
          <cell r="D1140">
            <v>1.1053736822195608</v>
          </cell>
          <cell r="E1140">
            <v>1.4597593239405122</v>
          </cell>
        </row>
        <row r="1141">
          <cell r="B1141">
            <v>1.1175394948015113E-2</v>
          </cell>
          <cell r="C1141">
            <v>1.4711423453532008E-2</v>
          </cell>
          <cell r="D1141">
            <v>0.12388928475944179</v>
          </cell>
          <cell r="E1141">
            <v>0.14977610316098891</v>
          </cell>
        </row>
        <row r="1142">
          <cell r="B1142">
            <v>9.5481487630944099E-3</v>
          </cell>
          <cell r="C1142">
            <v>1.253858267004994E-2</v>
          </cell>
          <cell r="D1142">
            <v>2.4533744846258233E-2</v>
          </cell>
          <cell r="E1142">
            <v>4.6620476279402585E-2</v>
          </cell>
        </row>
        <row r="1143">
          <cell r="B1143">
            <v>5.1268742336604757E-2</v>
          </cell>
          <cell r="C1143">
            <v>4.0875077682967435E-2</v>
          </cell>
          <cell r="D1143">
            <v>1.0902566401500462E-2</v>
          </cell>
          <cell r="E1143">
            <v>0.10304638642107265</v>
          </cell>
        </row>
        <row r="1144">
          <cell r="B1144">
            <v>1.733556256967013E-3</v>
          </cell>
          <cell r="C1144">
            <v>1.6845730301106715E-3</v>
          </cell>
          <cell r="D1144">
            <v>3.0806159084931445E-3</v>
          </cell>
          <cell r="E1144">
            <v>6.4987451955708288E-3</v>
          </cell>
        </row>
        <row r="1145">
          <cell r="B1145">
            <v>3.4955150907513824E-3</v>
          </cell>
          <cell r="C1145">
            <v>2.5106828653745391E-3</v>
          </cell>
          <cell r="D1145">
            <v>4.5938089239662295E-3</v>
          </cell>
          <cell r="E1145">
            <v>1.0600006880092151E-2</v>
          </cell>
        </row>
        <row r="1146">
          <cell r="B1146">
            <v>1.3233154317940954E-2</v>
          </cell>
          <cell r="C1146">
            <v>4.2085063957797035E-2</v>
          </cell>
          <cell r="D1146">
            <v>0.17971836278371603</v>
          </cell>
          <cell r="E1146">
            <v>0.23503658105945402</v>
          </cell>
        </row>
        <row r="1147">
          <cell r="B1147">
            <v>5.2505334131306399E-3</v>
          </cell>
          <cell r="C1147">
            <v>3.081585031038904E-2</v>
          </cell>
          <cell r="D1147">
            <v>1.4939570434246192</v>
          </cell>
          <cell r="E1147">
            <v>1.530023427148139</v>
          </cell>
        </row>
        <row r="1148">
          <cell r="B1148">
            <v>1.1045105586913738E-2</v>
          </cell>
          <cell r="C1148">
            <v>4.4946283252119031E-2</v>
          </cell>
          <cell r="D1148">
            <v>1.016943787641996</v>
          </cell>
          <cell r="E1148">
            <v>1.0729351764810289</v>
          </cell>
        </row>
        <row r="1149">
          <cell r="B1149">
            <v>8.5475968734018517E-4</v>
          </cell>
          <cell r="C1149">
            <v>9.1048086755940796E-3</v>
          </cell>
          <cell r="D1149">
            <v>0.11397814197868646</v>
          </cell>
          <cell r="E1149">
            <v>0.12393771034162072</v>
          </cell>
        </row>
        <row r="1150">
          <cell r="B1150">
            <v>7.574225682826217E-4</v>
          </cell>
          <cell r="C1150">
            <v>7.8372523047949352E-3</v>
          </cell>
          <cell r="D1150">
            <v>2.2571045258557576E-2</v>
          </cell>
          <cell r="E1150">
            <v>3.1165720131635134E-2</v>
          </cell>
        </row>
        <row r="1151">
          <cell r="B1151">
            <v>5.0578222635884514E-3</v>
          </cell>
          <cell r="C1151">
            <v>1.4401793180267153E-2</v>
          </cell>
          <cell r="D1151">
            <v>1.0030361089380425E-2</v>
          </cell>
          <cell r="E1151">
            <v>2.9489976533236029E-2</v>
          </cell>
        </row>
        <row r="1152">
          <cell r="B1152">
            <v>8.1135678082872026E-5</v>
          </cell>
          <cell r="C1152">
            <v>1.0124478802742401E-3</v>
          </cell>
          <cell r="D1152">
            <v>2.8341666358136929E-3</v>
          </cell>
          <cell r="E1152">
            <v>3.9277501941708051E-3</v>
          </cell>
        </row>
        <row r="1153">
          <cell r="B1153">
            <v>2.4283768854520843E-4</v>
          </cell>
          <cell r="C1153">
            <v>1.3051693548640582E-3</v>
          </cell>
          <cell r="D1153">
            <v>4.2263042100489315E-3</v>
          </cell>
          <cell r="E1153">
            <v>5.7743112534581979E-3</v>
          </cell>
        </row>
        <row r="1275">
          <cell r="A1275" t="str">
            <v>Grid-Independent Hybrid Medium Heavy-Duty Vocational Vehicles: Conventional and LS Diesel</v>
          </cell>
        </row>
        <row r="1276">
          <cell r="B1276" t="str">
            <v>Btu/mile or Gallon/mile or g/mile</v>
          </cell>
        </row>
        <row r="1278">
          <cell r="B1278">
            <v>840.83146880627146</v>
          </cell>
          <cell r="C1278">
            <v>1547.6849167482458</v>
          </cell>
          <cell r="D1278">
            <v>13076.540635397092</v>
          </cell>
          <cell r="E1278">
            <v>15465.057020951608</v>
          </cell>
        </row>
        <row r="1279">
          <cell r="B1279">
            <v>789.88205035935505</v>
          </cell>
          <cell r="C1279">
            <v>1524.1706322720052</v>
          </cell>
          <cell r="D1279">
            <v>13076.540635397092</v>
          </cell>
          <cell r="E1279">
            <v>15390.593318028452</v>
          </cell>
        </row>
        <row r="1280">
          <cell r="B1280">
            <v>63.582320721702011</v>
          </cell>
          <cell r="C1280">
            <v>30.955398814867483</v>
          </cell>
          <cell r="D1280">
            <v>0</v>
          </cell>
          <cell r="E1280">
            <v>94.537719536569497</v>
          </cell>
        </row>
        <row r="1281">
          <cell r="B1281">
            <v>582.44965766404073</v>
          </cell>
          <cell r="C1281">
            <v>1029.5003952411303</v>
          </cell>
          <cell r="D1281">
            <v>0</v>
          </cell>
          <cell r="E1281">
            <v>1611.9500529051711</v>
          </cell>
        </row>
        <row r="1282">
          <cell r="B1282">
            <v>143.85007197361236</v>
          </cell>
          <cell r="C1282">
            <v>463.71483821600731</v>
          </cell>
          <cell r="D1282">
            <v>13076.540635397092</v>
          </cell>
          <cell r="E1282">
            <v>13684.105545586712</v>
          </cell>
        </row>
        <row r="1283">
          <cell r="B1283">
            <v>0.23151703412357075</v>
          </cell>
          <cell r="C1283">
            <v>5.3672115294981615E-2</v>
          </cell>
          <cell r="D1283">
            <v>0</v>
          </cell>
          <cell r="E1283">
            <v>0.28518914941855233</v>
          </cell>
        </row>
        <row r="1284">
          <cell r="B1284">
            <v>69.490292875233138</v>
          </cell>
          <cell r="C1284">
            <v>100.01015349847947</v>
          </cell>
          <cell r="D1284">
            <v>1033.8753644981605</v>
          </cell>
          <cell r="E1284">
            <v>1203.375810871873</v>
          </cell>
        </row>
        <row r="1285">
          <cell r="B1285">
            <v>1.1981747875146433</v>
          </cell>
          <cell r="C1285">
            <v>0.23430871891170588</v>
          </cell>
          <cell r="D1285">
            <v>4.2223062639929303E-2</v>
          </cell>
          <cell r="E1285">
            <v>1.4747065690662786</v>
          </cell>
        </row>
        <row r="1286">
          <cell r="B1286">
            <v>1.100490550766509E-3</v>
          </cell>
          <cell r="C1286">
            <v>1.8097176156636465E-3</v>
          </cell>
          <cell r="D1286">
            <v>5.3226713554296052E-3</v>
          </cell>
          <cell r="E1286">
            <v>8.2328795218597605E-3</v>
          </cell>
        </row>
        <row r="1287">
          <cell r="B1287">
            <v>105.72716649662556</v>
          </cell>
          <cell r="C1287">
            <v>107.51899023398151</v>
          </cell>
          <cell r="D1287">
            <v>1036.5525642865473</v>
          </cell>
          <cell r="E1287">
            <v>1249.7987210171541</v>
          </cell>
        </row>
        <row r="1288">
          <cell r="B1288">
            <v>4.8287459401683865E-2</v>
          </cell>
          <cell r="C1288">
            <v>4.8001110840296547E-2</v>
          </cell>
          <cell r="D1288">
            <v>0.19534604650403914</v>
          </cell>
          <cell r="E1288">
            <v>0.29163461674601954</v>
          </cell>
        </row>
        <row r="1289">
          <cell r="B1289">
            <v>9.6446841824842922E-2</v>
          </cell>
          <cell r="C1289">
            <v>5.5126405066522347E-2</v>
          </cell>
          <cell r="D1289">
            <v>0.8119331757742495</v>
          </cell>
          <cell r="E1289">
            <v>0.9635064226656147</v>
          </cell>
        </row>
        <row r="1290">
          <cell r="B1290">
            <v>0.14854445576463926</v>
          </cell>
          <cell r="C1290">
            <v>8.298029855872277E-2</v>
          </cell>
          <cell r="D1290">
            <v>1.1053736822195608</v>
          </cell>
          <cell r="E1290">
            <v>1.3368984365429228</v>
          </cell>
        </row>
        <row r="1291">
          <cell r="B1291">
            <v>7.3010310385065863E-3</v>
          </cell>
          <cell r="C1291">
            <v>9.6111645051012735E-3</v>
          </cell>
          <cell r="D1291">
            <v>0.12388928475944179</v>
          </cell>
          <cell r="E1291">
            <v>0.14080148030304965</v>
          </cell>
        </row>
        <row r="1292">
          <cell r="B1292">
            <v>6.2379299169209356E-3</v>
          </cell>
          <cell r="C1292">
            <v>8.1916193278855735E-3</v>
          </cell>
          <cell r="D1292">
            <v>2.4533744846258233E-2</v>
          </cell>
          <cell r="E1292">
            <v>3.8963294091064742E-2</v>
          </cell>
        </row>
        <row r="1293">
          <cell r="B1293">
            <v>3.3494536957839764E-2</v>
          </cell>
          <cell r="C1293">
            <v>2.6704220499850696E-2</v>
          </cell>
          <cell r="D1293">
            <v>7.122788596466729E-3</v>
          </cell>
          <cell r="E1293">
            <v>6.7321546054157189E-2</v>
          </cell>
        </row>
        <row r="1294">
          <cell r="B1294">
            <v>1.1325548759564381E-3</v>
          </cell>
          <cell r="C1294">
            <v>1.1005534960224002E-3</v>
          </cell>
          <cell r="D1294">
            <v>3.0806159084931445E-3</v>
          </cell>
          <cell r="E1294">
            <v>5.313724280471983E-3</v>
          </cell>
        </row>
        <row r="1295">
          <cell r="B1295">
            <v>2.2836655251881567E-3</v>
          </cell>
          <cell r="C1295">
            <v>1.6402618084832784E-3</v>
          </cell>
          <cell r="D1295">
            <v>4.5938089239662295E-3</v>
          </cell>
          <cell r="E1295">
            <v>8.5177362576376644E-3</v>
          </cell>
        </row>
        <row r="1296">
          <cell r="B1296">
            <v>8.6453920297281731E-3</v>
          </cell>
          <cell r="C1296">
            <v>2.7494720288877565E-2</v>
          </cell>
          <cell r="D1296">
            <v>0.17971836278371603</v>
          </cell>
          <cell r="E1296">
            <v>0.21585847510232176</v>
          </cell>
        </row>
        <row r="1297">
          <cell r="B1297">
            <v>3.4302418479439396E-3</v>
          </cell>
          <cell r="C1297">
            <v>2.0132396272409481E-2</v>
          </cell>
          <cell r="D1297">
            <v>0.74697852171230961</v>
          </cell>
          <cell r="E1297">
            <v>0.77054115983266303</v>
          </cell>
        </row>
        <row r="1298">
          <cell r="B1298">
            <v>7.2159113023528947E-3</v>
          </cell>
          <cell r="C1298">
            <v>2.9363992110857252E-2</v>
          </cell>
          <cell r="D1298">
            <v>1.016943787641996</v>
          </cell>
          <cell r="E1298">
            <v>1.0535236910552062</v>
          </cell>
        </row>
        <row r="1299">
          <cell r="B1299">
            <v>5.584256338827013E-4</v>
          </cell>
          <cell r="C1299">
            <v>5.9482900648610273E-3</v>
          </cell>
          <cell r="D1299">
            <v>0.11397814197868646</v>
          </cell>
          <cell r="E1299">
            <v>0.12048485767743018</v>
          </cell>
        </row>
        <row r="1300">
          <cell r="B1300">
            <v>4.9483402653961543E-4</v>
          </cell>
          <cell r="C1300">
            <v>5.1201789824956547E-3</v>
          </cell>
          <cell r="D1300">
            <v>2.2571045258557576E-2</v>
          </cell>
          <cell r="E1300">
            <v>2.8186058267592847E-2</v>
          </cell>
        </row>
        <row r="1301">
          <cell r="B1301">
            <v>3.3043411445845736E-3</v>
          </cell>
          <cell r="C1301">
            <v>9.4088790157665549E-3</v>
          </cell>
          <cell r="D1301">
            <v>6.5529655087493907E-3</v>
          </cell>
          <cell r="E1301">
            <v>1.926618566910052E-2</v>
          </cell>
        </row>
        <row r="1302">
          <cell r="B1302">
            <v>5.300699498933951E-5</v>
          </cell>
          <cell r="C1302">
            <v>6.61445383643047E-4</v>
          </cell>
          <cell r="D1302">
            <v>2.8341666358136929E-3</v>
          </cell>
          <cell r="E1302">
            <v>3.5486190144460791E-3</v>
          </cell>
        </row>
        <row r="1303">
          <cell r="B1303">
            <v>1.5864902400632044E-4</v>
          </cell>
          <cell r="C1303">
            <v>8.526841346276166E-4</v>
          </cell>
          <cell r="D1303">
            <v>4.2263042100489315E-3</v>
          </cell>
          <cell r="E1303">
            <v>5.2376373686828688E-3</v>
          </cell>
        </row>
        <row r="1395">
          <cell r="A1395" t="str">
            <v>Fuel-Cell Medium Heavy-Duty Vocational Vehicles: G.H2, Central Plants, NA NG</v>
          </cell>
        </row>
        <row r="1396">
          <cell r="B1396" t="str">
            <v>Btu/mile or Gallon/mile or g/mile</v>
          </cell>
        </row>
        <row r="1398">
          <cell r="B1398">
            <v>496.6176027920726</v>
          </cell>
          <cell r="C1398">
            <v>3682.2534954505591</v>
          </cell>
          <cell r="D1398">
            <v>7951.4806893263722</v>
          </cell>
          <cell r="E1398">
            <v>12130.351787569005</v>
          </cell>
        </row>
        <row r="1399">
          <cell r="B1399">
            <v>493.13243509752897</v>
          </cell>
          <cell r="C1399">
            <v>3310.5340721218381</v>
          </cell>
          <cell r="D1399">
            <v>7951.4806893263722</v>
          </cell>
          <cell r="E1399">
            <v>11755.147196545739</v>
          </cell>
        </row>
        <row r="1400">
          <cell r="B1400">
            <v>4.5998546227782704</v>
          </cell>
          <cell r="C1400">
            <v>491.38127575235018</v>
          </cell>
          <cell r="D1400">
            <v>0</v>
          </cell>
          <cell r="E1400">
            <v>495.98113037512843</v>
          </cell>
        </row>
        <row r="1401">
          <cell r="B1401">
            <v>462.86527392969805</v>
          </cell>
          <cell r="C1401">
            <v>2791.9314788154343</v>
          </cell>
          <cell r="D1401">
            <v>7951.4806893263722</v>
          </cell>
          <cell r="E1401">
            <v>11206.277442071505</v>
          </cell>
        </row>
        <row r="1402">
          <cell r="B1402">
            <v>25.667306545052668</v>
          </cell>
          <cell r="C1402">
            <v>27.221317554053741</v>
          </cell>
          <cell r="D1402">
            <v>0</v>
          </cell>
          <cell r="E1402">
            <v>52.888624099106408</v>
          </cell>
        </row>
        <row r="1403">
          <cell r="B1403">
            <v>1.9511264894755576E-2</v>
          </cell>
          <cell r="C1403">
            <v>0.27222406591255638</v>
          </cell>
          <cell r="D1403">
            <v>0</v>
          </cell>
          <cell r="E1403">
            <v>0.29173533080731195</v>
          </cell>
        </row>
        <row r="1404">
          <cell r="B1404">
            <v>30.695869228912066</v>
          </cell>
          <cell r="C1404">
            <v>689.96524453693485</v>
          </cell>
          <cell r="D1404">
            <v>0</v>
          </cell>
          <cell r="E1404">
            <v>720.66111376584695</v>
          </cell>
        </row>
        <row r="1405">
          <cell r="B1405">
            <v>1.0148359521068067</v>
          </cell>
          <cell r="C1405">
            <v>0.70940854649868501</v>
          </cell>
          <cell r="D1405">
            <v>0</v>
          </cell>
          <cell r="E1405">
            <v>1.7242444986054917</v>
          </cell>
        </row>
        <row r="1406">
          <cell r="B1406">
            <v>1.5474376477396189E-3</v>
          </cell>
          <cell r="C1406">
            <v>5.1393942702240066E-3</v>
          </cell>
          <cell r="D1406">
            <v>0</v>
          </cell>
          <cell r="E1406">
            <v>6.686831917963626E-3</v>
          </cell>
        </row>
        <row r="1407">
          <cell r="B1407">
            <v>61.551018768767264</v>
          </cell>
          <cell r="C1407">
            <v>712.60944041350479</v>
          </cell>
          <cell r="D1407">
            <v>0</v>
          </cell>
          <cell r="E1407">
            <v>774.16045918227201</v>
          </cell>
        </row>
        <row r="1408">
          <cell r="B1408">
            <v>4.5760497794187158E-2</v>
          </cell>
          <cell r="C1408">
            <v>4.7346518314521059E-2</v>
          </cell>
          <cell r="D1408">
            <v>0</v>
          </cell>
          <cell r="E1408">
            <v>9.3107016108708224E-2</v>
          </cell>
        </row>
        <row r="1409">
          <cell r="B1409">
            <v>9.3599671974376741E-2</v>
          </cell>
          <cell r="C1409">
            <v>6.4190259110320072E-2</v>
          </cell>
          <cell r="D1409">
            <v>0</v>
          </cell>
          <cell r="E1409">
            <v>0.1577899310846968</v>
          </cell>
        </row>
        <row r="1410">
          <cell r="B1410">
            <v>0.10651873862301614</v>
          </cell>
          <cell r="C1410">
            <v>0.12334359296126873</v>
          </cell>
          <cell r="D1410">
            <v>0</v>
          </cell>
          <cell r="E1410">
            <v>0.22986233158428487</v>
          </cell>
        </row>
        <row r="1411">
          <cell r="B1411">
            <v>2.4723943169138824E-3</v>
          </cell>
          <cell r="C1411">
            <v>3.0237759841343314E-2</v>
          </cell>
          <cell r="D1411">
            <v>0.1129600258488125</v>
          </cell>
          <cell r="E1411">
            <v>0.14567018000706969</v>
          </cell>
        </row>
        <row r="1412">
          <cell r="B1412">
            <v>2.2226485201596573E-3</v>
          </cell>
          <cell r="C1412">
            <v>2.5440609552969989E-2</v>
          </cell>
          <cell r="D1412">
            <v>1.4478854135837139E-2</v>
          </cell>
          <cell r="E1412">
            <v>4.2142112208966784E-2</v>
          </cell>
        </row>
        <row r="1413">
          <cell r="B1413">
            <v>7.0884907117552659E-2</v>
          </cell>
          <cell r="C1413">
            <v>9.0006597947522402E-2</v>
          </cell>
          <cell r="D1413">
            <v>0</v>
          </cell>
          <cell r="E1413">
            <v>0.16089150506507505</v>
          </cell>
        </row>
        <row r="1414">
          <cell r="B1414">
            <v>5.9820879197784412E-4</v>
          </cell>
          <cell r="C1414">
            <v>2.4401943244220289E-3</v>
          </cell>
          <cell r="D1414">
            <v>1.8491843058702361E-3</v>
          </cell>
          <cell r="E1414">
            <v>4.8875874222701092E-3</v>
          </cell>
        </row>
        <row r="1415">
          <cell r="B1415">
            <v>8.3395469951180604E-4</v>
          </cell>
          <cell r="C1415">
            <v>6.8561717290458934E-3</v>
          </cell>
          <cell r="D1415">
            <v>2.4526155250205427E-3</v>
          </cell>
          <cell r="E1415">
            <v>1.0142741953578241E-2</v>
          </cell>
        </row>
        <row r="1416">
          <cell r="B1416">
            <v>1.0144917517348709E-3</v>
          </cell>
          <cell r="C1416">
            <v>4.7153909143842852E-3</v>
          </cell>
          <cell r="D1416">
            <v>0</v>
          </cell>
          <cell r="E1416">
            <v>5.7298826661191559E-3</v>
          </cell>
        </row>
        <row r="1417">
          <cell r="B1417">
            <v>3.4848089427631217E-3</v>
          </cell>
          <cell r="C1417">
            <v>4.1838775660164714E-3</v>
          </cell>
          <cell r="D1417">
            <v>0</v>
          </cell>
          <cell r="E1417">
            <v>7.6686865087795932E-3</v>
          </cell>
        </row>
        <row r="1418">
          <cell r="B1418">
            <v>4.1770393558251909E-3</v>
          </cell>
          <cell r="C1418">
            <v>2.0205486208471918E-2</v>
          </cell>
          <cell r="D1418">
            <v>0</v>
          </cell>
          <cell r="E1418">
            <v>2.4382525564297111E-2</v>
          </cell>
        </row>
        <row r="1419">
          <cell r="B1419">
            <v>6.0456075030350007E-5</v>
          </cell>
          <cell r="C1419">
            <v>6.8232678517589811E-3</v>
          </cell>
          <cell r="D1419">
            <v>0.1039232237809075</v>
          </cell>
          <cell r="E1419">
            <v>0.11080694770769683</v>
          </cell>
        </row>
        <row r="1420">
          <cell r="B1420">
            <v>5.4253617087793954E-5</v>
          </cell>
          <cell r="C1420">
            <v>6.4637528228319386E-3</v>
          </cell>
          <cell r="D1420">
            <v>1.3320545804970168E-2</v>
          </cell>
          <cell r="E1420">
            <v>1.9838552244889902E-2</v>
          </cell>
        </row>
        <row r="1421">
          <cell r="B1421">
            <v>8.7826920408935717E-4</v>
          </cell>
          <cell r="C1421">
            <v>1.7082420217881304E-2</v>
          </cell>
          <cell r="D1421">
            <v>0</v>
          </cell>
          <cell r="E1421">
            <v>1.7960689421970662E-2</v>
          </cell>
        </row>
        <row r="1422">
          <cell r="B1422">
            <v>9.0196803020479625E-6</v>
          </cell>
          <cell r="C1422">
            <v>5.4672920368339407E-4</v>
          </cell>
          <cell r="D1422">
            <v>1.7012495614006173E-3</v>
          </cell>
          <cell r="E1422">
            <v>2.2569984453860593E-3</v>
          </cell>
        </row>
        <row r="1423">
          <cell r="B1423">
            <v>1.6885541890810553E-5</v>
          </cell>
          <cell r="C1423">
            <v>1.7141262394667748E-3</v>
          </cell>
          <cell r="D1423">
            <v>2.2564062830188994E-3</v>
          </cell>
          <cell r="E1423">
            <v>3.9874180643764846E-3</v>
          </cell>
        </row>
        <row r="1425">
          <cell r="A1425" t="str">
            <v>Medium Heavy-Duty Vocational Vehicles: Electricity, NGCC Turbine</v>
          </cell>
        </row>
        <row r="1426">
          <cell r="B1426" t="str">
            <v>Btu/mile or Gallon/mile or g/mile</v>
          </cell>
        </row>
        <row r="1428">
          <cell r="B1428">
            <v>902.58556632042075</v>
          </cell>
          <cell r="C1428">
            <v>5153.0101367826283</v>
          </cell>
          <cell r="D1428">
            <v>4969.5822762324005</v>
          </cell>
          <cell r="E1428">
            <v>11025.177979335451</v>
          </cell>
        </row>
        <row r="1429">
          <cell r="B1429">
            <v>896.17975631895411</v>
          </cell>
          <cell r="C1429">
            <v>5153.0101367826273</v>
          </cell>
          <cell r="D1429">
            <v>4969.5822762324015</v>
          </cell>
          <cell r="E1429">
            <v>11018.772169333983</v>
          </cell>
        </row>
        <row r="1430">
          <cell r="B1430">
            <v>8.4566565406884671</v>
          </cell>
          <cell r="C1430">
            <v>0</v>
          </cell>
          <cell r="D1430">
            <v>0</v>
          </cell>
          <cell r="E1430">
            <v>8.4566565406884671</v>
          </cell>
        </row>
        <row r="1431">
          <cell r="B1431">
            <v>847.66887091834371</v>
          </cell>
          <cell r="C1431">
            <v>5153.0101367826273</v>
          </cell>
          <cell r="D1431">
            <v>4969.5822762324015</v>
          </cell>
          <cell r="E1431">
            <v>10970.261283933372</v>
          </cell>
        </row>
        <row r="1432">
          <cell r="B1432">
            <v>40.054228859921949</v>
          </cell>
          <cell r="C1432">
            <v>0</v>
          </cell>
          <cell r="D1432">
            <v>0</v>
          </cell>
          <cell r="E1432">
            <v>40.054228859921949</v>
          </cell>
        </row>
        <row r="1433">
          <cell r="B1433">
            <v>3.0514729769527932E-2</v>
          </cell>
          <cell r="C1433">
            <v>0.24313512677396015</v>
          </cell>
          <cell r="D1433">
            <v>0</v>
          </cell>
          <cell r="E1433">
            <v>0.27364985654348806</v>
          </cell>
        </row>
        <row r="1434">
          <cell r="B1434">
            <v>54.683882369777628</v>
          </cell>
          <cell r="C1434">
            <v>601.37228839653426</v>
          </cell>
          <cell r="D1434">
            <v>0</v>
          </cell>
          <cell r="E1434">
            <v>656.05617076631188</v>
          </cell>
        </row>
        <row r="1435">
          <cell r="B1435">
            <v>1.8603491754191792</v>
          </cell>
          <cell r="C1435">
            <v>1.3846668289109099E-2</v>
          </cell>
          <cell r="D1435">
            <v>0</v>
          </cell>
          <cell r="E1435">
            <v>1.8741958437082884</v>
          </cell>
        </row>
        <row r="1436">
          <cell r="B1436">
            <v>8.0672692582161361E-3</v>
          </cell>
          <cell r="C1436">
            <v>1.2459384671345984E-3</v>
          </cell>
          <cell r="D1436">
            <v>0</v>
          </cell>
          <cell r="E1436">
            <v>9.3132077253507348E-3</v>
          </cell>
        </row>
        <row r="1437">
          <cell r="B1437">
            <v>112.63218398578027</v>
          </cell>
          <cell r="C1437">
            <v>602.11786213899825</v>
          </cell>
          <cell r="D1437">
            <v>0</v>
          </cell>
          <cell r="E1437">
            <v>714.75004612477846</v>
          </cell>
        </row>
        <row r="1438">
          <cell r="B1438">
            <v>8.6433002231560668E-2</v>
          </cell>
          <cell r="C1438">
            <v>6.7547324126238347E-3</v>
          </cell>
          <cell r="D1438">
            <v>0</v>
          </cell>
          <cell r="E1438">
            <v>9.3187734644184506E-2</v>
          </cell>
        </row>
        <row r="1439">
          <cell r="B1439">
            <v>0.2257705895031441</v>
          </cell>
          <cell r="C1439">
            <v>5.1360890119298092E-2</v>
          </cell>
          <cell r="D1439">
            <v>0</v>
          </cell>
          <cell r="E1439">
            <v>0.27713147962244222</v>
          </cell>
        </row>
        <row r="1440">
          <cell r="B1440">
            <v>0.26034685983520484</v>
          </cell>
          <cell r="C1440">
            <v>7.6368278877516474E-2</v>
          </cell>
          <cell r="D1440">
            <v>0</v>
          </cell>
          <cell r="E1440">
            <v>0.3367151387127213</v>
          </cell>
        </row>
        <row r="1441">
          <cell r="B1441">
            <v>4.0183977702221898E-3</v>
          </cell>
          <cell r="C1441">
            <v>2.6154677385798446E-2</v>
          </cell>
          <cell r="D1441">
            <v>0.1129600258488125</v>
          </cell>
          <cell r="E1441">
            <v>0.14313310100483312</v>
          </cell>
        </row>
        <row r="1442">
          <cell r="B1442">
            <v>3.6176725803475644E-3</v>
          </cell>
          <cell r="C1442">
            <v>2.5261101998327526E-2</v>
          </cell>
          <cell r="D1442">
            <v>1.4478854135837139E-2</v>
          </cell>
          <cell r="E1442">
            <v>4.3357628714512229E-2</v>
          </cell>
        </row>
        <row r="1443">
          <cell r="B1443">
            <v>0.11068560305023334</v>
          </cell>
          <cell r="C1443">
            <v>1.1037238575434878E-2</v>
          </cell>
          <cell r="D1443">
            <v>0</v>
          </cell>
          <cell r="E1443">
            <v>0.12172284162566821</v>
          </cell>
        </row>
        <row r="1444">
          <cell r="B1444">
            <v>9.6073614831541237E-4</v>
          </cell>
          <cell r="C1444">
            <v>7.3257195795149819E-4</v>
          </cell>
          <cell r="D1444">
            <v>1.8491843058702361E-3</v>
          </cell>
          <cell r="E1444">
            <v>3.5424924121371468E-3</v>
          </cell>
        </row>
        <row r="1445">
          <cell r="B1445">
            <v>1.3630865178150082E-3</v>
          </cell>
          <cell r="C1445">
            <v>1.7177549358862718E-2</v>
          </cell>
          <cell r="D1445">
            <v>2.4526155250205427E-3</v>
          </cell>
          <cell r="E1445">
            <v>2.0993251401698269E-2</v>
          </cell>
        </row>
        <row r="1446">
          <cell r="B1446">
            <v>3.6923264430755451E-3</v>
          </cell>
          <cell r="C1446">
            <v>2.1142312451512607E-3</v>
          </cell>
          <cell r="D1446">
            <v>0</v>
          </cell>
          <cell r="E1446">
            <v>5.8065576882268058E-3</v>
          </cell>
        </row>
        <row r="1447">
          <cell r="B1447">
            <v>1.6614751338063932E-2</v>
          </cell>
          <cell r="C1447">
            <v>1.6075958607340304E-2</v>
          </cell>
          <cell r="D1447">
            <v>0</v>
          </cell>
          <cell r="E1447">
            <v>3.2690709945404239E-2</v>
          </cell>
        </row>
        <row r="1448">
          <cell r="B1448">
            <v>1.973136627849487E-2</v>
          </cell>
          <cell r="C1448">
            <v>2.3903271288662653E-2</v>
          </cell>
          <cell r="D1448">
            <v>0</v>
          </cell>
          <cell r="E1448">
            <v>4.3634637567157519E-2</v>
          </cell>
        </row>
        <row r="1449">
          <cell r="B1449">
            <v>1.1909524344040077E-4</v>
          </cell>
          <cell r="C1449">
            <v>8.1864140217549151E-3</v>
          </cell>
          <cell r="D1449">
            <v>0.1039232237809075</v>
          </cell>
          <cell r="E1449">
            <v>0.11222873304610281</v>
          </cell>
        </row>
        <row r="1450">
          <cell r="B1450">
            <v>1.0871811394414024E-4</v>
          </cell>
          <cell r="C1450">
            <v>7.9067249254765153E-3</v>
          </cell>
          <cell r="D1450">
            <v>1.3320545804970168E-2</v>
          </cell>
          <cell r="E1450">
            <v>2.1335988844390821E-2</v>
          </cell>
        </row>
        <row r="1451">
          <cell r="B1451">
            <v>1.4170769168475028E-3</v>
          </cell>
          <cell r="C1451">
            <v>3.4546556741111172E-3</v>
          </cell>
          <cell r="D1451">
            <v>0</v>
          </cell>
          <cell r="E1451">
            <v>4.8717325909586199E-3</v>
          </cell>
        </row>
        <row r="1452">
          <cell r="B1452">
            <v>1.8123354871074271E-5</v>
          </cell>
          <cell r="C1452">
            <v>2.2929502283881891E-4</v>
          </cell>
          <cell r="D1452">
            <v>1.7012495614006173E-3</v>
          </cell>
          <cell r="E1452">
            <v>1.9486679391105106E-3</v>
          </cell>
        </row>
        <row r="1453">
          <cell r="B1453">
            <v>3.5923005147242395E-5</v>
          </cell>
          <cell r="C1453">
            <v>5.3765729493240304E-3</v>
          </cell>
          <cell r="D1453">
            <v>2.2564062830188994E-3</v>
          </cell>
          <cell r="E1453">
            <v>7.6689022374901716E-3</v>
          </cell>
        </row>
      </sheetData>
      <sheetData sheetId="49">
        <row r="535">
          <cell r="C535">
            <v>1.0089449040965557</v>
          </cell>
        </row>
        <row r="536">
          <cell r="B536">
            <v>64246.537428366886</v>
          </cell>
          <cell r="C536">
            <v>58627.402307372555</v>
          </cell>
        </row>
        <row r="537">
          <cell r="B537">
            <v>60353.576899843283</v>
          </cell>
          <cell r="C537">
            <v>57646.240245464127</v>
          </cell>
        </row>
        <row r="538">
          <cell r="B538">
            <v>4858.2196308954171</v>
          </cell>
          <cell r="C538">
            <v>1293.3408226767481</v>
          </cell>
        </row>
        <row r="539">
          <cell r="B539">
            <v>44504.011944721788</v>
          </cell>
          <cell r="C539">
            <v>34443.815199887671</v>
          </cell>
        </row>
        <row r="540">
          <cell r="B540">
            <v>10991.345324226078</v>
          </cell>
          <cell r="C540">
            <v>21909.084222899706</v>
          </cell>
        </row>
        <row r="541">
          <cell r="B541">
            <v>17.689832445545051</v>
          </cell>
          <cell r="C541">
            <v>1.8509087371864985</v>
          </cell>
        </row>
        <row r="542">
          <cell r="B542">
            <v>3.6895646545857375</v>
          </cell>
          <cell r="C542">
            <v>3.1000961302683798</v>
          </cell>
        </row>
        <row r="543">
          <cell r="B543">
            <v>7.3693431597470385</v>
          </cell>
          <cell r="C543">
            <v>2.3682982240135093</v>
          </cell>
        </row>
        <row r="544">
          <cell r="B544">
            <v>11.350035400801717</v>
          </cell>
          <cell r="C544">
            <v>3.7497166760769192</v>
          </cell>
        </row>
        <row r="545">
          <cell r="B545">
            <v>0.55785966782025265</v>
          </cell>
          <cell r="C545">
            <v>0.41247918146706597</v>
          </cell>
        </row>
        <row r="546">
          <cell r="B546">
            <v>0.47662987501164428</v>
          </cell>
          <cell r="C546">
            <v>0.35290083298383118</v>
          </cell>
        </row>
        <row r="547">
          <cell r="B547">
            <v>2.5592619949901905</v>
          </cell>
          <cell r="C547">
            <v>1.1347671778031314</v>
          </cell>
        </row>
        <row r="548">
          <cell r="B548">
            <v>8.6536638942778826E-2</v>
          </cell>
          <cell r="C548">
            <v>4.6450929088525737E-2</v>
          </cell>
        </row>
        <row r="549">
          <cell r="B549">
            <v>0.17449109373388111</v>
          </cell>
          <cell r="C549">
            <v>7.2316529588834486E-2</v>
          </cell>
        </row>
        <row r="550">
          <cell r="B550">
            <v>91.550547508731526</v>
          </cell>
          <cell r="C550">
            <v>7.7985567141239773</v>
          </cell>
        </row>
        <row r="551">
          <cell r="B551">
            <v>8.4086657055974914E-2</v>
          </cell>
          <cell r="C551">
            <v>6.709545835387333E-2</v>
          </cell>
        </row>
        <row r="552">
          <cell r="B552">
            <v>5286.5584411032723</v>
          </cell>
          <cell r="C552">
            <v>3520.7096788498843</v>
          </cell>
        </row>
        <row r="553">
          <cell r="B553">
            <v>5309.6379806706191</v>
          </cell>
          <cell r="C553">
            <v>3534.0932566174324</v>
          </cell>
        </row>
        <row r="554">
          <cell r="B554">
            <v>8078.4373700523975</v>
          </cell>
          <cell r="C554">
            <v>3785.8302545049282</v>
          </cell>
        </row>
        <row r="557">
          <cell r="B557">
            <v>0.66058006060285668</v>
          </cell>
          <cell r="C557">
            <v>1.9921051171274626</v>
          </cell>
        </row>
        <row r="558">
          <cell r="B558">
            <v>0.26209908816228761</v>
          </cell>
          <cell r="C558">
            <v>0.96670013699813173</v>
          </cell>
        </row>
        <row r="559">
          <cell r="B559">
            <v>0.55135581001096456</v>
          </cell>
          <cell r="C559">
            <v>1.3129390234551384</v>
          </cell>
        </row>
        <row r="560">
          <cell r="B560">
            <v>4.2668376148122675E-2</v>
          </cell>
          <cell r="C560">
            <v>0.25016260037010885</v>
          </cell>
        </row>
        <row r="561">
          <cell r="B561">
            <v>3.7809446941895634E-2</v>
          </cell>
          <cell r="C561">
            <v>0.21584944867996436</v>
          </cell>
        </row>
        <row r="562">
          <cell r="B562">
            <v>0.25247922431237874</v>
          </cell>
          <cell r="C562">
            <v>0.43102901619824202</v>
          </cell>
        </row>
        <row r="563">
          <cell r="B563">
            <v>4.0501765382100511E-3</v>
          </cell>
          <cell r="C563">
            <v>2.7266559851155558E-2</v>
          </cell>
        </row>
        <row r="564">
          <cell r="B564">
            <v>1.212210869470246E-2</v>
          </cell>
          <cell r="C564">
            <v>3.5467297676698283E-2</v>
          </cell>
        </row>
      </sheetData>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persons/person.xml><?xml version="1.0" encoding="utf-8"?>
<personList xmlns="http://schemas.microsoft.com/office/spreadsheetml/2018/threadedcomments" xmlns:x="http://schemas.openxmlformats.org/spreadsheetml/2006/main">
  <person displayName="Ou, Longwen" id="{81BACF9D-262E-42AA-8104-3D375DEA45C8}" userId="S::oul@anl.gov::b81c495d-7ec4-42b7-a488-1701327cd6bc" providerId="AD"/>
  <person displayName="Uisung" id="{46137E8D-9A3D-4AD1-9B7E-8C528F86E15A}" userId="S::ulee@anl.gov::84fe3a32-4a90-4a2c-812b-7491f8202b67" providerId="AD"/>
  <person displayName="Zang, Guiyan" id="{038380C0-4FB5-48F8-A326-21AAC5BC5272}" userId="S::gzang@anl.gov::52adb189-086e-4fd3-8502-9c65ff15b692" providerId="AD"/>
  <person displayName="Kingsbury, Kathryn" id="{EAAFABD0-A194-4F00-8F95-BD44417FCC04}" userId="S::kkingsbury@anl.gov::bb01deb8-6dd4-45af-a9fc-2557d766a8c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J165" totalsRowShown="0" headerRowDxfId="14">
  <autoFilter ref="A3:J165" xr:uid="{00000000-0009-0000-0100-000001000000}"/>
  <tableColumns count="10">
    <tableColumn id="1" xr3:uid="{00000000-0010-0000-0000-000001000000}" name="Material"/>
    <tableColumn id="2" xr3:uid="{00000000-0010-0000-0000-000002000000}" name="Material Category" dataDxfId="13"/>
    <tableColumn id="3" xr3:uid="{00000000-0010-0000-0000-000003000000}" name="Metric"/>
    <tableColumn id="4" xr3:uid="{00000000-0010-0000-0000-000004000000}" name="Unit"/>
    <tableColumn id="5" xr3:uid="{00000000-0010-0000-0000-000005000000}" name="Functional Unit"/>
    <tableColumn id="6" xr3:uid="{00000000-0010-0000-0000-000006000000}" name="Life-Cycle Results" dataDxfId="12">
      <calculatedColumnFormula>Cement_Concrete!J101</calculatedColumnFormula>
    </tableColumn>
    <tableColumn id="7" xr3:uid="{00000000-0010-0000-0000-000007000000}" name="Year" dataDxfId="11"/>
    <tableColumn id="8" xr3:uid="{00000000-0010-0000-0000-000008000000}" name="Comments"/>
    <tableColumn id="9" xr3:uid="{00000000-0010-0000-0000-000009000000}" name="System Boundary"/>
    <tableColumn id="10" xr3:uid="{00000000-0010-0000-0000-00000A000000}" name="Data 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Y523" dT="2021-07-19T12:08:18.59" personId="{EAAFABD0-A194-4F00-8F95-BD44417FCC04}" id="{253968E7-49C3-44E3-A3D7-12B4A71A2BEC}">
    <text>Combined PET, uses weighted averages of PTA-derived PET and DMT-derived PET production routes</text>
  </threadedComment>
  <threadedComment ref="BA554" dT="2021-01-21T21:19:41.15" personId="{81BACF9D-262E-42AA-8104-3D375DEA45C8}" id="{B49AB7D1-C47D-49A9-B9A8-EFF73525765A}">
    <text>Fossil-based ethylene glycol, from GREET2</text>
  </threadedComment>
</ThreadedComments>
</file>

<file path=xl/threadedComments/threadedComment2.xml><?xml version="1.0" encoding="utf-8"?>
<ThreadedComments xmlns="http://schemas.microsoft.com/office/spreadsheetml/2018/threadedcomments" xmlns:x="http://schemas.openxmlformats.org/spreadsheetml/2006/main">
  <threadedComment ref="AI46" dT="2021-08-19T15:16:34.87" personId="{038380C0-4FB5-48F8-A326-21AAC5BC5272}" id="{311EEC7A-0578-4A5B-9170-371DCBBB555F}">
    <text>Fuel ratio does not include electricity consumption</text>
  </threadedComment>
  <threadedComment ref="AK46" dT="2021-08-19T15:15:59.03" personId="{038380C0-4FB5-48F8-A326-21AAC5BC5272}" id="{76C382A5-7BD2-4BB3-8E76-B9190AF47DED}">
    <text>(LHV ratio of H2 from the mixture of H2 and NG)</text>
  </threadedComment>
  <threadedComment ref="AQ46" dT="2021-08-19T15:16:54.10" personId="{038380C0-4FB5-48F8-A326-21AAC5BC5272}" id="{40F95635-5120-43D0-9921-6D0235CA9333}">
    <text>Fuel ratio does not include electricity consumption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A4" dT="2021-08-18T21:25:04.79" personId="{46137E8D-9A3D-4AD1-9B7E-8C528F86E15A}" id="{1CDA4987-4D6E-4BE4-B1BB-90FBA6164361}">
    <text>(Source: The Role of Critical Minerals in Clean Energy Transitions, by IEA; and https://www.csaglobal.com/wp-content/uploads/2019/11/African-Exploration-Showcase_An-Overview-of-Lithium_Geology-to-Markets_Michael-Crnwright_November_2019.pdf)</text>
  </threadedComment>
</ThreadedComments>
</file>

<file path=xl/threadedComments/threadedComment4.xml><?xml version="1.0" encoding="utf-8"?>
<ThreadedComments xmlns="http://schemas.microsoft.com/office/spreadsheetml/2018/threadedcomments" xmlns:x="http://schemas.openxmlformats.org/spreadsheetml/2006/main">
  <threadedComment ref="A50" dT="2021-06-24T15:49:27.53" personId="{EAAFABD0-A194-4F00-8F95-BD44417FCC04}" id="{4669ED68-621B-4EF7-8E74-7EF6EA6B453E}">
    <text>Calculations for energy and emissions burden of many resins are performed in the GREET1 Plastics tab and exported to GREET2 for vehicle applications</text>
  </threadedComment>
  <threadedComment ref="M103" dT="2021-07-19T12:17:16.26" personId="{EAAFABD0-A194-4F00-8F95-BD44417FCC04}" id="{4C0E406E-DEEA-4B3C-B79D-24858E0E2339}">
    <text>Combined from PTA-route and DMT-route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9.bin"/><Relationship Id="rId4" Type="http://schemas.microsoft.com/office/2017/10/relationships/threadedComment" Target="../threadedComments/threadedComment3.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4.bin"/><Relationship Id="rId4" Type="http://schemas.microsoft.com/office/2017/10/relationships/threadedComment" Target="../threadedComments/threadedComment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6.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9.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40.bin"/></Relationships>
</file>

<file path=xl/worksheets/_rels/sheet4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41.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50.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42.bin"/></Relationships>
</file>

<file path=xl/worksheets/_rels/sheet51.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52.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3.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44.bin"/></Relationships>
</file>

<file path=xl/worksheets/_rels/sheet54.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37.xml"/><Relationship Id="rId1" Type="http://schemas.openxmlformats.org/officeDocument/2006/relationships/vmlDrawing" Target="../drawings/vmlDrawing37.vml"/></Relationships>
</file>

<file path=xl/worksheets/_rels/sheet56.xml.rels><?xml version="1.0" encoding="UTF-8" standalone="yes"?>
<Relationships xmlns="http://schemas.openxmlformats.org/package/2006/relationships"><Relationship Id="rId2" Type="http://schemas.openxmlformats.org/officeDocument/2006/relationships/comments" Target="../comments38.xml"/><Relationship Id="rId1" Type="http://schemas.openxmlformats.org/officeDocument/2006/relationships/vmlDrawing" Target="../drawings/vmlDrawing38.vml"/></Relationships>
</file>

<file path=xl/worksheets/_rels/sheet58.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5.bin"/></Relationships>
</file>

<file path=xl/worksheets/_rels/sheet61.xml.rels><?xml version="1.0" encoding="UTF-8" standalone="yes"?>
<Relationships xmlns="http://schemas.openxmlformats.org/package/2006/relationships"><Relationship Id="rId2" Type="http://schemas.openxmlformats.org/officeDocument/2006/relationships/comments" Target="../comments40.xml"/><Relationship Id="rId1" Type="http://schemas.openxmlformats.org/officeDocument/2006/relationships/vmlDrawing" Target="../drawings/vmlDrawing4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pageSetUpPr fitToPage="1"/>
  </sheetPr>
  <dimension ref="A1:P169"/>
  <sheetViews>
    <sheetView showGridLines="0" zoomScale="85" zoomScaleNormal="85" workbookViewId="0">
      <selection activeCell="C29" sqref="C29"/>
    </sheetView>
  </sheetViews>
  <sheetFormatPr defaultColWidth="9.140625" defaultRowHeight="12.75"/>
  <cols>
    <col min="1" max="1" width="31.42578125" style="350" bestFit="1" customWidth="1"/>
    <col min="2" max="2" width="1.7109375" style="350" customWidth="1"/>
    <col min="3" max="3" width="118.42578125" style="350" customWidth="1"/>
    <col min="4" max="4" width="0.28515625" style="350" customWidth="1"/>
    <col min="5" max="13" width="9.140625" style="350" hidden="1" customWidth="1"/>
    <col min="14" max="16384" width="9.140625" style="350"/>
  </cols>
  <sheetData>
    <row r="1" spans="3:5">
      <c r="C1" s="10" t="s">
        <v>0</v>
      </c>
      <c r="D1" s="3"/>
      <c r="E1" s="3"/>
    </row>
    <row r="2" spans="3:5">
      <c r="C2" s="351" t="s">
        <v>1</v>
      </c>
    </row>
    <row r="3" spans="3:5">
      <c r="C3" s="351"/>
    </row>
    <row r="4" spans="3:5">
      <c r="C4" s="351" t="s">
        <v>2</v>
      </c>
    </row>
    <row r="5" spans="3:5">
      <c r="C5" s="351"/>
    </row>
    <row r="6" spans="3:5">
      <c r="C6" s="351" t="s">
        <v>3</v>
      </c>
    </row>
    <row r="7" spans="3:5">
      <c r="C7" s="351"/>
    </row>
    <row r="8" spans="3:5">
      <c r="C8" s="351" t="s">
        <v>4</v>
      </c>
    </row>
    <row r="9" spans="3:5">
      <c r="C9" s="10" t="s">
        <v>0</v>
      </c>
    </row>
    <row r="10" spans="3:5">
      <c r="C10" s="352"/>
    </row>
    <row r="11" spans="3:5">
      <c r="C11" s="10" t="s">
        <v>5</v>
      </c>
    </row>
    <row r="12" spans="3:5">
      <c r="C12" s="352"/>
    </row>
    <row r="13" spans="3:5" ht="38.25">
      <c r="C13" s="352" t="s">
        <v>6</v>
      </c>
    </row>
    <row r="14" spans="3:5">
      <c r="C14" s="353"/>
    </row>
    <row r="15" spans="3:5">
      <c r="C15" s="10" t="s">
        <v>0</v>
      </c>
    </row>
    <row r="16" spans="3:5">
      <c r="C16" s="352"/>
    </row>
    <row r="17" spans="3:3" ht="27.75" customHeight="1">
      <c r="C17" s="352" t="s">
        <v>7</v>
      </c>
    </row>
    <row r="18" spans="3:3">
      <c r="C18" s="352"/>
    </row>
    <row r="19" spans="3:3" ht="15.75" customHeight="1">
      <c r="C19" s="352"/>
    </row>
    <row r="20" spans="3:3" ht="15" customHeight="1">
      <c r="C20" s="10" t="s">
        <v>0</v>
      </c>
    </row>
    <row r="21" spans="3:3">
      <c r="C21" s="352"/>
    </row>
    <row r="22" spans="3:3">
      <c r="C22" s="346" t="s">
        <v>8</v>
      </c>
    </row>
    <row r="23" spans="3:3">
      <c r="C23" s="352"/>
    </row>
    <row r="24" spans="3:3">
      <c r="C24" s="10" t="s">
        <v>0</v>
      </c>
    </row>
    <row r="25" spans="3:3">
      <c r="C25" s="352"/>
    </row>
    <row r="26" spans="3:3" ht="89.25">
      <c r="C26" s="354" t="s">
        <v>9</v>
      </c>
    </row>
    <row r="27" spans="3:3" ht="14.25" customHeight="1">
      <c r="C27" s="352"/>
    </row>
    <row r="28" spans="3:3">
      <c r="C28" s="10" t="s">
        <v>0</v>
      </c>
    </row>
    <row r="29" spans="3:3">
      <c r="C29" s="352"/>
    </row>
    <row r="30" spans="3:3">
      <c r="C30" s="346" t="s">
        <v>10</v>
      </c>
    </row>
    <row r="31" spans="3:3">
      <c r="C31" s="352"/>
    </row>
    <row r="32" spans="3:3">
      <c r="C32" s="10" t="s">
        <v>0</v>
      </c>
    </row>
    <row r="33" spans="3:3">
      <c r="C33" s="352"/>
    </row>
    <row r="34" spans="3:3">
      <c r="C34" s="10" t="s">
        <v>11</v>
      </c>
    </row>
    <row r="35" spans="3:3">
      <c r="C35" s="10"/>
    </row>
    <row r="36" spans="3:3" ht="25.5">
      <c r="C36" s="352" t="s">
        <v>12</v>
      </c>
    </row>
    <row r="37" spans="3:3">
      <c r="C37" s="352"/>
    </row>
    <row r="38" spans="3:3" ht="25.5">
      <c r="C38" s="352" t="s">
        <v>13</v>
      </c>
    </row>
    <row r="39" spans="3:3">
      <c r="C39" s="352"/>
    </row>
    <row r="40" spans="3:3" ht="25.5">
      <c r="C40" s="352" t="s">
        <v>14</v>
      </c>
    </row>
    <row r="41" spans="3:3">
      <c r="C41" s="352"/>
    </row>
    <row r="42" spans="3:3" ht="38.25">
      <c r="C42" s="352" t="s">
        <v>15</v>
      </c>
    </row>
    <row r="43" spans="3:3">
      <c r="C43" s="352"/>
    </row>
    <row r="44" spans="3:3">
      <c r="C44" s="10" t="s">
        <v>16</v>
      </c>
    </row>
    <row r="45" spans="3:3">
      <c r="C45" s="10"/>
    </row>
    <row r="46" spans="3:3">
      <c r="C46" s="351" t="s">
        <v>17</v>
      </c>
    </row>
    <row r="47" spans="3:3">
      <c r="C47" s="10"/>
    </row>
    <row r="48" spans="3:3">
      <c r="C48" s="10" t="s">
        <v>16</v>
      </c>
    </row>
    <row r="49" spans="1:3">
      <c r="C49" s="10"/>
    </row>
    <row r="50" spans="1:3">
      <c r="C50" s="10"/>
    </row>
    <row r="51" spans="1:3">
      <c r="C51" s="352" t="s">
        <v>18</v>
      </c>
    </row>
    <row r="52" spans="1:3" ht="51">
      <c r="C52" s="352" t="s">
        <v>19</v>
      </c>
    </row>
    <row r="53" spans="1:3">
      <c r="C53" s="352"/>
    </row>
    <row r="54" spans="1:3">
      <c r="C54" s="352"/>
    </row>
    <row r="55" spans="1:3">
      <c r="C55" s="352"/>
    </row>
    <row r="56" spans="1:3">
      <c r="C56" s="352"/>
    </row>
    <row r="57" spans="1:3">
      <c r="C57" s="352"/>
    </row>
    <row r="58" spans="1:3">
      <c r="C58" s="352"/>
    </row>
    <row r="59" spans="1:3">
      <c r="C59" s="352"/>
    </row>
    <row r="60" spans="1:3">
      <c r="C60" s="3" t="s">
        <v>20</v>
      </c>
    </row>
    <row r="61" spans="1:3">
      <c r="A61" s="355"/>
      <c r="C61" s="350" t="s">
        <v>21</v>
      </c>
    </row>
    <row r="62" spans="1:3">
      <c r="A62" s="356"/>
    </row>
    <row r="64" spans="1:3">
      <c r="A64" s="357"/>
      <c r="C64" s="350" t="s">
        <v>22</v>
      </c>
    </row>
    <row r="65" spans="1:16">
      <c r="A65" s="358"/>
    </row>
    <row r="67" spans="1:16" s="10" customFormat="1">
      <c r="A67" s="60"/>
      <c r="C67" s="10" t="s">
        <v>23</v>
      </c>
    </row>
    <row r="68" spans="1:16" s="10" customFormat="1">
      <c r="A68" s="61"/>
    </row>
    <row r="69" spans="1:16" s="10" customFormat="1"/>
    <row r="70" spans="1:16">
      <c r="C70" s="350" t="s">
        <v>24</v>
      </c>
    </row>
    <row r="73" spans="1:16">
      <c r="B73" s="359"/>
      <c r="C73" s="360" t="s">
        <v>25</v>
      </c>
      <c r="D73" s="361"/>
      <c r="E73" s="361"/>
      <c r="F73" s="361"/>
      <c r="G73" s="361"/>
      <c r="H73" s="361"/>
      <c r="I73" s="361"/>
      <c r="J73" s="361"/>
      <c r="K73" s="361"/>
      <c r="L73" s="361"/>
      <c r="M73" s="361"/>
    </row>
    <row r="74" spans="1:16">
      <c r="A74" s="362" t="s">
        <v>26</v>
      </c>
      <c r="B74" s="362"/>
      <c r="C74" s="111" t="s">
        <v>27</v>
      </c>
      <c r="D74" s="363"/>
      <c r="E74" s="363"/>
      <c r="F74" s="363"/>
      <c r="G74" s="363"/>
      <c r="H74" s="363"/>
      <c r="I74" s="363"/>
      <c r="J74" s="363"/>
      <c r="K74" s="363"/>
      <c r="L74" s="363"/>
      <c r="M74" s="363"/>
      <c r="N74" s="363"/>
      <c r="O74" s="363"/>
      <c r="P74" s="363"/>
    </row>
    <row r="75" spans="1:16">
      <c r="A75" s="362" t="s">
        <v>28</v>
      </c>
      <c r="B75" s="362"/>
      <c r="C75" s="363" t="s">
        <v>29</v>
      </c>
      <c r="D75" s="363"/>
      <c r="E75" s="363"/>
      <c r="F75" s="363"/>
      <c r="G75" s="363"/>
      <c r="H75" s="363"/>
      <c r="I75" s="363"/>
      <c r="J75" s="363"/>
      <c r="K75" s="363"/>
      <c r="L75" s="363"/>
      <c r="M75" s="363"/>
      <c r="N75" s="363"/>
      <c r="O75" s="363"/>
      <c r="P75" s="363"/>
    </row>
    <row r="76" spans="1:16">
      <c r="A76" s="362" t="s">
        <v>30</v>
      </c>
      <c r="B76" s="362"/>
      <c r="C76" s="363" t="s">
        <v>31</v>
      </c>
      <c r="D76" s="363"/>
      <c r="E76" s="363"/>
      <c r="F76" s="363"/>
      <c r="G76" s="363"/>
      <c r="H76" s="363"/>
      <c r="I76" s="363"/>
      <c r="J76" s="363"/>
      <c r="K76" s="363"/>
      <c r="L76" s="363"/>
      <c r="M76" s="363"/>
      <c r="N76" s="363"/>
      <c r="O76" s="363"/>
      <c r="P76" s="363"/>
    </row>
    <row r="77" spans="1:16">
      <c r="A77" s="362" t="s">
        <v>32</v>
      </c>
      <c r="B77" s="362"/>
      <c r="C77" s="363" t="s">
        <v>33</v>
      </c>
      <c r="D77" s="363"/>
      <c r="E77" s="363"/>
      <c r="F77" s="363"/>
      <c r="G77" s="363"/>
      <c r="H77" s="363"/>
      <c r="I77" s="363"/>
      <c r="J77" s="363"/>
      <c r="K77" s="363"/>
      <c r="L77" s="363"/>
      <c r="M77" s="363"/>
      <c r="N77" s="363"/>
      <c r="O77" s="363"/>
      <c r="P77" s="363"/>
    </row>
    <row r="78" spans="1:16">
      <c r="A78" s="362" t="s">
        <v>34</v>
      </c>
      <c r="B78" s="362"/>
      <c r="C78" s="363" t="s">
        <v>35</v>
      </c>
      <c r="D78" s="363"/>
      <c r="E78" s="363"/>
      <c r="F78" s="363"/>
      <c r="G78" s="363"/>
      <c r="H78" s="363"/>
      <c r="I78" s="363"/>
      <c r="J78" s="363"/>
      <c r="K78" s="363"/>
      <c r="L78" s="363"/>
      <c r="M78" s="363"/>
      <c r="N78" s="363"/>
      <c r="O78" s="363"/>
      <c r="P78" s="363"/>
    </row>
    <row r="79" spans="1:16">
      <c r="A79" s="362" t="s">
        <v>36</v>
      </c>
      <c r="B79" s="362"/>
      <c r="C79" s="363" t="s">
        <v>37</v>
      </c>
      <c r="D79" s="363"/>
      <c r="E79" s="363"/>
      <c r="F79" s="363"/>
      <c r="G79" s="363"/>
      <c r="H79" s="363"/>
      <c r="I79" s="363"/>
      <c r="J79" s="363"/>
      <c r="K79" s="363"/>
      <c r="L79" s="363"/>
      <c r="M79" s="363"/>
      <c r="N79" s="363"/>
      <c r="O79" s="363"/>
      <c r="P79" s="363"/>
    </row>
    <row r="80" spans="1:16">
      <c r="A80" s="362" t="s">
        <v>38</v>
      </c>
      <c r="B80" s="362"/>
      <c r="C80" s="363" t="s">
        <v>39</v>
      </c>
      <c r="D80" s="363"/>
      <c r="E80" s="363"/>
      <c r="F80" s="363"/>
      <c r="G80" s="363"/>
      <c r="H80" s="363"/>
      <c r="I80" s="363"/>
      <c r="J80" s="363"/>
      <c r="K80" s="363"/>
      <c r="L80" s="363"/>
      <c r="M80" s="363"/>
      <c r="N80" s="363"/>
      <c r="O80" s="363"/>
      <c r="P80" s="363"/>
    </row>
    <row r="81" spans="1:16">
      <c r="A81" s="362" t="s">
        <v>40</v>
      </c>
      <c r="B81" s="362"/>
      <c r="C81" s="363" t="s">
        <v>41</v>
      </c>
      <c r="D81" s="363"/>
      <c r="E81" s="363"/>
      <c r="F81" s="363"/>
      <c r="G81" s="363"/>
      <c r="H81" s="363"/>
      <c r="I81" s="363"/>
      <c r="J81" s="363"/>
      <c r="K81" s="363"/>
      <c r="L81" s="363"/>
      <c r="M81" s="363"/>
      <c r="N81" s="363"/>
      <c r="O81" s="363"/>
      <c r="P81" s="363"/>
    </row>
    <row r="82" spans="1:16">
      <c r="A82" s="362" t="s">
        <v>42</v>
      </c>
      <c r="B82" s="362"/>
      <c r="C82" s="363" t="s">
        <v>43</v>
      </c>
      <c r="D82" s="363"/>
      <c r="E82" s="363"/>
      <c r="F82" s="363"/>
      <c r="G82" s="363"/>
      <c r="H82" s="363"/>
      <c r="I82" s="363"/>
      <c r="J82" s="363"/>
      <c r="K82" s="363"/>
      <c r="L82" s="363"/>
      <c r="M82" s="363"/>
      <c r="N82" s="363"/>
      <c r="O82" s="363"/>
      <c r="P82" s="363"/>
    </row>
    <row r="83" spans="1:16">
      <c r="A83" s="362" t="s">
        <v>44</v>
      </c>
      <c r="B83" s="362"/>
      <c r="C83" s="363" t="s">
        <v>45</v>
      </c>
      <c r="D83" s="363"/>
      <c r="E83" s="363"/>
      <c r="F83" s="363"/>
      <c r="G83" s="363"/>
      <c r="H83" s="363"/>
      <c r="I83" s="363"/>
      <c r="J83" s="363"/>
      <c r="K83" s="363"/>
      <c r="L83" s="363"/>
      <c r="M83" s="363"/>
      <c r="N83" s="363"/>
      <c r="O83" s="363"/>
      <c r="P83" s="363"/>
    </row>
    <row r="84" spans="1:16">
      <c r="A84" s="362" t="s">
        <v>46</v>
      </c>
      <c r="B84" s="362"/>
      <c r="C84" s="363" t="s">
        <v>47</v>
      </c>
      <c r="D84" s="363"/>
      <c r="E84" s="363"/>
      <c r="F84" s="363"/>
      <c r="G84" s="363"/>
      <c r="H84" s="363"/>
      <c r="I84" s="363"/>
      <c r="J84" s="363"/>
      <c r="K84" s="363"/>
      <c r="L84" s="363"/>
      <c r="M84" s="363"/>
      <c r="N84" s="363"/>
      <c r="O84" s="363"/>
      <c r="P84" s="363"/>
    </row>
    <row r="85" spans="1:16">
      <c r="A85" s="362" t="s">
        <v>48</v>
      </c>
      <c r="B85" s="362"/>
      <c r="C85" s="363" t="s">
        <v>49</v>
      </c>
      <c r="D85" s="363"/>
      <c r="E85" s="363"/>
      <c r="F85" s="363"/>
      <c r="G85" s="363"/>
      <c r="H85" s="363"/>
      <c r="I85" s="363"/>
      <c r="J85" s="363"/>
      <c r="K85" s="363"/>
      <c r="L85" s="363"/>
      <c r="M85" s="363"/>
      <c r="N85" s="363"/>
      <c r="O85" s="363"/>
      <c r="P85" s="363"/>
    </row>
    <row r="86" spans="1:16">
      <c r="A86" s="362" t="s">
        <v>50</v>
      </c>
      <c r="B86" s="362"/>
      <c r="C86" s="363" t="s">
        <v>51</v>
      </c>
      <c r="D86" s="363"/>
      <c r="E86" s="363"/>
      <c r="F86" s="363"/>
      <c r="G86" s="363"/>
      <c r="H86" s="363"/>
      <c r="I86" s="363"/>
      <c r="J86" s="363"/>
      <c r="K86" s="363"/>
      <c r="L86" s="363"/>
      <c r="M86" s="363"/>
      <c r="N86" s="363"/>
      <c r="O86" s="363"/>
      <c r="P86" s="363"/>
    </row>
    <row r="87" spans="1:16">
      <c r="A87" s="362" t="s">
        <v>52</v>
      </c>
      <c r="B87" s="362"/>
      <c r="C87" s="363" t="s">
        <v>53</v>
      </c>
      <c r="D87" s="363"/>
      <c r="E87" s="363"/>
      <c r="F87" s="363"/>
      <c r="G87" s="363"/>
      <c r="H87" s="363"/>
      <c r="I87" s="363"/>
      <c r="J87" s="363"/>
      <c r="K87" s="363"/>
      <c r="L87" s="363"/>
      <c r="M87" s="363"/>
      <c r="N87" s="363"/>
      <c r="O87" s="363"/>
      <c r="P87" s="363"/>
    </row>
    <row r="88" spans="1:16">
      <c r="A88" s="362" t="s">
        <v>54</v>
      </c>
      <c r="B88" s="362"/>
      <c r="C88" s="363" t="s">
        <v>55</v>
      </c>
      <c r="D88" s="363"/>
      <c r="E88" s="363"/>
      <c r="F88" s="363"/>
      <c r="G88" s="363"/>
      <c r="H88" s="363"/>
      <c r="I88" s="363"/>
      <c r="J88" s="363"/>
      <c r="K88" s="363"/>
      <c r="L88" s="363"/>
      <c r="M88" s="363"/>
      <c r="N88" s="363"/>
      <c r="O88" s="363"/>
      <c r="P88" s="363"/>
    </row>
    <row r="89" spans="1:16">
      <c r="A89" s="362" t="s">
        <v>56</v>
      </c>
      <c r="B89" s="362"/>
      <c r="C89" s="363" t="s">
        <v>57</v>
      </c>
      <c r="D89" s="363"/>
      <c r="E89" s="363"/>
      <c r="F89" s="363"/>
      <c r="G89" s="363"/>
      <c r="H89" s="363"/>
      <c r="I89" s="363"/>
      <c r="J89" s="363"/>
      <c r="K89" s="363"/>
      <c r="L89" s="363"/>
      <c r="M89" s="363"/>
      <c r="N89" s="363"/>
      <c r="O89" s="363"/>
      <c r="P89" s="363"/>
    </row>
    <row r="90" spans="1:16">
      <c r="A90" s="362" t="s">
        <v>58</v>
      </c>
      <c r="B90" s="362"/>
      <c r="C90" s="363" t="s">
        <v>59</v>
      </c>
      <c r="D90" s="363"/>
      <c r="E90" s="363"/>
      <c r="F90" s="363"/>
      <c r="G90" s="363"/>
      <c r="H90" s="363"/>
      <c r="I90" s="363"/>
      <c r="J90" s="363"/>
      <c r="K90" s="363"/>
      <c r="L90" s="363"/>
      <c r="M90" s="363"/>
      <c r="N90" s="363"/>
      <c r="O90" s="363"/>
      <c r="P90" s="363"/>
    </row>
    <row r="91" spans="1:16">
      <c r="A91" s="362" t="s">
        <v>2707</v>
      </c>
      <c r="B91" s="362"/>
      <c r="C91" s="363" t="s">
        <v>2708</v>
      </c>
      <c r="D91" s="363"/>
      <c r="E91" s="363"/>
      <c r="F91" s="363"/>
      <c r="G91" s="363"/>
      <c r="H91" s="363"/>
      <c r="I91" s="363"/>
      <c r="J91" s="363"/>
      <c r="K91" s="363"/>
      <c r="L91" s="363"/>
      <c r="M91" s="363"/>
      <c r="N91" s="363"/>
      <c r="O91" s="363"/>
      <c r="P91" s="363"/>
    </row>
    <row r="92" spans="1:16">
      <c r="A92" s="362" t="s">
        <v>61</v>
      </c>
      <c r="B92" s="362"/>
      <c r="C92" s="363" t="s">
        <v>62</v>
      </c>
      <c r="D92" s="363"/>
      <c r="E92" s="363"/>
      <c r="F92" s="363"/>
      <c r="G92" s="363"/>
      <c r="H92" s="363"/>
      <c r="I92" s="363"/>
      <c r="J92" s="363"/>
      <c r="K92" s="363"/>
      <c r="L92" s="363"/>
      <c r="M92" s="363"/>
      <c r="N92" s="363"/>
      <c r="O92" s="363"/>
      <c r="P92" s="363"/>
    </row>
    <row r="93" spans="1:16">
      <c r="A93" s="362" t="s">
        <v>63</v>
      </c>
      <c r="B93" s="362"/>
      <c r="C93" s="363" t="s">
        <v>64</v>
      </c>
      <c r="D93" s="363"/>
      <c r="E93" s="363"/>
      <c r="F93" s="363"/>
      <c r="G93" s="363"/>
      <c r="H93" s="363"/>
      <c r="I93" s="363"/>
      <c r="J93" s="363"/>
      <c r="K93" s="363"/>
      <c r="L93" s="363"/>
      <c r="M93" s="363"/>
      <c r="N93" s="363"/>
      <c r="O93" s="363"/>
      <c r="P93" s="363"/>
    </row>
    <row r="94" spans="1:16">
      <c r="A94" s="362" t="s">
        <v>65</v>
      </c>
      <c r="B94" s="362"/>
      <c r="C94" s="363" t="s">
        <v>66</v>
      </c>
      <c r="D94" s="363"/>
      <c r="E94" s="363"/>
      <c r="F94" s="363"/>
      <c r="G94" s="363"/>
      <c r="H94" s="363"/>
      <c r="I94" s="363"/>
      <c r="J94" s="363"/>
      <c r="K94" s="363"/>
      <c r="L94" s="363"/>
      <c r="M94" s="363"/>
      <c r="N94" s="363"/>
      <c r="O94" s="363"/>
      <c r="P94" s="363"/>
    </row>
    <row r="95" spans="1:16">
      <c r="A95" s="362" t="s">
        <v>67</v>
      </c>
      <c r="B95" s="362"/>
      <c r="C95" s="363" t="s">
        <v>68</v>
      </c>
      <c r="D95" s="363"/>
      <c r="E95" s="363"/>
      <c r="F95" s="363"/>
      <c r="G95" s="363"/>
      <c r="H95" s="363"/>
      <c r="I95" s="363"/>
      <c r="J95" s="363"/>
      <c r="K95" s="363"/>
      <c r="L95" s="363"/>
      <c r="M95" s="363"/>
      <c r="N95" s="363"/>
      <c r="O95" s="363"/>
      <c r="P95" s="363"/>
    </row>
    <row r="96" spans="1:16">
      <c r="A96" s="362" t="s">
        <v>69</v>
      </c>
      <c r="B96" s="362"/>
      <c r="C96" s="363" t="s">
        <v>70</v>
      </c>
      <c r="D96" s="363"/>
      <c r="E96" s="363"/>
      <c r="F96" s="363"/>
      <c r="G96" s="363"/>
      <c r="H96" s="363"/>
      <c r="I96" s="363"/>
      <c r="J96" s="363"/>
      <c r="K96" s="363"/>
      <c r="L96" s="363"/>
      <c r="M96" s="363"/>
      <c r="N96" s="363"/>
      <c r="O96" s="363"/>
      <c r="P96" s="363"/>
    </row>
    <row r="97" spans="1:16">
      <c r="A97" s="362" t="s">
        <v>71</v>
      </c>
      <c r="B97" s="362"/>
      <c r="C97" s="363" t="s">
        <v>72</v>
      </c>
      <c r="D97" s="363"/>
      <c r="E97" s="363"/>
      <c r="F97" s="363"/>
      <c r="G97" s="363"/>
      <c r="H97" s="363"/>
      <c r="I97" s="363"/>
      <c r="J97" s="363"/>
      <c r="K97" s="363"/>
      <c r="L97" s="363"/>
      <c r="M97" s="363"/>
      <c r="N97" s="363"/>
      <c r="O97" s="363"/>
      <c r="P97" s="363"/>
    </row>
    <row r="98" spans="1:16">
      <c r="A98" s="362" t="s">
        <v>73</v>
      </c>
      <c r="B98" s="362"/>
      <c r="C98" s="363" t="s">
        <v>74</v>
      </c>
      <c r="D98" s="363"/>
      <c r="E98" s="363"/>
      <c r="F98" s="363"/>
      <c r="G98" s="363"/>
      <c r="H98" s="363"/>
      <c r="I98" s="363"/>
      <c r="J98" s="363"/>
      <c r="K98" s="363"/>
      <c r="L98" s="363"/>
      <c r="M98" s="363"/>
      <c r="N98" s="363"/>
      <c r="O98" s="363"/>
      <c r="P98" s="363"/>
    </row>
    <row r="99" spans="1:16">
      <c r="A99" s="362" t="s">
        <v>75</v>
      </c>
      <c r="B99" s="362"/>
      <c r="C99" s="363" t="s">
        <v>76</v>
      </c>
      <c r="D99" s="363"/>
      <c r="E99" s="363"/>
      <c r="F99" s="363"/>
      <c r="G99" s="363"/>
      <c r="H99" s="363"/>
      <c r="I99" s="363"/>
      <c r="J99" s="363"/>
      <c r="K99" s="363"/>
      <c r="L99" s="363"/>
      <c r="M99" s="363"/>
      <c r="N99" s="363"/>
      <c r="O99" s="363"/>
      <c r="P99" s="363"/>
    </row>
    <row r="100" spans="1:16">
      <c r="A100" s="362" t="s">
        <v>77</v>
      </c>
      <c r="B100" s="362"/>
      <c r="C100" s="363" t="s">
        <v>78</v>
      </c>
      <c r="D100" s="363"/>
      <c r="E100" s="363"/>
      <c r="F100" s="363"/>
      <c r="G100" s="363"/>
      <c r="H100" s="363"/>
      <c r="I100" s="363"/>
      <c r="J100" s="363"/>
      <c r="K100" s="363"/>
      <c r="L100" s="363"/>
      <c r="M100" s="363"/>
      <c r="N100" s="363"/>
      <c r="O100" s="363"/>
      <c r="P100" s="363"/>
    </row>
    <row r="101" spans="1:16">
      <c r="A101" s="362" t="s">
        <v>79</v>
      </c>
      <c r="B101" s="362"/>
      <c r="C101" s="363" t="s">
        <v>80</v>
      </c>
      <c r="D101" s="363"/>
      <c r="E101" s="363"/>
      <c r="F101" s="363"/>
      <c r="G101" s="363"/>
      <c r="H101" s="363"/>
      <c r="I101" s="363"/>
      <c r="J101" s="363"/>
      <c r="K101" s="363"/>
      <c r="L101" s="363"/>
      <c r="M101" s="363"/>
      <c r="N101" s="363"/>
      <c r="O101" s="363"/>
      <c r="P101" s="363"/>
    </row>
    <row r="102" spans="1:16">
      <c r="A102" s="362" t="s">
        <v>81</v>
      </c>
      <c r="B102" s="362"/>
      <c r="C102" s="363" t="s">
        <v>82</v>
      </c>
      <c r="D102" s="363"/>
      <c r="E102" s="363"/>
      <c r="F102" s="363"/>
      <c r="G102" s="363"/>
      <c r="H102" s="363"/>
      <c r="I102" s="363"/>
      <c r="J102" s="363"/>
      <c r="K102" s="363"/>
      <c r="L102" s="363"/>
      <c r="M102" s="363"/>
      <c r="N102" s="363"/>
      <c r="O102" s="363"/>
      <c r="P102" s="363"/>
    </row>
    <row r="103" spans="1:16">
      <c r="A103" s="362" t="s">
        <v>83</v>
      </c>
      <c r="B103" s="362"/>
      <c r="C103" s="363" t="s">
        <v>84</v>
      </c>
      <c r="D103" s="363"/>
      <c r="E103" s="363"/>
      <c r="F103" s="363"/>
      <c r="G103" s="363"/>
      <c r="H103" s="363"/>
      <c r="I103" s="363"/>
      <c r="J103" s="363"/>
      <c r="K103" s="363"/>
      <c r="L103" s="363"/>
      <c r="M103" s="363"/>
      <c r="N103" s="363"/>
      <c r="O103" s="363"/>
      <c r="P103" s="363"/>
    </row>
    <row r="104" spans="1:16">
      <c r="A104" s="362" t="s">
        <v>85</v>
      </c>
      <c r="B104" s="362"/>
      <c r="C104" s="363" t="s">
        <v>86</v>
      </c>
      <c r="D104" s="363"/>
      <c r="E104" s="363"/>
      <c r="F104" s="363"/>
      <c r="G104" s="363"/>
      <c r="H104" s="363"/>
      <c r="I104" s="363"/>
      <c r="J104" s="363"/>
      <c r="K104" s="363"/>
      <c r="L104" s="363"/>
      <c r="M104" s="363"/>
      <c r="N104" s="363"/>
      <c r="O104" s="363"/>
      <c r="P104" s="363"/>
    </row>
    <row r="105" spans="1:16">
      <c r="A105" s="362" t="s">
        <v>87</v>
      </c>
      <c r="B105" s="362"/>
      <c r="C105" s="363" t="s">
        <v>88</v>
      </c>
      <c r="D105" s="363"/>
      <c r="E105" s="363"/>
      <c r="F105" s="363"/>
      <c r="G105" s="363"/>
      <c r="H105" s="363"/>
      <c r="I105" s="363"/>
      <c r="J105" s="363"/>
      <c r="K105" s="363"/>
      <c r="L105" s="363"/>
      <c r="M105" s="363"/>
      <c r="N105" s="363"/>
      <c r="O105" s="363"/>
      <c r="P105" s="363"/>
    </row>
    <row r="106" spans="1:16">
      <c r="A106" s="362" t="s">
        <v>89</v>
      </c>
      <c r="B106" s="362"/>
      <c r="C106" s="363" t="s">
        <v>90</v>
      </c>
      <c r="D106" s="363"/>
      <c r="E106" s="363"/>
      <c r="F106" s="363"/>
      <c r="G106" s="363"/>
      <c r="H106" s="363"/>
      <c r="I106" s="363"/>
      <c r="J106" s="363"/>
      <c r="K106" s="363"/>
      <c r="L106" s="363"/>
      <c r="M106" s="363"/>
      <c r="N106" s="363"/>
      <c r="O106" s="363"/>
      <c r="P106" s="363"/>
    </row>
    <row r="107" spans="1:16">
      <c r="A107" s="362" t="s">
        <v>91</v>
      </c>
      <c r="B107" s="362"/>
      <c r="C107" s="363" t="s">
        <v>92</v>
      </c>
      <c r="D107" s="363"/>
      <c r="E107" s="363"/>
      <c r="F107" s="363"/>
      <c r="G107" s="363"/>
      <c r="H107" s="363"/>
      <c r="I107" s="363"/>
      <c r="J107" s="363"/>
      <c r="K107" s="363"/>
      <c r="L107" s="363"/>
      <c r="M107" s="363"/>
      <c r="N107" s="363"/>
      <c r="O107" s="363"/>
      <c r="P107" s="363"/>
    </row>
    <row r="108" spans="1:16">
      <c r="A108" s="362" t="s">
        <v>93</v>
      </c>
      <c r="B108" s="362"/>
      <c r="C108" s="363" t="s">
        <v>94</v>
      </c>
      <c r="D108" s="363"/>
      <c r="E108" s="363"/>
      <c r="F108" s="363"/>
      <c r="G108" s="363"/>
      <c r="H108" s="363"/>
      <c r="I108" s="363"/>
      <c r="J108" s="363"/>
      <c r="K108" s="363"/>
      <c r="L108" s="363"/>
      <c r="M108" s="363"/>
      <c r="N108" s="363"/>
      <c r="O108" s="363"/>
      <c r="P108" s="363"/>
    </row>
    <row r="109" spans="1:16">
      <c r="A109" s="362" t="s">
        <v>95</v>
      </c>
      <c r="B109" s="362"/>
      <c r="C109" s="363" t="s">
        <v>96</v>
      </c>
      <c r="D109" s="363"/>
      <c r="E109" s="363"/>
      <c r="F109" s="363"/>
      <c r="G109" s="363"/>
      <c r="H109" s="363"/>
      <c r="I109" s="363"/>
      <c r="J109" s="363"/>
      <c r="K109" s="363"/>
      <c r="L109" s="363"/>
      <c r="M109" s="363"/>
      <c r="N109" s="363"/>
      <c r="O109" s="363"/>
      <c r="P109" s="363"/>
    </row>
    <row r="110" spans="1:16">
      <c r="A110" s="362" t="s">
        <v>97</v>
      </c>
      <c r="B110" s="362"/>
      <c r="C110" s="363" t="s">
        <v>98</v>
      </c>
      <c r="D110" s="363"/>
      <c r="E110" s="363"/>
      <c r="F110" s="363"/>
      <c r="G110" s="363"/>
      <c r="H110" s="363"/>
      <c r="I110" s="363"/>
      <c r="J110" s="363"/>
      <c r="K110" s="363"/>
      <c r="L110" s="363"/>
      <c r="M110" s="363"/>
      <c r="N110" s="363"/>
      <c r="O110" s="363"/>
      <c r="P110" s="363"/>
    </row>
    <row r="111" spans="1:16">
      <c r="A111" s="362" t="s">
        <v>99</v>
      </c>
      <c r="B111" s="362"/>
      <c r="C111" s="363" t="s">
        <v>100</v>
      </c>
      <c r="D111" s="363"/>
      <c r="E111" s="363"/>
      <c r="F111" s="363"/>
      <c r="G111" s="363"/>
      <c r="H111" s="363"/>
      <c r="I111" s="363"/>
      <c r="J111" s="363"/>
      <c r="K111" s="363"/>
      <c r="L111" s="363"/>
      <c r="M111" s="363"/>
      <c r="N111" s="363"/>
      <c r="O111" s="363"/>
      <c r="P111" s="363"/>
    </row>
    <row r="112" spans="1:16">
      <c r="A112" s="362" t="s">
        <v>101</v>
      </c>
      <c r="B112" s="362"/>
      <c r="C112" s="363" t="s">
        <v>102</v>
      </c>
      <c r="D112" s="363"/>
      <c r="E112" s="363"/>
      <c r="F112" s="363"/>
      <c r="G112" s="363"/>
      <c r="H112" s="363"/>
      <c r="I112" s="363"/>
      <c r="J112" s="363"/>
      <c r="K112" s="363"/>
      <c r="L112" s="363"/>
      <c r="M112" s="363"/>
      <c r="N112" s="363"/>
      <c r="O112" s="363"/>
      <c r="P112" s="363"/>
    </row>
    <row r="113" spans="1:16">
      <c r="A113" s="362" t="s">
        <v>103</v>
      </c>
      <c r="B113" s="362"/>
      <c r="C113" s="363" t="s">
        <v>104</v>
      </c>
      <c r="D113" s="363"/>
      <c r="E113" s="363"/>
      <c r="F113" s="363"/>
      <c r="G113" s="363"/>
      <c r="H113" s="363"/>
      <c r="I113" s="363"/>
      <c r="J113" s="363"/>
      <c r="K113" s="363"/>
      <c r="L113" s="363"/>
      <c r="M113" s="363"/>
      <c r="N113" s="363"/>
      <c r="O113" s="363"/>
      <c r="P113" s="363"/>
    </row>
    <row r="114" spans="1:16">
      <c r="A114" s="362" t="s">
        <v>2709</v>
      </c>
      <c r="B114" s="362"/>
      <c r="C114" s="363" t="s">
        <v>2710</v>
      </c>
      <c r="D114" s="363"/>
      <c r="E114" s="363"/>
      <c r="F114" s="363"/>
      <c r="G114" s="363"/>
      <c r="H114" s="363"/>
      <c r="I114" s="363"/>
      <c r="J114" s="363"/>
      <c r="K114" s="363"/>
      <c r="L114" s="363"/>
      <c r="M114" s="363"/>
      <c r="N114" s="363"/>
      <c r="O114" s="363"/>
      <c r="P114" s="363"/>
    </row>
    <row r="115" spans="1:16">
      <c r="A115" s="362" t="s">
        <v>105</v>
      </c>
      <c r="B115" s="362"/>
      <c r="C115" s="363" t="s">
        <v>2741</v>
      </c>
      <c r="D115" s="363"/>
      <c r="E115" s="363"/>
      <c r="F115" s="363"/>
      <c r="G115" s="363"/>
      <c r="H115" s="363"/>
      <c r="I115" s="363"/>
      <c r="J115" s="363"/>
      <c r="K115" s="363"/>
      <c r="L115" s="363"/>
      <c r="M115" s="363"/>
      <c r="N115" s="363"/>
      <c r="O115" s="363"/>
      <c r="P115" s="363"/>
    </row>
    <row r="116" spans="1:16">
      <c r="A116" s="362" t="s">
        <v>106</v>
      </c>
      <c r="B116" s="362"/>
      <c r="C116" s="363" t="s">
        <v>2742</v>
      </c>
      <c r="D116" s="363"/>
      <c r="E116" s="363"/>
      <c r="F116" s="363"/>
      <c r="G116" s="363"/>
      <c r="H116" s="363"/>
      <c r="I116" s="363"/>
      <c r="J116" s="363"/>
      <c r="K116" s="363"/>
      <c r="L116" s="363"/>
      <c r="M116" s="363"/>
      <c r="N116" s="363"/>
      <c r="O116" s="363"/>
      <c r="P116" s="363"/>
    </row>
    <row r="117" spans="1:16">
      <c r="A117" s="362" t="s">
        <v>107</v>
      </c>
      <c r="B117" s="362"/>
      <c r="C117" s="363" t="s">
        <v>2743</v>
      </c>
      <c r="D117" s="363"/>
      <c r="E117" s="363"/>
      <c r="F117" s="363"/>
      <c r="G117" s="363"/>
      <c r="H117" s="363"/>
      <c r="I117" s="363"/>
      <c r="J117" s="363"/>
      <c r="K117" s="363"/>
      <c r="L117" s="363"/>
      <c r="M117" s="363"/>
      <c r="N117" s="363"/>
      <c r="O117" s="363"/>
      <c r="P117" s="363"/>
    </row>
    <row r="118" spans="1:16">
      <c r="A118" s="362" t="s">
        <v>2712</v>
      </c>
      <c r="B118" s="362"/>
      <c r="C118" s="363" t="s">
        <v>2713</v>
      </c>
      <c r="D118" s="363"/>
      <c r="E118" s="363"/>
      <c r="F118" s="363"/>
      <c r="G118" s="363"/>
      <c r="H118" s="363"/>
      <c r="I118" s="363"/>
      <c r="J118" s="363"/>
      <c r="K118" s="363"/>
      <c r="L118" s="363"/>
      <c r="M118" s="363"/>
      <c r="N118" s="363"/>
      <c r="O118" s="363"/>
      <c r="P118" s="363"/>
    </row>
    <row r="119" spans="1:16">
      <c r="A119" s="362" t="s">
        <v>108</v>
      </c>
      <c r="B119" s="362"/>
      <c r="C119" s="363" t="s">
        <v>109</v>
      </c>
      <c r="D119" s="363"/>
      <c r="E119" s="363"/>
      <c r="F119" s="363"/>
      <c r="G119" s="363"/>
      <c r="H119" s="363"/>
      <c r="I119" s="363"/>
      <c r="J119" s="363"/>
      <c r="K119" s="363"/>
      <c r="L119" s="363"/>
      <c r="M119" s="363"/>
      <c r="N119" s="363"/>
      <c r="O119" s="363"/>
      <c r="P119" s="363"/>
    </row>
    <row r="120" spans="1:16">
      <c r="A120" s="362" t="s">
        <v>2711</v>
      </c>
      <c r="B120" s="362"/>
      <c r="C120" s="363" t="s">
        <v>2714</v>
      </c>
      <c r="D120" s="363"/>
      <c r="E120" s="363"/>
      <c r="F120" s="363"/>
      <c r="G120" s="363"/>
      <c r="H120" s="363"/>
      <c r="I120" s="363"/>
      <c r="J120" s="363"/>
      <c r="K120" s="363"/>
      <c r="L120" s="363"/>
      <c r="M120" s="363"/>
      <c r="N120" s="363"/>
      <c r="O120" s="363"/>
      <c r="P120" s="363"/>
    </row>
    <row r="121" spans="1:16">
      <c r="A121" s="2979" t="s">
        <v>2715</v>
      </c>
      <c r="B121" s="362"/>
      <c r="C121" s="363" t="s">
        <v>2729</v>
      </c>
      <c r="D121" s="363"/>
      <c r="E121" s="363"/>
      <c r="F121" s="363"/>
      <c r="G121" s="363"/>
      <c r="H121" s="363"/>
      <c r="I121" s="363"/>
      <c r="J121" s="363"/>
      <c r="K121" s="363"/>
      <c r="L121" s="363"/>
      <c r="M121" s="363"/>
      <c r="N121" s="363"/>
      <c r="O121" s="363"/>
      <c r="P121" s="363"/>
    </row>
    <row r="122" spans="1:16">
      <c r="A122" s="2979" t="s">
        <v>2716</v>
      </c>
      <c r="B122" s="362"/>
      <c r="C122" s="363" t="s">
        <v>2730</v>
      </c>
      <c r="D122" s="363"/>
      <c r="E122" s="363"/>
      <c r="F122" s="363"/>
      <c r="G122" s="363"/>
      <c r="H122" s="363"/>
      <c r="I122" s="363"/>
      <c r="J122" s="363"/>
      <c r="K122" s="363"/>
      <c r="L122" s="363"/>
      <c r="M122" s="363"/>
      <c r="N122" s="363"/>
      <c r="O122" s="363"/>
      <c r="P122" s="363"/>
    </row>
    <row r="123" spans="1:16">
      <c r="A123" s="2979" t="s">
        <v>2717</v>
      </c>
      <c r="B123" s="362"/>
      <c r="C123" s="363" t="s">
        <v>2731</v>
      </c>
      <c r="D123" s="363"/>
      <c r="E123" s="363"/>
      <c r="F123" s="363"/>
      <c r="G123" s="363"/>
      <c r="H123" s="363"/>
      <c r="I123" s="363"/>
      <c r="J123" s="363"/>
      <c r="K123" s="363"/>
      <c r="L123" s="363"/>
      <c r="M123" s="363"/>
      <c r="N123" s="363"/>
      <c r="O123" s="363"/>
      <c r="P123" s="363"/>
    </row>
    <row r="124" spans="1:16">
      <c r="A124" s="2979" t="s">
        <v>2718</v>
      </c>
      <c r="B124" s="362"/>
      <c r="C124" s="363" t="s">
        <v>2732</v>
      </c>
      <c r="D124" s="363"/>
      <c r="E124" s="363"/>
      <c r="F124" s="363"/>
      <c r="G124" s="363"/>
      <c r="H124" s="363"/>
      <c r="I124" s="363"/>
      <c r="J124" s="363"/>
      <c r="K124" s="363"/>
      <c r="L124" s="363"/>
      <c r="M124" s="363"/>
      <c r="N124" s="363"/>
      <c r="O124" s="363"/>
      <c r="P124" s="363"/>
    </row>
    <row r="125" spans="1:16">
      <c r="A125" s="2979" t="s">
        <v>2719</v>
      </c>
      <c r="B125" s="362"/>
      <c r="C125" s="363" t="s">
        <v>2733</v>
      </c>
      <c r="D125" s="363"/>
      <c r="E125" s="363"/>
      <c r="F125" s="363"/>
      <c r="G125" s="363"/>
      <c r="H125" s="363"/>
      <c r="I125" s="363"/>
      <c r="J125" s="363"/>
      <c r="K125" s="363"/>
      <c r="L125" s="363"/>
      <c r="M125" s="363"/>
      <c r="N125" s="363"/>
      <c r="O125" s="363"/>
      <c r="P125" s="363"/>
    </row>
    <row r="126" spans="1:16">
      <c r="A126" s="2979" t="s">
        <v>2720</v>
      </c>
      <c r="B126" s="362"/>
      <c r="C126" s="363" t="s">
        <v>2734</v>
      </c>
      <c r="D126" s="363"/>
      <c r="E126" s="363"/>
      <c r="F126" s="363"/>
      <c r="G126" s="363"/>
      <c r="H126" s="363"/>
      <c r="I126" s="363"/>
      <c r="J126" s="363"/>
      <c r="K126" s="363"/>
      <c r="L126" s="363"/>
      <c r="M126" s="363"/>
      <c r="N126" s="363"/>
      <c r="O126" s="363"/>
      <c r="P126" s="363"/>
    </row>
    <row r="127" spans="1:16">
      <c r="A127" s="2979" t="s">
        <v>2721</v>
      </c>
      <c r="B127" s="362"/>
      <c r="C127" s="363" t="s">
        <v>2735</v>
      </c>
      <c r="D127" s="363"/>
      <c r="E127" s="363"/>
      <c r="F127" s="363"/>
      <c r="G127" s="363"/>
      <c r="H127" s="363"/>
      <c r="I127" s="363"/>
      <c r="J127" s="363"/>
      <c r="K127" s="363"/>
      <c r="L127" s="363"/>
      <c r="M127" s="363"/>
      <c r="N127" s="363"/>
      <c r="O127" s="363"/>
      <c r="P127" s="363"/>
    </row>
    <row r="128" spans="1:16">
      <c r="A128" s="2979" t="s">
        <v>2722</v>
      </c>
      <c r="B128" s="362"/>
      <c r="C128" s="363" t="s">
        <v>2736</v>
      </c>
      <c r="D128" s="363"/>
      <c r="E128" s="363"/>
      <c r="F128" s="363"/>
      <c r="G128" s="363"/>
      <c r="H128" s="363"/>
      <c r="I128" s="363"/>
      <c r="J128" s="363"/>
      <c r="K128" s="363"/>
      <c r="L128" s="363"/>
      <c r="M128" s="363"/>
      <c r="N128" s="363"/>
      <c r="O128" s="363"/>
      <c r="P128" s="363"/>
    </row>
    <row r="129" spans="1:16">
      <c r="A129" s="2979" t="s">
        <v>2723</v>
      </c>
      <c r="B129" s="362"/>
      <c r="C129" s="363" t="s">
        <v>2736</v>
      </c>
      <c r="D129" s="363"/>
      <c r="E129" s="363"/>
      <c r="F129" s="363"/>
      <c r="G129" s="363"/>
      <c r="H129" s="363"/>
      <c r="I129" s="363"/>
      <c r="J129" s="363"/>
      <c r="K129" s="363"/>
      <c r="L129" s="363"/>
      <c r="M129" s="363"/>
      <c r="N129" s="363"/>
      <c r="O129" s="363"/>
      <c r="P129" s="363"/>
    </row>
    <row r="130" spans="1:16">
      <c r="A130" s="2979" t="s">
        <v>2724</v>
      </c>
      <c r="B130" s="362"/>
      <c r="C130" s="363" t="s">
        <v>2739</v>
      </c>
      <c r="D130" s="363"/>
      <c r="E130" s="363"/>
      <c r="F130" s="363"/>
      <c r="G130" s="363"/>
      <c r="H130" s="363"/>
      <c r="I130" s="363"/>
      <c r="J130" s="363"/>
      <c r="K130" s="363"/>
      <c r="L130" s="363"/>
      <c r="M130" s="363"/>
      <c r="N130" s="363"/>
      <c r="O130" s="363"/>
      <c r="P130" s="363"/>
    </row>
    <row r="131" spans="1:16">
      <c r="A131" s="2979" t="s">
        <v>2725</v>
      </c>
      <c r="B131" s="362"/>
      <c r="C131" s="363" t="s">
        <v>2740</v>
      </c>
      <c r="D131" s="363"/>
      <c r="E131" s="363"/>
      <c r="F131" s="363"/>
      <c r="G131" s="363"/>
      <c r="H131" s="363"/>
      <c r="I131" s="363"/>
      <c r="J131" s="363"/>
      <c r="K131" s="363"/>
      <c r="L131" s="363"/>
      <c r="M131" s="363"/>
      <c r="N131" s="363"/>
      <c r="O131" s="363"/>
      <c r="P131" s="363"/>
    </row>
    <row r="132" spans="1:16">
      <c r="A132" s="2979" t="s">
        <v>2726</v>
      </c>
      <c r="B132" s="362"/>
      <c r="C132" s="363" t="s">
        <v>2740</v>
      </c>
      <c r="D132" s="363"/>
      <c r="E132" s="363"/>
      <c r="F132" s="363"/>
      <c r="G132" s="363"/>
      <c r="H132" s="363"/>
      <c r="I132" s="363"/>
      <c r="J132" s="363"/>
      <c r="K132" s="363"/>
      <c r="L132" s="363"/>
      <c r="M132" s="363"/>
      <c r="N132" s="363"/>
      <c r="O132" s="363"/>
      <c r="P132" s="363"/>
    </row>
    <row r="133" spans="1:16">
      <c r="A133" s="2979" t="s">
        <v>2727</v>
      </c>
      <c r="B133" s="362"/>
      <c r="C133" s="363" t="s">
        <v>2738</v>
      </c>
      <c r="D133" s="363"/>
      <c r="E133" s="363"/>
      <c r="F133" s="363"/>
      <c r="G133" s="363"/>
      <c r="H133" s="363"/>
      <c r="I133" s="363"/>
      <c r="J133" s="363"/>
      <c r="K133" s="363"/>
      <c r="L133" s="363"/>
      <c r="M133" s="363"/>
      <c r="N133" s="363"/>
      <c r="O133" s="363"/>
      <c r="P133" s="363"/>
    </row>
    <row r="134" spans="1:16">
      <c r="A134" s="2979" t="s">
        <v>2728</v>
      </c>
      <c r="B134" s="362"/>
      <c r="C134" s="363" t="s">
        <v>2737</v>
      </c>
      <c r="D134" s="363"/>
      <c r="E134" s="363"/>
      <c r="F134" s="363"/>
      <c r="G134" s="363"/>
      <c r="H134" s="363"/>
      <c r="I134" s="363"/>
      <c r="J134" s="363"/>
      <c r="K134" s="363"/>
      <c r="L134" s="363"/>
      <c r="M134" s="363"/>
      <c r="N134" s="363"/>
      <c r="O134" s="363"/>
      <c r="P134" s="363"/>
    </row>
    <row r="135" spans="1:16">
      <c r="A135" s="364"/>
      <c r="B135" s="364"/>
    </row>
    <row r="136" spans="1:16">
      <c r="B136" s="365"/>
      <c r="C136" s="3" t="s">
        <v>110</v>
      </c>
    </row>
    <row r="137" spans="1:16">
      <c r="A137" s="364">
        <v>1</v>
      </c>
      <c r="C137" s="366" t="s">
        <v>111</v>
      </c>
      <c r="D137" s="366"/>
      <c r="E137" s="366"/>
      <c r="F137" s="366"/>
      <c r="G137" s="366"/>
      <c r="H137" s="366"/>
      <c r="I137" s="366"/>
      <c r="J137" s="366"/>
      <c r="K137" s="366"/>
      <c r="L137" s="366"/>
    </row>
    <row r="138" spans="1:16" hidden="1">
      <c r="A138" s="364"/>
      <c r="C138" s="366"/>
      <c r="D138" s="366"/>
      <c r="E138" s="366"/>
      <c r="F138" s="366"/>
      <c r="G138" s="366"/>
      <c r="H138" s="366"/>
      <c r="I138" s="366"/>
      <c r="J138" s="366"/>
      <c r="K138" s="366"/>
      <c r="L138" s="366"/>
    </row>
    <row r="139" spans="1:16" hidden="1">
      <c r="A139" s="364"/>
      <c r="C139" s="366"/>
      <c r="D139" s="366"/>
      <c r="E139" s="366"/>
      <c r="F139" s="366"/>
      <c r="G139" s="366"/>
      <c r="H139" s="366"/>
      <c r="I139" s="366"/>
      <c r="J139" s="366"/>
      <c r="K139" s="366"/>
      <c r="L139" s="366"/>
    </row>
    <row r="140" spans="1:16" hidden="1">
      <c r="A140" s="364"/>
      <c r="C140" s="366"/>
      <c r="D140" s="366"/>
      <c r="E140" s="366"/>
      <c r="F140" s="366"/>
      <c r="G140" s="366"/>
      <c r="H140" s="366"/>
      <c r="I140" s="366"/>
      <c r="J140" s="366"/>
      <c r="K140" s="366"/>
      <c r="L140" s="366"/>
    </row>
    <row r="141" spans="1:16" hidden="1">
      <c r="A141" s="364"/>
      <c r="C141" s="366"/>
      <c r="D141" s="366"/>
      <c r="E141" s="366"/>
      <c r="F141" s="366"/>
      <c r="G141" s="366"/>
      <c r="H141" s="366"/>
      <c r="I141" s="366"/>
      <c r="J141" s="366"/>
      <c r="K141" s="366"/>
      <c r="L141" s="366"/>
    </row>
    <row r="142" spans="1:16" hidden="1">
      <c r="A142" s="364"/>
      <c r="C142" s="366"/>
      <c r="D142" s="366"/>
      <c r="E142" s="366"/>
      <c r="F142" s="366"/>
      <c r="G142" s="366"/>
      <c r="H142" s="366"/>
      <c r="I142" s="366"/>
      <c r="J142" s="366"/>
      <c r="K142" s="366"/>
      <c r="L142" s="366"/>
    </row>
    <row r="143" spans="1:16" hidden="1">
      <c r="A143" s="364"/>
      <c r="C143" s="366"/>
      <c r="D143" s="366"/>
      <c r="E143" s="366"/>
      <c r="F143" s="366"/>
      <c r="G143" s="366"/>
      <c r="H143" s="366"/>
      <c r="I143" s="366"/>
      <c r="J143" s="366"/>
      <c r="K143" s="366"/>
      <c r="L143" s="366"/>
    </row>
    <row r="144" spans="1:16" hidden="1">
      <c r="A144" s="364"/>
      <c r="C144" s="366"/>
      <c r="D144" s="366"/>
      <c r="E144" s="366"/>
      <c r="F144" s="366"/>
      <c r="G144" s="366"/>
      <c r="H144" s="366"/>
      <c r="I144" s="366"/>
      <c r="J144" s="366"/>
      <c r="K144" s="366"/>
      <c r="L144" s="366"/>
    </row>
    <row r="145" spans="1:12" hidden="1">
      <c r="A145" s="364"/>
      <c r="C145" s="366"/>
      <c r="D145" s="366"/>
      <c r="E145" s="366"/>
      <c r="F145" s="366"/>
      <c r="G145" s="366"/>
      <c r="H145" s="366"/>
      <c r="I145" s="366"/>
      <c r="J145" s="366"/>
      <c r="K145" s="366"/>
      <c r="L145" s="366"/>
    </row>
    <row r="146" spans="1:12" hidden="1">
      <c r="A146" s="364"/>
      <c r="C146" s="366"/>
      <c r="D146" s="366"/>
      <c r="E146" s="366"/>
      <c r="F146" s="366"/>
      <c r="G146" s="366"/>
      <c r="H146" s="366"/>
      <c r="I146" s="366"/>
      <c r="J146" s="366"/>
      <c r="K146" s="366"/>
      <c r="L146" s="366"/>
    </row>
    <row r="147" spans="1:12" hidden="1">
      <c r="A147" s="364"/>
      <c r="C147" s="366"/>
      <c r="D147" s="366"/>
      <c r="E147" s="366"/>
      <c r="F147" s="366"/>
      <c r="G147" s="366"/>
      <c r="H147" s="366"/>
      <c r="I147" s="366"/>
      <c r="J147" s="366"/>
      <c r="K147" s="366"/>
      <c r="L147" s="366"/>
    </row>
    <row r="148" spans="1:12" hidden="1">
      <c r="A148" s="364"/>
      <c r="C148" s="366"/>
      <c r="D148" s="366"/>
      <c r="E148" s="366"/>
      <c r="F148" s="366"/>
      <c r="G148" s="366"/>
      <c r="H148" s="366"/>
      <c r="I148" s="366"/>
      <c r="J148" s="366"/>
      <c r="K148" s="366"/>
      <c r="L148" s="366"/>
    </row>
    <row r="149" spans="1:12" hidden="1">
      <c r="A149" s="364"/>
      <c r="C149" s="366"/>
      <c r="D149" s="366"/>
      <c r="E149" s="366"/>
      <c r="F149" s="366"/>
      <c r="G149" s="366"/>
      <c r="H149" s="366"/>
      <c r="I149" s="366"/>
      <c r="J149" s="366"/>
      <c r="K149" s="366"/>
      <c r="L149" s="366"/>
    </row>
    <row r="150" spans="1:12" hidden="1">
      <c r="A150" s="364"/>
      <c r="C150" s="366"/>
      <c r="D150" s="366"/>
      <c r="E150" s="366"/>
      <c r="F150" s="366"/>
      <c r="G150" s="366"/>
      <c r="H150" s="366"/>
      <c r="I150" s="366"/>
      <c r="J150" s="366"/>
      <c r="K150" s="366"/>
      <c r="L150" s="366"/>
    </row>
    <row r="151" spans="1:12" hidden="1">
      <c r="A151" s="364"/>
      <c r="C151" s="366"/>
      <c r="D151" s="366"/>
      <c r="E151" s="366"/>
      <c r="F151" s="366"/>
      <c r="G151" s="366"/>
      <c r="H151" s="366"/>
      <c r="I151" s="366"/>
      <c r="J151" s="366"/>
      <c r="K151" s="366"/>
      <c r="L151" s="366"/>
    </row>
    <row r="152" spans="1:12">
      <c r="A152" s="364"/>
      <c r="C152" s="366" t="s">
        <v>112</v>
      </c>
      <c r="D152" s="366"/>
      <c r="E152" s="366"/>
      <c r="F152" s="366"/>
      <c r="G152" s="366"/>
      <c r="H152" s="366"/>
      <c r="I152" s="366"/>
      <c r="J152" s="366"/>
      <c r="K152" s="366"/>
      <c r="L152" s="366"/>
    </row>
    <row r="153" spans="1:12">
      <c r="A153" s="364">
        <v>2</v>
      </c>
      <c r="C153" s="366" t="s">
        <v>113</v>
      </c>
      <c r="D153" s="366"/>
      <c r="E153" s="366"/>
      <c r="F153" s="366"/>
      <c r="G153" s="366"/>
      <c r="H153" s="366"/>
      <c r="I153" s="366"/>
      <c r="J153" s="366"/>
      <c r="K153" s="366"/>
      <c r="L153" s="366"/>
    </row>
    <row r="154" spans="1:12">
      <c r="A154" s="364"/>
      <c r="C154" s="366" t="s">
        <v>114</v>
      </c>
      <c r="E154" s="366"/>
      <c r="F154" s="366"/>
      <c r="G154" s="366"/>
      <c r="H154" s="366"/>
      <c r="I154" s="366"/>
      <c r="J154" s="366"/>
      <c r="K154" s="366"/>
      <c r="L154" s="366"/>
    </row>
    <row r="155" spans="1:12">
      <c r="A155" s="364">
        <v>3</v>
      </c>
      <c r="C155" s="366" t="s">
        <v>115</v>
      </c>
      <c r="D155" s="366"/>
      <c r="E155" s="366"/>
      <c r="F155" s="366"/>
      <c r="G155" s="366"/>
      <c r="H155" s="366"/>
      <c r="I155" s="366"/>
      <c r="J155" s="366"/>
      <c r="K155" s="366"/>
      <c r="L155" s="366"/>
    </row>
    <row r="156" spans="1:12">
      <c r="A156" s="365"/>
      <c r="C156" s="366" t="s">
        <v>116</v>
      </c>
      <c r="D156" s="366"/>
      <c r="E156" s="366"/>
      <c r="F156" s="366"/>
      <c r="G156" s="366"/>
      <c r="H156" s="366"/>
      <c r="I156" s="366"/>
      <c r="J156" s="366"/>
      <c r="K156" s="366"/>
      <c r="L156" s="366"/>
    </row>
    <row r="157" spans="1:12">
      <c r="A157" s="365"/>
      <c r="C157" s="366" t="s">
        <v>117</v>
      </c>
      <c r="D157" s="366"/>
      <c r="E157" s="366"/>
      <c r="F157" s="366"/>
      <c r="G157" s="366"/>
      <c r="H157" s="366"/>
      <c r="I157" s="366"/>
      <c r="J157" s="366"/>
      <c r="K157" s="366"/>
      <c r="L157" s="366"/>
    </row>
    <row r="158" spans="1:12">
      <c r="A158" s="365"/>
      <c r="C158" s="366" t="s">
        <v>118</v>
      </c>
      <c r="D158" s="366"/>
      <c r="E158" s="366"/>
      <c r="F158" s="366"/>
      <c r="G158" s="366"/>
      <c r="H158" s="366"/>
      <c r="I158" s="366"/>
      <c r="J158" s="366"/>
      <c r="K158" s="366"/>
      <c r="L158" s="366"/>
    </row>
    <row r="159" spans="1:12">
      <c r="C159" s="366"/>
      <c r="D159" s="366"/>
      <c r="E159" s="366"/>
      <c r="F159" s="366"/>
      <c r="G159" s="366"/>
      <c r="H159" s="366"/>
      <c r="I159" s="366"/>
      <c r="J159" s="366"/>
      <c r="K159" s="366"/>
      <c r="L159" s="366"/>
    </row>
    <row r="160" spans="1:12">
      <c r="C160" s="360" t="s">
        <v>119</v>
      </c>
    </row>
    <row r="161" spans="3:3">
      <c r="C161" s="366"/>
    </row>
    <row r="162" spans="3:3">
      <c r="C162" s="366" t="s">
        <v>120</v>
      </c>
    </row>
    <row r="163" spans="3:3">
      <c r="C163" s="366" t="s">
        <v>121</v>
      </c>
    </row>
    <row r="164" spans="3:3">
      <c r="C164" s="366" t="s">
        <v>122</v>
      </c>
    </row>
    <row r="165" spans="3:3">
      <c r="C165" s="366" t="s">
        <v>123</v>
      </c>
    </row>
    <row r="166" spans="3:3">
      <c r="C166" s="366" t="s">
        <v>124</v>
      </c>
    </row>
    <row r="167" spans="3:3">
      <c r="C167" s="366" t="s">
        <v>125</v>
      </c>
    </row>
    <row r="168" spans="3:3">
      <c r="C168" s="366" t="s">
        <v>126</v>
      </c>
    </row>
    <row r="169" spans="3:3">
      <c r="C169" s="366" t="s">
        <v>127</v>
      </c>
    </row>
  </sheetData>
  <phoneticPr fontId="4" type="noConversion"/>
  <pageMargins left="0.75" right="0.75" top="1" bottom="1" header="0.5" footer="0.5"/>
  <pageSetup paperSize="9" scale="30"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8"/>
  <dimension ref="A1:BB731"/>
  <sheetViews>
    <sheetView showGridLines="0" zoomScale="85" zoomScaleNormal="85" workbookViewId="0">
      <selection activeCell="E33" sqref="E33"/>
    </sheetView>
  </sheetViews>
  <sheetFormatPr defaultColWidth="9.140625" defaultRowHeight="12.75"/>
  <cols>
    <col min="1" max="1" width="33.28515625" style="1321" customWidth="1"/>
    <col min="2" max="6" width="13.28515625" style="1321" customWidth="1"/>
    <col min="7" max="7" width="22.5703125" style="1321" customWidth="1"/>
    <col min="8" max="11" width="13.28515625" style="1321" customWidth="1"/>
    <col min="12" max="12" width="25.140625" style="1321" customWidth="1"/>
    <col min="13" max="13" width="25.7109375" style="1321" customWidth="1"/>
    <col min="14" max="14" width="16.28515625" style="1321" customWidth="1"/>
    <col min="15" max="18" width="13.28515625" style="1321" customWidth="1"/>
    <col min="19" max="19" width="28.7109375" style="1321" customWidth="1"/>
    <col min="20" max="50" width="13.28515625" style="1321" customWidth="1"/>
    <col min="51" max="51" width="13.5703125" style="1321" customWidth="1"/>
    <col min="52" max="16384" width="9.140625" style="1321"/>
  </cols>
  <sheetData>
    <row r="1" spans="1:13" ht="15.75">
      <c r="A1" s="81" t="s">
        <v>1950</v>
      </c>
    </row>
    <row r="3" spans="1:13" ht="15.75">
      <c r="A3" s="81" t="s">
        <v>1951</v>
      </c>
    </row>
    <row r="4" spans="1:13" s="439" customFormat="1">
      <c r="A4" s="439" t="s">
        <v>1952</v>
      </c>
      <c r="B4" s="2466">
        <f>[1]Inputs!$E$16</f>
        <v>1</v>
      </c>
      <c r="C4" s="439" t="s">
        <v>1953</v>
      </c>
    </row>
    <row r="5" spans="1:13">
      <c r="A5" s="439" t="s">
        <v>1954</v>
      </c>
      <c r="B5" s="2467">
        <f>[1]!NG_MeOH_FeedstockShare</f>
        <v>1</v>
      </c>
    </row>
    <row r="6" spans="1:13">
      <c r="A6" s="439" t="s">
        <v>1955</v>
      </c>
      <c r="B6" s="4">
        <f>[1]!NG_Steam_Eff</f>
        <v>0.8</v>
      </c>
    </row>
    <row r="7" spans="1:13">
      <c r="A7" s="439"/>
      <c r="B7" s="4"/>
    </row>
    <row r="8" spans="1:13">
      <c r="A8" s="172" t="s">
        <v>1956</v>
      </c>
    </row>
    <row r="9" spans="1:13">
      <c r="A9" s="1625"/>
      <c r="B9" s="1467" t="s">
        <v>1957</v>
      </c>
      <c r="C9" s="1626" t="s">
        <v>440</v>
      </c>
    </row>
    <row r="10" spans="1:13">
      <c r="A10" s="192" t="s">
        <v>1958</v>
      </c>
      <c r="B10" s="45">
        <f>[1]!NG_LPG_NGShare</f>
        <v>0.75</v>
      </c>
      <c r="C10" s="55">
        <f>1-B10</f>
        <v>0.25</v>
      </c>
    </row>
    <row r="12" spans="1:13">
      <c r="A12" s="1321" t="str">
        <f>[1]Inputs!C875</f>
        <v>12.3.a) Rated All Electric Range (RAER) [miles]</v>
      </c>
      <c r="C12" s="1321" t="s">
        <v>1959</v>
      </c>
      <c r="D12" s="1321">
        <f>[1]!Grid_AER</f>
        <v>20</v>
      </c>
      <c r="F12" s="1321" t="s">
        <v>1960</v>
      </c>
      <c r="G12" s="1321">
        <f>[1]!BEV_AER</f>
        <v>300</v>
      </c>
    </row>
    <row r="14" spans="1:13">
      <c r="A14" s="80"/>
      <c r="B14" s="131" t="s">
        <v>32</v>
      </c>
      <c r="C14" s="131" t="s">
        <v>1962</v>
      </c>
      <c r="D14" s="50" t="s">
        <v>1963</v>
      </c>
      <c r="M14" s="1434"/>
    </row>
    <row r="15" spans="1:13">
      <c r="A15" s="80" t="s">
        <v>1964</v>
      </c>
      <c r="B15" s="2468">
        <f>[1]Car_TS!$C$9</f>
        <v>30.697662208289234</v>
      </c>
      <c r="C15" s="2468">
        <f>[1]LDT1_TS!$C$9</f>
        <v>27.493729326961894</v>
      </c>
      <c r="D15" s="2469">
        <f>[1]LDT2_TS!$C$9</f>
        <v>20.930021604895195</v>
      </c>
    </row>
    <row r="16" spans="1:13">
      <c r="A16" s="173" t="s">
        <v>1965</v>
      </c>
      <c r="B16" s="2470">
        <f>[1]Car_TS!$C$9*[1]Car_TS!$C$472</f>
        <v>45.724945380892144</v>
      </c>
      <c r="C16" s="2470">
        <f>[1]LDT1_TS!$C$9*[1]LDT1_TS!$C$472</f>
        <v>39.609483251265189</v>
      </c>
      <c r="D16" s="2471">
        <f>[1]LDT2_TS!$C$9*[1]LDT2_TS!$C$472</f>
        <v>30.323153842735103</v>
      </c>
    </row>
    <row r="17" spans="1:8">
      <c r="A17" s="173" t="s">
        <v>1966</v>
      </c>
      <c r="B17" s="2470">
        <f>[1]Car_TS!$C$9*([1]Car_TS!$C$638*[1]Vehicles!$C$30+[1]Car_TS!$C$655*[1]Vehicles!$C$31)</f>
        <v>67.051069919434511</v>
      </c>
      <c r="C17" s="2470">
        <f>[1]LDT1_TS!$C$9*([1]LDT1_TS!$C$638*[1]Vehicles!$C$30+[1]LDT1_TS!$C$655*[1]Vehicles!$C$31)</f>
        <v>56.76225704604304</v>
      </c>
      <c r="D17" s="2471">
        <f>[1]LDT2_TS!$C$9*([1]LDT2_TS!$C$638*[1]Vehicles!$C$30+[1]LDT2_TS!$C$655*[1]Vehicles!$C$31)</f>
        <v>43.032633234155504</v>
      </c>
    </row>
    <row r="18" spans="1:8">
      <c r="A18" s="173" t="s">
        <v>1967</v>
      </c>
      <c r="B18" s="2470">
        <f>[1]Car_TS!$C$9*[1]Car_TS!$C$1261</f>
        <v>65.007600727464251</v>
      </c>
      <c r="C18" s="2470">
        <f>[1]LDT1_TS!$C$9*[1]LDT1_TS!$C$1261</f>
        <v>64.56565741928469</v>
      </c>
      <c r="D18" s="2471">
        <f>[1]LDT2_TS!$C$9*[1]LDT2_TS!$C$1260</f>
        <v>42.77563578037833</v>
      </c>
    </row>
    <row r="19" spans="1:8">
      <c r="A19" s="174" t="s">
        <v>1968</v>
      </c>
      <c r="B19" s="2472">
        <f>[1]Car_TS!$C$9*[1]Car_TS!$C$1278</f>
        <v>41.851188147508829</v>
      </c>
      <c r="C19" s="2472">
        <f>[1]LDT1_TS!$C$9*[1]LDT1_TS!$C$1278</f>
        <v>38.170696907262986</v>
      </c>
      <c r="D19" s="2473">
        <f>[1]LDT2_TS!$C$9*[1]LDT2_TS!$C$1277</f>
        <v>29.489100865417861</v>
      </c>
    </row>
    <row r="20" spans="1:8">
      <c r="A20" s="1627" t="s">
        <v>1961</v>
      </c>
      <c r="B20" s="1312">
        <f>[1]!MYear</f>
        <v>2020</v>
      </c>
      <c r="C20" s="1312" cm="1">
        <f t="array" ref="C20">[1]!MYear_LDV1</f>
        <v>2015</v>
      </c>
      <c r="D20" s="2977" cm="1">
        <f t="array" ref="D20">[1]!MYear_LDV2</f>
        <v>2015</v>
      </c>
    </row>
    <row r="21" spans="1:8" ht="18">
      <c r="A21" s="2474" t="s">
        <v>1969</v>
      </c>
    </row>
    <row r="22" spans="1:8" ht="15.75">
      <c r="A22" s="81" t="s">
        <v>1970</v>
      </c>
    </row>
    <row r="23" spans="1:8">
      <c r="A23" s="1953" t="s">
        <v>1971</v>
      </c>
      <c r="B23" s="2984" t="s">
        <v>1972</v>
      </c>
      <c r="C23" s="2985"/>
      <c r="D23" s="2985"/>
      <c r="E23" s="2475" t="s">
        <v>1973</v>
      </c>
      <c r="F23" s="2475" t="s">
        <v>1974</v>
      </c>
      <c r="G23" s="2475" t="s">
        <v>1975</v>
      </c>
      <c r="H23" s="2476" t="s">
        <v>1975</v>
      </c>
    </row>
    <row r="24" spans="1:8" ht="25.5">
      <c r="A24" s="2477"/>
      <c r="B24" s="2423" t="s">
        <v>1976</v>
      </c>
      <c r="C24" s="2478" t="s">
        <v>1977</v>
      </c>
      <c r="D24" s="2478" t="s">
        <v>1978</v>
      </c>
      <c r="E24" s="2478"/>
      <c r="F24" s="2478" t="s">
        <v>1979</v>
      </c>
      <c r="G24" s="2478" t="s">
        <v>1980</v>
      </c>
      <c r="H24" s="2425" t="s">
        <v>1981</v>
      </c>
    </row>
    <row r="25" spans="1:8">
      <c r="A25" s="177" t="s">
        <v>1982</v>
      </c>
      <c r="B25" s="177">
        <f>[1]Fuel_Specs!B5</f>
        <v>1</v>
      </c>
      <c r="C25" s="439" t="s">
        <v>1983</v>
      </c>
      <c r="D25" s="439"/>
      <c r="E25" s="172"/>
      <c r="F25" s="172"/>
      <c r="G25" s="172"/>
      <c r="H25" s="2479"/>
    </row>
    <row r="26" spans="1:8">
      <c r="A26" s="1685" t="s">
        <v>1984</v>
      </c>
      <c r="B26" s="2480" t="s">
        <v>1985</v>
      </c>
      <c r="C26" s="2481" t="s">
        <v>1985</v>
      </c>
      <c r="D26" s="2481" t="s">
        <v>1985</v>
      </c>
      <c r="E26" s="2481" t="s">
        <v>1986</v>
      </c>
      <c r="F26" s="1689"/>
      <c r="G26" s="1689"/>
      <c r="H26" s="2482"/>
    </row>
    <row r="27" spans="1:8">
      <c r="A27" s="16" t="s">
        <v>1987</v>
      </c>
      <c r="B27" s="16">
        <f>[1]Fuel_Specs!B15</f>
        <v>116090</v>
      </c>
      <c r="C27" s="38">
        <f>[1]Fuel_Specs!C15</f>
        <v>116090</v>
      </c>
      <c r="D27" s="38">
        <f>[1]Fuel_Specs!D15</f>
        <v>124340</v>
      </c>
      <c r="E27" s="38">
        <f>[1]Fuel_Specs!E15</f>
        <v>2819</v>
      </c>
      <c r="F27" s="39">
        <f>[1]Fuel_Specs!F15</f>
        <v>0.86299999999999999</v>
      </c>
      <c r="G27" s="38">
        <f>[1]Fuel_Specs!G15</f>
        <v>10</v>
      </c>
      <c r="H27" s="37">
        <f>[1]Fuel_Specs!H15</f>
        <v>1.0000000000000001E-5</v>
      </c>
    </row>
    <row r="28" spans="1:8">
      <c r="A28" s="16" t="s">
        <v>1988</v>
      </c>
      <c r="B28" s="16">
        <f>[1]Fuel_Specs!B24</f>
        <v>116920</v>
      </c>
      <c r="C28" s="38">
        <f>[1]Fuel_Specs!C24</f>
        <v>116920</v>
      </c>
      <c r="D28" s="38">
        <f>[1]Fuel_Specs!D24</f>
        <v>125080</v>
      </c>
      <c r="E28" s="38">
        <f>[1]Fuel_Specs!E24</f>
        <v>2745</v>
      </c>
      <c r="F28" s="39">
        <f>[1]Fuel_Specs!F24</f>
        <v>0.85</v>
      </c>
      <c r="G28" s="38">
        <f>[1]Fuel_Specs!G24</f>
        <v>1</v>
      </c>
      <c r="H28" s="37">
        <f>[1]Fuel_Specs!H24</f>
        <v>9.9999999999999995E-7</v>
      </c>
    </row>
    <row r="29" spans="1:8">
      <c r="A29" s="16" t="s">
        <v>1429</v>
      </c>
      <c r="B29" s="16">
        <f>[1]Fuel_Specs!B31</f>
        <v>57250</v>
      </c>
      <c r="C29" s="38">
        <f>[1]Fuel_Specs!C31</f>
        <v>57250</v>
      </c>
      <c r="D29" s="38">
        <f>[1]Fuel_Specs!D31</f>
        <v>65200</v>
      </c>
      <c r="E29" s="38">
        <f>[1]Fuel_Specs!E31</f>
        <v>3006</v>
      </c>
      <c r="F29" s="39">
        <f>[1]Fuel_Specs!F31</f>
        <v>0.375</v>
      </c>
      <c r="G29" s="38">
        <f>[1]Fuel_Specs!G31</f>
        <v>0</v>
      </c>
      <c r="H29" s="37">
        <f>[1]Fuel_Specs!H31</f>
        <v>0</v>
      </c>
    </row>
    <row r="30" spans="1:8">
      <c r="A30" s="16" t="s">
        <v>1634</v>
      </c>
      <c r="B30" s="16">
        <f>[1]Fuel_Specs!B32</f>
        <v>76330</v>
      </c>
      <c r="C30" s="38">
        <f>[1]Fuel_Specs!C32</f>
        <v>76330</v>
      </c>
      <c r="D30" s="38">
        <f>[1]Fuel_Specs!D32</f>
        <v>84530</v>
      </c>
      <c r="E30" s="38">
        <f>[1]Fuel_Specs!E32</f>
        <v>2988</v>
      </c>
      <c r="F30" s="39">
        <f>[1]Fuel_Specs!F32</f>
        <v>0.52200000000000002</v>
      </c>
      <c r="G30" s="38">
        <f>[1]Fuel_Specs!G32</f>
        <v>0.5</v>
      </c>
      <c r="H30" s="37">
        <f>[1]Fuel_Specs!H32</f>
        <v>4.9999999999999998E-7</v>
      </c>
    </row>
    <row r="31" spans="1:8">
      <c r="A31" s="16" t="s">
        <v>925</v>
      </c>
      <c r="B31" s="16">
        <f>[1]Fuel_Specs!B29</f>
        <v>140352.52220119376</v>
      </c>
      <c r="C31" s="54">
        <f>[1]Fuel_Specs!C29</f>
        <v>140352.52220119376</v>
      </c>
      <c r="D31" s="38">
        <f>[1]Fuel_Specs!D29</f>
        <v>150110</v>
      </c>
      <c r="E31" s="38">
        <f>[1]Fuel_Specs!E29</f>
        <v>3752</v>
      </c>
      <c r="F31" s="39">
        <f>[1]Fuel_Specs!F29</f>
        <v>0.86799999999999999</v>
      </c>
      <c r="G31" s="38">
        <f>[1]Fuel_Specs!G29</f>
        <v>5000</v>
      </c>
      <c r="H31" s="37">
        <f>[1]Fuel_Specs!H29</f>
        <v>5.0000000000000001E-3</v>
      </c>
    </row>
    <row r="32" spans="1:8">
      <c r="A32" s="16" t="s">
        <v>1989</v>
      </c>
      <c r="B32" s="16">
        <f>[1]Fuel_Specs!B$22</f>
        <v>128450</v>
      </c>
      <c r="C32" s="38">
        <f>[1]Fuel_Specs!C$22</f>
        <v>128450</v>
      </c>
      <c r="D32" s="38">
        <f>[1]Fuel_Specs!D$22</f>
        <v>137380</v>
      </c>
      <c r="E32" s="38">
        <f>[1]Fuel_Specs!E$22</f>
        <v>3167</v>
      </c>
      <c r="F32" s="39">
        <f>[1]Fuel_Specs!F$22</f>
        <v>0.86499999999999999</v>
      </c>
      <c r="G32" s="38">
        <f>[1]Fuel_Specs!G$22</f>
        <v>11</v>
      </c>
      <c r="H32" s="37">
        <f>[1]Fuel_Specs!H$22</f>
        <v>1.1E-5</v>
      </c>
    </row>
    <row r="33" spans="1:8">
      <c r="A33" s="16" t="s">
        <v>1990</v>
      </c>
      <c r="B33" s="16">
        <f>[1]Fuel_Specs!B$26</f>
        <v>124307.03423937227</v>
      </c>
      <c r="C33" s="38">
        <f>[1]Fuel_Specs!C$26</f>
        <v>124307.03423937227</v>
      </c>
      <c r="D33" s="38">
        <f>[1]Fuel_Specs!D$26</f>
        <v>132948.69438683367</v>
      </c>
      <c r="E33" s="38">
        <f>[1]Fuel_Specs!E$26</f>
        <v>3035.8996219999995</v>
      </c>
      <c r="F33" s="39">
        <f>[1]Fuel_Specs!F$26</f>
        <v>0.86199999999999999</v>
      </c>
      <c r="G33" s="38">
        <f>[1]Fuel_Specs!G$26</f>
        <v>700</v>
      </c>
      <c r="H33" s="37">
        <f>[1]Fuel_Specs!H$26</f>
        <v>6.9999999999999999E-4</v>
      </c>
    </row>
    <row r="34" spans="1:8">
      <c r="A34" s="16" t="s">
        <v>1991</v>
      </c>
      <c r="B34" s="16">
        <f>[1]Fuel_Specs!B59</f>
        <v>105124.8</v>
      </c>
      <c r="C34" s="38">
        <f>[1]Fuel_Specs!C59</f>
        <v>105124.8</v>
      </c>
      <c r="D34" s="38">
        <f>[1]Fuel_Specs!D59</f>
        <v>112166.3</v>
      </c>
      <c r="E34" s="38">
        <f>[1]Fuel_Specs!E59</f>
        <v>2478.6999999999998</v>
      </c>
      <c r="F34" s="39">
        <f>[1]Fuel_Specs!F59</f>
        <v>0.83625099999999997</v>
      </c>
      <c r="G34" s="38">
        <f>[1]Fuel_Specs!G59</f>
        <v>0</v>
      </c>
      <c r="H34" s="37">
        <f>[1]Fuel_Specs!H59</f>
        <v>0</v>
      </c>
    </row>
    <row r="35" spans="1:8">
      <c r="A35" s="16" t="s">
        <v>1992</v>
      </c>
      <c r="B35" s="23">
        <f>[1]Fuel_Specs!B123</f>
        <v>144230</v>
      </c>
      <c r="C35" s="43">
        <f>[1]Fuel_Specs!C123</f>
        <v>0</v>
      </c>
      <c r="D35" s="43">
        <f>[1]Fuel_Specs!D123</f>
        <v>0</v>
      </c>
      <c r="E35" s="43">
        <f>[1]Fuel_Specs!E123</f>
        <v>3785.4109999999991</v>
      </c>
      <c r="F35" s="45">
        <f>[1]Fuel_Specs!F123</f>
        <v>0.80800504236780391</v>
      </c>
      <c r="G35" s="43">
        <f>[1]Fuel_Specs!G123</f>
        <v>3510</v>
      </c>
      <c r="H35" s="1212">
        <f>[1]Fuel_Specs!H123</f>
        <v>0</v>
      </c>
    </row>
    <row r="36" spans="1:8">
      <c r="A36" s="1685" t="s">
        <v>1993</v>
      </c>
      <c r="B36" s="1166" t="s">
        <v>1994</v>
      </c>
      <c r="C36" s="1167" t="s">
        <v>1994</v>
      </c>
      <c r="D36" s="1167" t="s">
        <v>1994</v>
      </c>
      <c r="E36" s="1167" t="s">
        <v>1995</v>
      </c>
      <c r="F36" s="1168"/>
      <c r="G36" s="1169"/>
      <c r="H36" s="1170"/>
    </row>
    <row r="37" spans="1:8">
      <c r="A37" s="1211" t="s">
        <v>878</v>
      </c>
      <c r="B37" s="16">
        <f>[1]Fuel_Specs!B70</f>
        <v>983</v>
      </c>
      <c r="C37" s="38">
        <f>[1]Fuel_Specs!C70</f>
        <v>983</v>
      </c>
      <c r="D37" s="38">
        <f>[1]Fuel_Specs!D70</f>
        <v>1089</v>
      </c>
      <c r="E37" s="1211">
        <f>[1]Fuel_Specs!E70</f>
        <v>22</v>
      </c>
      <c r="F37" s="39">
        <f>[1]Fuel_Specs!F70</f>
        <v>0.72399999999999998</v>
      </c>
      <c r="G37" s="38">
        <f>[1]Fuel_Specs!G70</f>
        <v>6</v>
      </c>
      <c r="H37" s="37">
        <f>[1]Fuel_Specs!H70</f>
        <v>6.0000000000000002E-6</v>
      </c>
    </row>
    <row r="38" spans="1:8">
      <c r="A38" s="1211" t="s">
        <v>1996</v>
      </c>
      <c r="B38" s="16">
        <f>[1]Fuel_Specs!B72</f>
        <v>290</v>
      </c>
      <c r="C38" s="38">
        <f>[1]Fuel_Specs!C72</f>
        <v>290</v>
      </c>
      <c r="D38" s="38">
        <f>[1]Fuel_Specs!D72</f>
        <v>343</v>
      </c>
      <c r="E38" s="1211">
        <f>[1]Fuel_Specs!E72</f>
        <v>2.5499999999999998</v>
      </c>
      <c r="F38" s="39">
        <f>[1]Fuel_Specs!F72</f>
        <v>0</v>
      </c>
      <c r="G38" s="38">
        <f>[1]Fuel_Specs!G72</f>
        <v>0</v>
      </c>
      <c r="H38" s="37">
        <f>[1]Fuel_Specs!H72</f>
        <v>0</v>
      </c>
    </row>
    <row r="39" spans="1:8">
      <c r="A39" s="1685" t="s">
        <v>1997</v>
      </c>
      <c r="B39" s="1176" t="s">
        <v>1998</v>
      </c>
      <c r="C39" s="1728" t="s">
        <v>1998</v>
      </c>
      <c r="D39" s="1729" t="s">
        <v>1998</v>
      </c>
      <c r="E39" s="1730"/>
      <c r="F39" s="1731"/>
      <c r="G39" s="1732"/>
      <c r="H39" s="1177"/>
    </row>
    <row r="40" spans="1:8">
      <c r="A40" s="481" t="s">
        <v>1999</v>
      </c>
      <c r="B40" s="1213">
        <f>[1]Fuel_Specs!B77</f>
        <v>22639319.979813498</v>
      </c>
      <c r="C40" s="1213">
        <f>[1]Fuel_Specs!C77</f>
        <v>22639319.979813498</v>
      </c>
      <c r="D40" s="1213">
        <f>[1]Fuel_Specs!D77</f>
        <v>23633492.9618803</v>
      </c>
      <c r="E40" s="1214"/>
      <c r="F40" s="1215">
        <f>[1]Fuel_Specs!F77</f>
        <v>0.61199999999999999</v>
      </c>
      <c r="G40" s="1213">
        <f>[1]Fuel_Specs!G77</f>
        <v>15352.092718927001</v>
      </c>
      <c r="H40" s="1216">
        <f>[1]Fuel_Specs!H77</f>
        <v>1.5352092718927001E-2</v>
      </c>
    </row>
    <row r="41" spans="1:8">
      <c r="A41" s="100" t="s">
        <v>2000</v>
      </c>
      <c r="B41" s="1346">
        <f>[1]Fuel_Specs!B82</f>
        <v>26949428.734871496</v>
      </c>
      <c r="C41" s="1346">
        <f>[1]Fuel_Specs!C82</f>
        <v>26949428.734871496</v>
      </c>
      <c r="D41" s="1346">
        <f>[1]Fuel_Specs!D82</f>
        <v>28595925.1717753</v>
      </c>
      <c r="E41" s="1347"/>
      <c r="F41" s="1348">
        <f>[1]Fuel_Specs!F82</f>
        <v>0.86670000000000003</v>
      </c>
      <c r="G41" s="1346">
        <f>[1]Fuel_Specs!G82</f>
        <v>45137.714412408997</v>
      </c>
      <c r="H41" s="1349">
        <f>[1]Fuel_Specs!H82</f>
        <v>4.5137714412408998E-2</v>
      </c>
    </row>
    <row r="42" spans="1:8">
      <c r="A42" s="100" t="s">
        <v>2001</v>
      </c>
      <c r="B42" s="1346">
        <f>[1]Fuel_Specs!B83</f>
        <v>26664354.295994278</v>
      </c>
      <c r="C42" s="1346">
        <f>[1]Fuel_Specs!C83</f>
        <v>26664354.295994278</v>
      </c>
      <c r="D42" s="1346">
        <f>[1]Fuel_Specs!D83</f>
        <v>28293433.886979699</v>
      </c>
      <c r="E42" s="1347">
        <f>[1]Fuel_Specs!E83</f>
        <v>0</v>
      </c>
      <c r="F42" s="1348">
        <f>[1]Fuel_Specs!F83</f>
        <v>0.48798697000000002</v>
      </c>
      <c r="G42" s="1346">
        <f>[1]Fuel_Specs!G83</f>
        <v>45137.714412408997</v>
      </c>
      <c r="H42" s="1349">
        <f>[1]Fuel_Specs!H83</f>
        <v>4.5137714412408998E-2</v>
      </c>
    </row>
    <row r="43" spans="1:8">
      <c r="A43" s="100" t="s">
        <v>2002</v>
      </c>
      <c r="B43" s="1346">
        <f>[1]Fuel_Specs!B100</f>
        <v>11209638.734587256</v>
      </c>
      <c r="C43" s="1346">
        <f>[1]Fuel_Specs!C100</f>
        <v>11209638.734587256</v>
      </c>
      <c r="D43" s="1346">
        <f>[1]Fuel_Specs!D100</f>
        <v>13583444.58426456</v>
      </c>
      <c r="E43" s="1347">
        <f>[1]Fuel_Specs!E100</f>
        <v>0</v>
      </c>
      <c r="F43" s="1348">
        <f>[1]Fuel_Specs!F100</f>
        <v>0.49161518093556933</v>
      </c>
      <c r="G43" s="1346">
        <f>[1]Fuel_Specs!G100</f>
        <v>1765.2250661959399</v>
      </c>
      <c r="H43" s="1349">
        <f>[1]Fuel_Specs!H100</f>
        <v>1.7652250661959398E-3</v>
      </c>
    </row>
    <row r="44" spans="1:8">
      <c r="A44" s="484" t="s">
        <v>2003</v>
      </c>
      <c r="B44" s="1217">
        <f>[1]Fuel_Specs!B91</f>
        <v>17289000</v>
      </c>
      <c r="C44" s="1217">
        <f>[1]Fuel_Specs!C91</f>
        <v>17289000</v>
      </c>
      <c r="D44" s="1217">
        <f>[1]Fuel_Specs!D91</f>
        <v>17906000</v>
      </c>
      <c r="E44" s="1218">
        <f>[1]Fuel_Specs!E91</f>
        <v>0</v>
      </c>
      <c r="F44" s="1219">
        <f>[1]Fuel_Specs!F91</f>
        <v>0.503</v>
      </c>
      <c r="G44" s="1217">
        <f>[1]Fuel_Specs!G91</f>
        <v>400</v>
      </c>
      <c r="H44" s="1220">
        <f>[1]Fuel_Specs!H91</f>
        <v>4.0000000000000002E-4</v>
      </c>
    </row>
    <row r="46" spans="1:8" ht="15.75">
      <c r="A46" s="81" t="s">
        <v>2004</v>
      </c>
      <c r="B46" s="40"/>
      <c r="C46" s="40"/>
      <c r="D46" s="40"/>
      <c r="E46" s="40"/>
      <c r="F46" s="40"/>
    </row>
    <row r="47" spans="1:8">
      <c r="A47" s="1321" t="s">
        <v>2005</v>
      </c>
      <c r="B47" s="40"/>
      <c r="C47" s="40"/>
      <c r="D47" s="40"/>
      <c r="E47" s="40"/>
      <c r="F47" s="40"/>
    </row>
    <row r="48" spans="1:8">
      <c r="A48" s="1860" t="s">
        <v>2006</v>
      </c>
      <c r="B48" s="1897" t="str">
        <f>[1]Fuel_Specs!B127</f>
        <v>AR5/GWP</v>
      </c>
      <c r="C48" s="40"/>
      <c r="D48" s="40"/>
      <c r="E48" s="40"/>
      <c r="F48" s="40"/>
    </row>
    <row r="49" spans="1:6">
      <c r="A49" s="192" t="s">
        <v>2007</v>
      </c>
      <c r="B49" s="1308">
        <f>[1]Fuel_Specs!B128</f>
        <v>100</v>
      </c>
      <c r="C49" s="40"/>
      <c r="D49" s="40"/>
      <c r="E49" s="40"/>
      <c r="F49" s="40"/>
    </row>
    <row r="50" spans="1:6">
      <c r="A50" s="1860" t="s">
        <v>889</v>
      </c>
      <c r="B50" s="1882">
        <f>[1]Fuel_Specs!B129</f>
        <v>1</v>
      </c>
    </row>
    <row r="51" spans="1:6">
      <c r="A51" s="191" t="s">
        <v>887</v>
      </c>
      <c r="B51" s="245">
        <f>[1]Fuel_Specs!B130</f>
        <v>30</v>
      </c>
    </row>
    <row r="52" spans="1:6">
      <c r="A52" s="192" t="s">
        <v>888</v>
      </c>
      <c r="B52" s="243">
        <f>[1]Fuel_Specs!B131</f>
        <v>265</v>
      </c>
    </row>
    <row r="53" spans="1:6">
      <c r="A53" s="1808"/>
      <c r="B53" s="631"/>
    </row>
    <row r="54" spans="1:6">
      <c r="A54" s="1877" t="s">
        <v>2008</v>
      </c>
    </row>
    <row r="55" spans="1:6">
      <c r="A55" s="1860" t="s">
        <v>965</v>
      </c>
      <c r="B55" s="1882">
        <f>[1]Fuel_Specs!B136</f>
        <v>0</v>
      </c>
    </row>
    <row r="56" spans="1:6">
      <c r="A56" s="191" t="s">
        <v>966</v>
      </c>
      <c r="B56" s="245">
        <f>[1]Fuel_Specs!B137</f>
        <v>0</v>
      </c>
    </row>
    <row r="57" spans="1:6">
      <c r="A57" s="191" t="s">
        <v>967</v>
      </c>
      <c r="B57" s="245">
        <f>[1]Fuel_Specs!B138</f>
        <v>0</v>
      </c>
    </row>
    <row r="58" spans="1:6">
      <c r="A58" s="191" t="s">
        <v>971</v>
      </c>
      <c r="B58" s="245">
        <f>[1]Fuel_Specs!B139</f>
        <v>0</v>
      </c>
    </row>
    <row r="59" spans="1:6">
      <c r="A59" s="192" t="s">
        <v>972</v>
      </c>
      <c r="B59" s="243">
        <f>[1]Fuel_Specs!B140</f>
        <v>0</v>
      </c>
    </row>
    <row r="60" spans="1:6">
      <c r="A60" s="1808"/>
    </row>
    <row r="61" spans="1:6" ht="15.75">
      <c r="A61" s="81" t="s">
        <v>2009</v>
      </c>
    </row>
    <row r="62" spans="1:6">
      <c r="A62" s="1860" t="s">
        <v>2010</v>
      </c>
      <c r="B62" s="2483">
        <f>[1]Fuel_Specs!B143</f>
        <v>0.85</v>
      </c>
    </row>
    <row r="63" spans="1:6">
      <c r="A63" s="191" t="s">
        <v>2011</v>
      </c>
      <c r="B63" s="2484">
        <f>[1]Fuel_Specs!B144</f>
        <v>0.42857142857142855</v>
      </c>
    </row>
    <row r="64" spans="1:6">
      <c r="A64" s="191" t="s">
        <v>2012</v>
      </c>
      <c r="B64" s="2484">
        <f>[1]Fuel_Specs!B145</f>
        <v>0.75</v>
      </c>
    </row>
    <row r="65" spans="1:35">
      <c r="A65" s="191" t="s">
        <v>2013</v>
      </c>
      <c r="B65" s="2484">
        <f>[1]Fuel_Specs!B146</f>
        <v>0.27272727272727271</v>
      </c>
    </row>
    <row r="66" spans="1:35">
      <c r="A66" s="192" t="s">
        <v>2014</v>
      </c>
      <c r="B66" s="2485">
        <f>[1]Fuel_Specs!$B$147</f>
        <v>0.5</v>
      </c>
    </row>
    <row r="67" spans="1:35">
      <c r="A67" s="1808"/>
      <c r="B67" s="2053"/>
    </row>
    <row r="68" spans="1:35" ht="15.75">
      <c r="A68" s="81" t="s">
        <v>2015</v>
      </c>
    </row>
    <row r="69" spans="1:35" s="439" customFormat="1">
      <c r="A69" s="172" t="s">
        <v>2016</v>
      </c>
    </row>
    <row r="70" spans="1:35" ht="32.25" customHeight="1">
      <c r="A70" s="58"/>
      <c r="B70" s="1736" t="s">
        <v>2017</v>
      </c>
      <c r="C70" s="2486"/>
      <c r="D70" s="2486"/>
      <c r="E70" s="2486"/>
      <c r="F70" s="2486"/>
      <c r="G70" s="2486"/>
      <c r="H70" s="2487"/>
      <c r="I70" s="2486"/>
      <c r="J70" s="1736" t="s">
        <v>2018</v>
      </c>
      <c r="K70" s="2486"/>
      <c r="L70" s="2487"/>
      <c r="M70" s="1736" t="s">
        <v>2019</v>
      </c>
      <c r="N70" s="1737"/>
      <c r="O70" s="1737"/>
      <c r="P70" s="1737"/>
      <c r="Q70" s="1737"/>
      <c r="R70" s="1737"/>
      <c r="S70" s="1738"/>
      <c r="T70" s="1736" t="s">
        <v>2020</v>
      </c>
      <c r="U70" s="2487"/>
      <c r="V70" s="2488" t="s">
        <v>2021</v>
      </c>
      <c r="W70" s="1736" t="s">
        <v>2022</v>
      </c>
      <c r="X70" s="2487"/>
      <c r="Y70" s="1736" t="s">
        <v>442</v>
      </c>
      <c r="Z70" s="2486"/>
      <c r="AA70" s="2487"/>
      <c r="AB70" s="2487"/>
      <c r="AC70" s="2488" t="s">
        <v>2000</v>
      </c>
      <c r="AD70" s="2986" t="str">
        <f>[1]EF!AF4</f>
        <v>Willow</v>
      </c>
      <c r="AE70" s="2987"/>
      <c r="AF70" s="2987"/>
      <c r="AG70" s="2987"/>
      <c r="AH70" s="2988"/>
      <c r="AI70" s="1222" t="str">
        <f>[1]EF!BJ4</f>
        <v>Char</v>
      </c>
    </row>
    <row r="71" spans="1:35" ht="63.75">
      <c r="A71" s="59"/>
      <c r="B71" s="2713" t="s">
        <v>2023</v>
      </c>
      <c r="C71" s="2713" t="s">
        <v>2024</v>
      </c>
      <c r="D71" s="1932" t="s">
        <v>2025</v>
      </c>
      <c r="E71" s="1932" t="s">
        <v>2026</v>
      </c>
      <c r="F71" s="1932" t="s">
        <v>2027</v>
      </c>
      <c r="G71" s="1932" t="s">
        <v>2028</v>
      </c>
      <c r="H71" s="1932" t="s">
        <v>2029</v>
      </c>
      <c r="I71" s="1932" t="s">
        <v>1554</v>
      </c>
      <c r="J71" s="1932" t="s">
        <v>2030</v>
      </c>
      <c r="K71" s="1932" t="s">
        <v>2031</v>
      </c>
      <c r="L71" s="1932" t="s">
        <v>2032</v>
      </c>
      <c r="M71" s="1932" t="s">
        <v>2031</v>
      </c>
      <c r="N71" s="1932" t="s">
        <v>2032</v>
      </c>
      <c r="O71" s="1932" t="s">
        <v>2028</v>
      </c>
      <c r="P71" s="1932" t="s">
        <v>2033</v>
      </c>
      <c r="Q71" s="1932" t="s">
        <v>2034</v>
      </c>
      <c r="R71" s="2458" t="s">
        <v>2035</v>
      </c>
      <c r="S71" s="2458" t="s">
        <v>2036</v>
      </c>
      <c r="T71" s="1932" t="s">
        <v>2028</v>
      </c>
      <c r="U71" s="1932" t="s">
        <v>2034</v>
      </c>
      <c r="V71" s="1932" t="s">
        <v>2031</v>
      </c>
      <c r="W71" s="1932" t="s">
        <v>2031</v>
      </c>
      <c r="X71" s="1932" t="s">
        <v>2032</v>
      </c>
      <c r="Y71" s="1932" t="s">
        <v>2030</v>
      </c>
      <c r="Z71" s="1932" t="s">
        <v>2037</v>
      </c>
      <c r="AA71" s="1932" t="s">
        <v>2031</v>
      </c>
      <c r="AB71" s="1932" t="s">
        <v>2038</v>
      </c>
      <c r="AC71" s="1932" t="s">
        <v>2031</v>
      </c>
      <c r="AD71" s="1932" t="str">
        <f>[1]EF!AF5</f>
        <v>Small Industrial Boiler</v>
      </c>
      <c r="AE71" s="1932" t="str">
        <f>[1]EF!AG5</f>
        <v>Large Industrial Boiler</v>
      </c>
      <c r="AF71" s="1932" t="str">
        <f>[1]EF!AH5</f>
        <v>Utility Boiler</v>
      </c>
      <c r="AG71" s="1932" t="str">
        <f>[1]EF!AI5</f>
        <v>Gasification Turbine</v>
      </c>
      <c r="AH71" s="1932" t="str">
        <f>[1]EF!AJ5</f>
        <v>Gasifier</v>
      </c>
      <c r="AI71" s="1932" t="str">
        <f>[1]EF!BJ5</f>
        <v xml:space="preserve"> Boiler</v>
      </c>
    </row>
    <row r="72" spans="1:35">
      <c r="A72" s="482" t="s">
        <v>965</v>
      </c>
      <c r="B72" s="915">
        <f>[1]EF!B6</f>
        <v>2.54</v>
      </c>
      <c r="C72" s="915">
        <f>[1]EF!C6</f>
        <v>2.54</v>
      </c>
      <c r="D72" s="77">
        <f>[1]EF!D6</f>
        <v>1.056</v>
      </c>
      <c r="E72" s="77">
        <f>[1]EF!E6</f>
        <v>0.26700000000000002</v>
      </c>
      <c r="F72" s="77">
        <f>[1]EF!F6</f>
        <v>1.056</v>
      </c>
      <c r="G72" s="77">
        <f>[1]EF!G6</f>
        <v>130.05799999999999</v>
      </c>
      <c r="H72" s="77">
        <f>[1]EF!H6</f>
        <v>2.5</v>
      </c>
      <c r="I72" s="77">
        <f>[1]EF!I6</f>
        <v>100</v>
      </c>
      <c r="J72" s="77">
        <f>[1]EF!L6</f>
        <v>2.089</v>
      </c>
      <c r="K72" s="77">
        <f>[1]EF!M6</f>
        <v>0.90500000000000003</v>
      </c>
      <c r="L72" s="77">
        <f>[1]EF!N6</f>
        <v>3.6509999999999998</v>
      </c>
      <c r="M72" s="77">
        <f>[1]EF!Q6</f>
        <v>1.1729999780654907</v>
      </c>
      <c r="N72" s="77">
        <f>[1]EF!R6</f>
        <v>1.2010000000000001</v>
      </c>
      <c r="O72" s="77">
        <f>[1]EF!S6</f>
        <v>2.0270000000000001</v>
      </c>
      <c r="P72" s="77">
        <f>[1]EF!T6</f>
        <v>0.25800000000000001</v>
      </c>
      <c r="Q72" s="77">
        <f>[1]EF!U6</f>
        <v>41.5</v>
      </c>
      <c r="R72" s="240">
        <f>[1]EF!AD37</f>
        <v>5.812353466897128</v>
      </c>
      <c r="S72" s="240">
        <f>[1]EF!AD52</f>
        <v>7.3235653682903816</v>
      </c>
      <c r="T72" s="77">
        <f>[1]EF!V6</f>
        <v>598.35</v>
      </c>
      <c r="U72" s="77">
        <f>[1]EF!W6</f>
        <v>145.66999999999999</v>
      </c>
      <c r="V72" s="77">
        <f>[1]EF!X6</f>
        <v>0.81999999284744263</v>
      </c>
      <c r="W72" s="77">
        <f>[1]EF!Z6</f>
        <v>4.2720000000000002</v>
      </c>
      <c r="X72" s="77">
        <f>[1]EF!AA6</f>
        <v>4.2720000000000002</v>
      </c>
      <c r="Y72" s="77">
        <f>[1]EF!AB6</f>
        <v>1.4950000000000001</v>
      </c>
      <c r="Z72" s="77">
        <f>[1]EF!AC6</f>
        <v>0.12199999999999996</v>
      </c>
      <c r="AA72" s="77">
        <f>[1]EF!AD6</f>
        <v>0.47154493127067021</v>
      </c>
      <c r="AB72" s="491">
        <f>[1]EF!AE6</f>
        <v>10</v>
      </c>
      <c r="AC72" s="76">
        <f>[1]EF!BG6</f>
        <v>0.47154493127067021</v>
      </c>
      <c r="AD72" s="77">
        <f>[1]EF!AF6</f>
        <v>0.61498714625340167</v>
      </c>
      <c r="AE72" s="77">
        <f>[1]EF!AG6</f>
        <v>0.61498714625340167</v>
      </c>
      <c r="AF72" s="77">
        <f>[1]EF!AH6</f>
        <v>7.9859999999999998</v>
      </c>
      <c r="AG72" s="77">
        <f>[1]EF!AI6</f>
        <v>1.3320632546304543</v>
      </c>
      <c r="AH72" s="77">
        <f>[1]EF!AJ6</f>
        <v>2.4170000553131104</v>
      </c>
      <c r="AI72" s="59">
        <f>[1]EF!BJ6</f>
        <v>1.4950000000000001</v>
      </c>
    </row>
    <row r="73" spans="1:35">
      <c r="A73" s="487" t="s">
        <v>966</v>
      </c>
      <c r="B73" s="914">
        <f>[1]EF!B7</f>
        <v>22.21</v>
      </c>
      <c r="C73" s="914">
        <f>[1]EF!C7</f>
        <v>24.97</v>
      </c>
      <c r="D73" s="76">
        <f>[1]EF!D7</f>
        <v>41.286000000000001</v>
      </c>
      <c r="E73" s="76">
        <f>[1]EF!E7</f>
        <v>14.532999999999999</v>
      </c>
      <c r="F73" s="76">
        <f>[1]EF!F7</f>
        <v>41.286000000000001</v>
      </c>
      <c r="G73" s="76">
        <f>[1]EF!G7</f>
        <v>660.91099999999994</v>
      </c>
      <c r="H73" s="76">
        <f>[1]EF!H7</f>
        <v>26</v>
      </c>
      <c r="I73" s="76">
        <f>[1]EF!I7</f>
        <v>50</v>
      </c>
      <c r="J73" s="76">
        <f>[1]EF!L7</f>
        <v>16.209</v>
      </c>
      <c r="K73" s="76">
        <f>[1]EF!M7</f>
        <v>36.017000000000003</v>
      </c>
      <c r="L73" s="76">
        <f>[1]EF!N7</f>
        <v>16.152999999999999</v>
      </c>
      <c r="M73" s="76">
        <f>[1]EF!Q7</f>
        <v>16.686000823974609</v>
      </c>
      <c r="N73" s="76">
        <f>[1]EF!R7</f>
        <v>25.114999999999998</v>
      </c>
      <c r="O73" s="76">
        <f>[1]EF!S7</f>
        <v>526.19200000000001</v>
      </c>
      <c r="P73" s="76">
        <f>[1]EF!T7</f>
        <v>1.56</v>
      </c>
      <c r="Q73" s="76">
        <f>[1]EF!U7</f>
        <v>200.11</v>
      </c>
      <c r="R73" s="234">
        <f>[1]EF!AD38</f>
        <v>161.77639496566306</v>
      </c>
      <c r="S73" s="234">
        <f>[1]EF!AD53</f>
        <v>203.83825765673546</v>
      </c>
      <c r="T73" s="76">
        <f>[1]EF!V7</f>
        <v>1303.953</v>
      </c>
      <c r="U73" s="76">
        <f>[1]EF!W7</f>
        <v>5850.26</v>
      </c>
      <c r="V73" s="76">
        <f>[1]EF!X7</f>
        <v>23.739999771118164</v>
      </c>
      <c r="W73" s="76">
        <f>[1]EF!Z7</f>
        <v>3.5310000000000001</v>
      </c>
      <c r="X73" s="76">
        <f>[1]EF!AA7</f>
        <v>3.5310000000000001</v>
      </c>
      <c r="Y73" s="76">
        <f>[1]EF!AB7</f>
        <v>12.417</v>
      </c>
      <c r="Z73" s="76">
        <f>[1]EF!AC7</f>
        <v>2.2349999999999994</v>
      </c>
      <c r="AA73" s="76">
        <f>[1]EF!AD7</f>
        <v>23.954809379648633</v>
      </c>
      <c r="AB73" s="491">
        <f>[1]EF!AE7</f>
        <v>100</v>
      </c>
      <c r="AC73" s="76">
        <f>[1]EF!BG7</f>
        <v>23.954809379648633</v>
      </c>
      <c r="AD73" s="76">
        <f>[1]EF!AF7</f>
        <v>9.7513534250812377</v>
      </c>
      <c r="AE73" s="76">
        <f>[1]EF!AG7</f>
        <v>9.7513534250812377</v>
      </c>
      <c r="AF73" s="76">
        <f>[1]EF!AH7</f>
        <v>270.17</v>
      </c>
      <c r="AG73" s="76">
        <f>[1]EF!AI7</f>
        <v>11.078546431240618</v>
      </c>
      <c r="AH73" s="76">
        <f>[1]EF!AJ7</f>
        <v>28.822000503540039</v>
      </c>
      <c r="AI73" s="491">
        <f>[1]EF!BJ7</f>
        <v>12.417</v>
      </c>
    </row>
    <row r="74" spans="1:35">
      <c r="A74" s="487" t="s">
        <v>967</v>
      </c>
      <c r="B74" s="914">
        <f>[1]EF!B8</f>
        <v>36.4</v>
      </c>
      <c r="C74" s="914">
        <f>[1]EF!C8</f>
        <v>41.05</v>
      </c>
      <c r="D74" s="76">
        <f>[1]EF!D8</f>
        <v>31.969000000000001</v>
      </c>
      <c r="E74" s="76">
        <f>[1]EF!E8</f>
        <v>17.425000000000001</v>
      </c>
      <c r="F74" s="76">
        <f>[1]EF!F8</f>
        <v>31.969000000000001</v>
      </c>
      <c r="G74" s="76">
        <f>[1]EF!G8</f>
        <v>752.81600000000003</v>
      </c>
      <c r="H74" s="76">
        <f>[1]EF!H8</f>
        <v>48.900001525878899</v>
      </c>
      <c r="I74" s="76">
        <f>[1]EF!I8</f>
        <v>100</v>
      </c>
      <c r="J74" s="76">
        <f>[1]EF!L8</f>
        <v>112.08</v>
      </c>
      <c r="K74" s="76">
        <f>[1]EF!M8</f>
        <v>137.08099999999999</v>
      </c>
      <c r="L74" s="76">
        <f>[1]EF!N8</f>
        <v>114.437</v>
      </c>
      <c r="M74" s="76">
        <f>[1]EF!Q8</f>
        <v>82.224998474121094</v>
      </c>
      <c r="N74" s="76">
        <f>[1]EF!R8</f>
        <v>66.543000000000006</v>
      </c>
      <c r="O74" s="76">
        <f>[1]EF!S8</f>
        <v>267.89</v>
      </c>
      <c r="P74" s="76">
        <f>[1]EF!T8</f>
        <v>256.41199999999998</v>
      </c>
      <c r="Q74" s="76">
        <f>[1]EF!U8</f>
        <v>434.31</v>
      </c>
      <c r="R74" s="234">
        <f>[1]EF!AD39</f>
        <v>101.53518337732018</v>
      </c>
      <c r="S74" s="234">
        <f>[1]EF!AD54</f>
        <v>127.93433105542343</v>
      </c>
      <c r="T74" s="76">
        <f>[1]EF!V8</f>
        <v>98.587999999999994</v>
      </c>
      <c r="U74" s="76">
        <f>[1]EF!W8</f>
        <v>169.44</v>
      </c>
      <c r="V74" s="76">
        <f>[1]EF!X8</f>
        <v>181.60000610351563</v>
      </c>
      <c r="W74" s="76">
        <f>[1]EF!Z8</f>
        <v>69.412999999999997</v>
      </c>
      <c r="X74" s="76">
        <f>[1]EF!AA8</f>
        <v>69.412999999999997</v>
      </c>
      <c r="Y74" s="76">
        <f>[1]EF!AB8</f>
        <v>116.035</v>
      </c>
      <c r="Z74" s="76">
        <f>[1]EF!AC8</f>
        <v>11.902000000000001</v>
      </c>
      <c r="AA74" s="76">
        <f>[1]EF!AD8</f>
        <v>121.63087470943928</v>
      </c>
      <c r="AB74" s="491">
        <f>[1]EF!AE8</f>
        <v>40</v>
      </c>
      <c r="AC74" s="76">
        <f>[1]EF!BG8</f>
        <v>121.63087470943928</v>
      </c>
      <c r="AD74" s="76">
        <f>[1]EF!AF8</f>
        <v>64.213488868141468</v>
      </c>
      <c r="AE74" s="76">
        <f>[1]EF!AG8</f>
        <v>64.213488868141468</v>
      </c>
      <c r="AF74" s="76">
        <f>[1]EF!AH8</f>
        <v>103.351</v>
      </c>
      <c r="AG74" s="76">
        <f>[1]EF!AI8</f>
        <v>10.313598990440369</v>
      </c>
      <c r="AH74" s="76">
        <f>[1]EF!AJ8</f>
        <v>30</v>
      </c>
      <c r="AI74" s="491">
        <f>[1]EF!BJ8</f>
        <v>116.035</v>
      </c>
    </row>
    <row r="75" spans="1:35">
      <c r="A75" s="487" t="s">
        <v>968</v>
      </c>
      <c r="B75" s="914">
        <f>[1]EF!B9</f>
        <v>3.5070000000000001</v>
      </c>
      <c r="C75" s="914">
        <f>[1]EF!C9</f>
        <v>3.5070000000000001</v>
      </c>
      <c r="D75" s="76">
        <f>[1]EF!D9</f>
        <v>3.5750000000000002</v>
      </c>
      <c r="E75" s="76">
        <f>[1]EF!E9</f>
        <v>0.13300000000000001</v>
      </c>
      <c r="F75" s="76">
        <f>[1]EF!F9</f>
        <v>3.5750000000000002</v>
      </c>
      <c r="G75" s="76">
        <f>[1]EF!G9</f>
        <v>7.1970000000000001</v>
      </c>
      <c r="H75" s="76">
        <f>[1]EF!H9</f>
        <v>3.7000000476837154</v>
      </c>
      <c r="I75" s="76">
        <f>[1]EF!I9</f>
        <v>90</v>
      </c>
      <c r="J75" s="76">
        <f>[1]EF!L9</f>
        <v>11.81</v>
      </c>
      <c r="K75" s="76">
        <f>[1]EF!M9</f>
        <v>29.265000000000001</v>
      </c>
      <c r="L75" s="76">
        <f>[1]EF!N9</f>
        <v>20.38</v>
      </c>
      <c r="M75" s="76">
        <f>[1]EF!Q9</f>
        <v>6.4169999999999998</v>
      </c>
      <c r="N75" s="76">
        <f>[1]EF!R9</f>
        <v>8.4039999999999999</v>
      </c>
      <c r="O75" s="76">
        <f>[1]EF!S9</f>
        <v>22.539000000000001</v>
      </c>
      <c r="P75" s="76">
        <f>[1]EF!T9</f>
        <v>25.943999999999999</v>
      </c>
      <c r="Q75" s="76">
        <f>[1]EF!U9</f>
        <v>29.83</v>
      </c>
      <c r="R75" s="234">
        <f>[1]EF!AD40</f>
        <v>5.4409986926760716</v>
      </c>
      <c r="S75" s="234">
        <f>[1]EF!AD55</f>
        <v>6.8556583527718491</v>
      </c>
      <c r="T75" s="76">
        <f>[1]EF!V9</f>
        <v>52.558</v>
      </c>
      <c r="U75" s="76">
        <f>[1]EF!W9</f>
        <v>7.92</v>
      </c>
      <c r="V75" s="76">
        <f>[1]EF!X9</f>
        <v>29.711999893188477</v>
      </c>
      <c r="W75" s="76">
        <f>[1]EF!Z9</f>
        <v>3.738</v>
      </c>
      <c r="X75" s="76">
        <f>[1]EF!AA9</f>
        <v>3.738</v>
      </c>
      <c r="Y75" s="76">
        <f>[1]EF!AB9</f>
        <v>22.42</v>
      </c>
      <c r="Z75" s="76">
        <f>[1]EF!AC9</f>
        <v>251.84100000000001</v>
      </c>
      <c r="AA75" s="76">
        <f>[1]EF!AD9</f>
        <v>2.6634014598039615</v>
      </c>
      <c r="AB75" s="491">
        <f>[1]EF!AE9</f>
        <v>20</v>
      </c>
      <c r="AC75" s="76">
        <f>[1]EF!BG9</f>
        <v>2.6634014598039615</v>
      </c>
      <c r="AD75" s="76">
        <f>[1]EF!AF9</f>
        <v>1.4347004592228441</v>
      </c>
      <c r="AE75" s="76">
        <f>[1]EF!AG9</f>
        <v>1.4347004592228441</v>
      </c>
      <c r="AF75" s="76">
        <f>[1]EF!AH9</f>
        <v>20.334</v>
      </c>
      <c r="AG75" s="76">
        <f>[1]EF!AI9</f>
        <v>5.8689917039267616</v>
      </c>
      <c r="AH75" s="76">
        <f>[1]EF!AJ9</f>
        <v>2.9600000381469727</v>
      </c>
      <c r="AI75" s="491">
        <f>[1]EF!BJ9</f>
        <v>22.42</v>
      </c>
    </row>
    <row r="76" spans="1:35">
      <c r="A76" s="487" t="s">
        <v>969</v>
      </c>
      <c r="B76" s="914">
        <f>[1]EF!B10</f>
        <v>3.5070000000000001</v>
      </c>
      <c r="C76" s="914">
        <f>[1]EF!C10</f>
        <v>3.5070000000000001</v>
      </c>
      <c r="D76" s="76">
        <f>[1]EF!D10</f>
        <v>3.5750000000000002</v>
      </c>
      <c r="E76" s="76">
        <f>[1]EF!E10</f>
        <v>0.13300000000000001</v>
      </c>
      <c r="F76" s="76">
        <f>[1]EF!F10</f>
        <v>3.5750000000000002</v>
      </c>
      <c r="G76" s="76">
        <f>[1]EF!G10</f>
        <v>7.1970000000000001</v>
      </c>
      <c r="H76" s="76">
        <f>[1]EF!H10</f>
        <v>3.7000000476837154</v>
      </c>
      <c r="I76" s="76">
        <f>[1]EF!I10</f>
        <v>90</v>
      </c>
      <c r="J76" s="76">
        <f>[1]EF!L10</f>
        <v>9.8699999999999992</v>
      </c>
      <c r="K76" s="76">
        <f>[1]EF!M10</f>
        <v>14.882</v>
      </c>
      <c r="L76" s="76">
        <f>[1]EF!N10</f>
        <v>10.615</v>
      </c>
      <c r="M76" s="76">
        <f>[1]EF!Q10</f>
        <v>5.03</v>
      </c>
      <c r="N76" s="76">
        <f>[1]EF!R10</f>
        <v>7.5220000000000002</v>
      </c>
      <c r="O76" s="76">
        <f>[1]EF!S10</f>
        <v>22.3</v>
      </c>
      <c r="P76" s="76">
        <f>[1]EF!T10</f>
        <v>6.5739999999999998</v>
      </c>
      <c r="Q76" s="76">
        <f>[1]EF!U10</f>
        <v>28.935099999999998</v>
      </c>
      <c r="R76" s="234">
        <f>[1]EF!AD41</f>
        <v>0.92824869708043045</v>
      </c>
      <c r="S76" s="234">
        <f>[1]EF!AD56</f>
        <v>1.1695933583213423</v>
      </c>
      <c r="T76" s="76">
        <f>[1]EF!V10</f>
        <v>52.558</v>
      </c>
      <c r="U76" s="76">
        <f>[1]EF!W10</f>
        <v>7.6823999999999995</v>
      </c>
      <c r="V76" s="76">
        <f>[1]EF!X10</f>
        <v>19.312799453735352</v>
      </c>
      <c r="W76" s="76">
        <f>[1]EF!Z10</f>
        <v>3.738</v>
      </c>
      <c r="X76" s="76">
        <f>[1]EF!AA10</f>
        <v>3.738</v>
      </c>
      <c r="Y76" s="76">
        <f>[1]EF!AB10</f>
        <v>16.93</v>
      </c>
      <c r="Z76" s="76">
        <f>[1]EF!AC10</f>
        <v>73.411000000000001</v>
      </c>
      <c r="AA76" s="76">
        <f>[1]EF!AD10</f>
        <v>2.5210846263102669</v>
      </c>
      <c r="AB76" s="491">
        <f>[1]EF!AE10</f>
        <v>20</v>
      </c>
      <c r="AC76" s="76">
        <f>[1]EF!BG10</f>
        <v>2.5210846263102669</v>
      </c>
      <c r="AD76" s="76">
        <f>[1]EF!AF10</f>
        <v>1.2671066692492206</v>
      </c>
      <c r="AE76" s="76">
        <f>[1]EF!AG10</f>
        <v>1.2671066692492206</v>
      </c>
      <c r="AF76" s="76">
        <f>[1]EF!AH10</f>
        <v>18.893999999999998</v>
      </c>
      <c r="AG76" s="76">
        <f>[1]EF!AI10</f>
        <v>2.9344958519633808</v>
      </c>
      <c r="AH76" s="76">
        <f>[1]EF!AJ10</f>
        <v>2.9600000381469727</v>
      </c>
      <c r="AI76" s="491">
        <f>[1]EF!BJ10</f>
        <v>16.93</v>
      </c>
    </row>
    <row r="77" spans="1:35">
      <c r="A77" s="487" t="s">
        <v>970</v>
      </c>
      <c r="B77" s="914">
        <f>[1]EF!B11</f>
        <v>0.26856561546286878</v>
      </c>
      <c r="C77" s="914">
        <f>[1]EF!C11</f>
        <v>0.26856561546286878</v>
      </c>
      <c r="D77" s="76">
        <f>[1]EF!D11</f>
        <v>0.26856561546286878</v>
      </c>
      <c r="E77" s="76">
        <f>[1]EF!E11</f>
        <v>0.26856561546286878</v>
      </c>
      <c r="F77" s="76">
        <f>[1]EF!F11</f>
        <v>0.26856561546286878</v>
      </c>
      <c r="G77" s="76">
        <f>[1]EF!G11</f>
        <v>0.26856561546286878</v>
      </c>
      <c r="H77" s="76">
        <f>[1]EF!H11</f>
        <v>0.26856561546286878</v>
      </c>
      <c r="I77" s="76">
        <f>[1]EF!I11</f>
        <v>30</v>
      </c>
      <c r="J77" s="76">
        <f>[1]EF!L11</f>
        <v>269.58</v>
      </c>
      <c r="K77" s="76">
        <f>[1]EF!M11</f>
        <v>115.509</v>
      </c>
      <c r="L77" s="76">
        <f>[1]EF!N11</f>
        <v>256.83999999999997</v>
      </c>
      <c r="M77" s="76">
        <f>[1]EF!Q11</f>
        <v>0.54242117555469049</v>
      </c>
      <c r="N77" s="76">
        <f>[1]EF!R11</f>
        <v>0.54242117555469049</v>
      </c>
      <c r="O77" s="76">
        <f>[1]EF!S11</f>
        <v>0.54242117555469049</v>
      </c>
      <c r="P77" s="76">
        <f>[1]EF!T11</f>
        <v>0.54242117555469049</v>
      </c>
      <c r="Q77" s="76">
        <f>[1]EF!U11</f>
        <v>0.54242117555469049</v>
      </c>
      <c r="R77" s="234">
        <f>[1]EF!AD42</f>
        <v>0.54469976387990127</v>
      </c>
      <c r="S77" s="234">
        <f>[1]EF!AD57</f>
        <v>0.54469976387990127</v>
      </c>
      <c r="T77" s="76">
        <f>[1]EF!V11</f>
        <v>0.48565767938668286</v>
      </c>
      <c r="U77" s="76">
        <f>[1]EF!W11</f>
        <v>0.48565767938668286</v>
      </c>
      <c r="V77" s="76">
        <f>[1]EF!X11</f>
        <v>395.46499633789063</v>
      </c>
      <c r="W77" s="76">
        <f>[1]EF!Z11</f>
        <v>0</v>
      </c>
      <c r="X77" s="76">
        <f>[1]EF!AA11</f>
        <v>0</v>
      </c>
      <c r="Y77" s="76">
        <f>[1]EF!AB11</f>
        <v>74.64</v>
      </c>
      <c r="Z77" s="76">
        <f>[1]EF!AC11</f>
        <v>4.1099999999999994</v>
      </c>
      <c r="AA77" s="76">
        <f>[1]EF!AD11</f>
        <v>217.68799999999999</v>
      </c>
      <c r="AB77" s="491">
        <f>[1]EF!AE11</f>
        <v>20</v>
      </c>
      <c r="AC77" s="76">
        <f>[1]EF!BG11</f>
        <v>217.68799999999999</v>
      </c>
      <c r="AD77" s="76">
        <f>[1]EF!AF11</f>
        <v>58.923404780462455</v>
      </c>
      <c r="AE77" s="76">
        <f>[1]EF!AG11</f>
        <v>58.923404780462455</v>
      </c>
      <c r="AF77" s="76">
        <f>[1]EF!AH11</f>
        <v>58.923404780462455</v>
      </c>
      <c r="AG77" s="76">
        <f>[1]EF!AI11</f>
        <v>58.923404780462455</v>
      </c>
      <c r="AH77" s="76">
        <f>[1]EF!AJ11</f>
        <v>58.923404780462455</v>
      </c>
      <c r="AI77" s="491">
        <f>[1]EF!BJ11</f>
        <v>0</v>
      </c>
    </row>
    <row r="78" spans="1:35">
      <c r="A78" s="487" t="s">
        <v>971</v>
      </c>
      <c r="B78" s="914">
        <f>[1]EF!B12</f>
        <v>0.57865500000000003</v>
      </c>
      <c r="C78" s="914">
        <f>[1]EF!C12</f>
        <v>0.57865500000000003</v>
      </c>
      <c r="D78" s="76">
        <f>[1]EF!D12</f>
        <v>0.103675</v>
      </c>
      <c r="E78" s="76">
        <f>[1]EF!E12</f>
        <v>3.8569999999999998E-3</v>
      </c>
      <c r="F78" s="76">
        <f>[1]EF!F12</f>
        <v>0.103675</v>
      </c>
      <c r="G78" s="76">
        <f>[1]EF!G12</f>
        <v>1.4394</v>
      </c>
      <c r="H78" s="76">
        <f>[1]EF!H12</f>
        <v>3.5150000452995296</v>
      </c>
      <c r="I78" s="76">
        <f>[1]EF!I12</f>
        <v>14.85</v>
      </c>
      <c r="J78" s="76">
        <f>[1]EF!L12</f>
        <v>0.62575799999999993</v>
      </c>
      <c r="K78" s="76">
        <f>[1]EF!M12</f>
        <v>0.94351879999999999</v>
      </c>
      <c r="L78" s="76">
        <f>[1]EF!N12</f>
        <v>0.67299100000000001</v>
      </c>
      <c r="M78" s="76">
        <f>[1]EF!Q12</f>
        <v>0.503</v>
      </c>
      <c r="N78" s="76">
        <f>[1]EF!R12</f>
        <v>0.75219999999999998</v>
      </c>
      <c r="O78" s="76">
        <f>[1]EF!S12</f>
        <v>18.129899999999999</v>
      </c>
      <c r="P78" s="76">
        <f>[1]EF!T12</f>
        <v>0.65739999999999998</v>
      </c>
      <c r="Q78" s="76">
        <f>[1]EF!U12</f>
        <v>16.290461299999997</v>
      </c>
      <c r="R78" s="234">
        <f>[1]EF!AD43</f>
        <v>3.1580812470205132E-2</v>
      </c>
      <c r="S78" s="234">
        <f>[1]EF!AD58</f>
        <v>3.9791823712458464E-2</v>
      </c>
      <c r="T78" s="76">
        <f>[1]EF!V12</f>
        <v>5.2558000000000007</v>
      </c>
      <c r="U78" s="76">
        <f>[1]EF!W12</f>
        <v>1.0448063999999999</v>
      </c>
      <c r="V78" s="76">
        <f>[1]EF!X12</f>
        <v>0.56007118415832513</v>
      </c>
      <c r="W78" s="76">
        <f>[1]EF!Z12</f>
        <v>0.61677000000000004</v>
      </c>
      <c r="X78" s="76">
        <f>[1]EF!AA12</f>
        <v>0.61677000000000004</v>
      </c>
      <c r="Y78" s="76">
        <f>[1]EF!AB12</f>
        <v>0.72798999999999991</v>
      </c>
      <c r="Z78" s="76">
        <f>[1]EF!AC12</f>
        <v>3.1566730000000001</v>
      </c>
      <c r="AA78" s="76">
        <f>[1]EF!AD12</f>
        <v>0.10840663893134148</v>
      </c>
      <c r="AB78" s="491">
        <f>[1]EF!AE12</f>
        <v>0.86</v>
      </c>
      <c r="AC78" s="76">
        <f>[1]EF!BG12</f>
        <v>0.10840663893134148</v>
      </c>
      <c r="AD78" s="76">
        <f>[1]EF!AF12</f>
        <v>0.17486072035639247</v>
      </c>
      <c r="AE78" s="76">
        <f>[1]EF!AG12</f>
        <v>0.17486072035639247</v>
      </c>
      <c r="AF78" s="76">
        <f>[1]EF!AH12</f>
        <v>2.6073719999999998</v>
      </c>
      <c r="AG78" s="76">
        <f>[1]EF!AI12</f>
        <v>0.40496042757094658</v>
      </c>
      <c r="AH78" s="235">
        <f>[1]EF!AJ12</f>
        <v>0.40848000526428224</v>
      </c>
      <c r="AI78" s="491">
        <f>[1]EF!BJ12</f>
        <v>0.72798999999999991</v>
      </c>
    </row>
    <row r="79" spans="1:35">
      <c r="A79" s="487" t="s">
        <v>972</v>
      </c>
      <c r="B79" s="914">
        <f>[1]EF!B13</f>
        <v>1.5009959999999998</v>
      </c>
      <c r="C79" s="914">
        <f>[1]EF!C13</f>
        <v>1.5009959999999998</v>
      </c>
      <c r="D79" s="76">
        <f>[1]EF!D13</f>
        <v>2.431</v>
      </c>
      <c r="E79" s="76">
        <f>[1]EF!E13</f>
        <v>9.0440000000000006E-2</v>
      </c>
      <c r="F79" s="76">
        <f>[1]EF!F13</f>
        <v>2.431</v>
      </c>
      <c r="G79" s="76">
        <f>[1]EF!G13</f>
        <v>3.0803159999999998</v>
      </c>
      <c r="H79" s="76">
        <f>[1]EF!H13</f>
        <v>0.18500000238418576</v>
      </c>
      <c r="I79" s="76">
        <f>[1]EF!I13</f>
        <v>38.519999999999996</v>
      </c>
      <c r="J79" s="76">
        <f>[1]EF!L13</f>
        <v>0.43428</v>
      </c>
      <c r="K79" s="76">
        <f>[1]EF!M13</f>
        <v>0.65480800000000006</v>
      </c>
      <c r="L79" s="76">
        <f>[1]EF!N13</f>
        <v>0.46706000000000003</v>
      </c>
      <c r="M79" s="76">
        <f>[1]EF!Q13</f>
        <v>1.2575000000000001</v>
      </c>
      <c r="N79" s="76">
        <f>[1]EF!R13</f>
        <v>1.8805000000000001</v>
      </c>
      <c r="O79" s="76">
        <f>[1]EF!S13</f>
        <v>4.0363000000000007</v>
      </c>
      <c r="P79" s="76">
        <f>[1]EF!T13</f>
        <v>1.6435</v>
      </c>
      <c r="Q79" s="76">
        <f>[1]EF!U13</f>
        <v>10.098349899999999</v>
      </c>
      <c r="R79" s="234">
        <f>[1]EF!AD44</f>
        <v>5.8681168095304902E-2</v>
      </c>
      <c r="S79" s="234">
        <f>[1]EF!AD59</f>
        <v>7.3938271800084179E-2</v>
      </c>
      <c r="T79" s="76">
        <f>[1]EF!V13</f>
        <v>16.818560000000002</v>
      </c>
      <c r="U79" s="76">
        <f>[1]EF!W13</f>
        <v>6.6375935999999998</v>
      </c>
      <c r="V79" s="76">
        <f>[1]EF!X13</f>
        <v>0.40556878852844241</v>
      </c>
      <c r="W79" s="76">
        <f>[1]EF!Z13</f>
        <v>1.5998639999999997</v>
      </c>
      <c r="X79" s="76">
        <f>[1]EF!AA13</f>
        <v>1.5998639999999997</v>
      </c>
      <c r="Y79" s="76">
        <f>[1]EF!AB13</f>
        <v>1.3713299999999997</v>
      </c>
      <c r="Z79" s="76">
        <f>[1]EF!AC13</f>
        <v>5.9462909999999995</v>
      </c>
      <c r="AA79" s="76">
        <f>[1]EF!AD13</f>
        <v>0.20420785473113159</v>
      </c>
      <c r="AB79" s="491">
        <f>[1]EF!AE13</f>
        <v>1.62</v>
      </c>
      <c r="AC79" s="76">
        <f>[1]EF!BG13</f>
        <v>0.20420785473113159</v>
      </c>
      <c r="AD79" s="76">
        <f>[1]EF!AF13</f>
        <v>0.41307677417524596</v>
      </c>
      <c r="AE79" s="76">
        <f>[1]EF!AG13</f>
        <v>0.41307677417524596</v>
      </c>
      <c r="AF79" s="76">
        <f>[1]EF!AH13</f>
        <v>6.1594439999999997</v>
      </c>
      <c r="AG79" s="76">
        <f>[1]EF!AI13</f>
        <v>0.95664564774006222</v>
      </c>
      <c r="AH79" s="235">
        <f>[1]EF!AJ13</f>
        <v>0.96496001243591312</v>
      </c>
      <c r="AI79" s="491">
        <f>[1]EF!BJ13</f>
        <v>1.3713299999999997</v>
      </c>
    </row>
    <row r="80" spans="1:35">
      <c r="A80" s="487" t="s">
        <v>887</v>
      </c>
      <c r="B80" s="914">
        <f>[1]EF!B14</f>
        <v>1.06</v>
      </c>
      <c r="C80" s="914">
        <f>[1]EF!C14</f>
        <v>1.06</v>
      </c>
      <c r="D80" s="76">
        <f>[1]EF!D14</f>
        <v>1.056</v>
      </c>
      <c r="E80" s="76">
        <f>[1]EF!E14</f>
        <v>1.1419999999999999</v>
      </c>
      <c r="F80" s="76">
        <f>[1]EF!F14</f>
        <v>1.056</v>
      </c>
      <c r="G80" s="76">
        <f>[1]EF!G14</f>
        <v>392.35399999999998</v>
      </c>
      <c r="H80" s="76">
        <f>[1]EF!H14</f>
        <v>49</v>
      </c>
      <c r="I80" s="76">
        <f>[1]EF!I14</f>
        <v>2.85</v>
      </c>
      <c r="J80" s="76">
        <f>[1]EF!L14</f>
        <v>3.1819999999999999</v>
      </c>
      <c r="K80" s="76">
        <f>[1]EF!M14</f>
        <v>3.2309999999999999</v>
      </c>
      <c r="L80" s="76">
        <f>[1]EF!N14</f>
        <v>1.5349999999999999</v>
      </c>
      <c r="M80" s="76">
        <f>[1]EF!Q14</f>
        <v>0.18000000715255737</v>
      </c>
      <c r="N80" s="76">
        <f>[1]EF!R14</f>
        <v>0.76300000000000001</v>
      </c>
      <c r="O80" s="76">
        <f>[1]EF!S14</f>
        <v>4.2210000000000001</v>
      </c>
      <c r="P80" s="76">
        <f>[1]EF!T14</f>
        <v>3.024</v>
      </c>
      <c r="Q80" s="76">
        <f>[1]EF!U14</f>
        <v>0.62999999523162842</v>
      </c>
      <c r="R80" s="234">
        <f>[1]EF!AD45</f>
        <v>0.79687952050913158</v>
      </c>
      <c r="S80" s="234">
        <f>[1]EF!AD60</f>
        <v>1.0040681958415056</v>
      </c>
      <c r="T80" s="76">
        <f>[1]EF!V14</f>
        <v>3</v>
      </c>
      <c r="U80" s="76">
        <f>[1]EF!W14</f>
        <v>2.6149999193205855</v>
      </c>
      <c r="V80" s="76">
        <f>[1]EF!X14</f>
        <v>0.36000001430511475</v>
      </c>
      <c r="W80" s="76">
        <f>[1]EF!Z14</f>
        <v>1.0680000000000001</v>
      </c>
      <c r="X80" s="76">
        <f>[1]EF!AA14</f>
        <v>1.0680000000000001</v>
      </c>
      <c r="Y80" s="76">
        <f>[1]EF!AB14</f>
        <v>1.0580000000000001</v>
      </c>
      <c r="Z80" s="76">
        <f>[1]EF!AC14</f>
        <v>1.0499999999999996</v>
      </c>
      <c r="AA80" s="76">
        <f>[1]EF!AD14</f>
        <v>1.246</v>
      </c>
      <c r="AB80" s="491">
        <f>[1]EF!AE14</f>
        <v>0</v>
      </c>
      <c r="AC80" s="76">
        <f>[1]EF!BG14</f>
        <v>1.246</v>
      </c>
      <c r="AD80" s="76">
        <f>[1]EF!AF14</f>
        <v>9.8650000000000002</v>
      </c>
      <c r="AE80" s="76">
        <f>[1]EF!AG14</f>
        <v>9.8650000000000002</v>
      </c>
      <c r="AF80" s="76">
        <f>[1]EF!AH14</f>
        <v>9.8650000000000002</v>
      </c>
      <c r="AG80" s="76">
        <f>[1]EF!AI14</f>
        <v>3.8340001106262211</v>
      </c>
      <c r="AH80" s="76">
        <f>[1]EF!AJ14</f>
        <v>1.1000000238418579</v>
      </c>
      <c r="AI80" s="491">
        <f>[1]EF!BJ14</f>
        <v>1.0580000000000001</v>
      </c>
    </row>
    <row r="81" spans="1:52">
      <c r="A81" s="487" t="s">
        <v>888</v>
      </c>
      <c r="B81" s="914">
        <f>[1]EF!B15</f>
        <v>0.75</v>
      </c>
      <c r="C81" s="914">
        <f>[1]EF!C15</f>
        <v>0.35</v>
      </c>
      <c r="D81" s="76">
        <f>[1]EF!D15</f>
        <v>0.10199999999999999</v>
      </c>
      <c r="E81" s="76">
        <f>[1]EF!E15</f>
        <v>0.11899999999999999</v>
      </c>
      <c r="F81" s="76">
        <f>[1]EF!F15</f>
        <v>0.10199999999999999</v>
      </c>
      <c r="G81" s="76">
        <f>[1]EF!G15</f>
        <v>0.111</v>
      </c>
      <c r="H81" s="76">
        <f>[1]EF!H15</f>
        <v>1.1000000238418579</v>
      </c>
      <c r="I81" s="76">
        <f>[1]EF!I15</f>
        <v>0</v>
      </c>
      <c r="J81" s="76">
        <f>[1]EF!L15</f>
        <v>0.63800000000000001</v>
      </c>
      <c r="K81" s="76">
        <f>[1]EF!M15</f>
        <v>1.712</v>
      </c>
      <c r="L81" s="76">
        <f>[1]EF!N15</f>
        <v>1.712</v>
      </c>
      <c r="M81" s="76">
        <f>[1]EF!Q15</f>
        <v>0.38999998569488525</v>
      </c>
      <c r="N81" s="76">
        <f>[1]EF!R15</f>
        <v>0.91800000000000004</v>
      </c>
      <c r="O81" s="76">
        <f>[1]EF!S15</f>
        <v>0.6</v>
      </c>
      <c r="P81" s="76">
        <f>[1]EF!T15</f>
        <v>0.60299999999999998</v>
      </c>
      <c r="Q81" s="76">
        <f>[1]EF!U15</f>
        <v>0.92000001668930043</v>
      </c>
      <c r="R81" s="234">
        <f>[1]EF!AD46</f>
        <v>0.10695653375963685</v>
      </c>
      <c r="S81" s="234">
        <f>[1]EF!AD61</f>
        <v>0.13476523253714243</v>
      </c>
      <c r="T81" s="76">
        <f>[1]EF!V15</f>
        <v>0.6</v>
      </c>
      <c r="U81" s="76">
        <f>[1]EF!W15</f>
        <v>1.1039999723434448</v>
      </c>
      <c r="V81" s="76">
        <f>[1]EF!X15</f>
        <v>2</v>
      </c>
      <c r="W81" s="76">
        <f>[1]EF!Z15</f>
        <v>4.806</v>
      </c>
      <c r="X81" s="76">
        <f>[1]EF!AA15</f>
        <v>4.806</v>
      </c>
      <c r="Y81" s="76">
        <f>[1]EF!AB15</f>
        <v>1.5860000000000001</v>
      </c>
      <c r="Z81" s="76">
        <f>[1]EF!AC15</f>
        <v>1.5809999999999997</v>
      </c>
      <c r="AA81" s="76">
        <f>[1]EF!AD15</f>
        <v>0.85699999999999998</v>
      </c>
      <c r="AB81" s="491">
        <f>[1]EF!AE15</f>
        <v>0</v>
      </c>
      <c r="AC81" s="76">
        <f>[1]EF!BG15</f>
        <v>0.85699999999999998</v>
      </c>
      <c r="AD81" s="76">
        <f>[1]EF!AF15</f>
        <v>6.1070000000000002</v>
      </c>
      <c r="AE81" s="76">
        <f>[1]EF!AG15</f>
        <v>6.1070000000000002</v>
      </c>
      <c r="AF81" s="76">
        <f>[1]EF!AH15</f>
        <v>6.1070000000000002</v>
      </c>
      <c r="AG81" s="76">
        <f>[1]EF!AI15</f>
        <v>11</v>
      </c>
      <c r="AH81" s="76">
        <f>[1]EF!AJ15</f>
        <v>1.1000000238418579</v>
      </c>
      <c r="AI81" s="491">
        <f>[1]EF!BJ15</f>
        <v>1.5860000000000001</v>
      </c>
    </row>
    <row r="82" spans="1:52">
      <c r="A82" s="487" t="s">
        <v>889</v>
      </c>
      <c r="B82" s="15">
        <f>[1]EF!B16</f>
        <v>59366.949503269869</v>
      </c>
      <c r="C82" s="15">
        <f>[1]EF!C16</f>
        <v>59362.612360412735</v>
      </c>
      <c r="D82" s="15">
        <f>[1]EF!D16</f>
        <v>59341.609065174642</v>
      </c>
      <c r="E82" s="15">
        <f>[1]EF!E16</f>
        <v>59385.872043746065</v>
      </c>
      <c r="F82" s="15">
        <f>[1]EF!F16</f>
        <v>59341.609065174642</v>
      </c>
      <c r="G82" s="15">
        <f>[1]EF!G16</f>
        <v>56889.786903269873</v>
      </c>
      <c r="H82" s="15">
        <f>[1]EF!H16</f>
        <v>59229.283455650831</v>
      </c>
      <c r="I82" s="15">
        <f>[1]EF!I16</f>
        <v>59014.60666993654</v>
      </c>
      <c r="J82" s="15">
        <f>[1]EF!L16</f>
        <v>85040.498287440714</v>
      </c>
      <c r="K82" s="15">
        <f>[1]EF!M16</f>
        <v>85012.926813631188</v>
      </c>
      <c r="L82" s="15">
        <f>[1]EF!N16</f>
        <v>85040.247304107383</v>
      </c>
      <c r="M82" s="15">
        <f>[1]EF!Q16</f>
        <v>78168.681100745569</v>
      </c>
      <c r="N82" s="15">
        <f>[1]EF!R16</f>
        <v>78153.745013896463</v>
      </c>
      <c r="O82" s="15">
        <f>[1]EF!S16</f>
        <v>77354.254432944086</v>
      </c>
      <c r="P82" s="15">
        <f>[1]EF!T16</f>
        <v>78187.481280563123</v>
      </c>
      <c r="Q82" s="15">
        <f>[1]EF!U16</f>
        <v>77753.520071052437</v>
      </c>
      <c r="R82" s="250">
        <f>[1]EF!AD47</f>
        <v>77924.526172916216</v>
      </c>
      <c r="S82" s="250">
        <f>[1]EF!AD62</f>
        <v>77853.149247499474</v>
      </c>
      <c r="T82" s="15">
        <f>[1]EF!V16</f>
        <v>72916.962673629678</v>
      </c>
      <c r="U82" s="15">
        <f>[1]EF!W16</f>
        <v>67184.677376232503</v>
      </c>
      <c r="V82" s="15">
        <f>[1]EF!X16</f>
        <v>77264.397841775266</v>
      </c>
      <c r="W82" s="15">
        <f>[1]EF!Z16</f>
        <v>68039.647796249905</v>
      </c>
      <c r="X82" s="15">
        <f>[1]EF!AA16</f>
        <v>68039.647796249905</v>
      </c>
      <c r="Y82" s="15">
        <f>[1]EF!AB16</f>
        <v>100017.06454396401</v>
      </c>
      <c r="Z82" s="15">
        <f>[1]EF!AC16</f>
        <v>100037.36601301163</v>
      </c>
      <c r="AA82" s="15">
        <f>[1]EF!AD16</f>
        <v>100001.60646895067</v>
      </c>
      <c r="AB82" s="745">
        <f>[1]EF!AE16</f>
        <v>99855.836365392577</v>
      </c>
      <c r="AC82" s="15">
        <f>[1]EF!BG16</f>
        <v>106933.47159684247</v>
      </c>
      <c r="AD82" s="631">
        <f>[1]EF!AF16</f>
        <v>105173.1907876577</v>
      </c>
      <c r="AE82" s="15">
        <f>[1]EF!AG16</f>
        <v>105173.1907876577</v>
      </c>
      <c r="AF82" s="38">
        <f>[1]EF!AH16</f>
        <v>104740.98849583627</v>
      </c>
      <c r="AG82" s="15">
        <f>[1]EF!AI16</f>
        <v>105185.45556113936</v>
      </c>
      <c r="AH82" s="17">
        <f>[1]EF!AJ16</f>
        <v>105161.71010433085</v>
      </c>
      <c r="AI82" s="252">
        <f>[1]EF!BJ16</f>
        <v>90002.849570264574</v>
      </c>
    </row>
    <row r="83" spans="1:52">
      <c r="A83" s="2489" t="s">
        <v>2039</v>
      </c>
      <c r="B83" s="1734"/>
      <c r="C83" s="1734"/>
      <c r="D83" s="1734"/>
      <c r="E83" s="1734"/>
      <c r="F83" s="1734"/>
      <c r="G83" s="1734"/>
      <c r="H83" s="1734"/>
      <c r="I83" s="1734"/>
      <c r="J83" s="1734"/>
      <c r="K83" s="1734"/>
      <c r="L83" s="1734"/>
      <c r="M83" s="1734"/>
      <c r="N83" s="1734"/>
      <c r="O83" s="1734"/>
      <c r="P83" s="1734"/>
      <c r="Q83" s="1310"/>
      <c r="R83" s="1310"/>
      <c r="S83" s="1734"/>
      <c r="T83" s="1734"/>
      <c r="U83" s="1734"/>
      <c r="V83" s="1734"/>
      <c r="W83" s="1734"/>
      <c r="X83" s="1734"/>
      <c r="Y83" s="1734"/>
      <c r="Z83" s="1734"/>
      <c r="AA83" s="1734"/>
      <c r="AB83" s="1734"/>
      <c r="AC83" s="1734"/>
      <c r="AD83" s="1734">
        <f t="shared" ref="AD83:AI83" si="0">-((AD72*$B$62+AD73*$B$63+AD80*$B$64)/$B$65+AD82)</f>
        <v>-105217.55980297913</v>
      </c>
      <c r="AE83" s="1734">
        <f t="shared" si="0"/>
        <v>-105217.55980297913</v>
      </c>
      <c r="AF83" s="1734">
        <f t="shared" si="0"/>
        <v>-105217.55980297913</v>
      </c>
      <c r="AG83" s="1734">
        <f t="shared" si="0"/>
        <v>-105217.55980297913</v>
      </c>
      <c r="AH83" s="1221">
        <f t="shared" si="0"/>
        <v>-105217.55980297913</v>
      </c>
      <c r="AI83" s="1735">
        <f t="shared" si="0"/>
        <v>-90029.930915502671</v>
      </c>
      <c r="AJ83" s="38"/>
      <c r="AK83" s="38"/>
      <c r="AL83" s="38"/>
      <c r="AM83" s="38"/>
      <c r="AN83" s="38"/>
      <c r="AO83" s="38"/>
      <c r="AP83" s="38"/>
      <c r="AQ83" s="38"/>
      <c r="AR83" s="38"/>
      <c r="AS83" s="38"/>
      <c r="AT83" s="38"/>
      <c r="AU83" s="38"/>
      <c r="AV83" s="38"/>
      <c r="AW83" s="46"/>
      <c r="AX83" s="38"/>
      <c r="AY83" s="38"/>
      <c r="AZ83" s="38"/>
    </row>
    <row r="84" spans="1:52">
      <c r="A84" s="172"/>
      <c r="B84" s="38"/>
      <c r="C84" s="38"/>
      <c r="D84" s="38"/>
      <c r="E84" s="38"/>
      <c r="F84" s="38"/>
      <c r="G84" s="38"/>
      <c r="H84" s="38"/>
      <c r="I84" s="38"/>
      <c r="J84" s="38"/>
      <c r="K84" s="38"/>
      <c r="L84" s="38"/>
      <c r="M84" s="38"/>
      <c r="N84" s="38"/>
      <c r="O84" s="38"/>
      <c r="P84" s="38"/>
      <c r="Q84" s="631"/>
      <c r="R84" s="631"/>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46"/>
      <c r="AX84" s="38"/>
      <c r="AY84" s="38"/>
      <c r="AZ84" s="38"/>
    </row>
    <row r="85" spans="1:52">
      <c r="A85" s="172" t="s">
        <v>2040</v>
      </c>
      <c r="AF85" s="38"/>
      <c r="AG85" s="38"/>
      <c r="AH85" s="38"/>
      <c r="AI85" s="38"/>
      <c r="AJ85" s="38"/>
      <c r="AK85" s="38"/>
      <c r="AL85" s="38"/>
      <c r="AM85" s="38"/>
      <c r="AN85" s="38"/>
      <c r="AO85" s="38"/>
      <c r="AP85" s="38"/>
      <c r="AQ85" s="38"/>
      <c r="AR85" s="38"/>
      <c r="AS85" s="38"/>
      <c r="AT85" s="38"/>
      <c r="AU85" s="38"/>
      <c r="AV85" s="38"/>
      <c r="AW85" s="46"/>
      <c r="AX85" s="38"/>
      <c r="AY85" s="38"/>
      <c r="AZ85" s="38"/>
    </row>
    <row r="86" spans="1:52" ht="51">
      <c r="A86" s="482"/>
      <c r="B86" s="1736" t="s">
        <v>2041</v>
      </c>
      <c r="C86" s="2486"/>
      <c r="D86" s="2486"/>
      <c r="E86" s="1736" t="s">
        <v>2042</v>
      </c>
      <c r="F86" s="2486"/>
      <c r="G86" s="1452" t="s">
        <v>2043</v>
      </c>
      <c r="H86" s="1454"/>
      <c r="I86" s="2490" t="s">
        <v>2044</v>
      </c>
      <c r="K86" s="38"/>
      <c r="L86" s="38"/>
      <c r="M86" s="38"/>
      <c r="N86" s="38"/>
      <c r="O86" s="38"/>
      <c r="P86" s="38"/>
      <c r="Q86" s="38"/>
      <c r="R86" s="38"/>
      <c r="S86" s="38"/>
      <c r="T86" s="38"/>
      <c r="U86" s="38"/>
      <c r="V86" s="38"/>
      <c r="W86" s="38"/>
      <c r="X86" s="38"/>
      <c r="Y86" s="38"/>
      <c r="Z86" s="46"/>
      <c r="AA86" s="38"/>
      <c r="AB86" s="38"/>
      <c r="AC86" s="38"/>
    </row>
    <row r="87" spans="1:52">
      <c r="A87" s="487"/>
      <c r="B87" s="2458" t="s">
        <v>2045</v>
      </c>
      <c r="C87" s="742" t="s">
        <v>2046</v>
      </c>
      <c r="D87" s="742" t="s">
        <v>2017</v>
      </c>
      <c r="E87" s="2458" t="s">
        <v>2046</v>
      </c>
      <c r="F87" s="742" t="s">
        <v>2017</v>
      </c>
      <c r="G87" s="2458" t="s">
        <v>2046</v>
      </c>
      <c r="H87" s="873" t="s">
        <v>2047</v>
      </c>
      <c r="I87" s="2415" t="s">
        <v>2046</v>
      </c>
      <c r="K87" s="38"/>
      <c r="L87" s="38"/>
      <c r="M87" s="38"/>
      <c r="N87" s="38"/>
      <c r="O87" s="38"/>
      <c r="P87" s="38"/>
      <c r="Q87" s="38"/>
      <c r="R87" s="38"/>
      <c r="S87" s="38"/>
      <c r="T87" s="38"/>
      <c r="U87" s="38"/>
      <c r="V87" s="38"/>
      <c r="W87" s="38"/>
      <c r="X87" s="38"/>
      <c r="Y87" s="38"/>
      <c r="Z87" s="46"/>
      <c r="AA87" s="38"/>
      <c r="AB87" s="38"/>
      <c r="AC87" s="38"/>
    </row>
    <row r="88" spans="1:52">
      <c r="A88" s="482" t="s">
        <v>965</v>
      </c>
      <c r="B88" s="240">
        <f>[1]EF!B37</f>
        <v>79.891003050459602</v>
      </c>
      <c r="C88" s="241">
        <f>[1]EF!C37</f>
        <v>79.891003050459602</v>
      </c>
      <c r="D88" s="241">
        <f>[1]EF!D37</f>
        <v>79.891003050459602</v>
      </c>
      <c r="E88" s="240">
        <f>[1]EF!S37</f>
        <v>28.788439232706082</v>
      </c>
      <c r="F88" s="241">
        <f>[1]EF!T37</f>
        <v>28.788439232706082</v>
      </c>
      <c r="G88" s="240">
        <f>[1]EF!AD37</f>
        <v>5.812353466897128</v>
      </c>
      <c r="H88" s="248">
        <f>[1]EF!AE37</f>
        <v>6.4581705187745868</v>
      </c>
      <c r="I88" s="77">
        <f>[1]EF!$CH37</f>
        <v>4.946392666098264</v>
      </c>
      <c r="K88" s="38"/>
      <c r="L88" s="38"/>
      <c r="M88" s="38"/>
      <c r="N88" s="38"/>
      <c r="O88" s="38"/>
      <c r="P88" s="38"/>
      <c r="Q88" s="38"/>
      <c r="R88" s="38"/>
      <c r="S88" s="38"/>
      <c r="T88" s="38"/>
      <c r="U88" s="38"/>
      <c r="V88" s="38"/>
      <c r="W88" s="38"/>
      <c r="X88" s="38"/>
      <c r="Y88" s="38"/>
      <c r="Z88" s="46"/>
      <c r="AA88" s="38"/>
      <c r="AB88" s="38"/>
      <c r="AC88" s="38"/>
    </row>
    <row r="89" spans="1:52">
      <c r="A89" s="487" t="s">
        <v>966</v>
      </c>
      <c r="B89" s="234">
        <f>[1]EF!B38</f>
        <v>181.52600634265971</v>
      </c>
      <c r="C89" s="1318">
        <f>[1]EF!C38</f>
        <v>181.52600634265971</v>
      </c>
      <c r="D89" s="1318">
        <f>[1]EF!D38</f>
        <v>90.763003171329856</v>
      </c>
      <c r="E89" s="234">
        <f>[1]EF!S38</f>
        <v>49.437007475078644</v>
      </c>
      <c r="F89" s="1318">
        <f>[1]EF!T38</f>
        <v>24.718503737539322</v>
      </c>
      <c r="G89" s="234">
        <f>[1]EF!AD38</f>
        <v>161.77639496566306</v>
      </c>
      <c r="H89" s="235">
        <f>[1]EF!AE38</f>
        <v>1426.102965111254</v>
      </c>
      <c r="I89" s="76">
        <f>[1]EF!$CH38</f>
        <v>135.04165433469868</v>
      </c>
      <c r="K89" s="38"/>
      <c r="L89" s="38"/>
      <c r="M89" s="38"/>
      <c r="N89" s="38"/>
      <c r="O89" s="38"/>
      <c r="P89" s="38"/>
      <c r="Q89" s="38"/>
      <c r="R89" s="38"/>
      <c r="S89" s="38"/>
      <c r="T89" s="38"/>
      <c r="U89" s="38"/>
      <c r="V89" s="38"/>
      <c r="W89" s="38"/>
      <c r="X89" s="38"/>
      <c r="Y89" s="38"/>
      <c r="Z89" s="46"/>
      <c r="AA89" s="38"/>
      <c r="AB89" s="38"/>
      <c r="AC89" s="38"/>
    </row>
    <row r="90" spans="1:52">
      <c r="A90" s="487" t="s">
        <v>967</v>
      </c>
      <c r="B90" s="234">
        <f>[1]EF!B39</f>
        <v>2054.8190944821517</v>
      </c>
      <c r="C90" s="1318">
        <f>[1]EF!C39</f>
        <v>2054.8190944821517</v>
      </c>
      <c r="D90" s="1318">
        <f>[1]EF!D39</f>
        <v>2054.8190944821517</v>
      </c>
      <c r="E90" s="234">
        <f>[1]EF!S39</f>
        <v>416.51117997791005</v>
      </c>
      <c r="F90" s="1318">
        <f>[1]EF!T39</f>
        <v>416.51117997791005</v>
      </c>
      <c r="G90" s="234">
        <f>[1]EF!AD39</f>
        <v>101.53518337732018</v>
      </c>
      <c r="H90" s="235">
        <f>[1]EF!AE39</f>
        <v>12.400895348793513</v>
      </c>
      <c r="I90" s="76">
        <f>[1]EF!$CH39</f>
        <v>91.763683522730702</v>
      </c>
      <c r="K90" s="38"/>
      <c r="L90" s="38"/>
      <c r="M90" s="38"/>
      <c r="N90" s="38"/>
      <c r="O90" s="38"/>
      <c r="P90" s="38"/>
      <c r="Q90" s="38"/>
      <c r="R90" s="38"/>
      <c r="S90" s="38"/>
      <c r="T90" s="38"/>
      <c r="U90" s="38"/>
      <c r="V90" s="38"/>
      <c r="W90" s="38"/>
      <c r="X90" s="38"/>
      <c r="Y90" s="38"/>
      <c r="Z90" s="46"/>
      <c r="AA90" s="38"/>
      <c r="AB90" s="38"/>
      <c r="AC90" s="38"/>
    </row>
    <row r="91" spans="1:52">
      <c r="A91" s="487" t="s">
        <v>968</v>
      </c>
      <c r="B91" s="234">
        <f>[1]EF!B40</f>
        <v>181.11800463373413</v>
      </c>
      <c r="C91" s="1318">
        <f>[1]EF!C40</f>
        <v>181.11800463373413</v>
      </c>
      <c r="D91" s="1318">
        <f>[1]EF!D40</f>
        <v>18.111800463373413</v>
      </c>
      <c r="E91" s="234">
        <f>[1]EF!S40</f>
        <v>6.8629270988412223</v>
      </c>
      <c r="F91" s="1318">
        <f>[1]EF!T40</f>
        <v>0.68629270988412228</v>
      </c>
      <c r="G91" s="234">
        <f>[1]EF!AD40</f>
        <v>5.4409986926760716</v>
      </c>
      <c r="H91" s="235">
        <f>[1]EF!AE40</f>
        <v>6.045554102973413</v>
      </c>
      <c r="I91" s="76">
        <f>[1]EF!$CH40</f>
        <v>5.1794309976553343</v>
      </c>
      <c r="K91" s="38"/>
      <c r="L91" s="38"/>
      <c r="M91" s="38"/>
      <c r="N91" s="38"/>
      <c r="O91" s="38"/>
      <c r="P91" s="38"/>
      <c r="Q91" s="38"/>
      <c r="R91" s="38"/>
      <c r="S91" s="38"/>
      <c r="T91" s="38"/>
      <c r="U91" s="38"/>
      <c r="V91" s="38"/>
      <c r="W91" s="38"/>
      <c r="X91" s="38"/>
      <c r="Y91" s="38"/>
      <c r="Z91" s="46"/>
      <c r="AA91" s="38"/>
      <c r="AB91" s="38"/>
      <c r="AC91" s="38"/>
    </row>
    <row r="92" spans="1:52">
      <c r="A92" s="487" t="s">
        <v>969</v>
      </c>
      <c r="B92" s="234">
        <f>[1]EF!B41</f>
        <v>166.66600341438362</v>
      </c>
      <c r="C92" s="1318">
        <f>[1]EF!C41</f>
        <v>166.66600341438362</v>
      </c>
      <c r="D92" s="1318">
        <f>[1]EF!D41</f>
        <v>16.666600341438365</v>
      </c>
      <c r="E92" s="234">
        <f>[1]EF!S41</f>
        <v>6.6570392858759853</v>
      </c>
      <c r="F92" s="1318">
        <f>[1]EF!T41</f>
        <v>0.66570392858759853</v>
      </c>
      <c r="G92" s="234">
        <f>[1]EF!AD41</f>
        <v>0.92824869708043045</v>
      </c>
      <c r="H92" s="235">
        <f>[1]EF!AE41</f>
        <v>1.0313874412004784</v>
      </c>
      <c r="I92" s="76">
        <f>[1]EF!$CH41</f>
        <v>0.81078923308885331</v>
      </c>
      <c r="K92" s="38"/>
      <c r="L92" s="38"/>
      <c r="M92" s="38"/>
      <c r="N92" s="38"/>
      <c r="O92" s="38"/>
      <c r="P92" s="38"/>
      <c r="Q92" s="38"/>
      <c r="R92" s="38"/>
      <c r="S92" s="38"/>
      <c r="T92" s="38"/>
      <c r="U92" s="38"/>
      <c r="V92" s="38"/>
      <c r="W92" s="38"/>
      <c r="X92" s="38"/>
      <c r="Y92" s="38"/>
      <c r="Z92" s="46"/>
      <c r="AA92" s="38"/>
      <c r="AB92" s="38"/>
      <c r="AC92" s="38"/>
    </row>
    <row r="93" spans="1:52">
      <c r="A93" s="487" t="s">
        <v>970</v>
      </c>
      <c r="B93" s="234">
        <f>[1]EF!B42</f>
        <v>1443.5650804305726</v>
      </c>
      <c r="C93" s="1318">
        <f>[1]EF!C42</f>
        <v>0.54242117555469049</v>
      </c>
      <c r="D93" s="1318">
        <f>[1]EF!D42</f>
        <v>0.26856561546286878</v>
      </c>
      <c r="E93" s="234">
        <f>[1]EF!S42</f>
        <v>0.54242117555469049</v>
      </c>
      <c r="F93" s="1318">
        <f>[1]EF!T42</f>
        <v>0.26856561546286878</v>
      </c>
      <c r="G93" s="234">
        <f>[1]EF!AD42</f>
        <v>0.54469976387990127</v>
      </c>
      <c r="H93" s="235">
        <f>[1]EF!AE42</f>
        <v>0</v>
      </c>
      <c r="I93" s="76">
        <f>[1]EF!$CH42</f>
        <v>0.54469976387990127</v>
      </c>
      <c r="K93" s="38"/>
      <c r="L93" s="38"/>
      <c r="M93" s="38"/>
      <c r="N93" s="38"/>
      <c r="O93" s="38"/>
      <c r="P93" s="38"/>
      <c r="Q93" s="38"/>
      <c r="R93" s="38"/>
      <c r="S93" s="38"/>
      <c r="T93" s="38"/>
      <c r="U93" s="38"/>
      <c r="V93" s="38"/>
      <c r="W93" s="38"/>
      <c r="X93" s="38"/>
      <c r="Y93" s="38"/>
      <c r="Z93" s="46"/>
      <c r="AA93" s="38"/>
      <c r="AB93" s="38"/>
      <c r="AC93" s="38"/>
    </row>
    <row r="94" spans="1:52">
      <c r="A94" s="487" t="s">
        <v>971</v>
      </c>
      <c r="B94" s="234">
        <f>[1]EF!B43</f>
        <v>24.999900512157541</v>
      </c>
      <c r="C94" s="1318">
        <f>[1]EF!C43</f>
        <v>24.999900512157541</v>
      </c>
      <c r="D94" s="1318">
        <f>[1]EF!D43</f>
        <v>2.4999900512157542</v>
      </c>
      <c r="E94" s="234">
        <f>[1]EF!S43</f>
        <v>0.55919130001358275</v>
      </c>
      <c r="F94" s="1318">
        <f>[1]EF!T43</f>
        <v>5.5919130001358279E-2</v>
      </c>
      <c r="G94" s="234">
        <f>[1]EF!AD43</f>
        <v>3.1580812470205132E-2</v>
      </c>
      <c r="H94" s="235">
        <f>[1]EF!AE43</f>
        <v>3.5089791633561261E-2</v>
      </c>
      <c r="I94" s="76">
        <f>[1]EF!$CH43</f>
        <v>1.9510999112621483E-2</v>
      </c>
      <c r="K94" s="38"/>
      <c r="L94" s="38"/>
      <c r="M94" s="38"/>
      <c r="N94" s="38"/>
      <c r="O94" s="38"/>
      <c r="P94" s="38"/>
      <c r="Q94" s="38"/>
      <c r="R94" s="38"/>
      <c r="S94" s="38"/>
      <c r="T94" s="38"/>
      <c r="U94" s="38"/>
      <c r="V94" s="38"/>
      <c r="W94" s="38"/>
      <c r="X94" s="38"/>
      <c r="Y94" s="38"/>
      <c r="Z94" s="46"/>
      <c r="AA94" s="38"/>
      <c r="AB94" s="38"/>
      <c r="AC94" s="38"/>
    </row>
    <row r="95" spans="1:52">
      <c r="A95" s="487" t="s">
        <v>972</v>
      </c>
      <c r="B95" s="234">
        <f>[1]EF!B44</f>
        <v>64.999741331609613</v>
      </c>
      <c r="C95" s="1318">
        <f>[1]EF!C44</f>
        <v>64.999741331609613</v>
      </c>
      <c r="D95" s="1318">
        <f>[1]EF!D44</f>
        <v>6.4999741331609613</v>
      </c>
      <c r="E95" s="234">
        <f>[1]EF!S44</f>
        <v>5.8981368072861224</v>
      </c>
      <c r="F95" s="1318">
        <f>[1]EF!T44</f>
        <v>0.58981368072861229</v>
      </c>
      <c r="G95" s="234">
        <f>[1]EF!AD44</f>
        <v>5.8681168095304902E-2</v>
      </c>
      <c r="H95" s="235">
        <f>[1]EF!AE44</f>
        <v>6.5201297883672113E-2</v>
      </c>
      <c r="I95" s="76">
        <f>[1]EF!$CH44</f>
        <v>3.3904729948254143E-2</v>
      </c>
      <c r="K95" s="38"/>
      <c r="L95" s="38"/>
      <c r="M95" s="38"/>
      <c r="N95" s="38"/>
      <c r="O95" s="38"/>
      <c r="P95" s="38"/>
      <c r="Q95" s="38"/>
      <c r="R95" s="38"/>
      <c r="S95" s="38"/>
      <c r="T95" s="38"/>
      <c r="U95" s="38"/>
      <c r="V95" s="38"/>
      <c r="W95" s="38"/>
      <c r="X95" s="38"/>
      <c r="Y95" s="38"/>
      <c r="Z95" s="46"/>
      <c r="AA95" s="38"/>
      <c r="AB95" s="38"/>
      <c r="AC95" s="38"/>
    </row>
    <row r="96" spans="1:52">
      <c r="A96" s="487" t="s">
        <v>887</v>
      </c>
      <c r="B96" s="234">
        <f>[1]EF!B45</f>
        <v>4.5809998512268066</v>
      </c>
      <c r="C96" s="1318">
        <f>[1]EF!C45</f>
        <v>4.5809998512268066</v>
      </c>
      <c r="D96" s="1318">
        <f>[1]EF!D45</f>
        <v>91.619997024536133</v>
      </c>
      <c r="E96" s="234">
        <f>[1]EF!S45</f>
        <v>6.8245112110180699</v>
      </c>
      <c r="F96" s="1318">
        <f>[1]EF!T45</f>
        <v>136.4902242203614</v>
      </c>
      <c r="G96" s="234">
        <f>[1]EF!AD45</f>
        <v>0.79687952050913158</v>
      </c>
      <c r="H96" s="235">
        <f>[1]EF!AE45</f>
        <v>57.124520793904985</v>
      </c>
      <c r="I96" s="76">
        <f>[1]EF!$CH45</f>
        <v>0.70505558699841731</v>
      </c>
      <c r="K96" s="38"/>
      <c r="L96" s="38"/>
      <c r="M96" s="38"/>
      <c r="N96" s="38"/>
      <c r="O96" s="38"/>
      <c r="P96" s="38"/>
      <c r="Q96" s="38"/>
      <c r="R96" s="38"/>
      <c r="S96" s="38"/>
      <c r="T96" s="38"/>
      <c r="U96" s="38"/>
      <c r="V96" s="38"/>
      <c r="W96" s="38"/>
      <c r="X96" s="38"/>
      <c r="Y96" s="38"/>
      <c r="Z96" s="46"/>
      <c r="AA96" s="38"/>
      <c r="AB96" s="38"/>
      <c r="AC96" s="38"/>
    </row>
    <row r="97" spans="1:29">
      <c r="A97" s="487" t="s">
        <v>888</v>
      </c>
      <c r="B97" s="234">
        <f>[1]EF!B46</f>
        <v>2</v>
      </c>
      <c r="C97" s="1318">
        <f>[1]EF!C46</f>
        <v>2</v>
      </c>
      <c r="D97" s="1318">
        <f>[1]EF!D46</f>
        <v>2</v>
      </c>
      <c r="E97" s="234">
        <f>[1]EF!S46</f>
        <v>2.1321383520886243</v>
      </c>
      <c r="F97" s="1318">
        <f>[1]EF!T46</f>
        <v>2.1321383520886243</v>
      </c>
      <c r="G97" s="234">
        <f>[1]EF!AD46</f>
        <v>0.10695653375963685</v>
      </c>
      <c r="H97" s="235">
        <f>[1]EF!AE46</f>
        <v>2.9710148266565792E-2</v>
      </c>
      <c r="I97" s="76">
        <f>[1]EF!$CH46</f>
        <v>0.12704156612067988</v>
      </c>
      <c r="K97" s="38"/>
      <c r="L97" s="38"/>
      <c r="M97" s="38"/>
      <c r="N97" s="38"/>
      <c r="O97" s="38"/>
      <c r="P97" s="38"/>
      <c r="Q97" s="38"/>
      <c r="R97" s="38"/>
      <c r="S97" s="38"/>
      <c r="T97" s="38"/>
      <c r="U97" s="38"/>
      <c r="V97" s="38"/>
      <c r="W97" s="38"/>
      <c r="X97" s="38"/>
      <c r="Y97" s="38"/>
      <c r="Z97" s="46"/>
      <c r="AA97" s="38"/>
      <c r="AB97" s="38"/>
      <c r="AC97" s="38"/>
    </row>
    <row r="98" spans="1:29">
      <c r="A98" s="1364" t="s">
        <v>889</v>
      </c>
      <c r="B98" s="242">
        <f>[1]EF!B47</f>
        <v>84534.38426123267</v>
      </c>
      <c r="C98" s="53">
        <f>[1]EF!C47</f>
        <v>77652.206280545564</v>
      </c>
      <c r="D98" s="53">
        <f>[1]EF!D47</f>
        <v>58769.106070771144</v>
      </c>
      <c r="E98" s="242">
        <f>[1]EF!S47</f>
        <v>78012.874708330055</v>
      </c>
      <c r="F98" s="53">
        <f>[1]EF!T47</f>
        <v>58908.766816610587</v>
      </c>
      <c r="G98" s="242">
        <f>[1]EF!AD47</f>
        <v>77924.526172916216</v>
      </c>
      <c r="H98" s="243">
        <f>[1]EF!AE47</f>
        <v>57241.155732804895</v>
      </c>
      <c r="I98" s="78">
        <f>[1]EF!$CH47</f>
        <v>77969.48933517313</v>
      </c>
      <c r="K98" s="38"/>
      <c r="L98" s="38"/>
      <c r="M98" s="38"/>
      <c r="N98" s="38"/>
      <c r="O98" s="38"/>
      <c r="P98" s="38"/>
      <c r="Q98" s="38"/>
      <c r="R98" s="38"/>
      <c r="S98" s="38"/>
      <c r="T98" s="38"/>
      <c r="U98" s="38"/>
      <c r="V98" s="38"/>
      <c r="W98" s="38"/>
      <c r="X98" s="38"/>
      <c r="Y98" s="38"/>
      <c r="Z98" s="46"/>
      <c r="AA98" s="38"/>
      <c r="AB98" s="38"/>
      <c r="AC98" s="38"/>
    </row>
    <row r="99" spans="1:29">
      <c r="I99" s="38"/>
      <c r="J99" s="38"/>
      <c r="K99" s="38"/>
      <c r="L99" s="38"/>
      <c r="M99" s="38"/>
      <c r="N99" s="38"/>
      <c r="O99" s="38"/>
      <c r="P99" s="38"/>
      <c r="Q99" s="38"/>
      <c r="R99" s="38"/>
      <c r="S99" s="38"/>
      <c r="T99" s="38"/>
      <c r="U99" s="38"/>
      <c r="V99" s="38"/>
      <c r="W99" s="38"/>
      <c r="X99" s="38"/>
      <c r="Y99" s="38"/>
      <c r="Z99" s="46"/>
      <c r="AA99" s="38"/>
      <c r="AB99" s="38"/>
      <c r="AC99" s="38"/>
    </row>
    <row r="100" spans="1:29">
      <c r="A100" s="172" t="s">
        <v>2048</v>
      </c>
      <c r="I100" s="38"/>
      <c r="J100" s="38"/>
      <c r="K100" s="38"/>
      <c r="L100" s="38"/>
      <c r="M100" s="38"/>
      <c r="N100" s="38"/>
      <c r="O100" s="38"/>
      <c r="P100" s="38"/>
      <c r="Q100" s="38"/>
      <c r="R100" s="38"/>
      <c r="S100" s="38"/>
      <c r="T100" s="38"/>
      <c r="U100" s="38"/>
      <c r="V100" s="38"/>
      <c r="W100" s="38"/>
      <c r="X100" s="38"/>
      <c r="Y100" s="38"/>
      <c r="Z100" s="46"/>
      <c r="AA100" s="38"/>
      <c r="AB100" s="38"/>
      <c r="AC100" s="38"/>
    </row>
    <row r="101" spans="1:29" ht="25.5">
      <c r="A101" s="482"/>
      <c r="B101" s="1736" t="s">
        <v>2041</v>
      </c>
      <c r="C101" s="2486"/>
      <c r="D101" s="2486"/>
      <c r="E101" s="1736" t="s">
        <v>2042</v>
      </c>
      <c r="F101" s="2486"/>
      <c r="G101" s="1452" t="s">
        <v>2043</v>
      </c>
      <c r="H101" s="1454"/>
      <c r="I101" s="38"/>
      <c r="J101" s="38"/>
      <c r="K101" s="38"/>
      <c r="L101" s="38"/>
      <c r="M101" s="38"/>
      <c r="N101" s="38"/>
      <c r="O101" s="38"/>
      <c r="P101" s="38"/>
      <c r="Q101" s="38"/>
      <c r="R101" s="38"/>
      <c r="S101" s="38"/>
      <c r="T101" s="38"/>
      <c r="U101" s="38"/>
      <c r="V101" s="38"/>
      <c r="W101" s="38"/>
      <c r="X101" s="38"/>
      <c r="Y101" s="38"/>
      <c r="Z101" s="46"/>
      <c r="AA101" s="38"/>
      <c r="AB101" s="38"/>
      <c r="AC101" s="38"/>
    </row>
    <row r="102" spans="1:29">
      <c r="A102" s="487"/>
      <c r="B102" s="2458" t="s">
        <v>2045</v>
      </c>
      <c r="C102" s="742" t="s">
        <v>2046</v>
      </c>
      <c r="D102" s="742" t="s">
        <v>2017</v>
      </c>
      <c r="E102" s="2458" t="s">
        <v>2046</v>
      </c>
      <c r="F102" s="742" t="s">
        <v>2017</v>
      </c>
      <c r="G102" s="2458" t="s">
        <v>2046</v>
      </c>
      <c r="H102" s="873" t="s">
        <v>2047</v>
      </c>
      <c r="I102" s="38"/>
      <c r="J102" s="38"/>
      <c r="K102" s="38"/>
      <c r="L102" s="38"/>
      <c r="M102" s="38"/>
      <c r="N102" s="38"/>
      <c r="O102" s="38"/>
      <c r="P102" s="38"/>
      <c r="Q102" s="38"/>
      <c r="R102" s="38"/>
      <c r="S102" s="38"/>
      <c r="T102" s="38"/>
      <c r="U102" s="38"/>
      <c r="V102" s="38"/>
      <c r="W102" s="38"/>
      <c r="X102" s="38"/>
      <c r="Y102" s="38"/>
      <c r="Z102" s="46"/>
      <c r="AA102" s="38"/>
      <c r="AB102" s="38"/>
      <c r="AC102" s="38"/>
    </row>
    <row r="103" spans="1:29">
      <c r="A103" s="482" t="s">
        <v>965</v>
      </c>
      <c r="B103" s="240">
        <f>[1]EF!B52</f>
        <v>79.891003050459602</v>
      </c>
      <c r="C103" s="241">
        <f>[1]EF!C52</f>
        <v>79.891003050459602</v>
      </c>
      <c r="D103" s="241">
        <f>[1]EF!D52</f>
        <v>79.891003050459602</v>
      </c>
      <c r="E103" s="240">
        <f>[1]EF!S52</f>
        <v>28.788439232706082</v>
      </c>
      <c r="F103" s="241">
        <f>[1]EF!T52</f>
        <v>28.788439232706082</v>
      </c>
      <c r="G103" s="240">
        <f>[1]EF!AD52</f>
        <v>7.3235653682903816</v>
      </c>
      <c r="H103" s="248">
        <f>[1]EF!AE52</f>
        <v>8.1372948536559804</v>
      </c>
      <c r="I103" s="38"/>
      <c r="J103" s="38"/>
      <c r="K103" s="38"/>
      <c r="L103" s="38"/>
      <c r="M103" s="38"/>
      <c r="N103" s="38"/>
      <c r="O103" s="38"/>
      <c r="P103" s="38"/>
      <c r="Q103" s="38"/>
      <c r="R103" s="38"/>
      <c r="S103" s="38"/>
      <c r="T103" s="38"/>
      <c r="U103" s="38"/>
      <c r="V103" s="38"/>
      <c r="W103" s="38"/>
      <c r="X103" s="38"/>
      <c r="Y103" s="38"/>
      <c r="Z103" s="46"/>
      <c r="AA103" s="38"/>
      <c r="AB103" s="38"/>
      <c r="AC103" s="38"/>
    </row>
    <row r="104" spans="1:29">
      <c r="A104" s="487" t="s">
        <v>966</v>
      </c>
      <c r="B104" s="234">
        <f>[1]EF!B53</f>
        <v>181.52600634265971</v>
      </c>
      <c r="C104" s="1318">
        <f>[1]EF!C53</f>
        <v>181.52600634265971</v>
      </c>
      <c r="D104" s="1318">
        <f>[1]EF!D53</f>
        <v>90.763003171329856</v>
      </c>
      <c r="E104" s="234">
        <f>[1]EF!S53</f>
        <v>49.437007475078644</v>
      </c>
      <c r="F104" s="1318">
        <f>[1]EF!T53</f>
        <v>24.718503737539322</v>
      </c>
      <c r="G104" s="234">
        <f>[1]EF!AD53</f>
        <v>203.83825765673546</v>
      </c>
      <c r="H104" s="235">
        <f>[1]EF!AE53</f>
        <v>1796.88973604018</v>
      </c>
      <c r="I104" s="38"/>
      <c r="J104" s="38"/>
      <c r="K104" s="38"/>
      <c r="L104" s="38"/>
      <c r="M104" s="38"/>
      <c r="N104" s="38"/>
      <c r="O104" s="38"/>
      <c r="P104" s="38"/>
      <c r="Q104" s="38"/>
      <c r="R104" s="38"/>
      <c r="S104" s="38"/>
      <c r="T104" s="38"/>
      <c r="U104" s="38"/>
      <c r="V104" s="38"/>
      <c r="W104" s="38"/>
      <c r="X104" s="38"/>
      <c r="Y104" s="38"/>
      <c r="Z104" s="46"/>
      <c r="AA104" s="38"/>
      <c r="AB104" s="38"/>
      <c r="AC104" s="38"/>
    </row>
    <row r="105" spans="1:29">
      <c r="A105" s="487" t="s">
        <v>967</v>
      </c>
      <c r="B105" s="234">
        <f>[1]EF!B54</f>
        <v>2054.8190944821517</v>
      </c>
      <c r="C105" s="1318">
        <f>[1]EF!C54</f>
        <v>2054.8190944821517</v>
      </c>
      <c r="D105" s="1318">
        <f>[1]EF!D54</f>
        <v>2054.8190944821517</v>
      </c>
      <c r="E105" s="234">
        <f>[1]EF!S54</f>
        <v>416.51117997791005</v>
      </c>
      <c r="F105" s="1318">
        <f>[1]EF!T54</f>
        <v>416.51117997791005</v>
      </c>
      <c r="G105" s="234">
        <f>[1]EF!AD54</f>
        <v>127.93433105542343</v>
      </c>
      <c r="H105" s="235">
        <f>[1]EF!AE54</f>
        <v>15.625128139479827</v>
      </c>
      <c r="I105" s="38"/>
      <c r="J105" s="38"/>
      <c r="K105" s="38"/>
      <c r="L105" s="38"/>
      <c r="M105" s="38"/>
      <c r="N105" s="38"/>
      <c r="O105" s="38"/>
      <c r="P105" s="38"/>
      <c r="Q105" s="38"/>
      <c r="R105" s="38"/>
      <c r="S105" s="38"/>
      <c r="T105" s="38"/>
      <c r="U105" s="38"/>
      <c r="V105" s="38"/>
      <c r="W105" s="38"/>
      <c r="X105" s="38"/>
      <c r="Y105" s="38"/>
      <c r="Z105" s="46"/>
      <c r="AA105" s="38"/>
      <c r="AB105" s="38"/>
      <c r="AC105" s="38"/>
    </row>
    <row r="106" spans="1:29">
      <c r="A106" s="487" t="s">
        <v>968</v>
      </c>
      <c r="B106" s="234">
        <f>[1]EF!B55</f>
        <v>181.11800463373413</v>
      </c>
      <c r="C106" s="1318">
        <f>[1]EF!C55</f>
        <v>181.11800463373413</v>
      </c>
      <c r="D106" s="1318">
        <f>[1]EF!D55</f>
        <v>18.111800463373413</v>
      </c>
      <c r="E106" s="234">
        <f>[1]EF!S55</f>
        <v>6.8629270988412223</v>
      </c>
      <c r="F106" s="1318">
        <f>[1]EF!T55</f>
        <v>0.68629270988412228</v>
      </c>
      <c r="G106" s="234">
        <f>[1]EF!AD55</f>
        <v>6.8556583527718491</v>
      </c>
      <c r="H106" s="235">
        <f>[1]EF!AE55</f>
        <v>7.6173981697464992</v>
      </c>
      <c r="I106" s="38"/>
      <c r="J106" s="38"/>
      <c r="K106" s="38"/>
      <c r="L106" s="38"/>
      <c r="M106" s="38"/>
      <c r="N106" s="38"/>
      <c r="O106" s="38"/>
      <c r="P106" s="38"/>
      <c r="Q106" s="38"/>
      <c r="R106" s="38"/>
      <c r="S106" s="38"/>
      <c r="T106" s="38"/>
      <c r="U106" s="38"/>
      <c r="V106" s="38"/>
      <c r="W106" s="38"/>
      <c r="X106" s="38"/>
      <c r="Y106" s="38"/>
      <c r="Z106" s="46"/>
      <c r="AA106" s="38"/>
      <c r="AB106" s="38"/>
      <c r="AC106" s="38"/>
    </row>
    <row r="107" spans="1:29">
      <c r="A107" s="487" t="s">
        <v>969</v>
      </c>
      <c r="B107" s="234">
        <f>[1]EF!B56</f>
        <v>166.66600341438362</v>
      </c>
      <c r="C107" s="1318">
        <f>[1]EF!C56</f>
        <v>166.66600341438362</v>
      </c>
      <c r="D107" s="1318">
        <f>[1]EF!D56</f>
        <v>16.666600341438365</v>
      </c>
      <c r="E107" s="234">
        <f>[1]EF!S56</f>
        <v>6.6570392858759853</v>
      </c>
      <c r="F107" s="1318">
        <f>[1]EF!T56</f>
        <v>0.66570392858759853</v>
      </c>
      <c r="G107" s="234">
        <f>[1]EF!AD56</f>
        <v>1.1695933583213423</v>
      </c>
      <c r="H107" s="235">
        <f>[1]EF!AE56</f>
        <v>1.2995481759126026</v>
      </c>
      <c r="I107" s="38"/>
      <c r="J107" s="38"/>
      <c r="K107" s="38"/>
      <c r="L107" s="38"/>
      <c r="M107" s="38"/>
      <c r="N107" s="38"/>
      <c r="O107" s="38"/>
      <c r="P107" s="38"/>
      <c r="Q107" s="38"/>
      <c r="R107" s="38"/>
      <c r="S107" s="38"/>
      <c r="T107" s="38"/>
      <c r="U107" s="38"/>
      <c r="V107" s="38"/>
      <c r="W107" s="38"/>
      <c r="X107" s="38"/>
      <c r="Y107" s="38"/>
      <c r="Z107" s="46"/>
      <c r="AA107" s="38"/>
      <c r="AB107" s="38"/>
      <c r="AC107" s="38"/>
    </row>
    <row r="108" spans="1:29">
      <c r="A108" s="487" t="s">
        <v>970</v>
      </c>
      <c r="B108" s="234">
        <f>[1]EF!B57</f>
        <v>1443.5650804305726</v>
      </c>
      <c r="C108" s="1318">
        <f>[1]EF!C57</f>
        <v>0.54242117555469049</v>
      </c>
      <c r="D108" s="1318">
        <f>[1]EF!D57</f>
        <v>0.26856561546286878</v>
      </c>
      <c r="E108" s="234">
        <f>[1]EF!S57</f>
        <v>0.54242117555469049</v>
      </c>
      <c r="F108" s="1318">
        <f>[1]EF!T57</f>
        <v>0.26856561546286878</v>
      </c>
      <c r="G108" s="234">
        <f>[1]EF!AD57</f>
        <v>0.54469976387990127</v>
      </c>
      <c r="H108" s="235">
        <f>[1]EF!AE57</f>
        <v>0</v>
      </c>
      <c r="I108" s="38"/>
      <c r="J108" s="38"/>
      <c r="K108" s="38"/>
      <c r="L108" s="38"/>
      <c r="M108" s="38"/>
      <c r="N108" s="38"/>
      <c r="O108" s="38"/>
      <c r="P108" s="38"/>
      <c r="Q108" s="38"/>
      <c r="R108" s="38"/>
      <c r="S108" s="38"/>
      <c r="T108" s="38"/>
      <c r="U108" s="38"/>
      <c r="V108" s="38"/>
      <c r="W108" s="38"/>
      <c r="X108" s="38"/>
      <c r="Y108" s="38"/>
      <c r="Z108" s="46"/>
      <c r="AA108" s="38"/>
      <c r="AB108" s="38"/>
      <c r="AC108" s="38"/>
    </row>
    <row r="109" spans="1:29">
      <c r="A109" s="487" t="s">
        <v>971</v>
      </c>
      <c r="B109" s="234">
        <f>[1]EF!B58</f>
        <v>24.999900512157541</v>
      </c>
      <c r="C109" s="1318">
        <f>[1]EF!C58</f>
        <v>24.999900512157541</v>
      </c>
      <c r="D109" s="1318">
        <f>[1]EF!D58</f>
        <v>2.4999900512157542</v>
      </c>
      <c r="E109" s="234">
        <f>[1]EF!S58</f>
        <v>0.55919130001358275</v>
      </c>
      <c r="F109" s="1318">
        <f>[1]EF!T58</f>
        <v>5.5919130001358279E-2</v>
      </c>
      <c r="G109" s="234">
        <f>[1]EF!AD58</f>
        <v>3.9791823712458464E-2</v>
      </c>
      <c r="H109" s="235">
        <f>[1]EF!AE58</f>
        <v>4.4213137458287186E-2</v>
      </c>
      <c r="I109" s="38"/>
      <c r="J109" s="38"/>
      <c r="K109" s="38"/>
      <c r="L109" s="38"/>
      <c r="M109" s="38"/>
      <c r="N109" s="38"/>
      <c r="O109" s="38"/>
      <c r="P109" s="38"/>
      <c r="Q109" s="38"/>
      <c r="R109" s="38"/>
      <c r="S109" s="38"/>
      <c r="T109" s="38"/>
      <c r="U109" s="38"/>
      <c r="V109" s="38"/>
      <c r="W109" s="38"/>
      <c r="X109" s="38"/>
      <c r="Y109" s="38"/>
      <c r="Z109" s="46"/>
      <c r="AA109" s="38"/>
      <c r="AB109" s="38"/>
      <c r="AC109" s="38"/>
    </row>
    <row r="110" spans="1:29">
      <c r="A110" s="487" t="s">
        <v>972</v>
      </c>
      <c r="B110" s="234">
        <f>[1]EF!B59</f>
        <v>64.999741331609613</v>
      </c>
      <c r="C110" s="1318">
        <f>[1]EF!C59</f>
        <v>64.999741331609613</v>
      </c>
      <c r="D110" s="1318">
        <f>[1]EF!D59</f>
        <v>6.4999741331609613</v>
      </c>
      <c r="E110" s="234">
        <f>[1]EF!S59</f>
        <v>5.8981368072861224</v>
      </c>
      <c r="F110" s="1318">
        <f>[1]EF!T59</f>
        <v>0.58981368072861229</v>
      </c>
      <c r="G110" s="234">
        <f>[1]EF!AD59</f>
        <v>7.3938271800084179E-2</v>
      </c>
      <c r="H110" s="235">
        <f>[1]EF!AE59</f>
        <v>8.2153635333426872E-2</v>
      </c>
      <c r="I110" s="38"/>
      <c r="J110" s="38"/>
      <c r="K110" s="38"/>
      <c r="L110" s="38"/>
      <c r="M110" s="38"/>
      <c r="N110" s="38"/>
      <c r="O110" s="38"/>
      <c r="P110" s="38"/>
      <c r="Q110" s="38"/>
      <c r="R110" s="38"/>
      <c r="S110" s="38"/>
      <c r="T110" s="38"/>
      <c r="U110" s="38"/>
      <c r="V110" s="38"/>
      <c r="W110" s="38"/>
      <c r="X110" s="38"/>
      <c r="Y110" s="38"/>
      <c r="Z110" s="46"/>
      <c r="AA110" s="38"/>
      <c r="AB110" s="38"/>
      <c r="AC110" s="38"/>
    </row>
    <row r="111" spans="1:29">
      <c r="A111" s="487" t="s">
        <v>887</v>
      </c>
      <c r="B111" s="234">
        <f>[1]EF!B60</f>
        <v>4.5809998512268066</v>
      </c>
      <c r="C111" s="1318">
        <f>[1]EF!C60</f>
        <v>4.5809998512268066</v>
      </c>
      <c r="D111" s="1318">
        <f>[1]EF!D60</f>
        <v>91.619997024536133</v>
      </c>
      <c r="E111" s="234">
        <f>[1]EF!S60</f>
        <v>6.8245112110180699</v>
      </c>
      <c r="F111" s="1318">
        <f>[1]EF!T60</f>
        <v>136.4902242203614</v>
      </c>
      <c r="G111" s="234">
        <f>[1]EF!AD60</f>
        <v>1.0040681958415056</v>
      </c>
      <c r="H111" s="235">
        <f>[1]EF!AE60</f>
        <v>71.976896200320269</v>
      </c>
      <c r="I111" s="38"/>
      <c r="J111" s="38"/>
      <c r="K111" s="38"/>
      <c r="L111" s="38"/>
      <c r="M111" s="38"/>
      <c r="N111" s="38"/>
      <c r="O111" s="38"/>
      <c r="P111" s="38"/>
      <c r="Q111" s="38"/>
      <c r="R111" s="38"/>
      <c r="S111" s="38"/>
      <c r="T111" s="38"/>
      <c r="U111" s="38"/>
      <c r="V111" s="38"/>
      <c r="W111" s="38"/>
      <c r="X111" s="38"/>
      <c r="Y111" s="38"/>
      <c r="Z111" s="46"/>
      <c r="AA111" s="38"/>
      <c r="AB111" s="38"/>
      <c r="AC111" s="38"/>
    </row>
    <row r="112" spans="1:29">
      <c r="A112" s="487" t="s">
        <v>888</v>
      </c>
      <c r="B112" s="234">
        <f>[1]EF!B61</f>
        <v>2</v>
      </c>
      <c r="C112" s="1318">
        <f>[1]EF!C61</f>
        <v>2</v>
      </c>
      <c r="D112" s="1318">
        <f>[1]EF!D61</f>
        <v>2</v>
      </c>
      <c r="E112" s="234">
        <f>[1]EF!S61</f>
        <v>2.1321383520886243</v>
      </c>
      <c r="F112" s="1318">
        <f>[1]EF!T61</f>
        <v>2.1321383520886243</v>
      </c>
      <c r="G112" s="234">
        <f>[1]EF!AD61</f>
        <v>0.13476523253714243</v>
      </c>
      <c r="H112" s="235">
        <f>[1]EF!AE61</f>
        <v>3.7434786815872895E-2</v>
      </c>
      <c r="I112" s="38"/>
      <c r="J112" s="38"/>
      <c r="K112" s="38"/>
      <c r="L112" s="38"/>
      <c r="M112" s="38"/>
      <c r="N112" s="38"/>
      <c r="O112" s="38"/>
      <c r="P112" s="38"/>
      <c r="Q112" s="38"/>
      <c r="R112" s="38"/>
      <c r="S112" s="38"/>
      <c r="T112" s="38"/>
      <c r="U112" s="38"/>
      <c r="V112" s="38"/>
      <c r="W112" s="38"/>
      <c r="X112" s="38"/>
      <c r="Y112" s="38"/>
      <c r="Z112" s="46"/>
      <c r="AA112" s="38"/>
      <c r="AB112" s="38"/>
      <c r="AC112" s="38"/>
    </row>
    <row r="113" spans="1:52">
      <c r="A113" s="1364" t="s">
        <v>889</v>
      </c>
      <c r="B113" s="242">
        <f>[1]EF!B62</f>
        <v>84534.38426123267</v>
      </c>
      <c r="C113" s="53">
        <f>[1]EF!C62</f>
        <v>77652.206280545564</v>
      </c>
      <c r="D113" s="53">
        <f>[1]EF!D62</f>
        <v>58769.106070771144</v>
      </c>
      <c r="E113" s="242">
        <f>[1]EF!S62</f>
        <v>78012.874708330055</v>
      </c>
      <c r="F113" s="53">
        <f>[1]EF!T62</f>
        <v>58908.766816610587</v>
      </c>
      <c r="G113" s="242">
        <f>[1]EF!AD62</f>
        <v>77853.149247499474</v>
      </c>
      <c r="H113" s="243">
        <f>[1]EF!AE62</f>
        <v>56612.413503848089</v>
      </c>
      <c r="I113" s="38"/>
      <c r="J113" s="38"/>
      <c r="K113" s="38"/>
      <c r="L113" s="38"/>
      <c r="M113" s="38"/>
      <c r="N113" s="38"/>
      <c r="O113" s="38"/>
      <c r="P113" s="38"/>
      <c r="Q113" s="38"/>
      <c r="R113" s="38"/>
      <c r="S113" s="38"/>
      <c r="T113" s="38"/>
      <c r="U113" s="38"/>
      <c r="V113" s="38"/>
      <c r="W113" s="38"/>
      <c r="X113" s="38"/>
      <c r="Y113" s="38"/>
      <c r="Z113" s="46"/>
      <c r="AA113" s="38"/>
      <c r="AB113" s="38"/>
      <c r="AC113" s="38"/>
    </row>
    <row r="114" spans="1:52">
      <c r="A114" s="172"/>
      <c r="B114" s="38"/>
      <c r="C114" s="38"/>
      <c r="D114" s="38"/>
      <c r="E114" s="38"/>
      <c r="F114" s="38"/>
      <c r="G114" s="38"/>
      <c r="H114" s="38"/>
      <c r="I114" s="38"/>
      <c r="J114" s="38"/>
      <c r="K114" s="38"/>
      <c r="L114" s="38"/>
      <c r="M114" s="38"/>
      <c r="N114" s="38"/>
      <c r="O114" s="38"/>
      <c r="P114" s="38"/>
      <c r="Q114" s="631"/>
      <c r="R114" s="631"/>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46"/>
      <c r="AX114" s="38"/>
      <c r="AY114" s="38"/>
      <c r="AZ114" s="38"/>
    </row>
    <row r="115" spans="1:52" ht="15">
      <c r="A115" s="120" t="str">
        <f>[1]EF!A64</f>
        <v>3) Time-Series Tables for Emission Factors of Fuel Combustions in Agricultural and Mining Equipment (emission factors are in grams/mmBtu of fuel burned)</v>
      </c>
    </row>
    <row r="116" spans="1:52">
      <c r="A116" s="172" t="str">
        <f>[1]EF!A65</f>
        <v>3.1) CNG-powered Agricultural and Mining Equipment</v>
      </c>
    </row>
    <row r="117" spans="1:52" ht="51">
      <c r="A117" s="80"/>
      <c r="B117" s="1932" t="str">
        <f>[1]EF!B66</f>
        <v>Iron ore extraction and processing</v>
      </c>
      <c r="C117" s="1932" t="str">
        <f>[1]EF!C66</f>
        <v>Bauxite mining</v>
      </c>
      <c r="D117" s="1932" t="str">
        <f>[1]EF!D66</f>
        <v>Lead ore mining</v>
      </c>
      <c r="E117" s="1932" t="str">
        <f>[1]EF!E66</f>
        <v>Nickel ore mining</v>
      </c>
      <c r="F117" s="1932" t="str">
        <f>[1]EF!F66</f>
        <v>Cobalt ore mining</v>
      </c>
      <c r="G117" s="1932" t="str">
        <f>[1]EF!G66</f>
        <v>Copper ore mining</v>
      </c>
      <c r="H117" s="1932" t="str">
        <f>[1]EF!H66</f>
        <v>Zinc ore mining</v>
      </c>
      <c r="I117" s="1932" t="str">
        <f>[1]EF!I66</f>
        <v>Magnesium ore mining</v>
      </c>
      <c r="J117" s="1932" t="str">
        <f>[1]EF!J66</f>
        <v>Dolomite mining</v>
      </c>
      <c r="K117" s="1932" t="str">
        <f>[1]EF!K66</f>
        <v>South Africa mining</v>
      </c>
      <c r="L117" s="1932" t="str">
        <f>[1]EF!L66</f>
        <v>North America platinum mining</v>
      </c>
      <c r="M117" s="1932" t="str">
        <f>[1]EF!M66</f>
        <v>Vanadium ore mining</v>
      </c>
      <c r="N117" s="1932" t="str">
        <f>[1]EF!N66</f>
        <v>Zirconium ore mining</v>
      </c>
      <c r="O117" s="1932" t="str">
        <f>[1]EF!O66</f>
        <v>Primary mining and beneficiation</v>
      </c>
      <c r="P117" s="1932" t="str">
        <f>[1]EF!P66</f>
        <v>Manganese ore mining</v>
      </c>
      <c r="Q117" s="1932" t="str">
        <f>[1]EF!AN66</f>
        <v>Limestone mining</v>
      </c>
    </row>
    <row r="118" spans="1:52">
      <c r="A118" s="482" t="str">
        <f>[1]EF!A67</f>
        <v>VOC</v>
      </c>
      <c r="B118" s="77">
        <f>[1]EF!B67</f>
        <v>137.15726050000001</v>
      </c>
      <c r="C118" s="77">
        <f>[1]EF!C67</f>
        <v>137.15726050000001</v>
      </c>
      <c r="D118" s="77">
        <f>[1]EF!D67</f>
        <v>137.15726050000001</v>
      </c>
      <c r="E118" s="77">
        <f>[1]EF!E67</f>
        <v>137.15726050000001</v>
      </c>
      <c r="F118" s="77">
        <f>[1]EF!F67</f>
        <v>137.15726050000001</v>
      </c>
      <c r="G118" s="77">
        <f>[1]EF!G67</f>
        <v>137.15726050000001</v>
      </c>
      <c r="H118" s="77">
        <f>[1]EF!H67</f>
        <v>137.15726050000001</v>
      </c>
      <c r="I118" s="77">
        <f>[1]EF!I67</f>
        <v>137.15726050000001</v>
      </c>
      <c r="J118" s="77">
        <f>[1]EF!J67</f>
        <v>137.15726050000001</v>
      </c>
      <c r="K118" s="77">
        <f>[1]EF!K67</f>
        <v>137.15726050000001</v>
      </c>
      <c r="L118" s="77">
        <f>[1]EF!L67</f>
        <v>137.15726050000001</v>
      </c>
      <c r="M118" s="77">
        <f>[1]EF!M67</f>
        <v>137.15726050000001</v>
      </c>
      <c r="N118" s="77">
        <f>[1]EF!N67</f>
        <v>137.15726050000001</v>
      </c>
      <c r="O118" s="77">
        <f>[1]EF!O67</f>
        <v>137.15726050000001</v>
      </c>
      <c r="P118" s="77">
        <f>[1]EF!P67</f>
        <v>137.15726050000001</v>
      </c>
      <c r="Q118" s="77">
        <f>[1]EF!AN67</f>
        <v>137.15726050000001</v>
      </c>
    </row>
    <row r="119" spans="1:52">
      <c r="A119" s="487" t="str">
        <f>[1]EF!A68</f>
        <v>CO</v>
      </c>
      <c r="B119" s="76">
        <f>[1]EF!B68</f>
        <v>1806.2556152</v>
      </c>
      <c r="C119" s="76">
        <f>[1]EF!C68</f>
        <v>1806.2556152</v>
      </c>
      <c r="D119" s="76">
        <f>[1]EF!D68</f>
        <v>1806.2556152</v>
      </c>
      <c r="E119" s="76">
        <f>[1]EF!E68</f>
        <v>1806.2556152</v>
      </c>
      <c r="F119" s="76">
        <f>[1]EF!F68</f>
        <v>1806.2556152</v>
      </c>
      <c r="G119" s="76">
        <f>[1]EF!G68</f>
        <v>1806.2556152</v>
      </c>
      <c r="H119" s="76">
        <f>[1]EF!H68</f>
        <v>1806.2556152</v>
      </c>
      <c r="I119" s="76">
        <f>[1]EF!I68</f>
        <v>1806.2556152</v>
      </c>
      <c r="J119" s="76">
        <f>[1]EF!J68</f>
        <v>1806.2556152</v>
      </c>
      <c r="K119" s="76">
        <f>[1]EF!K68</f>
        <v>1806.2556152</v>
      </c>
      <c r="L119" s="76">
        <f>[1]EF!L68</f>
        <v>1806.2556152</v>
      </c>
      <c r="M119" s="76">
        <f>[1]EF!M68</f>
        <v>1806.2556152</v>
      </c>
      <c r="N119" s="76">
        <f>[1]EF!N68</f>
        <v>1806.2556152</v>
      </c>
      <c r="O119" s="76">
        <f>[1]EF!O68</f>
        <v>1806.2556152</v>
      </c>
      <c r="P119" s="76">
        <f>[1]EF!P68</f>
        <v>1806.2556152</v>
      </c>
      <c r="Q119" s="76">
        <f>[1]EF!AN68</f>
        <v>1806.2556152</v>
      </c>
    </row>
    <row r="120" spans="1:52">
      <c r="A120" s="487" t="str">
        <f>[1]EF!A69</f>
        <v>NOx</v>
      </c>
      <c r="B120" s="76">
        <f>[1]EF!B69</f>
        <v>191.8619063225</v>
      </c>
      <c r="C120" s="76">
        <f>[1]EF!C69</f>
        <v>191.8619063225</v>
      </c>
      <c r="D120" s="76">
        <f>[1]EF!D69</f>
        <v>191.8619063225</v>
      </c>
      <c r="E120" s="76">
        <f>[1]EF!E69</f>
        <v>191.8619063225</v>
      </c>
      <c r="F120" s="76">
        <f>[1]EF!F69</f>
        <v>191.8619063225</v>
      </c>
      <c r="G120" s="76">
        <f>[1]EF!G69</f>
        <v>191.8619063225</v>
      </c>
      <c r="H120" s="76">
        <f>[1]EF!H69</f>
        <v>191.8619063225</v>
      </c>
      <c r="I120" s="76">
        <f>[1]EF!I69</f>
        <v>191.8619063225</v>
      </c>
      <c r="J120" s="76">
        <f>[1]EF!J69</f>
        <v>191.8619063225</v>
      </c>
      <c r="K120" s="76">
        <f>[1]EF!K69</f>
        <v>191.8619063225</v>
      </c>
      <c r="L120" s="76">
        <f>[1]EF!L69</f>
        <v>191.8619063225</v>
      </c>
      <c r="M120" s="76">
        <f>[1]EF!M69</f>
        <v>191.8619063225</v>
      </c>
      <c r="N120" s="76">
        <f>[1]EF!N69</f>
        <v>191.8619063225</v>
      </c>
      <c r="O120" s="76">
        <f>[1]EF!O69</f>
        <v>191.8619063225</v>
      </c>
      <c r="P120" s="76">
        <f>[1]EF!P69</f>
        <v>191.8619063225</v>
      </c>
      <c r="Q120" s="76">
        <f>[1]EF!AN69</f>
        <v>191.8619063225</v>
      </c>
    </row>
    <row r="121" spans="1:52">
      <c r="A121" s="487" t="str">
        <f>[1]EF!A70</f>
        <v>PM10</v>
      </c>
      <c r="B121" s="76">
        <f>[1]EF!B70</f>
        <v>7.427593184</v>
      </c>
      <c r="C121" s="76">
        <f>[1]EF!C70</f>
        <v>7.427593184</v>
      </c>
      <c r="D121" s="76">
        <f>[1]EF!D70</f>
        <v>7.427593184</v>
      </c>
      <c r="E121" s="76">
        <f>[1]EF!E70</f>
        <v>7.427593184</v>
      </c>
      <c r="F121" s="76">
        <f>[1]EF!F70</f>
        <v>7.427593184</v>
      </c>
      <c r="G121" s="76">
        <f>[1]EF!G70</f>
        <v>7.427593184</v>
      </c>
      <c r="H121" s="76">
        <f>[1]EF!H70</f>
        <v>7.427593184</v>
      </c>
      <c r="I121" s="76">
        <f>[1]EF!I70</f>
        <v>7.427593184</v>
      </c>
      <c r="J121" s="76">
        <f>[1]EF!J70</f>
        <v>7.427593184</v>
      </c>
      <c r="K121" s="76">
        <f>[1]EF!K70</f>
        <v>7.427593184</v>
      </c>
      <c r="L121" s="76">
        <f>[1]EF!L70</f>
        <v>7.427593184</v>
      </c>
      <c r="M121" s="76">
        <f>[1]EF!M70</f>
        <v>7.427593184</v>
      </c>
      <c r="N121" s="76">
        <f>[1]EF!N70</f>
        <v>7.427593184</v>
      </c>
      <c r="O121" s="76">
        <f>[1]EF!O70</f>
        <v>7.427593184</v>
      </c>
      <c r="P121" s="76">
        <f>[1]EF!P70</f>
        <v>7.427593184</v>
      </c>
      <c r="Q121" s="76">
        <f>[1]EF!AN70</f>
        <v>7.427593184</v>
      </c>
    </row>
    <row r="122" spans="1:52">
      <c r="A122" s="487" t="str">
        <f>[1]EF!A71</f>
        <v>PM2.5</v>
      </c>
      <c r="B122" s="76">
        <f>[1]EF!B71</f>
        <v>7.427593184</v>
      </c>
      <c r="C122" s="76">
        <f>[1]EF!C71</f>
        <v>7.427593184</v>
      </c>
      <c r="D122" s="76">
        <f>[1]EF!D71</f>
        <v>7.427593184</v>
      </c>
      <c r="E122" s="76">
        <f>[1]EF!E71</f>
        <v>7.427593184</v>
      </c>
      <c r="F122" s="76">
        <f>[1]EF!F71</f>
        <v>7.427593184</v>
      </c>
      <c r="G122" s="76">
        <f>[1]EF!G71</f>
        <v>7.427593184</v>
      </c>
      <c r="H122" s="76">
        <f>[1]EF!H71</f>
        <v>7.427593184</v>
      </c>
      <c r="I122" s="76">
        <f>[1]EF!I71</f>
        <v>7.427593184</v>
      </c>
      <c r="J122" s="76">
        <f>[1]EF!J71</f>
        <v>7.427593184</v>
      </c>
      <c r="K122" s="76">
        <f>[1]EF!K71</f>
        <v>7.427593184</v>
      </c>
      <c r="L122" s="76">
        <f>[1]EF!L71</f>
        <v>7.427593184</v>
      </c>
      <c r="M122" s="76">
        <f>[1]EF!M71</f>
        <v>7.427593184</v>
      </c>
      <c r="N122" s="76">
        <f>[1]EF!N71</f>
        <v>7.427593184</v>
      </c>
      <c r="O122" s="76">
        <f>[1]EF!O71</f>
        <v>7.427593184</v>
      </c>
      <c r="P122" s="76">
        <f>[1]EF!P71</f>
        <v>7.427593184</v>
      </c>
      <c r="Q122" s="76">
        <f>[1]EF!AN71</f>
        <v>7.427593184</v>
      </c>
    </row>
    <row r="123" spans="1:52">
      <c r="A123" s="487" t="str">
        <f>[1]EF!A72</f>
        <v>SOx</v>
      </c>
      <c r="B123" s="76">
        <f>[1]EF!B72</f>
        <v>0.31651675499999998</v>
      </c>
      <c r="C123" s="76">
        <f>[1]EF!C72</f>
        <v>0.31651675499999998</v>
      </c>
      <c r="D123" s="76">
        <f>[1]EF!D72</f>
        <v>0.31651675499999998</v>
      </c>
      <c r="E123" s="76">
        <f>[1]EF!E72</f>
        <v>0.31651675499999998</v>
      </c>
      <c r="F123" s="76">
        <f>[1]EF!F72</f>
        <v>0.31651675499999998</v>
      </c>
      <c r="G123" s="76">
        <f>[1]EF!G72</f>
        <v>0.31651675499999998</v>
      </c>
      <c r="H123" s="76">
        <f>[1]EF!H72</f>
        <v>0.31651675499999998</v>
      </c>
      <c r="I123" s="76">
        <f>[1]EF!I72</f>
        <v>0.31651675499999998</v>
      </c>
      <c r="J123" s="76">
        <f>[1]EF!J72</f>
        <v>0.31651675499999998</v>
      </c>
      <c r="K123" s="76">
        <f>[1]EF!K72</f>
        <v>0.31651675499999998</v>
      </c>
      <c r="L123" s="76">
        <f>[1]EF!L72</f>
        <v>0.31651675499999998</v>
      </c>
      <c r="M123" s="76">
        <f>[1]EF!M72</f>
        <v>0.31651675499999998</v>
      </c>
      <c r="N123" s="76">
        <f>[1]EF!N72</f>
        <v>0.31651675499999998</v>
      </c>
      <c r="O123" s="76">
        <f>[1]EF!O72</f>
        <v>0.31651675499999998</v>
      </c>
      <c r="P123" s="76">
        <f>[1]EF!P72</f>
        <v>0.31651675499999998</v>
      </c>
      <c r="Q123" s="76">
        <f>[1]EF!AN72</f>
        <v>0.31651675499999998</v>
      </c>
    </row>
    <row r="124" spans="1:52">
      <c r="A124" s="818" t="str">
        <f>[1]EF!A73</f>
        <v>BC</v>
      </c>
      <c r="B124" s="76">
        <f>[1]EF!B73</f>
        <v>0.72421494597728997</v>
      </c>
      <c r="C124" s="76">
        <f>[1]EF!C73</f>
        <v>0.72421494597728997</v>
      </c>
      <c r="D124" s="76">
        <f>[1]EF!D73</f>
        <v>0.72421494597728997</v>
      </c>
      <c r="E124" s="76">
        <f>[1]EF!E73</f>
        <v>0.72421494597728997</v>
      </c>
      <c r="F124" s="76">
        <f>[1]EF!F73</f>
        <v>0.72421494597728997</v>
      </c>
      <c r="G124" s="76">
        <f>[1]EF!G73</f>
        <v>0.72421494597728997</v>
      </c>
      <c r="H124" s="76">
        <f>[1]EF!H73</f>
        <v>0.72421494597728997</v>
      </c>
      <c r="I124" s="76">
        <f>[1]EF!I73</f>
        <v>0.72421494597728997</v>
      </c>
      <c r="J124" s="76">
        <f>[1]EF!J73</f>
        <v>0.72421494597728997</v>
      </c>
      <c r="K124" s="76">
        <f>[1]EF!K73</f>
        <v>0.72421494597728997</v>
      </c>
      <c r="L124" s="76">
        <f>[1]EF!L73</f>
        <v>0.72421494597728997</v>
      </c>
      <c r="M124" s="76">
        <f>[1]EF!M73</f>
        <v>0.72421494597728997</v>
      </c>
      <c r="N124" s="76">
        <f>[1]EF!N73</f>
        <v>0.72421494597728997</v>
      </c>
      <c r="O124" s="76">
        <f>[1]EF!O73</f>
        <v>0.72421494597728997</v>
      </c>
      <c r="P124" s="76">
        <f>[1]EF!P73</f>
        <v>0.72421494597728997</v>
      </c>
      <c r="Q124" s="76">
        <f>[1]EF!AN73</f>
        <v>0.72421494597728997</v>
      </c>
    </row>
    <row r="125" spans="1:52">
      <c r="A125" s="818" t="str">
        <f>[1]EF!A74</f>
        <v>OC</v>
      </c>
      <c r="B125" s="76">
        <f>[1]EF!B74</f>
        <v>6.2170208092032802</v>
      </c>
      <c r="C125" s="76">
        <f>[1]EF!C74</f>
        <v>6.2170208092032802</v>
      </c>
      <c r="D125" s="76">
        <f>[1]EF!D74</f>
        <v>6.2170208092032802</v>
      </c>
      <c r="E125" s="76">
        <f>[1]EF!E74</f>
        <v>6.2170208092032802</v>
      </c>
      <c r="F125" s="76">
        <f>[1]EF!F74</f>
        <v>6.2170208092032802</v>
      </c>
      <c r="G125" s="76">
        <f>[1]EF!G74</f>
        <v>6.2170208092032802</v>
      </c>
      <c r="H125" s="76">
        <f>[1]EF!H74</f>
        <v>6.2170208092032802</v>
      </c>
      <c r="I125" s="76">
        <f>[1]EF!I74</f>
        <v>6.2170208092032802</v>
      </c>
      <c r="J125" s="76">
        <f>[1]EF!J74</f>
        <v>6.2170208092032802</v>
      </c>
      <c r="K125" s="76">
        <f>[1]EF!K74</f>
        <v>6.2170208092032802</v>
      </c>
      <c r="L125" s="76">
        <f>[1]EF!L74</f>
        <v>6.2170208092032802</v>
      </c>
      <c r="M125" s="76">
        <f>[1]EF!M74</f>
        <v>6.2170208092032802</v>
      </c>
      <c r="N125" s="76">
        <f>[1]EF!N74</f>
        <v>6.2170208092032802</v>
      </c>
      <c r="O125" s="76">
        <f>[1]EF!O74</f>
        <v>6.2170208092032802</v>
      </c>
      <c r="P125" s="76">
        <f>[1]EF!P74</f>
        <v>6.2170208092032802</v>
      </c>
      <c r="Q125" s="76">
        <f>[1]EF!AN74</f>
        <v>6.2170208092032802</v>
      </c>
    </row>
    <row r="126" spans="1:52">
      <c r="A126" s="487" t="str">
        <f>[1]EF!A75</f>
        <v>CH4</v>
      </c>
      <c r="B126" s="76">
        <f>[1]EF!B75</f>
        <v>632.67479101099991</v>
      </c>
      <c r="C126" s="76">
        <f>[1]EF!C75</f>
        <v>632.67479101099991</v>
      </c>
      <c r="D126" s="76">
        <f>[1]EF!D75</f>
        <v>632.67479101099991</v>
      </c>
      <c r="E126" s="76">
        <f>[1]EF!E75</f>
        <v>632.67479101099991</v>
      </c>
      <c r="F126" s="76">
        <f>[1]EF!F75</f>
        <v>632.67479101099991</v>
      </c>
      <c r="G126" s="76">
        <f>[1]EF!G75</f>
        <v>632.67479101099991</v>
      </c>
      <c r="H126" s="76">
        <f>[1]EF!H75</f>
        <v>632.67479101099991</v>
      </c>
      <c r="I126" s="76">
        <f>[1]EF!I75</f>
        <v>632.67479101099991</v>
      </c>
      <c r="J126" s="76">
        <f>[1]EF!J75</f>
        <v>632.67479101099991</v>
      </c>
      <c r="K126" s="76">
        <f>[1]EF!K75</f>
        <v>632.67479101099991</v>
      </c>
      <c r="L126" s="76">
        <f>[1]EF!L75</f>
        <v>632.67479101099991</v>
      </c>
      <c r="M126" s="76">
        <f>[1]EF!M75</f>
        <v>632.67479101099991</v>
      </c>
      <c r="N126" s="76">
        <f>[1]EF!N75</f>
        <v>632.67479101099991</v>
      </c>
      <c r="O126" s="76">
        <f>[1]EF!O75</f>
        <v>632.67479101099991</v>
      </c>
      <c r="P126" s="76">
        <f>[1]EF!P75</f>
        <v>632.67479101099991</v>
      </c>
      <c r="Q126" s="76">
        <f>[1]EF!AN75</f>
        <v>632.67479101099991</v>
      </c>
    </row>
    <row r="127" spans="1:52">
      <c r="A127" s="487" t="str">
        <f>[1]EF!A76</f>
        <v>N2O</v>
      </c>
      <c r="B127" s="76">
        <f>[1]EF!B76</f>
        <v>1.96</v>
      </c>
      <c r="C127" s="76">
        <f>[1]EF!C76</f>
        <v>1.96</v>
      </c>
      <c r="D127" s="76">
        <f>[1]EF!D76</f>
        <v>1.96</v>
      </c>
      <c r="E127" s="76">
        <f>[1]EF!E76</f>
        <v>1.96</v>
      </c>
      <c r="F127" s="76">
        <f>[1]EF!F76</f>
        <v>1.96</v>
      </c>
      <c r="G127" s="76">
        <f>[1]EF!G76</f>
        <v>1.96</v>
      </c>
      <c r="H127" s="76">
        <f>[1]EF!H76</f>
        <v>1.96</v>
      </c>
      <c r="I127" s="76">
        <f>[1]EF!I76</f>
        <v>1.96</v>
      </c>
      <c r="J127" s="76">
        <f>[1]EF!J76</f>
        <v>1.96</v>
      </c>
      <c r="K127" s="76">
        <f>[1]EF!K76</f>
        <v>1.96</v>
      </c>
      <c r="L127" s="76">
        <f>[1]EF!L76</f>
        <v>1.96</v>
      </c>
      <c r="M127" s="76">
        <f>[1]EF!M76</f>
        <v>1.96</v>
      </c>
      <c r="N127" s="76">
        <f>[1]EF!N76</f>
        <v>1.96</v>
      </c>
      <c r="O127" s="76">
        <f>[1]EF!O76</f>
        <v>1.96</v>
      </c>
      <c r="P127" s="76">
        <f>[1]EF!P76</f>
        <v>1.96</v>
      </c>
      <c r="Q127" s="76">
        <f>[1]EF!AN76</f>
        <v>1.96</v>
      </c>
    </row>
    <row r="128" spans="1:52">
      <c r="A128" s="658" t="str">
        <f>[1]EF!A77</f>
        <v>CO2</v>
      </c>
      <c r="B128" s="1107">
        <f>[1]EF!B77</f>
        <v>54406.951446974148</v>
      </c>
      <c r="C128" s="1107">
        <f>[1]EF!C77</f>
        <v>54406.951446974148</v>
      </c>
      <c r="D128" s="1107">
        <f>[1]EF!D77</f>
        <v>54406.951446974148</v>
      </c>
      <c r="E128" s="1107">
        <f>[1]EF!E77</f>
        <v>54406.951446974148</v>
      </c>
      <c r="F128" s="1107">
        <f>[1]EF!F77</f>
        <v>54406.951446974148</v>
      </c>
      <c r="G128" s="1107">
        <f>[1]EF!G77</f>
        <v>54406.951446974148</v>
      </c>
      <c r="H128" s="1107">
        <f>[1]EF!H77</f>
        <v>54406.951446974148</v>
      </c>
      <c r="I128" s="1107">
        <f>[1]EF!I77</f>
        <v>54406.951446974148</v>
      </c>
      <c r="J128" s="1107">
        <f>[1]EF!J77</f>
        <v>54406.951446974148</v>
      </c>
      <c r="K128" s="1107">
        <f>[1]EF!K77</f>
        <v>54406.951446974148</v>
      </c>
      <c r="L128" s="1107">
        <f>[1]EF!L77</f>
        <v>54406.951446974148</v>
      </c>
      <c r="M128" s="1107">
        <f>[1]EF!M77</f>
        <v>54406.951446974148</v>
      </c>
      <c r="N128" s="1107">
        <f>[1]EF!N77</f>
        <v>54406.951446974148</v>
      </c>
      <c r="O128" s="1107">
        <f>[1]EF!O77</f>
        <v>54406.951446974148</v>
      </c>
      <c r="P128" s="1107">
        <f>[1]EF!P77</f>
        <v>54406.951446974148</v>
      </c>
      <c r="Q128" s="22">
        <f>[1]EF!AN77</f>
        <v>54406.951446974148</v>
      </c>
    </row>
    <row r="130" spans="1:17">
      <c r="A130" s="172" t="str">
        <f>[1]EF!A79</f>
        <v>3.2) Gasoline-powered Agricultural and Mining Equipment</v>
      </c>
    </row>
    <row r="131" spans="1:17" ht="51">
      <c r="A131" s="80"/>
      <c r="B131" s="1932" t="str">
        <f>[1]EF!B80</f>
        <v>Iron ore extraction and processing</v>
      </c>
      <c r="C131" s="1932" t="str">
        <f>[1]EF!C80</f>
        <v>Bauxite mining</v>
      </c>
      <c r="D131" s="1932" t="str">
        <f>[1]EF!D80</f>
        <v>Lead ore mining</v>
      </c>
      <c r="E131" s="1932" t="str">
        <f>[1]EF!E80</f>
        <v>Nickel ore mining</v>
      </c>
      <c r="F131" s="1932" t="str">
        <f>[1]EF!F80</f>
        <v>Cobalt ore mining</v>
      </c>
      <c r="G131" s="1932" t="str">
        <f>[1]EF!G80</f>
        <v>Copper ore mining</v>
      </c>
      <c r="H131" s="1932" t="str">
        <f>[1]EF!H80</f>
        <v>Zinc ore mining</v>
      </c>
      <c r="I131" s="1932" t="str">
        <f>[1]EF!I80</f>
        <v>Magnesium ore mining</v>
      </c>
      <c r="J131" s="1932" t="str">
        <f>[1]EF!J80</f>
        <v>Dolomite mining</v>
      </c>
      <c r="K131" s="1932" t="str">
        <f>[1]EF!K80</f>
        <v>South Africa mining</v>
      </c>
      <c r="L131" s="1932" t="str">
        <f>[1]EF!L80</f>
        <v>North America platinum mining</v>
      </c>
      <c r="M131" s="1932" t="str">
        <f>[1]EF!M80</f>
        <v>Vanadium ore mining</v>
      </c>
      <c r="N131" s="1932" t="str">
        <f>[1]EF!N80</f>
        <v>Zirconium ore mining</v>
      </c>
      <c r="O131" s="1932" t="str">
        <f>[1]EF!O80</f>
        <v>Primary mining and beneficiation</v>
      </c>
      <c r="P131" s="1932" t="str">
        <f>[1]EF!P80</f>
        <v>Manganese ore mining</v>
      </c>
      <c r="Q131" s="1932" t="str">
        <f>[1]EF!AN80</f>
        <v>Limestone mining</v>
      </c>
    </row>
    <row r="132" spans="1:17">
      <c r="A132" s="482" t="str">
        <f>[1]EF!A81</f>
        <v>VOC</v>
      </c>
      <c r="B132" s="77">
        <f>[1]EF!B81</f>
        <v>82.294356300000004</v>
      </c>
      <c r="C132" s="77">
        <f>[1]EF!C81</f>
        <v>82.294356300000004</v>
      </c>
      <c r="D132" s="77">
        <f>[1]EF!D81</f>
        <v>82.294356300000004</v>
      </c>
      <c r="E132" s="77">
        <f>[1]EF!E81</f>
        <v>82.294356300000004</v>
      </c>
      <c r="F132" s="77">
        <f>[1]EF!F81</f>
        <v>82.294356300000004</v>
      </c>
      <c r="G132" s="77">
        <f>[1]EF!G81</f>
        <v>82.294356300000004</v>
      </c>
      <c r="H132" s="77">
        <f>[1]EF!H81</f>
        <v>82.294356300000004</v>
      </c>
      <c r="I132" s="77">
        <f>[1]EF!I81</f>
        <v>82.294356300000004</v>
      </c>
      <c r="J132" s="77">
        <f>[1]EF!J81</f>
        <v>82.294356300000004</v>
      </c>
      <c r="K132" s="77">
        <f>[1]EF!K81</f>
        <v>82.294356300000004</v>
      </c>
      <c r="L132" s="77">
        <f>[1]EF!L81</f>
        <v>82.294356300000004</v>
      </c>
      <c r="M132" s="77">
        <f>[1]EF!M81</f>
        <v>82.294356300000004</v>
      </c>
      <c r="N132" s="77">
        <f>[1]EF!N81</f>
        <v>82.294356300000004</v>
      </c>
      <c r="O132" s="77">
        <f>[1]EF!O81</f>
        <v>82.294356300000004</v>
      </c>
      <c r="P132" s="77">
        <f>[1]EF!P81</f>
        <v>82.294356300000004</v>
      </c>
      <c r="Q132" s="77">
        <f>[1]EF!AN81</f>
        <v>82.294356300000004</v>
      </c>
    </row>
    <row r="133" spans="1:17">
      <c r="A133" s="487" t="str">
        <f>[1]EF!A82</f>
        <v>CO</v>
      </c>
      <c r="B133" s="76">
        <f>[1]EF!B82</f>
        <v>1329.370371</v>
      </c>
      <c r="C133" s="76">
        <f>[1]EF!C82</f>
        <v>1329.370371</v>
      </c>
      <c r="D133" s="76">
        <f>[1]EF!D82</f>
        <v>1329.370371</v>
      </c>
      <c r="E133" s="76">
        <f>[1]EF!E82</f>
        <v>1329.370371</v>
      </c>
      <c r="F133" s="76">
        <f>[1]EF!F82</f>
        <v>1329.370371</v>
      </c>
      <c r="G133" s="76">
        <f>[1]EF!G82</f>
        <v>1329.370371</v>
      </c>
      <c r="H133" s="76">
        <f>[1]EF!H82</f>
        <v>1329.370371</v>
      </c>
      <c r="I133" s="76">
        <f>[1]EF!I82</f>
        <v>1329.370371</v>
      </c>
      <c r="J133" s="76">
        <f>[1]EF!J82</f>
        <v>1329.370371</v>
      </c>
      <c r="K133" s="76">
        <f>[1]EF!K82</f>
        <v>1329.370371</v>
      </c>
      <c r="L133" s="76">
        <f>[1]EF!L82</f>
        <v>1329.370371</v>
      </c>
      <c r="M133" s="76">
        <f>[1]EF!M82</f>
        <v>1329.370371</v>
      </c>
      <c r="N133" s="76">
        <f>[1]EF!N82</f>
        <v>1329.370371</v>
      </c>
      <c r="O133" s="76">
        <f>[1]EF!O82</f>
        <v>1329.370371</v>
      </c>
      <c r="P133" s="76">
        <f>[1]EF!P82</f>
        <v>1329.370371</v>
      </c>
      <c r="Q133" s="76">
        <f>[1]EF!AN82</f>
        <v>1329.370371</v>
      </c>
    </row>
    <row r="134" spans="1:17">
      <c r="A134" s="487" t="str">
        <f>[1]EF!A83</f>
        <v>NOx</v>
      </c>
      <c r="B134" s="76">
        <f>[1]EF!B83</f>
        <v>151.25280665599999</v>
      </c>
      <c r="C134" s="76">
        <f>[1]EF!C83</f>
        <v>151.25280665599999</v>
      </c>
      <c r="D134" s="76">
        <f>[1]EF!D83</f>
        <v>151.25280665599999</v>
      </c>
      <c r="E134" s="76">
        <f>[1]EF!E83</f>
        <v>151.25280665599999</v>
      </c>
      <c r="F134" s="76">
        <f>[1]EF!F83</f>
        <v>151.25280665599999</v>
      </c>
      <c r="G134" s="76">
        <f>[1]EF!G83</f>
        <v>151.25280665599999</v>
      </c>
      <c r="H134" s="76">
        <f>[1]EF!H83</f>
        <v>151.25280665599999</v>
      </c>
      <c r="I134" s="76">
        <f>[1]EF!I83</f>
        <v>151.25280665599999</v>
      </c>
      <c r="J134" s="76">
        <f>[1]EF!J83</f>
        <v>151.25280665599999</v>
      </c>
      <c r="K134" s="76">
        <f>[1]EF!K83</f>
        <v>151.25280665599999</v>
      </c>
      <c r="L134" s="76">
        <f>[1]EF!L83</f>
        <v>151.25280665599999</v>
      </c>
      <c r="M134" s="76">
        <f>[1]EF!M83</f>
        <v>151.25280665599999</v>
      </c>
      <c r="N134" s="76">
        <f>[1]EF!N83</f>
        <v>151.25280665599999</v>
      </c>
      <c r="O134" s="76">
        <f>[1]EF!O83</f>
        <v>151.25280665599999</v>
      </c>
      <c r="P134" s="76">
        <f>[1]EF!P83</f>
        <v>151.25280665599999</v>
      </c>
      <c r="Q134" s="76">
        <f>[1]EF!AN83</f>
        <v>151.25280665599999</v>
      </c>
    </row>
    <row r="135" spans="1:17">
      <c r="A135" s="487" t="str">
        <f>[1]EF!A84</f>
        <v>PM10</v>
      </c>
      <c r="B135" s="76">
        <f>[1]EF!B84</f>
        <v>7.5964021199999996</v>
      </c>
      <c r="C135" s="76">
        <f>[1]EF!C84</f>
        <v>7.5964021199999996</v>
      </c>
      <c r="D135" s="76">
        <f>[1]EF!D84</f>
        <v>7.5964021199999996</v>
      </c>
      <c r="E135" s="76">
        <f>[1]EF!E84</f>
        <v>7.5964021199999996</v>
      </c>
      <c r="F135" s="76">
        <f>[1]EF!F84</f>
        <v>7.5964021199999996</v>
      </c>
      <c r="G135" s="76">
        <f>[1]EF!G84</f>
        <v>7.5964021199999996</v>
      </c>
      <c r="H135" s="76">
        <f>[1]EF!H84</f>
        <v>7.5964021199999996</v>
      </c>
      <c r="I135" s="76">
        <f>[1]EF!I84</f>
        <v>7.5964021199999996</v>
      </c>
      <c r="J135" s="76">
        <f>[1]EF!J84</f>
        <v>7.5964021199999996</v>
      </c>
      <c r="K135" s="76">
        <f>[1]EF!K84</f>
        <v>7.5964021199999996</v>
      </c>
      <c r="L135" s="76">
        <f>[1]EF!L84</f>
        <v>7.5964021199999996</v>
      </c>
      <c r="M135" s="76">
        <f>[1]EF!M84</f>
        <v>7.5964021199999996</v>
      </c>
      <c r="N135" s="76">
        <f>[1]EF!N84</f>
        <v>7.5964021199999996</v>
      </c>
      <c r="O135" s="76">
        <f>[1]EF!O84</f>
        <v>7.5964021199999996</v>
      </c>
      <c r="P135" s="76">
        <f>[1]EF!P84</f>
        <v>7.5964021199999996</v>
      </c>
      <c r="Q135" s="76">
        <f>[1]EF!AN84</f>
        <v>7.5964021199999996</v>
      </c>
    </row>
    <row r="136" spans="1:17">
      <c r="A136" s="487" t="str">
        <f>[1]EF!A85</f>
        <v>PM2.5</v>
      </c>
      <c r="B136" s="76">
        <f>[1]EF!B85</f>
        <v>6.995020285499999</v>
      </c>
      <c r="C136" s="76">
        <f>[1]EF!C85</f>
        <v>6.995020285499999</v>
      </c>
      <c r="D136" s="76">
        <f>[1]EF!D85</f>
        <v>6.995020285499999</v>
      </c>
      <c r="E136" s="76">
        <f>[1]EF!E85</f>
        <v>6.995020285499999</v>
      </c>
      <c r="F136" s="76">
        <f>[1]EF!F85</f>
        <v>6.995020285499999</v>
      </c>
      <c r="G136" s="76">
        <f>[1]EF!G85</f>
        <v>6.995020285499999</v>
      </c>
      <c r="H136" s="76">
        <f>[1]EF!H85</f>
        <v>6.995020285499999</v>
      </c>
      <c r="I136" s="76">
        <f>[1]EF!I85</f>
        <v>6.995020285499999</v>
      </c>
      <c r="J136" s="76">
        <f>[1]EF!J85</f>
        <v>6.995020285499999</v>
      </c>
      <c r="K136" s="76">
        <f>[1]EF!K85</f>
        <v>6.995020285499999</v>
      </c>
      <c r="L136" s="76">
        <f>[1]EF!L85</f>
        <v>6.995020285499999</v>
      </c>
      <c r="M136" s="76">
        <f>[1]EF!M85</f>
        <v>6.995020285499999</v>
      </c>
      <c r="N136" s="76">
        <f>[1]EF!N85</f>
        <v>6.995020285499999</v>
      </c>
      <c r="O136" s="76">
        <f>[1]EF!O85</f>
        <v>6.995020285499999</v>
      </c>
      <c r="P136" s="76">
        <f>[1]EF!P85</f>
        <v>6.995020285499999</v>
      </c>
      <c r="Q136" s="76">
        <f>[1]EF!AN85</f>
        <v>6.995020285499999</v>
      </c>
    </row>
    <row r="137" spans="1:17">
      <c r="A137" s="487" t="str">
        <f>[1]EF!A86</f>
        <v>SOx</v>
      </c>
      <c r="B137" s="76">
        <f>[1]EF!B86</f>
        <v>0.464224574</v>
      </c>
      <c r="C137" s="76">
        <f>[1]EF!C86</f>
        <v>0.464224574</v>
      </c>
      <c r="D137" s="76">
        <f>[1]EF!D86</f>
        <v>0.464224574</v>
      </c>
      <c r="E137" s="76">
        <f>[1]EF!E86</f>
        <v>0.464224574</v>
      </c>
      <c r="F137" s="76">
        <f>[1]EF!F86</f>
        <v>0.464224574</v>
      </c>
      <c r="G137" s="76">
        <f>[1]EF!G86</f>
        <v>0.464224574</v>
      </c>
      <c r="H137" s="76">
        <f>[1]EF!H86</f>
        <v>0.464224574</v>
      </c>
      <c r="I137" s="76">
        <f>[1]EF!I86</f>
        <v>0.464224574</v>
      </c>
      <c r="J137" s="76">
        <f>[1]EF!J86</f>
        <v>0.464224574</v>
      </c>
      <c r="K137" s="76">
        <f>[1]EF!K86</f>
        <v>0.464224574</v>
      </c>
      <c r="L137" s="76">
        <f>[1]EF!L86</f>
        <v>0.464224574</v>
      </c>
      <c r="M137" s="76">
        <f>[1]EF!M86</f>
        <v>0.464224574</v>
      </c>
      <c r="N137" s="76">
        <f>[1]EF!N86</f>
        <v>0.464224574</v>
      </c>
      <c r="O137" s="76">
        <f>[1]EF!O86</f>
        <v>0.464224574</v>
      </c>
      <c r="P137" s="76">
        <f>[1]EF!P86</f>
        <v>0.464224574</v>
      </c>
      <c r="Q137" s="76">
        <f>[1]EF!AN86</f>
        <v>0.464224574</v>
      </c>
    </row>
    <row r="138" spans="1:17">
      <c r="A138" s="818" t="str">
        <f>[1]EF!A87</f>
        <v>BC</v>
      </c>
      <c r="B138" s="76">
        <f>[1]EF!B87</f>
        <v>0.68203765508940795</v>
      </c>
      <c r="C138" s="76">
        <f>[1]EF!C87</f>
        <v>0.68203765508940795</v>
      </c>
      <c r="D138" s="76">
        <f>[1]EF!D87</f>
        <v>0.68203765508940795</v>
      </c>
      <c r="E138" s="76">
        <f>[1]EF!E87</f>
        <v>0.68203765508940795</v>
      </c>
      <c r="F138" s="76">
        <f>[1]EF!F87</f>
        <v>0.68203765508940795</v>
      </c>
      <c r="G138" s="76">
        <f>[1]EF!G87</f>
        <v>0.68203765508940795</v>
      </c>
      <c r="H138" s="76">
        <f>[1]EF!H87</f>
        <v>0.68203765508940795</v>
      </c>
      <c r="I138" s="76">
        <f>[1]EF!I87</f>
        <v>0.68203765508940795</v>
      </c>
      <c r="J138" s="76">
        <f>[1]EF!J87</f>
        <v>0.68203765508940795</v>
      </c>
      <c r="K138" s="76">
        <f>[1]EF!K87</f>
        <v>0.68203765508940795</v>
      </c>
      <c r="L138" s="76">
        <f>[1]EF!L87</f>
        <v>0.68203765508940795</v>
      </c>
      <c r="M138" s="76">
        <f>[1]EF!M87</f>
        <v>0.68203765508940795</v>
      </c>
      <c r="N138" s="76">
        <f>[1]EF!N87</f>
        <v>0.68203765508940795</v>
      </c>
      <c r="O138" s="76">
        <f>[1]EF!O87</f>
        <v>0.68203765508940795</v>
      </c>
      <c r="P138" s="76">
        <f>[1]EF!P87</f>
        <v>0.68203765508940795</v>
      </c>
      <c r="Q138" s="76">
        <f>[1]EF!AN87</f>
        <v>0.68203765508940795</v>
      </c>
    </row>
    <row r="139" spans="1:17">
      <c r="A139" s="818" t="str">
        <f>[1]EF!A88</f>
        <v>OC</v>
      </c>
      <c r="B139" s="76">
        <f>[1]EF!B88</f>
        <v>5.8549499950309301</v>
      </c>
      <c r="C139" s="76">
        <f>[1]EF!C88</f>
        <v>5.8549499950309301</v>
      </c>
      <c r="D139" s="76">
        <f>[1]EF!D88</f>
        <v>5.8549499950309301</v>
      </c>
      <c r="E139" s="76">
        <f>[1]EF!E88</f>
        <v>5.8549499950309301</v>
      </c>
      <c r="F139" s="76">
        <f>[1]EF!F88</f>
        <v>5.8549499950309301</v>
      </c>
      <c r="G139" s="76">
        <f>[1]EF!G88</f>
        <v>5.8549499950309301</v>
      </c>
      <c r="H139" s="76">
        <f>[1]EF!H88</f>
        <v>5.8549499950309301</v>
      </c>
      <c r="I139" s="76">
        <f>[1]EF!I88</f>
        <v>5.8549499950309301</v>
      </c>
      <c r="J139" s="76">
        <f>[1]EF!J88</f>
        <v>5.8549499950309301</v>
      </c>
      <c r="K139" s="76">
        <f>[1]EF!K88</f>
        <v>5.8549499950309301</v>
      </c>
      <c r="L139" s="76">
        <f>[1]EF!L88</f>
        <v>5.8549499950309301</v>
      </c>
      <c r="M139" s="76">
        <f>[1]EF!M88</f>
        <v>5.8549499950309301</v>
      </c>
      <c r="N139" s="76">
        <f>[1]EF!N88</f>
        <v>5.8549499950309301</v>
      </c>
      <c r="O139" s="76">
        <f>[1]EF!O88</f>
        <v>5.8549499950309301</v>
      </c>
      <c r="P139" s="76">
        <f>[1]EF!P88</f>
        <v>5.8549499950309301</v>
      </c>
      <c r="Q139" s="76">
        <f>[1]EF!AN88</f>
        <v>5.8549499950309301</v>
      </c>
    </row>
    <row r="140" spans="1:17">
      <c r="A140" s="487" t="str">
        <f>[1]EF!A89</f>
        <v>CH4</v>
      </c>
      <c r="B140" s="76">
        <f>[1]EF!B89</f>
        <v>6.140425046999999</v>
      </c>
      <c r="C140" s="76">
        <f>[1]EF!C89</f>
        <v>6.140425046999999</v>
      </c>
      <c r="D140" s="76">
        <f>[1]EF!D89</f>
        <v>6.140425046999999</v>
      </c>
      <c r="E140" s="76">
        <f>[1]EF!E89</f>
        <v>6.140425046999999</v>
      </c>
      <c r="F140" s="76">
        <f>[1]EF!F89</f>
        <v>6.140425046999999</v>
      </c>
      <c r="G140" s="76">
        <f>[1]EF!G89</f>
        <v>6.140425046999999</v>
      </c>
      <c r="H140" s="76">
        <f>[1]EF!H89</f>
        <v>6.140425046999999</v>
      </c>
      <c r="I140" s="76">
        <f>[1]EF!I89</f>
        <v>6.140425046999999</v>
      </c>
      <c r="J140" s="76">
        <f>[1]EF!J89</f>
        <v>6.140425046999999</v>
      </c>
      <c r="K140" s="76">
        <f>[1]EF!K89</f>
        <v>6.140425046999999</v>
      </c>
      <c r="L140" s="76">
        <f>[1]EF!L89</f>
        <v>6.140425046999999</v>
      </c>
      <c r="M140" s="76">
        <f>[1]EF!M89</f>
        <v>6.140425046999999</v>
      </c>
      <c r="N140" s="76">
        <f>[1]EF!N89</f>
        <v>6.140425046999999</v>
      </c>
      <c r="O140" s="76">
        <f>[1]EF!O89</f>
        <v>6.140425046999999</v>
      </c>
      <c r="P140" s="76">
        <f>[1]EF!P89</f>
        <v>6.140425046999999</v>
      </c>
      <c r="Q140" s="76">
        <f>[1]EF!AN89</f>
        <v>6.140425046999999</v>
      </c>
    </row>
    <row r="141" spans="1:17">
      <c r="A141" s="487" t="str">
        <f>[1]EF!A90</f>
        <v>N2O</v>
      </c>
      <c r="B141" s="76">
        <f>[1]EF!B90</f>
        <v>1.96</v>
      </c>
      <c r="C141" s="76">
        <f>[1]EF!C90</f>
        <v>1.96</v>
      </c>
      <c r="D141" s="76">
        <f>[1]EF!D90</f>
        <v>1.96</v>
      </c>
      <c r="E141" s="76">
        <f>[1]EF!E90</f>
        <v>1.96</v>
      </c>
      <c r="F141" s="76">
        <f>[1]EF!F90</f>
        <v>1.96</v>
      </c>
      <c r="G141" s="76">
        <f>[1]EF!G90</f>
        <v>1.96</v>
      </c>
      <c r="H141" s="76">
        <f>[1]EF!H90</f>
        <v>1.96</v>
      </c>
      <c r="I141" s="76">
        <f>[1]EF!I90</f>
        <v>1.96</v>
      </c>
      <c r="J141" s="76">
        <f>[1]EF!J90</f>
        <v>1.96</v>
      </c>
      <c r="K141" s="76">
        <f>[1]EF!K90</f>
        <v>1.96</v>
      </c>
      <c r="L141" s="76">
        <f>[1]EF!L90</f>
        <v>1.96</v>
      </c>
      <c r="M141" s="76">
        <f>[1]EF!M90</f>
        <v>1.96</v>
      </c>
      <c r="N141" s="76">
        <f>[1]EF!N90</f>
        <v>1.96</v>
      </c>
      <c r="O141" s="76">
        <f>[1]EF!O90</f>
        <v>1.96</v>
      </c>
      <c r="P141" s="76">
        <f>[1]EF!P90</f>
        <v>1.96</v>
      </c>
      <c r="Q141" s="76">
        <f>[1]EF!AN90</f>
        <v>1.96</v>
      </c>
    </row>
    <row r="142" spans="1:17">
      <c r="A142" s="658" t="str">
        <f>[1]EF!A91</f>
        <v>CO2</v>
      </c>
      <c r="B142" s="1107">
        <f>[1]EF!B91</f>
        <v>74476.758344615431</v>
      </c>
      <c r="C142" s="1107">
        <f>[1]EF!C91</f>
        <v>74476.758344615431</v>
      </c>
      <c r="D142" s="1107">
        <f>[1]EF!D91</f>
        <v>74476.758344615431</v>
      </c>
      <c r="E142" s="1107">
        <f>[1]EF!E91</f>
        <v>74476.758344615431</v>
      </c>
      <c r="F142" s="1107">
        <f>[1]EF!F91</f>
        <v>74476.758344615431</v>
      </c>
      <c r="G142" s="1107">
        <f>[1]EF!G91</f>
        <v>74476.758344615431</v>
      </c>
      <c r="H142" s="1107">
        <f>[1]EF!H91</f>
        <v>74476.758344615431</v>
      </c>
      <c r="I142" s="1107">
        <f>[1]EF!I91</f>
        <v>74476.758344615431</v>
      </c>
      <c r="J142" s="1107">
        <f>[1]EF!J91</f>
        <v>74476.758344615431</v>
      </c>
      <c r="K142" s="1107">
        <f>[1]EF!K91</f>
        <v>74476.758344615431</v>
      </c>
      <c r="L142" s="1107">
        <f>[1]EF!L91</f>
        <v>74476.758344615431</v>
      </c>
      <c r="M142" s="1107">
        <f>[1]EF!M91</f>
        <v>74476.758344615431</v>
      </c>
      <c r="N142" s="1107">
        <f>[1]EF!N91</f>
        <v>74476.758344615431</v>
      </c>
      <c r="O142" s="1107">
        <f>[1]EF!O91</f>
        <v>74476.758344615431</v>
      </c>
      <c r="P142" s="1107">
        <f>[1]EF!P91</f>
        <v>74476.758344615431</v>
      </c>
      <c r="Q142" s="22">
        <f>[1]EF!AN91</f>
        <v>74476.758344615431</v>
      </c>
    </row>
    <row r="144" spans="1:17">
      <c r="A144" s="172" t="str">
        <f>[1]EF!A93</f>
        <v>3.3) Diesel-powered Agricultural and Mining Equipment</v>
      </c>
    </row>
    <row r="145" spans="1:52" ht="51">
      <c r="A145" s="80"/>
      <c r="B145" s="1932" t="str">
        <f>[1]EF!B94</f>
        <v>Iron ore extraction and processing</v>
      </c>
      <c r="C145" s="1932" t="str">
        <f>[1]EF!C94</f>
        <v>Bauxite mining</v>
      </c>
      <c r="D145" s="1932" t="str">
        <f>[1]EF!D94</f>
        <v>Lead ore mining</v>
      </c>
      <c r="E145" s="1932" t="str">
        <f>[1]EF!E94</f>
        <v>Nickel ore mining</v>
      </c>
      <c r="F145" s="1932" t="str">
        <f>[1]EF!F94</f>
        <v>Cobalt ore mining</v>
      </c>
      <c r="G145" s="1932" t="str">
        <f>[1]EF!G94</f>
        <v>Copper ore mining</v>
      </c>
      <c r="H145" s="1932" t="str">
        <f>[1]EF!H94</f>
        <v>Zinc ore mining</v>
      </c>
      <c r="I145" s="1932" t="str">
        <f>[1]EF!I94</f>
        <v>Magnesium ore mining</v>
      </c>
      <c r="J145" s="1932" t="str">
        <f>[1]EF!J94</f>
        <v>Dolomite mining</v>
      </c>
      <c r="K145" s="1932" t="str">
        <f>[1]EF!K94</f>
        <v>South Africa mining</v>
      </c>
      <c r="L145" s="1932" t="str">
        <f>[1]EF!L94</f>
        <v>North America platinum mining</v>
      </c>
      <c r="M145" s="1932" t="str">
        <f>[1]EF!M94</f>
        <v>Vanadium ore mining</v>
      </c>
      <c r="N145" s="1932" t="str">
        <f>[1]EF!N94</f>
        <v>Zirconium ore mining</v>
      </c>
      <c r="O145" s="1932" t="str">
        <f>[1]EF!O94</f>
        <v>Primary mining and beneficiation</v>
      </c>
      <c r="P145" s="1932" t="str">
        <f>[1]EF!P94</f>
        <v>Manganese ore mining</v>
      </c>
      <c r="Q145" s="1932" t="str">
        <f>[1]EF!AN94</f>
        <v>Limestone mining</v>
      </c>
    </row>
    <row r="146" spans="1:52">
      <c r="A146" s="482" t="str">
        <f>[1]EF!A95</f>
        <v>VOC</v>
      </c>
      <c r="B146" s="77">
        <f>[1]EF!B95</f>
        <v>29.003485316499997</v>
      </c>
      <c r="C146" s="77">
        <f>[1]EF!C95</f>
        <v>28.338800130999999</v>
      </c>
      <c r="D146" s="77">
        <f>[1]EF!D95</f>
        <v>29.931934464499999</v>
      </c>
      <c r="E146" s="77">
        <f>[1]EF!E95</f>
        <v>29.161743693999998</v>
      </c>
      <c r="F146" s="77">
        <f>[1]EF!F95</f>
        <v>24.266284549999998</v>
      </c>
      <c r="G146" s="77">
        <f>[1]EF!G95</f>
        <v>39.037066449999998</v>
      </c>
      <c r="H146" s="77">
        <f>[1]EF!H95</f>
        <v>39.037066449999998</v>
      </c>
      <c r="I146" s="77">
        <f>[1]EF!I95</f>
        <v>39.037066449999998</v>
      </c>
      <c r="J146" s="77">
        <f>[1]EF!J95</f>
        <v>39.037066449999998</v>
      </c>
      <c r="K146" s="77">
        <f>[1]EF!K95</f>
        <v>39.037066449999998</v>
      </c>
      <c r="L146" s="77">
        <f>[1]EF!L95</f>
        <v>39.037066449999998</v>
      </c>
      <c r="M146" s="77">
        <f>[1]EF!M95</f>
        <v>39.037066449999998</v>
      </c>
      <c r="N146" s="77">
        <f>[1]EF!N95</f>
        <v>39.037066449999998</v>
      </c>
      <c r="O146" s="77">
        <f>[1]EF!O95</f>
        <v>39.037066449999998</v>
      </c>
      <c r="P146" s="77">
        <f>[1]EF!P95</f>
        <v>39.037066449999998</v>
      </c>
      <c r="Q146" s="77">
        <f>[1]EF!AN95</f>
        <v>29.014035874999998</v>
      </c>
    </row>
    <row r="147" spans="1:52">
      <c r="A147" s="487" t="str">
        <f>[1]EF!A96</f>
        <v>CO</v>
      </c>
      <c r="B147" s="76">
        <f>[1]EF!B96</f>
        <v>70.456629663000001</v>
      </c>
      <c r="C147" s="76">
        <f>[1]EF!C96</f>
        <v>74.149325137999995</v>
      </c>
      <c r="D147" s="76">
        <f>[1]EF!D96</f>
        <v>80.574615264499997</v>
      </c>
      <c r="E147" s="76">
        <f>[1]EF!E96</f>
        <v>72.672246947999994</v>
      </c>
      <c r="F147" s="76">
        <f>[1]EF!F96</f>
        <v>83.349412149999992</v>
      </c>
      <c r="G147" s="76">
        <f>[1]EF!G96</f>
        <v>198.35049979999999</v>
      </c>
      <c r="H147" s="76">
        <f>[1]EF!H96</f>
        <v>198.35049979999999</v>
      </c>
      <c r="I147" s="76">
        <f>[1]EF!I96</f>
        <v>198.35049979999999</v>
      </c>
      <c r="J147" s="76">
        <f>[1]EF!J96</f>
        <v>198.35049979999999</v>
      </c>
      <c r="K147" s="76">
        <f>[1]EF!K96</f>
        <v>198.35049979999999</v>
      </c>
      <c r="L147" s="76">
        <f>[1]EF!L96</f>
        <v>198.35049979999999</v>
      </c>
      <c r="M147" s="76">
        <f>[1]EF!M96</f>
        <v>198.35049979999999</v>
      </c>
      <c r="N147" s="76">
        <f>[1]EF!N96</f>
        <v>198.35049979999999</v>
      </c>
      <c r="O147" s="76">
        <f>[1]EF!O96</f>
        <v>198.35049979999999</v>
      </c>
      <c r="P147" s="76">
        <f>[1]EF!P96</f>
        <v>198.35049979999999</v>
      </c>
      <c r="Q147" s="76">
        <f>[1]EF!AN96</f>
        <v>70.889202561499999</v>
      </c>
    </row>
    <row r="148" spans="1:52">
      <c r="A148" s="487" t="str">
        <f>[1]EF!A97</f>
        <v>NOx</v>
      </c>
      <c r="B148" s="76">
        <f>[1]EF!B97</f>
        <v>361.13696599702996</v>
      </c>
      <c r="C148" s="76">
        <f>[1]EF!C97</f>
        <v>328.28790761286501</v>
      </c>
      <c r="D148" s="76">
        <f>[1]EF!D97</f>
        <v>378.318233997525</v>
      </c>
      <c r="E148" s="76">
        <f>[1]EF!E97</f>
        <v>366.05247120217996</v>
      </c>
      <c r="F148" s="76">
        <f>[1]EF!F97</f>
        <v>202.90834107199998</v>
      </c>
      <c r="G148" s="76">
        <f>[1]EF!G97</f>
        <v>432.14032560149997</v>
      </c>
      <c r="H148" s="76">
        <f>[1]EF!H97</f>
        <v>432.14032560149997</v>
      </c>
      <c r="I148" s="76">
        <f>[1]EF!I97</f>
        <v>432.14032560149997</v>
      </c>
      <c r="J148" s="76">
        <f>[1]EF!J97</f>
        <v>432.14032560149997</v>
      </c>
      <c r="K148" s="76">
        <f>[1]EF!K97</f>
        <v>432.14032560149997</v>
      </c>
      <c r="L148" s="76">
        <f>[1]EF!L97</f>
        <v>432.14032560149997</v>
      </c>
      <c r="M148" s="76">
        <f>[1]EF!M97</f>
        <v>432.14032560149997</v>
      </c>
      <c r="N148" s="76">
        <f>[1]EF!N97</f>
        <v>432.14032560149997</v>
      </c>
      <c r="O148" s="76">
        <f>[1]EF!O97</f>
        <v>432.14032560149997</v>
      </c>
      <c r="P148" s="76">
        <f>[1]EF!P97</f>
        <v>432.14032560149997</v>
      </c>
      <c r="Q148" s="76">
        <f>[1]EF!AN97</f>
        <v>361.29575190245498</v>
      </c>
    </row>
    <row r="149" spans="1:52">
      <c r="A149" s="487" t="str">
        <f>[1]EF!A98</f>
        <v>PM10</v>
      </c>
      <c r="B149" s="76">
        <f>[1]EF!B98</f>
        <v>8.3499230080700002</v>
      </c>
      <c r="C149" s="76">
        <f>[1]EF!C98</f>
        <v>9.306753158434999</v>
      </c>
      <c r="D149" s="76">
        <f>[1]EF!D98</f>
        <v>9.6998669681450007</v>
      </c>
      <c r="E149" s="76">
        <f>[1]EF!E98</f>
        <v>8.7012566061199994</v>
      </c>
      <c r="F149" s="76">
        <f>[1]EF!F98</f>
        <v>12.249198418500001</v>
      </c>
      <c r="G149" s="76">
        <f>[1]EF!G98</f>
        <v>30.586069091499997</v>
      </c>
      <c r="H149" s="76">
        <f>[1]EF!H98</f>
        <v>30.586069091499997</v>
      </c>
      <c r="I149" s="76">
        <f>[1]EF!I98</f>
        <v>30.586069091499997</v>
      </c>
      <c r="J149" s="76">
        <f>[1]EF!J98</f>
        <v>30.586069091499997</v>
      </c>
      <c r="K149" s="76">
        <f>[1]EF!K98</f>
        <v>30.586069091499997</v>
      </c>
      <c r="L149" s="76">
        <f>[1]EF!L98</f>
        <v>30.586069091499997</v>
      </c>
      <c r="M149" s="76">
        <f>[1]EF!M98</f>
        <v>30.586069091499997</v>
      </c>
      <c r="N149" s="76">
        <f>[1]EF!N98</f>
        <v>30.586069091499997</v>
      </c>
      <c r="O149" s="76">
        <f>[1]EF!O98</f>
        <v>30.586069091499997</v>
      </c>
      <c r="P149" s="76">
        <f>[1]EF!P98</f>
        <v>30.586069091499997</v>
      </c>
      <c r="Q149" s="76">
        <f>[1]EF!AN98</f>
        <v>8.4126988311449988</v>
      </c>
    </row>
    <row r="150" spans="1:52">
      <c r="A150" s="487" t="str">
        <f>[1]EF!A99</f>
        <v>PM2.5</v>
      </c>
      <c r="B150" s="76">
        <f>[1]EF!B99</f>
        <v>8.1001912883749991</v>
      </c>
      <c r="C150" s="76">
        <f>[1]EF!C99</f>
        <v>9.0284294252049992</v>
      </c>
      <c r="D150" s="76">
        <f>[1]EF!D99</f>
        <v>9.4095155982249992</v>
      </c>
      <c r="E150" s="76">
        <f>[1]EF!E99</f>
        <v>8.4404467999999984</v>
      </c>
      <c r="F150" s="76">
        <f>[1]EF!F99</f>
        <v>11.879928870999999</v>
      </c>
      <c r="G150" s="76">
        <f>[1]EF!G99</f>
        <v>29.668170501999999</v>
      </c>
      <c r="H150" s="76">
        <f>[1]EF!H99</f>
        <v>29.668170501999999</v>
      </c>
      <c r="I150" s="76">
        <f>[1]EF!I99</f>
        <v>29.668170501999999</v>
      </c>
      <c r="J150" s="76">
        <f>[1]EF!J99</f>
        <v>29.668170501999999</v>
      </c>
      <c r="K150" s="76">
        <f>[1]EF!K99</f>
        <v>29.668170501999999</v>
      </c>
      <c r="L150" s="76">
        <f>[1]EF!L99</f>
        <v>29.668170501999999</v>
      </c>
      <c r="M150" s="76">
        <f>[1]EF!M99</f>
        <v>29.668170501999999</v>
      </c>
      <c r="N150" s="76">
        <f>[1]EF!N99</f>
        <v>29.668170501999999</v>
      </c>
      <c r="O150" s="76">
        <f>[1]EF!O99</f>
        <v>29.668170501999999</v>
      </c>
      <c r="P150" s="76">
        <f>[1]EF!P99</f>
        <v>29.668170501999999</v>
      </c>
      <c r="Q150" s="76">
        <f>[1]EF!AN99</f>
        <v>8.1610680109199976</v>
      </c>
    </row>
    <row r="151" spans="1:52">
      <c r="A151" s="487" t="str">
        <f>[1]EF!A100</f>
        <v>SOx</v>
      </c>
      <c r="B151" s="76">
        <f>[1]EF!B100</f>
        <v>0.383301790305</v>
      </c>
      <c r="C151" s="76">
        <f>[1]EF!C100</f>
        <v>0.39163673151999995</v>
      </c>
      <c r="D151" s="76">
        <f>[1]EF!D100</f>
        <v>0.39037066450000002</v>
      </c>
      <c r="E151" s="76">
        <f>[1]EF!E100</f>
        <v>0.38488437407999998</v>
      </c>
      <c r="F151" s="76">
        <f>[1]EF!F100</f>
        <v>0.42202234</v>
      </c>
      <c r="G151" s="76">
        <f>[1]EF!G100</f>
        <v>0.45367401549999997</v>
      </c>
      <c r="H151" s="76">
        <f>[1]EF!H100</f>
        <v>0.45367401549999997</v>
      </c>
      <c r="I151" s="76">
        <f>[1]EF!I100</f>
        <v>0.45367401549999997</v>
      </c>
      <c r="J151" s="76">
        <f>[1]EF!J100</f>
        <v>0.45367401549999997</v>
      </c>
      <c r="K151" s="76">
        <f>[1]EF!K100</f>
        <v>0.45367401549999997</v>
      </c>
      <c r="L151" s="76">
        <f>[1]EF!L100</f>
        <v>0.45367401549999997</v>
      </c>
      <c r="M151" s="76">
        <f>[1]EF!M100</f>
        <v>0.45367401549999997</v>
      </c>
      <c r="N151" s="76">
        <f>[1]EF!N100</f>
        <v>0.45367401549999997</v>
      </c>
      <c r="O151" s="76">
        <f>[1]EF!O100</f>
        <v>0.45367401549999997</v>
      </c>
      <c r="P151" s="76">
        <f>[1]EF!P100</f>
        <v>0.45367401549999997</v>
      </c>
      <c r="Q151" s="76">
        <f>[1]EF!AN100</f>
        <v>0.383723812645</v>
      </c>
    </row>
    <row r="152" spans="1:52">
      <c r="A152" s="818" t="str">
        <f>[1]EF!A101</f>
        <v>BC</v>
      </c>
      <c r="B152" s="76">
        <f>[1]EF!B101</f>
        <v>6.2474876652239733</v>
      </c>
      <c r="C152" s="76">
        <f>[1]EF!C101</f>
        <v>6.9634159814550447</v>
      </c>
      <c r="D152" s="76">
        <f>[1]EF!D101</f>
        <v>7.2573388137154033</v>
      </c>
      <c r="E152" s="76">
        <f>[1]EF!E101</f>
        <v>6.5099187654564341</v>
      </c>
      <c r="F152" s="76">
        <f>[1]EF!F101</f>
        <v>9.1627106623799328</v>
      </c>
      <c r="G152" s="76">
        <f>[1]EF!G101</f>
        <v>22.882364460579371</v>
      </c>
      <c r="H152" s="76">
        <f>[1]EF!H101</f>
        <v>22.882364460579371</v>
      </c>
      <c r="I152" s="76">
        <f>[1]EF!I101</f>
        <v>22.882364460579371</v>
      </c>
      <c r="J152" s="76">
        <f>[1]EF!J101</f>
        <v>22.882364460579371</v>
      </c>
      <c r="K152" s="76">
        <f>[1]EF!K101</f>
        <v>22.882364460579371</v>
      </c>
      <c r="L152" s="76">
        <f>[1]EF!L101</f>
        <v>22.882364460579371</v>
      </c>
      <c r="M152" s="76">
        <f>[1]EF!M101</f>
        <v>22.882364460579371</v>
      </c>
      <c r="N152" s="76">
        <f>[1]EF!N101</f>
        <v>22.882364460579371</v>
      </c>
      <c r="O152" s="76">
        <f>[1]EF!O101</f>
        <v>22.882364460579371</v>
      </c>
      <c r="P152" s="76">
        <f>[1]EF!P101</f>
        <v>22.882364460579371</v>
      </c>
      <c r="Q152" s="76">
        <f>[1]EF!AN101</f>
        <v>6.2944404543198269</v>
      </c>
    </row>
    <row r="153" spans="1:52">
      <c r="A153" s="818" t="str">
        <f>[1]EF!A102</f>
        <v>OC</v>
      </c>
      <c r="B153" s="76">
        <f>[1]EF!B102</f>
        <v>1.7070229464547608</v>
      </c>
      <c r="C153" s="76">
        <f>[1]EF!C102</f>
        <v>1.9026385489674147</v>
      </c>
      <c r="D153" s="76">
        <f>[1]EF!D102</f>
        <v>1.9829481143545147</v>
      </c>
      <c r="E153" s="76">
        <f>[1]EF!E102</f>
        <v>1.7787279155503857</v>
      </c>
      <c r="F153" s="76">
        <f>[1]EF!F102</f>
        <v>2.5035595411371681</v>
      </c>
      <c r="G153" s="76">
        <f>[1]EF!G102</f>
        <v>6.2522286231596071</v>
      </c>
      <c r="H153" s="76">
        <f>[1]EF!H102</f>
        <v>6.2522286231596071</v>
      </c>
      <c r="I153" s="76">
        <f>[1]EF!I102</f>
        <v>6.2522286231596071</v>
      </c>
      <c r="J153" s="76">
        <f>[1]EF!J102</f>
        <v>6.2522286231596071</v>
      </c>
      <c r="K153" s="76">
        <f>[1]EF!K102</f>
        <v>6.2522286231596071</v>
      </c>
      <c r="L153" s="76">
        <f>[1]EF!L102</f>
        <v>6.2522286231596071</v>
      </c>
      <c r="M153" s="76">
        <f>[1]EF!M102</f>
        <v>6.2522286231596071</v>
      </c>
      <c r="N153" s="76">
        <f>[1]EF!N102</f>
        <v>6.2522286231596071</v>
      </c>
      <c r="O153" s="76">
        <f>[1]EF!O102</f>
        <v>6.2522286231596071</v>
      </c>
      <c r="P153" s="76">
        <f>[1]EF!P102</f>
        <v>6.2522286231596071</v>
      </c>
      <c r="Q153" s="76">
        <f>[1]EF!AN102</f>
        <v>1.7198520215456676</v>
      </c>
    </row>
    <row r="154" spans="1:52">
      <c r="A154" s="487" t="str">
        <f>[1]EF!A103</f>
        <v>CH4</v>
      </c>
      <c r="B154" s="76">
        <f>[1]EF!B103</f>
        <v>2.3951877906699997</v>
      </c>
      <c r="C154" s="76">
        <f>[1]EF!C103</f>
        <v>2.3007602920949997</v>
      </c>
      <c r="D154" s="76">
        <f>[1]EF!D103</f>
        <v>2.4081649776249998</v>
      </c>
      <c r="E154" s="76">
        <f>[1]EF!E103</f>
        <v>2.3856922880199996</v>
      </c>
      <c r="F154" s="76">
        <f>[1]EF!F103</f>
        <v>1.9835049979999999</v>
      </c>
      <c r="G154" s="76">
        <f>[1]EF!G103</f>
        <v>1.772493828</v>
      </c>
      <c r="H154" s="76">
        <f>[1]EF!H103</f>
        <v>1.772493828</v>
      </c>
      <c r="I154" s="76">
        <f>[1]EF!I103</f>
        <v>1.772493828</v>
      </c>
      <c r="J154" s="76">
        <f>[1]EF!J103</f>
        <v>1.772493828</v>
      </c>
      <c r="K154" s="76">
        <f>[1]EF!K103</f>
        <v>1.772493828</v>
      </c>
      <c r="L154" s="76">
        <f>[1]EF!L103</f>
        <v>1.772493828</v>
      </c>
      <c r="M154" s="76">
        <f>[1]EF!M103</f>
        <v>1.772493828</v>
      </c>
      <c r="N154" s="76">
        <f>[1]EF!N103</f>
        <v>1.772493828</v>
      </c>
      <c r="O154" s="76">
        <f>[1]EF!O103</f>
        <v>1.772493828</v>
      </c>
      <c r="P154" s="76">
        <f>[1]EF!P103</f>
        <v>1.772493828</v>
      </c>
      <c r="Q154" s="76">
        <f>[1]EF!AN103</f>
        <v>2.3874858829649996</v>
      </c>
    </row>
    <row r="155" spans="1:52">
      <c r="A155" s="487" t="str">
        <f>[1]EF!A104</f>
        <v>N2O</v>
      </c>
      <c r="B155" s="76">
        <f>[1]EF!B104</f>
        <v>2.02</v>
      </c>
      <c r="C155" s="76">
        <f>[1]EF!C104</f>
        <v>2.02</v>
      </c>
      <c r="D155" s="76">
        <f>[1]EF!D104</f>
        <v>2.02</v>
      </c>
      <c r="E155" s="76">
        <f>[1]EF!E104</f>
        <v>2.02</v>
      </c>
      <c r="F155" s="76">
        <f>[1]EF!F104</f>
        <v>2.02</v>
      </c>
      <c r="G155" s="76">
        <f>[1]EF!G104</f>
        <v>2.02</v>
      </c>
      <c r="H155" s="76">
        <f>[1]EF!H104</f>
        <v>2.02</v>
      </c>
      <c r="I155" s="76">
        <f>[1]EF!I104</f>
        <v>2.02</v>
      </c>
      <c r="J155" s="76">
        <f>[1]EF!J104</f>
        <v>2.02</v>
      </c>
      <c r="K155" s="76">
        <f>[1]EF!K104</f>
        <v>2.02</v>
      </c>
      <c r="L155" s="76">
        <f>[1]EF!L104</f>
        <v>2.02</v>
      </c>
      <c r="M155" s="76">
        <f>[1]EF!M104</f>
        <v>2.02</v>
      </c>
      <c r="N155" s="76">
        <f>[1]EF!N104</f>
        <v>2.02</v>
      </c>
      <c r="O155" s="76">
        <f>[1]EF!O104</f>
        <v>2.02</v>
      </c>
      <c r="P155" s="76">
        <f>[1]EF!P104</f>
        <v>2.02</v>
      </c>
      <c r="Q155" s="76">
        <f>[1]EF!AN104</f>
        <v>2.02</v>
      </c>
    </row>
    <row r="156" spans="1:52">
      <c r="A156" s="658" t="str">
        <f>[1]EF!A105</f>
        <v>CO2</v>
      </c>
      <c r="B156" s="1107">
        <f>[1]EF!B105</f>
        <v>77991.354285908121</v>
      </c>
      <c r="C156" s="1107">
        <f>[1]EF!C105</f>
        <v>77987.882756515683</v>
      </c>
      <c r="D156" s="1107">
        <f>[1]EF!D105</f>
        <v>77972.525240473231</v>
      </c>
      <c r="E156" s="1107">
        <f>[1]EF!E105</f>
        <v>77987.405475625535</v>
      </c>
      <c r="F156" s="1107">
        <f>[1]EF!F105</f>
        <v>77986.990602544945</v>
      </c>
      <c r="G156" s="1107">
        <f>[1]EF!G105</f>
        <v>77760.819284795536</v>
      </c>
      <c r="H156" s="1107">
        <f>[1]EF!H105</f>
        <v>77760.819284795536</v>
      </c>
      <c r="I156" s="1107">
        <f>[1]EF!I105</f>
        <v>77760.819284795536</v>
      </c>
      <c r="J156" s="1107">
        <f>[1]EF!J105</f>
        <v>77760.819284795536</v>
      </c>
      <c r="K156" s="1107">
        <f>[1]EF!K105</f>
        <v>77760.819284795536</v>
      </c>
      <c r="L156" s="1107">
        <f>[1]EF!L105</f>
        <v>77760.819284795536</v>
      </c>
      <c r="M156" s="1107">
        <f>[1]EF!M105</f>
        <v>77760.819284795536</v>
      </c>
      <c r="N156" s="1107">
        <f>[1]EF!N105</f>
        <v>77760.819284795536</v>
      </c>
      <c r="O156" s="1107">
        <f>[1]EF!O105</f>
        <v>77760.819284795536</v>
      </c>
      <c r="P156" s="1107">
        <f>[1]EF!P105</f>
        <v>77760.819284795536</v>
      </c>
      <c r="Q156" s="22">
        <f>[1]EF!AN105</f>
        <v>77990.662826168395</v>
      </c>
    </row>
    <row r="157" spans="1:52">
      <c r="A157" s="172"/>
      <c r="B157" s="54"/>
      <c r="C157" s="54"/>
      <c r="D157" s="54"/>
      <c r="E157" s="54"/>
      <c r="F157" s="54"/>
      <c r="G157" s="54"/>
      <c r="H157" s="54"/>
      <c r="I157" s="54"/>
      <c r="J157" s="54"/>
      <c r="K157" s="54"/>
      <c r="L157" s="54"/>
      <c r="M157" s="54"/>
      <c r="N157" s="54"/>
      <c r="O157" s="54"/>
      <c r="P157" s="54"/>
    </row>
    <row r="158" spans="1:52">
      <c r="A158" s="172" t="str">
        <f>[1]EF!A107</f>
        <v>4) Mass fractions of black carbon and organic carbon emissions of corresponding PM2.5 emission factors</v>
      </c>
      <c r="G158" s="38"/>
      <c r="H158" s="38"/>
      <c r="I158" s="38"/>
      <c r="J158" s="38"/>
      <c r="K158" s="38"/>
      <c r="L158" s="38"/>
      <c r="M158" s="38"/>
      <c r="N158" s="38"/>
      <c r="O158" s="38"/>
      <c r="P158" s="38"/>
      <c r="Q158" s="631"/>
      <c r="R158" s="631"/>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46"/>
      <c r="AX158" s="38"/>
      <c r="AY158" s="38"/>
      <c r="AZ158" s="38"/>
    </row>
    <row r="159" spans="1:52">
      <c r="A159" s="172" t="str">
        <f>[1]EF!A108</f>
        <v>4.1) Stationary, mobile, and open burning emission sources, %</v>
      </c>
      <c r="G159" s="38"/>
      <c r="H159" s="38"/>
      <c r="I159" s="38"/>
      <c r="J159" s="38"/>
      <c r="K159" s="38"/>
      <c r="L159" s="38"/>
      <c r="M159" s="38"/>
      <c r="N159" s="38"/>
      <c r="O159" s="38"/>
      <c r="P159" s="38"/>
      <c r="Q159" s="631"/>
      <c r="R159" s="631"/>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46"/>
      <c r="AX159" s="38"/>
      <c r="AY159" s="38"/>
      <c r="AZ159" s="38"/>
    </row>
    <row r="160" spans="1:52">
      <c r="A160" s="131"/>
      <c r="B160" s="178" t="str">
        <f>[1]EF!B109</f>
        <v>Natural gas</v>
      </c>
      <c r="C160" s="2491"/>
      <c r="D160" s="2491"/>
      <c r="E160" s="2491"/>
      <c r="F160" s="2492"/>
      <c r="G160" s="38"/>
      <c r="H160" s="38"/>
      <c r="I160" s="38"/>
      <c r="J160" s="38"/>
      <c r="K160" s="38"/>
      <c r="L160" s="38"/>
      <c r="M160" s="38"/>
      <c r="N160" s="38"/>
      <c r="O160" s="38"/>
      <c r="P160" s="38"/>
      <c r="Q160" s="631"/>
      <c r="R160" s="631"/>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46"/>
      <c r="AX160" s="38"/>
      <c r="AY160" s="38"/>
      <c r="AZ160" s="38"/>
    </row>
    <row r="161" spans="1:52">
      <c r="B161" s="177" t="str">
        <f>[1]EF!B110</f>
        <v>Boiler</v>
      </c>
      <c r="C161" s="172" t="str">
        <f>[1]EF!C110</f>
        <v>Engine</v>
      </c>
      <c r="D161" s="172" t="str">
        <f>[1]EF!D110</f>
        <v>Combined cycle</v>
      </c>
      <c r="E161" s="172" t="str">
        <f>[1]EF!E110</f>
        <v>Simple cycle</v>
      </c>
      <c r="F161" s="2479" t="str">
        <f>[1]EF!G110</f>
        <v>Flared</v>
      </c>
      <c r="G161" s="38"/>
      <c r="H161" s="38"/>
      <c r="I161" s="38"/>
      <c r="J161" s="38"/>
      <c r="K161" s="38"/>
      <c r="L161" s="38"/>
      <c r="M161" s="38"/>
      <c r="N161" s="38"/>
      <c r="O161" s="38"/>
      <c r="P161" s="38"/>
      <c r="Q161" s="631"/>
      <c r="R161" s="631"/>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46"/>
      <c r="AX161" s="38"/>
      <c r="AY161" s="38"/>
      <c r="AZ161" s="38"/>
    </row>
    <row r="162" spans="1:52">
      <c r="A162" s="2493" t="str">
        <f>[1]EF!A111</f>
        <v>BC</v>
      </c>
      <c r="B162" s="2494">
        <f>[1]EF!B111</f>
        <v>16.5</v>
      </c>
      <c r="C162" s="2495">
        <f>[1]EF!C111</f>
        <v>20</v>
      </c>
      <c r="D162" s="2495">
        <f>[1]EF!D111</f>
        <v>2.9</v>
      </c>
      <c r="E162" s="2495">
        <f>[1]EF!E111</f>
        <v>2.9</v>
      </c>
      <c r="F162" s="2496">
        <f>[1]EF!G111</f>
        <v>95</v>
      </c>
      <c r="G162" s="38"/>
      <c r="H162" s="38"/>
      <c r="I162" s="38"/>
      <c r="J162" s="38"/>
      <c r="K162" s="38"/>
      <c r="L162" s="38"/>
      <c r="M162" s="38"/>
      <c r="N162" s="38"/>
      <c r="O162" s="38"/>
      <c r="P162" s="38"/>
      <c r="Q162" s="631"/>
      <c r="R162" s="631"/>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46"/>
      <c r="AX162" s="38"/>
      <c r="AY162" s="38"/>
      <c r="AZ162" s="38"/>
    </row>
    <row r="163" spans="1:52">
      <c r="A163" s="2497" t="str">
        <f>[1]EF!A112</f>
        <v>OC</v>
      </c>
      <c r="B163" s="2498">
        <f>[1]EF!B112</f>
        <v>42.8</v>
      </c>
      <c r="C163" s="2499">
        <f>[1]EF!C112</f>
        <v>42.8</v>
      </c>
      <c r="D163" s="2499">
        <f>[1]EF!D112</f>
        <v>68</v>
      </c>
      <c r="E163" s="2499">
        <f>[1]EF!E112</f>
        <v>68</v>
      </c>
      <c r="F163" s="2500">
        <f>[1]EF!G112</f>
        <v>5</v>
      </c>
    </row>
    <row r="165" spans="1:52" ht="15.75">
      <c r="A165" s="81" t="s">
        <v>2049</v>
      </c>
    </row>
    <row r="166" spans="1:52">
      <c r="A166" s="1321" t="s">
        <v>2050</v>
      </c>
      <c r="B166" s="2501">
        <f>[1]Urban_Shares!$C$11</f>
        <v>0.7</v>
      </c>
    </row>
    <row r="168" spans="1:52" ht="15.75">
      <c r="A168" s="81" t="s">
        <v>2051</v>
      </c>
    </row>
    <row r="169" spans="1:52">
      <c r="A169" s="172" t="s">
        <v>2052</v>
      </c>
    </row>
    <row r="170" spans="1:52" ht="15.75">
      <c r="A170" s="81"/>
      <c r="B170" s="2502" t="s">
        <v>2053</v>
      </c>
    </row>
    <row r="171" spans="1:52">
      <c r="A171" s="172"/>
      <c r="B171" s="1835" t="s">
        <v>2018</v>
      </c>
      <c r="C171" s="1834" t="s">
        <v>2017</v>
      </c>
      <c r="D171" s="1834" t="s">
        <v>442</v>
      </c>
      <c r="E171" s="1834" t="s">
        <v>444</v>
      </c>
      <c r="F171" s="1834" t="s">
        <v>443</v>
      </c>
      <c r="G171" s="2492" t="s">
        <v>294</v>
      </c>
    </row>
    <row r="172" spans="1:52">
      <c r="A172" s="172"/>
      <c r="B172" s="1350">
        <f>[1]Fuel_Prod_TS!L359</f>
        <v>0</v>
      </c>
      <c r="C172" s="13">
        <f>[1]Fuel_Prod_TS!M359</f>
        <v>0</v>
      </c>
      <c r="D172" s="13">
        <f>[1]Fuel_Prod_TS!N359</f>
        <v>0</v>
      </c>
      <c r="E172" s="13">
        <f>[1]Fuel_Prod_TS!O359</f>
        <v>2025</v>
      </c>
      <c r="F172" s="13">
        <f>[1]Fuel_Prod_TS!P359</f>
        <v>0</v>
      </c>
      <c r="G172" s="1425">
        <f>[1]Fuel_Prod_TS!Q359</f>
        <v>0</v>
      </c>
    </row>
    <row r="173" spans="1:52">
      <c r="A173" s="172"/>
    </row>
    <row r="174" spans="1:52" ht="15.75">
      <c r="A174" s="81" t="s">
        <v>440</v>
      </c>
    </row>
    <row r="175" spans="1:52" ht="15">
      <c r="A175" s="120" t="s">
        <v>2054</v>
      </c>
    </row>
    <row r="176" spans="1:52" ht="15">
      <c r="A176" s="120" t="s">
        <v>2055</v>
      </c>
    </row>
    <row r="177" spans="1:16">
      <c r="A177" s="58"/>
      <c r="B177" s="1829" t="s">
        <v>2056</v>
      </c>
      <c r="C177" s="1736" t="s">
        <v>2057</v>
      </c>
      <c r="D177" s="1737"/>
      <c r="E177" s="1737"/>
      <c r="F177" s="1737"/>
      <c r="G177" s="1737"/>
      <c r="H177" s="1737"/>
      <c r="I177" s="1738"/>
      <c r="J177" s="1829" t="s">
        <v>2056</v>
      </c>
      <c r="K177" s="1736" t="s">
        <v>2058</v>
      </c>
      <c r="L177" s="1737"/>
      <c r="M177" s="1738"/>
    </row>
    <row r="178" spans="1:16" ht="51">
      <c r="A178" s="490"/>
      <c r="B178" s="1225" t="s">
        <v>2059</v>
      </c>
      <c r="C178" s="1225" t="s">
        <v>2060</v>
      </c>
      <c r="D178" s="1658" t="s">
        <v>2020</v>
      </c>
      <c r="E178" s="1658" t="s">
        <v>2022</v>
      </c>
      <c r="F178" s="1658" t="s">
        <v>2061</v>
      </c>
      <c r="G178" s="1658" t="s">
        <v>2062</v>
      </c>
      <c r="H178" s="1658" t="s">
        <v>2063</v>
      </c>
      <c r="I178" s="1226" t="s">
        <v>2000</v>
      </c>
      <c r="J178" s="1225" t="s">
        <v>2064</v>
      </c>
      <c r="K178" s="1225" t="s">
        <v>2065</v>
      </c>
      <c r="L178" s="1658" t="s">
        <v>2066</v>
      </c>
      <c r="M178" s="1226" t="s">
        <v>2067</v>
      </c>
      <c r="N178" s="8"/>
      <c r="O178" s="8"/>
      <c r="P178" s="8"/>
    </row>
    <row r="179" spans="1:16">
      <c r="A179" s="570" t="s">
        <v>2068</v>
      </c>
      <c r="B179" s="578"/>
      <c r="C179" s="578">
        <f>[1]Petroleum!D262</f>
        <v>0.86340162433430534</v>
      </c>
      <c r="D179" s="1553">
        <f>[1]Petroleum!F262</f>
        <v>0.80583557500656444</v>
      </c>
      <c r="E179" s="1553">
        <f>[1]Petroleum!H262</f>
        <v>0.88035087318703953</v>
      </c>
      <c r="F179" s="1553">
        <f>[1]Petroleum!I262</f>
        <v>0.99919999999999998</v>
      </c>
      <c r="G179" s="1553">
        <f>[1]Petroleum!J262</f>
        <v>1.0008441227818503</v>
      </c>
      <c r="H179" s="1553">
        <f>[1]Petroleum!K262</f>
        <v>1.0008439382074072</v>
      </c>
      <c r="I179" s="478">
        <f>[1]Petroleum!O262</f>
        <v>1.0257000000000001</v>
      </c>
      <c r="J179" s="578"/>
      <c r="K179" s="578">
        <f>[1]Petroleum!U262</f>
        <v>0.86340162433430534</v>
      </c>
      <c r="L179" s="1553">
        <f>[1]Petroleum!W262</f>
        <v>0.99919999999999998</v>
      </c>
      <c r="M179" s="478">
        <f>[1]Petroleum!X262</f>
        <v>1.0008441227818503</v>
      </c>
      <c r="N179" s="8"/>
      <c r="O179" s="8"/>
      <c r="P179" s="8"/>
    </row>
    <row r="180" spans="1:16">
      <c r="A180" s="490" t="s">
        <v>876</v>
      </c>
      <c r="B180" s="650">
        <f>[1]Petroleum!B263</f>
        <v>64246.537428366886</v>
      </c>
      <c r="C180" s="650">
        <f>[1]Petroleum!D263</f>
        <v>173501.05935335869</v>
      </c>
      <c r="D180" s="522">
        <f>[1]Petroleum!F263</f>
        <v>221338.76703811908</v>
      </c>
      <c r="E180" s="522">
        <f>[1]Petroleum!H263</f>
        <v>142039.73077429229</v>
      </c>
      <c r="F180" s="522">
        <f>[1]Petroleum!I263</f>
        <v>66847.977165531804</v>
      </c>
      <c r="G180" s="522">
        <f>[1]Petroleum!J263</f>
        <v>118338.76261401227</v>
      </c>
      <c r="H180" s="522">
        <f>[1]Petroleum!K263</f>
        <v>118355.83736564037</v>
      </c>
      <c r="I180" s="159">
        <f>[1]Petroleum!O263</f>
        <v>86957.744170981241</v>
      </c>
      <c r="J180" s="650">
        <f>[1]Petroleum!T263</f>
        <v>43738.167463884907</v>
      </c>
      <c r="K180" s="650">
        <f>[1]Petroleum!U263</f>
        <v>175298.91445579089</v>
      </c>
      <c r="L180" s="522">
        <f>[1]Petroleum!W263</f>
        <v>68967.069069737452</v>
      </c>
      <c r="M180" s="159">
        <f>[1]Petroleum!X263</f>
        <v>120647.38636902017</v>
      </c>
      <c r="N180" s="8"/>
      <c r="O180" s="8"/>
      <c r="P180" s="8"/>
    </row>
    <row r="181" spans="1:16">
      <c r="A181" s="490" t="s">
        <v>877</v>
      </c>
      <c r="B181" s="650">
        <f>[1]Petroleum!B264</f>
        <v>60353.576899843283</v>
      </c>
      <c r="C181" s="650">
        <f>[1]Petroleum!D264</f>
        <v>170438.58375633782</v>
      </c>
      <c r="D181" s="522">
        <f>[1]Petroleum!F264</f>
        <v>196466.9847864722</v>
      </c>
      <c r="E181" s="522">
        <f>[1]Petroleum!H264</f>
        <v>138905.31326051778</v>
      </c>
      <c r="F181" s="522">
        <f>[1]Petroleum!I264</f>
        <v>65909.008840421724</v>
      </c>
      <c r="G181" s="522">
        <f>[1]Petroleum!J264</f>
        <v>116541.61149427183</v>
      </c>
      <c r="H181" s="522">
        <f>[1]Petroleum!K264</f>
        <v>116557.6336103911</v>
      </c>
      <c r="I181" s="159">
        <f>[1]Petroleum!O264</f>
        <v>85910.034354084288</v>
      </c>
      <c r="J181" s="650">
        <f>[1]Petroleum!T264</f>
        <v>40122.294215017311</v>
      </c>
      <c r="K181" s="650">
        <f>[1]Petroleum!U264</f>
        <v>172620.3894115056</v>
      </c>
      <c r="L181" s="522">
        <f>[1]Petroleum!W264</f>
        <v>68270.557181433192</v>
      </c>
      <c r="M181" s="159">
        <f>[1]Petroleum!X264</f>
        <v>119072.82739470426</v>
      </c>
      <c r="N181" s="8"/>
      <c r="O181" s="8"/>
      <c r="P181" s="8"/>
    </row>
    <row r="182" spans="1:16">
      <c r="A182" s="490" t="s">
        <v>442</v>
      </c>
      <c r="B182" s="650">
        <f>[1]Petroleum!B265</f>
        <v>4858.2196308954171</v>
      </c>
      <c r="C182" s="650">
        <f>[1]Petroleum!D265</f>
        <v>3991.6916499839508</v>
      </c>
      <c r="D182" s="522">
        <f>[1]Petroleum!F265</f>
        <v>6233.1452240608569</v>
      </c>
      <c r="E182" s="522">
        <f>[1]Petroleum!H265</f>
        <v>4093.4753695890386</v>
      </c>
      <c r="F182" s="522">
        <f>[1]Petroleum!I265</f>
        <v>1232.4402680172841</v>
      </c>
      <c r="G182" s="522">
        <f>[1]Petroleum!J265</f>
        <v>2365.8584397501622</v>
      </c>
      <c r="H182" s="522">
        <f>[1]Petroleum!K265</f>
        <v>2367.246787814342</v>
      </c>
      <c r="I182" s="159">
        <f>[1]Petroleum!O265</f>
        <v>1380.4525805019518</v>
      </c>
      <c r="J182" s="650">
        <f>[1]Petroleum!T265</f>
        <v>4777.7230903718473</v>
      </c>
      <c r="K182" s="650">
        <f>[1]Petroleum!U265</f>
        <v>3483.1446641408647</v>
      </c>
      <c r="L182" s="522">
        <f>[1]Petroleum!W265</f>
        <v>911.04405841408231</v>
      </c>
      <c r="M182" s="159">
        <f>[1]Petroleum!X265</f>
        <v>2070.673226442907</v>
      </c>
      <c r="N182" s="8"/>
      <c r="O182" s="8"/>
      <c r="P182" s="8"/>
    </row>
    <row r="183" spans="1:16">
      <c r="A183" s="490" t="s">
        <v>878</v>
      </c>
      <c r="B183" s="650">
        <f>[1]Petroleum!B266</f>
        <v>44504.011944721788</v>
      </c>
      <c r="C183" s="650">
        <f>[1]Petroleum!D266</f>
        <v>102434.64121021709</v>
      </c>
      <c r="D183" s="522">
        <f>[1]Petroleum!F266</f>
        <v>126498.8489432027</v>
      </c>
      <c r="E183" s="522">
        <f>[1]Petroleum!H266</f>
        <v>78878.659923656494</v>
      </c>
      <c r="F183" s="522">
        <f>[1]Petroleum!I266</f>
        <v>34534.49774144766</v>
      </c>
      <c r="G183" s="522">
        <f>[1]Petroleum!J266</f>
        <v>78725.104913838019</v>
      </c>
      <c r="H183" s="522">
        <f>[1]Petroleum!K266</f>
        <v>78728.803278013744</v>
      </c>
      <c r="I183" s="159">
        <f>[1]Petroleum!O266</f>
        <v>42851.45822911679</v>
      </c>
      <c r="J183" s="650">
        <f>[1]Petroleum!T266</f>
        <v>27231.07154810365</v>
      </c>
      <c r="K183" s="650">
        <f>[1]Petroleum!U266</f>
        <v>101652.81155440646</v>
      </c>
      <c r="L183" s="522">
        <f>[1]Petroleum!W266</f>
        <v>34112.798670405144</v>
      </c>
      <c r="M183" s="159">
        <f>[1]Petroleum!X266</f>
        <v>78321.369795159058</v>
      </c>
      <c r="N183" s="8"/>
      <c r="O183" s="8"/>
      <c r="P183" s="8"/>
    </row>
    <row r="184" spans="1:16">
      <c r="A184" s="490" t="s">
        <v>440</v>
      </c>
      <c r="B184" s="650">
        <f>[1]Petroleum!B267</f>
        <v>10991.345324226078</v>
      </c>
      <c r="C184" s="650">
        <f>[1]Petroleum!D267</f>
        <v>64012.250896136764</v>
      </c>
      <c r="D184" s="522">
        <f>[1]Petroleum!F267</f>
        <v>63734.990619208642</v>
      </c>
      <c r="E184" s="522">
        <f>[1]Petroleum!H267</f>
        <v>55933.177967272255</v>
      </c>
      <c r="F184" s="522">
        <f>[1]Petroleum!I267</f>
        <v>30142.070830956774</v>
      </c>
      <c r="G184" s="522">
        <f>[1]Petroleum!J267</f>
        <v>35450.648140683639</v>
      </c>
      <c r="H184" s="522">
        <f>[1]Petroleum!K267</f>
        <v>35461.583544563029</v>
      </c>
      <c r="I184" s="159">
        <f>[1]Petroleum!O267</f>
        <v>41678.123544465547</v>
      </c>
      <c r="J184" s="650">
        <f>[1]Petroleum!T267</f>
        <v>8113.4995765418171</v>
      </c>
      <c r="K184" s="650">
        <f>[1]Petroleum!U267</f>
        <v>67484.433192958284</v>
      </c>
      <c r="L184" s="522">
        <f>[1]Petroleum!W267</f>
        <v>33246.71445261396</v>
      </c>
      <c r="M184" s="159">
        <f>[1]Petroleum!X267</f>
        <v>38680.784373102295</v>
      </c>
      <c r="N184" s="8"/>
      <c r="O184" s="8"/>
      <c r="P184" s="8"/>
    </row>
    <row r="185" spans="1:16">
      <c r="A185" s="490" t="s">
        <v>819</v>
      </c>
      <c r="B185" s="650">
        <f>[1]Petroleum!B268</f>
        <v>17.689832445545051</v>
      </c>
      <c r="C185" s="650">
        <f>[1]Petroleum!D268</f>
        <v>10.575141200774549</v>
      </c>
      <c r="D185" s="522">
        <f>[1]Petroleum!F268</f>
        <v>37.157329224753774</v>
      </c>
      <c r="E185" s="522">
        <f>[1]Petroleum!H268</f>
        <v>8.9130978460134376</v>
      </c>
      <c r="F185" s="522">
        <f>[1]Petroleum!I268</f>
        <v>2.5395680711243136</v>
      </c>
      <c r="G185" s="522">
        <f>[1]Petroleum!J268</f>
        <v>4.1039728235597872</v>
      </c>
      <c r="H185" s="522">
        <f>[1]Petroleum!K268</f>
        <v>4.1044582654907771</v>
      </c>
      <c r="I185" s="159">
        <f>[1]Petroleum!O268</f>
        <v>2.5276110041231052</v>
      </c>
      <c r="J185" s="650">
        <f>[1]Petroleum!T268</f>
        <v>20.66253603379246</v>
      </c>
      <c r="K185" s="650">
        <f>[1]Petroleum!U268</f>
        <v>10.537697444478242</v>
      </c>
      <c r="L185" s="522">
        <f>[1]Petroleum!W268</f>
        <v>2.532945412214882</v>
      </c>
      <c r="M185" s="159">
        <f>[1]Petroleum!X268</f>
        <v>4.1042794944792425</v>
      </c>
      <c r="N185" s="8"/>
      <c r="O185" s="8"/>
      <c r="P185" s="8"/>
    </row>
    <row r="186" spans="1:16">
      <c r="A186" s="490" t="s">
        <v>965</v>
      </c>
      <c r="B186" s="578">
        <f>[1]Petroleum!B269</f>
        <v>3.6895646545857375</v>
      </c>
      <c r="C186" s="578">
        <f>[1]Petroleum!D269</f>
        <v>23.999765721997559</v>
      </c>
      <c r="D186" s="1553">
        <f>[1]Petroleum!F269</f>
        <v>26.400850209022327</v>
      </c>
      <c r="E186" s="1553">
        <f>[1]Petroleum!H269</f>
        <v>4.835588130419886</v>
      </c>
      <c r="F186" s="1553">
        <f>[1]Petroleum!I269</f>
        <v>2.2758876348530905</v>
      </c>
      <c r="G186" s="1553">
        <f>[1]Petroleum!J269</f>
        <v>3.6705055402851192</v>
      </c>
      <c r="H186" s="1553">
        <f>[1]Petroleum!K269</f>
        <v>3.6707805358216521</v>
      </c>
      <c r="I186" s="478">
        <f>[1]Petroleum!O269</f>
        <v>2.49088668264024</v>
      </c>
      <c r="J186" s="578">
        <f>[1]Petroleum!T269</f>
        <v>3.7733963378013256</v>
      </c>
      <c r="K186" s="578">
        <f>[1]Petroleum!U269</f>
        <v>24.380784995001218</v>
      </c>
      <c r="L186" s="1553">
        <f>[1]Petroleum!W269</f>
        <v>2.5603700032579737</v>
      </c>
      <c r="M186" s="478">
        <f>[1]Petroleum!X269</f>
        <v>4.0427053692736115</v>
      </c>
      <c r="N186" s="8"/>
      <c r="O186" s="8"/>
      <c r="P186" s="8"/>
    </row>
    <row r="187" spans="1:16">
      <c r="A187" s="490" t="s">
        <v>966</v>
      </c>
      <c r="B187" s="578">
        <f>[1]Petroleum!B270</f>
        <v>7.3693431597470385</v>
      </c>
      <c r="C187" s="578">
        <f>[1]Petroleum!D270</f>
        <v>7.1914348590241559</v>
      </c>
      <c r="D187" s="1553">
        <f>[1]Petroleum!F270</f>
        <v>9.4650290340152061</v>
      </c>
      <c r="E187" s="1553">
        <f>[1]Petroleum!H270</f>
        <v>6.6351926691711265</v>
      </c>
      <c r="F187" s="1553">
        <f>[1]Petroleum!I270</f>
        <v>2.8580260001402666</v>
      </c>
      <c r="G187" s="1553">
        <f>[1]Petroleum!J270</f>
        <v>4.2136099920256909</v>
      </c>
      <c r="H187" s="1553">
        <f>[1]Petroleum!K270</f>
        <v>4.2156719122869406</v>
      </c>
      <c r="I187" s="478">
        <f>[1]Petroleum!O270</f>
        <v>3.1233548249799492</v>
      </c>
      <c r="J187" s="578">
        <f>[1]Petroleum!T270</f>
        <v>7.1424035793641218</v>
      </c>
      <c r="K187" s="578">
        <f>[1]Petroleum!U270</f>
        <v>7.7920347465337212</v>
      </c>
      <c r="L187" s="1553">
        <f>[1]Petroleum!W270</f>
        <v>3.4249064617735918</v>
      </c>
      <c r="M187" s="478">
        <f>[1]Petroleum!X270</f>
        <v>4.8128920709844971</v>
      </c>
      <c r="N187" s="8"/>
      <c r="O187" s="8"/>
      <c r="P187" s="8"/>
    </row>
    <row r="188" spans="1:16">
      <c r="A188" s="490" t="s">
        <v>967</v>
      </c>
      <c r="B188" s="578">
        <f>[1]Petroleum!B271</f>
        <v>11.350035400801717</v>
      </c>
      <c r="C188" s="578">
        <f>[1]Petroleum!D271</f>
        <v>10.812256789250938</v>
      </c>
      <c r="D188" s="1553">
        <f>[1]Petroleum!F271</f>
        <v>15.972204680764051</v>
      </c>
      <c r="E188" s="1553">
        <f>[1]Petroleum!H271</f>
        <v>9.2432669566193475</v>
      </c>
      <c r="F188" s="1553">
        <f>[1]Petroleum!I271</f>
        <v>7.4948499845494396</v>
      </c>
      <c r="G188" s="1553">
        <f>[1]Petroleum!J271</f>
        <v>6.340233595763654</v>
      </c>
      <c r="H188" s="1553">
        <f>[1]Petroleum!K271</f>
        <v>6.3457378271820684</v>
      </c>
      <c r="I188" s="478">
        <f>[1]Petroleum!O271</f>
        <v>4.1470171028756413</v>
      </c>
      <c r="J188" s="578">
        <f>[1]Petroleum!T271</f>
        <v>11.237610264267484</v>
      </c>
      <c r="K188" s="578">
        <f>[1]Petroleum!U271</f>
        <v>20.160775764467918</v>
      </c>
      <c r="L188" s="1553">
        <f>[1]Petroleum!W271</f>
        <v>14.276979599191259</v>
      </c>
      <c r="M188" s="478">
        <f>[1]Petroleum!X271</f>
        <v>15.461251199647119</v>
      </c>
      <c r="N188" s="8"/>
      <c r="O188" s="8"/>
      <c r="P188" s="8"/>
    </row>
    <row r="189" spans="1:16">
      <c r="A189" s="490" t="s">
        <v>968</v>
      </c>
      <c r="B189" s="578">
        <f>[1]Petroleum!B272</f>
        <v>0.55785966782025265</v>
      </c>
      <c r="C189" s="578">
        <f>[1]Petroleum!D272</f>
        <v>1.3885577824167463</v>
      </c>
      <c r="D189" s="1553">
        <f>[1]Petroleum!F272</f>
        <v>2.3826420022159236</v>
      </c>
      <c r="E189" s="1553">
        <f>[1]Petroleum!H272</f>
        <v>1.3805224685523414</v>
      </c>
      <c r="F189" s="1553">
        <f>[1]Petroleum!I272</f>
        <v>0.83563016769465182</v>
      </c>
      <c r="G189" s="1553">
        <f>[1]Petroleum!J272</f>
        <v>0.73472361683676457</v>
      </c>
      <c r="H189" s="1553">
        <f>[1]Petroleum!K272</f>
        <v>0.73499289858700567</v>
      </c>
      <c r="I189" s="478">
        <f>[1]Petroleum!O272</f>
        <v>0.66567774287365788</v>
      </c>
      <c r="J189" s="578">
        <f>[1]Petroleum!T272</f>
        <v>0.56697728692824367</v>
      </c>
      <c r="K189" s="578">
        <f>[1]Petroleum!U272</f>
        <v>2.2560727605899986</v>
      </c>
      <c r="L189" s="1553">
        <f>[1]Petroleum!W272</f>
        <v>1.4801944763205788</v>
      </c>
      <c r="M189" s="478">
        <f>[1]Petroleum!X272</f>
        <v>1.5858048507471807</v>
      </c>
      <c r="N189" s="8"/>
      <c r="O189" s="8"/>
      <c r="P189" s="8"/>
    </row>
    <row r="190" spans="1:16">
      <c r="A190" s="490" t="s">
        <v>969</v>
      </c>
      <c r="B190" s="578">
        <f>[1]Petroleum!B273</f>
        <v>0.47662987501164428</v>
      </c>
      <c r="C190" s="578">
        <f>[1]Petroleum!D273</f>
        <v>1.1964893337767593</v>
      </c>
      <c r="D190" s="1553">
        <f>[1]Petroleum!F273</f>
        <v>1.5229525465591129</v>
      </c>
      <c r="E190" s="1553">
        <f>[1]Petroleum!H273</f>
        <v>1.185826776755188</v>
      </c>
      <c r="F190" s="1553">
        <f>[1]Petroleum!I273</f>
        <v>0.74334844566159419</v>
      </c>
      <c r="G190" s="1553">
        <f>[1]Petroleum!J273</f>
        <v>0.62621302326422779</v>
      </c>
      <c r="H190" s="1553">
        <f>[1]Petroleum!K273</f>
        <v>0.6264362690627483</v>
      </c>
      <c r="I190" s="478">
        <f>[1]Petroleum!O273</f>
        <v>0.54183279356599545</v>
      </c>
      <c r="J190" s="578">
        <f>[1]Petroleum!T273</f>
        <v>0.48281266533126233</v>
      </c>
      <c r="K190" s="578">
        <f>[1]Petroleum!U273</f>
        <v>1.9985178441273679</v>
      </c>
      <c r="L190" s="1553">
        <f>[1]Petroleum!W273</f>
        <v>1.3338012244592872</v>
      </c>
      <c r="M190" s="478">
        <f>[1]Petroleum!X273</f>
        <v>1.4116801985067855</v>
      </c>
      <c r="N190" s="8"/>
      <c r="O190" s="8"/>
      <c r="P190" s="8"/>
    </row>
    <row r="191" spans="1:16">
      <c r="A191" s="490" t="s">
        <v>970</v>
      </c>
      <c r="B191" s="578">
        <f>[1]Petroleum!B274</f>
        <v>2.5592619949901905</v>
      </c>
      <c r="C191" s="578">
        <f>[1]Petroleum!D274</f>
        <v>3.499153908925273</v>
      </c>
      <c r="D191" s="1553">
        <f>[1]Petroleum!F274</f>
        <v>4.9093761948238317</v>
      </c>
      <c r="E191" s="1553">
        <f>[1]Petroleum!H274</f>
        <v>4.4366683174462329</v>
      </c>
      <c r="F191" s="1553">
        <f>[1]Petroleum!I274</f>
        <v>3.60619087018204</v>
      </c>
      <c r="G191" s="1553">
        <f>[1]Petroleum!J274</f>
        <v>2.0412563485182633</v>
      </c>
      <c r="H191" s="1553">
        <f>[1]Petroleum!K274</f>
        <v>2.0421471736618648</v>
      </c>
      <c r="I191" s="478">
        <f>[1]Petroleum!O274</f>
        <v>1.5070636363739351</v>
      </c>
      <c r="J191" s="578">
        <f>[1]Petroleum!T274</f>
        <v>2.7740097508815116</v>
      </c>
      <c r="K191" s="578">
        <f>[1]Petroleum!U274</f>
        <v>10.669288654818084</v>
      </c>
      <c r="L191" s="1553">
        <f>[1]Petroleum!W274</f>
        <v>8.9474441147734005</v>
      </c>
      <c r="M191" s="478">
        <f>[1]Petroleum!X274</f>
        <v>9.0616132394839273</v>
      </c>
      <c r="N191" s="8"/>
      <c r="O191" s="8"/>
      <c r="P191" s="8"/>
    </row>
    <row r="192" spans="1:16">
      <c r="A192" s="490" t="s">
        <v>971</v>
      </c>
      <c r="B192" s="578">
        <f>[1]Petroleum!B275</f>
        <v>8.6536638942778826E-2</v>
      </c>
      <c r="C192" s="578">
        <f>[1]Petroleum!D275</f>
        <v>0.14816187121582722</v>
      </c>
      <c r="D192" s="1553">
        <f>[1]Petroleum!F275</f>
        <v>0.18567189183560701</v>
      </c>
      <c r="E192" s="1553">
        <f>[1]Petroleum!H275</f>
        <v>0.10602093725854764</v>
      </c>
      <c r="F192" s="1553">
        <f>[1]Petroleum!I275</f>
        <v>9.426241847332123E-2</v>
      </c>
      <c r="G192" s="1553">
        <f>[1]Petroleum!J275</f>
        <v>8.4131317894943131E-2</v>
      </c>
      <c r="H192" s="1553">
        <f>[1]Petroleum!K275</f>
        <v>8.4162434600118533E-2</v>
      </c>
      <c r="I192" s="478">
        <f>[1]Petroleum!O275</f>
        <v>7.0727943473925317E-2</v>
      </c>
      <c r="J192" s="578">
        <f>[1]Petroleum!T275</f>
        <v>9.0259949793973934E-2</v>
      </c>
      <c r="K192" s="578">
        <f>[1]Petroleum!U275</f>
        <v>0.26912213412948982</v>
      </c>
      <c r="L192" s="1553">
        <f>[1]Petroleum!W275</f>
        <v>0.18321661119308663</v>
      </c>
      <c r="M192" s="478">
        <f>[1]Petroleum!X275</f>
        <v>0.20242478352308854</v>
      </c>
      <c r="N192" s="8"/>
      <c r="O192" s="8"/>
      <c r="P192" s="8"/>
    </row>
    <row r="193" spans="1:16">
      <c r="A193" s="490" t="s">
        <v>972</v>
      </c>
      <c r="B193" s="578">
        <f>[1]Petroleum!B276</f>
        <v>0.17449109373388111</v>
      </c>
      <c r="C193" s="578">
        <f>[1]Petroleum!D276</f>
        <v>0.21642085798901028</v>
      </c>
      <c r="D193" s="1553">
        <f>[1]Petroleum!F276</f>
        <v>0.27070264836236807</v>
      </c>
      <c r="E193" s="1553">
        <f>[1]Petroleum!H276</f>
        <v>0.16880312849590329</v>
      </c>
      <c r="F193" s="1553">
        <f>[1]Petroleum!I276</f>
        <v>0.18561399254104205</v>
      </c>
      <c r="G193" s="1553">
        <f>[1]Petroleum!J276</f>
        <v>0.12535039527647979</v>
      </c>
      <c r="H193" s="1553">
        <f>[1]Petroleum!K276</f>
        <v>0.12543545378073678</v>
      </c>
      <c r="I193" s="478">
        <f>[1]Petroleum!O276</f>
        <v>9.0964282667679211E-2</v>
      </c>
      <c r="J193" s="578">
        <f>[1]Petroleum!T276</f>
        <v>0.1718163458523812</v>
      </c>
      <c r="K193" s="578">
        <f>[1]Petroleum!U276</f>
        <v>0.52958203024709127</v>
      </c>
      <c r="L193" s="1553">
        <f>[1]Petroleum!W276</f>
        <v>0.41508305826094477</v>
      </c>
      <c r="M193" s="478">
        <f>[1]Petroleum!X276</f>
        <v>0.43126141824598607</v>
      </c>
      <c r="N193" s="8"/>
      <c r="O193" s="8"/>
      <c r="P193" s="8"/>
    </row>
    <row r="194" spans="1:16">
      <c r="A194" s="490" t="s">
        <v>887</v>
      </c>
      <c r="B194" s="578">
        <f>[1]Petroleum!B277</f>
        <v>91.550547508731526</v>
      </c>
      <c r="C194" s="578">
        <f>[1]Petroleum!D277</f>
        <v>36.572942893424909</v>
      </c>
      <c r="D194" s="1553">
        <f>[1]Petroleum!F277</f>
        <v>40.878357327449613</v>
      </c>
      <c r="E194" s="1553">
        <f>[1]Petroleum!H277</f>
        <v>30.058249780404445</v>
      </c>
      <c r="F194" s="1553">
        <f>[1]Petroleum!I277</f>
        <v>9.3795085157783014</v>
      </c>
      <c r="G194" s="1553">
        <f>[1]Petroleum!J277</f>
        <v>17.916450450979063</v>
      </c>
      <c r="H194" s="1553">
        <f>[1]Petroleum!K277</f>
        <v>17.918249592514702</v>
      </c>
      <c r="I194" s="478">
        <f>[1]Petroleum!O277</f>
        <v>10.028429250035648</v>
      </c>
      <c r="J194" s="578">
        <f>[1]Petroleum!T277</f>
        <v>88.313339575181999</v>
      </c>
      <c r="K194" s="578">
        <f>[1]Petroleum!U277</f>
        <v>36.665724762677122</v>
      </c>
      <c r="L194" s="1553">
        <f>[1]Petroleum!W277</f>
        <v>9.5279841966148364</v>
      </c>
      <c r="M194" s="478">
        <f>[1]Petroleum!X277</f>
        <v>18.090323302710207</v>
      </c>
      <c r="N194" s="8"/>
      <c r="O194" s="8"/>
      <c r="P194" s="8"/>
    </row>
    <row r="195" spans="1:16">
      <c r="A195" s="490" t="s">
        <v>888</v>
      </c>
      <c r="B195" s="578">
        <f>[1]Petroleum!B278</f>
        <v>8.4086657055974914E-2</v>
      </c>
      <c r="C195" s="578">
        <f>[1]Petroleum!D278</f>
        <v>0.21571491520379504</v>
      </c>
      <c r="D195" s="1553">
        <f>[1]Petroleum!F278</f>
        <v>2.8174487718633481</v>
      </c>
      <c r="E195" s="1553">
        <f>[1]Petroleum!H278</f>
        <v>0.17157700702075168</v>
      </c>
      <c r="F195" s="1553">
        <f>[1]Petroleum!I278</f>
        <v>7.9959028291297585E-2</v>
      </c>
      <c r="G195" s="1553">
        <f>[1]Petroleum!J278</f>
        <v>0.13837317914284586</v>
      </c>
      <c r="H195" s="1553">
        <f>[1]Petroleum!K278</f>
        <v>0.1383942180216145</v>
      </c>
      <c r="I195" s="478">
        <f>[1]Petroleum!O278</f>
        <v>9.7783372610900074E-2</v>
      </c>
      <c r="J195" s="578">
        <f>[1]Petroleum!T278</f>
        <v>5.3288072255089199E-2</v>
      </c>
      <c r="K195" s="578">
        <f>[1]Petroleum!U278</f>
        <v>0.22123476868893444</v>
      </c>
      <c r="L195" s="1553">
        <f>[1]Petroleum!W278</f>
        <v>8.3471417807825396E-2</v>
      </c>
      <c r="M195" s="478">
        <f>[1]Petroleum!X278</f>
        <v>0.14438827538363594</v>
      </c>
      <c r="N195" s="8"/>
      <c r="O195" s="8"/>
      <c r="P195" s="8"/>
    </row>
    <row r="196" spans="1:16">
      <c r="A196" s="490" t="s">
        <v>889</v>
      </c>
      <c r="B196" s="650">
        <f>[1]Petroleum!B279</f>
        <v>5286.5584411032723</v>
      </c>
      <c r="C196" s="650">
        <f>[1]Petroleum!D279</f>
        <v>12402.422394999337</v>
      </c>
      <c r="D196" s="522">
        <f>[1]Petroleum!F279</f>
        <v>14472.808530973474</v>
      </c>
      <c r="E196" s="522">
        <f>[1]Petroleum!H279</f>
        <v>10780.737871143083</v>
      </c>
      <c r="F196" s="522">
        <f>[1]Petroleum!I279</f>
        <v>4538.2937973823082</v>
      </c>
      <c r="G196" s="522">
        <f>[1]Petroleum!J279</f>
        <v>7628.7526507578123</v>
      </c>
      <c r="H196" s="522">
        <f>[1]Petroleum!K279</f>
        <v>7629.9937124287499</v>
      </c>
      <c r="I196" s="159">
        <f>[1]Petroleum!O279</f>
        <v>4944.8612663950453</v>
      </c>
      <c r="J196" s="650">
        <f>[1]Petroleum!T279</f>
        <v>3577.9342003456763</v>
      </c>
      <c r="K196" s="650">
        <f>[1]Petroleum!U279</f>
        <v>12613.317832142131</v>
      </c>
      <c r="L196" s="522">
        <f>[1]Petroleum!W279</f>
        <v>4751.6142014115985</v>
      </c>
      <c r="M196" s="159">
        <f>[1]Petroleum!X279</f>
        <v>7866.9484519849557</v>
      </c>
      <c r="N196" s="8"/>
      <c r="O196" s="8"/>
      <c r="P196" s="8"/>
    </row>
    <row r="197" spans="1:16">
      <c r="A197" s="490" t="s">
        <v>2069</v>
      </c>
      <c r="B197" s="650">
        <f>[1]Petroleum!B280</f>
        <v>5309.6379806706191</v>
      </c>
      <c r="C197" s="650">
        <f>[1]Petroleum!D280</f>
        <v>12488.522491039934</v>
      </c>
      <c r="D197" s="522">
        <f>[1]Petroleum!F280</f>
        <v>14569.964797845047</v>
      </c>
      <c r="E197" s="522">
        <f>[1]Petroleum!H280</f>
        <v>10806.23551882016</v>
      </c>
      <c r="F197" s="522">
        <f>[1]Petroleum!I280</f>
        <v>4549.8781642254398</v>
      </c>
      <c r="G197" s="522">
        <f>[1]Petroleum!J280</f>
        <v>7646.8137801553603</v>
      </c>
      <c r="H197" s="522">
        <f>[1]Petroleum!K280</f>
        <v>7648.0589390561308</v>
      </c>
      <c r="I197" s="159">
        <f>[1]Petroleum!O280</f>
        <v>4957.532658899956</v>
      </c>
      <c r="J197" s="650">
        <f>[1]Petroleum!T280</f>
        <v>3600.9183959851102</v>
      </c>
      <c r="K197" s="650">
        <f>[1]Petroleum!U280</f>
        <v>12701.549238073485</v>
      </c>
      <c r="L197" s="522">
        <f>[1]Petroleum!W280</f>
        <v>4764.9760171235876</v>
      </c>
      <c r="M197" s="159">
        <f>[1]Petroleum!X280</f>
        <v>7887.1113331640718</v>
      </c>
      <c r="N197" s="8"/>
      <c r="O197" s="8"/>
      <c r="P197" s="8"/>
    </row>
    <row r="198" spans="1:16">
      <c r="A198" s="647" t="s">
        <v>1896</v>
      </c>
      <c r="B198" s="137">
        <f>[1]Petroleum!B281</f>
        <v>8078.4373700523975</v>
      </c>
      <c r="C198" s="137">
        <f>[1]Petroleum!D281</f>
        <v>13642.875230371686</v>
      </c>
      <c r="D198" s="138">
        <f>[1]Petroleum!F281</f>
        <v>16542.939442212322</v>
      </c>
      <c r="E198" s="138">
        <f>[1]Petroleum!H281</f>
        <v>11753.450919092793</v>
      </c>
      <c r="F198" s="138">
        <f>[1]Petroleum!I281</f>
        <v>4852.4525621959829</v>
      </c>
      <c r="G198" s="138">
        <f>[1]Petroleum!J281</f>
        <v>8220.9761861575862</v>
      </c>
      <c r="H198" s="138">
        <f>[1]Petroleum!K281</f>
        <v>8222.2808946073001</v>
      </c>
      <c r="I198" s="139">
        <f>[1]Petroleum!O281</f>
        <v>5284.2981301429136</v>
      </c>
      <c r="J198" s="137">
        <f>[1]Petroleum!T281</f>
        <v>6264.4399223881683</v>
      </c>
      <c r="K198" s="137">
        <f>[1]Petroleum!U281</f>
        <v>13860.148194656365</v>
      </c>
      <c r="L198" s="138">
        <f>[1]Petroleum!W281</f>
        <v>5072.935468741106</v>
      </c>
      <c r="M198" s="139">
        <f>[1]Petroleum!X281</f>
        <v>8468.0839252220412</v>
      </c>
      <c r="N198" s="8"/>
      <c r="O198" s="8"/>
      <c r="P198" s="8"/>
    </row>
    <row r="199" spans="1:16" ht="15">
      <c r="A199" s="134" t="s">
        <v>2070</v>
      </c>
      <c r="B199" s="8"/>
      <c r="C199" s="8"/>
      <c r="D199" s="8"/>
      <c r="E199" s="8"/>
      <c r="F199" s="8"/>
      <c r="G199" s="8"/>
      <c r="H199" s="8"/>
      <c r="I199" s="8"/>
      <c r="J199" s="8"/>
      <c r="K199" s="8"/>
      <c r="L199" s="8"/>
      <c r="M199" s="8"/>
      <c r="N199" s="8"/>
      <c r="O199" s="8"/>
      <c r="P199" s="8"/>
    </row>
    <row r="200" spans="1:16">
      <c r="A200" s="570" t="s">
        <v>2068</v>
      </c>
      <c r="B200" s="582"/>
      <c r="C200" s="582">
        <f>[1]Petroleum!D283</f>
        <v>0.86340162433430534</v>
      </c>
      <c r="D200" s="649">
        <f>[1]Petroleum!F283</f>
        <v>0.80583557500656444</v>
      </c>
      <c r="E200" s="649">
        <f>[1]Petroleum!H283</f>
        <v>0.88035087318703953</v>
      </c>
      <c r="F200" s="649">
        <f>[1]Petroleum!I283</f>
        <v>0.99919999999999998</v>
      </c>
      <c r="G200" s="649">
        <f>[1]Petroleum!J283</f>
        <v>1.0008441227818503</v>
      </c>
      <c r="H200" s="649">
        <f>[1]Petroleum!K283</f>
        <v>1.0008439382074072</v>
      </c>
      <c r="I200" s="8">
        <f>[1]Petroleum!O283</f>
        <v>1.0257000000000001</v>
      </c>
      <c r="J200" s="582"/>
      <c r="K200" s="582">
        <f>[1]Petroleum!U283</f>
        <v>0.86340162433430534</v>
      </c>
      <c r="L200" s="649">
        <f>[1]Petroleum!W283</f>
        <v>0.99919999999999998</v>
      </c>
      <c r="M200" s="583">
        <f>[1]Petroleum!X283</f>
        <v>1.0008441227818503</v>
      </c>
      <c r="N200" s="8"/>
      <c r="O200" s="8"/>
      <c r="P200" s="8"/>
    </row>
    <row r="201" spans="1:16">
      <c r="A201" s="490" t="s">
        <v>965</v>
      </c>
      <c r="B201" s="578">
        <f>[1]Petroleum!B284</f>
        <v>0.66058006060285668</v>
      </c>
      <c r="C201" s="578">
        <f>[1]Petroleum!D284</f>
        <v>15.4075957279119</v>
      </c>
      <c r="D201" s="1553">
        <f>[1]Petroleum!F284</f>
        <v>15.295098814490197</v>
      </c>
      <c r="E201" s="1553">
        <f>[1]Petroleum!H284</f>
        <v>1.887791233203125</v>
      </c>
      <c r="F201" s="1553">
        <f>[1]Petroleum!I284</f>
        <v>1.3359855290764489</v>
      </c>
      <c r="G201" s="1553">
        <f>[1]Petroleum!J284</f>
        <v>2.1025334456099047</v>
      </c>
      <c r="H201" s="1553">
        <f>[1]Petroleum!K284</f>
        <v>2.1025989254720532</v>
      </c>
      <c r="I201" s="478">
        <f>[1]Petroleum!O284</f>
        <v>1.5814632329887681</v>
      </c>
      <c r="J201" s="578">
        <f>[1]Petroleum!T284</f>
        <v>0.66849644259478103</v>
      </c>
      <c r="K201" s="578">
        <f>[1]Petroleum!U284</f>
        <v>15.403816159708999</v>
      </c>
      <c r="L201" s="1553">
        <f>[1]Petroleum!W284</f>
        <v>1.3324534468294373</v>
      </c>
      <c r="M201" s="478">
        <f>[1]Petroleum!X284</f>
        <v>2.0987706106750279</v>
      </c>
      <c r="N201" s="8"/>
      <c r="O201" s="8"/>
      <c r="P201" s="8"/>
    </row>
    <row r="202" spans="1:16">
      <c r="A202" s="490" t="s">
        <v>966</v>
      </c>
      <c r="B202" s="578">
        <f>[1]Petroleum!B285</f>
        <v>0.26209908816228761</v>
      </c>
      <c r="C202" s="578">
        <f>[1]Petroleum!D285</f>
        <v>2.5593016940652977</v>
      </c>
      <c r="D202" s="1553">
        <f>[1]Petroleum!F285</f>
        <v>2.5104931027128754</v>
      </c>
      <c r="E202" s="1553">
        <f>[1]Petroleum!H285</f>
        <v>2.7265029137195405</v>
      </c>
      <c r="F202" s="1553">
        <f>[1]Petroleum!I285</f>
        <v>1.0275030807993932</v>
      </c>
      <c r="G202" s="1553">
        <f>[1]Petroleum!J285</f>
        <v>1.5388790153125751</v>
      </c>
      <c r="H202" s="1553">
        <f>[1]Petroleum!K285</f>
        <v>1.5395812114033265</v>
      </c>
      <c r="I202" s="478">
        <f>[1]Petroleum!O285</f>
        <v>1.4195405082046608</v>
      </c>
      <c r="J202" s="578">
        <f>[1]Petroleum!T285</f>
        <v>0.2574057409426625</v>
      </c>
      <c r="K202" s="578">
        <f>[1]Petroleum!U285</f>
        <v>2.3971709025808634</v>
      </c>
      <c r="L202" s="1553">
        <f>[1]Petroleum!W285</f>
        <v>0.99439835730077908</v>
      </c>
      <c r="M202" s="478">
        <f>[1]Petroleum!X285</f>
        <v>1.3793481883171712</v>
      </c>
      <c r="N202" s="8"/>
      <c r="O202" s="8"/>
      <c r="P202" s="8"/>
    </row>
    <row r="203" spans="1:16">
      <c r="A203" s="490" t="s">
        <v>967</v>
      </c>
      <c r="B203" s="578">
        <f>[1]Petroleum!B286</f>
        <v>0.55135581001096456</v>
      </c>
      <c r="C203" s="578">
        <f>[1]Petroleum!D286</f>
        <v>3.8186571270793439</v>
      </c>
      <c r="D203" s="1553">
        <f>[1]Petroleum!F286</f>
        <v>3.7705081775645573</v>
      </c>
      <c r="E203" s="1553">
        <f>[1]Petroleum!H286</f>
        <v>3.2161322439914533</v>
      </c>
      <c r="F203" s="1553">
        <f>[1]Petroleum!I286</f>
        <v>1.6106755471434804</v>
      </c>
      <c r="G203" s="1553">
        <f>[1]Petroleum!J286</f>
        <v>2.2446016270847244</v>
      </c>
      <c r="H203" s="1553">
        <f>[1]Petroleum!K286</f>
        <v>2.2455474218748193</v>
      </c>
      <c r="I203" s="478">
        <f>[1]Petroleum!O286</f>
        <v>2.0295225404096406</v>
      </c>
      <c r="J203" s="578">
        <f>[1]Petroleum!T286</f>
        <v>0.57930458111442618</v>
      </c>
      <c r="K203" s="578">
        <f>[1]Petroleum!U286</f>
        <v>3.5870288469926104</v>
      </c>
      <c r="L203" s="1553">
        <f>[1]Petroleum!W286</f>
        <v>1.366712266752997</v>
      </c>
      <c r="M203" s="478">
        <f>[1]Petroleum!X286</f>
        <v>2.0320979690254846</v>
      </c>
      <c r="N203" s="8"/>
      <c r="O203" s="8"/>
      <c r="P203" s="8"/>
    </row>
    <row r="204" spans="1:16">
      <c r="A204" s="490" t="s">
        <v>968</v>
      </c>
      <c r="B204" s="578">
        <f>[1]Petroleum!B287</f>
        <v>4.2668376148122675E-2</v>
      </c>
      <c r="C204" s="578">
        <f>[1]Petroleum!D287</f>
        <v>0.87462448637991352</v>
      </c>
      <c r="D204" s="1553">
        <f>[1]Petroleum!F287</f>
        <v>0.82807193053264927</v>
      </c>
      <c r="E204" s="1553">
        <f>[1]Petroleum!H287</f>
        <v>0.88963976629910002</v>
      </c>
      <c r="F204" s="1553">
        <f>[1]Petroleum!I287</f>
        <v>0.36207524943072006</v>
      </c>
      <c r="G204" s="1553">
        <f>[1]Petroleum!J287</f>
        <v>0.45483094706646748</v>
      </c>
      <c r="H204" s="1553">
        <f>[1]Petroleum!K287</f>
        <v>0.4548825435344504</v>
      </c>
      <c r="I204" s="478">
        <f>[1]Petroleum!O287</f>
        <v>0.47174233724531456</v>
      </c>
      <c r="J204" s="578">
        <f>[1]Petroleum!T287</f>
        <v>4.3844639452657735E-2</v>
      </c>
      <c r="K204" s="578">
        <f>[1]Petroleum!U287</f>
        <v>0.86259927269631875</v>
      </c>
      <c r="L204" s="1553">
        <f>[1]Petroleum!W287</f>
        <v>0.34431479418803762</v>
      </c>
      <c r="M204" s="478">
        <f>[1]Petroleum!X287</f>
        <v>0.44489464386009259</v>
      </c>
      <c r="N204" s="8"/>
      <c r="O204" s="8"/>
      <c r="P204" s="8"/>
    </row>
    <row r="205" spans="1:16">
      <c r="A205" s="490" t="s">
        <v>969</v>
      </c>
      <c r="B205" s="578">
        <f>[1]Petroleum!B288</f>
        <v>3.7809446941895634E-2</v>
      </c>
      <c r="C205" s="578">
        <f>[1]Petroleum!D288</f>
        <v>0.76286020996608928</v>
      </c>
      <c r="D205" s="1553">
        <f>[1]Petroleum!F288</f>
        <v>0.72190070385391381</v>
      </c>
      <c r="E205" s="1553">
        <f>[1]Petroleum!H288</f>
        <v>0.77497025098806682</v>
      </c>
      <c r="F205" s="1553">
        <f>[1]Petroleum!I288</f>
        <v>0.31895932002291172</v>
      </c>
      <c r="G205" s="1553">
        <f>[1]Petroleum!J288</f>
        <v>0.3915206485057301</v>
      </c>
      <c r="H205" s="1553">
        <f>[1]Petroleum!K288</f>
        <v>0.39155454988116373</v>
      </c>
      <c r="I205" s="478">
        <f>[1]Petroleum!O288</f>
        <v>0.38936475973484852</v>
      </c>
      <c r="J205" s="578">
        <f>[1]Petroleum!T288</f>
        <v>3.9295407207891458E-2</v>
      </c>
      <c r="K205" s="578">
        <f>[1]Petroleum!U288</f>
        <v>0.75490999046269458</v>
      </c>
      <c r="L205" s="1553">
        <f>[1]Petroleum!W288</f>
        <v>0.30254021156428113</v>
      </c>
      <c r="M205" s="478">
        <f>[1]Petroleum!X288</f>
        <v>0.38551243726319667</v>
      </c>
      <c r="N205" s="8"/>
      <c r="O205" s="8"/>
      <c r="P205" s="8"/>
    </row>
    <row r="206" spans="1:16">
      <c r="A206" s="490" t="s">
        <v>970</v>
      </c>
      <c r="B206" s="578">
        <f>[1]Petroleum!B289</f>
        <v>0.25247922431237874</v>
      </c>
      <c r="C206" s="578">
        <f>[1]Petroleum!D289</f>
        <v>1.3376060375183247</v>
      </c>
      <c r="D206" s="1553">
        <f>[1]Petroleum!F289</f>
        <v>1.3168603674270116</v>
      </c>
      <c r="E206" s="1553">
        <f>[1]Petroleum!H289</f>
        <v>2.283014746828985</v>
      </c>
      <c r="F206" s="1553">
        <f>[1]Petroleum!I289</f>
        <v>0.66006752302410532</v>
      </c>
      <c r="G206" s="1553">
        <f>[1]Petroleum!J289</f>
        <v>0.7193984730428461</v>
      </c>
      <c r="H206" s="1553">
        <f>[1]Petroleum!K289</f>
        <v>0.71952355581701122</v>
      </c>
      <c r="I206" s="478">
        <f>[1]Petroleum!O289</f>
        <v>0.75250885714545079</v>
      </c>
      <c r="J206" s="578">
        <f>[1]Petroleum!T289</f>
        <v>0.26749077502506058</v>
      </c>
      <c r="K206" s="578">
        <f>[1]Petroleum!U289</f>
        <v>1.2969009853577314</v>
      </c>
      <c r="L206" s="1553">
        <f>[1]Petroleum!W289</f>
        <v>0.52904172256430926</v>
      </c>
      <c r="M206" s="478">
        <f>[1]Petroleum!X289</f>
        <v>0.69482070890896963</v>
      </c>
      <c r="N206" s="8"/>
      <c r="O206" s="8"/>
      <c r="P206" s="8"/>
    </row>
    <row r="207" spans="1:16">
      <c r="A207" s="490" t="s">
        <v>971</v>
      </c>
      <c r="B207" s="578">
        <f>[1]Petroleum!B290</f>
        <v>4.0501765382100511E-3</v>
      </c>
      <c r="C207" s="578">
        <f>[1]Petroleum!D290</f>
        <v>8.7509798965951499E-2</v>
      </c>
      <c r="D207" s="1553">
        <f>[1]Petroleum!F290</f>
        <v>8.2532785076519524E-2</v>
      </c>
      <c r="E207" s="1553">
        <f>[1]Petroleum!H290</f>
        <v>5.9853371629218728E-2</v>
      </c>
      <c r="F207" s="1553">
        <f>[1]Petroleum!I290</f>
        <v>3.423899359357236E-2</v>
      </c>
      <c r="G207" s="1553">
        <f>[1]Petroleum!J290</f>
        <v>5.0578531179931392E-2</v>
      </c>
      <c r="H207" s="1553">
        <f>[1]Petroleum!K290</f>
        <v>5.0582596887480333E-2</v>
      </c>
      <c r="I207" s="478">
        <f>[1]Petroleum!O290</f>
        <v>4.9736013363425965E-2</v>
      </c>
      <c r="J207" s="578">
        <f>[1]Petroleum!T290</f>
        <v>4.403121804603595E-3</v>
      </c>
      <c r="K207" s="578">
        <f>[1]Petroleum!U290</f>
        <v>8.6551382945444816E-2</v>
      </c>
      <c r="L207" s="1553">
        <f>[1]Petroleum!W290</f>
        <v>3.1864849579977303E-2</v>
      </c>
      <c r="M207" s="478">
        <f>[1]Petroleum!X290</f>
        <v>4.9837593562489055E-2</v>
      </c>
      <c r="N207" s="8"/>
      <c r="O207" s="8"/>
      <c r="P207" s="8"/>
    </row>
    <row r="208" spans="1:16">
      <c r="A208" s="647" t="s">
        <v>972</v>
      </c>
      <c r="B208" s="584">
        <f>[1]Petroleum!B291</f>
        <v>1.212210869470246E-2</v>
      </c>
      <c r="C208" s="584">
        <f>[1]Petroleum!D291</f>
        <v>0.11121768025013316</v>
      </c>
      <c r="D208" s="637">
        <f>[1]Petroleum!F291</f>
        <v>0.1068540256992721</v>
      </c>
      <c r="E208" s="637">
        <f>[1]Petroleum!H291</f>
        <v>7.8320235111229097E-2</v>
      </c>
      <c r="F208" s="637">
        <f>[1]Petroleum!I291</f>
        <v>4.5874777430716891E-2</v>
      </c>
      <c r="G208" s="637">
        <f>[1]Petroleum!J291</f>
        <v>6.5196188127315008E-2</v>
      </c>
      <c r="H208" s="637">
        <f>[1]Petroleum!K291</f>
        <v>6.5207164371857848E-2</v>
      </c>
      <c r="I208" s="585">
        <f>[1]Petroleum!O291</f>
        <v>6.1197416141852978E-2</v>
      </c>
      <c r="J208" s="584">
        <f>[1]Petroleum!T291</f>
        <v>1.2500866642439538E-2</v>
      </c>
      <c r="K208" s="584">
        <f>[1]Petroleum!U291</f>
        <v>0.10831036177679798</v>
      </c>
      <c r="L208" s="637">
        <f>[1]Petroleum!W291</f>
        <v>3.934284970487037E-2</v>
      </c>
      <c r="M208" s="585">
        <f>[1]Petroleum!X291</f>
        <v>6.2923717197122933E-2</v>
      </c>
      <c r="N208" s="8"/>
      <c r="O208" s="8"/>
      <c r="P208" s="8"/>
    </row>
    <row r="210" spans="1:44" ht="15.75">
      <c r="A210" s="81" t="s">
        <v>441</v>
      </c>
    </row>
    <row r="211" spans="1:44" ht="15" customHeight="1">
      <c r="A211" s="120" t="s">
        <v>2054</v>
      </c>
      <c r="AR211" s="439"/>
    </row>
    <row r="212" spans="1:44" ht="15" customHeight="1">
      <c r="A212" s="120" t="s">
        <v>2055</v>
      </c>
    </row>
    <row r="213" spans="1:44" ht="38.25">
      <c r="A213" s="58"/>
      <c r="B213" s="1839" t="s">
        <v>2071</v>
      </c>
      <c r="C213" s="1452" t="s">
        <v>2072</v>
      </c>
      <c r="D213" s="1454"/>
      <c r="E213" s="1452" t="s">
        <v>2073</v>
      </c>
      <c r="F213" s="1454"/>
      <c r="G213" s="1839" t="s">
        <v>2074</v>
      </c>
      <c r="H213" s="1452" t="s">
        <v>2075</v>
      </c>
      <c r="I213" s="1454"/>
      <c r="J213" s="1452" t="s">
        <v>2076</v>
      </c>
      <c r="K213" s="1454"/>
      <c r="L213" s="1452" t="s">
        <v>2697</v>
      </c>
      <c r="M213" s="1454"/>
      <c r="N213" s="2992" t="s">
        <v>2634</v>
      </c>
    </row>
    <row r="214" spans="1:44" ht="12.95" customHeight="1">
      <c r="A214" s="118"/>
      <c r="B214" s="2503"/>
      <c r="C214" s="2480" t="s">
        <v>2077</v>
      </c>
      <c r="D214" s="2504" t="s">
        <v>1971</v>
      </c>
      <c r="E214" s="2480" t="s">
        <v>2077</v>
      </c>
      <c r="F214" s="2504" t="s">
        <v>1971</v>
      </c>
      <c r="G214" s="2503"/>
      <c r="H214" s="2480" t="s">
        <v>2077</v>
      </c>
      <c r="I214" s="2504" t="s">
        <v>1971</v>
      </c>
      <c r="J214" s="2480" t="s">
        <v>2077</v>
      </c>
      <c r="K214" s="2504" t="s">
        <v>1971</v>
      </c>
      <c r="L214" s="2480" t="s">
        <v>2077</v>
      </c>
      <c r="M214" s="2504" t="s">
        <v>1971</v>
      </c>
      <c r="N214" s="2993"/>
    </row>
    <row r="215" spans="1:44">
      <c r="A215" s="59" t="s">
        <v>2068</v>
      </c>
      <c r="B215" s="59"/>
      <c r="C215" s="240"/>
      <c r="D215" s="248">
        <f>[1]MeOH_FTD!O162</f>
        <v>1.0002491498669328</v>
      </c>
      <c r="E215" s="240"/>
      <c r="F215" s="248">
        <f>[1]NG!U84</f>
        <v>1.0000577907384296</v>
      </c>
      <c r="G215" s="59"/>
      <c r="H215" s="240"/>
      <c r="I215" s="248">
        <f>[1]MeOH_FTD!BK162</f>
        <v>1.0008307840362127</v>
      </c>
      <c r="J215" s="240"/>
      <c r="K215" s="248">
        <f>[1]NG!AF84</f>
        <v>1</v>
      </c>
      <c r="L215" s="240"/>
      <c r="M215" s="248">
        <f>[1]NG!G84</f>
        <v>1.0166250453537191</v>
      </c>
      <c r="N215" s="2714">
        <f>[1]RNG!Y270</f>
        <v>1</v>
      </c>
    </row>
    <row r="216" spans="1:44">
      <c r="A216" s="59" t="s">
        <v>876</v>
      </c>
      <c r="B216" s="14">
        <f>[1]NG!B85</f>
        <v>104256.16637857581</v>
      </c>
      <c r="C216" s="16">
        <f>[1]MeOH_FTD!N163</f>
        <v>75559.068828277828</v>
      </c>
      <c r="D216" s="17">
        <f>[1]MeOH_FTD!O163</f>
        <v>450693.11722026649</v>
      </c>
      <c r="E216" s="16">
        <f>[1]NG!T85</f>
        <v>73085.181848764609</v>
      </c>
      <c r="F216" s="17">
        <f>[1]NG!U85</f>
        <v>49154.218609526622</v>
      </c>
      <c r="G216" s="14">
        <f>[1]NG!Z85</f>
        <v>119266.45084386863</v>
      </c>
      <c r="H216" s="16">
        <f>[1]MeOH_FTD!BJ163</f>
        <v>73085.181848764609</v>
      </c>
      <c r="I216" s="17">
        <f>[1]MeOH_FTD!BK163</f>
        <v>665525.22275215667</v>
      </c>
      <c r="J216" s="16">
        <f>[1]NG!AE85</f>
        <v>64443.287601151947</v>
      </c>
      <c r="K216" s="17">
        <f>[1]NG!AF85</f>
        <v>69961.751960537789</v>
      </c>
      <c r="L216" s="16">
        <f>[1]NG!F85</f>
        <v>73705.660707926101</v>
      </c>
      <c r="M216" s="17">
        <f>[1]NG!G85</f>
        <v>121271.47015587486</v>
      </c>
      <c r="N216" s="2714">
        <f>[1]RNG!Y271</f>
        <v>0</v>
      </c>
    </row>
    <row r="217" spans="1:44">
      <c r="A217" s="59" t="s">
        <v>877</v>
      </c>
      <c r="B217" s="14">
        <f>[1]NG!B86</f>
        <v>103509.59065074382</v>
      </c>
      <c r="C217" s="16">
        <f>[1]MeOH_FTD!N164</f>
        <v>75028.809682751002</v>
      </c>
      <c r="D217" s="17">
        <f>[1]MeOH_FTD!O164</f>
        <v>432212.0751883937</v>
      </c>
      <c r="E217" s="16">
        <f>[1]NG!T86</f>
        <v>72573.570680014076</v>
      </c>
      <c r="F217" s="17">
        <f>[1]NG!U86</f>
        <v>47634.747555728412</v>
      </c>
      <c r="G217" s="14">
        <f>[1]NG!Z86</f>
        <v>118166.77906272929</v>
      </c>
      <c r="H217" s="16">
        <f>[1]MeOH_FTD!BJ164</f>
        <v>72573.570680014062</v>
      </c>
      <c r="I217" s="17">
        <f>[1]MeOH_FTD!BK164</f>
        <v>689250.77906834835</v>
      </c>
      <c r="J217" s="16">
        <f>[1]NG!AE86</f>
        <v>63263.74775680506</v>
      </c>
      <c r="K217" s="17">
        <f>[1]NG!AF86</f>
        <v>69049.860722497513</v>
      </c>
      <c r="L217" s="16">
        <f>[1]NG!F86</f>
        <v>73190.314219429943</v>
      </c>
      <c r="M217" s="17">
        <f>[1]NG!G86</f>
        <v>120392.1796316884</v>
      </c>
      <c r="N217" s="2714">
        <f>[1]RNG!Y272</f>
        <v>0</v>
      </c>
    </row>
    <row r="218" spans="1:44">
      <c r="A218" s="59" t="s">
        <v>442</v>
      </c>
      <c r="B218" s="14">
        <f>[1]NG!B87</f>
        <v>985.78131152850392</v>
      </c>
      <c r="C218" s="16">
        <f>[1]MeOH_FTD!N165</f>
        <v>699.85584499729134</v>
      </c>
      <c r="D218" s="17">
        <f>[1]MeOH_FTD!O165</f>
        <v>24427.317744774264</v>
      </c>
      <c r="E218" s="16">
        <f>[1]NG!T87</f>
        <v>675.20710374127361</v>
      </c>
      <c r="F218" s="17">
        <f>[1]NG!U87</f>
        <v>2007.4207432390203</v>
      </c>
      <c r="G218" s="14">
        <f>[1]NG!Z87</f>
        <v>1498.756538687564</v>
      </c>
      <c r="H218" s="16">
        <f>[1]MeOH_FTD!BJ165</f>
        <v>675.20710374127361</v>
      </c>
      <c r="I218" s="17">
        <f>[1]MeOH_FTD!BK165</f>
        <v>-31364.904480798043</v>
      </c>
      <c r="J218" s="16">
        <f>[1]NG!AE87</f>
        <v>1557.9527669574779</v>
      </c>
      <c r="K218" s="17">
        <f>[1]NG!AF87</f>
        <v>1191.351382162155</v>
      </c>
      <c r="L218" s="16">
        <f>[1]NG!F87</f>
        <v>680.11731525012169</v>
      </c>
      <c r="M218" s="17">
        <f>[1]NG!G87</f>
        <v>1160.5993294839029</v>
      </c>
      <c r="N218" s="2714">
        <f>[1]RNG!Y273</f>
        <v>0</v>
      </c>
    </row>
    <row r="219" spans="1:44">
      <c r="A219" s="59" t="s">
        <v>878</v>
      </c>
      <c r="B219" s="14">
        <f>[1]NG!B88</f>
        <v>98509.55604950212</v>
      </c>
      <c r="C219" s="16">
        <f>[1]MeOH_FTD!N166</f>
        <v>70423.740307322048</v>
      </c>
      <c r="D219" s="17">
        <f>[1]MeOH_FTD!O166</f>
        <v>395765.10447239323</v>
      </c>
      <c r="E219" s="16">
        <f>[1]NG!T88</f>
        <v>68002.54990931676</v>
      </c>
      <c r="F219" s="17">
        <f>[1]NG!U88</f>
        <v>41339.030951621993</v>
      </c>
      <c r="G219" s="14">
        <f>[1]NG!Z88</f>
        <v>112547.34534236124</v>
      </c>
      <c r="H219" s="16">
        <f>[1]MeOH_FTD!BJ166</f>
        <v>68002.549909316745</v>
      </c>
      <c r="I219" s="17">
        <f>[1]MeOH_FTD!BK166</f>
        <v>716214.13546648296</v>
      </c>
      <c r="J219" s="16">
        <f>[1]NG!AE88</f>
        <v>56998.084273966284</v>
      </c>
      <c r="K219" s="17">
        <f>[1]NG!AF88</f>
        <v>48258.061062173998</v>
      </c>
      <c r="L219" s="16">
        <f>[1]NG!F88</f>
        <v>68517.354060922924</v>
      </c>
      <c r="M219" s="17">
        <f>[1]NG!G88</f>
        <v>113033.16485135093</v>
      </c>
      <c r="N219" s="2714">
        <f>[1]RNG!Y274</f>
        <v>0</v>
      </c>
    </row>
    <row r="220" spans="1:44">
      <c r="A220" s="59" t="s">
        <v>440</v>
      </c>
      <c r="B220" s="14">
        <f>[1]NG!B89</f>
        <v>4014.2532897131937</v>
      </c>
      <c r="C220" s="16">
        <f>[1]MeOH_FTD!N167</f>
        <v>3905.2135304316657</v>
      </c>
      <c r="D220" s="17">
        <f>[1]MeOH_FTD!O167</f>
        <v>12019.652971226187</v>
      </c>
      <c r="E220" s="16">
        <f>[1]NG!T89</f>
        <v>3895.8136669560499</v>
      </c>
      <c r="F220" s="17">
        <f>[1]NG!U89</f>
        <v>4288.2958608674035</v>
      </c>
      <c r="G220" s="14">
        <f>[1]NG!Z89</f>
        <v>4120.6771816804876</v>
      </c>
      <c r="H220" s="16">
        <f>[1]MeOH_FTD!BJ167</f>
        <v>3895.8136669560499</v>
      </c>
      <c r="I220" s="17">
        <f>[1]MeOH_FTD!BK167</f>
        <v>4401.5480826633866</v>
      </c>
      <c r="J220" s="16">
        <f>[1]NG!AE89</f>
        <v>4707.7107158813014</v>
      </c>
      <c r="K220" s="17">
        <f>[1]NG!AF89</f>
        <v>19600.448278161355</v>
      </c>
      <c r="L220" s="16">
        <f>[1]NG!F89</f>
        <v>3992.8428432568899</v>
      </c>
      <c r="M220" s="17">
        <f>[1]NG!G89</f>
        <v>6198.4154508535703</v>
      </c>
      <c r="N220" s="2714">
        <f>[1]RNG!Y275</f>
        <v>0</v>
      </c>
    </row>
    <row r="221" spans="1:44">
      <c r="A221" s="59" t="s">
        <v>819</v>
      </c>
      <c r="B221" s="14">
        <f>[1]NG!B90</f>
        <v>3.082010158389092</v>
      </c>
      <c r="C221" s="16">
        <f>[1]MeOH_FTD!N168</f>
        <v>2.9685879010753644</v>
      </c>
      <c r="D221" s="17">
        <f>[1]MeOH_FTD!O168</f>
        <v>5.881336587480372</v>
      </c>
      <c r="E221" s="16">
        <f>[1]NG!T90</f>
        <v>2.9575206868510007</v>
      </c>
      <c r="F221" s="17">
        <f>[1]NG!U90</f>
        <v>0.56925896409083376</v>
      </c>
      <c r="G221" s="14">
        <f>[1]NG!Z90</f>
        <v>3.2330083742893301</v>
      </c>
      <c r="H221" s="16">
        <f>[1]MeOH_FTD!BJ168</f>
        <v>2.9575206868510007</v>
      </c>
      <c r="I221" s="17">
        <f>[1]MeOH_FTD!BK168</f>
        <v>-4.0153292671976706</v>
      </c>
      <c r="J221" s="16">
        <f>[1]NG!AE90</f>
        <v>6.7658391130185258</v>
      </c>
      <c r="K221" s="17">
        <f>[1]NG!AF90</f>
        <v>2.4361046351501323</v>
      </c>
      <c r="L221" s="16">
        <f>[1]NG!F90</f>
        <v>2.1180352004334098</v>
      </c>
      <c r="M221" s="17">
        <f>[1]NG!G90</f>
        <v>0.5296635492269347</v>
      </c>
      <c r="N221" s="2714">
        <f>[1]RNG!Y276</f>
        <v>0</v>
      </c>
    </row>
    <row r="222" spans="1:44">
      <c r="A222" s="59" t="s">
        <v>965</v>
      </c>
      <c r="B222" s="18">
        <f>[1]NG!B91</f>
        <v>10.286863782994383</v>
      </c>
      <c r="C222" s="19">
        <f>[1]MeOH_FTD!N169</f>
        <v>6.9623400036726135</v>
      </c>
      <c r="D222" s="20">
        <f>[1]MeOH_FTD!O169</f>
        <v>16.514820735352078</v>
      </c>
      <c r="E222" s="19">
        <f>[1]NG!T91</f>
        <v>6.6757431838311687</v>
      </c>
      <c r="F222" s="20">
        <f>[1]NG!U91</f>
        <v>6.1980200504202863</v>
      </c>
      <c r="G222" s="18">
        <f>[1]NG!Z91</f>
        <v>11.570946261166544</v>
      </c>
      <c r="H222" s="19">
        <f>[1]MeOH_FTD!BJ169</f>
        <v>6.6757431838311687</v>
      </c>
      <c r="I222" s="20">
        <f>[1]MeOH_FTD!BK169</f>
        <v>25.040004298342684</v>
      </c>
      <c r="J222" s="19">
        <f>[1]NG!AE91</f>
        <v>5.8375749251855398</v>
      </c>
      <c r="K222" s="20">
        <f>[1]NG!AF91</f>
        <v>6.1705187789247606</v>
      </c>
      <c r="L222" s="19">
        <f>[1]NG!F91</f>
        <v>6.7240900668699961</v>
      </c>
      <c r="M222" s="20">
        <f>[1]NG!G91</f>
        <v>1.7955600041359487</v>
      </c>
      <c r="N222" s="2714">
        <f>[1]RNG!Y277</f>
        <v>-28.216209696614314</v>
      </c>
    </row>
    <row r="223" spans="1:44">
      <c r="A223" s="59" t="s">
        <v>966</v>
      </c>
      <c r="B223" s="18">
        <f>[1]NG!B92</f>
        <v>31.245883768795618</v>
      </c>
      <c r="C223" s="19">
        <f>[1]MeOH_FTD!N170</f>
        <v>14.24094518046563</v>
      </c>
      <c r="D223" s="20">
        <f>[1]MeOH_FTD!O170</f>
        <v>6.1607678621665194</v>
      </c>
      <c r="E223" s="19">
        <f>[1]NG!T92</f>
        <v>12.775002485788779</v>
      </c>
      <c r="F223" s="20">
        <f>[1]NG!U92</f>
        <v>3.4041570100868896</v>
      </c>
      <c r="G223" s="18">
        <f>[1]NG!Z92</f>
        <v>37.749741900422208</v>
      </c>
      <c r="H223" s="19">
        <f>[1]MeOH_FTD!BJ170</f>
        <v>12.775002485788779</v>
      </c>
      <c r="I223" s="20">
        <f>[1]MeOH_FTD!BK170</f>
        <v>9.1403617227007459</v>
      </c>
      <c r="J223" s="19">
        <f>[1]NG!AE92</f>
        <v>11.153760878898765</v>
      </c>
      <c r="K223" s="20">
        <f>[1]NG!AF92</f>
        <v>4.8155231818836626</v>
      </c>
      <c r="L223" s="19">
        <f>[1]NG!F92</f>
        <v>13.015600657718384</v>
      </c>
      <c r="M223" s="20">
        <f>[1]NG!G92</f>
        <v>6.8699424914580023</v>
      </c>
      <c r="N223" s="2714">
        <f>[1]RNG!Y278</f>
        <v>-42.331377382329954</v>
      </c>
    </row>
    <row r="224" spans="1:44">
      <c r="A224" s="59" t="s">
        <v>967</v>
      </c>
      <c r="B224" s="18">
        <f>[1]NG!B93</f>
        <v>36.269984486244958</v>
      </c>
      <c r="C224" s="19">
        <f>[1]MeOH_FTD!N171</f>
        <v>16.206547367366674</v>
      </c>
      <c r="D224" s="20">
        <f>[1]MeOH_FTD!O171</f>
        <v>7.8172144833386525</v>
      </c>
      <c r="E224" s="19">
        <f>[1]NG!T93</f>
        <v>14.476941030388947</v>
      </c>
      <c r="F224" s="20">
        <f>[1]NG!U93</f>
        <v>5.1058395977899522</v>
      </c>
      <c r="G224" s="18">
        <f>[1]NG!Z93</f>
        <v>43.968466567599407</v>
      </c>
      <c r="H224" s="19">
        <f>[1]MeOH_FTD!BJ171</f>
        <v>14.476941030388947</v>
      </c>
      <c r="I224" s="20">
        <f>[1]MeOH_FTD!BK171</f>
        <v>9.1358038360292912</v>
      </c>
      <c r="J224" s="19">
        <f>[1]NG!AE93</f>
        <v>13.33159324979685</v>
      </c>
      <c r="K224" s="20">
        <f>[1]NG!AF93</f>
        <v>15.171906984702007</v>
      </c>
      <c r="L224" s="19">
        <f>[1]NG!F93</f>
        <v>14.737758953188404</v>
      </c>
      <c r="M224" s="20">
        <f>[1]NG!G93</f>
        <v>29.574141983621402</v>
      </c>
      <c r="N224" s="2714">
        <f>[1]RNG!Y279</f>
        <v>-13.685436653377941</v>
      </c>
    </row>
    <row r="225" spans="1:14">
      <c r="A225" s="59" t="s">
        <v>968</v>
      </c>
      <c r="B225" s="18">
        <f>[1]NG!B94</f>
        <v>0.42004758610254456</v>
      </c>
      <c r="C225" s="19">
        <f>[1]MeOH_FTD!N172</f>
        <v>0.37616832611661294</v>
      </c>
      <c r="D225" s="20">
        <f>[1]MeOH_FTD!O172</f>
        <v>1.621372012149018</v>
      </c>
      <c r="E225" s="19">
        <f>[1]NG!T94</f>
        <v>0.37238563774227679</v>
      </c>
      <c r="F225" s="20">
        <f>[1]NG!U94</f>
        <v>0.26560716821849051</v>
      </c>
      <c r="G225" s="18">
        <f>[1]NG!Z94</f>
        <v>0.4445154288539086</v>
      </c>
      <c r="H225" s="19">
        <f>[1]MeOH_FTD!BJ172</f>
        <v>0.37238563774227679</v>
      </c>
      <c r="I225" s="20">
        <f>[1]MeOH_FTD!BK172</f>
        <v>1.09747526095952</v>
      </c>
      <c r="J225" s="19">
        <f>[1]NG!AE94</f>
        <v>0.40409010604357137</v>
      </c>
      <c r="K225" s="20">
        <f>[1]NG!AF94</f>
        <v>1.3962797541555816</v>
      </c>
      <c r="L225" s="19">
        <f>[1]NG!F94</f>
        <v>0.37779309010293843</v>
      </c>
      <c r="M225" s="20">
        <f>[1]NG!G94</f>
        <v>1.5237799156385166</v>
      </c>
      <c r="N225" s="2714">
        <f>[1]RNG!Y280</f>
        <v>-5.4061596857689773</v>
      </c>
    </row>
    <row r="226" spans="1:14">
      <c r="A226" s="59" t="s">
        <v>969</v>
      </c>
      <c r="B226" s="21">
        <f>[1]NG!B95</f>
        <v>0.37869799481321043</v>
      </c>
      <c r="C226" s="19">
        <f>[1]MeOH_FTD!N173</f>
        <v>0.33817015661872996</v>
      </c>
      <c r="D226" s="20">
        <f>[1]MeOH_FTD!O173</f>
        <v>1.3183325057836706</v>
      </c>
      <c r="E226" s="19">
        <f>[1]NG!T95</f>
        <v>0.33467638323629473</v>
      </c>
      <c r="F226" s="20">
        <f>[1]NG!U95</f>
        <v>0.22486912794629649</v>
      </c>
      <c r="G226" s="21">
        <f>[1]NG!Z95</f>
        <v>0.39812486868589303</v>
      </c>
      <c r="H226" s="19">
        <f>[1]MeOH_FTD!BJ173</f>
        <v>0.33467638323629473</v>
      </c>
      <c r="I226" s="20">
        <f>[1]MeOH_FTD!BK173</f>
        <v>1.2908705049508178</v>
      </c>
      <c r="J226" s="19">
        <f>[1]NG!AE95</f>
        <v>0.35728293120124738</v>
      </c>
      <c r="K226" s="20">
        <f>[1]NG!AF95</f>
        <v>1.2593592244867051</v>
      </c>
      <c r="L226" s="19">
        <f>[1]NG!F95</f>
        <v>0.33951411551007071</v>
      </c>
      <c r="M226" s="20">
        <f>[1]NG!G95</f>
        <v>1.4200788659949402</v>
      </c>
      <c r="N226" s="2714">
        <f>[1]RNG!Y281</f>
        <v>-5.4061596857689773</v>
      </c>
    </row>
    <row r="227" spans="1:14">
      <c r="A227" s="59" t="s">
        <v>970</v>
      </c>
      <c r="B227" s="21">
        <f>[1]NG!B96</f>
        <v>11.10038516731889</v>
      </c>
      <c r="C227" s="19">
        <f>[1]MeOH_FTD!N174</f>
        <v>10.784953142355143</v>
      </c>
      <c r="D227" s="20">
        <f>[1]MeOH_FTD!O174</f>
        <v>6.4519732036729671</v>
      </c>
      <c r="E227" s="19">
        <f>[1]NG!T96</f>
        <v>10.757760736283636</v>
      </c>
      <c r="F227" s="20">
        <f>[1]NG!U96</f>
        <v>11.01887162681793</v>
      </c>
      <c r="G227" s="21">
        <f>[1]NG!Z96</f>
        <v>11.310974668180325</v>
      </c>
      <c r="H227" s="19">
        <f>[1]MeOH_FTD!BJ174</f>
        <v>10.757760736283636</v>
      </c>
      <c r="I227" s="20">
        <f>[1]MeOH_FTD!BK174</f>
        <v>4.1397358831570719</v>
      </c>
      <c r="J227" s="19">
        <f>[1]NG!AE96</f>
        <v>8.6793123030198025</v>
      </c>
      <c r="K227" s="20">
        <f>[1]NG!AF96</f>
        <v>16.41552841430839</v>
      </c>
      <c r="L227" s="19">
        <f>[1]NG!F96</f>
        <v>10.76603583522674</v>
      </c>
      <c r="M227" s="20">
        <f>[1]NG!G96</f>
        <v>9.2540199122630415</v>
      </c>
      <c r="N227" s="2714">
        <f>[1]RNG!Y282</f>
        <v>-0.27393692777212614</v>
      </c>
    </row>
    <row r="228" spans="1:14">
      <c r="A228" s="59" t="s">
        <v>971</v>
      </c>
      <c r="B228" s="21">
        <f>[1]NG!B97</f>
        <v>9.922907856156217E-2</v>
      </c>
      <c r="C228" s="19">
        <f>[1]MeOH_FTD!N175</f>
        <v>9.1015902442063784E-2</v>
      </c>
      <c r="D228" s="20">
        <f>[1]MeOH_FTD!O175</f>
        <v>-1.4599468006497895E-2</v>
      </c>
      <c r="E228" s="19">
        <f>[1]NG!T97</f>
        <v>9.0307871393449993E-2</v>
      </c>
      <c r="F228" s="20">
        <f>[1]NG!U97</f>
        <v>2.5429140713950811E-2</v>
      </c>
      <c r="G228" s="21">
        <f>[1]NG!Z97</f>
        <v>0.10283901123103301</v>
      </c>
      <c r="H228" s="19">
        <f>[1]MeOH_FTD!BJ175</f>
        <v>9.0307871393449993E-2</v>
      </c>
      <c r="I228" s="20">
        <f>[1]MeOH_FTD!BK175</f>
        <v>4.3784170945835414E-2</v>
      </c>
      <c r="J228" s="19">
        <f>[1]NG!AE97</f>
        <v>8.7599924167753696E-2</v>
      </c>
      <c r="K228" s="20">
        <f>[1]NG!AF97</f>
        <v>0.1671484957574681</v>
      </c>
      <c r="L228" s="19">
        <f>[1]NG!F97</f>
        <v>9.1460661908547888E-2</v>
      </c>
      <c r="M228" s="20">
        <f>[1]NG!G97</f>
        <v>0.17553139000186452</v>
      </c>
      <c r="N228" s="2714">
        <f>[1]RNG!Y283</f>
        <v>-5.72954763659021</v>
      </c>
    </row>
    <row r="229" spans="1:14">
      <c r="A229" s="59" t="s">
        <v>972</v>
      </c>
      <c r="B229" s="21">
        <f>[1]NG!B98</f>
        <v>0.14327969770686483</v>
      </c>
      <c r="C229" s="19">
        <f>[1]MeOH_FTD!N176</f>
        <v>0.12688402542682517</v>
      </c>
      <c r="D229" s="20">
        <f>[1]MeOH_FTD!O176</f>
        <v>-1.9305439297598745E-2</v>
      </c>
      <c r="E229" s="19">
        <f>[1]NG!T98</f>
        <v>0.1254706075649813</v>
      </c>
      <c r="F229" s="20">
        <f>[1]NG!U98</f>
        <v>0.10577535820024467</v>
      </c>
      <c r="G229" s="21">
        <f>[1]NG!Z98</f>
        <v>0.14962709543534916</v>
      </c>
      <c r="H229" s="19">
        <f>[1]MeOH_FTD!BJ176</f>
        <v>0.1254706075649813</v>
      </c>
      <c r="I229" s="20">
        <f>[1]MeOH_FTD!BK176</f>
        <v>-2.0832575653890385E-2</v>
      </c>
      <c r="J229" s="19">
        <f>[1]NG!AE98</f>
        <v>0.1319230614777703</v>
      </c>
      <c r="K229" s="20">
        <f>[1]NG!AF98</f>
        <v>0.42685738050580713</v>
      </c>
      <c r="L229" s="19">
        <f>[1]NG!F98</f>
        <v>0.12728282905404409</v>
      </c>
      <c r="M229" s="20">
        <f>[1]NG!G98</f>
        <v>0.64776248902265365</v>
      </c>
      <c r="N229" s="2714">
        <f>[1]RNG!Y284</f>
        <v>0.13580324168234237</v>
      </c>
    </row>
    <row r="230" spans="1:14">
      <c r="A230" s="59" t="s">
        <v>887</v>
      </c>
      <c r="B230" s="21">
        <f>[1]NG!B99</f>
        <v>216.36395413450404</v>
      </c>
      <c r="C230" s="19">
        <f>[1]MeOH_FTD!N177</f>
        <v>154.40463472003435</v>
      </c>
      <c r="D230" s="20">
        <f>[1]MeOH_FTD!O177</f>
        <v>62.978623551634705</v>
      </c>
      <c r="E230" s="19">
        <f>[1]NG!T99</f>
        <v>149.0633128910298</v>
      </c>
      <c r="F230" s="20">
        <f>[1]NG!U99</f>
        <v>12.978850126012652</v>
      </c>
      <c r="G230" s="21">
        <f>[1]NG!Z99</f>
        <v>314.87579596697032</v>
      </c>
      <c r="H230" s="19">
        <f>[1]MeOH_FTD!BJ177</f>
        <v>149.0633128910298</v>
      </c>
      <c r="I230" s="20">
        <f>[1]MeOH_FTD!BK177</f>
        <v>92.991643680801957</v>
      </c>
      <c r="J230" s="19">
        <f>[1]NG!AE99</f>
        <v>131.24062692973465</v>
      </c>
      <c r="K230" s="20">
        <f>[1]NG!AF99</f>
        <v>16.826877750412478</v>
      </c>
      <c r="L230" s="19">
        <f>[1]NG!F99</f>
        <v>148.06611961923701</v>
      </c>
      <c r="M230" s="20">
        <f>[1]NG!G99</f>
        <v>107.00030044730954</v>
      </c>
      <c r="N230" s="2714">
        <f>[1]RNG!Y285</f>
        <v>384.29844655783586</v>
      </c>
    </row>
    <row r="231" spans="1:14">
      <c r="A231" s="59" t="s">
        <v>888</v>
      </c>
      <c r="B231" s="21">
        <f>[1]NG!B100</f>
        <v>1.4197316238953248</v>
      </c>
      <c r="C231" s="19">
        <f>[1]MeOH_FTD!N178</f>
        <v>0.23543858911900134</v>
      </c>
      <c r="D231" s="20">
        <f>[1]MeOH_FTD!O178</f>
        <v>0.10098735912854986</v>
      </c>
      <c r="E231" s="19">
        <f>[1]NG!T100</f>
        <v>0.1333443621887164</v>
      </c>
      <c r="F231" s="20">
        <f>[1]NG!U100</f>
        <v>3.4198021361509054E-2</v>
      </c>
      <c r="G231" s="21">
        <f>[1]NG!Z100</f>
        <v>1.8721672602423411</v>
      </c>
      <c r="H231" s="19">
        <f>[1]MeOH_FTD!BJ178</f>
        <v>0.1333443621887164</v>
      </c>
      <c r="I231" s="20">
        <f>[1]MeOH_FTD!BK178</f>
        <v>-3.8959957387724627E-2</v>
      </c>
      <c r="J231" s="19">
        <f>[1]NG!AE100</f>
        <v>0.11174210142846</v>
      </c>
      <c r="K231" s="20">
        <f>[1]NG!AF100</f>
        <v>6.815604565361226E-2</v>
      </c>
      <c r="L231" s="19">
        <f>[1]NG!F100</f>
        <v>0.13351667975761411</v>
      </c>
      <c r="M231" s="20">
        <f>[1]NG!G100</f>
        <v>5.2549243527369768E-2</v>
      </c>
      <c r="N231" s="2714">
        <f>[1]RNG!Y286</f>
        <v>-1.3019529375153069</v>
      </c>
    </row>
    <row r="232" spans="1:14">
      <c r="A232" s="59" t="s">
        <v>889</v>
      </c>
      <c r="B232" s="15">
        <f>[1]NG!B101</f>
        <v>6132.7053209759642</v>
      </c>
      <c r="C232" s="16">
        <f>[1]MeOH_FTD!N179</f>
        <v>4626.2182640240544</v>
      </c>
      <c r="D232" s="17">
        <f>[1]MeOH_FTD!O179</f>
        <v>14126.334954658636</v>
      </c>
      <c r="E232" s="16">
        <f>[1]NG!T101</f>
        <v>4496.3487398131638</v>
      </c>
      <c r="F232" s="17">
        <f>[1]NG!U101</f>
        <v>3415.0612184339643</v>
      </c>
      <c r="G232" s="15">
        <f>[1]NG!Z101</f>
        <v>6736.8447688776942</v>
      </c>
      <c r="H232" s="16">
        <f>[1]MeOH_FTD!BJ179</f>
        <v>4496.3487398131638</v>
      </c>
      <c r="I232" s="17">
        <f>[1]MeOH_FTD!BK179</f>
        <v>25649.779387193943</v>
      </c>
      <c r="J232" s="16">
        <f>[1]NG!AE101</f>
        <v>4159.9158147153285</v>
      </c>
      <c r="K232" s="17">
        <f>[1]NG!AF101</f>
        <v>5203.0730150480249</v>
      </c>
      <c r="L232" s="16">
        <f>[1]NG!F101</f>
        <v>4537.9264847164368</v>
      </c>
      <c r="M232" s="17">
        <f>[1]NG!G101</f>
        <v>7108.7925275680036</v>
      </c>
      <c r="N232" s="1487">
        <f>[1]RNG!Y287</f>
        <v>258.20196307358003</v>
      </c>
    </row>
    <row r="233" spans="1:14">
      <c r="A233" s="59" t="s">
        <v>2069</v>
      </c>
      <c r="B233" s="15">
        <f>[1]NG!B102</f>
        <v>6213.8667209267851</v>
      </c>
      <c r="C233" s="16">
        <f>[1]MeOH_FTD!N180</f>
        <v>4670.2961851762329</v>
      </c>
      <c r="D233" s="17">
        <f>[1]MeOH_FTD!O180</f>
        <v>14187.48735259103</v>
      </c>
      <c r="E233" s="16">
        <f>[1]NG!T102</f>
        <v>4537.2298099756772</v>
      </c>
      <c r="F233" s="17">
        <f>[1]NG!U102</f>
        <v>3439.7277705117203</v>
      </c>
      <c r="G233" s="15">
        <f>[1]NG!Z102</f>
        <v>6832.2285743780412</v>
      </c>
      <c r="H233" s="16">
        <f>[1]MeOH_FTD!BJ180</f>
        <v>4537.2298099756772</v>
      </c>
      <c r="I233" s="17">
        <f>[1]MeOH_FTD!BK180</f>
        <v>25742.184159488021</v>
      </c>
      <c r="J233" s="16">
        <f>[1]NG!AE102</f>
        <v>4195.6369284228067</v>
      </c>
      <c r="K233" s="17">
        <f>[1]NG!AF102</f>
        <v>5229.8717159567295</v>
      </c>
      <c r="L233" s="16">
        <f>[1]NG!F102</f>
        <v>4579.3363188393587</v>
      </c>
      <c r="M233" s="17">
        <f>[1]NG!G102</f>
        <v>7125.1843134960418</v>
      </c>
      <c r="N233" s="1487">
        <f>[1]RNG!Y288</f>
        <v>103.74070696594693</v>
      </c>
    </row>
    <row r="234" spans="1:14">
      <c r="A234" s="118" t="s">
        <v>1896</v>
      </c>
      <c r="B234" s="22">
        <f>[1]NG!B103</f>
        <v>13081.014225294166</v>
      </c>
      <c r="C234" s="23">
        <f>[1]MeOH_FTD!N181</f>
        <v>9364.826452893798</v>
      </c>
      <c r="D234" s="24">
        <f>[1]MeOH_FTD!O181</f>
        <v>16103.607709309137</v>
      </c>
      <c r="E234" s="23">
        <f>[1]NG!T103</f>
        <v>9044.4654526865816</v>
      </c>
      <c r="F234" s="24">
        <f>[1]NG!U103</f>
        <v>3838.1557499528999</v>
      </c>
      <c r="G234" s="22">
        <f>[1]NG!Z103</f>
        <v>16774.626777351372</v>
      </c>
      <c r="H234" s="23">
        <f>[1]MeOH_FTD!BJ181</f>
        <v>9044.4654526865816</v>
      </c>
      <c r="I234" s="24">
        <f>[1]MeOH_FTD!BK181</f>
        <v>28521.609081204333</v>
      </c>
      <c r="J234" s="23">
        <f>[1]NG!AE103</f>
        <v>8162.4673931933885</v>
      </c>
      <c r="K234" s="24">
        <f>[1]NG!AF103</f>
        <v>5752.7394005673113</v>
      </c>
      <c r="L234" s="23">
        <f>[1]NG!F103</f>
        <v>9056.7018275522369</v>
      </c>
      <c r="M234" s="24">
        <f>[1]NG!G103</f>
        <v>10349.11887645008</v>
      </c>
      <c r="N234" s="1489">
        <f>[1]RNG!Y289</f>
        <v>10230.855847225419</v>
      </c>
    </row>
    <row r="235" spans="1:14" ht="15">
      <c r="A235" s="120" t="s">
        <v>2070</v>
      </c>
      <c r="N235" s="2715"/>
    </row>
    <row r="236" spans="1:14">
      <c r="A236" s="58" t="s">
        <v>2068</v>
      </c>
      <c r="B236" s="58"/>
      <c r="C236" s="240"/>
      <c r="D236" s="248">
        <f>[1]MeOH_FTD!O183</f>
        <v>1.0002491498669328</v>
      </c>
      <c r="E236" s="240"/>
      <c r="F236" s="248">
        <f>[1]NG!U105</f>
        <v>1.0000577907384296</v>
      </c>
      <c r="G236" s="58"/>
      <c r="H236" s="240"/>
      <c r="I236" s="248">
        <f>[1]MeOH_FTD!BK183</f>
        <v>1.0008307840362127</v>
      </c>
      <c r="J236" s="240"/>
      <c r="K236" s="248">
        <f>[1]NG!AF105</f>
        <v>0.97013106135058214</v>
      </c>
      <c r="L236" s="240">
        <f>[1]NG!F105</f>
        <v>0</v>
      </c>
      <c r="M236" s="248">
        <f>[1]NG!G105</f>
        <v>1.0166250453537191</v>
      </c>
      <c r="N236" s="2716"/>
    </row>
    <row r="237" spans="1:14">
      <c r="A237" s="59" t="s">
        <v>965</v>
      </c>
      <c r="B237" s="18">
        <f>[1]NG!B106</f>
        <v>0.59812330026145544</v>
      </c>
      <c r="C237" s="19">
        <f>[1]MeOH_FTD!N184</f>
        <v>0.15435226553406992</v>
      </c>
      <c r="D237" s="20">
        <f>[1]MeOH_FTD!O184</f>
        <v>8.9398699032097682</v>
      </c>
      <c r="E237" s="19">
        <f>[1]NG!T106</f>
        <v>0.11609614283471048</v>
      </c>
      <c r="F237" s="20">
        <f>[1]NG!U106</f>
        <v>0.95148434501048273</v>
      </c>
      <c r="G237" s="18">
        <f>[1]NG!Z106</f>
        <v>0.10040523017126046</v>
      </c>
      <c r="H237" s="19">
        <f>[1]MeOH_FTD!BJ184</f>
        <v>0.11609614283471048</v>
      </c>
      <c r="I237" s="20">
        <f>[1]MeOH_FTD!BK184</f>
        <v>13.400761298486412</v>
      </c>
      <c r="J237" s="19">
        <f>[1]NG!AE106</f>
        <v>0.23420499582758658</v>
      </c>
      <c r="K237" s="20">
        <f>[1]NG!AF106</f>
        <v>0.51636340015161797</v>
      </c>
      <c r="L237" s="19">
        <f>[1]NG!F106</f>
        <v>5.301814271734448E-2</v>
      </c>
      <c r="M237" s="20">
        <f>[1]NG!G106</f>
        <v>6.6348587554027907E-2</v>
      </c>
      <c r="N237" s="2714">
        <f>[1]RNG!Y291</f>
        <v>-14.108104848307157</v>
      </c>
    </row>
    <row r="238" spans="1:14">
      <c r="A238" s="59" t="s">
        <v>966</v>
      </c>
      <c r="B238" s="18">
        <f>[1]NG!B107</f>
        <v>2.8737184061530598</v>
      </c>
      <c r="C238" s="19">
        <f>[1]MeOH_FTD!N185</f>
        <v>0.53020456238213698</v>
      </c>
      <c r="D238" s="20">
        <f>[1]MeOH_FTD!O185</f>
        <v>0.76891695617002465</v>
      </c>
      <c r="E238" s="19">
        <f>[1]NG!T107</f>
        <v>0.32817750999977696</v>
      </c>
      <c r="F238" s="20">
        <f>[1]NG!U107</f>
        <v>0.23272768344404121</v>
      </c>
      <c r="G238" s="18">
        <f>[1]NG!Z107</f>
        <v>0.2352150743257431</v>
      </c>
      <c r="H238" s="19">
        <f>[1]MeOH_FTD!BJ185</f>
        <v>0.32817750999977696</v>
      </c>
      <c r="I238" s="20">
        <f>[1]MeOH_FTD!BK185</f>
        <v>0.20253813534967849</v>
      </c>
      <c r="J238" s="19">
        <f>[1]NG!AE107</f>
        <v>0.30279919891586932</v>
      </c>
      <c r="K238" s="20">
        <f>[1]NG!AF107</f>
        <v>0.67414954664431614</v>
      </c>
      <c r="L238" s="19">
        <f>[1]NG!F107</f>
        <v>0.21613249675516999</v>
      </c>
      <c r="M238" s="20">
        <f>[1]NG!G107</f>
        <v>0.12089829554479326</v>
      </c>
      <c r="N238" s="2714">
        <f>[1]RNG!Y292</f>
        <v>-21.165688691164977</v>
      </c>
    </row>
    <row r="239" spans="1:14">
      <c r="A239" s="59" t="s">
        <v>967</v>
      </c>
      <c r="B239" s="18">
        <f>[1]NG!B108</f>
        <v>3.4062695270437726</v>
      </c>
      <c r="C239" s="19">
        <f>[1]MeOH_FTD!N186</f>
        <v>0.63552560845766881</v>
      </c>
      <c r="D239" s="20">
        <f>[1]MeOH_FTD!O186</f>
        <v>1.1791039259069889</v>
      </c>
      <c r="E239" s="19">
        <f>[1]NG!T108</f>
        <v>0.39666837767072294</v>
      </c>
      <c r="F239" s="20">
        <f>[1]NG!U108</f>
        <v>0.34785145723503486</v>
      </c>
      <c r="G239" s="18">
        <f>[1]NG!Z108</f>
        <v>0.30152687542096268</v>
      </c>
      <c r="H239" s="19">
        <f>[1]MeOH_FTD!BJ186</f>
        <v>0.39666837767072294</v>
      </c>
      <c r="I239" s="20">
        <f>[1]MeOH_FTD!BK186</f>
        <v>-0.40227579323343077</v>
      </c>
      <c r="J239" s="19">
        <f>[1]NG!AE108</f>
        <v>0.42501629952821945</v>
      </c>
      <c r="K239" s="20">
        <f>[1]NG!AF108</f>
        <v>0.79392601805641327</v>
      </c>
      <c r="L239" s="19">
        <f>[1]NG!F108</f>
        <v>0.27110806004506283</v>
      </c>
      <c r="M239" s="20">
        <f>[1]NG!G108</f>
        <v>1.3191051375429959</v>
      </c>
      <c r="N239" s="2714">
        <f>[1]RNG!Y293</f>
        <v>-6.8427183266889706</v>
      </c>
    </row>
    <row r="240" spans="1:14">
      <c r="A240" s="59" t="s">
        <v>968</v>
      </c>
      <c r="B240" s="18">
        <f>[1]NG!B109</f>
        <v>1.4612388752382365E-2</v>
      </c>
      <c r="C240" s="19">
        <f>[1]MeOH_FTD!N187</f>
        <v>9.1982336280945522E-3</v>
      </c>
      <c r="D240" s="20">
        <f>[1]MeOH_FTD!O187</f>
        <v>0.2243456773297875</v>
      </c>
      <c r="E240" s="19">
        <f>[1]NG!T109</f>
        <v>8.7314962599946491E-3</v>
      </c>
      <c r="F240" s="20">
        <f>[1]NG!U109</f>
        <v>2.243845428351476E-2</v>
      </c>
      <c r="G240" s="18">
        <f>[1]NG!Z109</f>
        <v>1.1542553871191998E-2</v>
      </c>
      <c r="H240" s="19">
        <f>[1]MeOH_FTD!BJ187</f>
        <v>8.7314962599946491E-3</v>
      </c>
      <c r="I240" s="20">
        <f>[1]MeOH_FTD!BK187</f>
        <v>1.9762136190278452E-2</v>
      </c>
      <c r="J240" s="19">
        <f>[1]NG!AE109</f>
        <v>1.6198667301387873E-2</v>
      </c>
      <c r="K240" s="20">
        <f>[1]NG!AF109</f>
        <v>0.22399407871044419</v>
      </c>
      <c r="L240" s="19">
        <f>[1]NG!F109</f>
        <v>5.3001360468764502E-3</v>
      </c>
      <c r="M240" s="20">
        <f>[1]NG!G109</f>
        <v>6.3712566175151419E-2</v>
      </c>
      <c r="N240" s="2714">
        <f>[1]RNG!Y294</f>
        <v>-2.7030798428844887</v>
      </c>
    </row>
    <row r="241" spans="1:14">
      <c r="A241" s="59" t="s">
        <v>969</v>
      </c>
      <c r="B241" s="21">
        <f>[1]NG!B110</f>
        <v>1.3496899530451377E-2</v>
      </c>
      <c r="C241" s="19">
        <f>[1]MeOH_FTD!N188</f>
        <v>8.2545458813226957E-3</v>
      </c>
      <c r="D241" s="20">
        <f>[1]MeOH_FTD!O188</f>
        <v>0.19365130662881372</v>
      </c>
      <c r="E241" s="19">
        <f>[1]NG!T110</f>
        <v>7.8026189685430633E-3</v>
      </c>
      <c r="F241" s="20">
        <f>[1]NG!U110</f>
        <v>1.6525391315033115E-2</v>
      </c>
      <c r="G241" s="21">
        <f>[1]NG!Z110</f>
        <v>1.0154460774370152E-2</v>
      </c>
      <c r="H241" s="19">
        <f>[1]MeOH_FTD!BJ188</f>
        <v>7.8026189685430633E-3</v>
      </c>
      <c r="I241" s="20">
        <f>[1]MeOH_FTD!BK188</f>
        <v>2.6969693301927701E-2</v>
      </c>
      <c r="J241" s="19">
        <f>[1]NG!AE110</f>
        <v>1.4500738927668089E-2</v>
      </c>
      <c r="K241" s="20">
        <f>[1]NG!AF110</f>
        <v>0.19599480601881314</v>
      </c>
      <c r="L241" s="19">
        <f>[1]NG!F110</f>
        <v>4.6742897818304518E-3</v>
      </c>
      <c r="M241" s="20">
        <f>[1]NG!G110</f>
        <v>5.8324147084318115E-2</v>
      </c>
      <c r="N241" s="2714">
        <f>[1]RNG!Y295</f>
        <v>-2.7030798428844887</v>
      </c>
    </row>
    <row r="242" spans="1:14">
      <c r="A242" s="59" t="s">
        <v>970</v>
      </c>
      <c r="B242" s="18">
        <f>[1]NG!B111</f>
        <v>0.14705101704010839</v>
      </c>
      <c r="C242" s="19">
        <f>[1]MeOH_FTD!N189</f>
        <v>0.13362636134613437</v>
      </c>
      <c r="D242" s="20">
        <f>[1]MeOH_FTD!O189</f>
        <v>0.88125993715211537</v>
      </c>
      <c r="E242" s="19">
        <f>[1]NG!T111</f>
        <v>0.13246906381259446</v>
      </c>
      <c r="F242" s="20">
        <f>[1]NG!U111</f>
        <v>0.19812665264335894</v>
      </c>
      <c r="G242" s="18">
        <f>[1]NG!Z111</f>
        <v>0.16478656614601161</v>
      </c>
      <c r="H242" s="19">
        <f>[1]MeOH_FTD!BJ189</f>
        <v>0.13246906381259446</v>
      </c>
      <c r="I242" s="20">
        <f>[1]MeOH_FTD!BK189</f>
        <v>-0.97984380525396197</v>
      </c>
      <c r="J242" s="19">
        <f>[1]NG!AE111</f>
        <v>0.15822897381390594</v>
      </c>
      <c r="K242" s="20">
        <f>[1]NG!AF111</f>
        <v>0.6540973532111185</v>
      </c>
      <c r="L242" s="19">
        <f>[1]NG!F111</f>
        <v>2.6282758865746145E-2</v>
      </c>
      <c r="M242" s="20">
        <f>[1]NG!G111</f>
        <v>0.44353178429238937</v>
      </c>
      <c r="N242" s="2714">
        <f>[1]RNG!Y296</f>
        <v>-0.13696846388606307</v>
      </c>
    </row>
    <row r="243" spans="1:14">
      <c r="A243" s="59" t="s">
        <v>971</v>
      </c>
      <c r="B243" s="21">
        <f>[1]NG!B112</f>
        <v>2.2540595793461085E-3</v>
      </c>
      <c r="C243" s="19">
        <f>[1]MeOH_FTD!N190</f>
        <v>1.3723207572987437E-3</v>
      </c>
      <c r="D243" s="20">
        <f>[1]MeOH_FTD!O190</f>
        <v>-4.4712862576963184E-4</v>
      </c>
      <c r="E243" s="19">
        <f>[1]NG!T112</f>
        <v>1.296308810643663E-3</v>
      </c>
      <c r="F243" s="20">
        <f>[1]NG!U112</f>
        <v>1.4248713479043632E-3</v>
      </c>
      <c r="G243" s="21">
        <f>[1]NG!Z112</f>
        <v>1.414638317444679E-3</v>
      </c>
      <c r="H243" s="19">
        <f>[1]MeOH_FTD!BJ190</f>
        <v>1.296308810643663E-3</v>
      </c>
      <c r="I243" s="20">
        <f>[1]MeOH_FTD!BK190</f>
        <v>-5.0420256979468508E-3</v>
      </c>
      <c r="J243" s="19">
        <f>[1]NG!AE112</f>
        <v>1.9413608253232143E-3</v>
      </c>
      <c r="K243" s="20">
        <f>[1]NG!AF112</f>
        <v>1.517362756272779E-2</v>
      </c>
      <c r="L243" s="19">
        <f>[1]NG!F112</f>
        <v>4.1773863346071809E-4</v>
      </c>
      <c r="M243" s="20">
        <f>[1]NG!G112</f>
        <v>8.217688952397495E-3</v>
      </c>
      <c r="N243" s="2714">
        <f>[1]RNG!Y297</f>
        <v>-2.864773818295105</v>
      </c>
    </row>
    <row r="244" spans="1:14">
      <c r="A244" s="118" t="s">
        <v>972</v>
      </c>
      <c r="B244" s="26">
        <f>[1]NG!B113</f>
        <v>4.6353752836528189E-3</v>
      </c>
      <c r="C244" s="27">
        <f>[1]MeOH_FTD!N191</f>
        <v>2.5690910164227654E-3</v>
      </c>
      <c r="D244" s="28">
        <f>[1]MeOH_FTD!O191</f>
        <v>1.3922461951116311E-2</v>
      </c>
      <c r="E244" s="27">
        <f>[1]NG!T113</f>
        <v>2.3909630979877792E-3</v>
      </c>
      <c r="F244" s="28">
        <f>[1]NG!U113</f>
        <v>5.7478216883142105E-3</v>
      </c>
      <c r="G244" s="26">
        <f>[1]NG!Z113</f>
        <v>2.7094352226085354E-3</v>
      </c>
      <c r="H244" s="27">
        <f>[1]MeOH_FTD!BJ191</f>
        <v>2.3909630979877792E-3</v>
      </c>
      <c r="I244" s="28">
        <f>[1]MeOH_FTD!BK191</f>
        <v>-3.3355766322693228E-2</v>
      </c>
      <c r="J244" s="27">
        <f>[1]NG!AE113</f>
        <v>4.5446131711996737E-3</v>
      </c>
      <c r="K244" s="28">
        <f>[1]NG!AF113</f>
        <v>1.9996124989907636E-2</v>
      </c>
      <c r="L244" s="27">
        <f>[1]NG!F113</f>
        <v>1.1978547257745192E-3</v>
      </c>
      <c r="M244" s="28">
        <f>[1]NG!G113</f>
        <v>2.1792777289757655E-2</v>
      </c>
      <c r="N244" s="2717">
        <f>[1]RNG!Y298</f>
        <v>6.7901620841171184E-2</v>
      </c>
    </row>
    <row r="245" spans="1:14">
      <c r="A245" s="172"/>
    </row>
    <row r="246" spans="1:14" ht="15.75">
      <c r="A246" s="81" t="s">
        <v>2078</v>
      </c>
    </row>
    <row r="247" spans="1:14" ht="25.5">
      <c r="A247" s="58"/>
      <c r="B247" s="266" t="s">
        <v>2079</v>
      </c>
      <c r="C247" s="114"/>
      <c r="D247" s="2980" t="s">
        <v>2635</v>
      </c>
      <c r="E247" s="2981"/>
    </row>
    <row r="248" spans="1:14">
      <c r="A248" s="118"/>
      <c r="B248" s="2480" t="s">
        <v>2080</v>
      </c>
      <c r="C248" s="2504" t="s">
        <v>2081</v>
      </c>
      <c r="D248" s="1329" t="s">
        <v>2077</v>
      </c>
      <c r="E248" s="1330" t="s">
        <v>1971</v>
      </c>
    </row>
    <row r="249" spans="1:14">
      <c r="A249" s="59" t="s">
        <v>2068</v>
      </c>
      <c r="B249" s="1318"/>
      <c r="C249" s="235"/>
      <c r="D249" s="1553"/>
      <c r="E249" s="478"/>
    </row>
    <row r="250" spans="1:14">
      <c r="A250" s="59" t="s">
        <v>876</v>
      </c>
      <c r="B250" s="631">
        <f>[1]Hydrogen!BV255</f>
        <v>315292.14238480804</v>
      </c>
      <c r="C250" s="245">
        <f>[1]Hydrogen!BW255</f>
        <v>1000000</v>
      </c>
      <c r="D250" s="522">
        <f>[1]Hydrogen!D255</f>
        <v>1377410.4683195592</v>
      </c>
      <c r="E250" s="159">
        <f>[1]Hydrogen!E255</f>
        <v>274916.20675849199</v>
      </c>
    </row>
    <row r="251" spans="1:14">
      <c r="A251" s="59" t="s">
        <v>877</v>
      </c>
      <c r="B251" s="631">
        <f>[1]Hydrogen!BV256</f>
        <v>311835.22390836041</v>
      </c>
      <c r="C251" s="245">
        <f>[1]Hydrogen!BW256</f>
        <v>1000000</v>
      </c>
      <c r="D251" s="522">
        <f>[1]Hydrogen!D256</f>
        <v>0</v>
      </c>
      <c r="E251" s="159">
        <f>[1]Hydrogen!E256</f>
        <v>217737.58667885224</v>
      </c>
    </row>
    <row r="252" spans="1:14">
      <c r="A252" s="59" t="s">
        <v>442</v>
      </c>
      <c r="B252" s="631">
        <f>[1]Hydrogen!BV257</f>
        <v>4568.4430277141837</v>
      </c>
      <c r="C252" s="245">
        <f>[1]Hydrogen!BW257</f>
        <v>0</v>
      </c>
      <c r="D252" s="522">
        <f>[1]Hydrogen!D257</f>
        <v>0</v>
      </c>
      <c r="E252" s="159">
        <f>[1]Hydrogen!E257</f>
        <v>75585.763092010471</v>
      </c>
    </row>
    <row r="253" spans="1:14">
      <c r="A253" s="59" t="s">
        <v>878</v>
      </c>
      <c r="B253" s="631">
        <f>[1]Hydrogen!BV258</f>
        <v>302423.85010499106</v>
      </c>
      <c r="C253" s="245">
        <f>[1]Hydrogen!BW258</f>
        <v>1000000</v>
      </c>
      <c r="D253" s="522">
        <f>[1]Hydrogen!D258</f>
        <v>0</v>
      </c>
      <c r="E253" s="159">
        <f>[1]Hydrogen!E258</f>
        <v>139787.14942183299</v>
      </c>
    </row>
    <row r="254" spans="1:14">
      <c r="A254" s="59" t="s">
        <v>440</v>
      </c>
      <c r="B254" s="631">
        <f>[1]Hydrogen!BV259</f>
        <v>4842.930775655158</v>
      </c>
      <c r="C254" s="245">
        <f>[1]Hydrogen!BW259</f>
        <v>0</v>
      </c>
      <c r="D254" s="522">
        <f>[1]Hydrogen!D259</f>
        <v>0</v>
      </c>
      <c r="E254" s="159">
        <f>[1]Hydrogen!E259</f>
        <v>2364.6741650087765</v>
      </c>
    </row>
    <row r="255" spans="1:14">
      <c r="A255" s="59" t="s">
        <v>819</v>
      </c>
      <c r="B255" s="631">
        <f>[1]Hydrogen!BV260</f>
        <v>25.421719380908073</v>
      </c>
      <c r="C255" s="245">
        <f>[1]Hydrogen!BW260</f>
        <v>0</v>
      </c>
      <c r="D255" s="1553">
        <f>[1]Hydrogen!D260</f>
        <v>25.499999999999996</v>
      </c>
      <c r="E255" s="478">
        <f>[1]Hydrogen!E260</f>
        <v>14.733015778633225</v>
      </c>
    </row>
    <row r="256" spans="1:14">
      <c r="A256" s="59" t="s">
        <v>965</v>
      </c>
      <c r="B256" s="1318">
        <f>[1]Hydrogen!BV261</f>
        <v>10.272813316541296</v>
      </c>
      <c r="C256" s="235">
        <f>[1]Hydrogen!BW261</f>
        <v>0</v>
      </c>
      <c r="D256" s="1553">
        <f>[1]Hydrogen!D261</f>
        <v>0</v>
      </c>
      <c r="E256" s="478">
        <f>[1]Hydrogen!E261</f>
        <v>1.8783895161050606</v>
      </c>
    </row>
    <row r="257" spans="1:5">
      <c r="A257" s="59" t="s">
        <v>966</v>
      </c>
      <c r="B257" s="1318">
        <f>[1]Hydrogen!BV262</f>
        <v>15.96103329059012</v>
      </c>
      <c r="C257" s="235">
        <f>[1]Hydrogen!BW262</f>
        <v>0</v>
      </c>
      <c r="D257" s="1553">
        <f>[1]Hydrogen!D262</f>
        <v>0</v>
      </c>
      <c r="E257" s="478">
        <f>[1]Hydrogen!E262</f>
        <v>5.0772667842731654</v>
      </c>
    </row>
    <row r="258" spans="1:5">
      <c r="A258" s="59" t="s">
        <v>967</v>
      </c>
      <c r="B258" s="1318">
        <f>[1]Hydrogen!BV263</f>
        <v>20.908770075710624</v>
      </c>
      <c r="C258" s="235">
        <f>[1]Hydrogen!BW263</f>
        <v>0</v>
      </c>
      <c r="D258" s="1553">
        <f>[1]Hydrogen!D263</f>
        <v>0</v>
      </c>
      <c r="E258" s="478">
        <f>[1]Hydrogen!E263</f>
        <v>10.459485122770852</v>
      </c>
    </row>
    <row r="259" spans="1:5">
      <c r="A259" s="59" t="s">
        <v>968</v>
      </c>
      <c r="B259" s="1318">
        <f>[1]Hydrogen!BV264</f>
        <v>2.8332130563147859</v>
      </c>
      <c r="C259" s="235">
        <f>[1]Hydrogen!BW264</f>
        <v>0</v>
      </c>
      <c r="D259" s="1553">
        <f>[1]Hydrogen!D264</f>
        <v>0</v>
      </c>
      <c r="E259" s="478">
        <f>[1]Hydrogen!E264</f>
        <v>1.6743153577769136</v>
      </c>
    </row>
    <row r="260" spans="1:5">
      <c r="A260" s="59" t="s">
        <v>969</v>
      </c>
      <c r="B260" s="1318">
        <f>[1]Hydrogen!BV265</f>
        <v>2.7103586737852869</v>
      </c>
      <c r="C260" s="235">
        <f>[1]Hydrogen!BW265</f>
        <v>0</v>
      </c>
      <c r="D260" s="1553">
        <f>[1]Hydrogen!D265</f>
        <v>0</v>
      </c>
      <c r="E260" s="478">
        <f>[1]Hydrogen!E265</f>
        <v>1.0050404821015453</v>
      </c>
    </row>
    <row r="261" spans="1:5">
      <c r="A261" s="59" t="s">
        <v>970</v>
      </c>
      <c r="B261" s="1318">
        <f>[1]Hydrogen!BV266</f>
        <v>13.517601776857449</v>
      </c>
      <c r="C261" s="235">
        <f>[1]Hydrogen!BW266</f>
        <v>0</v>
      </c>
      <c r="D261" s="1553">
        <f>[1]Hydrogen!D266</f>
        <v>0</v>
      </c>
      <c r="E261" s="478">
        <f>[1]Hydrogen!E266</f>
        <v>8.7821803641458889</v>
      </c>
    </row>
    <row r="262" spans="1:5">
      <c r="A262" s="59" t="s">
        <v>971</v>
      </c>
      <c r="B262" s="1318">
        <f>[1]Hydrogen!BV267</f>
        <v>0.33521912550680899</v>
      </c>
      <c r="C262" s="235">
        <f>[1]Hydrogen!BW267</f>
        <v>0</v>
      </c>
      <c r="D262" s="1553">
        <f>[1]Hydrogen!D267</f>
        <v>0</v>
      </c>
      <c r="E262" s="478">
        <f>[1]Hydrogen!E267</f>
        <v>6.1322139897181022E-2</v>
      </c>
    </row>
    <row r="263" spans="1:5">
      <c r="A263" s="59" t="s">
        <v>972</v>
      </c>
      <c r="B263" s="1318">
        <f>[1]Hydrogen!BV268</f>
        <v>0.74390455950981149</v>
      </c>
      <c r="C263" s="235">
        <f>[1]Hydrogen!BW268</f>
        <v>0</v>
      </c>
      <c r="D263" s="1553">
        <f>[1]Hydrogen!D268</f>
        <v>0</v>
      </c>
      <c r="E263" s="478">
        <f>[1]Hydrogen!E268</f>
        <v>0.2918785293859868</v>
      </c>
    </row>
    <row r="264" spans="1:5">
      <c r="A264" s="59" t="s">
        <v>887</v>
      </c>
      <c r="B264" s="1318">
        <f>[1]Hydrogen!BV269</f>
        <v>189.07175451935237</v>
      </c>
      <c r="C264" s="235">
        <f>[1]Hydrogen!BW269</f>
        <v>0</v>
      </c>
      <c r="D264" s="1553">
        <f>[1]Hydrogen!D269</f>
        <v>0</v>
      </c>
      <c r="E264" s="478">
        <f>[1]Hydrogen!E269</f>
        <v>36.315629084431826</v>
      </c>
    </row>
    <row r="265" spans="1:5">
      <c r="A265" s="59" t="s">
        <v>888</v>
      </c>
      <c r="B265" s="1318">
        <f>[1]Hydrogen!BV270</f>
        <v>0.58896658312112093</v>
      </c>
      <c r="C265" s="235">
        <f>[1]Hydrogen!BW270</f>
        <v>0</v>
      </c>
      <c r="D265" s="1553">
        <f>[1]Hydrogen!D270</f>
        <v>0</v>
      </c>
      <c r="E265" s="478">
        <f>[1]Hydrogen!E270</f>
        <v>0.32948463898522529</v>
      </c>
    </row>
    <row r="266" spans="1:5">
      <c r="A266" s="59" t="s">
        <v>889</v>
      </c>
      <c r="B266" s="631">
        <f>[1]Hydrogen!BV271</f>
        <v>78292.576714647614</v>
      </c>
      <c r="C266" s="245">
        <f>[1]Hydrogen!BW271</f>
        <v>0</v>
      </c>
      <c r="D266" s="522">
        <f>[1]Hydrogen!D271</f>
        <v>0</v>
      </c>
      <c r="E266" s="159">
        <f>[1]Hydrogen!E271</f>
        <v>16046.241592441667</v>
      </c>
    </row>
    <row r="267" spans="1:5">
      <c r="A267" s="59" t="s">
        <v>2069</v>
      </c>
      <c r="B267" s="631">
        <f>[1]Hydrogen!BV272</f>
        <v>78349.67527322653</v>
      </c>
      <c r="C267" s="245">
        <f>[1]Hydrogen!BW272</f>
        <v>0</v>
      </c>
      <c r="D267" s="522">
        <f>[1]Hydrogen!D272</f>
        <v>0</v>
      </c>
      <c r="E267" s="159">
        <f>[1]Hydrogen!E272</f>
        <v>16060.0744685231</v>
      </c>
    </row>
    <row r="268" spans="1:5">
      <c r="A268" s="118" t="s">
        <v>1896</v>
      </c>
      <c r="B268" s="53">
        <f>[1]Hydrogen!BV273</f>
        <v>84177.904053334205</v>
      </c>
      <c r="C268" s="243">
        <f>[1]Hydrogen!BW273</f>
        <v>0</v>
      </c>
      <c r="D268" s="137">
        <f>[1]Hydrogen!D273</f>
        <v>0</v>
      </c>
      <c r="E268" s="139">
        <f>[1]Hydrogen!E273</f>
        <v>17236.856770387141</v>
      </c>
    </row>
    <row r="269" spans="1:5">
      <c r="A269" s="172"/>
      <c r="B269" s="631"/>
      <c r="C269" s="631"/>
      <c r="D269" s="522"/>
      <c r="E269" s="522"/>
    </row>
    <row r="270" spans="1:5">
      <c r="A270" s="80" t="s">
        <v>2068</v>
      </c>
      <c r="B270" s="240">
        <f>[1]Hydrogen!BV275</f>
        <v>0</v>
      </c>
      <c r="C270" s="248">
        <f>[1]Hydrogen!BW275</f>
        <v>0</v>
      </c>
      <c r="D270" s="582"/>
      <c r="E270" s="583">
        <f>[1]Hydrogen!E275</f>
        <v>0</v>
      </c>
    </row>
    <row r="271" spans="1:5">
      <c r="A271" s="173" t="s">
        <v>965</v>
      </c>
      <c r="B271" s="233">
        <f>[1]Hydrogen!BV276</f>
        <v>0.63102128060304064</v>
      </c>
      <c r="C271" s="195">
        <f>[1]Hydrogen!BW276</f>
        <v>0</v>
      </c>
      <c r="D271" s="578">
        <f>[1]Hydrogen!D276</f>
        <v>0</v>
      </c>
      <c r="E271" s="478">
        <f>[1]Hydrogen!E276</f>
        <v>0.11713548850333648</v>
      </c>
    </row>
    <row r="272" spans="1:5">
      <c r="A272" s="173" t="s">
        <v>966</v>
      </c>
      <c r="B272" s="233">
        <f>[1]Hydrogen!BV277</f>
        <v>0.30307119022435658</v>
      </c>
      <c r="C272" s="195">
        <f>[1]Hydrogen!BW277</f>
        <v>0</v>
      </c>
      <c r="D272" s="578">
        <f>[1]Hydrogen!D277</f>
        <v>0</v>
      </c>
      <c r="E272" s="478">
        <f>[1]Hydrogen!E277</f>
        <v>0.86476128237295469</v>
      </c>
    </row>
    <row r="273" spans="1:5">
      <c r="A273" s="173" t="s">
        <v>967</v>
      </c>
      <c r="B273" s="233">
        <f>[1]Hydrogen!BV278</f>
        <v>1.0910716536475462</v>
      </c>
      <c r="C273" s="195">
        <f>[1]Hydrogen!BW278</f>
        <v>0</v>
      </c>
      <c r="D273" s="578">
        <f>[1]Hydrogen!D278</f>
        <v>0</v>
      </c>
      <c r="E273" s="478">
        <f>[1]Hydrogen!E278</f>
        <v>2.5828429263168973</v>
      </c>
    </row>
    <row r="274" spans="1:5">
      <c r="A274" s="173" t="s">
        <v>968</v>
      </c>
      <c r="B274" s="233">
        <f>[1]Hydrogen!BV279</f>
        <v>0.6019856083697217</v>
      </c>
      <c r="C274" s="195">
        <f>[1]Hydrogen!BW279</f>
        <v>0</v>
      </c>
      <c r="D274" s="578">
        <f>[1]Hydrogen!D279</f>
        <v>0</v>
      </c>
      <c r="E274" s="478">
        <f>[1]Hydrogen!E279</f>
        <v>0.34483865644557532</v>
      </c>
    </row>
    <row r="275" spans="1:5">
      <c r="A275" s="173" t="s">
        <v>969</v>
      </c>
      <c r="B275" s="233">
        <f>[1]Hydrogen!BV280</f>
        <v>0.58781630778889249</v>
      </c>
      <c r="C275" s="195">
        <f>[1]Hydrogen!BW280</f>
        <v>0</v>
      </c>
      <c r="D275" s="578">
        <f>[1]Hydrogen!D280</f>
        <v>0</v>
      </c>
      <c r="E275" s="478">
        <f>[1]Hydrogen!E280</f>
        <v>0.30322699105721879</v>
      </c>
    </row>
    <row r="276" spans="1:5">
      <c r="A276" s="173" t="s">
        <v>970</v>
      </c>
      <c r="B276" s="233">
        <f>[1]Hydrogen!BV281</f>
        <v>0.29610597618136292</v>
      </c>
      <c r="C276" s="195">
        <f>[1]Hydrogen!BW281</f>
        <v>0</v>
      </c>
      <c r="D276" s="578">
        <f>[1]Hydrogen!D281</f>
        <v>0</v>
      </c>
      <c r="E276" s="478">
        <f>[1]Hydrogen!E281</f>
        <v>2.5662867811539618</v>
      </c>
    </row>
    <row r="277" spans="1:5">
      <c r="A277" s="173" t="s">
        <v>971</v>
      </c>
      <c r="B277" s="233">
        <f>[1]Hydrogen!BV282</f>
        <v>5.794101110192542E-2</v>
      </c>
      <c r="C277" s="195">
        <f>[1]Hydrogen!BW282</f>
        <v>0</v>
      </c>
      <c r="D277" s="578">
        <f>[1]Hydrogen!D282</f>
        <v>0</v>
      </c>
      <c r="E277" s="478">
        <f>[1]Hydrogen!E282</f>
        <v>1.562708213784288E-2</v>
      </c>
    </row>
    <row r="278" spans="1:5">
      <c r="A278" s="174" t="s">
        <v>972</v>
      </c>
      <c r="B278" s="236">
        <f>[1]Hydrogen!BV283</f>
        <v>0.15137056896869841</v>
      </c>
      <c r="C278" s="254">
        <f>[1]Hydrogen!BW283</f>
        <v>0</v>
      </c>
      <c r="D278" s="584">
        <f>[1]Hydrogen!D283</f>
        <v>0</v>
      </c>
      <c r="E278" s="585">
        <f>[1]Hydrogen!E283</f>
        <v>8.6724341725470236E-2</v>
      </c>
    </row>
    <row r="279" spans="1:5">
      <c r="B279" s="112"/>
      <c r="C279" s="112"/>
    </row>
    <row r="280" spans="1:5" ht="15.75">
      <c r="A280" s="81" t="s">
        <v>442</v>
      </c>
    </row>
    <row r="281" spans="1:5">
      <c r="A281" s="172" t="s">
        <v>2054</v>
      </c>
    </row>
    <row r="282" spans="1:5" ht="12.75" customHeight="1">
      <c r="A282" s="80"/>
      <c r="B282" s="2989" t="s">
        <v>2082</v>
      </c>
      <c r="C282" s="2990"/>
      <c r="D282" s="2989" t="s">
        <v>2083</v>
      </c>
      <c r="E282" s="2990"/>
    </row>
    <row r="283" spans="1:5">
      <c r="A283" s="174"/>
      <c r="B283" s="2480" t="s">
        <v>1894</v>
      </c>
      <c r="C283" s="2504" t="s">
        <v>2084</v>
      </c>
      <c r="D283" s="2480" t="s">
        <v>1894</v>
      </c>
      <c r="E283" s="2504" t="s">
        <v>2084</v>
      </c>
    </row>
    <row r="284" spans="1:5">
      <c r="A284" s="173" t="s">
        <v>876</v>
      </c>
      <c r="B284" s="250">
        <f>[1]Coal!B72</f>
        <v>21433.80103552025</v>
      </c>
      <c r="C284" s="245"/>
      <c r="D284" s="250">
        <f>[1]Coal!H72</f>
        <v>32767.677046736848</v>
      </c>
      <c r="E284" s="245"/>
    </row>
    <row r="285" spans="1:5">
      <c r="A285" s="173" t="s">
        <v>877</v>
      </c>
      <c r="B285" s="250">
        <f>[1]Coal!B73</f>
        <v>20636.636512747795</v>
      </c>
      <c r="C285" s="245"/>
      <c r="D285" s="250">
        <f>[1]Coal!H73</f>
        <v>31915.949605314603</v>
      </c>
      <c r="E285" s="245"/>
    </row>
    <row r="286" spans="1:5">
      <c r="A286" s="173" t="s">
        <v>442</v>
      </c>
      <c r="B286" s="250">
        <f>[1]Coal!B74</f>
        <v>1684.2725944833903</v>
      </c>
      <c r="C286" s="245"/>
      <c r="D286" s="250">
        <f>[1]Coal!H74</f>
        <v>1753.5441539119327</v>
      </c>
      <c r="E286" s="245"/>
    </row>
    <row r="287" spans="1:5">
      <c r="A287" s="173" t="s">
        <v>878</v>
      </c>
      <c r="B287" s="250">
        <f>[1]Coal!B75</f>
        <v>3608.6415803096424</v>
      </c>
      <c r="C287" s="245"/>
      <c r="D287" s="250">
        <f>[1]Coal!H75</f>
        <v>4789.9730610004481</v>
      </c>
      <c r="E287" s="245"/>
    </row>
    <row r="288" spans="1:5">
      <c r="A288" s="173" t="s">
        <v>440</v>
      </c>
      <c r="B288" s="250">
        <f>[1]Coal!B76</f>
        <v>15343.722337954761</v>
      </c>
      <c r="C288" s="245"/>
      <c r="D288" s="250">
        <f>[1]Coal!H76</f>
        <v>25372.432390402224</v>
      </c>
      <c r="E288" s="245"/>
    </row>
    <row r="289" spans="1:5">
      <c r="A289" s="59" t="s">
        <v>819</v>
      </c>
      <c r="B289" s="250">
        <f>[1]Coal!B77</f>
        <v>3.7378203452050038</v>
      </c>
      <c r="C289" s="245"/>
      <c r="D289" s="250">
        <f>[1]Coal!H77</f>
        <v>3.9468253056397478</v>
      </c>
      <c r="E289" s="245"/>
    </row>
    <row r="290" spans="1:5">
      <c r="A290" s="59" t="s">
        <v>965</v>
      </c>
      <c r="B290" s="234">
        <f>[1]Coal!B78</f>
        <v>7.3688924028981431</v>
      </c>
      <c r="C290" s="235">
        <f>[1]Coal!C78</f>
        <v>6.3918900627852326E-2</v>
      </c>
      <c r="D290" s="234">
        <f>[1]Coal!H78</f>
        <v>7.5476487056325556</v>
      </c>
      <c r="E290" s="235">
        <f>[1]Coal!I78</f>
        <v>9.7978023526864522E-2</v>
      </c>
    </row>
    <row r="291" spans="1:5">
      <c r="A291" s="59" t="s">
        <v>966</v>
      </c>
      <c r="B291" s="234">
        <f>[1]Coal!B79</f>
        <v>1.8157527008014316</v>
      </c>
      <c r="C291" s="235">
        <f>[1]Coal!C79</f>
        <v>7.488614099496721E-2</v>
      </c>
      <c r="D291" s="234">
        <f>[1]Coal!H79</f>
        <v>3.4886110155226451</v>
      </c>
      <c r="E291" s="235">
        <f>[1]Coal!I79</f>
        <v>0.20147351958500848</v>
      </c>
    </row>
    <row r="292" spans="1:5">
      <c r="A292" s="59" t="s">
        <v>967</v>
      </c>
      <c r="B292" s="234">
        <f>[1]Coal!B80</f>
        <v>5.4390149666969405</v>
      </c>
      <c r="C292" s="235">
        <f>[1]Coal!C80</f>
        <v>0.35920956717993474</v>
      </c>
      <c r="D292" s="234">
        <f>[1]Coal!H80</f>
        <v>8.8846796489411517</v>
      </c>
      <c r="E292" s="235">
        <f>[1]Coal!I80</f>
        <v>0.61533182347850701</v>
      </c>
    </row>
    <row r="293" spans="1:5">
      <c r="A293" s="59" t="s">
        <v>968</v>
      </c>
      <c r="B293" s="234">
        <f>[1]Coal!B81</f>
        <v>8.5166367747908485</v>
      </c>
      <c r="C293" s="235">
        <f>[1]Coal!C81</f>
        <v>1.6473738904467919E-2</v>
      </c>
      <c r="D293" s="234">
        <f>[1]Coal!H81</f>
        <v>8.6417289925759775</v>
      </c>
      <c r="E293" s="235">
        <f>[1]Coal!I81</f>
        <v>2.913090237735769E-2</v>
      </c>
    </row>
    <row r="294" spans="1:5">
      <c r="A294" s="59" t="s">
        <v>969</v>
      </c>
      <c r="B294" s="234">
        <f>[1]Coal!B82</f>
        <v>1.195351743130274</v>
      </c>
      <c r="C294" s="235">
        <f>[1]Coal!C82</f>
        <v>1.4721953153843906E-2</v>
      </c>
      <c r="D294" s="234">
        <f>[1]Coal!H82</f>
        <v>1.2925007042296084</v>
      </c>
      <c r="E294" s="235">
        <f>[1]Coal!I82</f>
        <v>2.4897079622204631E-2</v>
      </c>
    </row>
    <row r="295" spans="1:5">
      <c r="A295" s="59" t="s">
        <v>970</v>
      </c>
      <c r="B295" s="234">
        <f>[1]Coal!B83</f>
        <v>6.7923264077328822</v>
      </c>
      <c r="C295" s="235">
        <f>[1]Coal!C83</f>
        <v>4.6755428192485009E-2</v>
      </c>
      <c r="D295" s="234">
        <f>[1]Coal!H83</f>
        <v>6.8416466035087202</v>
      </c>
      <c r="E295" s="235">
        <f>[1]Coal!I83</f>
        <v>5.6436217810193187E-2</v>
      </c>
    </row>
    <row r="296" spans="1:5">
      <c r="A296" s="59" t="s">
        <v>971</v>
      </c>
      <c r="B296" s="234">
        <f>[1]Coal!B84</f>
        <v>3.5995429674881389E-2</v>
      </c>
      <c r="C296" s="235">
        <f>[1]Coal!C84</f>
        <v>1.3881954347180116E-3</v>
      </c>
      <c r="D296" s="234">
        <f>[1]Coal!H84</f>
        <v>4.9717965144004173E-2</v>
      </c>
      <c r="E296" s="235">
        <f>[1]Coal!I84</f>
        <v>2.7578009598772254E-3</v>
      </c>
    </row>
    <row r="297" spans="1:5">
      <c r="A297" s="59" t="s">
        <v>972</v>
      </c>
      <c r="B297" s="234">
        <f>[1]Coal!B85</f>
        <v>7.9405370383065721E-2</v>
      </c>
      <c r="C297" s="235">
        <f>[1]Coal!C85</f>
        <v>6.2267655304999291E-3</v>
      </c>
      <c r="D297" s="234">
        <f>[1]Coal!H85</f>
        <v>0.11699368115984905</v>
      </c>
      <c r="E297" s="235">
        <f>[1]Coal!I85</f>
        <v>9.3977816565443371E-3</v>
      </c>
    </row>
    <row r="298" spans="1:5">
      <c r="A298" s="59" t="s">
        <v>887</v>
      </c>
      <c r="B298" s="234">
        <f>[1]Coal!B86</f>
        <v>147.805220663494</v>
      </c>
      <c r="C298" s="235"/>
      <c r="D298" s="234">
        <f>[1]Coal!H86</f>
        <v>148.86717761966958</v>
      </c>
      <c r="E298" s="235"/>
    </row>
    <row r="299" spans="1:5">
      <c r="A299" s="173" t="s">
        <v>888</v>
      </c>
      <c r="B299" s="234">
        <f>[1]Coal!B87</f>
        <v>3.2443818259205899E-2</v>
      </c>
      <c r="C299" s="235"/>
      <c r="D299" s="234">
        <f>[1]Coal!H87</f>
        <v>4.394720418445297E-2</v>
      </c>
      <c r="E299" s="235"/>
    </row>
    <row r="300" spans="1:5">
      <c r="A300" s="173" t="s">
        <v>889</v>
      </c>
      <c r="B300" s="250">
        <f>[1]Coal!B88</f>
        <v>1600.1044705340598</v>
      </c>
      <c r="C300" s="245"/>
      <c r="D300" s="250">
        <f>[1]Coal!H88</f>
        <v>2470.5207884431743</v>
      </c>
      <c r="E300" s="245"/>
    </row>
    <row r="301" spans="1:5">
      <c r="A301" s="173" t="s">
        <v>2069</v>
      </c>
      <c r="B301" s="250">
        <f>[1]Coal!B89</f>
        <v>1625.9241775291136</v>
      </c>
      <c r="C301" s="245"/>
      <c r="D301" s="250">
        <f>[1]Coal!H89</f>
        <v>2499.5263966001221</v>
      </c>
      <c r="E301" s="245"/>
    </row>
    <row r="302" spans="1:5">
      <c r="A302" s="174" t="s">
        <v>1896</v>
      </c>
      <c r="B302" s="242">
        <f>[1]Coal!B90</f>
        <v>6068.6784092726239</v>
      </c>
      <c r="C302" s="243"/>
      <c r="D302" s="242">
        <f>[1]Coal!H90</f>
        <v>6977.1877342990892</v>
      </c>
      <c r="E302" s="243"/>
    </row>
    <row r="304" spans="1:5" ht="15.75">
      <c r="A304" s="81" t="s">
        <v>2085</v>
      </c>
    </row>
    <row r="305" spans="1:41" ht="15.75">
      <c r="A305" s="81" t="s">
        <v>2086</v>
      </c>
    </row>
    <row r="306" spans="1:41" ht="25.5" customHeight="1">
      <c r="A306" s="135"/>
      <c r="B306" s="2718" t="s">
        <v>2087</v>
      </c>
      <c r="C306" s="1756"/>
      <c r="D306" s="1756"/>
      <c r="E306" s="2719"/>
      <c r="F306" s="2718" t="s">
        <v>2088</v>
      </c>
      <c r="G306" s="1756"/>
      <c r="H306" s="1756"/>
      <c r="I306" s="2719"/>
      <c r="J306" s="2720" t="s">
        <v>2089</v>
      </c>
      <c r="K306" s="2721"/>
      <c r="L306" s="2721"/>
      <c r="M306" s="2722"/>
      <c r="N306" s="2720" t="s">
        <v>2090</v>
      </c>
      <c r="O306" s="2721"/>
      <c r="P306" s="2721"/>
      <c r="Q306" s="2722"/>
      <c r="R306" s="2720" t="s">
        <v>2091</v>
      </c>
      <c r="S306" s="2721"/>
      <c r="T306" s="2721"/>
      <c r="U306" s="2722"/>
      <c r="V306" s="2720" t="s">
        <v>2092</v>
      </c>
      <c r="W306" s="2721"/>
      <c r="X306" s="2721"/>
      <c r="Y306" s="2722"/>
      <c r="Z306" s="2720" t="s">
        <v>2093</v>
      </c>
      <c r="AA306" s="2721"/>
      <c r="AB306" s="2721"/>
      <c r="AC306" s="2722"/>
      <c r="AD306" s="2720" t="s">
        <v>2094</v>
      </c>
      <c r="AE306" s="2721"/>
      <c r="AF306" s="2721"/>
      <c r="AG306" s="2722"/>
      <c r="AH306" s="2980" t="str">
        <f>[1]Electric!DV201</f>
        <v>Hydroelectric Power Plant</v>
      </c>
      <c r="AI306" s="2991"/>
      <c r="AJ306" s="2991"/>
      <c r="AK306" s="2981"/>
      <c r="AL306" s="2720" t="s">
        <v>2095</v>
      </c>
      <c r="AM306" s="2721"/>
      <c r="AN306" s="2721"/>
      <c r="AO306" s="2722"/>
    </row>
    <row r="307" spans="1:41">
      <c r="A307" s="160"/>
      <c r="B307" s="2980" t="s">
        <v>1894</v>
      </c>
      <c r="C307" s="2981"/>
      <c r="D307" s="2980" t="s">
        <v>2084</v>
      </c>
      <c r="E307" s="2981"/>
      <c r="F307" s="2980" t="s">
        <v>1894</v>
      </c>
      <c r="G307" s="2981"/>
      <c r="H307" s="2980" t="s">
        <v>2084</v>
      </c>
      <c r="I307" s="2981"/>
      <c r="J307" s="2982" t="s">
        <v>1894</v>
      </c>
      <c r="K307" s="2983"/>
      <c r="L307" s="2982" t="s">
        <v>2084</v>
      </c>
      <c r="M307" s="2994"/>
      <c r="N307" s="2982" t="s">
        <v>1894</v>
      </c>
      <c r="O307" s="2983"/>
      <c r="P307" s="2982" t="s">
        <v>2084</v>
      </c>
      <c r="Q307" s="2994"/>
      <c r="R307" s="2982" t="s">
        <v>1894</v>
      </c>
      <c r="S307" s="2983"/>
      <c r="T307" s="2982" t="s">
        <v>2084</v>
      </c>
      <c r="U307" s="2994"/>
      <c r="V307" s="2982" t="s">
        <v>1894</v>
      </c>
      <c r="W307" s="2983"/>
      <c r="X307" s="2982" t="s">
        <v>2084</v>
      </c>
      <c r="Y307" s="2994"/>
      <c r="Z307" s="2982" t="s">
        <v>1894</v>
      </c>
      <c r="AA307" s="2983"/>
      <c r="AB307" s="2982" t="s">
        <v>2084</v>
      </c>
      <c r="AC307" s="2994"/>
      <c r="AD307" s="2982" t="s">
        <v>1894</v>
      </c>
      <c r="AE307" s="2983"/>
      <c r="AF307" s="2982" t="s">
        <v>2084</v>
      </c>
      <c r="AG307" s="2994"/>
      <c r="AH307" s="2980" t="str">
        <f>[1]Electric!DV202</f>
        <v>Total</v>
      </c>
      <c r="AI307" s="2981"/>
      <c r="AJ307" s="2980" t="str">
        <f>[1]Electric!DX202</f>
        <v>Urban</v>
      </c>
      <c r="AK307" s="2981"/>
      <c r="AL307" s="2982" t="s">
        <v>1894</v>
      </c>
      <c r="AM307" s="2983"/>
      <c r="AN307" s="2982" t="s">
        <v>2084</v>
      </c>
      <c r="AO307" s="2994"/>
    </row>
    <row r="308" spans="1:41">
      <c r="A308" s="647"/>
      <c r="B308" s="1329" t="s">
        <v>2077</v>
      </c>
      <c r="C308" s="1710" t="s">
        <v>1971</v>
      </c>
      <c r="D308" s="1329" t="s">
        <v>2077</v>
      </c>
      <c r="E308" s="1330" t="s">
        <v>1971</v>
      </c>
      <c r="F308" s="1329" t="s">
        <v>2077</v>
      </c>
      <c r="G308" s="1710" t="s">
        <v>1971</v>
      </c>
      <c r="H308" s="1329" t="s">
        <v>2077</v>
      </c>
      <c r="I308" s="1330" t="s">
        <v>1971</v>
      </c>
      <c r="J308" s="1329" t="s">
        <v>2077</v>
      </c>
      <c r="K308" s="1710" t="s">
        <v>1971</v>
      </c>
      <c r="L308" s="1329" t="s">
        <v>2077</v>
      </c>
      <c r="M308" s="1330" t="s">
        <v>1971</v>
      </c>
      <c r="N308" s="1329" t="s">
        <v>2077</v>
      </c>
      <c r="O308" s="1710" t="s">
        <v>1971</v>
      </c>
      <c r="P308" s="1329" t="s">
        <v>2077</v>
      </c>
      <c r="Q308" s="1330" t="s">
        <v>1971</v>
      </c>
      <c r="R308" s="1329" t="s">
        <v>2077</v>
      </c>
      <c r="S308" s="1710" t="s">
        <v>1971</v>
      </c>
      <c r="T308" s="1329" t="s">
        <v>2077</v>
      </c>
      <c r="U308" s="1330" t="s">
        <v>1971</v>
      </c>
      <c r="V308" s="1329" t="s">
        <v>2077</v>
      </c>
      <c r="W308" s="1710" t="s">
        <v>1971</v>
      </c>
      <c r="X308" s="1329" t="s">
        <v>2077</v>
      </c>
      <c r="Y308" s="1330" t="s">
        <v>1971</v>
      </c>
      <c r="Z308" s="1329" t="s">
        <v>2077</v>
      </c>
      <c r="AA308" s="1710" t="s">
        <v>1971</v>
      </c>
      <c r="AB308" s="1329" t="s">
        <v>2077</v>
      </c>
      <c r="AC308" s="1330" t="s">
        <v>1971</v>
      </c>
      <c r="AD308" s="1329" t="s">
        <v>2077</v>
      </c>
      <c r="AE308" s="1710" t="s">
        <v>1971</v>
      </c>
      <c r="AF308" s="1329" t="s">
        <v>2077</v>
      </c>
      <c r="AG308" s="1330" t="s">
        <v>1971</v>
      </c>
      <c r="AH308" s="1329" t="str">
        <f>[1]Electric!DV203</f>
        <v>Feedstock</v>
      </c>
      <c r="AI308" s="1710" t="str">
        <f>[1]Electric!DW203</f>
        <v>Fuel</v>
      </c>
      <c r="AJ308" s="1329" t="str">
        <f>[1]Electric!DX203</f>
        <v>Feedstock</v>
      </c>
      <c r="AK308" s="1330" t="str">
        <f>[1]Electric!DY203</f>
        <v>Fuel</v>
      </c>
      <c r="AL308" s="1329" t="s">
        <v>2077</v>
      </c>
      <c r="AM308" s="1710" t="s">
        <v>1971</v>
      </c>
      <c r="AN308" s="1329" t="s">
        <v>2077</v>
      </c>
      <c r="AO308" s="1330" t="s">
        <v>1971</v>
      </c>
    </row>
    <row r="309" spans="1:41">
      <c r="A309" s="160" t="s">
        <v>876</v>
      </c>
      <c r="B309" s="650">
        <f>[1]Electric!B204</f>
        <v>106003.44460026028</v>
      </c>
      <c r="C309" s="522">
        <f>[1]Electric!C204</f>
        <v>1922051.8186798245</v>
      </c>
      <c r="D309" s="650"/>
      <c r="E309" s="159"/>
      <c r="F309" s="650">
        <f>[1]Electric!J204</f>
        <v>442654.89208396128</v>
      </c>
      <c r="G309" s="522">
        <f>[1]Electric!K204</f>
        <v>3377933.1642007744</v>
      </c>
      <c r="H309" s="650"/>
      <c r="I309" s="159"/>
      <c r="J309" s="650">
        <f>[1]Electric!N204</f>
        <v>198948.0682620474</v>
      </c>
      <c r="K309" s="522">
        <f>[1]Electric!O204</f>
        <v>2231223.5886768731</v>
      </c>
      <c r="L309" s="650"/>
      <c r="M309" s="159"/>
      <c r="N309" s="650">
        <f>[1]Electric!R204</f>
        <v>65178.906095065111</v>
      </c>
      <c r="O309" s="522">
        <f>[1]Electric!S204</f>
        <v>3040940.148089</v>
      </c>
      <c r="P309" s="650"/>
      <c r="Q309" s="159"/>
      <c r="R309" s="650">
        <f>[1]Electric!V204</f>
        <v>123345.15286158121</v>
      </c>
      <c r="S309" s="522">
        <f>[1]Electric!W204</f>
        <v>4895634.1915483447</v>
      </c>
      <c r="T309" s="650"/>
      <c r="U309" s="159"/>
      <c r="V309" s="650">
        <f>[1]Electric!Z204</f>
        <v>27641.82550928232</v>
      </c>
      <c r="W309" s="522">
        <f>[1]Electric!AA204</f>
        <v>1051124.5748727412</v>
      </c>
      <c r="X309" s="650"/>
      <c r="Y309" s="159"/>
      <c r="Z309" s="650">
        <f>[1]Electric!AL204</f>
        <v>0</v>
      </c>
      <c r="AA309" s="522">
        <f>[1]Electric!AM204</f>
        <v>1051124.5748727412</v>
      </c>
      <c r="AB309" s="650"/>
      <c r="AC309" s="159"/>
      <c r="AD309" s="650">
        <f>[1]Electric!BN204</f>
        <v>233169.21354221058</v>
      </c>
      <c r="AE309" s="522">
        <f>[1]Electric!BO204</f>
        <v>2615017.3457495291</v>
      </c>
      <c r="AF309" s="650"/>
      <c r="AG309" s="159"/>
      <c r="AH309" s="650">
        <f>[1]Electric!DV204</f>
        <v>0</v>
      </c>
      <c r="AI309" s="522">
        <f>[1]Electric!DW204</f>
        <v>1051124.5748727412</v>
      </c>
      <c r="AJ309" s="650"/>
      <c r="AK309" s="159"/>
      <c r="AL309" s="650">
        <f>[1]Electric!DZ204</f>
        <v>0</v>
      </c>
      <c r="AM309" s="522">
        <f>[1]Electric!EA204</f>
        <v>1051124.5748727412</v>
      </c>
      <c r="AN309" s="650"/>
      <c r="AO309" s="159"/>
    </row>
    <row r="310" spans="1:41">
      <c r="A310" s="160" t="s">
        <v>877</v>
      </c>
      <c r="B310" s="650">
        <f>[1]Electric!B205</f>
        <v>103605.1975688151</v>
      </c>
      <c r="C310" s="522">
        <f>[1]Electric!C205</f>
        <v>1502643.7169081401</v>
      </c>
      <c r="D310" s="650"/>
      <c r="E310" s="159"/>
      <c r="F310" s="650">
        <f>[1]Electric!J205</f>
        <v>426343.47949059447</v>
      </c>
      <c r="G310" s="522">
        <f>[1]Electric!K205</f>
        <v>3377933.1642007744</v>
      </c>
      <c r="H310" s="650"/>
      <c r="I310" s="159"/>
      <c r="J310" s="650">
        <f>[1]Electric!N205</f>
        <v>197536.09850206002</v>
      </c>
      <c r="K310" s="522">
        <f>[1]Electric!O205</f>
        <v>2231223.5886768731</v>
      </c>
      <c r="L310" s="650"/>
      <c r="M310" s="159"/>
      <c r="N310" s="650">
        <f>[1]Electric!R205</f>
        <v>62754.776493134144</v>
      </c>
      <c r="O310" s="522">
        <f>[1]Electric!S205</f>
        <v>3040940.148089</v>
      </c>
      <c r="P310" s="650"/>
      <c r="Q310" s="159"/>
      <c r="R310" s="650">
        <f>[1]Electric!V205</f>
        <v>122751.35145288649</v>
      </c>
      <c r="S310" s="522">
        <f>[1]Electric!W205</f>
        <v>0</v>
      </c>
      <c r="T310" s="650"/>
      <c r="U310" s="159"/>
      <c r="V310" s="650">
        <f>[1]Electric!Z205</f>
        <v>23614.795869240788</v>
      </c>
      <c r="W310" s="522">
        <f>[1]Electric!AA205</f>
        <v>0</v>
      </c>
      <c r="X310" s="650"/>
      <c r="Y310" s="159"/>
      <c r="Z310" s="650">
        <f>[1]Electric!AL205</f>
        <v>0</v>
      </c>
      <c r="AA310" s="522">
        <f>[1]Electric!AM205</f>
        <v>0</v>
      </c>
      <c r="AB310" s="650"/>
      <c r="AC310" s="159"/>
      <c r="AD310" s="650">
        <f>[1]Electric!BN205</f>
        <v>231514.37023884166</v>
      </c>
      <c r="AE310" s="522">
        <f>[1]Electric!BO205</f>
        <v>2615017.3457495291</v>
      </c>
      <c r="AF310" s="650"/>
      <c r="AG310" s="159"/>
      <c r="AH310" s="650">
        <f>[1]Electric!DV205</f>
        <v>0</v>
      </c>
      <c r="AI310" s="522">
        <f>[1]Electric!DW205</f>
        <v>0</v>
      </c>
      <c r="AJ310" s="650"/>
      <c r="AK310" s="159"/>
      <c r="AL310" s="650">
        <f>[1]Electric!DZ205</f>
        <v>0</v>
      </c>
      <c r="AM310" s="522">
        <f>[1]Electric!EA205</f>
        <v>0</v>
      </c>
      <c r="AN310" s="650"/>
      <c r="AO310" s="159"/>
    </row>
    <row r="311" spans="1:41">
      <c r="A311" s="160" t="s">
        <v>442</v>
      </c>
      <c r="B311" s="650">
        <f>[1]Electric!B206</f>
        <v>3517.1114050130009</v>
      </c>
      <c r="C311" s="522">
        <f>[1]Electric!C206</f>
        <v>554078.62467488006</v>
      </c>
      <c r="D311" s="650"/>
      <c r="E311" s="159"/>
      <c r="F311" s="650">
        <f>[1]Electric!J206</f>
        <v>20560.713471436815</v>
      </c>
      <c r="G311" s="522">
        <f>[1]Electric!K206</f>
        <v>0</v>
      </c>
      <c r="H311" s="650"/>
      <c r="I311" s="159"/>
      <c r="J311" s="650">
        <f>[1]Electric!N206</f>
        <v>1864.0177125636733</v>
      </c>
      <c r="K311" s="522">
        <f>[1]Electric!O206</f>
        <v>0</v>
      </c>
      <c r="L311" s="650"/>
      <c r="M311" s="159"/>
      <c r="N311" s="650">
        <f>[1]Electric!R206</f>
        <v>5121.7721528905649</v>
      </c>
      <c r="O311" s="522">
        <f>[1]Electric!S206</f>
        <v>3040940.148089</v>
      </c>
      <c r="P311" s="650"/>
      <c r="Q311" s="159"/>
      <c r="R311" s="650">
        <f>[1]Electric!V206</f>
        <v>753.87370377245713</v>
      </c>
      <c r="S311" s="522">
        <f>[1]Electric!W206</f>
        <v>0</v>
      </c>
      <c r="T311" s="650"/>
      <c r="U311" s="159"/>
      <c r="V311" s="650">
        <f>[1]Electric!Z206</f>
        <v>5322.6336271248847</v>
      </c>
      <c r="W311" s="522">
        <f>[1]Electric!AA206</f>
        <v>0</v>
      </c>
      <c r="X311" s="650"/>
      <c r="Y311" s="159"/>
      <c r="Z311" s="650">
        <f>[1]Electric!AL206</f>
        <v>0</v>
      </c>
      <c r="AA311" s="522">
        <f>[1]Electric!AM206</f>
        <v>0</v>
      </c>
      <c r="AB311" s="650"/>
      <c r="AC311" s="159"/>
      <c r="AD311" s="650">
        <f>[1]Electric!BN206</f>
        <v>2184.6482243534065</v>
      </c>
      <c r="AE311" s="522">
        <f>[1]Electric!BO206</f>
        <v>0</v>
      </c>
      <c r="AF311" s="650"/>
      <c r="AG311" s="159"/>
      <c r="AH311" s="650">
        <f>[1]Electric!DV206</f>
        <v>0</v>
      </c>
      <c r="AI311" s="522">
        <f>[1]Electric!DW206</f>
        <v>0</v>
      </c>
      <c r="AJ311" s="650"/>
      <c r="AK311" s="159"/>
      <c r="AL311" s="650">
        <f>[1]Electric!DZ206</f>
        <v>0</v>
      </c>
      <c r="AM311" s="522">
        <f>[1]Electric!EA206</f>
        <v>0</v>
      </c>
      <c r="AN311" s="650"/>
      <c r="AO311" s="159"/>
    </row>
    <row r="312" spans="1:41">
      <c r="A312" s="160" t="s">
        <v>878</v>
      </c>
      <c r="B312" s="650">
        <f>[1]Electric!B207</f>
        <v>86537.039495847857</v>
      </c>
      <c r="C312" s="522">
        <f>[1]Electric!C207</f>
        <v>944671.95129643846</v>
      </c>
      <c r="D312" s="650"/>
      <c r="E312" s="159"/>
      <c r="F312" s="650">
        <f>[1]Electric!J207</f>
        <v>266866.53785560548</v>
      </c>
      <c r="G312" s="522">
        <f>[1]Electric!K207</f>
        <v>0</v>
      </c>
      <c r="H312" s="650"/>
      <c r="I312" s="159"/>
      <c r="J312" s="650">
        <f>[1]Electric!N207</f>
        <v>186843.32066441086</v>
      </c>
      <c r="K312" s="522">
        <f>[1]Electric!O207</f>
        <v>2231223.5886768731</v>
      </c>
      <c r="L312" s="650"/>
      <c r="M312" s="159"/>
      <c r="N312" s="650">
        <f>[1]Electric!R207</f>
        <v>10973.663061626932</v>
      </c>
      <c r="O312" s="522">
        <f>[1]Electric!S207</f>
        <v>0</v>
      </c>
      <c r="P312" s="650"/>
      <c r="Q312" s="159"/>
      <c r="R312" s="650">
        <f>[1]Electric!V207</f>
        <v>12856.282521690038</v>
      </c>
      <c r="S312" s="522">
        <f>[1]Electric!W207</f>
        <v>0</v>
      </c>
      <c r="T312" s="650"/>
      <c r="U312" s="159"/>
      <c r="V312" s="650">
        <f>[1]Electric!Z207</f>
        <v>15346.075349790523</v>
      </c>
      <c r="W312" s="522">
        <f>[1]Electric!AA207</f>
        <v>0</v>
      </c>
      <c r="X312" s="650"/>
      <c r="Y312" s="159"/>
      <c r="Z312" s="650">
        <f>[1]Electric!AL207</f>
        <v>0</v>
      </c>
      <c r="AA312" s="522">
        <f>[1]Electric!AM207</f>
        <v>0</v>
      </c>
      <c r="AB312" s="650"/>
      <c r="AC312" s="159"/>
      <c r="AD312" s="650">
        <f>[1]Electric!BN207</f>
        <v>218982.32295250037</v>
      </c>
      <c r="AE312" s="522">
        <f>[1]Electric!BO207</f>
        <v>2615017.3457495291</v>
      </c>
      <c r="AF312" s="650"/>
      <c r="AG312" s="159"/>
      <c r="AH312" s="650">
        <f>[1]Electric!DV207</f>
        <v>0</v>
      </c>
      <c r="AI312" s="522">
        <f>[1]Electric!DW207</f>
        <v>0</v>
      </c>
      <c r="AJ312" s="650"/>
      <c r="AK312" s="159"/>
      <c r="AL312" s="650">
        <f>[1]Electric!DZ207</f>
        <v>0</v>
      </c>
      <c r="AM312" s="522">
        <f>[1]Electric!EA207</f>
        <v>0</v>
      </c>
      <c r="AN312" s="650"/>
      <c r="AO312" s="159"/>
    </row>
    <row r="313" spans="1:41">
      <c r="A313" s="160" t="s">
        <v>440</v>
      </c>
      <c r="B313" s="650">
        <f>[1]Electric!B208</f>
        <v>13551.04666795425</v>
      </c>
      <c r="C313" s="522">
        <f>[1]Electric!C208</f>
        <v>3893.1409368216327</v>
      </c>
      <c r="D313" s="650"/>
      <c r="E313" s="159"/>
      <c r="F313" s="650">
        <f>[1]Electric!J208</f>
        <v>138916.22816355215</v>
      </c>
      <c r="G313" s="522">
        <f>[1]Electric!K208</f>
        <v>3377933.1642007744</v>
      </c>
      <c r="H313" s="650"/>
      <c r="I313" s="159"/>
      <c r="J313" s="650">
        <f>[1]Electric!N208</f>
        <v>8828.7601250854732</v>
      </c>
      <c r="K313" s="522">
        <f>[1]Electric!O208</f>
        <v>0</v>
      </c>
      <c r="L313" s="650"/>
      <c r="M313" s="159"/>
      <c r="N313" s="650">
        <f>[1]Electric!R208</f>
        <v>46659.341278616645</v>
      </c>
      <c r="O313" s="522">
        <f>[1]Electric!S208</f>
        <v>0</v>
      </c>
      <c r="P313" s="650"/>
      <c r="Q313" s="159"/>
      <c r="R313" s="650">
        <f>[1]Electric!V208</f>
        <v>109141.19522742399</v>
      </c>
      <c r="S313" s="522">
        <f>[1]Electric!W208</f>
        <v>0</v>
      </c>
      <c r="T313" s="650"/>
      <c r="U313" s="159"/>
      <c r="V313" s="650">
        <f>[1]Electric!Z208</f>
        <v>2946.0868923253825</v>
      </c>
      <c r="W313" s="522">
        <f>[1]Electric!AA208</f>
        <v>0</v>
      </c>
      <c r="X313" s="650"/>
      <c r="Y313" s="159"/>
      <c r="Z313" s="650">
        <f>[1]Electric!AL208</f>
        <v>0</v>
      </c>
      <c r="AA313" s="522">
        <f>[1]Electric!AM208</f>
        <v>0</v>
      </c>
      <c r="AB313" s="650"/>
      <c r="AC313" s="159"/>
      <c r="AD313" s="650">
        <f>[1]Electric!BN208</f>
        <v>10347.399061987875</v>
      </c>
      <c r="AE313" s="522">
        <f>[1]Electric!BO208</f>
        <v>0</v>
      </c>
      <c r="AF313" s="650"/>
      <c r="AG313" s="159"/>
      <c r="AH313" s="650">
        <f>[1]Electric!DV208</f>
        <v>0</v>
      </c>
      <c r="AI313" s="522">
        <f>[1]Electric!DW208</f>
        <v>0</v>
      </c>
      <c r="AJ313" s="650"/>
      <c r="AK313" s="159"/>
      <c r="AL313" s="650">
        <f>[1]Electric!DZ208</f>
        <v>0</v>
      </c>
      <c r="AM313" s="522">
        <f>[1]Electric!EA208</f>
        <v>0</v>
      </c>
      <c r="AN313" s="650"/>
      <c r="AO313" s="159"/>
    </row>
    <row r="314" spans="1:41">
      <c r="A314" s="490" t="s">
        <v>819</v>
      </c>
      <c r="B314" s="650">
        <f>[1]Electric!B209</f>
        <v>10.977184640973855</v>
      </c>
      <c r="C314" s="522">
        <f>[1]Electric!C209</f>
        <v>97.708187335273578</v>
      </c>
      <c r="D314" s="650"/>
      <c r="E314" s="159"/>
      <c r="F314" s="650">
        <f>[1]Electric!J209</f>
        <v>68.285758839808167</v>
      </c>
      <c r="G314" s="522">
        <f>[1]Electric!K209</f>
        <v>102.85842539346756</v>
      </c>
      <c r="H314" s="650"/>
      <c r="I314" s="159"/>
      <c r="J314" s="650">
        <f>[1]Electric!N209</f>
        <v>6.7260620684807213</v>
      </c>
      <c r="K314" s="522">
        <f>[1]Electric!O209</f>
        <v>50.950620065118848</v>
      </c>
      <c r="L314" s="650"/>
      <c r="M314" s="159"/>
      <c r="N314" s="650">
        <f>[1]Electric!R209</f>
        <v>11.366487954077781</v>
      </c>
      <c r="O314" s="522">
        <f>[1]Electric!S209</f>
        <v>131.9507056299372</v>
      </c>
      <c r="P314" s="650"/>
      <c r="Q314" s="159"/>
      <c r="R314" s="650">
        <f>[1]Electric!V209</f>
        <v>2.2745748028423174</v>
      </c>
      <c r="S314" s="522">
        <f>[1]Electric!W209</f>
        <v>131.9507056299372</v>
      </c>
      <c r="T314" s="650"/>
      <c r="U314" s="159"/>
      <c r="V314" s="650">
        <f>[1]Electric!Z209</f>
        <v>17.972996056314582</v>
      </c>
      <c r="W314" s="522">
        <f>[1]Electric!AA209</f>
        <v>131.9507056299372</v>
      </c>
      <c r="X314" s="650"/>
      <c r="Y314" s="159"/>
      <c r="Z314" s="650">
        <f>[1]Electric!AL209</f>
        <v>0</v>
      </c>
      <c r="AA314" s="522">
        <f>[1]Electric!AM209</f>
        <v>133.39435297209417</v>
      </c>
      <c r="AB314" s="650"/>
      <c r="AC314" s="159"/>
      <c r="AD314" s="650">
        <f>[1]Electric!BN209</f>
        <v>7.883014981970172</v>
      </c>
      <c r="AE314" s="522">
        <f>[1]Electric!BO209</f>
        <v>0</v>
      </c>
      <c r="AF314" s="650"/>
      <c r="AG314" s="159"/>
      <c r="AH314" s="578">
        <f>[1]Electric!DV209</f>
        <v>0</v>
      </c>
      <c r="AI314" s="1553">
        <f>[1]Electric!DW209</f>
        <v>547.65963237709161</v>
      </c>
      <c r="AJ314" s="578"/>
      <c r="AK314" s="478"/>
      <c r="AL314" s="578">
        <f>[1]Electric!DZ209</f>
        <v>0</v>
      </c>
      <c r="AM314" s="1553">
        <f>[1]Electric!EA209</f>
        <v>0.30805420327729133</v>
      </c>
      <c r="AN314" s="650"/>
      <c r="AO314" s="159"/>
    </row>
    <row r="315" spans="1:41">
      <c r="A315" s="490" t="s">
        <v>965</v>
      </c>
      <c r="B315" s="578">
        <f>[1]Electric!B210</f>
        <v>12.472523250282284</v>
      </c>
      <c r="C315" s="1553">
        <f>[1]Electric!C210</f>
        <v>1.3843453190325286</v>
      </c>
      <c r="D315" s="578">
        <f>[1]Electric!D210</f>
        <v>0.39699210494476034</v>
      </c>
      <c r="E315" s="478">
        <f>[1]Electric!E210</f>
        <v>0.46711571458719037</v>
      </c>
      <c r="F315" s="578">
        <f>[1]Electric!J210</f>
        <v>20.140928645706303</v>
      </c>
      <c r="G315" s="1553">
        <f>[1]Electric!K210</f>
        <v>22.124108003078582</v>
      </c>
      <c r="H315" s="578">
        <f>[1]Electric!L210</f>
        <v>6.7424800036443466</v>
      </c>
      <c r="I315" s="478">
        <f>[1]Electric!M210</f>
        <v>0.22124108003078585</v>
      </c>
      <c r="J315" s="578">
        <f>[1]Electric!N210</f>
        <v>19.051577456705864</v>
      </c>
      <c r="K315" s="1553">
        <f>[1]Electric!O210</f>
        <v>1.6985617782471361</v>
      </c>
      <c r="L315" s="578">
        <f>[1]Electric!P210</f>
        <v>0.81386323984487208</v>
      </c>
      <c r="M315" s="478">
        <f>[1]Electric!Q210</f>
        <v>0.53164983659135367</v>
      </c>
      <c r="N315" s="578">
        <f>[1]Electric!R210</f>
        <v>22.408360754920984</v>
      </c>
      <c r="O315" s="1553">
        <f>[1]Electric!S210</f>
        <v>3.491128425528538</v>
      </c>
      <c r="P315" s="578">
        <f>[1]Electric!T210</f>
        <v>0.19437355114094731</v>
      </c>
      <c r="Q315" s="478">
        <f>[1]Electric!U210</f>
        <v>1.3266288017008445</v>
      </c>
      <c r="R315" s="578">
        <f>[1]Electric!V210</f>
        <v>2.6624288521529373</v>
      </c>
      <c r="S315" s="1553">
        <f>[1]Electric!W210</f>
        <v>2.2823616077639306</v>
      </c>
      <c r="T315" s="578">
        <f>[1]Electric!X210</f>
        <v>0.30990985431264584</v>
      </c>
      <c r="U315" s="478">
        <f>[1]Electric!Y210</f>
        <v>2.9670700900931095E-2</v>
      </c>
      <c r="V315" s="578">
        <f>[1]Electric!Z210</f>
        <v>0.89014160297368672</v>
      </c>
      <c r="W315" s="1553">
        <f>[1]Electric!AA210</f>
        <v>0</v>
      </c>
      <c r="X315" s="578">
        <f>[1]Electric!AB210</f>
        <v>2.627941462436708E-2</v>
      </c>
      <c r="Y315" s="478">
        <f>[1]Electric!AC210</f>
        <v>0</v>
      </c>
      <c r="Z315" s="578">
        <f>[1]Electric!AL210</f>
        <v>0</v>
      </c>
      <c r="AA315" s="1553">
        <f>[1]Electric!AM210</f>
        <v>0</v>
      </c>
      <c r="AB315" s="578">
        <f>[1]Electric!AN210</f>
        <v>0</v>
      </c>
      <c r="AC315" s="478">
        <f>[1]Electric!AO210</f>
        <v>0</v>
      </c>
      <c r="AD315" s="578">
        <f>[1]Electric!BN210</f>
        <v>22.328647727644441</v>
      </c>
      <c r="AE315" s="1553">
        <f>[1]Electric!BO210</f>
        <v>24.360982417999224</v>
      </c>
      <c r="AF315" s="578">
        <f>[1]Electric!BP210</f>
        <v>0.9538562159627948</v>
      </c>
      <c r="AG315" s="478">
        <f>[1]Electric!BQ210</f>
        <v>7.6249874968337572</v>
      </c>
      <c r="AH315" s="578">
        <f>[1]Electric!DV210</f>
        <v>0</v>
      </c>
      <c r="AI315" s="1553">
        <f>[1]Electric!DW210</f>
        <v>0</v>
      </c>
      <c r="AJ315" s="578">
        <f>[1]Electric!DX210</f>
        <v>0</v>
      </c>
      <c r="AK315" s="478">
        <f>[1]Electric!DY210</f>
        <v>0</v>
      </c>
      <c r="AL315" s="578">
        <f>[1]Electric!DZ210</f>
        <v>0</v>
      </c>
      <c r="AM315" s="1553">
        <f>[1]Electric!EA210</f>
        <v>0</v>
      </c>
      <c r="AN315" s="578">
        <f>[1]Electric!EB210</f>
        <v>0</v>
      </c>
      <c r="AO315" s="478">
        <f>[1]Electric!EC210</f>
        <v>0</v>
      </c>
    </row>
    <row r="316" spans="1:41">
      <c r="A316" s="490" t="s">
        <v>966</v>
      </c>
      <c r="B316" s="578">
        <f>[1]Electric!B211</f>
        <v>23.251518024300388</v>
      </c>
      <c r="C316" s="1553">
        <f>[1]Electric!C211</f>
        <v>14.203449605047195</v>
      </c>
      <c r="D316" s="578">
        <f>[1]Electric!D211</f>
        <v>1.6247699994881077</v>
      </c>
      <c r="E316" s="478">
        <f>[1]Electric!E211</f>
        <v>4.75456896664992</v>
      </c>
      <c r="F316" s="578">
        <f>[1]Electric!J211</f>
        <v>34.52745494878139</v>
      </c>
      <c r="G316" s="1553">
        <f>[1]Electric!K211</f>
        <v>195.74475038140849</v>
      </c>
      <c r="H316" s="578">
        <f>[1]Electric!L211</f>
        <v>4.3554816525991447</v>
      </c>
      <c r="I316" s="478">
        <f>[1]Electric!M211</f>
        <v>1.9574475038140848</v>
      </c>
      <c r="J316" s="578">
        <f>[1]Electric!N211</f>
        <v>49.764392793412618</v>
      </c>
      <c r="K316" s="1553">
        <f>[1]Electric!O211</f>
        <v>13.683582175057047</v>
      </c>
      <c r="L316" s="578">
        <f>[1]Electric!P211</f>
        <v>3.6622263934903572</v>
      </c>
      <c r="M316" s="478">
        <f>[1]Electric!Q211</f>
        <v>4.2829612207928562</v>
      </c>
      <c r="N316" s="578">
        <f>[1]Electric!R211</f>
        <v>5.5215952868681075</v>
      </c>
      <c r="O316" s="1553">
        <f>[1]Electric!S211</f>
        <v>42.359434128781892</v>
      </c>
      <c r="P316" s="578">
        <f>[1]Electric!T211</f>
        <v>0.22772427268704931</v>
      </c>
      <c r="Q316" s="478">
        <f>[1]Electric!U211</f>
        <v>16.096584968937119</v>
      </c>
      <c r="R316" s="578">
        <f>[1]Electric!V211</f>
        <v>20.694845326610515</v>
      </c>
      <c r="S316" s="1553">
        <f>[1]Electric!W211</f>
        <v>296.29895041883213</v>
      </c>
      <c r="T316" s="578">
        <f>[1]Electric!X211</f>
        <v>0.79096678961123534</v>
      </c>
      <c r="U316" s="478">
        <f>[1]Electric!Y211</f>
        <v>3.8518863554448175</v>
      </c>
      <c r="V316" s="578">
        <f>[1]Electric!Z211</f>
        <v>3.3186588220653257</v>
      </c>
      <c r="W316" s="1553">
        <f>[1]Electric!AA211</f>
        <v>0</v>
      </c>
      <c r="X316" s="578">
        <f>[1]Electric!AB211</f>
        <v>7.9614471220226163E-2</v>
      </c>
      <c r="Y316" s="478">
        <f>[1]Electric!AC211</f>
        <v>0</v>
      </c>
      <c r="Z316" s="578">
        <f>[1]Electric!AL211</f>
        <v>0</v>
      </c>
      <c r="AA316" s="1553">
        <f>[1]Electric!AM211</f>
        <v>0</v>
      </c>
      <c r="AB316" s="578">
        <f>[1]Electric!AN211</f>
        <v>0</v>
      </c>
      <c r="AC316" s="478">
        <f>[1]Electric!AO211</f>
        <v>0</v>
      </c>
      <c r="AD316" s="578">
        <f>[1]Electric!BN211</f>
        <v>58.324388024526677</v>
      </c>
      <c r="AE316" s="1553">
        <f>[1]Electric!BO211</f>
        <v>66.577739908694298</v>
      </c>
      <c r="AF316" s="578">
        <f>[1]Electric!BP211</f>
        <v>4.2921675764095459</v>
      </c>
      <c r="AG316" s="478">
        <f>[1]Electric!BQ211</f>
        <v>20.838832591421319</v>
      </c>
      <c r="AH316" s="578">
        <f>[1]Electric!DV211</f>
        <v>0</v>
      </c>
      <c r="AI316" s="1553">
        <f>[1]Electric!DW211</f>
        <v>0</v>
      </c>
      <c r="AJ316" s="578">
        <f>[1]Electric!DX211</f>
        <v>0</v>
      </c>
      <c r="AK316" s="478">
        <f>[1]Electric!DY211</f>
        <v>0</v>
      </c>
      <c r="AL316" s="578">
        <f>[1]Electric!DZ211</f>
        <v>0</v>
      </c>
      <c r="AM316" s="1553">
        <f>[1]Electric!EA211</f>
        <v>0</v>
      </c>
      <c r="AN316" s="578">
        <f>[1]Electric!EB211</f>
        <v>0</v>
      </c>
      <c r="AO316" s="478">
        <f>[1]Electric!EC211</f>
        <v>0</v>
      </c>
    </row>
    <row r="317" spans="1:41">
      <c r="A317" s="490" t="s">
        <v>967</v>
      </c>
      <c r="B317" s="578">
        <f>[1]Electric!B212</f>
        <v>28.518775920038625</v>
      </c>
      <c r="C317" s="1553">
        <f>[1]Electric!C212</f>
        <v>48.640785186047147</v>
      </c>
      <c r="D317" s="578">
        <f>[1]Electric!D212</f>
        <v>2.1182171276592108</v>
      </c>
      <c r="E317" s="478">
        <f>[1]Electric!E212</f>
        <v>16.935400164333767</v>
      </c>
      <c r="F317" s="578">
        <f>[1]Electric!J212</f>
        <v>63.626091589943989</v>
      </c>
      <c r="G317" s="1553">
        <f>[1]Electric!K212</f>
        <v>1049.1218972798997</v>
      </c>
      <c r="H317" s="578">
        <f>[1]Electric!L212</f>
        <v>7.301707468913281</v>
      </c>
      <c r="I317" s="478">
        <f>[1]Electric!M212</f>
        <v>10.491218972798999</v>
      </c>
      <c r="J317" s="578">
        <f>[1]Electric!N212</f>
        <v>57.385700342471964</v>
      </c>
      <c r="K317" s="1553">
        <f>[1]Electric!O212</f>
        <v>31.501405184135699</v>
      </c>
      <c r="L317" s="578">
        <f>[1]Electric!P212</f>
        <v>4.3491912033123361</v>
      </c>
      <c r="M317" s="478">
        <f>[1]Electric!Q212</f>
        <v>9.8599398226344732</v>
      </c>
      <c r="N317" s="578">
        <f>[1]Electric!R212</f>
        <v>16.539718978285681</v>
      </c>
      <c r="O317" s="1553">
        <f>[1]Electric!S212</f>
        <v>184.02208956749908</v>
      </c>
      <c r="P317" s="578">
        <f>[1]Electric!T212</f>
        <v>1.0923347944151363</v>
      </c>
      <c r="Q317" s="478">
        <f>[1]Electric!U212</f>
        <v>69.92839403564966</v>
      </c>
      <c r="R317" s="578">
        <f>[1]Electric!V212</f>
        <v>25.590958767075847</v>
      </c>
      <c r="S317" s="1553">
        <f>[1]Electric!W212</f>
        <v>358.65682407718799</v>
      </c>
      <c r="T317" s="578">
        <f>[1]Electric!X212</f>
        <v>0.67018377931403383</v>
      </c>
      <c r="U317" s="478">
        <f>[1]Electric!Y212</f>
        <v>4.6625387130034444</v>
      </c>
      <c r="V317" s="578">
        <f>[1]Electric!Z212</f>
        <v>3.2936341825633892</v>
      </c>
      <c r="W317" s="1553">
        <f>[1]Electric!AA212</f>
        <v>0</v>
      </c>
      <c r="X317" s="578">
        <f>[1]Electric!AB212</f>
        <v>0.20548234186423489</v>
      </c>
      <c r="Y317" s="478">
        <f>[1]Electric!AC212</f>
        <v>0</v>
      </c>
      <c r="Z317" s="578">
        <f>[1]Electric!AL212</f>
        <v>0</v>
      </c>
      <c r="AA317" s="1553">
        <f>[1]Electric!AM212</f>
        <v>0</v>
      </c>
      <c r="AB317" s="578">
        <f>[1]Electric!AN212</f>
        <v>0</v>
      </c>
      <c r="AC317" s="478">
        <f>[1]Electric!AO212</f>
        <v>0</v>
      </c>
      <c r="AD317" s="578">
        <f>[1]Electric!BN212</f>
        <v>67.256640058443423</v>
      </c>
      <c r="AE317" s="1553">
        <f>[1]Electric!BO212</f>
        <v>97.584314498840939</v>
      </c>
      <c r="AF317" s="578">
        <f>[1]Electric!BP212</f>
        <v>5.0972975072334181</v>
      </c>
      <c r="AG317" s="478">
        <f>[1]Electric!BQ212</f>
        <v>30.543890438137211</v>
      </c>
      <c r="AH317" s="578">
        <f>[1]Electric!DV212</f>
        <v>0</v>
      </c>
      <c r="AI317" s="1553">
        <f>[1]Electric!DW212</f>
        <v>0</v>
      </c>
      <c r="AJ317" s="578">
        <f>[1]Electric!DX212</f>
        <v>0</v>
      </c>
      <c r="AK317" s="478">
        <f>[1]Electric!DY212</f>
        <v>0</v>
      </c>
      <c r="AL317" s="578">
        <f>[1]Electric!DZ212</f>
        <v>0</v>
      </c>
      <c r="AM317" s="1553">
        <f>[1]Electric!EA212</f>
        <v>0</v>
      </c>
      <c r="AN317" s="578">
        <f>[1]Electric!EB212</f>
        <v>0</v>
      </c>
      <c r="AO317" s="478">
        <f>[1]Electric!EC212</f>
        <v>0</v>
      </c>
    </row>
    <row r="318" spans="1:41">
      <c r="A318" s="490" t="s">
        <v>968</v>
      </c>
      <c r="B318" s="578">
        <f>[1]Electric!B213</f>
        <v>5.1745820816930257</v>
      </c>
      <c r="C318" s="1553">
        <f>[1]Electric!C213</f>
        <v>7.1768326048667737</v>
      </c>
      <c r="D318" s="578">
        <f>[1]Electric!D213</f>
        <v>3.050930832595148E-2</v>
      </c>
      <c r="E318" s="478">
        <f>[1]Electric!E213</f>
        <v>2.5133634608820414</v>
      </c>
      <c r="F318" s="578">
        <f>[1]Electric!J213</f>
        <v>4.7056079992241582</v>
      </c>
      <c r="G318" s="1553">
        <f>[1]Electric!K213</f>
        <v>58.821042947190023</v>
      </c>
      <c r="H318" s="578">
        <f>[1]Electric!L213</f>
        <v>1.367081611103351</v>
      </c>
      <c r="I318" s="478">
        <f>[1]Electric!M213</f>
        <v>0.58821042947190028</v>
      </c>
      <c r="J318" s="578">
        <f>[1]Electric!N213</f>
        <v>0.8857359387579824</v>
      </c>
      <c r="K318" s="1553">
        <f>[1]Electric!O213</f>
        <v>6.4547797151457944</v>
      </c>
      <c r="L318" s="578">
        <f>[1]Electric!P213</f>
        <v>2.6250994371933751E-2</v>
      </c>
      <c r="M318" s="478">
        <f>[1]Electric!Q213</f>
        <v>2.0203460508406335</v>
      </c>
      <c r="N318" s="578">
        <f>[1]Electric!R213</f>
        <v>25.898582695152708</v>
      </c>
      <c r="O318" s="1553">
        <f>[1]Electric!S213</f>
        <v>23.933194120399715</v>
      </c>
      <c r="P318" s="578">
        <f>[1]Electric!T213</f>
        <v>5.00956540237322E-2</v>
      </c>
      <c r="Q318" s="478">
        <f>[1]Electric!U213</f>
        <v>9.0946137657518911</v>
      </c>
      <c r="R318" s="578">
        <f>[1]Electric!V213</f>
        <v>1.6853383648971199</v>
      </c>
      <c r="S318" s="1553">
        <f>[1]Electric!W213</f>
        <v>9.7790282814025531</v>
      </c>
      <c r="T318" s="578">
        <f>[1]Electric!X213</f>
        <v>7.2175422069196915E-2</v>
      </c>
      <c r="U318" s="478">
        <f>[1]Electric!Y213</f>
        <v>0.12712736765823321</v>
      </c>
      <c r="V318" s="578">
        <f>[1]Electric!Z213</f>
        <v>0.21837506157379888</v>
      </c>
      <c r="W318" s="1553">
        <f>[1]Electric!AA213</f>
        <v>0</v>
      </c>
      <c r="X318" s="578">
        <f>[1]Electric!AB213</f>
        <v>2.5798214500552929E-2</v>
      </c>
      <c r="Y318" s="478">
        <f>[1]Electric!AC213</f>
        <v>0</v>
      </c>
      <c r="Z318" s="578">
        <f>[1]Electric!AL213</f>
        <v>0</v>
      </c>
      <c r="AA318" s="1553">
        <f>[1]Electric!AM213</f>
        <v>0</v>
      </c>
      <c r="AB318" s="578">
        <f>[1]Electric!AN213</f>
        <v>0</v>
      </c>
      <c r="AC318" s="478">
        <f>[1]Electric!AO213</f>
        <v>0</v>
      </c>
      <c r="AD318" s="578">
        <f>[1]Electric!BN213</f>
        <v>1.0380917696282486</v>
      </c>
      <c r="AE318" s="1553">
        <f>[1]Electric!BO213</f>
        <v>28.555433543844639</v>
      </c>
      <c r="AF318" s="578">
        <f>[1]Electric!BP213</f>
        <v>3.0766439533067111E-2</v>
      </c>
      <c r="AG318" s="478">
        <f>[1]Electric!BQ213</f>
        <v>8.9378506992233717</v>
      </c>
      <c r="AH318" s="578">
        <f>[1]Electric!DV213</f>
        <v>0</v>
      </c>
      <c r="AI318" s="1553">
        <f>[1]Electric!DW213</f>
        <v>0</v>
      </c>
      <c r="AJ318" s="578">
        <f>[1]Electric!DX213</f>
        <v>0</v>
      </c>
      <c r="AK318" s="478">
        <f>[1]Electric!DY213</f>
        <v>0</v>
      </c>
      <c r="AL318" s="578">
        <f>[1]Electric!DZ213</f>
        <v>0</v>
      </c>
      <c r="AM318" s="1553">
        <f>[1]Electric!EA213</f>
        <v>0</v>
      </c>
      <c r="AN318" s="578">
        <f>[1]Electric!EB213</f>
        <v>0</v>
      </c>
      <c r="AO318" s="478">
        <f>[1]Electric!EC213</f>
        <v>0</v>
      </c>
    </row>
    <row r="319" spans="1:41">
      <c r="A319" s="490" t="s">
        <v>969</v>
      </c>
      <c r="B319" s="578">
        <f>[1]Electric!B214</f>
        <v>1.0588300822753236</v>
      </c>
      <c r="C319" s="1553">
        <f>[1]Electric!C214</f>
        <v>6.35534772691501</v>
      </c>
      <c r="D319" s="578">
        <f>[1]Electric!D214</f>
        <v>2.7304772519740048E-2</v>
      </c>
      <c r="E319" s="478">
        <f>[1]Electric!E214</f>
        <v>2.2095989823847715</v>
      </c>
      <c r="F319" s="578">
        <f>[1]Electric!J214</f>
        <v>4.119717209918619</v>
      </c>
      <c r="G319" s="1553">
        <f>[1]Electric!K214</f>
        <v>49.680027303956521</v>
      </c>
      <c r="H319" s="578">
        <f>[1]Electric!L214</f>
        <v>1.2050388756536443</v>
      </c>
      <c r="I319" s="478">
        <f>[1]Electric!M214</f>
        <v>0.49680027303956525</v>
      </c>
      <c r="J319" s="578">
        <f>[1]Electric!N214</f>
        <v>0.79740802237603958</v>
      </c>
      <c r="K319" s="1553">
        <f>[1]Electric!O214</f>
        <v>6.3194957542577823</v>
      </c>
      <c r="L319" s="578">
        <f>[1]Electric!P214</f>
        <v>2.3963665674885611E-2</v>
      </c>
      <c r="M319" s="478">
        <f>[1]Electric!Q214</f>
        <v>1.9780021710826858</v>
      </c>
      <c r="N319" s="578">
        <f>[1]Electric!R214</f>
        <v>3.6349931067730199</v>
      </c>
      <c r="O319" s="1553">
        <f>[1]Electric!S214</f>
        <v>19.806760354780902</v>
      </c>
      <c r="P319" s="578">
        <f>[1]Electric!T214</f>
        <v>4.4768578403809406E-2</v>
      </c>
      <c r="Q319" s="478">
        <f>[1]Electric!U214</f>
        <v>7.5265689348167424</v>
      </c>
      <c r="R319" s="578">
        <f>[1]Electric!V214</f>
        <v>1.2947125548840177</v>
      </c>
      <c r="S319" s="1553">
        <f>[1]Electric!W214</f>
        <v>8.6289551595682337</v>
      </c>
      <c r="T319" s="578">
        <f>[1]Electric!X214</f>
        <v>4.8241494361903052E-2</v>
      </c>
      <c r="U319" s="478">
        <f>[1]Electric!Y214</f>
        <v>0.11217641707438702</v>
      </c>
      <c r="V319" s="578">
        <f>[1]Electric!Z214</f>
        <v>0.1567291951427299</v>
      </c>
      <c r="W319" s="1553">
        <f>[1]Electric!AA214</f>
        <v>0</v>
      </c>
      <c r="X319" s="578">
        <f>[1]Electric!AB214</f>
        <v>2.266725076362432E-2</v>
      </c>
      <c r="Y319" s="478">
        <f>[1]Electric!AC214</f>
        <v>0</v>
      </c>
      <c r="Z319" s="578">
        <f>[1]Electric!AL214</f>
        <v>0</v>
      </c>
      <c r="AA319" s="1553">
        <f>[1]Electric!AM214</f>
        <v>0</v>
      </c>
      <c r="AB319" s="578">
        <f>[1]Electric!AN214</f>
        <v>0</v>
      </c>
      <c r="AC319" s="478">
        <f>[1]Electric!AO214</f>
        <v>0</v>
      </c>
      <c r="AD319" s="578">
        <f>[1]Electric!BN214</f>
        <v>0.93457052925373885</v>
      </c>
      <c r="AE319" s="1553">
        <f>[1]Electric!BO214</f>
        <v>28.552339258965734</v>
      </c>
      <c r="AF319" s="578">
        <f>[1]Electric!BP214</f>
        <v>2.8085666414422124E-2</v>
      </c>
      <c r="AG319" s="478">
        <f>[1]Electric!BQ214</f>
        <v>8.9368821880562752</v>
      </c>
      <c r="AH319" s="578">
        <f>[1]Electric!DV214</f>
        <v>0</v>
      </c>
      <c r="AI319" s="1553">
        <f>[1]Electric!DW214</f>
        <v>0</v>
      </c>
      <c r="AJ319" s="578">
        <f>[1]Electric!DX214</f>
        <v>0</v>
      </c>
      <c r="AK319" s="478">
        <f>[1]Electric!DY214</f>
        <v>0</v>
      </c>
      <c r="AL319" s="578">
        <f>[1]Electric!DZ214</f>
        <v>0</v>
      </c>
      <c r="AM319" s="1553">
        <f>[1]Electric!EA214</f>
        <v>0</v>
      </c>
      <c r="AN319" s="578">
        <f>[1]Electric!EB214</f>
        <v>0</v>
      </c>
      <c r="AO319" s="478">
        <f>[1]Electric!EC214</f>
        <v>0</v>
      </c>
    </row>
    <row r="320" spans="1:41">
      <c r="A320" s="490" t="s">
        <v>970</v>
      </c>
      <c r="B320" s="578">
        <f>[1]Electric!B215</f>
        <v>14.345177394134257</v>
      </c>
      <c r="C320" s="1553">
        <f>[1]Electric!C215</f>
        <v>50.440916232668343</v>
      </c>
      <c r="D320" s="578">
        <f>[1]Electric!D215</f>
        <v>0.22287869776601199</v>
      </c>
      <c r="E320" s="478">
        <f>[1]Electric!E215</f>
        <v>18.708604007353312</v>
      </c>
      <c r="F320" s="578">
        <f>[1]Electric!J215</f>
        <v>20.81957169280696</v>
      </c>
      <c r="G320" s="1553">
        <f>[1]Electric!K215</f>
        <v>687.03582281634112</v>
      </c>
      <c r="H320" s="578">
        <f>[1]Electric!L215</f>
        <v>3.0818396353553927</v>
      </c>
      <c r="I320" s="478">
        <f>[1]Electric!M215</f>
        <v>6.8703582281634112</v>
      </c>
      <c r="J320" s="578">
        <f>[1]Electric!N215</f>
        <v>24.39733996748436</v>
      </c>
      <c r="K320" s="1553">
        <f>[1]Electric!O215</f>
        <v>1.667173568898271</v>
      </c>
      <c r="L320" s="578">
        <f>[1]Electric!P215</f>
        <v>0.31235234165650783</v>
      </c>
      <c r="M320" s="478">
        <f>[1]Electric!Q215</f>
        <v>0.52182532706515883</v>
      </c>
      <c r="N320" s="578">
        <f>[1]Electric!R215</f>
        <v>20.655058072200056</v>
      </c>
      <c r="O320" s="1553">
        <f>[1]Electric!S215</f>
        <v>266.83955098629616</v>
      </c>
      <c r="P320" s="578">
        <f>[1]Electric!T215</f>
        <v>0.14218045873161997</v>
      </c>
      <c r="Q320" s="478">
        <f>[1]Electric!U215</f>
        <v>101.39902937479253</v>
      </c>
      <c r="R320" s="578">
        <f>[1]Electric!V215</f>
        <v>0.53344654383242662</v>
      </c>
      <c r="S320" s="1553">
        <f>[1]Electric!W215</f>
        <v>205.50614292069625</v>
      </c>
      <c r="T320" s="578">
        <f>[1]Electric!X215</f>
        <v>0.10320680831376064</v>
      </c>
      <c r="U320" s="478">
        <f>[1]Electric!Y215</f>
        <v>2.6715798579690513</v>
      </c>
      <c r="V320" s="578">
        <f>[1]Electric!Z215</f>
        <v>0.68369844851327555</v>
      </c>
      <c r="W320" s="1553">
        <f>[1]Electric!AA215</f>
        <v>0</v>
      </c>
      <c r="X320" s="578">
        <f>[1]Electric!AB215</f>
        <v>0.18349199496083884</v>
      </c>
      <c r="Y320" s="478">
        <f>[1]Electric!AC215</f>
        <v>0</v>
      </c>
      <c r="Z320" s="578">
        <f>[1]Electric!AL215</f>
        <v>0</v>
      </c>
      <c r="AA320" s="1553">
        <f>[1]Electric!AM215</f>
        <v>0</v>
      </c>
      <c r="AB320" s="578">
        <f>[1]Electric!AN215</f>
        <v>0</v>
      </c>
      <c r="AC320" s="478">
        <f>[1]Electric!AO215</f>
        <v>0</v>
      </c>
      <c r="AD320" s="578">
        <f>[1]Electric!BN215</f>
        <v>28.593937214043734</v>
      </c>
      <c r="AE320" s="1553">
        <f>[1]Electric!BO215</f>
        <v>5.1718554097571792</v>
      </c>
      <c r="AF320" s="578">
        <f>[1]Electric!BP215</f>
        <v>0.36608020619825987</v>
      </c>
      <c r="AG320" s="478">
        <f>[1]Electric!BQ215</f>
        <v>1.6187907432539972</v>
      </c>
      <c r="AH320" s="578">
        <f>[1]Electric!DV215</f>
        <v>0</v>
      </c>
      <c r="AI320" s="1553">
        <f>[1]Electric!DW215</f>
        <v>0</v>
      </c>
      <c r="AJ320" s="578">
        <f>[1]Electric!DX215</f>
        <v>0</v>
      </c>
      <c r="AK320" s="478">
        <f>[1]Electric!DY215</f>
        <v>0</v>
      </c>
      <c r="AL320" s="578">
        <f>[1]Electric!DZ215</f>
        <v>0</v>
      </c>
      <c r="AM320" s="1553">
        <f>[1]Electric!EA215</f>
        <v>0</v>
      </c>
      <c r="AN320" s="578">
        <f>[1]Electric!EB215</f>
        <v>0</v>
      </c>
      <c r="AO320" s="478">
        <f>[1]Electric!EC215</f>
        <v>0</v>
      </c>
    </row>
    <row r="321" spans="1:41">
      <c r="A321" s="490" t="s">
        <v>971</v>
      </c>
      <c r="B321" s="578">
        <f>[1]Electric!B216</f>
        <v>0.12036691135625063</v>
      </c>
      <c r="C321" s="1553">
        <f>[1]Electric!C216</f>
        <v>0.3320061591165549</v>
      </c>
      <c r="D321" s="578">
        <f>[1]Electric!D216</f>
        <v>3.0414501051360641E-3</v>
      </c>
      <c r="E321" s="478">
        <f>[1]Electric!E216</f>
        <v>0.1122394442191615</v>
      </c>
      <c r="F321" s="578">
        <f>[1]Electric!J216</f>
        <v>0.61049328011600157</v>
      </c>
      <c r="G321" s="1553">
        <f>[1]Electric!K216</f>
        <v>4.3344465281972244</v>
      </c>
      <c r="H321" s="578">
        <f>[1]Electric!L216</f>
        <v>0.12932731263735411</v>
      </c>
      <c r="I321" s="478">
        <f>[1]Electric!M216</f>
        <v>4.334446528197225E-2</v>
      </c>
      <c r="J321" s="578">
        <f>[1]Electric!N216</f>
        <v>0.21176562970764037</v>
      </c>
      <c r="K321" s="1553">
        <f>[1]Electric!O216</f>
        <v>0.40141347051622406</v>
      </c>
      <c r="L321" s="578">
        <f>[1]Electric!P216</f>
        <v>3.9947530478764504E-3</v>
      </c>
      <c r="M321" s="478">
        <f>[1]Electric!Q216</f>
        <v>0.12564241627157813</v>
      </c>
      <c r="N321" s="578">
        <f>[1]Electric!R216</f>
        <v>0.10945994724606099</v>
      </c>
      <c r="O321" s="1553">
        <f>[1]Electric!S216</f>
        <v>0.8516906952555785</v>
      </c>
      <c r="P321" s="578">
        <f>[1]Electric!T216</f>
        <v>4.2214192308278643E-3</v>
      </c>
      <c r="Q321" s="478">
        <f>[1]Electric!U216</f>
        <v>0.32364246419711984</v>
      </c>
      <c r="R321" s="578">
        <f>[1]Electric!V216</f>
        <v>0.87661646603540688</v>
      </c>
      <c r="S321" s="1553">
        <f>[1]Electric!W216</f>
        <v>1.1907958120204163</v>
      </c>
      <c r="T321" s="578">
        <f>[1]Electric!X216</f>
        <v>5.8156734416528509E-3</v>
      </c>
      <c r="U321" s="478">
        <f>[1]Electric!Y216</f>
        <v>1.5480345556265412E-2</v>
      </c>
      <c r="V321" s="578">
        <f>[1]Electric!Z216</f>
        <v>2.6106976668296679E-2</v>
      </c>
      <c r="W321" s="1553">
        <f>[1]Electric!AA216</f>
        <v>0</v>
      </c>
      <c r="X321" s="578">
        <f>[1]Electric!AB216</f>
        <v>1.2714025395155965E-3</v>
      </c>
      <c r="Y321" s="478">
        <f>[1]Electric!AC216</f>
        <v>0</v>
      </c>
      <c r="Z321" s="578">
        <f>[1]Electric!AL216</f>
        <v>0</v>
      </c>
      <c r="AA321" s="1553">
        <f>[1]Electric!AM216</f>
        <v>0</v>
      </c>
      <c r="AB321" s="578">
        <f>[1]Electric!AN216</f>
        <v>0</v>
      </c>
      <c r="AC321" s="478">
        <f>[1]Electric!AO216</f>
        <v>0</v>
      </c>
      <c r="AD321" s="578">
        <f>[1]Electric!BN216</f>
        <v>0.24819152940537004</v>
      </c>
      <c r="AE321" s="1553">
        <f>[1]Electric!BO216</f>
        <v>5.7104678517931458</v>
      </c>
      <c r="AF321" s="578">
        <f>[1]Electric!BP216</f>
        <v>4.6818922877995628E-3</v>
      </c>
      <c r="AG321" s="478">
        <f>[1]Electric!BQ216</f>
        <v>1.7873764376112546</v>
      </c>
      <c r="AH321" s="578">
        <f>[1]Electric!DV216</f>
        <v>0</v>
      </c>
      <c r="AI321" s="1553">
        <f>[1]Electric!DW216</f>
        <v>0</v>
      </c>
      <c r="AJ321" s="578">
        <f>[1]Electric!DX216</f>
        <v>0</v>
      </c>
      <c r="AK321" s="478">
        <f>[1]Electric!DY216</f>
        <v>0</v>
      </c>
      <c r="AL321" s="578">
        <f>[1]Electric!DZ216</f>
        <v>0</v>
      </c>
      <c r="AM321" s="1553">
        <f>[1]Electric!EA216</f>
        <v>0</v>
      </c>
      <c r="AN321" s="578">
        <f>[1]Electric!EB216</f>
        <v>0</v>
      </c>
      <c r="AO321" s="478">
        <f>[1]Electric!EC216</f>
        <v>0</v>
      </c>
    </row>
    <row r="322" spans="1:41">
      <c r="A322" s="490" t="s">
        <v>972</v>
      </c>
      <c r="B322" s="578">
        <f>[1]Electric!B217</f>
        <v>0.18899446749829235</v>
      </c>
      <c r="C322" s="1553">
        <f>[1]Electric!C217</f>
        <v>1.9641917514564646</v>
      </c>
      <c r="D322" s="578">
        <f>[1]Electric!D217</f>
        <v>9.1463957961391736E-3</v>
      </c>
      <c r="E322" s="478">
        <f>[1]Electric!E217</f>
        <v>0.63061857028077517</v>
      </c>
      <c r="F322" s="578">
        <f>[1]Electric!J217</f>
        <v>1.215939378123539</v>
      </c>
      <c r="G322" s="1553">
        <f>[1]Electric!K217</f>
        <v>6.9617011754377582</v>
      </c>
      <c r="H322" s="578">
        <f>[1]Electric!L217</f>
        <v>0.19587684692504587</v>
      </c>
      <c r="I322" s="478">
        <f>[1]Electric!M217</f>
        <v>6.9617011754377581E-2</v>
      </c>
      <c r="J322" s="578">
        <f>[1]Electric!N217</f>
        <v>0.30045176846653199</v>
      </c>
      <c r="K322" s="1553">
        <f>[1]Electric!O217</f>
        <v>3.9193880502722833</v>
      </c>
      <c r="L322" s="578">
        <f>[1]Electric!P217</f>
        <v>7.9181550723738461E-3</v>
      </c>
      <c r="M322" s="478">
        <f>[1]Electric!Q217</f>
        <v>1.2267684597352249</v>
      </c>
      <c r="N322" s="578">
        <f>[1]Electric!R217</f>
        <v>0.24146697877174175</v>
      </c>
      <c r="O322" s="1553">
        <f>[1]Electric!S217</f>
        <v>1.6043475887372527</v>
      </c>
      <c r="P322" s="578">
        <f>[1]Electric!T217</f>
        <v>1.8935221294433934E-2</v>
      </c>
      <c r="Q322" s="478">
        <f>[1]Electric!U217</f>
        <v>0.609652083720156</v>
      </c>
      <c r="R322" s="578">
        <f>[1]Electric!V217</f>
        <v>0.26967503813785865</v>
      </c>
      <c r="S322" s="1553">
        <f>[1]Electric!W217</f>
        <v>2.8130393820192436</v>
      </c>
      <c r="T322" s="578">
        <f>[1]Electric!X217</f>
        <v>8.2838596710150293E-3</v>
      </c>
      <c r="U322" s="478">
        <f>[1]Electric!Y217</f>
        <v>3.6569511966250162E-2</v>
      </c>
      <c r="V322" s="578">
        <f>[1]Electric!Z217</f>
        <v>4.80124266177092E-2</v>
      </c>
      <c r="W322" s="1553">
        <f>[1]Electric!AA217</f>
        <v>0</v>
      </c>
      <c r="X322" s="578">
        <f>[1]Electric!AB217</f>
        <v>6.3308453023262897E-3</v>
      </c>
      <c r="Y322" s="478">
        <f>[1]Electric!AC217</f>
        <v>0</v>
      </c>
      <c r="Z322" s="578">
        <f>[1]Electric!AL217</f>
        <v>0</v>
      </c>
      <c r="AA322" s="1553">
        <f>[1]Electric!AM217</f>
        <v>0</v>
      </c>
      <c r="AB322" s="578">
        <f>[1]Electric!AN217</f>
        <v>0</v>
      </c>
      <c r="AC322" s="478">
        <f>[1]Electric!AO217</f>
        <v>0</v>
      </c>
      <c r="AD322" s="578">
        <f>[1]Electric!BN217</f>
        <v>0.35213261014644376</v>
      </c>
      <c r="AE322" s="1553">
        <f>[1]Electric!BO217</f>
        <v>12.220401202837332</v>
      </c>
      <c r="AF322" s="578">
        <f>[1]Electric!BP217</f>
        <v>9.2801604311072445E-3</v>
      </c>
      <c r="AG322" s="478">
        <f>[1]Electric!BQ217</f>
        <v>3.8249855764880847</v>
      </c>
      <c r="AH322" s="578">
        <f>[1]Electric!DV217</f>
        <v>0</v>
      </c>
      <c r="AI322" s="1553">
        <f>[1]Electric!DW217</f>
        <v>0</v>
      </c>
      <c r="AJ322" s="578">
        <f>[1]Electric!DX217</f>
        <v>0</v>
      </c>
      <c r="AK322" s="478">
        <f>[1]Electric!DY217</f>
        <v>0</v>
      </c>
      <c r="AL322" s="578">
        <f>[1]Electric!DZ217</f>
        <v>0</v>
      </c>
      <c r="AM322" s="1553">
        <f>[1]Electric!EA217</f>
        <v>0</v>
      </c>
      <c r="AN322" s="578">
        <f>[1]Electric!EB217</f>
        <v>0</v>
      </c>
      <c r="AO322" s="478">
        <f>[1]Electric!EC217</f>
        <v>0</v>
      </c>
    </row>
    <row r="323" spans="1:41">
      <c r="A323" s="490" t="s">
        <v>887</v>
      </c>
      <c r="B323" s="578">
        <f>[1]Electric!B218</f>
        <v>257.51755724313688</v>
      </c>
      <c r="C323" s="1553">
        <f>[1]Electric!C218</f>
        <v>10.382627952963064</v>
      </c>
      <c r="D323" s="578"/>
      <c r="E323" s="478"/>
      <c r="F323" s="578">
        <f>[1]Electric!J218</f>
        <v>340.68758220532948</v>
      </c>
      <c r="G323" s="1553">
        <f>[1]Electric!K218</f>
        <v>10.993694694161251</v>
      </c>
      <c r="H323" s="578"/>
      <c r="I323" s="478"/>
      <c r="J323" s="578">
        <f>[1]Electric!N218</f>
        <v>410.05849035607918</v>
      </c>
      <c r="K323" s="1553">
        <f>[1]Electric!O218</f>
        <v>3.3790915398841155</v>
      </c>
      <c r="L323" s="578"/>
      <c r="M323" s="478"/>
      <c r="N323" s="578">
        <f>[1]Electric!R218</f>
        <v>449.46682961277276</v>
      </c>
      <c r="O323" s="1553">
        <f>[1]Electric!S218</f>
        <v>48.578417910370973</v>
      </c>
      <c r="P323" s="578"/>
      <c r="Q323" s="478"/>
      <c r="R323" s="578">
        <f>[1]Electric!V218</f>
        <v>11.550841541978789</v>
      </c>
      <c r="S323" s="1553">
        <f>[1]Electric!W218</f>
        <v>55.922799566856398</v>
      </c>
      <c r="T323" s="578"/>
      <c r="U323" s="478"/>
      <c r="V323" s="578">
        <f>[1]Electric!Z218</f>
        <v>4.8041871434971757</v>
      </c>
      <c r="W323" s="1553">
        <f>[1]Electric!AA218</f>
        <v>0</v>
      </c>
      <c r="X323" s="578"/>
      <c r="Y323" s="478"/>
      <c r="Z323" s="578">
        <f>[1]Electric!AL218</f>
        <v>0</v>
      </c>
      <c r="AA323" s="1553">
        <f>[1]Electric!AM218</f>
        <v>0</v>
      </c>
      <c r="AB323" s="578"/>
      <c r="AC323" s="478"/>
      <c r="AD323" s="578">
        <f>[1]Electric!BN218</f>
        <v>480.5928327823471</v>
      </c>
      <c r="AE323" s="1553">
        <f>[1]Electric!BO218</f>
        <v>2.5296277015840873</v>
      </c>
      <c r="AF323" s="578"/>
      <c r="AG323" s="478"/>
      <c r="AH323" s="578">
        <f>[1]Electric!DV218</f>
        <v>0</v>
      </c>
      <c r="AI323" s="1553">
        <f>[1]Electric!DW218</f>
        <v>0</v>
      </c>
      <c r="AJ323" s="578"/>
      <c r="AK323" s="478"/>
      <c r="AL323" s="578">
        <f>[1]Electric!DZ218</f>
        <v>0</v>
      </c>
      <c r="AM323" s="1553">
        <f>[1]Electric!EA218</f>
        <v>0</v>
      </c>
      <c r="AN323" s="578"/>
      <c r="AO323" s="478"/>
    </row>
    <row r="324" spans="1:41">
      <c r="A324" s="160" t="s">
        <v>888</v>
      </c>
      <c r="B324" s="578">
        <f>[1]Electric!B219</f>
        <v>0.78272682781517544</v>
      </c>
      <c r="C324" s="1553">
        <f>[1]Electric!C219</f>
        <v>1.6478794436111424</v>
      </c>
      <c r="D324" s="578"/>
      <c r="E324" s="478"/>
      <c r="F324" s="578">
        <f>[1]Electric!J219</f>
        <v>0.55390812969256786</v>
      </c>
      <c r="G324" s="1553">
        <f>[1]Electric!K219</f>
        <v>64.853344420802316</v>
      </c>
      <c r="H324" s="578"/>
      <c r="I324" s="478"/>
      <c r="J324" s="578">
        <f>[1]Electric!N219</f>
        <v>1.7781888997127302</v>
      </c>
      <c r="K324" s="1553">
        <f>[1]Electric!O219</f>
        <v>0.5463952447081295</v>
      </c>
      <c r="L324" s="578"/>
      <c r="M324" s="478"/>
      <c r="N324" s="578">
        <f>[1]Electric!R219</f>
        <v>9.865970950172219E-2</v>
      </c>
      <c r="O324" s="1553">
        <f>[1]Electric!S219</f>
        <v>7.0651811691678752</v>
      </c>
      <c r="P324" s="578"/>
      <c r="Q324" s="478"/>
      <c r="R324" s="578">
        <f>[1]Electric!V219</f>
        <v>0.10678964013557873</v>
      </c>
      <c r="S324" s="1553">
        <f>[1]Electric!W219</f>
        <v>34.620757894393115</v>
      </c>
      <c r="T324" s="578"/>
      <c r="U324" s="478"/>
      <c r="V324" s="578">
        <f>[1]Electric!Z219</f>
        <v>3.3326322510046663E-2</v>
      </c>
      <c r="W324" s="1553">
        <f>[1]Electric!AA219</f>
        <v>0</v>
      </c>
      <c r="X324" s="578"/>
      <c r="Y324" s="478"/>
      <c r="Z324" s="578">
        <f>[1]Electric!AL219</f>
        <v>0</v>
      </c>
      <c r="AA324" s="1553">
        <f>[1]Electric!AM219</f>
        <v>0</v>
      </c>
      <c r="AB324" s="578"/>
      <c r="AC324" s="478"/>
      <c r="AD324" s="578">
        <f>[1]Electric!BN219</f>
        <v>2.084055959414417</v>
      </c>
      <c r="AE324" s="1553">
        <f>[1]Electric!BO219</f>
        <v>0.6805651020176392</v>
      </c>
      <c r="AF324" s="578"/>
      <c r="AG324" s="478"/>
      <c r="AH324" s="578">
        <f>[1]Electric!DV219</f>
        <v>0</v>
      </c>
      <c r="AI324" s="1553">
        <f>[1]Electric!DW219</f>
        <v>0</v>
      </c>
      <c r="AJ324" s="578"/>
      <c r="AK324" s="478"/>
      <c r="AL324" s="578">
        <f>[1]Electric!DZ219</f>
        <v>0</v>
      </c>
      <c r="AM324" s="1553">
        <f>[1]Electric!EA219</f>
        <v>0</v>
      </c>
      <c r="AN324" s="578"/>
      <c r="AO324" s="478"/>
    </row>
    <row r="325" spans="1:41">
      <c r="A325" s="160" t="s">
        <v>889</v>
      </c>
      <c r="B325" s="650">
        <f>[1]Electric!B220</f>
        <v>6539.1671960671201</v>
      </c>
      <c r="C325" s="522">
        <f>[1]Electric!C220</f>
        <v>111833.86399449916</v>
      </c>
      <c r="D325" s="650"/>
      <c r="E325" s="159"/>
      <c r="F325" s="650">
        <f>[1]Electric!J220</f>
        <v>33173.408096886509</v>
      </c>
      <c r="G325" s="522">
        <f>[1]Electric!K220</f>
        <v>286991.92611215019</v>
      </c>
      <c r="H325" s="650"/>
      <c r="I325" s="159"/>
      <c r="J325" s="650">
        <f>[1]Electric!N220</f>
        <v>11915.852303289112</v>
      </c>
      <c r="K325" s="522">
        <f>[1]Electric!O220</f>
        <v>132526.88901202218</v>
      </c>
      <c r="L325" s="650"/>
      <c r="M325" s="159"/>
      <c r="N325" s="650">
        <f>[1]Electric!R220</f>
        <v>4865.8219255837148</v>
      </c>
      <c r="O325" s="522">
        <f>[1]Electric!S220</f>
        <v>304017.22365784185</v>
      </c>
      <c r="P325" s="650"/>
      <c r="Q325" s="159"/>
      <c r="R325" s="650">
        <f>[1]Electric!V220</f>
        <v>9466.5024747364441</v>
      </c>
      <c r="S325" s="522">
        <f>[1]Electric!W220</f>
        <v>-626.51369552552023</v>
      </c>
      <c r="T325" s="650"/>
      <c r="U325" s="159"/>
      <c r="V325" s="650">
        <f>[1]Electric!Z220</f>
        <v>1667.4374754571463</v>
      </c>
      <c r="W325" s="522">
        <f>[1]Electric!AA220</f>
        <v>0</v>
      </c>
      <c r="X325" s="650"/>
      <c r="Y325" s="159"/>
      <c r="Z325" s="650">
        <f>[1]Electric!AL220</f>
        <v>0</v>
      </c>
      <c r="AA325" s="522">
        <f>[1]Electric!AM220</f>
        <v>588.52502361267909</v>
      </c>
      <c r="AB325" s="650"/>
      <c r="AC325" s="159"/>
      <c r="AD325" s="650">
        <f>[1]Electric!BN220</f>
        <v>13965.503332173284</v>
      </c>
      <c r="AE325" s="522">
        <f>[1]Electric!BO220</f>
        <v>155177.69098017461</v>
      </c>
      <c r="AF325" s="650"/>
      <c r="AG325" s="159"/>
      <c r="AH325" s="650">
        <f>[1]Electric!DV220</f>
        <v>0</v>
      </c>
      <c r="AI325" s="522">
        <f>[1]Electric!DW220</f>
        <v>0</v>
      </c>
      <c r="AJ325" s="650"/>
      <c r="AK325" s="159"/>
      <c r="AL325" s="650">
        <f>[1]Electric!DZ220</f>
        <v>0</v>
      </c>
      <c r="AM325" s="522">
        <f>[1]Electric!EA220</f>
        <v>0</v>
      </c>
      <c r="AN325" s="650"/>
      <c r="AO325" s="159"/>
    </row>
    <row r="326" spans="1:41">
      <c r="A326" s="160" t="s">
        <v>2069</v>
      </c>
      <c r="B326" s="650">
        <f>[1]Electric!B221</f>
        <v>6614.5779932829719</v>
      </c>
      <c r="C326" s="522">
        <f>[1]Electric!C221</f>
        <v>111860.49824393236</v>
      </c>
      <c r="D326" s="650"/>
      <c r="E326" s="159"/>
      <c r="F326" s="650">
        <f>[1]Electric!J221</f>
        <v>33290.438087037524</v>
      </c>
      <c r="G326" s="522">
        <f>[1]Electric!K221</f>
        <v>287368.47847554961</v>
      </c>
      <c r="H326" s="650"/>
      <c r="I326" s="159"/>
      <c r="J326" s="650">
        <f>[1]Electric!N221</f>
        <v>12053.430908371207</v>
      </c>
      <c r="K326" s="522">
        <f>[1]Electric!O221</f>
        <v>132553.68563488711</v>
      </c>
      <c r="L326" s="650"/>
      <c r="M326" s="159"/>
      <c r="N326" s="650">
        <f>[1]Electric!R221</f>
        <v>4944.3381091968686</v>
      </c>
      <c r="O326" s="522">
        <f>[1]Electric!S221</f>
        <v>304094.66916649422</v>
      </c>
      <c r="P326" s="650"/>
      <c r="Q326" s="159"/>
      <c r="R326" s="650">
        <f>[1]Electric!V221</f>
        <v>9507.3208492198501</v>
      </c>
      <c r="S326" s="522">
        <f>[1]Electric!W221</f>
        <v>-153.78769880887222</v>
      </c>
      <c r="T326" s="650"/>
      <c r="U326" s="159"/>
      <c r="V326" s="650">
        <f>[1]Electric!Z221</f>
        <v>1675.4267854115647</v>
      </c>
      <c r="W326" s="522">
        <f>[1]Electric!AA221</f>
        <v>0</v>
      </c>
      <c r="X326" s="650"/>
      <c r="Y326" s="159"/>
      <c r="Z326" s="650">
        <f>[1]Electric!AL221</f>
        <v>0</v>
      </c>
      <c r="AA326" s="522">
        <f>[1]Electric!AM221</f>
        <v>588.52502361267909</v>
      </c>
      <c r="AB326" s="650"/>
      <c r="AC326" s="159"/>
      <c r="AD326" s="650">
        <f>[1]Electric!BN221</f>
        <v>14126.746894010605</v>
      </c>
      <c r="AE326" s="522">
        <f>[1]Electric!BO221</f>
        <v>155358.23820475771</v>
      </c>
      <c r="AF326" s="650"/>
      <c r="AG326" s="159"/>
      <c r="AH326" s="650">
        <f>[1]Electric!DV221</f>
        <v>0</v>
      </c>
      <c r="AI326" s="522">
        <f>[1]Electric!DW221</f>
        <v>0</v>
      </c>
      <c r="AJ326" s="650"/>
      <c r="AK326" s="159"/>
      <c r="AL326" s="650">
        <f>[1]Electric!DZ221</f>
        <v>0</v>
      </c>
      <c r="AM326" s="522">
        <f>[1]Electric!EA221</f>
        <v>0</v>
      </c>
      <c r="AN326" s="650"/>
      <c r="AO326" s="159"/>
    </row>
    <row r="327" spans="1:41">
      <c r="A327" s="161" t="s">
        <v>1896</v>
      </c>
      <c r="B327" s="137">
        <f>[1]Electric!B222</f>
        <v>14547.5273199481</v>
      </c>
      <c r="C327" s="138">
        <f>[1]Electric!C222</f>
        <v>112608.6651350782</v>
      </c>
      <c r="D327" s="137"/>
      <c r="E327" s="139"/>
      <c r="F327" s="137">
        <f>[1]Electric!J222</f>
        <v>43657.851207565938</v>
      </c>
      <c r="G327" s="138">
        <f>[1]Electric!K222</f>
        <v>304884.42558788706</v>
      </c>
      <c r="H327" s="137"/>
      <c r="I327" s="139"/>
      <c r="J327" s="137">
        <f>[1]Electric!N222</f>
        <v>24826.405677477454</v>
      </c>
      <c r="K327" s="138">
        <f>[1]Electric!O222</f>
        <v>132799.85312093128</v>
      </c>
      <c r="L327" s="137"/>
      <c r="M327" s="139"/>
      <c r="N327" s="137">
        <f>[1]Electric!R222</f>
        <v>18454.487820598006</v>
      </c>
      <c r="O327" s="138">
        <f>[1]Electric!S222</f>
        <v>307424.29471363482</v>
      </c>
      <c r="P327" s="137"/>
      <c r="Q327" s="139"/>
      <c r="R327" s="137">
        <f>[1]Electric!V222</f>
        <v>9882.1453501151427</v>
      </c>
      <c r="S327" s="138">
        <f>[1]Electric!W222</f>
        <v>10698.397130210995</v>
      </c>
      <c r="T327" s="137"/>
      <c r="U327" s="139"/>
      <c r="V327" s="137">
        <f>[1]Electric!Z222</f>
        <v>1828.3838751816422</v>
      </c>
      <c r="W327" s="138">
        <f>[1]Electric!AA222</f>
        <v>0</v>
      </c>
      <c r="X327" s="137"/>
      <c r="Y327" s="139"/>
      <c r="Z327" s="137">
        <f>[1]Electric!AL222</f>
        <v>0</v>
      </c>
      <c r="AA327" s="138">
        <f>[1]Electric!AM222</f>
        <v>588.52502361267909</v>
      </c>
      <c r="AB327" s="137"/>
      <c r="AC327" s="139"/>
      <c r="AD327" s="137">
        <f>[1]Electric!BN222</f>
        <v>29096.806706725838</v>
      </c>
      <c r="AE327" s="138">
        <f>[1]Electric!BO222</f>
        <v>155614.4767878399</v>
      </c>
      <c r="AF327" s="137"/>
      <c r="AG327" s="139"/>
      <c r="AH327" s="137">
        <f>[1]Electric!DV222</f>
        <v>0</v>
      </c>
      <c r="AI327" s="139">
        <f>[1]Electric!DW222</f>
        <v>0</v>
      </c>
      <c r="AJ327" s="137"/>
      <c r="AK327" s="139"/>
      <c r="AL327" s="137">
        <f>[1]Electric!DZ222</f>
        <v>0</v>
      </c>
      <c r="AM327" s="139">
        <f>[1]Electric!EA222</f>
        <v>0</v>
      </c>
      <c r="AN327" s="137"/>
      <c r="AO327" s="139"/>
    </row>
    <row r="329" spans="1:41" ht="51">
      <c r="A329" s="1299"/>
      <c r="B329" s="1452" t="s">
        <v>2096</v>
      </c>
      <c r="C329" s="2723" t="s">
        <v>2097</v>
      </c>
      <c r="D329" s="1452" t="s">
        <v>945</v>
      </c>
      <c r="E329" s="1452" t="s">
        <v>946</v>
      </c>
      <c r="F329" s="1452" t="s">
        <v>947</v>
      </c>
      <c r="G329" s="1452" t="s">
        <v>948</v>
      </c>
      <c r="H329" s="1452" t="s">
        <v>949</v>
      </c>
      <c r="I329" s="1452" t="s">
        <v>950</v>
      </c>
      <c r="J329" s="1452" t="s">
        <v>951</v>
      </c>
      <c r="K329" s="1452" t="s">
        <v>952</v>
      </c>
      <c r="L329" s="1452" t="s">
        <v>953</v>
      </c>
      <c r="M329" s="1452" t="s">
        <v>2098</v>
      </c>
      <c r="N329" s="1452" t="s">
        <v>442</v>
      </c>
      <c r="O329" s="1452" t="s">
        <v>445</v>
      </c>
      <c r="P329" s="1452" t="s">
        <v>1053</v>
      </c>
      <c r="Q329" s="1452" t="s">
        <v>1447</v>
      </c>
      <c r="R329" s="2490" t="s">
        <v>1448</v>
      </c>
      <c r="S329" s="2490" t="s">
        <v>2099</v>
      </c>
      <c r="T329" s="2490" t="s">
        <v>954</v>
      </c>
    </row>
    <row r="330" spans="1:41">
      <c r="A330" s="80" t="s">
        <v>440</v>
      </c>
      <c r="B330" s="1353">
        <f>[1]Electric!F228</f>
        <v>1.7000000000000001E-2</v>
      </c>
      <c r="C330" s="1354">
        <f>[1]Electric!H228</f>
        <v>7.2455734693231135E-4</v>
      </c>
      <c r="D330" s="1353">
        <f>[1]Electric!I228</f>
        <v>1.63452384299894E-2</v>
      </c>
      <c r="E330" s="1353">
        <f>[1]Electric!J228</f>
        <v>3.5462623242209099E-2</v>
      </c>
      <c r="F330" s="1353">
        <f>[1]Electric!K228</f>
        <v>1.1007977000515401E-2</v>
      </c>
      <c r="G330" s="1353">
        <f>[1]Electric!M228</f>
        <v>4.4321959257891301E-3</v>
      </c>
      <c r="H330" s="1353">
        <f>[1]Electric!N228</f>
        <v>0.13364999999999999</v>
      </c>
      <c r="I330" s="1353">
        <f>[1]Electric!O228</f>
        <v>0.72413793103448298</v>
      </c>
      <c r="J330" s="1353">
        <f>[1]Electric!P228</f>
        <v>2.84081301362914E-4</v>
      </c>
      <c r="K330" s="91">
        <f>[1]Electric!Q228</f>
        <v>2.6208189895903199E-2</v>
      </c>
      <c r="L330" s="91">
        <f>[1]Electric!L228</f>
        <v>1.6517183228958296E-3</v>
      </c>
      <c r="M330" s="91">
        <f>[1]Electric!$S228</f>
        <v>0</v>
      </c>
      <c r="N330" s="1354">
        <f>[1]Electric!T228</f>
        <v>0</v>
      </c>
      <c r="O330" s="1354">
        <f>[1]Electric!U228</f>
        <v>0</v>
      </c>
      <c r="P330" s="1354">
        <f>[1]Electric!V228</f>
        <v>0</v>
      </c>
      <c r="Q330" s="1354">
        <f>[1]Electric!W228</f>
        <v>0.03</v>
      </c>
      <c r="R330" s="1354">
        <f>[1]Electric!X228</f>
        <v>1E-3</v>
      </c>
      <c r="S330" s="1354">
        <f>[1]Electric!AC228</f>
        <v>1.7000000000000001E-2</v>
      </c>
      <c r="T330" s="1354">
        <f>[1]Electric!AF228</f>
        <v>1</v>
      </c>
    </row>
    <row r="331" spans="1:41">
      <c r="A331" s="173" t="s">
        <v>441</v>
      </c>
      <c r="B331" s="1353">
        <f>[1]Electric!F229</f>
        <v>0.156</v>
      </c>
      <c r="C331" s="1354">
        <f>[1]Electric!H229</f>
        <v>0</v>
      </c>
      <c r="D331" s="1353">
        <f>[1]Electric!I229</f>
        <v>0.19925203160588301</v>
      </c>
      <c r="E331" s="1353">
        <f>[1]Electric!J229</f>
        <v>8.46382330954316E-2</v>
      </c>
      <c r="F331" s="1353">
        <f>[1]Electric!K229</f>
        <v>0.106448272437974</v>
      </c>
      <c r="G331" s="1353">
        <f>[1]Electric!M229</f>
        <v>9.5547916015569501E-2</v>
      </c>
      <c r="H331" s="1353">
        <f>[1]Electric!N229</f>
        <v>0.33667000000000002</v>
      </c>
      <c r="I331" s="1353">
        <f>[1]Electric!O229</f>
        <v>0</v>
      </c>
      <c r="J331" s="1353">
        <f>[1]Electric!P229</f>
        <v>1.7788900537725302E-2</v>
      </c>
      <c r="K331" s="91">
        <f>[1]Electric!Q229</f>
        <v>0.49066995164065003</v>
      </c>
      <c r="L331" s="91">
        <f>[1]Electric!L229</f>
        <v>2.4803249443084745E-2</v>
      </c>
      <c r="M331" s="91">
        <f>[1]Electric!$S229</f>
        <v>0</v>
      </c>
      <c r="N331" s="1354">
        <f>[1]Electric!T229</f>
        <v>0</v>
      </c>
      <c r="O331" s="1354">
        <f>[1]Electric!U229</f>
        <v>0</v>
      </c>
      <c r="P331" s="1354">
        <f>[1]Electric!V229</f>
        <v>0</v>
      </c>
      <c r="Q331" s="1354">
        <f>[1]Electric!W229</f>
        <v>0.22</v>
      </c>
      <c r="R331" s="1354">
        <f>[1]Electric!X229</f>
        <v>0.20499999999999999</v>
      </c>
      <c r="S331" s="1354">
        <f>[1]Electric!AC229</f>
        <v>0.156</v>
      </c>
      <c r="T331" s="1354">
        <f>[1]Electric!AF229</f>
        <v>0</v>
      </c>
    </row>
    <row r="332" spans="1:41">
      <c r="A332" s="173" t="s">
        <v>442</v>
      </c>
      <c r="B332" s="1353">
        <f>[1]Electric!F230</f>
        <v>0.35699999999999998</v>
      </c>
      <c r="C332" s="1354">
        <f>[1]Electric!H230</f>
        <v>0.87621155490798519</v>
      </c>
      <c r="D332" s="1353">
        <f>[1]Electric!I230</f>
        <v>0.68786981654287604</v>
      </c>
      <c r="E332" s="1353">
        <f>[1]Electric!J230</f>
        <v>2.5643067755837901E-2</v>
      </c>
      <c r="F332" s="1353">
        <f>[1]Electric!K230</f>
        <v>0.10036740541793</v>
      </c>
      <c r="G332" s="1353">
        <f>[1]Electric!M230</f>
        <v>0.160113077819132</v>
      </c>
      <c r="H332" s="1353">
        <f>[1]Electric!N230</f>
        <v>0.27638000000000001</v>
      </c>
      <c r="I332" s="1353">
        <f>[1]Electric!O230</f>
        <v>0.13793103448275901</v>
      </c>
      <c r="J332" s="1353">
        <f>[1]Electric!P230</f>
        <v>1.1295613649430099E-3</v>
      </c>
      <c r="K332" s="91">
        <f>[1]Electric!Q230</f>
        <v>0.15776747539538299</v>
      </c>
      <c r="L332" s="91">
        <f>[1]Electric!L230</f>
        <v>0.70119854101343393</v>
      </c>
      <c r="M332" s="91">
        <f>[1]Electric!$S230</f>
        <v>0</v>
      </c>
      <c r="N332" s="1354">
        <f>[1]Electric!T230</f>
        <v>1</v>
      </c>
      <c r="O332" s="1354">
        <f>[1]Electric!U230</f>
        <v>0</v>
      </c>
      <c r="P332" s="1354">
        <f>[1]Electric!V230</f>
        <v>0</v>
      </c>
      <c r="Q332" s="1354">
        <f>[1]Electric!W230</f>
        <v>0.4</v>
      </c>
      <c r="R332" s="1354">
        <f>[1]Electric!X230</f>
        <v>0.215</v>
      </c>
      <c r="S332" s="1354">
        <f>[1]Electric!AC230</f>
        <v>0.35699999999999998</v>
      </c>
      <c r="T332" s="1354">
        <f>[1]Electric!AF230</f>
        <v>0</v>
      </c>
    </row>
    <row r="333" spans="1:41">
      <c r="A333" s="173" t="s">
        <v>443</v>
      </c>
      <c r="B333" s="1353">
        <f>[1]Electric!F231</f>
        <v>7.2999999999999995E-2</v>
      </c>
      <c r="C333" s="1354">
        <f>[1]Electric!H231</f>
        <v>1.7539830857432454E-3</v>
      </c>
      <c r="D333" s="1353">
        <f>[1]Electric!I231</f>
        <v>9.4118686757103092E-3</v>
      </c>
      <c r="E333" s="1353">
        <f>[1]Electric!J231</f>
        <v>6.3780954225486006E-2</v>
      </c>
      <c r="F333" s="1353">
        <f>[1]Electric!K231</f>
        <v>1.4027920289889299E-2</v>
      </c>
      <c r="G333" s="1353">
        <f>[1]Electric!M231</f>
        <v>0.154075631445862</v>
      </c>
      <c r="H333" s="1353">
        <f>[1]Electric!N231</f>
        <v>2.767E-2</v>
      </c>
      <c r="I333" s="1353">
        <f>[1]Electric!O231</f>
        <v>0</v>
      </c>
      <c r="J333" s="1353">
        <f>[1]Electric!P231</f>
        <v>1.82623693733302E-3</v>
      </c>
      <c r="K333" s="91">
        <f>[1]Electric!Q231</f>
        <v>4.2027244861935797E-5</v>
      </c>
      <c r="L333" s="91">
        <f>[1]Electric!L231</f>
        <v>8.993238518091768E-3</v>
      </c>
      <c r="M333" s="91">
        <f>[1]Electric!$S231</f>
        <v>0</v>
      </c>
      <c r="N333" s="1354">
        <f>[1]Electric!T231</f>
        <v>0</v>
      </c>
      <c r="O333" s="1354">
        <f>[1]Electric!U231</f>
        <v>0</v>
      </c>
      <c r="P333" s="1354">
        <f>[1]Electric!V231</f>
        <v>0</v>
      </c>
      <c r="Q333" s="1354">
        <f>[1]Electric!W231</f>
        <v>0</v>
      </c>
      <c r="R333" s="1354">
        <f>[1]Electric!X231</f>
        <v>6.3E-2</v>
      </c>
      <c r="S333" s="1354">
        <f>[1]Electric!AC231</f>
        <v>7.2999999999999995E-2</v>
      </c>
      <c r="T333" s="1354">
        <f>[1]Electric!AF231</f>
        <v>0</v>
      </c>
    </row>
    <row r="334" spans="1:41">
      <c r="A334" s="173" t="s">
        <v>444</v>
      </c>
      <c r="B334" s="1353">
        <f>[1]Electric!F232</f>
        <v>0</v>
      </c>
      <c r="C334" s="1354">
        <f>[1]Electric!H232</f>
        <v>5.3831047480282536E-2</v>
      </c>
      <c r="D334" s="1353">
        <f>[1]Electric!I232</f>
        <v>0</v>
      </c>
      <c r="E334" s="1353">
        <f>[1]Electric!J232</f>
        <v>2.9029683113441701E-2</v>
      </c>
      <c r="F334" s="1353">
        <f>[1]Electric!K232</f>
        <v>0.14951871624039101</v>
      </c>
      <c r="G334" s="1353">
        <f>[1]Electric!M232</f>
        <v>0.32654771713498298</v>
      </c>
      <c r="H334" s="1353">
        <f>[1]Electric!N232</f>
        <v>0.12341000000000001</v>
      </c>
      <c r="I334" s="1353">
        <f>[1]Electric!O232</f>
        <v>0</v>
      </c>
      <c r="J334" s="1353">
        <f>[1]Electric!P232</f>
        <v>0</v>
      </c>
      <c r="K334" s="91">
        <f>[1]Electric!Q232</f>
        <v>0.16580588642930899</v>
      </c>
      <c r="L334" s="91">
        <f>[1]Electric!L232</f>
        <v>2.914508943579459E-2</v>
      </c>
      <c r="M334" s="91">
        <f>[1]Electric!$S232</f>
        <v>0</v>
      </c>
      <c r="N334" s="1354">
        <f>[1]Electric!T232</f>
        <v>0</v>
      </c>
      <c r="O334" s="1354">
        <f>[1]Electric!U232</f>
        <v>0</v>
      </c>
      <c r="P334" s="1354">
        <f>[1]Electric!V232</f>
        <v>0</v>
      </c>
      <c r="Q334" s="1354">
        <f>[1]Electric!W232</f>
        <v>0.3</v>
      </c>
      <c r="R334" s="1354">
        <f>[1]Electric!X232</f>
        <v>0.26600000000000001</v>
      </c>
      <c r="S334" s="1354">
        <f>[1]Electric!AC232</f>
        <v>0</v>
      </c>
      <c r="T334" s="1354">
        <f>[1]Electric!AF232</f>
        <v>0</v>
      </c>
    </row>
    <row r="335" spans="1:41">
      <c r="A335" s="173" t="s">
        <v>445</v>
      </c>
      <c r="B335" s="1353">
        <f>[1]Electric!F233</f>
        <v>0.28699999999999998</v>
      </c>
      <c r="C335" s="1354">
        <f>[1]Electric!H233</f>
        <v>2.2211839979728233E-2</v>
      </c>
      <c r="D335" s="1353">
        <f>[1]Electric!I233</f>
        <v>5.6571637456264701E-2</v>
      </c>
      <c r="E335" s="1353">
        <f>[1]Electric!J233</f>
        <v>0.75179240826182103</v>
      </c>
      <c r="F335" s="1353">
        <f>[1]Electric!K233</f>
        <v>0.59992528950317503</v>
      </c>
      <c r="G335" s="1353">
        <f>[1]Electric!M233</f>
        <v>0.23949484331050899</v>
      </c>
      <c r="H335" s="1353">
        <f>[1]Electric!N233</f>
        <v>8.3089999999999997E-2</v>
      </c>
      <c r="I335" s="1353">
        <f>[1]Electric!O233</f>
        <v>0.13793103448275901</v>
      </c>
      <c r="J335" s="1353">
        <f>[1]Electric!P233</f>
        <v>0.96698569447732396</v>
      </c>
      <c r="K335" s="91">
        <f>[1]Electric!Q233</f>
        <v>0.15626570184565</v>
      </c>
      <c r="L335" s="91">
        <f>[1]Electric!L233</f>
        <v>0.19288022200841712</v>
      </c>
      <c r="M335" s="91">
        <f>[1]Electric!$S233</f>
        <v>1</v>
      </c>
      <c r="N335" s="1354">
        <f>[1]Electric!T233</f>
        <v>0</v>
      </c>
      <c r="O335" s="1354">
        <f>[1]Electric!U233</f>
        <v>1</v>
      </c>
      <c r="P335" s="1354">
        <f>[1]Electric!V233</f>
        <v>0</v>
      </c>
      <c r="Q335" s="1354">
        <f>[1]Electric!W233</f>
        <v>0.01</v>
      </c>
      <c r="R335" s="1354">
        <f>[1]Electric!X233</f>
        <v>9.5000000000000001E-2</v>
      </c>
      <c r="S335" s="1354">
        <f>[1]Electric!AC233</f>
        <v>0.28699999999999998</v>
      </c>
      <c r="T335" s="1354">
        <f>[1]Electric!AF233</f>
        <v>0</v>
      </c>
    </row>
    <row r="336" spans="1:41">
      <c r="A336" s="173" t="s">
        <v>294</v>
      </c>
      <c r="B336" s="1353">
        <f>[1]Electric!F234</f>
        <v>0.1100000000000001</v>
      </c>
      <c r="C336" s="1354">
        <f>[1]Electric!H234</f>
        <v>4.5267017199328463E-2</v>
      </c>
      <c r="D336" s="1353">
        <f>[1]Electric!I234</f>
        <v>3.0549407289276576E-2</v>
      </c>
      <c r="E336" s="1353">
        <f>[1]Electric!J234</f>
        <v>9.6530303057726918E-3</v>
      </c>
      <c r="F336" s="1353">
        <f>[1]Electric!K234</f>
        <v>1.8704419110125214E-2</v>
      </c>
      <c r="G336" s="1353">
        <f>[1]Electric!M234</f>
        <v>1.9788618348155373E-2</v>
      </c>
      <c r="H336" s="1353">
        <f>[1]Electric!N234</f>
        <v>1.912999999999998E-2</v>
      </c>
      <c r="I336" s="1353">
        <f>[1]Electric!O234</f>
        <v>0</v>
      </c>
      <c r="J336" s="1353">
        <f>[1]Electric!P234</f>
        <v>1.1985525381311812E-2</v>
      </c>
      <c r="K336" s="91">
        <f>[1]Electric!Q234</f>
        <v>3.2407675482429843E-3</v>
      </c>
      <c r="L336" s="91">
        <f>[1]Electric!L234</f>
        <v>4.1327941258281986E-2</v>
      </c>
      <c r="M336" s="91">
        <f>[1]Electric!$S234</f>
        <v>0</v>
      </c>
      <c r="N336" s="1354">
        <f>[1]Electric!T234</f>
        <v>0</v>
      </c>
      <c r="O336" s="1354">
        <f>[1]Electric!U234</f>
        <v>0</v>
      </c>
      <c r="P336" s="1354">
        <f>[1]Electric!V234</f>
        <v>1</v>
      </c>
      <c r="Q336" s="1354">
        <f>[1]Electric!W234</f>
        <v>4.0000000000000036E-2</v>
      </c>
      <c r="R336" s="1354">
        <f>[1]Electric!X234</f>
        <v>0.155</v>
      </c>
      <c r="S336" s="1354">
        <f>[1]Electric!AC234</f>
        <v>0.1100000000000001</v>
      </c>
      <c r="T336" s="1354">
        <f>[1]Electric!AF234</f>
        <v>0</v>
      </c>
    </row>
    <row r="337" spans="1:26">
      <c r="A337" s="1627" t="s">
        <v>2100</v>
      </c>
      <c r="B337" s="1739">
        <f>[1]Electric!F235</f>
        <v>6.7000000000000004E-2</v>
      </c>
      <c r="C337" s="1740">
        <f>[1]Electric!H235</f>
        <v>0.08</v>
      </c>
      <c r="D337" s="1739">
        <f>[1]Electric!I235</f>
        <v>0.05</v>
      </c>
      <c r="E337" s="1739">
        <f>[1]Electric!J235</f>
        <v>0.16</v>
      </c>
      <c r="F337" s="1739">
        <f>[1]Electric!K235</f>
        <v>0.05</v>
      </c>
      <c r="G337" s="1739">
        <f>[1]Electric!M235</f>
        <v>0.03</v>
      </c>
      <c r="H337" s="1739">
        <f>[1]Electric!N235</f>
        <v>0.06</v>
      </c>
      <c r="I337" s="1739">
        <f>[1]Electric!O235</f>
        <v>7.0000000000000007E-2</v>
      </c>
      <c r="J337" s="1739">
        <f>[1]Electric!P235</f>
        <v>0.08</v>
      </c>
      <c r="K337" s="1739">
        <f>[1]Electric!Q235</f>
        <v>0.1</v>
      </c>
      <c r="L337" s="1739">
        <f>[1]Electric!L235</f>
        <v>0.05</v>
      </c>
      <c r="M337" s="1739">
        <f>[1]Electric!$S235</f>
        <v>0.21</v>
      </c>
      <c r="N337" s="1740">
        <f>[1]Electric!T235</f>
        <v>4.8637978879840102E-2</v>
      </c>
      <c r="O337" s="1740">
        <f>[1]Electric!U235</f>
        <v>4.8637978879840102E-2</v>
      </c>
      <c r="P337" s="1740">
        <f>[1]Electric!V235</f>
        <v>4.8637978879840102E-2</v>
      </c>
      <c r="Q337" s="1740">
        <f>[1]Electric!W235</f>
        <v>3.3500000000000002E-2</v>
      </c>
      <c r="R337" s="1740">
        <f>[1]Electric!X235</f>
        <v>6.4399999999999999E-2</v>
      </c>
      <c r="S337" s="1740">
        <f>[1]Electric!AC235</f>
        <v>6.7000000000000004E-2</v>
      </c>
      <c r="T337" s="1740">
        <f>[1]Electric!AF235</f>
        <v>0</v>
      </c>
    </row>
    <row r="338" spans="1:26">
      <c r="U338" s="8"/>
    </row>
    <row r="339" spans="1:26" ht="51">
      <c r="A339" s="1611"/>
      <c r="B339" s="2723" t="s">
        <v>2096</v>
      </c>
      <c r="C339" s="2724" t="s">
        <v>2097</v>
      </c>
      <c r="D339" s="2723" t="s">
        <v>945</v>
      </c>
      <c r="E339" s="2723" t="s">
        <v>946</v>
      </c>
      <c r="F339" s="2723" t="s">
        <v>947</v>
      </c>
      <c r="G339" s="2723" t="s">
        <v>948</v>
      </c>
      <c r="H339" s="2723" t="s">
        <v>949</v>
      </c>
      <c r="I339" s="2723" t="s">
        <v>950</v>
      </c>
      <c r="J339" s="2723" t="s">
        <v>951</v>
      </c>
      <c r="K339" s="2723" t="s">
        <v>952</v>
      </c>
      <c r="L339" s="1755" t="s">
        <v>953</v>
      </c>
      <c r="M339" s="2723" t="s">
        <v>2098</v>
      </c>
      <c r="N339" s="2724" t="s">
        <v>442</v>
      </c>
      <c r="O339" s="2724" t="s">
        <v>445</v>
      </c>
      <c r="P339" s="2724" t="s">
        <v>1053</v>
      </c>
      <c r="Q339" s="2724" t="s">
        <v>1447</v>
      </c>
      <c r="R339" s="2724" t="s">
        <v>1448</v>
      </c>
      <c r="S339" s="2724" t="s">
        <v>2099</v>
      </c>
      <c r="T339" s="2724" t="s">
        <v>954</v>
      </c>
      <c r="V339" s="8"/>
      <c r="W339" s="8"/>
      <c r="X339" s="8"/>
      <c r="Y339" s="8"/>
      <c r="Z339" s="8"/>
    </row>
    <row r="340" spans="1:26">
      <c r="A340" s="160"/>
      <c r="B340" s="291" t="s">
        <v>2101</v>
      </c>
      <c r="C340" s="1355" t="s">
        <v>2101</v>
      </c>
      <c r="D340" s="291" t="s">
        <v>2101</v>
      </c>
      <c r="E340" s="291" t="s">
        <v>2101</v>
      </c>
      <c r="F340" s="291" t="s">
        <v>2101</v>
      </c>
      <c r="G340" s="291" t="s">
        <v>2101</v>
      </c>
      <c r="H340" s="291" t="s">
        <v>2101</v>
      </c>
      <c r="I340" s="291" t="s">
        <v>2101</v>
      </c>
      <c r="J340" s="291" t="s">
        <v>2101</v>
      </c>
      <c r="K340" s="1352" t="s">
        <v>2101</v>
      </c>
      <c r="L340" s="291" t="s">
        <v>2101</v>
      </c>
      <c r="M340" s="1352" t="s">
        <v>2101</v>
      </c>
      <c r="N340" s="1355" t="s">
        <v>2101</v>
      </c>
      <c r="O340" s="1355" t="s">
        <v>2101</v>
      </c>
      <c r="P340" s="1355" t="s">
        <v>2101</v>
      </c>
      <c r="Q340" s="1355" t="s">
        <v>2101</v>
      </c>
      <c r="R340" s="1355" t="s">
        <v>2101</v>
      </c>
      <c r="S340" s="1355" t="s">
        <v>2101</v>
      </c>
      <c r="T340" s="1355" t="s">
        <v>2101</v>
      </c>
      <c r="V340" s="8"/>
      <c r="W340" s="8"/>
      <c r="X340" s="8"/>
      <c r="Y340" s="8"/>
      <c r="Z340" s="8"/>
    </row>
    <row r="341" spans="1:26">
      <c r="A341" s="160" t="s">
        <v>2068</v>
      </c>
      <c r="B341" s="915"/>
      <c r="C341" s="490"/>
      <c r="D341" s="915"/>
      <c r="E341" s="915"/>
      <c r="F341" s="915"/>
      <c r="G341" s="915"/>
      <c r="H341" s="915"/>
      <c r="I341" s="915"/>
      <c r="J341" s="915"/>
      <c r="K341" s="915"/>
      <c r="L341" s="915"/>
      <c r="M341" s="915"/>
      <c r="N341" s="490"/>
      <c r="O341" s="490"/>
      <c r="P341" s="490"/>
      <c r="Q341" s="490"/>
      <c r="R341" s="490"/>
      <c r="S341" s="490"/>
      <c r="T341" s="490"/>
      <c r="V341" s="8"/>
      <c r="W341" s="8"/>
      <c r="X341" s="8"/>
      <c r="Y341" s="8"/>
      <c r="Z341" s="8"/>
    </row>
    <row r="342" spans="1:26">
      <c r="A342" s="160" t="s">
        <v>876</v>
      </c>
      <c r="B342" s="15">
        <f>[1]Electric!F237</f>
        <v>2382609.426608603</v>
      </c>
      <c r="C342" s="2725">
        <f>[1]Electric!H237</f>
        <v>2959758.2447541622</v>
      </c>
      <c r="D342" s="15">
        <f>[1]Electric!I237</f>
        <v>2826129.6915897159</v>
      </c>
      <c r="E342" s="15">
        <f>[1]Electric!J237</f>
        <v>1781119.0038606902</v>
      </c>
      <c r="F342" s="15">
        <f>[1]Electric!K237</f>
        <v>1496598.7407871522</v>
      </c>
      <c r="G342" s="15">
        <f>[1]Electric!M237</f>
        <v>2103365.3602713253</v>
      </c>
      <c r="H342" s="15">
        <f>[1]Electric!N237</f>
        <v>2597732.8057718687</v>
      </c>
      <c r="I342" s="15">
        <f>[1]Electric!O237</f>
        <v>3416766.20993326</v>
      </c>
      <c r="J342" s="15">
        <f>[1]Electric!P237</f>
        <v>1123031.7243846634</v>
      </c>
      <c r="K342" s="15">
        <f>[1]Electric!Q237</f>
        <v>2250843.6752304151</v>
      </c>
      <c r="L342" s="15">
        <f>[1]Electric!L237</f>
        <v>2571033.2454258362</v>
      </c>
      <c r="M342" s="15">
        <f>[1]Electric!$S237</f>
        <v>1265822.7848101265</v>
      </c>
      <c r="N342" s="2725">
        <f>[1]Electric!T237</f>
        <v>3106119.0541840652</v>
      </c>
      <c r="O342" s="2725">
        <f>[1]Electric!U237</f>
        <v>1051124.5748727412</v>
      </c>
      <c r="P342" s="2725">
        <f>[1]Electric!V237</f>
        <v>1051124.5748727412</v>
      </c>
      <c r="Q342" s="2725">
        <f>[1]Electric!W237</f>
        <v>2232367.9574408042</v>
      </c>
      <c r="R342" s="2725">
        <f>[1]Electric!X237</f>
        <v>2070046.2910800946</v>
      </c>
      <c r="S342" s="2725">
        <f>[1]Electric!AC237</f>
        <v>2382609.426608603</v>
      </c>
      <c r="T342" s="2725">
        <f>[1]Electric!AF237</f>
        <v>3634762.3750945898</v>
      </c>
      <c r="V342" s="8"/>
      <c r="W342" s="8"/>
      <c r="X342" s="8"/>
      <c r="Y342" s="8"/>
      <c r="Z342" s="8"/>
    </row>
    <row r="343" spans="1:26">
      <c r="A343" s="160" t="s">
        <v>877</v>
      </c>
      <c r="B343" s="15">
        <f>[1]Electric!F238</f>
        <v>1591251.5333474271</v>
      </c>
      <c r="C343" s="2725">
        <f>[1]Electric!H238</f>
        <v>2816586.1494433009</v>
      </c>
      <c r="D343" s="15">
        <f>[1]Electric!I238</f>
        <v>2686055.9911818737</v>
      </c>
      <c r="E343" s="15">
        <f>[1]Electric!J238</f>
        <v>485396.84670356411</v>
      </c>
      <c r="F343" s="15">
        <f>[1]Electric!K238</f>
        <v>618062.12061739189</v>
      </c>
      <c r="G343" s="15">
        <f>[1]Electric!M238</f>
        <v>757647.76830052678</v>
      </c>
      <c r="H343" s="15">
        <f>[1]Electric!N238</f>
        <v>2216716.1508961683</v>
      </c>
      <c r="I343" s="15">
        <f>[1]Electric!O238</f>
        <v>3256028.200039105</v>
      </c>
      <c r="J343" s="15">
        <f>[1]Electric!P238</f>
        <v>49652.48901269566</v>
      </c>
      <c r="K343" s="15">
        <f>[1]Electric!Q238</f>
        <v>1886873.6603442156</v>
      </c>
      <c r="L343" s="15">
        <f>[1]Electric!L238</f>
        <v>2247841.3970208052</v>
      </c>
      <c r="M343" s="15">
        <f>[1]Electric!$S238</f>
        <v>0</v>
      </c>
      <c r="N343" s="2725">
        <f>[1]Electric!T238</f>
        <v>3103694.924582134</v>
      </c>
      <c r="O343" s="2725">
        <f>[1]Electric!U238</f>
        <v>0</v>
      </c>
      <c r="P343" s="2725">
        <f>[1]Electric!V238</f>
        <v>0</v>
      </c>
      <c r="Q343" s="2725">
        <f>[1]Electric!W238</f>
        <v>1867305.4583462989</v>
      </c>
      <c r="R343" s="2725">
        <f>[1]Electric!X238</f>
        <v>1202939.4091250128</v>
      </c>
      <c r="S343" s="2725">
        <f>[1]Electric!AC238</f>
        <v>1591251.5333474271</v>
      </c>
      <c r="T343" s="2725">
        <f>[1]Electric!AF238</f>
        <v>3619244.316642439</v>
      </c>
      <c r="V343" s="8"/>
      <c r="W343" s="8"/>
      <c r="X343" s="8"/>
      <c r="Y343" s="8"/>
      <c r="Z343" s="8"/>
    </row>
    <row r="344" spans="1:26">
      <c r="A344" s="160" t="s">
        <v>442</v>
      </c>
      <c r="B344" s="15">
        <f>[1]Electric!F239</f>
        <v>1109554.7194655344</v>
      </c>
      <c r="C344" s="2725">
        <f>[1]Electric!H239</f>
        <v>2760291.4824380921</v>
      </c>
      <c r="D344" s="15">
        <f>[1]Electric!I239</f>
        <v>2099013.6897695088</v>
      </c>
      <c r="E344" s="15">
        <f>[1]Electric!J239</f>
        <v>89699.704278770078</v>
      </c>
      <c r="F344" s="15">
        <f>[1]Electric!K239</f>
        <v>307396.57913292677</v>
      </c>
      <c r="G344" s="15">
        <f>[1]Electric!M239</f>
        <v>480425.88335062005</v>
      </c>
      <c r="H344" s="15">
        <f>[1]Electric!N239</f>
        <v>856148.71578864008</v>
      </c>
      <c r="I344" s="15">
        <f>[1]Electric!O239</f>
        <v>445027.98739321413</v>
      </c>
      <c r="J344" s="15">
        <f>[1]Electric!P239</f>
        <v>3599.7577752504108</v>
      </c>
      <c r="K344" s="15">
        <f>[1]Electric!Q239</f>
        <v>510464.42472962796</v>
      </c>
      <c r="L344" s="15">
        <f>[1]Electric!L239</f>
        <v>2139198.8692545677</v>
      </c>
      <c r="M344" s="15">
        <f>[1]Electric!$S239</f>
        <v>0</v>
      </c>
      <c r="N344" s="2725">
        <f>[1]Electric!T239</f>
        <v>3046061.9202418905</v>
      </c>
      <c r="O344" s="2725">
        <f>[1]Electric!U239</f>
        <v>0</v>
      </c>
      <c r="P344" s="2725">
        <f>[1]Electric!V239</f>
        <v>0</v>
      </c>
      <c r="Q344" s="2725">
        <f>[1]Electric!W239</f>
        <v>1201923.5738308509</v>
      </c>
      <c r="R344" s="2725">
        <f>[1]Electric!X239</f>
        <v>667833.88186104607</v>
      </c>
      <c r="S344" s="2725">
        <f>[1]Electric!AC239</f>
        <v>1109554.7194655344</v>
      </c>
      <c r="T344" s="2725">
        <f>[1]Electric!AF239</f>
        <v>19560.681923858629</v>
      </c>
      <c r="V344" s="8"/>
      <c r="W344" s="8"/>
      <c r="X344" s="8"/>
      <c r="Y344" s="8"/>
      <c r="Z344" s="8"/>
    </row>
    <row r="345" spans="1:26">
      <c r="A345" s="160" t="s">
        <v>878</v>
      </c>
      <c r="B345" s="15">
        <f>[1]Electric!F240</f>
        <v>394220.02603781188</v>
      </c>
      <c r="C345" s="2725">
        <f>[1]Electric!H240</f>
        <v>11020.552315193439</v>
      </c>
      <c r="D345" s="15">
        <f>[1]Electric!I240</f>
        <v>494544.21080893546</v>
      </c>
      <c r="E345" s="15">
        <f>[1]Electric!J240</f>
        <v>244263.9818860071</v>
      </c>
      <c r="F345" s="15">
        <f>[1]Electric!K240</f>
        <v>264291.3500655918</v>
      </c>
      <c r="G345" s="15">
        <f>[1]Electric!M240</f>
        <v>236342.9942194327</v>
      </c>
      <c r="H345" s="15">
        <f>[1]Electric!N240</f>
        <v>865374.87794625305</v>
      </c>
      <c r="I345" s="15">
        <f>[1]Electric!O240</f>
        <v>199235.45310990885</v>
      </c>
      <c r="J345" s="15">
        <f>[1]Electric!P240</f>
        <v>44596.581326973632</v>
      </c>
      <c r="K345" s="15">
        <f>[1]Electric!Q240</f>
        <v>1266097.0588192537</v>
      </c>
      <c r="L345" s="15">
        <f>[1]Electric!L240</f>
        <v>68772.762746920838</v>
      </c>
      <c r="M345" s="15">
        <f>[1]Electric!$S240</f>
        <v>0</v>
      </c>
      <c r="N345" s="2725">
        <f>[1]Electric!T240</f>
        <v>10973.663061626881</v>
      </c>
      <c r="O345" s="2725">
        <f>[1]Electric!U240</f>
        <v>0</v>
      </c>
      <c r="P345" s="2725">
        <f>[1]Electric!V240</f>
        <v>0</v>
      </c>
      <c r="Q345" s="2725">
        <f>[1]Electric!W240</f>
        <v>540375.60062826285</v>
      </c>
      <c r="R345" s="2725">
        <f>[1]Electric!X240</f>
        <v>511699.68482439365</v>
      </c>
      <c r="S345" s="2725">
        <f>[1]Electric!AC240</f>
        <v>394220.02603781188</v>
      </c>
      <c r="T345" s="2725">
        <f>[1]Electric!AF240</f>
        <v>253886.68882364826</v>
      </c>
      <c r="V345" s="8"/>
      <c r="W345" s="8"/>
      <c r="X345" s="8"/>
      <c r="Y345" s="8"/>
      <c r="Z345" s="8"/>
    </row>
    <row r="346" spans="1:26">
      <c r="A346" s="160" t="s">
        <v>440</v>
      </c>
      <c r="B346" s="15">
        <f>[1]Electric!F241</f>
        <v>87476.787844080798</v>
      </c>
      <c r="C346" s="2725">
        <f>[1]Electric!H241</f>
        <v>45274.114690015347</v>
      </c>
      <c r="D346" s="15">
        <f>[1]Electric!I241</f>
        <v>92498.090603429475</v>
      </c>
      <c r="E346" s="15">
        <f>[1]Electric!J241</f>
        <v>151433.16053878693</v>
      </c>
      <c r="F346" s="15">
        <f>[1]Electric!K241</f>
        <v>46374.191418873343</v>
      </c>
      <c r="G346" s="15">
        <f>[1]Electric!M241</f>
        <v>40878.890730474042</v>
      </c>
      <c r="H346" s="15">
        <f>[1]Electric!N241</f>
        <v>495192.55716127518</v>
      </c>
      <c r="I346" s="15">
        <f>[1]Electric!O241</f>
        <v>2611764.7595359823</v>
      </c>
      <c r="J346" s="15">
        <f>[1]Electric!P241</f>
        <v>1456.1499104716188</v>
      </c>
      <c r="K346" s="15">
        <f>[1]Electric!Q241</f>
        <v>110312.17679533377</v>
      </c>
      <c r="L346" s="15">
        <f>[1]Electric!L241</f>
        <v>39869.76501931667</v>
      </c>
      <c r="M346" s="15">
        <f>[1]Electric!$S241</f>
        <v>0</v>
      </c>
      <c r="N346" s="2725">
        <f>[1]Electric!T241</f>
        <v>46659.341278616645</v>
      </c>
      <c r="O346" s="2725">
        <f>[1]Electric!U241</f>
        <v>0</v>
      </c>
      <c r="P346" s="2725">
        <f>[1]Electric!V241</f>
        <v>0</v>
      </c>
      <c r="Q346" s="2725">
        <f>[1]Electric!W241</f>
        <v>125006.28388718517</v>
      </c>
      <c r="R346" s="2725">
        <f>[1]Electric!X241</f>
        <v>23405.842439573102</v>
      </c>
      <c r="S346" s="2725">
        <f>[1]Electric!AC241</f>
        <v>87476.787844080798</v>
      </c>
      <c r="T346" s="2725">
        <f>[1]Electric!AF241</f>
        <v>3345796.9458949319</v>
      </c>
      <c r="V346" s="8"/>
      <c r="W346" s="8"/>
      <c r="X346" s="8"/>
      <c r="Y346" s="8"/>
      <c r="Z346" s="8"/>
    </row>
    <row r="347" spans="1:26">
      <c r="A347" s="230" t="s">
        <v>819</v>
      </c>
      <c r="B347" s="15">
        <f>[1]Electric!F242</f>
        <v>234.57549977244099</v>
      </c>
      <c r="C347" s="2725">
        <f>[1]Electric!H242</f>
        <v>151.16794689315333</v>
      </c>
      <c r="D347" s="15">
        <f>[1]Electric!I242</f>
        <v>145.32653042116465</v>
      </c>
      <c r="E347" s="15">
        <f>[1]Electric!J242</f>
        <v>497.50069631701359</v>
      </c>
      <c r="F347" s="15">
        <f>[1]Electric!K242</f>
        <v>375.80008938931559</v>
      </c>
      <c r="G347" s="15">
        <f>[1]Electric!M242</f>
        <v>225.5965089423604</v>
      </c>
      <c r="H347" s="15">
        <f>[1]Electric!N242</f>
        <v>151.43109754561084</v>
      </c>
      <c r="I347" s="15">
        <f>[1]Electric!O242</f>
        <v>224.2750484275843</v>
      </c>
      <c r="J347" s="15">
        <f>[1]Electric!P242</f>
        <v>549.16407481948352</v>
      </c>
      <c r="K347" s="15">
        <f>[1]Electric!Q242</f>
        <v>175.30502313607809</v>
      </c>
      <c r="L347" s="15">
        <f>[1]Electric!L242</f>
        <v>213.72240580600732</v>
      </c>
      <c r="M347" s="15">
        <f>[1]Electric!$S242</f>
        <v>659.5222465116376</v>
      </c>
      <c r="N347" s="2725">
        <f>[1]Electric!T242</f>
        <v>143.31719358401497</v>
      </c>
      <c r="O347" s="2725">
        <f>[1]Electric!U242</f>
        <v>547.65963237709161</v>
      </c>
      <c r="P347" s="2725">
        <f>[1]Electric!V242</f>
        <v>0.30805420327729133</v>
      </c>
      <c r="Q347" s="2725">
        <f>[1]Electric!W242</f>
        <v>123.64861739304608</v>
      </c>
      <c r="R347" s="2725">
        <f>[1]Electric!X242</f>
        <v>145.63218327519124</v>
      </c>
      <c r="S347" s="2725">
        <f>[1]Electric!AC242</f>
        <v>234.57549977244099</v>
      </c>
      <c r="T347" s="2725">
        <f>[1]Electric!AF242</f>
        <v>162.82007701513018</v>
      </c>
      <c r="V347" s="8"/>
      <c r="W347" s="8"/>
      <c r="X347" s="8"/>
      <c r="Y347" s="8"/>
      <c r="Z347" s="8"/>
    </row>
    <row r="348" spans="1:26">
      <c r="A348" s="160" t="s">
        <v>965</v>
      </c>
      <c r="B348" s="21">
        <f>[1]Electric!F243</f>
        <v>13.829535389161544</v>
      </c>
      <c r="C348" s="2726">
        <f>[1]Electric!H243</f>
        <v>23.55721838020337</v>
      </c>
      <c r="D348" s="21">
        <f>[1]Electric!I243</f>
        <v>22.719883098077283</v>
      </c>
      <c r="E348" s="21">
        <f>[1]Electric!J243</f>
        <v>4.8252747951439723</v>
      </c>
      <c r="F348" s="21">
        <f>[1]Electric!K243</f>
        <v>5.4838424769355996</v>
      </c>
      <c r="G348" s="21">
        <f>[1]Electric!M243</f>
        <v>7.2277540751617222</v>
      </c>
      <c r="H348" s="21">
        <f>[1]Electric!N243</f>
        <v>20.28166900836862</v>
      </c>
      <c r="I348" s="21">
        <f>[1]Electric!O243</f>
        <v>34.963126657685841</v>
      </c>
      <c r="J348" s="21">
        <f>[1]Electric!P243</f>
        <v>0.43371176904167436</v>
      </c>
      <c r="K348" s="21">
        <f>[1]Electric!Q243</f>
        <v>16.408939369380576</v>
      </c>
      <c r="L348" s="21">
        <f>[1]Electric!L243</f>
        <v>18.842553792930783</v>
      </c>
      <c r="M348" s="21">
        <f>[1]Electric!$S243</f>
        <v>0</v>
      </c>
      <c r="N348" s="2726">
        <f>[1]Electric!T243</f>
        <v>25.899489180449521</v>
      </c>
      <c r="O348" s="2726">
        <f>[1]Electric!U243</f>
        <v>0</v>
      </c>
      <c r="P348" s="2726">
        <f>[1]Electric!V243</f>
        <v>0</v>
      </c>
      <c r="Q348" s="2726">
        <f>[1]Electric!W243</f>
        <v>16.202015015344244</v>
      </c>
      <c r="R348" s="2726">
        <f>[1]Electric!X243</f>
        <v>10.588156178485006</v>
      </c>
      <c r="S348" s="2726">
        <f>[1]Electric!AC243</f>
        <v>13.829535389161544</v>
      </c>
      <c r="T348" s="2726">
        <f>[1]Electric!AF243</f>
        <v>40.209350688905616</v>
      </c>
      <c r="V348" s="8"/>
      <c r="W348" s="8"/>
      <c r="X348" s="8"/>
      <c r="Y348" s="8"/>
      <c r="Z348" s="8"/>
    </row>
    <row r="349" spans="1:26">
      <c r="A349" s="160" t="s">
        <v>966</v>
      </c>
      <c r="B349" s="21">
        <f>[1]Electric!F244</f>
        <v>55.110256655432849</v>
      </c>
      <c r="C349" s="2726">
        <f>[1]Electric!H244</f>
        <v>44.316309774266756</v>
      </c>
      <c r="D349" s="21">
        <f>[1]Electric!I244</f>
        <v>52.400430188983144</v>
      </c>
      <c r="E349" s="21">
        <f>[1]Electric!J244</f>
        <v>39.728995594044967</v>
      </c>
      <c r="F349" s="21">
        <f>[1]Electric!K244</f>
        <v>19.064712531717607</v>
      </c>
      <c r="G349" s="21">
        <f>[1]Electric!M244</f>
        <v>63.431358562976044</v>
      </c>
      <c r="H349" s="21">
        <f>[1]Electric!N244</f>
        <v>75.452160477080866</v>
      </c>
      <c r="I349" s="21">
        <f>[1]Electric!O244</f>
        <v>177.33502468513137</v>
      </c>
      <c r="J349" s="21">
        <f>[1]Electric!P244</f>
        <v>1.8893595602953712</v>
      </c>
      <c r="K349" s="21">
        <f>[1]Electric!Q244</f>
        <v>47.86902444075983</v>
      </c>
      <c r="L349" s="21">
        <f>[1]Electric!L244</f>
        <v>38.530855008866524</v>
      </c>
      <c r="M349" s="21">
        <f>[1]Electric!$S244</f>
        <v>0</v>
      </c>
      <c r="N349" s="2726">
        <f>[1]Electric!T244</f>
        <v>47.881029415649998</v>
      </c>
      <c r="O349" s="2726">
        <f>[1]Electric!U244</f>
        <v>0</v>
      </c>
      <c r="P349" s="2726">
        <f>[1]Electric!V244</f>
        <v>0</v>
      </c>
      <c r="Q349" s="2726">
        <f>[1]Electric!W244</f>
        <v>40.372329530412344</v>
      </c>
      <c r="R349" s="2726">
        <f>[1]Electric!X244</f>
        <v>45.13265167838243</v>
      </c>
      <c r="S349" s="2726">
        <f>[1]Electric!AC244</f>
        <v>55.110256655432849</v>
      </c>
      <c r="T349" s="2726">
        <f>[1]Electric!AF244</f>
        <v>219.0722306707259</v>
      </c>
      <c r="V349" s="8"/>
      <c r="W349" s="8"/>
      <c r="X349" s="8"/>
      <c r="Y349" s="8"/>
      <c r="Z349" s="8"/>
    </row>
    <row r="350" spans="1:26">
      <c r="A350" s="160" t="s">
        <v>967</v>
      </c>
      <c r="B350" s="21">
        <f>[1]Electric!F245</f>
        <v>135.04013691678378</v>
      </c>
      <c r="C350" s="2726">
        <f>[1]Electric!H245</f>
        <v>183.43923383104445</v>
      </c>
      <c r="D350" s="21">
        <f>[1]Electric!I245</f>
        <v>177.73042011520519</v>
      </c>
      <c r="E350" s="21">
        <f>[1]Electric!J245</f>
        <v>86.902994789521514</v>
      </c>
      <c r="F350" s="21">
        <f>[1]Electric!K245</f>
        <v>47.791930169709744</v>
      </c>
      <c r="G350" s="21">
        <f>[1]Electric!M245</f>
        <v>103.78301554648974</v>
      </c>
      <c r="H350" s="21">
        <f>[1]Electric!N245</f>
        <v>248.07702573807705</v>
      </c>
      <c r="I350" s="21">
        <f>[1]Electric!O245</f>
        <v>852.59092471677047</v>
      </c>
      <c r="J350" s="21">
        <f>[1]Electric!P245</f>
        <v>2.9219110820295837</v>
      </c>
      <c r="K350" s="21">
        <f>[1]Electric!Q245</f>
        <v>110.97291825903579</v>
      </c>
      <c r="L350" s="21">
        <f>[1]Electric!L245</f>
        <v>148.44042335863679</v>
      </c>
      <c r="M350" s="21">
        <f>[1]Electric!$S245</f>
        <v>0</v>
      </c>
      <c r="N350" s="2726">
        <f>[1]Electric!T245</f>
        <v>200.56180854578477</v>
      </c>
      <c r="O350" s="2726">
        <f>[1]Electric!U245</f>
        <v>0</v>
      </c>
      <c r="P350" s="2726">
        <f>[1]Electric!V245</f>
        <v>0</v>
      </c>
      <c r="Q350" s="2726">
        <f>[1]Electric!W245</f>
        <v>132.04926169467828</v>
      </c>
      <c r="R350" s="2726">
        <f>[1]Electric!X245</f>
        <v>89.013878863482361</v>
      </c>
      <c r="S350" s="2726">
        <f>[1]Electric!AC245</f>
        <v>135.04013691678378</v>
      </c>
      <c r="T350" s="2726">
        <f>[1]Electric!AF245</f>
        <v>1058.6261756886076</v>
      </c>
      <c r="V350" s="8"/>
      <c r="W350" s="8"/>
      <c r="X350" s="8"/>
      <c r="Y350" s="8"/>
      <c r="Z350" s="8"/>
    </row>
    <row r="351" spans="1:26">
      <c r="A351" s="160" t="s">
        <v>968</v>
      </c>
      <c r="B351" s="21">
        <f>[1]Electric!F246</f>
        <v>21.262295302688923</v>
      </c>
      <c r="C351" s="2726">
        <f>[1]Electric!H246</f>
        <v>45.232167091800804</v>
      </c>
      <c r="D351" s="21">
        <f>[1]Electric!I246</f>
        <v>36.939531826626379</v>
      </c>
      <c r="E351" s="21">
        <f>[1]Electric!J246</f>
        <v>5.5377165885403627</v>
      </c>
      <c r="F351" s="21">
        <f>[1]Electric!K246</f>
        <v>6.6852145627024626</v>
      </c>
      <c r="G351" s="21">
        <f>[1]Electric!M246</f>
        <v>10.591839103790694</v>
      </c>
      <c r="H351" s="21">
        <f>[1]Electric!N246</f>
        <v>25.381471842333635</v>
      </c>
      <c r="I351" s="21">
        <f>[1]Electric!O246</f>
        <v>54.089949701738874</v>
      </c>
      <c r="J351" s="21">
        <f>[1]Electric!P246</f>
        <v>0.23355021023063549</v>
      </c>
      <c r="K351" s="21">
        <f>[1]Electric!Q246</f>
        <v>13.916536648406193</v>
      </c>
      <c r="L351" s="21">
        <f>[1]Electric!L246</f>
        <v>35.389097255820417</v>
      </c>
      <c r="M351" s="21">
        <f>[1]Electric!$S246</f>
        <v>0</v>
      </c>
      <c r="N351" s="2726">
        <f>[1]Electric!T246</f>
        <v>49.831776815552423</v>
      </c>
      <c r="O351" s="2726">
        <f>[1]Electric!U246</f>
        <v>0</v>
      </c>
      <c r="P351" s="2726">
        <f>[1]Electric!V246</f>
        <v>0</v>
      </c>
      <c r="Q351" s="2726">
        <f>[1]Electric!W246</f>
        <v>23.150566677649579</v>
      </c>
      <c r="R351" s="2726">
        <f>[1]Electric!X246</f>
        <v>13.282570852028522</v>
      </c>
      <c r="S351" s="2726">
        <f>[1]Electric!AC246</f>
        <v>21.262295302688923</v>
      </c>
      <c r="T351" s="2726">
        <f>[1]Electric!AF246</f>
        <v>60.436843039375511</v>
      </c>
      <c r="V351" s="8"/>
      <c r="W351" s="8"/>
      <c r="X351" s="8"/>
      <c r="Y351" s="8"/>
      <c r="Z351" s="8"/>
    </row>
    <row r="352" spans="1:26">
      <c r="A352" s="160" t="s">
        <v>969</v>
      </c>
      <c r="B352" s="21">
        <f>[1]Electric!F247</f>
        <v>11.336774877915566</v>
      </c>
      <c r="C352" s="2726">
        <f>[1]Electric!H247</f>
        <v>21.307157885833195</v>
      </c>
      <c r="D352" s="21">
        <f>[1]Electric!I247</f>
        <v>18.542248179523231</v>
      </c>
      <c r="E352" s="21">
        <f>[1]Electric!J247</f>
        <v>4.2458511171751079</v>
      </c>
      <c r="F352" s="21">
        <f>[1]Electric!K247</f>
        <v>3.8707804212655583</v>
      </c>
      <c r="G352" s="21">
        <f>[1]Electric!M247</f>
        <v>6.1318347797134329</v>
      </c>
      <c r="H352" s="21">
        <f>[1]Electric!N247</f>
        <v>16.556882694124255</v>
      </c>
      <c r="I352" s="21">
        <f>[1]Electric!O247</f>
        <v>43.160922618204552</v>
      </c>
      <c r="J352" s="21">
        <f>[1]Electric!P247</f>
        <v>0.19284445531857342</v>
      </c>
      <c r="K352" s="21">
        <f>[1]Electric!Q247</f>
        <v>9.1191164932837427</v>
      </c>
      <c r="L352" s="21">
        <f>[1]Electric!L247</f>
        <v>16.82060276765629</v>
      </c>
      <c r="M352" s="21">
        <f>[1]Electric!$S247</f>
        <v>0</v>
      </c>
      <c r="N352" s="2726">
        <f>[1]Electric!T247</f>
        <v>23.441753461553922</v>
      </c>
      <c r="O352" s="2726">
        <f>[1]Electric!U247</f>
        <v>0</v>
      </c>
      <c r="P352" s="2726">
        <f>[1]Electric!V247</f>
        <v>0</v>
      </c>
      <c r="Q352" s="2726">
        <f>[1]Electric!W247</f>
        <v>12.406027815414401</v>
      </c>
      <c r="R352" s="2726">
        <f>[1]Electric!X247</f>
        <v>7.3412517867670539</v>
      </c>
      <c r="S352" s="2726">
        <f>[1]Electric!AC247</f>
        <v>11.336774877915566</v>
      </c>
      <c r="T352" s="2726">
        <f>[1]Electric!AF247</f>
        <v>51.18303367646849</v>
      </c>
      <c r="V352" s="8"/>
      <c r="W352" s="8"/>
      <c r="X352" s="8"/>
      <c r="Y352" s="8"/>
      <c r="Z352" s="8"/>
    </row>
    <row r="353" spans="1:26">
      <c r="A353" s="160" t="s">
        <v>970</v>
      </c>
      <c r="B353" s="21">
        <f>[1]Electric!F248</f>
        <v>136.40886768856197</v>
      </c>
      <c r="C353" s="2726">
        <f>[1]Electric!H248</f>
        <v>261.43549785469185</v>
      </c>
      <c r="D353" s="21">
        <f>[1]Electric!I248</f>
        <v>216.77189634482403</v>
      </c>
      <c r="E353" s="21">
        <f>[1]Electric!J248</f>
        <v>54.184548075402326</v>
      </c>
      <c r="F353" s="21">
        <f>[1]Electric!K248</f>
        <v>42.475008485376556</v>
      </c>
      <c r="G353" s="21">
        <f>[1]Electric!M248</f>
        <v>82.021480960493449</v>
      </c>
      <c r="H353" s="21">
        <f>[1]Electric!N248</f>
        <v>190.90320174150682</v>
      </c>
      <c r="I353" s="21">
        <f>[1]Electric!O248</f>
        <v>564.92426116951526</v>
      </c>
      <c r="J353" s="21">
        <f>[1]Electric!P248</f>
        <v>1.4123252878657837</v>
      </c>
      <c r="K353" s="21">
        <f>[1]Electric!Q248</f>
        <v>81.204035283823941</v>
      </c>
      <c r="L353" s="21">
        <f>[1]Electric!L248</f>
        <v>205.57366273162924</v>
      </c>
      <c r="M353" s="21">
        <f>[1]Electric!$S248</f>
        <v>0</v>
      </c>
      <c r="N353" s="2726">
        <f>[1]Electric!T248</f>
        <v>287.49460905849622</v>
      </c>
      <c r="O353" s="2726">
        <f>[1]Electric!U248</f>
        <v>0</v>
      </c>
      <c r="P353" s="2726">
        <f>[1]Electric!V248</f>
        <v>0</v>
      </c>
      <c r="Q353" s="2726">
        <f>[1]Electric!W248</f>
        <v>139.94600097241468</v>
      </c>
      <c r="R353" s="2726">
        <f>[1]Electric!X248</f>
        <v>82.389801223358305</v>
      </c>
      <c r="S353" s="2726">
        <f>[1]Electric!AC248</f>
        <v>136.40886768856197</v>
      </c>
      <c r="T353" s="2726">
        <f>[1]Electric!AF248</f>
        <v>673.4267387810313</v>
      </c>
      <c r="V353" s="8"/>
      <c r="W353" s="8"/>
      <c r="X353" s="8"/>
      <c r="Y353" s="8"/>
      <c r="Z353" s="8"/>
    </row>
    <row r="354" spans="1:26">
      <c r="A354" s="160" t="s">
        <v>971</v>
      </c>
      <c r="B354" s="21">
        <f>[1]Electric!F249</f>
        <v>0.68703204057446321</v>
      </c>
      <c r="C354" s="2726">
        <f>[1]Electric!H249</f>
        <v>0.87978832989832667</v>
      </c>
      <c r="D354" s="21">
        <f>[1]Electric!I249</f>
        <v>0.88487496530331611</v>
      </c>
      <c r="E354" s="21">
        <f>[1]Electric!J249</f>
        <v>0.43550316802705341</v>
      </c>
      <c r="F354" s="21">
        <f>[1]Electric!K249</f>
        <v>0.24943591797318657</v>
      </c>
      <c r="G354" s="21">
        <f>[1]Electric!M249</f>
        <v>0.55067260314033506</v>
      </c>
      <c r="H354" s="21">
        <f>[1]Electric!N249</f>
        <v>1.2078251215370495</v>
      </c>
      <c r="I354" s="21">
        <f>[1]Electric!O249</f>
        <v>3.7986872602464881</v>
      </c>
      <c r="J354" s="21">
        <f>[1]Electric!P249</f>
        <v>1.7759250912416608E-2</v>
      </c>
      <c r="K354" s="21">
        <f>[1]Electric!Q249</f>
        <v>0.61999244892087246</v>
      </c>
      <c r="L354" s="21">
        <f>[1]Electric!L249</f>
        <v>0.71771505151280279</v>
      </c>
      <c r="M354" s="21">
        <f>[1]Electric!$S249</f>
        <v>0</v>
      </c>
      <c r="N354" s="2726">
        <f>[1]Electric!T249</f>
        <v>0.96115064250163951</v>
      </c>
      <c r="O354" s="2726">
        <f>[1]Electric!U249</f>
        <v>0</v>
      </c>
      <c r="P354" s="2726">
        <f>[1]Electric!V249</f>
        <v>0</v>
      </c>
      <c r="Q354" s="2726">
        <f>[1]Electric!W249</f>
        <v>0.66495918123039233</v>
      </c>
      <c r="R354" s="2726">
        <f>[1]Electric!X249</f>
        <v>0.48247911329450821</v>
      </c>
      <c r="S354" s="2726">
        <f>[1]Electric!AC249</f>
        <v>0.68703204057446321</v>
      </c>
      <c r="T354" s="2726">
        <f>[1]Electric!AF249</f>
        <v>4.7044279303544068</v>
      </c>
      <c r="V354" s="8"/>
      <c r="W354" s="8"/>
      <c r="X354" s="8"/>
      <c r="Y354" s="8"/>
      <c r="Z354" s="8"/>
    </row>
    <row r="355" spans="1:26">
      <c r="A355" s="160" t="s">
        <v>972</v>
      </c>
      <c r="B355" s="21">
        <f>[1]Electric!F250</f>
        <v>1.7143980598659061</v>
      </c>
      <c r="C355" s="2726">
        <f>[1]Electric!H250</f>
        <v>1.6868484281704208</v>
      </c>
      <c r="D355" s="21">
        <f>[1]Electric!I250</f>
        <v>2.2764304332311975</v>
      </c>
      <c r="E355" s="21">
        <f>[1]Electric!J250</f>
        <v>1.0108277797715346</v>
      </c>
      <c r="F355" s="21">
        <f>[1]Electric!K250</f>
        <v>0.77600735931903619</v>
      </c>
      <c r="G355" s="21">
        <f>[1]Electric!M250</f>
        <v>1.2020806103392325</v>
      </c>
      <c r="H355" s="21">
        <f>[1]Electric!N250</f>
        <v>3.1526571513952404</v>
      </c>
      <c r="I355" s="21">
        <f>[1]Electric!O250</f>
        <v>6.3182047110073807</v>
      </c>
      <c r="J355" s="21">
        <f>[1]Electric!P250</f>
        <v>8.8005281892824236E-2</v>
      </c>
      <c r="K355" s="21">
        <f>[1]Electric!Q250</f>
        <v>2.7316453078578689</v>
      </c>
      <c r="L355" s="21">
        <f>[1]Electric!L250</f>
        <v>1.4436450927096769</v>
      </c>
      <c r="M355" s="21">
        <f>[1]Electric!$S250</f>
        <v>0</v>
      </c>
      <c r="N355" s="2726">
        <f>[1]Electric!T250</f>
        <v>1.8458145675089945</v>
      </c>
      <c r="O355" s="2726">
        <f>[1]Electric!U250</f>
        <v>0</v>
      </c>
      <c r="P355" s="2726">
        <f>[1]Electric!V250</f>
        <v>0</v>
      </c>
      <c r="Q355" s="2726">
        <f>[1]Electric!W250</f>
        <v>1.8962505790677162</v>
      </c>
      <c r="R355" s="2726">
        <f>[1]Electric!X250</f>
        <v>1.501961519133618</v>
      </c>
      <c r="S355" s="2726">
        <f>[1]Electric!AC250</f>
        <v>1.7143980598659061</v>
      </c>
      <c r="T355" s="2726">
        <f>[1]Electric!AF250</f>
        <v>7.7798966450302576</v>
      </c>
      <c r="V355" s="8"/>
      <c r="W355" s="8"/>
      <c r="X355" s="8"/>
      <c r="Y355" s="8"/>
      <c r="Z355" s="8"/>
    </row>
    <row r="356" spans="1:26">
      <c r="A356" s="160" t="s">
        <v>887</v>
      </c>
      <c r="B356" s="21">
        <f>[1]Electric!F251</f>
        <v>258.1857580067205</v>
      </c>
      <c r="C356" s="2726">
        <f>[1]Electric!H251</f>
        <v>451.92258067789231</v>
      </c>
      <c r="D356" s="21">
        <f>[1]Electric!I251</f>
        <v>431.97037060345087</v>
      </c>
      <c r="E356" s="21">
        <f>[1]Electric!J251</f>
        <v>73.253258677815282</v>
      </c>
      <c r="F356" s="21">
        <f>[1]Electric!K251</f>
        <v>99.676057402842872</v>
      </c>
      <c r="G356" s="21">
        <f>[1]Electric!M251</f>
        <v>130.21911580012699</v>
      </c>
      <c r="H356" s="21">
        <f>[1]Electric!N251</f>
        <v>330.24797769705731</v>
      </c>
      <c r="I356" s="21">
        <f>[1]Electric!O251</f>
        <v>330.7892380859185</v>
      </c>
      <c r="J356" s="21">
        <f>[1]Electric!P251</f>
        <v>8.4177976136756794</v>
      </c>
      <c r="K356" s="21">
        <f>[1]Electric!Q251</f>
        <v>308.08597714600899</v>
      </c>
      <c r="L356" s="21">
        <f>[1]Electric!L251</f>
        <v>361.32819672733643</v>
      </c>
      <c r="M356" s="21">
        <f>[1]Electric!$S251</f>
        <v>0</v>
      </c>
      <c r="N356" s="2726">
        <f>[1]Electric!T251</f>
        <v>498.04524752314376</v>
      </c>
      <c r="O356" s="2726">
        <f>[1]Electric!U251</f>
        <v>0</v>
      </c>
      <c r="P356" s="2726">
        <f>[1]Electric!V251</f>
        <v>0</v>
      </c>
      <c r="Q356" s="2726">
        <f>[1]Electric!W251</f>
        <v>297.43333156762492</v>
      </c>
      <c r="R356" s="2726">
        <f>[1]Electric!X251</f>
        <v>201.04576253738853</v>
      </c>
      <c r="S356" s="2726">
        <f>[1]Electric!AC251</f>
        <v>258.1857580067205</v>
      </c>
      <c r="T356" s="2726">
        <f>[1]Electric!AF251</f>
        <v>334.57621038121812</v>
      </c>
      <c r="V356" s="8"/>
      <c r="W356" s="8"/>
      <c r="X356" s="8"/>
      <c r="Y356" s="8"/>
      <c r="Z356" s="8"/>
    </row>
    <row r="357" spans="1:26">
      <c r="A357" s="160" t="s">
        <v>888</v>
      </c>
      <c r="B357" s="21">
        <f>[1]Electric!F252</f>
        <v>6.6964063942426124</v>
      </c>
      <c r="C357" s="2726">
        <f>[1]Electric!H252</f>
        <v>6.6048690749579633</v>
      </c>
      <c r="D357" s="21">
        <f>[1]Electric!I252</f>
        <v>6.7966467247729678</v>
      </c>
      <c r="E357" s="21">
        <f>[1]Electric!J252</f>
        <v>5.5676059853002036</v>
      </c>
      <c r="F357" s="21">
        <f>[1]Electric!K252</f>
        <v>2.181727275808103</v>
      </c>
      <c r="G357" s="21">
        <f>[1]Electric!M252</f>
        <v>6.8856866218919182</v>
      </c>
      <c r="H357" s="21">
        <f>[1]Electric!N252</f>
        <v>12.619982616655999</v>
      </c>
      <c r="I357" s="21">
        <f>[1]Electric!O252</f>
        <v>49.462629595058374</v>
      </c>
      <c r="J357" s="21">
        <f>[1]Electric!P252</f>
        <v>0.1359263673544453</v>
      </c>
      <c r="K357" s="21">
        <f>[1]Electric!Q252</f>
        <v>4.2198355654513309</v>
      </c>
      <c r="L357" s="21">
        <f>[1]Electric!L252</f>
        <v>5.5101393992255394</v>
      </c>
      <c r="M357" s="21">
        <f>[1]Electric!$S252</f>
        <v>0</v>
      </c>
      <c r="N357" s="2726">
        <f>[1]Electric!T252</f>
        <v>7.1638408786695971</v>
      </c>
      <c r="O357" s="2726">
        <f>[1]Electric!U252</f>
        <v>0</v>
      </c>
      <c r="P357" s="2726">
        <f>[1]Electric!V252</f>
        <v>0</v>
      </c>
      <c r="Q357" s="2726">
        <f>[1]Electric!W252</f>
        <v>5.2653781573060741</v>
      </c>
      <c r="R357" s="2726">
        <f>[1]Electric!X252</f>
        <v>4.3509591157254528</v>
      </c>
      <c r="S357" s="2726">
        <f>[1]Electric!AC252</f>
        <v>6.6964063942426124</v>
      </c>
      <c r="T357" s="2726">
        <f>[1]Electric!AF252</f>
        <v>62.22597598235555</v>
      </c>
      <c r="V357" s="8"/>
      <c r="W357" s="8"/>
      <c r="X357" s="8"/>
      <c r="Y357" s="8"/>
      <c r="Z357" s="8"/>
    </row>
    <row r="358" spans="1:26">
      <c r="A358" s="160" t="s">
        <v>889</v>
      </c>
      <c r="B358" s="15">
        <f>[1]Electric!F253</f>
        <v>141625.93460352023</v>
      </c>
      <c r="C358" s="2725">
        <f>[1]Electric!H253</f>
        <v>280221.75670655654</v>
      </c>
      <c r="D358" s="15">
        <f>[1]Electric!I253</f>
        <v>246921.71953019683</v>
      </c>
      <c r="E358" s="15">
        <f>[1]Electric!J253</f>
        <v>36369.457878094043</v>
      </c>
      <c r="F358" s="15">
        <f>[1]Electric!K253</f>
        <v>50347.242370480468</v>
      </c>
      <c r="G358" s="15">
        <f>[1]Electric!M253</f>
        <v>65303.625550250254</v>
      </c>
      <c r="H358" s="15">
        <f>[1]Electric!N253</f>
        <v>179381.44632951394</v>
      </c>
      <c r="I358" s="15">
        <f>[1]Electric!O253</f>
        <v>280752.47766051651</v>
      </c>
      <c r="J358" s="15">
        <f>[1]Electric!P253</f>
        <v>3128.6127551876652</v>
      </c>
      <c r="K358" s="15">
        <f>[1]Electric!Q253</f>
        <v>135593.61997472835</v>
      </c>
      <c r="L358" s="15">
        <f>[1]Electric!L253</f>
        <v>221144.5133393289</v>
      </c>
      <c r="M358" s="15">
        <f>[1]Electric!$S253</f>
        <v>0</v>
      </c>
      <c r="N358" s="2725">
        <f>[1]Electric!T253</f>
        <v>308883.04558342556</v>
      </c>
      <c r="O358" s="2725">
        <f>[1]Electric!U253</f>
        <v>0</v>
      </c>
      <c r="P358" s="2725">
        <f>[1]Electric!V253</f>
        <v>0</v>
      </c>
      <c r="Q358" s="2725">
        <f>[1]Electric!W253</f>
        <v>162844.64462787917</v>
      </c>
      <c r="R358" s="2725">
        <f>[1]Electric!X253</f>
        <v>98981.144294546335</v>
      </c>
      <c r="S358" s="2725">
        <f>[1]Electric!AC253</f>
        <v>141625.93460352023</v>
      </c>
      <c r="T358" s="2725">
        <f>[1]Electric!AF253</f>
        <v>304593.13944572065</v>
      </c>
      <c r="V358" s="8"/>
      <c r="W358" s="8"/>
      <c r="X358" s="8"/>
      <c r="Y358" s="8"/>
      <c r="Z358" s="8"/>
    </row>
    <row r="359" spans="1:26">
      <c r="A359" s="160" t="s">
        <v>2069</v>
      </c>
      <c r="B359" s="15">
        <f>B358+(B348*$B$62+B349*$B$63)/$B$65</f>
        <v>141755.63848737022</v>
      </c>
      <c r="C359" s="2725">
        <f>C358+(C348*$B$62+C349*$B$63)/$B$65</f>
        <v>280364.81661920104</v>
      </c>
      <c r="D359" s="15">
        <f t="shared" ref="D359:K359" si="1">D358+(D348*$B$62+D349*$B$63)/$B$65</f>
        <v>247074.87336567329</v>
      </c>
      <c r="E359" s="15">
        <f t="shared" si="1"/>
        <v>36446.927929996215</v>
      </c>
      <c r="F359" s="15">
        <f>F358+(F348*$B$62+F349*$B$63)/$B$65</f>
        <v>50394.292513511995</v>
      </c>
      <c r="G359" s="15">
        <f t="shared" si="1"/>
        <v>65425.829899621567</v>
      </c>
      <c r="H359" s="15">
        <f t="shared" si="1"/>
        <v>179563.22521200639</v>
      </c>
      <c r="I359" s="15">
        <f t="shared" si="1"/>
        <v>281140.11539643817</v>
      </c>
      <c r="J359" s="15">
        <f t="shared" si="1"/>
        <v>3132.9334837959282</v>
      </c>
      <c r="K359" s="15">
        <f t="shared" si="1"/>
        <v>135719.98392178887</v>
      </c>
      <c r="L359" s="15">
        <f>L358+(L348*$B$62+L349*$B$63)/$B$65</f>
        <v>221263.78778509272</v>
      </c>
      <c r="M359" s="15">
        <f>[1]Electric!$S254</f>
        <v>0</v>
      </c>
      <c r="N359" s="2725">
        <f t="shared" ref="N359:R359" si="2">N358+(N348*$B$62+N349*$B$63)/$B$65</f>
        <v>309039.00727569114</v>
      </c>
      <c r="O359" s="2725">
        <f t="shared" si="2"/>
        <v>0</v>
      </c>
      <c r="P359" s="2725">
        <f t="shared" si="2"/>
        <v>0</v>
      </c>
      <c r="Q359" s="2725">
        <f t="shared" si="2"/>
        <v>162958.58314012954</v>
      </c>
      <c r="R359" s="2725">
        <f t="shared" si="2"/>
        <v>99085.066786321026</v>
      </c>
      <c r="S359" s="2725">
        <f>S358+(S348*$B$62+S349*$B$63)/$B$65</f>
        <v>141755.63848737022</v>
      </c>
      <c r="T359" s="2725">
        <f>T358+(T348*$B$62+T349*$B$63)/$B$65</f>
        <v>305062.71495118365</v>
      </c>
      <c r="V359" s="8"/>
      <c r="W359" s="8"/>
      <c r="X359" s="8"/>
      <c r="Y359" s="8"/>
      <c r="Z359" s="8"/>
    </row>
    <row r="360" spans="1:26">
      <c r="A360" s="161" t="s">
        <v>1896</v>
      </c>
      <c r="B360" s="22">
        <f>B359+B356*$B$51+B357*$B$52</f>
        <v>151275.75892204611</v>
      </c>
      <c r="C360" s="2727">
        <f>C359+C356*$B$51+C357*$B$52</f>
        <v>295672.78434440168</v>
      </c>
      <c r="D360" s="22">
        <f t="shared" ref="D360:K360" si="3">D359+D356*$B$51+D357*$B$52</f>
        <v>261835.09586584166</v>
      </c>
      <c r="E360" s="22">
        <f t="shared" si="3"/>
        <v>40119.941276435224</v>
      </c>
      <c r="F360" s="22">
        <f>F359+F356*$B$51+F357*$B$52</f>
        <v>53962.731963686434</v>
      </c>
      <c r="G360" s="22">
        <f t="shared" si="3"/>
        <v>71157.11032842673</v>
      </c>
      <c r="H360" s="22">
        <f t="shared" si="3"/>
        <v>192814.95993633196</v>
      </c>
      <c r="I360" s="22">
        <f t="shared" si="3"/>
        <v>304171.38938170619</v>
      </c>
      <c r="J360" s="22">
        <f t="shared" si="3"/>
        <v>3421.4878995551267</v>
      </c>
      <c r="K360" s="22">
        <f t="shared" si="3"/>
        <v>146080.81966101375</v>
      </c>
      <c r="L360" s="22">
        <f>L359+L356*$B$51+L357*$B$52</f>
        <v>233563.82062770758</v>
      </c>
      <c r="M360" s="22">
        <f>[1]Electric!$S255</f>
        <v>0</v>
      </c>
      <c r="N360" s="2727">
        <f t="shared" ref="N360:R360" si="4">N359+N356*$B$51+N357*$B$52</f>
        <v>325878.78253423289</v>
      </c>
      <c r="O360" s="2727">
        <f t="shared" si="4"/>
        <v>0</v>
      </c>
      <c r="P360" s="2727">
        <f t="shared" si="4"/>
        <v>0</v>
      </c>
      <c r="Q360" s="2727">
        <f t="shared" si="4"/>
        <v>173276.90829884441</v>
      </c>
      <c r="R360" s="2727">
        <f t="shared" si="4"/>
        <v>106269.44382810993</v>
      </c>
      <c r="S360" s="2727">
        <f>S359+S356*$B$51+S357*$B$52</f>
        <v>151275.75892204611</v>
      </c>
      <c r="T360" s="2727">
        <f>T359+T356*$B$51+T357*$B$52</f>
        <v>331589.8848979444</v>
      </c>
      <c r="V360" s="8"/>
      <c r="W360" s="8"/>
      <c r="X360" s="8"/>
      <c r="Y360" s="8"/>
      <c r="Z360" s="8"/>
    </row>
    <row r="361" spans="1:26">
      <c r="A361" s="8"/>
      <c r="B361" s="490"/>
      <c r="C361" s="490"/>
      <c r="D361" s="490"/>
      <c r="E361" s="490"/>
      <c r="F361" s="490"/>
      <c r="G361" s="490"/>
      <c r="H361" s="490"/>
      <c r="I361" s="490"/>
      <c r="J361" s="490"/>
      <c r="K361" s="490"/>
      <c r="L361" s="490"/>
      <c r="M361" s="490"/>
      <c r="N361" s="490"/>
      <c r="O361" s="490"/>
      <c r="P361" s="490"/>
      <c r="Q361" s="490"/>
      <c r="R361" s="490"/>
      <c r="S361" s="490"/>
      <c r="T361" s="490"/>
      <c r="V361" s="8"/>
      <c r="W361" s="8"/>
      <c r="X361" s="8"/>
      <c r="Y361" s="8"/>
      <c r="Z361" s="8"/>
    </row>
    <row r="362" spans="1:26">
      <c r="A362" s="135"/>
      <c r="B362" s="915"/>
      <c r="C362" s="915"/>
      <c r="D362" s="915"/>
      <c r="E362" s="915"/>
      <c r="F362" s="915"/>
      <c r="G362" s="915"/>
      <c r="H362" s="915"/>
      <c r="I362" s="915"/>
      <c r="J362" s="915"/>
      <c r="K362" s="915"/>
      <c r="L362" s="915"/>
      <c r="M362" s="915">
        <f>[1]Electric!$S257</f>
        <v>0</v>
      </c>
      <c r="N362" s="915"/>
      <c r="O362" s="915"/>
      <c r="P362" s="915"/>
      <c r="Q362" s="915"/>
      <c r="R362" s="915"/>
      <c r="S362" s="915"/>
      <c r="T362" s="915"/>
      <c r="V362" s="8"/>
      <c r="W362" s="8"/>
      <c r="X362" s="8"/>
      <c r="Y362" s="8"/>
      <c r="Z362" s="8"/>
    </row>
    <row r="363" spans="1:26">
      <c r="A363" s="160" t="s">
        <v>974</v>
      </c>
      <c r="B363" s="21">
        <f>[1]Electric!F255</f>
        <v>0.91370574477103128</v>
      </c>
      <c r="C363" s="21">
        <f>[1]Electric!H255</f>
        <v>1.385447538831643</v>
      </c>
      <c r="D363" s="21">
        <f>[1]Electric!I255</f>
        <v>1.4334197534445121</v>
      </c>
      <c r="E363" s="21">
        <f>[1]Electric!J255</f>
        <v>0.47823891482547631</v>
      </c>
      <c r="F363" s="21">
        <f>[1]Electric!K255</f>
        <v>0.38178253759223857</v>
      </c>
      <c r="G363" s="21">
        <f>[1]Electric!M255</f>
        <v>0.4549476799227688</v>
      </c>
      <c r="H363" s="21">
        <f>[1]Electric!N255</f>
        <v>1.8386682069058016</v>
      </c>
      <c r="I363" s="21">
        <f>[1]Electric!O255</f>
        <v>5.373137209804951</v>
      </c>
      <c r="J363" s="21">
        <f>[1]Electric!P255</f>
        <v>2.921475718044398E-2</v>
      </c>
      <c r="K363" s="21">
        <f>[1]Electric!Q255</f>
        <v>1.1490821261827686</v>
      </c>
      <c r="L363" s="21">
        <f>[1]Electric!L255</f>
        <v>1.1168185753190198</v>
      </c>
      <c r="M363" s="21">
        <f>[1]Electric!$S258</f>
        <v>0</v>
      </c>
      <c r="N363" s="21">
        <f>[1]Electric!T255</f>
        <v>1.5210023528417917</v>
      </c>
      <c r="O363" s="21">
        <f>[1]Electric!U255</f>
        <v>0</v>
      </c>
      <c r="P363" s="21">
        <f>[1]Electric!V255</f>
        <v>0</v>
      </c>
      <c r="Q363" s="21">
        <f>[1]Electric!W255</f>
        <v>1.1036481343199205</v>
      </c>
      <c r="R363" s="21">
        <f>[1]Electric!X255</f>
        <v>0.64894492764131173</v>
      </c>
      <c r="S363" s="21">
        <f>[1]Electric!AC255</f>
        <v>0.91370574477103128</v>
      </c>
      <c r="T363" s="21">
        <f>[1]Electric!AF255</f>
        <v>6.6250197646822429</v>
      </c>
      <c r="V363" s="8"/>
      <c r="W363" s="8"/>
      <c r="X363" s="8"/>
      <c r="Y363" s="8"/>
      <c r="Z363" s="8"/>
    </row>
    <row r="364" spans="1:26">
      <c r="A364" s="160" t="s">
        <v>975</v>
      </c>
      <c r="B364" s="21">
        <f>[1]Electric!F256</f>
        <v>7.6613456247226051</v>
      </c>
      <c r="C364" s="21">
        <f>[1]Electric!H256</f>
        <v>14.808727161701215</v>
      </c>
      <c r="D364" s="21">
        <f>[1]Electric!I256</f>
        <v>12.977558004347806</v>
      </c>
      <c r="E364" s="21">
        <f>[1]Electric!J256</f>
        <v>1.8272740394779985</v>
      </c>
      <c r="F364" s="21">
        <f>[1]Electric!K256</f>
        <v>2.6344777261193721</v>
      </c>
      <c r="G364" s="21">
        <f>[1]Electric!M256</f>
        <v>4.062619979243097</v>
      </c>
      <c r="H364" s="21">
        <f>[1]Electric!N256</f>
        <v>8.2673712372773984</v>
      </c>
      <c r="I364" s="21">
        <f>[1]Electric!O256</f>
        <v>6.9797854358218663</v>
      </c>
      <c r="J364" s="21">
        <f>[1]Electric!P256</f>
        <v>0.17584458170270023</v>
      </c>
      <c r="K364" s="21">
        <f>[1]Electric!Q256</f>
        <v>7.0324215485920138</v>
      </c>
      <c r="L364" s="21">
        <f>[1]Electric!L256</f>
        <v>11.714921844134402</v>
      </c>
      <c r="M364" s="21">
        <f>[1]Electric!$S259</f>
        <v>0</v>
      </c>
      <c r="N364" s="21">
        <f>[1]Electric!T256</f>
        <v>16.324309241624167</v>
      </c>
      <c r="O364" s="21">
        <f>[1]Electric!U256</f>
        <v>0</v>
      </c>
      <c r="P364" s="21">
        <f>[1]Electric!V256</f>
        <v>0</v>
      </c>
      <c r="Q364" s="21">
        <f>[1]Electric!W256</f>
        <v>8.3579463675506673</v>
      </c>
      <c r="R364" s="21">
        <f>[1]Electric!X256</f>
        <v>5.5504389011718738</v>
      </c>
      <c r="S364" s="21">
        <f>[1]Electric!AC256</f>
        <v>7.6613456247226051</v>
      </c>
      <c r="T364" s="21">
        <f>[1]Electric!AF256</f>
        <v>6.0058810414336765</v>
      </c>
      <c r="V364" s="8"/>
      <c r="W364" s="8"/>
      <c r="X364" s="8"/>
      <c r="Y364" s="8"/>
      <c r="Z364" s="8"/>
    </row>
    <row r="365" spans="1:26">
      <c r="A365" s="160" t="s">
        <v>976</v>
      </c>
      <c r="B365" s="21">
        <f>[1]Electric!F257</f>
        <v>28.819022496020391</v>
      </c>
      <c r="C365" s="21">
        <f>[1]Electric!H257</f>
        <v>64.384965643724982</v>
      </c>
      <c r="D365" s="21">
        <f>[1]Electric!I257</f>
        <v>52.099823357974287</v>
      </c>
      <c r="E365" s="21">
        <f>[1]Electric!J257</f>
        <v>4.5313148460073647</v>
      </c>
      <c r="F365" s="21">
        <f>[1]Electric!K257</f>
        <v>8.9549186651495276</v>
      </c>
      <c r="G365" s="21">
        <f>[1]Electric!M257</f>
        <v>13.433432260733131</v>
      </c>
      <c r="H365" s="21">
        <f>[1]Electric!N257</f>
        <v>27.289350779712347</v>
      </c>
      <c r="I365" s="21">
        <f>[1]Electric!O257</f>
        <v>23.201464596611579</v>
      </c>
      <c r="J365" s="21">
        <f>[1]Electric!P257</f>
        <v>0.35963608669288932</v>
      </c>
      <c r="K365" s="21">
        <f>[1]Electric!Q257</f>
        <v>19.743266576432852</v>
      </c>
      <c r="L365" s="21">
        <f>[1]Electric!L257</f>
        <v>50.307423024643249</v>
      </c>
      <c r="M365" s="21">
        <f>[1]Electric!$S260</f>
        <v>0</v>
      </c>
      <c r="N365" s="21">
        <f>[1]Electric!T257</f>
        <v>71.020728830064797</v>
      </c>
      <c r="O365" s="21">
        <f>[1]Electric!U257</f>
        <v>0</v>
      </c>
      <c r="P365" s="21">
        <f>[1]Electric!V257</f>
        <v>0</v>
      </c>
      <c r="Q365" s="21">
        <f>[1]Electric!W257</f>
        <v>31.626495173925754</v>
      </c>
      <c r="R365" s="21">
        <f>[1]Electric!X257</f>
        <v>18.903938886505856</v>
      </c>
      <c r="S365" s="21">
        <f>[1]Electric!AC257</f>
        <v>28.819022496020391</v>
      </c>
      <c r="T365" s="21">
        <f>[1]Electric!AF257</f>
        <v>16.927514461229727</v>
      </c>
      <c r="V365" s="8"/>
      <c r="W365" s="8"/>
      <c r="X365" s="8"/>
      <c r="Y365" s="8"/>
      <c r="Z365" s="8"/>
    </row>
    <row r="366" spans="1:26">
      <c r="A366" s="160" t="s">
        <v>977</v>
      </c>
      <c r="B366" s="21">
        <f>[1]Electric!F258</f>
        <v>3.7031939714483095</v>
      </c>
      <c r="C366" s="21">
        <f>[1]Electric!H258</f>
        <v>8.2891088137870135</v>
      </c>
      <c r="D366" s="21">
        <f>[1]Electric!I258</f>
        <v>6.7416454391323919</v>
      </c>
      <c r="E366" s="21">
        <f>[1]Electric!J258</f>
        <v>0.5555491910347724</v>
      </c>
      <c r="F366" s="21">
        <f>[1]Electric!K258</f>
        <v>1.1655330468747478</v>
      </c>
      <c r="G366" s="21">
        <f>[1]Electric!M258</f>
        <v>1.6747246828677693</v>
      </c>
      <c r="H366" s="21">
        <f>[1]Electric!N258</f>
        <v>3.5286076709263612</v>
      </c>
      <c r="I366" s="21">
        <f>[1]Electric!O258</f>
        <v>2.7387363472100787</v>
      </c>
      <c r="J366" s="21">
        <f>[1]Electric!P258</f>
        <v>4.9280198783260246E-2</v>
      </c>
      <c r="K366" s="21">
        <f>[1]Electric!Q258</f>
        <v>2.6452852798259689</v>
      </c>
      <c r="L366" s="21">
        <f>[1]Electric!L258</f>
        <v>6.4780673708720666</v>
      </c>
      <c r="M366" s="21">
        <f>[1]Electric!$S261</f>
        <v>0</v>
      </c>
      <c r="N366" s="21">
        <f>[1]Electric!T258</f>
        <v>9.1447094197756229</v>
      </c>
      <c r="O366" s="21">
        <f>[1]Electric!U258</f>
        <v>0</v>
      </c>
      <c r="P366" s="21">
        <f>[1]Electric!V258</f>
        <v>0</v>
      </c>
      <c r="Q366" s="21">
        <f>[1]Electric!W258</f>
        <v>4.1091489693055063</v>
      </c>
      <c r="R366" s="21">
        <f>[1]Electric!X258</f>
        <v>2.4475899093409912</v>
      </c>
      <c r="S366" s="21">
        <f>[1]Electric!AC258</f>
        <v>3.7031939714483095</v>
      </c>
      <c r="T366" s="21">
        <f>[1]Electric!AF258</f>
        <v>1.8601905876018328</v>
      </c>
      <c r="V366" s="8"/>
      <c r="W366" s="8"/>
      <c r="X366" s="8"/>
      <c r="Y366" s="8"/>
      <c r="Z366" s="8"/>
    </row>
    <row r="367" spans="1:26">
      <c r="A367" s="160" t="s">
        <v>978</v>
      </c>
      <c r="B367" s="21">
        <f>[1]Electric!F259</f>
        <v>3.1160582648142969</v>
      </c>
      <c r="C367" s="21">
        <f>[1]Electric!H259</f>
        <v>6.8630719174287051</v>
      </c>
      <c r="D367" s="21">
        <f>[1]Electric!I259</f>
        <v>5.6443979294979254</v>
      </c>
      <c r="E367" s="21">
        <f>[1]Electric!J259</f>
        <v>0.49248442313613</v>
      </c>
      <c r="F367" s="21">
        <f>[1]Electric!K259</f>
        <v>0.99882459175817861</v>
      </c>
      <c r="G367" s="21">
        <f>[1]Electric!M259</f>
        <v>1.4154846016239842</v>
      </c>
      <c r="H367" s="21">
        <f>[1]Electric!N259</f>
        <v>3.037531970833153</v>
      </c>
      <c r="I367" s="21">
        <f>[1]Electric!O259</f>
        <v>2.3289840419431784</v>
      </c>
      <c r="J367" s="21">
        <f>[1]Electric!P259</f>
        <v>4.6473500398442287E-2</v>
      </c>
      <c r="K367" s="21">
        <f>[1]Electric!Q259</f>
        <v>2.3521712601260538</v>
      </c>
      <c r="L367" s="21">
        <f>[1]Electric!L259</f>
        <v>5.3712701500134656</v>
      </c>
      <c r="M367" s="21">
        <f>[1]Electric!$S262</f>
        <v>0</v>
      </c>
      <c r="N367" s="21">
        <f>[1]Electric!T259</f>
        <v>7.571337513220552</v>
      </c>
      <c r="O367" s="21">
        <f>[1]Electric!U259</f>
        <v>0</v>
      </c>
      <c r="P367" s="21">
        <f>[1]Electric!V259</f>
        <v>0</v>
      </c>
      <c r="Q367" s="21">
        <f>[1]Electric!W259</f>
        <v>3.4715833464101395</v>
      </c>
      <c r="R367" s="21">
        <f>[1]Electric!X259</f>
        <v>2.0907168973924151</v>
      </c>
      <c r="S367" s="21">
        <f>[1]Electric!AC259</f>
        <v>3.1160582648142969</v>
      </c>
      <c r="T367" s="21">
        <f>[1]Electric!AF259</f>
        <v>1.6190651321221843</v>
      </c>
      <c r="V367" s="8"/>
      <c r="W367" s="8"/>
      <c r="X367" s="8"/>
      <c r="Y367" s="8"/>
      <c r="Z367" s="8"/>
    </row>
    <row r="368" spans="1:26">
      <c r="A368" s="160" t="s">
        <v>979</v>
      </c>
      <c r="B368" s="21">
        <f>[1]Electric!F260</f>
        <v>37.475394447701035</v>
      </c>
      <c r="C368" s="21">
        <f>[1]Electric!H260</f>
        <v>92.027251115163438</v>
      </c>
      <c r="D368" s="21">
        <f>[1]Electric!I260</f>
        <v>70.302781198466334</v>
      </c>
      <c r="E368" s="21">
        <f>[1]Electric!J260</f>
        <v>3.6351857080226928</v>
      </c>
      <c r="F368" s="21">
        <f>[1]Electric!K260</f>
        <v>10.471129117152589</v>
      </c>
      <c r="G368" s="21">
        <f>[1]Electric!M260</f>
        <v>16.545201209978927</v>
      </c>
      <c r="H368" s="21">
        <f>[1]Electric!N260</f>
        <v>30.134226550944298</v>
      </c>
      <c r="I368" s="21">
        <f>[1]Electric!O260</f>
        <v>21.699696218441122</v>
      </c>
      <c r="J368" s="21">
        <f>[1]Electric!P260</f>
        <v>0.1421156814021684</v>
      </c>
      <c r="K368" s="21">
        <f>[1]Electric!Q260</f>
        <v>17.674801087765335</v>
      </c>
      <c r="L368" s="21">
        <f>[1]Electric!L260</f>
        <v>71.370156301834058</v>
      </c>
      <c r="M368" s="21">
        <f>[1]Electric!$S263</f>
        <v>0</v>
      </c>
      <c r="N368" s="21">
        <f>[1]Electric!T260</f>
        <v>101.54120983352415</v>
      </c>
      <c r="O368" s="21">
        <f>[1]Electric!U260</f>
        <v>0</v>
      </c>
      <c r="P368" s="21">
        <f>[1]Electric!V260</f>
        <v>0</v>
      </c>
      <c r="Q368" s="21">
        <f>[1]Electric!W260</f>
        <v>40.509040685043878</v>
      </c>
      <c r="R368" s="21">
        <f>[1]Electric!X260</f>
        <v>22.610547269478271</v>
      </c>
      <c r="S368" s="21">
        <f>[1]Electric!AC260</f>
        <v>37.475394447701035</v>
      </c>
      <c r="T368" s="21">
        <f>[1]Electric!AF260</f>
        <v>9.4681430740249866</v>
      </c>
      <c r="V368" s="8"/>
      <c r="W368" s="8"/>
      <c r="X368" s="8"/>
      <c r="Y368" s="8"/>
      <c r="Z368" s="8"/>
    </row>
    <row r="369" spans="1:29">
      <c r="A369" s="160" t="s">
        <v>980</v>
      </c>
      <c r="B369" s="21">
        <f>[1]Electric!F261</f>
        <v>0.14455077592616405</v>
      </c>
      <c r="C369" s="21">
        <f>[1]Electric!H261</f>
        <v>0.29730996682898186</v>
      </c>
      <c r="D369" s="21">
        <f>[1]Electric!I261</f>
        <v>0.25474564300339952</v>
      </c>
      <c r="E369" s="21">
        <f>[1]Electric!J261</f>
        <v>3.0464287856857206E-2</v>
      </c>
      <c r="F369" s="21">
        <f>[1]Electric!K261</f>
        <v>4.9166493721271222E-2</v>
      </c>
      <c r="G369" s="21">
        <f>[1]Electric!M261</f>
        <v>6.8011147816169307E-2</v>
      </c>
      <c r="H369" s="21">
        <f>[1]Electric!N261</f>
        <v>0.15999451204564066</v>
      </c>
      <c r="I369" s="21">
        <f>[1]Electric!O261</f>
        <v>0.17417166449491467</v>
      </c>
      <c r="J369" s="21">
        <f>[1]Electric!P261</f>
        <v>2.8586251838306409E-3</v>
      </c>
      <c r="K369" s="21">
        <f>[1]Electric!Q261</f>
        <v>0.12692483990359549</v>
      </c>
      <c r="L369" s="21">
        <f>[1]Electric!L261</f>
        <v>0.2339618325801501</v>
      </c>
      <c r="M369" s="21">
        <f>[1]Electric!$S264</f>
        <v>0</v>
      </c>
      <c r="N369" s="21">
        <f>[1]Electric!T261</f>
        <v>0.3278638834279477</v>
      </c>
      <c r="O369" s="21">
        <f>[1]Electric!U261</f>
        <v>0</v>
      </c>
      <c r="P369" s="21">
        <f>[1]Electric!V261</f>
        <v>0</v>
      </c>
      <c r="Q369" s="21">
        <f>[1]Electric!W261</f>
        <v>0.16263940254889381</v>
      </c>
      <c r="R369" s="21">
        <f>[1]Electric!X261</f>
        <v>0.10058535148701921</v>
      </c>
      <c r="S369" s="21">
        <f>[1]Electric!AC261</f>
        <v>0.14455077592616405</v>
      </c>
      <c r="T369" s="21">
        <f>[1]Electric!AF261</f>
        <v>0.16427337163174172</v>
      </c>
      <c r="V369" s="8"/>
      <c r="W369" s="8"/>
      <c r="X369" s="8"/>
      <c r="Y369" s="8"/>
      <c r="Z369" s="8"/>
    </row>
    <row r="370" spans="1:29">
      <c r="A370" s="161" t="s">
        <v>981</v>
      </c>
      <c r="B370" s="26">
        <f>[1]Electric!F262</f>
        <v>0.43316488811689158</v>
      </c>
      <c r="C370" s="26">
        <f>[1]Electric!H262</f>
        <v>0.57018361956488317</v>
      </c>
      <c r="D370" s="26">
        <f>[1]Electric!I262</f>
        <v>0.6841412184675556</v>
      </c>
      <c r="E370" s="26">
        <f>[1]Electric!J262</f>
        <v>0.15072324566178502</v>
      </c>
      <c r="F370" s="26">
        <f>[1]Electric!K262</f>
        <v>0.19930359747282977</v>
      </c>
      <c r="G370" s="26">
        <f>[1]Electric!M262</f>
        <v>0.2243759242000494</v>
      </c>
      <c r="H370" s="26">
        <f>[1]Electric!N262</f>
        <v>0.63449423960450047</v>
      </c>
      <c r="I370" s="26">
        <f>[1]Electric!O262</f>
        <v>0.28536346346124597</v>
      </c>
      <c r="J370" s="26">
        <f>[1]Electric!P262</f>
        <v>2.3609372234991845E-2</v>
      </c>
      <c r="K370" s="26">
        <f>[1]Electric!Q262</f>
        <v>0.75369430327446363</v>
      </c>
      <c r="L370" s="26">
        <f>[1]Electric!L262</f>
        <v>0.47309245710742925</v>
      </c>
      <c r="M370" s="26">
        <f>[1]Electric!$S265</f>
        <v>0</v>
      </c>
      <c r="N370" s="26">
        <f>[1]Electric!T262</f>
        <v>0.62858730501458993</v>
      </c>
      <c r="O370" s="26">
        <f>[1]Electric!U262</f>
        <v>0</v>
      </c>
      <c r="P370" s="26">
        <f>[1]Electric!V262</f>
        <v>0</v>
      </c>
      <c r="Q370" s="26">
        <f>[1]Electric!W262</f>
        <v>0.52458293457104577</v>
      </c>
      <c r="R370" s="26">
        <f>[1]Electric!X262</f>
        <v>0.39965368921114214</v>
      </c>
      <c r="S370" s="26">
        <f>[1]Electric!AC262</f>
        <v>0.43316488811689158</v>
      </c>
      <c r="T370" s="26">
        <f>[1]Electric!AF262</f>
        <v>0.25258077398824641</v>
      </c>
      <c r="V370" s="8"/>
      <c r="W370" s="8"/>
      <c r="X370" s="8"/>
      <c r="Y370" s="8"/>
      <c r="Z370" s="8"/>
    </row>
    <row r="372" spans="1:29" ht="15.75">
      <c r="A372" s="81" t="s">
        <v>2102</v>
      </c>
    </row>
    <row r="373" spans="1:29">
      <c r="A373" s="1321" t="s">
        <v>1910</v>
      </c>
      <c r="B373" s="1321" t="str">
        <f>[1]!Results_ServiceUnit_Energy</f>
        <v>Btu</v>
      </c>
      <c r="C373" s="1321" t="s">
        <v>1912</v>
      </c>
      <c r="D373" s="1321" t="str">
        <f>[1]!Results_ServiceUnit_Emission</f>
        <v>g</v>
      </c>
    </row>
    <row r="374" spans="1:29">
      <c r="A374" s="1321" t="s">
        <v>2103</v>
      </c>
      <c r="B374" s="1321" t="str">
        <f>[1]!Results_ServiceFunctionalUnit</f>
        <v>mile</v>
      </c>
    </row>
    <row r="376" spans="1:29">
      <c r="A376" s="172" t="str">
        <f>[1]Results!$A$42</f>
        <v>2.  Well-to-Wheels Energy Consumption, Water Consumption, and Emissions: per mile and per mmBtu</v>
      </c>
    </row>
    <row r="377" spans="1:29">
      <c r="A377" s="172" t="str">
        <f>[1]Results!A43</f>
        <v>Gasoline Vehicle: Gasoline</v>
      </c>
      <c r="G377" s="172" t="str">
        <f>[1]Results!A1063</f>
        <v>Grid-Independent SI HEV: Gasoline</v>
      </c>
      <c r="M377" s="172" t="str">
        <f>[1]Results!A1393</f>
        <v>Grid-Connected SI PHEV: Gasoline and Electricity (NGCC Turbine)</v>
      </c>
      <c r="S377" s="172" t="str">
        <f>[1]Results!A2083</f>
        <v>Electric Vehicle: NGCC Turbine</v>
      </c>
      <c r="Y377" s="172" t="str">
        <f>[1]Results!A2113</f>
        <v>FCV: G.H2, Central Plants, NA NG</v>
      </c>
    </row>
    <row r="378" spans="1:29">
      <c r="A378" s="80"/>
      <c r="B378" s="1829" t="str">
        <f>[1]Results!B44</f>
        <v>Btu/mile or Gallon/mile or g/mile</v>
      </c>
      <c r="C378" s="1831"/>
      <c r="D378" s="1831"/>
      <c r="E378" s="1830"/>
      <c r="G378" s="80"/>
      <c r="H378" s="1829" t="s">
        <v>2104</v>
      </c>
      <c r="I378" s="1831"/>
      <c r="J378" s="1831"/>
      <c r="K378" s="1830"/>
      <c r="M378" s="80"/>
      <c r="N378" s="1829" t="s">
        <v>2104</v>
      </c>
      <c r="O378" s="1831"/>
      <c r="P378" s="1831"/>
      <c r="Q378" s="1830"/>
      <c r="S378" s="80"/>
      <c r="T378" s="1829" t="s">
        <v>2104</v>
      </c>
      <c r="U378" s="1831"/>
      <c r="V378" s="1831"/>
      <c r="W378" s="1830"/>
      <c r="Y378" s="80"/>
      <c r="Z378" s="1829" t="s">
        <v>2104</v>
      </c>
      <c r="AA378" s="1831"/>
      <c r="AB378" s="1831"/>
      <c r="AC378" s="1830"/>
    </row>
    <row r="379" spans="1:29" ht="25.5">
      <c r="A379" s="174" t="s">
        <v>1923</v>
      </c>
      <c r="B379" s="2426" t="s">
        <v>2077</v>
      </c>
      <c r="C379" s="2427" t="s">
        <v>1971</v>
      </c>
      <c r="D379" s="2427" t="s">
        <v>1926</v>
      </c>
      <c r="E379" s="2428" t="s">
        <v>1894</v>
      </c>
      <c r="G379" s="174" t="s">
        <v>1923</v>
      </c>
      <c r="H379" s="2426" t="s">
        <v>2077</v>
      </c>
      <c r="I379" s="2427" t="s">
        <v>1971</v>
      </c>
      <c r="J379" s="2427" t="s">
        <v>1926</v>
      </c>
      <c r="K379" s="2428" t="s">
        <v>1894</v>
      </c>
      <c r="M379" s="174" t="s">
        <v>1923</v>
      </c>
      <c r="N379" s="2426" t="s">
        <v>2077</v>
      </c>
      <c r="O379" s="2427" t="s">
        <v>1971</v>
      </c>
      <c r="P379" s="2427" t="s">
        <v>1926</v>
      </c>
      <c r="Q379" s="2428" t="s">
        <v>1894</v>
      </c>
      <c r="S379" s="174" t="s">
        <v>1923</v>
      </c>
      <c r="T379" s="2426" t="s">
        <v>2077</v>
      </c>
      <c r="U379" s="2427" t="s">
        <v>1971</v>
      </c>
      <c r="V379" s="2427" t="s">
        <v>1926</v>
      </c>
      <c r="W379" s="2428" t="s">
        <v>1894</v>
      </c>
      <c r="Y379" s="174" t="s">
        <v>1923</v>
      </c>
      <c r="Z379" s="2426" t="s">
        <v>2077</v>
      </c>
      <c r="AA379" s="2427" t="s">
        <v>1971</v>
      </c>
      <c r="AB379" s="2427" t="s">
        <v>1926</v>
      </c>
      <c r="AC379" s="2428" t="s">
        <v>1894</v>
      </c>
    </row>
    <row r="380" spans="1:29">
      <c r="A380" s="173" t="s">
        <v>2105</v>
      </c>
      <c r="B380" s="250">
        <f>[1]Results!B46</f>
        <v>189.21633818295808</v>
      </c>
      <c r="C380" s="631">
        <f>[1]Results!C46</f>
        <v>808.94679268967286</v>
      </c>
      <c r="D380" s="631">
        <f>[1]Results!D46</f>
        <v>3654.7903628213289</v>
      </c>
      <c r="E380" s="245">
        <f>[1]Results!E46</f>
        <v>4652.9534936939599</v>
      </c>
      <c r="G380" s="173" t="s">
        <v>2105</v>
      </c>
      <c r="H380" s="250">
        <f>[1]Results!B1066</f>
        <v>127.03129955530059</v>
      </c>
      <c r="I380" s="631">
        <f>[1]Results!C1066</f>
        <v>543.09032366485553</v>
      </c>
      <c r="J380" s="631">
        <f>[1]Results!D1066</f>
        <v>2453.6611047956376</v>
      </c>
      <c r="K380" s="245">
        <f>[1]Results!E1066</f>
        <v>3123.7827280157935</v>
      </c>
      <c r="M380" s="173" t="s">
        <v>2105</v>
      </c>
      <c r="N380" s="250">
        <f>[1]Results!B1396</f>
        <v>166.330320698393</v>
      </c>
      <c r="O380" s="631">
        <f>[1]Results!C1396</f>
        <v>837.94478112218167</v>
      </c>
      <c r="P380" s="631">
        <f>[1]Results!D1396</f>
        <v>1991.1804228885471</v>
      </c>
      <c r="Q380" s="245">
        <f>[1]Results!E1396</f>
        <v>2995.4555247091221</v>
      </c>
      <c r="S380" s="173" t="s">
        <v>2105</v>
      </c>
      <c r="T380" s="250">
        <f>[1]Results!B2086</f>
        <v>172.29317285104764</v>
      </c>
      <c r="U380" s="631">
        <f>[1]Results!C2086</f>
        <v>983.65019265631406</v>
      </c>
      <c r="V380" s="631">
        <f>[1]Results!D2086</f>
        <v>948.63593000605249</v>
      </c>
      <c r="W380" s="245">
        <f>[1]Results!E2086</f>
        <v>2104.5792955134143</v>
      </c>
      <c r="Y380" s="173" t="s">
        <v>2105</v>
      </c>
      <c r="Z380" s="250">
        <f>[1]Results!B2116</f>
        <v>106.54998766327778</v>
      </c>
      <c r="AA380" s="631">
        <f>[1]Results!C2116</f>
        <v>877.25490809330915</v>
      </c>
      <c r="AB380" s="631">
        <f>[1]Results!D2116</f>
        <v>1706.001085320451</v>
      </c>
      <c r="AC380" s="245">
        <f>[1]Results!E2116</f>
        <v>2689.8059810770378</v>
      </c>
    </row>
    <row r="381" spans="1:29">
      <c r="A381" s="173" t="s">
        <v>2106</v>
      </c>
      <c r="B381" s="250">
        <f>[1]Results!B47</f>
        <v>177.75094618857503</v>
      </c>
      <c r="C381" s="631">
        <f>[1]Results!C47</f>
        <v>718.04564261016321</v>
      </c>
      <c r="D381" s="631">
        <f>[1]Results!D47</f>
        <v>3411.1125234717219</v>
      </c>
      <c r="E381" s="245">
        <f>[1]Results!E47</f>
        <v>4306.9091122704604</v>
      </c>
      <c r="G381" s="173" t="s">
        <v>2106</v>
      </c>
      <c r="H381" s="250">
        <f>[1]Results!B1067</f>
        <v>119.33395344373422</v>
      </c>
      <c r="I381" s="631">
        <f>[1]Results!C1067</f>
        <v>482.06339894704308</v>
      </c>
      <c r="J381" s="631">
        <f>[1]Results!D1067</f>
        <v>2290.0668142461745</v>
      </c>
      <c r="K381" s="245">
        <f>[1]Results!E1067</f>
        <v>2891.4641666369516</v>
      </c>
      <c r="M381" s="173" t="s">
        <v>2106</v>
      </c>
      <c r="N381" s="250">
        <f>[1]Results!B1397</f>
        <v>160.98391424985294</v>
      </c>
      <c r="O381" s="631">
        <f>[1]Results!C1397</f>
        <v>800.53423452089623</v>
      </c>
      <c r="P381" s="631">
        <f>[1]Results!D1397</f>
        <v>1890.8943301744803</v>
      </c>
      <c r="Q381" s="245">
        <f>[1]Results!E1397</f>
        <v>2852.4124789452294</v>
      </c>
      <c r="S381" s="173" t="s">
        <v>2106</v>
      </c>
      <c r="T381" s="250">
        <f>[1]Results!B2087</f>
        <v>171.07037761587341</v>
      </c>
      <c r="U381" s="631">
        <f>[1]Results!C2087</f>
        <v>983.65019265631406</v>
      </c>
      <c r="V381" s="631">
        <f>[1]Results!D2087</f>
        <v>948.63593000605249</v>
      </c>
      <c r="W381" s="245">
        <f>[1]Results!E2087</f>
        <v>2103.3565002782398</v>
      </c>
      <c r="Y381" s="173" t="s">
        <v>2106</v>
      </c>
      <c r="Z381" s="250">
        <f>[1]Results!B2117</f>
        <v>105.80224015539584</v>
      </c>
      <c r="AA381" s="631">
        <f>[1]Results!C2117</f>
        <v>779.36099636019208</v>
      </c>
      <c r="AB381" s="631">
        <f>[1]Results!D2117</f>
        <v>1706.001085320451</v>
      </c>
      <c r="AC381" s="245">
        <f>[1]Results!E2117</f>
        <v>2591.1643218360387</v>
      </c>
    </row>
    <row r="382" spans="1:29">
      <c r="A382" s="173" t="s">
        <v>442</v>
      </c>
      <c r="B382" s="250">
        <f>[1]Results!B48</f>
        <v>14.308234582626907</v>
      </c>
      <c r="C382" s="631">
        <f>[1]Results!C48</f>
        <v>22.780839094963412</v>
      </c>
      <c r="D382" s="631">
        <f>[1]Results!D48</f>
        <v>0</v>
      </c>
      <c r="E382" s="245">
        <f>[1]Results!E48</f>
        <v>37.089073677590321</v>
      </c>
      <c r="G382" s="173" t="s">
        <v>442</v>
      </c>
      <c r="H382" s="250">
        <f>[1]Results!B1068</f>
        <v>9.6059021690595898</v>
      </c>
      <c r="I382" s="631">
        <f>[1]Results!C1068</f>
        <v>15.294025996820814</v>
      </c>
      <c r="J382" s="631">
        <f>[1]Results!D1068</f>
        <v>0</v>
      </c>
      <c r="K382" s="245">
        <f>[1]Results!E1068</f>
        <v>24.899928165880404</v>
      </c>
      <c r="M382" s="173" t="s">
        <v>442</v>
      </c>
      <c r="N382" s="250">
        <f>[1]Results!B1398</f>
        <v>6.7173772591691074</v>
      </c>
      <c r="O382" s="631">
        <f>[1]Results!C1398</f>
        <v>9.3754990100023061</v>
      </c>
      <c r="P382" s="631">
        <f>[1]Results!D1398</f>
        <v>0</v>
      </c>
      <c r="Q382" s="245">
        <f>[1]Results!E1398</f>
        <v>16.092876269171413</v>
      </c>
      <c r="S382" s="173" t="s">
        <v>442</v>
      </c>
      <c r="T382" s="250">
        <f>[1]Results!B2088</f>
        <v>1.6142781820084329</v>
      </c>
      <c r="U382" s="631">
        <f>[1]Results!C2088</f>
        <v>0</v>
      </c>
      <c r="V382" s="631">
        <f>[1]Results!D2088</f>
        <v>0</v>
      </c>
      <c r="W382" s="245">
        <f>[1]Results!E2088</f>
        <v>1.6142781820084329</v>
      </c>
      <c r="Y382" s="173" t="s">
        <v>442</v>
      </c>
      <c r="Z382" s="250">
        <f>[1]Results!B2118</f>
        <v>0.98690511684319127</v>
      </c>
      <c r="AA382" s="631">
        <f>[1]Results!C2118</f>
        <v>129.40754086542017</v>
      </c>
      <c r="AB382" s="631">
        <f>[1]Results!D2118</f>
        <v>0</v>
      </c>
      <c r="AC382" s="245">
        <f>[1]Results!E2118</f>
        <v>130.39444598226336</v>
      </c>
    </row>
    <row r="383" spans="1:29">
      <c r="A383" s="173" t="s">
        <v>2017</v>
      </c>
      <c r="B383" s="250">
        <f>[1]Results!B49</f>
        <v>131.07143998258178</v>
      </c>
      <c r="C383" s="631">
        <f>[1]Results!C49</f>
        <v>462.32677402560824</v>
      </c>
      <c r="D383" s="631">
        <f>[1]Results!D49</f>
        <v>0</v>
      </c>
      <c r="E383" s="245">
        <f>[1]Results!E49</f>
        <v>593.39821400819005</v>
      </c>
      <c r="G383" s="173" t="s">
        <v>2017</v>
      </c>
      <c r="H383" s="250">
        <f>[1]Results!B1069</f>
        <v>87.995442230112658</v>
      </c>
      <c r="I383" s="631">
        <f>[1]Results!C1069</f>
        <v>310.38530545335516</v>
      </c>
      <c r="J383" s="631">
        <f>[1]Results!D1069</f>
        <v>0</v>
      </c>
      <c r="K383" s="245">
        <f>[1]Results!E1069</f>
        <v>398.3807476834678</v>
      </c>
      <c r="M383" s="173" t="s">
        <v>2017</v>
      </c>
      <c r="N383" s="250">
        <f>[1]Results!B1399</f>
        <v>137.01855898311595</v>
      </c>
      <c r="O383" s="631">
        <f>[1]Results!C1399</f>
        <v>695.29263260889888</v>
      </c>
      <c r="P383" s="631">
        <f>[1]Results!D1399</f>
        <v>487.0442808632497</v>
      </c>
      <c r="Q383" s="245">
        <f>[1]Results!E1399</f>
        <v>1319.3554724552646</v>
      </c>
      <c r="S383" s="173" t="s">
        <v>2017</v>
      </c>
      <c r="T383" s="250">
        <f>[1]Results!B2089</f>
        <v>161.81020918934044</v>
      </c>
      <c r="U383" s="631">
        <f>[1]Results!C2089</f>
        <v>983.65019265631406</v>
      </c>
      <c r="V383" s="631">
        <f>[1]Results!D2089</f>
        <v>948.63593000605249</v>
      </c>
      <c r="W383" s="245">
        <f>[1]Results!E2089</f>
        <v>2094.096331851707</v>
      </c>
      <c r="Y383" s="173" t="s">
        <v>2017</v>
      </c>
      <c r="Z383" s="250">
        <f>[1]Results!B2119</f>
        <v>99.308379223154418</v>
      </c>
      <c r="AA383" s="631">
        <f>[1]Results!C2119</f>
        <v>643.36284683903375</v>
      </c>
      <c r="AB383" s="631">
        <f>[1]Results!D2119</f>
        <v>1706.001085320451</v>
      </c>
      <c r="AC383" s="245">
        <f>[1]Results!E2119</f>
        <v>2448.6723113826392</v>
      </c>
    </row>
    <row r="384" spans="1:29">
      <c r="A384" s="173" t="s">
        <v>440</v>
      </c>
      <c r="B384" s="250">
        <f>[1]Results!B50</f>
        <v>32.371271623366347</v>
      </c>
      <c r="C384" s="631">
        <f>[1]Results!C50</f>
        <v>232.93802948959154</v>
      </c>
      <c r="D384" s="631">
        <f>[1]Results!D50</f>
        <v>3411.1125234717219</v>
      </c>
      <c r="E384" s="245">
        <f>[1]Results!E50</f>
        <v>3676.4218245846796</v>
      </c>
      <c r="G384" s="173" t="s">
        <v>440</v>
      </c>
      <c r="H384" s="250">
        <f>[1]Results!B1070</f>
        <v>21.732609044561968</v>
      </c>
      <c r="I384" s="631">
        <f>[1]Results!C1070</f>
        <v>156.38406749686709</v>
      </c>
      <c r="J384" s="631">
        <f>[1]Results!D1070</f>
        <v>2290.0668142461745</v>
      </c>
      <c r="K384" s="245">
        <f>[1]Results!E1070</f>
        <v>2468.1834907876037</v>
      </c>
      <c r="M384" s="173" t="s">
        <v>440</v>
      </c>
      <c r="N384" s="250">
        <f>[1]Results!B1400</f>
        <v>17.247978007567909</v>
      </c>
      <c r="O384" s="631">
        <f>[1]Results!C1400</f>
        <v>95.866102901995021</v>
      </c>
      <c r="P384" s="631">
        <f>[1]Results!D1400</f>
        <v>1403.8500493112306</v>
      </c>
      <c r="Q384" s="245">
        <f>[1]Results!E1400</f>
        <v>1516.9641302207935</v>
      </c>
      <c r="S384" s="173" t="s">
        <v>440</v>
      </c>
      <c r="T384" s="250">
        <f>[1]Results!B2090</f>
        <v>7.6458902445245309</v>
      </c>
      <c r="U384" s="631">
        <f>[1]Results!C2090</f>
        <v>0</v>
      </c>
      <c r="V384" s="631">
        <f>[1]Results!D2090</f>
        <v>0</v>
      </c>
      <c r="W384" s="245">
        <f>[1]Results!E2090</f>
        <v>7.6458902445245309</v>
      </c>
      <c r="Y384" s="173" t="s">
        <v>440</v>
      </c>
      <c r="Z384" s="250">
        <f>[1]Results!B2120</f>
        <v>5.5069558153982268</v>
      </c>
      <c r="AA384" s="631">
        <f>[1]Results!C2120</f>
        <v>6.5906086557382064</v>
      </c>
      <c r="AB384" s="631">
        <f>[1]Results!D2120</f>
        <v>0</v>
      </c>
      <c r="AC384" s="245">
        <f>[1]Results!E2120</f>
        <v>12.097564471136433</v>
      </c>
    </row>
    <row r="385" spans="1:29">
      <c r="A385" s="59" t="s">
        <v>819</v>
      </c>
      <c r="B385" s="250">
        <f>[1]Results!B51</f>
        <v>5.2099388580250851E-2</v>
      </c>
      <c r="C385" s="631">
        <f>[1]Results!C51</f>
        <v>0.13580224875880942</v>
      </c>
      <c r="D385" s="631">
        <f>[1]Results!D51</f>
        <v>0</v>
      </c>
      <c r="E385" s="245">
        <f>[1]Results!E51</f>
        <v>0.18790163733906026</v>
      </c>
      <c r="G385" s="59" t="s">
        <v>819</v>
      </c>
      <c r="H385" s="250">
        <f>[1]Results!B1071</f>
        <v>3.4977175337715792E-2</v>
      </c>
      <c r="I385" s="631">
        <f>[1]Results!C1071</f>
        <v>9.1171493476864582E-2</v>
      </c>
      <c r="J385" s="631">
        <f>[1]Results!D1071</f>
        <v>0</v>
      </c>
      <c r="K385" s="245">
        <f>[1]Results!E1071</f>
        <v>0.12614866881458037</v>
      </c>
      <c r="M385" s="59" t="s">
        <v>819</v>
      </c>
      <c r="N385" s="250">
        <f>[1]Results!B1401</f>
        <v>2.4432203915915367E-2</v>
      </c>
      <c r="O385" s="631">
        <f>[1]Results!C1401</f>
        <v>7.9718158023873942E-2</v>
      </c>
      <c r="P385" s="631">
        <f>[1]Results!D1401</f>
        <v>0</v>
      </c>
      <c r="Q385" s="245">
        <f>[1]Results!E1401</f>
        <v>0.10415036193978931</v>
      </c>
      <c r="S385" s="59" t="s">
        <v>819</v>
      </c>
      <c r="T385" s="250">
        <f>[1]Results!B2091</f>
        <v>5.8249099108880096E-3</v>
      </c>
      <c r="U385" s="631">
        <f>[1]Results!C2091</f>
        <v>4.6411691020279443E-2</v>
      </c>
      <c r="V385" s="631">
        <f>[1]Results!D2091</f>
        <v>0</v>
      </c>
      <c r="W385" s="245">
        <f>[1]Results!E2091</f>
        <v>5.223660093116745E-2</v>
      </c>
      <c r="Y385" s="59" t="s">
        <v>819</v>
      </c>
      <c r="Z385" s="250">
        <f>[1]Results!B2121</f>
        <v>4.1861686378877119E-3</v>
      </c>
      <c r="AA385" s="631">
        <f>[1]Results!C2121</f>
        <v>6.3080374812109444E-2</v>
      </c>
      <c r="AB385" s="631">
        <f>[1]Results!D2121</f>
        <v>0</v>
      </c>
      <c r="AC385" s="245">
        <f>[1]Results!E2121</f>
        <v>6.7266543449997163E-2</v>
      </c>
    </row>
    <row r="386" spans="1:29">
      <c r="A386" s="173" t="s">
        <v>2069</v>
      </c>
      <c r="B386" s="250">
        <f>[1]Results!B52</f>
        <v>-2.6198497702593033</v>
      </c>
      <c r="C386" s="631">
        <f>[1]Results!C52</f>
        <v>53.250166929810092</v>
      </c>
      <c r="D386" s="631">
        <f>[1]Results!D52</f>
        <v>280.34266487325334</v>
      </c>
      <c r="E386" s="245">
        <f>[1]Results!E52</f>
        <v>330.97298203280411</v>
      </c>
      <c r="G386" s="173" t="s">
        <v>2069</v>
      </c>
      <c r="H386" s="250">
        <f>[1]Results!B1072</f>
        <v>-1.7588487556180241</v>
      </c>
      <c r="I386" s="631">
        <f>[1]Results!C1072</f>
        <v>35.749755922714023</v>
      </c>
      <c r="J386" s="631">
        <f>[1]Results!D1072</f>
        <v>188.213801046214</v>
      </c>
      <c r="K386" s="245">
        <f>[1]Results!E1072</f>
        <v>222.20470821331</v>
      </c>
      <c r="M386" s="173" t="s">
        <v>2069</v>
      </c>
      <c r="N386" s="250">
        <f>[1]Results!B1402</f>
        <v>4.2810936504085664</v>
      </c>
      <c r="O386" s="631">
        <f>[1]Results!C1402</f>
        <v>80.852746524321986</v>
      </c>
      <c r="P386" s="631">
        <f>[1]Results!D1402</f>
        <v>115.37847295827133</v>
      </c>
      <c r="Q386" s="245">
        <f>[1]Results!E1402</f>
        <v>200.5123131330019</v>
      </c>
      <c r="S386" s="173" t="s">
        <v>2069</v>
      </c>
      <c r="T386" s="250">
        <f>[1]Results!B2092</f>
        <v>10.438522339451788</v>
      </c>
      <c r="U386" s="631">
        <f>[1]Results!C2092</f>
        <v>114.79503273571233</v>
      </c>
      <c r="V386" s="631">
        <f>[1]Results!D2092</f>
        <v>0</v>
      </c>
      <c r="W386" s="245">
        <f>[1]Results!E2092</f>
        <v>125.23355507516412</v>
      </c>
      <c r="Y386" s="173" t="s">
        <v>2069</v>
      </c>
      <c r="Z386" s="250">
        <f>[1]Results!B2122</f>
        <v>6.5858408346100159</v>
      </c>
      <c r="AA386" s="631">
        <f>[1]Results!C2122</f>
        <v>153.12835200489471</v>
      </c>
      <c r="AB386" s="631">
        <f>[1]Results!D2122</f>
        <v>0</v>
      </c>
      <c r="AC386" s="245">
        <f>[1]Results!E2122</f>
        <v>159.71419283950473</v>
      </c>
    </row>
    <row r="387" spans="1:29">
      <c r="A387" s="173" t="s">
        <v>887</v>
      </c>
      <c r="B387" s="234">
        <f>[1]Results!B53</f>
        <v>0.26963101906560533</v>
      </c>
      <c r="C387" s="1318">
        <f>[1]Results!C53</f>
        <v>0.1494018264083295</v>
      </c>
      <c r="D387" s="1318">
        <f>[1]Results!D53</f>
        <v>7.9522606701268542E-3</v>
      </c>
      <c r="E387" s="235">
        <f>[1]Results!E53</f>
        <v>0.42698510614406165</v>
      </c>
      <c r="G387" s="173" t="s">
        <v>887</v>
      </c>
      <c r="H387" s="234">
        <f>[1]Results!B1073</f>
        <v>0.18101808269434508</v>
      </c>
      <c r="I387" s="1318">
        <f>[1]Results!C1073</f>
        <v>0.10030163540230087</v>
      </c>
      <c r="J387" s="1318">
        <f>[1]Results!D1073</f>
        <v>3.7375625149596212E-3</v>
      </c>
      <c r="K387" s="235">
        <f>[1]Results!E1073</f>
        <v>0.28505728061160557</v>
      </c>
      <c r="M387" s="173" t="s">
        <v>887</v>
      </c>
      <c r="N387" s="234">
        <f>[1]Results!B1403</f>
        <v>0.29329083412953066</v>
      </c>
      <c r="O387" s="1318">
        <f>[1]Results!C1403</f>
        <v>6.2843658439109579E-2</v>
      </c>
      <c r="P387" s="1318">
        <f>[1]Results!D1403</f>
        <v>2.2184453611861737E-3</v>
      </c>
      <c r="Q387" s="235">
        <f>[1]Results!E1403</f>
        <v>0.35835293792982642</v>
      </c>
      <c r="S387" s="173" t="s">
        <v>887</v>
      </c>
      <c r="T387" s="234">
        <f>[1]Results!B2093</f>
        <v>0.35511919756316274</v>
      </c>
      <c r="U387" s="1318">
        <f>[1]Results!C2093</f>
        <v>2.6431692483986258E-3</v>
      </c>
      <c r="V387" s="1318">
        <f>[1]Results!D2093</f>
        <v>0</v>
      </c>
      <c r="W387" s="235">
        <f>[1]Results!E2093</f>
        <v>0.35776236681156137</v>
      </c>
      <c r="Y387" s="173" t="s">
        <v>887</v>
      </c>
      <c r="Z387" s="234">
        <f>[1]Results!B2123</f>
        <v>0.21773444511290102</v>
      </c>
      <c r="AA387" s="1318">
        <f>[1]Results!C2123</f>
        <v>0.16372639728724472</v>
      </c>
      <c r="AB387" s="1318">
        <f>[1]Results!D2123</f>
        <v>0</v>
      </c>
      <c r="AC387" s="235">
        <f>[1]Results!E2123</f>
        <v>0.38146084240014577</v>
      </c>
    </row>
    <row r="388" spans="1:29">
      <c r="A388" s="173" t="s">
        <v>888</v>
      </c>
      <c r="B388" s="234">
        <f>[1]Results!B54</f>
        <v>2.4764866676149844E-4</v>
      </c>
      <c r="C388" s="1318">
        <f>[1]Results!C54</f>
        <v>1.0297184619148953E-2</v>
      </c>
      <c r="D388" s="1318">
        <f>[1]Results!D54</f>
        <v>3.8553552069305742E-3</v>
      </c>
      <c r="E388" s="235">
        <f>[1]Results!E54</f>
        <v>1.4400188492841026E-2</v>
      </c>
      <c r="G388" s="173" t="s">
        <v>888</v>
      </c>
      <c r="H388" s="234">
        <f>[1]Results!B1074</f>
        <v>1.6626012464860242E-4</v>
      </c>
      <c r="I388" s="1318">
        <f>[1]Results!C1074</f>
        <v>6.9130644662753352E-3</v>
      </c>
      <c r="J388" s="1318">
        <f>[1]Results!D1074</f>
        <v>3.8553552069305742E-3</v>
      </c>
      <c r="K388" s="235">
        <f>[1]Results!E1074</f>
        <v>1.0934679797854513E-2</v>
      </c>
      <c r="M388" s="173" t="s">
        <v>888</v>
      </c>
      <c r="N388" s="234">
        <f>[1]Results!B1404</f>
        <v>8.9255361861383011E-4</v>
      </c>
      <c r="O388" s="1318">
        <f>[1]Results!C1404</f>
        <v>4.3599348182699425E-3</v>
      </c>
      <c r="P388" s="1318">
        <f>[1]Results!D1404</f>
        <v>2.2883616903548957E-3</v>
      </c>
      <c r="Q388" s="235">
        <f>[1]Results!E1404</f>
        <v>7.5408501272386684E-3</v>
      </c>
      <c r="S388" s="173" t="s">
        <v>888</v>
      </c>
      <c r="T388" s="234">
        <f>[1]Results!B2094</f>
        <v>1.5399486415544389E-3</v>
      </c>
      <c r="U388" s="1318">
        <f>[1]Results!C2094</f>
        <v>2.3783528087527978E-4</v>
      </c>
      <c r="V388" s="1318">
        <f>[1]Results!D2094</f>
        <v>0</v>
      </c>
      <c r="W388" s="235">
        <f>[1]Results!E2094</f>
        <v>1.7777839224297188E-3</v>
      </c>
      <c r="Y388" s="173" t="s">
        <v>888</v>
      </c>
      <c r="Z388" s="234">
        <f>[1]Results!B2124</f>
        <v>3.3200486923815482E-4</v>
      </c>
      <c r="AA388" s="1318">
        <f>[1]Results!C2124</f>
        <v>1.2071993276440911E-3</v>
      </c>
      <c r="AB388" s="1318">
        <f>[1]Results!D2124</f>
        <v>0</v>
      </c>
      <c r="AC388" s="235">
        <f>[1]Results!E2124</f>
        <v>1.5392041968822459E-3</v>
      </c>
    </row>
    <row r="389" spans="1:29">
      <c r="A389" s="173" t="s">
        <v>1896</v>
      </c>
      <c r="B389" s="250">
        <f>[1]Results!B55</f>
        <v>5.534707698400652</v>
      </c>
      <c r="C389" s="631">
        <f>[1]Results!C55</f>
        <v>60.46097564613445</v>
      </c>
      <c r="D389" s="631">
        <f>[1]Results!D55</f>
        <v>281.60290182319375</v>
      </c>
      <c r="E389" s="245">
        <f>[1]Results!E55</f>
        <v>347.59858516772886</v>
      </c>
      <c r="G389" s="173" t="s">
        <v>1896</v>
      </c>
      <c r="H389" s="250">
        <f>[1]Results!B1075</f>
        <v>3.7157526582442082</v>
      </c>
      <c r="I389" s="631">
        <f>[1]Results!C1075</f>
        <v>40.590767068346011</v>
      </c>
      <c r="J389" s="631">
        <f>[1]Results!D1075</f>
        <v>189.34759705149941</v>
      </c>
      <c r="K389" s="245">
        <f>[1]Results!E1075</f>
        <v>233.65411677808962</v>
      </c>
      <c r="M389" s="173" t="s">
        <v>1896</v>
      </c>
      <c r="N389" s="250">
        <f>[1]Results!B1405</f>
        <v>13.316345383227151</v>
      </c>
      <c r="O389" s="631">
        <f>[1]Results!C1405</f>
        <v>83.893439004336813</v>
      </c>
      <c r="P389" s="631">
        <f>[1]Results!D1405</f>
        <v>116.05144216705096</v>
      </c>
      <c r="Q389" s="245">
        <f>[1]Results!E1405</f>
        <v>213.26122655461495</v>
      </c>
      <c r="S389" s="173" t="s">
        <v>1896</v>
      </c>
      <c r="T389" s="250">
        <f>[1]Results!B2095</f>
        <v>21.500184656358599</v>
      </c>
      <c r="U389" s="631">
        <f>[1]Results!C2095</f>
        <v>114.93735416259624</v>
      </c>
      <c r="V389" s="631">
        <f>[1]Results!D2095</f>
        <v>0</v>
      </c>
      <c r="W389" s="245">
        <f>[1]Results!E2095</f>
        <v>136.43753881895483</v>
      </c>
      <c r="Y389" s="173" t="s">
        <v>1896</v>
      </c>
      <c r="Z389" s="250">
        <f>[1]Results!B2125</f>
        <v>13.205855478345157</v>
      </c>
      <c r="AA389" s="631">
        <f>[1]Results!C2125</f>
        <v>158.36005174533773</v>
      </c>
      <c r="AB389" s="631">
        <f>[1]Results!D2125</f>
        <v>0</v>
      </c>
      <c r="AC389" s="245">
        <f>[1]Results!E2125</f>
        <v>171.56590722368287</v>
      </c>
    </row>
    <row r="390" spans="1:29">
      <c r="A390" s="173" t="s">
        <v>879</v>
      </c>
      <c r="B390" s="234">
        <f>[1]Results!B56</f>
        <v>1.0866358583268008E-2</v>
      </c>
      <c r="C390" s="1318">
        <f>[1]Results!C56</f>
        <v>9.6489572914224261E-2</v>
      </c>
      <c r="D390" s="1318">
        <f>[1]Results!D56</f>
        <v>0.15342570652283241</v>
      </c>
      <c r="E390" s="235">
        <f>[1]Results!E56</f>
        <v>0.26078163802032467</v>
      </c>
      <c r="G390" s="173" t="s">
        <v>879</v>
      </c>
      <c r="H390" s="234">
        <f>[1]Results!B1076</f>
        <v>7.2951821471765156E-3</v>
      </c>
      <c r="I390" s="1318">
        <f>[1]Results!C1076</f>
        <v>6.4778739291413867E-2</v>
      </c>
      <c r="J390" s="1318">
        <f>[1]Results!D1076</f>
        <v>0.13510741897857262</v>
      </c>
      <c r="K390" s="235">
        <f>[1]Results!E1076</f>
        <v>0.20718134041716302</v>
      </c>
      <c r="M390" s="173" t="s">
        <v>879</v>
      </c>
      <c r="N390" s="234">
        <f>[1]Results!B1406</f>
        <v>1.2942944004155764E-2</v>
      </c>
      <c r="O390" s="1318">
        <f>[1]Results!C1406</f>
        <v>4.0372471032433868E-2</v>
      </c>
      <c r="P390" s="1318">
        <f>[1]Results!D1406</f>
        <v>8.0193555477717379E-2</v>
      </c>
      <c r="Q390" s="235">
        <f>[1]Results!E1406</f>
        <v>0.13350897051430702</v>
      </c>
      <c r="S390" s="173" t="s">
        <v>879</v>
      </c>
      <c r="T390" s="234">
        <f>[1]Results!B2096</f>
        <v>1.649906307966665E-2</v>
      </c>
      <c r="U390" s="1318">
        <f>[1]Results!C2096</f>
        <v>1.2894004984759771E-3</v>
      </c>
      <c r="V390" s="1318">
        <f>[1]Results!D2096</f>
        <v>0</v>
      </c>
      <c r="W390" s="235">
        <f>[1]Results!E2096</f>
        <v>1.7788463578142628E-2</v>
      </c>
      <c r="Y390" s="173" t="s">
        <v>879</v>
      </c>
      <c r="Z390" s="234">
        <f>[1]Results!B2126</f>
        <v>9.8179775505813447E-3</v>
      </c>
      <c r="AA390" s="1318">
        <f>[1]Results!C2126</f>
        <v>1.0754215064147931E-2</v>
      </c>
      <c r="AB390" s="1318">
        <f>[1]Results!D2126</f>
        <v>0</v>
      </c>
      <c r="AC390" s="235">
        <f>[1]Results!E2126</f>
        <v>2.0572192614729277E-2</v>
      </c>
    </row>
    <row r="391" spans="1:29">
      <c r="A391" s="173" t="s">
        <v>880</v>
      </c>
      <c r="B391" s="234">
        <f>[1]Results!B57</f>
        <v>2.1703895389781624E-2</v>
      </c>
      <c r="C391" s="1318">
        <f>[1]Results!C57</f>
        <v>3.4592696897342845E-2</v>
      </c>
      <c r="D391" s="1318">
        <f>[1]Results!D57</f>
        <v>1.4655810643908089</v>
      </c>
      <c r="E391" s="235">
        <f>[1]Results!E57</f>
        <v>1.5218776566779333</v>
      </c>
      <c r="G391" s="173" t="s">
        <v>880</v>
      </c>
      <c r="H391" s="234">
        <f>[1]Results!B1077</f>
        <v>1.4571014655776563E-2</v>
      </c>
      <c r="I391" s="1318">
        <f>[1]Results!C1077</f>
        <v>2.3223973596524537E-2</v>
      </c>
      <c r="J391" s="1318">
        <f>[1]Results!D1077</f>
        <v>1.4655810643908089</v>
      </c>
      <c r="K391" s="235">
        <f>[1]Results!E1077</f>
        <v>1.5033760526431101</v>
      </c>
      <c r="M391" s="173" t="s">
        <v>880</v>
      </c>
      <c r="N391" s="234">
        <f>[1]Results!B1407</f>
        <v>3.1058944144042956E-2</v>
      </c>
      <c r="O391" s="1318">
        <f>[1]Results!C1407</f>
        <v>1.927032011426312E-2</v>
      </c>
      <c r="P391" s="1318">
        <f>[1]Results!D1407</f>
        <v>0.86990157374670984</v>
      </c>
      <c r="Q391" s="235">
        <f>[1]Results!E1407</f>
        <v>0.92023083800501593</v>
      </c>
      <c r="S391" s="173" t="s">
        <v>880</v>
      </c>
      <c r="T391" s="234">
        <f>[1]Results!B2097</f>
        <v>4.309700116358714E-2</v>
      </c>
      <c r="U391" s="1318">
        <f>[1]Results!C2097</f>
        <v>9.8042014511524143E-3</v>
      </c>
      <c r="V391" s="1318">
        <f>[1]Results!D2097</f>
        <v>0</v>
      </c>
      <c r="W391" s="235">
        <f>[1]Results!E2097</f>
        <v>5.2901202614739552E-2</v>
      </c>
      <c r="Y391" s="173" t="s">
        <v>880</v>
      </c>
      <c r="Z391" s="234">
        <f>[1]Results!B2127</f>
        <v>2.0081937970153414E-2</v>
      </c>
      <c r="AA391" s="1318">
        <f>[1]Results!C2127</f>
        <v>1.5382967124017051E-2</v>
      </c>
      <c r="AB391" s="1318">
        <f>[1]Results!D2127</f>
        <v>0</v>
      </c>
      <c r="AC391" s="235">
        <f>[1]Results!E2127</f>
        <v>3.5464905094170468E-2</v>
      </c>
    </row>
    <row r="392" spans="1:29">
      <c r="A392" s="173" t="s">
        <v>881</v>
      </c>
      <c r="B392" s="234">
        <f>[1]Results!B58</f>
        <v>3.3427671322850232E-2</v>
      </c>
      <c r="C392" s="1318">
        <f>[1]Results!C58</f>
        <v>5.8375059740266175E-2</v>
      </c>
      <c r="D392" s="1318">
        <f>[1]Results!D58</f>
        <v>3.929186469028307E-2</v>
      </c>
      <c r="E392" s="235">
        <f>[1]Results!E58</f>
        <v>0.13109459575339946</v>
      </c>
      <c r="G392" s="173" t="s">
        <v>881</v>
      </c>
      <c r="H392" s="234">
        <f>[1]Results!B1078</f>
        <v>2.2441828068478976E-2</v>
      </c>
      <c r="I392" s="1318">
        <f>[1]Results!C1078</f>
        <v>3.9190377383025575E-2</v>
      </c>
      <c r="J392" s="1318">
        <f>[1]Results!D1078</f>
        <v>3.3005166339837778E-2</v>
      </c>
      <c r="K392" s="235">
        <f>[1]Results!E1078</f>
        <v>9.4637371791342323E-2</v>
      </c>
      <c r="M392" s="173" t="s">
        <v>881</v>
      </c>
      <c r="N392" s="234">
        <f>[1]Results!B1408</f>
        <v>3.9272537070721494E-2</v>
      </c>
      <c r="O392" s="1318">
        <f>[1]Results!C1408</f>
        <v>3.1508849183569304E-2</v>
      </c>
      <c r="P392" s="1318">
        <f>[1]Results!D1408</f>
        <v>1.9590350092801648E-2</v>
      </c>
      <c r="Q392" s="235">
        <f>[1]Results!E1408</f>
        <v>9.0371736347092446E-2</v>
      </c>
      <c r="S392" s="173" t="s">
        <v>881</v>
      </c>
      <c r="T392" s="234">
        <f>[1]Results!B2098</f>
        <v>4.9697212316034765E-2</v>
      </c>
      <c r="U392" s="1318">
        <f>[1]Results!C2098</f>
        <v>1.4577823492814333E-2</v>
      </c>
      <c r="V392" s="1318">
        <f>[1]Results!D2098</f>
        <v>0</v>
      </c>
      <c r="W392" s="235">
        <f>[1]Results!E2098</f>
        <v>6.4275035808849093E-2</v>
      </c>
      <c r="Y392" s="173" t="s">
        <v>881</v>
      </c>
      <c r="Z392" s="234">
        <f>[1]Results!B2128</f>
        <v>2.2853741434820222E-2</v>
      </c>
      <c r="AA392" s="1318">
        <f>[1]Results!C2128</f>
        <v>2.9782006680773025E-2</v>
      </c>
      <c r="AB392" s="1318">
        <f>[1]Results!D2128</f>
        <v>0</v>
      </c>
      <c r="AC392" s="235">
        <f>[1]Results!E2128</f>
        <v>5.2635748115593246E-2</v>
      </c>
    </row>
    <row r="393" spans="1:29">
      <c r="A393" s="173" t="s">
        <v>882</v>
      </c>
      <c r="B393" s="234">
        <f>[1]Results!B59</f>
        <v>1.6429860314667042E-3</v>
      </c>
      <c r="C393" s="1318">
        <f>[1]Results!C59</f>
        <v>8.7080570277520732E-3</v>
      </c>
      <c r="D393" s="1318">
        <f>[1]Results!D59</f>
        <v>3.5187572574832765E-2</v>
      </c>
      <c r="E393" s="235">
        <f>[1]Results!E59</f>
        <v>4.5538615634051538E-2</v>
      </c>
      <c r="G393" s="173" t="s">
        <v>882</v>
      </c>
      <c r="H393" s="234">
        <f>[1]Results!B1079</f>
        <v>1.1030265818093032E-3</v>
      </c>
      <c r="I393" s="1318">
        <f>[1]Results!C1079</f>
        <v>5.8461960074896136E-3</v>
      </c>
      <c r="J393" s="1318">
        <f>[1]Results!D1079</f>
        <v>3.5187572574832765E-2</v>
      </c>
      <c r="K393" s="235">
        <f>[1]Results!E1079</f>
        <v>4.2136795164131685E-2</v>
      </c>
      <c r="M393" s="173" t="s">
        <v>882</v>
      </c>
      <c r="N393" s="234">
        <f>[1]Results!B1409</f>
        <v>1.0699974962242211E-3</v>
      </c>
      <c r="O393" s="1318">
        <f>[1]Results!C1409</f>
        <v>6.1471090529024346E-3</v>
      </c>
      <c r="P393" s="1318">
        <f>[1]Results!D1409</f>
        <v>3.3363867345525988E-2</v>
      </c>
      <c r="Q393" s="235">
        <f>[1]Results!E1409</f>
        <v>4.0580973894652643E-2</v>
      </c>
      <c r="S393" s="173" t="s">
        <v>882</v>
      </c>
      <c r="T393" s="234">
        <f>[1]Results!B2099</f>
        <v>7.6706578018041597E-4</v>
      </c>
      <c r="U393" s="1318">
        <f>[1]Results!C2099</f>
        <v>4.9926262061396826E-3</v>
      </c>
      <c r="V393" s="1318">
        <f>[1]Results!D2099</f>
        <v>3.070061626177846E-2</v>
      </c>
      <c r="W393" s="235">
        <f>[1]Results!E2099</f>
        <v>3.6460308248098559E-2</v>
      </c>
      <c r="Y393" s="173" t="s">
        <v>882</v>
      </c>
      <c r="Z393" s="234">
        <f>[1]Results!B2129</f>
        <v>5.3045559095139143E-4</v>
      </c>
      <c r="AA393" s="1318">
        <f>[1]Results!C2129</f>
        <v>7.0187610831231664E-3</v>
      </c>
      <c r="AB393" s="1318">
        <f>[1]Results!D2129</f>
        <v>3.070061626177846E-2</v>
      </c>
      <c r="AC393" s="235">
        <f>[1]Results!E2129</f>
        <v>3.8249832935853018E-2</v>
      </c>
    </row>
    <row r="394" spans="1:29">
      <c r="A394" s="173" t="s">
        <v>883</v>
      </c>
      <c r="B394" s="234">
        <f>[1]Results!B60</f>
        <v>1.4037512872792468E-3</v>
      </c>
      <c r="C394" s="1318">
        <f>[1]Results!C60</f>
        <v>5.5660722901984469E-3</v>
      </c>
      <c r="D394" s="1318">
        <f>[1]Results!D60</f>
        <v>8.0207109471285513E-3</v>
      </c>
      <c r="E394" s="235">
        <f>[1]Results!E60</f>
        <v>1.4990534524606245E-2</v>
      </c>
      <c r="G394" s="173" t="s">
        <v>883</v>
      </c>
      <c r="H394" s="234">
        <f>[1]Results!B1080</f>
        <v>9.4241518458668366E-4</v>
      </c>
      <c r="I394" s="1318">
        <f>[1]Results!C1080</f>
        <v>3.7368094279415631E-3</v>
      </c>
      <c r="J394" s="1318">
        <f>[1]Results!D1080</f>
        <v>8.0207109471285513E-3</v>
      </c>
      <c r="K394" s="235">
        <f>[1]Results!E1080</f>
        <v>1.2699935559656799E-2</v>
      </c>
      <c r="M394" s="173" t="s">
        <v>883</v>
      </c>
      <c r="N394" s="234">
        <f>[1]Results!B1410</f>
        <v>9.3226686597921733E-4</v>
      </c>
      <c r="O394" s="1318">
        <f>[1]Results!C1410</f>
        <v>4.7664441493739523E-3</v>
      </c>
      <c r="P394" s="1318">
        <f>[1]Results!D1410</f>
        <v>6.4074312977100666E-3</v>
      </c>
      <c r="Q394" s="235">
        <f>[1]Results!E1410</f>
        <v>1.2106142313063235E-2</v>
      </c>
      <c r="S394" s="173" t="s">
        <v>883</v>
      </c>
      <c r="T394" s="234">
        <f>[1]Results!B2100</f>
        <v>6.9057196399155017E-4</v>
      </c>
      <c r="U394" s="1318">
        <f>[1]Results!C2100</f>
        <v>4.8220529724942486E-3</v>
      </c>
      <c r="V394" s="1318">
        <f>[1]Results!D2100</f>
        <v>4.0514755732562798E-3</v>
      </c>
      <c r="W394" s="235">
        <f>[1]Results!E2100</f>
        <v>9.5641005097420774E-3</v>
      </c>
      <c r="Y394" s="173" t="s">
        <v>883</v>
      </c>
      <c r="Z394" s="234">
        <f>[1]Results!B2130</f>
        <v>4.7687228779518095E-4</v>
      </c>
      <c r="AA394" s="1318">
        <f>[1]Results!C2130</f>
        <v>5.7771857855048779E-3</v>
      </c>
      <c r="AB394" s="1318">
        <f>[1]Results!D2130</f>
        <v>4.0514755732562798E-3</v>
      </c>
      <c r="AC394" s="235">
        <f>[1]Results!E2130</f>
        <v>1.0305533646556338E-2</v>
      </c>
    </row>
    <row r="395" spans="1:29">
      <c r="A395" s="173" t="s">
        <v>884</v>
      </c>
      <c r="B395" s="234">
        <f>[1]Results!B61</f>
        <v>7.537436296590861E-3</v>
      </c>
      <c r="C395" s="1318">
        <f>[1]Results!C61</f>
        <v>1.7942740804306589E-2</v>
      </c>
      <c r="D395" s="1318">
        <f>[1]Results!D61</f>
        <v>1.6661719597067142E-3</v>
      </c>
      <c r="E395" s="235">
        <f>[1]Results!E61</f>
        <v>2.7146349060604164E-2</v>
      </c>
      <c r="G395" s="173" t="s">
        <v>884</v>
      </c>
      <c r="H395" s="234">
        <f>[1]Results!B1081</f>
        <v>5.0602941440786543E-3</v>
      </c>
      <c r="I395" s="1318">
        <f>[1]Results!C1081</f>
        <v>1.2045945418048846E-2</v>
      </c>
      <c r="J395" s="1318">
        <f>[1]Results!D1081</f>
        <v>1.1185925663538116E-3</v>
      </c>
      <c r="K395" s="235">
        <f>[1]Results!E1081</f>
        <v>1.8224832128481312E-2</v>
      </c>
      <c r="M395" s="173" t="s">
        <v>884</v>
      </c>
      <c r="N395" s="234">
        <f>[1]Results!B1411</f>
        <v>1.3949797456329641E-2</v>
      </c>
      <c r="O395" s="1318">
        <f>[1]Results!C1411</f>
        <v>8.4660755575093997E-3</v>
      </c>
      <c r="P395" s="1318">
        <f>[1]Results!D1411</f>
        <v>6.8571633791037867E-4</v>
      </c>
      <c r="Q395" s="235">
        <f>[1]Results!E1411</f>
        <v>2.310158935174942E-2</v>
      </c>
      <c r="S395" s="173" t="s">
        <v>884</v>
      </c>
      <c r="T395" s="234">
        <f>[1]Results!B2101</f>
        <v>2.1128604810511958E-2</v>
      </c>
      <c r="U395" s="1318">
        <f>[1]Results!C2101</f>
        <v>2.1068815241840062E-3</v>
      </c>
      <c r="V395" s="1318">
        <f>[1]Results!D2101</f>
        <v>0</v>
      </c>
      <c r="W395" s="235">
        <f>[1]Results!E2101</f>
        <v>2.3235486334695965E-2</v>
      </c>
      <c r="Y395" s="173" t="s">
        <v>884</v>
      </c>
      <c r="Z395" s="234">
        <f>[1]Results!B2131</f>
        <v>1.5208454022621668E-2</v>
      </c>
      <c r="AA395" s="1318">
        <f>[1]Results!C2131</f>
        <v>2.2097351997585998E-2</v>
      </c>
      <c r="AB395" s="1318">
        <f>[1]Results!D2131</f>
        <v>0</v>
      </c>
      <c r="AC395" s="235">
        <f>[1]Results!E2131</f>
        <v>3.7305806020207666E-2</v>
      </c>
    </row>
    <row r="396" spans="1:29">
      <c r="A396" s="173" t="s">
        <v>885</v>
      </c>
      <c r="B396" s="234">
        <f>[1]Results!B62</f>
        <v>2.5486425564443996E-4</v>
      </c>
      <c r="C396" s="1318">
        <f>[1]Results!C62</f>
        <v>6.7859184092758059E-4</v>
      </c>
      <c r="D396" s="1318">
        <f>[1]Results!D62</f>
        <v>3.3838787821687246E-3</v>
      </c>
      <c r="E396" s="235">
        <f>[1]Results!E62</f>
        <v>4.317334878740745E-3</v>
      </c>
      <c r="G396" s="173" t="s">
        <v>885</v>
      </c>
      <c r="H396" s="234">
        <f>[1]Results!B1082</f>
        <v>1.7110434498210529E-4</v>
      </c>
      <c r="I396" s="1318">
        <f>[1]Results!C1082</f>
        <v>4.5557589925085163E-4</v>
      </c>
      <c r="J396" s="1318">
        <f>[1]Results!D1082</f>
        <v>3.3838787821687246E-3</v>
      </c>
      <c r="K396" s="235">
        <f>[1]Results!E1082</f>
        <v>4.0105590264016815E-3</v>
      </c>
      <c r="M396" s="173" t="s">
        <v>885</v>
      </c>
      <c r="N396" s="234">
        <f>[1]Results!B1412</f>
        <v>1.9904690200261849E-4</v>
      </c>
      <c r="O396" s="1318">
        <f>[1]Results!C1412</f>
        <v>3.5107157233179112E-4</v>
      </c>
      <c r="P396" s="1318">
        <f>[1]Results!D1412</f>
        <v>2.2439552972139043E-3</v>
      </c>
      <c r="Q396" s="235">
        <f>[1]Results!E1412</f>
        <v>2.7940737715483137E-3</v>
      </c>
      <c r="S396" s="173" t="s">
        <v>885</v>
      </c>
      <c r="T396" s="234">
        <f>[1]Results!B2102</f>
        <v>1.8339344815890179E-4</v>
      </c>
      <c r="U396" s="1318">
        <f>[1]Results!C2102</f>
        <v>1.3983953620233321E-4</v>
      </c>
      <c r="V396" s="1318">
        <f>[1]Results!D2102</f>
        <v>5.7926606569309554E-4</v>
      </c>
      <c r="W396" s="235">
        <f>[1]Results!E2102</f>
        <v>9.0249905005433055E-4</v>
      </c>
      <c r="Y396" s="173" t="s">
        <v>885</v>
      </c>
      <c r="Z396" s="234">
        <f>[1]Results!B2132</f>
        <v>1.2834651660946131E-4</v>
      </c>
      <c r="AA396" s="1318">
        <f>[1]Results!C2132</f>
        <v>5.4300264825608954E-4</v>
      </c>
      <c r="AB396" s="1318">
        <f>[1]Results!D2132</f>
        <v>5.7926606569309554E-4</v>
      </c>
      <c r="AC396" s="235">
        <f>[1]Results!E2132</f>
        <v>1.2506152305586465E-3</v>
      </c>
    </row>
    <row r="397" spans="1:29">
      <c r="A397" s="173" t="s">
        <v>886</v>
      </c>
      <c r="B397" s="234">
        <f>[1]Results!B63</f>
        <v>5.1390420594536854E-4</v>
      </c>
      <c r="C397" s="1318">
        <f>[1]Results!C63</f>
        <v>9.8936143042499384E-4</v>
      </c>
      <c r="D397" s="1318">
        <f>[1]Results!D63</f>
        <v>1.7169926457971099E-3</v>
      </c>
      <c r="E397" s="235">
        <f>[1]Results!E63</f>
        <v>3.2202582821674723E-3</v>
      </c>
      <c r="G397" s="173" t="s">
        <v>886</v>
      </c>
      <c r="H397" s="234">
        <f>[1]Results!B1083</f>
        <v>3.4501206267427209E-4</v>
      </c>
      <c r="I397" s="1318">
        <f>[1]Results!C1083</f>
        <v>6.6421255925191308E-4</v>
      </c>
      <c r="J397" s="1318">
        <f>[1]Results!D1083</f>
        <v>1.7169926457971099E-3</v>
      </c>
      <c r="K397" s="235">
        <f>[1]Results!E1083</f>
        <v>2.7262172677232953E-3</v>
      </c>
      <c r="M397" s="173" t="s">
        <v>886</v>
      </c>
      <c r="N397" s="234">
        <f>[1]Results!B1413</f>
        <v>3.4508767951803467E-4</v>
      </c>
      <c r="O397" s="1318">
        <f>[1]Results!C1413</f>
        <v>2.0906606405671517E-3</v>
      </c>
      <c r="P397" s="1318">
        <f>[1]Results!D1413</f>
        <v>1.3134826438910329E-3</v>
      </c>
      <c r="Q397" s="235">
        <f>[1]Results!E1413</f>
        <v>3.7492309639762193E-3</v>
      </c>
      <c r="S397" s="173" t="s">
        <v>886</v>
      </c>
      <c r="T397" s="234">
        <f>[1]Results!B2103</f>
        <v>2.601974923909443E-4</v>
      </c>
      <c r="U397" s="1318">
        <f>[1]Results!C2103</f>
        <v>3.2789960212960892E-3</v>
      </c>
      <c r="V397" s="1318">
        <f>[1]Results!D2103</f>
        <v>7.242161151725634E-4</v>
      </c>
      <c r="W397" s="235">
        <f>[1]Results!E2103</f>
        <v>4.2634096288595965E-3</v>
      </c>
      <c r="Y397" s="173" t="s">
        <v>886</v>
      </c>
      <c r="Z397" s="234">
        <f>[1]Results!B2133</f>
        <v>1.7892612433619093E-4</v>
      </c>
      <c r="AA397" s="1318">
        <f>[1]Results!C2133</f>
        <v>1.5636050353179819E-3</v>
      </c>
      <c r="AB397" s="1318">
        <f>[1]Results!D2133</f>
        <v>7.242161151725634E-4</v>
      </c>
      <c r="AC397" s="235">
        <f>[1]Results!E2133</f>
        <v>2.4667472748267361E-3</v>
      </c>
    </row>
    <row r="398" spans="1:29">
      <c r="A398" s="173" t="s">
        <v>890</v>
      </c>
      <c r="B398" s="234">
        <f>[1]Results!B64</f>
        <v>1.9455140330840756E-3</v>
      </c>
      <c r="C398" s="1318">
        <f>[1]Results!C64</f>
        <v>5.5900379745598708E-2</v>
      </c>
      <c r="D398" s="1318">
        <f>[1]Results!D64</f>
        <v>0.10739799456598269</v>
      </c>
      <c r="E398" s="235">
        <f>[1]Results!E64</f>
        <v>0.16524388834466547</v>
      </c>
      <c r="G398" s="173" t="s">
        <v>890</v>
      </c>
      <c r="H398" s="234">
        <f>[1]Results!B1084</f>
        <v>1.3061302121108436E-3</v>
      </c>
      <c r="I398" s="1318">
        <f>[1]Results!C1084</f>
        <v>3.7528989055120462E-2</v>
      </c>
      <c r="J398" s="1318">
        <f>[1]Results!D1084</f>
        <v>9.457519328500083E-2</v>
      </c>
      <c r="K398" s="235">
        <f>[1]Results!E1084</f>
        <v>0.13341031255223212</v>
      </c>
      <c r="M398" s="173" t="s">
        <v>890</v>
      </c>
      <c r="N398" s="234">
        <f>[1]Results!B1414</f>
        <v>1.1625468439572966E-3</v>
      </c>
      <c r="O398" s="1318">
        <f>[1]Results!C1414</f>
        <v>2.3213116313264177E-2</v>
      </c>
      <c r="P398" s="1318">
        <f>[1]Results!D1414</f>
        <v>5.6135488834402163E-2</v>
      </c>
      <c r="Q398" s="235">
        <f>[1]Results!E1414</f>
        <v>8.0511151991623633E-2</v>
      </c>
      <c r="S398" s="173" t="s">
        <v>890</v>
      </c>
      <c r="T398" s="234">
        <f>[1]Results!B2104</f>
        <v>7.0482252521803467E-4</v>
      </c>
      <c r="U398" s="1318">
        <f>[1]Results!C2104</f>
        <v>4.0358235602298088E-4</v>
      </c>
      <c r="V398" s="1318">
        <f>[1]Results!D2104</f>
        <v>0</v>
      </c>
      <c r="W398" s="235">
        <f>[1]Results!E2104</f>
        <v>1.1084048812410156E-3</v>
      </c>
      <c r="Y398" s="173" t="s">
        <v>890</v>
      </c>
      <c r="Z398" s="234">
        <f>[1]Results!B2134</f>
        <v>2.1766059645111929E-4</v>
      </c>
      <c r="AA398" s="1318">
        <f>[1]Results!C2134</f>
        <v>1.0488570380007311E-3</v>
      </c>
      <c r="AB398" s="1318">
        <f>[1]Results!D2134</f>
        <v>0</v>
      </c>
      <c r="AC398" s="235">
        <f>[1]Results!E2134</f>
        <v>1.2665176344518504E-3</v>
      </c>
    </row>
    <row r="399" spans="1:29">
      <c r="A399" s="173" t="s">
        <v>891</v>
      </c>
      <c r="B399" s="234">
        <f>[1]Results!B65</f>
        <v>7.7192377501208781E-4</v>
      </c>
      <c r="C399" s="1318">
        <f>[1]Results!C65</f>
        <v>9.1753259977244341E-3</v>
      </c>
      <c r="D399" s="1318">
        <f>[1]Results!D65</f>
        <v>1.0259067450735662</v>
      </c>
      <c r="E399" s="235">
        <f>[1]Results!E65</f>
        <v>1.0358539948463026</v>
      </c>
      <c r="G399" s="173" t="s">
        <v>891</v>
      </c>
      <c r="H399" s="234">
        <f>[1]Results!B1085</f>
        <v>5.1823474251258236E-4</v>
      </c>
      <c r="I399" s="1318">
        <f>[1]Results!C1085</f>
        <v>6.1598992799843022E-3</v>
      </c>
      <c r="J399" s="1318">
        <f>[1]Results!D1085</f>
        <v>1.0259067450735662</v>
      </c>
      <c r="K399" s="235">
        <f>[1]Results!E1085</f>
        <v>1.032584879096063</v>
      </c>
      <c r="M399" s="173" t="s">
        <v>891</v>
      </c>
      <c r="N399" s="234">
        <f>[1]Results!B1415</f>
        <v>1.9460166851006952E-3</v>
      </c>
      <c r="O399" s="1318">
        <f>[1]Results!C1415</f>
        <v>5.351648929925748E-3</v>
      </c>
      <c r="P399" s="1318">
        <f>[1]Results!D1415</f>
        <v>0.60893110162269692</v>
      </c>
      <c r="Q399" s="235">
        <f>[1]Results!E1415</f>
        <v>0.61622876723772335</v>
      </c>
      <c r="S399" s="173" t="s">
        <v>891</v>
      </c>
      <c r="T399" s="234">
        <f>[1]Results!B2105</f>
        <v>3.1715643712720188E-3</v>
      </c>
      <c r="U399" s="1318">
        <f>[1]Results!C2105</f>
        <v>3.0687150542107054E-3</v>
      </c>
      <c r="V399" s="1318">
        <f>[1]Results!D2105</f>
        <v>0</v>
      </c>
      <c r="W399" s="235">
        <f>[1]Results!E2105</f>
        <v>6.2402794254827242E-3</v>
      </c>
      <c r="Y399" s="173" t="s">
        <v>891</v>
      </c>
      <c r="Z399" s="234">
        <f>[1]Results!B2135</f>
        <v>7.4767053719550073E-4</v>
      </c>
      <c r="AA399" s="1318">
        <f>[1]Results!C2135</f>
        <v>1.1720185576101895E-3</v>
      </c>
      <c r="AB399" s="1318">
        <f>[1]Results!D2135</f>
        <v>0</v>
      </c>
      <c r="AC399" s="235">
        <f>[1]Results!E2135</f>
        <v>1.9196890948056902E-3</v>
      </c>
    </row>
    <row r="400" spans="1:29">
      <c r="A400" s="173" t="s">
        <v>892</v>
      </c>
      <c r="B400" s="234">
        <f>[1]Results!B66</f>
        <v>1.6238311289926484E-3</v>
      </c>
      <c r="C400" s="1318">
        <f>[1]Results!C66</f>
        <v>1.3780416950301957E-2</v>
      </c>
      <c r="D400" s="1318">
        <f>[1]Results!D66</f>
        <v>2.7504305283198145E-2</v>
      </c>
      <c r="E400" s="235">
        <f>[1]Results!E66</f>
        <v>4.2908553362492753E-2</v>
      </c>
      <c r="G400" s="173" t="s">
        <v>892</v>
      </c>
      <c r="H400" s="234">
        <f>[1]Results!B1086</f>
        <v>1.0901668458187382E-3</v>
      </c>
      <c r="I400" s="1318">
        <f>[1]Results!C1086</f>
        <v>9.2515492606040379E-3</v>
      </c>
      <c r="J400" s="1318">
        <f>[1]Results!D1086</f>
        <v>2.3103616437886443E-2</v>
      </c>
      <c r="K400" s="235">
        <f>[1]Results!E1086</f>
        <v>3.3445332544309217E-2</v>
      </c>
      <c r="M400" s="173" t="s">
        <v>892</v>
      </c>
      <c r="N400" s="234">
        <f>[1]Results!B1416</f>
        <v>2.6020649066961364E-3</v>
      </c>
      <c r="O400" s="1318">
        <f>[1]Results!C1416</f>
        <v>8.0139995054190095E-3</v>
      </c>
      <c r="P400" s="1318">
        <f>[1]Results!D1416</f>
        <v>1.3713245064961152E-2</v>
      </c>
      <c r="Q400" s="235">
        <f>[1]Results!E1416</f>
        <v>2.4329309477076295E-2</v>
      </c>
      <c r="S400" s="173" t="s">
        <v>892</v>
      </c>
      <c r="T400" s="234">
        <f>[1]Results!B2106</f>
        <v>3.7664902117448534E-3</v>
      </c>
      <c r="U400" s="1318">
        <f>[1]Results!C2106</f>
        <v>4.5628587532508848E-3</v>
      </c>
      <c r="V400" s="1318">
        <f>[1]Results!D2106</f>
        <v>0</v>
      </c>
      <c r="W400" s="235">
        <f>[1]Results!E2106</f>
        <v>8.3293489649957381E-3</v>
      </c>
      <c r="Y400" s="173" t="s">
        <v>892</v>
      </c>
      <c r="Z400" s="234">
        <f>[1]Results!B2136</f>
        <v>8.9618952153522878E-4</v>
      </c>
      <c r="AA400" s="1318">
        <f>[1]Results!C2136</f>
        <v>5.1545705900708227E-3</v>
      </c>
      <c r="AB400" s="1318">
        <f>[1]Results!D2136</f>
        <v>0</v>
      </c>
      <c r="AC400" s="235">
        <f>[1]Results!E2136</f>
        <v>6.0507601116060513E-3</v>
      </c>
    </row>
    <row r="401" spans="1:29">
      <c r="A401" s="173" t="s">
        <v>893</v>
      </c>
      <c r="B401" s="234">
        <f>[1]Results!B67</f>
        <v>1.256651986881415E-4</v>
      </c>
      <c r="C401" s="1318">
        <f>[1]Results!C67</f>
        <v>3.0264293114335796E-3</v>
      </c>
      <c r="D401" s="1318">
        <f>[1]Results!D67</f>
        <v>2.4631300802382933E-2</v>
      </c>
      <c r="E401" s="235">
        <f>[1]Results!E67</f>
        <v>2.7783395312504653E-2</v>
      </c>
      <c r="G401" s="173" t="s">
        <v>893</v>
      </c>
      <c r="H401" s="234">
        <f>[1]Results!B1087</f>
        <v>8.4365936110624004E-5</v>
      </c>
      <c r="I401" s="1318">
        <f>[1]Results!C1087</f>
        <v>2.0318078879209968E-3</v>
      </c>
      <c r="J401" s="1318">
        <f>[1]Results!D1087</f>
        <v>2.4631300802382933E-2</v>
      </c>
      <c r="K401" s="235">
        <f>[1]Results!E1087</f>
        <v>2.6747474626414552E-2</v>
      </c>
      <c r="M401" s="173" t="s">
        <v>893</v>
      </c>
      <c r="N401" s="234">
        <f>[1]Results!B1417</f>
        <v>6.3389697187040317E-5</v>
      </c>
      <c r="O401" s="1318">
        <f>[1]Results!C1417</f>
        <v>2.0478430344196084E-3</v>
      </c>
      <c r="P401" s="1318">
        <f>[1]Results!D1417</f>
        <v>2.3354707141868186E-2</v>
      </c>
      <c r="Q401" s="235">
        <f>[1]Results!E1417</f>
        <v>2.5465939873474834E-2</v>
      </c>
      <c r="S401" s="173" t="s">
        <v>893</v>
      </c>
      <c r="T401" s="234">
        <f>[1]Results!B2107</f>
        <v>2.2733908151739882E-5</v>
      </c>
      <c r="U401" s="1318">
        <f>[1]Results!C2107</f>
        <v>1.562692002521721E-3</v>
      </c>
      <c r="V401" s="1318">
        <f>[1]Results!D2107</f>
        <v>2.1490431383244919E-2</v>
      </c>
      <c r="W401" s="235">
        <f>[1]Results!E2107</f>
        <v>2.3075857293918381E-2</v>
      </c>
      <c r="Y401" s="173" t="s">
        <v>893</v>
      </c>
      <c r="Z401" s="234">
        <f>[1]Results!B2137</f>
        <v>1.2970933797831975E-5</v>
      </c>
      <c r="AA401" s="1318">
        <f>[1]Results!C2137</f>
        <v>1.5733480662903359E-3</v>
      </c>
      <c r="AB401" s="1318">
        <f>[1]Results!D2137</f>
        <v>2.1490431383244919E-2</v>
      </c>
      <c r="AC401" s="235">
        <f>[1]Results!E2137</f>
        <v>2.3076750383333088E-2</v>
      </c>
    </row>
    <row r="402" spans="1:29">
      <c r="A402" s="173" t="s">
        <v>894</v>
      </c>
      <c r="B402" s="234">
        <f>[1]Results!B68</f>
        <v>1.113548742925645E-4</v>
      </c>
      <c r="C402" s="1318">
        <f>[1]Results!C68</f>
        <v>2.6383957353592184E-3</v>
      </c>
      <c r="D402" s="1318">
        <f>[1]Results!D68</f>
        <v>5.6144976629899854E-3</v>
      </c>
      <c r="E402" s="235">
        <f>[1]Results!E68</f>
        <v>8.364248272641768E-3</v>
      </c>
      <c r="G402" s="173" t="s">
        <v>894</v>
      </c>
      <c r="H402" s="234">
        <f>[1]Results!B1088</f>
        <v>7.4758630935579693E-5</v>
      </c>
      <c r="I402" s="1318">
        <f>[1]Results!C1088</f>
        <v>1.7712996785709425E-3</v>
      </c>
      <c r="J402" s="1318">
        <f>[1]Results!D1088</f>
        <v>5.6144976629899854E-3</v>
      </c>
      <c r="K402" s="235">
        <f>[1]Results!E1088</f>
        <v>7.4605559724965076E-3</v>
      </c>
      <c r="M402" s="173" t="s">
        <v>894</v>
      </c>
      <c r="N402" s="234">
        <f>[1]Results!B1418</f>
        <v>5.6483243766303076E-5</v>
      </c>
      <c r="O402" s="1318">
        <f>[1]Results!C1418</f>
        <v>1.8607361044312141E-3</v>
      </c>
      <c r="P402" s="1318">
        <f>[1]Results!D1418</f>
        <v>4.4852019083970462E-3</v>
      </c>
      <c r="Q402" s="235">
        <f>[1]Results!E1418</f>
        <v>6.4024212565945635E-3</v>
      </c>
      <c r="S402" s="173" t="s">
        <v>894</v>
      </c>
      <c r="T402" s="234">
        <f>[1]Results!B2108</f>
        <v>2.0753033836093879E-5</v>
      </c>
      <c r="U402" s="1318">
        <f>[1]Results!C2108</f>
        <v>1.5093025803906996E-3</v>
      </c>
      <c r="V402" s="1318">
        <f>[1]Results!D2108</f>
        <v>2.8360329012793958E-3</v>
      </c>
      <c r="W402" s="235">
        <f>[1]Results!E2108</f>
        <v>4.3660885155061896E-3</v>
      </c>
      <c r="Y402" s="173" t="s">
        <v>894</v>
      </c>
      <c r="Z402" s="234">
        <f>[1]Results!B2138</f>
        <v>1.1640187941169208E-5</v>
      </c>
      <c r="AA402" s="1318">
        <f>[1]Results!C2138</f>
        <v>1.4830115352044524E-3</v>
      </c>
      <c r="AB402" s="1318">
        <f>[1]Results!D2138</f>
        <v>2.8360329012793958E-3</v>
      </c>
      <c r="AC402" s="235">
        <f>[1]Results!E2138</f>
        <v>4.3306846244250173E-3</v>
      </c>
    </row>
    <row r="403" spans="1:29">
      <c r="A403" s="173" t="s">
        <v>895</v>
      </c>
      <c r="B403" s="234">
        <f>[1]Results!B69</f>
        <v>7.4359173589592714E-4</v>
      </c>
      <c r="C403" s="1318">
        <f>[1]Results!C69</f>
        <v>4.8128485800535961E-3</v>
      </c>
      <c r="D403" s="1318">
        <f>[1]Results!D69</f>
        <v>1.1663203717946998E-3</v>
      </c>
      <c r="E403" s="235">
        <f>[1]Results!E69</f>
        <v>6.7227606877442222E-3</v>
      </c>
      <c r="G403" s="173" t="s">
        <v>895</v>
      </c>
      <c r="H403" s="234">
        <f>[1]Results!B1089</f>
        <v>4.9921389165721126E-4</v>
      </c>
      <c r="I403" s="1318">
        <f>[1]Results!C1089</f>
        <v>3.2311290640025508E-3</v>
      </c>
      <c r="J403" s="1318">
        <f>[1]Results!D1089</f>
        <v>7.8301479644766808E-4</v>
      </c>
      <c r="K403" s="235">
        <f>[1]Results!E1089</f>
        <v>4.5133577521074301E-3</v>
      </c>
      <c r="M403" s="173" t="s">
        <v>895</v>
      </c>
      <c r="N403" s="234">
        <f>[1]Results!B1419</f>
        <v>4.4490736603510904E-4</v>
      </c>
      <c r="O403" s="1318">
        <f>[1]Results!C1419</f>
        <v>2.3193110591155459E-3</v>
      </c>
      <c r="P403" s="1318">
        <f>[1]Results!D1419</f>
        <v>4.8000143653726502E-4</v>
      </c>
      <c r="Q403" s="235">
        <f>[1]Results!E1419</f>
        <v>3.2442198616879198E-3</v>
      </c>
      <c r="S403" s="173" t="s">
        <v>895</v>
      </c>
      <c r="T403" s="234">
        <f>[1]Results!B2109</f>
        <v>2.7050363676097333E-4</v>
      </c>
      <c r="U403" s="1318">
        <f>[1]Results!C2109</f>
        <v>6.5945391706959404E-4</v>
      </c>
      <c r="V403" s="1318">
        <f>[1]Results!D2109</f>
        <v>0</v>
      </c>
      <c r="W403" s="235">
        <f>[1]Results!E2109</f>
        <v>9.2995755383056737E-4</v>
      </c>
      <c r="Y403" s="173" t="s">
        <v>895</v>
      </c>
      <c r="Z403" s="234">
        <f>[1]Results!B2139</f>
        <v>1.8843386205933253E-4</v>
      </c>
      <c r="AA403" s="1318">
        <f>[1]Results!C2139</f>
        <v>4.4792597488041604E-3</v>
      </c>
      <c r="AB403" s="1318">
        <f>[1]Results!D2139</f>
        <v>0</v>
      </c>
      <c r="AC403" s="235">
        <f>[1]Results!E2139</f>
        <v>4.6676936108634931E-3</v>
      </c>
    </row>
    <row r="404" spans="1:29">
      <c r="A404" s="173" t="s">
        <v>896</v>
      </c>
      <c r="B404" s="234">
        <f>[1]Results!B70</f>
        <v>1.1928418312179161E-5</v>
      </c>
      <c r="C404" s="1318">
        <f>[1]Results!C70</f>
        <v>3.0164002751446753E-4</v>
      </c>
      <c r="D404" s="1318">
        <f>[1]Results!D70</f>
        <v>2.3687151475181071E-3</v>
      </c>
      <c r="E404" s="235">
        <f>[1]Results!E70</f>
        <v>2.6822835933447537E-3</v>
      </c>
      <c r="G404" s="173" t="s">
        <v>896</v>
      </c>
      <c r="H404" s="234">
        <f>[1]Results!B1090</f>
        <v>8.0082010590977565E-6</v>
      </c>
      <c r="I404" s="1318">
        <f>[1]Results!C1090</f>
        <v>2.025074846127138E-4</v>
      </c>
      <c r="J404" s="1318">
        <f>[1]Results!D1090</f>
        <v>2.3687151475181071E-3</v>
      </c>
      <c r="K404" s="235">
        <f>[1]Results!E1090</f>
        <v>2.5792308331899186E-3</v>
      </c>
      <c r="M404" s="173" t="s">
        <v>896</v>
      </c>
      <c r="N404" s="234">
        <f>[1]Results!B1420</f>
        <v>6.6853446948420709E-6</v>
      </c>
      <c r="O404" s="1318">
        <f>[1]Results!C1420</f>
        <v>1.4661262071511932E-4</v>
      </c>
      <c r="P404" s="1318">
        <f>[1]Results!D1420</f>
        <v>1.5707687080497329E-3</v>
      </c>
      <c r="Q404" s="235">
        <f>[1]Results!E1420</f>
        <v>1.7240666734596943E-3</v>
      </c>
      <c r="S404" s="173" t="s">
        <v>896</v>
      </c>
      <c r="T404" s="234">
        <f>[1]Results!B2110</f>
        <v>3.4595393832548475E-6</v>
      </c>
      <c r="U404" s="1318">
        <f>[1]Results!C2110</f>
        <v>4.3769774831330289E-5</v>
      </c>
      <c r="V404" s="1318">
        <f>[1]Results!D2110</f>
        <v>4.0548624598516685E-4</v>
      </c>
      <c r="W404" s="235">
        <f>[1]Results!E2110</f>
        <v>4.52715560199752E-4</v>
      </c>
      <c r="Y404" s="173" t="s">
        <v>896</v>
      </c>
      <c r="Z404" s="234">
        <f>[1]Results!B2140</f>
        <v>1.9351847769928886E-6</v>
      </c>
      <c r="AA404" s="1318">
        <f>[1]Results!C2140</f>
        <v>1.2225948801368726E-4</v>
      </c>
      <c r="AB404" s="1318">
        <f>[1]Results!D2140</f>
        <v>4.0548624598516685E-4</v>
      </c>
      <c r="AC404" s="235">
        <f>[1]Results!E2140</f>
        <v>5.29680918775847E-4</v>
      </c>
    </row>
    <row r="405" spans="1:29">
      <c r="A405" s="174" t="s">
        <v>897</v>
      </c>
      <c r="B405" s="249">
        <f>[1]Results!B71</f>
        <v>3.5701550777344389E-5</v>
      </c>
      <c r="C405" s="231">
        <f>[1]Results!C71</f>
        <v>3.9052906335436226E-4</v>
      </c>
      <c r="D405" s="231">
        <f>[1]Results!D71</f>
        <v>1.2018948520579769E-3</v>
      </c>
      <c r="E405" s="237">
        <f>[1]Results!E71</f>
        <v>1.6281254661896834E-3</v>
      </c>
      <c r="G405" s="174" t="s">
        <v>897</v>
      </c>
      <c r="H405" s="249">
        <f>[1]Results!B1091</f>
        <v>2.3968407987054454E-5</v>
      </c>
      <c r="I405" s="231">
        <f>[1]Results!C1091</f>
        <v>2.6218356674913746E-4</v>
      </c>
      <c r="J405" s="231">
        <f>[1]Results!D1091</f>
        <v>1.2018948520579769E-3</v>
      </c>
      <c r="K405" s="237">
        <f>[1]Results!E1091</f>
        <v>1.4880468267941687E-3</v>
      </c>
      <c r="M405" s="174" t="s">
        <v>897</v>
      </c>
      <c r="N405" s="249">
        <f>[1]Results!B1421</f>
        <v>1.8213680037680017E-5</v>
      </c>
      <c r="O405" s="231">
        <f>[1]Results!C1421</f>
        <v>6.8765443404668336E-4</v>
      </c>
      <c r="P405" s="231">
        <f>[1]Results!D1421</f>
        <v>9.1943785072372307E-4</v>
      </c>
      <c r="Q405" s="237">
        <f>[1]Results!E1421</f>
        <v>1.6253059648080864E-3</v>
      </c>
      <c r="S405" s="174" t="s">
        <v>897</v>
      </c>
      <c r="T405" s="249">
        <f>[1]Results!B2111</f>
        <v>6.8572872934306281E-6</v>
      </c>
      <c r="U405" s="231">
        <f>[1]Results!C2111</f>
        <v>1.0263257546656759E-3</v>
      </c>
      <c r="V405" s="231">
        <f>[1]Results!D2111</f>
        <v>5.0695128062079435E-4</v>
      </c>
      <c r="W405" s="237">
        <f>[1]Results!E2111</f>
        <v>1.540134322579901E-3</v>
      </c>
      <c r="Y405" s="174" t="s">
        <v>897</v>
      </c>
      <c r="Z405" s="249">
        <f>[1]Results!B2141</f>
        <v>3.6228161668826454E-6</v>
      </c>
      <c r="AA405" s="231">
        <f>[1]Results!C2141</f>
        <v>3.9528307446257555E-4</v>
      </c>
      <c r="AB405" s="231">
        <f>[1]Results!D2141</f>
        <v>5.0695128062079435E-4</v>
      </c>
      <c r="AC405" s="237">
        <f>[1]Results!E2141</f>
        <v>9.0585717125025262E-4</v>
      </c>
    </row>
    <row r="407" spans="1:29" ht="15.75">
      <c r="A407" s="81" t="s">
        <v>2107</v>
      </c>
    </row>
    <row r="408" spans="1:29" ht="15">
      <c r="A408" s="120" t="str">
        <f>'[1]T&amp;D'!A47</f>
        <v>4) Fuel Economy and Resultant Energy Consumption of Heavy-Duty Trucks</v>
      </c>
      <c r="B408" s="82"/>
      <c r="C408" s="82"/>
      <c r="D408" s="82"/>
      <c r="E408" s="439"/>
    </row>
    <row r="409" spans="1:29">
      <c r="A409" s="640"/>
      <c r="B409" s="50"/>
      <c r="C409" s="2995" t="str">
        <f>'[1]T&amp;D'!E48</f>
        <v>Energy Consumption: Btu/mile</v>
      </c>
      <c r="D409" s="2996"/>
      <c r="E409" s="2997"/>
    </row>
    <row r="410" spans="1:29" ht="25.5">
      <c r="A410" s="539"/>
      <c r="B410" s="85"/>
      <c r="C410" s="2505" t="str">
        <f>'[1]T&amp;D'!E49</f>
        <v>Heavy Heavy-Duty Truck</v>
      </c>
      <c r="D410" s="1654" t="str">
        <f>'[1]T&amp;D'!F49</f>
        <v>Medium Heavy-Duty Truck</v>
      </c>
      <c r="E410" s="1654" t="s">
        <v>2108</v>
      </c>
    </row>
    <row r="411" spans="1:29">
      <c r="A411" s="95" t="str">
        <f>'[1]T&amp;D'!A50</f>
        <v>Trip from Product Origin to Destination</v>
      </c>
      <c r="B411" s="51"/>
      <c r="C411" s="16">
        <f>'[1]T&amp;D'!E50</f>
        <v>17919.85304059858</v>
      </c>
      <c r="D411" s="17">
        <f>'[1]T&amp;D'!F50</f>
        <v>19855.30899836577</v>
      </c>
      <c r="E411" s="17">
        <f>[1]Fuel_Specs!$B$20/'[1]T&amp;D'!$D$50</f>
        <v>29766.834118688734</v>
      </c>
    </row>
    <row r="412" spans="1:29">
      <c r="A412" s="539" t="str">
        <f>'[1]T&amp;D'!A51</f>
        <v>Trip from Product Destination Back to Origin</v>
      </c>
      <c r="B412" s="85"/>
      <c r="C412" s="23">
        <f>'[1]T&amp;D'!E51</f>
        <v>14222.105587776652</v>
      </c>
      <c r="D412" s="24">
        <f>'[1]T&amp;D'!F51</f>
        <v>18556.36354987455</v>
      </c>
      <c r="E412" s="85"/>
    </row>
    <row r="413" spans="1:29">
      <c r="A413" s="439"/>
      <c r="B413" s="82"/>
      <c r="C413" s="82"/>
      <c r="D413" s="82"/>
      <c r="E413" s="439"/>
    </row>
    <row r="414" spans="1:29" ht="15">
      <c r="A414" s="120" t="str">
        <f>'[1]T&amp;D'!A53</f>
        <v>5) Calculation of Energy Consumption for Ocean Tanker and Barge</v>
      </c>
      <c r="B414" s="439"/>
      <c r="C414" s="439"/>
      <c r="D414" s="439"/>
      <c r="E414" s="439"/>
    </row>
    <row r="415" spans="1:29">
      <c r="A415" s="1351"/>
      <c r="B415" s="2506" t="str">
        <f>'[1]T&amp;D'!B54</f>
        <v>Ocean Tanker</v>
      </c>
      <c r="C415" s="439"/>
      <c r="D415" s="439"/>
    </row>
    <row r="416" spans="1:29">
      <c r="A416" s="100" t="str">
        <f>'[1]T&amp;D'!A55</f>
        <v xml:space="preserve">Average Speed (Miles/Hour) </v>
      </c>
      <c r="B416" s="745">
        <f>'[1]T&amp;D'!B55</f>
        <v>20</v>
      </c>
      <c r="C416" s="439"/>
      <c r="D416" s="439"/>
    </row>
    <row r="417" spans="1:5">
      <c r="A417" s="100" t="str">
        <f>'[1]T&amp;D'!A56</f>
        <v>Trip from Product Origin to Destination</v>
      </c>
      <c r="B417" s="100"/>
      <c r="C417" s="439"/>
      <c r="D417" s="439"/>
    </row>
    <row r="418" spans="1:5">
      <c r="A418" s="2507" t="str">
        <f>'[1]T&amp;D'!A57</f>
        <v xml:space="preserve">    Load Factor</v>
      </c>
      <c r="B418" s="91">
        <f>'[1]T&amp;D'!B57</f>
        <v>0.83</v>
      </c>
      <c r="C418" s="439"/>
      <c r="D418" s="82"/>
    </row>
    <row r="419" spans="1:5">
      <c r="A419" s="2507" t="str">
        <f>'[1]T&amp;D'!A58</f>
        <v xml:space="preserve">    Energy Consumption: Btu/hphr</v>
      </c>
      <c r="B419" s="15">
        <f>'[1]T&amp;D'!B58</f>
        <v>5439.4635606414267</v>
      </c>
      <c r="C419" s="439"/>
      <c r="D419" s="439"/>
    </row>
    <row r="420" spans="1:5">
      <c r="A420" s="100" t="str">
        <f>'[1]T&amp;D'!A59</f>
        <v>Trip from Product Destination Back to Origin</v>
      </c>
      <c r="B420" s="100"/>
      <c r="C420" s="439"/>
      <c r="D420" s="439"/>
    </row>
    <row r="421" spans="1:5">
      <c r="A421" s="2507" t="str">
        <f>'[1]T&amp;D'!A60</f>
        <v xml:space="preserve">    Load Factor</v>
      </c>
      <c r="B421" s="91">
        <f>'[1]T&amp;D'!B60</f>
        <v>0.7</v>
      </c>
      <c r="C421" s="84"/>
      <c r="D421" s="82"/>
    </row>
    <row r="422" spans="1:5">
      <c r="A422" s="2508" t="str">
        <f>'[1]T&amp;D'!A61</f>
        <v xml:space="preserve">    Energy Consumption: Btu/hphr</v>
      </c>
      <c r="B422" s="796">
        <f>'[1]T&amp;D'!B61</f>
        <v>5439.4635606414267</v>
      </c>
      <c r="C422" s="439"/>
      <c r="D422" s="439"/>
    </row>
    <row r="423" spans="1:5">
      <c r="A423" s="439"/>
      <c r="B423" s="439"/>
      <c r="C423" s="439"/>
      <c r="D423" s="439"/>
      <c r="E423" s="439"/>
    </row>
    <row r="424" spans="1:5" ht="15">
      <c r="A424" s="120" t="str">
        <f>'[1]T&amp;D'!A63</f>
        <v>6) Energy Intensity of Rail Transportation: Btu/ton-mile</v>
      </c>
      <c r="B424" s="439"/>
      <c r="C424" s="439"/>
      <c r="D424" s="439"/>
      <c r="E424" s="439"/>
    </row>
    <row r="425" spans="1:5">
      <c r="A425" s="1653" t="str">
        <f>'[1]T&amp;D'!A64</f>
        <v>Trip from Product Orighin to Destination</v>
      </c>
      <c r="B425" s="1178"/>
      <c r="C425" s="1681">
        <f>'[1]T&amp;D'!B64</f>
        <v>273</v>
      </c>
      <c r="D425" s="439"/>
      <c r="E425" s="439"/>
    </row>
    <row r="426" spans="1:5" ht="15.75">
      <c r="A426" s="81"/>
    </row>
    <row r="427" spans="1:5" ht="15">
      <c r="A427" s="120" t="str">
        <f>'[1]T&amp;D'!A243</f>
        <v xml:space="preserve">A1) Energy Consumption, Water Consumption, and Emissions from Transportation Related Fuel Production </v>
      </c>
      <c r="B427" s="439"/>
      <c r="C427" s="439"/>
      <c r="D427" s="439"/>
    </row>
    <row r="428" spans="1:5">
      <c r="A428" s="640"/>
      <c r="B428" s="1840" t="s">
        <v>2018</v>
      </c>
      <c r="C428" s="1836" t="s">
        <v>2046</v>
      </c>
      <c r="D428" s="1832" t="s">
        <v>2017</v>
      </c>
    </row>
    <row r="429" spans="1:5">
      <c r="A429" s="640" t="str">
        <f>'[1]T&amp;D'!A245</f>
        <v>Energy Consumption (Btu per Btu, Gallon per Btu, or Grams Per mmBtu)</v>
      </c>
      <c r="B429" s="640"/>
      <c r="C429" s="49"/>
      <c r="D429" s="52"/>
    </row>
    <row r="430" spans="1:5">
      <c r="A430" s="95" t="str">
        <f>'[1]T&amp;D'!A246</f>
        <v xml:space="preserve">           Total energy </v>
      </c>
      <c r="B430" s="498">
        <f>'[1]T&amp;D'!C246</f>
        <v>0.13104311736395599</v>
      </c>
      <c r="C430" s="1278">
        <f>'[1]T&amp;D'!B246</f>
        <v>0.18263953200827743</v>
      </c>
      <c r="D430" s="497">
        <f>'[1]T&amp;D'!D246</f>
        <v>0.10425616637857581</v>
      </c>
    </row>
    <row r="431" spans="1:5">
      <c r="A431" s="95" t="str">
        <f>'[1]T&amp;D'!A247</f>
        <v xml:space="preserve">           Fossil energy</v>
      </c>
      <c r="B431" s="498">
        <f>'[1]T&amp;D'!C247</f>
        <v>0.12621430287874513</v>
      </c>
      <c r="C431" s="1278">
        <f>'[1]T&amp;D'!B247</f>
        <v>0.17694613422334241</v>
      </c>
      <c r="D431" s="497">
        <f>'[1]T&amp;D'!D247</f>
        <v>0.10350959065074382</v>
      </c>
    </row>
    <row r="432" spans="1:5">
      <c r="A432" s="95" t="str">
        <f>'[1]T&amp;D'!A248</f>
        <v xml:space="preserve">           Coal</v>
      </c>
      <c r="B432" s="498">
        <f>'[1]T&amp;D'!C248</f>
        <v>6.0867733232079857E-3</v>
      </c>
      <c r="C432" s="1278">
        <f>'[1]T&amp;D'!B248</f>
        <v>7.2281790045152505E-3</v>
      </c>
      <c r="D432" s="497">
        <f>'[1]T&amp;D'!D248</f>
        <v>9.8578131152850398E-4</v>
      </c>
    </row>
    <row r="433" spans="1:4">
      <c r="A433" s="95" t="str">
        <f>'[1]T&amp;D'!A249</f>
        <v xml:space="preserve">           Natural gas</v>
      </c>
      <c r="B433" s="498">
        <f>'[1]T&amp;D'!C249</f>
        <v>7.9002906476613677E-2</v>
      </c>
      <c r="C433" s="1278">
        <f>'[1]T&amp;D'!B249</f>
        <v>0.12326668370892607</v>
      </c>
      <c r="D433" s="497">
        <f>'[1]T&amp;D'!D249</f>
        <v>9.8509556049502123E-2</v>
      </c>
    </row>
    <row r="434" spans="1:4">
      <c r="A434" s="95" t="str">
        <f>'[1]T&amp;D'!A250</f>
        <v xml:space="preserve">           Petroleum</v>
      </c>
      <c r="B434" s="498">
        <f>'[1]T&amp;D'!C250</f>
        <v>4.1124623078923471E-2</v>
      </c>
      <c r="C434" s="1278">
        <f>'[1]T&amp;D'!B250</f>
        <v>4.6451271509901082E-2</v>
      </c>
      <c r="D434" s="497">
        <f>'[1]T&amp;D'!D250</f>
        <v>4.0142532897131933E-3</v>
      </c>
    </row>
    <row r="435" spans="1:4">
      <c r="A435" s="95" t="s">
        <v>819</v>
      </c>
      <c r="B435" s="498">
        <f>'[1]T&amp;D'!C251</f>
        <v>2.021524865071293E-5</v>
      </c>
      <c r="C435" s="1278">
        <f>'[1]T&amp;D'!B251</f>
        <v>2.1808737659679235E-5</v>
      </c>
      <c r="D435" s="497">
        <f>'[1]T&amp;D'!D251</f>
        <v>3.0820101583890919E-6</v>
      </c>
    </row>
    <row r="436" spans="1:4">
      <c r="A436" s="95" t="str">
        <f>'[1]T&amp;D'!A252</f>
        <v xml:space="preserve">              VOC</v>
      </c>
      <c r="B436" s="498">
        <f>'[1]T&amp;D'!C252</f>
        <v>5.9625006377151593</v>
      </c>
      <c r="C436" s="1278">
        <f>'[1]T&amp;D'!B252</f>
        <v>7.3631846404509016</v>
      </c>
      <c r="D436" s="497">
        <f>'[1]T&amp;D'!D252</f>
        <v>10.286863782994383</v>
      </c>
    </row>
    <row r="437" spans="1:4">
      <c r="A437" s="95" t="str">
        <f>'[1]T&amp;D'!A253</f>
        <v xml:space="preserve">              CO</v>
      </c>
      <c r="B437" s="498">
        <f>'[1]T&amp;D'!C253</f>
        <v>10.221473685359507</v>
      </c>
      <c r="C437" s="1278">
        <f>'[1]T&amp;D'!B253</f>
        <v>11.589173782221145</v>
      </c>
      <c r="D437" s="497">
        <f>'[1]T&amp;D'!D253</f>
        <v>31.245883768795618</v>
      </c>
    </row>
    <row r="438" spans="1:4">
      <c r="A438" s="95" t="str">
        <f>'[1]T&amp;D'!A254</f>
        <v xml:space="preserve">              NOx</v>
      </c>
      <c r="B438" s="498">
        <f>'[1]T&amp;D'!C254</f>
        <v>18.835805357030516</v>
      </c>
      <c r="C438" s="1278">
        <f>'[1]T&amp;D'!B254</f>
        <v>17.699849820021996</v>
      </c>
      <c r="D438" s="497">
        <f>'[1]T&amp;D'!D254</f>
        <v>36.269984486244958</v>
      </c>
    </row>
    <row r="439" spans="1:4">
      <c r="A439" s="95" t="str">
        <f>'[1]T&amp;D'!A255</f>
        <v xml:space="preserve">              PM10</v>
      </c>
      <c r="B439" s="498">
        <f>'[1]T&amp;D'!C255</f>
        <v>1.3930435477806482</v>
      </c>
      <c r="C439" s="1278">
        <f>'[1]T&amp;D'!B255</f>
        <v>1.2930541867116996</v>
      </c>
      <c r="D439" s="497">
        <f>'[1]T&amp;D'!D255</f>
        <v>0.42004758610254456</v>
      </c>
    </row>
    <row r="440" spans="1:4">
      <c r="A440" s="95" t="str">
        <f>'[1]T&amp;D'!A256</f>
        <v xml:space="preserve">              PM2.5</v>
      </c>
      <c r="B440" s="498">
        <f>'[1]T&amp;D'!C256</f>
        <v>1.2195970167732291</v>
      </c>
      <c r="C440" s="1278">
        <f>'[1]T&amp;D'!B256</f>
        <v>1.1032452324118798</v>
      </c>
      <c r="D440" s="497">
        <f>'[1]T&amp;D'!D256</f>
        <v>0.37869799481321043</v>
      </c>
    </row>
    <row r="441" spans="1:4">
      <c r="A441" s="95" t="str">
        <f>'[1]T&amp;D'!A257</f>
        <v xml:space="preserve">              SOx</v>
      </c>
      <c r="B441" s="498">
        <f>'[1]T&amp;D'!C257</f>
        <v>6.1634054555762381</v>
      </c>
      <c r="C441" s="1278">
        <f>'[1]T&amp;D'!B257</f>
        <v>4.6026786748631485</v>
      </c>
      <c r="D441" s="497">
        <f>'[1]T&amp;D'!D257</f>
        <v>11.10038516731889</v>
      </c>
    </row>
    <row r="442" spans="1:4">
      <c r="A442" s="1321" t="s">
        <v>2109</v>
      </c>
      <c r="B442" s="498">
        <f>'[1]T&amp;D'!C258</f>
        <v>0.18072982810494581</v>
      </c>
      <c r="C442" s="1278">
        <f>'[1]T&amp;D'!B258</f>
        <v>0.17074100438611831</v>
      </c>
      <c r="D442" s="497">
        <f>'[1]T&amp;D'!D258</f>
        <v>9.922907856156217E-2</v>
      </c>
    </row>
    <row r="443" spans="1:4">
      <c r="A443" s="1321" t="s">
        <v>2110</v>
      </c>
      <c r="B443" s="498">
        <f>'[1]T&amp;D'!C259</f>
        <v>0.35996549339993605</v>
      </c>
      <c r="C443" s="1278">
        <f>'[1]T&amp;D'!B259</f>
        <v>0.29998878091781167</v>
      </c>
      <c r="D443" s="497">
        <f>'[1]T&amp;D'!D259</f>
        <v>0.14327969770686483</v>
      </c>
    </row>
    <row r="444" spans="1:4">
      <c r="A444" s="95" t="str">
        <f>'[1]T&amp;D'!A260</f>
        <v xml:space="preserve">              CH4</v>
      </c>
      <c r="B444" s="498">
        <f>'[1]T&amp;D'!C260</f>
        <v>100.85681558650283</v>
      </c>
      <c r="C444" s="1278">
        <f>'[1]T&amp;D'!B260</f>
        <v>109.54427786255357</v>
      </c>
      <c r="D444" s="497">
        <f>'[1]T&amp;D'!D260</f>
        <v>216.36395413450404</v>
      </c>
    </row>
    <row r="445" spans="1:4">
      <c r="A445" s="95" t="str">
        <f>'[1]T&amp;D'!A261</f>
        <v xml:space="preserve">              N2O</v>
      </c>
      <c r="B445" s="498">
        <f>'[1]T&amp;D'!C261</f>
        <v>0.16397841602162772</v>
      </c>
      <c r="C445" s="1278">
        <f>'[1]T&amp;D'!B261</f>
        <v>0.22253081566169136</v>
      </c>
      <c r="D445" s="497">
        <f>'[1]T&amp;D'!D261</f>
        <v>1.4197316238953248</v>
      </c>
    </row>
    <row r="446" spans="1:4">
      <c r="A446" s="539" t="str">
        <f>'[1]T&amp;D'!A262</f>
        <v xml:space="preserve">              CO2</v>
      </c>
      <c r="B446" s="1455">
        <f>'[1]T&amp;D'!C262</f>
        <v>9820.6229917326982</v>
      </c>
      <c r="C446" s="537">
        <f>'[1]T&amp;D'!B262</f>
        <v>12919.773596278803</v>
      </c>
      <c r="D446" s="542">
        <f>'[1]T&amp;D'!D262</f>
        <v>6132.7053209759642</v>
      </c>
    </row>
    <row r="447" spans="1:4">
      <c r="A447" s="95" t="str">
        <f>'[1]T&amp;D'!A263</f>
        <v>Urban Area Emissions</v>
      </c>
      <c r="B447" s="95"/>
      <c r="C447" s="439"/>
      <c r="D447" s="94"/>
    </row>
    <row r="448" spans="1:4">
      <c r="A448" s="95" t="str">
        <f>'[1]T&amp;D'!A264</f>
        <v xml:space="preserve">              VOC</v>
      </c>
      <c r="B448" s="498">
        <f>'[1]T&amp;D'!C264</f>
        <v>1.9960371256308234</v>
      </c>
      <c r="C448" s="1278">
        <f>'[1]T&amp;D'!B264</f>
        <v>2.7636711168911523</v>
      </c>
      <c r="D448" s="497">
        <f>'[1]T&amp;D'!D264</f>
        <v>0.59812330026145544</v>
      </c>
    </row>
    <row r="449" spans="1:8">
      <c r="A449" s="95" t="str">
        <f>'[1]T&amp;D'!A265</f>
        <v xml:space="preserve">              CO</v>
      </c>
      <c r="B449" s="498">
        <f>'[1]T&amp;D'!C265</f>
        <v>1.2893924896911511</v>
      </c>
      <c r="C449" s="1278">
        <f>'[1]T&amp;D'!B265</f>
        <v>1.8011993472862826</v>
      </c>
      <c r="D449" s="497">
        <f>'[1]T&amp;D'!D265</f>
        <v>2.8737184061530598</v>
      </c>
    </row>
    <row r="450" spans="1:8">
      <c r="A450" s="95" t="str">
        <f>'[1]T&amp;D'!A266</f>
        <v xml:space="preserve">              NOx</v>
      </c>
      <c r="B450" s="498">
        <f>'[1]T&amp;D'!C266</f>
        <v>2.1615902725064364</v>
      </c>
      <c r="C450" s="1278">
        <f>'[1]T&amp;D'!B266</f>
        <v>2.7964228490958249</v>
      </c>
      <c r="D450" s="497">
        <f>'[1]T&amp;D'!D266</f>
        <v>3.4062695270437726</v>
      </c>
    </row>
    <row r="451" spans="1:8">
      <c r="A451" s="95" t="str">
        <f>'[1]T&amp;D'!A267</f>
        <v xml:space="preserve">              PM10</v>
      </c>
      <c r="B451" s="498">
        <f>'[1]T&amp;D'!C267</f>
        <v>0.40470949087792424</v>
      </c>
      <c r="C451" s="1278">
        <f>'[1]T&amp;D'!B267</f>
        <v>0.49753534056296134</v>
      </c>
      <c r="D451" s="497">
        <f>'[1]T&amp;D'!D267</f>
        <v>1.4612388752382365E-2</v>
      </c>
    </row>
    <row r="452" spans="1:8">
      <c r="A452" s="95" t="str">
        <f>'[1]T&amp;D'!A268</f>
        <v xml:space="preserve">              PM2.5</v>
      </c>
      <c r="B452" s="498">
        <f>'[1]T&amp;D'!C268</f>
        <v>0.35673851940725382</v>
      </c>
      <c r="C452" s="1278">
        <f>'[1]T&amp;D'!B268</f>
        <v>0.42936201126315854</v>
      </c>
      <c r="D452" s="497">
        <f>'[1]T&amp;D'!D268</f>
        <v>1.3496899530451377E-2</v>
      </c>
    </row>
    <row r="453" spans="1:8">
      <c r="A453" s="95" t="str">
        <f>'[1]T&amp;D'!A269</f>
        <v xml:space="preserve">              SOx</v>
      </c>
      <c r="B453" s="498">
        <f>'[1]T&amp;D'!C269</f>
        <v>0.91234476395703412</v>
      </c>
      <c r="C453" s="1278">
        <f>'[1]T&amp;D'!B269</f>
        <v>0.97209082082041087</v>
      </c>
      <c r="D453" s="497">
        <f>'[1]T&amp;D'!D269</f>
        <v>0.14705101704010839</v>
      </c>
    </row>
    <row r="454" spans="1:8">
      <c r="A454" s="95" t="s">
        <v>2109</v>
      </c>
      <c r="B454" s="498">
        <f>'[1]T&amp;D'!C270</f>
        <v>3.8285929990551845E-2</v>
      </c>
      <c r="C454" s="1278">
        <f>'[1]T&amp;D'!B270</f>
        <v>5.4632126564427862E-2</v>
      </c>
      <c r="D454" s="497">
        <f>'[1]T&amp;D'!D270</f>
        <v>2.2540595793461085E-3</v>
      </c>
    </row>
    <row r="455" spans="1:8">
      <c r="A455" s="539" t="s">
        <v>2110</v>
      </c>
      <c r="B455" s="501">
        <f>'[1]T&amp;D'!C271</f>
        <v>5.7987188438463587E-2</v>
      </c>
      <c r="C455" s="499">
        <f>'[1]T&amp;D'!B271</f>
        <v>7.7328529370130739E-2</v>
      </c>
      <c r="D455" s="500">
        <f>'[1]T&amp;D'!D271</f>
        <v>4.6353752836528189E-3</v>
      </c>
    </row>
    <row r="457" spans="1:8" ht="15.75">
      <c r="A457" s="81" t="s">
        <v>2111</v>
      </c>
      <c r="F457" s="81" t="s">
        <v>2112</v>
      </c>
    </row>
    <row r="458" spans="1:8" ht="38.25">
      <c r="A458" s="1299"/>
      <c r="B458" s="1452" t="s">
        <v>2113</v>
      </c>
      <c r="C458" s="1453"/>
      <c r="D458" s="2490" t="s">
        <v>2114</v>
      </c>
      <c r="F458" s="1299"/>
      <c r="G458" s="2998" t="s">
        <v>2115</v>
      </c>
      <c r="H458" s="2999"/>
    </row>
    <row r="459" spans="1:8">
      <c r="A459" s="59"/>
      <c r="B459" s="2477" t="s">
        <v>2116</v>
      </c>
      <c r="C459" s="2478" t="s">
        <v>1634</v>
      </c>
      <c r="D459" s="100"/>
      <c r="F459" s="59"/>
      <c r="G459" s="2480" t="s">
        <v>2077</v>
      </c>
      <c r="H459" s="2504" t="s">
        <v>1971</v>
      </c>
    </row>
    <row r="460" spans="1:8">
      <c r="A460" s="59" t="s">
        <v>2068</v>
      </c>
      <c r="B460" s="240"/>
      <c r="C460" s="241">
        <f>[1]EtOH!CC546</f>
        <v>1.0005044983835341</v>
      </c>
      <c r="D460" s="77"/>
      <c r="F460" s="59" t="s">
        <v>2068</v>
      </c>
      <c r="G460" s="131"/>
      <c r="H460" s="1304">
        <f>[1]JetFuel_WTP!$C535</f>
        <v>1.0089449040965557</v>
      </c>
    </row>
    <row r="461" spans="1:8">
      <c r="A461" s="59" t="s">
        <v>876</v>
      </c>
      <c r="B461" s="16">
        <f>[1]EtOH!CB547</f>
        <v>121204.33283849375</v>
      </c>
      <c r="C461" s="38">
        <f>[1]EtOH!CC547</f>
        <v>1586815.6953535194</v>
      </c>
      <c r="D461" s="15">
        <f>[1]EtOH!BU511/[1]Fuel_Specs!$B$86*1000000</f>
        <v>32025.097767125288</v>
      </c>
      <c r="F461" s="59" t="s">
        <v>876</v>
      </c>
      <c r="G461" s="631">
        <f>[1]JetFuel_WTP!$B536</f>
        <v>64246.537428366886</v>
      </c>
      <c r="H461" s="245">
        <f>[1]JetFuel_WTP!$C536</f>
        <v>58627.402307372555</v>
      </c>
    </row>
    <row r="462" spans="1:8">
      <c r="A462" s="59" t="s">
        <v>877</v>
      </c>
      <c r="B462" s="16">
        <f>[1]EtOH!CB548</f>
        <v>110487.29335478559</v>
      </c>
      <c r="C462" s="38">
        <f>[1]EtOH!CC548</f>
        <v>65275.214825194031</v>
      </c>
      <c r="D462" s="15">
        <f>[1]EtOH!BU512/[1]Fuel_Specs!$B$86*1000000</f>
        <v>31682.117035677922</v>
      </c>
      <c r="F462" s="59" t="s">
        <v>877</v>
      </c>
      <c r="G462" s="631">
        <f>[1]JetFuel_WTP!$B537</f>
        <v>60353.576899843283</v>
      </c>
      <c r="H462" s="245">
        <f>[1]JetFuel_WTP!$C537</f>
        <v>57646.240245464127</v>
      </c>
    </row>
    <row r="463" spans="1:8">
      <c r="A463" s="59" t="s">
        <v>442</v>
      </c>
      <c r="B463" s="16">
        <f>[1]EtOH!CB549</f>
        <v>1125.0310703897558</v>
      </c>
      <c r="C463" s="38">
        <f>[1]EtOH!CC549</f>
        <v>2116.8663860224638</v>
      </c>
      <c r="D463" s="15">
        <f>[1]EtOH!BU513/[1]Fuel_Specs!$B$86*1000000</f>
        <v>446.96795469537284</v>
      </c>
      <c r="F463" s="59" t="s">
        <v>442</v>
      </c>
      <c r="G463" s="631">
        <f>[1]JetFuel_WTP!$B538</f>
        <v>4858.2196308954171</v>
      </c>
      <c r="H463" s="245">
        <f>[1]JetFuel_WTP!$C538</f>
        <v>1293.3408226767481</v>
      </c>
    </row>
    <row r="464" spans="1:8">
      <c r="A464" s="59" t="s">
        <v>878</v>
      </c>
      <c r="B464" s="16">
        <f>[1]EtOH!CB550</f>
        <v>58087.236815470664</v>
      </c>
      <c r="C464" s="38">
        <f>[1]EtOH!CC550</f>
        <v>4649.0148267699606</v>
      </c>
      <c r="D464" s="15">
        <f>[1]EtOH!BU514/[1]Fuel_Specs!$B$86*1000000</f>
        <v>8674.3321020994881</v>
      </c>
      <c r="F464" s="59" t="s">
        <v>878</v>
      </c>
      <c r="G464" s="631">
        <f>[1]JetFuel_WTP!$B539</f>
        <v>44504.011944721788</v>
      </c>
      <c r="H464" s="245">
        <f>[1]JetFuel_WTP!$C539</f>
        <v>34443.815199887671</v>
      </c>
    </row>
    <row r="465" spans="1:8">
      <c r="A465" s="59" t="s">
        <v>440</v>
      </c>
      <c r="B465" s="16">
        <f>[1]EtOH!CB551</f>
        <v>51275.025468925189</v>
      </c>
      <c r="C465" s="38">
        <f>[1]EtOH!CC551</f>
        <v>58509.333612401606</v>
      </c>
      <c r="D465" s="15">
        <f>[1]EtOH!BU515/[1]Fuel_Specs!$B$86*1000000</f>
        <v>22560.816978883064</v>
      </c>
      <c r="F465" s="59" t="s">
        <v>440</v>
      </c>
      <c r="G465" s="631">
        <f>[1]JetFuel_WTP!$B540</f>
        <v>10991.345324226078</v>
      </c>
      <c r="H465" s="245">
        <f>[1]JetFuel_WTP!$C540</f>
        <v>21909.084222899706</v>
      </c>
    </row>
    <row r="466" spans="1:8">
      <c r="A466" s="95" t="s">
        <v>819</v>
      </c>
      <c r="B466" s="16">
        <f>[1]EtOH!CB552</f>
        <v>9.3432281548124614</v>
      </c>
      <c r="C466" s="38">
        <f>[1]EtOH!CC552</f>
        <v>1.689521610168401</v>
      </c>
      <c r="D466" s="15">
        <f>[1]EtOH!BU516/[1]Fuel_Specs!$B$86*1000000</f>
        <v>1.5205889835131936</v>
      </c>
      <c r="F466" s="100" t="s">
        <v>819</v>
      </c>
      <c r="G466" s="1318">
        <f>[1]JetFuel_WTP!$B541</f>
        <v>17.689832445545051</v>
      </c>
      <c r="H466" s="235">
        <f>[1]JetFuel_WTP!$C541</f>
        <v>1.8509087371864985</v>
      </c>
    </row>
    <row r="467" spans="1:8">
      <c r="A467" s="59" t="s">
        <v>965</v>
      </c>
      <c r="B467" s="19">
        <f>[1]EtOH!CB553</f>
        <v>6.9241509976970139</v>
      </c>
      <c r="C467" s="917">
        <f>[1]EtOH!CC553</f>
        <v>52.479452316868276</v>
      </c>
      <c r="D467" s="21">
        <f>[1]EtOH!BU518/[1]Fuel_Specs!$B$86*1000000</f>
        <v>1.2487655431297395</v>
      </c>
      <c r="F467" s="59" t="s">
        <v>965</v>
      </c>
      <c r="G467" s="1318">
        <f>[1]JetFuel_WTP!$B542</f>
        <v>3.6895646545857375</v>
      </c>
      <c r="H467" s="235">
        <f>[1]JetFuel_WTP!$C542</f>
        <v>3.1000961302683798</v>
      </c>
    </row>
    <row r="468" spans="1:8">
      <c r="A468" s="59" t="s">
        <v>966</v>
      </c>
      <c r="B468" s="19">
        <f>[1]EtOH!CB554</f>
        <v>26.590091522045395</v>
      </c>
      <c r="C468" s="917">
        <f>[1]EtOH!CC554</f>
        <v>138.10118877834728</v>
      </c>
      <c r="D468" s="21">
        <f>[1]EtOH!BU519/[1]Fuel_Specs!$B$86*1000000</f>
        <v>5.7559659568184411</v>
      </c>
      <c r="F468" s="59" t="s">
        <v>966</v>
      </c>
      <c r="G468" s="1318">
        <f>[1]JetFuel_WTP!$B543</f>
        <v>7.3693431597470385</v>
      </c>
      <c r="H468" s="235">
        <f>[1]JetFuel_WTP!$C543</f>
        <v>2.3682982240135093</v>
      </c>
    </row>
    <row r="469" spans="1:8">
      <c r="A469" s="59" t="s">
        <v>967</v>
      </c>
      <c r="B469" s="19">
        <f>[1]EtOH!CB555</f>
        <v>40.941712240974979</v>
      </c>
      <c r="C469" s="917">
        <f>[1]EtOH!CC555</f>
        <v>225.0603859372049</v>
      </c>
      <c r="D469" s="21">
        <f>[1]EtOH!BU520/[1]Fuel_Specs!$B$86*1000000</f>
        <v>8.4373662950633577</v>
      </c>
      <c r="F469" s="59" t="s">
        <v>967</v>
      </c>
      <c r="G469" s="1318">
        <f>[1]JetFuel_WTP!$B544</f>
        <v>11.350035400801717</v>
      </c>
      <c r="H469" s="235">
        <f>[1]JetFuel_WTP!$C544</f>
        <v>3.7497166760769192</v>
      </c>
    </row>
    <row r="470" spans="1:8">
      <c r="A470" s="59" t="s">
        <v>968</v>
      </c>
      <c r="B470" s="19">
        <f>[1]EtOH!CB556</f>
        <v>2.1457898018414423</v>
      </c>
      <c r="C470" s="917">
        <f>[1]EtOH!CC556</f>
        <v>169.26055090899951</v>
      </c>
      <c r="D470" s="21">
        <f>[1]EtOH!BU521/[1]Fuel_Specs!$B$86*1000000</f>
        <v>0.61868274125377465</v>
      </c>
      <c r="F470" s="59" t="s">
        <v>968</v>
      </c>
      <c r="G470" s="1318">
        <f>[1]JetFuel_WTP!$B545</f>
        <v>0.55785966782025265</v>
      </c>
      <c r="H470" s="235">
        <f>[1]JetFuel_WTP!$C545</f>
        <v>0.41247918146706597</v>
      </c>
    </row>
    <row r="471" spans="1:8">
      <c r="A471" s="59" t="s">
        <v>969</v>
      </c>
      <c r="B471" s="19">
        <f>[1]EtOH!CB557</f>
        <v>1.804399960794512</v>
      </c>
      <c r="C471" s="917">
        <f>[1]EtOH!CC557</f>
        <v>66.054177861953917</v>
      </c>
      <c r="D471" s="21">
        <f>[1]EtOH!BU522/[1]Fuel_Specs!$B$86*1000000</f>
        <v>0.52542320591243541</v>
      </c>
      <c r="F471" s="59" t="s">
        <v>969</v>
      </c>
      <c r="G471" s="1318">
        <f>[1]JetFuel_WTP!$B546</f>
        <v>0.47662987501164428</v>
      </c>
      <c r="H471" s="235">
        <f>[1]JetFuel_WTP!$C546</f>
        <v>0.35290083298383118</v>
      </c>
    </row>
    <row r="472" spans="1:8">
      <c r="A472" s="59" t="s">
        <v>970</v>
      </c>
      <c r="B472" s="19">
        <f>[1]EtOH!CB558</f>
        <v>5.3305298026040981</v>
      </c>
      <c r="C472" s="917">
        <f>[1]EtOH!CC558</f>
        <v>120.6687161056966</v>
      </c>
      <c r="D472" s="21">
        <f>[1]EtOH!BU523/[1]Fuel_Specs!$B$86*1000000</f>
        <v>1.3025102766733943</v>
      </c>
      <c r="F472" s="59" t="s">
        <v>970</v>
      </c>
      <c r="G472" s="1318">
        <f>[1]JetFuel_WTP!$B547</f>
        <v>2.5592619949901905</v>
      </c>
      <c r="H472" s="235">
        <f>[1]JetFuel_WTP!$C547</f>
        <v>1.1347671778031314</v>
      </c>
    </row>
    <row r="473" spans="1:8">
      <c r="A473" s="59" t="s">
        <v>971</v>
      </c>
      <c r="B473" s="19">
        <f>[1]EtOH!CB559</f>
        <v>0.50983075035308534</v>
      </c>
      <c r="C473" s="917">
        <f>[1]EtOH!CC559</f>
        <v>7.1653791235805926</v>
      </c>
      <c r="D473" s="21">
        <f>[1]EtOH!BU524/[1]Fuel_Specs!$B$86*1000000</f>
        <v>0.27641093348331985</v>
      </c>
      <c r="F473" s="59" t="s">
        <v>971</v>
      </c>
      <c r="G473" s="1318">
        <f>[1]JetFuel_WTP!$B548</f>
        <v>8.6536638942778826E-2</v>
      </c>
      <c r="H473" s="235">
        <f>[1]JetFuel_WTP!$C548</f>
        <v>4.6450929088525737E-2</v>
      </c>
    </row>
    <row r="474" spans="1:8">
      <c r="A474" s="59" t="s">
        <v>972</v>
      </c>
      <c r="B474" s="19">
        <f>[1]EtOH!CB560</f>
        <v>0.33105315955685138</v>
      </c>
      <c r="C474" s="917">
        <f>[1]EtOH!CC560</f>
        <v>17.227972508152927</v>
      </c>
      <c r="D474" s="21">
        <f>[1]EtOH!BU525/[1]Fuel_Specs!$B$86*1000000</f>
        <v>9.7618226905373084E-2</v>
      </c>
      <c r="F474" s="59" t="s">
        <v>972</v>
      </c>
      <c r="G474" s="1318">
        <f>[1]JetFuel_WTP!$B549</f>
        <v>0.17449109373388111</v>
      </c>
      <c r="H474" s="235">
        <f>[1]JetFuel_WTP!$C549</f>
        <v>7.2316529588834486E-2</v>
      </c>
    </row>
    <row r="475" spans="1:8">
      <c r="A475" s="59" t="s">
        <v>887</v>
      </c>
      <c r="B475" s="19">
        <f>[1]EtOH!CB561</f>
        <v>28.164469077245464</v>
      </c>
      <c r="C475" s="917">
        <f>[1]EtOH!CC561</f>
        <v>41.010178247226207</v>
      </c>
      <c r="D475" s="21">
        <f>[1]EtOH!BU526/[1]Fuel_Specs!$B$86*1000000</f>
        <v>3.5759851195363619</v>
      </c>
      <c r="F475" s="59" t="s">
        <v>887</v>
      </c>
      <c r="G475" s="1318">
        <f>[1]JetFuel_WTP!$B550</f>
        <v>91.550547508731526</v>
      </c>
      <c r="H475" s="235">
        <f>[1]JetFuel_WTP!$C550</f>
        <v>7.7985567141239773</v>
      </c>
    </row>
    <row r="476" spans="1:8">
      <c r="A476" s="59" t="s">
        <v>888</v>
      </c>
      <c r="B476" s="19">
        <f>[1]EtOH!CB562</f>
        <v>19.421049427064631</v>
      </c>
      <c r="C476" s="917">
        <f>[1]EtOH!CC562</f>
        <v>6.7696938742853936</v>
      </c>
      <c r="D476" s="21">
        <f>[1]EtOH!BU527/[1]Fuel_Specs!$B$86*1000000</f>
        <v>2.2698112039697231</v>
      </c>
      <c r="F476" s="59" t="s">
        <v>888</v>
      </c>
      <c r="G476" s="1318">
        <f>[1]JetFuel_WTP!$B551</f>
        <v>8.4086657055974914E-2</v>
      </c>
      <c r="H476" s="235">
        <f>[1]JetFuel_WTP!$C551</f>
        <v>6.709545835387333E-2</v>
      </c>
    </row>
    <row r="477" spans="1:8">
      <c r="A477" s="59" t="s">
        <v>889</v>
      </c>
      <c r="B477" s="16">
        <f>[1]EtOH!CB563</f>
        <v>8188.5479093720442</v>
      </c>
      <c r="C477" s="38">
        <f>[1]EtOH!CC563</f>
        <v>5295.8157057125482</v>
      </c>
      <c r="D477" s="15">
        <f>[1]EtOH!BU528/[1]Fuel_Specs!$B$86*1000000</f>
        <v>2340.7197202335547</v>
      </c>
      <c r="F477" s="59" t="s">
        <v>889</v>
      </c>
      <c r="G477" s="631">
        <f>[1]JetFuel_WTP!$B552</f>
        <v>5286.5584411032723</v>
      </c>
      <c r="H477" s="245">
        <f>[1]JetFuel_WTP!$C552</f>
        <v>3520.7096788498843</v>
      </c>
    </row>
    <row r="478" spans="1:8">
      <c r="A478" s="59" t="s">
        <v>2069</v>
      </c>
      <c r="B478" s="16">
        <f>[1]EtOH!CB564</f>
        <v>8251.9126095161755</v>
      </c>
      <c r="C478" s="38">
        <f>[1]EtOH!CC564</f>
        <v>5676.392819228</v>
      </c>
      <c r="D478" s="15"/>
      <c r="F478" s="59" t="s">
        <v>2069</v>
      </c>
      <c r="G478" s="631">
        <f>[1]JetFuel_WTP!$B553</f>
        <v>5309.6379806706191</v>
      </c>
      <c r="H478" s="245">
        <f>[1]JetFuel_WTP!$C553</f>
        <v>3534.0932566174324</v>
      </c>
    </row>
    <row r="479" spans="1:8">
      <c r="A479" s="118" t="s">
        <v>1896</v>
      </c>
      <c r="B479" s="23">
        <f>[1]EtOH!CB565</f>
        <v>14243.424780005666</v>
      </c>
      <c r="C479" s="43">
        <f>[1]EtOH!CC565</f>
        <v>8700.6670433304153</v>
      </c>
      <c r="D479" s="22"/>
      <c r="F479" s="118" t="s">
        <v>1896</v>
      </c>
      <c r="G479" s="631">
        <f>[1]JetFuel_WTP!$B554</f>
        <v>8078.4373700523975</v>
      </c>
      <c r="H479" s="245">
        <f>[1]JetFuel_WTP!$C554</f>
        <v>3785.8302545049282</v>
      </c>
    </row>
    <row r="480" spans="1:8">
      <c r="B480" s="173"/>
      <c r="D480" s="59"/>
      <c r="F480" s="1299"/>
      <c r="G480" s="1312"/>
      <c r="H480" s="1178"/>
    </row>
    <row r="481" spans="1:14">
      <c r="A481" s="58"/>
      <c r="B481" s="240"/>
      <c r="C481" s="241"/>
      <c r="D481" s="77"/>
      <c r="F481" s="58"/>
      <c r="G481" s="80"/>
      <c r="H481" s="50"/>
    </row>
    <row r="482" spans="1:14">
      <c r="A482" s="59" t="s">
        <v>974</v>
      </c>
      <c r="B482" s="19">
        <f>[1]EtOH!CB568</f>
        <v>3.2070456336414358E-4</v>
      </c>
      <c r="C482" s="917">
        <f>[1]EtOH!CC568</f>
        <v>0.10686355351027062</v>
      </c>
      <c r="D482" s="21">
        <f>[1]EtOH!BU533/[1]Fuel_Specs!$B$86*1000000</f>
        <v>6.6414898853903712E-2</v>
      </c>
      <c r="F482" s="59" t="s">
        <v>974</v>
      </c>
      <c r="G482" s="233">
        <f>[1]JetFuel_WTP!$B557</f>
        <v>0.66058006060285668</v>
      </c>
      <c r="H482" s="195">
        <f>[1]JetFuel_WTP!$C557</f>
        <v>1.9921051171274626</v>
      </c>
    </row>
    <row r="483" spans="1:14">
      <c r="A483" s="59" t="s">
        <v>975</v>
      </c>
      <c r="B483" s="19">
        <f>[1]EtOH!CB569</f>
        <v>1.1238745700386228E-3</v>
      </c>
      <c r="C483" s="917">
        <f>[1]EtOH!CC569</f>
        <v>7.0138239263291657E-2</v>
      </c>
      <c r="D483" s="21">
        <f>[1]EtOH!BU534/[1]Fuel_Specs!$B$86*1000000</f>
        <v>0.13574539408765118</v>
      </c>
      <c r="F483" s="59" t="s">
        <v>975</v>
      </c>
      <c r="G483" s="233">
        <f>[1]JetFuel_WTP!$B558</f>
        <v>0.26209908816228761</v>
      </c>
      <c r="H483" s="195">
        <f>[1]JetFuel_WTP!$C558</f>
        <v>0.96670013699813173</v>
      </c>
    </row>
    <row r="484" spans="1:14">
      <c r="A484" s="59" t="s">
        <v>976</v>
      </c>
      <c r="B484" s="19">
        <f>[1]EtOH!CB570</f>
        <v>8.7840580361080894E-4</v>
      </c>
      <c r="C484" s="917">
        <f>[1]EtOH!CC570</f>
        <v>0.11971727072304329</v>
      </c>
      <c r="D484" s="21">
        <f>[1]EtOH!BU535/[1]Fuel_Specs!$B$86*1000000</f>
        <v>0.16084599340500025</v>
      </c>
      <c r="F484" s="59" t="s">
        <v>976</v>
      </c>
      <c r="G484" s="233">
        <f>[1]JetFuel_WTP!$B559</f>
        <v>0.55135581001096456</v>
      </c>
      <c r="H484" s="195">
        <f>[1]JetFuel_WTP!$C559</f>
        <v>1.3129390234551384</v>
      </c>
    </row>
    <row r="485" spans="1:14">
      <c r="A485" s="59" t="s">
        <v>977</v>
      </c>
      <c r="B485" s="19">
        <f>[1]EtOH!CB571</f>
        <v>8.3183263853533619E-5</v>
      </c>
      <c r="C485" s="917">
        <f>[1]EtOH!CC571</f>
        <v>2.201102033795475E-2</v>
      </c>
      <c r="D485" s="21">
        <f>[1]EtOH!BU536/[1]Fuel_Specs!$B$86*1000000</f>
        <v>1.6749983604437753E-2</v>
      </c>
      <c r="F485" s="59" t="s">
        <v>977</v>
      </c>
      <c r="G485" s="233">
        <f>[1]JetFuel_WTP!$B560</f>
        <v>4.2668376148122675E-2</v>
      </c>
      <c r="H485" s="195">
        <f>[1]JetFuel_WTP!$C560</f>
        <v>0.25016260037010885</v>
      </c>
    </row>
    <row r="486" spans="1:14">
      <c r="A486" s="59" t="s">
        <v>978</v>
      </c>
      <c r="B486" s="19">
        <f>[1]EtOH!CB572</f>
        <v>4.9970625173925579E-5</v>
      </c>
      <c r="C486" s="917">
        <f>[1]EtOH!CC572</f>
        <v>1.9372572129877579E-2</v>
      </c>
      <c r="D486" s="21">
        <f>[1]EtOH!BU537/[1]Fuel_Specs!$B$86*1000000</f>
        <v>1.2765811920621791E-2</v>
      </c>
      <c r="F486" s="59" t="s">
        <v>978</v>
      </c>
      <c r="G486" s="233">
        <f>[1]JetFuel_WTP!$B561</f>
        <v>3.7809446941895634E-2</v>
      </c>
      <c r="H486" s="195">
        <f>[1]JetFuel_WTP!$C561</f>
        <v>0.21584944867996436</v>
      </c>
    </row>
    <row r="487" spans="1:14">
      <c r="A487" s="59" t="s">
        <v>979</v>
      </c>
      <c r="B487" s="19">
        <f>[1]EtOH!CB573</f>
        <v>1.0379440780784518E-4</v>
      </c>
      <c r="C487" s="917">
        <f>[1]EtOH!CC573</f>
        <v>5.2814136777637695E-2</v>
      </c>
      <c r="D487" s="21">
        <f>[1]EtOH!BU538/[1]Fuel_Specs!$B$86*1000000</f>
        <v>4.7146697705535583E-2</v>
      </c>
      <c r="F487" s="59" t="s">
        <v>979</v>
      </c>
      <c r="G487" s="233">
        <f>[1]JetFuel_WTP!$B562</f>
        <v>0.25247922431237874</v>
      </c>
      <c r="H487" s="195">
        <f>[1]JetFuel_WTP!$C562</f>
        <v>0.43102901619824202</v>
      </c>
    </row>
    <row r="488" spans="1:14">
      <c r="A488" s="59" t="s">
        <v>980</v>
      </c>
      <c r="B488" s="19">
        <f>[1]EtOH!CB574</f>
        <v>5.857208932378369E-6</v>
      </c>
      <c r="C488" s="917">
        <f>[1]EtOH!CC574</f>
        <v>2.0674280978666593E-3</v>
      </c>
      <c r="D488" s="21">
        <f>[1]EtOH!BU539/[1]Fuel_Specs!$B$86*1000000</f>
        <v>1.5339425049695624E-3</v>
      </c>
      <c r="F488" s="59" t="s">
        <v>980</v>
      </c>
      <c r="G488" s="233">
        <f>[1]JetFuel_WTP!$B563</f>
        <v>4.0501765382100511E-3</v>
      </c>
      <c r="H488" s="195">
        <f>[1]JetFuel_WTP!$C563</f>
        <v>2.7266559851155558E-2</v>
      </c>
    </row>
    <row r="489" spans="1:14">
      <c r="A489" s="118" t="s">
        <v>981</v>
      </c>
      <c r="B489" s="27">
        <f>[1]EtOH!CB575</f>
        <v>8.3714871918704221E-6</v>
      </c>
      <c r="C489" s="918">
        <f>[1]EtOH!CC575</f>
        <v>3.1601047661500197E-3</v>
      </c>
      <c r="D489" s="26">
        <f>[1]EtOH!BU540/[1]Fuel_Specs!$B$86*1000000</f>
        <v>2.8015874334895393E-3</v>
      </c>
      <c r="F489" s="118" t="s">
        <v>981</v>
      </c>
      <c r="G489" s="236">
        <f>[1]JetFuel_WTP!$B564</f>
        <v>1.212210869470246E-2</v>
      </c>
      <c r="H489" s="254">
        <f>[1]JetFuel_WTP!$C564</f>
        <v>3.5467297676698283E-2</v>
      </c>
    </row>
    <row r="491" spans="1:14" ht="15.75">
      <c r="A491" s="81" t="s">
        <v>2117</v>
      </c>
    </row>
    <row r="492" spans="1:14" ht="25.5">
      <c r="A492" s="58"/>
      <c r="B492" s="1932" t="s">
        <v>2118</v>
      </c>
      <c r="C492" s="1932" t="s">
        <v>2119</v>
      </c>
      <c r="D492" s="1932" t="s">
        <v>2120</v>
      </c>
      <c r="E492" s="1932" t="s">
        <v>2121</v>
      </c>
      <c r="F492" s="1932" t="s">
        <v>2122</v>
      </c>
      <c r="G492" s="1932" t="s">
        <v>2123</v>
      </c>
      <c r="H492" s="1932" t="s">
        <v>2124</v>
      </c>
      <c r="I492" s="1932" t="s">
        <v>1816</v>
      </c>
      <c r="J492" s="1932" t="s">
        <v>998</v>
      </c>
      <c r="K492" s="1932" t="s">
        <v>2125</v>
      </c>
      <c r="L492" s="1932" t="s">
        <v>2126</v>
      </c>
      <c r="M492" s="1932" t="s">
        <v>2127</v>
      </c>
      <c r="N492" s="1932" t="s">
        <v>2128</v>
      </c>
    </row>
    <row r="493" spans="1:14">
      <c r="A493" s="482" t="s">
        <v>2129</v>
      </c>
      <c r="B493" s="59"/>
      <c r="C493" s="58"/>
      <c r="D493" s="58"/>
      <c r="E493" s="58"/>
      <c r="F493" s="58"/>
      <c r="G493" s="58"/>
      <c r="H493" s="58"/>
      <c r="I493" s="58"/>
      <c r="J493" s="58"/>
      <c r="K493" s="58"/>
      <c r="L493" s="58"/>
      <c r="M493" s="58"/>
      <c r="N493" s="58"/>
    </row>
    <row r="494" spans="1:14">
      <c r="A494" s="59" t="s">
        <v>855</v>
      </c>
      <c r="B494" s="76">
        <f>[1]Ag_Inputs!$I97</f>
        <v>0.10780072572602144</v>
      </c>
      <c r="C494" s="76">
        <f>[1]Ag_Inputs!BC97</f>
        <v>4.2758164530245066</v>
      </c>
      <c r="D494" s="76">
        <f>[1]Ag_Inputs!BD97</f>
        <v>4.3841375780629379</v>
      </c>
      <c r="E494" s="76">
        <f>[1]Ag_Inputs!BE97</f>
        <v>27.171021888442034</v>
      </c>
      <c r="F494" s="76">
        <f>[1]Ag_Inputs!BF97</f>
        <v>29.249082687244254</v>
      </c>
      <c r="G494" s="76">
        <f>[1]Ag_Inputs!BG97</f>
        <v>0.5138426396398883</v>
      </c>
      <c r="H494" s="76">
        <f>[1]Ag_Inputs!BH97</f>
        <v>1.2056463627591429</v>
      </c>
      <c r="I494" s="76">
        <f>[1]Ag_Inputs!EX62</f>
        <v>9.9673385660502358</v>
      </c>
      <c r="J494" s="76">
        <f>[1]Ag_Inputs!B97</f>
        <v>36.332146164303289</v>
      </c>
      <c r="K494" s="76">
        <f>[1]Ag_Inputs!BI97</f>
        <v>2.9277647032766043</v>
      </c>
      <c r="L494" s="76">
        <f>[1]Ag_Inputs!S97</f>
        <v>22.030770128685567</v>
      </c>
      <c r="M494" s="76">
        <f>[1]Ag_Inputs!BJ97</f>
        <v>6.4534711664929061</v>
      </c>
      <c r="N494" s="76">
        <f>[1]Ag_Inputs!D97</f>
        <v>18.457659102195958</v>
      </c>
    </row>
    <row r="495" spans="1:14">
      <c r="A495" s="59" t="s">
        <v>817</v>
      </c>
      <c r="B495" s="76">
        <f>[1]Ag_Inputs!$I98</f>
        <v>0.10719526757869353</v>
      </c>
      <c r="C495" s="76">
        <f>[1]Ag_Inputs!BC98</f>
        <v>4.1898503794963649</v>
      </c>
      <c r="D495" s="76">
        <f>[1]Ag_Inputs!BD98</f>
        <v>4.225931713588742</v>
      </c>
      <c r="E495" s="76">
        <f>[1]Ag_Inputs!BE98</f>
        <v>24.52973321585894</v>
      </c>
      <c r="F495" s="76">
        <f>[1]Ag_Inputs!BF98</f>
        <v>24.557159317814673</v>
      </c>
      <c r="G495" s="76">
        <f>[1]Ag_Inputs!BG98</f>
        <v>0.48462781003145922</v>
      </c>
      <c r="H495" s="76">
        <f>[1]Ag_Inputs!BH98</f>
        <v>1.1489996119701806</v>
      </c>
      <c r="I495" s="76">
        <f>[1]Ag_Inputs!EX63</f>
        <v>13.564308510553797</v>
      </c>
      <c r="J495" s="76">
        <f>[1]Ag_Inputs!B98</f>
        <v>36.134685221273628</v>
      </c>
      <c r="K495" s="76">
        <f>[1]Ag_Inputs!BI98</f>
        <v>2.791267195019409</v>
      </c>
      <c r="L495" s="76">
        <f>[1]Ag_Inputs!S98</f>
        <v>20.994989284803754</v>
      </c>
      <c r="M495" s="76">
        <f>[1]Ag_Inputs!BJ98</f>
        <v>5.7532258524030953</v>
      </c>
      <c r="N495" s="76">
        <f>[1]Ag_Inputs!D98</f>
        <v>18.264568206463903</v>
      </c>
    </row>
    <row r="496" spans="1:14">
      <c r="A496" s="59" t="s">
        <v>805</v>
      </c>
      <c r="B496" s="76">
        <f>[1]Ag_Inputs!$I99</f>
        <v>4.2504034000769506E-3</v>
      </c>
      <c r="C496" s="76">
        <f>[1]Ag_Inputs!BC99</f>
        <v>3.5022632827296989</v>
      </c>
      <c r="D496" s="76">
        <f>[1]Ag_Inputs!BD99</f>
        <v>3.6101644650946731</v>
      </c>
      <c r="E496" s="76">
        <f>[1]Ag_Inputs!BE99</f>
        <v>4.0460128080585509</v>
      </c>
      <c r="F496" s="76">
        <f>[1]Ag_Inputs!BF99</f>
        <v>7.1087200248754714</v>
      </c>
      <c r="G496" s="76">
        <f>[1]Ag_Inputs!BG99</f>
        <v>3.8530498315894418E-2</v>
      </c>
      <c r="H496" s="76">
        <f>[1]Ag_Inputs!BH99</f>
        <v>7.8773039248976814E-2</v>
      </c>
      <c r="I496" s="76">
        <f>[1]Ag_Inputs!EX64</f>
        <v>2.9525361791118421</v>
      </c>
      <c r="J496" s="76">
        <f>[1]Ag_Inputs!B99</f>
        <v>0.2607338691094655</v>
      </c>
      <c r="K496" s="76">
        <f>[1]Ag_Inputs!BI99</f>
        <v>0.44033378589744537</v>
      </c>
      <c r="L496" s="76">
        <f>[1]Ag_Inputs!S99</f>
        <v>1.3679549528897281</v>
      </c>
      <c r="M496" s="76">
        <f>[1]Ag_Inputs!BJ99</f>
        <v>0.92515589581679947</v>
      </c>
      <c r="N496" s="76">
        <f>[1]Ag_Inputs!D99</f>
        <v>0.25479040623859678</v>
      </c>
    </row>
    <row r="497" spans="1:14">
      <c r="A497" s="59" t="s">
        <v>804</v>
      </c>
      <c r="B497" s="76">
        <f>[1]Ag_Inputs!$I100</f>
        <v>1.1051329900043733E-2</v>
      </c>
      <c r="C497" s="76">
        <f>[1]Ag_Inputs!BC100</f>
        <v>0.466525820246666</v>
      </c>
      <c r="D497" s="76">
        <f>[1]Ag_Inputs!BD100</f>
        <v>0.34701301100333681</v>
      </c>
      <c r="E497" s="76">
        <f>[1]Ag_Inputs!BE100</f>
        <v>19.798523406029425</v>
      </c>
      <c r="F497" s="76">
        <f>[1]Ag_Inputs!BF100</f>
        <v>16.363208567371363</v>
      </c>
      <c r="G497" s="76">
        <f>[1]Ag_Inputs!BG100</f>
        <v>0.13153323869335384</v>
      </c>
      <c r="H497" s="76">
        <f>[1]Ag_Inputs!BH100</f>
        <v>0.16345586980666998</v>
      </c>
      <c r="I497" s="76">
        <f>[1]Ag_Inputs!EX65</f>
        <v>9.6757315770071433</v>
      </c>
      <c r="J497" s="76">
        <f>[1]Ag_Inputs!B100</f>
        <v>34.832404635984659</v>
      </c>
      <c r="K497" s="76">
        <f>[1]Ag_Inputs!BI100</f>
        <v>1.3956582253195202</v>
      </c>
      <c r="L497" s="76">
        <f>[1]Ag_Inputs!S100</f>
        <v>15.132972788107695</v>
      </c>
      <c r="M497" s="76">
        <f>[1]Ag_Inputs!BJ100</f>
        <v>2.9918957500376986</v>
      </c>
      <c r="N497" s="76">
        <f>[1]Ag_Inputs!D100</f>
        <v>16.383653114157042</v>
      </c>
    </row>
    <row r="498" spans="1:14">
      <c r="A498" s="59" t="s">
        <v>818</v>
      </c>
      <c r="B498" s="76">
        <f>[1]Ag_Inputs!$I101</f>
        <v>9.1893534278572858E-2</v>
      </c>
      <c r="C498" s="76">
        <f>[1]Ag_Inputs!BC101</f>
        <v>0.22106127651999968</v>
      </c>
      <c r="D498" s="76">
        <f>[1]Ag_Inputs!BD101</f>
        <v>0.26875423749073213</v>
      </c>
      <c r="E498" s="76">
        <f>[1]Ag_Inputs!BE101</f>
        <v>0.68519700177096265</v>
      </c>
      <c r="F498" s="76">
        <f>[1]Ag_Inputs!BF101</f>
        <v>1.0852307255678384</v>
      </c>
      <c r="G498" s="76">
        <f>[1]Ag_Inputs!BG101</f>
        <v>0.31456407302221095</v>
      </c>
      <c r="H498" s="76">
        <f>[1]Ag_Inputs!BH101</f>
        <v>0.90677070291453388</v>
      </c>
      <c r="I498" s="76">
        <f>[1]Ag_Inputs!EX66</f>
        <v>0.93604075443481216</v>
      </c>
      <c r="J498" s="76">
        <f>[1]Ag_Inputs!B101</f>
        <v>1.0415467161795053</v>
      </c>
      <c r="K498" s="76">
        <f>[1]Ag_Inputs!BI101</f>
        <v>0.95527518380244358</v>
      </c>
      <c r="L498" s="76">
        <f>[1]Ag_Inputs!S101</f>
        <v>4.4940615438063301</v>
      </c>
      <c r="M498" s="76">
        <f>[1]Ag_Inputs!BJ101</f>
        <v>1.8361742065485971</v>
      </c>
      <c r="N498" s="76">
        <f>[1]Ag_Inputs!D101</f>
        <v>1.6261246860682634</v>
      </c>
    </row>
    <row r="499" spans="1:14">
      <c r="A499" s="487" t="s">
        <v>1797</v>
      </c>
      <c r="B499" s="76">
        <f>[1]Ag_Inputs!$I102</f>
        <v>26.409569078578205</v>
      </c>
      <c r="C499" s="76">
        <f>[1]Ag_Inputs!BC102</f>
        <v>1102.2778342369234</v>
      </c>
      <c r="D499" s="76">
        <f>[1]Ag_Inputs!BD102</f>
        <v>1127.9542181900342</v>
      </c>
      <c r="E499" s="76">
        <f>[1]Ag_Inputs!BE102</f>
        <v>787.45867821343597</v>
      </c>
      <c r="F499" s="76">
        <f>[1]Ag_Inputs!BF102</f>
        <v>1486.4997927118548</v>
      </c>
      <c r="G499" s="76">
        <f>[1]Ag_Inputs!BG102</f>
        <v>71.585895167352376</v>
      </c>
      <c r="H499" s="76">
        <f>[1]Ag_Inputs!BH102</f>
        <v>34.196962363374084</v>
      </c>
      <c r="I499" s="76">
        <f>[1]Ag_Inputs!EX67</f>
        <v>6503.4767644037756</v>
      </c>
      <c r="J499" s="76">
        <f>[1]Ag_Inputs!B102</f>
        <v>422.2183973339246</v>
      </c>
      <c r="K499" s="76">
        <f>[1]Ag_Inputs!BI102</f>
        <v>485.56129412044334</v>
      </c>
      <c r="L499" s="76">
        <f>[1]Ag_Inputs!S102</f>
        <v>8678.2911296875773</v>
      </c>
      <c r="M499" s="76">
        <f>[1]Ag_Inputs!BJ102</f>
        <v>578.47610458381234</v>
      </c>
      <c r="N499" s="76">
        <f>[1]Ag_Inputs!D102</f>
        <v>1375.562993869341</v>
      </c>
    </row>
    <row r="500" spans="1:14">
      <c r="A500" s="487" t="s">
        <v>2130</v>
      </c>
      <c r="B500" s="76"/>
      <c r="C500" s="76"/>
      <c r="D500" s="76"/>
      <c r="E500" s="76"/>
      <c r="F500" s="76"/>
      <c r="G500" s="76"/>
      <c r="H500" s="76"/>
      <c r="I500" s="76"/>
      <c r="J500" s="76"/>
      <c r="K500" s="76"/>
      <c r="L500" s="76"/>
      <c r="M500" s="76"/>
      <c r="N500" s="76"/>
    </row>
    <row r="501" spans="1:14">
      <c r="A501" s="59" t="s">
        <v>821</v>
      </c>
      <c r="B501" s="76">
        <f>[1]Ag_Inputs!$I104</f>
        <v>3.0007778627888633</v>
      </c>
      <c r="C501" s="76">
        <f>[1]Ag_Inputs!BC104</f>
        <v>90.052707313868567</v>
      </c>
      <c r="D501" s="76">
        <f>[1]Ag_Inputs!BD104</f>
        <v>90.983630423164499</v>
      </c>
      <c r="E501" s="76">
        <f>[1]Ag_Inputs!BE104</f>
        <v>236.94023959186924</v>
      </c>
      <c r="F501" s="76">
        <f>[1]Ag_Inputs!BF104</f>
        <v>245.58439249726143</v>
      </c>
      <c r="G501" s="76">
        <f>[1]Ag_Inputs!BG104</f>
        <v>16.386342714946565</v>
      </c>
      <c r="H501" s="76">
        <f>[1]Ag_Inputs!BH104</f>
        <v>13.223245275381981</v>
      </c>
      <c r="I501" s="76">
        <f>[1]Ag_Inputs!EX69</f>
        <v>1037.8224505560145</v>
      </c>
      <c r="J501" s="76">
        <f>[1]Ag_Inputs!B104</f>
        <v>4648.1415229431868</v>
      </c>
      <c r="K501" s="76">
        <f>[1]Ag_Inputs!BI104</f>
        <v>55.227596548340742</v>
      </c>
      <c r="L501" s="76">
        <f>[1]Ag_Inputs!S104</f>
        <v>1316.36474764843</v>
      </c>
      <c r="M501" s="76">
        <f>[1]Ag_Inputs!BJ104</f>
        <v>82.020950205761295</v>
      </c>
      <c r="N501" s="76">
        <f>[1]Ag_Inputs!D104</f>
        <v>2113.7849790729192</v>
      </c>
    </row>
    <row r="502" spans="1:14">
      <c r="A502" s="59" t="s">
        <v>822</v>
      </c>
      <c r="B502" s="76">
        <f>[1]Ag_Inputs!$I105</f>
        <v>18.066358060290298</v>
      </c>
      <c r="C502" s="76">
        <f>[1]Ag_Inputs!BC105</f>
        <v>420.56556155670182</v>
      </c>
      <c r="D502" s="76">
        <f>[1]Ag_Inputs!BD105</f>
        <v>431.10980413081552</v>
      </c>
      <c r="E502" s="76">
        <f>[1]Ag_Inputs!BE105</f>
        <v>814.73130258495576</v>
      </c>
      <c r="F502" s="76">
        <f>[1]Ag_Inputs!BF105</f>
        <v>958.18287074375576</v>
      </c>
      <c r="G502" s="76">
        <f>[1]Ag_Inputs!BG105</f>
        <v>36.193146201590267</v>
      </c>
      <c r="H502" s="76">
        <f>[1]Ag_Inputs!BH105</f>
        <v>170.62357719230678</v>
      </c>
      <c r="I502" s="76">
        <f>[1]Ag_Inputs!EX70</f>
        <v>816.95995258539676</v>
      </c>
      <c r="J502" s="76">
        <f>[1]Ag_Inputs!B105</f>
        <v>4836.6320464911105</v>
      </c>
      <c r="K502" s="76">
        <f>[1]Ag_Inputs!BI105</f>
        <v>183.97368534480478</v>
      </c>
      <c r="L502" s="76">
        <f>[1]Ag_Inputs!S105</f>
        <v>1870.2655937365553</v>
      </c>
      <c r="M502" s="76">
        <f>[1]Ag_Inputs!BJ105</f>
        <v>225.77709391833065</v>
      </c>
      <c r="N502" s="76">
        <f>[1]Ag_Inputs!D105</f>
        <v>2331.9157745068433</v>
      </c>
    </row>
    <row r="503" spans="1:14">
      <c r="A503" s="59" t="s">
        <v>823</v>
      </c>
      <c r="B503" s="76">
        <f>[1]Ag_Inputs!$I106</f>
        <v>14.969385706424767</v>
      </c>
      <c r="C503" s="76">
        <f>[1]Ag_Inputs!BC106</f>
        <v>235.86819253415379</v>
      </c>
      <c r="D503" s="76">
        <f>[1]Ag_Inputs!BD106</f>
        <v>261.58086565886384</v>
      </c>
      <c r="E503" s="76">
        <f>[1]Ag_Inputs!BE106</f>
        <v>1344.5598268288322</v>
      </c>
      <c r="F503" s="76">
        <f>[1]Ag_Inputs!BF106</f>
        <v>1719.7509942687502</v>
      </c>
      <c r="G503" s="76">
        <f>[1]Ag_Inputs!BG106</f>
        <v>288.99271490543373</v>
      </c>
      <c r="H503" s="76">
        <f>[1]Ag_Inputs!BH106</f>
        <v>123.8826327161168</v>
      </c>
      <c r="I503" s="76">
        <f>[1]Ag_Inputs!EX71</f>
        <v>1800.7896419594401</v>
      </c>
      <c r="J503" s="76">
        <f>[1]Ag_Inputs!B106</f>
        <v>1922.8587031608201</v>
      </c>
      <c r="K503" s="76">
        <f>[1]Ag_Inputs!BI106</f>
        <v>913.39998567633234</v>
      </c>
      <c r="L503" s="76">
        <f>[1]Ag_Inputs!S106</f>
        <v>4411.0132191601469</v>
      </c>
      <c r="M503" s="76">
        <f>[1]Ag_Inputs!BJ106</f>
        <v>1109.0841427257183</v>
      </c>
      <c r="N503" s="76">
        <f>[1]Ag_Inputs!D106</f>
        <v>2693.5708159377241</v>
      </c>
    </row>
    <row r="504" spans="1:14">
      <c r="A504" s="59" t="s">
        <v>824</v>
      </c>
      <c r="B504" s="76">
        <f>[1]Ag_Inputs!$I107</f>
        <v>3.0828975820344748</v>
      </c>
      <c r="C504" s="76">
        <f>[1]Ag_Inputs!BC107</f>
        <v>125.43411723973426</v>
      </c>
      <c r="D504" s="76">
        <f>[1]Ag_Inputs!BD107</f>
        <v>127.70743662190986</v>
      </c>
      <c r="E504" s="76">
        <f>[1]Ag_Inputs!BE107</f>
        <v>137.26759404572465</v>
      </c>
      <c r="F504" s="76">
        <f>[1]Ag_Inputs!BF107</f>
        <v>186.941193988121</v>
      </c>
      <c r="G504" s="76">
        <f>[1]Ag_Inputs!BG107</f>
        <v>19.300317267717091</v>
      </c>
      <c r="H504" s="76">
        <f>[1]Ag_Inputs!BH107</f>
        <v>7.8381422086762802</v>
      </c>
      <c r="I504" s="76">
        <f>[1]Ag_Inputs!EX72</f>
        <v>296.3401285510248</v>
      </c>
      <c r="J504" s="76">
        <f>[1]Ag_Inputs!B107</f>
        <v>87.482698753180699</v>
      </c>
      <c r="K504" s="76">
        <f>[1]Ag_Inputs!BI107</f>
        <v>73.991378917815894</v>
      </c>
      <c r="L504" s="76">
        <f>[1]Ag_Inputs!S107</f>
        <v>957.99807945950272</v>
      </c>
      <c r="M504" s="76">
        <f>[1]Ag_Inputs!BJ107</f>
        <v>109.62713049542373</v>
      </c>
      <c r="N504" s="76">
        <f>[1]Ag_Inputs!D107</f>
        <v>1193.1552244471927</v>
      </c>
    </row>
    <row r="505" spans="1:14">
      <c r="A505" s="59" t="s">
        <v>825</v>
      </c>
      <c r="B505" s="76">
        <f>[1]Ag_Inputs!$I108</f>
        <v>0.5412854216344879</v>
      </c>
      <c r="C505" s="76">
        <f>[1]Ag_Inputs!BC108</f>
        <v>95.182715522071618</v>
      </c>
      <c r="D505" s="76">
        <f>[1]Ag_Inputs!BD108</f>
        <v>96.37911509869511</v>
      </c>
      <c r="E505" s="76">
        <f>[1]Ag_Inputs!BE108</f>
        <v>95.956988988933361</v>
      </c>
      <c r="F505" s="76">
        <f>[1]Ag_Inputs!BF108</f>
        <v>117.90496600561342</v>
      </c>
      <c r="G505" s="76">
        <f>[1]Ag_Inputs!BG108</f>
        <v>17.569091223792814</v>
      </c>
      <c r="H505" s="76">
        <f>[1]Ag_Inputs!BH108</f>
        <v>2.6925910170325222</v>
      </c>
      <c r="I505" s="76">
        <f>[1]Ag_Inputs!EX73</f>
        <v>110.74665560133678</v>
      </c>
      <c r="J505" s="76">
        <f>[1]Ag_Inputs!B108</f>
        <v>78.958349841330133</v>
      </c>
      <c r="K505" s="76">
        <f>[1]Ag_Inputs!BI108</f>
        <v>65.104319965124773</v>
      </c>
      <c r="L505" s="76">
        <f>[1]Ag_Inputs!S108</f>
        <v>756.91127973164043</v>
      </c>
      <c r="M505" s="76">
        <f>[1]Ag_Inputs!BJ108</f>
        <v>84.823544017791875</v>
      </c>
      <c r="N505" s="76">
        <f>[1]Ag_Inputs!D108</f>
        <v>968.1262239291666</v>
      </c>
    </row>
    <row r="506" spans="1:14">
      <c r="A506" s="59" t="s">
        <v>826</v>
      </c>
      <c r="B506" s="76">
        <f>[1]Ag_Inputs!$I109</f>
        <v>1.6483951101043521</v>
      </c>
      <c r="C506" s="76">
        <f>[1]Ag_Inputs!BC109</f>
        <v>122.92932415142776</v>
      </c>
      <c r="D506" s="76">
        <f>[1]Ag_Inputs!BD109</f>
        <v>138.00471185010412</v>
      </c>
      <c r="E506" s="76">
        <f>[1]Ag_Inputs!BE109</f>
        <v>712.12055898957874</v>
      </c>
      <c r="F506" s="76">
        <f>[1]Ag_Inputs!BF109</f>
        <v>1110.6609115125023</v>
      </c>
      <c r="G506" s="76">
        <f>[1]Ag_Inputs!BG109</f>
        <v>1950.6014611258231</v>
      </c>
      <c r="H506" s="76">
        <f>[1]Ag_Inputs!BH109</f>
        <v>1828.0437386709966</v>
      </c>
      <c r="I506" s="76">
        <f>[1]Ag_Inputs!EX74</f>
        <v>947.58645305837581</v>
      </c>
      <c r="J506" s="76">
        <f>[1]Ag_Inputs!B109</f>
        <v>666.22795731068788</v>
      </c>
      <c r="K506" s="76">
        <f>[1]Ag_Inputs!BI109</f>
        <v>544.33560519064861</v>
      </c>
      <c r="L506" s="76">
        <f>[1]Ag_Inputs!S109</f>
        <v>9996.307282515465</v>
      </c>
      <c r="M506" s="76">
        <f>[1]Ag_Inputs!BJ109</f>
        <v>889.8757708912583</v>
      </c>
      <c r="N506" s="76">
        <f>[1]Ag_Inputs!D109</f>
        <v>997.87328888439606</v>
      </c>
    </row>
    <row r="507" spans="1:14">
      <c r="A507" s="59" t="s">
        <v>827</v>
      </c>
      <c r="B507" s="76">
        <f>[1]Ag_Inputs!$I110</f>
        <v>0.1094505527701294</v>
      </c>
      <c r="C507" s="76">
        <f>[1]Ag_Inputs!BC110</f>
        <v>7.8073237255591943</v>
      </c>
      <c r="D507" s="76">
        <f>[1]Ag_Inputs!BD110</f>
        <v>7.9155082301471706</v>
      </c>
      <c r="E507" s="76">
        <f>[1]Ag_Inputs!BE110</f>
        <v>10.21975488022491</v>
      </c>
      <c r="F507" s="76">
        <f>[1]Ag_Inputs!BF110</f>
        <v>11.555067895706532</v>
      </c>
      <c r="G507" s="76">
        <f>[1]Ag_Inputs!BG110</f>
        <v>2.510337273218286</v>
      </c>
      <c r="H507" s="76">
        <f>[1]Ag_Inputs!BH110</f>
        <v>0.24154965238111176</v>
      </c>
      <c r="I507" s="76">
        <f>[1]Ag_Inputs!EX75</f>
        <v>12.586270396987064</v>
      </c>
      <c r="J507" s="76">
        <f>[1]Ag_Inputs!B110</f>
        <v>13.222739831466653</v>
      </c>
      <c r="K507" s="76">
        <f>[1]Ag_Inputs!BI110</f>
        <v>10.177360112006111</v>
      </c>
      <c r="L507" s="76">
        <f>[1]Ag_Inputs!S110</f>
        <v>43.697733086522923</v>
      </c>
      <c r="M507" s="76">
        <f>[1]Ag_Inputs!BJ110</f>
        <v>10.543765316074069</v>
      </c>
      <c r="N507" s="76">
        <f>[1]Ag_Inputs!D110</f>
        <v>18.550547435768834</v>
      </c>
    </row>
    <row r="508" spans="1:14">
      <c r="A508" s="59" t="s">
        <v>828</v>
      </c>
      <c r="B508" s="76">
        <f>[1]Ag_Inputs!$I111</f>
        <v>9.5465744912783562E-2</v>
      </c>
      <c r="C508" s="76">
        <f>[1]Ag_Inputs!BC111</f>
        <v>14.891416269796229</v>
      </c>
      <c r="D508" s="76">
        <f>[1]Ag_Inputs!BD111</f>
        <v>14.972158095275681</v>
      </c>
      <c r="E508" s="76">
        <f>[1]Ag_Inputs!BE111</f>
        <v>30.558939824876735</v>
      </c>
      <c r="F508" s="76">
        <f>[1]Ag_Inputs!BF111</f>
        <v>28.196772944619227</v>
      </c>
      <c r="G508" s="76">
        <f>[1]Ag_Inputs!BG111</f>
        <v>7.412240328039009</v>
      </c>
      <c r="H508" s="76">
        <f>[1]Ag_Inputs!BH111</f>
        <v>0.47347654107933645</v>
      </c>
      <c r="I508" s="76">
        <f>[1]Ag_Inputs!EX76</f>
        <v>19.95385281913407</v>
      </c>
      <c r="J508" s="76">
        <f>[1]Ag_Inputs!B111</f>
        <v>31.899893306173396</v>
      </c>
      <c r="K508" s="76">
        <f>[1]Ag_Inputs!BI111</f>
        <v>24.899766353109769</v>
      </c>
      <c r="L508" s="76">
        <f>[1]Ag_Inputs!S111</f>
        <v>96.398525878635397</v>
      </c>
      <c r="M508" s="76">
        <f>[1]Ag_Inputs!BJ111</f>
        <v>28.00638563684997</v>
      </c>
      <c r="N508" s="76">
        <f>[1]Ag_Inputs!D111</f>
        <v>48.689738292416337</v>
      </c>
    </row>
    <row r="509" spans="1:14">
      <c r="A509" s="59" t="s">
        <v>829</v>
      </c>
      <c r="B509" s="76">
        <f>[1]Ag_Inputs!$I112</f>
        <v>10.295662027028325</v>
      </c>
      <c r="C509" s="76">
        <f>[1]Ag_Inputs!BC112</f>
        <v>617.13478939951381</v>
      </c>
      <c r="D509" s="76">
        <f>[1]Ag_Inputs!BD112</f>
        <v>639.46440304470275</v>
      </c>
      <c r="E509" s="76">
        <f>[1]Ag_Inputs!BE112</f>
        <v>4245.2020170345586</v>
      </c>
      <c r="F509" s="76">
        <f>[1]Ag_Inputs!BF112</f>
        <v>4853.4223761591002</v>
      </c>
      <c r="G509" s="76">
        <f>[1]Ag_Inputs!BG112</f>
        <v>57.494095868365036</v>
      </c>
      <c r="H509" s="76">
        <f>[1]Ag_Inputs!BH112</f>
        <v>120.91325997257937</v>
      </c>
      <c r="I509" s="76">
        <f>[1]Ag_Inputs!EX77</f>
        <v>2416.5424400066786</v>
      </c>
      <c r="J509" s="76">
        <f>[1]Ag_Inputs!B112</f>
        <v>6652.5762628044313</v>
      </c>
      <c r="K509" s="76">
        <f>[1]Ag_Inputs!BI112</f>
        <v>414.71330775899582</v>
      </c>
      <c r="L509" s="76">
        <f>[1]Ag_Inputs!S112</f>
        <v>3447.0675439317106</v>
      </c>
      <c r="M509" s="76">
        <f>[1]Ag_Inputs!BJ112</f>
        <v>848.80641530714388</v>
      </c>
      <c r="N509" s="76">
        <f>[1]Ag_Inputs!D112</f>
        <v>3251.1379607622525</v>
      </c>
    </row>
    <row r="510" spans="1:14">
      <c r="A510" s="59" t="s">
        <v>830</v>
      </c>
      <c r="B510" s="76">
        <f>[1]Ag_Inputs!$I113</f>
        <v>6.0745354337307655E-2</v>
      </c>
      <c r="C510" s="76">
        <f>[1]Ag_Inputs!BC113</f>
        <v>1.081973667413807</v>
      </c>
      <c r="D510" s="76">
        <f>[1]Ag_Inputs!BD113</f>
        <v>2.0458742399181418</v>
      </c>
      <c r="E510" s="76">
        <f>[1]Ag_Inputs!BE113</f>
        <v>35.285608281649488</v>
      </c>
      <c r="F510" s="76">
        <f>[1]Ag_Inputs!BF113</f>
        <v>61.971709689620333</v>
      </c>
      <c r="G510" s="76">
        <f>[1]Ag_Inputs!BG113</f>
        <v>0.90162048446381204</v>
      </c>
      <c r="H510" s="76">
        <f>[1]Ag_Inputs!BH113</f>
        <v>0.80059138590309131</v>
      </c>
      <c r="I510" s="76">
        <f>[1]Ag_Inputs!EX78</f>
        <v>576.32362481775112</v>
      </c>
      <c r="J510" s="76">
        <f>[1]Ag_Inputs!B113</f>
        <v>44.764413385518836</v>
      </c>
      <c r="K510" s="76">
        <f>[1]Ag_Inputs!BI113</f>
        <v>4.3148370514009589</v>
      </c>
      <c r="L510" s="76">
        <f>[1]Ag_Inputs!S113</f>
        <v>32.134751087710882</v>
      </c>
      <c r="M510" s="76">
        <f>[1]Ag_Inputs!BJ113</f>
        <v>9.4912602368213577</v>
      </c>
      <c r="N510" s="76">
        <f>[1]Ag_Inputs!D113</f>
        <v>3422.1638881981294</v>
      </c>
    </row>
    <row r="511" spans="1:14">
      <c r="A511" s="59" t="s">
        <v>831</v>
      </c>
      <c r="B511" s="15">
        <f>[1]Ag_Inputs!$I114</f>
        <v>8351.9011348439562</v>
      </c>
      <c r="C511" s="78">
        <f>[1]Ag_Inputs!BC114</f>
        <v>1143451.7836002663</v>
      </c>
      <c r="D511" s="78">
        <f>[1]Ag_Inputs!BD114</f>
        <v>1150868.7874685032</v>
      </c>
      <c r="E511" s="78">
        <f>[1]Ag_Inputs!BE114</f>
        <v>1636030.8555933388</v>
      </c>
      <c r="F511" s="78">
        <f>[1]Ag_Inputs!BF114</f>
        <v>1769901.7206287128</v>
      </c>
      <c r="G511" s="78">
        <f>[1]Ag_Inputs!BG114</f>
        <v>37166.973904260427</v>
      </c>
      <c r="H511" s="78">
        <f>[1]Ag_Inputs!BH114</f>
        <v>89315.415521881427</v>
      </c>
      <c r="I511" s="78">
        <f>[1]Ag_Inputs!EX79</f>
        <v>1098608.0322948128</v>
      </c>
      <c r="J511" s="78">
        <f>[1]Ag_Inputs!B114</f>
        <v>2156596.5788576729</v>
      </c>
      <c r="K511" s="78">
        <f>[1]Ag_Inputs!BI114</f>
        <v>204507.08669571063</v>
      </c>
      <c r="L511" s="78">
        <f>[1]Ag_Inputs!S114</f>
        <v>1392967.4674207468</v>
      </c>
      <c r="M511" s="78">
        <f>[1]Ag_Inputs!BJ114</f>
        <v>426089.90262157749</v>
      </c>
      <c r="N511" s="78">
        <f>[1]Ag_Inputs!D114</f>
        <v>1121168.3726105727</v>
      </c>
    </row>
    <row r="512" spans="1:14">
      <c r="A512" s="482" t="s">
        <v>2131</v>
      </c>
      <c r="B512" s="58"/>
      <c r="C512" s="76"/>
      <c r="D512" s="76"/>
      <c r="E512" s="76"/>
      <c r="F512" s="76"/>
      <c r="G512" s="76"/>
      <c r="H512" s="76"/>
      <c r="I512" s="76"/>
      <c r="J512" s="76"/>
      <c r="K512" s="76"/>
      <c r="L512" s="76"/>
      <c r="M512" s="76"/>
      <c r="N512" s="76"/>
    </row>
    <row r="513" spans="1:39">
      <c r="A513" s="59" t="s">
        <v>821</v>
      </c>
      <c r="B513" s="76">
        <f>[1]Ag_Inputs!$I116</f>
        <v>0.27371203838695446</v>
      </c>
      <c r="C513" s="76">
        <f>[1]Ag_Inputs!BC116</f>
        <v>0.98303250272448806</v>
      </c>
      <c r="D513" s="76">
        <f>[1]Ag_Inputs!BD116</f>
        <v>1.0021134701406591</v>
      </c>
      <c r="E513" s="76">
        <f>[1]Ag_Inputs!BE116</f>
        <v>13.550778888195858</v>
      </c>
      <c r="F513" s="76">
        <f>[1]Ag_Inputs!BF116</f>
        <v>10.520118231111306</v>
      </c>
      <c r="G513" s="76">
        <f>[1]Ag_Inputs!BG116</f>
        <v>1.4847613827115975</v>
      </c>
      <c r="H513" s="76">
        <f>[1]Ag_Inputs!BH116</f>
        <v>2.4419277628374165</v>
      </c>
      <c r="I513" s="76">
        <f>[1]Ag_Inputs!EX81</f>
        <v>229.13630553582834</v>
      </c>
      <c r="J513" s="76">
        <f>[1]Ag_Inputs!B116</f>
        <v>20.058451526914183</v>
      </c>
      <c r="K513" s="76">
        <f>[1]Ag_Inputs!BI116</f>
        <v>4.6094809478262286</v>
      </c>
      <c r="L513" s="76">
        <f>[1]Ag_Inputs!S116</f>
        <v>25.0437299698586</v>
      </c>
      <c r="M513" s="76">
        <f>[1]Ag_Inputs!BJ116</f>
        <v>7.2009051764130625</v>
      </c>
      <c r="N513" s="76">
        <f>[1]Ag_Inputs!D116</f>
        <v>14.618043874394614</v>
      </c>
    </row>
    <row r="514" spans="1:39">
      <c r="A514" s="59" t="s">
        <v>822</v>
      </c>
      <c r="B514" s="76">
        <f>[1]Ag_Inputs!$I117</f>
        <v>0.16139065657493154</v>
      </c>
      <c r="C514" s="76">
        <f>[1]Ag_Inputs!BC117</f>
        <v>2.3826572118045588</v>
      </c>
      <c r="D514" s="76">
        <f>[1]Ag_Inputs!BD117</f>
        <v>2.4806242733779316</v>
      </c>
      <c r="E514" s="76">
        <f>[1]Ag_Inputs!BE117</f>
        <v>66.456871119805129</v>
      </c>
      <c r="F514" s="76">
        <f>[1]Ag_Inputs!BF117</f>
        <v>55.938971972883472</v>
      </c>
      <c r="G514" s="76">
        <f>[1]Ag_Inputs!BG117</f>
        <v>2.434306008450752</v>
      </c>
      <c r="H514" s="76">
        <f>[1]Ag_Inputs!BH117</f>
        <v>2.0580637849257619</v>
      </c>
      <c r="I514" s="76">
        <f>[1]Ag_Inputs!EX82</f>
        <v>33.732304811650636</v>
      </c>
      <c r="J514" s="76">
        <f>[1]Ag_Inputs!B117</f>
        <v>86.823416327189477</v>
      </c>
      <c r="K514" s="76">
        <f>[1]Ag_Inputs!BI117</f>
        <v>9.4783316544131502</v>
      </c>
      <c r="L514" s="76">
        <f>[1]Ag_Inputs!S117</f>
        <v>68.068440902983866</v>
      </c>
      <c r="M514" s="76">
        <f>[1]Ag_Inputs!BJ117</f>
        <v>19.27345927305652</v>
      </c>
      <c r="N514" s="76">
        <f>[1]Ag_Inputs!D117</f>
        <v>50.702259548363728</v>
      </c>
    </row>
    <row r="515" spans="1:39">
      <c r="A515" s="59" t="s">
        <v>823</v>
      </c>
      <c r="B515" s="76">
        <f>[1]Ag_Inputs!$I118</f>
        <v>0.2538141497087702</v>
      </c>
      <c r="C515" s="76">
        <f>[1]Ag_Inputs!BC118</f>
        <v>6.0852834120914387</v>
      </c>
      <c r="D515" s="76">
        <f>[1]Ag_Inputs!BD118</f>
        <v>8.1681944486008202</v>
      </c>
      <c r="E515" s="76">
        <f>[1]Ag_Inputs!BE118</f>
        <v>152.76292670980587</v>
      </c>
      <c r="F515" s="76">
        <f>[1]Ag_Inputs!BF118</f>
        <v>186.20924112745982</v>
      </c>
      <c r="G515" s="76">
        <f>[1]Ag_Inputs!BG118</f>
        <v>15.943757079445119</v>
      </c>
      <c r="H515" s="76">
        <f>[1]Ag_Inputs!BH118</f>
        <v>4.2993952844985772</v>
      </c>
      <c r="I515" s="76">
        <f>[1]Ag_Inputs!EX83</f>
        <v>50.578029002753922</v>
      </c>
      <c r="J515" s="76">
        <f>[1]Ag_Inputs!B118</f>
        <v>126.56966259087434</v>
      </c>
      <c r="K515" s="76">
        <f>[1]Ag_Inputs!BI118</f>
        <v>48.006154165032157</v>
      </c>
      <c r="L515" s="76">
        <f>[1]Ag_Inputs!S118</f>
        <v>227.9594752406872</v>
      </c>
      <c r="M515" s="76">
        <f>[1]Ag_Inputs!BJ118</f>
        <v>75.321907331044059</v>
      </c>
      <c r="N515" s="76">
        <f>[1]Ag_Inputs!D118</f>
        <v>122.74418850240161</v>
      </c>
    </row>
    <row r="516" spans="1:39">
      <c r="A516" s="59" t="s">
        <v>824</v>
      </c>
      <c r="B516" s="76">
        <f>[1]Ag_Inputs!$I119</f>
        <v>4.5174857869258948E-2</v>
      </c>
      <c r="C516" s="76">
        <f>[1]Ag_Inputs!BC119</f>
        <v>0.63211602754707863</v>
      </c>
      <c r="D516" s="76">
        <f>[1]Ag_Inputs!BD119</f>
        <v>0.8990351275303603</v>
      </c>
      <c r="E516" s="76">
        <f>[1]Ag_Inputs!BE119</f>
        <v>17.88134440614235</v>
      </c>
      <c r="F516" s="76">
        <f>[1]Ag_Inputs!BF119</f>
        <v>24.295567226485108</v>
      </c>
      <c r="G516" s="76">
        <f>[1]Ag_Inputs!BG119</f>
        <v>1.2067316973096258</v>
      </c>
      <c r="H516" s="76">
        <f>[1]Ag_Inputs!BH119</f>
        <v>0.67067544099813825</v>
      </c>
      <c r="I516" s="76">
        <f>[1]Ag_Inputs!EX84</f>
        <v>1.799525219559784</v>
      </c>
      <c r="J516" s="76">
        <f>[1]Ag_Inputs!B119</f>
        <v>3.7351959762276614</v>
      </c>
      <c r="K516" s="76">
        <f>[1]Ag_Inputs!BI119</f>
        <v>4.1372321670221046</v>
      </c>
      <c r="L516" s="76">
        <f>[1]Ag_Inputs!S119</f>
        <v>18.495772784949438</v>
      </c>
      <c r="M516" s="76">
        <f>[1]Ag_Inputs!BJ119</f>
        <v>7.8138241968392803</v>
      </c>
      <c r="N516" s="76">
        <f>[1]Ag_Inputs!D119</f>
        <v>7.2374516402375608</v>
      </c>
    </row>
    <row r="517" spans="1:39">
      <c r="A517" s="59" t="s">
        <v>825</v>
      </c>
      <c r="B517" s="76">
        <f>[1]Ag_Inputs!$I120</f>
        <v>3.9030126321925485E-2</v>
      </c>
      <c r="C517" s="76">
        <f>[1]Ag_Inputs!BC120</f>
        <v>0.5558056675291263</v>
      </c>
      <c r="D517" s="76">
        <f>[1]Ag_Inputs!BD120</f>
        <v>0.7600995704505773</v>
      </c>
      <c r="E517" s="76">
        <f>[1]Ag_Inputs!BE120</f>
        <v>15.895332617876749</v>
      </c>
      <c r="F517" s="76">
        <f>[1]Ag_Inputs!BF120</f>
        <v>20.753212315119033</v>
      </c>
      <c r="G517" s="76">
        <f>[1]Ag_Inputs!BG120</f>
        <v>1.1004189917429632</v>
      </c>
      <c r="H517" s="76">
        <f>[1]Ag_Inputs!BH120</f>
        <v>0.57357426157881031</v>
      </c>
      <c r="I517" s="76">
        <f>[1]Ag_Inputs!EX85</f>
        <v>1.4802275993400302</v>
      </c>
      <c r="J517" s="76">
        <f>[1]Ag_Inputs!B120</f>
        <v>3.2670455136667744</v>
      </c>
      <c r="K517" s="76">
        <f>[1]Ag_Inputs!BI120</f>
        <v>3.7572712853762082</v>
      </c>
      <c r="L517" s="76">
        <f>[1]Ag_Inputs!S120</f>
        <v>16.578817845891173</v>
      </c>
      <c r="M517" s="76">
        <f>[1]Ag_Inputs!BJ120</f>
        <v>6.9943910643762335</v>
      </c>
      <c r="N517" s="76">
        <f>[1]Ag_Inputs!D120</f>
        <v>6.4807538787025063</v>
      </c>
    </row>
    <row r="518" spans="1:39">
      <c r="A518" s="59" t="s">
        <v>826</v>
      </c>
      <c r="B518" s="76">
        <f>[1]Ag_Inputs!$I121</f>
        <v>9.136272393306541E-2</v>
      </c>
      <c r="C518" s="76">
        <f>[1]Ag_Inputs!BC121</f>
        <v>4.0348874062284592</v>
      </c>
      <c r="D518" s="76">
        <f>[1]Ag_Inputs!BD121</f>
        <v>7.6820821711845113</v>
      </c>
      <c r="E518" s="76">
        <f>[1]Ag_Inputs!BE121</f>
        <v>120.29862838086358</v>
      </c>
      <c r="F518" s="76">
        <f>[1]Ag_Inputs!BF121</f>
        <v>223.20434422276813</v>
      </c>
      <c r="G518" s="76">
        <f>[1]Ag_Inputs!BG121</f>
        <v>8.0351702842159529</v>
      </c>
      <c r="H518" s="76">
        <f>[1]Ag_Inputs!BH121</f>
        <v>3.2905438203151762</v>
      </c>
      <c r="I518" s="76">
        <f>[1]Ag_Inputs!EX86</f>
        <v>8.8564701569071591</v>
      </c>
      <c r="J518" s="76">
        <f>[1]Ag_Inputs!B121</f>
        <v>26.047084929251056</v>
      </c>
      <c r="K518" s="76">
        <f>[1]Ag_Inputs!BI121</f>
        <v>29.416185416486215</v>
      </c>
      <c r="L518" s="76">
        <f>[1]Ag_Inputs!S121</f>
        <v>127.9367708049795</v>
      </c>
      <c r="M518" s="76">
        <f>[1]Ag_Inputs!BJ121</f>
        <v>55.302637661044471</v>
      </c>
      <c r="N518" s="76">
        <f>[1]Ag_Inputs!D121</f>
        <v>50.90366888267156</v>
      </c>
    </row>
    <row r="519" spans="1:39">
      <c r="A519" s="59" t="s">
        <v>827</v>
      </c>
      <c r="B519" s="76">
        <f>[1]Ag_Inputs!$I122</f>
        <v>4.887358606919817E-3</v>
      </c>
      <c r="C519" s="76">
        <f>[1]Ag_Inputs!BC122</f>
        <v>3.5884710133770592E-2</v>
      </c>
      <c r="D519" s="76">
        <f>[1]Ag_Inputs!BD122</f>
        <v>4.5951107626409048E-2</v>
      </c>
      <c r="E519" s="76">
        <f>[1]Ag_Inputs!BE122</f>
        <v>0.92373820101168835</v>
      </c>
      <c r="F519" s="76">
        <f>[1]Ag_Inputs!BF122</f>
        <v>1.0813451371081595</v>
      </c>
      <c r="G519" s="76">
        <f>[1]Ag_Inputs!BG122</f>
        <v>0.14297900238188035</v>
      </c>
      <c r="H519" s="76">
        <f>[1]Ag_Inputs!BH122</f>
        <v>5.6521552352692253E-2</v>
      </c>
      <c r="I519" s="76">
        <f>[1]Ag_Inputs!EX87</f>
        <v>0.15828335620488307</v>
      </c>
      <c r="J519" s="76">
        <f>[1]Ag_Inputs!B122</f>
        <v>0.39101748068799402</v>
      </c>
      <c r="K519" s="76">
        <f>[1]Ag_Inputs!BI122</f>
        <v>0.48050921921907164</v>
      </c>
      <c r="L519" s="76">
        <f>[1]Ag_Inputs!S122</f>
        <v>1.8914172513545242</v>
      </c>
      <c r="M519" s="76">
        <f>[1]Ag_Inputs!BJ122</f>
        <v>0.65913620904424008</v>
      </c>
      <c r="N519" s="76">
        <f>[1]Ag_Inputs!D122</f>
        <v>0.85385740644559183</v>
      </c>
    </row>
    <row r="520" spans="1:39">
      <c r="A520" s="118" t="s">
        <v>828</v>
      </c>
      <c r="B520" s="79">
        <f>[1]Ag_Inputs!$I123</f>
        <v>7.0374479543004352E-3</v>
      </c>
      <c r="C520" s="79">
        <f>[1]Ag_Inputs!BC123</f>
        <v>0.15854690350696832</v>
      </c>
      <c r="D520" s="79">
        <f>[1]Ag_Inputs!BD123</f>
        <v>0.12820924700942246</v>
      </c>
      <c r="E520" s="79">
        <f>[1]Ag_Inputs!BE123</f>
        <v>4.4841476838419965</v>
      </c>
      <c r="F520" s="79">
        <f>[1]Ag_Inputs!BF123</f>
        <v>3.3282108480291184</v>
      </c>
      <c r="G520" s="79">
        <f>[1]Ag_Inputs!BG123</f>
        <v>0.41986049773161876</v>
      </c>
      <c r="H520" s="79">
        <f>[1]Ag_Inputs!BH123</f>
        <v>9.4959077404743519E-2</v>
      </c>
      <c r="I520" s="79">
        <f>[1]Ag_Inputs!EX88</f>
        <v>0.48282251861824921</v>
      </c>
      <c r="J520" s="79">
        <f>[1]Ag_Inputs!B123</f>
        <v>1.1071991763985429</v>
      </c>
      <c r="K520" s="79">
        <f>[1]Ag_Inputs!BI123</f>
        <v>1.3464283020803702</v>
      </c>
      <c r="L520" s="79">
        <f>[1]Ag_Inputs!S123</f>
        <v>5.7005602389298922</v>
      </c>
      <c r="M520" s="79">
        <f>[1]Ag_Inputs!BJ123</f>
        <v>2.2358944538252707</v>
      </c>
      <c r="N520" s="79">
        <f>[1]Ag_Inputs!D123</f>
        <v>2.3552932713845758</v>
      </c>
    </row>
    <row r="522" spans="1:39" ht="15.75">
      <c r="A522" s="81" t="s">
        <v>2132</v>
      </c>
      <c r="D522" s="81" t="s">
        <v>2133</v>
      </c>
      <c r="I522" s="1464"/>
      <c r="K522" s="81" t="s">
        <v>2134</v>
      </c>
      <c r="N522" s="120" t="s">
        <v>2135</v>
      </c>
      <c r="O522" s="1288"/>
      <c r="P522" s="1288"/>
      <c r="Q522" s="1288"/>
      <c r="R522" s="1288"/>
      <c r="S522" s="1288"/>
      <c r="T522" s="1288"/>
      <c r="U522" s="1288"/>
      <c r="V522" s="1288"/>
      <c r="W522" s="1288"/>
      <c r="X522" s="1288"/>
      <c r="Y522" s="1288"/>
      <c r="Z522" s="1288"/>
      <c r="AA522" s="1288"/>
      <c r="AB522" s="1288"/>
      <c r="AC522" s="1288"/>
      <c r="AD522" s="1288"/>
      <c r="AE522" s="1288"/>
      <c r="AF522" s="1288"/>
      <c r="AG522" s="1288"/>
      <c r="AH522" s="1288"/>
      <c r="AI522" s="1288"/>
      <c r="AJ522" s="1288"/>
      <c r="AK522" s="1288"/>
      <c r="AL522" s="1288"/>
      <c r="AM522" s="1288"/>
    </row>
    <row r="523" spans="1:39" ht="63.75">
      <c r="A523" s="80"/>
      <c r="B523" s="1833" t="s">
        <v>1853</v>
      </c>
      <c r="D523" s="80"/>
      <c r="E523" s="1833" t="s">
        <v>1543</v>
      </c>
      <c r="F523" s="1833" t="s">
        <v>999</v>
      </c>
      <c r="G523" s="1833" t="s">
        <v>2136</v>
      </c>
      <c r="H523" s="1833" t="e">
        <f>#REF!</f>
        <v>#REF!</v>
      </c>
      <c r="I523" s="1833" t="s">
        <v>1006</v>
      </c>
      <c r="J523" s="2542" t="s">
        <v>2137</v>
      </c>
      <c r="K523" s="1932" t="s">
        <v>2138</v>
      </c>
      <c r="L523" s="1932" t="s">
        <v>2139</v>
      </c>
      <c r="N523" s="1075"/>
      <c r="O523" s="2541" t="s">
        <v>2140</v>
      </c>
      <c r="P523" s="2541" t="s">
        <v>2141</v>
      </c>
      <c r="Q523" s="2541" t="s">
        <v>2142</v>
      </c>
      <c r="R523" s="2541" t="s">
        <v>2143</v>
      </c>
      <c r="S523" s="2541" t="s">
        <v>2144</v>
      </c>
      <c r="T523" s="2541" t="s">
        <v>2145</v>
      </c>
      <c r="U523" s="2541" t="s">
        <v>2146</v>
      </c>
      <c r="V523" s="2541" t="s">
        <v>2147</v>
      </c>
      <c r="W523" s="2541" t="s">
        <v>2148</v>
      </c>
      <c r="X523" s="2541" t="s">
        <v>2149</v>
      </c>
      <c r="Y523" s="2541" t="s">
        <v>2150</v>
      </c>
      <c r="Z523" s="2541" t="s">
        <v>2151</v>
      </c>
      <c r="AA523" s="2541" t="s">
        <v>2152</v>
      </c>
      <c r="AB523" s="2541" t="s">
        <v>2153</v>
      </c>
      <c r="AC523" s="2541" t="s">
        <v>2154</v>
      </c>
      <c r="AD523" s="2534" t="s">
        <v>545</v>
      </c>
      <c r="AE523" s="2532" t="s">
        <v>395</v>
      </c>
      <c r="AF523" s="2532" t="s">
        <v>396</v>
      </c>
      <c r="AG523" s="2532" t="s">
        <v>397</v>
      </c>
      <c r="AH523" s="2532" t="s">
        <v>398</v>
      </c>
      <c r="AI523" s="2541" t="s">
        <v>399</v>
      </c>
      <c r="AJ523" s="2532" t="s">
        <v>400</v>
      </c>
      <c r="AK523" s="2532" t="s">
        <v>401</v>
      </c>
      <c r="AL523" s="2541" t="s">
        <v>402</v>
      </c>
      <c r="AM523" s="2541" t="s">
        <v>2280</v>
      </c>
    </row>
    <row r="524" spans="1:39">
      <c r="A524" s="482" t="s">
        <v>2155</v>
      </c>
      <c r="B524" s="59"/>
      <c r="D524" s="482" t="s">
        <v>2155</v>
      </c>
      <c r="E524" s="59"/>
      <c r="F524" s="59"/>
      <c r="G524" s="59"/>
      <c r="H524" s="59"/>
      <c r="I524" s="59"/>
      <c r="J524" s="1288"/>
      <c r="K524" s="58"/>
      <c r="L524" s="58"/>
      <c r="N524" s="482" t="s">
        <v>2155</v>
      </c>
      <c r="O524" s="488"/>
      <c r="P524" s="488"/>
      <c r="Q524" s="488"/>
      <c r="R524" s="488"/>
      <c r="S524" s="488"/>
      <c r="T524" s="488"/>
      <c r="U524" s="488"/>
      <c r="V524" s="488"/>
      <c r="W524" s="488"/>
      <c r="X524" s="488"/>
      <c r="Y524" s="488"/>
      <c r="Z524" s="488"/>
      <c r="AA524" s="488"/>
      <c r="AB524" s="488"/>
      <c r="AC524" s="488"/>
      <c r="AD524" s="488"/>
      <c r="AE524" s="488"/>
      <c r="AF524" s="488"/>
      <c r="AG524" s="488"/>
      <c r="AH524" s="488"/>
      <c r="AI524" s="488"/>
      <c r="AJ524" s="488"/>
      <c r="AK524" s="488"/>
      <c r="AL524" s="488"/>
      <c r="AM524" s="488"/>
    </row>
    <row r="525" spans="1:39">
      <c r="A525" s="59" t="s">
        <v>816</v>
      </c>
      <c r="B525" s="76">
        <f>[1]Enzymes_Yeast!F82</f>
        <v>27.581918666336783</v>
      </c>
      <c r="D525" s="59" t="s">
        <v>816</v>
      </c>
      <c r="E525" s="76">
        <f>[1]Chemicals!T147</f>
        <v>51.699025058349832</v>
      </c>
      <c r="F525" s="76">
        <f>[1]Chemicals!B147</f>
        <v>2.6364718422641102</v>
      </c>
      <c r="G525" s="76">
        <f>[1]Ag_Inputs!$G97*142/2/98</f>
        <v>13.62448870046255</v>
      </c>
      <c r="H525" s="76">
        <f>[1]Chemicals!AF147</f>
        <v>60.952324939334659</v>
      </c>
      <c r="I525" s="76">
        <f>[1]Chemicals!BE147</f>
        <v>2.6364718422641102</v>
      </c>
      <c r="J525" s="1237">
        <f>[1]Chemicals!AJ147</f>
        <v>38.907451643223773</v>
      </c>
      <c r="K525" s="76">
        <f>[1]Catalyst!H134</f>
        <v>13.958222229485669</v>
      </c>
      <c r="L525" s="76">
        <f>[1]Catalyst!AD134</f>
        <v>8.628040121627647</v>
      </c>
      <c r="N525" s="488" t="s">
        <v>816</v>
      </c>
      <c r="O525" s="1237">
        <f>[1]Plastics!B212</f>
        <v>77.596002766837358</v>
      </c>
      <c r="P525" s="1237">
        <f>[1]Plastics!C212</f>
        <v>62.979293750163698</v>
      </c>
      <c r="Q525" s="1237">
        <f>[1]Plastics!D212</f>
        <v>72.636124227315989</v>
      </c>
      <c r="R525" s="1237">
        <f>[1]Plastics!E212</f>
        <v>72.945438586366762</v>
      </c>
      <c r="S525" s="1237">
        <f>[1]Plastics!F212</f>
        <v>55.116158403378762</v>
      </c>
      <c r="T525" s="1237">
        <f>[1]Plastics!G212</f>
        <v>60.495420518881886</v>
      </c>
      <c r="U525" s="1237">
        <f>[1]Plastics!H212</f>
        <v>58.475027449034584</v>
      </c>
      <c r="V525" s="1237">
        <f>[1]Plastics!I212</f>
        <v>94.835418546299437</v>
      </c>
      <c r="W525" s="1237">
        <f>[1]Plastics!J212</f>
        <v>106.69727724580859</v>
      </c>
      <c r="X525" s="1237">
        <f>[1]Plastics!K212</f>
        <v>83.806441045614477</v>
      </c>
      <c r="Y525" s="1237">
        <f>[1]Plastics!N212</f>
        <v>53.405756763063579</v>
      </c>
      <c r="Z525" s="1237">
        <f>[1]Plastics!O212</f>
        <v>52.602346934212065</v>
      </c>
      <c r="AA525" s="1237">
        <f>[1]Plastics!P212</f>
        <v>63.70823245041985</v>
      </c>
      <c r="AB525" s="1237">
        <f>[1]Plastics!Q212</f>
        <v>60.864149838191082</v>
      </c>
      <c r="AC525" s="1237">
        <f>[1]Plastics!R212</f>
        <v>43.693649474888339</v>
      </c>
      <c r="AD525" s="1237">
        <f>[1]Plastics!F179</f>
        <v>10.753744951341078</v>
      </c>
      <c r="AE525" s="1237">
        <f>[1]Plastics!C179</f>
        <v>3.6464433633775926</v>
      </c>
      <c r="AF525" s="1237">
        <f>[1]Plastics!B179</f>
        <v>8.8059798208622464</v>
      </c>
      <c r="AG525" s="1237">
        <f>[1]Plastics!G179</f>
        <v>3.4375536712597441</v>
      </c>
      <c r="AH525" s="1237">
        <f>[1]Plastics!D179</f>
        <v>3.3118142449363788</v>
      </c>
      <c r="AI525" s="1237">
        <f>[1]Plastics!I179</f>
        <v>4.3968238107912239</v>
      </c>
      <c r="AJ525" s="1237">
        <f>[1]Plastics!H179</f>
        <v>12.543521803387323</v>
      </c>
      <c r="AK525" s="1237">
        <f>[1]Plastics!E179</f>
        <v>7.7126941662541624</v>
      </c>
      <c r="AL525" s="1237">
        <f>[1]Plastics!J179</f>
        <v>5.017408721354931</v>
      </c>
      <c r="AM525" s="1237">
        <f xml:space="preserve"> [1]Chemicals!$N214</f>
        <v>48.608987838692599</v>
      </c>
    </row>
    <row r="526" spans="1:39">
      <c r="A526" s="59" t="s">
        <v>817</v>
      </c>
      <c r="B526" s="76">
        <f>[1]Enzymes_Yeast!F83</f>
        <v>24.61952370317384</v>
      </c>
      <c r="D526" s="59" t="s">
        <v>817</v>
      </c>
      <c r="E526" s="76">
        <f>[1]Chemicals!T148</f>
        <v>50.225238840493738</v>
      </c>
      <c r="F526" s="76">
        <f>[1]Chemicals!B148</f>
        <v>2.088123588820042</v>
      </c>
      <c r="G526" s="76">
        <f>[1]Ag_Inputs!$G98*142/2/98</f>
        <v>12.669948022072647</v>
      </c>
      <c r="H526" s="76">
        <f>[1]Chemicals!AF148</f>
        <v>60.39023898524789</v>
      </c>
      <c r="I526" s="76">
        <f>[1]Chemicals!BE148</f>
        <v>2.088123588820042</v>
      </c>
      <c r="J526" s="1237">
        <f>[1]Chemicals!AJ148</f>
        <v>38.318200645055015</v>
      </c>
      <c r="K526" s="76">
        <f>[1]Catalyst!H135</f>
        <v>12.032463881305377</v>
      </c>
      <c r="L526" s="76">
        <f>[1]Catalyst!AD135</f>
        <v>8.6218648459523024</v>
      </c>
      <c r="N526" s="488" t="s">
        <v>817</v>
      </c>
      <c r="O526" s="1237">
        <f>[1]Plastics!B213</f>
        <v>76.019223109284738</v>
      </c>
      <c r="P526" s="1237">
        <f>[1]Plastics!C213</f>
        <v>62.638714253519275</v>
      </c>
      <c r="Q526" s="1237">
        <f>[1]Plastics!D213</f>
        <v>71.837434091175652</v>
      </c>
      <c r="R526" s="1237">
        <f>[1]Plastics!E213</f>
        <v>72.136632449425576</v>
      </c>
      <c r="S526" s="1237">
        <f>[1]Plastics!F213</f>
        <v>54.577705008166838</v>
      </c>
      <c r="T526" s="1237">
        <f>[1]Plastics!G213</f>
        <v>59.469483527358612</v>
      </c>
      <c r="U526" s="1237">
        <f>[1]Plastics!H213</f>
        <v>58.01683403337973</v>
      </c>
      <c r="V526" s="1237">
        <f>[1]Plastics!I213</f>
        <v>92.997799235024047</v>
      </c>
      <c r="W526" s="1237">
        <f>[1]Plastics!J213</f>
        <v>103.58809836007964</v>
      </c>
      <c r="X526" s="1237">
        <f>[1]Plastics!K213</f>
        <v>81.221371877609286</v>
      </c>
      <c r="Y526" s="1237">
        <f>[1]Plastics!N213</f>
        <v>51.871761584385574</v>
      </c>
      <c r="Z526" s="1237">
        <f>[1]Plastics!O213</f>
        <v>52.16476399272878</v>
      </c>
      <c r="AA526" s="1237">
        <f>[1]Plastics!P213</f>
        <v>61.67652243984417</v>
      </c>
      <c r="AB526" s="1237">
        <f>[1]Plastics!Q213</f>
        <v>59.0329682131322</v>
      </c>
      <c r="AC526" s="1237">
        <f>[1]Plastics!R213</f>
        <v>42.557047017601541</v>
      </c>
      <c r="AD526" s="1237">
        <f>[1]Plastics!F180</f>
        <v>8.5233759055065512</v>
      </c>
      <c r="AE526" s="1237">
        <f>[1]Plastics!C180</f>
        <v>2.8880355482295657</v>
      </c>
      <c r="AF526" s="1237">
        <f>[1]Plastics!B180</f>
        <v>7.9453756034729182</v>
      </c>
      <c r="AG526" s="1237">
        <f>[1]Plastics!G180</f>
        <v>2.7225919100384397</v>
      </c>
      <c r="AH526" s="1237">
        <f>[1]Plastics!D180</f>
        <v>2.6230044773408681</v>
      </c>
      <c r="AI526" s="1237">
        <f>[1]Plastics!I180</f>
        <v>3.4823476465860397</v>
      </c>
      <c r="AJ526" s="1237">
        <f>[1]Plastics!H180</f>
        <v>9.9346495360399665</v>
      </c>
      <c r="AK526" s="1237">
        <f>[1]Plastics!E180</f>
        <v>6.1085646217558605</v>
      </c>
      <c r="AL526" s="1237">
        <f>[1]Plastics!J180</f>
        <v>3.9738598144159876</v>
      </c>
      <c r="AM526" s="1237">
        <f xml:space="preserve"> [1]Chemicals!$N215</f>
        <v>48.419506943406986</v>
      </c>
    </row>
    <row r="527" spans="1:39">
      <c r="A527" s="59" t="s">
        <v>805</v>
      </c>
      <c r="B527" s="76">
        <f>[1]Enzymes_Yeast!F84</f>
        <v>4.486187999167087</v>
      </c>
      <c r="D527" s="59" t="s">
        <v>805</v>
      </c>
      <c r="E527" s="76">
        <f>[1]Chemicals!T149</f>
        <v>1.9433754935600551</v>
      </c>
      <c r="F527" s="76">
        <f>[1]Chemicals!B149</f>
        <v>0.72487445690386099</v>
      </c>
      <c r="G527" s="76">
        <f>[1]Ag_Inputs!$G99*142/2/98</f>
        <v>1.2606276595427097</v>
      </c>
      <c r="H527" s="76">
        <f>[1]Chemicals!AF149</f>
        <v>0.74521030182023129</v>
      </c>
      <c r="I527" s="76">
        <f>[1]Chemicals!BE149</f>
        <v>0.72487445690386099</v>
      </c>
      <c r="J527" s="1237">
        <f>[1]Chemicals!AJ149</f>
        <v>0.77529282850867631</v>
      </c>
      <c r="K527" s="76">
        <f>[1]Catalyst!H136</f>
        <v>2.5764999782367553</v>
      </c>
      <c r="L527" s="76">
        <f>[1]Catalyst!AD136</f>
        <v>8.1336347279510526E-3</v>
      </c>
      <c r="N527" s="488" t="s">
        <v>805</v>
      </c>
      <c r="O527" s="1237">
        <f>[1]Plastics!B214</f>
        <v>3.417115781505375</v>
      </c>
      <c r="P527" s="1237">
        <f>[1]Plastics!C214</f>
        <v>0.44682276214470279</v>
      </c>
      <c r="Q527" s="1237">
        <f>[1]Plastics!D214</f>
        <v>1.0477263686195526</v>
      </c>
      <c r="R527" s="1237">
        <f>[1]Plastics!E214</f>
        <v>1.0611379491911492</v>
      </c>
      <c r="S527" s="1237">
        <f>[1]Plastics!F214</f>
        <v>0.7073815194525136</v>
      </c>
      <c r="T527" s="1237">
        <f>[1]Plastics!G214</f>
        <v>1.3499989517115407</v>
      </c>
      <c r="U527" s="1237">
        <f>[1]Plastics!H214</f>
        <v>0.60349225690286623</v>
      </c>
      <c r="V527" s="1237">
        <f>[1]Plastics!I214</f>
        <v>2.4206545092788616</v>
      </c>
      <c r="W527" s="1237">
        <f>[1]Plastics!J214</f>
        <v>4.100810724512451</v>
      </c>
      <c r="X527" s="1237">
        <f>[1]Plastics!K214</f>
        <v>3.7909231923750908</v>
      </c>
      <c r="Y527" s="1237">
        <f>[1]Plastics!N214</f>
        <v>2.0378089343867281</v>
      </c>
      <c r="Z527" s="1237">
        <f>[1]Plastics!O214</f>
        <v>0.56778319866556093</v>
      </c>
      <c r="AA527" s="1237">
        <f>[1]Plastics!P214</f>
        <v>3.4696300215726423</v>
      </c>
      <c r="AB527" s="1237">
        <f>[1]Plastics!Q214</f>
        <v>3.5131666771556751</v>
      </c>
      <c r="AC527" s="1237">
        <f>[1]Plastics!R214</f>
        <v>1.9420812818191651</v>
      </c>
      <c r="AD527" s="1237">
        <f>[1]Plastics!F181</f>
        <v>2.9483740808154275</v>
      </c>
      <c r="AE527" s="1237">
        <f>[1]Plastics!C181</f>
        <v>1.0025571334716477</v>
      </c>
      <c r="AF527" s="1237">
        <f>[1]Plastics!B181</f>
        <v>1.1376481493627471</v>
      </c>
      <c r="AG527" s="1237">
        <f>[1]Plastics!G181</f>
        <v>0.94512477265541883</v>
      </c>
      <c r="AH527" s="1237">
        <f>[1]Plastics!D181</f>
        <v>0.91055383701846537</v>
      </c>
      <c r="AI527" s="1237">
        <f>[1]Plastics!I181</f>
        <v>1.2088675558212083</v>
      </c>
      <c r="AJ527" s="1237">
        <f>[1]Plastics!H181</f>
        <v>3.4487296276541386</v>
      </c>
      <c r="AK527" s="1237">
        <f>[1]Plastics!E181</f>
        <v>2.1205365843118331</v>
      </c>
      <c r="AL527" s="1237">
        <f>[1]Plastics!J181</f>
        <v>1.3794918510616556</v>
      </c>
      <c r="AM527" s="1237">
        <f xml:space="preserve"> [1]Chemicals!$N216</f>
        <v>0.23996072490507064</v>
      </c>
    </row>
    <row r="528" spans="1:39">
      <c r="A528" s="59" t="s">
        <v>804</v>
      </c>
      <c r="B528" s="76">
        <f>[1]Enzymes_Yeast!F85</f>
        <v>19.191353333698519</v>
      </c>
      <c r="D528" s="59" t="s">
        <v>804</v>
      </c>
      <c r="E528" s="76">
        <f>[1]Chemicals!T150</f>
        <v>31.171703421386844</v>
      </c>
      <c r="F528" s="76">
        <f>[1]Chemicals!B150</f>
        <v>1.3405716880299723</v>
      </c>
      <c r="G528" s="76">
        <f>[1]Ag_Inputs!$G100*142/2/98</f>
        <v>7.1502635423644056</v>
      </c>
      <c r="H528" s="76">
        <f>[1]Chemicals!AF150</f>
        <v>59.33432685116582</v>
      </c>
      <c r="I528" s="76">
        <f>[1]Chemicals!BE150</f>
        <v>1.3405716880299723</v>
      </c>
      <c r="J528" s="1237">
        <f>[1]Chemicals!AJ150</f>
        <v>24.699886666985829</v>
      </c>
      <c r="K528" s="76">
        <f>[1]Catalyst!H137</f>
        <v>8.3193107866285878</v>
      </c>
      <c r="L528" s="76">
        <f>[1]Catalyst!AD137</f>
        <v>8.5095469313023582</v>
      </c>
      <c r="N528" s="488" t="s">
        <v>804</v>
      </c>
      <c r="O528" s="1237">
        <f>[1]Plastics!B215</f>
        <v>48.288034134584244</v>
      </c>
      <c r="P528" s="1237">
        <f>[1]Plastics!C215</f>
        <v>50.25288669520193</v>
      </c>
      <c r="Q528" s="1237">
        <f>[1]Plastics!D215</f>
        <v>42.3916991507528</v>
      </c>
      <c r="R528" s="1237">
        <f>[1]Plastics!E215</f>
        <v>42.813966267291484</v>
      </c>
      <c r="S528" s="1237">
        <f>[1]Plastics!F215</f>
        <v>32.583886381291208</v>
      </c>
      <c r="T528" s="1237">
        <f>[1]Plastics!G215</f>
        <v>36.274767143994822</v>
      </c>
      <c r="U528" s="1237">
        <f>[1]Plastics!H215</f>
        <v>49.656630973943741</v>
      </c>
      <c r="V528" s="1237">
        <f>[1]Plastics!I215</f>
        <v>60.532856259368423</v>
      </c>
      <c r="W528" s="1237">
        <f>[1]Plastics!J215</f>
        <v>66.763787738480616</v>
      </c>
      <c r="X528" s="1237">
        <f>[1]Plastics!K215</f>
        <v>43.479916587501172</v>
      </c>
      <c r="Y528" s="1237">
        <f>[1]Plastics!N215</f>
        <v>22.555822954669768</v>
      </c>
      <c r="Z528" s="1237">
        <f>[1]Plastics!O215</f>
        <v>14.133048311354559</v>
      </c>
      <c r="AA528" s="1237">
        <f>[1]Plastics!P215</f>
        <v>43.829135106879463</v>
      </c>
      <c r="AB528" s="1237">
        <f>[1]Plastics!Q215</f>
        <v>38.220669919513377</v>
      </c>
      <c r="AC528" s="1237">
        <f>[1]Plastics!R215</f>
        <v>36.875975045381331</v>
      </c>
      <c r="AD528" s="1237">
        <f>[1]Plastics!F182</f>
        <v>5.4714129386544057</v>
      </c>
      <c r="AE528" s="1237">
        <f>[1]Plastics!C182</f>
        <v>1.8541137654445308</v>
      </c>
      <c r="AF528" s="1237">
        <f>[1]Plastics!B182</f>
        <v>6.7552419808132749</v>
      </c>
      <c r="AG528" s="1237">
        <f>[1]Plastics!G182</f>
        <v>1.7478992393929256</v>
      </c>
      <c r="AH528" s="1237">
        <f>[1]Plastics!D182</f>
        <v>1.6839642819638037</v>
      </c>
      <c r="AI528" s="1237">
        <f>[1]Plastics!I182</f>
        <v>2.2356610920376769</v>
      </c>
      <c r="AJ528" s="1237">
        <f>[1]Plastics!H182</f>
        <v>6.3780276080502905</v>
      </c>
      <c r="AK528" s="1237">
        <f>[1]Plastics!E182</f>
        <v>3.9216877919830648</v>
      </c>
      <c r="AL528" s="1237">
        <f>[1]Plastics!J182</f>
        <v>2.5512110432201167</v>
      </c>
      <c r="AM528" s="1237">
        <f xml:space="preserve"> [1]Chemicals!$N217</f>
        <v>11.250489701406456</v>
      </c>
    </row>
    <row r="529" spans="1:39">
      <c r="A529" s="59" t="s">
        <v>818</v>
      </c>
      <c r="B529" s="76">
        <f>[1]Enzymes_Yeast!F86</f>
        <v>0.94198237030823551</v>
      </c>
      <c r="D529" s="59" t="s">
        <v>818</v>
      </c>
      <c r="E529" s="76">
        <f>[1]Chemicals!T151</f>
        <v>17.110159925546839</v>
      </c>
      <c r="F529" s="76">
        <f>[1]Chemicals!B151</f>
        <v>2.2677443886208647E-2</v>
      </c>
      <c r="G529" s="76">
        <f>[1]Ag_Inputs!$G101*142/2/98</f>
        <v>4.2590568201655321</v>
      </c>
      <c r="H529" s="76">
        <f>[1]Chemicals!AF151</f>
        <v>0.310701832261844</v>
      </c>
      <c r="I529" s="76">
        <f>[1]Chemicals!BE151</f>
        <v>2.2677443886208647E-2</v>
      </c>
      <c r="J529" s="1237">
        <f>[1]Chemicals!AJ151</f>
        <v>12.843021149560508</v>
      </c>
      <c r="K529" s="76">
        <f>[1]Catalyst!H138</f>
        <v>1.136653116440034</v>
      </c>
      <c r="L529" s="76">
        <f>[1]Catalyst!AD138</f>
        <v>0.10418427992199286</v>
      </c>
      <c r="N529" s="488" t="s">
        <v>818</v>
      </c>
      <c r="O529" s="1237">
        <f>[1]Plastics!B216</f>
        <v>24.314073193195135</v>
      </c>
      <c r="P529" s="1237">
        <f>[1]Plastics!C216</f>
        <v>11.93900479617264</v>
      </c>
      <c r="Q529" s="1237">
        <f>[1]Plastics!D216</f>
        <v>28.398008571803306</v>
      </c>
      <c r="R529" s="1237">
        <f>[1]Plastics!E216</f>
        <v>28.26152823294294</v>
      </c>
      <c r="S529" s="1237">
        <f>[1]Plastics!F216</f>
        <v>21.286437107423122</v>
      </c>
      <c r="T529" s="1237">
        <f>[1]Plastics!G216</f>
        <v>21.844717431652249</v>
      </c>
      <c r="U529" s="1237">
        <f>[1]Plastics!H216</f>
        <v>7.7567108025331271</v>
      </c>
      <c r="V529" s="1237">
        <f>[1]Plastics!I216</f>
        <v>30.044288466376766</v>
      </c>
      <c r="W529" s="1237">
        <f>[1]Plastics!J216</f>
        <v>32.723499897086583</v>
      </c>
      <c r="X529" s="1237">
        <f>[1]Plastics!K216</f>
        <v>33.950532097733003</v>
      </c>
      <c r="Y529" s="1237">
        <f>[1]Plastics!N216</f>
        <v>27.278129695329078</v>
      </c>
      <c r="Z529" s="1237">
        <f>[1]Plastics!O216</f>
        <v>37.463932482708664</v>
      </c>
      <c r="AA529" s="1237">
        <f>[1]Plastics!P216</f>
        <v>14.377757311392077</v>
      </c>
      <c r="AB529" s="1237">
        <f>[1]Plastics!Q216</f>
        <v>17.299131616463178</v>
      </c>
      <c r="AC529" s="1237">
        <f>[1]Plastics!R216</f>
        <v>3.7389906904010561</v>
      </c>
      <c r="AD529" s="1237">
        <f>[1]Plastics!F183</f>
        <v>0.1035888860367182</v>
      </c>
      <c r="AE529" s="1237">
        <f>[1]Plastics!C183</f>
        <v>3.1364649313387033E-2</v>
      </c>
      <c r="AF529" s="1237">
        <f>[1]Plastics!B183</f>
        <v>5.248547329689645E-2</v>
      </c>
      <c r="AG529" s="1237">
        <f>[1]Plastics!G183</f>
        <v>2.956789799009512E-2</v>
      </c>
      <c r="AH529" s="1237">
        <f>[1]Plastics!D183</f>
        <v>2.8486358358599015E-2</v>
      </c>
      <c r="AI529" s="1237">
        <f>[1]Plastics!I183</f>
        <v>3.7818998727154107E-2</v>
      </c>
      <c r="AJ529" s="1237">
        <f>[1]Plastics!H183</f>
        <v>0.10789230033553882</v>
      </c>
      <c r="AK529" s="1237">
        <f>[1]Plastics!E183</f>
        <v>6.6340245460962677E-2</v>
      </c>
      <c r="AL529" s="1237">
        <f>[1]Plastics!J183</f>
        <v>4.3156920134215536E-2</v>
      </c>
      <c r="AM529" s="1237">
        <f xml:space="preserve"> [1]Chemicals!$N218</f>
        <v>36.929056517095461</v>
      </c>
    </row>
    <row r="530" spans="1:39">
      <c r="A530" s="484" t="s">
        <v>819</v>
      </c>
      <c r="B530" s="76">
        <f>[1]Enzymes_Yeast!F87</f>
        <v>2812.7446529122171</v>
      </c>
      <c r="D530" s="484" t="s">
        <v>819</v>
      </c>
      <c r="E530" s="76">
        <f>[1]Chemicals!T152</f>
        <v>1540.5483717078678</v>
      </c>
      <c r="F530" s="76">
        <f>[1]Chemicals!B152</f>
        <v>141.29098356912166</v>
      </c>
      <c r="G530" s="76">
        <f>[1]Ag_Inputs!$G102*142/2/98</f>
        <v>8613.1587189261863</v>
      </c>
      <c r="H530" s="76">
        <f>[1]Chemicals!AF152</f>
        <v>404.07514953492762</v>
      </c>
      <c r="I530" s="76">
        <f>[1]Chemicals!BE152</f>
        <v>141.29098356912166</v>
      </c>
      <c r="J530" s="1237">
        <f>[1]Chemicals!AJ152</f>
        <v>1096.4613141041298</v>
      </c>
      <c r="K530" s="76">
        <f>[1]Catalyst!H139</f>
        <v>1154.6586722255424</v>
      </c>
      <c r="L530" s="76">
        <f>[1]Catalyst!AD139</f>
        <v>25.37432547874074</v>
      </c>
      <c r="N530" s="488" t="s">
        <v>819</v>
      </c>
      <c r="O530" s="1237">
        <f>[1]Plastics!B217</f>
        <v>925.77206066942119</v>
      </c>
      <c r="P530" s="1237">
        <f>[1]Plastics!C217</f>
        <v>411.61982043953935</v>
      </c>
      <c r="Q530" s="1237">
        <f>[1]Plastics!D217</f>
        <v>778.8982296233421</v>
      </c>
      <c r="R530" s="1237">
        <f>[1]Plastics!E217</f>
        <v>780.35365981645396</v>
      </c>
      <c r="S530" s="1237">
        <f>[1]Plastics!F217</f>
        <v>1583.0968805571597</v>
      </c>
      <c r="T530" s="1237">
        <f>[1]Plastics!G217</f>
        <v>1735.7790550806708</v>
      </c>
      <c r="U530" s="1237">
        <f>[1]Plastics!H217</f>
        <v>371.0281925820438</v>
      </c>
      <c r="V530" s="1237">
        <f>[1]Plastics!I217</f>
        <v>1133.9290671771985</v>
      </c>
      <c r="W530" s="1237">
        <f>[1]Plastics!J217</f>
        <v>1508.3181621414242</v>
      </c>
      <c r="X530" s="1237">
        <f>[1]Plastics!K217</f>
        <v>1333.2425902618934</v>
      </c>
      <c r="Y530" s="1237">
        <f>[1]Plastics!N217</f>
        <v>1154.1270702066618</v>
      </c>
      <c r="Z530" s="1237">
        <f>[1]Plastics!O217</f>
        <v>1176.4396771196859</v>
      </c>
      <c r="AA530" s="1237">
        <f>[1]Plastics!P217</f>
        <v>867.93046109540501</v>
      </c>
      <c r="AB530" s="1237">
        <f>[1]Plastics!Q217</f>
        <v>855.24335630167468</v>
      </c>
      <c r="AC530" s="1237">
        <f>[1]Plastics!R217</f>
        <v>443.56600092969427</v>
      </c>
      <c r="AD530" s="1237">
        <f>[1]Plastics!F184</f>
        <v>574.96853512887026</v>
      </c>
      <c r="AE530" s="1237">
        <f>[1]Plastics!C184</f>
        <v>195.41629881329291</v>
      </c>
      <c r="AF530" s="1237">
        <f>[1]Plastics!B184</f>
        <v>234.00451115639197</v>
      </c>
      <c r="AG530" s="1237">
        <f>[1]Plastics!G184</f>
        <v>184.22170549973941</v>
      </c>
      <c r="AH530" s="1237">
        <f>[1]Plastics!D184</f>
        <v>177.48321243721207</v>
      </c>
      <c r="AI530" s="1237">
        <f>[1]Plastics!I184</f>
        <v>235.62988644450445</v>
      </c>
      <c r="AJ530" s="1237">
        <f>[1]Plastics!H184</f>
        <v>672.21902567309041</v>
      </c>
      <c r="AK530" s="1237">
        <f>[1]Plastics!E184</f>
        <v>413.33046962566902</v>
      </c>
      <c r="AL530" s="1237">
        <f>[1]Plastics!J184</f>
        <v>268.88761026923618</v>
      </c>
      <c r="AM530" s="1237">
        <f xml:space="preserve"> [1]Chemicals!$N219</f>
        <v>1092.3042318411799</v>
      </c>
    </row>
    <row r="531" spans="1:39">
      <c r="A531" s="482" t="s">
        <v>2156</v>
      </c>
      <c r="B531" s="77"/>
      <c r="D531" s="482" t="s">
        <v>2156</v>
      </c>
      <c r="E531" s="77"/>
      <c r="F531" s="77"/>
      <c r="G531" s="77"/>
      <c r="H531" s="77"/>
      <c r="I531" s="77"/>
      <c r="J531" s="2728"/>
      <c r="K531" s="77"/>
      <c r="L531" s="77"/>
      <c r="N531" s="482" t="s">
        <v>2156</v>
      </c>
      <c r="O531" s="2728"/>
      <c r="P531" s="2728"/>
      <c r="Q531" s="2728"/>
      <c r="R531" s="2728"/>
      <c r="S531" s="2728"/>
      <c r="T531" s="2728"/>
      <c r="U531" s="2728"/>
      <c r="V531" s="2728"/>
      <c r="W531" s="2728"/>
      <c r="X531" s="2728"/>
      <c r="Y531" s="2728"/>
      <c r="Z531" s="2728"/>
      <c r="AA531" s="2728"/>
      <c r="AB531" s="2728"/>
      <c r="AC531" s="2728"/>
      <c r="AD531" s="2728"/>
      <c r="AE531" s="2728"/>
      <c r="AF531" s="2728"/>
      <c r="AG531" s="2728"/>
      <c r="AH531" s="2728"/>
      <c r="AI531" s="2728"/>
      <c r="AJ531" s="2728"/>
      <c r="AK531" s="2728"/>
      <c r="AL531" s="2728"/>
      <c r="AM531" s="2728"/>
    </row>
    <row r="532" spans="1:39">
      <c r="A532" s="59" t="s">
        <v>821</v>
      </c>
      <c r="B532" s="76">
        <f>[1]Enzymes_Yeast!F89</f>
        <v>246.06829187253942</v>
      </c>
      <c r="D532" s="59" t="s">
        <v>821</v>
      </c>
      <c r="E532" s="76">
        <f>[1]Chemicals!T154</f>
        <v>846.11200216680379</v>
      </c>
      <c r="F532" s="76">
        <f>[1]Chemicals!B154</f>
        <v>18.013929140109258</v>
      </c>
      <c r="G532" s="76">
        <f>[1]Ag_Inputs!$G104*142/2/98</f>
        <v>290.78124885906186</v>
      </c>
      <c r="H532" s="76">
        <f>[1]Chemicals!AF154</f>
        <v>730.08103420812517</v>
      </c>
      <c r="I532" s="76">
        <f>[1]Chemicals!BE154</f>
        <v>18.013929140109258</v>
      </c>
      <c r="J532" s="1237">
        <f>[1]Chemicals!AJ154</f>
        <v>646.99772514048402</v>
      </c>
      <c r="K532" s="76">
        <f>[1]Catalyst!H141</f>
        <v>182.41915542958532</v>
      </c>
      <c r="L532" s="76">
        <f>[1]Catalyst!AD141</f>
        <v>100.22940705194921</v>
      </c>
      <c r="N532" s="488" t="s">
        <v>821</v>
      </c>
      <c r="O532" s="1237">
        <f>[1]Plastics!B219</f>
        <v>1072.5750604791422</v>
      </c>
      <c r="P532" s="1237">
        <f>[1]Plastics!C219</f>
        <v>1169.6933939384749</v>
      </c>
      <c r="Q532" s="1237">
        <f>[1]Plastics!D219</f>
        <v>908.22783480577266</v>
      </c>
      <c r="R532" s="1237">
        <f>[1]Plastics!E219</f>
        <v>928.99198589672585</v>
      </c>
      <c r="S532" s="1237">
        <f>[1]Plastics!F219</f>
        <v>1637.899327673397</v>
      </c>
      <c r="T532" s="1237">
        <f>[1]Plastics!G219</f>
        <v>1711.9795932102829</v>
      </c>
      <c r="U532" s="1237">
        <f>[1]Plastics!H219</f>
        <v>1209.9568615935639</v>
      </c>
      <c r="V532" s="1237">
        <f>[1]Plastics!I219</f>
        <v>823.98839132469152</v>
      </c>
      <c r="W532" s="1237">
        <f>[1]Plastics!J219</f>
        <v>893.71521159902329</v>
      </c>
      <c r="X532" s="1237">
        <f>[1]Plastics!K219</f>
        <v>637.81578996464964</v>
      </c>
      <c r="Y532" s="1237">
        <f>[1]Plastics!N219</f>
        <v>1099.5771058228208</v>
      </c>
      <c r="Z532" s="1237">
        <f>[1]Plastics!O219</f>
        <v>1026.7477614685836</v>
      </c>
      <c r="AA532" s="1237">
        <f>[1]Plastics!P219</f>
        <v>886.82080714438507</v>
      </c>
      <c r="AB532" s="1237">
        <f>[1]Plastics!Q219</f>
        <v>1010.7455185324339</v>
      </c>
      <c r="AC532" s="1237">
        <f>[1]Plastics!R219</f>
        <v>730.33526161501493</v>
      </c>
      <c r="AD532" s="1237">
        <f>[1]Plastics!F186</f>
        <v>73.656124116125781</v>
      </c>
      <c r="AE532" s="1237">
        <f>[1]Plastics!C186</f>
        <v>24.914649687628035</v>
      </c>
      <c r="AF532" s="1237">
        <f>[1]Plastics!B186</f>
        <v>82.569512384024051</v>
      </c>
      <c r="AG532" s="1237">
        <f>[1]Plastics!G186</f>
        <v>23.487392224988607</v>
      </c>
      <c r="AH532" s="1237">
        <f>[1]Plastics!D186</f>
        <v>22.628266373691091</v>
      </c>
      <c r="AI532" s="1237">
        <f>[1]Plastics!I186</f>
        <v>30.041691058274516</v>
      </c>
      <c r="AJ532" s="1237">
        <f>[1]Plastics!H186</f>
        <v>85.704732101212116</v>
      </c>
      <c r="AK532" s="1237">
        <f>[1]Plastics!E186</f>
        <v>52.697671169104233</v>
      </c>
      <c r="AL532" s="1237">
        <f>[1]Plastics!J186</f>
        <v>34.281892840484851</v>
      </c>
      <c r="AM532" s="1237">
        <f xml:space="preserve"> [1]Chemicals!$N221</f>
        <v>452.30669609179438</v>
      </c>
    </row>
    <row r="533" spans="1:39">
      <c r="A533" s="59" t="s">
        <v>822</v>
      </c>
      <c r="B533" s="76">
        <f>[1]Enzymes_Yeast!F90</f>
        <v>915.72013904324626</v>
      </c>
      <c r="D533" s="59" t="s">
        <v>822</v>
      </c>
      <c r="E533" s="76">
        <f>[1]Chemicals!T155</f>
        <v>984.4130011662071</v>
      </c>
      <c r="F533" s="76">
        <f>[1]Chemicals!B155</f>
        <v>48.691457918151862</v>
      </c>
      <c r="G533" s="76">
        <f>[1]Ag_Inputs!$G105*142/2/98</f>
        <v>789.92085650354727</v>
      </c>
      <c r="H533" s="76">
        <f>[1]Chemicals!AF155</f>
        <v>2283.8314111800755</v>
      </c>
      <c r="I533" s="76">
        <f>[1]Chemicals!BE155</f>
        <v>48.691457918151862</v>
      </c>
      <c r="J533" s="1237">
        <f>[1]Chemicals!AJ155</f>
        <v>835.5471536135426</v>
      </c>
      <c r="K533" s="76">
        <f>[1]Catalyst!H142</f>
        <v>502.17175601704741</v>
      </c>
      <c r="L533" s="76">
        <f>[1]Catalyst!AD142</f>
        <v>437.76752562589706</v>
      </c>
      <c r="N533" s="488" t="s">
        <v>822</v>
      </c>
      <c r="O533" s="1237">
        <f>[1]Plastics!B220</f>
        <v>10431.173006416149</v>
      </c>
      <c r="P533" s="1237">
        <f>[1]Plastics!C220</f>
        <v>5167.4529591078945</v>
      </c>
      <c r="Q533" s="1237">
        <f>[1]Plastics!D220</f>
        <v>11043.546708857215</v>
      </c>
      <c r="R533" s="1237">
        <f>[1]Plastics!E220</f>
        <v>11001.926984330334</v>
      </c>
      <c r="S533" s="1237">
        <f>[1]Plastics!F220</f>
        <v>3636.331937273399</v>
      </c>
      <c r="T533" s="1237">
        <f>[1]Plastics!G220</f>
        <v>3803.0300771803068</v>
      </c>
      <c r="U533" s="1237">
        <f>[1]Plastics!H220</f>
        <v>4407.4103979428874</v>
      </c>
      <c r="V533" s="1237">
        <f>[1]Plastics!I220</f>
        <v>8274.1637983886358</v>
      </c>
      <c r="W533" s="1237">
        <f>[1]Plastics!J220</f>
        <v>4876.8701831040389</v>
      </c>
      <c r="X533" s="1237">
        <f>[1]Plastics!K220</f>
        <v>2437.865480320796</v>
      </c>
      <c r="Y533" s="1237">
        <f>[1]Plastics!N220</f>
        <v>13108.552804620305</v>
      </c>
      <c r="Z533" s="1237">
        <f>[1]Plastics!O220</f>
        <v>5978.1339907268557</v>
      </c>
      <c r="AA533" s="1237">
        <f>[1]Plastics!P220</f>
        <v>6259.5455042627036</v>
      </c>
      <c r="AB533" s="1237">
        <f>[1]Plastics!Q220</f>
        <v>7065.274820424831</v>
      </c>
      <c r="AC533" s="1237">
        <f>[1]Plastics!R220</f>
        <v>2749.2197691929387</v>
      </c>
      <c r="AD533" s="1237">
        <f>[1]Plastics!F187</f>
        <v>201.30101807729716</v>
      </c>
      <c r="AE533" s="1237">
        <f>[1]Plastics!C187</f>
        <v>67.344031797566956</v>
      </c>
      <c r="AF533" s="1237">
        <f>[1]Plastics!B187</f>
        <v>302.85593645914105</v>
      </c>
      <c r="AG533" s="1237">
        <f>[1]Plastics!G187</f>
        <v>63.48617013174416</v>
      </c>
      <c r="AH533" s="1237">
        <f>[1]Plastics!D187</f>
        <v>61.163962138724607</v>
      </c>
      <c r="AI533" s="1237">
        <f>[1]Plastics!I187</f>
        <v>81.202369820425574</v>
      </c>
      <c r="AJ533" s="1237">
        <f>[1]Plastics!H187</f>
        <v>231.65897478751481</v>
      </c>
      <c r="AK533" s="1237">
        <f>[1]Plastics!E187</f>
        <v>142.44124189440888</v>
      </c>
      <c r="AL533" s="1237">
        <f>[1]Plastics!J187</f>
        <v>92.663589915005929</v>
      </c>
      <c r="AM533" s="1237">
        <f xml:space="preserve"> [1]Chemicals!$N222</f>
        <v>592.00056561061285</v>
      </c>
    </row>
    <row r="534" spans="1:39">
      <c r="A534" s="59" t="s">
        <v>823</v>
      </c>
      <c r="B534" s="76">
        <f>[1]Enzymes_Yeast!F91</f>
        <v>1538.7321009648394</v>
      </c>
      <c r="D534" s="59" t="s">
        <v>823</v>
      </c>
      <c r="E534" s="76">
        <f>[1]Chemicals!T156</f>
        <v>1441.5895692786014</v>
      </c>
      <c r="F534" s="76">
        <f>[1]Chemicals!B156</f>
        <v>100.30742943791151</v>
      </c>
      <c r="G534" s="76">
        <f>[1]Ag_Inputs!$G106*142/2/98</f>
        <v>3984.621106011843</v>
      </c>
      <c r="H534" s="76">
        <f>[1]Chemicals!AF156</f>
        <v>3073.5820151486628</v>
      </c>
      <c r="I534" s="76">
        <f>[1]Chemicals!BE156</f>
        <v>100.30742943791151</v>
      </c>
      <c r="J534" s="1237">
        <f>[1]Chemicals!AJ156</f>
        <v>1170.2795529204723</v>
      </c>
      <c r="K534" s="76">
        <f>[1]Catalyst!H143</f>
        <v>909.37731155218137</v>
      </c>
      <c r="L534" s="76">
        <f>[1]Catalyst!AD143</f>
        <v>589.50432361195533</v>
      </c>
      <c r="N534" s="488" t="s">
        <v>823</v>
      </c>
      <c r="O534" s="1237">
        <f>[1]Plastics!B221</f>
        <v>3815.3709824858011</v>
      </c>
      <c r="P534" s="1237">
        <f>[1]Plastics!C221</f>
        <v>2177.9182493251124</v>
      </c>
      <c r="Q534" s="1237">
        <f>[1]Plastics!D221</f>
        <v>3105.0183854301895</v>
      </c>
      <c r="R534" s="1237">
        <f>[1]Plastics!E221</f>
        <v>3102.5331459813833</v>
      </c>
      <c r="S534" s="1237">
        <f>[1]Plastics!F221</f>
        <v>1429.7453983134715</v>
      </c>
      <c r="T534" s="1237">
        <f>[1]Plastics!G221</f>
        <v>1663.4763787485654</v>
      </c>
      <c r="U534" s="1237">
        <f>[1]Plastics!H221</f>
        <v>2253.5867879032157</v>
      </c>
      <c r="V534" s="1237">
        <f>[1]Plastics!I221</f>
        <v>13192.507699890419</v>
      </c>
      <c r="W534" s="1237">
        <f>[1]Plastics!J221</f>
        <v>7280.2928113699181</v>
      </c>
      <c r="X534" s="1237">
        <f>[1]Plastics!K221</f>
        <v>4296.1494981184569</v>
      </c>
      <c r="Y534" s="1237">
        <f>[1]Plastics!N221</f>
        <v>1760.0178594008939</v>
      </c>
      <c r="Z534" s="1237">
        <f>[1]Plastics!O221</f>
        <v>1153.3314026523449</v>
      </c>
      <c r="AA534" s="1237">
        <f>[1]Plastics!P221</f>
        <v>3395.45439002701</v>
      </c>
      <c r="AB534" s="1237">
        <f>[1]Plastics!Q221</f>
        <v>3482.507244704655</v>
      </c>
      <c r="AC534" s="1237">
        <f>[1]Plastics!R221</f>
        <v>2093.5593264302211</v>
      </c>
      <c r="AD534" s="1237">
        <f>[1]Plastics!F188</f>
        <v>411.38326367622341</v>
      </c>
      <c r="AE534" s="1237">
        <f>[1]Plastics!C188</f>
        <v>138.73289086874223</v>
      </c>
      <c r="AF534" s="1237">
        <f>[1]Plastics!B188</f>
        <v>465.05778626967435</v>
      </c>
      <c r="AG534" s="1237">
        <f>[1]Plastics!G188</f>
        <v>130.78545607481539</v>
      </c>
      <c r="AH534" s="1237">
        <f>[1]Plastics!D188</f>
        <v>126.00156328623807</v>
      </c>
      <c r="AI534" s="1237">
        <f>[1]Plastics!I188</f>
        <v>167.28192847799397</v>
      </c>
      <c r="AJ534" s="1237">
        <f>[1]Plastics!H188</f>
        <v>477.23188544114049</v>
      </c>
      <c r="AK534" s="1237">
        <f>[1]Plastics!E188</f>
        <v>293.4378108864442</v>
      </c>
      <c r="AL534" s="1237">
        <f>[1]Plastics!J188</f>
        <v>190.89275417645624</v>
      </c>
      <c r="AM534" s="1237">
        <f xml:space="preserve"> [1]Chemicals!$N223</f>
        <v>820.32527122798558</v>
      </c>
    </row>
    <row r="535" spans="1:39">
      <c r="A535" s="59" t="s">
        <v>824</v>
      </c>
      <c r="B535" s="76">
        <f>[1]Enzymes_Yeast!F92</f>
        <v>156.32513173420713</v>
      </c>
      <c r="D535" s="59" t="s">
        <v>824</v>
      </c>
      <c r="E535" s="76">
        <f>[1]Chemicals!T157</f>
        <v>118.78982533120535</v>
      </c>
      <c r="F535" s="76">
        <f>[1]Chemicals!B157</f>
        <v>16.056839092527738</v>
      </c>
      <c r="G535" s="76">
        <f>[1]Ag_Inputs!$G107*142/2/98</f>
        <v>942.33400364736212</v>
      </c>
      <c r="H535" s="76">
        <f>[1]Chemicals!AF157</f>
        <v>178.77335374029866</v>
      </c>
      <c r="I535" s="76">
        <f>[1]Chemicals!BE157</f>
        <v>16.056839092527738</v>
      </c>
      <c r="J535" s="1237">
        <f>[1]Chemicals!AJ157</f>
        <v>83.828398036640237</v>
      </c>
      <c r="K535" s="76">
        <f>[1]Catalyst!H144</f>
        <v>153.61073230208956</v>
      </c>
      <c r="L535" s="76">
        <f>[1]Catalyst!AD144</f>
        <v>30.904150144503273</v>
      </c>
      <c r="N535" s="488" t="s">
        <v>824</v>
      </c>
      <c r="O535" s="1237">
        <f>[1]Plastics!B222</f>
        <v>257.17103835173839</v>
      </c>
      <c r="P535" s="1237">
        <f>[1]Plastics!C222</f>
        <v>157.33458819847166</v>
      </c>
      <c r="Q535" s="1237">
        <f>[1]Plastics!D222</f>
        <v>220.59517501989092</v>
      </c>
      <c r="R535" s="1237">
        <f>[1]Plastics!E222</f>
        <v>232.84652993154376</v>
      </c>
      <c r="S535" s="1237">
        <f>[1]Plastics!F222</f>
        <v>225.68249123896294</v>
      </c>
      <c r="T535" s="1237">
        <f>[1]Plastics!G222</f>
        <v>239.95207481146983</v>
      </c>
      <c r="U535" s="1237">
        <f>[1]Plastics!H222</f>
        <v>180.14742248702572</v>
      </c>
      <c r="V535" s="1237">
        <f>[1]Plastics!I222</f>
        <v>786.69572361256792</v>
      </c>
      <c r="W535" s="1237">
        <f>[1]Plastics!J222</f>
        <v>798.4398019557874</v>
      </c>
      <c r="X535" s="1237">
        <f>[1]Plastics!K222</f>
        <v>461.54047377038876</v>
      </c>
      <c r="Y535" s="1237">
        <f>[1]Plastics!N222</f>
        <v>138.4989131359867</v>
      </c>
      <c r="Z535" s="1237">
        <f>[1]Plastics!O222</f>
        <v>182.15494606842441</v>
      </c>
      <c r="AA535" s="1237">
        <f>[1]Plastics!P222</f>
        <v>362.74389893072396</v>
      </c>
      <c r="AB535" s="1237">
        <f>[1]Plastics!Q222</f>
        <v>369.50722012301173</v>
      </c>
      <c r="AC535" s="1237">
        <f>[1]Plastics!R222</f>
        <v>166.73613558478317</v>
      </c>
      <c r="AD535" s="1237">
        <f>[1]Plastics!F189</f>
        <v>65.533456111367997</v>
      </c>
      <c r="AE535" s="1237">
        <f>[1]Plastics!C189</f>
        <v>22.207843606434519</v>
      </c>
      <c r="AF535" s="1237">
        <f>[1]Plastics!B189</f>
        <v>41.763147812206462</v>
      </c>
      <c r="AG535" s="1237">
        <f>[1]Plastics!G189</f>
        <v>20.935647893718862</v>
      </c>
      <c r="AH535" s="1237">
        <f>[1]Plastics!D189</f>
        <v>20.169860183152153</v>
      </c>
      <c r="AI535" s="1237">
        <f>[1]Plastics!I189</f>
        <v>26.777867040461647</v>
      </c>
      <c r="AJ535" s="1237">
        <f>[1]Plastics!H189</f>
        <v>76.393499836372357</v>
      </c>
      <c r="AK535" s="1237">
        <f>[1]Plastics!E189</f>
        <v>46.972430052986915</v>
      </c>
      <c r="AL535" s="1237">
        <f>[1]Plastics!J189</f>
        <v>30.557399934548947</v>
      </c>
      <c r="AM535" s="1237">
        <f xml:space="preserve"> [1]Chemicals!$N224</f>
        <v>75.624030509861214</v>
      </c>
    </row>
    <row r="536" spans="1:39">
      <c r="A536" s="59" t="s">
        <v>825</v>
      </c>
      <c r="B536" s="76">
        <f>[1]Enzymes_Yeast!F93</f>
        <v>107.01414091920527</v>
      </c>
      <c r="D536" s="59" t="s">
        <v>825</v>
      </c>
      <c r="E536" s="76">
        <f>[1]Chemicals!T158</f>
        <v>95.933231252537055</v>
      </c>
      <c r="F536" s="76">
        <f>[1]Chemicals!B158</f>
        <v>9.6384311519474348</v>
      </c>
      <c r="G536" s="76">
        <f>[1]Ag_Inputs!$G108*142/2/98</f>
        <v>742.52460938720776</v>
      </c>
      <c r="H536" s="76">
        <f>[1]Chemicals!AF158</f>
        <v>169.65316533457147</v>
      </c>
      <c r="I536" s="76">
        <f>[1]Chemicals!BE158</f>
        <v>9.6384311519474348</v>
      </c>
      <c r="J536" s="1237">
        <f>[1]Chemicals!AJ158</f>
        <v>72.240149797399781</v>
      </c>
      <c r="K536" s="76">
        <f>[1]Catalyst!H145</f>
        <v>112.36051233001348</v>
      </c>
      <c r="L536" s="76">
        <f>[1]Catalyst!AD145</f>
        <v>30.219300024541578</v>
      </c>
      <c r="N536" s="488" t="s">
        <v>825</v>
      </c>
      <c r="O536" s="1237">
        <f>[1]Plastics!B223</f>
        <v>146.59659053362094</v>
      </c>
      <c r="P536" s="1237">
        <f>[1]Plastics!C223</f>
        <v>65.538664897845123</v>
      </c>
      <c r="Q536" s="1237">
        <f>[1]Plastics!D223</f>
        <v>142.61957450893274</v>
      </c>
      <c r="R536" s="1237">
        <f>[1]Plastics!E223</f>
        <v>141.81902333144109</v>
      </c>
      <c r="S536" s="1237">
        <f>[1]Plastics!F223</f>
        <v>96.321864066449635</v>
      </c>
      <c r="T536" s="1237">
        <f>[1]Plastics!G223</f>
        <v>107.89660375880001</v>
      </c>
      <c r="U536" s="1237">
        <f>[1]Plastics!H223</f>
        <v>77.506565042354822</v>
      </c>
      <c r="V536" s="1237">
        <f>[1]Plastics!I223</f>
        <v>417.86211830165456</v>
      </c>
      <c r="W536" s="1237">
        <f>[1]Plastics!J223</f>
        <v>486.93910795859205</v>
      </c>
      <c r="X536" s="1237">
        <f>[1]Plastics!K223</f>
        <v>303.05868170062172</v>
      </c>
      <c r="Y536" s="1237">
        <f>[1]Plastics!N223</f>
        <v>99.218458634706479</v>
      </c>
      <c r="Z536" s="1237">
        <f>[1]Plastics!O223</f>
        <v>78.754610373610433</v>
      </c>
      <c r="AA536" s="1237">
        <f>[1]Plastics!P223</f>
        <v>189.87414962075928</v>
      </c>
      <c r="AB536" s="1237">
        <f>[1]Plastics!Q223</f>
        <v>203.64297246712374</v>
      </c>
      <c r="AC536" s="1237">
        <f>[1]Plastics!R223</f>
        <v>94.833734449033514</v>
      </c>
      <c r="AD536" s="1237">
        <f>[1]Plastics!F190</f>
        <v>39.423217775693203</v>
      </c>
      <c r="AE536" s="1237">
        <f>[1]Plastics!C190</f>
        <v>13.33069170092422</v>
      </c>
      <c r="AF536" s="1237">
        <f>[1]Plastics!B190</f>
        <v>31.551478302608352</v>
      </c>
      <c r="AG536" s="1237">
        <f>[1]Plastics!G190</f>
        <v>12.567031386577616</v>
      </c>
      <c r="AH536" s="1237">
        <f>[1]Plastics!D190</f>
        <v>12.107352362407815</v>
      </c>
      <c r="AI536" s="1237">
        <f>[1]Plastics!I190</f>
        <v>16.073937490324646</v>
      </c>
      <c r="AJ536" s="1237">
        <f>[1]Plastics!H190</f>
        <v>45.856689749842211</v>
      </c>
      <c r="AK536" s="1237">
        <f>[1]Plastics!E190</f>
        <v>28.196118208350839</v>
      </c>
      <c r="AL536" s="1237">
        <f>[1]Plastics!J190</f>
        <v>18.342675899936886</v>
      </c>
      <c r="AM536" s="1237">
        <f xml:space="preserve"> [1]Chemicals!$N225</f>
        <v>66.003550590029022</v>
      </c>
    </row>
    <row r="537" spans="1:39">
      <c r="A537" s="59" t="s">
        <v>826</v>
      </c>
      <c r="B537" s="76">
        <f>[1]Enzymes_Yeast!F94</f>
        <v>785.933534059934</v>
      </c>
      <c r="D537" s="59" t="s">
        <v>826</v>
      </c>
      <c r="E537" s="76">
        <f>[1]Chemicals!T159</f>
        <v>586.81780644282935</v>
      </c>
      <c r="F537" s="76">
        <f>[1]Chemicals!B159</f>
        <v>84.221921714843376</v>
      </c>
      <c r="G537" s="76">
        <f>[1]Ag_Inputs!$G109*142/2/98</f>
        <v>9903.1495745072934</v>
      </c>
      <c r="H537" s="76">
        <f>[1]Chemicals!AF159</f>
        <v>679.22036202182142</v>
      </c>
      <c r="I537" s="76">
        <f>[1]Chemicals!BE159</f>
        <v>84.221921714843376</v>
      </c>
      <c r="J537" s="1237">
        <f>[1]Chemicals!AJ159</f>
        <v>387.31790386698236</v>
      </c>
      <c r="K537" s="76">
        <f>[1]Catalyst!H146</f>
        <v>894.24409520396046</v>
      </c>
      <c r="L537" s="76">
        <f>[1]Catalyst!AD146</f>
        <v>88.339509916009874</v>
      </c>
      <c r="N537" s="488" t="s">
        <v>826</v>
      </c>
      <c r="O537" s="1237">
        <f>[1]Plastics!B224</f>
        <v>16597.898086344059</v>
      </c>
      <c r="P537" s="1237">
        <f>[1]Plastics!C224</f>
        <v>20729.440761920367</v>
      </c>
      <c r="Q537" s="1237">
        <f>[1]Plastics!D224</f>
        <v>13102.125124166721</v>
      </c>
      <c r="R537" s="1237">
        <f>[1]Plastics!E224</f>
        <v>13566.498511051901</v>
      </c>
      <c r="S537" s="1237">
        <f>[1]Plastics!F224</f>
        <v>21638.48273409441</v>
      </c>
      <c r="T537" s="1237">
        <f>[1]Plastics!G224</f>
        <v>22194.185450956553</v>
      </c>
      <c r="U537" s="1237">
        <f>[1]Plastics!H224</f>
        <v>22020.523573883103</v>
      </c>
      <c r="V537" s="1237">
        <f>[1]Plastics!I224</f>
        <v>3012.6763872940687</v>
      </c>
      <c r="W537" s="1237">
        <f>[1]Plastics!J224</f>
        <v>2898.529209542115</v>
      </c>
      <c r="X537" s="1237">
        <f>[1]Plastics!K224</f>
        <v>1925.9980994738269</v>
      </c>
      <c r="Y537" s="1237">
        <f>[1]Plastics!N224</f>
        <v>6960.7542898320226</v>
      </c>
      <c r="Z537" s="1237">
        <f>[1]Plastics!O224</f>
        <v>17958.647992426846</v>
      </c>
      <c r="AA537" s="1237">
        <f>[1]Plastics!P224</f>
        <v>12309.143800506332</v>
      </c>
      <c r="AB537" s="1237">
        <f>[1]Plastics!Q224</f>
        <v>11211.797079327558</v>
      </c>
      <c r="AC537" s="1237">
        <f>[1]Plastics!R224</f>
        <v>10435.593050640837</v>
      </c>
      <c r="AD537" s="1237">
        <f>[1]Plastics!F191</f>
        <v>342.96199822536494</v>
      </c>
      <c r="AE537" s="1237">
        <f>[1]Plastics!C191</f>
        <v>116.48539634099107</v>
      </c>
      <c r="AF537" s="1237">
        <f>[1]Plastics!B191</f>
        <v>179.91388317307005</v>
      </c>
      <c r="AG537" s="1237">
        <f>[1]Plastics!G191</f>
        <v>109.81242869743041</v>
      </c>
      <c r="AH537" s="1237">
        <f>[1]Plastics!D191</f>
        <v>105.79569089256864</v>
      </c>
      <c r="AI537" s="1237">
        <f>[1]Plastics!I191</f>
        <v>140.45625098290805</v>
      </c>
      <c r="AJ537" s="1237">
        <f>[1]Plastics!H191</f>
        <v>400.70198908177406</v>
      </c>
      <c r="AK537" s="1237">
        <f>[1]Plastics!E191</f>
        <v>246.38151406273028</v>
      </c>
      <c r="AL537" s="1237">
        <f>[1]Plastics!J191</f>
        <v>160.28079563270964</v>
      </c>
      <c r="AM537" s="1237">
        <f xml:space="preserve"> [1]Chemicals!$N226</f>
        <v>295.61939852421051</v>
      </c>
    </row>
    <row r="538" spans="1:39">
      <c r="A538" s="59" t="s">
        <v>827</v>
      </c>
      <c r="B538" s="76">
        <f>[1]Enzymes_Yeast!F95</f>
        <v>11.363682492622178</v>
      </c>
      <c r="D538" s="59" t="s">
        <v>827</v>
      </c>
      <c r="E538" s="76">
        <f>[1]Chemicals!T160</f>
        <v>11.165059425994443</v>
      </c>
      <c r="F538" s="76">
        <f>[1]Chemicals!B160</f>
        <v>0.58808499161464722</v>
      </c>
      <c r="G538" s="76">
        <f>[1]Ag_Inputs!$G110*142/2/98</f>
        <v>40.837807947657211</v>
      </c>
      <c r="H538" s="76">
        <f>[1]Chemicals!AF160</f>
        <v>26.739053988852422</v>
      </c>
      <c r="I538" s="76">
        <f>[1]Chemicals!BE160</f>
        <v>0.58808499161464722</v>
      </c>
      <c r="J538" s="1237">
        <f>[1]Chemicals!AJ160</f>
        <v>9.454219512945258</v>
      </c>
      <c r="K538" s="76">
        <f>[1]Catalyst!H147</f>
        <v>10.720041854811267</v>
      </c>
      <c r="L538" s="76">
        <f>[1]Catalyst!AD147</f>
        <v>5.2602693867353523</v>
      </c>
      <c r="N538" s="488" t="s">
        <v>827</v>
      </c>
      <c r="O538" s="1237">
        <f>[1]Plastics!B225</f>
        <v>21.178309469327107</v>
      </c>
      <c r="P538" s="1237">
        <f>[1]Plastics!C225</f>
        <v>10.786085867444674</v>
      </c>
      <c r="Q538" s="1237">
        <f>[1]Plastics!D225</f>
        <v>22.168165223579688</v>
      </c>
      <c r="R538" s="1237">
        <f>[1]Plastics!E225</f>
        <v>22.007590213419547</v>
      </c>
      <c r="S538" s="1237">
        <f>[1]Plastics!F225</f>
        <v>10.509779918393727</v>
      </c>
      <c r="T538" s="1237">
        <f>[1]Plastics!G225</f>
        <v>12.55249453109532</v>
      </c>
      <c r="U538" s="1237">
        <f>[1]Plastics!H225</f>
        <v>12.395123618006286</v>
      </c>
      <c r="V538" s="1237">
        <f>[1]Plastics!I225</f>
        <v>43.643321042198757</v>
      </c>
      <c r="W538" s="1237">
        <f>[1]Plastics!J225</f>
        <v>41.982220320610587</v>
      </c>
      <c r="X538" s="1237">
        <f>[1]Plastics!K225</f>
        <v>33.740891196167524</v>
      </c>
      <c r="Y538" s="1237">
        <f>[1]Plastics!N225</f>
        <v>13.428910421510084</v>
      </c>
      <c r="Z538" s="1237">
        <f>[1]Plastics!O225</f>
        <v>9.1221949498168726</v>
      </c>
      <c r="AA538" s="1237">
        <f>[1]Plastics!P225</f>
        <v>30.13483392693913</v>
      </c>
      <c r="AB538" s="1237">
        <f>[1]Plastics!Q225</f>
        <v>31.268836054827844</v>
      </c>
      <c r="AC538" s="1237">
        <f>[1]Plastics!R225</f>
        <v>16.847786393199371</v>
      </c>
      <c r="AD538" s="1237">
        <f>[1]Plastics!F192</f>
        <v>2.5050640057020352</v>
      </c>
      <c r="AE538" s="1237">
        <f>[1]Plastics!C192</f>
        <v>0.81336678071010426</v>
      </c>
      <c r="AF538" s="1237">
        <f>[1]Plastics!B192</f>
        <v>3.7946313439166111</v>
      </c>
      <c r="AG538" s="1237">
        <f>[1]Plastics!G192</f>
        <v>0.76677235445140535</v>
      </c>
      <c r="AH538" s="1237">
        <f>[1]Plastics!D192</f>
        <v>0.7387252240820914</v>
      </c>
      <c r="AI538" s="1237">
        <f>[1]Plastics!I192</f>
        <v>0.98074481678504244</v>
      </c>
      <c r="AJ538" s="1237">
        <f>[1]Plastics!H192</f>
        <v>2.797927440874302</v>
      </c>
      <c r="AK538" s="1237">
        <f>[1]Plastics!E192</f>
        <v>1.7203747870080792</v>
      </c>
      <c r="AL538" s="1237">
        <f>[1]Plastics!J192</f>
        <v>1.1191709763497208</v>
      </c>
      <c r="AM538" s="1237">
        <f xml:space="preserve"> [1]Chemicals!$N227</f>
        <v>7.4428086942570246</v>
      </c>
    </row>
    <row r="539" spans="1:39">
      <c r="A539" s="59" t="s">
        <v>828</v>
      </c>
      <c r="B539" s="76">
        <f>[1]Enzymes_Yeast!F96</f>
        <v>33.759433484885044</v>
      </c>
      <c r="D539" s="59" t="s">
        <v>828</v>
      </c>
      <c r="E539" s="76">
        <f>[1]Chemicals!T161</f>
        <v>31.250656502180593</v>
      </c>
      <c r="F539" s="76">
        <f>[1]Chemicals!B161</f>
        <v>2.7991420846411841</v>
      </c>
      <c r="G539" s="76">
        <f>[1]Ag_Inputs!$G111*142/2/98</f>
        <v>89.332976028329611</v>
      </c>
      <c r="H539" s="76">
        <f>[1]Chemicals!AF161</f>
        <v>64.669354838838814</v>
      </c>
      <c r="I539" s="76">
        <f>[1]Chemicals!BE161</f>
        <v>2.7991420846411841</v>
      </c>
      <c r="J539" s="1237">
        <f>[1]Chemicals!AJ161</f>
        <v>24.748024737437266</v>
      </c>
      <c r="K539" s="76">
        <f>[1]Catalyst!H148</f>
        <v>26.693023313019893</v>
      </c>
      <c r="L539" s="76">
        <f>[1]Catalyst!AD148</f>
        <v>12.749936893136017</v>
      </c>
      <c r="N539" s="488" t="s">
        <v>828</v>
      </c>
      <c r="O539" s="1237">
        <f>[1]Plastics!B226</f>
        <v>46.161761399754994</v>
      </c>
      <c r="P539" s="1237">
        <f>[1]Plastics!C226</f>
        <v>20.200974888194303</v>
      </c>
      <c r="Q539" s="1237">
        <f>[1]Plastics!D226</f>
        <v>44.835883118395671</v>
      </c>
      <c r="R539" s="1237">
        <f>[1]Plastics!E226</f>
        <v>44.396992632785867</v>
      </c>
      <c r="S539" s="1237">
        <f>[1]Plastics!F226</f>
        <v>27.427262191223573</v>
      </c>
      <c r="T539" s="1237">
        <f>[1]Plastics!G226</f>
        <v>33.59585246534774</v>
      </c>
      <c r="U539" s="1237">
        <f>[1]Plastics!H226</f>
        <v>24.832385365394536</v>
      </c>
      <c r="V539" s="1237">
        <f>[1]Plastics!I226</f>
        <v>83.859532982616457</v>
      </c>
      <c r="W539" s="1237">
        <f>[1]Plastics!J226</f>
        <v>86.813069309965158</v>
      </c>
      <c r="X539" s="1237">
        <f>[1]Plastics!K226</f>
        <v>71.984427860446885</v>
      </c>
      <c r="Y539" s="1237">
        <f>[1]Plastics!N226</f>
        <v>33.012344452647227</v>
      </c>
      <c r="Z539" s="1237">
        <f>[1]Plastics!O226</f>
        <v>19.203472284022059</v>
      </c>
      <c r="AA539" s="1237">
        <f>[1]Plastics!P226</f>
        <v>49.919664798501678</v>
      </c>
      <c r="AB539" s="1237">
        <f>[1]Plastics!Q226</f>
        <v>50.004905116827658</v>
      </c>
      <c r="AC539" s="1237">
        <f>[1]Plastics!R226</f>
        <v>34.452572532599923</v>
      </c>
      <c r="AD539" s="1237">
        <f>[1]Plastics!F193</f>
        <v>11.447271117597962</v>
      </c>
      <c r="AE539" s="1237">
        <f>[1]Plastics!C193</f>
        <v>3.8714288216806527</v>
      </c>
      <c r="AF539" s="1237">
        <f>[1]Plastics!B193</f>
        <v>11.350686821153074</v>
      </c>
      <c r="AG539" s="1237">
        <f>[1]Plastics!G193</f>
        <v>3.6496506411283129</v>
      </c>
      <c r="AH539" s="1237">
        <f>[1]Plastics!D193</f>
        <v>3.5161530955531179</v>
      </c>
      <c r="AI539" s="1237">
        <f>[1]Plastics!I193</f>
        <v>4.6681077226939127</v>
      </c>
      <c r="AJ539" s="1237">
        <f>[1]Plastics!H193</f>
        <v>13.317456764235169</v>
      </c>
      <c r="AK539" s="1237">
        <f>[1]Plastics!E193</f>
        <v>8.1885671906849407</v>
      </c>
      <c r="AL539" s="1237">
        <f>[1]Plastics!J193</f>
        <v>5.3269827056940686</v>
      </c>
      <c r="AM539" s="1237">
        <f xml:space="preserve"> [1]Chemicals!$N228</f>
        <v>14.567934330529638</v>
      </c>
    </row>
    <row r="540" spans="1:39">
      <c r="A540" s="59" t="s">
        <v>829</v>
      </c>
      <c r="B540" s="76">
        <f>[1]Enzymes_Yeast!F97</f>
        <v>4394.2572761342935</v>
      </c>
      <c r="D540" s="59" t="s">
        <v>829</v>
      </c>
      <c r="E540" s="76">
        <f>[1]Chemicals!T162</f>
        <v>6564.0736089543952</v>
      </c>
      <c r="F540" s="76">
        <f>[1]Chemicals!B162</f>
        <v>348.27024075492994</v>
      </c>
      <c r="G540" s="76">
        <f>[1]Ag_Inputs!$G112*142/2/98</f>
        <v>1914.3417484108154</v>
      </c>
      <c r="H540" s="76">
        <f>[1]Chemicals!AF162</f>
        <v>10949.111989471214</v>
      </c>
      <c r="I540" s="76">
        <f>[1]Chemicals!BE162</f>
        <v>348.27024075492994</v>
      </c>
      <c r="J540" s="1237">
        <f>[1]Chemicals!AJ162</f>
        <v>5112.628749053506</v>
      </c>
      <c r="K540" s="76">
        <f>[1]Catalyst!H149</f>
        <v>2025.3218828538595</v>
      </c>
      <c r="L540" s="76">
        <f>[1]Catalyst!AD149</f>
        <v>1690.2749129344336</v>
      </c>
      <c r="N540" s="488" t="s">
        <v>829</v>
      </c>
      <c r="O540" s="1237">
        <f>[1]Plastics!B227</f>
        <v>22086.564407846585</v>
      </c>
      <c r="P540" s="1237">
        <f>[1]Plastics!C227</f>
        <v>23207.391895019195</v>
      </c>
      <c r="Q540" s="1237">
        <f>[1]Plastics!D227</f>
        <v>19333.504909065399</v>
      </c>
      <c r="R540" s="1237">
        <f>[1]Plastics!E227</f>
        <v>19678.8612671023</v>
      </c>
      <c r="S540" s="1237">
        <f>[1]Plastics!F227</f>
        <v>19522.613584419491</v>
      </c>
      <c r="T540" s="1237">
        <f>[1]Plastics!G227</f>
        <v>20542.488448566037</v>
      </c>
      <c r="U540" s="1237">
        <f>[1]Plastics!H227</f>
        <v>23353.996186961369</v>
      </c>
      <c r="V540" s="1237">
        <f>[1]Plastics!I227</f>
        <v>16947.171427196929</v>
      </c>
      <c r="W540" s="1237">
        <f>[1]Plastics!J227</f>
        <v>18349.837144306286</v>
      </c>
      <c r="X540" s="1237">
        <f>[1]Plastics!K227</f>
        <v>11811.085872045223</v>
      </c>
      <c r="Y540" s="1237">
        <f>[1]Plastics!N227</f>
        <v>12309.514322144076</v>
      </c>
      <c r="Z540" s="1237">
        <f>[1]Plastics!O227</f>
        <v>16643.834771552109</v>
      </c>
      <c r="AA540" s="1237">
        <f>[1]Plastics!P227</f>
        <v>17938.836369708763</v>
      </c>
      <c r="AB540" s="1237">
        <f>[1]Plastics!Q227</f>
        <v>15834.318939663332</v>
      </c>
      <c r="AC540" s="1237">
        <f>[1]Plastics!R227</f>
        <v>13729.907097186462</v>
      </c>
      <c r="AD540" s="1237">
        <f>[1]Plastics!F194</f>
        <v>1420.3021596961446</v>
      </c>
      <c r="AE540" s="1237">
        <f>[1]Plastics!C194</f>
        <v>481.68453298258765</v>
      </c>
      <c r="AF540" s="1237">
        <f>[1]Plastics!B194</f>
        <v>1466.7247593123452</v>
      </c>
      <c r="AG540" s="1237">
        <f>[1]Plastics!G194</f>
        <v>454.09081390738942</v>
      </c>
      <c r="AH540" s="1237">
        <f>[1]Plastics!D194</f>
        <v>437.48100242523117</v>
      </c>
      <c r="AI540" s="1237">
        <f>[1]Plastics!I194</f>
        <v>580.8076015051447</v>
      </c>
      <c r="AJ540" s="1237">
        <f>[1]Plastics!H194</f>
        <v>1656.9626454378779</v>
      </c>
      <c r="AK540" s="1237">
        <f>[1]Plastics!E194</f>
        <v>1018.824404300768</v>
      </c>
      <c r="AL540" s="1237">
        <f>[1]Plastics!J194</f>
        <v>662.78505817515122</v>
      </c>
      <c r="AM540" s="1237">
        <f xml:space="preserve"> [1]Chemicals!$N229</f>
        <v>4841.4188563511771</v>
      </c>
    </row>
    <row r="541" spans="1:39">
      <c r="A541" s="59" t="s">
        <v>830</v>
      </c>
      <c r="B541" s="76">
        <f>[1]Enzymes_Yeast!F98</f>
        <v>40.148180645194728</v>
      </c>
      <c r="D541" s="59" t="s">
        <v>830</v>
      </c>
      <c r="E541" s="76">
        <f>[1]Chemicals!T163</f>
        <v>27.712881670574507</v>
      </c>
      <c r="F541" s="76">
        <f>[1]Chemicals!B163</f>
        <v>3.1597881528542135</v>
      </c>
      <c r="G541" s="76">
        <f>[1]Ag_Inputs!$G113*142/2/98</f>
        <v>21.705101136455198</v>
      </c>
      <c r="H541" s="76">
        <f>[1]Chemicals!AF163</f>
        <v>81.817670530732585</v>
      </c>
      <c r="I541" s="76">
        <f>[1]Chemicals!BE163</f>
        <v>3.1597881528542135</v>
      </c>
      <c r="J541" s="1237">
        <f>[1]Chemicals!AJ163</f>
        <v>23.052392545257241</v>
      </c>
      <c r="K541" s="76">
        <f>[1]Catalyst!H150</f>
        <v>18.379045552518484</v>
      </c>
      <c r="L541" s="76">
        <f>[1]Catalyst!AD150</f>
        <v>15.26686139015032</v>
      </c>
      <c r="N541" s="488" t="s">
        <v>830</v>
      </c>
      <c r="O541" s="1237">
        <f>[1]Plastics!B228</f>
        <v>83.626137691925166</v>
      </c>
      <c r="P541" s="1237">
        <f>[1]Plastics!C228</f>
        <v>71.319232955989307</v>
      </c>
      <c r="Q541" s="1237">
        <f>[1]Plastics!D228</f>
        <v>74.740080417744096</v>
      </c>
      <c r="R541" s="1237">
        <f>[1]Plastics!E228</f>
        <v>75.115558765624598</v>
      </c>
      <c r="S541" s="1237">
        <f>[1]Plastics!F228</f>
        <v>20.496995900226466</v>
      </c>
      <c r="T541" s="1237">
        <f>[1]Plastics!G228</f>
        <v>28.901155780998753</v>
      </c>
      <c r="U541" s="1237">
        <f>[1]Plastics!H228</f>
        <v>88.537631970868759</v>
      </c>
      <c r="V541" s="1237">
        <f>[1]Plastics!I228</f>
        <v>7943.4522378824695</v>
      </c>
      <c r="W541" s="1237">
        <f>[1]Plastics!J228</f>
        <v>801.49833896299094</v>
      </c>
      <c r="X541" s="1237">
        <f>[1]Plastics!K228</f>
        <v>99.534724183859737</v>
      </c>
      <c r="Y541" s="1237">
        <f>[1]Plastics!N228</f>
        <v>34.356532086627169</v>
      </c>
      <c r="Z541" s="1237">
        <f>[1]Plastics!O228</f>
        <v>20.625336465390895</v>
      </c>
      <c r="AA541" s="1237">
        <f>[1]Plastics!P228</f>
        <v>82.263218165689466</v>
      </c>
      <c r="AB541" s="1237">
        <f>[1]Plastics!Q228</f>
        <v>73.206095531316436</v>
      </c>
      <c r="AC541" s="1237">
        <f>[1]Plastics!R228</f>
        <v>62.566806143576542</v>
      </c>
      <c r="AD541" s="1237">
        <f>[1]Plastics!F195</f>
        <v>12.96216399912517</v>
      </c>
      <c r="AE541" s="1237">
        <f>[1]Plastics!C195</f>
        <v>4.3702300760245194</v>
      </c>
      <c r="AF541" s="1237">
        <f>[1]Plastics!B195</f>
        <v>14.14319593082873</v>
      </c>
      <c r="AG541" s="1237">
        <f>[1]Plastics!G195</f>
        <v>4.1198776300676094</v>
      </c>
      <c r="AH541" s="1237">
        <f>[1]Plastics!D195</f>
        <v>3.9691800412391771</v>
      </c>
      <c r="AI541" s="1237">
        <f>[1]Plastics!I195</f>
        <v>5.269554396452258</v>
      </c>
      <c r="AJ541" s="1237">
        <f>[1]Plastics!H195</f>
        <v>15.033299788771775</v>
      </c>
      <c r="AK541" s="1237">
        <f>[1]Plastics!E195</f>
        <v>9.2435956502342869</v>
      </c>
      <c r="AL541" s="1237">
        <f>[1]Plastics!J195</f>
        <v>6.0133199155087107</v>
      </c>
      <c r="AM541" s="1237">
        <f xml:space="preserve"> [1]Chemicals!$N230</f>
        <v>10.782169963768833</v>
      </c>
    </row>
    <row r="542" spans="1:39">
      <c r="A542" s="118" t="s">
        <v>831</v>
      </c>
      <c r="B542" s="78">
        <f>[1]Enzymes_Yeast!F99</f>
        <v>1665901.8087901033</v>
      </c>
      <c r="D542" s="118" t="s">
        <v>831</v>
      </c>
      <c r="E542" s="252">
        <f>[1]Chemicals!T164</f>
        <v>1773372.0129246025</v>
      </c>
      <c r="F542" s="252">
        <f>[1]Chemicals!B164</f>
        <v>153884.94054773616</v>
      </c>
      <c r="G542" s="252">
        <f>[1]Ag_Inputs!$G114*142/2/98</f>
        <v>894154.38921855192</v>
      </c>
      <c r="H542" s="252">
        <f>[1]Chemicals!AF164</f>
        <v>3049563.8092327197</v>
      </c>
      <c r="I542" s="252">
        <f>[1]Chemicals!BE164</f>
        <v>153884.94054773616</v>
      </c>
      <c r="J542" s="2729">
        <f>[1]Chemicals!AJ164</f>
        <v>961657.50852660066</v>
      </c>
      <c r="K542" s="252">
        <f>[1]Catalyst!H151</f>
        <v>829313.50024401851</v>
      </c>
      <c r="L542" s="252">
        <f>[1]Catalyst!AD151</f>
        <v>513204.7419073421</v>
      </c>
      <c r="N542" s="488" t="s">
        <v>831</v>
      </c>
      <c r="O542" s="2729">
        <f>[1]Plastics!B229</f>
        <v>2324182.7836142015</v>
      </c>
      <c r="P542" s="2729">
        <f>[1]Plastics!C229</f>
        <v>886870.58675922733</v>
      </c>
      <c r="Q542" s="2729">
        <f>[1]Plastics!D229</f>
        <v>2165261.1188676115</v>
      </c>
      <c r="R542" s="2729">
        <f>[1]Plastics!E229</f>
        <v>2136644.9432889167</v>
      </c>
      <c r="S542" s="2729">
        <f>[1]Plastics!F229</f>
        <v>1086767.4185633152</v>
      </c>
      <c r="T542" s="2729">
        <f>[1]Plastics!G229</f>
        <v>1369697.1160907259</v>
      </c>
      <c r="U542" s="2729">
        <f>[1]Plastics!H229</f>
        <v>1133381.4333114787</v>
      </c>
      <c r="V542" s="2729">
        <f>[1]Plastics!I229</f>
        <v>5262206.7510018079</v>
      </c>
      <c r="W542" s="2729">
        <f>[1]Plastics!J229</f>
        <v>5122459.5100147333</v>
      </c>
      <c r="X542" s="2729">
        <f>[1]Plastics!K229</f>
        <v>3513639.7864607051</v>
      </c>
      <c r="Y542" s="2729">
        <f>[1]Plastics!N229</f>
        <v>1653963.355946966</v>
      </c>
      <c r="Z542" s="2729">
        <f>[1]Plastics!O229</f>
        <v>942362.83074902557</v>
      </c>
      <c r="AA542" s="2729">
        <f>[1]Plastics!P229</f>
        <v>2471400.1020670705</v>
      </c>
      <c r="AB542" s="2729">
        <f>[1]Plastics!Q229</f>
        <v>2343833.9073217441</v>
      </c>
      <c r="AC542" s="2729">
        <f>[1]Plastics!R229</f>
        <v>1561630.5646125549</v>
      </c>
      <c r="AD542" s="2729">
        <f>[1]Plastics!F196</f>
        <v>628023.23142349732</v>
      </c>
      <c r="AE542" s="2729">
        <f>[1]Plastics!C196</f>
        <v>212834.71008063818</v>
      </c>
      <c r="AF542" s="2729">
        <f>[1]Plastics!B196</f>
        <v>518424.56488374178</v>
      </c>
      <c r="AG542" s="2729">
        <f>[1]Plastics!G196</f>
        <v>200642.28786800985</v>
      </c>
      <c r="AH542" s="2729">
        <f>[1]Plastics!D196</f>
        <v>193303.15993419473</v>
      </c>
      <c r="AI542" s="2729">
        <f>[1]Plastics!I196</f>
        <v>256632.73162114772</v>
      </c>
      <c r="AJ542" s="2729">
        <f>[1]Plastics!H196</f>
        <v>732137.1979136524</v>
      </c>
      <c r="AK542" s="2729">
        <f>[1]Plastics!E196</f>
        <v>450172.63761772355</v>
      </c>
      <c r="AL542" s="2729">
        <f>[1]Plastics!J196</f>
        <v>292854.879165461</v>
      </c>
      <c r="AM542" s="2729">
        <f xml:space="preserve"> [1]Chemicals!$N231</f>
        <v>663923.00877071545</v>
      </c>
    </row>
    <row r="543" spans="1:39">
      <c r="A543" s="487" t="s">
        <v>2157</v>
      </c>
      <c r="B543" s="76"/>
      <c r="D543" s="487" t="s">
        <v>2157</v>
      </c>
      <c r="E543" s="77"/>
      <c r="F543" s="77"/>
      <c r="G543" s="77"/>
      <c r="H543" s="77"/>
      <c r="I543" s="77"/>
      <c r="J543" s="2728"/>
      <c r="K543" s="77"/>
      <c r="L543" s="77"/>
      <c r="N543" s="482" t="s">
        <v>2157</v>
      </c>
      <c r="O543" s="355"/>
      <c r="P543" s="355"/>
      <c r="Q543" s="355"/>
      <c r="R543" s="355"/>
      <c r="S543" s="355"/>
      <c r="T543" s="355"/>
      <c r="U543" s="355"/>
      <c r="V543" s="355"/>
      <c r="W543" s="355"/>
      <c r="X543" s="355"/>
      <c r="Y543" s="355"/>
      <c r="Z543" s="355"/>
      <c r="AA543" s="355"/>
      <c r="AB543" s="355"/>
      <c r="AC543" s="355"/>
      <c r="AD543" s="2728"/>
      <c r="AE543" s="2728"/>
      <c r="AF543" s="2728"/>
      <c r="AG543" s="2728"/>
      <c r="AH543" s="2728"/>
      <c r="AI543" s="2728"/>
      <c r="AJ543" s="2728"/>
      <c r="AK543" s="2728"/>
      <c r="AL543" s="2728"/>
      <c r="AM543" s="2728"/>
    </row>
    <row r="544" spans="1:39">
      <c r="A544" s="59" t="s">
        <v>821</v>
      </c>
      <c r="B544" s="76">
        <f>[1]Enzymes_Yeast!F101</f>
        <v>14.092742652400997</v>
      </c>
      <c r="D544" s="59" t="s">
        <v>821</v>
      </c>
      <c r="E544" s="76">
        <f>[1]Chemicals!T168</f>
        <v>391.14053613353923</v>
      </c>
      <c r="F544" s="76">
        <f>[1]Chemicals!B168</f>
        <v>1.123340165391536</v>
      </c>
      <c r="G544" s="76">
        <f>[1]Ag_Inputs!$G116*142/2/98</f>
        <v>20.442016898797</v>
      </c>
      <c r="H544" s="76">
        <f>[1]Chemicals!AF168</f>
        <v>92.236403133069857</v>
      </c>
      <c r="I544" s="76">
        <f>[1]Chemicals!BE168</f>
        <v>1.123340165391536</v>
      </c>
      <c r="J544" s="1237">
        <f>[1]Chemicals!AJ168</f>
        <v>292.50637471349972</v>
      </c>
      <c r="K544" s="76">
        <f>[1]Catalyst!H153</f>
        <v>8.9001963384421945</v>
      </c>
      <c r="L544" s="76">
        <f>[1]Catalyst!AD153</f>
        <v>4.821749466846434</v>
      </c>
      <c r="N544" s="488" t="s">
        <v>821</v>
      </c>
      <c r="O544" s="1237">
        <f>[1]Plastics!B233</f>
        <v>44.729627911165764</v>
      </c>
      <c r="P544" s="1237">
        <f>[1]Plastics!C233</f>
        <v>35.776296504106853</v>
      </c>
      <c r="Q544" s="1237">
        <f>[1]Plastics!D233</f>
        <v>44.000026937774777</v>
      </c>
      <c r="R544" s="1237">
        <f>[1]Plastics!E233</f>
        <v>44.202869875921479</v>
      </c>
      <c r="S544" s="1237">
        <f>[1]Plastics!F233</f>
        <v>517.06142660286662</v>
      </c>
      <c r="T544" s="1237">
        <f>[1]Plastics!G233</f>
        <v>527.91578833979179</v>
      </c>
      <c r="U544" s="1237">
        <f>[1]Plastics!H233</f>
        <v>33.118511484758663</v>
      </c>
      <c r="V544" s="1237">
        <f>[1]Plastics!I233</f>
        <v>71.201311593161435</v>
      </c>
      <c r="W544" s="1237">
        <f>[1]Plastics!J233</f>
        <v>73.788639163919953</v>
      </c>
      <c r="X544" s="1237">
        <f>[1]Plastics!K233</f>
        <v>57.703785432624599</v>
      </c>
      <c r="Y544" s="1237">
        <f>[1]Plastics!N233</f>
        <v>456.96677060960025</v>
      </c>
      <c r="Z544" s="1237">
        <f>[1]Plastics!O233</f>
        <v>234.28055389653952</v>
      </c>
      <c r="AA544" s="1237">
        <f>[1]Plastics!P233</f>
        <v>39.80096324264872</v>
      </c>
      <c r="AB544" s="1237">
        <f>[1]Plastics!Q233</f>
        <v>44.320443774148771</v>
      </c>
      <c r="AC544" s="1237">
        <f>[1]Plastics!R233</f>
        <v>23.932689819364011</v>
      </c>
      <c r="AD544" s="1237">
        <f>[1]Plastics!F198</f>
        <v>4.6137372696798424</v>
      </c>
      <c r="AE544" s="1237">
        <f>[1]Plastics!C198</f>
        <v>1.5536658595184474</v>
      </c>
      <c r="AF544" s="1237">
        <f>[1]Plastics!B198</f>
        <v>4.293312532984972</v>
      </c>
      <c r="AG544" s="1237">
        <f>[1]Plastics!G198</f>
        <v>1.4646627541066566</v>
      </c>
      <c r="AH544" s="1237">
        <f>[1]Plastics!D198</f>
        <v>1.4110880692956755</v>
      </c>
      <c r="AI544" s="1237">
        <f>[1]Plastics!I198</f>
        <v>1.8733857527452693</v>
      </c>
      <c r="AJ544" s="1237">
        <f>[1]Plastics!H198</f>
        <v>5.3445068638051145</v>
      </c>
      <c r="AK544" s="1237">
        <f>[1]Plastics!E198</f>
        <v>3.2862020376800083</v>
      </c>
      <c r="AL544" s="1237">
        <f>[1]Plastics!J198</f>
        <v>2.1378027455220461</v>
      </c>
      <c r="AM544" s="1237">
        <f xml:space="preserve"> [1]Chemicals!$N233</f>
        <v>202.77485925939601</v>
      </c>
    </row>
    <row r="545" spans="1:54">
      <c r="A545" s="59" t="s">
        <v>822</v>
      </c>
      <c r="B545" s="76">
        <f>[1]Enzymes_Yeast!F102</f>
        <v>76.818454470770462</v>
      </c>
      <c r="D545" s="59" t="s">
        <v>822</v>
      </c>
      <c r="E545" s="76">
        <f>[1]Chemicals!T169</f>
        <v>219.98576463648351</v>
      </c>
      <c r="F545" s="76">
        <f>[1]Chemicals!B169</f>
        <v>8.2931406559794372</v>
      </c>
      <c r="G545" s="76">
        <f>[1]Ag_Inputs!$G117*142/2/98</f>
        <v>47.674079150385076</v>
      </c>
      <c r="H545" s="76">
        <f>[1]Chemicals!AF169</f>
        <v>125.91184020641307</v>
      </c>
      <c r="I545" s="76">
        <f>[1]Chemicals!BE169</f>
        <v>8.2931406559794372</v>
      </c>
      <c r="J545" s="1237">
        <f>[1]Chemicals!AJ169</f>
        <v>163.56548568441761</v>
      </c>
      <c r="K545" s="76">
        <f>[1]Catalyst!H154</f>
        <v>41.444422774952926</v>
      </c>
      <c r="L545" s="76">
        <f>[1]Catalyst!AD154</f>
        <v>22.364434259465195</v>
      </c>
      <c r="N545" s="488" t="s">
        <v>822</v>
      </c>
      <c r="O545" s="1237">
        <f>[1]Plastics!B234</f>
        <v>143.84454809409422</v>
      </c>
      <c r="P545" s="1237">
        <f>[1]Plastics!C234</f>
        <v>135.82436076403098</v>
      </c>
      <c r="Q545" s="1237">
        <f>[1]Plastics!D234</f>
        <v>122.40873418634744</v>
      </c>
      <c r="R545" s="1237">
        <f>[1]Plastics!E234</f>
        <v>123.62482590437509</v>
      </c>
      <c r="S545" s="1237">
        <f>[1]Plastics!F234</f>
        <v>381.84575419028141</v>
      </c>
      <c r="T545" s="1237">
        <f>[1]Plastics!G234</f>
        <v>401.52200755860804</v>
      </c>
      <c r="U545" s="1237">
        <f>[1]Plastics!H234</f>
        <v>134.9035505415435</v>
      </c>
      <c r="V545" s="1237">
        <f>[1]Plastics!I234</f>
        <v>190.41111109204127</v>
      </c>
      <c r="W545" s="1237">
        <f>[1]Plastics!J234</f>
        <v>215.68635180040062</v>
      </c>
      <c r="X545" s="1237">
        <f>[1]Plastics!K234</f>
        <v>147.72107609214206</v>
      </c>
      <c r="Y545" s="1237">
        <f>[1]Plastics!N234</f>
        <v>746.43264398040901</v>
      </c>
      <c r="Z545" s="1237">
        <f>[1]Plastics!O234</f>
        <v>421.22457650369154</v>
      </c>
      <c r="AA545" s="1237">
        <f>[1]Plastics!P234</f>
        <v>137.45176061282913</v>
      </c>
      <c r="AB545" s="1237">
        <f>[1]Plastics!Q234</f>
        <v>122.65184306621624</v>
      </c>
      <c r="AC545" s="1237">
        <f>[1]Plastics!R234</f>
        <v>106.99043178030662</v>
      </c>
      <c r="AD545" s="1237">
        <f>[1]Plastics!F199</f>
        <v>33.764536840388203</v>
      </c>
      <c r="AE545" s="1237">
        <f>[1]Plastics!C199</f>
        <v>11.470051461116174</v>
      </c>
      <c r="AF545" s="1237">
        <f>[1]Plastics!B199</f>
        <v>25.155850619648302</v>
      </c>
      <c r="AG545" s="1237">
        <f>[1]Plastics!G199</f>
        <v>10.812979547603957</v>
      </c>
      <c r="AH545" s="1237">
        <f>[1]Plastics!D199</f>
        <v>10.4174605317034</v>
      </c>
      <c r="AI545" s="1237">
        <f>[1]Plastics!I199</f>
        <v>13.830406878587246</v>
      </c>
      <c r="AJ545" s="1237">
        <f>[1]Plastics!H199</f>
        <v>39.456211505563701</v>
      </c>
      <c r="AK545" s="1237">
        <f>[1]Plastics!E199</f>
        <v>24.260626088222921</v>
      </c>
      <c r="AL545" s="1237">
        <f>[1]Plastics!J199</f>
        <v>15.782484602225482</v>
      </c>
      <c r="AM545" s="1237">
        <f xml:space="preserve"> [1]Chemicals!$N234</f>
        <v>145.15216224431077</v>
      </c>
    </row>
    <row r="546" spans="1:54">
      <c r="A546" s="59" t="s">
        <v>823</v>
      </c>
      <c r="B546" s="76">
        <f>[1]Enzymes_Yeast!F103</f>
        <v>172.0556602035559</v>
      </c>
      <c r="D546" s="59" t="s">
        <v>823</v>
      </c>
      <c r="E546" s="76">
        <f>[1]Chemicals!T170</f>
        <v>361.36482326231305</v>
      </c>
      <c r="F546" s="76">
        <f>[1]Chemicals!B170</f>
        <v>24.769702479590872</v>
      </c>
      <c r="G546" s="76">
        <f>[1]Ag_Inputs!$G118*142/2/98</f>
        <v>198.39740787318257</v>
      </c>
      <c r="H546" s="76">
        <f>[1]Chemicals!AF170</f>
        <v>164.97012659154117</v>
      </c>
      <c r="I546" s="76">
        <f>[1]Chemicals!BE170</f>
        <v>24.769702479590872</v>
      </c>
      <c r="J546" s="1237">
        <f>[1]Chemicals!AJ170</f>
        <v>255.03734294608418</v>
      </c>
      <c r="K546" s="76">
        <f>[1]Catalyst!H155</f>
        <v>109.24300833940238</v>
      </c>
      <c r="L546" s="76">
        <f>[1]Catalyst!AD155</f>
        <v>26.555178199614343</v>
      </c>
      <c r="N546" s="488" t="s">
        <v>823</v>
      </c>
      <c r="O546" s="1237">
        <f>[1]Plastics!B235</f>
        <v>216.68556337037418</v>
      </c>
      <c r="P546" s="1237">
        <f>[1]Plastics!C235</f>
        <v>171.07090081346419</v>
      </c>
      <c r="Q546" s="1237">
        <f>[1]Plastics!D235</f>
        <v>170.51615603261664</v>
      </c>
      <c r="R546" s="1237">
        <f>[1]Plastics!E235</f>
        <v>172.22355423821122</v>
      </c>
      <c r="S546" s="1237">
        <f>[1]Plastics!F235</f>
        <v>388.91503286390707</v>
      </c>
      <c r="T546" s="1237">
        <f>[1]Plastics!G235</f>
        <v>426.32578812345128</v>
      </c>
      <c r="U546" s="1237">
        <f>[1]Plastics!H235</f>
        <v>172.66215015294054</v>
      </c>
      <c r="V546" s="1237">
        <f>[1]Plastics!I235</f>
        <v>283.83568754834812</v>
      </c>
      <c r="W546" s="1237">
        <f>[1]Plastics!J235</f>
        <v>347.78985469738024</v>
      </c>
      <c r="X546" s="1237">
        <f>[1]Plastics!K235</f>
        <v>252.53873568511889</v>
      </c>
      <c r="Y546" s="1237">
        <f>[1]Plastics!N235</f>
        <v>252.79942645129211</v>
      </c>
      <c r="Z546" s="1237">
        <f>[1]Plastics!O235</f>
        <v>225.33558249599182</v>
      </c>
      <c r="AA546" s="1237">
        <f>[1]Plastics!P235</f>
        <v>221.00910868907675</v>
      </c>
      <c r="AB546" s="1237">
        <f>[1]Plastics!Q235</f>
        <v>198.97970415323681</v>
      </c>
      <c r="AC546" s="1237">
        <f>[1]Plastics!R235</f>
        <v>157.85810710229711</v>
      </c>
      <c r="AD546" s="1237">
        <f>[1]Plastics!F200</f>
        <v>100.79106724085221</v>
      </c>
      <c r="AE546" s="1237">
        <f>[1]Plastics!C200</f>
        <v>34.258403891003375</v>
      </c>
      <c r="AF546" s="1237">
        <f>[1]Plastics!B200</f>
        <v>53.178488012915018</v>
      </c>
      <c r="AG546" s="1237">
        <f>[1]Plastics!G200</f>
        <v>32.295881309928099</v>
      </c>
      <c r="AH546" s="1237">
        <f>[1]Plastics!D200</f>
        <v>31.114557037824532</v>
      </c>
      <c r="AI546" s="1237">
        <f>[1]Plastics!I200</f>
        <v>41.308242289040777</v>
      </c>
      <c r="AJ546" s="1237">
        <f>[1]Plastics!H200</f>
        <v>117.84662295097657</v>
      </c>
      <c r="AK546" s="1237">
        <f>[1]Plastics!E200</f>
        <v>72.460906561449292</v>
      </c>
      <c r="AL546" s="1237">
        <f>[1]Plastics!J200</f>
        <v>47.13864918039063</v>
      </c>
      <c r="AM546" s="1237">
        <f xml:space="preserve"> [1]Chemicals!$N235</f>
        <v>194.65782667949108</v>
      </c>
    </row>
    <row r="547" spans="1:54">
      <c r="A547" s="59" t="s">
        <v>824</v>
      </c>
      <c r="B547" s="76">
        <f>[1]Enzymes_Yeast!F104</f>
        <v>18.2651553906428</v>
      </c>
      <c r="D547" s="59" t="s">
        <v>824</v>
      </c>
      <c r="E547" s="76">
        <f>[1]Chemicals!T171</f>
        <v>41.07494706023909</v>
      </c>
      <c r="F547" s="76">
        <f>[1]Chemicals!B171</f>
        <v>3.3070345999703905</v>
      </c>
      <c r="G547" s="76">
        <f>[1]Ag_Inputs!$G119*142/2/98</f>
        <v>17.495994437045809</v>
      </c>
      <c r="H547" s="76">
        <f>[1]Chemicals!AF171</f>
        <v>7.3699047786546332</v>
      </c>
      <c r="I547" s="76">
        <f>[1]Chemicals!BE171</f>
        <v>3.3070345999703905</v>
      </c>
      <c r="J547" s="1237">
        <f>[1]Chemicals!AJ171</f>
        <v>27.634369770702303</v>
      </c>
      <c r="K547" s="76">
        <f>[1]Catalyst!H156</f>
        <v>12.758370758378994</v>
      </c>
      <c r="L547" s="76">
        <f>[1]Catalyst!AD156</f>
        <v>0.14784423128307853</v>
      </c>
      <c r="N547" s="488" t="s">
        <v>824</v>
      </c>
      <c r="O547" s="1237">
        <f>[1]Plastics!B236</f>
        <v>10.885414883203552</v>
      </c>
      <c r="P547" s="1237">
        <f>[1]Plastics!C236</f>
        <v>2.8772333674172286</v>
      </c>
      <c r="Q547" s="1237">
        <f>[1]Plastics!D236</f>
        <v>6.3588347861924666</v>
      </c>
      <c r="R547" s="1237">
        <f>[1]Plastics!E236</f>
        <v>6.4365186564479959</v>
      </c>
      <c r="S547" s="1237">
        <f>[1]Plastics!F236</f>
        <v>50.088318296896603</v>
      </c>
      <c r="T547" s="1237">
        <f>[1]Plastics!G236</f>
        <v>53.632964558696393</v>
      </c>
      <c r="U547" s="1237">
        <f>[1]Plastics!H236</f>
        <v>3.5222059766445937</v>
      </c>
      <c r="V547" s="1237">
        <f>[1]Plastics!I236</f>
        <v>17.168341373841638</v>
      </c>
      <c r="W547" s="1237">
        <f>[1]Plastics!J236</f>
        <v>23.994924659896046</v>
      </c>
      <c r="X547" s="1237">
        <f>[1]Plastics!K236</f>
        <v>19.592990658044233</v>
      </c>
      <c r="Y547" s="1237">
        <f>[1]Plastics!N236</f>
        <v>28.445030595816682</v>
      </c>
      <c r="Z547" s="1237">
        <f>[1]Plastics!O236</f>
        <v>45.93291631244626</v>
      </c>
      <c r="AA547" s="1237">
        <f>[1]Plastics!P236</f>
        <v>14.265460949237006</v>
      </c>
      <c r="AB547" s="1237">
        <f>[1]Plastics!Q236</f>
        <v>13.539064134339617</v>
      </c>
      <c r="AC547" s="1237">
        <f>[1]Plastics!R236</f>
        <v>7.376666308570619</v>
      </c>
      <c r="AD547" s="1237">
        <f>[1]Plastics!F201</f>
        <v>13.458617174544822</v>
      </c>
      <c r="AE547" s="1237">
        <f>[1]Plastics!C201</f>
        <v>4.5738832390359709</v>
      </c>
      <c r="AF547" s="1237">
        <f>[1]Plastics!B201</f>
        <v>5.2330979261734818</v>
      </c>
      <c r="AG547" s="1237">
        <f>[1]Plastics!G201</f>
        <v>4.3118643438075477</v>
      </c>
      <c r="AH547" s="1237">
        <f>[1]Plastics!D201</f>
        <v>4.1541442321166526</v>
      </c>
      <c r="AI547" s="1237">
        <f>[1]Plastics!I201</f>
        <v>5.5151161636429284</v>
      </c>
      <c r="AJ547" s="1237">
        <f>[1]Plastics!H201</f>
        <v>15.733853077551434</v>
      </c>
      <c r="AK547" s="1237">
        <f>[1]Plastics!E201</f>
        <v>9.6743481412979957</v>
      </c>
      <c r="AL547" s="1237">
        <f>[1]Plastics!J201</f>
        <v>6.2935412310205745</v>
      </c>
      <c r="AM547" s="1237">
        <f xml:space="preserve"> [1]Chemicals!$N236</f>
        <v>39.011222083379792</v>
      </c>
    </row>
    <row r="548" spans="1:54">
      <c r="A548" s="59" t="s">
        <v>825</v>
      </c>
      <c r="B548" s="76">
        <f>[1]Enzymes_Yeast!F105</f>
        <v>16.068269758237211</v>
      </c>
      <c r="D548" s="59" t="s">
        <v>825</v>
      </c>
      <c r="E548" s="76">
        <f>[1]Chemicals!T172</f>
        <v>37.056148238730685</v>
      </c>
      <c r="F548" s="76">
        <f>[1]Chemicals!B172</f>
        <v>2.9079748813758655</v>
      </c>
      <c r="G548" s="76">
        <f>[1]Ag_Inputs!$G120*142/2/98</f>
        <v>15.711918868218307</v>
      </c>
      <c r="H548" s="76">
        <f>[1]Chemicals!AF172</f>
        <v>6.7474220828154472</v>
      </c>
      <c r="I548" s="76">
        <f>[1]Chemicals!BE172</f>
        <v>2.9079748813758655</v>
      </c>
      <c r="J548" s="1237">
        <f>[1]Chemicals!AJ172</f>
        <v>25.000352829601859</v>
      </c>
      <c r="K548" s="76">
        <f>[1]Catalyst!H157</f>
        <v>11.222045696964107</v>
      </c>
      <c r="L548" s="76">
        <f>[1]Catalyst!AD157</f>
        <v>0.1344483673518081</v>
      </c>
      <c r="N548" s="488" t="s">
        <v>825</v>
      </c>
      <c r="O548" s="1237">
        <f>[1]Plastics!B237</f>
        <v>9.604438211545034</v>
      </c>
      <c r="P548" s="1237">
        <f>[1]Plastics!C237</f>
        <v>2.5619066822458718</v>
      </c>
      <c r="Q548" s="1237">
        <f>[1]Plastics!D237</f>
        <v>5.6223707960491476</v>
      </c>
      <c r="R548" s="1237">
        <f>[1]Plastics!E237</f>
        <v>5.6909225246295936</v>
      </c>
      <c r="S548" s="1237">
        <f>[1]Plastics!F237</f>
        <v>40.213368849113621</v>
      </c>
      <c r="T548" s="1237">
        <f>[1]Plastics!G237</f>
        <v>43.485094689257139</v>
      </c>
      <c r="U548" s="1237">
        <f>[1]Plastics!H237</f>
        <v>3.1273861479988292</v>
      </c>
      <c r="V548" s="1237">
        <f>[1]Plastics!I237</f>
        <v>15.145401467452768</v>
      </c>
      <c r="W548" s="1237">
        <f>[1]Plastics!J237</f>
        <v>21.149343463760783</v>
      </c>
      <c r="X548" s="1237">
        <f>[1]Plastics!K237</f>
        <v>17.264390093925421</v>
      </c>
      <c r="Y548" s="1237">
        <f>[1]Plastics!N237</f>
        <v>24.758371599208118</v>
      </c>
      <c r="Z548" s="1237">
        <f>[1]Plastics!O237</f>
        <v>36.604684688135706</v>
      </c>
      <c r="AA548" s="1237">
        <f>[1]Plastics!P237</f>
        <v>12.568150841624499</v>
      </c>
      <c r="AB548" s="1237">
        <f>[1]Plastics!Q237</f>
        <v>11.924749509378106</v>
      </c>
      <c r="AC548" s="1237">
        <f>[1]Plastics!R237</f>
        <v>6.5061053827816657</v>
      </c>
      <c r="AD548" s="1237">
        <f>[1]Plastics!F202</f>
        <v>11.834436566335011</v>
      </c>
      <c r="AE548" s="1237">
        <f>[1]Plastics!C202</f>
        <v>4.0219529513183119</v>
      </c>
      <c r="AF548" s="1237">
        <f>[1]Plastics!B202</f>
        <v>4.604367641493913</v>
      </c>
      <c r="AG548" s="1237">
        <f>[1]Plastics!G202</f>
        <v>3.7915518645631474</v>
      </c>
      <c r="AH548" s="1237">
        <f>[1]Plastics!D202</f>
        <v>3.6528638317590674</v>
      </c>
      <c r="AI548" s="1237">
        <f>[1]Plastics!I202</f>
        <v>4.849607340632982</v>
      </c>
      <c r="AJ548" s="1237">
        <f>[1]Plastics!H202</f>
        <v>13.835249724084404</v>
      </c>
      <c r="AK548" s="1237">
        <f>[1]Plastics!E202</f>
        <v>8.5069449799018582</v>
      </c>
      <c r="AL548" s="1237">
        <f>[1]Plastics!J202</f>
        <v>5.5340998896337625</v>
      </c>
      <c r="AM548" s="1237">
        <f xml:space="preserve"> [1]Chemicals!$N237</f>
        <v>34.461865530083934</v>
      </c>
    </row>
    <row r="549" spans="1:54">
      <c r="A549" s="59" t="s">
        <v>826</v>
      </c>
      <c r="B549" s="76">
        <f>[1]Enzymes_Yeast!F106</f>
        <v>134.70998823085495</v>
      </c>
      <c r="D549" s="59" t="s">
        <v>826</v>
      </c>
      <c r="E549" s="76">
        <f>[1]Chemicals!T173</f>
        <v>100.83295277123608</v>
      </c>
      <c r="F549" s="76">
        <f>[1]Chemicals!B173</f>
        <v>24.610927516655124</v>
      </c>
      <c r="G549" s="76">
        <f>[1]Ag_Inputs!$G121*142/2/98</f>
        <v>120.95816133867046</v>
      </c>
      <c r="H549" s="76">
        <f>[1]Chemicals!AF173</f>
        <v>31.625829629732181</v>
      </c>
      <c r="I549" s="76">
        <f>[1]Chemicals!BE173</f>
        <v>24.610927516655124</v>
      </c>
      <c r="J549" s="1237">
        <f>[1]Chemicals!AJ173</f>
        <v>52.66647133617515</v>
      </c>
      <c r="K549" s="76">
        <f>[1]Catalyst!H158</f>
        <v>92.82302065983383</v>
      </c>
      <c r="L549" s="76">
        <f>[1]Catalyst!AD158</f>
        <v>1.2058937421657858</v>
      </c>
      <c r="N549" s="488" t="s">
        <v>826</v>
      </c>
      <c r="O549" s="1237">
        <f>[1]Plastics!B238</f>
        <v>77.998682913621693</v>
      </c>
      <c r="P549" s="1237">
        <f>[1]Plastics!C238</f>
        <v>21.507972442286228</v>
      </c>
      <c r="Q549" s="1237">
        <f>[1]Plastics!D238</f>
        <v>43.19032776650279</v>
      </c>
      <c r="R549" s="1237">
        <f>[1]Plastics!E238</f>
        <v>43.70247163762248</v>
      </c>
      <c r="S549" s="1237">
        <f>[1]Plastics!F238</f>
        <v>1124.019266726719</v>
      </c>
      <c r="T549" s="1237">
        <f>[1]Plastics!G238</f>
        <v>1169.8933889782747</v>
      </c>
      <c r="U549" s="1237">
        <f>[1]Plastics!H238</f>
        <v>26.421015921362329</v>
      </c>
      <c r="V549" s="1237">
        <f>[1]Plastics!I238</f>
        <v>99.0957574120483</v>
      </c>
      <c r="W549" s="1237">
        <f>[1]Plastics!J238</f>
        <v>155.09698683257568</v>
      </c>
      <c r="X549" s="1237">
        <f>[1]Plastics!K238</f>
        <v>127.55876375360594</v>
      </c>
      <c r="Y549" s="1237">
        <f>[1]Plastics!N238</f>
        <v>417.97536024186263</v>
      </c>
      <c r="Z549" s="1237">
        <f>[1]Plastics!O238</f>
        <v>976.72013009960153</v>
      </c>
      <c r="AA549" s="1237">
        <f>[1]Plastics!P238</f>
        <v>98.55777105401225</v>
      </c>
      <c r="AB549" s="1237">
        <f>[1]Plastics!Q238</f>
        <v>89.951533302245053</v>
      </c>
      <c r="AC549" s="1237">
        <f>[1]Plastics!R238</f>
        <v>55.013395321796999</v>
      </c>
      <c r="AD549" s="1237">
        <f>[1]Plastics!F203</f>
        <v>100.12263885387492</v>
      </c>
      <c r="AE549" s="1237">
        <f>[1]Plastics!C203</f>
        <v>34.038805903804551</v>
      </c>
      <c r="AF549" s="1237">
        <f>[1]Plastics!B203</f>
        <v>39.107139990076561</v>
      </c>
      <c r="AG549" s="1237">
        <f>[1]Plastics!G203</f>
        <v>32.08886318517726</v>
      </c>
      <c r="AH549" s="1237">
        <f>[1]Plastics!D203</f>
        <v>30.915111257459859</v>
      </c>
      <c r="AI549" s="1237">
        <f>[1]Plastics!I203</f>
        <v>41.043454504698701</v>
      </c>
      <c r="AJ549" s="1237">
        <f>[1]Plastics!H203</f>
        <v>117.09122053116302</v>
      </c>
      <c r="AK549" s="1237">
        <f>[1]Plastics!E203</f>
        <v>71.996428727568798</v>
      </c>
      <c r="AL549" s="1237">
        <f>[1]Plastics!J203</f>
        <v>46.836488212465213</v>
      </c>
      <c r="AM549" s="1237">
        <f xml:space="preserve"> [1]Chemicals!$N238</f>
        <v>84.308348060355456</v>
      </c>
    </row>
    <row r="550" spans="1:54">
      <c r="A550" s="59" t="s">
        <v>827</v>
      </c>
      <c r="B550" s="76">
        <f>[1]Enzymes_Yeast!F107</f>
        <v>0.86090444874827443</v>
      </c>
      <c r="D550" s="59" t="s">
        <v>827</v>
      </c>
      <c r="E550" s="76">
        <f>[1]Chemicals!T174</f>
        <v>3.077374146624734</v>
      </c>
      <c r="F550" s="76">
        <f>[1]Chemicals!B174</f>
        <v>0.14986516262158683</v>
      </c>
      <c r="G550" s="76">
        <f>[1]Ag_Inputs!$G122*142/2/98</f>
        <v>1.802784167855958</v>
      </c>
      <c r="H550" s="76">
        <f>[1]Chemicals!AF174</f>
        <v>0.46811574073818046</v>
      </c>
      <c r="I550" s="76">
        <f>[1]Chemicals!BE174</f>
        <v>0.14986516262158683</v>
      </c>
      <c r="J550" s="1237">
        <f>[1]Chemicals!AJ174</f>
        <v>2.166216636388504</v>
      </c>
      <c r="K550" s="76">
        <f>[1]Catalyst!H159</f>
        <v>0.67074917248447075</v>
      </c>
      <c r="L550" s="76">
        <f>[1]Catalyst!AD159</f>
        <v>2.1260636944233555E-2</v>
      </c>
      <c r="N550" s="488" t="s">
        <v>827</v>
      </c>
      <c r="O550" s="1237">
        <f>[1]Plastics!B239</f>
        <v>0.63353313573624537</v>
      </c>
      <c r="P550" s="1237">
        <f>[1]Plastics!C239</f>
        <v>0.23398401085561887</v>
      </c>
      <c r="Q550" s="1237">
        <f>[1]Plastics!D239</f>
        <v>0.43757387475230891</v>
      </c>
      <c r="R550" s="1237">
        <f>[1]Plastics!E239</f>
        <v>0.44215258618842312</v>
      </c>
      <c r="S550" s="1237">
        <f>[1]Plastics!F239</f>
        <v>3.5296748279848802</v>
      </c>
      <c r="T550" s="1237">
        <f>[1]Plastics!G239</f>
        <v>3.7780669091839263</v>
      </c>
      <c r="U550" s="1237">
        <f>[1]Plastics!H239</f>
        <v>0.25458555385189074</v>
      </c>
      <c r="V550" s="1237">
        <f>[1]Plastics!I239</f>
        <v>1.1700898407584217</v>
      </c>
      <c r="W550" s="1237">
        <f>[1]Plastics!J239</f>
        <v>1.443489246285212</v>
      </c>
      <c r="X550" s="1237">
        <f>[1]Plastics!K239</f>
        <v>1.1618153452196938</v>
      </c>
      <c r="Y550" s="1237">
        <f>[1]Plastics!N239</f>
        <v>2.7533941030790121</v>
      </c>
      <c r="Z550" s="1237">
        <f>[1]Plastics!O239</f>
        <v>2.8114370452948649</v>
      </c>
      <c r="AA550" s="1237">
        <f>[1]Plastics!P239</f>
        <v>0.80523543743278414</v>
      </c>
      <c r="AB550" s="1237">
        <f>[1]Plastics!Q239</f>
        <v>0.79679372021690797</v>
      </c>
      <c r="AC550" s="1237">
        <f>[1]Plastics!R239</f>
        <v>0.39962776270827127</v>
      </c>
      <c r="AD550" s="1237">
        <f>[1]Plastics!F204</f>
        <v>0.6102103647361643</v>
      </c>
      <c r="AE550" s="1237">
        <f>[1]Plastics!C204</f>
        <v>0.20727504799508703</v>
      </c>
      <c r="AF550" s="1237">
        <f>[1]Plastics!B204</f>
        <v>0.24390020682632096</v>
      </c>
      <c r="AG550" s="1237">
        <f>[1]Plastics!G204</f>
        <v>0.19540111587968439</v>
      </c>
      <c r="AH550" s="1237">
        <f>[1]Plastics!D204</f>
        <v>0.18825370043157794</v>
      </c>
      <c r="AI550" s="1237">
        <f>[1]Plastics!I204</f>
        <v>0.24992897889507715</v>
      </c>
      <c r="AJ550" s="1237">
        <f>[1]Plastics!H204</f>
        <v>0.71301233139578046</v>
      </c>
      <c r="AK550" s="1237">
        <f>[1]Plastics!E204</f>
        <v>0.43841324111530366</v>
      </c>
      <c r="AL550" s="1237">
        <f>[1]Plastics!J204</f>
        <v>0.2852049325583122</v>
      </c>
      <c r="AM550" s="1237">
        <f xml:space="preserve"> [1]Chemicals!$N239</f>
        <v>2.6472596344498123</v>
      </c>
    </row>
    <row r="551" spans="1:54">
      <c r="A551" s="118" t="s">
        <v>828</v>
      </c>
      <c r="B551" s="79">
        <f>[1]Enzymes_Yeast!F108</f>
        <v>4.5725994995086534</v>
      </c>
      <c r="D551" s="118" t="s">
        <v>828</v>
      </c>
      <c r="E551" s="79">
        <f>[1]Chemicals!T175</f>
        <v>10.807742711940605</v>
      </c>
      <c r="F551" s="79">
        <f>[1]Chemicals!B175</f>
        <v>0.83169445589998869</v>
      </c>
      <c r="G551" s="79">
        <f>[1]Ag_Inputs!$G123*142/2/98</f>
        <v>5.4219736620656134</v>
      </c>
      <c r="H551" s="79">
        <f>[1]Chemicals!AF175</f>
        <v>1.5823965087609191</v>
      </c>
      <c r="I551" s="79">
        <f>[1]Chemicals!BE175</f>
        <v>0.83169445589998869</v>
      </c>
      <c r="J551" s="1290">
        <f>[1]Chemicals!AJ175</f>
        <v>7.304668983264146</v>
      </c>
      <c r="K551" s="79">
        <f>[1]Catalyst!H160</f>
        <v>3.2385294259532635</v>
      </c>
      <c r="L551" s="79">
        <f>[1]Catalyst!AD160</f>
        <v>4.1274587924128893E-2</v>
      </c>
      <c r="N551" s="488" t="s">
        <v>828</v>
      </c>
      <c r="O551" s="1237">
        <f>[1]Plastics!B240</f>
        <v>2.7483212072600116</v>
      </c>
      <c r="P551" s="1237">
        <f>[1]Plastics!C240</f>
        <v>0.76409575721752465</v>
      </c>
      <c r="Q551" s="1237">
        <f>[1]Plastics!D240</f>
        <v>1.5915833540744382</v>
      </c>
      <c r="R551" s="1237">
        <f>[1]Plastics!E240</f>
        <v>1.609287703629402</v>
      </c>
      <c r="S551" s="1237">
        <f>[1]Plastics!F240</f>
        <v>11.635822304640264</v>
      </c>
      <c r="T551" s="1237">
        <f>[1]Plastics!G240</f>
        <v>12.684858811703741</v>
      </c>
      <c r="U551" s="1237">
        <f>[1]Plastics!H240</f>
        <v>0.91717777570936321</v>
      </c>
      <c r="V551" s="1237">
        <f>[1]Plastics!I240</f>
        <v>3.7687193761392135</v>
      </c>
      <c r="W551" s="1237">
        <f>[1]Plastics!J240</f>
        <v>5.6088677591072376</v>
      </c>
      <c r="X551" s="1237">
        <f>[1]Plastics!K240</f>
        <v>4.6209849702587462</v>
      </c>
      <c r="Y551" s="1237">
        <f>[1]Plastics!N240</f>
        <v>6.7276034138006793</v>
      </c>
      <c r="Z551" s="1237">
        <f>[1]Plastics!O240</f>
        <v>5.8838024101742503</v>
      </c>
      <c r="AA551" s="1237">
        <f>[1]Plastics!P240</f>
        <v>3.4702034567994531</v>
      </c>
      <c r="AB551" s="1237">
        <f>[1]Plastics!Q240</f>
        <v>3.2278635680547727</v>
      </c>
      <c r="AC551" s="1237">
        <f>[1]Plastics!R240</f>
        <v>1.8747206252700128</v>
      </c>
      <c r="AD551" s="1237">
        <f>[1]Plastics!F205</f>
        <v>3.3837260522898593</v>
      </c>
      <c r="AE551" s="1237">
        <f>[1]Plastics!C205</f>
        <v>1.1502974090062921</v>
      </c>
      <c r="AF551" s="1237">
        <f>[1]Plastics!B205</f>
        <v>1.3201585335840009</v>
      </c>
      <c r="AG551" s="1237">
        <f>[1]Plastics!G205</f>
        <v>1.0844016175003699</v>
      </c>
      <c r="AH551" s="1237">
        <f>[1]Plastics!D205</f>
        <v>1.0447361896036012</v>
      </c>
      <c r="AI551" s="1237">
        <f>[1]Plastics!I205</f>
        <v>1.3870104464547504</v>
      </c>
      <c r="AJ551" s="1237">
        <f>[1]Plastics!H205</f>
        <v>3.9569463151857152</v>
      </c>
      <c r="AK551" s="1237">
        <f>[1]Plastics!E205</f>
        <v>2.4330261659905053</v>
      </c>
      <c r="AL551" s="1237">
        <f>[1]Plastics!J205</f>
        <v>1.5827785260742862</v>
      </c>
      <c r="AM551" s="1290">
        <f xml:space="preserve"> [1]Chemicals!$N240</f>
        <v>5.2853204874132356</v>
      </c>
    </row>
    <row r="552" spans="1:54">
      <c r="N552" s="131"/>
      <c r="O552" s="131"/>
      <c r="P552" s="131"/>
      <c r="Q552" s="131"/>
      <c r="R552" s="131"/>
      <c r="S552" s="131"/>
      <c r="T552" s="131"/>
      <c r="U552" s="131"/>
      <c r="V552" s="131"/>
      <c r="W552" s="131"/>
      <c r="X552" s="131"/>
      <c r="Y552" s="131"/>
      <c r="Z552" s="131"/>
      <c r="AA552" s="131"/>
      <c r="AB552" s="131"/>
      <c r="AC552" s="131"/>
      <c r="AD552" s="131"/>
      <c r="AE552" s="131"/>
      <c r="AF552" s="131"/>
      <c r="AG552" s="131"/>
      <c r="AH552" s="131"/>
      <c r="AI552" s="131"/>
      <c r="AJ552" s="131"/>
      <c r="AK552" s="131"/>
      <c r="AL552" s="131"/>
    </row>
    <row r="553" spans="1:54" ht="15.75">
      <c r="A553" s="81" t="s">
        <v>2158</v>
      </c>
    </row>
    <row r="554" spans="1:54" s="1436" customFormat="1" ht="25.5">
      <c r="A554" s="486"/>
      <c r="B554" s="1828" t="s">
        <v>2159</v>
      </c>
      <c r="C554" s="1828" t="s">
        <v>2160</v>
      </c>
      <c r="D554" s="1828" t="s">
        <v>2161</v>
      </c>
      <c r="E554" s="1828" t="s">
        <v>281</v>
      </c>
      <c r="F554" s="1828" t="s">
        <v>1279</v>
      </c>
      <c r="G554" s="1828" t="s">
        <v>2162</v>
      </c>
      <c r="H554" s="1828" t="s">
        <v>52</v>
      </c>
      <c r="I554" s="1828" t="s">
        <v>2163</v>
      </c>
      <c r="J554" s="1828" t="s">
        <v>2164</v>
      </c>
      <c r="K554" s="1828" t="s">
        <v>2165</v>
      </c>
      <c r="L554" s="1828" t="s">
        <v>376</v>
      </c>
      <c r="M554" s="1828" t="s">
        <v>375</v>
      </c>
      <c r="N554" s="1828" t="s">
        <v>2166</v>
      </c>
      <c r="O554" s="1828" t="s">
        <v>2167</v>
      </c>
      <c r="P554" s="1828" t="s">
        <v>2168</v>
      </c>
      <c r="Q554" s="1828" t="s">
        <v>1391</v>
      </c>
      <c r="R554" s="1828" t="s">
        <v>2169</v>
      </c>
      <c r="S554" s="1828" t="s">
        <v>385</v>
      </c>
      <c r="T554" s="1828" t="s">
        <v>61</v>
      </c>
      <c r="U554" s="1828" t="s">
        <v>83</v>
      </c>
      <c r="V554" s="1828" t="s">
        <v>1601</v>
      </c>
      <c r="W554" s="1828" t="s">
        <v>1372</v>
      </c>
      <c r="X554" s="1828" t="s">
        <v>341</v>
      </c>
      <c r="Y554" s="1828" t="s">
        <v>1373</v>
      </c>
      <c r="Z554" s="1828" t="s">
        <v>2170</v>
      </c>
      <c r="AA554" s="1828" t="s">
        <v>997</v>
      </c>
      <c r="AB554" s="1828" t="s">
        <v>2171</v>
      </c>
      <c r="AC554" s="1828" t="s">
        <v>48</v>
      </c>
      <c r="AD554" s="1828" t="s">
        <v>54</v>
      </c>
      <c r="AE554" s="1828" t="s">
        <v>56</v>
      </c>
      <c r="AF554" s="1828" t="s">
        <v>1048</v>
      </c>
      <c r="AG554" s="1828" t="s">
        <v>2172</v>
      </c>
      <c r="AH554" s="1828" t="s">
        <v>2173</v>
      </c>
      <c r="AI554" s="1828" t="s">
        <v>1408</v>
      </c>
      <c r="AJ554" s="1828" t="s">
        <v>2174</v>
      </c>
      <c r="AK554" s="2534" t="s">
        <v>63</v>
      </c>
      <c r="AL554" s="1828" t="s">
        <v>2175</v>
      </c>
      <c r="AM554" s="1828" t="s">
        <v>2176</v>
      </c>
      <c r="AN554" s="1828" t="s">
        <v>2177</v>
      </c>
      <c r="AO554" s="1828" t="s">
        <v>2178</v>
      </c>
      <c r="AP554" s="1828" t="str">
        <f>Other_Cathodes!B117</f>
        <v xml:space="preserve">Manganese Sulfate  </v>
      </c>
      <c r="AQ554" s="1828" t="s">
        <v>2179</v>
      </c>
      <c r="AR554" s="1828" t="s">
        <v>1595</v>
      </c>
      <c r="AS554" s="2509" t="s">
        <v>2180</v>
      </c>
      <c r="AT554" s="2509" t="s">
        <v>994</v>
      </c>
      <c r="AU554" s="1300" t="s">
        <v>2181</v>
      </c>
      <c r="AV554" s="2534" t="s">
        <v>554</v>
      </c>
      <c r="AW554" s="2534" t="s">
        <v>556</v>
      </c>
      <c r="AX554" s="2534" t="s">
        <v>558</v>
      </c>
      <c r="AY554" s="2534" t="s">
        <v>1278</v>
      </c>
      <c r="AZ554" s="2534" t="s">
        <v>1170</v>
      </c>
      <c r="BA554" s="2534" t="s">
        <v>588</v>
      </c>
      <c r="BB554" s="2533" t="s">
        <v>2276</v>
      </c>
    </row>
    <row r="555" spans="1:54">
      <c r="A555" s="482" t="s">
        <v>2155</v>
      </c>
      <c r="AS555" s="439"/>
      <c r="AT555" s="439"/>
      <c r="AU555" s="439"/>
      <c r="BB555" s="51"/>
    </row>
    <row r="556" spans="1:54">
      <c r="A556" s="100" t="s">
        <v>2182</v>
      </c>
      <c r="B556" s="1318">
        <f ca="1">'C.Al'!I115</f>
        <v>128.05362515363043</v>
      </c>
      <c r="C556" s="1318">
        <f ca="1">'C.Al'!F151</f>
        <v>26.400245338386945</v>
      </c>
      <c r="D556" s="1318">
        <v>0</v>
      </c>
      <c r="E556" s="1318">
        <f ca="1">'C.Iron'!J62</f>
        <v>27.48080649799499</v>
      </c>
      <c r="F556" s="1318">
        <f>Cement_Concrete!J93/10^6</f>
        <v>4.1029976364389737</v>
      </c>
      <c r="G556" s="1318">
        <f>Cement_Concrete!J126/10^6</f>
        <v>0.45614836362223454</v>
      </c>
      <c r="H556" s="1318">
        <f>Copper!K63</f>
        <v>37.54584388099849</v>
      </c>
      <c r="I556" s="1318">
        <v>0</v>
      </c>
      <c r="J556" s="1318">
        <f>Glass!H71</f>
        <v>12.807562304734642</v>
      </c>
      <c r="K556" s="1318">
        <v>0</v>
      </c>
      <c r="L556" s="1318">
        <f>Vehi_Plastics!AW105</f>
        <v>71.212837077165787</v>
      </c>
      <c r="M556" s="1318">
        <f>Vehi_Plastics!AU105</f>
        <v>65.840461761986035</v>
      </c>
      <c r="N556" s="1318">
        <f ca="1">Lead!E60</f>
        <v>21.035100909944408</v>
      </c>
      <c r="O556" s="1318">
        <f>Lead!G60</f>
        <v>4.2287359362870536</v>
      </c>
      <c r="P556" s="1318">
        <f>SUM(Vehi_Fluids!B72:C72)*2000</f>
        <v>45.954435894699586</v>
      </c>
      <c r="Q556" s="1318">
        <f>Vehi_Plastics!BI105</f>
        <v>64.110593096902335</v>
      </c>
      <c r="R556" s="1318">
        <v>0</v>
      </c>
      <c r="S556" s="1318">
        <f>Vehi_Plastics!BO105</f>
        <v>50.113505285195117</v>
      </c>
      <c r="T556" s="1318">
        <f>Rubber!I65</f>
        <v>46.98683048999164</v>
      </c>
      <c r="U556" s="1318">
        <f ca="1">Silicon!B72</f>
        <v>3145.0189281615067</v>
      </c>
      <c r="V556" s="1318">
        <f>LiMn2O4!C90</f>
        <v>5.0786456533048154</v>
      </c>
      <c r="W556" s="1318">
        <f ca="1">Mat_Sum!B15*2000</f>
        <v>29.518025742902026</v>
      </c>
      <c r="X556" s="1318">
        <f ca="1">Mat_Sum!C15*2000</f>
        <v>9.6149456386865175</v>
      </c>
      <c r="Y556" s="1318">
        <f ca="1">Mat_Sum!D15*2000</f>
        <v>24.26361259538913</v>
      </c>
      <c r="Z556" s="1318">
        <v>0</v>
      </c>
      <c r="AA556" s="1318">
        <f>Silicon!J72</f>
        <v>0.3244888421248136</v>
      </c>
      <c r="AB556" s="1318">
        <f ca="1">W.Al!W126</f>
        <v>13.309845190477869</v>
      </c>
      <c r="AC556" s="1318">
        <f ca="1">Mat_Sum!U15*2000</f>
        <v>132.43745828861458</v>
      </c>
      <c r="AD556" s="1318">
        <f>Mat_Sum!AH15*2000</f>
        <v>36.341988146910587</v>
      </c>
      <c r="AE556" s="1318">
        <f ca="1">Mat_Sum!AK15*2000</f>
        <v>112.28442090155342</v>
      </c>
      <c r="AF556" s="1318">
        <f ca="1">Mat_Sum!Z15*2000</f>
        <v>226.25511472165238</v>
      </c>
      <c r="AG556" s="1318">
        <f>Copper!B63</f>
        <v>3.4878673902856239</v>
      </c>
      <c r="AH556" s="1318">
        <v>26.640510924379051</v>
      </c>
      <c r="AI556" s="1318">
        <f>Battery_Materials!J89</f>
        <v>85.221901268924427</v>
      </c>
      <c r="AJ556" s="1318">
        <f>Molybdenum!D67</f>
        <v>168.78040184339241</v>
      </c>
      <c r="AK556" s="1318">
        <f>Platinum!N69</f>
        <v>1158.5416447159091</v>
      </c>
      <c r="AL556" s="1318">
        <f ca="1">Other_Cathodes!I152</f>
        <v>17.655552427004356</v>
      </c>
      <c r="AM556" s="1318">
        <f>Manganese!B73</f>
        <v>6.9468378005920295</v>
      </c>
      <c r="AN556" s="1318">
        <f>Zinc!G72</f>
        <v>71.264382457758671</v>
      </c>
      <c r="AO556" s="1318">
        <f ca="1">Mat_Sum!AA15*2000</f>
        <v>106.60934365639599</v>
      </c>
      <c r="AP556" s="1318">
        <f ca="1">Other_Cathodes!B119</f>
        <v>7.558463442424566</v>
      </c>
      <c r="AQ556" s="1318">
        <f>'FC Materials'!D56</f>
        <v>17.874761464607445</v>
      </c>
      <c r="AR556" s="1318">
        <f>LiMn2O4!K90</f>
        <v>15.030487346981841</v>
      </c>
      <c r="AS556" s="2510">
        <f ca="1">W.Al!$B126</f>
        <v>0.68454435979339279</v>
      </c>
      <c r="AT556" s="2510">
        <f ca="1">Cobalt!$B119</f>
        <v>0.50183039792982687</v>
      </c>
      <c r="AU556" s="2510">
        <f>Glass!$B39</f>
        <v>0.19363822271387998</v>
      </c>
      <c r="AV556" s="1318">
        <f>Platinum!H69</f>
        <v>1158.5416447159091</v>
      </c>
      <c r="AW556" s="1318">
        <f>Platinum!J69</f>
        <v>1158.5416447159091</v>
      </c>
      <c r="AX556" s="1318">
        <f>Platinum!L69</f>
        <v>1158.5416447159091</v>
      </c>
      <c r="AY556" s="1318">
        <f>SUM(Cement_Concrete!AI62:AL62)/1000000</f>
        <v>3.9742113916109365E-2</v>
      </c>
      <c r="AZ556" s="1318">
        <f>Vehi_Plastics!K105</f>
        <v>106.69727724580859</v>
      </c>
      <c r="BA556" s="1318">
        <f>SUM(Vehi_Fluids!B40:C40)</f>
        <v>38.907451643223773</v>
      </c>
      <c r="BB556" s="235">
        <f>Vehi_Fluids!$D40+0.667*Vehi_Fluids!$E40</f>
        <v>45.954435894699586</v>
      </c>
    </row>
    <row r="557" spans="1:54">
      <c r="A557" s="100" t="s">
        <v>2183</v>
      </c>
      <c r="B557" s="1318">
        <f ca="1">'C.Al'!I116</f>
        <v>81.393893001531225</v>
      </c>
      <c r="C557" s="1318">
        <f ca="1">'C.Al'!F152</f>
        <v>22.13478902037642</v>
      </c>
      <c r="D557" s="1318">
        <v>0</v>
      </c>
      <c r="E557" s="1318">
        <f ca="1">'C.Iron'!J63</f>
        <v>27.07306573377863</v>
      </c>
      <c r="F557" s="1318">
        <f>Cement_Concrete!J94/10^6</f>
        <v>3.613479599887738</v>
      </c>
      <c r="G557" s="1318">
        <f>Cement_Concrete!J127/10^6</f>
        <v>0.40663426040313561</v>
      </c>
      <c r="H557" s="1318">
        <f>Copper!K64</f>
        <v>32.421703433688123</v>
      </c>
      <c r="I557" s="1318">
        <v>0</v>
      </c>
      <c r="J557" s="1318">
        <f>Glass!H72</f>
        <v>11.945750589928572</v>
      </c>
      <c r="K557" s="1318">
        <v>0</v>
      </c>
      <c r="L557" s="1318">
        <f>Vehi_Plastics!AW106</f>
        <v>68.178482998060034</v>
      </c>
      <c r="M557" s="1318">
        <f>Vehi_Plastics!AU106</f>
        <v>63.292967178317454</v>
      </c>
      <c r="N557" s="1318">
        <f ca="1">Lead!E61</f>
        <v>20.100544344243545</v>
      </c>
      <c r="O557" s="1318">
        <f>Lead!G61</f>
        <v>4.2254356751627755</v>
      </c>
      <c r="P557" s="1318">
        <f>SUM(Vehi_Fluids!B73:C73)*2000</f>
        <v>45.714238438893744</v>
      </c>
      <c r="Q557" s="1318">
        <f>Vehi_Plastics!BI106</f>
        <v>62.505899739127969</v>
      </c>
      <c r="R557" s="1318">
        <v>0</v>
      </c>
      <c r="S557" s="1318">
        <f>Vehi_Plastics!BO106</f>
        <v>47.961142748352131</v>
      </c>
      <c r="T557" s="1318">
        <f>Rubber!I66</f>
        <v>45.801987388518171</v>
      </c>
      <c r="U557" s="1318">
        <f ca="1">Silicon!B73</f>
        <v>2260.4633948052051</v>
      </c>
      <c r="V557" s="1318">
        <f>LiMn2O4!C91</f>
        <v>5.0718602126136769</v>
      </c>
      <c r="W557" s="1318">
        <f ca="1">Mat_Sum!B16*2000</f>
        <v>27.838484491813659</v>
      </c>
      <c r="X557" s="1318">
        <f ca="1">Mat_Sum!C16*2000</f>
        <v>8.2578978780619732</v>
      </c>
      <c r="Y557" s="1318">
        <f ca="1">Mat_Sum!D16*2000</f>
        <v>22.669209625783214</v>
      </c>
      <c r="Z557" s="1318">
        <v>0</v>
      </c>
      <c r="AA557" s="1318">
        <f>Silicon!J73</f>
        <v>0.25699982631631285</v>
      </c>
      <c r="AB557" s="1318">
        <f ca="1">W.Al!W127</f>
        <v>12.91030625427995</v>
      </c>
      <c r="AC557" s="1318">
        <f ca="1">Mat_Sum!U16*2000</f>
        <v>112.48968803232074</v>
      </c>
      <c r="AD557" s="1318">
        <f>Mat_Sum!AH16*2000</f>
        <v>29.225560400966909</v>
      </c>
      <c r="AE557" s="1318">
        <f ca="1">Mat_Sum!AK16*2000</f>
        <v>100.59547380950153</v>
      </c>
      <c r="AF557" s="1318">
        <f ca="1">Mat_Sum!Z16*2000</f>
        <v>205.57703938883554</v>
      </c>
      <c r="AG557" s="1318">
        <f>Copper!B64</f>
        <v>3.0104112202313615</v>
      </c>
      <c r="AH557" s="1318">
        <v>25.130311465120499</v>
      </c>
      <c r="AI557" s="1318">
        <f>Battery_Materials!J90</f>
        <v>84.058273372872293</v>
      </c>
      <c r="AJ557" s="1318">
        <f>Molybdenum!D68</f>
        <v>162.82956731914621</v>
      </c>
      <c r="AK557" s="1318">
        <f>Platinum!N70</f>
        <v>1109.4751240359108</v>
      </c>
      <c r="AL557" s="1318">
        <f ca="1">Other_Cathodes!I153</f>
        <v>17.559596575231108</v>
      </c>
      <c r="AM557" s="1318">
        <f>Manganese!B74</f>
        <v>5.6718260733291341</v>
      </c>
      <c r="AN557" s="1318">
        <f>Zinc!G73</f>
        <v>65.400283397717672</v>
      </c>
      <c r="AO557" s="1318">
        <f ca="1">Mat_Sum!AA16*2000</f>
        <v>95.593280051684189</v>
      </c>
      <c r="AP557" s="1318">
        <f ca="1">Other_Cathodes!B120</f>
        <v>6.2134755697616733</v>
      </c>
      <c r="AQ557" s="1318">
        <f>'FC Materials'!D57</f>
        <v>15.777462556104267</v>
      </c>
      <c r="AR557" s="1318">
        <f>LiMn2O4!K91</f>
        <v>14.273036331988768</v>
      </c>
      <c r="AS557" s="2510">
        <f ca="1">W.Al!$B127</f>
        <v>0.67496085950170837</v>
      </c>
      <c r="AT557" s="2510">
        <f ca="1">Cobalt!$B120</f>
        <v>0.41734984871451564</v>
      </c>
      <c r="AU557" s="2510">
        <f>Glass!$B40</f>
        <v>0.1888245752630538</v>
      </c>
      <c r="AV557" s="1318">
        <f>Platinum!H70</f>
        <v>1109.4751240359108</v>
      </c>
      <c r="AW557" s="1318">
        <f>Platinum!J70</f>
        <v>1109.4751240359108</v>
      </c>
      <c r="AX557" s="1318">
        <f>Platinum!L70</f>
        <v>1109.4751240359108</v>
      </c>
      <c r="AY557" s="1318">
        <f>SUM(Cement_Concrete!AI63:AL63)/1000000</f>
        <v>3.6160734331895643E-2</v>
      </c>
      <c r="AZ557" s="1318">
        <f>Vehi_Plastics!K106</f>
        <v>103.58809836007964</v>
      </c>
      <c r="BA557" s="1318">
        <f>SUM(Vehi_Fluids!B41:C41)</f>
        <v>38.318200645055015</v>
      </c>
      <c r="BB557" s="235">
        <f>Vehi_Fluids!$D41+0.667*Vehi_Fluids!$E41</f>
        <v>45.714238438893744</v>
      </c>
    </row>
    <row r="558" spans="1:54">
      <c r="A558" s="100" t="s">
        <v>2184</v>
      </c>
      <c r="B558" s="1318">
        <f ca="1">'C.Al'!I117</f>
        <v>28.787305687026738</v>
      </c>
      <c r="C558" s="1318">
        <f ca="1">'C.Al'!F153</f>
        <v>3.0296727621955224</v>
      </c>
      <c r="D558" s="1318">
        <v>0</v>
      </c>
      <c r="E558" s="1318">
        <f ca="1">'C.Iron'!J64</f>
        <v>18.642555105735344</v>
      </c>
      <c r="F558" s="1318">
        <f>Cement_Concrete!J95/10^6</f>
        <v>1.6863374569798837</v>
      </c>
      <c r="G558" s="1318">
        <f>Cement_Concrete!J128/10^6</f>
        <v>0.158955386746817</v>
      </c>
      <c r="H558" s="1318">
        <f>Copper!K65</f>
        <v>9.6707800656253227</v>
      </c>
      <c r="I558" s="1318">
        <v>0</v>
      </c>
      <c r="J558" s="1318">
        <f>Glass!H73</f>
        <v>2.1207768867258348</v>
      </c>
      <c r="K558" s="1318">
        <v>0</v>
      </c>
      <c r="L558" s="1318">
        <f>Vehi_Plastics!AW107</f>
        <v>4.0049795356347069</v>
      </c>
      <c r="M558" s="1318">
        <f>Vehi_Plastics!AU107</f>
        <v>3.3631848143433296</v>
      </c>
      <c r="N558" s="1318">
        <f ca="1">Lead!E62</f>
        <v>16.70220838865616</v>
      </c>
      <c r="O558" s="1318">
        <f>Lead!G62</f>
        <v>4.1469728885411614</v>
      </c>
      <c r="P558" s="1318">
        <f>SUM(Vehi_Fluids!B74:C74)*2000</f>
        <v>0.30610647540700153</v>
      </c>
      <c r="Q558" s="1318">
        <f>Vehi_Plastics!BI107</f>
        <v>2.1095189340129044</v>
      </c>
      <c r="R558" s="1318">
        <v>0</v>
      </c>
      <c r="S558" s="1318">
        <f>Vehi_Plastics!BO107</f>
        <v>3.3016957560061324</v>
      </c>
      <c r="T558" s="1318">
        <f>Rubber!I67</f>
        <v>1.5612621712478285</v>
      </c>
      <c r="U558" s="1318">
        <f ca="1">Silicon!B74</f>
        <v>644.15492176432224</v>
      </c>
      <c r="V558" s="1318">
        <f>LiMn2O4!C92</f>
        <v>4.2382882993459088</v>
      </c>
      <c r="W558" s="1318">
        <f ca="1">Mat_Sum!B17*2000</f>
        <v>20.647090469033991</v>
      </c>
      <c r="X558" s="1318">
        <f ca="1">Mat_Sum!C17*2000</f>
        <v>1.9714289584665234</v>
      </c>
      <c r="Y558" s="1318">
        <f ca="1">Mat_Sum!D17*2000</f>
        <v>15.716715830244178</v>
      </c>
      <c r="Z558" s="1318">
        <v>0</v>
      </c>
      <c r="AA558" s="1318">
        <f>Silicon!J74</f>
        <v>8.9215317772782882E-2</v>
      </c>
      <c r="AB558" s="1318">
        <f ca="1">W.Al!W128</f>
        <v>1.4099372078105987</v>
      </c>
      <c r="AC558" s="1318">
        <f ca="1">Mat_Sum!U17*2000</f>
        <v>35.766686904815494</v>
      </c>
      <c r="AD558" s="1318">
        <f>Mat_Sum!AH17*2000</f>
        <v>9.4613798868238295</v>
      </c>
      <c r="AE558" s="1318">
        <f ca="1">Mat_Sum!AK17*2000</f>
        <v>15.451736501174702</v>
      </c>
      <c r="AF558" s="1318">
        <f ca="1">Mat_Sum!Z17*2000</f>
        <v>35.994683675263659</v>
      </c>
      <c r="AG558" s="1318">
        <f>Copper!B65</f>
        <v>0.63085294551978466</v>
      </c>
      <c r="AH558" s="1318">
        <v>9.5621651640339458</v>
      </c>
      <c r="AI558" s="1318">
        <f>Battery_Materials!J91</f>
        <v>1.5403273292594508</v>
      </c>
      <c r="AJ558" s="1318">
        <f>Molybdenum!D69</f>
        <v>7.8303847744666326</v>
      </c>
      <c r="AK558" s="1318">
        <f>Platinum!N71</f>
        <v>1019.3158651358294</v>
      </c>
      <c r="AL558" s="1318">
        <f ca="1">Other_Cathodes!I154</f>
        <v>0.12670323615731649</v>
      </c>
      <c r="AM558" s="1318">
        <f>Manganese!B75</f>
        <v>1.6852573295269475</v>
      </c>
      <c r="AN558" s="1318">
        <f>Zinc!G74</f>
        <v>23.645854331005431</v>
      </c>
      <c r="AO558" s="1318">
        <f ca="1">Mat_Sum!AA17*2000</f>
        <v>19.312311657523892</v>
      </c>
      <c r="AP558" s="1318">
        <f ca="1">Other_Cathodes!B121</f>
        <v>1.7776940313465504</v>
      </c>
      <c r="AQ558" s="1318">
        <f>'FC Materials'!D58</f>
        <v>2.7724607372548284</v>
      </c>
      <c r="AR558" s="1318">
        <f>LiMn2O4!K92</f>
        <v>1.0012191074650729</v>
      </c>
      <c r="AS558" s="2510">
        <f ca="1">W.Al!$B128</f>
        <v>1.2501639495719813E-2</v>
      </c>
      <c r="AT558" s="2510">
        <f ca="1">Cobalt!$B121</f>
        <v>0.11167672692942396</v>
      </c>
      <c r="AU558" s="2510">
        <f>Glass!$B41</f>
        <v>6.3192864913589573E-3</v>
      </c>
      <c r="AV558" s="1318">
        <f>Platinum!H71</f>
        <v>1019.3158651358294</v>
      </c>
      <c r="AW558" s="1318">
        <f>Platinum!J71</f>
        <v>1019.3158651358294</v>
      </c>
      <c r="AX558" s="1318">
        <f>Platinum!L71</f>
        <v>1019.3158651358294</v>
      </c>
      <c r="AY558" s="1318">
        <f>SUM(Cement_Concrete!AI64:AL64)/1000000</f>
        <v>4.710811520229851E-3</v>
      </c>
      <c r="AZ558" s="1318">
        <f>Vehi_Plastics!K107</f>
        <v>4.100810724512451</v>
      </c>
      <c r="BA558" s="1318">
        <f>SUM(Vehi_Fluids!B42:C42)</f>
        <v>0.77529282850867631</v>
      </c>
      <c r="BB558" s="235">
        <f>Vehi_Fluids!$D42+0.667*Vehi_Fluids!$E42</f>
        <v>0.30610647540700153</v>
      </c>
    </row>
    <row r="559" spans="1:54">
      <c r="A559" s="100" t="s">
        <v>2185</v>
      </c>
      <c r="B559" s="1318">
        <f ca="1">'C.Al'!I118</f>
        <v>37.712377126565009</v>
      </c>
      <c r="C559" s="1318">
        <f ca="1">'C.Al'!F154</f>
        <v>17.842146935231689</v>
      </c>
      <c r="D559" s="1318">
        <v>0</v>
      </c>
      <c r="E559" s="1318">
        <f ca="1">'C.Iron'!J65</f>
        <v>6.8512560399382973</v>
      </c>
      <c r="F559" s="1318">
        <f>Cement_Concrete!J96/10^6</f>
        <v>1.1273320520207886</v>
      </c>
      <c r="G559" s="1318">
        <f>Cement_Concrete!J129/10^6</f>
        <v>0.12562758218343231</v>
      </c>
      <c r="H559" s="1318">
        <f>Copper!K66</f>
        <v>17.597647652533308</v>
      </c>
      <c r="I559" s="1318">
        <v>0</v>
      </c>
      <c r="J559" s="1318">
        <f>Glass!H74</f>
        <v>9.5499907714088685</v>
      </c>
      <c r="K559" s="1318">
        <v>0</v>
      </c>
      <c r="L559" s="1318">
        <f>Vehi_Plastics!AW108</f>
        <v>42.269541592703234</v>
      </c>
      <c r="M559" s="1318">
        <f>Vehi_Plastics!AU108</f>
        <v>38.583386080096069</v>
      </c>
      <c r="N559" s="1318">
        <f ca="1">Lead!E63</f>
        <v>2.6397383135907986</v>
      </c>
      <c r="O559" s="1318">
        <f>Lead!G63</f>
        <v>1.493977614248139E-2</v>
      </c>
      <c r="P559" s="1318">
        <f>SUM(Vehi_Fluids!B75:C75)*2000</f>
        <v>5.2671011257244551</v>
      </c>
      <c r="Q559" s="1318">
        <f>Vehi_Plastics!BI108</f>
        <v>19.040671176423867</v>
      </c>
      <c r="R559" s="1318">
        <v>0</v>
      </c>
      <c r="S559" s="1318">
        <f>Vehi_Plastics!BO108</f>
        <v>40.736611617191357</v>
      </c>
      <c r="T559" s="1318">
        <f>Rubber!I68</f>
        <v>26.606746519379236</v>
      </c>
      <c r="U559" s="1318">
        <f ca="1">Silicon!B75</f>
        <v>1547.0530121174734</v>
      </c>
      <c r="V559" s="1318">
        <f>LiMn2O4!C93</f>
        <v>7.8879504728451053E-2</v>
      </c>
      <c r="W559" s="1318">
        <f ca="1">Mat_Sum!B18*2000</f>
        <v>7.3926753987757161</v>
      </c>
      <c r="X559" s="1318">
        <f ca="1">Mat_Sum!C18*2000</f>
        <v>6.2198057033367693</v>
      </c>
      <c r="Y559" s="1318">
        <f ca="1">Mat_Sum!D18*2000</f>
        <v>7.0830377991798326</v>
      </c>
      <c r="Z559" s="1318">
        <v>0</v>
      </c>
      <c r="AA559" s="1318">
        <f>Silicon!J75</f>
        <v>0.16499343852676582</v>
      </c>
      <c r="AB559" s="1318">
        <f ca="1">W.Al!W129</f>
        <v>9.4666641999861838</v>
      </c>
      <c r="AC559" s="1318">
        <f ca="1">Mat_Sum!U18*2000</f>
        <v>60.324151093109599</v>
      </c>
      <c r="AD559" s="1318">
        <f>Mat_Sum!AH18*2000</f>
        <v>18.724573028832836</v>
      </c>
      <c r="AE559" s="1318">
        <f ca="1">Mat_Sum!AK18*2000</f>
        <v>84.1069075917476</v>
      </c>
      <c r="AF559" s="1318">
        <f ca="1">Mat_Sum!Z18*2000</f>
        <v>139.34242244806796</v>
      </c>
      <c r="AG559" s="1318">
        <f>Copper!B66</f>
        <v>1.2801066775280567</v>
      </c>
      <c r="AH559" s="1318">
        <v>15.181577463772307</v>
      </c>
      <c r="AI559" s="1318">
        <f>Battery_Materials!J92</f>
        <v>81.874842847687376</v>
      </c>
      <c r="AJ559" s="1318">
        <f>Molybdenum!D70</f>
        <v>27.815463180260352</v>
      </c>
      <c r="AK559" s="1318">
        <f>Platinum!N72</f>
        <v>16.136847393994969</v>
      </c>
      <c r="AL559" s="1318">
        <f ca="1">Other_Cathodes!I155</f>
        <v>16.926755260427921</v>
      </c>
      <c r="AM559" s="1318">
        <f>Manganese!B76</f>
        <v>3.1943664312987163</v>
      </c>
      <c r="AN559" s="1318">
        <f>Zinc!G75</f>
        <v>16.95504061203523</v>
      </c>
      <c r="AO559" s="1318">
        <f ca="1">Mat_Sum!AA18*2000</f>
        <v>59.325732086187791</v>
      </c>
      <c r="AP559" s="1318">
        <f ca="1">Other_Cathodes!B122</f>
        <v>3.407574828703738</v>
      </c>
      <c r="AQ559" s="1318">
        <f>'FC Materials'!D59</f>
        <v>12.890070383442565</v>
      </c>
      <c r="AR559" s="1318">
        <f>LiMn2O4!K93</f>
        <v>12.983514568594668</v>
      </c>
      <c r="AS559" s="2510">
        <f ca="1">W.Al!$B129</f>
        <v>7.5821119818310967E-2</v>
      </c>
      <c r="AT559" s="2510">
        <f ca="1">Cobalt!$B122</f>
        <v>0.30183320334210528</v>
      </c>
      <c r="AU559" s="2510">
        <f>Glass!$B42</f>
        <v>2.7905685875026648E-2</v>
      </c>
      <c r="AV559" s="1318">
        <f>Platinum!H72</f>
        <v>16.136847393994969</v>
      </c>
      <c r="AW559" s="1318">
        <f>Platinum!J72</f>
        <v>16.136847393994969</v>
      </c>
      <c r="AX559" s="1318">
        <f>Platinum!L72</f>
        <v>16.136847393994969</v>
      </c>
      <c r="AY559" s="1318">
        <f>SUM(Cement_Concrete!AI65:AL65)/1000000</f>
        <v>1.2151211169411431E-2</v>
      </c>
      <c r="AZ559" s="1318">
        <f>Vehi_Plastics!K108</f>
        <v>66.763787738480616</v>
      </c>
      <c r="BA559" s="1318">
        <f>SUM(Vehi_Fluids!B43:C43)</f>
        <v>24.699886666985829</v>
      </c>
      <c r="BB559" s="235">
        <f>Vehi_Fluids!$D43+0.667*Vehi_Fluids!$E43</f>
        <v>5.2671011257244515</v>
      </c>
    </row>
    <row r="560" spans="1:54">
      <c r="A560" s="100" t="s">
        <v>2186</v>
      </c>
      <c r="B560" s="1318">
        <f ca="1">'C.Al'!I119</f>
        <v>14.894210187939482</v>
      </c>
      <c r="C560" s="1318">
        <f ca="1">'C.Al'!F155</f>
        <v>1.2629693229492085</v>
      </c>
      <c r="D560" s="1318">
        <v>0</v>
      </c>
      <c r="E560" s="1318">
        <f ca="1">'C.Iron'!J66</f>
        <v>1.5792545881049891</v>
      </c>
      <c r="F560" s="1318">
        <f>Cement_Concrete!J97/10^6</f>
        <v>0.79981009088706512</v>
      </c>
      <c r="G560" s="1318">
        <f>Cement_Concrete!J130/10^6</f>
        <v>0.12205129147288622</v>
      </c>
      <c r="H560" s="1318">
        <f>Copper!K67</f>
        <v>5.1532757155294924</v>
      </c>
      <c r="I560" s="1318">
        <v>0</v>
      </c>
      <c r="J560" s="1318">
        <f>Glass!H75</f>
        <v>0.27498293179386735</v>
      </c>
      <c r="K560" s="1318">
        <v>0</v>
      </c>
      <c r="L560" s="1318">
        <f>Vehi_Plastics!AW109</f>
        <v>21.903961869722089</v>
      </c>
      <c r="M560" s="1318">
        <f>Vehi_Plastics!AU109</f>
        <v>21.346396283878057</v>
      </c>
      <c r="N560" s="1318">
        <f ca="1">Lead!E64</f>
        <v>0.75859764199658597</v>
      </c>
      <c r="O560" s="1318">
        <f>Lead!G64</f>
        <v>6.352301047913271E-2</v>
      </c>
      <c r="P560" s="1318">
        <f>SUM(Vehi_Fluids!B76:C76)*2000</f>
        <v>40.141030837762294</v>
      </c>
      <c r="Q560" s="1318">
        <f>Vehi_Plastics!BI109</f>
        <v>41.355709628691201</v>
      </c>
      <c r="R560" s="1318">
        <v>0</v>
      </c>
      <c r="S560" s="1318">
        <f>Vehi_Plastics!BO109</f>
        <v>3.9228353751546594</v>
      </c>
      <c r="T560" s="1318">
        <f>Rubber!I69</f>
        <v>17.633978697891106</v>
      </c>
      <c r="U560" s="1318">
        <f ca="1">Silicon!B76</f>
        <v>69.255460923409814</v>
      </c>
      <c r="V560" s="1318">
        <f>LiMn2O4!C94</f>
        <v>0.75469240853931707</v>
      </c>
      <c r="W560" s="1318">
        <f ca="1">Mat_Sum!B19*2000</f>
        <v>-0.20128137599604612</v>
      </c>
      <c r="X560" s="1318">
        <f ca="1">Mat_Sum!C19*2000</f>
        <v>6.6663216258680713E-2</v>
      </c>
      <c r="Y560" s="1318">
        <f ca="1">Mat_Sum!D19*2000</f>
        <v>-0.13054400364079821</v>
      </c>
      <c r="Z560" s="1318">
        <v>0</v>
      </c>
      <c r="AA560" s="1318">
        <f>Silicon!J76</f>
        <v>2.7910700167641414E-3</v>
      </c>
      <c r="AB560" s="1318">
        <f ca="1">W.Al!W130</f>
        <v>2.0337048464831673</v>
      </c>
      <c r="AC560" s="1318">
        <f ca="1">Mat_Sum!U19*2000</f>
        <v>16.398850034395664</v>
      </c>
      <c r="AD560" s="1318">
        <f>Mat_Sum!AH19*2000</f>
        <v>1.0396074853102433</v>
      </c>
      <c r="AE560" s="1318">
        <f ca="1">Mat_Sum!AK19*2000</f>
        <v>1.0368297165792226</v>
      </c>
      <c r="AF560" s="1318">
        <f ca="1">Mat_Sum!Z19*2000</f>
        <v>30.239933265503918</v>
      </c>
      <c r="AG560" s="1318">
        <f>Copper!B67</f>
        <v>1.0994515971835201</v>
      </c>
      <c r="AH560" s="1318">
        <v>0.38656883731424152</v>
      </c>
      <c r="AI560" s="1318">
        <f>Battery_Materials!J93</f>
        <v>0.64310319592548315</v>
      </c>
      <c r="AJ560" s="1318">
        <f>Molybdenum!D71</f>
        <v>127.18371936441922</v>
      </c>
      <c r="AK560" s="1318">
        <f>Platinum!N73</f>
        <v>74.022411506086371</v>
      </c>
      <c r="AL560" s="1318">
        <f ca="1">Other_Cathodes!I156</f>
        <v>0.50613807864587279</v>
      </c>
      <c r="AM560" s="1318">
        <f>Manganese!B77</f>
        <v>0.79220231250347051</v>
      </c>
      <c r="AN560" s="1318">
        <f>Zinc!G76</f>
        <v>24.799388454677015</v>
      </c>
      <c r="AO560" s="1318">
        <f ca="1">Mat_Sum!AA19*2000</f>
        <v>16.955236307972502</v>
      </c>
      <c r="AP560" s="1318">
        <f ca="1">Other_Cathodes!B123</f>
        <v>1.0282067097113847</v>
      </c>
      <c r="AQ560" s="1318">
        <f>'FC Materials'!D60</f>
        <v>0.11493143540687398</v>
      </c>
      <c r="AR560" s="1318">
        <f>LiMn2O4!K94</f>
        <v>0.28830265592902937</v>
      </c>
      <c r="AS560" s="2510">
        <f ca="1">W.Al!$B130</f>
        <v>0.58663810018767759</v>
      </c>
      <c r="AT560" s="2510">
        <f ca="1">Cobalt!$B123</f>
        <v>3.8399184429863493E-3</v>
      </c>
      <c r="AU560" s="2510">
        <f>Glass!$B43</f>
        <v>0.15459960289666819</v>
      </c>
      <c r="AV560" s="1318">
        <f>Platinum!H73</f>
        <v>74.022411506086371</v>
      </c>
      <c r="AW560" s="1318">
        <f>Platinum!J73</f>
        <v>74.022411506086371</v>
      </c>
      <c r="AX560" s="1318">
        <f>Platinum!L73</f>
        <v>74.022411506086371</v>
      </c>
      <c r="AY560" s="1318">
        <f>SUM(Cement_Concrete!AI66:AL66)/1000000</f>
        <v>1.9298711642254354E-2</v>
      </c>
      <c r="AZ560" s="1318">
        <f>Vehi_Plastics!K109</f>
        <v>32.723499897086583</v>
      </c>
      <c r="BA560" s="1318">
        <f>SUM(Vehi_Fluids!B44:C44)</f>
        <v>12.843021149560508</v>
      </c>
      <c r="BB560" s="235">
        <f>Vehi_Fluids!$D44+0.667*Vehi_Fluids!$E44</f>
        <v>40.141030837762294</v>
      </c>
    </row>
    <row r="561" spans="1:54" s="631" customFormat="1">
      <c r="A561" s="1308" t="s">
        <v>819</v>
      </c>
      <c r="B561" s="1310">
        <f ca="1">'C.Al'!I120</f>
        <v>28587.753230972205</v>
      </c>
      <c r="C561" s="1310">
        <f ca="1">'C.Al'!F156</f>
        <v>2545.8946431725853</v>
      </c>
      <c r="D561" s="1310">
        <v>0</v>
      </c>
      <c r="E561" s="1310">
        <f ca="1">'C.Iron'!J67</f>
        <v>200.50463428300233</v>
      </c>
      <c r="F561" s="1310">
        <f>Cement_Concrete!J98</f>
        <v>245.00631149914059</v>
      </c>
      <c r="G561" s="1310">
        <f>Cement_Concrete!J131</f>
        <v>142.17397496441941</v>
      </c>
      <c r="H561" s="1310">
        <f>Copper!K68</f>
        <v>1511.3803281637279</v>
      </c>
      <c r="I561" s="1310">
        <v>0</v>
      </c>
      <c r="J561" s="1310">
        <f>Glass!H76</f>
        <v>619.8690005908461</v>
      </c>
      <c r="K561" s="1310">
        <v>0</v>
      </c>
      <c r="L561" s="1310">
        <f>Vehi_Plastics!AW110</f>
        <v>2254.3690777321599</v>
      </c>
      <c r="M561" s="1310">
        <f>Vehi_Plastics!AU110</f>
        <v>2101.8823745625823</v>
      </c>
      <c r="N561" s="1310">
        <f ca="1">Lead!E65</f>
        <v>298.63524485823984</v>
      </c>
      <c r="O561" s="1310">
        <f>Lead!G65</f>
        <v>15.474576229148715</v>
      </c>
      <c r="P561" s="1310">
        <f>SUM(Vehi_Fluids!B77:C77)*2000</f>
        <v>966.54510812642661</v>
      </c>
      <c r="Q561" s="1310">
        <f>Vehi_Plastics!BI110</f>
        <v>1588.1450397960389</v>
      </c>
      <c r="R561" s="1310">
        <v>0</v>
      </c>
      <c r="S561" s="1310">
        <f>Vehi_Plastics!BO110</f>
        <v>711.25643605103528</v>
      </c>
      <c r="T561" s="1310">
        <f>Rubber!I70</f>
        <v>683.78503016963543</v>
      </c>
      <c r="U561" s="1310">
        <f ca="1">Silicon!B77</f>
        <v>313939.77516951179</v>
      </c>
      <c r="V561" s="1310">
        <f>LiMn2O4!C95</f>
        <v>29.580974290163297</v>
      </c>
      <c r="W561" s="1310">
        <f ca="1">Mat_Sum!B20*2000</f>
        <v>565.74051431699695</v>
      </c>
      <c r="X561" s="1310">
        <f ca="1">Mat_Sum!C20*2000</f>
        <v>357.31266559367407</v>
      </c>
      <c r="Y561" s="1310">
        <f ca="1">Mat_Sum!D20*2000</f>
        <v>510.7155622540397</v>
      </c>
      <c r="Z561" s="1310">
        <v>0</v>
      </c>
      <c r="AA561" s="1310">
        <f>Silicon!J77</f>
        <v>17.38965951619959</v>
      </c>
      <c r="AB561" s="1310">
        <f ca="1">W.Al!W131</f>
        <v>1573.5577472833243</v>
      </c>
      <c r="AC561" s="1310">
        <f ca="1">Mat_Sum!U20*2000</f>
        <v>10090.53054900425</v>
      </c>
      <c r="AD561" s="1310">
        <f>Mat_Sum!AH20*2000</f>
        <v>5044.0644650671475</v>
      </c>
      <c r="AE561" s="1310">
        <f ca="1">Mat_Sum!AK20*2000</f>
        <v>3164.9111288646527</v>
      </c>
      <c r="AF561" s="1310">
        <f ca="1">Mat_Sum!Z20*2000</f>
        <v>36587.746690635999</v>
      </c>
      <c r="AG561" s="1310">
        <f>Copper!B68</f>
        <v>144.0173607407325</v>
      </c>
      <c r="AH561" s="1310">
        <v>2.3965720015985716E-3</v>
      </c>
      <c r="AI561" s="1310">
        <f>Battery_Materials!J94</f>
        <v>668.38812743136555</v>
      </c>
      <c r="AJ561" s="1310">
        <f>Molybdenum!D72</f>
        <v>4001.3989025110363</v>
      </c>
      <c r="AK561" s="1310">
        <f>Platinum!N74</f>
        <v>224092.46745675046</v>
      </c>
      <c r="AL561" s="1310">
        <f ca="1">Other_Cathodes!I157</f>
        <v>328.36937284515238</v>
      </c>
      <c r="AM561" s="1310">
        <f>Manganese!B78</f>
        <v>342.90551941928061</v>
      </c>
      <c r="AN561" s="1310">
        <f>Zinc!G77</f>
        <v>4567.5457928513251</v>
      </c>
      <c r="AO561" s="1310">
        <f ca="1">Mat_Sum!AA20*2000</f>
        <v>18648.977487029919</v>
      </c>
      <c r="AP561" s="1310">
        <f ca="1">Other_Cathodes!B124</f>
        <v>403.11835829127506</v>
      </c>
      <c r="AQ561" s="1310">
        <f>'FC Materials'!D61</f>
        <v>560.85758534679997</v>
      </c>
      <c r="AR561" s="1310">
        <f>LiMn2O4!K95</f>
        <v>371.61517250643328</v>
      </c>
      <c r="AS561" s="2511">
        <f ca="1">W.Al!$B131</f>
        <v>1499.5970665113987</v>
      </c>
      <c r="AT561" s="2511">
        <f ca="1">Cobalt!$B124</f>
        <v>199.64391319234363</v>
      </c>
      <c r="AU561" s="2511">
        <f>Glass!$B44</f>
        <v>4.2423497078317132</v>
      </c>
      <c r="AV561" s="1310">
        <f>Platinum!H74</f>
        <v>224092.46745675046</v>
      </c>
      <c r="AW561" s="1310">
        <f>Platinum!J74</f>
        <v>224092.46745675046</v>
      </c>
      <c r="AX561" s="1310">
        <f>Platinum!L74</f>
        <v>224092.46745675046</v>
      </c>
      <c r="AY561" s="1310">
        <f>SUM(Cement_Concrete!AI67:AL67)</f>
        <v>121.49068872217131</v>
      </c>
      <c r="AZ561" s="1310">
        <f>Vehi_Plastics!K110</f>
        <v>1508.3181621414242</v>
      </c>
      <c r="BA561" s="1310">
        <f>SUM(Vehi_Fluids!B45:C45)</f>
        <v>1096.4613141041298</v>
      </c>
      <c r="BB561" s="1444">
        <f>Vehi_Fluids!$D45+0.667*Vehi_Fluids!$E45</f>
        <v>966.54510812642661</v>
      </c>
    </row>
    <row r="562" spans="1:54">
      <c r="A562" s="487" t="s">
        <v>2156</v>
      </c>
      <c r="B562" s="631"/>
      <c r="C562" s="631"/>
      <c r="D562" s="631"/>
      <c r="E562" s="631"/>
      <c r="F562" s="631"/>
      <c r="G562" s="631"/>
      <c r="H562" s="631"/>
      <c r="I562" s="631"/>
      <c r="J562" s="631"/>
      <c r="K562" s="631"/>
      <c r="L562" s="631"/>
      <c r="M562" s="631"/>
      <c r="N562" s="631"/>
      <c r="O562" s="631"/>
      <c r="P562" s="631"/>
      <c r="Q562" s="631"/>
      <c r="R562" s="631"/>
      <c r="S562" s="631"/>
      <c r="T562" s="631"/>
      <c r="U562" s="631"/>
      <c r="V562" s="631"/>
      <c r="W562" s="631"/>
      <c r="X562" s="631"/>
      <c r="Y562" s="631"/>
      <c r="Z562" s="631"/>
      <c r="AA562" s="631"/>
      <c r="AB562" s="631"/>
      <c r="AC562" s="631"/>
      <c r="AD562" s="631"/>
      <c r="AE562" s="631"/>
      <c r="AF562" s="631"/>
      <c r="AG562" s="631"/>
      <c r="AH562" s="631"/>
      <c r="AI562" s="631"/>
      <c r="AJ562" s="631"/>
      <c r="AK562" s="631"/>
      <c r="AL562" s="631"/>
      <c r="AM562" s="631"/>
      <c r="AN562" s="631"/>
      <c r="AO562" s="631"/>
      <c r="AP562" s="631"/>
      <c r="AQ562" s="631"/>
      <c r="AR562" s="631"/>
      <c r="AS562" s="2512"/>
      <c r="AT562" s="2512"/>
      <c r="AU562" s="2512"/>
      <c r="AV562" s="631"/>
      <c r="AW562" s="631"/>
      <c r="AX562" s="631"/>
      <c r="AY562" s="631"/>
      <c r="AZ562" s="631"/>
      <c r="BA562" s="631"/>
      <c r="BB562" s="245"/>
    </row>
    <row r="563" spans="1:54">
      <c r="A563" s="100" t="s">
        <v>2187</v>
      </c>
      <c r="B563" s="1318">
        <f ca="1">'C.Al'!I122</f>
        <v>927.31572026126696</v>
      </c>
      <c r="C563" s="1318">
        <f ca="1">'C.Al'!F158</f>
        <v>327.27135824542023</v>
      </c>
      <c r="D563" s="1318">
        <v>0</v>
      </c>
      <c r="E563" s="1318">
        <f ca="1">'C.Iron'!J69</f>
        <v>1685.6969257558665</v>
      </c>
      <c r="F563" s="1318">
        <f>Cement_Concrete!J100</f>
        <v>98.384214624064171</v>
      </c>
      <c r="G563" s="1318">
        <f>Cement_Concrete!J133</f>
        <v>73.135540243508302</v>
      </c>
      <c r="H563" s="1318">
        <f>Copper!K70</f>
        <v>297.41815779159839</v>
      </c>
      <c r="I563" s="1318">
        <v>0</v>
      </c>
      <c r="J563" s="1318">
        <f>Glass!H78</f>
        <v>134.15564082416975</v>
      </c>
      <c r="K563" s="1318">
        <v>0</v>
      </c>
      <c r="L563" s="1318">
        <f>Vehi_Plastics!AW112</f>
        <v>1788.9771687173188</v>
      </c>
      <c r="M563" s="1318">
        <f>Vehi_Plastics!AU112</f>
        <v>1714.9917444403866</v>
      </c>
      <c r="N563" s="1318">
        <f ca="1">Lead!E67</f>
        <v>1410.3471269664924</v>
      </c>
      <c r="O563" s="1318">
        <f>Lead!G67</f>
        <v>32.459410563458881</v>
      </c>
      <c r="P563" s="1318">
        <f>SUM(Vehi_Fluids!B79:C79)*2000</f>
        <v>1157.7334961965469</v>
      </c>
      <c r="Q563" s="1318">
        <f>Vehi_Plastics!BI112</f>
        <v>1177.261665946311</v>
      </c>
      <c r="R563" s="1318">
        <v>0</v>
      </c>
      <c r="S563" s="1318">
        <f>Vehi_Plastics!BO112</f>
        <v>791.09437157788761</v>
      </c>
      <c r="T563" s="1318">
        <f>Rubber!I72</f>
        <v>5699.5104318885124</v>
      </c>
      <c r="U563" s="1318">
        <f ca="1">Silicon!B79</f>
        <v>20891.776708474361</v>
      </c>
      <c r="V563" s="1318">
        <f>LiMn2O4!C97</f>
        <v>80.509586842403678</v>
      </c>
      <c r="W563" s="1318">
        <f ca="1">Mat_Sum!B22*2000</f>
        <v>3111.1615049956299</v>
      </c>
      <c r="X563" s="1318">
        <f ca="1">Mat_Sum!C22*2000</f>
        <v>260.47885959455033</v>
      </c>
      <c r="Y563" s="1318">
        <f ca="1">Mat_Sum!D22*2000</f>
        <v>2358.5812866097449</v>
      </c>
      <c r="Z563" s="1318">
        <v>0</v>
      </c>
      <c r="AA563" s="1318">
        <f>Silicon!J79</f>
        <v>2.2170989710903699</v>
      </c>
      <c r="AB563" s="1318">
        <f ca="1">W.Al!W133</f>
        <v>137.82912617936972</v>
      </c>
      <c r="AC563" s="1318">
        <f ca="1">Mat_Sum!U22*2000</f>
        <v>1767.1590704854575</v>
      </c>
      <c r="AD563" s="1318">
        <f>Mat_Sum!AH22*2000</f>
        <v>258.87293313322095</v>
      </c>
      <c r="AE563" s="1318">
        <f ca="1">Mat_Sum!AK22*2000</f>
        <v>1034.9064852836968</v>
      </c>
      <c r="AF563" s="1318">
        <f ca="1">Mat_Sum!Z22*2000</f>
        <v>4307.7674107656676</v>
      </c>
      <c r="AG563" s="1318">
        <f>Copper!B70</f>
        <v>29.089417479879508</v>
      </c>
      <c r="AH563" s="1318">
        <v>2129.8744592488383</v>
      </c>
      <c r="AI563" s="1318">
        <f>Battery_Materials!J96</f>
        <v>1819.0977135235503</v>
      </c>
      <c r="AJ563" s="1318">
        <f>Molybdenum!D74</f>
        <v>2499.2014772146085</v>
      </c>
      <c r="AK563" s="1318">
        <f>Platinum!N76</f>
        <v>9416.1195273083795</v>
      </c>
      <c r="AL563" s="1318">
        <f ca="1">Other_Cathodes!I159</f>
        <v>2258.7574644046081</v>
      </c>
      <c r="AM563" s="1318">
        <f>Manganese!B80</f>
        <v>51.066180592847871</v>
      </c>
      <c r="AN563" s="1318">
        <f>Zinc!G79</f>
        <v>481.94309284264153</v>
      </c>
      <c r="AO563" s="1318">
        <f ca="1">Mat_Sum!AA22*2000</f>
        <v>1466.1845205819511</v>
      </c>
      <c r="AP563" s="1318">
        <f ca="1">Other_Cathodes!B126</f>
        <v>63.752118892452273</v>
      </c>
      <c r="AQ563" s="1318">
        <f>'FC Materials'!D63</f>
        <v>159.5182556381892</v>
      </c>
      <c r="AR563" s="1318">
        <f>LiMn2O4!K97</f>
        <v>122.52928253697699</v>
      </c>
      <c r="AS563" s="2510">
        <f ca="1">W.Al!$B133</f>
        <v>14.103941572634085</v>
      </c>
      <c r="AT563" s="2510">
        <f ca="1">Cobalt!$B126</f>
        <v>3.8877911365477642</v>
      </c>
      <c r="AU563" s="2510">
        <f>Glass!$B46</f>
        <v>1.5163351511606895</v>
      </c>
      <c r="AV563" s="1318">
        <f>Platinum!H76</f>
        <v>9416.1195273083795</v>
      </c>
      <c r="AW563" s="1318">
        <f>Platinum!J76</f>
        <v>9416.1195273083795</v>
      </c>
      <c r="AX563" s="1318">
        <f>Platinum!L76</f>
        <v>9416.1195273083795</v>
      </c>
      <c r="AY563" s="1318">
        <f>SUM(Cement_Concrete!AI69:AL69)</f>
        <v>0.66741716564657205</v>
      </c>
      <c r="AZ563" s="1318">
        <f>Vehi_Plastics!K112</f>
        <v>893.71521159902329</v>
      </c>
      <c r="BA563" s="1318">
        <f>SUM(Vehi_Fluids!B47:C47)</f>
        <v>646.99772514048402</v>
      </c>
      <c r="BB563" s="235">
        <f>Vehi_Fluids!$D47+0.667*Vehi_Fluids!$E47</f>
        <v>1110.7128738610716</v>
      </c>
    </row>
    <row r="564" spans="1:54">
      <c r="A564" s="100" t="s">
        <v>2188</v>
      </c>
      <c r="B564" s="1318">
        <f ca="1">'C.Al'!I123</f>
        <v>2675.0470371573465</v>
      </c>
      <c r="C564" s="1318">
        <f ca="1">'C.Al'!F159</f>
        <v>923.74745415367408</v>
      </c>
      <c r="D564" s="1318">
        <v>0</v>
      </c>
      <c r="E564" s="1318">
        <f ca="1">'C.Iron'!J70</f>
        <v>921.35104117237529</v>
      </c>
      <c r="F564" s="1318">
        <f>Cement_Concrete!J101</f>
        <v>1139.7657078477314</v>
      </c>
      <c r="G564" s="1318">
        <f>Cement_Concrete!J134</f>
        <v>122.08523820881614</v>
      </c>
      <c r="H564" s="1318">
        <f>Copper!K71</f>
        <v>1918.1025995349646</v>
      </c>
      <c r="I564" s="1318">
        <v>0</v>
      </c>
      <c r="J564" s="1318">
        <f>Glass!H79</f>
        <v>569.46240245351817</v>
      </c>
      <c r="K564" s="1318">
        <v>0</v>
      </c>
      <c r="L564" s="1318">
        <f>Vehi_Plastics!AW113</f>
        <v>4031.5295014862222</v>
      </c>
      <c r="M564" s="1318">
        <f>Vehi_Plastics!AU113</f>
        <v>3865.04477687293</v>
      </c>
      <c r="N564" s="1318">
        <f ca="1">Lead!E68</f>
        <v>477.23205267374692</v>
      </c>
      <c r="O564" s="1318">
        <f>Lead!G68</f>
        <v>106.69012701306326</v>
      </c>
      <c r="P564" s="1318">
        <f>SUM(Vehi_Fluids!B80:C80)*2000</f>
        <v>1131.5444855761154</v>
      </c>
      <c r="Q564" s="1318">
        <f>Vehi_Plastics!BI113</f>
        <v>6725.8235618098379</v>
      </c>
      <c r="R564" s="1318">
        <v>0</v>
      </c>
      <c r="S564" s="1318">
        <f>Vehi_Plastics!BO113</f>
        <v>2944.3715005299382</v>
      </c>
      <c r="T564" s="1318">
        <f>Rubber!I73</f>
        <v>1974.7569740086687</v>
      </c>
      <c r="U564" s="1318">
        <f ca="1">Silicon!B80</f>
        <v>66052.015038429294</v>
      </c>
      <c r="V564" s="1318">
        <f>LiMn2O4!C98</f>
        <v>497.09762041485817</v>
      </c>
      <c r="W564" s="1318">
        <f ca="1">Mat_Sum!B23*2000</f>
        <v>21916.418246943213</v>
      </c>
      <c r="X564" s="1318">
        <f ca="1">Mat_Sum!C23*2000</f>
        <v>3400.7213522267953</v>
      </c>
      <c r="Y564" s="1318">
        <f ca="1">Mat_Sum!D23*2000</f>
        <v>17028.274266738081</v>
      </c>
      <c r="Z564" s="1318">
        <v>0</v>
      </c>
      <c r="AA564" s="1318">
        <f>Silicon!J80</f>
        <v>5.9927948206956136</v>
      </c>
      <c r="AB564" s="1318">
        <f ca="1">W.Al!W134</f>
        <v>573.26741295900604</v>
      </c>
      <c r="AC564" s="1318">
        <f ca="1">Mat_Sum!U23*2000</f>
        <v>9256.882007695398</v>
      </c>
      <c r="AD564" s="1318">
        <f>Mat_Sum!AH23*2000</f>
        <v>820.97799019434387</v>
      </c>
      <c r="AE564" s="1318">
        <f ca="1">Mat_Sum!AK23*2000</f>
        <v>3920.2146029357191</v>
      </c>
      <c r="AF564" s="1318">
        <f ca="1">Mat_Sum!Z23*2000</f>
        <v>10855.17225431424</v>
      </c>
      <c r="AG564" s="1318">
        <f>Copper!B71</f>
        <v>220.79004725541816</v>
      </c>
      <c r="AH564" s="1318">
        <v>970.96946852858889</v>
      </c>
      <c r="AI564" s="1318">
        <f>Battery_Materials!J97</f>
        <v>3624.9780147025094</v>
      </c>
      <c r="AJ564" s="1318">
        <f>Molybdenum!D75</f>
        <v>21610.534836340354</v>
      </c>
      <c r="AK564" s="1318">
        <f>Platinum!N77</f>
        <v>27639.8593366143</v>
      </c>
      <c r="AL564" s="1318">
        <f ca="1">Other_Cathodes!I160</f>
        <v>2350.3541541637055</v>
      </c>
      <c r="AM564" s="1318">
        <f>Manganese!B81</f>
        <v>235.39554885561139</v>
      </c>
      <c r="AN564" s="1318">
        <f>Zinc!G80</f>
        <v>1743.4129125851523</v>
      </c>
      <c r="AO564" s="1318">
        <f ca="1">Mat_Sum!AA23*2000</f>
        <v>4674.3460013601125</v>
      </c>
      <c r="AP564" s="1318">
        <f ca="1">Other_Cathodes!B127</f>
        <v>268.31961768815955</v>
      </c>
      <c r="AQ564" s="1318">
        <f>'FC Materials'!D64</f>
        <v>564.14288907225136</v>
      </c>
      <c r="AR564" s="1318">
        <f>LiMn2O4!K98</f>
        <v>297.06842421092284</v>
      </c>
      <c r="AS564" s="2510">
        <f ca="1">W.Al!$B134</f>
        <v>40.286761288321777</v>
      </c>
      <c r="AT564" s="2510">
        <f ca="1">Cobalt!$B127</f>
        <v>12.260958946281074</v>
      </c>
      <c r="AU564" s="2510">
        <f>Glass!$B47</f>
        <v>79.718571421848637</v>
      </c>
      <c r="AV564" s="1318">
        <f>Platinum!H77</f>
        <v>27639.8593366143</v>
      </c>
      <c r="AW564" s="1318">
        <f>Platinum!J77</f>
        <v>27639.8593366143</v>
      </c>
      <c r="AX564" s="1318">
        <f>Platinum!L77</f>
        <v>27639.8593366143</v>
      </c>
      <c r="AY564" s="1318">
        <f>SUM(Cement_Concrete!AI70:AL70)</f>
        <v>4.8762157847897818</v>
      </c>
      <c r="AZ564" s="1318">
        <f>Vehi_Plastics!K113</f>
        <v>4876.8701831040389</v>
      </c>
      <c r="BA564" s="1318">
        <f>SUM(Vehi_Fluids!B48:C48)</f>
        <v>835.5471536135426</v>
      </c>
      <c r="BB564" s="235">
        <f>Vehi_Fluids!$D48+0.667*Vehi_Fluids!$E48</f>
        <v>923.5126826221483</v>
      </c>
    </row>
    <row r="565" spans="1:54">
      <c r="A565" s="100" t="s">
        <v>2189</v>
      </c>
      <c r="B565" s="1318">
        <f ca="1">'C.Al'!I124</f>
        <v>5561.0784504379044</v>
      </c>
      <c r="C565" s="1318">
        <f ca="1">'C.Al'!F160</f>
        <v>1485.2145243658792</v>
      </c>
      <c r="D565" s="1318">
        <v>0</v>
      </c>
      <c r="E565" s="1318">
        <f ca="1">'C.Iron'!J71</f>
        <v>1217.7625573814685</v>
      </c>
      <c r="F565" s="1318">
        <f>Cement_Concrete!J102</f>
        <v>1214.6595484208788</v>
      </c>
      <c r="G565" s="1318">
        <f>Cement_Concrete!J135</f>
        <v>142.26915904663275</v>
      </c>
      <c r="H565" s="1318">
        <f>Copper!K72</f>
        <v>2669.723636929436</v>
      </c>
      <c r="I565" s="1318">
        <v>0</v>
      </c>
      <c r="J565" s="1318">
        <f>Glass!H80</f>
        <v>1490.4401882418663</v>
      </c>
      <c r="K565" s="1318">
        <v>0</v>
      </c>
      <c r="L565" s="1318">
        <f>Vehi_Plastics!AW114</f>
        <v>2103.5800847903474</v>
      </c>
      <c r="M565" s="1318">
        <f>Vehi_Plastics!AU114</f>
        <v>1870.1483384429557</v>
      </c>
      <c r="N565" s="1318">
        <f ca="1">Lead!E69</f>
        <v>913.04647309455015</v>
      </c>
      <c r="O565" s="1318">
        <f>Lead!G69</f>
        <v>526.06934325920395</v>
      </c>
      <c r="P565" s="1318">
        <f>SUM(Vehi_Fluids!B81:C81)*2000</f>
        <v>5196.6034269772554</v>
      </c>
      <c r="Q565" s="1318">
        <f>Vehi_Plastics!BI114</f>
        <v>1524.3583269864173</v>
      </c>
      <c r="R565" s="1318">
        <v>0</v>
      </c>
      <c r="S565" s="1318">
        <f>Vehi_Plastics!BO114</f>
        <v>2356.295621153844</v>
      </c>
      <c r="T565" s="1318">
        <f>Rubber!I74</f>
        <v>4317.0262731476387</v>
      </c>
      <c r="U565" s="1318">
        <f ca="1">Silicon!B81</f>
        <v>130646.24135098234</v>
      </c>
      <c r="V565" s="1318">
        <f>LiMn2O4!C99</f>
        <v>288.19515688712204</v>
      </c>
      <c r="W565" s="1318">
        <f ca="1">Mat_Sum!B24*2000</f>
        <v>2713.5858367778778</v>
      </c>
      <c r="X565" s="1318">
        <f ca="1">Mat_Sum!C24*2000</f>
        <v>508.34929002183259</v>
      </c>
      <c r="Y565" s="1318">
        <f ca="1">Mat_Sum!D24*2000</f>
        <v>2131.4033884342816</v>
      </c>
      <c r="Z565" s="1318">
        <v>0</v>
      </c>
      <c r="AA565" s="1318">
        <f>Silicon!J81</f>
        <v>12.345529776973724</v>
      </c>
      <c r="AB565" s="1318">
        <f ca="1">W.Al!W135</f>
        <v>1067.7221953486298</v>
      </c>
      <c r="AC565" s="1318">
        <f ca="1">Mat_Sum!U24*2000</f>
        <v>10952.495782679236</v>
      </c>
      <c r="AD565" s="1318">
        <f>Mat_Sum!AH24*2000</f>
        <v>1470.982472592827</v>
      </c>
      <c r="AE565" s="1318">
        <f ca="1">Mat_Sum!AK24*2000</f>
        <v>5904.200196105583</v>
      </c>
      <c r="AF565" s="1318">
        <f ca="1">Mat_Sum!Z24*2000</f>
        <v>17930.761663564175</v>
      </c>
      <c r="AG565" s="1318">
        <f>Copper!B72</f>
        <v>209.32062178112068</v>
      </c>
      <c r="AH565" s="1318">
        <v>2085.5837637245572</v>
      </c>
      <c r="AI565" s="1318">
        <f>Battery_Materials!J98</f>
        <v>4040.8914758383298</v>
      </c>
      <c r="AJ565" s="1318">
        <f>Molybdenum!D76</f>
        <v>15479.24918589662</v>
      </c>
      <c r="AK565" s="1318">
        <f>Platinum!N78</f>
        <v>79789.705208631756</v>
      </c>
      <c r="AL565" s="1318">
        <f ca="1">Other_Cathodes!I161</f>
        <v>934.41032879948182</v>
      </c>
      <c r="AM565" s="1318">
        <f>Manganese!B82</f>
        <v>316.77639989881163</v>
      </c>
      <c r="AN565" s="1318">
        <f>Zinc!G81</f>
        <v>4824.4580364277599</v>
      </c>
      <c r="AO565" s="1318">
        <f ca="1">Mat_Sum!AA24*2000</f>
        <v>8936.9105494270807</v>
      </c>
      <c r="AP565" s="1318">
        <f ca="1">Other_Cathodes!B128</f>
        <v>517.15459940182564</v>
      </c>
      <c r="AQ565" s="1318">
        <f>'FC Materials'!D65</f>
        <v>897.06802886547007</v>
      </c>
      <c r="AR565" s="1318">
        <f>LiMn2O4!K99</f>
        <v>463.36192216279449</v>
      </c>
      <c r="AS565" s="2510">
        <f ca="1">W.Al!$B135</f>
        <v>154.87052837337771</v>
      </c>
      <c r="AT565" s="2510">
        <f ca="1">Cobalt!$B128</f>
        <v>21.958786354686836</v>
      </c>
      <c r="AU565" s="2510">
        <f>Glass!$B48</f>
        <v>42.874193102058172</v>
      </c>
      <c r="AV565" s="1318">
        <f>Platinum!H78</f>
        <v>79789.705208631756</v>
      </c>
      <c r="AW565" s="1318">
        <f>Platinum!J78</f>
        <v>79789.705208631756</v>
      </c>
      <c r="AX565" s="1318">
        <f>Platinum!L78</f>
        <v>79789.705208631756</v>
      </c>
      <c r="AY565" s="1318">
        <f>SUM(Cement_Concrete!AI71:AL71)</f>
        <v>7.9614660472277325</v>
      </c>
      <c r="AZ565" s="1318">
        <f>Vehi_Plastics!K114</f>
        <v>7280.2928113699181</v>
      </c>
      <c r="BA565" s="1318">
        <f>SUM(Vehi_Fluids!B49:C49)</f>
        <v>1170.2795529204723</v>
      </c>
      <c r="BB565" s="235">
        <f>Vehi_Fluids!$D49+0.667*Vehi_Fluids!$E49</f>
        <v>3722.7883192794184</v>
      </c>
    </row>
    <row r="566" spans="1:54">
      <c r="A566" s="100" t="s">
        <v>1338</v>
      </c>
      <c r="B566" s="1318">
        <f ca="1">'C.Al'!I125</f>
        <v>4763.5312646179536</v>
      </c>
      <c r="C566" s="1318">
        <f ca="1">'C.Al'!F161</f>
        <v>713.47630162608687</v>
      </c>
      <c r="D566" s="1318">
        <v>0</v>
      </c>
      <c r="E566" s="1318">
        <f ca="1">'C.Iron'!J72</f>
        <v>839.15281551968837</v>
      </c>
      <c r="F566" s="1318">
        <f>Cement_Concrete!J103</f>
        <v>210.73524345943341</v>
      </c>
      <c r="G566" s="1318">
        <f>Cement_Concrete!J136</f>
        <v>69.26417235417145</v>
      </c>
      <c r="H566" s="1318">
        <f>Copper!K73</f>
        <v>368.9884863284978</v>
      </c>
      <c r="I566" s="1318">
        <v>0</v>
      </c>
      <c r="J566" s="1318">
        <f>Glass!H81</f>
        <v>87.927567658207423</v>
      </c>
      <c r="K566" s="1318">
        <v>0</v>
      </c>
      <c r="L566" s="1318">
        <f>Vehi_Plastics!AW115</f>
        <v>302.51066433350911</v>
      </c>
      <c r="M566" s="1318">
        <f>Vehi_Plastics!AU115</f>
        <v>288.25934939537092</v>
      </c>
      <c r="N566" s="1318">
        <f ca="1">Lead!E70</f>
        <v>4493.505420239122</v>
      </c>
      <c r="O566" s="1318">
        <f>Lead!G70</f>
        <v>46.285358291222515</v>
      </c>
      <c r="P566" s="1318">
        <f>SUM(Vehi_Fluids!B82:C82)*2000</f>
        <v>858.13227912188529</v>
      </c>
      <c r="Q566" s="1318">
        <f>Vehi_Plastics!BI115</f>
        <v>236.25521753104476</v>
      </c>
      <c r="R566" s="1318">
        <v>0</v>
      </c>
      <c r="S566" s="1318">
        <f>Vehi_Plastics!BO115</f>
        <v>201.8460704437741</v>
      </c>
      <c r="T566" s="1318">
        <f>Rubber!I75</f>
        <v>628.23248389415005</v>
      </c>
      <c r="U566" s="1318">
        <f ca="1">Silicon!B82</f>
        <v>17023.896614787485</v>
      </c>
      <c r="V566" s="1318">
        <f>LiMn2O4!C100</f>
        <v>152.39917049658362</v>
      </c>
      <c r="W566" s="1318">
        <f ca="1">Mat_Sum!B25*2000</f>
        <v>1520.5501461085805</v>
      </c>
      <c r="X566" s="1318">
        <f ca="1">Mat_Sum!C25*2000</f>
        <v>657.34695496794188</v>
      </c>
      <c r="Y566" s="1318">
        <f ca="1">Mat_Sum!D25*2000</f>
        <v>1292.6645036474517</v>
      </c>
      <c r="Z566" s="1318">
        <v>0</v>
      </c>
      <c r="AA566" s="1318">
        <f>Silicon!J82</f>
        <v>1.976226349849568</v>
      </c>
      <c r="AB566" s="1318">
        <f ca="1">W.Al!W136</f>
        <v>966.34838691869811</v>
      </c>
      <c r="AC566" s="1318">
        <f ca="1">Mat_Sum!U25*2000</f>
        <v>13130.205284710524</v>
      </c>
      <c r="AD566" s="1318">
        <f>Mat_Sum!AH25*2000</f>
        <v>1853.814893819022</v>
      </c>
      <c r="AE566" s="1318">
        <f ca="1">Mat_Sum!AK25*2000</f>
        <v>547.84445231476275</v>
      </c>
      <c r="AF566" s="1318">
        <f ca="1">Mat_Sum!Z25*2000</f>
        <v>45527.838262179583</v>
      </c>
      <c r="AG566" s="1318">
        <f>Copper!B73</f>
        <v>75.205701983606716</v>
      </c>
      <c r="AH566" s="1318">
        <v>530.17546642274533</v>
      </c>
      <c r="AI566" s="1318">
        <f>Battery_Materials!J99</f>
        <v>240.98187984543</v>
      </c>
      <c r="AJ566" s="1318">
        <f>Molybdenum!D77</f>
        <v>2626.8427093557507</v>
      </c>
      <c r="AK566" s="1318">
        <f>Platinum!N79</f>
        <v>16700.333578371712</v>
      </c>
      <c r="AL566" s="1318">
        <f ca="1">Other_Cathodes!I162</f>
        <v>42.512087430996637</v>
      </c>
      <c r="AM566" s="1318">
        <f>Manganese!B83</f>
        <v>1676.3771015642574</v>
      </c>
      <c r="AN566" s="1318">
        <f>Zinc!G82</f>
        <v>2317.9926088622205</v>
      </c>
      <c r="AO566" s="1318">
        <f ca="1">Mat_Sum!AA25*2000</f>
        <v>26180.107355730637</v>
      </c>
      <c r="AP566" s="1318">
        <f ca="1">Other_Cathodes!B129</f>
        <v>1755.9681674569879</v>
      </c>
      <c r="AQ566" s="1318">
        <f>'FC Materials'!D66</f>
        <v>89.055761677487865</v>
      </c>
      <c r="AR566" s="1318">
        <f>LiMn2O4!K100</f>
        <v>55.401576865011492</v>
      </c>
      <c r="AS566" s="2510">
        <f ca="1">W.Al!$B136</f>
        <v>862.64378252570623</v>
      </c>
      <c r="AT566" s="2510">
        <f ca="1">Cobalt!$B129</f>
        <v>2.8131289966395139</v>
      </c>
      <c r="AU566" s="2510">
        <f>Glass!$B49</f>
        <v>3.6334848832223061</v>
      </c>
      <c r="AV566" s="1318">
        <f>Platinum!H79</f>
        <v>16700.333578371712</v>
      </c>
      <c r="AW566" s="1318">
        <f>Platinum!J79</f>
        <v>16700.333578371712</v>
      </c>
      <c r="AX566" s="1318">
        <f>Platinum!L79</f>
        <v>16700.333578371712</v>
      </c>
      <c r="AY566" s="1318">
        <f>SUM(Cement_Concrete!AI72:AL72)</f>
        <v>4.4688585858047185</v>
      </c>
      <c r="AZ566" s="1318">
        <f>Vehi_Plastics!K115</f>
        <v>798.4398019557874</v>
      </c>
      <c r="BA566" s="1318">
        <f>SUM(Vehi_Fluids!B50:C50)</f>
        <v>83.828398036640237</v>
      </c>
      <c r="BB566" s="235">
        <f>Vehi_Fluids!$D50+0.667*Vehi_Fluids!$E50</f>
        <v>595.661645542869</v>
      </c>
    </row>
    <row r="567" spans="1:54">
      <c r="A567" s="100" t="s">
        <v>2190</v>
      </c>
      <c r="B567" s="1318">
        <f ca="1">'C.Al'!I126</f>
        <v>2405.2065299906258</v>
      </c>
      <c r="C567" s="1318">
        <f ca="1">'C.Al'!F162</f>
        <v>376.02244686362303</v>
      </c>
      <c r="D567" s="1318">
        <v>0</v>
      </c>
      <c r="E567" s="1318">
        <f ca="1">'C.Iron'!J73</f>
        <v>384.19232664740309</v>
      </c>
      <c r="F567" s="1318">
        <f>Cement_Concrete!J104</f>
        <v>115.57924727936334</v>
      </c>
      <c r="G567" s="1318">
        <f>Cement_Concrete!J137</f>
        <v>24.00132180371385</v>
      </c>
      <c r="H567" s="1318">
        <f>Copper!K74</f>
        <v>222.58733734417115</v>
      </c>
      <c r="I567" s="1318">
        <v>0</v>
      </c>
      <c r="J567" s="1318">
        <f>Glass!H82</f>
        <v>64.476541806142833</v>
      </c>
      <c r="K567" s="1318">
        <v>0</v>
      </c>
      <c r="L567" s="1318">
        <f>Vehi_Plastics!AW116</f>
        <v>147.06685170712385</v>
      </c>
      <c r="M567" s="1318">
        <f>Vehi_Plastics!AU116</f>
        <v>135.50693057526459</v>
      </c>
      <c r="N567" s="1318">
        <f ca="1">Lead!E71</f>
        <v>2214.1170765412417</v>
      </c>
      <c r="O567" s="1318">
        <f>Lead!G71</f>
        <v>15.386046569483838</v>
      </c>
      <c r="P567" s="1318">
        <f>SUM(Vehi_Fluids!B83:C83)*2000</f>
        <v>470.66475174589607</v>
      </c>
      <c r="Q567" s="1318">
        <f>Vehi_Plastics!BI116</f>
        <v>109.09437606204972</v>
      </c>
      <c r="R567" s="1318">
        <v>0</v>
      </c>
      <c r="S567" s="1318">
        <f>Vehi_Plastics!BO116</f>
        <v>115.80495091268965</v>
      </c>
      <c r="T567" s="1318">
        <f>Rubber!I76</f>
        <v>369.8788718414325</v>
      </c>
      <c r="U567" s="1318">
        <f ca="1">Silicon!B83</f>
        <v>10684.878884853144</v>
      </c>
      <c r="V567" s="1318">
        <f>LiMn2O4!C101</f>
        <v>96.793658571809999</v>
      </c>
      <c r="W567" s="1318">
        <f ca="1">Mat_Sum!B26*2000</f>
        <v>728.67312821497842</v>
      </c>
      <c r="X567" s="1318">
        <f ca="1">Mat_Sum!C26*2000</f>
        <v>337.73879440236141</v>
      </c>
      <c r="Y567" s="1318">
        <f ca="1">Mat_Sum!D26*2000</f>
        <v>625.46646408844754</v>
      </c>
      <c r="Z567" s="1318">
        <v>0</v>
      </c>
      <c r="AA567" s="1318">
        <f>Silicon!J83</f>
        <v>1.1862684494704534</v>
      </c>
      <c r="AB567" s="1318">
        <f ca="1">W.Al!W137</f>
        <v>487.52379151859952</v>
      </c>
      <c r="AC567" s="1318">
        <f ca="1">Mat_Sum!U26*2000</f>
        <v>6686.5572463641083</v>
      </c>
      <c r="AD567" s="1318">
        <f>Mat_Sum!AH26*2000</f>
        <v>949.54520727768738</v>
      </c>
      <c r="AE567" s="1318">
        <f ca="1">Mat_Sum!AK26*2000</f>
        <v>409.25354719186754</v>
      </c>
      <c r="AF567" s="1318">
        <f ca="1">Mat_Sum!Z26*2000</f>
        <v>5735.4647972865805</v>
      </c>
      <c r="AG567" s="1318">
        <f>Copper!B74</f>
        <v>37.609282824786078</v>
      </c>
      <c r="AH567" s="1318">
        <v>304.08229783211664</v>
      </c>
      <c r="AI567" s="1318">
        <f>Battery_Materials!J100</f>
        <v>222.75131217260619</v>
      </c>
      <c r="AJ567" s="1318">
        <f>Molybdenum!D78</f>
        <v>831.15078768752687</v>
      </c>
      <c r="AK567" s="1318">
        <f>Platinum!N80</f>
        <v>7717.0800014310416</v>
      </c>
      <c r="AL567" s="1318">
        <f ca="1">Other_Cathodes!I163</f>
        <v>38.369692747273682</v>
      </c>
      <c r="AM567" s="1318">
        <f>Manganese!B84</f>
        <v>840.97641821196805</v>
      </c>
      <c r="AN567" s="1318">
        <f>Zinc!G83</f>
        <v>1146.3113934277965</v>
      </c>
      <c r="AO567" s="1318">
        <f ca="1">Mat_Sum!AA26*2000</f>
        <v>3231.388195191083</v>
      </c>
      <c r="AP567" s="1318">
        <f ca="1">Other_Cathodes!B130</f>
        <v>886.02698726425149</v>
      </c>
      <c r="AQ567" s="1318">
        <f>'FC Materials'!D67</f>
        <v>64.276078543815828</v>
      </c>
      <c r="AR567" s="1318">
        <f>LiMn2O4!K101</f>
        <v>42.890147893721519</v>
      </c>
      <c r="AS567" s="2510">
        <f ca="1">W.Al!$B137</f>
        <v>436.95720208202476</v>
      </c>
      <c r="AT567" s="2510">
        <f ca="1">Cobalt!$B130</f>
        <v>1.8214516285041391</v>
      </c>
      <c r="AU567" s="2510">
        <f>Glass!$B50</f>
        <v>3.5236924863619179</v>
      </c>
      <c r="AV567" s="1318">
        <f>Platinum!H80</f>
        <v>7717.0800014310416</v>
      </c>
      <c r="AW567" s="1318">
        <f>Platinum!J80</f>
        <v>7717.0800014310416</v>
      </c>
      <c r="AX567" s="1318">
        <f>Platinum!L80</f>
        <v>7717.0800014310416</v>
      </c>
      <c r="AY567" s="1318">
        <f>SUM(Cement_Concrete!AI73:AL73)</f>
        <v>2.4568544682662945</v>
      </c>
      <c r="AZ567" s="1318">
        <f>Vehi_Plastics!K116</f>
        <v>486.93910795859205</v>
      </c>
      <c r="BA567" s="1318">
        <f>SUM(Vehi_Fluids!B51:C51)</f>
        <v>72.240149797399781</v>
      </c>
      <c r="BB567" s="235">
        <f>Vehi_Fluids!$D51+0.667*Vehi_Fluids!$E51</f>
        <v>333.95593057605998</v>
      </c>
    </row>
    <row r="568" spans="1:54">
      <c r="A568" s="100" t="s">
        <v>1339</v>
      </c>
      <c r="B568" s="1318">
        <f ca="1">'C.Al'!I127</f>
        <v>22306.844442790582</v>
      </c>
      <c r="C568" s="1318">
        <f ca="1">'C.Al'!F163</f>
        <v>2028.1559189199293</v>
      </c>
      <c r="D568" s="1318">
        <v>0</v>
      </c>
      <c r="E568" s="1318">
        <f ca="1">'C.Iron'!J74</f>
        <v>2901.174885563179</v>
      </c>
      <c r="F568" s="1318">
        <f>Cement_Concrete!J105</f>
        <v>306.37414648012242</v>
      </c>
      <c r="G568" s="1318">
        <f>Cement_Concrete!J138</f>
        <v>33.485268576341667</v>
      </c>
      <c r="H568" s="1318">
        <f>Copper!K75</f>
        <v>127736.64413412011</v>
      </c>
      <c r="I568" s="1318">
        <v>0</v>
      </c>
      <c r="J568" s="1318">
        <f>Glass!H83</f>
        <v>698.58807976600281</v>
      </c>
      <c r="K568" s="1318">
        <v>0</v>
      </c>
      <c r="L568" s="1318">
        <f>Vehi_Plastics!AW117</f>
        <v>22486.024934096327</v>
      </c>
      <c r="M568" s="1318">
        <f>Vehi_Plastics!AU117</f>
        <v>21931.03365563745</v>
      </c>
      <c r="N568" s="1318">
        <f ca="1">Lead!E72</f>
        <v>27378.372263542169</v>
      </c>
      <c r="O568" s="1318">
        <f>Lead!G72</f>
        <v>4561.3485513280139</v>
      </c>
      <c r="P568" s="1318">
        <f>SUM(Vehi_Fluids!B84:C84)*2000</f>
        <v>10146.80014538491</v>
      </c>
      <c r="Q568" s="1318">
        <f>Vehi_Plastics!BI117</f>
        <v>19979.934690909962</v>
      </c>
      <c r="R568" s="1318">
        <v>0</v>
      </c>
      <c r="S568" s="1318">
        <f>Vehi_Plastics!BO117</f>
        <v>10985.820511632353</v>
      </c>
      <c r="T568" s="1318">
        <f>Rubber!I77</f>
        <v>2447.1308823397007</v>
      </c>
      <c r="U568" s="1318">
        <f ca="1">Silicon!B84</f>
        <v>113943.34913509723</v>
      </c>
      <c r="V568" s="1318">
        <f>LiMn2O4!C102</f>
        <v>163.79241128538894</v>
      </c>
      <c r="W568" s="1318">
        <f ca="1">Mat_Sum!B27*2000</f>
        <v>11049.218157537209</v>
      </c>
      <c r="X568" s="1318">
        <f ca="1">Mat_Sum!C27*2000</f>
        <v>601.73190653598056</v>
      </c>
      <c r="Y568" s="1318">
        <f ca="1">Mat_Sum!D27*2000</f>
        <v>8291.0817872728858</v>
      </c>
      <c r="Z568" s="1318">
        <v>0</v>
      </c>
      <c r="AA568" s="1318">
        <f>Silicon!J84</f>
        <v>10.365774980288416</v>
      </c>
      <c r="AB568" s="1318">
        <f ca="1">W.Al!W138</f>
        <v>1290.0171850074732</v>
      </c>
      <c r="AC568" s="1318">
        <f ca="1">Mat_Sum!U27*2000</f>
        <v>1473265.0109312376</v>
      </c>
      <c r="AD568" s="1318">
        <f>Mat_Sum!AH27*2000</f>
        <v>1110.5759738237286</v>
      </c>
      <c r="AE568" s="1318">
        <f ca="1">Mat_Sum!AK27*2000</f>
        <v>2366.2465492744395</v>
      </c>
      <c r="AF568" s="1318">
        <f ca="1">Mat_Sum!Z27*2000</f>
        <v>47609.338064038224</v>
      </c>
      <c r="AG568" s="1318">
        <f>Copper!B75</f>
        <v>77.743866067605978</v>
      </c>
      <c r="AH568" s="1318">
        <v>2836.2258989418742</v>
      </c>
      <c r="AI568" s="1318">
        <f>Battery_Materials!J101</f>
        <v>1038.6278257584636</v>
      </c>
      <c r="AJ568" s="1318">
        <f>Molybdenum!D79</f>
        <v>1432.5170595048194</v>
      </c>
      <c r="AK568" s="1318">
        <f>Platinum!N81</f>
        <v>107226.3200116285</v>
      </c>
      <c r="AL568" s="1318">
        <f ca="1">Other_Cathodes!I164</f>
        <v>323.75248562089541</v>
      </c>
      <c r="AM568" s="1318">
        <f>Manganese!B85</f>
        <v>198.85225369812247</v>
      </c>
      <c r="AN568" s="1318">
        <f>Zinc!G84</f>
        <v>3775.886936953686</v>
      </c>
      <c r="AO568" s="1318">
        <f ca="1">Mat_Sum!AA27*2000</f>
        <v>27023.269480180697</v>
      </c>
      <c r="AP568" s="1318">
        <f ca="1">Other_Cathodes!B131</f>
        <v>1473.7650230931708</v>
      </c>
      <c r="AQ568" s="1318">
        <f>'FC Materials'!D68</f>
        <v>401.79008253233184</v>
      </c>
      <c r="AR568" s="1318">
        <f>LiMn2O4!K102</f>
        <v>253.61192778069025</v>
      </c>
      <c r="AS568" s="2510">
        <f ca="1">W.Al!$B138</f>
        <v>28.723131328310583</v>
      </c>
      <c r="AT568" s="2510">
        <f ca="1">Cobalt!$B131</f>
        <v>55628.953514978864</v>
      </c>
      <c r="AU568" s="2510">
        <f>Glass!$B51</f>
        <v>1.3695988378891457</v>
      </c>
      <c r="AV568" s="1318">
        <f>Platinum!H81</f>
        <v>107226.3200116285</v>
      </c>
      <c r="AW568" s="1318">
        <f>Platinum!J81</f>
        <v>107226.3200116285</v>
      </c>
      <c r="AX568" s="1318">
        <f>Platinum!L81</f>
        <v>107226.3200116285</v>
      </c>
      <c r="AY568" s="1318">
        <f>SUM(Cement_Concrete!AI74:AL74)</f>
        <v>6.0683939184238991</v>
      </c>
      <c r="AZ568" s="1318">
        <f>Vehi_Plastics!K117</f>
        <v>2898.529209542115</v>
      </c>
      <c r="BA568" s="1318">
        <f>SUM(Vehi_Fluids!B52:C52)</f>
        <v>387.31790386698236</v>
      </c>
      <c r="BB568" s="235">
        <f>Vehi_Fluids!$D52+0.667*Vehi_Fluids!$E52</f>
        <v>6839.0004629298273</v>
      </c>
    </row>
    <row r="569" spans="1:54">
      <c r="A569" s="59" t="s">
        <v>2191</v>
      </c>
      <c r="B569" s="1318">
        <f ca="1">'C.Al'!I128</f>
        <v>40.084039090235819</v>
      </c>
      <c r="C569" s="1318">
        <f ca="1">'C.Al'!F164</f>
        <v>12.165323362993684</v>
      </c>
      <c r="D569" s="1318">
        <v>0</v>
      </c>
      <c r="E569" s="1318">
        <f ca="1">'C.Iron'!J75</f>
        <v>5.7219441075589845</v>
      </c>
      <c r="F569" s="1318">
        <f>Cement_Concrete!J106</f>
        <v>3.6259900716355808</v>
      </c>
      <c r="G569" s="1318">
        <f>Cement_Concrete!J139</f>
        <v>0.9159530541898171</v>
      </c>
      <c r="H569" s="1318">
        <f>Copper!K76</f>
        <v>39.962481844563754</v>
      </c>
      <c r="I569" s="1318">
        <v>0</v>
      </c>
      <c r="J569" s="1318">
        <f>Glass!H84</f>
        <v>7.0113879740619662</v>
      </c>
      <c r="K569" s="1318">
        <v>0</v>
      </c>
      <c r="L569" s="1318">
        <f>Vehi_Plastics!AW118</f>
        <v>15.388170491839828</v>
      </c>
      <c r="M569" s="1318">
        <f>Vehi_Plastics!AU118</f>
        <v>13.348071064521147</v>
      </c>
      <c r="N569" s="1318">
        <f ca="1">Lead!E73</f>
        <v>6.1305361638741562</v>
      </c>
      <c r="O569" s="1318">
        <f>Lead!G73</f>
        <v>0.5978245640297627</v>
      </c>
      <c r="P569" s="1318">
        <f>SUM(Vehi_Fluids!B85:C85)*2000</f>
        <v>34.362022697744742</v>
      </c>
      <c r="Q569" s="1318">
        <f>Vehi_Plastics!BI118</f>
        <v>11.711819810095211</v>
      </c>
      <c r="R569" s="1318">
        <v>0</v>
      </c>
      <c r="S569" s="1318">
        <f>Vehi_Plastics!BO118</f>
        <v>18.579577728380126</v>
      </c>
      <c r="T569" s="1318">
        <f>Rubber!I78</f>
        <v>34.028473541838864</v>
      </c>
      <c r="U569" s="1318">
        <f ca="1">Silicon!B85</f>
        <v>845.97781123991626</v>
      </c>
      <c r="V569" s="1318">
        <f>LiMn2O4!C103</f>
        <v>4.3103230696784021</v>
      </c>
      <c r="W569" s="1318">
        <f ca="1">Mat_Sum!B28*2000</f>
        <v>9.1445341327367426</v>
      </c>
      <c r="X569" s="1318">
        <f ca="1">Mat_Sum!C28*2000</f>
        <v>3.2471623866914903</v>
      </c>
      <c r="Y569" s="1318">
        <f ca="1">Mat_Sum!D28*2000</f>
        <v>7.5876279917807956</v>
      </c>
      <c r="Z569" s="1318">
        <v>0</v>
      </c>
      <c r="AA569" s="1318">
        <f>Silicon!J85</f>
        <v>7.2379691275648889E-2</v>
      </c>
      <c r="AB569" s="1318">
        <f ca="1">W.Al!W139</f>
        <v>9.200222268874171</v>
      </c>
      <c r="AC569" s="1318">
        <f ca="1">Mat_Sum!U28*2000</f>
        <v>72.188778592880112</v>
      </c>
      <c r="AD569" s="1318">
        <f>Mat_Sum!AH28*2000</f>
        <v>8.6628664035355563</v>
      </c>
      <c r="AE569" s="1318">
        <f ca="1">Mat_Sum!AK28*2000</f>
        <v>52.95002555252178</v>
      </c>
      <c r="AF569" s="1318">
        <f ca="1">Mat_Sum!Z28*2000</f>
        <v>274.63181357558454</v>
      </c>
      <c r="AG569" s="1318">
        <f>Copper!B76</f>
        <v>0.71458130374049289</v>
      </c>
      <c r="AH569" s="1318">
        <v>87.822590532570331</v>
      </c>
      <c r="AI569" s="1318">
        <f>Battery_Materials!J102</f>
        <v>33.67534296078879</v>
      </c>
      <c r="AJ569" s="1318">
        <f>Molybdenum!D80</f>
        <v>35.60342370229931</v>
      </c>
      <c r="AK569" s="1318">
        <f>Platinum!N82</f>
        <v>361.85593294016604</v>
      </c>
      <c r="AL569" s="1318">
        <f ca="1">Other_Cathodes!I165</f>
        <v>6.425570767753598</v>
      </c>
      <c r="AM569" s="1318">
        <f>Manganese!B86</f>
        <v>1.5061135781005959</v>
      </c>
      <c r="AN569" s="1318">
        <f>Zinc!G85</f>
        <v>33.169095390237175</v>
      </c>
      <c r="AO569" s="1318">
        <f ca="1">Mat_Sum!AA28*2000</f>
        <v>147.08554459471367</v>
      </c>
      <c r="AP569" s="1318">
        <f ca="1">Other_Cathodes!B132</f>
        <v>3.1968775581914048</v>
      </c>
      <c r="AQ569" s="1318">
        <f>'FC Materials'!D69</f>
        <v>7.0419115133906356</v>
      </c>
      <c r="AR569" s="1318">
        <f>LiMn2O4!K103</f>
        <v>4.7403961589104213</v>
      </c>
      <c r="AS569" s="2510">
        <f ca="1">W.Al!$B139</f>
        <v>2.7292685548287601</v>
      </c>
      <c r="AT569" s="2510">
        <f ca="1">Cobalt!$B132</f>
        <v>0.14943980419068256</v>
      </c>
      <c r="AU569" s="2510">
        <f>Glass!$B52</f>
        <v>2.7050699537511571</v>
      </c>
      <c r="AV569" s="1318">
        <f>Platinum!H82</f>
        <v>361.85593294016604</v>
      </c>
      <c r="AW569" s="1318">
        <f>Platinum!J82</f>
        <v>361.85593294016604</v>
      </c>
      <c r="AX569" s="1318">
        <f>Platinum!L82</f>
        <v>361.85593294016604</v>
      </c>
      <c r="AY569" s="1318">
        <f>SUM(Cement_Concrete!AI75:AL75)</f>
        <v>9.6838804772866466E-2</v>
      </c>
      <c r="AZ569" s="1318">
        <f>Vehi_Plastics!K118</f>
        <v>41.982220320610587</v>
      </c>
      <c r="BA569" s="1318">
        <f>SUM(Vehi_Fluids!B53:C53)</f>
        <v>9.454219512945258</v>
      </c>
      <c r="BB569" s="235">
        <f>Vehi_Fluids!$D53+0.667*Vehi_Fluids!$E53</f>
        <v>25.69468343557714</v>
      </c>
    </row>
    <row r="570" spans="1:54">
      <c r="A570" s="59" t="s">
        <v>2192</v>
      </c>
      <c r="B570" s="1318">
        <f ca="1">'C.Al'!I129</f>
        <v>82.049446449693789</v>
      </c>
      <c r="C570" s="1318">
        <f ca="1">'C.Al'!F165</f>
        <v>29.591265904872795</v>
      </c>
      <c r="D570" s="1318">
        <v>0</v>
      </c>
      <c r="E570" s="1318">
        <f ca="1">'C.Iron'!J76</f>
        <v>14.718024257539952</v>
      </c>
      <c r="F570" s="1318">
        <f>Cement_Concrete!J107</f>
        <v>14.066154060333407</v>
      </c>
      <c r="G570" s="1318">
        <f>Cement_Concrete!J140</f>
        <v>2.191771755185508</v>
      </c>
      <c r="H570" s="1318">
        <f>Copper!K77</f>
        <v>43.075228545037348</v>
      </c>
      <c r="I570" s="1318">
        <v>0</v>
      </c>
      <c r="J570" s="1318">
        <f>Glass!H85</f>
        <v>17.416608009173078</v>
      </c>
      <c r="K570" s="1318">
        <v>0</v>
      </c>
      <c r="L570" s="1318">
        <f>Vehi_Plastics!AW119</f>
        <v>45.499084361879355</v>
      </c>
      <c r="M570" s="1318">
        <f>Vehi_Plastics!AU119</f>
        <v>39.338391425453636</v>
      </c>
      <c r="N570" s="1318">
        <f ca="1">Lead!E74</f>
        <v>9.4678438112228047</v>
      </c>
      <c r="O570" s="1318">
        <f>Lead!G74</f>
        <v>1.1741587519727767</v>
      </c>
      <c r="P570" s="1318">
        <f>SUM(Vehi_Fluids!B86:C86)*2000</f>
        <v>31.789579643778918</v>
      </c>
      <c r="Q570" s="1318">
        <f>Vehi_Plastics!BI119</f>
        <v>27.973653156539456</v>
      </c>
      <c r="R570" s="1318">
        <v>0</v>
      </c>
      <c r="S570" s="1318">
        <f>Vehi_Plastics!BO119</f>
        <v>40.840784129135166</v>
      </c>
      <c r="T570" s="1318">
        <f>Rubber!I79</f>
        <v>56.473356290238662</v>
      </c>
      <c r="U570" s="1318">
        <f ca="1">Silicon!B86</f>
        <v>3024.423565663426</v>
      </c>
      <c r="V570" s="1318">
        <f>LiMn2O4!C104</f>
        <v>7.7314313035790949</v>
      </c>
      <c r="W570" s="1318">
        <f ca="1">Mat_Sum!B29*2000</f>
        <v>25.824671107724214</v>
      </c>
      <c r="X570" s="1318">
        <f ca="1">Mat_Sum!C29*2000</f>
        <v>11.26847652589859</v>
      </c>
      <c r="Y570" s="1318">
        <f ca="1">Mat_Sum!D29*2000</f>
        <v>21.98183573812225</v>
      </c>
      <c r="Z570" s="1318">
        <v>0</v>
      </c>
      <c r="AA570" s="1318">
        <f>Silicon!J86</f>
        <v>0.34450979503276108</v>
      </c>
      <c r="AB570" s="1318">
        <f ca="1">W.Al!W140</f>
        <v>17.397500707390055</v>
      </c>
      <c r="AC570" s="1318">
        <f ca="1">Mat_Sum!U29*2000</f>
        <v>151.32674030046982</v>
      </c>
      <c r="AD570" s="1318">
        <f>Mat_Sum!AH29*2000</f>
        <v>38.653818685585748</v>
      </c>
      <c r="AE570" s="1318">
        <f ca="1">Mat_Sum!AK29*2000</f>
        <v>144.12653272817434</v>
      </c>
      <c r="AF570" s="1318">
        <f ca="1">Mat_Sum!Z29*2000</f>
        <v>356.00892886265984</v>
      </c>
      <c r="AG570" s="1318">
        <f>Copper!B77</f>
        <v>2.7774973273121395</v>
      </c>
      <c r="AH570" s="1318">
        <v>33.999358523313902</v>
      </c>
      <c r="AI570" s="1318">
        <f>Battery_Materials!J103</f>
        <v>82.07138929462441</v>
      </c>
      <c r="AJ570" s="1318">
        <f>Molybdenum!D81</f>
        <v>71.566856333705672</v>
      </c>
      <c r="AK570" s="1318">
        <f>Platinum!N83</f>
        <v>632.08409611856371</v>
      </c>
      <c r="AL570" s="1318">
        <f ca="1">Other_Cathodes!I166</f>
        <v>15.501705738384089</v>
      </c>
      <c r="AM570" s="1318">
        <f>Manganese!B87</f>
        <v>6.7415487315041309</v>
      </c>
      <c r="AN570" s="1318">
        <f>Zinc!G86</f>
        <v>55.550094716155648</v>
      </c>
      <c r="AO570" s="1318">
        <f ca="1">Mat_Sum!AA29*2000</f>
        <v>176.02295503932791</v>
      </c>
      <c r="AP570" s="1318">
        <f ca="1">Other_Cathodes!B133</f>
        <v>11.825624287762412</v>
      </c>
      <c r="AQ570" s="1318">
        <f>'FC Materials'!D70</f>
        <v>22.317811969165476</v>
      </c>
      <c r="AR570" s="1318">
        <f>LiMn2O4!K104</f>
        <v>12.503781785292189</v>
      </c>
      <c r="AS570" s="2510">
        <f ca="1">W.Al!$B140</f>
        <v>1.0165803940101168</v>
      </c>
      <c r="AT570" s="2510">
        <f ca="1">Cobalt!$B133</f>
        <v>0.57379940397109563</v>
      </c>
      <c r="AU570" s="2510">
        <f>Glass!$B53</f>
        <v>0.6602325124704046</v>
      </c>
      <c r="AV570" s="1318">
        <f>Platinum!H83</f>
        <v>632.08409611856371</v>
      </c>
      <c r="AW570" s="1318">
        <f>Platinum!J83</f>
        <v>632.08409611856371</v>
      </c>
      <c r="AX570" s="1318">
        <f>Platinum!L83</f>
        <v>632.08409611856371</v>
      </c>
      <c r="AY570" s="1318">
        <f>SUM(Cement_Concrete!AI76:AL76)</f>
        <v>0.13733691943364315</v>
      </c>
      <c r="AZ570" s="1318">
        <f>Vehi_Plastics!K119</f>
        <v>86.813069309965158</v>
      </c>
      <c r="BA570" s="1318">
        <f>SUM(Vehi_Fluids!B54:C54)</f>
        <v>24.748024737437266</v>
      </c>
      <c r="BB570" s="235">
        <f>Vehi_Fluids!$D54+0.667*Vehi_Fluids!$E54</f>
        <v>25.774391512306131</v>
      </c>
    </row>
    <row r="571" spans="1:54">
      <c r="A571" s="100" t="s">
        <v>2193</v>
      </c>
      <c r="B571" s="1318">
        <f ca="1">'C.Al'!I130</f>
        <v>13000.256192822417</v>
      </c>
      <c r="C571" s="1318">
        <f ca="1">'C.Al'!F166</f>
        <v>4057.0418336172888</v>
      </c>
      <c r="D571" s="1318">
        <v>0</v>
      </c>
      <c r="E571" s="1318">
        <f ca="1">'C.Iron'!J77</f>
        <v>3817.4428358578843</v>
      </c>
      <c r="F571" s="1318">
        <f>Cement_Concrete!J108</f>
        <v>333.77605471939637</v>
      </c>
      <c r="G571" s="1318">
        <f>Cement_Concrete!J141</f>
        <v>39.831593622527151</v>
      </c>
      <c r="H571" s="1318">
        <f>Copper!K78</f>
        <v>5197.5491531928701</v>
      </c>
      <c r="I571" s="1318">
        <v>0</v>
      </c>
      <c r="J571" s="1318">
        <f>Glass!H86</f>
        <v>2180.3876091861343</v>
      </c>
      <c r="K571" s="1318">
        <v>0</v>
      </c>
      <c r="L571" s="1318">
        <f>Vehi_Plastics!AW120</f>
        <v>22015.753241365626</v>
      </c>
      <c r="M571" s="1318">
        <f>Vehi_Plastics!AU120</f>
        <v>20997.184072013904</v>
      </c>
      <c r="N571" s="1318">
        <f ca="1">Lead!E75</f>
        <v>6298.6268076201932</v>
      </c>
      <c r="O571" s="1318">
        <f>Lead!G75</f>
        <v>617.07205354686516</v>
      </c>
      <c r="P571" s="1318">
        <f>SUM(Vehi_Fluids!B87:C87)*2000</f>
        <v>4382.6170321813988</v>
      </c>
      <c r="Q571" s="1318">
        <f>Vehi_Plastics!BI120</f>
        <v>19204.736661894996</v>
      </c>
      <c r="R571" s="1318">
        <v>0</v>
      </c>
      <c r="S571" s="1318">
        <f>Vehi_Plastics!BO120</f>
        <v>14887.688046024707</v>
      </c>
      <c r="T571" s="1318">
        <f>Rubber!I80</f>
        <v>6918.0619240575297</v>
      </c>
      <c r="U571" s="1318">
        <f ca="1">Silicon!B87</f>
        <v>385737.45874626504</v>
      </c>
      <c r="V571" s="1318">
        <f>LiMn2O4!C105</f>
        <v>695.20529768723293</v>
      </c>
      <c r="W571" s="1318">
        <f ca="1">Mat_Sum!B30*2000</f>
        <v>4452.3554480618732</v>
      </c>
      <c r="X571" s="1318">
        <f ca="1">Mat_Sum!C30*2000</f>
        <v>1436.1551755131995</v>
      </c>
      <c r="Y571" s="1318">
        <f ca="1">Mat_Sum!D30*2000</f>
        <v>3656.0785761090233</v>
      </c>
      <c r="Z571" s="1318">
        <v>0</v>
      </c>
      <c r="AA571" s="1318">
        <f>Silicon!J87</f>
        <v>42.864029631375992</v>
      </c>
      <c r="AB571" s="1318">
        <f ca="1">W.Al!W141</f>
        <v>2229.7970845797086</v>
      </c>
      <c r="AC571" s="1318">
        <f ca="1">Mat_Sum!U30*2000</f>
        <v>18691.017560100994</v>
      </c>
      <c r="AD571" s="1318">
        <f>Mat_Sum!AH30*2000</f>
        <v>4850.4417977160028</v>
      </c>
      <c r="AE571" s="1318">
        <f ca="1">Mat_Sum!AK30*2000</f>
        <v>18438.936796111699</v>
      </c>
      <c r="AF571" s="1318">
        <f ca="1">Mat_Sum!Z30*2000</f>
        <v>34682.635355085287</v>
      </c>
      <c r="AG571" s="1318">
        <f>Copper!B78</f>
        <v>413.38632074400135</v>
      </c>
      <c r="AH571" s="1318">
        <v>4317.4042246656072</v>
      </c>
      <c r="AI571" s="1318">
        <f>Battery_Materials!J104</f>
        <v>14971.044901536965</v>
      </c>
      <c r="AJ571" s="1318">
        <f>Molybdenum!D82</f>
        <v>16729.539992819387</v>
      </c>
      <c r="AK571" s="1318">
        <f>Platinum!N84</f>
        <v>172736.17180278589</v>
      </c>
      <c r="AL571" s="1318">
        <f ca="1">Other_Cathodes!I167</f>
        <v>3232.8095469897953</v>
      </c>
      <c r="AM571" s="1318">
        <f>Manganese!B88</f>
        <v>885.2272277610449</v>
      </c>
      <c r="AN571" s="1318">
        <f>Zinc!G87</f>
        <v>8625.0677111254627</v>
      </c>
      <c r="AO571" s="1318">
        <f ca="1">Mat_Sum!AA30*2000</f>
        <v>15695.459746737506</v>
      </c>
      <c r="AP571" s="1318">
        <f ca="1">Other_Cathodes!B134</f>
        <v>957.98000045708648</v>
      </c>
      <c r="AQ571" s="1318">
        <f>'FC Materials'!D71</f>
        <v>2867.6943021131901</v>
      </c>
      <c r="AR571" s="1318">
        <f>LiMn2O4!K105</f>
        <v>2232.9390294617247</v>
      </c>
      <c r="AS571" s="2510">
        <f ca="1">W.Al!$B141</f>
        <v>65.310300802730978</v>
      </c>
      <c r="AT571" s="2510">
        <f ca="1">Cobalt!$B134</f>
        <v>72.508320445845769</v>
      </c>
      <c r="AU571" s="2510">
        <f>Glass!$B54</f>
        <v>19.313099451502922</v>
      </c>
      <c r="AV571" s="1318">
        <f>Platinum!H84</f>
        <v>172736.17180278589</v>
      </c>
      <c r="AW571" s="1318">
        <f>Platinum!J84</f>
        <v>172736.17180278589</v>
      </c>
      <c r="AX571" s="1318">
        <f>Platinum!L84</f>
        <v>172736.17180278589</v>
      </c>
      <c r="AY571" s="1318">
        <f>SUM(Cement_Concrete!AI77:AL77)</f>
        <v>4.5462905142155012</v>
      </c>
      <c r="AZ571" s="1318">
        <f>Vehi_Plastics!K120</f>
        <v>18349.837144306286</v>
      </c>
      <c r="BA571" s="1318">
        <f>SUM(Vehi_Fluids!B55:C55)</f>
        <v>5112.628749053506</v>
      </c>
      <c r="BB571" s="235">
        <f>Vehi_Fluids!$D55+0.667*Vehi_Fluids!$E55</f>
        <v>4362.848022243038</v>
      </c>
    </row>
    <row r="572" spans="1:54">
      <c r="A572" s="100" t="s">
        <v>2194</v>
      </c>
      <c r="B572" s="1318">
        <f ca="1">'C.Al'!I131</f>
        <v>134.06214544033162</v>
      </c>
      <c r="C572" s="1318">
        <f ca="1">'C.Al'!F167</f>
        <v>40.867008716018745</v>
      </c>
      <c r="D572" s="1318">
        <v>0</v>
      </c>
      <c r="E572" s="1318">
        <f ca="1">'C.Iron'!J78</f>
        <v>15.59327983396868</v>
      </c>
      <c r="F572" s="1318">
        <f>Cement_Concrete!J109</f>
        <v>6.4450933290310717</v>
      </c>
      <c r="G572" s="1318">
        <f>Cement_Concrete!J142</f>
        <v>0.69482775253762386</v>
      </c>
      <c r="H572" s="1318">
        <f>Copper!K79</f>
        <v>57.785330958656047</v>
      </c>
      <c r="I572" s="1318">
        <v>0</v>
      </c>
      <c r="J572" s="1318">
        <f>Glass!H87</f>
        <v>19.873810390743241</v>
      </c>
      <c r="K572" s="1318">
        <v>0</v>
      </c>
      <c r="L572" s="1318">
        <f>Vehi_Plastics!AW121</f>
        <v>42.67211312985058</v>
      </c>
      <c r="M572" s="1318">
        <f>Vehi_Plastics!AU121</f>
        <v>34.27871267476565</v>
      </c>
      <c r="N572" s="1318">
        <f ca="1">Lead!E76</f>
        <v>8.4201268942375762</v>
      </c>
      <c r="O572" s="1318">
        <f>Lead!G76</f>
        <v>3.6822974075931123</v>
      </c>
      <c r="P572" s="1318">
        <f>SUM(Vehi_Fluids!B88:C88)*2000</f>
        <v>76.992765599632449</v>
      </c>
      <c r="Q572" s="1318">
        <f>Vehi_Plastics!BI121</f>
        <v>30.625149693908384</v>
      </c>
      <c r="R572" s="1318">
        <v>0</v>
      </c>
      <c r="S572" s="1318">
        <f>Vehi_Plastics!BO121</f>
        <v>70.70595844501068</v>
      </c>
      <c r="T572" s="1318">
        <f>Rubber!I81</f>
        <v>82.488992230947801</v>
      </c>
      <c r="U572" s="1318">
        <f ca="1">Silicon!B88</f>
        <v>4032.3777488849919</v>
      </c>
      <c r="V572" s="1318">
        <f>LiMn2O4!C106</f>
        <v>0.98921680655236355</v>
      </c>
      <c r="W572" s="1318">
        <f ca="1">Mat_Sum!B31*2000</f>
        <v>22.770656557568508</v>
      </c>
      <c r="X572" s="1318">
        <f ca="1">Mat_Sum!C31*2000</f>
        <v>13.550221811011511</v>
      </c>
      <c r="Y572" s="1318">
        <f ca="1">Mat_Sum!D31*2000</f>
        <v>20.336461784477461</v>
      </c>
      <c r="Z572" s="1318">
        <v>0</v>
      </c>
      <c r="AA572" s="1318">
        <f>Silicon!J88</f>
        <v>0.38889700342821087</v>
      </c>
      <c r="AB572" s="1318">
        <f ca="1">W.Al!W142</f>
        <v>22.832491412690068</v>
      </c>
      <c r="AC572" s="1318">
        <f ca="1">Mat_Sum!U31*2000</f>
        <v>510.21379503465027</v>
      </c>
      <c r="AD572" s="1318">
        <f>Mat_Sum!AH31*2000</f>
        <v>43.685382943469023</v>
      </c>
      <c r="AE572" s="1318">
        <f ca="1">Mat_Sum!AK31*2000</f>
        <v>177.19520573921503</v>
      </c>
      <c r="AF572" s="1318">
        <f ca="1">Mat_Sum!Z31*2000</f>
        <v>348.09078978427038</v>
      </c>
      <c r="AG572" s="1318">
        <f>Copper!B79</f>
        <v>3.0574704521634275</v>
      </c>
      <c r="AH572" s="1318">
        <v>20.285528803548623</v>
      </c>
      <c r="AI572" s="1318">
        <f>Battery_Materials!J105</f>
        <v>106.04882876377749</v>
      </c>
      <c r="AJ572" s="1318">
        <f>Molybdenum!D83</f>
        <v>70.436025347125153</v>
      </c>
      <c r="AK572" s="1318">
        <f>Platinum!N85</f>
        <v>2346.9175312580815</v>
      </c>
      <c r="AL572" s="1318">
        <f ca="1">Other_Cathodes!I168</f>
        <v>21.753200150026949</v>
      </c>
      <c r="AM572" s="1318">
        <f>Manganese!B89</f>
        <v>7.5567993349425793</v>
      </c>
      <c r="AN572" s="1318">
        <f>Zinc!G88</f>
        <v>78.485871159170287</v>
      </c>
      <c r="AO572" s="1318">
        <f ca="1">Mat_Sum!AA31*2000</f>
        <v>162.66545938541543</v>
      </c>
      <c r="AP572" s="1318">
        <f ca="1">Other_Cathodes!B135</f>
        <v>8.4446937027370943</v>
      </c>
      <c r="AQ572" s="1318">
        <f>'FC Materials'!D72</f>
        <v>27.413077799326896</v>
      </c>
      <c r="AR572" s="1318">
        <f>LiMn2O4!K106</f>
        <v>13.236930930378509</v>
      </c>
      <c r="AS572" s="2510">
        <f ca="1">W.Al!$B142</f>
        <v>1.2186223510411494</v>
      </c>
      <c r="AT572" s="2510">
        <f ca="1">Cobalt!$B135</f>
        <v>0.6576006997537267</v>
      </c>
      <c r="AU572" s="2510">
        <f>Glass!$B55</f>
        <v>0.14428540885218835</v>
      </c>
      <c r="AV572" s="1318">
        <f>Platinum!H85</f>
        <v>2346.9175312580815</v>
      </c>
      <c r="AW572" s="1318">
        <f>Platinum!J85</f>
        <v>2346.9175312580815</v>
      </c>
      <c r="AX572" s="1318">
        <f>Platinum!L85</f>
        <v>2346.9175312580815</v>
      </c>
      <c r="AY572" s="1318">
        <f>SUM(Cement_Concrete!AI78:AL78)</f>
        <v>5.1719738867670152E-2</v>
      </c>
      <c r="AZ572" s="1318">
        <f>Vehi_Plastics!K121</f>
        <v>801.49833896299094</v>
      </c>
      <c r="BA572" s="1318">
        <f>SUM(Vehi_Fluids!B56:C56)</f>
        <v>23.052392545257241</v>
      </c>
      <c r="BB572" s="235">
        <f>Vehi_Fluids!$D56+0.667*Vehi_Fluids!$E56</f>
        <v>54.944202072288185</v>
      </c>
    </row>
    <row r="573" spans="1:54">
      <c r="A573" s="100" t="s">
        <v>2195</v>
      </c>
      <c r="B573" s="631">
        <f ca="1">'C.Al'!I134</f>
        <v>7138631.1183852544</v>
      </c>
      <c r="C573" s="631">
        <f ca="1">'C.Al'!F170</f>
        <v>1531899.7999147454</v>
      </c>
      <c r="D573" s="631">
        <v>0</v>
      </c>
      <c r="E573" s="631">
        <f ca="1">'C.Iron'!J79</f>
        <v>709234.86730224057</v>
      </c>
      <c r="F573" s="631">
        <f>Cement_Concrete!J110</f>
        <v>848725.9720676369</v>
      </c>
      <c r="G573" s="631">
        <f>Cement_Concrete!J143</f>
        <v>85511.579326842824</v>
      </c>
      <c r="H573" s="631">
        <f>Copper!K80</f>
        <v>2433853.3150481815</v>
      </c>
      <c r="I573" s="631">
        <v>0</v>
      </c>
      <c r="J573" s="631">
        <f>Glass!H88</f>
        <v>1035931.6560620717</v>
      </c>
      <c r="K573" s="631">
        <v>0</v>
      </c>
      <c r="L573" s="631">
        <f>Vehi_Plastics!AW122</f>
        <v>1999092.1665825278</v>
      </c>
      <c r="M573" s="631">
        <f>Vehi_Plastics!AU122</f>
        <v>1716524.6898003765</v>
      </c>
      <c r="N573" s="631">
        <f ca="1">Lead!E77</f>
        <v>446516.39781802427</v>
      </c>
      <c r="O573" s="631">
        <f>Lead!G77</f>
        <v>420631.0832894668</v>
      </c>
      <c r="P573" s="631">
        <f>SUM(Vehi_Fluids!B89:C89)*2000</f>
        <v>3923380.9415946673</v>
      </c>
      <c r="Q573" s="631">
        <f>Vehi_Plastics!BI122</f>
        <v>1396579.2277697173</v>
      </c>
      <c r="R573" s="631">
        <v>0</v>
      </c>
      <c r="S573" s="631">
        <f>Vehi_Plastics!BO122</f>
        <v>1898495.3275180431</v>
      </c>
      <c r="T573" s="631">
        <f>Rubber!I82</f>
        <v>3248621.1886845781</v>
      </c>
      <c r="U573" s="631">
        <f ca="1">Silicon!B89</f>
        <v>162066582.21937898</v>
      </c>
      <c r="V573" s="631">
        <f>LiMn2O4!C107</f>
        <v>617790.99194299034</v>
      </c>
      <c r="W573" s="631">
        <f ca="1">Mat_Sum!B32*2000</f>
        <v>2560203.2333296272</v>
      </c>
      <c r="X573" s="631">
        <f ca="1">Mat_Sum!C32*2000</f>
        <v>577950.35763678746</v>
      </c>
      <c r="Y573" s="631">
        <f ca="1">Mat_Sum!D32*2000</f>
        <v>2036888.4741467172</v>
      </c>
      <c r="Z573" s="631">
        <v>0</v>
      </c>
      <c r="AA573" s="631">
        <f>Silicon!J89</f>
        <v>18939.684990490605</v>
      </c>
      <c r="AB573" s="631">
        <f ca="1">W.Al!W145</f>
        <v>905576.21204332029</v>
      </c>
      <c r="AC573" s="631">
        <f ca="1">Mat_Sum!U32*2000</f>
        <v>7978506.5852538673</v>
      </c>
      <c r="AD573" s="631">
        <f>Mat_Sum!AH32*2000</f>
        <v>2152065.6818056456</v>
      </c>
      <c r="AE573" s="631">
        <f ca="1">Mat_Sum!AK32*2000</f>
        <v>7439528.1585580334</v>
      </c>
      <c r="AF573" s="631">
        <f ca="1">Mat_Sum!Z32*2000</f>
        <v>14921733.121334275</v>
      </c>
      <c r="AG573" s="631">
        <f>Copper!B80</f>
        <v>226093.64600151876</v>
      </c>
      <c r="AH573" s="631">
        <v>1613473.4222674379</v>
      </c>
      <c r="AI573" s="631">
        <f>Battery_Materials!J106</f>
        <v>4033777.6898981184</v>
      </c>
      <c r="AJ573" s="631">
        <f>Molybdenum!D84</f>
        <v>12498139.847441498</v>
      </c>
      <c r="AK573" s="631">
        <f>Platinum!N86</f>
        <v>108730425.51487054</v>
      </c>
      <c r="AL573" s="631">
        <f ca="1">Other_Cathodes!I169</f>
        <v>1047994.9020828791</v>
      </c>
      <c r="AM573" s="631">
        <f>Manganese!B90</f>
        <v>420891.24515300075</v>
      </c>
      <c r="AN573" s="631">
        <f>Zinc!G89</f>
        <v>5346399.5901746405</v>
      </c>
      <c r="AO573" s="631">
        <f ca="1">Mat_Sum!AA32*2000</f>
        <v>6868942.3150644619</v>
      </c>
      <c r="AP573" s="631">
        <f ca="1">Other_Cathodes!B136</f>
        <v>726269.1462451407</v>
      </c>
      <c r="AQ573" s="631">
        <f>'FC Materials'!D73</f>
        <v>1050718.6031097507</v>
      </c>
      <c r="AR573" s="631">
        <f>LiMn2O4!K107</f>
        <v>895848.49329510448</v>
      </c>
      <c r="AS573" s="2512">
        <f ca="1">W.Al!$B145</f>
        <v>53720.171247678947</v>
      </c>
      <c r="AT573" s="2512">
        <f ca="1">Cobalt!$B136</f>
        <v>29381.481340399827</v>
      </c>
      <c r="AU573" s="2512">
        <f>Glass!$B56</f>
        <v>14437.715010367849</v>
      </c>
      <c r="AV573" s="631">
        <f>Platinum!H86</f>
        <v>108730425.51487054</v>
      </c>
      <c r="AW573" s="631">
        <f>Platinum!J86</f>
        <v>108730425.51487054</v>
      </c>
      <c r="AX573" s="631">
        <f>Platinum!L86</f>
        <v>108730425.51487054</v>
      </c>
      <c r="AY573" s="631">
        <f>SUM(Cement_Concrete!AI79:AL79)</f>
        <v>3406.5312644118376</v>
      </c>
      <c r="AZ573" s="631">
        <f>Vehi_Plastics!K122</f>
        <v>5122459.5100147333</v>
      </c>
      <c r="BA573" s="631">
        <f>SUM(Vehi_Fluids!B57:C57)</f>
        <v>961657.50852660066</v>
      </c>
      <c r="BB573" s="245">
        <f>Vehi_Fluids!$D57+0.667*Vehi_Fluids!$E57</f>
        <v>2828161.7271871446</v>
      </c>
    </row>
    <row r="574" spans="1:54">
      <c r="A574" s="100" t="s">
        <v>2196</v>
      </c>
      <c r="B574" s="631">
        <f ca="1">'C.Al'!I135</f>
        <v>7145724.897724174</v>
      </c>
      <c r="C574" s="631">
        <f ca="1">'C.Al'!F171</f>
        <v>1534371.3987901851</v>
      </c>
      <c r="D574" s="631">
        <v>0</v>
      </c>
      <c r="E574" s="631">
        <f ca="1">'C.Iron'!J80</f>
        <v>715936.46007126011</v>
      </c>
      <c r="F574" s="631">
        <f>Cement_Concrete!J111</f>
        <v>850823.66326792829</v>
      </c>
      <c r="G574" s="631">
        <f>Cement_Concrete!J144</f>
        <v>85931.366658739425</v>
      </c>
      <c r="H574" s="631">
        <f>Copper!K81</f>
        <v>2437794.4295344725</v>
      </c>
      <c r="I574" s="631">
        <v>0</v>
      </c>
      <c r="J574" s="631">
        <f>Glass!H89</f>
        <v>1037244.6439655435</v>
      </c>
      <c r="K574" s="631">
        <v>0</v>
      </c>
      <c r="L574" s="631">
        <f>Vehi_Plastics!AW123</f>
        <v>2011003.0727368894</v>
      </c>
      <c r="M574" s="631">
        <f>Vehi_Plastics!AU123</f>
        <v>1727943.3891961114</v>
      </c>
      <c r="N574" s="631">
        <f ca="1">Lead!E78</f>
        <v>451661.91577984288</v>
      </c>
      <c r="O574" s="631">
        <f>Lead!G78</f>
        <v>420899.9043662672</v>
      </c>
      <c r="P574" s="631">
        <f>SUM(Vehi_Fluids!B90:C90)*2000</f>
        <v>3928767.3523256229</v>
      </c>
      <c r="Q574" s="631">
        <f>Vehi_Plastics!BI123</f>
        <v>1410817.5112733322</v>
      </c>
      <c r="R574" s="631">
        <v>0</v>
      </c>
      <c r="S574" s="631">
        <f>Vehi_Plastics!BO123</f>
        <v>1905587.7744769603</v>
      </c>
      <c r="T574" s="631">
        <f>Rubber!I83</f>
        <v>3269487.8523945487</v>
      </c>
      <c r="U574" s="631">
        <f ca="1">Silicon!B90</f>
        <v>162235490.94708553</v>
      </c>
      <c r="V574" s="631">
        <f>LiMn2O4!C108</f>
        <v>618823.06689215824</v>
      </c>
      <c r="W574" s="631">
        <f ca="1">Mat_Sum!B33*2000</f>
        <v>2604339.7725034887</v>
      </c>
      <c r="X574" s="631">
        <f ca="1">Mat_Sum!C33*2000</f>
        <v>584106.17411221354</v>
      </c>
      <c r="Y574" s="631">
        <f ca="1">Mat_Sum!D33*2000</f>
        <v>2070998.1025281923</v>
      </c>
      <c r="Z574" s="631">
        <v>0</v>
      </c>
      <c r="AA574" s="631">
        <f>Silicon!J90</f>
        <v>18956.012197954453</v>
      </c>
      <c r="AB574" s="631">
        <f ca="1">W.Al!W146</f>
        <v>906906.62827837199</v>
      </c>
      <c r="AC574" s="631">
        <f ca="1">Mat_Sum!U33*2000</f>
        <v>7998560.7598927831</v>
      </c>
      <c r="AD574" s="631">
        <f>Mat_Sum!AH33*2000</f>
        <v>2154162.6107175495</v>
      </c>
      <c r="AE574" s="631">
        <f ca="1">Mat_Sum!AK33*2000</f>
        <v>7448913.9543370195</v>
      </c>
      <c r="AF574" s="631">
        <f ca="1">Mat_Sum!Z33*2000</f>
        <v>14952217.124259369</v>
      </c>
      <c r="AG574" s="631">
        <f>Copper!B81</f>
        <v>226531.26380787528</v>
      </c>
      <c r="AH574" s="631">
        <v>1621637.3401635941</v>
      </c>
      <c r="AI574" s="631">
        <f>Battery_Materials!J107</f>
        <v>4045143.6051283707</v>
      </c>
      <c r="AJ574" s="631">
        <f>Molybdenum!D85</f>
        <v>12539888.437264495</v>
      </c>
      <c r="AK574" s="631">
        <f>Platinum!N87</f>
        <v>108803206.48540248</v>
      </c>
      <c r="AL574" s="631">
        <f ca="1">AL573+AL563*GREET1_Import_Export!$B$62/GREET1_Import_Export!$B$65+AL564*GREET1_Import_Export!$B$63/GREET1_Import_Export!$B$65</f>
        <v>1058728.1098511021</v>
      </c>
      <c r="AM574" s="631">
        <f>Manganese!B91</f>
        <v>421420.30870690726</v>
      </c>
      <c r="AN574" s="631">
        <f>Zinc!G90</f>
        <v>5350641.2950099669</v>
      </c>
      <c r="AO574" s="631">
        <f ca="1">Mat_Sum!AA33*2000</f>
        <v>6880857.324346222</v>
      </c>
      <c r="AP574" s="631">
        <f ca="1">Other_Cathodes!B137</f>
        <v>726889.48546253215</v>
      </c>
      <c r="AQ574" s="631">
        <f>'FC Materials'!D74</f>
        <v>1052102.2785940794</v>
      </c>
      <c r="AR574" s="631">
        <f>LiMn2O4!K108</f>
        <v>896697.19803515228</v>
      </c>
      <c r="AS574" s="2512">
        <f ca="1">W.Al!$B146</f>
        <v>53827.436299985784</v>
      </c>
      <c r="AT574" s="1279">
        <f ca="1">AT573+AT563*GREET1_Import_Export!$B$62/GREET1_Import_Export!$B$65+AT564*GREET1_Import_Export!$B$63/GREET1_Import_Export!$B$65</f>
        <v>29412.865510643365</v>
      </c>
      <c r="AU574" s="1279">
        <f>AU573+AU563*GREET1_Import_Export!$B$62/GREET1_Import_Export!$B$65+AU564*GREET1_Import_Export!$B$63/GREET1_Import_Export!$B$65</f>
        <v>14567.712962394729</v>
      </c>
      <c r="AV574" s="631">
        <f>Platinum!H87</f>
        <v>108803206.48540248</v>
      </c>
      <c r="AW574" s="631">
        <f>Platinum!J87</f>
        <v>108803206.48540248</v>
      </c>
      <c r="AX574" s="631">
        <f>Platinum!L87</f>
        <v>108803206.48540248</v>
      </c>
      <c r="AY574" s="631">
        <f>AY573+AY563*GREET1_Import_Export!$B$62/GREET1_Import_Export!$B$65+AY564*GREET1_Import_Export!$B$63/GREET1_Import_Export!$B$65</f>
        <v>3416.2740060494389</v>
      </c>
      <c r="AZ574" s="631">
        <f>AZ573+AZ563*GREET1_Import_Export!$B$62/GREET1_Import_Export!$B$65+AZ564*GREET1_Import_Export!$B$63/GREET1_Import_Export!$B$65</f>
        <v>5132908.5755690942</v>
      </c>
      <c r="BA574" s="631">
        <f>BA573+BA563*GREET1_Import_Export!$B$62/GREET1_Import_Export!$B$65+BA564*GREET1_Import_Export!$B$63/GREET1_Import_Export!$B$65</f>
        <v>964986.98743991926</v>
      </c>
      <c r="BB574" s="245">
        <f>BB573+BB563*GREET1_Import_Export!$B$62/GREET1_Import_Export!$B$65+BB564*GREET1_Import_Export!$B$63/GREET1_Import_Export!$B$65</f>
        <v>2833074.6831928943</v>
      </c>
    </row>
    <row r="575" spans="1:54">
      <c r="A575" s="484" t="s">
        <v>2197</v>
      </c>
      <c r="B575" s="53">
        <f ca="1">'C.Al'!I136</f>
        <v>8214049.4920611912</v>
      </c>
      <c r="C575" s="53">
        <f ca="1">'C.Al'!F172</f>
        <v>1718286.3442825524</v>
      </c>
      <c r="D575" s="53">
        <v>0</v>
      </c>
      <c r="E575" s="53">
        <f ca="1">'C.Iron'!J81</f>
        <v>834591.96430299827</v>
      </c>
      <c r="F575" s="53">
        <f>Cement_Concrete!J112</f>
        <v>862544.89464170346</v>
      </c>
      <c r="G575" s="53">
        <f>Cement_Concrete!J145</f>
        <v>87310.443821837704</v>
      </c>
      <c r="H575" s="53">
        <f>Copper!K82</f>
        <v>2609034.0168343028</v>
      </c>
      <c r="I575" s="53">
        <v>0</v>
      </c>
      <c r="J575" s="53">
        <f>Glass!H90</f>
        <v>1107922.8319946744</v>
      </c>
      <c r="K575" s="53">
        <v>0</v>
      </c>
      <c r="L575" s="53">
        <f>Vehi_Plastics!AW124</f>
        <v>2682783.7799572684</v>
      </c>
      <c r="M575" s="53">
        <f>Vehi_Plastics!AU124</f>
        <v>2366942.7702153414</v>
      </c>
      <c r="N575" s="53">
        <f ca="1">Lead!E79</f>
        <v>642852.05363542167</v>
      </c>
      <c r="O575" s="53">
        <f>Lead!G79</f>
        <v>440387.87478568533</v>
      </c>
      <c r="P575" s="53">
        <f>SUM(Vehi_Fluids!B91:C91)*2000</f>
        <v>4080648.9461749676</v>
      </c>
      <c r="Q575" s="53">
        <f>Vehi_Plastics!BI124</f>
        <v>1995075.2757990677</v>
      </c>
      <c r="R575" s="53">
        <v>0</v>
      </c>
      <c r="S575" s="53">
        <f>Vehi_Plastics!BO124</f>
        <v>2370955.4948456292</v>
      </c>
      <c r="T575" s="53">
        <f>Rubber!I84</f>
        <v>3498889.2930574757</v>
      </c>
      <c r="U575" s="53">
        <f ca="1">Silicon!B91</f>
        <v>174876194.81292799</v>
      </c>
      <c r="V575" s="53">
        <f>LiMn2O4!C109</f>
        <v>639941.36827651155</v>
      </c>
      <c r="W575" s="53">
        <f ca="1">Mat_Sum!B34*2000</f>
        <v>2743944.6599331009</v>
      </c>
      <c r="X575" s="53">
        <f ca="1">Mat_Sum!C34*2000</f>
        <v>630781.63815752766</v>
      </c>
      <c r="Y575" s="53">
        <f ca="1">Mat_Sum!D34*2000</f>
        <v>2186069.6221843497</v>
      </c>
      <c r="Z575" s="53">
        <v>0</v>
      </c>
      <c r="AA575" s="53">
        <f>Silicon!J91</f>
        <v>20344.990792804208</v>
      </c>
      <c r="AB575" s="53">
        <f ca="1">W.Al!W147</f>
        <v>979851.15104012599</v>
      </c>
      <c r="AC575" s="53">
        <f ca="1">Mat_Sum!U34*2000</f>
        <v>8694497.9423799962</v>
      </c>
      <c r="AD575" s="53">
        <f>Mat_Sum!AH34*2000</f>
        <v>2311252.4911290486</v>
      </c>
      <c r="AE575" s="53">
        <f ca="1">Mat_Sum!AK34*2000</f>
        <v>27308425.787741259</v>
      </c>
      <c r="AF575" s="53">
        <f ca="1">Mat_Sum!Z34*2000</f>
        <v>16084940.24420476</v>
      </c>
      <c r="AG575" s="53">
        <f>Copper!B82</f>
        <v>239743.08310001862</v>
      </c>
      <c r="AH575" s="53">
        <v>1756535.1320365027</v>
      </c>
      <c r="AI575" s="53">
        <f>Battery_Materials!J108</f>
        <v>4522377.8917968804</v>
      </c>
      <c r="AJ575" s="53">
        <f>Molybdenum!D86</f>
        <v>13060440.183766065</v>
      </c>
      <c r="AK575" s="53">
        <f>Platinum!N88</f>
        <v>114607224.78526945</v>
      </c>
      <c r="AL575" s="53">
        <f ca="1">AL574+SUMPRODUCT(AL571:AL572,GREET1_Import_Export!$B$51:$B$52)+SUMPRODUCT(AL563:AL565,GREET1_Import_Export!$B$55:$B$57)+SUMPRODUCT(AL569:AL570,GREET1_Import_Export!$B$58:$B$59)</f>
        <v>1161476.9943005531</v>
      </c>
      <c r="AM575" s="53">
        <f>Manganese!B92</f>
        <v>449979.67736349837</v>
      </c>
      <c r="AN575" s="53">
        <f>Zinc!G91</f>
        <v>5630192.0822009109</v>
      </c>
      <c r="AO575" s="53">
        <f ca="1">Mat_Sum!AA34*2000</f>
        <v>7394827.4634854821</v>
      </c>
      <c r="AP575" s="53">
        <f ca="1">Other_Cathodes!B138</f>
        <v>757866.72930747003</v>
      </c>
      <c r="AQ575" s="53">
        <f>'FC Materials'!D75</f>
        <v>1145397.5732742967</v>
      </c>
      <c r="AR575" s="53">
        <f>LiMn2O4!K109</f>
        <v>967193.15561555431</v>
      </c>
      <c r="AS575" s="2513">
        <f ca="1">W.Al!$B147</f>
        <v>56109.680247093616</v>
      </c>
      <c r="AT575" s="537">
        <f ca="1">AT574+SUMPRODUCT(AT571:AT572,GREET1_Import_Export!$B$51:$B$52)+SUMPRODUCT(AT563:AT565,GREET1_Import_Export!$B$55:$B$57)+SUMPRODUCT(AT569:AT570,GREET1_Import_Export!$B$58:$B$59)</f>
        <v>31762.379309453478</v>
      </c>
      <c r="AU575" s="537">
        <f>AU574+SUMPRODUCT(AU571:AU572,GREET1_Import_Export!$B$51:$B$52)+SUMPRODUCT(AU563:AU565,GREET1_Import_Export!$B$55:$B$57)+SUMPRODUCT(AU569:AU570,GREET1_Import_Export!$B$58:$B$59)</f>
        <v>15185.341579285647</v>
      </c>
      <c r="AV575" s="53">
        <f>Platinum!H88</f>
        <v>114607224.78526945</v>
      </c>
      <c r="AW575" s="53">
        <f>Platinum!J88</f>
        <v>114607224.78526945</v>
      </c>
      <c r="AX575" s="53">
        <f>Platinum!L88</f>
        <v>114607224.78526945</v>
      </c>
      <c r="AY575" s="53">
        <f>AY574+SUMPRODUCT(AY571:AY572,GREET1_Import_Export!$B$51:$B$52)+SUMPRODUCT(AY563:AY565,GREET1_Import_Export!$B$55:$B$57)+SUMPRODUCT(AY569:AY570,GREET1_Import_Export!$B$58:$B$59)</f>
        <v>3566.3684522758367</v>
      </c>
      <c r="AZ575" s="53">
        <f>AZ574+SUMPRODUCT(AZ571:AZ572,GREET1_Import_Export!$B$51:$B$52)+SUMPRODUCT(AZ563:AZ565,GREET1_Import_Export!$B$55:$B$57)+SUMPRODUCT(AZ569:AZ570,GREET1_Import_Export!$B$58:$B$59)</f>
        <v>5895800.7497234754</v>
      </c>
      <c r="BA575" s="53">
        <f>BA574+SUMPRODUCT(BA571:BA572,GREET1_Import_Export!$B$51:$B$52)+SUMPRODUCT(BA563:BA565,GREET1_Import_Export!$B$55:$B$57)+SUMPRODUCT(BA569:BA570,GREET1_Import_Export!$B$58:$B$59)</f>
        <v>1124474.7339360176</v>
      </c>
      <c r="BB575" s="243">
        <f>BB574+SUMPRODUCT(BB571:BB572,GREET1_Import_Export!$B$51:$B$52)+SUMPRODUCT(BB563:BB565,GREET1_Import_Export!$B$55:$B$57)+SUMPRODUCT(BB569:BB570,GREET1_Import_Export!$B$58:$B$59)</f>
        <v>2978520.3374093417</v>
      </c>
    </row>
    <row r="576" spans="1:54">
      <c r="A576" s="487" t="s">
        <v>2157</v>
      </c>
      <c r="B576" s="631"/>
      <c r="C576" s="631"/>
      <c r="D576" s="631"/>
      <c r="E576" s="631"/>
      <c r="F576" s="631"/>
      <c r="G576" s="631"/>
      <c r="H576" s="631"/>
      <c r="I576" s="631"/>
      <c r="J576" s="631"/>
      <c r="K576" s="631"/>
      <c r="L576" s="631"/>
      <c r="M576" s="631"/>
      <c r="N576" s="631"/>
      <c r="O576" s="631"/>
      <c r="P576" s="631"/>
      <c r="Q576" s="631"/>
      <c r="R576" s="631"/>
      <c r="S576" s="631"/>
      <c r="T576" s="631"/>
      <c r="U576" s="631"/>
      <c r="V576" s="631"/>
      <c r="W576" s="631"/>
      <c r="X576" s="631"/>
      <c r="Y576" s="631"/>
      <c r="Z576" s="631"/>
      <c r="AA576" s="631"/>
      <c r="AB576" s="631"/>
      <c r="AC576" s="631"/>
      <c r="AD576" s="631"/>
      <c r="AE576" s="631"/>
      <c r="AF576" s="631"/>
      <c r="AG576" s="631"/>
      <c r="AH576" s="631"/>
      <c r="AI576" s="631"/>
      <c r="AJ576" s="631"/>
      <c r="AK576" s="631"/>
      <c r="AL576" s="631"/>
      <c r="AM576" s="631"/>
      <c r="AN576" s="631"/>
      <c r="AO576" s="631"/>
      <c r="AP576" s="631"/>
      <c r="AQ576" s="631"/>
      <c r="AR576" s="631">
        <f>LiMn2O4!K110</f>
        <v>0</v>
      </c>
      <c r="AS576" s="2512"/>
      <c r="AT576" s="2512"/>
      <c r="AU576" s="2512"/>
      <c r="AV576" s="631"/>
      <c r="AW576" s="631"/>
      <c r="AX576" s="631"/>
      <c r="AY576" s="631"/>
      <c r="AZ576" s="631"/>
      <c r="BA576" s="631"/>
      <c r="BB576" s="245"/>
    </row>
    <row r="577" spans="1:54">
      <c r="A577" s="100" t="s">
        <v>2187</v>
      </c>
      <c r="B577" s="1318">
        <f ca="1">'C.Al'!I138</f>
        <v>62.474912209194144</v>
      </c>
      <c r="C577" s="1318">
        <f ca="1">'C.Al'!F174</f>
        <v>13.448878681015358</v>
      </c>
      <c r="D577" s="1318">
        <v>0</v>
      </c>
      <c r="E577" s="1318">
        <f ca="1">'C.Iron'!J83</f>
        <v>8.3307969717937898</v>
      </c>
      <c r="F577" s="1318">
        <f>Cement_Concrete!J114</f>
        <v>21.26738467984034</v>
      </c>
      <c r="G577" s="1318">
        <f>Cement_Concrete!J147</f>
        <v>39.91337204907208</v>
      </c>
      <c r="H577" s="1318">
        <f>Copper!K84</f>
        <v>24.319711059159282</v>
      </c>
      <c r="I577" s="1318">
        <v>0</v>
      </c>
      <c r="J577" s="1318">
        <f>Glass!H92</f>
        <v>6.3214856675739428</v>
      </c>
      <c r="K577" s="1318">
        <v>0</v>
      </c>
      <c r="L577" s="1318">
        <f>Vehi_Plastics!AW126</f>
        <v>531.97063081020383</v>
      </c>
      <c r="M577" s="1318">
        <f>Vehi_Plastics!AU126</f>
        <v>521.13016536989244</v>
      </c>
      <c r="N577" s="1318">
        <f ca="1">Lead!E81</f>
        <v>4.2508656845997841</v>
      </c>
      <c r="O577" s="1318">
        <f>Lead!G81</f>
        <v>0.26462424859930861</v>
      </c>
      <c r="P577" s="1318">
        <f>SUM(Vehi_Fluids!B93:C93)*2000</f>
        <v>668.05820509600778</v>
      </c>
      <c r="Q577" s="1318">
        <f>Vehi_Plastics!BI126</f>
        <v>260.99581323185481</v>
      </c>
      <c r="R577" s="1318">
        <v>0</v>
      </c>
      <c r="S577" s="1318">
        <f>Vehi_Plastics!BO126</f>
        <v>26.880018556995765</v>
      </c>
      <c r="T577" s="1318">
        <f>Rubber!I86</f>
        <v>48.107493699263031</v>
      </c>
      <c r="U577" s="1318">
        <f ca="1">Silicon!B93</f>
        <v>1270.3398206836719</v>
      </c>
      <c r="V577" s="1318">
        <f>LiMn2O4!C111</f>
        <v>1.8055091529561156</v>
      </c>
      <c r="W577" s="1318">
        <f ca="1">Mat_Sum!B36*2000</f>
        <v>4.8068759642361387</v>
      </c>
      <c r="X577" s="1318">
        <f ca="1">Mat_Sum!C36*2000</f>
        <v>4.3588070333263262</v>
      </c>
      <c r="Y577" s="1318">
        <f ca="1">Mat_Sum!D36*2000</f>
        <v>4.6885857664759483</v>
      </c>
      <c r="Z577" s="1318">
        <v>0</v>
      </c>
      <c r="AA577" s="1318">
        <f>Silicon!J93</f>
        <v>0.13825725112511211</v>
      </c>
      <c r="AB577" s="1318">
        <f ca="1">W.Al!W149</f>
        <v>9.3304476538173002</v>
      </c>
      <c r="AC577" s="1318">
        <f ca="1">Mat_Sum!U36*2000</f>
        <v>80.895429052662209</v>
      </c>
      <c r="AD577" s="1318">
        <f>Mat_Sum!AH36*2000</f>
        <v>17.208566810030611</v>
      </c>
      <c r="AE577" s="1318">
        <f ca="1">Mat_Sum!AK36*2000</f>
        <v>55.059806117505666</v>
      </c>
      <c r="AF577" s="1318">
        <f ca="1">Mat_Sum!Z36*2000</f>
        <v>165.65736141348455</v>
      </c>
      <c r="AG577" s="1318">
        <f>Copper!B84</f>
        <v>3.8182485842582925</v>
      </c>
      <c r="AH577" s="1318">
        <v>14.19227265607933</v>
      </c>
      <c r="AI577" s="1318">
        <f>Battery_Materials!J110</f>
        <v>157.42665012006867</v>
      </c>
      <c r="AJ577" s="1318">
        <f>Molybdenum!D88</f>
        <v>346.09675220000463</v>
      </c>
      <c r="AK577" s="1318">
        <f>Platinum!N90</f>
        <v>630.69786924260859</v>
      </c>
      <c r="AL577" s="1318">
        <f ca="1">Other_Cathodes!I171</f>
        <v>9.7473747060367213</v>
      </c>
      <c r="AM577" s="1318">
        <f>Manganese!B94</f>
        <v>4.5571386222214709</v>
      </c>
      <c r="AN577" s="1318">
        <f>Zinc!G93</f>
        <v>60.359454030272317</v>
      </c>
      <c r="AO577" s="1318">
        <f ca="1">Mat_Sum!AA36*2000</f>
        <v>82.814176572069115</v>
      </c>
      <c r="AP577" s="1318">
        <f ca="1">Other_Cathodes!B140</f>
        <v>5.7038094390006178</v>
      </c>
      <c r="AQ577" s="1318">
        <f>'FC Materials'!D77</f>
        <v>8.519400005454429</v>
      </c>
      <c r="AR577" s="1318">
        <f>LiMn2O4!K111</f>
        <v>7.470762412753249</v>
      </c>
      <c r="AS577" s="2510">
        <f ca="1">W.Al!$B149</f>
        <v>1.4011854970944819</v>
      </c>
      <c r="AT577" s="2510">
        <f ca="1">Cobalt!$B138</f>
        <v>0.22490879765974547</v>
      </c>
      <c r="AU577" s="2510">
        <f>Glass!$B58</f>
        <v>0.41600247909078719</v>
      </c>
      <c r="AV577" s="1318">
        <f>Platinum!H90</f>
        <v>630.69786924260859</v>
      </c>
      <c r="AW577" s="1318">
        <f>Platinum!J90</f>
        <v>630.69786924260859</v>
      </c>
      <c r="AX577" s="1318">
        <f>Platinum!L90</f>
        <v>630.69786924260859</v>
      </c>
      <c r="AY577" s="1318">
        <f>SUM(Cement_Concrete!AI81:AL81)</f>
        <v>6.5683952856552902E-2</v>
      </c>
      <c r="AZ577" s="1318">
        <f>Vehi_Plastics!K126</f>
        <v>73.788639163919953</v>
      </c>
      <c r="BA577" s="1318">
        <f>SUM(Vehi_Fluids!B59:C59)</f>
        <v>292.50637471349972</v>
      </c>
      <c r="BB577" s="235">
        <f>Vehi_Fluids!$D59+0.667*Vehi_Fluids!$E59</f>
        <v>644.54789392827001</v>
      </c>
    </row>
    <row r="578" spans="1:54">
      <c r="A578" s="100" t="s">
        <v>2188</v>
      </c>
      <c r="B578" s="1318">
        <f ca="1">'C.Al'!I139</f>
        <v>254.60096940647983</v>
      </c>
      <c r="C578" s="1318">
        <f ca="1">'C.Al'!F175</f>
        <v>63.741708935244674</v>
      </c>
      <c r="D578" s="1318">
        <v>0</v>
      </c>
      <c r="E578" s="1318">
        <f ca="1">'C.Iron'!J84</f>
        <v>24.141010672430298</v>
      </c>
      <c r="F578" s="1318">
        <f>Cement_Concrete!J115</f>
        <v>293.14363608249801</v>
      </c>
      <c r="G578" s="1318">
        <f>Cement_Concrete!J148</f>
        <v>33.207821524652104</v>
      </c>
      <c r="H578" s="1318">
        <f>Copper!K85</f>
        <v>95.831779795278422</v>
      </c>
      <c r="I578" s="1318">
        <v>0</v>
      </c>
      <c r="J578" s="1318">
        <f>Glass!H93</f>
        <v>32.752626092513296</v>
      </c>
      <c r="K578" s="1318">
        <v>0</v>
      </c>
      <c r="L578" s="1318">
        <f>Vehi_Plastics!AW127</f>
        <v>434.34683404304911</v>
      </c>
      <c r="M578" s="1318">
        <f>Vehi_Plastics!AU127</f>
        <v>414.69577119809725</v>
      </c>
      <c r="N578" s="1318">
        <f ca="1">Lead!E82</f>
        <v>16.544277638258929</v>
      </c>
      <c r="O578" s="1318">
        <f>Lead!G82</f>
        <v>0.31002862371916423</v>
      </c>
      <c r="P578" s="1318">
        <f>SUM(Vehi_Fluids!B94:C94)*2000</f>
        <v>416.52081476890589</v>
      </c>
      <c r="Q578" s="1318">
        <f>Vehi_Plastics!BI127</f>
        <v>483.25565161045125</v>
      </c>
      <c r="R578" s="1318">
        <v>0</v>
      </c>
      <c r="S578" s="1318">
        <f>Vehi_Plastics!BO127</f>
        <v>125.97849999891292</v>
      </c>
      <c r="T578" s="1318">
        <f>Rubber!I87</f>
        <v>97.308272707895696</v>
      </c>
      <c r="U578" s="1318">
        <f ca="1">Silicon!B94</f>
        <v>8006.3756489710759</v>
      </c>
      <c r="V578" s="1318">
        <f>LiMn2O4!C112</f>
        <v>1.3018767606819317</v>
      </c>
      <c r="W578" s="1318">
        <f ca="1">Mat_Sum!B37*2000</f>
        <v>34.222122705356519</v>
      </c>
      <c r="X578" s="1318">
        <f ca="1">Mat_Sum!C37*2000</f>
        <v>28.098674493870334</v>
      </c>
      <c r="Y578" s="1318">
        <f ca="1">Mat_Sum!D37*2000</f>
        <v>32.605532377524163</v>
      </c>
      <c r="Z578" s="1318">
        <v>0</v>
      </c>
      <c r="AA578" s="1318">
        <f>Silicon!J94</f>
        <v>1.0206942345820844</v>
      </c>
      <c r="AB578" s="1318">
        <f ca="1">W.Al!W150</f>
        <v>30.300797803575591</v>
      </c>
      <c r="AC578" s="1318">
        <f ca="1">Mat_Sum!U37*2000</f>
        <v>337.03861531841903</v>
      </c>
      <c r="AD578" s="1318">
        <f>Mat_Sum!AH37*2000</f>
        <v>112.10530287960844</v>
      </c>
      <c r="AE578" s="1318">
        <f ca="1">Mat_Sum!AK37*2000</f>
        <v>322.20127346374284</v>
      </c>
      <c r="AF578" s="1318">
        <f ca="1">Mat_Sum!Z37*2000</f>
        <v>585.73454868460749</v>
      </c>
      <c r="AG578" s="1318">
        <f>Copper!B85</f>
        <v>8.9916633069825629</v>
      </c>
      <c r="AH578" s="1318">
        <v>93.325444838655727</v>
      </c>
      <c r="AI578" s="1318">
        <f>Battery_Materials!J111</f>
        <v>171.83492974311125</v>
      </c>
      <c r="AJ578" s="1318">
        <f>Molybdenum!D89</f>
        <v>298.17313906366979</v>
      </c>
      <c r="AK578" s="1318">
        <f>Platinum!N91</f>
        <v>5154.5936929550608</v>
      </c>
      <c r="AL578" s="1318">
        <f ca="1">Other_Cathodes!I172</f>
        <v>42.19171011599709</v>
      </c>
      <c r="AM578" s="1318">
        <f>Manganese!B95</f>
        <v>20.49580814943328</v>
      </c>
      <c r="AN578" s="1318">
        <f>Zinc!G94</f>
        <v>120.98088910479423</v>
      </c>
      <c r="AO578" s="1318">
        <f ca="1">Mat_Sum!AA37*2000</f>
        <v>275.35768275346658</v>
      </c>
      <c r="AP578" s="1318">
        <f ca="1">Other_Cathodes!B141</f>
        <v>22.896775928662052</v>
      </c>
      <c r="AQ578" s="1318">
        <f>'FC Materials'!D78</f>
        <v>51.98049421732334</v>
      </c>
      <c r="AR578" s="1318">
        <f>LiMn2O4!K112</f>
        <v>19.528673281142161</v>
      </c>
      <c r="AS578" s="2510">
        <f ca="1">W.Al!$B150</f>
        <v>1.0015935134345568</v>
      </c>
      <c r="AT578" s="2510">
        <f ca="1">Cobalt!$B139</f>
        <v>1.5264112770411267</v>
      </c>
      <c r="AU578" s="2510">
        <f>Glass!$B59</f>
        <v>0.32591437273352986</v>
      </c>
      <c r="AV578" s="1318">
        <f>Platinum!H91</f>
        <v>5154.5936929550608</v>
      </c>
      <c r="AW578" s="1318">
        <f>Platinum!J91</f>
        <v>5154.5936929550608</v>
      </c>
      <c r="AX578" s="1318">
        <f>Platinum!L91</f>
        <v>5154.5936929550608</v>
      </c>
      <c r="AY578" s="1318">
        <f>SUM(Cement_Concrete!AI82:AL82)</f>
        <v>8.8756856894901939E-2</v>
      </c>
      <c r="AZ578" s="1318">
        <f>Vehi_Plastics!K127</f>
        <v>215.68635180040062</v>
      </c>
      <c r="BA578" s="1318">
        <f>SUM(Vehi_Fluids!B60:C60)</f>
        <v>163.56548568441761</v>
      </c>
      <c r="BB578" s="235">
        <f>Vehi_Fluids!$D60+0.667*Vehi_Fluids!$E60</f>
        <v>312.50491329192238</v>
      </c>
    </row>
    <row r="579" spans="1:54">
      <c r="A579" s="100" t="s">
        <v>2189</v>
      </c>
      <c r="B579" s="1318">
        <f ca="1">'C.Al'!I140</f>
        <v>745.66539754149608</v>
      </c>
      <c r="C579" s="1318">
        <f ca="1">'C.Al'!F176</f>
        <v>125.39577096647061</v>
      </c>
      <c r="D579" s="1318">
        <v>0</v>
      </c>
      <c r="E579" s="1318">
        <f ca="1">'C.Iron'!J85</f>
        <v>44.129341985819885</v>
      </c>
      <c r="F579" s="1318">
        <f>Cement_Concrete!J116</f>
        <v>312.57849257093943</v>
      </c>
      <c r="G579" s="1318">
        <f>Cement_Concrete!J149</f>
        <v>39.907577438919553</v>
      </c>
      <c r="H579" s="1318">
        <f>Copper!K86</f>
        <v>251.92906671049019</v>
      </c>
      <c r="I579" s="1318">
        <v>0</v>
      </c>
      <c r="J579" s="1318">
        <f>Glass!H94</f>
        <v>62.504017715863107</v>
      </c>
      <c r="K579" s="1318">
        <v>0</v>
      </c>
      <c r="L579" s="1318">
        <f>Vehi_Plastics!AW128</f>
        <v>520.03114115990593</v>
      </c>
      <c r="M579" s="1318">
        <f>Vehi_Plastics!AU128</f>
        <v>482.66828101978274</v>
      </c>
      <c r="N579" s="1318">
        <f ca="1">Lead!E83</f>
        <v>48.63158843888165</v>
      </c>
      <c r="O579" s="1318">
        <f>Lead!G83</f>
        <v>1.4871276081249296</v>
      </c>
      <c r="P579" s="1318">
        <f>SUM(Vehi_Fluids!B95:C95)*2000</f>
        <v>2373.525515544156</v>
      </c>
      <c r="Q579" s="1318">
        <f>Vehi_Plastics!BI128</f>
        <v>301.33237819332601</v>
      </c>
      <c r="R579" s="1318">
        <v>0</v>
      </c>
      <c r="S579" s="1318">
        <f>Vehi_Plastics!BO128</f>
        <v>208.04082455905069</v>
      </c>
      <c r="T579" s="1318">
        <f>Rubber!I88</f>
        <v>155.63918689113657</v>
      </c>
      <c r="U579" s="1318">
        <f ca="1">Silicon!B95</f>
        <v>21756.597507822567</v>
      </c>
      <c r="V579" s="1318">
        <f>LiMn2O4!C113</f>
        <v>3.112696215505999</v>
      </c>
      <c r="W579" s="1318">
        <f ca="1">Mat_Sum!B38*2000</f>
        <v>90.546756726584931</v>
      </c>
      <c r="X579" s="1318">
        <f ca="1">Mat_Sum!C38*2000</f>
        <v>70.224667143846375</v>
      </c>
      <c r="Y579" s="1318">
        <f ca="1">Mat_Sum!D38*2000</f>
        <v>85.181725076741955</v>
      </c>
      <c r="Z579" s="1318">
        <v>0</v>
      </c>
      <c r="AA579" s="1318">
        <f>Silicon!J95</f>
        <v>3.0485787667188764</v>
      </c>
      <c r="AB579" s="1318">
        <f ca="1">W.Al!W151</f>
        <v>47.817423050689044</v>
      </c>
      <c r="AC579" s="1318">
        <f ca="1">Mat_Sum!U38*2000</f>
        <v>922.01855163210701</v>
      </c>
      <c r="AD579" s="1318">
        <f>Mat_Sum!AH38*2000</f>
        <v>327.11526819993446</v>
      </c>
      <c r="AE579" s="1318">
        <f ca="1">Mat_Sum!AK38*2000</f>
        <v>699.51616879977473</v>
      </c>
      <c r="AF579" s="1318">
        <f ca="1">Mat_Sum!Z38*2000</f>
        <v>1349.3486679020716</v>
      </c>
      <c r="AG579" s="1318">
        <f>Copper!B86</f>
        <v>24.188828467915709</v>
      </c>
      <c r="AH579" s="1318">
        <v>360.0266010781238</v>
      </c>
      <c r="AI579" s="1318">
        <f>Battery_Materials!J112</f>
        <v>237.54360586419736</v>
      </c>
      <c r="AJ579" s="1318">
        <f>Molybdenum!D90</f>
        <v>577.0005567253188</v>
      </c>
      <c r="AK579" s="1318">
        <f>Platinum!N92</f>
        <v>22093.333719807441</v>
      </c>
      <c r="AL579" s="1318">
        <f ca="1">Other_Cathodes!I173</f>
        <v>61.506339411818402</v>
      </c>
      <c r="AM579" s="1318">
        <f>Manganese!B96</f>
        <v>59.389539709803472</v>
      </c>
      <c r="AN579" s="1318">
        <f>Zinc!G95</f>
        <v>318.81935112591395</v>
      </c>
      <c r="AO579" s="1318">
        <f ca="1">Mat_Sum!AA38*2000</f>
        <v>674.89193889333114</v>
      </c>
      <c r="AP579" s="1318">
        <f ca="1">Other_Cathodes!B142</f>
        <v>72.120943240393856</v>
      </c>
      <c r="AQ579" s="1318">
        <f>'FC Materials'!D79</f>
        <v>118.61013479306988</v>
      </c>
      <c r="AR579" s="1318">
        <f>LiMn2O4!K113</f>
        <v>48.168553647206743</v>
      </c>
      <c r="AS579" s="2510">
        <f ca="1">W.Al!$B151</f>
        <v>1.7316054452976171</v>
      </c>
      <c r="AT579" s="2510">
        <f ca="1">Cobalt!$B140</f>
        <v>4.1091793212861267</v>
      </c>
      <c r="AU579" s="2510">
        <f>Glass!$B60</f>
        <v>0.59218115896013579</v>
      </c>
      <c r="AV579" s="1318">
        <f>Platinum!H92</f>
        <v>22093.333719807441</v>
      </c>
      <c r="AW579" s="1318">
        <f>Platinum!J92</f>
        <v>22093.333719807441</v>
      </c>
      <c r="AX579" s="1318">
        <f>Platinum!L92</f>
        <v>22093.333719807441</v>
      </c>
      <c r="AY579" s="1318">
        <f>SUM(Cement_Concrete!AI83:AL83)</f>
        <v>0.21181600453636681</v>
      </c>
      <c r="AZ579" s="1318">
        <f>Vehi_Plastics!K128</f>
        <v>347.78985469738024</v>
      </c>
      <c r="BA579" s="1318">
        <f>SUM(Vehi_Fluids!B61:C61)</f>
        <v>255.03734294608418</v>
      </c>
      <c r="BB579" s="235">
        <f>Vehi_Fluids!$D61+0.667*Vehi_Fluids!$E61</f>
        <v>1636.6179616952381</v>
      </c>
    </row>
    <row r="580" spans="1:54">
      <c r="A580" s="100" t="s">
        <v>1338</v>
      </c>
      <c r="B580" s="1318">
        <f ca="1">'C.Al'!I141</f>
        <v>87.981211497797887</v>
      </c>
      <c r="C580" s="1318">
        <f ca="1">'C.Al'!F177</f>
        <v>10.391117587862645</v>
      </c>
      <c r="D580" s="1318">
        <v>0</v>
      </c>
      <c r="E580" s="1318">
        <f ca="1">'C.Iron'!J86</f>
        <v>3.2704014602658993</v>
      </c>
      <c r="F580" s="1318">
        <f>Cement_Concrete!J117</f>
        <v>52.088171054006438</v>
      </c>
      <c r="G580" s="1318">
        <f>Cement_Concrete!J150</f>
        <v>31.798563751209898</v>
      </c>
      <c r="H580" s="1318">
        <f>Copper!K87</f>
        <v>30.618995601056056</v>
      </c>
      <c r="I580" s="1318">
        <v>0</v>
      </c>
      <c r="J580" s="1318">
        <f>Glass!H95</f>
        <v>5.3569758863571098</v>
      </c>
      <c r="K580" s="1318">
        <v>0</v>
      </c>
      <c r="L580" s="1318">
        <f>Vehi_Plastics!AW129</f>
        <v>65.695186951291092</v>
      </c>
      <c r="M580" s="1318">
        <f>Vehi_Plastics!AU129</f>
        <v>62.15507872286797</v>
      </c>
      <c r="N580" s="1318">
        <f ca="1">Lead!E84</f>
        <v>6.022258909228297</v>
      </c>
      <c r="O580" s="1318">
        <f>Lead!G84</f>
        <v>6.8201279064497175E-2</v>
      </c>
      <c r="P580" s="1318">
        <f>SUM(Vehi_Fluids!B96:C96)*2000</f>
        <v>428.18206905342299</v>
      </c>
      <c r="Q580" s="1318">
        <f>Vehi_Plastics!BI129</f>
        <v>57.418470671363536</v>
      </c>
      <c r="R580" s="1318">
        <v>0</v>
      </c>
      <c r="S580" s="1318">
        <f>Vehi_Plastics!BO129</f>
        <v>13.523274390341395</v>
      </c>
      <c r="T580" s="1318">
        <f>Rubber!I89</f>
        <v>13.669263107476819</v>
      </c>
      <c r="U580" s="1318">
        <f ca="1">Silicon!B96</f>
        <v>2738.2868003915214</v>
      </c>
      <c r="V580" s="1318">
        <f>LiMn2O4!C114</f>
        <v>0.36164632018421883</v>
      </c>
      <c r="W580" s="1318">
        <f ca="1">Mat_Sum!B39*2000</f>
        <v>10.065947349317646</v>
      </c>
      <c r="X580" s="1318">
        <f ca="1">Mat_Sum!C39*2000</f>
        <v>8.2109759687031243</v>
      </c>
      <c r="Y580" s="1318">
        <f ca="1">Mat_Sum!D39*2000</f>
        <v>9.5762349048354132</v>
      </c>
      <c r="Z580" s="1318">
        <v>0</v>
      </c>
      <c r="AA580" s="1318">
        <f>Silicon!J96</f>
        <v>0.40701964307327887</v>
      </c>
      <c r="AB580" s="1318">
        <f ca="1">W.Al!W152</f>
        <v>3.2254562114037646</v>
      </c>
      <c r="AC580" s="1318">
        <f ca="1">Mat_Sum!U39*2000</f>
        <v>106.147072984912</v>
      </c>
      <c r="AD580" s="1318">
        <f>Mat_Sum!AH39*2000</f>
        <v>43.258236988018311</v>
      </c>
      <c r="AE580" s="1318">
        <f ca="1">Mat_Sum!AK39*2000</f>
        <v>71.162247931180815</v>
      </c>
      <c r="AF580" s="1318">
        <f ca="1">Mat_Sum!Z39*2000</f>
        <v>139.33679688005171</v>
      </c>
      <c r="AG580" s="1318">
        <f>Copper!B87</f>
        <v>3.3575594668629627</v>
      </c>
      <c r="AH580" s="1318">
        <v>75.198334932956428</v>
      </c>
      <c r="AI580" s="1318">
        <f>Battery_Materials!J113</f>
        <v>12.286422343110567</v>
      </c>
      <c r="AJ580" s="1318">
        <f>Molybdenum!D91</f>
        <v>92.093840801046298</v>
      </c>
      <c r="AK580" s="1318">
        <f>Platinum!N93</f>
        <v>2847.4501798385804</v>
      </c>
      <c r="AL580" s="1318">
        <f ca="1">Other_Cathodes!I174</f>
        <v>1.8151129329160509</v>
      </c>
      <c r="AM580" s="1318">
        <f>Manganese!B97</f>
        <v>8.0168918697045992</v>
      </c>
      <c r="AN580" s="1318">
        <f>Zinc!G96</f>
        <v>44.380439099313413</v>
      </c>
      <c r="AO580" s="1318">
        <f ca="1">Mat_Sum!AA39*2000</f>
        <v>74.001193073792876</v>
      </c>
      <c r="AP580" s="1318">
        <f ca="1">Other_Cathodes!B143</f>
        <v>9.1213664023828134</v>
      </c>
      <c r="AQ580" s="1318">
        <f>'FC Materials'!D80</f>
        <v>12.720165357290131</v>
      </c>
      <c r="AR580" s="1318">
        <f>LiMn2O4!K114</f>
        <v>8.6079898755767417</v>
      </c>
      <c r="AS580" s="2510">
        <f ca="1">W.Al!$B152</f>
        <v>0.29915834092700511</v>
      </c>
      <c r="AT580" s="2510">
        <f ca="1">Cobalt!$B141</f>
        <v>0.51037244457904729</v>
      </c>
      <c r="AU580" s="2510">
        <f>Glass!$B61</f>
        <v>9.7389547046221131E-2</v>
      </c>
      <c r="AV580" s="1318">
        <f>Platinum!H93</f>
        <v>2847.4501798385804</v>
      </c>
      <c r="AW580" s="1318">
        <f>Platinum!J93</f>
        <v>2847.4501798385804</v>
      </c>
      <c r="AX580" s="1318">
        <f>Platinum!L93</f>
        <v>2847.4501798385804</v>
      </c>
      <c r="AY580" s="1318">
        <f>SUM(Cement_Concrete!AI84:AL84)</f>
        <v>3.0075363180283272E-2</v>
      </c>
      <c r="AZ580" s="1318">
        <f>Vehi_Plastics!K129</f>
        <v>23.994924659896046</v>
      </c>
      <c r="BA580" s="1318">
        <f>SUM(Vehi_Fluids!B62:C62)</f>
        <v>27.634369770702303</v>
      </c>
      <c r="BB580" s="235">
        <f>Vehi_Fluids!$D62+0.667*Vehi_Fluids!$E62</f>
        <v>296.94675226391485</v>
      </c>
    </row>
    <row r="581" spans="1:54">
      <c r="A581" s="100" t="s">
        <v>2190</v>
      </c>
      <c r="B581" s="1318">
        <f ca="1">'C.Al'!I142</f>
        <v>74.051442821525228</v>
      </c>
      <c r="C581" s="1318">
        <f ca="1">'C.Al'!F178</f>
        <v>8.8804131901835586</v>
      </c>
      <c r="D581" s="1318">
        <v>0</v>
      </c>
      <c r="E581" s="1318">
        <f ca="1">'C.Iron'!J87</f>
        <v>2.8726627888804623</v>
      </c>
      <c r="F581" s="1318">
        <f>Cement_Concrete!J118</f>
        <v>30.22408507684441</v>
      </c>
      <c r="G581" s="1318">
        <f>Cement_Concrete!J151</f>
        <v>9.8050697700443763</v>
      </c>
      <c r="H581" s="1318">
        <f>Copper!K88</f>
        <v>26.61342922104938</v>
      </c>
      <c r="I581" s="1318">
        <v>0</v>
      </c>
      <c r="J581" s="1318">
        <f>Glass!H96</f>
        <v>4.7144760281821192</v>
      </c>
      <c r="K581" s="1318">
        <v>0</v>
      </c>
      <c r="L581" s="1318">
        <f>Vehi_Plastics!AW130</f>
        <v>54.097141663831714</v>
      </c>
      <c r="M581" s="1318">
        <f>Vehi_Plastics!AU130</f>
        <v>50.829604450695037</v>
      </c>
      <c r="N581" s="1318">
        <f ca="1">Lead!E85</f>
        <v>5.2948558872021998</v>
      </c>
      <c r="O581" s="1318">
        <f>Lead!G85</f>
        <v>6.0948886056913766E-2</v>
      </c>
      <c r="P581" s="1318">
        <f>SUM(Vehi_Fluids!B97:C97)*2000</f>
        <v>235.01449309420266</v>
      </c>
      <c r="Q581" s="1318">
        <f>Vehi_Plastics!BI130</f>
        <v>46.316502676409911</v>
      </c>
      <c r="R581" s="1318">
        <v>0</v>
      </c>
      <c r="S581" s="1318">
        <f>Vehi_Plastics!BO130</f>
        <v>11.911794663446571</v>
      </c>
      <c r="T581" s="1318">
        <f>Rubber!I90</f>
        <v>12.047681293992259</v>
      </c>
      <c r="U581" s="1318">
        <f ca="1">Silicon!B97</f>
        <v>2403.4550391862035</v>
      </c>
      <c r="V581" s="1318">
        <f>LiMn2O4!C115</f>
        <v>0.31726915113256571</v>
      </c>
      <c r="W581" s="1318">
        <f ca="1">Mat_Sum!B40*2000</f>
        <v>8.8565273461265512</v>
      </c>
      <c r="X581" s="1318">
        <f ca="1">Mat_Sum!C40*2000</f>
        <v>7.2218721097554512</v>
      </c>
      <c r="Y581" s="1318">
        <f ca="1">Mat_Sum!D40*2000</f>
        <v>8.4249783637245788</v>
      </c>
      <c r="Z581" s="1318">
        <v>0</v>
      </c>
      <c r="AA581" s="1318">
        <f>Silicon!J97</f>
        <v>0.35790460078472186</v>
      </c>
      <c r="AB581" s="1318">
        <f ca="1">W.Al!W153</f>
        <v>2.8412897676770714</v>
      </c>
      <c r="AC581" s="1318">
        <f ca="1">Mat_Sum!U40*2000</f>
        <v>91.265459316712324</v>
      </c>
      <c r="AD581" s="1318">
        <f>Mat_Sum!AH40*2000</f>
        <v>38.033261128619401</v>
      </c>
      <c r="AE581" s="1318">
        <f ca="1">Mat_Sum!AK40*2000</f>
        <v>62.605145302590373</v>
      </c>
      <c r="AF581" s="1318">
        <f ca="1">Mat_Sum!Z40*2000</f>
        <v>119.98044063589515</v>
      </c>
      <c r="AG581" s="1318">
        <f>Copper!B88</f>
        <v>2.9439949726242962</v>
      </c>
      <c r="AH581" s="1318">
        <v>53.165582141739428</v>
      </c>
      <c r="AI581" s="1318">
        <f>Battery_Materials!J114</f>
        <v>11.050435060867866</v>
      </c>
      <c r="AJ581" s="1318">
        <f>Molybdenum!D92</f>
        <v>79.992389328079412</v>
      </c>
      <c r="AK581" s="1318">
        <f>Platinum!N94</f>
        <v>2358.6304634659036</v>
      </c>
      <c r="AL581" s="1318">
        <f ca="1">Other_Cathodes!I175</f>
        <v>1.5876159114604076</v>
      </c>
      <c r="AM581" s="1318">
        <f>Manganese!B98</f>
        <v>7.0437354203987175</v>
      </c>
      <c r="AN581" s="1318">
        <f>Zinc!G97</f>
        <v>39.044506422510459</v>
      </c>
      <c r="AO581" s="1318">
        <f ca="1">Mat_Sum!AA40*2000</f>
        <v>63.61532736990452</v>
      </c>
      <c r="AP581" s="1318">
        <f ca="1">Other_Cathodes!B144</f>
        <v>8.0402312475820814</v>
      </c>
      <c r="AQ581" s="1318">
        <f>'FC Materials'!D81</f>
        <v>11.189808827244665</v>
      </c>
      <c r="AR581" s="1318">
        <f>LiMn2O4!K115</f>
        <v>7.9672711203755178</v>
      </c>
      <c r="AS581" s="2510">
        <f ca="1">W.Al!$B153</f>
        <v>0.26040897695807869</v>
      </c>
      <c r="AT581" s="2510">
        <f ca="1">Cobalt!$B142</f>
        <v>0.44884211578598654</v>
      </c>
      <c r="AU581" s="2510">
        <f>Glass!$B62</f>
        <v>8.4436878993417452E-2</v>
      </c>
      <c r="AV581" s="1318">
        <f>Platinum!H94</f>
        <v>2358.6304634659036</v>
      </c>
      <c r="AW581" s="1318">
        <f>Platinum!J94</f>
        <v>2358.6304634659036</v>
      </c>
      <c r="AX581" s="1318">
        <f>Platinum!L94</f>
        <v>2358.6304634659036</v>
      </c>
      <c r="AY581" s="1318">
        <f>SUM(Cement_Concrete!AI85:AL85)</f>
        <v>2.6320354679945306E-2</v>
      </c>
      <c r="AZ581" s="1318">
        <f>Vehi_Plastics!K130</f>
        <v>21.149343463760783</v>
      </c>
      <c r="BA581" s="1318">
        <f>SUM(Vehi_Fluids!B63:C63)</f>
        <v>25.000352829601859</v>
      </c>
      <c r="BB581" s="235">
        <f>Vehi_Fluids!$D63+0.667*Vehi_Fluids!$E63</f>
        <v>166.66008250928462</v>
      </c>
    </row>
    <row r="582" spans="1:54">
      <c r="A582" s="100" t="s">
        <v>1339</v>
      </c>
      <c r="B582" s="1318">
        <f ca="1">'C.Al'!I143</f>
        <v>841.89343562078989</v>
      </c>
      <c r="C582" s="1318">
        <f ca="1">'C.Al'!F179</f>
        <v>92.755470737530217</v>
      </c>
      <c r="D582" s="1318">
        <v>0</v>
      </c>
      <c r="E582" s="1318">
        <f ca="1">'C.Iron'!J88</f>
        <v>19.95321682011441</v>
      </c>
      <c r="F582" s="1318">
        <f>Cement_Concrete!J119</f>
        <v>77.328323874284493</v>
      </c>
      <c r="G582" s="1318">
        <f>Cement_Concrete!J152</f>
        <v>9.2805098508181576</v>
      </c>
      <c r="H582" s="1318">
        <f>Copper!K89</f>
        <v>238.11010375890879</v>
      </c>
      <c r="I582" s="1318">
        <v>0</v>
      </c>
      <c r="J582" s="1318">
        <f>Glass!H97</f>
        <v>39.59308817621482</v>
      </c>
      <c r="K582" s="1318">
        <v>0</v>
      </c>
      <c r="L582" s="1318">
        <f>Vehi_Plastics!AW131</f>
        <v>1258.7129959124811</v>
      </c>
      <c r="M582" s="1318">
        <f>Vehi_Plastics!AU131</f>
        <v>1212.8976040059381</v>
      </c>
      <c r="N582" s="1318">
        <f ca="1">Lead!E86</f>
        <v>42.472571389424346</v>
      </c>
      <c r="O582" s="1318">
        <f>Lead!G86</f>
        <v>0.19356747271688793</v>
      </c>
      <c r="P582" s="1318">
        <f>SUM(Vehi_Fluids!B98:C98)*2000</f>
        <v>5024.8339959194727</v>
      </c>
      <c r="Q582" s="1318">
        <f>Vehi_Plastics!BI131</f>
        <v>1127.3215476123755</v>
      </c>
      <c r="R582" s="1318">
        <v>0</v>
      </c>
      <c r="S582" s="1318">
        <f>Vehi_Plastics!BO131</f>
        <v>100.76330495583247</v>
      </c>
      <c r="T582" s="1318">
        <f>Rubber!I91</f>
        <v>67.21253795489524</v>
      </c>
      <c r="U582" s="1318">
        <f ca="1">Silicon!B98</f>
        <v>22378.572859711949</v>
      </c>
      <c r="V582" s="1318">
        <f>LiMn2O4!C116</f>
        <v>0.81705586183993817</v>
      </c>
      <c r="W582" s="1318">
        <f ca="1">Mat_Sum!B41*2000</f>
        <v>75.341006693254783</v>
      </c>
      <c r="X582" s="1318">
        <f ca="1">Mat_Sum!C41*2000</f>
        <v>61.207392561480717</v>
      </c>
      <c r="Y582" s="1318">
        <f ca="1">Mat_Sum!D41*2000</f>
        <v>71.609732562466434</v>
      </c>
      <c r="Z582" s="1318">
        <v>0</v>
      </c>
      <c r="AA582" s="1318">
        <f>Silicon!J98</f>
        <v>3.0290372328190922</v>
      </c>
      <c r="AB582" s="1318">
        <f ca="1">W.Al!W154</f>
        <v>20.128766849052976</v>
      </c>
      <c r="AC582" s="1318">
        <f ca="1">Mat_Sum!U41*2000</f>
        <v>907.27503925450162</v>
      </c>
      <c r="AD582" s="1318">
        <f>Mat_Sum!AH41*2000</f>
        <v>320.03581751316835</v>
      </c>
      <c r="AE582" s="1318">
        <f ca="1">Mat_Sum!AK41*2000</f>
        <v>530.60892126030842</v>
      </c>
      <c r="AF582" s="1318">
        <f ca="1">Mat_Sum!Z41*2000</f>
        <v>1144.8163655094866</v>
      </c>
      <c r="AG582" s="1318">
        <f>Copper!B89</f>
        <v>22.168724428740553</v>
      </c>
      <c r="AH582" s="1318">
        <v>796.67648018233626</v>
      </c>
      <c r="AI582" s="1318">
        <f>Battery_Materials!J115</f>
        <v>63.418319411778015</v>
      </c>
      <c r="AJ582" s="1318">
        <f>Molybdenum!D93</f>
        <v>354.03386550079824</v>
      </c>
      <c r="AK582" s="1318">
        <f>Platinum!N95</f>
        <v>31352.357078454846</v>
      </c>
      <c r="AL582" s="1318">
        <f ca="1">Other_Cathodes!I176</f>
        <v>12.657542206820134</v>
      </c>
      <c r="AM582" s="1318">
        <f>Manganese!B99</f>
        <v>57.731505854788466</v>
      </c>
      <c r="AN582" s="1318">
        <f>Zinc!G98</f>
        <v>279.72549816916387</v>
      </c>
      <c r="AO582" s="1318">
        <f ca="1">Mat_Sum!AA41*2000</f>
        <v>612.20735607906101</v>
      </c>
      <c r="AP582" s="1318">
        <f ca="1">Other_Cathodes!B145</f>
        <v>65.259786444342751</v>
      </c>
      <c r="AQ582" s="1318">
        <f>'FC Materials'!D82</f>
        <v>94.934519471501062</v>
      </c>
      <c r="AR582" s="1318">
        <f>LiMn2O4!K116</f>
        <v>35.339013538021113</v>
      </c>
      <c r="AS582" s="2510">
        <f ca="1">W.Al!$B154</f>
        <v>0.82797408805979944</v>
      </c>
      <c r="AT582" s="2510">
        <f ca="1">Cobalt!$B143</f>
        <v>3.8015167274334747</v>
      </c>
      <c r="AU582" s="2510">
        <f>Glass!$B63</f>
        <v>0.32179573041890042</v>
      </c>
      <c r="AV582" s="1318">
        <f>Platinum!H95</f>
        <v>31352.357078454846</v>
      </c>
      <c r="AW582" s="1318">
        <f>Platinum!J95</f>
        <v>31352.357078454846</v>
      </c>
      <c r="AX582" s="1318">
        <f>Platinum!L95</f>
        <v>31352.357078454846</v>
      </c>
      <c r="AY582" s="1318">
        <f>SUM(Cement_Concrete!AI86:AL86)</f>
        <v>0.17367205953986145</v>
      </c>
      <c r="AZ582" s="1318">
        <f>Vehi_Plastics!K131</f>
        <v>155.09698683257568</v>
      </c>
      <c r="BA582" s="1318">
        <f>SUM(Vehi_Fluids!B64:C64)</f>
        <v>52.66647133617515</v>
      </c>
      <c r="BB582" s="235">
        <f>Vehi_Fluids!$D64+0.667*Vehi_Fluids!$E64</f>
        <v>3370.9341546919313</v>
      </c>
    </row>
    <row r="583" spans="1:54">
      <c r="A583" s="100" t="s">
        <v>2191</v>
      </c>
      <c r="B583" s="1318">
        <f ca="1">'C.Al'!I144</f>
        <v>3.8274061115529214</v>
      </c>
      <c r="C583" s="1318">
        <f ca="1">'C.Al'!F180</f>
        <v>0.47779595004002695</v>
      </c>
      <c r="D583" s="1318">
        <v>0</v>
      </c>
      <c r="E583" s="1318">
        <f ca="1">'C.Iron'!J89</f>
        <v>0.20643588578518896</v>
      </c>
      <c r="F583" s="1318">
        <f>Cement_Concrete!J120</f>
        <v>0.93564369798685521</v>
      </c>
      <c r="G583" s="1318">
        <f>Cement_Concrete!J153</f>
        <v>0.327036467550604</v>
      </c>
      <c r="H583" s="1318">
        <f>Copper!K90</f>
        <v>1.4685222426402935</v>
      </c>
      <c r="I583" s="1318">
        <v>0</v>
      </c>
      <c r="J583" s="1318">
        <f>Glass!H98</f>
        <v>0.25910511029243921</v>
      </c>
      <c r="K583" s="1318">
        <v>0</v>
      </c>
      <c r="L583" s="1318">
        <f>Vehi_Plastics!AW132</f>
        <v>4.3246036427758909</v>
      </c>
      <c r="M583" s="1318">
        <f>Vehi_Plastics!AU132</f>
        <v>4.0765295655388005</v>
      </c>
      <c r="N583" s="1318">
        <f ca="1">Lead!E87</f>
        <v>0.29765926967372769</v>
      </c>
      <c r="O583" s="1318">
        <f>Lead!G87</f>
        <v>5.7471290997325678E-3</v>
      </c>
      <c r="P583" s="1318">
        <f>SUM(Vehi_Fluids!B99:C99)*2000</f>
        <v>16.417000466082687</v>
      </c>
      <c r="Q583" s="1318">
        <f>Vehi_Plastics!BI132</f>
        <v>3.407838497675947</v>
      </c>
      <c r="R583" s="1318">
        <v>0</v>
      </c>
      <c r="S583" s="1318">
        <f>Vehi_Plastics!BO132</f>
        <v>0.68078105517442034</v>
      </c>
      <c r="T583" s="1318">
        <f>Rubber!I92</f>
        <v>0.98760983473058328</v>
      </c>
      <c r="U583" s="1318">
        <f ca="1">Silicon!B99</f>
        <v>128.88577721810393</v>
      </c>
      <c r="V583" s="1318">
        <f>LiMn2O4!C117</f>
        <v>3.5430452542964348E-2</v>
      </c>
      <c r="W583" s="1318">
        <f ca="1">Mat_Sum!B42*2000</f>
        <v>0.45677464729850714</v>
      </c>
      <c r="X583" s="1318">
        <f ca="1">Mat_Sum!C42*2000</f>
        <v>0.37631006501697473</v>
      </c>
      <c r="Y583" s="1318">
        <f ca="1">Mat_Sum!D42*2000</f>
        <v>0.43553199757618261</v>
      </c>
      <c r="Z583" s="1318">
        <v>0</v>
      </c>
      <c r="AA583" s="1318">
        <f>Silicon!J99</f>
        <v>1.844494309188761E-2</v>
      </c>
      <c r="AB583" s="1318">
        <f ca="1">W.Al!W155</f>
        <v>0.19898887182072814</v>
      </c>
      <c r="AC583" s="1318">
        <f ca="1">Mat_Sum!U42*2000</f>
        <v>4.9647832757327262</v>
      </c>
      <c r="AD583" s="1318">
        <f>Mat_Sum!AH42*2000</f>
        <v>1.9848732740248223</v>
      </c>
      <c r="AE583" s="1318">
        <f ca="1">Mat_Sum!AK42*2000</f>
        <v>3.3162068973661256</v>
      </c>
      <c r="AF583" s="1318">
        <f ca="1">Mat_Sum!Z42*2000</f>
        <v>7.124980100297071</v>
      </c>
      <c r="AG583" s="1318">
        <f>Copper!B90</f>
        <v>0.18526858950776376</v>
      </c>
      <c r="AH583" s="1318">
        <v>4.6475816040411928</v>
      </c>
      <c r="AI583" s="1318">
        <f>Battery_Materials!J116</f>
        <v>0.67997285414770547</v>
      </c>
      <c r="AJ583" s="1318">
        <f>Molybdenum!D94</f>
        <v>8.0665071523989891</v>
      </c>
      <c r="AK583" s="1318">
        <f>Platinum!N96</f>
        <v>104.22047793191004</v>
      </c>
      <c r="AL583" s="1318">
        <f ca="1">Other_Cathodes!I177</f>
        <v>0.19001436355953366</v>
      </c>
      <c r="AM583" s="1318">
        <f>Manganese!B100</f>
        <v>0.38598125094743196</v>
      </c>
      <c r="AN583" s="1318">
        <f>Zinc!G99</f>
        <v>2.4954617998684769</v>
      </c>
      <c r="AO583" s="1318">
        <f ca="1">Mat_Sum!AA42*2000</f>
        <v>3.7611719400963954</v>
      </c>
      <c r="AP583" s="1318">
        <f ca="1">Other_Cathodes!B146</f>
        <v>0.49428851714751615</v>
      </c>
      <c r="AQ583" s="1318">
        <f>'FC Materials'!D83</f>
        <v>0.58770858831997552</v>
      </c>
      <c r="AR583" s="1318">
        <f>LiMn2O4!K117</f>
        <v>0.60552266139769584</v>
      </c>
      <c r="AS583" s="2510">
        <f ca="1">W.Al!$B155</f>
        <v>2.8979248999643329E-2</v>
      </c>
      <c r="AT583" s="2510">
        <f ca="1">Cobalt!$B144</f>
        <v>2.326692099519698E-2</v>
      </c>
      <c r="AU583" s="2510">
        <f>Glass!$B64</f>
        <v>9.148555262913147E-3</v>
      </c>
      <c r="AV583" s="1318">
        <f>Platinum!H96</f>
        <v>104.22047793191004</v>
      </c>
      <c r="AW583" s="1318">
        <f>Platinum!J96</f>
        <v>104.22047793191004</v>
      </c>
      <c r="AX583" s="1318">
        <f>Platinum!L96</f>
        <v>104.22047793191004</v>
      </c>
      <c r="AY583" s="1318">
        <f>SUM(Cement_Concrete!AI87:AL87)</f>
        <v>1.9361831911423393E-3</v>
      </c>
      <c r="AZ583" s="1318">
        <f>Vehi_Plastics!K132</f>
        <v>1.443489246285212</v>
      </c>
      <c r="BA583" s="1318">
        <f>SUM(Vehi_Fluids!B65:C65)</f>
        <v>2.166216636388504</v>
      </c>
      <c r="BB583" s="235">
        <f>Vehi_Fluids!$D65+0.667*Vehi_Fluids!$E65</f>
        <v>12.083330834998884</v>
      </c>
    </row>
    <row r="584" spans="1:54">
      <c r="A584" s="484" t="s">
        <v>2192</v>
      </c>
      <c r="B584" s="231">
        <f ca="1">'C.Al'!I145</f>
        <v>10.389072486364237</v>
      </c>
      <c r="C584" s="231">
        <f ca="1">'C.Al'!F181</f>
        <v>1.6870205497658977</v>
      </c>
      <c r="D584" s="231">
        <v>0</v>
      </c>
      <c r="E584" s="231">
        <f ca="1">'C.Iron'!J90</f>
        <v>0.80045406307377931</v>
      </c>
      <c r="F584" s="231">
        <f>Cement_Concrete!J121</f>
        <v>3.6992944575273268</v>
      </c>
      <c r="G584" s="231">
        <f>Cement_Concrete!J154</f>
        <v>0.79605628235508474</v>
      </c>
      <c r="H584" s="231">
        <f>Copper!K91</f>
        <v>6.4379086818841351</v>
      </c>
      <c r="I584" s="231">
        <v>0</v>
      </c>
      <c r="J584" s="231">
        <f>Glass!H99</f>
        <v>1.3470902116111614</v>
      </c>
      <c r="K584" s="231">
        <v>0</v>
      </c>
      <c r="L584" s="231">
        <f>Vehi_Plastics!AW133</f>
        <v>15.720433914821463</v>
      </c>
      <c r="M584" s="231">
        <f>Vehi_Plastics!AU133</f>
        <v>14.672740436746155</v>
      </c>
      <c r="N584" s="231">
        <f ca="1">Lead!E88</f>
        <v>1.5190506175169016</v>
      </c>
      <c r="O584" s="231">
        <f>Lead!G88</f>
        <v>2.5778809296269703E-2</v>
      </c>
      <c r="P584" s="231">
        <f>SUM(Vehi_Fluids!B100:C100)*2000</f>
        <v>13.581891641907873</v>
      </c>
      <c r="Q584" s="231">
        <f>Vehi_Plastics!BI133</f>
        <v>8.1916422705276979</v>
      </c>
      <c r="R584" s="231">
        <v>0</v>
      </c>
      <c r="S584" s="231">
        <f>Vehi_Plastics!BO133</f>
        <v>3.421357167612987</v>
      </c>
      <c r="T584" s="231">
        <f>Rubber!I93</f>
        <v>2.7211011463969705</v>
      </c>
      <c r="U584" s="231">
        <f ca="1">Silicon!B100</f>
        <v>690.33519996647055</v>
      </c>
      <c r="V584" s="231">
        <f>LiMn2O4!C118</f>
        <v>6.9689547332884086E-2</v>
      </c>
      <c r="W584" s="231">
        <f ca="1">Mat_Sum!B43*2000</f>
        <v>2.610861215415321</v>
      </c>
      <c r="X584" s="231">
        <f ca="1">Mat_Sum!C43*2000</f>
        <v>2.0675407157795114</v>
      </c>
      <c r="Y584" s="231">
        <f ca="1">Mat_Sum!D43*2000</f>
        <v>2.4674246035114673</v>
      </c>
      <c r="Z584" s="231">
        <v>0</v>
      </c>
      <c r="AA584" s="231">
        <f>Silicon!J100</f>
        <v>0.1023623945723063</v>
      </c>
      <c r="AB584" s="231">
        <f ca="1">W.Al!W156</f>
        <v>0.73656889657429858</v>
      </c>
      <c r="AC584" s="231">
        <f ca="1">Mat_Sum!U43*2000</f>
        <v>18.762641599906956</v>
      </c>
      <c r="AD584" s="231">
        <f>Mat_Sum!AH43*2000</f>
        <v>10.846521416379021</v>
      </c>
      <c r="AE584" s="231">
        <f ca="1">Mat_Sum!AK43*2000</f>
        <v>17.929298647119897</v>
      </c>
      <c r="AF584" s="231">
        <f ca="1">Mat_Sum!Z43*2000</f>
        <v>24.696511883312915</v>
      </c>
      <c r="AG584" s="231">
        <f>Copper!B91</f>
        <v>0.79507159955930407</v>
      </c>
      <c r="AH584" s="231">
        <v>4.3811871302053049</v>
      </c>
      <c r="AI584" s="231">
        <f>Battery_Materials!J117</f>
        <v>2.5880530714122703</v>
      </c>
      <c r="AJ584" s="231">
        <f>Molybdenum!D95</f>
        <v>17.361400968569765</v>
      </c>
      <c r="AK584" s="231">
        <f>Platinum!N97</f>
        <v>198.6573690241805</v>
      </c>
      <c r="AL584" s="231">
        <f ca="1">Other_Cathodes!I178</f>
        <v>0.53804179410812902</v>
      </c>
      <c r="AM584" s="231">
        <f>Manganese!B101</f>
        <v>1.9824033567699932</v>
      </c>
      <c r="AN584" s="231">
        <f>Zinc!G100</f>
        <v>10.170416119982619</v>
      </c>
      <c r="AO584" s="231">
        <f ca="1">Mat_Sum!AA43*2000</f>
        <v>12.663237140327851</v>
      </c>
      <c r="AP584" s="231">
        <f ca="1">Other_Cathodes!B147</f>
        <v>2.3344081464352526</v>
      </c>
      <c r="AQ584" s="231">
        <f>'FC Materials'!D84</f>
        <v>3.2058249334199571</v>
      </c>
      <c r="AR584" s="231">
        <f>LiMn2O4!K118</f>
        <v>2.157620944481847</v>
      </c>
      <c r="AS584" s="2514">
        <f ca="1">W.Al!$B156</f>
        <v>4.9255394015787074E-2</v>
      </c>
      <c r="AT584" s="2514">
        <f ca="1">Cobalt!$B145</f>
        <v>0.12843831370588391</v>
      </c>
      <c r="AU584" s="2514">
        <f>Glass!$B65</f>
        <v>1.7438730344888433E-2</v>
      </c>
      <c r="AV584" s="231">
        <f>Platinum!H97</f>
        <v>198.6573690241805</v>
      </c>
      <c r="AW584" s="231">
        <f>Platinum!J97</f>
        <v>198.6573690241805</v>
      </c>
      <c r="AX584" s="231">
        <f>Platinum!L97</f>
        <v>198.6573690241805</v>
      </c>
      <c r="AY584" s="231">
        <f>SUM(Cement_Concrete!AI88:AL88)</f>
        <v>6.6592253193970656E-3</v>
      </c>
      <c r="AZ584" s="231">
        <f>Vehi_Plastics!K133</f>
        <v>5.6088677591072376</v>
      </c>
      <c r="BA584" s="231">
        <f>SUM(Vehi_Fluids!B66:C66)</f>
        <v>7.304668983264146</v>
      </c>
      <c r="BB584" s="237">
        <f>Vehi_Fluids!$D66+0.667*Vehi_Fluids!$E66</f>
        <v>10.574297576171478</v>
      </c>
    </row>
    <row r="585" spans="1:54">
      <c r="AR585" s="1836"/>
      <c r="AS585" s="2515"/>
      <c r="AT585" s="2515"/>
      <c r="AU585" s="2515"/>
    </row>
    <row r="586" spans="1:54" ht="15.75">
      <c r="A586" s="133" t="s">
        <v>2317</v>
      </c>
      <c r="B586" s="8"/>
      <c r="C586" s="8"/>
      <c r="D586" s="8"/>
      <c r="E586" s="8"/>
      <c r="F586" s="8"/>
      <c r="G586" s="8"/>
      <c r="H586" s="8"/>
      <c r="I586" s="8"/>
      <c r="J586" s="8"/>
      <c r="K586" s="8"/>
      <c r="L586" s="8"/>
      <c r="M586" s="8"/>
      <c r="N586" s="8"/>
      <c r="O586" s="8"/>
      <c r="P586" s="8"/>
      <c r="Q586" s="8"/>
      <c r="R586" s="8"/>
      <c r="S586" s="8"/>
      <c r="T586" s="8"/>
      <c r="U586" s="8"/>
      <c r="V586" s="8"/>
      <c r="W586" s="8"/>
      <c r="X586" s="8"/>
      <c r="Y586" s="8"/>
      <c r="Z586" s="8"/>
      <c r="AA586" s="8"/>
    </row>
    <row r="587" spans="1:54">
      <c r="A587" s="8"/>
      <c r="B587" s="8"/>
      <c r="C587" s="8"/>
      <c r="D587" s="8"/>
      <c r="E587" s="8"/>
      <c r="F587" s="8"/>
      <c r="G587" s="8"/>
      <c r="H587" s="8"/>
      <c r="I587" s="8"/>
      <c r="J587" s="8"/>
      <c r="K587" s="8"/>
      <c r="L587" s="8"/>
      <c r="M587" s="8"/>
      <c r="N587" s="8"/>
      <c r="O587" s="8"/>
      <c r="P587" s="8"/>
      <c r="Q587" s="8"/>
      <c r="R587" s="8"/>
      <c r="S587" s="8"/>
      <c r="T587" s="8"/>
      <c r="U587" s="8"/>
      <c r="V587" s="8"/>
      <c r="W587" s="8"/>
      <c r="X587" s="8"/>
      <c r="Y587" s="8"/>
      <c r="Z587" s="8"/>
      <c r="AA587" s="8"/>
    </row>
    <row r="588" spans="1:54">
      <c r="A588" s="63" t="s">
        <v>2318</v>
      </c>
      <c r="B588" s="8"/>
      <c r="C588" s="8"/>
      <c r="D588" s="8"/>
      <c r="E588" s="8"/>
      <c r="F588" s="8"/>
      <c r="G588" s="8"/>
      <c r="H588" s="8"/>
      <c r="I588" s="8"/>
      <c r="J588" s="8"/>
      <c r="K588" s="8"/>
      <c r="L588" s="8"/>
      <c r="M588" s="8"/>
      <c r="N588" s="8"/>
      <c r="O588" s="8"/>
      <c r="P588" s="8"/>
      <c r="Q588" s="8"/>
      <c r="R588" s="8"/>
      <c r="S588" s="8"/>
      <c r="T588" s="8"/>
      <c r="U588" s="8"/>
      <c r="V588" s="8"/>
      <c r="W588" s="8"/>
      <c r="X588" s="8"/>
      <c r="Y588" s="8"/>
      <c r="Z588" s="8"/>
      <c r="AA588" s="8"/>
    </row>
    <row r="589" spans="1:54">
      <c r="A589" s="8"/>
      <c r="B589" s="8"/>
      <c r="C589" s="8"/>
      <c r="D589" s="8"/>
      <c r="E589" s="8"/>
      <c r="F589" s="8"/>
      <c r="G589" s="8"/>
      <c r="H589" s="8"/>
      <c r="I589" s="8"/>
      <c r="J589" s="8"/>
      <c r="K589" s="8"/>
      <c r="L589" s="8"/>
      <c r="M589" s="8"/>
      <c r="N589" s="8"/>
      <c r="O589" s="8"/>
      <c r="P589" s="8"/>
      <c r="Q589" s="8"/>
      <c r="R589" s="8"/>
      <c r="S589" s="8"/>
      <c r="T589" s="8"/>
      <c r="U589" s="8"/>
      <c r="V589" s="8"/>
      <c r="W589" s="8"/>
      <c r="X589" s="8"/>
      <c r="Y589" s="8"/>
      <c r="Z589" s="8"/>
      <c r="AA589" s="8"/>
    </row>
    <row r="590" spans="1:54">
      <c r="A590" s="63" t="str" cm="1">
        <f t="array" ref="A590" xml:space="preserve"> [1]!RNAV_MVV_CIDI_Diesel</f>
        <v>CIDI Medium Heavy-Duty Vocational Vehicles: Conventional and LS Diesel</v>
      </c>
      <c r="B590" s="8"/>
      <c r="C590" s="8"/>
      <c r="D590" s="8"/>
      <c r="E590" s="8"/>
      <c r="F590" s="8"/>
      <c r="G590" s="63" t="str" cm="1">
        <f t="array" ref="G590" xml:space="preserve"> [1]!RNAV_MVV_CIDIHEV_Diesel</f>
        <v>Grid-Independent Hybrid Medium Heavy-Duty Vocational Vehicles: Conventional and LS Diesel</v>
      </c>
      <c r="H590" s="8"/>
      <c r="I590" s="8"/>
      <c r="J590" s="8"/>
      <c r="K590" s="8"/>
      <c r="L590" s="8"/>
      <c r="M590" s="63" t="str" cm="1">
        <f t="array" ref="M590" xml:space="preserve"> [1]!RNAV_MVT_BEV</f>
        <v>Medium Heavy-Duty Vocational Vehicles: Electricity, NGCC Turbine</v>
      </c>
      <c r="N590" s="8"/>
      <c r="O590" s="8"/>
      <c r="P590" s="8"/>
      <c r="Q590" s="8"/>
      <c r="R590" s="8"/>
      <c r="S590" s="2730" t="str" cm="1">
        <f t="array" ref="S590" xml:space="preserve"> [1]!RNAV_MVV_FC_GH2</f>
        <v>Fuel-Cell Medium Heavy-Duty Vocational Vehicles: G.H2, Central Plants, NA NG</v>
      </c>
      <c r="T590" s="8"/>
      <c r="U590" s="8"/>
      <c r="V590" s="8"/>
      <c r="W590" s="8"/>
      <c r="X590" s="8"/>
      <c r="Y590" s="8"/>
      <c r="Z590" s="8"/>
      <c r="AA590" s="8"/>
    </row>
    <row r="591" spans="1:54">
      <c r="A591" s="135"/>
      <c r="B591" s="2731" t="str">
        <f xml:space="preserve"> [1]HDV_WTW!B1126</f>
        <v>Btu/mile or Gallon/mile or g/mile</v>
      </c>
      <c r="C591" s="2530"/>
      <c r="D591" s="2530"/>
      <c r="E591" s="2531"/>
      <c r="F591" s="8"/>
      <c r="G591" s="135"/>
      <c r="H591" s="2731" t="str">
        <f xml:space="preserve"> [1]HDV_WTW!B1276</f>
        <v>Btu/mile or Gallon/mile or g/mile</v>
      </c>
      <c r="I591" s="2530"/>
      <c r="J591" s="2530"/>
      <c r="K591" s="2531"/>
      <c r="L591" s="8"/>
      <c r="M591" s="135"/>
      <c r="N591" s="2731" t="str">
        <f xml:space="preserve"> [1]HDV_WTW!B1426</f>
        <v>Btu/mile or Gallon/mile or g/mile</v>
      </c>
      <c r="O591" s="2530"/>
      <c r="P591" s="2530"/>
      <c r="Q591" s="2531"/>
      <c r="R591" s="8"/>
      <c r="S591" s="135"/>
      <c r="T591" s="2731" t="str">
        <f xml:space="preserve"> [1]HDV_WTW!B1396</f>
        <v>Btu/mile or Gallon/mile or g/mile</v>
      </c>
      <c r="U591" s="2530"/>
      <c r="V591" s="2530"/>
      <c r="W591" s="2531"/>
      <c r="X591" s="8"/>
      <c r="Y591" s="8"/>
      <c r="Z591" s="8"/>
      <c r="AA591" s="8"/>
    </row>
    <row r="592" spans="1:54" ht="25.5">
      <c r="A592" s="161" t="s">
        <v>1923</v>
      </c>
      <c r="B592" s="774" t="s">
        <v>2077</v>
      </c>
      <c r="C592" s="2732" t="s">
        <v>1971</v>
      </c>
      <c r="D592" s="2732" t="s">
        <v>1926</v>
      </c>
      <c r="E592" s="775" t="s">
        <v>1894</v>
      </c>
      <c r="F592" s="8"/>
      <c r="G592" s="161" t="s">
        <v>1923</v>
      </c>
      <c r="H592" s="774" t="s">
        <v>2077</v>
      </c>
      <c r="I592" s="2732" t="s">
        <v>1971</v>
      </c>
      <c r="J592" s="2732" t="s">
        <v>1926</v>
      </c>
      <c r="K592" s="775" t="s">
        <v>1894</v>
      </c>
      <c r="L592" s="8"/>
      <c r="M592" s="161" t="s">
        <v>1923</v>
      </c>
      <c r="N592" s="774" t="s">
        <v>2077</v>
      </c>
      <c r="O592" s="2732" t="s">
        <v>1971</v>
      </c>
      <c r="P592" s="2732" t="s">
        <v>1926</v>
      </c>
      <c r="Q592" s="775" t="s">
        <v>1894</v>
      </c>
      <c r="R592" s="8"/>
      <c r="S592" s="161" t="s">
        <v>1923</v>
      </c>
      <c r="T592" s="774" t="s">
        <v>2077</v>
      </c>
      <c r="U592" s="2732" t="s">
        <v>1971</v>
      </c>
      <c r="V592" s="2732" t="s">
        <v>1926</v>
      </c>
      <c r="W592" s="775" t="s">
        <v>1894</v>
      </c>
      <c r="X592" s="8"/>
      <c r="Y592" s="8"/>
      <c r="Z592" s="8"/>
      <c r="AA592" s="8"/>
    </row>
    <row r="593" spans="1:27">
      <c r="A593" s="160" t="s">
        <v>2105</v>
      </c>
      <c r="B593" s="2733">
        <f xml:space="preserve"> [1]HDV_WTW!B1128</f>
        <v>1287.0269553807836</v>
      </c>
      <c r="C593" s="2734">
        <f xml:space="preserve"> [1]HDV_WTW!C1128</f>
        <v>2368.9791357585304</v>
      </c>
      <c r="D593" s="2734">
        <f xml:space="preserve"> [1]HDV_WTW!D1128</f>
        <v>20015.735501409781</v>
      </c>
      <c r="E593" s="2735">
        <f xml:space="preserve"> [1]HDV_WTW!E1128</f>
        <v>23671.741592549093</v>
      </c>
      <c r="F593" s="8"/>
      <c r="G593" s="160" t="s">
        <v>2105</v>
      </c>
      <c r="H593" s="2733">
        <f xml:space="preserve"> [1]HDV_WTW!B1278</f>
        <v>840.83146880627146</v>
      </c>
      <c r="I593" s="2734">
        <f xml:space="preserve"> [1]HDV_WTW!C1278</f>
        <v>1547.6849167482458</v>
      </c>
      <c r="J593" s="2734">
        <f xml:space="preserve"> [1]HDV_WTW!D1278</f>
        <v>13076.540635397092</v>
      </c>
      <c r="K593" s="2735">
        <f xml:space="preserve"> [1]HDV_WTW!E1278</f>
        <v>15465.057020951608</v>
      </c>
      <c r="L593" s="8"/>
      <c r="M593" s="160" t="s">
        <v>2105</v>
      </c>
      <c r="N593" s="2733">
        <f xml:space="preserve"> [1]HDV_WTW!B1428</f>
        <v>902.58556632042075</v>
      </c>
      <c r="O593" s="2734">
        <f xml:space="preserve"> [1]HDV_WTW!C1428</f>
        <v>5153.0101367826283</v>
      </c>
      <c r="P593" s="2734">
        <f xml:space="preserve"> [1]HDV_WTW!D1428</f>
        <v>4969.5822762324005</v>
      </c>
      <c r="Q593" s="2735">
        <f xml:space="preserve"> [1]HDV_WTW!E1428</f>
        <v>11025.177979335451</v>
      </c>
      <c r="R593" s="8"/>
      <c r="S593" s="160" t="s">
        <v>2105</v>
      </c>
      <c r="T593" s="2733">
        <f xml:space="preserve"> [1]HDV_WTW!B1398</f>
        <v>496.6176027920726</v>
      </c>
      <c r="U593" s="2734">
        <f xml:space="preserve"> [1]HDV_WTW!C1398</f>
        <v>3682.2534954505591</v>
      </c>
      <c r="V593" s="2734">
        <f xml:space="preserve"> [1]HDV_WTW!D1398</f>
        <v>7951.4806893263722</v>
      </c>
      <c r="W593" s="2735">
        <f xml:space="preserve"> [1]HDV_WTW!E1398</f>
        <v>12130.351787569005</v>
      </c>
      <c r="X593" s="8"/>
      <c r="Y593" s="8"/>
      <c r="Z593" s="8"/>
      <c r="AA593" s="8"/>
    </row>
    <row r="594" spans="1:27">
      <c r="A594" s="160" t="s">
        <v>2106</v>
      </c>
      <c r="B594" s="650">
        <f xml:space="preserve"> [1]HDV_WTW!B1129</f>
        <v>1209.0407270641263</v>
      </c>
      <c r="C594" s="522">
        <f xml:space="preserve"> [1]HDV_WTW!C1129</f>
        <v>2332.9867650158189</v>
      </c>
      <c r="D594" s="522">
        <f xml:space="preserve"> [1]HDV_WTW!D1129</f>
        <v>20015.735501409781</v>
      </c>
      <c r="E594" s="159">
        <f xml:space="preserve"> [1]HDV_WTW!E1129</f>
        <v>23557.762993489727</v>
      </c>
      <c r="F594" s="8"/>
      <c r="G594" s="160" t="s">
        <v>2106</v>
      </c>
      <c r="H594" s="650">
        <f xml:space="preserve"> [1]HDV_WTW!B1279</f>
        <v>789.88205035935505</v>
      </c>
      <c r="I594" s="522">
        <f xml:space="preserve"> [1]HDV_WTW!C1279</f>
        <v>1524.1706322720052</v>
      </c>
      <c r="J594" s="522">
        <f xml:space="preserve"> [1]HDV_WTW!D1279</f>
        <v>13076.540635397092</v>
      </c>
      <c r="K594" s="159">
        <f xml:space="preserve"> [1]HDV_WTW!E1279</f>
        <v>15390.593318028452</v>
      </c>
      <c r="L594" s="8"/>
      <c r="M594" s="160" t="s">
        <v>2106</v>
      </c>
      <c r="N594" s="650">
        <f xml:space="preserve"> [1]HDV_WTW!B1429</f>
        <v>896.17975631895411</v>
      </c>
      <c r="O594" s="522">
        <f xml:space="preserve"> [1]HDV_WTW!C1429</f>
        <v>5153.0101367826273</v>
      </c>
      <c r="P594" s="522">
        <f xml:space="preserve"> [1]HDV_WTW!D1429</f>
        <v>4969.5822762324015</v>
      </c>
      <c r="Q594" s="159">
        <f xml:space="preserve"> [1]HDV_WTW!E1429</f>
        <v>11018.772169333983</v>
      </c>
      <c r="R594" s="8"/>
      <c r="S594" s="160" t="s">
        <v>2106</v>
      </c>
      <c r="T594" s="650">
        <f xml:space="preserve"> [1]HDV_WTW!B1399</f>
        <v>493.13243509752897</v>
      </c>
      <c r="U594" s="522">
        <f xml:space="preserve"> [1]HDV_WTW!C1399</f>
        <v>3310.5340721218381</v>
      </c>
      <c r="V594" s="522">
        <f xml:space="preserve"> [1]HDV_WTW!D1399</f>
        <v>7951.4806893263722</v>
      </c>
      <c r="W594" s="159">
        <f xml:space="preserve"> [1]HDV_WTW!E1399</f>
        <v>11755.147196545739</v>
      </c>
      <c r="X594" s="8"/>
      <c r="Y594" s="8"/>
      <c r="Z594" s="8"/>
      <c r="AA594" s="8"/>
    </row>
    <row r="595" spans="1:27">
      <c r="A595" s="160" t="s">
        <v>442</v>
      </c>
      <c r="B595" s="650">
        <f xml:space="preserve"> [1]HDV_WTW!B1130</f>
        <v>97.322904399229714</v>
      </c>
      <c r="C595" s="522">
        <f xml:space="preserve"> [1]HDV_WTW!C1130</f>
        <v>47.382185571453796</v>
      </c>
      <c r="D595" s="522">
        <f xml:space="preserve"> [1]HDV_WTW!D1130</f>
        <v>0</v>
      </c>
      <c r="E595" s="159">
        <f xml:space="preserve"> [1]HDV_WTW!E1130</f>
        <v>144.7050899706835</v>
      </c>
      <c r="F595" s="8"/>
      <c r="G595" s="160" t="s">
        <v>442</v>
      </c>
      <c r="H595" s="650">
        <f xml:space="preserve"> [1]HDV_WTW!B1280</f>
        <v>63.582320721702011</v>
      </c>
      <c r="I595" s="522">
        <f xml:space="preserve"> [1]HDV_WTW!C1280</f>
        <v>30.955398814867483</v>
      </c>
      <c r="J595" s="522">
        <f xml:space="preserve"> [1]HDV_WTW!D1280</f>
        <v>0</v>
      </c>
      <c r="K595" s="159">
        <f xml:space="preserve"> [1]HDV_WTW!E1280</f>
        <v>94.537719536569497</v>
      </c>
      <c r="L595" s="8"/>
      <c r="M595" s="160" t="s">
        <v>442</v>
      </c>
      <c r="N595" s="650">
        <f xml:space="preserve"> [1]HDV_WTW!B1430</f>
        <v>8.4566565406884671</v>
      </c>
      <c r="O595" s="522">
        <f xml:space="preserve"> [1]HDV_WTW!C1430</f>
        <v>0</v>
      </c>
      <c r="P595" s="522">
        <f xml:space="preserve"> [1]HDV_WTW!D1430</f>
        <v>0</v>
      </c>
      <c r="Q595" s="159">
        <f xml:space="preserve"> [1]HDV_WTW!E1430</f>
        <v>8.4566565406884671</v>
      </c>
      <c r="R595" s="8"/>
      <c r="S595" s="160" t="s">
        <v>442</v>
      </c>
      <c r="T595" s="650">
        <f xml:space="preserve"> [1]HDV_WTW!B1400</f>
        <v>4.5998546227782704</v>
      </c>
      <c r="U595" s="522">
        <f xml:space="preserve"> [1]HDV_WTW!C1400</f>
        <v>491.38127575235018</v>
      </c>
      <c r="V595" s="522">
        <f xml:space="preserve"> [1]HDV_WTW!D1400</f>
        <v>0</v>
      </c>
      <c r="W595" s="159">
        <f xml:space="preserve"> [1]HDV_WTW!E1400</f>
        <v>495.98113037512843</v>
      </c>
      <c r="X595" s="8"/>
      <c r="Y595" s="8"/>
      <c r="Z595" s="8"/>
      <c r="AA595" s="8"/>
    </row>
    <row r="596" spans="1:27">
      <c r="A596" s="160" t="s">
        <v>2017</v>
      </c>
      <c r="B596" s="650">
        <f xml:space="preserve"> [1]HDV_WTW!B1131</f>
        <v>891.53229556236477</v>
      </c>
      <c r="C596" s="522">
        <f xml:space="preserve"> [1]HDV_WTW!C1131</f>
        <v>1575.8149027552463</v>
      </c>
      <c r="D596" s="522">
        <f xml:space="preserve"> [1]HDV_WTW!D1131</f>
        <v>0</v>
      </c>
      <c r="E596" s="159">
        <f xml:space="preserve"> [1]HDV_WTW!E1131</f>
        <v>2467.3471983176109</v>
      </c>
      <c r="F596" s="8"/>
      <c r="G596" s="160" t="s">
        <v>2017</v>
      </c>
      <c r="H596" s="650">
        <f xml:space="preserve"> [1]HDV_WTW!B1281</f>
        <v>582.44965766404073</v>
      </c>
      <c r="I596" s="522">
        <f xml:space="preserve"> [1]HDV_WTW!C1281</f>
        <v>1029.5003952411303</v>
      </c>
      <c r="J596" s="522">
        <f xml:space="preserve"> [1]HDV_WTW!D1281</f>
        <v>0</v>
      </c>
      <c r="K596" s="159">
        <f xml:space="preserve"> [1]HDV_WTW!E1281</f>
        <v>1611.9500529051711</v>
      </c>
      <c r="L596" s="8"/>
      <c r="M596" s="160" t="s">
        <v>2017</v>
      </c>
      <c r="N596" s="650">
        <f xml:space="preserve"> [1]HDV_WTW!B1431</f>
        <v>847.66887091834371</v>
      </c>
      <c r="O596" s="522">
        <f xml:space="preserve"> [1]HDV_WTW!C1431</f>
        <v>5153.0101367826273</v>
      </c>
      <c r="P596" s="522">
        <f xml:space="preserve"> [1]HDV_WTW!D1431</f>
        <v>4969.5822762324015</v>
      </c>
      <c r="Q596" s="159">
        <f xml:space="preserve"> [1]HDV_WTW!E1431</f>
        <v>10970.261283933372</v>
      </c>
      <c r="R596" s="8"/>
      <c r="S596" s="160" t="s">
        <v>2017</v>
      </c>
      <c r="T596" s="650">
        <f xml:space="preserve"> [1]HDV_WTW!B1401</f>
        <v>462.86527392969805</v>
      </c>
      <c r="U596" s="522">
        <f xml:space="preserve"> [1]HDV_WTW!C1401</f>
        <v>2791.9314788154343</v>
      </c>
      <c r="V596" s="522">
        <f xml:space="preserve"> [1]HDV_WTW!D1401</f>
        <v>7951.4806893263722</v>
      </c>
      <c r="W596" s="159">
        <f xml:space="preserve"> [1]HDV_WTW!E1401</f>
        <v>11206.277442071505</v>
      </c>
      <c r="X596" s="8"/>
      <c r="Y596" s="8"/>
      <c r="Z596" s="8"/>
      <c r="AA596" s="8"/>
    </row>
    <row r="597" spans="1:27">
      <c r="A597" s="160" t="s">
        <v>440</v>
      </c>
      <c r="B597" s="650">
        <f xml:space="preserve"> [1]HDV_WTW!B1132</f>
        <v>220.18552710253184</v>
      </c>
      <c r="C597" s="522">
        <f xml:space="preserve"> [1]HDV_WTW!C1132</f>
        <v>709.78967668911912</v>
      </c>
      <c r="D597" s="522">
        <f xml:space="preserve"> [1]HDV_WTW!D1132</f>
        <v>20015.735501409781</v>
      </c>
      <c r="E597" s="159">
        <f xml:space="preserve"> [1]HDV_WTW!E1132</f>
        <v>20945.710705201433</v>
      </c>
      <c r="F597" s="8"/>
      <c r="G597" s="160" t="s">
        <v>440</v>
      </c>
      <c r="H597" s="650">
        <f xml:space="preserve"> [1]HDV_WTW!B1282</f>
        <v>143.85007197361236</v>
      </c>
      <c r="I597" s="522">
        <f xml:space="preserve"> [1]HDV_WTW!C1282</f>
        <v>463.71483821600731</v>
      </c>
      <c r="J597" s="522">
        <f xml:space="preserve"> [1]HDV_WTW!D1282</f>
        <v>13076.540635397092</v>
      </c>
      <c r="K597" s="159">
        <f xml:space="preserve"> [1]HDV_WTW!E1282</f>
        <v>13684.105545586712</v>
      </c>
      <c r="L597" s="8"/>
      <c r="M597" s="160" t="s">
        <v>440</v>
      </c>
      <c r="N597" s="650">
        <f xml:space="preserve"> [1]HDV_WTW!B1432</f>
        <v>40.054228859921949</v>
      </c>
      <c r="O597" s="522">
        <f xml:space="preserve"> [1]HDV_WTW!C1432</f>
        <v>0</v>
      </c>
      <c r="P597" s="522">
        <f xml:space="preserve"> [1]HDV_WTW!D1432</f>
        <v>0</v>
      </c>
      <c r="Q597" s="159">
        <f xml:space="preserve"> [1]HDV_WTW!E1432</f>
        <v>40.054228859921949</v>
      </c>
      <c r="R597" s="8"/>
      <c r="S597" s="160" t="s">
        <v>440</v>
      </c>
      <c r="T597" s="650">
        <f xml:space="preserve"> [1]HDV_WTW!B1402</f>
        <v>25.667306545052668</v>
      </c>
      <c r="U597" s="522">
        <f xml:space="preserve"> [1]HDV_WTW!C1402</f>
        <v>27.221317554053741</v>
      </c>
      <c r="V597" s="522">
        <f xml:space="preserve"> [1]HDV_WTW!D1402</f>
        <v>0</v>
      </c>
      <c r="W597" s="159">
        <f xml:space="preserve"> [1]HDV_WTW!E1402</f>
        <v>52.888624099106408</v>
      </c>
      <c r="X597" s="8"/>
      <c r="Y597" s="8"/>
      <c r="Z597" s="8"/>
      <c r="AA597" s="8"/>
    </row>
    <row r="598" spans="1:27">
      <c r="A598" s="160" t="s">
        <v>819</v>
      </c>
      <c r="B598" s="650">
        <f xml:space="preserve"> [1]HDV_WTW!B1133</f>
        <v>0.3543738247212303</v>
      </c>
      <c r="C598" s="522">
        <f xml:space="preserve"> [1]HDV_WTW!C1133</f>
        <v>8.215375101863856E-2</v>
      </c>
      <c r="D598" s="522">
        <f xml:space="preserve"> [1]HDV_WTW!D1133</f>
        <v>0</v>
      </c>
      <c r="E598" s="159">
        <f xml:space="preserve"> [1]HDV_WTW!E1133</f>
        <v>0.43652757573986889</v>
      </c>
      <c r="F598" s="8"/>
      <c r="G598" s="160" t="s">
        <v>819</v>
      </c>
      <c r="H598" s="650">
        <f xml:space="preserve"> [1]HDV_WTW!B1283</f>
        <v>0.23151703412357075</v>
      </c>
      <c r="I598" s="522">
        <f xml:space="preserve"> [1]HDV_WTW!C1283</f>
        <v>5.3672115294981615E-2</v>
      </c>
      <c r="J598" s="522">
        <f xml:space="preserve"> [1]HDV_WTW!D1283</f>
        <v>0</v>
      </c>
      <c r="K598" s="159">
        <f xml:space="preserve"> [1]HDV_WTW!E1283</f>
        <v>0.28518914941855233</v>
      </c>
      <c r="L598" s="8"/>
      <c r="M598" s="160" t="s">
        <v>819</v>
      </c>
      <c r="N598" s="650">
        <f xml:space="preserve"> [1]HDV_WTW!B1433</f>
        <v>3.0514729769527932E-2</v>
      </c>
      <c r="O598" s="522">
        <f xml:space="preserve"> [1]HDV_WTW!C1433</f>
        <v>0.24313512677396015</v>
      </c>
      <c r="P598" s="522">
        <f xml:space="preserve"> [1]HDV_WTW!D1433</f>
        <v>0</v>
      </c>
      <c r="Q598" s="159">
        <f xml:space="preserve"> [1]HDV_WTW!E1433</f>
        <v>0.27364985654348806</v>
      </c>
      <c r="R598" s="8"/>
      <c r="S598" s="160" t="s">
        <v>819</v>
      </c>
      <c r="T598" s="650">
        <f xml:space="preserve"> [1]HDV_WTW!B1403</f>
        <v>1.9511264894755576E-2</v>
      </c>
      <c r="U598" s="522">
        <f xml:space="preserve"> [1]HDV_WTW!C1403</f>
        <v>0.27222406591255638</v>
      </c>
      <c r="V598" s="522">
        <f xml:space="preserve"> [1]HDV_WTW!D1403</f>
        <v>0</v>
      </c>
      <c r="W598" s="159">
        <f xml:space="preserve"> [1]HDV_WTW!E1403</f>
        <v>0.29173533080731195</v>
      </c>
      <c r="X598" s="8"/>
      <c r="Y598" s="8"/>
      <c r="Z598" s="8"/>
      <c r="AA598" s="8"/>
    </row>
    <row r="599" spans="1:27" ht="15.75">
      <c r="A599" s="160" t="s">
        <v>2319</v>
      </c>
      <c r="B599" s="650">
        <f xml:space="preserve"> [1]HDV_WTW!B1134</f>
        <v>106.36600006741232</v>
      </c>
      <c r="C599" s="522">
        <f xml:space="preserve"> [1]HDV_WTW!C1134</f>
        <v>153.0815248233402</v>
      </c>
      <c r="D599" s="522">
        <f xml:space="preserve"> [1]HDV_WTW!D1134</f>
        <v>1582.5731091955577</v>
      </c>
      <c r="E599" s="159">
        <f xml:space="preserve"> [1]HDV_WTW!E1134</f>
        <v>1842.0206340863101</v>
      </c>
      <c r="F599" s="8"/>
      <c r="G599" s="160" t="s">
        <v>2319</v>
      </c>
      <c r="H599" s="650">
        <f xml:space="preserve"> [1]HDV_WTW!B1284</f>
        <v>69.490292875233138</v>
      </c>
      <c r="I599" s="522">
        <f xml:space="preserve"> [1]HDV_WTW!C1284</f>
        <v>100.01015349847947</v>
      </c>
      <c r="J599" s="522">
        <f xml:space="preserve"> [1]HDV_WTW!D1284</f>
        <v>1033.8753644981605</v>
      </c>
      <c r="K599" s="159">
        <f xml:space="preserve"> [1]HDV_WTW!E1284</f>
        <v>1203.375810871873</v>
      </c>
      <c r="L599" s="8"/>
      <c r="M599" s="160" t="s">
        <v>2319</v>
      </c>
      <c r="N599" s="650">
        <f xml:space="preserve"> [1]HDV_WTW!B1434</f>
        <v>54.683882369777628</v>
      </c>
      <c r="O599" s="522">
        <f xml:space="preserve"> [1]HDV_WTW!C1434</f>
        <v>601.37228839653426</v>
      </c>
      <c r="P599" s="522">
        <f xml:space="preserve"> [1]HDV_WTW!D1434</f>
        <v>0</v>
      </c>
      <c r="Q599" s="159">
        <f xml:space="preserve"> [1]HDV_WTW!E1434</f>
        <v>656.05617076631188</v>
      </c>
      <c r="R599" s="8"/>
      <c r="S599" s="160" t="s">
        <v>2319</v>
      </c>
      <c r="T599" s="650">
        <f xml:space="preserve"> [1]HDV_WTW!B1404</f>
        <v>30.695869228912066</v>
      </c>
      <c r="U599" s="522">
        <f xml:space="preserve"> [1]HDV_WTW!C1404</f>
        <v>689.96524453693485</v>
      </c>
      <c r="V599" s="522">
        <f xml:space="preserve"> [1]HDV_WTW!D1404</f>
        <v>0</v>
      </c>
      <c r="W599" s="159">
        <f xml:space="preserve"> [1]HDV_WTW!E1404</f>
        <v>720.66111376584695</v>
      </c>
      <c r="X599" s="8"/>
      <c r="Y599" s="8"/>
      <c r="Z599" s="8"/>
      <c r="AA599" s="8"/>
    </row>
    <row r="600" spans="1:27" ht="15.75">
      <c r="A600" s="160" t="s">
        <v>2320</v>
      </c>
      <c r="B600" s="650">
        <f xml:space="preserve"> [1]HDV_WTW!B1135</f>
        <v>1.8339980198151773</v>
      </c>
      <c r="C600" s="522">
        <f xml:space="preserve"> [1]HDV_WTW!C1135</f>
        <v>0.35864694449201784</v>
      </c>
      <c r="D600" s="522">
        <f xml:space="preserve"> [1]HDV_WTW!D1135</f>
        <v>4.2223062639929303E-2</v>
      </c>
      <c r="E600" s="159">
        <f xml:space="preserve"> [1]HDV_WTW!E1135</f>
        <v>2.2348680269471242</v>
      </c>
      <c r="F600" s="8"/>
      <c r="G600" s="160" t="s">
        <v>2320</v>
      </c>
      <c r="H600" s="650">
        <f xml:space="preserve"> [1]HDV_WTW!B1285</f>
        <v>1.1981747875146433</v>
      </c>
      <c r="I600" s="522">
        <f xml:space="preserve"> [1]HDV_WTW!C1285</f>
        <v>0.23430871891170588</v>
      </c>
      <c r="J600" s="522">
        <f xml:space="preserve"> [1]HDV_WTW!D1285</f>
        <v>4.2223062639929303E-2</v>
      </c>
      <c r="K600" s="159">
        <f xml:space="preserve"> [1]HDV_WTW!E1285</f>
        <v>1.4747065690662786</v>
      </c>
      <c r="L600" s="8"/>
      <c r="M600" s="160" t="s">
        <v>2320</v>
      </c>
      <c r="N600" s="650">
        <f xml:space="preserve"> [1]HDV_WTW!B1435</f>
        <v>1.8603491754191792</v>
      </c>
      <c r="O600" s="522">
        <f xml:space="preserve"> [1]HDV_WTW!C1435</f>
        <v>1.3846668289109099E-2</v>
      </c>
      <c r="P600" s="522">
        <f xml:space="preserve"> [1]HDV_WTW!D1435</f>
        <v>0</v>
      </c>
      <c r="Q600" s="159">
        <f xml:space="preserve"> [1]HDV_WTW!E1435</f>
        <v>1.8741958437082884</v>
      </c>
      <c r="R600" s="8"/>
      <c r="S600" s="160" t="s">
        <v>2320</v>
      </c>
      <c r="T600" s="650">
        <f xml:space="preserve"> [1]HDV_WTW!B1405</f>
        <v>1.0148359521068067</v>
      </c>
      <c r="U600" s="522">
        <f xml:space="preserve"> [1]HDV_WTW!C1405</f>
        <v>0.70940854649868501</v>
      </c>
      <c r="V600" s="522">
        <f xml:space="preserve"> [1]HDV_WTW!D1405</f>
        <v>0</v>
      </c>
      <c r="W600" s="159">
        <f xml:space="preserve"> [1]HDV_WTW!E1405</f>
        <v>1.7242444986054917</v>
      </c>
      <c r="X600" s="8"/>
      <c r="Y600" s="8"/>
      <c r="Z600" s="8"/>
      <c r="AA600" s="8"/>
    </row>
    <row r="601" spans="1:27" ht="15.75">
      <c r="A601" s="160" t="s">
        <v>2321</v>
      </c>
      <c r="B601" s="650">
        <f xml:space="preserve"> [1]HDV_WTW!B1136</f>
        <v>1.6844766823358192E-3</v>
      </c>
      <c r="C601" s="522">
        <f xml:space="preserve"> [1]HDV_WTW!C1136</f>
        <v>2.7700620628450748E-3</v>
      </c>
      <c r="D601" s="522">
        <f xml:space="preserve"> [1]HDV_WTW!D1136</f>
        <v>5.3226713554296052E-3</v>
      </c>
      <c r="E601" s="159">
        <f xml:space="preserve"> [1]HDV_WTW!E1136</f>
        <v>9.7772101006104988E-3</v>
      </c>
      <c r="F601" s="8"/>
      <c r="G601" s="160" t="s">
        <v>2321</v>
      </c>
      <c r="H601" s="650">
        <f xml:space="preserve"> [1]HDV_WTW!B1286</f>
        <v>1.100490550766509E-3</v>
      </c>
      <c r="I601" s="522">
        <f xml:space="preserve"> [1]HDV_WTW!C1286</f>
        <v>1.8097176156636465E-3</v>
      </c>
      <c r="J601" s="522">
        <f xml:space="preserve"> [1]HDV_WTW!D1286</f>
        <v>5.3226713554296052E-3</v>
      </c>
      <c r="K601" s="159">
        <f xml:space="preserve"> [1]HDV_WTW!E1286</f>
        <v>8.2328795218597605E-3</v>
      </c>
      <c r="L601" s="8"/>
      <c r="M601" s="160" t="s">
        <v>2321</v>
      </c>
      <c r="N601" s="650">
        <f xml:space="preserve"> [1]HDV_WTW!B1436</f>
        <v>8.0672692582161361E-3</v>
      </c>
      <c r="O601" s="522">
        <f xml:space="preserve"> [1]HDV_WTW!C1436</f>
        <v>1.2459384671345984E-3</v>
      </c>
      <c r="P601" s="522">
        <f xml:space="preserve"> [1]HDV_WTW!D1436</f>
        <v>0</v>
      </c>
      <c r="Q601" s="159">
        <f xml:space="preserve"> [1]HDV_WTW!E1436</f>
        <v>9.3132077253507348E-3</v>
      </c>
      <c r="R601" s="8"/>
      <c r="S601" s="160" t="s">
        <v>2321</v>
      </c>
      <c r="T601" s="650">
        <f xml:space="preserve"> [1]HDV_WTW!B1406</f>
        <v>1.5474376477396189E-3</v>
      </c>
      <c r="U601" s="522">
        <f xml:space="preserve"> [1]HDV_WTW!C1406</f>
        <v>5.1393942702240066E-3</v>
      </c>
      <c r="V601" s="522">
        <f xml:space="preserve"> [1]HDV_WTW!D1406</f>
        <v>0</v>
      </c>
      <c r="W601" s="159">
        <f xml:space="preserve"> [1]HDV_WTW!E1406</f>
        <v>6.686831917963626E-3</v>
      </c>
      <c r="X601" s="8"/>
      <c r="Y601" s="8"/>
      <c r="Z601" s="8"/>
      <c r="AA601" s="8"/>
    </row>
    <row r="602" spans="1:27">
      <c r="A602" s="160" t="s">
        <v>1896</v>
      </c>
      <c r="B602" s="650">
        <f xml:space="preserve"> [1]HDV_WTW!B1137</f>
        <v>161.83232698268662</v>
      </c>
      <c r="C602" s="522">
        <f xml:space="preserve"> [1]HDV_WTW!C1137</f>
        <v>164.57499960475468</v>
      </c>
      <c r="D602" s="522">
        <f xml:space="preserve"> [1]HDV_WTW!D1137</f>
        <v>1585.2503089839445</v>
      </c>
      <c r="E602" s="159">
        <f xml:space="preserve"> [1]HDV_WTW!E1137</f>
        <v>1911.6576355713855</v>
      </c>
      <c r="F602" s="8"/>
      <c r="G602" s="160" t="s">
        <v>1896</v>
      </c>
      <c r="H602" s="650">
        <f xml:space="preserve"> [1]HDV_WTW!B1287</f>
        <v>105.72716649662556</v>
      </c>
      <c r="I602" s="522">
        <f xml:space="preserve"> [1]HDV_WTW!C1287</f>
        <v>107.51899023398151</v>
      </c>
      <c r="J602" s="522">
        <f xml:space="preserve"> [1]HDV_WTW!D1287</f>
        <v>1036.5525642865473</v>
      </c>
      <c r="K602" s="159">
        <f xml:space="preserve"> [1]HDV_WTW!E1287</f>
        <v>1249.7987210171541</v>
      </c>
      <c r="L602" s="8"/>
      <c r="M602" s="160" t="s">
        <v>1896</v>
      </c>
      <c r="N602" s="650">
        <f xml:space="preserve"> [1]HDV_WTW!B1437</f>
        <v>112.63218398578027</v>
      </c>
      <c r="O602" s="522">
        <f xml:space="preserve"> [1]HDV_WTW!C1437</f>
        <v>602.11786213899825</v>
      </c>
      <c r="P602" s="522">
        <f xml:space="preserve"> [1]HDV_WTW!D1437</f>
        <v>0</v>
      </c>
      <c r="Q602" s="159">
        <f xml:space="preserve"> [1]HDV_WTW!E1437</f>
        <v>714.75004612477846</v>
      </c>
      <c r="R602" s="8"/>
      <c r="S602" s="160" t="s">
        <v>1896</v>
      </c>
      <c r="T602" s="650">
        <f xml:space="preserve"> [1]HDV_WTW!B1407</f>
        <v>61.551018768767264</v>
      </c>
      <c r="U602" s="522">
        <f xml:space="preserve"> [1]HDV_WTW!C1407</f>
        <v>712.60944041350479</v>
      </c>
      <c r="V602" s="522">
        <f xml:space="preserve"> [1]HDV_WTW!D1407</f>
        <v>0</v>
      </c>
      <c r="W602" s="159">
        <f xml:space="preserve"> [1]HDV_WTW!E1407</f>
        <v>774.16045918227201</v>
      </c>
      <c r="X602" s="8"/>
      <c r="Y602" s="8"/>
      <c r="Z602" s="8"/>
      <c r="AA602" s="8"/>
    </row>
    <row r="603" spans="1:27">
      <c r="A603" s="160" t="s">
        <v>879</v>
      </c>
      <c r="B603" s="578">
        <f xml:space="preserve"> [1]HDV_WTW!B1138</f>
        <v>7.3911674529799493E-2</v>
      </c>
      <c r="C603" s="1553">
        <f xml:space="preserve"> [1]HDV_WTW!C1138</f>
        <v>7.3473372288729466E-2</v>
      </c>
      <c r="D603" s="1553">
        <f xml:space="preserve"> [1]HDV_WTW!D1138</f>
        <v>0.19534604650403914</v>
      </c>
      <c r="E603" s="478">
        <f xml:space="preserve"> [1]HDV_WTW!E1138</f>
        <v>0.34273109332256813</v>
      </c>
      <c r="F603" s="8"/>
      <c r="G603" s="160" t="s">
        <v>879</v>
      </c>
      <c r="H603" s="578">
        <f xml:space="preserve"> [1]HDV_WTW!B1288</f>
        <v>4.8287459401683865E-2</v>
      </c>
      <c r="I603" s="1553">
        <f xml:space="preserve"> [1]HDV_WTW!C1288</f>
        <v>4.8001110840296547E-2</v>
      </c>
      <c r="J603" s="1553">
        <f xml:space="preserve"> [1]HDV_WTW!D1288</f>
        <v>0.19534604650403914</v>
      </c>
      <c r="K603" s="478">
        <f xml:space="preserve"> [1]HDV_WTW!E1288</f>
        <v>0.29163461674601954</v>
      </c>
      <c r="L603" s="8"/>
      <c r="M603" s="160" t="s">
        <v>879</v>
      </c>
      <c r="N603" s="578">
        <f xml:space="preserve"> [1]HDV_WTW!B1438</f>
        <v>8.6433002231560668E-2</v>
      </c>
      <c r="O603" s="1553">
        <f xml:space="preserve"> [1]HDV_WTW!C1438</f>
        <v>6.7547324126238347E-3</v>
      </c>
      <c r="P603" s="1553">
        <f xml:space="preserve"> [1]HDV_WTW!D1438</f>
        <v>0</v>
      </c>
      <c r="Q603" s="478">
        <f xml:space="preserve"> [1]HDV_WTW!E1438</f>
        <v>9.3187734644184506E-2</v>
      </c>
      <c r="R603" s="8"/>
      <c r="S603" s="160" t="s">
        <v>879</v>
      </c>
      <c r="T603" s="578">
        <f xml:space="preserve"> [1]HDV_WTW!B1408</f>
        <v>4.5760497794187158E-2</v>
      </c>
      <c r="U603" s="1553">
        <f xml:space="preserve"> [1]HDV_WTW!C1408</f>
        <v>4.7346518314521059E-2</v>
      </c>
      <c r="V603" s="1553">
        <f xml:space="preserve"> [1]HDV_WTW!D1408</f>
        <v>0</v>
      </c>
      <c r="W603" s="478">
        <f xml:space="preserve"> [1]HDV_WTW!E1408</f>
        <v>9.3107016108708224E-2</v>
      </c>
      <c r="X603" s="8"/>
      <c r="Y603" s="8"/>
      <c r="Z603" s="8"/>
      <c r="AA603" s="8"/>
    </row>
    <row r="604" spans="1:27">
      <c r="A604" s="160" t="s">
        <v>880</v>
      </c>
      <c r="B604" s="578">
        <f xml:space="preserve"> [1]HDV_WTW!B1139</f>
        <v>0.14762730677307612</v>
      </c>
      <c r="C604" s="1553">
        <f xml:space="preserve"> [1]HDV_WTW!C1139</f>
        <v>8.4379773957057785E-2</v>
      </c>
      <c r="D604" s="1553">
        <f xml:space="preserve"> [1]HDV_WTW!D1139</f>
        <v>1.623866351548499</v>
      </c>
      <c r="E604" s="478">
        <f xml:space="preserve"> [1]HDV_WTW!E1139</f>
        <v>1.855873432278633</v>
      </c>
      <c r="F604" s="8"/>
      <c r="G604" s="160" t="s">
        <v>880</v>
      </c>
      <c r="H604" s="578">
        <f xml:space="preserve"> [1]HDV_WTW!B1289</f>
        <v>9.6446841824842922E-2</v>
      </c>
      <c r="I604" s="1553">
        <f xml:space="preserve"> [1]HDV_WTW!C1289</f>
        <v>5.5126405066522347E-2</v>
      </c>
      <c r="J604" s="1553">
        <f xml:space="preserve"> [1]HDV_WTW!D1289</f>
        <v>0.8119331757742495</v>
      </c>
      <c r="K604" s="478">
        <f xml:space="preserve"> [1]HDV_WTW!E1289</f>
        <v>0.9635064226656147</v>
      </c>
      <c r="L604" s="8"/>
      <c r="M604" s="160" t="s">
        <v>880</v>
      </c>
      <c r="N604" s="578">
        <f xml:space="preserve"> [1]HDV_WTW!B1439</f>
        <v>0.2257705895031441</v>
      </c>
      <c r="O604" s="1553">
        <f xml:space="preserve"> [1]HDV_WTW!C1439</f>
        <v>5.1360890119298092E-2</v>
      </c>
      <c r="P604" s="1553">
        <f xml:space="preserve"> [1]HDV_WTW!D1439</f>
        <v>0</v>
      </c>
      <c r="Q604" s="478">
        <f xml:space="preserve"> [1]HDV_WTW!E1439</f>
        <v>0.27713147962244222</v>
      </c>
      <c r="R604" s="8"/>
      <c r="S604" s="160" t="s">
        <v>880</v>
      </c>
      <c r="T604" s="578">
        <f xml:space="preserve"> [1]HDV_WTW!B1409</f>
        <v>9.3599671974376741E-2</v>
      </c>
      <c r="U604" s="1553">
        <f xml:space="preserve"> [1]HDV_WTW!C1409</f>
        <v>6.4190259110320072E-2</v>
      </c>
      <c r="V604" s="1553">
        <f xml:space="preserve"> [1]HDV_WTW!D1409</f>
        <v>0</v>
      </c>
      <c r="W604" s="478">
        <f xml:space="preserve"> [1]HDV_WTW!E1409</f>
        <v>0.1577899310846968</v>
      </c>
      <c r="X604" s="8"/>
      <c r="Y604" s="8"/>
      <c r="Z604" s="8"/>
      <c r="AA604" s="8"/>
    </row>
    <row r="605" spans="1:27">
      <c r="A605" s="160" t="s">
        <v>881</v>
      </c>
      <c r="B605" s="578">
        <f xml:space="preserve"> [1]HDV_WTW!B1140</f>
        <v>0.22737103181078425</v>
      </c>
      <c r="C605" s="1553">
        <f xml:space="preserve"> [1]HDV_WTW!C1140</f>
        <v>0.12701460991016708</v>
      </c>
      <c r="D605" s="1553">
        <f xml:space="preserve"> [1]HDV_WTW!D1140</f>
        <v>1.1053736822195608</v>
      </c>
      <c r="E605" s="478">
        <f xml:space="preserve"> [1]HDV_WTW!E1140</f>
        <v>1.4597593239405122</v>
      </c>
      <c r="F605" s="8"/>
      <c r="G605" s="160" t="s">
        <v>881</v>
      </c>
      <c r="H605" s="578">
        <f xml:space="preserve"> [1]HDV_WTW!B1290</f>
        <v>0.14854445576463926</v>
      </c>
      <c r="I605" s="1553">
        <f xml:space="preserve"> [1]HDV_WTW!C1290</f>
        <v>8.298029855872277E-2</v>
      </c>
      <c r="J605" s="1553">
        <f xml:space="preserve"> [1]HDV_WTW!D1290</f>
        <v>1.1053736822195608</v>
      </c>
      <c r="K605" s="478">
        <f xml:space="preserve"> [1]HDV_WTW!E1290</f>
        <v>1.3368984365429228</v>
      </c>
      <c r="L605" s="8"/>
      <c r="M605" s="160" t="s">
        <v>881</v>
      </c>
      <c r="N605" s="578">
        <f xml:space="preserve"> [1]HDV_WTW!B1440</f>
        <v>0.26034685983520484</v>
      </c>
      <c r="O605" s="1553">
        <f xml:space="preserve"> [1]HDV_WTW!C1440</f>
        <v>7.6368278877516474E-2</v>
      </c>
      <c r="P605" s="1553">
        <f xml:space="preserve"> [1]HDV_WTW!D1440</f>
        <v>0</v>
      </c>
      <c r="Q605" s="478">
        <f xml:space="preserve"> [1]HDV_WTW!E1440</f>
        <v>0.3367151387127213</v>
      </c>
      <c r="R605" s="8"/>
      <c r="S605" s="160" t="s">
        <v>881</v>
      </c>
      <c r="T605" s="578">
        <f xml:space="preserve"> [1]HDV_WTW!B1410</f>
        <v>0.10651873862301614</v>
      </c>
      <c r="U605" s="1553">
        <f xml:space="preserve"> [1]HDV_WTW!C1410</f>
        <v>0.12334359296126873</v>
      </c>
      <c r="V605" s="1553">
        <f xml:space="preserve"> [1]HDV_WTW!D1410</f>
        <v>0</v>
      </c>
      <c r="W605" s="478">
        <f xml:space="preserve"> [1]HDV_WTW!E1410</f>
        <v>0.22986233158428487</v>
      </c>
      <c r="X605" s="8"/>
      <c r="Y605" s="8"/>
      <c r="Z605" s="8"/>
      <c r="AA605" s="8"/>
    </row>
    <row r="606" spans="1:27" ht="15.75">
      <c r="A606" s="160" t="s">
        <v>2322</v>
      </c>
      <c r="B606" s="578">
        <f xml:space="preserve"> [1]HDV_WTW!B1141</f>
        <v>1.1175394948015113E-2</v>
      </c>
      <c r="C606" s="1553">
        <f xml:space="preserve"> [1]HDV_WTW!C1141</f>
        <v>1.4711423453532008E-2</v>
      </c>
      <c r="D606" s="1553">
        <f xml:space="preserve"> [1]HDV_WTW!D1141</f>
        <v>0.12388928475944179</v>
      </c>
      <c r="E606" s="478">
        <f xml:space="preserve"> [1]HDV_WTW!E1141</f>
        <v>0.14977610316098891</v>
      </c>
      <c r="F606" s="8"/>
      <c r="G606" s="160" t="s">
        <v>2322</v>
      </c>
      <c r="H606" s="578">
        <f xml:space="preserve"> [1]HDV_WTW!B1291</f>
        <v>7.3010310385065863E-3</v>
      </c>
      <c r="I606" s="1553">
        <f xml:space="preserve"> [1]HDV_WTW!C1291</f>
        <v>9.6111645051012735E-3</v>
      </c>
      <c r="J606" s="1553">
        <f xml:space="preserve"> [1]HDV_WTW!D1291</f>
        <v>0.12388928475944179</v>
      </c>
      <c r="K606" s="478">
        <f xml:space="preserve"> [1]HDV_WTW!E1291</f>
        <v>0.14080148030304965</v>
      </c>
      <c r="L606" s="8"/>
      <c r="M606" s="160" t="s">
        <v>2322</v>
      </c>
      <c r="N606" s="578">
        <f xml:space="preserve"> [1]HDV_WTW!B1441</f>
        <v>4.0183977702221898E-3</v>
      </c>
      <c r="O606" s="1553">
        <f xml:space="preserve"> [1]HDV_WTW!C1441</f>
        <v>2.6154677385798446E-2</v>
      </c>
      <c r="P606" s="1553">
        <f xml:space="preserve"> [1]HDV_WTW!D1441</f>
        <v>0.1129600258488125</v>
      </c>
      <c r="Q606" s="478">
        <f xml:space="preserve"> [1]HDV_WTW!E1441</f>
        <v>0.14313310100483312</v>
      </c>
      <c r="R606" s="8"/>
      <c r="S606" s="160" t="s">
        <v>2322</v>
      </c>
      <c r="T606" s="578">
        <f xml:space="preserve"> [1]HDV_WTW!B1411</f>
        <v>2.4723943169138824E-3</v>
      </c>
      <c r="U606" s="1553">
        <f xml:space="preserve"> [1]HDV_WTW!C1411</f>
        <v>3.0237759841343314E-2</v>
      </c>
      <c r="V606" s="1553">
        <f xml:space="preserve"> [1]HDV_WTW!D1411</f>
        <v>0.1129600258488125</v>
      </c>
      <c r="W606" s="478">
        <f xml:space="preserve"> [1]HDV_WTW!E1411</f>
        <v>0.14567018000706969</v>
      </c>
      <c r="X606" s="8"/>
      <c r="Y606" s="8"/>
      <c r="Z606" s="8"/>
      <c r="AA606" s="8"/>
    </row>
    <row r="607" spans="1:27" ht="15.75">
      <c r="A607" s="160" t="s">
        <v>2323</v>
      </c>
      <c r="B607" s="578">
        <f xml:space="preserve"> [1]HDV_WTW!B1142</f>
        <v>9.5481487630944099E-3</v>
      </c>
      <c r="C607" s="1553">
        <f xml:space="preserve"> [1]HDV_WTW!C1142</f>
        <v>1.253858267004994E-2</v>
      </c>
      <c r="D607" s="1553">
        <f xml:space="preserve"> [1]HDV_WTW!D1142</f>
        <v>2.4533744846258233E-2</v>
      </c>
      <c r="E607" s="478">
        <f xml:space="preserve"> [1]HDV_WTW!E1142</f>
        <v>4.6620476279402585E-2</v>
      </c>
      <c r="F607" s="8"/>
      <c r="G607" s="160" t="s">
        <v>2323</v>
      </c>
      <c r="H607" s="578">
        <f xml:space="preserve"> [1]HDV_WTW!B1292</f>
        <v>6.2379299169209356E-3</v>
      </c>
      <c r="I607" s="1553">
        <f xml:space="preserve"> [1]HDV_WTW!C1292</f>
        <v>8.1916193278855735E-3</v>
      </c>
      <c r="J607" s="1553">
        <f xml:space="preserve"> [1]HDV_WTW!D1292</f>
        <v>2.4533744846258233E-2</v>
      </c>
      <c r="K607" s="478">
        <f xml:space="preserve"> [1]HDV_WTW!E1292</f>
        <v>3.8963294091064742E-2</v>
      </c>
      <c r="L607" s="8"/>
      <c r="M607" s="160" t="s">
        <v>2323</v>
      </c>
      <c r="N607" s="578">
        <f xml:space="preserve"> [1]HDV_WTW!B1442</f>
        <v>3.6176725803475644E-3</v>
      </c>
      <c r="O607" s="1553">
        <f xml:space="preserve"> [1]HDV_WTW!C1442</f>
        <v>2.5261101998327526E-2</v>
      </c>
      <c r="P607" s="1553">
        <f xml:space="preserve"> [1]HDV_WTW!D1442</f>
        <v>1.4478854135837139E-2</v>
      </c>
      <c r="Q607" s="478">
        <f xml:space="preserve"> [1]HDV_WTW!E1442</f>
        <v>4.3357628714512229E-2</v>
      </c>
      <c r="R607" s="8"/>
      <c r="S607" s="160" t="s">
        <v>2323</v>
      </c>
      <c r="T607" s="578">
        <f xml:space="preserve"> [1]HDV_WTW!B1412</f>
        <v>2.2226485201596573E-3</v>
      </c>
      <c r="U607" s="1553">
        <f xml:space="preserve"> [1]HDV_WTW!C1412</f>
        <v>2.5440609552969989E-2</v>
      </c>
      <c r="V607" s="1553">
        <f xml:space="preserve"> [1]HDV_WTW!D1412</f>
        <v>1.4478854135837139E-2</v>
      </c>
      <c r="W607" s="478">
        <f xml:space="preserve"> [1]HDV_WTW!E1412</f>
        <v>4.2142112208966784E-2</v>
      </c>
      <c r="X607" s="8"/>
      <c r="Y607" s="8"/>
      <c r="Z607" s="8"/>
      <c r="AA607" s="8"/>
    </row>
    <row r="608" spans="1:27" ht="15.75">
      <c r="A608" s="160" t="s">
        <v>2324</v>
      </c>
      <c r="B608" s="578">
        <f xml:space="preserve"> [1]HDV_WTW!B1143</f>
        <v>5.1268742336604757E-2</v>
      </c>
      <c r="C608" s="1553">
        <f xml:space="preserve"> [1]HDV_WTW!C1143</f>
        <v>4.0875077682967435E-2</v>
      </c>
      <c r="D608" s="1553">
        <f xml:space="preserve"> [1]HDV_WTW!D1143</f>
        <v>1.0902566401500462E-2</v>
      </c>
      <c r="E608" s="478">
        <f xml:space="preserve"> [1]HDV_WTW!E1143</f>
        <v>0.10304638642107265</v>
      </c>
      <c r="F608" s="8"/>
      <c r="G608" s="160" t="s">
        <v>2324</v>
      </c>
      <c r="H608" s="578">
        <f xml:space="preserve"> [1]HDV_WTW!B1293</f>
        <v>3.3494536957839764E-2</v>
      </c>
      <c r="I608" s="1553">
        <f xml:space="preserve"> [1]HDV_WTW!C1293</f>
        <v>2.6704220499850696E-2</v>
      </c>
      <c r="J608" s="1553">
        <f xml:space="preserve"> [1]HDV_WTW!D1293</f>
        <v>7.122788596466729E-3</v>
      </c>
      <c r="K608" s="478">
        <f xml:space="preserve"> [1]HDV_WTW!E1293</f>
        <v>6.7321546054157189E-2</v>
      </c>
      <c r="L608" s="8"/>
      <c r="M608" s="160" t="s">
        <v>2324</v>
      </c>
      <c r="N608" s="578">
        <f xml:space="preserve"> [1]HDV_WTW!B1443</f>
        <v>0.11068560305023334</v>
      </c>
      <c r="O608" s="1553">
        <f xml:space="preserve"> [1]HDV_WTW!C1443</f>
        <v>1.1037238575434878E-2</v>
      </c>
      <c r="P608" s="1553">
        <f xml:space="preserve"> [1]HDV_WTW!D1443</f>
        <v>0</v>
      </c>
      <c r="Q608" s="478">
        <f xml:space="preserve"> [1]HDV_WTW!E1443</f>
        <v>0.12172284162566821</v>
      </c>
      <c r="R608" s="8"/>
      <c r="S608" s="160" t="s">
        <v>2324</v>
      </c>
      <c r="T608" s="578">
        <f xml:space="preserve"> [1]HDV_WTW!B1413</f>
        <v>7.0884907117552659E-2</v>
      </c>
      <c r="U608" s="1553">
        <f xml:space="preserve"> [1]HDV_WTW!C1413</f>
        <v>9.0006597947522402E-2</v>
      </c>
      <c r="V608" s="1553">
        <f xml:space="preserve"> [1]HDV_WTW!D1413</f>
        <v>0</v>
      </c>
      <c r="W608" s="478">
        <f xml:space="preserve"> [1]HDV_WTW!E1413</f>
        <v>0.16089150506507505</v>
      </c>
      <c r="X608" s="8"/>
      <c r="Y608" s="8"/>
      <c r="Z608" s="8"/>
      <c r="AA608" s="8"/>
    </row>
    <row r="609" spans="1:27">
      <c r="A609" s="160" t="s">
        <v>885</v>
      </c>
      <c r="B609" s="578">
        <f xml:space="preserve"> [1]HDV_WTW!B1144</f>
        <v>1.733556256967013E-3</v>
      </c>
      <c r="C609" s="1553">
        <f xml:space="preserve"> [1]HDV_WTW!C1144</f>
        <v>1.6845730301106715E-3</v>
      </c>
      <c r="D609" s="1553">
        <f xml:space="preserve"> [1]HDV_WTW!D1144</f>
        <v>3.0806159084931445E-3</v>
      </c>
      <c r="E609" s="478">
        <f xml:space="preserve"> [1]HDV_WTW!E1144</f>
        <v>6.4987451955708288E-3</v>
      </c>
      <c r="F609" s="8"/>
      <c r="G609" s="160" t="s">
        <v>885</v>
      </c>
      <c r="H609" s="578">
        <f xml:space="preserve"> [1]HDV_WTW!B1294</f>
        <v>1.1325548759564381E-3</v>
      </c>
      <c r="I609" s="1553">
        <f xml:space="preserve"> [1]HDV_WTW!C1294</f>
        <v>1.1005534960224002E-3</v>
      </c>
      <c r="J609" s="1553">
        <f xml:space="preserve"> [1]HDV_WTW!D1294</f>
        <v>3.0806159084931445E-3</v>
      </c>
      <c r="K609" s="478">
        <f xml:space="preserve"> [1]HDV_WTW!E1294</f>
        <v>5.313724280471983E-3</v>
      </c>
      <c r="L609" s="8"/>
      <c r="M609" s="160" t="s">
        <v>885</v>
      </c>
      <c r="N609" s="578">
        <f xml:space="preserve"> [1]HDV_WTW!B1444</f>
        <v>9.6073614831541237E-4</v>
      </c>
      <c r="O609" s="1553">
        <f xml:space="preserve"> [1]HDV_WTW!C1444</f>
        <v>7.3257195795149819E-4</v>
      </c>
      <c r="P609" s="1553">
        <f xml:space="preserve"> [1]HDV_WTW!D1444</f>
        <v>1.8491843058702361E-3</v>
      </c>
      <c r="Q609" s="478">
        <f xml:space="preserve"> [1]HDV_WTW!E1444</f>
        <v>3.5424924121371468E-3</v>
      </c>
      <c r="R609" s="8"/>
      <c r="S609" s="160" t="s">
        <v>885</v>
      </c>
      <c r="T609" s="578">
        <f xml:space="preserve"> [1]HDV_WTW!B1414</f>
        <v>5.9820879197784412E-4</v>
      </c>
      <c r="U609" s="1553">
        <f xml:space="preserve"> [1]HDV_WTW!C1414</f>
        <v>2.4401943244220289E-3</v>
      </c>
      <c r="V609" s="1553">
        <f xml:space="preserve"> [1]HDV_WTW!D1414</f>
        <v>1.8491843058702361E-3</v>
      </c>
      <c r="W609" s="478">
        <f xml:space="preserve"> [1]HDV_WTW!E1414</f>
        <v>4.8875874222701092E-3</v>
      </c>
      <c r="X609" s="8"/>
      <c r="Y609" s="8"/>
      <c r="Z609" s="8"/>
      <c r="AA609" s="8"/>
    </row>
    <row r="610" spans="1:27">
      <c r="A610" s="160" t="s">
        <v>886</v>
      </c>
      <c r="B610" s="578">
        <f xml:space="preserve"> [1]HDV_WTW!B1145</f>
        <v>3.4955150907513824E-3</v>
      </c>
      <c r="C610" s="1553">
        <f xml:space="preserve"> [1]HDV_WTW!C1145</f>
        <v>2.5106828653745391E-3</v>
      </c>
      <c r="D610" s="1553">
        <f xml:space="preserve"> [1]HDV_WTW!D1145</f>
        <v>4.5938089239662295E-3</v>
      </c>
      <c r="E610" s="478">
        <f xml:space="preserve"> [1]HDV_WTW!E1145</f>
        <v>1.0600006880092151E-2</v>
      </c>
      <c r="F610" s="8"/>
      <c r="G610" s="160" t="s">
        <v>886</v>
      </c>
      <c r="H610" s="578">
        <f xml:space="preserve"> [1]HDV_WTW!B1295</f>
        <v>2.2836655251881567E-3</v>
      </c>
      <c r="I610" s="1553">
        <f xml:space="preserve"> [1]HDV_WTW!C1295</f>
        <v>1.6402618084832784E-3</v>
      </c>
      <c r="J610" s="1553">
        <f xml:space="preserve"> [1]HDV_WTW!D1295</f>
        <v>4.5938089239662295E-3</v>
      </c>
      <c r="K610" s="478">
        <f xml:space="preserve"> [1]HDV_WTW!E1295</f>
        <v>8.5177362576376644E-3</v>
      </c>
      <c r="L610" s="8"/>
      <c r="M610" s="160" t="s">
        <v>886</v>
      </c>
      <c r="N610" s="578">
        <f xml:space="preserve"> [1]HDV_WTW!B1445</f>
        <v>1.3630865178150082E-3</v>
      </c>
      <c r="O610" s="1553">
        <f xml:space="preserve"> [1]HDV_WTW!C1445</f>
        <v>1.7177549358862718E-2</v>
      </c>
      <c r="P610" s="1553">
        <f xml:space="preserve"> [1]HDV_WTW!D1445</f>
        <v>2.4526155250205427E-3</v>
      </c>
      <c r="Q610" s="478">
        <f xml:space="preserve"> [1]HDV_WTW!E1445</f>
        <v>2.0993251401698269E-2</v>
      </c>
      <c r="R610" s="8"/>
      <c r="S610" s="160" t="s">
        <v>886</v>
      </c>
      <c r="T610" s="578">
        <f xml:space="preserve"> [1]HDV_WTW!B1415</f>
        <v>8.3395469951180604E-4</v>
      </c>
      <c r="U610" s="1553">
        <f xml:space="preserve"> [1]HDV_WTW!C1415</f>
        <v>6.8561717290458934E-3</v>
      </c>
      <c r="V610" s="1553">
        <f xml:space="preserve"> [1]HDV_WTW!D1415</f>
        <v>2.4526155250205427E-3</v>
      </c>
      <c r="W610" s="478">
        <f xml:space="preserve"> [1]HDV_WTW!E1415</f>
        <v>1.0142741953578241E-2</v>
      </c>
      <c r="X610" s="8"/>
      <c r="Y610" s="8"/>
      <c r="Z610" s="8"/>
      <c r="AA610" s="8"/>
    </row>
    <row r="611" spans="1:27">
      <c r="A611" s="160" t="s">
        <v>890</v>
      </c>
      <c r="B611" s="578">
        <f xml:space="preserve"> [1]HDV_WTW!B1146</f>
        <v>1.3233154317940954E-2</v>
      </c>
      <c r="C611" s="1553">
        <f xml:space="preserve"> [1]HDV_WTW!C1146</f>
        <v>4.2085063957797035E-2</v>
      </c>
      <c r="D611" s="1553">
        <f xml:space="preserve"> [1]HDV_WTW!D1146</f>
        <v>0.17971836278371603</v>
      </c>
      <c r="E611" s="478">
        <f xml:space="preserve"> [1]HDV_WTW!E1146</f>
        <v>0.23503658105945402</v>
      </c>
      <c r="F611" s="8"/>
      <c r="G611" s="160" t="s">
        <v>890</v>
      </c>
      <c r="H611" s="578">
        <f xml:space="preserve"> [1]HDV_WTW!B1296</f>
        <v>8.6453920297281731E-3</v>
      </c>
      <c r="I611" s="1553">
        <f xml:space="preserve"> [1]HDV_WTW!C1296</f>
        <v>2.7494720288877565E-2</v>
      </c>
      <c r="J611" s="1553">
        <f xml:space="preserve"> [1]HDV_WTW!D1296</f>
        <v>0.17971836278371603</v>
      </c>
      <c r="K611" s="478">
        <f xml:space="preserve"> [1]HDV_WTW!E1296</f>
        <v>0.21585847510232176</v>
      </c>
      <c r="L611" s="8"/>
      <c r="M611" s="160" t="s">
        <v>890</v>
      </c>
      <c r="N611" s="578">
        <f xml:space="preserve"> [1]HDV_WTW!B1446</f>
        <v>3.6923264430755451E-3</v>
      </c>
      <c r="O611" s="1553">
        <f xml:space="preserve"> [1]HDV_WTW!C1446</f>
        <v>2.1142312451512607E-3</v>
      </c>
      <c r="P611" s="1553">
        <f xml:space="preserve"> [1]HDV_WTW!D1446</f>
        <v>0</v>
      </c>
      <c r="Q611" s="478">
        <f xml:space="preserve"> [1]HDV_WTW!E1446</f>
        <v>5.8065576882268058E-3</v>
      </c>
      <c r="R611" s="8"/>
      <c r="S611" s="160" t="s">
        <v>890</v>
      </c>
      <c r="T611" s="578">
        <f xml:space="preserve"> [1]HDV_WTW!B1416</f>
        <v>1.0144917517348709E-3</v>
      </c>
      <c r="U611" s="1553">
        <f xml:space="preserve"> [1]HDV_WTW!C1416</f>
        <v>4.7153909143842852E-3</v>
      </c>
      <c r="V611" s="1553">
        <f xml:space="preserve"> [1]HDV_WTW!D1416</f>
        <v>0</v>
      </c>
      <c r="W611" s="478">
        <f xml:space="preserve"> [1]HDV_WTW!E1416</f>
        <v>5.7298826661191559E-3</v>
      </c>
      <c r="X611" s="8"/>
      <c r="Y611" s="8"/>
      <c r="Z611" s="8"/>
      <c r="AA611" s="8"/>
    </row>
    <row r="612" spans="1:27">
      <c r="A612" s="160" t="s">
        <v>891</v>
      </c>
      <c r="B612" s="578">
        <f xml:space="preserve"> [1]HDV_WTW!B1147</f>
        <v>5.2505334131306399E-3</v>
      </c>
      <c r="C612" s="1553">
        <f xml:space="preserve"> [1]HDV_WTW!C1147</f>
        <v>3.081585031038904E-2</v>
      </c>
      <c r="D612" s="1553">
        <f xml:space="preserve"> [1]HDV_WTW!D1147</f>
        <v>1.4939570434246192</v>
      </c>
      <c r="E612" s="478">
        <f xml:space="preserve"> [1]HDV_WTW!E1147</f>
        <v>1.530023427148139</v>
      </c>
      <c r="F612" s="8"/>
      <c r="G612" s="160" t="s">
        <v>891</v>
      </c>
      <c r="H612" s="578">
        <f xml:space="preserve"> [1]HDV_WTW!B1297</f>
        <v>3.4302418479439396E-3</v>
      </c>
      <c r="I612" s="1553">
        <f xml:space="preserve"> [1]HDV_WTW!C1297</f>
        <v>2.0132396272409481E-2</v>
      </c>
      <c r="J612" s="1553">
        <f xml:space="preserve"> [1]HDV_WTW!D1297</f>
        <v>0.74697852171230961</v>
      </c>
      <c r="K612" s="478">
        <f xml:space="preserve"> [1]HDV_WTW!E1297</f>
        <v>0.77054115983266303</v>
      </c>
      <c r="L612" s="8"/>
      <c r="M612" s="160" t="s">
        <v>891</v>
      </c>
      <c r="N612" s="578">
        <f xml:space="preserve"> [1]HDV_WTW!B1447</f>
        <v>1.6614751338063932E-2</v>
      </c>
      <c r="O612" s="1553">
        <f xml:space="preserve"> [1]HDV_WTW!C1447</f>
        <v>1.6075958607340304E-2</v>
      </c>
      <c r="P612" s="1553">
        <f xml:space="preserve"> [1]HDV_WTW!D1447</f>
        <v>0</v>
      </c>
      <c r="Q612" s="478">
        <f xml:space="preserve"> [1]HDV_WTW!E1447</f>
        <v>3.2690709945404239E-2</v>
      </c>
      <c r="R612" s="8"/>
      <c r="S612" s="160" t="s">
        <v>891</v>
      </c>
      <c r="T612" s="578">
        <f xml:space="preserve"> [1]HDV_WTW!B1417</f>
        <v>3.4848089427631217E-3</v>
      </c>
      <c r="U612" s="1553">
        <f xml:space="preserve"> [1]HDV_WTW!C1417</f>
        <v>4.1838775660164714E-3</v>
      </c>
      <c r="V612" s="1553">
        <f xml:space="preserve"> [1]HDV_WTW!D1417</f>
        <v>0</v>
      </c>
      <c r="W612" s="478">
        <f xml:space="preserve"> [1]HDV_WTW!E1417</f>
        <v>7.6686865087795932E-3</v>
      </c>
      <c r="X612" s="8"/>
      <c r="Y612" s="8"/>
      <c r="Z612" s="8"/>
      <c r="AA612" s="8"/>
    </row>
    <row r="613" spans="1:27" ht="15.75">
      <c r="A613" s="160" t="s">
        <v>2325</v>
      </c>
      <c r="B613" s="578">
        <f xml:space="preserve"> [1]HDV_WTW!B1148</f>
        <v>1.1045105586913738E-2</v>
      </c>
      <c r="C613" s="1553">
        <f xml:space="preserve"> [1]HDV_WTW!C1148</f>
        <v>4.4946283252119031E-2</v>
      </c>
      <c r="D613" s="1553">
        <f xml:space="preserve"> [1]HDV_WTW!D1148</f>
        <v>1.016943787641996</v>
      </c>
      <c r="E613" s="478">
        <f xml:space="preserve"> [1]HDV_WTW!E1148</f>
        <v>1.0729351764810289</v>
      </c>
      <c r="F613" s="8"/>
      <c r="G613" s="160" t="s">
        <v>2325</v>
      </c>
      <c r="H613" s="578">
        <f xml:space="preserve"> [1]HDV_WTW!B1298</f>
        <v>7.2159113023528947E-3</v>
      </c>
      <c r="I613" s="1553">
        <f xml:space="preserve"> [1]HDV_WTW!C1298</f>
        <v>2.9363992110857252E-2</v>
      </c>
      <c r="J613" s="1553">
        <f xml:space="preserve"> [1]HDV_WTW!D1298</f>
        <v>1.016943787641996</v>
      </c>
      <c r="K613" s="478">
        <f xml:space="preserve"> [1]HDV_WTW!E1298</f>
        <v>1.0535236910552062</v>
      </c>
      <c r="L613" s="8"/>
      <c r="M613" s="160" t="s">
        <v>2325</v>
      </c>
      <c r="N613" s="578">
        <f xml:space="preserve"> [1]HDV_WTW!B1448</f>
        <v>1.973136627849487E-2</v>
      </c>
      <c r="O613" s="1553">
        <f xml:space="preserve"> [1]HDV_WTW!C1448</f>
        <v>2.3903271288662653E-2</v>
      </c>
      <c r="P613" s="1553">
        <f xml:space="preserve"> [1]HDV_WTW!D1448</f>
        <v>0</v>
      </c>
      <c r="Q613" s="478">
        <f xml:space="preserve"> [1]HDV_WTW!E1448</f>
        <v>4.3634637567157519E-2</v>
      </c>
      <c r="R613" s="8"/>
      <c r="S613" s="160" t="s">
        <v>2325</v>
      </c>
      <c r="T613" s="578">
        <f xml:space="preserve"> [1]HDV_WTW!B1418</f>
        <v>4.1770393558251909E-3</v>
      </c>
      <c r="U613" s="1553">
        <f xml:space="preserve"> [1]HDV_WTW!C1418</f>
        <v>2.0205486208471918E-2</v>
      </c>
      <c r="V613" s="1553">
        <f xml:space="preserve"> [1]HDV_WTW!D1418</f>
        <v>0</v>
      </c>
      <c r="W613" s="478">
        <f xml:space="preserve"> [1]HDV_WTW!E1418</f>
        <v>2.4382525564297111E-2</v>
      </c>
      <c r="X613" s="8"/>
      <c r="Y613" s="8"/>
      <c r="Z613" s="8"/>
      <c r="AA613" s="8"/>
    </row>
    <row r="614" spans="1:27" ht="15.75">
      <c r="A614" s="160" t="s">
        <v>2326</v>
      </c>
      <c r="B614" s="578">
        <f xml:space="preserve"> [1]HDV_WTW!B1149</f>
        <v>8.5475968734018517E-4</v>
      </c>
      <c r="C614" s="1553">
        <f xml:space="preserve"> [1]HDV_WTW!C1149</f>
        <v>9.1048086755940796E-3</v>
      </c>
      <c r="D614" s="1553">
        <f xml:space="preserve"> [1]HDV_WTW!D1149</f>
        <v>0.11397814197868646</v>
      </c>
      <c r="E614" s="478">
        <f xml:space="preserve"> [1]HDV_WTW!E1149</f>
        <v>0.12393771034162072</v>
      </c>
      <c r="F614" s="8"/>
      <c r="G614" s="160" t="s">
        <v>2326</v>
      </c>
      <c r="H614" s="578">
        <f xml:space="preserve"> [1]HDV_WTW!B1299</f>
        <v>5.584256338827013E-4</v>
      </c>
      <c r="I614" s="1553">
        <f xml:space="preserve"> [1]HDV_WTW!C1299</f>
        <v>5.9482900648610273E-3</v>
      </c>
      <c r="J614" s="1553">
        <f xml:space="preserve"> [1]HDV_WTW!D1299</f>
        <v>0.11397814197868646</v>
      </c>
      <c r="K614" s="478">
        <f xml:space="preserve"> [1]HDV_WTW!E1299</f>
        <v>0.12048485767743018</v>
      </c>
      <c r="L614" s="8"/>
      <c r="M614" s="160" t="s">
        <v>2326</v>
      </c>
      <c r="N614" s="578">
        <f xml:space="preserve"> [1]HDV_WTW!B1449</f>
        <v>1.1909524344040077E-4</v>
      </c>
      <c r="O614" s="1553">
        <f xml:space="preserve"> [1]HDV_WTW!C1449</f>
        <v>8.1864140217549151E-3</v>
      </c>
      <c r="P614" s="1553">
        <f xml:space="preserve"> [1]HDV_WTW!D1449</f>
        <v>0.1039232237809075</v>
      </c>
      <c r="Q614" s="478">
        <f xml:space="preserve"> [1]HDV_WTW!E1449</f>
        <v>0.11222873304610281</v>
      </c>
      <c r="R614" s="8"/>
      <c r="S614" s="160" t="s">
        <v>2326</v>
      </c>
      <c r="T614" s="578">
        <f xml:space="preserve"> [1]HDV_WTW!B1419</f>
        <v>6.0456075030350007E-5</v>
      </c>
      <c r="U614" s="1553">
        <f xml:space="preserve"> [1]HDV_WTW!C1419</f>
        <v>6.8232678517589811E-3</v>
      </c>
      <c r="V614" s="1553">
        <f xml:space="preserve"> [1]HDV_WTW!D1419</f>
        <v>0.1039232237809075</v>
      </c>
      <c r="W614" s="478">
        <f xml:space="preserve"> [1]HDV_WTW!E1419</f>
        <v>0.11080694770769683</v>
      </c>
      <c r="X614" s="8"/>
      <c r="Y614" s="8"/>
      <c r="Z614" s="8"/>
      <c r="AA614" s="8"/>
    </row>
    <row r="615" spans="1:27" ht="15.75">
      <c r="A615" s="160" t="s">
        <v>2327</v>
      </c>
      <c r="B615" s="578">
        <f xml:space="preserve"> [1]HDV_WTW!B1150</f>
        <v>7.574225682826217E-4</v>
      </c>
      <c r="C615" s="1553">
        <f xml:space="preserve"> [1]HDV_WTW!C1150</f>
        <v>7.8372523047949352E-3</v>
      </c>
      <c r="D615" s="1553">
        <f xml:space="preserve"> [1]HDV_WTW!D1150</f>
        <v>2.2571045258557576E-2</v>
      </c>
      <c r="E615" s="478">
        <f xml:space="preserve"> [1]HDV_WTW!E1150</f>
        <v>3.1165720131635134E-2</v>
      </c>
      <c r="F615" s="8"/>
      <c r="G615" s="160" t="s">
        <v>2327</v>
      </c>
      <c r="H615" s="578">
        <f xml:space="preserve"> [1]HDV_WTW!B1300</f>
        <v>4.9483402653961543E-4</v>
      </c>
      <c r="I615" s="1553">
        <f xml:space="preserve"> [1]HDV_WTW!C1300</f>
        <v>5.1201789824956547E-3</v>
      </c>
      <c r="J615" s="1553">
        <f xml:space="preserve"> [1]HDV_WTW!D1300</f>
        <v>2.2571045258557576E-2</v>
      </c>
      <c r="K615" s="478">
        <f xml:space="preserve"> [1]HDV_WTW!E1300</f>
        <v>2.8186058267592847E-2</v>
      </c>
      <c r="L615" s="8"/>
      <c r="M615" s="160" t="s">
        <v>2327</v>
      </c>
      <c r="N615" s="578">
        <f xml:space="preserve"> [1]HDV_WTW!B1450</f>
        <v>1.0871811394414024E-4</v>
      </c>
      <c r="O615" s="1553">
        <f xml:space="preserve"> [1]HDV_WTW!C1450</f>
        <v>7.9067249254765153E-3</v>
      </c>
      <c r="P615" s="1553">
        <f xml:space="preserve"> [1]HDV_WTW!D1450</f>
        <v>1.3320545804970168E-2</v>
      </c>
      <c r="Q615" s="478">
        <f xml:space="preserve"> [1]HDV_WTW!E1450</f>
        <v>2.1335988844390821E-2</v>
      </c>
      <c r="R615" s="8"/>
      <c r="S615" s="160" t="s">
        <v>2327</v>
      </c>
      <c r="T615" s="578">
        <f xml:space="preserve"> [1]HDV_WTW!B1420</f>
        <v>5.4253617087793954E-5</v>
      </c>
      <c r="U615" s="1553">
        <f xml:space="preserve"> [1]HDV_WTW!C1420</f>
        <v>6.4637528228319386E-3</v>
      </c>
      <c r="V615" s="1553">
        <f xml:space="preserve"> [1]HDV_WTW!D1420</f>
        <v>1.3320545804970168E-2</v>
      </c>
      <c r="W615" s="478">
        <f xml:space="preserve"> [1]HDV_WTW!E1420</f>
        <v>1.9838552244889902E-2</v>
      </c>
      <c r="X615" s="8"/>
      <c r="Y615" s="8"/>
      <c r="Z615" s="8"/>
      <c r="AA615" s="8"/>
    </row>
    <row r="616" spans="1:27" ht="15.75">
      <c r="A616" s="160" t="s">
        <v>2328</v>
      </c>
      <c r="B616" s="578">
        <f xml:space="preserve"> [1]HDV_WTW!B1151</f>
        <v>5.0578222635884514E-3</v>
      </c>
      <c r="C616" s="1553">
        <f xml:space="preserve"> [1]HDV_WTW!C1151</f>
        <v>1.4401793180267153E-2</v>
      </c>
      <c r="D616" s="1553">
        <f xml:space="preserve"> [1]HDV_WTW!D1151</f>
        <v>1.0030361089380425E-2</v>
      </c>
      <c r="E616" s="478">
        <f xml:space="preserve"> [1]HDV_WTW!E1151</f>
        <v>2.9489976533236029E-2</v>
      </c>
      <c r="F616" s="8"/>
      <c r="G616" s="160" t="s">
        <v>2328</v>
      </c>
      <c r="H616" s="578">
        <f xml:space="preserve"> [1]HDV_WTW!B1301</f>
        <v>3.3043411445845736E-3</v>
      </c>
      <c r="I616" s="1553">
        <f xml:space="preserve"> [1]HDV_WTW!C1301</f>
        <v>9.4088790157665549E-3</v>
      </c>
      <c r="J616" s="1553">
        <f xml:space="preserve"> [1]HDV_WTW!D1301</f>
        <v>6.5529655087493907E-3</v>
      </c>
      <c r="K616" s="478">
        <f xml:space="preserve"> [1]HDV_WTW!E1301</f>
        <v>1.926618566910052E-2</v>
      </c>
      <c r="L616" s="8"/>
      <c r="M616" s="160" t="s">
        <v>2328</v>
      </c>
      <c r="N616" s="578">
        <f xml:space="preserve"> [1]HDV_WTW!B1451</f>
        <v>1.4170769168475028E-3</v>
      </c>
      <c r="O616" s="1553">
        <f xml:space="preserve"> [1]HDV_WTW!C1451</f>
        <v>3.4546556741111172E-3</v>
      </c>
      <c r="P616" s="1553">
        <f xml:space="preserve"> [1]HDV_WTW!D1451</f>
        <v>0</v>
      </c>
      <c r="Q616" s="478">
        <f xml:space="preserve"> [1]HDV_WTW!E1451</f>
        <v>4.8717325909586199E-3</v>
      </c>
      <c r="R616" s="8"/>
      <c r="S616" s="160" t="s">
        <v>2328</v>
      </c>
      <c r="T616" s="578">
        <f xml:space="preserve"> [1]HDV_WTW!B1421</f>
        <v>8.7826920408935717E-4</v>
      </c>
      <c r="U616" s="1553">
        <f xml:space="preserve"> [1]HDV_WTW!C1421</f>
        <v>1.7082420217881304E-2</v>
      </c>
      <c r="V616" s="1553">
        <f xml:space="preserve"> [1]HDV_WTW!D1421</f>
        <v>0</v>
      </c>
      <c r="W616" s="478">
        <f xml:space="preserve"> [1]HDV_WTW!E1421</f>
        <v>1.7960689421970662E-2</v>
      </c>
      <c r="X616" s="8"/>
      <c r="Y616" s="8"/>
      <c r="Z616" s="8"/>
      <c r="AA616" s="8"/>
    </row>
    <row r="617" spans="1:27">
      <c r="A617" s="160" t="s">
        <v>896</v>
      </c>
      <c r="B617" s="578">
        <f xml:space="preserve"> [1]HDV_WTW!B1152</f>
        <v>8.1135678082872026E-5</v>
      </c>
      <c r="C617" s="1553">
        <f xml:space="preserve"> [1]HDV_WTW!C1152</f>
        <v>1.0124478802742401E-3</v>
      </c>
      <c r="D617" s="1553">
        <f xml:space="preserve"> [1]HDV_WTW!D1152</f>
        <v>2.8341666358136929E-3</v>
      </c>
      <c r="E617" s="478">
        <f xml:space="preserve"> [1]HDV_WTW!E1152</f>
        <v>3.9277501941708051E-3</v>
      </c>
      <c r="F617" s="8"/>
      <c r="G617" s="160" t="s">
        <v>896</v>
      </c>
      <c r="H617" s="578">
        <f xml:space="preserve"> [1]HDV_WTW!B1302</f>
        <v>5.300699498933951E-5</v>
      </c>
      <c r="I617" s="1553">
        <f xml:space="preserve"> [1]HDV_WTW!C1302</f>
        <v>6.61445383643047E-4</v>
      </c>
      <c r="J617" s="1553">
        <f xml:space="preserve"> [1]HDV_WTW!D1302</f>
        <v>2.8341666358136929E-3</v>
      </c>
      <c r="K617" s="478">
        <f xml:space="preserve"> [1]HDV_WTW!E1302</f>
        <v>3.5486190144460791E-3</v>
      </c>
      <c r="L617" s="8"/>
      <c r="M617" s="160" t="s">
        <v>896</v>
      </c>
      <c r="N617" s="578">
        <f xml:space="preserve"> [1]HDV_WTW!B1452</f>
        <v>1.8123354871074271E-5</v>
      </c>
      <c r="O617" s="1553">
        <f xml:space="preserve"> [1]HDV_WTW!C1452</f>
        <v>2.2929502283881891E-4</v>
      </c>
      <c r="P617" s="1553">
        <f xml:space="preserve"> [1]HDV_WTW!D1452</f>
        <v>1.7012495614006173E-3</v>
      </c>
      <c r="Q617" s="478">
        <f xml:space="preserve"> [1]HDV_WTW!E1452</f>
        <v>1.9486679391105106E-3</v>
      </c>
      <c r="R617" s="8"/>
      <c r="S617" s="160" t="s">
        <v>896</v>
      </c>
      <c r="T617" s="578">
        <f xml:space="preserve"> [1]HDV_WTW!B1422</f>
        <v>9.0196803020479625E-6</v>
      </c>
      <c r="U617" s="1553">
        <f xml:space="preserve"> [1]HDV_WTW!C1422</f>
        <v>5.4672920368339407E-4</v>
      </c>
      <c r="V617" s="1553">
        <f xml:space="preserve"> [1]HDV_WTW!D1422</f>
        <v>1.7012495614006173E-3</v>
      </c>
      <c r="W617" s="478">
        <f xml:space="preserve"> [1]HDV_WTW!E1422</f>
        <v>2.2569984453860593E-3</v>
      </c>
      <c r="X617" s="8"/>
      <c r="Y617" s="8"/>
      <c r="Z617" s="8"/>
      <c r="AA617" s="8"/>
    </row>
    <row r="618" spans="1:27">
      <c r="A618" s="161" t="s">
        <v>897</v>
      </c>
      <c r="B618" s="584">
        <f xml:space="preserve"> [1]HDV_WTW!B1153</f>
        <v>2.4283768854520843E-4</v>
      </c>
      <c r="C618" s="637">
        <f xml:space="preserve"> [1]HDV_WTW!C1153</f>
        <v>1.3051693548640582E-3</v>
      </c>
      <c r="D618" s="637">
        <f xml:space="preserve"> [1]HDV_WTW!D1153</f>
        <v>4.2263042100489315E-3</v>
      </c>
      <c r="E618" s="585">
        <f xml:space="preserve"> [1]HDV_WTW!E1153</f>
        <v>5.7743112534581979E-3</v>
      </c>
      <c r="F618" s="8"/>
      <c r="G618" s="161" t="s">
        <v>897</v>
      </c>
      <c r="H618" s="584">
        <f xml:space="preserve"> [1]HDV_WTW!B1303</f>
        <v>1.5864902400632044E-4</v>
      </c>
      <c r="I618" s="637">
        <f xml:space="preserve"> [1]HDV_WTW!C1303</f>
        <v>8.526841346276166E-4</v>
      </c>
      <c r="J618" s="637">
        <f xml:space="preserve"> [1]HDV_WTW!D1303</f>
        <v>4.2263042100489315E-3</v>
      </c>
      <c r="K618" s="585">
        <f xml:space="preserve"> [1]HDV_WTW!E1303</f>
        <v>5.2376373686828688E-3</v>
      </c>
      <c r="L618" s="8"/>
      <c r="M618" s="161" t="s">
        <v>897</v>
      </c>
      <c r="N618" s="584">
        <f xml:space="preserve"> [1]HDV_WTW!B1453</f>
        <v>3.5923005147242395E-5</v>
      </c>
      <c r="O618" s="637">
        <f xml:space="preserve"> [1]HDV_WTW!C1453</f>
        <v>5.3765729493240304E-3</v>
      </c>
      <c r="P618" s="637">
        <f xml:space="preserve"> [1]HDV_WTW!D1453</f>
        <v>2.2564062830188994E-3</v>
      </c>
      <c r="Q618" s="585">
        <f xml:space="preserve"> [1]HDV_WTW!E1453</f>
        <v>7.6689022374901716E-3</v>
      </c>
      <c r="R618" s="8"/>
      <c r="S618" s="161" t="s">
        <v>897</v>
      </c>
      <c r="T618" s="584">
        <f xml:space="preserve"> [1]HDV_WTW!B1423</f>
        <v>1.6885541890810553E-5</v>
      </c>
      <c r="U618" s="637">
        <f xml:space="preserve"> [1]HDV_WTW!C1423</f>
        <v>1.7141262394667748E-3</v>
      </c>
      <c r="V618" s="637">
        <f xml:space="preserve"> [1]HDV_WTW!D1423</f>
        <v>2.2564062830188994E-3</v>
      </c>
      <c r="W618" s="585">
        <f xml:space="preserve"> [1]HDV_WTW!E1423</f>
        <v>3.9874180643764846E-3</v>
      </c>
      <c r="X618" s="8"/>
      <c r="Y618" s="8"/>
      <c r="Z618" s="8"/>
      <c r="AA618" s="8"/>
    </row>
    <row r="619" spans="1:27">
      <c r="A619" s="8"/>
      <c r="B619" s="8"/>
      <c r="C619" s="8"/>
      <c r="D619" s="8"/>
      <c r="E619" s="8"/>
      <c r="F619" s="8"/>
      <c r="G619" s="8"/>
      <c r="H619" s="8"/>
      <c r="I619" s="8"/>
      <c r="J619" s="8"/>
      <c r="K619" s="8"/>
      <c r="L619" s="8"/>
      <c r="M619" s="8"/>
      <c r="N619" s="8"/>
      <c r="O619" s="8"/>
      <c r="P619" s="8"/>
      <c r="Q619" s="8"/>
      <c r="R619" s="8"/>
      <c r="S619" s="8"/>
      <c r="T619" s="8"/>
      <c r="U619" s="8"/>
      <c r="V619" s="8"/>
      <c r="W619" s="8"/>
      <c r="X619" s="8"/>
      <c r="Y619" s="8"/>
      <c r="Z619" s="8"/>
      <c r="AA619" s="8"/>
    </row>
    <row r="620" spans="1:27">
      <c r="A620" s="63" t="s">
        <v>2329</v>
      </c>
      <c r="B620" s="8"/>
      <c r="C620" s="8"/>
      <c r="D620" s="8"/>
      <c r="E620" s="8"/>
      <c r="F620" s="8"/>
      <c r="G620" s="8"/>
      <c r="H620" s="8"/>
      <c r="I620" s="8"/>
      <c r="J620" s="8"/>
      <c r="K620" s="8"/>
      <c r="L620" s="8"/>
      <c r="M620" s="8"/>
      <c r="N620" s="8"/>
      <c r="O620" s="8"/>
      <c r="P620" s="8"/>
      <c r="Q620" s="8"/>
      <c r="R620" s="8"/>
      <c r="S620" s="8"/>
      <c r="T620" s="8"/>
      <c r="U620" s="8"/>
      <c r="V620" s="8"/>
      <c r="W620" s="8"/>
      <c r="X620" s="8"/>
      <c r="Y620" s="8"/>
      <c r="Z620" s="8"/>
      <c r="AA620" s="8"/>
    </row>
    <row r="621" spans="1:27">
      <c r="A621" s="8"/>
      <c r="B621" s="8"/>
      <c r="C621" s="8"/>
      <c r="D621" s="8"/>
      <c r="E621" s="8"/>
      <c r="F621" s="8"/>
      <c r="G621" s="8"/>
      <c r="H621" s="8"/>
      <c r="I621" s="8"/>
      <c r="J621" s="8"/>
      <c r="K621" s="8"/>
      <c r="L621" s="8"/>
      <c r="M621" s="8"/>
      <c r="N621" s="8"/>
      <c r="O621" s="8"/>
      <c r="P621" s="8"/>
      <c r="Q621" s="8"/>
      <c r="R621" s="8"/>
      <c r="S621" s="8"/>
      <c r="T621" s="8"/>
      <c r="U621" s="8"/>
      <c r="V621" s="8"/>
      <c r="W621" s="8"/>
      <c r="X621" s="8"/>
      <c r="Y621" s="8"/>
      <c r="Z621" s="8"/>
      <c r="AA621" s="8"/>
    </row>
    <row r="622" spans="1:27">
      <c r="A622" s="63" t="str" cm="1">
        <f t="array" ref="A622" xml:space="preserve"> [1]!RNAV_SHT_CIDI_Diesel</f>
        <v>CIDI Combination Short-Haul Trucks: Conventional and LS Diesel</v>
      </c>
      <c r="B622" s="8"/>
      <c r="C622" s="8"/>
      <c r="D622" s="8"/>
      <c r="E622" s="8"/>
      <c r="F622" s="8"/>
      <c r="G622" s="63" t="str" cm="1">
        <f t="array" ref="G622" xml:space="preserve"> [1]!RNAV_SHT_CIDIHEV_Diesel</f>
        <v>Grid-Independent Hybrid Short-haul Trucks : Conventional and LS Diesel</v>
      </c>
      <c r="H622" s="8"/>
      <c r="I622" s="8"/>
      <c r="J622" s="8"/>
      <c r="K622" s="8"/>
      <c r="L622" s="8"/>
      <c r="M622" s="63" t="str" cm="1">
        <f t="array" ref="M622" xml:space="preserve"> [1]!RNAV_SHT_BEV</f>
        <v>Combination Short-Haul Trucks: Electricity, NGCC Turbine</v>
      </c>
      <c r="N622" s="8"/>
      <c r="O622" s="8"/>
      <c r="P622" s="8"/>
      <c r="Q622" s="8"/>
      <c r="R622" s="8"/>
      <c r="S622" s="2730" t="str" cm="1">
        <f t="array" ref="S622" xml:space="preserve"> [1]!RNAV_SHT_FC_GH2</f>
        <v>Fuel-Cell Combination Short-Haul Trucks: G.H2, Central Plants, NA NG</v>
      </c>
      <c r="T622" s="8"/>
      <c r="U622" s="8"/>
      <c r="V622" s="8"/>
      <c r="W622" s="8"/>
      <c r="X622" s="8"/>
      <c r="Y622" s="8"/>
      <c r="Z622" s="8"/>
      <c r="AA622" s="8"/>
    </row>
    <row r="623" spans="1:27">
      <c r="A623" s="135"/>
      <c r="B623" s="2736" t="str">
        <f xml:space="preserve"> [1]HDV_WTW!$B$406</f>
        <v>Btu/mile or Gallon/mile or g/mile</v>
      </c>
      <c r="C623" s="2530"/>
      <c r="D623" s="2530"/>
      <c r="E623" s="2531"/>
      <c r="F623" s="8"/>
      <c r="G623" s="135"/>
      <c r="H623" s="2736" t="str">
        <f xml:space="preserve"> [1]HDV_WTW!$B$706</f>
        <v>Btu/mile or Gallon/mile or g/mile</v>
      </c>
      <c r="I623" s="2530"/>
      <c r="J623" s="2530"/>
      <c r="K623" s="2531"/>
      <c r="L623" s="8"/>
      <c r="M623" s="135"/>
      <c r="N623" s="2736" t="str">
        <f xml:space="preserve"> [1]HDV_WTW!$B$646</f>
        <v>Btu/mile or Gallon/mile or g/mile</v>
      </c>
      <c r="O623" s="2530"/>
      <c r="P623" s="2530"/>
      <c r="Q623" s="2531"/>
      <c r="R623" s="8"/>
      <c r="S623" s="135"/>
      <c r="T623" s="2737" t="str">
        <f xml:space="preserve"> [1]HDV_WTW!B616</f>
        <v>Btu/mile or Gallon/mile or g/mile</v>
      </c>
      <c r="U623" s="2738"/>
      <c r="V623" s="2530"/>
      <c r="W623" s="2531"/>
      <c r="X623" s="8"/>
      <c r="Y623" s="8"/>
      <c r="Z623" s="8"/>
      <c r="AA623" s="8"/>
    </row>
    <row r="624" spans="1:27" ht="25.5">
      <c r="A624" s="161" t="s">
        <v>1923</v>
      </c>
      <c r="B624" s="774" t="s">
        <v>2077</v>
      </c>
      <c r="C624" s="2732" t="s">
        <v>1971</v>
      </c>
      <c r="D624" s="2732" t="s">
        <v>1926</v>
      </c>
      <c r="E624" s="775" t="s">
        <v>1894</v>
      </c>
      <c r="F624" s="8"/>
      <c r="G624" s="161" t="s">
        <v>1923</v>
      </c>
      <c r="H624" s="774" t="s">
        <v>2077</v>
      </c>
      <c r="I624" s="2732" t="s">
        <v>1971</v>
      </c>
      <c r="J624" s="2732" t="s">
        <v>1926</v>
      </c>
      <c r="K624" s="775" t="s">
        <v>1894</v>
      </c>
      <c r="L624" s="8"/>
      <c r="M624" s="161" t="s">
        <v>1923</v>
      </c>
      <c r="N624" s="774" t="s">
        <v>2077</v>
      </c>
      <c r="O624" s="2732" t="s">
        <v>1971</v>
      </c>
      <c r="P624" s="2732" t="s">
        <v>1926</v>
      </c>
      <c r="Q624" s="775" t="s">
        <v>1894</v>
      </c>
      <c r="R624" s="8"/>
      <c r="S624" s="161" t="s">
        <v>1923</v>
      </c>
      <c r="T624" s="774" t="s">
        <v>2077</v>
      </c>
      <c r="U624" s="2732" t="s">
        <v>1971</v>
      </c>
      <c r="V624" s="2732" t="s">
        <v>1926</v>
      </c>
      <c r="W624" s="775" t="s">
        <v>1894</v>
      </c>
      <c r="X624" s="8"/>
      <c r="Y624" s="8"/>
      <c r="Z624" s="8"/>
      <c r="AA624" s="8"/>
    </row>
    <row r="625" spans="1:27">
      <c r="A625" s="160" t="s">
        <v>2105</v>
      </c>
      <c r="B625" s="2733">
        <f xml:space="preserve"> [1]HDV_WTW!B408</f>
        <v>1869.6120079732184</v>
      </c>
      <c r="C625" s="2734">
        <f xml:space="preserve"> [1]HDV_WTW!C408</f>
        <v>3441.3201839597577</v>
      </c>
      <c r="D625" s="2734">
        <f xml:space="preserve"> [1]HDV_WTW!D408</f>
        <v>29076.049483967403</v>
      </c>
      <c r="E625" s="2735">
        <f xml:space="preserve"> [1]HDV_WTW!E408</f>
        <v>34386.981675900381</v>
      </c>
      <c r="F625" s="8"/>
      <c r="G625" s="160" t="s">
        <v>2105</v>
      </c>
      <c r="H625" s="2733">
        <f xml:space="preserve"> [1]HDV_WTW!B708</f>
        <v>1310.8645548620857</v>
      </c>
      <c r="I625" s="2734">
        <f xml:space="preserve"> [1]HDV_WTW!C708</f>
        <v>2412.8560534731751</v>
      </c>
      <c r="J625" s="2734">
        <f xml:space="preserve"> [1]HDV_WTW!D708</f>
        <v>20386.455853622698</v>
      </c>
      <c r="K625" s="2735">
        <f xml:space="preserve"> [1]HDV_WTW!E708</f>
        <v>24110.176461957959</v>
      </c>
      <c r="L625" s="8"/>
      <c r="M625" s="160" t="s">
        <v>2105</v>
      </c>
      <c r="N625" s="2733">
        <f xml:space="preserve"> [1]HDV_WTW!B648</f>
        <v>1649.1520493329249</v>
      </c>
      <c r="O625" s="2734">
        <f xml:space="preserve"> [1]HDV_WTW!C648</f>
        <v>9415.2815471586637</v>
      </c>
      <c r="P625" s="2734">
        <f xml:space="preserve"> [1]HDV_WTW!D648</f>
        <v>9080.1327885048213</v>
      </c>
      <c r="Q625" s="2735">
        <f xml:space="preserve"> [1]HDV_WTW!E648</f>
        <v>20144.566384996411</v>
      </c>
      <c r="R625" s="8"/>
      <c r="S625" s="160" t="s">
        <v>2105</v>
      </c>
      <c r="T625" s="2733">
        <f xml:space="preserve"> [1]HDV_WTW!B618</f>
        <v>1153.0883490976153</v>
      </c>
      <c r="U625" s="2734">
        <f xml:space="preserve"> [1]HDV_WTW!C618</f>
        <v>8549.7646079326332</v>
      </c>
      <c r="V625" s="2734">
        <f xml:space="preserve"> [1]HDV_WTW!D618</f>
        <v>18462.413916438956</v>
      </c>
      <c r="W625" s="2735">
        <f xml:space="preserve"> [1]HDV_WTW!E618</f>
        <v>28165.266873469205</v>
      </c>
      <c r="X625" s="8"/>
      <c r="Y625" s="8"/>
      <c r="Z625" s="8"/>
      <c r="AA625" s="8"/>
    </row>
    <row r="626" spans="1:27">
      <c r="A626" s="160" t="s">
        <v>2106</v>
      </c>
      <c r="B626" s="650">
        <f xml:space="preserve"> [1]HDV_WTW!B409</f>
        <v>1756.3245680266123</v>
      </c>
      <c r="C626" s="522">
        <f xml:space="preserve"> [1]HDV_WTW!C409</f>
        <v>3389.0355225898738</v>
      </c>
      <c r="D626" s="522">
        <f xml:space="preserve"> [1]HDV_WTW!D409</f>
        <v>29076.049483967403</v>
      </c>
      <c r="E626" s="159">
        <f xml:space="preserve"> [1]HDV_WTW!E409</f>
        <v>34221.409574583886</v>
      </c>
      <c r="F626" s="8"/>
      <c r="G626" s="160" t="s">
        <v>2106</v>
      </c>
      <c r="H626" s="650">
        <f xml:space="preserve"> [1]HDV_WTW!B709</f>
        <v>1231.4339088757765</v>
      </c>
      <c r="I626" s="522">
        <f xml:space="preserve"> [1]HDV_WTW!C709</f>
        <v>2376.1970520009672</v>
      </c>
      <c r="J626" s="522">
        <f xml:space="preserve"> [1]HDV_WTW!D709</f>
        <v>20386.455853622698</v>
      </c>
      <c r="K626" s="159">
        <f xml:space="preserve"> [1]HDV_WTW!E709</f>
        <v>23994.086814499442</v>
      </c>
      <c r="L626" s="8"/>
      <c r="M626" s="160" t="s">
        <v>2106</v>
      </c>
      <c r="N626" s="650">
        <f xml:space="preserve"> [1]HDV_WTW!B649</f>
        <v>1637.4477244625164</v>
      </c>
      <c r="O626" s="522">
        <f xml:space="preserve"> [1]HDV_WTW!C649</f>
        <v>9415.2815471586637</v>
      </c>
      <c r="P626" s="522">
        <f xml:space="preserve"> [1]HDV_WTW!D649</f>
        <v>9080.1327885048213</v>
      </c>
      <c r="Q626" s="159">
        <f xml:space="preserve"> [1]HDV_WTW!E649</f>
        <v>20132.862060126001</v>
      </c>
      <c r="R626" s="8"/>
      <c r="S626" s="160" t="s">
        <v>2106</v>
      </c>
      <c r="T626" s="650">
        <f xml:space="preserve"> [1]HDV_WTW!B619</f>
        <v>1144.9961948110258</v>
      </c>
      <c r="U626" s="522">
        <f xml:space="preserve"> [1]HDV_WTW!C619</f>
        <v>7686.6753139490438</v>
      </c>
      <c r="V626" s="522">
        <f xml:space="preserve"> [1]HDV_WTW!D619</f>
        <v>18462.413916438956</v>
      </c>
      <c r="W626" s="159">
        <f xml:space="preserve"> [1]HDV_WTW!E619</f>
        <v>27294.085425199024</v>
      </c>
      <c r="X626" s="8"/>
      <c r="Y626" s="8"/>
      <c r="Z626" s="8"/>
      <c r="AA626" s="8"/>
    </row>
    <row r="627" spans="1:27">
      <c r="A627" s="160" t="s">
        <v>442</v>
      </c>
      <c r="B627" s="650">
        <f xml:space="preserve"> [1]HDV_WTW!B410</f>
        <v>141.37704727543593</v>
      </c>
      <c r="C627" s="522">
        <f xml:space="preserve"> [1]HDV_WTW!C410</f>
        <v>68.830184743252701</v>
      </c>
      <c r="D627" s="522">
        <f xml:space="preserve"> [1]HDV_WTW!D410</f>
        <v>0</v>
      </c>
      <c r="E627" s="159">
        <f xml:space="preserve"> [1]HDV_WTW!E410</f>
        <v>210.20723201868861</v>
      </c>
      <c r="F627" s="8"/>
      <c r="G627" s="160" t="s">
        <v>442</v>
      </c>
      <c r="H627" s="650">
        <f xml:space="preserve"> [1]HDV_WTW!B710</f>
        <v>99.125465259145415</v>
      </c>
      <c r="I627" s="522">
        <f xml:space="preserve"> [1]HDV_WTW!C710</f>
        <v>48.259772134407221</v>
      </c>
      <c r="J627" s="522">
        <f xml:space="preserve"> [1]HDV_WTW!D710</f>
        <v>0</v>
      </c>
      <c r="K627" s="159">
        <f xml:space="preserve"> [1]HDV_WTW!E710</f>
        <v>147.38523739355264</v>
      </c>
      <c r="L627" s="8"/>
      <c r="M627" s="160" t="s">
        <v>442</v>
      </c>
      <c r="N627" s="650">
        <f xml:space="preserve"> [1]HDV_WTW!B650</f>
        <v>15.451512837099903</v>
      </c>
      <c r="O627" s="522">
        <f xml:space="preserve"> [1]HDV_WTW!C650</f>
        <v>0</v>
      </c>
      <c r="P627" s="522">
        <f xml:space="preserve"> [1]HDV_WTW!D650</f>
        <v>0</v>
      </c>
      <c r="Q627" s="159">
        <f xml:space="preserve"> [1]HDV_WTW!E650</f>
        <v>15.451512837099903</v>
      </c>
      <c r="R627" s="8"/>
      <c r="S627" s="160" t="s">
        <v>442</v>
      </c>
      <c r="T627" s="650">
        <f xml:space="preserve"> [1]HDV_WTW!B620</f>
        <v>10.680327767779835</v>
      </c>
      <c r="U627" s="522">
        <f xml:space="preserve"> [1]HDV_WTW!C620</f>
        <v>1140.9302063583684</v>
      </c>
      <c r="V627" s="522">
        <f xml:space="preserve"> [1]HDV_WTW!D620</f>
        <v>0</v>
      </c>
      <c r="W627" s="159">
        <f xml:space="preserve"> [1]HDV_WTW!E620</f>
        <v>1151.6105341261482</v>
      </c>
      <c r="X627" s="8"/>
      <c r="Y627" s="8"/>
      <c r="Z627" s="8"/>
      <c r="AA627" s="8"/>
    </row>
    <row r="628" spans="1:27">
      <c r="A628" s="160" t="s">
        <v>2017</v>
      </c>
      <c r="B628" s="650">
        <f xml:space="preserve"> [1]HDV_WTW!B411</f>
        <v>1295.0929103005269</v>
      </c>
      <c r="C628" s="522">
        <f xml:space="preserve"> [1]HDV_WTW!C411</f>
        <v>2289.1225799250624</v>
      </c>
      <c r="D628" s="522">
        <f xml:space="preserve"> [1]HDV_WTW!D411</f>
        <v>0</v>
      </c>
      <c r="E628" s="159">
        <f xml:space="preserve"> [1]HDV_WTW!E411</f>
        <v>3584.2154902255893</v>
      </c>
      <c r="F628" s="8"/>
      <c r="G628" s="160" t="s">
        <v>2017</v>
      </c>
      <c r="H628" s="650">
        <f xml:space="preserve"> [1]HDV_WTW!B711</f>
        <v>908.04476229618967</v>
      </c>
      <c r="I628" s="522">
        <f xml:space="preserve"> [1]HDV_WTW!C711</f>
        <v>1605.0012724357725</v>
      </c>
      <c r="J628" s="522">
        <f xml:space="preserve"> [1]HDV_WTW!D711</f>
        <v>0</v>
      </c>
      <c r="K628" s="159">
        <f xml:space="preserve"> [1]HDV_WTW!E711</f>
        <v>2513.0460347319622</v>
      </c>
      <c r="L628" s="8"/>
      <c r="M628" s="160" t="s">
        <v>2017</v>
      </c>
      <c r="N628" s="650">
        <f xml:space="preserve"> [1]HDV_WTW!B651</f>
        <v>1548.8114454673673</v>
      </c>
      <c r="O628" s="522">
        <f xml:space="preserve"> [1]HDV_WTW!C651</f>
        <v>9415.2815471586637</v>
      </c>
      <c r="P628" s="522">
        <f xml:space="preserve"> [1]HDV_WTW!D651</f>
        <v>9080.1327885048213</v>
      </c>
      <c r="Q628" s="159">
        <f xml:space="preserve"> [1]HDV_WTW!E651</f>
        <v>20044.225781130852</v>
      </c>
      <c r="R628" s="8"/>
      <c r="S628" s="160" t="s">
        <v>2017</v>
      </c>
      <c r="T628" s="650">
        <f xml:space="preserve"> [1]HDV_WTW!B621</f>
        <v>1074.7193646973376</v>
      </c>
      <c r="U628" s="522">
        <f xml:space="preserve"> [1]HDV_WTW!C621</f>
        <v>6482.540372313083</v>
      </c>
      <c r="V628" s="522">
        <f xml:space="preserve"> [1]HDV_WTW!D621</f>
        <v>18462.413916438956</v>
      </c>
      <c r="W628" s="159">
        <f xml:space="preserve"> [1]HDV_WTW!E621</f>
        <v>26019.673653449376</v>
      </c>
      <c r="X628" s="8"/>
      <c r="Y628" s="8"/>
      <c r="Z628" s="8"/>
      <c r="AA628" s="8"/>
    </row>
    <row r="629" spans="1:27">
      <c r="A629" s="160" t="s">
        <v>440</v>
      </c>
      <c r="B629" s="650">
        <f xml:space="preserve"> [1]HDV_WTW!B412</f>
        <v>319.85461045064955</v>
      </c>
      <c r="C629" s="522">
        <f xml:space="preserve"> [1]HDV_WTW!C412</f>
        <v>1031.0827579215588</v>
      </c>
      <c r="D629" s="522">
        <f xml:space="preserve"> [1]HDV_WTW!D412</f>
        <v>29076.049483967403</v>
      </c>
      <c r="E629" s="159">
        <f xml:space="preserve"> [1]HDV_WTW!E412</f>
        <v>30426.986852339611</v>
      </c>
      <c r="F629" s="8"/>
      <c r="G629" s="160" t="s">
        <v>440</v>
      </c>
      <c r="H629" s="650">
        <f xml:space="preserve"> [1]HDV_WTW!B712</f>
        <v>224.26368132044144</v>
      </c>
      <c r="I629" s="522">
        <f xml:space="preserve"> [1]HDV_WTW!C712</f>
        <v>722.9360074307873</v>
      </c>
      <c r="J629" s="522">
        <f xml:space="preserve"> [1]HDV_WTW!D712</f>
        <v>20386.455853622698</v>
      </c>
      <c r="K629" s="159">
        <f xml:space="preserve"> [1]HDV_WTW!E712</f>
        <v>21333.655542373926</v>
      </c>
      <c r="L629" s="8"/>
      <c r="M629" s="160" t="s">
        <v>440</v>
      </c>
      <c r="N629" s="650">
        <f xml:space="preserve"> [1]HDV_WTW!B652</f>
        <v>73.184766158049058</v>
      </c>
      <c r="O629" s="522">
        <f xml:space="preserve"> [1]HDV_WTW!C652</f>
        <v>0</v>
      </c>
      <c r="P629" s="522">
        <f xml:space="preserve"> [1]HDV_WTW!D652</f>
        <v>0</v>
      </c>
      <c r="Q629" s="159">
        <f xml:space="preserve"> [1]HDV_WTW!E652</f>
        <v>73.184766158049058</v>
      </c>
      <c r="R629" s="8"/>
      <c r="S629" s="160" t="s">
        <v>440</v>
      </c>
      <c r="T629" s="650">
        <f xml:space="preserve"> [1]HDV_WTW!B622</f>
        <v>59.596502345908476</v>
      </c>
      <c r="U629" s="522">
        <f xml:space="preserve"> [1]HDV_WTW!C622</f>
        <v>63.204735277592974</v>
      </c>
      <c r="V629" s="522">
        <f xml:space="preserve"> [1]HDV_WTW!D622</f>
        <v>0</v>
      </c>
      <c r="W629" s="159">
        <f xml:space="preserve"> [1]HDV_WTW!E622</f>
        <v>122.80123762350145</v>
      </c>
      <c r="X629" s="8"/>
      <c r="Y629" s="8"/>
      <c r="Z629" s="8"/>
      <c r="AA629" s="8"/>
    </row>
    <row r="630" spans="1:27">
      <c r="A630" s="160" t="s">
        <v>819</v>
      </c>
      <c r="B630" s="650">
        <f xml:space="preserve"> [1]HDV_WTW!B413</f>
        <v>0.51478452354106852</v>
      </c>
      <c r="C630" s="522">
        <f xml:space="preserve"> [1]HDV_WTW!C413</f>
        <v>0.11934143163228886</v>
      </c>
      <c r="D630" s="522">
        <f xml:space="preserve"> [1]HDV_WTW!D413</f>
        <v>0</v>
      </c>
      <c r="E630" s="159">
        <f xml:space="preserve"> [1]HDV_WTW!E413</f>
        <v>0.63412595517335735</v>
      </c>
      <c r="F630" s="8"/>
      <c r="G630" s="160" t="s">
        <v>819</v>
      </c>
      <c r="H630" s="650">
        <f xml:space="preserve"> [1]HDV_WTW!B713</f>
        <v>0.36093734016668771</v>
      </c>
      <c r="I630" s="522">
        <f xml:space="preserve"> [1]HDV_WTW!C713</f>
        <v>8.3675357232464512E-2</v>
      </c>
      <c r="J630" s="522">
        <f xml:space="preserve"> [1]HDV_WTW!D713</f>
        <v>0</v>
      </c>
      <c r="K630" s="159">
        <f xml:space="preserve"> [1]HDV_WTW!E713</f>
        <v>0.44461269739915221</v>
      </c>
      <c r="L630" s="8"/>
      <c r="M630" s="160" t="s">
        <v>819</v>
      </c>
      <c r="N630" s="650">
        <f xml:space="preserve"> [1]HDV_WTW!B653</f>
        <v>5.5754746155992067E-2</v>
      </c>
      <c r="O630" s="522">
        <f xml:space="preserve"> [1]HDV_WTW!C653</f>
        <v>0.44424241595034814</v>
      </c>
      <c r="P630" s="522">
        <f xml:space="preserve"> [1]HDV_WTW!D653</f>
        <v>0</v>
      </c>
      <c r="Q630" s="159">
        <f xml:space="preserve"> [1]HDV_WTW!E653</f>
        <v>0.49999716210634021</v>
      </c>
      <c r="R630" s="8"/>
      <c r="S630" s="160" t="s">
        <v>819</v>
      </c>
      <c r="T630" s="650">
        <f xml:space="preserve"> [1]HDV_WTW!B623</f>
        <v>4.5302889184376485E-2</v>
      </c>
      <c r="U630" s="522">
        <f xml:space="preserve"> [1]HDV_WTW!C623</f>
        <v>0.63207263895391008</v>
      </c>
      <c r="V630" s="522">
        <f xml:space="preserve"> [1]HDV_WTW!D623</f>
        <v>0</v>
      </c>
      <c r="W630" s="159">
        <f xml:space="preserve"> [1]HDV_WTW!E623</f>
        <v>0.67737552813828661</v>
      </c>
      <c r="X630" s="8"/>
      <c r="Y630" s="8"/>
      <c r="Z630" s="8"/>
      <c r="AA630" s="8"/>
    </row>
    <row r="631" spans="1:27" ht="15.75">
      <c r="A631" s="160" t="s">
        <v>2319</v>
      </c>
      <c r="B631" s="650">
        <f xml:space="preserve"> [1]HDV_WTW!B414</f>
        <v>154.51358663057525</v>
      </c>
      <c r="C631" s="522">
        <f xml:space="preserve"> [1]HDV_WTW!C414</f>
        <v>222.37534016829531</v>
      </c>
      <c r="D631" s="522">
        <f xml:space="preserve"> [1]HDV_WTW!D414</f>
        <v>2299.0567922288456</v>
      </c>
      <c r="E631" s="159">
        <f xml:space="preserve"> [1]HDV_WTW!E414</f>
        <v>2675.9457190277162</v>
      </c>
      <c r="F631" s="8"/>
      <c r="G631" s="160" t="s">
        <v>2319</v>
      </c>
      <c r="H631" s="650">
        <f xml:space="preserve"> [1]HDV_WTW!B714</f>
        <v>108.33605212998545</v>
      </c>
      <c r="I631" s="522">
        <f xml:space="preserve"> [1]HDV_WTW!C714</f>
        <v>155.91681592697228</v>
      </c>
      <c r="J631" s="522">
        <f xml:space="preserve"> [1]HDV_WTW!D714</f>
        <v>1611.9510804898825</v>
      </c>
      <c r="K631" s="159">
        <f xml:space="preserve"> [1]HDV_WTW!E714</f>
        <v>1876.2039485468404</v>
      </c>
      <c r="L631" s="8"/>
      <c r="M631" s="160" t="s">
        <v>2319</v>
      </c>
      <c r="N631" s="650">
        <f xml:space="preserve"> [1]HDV_WTW!B654</f>
        <v>99.9152213825503</v>
      </c>
      <c r="O631" s="522">
        <f xml:space="preserve"> [1]HDV_WTW!C654</f>
        <v>1098.7926007550393</v>
      </c>
      <c r="P631" s="522">
        <f xml:space="preserve"> [1]HDV_WTW!D654</f>
        <v>0</v>
      </c>
      <c r="Q631" s="159">
        <f xml:space="preserve"> [1]HDV_WTW!E654</f>
        <v>1198.7078221375896</v>
      </c>
      <c r="R631" s="8"/>
      <c r="S631" s="160" t="s">
        <v>2319</v>
      </c>
      <c r="T631" s="650">
        <f xml:space="preserve"> [1]HDV_WTW!B624</f>
        <v>71.272240400431315</v>
      </c>
      <c r="U631" s="522">
        <f xml:space="preserve"> [1]HDV_WTW!C624</f>
        <v>1602.0190993731858</v>
      </c>
      <c r="V631" s="522">
        <f xml:space="preserve"> [1]HDV_WTW!D624</f>
        <v>0</v>
      </c>
      <c r="W631" s="159">
        <f xml:space="preserve"> [1]HDV_WTW!E624</f>
        <v>1673.291339773617</v>
      </c>
      <c r="X631" s="8"/>
      <c r="Y631" s="8"/>
      <c r="Z631" s="8"/>
      <c r="AA631" s="8"/>
    </row>
    <row r="632" spans="1:27" ht="15.75">
      <c r="A632" s="160" t="s">
        <v>2320</v>
      </c>
      <c r="B632" s="650">
        <f xml:space="preserve"> [1]HDV_WTW!B415</f>
        <v>2.6641747526034414</v>
      </c>
      <c r="C632" s="522">
        <f xml:space="preserve"> [1]HDV_WTW!C415</f>
        <v>0.52099191181803628</v>
      </c>
      <c r="D632" s="522">
        <f xml:space="preserve"> [1]HDV_WTW!D415</f>
        <v>1.8848781255282401E-2</v>
      </c>
      <c r="E632" s="159">
        <f xml:space="preserve"> [1]HDV_WTW!E415</f>
        <v>3.20401544567676</v>
      </c>
      <c r="F632" s="8"/>
      <c r="G632" s="160" t="s">
        <v>2320</v>
      </c>
      <c r="H632" s="650">
        <f xml:space="preserve"> [1]HDV_WTW!B715</f>
        <v>1.8679663140013083</v>
      </c>
      <c r="I632" s="522">
        <f xml:space="preserve"> [1]HDV_WTW!C715</f>
        <v>0.36528960429199386</v>
      </c>
      <c r="J632" s="522">
        <f xml:space="preserve"> [1]HDV_WTW!D715</f>
        <v>1.8848781255282401E-2</v>
      </c>
      <c r="K632" s="159">
        <f xml:space="preserve"> [1]HDV_WTW!E715</f>
        <v>2.2521046995485845</v>
      </c>
      <c r="L632" s="8"/>
      <c r="M632" s="160" t="s">
        <v>2320</v>
      </c>
      <c r="N632" s="650">
        <f xml:space="preserve"> [1]HDV_WTW!B655</f>
        <v>3.3991222213143693</v>
      </c>
      <c r="O632" s="522">
        <f xml:space="preserve"> [1]HDV_WTW!C655</f>
        <v>2.5299829996739506E-2</v>
      </c>
      <c r="P632" s="522">
        <f xml:space="preserve"> [1]HDV_WTW!D655</f>
        <v>0</v>
      </c>
      <c r="Q632" s="159">
        <f xml:space="preserve"> [1]HDV_WTW!E655</f>
        <v>3.4244220513111086</v>
      </c>
      <c r="R632" s="8"/>
      <c r="S632" s="160" t="s">
        <v>2320</v>
      </c>
      <c r="T632" s="650">
        <f xml:space="preserve"> [1]HDV_WTW!B625</f>
        <v>2.3563311208477042</v>
      </c>
      <c r="U632" s="522">
        <f xml:space="preserve"> [1]HDV_WTW!C625</f>
        <v>1.6471641865268278</v>
      </c>
      <c r="V632" s="522">
        <f xml:space="preserve"> [1]HDV_WTW!D625</f>
        <v>0</v>
      </c>
      <c r="W632" s="159">
        <f xml:space="preserve"> [1]HDV_WTW!E625</f>
        <v>4.0034953073745321</v>
      </c>
      <c r="X632" s="8"/>
      <c r="Y632" s="8"/>
      <c r="Z632" s="8"/>
      <c r="AA632" s="8"/>
    </row>
    <row r="633" spans="1:27" ht="15.75">
      <c r="A633" s="160" t="s">
        <v>2321</v>
      </c>
      <c r="B633" s="650">
        <f xml:space="preserve"> [1]HDV_WTW!B416</f>
        <v>2.4469711526081978E-3</v>
      </c>
      <c r="C633" s="522">
        <f xml:space="preserve"> [1]HDV_WTW!C416</f>
        <v>4.0239571314914365E-3</v>
      </c>
      <c r="D633" s="522">
        <f xml:space="preserve"> [1]HDV_WTW!D416</f>
        <v>2.8749891195057132E-3</v>
      </c>
      <c r="E633" s="159">
        <f xml:space="preserve"> [1]HDV_WTW!E416</f>
        <v>9.3459174036053475E-3</v>
      </c>
      <c r="F633" s="8"/>
      <c r="G633" s="160" t="s">
        <v>2321</v>
      </c>
      <c r="H633" s="650">
        <f xml:space="preserve"> [1]HDV_WTW!B716</f>
        <v>1.7156756252338205E-3</v>
      </c>
      <c r="I633" s="522">
        <f xml:space="preserve"> [1]HDV_WTW!C716</f>
        <v>2.8213676160942789E-3</v>
      </c>
      <c r="J633" s="522">
        <f xml:space="preserve"> [1]HDV_WTW!D716</f>
        <v>2.8749891195057132E-3</v>
      </c>
      <c r="K633" s="159">
        <f xml:space="preserve"> [1]HDV_WTW!E716</f>
        <v>7.4120323608338123E-3</v>
      </c>
      <c r="L633" s="8"/>
      <c r="M633" s="160" t="s">
        <v>2321</v>
      </c>
      <c r="N633" s="650">
        <f xml:space="preserve"> [1]HDV_WTW!B656</f>
        <v>1.4740046956373142E-2</v>
      </c>
      <c r="O633" s="522">
        <f xml:space="preserve"> [1]HDV_WTW!C656</f>
        <v>2.276506575209631E-3</v>
      </c>
      <c r="P633" s="522">
        <f xml:space="preserve"> [1]HDV_WTW!D656</f>
        <v>0</v>
      </c>
      <c r="Q633" s="159">
        <f xml:space="preserve"> [1]HDV_WTW!E656</f>
        <v>1.7016553531582775E-2</v>
      </c>
      <c r="R633" s="8"/>
      <c r="S633" s="160" t="s">
        <v>2321</v>
      </c>
      <c r="T633" s="650">
        <f xml:space="preserve"> [1]HDV_WTW!B626</f>
        <v>3.592970350893203E-3</v>
      </c>
      <c r="U633" s="522">
        <f xml:space="preserve"> [1]HDV_WTW!C626</f>
        <v>1.1933076115498783E-2</v>
      </c>
      <c r="V633" s="522">
        <f xml:space="preserve"> [1]HDV_WTW!D626</f>
        <v>0</v>
      </c>
      <c r="W633" s="159">
        <f xml:space="preserve"> [1]HDV_WTW!E626</f>
        <v>1.5526046466391986E-2</v>
      </c>
      <c r="X633" s="8"/>
      <c r="Y633" s="8"/>
      <c r="Z633" s="8"/>
      <c r="AA633" s="8"/>
    </row>
    <row r="634" spans="1:27">
      <c r="A634" s="160" t="s">
        <v>1896</v>
      </c>
      <c r="B634" s="650">
        <f xml:space="preserve"> [1]HDV_WTW!B417</f>
        <v>235.08727656411966</v>
      </c>
      <c r="C634" s="522">
        <f xml:space="preserve"> [1]HDV_WTW!C417</f>
        <v>239.07144616268164</v>
      </c>
      <c r="D634" s="522">
        <f xml:space="preserve"> [1]HDV_WTW!D417</f>
        <v>2300.384127783173</v>
      </c>
      <c r="E634" s="159">
        <f xml:space="preserve"> [1]HDV_WTW!E417</f>
        <v>2774.5428505099744</v>
      </c>
      <c r="F634" s="8"/>
      <c r="G634" s="160" t="s">
        <v>1896</v>
      </c>
      <c r="H634" s="650">
        <f xml:space="preserve"> [1]HDV_WTW!B717</f>
        <v>164.82969559071165</v>
      </c>
      <c r="I634" s="522">
        <f xml:space="preserve"> [1]HDV_WTW!C717</f>
        <v>167.62316647399709</v>
      </c>
      <c r="J634" s="522">
        <f xml:space="preserve"> [1]HDV_WTW!D717</f>
        <v>1613.27841604421</v>
      </c>
      <c r="K634" s="159">
        <f xml:space="preserve"> [1]HDV_WTW!E717</f>
        <v>1945.7312781089186</v>
      </c>
      <c r="L634" s="8"/>
      <c r="M634" s="160" t="s">
        <v>1896</v>
      </c>
      <c r="N634" s="650">
        <f xml:space="preserve"> [1]HDV_WTW!B657</f>
        <v>205.79500046542026</v>
      </c>
      <c r="O634" s="522">
        <f xml:space="preserve"> [1]HDV_WTW!C657</f>
        <v>1100.154869897372</v>
      </c>
      <c r="P634" s="522">
        <f xml:space="preserve"> [1]HDV_WTW!D657</f>
        <v>0</v>
      </c>
      <c r="Q634" s="159">
        <f xml:space="preserve"> [1]HDV_WTW!E657</f>
        <v>1305.9498703627924</v>
      </c>
      <c r="R634" s="8"/>
      <c r="S634" s="160" t="s">
        <v>1896</v>
      </c>
      <c r="T634" s="650">
        <f xml:space="preserve"> [1]HDV_WTW!B627</f>
        <v>142.91431116884914</v>
      </c>
      <c r="U634" s="522">
        <f xml:space="preserve"> [1]HDV_WTW!C627</f>
        <v>1654.5962901395978</v>
      </c>
      <c r="V634" s="522">
        <f xml:space="preserve"> [1]HDV_WTW!D627</f>
        <v>0</v>
      </c>
      <c r="W634" s="159">
        <f xml:space="preserve"> [1]HDV_WTW!E627</f>
        <v>1797.5106013084469</v>
      </c>
      <c r="X634" s="8"/>
      <c r="Y634" s="8"/>
      <c r="Z634" s="8"/>
      <c r="AA634" s="8"/>
    </row>
    <row r="635" spans="1:27">
      <c r="A635" s="160" t="s">
        <v>879</v>
      </c>
      <c r="B635" s="578">
        <f xml:space="preserve"> [1]HDV_WTW!B418</f>
        <v>0.10736850044406197</v>
      </c>
      <c r="C635" s="1553">
        <f xml:space="preserve"> [1]HDV_WTW!C418</f>
        <v>0.10673179650433474</v>
      </c>
      <c r="D635" s="1553">
        <f xml:space="preserve"> [1]HDV_WTW!D418</f>
        <v>0.13076929251592995</v>
      </c>
      <c r="E635" s="478">
        <f xml:space="preserve"> [1]HDV_WTW!E418</f>
        <v>0.34486958946432666</v>
      </c>
      <c r="F635" s="8"/>
      <c r="G635" s="160" t="s">
        <v>879</v>
      </c>
      <c r="H635" s="578">
        <f xml:space="preserve"> [1]HDV_WTW!B718</f>
        <v>7.528062557396191E-2</v>
      </c>
      <c r="I635" s="1553">
        <f xml:space="preserve"> [1]HDV_WTW!C718</f>
        <v>7.4834205341865578E-2</v>
      </c>
      <c r="J635" s="1553">
        <f xml:space="preserve"> [1]HDV_WTW!D718</f>
        <v>0.13076929251592995</v>
      </c>
      <c r="K635" s="478">
        <f xml:space="preserve"> [1]HDV_WTW!E718</f>
        <v>0.28088412343175745</v>
      </c>
      <c r="L635" s="8"/>
      <c r="M635" s="160" t="s">
        <v>879</v>
      </c>
      <c r="N635" s="578">
        <f xml:space="preserve"> [1]HDV_WTW!B658</f>
        <v>0.15792537359230602</v>
      </c>
      <c r="O635" s="1553">
        <f xml:space="preserve"> [1]HDV_WTW!C658</f>
        <v>1.2341855682876655E-2</v>
      </c>
      <c r="P635" s="1553">
        <f xml:space="preserve"> [1]HDV_WTW!D658</f>
        <v>0</v>
      </c>
      <c r="Q635" s="478">
        <f xml:space="preserve"> [1]HDV_WTW!E658</f>
        <v>0.17026722927518267</v>
      </c>
      <c r="R635" s="8"/>
      <c r="S635" s="160" t="s">
        <v>879</v>
      </c>
      <c r="T635" s="578">
        <f xml:space="preserve"> [1]HDV_WTW!B628</f>
        <v>0.10625055688466352</v>
      </c>
      <c r="U635" s="1553">
        <f xml:space="preserve"> [1]HDV_WTW!C628</f>
        <v>0.10993311218102192</v>
      </c>
      <c r="V635" s="1553">
        <f xml:space="preserve"> [1]HDV_WTW!D628</f>
        <v>0</v>
      </c>
      <c r="W635" s="478">
        <f xml:space="preserve"> [1]HDV_WTW!E628</f>
        <v>0.21618366906568542</v>
      </c>
      <c r="X635" s="8"/>
      <c r="Y635" s="8"/>
      <c r="Z635" s="8"/>
      <c r="AA635" s="8"/>
    </row>
    <row r="636" spans="1:27">
      <c r="A636" s="160" t="s">
        <v>880</v>
      </c>
      <c r="B636" s="578">
        <f xml:space="preserve"> [1]HDV_WTW!B419</f>
        <v>0.21445221818685939</v>
      </c>
      <c r="C636" s="1553">
        <f xml:space="preserve"> [1]HDV_WTW!C419</f>
        <v>0.12257508512982658</v>
      </c>
      <c r="D636" s="1553">
        <f xml:space="preserve"> [1]HDV_WTW!D419</f>
        <v>3.2216375986334529</v>
      </c>
      <c r="E636" s="478">
        <f xml:space="preserve"> [1]HDV_WTW!E419</f>
        <v>3.5586649019501388</v>
      </c>
      <c r="F636" s="8"/>
      <c r="G636" s="160" t="s">
        <v>880</v>
      </c>
      <c r="H636" s="578">
        <f xml:space="preserve"> [1]HDV_WTW!B719</f>
        <v>0.15036157787489521</v>
      </c>
      <c r="I636" s="1553">
        <f xml:space="preserve"> [1]HDV_WTW!C719</f>
        <v>8.5942609333194891E-2</v>
      </c>
      <c r="J636" s="1553">
        <f xml:space="preserve"> [1]HDV_WTW!D719</f>
        <v>1.6108187993167264</v>
      </c>
      <c r="K636" s="478">
        <f xml:space="preserve"> [1]HDV_WTW!E719</f>
        <v>1.8471229865248167</v>
      </c>
      <c r="L636" s="8"/>
      <c r="M636" s="160" t="s">
        <v>880</v>
      </c>
      <c r="N636" s="578">
        <f xml:space="preserve"> [1]HDV_WTW!B659</f>
        <v>0.41251493958195462</v>
      </c>
      <c r="O636" s="1553">
        <f xml:space="preserve"> [1]HDV_WTW!C659</f>
        <v>9.3843642482683107E-2</v>
      </c>
      <c r="P636" s="1553">
        <f xml:space="preserve"> [1]HDV_WTW!D659</f>
        <v>0</v>
      </c>
      <c r="Q636" s="478">
        <f xml:space="preserve"> [1]HDV_WTW!E659</f>
        <v>0.50635858206463769</v>
      </c>
      <c r="R636" s="8"/>
      <c r="S636" s="160" t="s">
        <v>880</v>
      </c>
      <c r="T636" s="578">
        <f xml:space="preserve"> [1]HDV_WTW!B629</f>
        <v>0.21732755872167658</v>
      </c>
      <c r="U636" s="1553">
        <f xml:space="preserve"> [1]HDV_WTW!C629</f>
        <v>0.14904232046856608</v>
      </c>
      <c r="V636" s="1553">
        <f xml:space="preserve"> [1]HDV_WTW!D629</f>
        <v>0</v>
      </c>
      <c r="W636" s="478">
        <f xml:space="preserve"> [1]HDV_WTW!E629</f>
        <v>0.36636987919024266</v>
      </c>
      <c r="X636" s="8"/>
      <c r="Y636" s="8"/>
      <c r="Z636" s="8"/>
      <c r="AA636" s="8"/>
    </row>
    <row r="637" spans="1:27">
      <c r="A637" s="160" t="s">
        <v>881</v>
      </c>
      <c r="B637" s="578">
        <f xml:space="preserve"> [1]HDV_WTW!B420</f>
        <v>0.33029270254322901</v>
      </c>
      <c r="C637" s="1553">
        <f xml:space="preserve"> [1]HDV_WTW!C420</f>
        <v>0.18450898707542962</v>
      </c>
      <c r="D637" s="1553">
        <f xml:space="preserve"> [1]HDV_WTW!D420</f>
        <v>2.0974783099682677</v>
      </c>
      <c r="E637" s="478">
        <f xml:space="preserve"> [1]HDV_WTW!E420</f>
        <v>2.6122799995869261</v>
      </c>
      <c r="F637" s="8"/>
      <c r="G637" s="160" t="s">
        <v>881</v>
      </c>
      <c r="H637" s="578">
        <f xml:space="preserve"> [1]HDV_WTW!B720</f>
        <v>0.231582271961813</v>
      </c>
      <c r="I637" s="1553">
        <f xml:space="preserve"> [1]HDV_WTW!C720</f>
        <v>0.12936710407251087</v>
      </c>
      <c r="J637" s="1553">
        <f xml:space="preserve"> [1]HDV_WTW!D720</f>
        <v>2.0974783099682677</v>
      </c>
      <c r="K637" s="478">
        <f xml:space="preserve"> [1]HDV_WTW!E720</f>
        <v>2.4584276860025915</v>
      </c>
      <c r="L637" s="8"/>
      <c r="M637" s="160" t="s">
        <v>881</v>
      </c>
      <c r="N637" s="578">
        <f xml:space="preserve"> [1]HDV_WTW!B660</f>
        <v>0.47569069732076646</v>
      </c>
      <c r="O637" s="1553">
        <f xml:space="preserve"> [1]HDV_WTW!C660</f>
        <v>0.13953569424815562</v>
      </c>
      <c r="P637" s="1553">
        <f xml:space="preserve"> [1]HDV_WTW!D660</f>
        <v>0</v>
      </c>
      <c r="Q637" s="478">
        <f xml:space="preserve"> [1]HDV_WTW!E660</f>
        <v>0.61522639156892212</v>
      </c>
      <c r="R637" s="8"/>
      <c r="S637" s="160" t="s">
        <v>881</v>
      </c>
      <c r="T637" s="578">
        <f xml:space="preserve"> [1]HDV_WTW!B630</f>
        <v>0.24732412982590055</v>
      </c>
      <c r="U637" s="1553">
        <f xml:space="preserve"> [1]HDV_WTW!C630</f>
        <v>0.28638948595429836</v>
      </c>
      <c r="V637" s="1553">
        <f xml:space="preserve"> [1]HDV_WTW!D630</f>
        <v>0</v>
      </c>
      <c r="W637" s="478">
        <f xml:space="preserve"> [1]HDV_WTW!E630</f>
        <v>0.53371361578019894</v>
      </c>
      <c r="X637" s="8"/>
      <c r="Y637" s="8"/>
      <c r="Z637" s="8"/>
      <c r="AA637" s="8"/>
    </row>
    <row r="638" spans="1:27" ht="15.75">
      <c r="A638" s="160" t="s">
        <v>2322</v>
      </c>
      <c r="B638" s="578">
        <f xml:space="preserve"> [1]HDV_WTW!B421</f>
        <v>1.623404428423229E-2</v>
      </c>
      <c r="C638" s="1553">
        <f xml:space="preserve"> [1]HDV_WTW!C421</f>
        <v>2.1370689889680414E-2</v>
      </c>
      <c r="D638" s="1553">
        <f xml:space="preserve"> [1]HDV_WTW!D421</f>
        <v>0.11921026591264205</v>
      </c>
      <c r="E638" s="478">
        <f xml:space="preserve"> [1]HDV_WTW!E421</f>
        <v>0.15681500008655475</v>
      </c>
      <c r="F638" s="8"/>
      <c r="G638" s="160" t="s">
        <v>2322</v>
      </c>
      <c r="H638" s="578">
        <f xml:space="preserve"> [1]HDV_WTW!B721</f>
        <v>1.138237941535856E-2</v>
      </c>
      <c r="I638" s="1553">
        <f xml:space="preserve"> [1]HDV_WTW!C721</f>
        <v>1.4983900279770175E-2</v>
      </c>
      <c r="J638" s="1553">
        <f xml:space="preserve"> [1]HDV_WTW!D721</f>
        <v>0.11921026591264205</v>
      </c>
      <c r="K638" s="478">
        <f xml:space="preserve"> [1]HDV_WTW!E721</f>
        <v>0.14557654560777078</v>
      </c>
      <c r="L638" s="8"/>
      <c r="M638" s="160" t="s">
        <v>2322</v>
      </c>
      <c r="N638" s="578">
        <f xml:space="preserve"> [1]HDV_WTW!B661</f>
        <v>7.3421835724815834E-3</v>
      </c>
      <c r="O638" s="1553">
        <f xml:space="preserve"> [1]HDV_WTW!C661</f>
        <v>4.7788311069799055E-2</v>
      </c>
      <c r="P638" s="1553">
        <f xml:space="preserve"> [1]HDV_WTW!D661</f>
        <v>0.11458257409218819</v>
      </c>
      <c r="Q638" s="478">
        <f xml:space="preserve"> [1]HDV_WTW!E661</f>
        <v>0.16971306873446884</v>
      </c>
      <c r="R638" s="8"/>
      <c r="S638" s="160" t="s">
        <v>2322</v>
      </c>
      <c r="T638" s="578">
        <f xml:space="preserve"> [1]HDV_WTW!B631</f>
        <v>5.740612223933161E-3</v>
      </c>
      <c r="U638" s="1553">
        <f xml:space="preserve"> [1]HDV_WTW!C631</f>
        <v>7.0208563651061345E-2</v>
      </c>
      <c r="V638" s="1553">
        <f xml:space="preserve"> [1]HDV_WTW!D631</f>
        <v>0.11458257409218819</v>
      </c>
      <c r="W638" s="478">
        <f xml:space="preserve"> [1]HDV_WTW!E631</f>
        <v>0.1905317499671827</v>
      </c>
      <c r="X638" s="8"/>
      <c r="Y638" s="8"/>
      <c r="Z638" s="8"/>
      <c r="AA638" s="8"/>
    </row>
    <row r="639" spans="1:27" ht="15.75">
      <c r="A639" s="160" t="s">
        <v>2323</v>
      </c>
      <c r="B639" s="578">
        <f xml:space="preserve"> [1]HDV_WTW!B422</f>
        <v>1.3870209560695948E-2</v>
      </c>
      <c r="C639" s="1553">
        <f xml:space="preserve"> [1]HDV_WTW!C422</f>
        <v>1.8214291957820389E-2</v>
      </c>
      <c r="D639" s="1553">
        <f xml:space="preserve"> [1]HDV_WTW!D422</f>
        <v>1.9296611219237994E-2</v>
      </c>
      <c r="E639" s="478">
        <f xml:space="preserve"> [1]HDV_WTW!E422</f>
        <v>5.1381112737754329E-2</v>
      </c>
      <c r="F639" s="8"/>
      <c r="G639" s="160" t="s">
        <v>2323</v>
      </c>
      <c r="H639" s="578">
        <f xml:space="preserve"> [1]HDV_WTW!B722</f>
        <v>9.7249942790728957E-3</v>
      </c>
      <c r="I639" s="1553">
        <f xml:space="preserve"> [1]HDV_WTW!C722</f>
        <v>1.2770815344355828E-2</v>
      </c>
      <c r="J639" s="1553">
        <f xml:space="preserve"> [1]HDV_WTW!D722</f>
        <v>1.9296611219237994E-2</v>
      </c>
      <c r="K639" s="478">
        <f xml:space="preserve"> [1]HDV_WTW!E722</f>
        <v>4.1792420842666718E-2</v>
      </c>
      <c r="L639" s="8"/>
      <c r="M639" s="160" t="s">
        <v>2323</v>
      </c>
      <c r="N639" s="578">
        <f xml:space="preserve"> [1]HDV_WTW!B662</f>
        <v>6.6100017242883037E-3</v>
      </c>
      <c r="O639" s="1553">
        <f xml:space="preserve"> [1]HDV_WTW!C662</f>
        <v>4.6155621897193806E-2</v>
      </c>
      <c r="P639" s="1553">
        <f xml:space="preserve"> [1]HDV_WTW!D662</f>
        <v>1.5039149755902231E-2</v>
      </c>
      <c r="Q639" s="478">
        <f xml:space="preserve"> [1]HDV_WTW!E662</f>
        <v>6.7804773377384345E-2</v>
      </c>
      <c r="R639" s="8"/>
      <c r="S639" s="160" t="s">
        <v>2323</v>
      </c>
      <c r="T639" s="578">
        <f xml:space="preserve"> [1]HDV_WTW!B632</f>
        <v>5.1607315131924842E-3</v>
      </c>
      <c r="U639" s="1553">
        <f xml:space="preserve"> [1]HDV_WTW!C632</f>
        <v>5.9070138280526242E-2</v>
      </c>
      <c r="V639" s="1553">
        <f xml:space="preserve"> [1]HDV_WTW!D632</f>
        <v>1.5039149755902231E-2</v>
      </c>
      <c r="W639" s="478">
        <f xml:space="preserve"> [1]HDV_WTW!E632</f>
        <v>7.9270019549620957E-2</v>
      </c>
      <c r="X639" s="8"/>
      <c r="Y639" s="8"/>
      <c r="Z639" s="8"/>
      <c r="AA639" s="8"/>
    </row>
    <row r="640" spans="1:27" ht="15.75">
      <c r="A640" s="160" t="s">
        <v>2324</v>
      </c>
      <c r="B640" s="578">
        <f xml:space="preserve"> [1]HDV_WTW!B423</f>
        <v>7.4476028575362591E-2</v>
      </c>
      <c r="C640" s="1553">
        <f xml:space="preserve"> [1]HDV_WTW!C423</f>
        <v>5.9377572274936556E-2</v>
      </c>
      <c r="D640" s="1553">
        <f xml:space="preserve"> [1]HDV_WTW!D423</f>
        <v>1.5837717288477368E-2</v>
      </c>
      <c r="E640" s="478">
        <f xml:space="preserve"> [1]HDV_WTW!E423</f>
        <v>0.14969131813877651</v>
      </c>
      <c r="F640" s="8"/>
      <c r="G640" s="160" t="s">
        <v>2324</v>
      </c>
      <c r="H640" s="578">
        <f xml:space="preserve"> [1]HDV_WTW!B723</f>
        <v>5.2218313548474567E-2</v>
      </c>
      <c r="I640" s="1553">
        <f xml:space="preserve"> [1]HDV_WTW!C723</f>
        <v>4.163214320245797E-2</v>
      </c>
      <c r="J640" s="1553">
        <f xml:space="preserve"> [1]HDV_WTW!D723</f>
        <v>1.1104497689816313E-2</v>
      </c>
      <c r="K640" s="478">
        <f xml:space="preserve"> [1]HDV_WTW!E723</f>
        <v>0.10495495444074884</v>
      </c>
      <c r="L640" s="8"/>
      <c r="M640" s="160" t="s">
        <v>2324</v>
      </c>
      <c r="N640" s="578">
        <f xml:space="preserve"> [1]HDV_WTW!B663</f>
        <v>0.20223832056842533</v>
      </c>
      <c r="O640" s="1553">
        <f xml:space="preserve"> [1]HDV_WTW!C663</f>
        <v>2.0166602807376432E-2</v>
      </c>
      <c r="P640" s="1553">
        <f xml:space="preserve"> [1]HDV_WTW!D663</f>
        <v>0</v>
      </c>
      <c r="Q640" s="478">
        <f xml:space="preserve"> [1]HDV_WTW!E663</f>
        <v>0.22240492337580176</v>
      </c>
      <c r="R640" s="8"/>
      <c r="S640" s="160" t="s">
        <v>2324</v>
      </c>
      <c r="T640" s="578">
        <f xml:space="preserve"> [1]HDV_WTW!B633</f>
        <v>0.16458651498573368</v>
      </c>
      <c r="U640" s="1553">
        <f xml:space="preserve"> [1]HDV_WTW!C633</f>
        <v>0.208984858474006</v>
      </c>
      <c r="V640" s="1553">
        <f xml:space="preserve"> [1]HDV_WTW!D633</f>
        <v>0</v>
      </c>
      <c r="W640" s="478">
        <f xml:space="preserve"> [1]HDV_WTW!E633</f>
        <v>0.37357137345973968</v>
      </c>
      <c r="X640" s="8"/>
      <c r="Y640" s="8"/>
      <c r="Z640" s="8"/>
      <c r="AA640" s="8"/>
    </row>
    <row r="641" spans="1:27">
      <c r="A641" s="160" t="s">
        <v>885</v>
      </c>
      <c r="B641" s="578">
        <f xml:space="preserve"> [1]HDV_WTW!B424</f>
        <v>2.5182670657925097E-3</v>
      </c>
      <c r="C641" s="1553">
        <f xml:space="preserve"> [1]HDV_WTW!C424</f>
        <v>2.4471111131242167E-3</v>
      </c>
      <c r="D641" s="1553">
        <f xml:space="preserve"> [1]HDV_WTW!D424</f>
        <v>2.4399541224719087E-3</v>
      </c>
      <c r="E641" s="478">
        <f xml:space="preserve"> [1]HDV_WTW!E424</f>
        <v>7.4053323013886351E-3</v>
      </c>
      <c r="F641" s="8"/>
      <c r="G641" s="160" t="s">
        <v>885</v>
      </c>
      <c r="H641" s="578">
        <f xml:space="preserve"> [1]HDV_WTW!B724</f>
        <v>1.7656642245267586E-3</v>
      </c>
      <c r="I641" s="1553">
        <f xml:space="preserve"> [1]HDV_WTW!C724</f>
        <v>1.715773757508724E-3</v>
      </c>
      <c r="J641" s="1553">
        <f xml:space="preserve"> [1]HDV_WTW!D724</f>
        <v>2.4399541224719087E-3</v>
      </c>
      <c r="K641" s="478">
        <f xml:space="preserve"> [1]HDV_WTW!E724</f>
        <v>5.9213921045073916E-3</v>
      </c>
      <c r="L641" s="8"/>
      <c r="M641" s="160" t="s">
        <v>885</v>
      </c>
      <c r="N641" s="578">
        <f xml:space="preserve"> [1]HDV_WTW!B664</f>
        <v>1.7554014234037907E-3</v>
      </c>
      <c r="O641" s="1553">
        <f xml:space="preserve"> [1]HDV_WTW!C664</f>
        <v>1.3385130350186203E-3</v>
      </c>
      <c r="P641" s="1553">
        <f xml:space="preserve"> [1]HDV_WTW!D664</f>
        <v>1.9207431362550063E-3</v>
      </c>
      <c r="Q641" s="478">
        <f xml:space="preserve"> [1]HDV_WTW!E664</f>
        <v>5.0146575946774172E-3</v>
      </c>
      <c r="R641" s="8"/>
      <c r="S641" s="160" t="s">
        <v>885</v>
      </c>
      <c r="T641" s="578">
        <f xml:space="preserve"> [1]HDV_WTW!B634</f>
        <v>1.3889712818863093E-3</v>
      </c>
      <c r="U641" s="1553">
        <f xml:space="preserve"> [1]HDV_WTW!C634</f>
        <v>5.6658475841486694E-3</v>
      </c>
      <c r="V641" s="1553">
        <f xml:space="preserve"> [1]HDV_WTW!D634</f>
        <v>1.9207431362550063E-3</v>
      </c>
      <c r="W641" s="478">
        <f xml:space="preserve"> [1]HDV_WTW!E634</f>
        <v>8.9755620022899853E-3</v>
      </c>
      <c r="X641" s="8"/>
      <c r="Y641" s="8"/>
      <c r="Z641" s="8"/>
      <c r="AA641" s="8"/>
    </row>
    <row r="642" spans="1:27">
      <c r="A642" s="160" t="s">
        <v>886</v>
      </c>
      <c r="B642" s="578">
        <f xml:space="preserve"> [1]HDV_WTW!B425</f>
        <v>5.0777934062669556E-3</v>
      </c>
      <c r="C642" s="1553">
        <f xml:space="preserve"> [1]HDV_WTW!C425</f>
        <v>3.647167461172609E-3</v>
      </c>
      <c r="D642" s="1553">
        <f xml:space="preserve"> [1]HDV_WTW!D425</f>
        <v>3.4497467549635288E-3</v>
      </c>
      <c r="E642" s="478">
        <f xml:space="preserve"> [1]HDV_WTW!E425</f>
        <v>1.2174707622403094E-2</v>
      </c>
      <c r="F642" s="8"/>
      <c r="G642" s="160" t="s">
        <v>886</v>
      </c>
      <c r="H642" s="578">
        <f xml:space="preserve"> [1]HDV_WTW!B725</f>
        <v>3.5602570826465912E-3</v>
      </c>
      <c r="I642" s="1553">
        <f xml:space="preserve"> [1]HDV_WTW!C725</f>
        <v>2.557184340980121E-3</v>
      </c>
      <c r="J642" s="1553">
        <f xml:space="preserve"> [1]HDV_WTW!D725</f>
        <v>3.4497467549635288E-3</v>
      </c>
      <c r="K642" s="478">
        <f xml:space="preserve"> [1]HDV_WTW!E725</f>
        <v>9.5671881785902406E-3</v>
      </c>
      <c r="L642" s="8"/>
      <c r="M642" s="160" t="s">
        <v>886</v>
      </c>
      <c r="N642" s="578">
        <f xml:space="preserve"> [1]HDV_WTW!B665</f>
        <v>2.4905527056419559E-3</v>
      </c>
      <c r="O642" s="1553">
        <f xml:space="preserve"> [1]HDV_WTW!C665</f>
        <v>3.1385822890091786E-2</v>
      </c>
      <c r="P642" s="1553">
        <f xml:space="preserve"> [1]HDV_WTW!D665</f>
        <v>2.5475256417659933E-3</v>
      </c>
      <c r="Q642" s="478">
        <f xml:space="preserve"> [1]HDV_WTW!E665</f>
        <v>3.6423901237499737E-2</v>
      </c>
      <c r="R642" s="8"/>
      <c r="S642" s="160" t="s">
        <v>886</v>
      </c>
      <c r="T642" s="578">
        <f xml:space="preserve"> [1]HDV_WTW!B635</f>
        <v>1.936345877141382E-3</v>
      </c>
      <c r="U642" s="1553">
        <f xml:space="preserve"> [1]HDV_WTW!C635</f>
        <v>1.591923382443074E-2</v>
      </c>
      <c r="V642" s="1553">
        <f xml:space="preserve"> [1]HDV_WTW!D635</f>
        <v>2.5475256417659933E-3</v>
      </c>
      <c r="W642" s="478">
        <f xml:space="preserve"> [1]HDV_WTW!E635</f>
        <v>2.0403105343338116E-2</v>
      </c>
      <c r="X642" s="8"/>
      <c r="Y642" s="8"/>
      <c r="Z642" s="8"/>
      <c r="AA642" s="8"/>
    </row>
    <row r="643" spans="1:27">
      <c r="A643" s="160" t="s">
        <v>890</v>
      </c>
      <c r="B643" s="578">
        <f xml:space="preserve"> [1]HDV_WTW!B426</f>
        <v>1.9223268100756401E-2</v>
      </c>
      <c r="C643" s="1553">
        <f xml:space="preserve"> [1]HDV_WTW!C426</f>
        <v>6.1135270401962108E-2</v>
      </c>
      <c r="D643" s="1553">
        <f xml:space="preserve"> [1]HDV_WTW!D426</f>
        <v>0.11769236326433695</v>
      </c>
      <c r="E643" s="478">
        <f xml:space="preserve"> [1]HDV_WTW!E426</f>
        <v>0.19805090176705548</v>
      </c>
      <c r="F643" s="8"/>
      <c r="G643" s="160" t="s">
        <v>890</v>
      </c>
      <c r="H643" s="578">
        <f xml:space="preserve"> [1]HDV_WTW!B726</f>
        <v>1.3478251463099042E-2</v>
      </c>
      <c r="I643" s="1553">
        <f xml:space="preserve"> [1]HDV_WTW!C726</f>
        <v>4.286454017201053E-2</v>
      </c>
      <c r="J643" s="1553">
        <f xml:space="preserve"> [1]HDV_WTW!D726</f>
        <v>0.11769236326433695</v>
      </c>
      <c r="K643" s="478">
        <f xml:space="preserve"> [1]HDV_WTW!E726</f>
        <v>0.17403515489944651</v>
      </c>
      <c r="L643" s="8"/>
      <c r="M643" s="160" t="s">
        <v>890</v>
      </c>
      <c r="N643" s="578">
        <f xml:space="preserve"> [1]HDV_WTW!B666</f>
        <v>6.746404936684415E-3</v>
      </c>
      <c r="O643" s="1553">
        <f xml:space="preserve"> [1]HDV_WTW!C666</f>
        <v>3.8630008287403941E-3</v>
      </c>
      <c r="P643" s="1553">
        <f xml:space="preserve"> [1]HDV_WTW!D666</f>
        <v>0</v>
      </c>
      <c r="Q643" s="478">
        <f xml:space="preserve"> [1]HDV_WTW!E666</f>
        <v>1.0609405765424809E-2</v>
      </c>
      <c r="R643" s="8"/>
      <c r="S643" s="160" t="s">
        <v>890</v>
      </c>
      <c r="T643" s="578">
        <f xml:space="preserve"> [1]HDV_WTW!B636</f>
        <v>2.355531927592365E-3</v>
      </c>
      <c r="U643" s="1553">
        <f xml:space="preserve"> [1]HDV_WTW!C636</f>
        <v>1.0948589607472657E-2</v>
      </c>
      <c r="V643" s="1553">
        <f xml:space="preserve"> [1]HDV_WTW!D636</f>
        <v>0</v>
      </c>
      <c r="W643" s="478">
        <f xml:space="preserve"> [1]HDV_WTW!E636</f>
        <v>1.3304121535065022E-2</v>
      </c>
      <c r="X643" s="8"/>
      <c r="Y643" s="8"/>
      <c r="Z643" s="8"/>
      <c r="AA643" s="8"/>
    </row>
    <row r="644" spans="1:27">
      <c r="A644" s="160" t="s">
        <v>891</v>
      </c>
      <c r="B644" s="578">
        <f xml:space="preserve"> [1]HDV_WTW!B427</f>
        <v>7.6272375465122446E-3</v>
      </c>
      <c r="C644" s="1553">
        <f xml:space="preserve"> [1]HDV_WTW!C427</f>
        <v>4.4764939487349602E-2</v>
      </c>
      <c r="D644" s="1553">
        <f xml:space="preserve"> [1]HDV_WTW!D427</f>
        <v>2.8994738387701076</v>
      </c>
      <c r="E644" s="478">
        <f xml:space="preserve"> [1]HDV_WTW!E427</f>
        <v>2.9518660158039696</v>
      </c>
      <c r="F644" s="8"/>
      <c r="G644" s="160" t="s">
        <v>891</v>
      </c>
      <c r="H644" s="578">
        <f xml:space="preserve"> [1]HDV_WTW!B727</f>
        <v>5.3477808810582809E-3</v>
      </c>
      <c r="I644" s="1553">
        <f xml:space="preserve"> [1]HDV_WTW!C727</f>
        <v>3.1386604399340871E-2</v>
      </c>
      <c r="J644" s="1553">
        <f xml:space="preserve"> [1]HDV_WTW!D727</f>
        <v>1.4497369193850538</v>
      </c>
      <c r="K644" s="478">
        <f xml:space="preserve"> [1]HDV_WTW!E727</f>
        <v>1.486471304665453</v>
      </c>
      <c r="L644" s="8"/>
      <c r="M644" s="160" t="s">
        <v>891</v>
      </c>
      <c r="N644" s="578">
        <f xml:space="preserve"> [1]HDV_WTW!B667</f>
        <v>3.0357510956028198E-2</v>
      </c>
      <c r="O644" s="1553">
        <f xml:space="preserve"> [1]HDV_WTW!C667</f>
        <v>2.9373060097079812E-2</v>
      </c>
      <c r="P644" s="1553">
        <f xml:space="preserve"> [1]HDV_WTW!D667</f>
        <v>0</v>
      </c>
      <c r="Q644" s="478">
        <f xml:space="preserve"> [1]HDV_WTW!E667</f>
        <v>5.9730571053108014E-2</v>
      </c>
      <c r="R644" s="8"/>
      <c r="S644" s="160" t="s">
        <v>891</v>
      </c>
      <c r="T644" s="578">
        <f xml:space="preserve"> [1]HDV_WTW!B637</f>
        <v>8.0913213066548147E-3</v>
      </c>
      <c r="U644" s="1553">
        <f xml:space="preserve"> [1]HDV_WTW!C637</f>
        <v>9.7144773932719176E-3</v>
      </c>
      <c r="V644" s="1553">
        <f xml:space="preserve"> [1]HDV_WTW!D637</f>
        <v>0</v>
      </c>
      <c r="W644" s="478">
        <f xml:space="preserve"> [1]HDV_WTW!E637</f>
        <v>1.7805798699926732E-2</v>
      </c>
      <c r="X644" s="8"/>
      <c r="Y644" s="8"/>
      <c r="Z644" s="8"/>
      <c r="AA644" s="8"/>
    </row>
    <row r="645" spans="1:27" ht="15.75">
      <c r="A645" s="160" t="s">
        <v>2325</v>
      </c>
      <c r="B645" s="578">
        <f xml:space="preserve"> [1]HDV_WTW!B428</f>
        <v>1.6044778198539295E-2</v>
      </c>
      <c r="C645" s="1553">
        <f xml:space="preserve"> [1]HDV_WTW!C428</f>
        <v>6.5291647957027674E-2</v>
      </c>
      <c r="D645" s="1553">
        <f xml:space="preserve"> [1]HDV_WTW!D428</f>
        <v>1.8877304789714409</v>
      </c>
      <c r="E645" s="478">
        <f xml:space="preserve"> [1]HDV_WTW!E428</f>
        <v>1.9690669051270078</v>
      </c>
      <c r="F645" s="8"/>
      <c r="G645" s="160" t="s">
        <v>2325</v>
      </c>
      <c r="H645" s="578">
        <f xml:space="preserve"> [1]HDV_WTW!B728</f>
        <v>1.1249676906969456E-2</v>
      </c>
      <c r="I645" s="1553">
        <f xml:space="preserve"> [1]HDV_WTW!C728</f>
        <v>4.5778753383267271E-2</v>
      </c>
      <c r="J645" s="1553">
        <f xml:space="preserve"> [1]HDV_WTW!D728</f>
        <v>1.8877304789714409</v>
      </c>
      <c r="K645" s="478">
        <f xml:space="preserve"> [1]HDV_WTW!E728</f>
        <v>1.9447589092616775</v>
      </c>
      <c r="L645" s="8"/>
      <c r="M645" s="160" t="s">
        <v>2325</v>
      </c>
      <c r="N645" s="578">
        <f xml:space="preserve"> [1]HDV_WTW!B668</f>
        <v>3.6052009192850946E-2</v>
      </c>
      <c r="O645" s="1553">
        <f xml:space="preserve"> [1]HDV_WTW!C668</f>
        <v>4.3674672299672701E-2</v>
      </c>
      <c r="P645" s="1553">
        <f xml:space="preserve"> [1]HDV_WTW!D668</f>
        <v>0</v>
      </c>
      <c r="Q645" s="478">
        <f xml:space="preserve"> [1]HDV_WTW!E668</f>
        <v>7.9726681492523654E-2</v>
      </c>
      <c r="R645" s="8"/>
      <c r="S645" s="160" t="s">
        <v>2325</v>
      </c>
      <c r="T645" s="578">
        <f xml:space="preserve"> [1]HDV_WTW!B638</f>
        <v>9.6985998640504098E-3</v>
      </c>
      <c r="U645" s="1553">
        <f xml:space="preserve"> [1]HDV_WTW!C638</f>
        <v>4.6914790381678007E-2</v>
      </c>
      <c r="V645" s="1553">
        <f xml:space="preserve"> [1]HDV_WTW!D638</f>
        <v>0</v>
      </c>
      <c r="W645" s="478">
        <f xml:space="preserve"> [1]HDV_WTW!E638</f>
        <v>5.6613390245728416E-2</v>
      </c>
      <c r="X645" s="8"/>
      <c r="Y645" s="8"/>
      <c r="Z645" s="8"/>
      <c r="AA645" s="8"/>
    </row>
    <row r="646" spans="1:27" ht="15.75">
      <c r="A646" s="160" t="s">
        <v>2326</v>
      </c>
      <c r="B646" s="578">
        <f xml:space="preserve"> [1]HDV_WTW!B429</f>
        <v>1.2416748294986832E-3</v>
      </c>
      <c r="C646" s="1553">
        <f xml:space="preserve"> [1]HDV_WTW!C429</f>
        <v>1.3226187345200638E-2</v>
      </c>
      <c r="D646" s="1553">
        <f xml:space="preserve"> [1]HDV_WTW!D429</f>
        <v>0.10728923932137785</v>
      </c>
      <c r="E646" s="478">
        <f xml:space="preserve"> [1]HDV_WTW!E429</f>
        <v>0.12175710149607717</v>
      </c>
      <c r="F646" s="8"/>
      <c r="G646" s="160" t="s">
        <v>2326</v>
      </c>
      <c r="H646" s="578">
        <f xml:space="preserve"> [1]HDV_WTW!B729</f>
        <v>8.7059107221863926E-4</v>
      </c>
      <c r="I646" s="1553">
        <f xml:space="preserve"> [1]HDV_WTW!C729</f>
        <v>9.2734428923486774E-3</v>
      </c>
      <c r="J646" s="1553">
        <f xml:space="preserve"> [1]HDV_WTW!D729</f>
        <v>0.10728923932137785</v>
      </c>
      <c r="K646" s="478">
        <f xml:space="preserve"> [1]HDV_WTW!E729</f>
        <v>0.11743327328594516</v>
      </c>
      <c r="L646" s="8"/>
      <c r="M646" s="160" t="s">
        <v>2326</v>
      </c>
      <c r="N646" s="578">
        <f xml:space="preserve"> [1]HDV_WTW!B669</f>
        <v>2.1760392821949437E-4</v>
      </c>
      <c r="O646" s="1553">
        <f xml:space="preserve"> [1]HDV_WTW!C669</f>
        <v>1.4957741364847109E-2</v>
      </c>
      <c r="P646" s="1553">
        <f xml:space="preserve"> [1]HDV_WTW!D669</f>
        <v>0.10312431668296938</v>
      </c>
      <c r="Q646" s="478">
        <f xml:space="preserve"> [1]HDV_WTW!E669</f>
        <v>0.11829966197603599</v>
      </c>
      <c r="R646" s="8"/>
      <c r="S646" s="160" t="s">
        <v>2326</v>
      </c>
      <c r="T646" s="578">
        <f xml:space="preserve"> [1]HDV_WTW!B639</f>
        <v>1.4037197907955558E-4</v>
      </c>
      <c r="U646" s="1553">
        <f xml:space="preserve"> [1]HDV_WTW!C639</f>
        <v>1.5842834845968507E-2</v>
      </c>
      <c r="V646" s="1553">
        <f xml:space="preserve"> [1]HDV_WTW!D639</f>
        <v>0.10312431668296938</v>
      </c>
      <c r="W646" s="478">
        <f xml:space="preserve"> [1]HDV_WTW!E639</f>
        <v>0.11910752350801745</v>
      </c>
      <c r="X646" s="8"/>
      <c r="Y646" s="8"/>
      <c r="Z646" s="8"/>
      <c r="AA646" s="8"/>
    </row>
    <row r="647" spans="1:27" ht="15.75">
      <c r="A647" s="160" t="s">
        <v>2327</v>
      </c>
      <c r="B647" s="578">
        <f xml:space="preserve"> [1]HDV_WTW!B430</f>
        <v>1.1002771331639568E-3</v>
      </c>
      <c r="C647" s="1553">
        <f xml:space="preserve"> [1]HDV_WTW!C430</f>
        <v>1.1384859468017299E-2</v>
      </c>
      <c r="D647" s="1553">
        <f xml:space="preserve"> [1]HDV_WTW!D430</f>
        <v>1.7366950097314194E-2</v>
      </c>
      <c r="E647" s="478">
        <f xml:space="preserve"> [1]HDV_WTW!E430</f>
        <v>2.9852086698495449E-2</v>
      </c>
      <c r="F647" s="8"/>
      <c r="G647" s="160" t="s">
        <v>2327</v>
      </c>
      <c r="H647" s="578">
        <f xml:space="preserve"> [1]HDV_WTW!B730</f>
        <v>7.7145112902514185E-4</v>
      </c>
      <c r="I647" s="1553">
        <f xml:space="preserve"> [1]HDV_WTW!C730</f>
        <v>7.9824095454374515E-3</v>
      </c>
      <c r="J647" s="1553">
        <f xml:space="preserve"> [1]HDV_WTW!D730</f>
        <v>1.7366950097314194E-2</v>
      </c>
      <c r="K647" s="478">
        <f xml:space="preserve"> [1]HDV_WTW!E730</f>
        <v>2.612081077177679E-2</v>
      </c>
      <c r="L647" s="8"/>
      <c r="M647" s="160" t="s">
        <v>2327</v>
      </c>
      <c r="N647" s="578">
        <f xml:space="preserve"> [1]HDV_WTW!B670</f>
        <v>1.9864343847366583E-4</v>
      </c>
      <c r="O647" s="1553">
        <f xml:space="preserve"> [1]HDV_WTW!C670</f>
        <v>1.4446709653821659E-2</v>
      </c>
      <c r="P647" s="1553">
        <f xml:space="preserve"> [1]HDV_WTW!D670</f>
        <v>1.3535234780312008E-2</v>
      </c>
      <c r="Q647" s="478">
        <f xml:space="preserve"> [1]HDV_WTW!E670</f>
        <v>2.8180587872607334E-2</v>
      </c>
      <c r="R647" s="8"/>
      <c r="S647" s="160" t="s">
        <v>2327</v>
      </c>
      <c r="T647" s="578">
        <f xml:space="preserve"> [1]HDV_WTW!B640</f>
        <v>1.259705926826183E-4</v>
      </c>
      <c r="U647" s="1553">
        <f xml:space="preserve"> [1]HDV_WTW!C640</f>
        <v>1.5008082737201974E-2</v>
      </c>
      <c r="V647" s="1553">
        <f xml:space="preserve"> [1]HDV_WTW!D640</f>
        <v>1.3535234780312008E-2</v>
      </c>
      <c r="W647" s="478">
        <f xml:space="preserve"> [1]HDV_WTW!E640</f>
        <v>2.8669288110196599E-2</v>
      </c>
      <c r="X647" s="8"/>
      <c r="Y647" s="8"/>
      <c r="Z647" s="8"/>
      <c r="AA647" s="8"/>
    </row>
    <row r="648" spans="1:27" ht="15.75">
      <c r="A648" s="160" t="s">
        <v>2328</v>
      </c>
      <c r="B648" s="578">
        <f xml:space="preserve"> [1]HDV_WTW!B431</f>
        <v>7.3472938532212198E-3</v>
      </c>
      <c r="C648" s="1553">
        <f xml:space="preserve"> [1]HDV_WTW!C431</f>
        <v>2.0920902513815599E-2</v>
      </c>
      <c r="D648" s="1553">
        <f xml:space="preserve"> [1]HDV_WTW!D431</f>
        <v>1.4253945559629631E-2</v>
      </c>
      <c r="E648" s="478">
        <f xml:space="preserve"> [1]HDV_WTW!E431</f>
        <v>4.2522141926666451E-2</v>
      </c>
      <c r="F648" s="8"/>
      <c r="G648" s="160" t="s">
        <v>2328</v>
      </c>
      <c r="H648" s="578">
        <f xml:space="preserve"> [1]HDV_WTW!B731</f>
        <v>5.1515004424820413E-3</v>
      </c>
      <c r="I648" s="1553">
        <f xml:space="preserve"> [1]HDV_WTW!C731</f>
        <v>1.4668535206305126E-2</v>
      </c>
      <c r="J648" s="1553">
        <f xml:space="preserve"> [1]HDV_WTW!D731</f>
        <v>9.9940479208346818E-3</v>
      </c>
      <c r="K648" s="478">
        <f xml:space="preserve"> [1]HDV_WTW!E731</f>
        <v>2.9814083569621848E-2</v>
      </c>
      <c r="L648" s="8"/>
      <c r="M648" s="160" t="s">
        <v>2328</v>
      </c>
      <c r="N648" s="578">
        <f xml:space="preserve"> [1]HDV_WTW!B671</f>
        <v>2.5892008344523079E-3</v>
      </c>
      <c r="O648" s="1553">
        <f xml:space="preserve"> [1]HDV_WTW!C671</f>
        <v>6.3121466787088238E-3</v>
      </c>
      <c r="P648" s="1553">
        <f xml:space="preserve"> [1]HDV_WTW!D671</f>
        <v>0</v>
      </c>
      <c r="Q648" s="478">
        <f xml:space="preserve"> [1]HDV_WTW!E671</f>
        <v>8.9013475131611321E-3</v>
      </c>
      <c r="R648" s="8"/>
      <c r="S648" s="160" t="s">
        <v>2328</v>
      </c>
      <c r="T648" s="578">
        <f xml:space="preserve"> [1]HDV_WTW!B641</f>
        <v>2.0392390058527328E-3</v>
      </c>
      <c r="U648" s="1553">
        <f xml:space="preserve"> [1]HDV_WTW!C641</f>
        <v>3.9663394162601978E-2</v>
      </c>
      <c r="V648" s="1553">
        <f xml:space="preserve"> [1]HDV_WTW!D641</f>
        <v>0</v>
      </c>
      <c r="W648" s="478">
        <f xml:space="preserve"> [1]HDV_WTW!E641</f>
        <v>4.1702633168454711E-2</v>
      </c>
      <c r="X648" s="8"/>
      <c r="Y648" s="8"/>
      <c r="Z648" s="8"/>
      <c r="AA648" s="8"/>
    </row>
    <row r="649" spans="1:27">
      <c r="A649" s="160" t="s">
        <v>896</v>
      </c>
      <c r="B649" s="578">
        <f xml:space="preserve"> [1]HDV_WTW!B432</f>
        <v>1.1786251825153646E-4</v>
      </c>
      <c r="C649" s="1553">
        <f xml:space="preserve"> [1]HDV_WTW!C432</f>
        <v>1.4707420901279536E-3</v>
      </c>
      <c r="D649" s="1553">
        <f xml:space="preserve"> [1]HDV_WTW!D432</f>
        <v>2.195958710224718E-3</v>
      </c>
      <c r="E649" s="478">
        <f xml:space="preserve"> [1]HDV_WTW!E432</f>
        <v>3.784563318604208E-3</v>
      </c>
      <c r="F649" s="8"/>
      <c r="G649" s="160" t="s">
        <v>896</v>
      </c>
      <c r="H649" s="578">
        <f xml:space="preserve"> [1]HDV_WTW!B732</f>
        <v>8.2638428114405841E-5</v>
      </c>
      <c r="I649" s="1553">
        <f xml:space="preserve"> [1]HDV_WTW!C732</f>
        <v>1.0311998784082108E-3</v>
      </c>
      <c r="J649" s="1553">
        <f xml:space="preserve"> [1]HDV_WTW!D732</f>
        <v>2.195958710224718E-3</v>
      </c>
      <c r="K649" s="478">
        <f xml:space="preserve"> [1]HDV_WTW!E732</f>
        <v>3.3097970167473346E-3</v>
      </c>
      <c r="L649" s="8"/>
      <c r="M649" s="160" t="s">
        <v>896</v>
      </c>
      <c r="N649" s="578">
        <f xml:space="preserve"> [1]HDV_WTW!B672</f>
        <v>3.3113943920314795E-5</v>
      </c>
      <c r="O649" s="1553">
        <f xml:space="preserve"> [1]HDV_WTW!C672</f>
        <v>4.1895457996082809E-4</v>
      </c>
      <c r="P649" s="1553">
        <f xml:space="preserve"> [1]HDV_WTW!D672</f>
        <v>1.7286688226295058E-3</v>
      </c>
      <c r="Q649" s="478">
        <f xml:space="preserve"> [1]HDV_WTW!E672</f>
        <v>2.1807373465106486E-3</v>
      </c>
      <c r="R649" s="8"/>
      <c r="S649" s="160" t="s">
        <v>896</v>
      </c>
      <c r="T649" s="578">
        <f xml:space="preserve"> [1]HDV_WTW!B642</f>
        <v>2.0942649254483465E-5</v>
      </c>
      <c r="U649" s="1553">
        <f xml:space="preserve"> [1]HDV_WTW!C642</f>
        <v>1.2694416616212663E-3</v>
      </c>
      <c r="V649" s="1553">
        <f xml:space="preserve"> [1]HDV_WTW!D642</f>
        <v>1.7286688226295058E-3</v>
      </c>
      <c r="W649" s="478">
        <f xml:space="preserve"> [1]HDV_WTW!E642</f>
        <v>3.0190531335052553E-3</v>
      </c>
      <c r="X649" s="8"/>
      <c r="Y649" s="8"/>
      <c r="Z649" s="8"/>
      <c r="AA649" s="8"/>
    </row>
    <row r="650" spans="1:27">
      <c r="A650" s="161" t="s">
        <v>897</v>
      </c>
      <c r="B650" s="584">
        <f xml:space="preserve"> [1]HDV_WTW!B433</f>
        <v>3.527604892768207E-4</v>
      </c>
      <c r="C650" s="637">
        <f xml:space="preserve"> [1]HDV_WTW!C433</f>
        <v>1.8959667379853352E-3</v>
      </c>
      <c r="D650" s="637">
        <f xml:space="preserve"> [1]HDV_WTW!D433</f>
        <v>3.1047720794671759E-3</v>
      </c>
      <c r="E650" s="585">
        <f xml:space="preserve"> [1]HDV_WTW!E433</f>
        <v>5.3534993067293323E-3</v>
      </c>
      <c r="F650" s="8"/>
      <c r="G650" s="161" t="s">
        <v>897</v>
      </c>
      <c r="H650" s="584">
        <f xml:space="preserve"> [1]HDV_WTW!B733</f>
        <v>2.4733539353445101E-4</v>
      </c>
      <c r="I650" s="637">
        <f xml:space="preserve"> [1]HDV_WTW!C733</f>
        <v>1.3293429778067989E-3</v>
      </c>
      <c r="J650" s="637">
        <f xml:space="preserve"> [1]HDV_WTW!D733</f>
        <v>3.1047720794671759E-3</v>
      </c>
      <c r="K650" s="585">
        <f xml:space="preserve"> [1]HDV_WTW!E733</f>
        <v>4.6814504508084255E-3</v>
      </c>
      <c r="L650" s="8"/>
      <c r="M650" s="161" t="s">
        <v>897</v>
      </c>
      <c r="N650" s="584">
        <f xml:space="preserve"> [1]HDV_WTW!B673</f>
        <v>6.5636433560849487E-5</v>
      </c>
      <c r="O650" s="637">
        <f xml:space="preserve"> [1]HDV_WTW!C673</f>
        <v>9.8237625645987287E-3</v>
      </c>
      <c r="P650" s="637">
        <f xml:space="preserve"> [1]HDV_WTW!D673</f>
        <v>2.2927730775893942E-3</v>
      </c>
      <c r="Q650" s="585">
        <f xml:space="preserve"> [1]HDV_WTW!E673</f>
        <v>1.2182172075748973E-2</v>
      </c>
      <c r="R650" s="8"/>
      <c r="S650" s="161" t="s">
        <v>897</v>
      </c>
      <c r="T650" s="584">
        <f xml:space="preserve"> [1]HDV_WTW!B643</f>
        <v>3.9206265571390593E-5</v>
      </c>
      <c r="U650" s="637">
        <f xml:space="preserve"> [1]HDV_WTW!C643</f>
        <v>3.9800018857551423E-3</v>
      </c>
      <c r="V650" s="637">
        <f xml:space="preserve"> [1]HDV_WTW!D643</f>
        <v>2.2927730775893942E-3</v>
      </c>
      <c r="W650" s="585">
        <f xml:space="preserve"> [1]HDV_WTW!E643</f>
        <v>6.3119812289159274E-3</v>
      </c>
      <c r="X650" s="8"/>
      <c r="Y650" s="8"/>
      <c r="Z650" s="8"/>
      <c r="AA650" s="8"/>
    </row>
    <row r="651" spans="1:27">
      <c r="A651" s="8"/>
      <c r="B651" s="8"/>
      <c r="C651" s="8"/>
      <c r="D651" s="8"/>
      <c r="E651" s="8"/>
      <c r="F651" s="8"/>
      <c r="G651" s="8"/>
      <c r="H651" s="8"/>
      <c r="I651" s="8"/>
      <c r="J651" s="8"/>
      <c r="K651" s="8"/>
      <c r="L651" s="8"/>
      <c r="M651" s="8"/>
      <c r="N651" s="8"/>
      <c r="O651" s="8"/>
      <c r="P651" s="8"/>
      <c r="Q651" s="8"/>
      <c r="R651" s="8"/>
      <c r="S651" s="8"/>
      <c r="T651" s="8"/>
      <c r="U651" s="8"/>
      <c r="V651" s="8"/>
      <c r="W651" s="8"/>
      <c r="X651" s="8"/>
      <c r="Y651" s="8"/>
      <c r="Z651" s="8"/>
      <c r="AA651" s="8"/>
    </row>
    <row r="652" spans="1:27">
      <c r="A652" s="63" t="s">
        <v>2330</v>
      </c>
      <c r="B652" s="8"/>
      <c r="C652" s="8"/>
      <c r="D652" s="8"/>
      <c r="E652" s="8"/>
      <c r="F652" s="8"/>
      <c r="G652" s="8"/>
      <c r="H652" s="8"/>
      <c r="I652" s="8"/>
      <c r="J652" s="8"/>
      <c r="K652" s="8"/>
      <c r="L652" s="8"/>
      <c r="M652" s="8"/>
      <c r="N652" s="8"/>
      <c r="O652" s="8"/>
      <c r="P652" s="8"/>
      <c r="Q652" s="8"/>
      <c r="R652" s="8"/>
      <c r="S652" s="8"/>
      <c r="T652" s="8"/>
      <c r="U652" s="8"/>
      <c r="V652" s="8"/>
      <c r="W652" s="8"/>
      <c r="X652" s="8"/>
      <c r="Y652" s="8"/>
    </row>
    <row r="653" spans="1:27">
      <c r="A653" s="8"/>
      <c r="B653" s="8"/>
      <c r="C653" s="8"/>
      <c r="D653" s="8"/>
      <c r="E653" s="8"/>
      <c r="F653" s="8"/>
      <c r="G653" s="8"/>
      <c r="H653" s="8"/>
      <c r="I653" s="8"/>
      <c r="J653" s="8"/>
      <c r="K653" s="8"/>
      <c r="L653" s="8"/>
      <c r="M653" s="8"/>
      <c r="N653" s="8"/>
      <c r="O653" s="8"/>
      <c r="P653" s="8"/>
      <c r="Q653" s="8"/>
      <c r="R653" s="8"/>
      <c r="S653" s="8"/>
      <c r="T653" s="8"/>
      <c r="U653" s="8"/>
      <c r="V653" s="8"/>
      <c r="W653" s="8"/>
      <c r="X653" s="8"/>
      <c r="Y653" s="8"/>
    </row>
    <row r="654" spans="1:27">
      <c r="A654" s="63" t="str" cm="1">
        <f t="array" ref="A654" xml:space="preserve"> [1]!RNAV_LHT_CIDI_Diesel</f>
        <v>CIDI Combination Long-Haul Trucks: Conventional and LS Diesel</v>
      </c>
      <c r="B654" s="8"/>
      <c r="C654" s="8"/>
      <c r="D654" s="8"/>
      <c r="E654" s="8"/>
      <c r="F654" s="8"/>
      <c r="G654" s="63" t="str" cm="1">
        <f t="array" ref="G654" xml:space="preserve"> [1]!RNAV_LHT_CIDIHEV_Diesel</f>
        <v>Grid-Independent Hybrid Long-haul Trucks : Conventional and LS Diesel</v>
      </c>
      <c r="H654" s="8"/>
      <c r="I654" s="8"/>
      <c r="J654" s="8"/>
      <c r="K654" s="8"/>
      <c r="L654" s="8"/>
      <c r="M654" s="63" t="str" cm="1">
        <f t="array" ref="M654" xml:space="preserve"> [1]!RNAV_LHT_BEV</f>
        <v>Combination Long-Haul Trucks: Electricity, NGCC Turbine</v>
      </c>
      <c r="N654" s="8"/>
      <c r="O654" s="8"/>
      <c r="P654" s="8"/>
      <c r="Q654" s="8"/>
      <c r="R654" s="8"/>
      <c r="S654" s="63" t="str" cm="1">
        <f t="array" ref="S654" xml:space="preserve"> [1]!RNAV_LHT_FC_GH2</f>
        <v>Fuel-Cell Combination Long-Haul Trucks: G.H2, Central Plants, NA NG</v>
      </c>
      <c r="T654" s="8"/>
      <c r="U654" s="8"/>
      <c r="V654" s="8"/>
      <c r="W654" s="8"/>
      <c r="X654" s="8"/>
      <c r="Y654" s="8"/>
    </row>
    <row r="655" spans="1:27">
      <c r="A655" s="135"/>
      <c r="B655" s="2736" t="str">
        <f xml:space="preserve"> [1]HDV_WTW!$B$14</f>
        <v>Btu/mile or Gallon/mile or g/mile</v>
      </c>
      <c r="C655" s="2530"/>
      <c r="D655" s="2530"/>
      <c r="E655" s="2531"/>
      <c r="F655" s="8"/>
      <c r="G655" s="1842"/>
      <c r="H655" s="2742" t="str">
        <f xml:space="preserve"> [1]HDV_WTW!$B$316</f>
        <v>Btu/mile or Gallon/mile or g/mile</v>
      </c>
      <c r="I655" s="2743"/>
      <c r="J655" s="2743"/>
      <c r="K655" s="2744"/>
      <c r="L655" s="8"/>
      <c r="M655" s="135"/>
      <c r="N655" s="2736" t="str">
        <f xml:space="preserve"> [1]HDV_WTW!$B$224</f>
        <v>Btu/mile or Gallon/mile or g/mile</v>
      </c>
      <c r="O655" s="2530"/>
      <c r="P655" s="2530"/>
      <c r="Q655" s="2531"/>
      <c r="R655" s="8"/>
      <c r="S655" s="135"/>
      <c r="T655" s="2736" t="str">
        <f xml:space="preserve"> [1]HDV_WTW!$B$346</f>
        <v>Btu/mile or Gallon/mile or g/mile</v>
      </c>
      <c r="U655" s="2530"/>
      <c r="V655" s="2530"/>
      <c r="W655" s="2531"/>
      <c r="X655" s="8"/>
      <c r="Y655" s="8"/>
    </row>
    <row r="656" spans="1:27" ht="25.5">
      <c r="A656" s="161" t="s">
        <v>1923</v>
      </c>
      <c r="B656" s="774" t="s">
        <v>2077</v>
      </c>
      <c r="C656" s="2732" t="s">
        <v>1971</v>
      </c>
      <c r="D656" s="2732" t="s">
        <v>1926</v>
      </c>
      <c r="E656" s="775" t="s">
        <v>1894</v>
      </c>
      <c r="F656" s="8"/>
      <c r="G656" s="1843" t="s">
        <v>1923</v>
      </c>
      <c r="H656" s="1844" t="s">
        <v>2077</v>
      </c>
      <c r="I656" s="1845" t="s">
        <v>1971</v>
      </c>
      <c r="J656" s="1845" t="s">
        <v>1926</v>
      </c>
      <c r="K656" s="1846" t="s">
        <v>1894</v>
      </c>
      <c r="L656" s="8"/>
      <c r="M656" s="161" t="s">
        <v>1923</v>
      </c>
      <c r="N656" s="774" t="s">
        <v>2077</v>
      </c>
      <c r="O656" s="2732" t="s">
        <v>1971</v>
      </c>
      <c r="P656" s="2732" t="s">
        <v>1926</v>
      </c>
      <c r="Q656" s="775" t="s">
        <v>1894</v>
      </c>
      <c r="R656" s="8"/>
      <c r="S656" s="161" t="s">
        <v>1923</v>
      </c>
      <c r="T656" s="774" t="s">
        <v>2077</v>
      </c>
      <c r="U656" s="2732" t="s">
        <v>1971</v>
      </c>
      <c r="V656" s="2732" t="s">
        <v>1926</v>
      </c>
      <c r="W656" s="775" t="s">
        <v>1894</v>
      </c>
      <c r="X656" s="8"/>
      <c r="Y656" s="8"/>
    </row>
    <row r="657" spans="1:25">
      <c r="A657" s="160" t="s">
        <v>2105</v>
      </c>
      <c r="B657" s="2733">
        <f xml:space="preserve"> [1]HDV_WTW!B16</f>
        <v>1161.570132281041</v>
      </c>
      <c r="C657" s="2734">
        <f xml:space="preserve"> [1]HDV_WTW!C16</f>
        <v>2138.0557699973933</v>
      </c>
      <c r="D657" s="2734">
        <f xml:space="preserve"> [1]HDV_WTW!D16</f>
        <v>18064.641487789326</v>
      </c>
      <c r="E657" s="2735">
        <f xml:space="preserve"> [1]HDV_WTW!E16</f>
        <v>21364.267390067762</v>
      </c>
      <c r="F657" s="8"/>
      <c r="G657" s="1847" t="s">
        <v>2105</v>
      </c>
      <c r="H657" s="1848">
        <f xml:space="preserve"> [1]HDV_WTW!B318</f>
        <v>1135.4826173126989</v>
      </c>
      <c r="I657" s="1849">
        <f xml:space="preserve"> [1]HDV_WTW!C318</f>
        <v>2090.0375226674405</v>
      </c>
      <c r="J657" s="1849">
        <f xml:space="preserve"> [1]HDV_WTW!D318</f>
        <v>17658.93063821282</v>
      </c>
      <c r="K657" s="1850">
        <f xml:space="preserve"> [1]HDV_WTW!E318</f>
        <v>20884.450778192961</v>
      </c>
      <c r="L657" s="8"/>
      <c r="M657" s="160" t="s">
        <v>2105</v>
      </c>
      <c r="N657" s="2733">
        <f xml:space="preserve"> [1]HDV_WTW!B226</f>
        <v>1846.8742343598617</v>
      </c>
      <c r="O657" s="2734">
        <f xml:space="preserve"> [1]HDV_WTW!C226</f>
        <v>10544.110172088076</v>
      </c>
      <c r="P657" s="2734">
        <f xml:space="preserve"> [1]HDV_WTW!D226</f>
        <v>10168.779342352973</v>
      </c>
      <c r="Q657" s="2735">
        <f xml:space="preserve"> [1]HDV_WTW!E226</f>
        <v>22559.763748800913</v>
      </c>
      <c r="R657" s="8"/>
      <c r="S657" s="160" t="s">
        <v>2105</v>
      </c>
      <c r="T657" s="2733">
        <f xml:space="preserve"> [1]HDV_WTW!B348</f>
        <v>1023.0329935769294</v>
      </c>
      <c r="U657" s="2734">
        <f xml:space="preserve"> [1]HDV_WTW!C348</f>
        <v>7585.4476268677899</v>
      </c>
      <c r="V657" s="2734">
        <f xml:space="preserve"> [1]HDV_WTW!D348</f>
        <v>16380.061937467344</v>
      </c>
      <c r="W657" s="2735">
        <f xml:space="preserve"> [1]HDV_WTW!E348</f>
        <v>24988.542557912064</v>
      </c>
      <c r="X657" s="8"/>
      <c r="Y657" s="8"/>
    </row>
    <row r="658" spans="1:25">
      <c r="A658" s="160" t="s">
        <v>2106</v>
      </c>
      <c r="B658" s="650">
        <f xml:space="preserve"> [1]HDV_WTW!B17</f>
        <v>1091.1858461064921</v>
      </c>
      <c r="C658" s="522">
        <f xml:space="preserve"> [1]HDV_WTW!C17</f>
        <v>2105.5718638368185</v>
      </c>
      <c r="D658" s="522">
        <f xml:space="preserve"> [1]HDV_WTW!D17</f>
        <v>18064.641487789326</v>
      </c>
      <c r="E658" s="159">
        <f xml:space="preserve"> [1]HDV_WTW!E17</f>
        <v>21261.399197732637</v>
      </c>
      <c r="F658" s="8"/>
      <c r="G658" s="1847" t="s">
        <v>2106</v>
      </c>
      <c r="H658" s="1851">
        <f xml:space="preserve"> [1]HDV_WTW!B319</f>
        <v>1066.6790803913259</v>
      </c>
      <c r="I658" s="1852">
        <f xml:space="preserve"> [1]HDV_WTW!C319</f>
        <v>2058.2831672801199</v>
      </c>
      <c r="J658" s="1852">
        <f xml:space="preserve"> [1]HDV_WTW!D319</f>
        <v>17658.93063821282</v>
      </c>
      <c r="K658" s="1853">
        <f xml:space="preserve"> [1]HDV_WTW!E319</f>
        <v>20783.892885884266</v>
      </c>
      <c r="L658" s="8"/>
      <c r="M658" s="160" t="s">
        <v>2106</v>
      </c>
      <c r="N658" s="650">
        <f xml:space="preserve"> [1]HDV_WTW!B227</f>
        <v>1833.766640040418</v>
      </c>
      <c r="O658" s="522">
        <f xml:space="preserve"> [1]HDV_WTW!C227</f>
        <v>10544.110172088076</v>
      </c>
      <c r="P658" s="522">
        <f xml:space="preserve"> [1]HDV_WTW!D227</f>
        <v>10168.779342352973</v>
      </c>
      <c r="Q658" s="159">
        <f xml:space="preserve"> [1]HDV_WTW!E227</f>
        <v>22546.656154481469</v>
      </c>
      <c r="R658" s="8"/>
      <c r="S658" s="160" t="s">
        <v>2106</v>
      </c>
      <c r="T658" s="650">
        <f xml:space="preserve"> [1]HDV_WTW!B349</f>
        <v>1015.8535429903593</v>
      </c>
      <c r="U658" s="522">
        <f xml:space="preserve"> [1]HDV_WTW!C349</f>
        <v>6819.7050670377266</v>
      </c>
      <c r="V658" s="522">
        <f xml:space="preserve"> [1]HDV_WTW!D349</f>
        <v>16380.061937467344</v>
      </c>
      <c r="W658" s="159">
        <f xml:space="preserve"> [1]HDV_WTW!E349</f>
        <v>24215.620547495429</v>
      </c>
      <c r="X658" s="8"/>
      <c r="Y658" s="8"/>
    </row>
    <row r="659" spans="1:25">
      <c r="A659" s="160" t="s">
        <v>442</v>
      </c>
      <c r="B659" s="650">
        <f xml:space="preserve"> [1]HDV_WTW!B18</f>
        <v>87.836061602565124</v>
      </c>
      <c r="C659" s="522">
        <f xml:space="preserve"> [1]HDV_WTW!C18</f>
        <v>42.76346453498698</v>
      </c>
      <c r="D659" s="522">
        <f xml:space="preserve"> [1]HDV_WTW!D18</f>
        <v>0</v>
      </c>
      <c r="E659" s="159">
        <f xml:space="preserve"> [1]HDV_WTW!E18</f>
        <v>130.59952613755212</v>
      </c>
      <c r="F659" s="8"/>
      <c r="G659" s="1847" t="s">
        <v>442</v>
      </c>
      <c r="H659" s="1851">
        <f xml:space="preserve"> [1]HDV_WTW!B320</f>
        <v>85.86336575912317</v>
      </c>
      <c r="I659" s="1852">
        <f xml:space="preserve"> [1]HDV_WTW!C320</f>
        <v>41.803046829545565</v>
      </c>
      <c r="J659" s="1852">
        <f xml:space="preserve"> [1]HDV_WTW!D320</f>
        <v>0</v>
      </c>
      <c r="K659" s="1853">
        <f xml:space="preserve"> [1]HDV_WTW!E320</f>
        <v>127.66641258866873</v>
      </c>
      <c r="L659" s="8"/>
      <c r="M659" s="160" t="s">
        <v>442</v>
      </c>
      <c r="N659" s="650">
        <f xml:space="preserve"> [1]HDV_WTW!B228</f>
        <v>17.304044798212242</v>
      </c>
      <c r="O659" s="522">
        <f xml:space="preserve"> [1]HDV_WTW!C228</f>
        <v>0</v>
      </c>
      <c r="P659" s="522">
        <f xml:space="preserve"> [1]HDV_WTW!D228</f>
        <v>0</v>
      </c>
      <c r="Q659" s="159">
        <f xml:space="preserve"> [1]HDV_WTW!E228</f>
        <v>17.304044798212242</v>
      </c>
      <c r="R659" s="8"/>
      <c r="S659" s="160" t="s">
        <v>442</v>
      </c>
      <c r="T659" s="650">
        <f xml:space="preserve"> [1]HDV_WTW!B350</f>
        <v>9.4757073013575592</v>
      </c>
      <c r="U659" s="522">
        <f xml:space="preserve"> [1]HDV_WTW!C350</f>
        <v>1012.2461521587489</v>
      </c>
      <c r="V659" s="522">
        <f xml:space="preserve"> [1]HDV_WTW!D350</f>
        <v>0</v>
      </c>
      <c r="W659" s="159">
        <f xml:space="preserve"> [1]HDV_WTW!E350</f>
        <v>1021.7218594601065</v>
      </c>
      <c r="X659" s="8"/>
      <c r="Y659" s="8"/>
    </row>
    <row r="660" spans="1:25">
      <c r="A660" s="160" t="s">
        <v>2017</v>
      </c>
      <c r="B660" s="650">
        <f xml:space="preserve"> [1]HDV_WTW!B19</f>
        <v>804.62750384494234</v>
      </c>
      <c r="C660" s="522">
        <f xml:space="preserve"> [1]HDV_WTW!C19</f>
        <v>1422.2076059800106</v>
      </c>
      <c r="D660" s="522">
        <f xml:space="preserve"> [1]HDV_WTW!D19</f>
        <v>0</v>
      </c>
      <c r="E660" s="159">
        <f xml:space="preserve"> [1]HDV_WTW!E19</f>
        <v>2226.8351098249532</v>
      </c>
      <c r="F660" s="8"/>
      <c r="G660" s="1847" t="s">
        <v>2017</v>
      </c>
      <c r="H660" s="1851">
        <f xml:space="preserve"> [1]HDV_WTW!B321</f>
        <v>786.55650540314014</v>
      </c>
      <c r="I660" s="1852">
        <f xml:space="preserve"> [1]HDV_WTW!C321</f>
        <v>1390.2664763159466</v>
      </c>
      <c r="J660" s="1852">
        <f xml:space="preserve"> [1]HDV_WTW!D321</f>
        <v>0</v>
      </c>
      <c r="K660" s="1853">
        <f xml:space="preserve"> [1]HDV_WTW!E321</f>
        <v>2176.8229817190868</v>
      </c>
      <c r="L660" s="8"/>
      <c r="M660" s="160" t="s">
        <v>2017</v>
      </c>
      <c r="N660" s="650">
        <f xml:space="preserve"> [1]HDV_WTW!B229</f>
        <v>1734.5034702363428</v>
      </c>
      <c r="O660" s="522">
        <f xml:space="preserve"> [1]HDV_WTW!C229</f>
        <v>10544.110172088076</v>
      </c>
      <c r="P660" s="522">
        <f xml:space="preserve"> [1]HDV_WTW!D229</f>
        <v>10168.779342352973</v>
      </c>
      <c r="Q660" s="159">
        <f xml:space="preserve"> [1]HDV_WTW!E229</f>
        <v>22447.39298467739</v>
      </c>
      <c r="R660" s="8"/>
      <c r="S660" s="160" t="s">
        <v>2017</v>
      </c>
      <c r="T660" s="650">
        <f xml:space="preserve"> [1]HDV_WTW!B351</f>
        <v>953.50314638235614</v>
      </c>
      <c r="U660" s="522">
        <f xml:space="preserve"> [1]HDV_WTW!C351</f>
        <v>5751.3829606037689</v>
      </c>
      <c r="V660" s="522">
        <f xml:space="preserve"> [1]HDV_WTW!D351</f>
        <v>16380.061937467344</v>
      </c>
      <c r="W660" s="159">
        <f xml:space="preserve"> [1]HDV_WTW!E351</f>
        <v>23084.948044453471</v>
      </c>
      <c r="X660" s="8"/>
      <c r="Y660" s="8"/>
    </row>
    <row r="661" spans="1:25">
      <c r="A661" s="160" t="s">
        <v>440</v>
      </c>
      <c r="B661" s="650">
        <f xml:space="preserve"> [1]HDV_WTW!B20</f>
        <v>198.72228065898466</v>
      </c>
      <c r="C661" s="522">
        <f xml:space="preserve"> [1]HDV_WTW!C20</f>
        <v>640.60079332182056</v>
      </c>
      <c r="D661" s="522">
        <f xml:space="preserve"> [1]HDV_WTW!D20</f>
        <v>18064.641487789326</v>
      </c>
      <c r="E661" s="159">
        <f xml:space="preserve"> [1]HDV_WTW!E20</f>
        <v>18903.964561770132</v>
      </c>
      <c r="F661" s="8"/>
      <c r="G661" s="1847" t="s">
        <v>440</v>
      </c>
      <c r="H661" s="1851">
        <f xml:space="preserve"> [1]HDV_WTW!B322</f>
        <v>194.25920922906258</v>
      </c>
      <c r="I661" s="1852">
        <f xml:space="preserve"> [1]HDV_WTW!C322</f>
        <v>626.21364413462766</v>
      </c>
      <c r="J661" s="1852">
        <f xml:space="preserve"> [1]HDV_WTW!D322</f>
        <v>17658.93063821282</v>
      </c>
      <c r="K661" s="1853">
        <f xml:space="preserve"> [1]HDV_WTW!E322</f>
        <v>18479.403491576511</v>
      </c>
      <c r="L661" s="8"/>
      <c r="M661" s="160" t="s">
        <v>440</v>
      </c>
      <c r="N661" s="650">
        <f xml:space="preserve"> [1]HDV_WTW!B230</f>
        <v>81.959125005863015</v>
      </c>
      <c r="O661" s="522">
        <f xml:space="preserve"> [1]HDV_WTW!C230</f>
        <v>0</v>
      </c>
      <c r="P661" s="522">
        <f xml:space="preserve"> [1]HDV_WTW!D230</f>
        <v>0</v>
      </c>
      <c r="Q661" s="159">
        <f xml:space="preserve"> [1]HDV_WTW!E230</f>
        <v>81.959125005863015</v>
      </c>
      <c r="R661" s="8"/>
      <c r="S661" s="160" t="s">
        <v>440</v>
      </c>
      <c r="T661" s="650">
        <f xml:space="preserve"> [1]HDV_WTW!B352</f>
        <v>52.874689306645543</v>
      </c>
      <c r="U661" s="522">
        <f xml:space="preserve"> [1]HDV_WTW!C352</f>
        <v>56.075954275208296</v>
      </c>
      <c r="V661" s="522">
        <f xml:space="preserve"> [1]HDV_WTW!D352</f>
        <v>0</v>
      </c>
      <c r="W661" s="159">
        <f xml:space="preserve"> [1]HDV_WTW!E352</f>
        <v>108.95064358185384</v>
      </c>
      <c r="X661" s="8"/>
      <c r="Y661" s="8"/>
    </row>
    <row r="662" spans="1:25">
      <c r="A662" s="160" t="s">
        <v>819</v>
      </c>
      <c r="B662" s="650">
        <f xml:space="preserve"> [1]HDV_WTW!B21</f>
        <v>0.31983017040741918</v>
      </c>
      <c r="C662" s="522">
        <f xml:space="preserve"> [1]HDV_WTW!C21</f>
        <v>7.4145567067684506E-2</v>
      </c>
      <c r="D662" s="522">
        <f xml:space="preserve"> [1]HDV_WTW!D21</f>
        <v>0</v>
      </c>
      <c r="E662" s="159">
        <f xml:space="preserve"> [1]HDV_WTW!E21</f>
        <v>0.39397573747510367</v>
      </c>
      <c r="F662" s="8"/>
      <c r="G662" s="1847" t="s">
        <v>819</v>
      </c>
      <c r="H662" s="1851">
        <f xml:space="preserve"> [1]HDV_WTW!B323</f>
        <v>0.31264715654888769</v>
      </c>
      <c r="I662" s="1852">
        <f xml:space="preserve"> [1]HDV_WTW!C323</f>
        <v>7.2480343817740933E-2</v>
      </c>
      <c r="J662" s="1852">
        <f xml:space="preserve"> [1]HDV_WTW!D323</f>
        <v>0</v>
      </c>
      <c r="K662" s="1853">
        <f xml:space="preserve"> [1]HDV_WTW!E323</f>
        <v>0.38512750036662863</v>
      </c>
      <c r="L662" s="8"/>
      <c r="M662" s="160" t="s">
        <v>819</v>
      </c>
      <c r="N662" s="650">
        <f xml:space="preserve"> [1]HDV_WTW!B231</f>
        <v>6.2439363405228793E-2</v>
      </c>
      <c r="O662" s="522">
        <f xml:space="preserve"> [1]HDV_WTW!C231</f>
        <v>0.49750407923899259</v>
      </c>
      <c r="P662" s="522">
        <f xml:space="preserve"> [1]HDV_WTW!D231</f>
        <v>0</v>
      </c>
      <c r="Q662" s="159">
        <f xml:space="preserve"> [1]HDV_WTW!E231</f>
        <v>0.55994344264422136</v>
      </c>
      <c r="R662" s="8"/>
      <c r="S662" s="160" t="s">
        <v>819</v>
      </c>
      <c r="T662" s="650">
        <f xml:space="preserve"> [1]HDV_WTW!B353</f>
        <v>4.0193234435372045E-2</v>
      </c>
      <c r="U662" s="522">
        <f xml:space="preserve"> [1]HDV_WTW!C353</f>
        <v>0.56078197693449017</v>
      </c>
      <c r="V662" s="522">
        <f xml:space="preserve"> [1]HDV_WTW!D353</f>
        <v>0</v>
      </c>
      <c r="W662" s="159">
        <f xml:space="preserve"> [1]HDV_WTW!E353</f>
        <v>0.60097521136986221</v>
      </c>
      <c r="X662" s="8"/>
      <c r="Y662" s="8"/>
    </row>
    <row r="663" spans="1:25" ht="15.75">
      <c r="A663" s="160" t="s">
        <v>2319</v>
      </c>
      <c r="B663" s="650">
        <f xml:space="preserve"> [1]HDV_WTW!B22</f>
        <v>95.99765432415127</v>
      </c>
      <c r="C663" s="522">
        <f xml:space="preserve"> [1]HDV_WTW!C22</f>
        <v>138.15944281153139</v>
      </c>
      <c r="D663" s="522">
        <f xml:space="preserve"> [1]HDV_WTW!D22</f>
        <v>1428.3725609393252</v>
      </c>
      <c r="E663" s="159">
        <f xml:space="preserve"> [1]HDV_WTW!E22</f>
        <v>1662.5296580750078</v>
      </c>
      <c r="F663" s="8"/>
      <c r="G663" s="1847" t="s">
        <v>2319</v>
      </c>
      <c r="H663" s="1851">
        <f xml:space="preserve"> [1]HDV_WTW!B324</f>
        <v>93.841658595172674</v>
      </c>
      <c r="I663" s="1852">
        <f xml:space="preserve"> [1]HDV_WTW!C324</f>
        <v>135.05654232175576</v>
      </c>
      <c r="J663" s="1852">
        <f xml:space="preserve"> [1]HDV_WTW!D324</f>
        <v>1396.2920915966611</v>
      </c>
      <c r="K663" s="1853">
        <f xml:space="preserve"> [1]HDV_WTW!E324</f>
        <v>1625.1902925135896</v>
      </c>
      <c r="L663" s="8"/>
      <c r="M663" s="160" t="s">
        <v>2319</v>
      </c>
      <c r="N663" s="650">
        <f xml:space="preserve"> [1]HDV_WTW!B232</f>
        <v>111.89438115571916</v>
      </c>
      <c r="O663" s="522">
        <f xml:space="preserve"> [1]HDV_WTW!C232</f>
        <v>1230.5304074664316</v>
      </c>
      <c r="P663" s="522">
        <f xml:space="preserve"> [1]HDV_WTW!D232</f>
        <v>0</v>
      </c>
      <c r="Q663" s="159">
        <f xml:space="preserve"> [1]HDV_WTW!E232</f>
        <v>1342.4247886221508</v>
      </c>
      <c r="R663" s="8"/>
      <c r="S663" s="160" t="s">
        <v>2319</v>
      </c>
      <c r="T663" s="650">
        <f xml:space="preserve"> [1]HDV_WTW!B354</f>
        <v>63.233535845582672</v>
      </c>
      <c r="U663" s="522">
        <f xml:space="preserve"> [1]HDV_WTW!C354</f>
        <v>1421.3294204921526</v>
      </c>
      <c r="V663" s="522">
        <f xml:space="preserve"> [1]HDV_WTW!D354</f>
        <v>0</v>
      </c>
      <c r="W663" s="159">
        <f xml:space="preserve"> [1]HDV_WTW!E354</f>
        <v>1484.5629563377354</v>
      </c>
      <c r="X663" s="8"/>
      <c r="Y663" s="8"/>
    </row>
    <row r="664" spans="1:25" ht="15.75">
      <c r="A664" s="160" t="s">
        <v>2320</v>
      </c>
      <c r="B664" s="650">
        <f xml:space="preserve"> [1]HDV_WTW!B23</f>
        <v>1.6552235472407806</v>
      </c>
      <c r="C664" s="522">
        <f xml:space="preserve"> [1]HDV_WTW!C23</f>
        <v>0.32368675497750526</v>
      </c>
      <c r="D664" s="522">
        <f xml:space="preserve"> [1]HDV_WTW!D23</f>
        <v>1.4279963898586301E-2</v>
      </c>
      <c r="E664" s="159">
        <f xml:space="preserve"> [1]HDV_WTW!E23</f>
        <v>1.9931902661168721</v>
      </c>
      <c r="F664" s="8"/>
      <c r="G664" s="1847" t="s">
        <v>2320</v>
      </c>
      <c r="H664" s="1851">
        <f xml:space="preserve"> [1]HDV_WTW!B325</f>
        <v>1.618049150392439</v>
      </c>
      <c r="I664" s="1852">
        <f xml:space="preserve"> [1]HDV_WTW!C325</f>
        <v>0.31641712671240224</v>
      </c>
      <c r="J664" s="1852">
        <f xml:space="preserve"> [1]HDV_WTW!D325</f>
        <v>1.4279963898586301E-2</v>
      </c>
      <c r="K664" s="1853">
        <f xml:space="preserve"> [1]HDV_WTW!E325</f>
        <v>1.9487462410034275</v>
      </c>
      <c r="L664" s="8"/>
      <c r="M664" s="160" t="s">
        <v>2320</v>
      </c>
      <c r="N664" s="650">
        <f xml:space="preserve"> [1]HDV_WTW!B233</f>
        <v>3.8066540029010012</v>
      </c>
      <c r="O664" s="522">
        <f xml:space="preserve"> [1]HDV_WTW!C233</f>
        <v>2.8333108626074383E-2</v>
      </c>
      <c r="P664" s="522">
        <f xml:space="preserve"> [1]HDV_WTW!D233</f>
        <v>0</v>
      </c>
      <c r="Q664" s="159">
        <f xml:space="preserve"> [1]HDV_WTW!E233</f>
        <v>3.8349871115270755</v>
      </c>
      <c r="R664" s="8"/>
      <c r="S664" s="160" t="s">
        <v>2320</v>
      </c>
      <c r="T664" s="650">
        <f xml:space="preserve"> [1]HDV_WTW!B355</f>
        <v>2.0905635568218175</v>
      </c>
      <c r="U664" s="522">
        <f xml:space="preserve"> [1]HDV_WTW!C355</f>
        <v>1.461382651185382</v>
      </c>
      <c r="V664" s="522">
        <f xml:space="preserve"> [1]HDV_WTW!D355</f>
        <v>0</v>
      </c>
      <c r="W664" s="159">
        <f xml:space="preserve"> [1]HDV_WTW!E355</f>
        <v>3.5519462080071995</v>
      </c>
      <c r="X664" s="8"/>
      <c r="Y664" s="8"/>
    </row>
    <row r="665" spans="1:25" ht="15.75">
      <c r="A665" s="160" t="s">
        <v>2321</v>
      </c>
      <c r="B665" s="650">
        <f xml:space="preserve"> [1]HDV_WTW!B24</f>
        <v>1.5202772518049163E-3</v>
      </c>
      <c r="C665" s="522">
        <f xml:space="preserve"> [1]HDV_WTW!C24</f>
        <v>2.5000419325434185E-3</v>
      </c>
      <c r="D665" s="522">
        <f xml:space="preserve"> [1]HDV_WTW!D24</f>
        <v>1.9166453667045131E-3</v>
      </c>
      <c r="E665" s="159">
        <f xml:space="preserve"> [1]HDV_WTW!E24</f>
        <v>5.9369645510528478E-3</v>
      </c>
      <c r="F665" s="8"/>
      <c r="G665" s="1847" t="s">
        <v>2321</v>
      </c>
      <c r="H665" s="1851">
        <f xml:space="preserve"> [1]HDV_WTW!B326</f>
        <v>1.4861335918912376E-3</v>
      </c>
      <c r="I665" s="1852">
        <f xml:space="preserve"> [1]HDV_WTW!C326</f>
        <v>2.4438938967733929E-3</v>
      </c>
      <c r="J665" s="1852">
        <f xml:space="preserve"> [1]HDV_WTW!D326</f>
        <v>1.9166453667045131E-3</v>
      </c>
      <c r="K665" s="1853">
        <f xml:space="preserve"> [1]HDV_WTW!E326</f>
        <v>5.8466728553691434E-3</v>
      </c>
      <c r="L665" s="8"/>
      <c r="M665" s="160" t="s">
        <v>2321</v>
      </c>
      <c r="N665" s="650">
        <f xml:space="preserve"> [1]HDV_WTW!B234</f>
        <v>1.6507278966782748E-2</v>
      </c>
      <c r="O665" s="522">
        <f xml:space="preserve"> [1]HDV_WTW!C234</f>
        <v>2.5494443279539618E-3</v>
      </c>
      <c r="P665" s="522">
        <f xml:space="preserve"> [1]HDV_WTW!D234</f>
        <v>0</v>
      </c>
      <c r="Q665" s="159">
        <f xml:space="preserve"> [1]HDV_WTW!E234</f>
        <v>1.9056723294736708E-2</v>
      </c>
      <c r="R665" s="8"/>
      <c r="S665" s="160" t="s">
        <v>2321</v>
      </c>
      <c r="T665" s="650">
        <f xml:space="preserve"> [1]HDV_WTW!B356</f>
        <v>3.1877238346775224E-3</v>
      </c>
      <c r="U665" s="522">
        <f xml:space="preserve"> [1]HDV_WTW!C356</f>
        <v>1.0587159770171788E-2</v>
      </c>
      <c r="V665" s="522">
        <f xml:space="preserve"> [1]HDV_WTW!D356</f>
        <v>0</v>
      </c>
      <c r="W665" s="159">
        <f xml:space="preserve"> [1]HDV_WTW!E356</f>
        <v>1.3774883604849311E-2</v>
      </c>
      <c r="X665" s="8"/>
      <c r="Y665" s="8"/>
    </row>
    <row r="666" spans="1:25">
      <c r="A666" s="160" t="s">
        <v>1896</v>
      </c>
      <c r="B666" s="650">
        <f xml:space="preserve"> [1]HDV_WTW!B25</f>
        <v>146.05723421310299</v>
      </c>
      <c r="C666" s="522">
        <f xml:space="preserve"> [1]HDV_WTW!C25</f>
        <v>148.53255657298055</v>
      </c>
      <c r="D666" s="522">
        <f xml:space="preserve"> [1]HDV_WTW!D25</f>
        <v>1429.3088708784596</v>
      </c>
      <c r="E666" s="159">
        <f xml:space="preserve"> [1]HDV_WTW!E25</f>
        <v>1723.8986616645429</v>
      </c>
      <c r="F666" s="8"/>
      <c r="G666" s="1847" t="s">
        <v>1896</v>
      </c>
      <c r="H666" s="1851">
        <f xml:space="preserve"> [1]HDV_WTW!B327</f>
        <v>142.77695850879704</v>
      </c>
      <c r="I666" s="1852">
        <f xml:space="preserve"> [1]HDV_WTW!C327</f>
        <v>145.19668800577278</v>
      </c>
      <c r="J666" s="1852">
        <f xml:space="preserve"> [1]HDV_WTW!D327</f>
        <v>1397.2284015357955</v>
      </c>
      <c r="K666" s="1853">
        <f xml:space="preserve"> [1]HDV_WTW!E327</f>
        <v>1685.2020480503652</v>
      </c>
      <c r="L666" s="8"/>
      <c r="M666" s="160" t="s">
        <v>1896</v>
      </c>
      <c r="N666" s="650">
        <f xml:space="preserve"> [1]HDV_WTW!B235</f>
        <v>230.46843016894661</v>
      </c>
      <c r="O666" s="522">
        <f xml:space="preserve"> [1]HDV_WTW!C235</f>
        <v>1232.0560034721216</v>
      </c>
      <c r="P666" s="522">
        <f xml:space="preserve"> [1]HDV_WTW!D235</f>
        <v>0</v>
      </c>
      <c r="Q666" s="159">
        <f xml:space="preserve"> [1]HDV_WTW!E235</f>
        <v>1462.5244336410683</v>
      </c>
      <c r="R666" s="8"/>
      <c r="S666" s="160" t="s">
        <v>1896</v>
      </c>
      <c r="T666" s="650">
        <f xml:space="preserve"> [1]HDV_WTW!B357</f>
        <v>126.79518936642674</v>
      </c>
      <c r="U666" s="522">
        <f xml:space="preserve"> [1]HDV_WTW!C357</f>
        <v>1467.9764973668096</v>
      </c>
      <c r="V666" s="522">
        <f xml:space="preserve"> [1]HDV_WTW!D357</f>
        <v>0</v>
      </c>
      <c r="W666" s="159">
        <f xml:space="preserve"> [1]HDV_WTW!E357</f>
        <v>1594.7716867332363</v>
      </c>
      <c r="X666" s="8"/>
      <c r="Y666" s="8"/>
    </row>
    <row r="667" spans="1:25">
      <c r="A667" s="160" t="s">
        <v>879</v>
      </c>
      <c r="B667" s="578">
        <f xml:space="preserve"> [1]HDV_WTW!B26</f>
        <v>6.6706911771938396E-2</v>
      </c>
      <c r="C667" s="1553">
        <f xml:space="preserve"> [1]HDV_WTW!C26</f>
        <v>6.6311334359973342E-2</v>
      </c>
      <c r="D667" s="1553">
        <f xml:space="preserve"> [1]HDV_WTW!D26</f>
        <v>0.10415651994681022</v>
      </c>
      <c r="E667" s="478">
        <f xml:space="preserve"> [1]HDV_WTW!E26</f>
        <v>0.23717476607872195</v>
      </c>
      <c r="F667" s="8"/>
      <c r="G667" s="1847" t="s">
        <v>879</v>
      </c>
      <c r="H667" s="1854">
        <f xml:space="preserve"> [1]HDV_WTW!B328</f>
        <v>6.5208752073285553E-2</v>
      </c>
      <c r="I667" s="1855">
        <f xml:space="preserve"> [1]HDV_WTW!C328</f>
        <v>6.4822058870176238E-2</v>
      </c>
      <c r="J667" s="1855">
        <f xml:space="preserve"> [1]HDV_WTW!D328</f>
        <v>0.10415651994681022</v>
      </c>
      <c r="K667" s="1856">
        <f xml:space="preserve"> [1]HDV_WTW!E328</f>
        <v>0.23418733089027202</v>
      </c>
      <c r="L667" s="8"/>
      <c r="M667" s="160" t="s">
        <v>879</v>
      </c>
      <c r="N667" s="578">
        <f xml:space="preserve"> [1]HDV_WTW!B236</f>
        <v>0.17685955855754107</v>
      </c>
      <c r="O667" s="1553">
        <f xml:space="preserve"> [1]HDV_WTW!C236</f>
        <v>1.3821560767615546E-2</v>
      </c>
      <c r="P667" s="1553">
        <f xml:space="preserve"> [1]HDV_WTW!D236</f>
        <v>0</v>
      </c>
      <c r="Q667" s="478">
        <f xml:space="preserve"> [1]HDV_WTW!E236</f>
        <v>0.19068111932515661</v>
      </c>
      <c r="R667" s="8"/>
      <c r="S667" s="160" t="s">
        <v>879</v>
      </c>
      <c r="T667" s="578">
        <f xml:space="preserve"> [1]HDV_WTW!B358</f>
        <v>9.4266692889576037E-2</v>
      </c>
      <c r="U667" s="1553">
        <f xml:space="preserve"> [1]HDV_WTW!C358</f>
        <v>9.7533897498654237E-2</v>
      </c>
      <c r="V667" s="1553">
        <f xml:space="preserve"> [1]HDV_WTW!D358</f>
        <v>0</v>
      </c>
      <c r="W667" s="478">
        <f xml:space="preserve"> [1]HDV_WTW!E358</f>
        <v>0.19180059038823027</v>
      </c>
      <c r="X667" s="8"/>
      <c r="Y667" s="8"/>
    </row>
    <row r="668" spans="1:25">
      <c r="A668" s="160" t="s">
        <v>880</v>
      </c>
      <c r="B668" s="578">
        <f xml:space="preserve"> [1]HDV_WTW!B27</f>
        <v>0.13323689106881326</v>
      </c>
      <c r="C668" s="1553">
        <f xml:space="preserve"> [1]HDV_WTW!C27</f>
        <v>7.6154601725606827E-2</v>
      </c>
      <c r="D668" s="1553">
        <f xml:space="preserve"> [1]HDV_WTW!D27</f>
        <v>2.8990092232225142</v>
      </c>
      <c r="E668" s="478">
        <f xml:space="preserve"> [1]HDV_WTW!E27</f>
        <v>3.1084007160169342</v>
      </c>
      <c r="F668" s="8"/>
      <c r="G668" s="1847" t="s">
        <v>880</v>
      </c>
      <c r="H668" s="1854">
        <f xml:space="preserve"> [1]HDV_WTW!B329</f>
        <v>0.13024454536923216</v>
      </c>
      <c r="I668" s="1855">
        <f xml:space="preserve"> [1]HDV_WTW!C329</f>
        <v>7.4444257892537086E-2</v>
      </c>
      <c r="J668" s="1855">
        <f xml:space="preserve"> [1]HDV_WTW!D329</f>
        <v>1.4495046116112571</v>
      </c>
      <c r="K668" s="1856">
        <f xml:space="preserve"> [1]HDV_WTW!E329</f>
        <v>1.6541934148730264</v>
      </c>
      <c r="L668" s="8"/>
      <c r="M668" s="160" t="s">
        <v>880</v>
      </c>
      <c r="N668" s="578">
        <f xml:space="preserve"> [1]HDV_WTW!B237</f>
        <v>0.46197269288213749</v>
      </c>
      <c r="O668" s="1553">
        <f xml:space="preserve"> [1]HDV_WTW!C237</f>
        <v>0.10509486098013346</v>
      </c>
      <c r="P668" s="1553">
        <f xml:space="preserve"> [1]HDV_WTW!D237</f>
        <v>0</v>
      </c>
      <c r="Q668" s="478">
        <f xml:space="preserve"> [1]HDV_WTW!E237</f>
        <v>0.56706755386227092</v>
      </c>
      <c r="R668" s="8"/>
      <c r="S668" s="160" t="s">
        <v>880</v>
      </c>
      <c r="T668" s="578">
        <f xml:space="preserve"> [1]HDV_WTW!B359</f>
        <v>0.1928154621974946</v>
      </c>
      <c r="U668" s="1553">
        <f xml:space="preserve"> [1]HDV_WTW!C359</f>
        <v>0.1322320283592609</v>
      </c>
      <c r="V668" s="1553">
        <f xml:space="preserve"> [1]HDV_WTW!D359</f>
        <v>0</v>
      </c>
      <c r="W668" s="478">
        <f xml:space="preserve"> [1]HDV_WTW!E359</f>
        <v>0.32504749055675553</v>
      </c>
      <c r="X668" s="8"/>
      <c r="Y668" s="8"/>
    </row>
    <row r="669" spans="1:25">
      <c r="A669" s="160" t="s">
        <v>881</v>
      </c>
      <c r="B669" s="578">
        <f xml:space="preserve"> [1]HDV_WTW!B28</f>
        <v>0.20520735668600648</v>
      </c>
      <c r="C669" s="1553">
        <f xml:space="preserve"> [1]HDV_WTW!C28</f>
        <v>0.11463347882354728</v>
      </c>
      <c r="D669" s="1553">
        <f xml:space="preserve"> [1]HDV_WTW!D28</f>
        <v>1.8194955645718054</v>
      </c>
      <c r="E669" s="478">
        <f xml:space="preserve"> [1]HDV_WTW!E28</f>
        <v>2.1393364000813593</v>
      </c>
      <c r="F669" s="8"/>
      <c r="G669" s="1847" t="s">
        <v>881</v>
      </c>
      <c r="H669" s="1854">
        <f xml:space="preserve"> [1]HDV_WTW!B330</f>
        <v>0.20059863798673397</v>
      </c>
      <c r="I669" s="1855">
        <f xml:space="preserve"> [1]HDV_WTW!C330</f>
        <v>0.11205894413849148</v>
      </c>
      <c r="J669" s="1855">
        <f xml:space="preserve"> [1]HDV_WTW!D330</f>
        <v>1.8194955645718054</v>
      </c>
      <c r="K669" s="1856">
        <f xml:space="preserve"> [1]HDV_WTW!E330</f>
        <v>2.1321531466970307</v>
      </c>
      <c r="L669" s="8"/>
      <c r="M669" s="160" t="s">
        <v>881</v>
      </c>
      <c r="N669" s="578">
        <f xml:space="preserve"> [1]HDV_WTW!B238</f>
        <v>0.53272279700453662</v>
      </c>
      <c r="O669" s="1553">
        <f xml:space="preserve"> [1]HDV_WTW!C238</f>
        <v>0.15626508094549241</v>
      </c>
      <c r="P669" s="1553">
        <f xml:space="preserve"> [1]HDV_WTW!D238</f>
        <v>0</v>
      </c>
      <c r="Q669" s="478">
        <f xml:space="preserve"> [1]HDV_WTW!E238</f>
        <v>0.68898787795002903</v>
      </c>
      <c r="R669" s="8"/>
      <c r="S669" s="160" t="s">
        <v>881</v>
      </c>
      <c r="T669" s="578">
        <f xml:space="preserve"> [1]HDV_WTW!B360</f>
        <v>0.21942875853147706</v>
      </c>
      <c r="U669" s="1553">
        <f xml:space="preserve"> [1]HDV_WTW!C360</f>
        <v>0.25408798326170667</v>
      </c>
      <c r="V669" s="1553">
        <f xml:space="preserve"> [1]HDV_WTW!D360</f>
        <v>0</v>
      </c>
      <c r="W669" s="478">
        <f xml:space="preserve"> [1]HDV_WTW!E360</f>
        <v>0.4735167417931837</v>
      </c>
      <c r="X669" s="8"/>
      <c r="Y669" s="8"/>
    </row>
    <row r="670" spans="1:25" ht="15.75">
      <c r="A670" s="160" t="s">
        <v>2322</v>
      </c>
      <c r="B670" s="578">
        <f xml:space="preserve"> [1]HDV_WTW!B29</f>
        <v>1.008603971640842E-2</v>
      </c>
      <c r="C670" s="1553">
        <f xml:space="preserve"> [1]HDV_WTW!C29</f>
        <v>1.3277383209045356E-2</v>
      </c>
      <c r="D670" s="1553">
        <f xml:space="preserve"> [1]HDV_WTW!D29</f>
        <v>9.7501896966844193E-2</v>
      </c>
      <c r="E670" s="478">
        <f xml:space="preserve"> [1]HDV_WTW!E29</f>
        <v>0.12086531989229797</v>
      </c>
      <c r="F670" s="8"/>
      <c r="G670" s="1847" t="s">
        <v>2322</v>
      </c>
      <c r="H670" s="1854">
        <f xml:space="preserve"> [1]HDV_WTW!B331</f>
        <v>9.8595189883346063E-3</v>
      </c>
      <c r="I670" s="1855">
        <f xml:space="preserve"> [1]HDV_WTW!C331</f>
        <v>1.2979188615726922E-2</v>
      </c>
      <c r="J670" s="1855">
        <f xml:space="preserve"> [1]HDV_WTW!D331</f>
        <v>9.7501896966844193E-2</v>
      </c>
      <c r="K670" s="1856">
        <f xml:space="preserve"> [1]HDV_WTW!E331</f>
        <v>0.12034060457090573</v>
      </c>
      <c r="L670" s="8"/>
      <c r="M670" s="160" t="s">
        <v>2322</v>
      </c>
      <c r="N670" s="578">
        <f xml:space="preserve"> [1]HDV_WTW!B239</f>
        <v>8.2224617611465715E-3</v>
      </c>
      <c r="O670" s="1553">
        <f xml:space="preserve"> [1]HDV_WTW!C239</f>
        <v>5.3517806592840507E-2</v>
      </c>
      <c r="P670" s="1553">
        <f xml:space="preserve"> [1]HDV_WTW!D239</f>
        <v>9.2776112380665202E-2</v>
      </c>
      <c r="Q670" s="478">
        <f xml:space="preserve"> [1]HDV_WTW!E239</f>
        <v>0.15451638073465229</v>
      </c>
      <c r="R670" s="8"/>
      <c r="S670" s="160" t="s">
        <v>2322</v>
      </c>
      <c r="T670" s="578">
        <f xml:space="preserve"> [1]HDV_WTW!B361</f>
        <v>5.0931359362104594E-3</v>
      </c>
      <c r="U670" s="1553">
        <f xml:space="preserve"> [1]HDV_WTW!C361</f>
        <v>6.2289829832112231E-2</v>
      </c>
      <c r="V670" s="1553">
        <f xml:space="preserve"> [1]HDV_WTW!D361</f>
        <v>9.2776112380665202E-2</v>
      </c>
      <c r="W670" s="478">
        <f xml:space="preserve"> [1]HDV_WTW!E361</f>
        <v>0.16015907814898789</v>
      </c>
      <c r="X670" s="8"/>
      <c r="Y670" s="8"/>
    </row>
    <row r="671" spans="1:25" ht="15.75">
      <c r="A671" s="160" t="s">
        <v>2323</v>
      </c>
      <c r="B671" s="578">
        <f xml:space="preserve"> [1]HDV_WTW!B30</f>
        <v>8.6174142471672332E-3</v>
      </c>
      <c r="C671" s="1553">
        <f xml:space="preserve"> [1]HDV_WTW!C30</f>
        <v>1.131634661556688E-2</v>
      </c>
      <c r="D671" s="1553">
        <f xml:space="preserve"> [1]HDV_WTW!D30</f>
        <v>1.6634080236808423E-2</v>
      </c>
      <c r="E671" s="478">
        <f xml:space="preserve"> [1]HDV_WTW!E30</f>
        <v>3.6567841099542538E-2</v>
      </c>
      <c r="F671" s="8"/>
      <c r="G671" s="1847" t="s">
        <v>2323</v>
      </c>
      <c r="H671" s="1854">
        <f xml:space="preserve"> [1]HDV_WTW!B332</f>
        <v>8.423877140010463E-3</v>
      </c>
      <c r="I671" s="1855">
        <f xml:space="preserve"> [1]HDV_WTW!C332</f>
        <v>1.1062194624639895E-2</v>
      </c>
      <c r="J671" s="1855">
        <f xml:space="preserve"> [1]HDV_WTW!D332</f>
        <v>1.6634080236808423E-2</v>
      </c>
      <c r="K671" s="1856">
        <f xml:space="preserve"> [1]HDV_WTW!E332</f>
        <v>3.612015200145878E-2</v>
      </c>
      <c r="L671" s="8"/>
      <c r="M671" s="160" t="s">
        <v>2323</v>
      </c>
      <c r="N671" s="578">
        <f xml:space="preserve"> [1]HDV_WTW!B240</f>
        <v>7.4024962577588574E-3</v>
      </c>
      <c r="O671" s="1553">
        <f xml:space="preserve"> [1]HDV_WTW!C240</f>
        <v>5.1689369022864667E-2</v>
      </c>
      <c r="P671" s="1553">
        <f xml:space="preserve"> [1]HDV_WTW!D240</f>
        <v>1.228637608748109E-2</v>
      </c>
      <c r="Q671" s="478">
        <f xml:space="preserve"> [1]HDV_WTW!E240</f>
        <v>7.1378241368104611E-2</v>
      </c>
      <c r="R671" s="8"/>
      <c r="S671" s="160" t="s">
        <v>2323</v>
      </c>
      <c r="T671" s="578">
        <f xml:space="preserve"> [1]HDV_WTW!B362</f>
        <v>4.5786592268665417E-3</v>
      </c>
      <c r="U671" s="1553">
        <f xml:space="preserve"> [1]HDV_WTW!C362</f>
        <v>5.2407693168890171E-2</v>
      </c>
      <c r="V671" s="1553">
        <f xml:space="preserve"> [1]HDV_WTW!D362</f>
        <v>1.228637608748109E-2</v>
      </c>
      <c r="W671" s="478">
        <f xml:space="preserve"> [1]HDV_WTW!E362</f>
        <v>6.9272728483237803E-2</v>
      </c>
      <c r="X671" s="8"/>
      <c r="Y671" s="8"/>
    </row>
    <row r="672" spans="1:25" ht="15.75">
      <c r="A672" s="160" t="s">
        <v>2324</v>
      </c>
      <c r="B672" s="578">
        <f xml:space="preserve"> [1]HDV_WTW!B31</f>
        <v>4.6271167490966249E-2</v>
      </c>
      <c r="C672" s="1553">
        <f xml:space="preserve"> [1]HDV_WTW!C31</f>
        <v>3.6890656557503836E-2</v>
      </c>
      <c r="D672" s="1553">
        <f xml:space="preserve"> [1]HDV_WTW!D31</f>
        <v>9.8398059529739117E-3</v>
      </c>
      <c r="E672" s="478">
        <f xml:space="preserve"> [1]HDV_WTW!E31</f>
        <v>9.3001630001443999E-2</v>
      </c>
      <c r="F672" s="8"/>
      <c r="G672" s="1847" t="s">
        <v>2324</v>
      </c>
      <c r="H672" s="1854">
        <f xml:space="preserve"> [1]HDV_WTW!B333</f>
        <v>4.5231970854468034E-2</v>
      </c>
      <c r="I672" s="1855">
        <f xml:space="preserve"> [1]HDV_WTW!C333</f>
        <v>3.6062135292717221E-2</v>
      </c>
      <c r="J672" s="1855">
        <f xml:space="preserve"> [1]HDV_WTW!D333</f>
        <v>9.6188153490060768E-3</v>
      </c>
      <c r="K672" s="1856">
        <f xml:space="preserve"> [1]HDV_WTW!E333</f>
        <v>9.0912921496191332E-2</v>
      </c>
      <c r="L672" s="8"/>
      <c r="M672" s="160" t="s">
        <v>2324</v>
      </c>
      <c r="N672" s="578">
        <f xml:space="preserve"> [1]HDV_WTW!B241</f>
        <v>0.22648532838989438</v>
      </c>
      <c r="O672" s="1553">
        <f xml:space="preserve"> [1]HDV_WTW!C241</f>
        <v>2.2584442189292554E-2</v>
      </c>
      <c r="P672" s="1553">
        <f xml:space="preserve"> [1]HDV_WTW!D241</f>
        <v>0</v>
      </c>
      <c r="Q672" s="478">
        <f xml:space="preserve"> [1]HDV_WTW!E241</f>
        <v>0.24906977057918694</v>
      </c>
      <c r="R672" s="8"/>
      <c r="S672" s="160" t="s">
        <v>2324</v>
      </c>
      <c r="T672" s="578">
        <f xml:space="preserve"> [1]HDV_WTW!B363</f>
        <v>0.1460230131195222</v>
      </c>
      <c r="U672" s="1553">
        <f xml:space="preserve"> [1]HDV_WTW!C363</f>
        <v>0.1854137244073516</v>
      </c>
      <c r="V672" s="1553">
        <f xml:space="preserve"> [1]HDV_WTW!D363</f>
        <v>0</v>
      </c>
      <c r="W672" s="478">
        <f xml:space="preserve"> [1]HDV_WTW!E363</f>
        <v>0.3314367375268738</v>
      </c>
      <c r="X672" s="8"/>
      <c r="Y672" s="8"/>
    </row>
    <row r="673" spans="1:25">
      <c r="A673" s="160" t="s">
        <v>885</v>
      </c>
      <c r="B673" s="578">
        <f xml:space="preserve"> [1]HDV_WTW!B32</f>
        <v>1.5645726472962921E-3</v>
      </c>
      <c r="C673" s="1553">
        <f xml:space="preserve"> [1]HDV_WTW!C32</f>
        <v>1.520364207790657E-3</v>
      </c>
      <c r="D673" s="1553">
        <f xml:space="preserve"> [1]HDV_WTW!D32</f>
        <v>2.1350928479191645E-3</v>
      </c>
      <c r="E673" s="478">
        <f xml:space="preserve"> [1]HDV_WTW!E32</f>
        <v>5.2200297030061136E-3</v>
      </c>
      <c r="F673" s="8"/>
      <c r="G673" s="1847" t="s">
        <v>885</v>
      </c>
      <c r="H673" s="1854">
        <f xml:space="preserve"> [1]HDV_WTW!B334</f>
        <v>1.5294341642885995E-3</v>
      </c>
      <c r="I673" s="1855">
        <f xml:space="preserve"> [1]HDV_WTW!C334</f>
        <v>1.4862185949466157E-3</v>
      </c>
      <c r="J673" s="1855">
        <f xml:space="preserve"> [1]HDV_WTW!D334</f>
        <v>2.1350928479191645E-3</v>
      </c>
      <c r="K673" s="1856">
        <f xml:space="preserve"> [1]HDV_WTW!E334</f>
        <v>5.1507456071543797E-3</v>
      </c>
      <c r="L673" s="8"/>
      <c r="M673" s="160" t="s">
        <v>885</v>
      </c>
      <c r="N673" s="578">
        <f xml:space="preserve"> [1]HDV_WTW!B242</f>
        <v>1.9658621903022619E-3</v>
      </c>
      <c r="O673" s="1553">
        <f xml:space="preserve"> [1]HDV_WTW!C242</f>
        <v>1.4989917016630754E-3</v>
      </c>
      <c r="P673" s="1553">
        <f xml:space="preserve"> [1]HDV_WTW!D242</f>
        <v>1.5691693295503853E-3</v>
      </c>
      <c r="Q673" s="478">
        <f xml:space="preserve"> [1]HDV_WTW!E242</f>
        <v>5.0340232215157227E-3</v>
      </c>
      <c r="R673" s="8"/>
      <c r="S673" s="160" t="s">
        <v>885</v>
      </c>
      <c r="T673" s="578">
        <f xml:space="preserve"> [1]HDV_WTW!B364</f>
        <v>1.2323109930063509E-3</v>
      </c>
      <c r="U673" s="1553">
        <f xml:space="preserve"> [1]HDV_WTW!C364</f>
        <v>5.0268039042267124E-3</v>
      </c>
      <c r="V673" s="1553">
        <f xml:space="preserve"> [1]HDV_WTW!D364</f>
        <v>1.5691693295503853E-3</v>
      </c>
      <c r="W673" s="478">
        <f xml:space="preserve"> [1]HDV_WTW!E364</f>
        <v>7.8282842267834492E-3</v>
      </c>
      <c r="X673" s="8"/>
      <c r="Y673" s="8"/>
    </row>
    <row r="674" spans="1:25">
      <c r="A674" s="160" t="s">
        <v>886</v>
      </c>
      <c r="B674" s="578">
        <f xml:space="preserve"> [1]HDV_WTW!B33</f>
        <v>3.1547792448163368E-3</v>
      </c>
      <c r="C674" s="1553">
        <f xml:space="preserve"> [1]HDV_WTW!C33</f>
        <v>2.2659465024071779E-3</v>
      </c>
      <c r="D674" s="1553">
        <f xml:space="preserve"> [1]HDV_WTW!D33</f>
        <v>3.1327831529812155E-3</v>
      </c>
      <c r="E674" s="478">
        <f xml:space="preserve"> [1]HDV_WTW!E33</f>
        <v>8.5535089002047315E-3</v>
      </c>
      <c r="F674" s="8"/>
      <c r="G674" s="1847" t="s">
        <v>886</v>
      </c>
      <c r="H674" s="1854">
        <f xml:space="preserve"> [1]HDV_WTW!B335</f>
        <v>3.0839265700756879E-3</v>
      </c>
      <c r="I674" s="1855">
        <f xml:space="preserve"> [1]HDV_WTW!C335</f>
        <v>2.2150559778867807E-3</v>
      </c>
      <c r="J674" s="1855">
        <f xml:space="preserve"> [1]HDV_WTW!D335</f>
        <v>3.1327831529812155E-3</v>
      </c>
      <c r="K674" s="1856">
        <f xml:space="preserve"> [1]HDV_WTW!E335</f>
        <v>8.4317657009436841E-3</v>
      </c>
      <c r="L674" s="8"/>
      <c r="M674" s="160" t="s">
        <v>886</v>
      </c>
      <c r="N674" s="578">
        <f xml:space="preserve"> [1]HDV_WTW!B243</f>
        <v>2.7891531428081142E-3</v>
      </c>
      <c r="O674" s="1553">
        <f xml:space="preserve"> [1]HDV_WTW!C243</f>
        <v>3.5148770935547975E-2</v>
      </c>
      <c r="P674" s="1553">
        <f xml:space="preserve"> [1]HDV_WTW!D243</f>
        <v>2.0812252444626896E-3</v>
      </c>
      <c r="Q674" s="478">
        <f xml:space="preserve"> [1]HDV_WTW!E243</f>
        <v>4.0019149322818783E-2</v>
      </c>
      <c r="R674" s="8"/>
      <c r="S674" s="160" t="s">
        <v>886</v>
      </c>
      <c r="T674" s="578">
        <f xml:space="preserve"> [1]HDV_WTW!B365</f>
        <v>1.71794790992602E-3</v>
      </c>
      <c r="U674" s="1553">
        <f xml:space="preserve"> [1]HDV_WTW!C365</f>
        <v>1.4123723865221188E-2</v>
      </c>
      <c r="V674" s="1553">
        <f xml:space="preserve"> [1]HDV_WTW!D365</f>
        <v>2.0812252444626896E-3</v>
      </c>
      <c r="W674" s="478">
        <f xml:space="preserve"> [1]HDV_WTW!E365</f>
        <v>1.7922897019609897E-2</v>
      </c>
      <c r="X674" s="8"/>
      <c r="Y674" s="8"/>
    </row>
    <row r="675" spans="1:25">
      <c r="A675" s="160" t="s">
        <v>890</v>
      </c>
      <c r="B675" s="578">
        <f xml:space="preserve"> [1]HDV_WTW!B34</f>
        <v>1.1943212803214615E-2</v>
      </c>
      <c r="C675" s="1553">
        <f xml:space="preserve"> [1]HDV_WTW!C34</f>
        <v>3.798269578126371E-2</v>
      </c>
      <c r="D675" s="1553">
        <f xml:space="preserve"> [1]HDV_WTW!D34</f>
        <v>5.2078259973405115E-3</v>
      </c>
      <c r="E675" s="478">
        <f xml:space="preserve"> [1]HDV_WTW!E34</f>
        <v>5.5133734581818833E-2</v>
      </c>
      <c r="F675" s="8"/>
      <c r="G675" s="1847" t="s">
        <v>890</v>
      </c>
      <c r="H675" s="1854">
        <f xml:space="preserve"> [1]HDV_WTW!B336</f>
        <v>1.1674982126378847E-2</v>
      </c>
      <c r="I675" s="1855">
        <f xml:space="preserve"> [1]HDV_WTW!C336</f>
        <v>3.7129648584891789E-2</v>
      </c>
      <c r="J675" s="1855">
        <f xml:space="preserve"> [1]HDV_WTW!D336</f>
        <v>5.2078259973405115E-3</v>
      </c>
      <c r="K675" s="1856">
        <f xml:space="preserve"> [1]HDV_WTW!E336</f>
        <v>5.4012456708611142E-2</v>
      </c>
      <c r="L675" s="8"/>
      <c r="M675" s="160" t="s">
        <v>890</v>
      </c>
      <c r="N675" s="578">
        <f xml:space="preserve"> [1]HDV_WTW!B244</f>
        <v>7.5552532934489219E-3</v>
      </c>
      <c r="O675" s="1553">
        <f xml:space="preserve"> [1]HDV_WTW!C244</f>
        <v>4.3261485202636665E-3</v>
      </c>
      <c r="P675" s="1553">
        <f xml:space="preserve"> [1]HDV_WTW!D244</f>
        <v>0</v>
      </c>
      <c r="Q675" s="478">
        <f xml:space="preserve"> [1]HDV_WTW!E244</f>
        <v>1.1881401813712588E-2</v>
      </c>
      <c r="R675" s="8"/>
      <c r="S675" s="160" t="s">
        <v>890</v>
      </c>
      <c r="T675" s="578">
        <f xml:space="preserve"> [1]HDV_WTW!B366</f>
        <v>2.0898545035484095E-3</v>
      </c>
      <c r="U675" s="1553">
        <f xml:space="preserve"> [1]HDV_WTW!C366</f>
        <v>9.713712232322454E-3</v>
      </c>
      <c r="V675" s="1553">
        <f xml:space="preserve"> [1]HDV_WTW!D366</f>
        <v>0</v>
      </c>
      <c r="W675" s="478">
        <f xml:space="preserve"> [1]HDV_WTW!E366</f>
        <v>1.1803566735870864E-2</v>
      </c>
      <c r="X675" s="8"/>
      <c r="Y675" s="8"/>
    </row>
    <row r="676" spans="1:25">
      <c r="A676" s="160" t="s">
        <v>891</v>
      </c>
      <c r="B676" s="578">
        <f xml:space="preserve"> [1]HDV_WTW!B35</f>
        <v>4.73872187815348E-3</v>
      </c>
      <c r="C676" s="1553">
        <f xml:space="preserve"> [1]HDV_WTW!C35</f>
        <v>2.7811982625337479E-2</v>
      </c>
      <c r="D676" s="1553">
        <f xml:space="preserve"> [1]HDV_WTW!D35</f>
        <v>0.14495046116112573</v>
      </c>
      <c r="E676" s="478">
        <f xml:space="preserve"> [1]HDV_WTW!E35</f>
        <v>0.17750116566461668</v>
      </c>
      <c r="F676" s="8"/>
      <c r="G676" s="1847" t="s">
        <v>891</v>
      </c>
      <c r="H676" s="1854">
        <f xml:space="preserve"> [1]HDV_WTW!B337</f>
        <v>4.6322956930342262E-3</v>
      </c>
      <c r="I676" s="1855">
        <f xml:space="preserve"> [1]HDV_WTW!C337</f>
        <v>2.7187357824067008E-2</v>
      </c>
      <c r="J676" s="1855">
        <f xml:space="preserve"> [1]HDV_WTW!D337</f>
        <v>7.2475230580562863E-2</v>
      </c>
      <c r="K676" s="1856">
        <f xml:space="preserve"> [1]HDV_WTW!E337</f>
        <v>0.1042948840976641</v>
      </c>
      <c r="L676" s="8"/>
      <c r="M676" s="160" t="s">
        <v>891</v>
      </c>
      <c r="N676" s="578">
        <f xml:space="preserve"> [1]HDV_WTW!B245</f>
        <v>3.3997171350370246E-2</v>
      </c>
      <c r="O676" s="1553">
        <f xml:space="preserve"> [1]HDV_WTW!C245</f>
        <v>3.2894691486781778E-2</v>
      </c>
      <c r="P676" s="1553">
        <f xml:space="preserve"> [1]HDV_WTW!D245</f>
        <v>0</v>
      </c>
      <c r="Q676" s="478">
        <f xml:space="preserve"> [1]HDV_WTW!E245</f>
        <v>6.6891862837152025E-2</v>
      </c>
      <c r="R676" s="8"/>
      <c r="S676" s="160" t="s">
        <v>891</v>
      </c>
      <c r="T676" s="578">
        <f xml:space="preserve"> [1]HDV_WTW!B367</f>
        <v>7.1787115573735743E-3</v>
      </c>
      <c r="U676" s="1553">
        <f xml:space="preserve"> [1]HDV_WTW!C367</f>
        <v>8.6187939514364553E-3</v>
      </c>
      <c r="V676" s="1553">
        <f xml:space="preserve"> [1]HDV_WTW!D367</f>
        <v>0</v>
      </c>
      <c r="W676" s="478">
        <f xml:space="preserve"> [1]HDV_WTW!E367</f>
        <v>1.5797505508810029E-2</v>
      </c>
      <c r="X676" s="8"/>
      <c r="Y676" s="8"/>
    </row>
    <row r="677" spans="1:25" ht="15.75">
      <c r="A677" s="160" t="s">
        <v>2325</v>
      </c>
      <c r="B677" s="578">
        <f xml:space="preserve"> [1]HDV_WTW!B36</f>
        <v>9.9684507026145622E-3</v>
      </c>
      <c r="C677" s="1553">
        <f xml:space="preserve"> [1]HDV_WTW!C36</f>
        <v>4.0565009119998219E-2</v>
      </c>
      <c r="D677" s="1553">
        <f xml:space="preserve"> [1]HDV_WTW!D36</f>
        <v>9.0974778228590278E-2</v>
      </c>
      <c r="E677" s="478">
        <f xml:space="preserve"> [1]HDV_WTW!E36</f>
        <v>0.14150823805120305</v>
      </c>
      <c r="F677" s="8"/>
      <c r="G677" s="1847" t="s">
        <v>2325</v>
      </c>
      <c r="H677" s="1854">
        <f xml:space="preserve"> [1]HDV_WTW!B338</f>
        <v>9.7445708871057406E-3</v>
      </c>
      <c r="I677" s="1855">
        <f xml:space="preserve"> [1]HDV_WTW!C338</f>
        <v>3.965396616770505E-2</v>
      </c>
      <c r="J677" s="1855">
        <f xml:space="preserve"> [1]HDV_WTW!D338</f>
        <v>9.0974778228590278E-2</v>
      </c>
      <c r="K677" s="1856">
        <f xml:space="preserve"> [1]HDV_WTW!E338</f>
        <v>0.14037331528340108</v>
      </c>
      <c r="L677" s="8"/>
      <c r="M677" s="160" t="s">
        <v>2325</v>
      </c>
      <c r="N677" s="578">
        <f xml:space="preserve"> [1]HDV_WTW!B246</f>
        <v>4.0374401439887873E-2</v>
      </c>
      <c r="O677" s="1553">
        <f xml:space="preserve"> [1]HDV_WTW!C246</f>
        <v>4.8910970335939108E-2</v>
      </c>
      <c r="P677" s="1553">
        <f xml:space="preserve"> [1]HDV_WTW!D246</f>
        <v>0</v>
      </c>
      <c r="Q677" s="478">
        <f xml:space="preserve"> [1]HDV_WTW!E246</f>
        <v>8.9285371775826988E-2</v>
      </c>
      <c r="R677" s="8"/>
      <c r="S677" s="160" t="s">
        <v>2325</v>
      </c>
      <c r="T677" s="578">
        <f xml:space="preserve"> [1]HDV_WTW!B368</f>
        <v>8.6047072283654998E-3</v>
      </c>
      <c r="U677" s="1553">
        <f xml:space="preserve"> [1]HDV_WTW!C368</f>
        <v>4.1623331364645598E-2</v>
      </c>
      <c r="V677" s="1553">
        <f xml:space="preserve"> [1]HDV_WTW!D368</f>
        <v>0</v>
      </c>
      <c r="W677" s="478">
        <f xml:space="preserve"> [1]HDV_WTW!E368</f>
        <v>5.0228038593011101E-2</v>
      </c>
      <c r="X677" s="8"/>
      <c r="Y677" s="8"/>
    </row>
    <row r="678" spans="1:25" ht="15.75">
      <c r="A678" s="160" t="s">
        <v>2326</v>
      </c>
      <c r="B678" s="578">
        <f xml:space="preserve"> [1]HDV_WTW!B37</f>
        <v>7.7143941619970844E-4</v>
      </c>
      <c r="C678" s="1553">
        <f xml:space="preserve"> [1]HDV_WTW!C37</f>
        <v>8.2172900680035667E-3</v>
      </c>
      <c r="D678" s="1553">
        <f xml:space="preserve"> [1]HDV_WTW!D37</f>
        <v>4.8750948483422098E-3</v>
      </c>
      <c r="E678" s="478">
        <f xml:space="preserve"> [1]HDV_WTW!E37</f>
        <v>1.3863824332545484E-2</v>
      </c>
      <c r="F678" s="8"/>
      <c r="G678" s="1847" t="s">
        <v>2326</v>
      </c>
      <c r="H678" s="1854">
        <f xml:space="preserve"> [1]HDV_WTW!B339</f>
        <v>7.5411378362876902E-4</v>
      </c>
      <c r="I678" s="1855">
        <f xml:space="preserve"> [1]HDV_WTW!C339</f>
        <v>8.0327392848086824E-3</v>
      </c>
      <c r="J678" s="1855">
        <f xml:space="preserve"> [1]HDV_WTW!D339</f>
        <v>4.8750948483422098E-3</v>
      </c>
      <c r="K678" s="1856">
        <f xml:space="preserve"> [1]HDV_WTW!E339</f>
        <v>1.366194791677966E-2</v>
      </c>
      <c r="L678" s="8"/>
      <c r="M678" s="160" t="s">
        <v>2326</v>
      </c>
      <c r="N678" s="578">
        <f xml:space="preserve"> [1]HDV_WTW!B247</f>
        <v>2.4369316855085533E-4</v>
      </c>
      <c r="O678" s="1553">
        <f xml:space="preserve"> [1]HDV_WTW!C247</f>
        <v>1.6751073463559082E-2</v>
      </c>
      <c r="P678" s="1553">
        <f xml:space="preserve"> [1]HDV_WTW!D247</f>
        <v>4.6388056190332606E-3</v>
      </c>
      <c r="Q678" s="478">
        <f xml:space="preserve"> [1]HDV_WTW!E247</f>
        <v>2.16335722511432E-2</v>
      </c>
      <c r="R678" s="8"/>
      <c r="S678" s="160" t="s">
        <v>2326</v>
      </c>
      <c r="T678" s="578">
        <f xml:space="preserve"> [1]HDV_WTW!B369</f>
        <v>1.2453960365175701E-4</v>
      </c>
      <c r="U678" s="1553">
        <f xml:space="preserve"> [1]HDV_WTW!C369</f>
        <v>1.4055941829522361E-2</v>
      </c>
      <c r="V678" s="1553">
        <f xml:space="preserve"> [1]HDV_WTW!D369</f>
        <v>4.6388056190332606E-3</v>
      </c>
      <c r="W678" s="478">
        <f xml:space="preserve"> [1]HDV_WTW!E369</f>
        <v>1.8819287052207378E-2</v>
      </c>
      <c r="X678" s="8"/>
      <c r="Y678" s="8"/>
    </row>
    <row r="679" spans="1:25" ht="15.75">
      <c r="A679" s="160" t="s">
        <v>2327</v>
      </c>
      <c r="B679" s="578">
        <f xml:space="preserve"> [1]HDV_WTW!B38</f>
        <v>6.8359052555538001E-4</v>
      </c>
      <c r="C679" s="1553">
        <f xml:space="preserve"> [1]HDV_WTW!C38</f>
        <v>7.0732925665159454E-3</v>
      </c>
      <c r="D679" s="1553">
        <f xml:space="preserve"> [1]HDV_WTW!D38</f>
        <v>8.3170401184042117E-4</v>
      </c>
      <c r="E679" s="478">
        <f xml:space="preserve"> [1]HDV_WTW!E38</f>
        <v>8.5885871039117472E-3</v>
      </c>
      <c r="F679" s="8"/>
      <c r="G679" s="1847" t="s">
        <v>2327</v>
      </c>
      <c r="H679" s="1854">
        <f xml:space="preserve"> [1]HDV_WTW!B340</f>
        <v>6.682378769532481E-4</v>
      </c>
      <c r="I679" s="1855">
        <f xml:space="preserve"> [1]HDV_WTW!C340</f>
        <v>6.9144346374281117E-3</v>
      </c>
      <c r="J679" s="1855">
        <f xml:space="preserve"> [1]HDV_WTW!D340</f>
        <v>8.3170401184042117E-4</v>
      </c>
      <c r="K679" s="1856">
        <f xml:space="preserve"> [1]HDV_WTW!E340</f>
        <v>8.4143765262217809E-3</v>
      </c>
      <c r="L679" s="8"/>
      <c r="M679" s="160" t="s">
        <v>2327</v>
      </c>
      <c r="N679" s="578">
        <f xml:space="preserve"> [1]HDV_WTW!B248</f>
        <v>2.2245944422775269E-4</v>
      </c>
      <c r="O679" s="1553">
        <f xml:space="preserve"> [1]HDV_WTW!C248</f>
        <v>1.6178772504156641E-2</v>
      </c>
      <c r="P679" s="1553">
        <f xml:space="preserve"> [1]HDV_WTW!D248</f>
        <v>6.1431880437405454E-4</v>
      </c>
      <c r="Q679" s="478">
        <f xml:space="preserve"> [1]HDV_WTW!E248</f>
        <v>1.701555075275845E-2</v>
      </c>
      <c r="R679" s="8"/>
      <c r="S679" s="160" t="s">
        <v>2327</v>
      </c>
      <c r="T679" s="578">
        <f xml:space="preserve"> [1]HDV_WTW!B370</f>
        <v>1.1176253115003012E-4</v>
      </c>
      <c r="U679" s="1553">
        <f xml:space="preserve"> [1]HDV_WTW!C370</f>
        <v>1.3315340340144387E-2</v>
      </c>
      <c r="V679" s="1553">
        <f xml:space="preserve"> [1]HDV_WTW!D370</f>
        <v>6.1431880437405454E-4</v>
      </c>
      <c r="W679" s="478">
        <f xml:space="preserve"> [1]HDV_WTW!E370</f>
        <v>1.4041421675668471E-2</v>
      </c>
      <c r="X679" s="8"/>
      <c r="Y679" s="8"/>
    </row>
    <row r="680" spans="1:25" ht="15.75">
      <c r="A680" s="160" t="s">
        <v>2328</v>
      </c>
      <c r="B680" s="578">
        <f xml:space="preserve"> [1]HDV_WTW!B39</f>
        <v>4.5647958274752931E-3</v>
      </c>
      <c r="C680" s="1553">
        <f xml:space="preserve"> [1]HDV_WTW!C39</f>
        <v>1.2997935077853679E-2</v>
      </c>
      <c r="D680" s="1553">
        <f xml:space="preserve"> [1]HDV_WTW!D39</f>
        <v>4.9199029764869561E-4</v>
      </c>
      <c r="E680" s="478">
        <f xml:space="preserve"> [1]HDV_WTW!E39</f>
        <v>1.8054721202977665E-2</v>
      </c>
      <c r="F680" s="8"/>
      <c r="G680" s="1847" t="s">
        <v>2328</v>
      </c>
      <c r="H680" s="1854">
        <f xml:space="preserve"> [1]HDV_WTW!B341</f>
        <v>4.4622758192835923E-3</v>
      </c>
      <c r="I680" s="1855">
        <f xml:space="preserve"> [1]HDV_WTW!C341</f>
        <v>1.2706016564732851E-2</v>
      </c>
      <c r="J680" s="1855">
        <f xml:space="preserve"> [1]HDV_WTW!D341</f>
        <v>4.8094076745030384E-4</v>
      </c>
      <c r="K680" s="1856">
        <f xml:space="preserve"> [1]HDV_WTW!E341</f>
        <v>1.7649233151466749E-2</v>
      </c>
      <c r="L680" s="8"/>
      <c r="M680" s="160" t="s">
        <v>2328</v>
      </c>
      <c r="N680" s="578">
        <f xml:space="preserve"> [1]HDV_WTW!B249</f>
        <v>2.8996285155557921E-3</v>
      </c>
      <c r="O680" s="1553">
        <f xml:space="preserve"> [1]HDV_WTW!C249</f>
        <v>7.0689304052485701E-3</v>
      </c>
      <c r="P680" s="1553">
        <f xml:space="preserve"> [1]HDV_WTW!D249</f>
        <v>0</v>
      </c>
      <c r="Q680" s="478">
        <f xml:space="preserve"> [1]HDV_WTW!E249</f>
        <v>9.9685589208043622E-3</v>
      </c>
      <c r="R680" s="8"/>
      <c r="S680" s="160" t="s">
        <v>2328</v>
      </c>
      <c r="T680" s="578">
        <f xml:space="preserve"> [1]HDV_WTW!B371</f>
        <v>1.8092358546584826E-3</v>
      </c>
      <c r="U680" s="1553">
        <f xml:space="preserve"> [1]HDV_WTW!C371</f>
        <v>3.5189810821818775E-2</v>
      </c>
      <c r="V680" s="1553">
        <f xml:space="preserve"> [1]HDV_WTW!D371</f>
        <v>0</v>
      </c>
      <c r="W680" s="478">
        <f xml:space="preserve"> [1]HDV_WTW!E371</f>
        <v>3.6999046676477257E-2</v>
      </c>
      <c r="X680" s="8"/>
      <c r="Y680" s="8"/>
    </row>
    <row r="681" spans="1:25">
      <c r="A681" s="160" t="s">
        <v>896</v>
      </c>
      <c r="B681" s="578">
        <f xml:space="preserve"> [1]HDV_WTW!B40</f>
        <v>7.3226733853099497E-5</v>
      </c>
      <c r="C681" s="1553">
        <f xml:space="preserve"> [1]HDV_WTW!C40</f>
        <v>9.1375647829370038E-4</v>
      </c>
      <c r="D681" s="1553">
        <f xml:space="preserve"> [1]HDV_WTW!D40</f>
        <v>1.0675464239595823E-4</v>
      </c>
      <c r="E681" s="478">
        <f xml:space="preserve"> [1]HDV_WTW!E40</f>
        <v>1.093737854542758E-3</v>
      </c>
      <c r="F681" s="8"/>
      <c r="G681" s="1847" t="s">
        <v>896</v>
      </c>
      <c r="H681" s="1854">
        <f xml:space="preserve"> [1]HDV_WTW!B342</f>
        <v>7.1582146529108854E-5</v>
      </c>
      <c r="I681" s="1855">
        <f xml:space="preserve"> [1]HDV_WTW!C342</f>
        <v>8.9323456993669486E-4</v>
      </c>
      <c r="J681" s="1855">
        <f xml:space="preserve"> [1]HDV_WTW!D342</f>
        <v>1.0675464239595823E-4</v>
      </c>
      <c r="K681" s="1856">
        <f xml:space="preserve"> [1]HDV_WTW!E342</f>
        <v>1.071571358861762E-3</v>
      </c>
      <c r="L681" s="8"/>
      <c r="M681" s="160" t="s">
        <v>896</v>
      </c>
      <c r="N681" s="578">
        <f xml:space="preserve"> [1]HDV_WTW!B250</f>
        <v>3.7084081997899857E-5</v>
      </c>
      <c r="O681" s="1553">
        <f xml:space="preserve"> [1]HDV_WTW!C250</f>
        <v>4.6918440262054252E-4</v>
      </c>
      <c r="P681" s="1553">
        <f xml:space="preserve"> [1]HDV_WTW!D250</f>
        <v>7.8458466477519264E-5</v>
      </c>
      <c r="Q681" s="478">
        <f xml:space="preserve"> [1]HDV_WTW!E250</f>
        <v>5.8472695109596168E-4</v>
      </c>
      <c r="R681" s="8"/>
      <c r="S681" s="160" t="s">
        <v>896</v>
      </c>
      <c r="T681" s="578">
        <f xml:space="preserve"> [1]HDV_WTW!B372</f>
        <v>1.8580554713793334E-5</v>
      </c>
      <c r="U681" s="1553">
        <f xml:space="preserve"> [1]HDV_WTW!C372</f>
        <v>1.1262629652584713E-3</v>
      </c>
      <c r="V681" s="1553">
        <f xml:space="preserve"> [1]HDV_WTW!D372</f>
        <v>7.8458466477519264E-5</v>
      </c>
      <c r="W681" s="478">
        <f xml:space="preserve"> [1]HDV_WTW!E372</f>
        <v>1.2233019864497838E-3</v>
      </c>
      <c r="X681" s="8"/>
      <c r="Y681" s="8"/>
    </row>
    <row r="682" spans="1:25">
      <c r="A682" s="161" t="s">
        <v>897</v>
      </c>
      <c r="B682" s="584">
        <f xml:space="preserve"> [1]HDV_WTW!B41</f>
        <v>2.1916635454058924E-4</v>
      </c>
      <c r="C682" s="637">
        <f xml:space="preserve"> [1]HDV_WTW!C41</f>
        <v>1.1779440468129613E-3</v>
      </c>
      <c r="D682" s="637">
        <f xml:space="preserve"> [1]HDV_WTW!D41</f>
        <v>1.5663915764906077E-4</v>
      </c>
      <c r="E682" s="585">
        <f xml:space="preserve"> [1]HDV_WTW!E41</f>
        <v>1.5537495590026112E-3</v>
      </c>
      <c r="F682" s="8"/>
      <c r="G682" s="1843" t="s">
        <v>897</v>
      </c>
      <c r="H682" s="1857">
        <f xml:space="preserve"> [1]HDV_WTW!B343</f>
        <v>2.142441329753646E-4</v>
      </c>
      <c r="I682" s="1417">
        <f xml:space="preserve"> [1]HDV_WTW!C343</f>
        <v>1.15148879275718E-3</v>
      </c>
      <c r="J682" s="1417">
        <f xml:space="preserve"> [1]HDV_WTW!D343</f>
        <v>1.5663915764906077E-4</v>
      </c>
      <c r="K682" s="1858">
        <f xml:space="preserve"> [1]HDV_WTW!E343</f>
        <v>1.5223720833816054E-3</v>
      </c>
      <c r="L682" s="8"/>
      <c r="M682" s="161" t="s">
        <v>897</v>
      </c>
      <c r="N682" s="584">
        <f xml:space="preserve"> [1]HDV_WTW!B251</f>
        <v>7.35057983451797E-5</v>
      </c>
      <c r="O682" s="637">
        <f xml:space="preserve"> [1]HDV_WTW!C251</f>
        <v>1.1001565302826515E-2</v>
      </c>
      <c r="P682" s="637">
        <f xml:space="preserve"> [1]HDV_WTW!D251</f>
        <v>1.0406126222313449E-4</v>
      </c>
      <c r="Q682" s="585">
        <f xml:space="preserve"> [1]HDV_WTW!E251</f>
        <v>1.1179132363394829E-2</v>
      </c>
      <c r="R682" s="8"/>
      <c r="S682" s="161" t="s">
        <v>897</v>
      </c>
      <c r="T682" s="584">
        <f xml:space="preserve"> [1]HDV_WTW!B373</f>
        <v>3.478424117792933E-5</v>
      </c>
      <c r="U682" s="637">
        <f xml:space="preserve"> [1]HDV_WTW!C373</f>
        <v>3.5311025792709809E-3</v>
      </c>
      <c r="V682" s="637">
        <f xml:space="preserve"> [1]HDV_WTW!D373</f>
        <v>1.0406126222313449E-4</v>
      </c>
      <c r="W682" s="585">
        <f xml:space="preserve"> [1]HDV_WTW!E373</f>
        <v>3.6699480826720447E-3</v>
      </c>
      <c r="X682" s="8"/>
      <c r="Y682" s="8"/>
    </row>
    <row r="683" spans="1:25">
      <c r="A683" s="8"/>
      <c r="B683" s="8"/>
      <c r="C683" s="8"/>
      <c r="D683" s="8"/>
      <c r="E683" s="8"/>
      <c r="F683" s="8"/>
      <c r="G683" s="8"/>
      <c r="H683" s="8"/>
      <c r="I683" s="8"/>
      <c r="J683" s="8"/>
      <c r="K683" s="8"/>
      <c r="L683" s="8"/>
      <c r="M683" s="8"/>
      <c r="N683" s="8"/>
      <c r="O683" s="8"/>
      <c r="P683" s="8"/>
      <c r="Q683" s="8"/>
      <c r="R683" s="8"/>
      <c r="S683" s="8"/>
      <c r="T683" s="8"/>
      <c r="U683" s="8"/>
      <c r="V683" s="8"/>
      <c r="W683" s="8"/>
      <c r="X683" s="8"/>
      <c r="Y683" s="8"/>
    </row>
    <row r="684" spans="1:25">
      <c r="A684" s="63" t="s">
        <v>2331</v>
      </c>
      <c r="B684" s="8"/>
      <c r="C684" s="8"/>
      <c r="D684" s="8"/>
      <c r="E684" s="8"/>
      <c r="F684" s="8"/>
      <c r="G684" s="8"/>
      <c r="H684" s="8"/>
      <c r="I684" s="8"/>
      <c r="J684" s="8"/>
      <c r="K684" s="8"/>
      <c r="L684" s="8"/>
      <c r="M684" s="8"/>
      <c r="N684" s="8"/>
      <c r="O684" s="8"/>
      <c r="P684" s="8"/>
      <c r="Q684" s="8"/>
      <c r="R684" s="8"/>
      <c r="S684" s="8"/>
      <c r="T684" s="8"/>
      <c r="U684" s="8"/>
      <c r="V684" s="8"/>
      <c r="W684" s="8"/>
      <c r="X684" s="8"/>
      <c r="Y684" s="8"/>
    </row>
    <row r="685" spans="1:25">
      <c r="A685" s="8"/>
      <c r="B685" s="8"/>
      <c r="C685" s="8"/>
      <c r="D685" s="8"/>
      <c r="E685" s="8"/>
      <c r="F685" s="8"/>
      <c r="G685" s="8"/>
      <c r="H685" s="8"/>
      <c r="I685" s="8"/>
      <c r="J685" s="8"/>
      <c r="K685" s="8"/>
      <c r="L685" s="8"/>
      <c r="M685" s="8"/>
      <c r="N685" s="8"/>
      <c r="O685" s="8"/>
      <c r="P685" s="8"/>
      <c r="Q685" s="8"/>
      <c r="R685" s="8"/>
      <c r="S685" s="8"/>
      <c r="T685" s="8"/>
      <c r="U685" s="8"/>
      <c r="V685" s="8"/>
      <c r="W685" s="8"/>
      <c r="X685" s="8"/>
      <c r="Y685" s="8"/>
    </row>
    <row r="686" spans="1:25">
      <c r="A686" s="8" t="s">
        <v>1910</v>
      </c>
      <c r="B686" s="8" t="str" cm="1">
        <f t="array" ref="B686" xml:space="preserve"> [1]!HDVResults_ServiceUnit_Energy</f>
        <v>Btu</v>
      </c>
      <c r="C686" s="8" t="s">
        <v>1912</v>
      </c>
      <c r="D686" s="8" t="str" cm="1">
        <f t="array" ref="D686" xml:space="preserve"> [1]!HDVResults_ServiceUnit_Emissions</f>
        <v>g</v>
      </c>
      <c r="E686" s="8"/>
      <c r="F686" s="8"/>
      <c r="G686" s="8"/>
      <c r="H686" s="8"/>
      <c r="I686" s="8"/>
      <c r="J686" s="8"/>
      <c r="K686" s="8"/>
      <c r="L686" s="8"/>
      <c r="M686" s="8"/>
      <c r="N686" s="8"/>
      <c r="O686" s="8"/>
      <c r="P686" s="8"/>
      <c r="Q686" s="8"/>
      <c r="R686" s="8"/>
      <c r="S686" s="8"/>
      <c r="T686" s="8"/>
      <c r="U686" s="8"/>
      <c r="V686" s="8"/>
      <c r="W686" s="8"/>
      <c r="X686" s="8"/>
      <c r="Y686" s="8"/>
    </row>
    <row r="687" spans="1:25">
      <c r="A687" s="8" t="s">
        <v>2103</v>
      </c>
      <c r="B687" s="8" t="str" cm="1">
        <f t="array" ref="B687" xml:space="preserve"> [1]!HDVResults_ServiceFunctionalUnit_VT</f>
        <v>mile</v>
      </c>
      <c r="C687" s="8"/>
      <c r="D687" s="8"/>
      <c r="E687" s="8"/>
      <c r="F687" s="8"/>
      <c r="G687" s="8"/>
      <c r="H687" s="8"/>
      <c r="I687" s="8"/>
      <c r="J687" s="8"/>
      <c r="K687" s="8"/>
      <c r="L687" s="8"/>
      <c r="M687" s="8"/>
      <c r="N687" s="8"/>
      <c r="O687" s="8"/>
      <c r="P687" s="8"/>
      <c r="Q687" s="8"/>
      <c r="R687" s="8"/>
      <c r="S687" s="8"/>
      <c r="T687" s="8"/>
      <c r="U687" s="8"/>
      <c r="V687" s="8"/>
      <c r="W687" s="8"/>
      <c r="X687" s="8"/>
      <c r="Y687" s="8"/>
    </row>
    <row r="688" spans="1:25">
      <c r="A688" s="8"/>
      <c r="B688" s="8"/>
      <c r="C688" s="8"/>
      <c r="D688" s="8"/>
      <c r="E688" s="8"/>
      <c r="F688" s="8"/>
      <c r="G688" s="8"/>
      <c r="H688" s="8"/>
      <c r="I688" s="8"/>
      <c r="J688" s="8"/>
      <c r="K688" s="8"/>
      <c r="L688" s="8"/>
      <c r="M688" s="8"/>
      <c r="N688" s="8"/>
      <c r="O688" s="8"/>
      <c r="P688" s="8"/>
      <c r="Q688" s="8"/>
      <c r="R688" s="8"/>
      <c r="S688" s="8"/>
      <c r="T688" s="8"/>
      <c r="U688" s="8"/>
      <c r="V688" s="8"/>
      <c r="W688" s="8"/>
      <c r="X688" s="8"/>
      <c r="Y688" s="8"/>
    </row>
    <row r="689" spans="1:25">
      <c r="A689" s="63" t="str">
        <f xml:space="preserve"> IF(MHDV_Inputs!$B$3=3, A654,IF(MHDV_Inputs!$B$3=2, GREET1_Import_Export!A622,GREET1_Import_Export!A590))</f>
        <v>CIDI Combination Long-Haul Trucks: Conventional and LS Diesel</v>
      </c>
      <c r="B689" s="8"/>
      <c r="C689" s="8"/>
      <c r="D689" s="8"/>
      <c r="E689" s="8"/>
      <c r="F689" s="8"/>
      <c r="G689" s="63" t="str">
        <f xml:space="preserve"> IF(MHDV_Inputs!$B$3=3, G654,IF(MHDV_Inputs!$B$3=2, GREET1_Import_Export!G622,GREET1_Import_Export!G590))</f>
        <v>Grid-Independent Hybrid Long-haul Trucks : Conventional and LS Diesel</v>
      </c>
      <c r="H689" s="8"/>
      <c r="I689" s="8"/>
      <c r="J689" s="8"/>
      <c r="K689" s="8"/>
      <c r="L689" s="8"/>
      <c r="M689" s="63" t="str">
        <f xml:space="preserve"> IF(MHDV_Inputs!$B$3=3, M654,IF(MHDV_Inputs!$B$3=2, GREET1_Import_Export!M622,GREET1_Import_Export!M590))</f>
        <v>Combination Long-Haul Trucks: Electricity, NGCC Turbine</v>
      </c>
      <c r="N689" s="8"/>
      <c r="O689" s="8"/>
      <c r="P689" s="8"/>
      <c r="Q689" s="8"/>
      <c r="R689" s="8"/>
      <c r="S689" s="63" t="str">
        <f xml:space="preserve"> IF(MHDV_Inputs!$B$3=3, S654,IF(MHDV_Inputs!$B$3=2, GREET1_Import_Export!S622,GREET1_Import_Export!S590))</f>
        <v>Fuel-Cell Combination Long-Haul Trucks: G.H2, Central Plants, NA NG</v>
      </c>
      <c r="T689" s="8"/>
      <c r="U689" s="8"/>
      <c r="V689" s="8"/>
      <c r="W689" s="8"/>
      <c r="X689" s="8"/>
      <c r="Y689" s="8"/>
    </row>
    <row r="690" spans="1:25">
      <c r="A690" s="135"/>
      <c r="B690" s="2737" t="str">
        <f xml:space="preserve"> IF(MHDV_Inputs!$B$3=1,B591,IF(MHDV_Inputs!$B$3=2,B623,B655))</f>
        <v>Btu/mile or Gallon/mile or g/mile</v>
      </c>
      <c r="C690" s="2530"/>
      <c r="D690" s="2530"/>
      <c r="E690" s="2531"/>
      <c r="F690" s="8"/>
      <c r="G690" s="135"/>
      <c r="H690" s="2737" t="str">
        <f xml:space="preserve"> IF(MHDV_Inputs!$B$3=1,H591,IF(MHDV_Inputs!$B$3=2,H623,H655))</f>
        <v>Btu/mile or Gallon/mile or g/mile</v>
      </c>
      <c r="I690" s="2530"/>
      <c r="J690" s="2530"/>
      <c r="K690" s="2531"/>
      <c r="L690" s="8"/>
      <c r="M690" s="135"/>
      <c r="N690" s="2737" t="str">
        <f xml:space="preserve"> IF(MHDV_Inputs!$B$3=1,N591,IF(MHDV_Inputs!$B$3=2,N623,N655))</f>
        <v>Btu/mile or Gallon/mile or g/mile</v>
      </c>
      <c r="O690" s="2530"/>
      <c r="P690" s="2530"/>
      <c r="Q690" s="2531"/>
      <c r="R690" s="8"/>
      <c r="S690" s="135"/>
      <c r="T690" s="2737" t="str">
        <f xml:space="preserve"> IF(MHDV_Inputs!$B$3=1,T591,IF(MHDV_Inputs!$B$3=2,T623,T655))</f>
        <v>Btu/mile or Gallon/mile or g/mile</v>
      </c>
      <c r="U690" s="2530"/>
      <c r="V690" s="2530"/>
      <c r="W690" s="2531"/>
      <c r="X690" s="8"/>
      <c r="Y690" s="8"/>
    </row>
    <row r="691" spans="1:25" ht="25.5">
      <c r="A691" s="161" t="s">
        <v>1923</v>
      </c>
      <c r="B691" s="774" t="s">
        <v>2077</v>
      </c>
      <c r="C691" s="2732" t="s">
        <v>1971</v>
      </c>
      <c r="D691" s="2732" t="s">
        <v>1926</v>
      </c>
      <c r="E691" s="775" t="s">
        <v>1894</v>
      </c>
      <c r="F691" s="8"/>
      <c r="G691" s="161" t="s">
        <v>1923</v>
      </c>
      <c r="H691" s="774" t="s">
        <v>2077</v>
      </c>
      <c r="I691" s="2732" t="s">
        <v>1971</v>
      </c>
      <c r="J691" s="2732" t="s">
        <v>1926</v>
      </c>
      <c r="K691" s="775" t="s">
        <v>1894</v>
      </c>
      <c r="L691" s="8"/>
      <c r="M691" s="161" t="s">
        <v>1923</v>
      </c>
      <c r="N691" s="774" t="s">
        <v>2077</v>
      </c>
      <c r="O691" s="2732" t="s">
        <v>1971</v>
      </c>
      <c r="P691" s="2732" t="s">
        <v>1926</v>
      </c>
      <c r="Q691" s="775" t="s">
        <v>1894</v>
      </c>
      <c r="R691" s="8"/>
      <c r="S691" s="161" t="s">
        <v>1923</v>
      </c>
      <c r="T691" s="774" t="s">
        <v>2077</v>
      </c>
      <c r="U691" s="2732" t="s">
        <v>1971</v>
      </c>
      <c r="V691" s="2732" t="s">
        <v>1926</v>
      </c>
      <c r="W691" s="775" t="s">
        <v>1894</v>
      </c>
      <c r="X691" s="8"/>
      <c r="Y691" s="8"/>
    </row>
    <row r="692" spans="1:25">
      <c r="A692" s="160" t="s">
        <v>2105</v>
      </c>
      <c r="B692" s="2733">
        <f xml:space="preserve"> IF(MHDV_Inputs!$B$3=1,B593,IF(MHDV_Inputs!$B$3=2,B625,B657))</f>
        <v>1161.570132281041</v>
      </c>
      <c r="C692" s="2734">
        <f xml:space="preserve"> IF(MHDV_Inputs!$B$3=1,C593,IF(MHDV_Inputs!$B$3=2,C625,C657))</f>
        <v>2138.0557699973933</v>
      </c>
      <c r="D692" s="2734">
        <f xml:space="preserve"> IF(MHDV_Inputs!$B$3=1,D593,IF(MHDV_Inputs!$B$3=2,D625,D657))</f>
        <v>18064.641487789326</v>
      </c>
      <c r="E692" s="2735">
        <f xml:space="preserve"> IF(MHDV_Inputs!$B$3=1,E593,IF(MHDV_Inputs!$B$3=2,E625,E657))</f>
        <v>21364.267390067762</v>
      </c>
      <c r="F692" s="8"/>
      <c r="G692" s="160" t="s">
        <v>2105</v>
      </c>
      <c r="H692" s="2733">
        <f xml:space="preserve"> IF(MHDV_Inputs!$B$3=1,H593,IF(MHDV_Inputs!$B$3=2,H625,H657))</f>
        <v>1135.4826173126989</v>
      </c>
      <c r="I692" s="2734">
        <f xml:space="preserve"> IF(MHDV_Inputs!$B$3=1,I593,IF(MHDV_Inputs!$B$3=2,I625,I657))</f>
        <v>2090.0375226674405</v>
      </c>
      <c r="J692" s="2734">
        <f xml:space="preserve"> IF(MHDV_Inputs!$B$3=1,J593,IF(MHDV_Inputs!$B$3=2,J625,J657))</f>
        <v>17658.93063821282</v>
      </c>
      <c r="K692" s="2735">
        <f xml:space="preserve"> IF(MHDV_Inputs!$B$3=1,K593,IF(MHDV_Inputs!$B$3=2,K625,K657))</f>
        <v>20884.450778192961</v>
      </c>
      <c r="L692" s="8"/>
      <c r="M692" s="160" t="s">
        <v>2105</v>
      </c>
      <c r="N692" s="2733">
        <f xml:space="preserve"> IF(MHDV_Inputs!$B$3=1,N593,IF(MHDV_Inputs!$B$3=2,N625,N657))</f>
        <v>1846.8742343598617</v>
      </c>
      <c r="O692" s="2734">
        <f xml:space="preserve"> IF(MHDV_Inputs!$B$3=1,O593,IF(MHDV_Inputs!$B$3=2,O625,O657))</f>
        <v>10544.110172088076</v>
      </c>
      <c r="P692" s="2734">
        <f xml:space="preserve"> IF(MHDV_Inputs!$B$3=1,P593,IF(MHDV_Inputs!$B$3=2,P625,P657))</f>
        <v>10168.779342352973</v>
      </c>
      <c r="Q692" s="2735">
        <f xml:space="preserve"> IF(MHDV_Inputs!$B$3=1,Q593,IF(MHDV_Inputs!$B$3=2,Q625,Q657))</f>
        <v>22559.763748800913</v>
      </c>
      <c r="R692" s="8"/>
      <c r="S692" s="160" t="s">
        <v>2105</v>
      </c>
      <c r="T692" s="2733">
        <f xml:space="preserve"> IF(MHDV_Inputs!$B$3=1,T593,IF(MHDV_Inputs!$B$3=2,T625,T657))</f>
        <v>1023.0329935769294</v>
      </c>
      <c r="U692" s="2734">
        <f xml:space="preserve"> IF(MHDV_Inputs!$B$3=1,U593,IF(MHDV_Inputs!$B$3=2,U625,U657))</f>
        <v>7585.4476268677899</v>
      </c>
      <c r="V692" s="2734">
        <f xml:space="preserve"> IF(MHDV_Inputs!$B$3=1,V593,IF(MHDV_Inputs!$B$3=2,V625,V657))</f>
        <v>16380.061937467344</v>
      </c>
      <c r="W692" s="2735">
        <f xml:space="preserve"> IF(MHDV_Inputs!$B$3=1,W593,IF(MHDV_Inputs!$B$3=2,W625,W657))</f>
        <v>24988.542557912064</v>
      </c>
      <c r="X692" s="8"/>
      <c r="Y692" s="8"/>
    </row>
    <row r="693" spans="1:25">
      <c r="A693" s="160" t="s">
        <v>2106</v>
      </c>
      <c r="B693" s="650">
        <f xml:space="preserve"> IF(MHDV_Inputs!$B$3=1,B594,IF(MHDV_Inputs!$B$3=2,B626,B658))</f>
        <v>1091.1858461064921</v>
      </c>
      <c r="C693" s="522">
        <f xml:space="preserve"> IF(MHDV_Inputs!$B$3=1,C594,IF(MHDV_Inputs!$B$3=2,C626,C658))</f>
        <v>2105.5718638368185</v>
      </c>
      <c r="D693" s="522">
        <f xml:space="preserve"> IF(MHDV_Inputs!$B$3=1,D594,IF(MHDV_Inputs!$B$3=2,D626,D658))</f>
        <v>18064.641487789326</v>
      </c>
      <c r="E693" s="159">
        <f xml:space="preserve"> IF(MHDV_Inputs!$B$3=1,E594,IF(MHDV_Inputs!$B$3=2,E626,E658))</f>
        <v>21261.399197732637</v>
      </c>
      <c r="F693" s="8"/>
      <c r="G693" s="160" t="s">
        <v>2106</v>
      </c>
      <c r="H693" s="650">
        <f xml:space="preserve"> IF(MHDV_Inputs!$B$3=1,H594,IF(MHDV_Inputs!$B$3=2,H626,H658))</f>
        <v>1066.6790803913259</v>
      </c>
      <c r="I693" s="522">
        <f xml:space="preserve"> IF(MHDV_Inputs!$B$3=1,I594,IF(MHDV_Inputs!$B$3=2,I626,I658))</f>
        <v>2058.2831672801199</v>
      </c>
      <c r="J693" s="522">
        <f xml:space="preserve"> IF(MHDV_Inputs!$B$3=1,J594,IF(MHDV_Inputs!$B$3=2,J626,J658))</f>
        <v>17658.93063821282</v>
      </c>
      <c r="K693" s="159">
        <f xml:space="preserve"> IF(MHDV_Inputs!$B$3=1,K594,IF(MHDV_Inputs!$B$3=2,K626,K658))</f>
        <v>20783.892885884266</v>
      </c>
      <c r="L693" s="8"/>
      <c r="M693" s="160" t="s">
        <v>2106</v>
      </c>
      <c r="N693" s="650">
        <f xml:space="preserve"> IF(MHDV_Inputs!$B$3=1,N594,IF(MHDV_Inputs!$B$3=2,N626,N658))</f>
        <v>1833.766640040418</v>
      </c>
      <c r="O693" s="522">
        <f xml:space="preserve"> IF(MHDV_Inputs!$B$3=1,O594,IF(MHDV_Inputs!$B$3=2,O626,O658))</f>
        <v>10544.110172088076</v>
      </c>
      <c r="P693" s="522">
        <f xml:space="preserve"> IF(MHDV_Inputs!$B$3=1,P594,IF(MHDV_Inputs!$B$3=2,P626,P658))</f>
        <v>10168.779342352973</v>
      </c>
      <c r="Q693" s="159">
        <f xml:space="preserve"> IF(MHDV_Inputs!$B$3=1,Q594,IF(MHDV_Inputs!$B$3=2,Q626,Q658))</f>
        <v>22546.656154481469</v>
      </c>
      <c r="R693" s="8"/>
      <c r="S693" s="160" t="s">
        <v>2106</v>
      </c>
      <c r="T693" s="650">
        <f xml:space="preserve"> IF(MHDV_Inputs!$B$3=1,T594,IF(MHDV_Inputs!$B$3=2,T626,T658))</f>
        <v>1015.8535429903593</v>
      </c>
      <c r="U693" s="522">
        <f xml:space="preserve"> IF(MHDV_Inputs!$B$3=1,U594,IF(MHDV_Inputs!$B$3=2,U626,U658))</f>
        <v>6819.7050670377266</v>
      </c>
      <c r="V693" s="522">
        <f xml:space="preserve"> IF(MHDV_Inputs!$B$3=1,V594,IF(MHDV_Inputs!$B$3=2,V626,V658))</f>
        <v>16380.061937467344</v>
      </c>
      <c r="W693" s="159">
        <f xml:space="preserve"> IF(MHDV_Inputs!$B$3=1,W594,IF(MHDV_Inputs!$B$3=2,W626,W658))</f>
        <v>24215.620547495429</v>
      </c>
      <c r="X693" s="8"/>
      <c r="Y693" s="8"/>
    </row>
    <row r="694" spans="1:25">
      <c r="A694" s="160" t="s">
        <v>442</v>
      </c>
      <c r="B694" s="650">
        <f xml:space="preserve"> IF(MHDV_Inputs!$B$3=1,B595,IF(MHDV_Inputs!$B$3=2,B627,B659))</f>
        <v>87.836061602565124</v>
      </c>
      <c r="C694" s="522">
        <f xml:space="preserve"> IF(MHDV_Inputs!$B$3=1,C595,IF(MHDV_Inputs!$B$3=2,C627,C659))</f>
        <v>42.76346453498698</v>
      </c>
      <c r="D694" s="522">
        <f xml:space="preserve"> IF(MHDV_Inputs!$B$3=1,D595,IF(MHDV_Inputs!$B$3=2,D627,D659))</f>
        <v>0</v>
      </c>
      <c r="E694" s="159">
        <f xml:space="preserve"> IF(MHDV_Inputs!$B$3=1,E595,IF(MHDV_Inputs!$B$3=2,E627,E659))</f>
        <v>130.59952613755212</v>
      </c>
      <c r="F694" s="8"/>
      <c r="G694" s="160" t="s">
        <v>442</v>
      </c>
      <c r="H694" s="650">
        <f xml:space="preserve"> IF(MHDV_Inputs!$B$3=1,H595,IF(MHDV_Inputs!$B$3=2,H627,H659))</f>
        <v>85.86336575912317</v>
      </c>
      <c r="I694" s="522">
        <f xml:space="preserve"> IF(MHDV_Inputs!$B$3=1,I595,IF(MHDV_Inputs!$B$3=2,I627,I659))</f>
        <v>41.803046829545565</v>
      </c>
      <c r="J694" s="522">
        <f xml:space="preserve"> IF(MHDV_Inputs!$B$3=1,J595,IF(MHDV_Inputs!$B$3=2,J627,J659))</f>
        <v>0</v>
      </c>
      <c r="K694" s="159">
        <f xml:space="preserve"> IF(MHDV_Inputs!$B$3=1,K595,IF(MHDV_Inputs!$B$3=2,K627,K659))</f>
        <v>127.66641258866873</v>
      </c>
      <c r="L694" s="8"/>
      <c r="M694" s="160" t="s">
        <v>442</v>
      </c>
      <c r="N694" s="650">
        <f xml:space="preserve"> IF(MHDV_Inputs!$B$3=1,N595,IF(MHDV_Inputs!$B$3=2,N627,N659))</f>
        <v>17.304044798212242</v>
      </c>
      <c r="O694" s="522">
        <f xml:space="preserve"> IF(MHDV_Inputs!$B$3=1,O595,IF(MHDV_Inputs!$B$3=2,O627,O659))</f>
        <v>0</v>
      </c>
      <c r="P694" s="522">
        <f xml:space="preserve"> IF(MHDV_Inputs!$B$3=1,P595,IF(MHDV_Inputs!$B$3=2,P627,P659))</f>
        <v>0</v>
      </c>
      <c r="Q694" s="159">
        <f xml:space="preserve"> IF(MHDV_Inputs!$B$3=1,Q595,IF(MHDV_Inputs!$B$3=2,Q627,Q659))</f>
        <v>17.304044798212242</v>
      </c>
      <c r="R694" s="8"/>
      <c r="S694" s="160" t="s">
        <v>442</v>
      </c>
      <c r="T694" s="650">
        <f xml:space="preserve"> IF(MHDV_Inputs!$B$3=1,T595,IF(MHDV_Inputs!$B$3=2,T627,T659))</f>
        <v>9.4757073013575592</v>
      </c>
      <c r="U694" s="522">
        <f xml:space="preserve"> IF(MHDV_Inputs!$B$3=1,U595,IF(MHDV_Inputs!$B$3=2,U627,U659))</f>
        <v>1012.2461521587489</v>
      </c>
      <c r="V694" s="522">
        <f xml:space="preserve"> IF(MHDV_Inputs!$B$3=1,V595,IF(MHDV_Inputs!$B$3=2,V627,V659))</f>
        <v>0</v>
      </c>
      <c r="W694" s="159">
        <f xml:space="preserve"> IF(MHDV_Inputs!$B$3=1,W595,IF(MHDV_Inputs!$B$3=2,W627,W659))</f>
        <v>1021.7218594601065</v>
      </c>
      <c r="X694" s="8"/>
      <c r="Y694" s="8"/>
    </row>
    <row r="695" spans="1:25">
      <c r="A695" s="160" t="s">
        <v>2017</v>
      </c>
      <c r="B695" s="650">
        <f xml:space="preserve"> IF(MHDV_Inputs!$B$3=1,B596,IF(MHDV_Inputs!$B$3=2,B628,B660))</f>
        <v>804.62750384494234</v>
      </c>
      <c r="C695" s="522">
        <f xml:space="preserve"> IF(MHDV_Inputs!$B$3=1,C596,IF(MHDV_Inputs!$B$3=2,C628,C660))</f>
        <v>1422.2076059800106</v>
      </c>
      <c r="D695" s="522">
        <f xml:space="preserve"> IF(MHDV_Inputs!$B$3=1,D596,IF(MHDV_Inputs!$B$3=2,D628,D660))</f>
        <v>0</v>
      </c>
      <c r="E695" s="159">
        <f xml:space="preserve"> IF(MHDV_Inputs!$B$3=1,E596,IF(MHDV_Inputs!$B$3=2,E628,E660))</f>
        <v>2226.8351098249532</v>
      </c>
      <c r="F695" s="8"/>
      <c r="G695" s="160" t="s">
        <v>2017</v>
      </c>
      <c r="H695" s="650">
        <f xml:space="preserve"> IF(MHDV_Inputs!$B$3=1,H596,IF(MHDV_Inputs!$B$3=2,H628,H660))</f>
        <v>786.55650540314014</v>
      </c>
      <c r="I695" s="522">
        <f xml:space="preserve"> IF(MHDV_Inputs!$B$3=1,I596,IF(MHDV_Inputs!$B$3=2,I628,I660))</f>
        <v>1390.2664763159466</v>
      </c>
      <c r="J695" s="522">
        <f xml:space="preserve"> IF(MHDV_Inputs!$B$3=1,J596,IF(MHDV_Inputs!$B$3=2,J628,J660))</f>
        <v>0</v>
      </c>
      <c r="K695" s="159">
        <f xml:space="preserve"> IF(MHDV_Inputs!$B$3=1,K596,IF(MHDV_Inputs!$B$3=2,K628,K660))</f>
        <v>2176.8229817190868</v>
      </c>
      <c r="L695" s="8"/>
      <c r="M695" s="160" t="s">
        <v>2017</v>
      </c>
      <c r="N695" s="650">
        <f xml:space="preserve"> IF(MHDV_Inputs!$B$3=1,N596,IF(MHDV_Inputs!$B$3=2,N628,N660))</f>
        <v>1734.5034702363428</v>
      </c>
      <c r="O695" s="522">
        <f xml:space="preserve"> IF(MHDV_Inputs!$B$3=1,O596,IF(MHDV_Inputs!$B$3=2,O628,O660))</f>
        <v>10544.110172088076</v>
      </c>
      <c r="P695" s="522">
        <f xml:space="preserve"> IF(MHDV_Inputs!$B$3=1,P596,IF(MHDV_Inputs!$B$3=2,P628,P660))</f>
        <v>10168.779342352973</v>
      </c>
      <c r="Q695" s="159">
        <f xml:space="preserve"> IF(MHDV_Inputs!$B$3=1,Q596,IF(MHDV_Inputs!$B$3=2,Q628,Q660))</f>
        <v>22447.39298467739</v>
      </c>
      <c r="R695" s="8"/>
      <c r="S695" s="160" t="s">
        <v>2017</v>
      </c>
      <c r="T695" s="650">
        <f xml:space="preserve"> IF(MHDV_Inputs!$B$3=1,T596,IF(MHDV_Inputs!$B$3=2,T628,T660))</f>
        <v>953.50314638235614</v>
      </c>
      <c r="U695" s="522">
        <f xml:space="preserve"> IF(MHDV_Inputs!$B$3=1,U596,IF(MHDV_Inputs!$B$3=2,U628,U660))</f>
        <v>5751.3829606037689</v>
      </c>
      <c r="V695" s="522">
        <f xml:space="preserve"> IF(MHDV_Inputs!$B$3=1,V596,IF(MHDV_Inputs!$B$3=2,V628,V660))</f>
        <v>16380.061937467344</v>
      </c>
      <c r="W695" s="159">
        <f xml:space="preserve"> IF(MHDV_Inputs!$B$3=1,W596,IF(MHDV_Inputs!$B$3=2,W628,W660))</f>
        <v>23084.948044453471</v>
      </c>
      <c r="X695" s="8"/>
      <c r="Y695" s="8"/>
    </row>
    <row r="696" spans="1:25">
      <c r="A696" s="160" t="s">
        <v>440</v>
      </c>
      <c r="B696" s="650">
        <f xml:space="preserve"> IF(MHDV_Inputs!$B$3=1,B597,IF(MHDV_Inputs!$B$3=2,B629,B661))</f>
        <v>198.72228065898466</v>
      </c>
      <c r="C696" s="522">
        <f xml:space="preserve"> IF(MHDV_Inputs!$B$3=1,C597,IF(MHDV_Inputs!$B$3=2,C629,C661))</f>
        <v>640.60079332182056</v>
      </c>
      <c r="D696" s="522">
        <f xml:space="preserve"> IF(MHDV_Inputs!$B$3=1,D597,IF(MHDV_Inputs!$B$3=2,D629,D661))</f>
        <v>18064.641487789326</v>
      </c>
      <c r="E696" s="159">
        <f xml:space="preserve"> IF(MHDV_Inputs!$B$3=1,E597,IF(MHDV_Inputs!$B$3=2,E629,E661))</f>
        <v>18903.964561770132</v>
      </c>
      <c r="F696" s="8"/>
      <c r="G696" s="160" t="s">
        <v>440</v>
      </c>
      <c r="H696" s="650">
        <f xml:space="preserve"> IF(MHDV_Inputs!$B$3=1,H597,IF(MHDV_Inputs!$B$3=2,H629,H661))</f>
        <v>194.25920922906258</v>
      </c>
      <c r="I696" s="522">
        <f xml:space="preserve"> IF(MHDV_Inputs!$B$3=1,I597,IF(MHDV_Inputs!$B$3=2,I629,I661))</f>
        <v>626.21364413462766</v>
      </c>
      <c r="J696" s="522">
        <f xml:space="preserve"> IF(MHDV_Inputs!$B$3=1,J597,IF(MHDV_Inputs!$B$3=2,J629,J661))</f>
        <v>17658.93063821282</v>
      </c>
      <c r="K696" s="159">
        <f xml:space="preserve"> IF(MHDV_Inputs!$B$3=1,K597,IF(MHDV_Inputs!$B$3=2,K629,K661))</f>
        <v>18479.403491576511</v>
      </c>
      <c r="L696" s="8"/>
      <c r="M696" s="160" t="s">
        <v>440</v>
      </c>
      <c r="N696" s="650">
        <f xml:space="preserve"> IF(MHDV_Inputs!$B$3=1,N597,IF(MHDV_Inputs!$B$3=2,N629,N661))</f>
        <v>81.959125005863015</v>
      </c>
      <c r="O696" s="522">
        <f xml:space="preserve"> IF(MHDV_Inputs!$B$3=1,O597,IF(MHDV_Inputs!$B$3=2,O629,O661))</f>
        <v>0</v>
      </c>
      <c r="P696" s="522">
        <f xml:space="preserve"> IF(MHDV_Inputs!$B$3=1,P597,IF(MHDV_Inputs!$B$3=2,P629,P661))</f>
        <v>0</v>
      </c>
      <c r="Q696" s="159">
        <f xml:space="preserve"> IF(MHDV_Inputs!$B$3=1,Q597,IF(MHDV_Inputs!$B$3=2,Q629,Q661))</f>
        <v>81.959125005863015</v>
      </c>
      <c r="R696" s="8"/>
      <c r="S696" s="160" t="s">
        <v>440</v>
      </c>
      <c r="T696" s="650">
        <f xml:space="preserve"> IF(MHDV_Inputs!$B$3=1,T597,IF(MHDV_Inputs!$B$3=2,T629,T661))</f>
        <v>52.874689306645543</v>
      </c>
      <c r="U696" s="522">
        <f xml:space="preserve"> IF(MHDV_Inputs!$B$3=1,U597,IF(MHDV_Inputs!$B$3=2,U629,U661))</f>
        <v>56.075954275208296</v>
      </c>
      <c r="V696" s="522">
        <f xml:space="preserve"> IF(MHDV_Inputs!$B$3=1,V597,IF(MHDV_Inputs!$B$3=2,V629,V661))</f>
        <v>0</v>
      </c>
      <c r="W696" s="159">
        <f xml:space="preserve"> IF(MHDV_Inputs!$B$3=1,W597,IF(MHDV_Inputs!$B$3=2,W629,W661))</f>
        <v>108.95064358185384</v>
      </c>
      <c r="X696" s="8"/>
      <c r="Y696" s="8"/>
    </row>
    <row r="697" spans="1:25">
      <c r="A697" s="160" t="s">
        <v>819</v>
      </c>
      <c r="B697" s="650">
        <f xml:space="preserve"> IF(MHDV_Inputs!$B$3=1,B598,IF(MHDV_Inputs!$B$3=2,B630,B662))</f>
        <v>0.31983017040741918</v>
      </c>
      <c r="C697" s="522">
        <f xml:space="preserve"> IF(MHDV_Inputs!$B$3=1,C598,IF(MHDV_Inputs!$B$3=2,C630,C662))</f>
        <v>7.4145567067684506E-2</v>
      </c>
      <c r="D697" s="522">
        <f xml:space="preserve"> IF(MHDV_Inputs!$B$3=1,D598,IF(MHDV_Inputs!$B$3=2,D630,D662))</f>
        <v>0</v>
      </c>
      <c r="E697" s="159">
        <f xml:space="preserve"> IF(MHDV_Inputs!$B$3=1,E598,IF(MHDV_Inputs!$B$3=2,E630,E662))</f>
        <v>0.39397573747510367</v>
      </c>
      <c r="F697" s="8"/>
      <c r="G697" s="160" t="s">
        <v>819</v>
      </c>
      <c r="H697" s="650">
        <f xml:space="preserve"> IF(MHDV_Inputs!$B$3=1,H598,IF(MHDV_Inputs!$B$3=2,H630,H662))</f>
        <v>0.31264715654888769</v>
      </c>
      <c r="I697" s="522">
        <f xml:space="preserve"> IF(MHDV_Inputs!$B$3=1,I598,IF(MHDV_Inputs!$B$3=2,I630,I662))</f>
        <v>7.2480343817740933E-2</v>
      </c>
      <c r="J697" s="522">
        <f xml:space="preserve"> IF(MHDV_Inputs!$B$3=1,J598,IF(MHDV_Inputs!$B$3=2,J630,J662))</f>
        <v>0</v>
      </c>
      <c r="K697" s="159">
        <f xml:space="preserve"> IF(MHDV_Inputs!$B$3=1,K598,IF(MHDV_Inputs!$B$3=2,K630,K662))</f>
        <v>0.38512750036662863</v>
      </c>
      <c r="L697" s="8"/>
      <c r="M697" s="160" t="s">
        <v>819</v>
      </c>
      <c r="N697" s="650">
        <f xml:space="preserve"> IF(MHDV_Inputs!$B$3=1,N598,IF(MHDV_Inputs!$B$3=2,N630,N662))</f>
        <v>6.2439363405228793E-2</v>
      </c>
      <c r="O697" s="522">
        <f xml:space="preserve"> IF(MHDV_Inputs!$B$3=1,O598,IF(MHDV_Inputs!$B$3=2,O630,O662))</f>
        <v>0.49750407923899259</v>
      </c>
      <c r="P697" s="522">
        <f xml:space="preserve"> IF(MHDV_Inputs!$B$3=1,P598,IF(MHDV_Inputs!$B$3=2,P630,P662))</f>
        <v>0</v>
      </c>
      <c r="Q697" s="159">
        <f xml:space="preserve"> IF(MHDV_Inputs!$B$3=1,Q598,IF(MHDV_Inputs!$B$3=2,Q630,Q662))</f>
        <v>0.55994344264422136</v>
      </c>
      <c r="R697" s="8"/>
      <c r="S697" s="160" t="s">
        <v>819</v>
      </c>
      <c r="T697" s="650">
        <f xml:space="preserve"> IF(MHDV_Inputs!$B$3=1,T598,IF(MHDV_Inputs!$B$3=2,T630,T662))</f>
        <v>4.0193234435372045E-2</v>
      </c>
      <c r="U697" s="522">
        <f xml:space="preserve"> IF(MHDV_Inputs!$B$3=1,U598,IF(MHDV_Inputs!$B$3=2,U630,U662))</f>
        <v>0.56078197693449017</v>
      </c>
      <c r="V697" s="522">
        <f xml:space="preserve"> IF(MHDV_Inputs!$B$3=1,V598,IF(MHDV_Inputs!$B$3=2,V630,V662))</f>
        <v>0</v>
      </c>
      <c r="W697" s="159">
        <f xml:space="preserve"> IF(MHDV_Inputs!$B$3=1,W598,IF(MHDV_Inputs!$B$3=2,W630,W662))</f>
        <v>0.60097521136986221</v>
      </c>
      <c r="X697" s="8"/>
      <c r="Y697" s="8"/>
    </row>
    <row r="698" spans="1:25" ht="15.75">
      <c r="A698" s="160" t="s">
        <v>2319</v>
      </c>
      <c r="B698" s="650">
        <f xml:space="preserve"> IF(MHDV_Inputs!$B$3=1,B599,IF(MHDV_Inputs!$B$3=2,B631,B663))</f>
        <v>95.99765432415127</v>
      </c>
      <c r="C698" s="522">
        <f xml:space="preserve"> IF(MHDV_Inputs!$B$3=1,C599,IF(MHDV_Inputs!$B$3=2,C631,C663))</f>
        <v>138.15944281153139</v>
      </c>
      <c r="D698" s="522">
        <f xml:space="preserve"> IF(MHDV_Inputs!$B$3=1,D599,IF(MHDV_Inputs!$B$3=2,D631,D663))</f>
        <v>1428.3725609393252</v>
      </c>
      <c r="E698" s="159">
        <f xml:space="preserve"> IF(MHDV_Inputs!$B$3=1,E599,IF(MHDV_Inputs!$B$3=2,E631,E663))</f>
        <v>1662.5296580750078</v>
      </c>
      <c r="F698" s="8"/>
      <c r="G698" s="160" t="s">
        <v>2319</v>
      </c>
      <c r="H698" s="650">
        <f xml:space="preserve"> IF(MHDV_Inputs!$B$3=1,H599,IF(MHDV_Inputs!$B$3=2,H631,H663))</f>
        <v>93.841658595172674</v>
      </c>
      <c r="I698" s="522">
        <f xml:space="preserve"> IF(MHDV_Inputs!$B$3=1,I599,IF(MHDV_Inputs!$B$3=2,I631,I663))</f>
        <v>135.05654232175576</v>
      </c>
      <c r="J698" s="522">
        <f xml:space="preserve"> IF(MHDV_Inputs!$B$3=1,J599,IF(MHDV_Inputs!$B$3=2,J631,J663))</f>
        <v>1396.2920915966611</v>
      </c>
      <c r="K698" s="159">
        <f xml:space="preserve"> IF(MHDV_Inputs!$B$3=1,K599,IF(MHDV_Inputs!$B$3=2,K631,K663))</f>
        <v>1625.1902925135896</v>
      </c>
      <c r="L698" s="8"/>
      <c r="M698" s="160" t="s">
        <v>2319</v>
      </c>
      <c r="N698" s="650">
        <f xml:space="preserve"> IF(MHDV_Inputs!$B$3=1,N599,IF(MHDV_Inputs!$B$3=2,N631,N663))</f>
        <v>111.89438115571916</v>
      </c>
      <c r="O698" s="522">
        <f xml:space="preserve"> IF(MHDV_Inputs!$B$3=1,O599,IF(MHDV_Inputs!$B$3=2,O631,O663))</f>
        <v>1230.5304074664316</v>
      </c>
      <c r="P698" s="522">
        <f xml:space="preserve"> IF(MHDV_Inputs!$B$3=1,P599,IF(MHDV_Inputs!$B$3=2,P631,P663))</f>
        <v>0</v>
      </c>
      <c r="Q698" s="159">
        <f xml:space="preserve"> IF(MHDV_Inputs!$B$3=1,Q599,IF(MHDV_Inputs!$B$3=2,Q631,Q663))</f>
        <v>1342.4247886221508</v>
      </c>
      <c r="R698" s="8"/>
      <c r="S698" s="160" t="s">
        <v>2319</v>
      </c>
      <c r="T698" s="650">
        <f xml:space="preserve"> IF(MHDV_Inputs!$B$3=1,T599,IF(MHDV_Inputs!$B$3=2,T631,T663))</f>
        <v>63.233535845582672</v>
      </c>
      <c r="U698" s="522">
        <f xml:space="preserve"> IF(MHDV_Inputs!$B$3=1,U599,IF(MHDV_Inputs!$B$3=2,U631,U663))</f>
        <v>1421.3294204921526</v>
      </c>
      <c r="V698" s="522">
        <f xml:space="preserve"> IF(MHDV_Inputs!$B$3=1,V599,IF(MHDV_Inputs!$B$3=2,V631,V663))</f>
        <v>0</v>
      </c>
      <c r="W698" s="159">
        <f xml:space="preserve"> IF(MHDV_Inputs!$B$3=1,W599,IF(MHDV_Inputs!$B$3=2,W631,W663))</f>
        <v>1484.5629563377354</v>
      </c>
      <c r="X698" s="8"/>
      <c r="Y698" s="8"/>
    </row>
    <row r="699" spans="1:25" ht="15.75">
      <c r="A699" s="160" t="s">
        <v>2320</v>
      </c>
      <c r="B699" s="650">
        <f xml:space="preserve"> IF(MHDV_Inputs!$B$3=1,B600,IF(MHDV_Inputs!$B$3=2,B632,B664))</f>
        <v>1.6552235472407806</v>
      </c>
      <c r="C699" s="522">
        <f xml:space="preserve"> IF(MHDV_Inputs!$B$3=1,C600,IF(MHDV_Inputs!$B$3=2,C632,C664))</f>
        <v>0.32368675497750526</v>
      </c>
      <c r="D699" s="522">
        <f xml:space="preserve"> IF(MHDV_Inputs!$B$3=1,D600,IF(MHDV_Inputs!$B$3=2,D632,D664))</f>
        <v>1.4279963898586301E-2</v>
      </c>
      <c r="E699" s="159">
        <f xml:space="preserve"> IF(MHDV_Inputs!$B$3=1,E600,IF(MHDV_Inputs!$B$3=2,E632,E664))</f>
        <v>1.9931902661168721</v>
      </c>
      <c r="F699" s="8"/>
      <c r="G699" s="160" t="s">
        <v>2320</v>
      </c>
      <c r="H699" s="650">
        <f xml:space="preserve"> IF(MHDV_Inputs!$B$3=1,H600,IF(MHDV_Inputs!$B$3=2,H632,H664))</f>
        <v>1.618049150392439</v>
      </c>
      <c r="I699" s="522">
        <f xml:space="preserve"> IF(MHDV_Inputs!$B$3=1,I600,IF(MHDV_Inputs!$B$3=2,I632,I664))</f>
        <v>0.31641712671240224</v>
      </c>
      <c r="J699" s="522">
        <f xml:space="preserve"> IF(MHDV_Inputs!$B$3=1,J600,IF(MHDV_Inputs!$B$3=2,J632,J664))</f>
        <v>1.4279963898586301E-2</v>
      </c>
      <c r="K699" s="159">
        <f xml:space="preserve"> IF(MHDV_Inputs!$B$3=1,K600,IF(MHDV_Inputs!$B$3=2,K632,K664))</f>
        <v>1.9487462410034275</v>
      </c>
      <c r="L699" s="8"/>
      <c r="M699" s="160" t="s">
        <v>2320</v>
      </c>
      <c r="N699" s="650">
        <f xml:space="preserve"> IF(MHDV_Inputs!$B$3=1,N600,IF(MHDV_Inputs!$B$3=2,N632,N664))</f>
        <v>3.8066540029010012</v>
      </c>
      <c r="O699" s="522">
        <f xml:space="preserve"> IF(MHDV_Inputs!$B$3=1,O600,IF(MHDV_Inputs!$B$3=2,O632,O664))</f>
        <v>2.8333108626074383E-2</v>
      </c>
      <c r="P699" s="522">
        <f xml:space="preserve"> IF(MHDV_Inputs!$B$3=1,P600,IF(MHDV_Inputs!$B$3=2,P632,P664))</f>
        <v>0</v>
      </c>
      <c r="Q699" s="159">
        <f xml:space="preserve"> IF(MHDV_Inputs!$B$3=1,Q600,IF(MHDV_Inputs!$B$3=2,Q632,Q664))</f>
        <v>3.8349871115270755</v>
      </c>
      <c r="R699" s="8"/>
      <c r="S699" s="160" t="s">
        <v>2320</v>
      </c>
      <c r="T699" s="650">
        <f xml:space="preserve"> IF(MHDV_Inputs!$B$3=1,T600,IF(MHDV_Inputs!$B$3=2,T632,T664))</f>
        <v>2.0905635568218175</v>
      </c>
      <c r="U699" s="522">
        <f xml:space="preserve"> IF(MHDV_Inputs!$B$3=1,U600,IF(MHDV_Inputs!$B$3=2,U632,U664))</f>
        <v>1.461382651185382</v>
      </c>
      <c r="V699" s="522">
        <f xml:space="preserve"> IF(MHDV_Inputs!$B$3=1,V600,IF(MHDV_Inputs!$B$3=2,V632,V664))</f>
        <v>0</v>
      </c>
      <c r="W699" s="159">
        <f xml:space="preserve"> IF(MHDV_Inputs!$B$3=1,W600,IF(MHDV_Inputs!$B$3=2,W632,W664))</f>
        <v>3.5519462080071995</v>
      </c>
      <c r="X699" s="8"/>
      <c r="Y699" s="8"/>
    </row>
    <row r="700" spans="1:25" ht="15.75">
      <c r="A700" s="160" t="s">
        <v>2321</v>
      </c>
      <c r="B700" s="650">
        <f xml:space="preserve"> IF(MHDV_Inputs!$B$3=1,B601,IF(MHDV_Inputs!$B$3=2,B633,B665))</f>
        <v>1.5202772518049163E-3</v>
      </c>
      <c r="C700" s="522">
        <f xml:space="preserve"> IF(MHDV_Inputs!$B$3=1,C601,IF(MHDV_Inputs!$B$3=2,C633,C665))</f>
        <v>2.5000419325434185E-3</v>
      </c>
      <c r="D700" s="522">
        <f xml:space="preserve"> IF(MHDV_Inputs!$B$3=1,D601,IF(MHDV_Inputs!$B$3=2,D633,D665))</f>
        <v>1.9166453667045131E-3</v>
      </c>
      <c r="E700" s="159">
        <f xml:space="preserve"> IF(MHDV_Inputs!$B$3=1,E601,IF(MHDV_Inputs!$B$3=2,E633,E665))</f>
        <v>5.9369645510528478E-3</v>
      </c>
      <c r="F700" s="8"/>
      <c r="G700" s="160" t="s">
        <v>2321</v>
      </c>
      <c r="H700" s="650">
        <f xml:space="preserve"> IF(MHDV_Inputs!$B$3=1,H601,IF(MHDV_Inputs!$B$3=2,H633,H665))</f>
        <v>1.4861335918912376E-3</v>
      </c>
      <c r="I700" s="522">
        <f xml:space="preserve"> IF(MHDV_Inputs!$B$3=1,I601,IF(MHDV_Inputs!$B$3=2,I633,I665))</f>
        <v>2.4438938967733929E-3</v>
      </c>
      <c r="J700" s="522">
        <f xml:space="preserve"> IF(MHDV_Inputs!$B$3=1,J601,IF(MHDV_Inputs!$B$3=2,J633,J665))</f>
        <v>1.9166453667045131E-3</v>
      </c>
      <c r="K700" s="159">
        <f xml:space="preserve"> IF(MHDV_Inputs!$B$3=1,K601,IF(MHDV_Inputs!$B$3=2,K633,K665))</f>
        <v>5.8466728553691434E-3</v>
      </c>
      <c r="L700" s="8"/>
      <c r="M700" s="160" t="s">
        <v>2321</v>
      </c>
      <c r="N700" s="650">
        <f xml:space="preserve"> IF(MHDV_Inputs!$B$3=1,N601,IF(MHDV_Inputs!$B$3=2,N633,N665))</f>
        <v>1.6507278966782748E-2</v>
      </c>
      <c r="O700" s="522">
        <f xml:space="preserve"> IF(MHDV_Inputs!$B$3=1,O601,IF(MHDV_Inputs!$B$3=2,O633,O665))</f>
        <v>2.5494443279539618E-3</v>
      </c>
      <c r="P700" s="522">
        <f xml:space="preserve"> IF(MHDV_Inputs!$B$3=1,P601,IF(MHDV_Inputs!$B$3=2,P633,P665))</f>
        <v>0</v>
      </c>
      <c r="Q700" s="159">
        <f xml:space="preserve"> IF(MHDV_Inputs!$B$3=1,Q601,IF(MHDV_Inputs!$B$3=2,Q633,Q665))</f>
        <v>1.9056723294736708E-2</v>
      </c>
      <c r="R700" s="8"/>
      <c r="S700" s="160" t="s">
        <v>2321</v>
      </c>
      <c r="T700" s="650">
        <f xml:space="preserve"> IF(MHDV_Inputs!$B$3=1,T601,IF(MHDV_Inputs!$B$3=2,T633,T665))</f>
        <v>3.1877238346775224E-3</v>
      </c>
      <c r="U700" s="522">
        <f xml:space="preserve"> IF(MHDV_Inputs!$B$3=1,U601,IF(MHDV_Inputs!$B$3=2,U633,U665))</f>
        <v>1.0587159770171788E-2</v>
      </c>
      <c r="V700" s="522">
        <f xml:space="preserve"> IF(MHDV_Inputs!$B$3=1,V601,IF(MHDV_Inputs!$B$3=2,V633,V665))</f>
        <v>0</v>
      </c>
      <c r="W700" s="159">
        <f xml:space="preserve"> IF(MHDV_Inputs!$B$3=1,W601,IF(MHDV_Inputs!$B$3=2,W633,W665))</f>
        <v>1.3774883604849311E-2</v>
      </c>
      <c r="X700" s="8"/>
      <c r="Y700" s="8"/>
    </row>
    <row r="701" spans="1:25">
      <c r="A701" s="160" t="s">
        <v>1896</v>
      </c>
      <c r="B701" s="650">
        <f xml:space="preserve"> IF(MHDV_Inputs!$B$3=1,B602,IF(MHDV_Inputs!$B$3=2,B634,B666))</f>
        <v>146.05723421310299</v>
      </c>
      <c r="C701" s="522">
        <f xml:space="preserve"> IF(MHDV_Inputs!$B$3=1,C602,IF(MHDV_Inputs!$B$3=2,C634,C666))</f>
        <v>148.53255657298055</v>
      </c>
      <c r="D701" s="522">
        <f xml:space="preserve"> IF(MHDV_Inputs!$B$3=1,D602,IF(MHDV_Inputs!$B$3=2,D634,D666))</f>
        <v>1429.3088708784596</v>
      </c>
      <c r="E701" s="159">
        <f xml:space="preserve"> IF(MHDV_Inputs!$B$3=1,E602,IF(MHDV_Inputs!$B$3=2,E634,E666))</f>
        <v>1723.8986616645429</v>
      </c>
      <c r="F701" s="8"/>
      <c r="G701" s="160" t="s">
        <v>1896</v>
      </c>
      <c r="H701" s="650">
        <f xml:space="preserve"> IF(MHDV_Inputs!$B$3=1,H602,IF(MHDV_Inputs!$B$3=2,H634,H666))</f>
        <v>142.77695850879704</v>
      </c>
      <c r="I701" s="522">
        <f xml:space="preserve"> IF(MHDV_Inputs!$B$3=1,I602,IF(MHDV_Inputs!$B$3=2,I634,I666))</f>
        <v>145.19668800577278</v>
      </c>
      <c r="J701" s="522">
        <f xml:space="preserve"> IF(MHDV_Inputs!$B$3=1,J602,IF(MHDV_Inputs!$B$3=2,J634,J666))</f>
        <v>1397.2284015357955</v>
      </c>
      <c r="K701" s="159">
        <f xml:space="preserve"> IF(MHDV_Inputs!$B$3=1,K602,IF(MHDV_Inputs!$B$3=2,K634,K666))</f>
        <v>1685.2020480503652</v>
      </c>
      <c r="L701" s="8"/>
      <c r="M701" s="160" t="s">
        <v>1896</v>
      </c>
      <c r="N701" s="650">
        <f xml:space="preserve"> IF(MHDV_Inputs!$B$3=1,N602,IF(MHDV_Inputs!$B$3=2,N634,N666))</f>
        <v>230.46843016894661</v>
      </c>
      <c r="O701" s="522">
        <f xml:space="preserve"> IF(MHDV_Inputs!$B$3=1,O602,IF(MHDV_Inputs!$B$3=2,O634,O666))</f>
        <v>1232.0560034721216</v>
      </c>
      <c r="P701" s="522">
        <f xml:space="preserve"> IF(MHDV_Inputs!$B$3=1,P602,IF(MHDV_Inputs!$B$3=2,P634,P666))</f>
        <v>0</v>
      </c>
      <c r="Q701" s="159">
        <f xml:space="preserve"> IF(MHDV_Inputs!$B$3=1,Q602,IF(MHDV_Inputs!$B$3=2,Q634,Q666))</f>
        <v>1462.5244336410683</v>
      </c>
      <c r="R701" s="8"/>
      <c r="S701" s="160" t="s">
        <v>1896</v>
      </c>
      <c r="T701" s="650">
        <f xml:space="preserve"> IF(MHDV_Inputs!$B$3=1,T602,IF(MHDV_Inputs!$B$3=2,T634,T666))</f>
        <v>126.79518936642674</v>
      </c>
      <c r="U701" s="522">
        <f xml:space="preserve"> IF(MHDV_Inputs!$B$3=1,U602,IF(MHDV_Inputs!$B$3=2,U634,U666))</f>
        <v>1467.9764973668096</v>
      </c>
      <c r="V701" s="522">
        <f xml:space="preserve"> IF(MHDV_Inputs!$B$3=1,V602,IF(MHDV_Inputs!$B$3=2,V634,V666))</f>
        <v>0</v>
      </c>
      <c r="W701" s="159">
        <f xml:space="preserve"> IF(MHDV_Inputs!$B$3=1,W602,IF(MHDV_Inputs!$B$3=2,W634,W666))</f>
        <v>1594.7716867332363</v>
      </c>
      <c r="X701" s="8"/>
      <c r="Y701" s="8"/>
    </row>
    <row r="702" spans="1:25">
      <c r="A702" s="160" t="s">
        <v>879</v>
      </c>
      <c r="B702" s="650">
        <f xml:space="preserve"> IF(MHDV_Inputs!$B$3=1,B603,IF(MHDV_Inputs!$B$3=2,B635,B667))</f>
        <v>6.6706911771938396E-2</v>
      </c>
      <c r="C702" s="522">
        <f xml:space="preserve"> IF(MHDV_Inputs!$B$3=1,C603,IF(MHDV_Inputs!$B$3=2,C635,C667))</f>
        <v>6.6311334359973342E-2</v>
      </c>
      <c r="D702" s="522">
        <f xml:space="preserve"> IF(MHDV_Inputs!$B$3=1,D603,IF(MHDV_Inputs!$B$3=2,D635,D667))</f>
        <v>0.10415651994681022</v>
      </c>
      <c r="E702" s="159">
        <f xml:space="preserve"> IF(MHDV_Inputs!$B$3=1,E603,IF(MHDV_Inputs!$B$3=2,E635,E667))</f>
        <v>0.23717476607872195</v>
      </c>
      <c r="F702" s="8"/>
      <c r="G702" s="160" t="s">
        <v>879</v>
      </c>
      <c r="H702" s="650">
        <f xml:space="preserve"> IF(MHDV_Inputs!$B$3=1,H603,IF(MHDV_Inputs!$B$3=2,H635,H667))</f>
        <v>6.5208752073285553E-2</v>
      </c>
      <c r="I702" s="522">
        <f xml:space="preserve"> IF(MHDV_Inputs!$B$3=1,I603,IF(MHDV_Inputs!$B$3=2,I635,I667))</f>
        <v>6.4822058870176238E-2</v>
      </c>
      <c r="J702" s="522">
        <f xml:space="preserve"> IF(MHDV_Inputs!$B$3=1,J603,IF(MHDV_Inputs!$B$3=2,J635,J667))</f>
        <v>0.10415651994681022</v>
      </c>
      <c r="K702" s="159">
        <f xml:space="preserve"> IF(MHDV_Inputs!$B$3=1,K603,IF(MHDV_Inputs!$B$3=2,K635,K667))</f>
        <v>0.23418733089027202</v>
      </c>
      <c r="L702" s="8"/>
      <c r="M702" s="160" t="s">
        <v>879</v>
      </c>
      <c r="N702" s="650">
        <f xml:space="preserve"> IF(MHDV_Inputs!$B$3=1,N603,IF(MHDV_Inputs!$B$3=2,N635,N667))</f>
        <v>0.17685955855754107</v>
      </c>
      <c r="O702" s="522">
        <f xml:space="preserve"> IF(MHDV_Inputs!$B$3=1,O603,IF(MHDV_Inputs!$B$3=2,O635,O667))</f>
        <v>1.3821560767615546E-2</v>
      </c>
      <c r="P702" s="522">
        <f xml:space="preserve"> IF(MHDV_Inputs!$B$3=1,P603,IF(MHDV_Inputs!$B$3=2,P635,P667))</f>
        <v>0</v>
      </c>
      <c r="Q702" s="159">
        <f xml:space="preserve"> IF(MHDV_Inputs!$B$3=1,Q603,IF(MHDV_Inputs!$B$3=2,Q635,Q667))</f>
        <v>0.19068111932515661</v>
      </c>
      <c r="R702" s="8"/>
      <c r="S702" s="160" t="s">
        <v>879</v>
      </c>
      <c r="T702" s="650">
        <f xml:space="preserve"> IF(MHDV_Inputs!$B$3=1,T603,IF(MHDV_Inputs!$B$3=2,T635,T667))</f>
        <v>9.4266692889576037E-2</v>
      </c>
      <c r="U702" s="522">
        <f xml:space="preserve"> IF(MHDV_Inputs!$B$3=1,U603,IF(MHDV_Inputs!$B$3=2,U635,U667))</f>
        <v>9.7533897498654237E-2</v>
      </c>
      <c r="V702" s="522">
        <f xml:space="preserve"> IF(MHDV_Inputs!$B$3=1,V603,IF(MHDV_Inputs!$B$3=2,V635,V667))</f>
        <v>0</v>
      </c>
      <c r="W702" s="159">
        <f xml:space="preserve"> IF(MHDV_Inputs!$B$3=1,W603,IF(MHDV_Inputs!$B$3=2,W635,W667))</f>
        <v>0.19180059038823027</v>
      </c>
      <c r="X702" s="8"/>
      <c r="Y702" s="8"/>
    </row>
    <row r="703" spans="1:25">
      <c r="A703" s="160" t="s">
        <v>880</v>
      </c>
      <c r="B703" s="650">
        <f xml:space="preserve"> IF(MHDV_Inputs!$B$3=1,B604,IF(MHDV_Inputs!$B$3=2,B636,B668))</f>
        <v>0.13323689106881326</v>
      </c>
      <c r="C703" s="522">
        <f xml:space="preserve"> IF(MHDV_Inputs!$B$3=1,C604,IF(MHDV_Inputs!$B$3=2,C636,C668))</f>
        <v>7.6154601725606827E-2</v>
      </c>
      <c r="D703" s="522">
        <f xml:space="preserve"> IF(MHDV_Inputs!$B$3=1,D604,IF(MHDV_Inputs!$B$3=2,D636,D668))</f>
        <v>2.8990092232225142</v>
      </c>
      <c r="E703" s="159">
        <f xml:space="preserve"> IF(MHDV_Inputs!$B$3=1,E604,IF(MHDV_Inputs!$B$3=2,E636,E668))</f>
        <v>3.1084007160169342</v>
      </c>
      <c r="F703" s="8"/>
      <c r="G703" s="160" t="s">
        <v>880</v>
      </c>
      <c r="H703" s="650">
        <f xml:space="preserve"> IF(MHDV_Inputs!$B$3=1,H604,IF(MHDV_Inputs!$B$3=2,H636,H668))</f>
        <v>0.13024454536923216</v>
      </c>
      <c r="I703" s="522">
        <f xml:space="preserve"> IF(MHDV_Inputs!$B$3=1,I604,IF(MHDV_Inputs!$B$3=2,I636,I668))</f>
        <v>7.4444257892537086E-2</v>
      </c>
      <c r="J703" s="522">
        <f xml:space="preserve"> IF(MHDV_Inputs!$B$3=1,J604,IF(MHDV_Inputs!$B$3=2,J636,J668))</f>
        <v>1.4495046116112571</v>
      </c>
      <c r="K703" s="159">
        <f xml:space="preserve"> IF(MHDV_Inputs!$B$3=1,K604,IF(MHDV_Inputs!$B$3=2,K636,K668))</f>
        <v>1.6541934148730264</v>
      </c>
      <c r="L703" s="8"/>
      <c r="M703" s="160" t="s">
        <v>880</v>
      </c>
      <c r="N703" s="650">
        <f xml:space="preserve"> IF(MHDV_Inputs!$B$3=1,N604,IF(MHDV_Inputs!$B$3=2,N636,N668))</f>
        <v>0.46197269288213749</v>
      </c>
      <c r="O703" s="522">
        <f xml:space="preserve"> IF(MHDV_Inputs!$B$3=1,O604,IF(MHDV_Inputs!$B$3=2,O636,O668))</f>
        <v>0.10509486098013346</v>
      </c>
      <c r="P703" s="522">
        <f xml:space="preserve"> IF(MHDV_Inputs!$B$3=1,P604,IF(MHDV_Inputs!$B$3=2,P636,P668))</f>
        <v>0</v>
      </c>
      <c r="Q703" s="159">
        <f xml:space="preserve"> IF(MHDV_Inputs!$B$3=1,Q604,IF(MHDV_Inputs!$B$3=2,Q636,Q668))</f>
        <v>0.56706755386227092</v>
      </c>
      <c r="R703" s="8"/>
      <c r="S703" s="160" t="s">
        <v>880</v>
      </c>
      <c r="T703" s="650">
        <f xml:space="preserve"> IF(MHDV_Inputs!$B$3=1,T604,IF(MHDV_Inputs!$B$3=2,T636,T668))</f>
        <v>0.1928154621974946</v>
      </c>
      <c r="U703" s="522">
        <f xml:space="preserve"> IF(MHDV_Inputs!$B$3=1,U604,IF(MHDV_Inputs!$B$3=2,U636,U668))</f>
        <v>0.1322320283592609</v>
      </c>
      <c r="V703" s="522">
        <f xml:space="preserve"> IF(MHDV_Inputs!$B$3=1,V604,IF(MHDV_Inputs!$B$3=2,V636,V668))</f>
        <v>0</v>
      </c>
      <c r="W703" s="159">
        <f xml:space="preserve"> IF(MHDV_Inputs!$B$3=1,W604,IF(MHDV_Inputs!$B$3=2,W636,W668))</f>
        <v>0.32504749055675553</v>
      </c>
      <c r="X703" s="8"/>
      <c r="Y703" s="8"/>
    </row>
    <row r="704" spans="1:25">
      <c r="A704" s="160" t="s">
        <v>881</v>
      </c>
      <c r="B704" s="650">
        <f xml:space="preserve"> IF(MHDV_Inputs!$B$3=1,B605,IF(MHDV_Inputs!$B$3=2,B637,B669))</f>
        <v>0.20520735668600648</v>
      </c>
      <c r="C704" s="522">
        <f xml:space="preserve"> IF(MHDV_Inputs!$B$3=1,C605,IF(MHDV_Inputs!$B$3=2,C637,C669))</f>
        <v>0.11463347882354728</v>
      </c>
      <c r="D704" s="522">
        <f xml:space="preserve"> IF(MHDV_Inputs!$B$3=1,D605,IF(MHDV_Inputs!$B$3=2,D637,D669))</f>
        <v>1.8194955645718054</v>
      </c>
      <c r="E704" s="159">
        <f xml:space="preserve"> IF(MHDV_Inputs!$B$3=1,E605,IF(MHDV_Inputs!$B$3=2,E637,E669))</f>
        <v>2.1393364000813593</v>
      </c>
      <c r="F704" s="8"/>
      <c r="G704" s="160" t="s">
        <v>881</v>
      </c>
      <c r="H704" s="650">
        <f xml:space="preserve"> IF(MHDV_Inputs!$B$3=1,H605,IF(MHDV_Inputs!$B$3=2,H637,H669))</f>
        <v>0.20059863798673397</v>
      </c>
      <c r="I704" s="522">
        <f xml:space="preserve"> IF(MHDV_Inputs!$B$3=1,I605,IF(MHDV_Inputs!$B$3=2,I637,I669))</f>
        <v>0.11205894413849148</v>
      </c>
      <c r="J704" s="522">
        <f xml:space="preserve"> IF(MHDV_Inputs!$B$3=1,J605,IF(MHDV_Inputs!$B$3=2,J637,J669))</f>
        <v>1.8194955645718054</v>
      </c>
      <c r="K704" s="159">
        <f xml:space="preserve"> IF(MHDV_Inputs!$B$3=1,K605,IF(MHDV_Inputs!$B$3=2,K637,K669))</f>
        <v>2.1321531466970307</v>
      </c>
      <c r="L704" s="8"/>
      <c r="M704" s="160" t="s">
        <v>881</v>
      </c>
      <c r="N704" s="650">
        <f xml:space="preserve"> IF(MHDV_Inputs!$B$3=1,N605,IF(MHDV_Inputs!$B$3=2,N637,N669))</f>
        <v>0.53272279700453662</v>
      </c>
      <c r="O704" s="522">
        <f xml:space="preserve"> IF(MHDV_Inputs!$B$3=1,O605,IF(MHDV_Inputs!$B$3=2,O637,O669))</f>
        <v>0.15626508094549241</v>
      </c>
      <c r="P704" s="522">
        <f xml:space="preserve"> IF(MHDV_Inputs!$B$3=1,P605,IF(MHDV_Inputs!$B$3=2,P637,P669))</f>
        <v>0</v>
      </c>
      <c r="Q704" s="159">
        <f xml:space="preserve"> IF(MHDV_Inputs!$B$3=1,Q605,IF(MHDV_Inputs!$B$3=2,Q637,Q669))</f>
        <v>0.68898787795002903</v>
      </c>
      <c r="R704" s="8"/>
      <c r="S704" s="160" t="s">
        <v>881</v>
      </c>
      <c r="T704" s="650">
        <f xml:space="preserve"> IF(MHDV_Inputs!$B$3=1,T605,IF(MHDV_Inputs!$B$3=2,T637,T669))</f>
        <v>0.21942875853147706</v>
      </c>
      <c r="U704" s="522">
        <f xml:space="preserve"> IF(MHDV_Inputs!$B$3=1,U605,IF(MHDV_Inputs!$B$3=2,U637,U669))</f>
        <v>0.25408798326170667</v>
      </c>
      <c r="V704" s="522">
        <f xml:space="preserve"> IF(MHDV_Inputs!$B$3=1,V605,IF(MHDV_Inputs!$B$3=2,V637,V669))</f>
        <v>0</v>
      </c>
      <c r="W704" s="159">
        <f xml:space="preserve"> IF(MHDV_Inputs!$B$3=1,W605,IF(MHDV_Inputs!$B$3=2,W637,W669))</f>
        <v>0.4735167417931837</v>
      </c>
      <c r="X704" s="8"/>
      <c r="Y704" s="8"/>
    </row>
    <row r="705" spans="1:25" ht="15.75">
      <c r="A705" s="160" t="s">
        <v>2322</v>
      </c>
      <c r="B705" s="650">
        <f xml:space="preserve"> IF(MHDV_Inputs!$B$3=1,B606,IF(MHDV_Inputs!$B$3=2,B638,B670))</f>
        <v>1.008603971640842E-2</v>
      </c>
      <c r="C705" s="522">
        <f xml:space="preserve"> IF(MHDV_Inputs!$B$3=1,C606,IF(MHDV_Inputs!$B$3=2,C638,C670))</f>
        <v>1.3277383209045356E-2</v>
      </c>
      <c r="D705" s="522">
        <f xml:space="preserve"> IF(MHDV_Inputs!$B$3=1,D606,IF(MHDV_Inputs!$B$3=2,D638,D670))</f>
        <v>9.7501896966844193E-2</v>
      </c>
      <c r="E705" s="159">
        <f xml:space="preserve"> IF(MHDV_Inputs!$B$3=1,E606,IF(MHDV_Inputs!$B$3=2,E638,E670))</f>
        <v>0.12086531989229797</v>
      </c>
      <c r="F705" s="8"/>
      <c r="G705" s="160" t="s">
        <v>2322</v>
      </c>
      <c r="H705" s="650">
        <f xml:space="preserve"> IF(MHDV_Inputs!$B$3=1,H606,IF(MHDV_Inputs!$B$3=2,H638,H670))</f>
        <v>9.8595189883346063E-3</v>
      </c>
      <c r="I705" s="522">
        <f xml:space="preserve"> IF(MHDV_Inputs!$B$3=1,I606,IF(MHDV_Inputs!$B$3=2,I638,I670))</f>
        <v>1.2979188615726922E-2</v>
      </c>
      <c r="J705" s="522">
        <f xml:space="preserve"> IF(MHDV_Inputs!$B$3=1,J606,IF(MHDV_Inputs!$B$3=2,J638,J670))</f>
        <v>9.7501896966844193E-2</v>
      </c>
      <c r="K705" s="159">
        <f xml:space="preserve"> IF(MHDV_Inputs!$B$3=1,K606,IF(MHDV_Inputs!$B$3=2,K638,K670))</f>
        <v>0.12034060457090573</v>
      </c>
      <c r="L705" s="8"/>
      <c r="M705" s="160" t="s">
        <v>2322</v>
      </c>
      <c r="N705" s="650">
        <f xml:space="preserve"> IF(MHDV_Inputs!$B$3=1,N606,IF(MHDV_Inputs!$B$3=2,N638,N670))</f>
        <v>8.2224617611465715E-3</v>
      </c>
      <c r="O705" s="522">
        <f xml:space="preserve"> IF(MHDV_Inputs!$B$3=1,O606,IF(MHDV_Inputs!$B$3=2,O638,O670))</f>
        <v>5.3517806592840507E-2</v>
      </c>
      <c r="P705" s="522">
        <f xml:space="preserve"> IF(MHDV_Inputs!$B$3=1,P606,IF(MHDV_Inputs!$B$3=2,P638,P670))</f>
        <v>9.2776112380665202E-2</v>
      </c>
      <c r="Q705" s="159">
        <f xml:space="preserve"> IF(MHDV_Inputs!$B$3=1,Q606,IF(MHDV_Inputs!$B$3=2,Q638,Q670))</f>
        <v>0.15451638073465229</v>
      </c>
      <c r="R705" s="8"/>
      <c r="S705" s="160" t="s">
        <v>2322</v>
      </c>
      <c r="T705" s="650">
        <f xml:space="preserve"> IF(MHDV_Inputs!$B$3=1,T606,IF(MHDV_Inputs!$B$3=2,T638,T670))</f>
        <v>5.0931359362104594E-3</v>
      </c>
      <c r="U705" s="522">
        <f xml:space="preserve"> IF(MHDV_Inputs!$B$3=1,U606,IF(MHDV_Inputs!$B$3=2,U638,U670))</f>
        <v>6.2289829832112231E-2</v>
      </c>
      <c r="V705" s="522">
        <f xml:space="preserve"> IF(MHDV_Inputs!$B$3=1,V606,IF(MHDV_Inputs!$B$3=2,V638,V670))</f>
        <v>9.2776112380665202E-2</v>
      </c>
      <c r="W705" s="159">
        <f xml:space="preserve"> IF(MHDV_Inputs!$B$3=1,W606,IF(MHDV_Inputs!$B$3=2,W638,W670))</f>
        <v>0.16015907814898789</v>
      </c>
      <c r="X705" s="8"/>
      <c r="Y705" s="8"/>
    </row>
    <row r="706" spans="1:25" ht="15.75">
      <c r="A706" s="160" t="s">
        <v>2323</v>
      </c>
      <c r="B706" s="650">
        <f xml:space="preserve"> IF(MHDV_Inputs!$B$3=1,B607,IF(MHDV_Inputs!$B$3=2,B639,B671))</f>
        <v>8.6174142471672332E-3</v>
      </c>
      <c r="C706" s="522">
        <f xml:space="preserve"> IF(MHDV_Inputs!$B$3=1,C607,IF(MHDV_Inputs!$B$3=2,C639,C671))</f>
        <v>1.131634661556688E-2</v>
      </c>
      <c r="D706" s="522">
        <f xml:space="preserve"> IF(MHDV_Inputs!$B$3=1,D607,IF(MHDV_Inputs!$B$3=2,D639,D671))</f>
        <v>1.6634080236808423E-2</v>
      </c>
      <c r="E706" s="159">
        <f xml:space="preserve"> IF(MHDV_Inputs!$B$3=1,E607,IF(MHDV_Inputs!$B$3=2,E639,E671))</f>
        <v>3.6567841099542538E-2</v>
      </c>
      <c r="F706" s="8"/>
      <c r="G706" s="160" t="s">
        <v>2323</v>
      </c>
      <c r="H706" s="650">
        <f xml:space="preserve"> IF(MHDV_Inputs!$B$3=1,H607,IF(MHDV_Inputs!$B$3=2,H639,H671))</f>
        <v>8.423877140010463E-3</v>
      </c>
      <c r="I706" s="522">
        <f xml:space="preserve"> IF(MHDV_Inputs!$B$3=1,I607,IF(MHDV_Inputs!$B$3=2,I639,I671))</f>
        <v>1.1062194624639895E-2</v>
      </c>
      <c r="J706" s="522">
        <f xml:space="preserve"> IF(MHDV_Inputs!$B$3=1,J607,IF(MHDV_Inputs!$B$3=2,J639,J671))</f>
        <v>1.6634080236808423E-2</v>
      </c>
      <c r="K706" s="159">
        <f xml:space="preserve"> IF(MHDV_Inputs!$B$3=1,K607,IF(MHDV_Inputs!$B$3=2,K639,K671))</f>
        <v>3.612015200145878E-2</v>
      </c>
      <c r="L706" s="8"/>
      <c r="M706" s="160" t="s">
        <v>2323</v>
      </c>
      <c r="N706" s="650">
        <f xml:space="preserve"> IF(MHDV_Inputs!$B$3=1,N607,IF(MHDV_Inputs!$B$3=2,N639,N671))</f>
        <v>7.4024962577588574E-3</v>
      </c>
      <c r="O706" s="522">
        <f xml:space="preserve"> IF(MHDV_Inputs!$B$3=1,O607,IF(MHDV_Inputs!$B$3=2,O639,O671))</f>
        <v>5.1689369022864667E-2</v>
      </c>
      <c r="P706" s="522">
        <f xml:space="preserve"> IF(MHDV_Inputs!$B$3=1,P607,IF(MHDV_Inputs!$B$3=2,P639,P671))</f>
        <v>1.228637608748109E-2</v>
      </c>
      <c r="Q706" s="159">
        <f xml:space="preserve"> IF(MHDV_Inputs!$B$3=1,Q607,IF(MHDV_Inputs!$B$3=2,Q639,Q671))</f>
        <v>7.1378241368104611E-2</v>
      </c>
      <c r="R706" s="8"/>
      <c r="S706" s="160" t="s">
        <v>2323</v>
      </c>
      <c r="T706" s="650">
        <f xml:space="preserve"> IF(MHDV_Inputs!$B$3=1,T607,IF(MHDV_Inputs!$B$3=2,T639,T671))</f>
        <v>4.5786592268665417E-3</v>
      </c>
      <c r="U706" s="522">
        <f xml:space="preserve"> IF(MHDV_Inputs!$B$3=1,U607,IF(MHDV_Inputs!$B$3=2,U639,U671))</f>
        <v>5.2407693168890171E-2</v>
      </c>
      <c r="V706" s="522">
        <f xml:space="preserve"> IF(MHDV_Inputs!$B$3=1,V607,IF(MHDV_Inputs!$B$3=2,V639,V671))</f>
        <v>1.228637608748109E-2</v>
      </c>
      <c r="W706" s="159">
        <f xml:space="preserve"> IF(MHDV_Inputs!$B$3=1,W607,IF(MHDV_Inputs!$B$3=2,W639,W671))</f>
        <v>6.9272728483237803E-2</v>
      </c>
      <c r="X706" s="8"/>
      <c r="Y706" s="8"/>
    </row>
    <row r="707" spans="1:25" ht="15.75">
      <c r="A707" s="160" t="s">
        <v>2324</v>
      </c>
      <c r="B707" s="650">
        <f xml:space="preserve"> IF(MHDV_Inputs!$B$3=1,B608,IF(MHDV_Inputs!$B$3=2,B640,B672))</f>
        <v>4.6271167490966249E-2</v>
      </c>
      <c r="C707" s="522">
        <f xml:space="preserve"> IF(MHDV_Inputs!$B$3=1,C608,IF(MHDV_Inputs!$B$3=2,C640,C672))</f>
        <v>3.6890656557503836E-2</v>
      </c>
      <c r="D707" s="522">
        <f xml:space="preserve"> IF(MHDV_Inputs!$B$3=1,D608,IF(MHDV_Inputs!$B$3=2,D640,D672))</f>
        <v>9.8398059529739117E-3</v>
      </c>
      <c r="E707" s="159">
        <f xml:space="preserve"> IF(MHDV_Inputs!$B$3=1,E608,IF(MHDV_Inputs!$B$3=2,E640,E672))</f>
        <v>9.3001630001443999E-2</v>
      </c>
      <c r="F707" s="8"/>
      <c r="G707" s="160" t="s">
        <v>2324</v>
      </c>
      <c r="H707" s="650">
        <f xml:space="preserve"> IF(MHDV_Inputs!$B$3=1,H608,IF(MHDV_Inputs!$B$3=2,H640,H672))</f>
        <v>4.5231970854468034E-2</v>
      </c>
      <c r="I707" s="522">
        <f xml:space="preserve"> IF(MHDV_Inputs!$B$3=1,I608,IF(MHDV_Inputs!$B$3=2,I640,I672))</f>
        <v>3.6062135292717221E-2</v>
      </c>
      <c r="J707" s="522">
        <f xml:space="preserve"> IF(MHDV_Inputs!$B$3=1,J608,IF(MHDV_Inputs!$B$3=2,J640,J672))</f>
        <v>9.6188153490060768E-3</v>
      </c>
      <c r="K707" s="159">
        <f xml:space="preserve"> IF(MHDV_Inputs!$B$3=1,K608,IF(MHDV_Inputs!$B$3=2,K640,K672))</f>
        <v>9.0912921496191332E-2</v>
      </c>
      <c r="L707" s="8"/>
      <c r="M707" s="160" t="s">
        <v>2324</v>
      </c>
      <c r="N707" s="650">
        <f xml:space="preserve"> IF(MHDV_Inputs!$B$3=1,N608,IF(MHDV_Inputs!$B$3=2,N640,N672))</f>
        <v>0.22648532838989438</v>
      </c>
      <c r="O707" s="522">
        <f xml:space="preserve"> IF(MHDV_Inputs!$B$3=1,O608,IF(MHDV_Inputs!$B$3=2,O640,O672))</f>
        <v>2.2584442189292554E-2</v>
      </c>
      <c r="P707" s="522">
        <f xml:space="preserve"> IF(MHDV_Inputs!$B$3=1,P608,IF(MHDV_Inputs!$B$3=2,P640,P672))</f>
        <v>0</v>
      </c>
      <c r="Q707" s="159">
        <f xml:space="preserve"> IF(MHDV_Inputs!$B$3=1,Q608,IF(MHDV_Inputs!$B$3=2,Q640,Q672))</f>
        <v>0.24906977057918694</v>
      </c>
      <c r="R707" s="8"/>
      <c r="S707" s="160" t="s">
        <v>2324</v>
      </c>
      <c r="T707" s="650">
        <f xml:space="preserve"> IF(MHDV_Inputs!$B$3=1,T608,IF(MHDV_Inputs!$B$3=2,T640,T672))</f>
        <v>0.1460230131195222</v>
      </c>
      <c r="U707" s="522">
        <f xml:space="preserve"> IF(MHDV_Inputs!$B$3=1,U608,IF(MHDV_Inputs!$B$3=2,U640,U672))</f>
        <v>0.1854137244073516</v>
      </c>
      <c r="V707" s="522">
        <f xml:space="preserve"> IF(MHDV_Inputs!$B$3=1,V608,IF(MHDV_Inputs!$B$3=2,V640,V672))</f>
        <v>0</v>
      </c>
      <c r="W707" s="159">
        <f xml:space="preserve"> IF(MHDV_Inputs!$B$3=1,W608,IF(MHDV_Inputs!$B$3=2,W640,W672))</f>
        <v>0.3314367375268738</v>
      </c>
      <c r="X707" s="8"/>
      <c r="Y707" s="8"/>
    </row>
    <row r="708" spans="1:25">
      <c r="A708" s="160" t="s">
        <v>885</v>
      </c>
      <c r="B708" s="650">
        <f xml:space="preserve"> IF(MHDV_Inputs!$B$3=1,B609,IF(MHDV_Inputs!$B$3=2,B641,B673))</f>
        <v>1.5645726472962921E-3</v>
      </c>
      <c r="C708" s="522">
        <f xml:space="preserve"> IF(MHDV_Inputs!$B$3=1,C609,IF(MHDV_Inputs!$B$3=2,C641,C673))</f>
        <v>1.520364207790657E-3</v>
      </c>
      <c r="D708" s="522">
        <f xml:space="preserve"> IF(MHDV_Inputs!$B$3=1,D609,IF(MHDV_Inputs!$B$3=2,D641,D673))</f>
        <v>2.1350928479191645E-3</v>
      </c>
      <c r="E708" s="159">
        <f xml:space="preserve"> IF(MHDV_Inputs!$B$3=1,E609,IF(MHDV_Inputs!$B$3=2,E641,E673))</f>
        <v>5.2200297030061136E-3</v>
      </c>
      <c r="F708" s="8"/>
      <c r="G708" s="160" t="s">
        <v>885</v>
      </c>
      <c r="H708" s="650">
        <f xml:space="preserve"> IF(MHDV_Inputs!$B$3=1,H609,IF(MHDV_Inputs!$B$3=2,H641,H673))</f>
        <v>1.5294341642885995E-3</v>
      </c>
      <c r="I708" s="522">
        <f xml:space="preserve"> IF(MHDV_Inputs!$B$3=1,I609,IF(MHDV_Inputs!$B$3=2,I641,I673))</f>
        <v>1.4862185949466157E-3</v>
      </c>
      <c r="J708" s="522">
        <f xml:space="preserve"> IF(MHDV_Inputs!$B$3=1,J609,IF(MHDV_Inputs!$B$3=2,J641,J673))</f>
        <v>2.1350928479191645E-3</v>
      </c>
      <c r="K708" s="159">
        <f xml:space="preserve"> IF(MHDV_Inputs!$B$3=1,K609,IF(MHDV_Inputs!$B$3=2,K641,K673))</f>
        <v>5.1507456071543797E-3</v>
      </c>
      <c r="L708" s="8"/>
      <c r="M708" s="160" t="s">
        <v>885</v>
      </c>
      <c r="N708" s="650">
        <f xml:space="preserve"> IF(MHDV_Inputs!$B$3=1,N609,IF(MHDV_Inputs!$B$3=2,N641,N673))</f>
        <v>1.9658621903022619E-3</v>
      </c>
      <c r="O708" s="522">
        <f xml:space="preserve"> IF(MHDV_Inputs!$B$3=1,O609,IF(MHDV_Inputs!$B$3=2,O641,O673))</f>
        <v>1.4989917016630754E-3</v>
      </c>
      <c r="P708" s="522">
        <f xml:space="preserve"> IF(MHDV_Inputs!$B$3=1,P609,IF(MHDV_Inputs!$B$3=2,P641,P673))</f>
        <v>1.5691693295503853E-3</v>
      </c>
      <c r="Q708" s="159">
        <f xml:space="preserve"> IF(MHDV_Inputs!$B$3=1,Q609,IF(MHDV_Inputs!$B$3=2,Q641,Q673))</f>
        <v>5.0340232215157227E-3</v>
      </c>
      <c r="R708" s="8"/>
      <c r="S708" s="160" t="s">
        <v>885</v>
      </c>
      <c r="T708" s="650">
        <f xml:space="preserve"> IF(MHDV_Inputs!$B$3=1,T609,IF(MHDV_Inputs!$B$3=2,T641,T673))</f>
        <v>1.2323109930063509E-3</v>
      </c>
      <c r="U708" s="522">
        <f xml:space="preserve"> IF(MHDV_Inputs!$B$3=1,U609,IF(MHDV_Inputs!$B$3=2,U641,U673))</f>
        <v>5.0268039042267124E-3</v>
      </c>
      <c r="V708" s="522">
        <f xml:space="preserve"> IF(MHDV_Inputs!$B$3=1,V609,IF(MHDV_Inputs!$B$3=2,V641,V673))</f>
        <v>1.5691693295503853E-3</v>
      </c>
      <c r="W708" s="159">
        <f xml:space="preserve"> IF(MHDV_Inputs!$B$3=1,W609,IF(MHDV_Inputs!$B$3=2,W641,W673))</f>
        <v>7.8282842267834492E-3</v>
      </c>
      <c r="X708" s="8"/>
      <c r="Y708" s="8"/>
    </row>
    <row r="709" spans="1:25">
      <c r="A709" s="160" t="s">
        <v>886</v>
      </c>
      <c r="B709" s="650">
        <f xml:space="preserve"> IF(MHDV_Inputs!$B$3=1,B610,IF(MHDV_Inputs!$B$3=2,B642,B674))</f>
        <v>3.1547792448163368E-3</v>
      </c>
      <c r="C709" s="522">
        <f xml:space="preserve"> IF(MHDV_Inputs!$B$3=1,C610,IF(MHDV_Inputs!$B$3=2,C642,C674))</f>
        <v>2.2659465024071779E-3</v>
      </c>
      <c r="D709" s="522">
        <f xml:space="preserve"> IF(MHDV_Inputs!$B$3=1,D610,IF(MHDV_Inputs!$B$3=2,D642,D674))</f>
        <v>3.1327831529812155E-3</v>
      </c>
      <c r="E709" s="159">
        <f xml:space="preserve"> IF(MHDV_Inputs!$B$3=1,E610,IF(MHDV_Inputs!$B$3=2,E642,E674))</f>
        <v>8.5535089002047315E-3</v>
      </c>
      <c r="F709" s="8"/>
      <c r="G709" s="160" t="s">
        <v>886</v>
      </c>
      <c r="H709" s="650">
        <f xml:space="preserve"> IF(MHDV_Inputs!$B$3=1,H610,IF(MHDV_Inputs!$B$3=2,H642,H674))</f>
        <v>3.0839265700756879E-3</v>
      </c>
      <c r="I709" s="522">
        <f xml:space="preserve"> IF(MHDV_Inputs!$B$3=1,I610,IF(MHDV_Inputs!$B$3=2,I642,I674))</f>
        <v>2.2150559778867807E-3</v>
      </c>
      <c r="J709" s="522">
        <f xml:space="preserve"> IF(MHDV_Inputs!$B$3=1,J610,IF(MHDV_Inputs!$B$3=2,J642,J674))</f>
        <v>3.1327831529812155E-3</v>
      </c>
      <c r="K709" s="159">
        <f xml:space="preserve"> IF(MHDV_Inputs!$B$3=1,K610,IF(MHDV_Inputs!$B$3=2,K642,K674))</f>
        <v>8.4317657009436841E-3</v>
      </c>
      <c r="L709" s="8"/>
      <c r="M709" s="160" t="s">
        <v>886</v>
      </c>
      <c r="N709" s="650">
        <f xml:space="preserve"> IF(MHDV_Inputs!$B$3=1,N610,IF(MHDV_Inputs!$B$3=2,N642,N674))</f>
        <v>2.7891531428081142E-3</v>
      </c>
      <c r="O709" s="522">
        <f xml:space="preserve"> IF(MHDV_Inputs!$B$3=1,O610,IF(MHDV_Inputs!$B$3=2,O642,O674))</f>
        <v>3.5148770935547975E-2</v>
      </c>
      <c r="P709" s="522">
        <f xml:space="preserve"> IF(MHDV_Inputs!$B$3=1,P610,IF(MHDV_Inputs!$B$3=2,P642,P674))</f>
        <v>2.0812252444626896E-3</v>
      </c>
      <c r="Q709" s="159">
        <f xml:space="preserve"> IF(MHDV_Inputs!$B$3=1,Q610,IF(MHDV_Inputs!$B$3=2,Q642,Q674))</f>
        <v>4.0019149322818783E-2</v>
      </c>
      <c r="R709" s="8"/>
      <c r="S709" s="160" t="s">
        <v>886</v>
      </c>
      <c r="T709" s="650">
        <f xml:space="preserve"> IF(MHDV_Inputs!$B$3=1,T610,IF(MHDV_Inputs!$B$3=2,T642,T674))</f>
        <v>1.71794790992602E-3</v>
      </c>
      <c r="U709" s="522">
        <f xml:space="preserve"> IF(MHDV_Inputs!$B$3=1,U610,IF(MHDV_Inputs!$B$3=2,U642,U674))</f>
        <v>1.4123723865221188E-2</v>
      </c>
      <c r="V709" s="522">
        <f xml:space="preserve"> IF(MHDV_Inputs!$B$3=1,V610,IF(MHDV_Inputs!$B$3=2,V642,V674))</f>
        <v>2.0812252444626896E-3</v>
      </c>
      <c r="W709" s="159">
        <f xml:space="preserve"> IF(MHDV_Inputs!$B$3=1,W610,IF(MHDV_Inputs!$B$3=2,W642,W674))</f>
        <v>1.7922897019609897E-2</v>
      </c>
      <c r="X709" s="8"/>
      <c r="Y709" s="8"/>
    </row>
    <row r="710" spans="1:25">
      <c r="A710" s="160" t="s">
        <v>890</v>
      </c>
      <c r="B710" s="650">
        <f xml:space="preserve"> IF(MHDV_Inputs!$B$3=1,B611,IF(MHDV_Inputs!$B$3=2,B643,B675))</f>
        <v>1.1943212803214615E-2</v>
      </c>
      <c r="C710" s="522">
        <f xml:space="preserve"> IF(MHDV_Inputs!$B$3=1,C611,IF(MHDV_Inputs!$B$3=2,C643,C675))</f>
        <v>3.798269578126371E-2</v>
      </c>
      <c r="D710" s="522">
        <f xml:space="preserve"> IF(MHDV_Inputs!$B$3=1,D611,IF(MHDV_Inputs!$B$3=2,D643,D675))</f>
        <v>5.2078259973405115E-3</v>
      </c>
      <c r="E710" s="159">
        <f xml:space="preserve"> IF(MHDV_Inputs!$B$3=1,E611,IF(MHDV_Inputs!$B$3=2,E643,E675))</f>
        <v>5.5133734581818833E-2</v>
      </c>
      <c r="F710" s="8"/>
      <c r="G710" s="160" t="s">
        <v>890</v>
      </c>
      <c r="H710" s="650">
        <f xml:space="preserve"> IF(MHDV_Inputs!$B$3=1,H611,IF(MHDV_Inputs!$B$3=2,H643,H675))</f>
        <v>1.1674982126378847E-2</v>
      </c>
      <c r="I710" s="522">
        <f xml:space="preserve"> IF(MHDV_Inputs!$B$3=1,I611,IF(MHDV_Inputs!$B$3=2,I643,I675))</f>
        <v>3.7129648584891789E-2</v>
      </c>
      <c r="J710" s="522">
        <f xml:space="preserve"> IF(MHDV_Inputs!$B$3=1,J611,IF(MHDV_Inputs!$B$3=2,J643,J675))</f>
        <v>5.2078259973405115E-3</v>
      </c>
      <c r="K710" s="159">
        <f xml:space="preserve"> IF(MHDV_Inputs!$B$3=1,K611,IF(MHDV_Inputs!$B$3=2,K643,K675))</f>
        <v>5.4012456708611142E-2</v>
      </c>
      <c r="L710" s="8"/>
      <c r="M710" s="160" t="s">
        <v>890</v>
      </c>
      <c r="N710" s="650">
        <f xml:space="preserve"> IF(MHDV_Inputs!$B$3=1,N611,IF(MHDV_Inputs!$B$3=2,N643,N675))</f>
        <v>7.5552532934489219E-3</v>
      </c>
      <c r="O710" s="522">
        <f xml:space="preserve"> IF(MHDV_Inputs!$B$3=1,O611,IF(MHDV_Inputs!$B$3=2,O643,O675))</f>
        <v>4.3261485202636665E-3</v>
      </c>
      <c r="P710" s="522">
        <f xml:space="preserve"> IF(MHDV_Inputs!$B$3=1,P611,IF(MHDV_Inputs!$B$3=2,P643,P675))</f>
        <v>0</v>
      </c>
      <c r="Q710" s="159">
        <f xml:space="preserve"> IF(MHDV_Inputs!$B$3=1,Q611,IF(MHDV_Inputs!$B$3=2,Q643,Q675))</f>
        <v>1.1881401813712588E-2</v>
      </c>
      <c r="R710" s="8"/>
      <c r="S710" s="160" t="s">
        <v>890</v>
      </c>
      <c r="T710" s="650">
        <f xml:space="preserve"> IF(MHDV_Inputs!$B$3=1,T611,IF(MHDV_Inputs!$B$3=2,T643,T675))</f>
        <v>2.0898545035484095E-3</v>
      </c>
      <c r="U710" s="522">
        <f xml:space="preserve"> IF(MHDV_Inputs!$B$3=1,U611,IF(MHDV_Inputs!$B$3=2,U643,U675))</f>
        <v>9.713712232322454E-3</v>
      </c>
      <c r="V710" s="522">
        <f xml:space="preserve"> IF(MHDV_Inputs!$B$3=1,V611,IF(MHDV_Inputs!$B$3=2,V643,V675))</f>
        <v>0</v>
      </c>
      <c r="W710" s="159">
        <f xml:space="preserve"> IF(MHDV_Inputs!$B$3=1,W611,IF(MHDV_Inputs!$B$3=2,W643,W675))</f>
        <v>1.1803566735870864E-2</v>
      </c>
      <c r="X710" s="8"/>
      <c r="Y710" s="8"/>
    </row>
    <row r="711" spans="1:25">
      <c r="A711" s="160" t="s">
        <v>891</v>
      </c>
      <c r="B711" s="650">
        <f xml:space="preserve"> IF(MHDV_Inputs!$B$3=1,B612,IF(MHDV_Inputs!$B$3=2,B644,B676))</f>
        <v>4.73872187815348E-3</v>
      </c>
      <c r="C711" s="522">
        <f xml:space="preserve"> IF(MHDV_Inputs!$B$3=1,C612,IF(MHDV_Inputs!$B$3=2,C644,C676))</f>
        <v>2.7811982625337479E-2</v>
      </c>
      <c r="D711" s="522">
        <f xml:space="preserve"> IF(MHDV_Inputs!$B$3=1,D612,IF(MHDV_Inputs!$B$3=2,D644,D676))</f>
        <v>0.14495046116112573</v>
      </c>
      <c r="E711" s="159">
        <f xml:space="preserve"> IF(MHDV_Inputs!$B$3=1,E612,IF(MHDV_Inputs!$B$3=2,E644,E676))</f>
        <v>0.17750116566461668</v>
      </c>
      <c r="F711" s="8"/>
      <c r="G711" s="160" t="s">
        <v>891</v>
      </c>
      <c r="H711" s="650">
        <f xml:space="preserve"> IF(MHDV_Inputs!$B$3=1,H612,IF(MHDV_Inputs!$B$3=2,H644,H676))</f>
        <v>4.6322956930342262E-3</v>
      </c>
      <c r="I711" s="522">
        <f xml:space="preserve"> IF(MHDV_Inputs!$B$3=1,I612,IF(MHDV_Inputs!$B$3=2,I644,I676))</f>
        <v>2.7187357824067008E-2</v>
      </c>
      <c r="J711" s="522">
        <f xml:space="preserve"> IF(MHDV_Inputs!$B$3=1,J612,IF(MHDV_Inputs!$B$3=2,J644,J676))</f>
        <v>7.2475230580562863E-2</v>
      </c>
      <c r="K711" s="159">
        <f xml:space="preserve"> IF(MHDV_Inputs!$B$3=1,K612,IF(MHDV_Inputs!$B$3=2,K644,K676))</f>
        <v>0.1042948840976641</v>
      </c>
      <c r="L711" s="8"/>
      <c r="M711" s="160" t="s">
        <v>891</v>
      </c>
      <c r="N711" s="650">
        <f xml:space="preserve"> IF(MHDV_Inputs!$B$3=1,N612,IF(MHDV_Inputs!$B$3=2,N644,N676))</f>
        <v>3.3997171350370246E-2</v>
      </c>
      <c r="O711" s="522">
        <f xml:space="preserve"> IF(MHDV_Inputs!$B$3=1,O612,IF(MHDV_Inputs!$B$3=2,O644,O676))</f>
        <v>3.2894691486781778E-2</v>
      </c>
      <c r="P711" s="522">
        <f xml:space="preserve"> IF(MHDV_Inputs!$B$3=1,P612,IF(MHDV_Inputs!$B$3=2,P644,P676))</f>
        <v>0</v>
      </c>
      <c r="Q711" s="159">
        <f xml:space="preserve"> IF(MHDV_Inputs!$B$3=1,Q612,IF(MHDV_Inputs!$B$3=2,Q644,Q676))</f>
        <v>6.6891862837152025E-2</v>
      </c>
      <c r="R711" s="8"/>
      <c r="S711" s="160" t="s">
        <v>891</v>
      </c>
      <c r="T711" s="650">
        <f xml:space="preserve"> IF(MHDV_Inputs!$B$3=1,T612,IF(MHDV_Inputs!$B$3=2,T644,T676))</f>
        <v>7.1787115573735743E-3</v>
      </c>
      <c r="U711" s="522">
        <f xml:space="preserve"> IF(MHDV_Inputs!$B$3=1,U612,IF(MHDV_Inputs!$B$3=2,U644,U676))</f>
        <v>8.6187939514364553E-3</v>
      </c>
      <c r="V711" s="522">
        <f xml:space="preserve"> IF(MHDV_Inputs!$B$3=1,V612,IF(MHDV_Inputs!$B$3=2,V644,V676))</f>
        <v>0</v>
      </c>
      <c r="W711" s="159">
        <f xml:space="preserve"> IF(MHDV_Inputs!$B$3=1,W612,IF(MHDV_Inputs!$B$3=2,W644,W676))</f>
        <v>1.5797505508810029E-2</v>
      </c>
      <c r="X711" s="8"/>
      <c r="Y711" s="8"/>
    </row>
    <row r="712" spans="1:25" ht="15.75">
      <c r="A712" s="160" t="s">
        <v>2325</v>
      </c>
      <c r="B712" s="650">
        <f xml:space="preserve"> IF(MHDV_Inputs!$B$3=1,B613,IF(MHDV_Inputs!$B$3=2,B645,B677))</f>
        <v>9.9684507026145622E-3</v>
      </c>
      <c r="C712" s="522">
        <f xml:space="preserve"> IF(MHDV_Inputs!$B$3=1,C613,IF(MHDV_Inputs!$B$3=2,C645,C677))</f>
        <v>4.0565009119998219E-2</v>
      </c>
      <c r="D712" s="522">
        <f xml:space="preserve"> IF(MHDV_Inputs!$B$3=1,D613,IF(MHDV_Inputs!$B$3=2,D645,D677))</f>
        <v>9.0974778228590278E-2</v>
      </c>
      <c r="E712" s="159">
        <f xml:space="preserve"> IF(MHDV_Inputs!$B$3=1,E613,IF(MHDV_Inputs!$B$3=2,E645,E677))</f>
        <v>0.14150823805120305</v>
      </c>
      <c r="F712" s="8"/>
      <c r="G712" s="160" t="s">
        <v>2325</v>
      </c>
      <c r="H712" s="650">
        <f xml:space="preserve"> IF(MHDV_Inputs!$B$3=1,H613,IF(MHDV_Inputs!$B$3=2,H645,H677))</f>
        <v>9.7445708871057406E-3</v>
      </c>
      <c r="I712" s="522">
        <f xml:space="preserve"> IF(MHDV_Inputs!$B$3=1,I613,IF(MHDV_Inputs!$B$3=2,I645,I677))</f>
        <v>3.965396616770505E-2</v>
      </c>
      <c r="J712" s="522">
        <f xml:space="preserve"> IF(MHDV_Inputs!$B$3=1,J613,IF(MHDV_Inputs!$B$3=2,J645,J677))</f>
        <v>9.0974778228590278E-2</v>
      </c>
      <c r="K712" s="159">
        <f xml:space="preserve"> IF(MHDV_Inputs!$B$3=1,K613,IF(MHDV_Inputs!$B$3=2,K645,K677))</f>
        <v>0.14037331528340108</v>
      </c>
      <c r="L712" s="8"/>
      <c r="M712" s="160" t="s">
        <v>2325</v>
      </c>
      <c r="N712" s="650">
        <f xml:space="preserve"> IF(MHDV_Inputs!$B$3=1,N613,IF(MHDV_Inputs!$B$3=2,N645,N677))</f>
        <v>4.0374401439887873E-2</v>
      </c>
      <c r="O712" s="522">
        <f xml:space="preserve"> IF(MHDV_Inputs!$B$3=1,O613,IF(MHDV_Inputs!$B$3=2,O645,O677))</f>
        <v>4.8910970335939108E-2</v>
      </c>
      <c r="P712" s="522">
        <f xml:space="preserve"> IF(MHDV_Inputs!$B$3=1,P613,IF(MHDV_Inputs!$B$3=2,P645,P677))</f>
        <v>0</v>
      </c>
      <c r="Q712" s="159">
        <f xml:space="preserve"> IF(MHDV_Inputs!$B$3=1,Q613,IF(MHDV_Inputs!$B$3=2,Q645,Q677))</f>
        <v>8.9285371775826988E-2</v>
      </c>
      <c r="R712" s="8"/>
      <c r="S712" s="160" t="s">
        <v>2325</v>
      </c>
      <c r="T712" s="650">
        <f xml:space="preserve"> IF(MHDV_Inputs!$B$3=1,T613,IF(MHDV_Inputs!$B$3=2,T645,T677))</f>
        <v>8.6047072283654998E-3</v>
      </c>
      <c r="U712" s="522">
        <f xml:space="preserve"> IF(MHDV_Inputs!$B$3=1,U613,IF(MHDV_Inputs!$B$3=2,U645,U677))</f>
        <v>4.1623331364645598E-2</v>
      </c>
      <c r="V712" s="522">
        <f xml:space="preserve"> IF(MHDV_Inputs!$B$3=1,V613,IF(MHDV_Inputs!$B$3=2,V645,V677))</f>
        <v>0</v>
      </c>
      <c r="W712" s="159">
        <f xml:space="preserve"> IF(MHDV_Inputs!$B$3=1,W613,IF(MHDV_Inputs!$B$3=2,W645,W677))</f>
        <v>5.0228038593011101E-2</v>
      </c>
      <c r="X712" s="8"/>
      <c r="Y712" s="8"/>
    </row>
    <row r="713" spans="1:25" ht="15.75">
      <c r="A713" s="160" t="s">
        <v>2326</v>
      </c>
      <c r="B713" s="650">
        <f xml:space="preserve"> IF(MHDV_Inputs!$B$3=1,B614,IF(MHDV_Inputs!$B$3=2,B646,B678))</f>
        <v>7.7143941619970844E-4</v>
      </c>
      <c r="C713" s="522">
        <f xml:space="preserve"> IF(MHDV_Inputs!$B$3=1,C614,IF(MHDV_Inputs!$B$3=2,C646,C678))</f>
        <v>8.2172900680035667E-3</v>
      </c>
      <c r="D713" s="522">
        <f xml:space="preserve"> IF(MHDV_Inputs!$B$3=1,D614,IF(MHDV_Inputs!$B$3=2,D646,D678))</f>
        <v>4.8750948483422098E-3</v>
      </c>
      <c r="E713" s="159">
        <f xml:space="preserve"> IF(MHDV_Inputs!$B$3=1,E614,IF(MHDV_Inputs!$B$3=2,E646,E678))</f>
        <v>1.3863824332545484E-2</v>
      </c>
      <c r="F713" s="8"/>
      <c r="G713" s="160" t="s">
        <v>2326</v>
      </c>
      <c r="H713" s="650">
        <f xml:space="preserve"> IF(MHDV_Inputs!$B$3=1,H614,IF(MHDV_Inputs!$B$3=2,H646,H678))</f>
        <v>7.5411378362876902E-4</v>
      </c>
      <c r="I713" s="522">
        <f xml:space="preserve"> IF(MHDV_Inputs!$B$3=1,I614,IF(MHDV_Inputs!$B$3=2,I646,I678))</f>
        <v>8.0327392848086824E-3</v>
      </c>
      <c r="J713" s="522">
        <f xml:space="preserve"> IF(MHDV_Inputs!$B$3=1,J614,IF(MHDV_Inputs!$B$3=2,J646,J678))</f>
        <v>4.8750948483422098E-3</v>
      </c>
      <c r="K713" s="159">
        <f xml:space="preserve"> IF(MHDV_Inputs!$B$3=1,K614,IF(MHDV_Inputs!$B$3=2,K646,K678))</f>
        <v>1.366194791677966E-2</v>
      </c>
      <c r="L713" s="8"/>
      <c r="M713" s="160" t="s">
        <v>2326</v>
      </c>
      <c r="N713" s="650">
        <f xml:space="preserve"> IF(MHDV_Inputs!$B$3=1,N614,IF(MHDV_Inputs!$B$3=2,N646,N678))</f>
        <v>2.4369316855085533E-4</v>
      </c>
      <c r="O713" s="522">
        <f xml:space="preserve"> IF(MHDV_Inputs!$B$3=1,O614,IF(MHDV_Inputs!$B$3=2,O646,O678))</f>
        <v>1.6751073463559082E-2</v>
      </c>
      <c r="P713" s="522">
        <f xml:space="preserve"> IF(MHDV_Inputs!$B$3=1,P614,IF(MHDV_Inputs!$B$3=2,P646,P678))</f>
        <v>4.6388056190332606E-3</v>
      </c>
      <c r="Q713" s="159">
        <f xml:space="preserve"> IF(MHDV_Inputs!$B$3=1,Q614,IF(MHDV_Inputs!$B$3=2,Q646,Q678))</f>
        <v>2.16335722511432E-2</v>
      </c>
      <c r="R713" s="8"/>
      <c r="S713" s="160" t="s">
        <v>2326</v>
      </c>
      <c r="T713" s="650">
        <f xml:space="preserve"> IF(MHDV_Inputs!$B$3=1,T614,IF(MHDV_Inputs!$B$3=2,T646,T678))</f>
        <v>1.2453960365175701E-4</v>
      </c>
      <c r="U713" s="522">
        <f xml:space="preserve"> IF(MHDV_Inputs!$B$3=1,U614,IF(MHDV_Inputs!$B$3=2,U646,U678))</f>
        <v>1.4055941829522361E-2</v>
      </c>
      <c r="V713" s="522">
        <f xml:space="preserve"> IF(MHDV_Inputs!$B$3=1,V614,IF(MHDV_Inputs!$B$3=2,V646,V678))</f>
        <v>4.6388056190332606E-3</v>
      </c>
      <c r="W713" s="159">
        <f xml:space="preserve"> IF(MHDV_Inputs!$B$3=1,W614,IF(MHDV_Inputs!$B$3=2,W646,W678))</f>
        <v>1.8819287052207378E-2</v>
      </c>
      <c r="X713" s="8"/>
      <c r="Y713" s="8"/>
    </row>
    <row r="714" spans="1:25" ht="15.75">
      <c r="A714" s="160" t="s">
        <v>2327</v>
      </c>
      <c r="B714" s="650">
        <f xml:space="preserve"> IF(MHDV_Inputs!$B$3=1,B615,IF(MHDV_Inputs!$B$3=2,B647,B679))</f>
        <v>6.8359052555538001E-4</v>
      </c>
      <c r="C714" s="522">
        <f xml:space="preserve"> IF(MHDV_Inputs!$B$3=1,C615,IF(MHDV_Inputs!$B$3=2,C647,C679))</f>
        <v>7.0732925665159454E-3</v>
      </c>
      <c r="D714" s="522">
        <f xml:space="preserve"> IF(MHDV_Inputs!$B$3=1,D615,IF(MHDV_Inputs!$B$3=2,D647,D679))</f>
        <v>8.3170401184042117E-4</v>
      </c>
      <c r="E714" s="159">
        <f xml:space="preserve"> IF(MHDV_Inputs!$B$3=1,E615,IF(MHDV_Inputs!$B$3=2,E647,E679))</f>
        <v>8.5885871039117472E-3</v>
      </c>
      <c r="F714" s="8"/>
      <c r="G714" s="160" t="s">
        <v>2327</v>
      </c>
      <c r="H714" s="650">
        <f xml:space="preserve"> IF(MHDV_Inputs!$B$3=1,H615,IF(MHDV_Inputs!$B$3=2,H647,H679))</f>
        <v>6.682378769532481E-4</v>
      </c>
      <c r="I714" s="522">
        <f xml:space="preserve"> IF(MHDV_Inputs!$B$3=1,I615,IF(MHDV_Inputs!$B$3=2,I647,I679))</f>
        <v>6.9144346374281117E-3</v>
      </c>
      <c r="J714" s="522">
        <f xml:space="preserve"> IF(MHDV_Inputs!$B$3=1,J615,IF(MHDV_Inputs!$B$3=2,J647,J679))</f>
        <v>8.3170401184042117E-4</v>
      </c>
      <c r="K714" s="159">
        <f xml:space="preserve"> IF(MHDV_Inputs!$B$3=1,K615,IF(MHDV_Inputs!$B$3=2,K647,K679))</f>
        <v>8.4143765262217809E-3</v>
      </c>
      <c r="L714" s="8"/>
      <c r="M714" s="160" t="s">
        <v>2327</v>
      </c>
      <c r="N714" s="650">
        <f xml:space="preserve"> IF(MHDV_Inputs!$B$3=1,N615,IF(MHDV_Inputs!$B$3=2,N647,N679))</f>
        <v>2.2245944422775269E-4</v>
      </c>
      <c r="O714" s="522">
        <f xml:space="preserve"> IF(MHDV_Inputs!$B$3=1,O615,IF(MHDV_Inputs!$B$3=2,O647,O679))</f>
        <v>1.6178772504156641E-2</v>
      </c>
      <c r="P714" s="522">
        <f xml:space="preserve"> IF(MHDV_Inputs!$B$3=1,P615,IF(MHDV_Inputs!$B$3=2,P647,P679))</f>
        <v>6.1431880437405454E-4</v>
      </c>
      <c r="Q714" s="159">
        <f xml:space="preserve"> IF(MHDV_Inputs!$B$3=1,Q615,IF(MHDV_Inputs!$B$3=2,Q647,Q679))</f>
        <v>1.701555075275845E-2</v>
      </c>
      <c r="R714" s="8"/>
      <c r="S714" s="160" t="s">
        <v>2327</v>
      </c>
      <c r="T714" s="650">
        <f xml:space="preserve"> IF(MHDV_Inputs!$B$3=1,T615,IF(MHDV_Inputs!$B$3=2,T647,T679))</f>
        <v>1.1176253115003012E-4</v>
      </c>
      <c r="U714" s="522">
        <f xml:space="preserve"> IF(MHDV_Inputs!$B$3=1,U615,IF(MHDV_Inputs!$B$3=2,U647,U679))</f>
        <v>1.3315340340144387E-2</v>
      </c>
      <c r="V714" s="522">
        <f xml:space="preserve"> IF(MHDV_Inputs!$B$3=1,V615,IF(MHDV_Inputs!$B$3=2,V647,V679))</f>
        <v>6.1431880437405454E-4</v>
      </c>
      <c r="W714" s="159">
        <f xml:space="preserve"> IF(MHDV_Inputs!$B$3=1,W615,IF(MHDV_Inputs!$B$3=2,W647,W679))</f>
        <v>1.4041421675668471E-2</v>
      </c>
      <c r="X714" s="8"/>
      <c r="Y714" s="8"/>
    </row>
    <row r="715" spans="1:25" ht="15.75">
      <c r="A715" s="160" t="s">
        <v>2328</v>
      </c>
      <c r="B715" s="650">
        <f xml:space="preserve"> IF(MHDV_Inputs!$B$3=1,B616,IF(MHDV_Inputs!$B$3=2,B648,B680))</f>
        <v>4.5647958274752931E-3</v>
      </c>
      <c r="C715" s="522">
        <f xml:space="preserve"> IF(MHDV_Inputs!$B$3=1,C616,IF(MHDV_Inputs!$B$3=2,C648,C680))</f>
        <v>1.2997935077853679E-2</v>
      </c>
      <c r="D715" s="522">
        <f xml:space="preserve"> IF(MHDV_Inputs!$B$3=1,D616,IF(MHDV_Inputs!$B$3=2,D648,D680))</f>
        <v>4.9199029764869561E-4</v>
      </c>
      <c r="E715" s="159">
        <f xml:space="preserve"> IF(MHDV_Inputs!$B$3=1,E616,IF(MHDV_Inputs!$B$3=2,E648,E680))</f>
        <v>1.8054721202977665E-2</v>
      </c>
      <c r="F715" s="8"/>
      <c r="G715" s="160" t="s">
        <v>2328</v>
      </c>
      <c r="H715" s="650">
        <f xml:space="preserve"> IF(MHDV_Inputs!$B$3=1,H616,IF(MHDV_Inputs!$B$3=2,H648,H680))</f>
        <v>4.4622758192835923E-3</v>
      </c>
      <c r="I715" s="522">
        <f xml:space="preserve"> IF(MHDV_Inputs!$B$3=1,I616,IF(MHDV_Inputs!$B$3=2,I648,I680))</f>
        <v>1.2706016564732851E-2</v>
      </c>
      <c r="J715" s="522">
        <f xml:space="preserve"> IF(MHDV_Inputs!$B$3=1,J616,IF(MHDV_Inputs!$B$3=2,J648,J680))</f>
        <v>4.8094076745030384E-4</v>
      </c>
      <c r="K715" s="159">
        <f xml:space="preserve"> IF(MHDV_Inputs!$B$3=1,K616,IF(MHDV_Inputs!$B$3=2,K648,K680))</f>
        <v>1.7649233151466749E-2</v>
      </c>
      <c r="L715" s="8"/>
      <c r="M715" s="160" t="s">
        <v>2328</v>
      </c>
      <c r="N715" s="650">
        <f xml:space="preserve"> IF(MHDV_Inputs!$B$3=1,N616,IF(MHDV_Inputs!$B$3=2,N648,N680))</f>
        <v>2.8996285155557921E-3</v>
      </c>
      <c r="O715" s="522">
        <f xml:space="preserve"> IF(MHDV_Inputs!$B$3=1,O616,IF(MHDV_Inputs!$B$3=2,O648,O680))</f>
        <v>7.0689304052485701E-3</v>
      </c>
      <c r="P715" s="522">
        <f xml:space="preserve"> IF(MHDV_Inputs!$B$3=1,P616,IF(MHDV_Inputs!$B$3=2,P648,P680))</f>
        <v>0</v>
      </c>
      <c r="Q715" s="159">
        <f xml:space="preserve"> IF(MHDV_Inputs!$B$3=1,Q616,IF(MHDV_Inputs!$B$3=2,Q648,Q680))</f>
        <v>9.9685589208043622E-3</v>
      </c>
      <c r="R715" s="8"/>
      <c r="S715" s="160" t="s">
        <v>2328</v>
      </c>
      <c r="T715" s="650">
        <f xml:space="preserve"> IF(MHDV_Inputs!$B$3=1,T616,IF(MHDV_Inputs!$B$3=2,T648,T680))</f>
        <v>1.8092358546584826E-3</v>
      </c>
      <c r="U715" s="522">
        <f xml:space="preserve"> IF(MHDV_Inputs!$B$3=1,U616,IF(MHDV_Inputs!$B$3=2,U648,U680))</f>
        <v>3.5189810821818775E-2</v>
      </c>
      <c r="V715" s="522">
        <f xml:space="preserve"> IF(MHDV_Inputs!$B$3=1,V616,IF(MHDV_Inputs!$B$3=2,V648,V680))</f>
        <v>0</v>
      </c>
      <c r="W715" s="159">
        <f xml:space="preserve"> IF(MHDV_Inputs!$B$3=1,W616,IF(MHDV_Inputs!$B$3=2,W648,W680))</f>
        <v>3.6999046676477257E-2</v>
      </c>
      <c r="X715" s="8"/>
      <c r="Y715" s="8"/>
    </row>
    <row r="716" spans="1:25">
      <c r="A716" s="160" t="s">
        <v>896</v>
      </c>
      <c r="B716" s="650">
        <f xml:space="preserve"> IF(MHDV_Inputs!$B$3=1,B617,IF(MHDV_Inputs!$B$3=2,B649,B681))</f>
        <v>7.3226733853099497E-5</v>
      </c>
      <c r="C716" s="522">
        <f xml:space="preserve"> IF(MHDV_Inputs!$B$3=1,C617,IF(MHDV_Inputs!$B$3=2,C649,C681))</f>
        <v>9.1375647829370038E-4</v>
      </c>
      <c r="D716" s="522">
        <f xml:space="preserve"> IF(MHDV_Inputs!$B$3=1,D617,IF(MHDV_Inputs!$B$3=2,D649,D681))</f>
        <v>1.0675464239595823E-4</v>
      </c>
      <c r="E716" s="159">
        <f xml:space="preserve"> IF(MHDV_Inputs!$B$3=1,E617,IF(MHDV_Inputs!$B$3=2,E649,E681))</f>
        <v>1.093737854542758E-3</v>
      </c>
      <c r="F716" s="8"/>
      <c r="G716" s="160" t="s">
        <v>896</v>
      </c>
      <c r="H716" s="650">
        <f xml:space="preserve"> IF(MHDV_Inputs!$B$3=1,H617,IF(MHDV_Inputs!$B$3=2,H649,H681))</f>
        <v>7.1582146529108854E-5</v>
      </c>
      <c r="I716" s="522">
        <f xml:space="preserve"> IF(MHDV_Inputs!$B$3=1,I617,IF(MHDV_Inputs!$B$3=2,I649,I681))</f>
        <v>8.9323456993669486E-4</v>
      </c>
      <c r="J716" s="522">
        <f xml:space="preserve"> IF(MHDV_Inputs!$B$3=1,J617,IF(MHDV_Inputs!$B$3=2,J649,J681))</f>
        <v>1.0675464239595823E-4</v>
      </c>
      <c r="K716" s="159">
        <f xml:space="preserve"> IF(MHDV_Inputs!$B$3=1,K617,IF(MHDV_Inputs!$B$3=2,K649,K681))</f>
        <v>1.071571358861762E-3</v>
      </c>
      <c r="L716" s="8"/>
      <c r="M716" s="160" t="s">
        <v>896</v>
      </c>
      <c r="N716" s="650">
        <f xml:space="preserve"> IF(MHDV_Inputs!$B$3=1,N617,IF(MHDV_Inputs!$B$3=2,N649,N681))</f>
        <v>3.7084081997899857E-5</v>
      </c>
      <c r="O716" s="522">
        <f xml:space="preserve"> IF(MHDV_Inputs!$B$3=1,O617,IF(MHDV_Inputs!$B$3=2,O649,O681))</f>
        <v>4.6918440262054252E-4</v>
      </c>
      <c r="P716" s="522">
        <f xml:space="preserve"> IF(MHDV_Inputs!$B$3=1,P617,IF(MHDV_Inputs!$B$3=2,P649,P681))</f>
        <v>7.8458466477519264E-5</v>
      </c>
      <c r="Q716" s="159">
        <f xml:space="preserve"> IF(MHDV_Inputs!$B$3=1,Q617,IF(MHDV_Inputs!$B$3=2,Q649,Q681))</f>
        <v>5.8472695109596168E-4</v>
      </c>
      <c r="R716" s="8"/>
      <c r="S716" s="160" t="s">
        <v>896</v>
      </c>
      <c r="T716" s="650">
        <f xml:space="preserve"> IF(MHDV_Inputs!$B$3=1,T617,IF(MHDV_Inputs!$B$3=2,T649,T681))</f>
        <v>1.8580554713793334E-5</v>
      </c>
      <c r="U716" s="522">
        <f xml:space="preserve"> IF(MHDV_Inputs!$B$3=1,U617,IF(MHDV_Inputs!$B$3=2,U649,U681))</f>
        <v>1.1262629652584713E-3</v>
      </c>
      <c r="V716" s="522">
        <f xml:space="preserve"> IF(MHDV_Inputs!$B$3=1,V617,IF(MHDV_Inputs!$B$3=2,V649,V681))</f>
        <v>7.8458466477519264E-5</v>
      </c>
      <c r="W716" s="159">
        <f xml:space="preserve"> IF(MHDV_Inputs!$B$3=1,W617,IF(MHDV_Inputs!$B$3=2,W649,W681))</f>
        <v>1.2233019864497838E-3</v>
      </c>
      <c r="X716" s="8"/>
      <c r="Y716" s="8"/>
    </row>
    <row r="717" spans="1:25">
      <c r="A717" s="161" t="s">
        <v>897</v>
      </c>
      <c r="B717" s="137">
        <f xml:space="preserve"> IF(MHDV_Inputs!$B$3=1,B618,IF(MHDV_Inputs!$B$3=2,B650,B682))</f>
        <v>2.1916635454058924E-4</v>
      </c>
      <c r="C717" s="138">
        <f xml:space="preserve"> IF(MHDV_Inputs!$B$3=1,C618,IF(MHDV_Inputs!$B$3=2,C650,C682))</f>
        <v>1.1779440468129613E-3</v>
      </c>
      <c r="D717" s="138">
        <f xml:space="preserve"> IF(MHDV_Inputs!$B$3=1,D618,IF(MHDV_Inputs!$B$3=2,D650,D682))</f>
        <v>1.5663915764906077E-4</v>
      </c>
      <c r="E717" s="139">
        <f xml:space="preserve"> IF(MHDV_Inputs!$B$3=1,E618,IF(MHDV_Inputs!$B$3=2,E650,E682))</f>
        <v>1.5537495590026112E-3</v>
      </c>
      <c r="F717" s="8"/>
      <c r="G717" s="161" t="s">
        <v>897</v>
      </c>
      <c r="H717" s="137">
        <f xml:space="preserve"> IF(MHDV_Inputs!$B$3=1,H618,IF(MHDV_Inputs!$B$3=2,H650,H682))</f>
        <v>2.142441329753646E-4</v>
      </c>
      <c r="I717" s="138">
        <f xml:space="preserve"> IF(MHDV_Inputs!$B$3=1,I618,IF(MHDV_Inputs!$B$3=2,I650,I682))</f>
        <v>1.15148879275718E-3</v>
      </c>
      <c r="J717" s="138">
        <f xml:space="preserve"> IF(MHDV_Inputs!$B$3=1,J618,IF(MHDV_Inputs!$B$3=2,J650,J682))</f>
        <v>1.5663915764906077E-4</v>
      </c>
      <c r="K717" s="139">
        <f xml:space="preserve"> IF(MHDV_Inputs!$B$3=1,K618,IF(MHDV_Inputs!$B$3=2,K650,K682))</f>
        <v>1.5223720833816054E-3</v>
      </c>
      <c r="L717" s="8"/>
      <c r="M717" s="161" t="s">
        <v>897</v>
      </c>
      <c r="N717" s="137">
        <f xml:space="preserve"> IF(MHDV_Inputs!$B$3=1,N618,IF(MHDV_Inputs!$B$3=2,N650,N682))</f>
        <v>7.35057983451797E-5</v>
      </c>
      <c r="O717" s="138">
        <f xml:space="preserve"> IF(MHDV_Inputs!$B$3=1,O618,IF(MHDV_Inputs!$B$3=2,O650,O682))</f>
        <v>1.1001565302826515E-2</v>
      </c>
      <c r="P717" s="138">
        <f xml:space="preserve"> IF(MHDV_Inputs!$B$3=1,P618,IF(MHDV_Inputs!$B$3=2,P650,P682))</f>
        <v>1.0406126222313449E-4</v>
      </c>
      <c r="Q717" s="139">
        <f xml:space="preserve"> IF(MHDV_Inputs!$B$3=1,Q618,IF(MHDV_Inputs!$B$3=2,Q650,Q682))</f>
        <v>1.1179132363394829E-2</v>
      </c>
      <c r="R717" s="8"/>
      <c r="S717" s="161" t="s">
        <v>897</v>
      </c>
      <c r="T717" s="137">
        <f xml:space="preserve"> IF(MHDV_Inputs!$B$3=1,T618,IF(MHDV_Inputs!$B$3=2,T650,T682))</f>
        <v>3.478424117792933E-5</v>
      </c>
      <c r="U717" s="138">
        <f xml:space="preserve"> IF(MHDV_Inputs!$B$3=1,U618,IF(MHDV_Inputs!$B$3=2,U650,U682))</f>
        <v>3.5311025792709809E-3</v>
      </c>
      <c r="V717" s="138">
        <f xml:space="preserve"> IF(MHDV_Inputs!$B$3=1,V618,IF(MHDV_Inputs!$B$3=2,V650,V682))</f>
        <v>1.0406126222313449E-4</v>
      </c>
      <c r="W717" s="139">
        <f xml:space="preserve"> IF(MHDV_Inputs!$B$3=1,W618,IF(MHDV_Inputs!$B$3=2,W650,W682))</f>
        <v>3.6699480826720447E-3</v>
      </c>
      <c r="X717" s="8"/>
      <c r="Y717" s="8"/>
    </row>
    <row r="718" spans="1:25">
      <c r="A718" s="8"/>
      <c r="B718" s="8"/>
      <c r="C718" s="8"/>
      <c r="D718" s="8"/>
      <c r="E718" s="8"/>
      <c r="F718" s="8"/>
      <c r="G718" s="8"/>
      <c r="H718" s="8"/>
      <c r="I718" s="8"/>
      <c r="J718" s="8"/>
      <c r="K718" s="8"/>
      <c r="L718" s="8"/>
      <c r="M718" s="8"/>
      <c r="N718" s="8"/>
      <c r="O718" s="8"/>
      <c r="P718" s="8"/>
      <c r="Q718" s="8"/>
      <c r="R718" s="8"/>
      <c r="S718" s="8"/>
      <c r="T718" s="8"/>
      <c r="U718" s="8"/>
      <c r="V718" s="8"/>
      <c r="W718" s="8"/>
      <c r="X718" s="8"/>
      <c r="Y718" s="8"/>
    </row>
    <row r="719" spans="1:25">
      <c r="A719" s="63" t="s">
        <v>2663</v>
      </c>
      <c r="B719" s="8"/>
      <c r="C719" s="8"/>
      <c r="D719" s="8"/>
      <c r="E719" s="8"/>
      <c r="F719" s="8"/>
      <c r="G719" s="8"/>
      <c r="H719" s="8"/>
      <c r="I719" s="8"/>
      <c r="J719" s="8"/>
      <c r="K719" s="8"/>
      <c r="L719" s="8"/>
      <c r="M719" s="8"/>
      <c r="N719" s="8"/>
      <c r="O719" s="8"/>
      <c r="P719" s="8"/>
      <c r="Q719" s="8"/>
      <c r="R719" s="8"/>
      <c r="S719" s="8"/>
      <c r="T719" s="8"/>
      <c r="U719" s="8"/>
      <c r="V719" s="8"/>
      <c r="W719" s="8"/>
      <c r="X719" s="8"/>
      <c r="Y719" s="8"/>
    </row>
    <row r="720" spans="1:25">
      <c r="A720" s="1355"/>
      <c r="B720" s="1427" t="s">
        <v>2664</v>
      </c>
      <c r="C720" s="1427" t="s">
        <v>2665</v>
      </c>
      <c r="D720" s="1210" t="s">
        <v>2666</v>
      </c>
      <c r="E720" s="8"/>
      <c r="F720" s="8"/>
      <c r="G720" s="8"/>
      <c r="H720" s="8"/>
      <c r="I720" s="8"/>
      <c r="J720" s="8"/>
      <c r="K720" s="8"/>
      <c r="L720" s="8"/>
      <c r="M720" s="8"/>
      <c r="N720" s="8"/>
      <c r="O720" s="8"/>
      <c r="P720" s="8"/>
      <c r="Q720" s="8"/>
      <c r="R720" s="8"/>
      <c r="S720" s="8"/>
      <c r="T720" s="8"/>
      <c r="U720" s="8"/>
      <c r="V720" s="8"/>
      <c r="W720" s="8"/>
      <c r="X720" s="8"/>
      <c r="Y720" s="8"/>
    </row>
    <row r="721" spans="1:25">
      <c r="A721" s="490" t="s">
        <v>2667</v>
      </c>
      <c r="B721" s="8">
        <f xml:space="preserve"> [1]HDV_TS!X10</f>
        <v>2020</v>
      </c>
      <c r="C721" s="8">
        <f xml:space="preserve"> [1]HDV_TS!X8</f>
        <v>2020</v>
      </c>
      <c r="D721" s="140">
        <f xml:space="preserve"> [1]HDV_TS!X7</f>
        <v>2020</v>
      </c>
      <c r="E721" s="8"/>
      <c r="F721" s="8"/>
      <c r="G721" s="8"/>
      <c r="H721" s="8"/>
      <c r="I721" s="8"/>
      <c r="J721" s="8"/>
      <c r="K721" s="8"/>
      <c r="L721" s="8"/>
      <c r="M721" s="8"/>
      <c r="N721" s="8"/>
      <c r="O721" s="8"/>
      <c r="P721" s="8"/>
      <c r="Q721" s="8"/>
      <c r="R721" s="8"/>
      <c r="S721" s="8"/>
      <c r="T721" s="8"/>
      <c r="U721" s="8"/>
      <c r="V721" s="8"/>
      <c r="W721" s="8"/>
      <c r="X721" s="8"/>
      <c r="Y721" s="8"/>
    </row>
    <row r="722" spans="1:25">
      <c r="A722" s="490" t="s">
        <v>2668</v>
      </c>
      <c r="B722" s="2739">
        <f xml:space="preserve"> [1]HDV_TS!$C$618</f>
        <v>6.4693024928784704</v>
      </c>
      <c r="C722" s="2739">
        <f xml:space="preserve"> [1]HDV_TS!$C$262</f>
        <v>4.4534195626357791</v>
      </c>
      <c r="D722" s="2740">
        <f xml:space="preserve"> [1]HDV_TS!$C$4</f>
        <v>7.1680275339863702</v>
      </c>
      <c r="E722" s="8"/>
      <c r="F722" s="8"/>
      <c r="G722" s="8"/>
      <c r="H722" s="8"/>
      <c r="I722" s="8"/>
      <c r="J722" s="8"/>
      <c r="K722" s="8"/>
      <c r="L722" s="8"/>
      <c r="M722" s="8"/>
      <c r="N722" s="8"/>
      <c r="O722" s="8"/>
      <c r="P722" s="8"/>
      <c r="Q722" s="8"/>
      <c r="R722" s="8"/>
      <c r="S722" s="8"/>
      <c r="T722" s="8"/>
      <c r="U722" s="8"/>
      <c r="V722" s="8"/>
      <c r="W722" s="8"/>
      <c r="X722" s="8"/>
      <c r="Y722" s="8"/>
    </row>
    <row r="723" spans="1:25">
      <c r="A723" s="490" t="s">
        <v>2669</v>
      </c>
      <c r="B723" s="2739">
        <f xml:space="preserve"> [1]HDV_TS!$C$618*[1]HDV_TS!$C$699</f>
        <v>9.9023014715033817</v>
      </c>
      <c r="C723" s="2739">
        <f xml:space="preserve"> [1]HDV_TS!$C$262*[1]HDV_TS!$C$407</f>
        <v>6.3516605586476302</v>
      </c>
      <c r="D723" s="2740">
        <f xml:space="preserve"> [1]HDV_TS!$C$4*[1]HDV_TS!$C$149</f>
        <v>7.3327117156155985</v>
      </c>
      <c r="E723" s="63"/>
      <c r="F723" s="8"/>
      <c r="G723" s="8"/>
      <c r="H723" s="8"/>
      <c r="I723" s="8"/>
      <c r="J723" s="8"/>
      <c r="K723" s="8"/>
      <c r="L723" s="8"/>
      <c r="M723" s="8"/>
      <c r="N723" s="8"/>
      <c r="O723" s="8"/>
      <c r="P723" s="8"/>
      <c r="Q723" s="8"/>
      <c r="R723" s="8"/>
      <c r="S723" s="8"/>
      <c r="T723" s="8"/>
      <c r="U723" s="8"/>
      <c r="V723" s="8"/>
      <c r="W723" s="8"/>
      <c r="X723" s="8"/>
      <c r="Y723" s="8"/>
    </row>
    <row r="724" spans="1:25">
      <c r="A724" s="490" t="s">
        <v>2670</v>
      </c>
      <c r="B724" s="2739">
        <f xml:space="preserve"> [1]HDV_TS!$C$618*[1]HDV_TS!$C$763</f>
        <v>30.654215131061225</v>
      </c>
      <c r="C724" s="2739">
        <f xml:space="preserve"> [1]HDV_TS!$C$262*[1]HDV_TS!$C$375</f>
        <v>16.777138369605467</v>
      </c>
      <c r="D724" s="2740">
        <f xml:space="preserve"> [1]HDV_TS!$C$4*[1]HDV_TS!$C$101</f>
        <v>14.98101582091042</v>
      </c>
      <c r="E724" s="8"/>
      <c r="F724" s="8"/>
      <c r="G724" s="8"/>
      <c r="H724" s="8"/>
      <c r="I724" s="8"/>
      <c r="J724" s="8"/>
      <c r="K724" s="8"/>
      <c r="L724" s="8"/>
    </row>
    <row r="725" spans="1:25">
      <c r="A725" s="647" t="s">
        <v>2671</v>
      </c>
      <c r="B725" s="2741">
        <f xml:space="preserve"> [1]HDV_TS!$C$618*[1]HDV_TS!$C$779</f>
        <v>16.284746531533894</v>
      </c>
      <c r="C725" s="2741">
        <f xml:space="preserve"> [1]HDV_TS!$C$262*[1]HDV_TS!$C$391</f>
        <v>7.0135924891582153</v>
      </c>
      <c r="D725" s="2745">
        <f xml:space="preserve"> [1]HDV_TS!$C$4*[1]HDV_TS!$C$165</f>
        <v>7.9052111078944778</v>
      </c>
      <c r="E725" s="8"/>
      <c r="F725" s="8"/>
      <c r="G725" s="8"/>
      <c r="H725" s="8"/>
      <c r="I725" s="8"/>
      <c r="J725" s="8"/>
      <c r="K725" s="8"/>
      <c r="L725" s="8"/>
    </row>
    <row r="726" spans="1:25">
      <c r="A726" s="8"/>
      <c r="B726" s="8"/>
      <c r="C726" s="8"/>
      <c r="D726" s="8"/>
      <c r="E726" s="8"/>
      <c r="F726" s="8"/>
      <c r="G726" s="8"/>
      <c r="H726" s="8"/>
      <c r="I726" s="8"/>
      <c r="J726" s="8"/>
      <c r="K726" s="8"/>
      <c r="L726" s="8"/>
    </row>
    <row r="727" spans="1:25">
      <c r="A727" s="8"/>
      <c r="B727" s="8"/>
      <c r="C727" s="8"/>
      <c r="D727" s="8"/>
      <c r="E727" s="8"/>
      <c r="F727" s="8"/>
    </row>
    <row r="728" spans="1:25">
      <c r="A728" s="8"/>
      <c r="B728" s="8"/>
      <c r="C728" s="8"/>
      <c r="D728" s="8"/>
      <c r="E728" s="8"/>
      <c r="F728" s="8"/>
    </row>
    <row r="729" spans="1:25">
      <c r="A729" s="8"/>
      <c r="B729" s="8"/>
      <c r="C729" s="8"/>
      <c r="D729" s="8"/>
      <c r="E729" s="8"/>
      <c r="F729" s="8"/>
    </row>
    <row r="730" spans="1:25">
      <c r="A730" s="8"/>
      <c r="B730" s="8"/>
      <c r="C730" s="8"/>
      <c r="D730" s="8"/>
      <c r="E730" s="8"/>
      <c r="F730" s="8"/>
    </row>
    <row r="731" spans="1:25">
      <c r="A731" s="8"/>
      <c r="B731" s="8"/>
      <c r="C731" s="8"/>
      <c r="D731" s="8"/>
      <c r="E731" s="8"/>
      <c r="F731" s="8"/>
    </row>
  </sheetData>
  <mergeCells count="29">
    <mergeCell ref="AL307:AM307"/>
    <mergeCell ref="AN307:AO307"/>
    <mergeCell ref="C409:E409"/>
    <mergeCell ref="G458:H458"/>
    <mergeCell ref="X307:Y307"/>
    <mergeCell ref="Z307:AA307"/>
    <mergeCell ref="AB307:AC307"/>
    <mergeCell ref="AD307:AE307"/>
    <mergeCell ref="AF307:AG307"/>
    <mergeCell ref="AH307:AI307"/>
    <mergeCell ref="L307:M307"/>
    <mergeCell ref="N307:O307"/>
    <mergeCell ref="P307:Q307"/>
    <mergeCell ref="R307:S307"/>
    <mergeCell ref="T307:U307"/>
    <mergeCell ref="V307:W307"/>
    <mergeCell ref="B23:D23"/>
    <mergeCell ref="AD70:AH70"/>
    <mergeCell ref="B282:C282"/>
    <mergeCell ref="D282:E282"/>
    <mergeCell ref="AH306:AK306"/>
    <mergeCell ref="N213:N214"/>
    <mergeCell ref="D247:E247"/>
    <mergeCell ref="AJ307:AK307"/>
    <mergeCell ref="B307:C307"/>
    <mergeCell ref="D307:E307"/>
    <mergeCell ref="F307:G307"/>
    <mergeCell ref="H307:I307"/>
    <mergeCell ref="J307:K307"/>
  </mergeCells>
  <pageMargins left="0.75" right="0.75" top="1" bottom="1" header="0.5" footer="0.5"/>
  <pageSetup orientation="portrait" horizontalDpi="4294967292" r:id="rId1"/>
  <headerFooter alignWithMargins="0">
    <oddHeader>&amp;A</oddHeader>
    <oddFooter>Page &amp;P</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0"/>
  <dimension ref="A1:V162"/>
  <sheetViews>
    <sheetView showGridLines="0" zoomScale="85" zoomScaleNormal="85" workbookViewId="0">
      <selection activeCell="C98" sqref="C98"/>
    </sheetView>
  </sheetViews>
  <sheetFormatPr defaultColWidth="9.140625" defaultRowHeight="12.75"/>
  <cols>
    <col min="1" max="1" width="1.7109375" style="8" customWidth="1"/>
    <col min="2" max="2" width="24.85546875" style="8" customWidth="1"/>
    <col min="3" max="3" width="14.42578125" style="8" customWidth="1"/>
    <col min="4" max="4" width="18.42578125" style="8" customWidth="1"/>
    <col min="5" max="5" width="14.140625" style="8" customWidth="1"/>
    <col min="6" max="6" width="19.85546875" style="8" bestFit="1" customWidth="1"/>
    <col min="7" max="7" width="13.42578125" style="8" customWidth="1"/>
    <col min="8" max="8" width="14" style="8" customWidth="1"/>
    <col min="9" max="9" width="11.7109375" style="8" customWidth="1"/>
    <col min="10" max="10" width="11.42578125" style="8" customWidth="1"/>
    <col min="11" max="11" width="12.7109375" style="8" customWidth="1"/>
    <col min="12" max="12" width="10.7109375" style="8" customWidth="1"/>
    <col min="13" max="17" width="9.140625" style="8"/>
    <col min="18" max="18" width="12.140625" style="8" bestFit="1" customWidth="1"/>
    <col min="19" max="19" width="14.42578125" style="8" bestFit="1" customWidth="1"/>
    <col min="20" max="16384" width="9.140625" style="8"/>
  </cols>
  <sheetData>
    <row r="1" spans="1:3" ht="15.75">
      <c r="A1" s="133" t="s">
        <v>128</v>
      </c>
    </row>
    <row r="2" spans="1:3" ht="15">
      <c r="A2" s="134" t="s">
        <v>129</v>
      </c>
    </row>
    <row r="3" spans="1:3">
      <c r="B3" s="1609">
        <f>GREET1_Import_Export!B4</f>
        <v>1</v>
      </c>
      <c r="C3" s="8" t="s">
        <v>130</v>
      </c>
    </row>
    <row r="4" spans="1:3">
      <c r="C4" s="8" t="s">
        <v>131</v>
      </c>
    </row>
    <row r="5" spans="1:3">
      <c r="C5" s="8" t="s">
        <v>132</v>
      </c>
    </row>
    <row r="7" spans="1:3">
      <c r="B7" s="521" t="s">
        <v>133</v>
      </c>
    </row>
    <row r="8" spans="1:3">
      <c r="B8" s="1610">
        <v>1</v>
      </c>
      <c r="C8" s="521" t="s">
        <v>134</v>
      </c>
    </row>
    <row r="9" spans="1:3">
      <c r="C9" s="521" t="s">
        <v>135</v>
      </c>
    </row>
    <row r="10" spans="1:3">
      <c r="B10" s="521" t="s">
        <v>136</v>
      </c>
    </row>
    <row r="11" spans="1:3">
      <c r="B11" s="1610">
        <v>1</v>
      </c>
      <c r="C11" s="1183" t="s">
        <v>137</v>
      </c>
    </row>
    <row r="13" spans="1:3">
      <c r="B13" s="521" t="s">
        <v>138</v>
      </c>
    </row>
    <row r="14" spans="1:3">
      <c r="B14" s="1610">
        <v>1</v>
      </c>
      <c r="C14" s="521" t="s">
        <v>139</v>
      </c>
    </row>
    <row r="16" spans="1:3" ht="15">
      <c r="A16" s="134" t="s">
        <v>140</v>
      </c>
    </row>
    <row r="17" spans="1:12" ht="38.25">
      <c r="C17" s="1173" t="s">
        <v>141</v>
      </c>
      <c r="D17" s="1421" t="s">
        <v>142</v>
      </c>
      <c r="E17" s="1421" t="s">
        <v>143</v>
      </c>
      <c r="F17" s="1421" t="s">
        <v>144</v>
      </c>
      <c r="G17" s="1421" t="s">
        <v>145</v>
      </c>
      <c r="H17" s="1421" t="s">
        <v>146</v>
      </c>
      <c r="I17" s="1421" t="s">
        <v>147</v>
      </c>
      <c r="J17" s="1421" t="s">
        <v>148</v>
      </c>
      <c r="K17" s="1421" t="s">
        <v>149</v>
      </c>
      <c r="L17" s="1174" t="s">
        <v>150</v>
      </c>
    </row>
    <row r="18" spans="1:12">
      <c r="C18" s="137">
        <f>IF($B$3=1,Car!C$6,IF($B$3=2,SUV!C$6,PUT!C$6))</f>
        <v>3089.4023312605541</v>
      </c>
      <c r="D18" s="138">
        <f>IF($B$3=1,Car!D$6,IF($B$3=2,SUV!D$6,PUT!D$6))</f>
        <v>2692.4687400000003</v>
      </c>
      <c r="E18" s="138">
        <f>IF($B$3=1,Car!E$6,IF($B$3=2,SUV!E$6,PUT!E$6))</f>
        <v>3301.3663401316394</v>
      </c>
      <c r="F18" s="138">
        <f>IF($B$3=1,Car!F$6,IF($B$3=2,SUV!F$6,PUT!F$6))</f>
        <v>2838.7506116</v>
      </c>
      <c r="G18" s="138">
        <f>IF($B$3=1,Car!G$6,IF($B$3=2,SUV!G$6,PUT!G$6))</f>
        <v>3312.84774246604</v>
      </c>
      <c r="H18" s="138">
        <f>IF($B$3=1,Car!H$6,IF($B$3=2,SUV!H$6,PUT!H$6))</f>
        <v>2866.8360539961423</v>
      </c>
      <c r="I18" s="138">
        <f>IF($B$3=1,Car!I$6,IF($B$3=2,SUV!I$6,PUT!I$6))</f>
        <v>3505.3403677472616</v>
      </c>
      <c r="J18" s="138">
        <f>IF($B$3=1,Car!J$6,IF($B$3=2,SUV!J$6,PUT!J$6))</f>
        <v>3051.8724745647169</v>
      </c>
      <c r="K18" s="138">
        <f>IF($B$3=1,Car!K$6,IF($B$3=2,SUV!K$6,PUT!K$6))</f>
        <v>3123.4073298971234</v>
      </c>
      <c r="L18" s="139">
        <f>IF($B$3=1,Car!L$6,IF($B$3=2,SUV!L$6,PUT!L$6))</f>
        <v>2930.3226395000002</v>
      </c>
    </row>
    <row r="20" spans="1:12" ht="15">
      <c r="A20" s="134" t="s">
        <v>151</v>
      </c>
    </row>
    <row r="21" spans="1:12">
      <c r="A21" s="63" t="s">
        <v>152</v>
      </c>
    </row>
    <row r="22" spans="1:12" ht="38.25">
      <c r="B22" s="1611"/>
      <c r="C22" s="1421" t="s">
        <v>141</v>
      </c>
      <c r="D22" s="1421" t="s">
        <v>142</v>
      </c>
      <c r="E22" s="1421" t="s">
        <v>143</v>
      </c>
      <c r="F22" s="1421" t="s">
        <v>144</v>
      </c>
      <c r="G22" s="1421" t="s">
        <v>145</v>
      </c>
      <c r="H22" s="1421" t="s">
        <v>146</v>
      </c>
      <c r="I22" s="1421" t="s">
        <v>147</v>
      </c>
      <c r="J22" s="1421" t="s">
        <v>148</v>
      </c>
      <c r="K22" s="1421" t="s">
        <v>149</v>
      </c>
      <c r="L22" s="1174" t="s">
        <v>150</v>
      </c>
    </row>
    <row r="23" spans="1:12">
      <c r="B23" s="141" t="s">
        <v>153</v>
      </c>
      <c r="C23" s="143">
        <f>IF($B$3=1,Car!C$17,IF($B$3=2,SUV!C$17,PUT!C$17))</f>
        <v>36</v>
      </c>
      <c r="D23" s="143">
        <f>IF($B$3=1,Car!D$17,IF($B$3=2,SUV!D$17,PUT!D$17))</f>
        <v>23.400000000000002</v>
      </c>
      <c r="E23" s="143">
        <f>IF($B$3=1,Car!E$17,IF($B$3=2,SUV!E$17,PUT!E$17))</f>
        <v>22.1</v>
      </c>
      <c r="F23" s="143">
        <f>IF($B$3=1,Car!F$17,IF($B$3=2,SUV!F$17,PUT!F$17))</f>
        <v>14.365000000000002</v>
      </c>
      <c r="G23" s="143">
        <f>IF($B$3=1,Car!G$17,IF($B$3=2,SUV!G$17,PUT!G$17))</f>
        <v>22.1</v>
      </c>
      <c r="H23" s="143">
        <f>IF($B$3=1,Car!H$17,IF($B$3=2,SUV!H$17,PUT!H$17))</f>
        <v>14.365000000000002</v>
      </c>
      <c r="I23" s="143">
        <f>IF($B$3=1,Car!I$17,IF($B$3=2,SUV!I$17,PUT!I$17))</f>
        <v>22.1</v>
      </c>
      <c r="J23" s="143">
        <f>IF($B$3=1,Car!J$17,IF($B$3=2,SUV!J$17,PUT!J$17))</f>
        <v>14.365000000000002</v>
      </c>
      <c r="K23" s="143">
        <f>IF($B$3=1,Car!K$17,IF($B$3=2,SUV!K$17,PUT!K$17))</f>
        <v>22.1</v>
      </c>
      <c r="L23" s="144">
        <f>IF($B$3=1,Car!L$17,IF($B$3=2,SUV!L$17,PUT!L$17))</f>
        <v>14.365000000000002</v>
      </c>
    </row>
    <row r="24" spans="1:12">
      <c r="B24" s="141" t="s">
        <v>154</v>
      </c>
      <c r="C24" s="143"/>
      <c r="D24" s="143"/>
      <c r="E24" s="143">
        <f>IF($B$3=1,Car!E$18,IF($B$3=2,SUV!E$18,PUT!E$18))</f>
        <v>109.01900991310001</v>
      </c>
      <c r="F24" s="143">
        <f>IF($B$3=1,Car!F$18,IF($B$3=2,SUV!F$18,PUT!F$18))</f>
        <v>75.278271600000011</v>
      </c>
      <c r="G24" s="143">
        <f>IF($B$3=1,Car!G$18,IF($B$3=2,SUV!G$18,PUT!G$18))</f>
        <v>339.82612861584903</v>
      </c>
      <c r="H24" s="143">
        <f>IF($B$3=1,Car!H$18,IF($B$3=2,SUV!H$18,PUT!H$18))</f>
        <v>270.30267830188683</v>
      </c>
      <c r="I24" s="143">
        <f>IF($B$3=1,Car!I$18,IF($B$3=2,SUV!I$18,PUT!I$18))</f>
        <v>2520.4026143187693</v>
      </c>
      <c r="J24" s="143">
        <f>IF($B$3=1,Car!J$18,IF($B$3=2,SUV!J$18,PUT!J$18))</f>
        <v>2162.3055969230768</v>
      </c>
      <c r="K24" s="143">
        <f>IF($B$3=1,Car!K$18,IF($B$3=2,SUV!K$18,PUT!K$18))</f>
        <v>99.93409251220001</v>
      </c>
      <c r="L24" s="144">
        <f>IF($B$3=1,Car!L$18,IF($B$3=2,SUV!L$18,PUT!L$18))</f>
        <v>94.097839500000006</v>
      </c>
    </row>
    <row r="25" spans="1:12">
      <c r="B25" s="142" t="s">
        <v>155</v>
      </c>
      <c r="C25" s="145"/>
      <c r="D25" s="145"/>
      <c r="E25" s="145">
        <f>IF($B$3=1,Car!E$19,IF($B$3=2,SUV!E$19,PUT!E$19))</f>
        <v>37.324386611559092</v>
      </c>
      <c r="F25" s="145">
        <f>IF($B$3=1,Car!F$19,IF($B$3=2,SUV!F$19,PUT!F$19))</f>
        <v>25.772709868563272</v>
      </c>
      <c r="G25" s="145">
        <f>IF($B$3=1,Car!G$19,IF($B$3=2,SUV!G$19,PUT!G$19))</f>
        <v>116.09116700380299</v>
      </c>
      <c r="H25" s="145">
        <f>IF($B$3=1,Car!H$19,IF($B$3=2,SUV!H$19,PUT!H$19))</f>
        <v>92.340613996142451</v>
      </c>
      <c r="I25" s="145">
        <f>IF($B$3=1,Car!I$19,IF($B$3=2,SUV!I$19,PUT!I$19))</f>
        <v>762.73605238587254</v>
      </c>
      <c r="J25" s="145">
        <f>IF($B$3=1,Car!J$19,IF($B$3=2,SUV!J$19,PUT!J$19))</f>
        <v>654.36705456471691</v>
      </c>
      <c r="K25" s="145">
        <f>IF($B$3=1,Car!K$19,IF($B$3=2,SUV!K$19,PUT!K$19))</f>
        <v>34.214021092044995</v>
      </c>
      <c r="L25" s="146">
        <f>IF($B$3=1,Car!L$19,IF($B$3=2,SUV!L$19,PUT!L$19))</f>
        <v>32.215887335704089</v>
      </c>
    </row>
    <row r="27" spans="1:12">
      <c r="A27" s="63" t="s">
        <v>156</v>
      </c>
    </row>
    <row r="28" spans="1:12" ht="25.5">
      <c r="A28" s="140"/>
      <c r="B28" s="1611"/>
      <c r="C28" s="1421" t="s">
        <v>157</v>
      </c>
      <c r="D28" s="1421" t="s">
        <v>158</v>
      </c>
      <c r="E28" s="1421" t="s">
        <v>159</v>
      </c>
      <c r="F28" s="1421" t="s">
        <v>160</v>
      </c>
      <c r="G28" s="1421" t="s">
        <v>161</v>
      </c>
      <c r="H28" s="1421" t="s">
        <v>162</v>
      </c>
      <c r="I28" s="1174" t="s">
        <v>163</v>
      </c>
    </row>
    <row r="29" spans="1:12">
      <c r="A29" s="140"/>
      <c r="B29" s="549" t="s">
        <v>141</v>
      </c>
      <c r="C29" s="143">
        <f>IF($B$3=1,Car!C$35,IF($B$3=2,SUV!C$35,PUT!C$35))</f>
        <v>8.5</v>
      </c>
      <c r="D29" s="143">
        <f>IF($B$3=1,Car!D$35,IF($B$3=2,SUV!D$35,PUT!D$35))</f>
        <v>0</v>
      </c>
      <c r="E29" s="143">
        <f>IF($B$3=1,Car!E$35,IF($B$3=2,SUV!E$35,PUT!E$35))</f>
        <v>2</v>
      </c>
      <c r="F29" s="143">
        <f>IF($B$3=1,Car!F$35,IF($B$3=2,SUV!F$35,PUT!F$35))</f>
        <v>24.039656900000001</v>
      </c>
      <c r="G29" s="143">
        <f>IF($B$3=1,Car!G$35,IF($B$3=2,SUV!G$35,PUT!G$35))</f>
        <v>23</v>
      </c>
      <c r="H29" s="143">
        <f>IF($B$3=1,Car!H$35,IF($B$3=2,SUV!H$35,PUT!H$35))</f>
        <v>6</v>
      </c>
      <c r="I29" s="144">
        <f>IF($B$3=1,Car!I$35,IF($B$3=2,SUV!I$35,PUT!I$35))</f>
        <v>30</v>
      </c>
    </row>
    <row r="30" spans="1:12">
      <c r="A30" s="140"/>
      <c r="B30" s="549" t="s">
        <v>164</v>
      </c>
      <c r="C30" s="143">
        <f>IF($B$3=1,Car!C$36,IF($B$3=2,SUV!C$36,PUT!C$36))</f>
        <v>8.5</v>
      </c>
      <c r="D30" s="143">
        <f>IF($B$3=1,Car!D$36,IF($B$3=2,SUV!D$36,PUT!D$36))</f>
        <v>0</v>
      </c>
      <c r="E30" s="143">
        <f>IF($B$3=1,Car!E$36,IF($B$3=2,SUV!E$36,PUT!E$36))</f>
        <v>2</v>
      </c>
      <c r="F30" s="143">
        <f>IF($B$3=1,Car!F$36,IF($B$3=2,SUV!F$36,PUT!F$36))</f>
        <v>24.039656900000001</v>
      </c>
      <c r="G30" s="143">
        <f>IF($B$3=1,Car!G$36,IF($B$3=2,SUV!G$36,PUT!G$36))</f>
        <v>23</v>
      </c>
      <c r="H30" s="143">
        <f>IF($B$3=1,Car!H$36,IF($B$3=2,SUV!H$36,PUT!H$36))</f>
        <v>6</v>
      </c>
      <c r="I30" s="144">
        <f>IF($B$3=1,Car!I$36,IF($B$3=2,SUV!I$36,PUT!I$36))</f>
        <v>30</v>
      </c>
    </row>
    <row r="31" spans="1:12">
      <c r="A31" s="140"/>
      <c r="B31" s="141" t="s">
        <v>165</v>
      </c>
      <c r="C31" s="143">
        <f>IF($B$3=1,Car!C$37,IF($B$3=2,SUV!C$37,PUT!C$37))</f>
        <v>8.5</v>
      </c>
      <c r="D31" s="143">
        <f>IF($B$3=1,Car!D$37,IF($B$3=2,SUV!D$37,PUT!D$37))</f>
        <v>0</v>
      </c>
      <c r="E31" s="143">
        <f>IF($B$3=1,Car!E$37,IF($B$3=2,SUV!E$37,PUT!E$37))</f>
        <v>2</v>
      </c>
      <c r="F31" s="143">
        <f>IF($B$3=1,Car!F$37,IF($B$3=2,SUV!F$37,PUT!F$37))</f>
        <v>1.8492043499999999</v>
      </c>
      <c r="G31" s="143">
        <f>IF($B$3=1,Car!G$37,IF($B$3=2,SUV!G$37,PUT!G$37))</f>
        <v>23</v>
      </c>
      <c r="H31" s="143">
        <f>IF($B$3=1,Car!H$37,IF($B$3=2,SUV!H$37,PUT!H$37))</f>
        <v>6</v>
      </c>
      <c r="I31" s="144">
        <f>IF($B$3=1,Car!I$37,IF($B$3=2,SUV!I$37,PUT!I$37))</f>
        <v>30</v>
      </c>
    </row>
    <row r="32" spans="1:12">
      <c r="A32" s="140"/>
      <c r="B32" s="141" t="s">
        <v>166</v>
      </c>
      <c r="C32" s="143">
        <f>IF($B$3=1,Car!C$38,IF($B$3=2,SUV!C$38,PUT!C$38))</f>
        <v>8.5</v>
      </c>
      <c r="D32" s="143">
        <f>IF($B$3=1,Car!D$38,IF($B$3=2,SUV!D$38,PUT!D$38))</f>
        <v>0</v>
      </c>
      <c r="E32" s="143">
        <f>IF($B$3=1,Car!E$38,IF($B$3=2,SUV!E$38,PUT!E$38))</f>
        <v>2</v>
      </c>
      <c r="F32" s="143">
        <f>IF($B$3=1,Car!F$38,IF($B$3=2,SUV!F$38,PUT!F$38))</f>
        <v>1.8492043499999999</v>
      </c>
      <c r="G32" s="143">
        <f>IF($B$3=1,Car!G$38,IF($B$3=2,SUV!G$38,PUT!G$38))</f>
        <v>23</v>
      </c>
      <c r="H32" s="143">
        <f>IF($B$3=1,Car!H$38,IF($B$3=2,SUV!H$38,PUT!H$38))</f>
        <v>6</v>
      </c>
      <c r="I32" s="144">
        <f>IF($B$3=1,Car!I$38,IF($B$3=2,SUV!I$38,PUT!I$38))</f>
        <v>30</v>
      </c>
    </row>
    <row r="33" spans="1:12">
      <c r="A33" s="140"/>
      <c r="B33" s="141" t="s">
        <v>167</v>
      </c>
      <c r="C33" s="143">
        <f>IF($B$3=1,Car!C$39,IF($B$3=2,SUV!C$39,PUT!C$39))</f>
        <v>0</v>
      </c>
      <c r="D33" s="143">
        <f>IF($B$3=1,Car!D$39,IF($B$3=2,SUV!D$39,PUT!D$39))</f>
        <v>0</v>
      </c>
      <c r="E33" s="143">
        <f>IF($B$3=1,Car!E$39,IF($B$3=2,SUV!E$39,PUT!E$39))</f>
        <v>2</v>
      </c>
      <c r="F33" s="143">
        <f>IF($B$3=1,Car!F$39,IF($B$3=2,SUV!F$39,PUT!F$39))</f>
        <v>1.8492043499999999</v>
      </c>
      <c r="G33" s="143">
        <f>IF($B$3=1,Car!G$39,IF($B$3=2,SUV!G$39,PUT!G$39))</f>
        <v>15.770998518800001</v>
      </c>
      <c r="H33" s="143">
        <f>IF($B$3=1,Car!H$39,IF($B$3=2,SUV!H$39,PUT!H$39))</f>
        <v>6</v>
      </c>
      <c r="I33" s="144">
        <f>IF($B$3=1,Car!I$39,IF($B$3=2,SUV!I$39,PUT!I$39))</f>
        <v>30</v>
      </c>
    </row>
    <row r="34" spans="1:12">
      <c r="A34" s="140"/>
      <c r="B34" s="142" t="s">
        <v>168</v>
      </c>
      <c r="C34" s="145">
        <f>IF($B$3=1,Car!C$40,IF($B$3=2,SUV!C$40,PUT!C$40))</f>
        <v>0</v>
      </c>
      <c r="D34" s="145">
        <f>IF($B$3=1,Car!D$40,IF($B$3=2,SUV!D$40,PUT!D$40))</f>
        <v>0</v>
      </c>
      <c r="E34" s="145">
        <f>IF($B$3=1,Car!E$40,IF($B$3=2,SUV!E$40,PUT!E$40))</f>
        <v>2</v>
      </c>
      <c r="F34" s="145">
        <f>IF($B$3=1,Car!F$40,IF($B$3=2,SUV!F$40,PUT!F$40))</f>
        <v>1.8492043499999999</v>
      </c>
      <c r="G34" s="145">
        <f>IF($B$3=1,Car!G$40,IF($B$3=2,SUV!G$40,PUT!G$40))</f>
        <v>15.770998518800001</v>
      </c>
      <c r="H34" s="145">
        <f>IF($B$3=1,Car!H$40,IF($B$3=2,SUV!H$40,PUT!H$40))</f>
        <v>6</v>
      </c>
      <c r="I34" s="146">
        <f>IF($B$3=1,Car!I$40,IF($B$3=2,SUV!I$40,PUT!I$40))</f>
        <v>30</v>
      </c>
    </row>
    <row r="36" spans="1:12" ht="15">
      <c r="A36" s="134" t="s">
        <v>169</v>
      </c>
    </row>
    <row r="37" spans="1:12">
      <c r="A37" s="63" t="s">
        <v>170</v>
      </c>
    </row>
    <row r="38" spans="1:12" ht="38.25">
      <c r="C38" s="1173" t="s">
        <v>141</v>
      </c>
      <c r="D38" s="1421" t="s">
        <v>142</v>
      </c>
      <c r="E38" s="1421" t="s">
        <v>143</v>
      </c>
      <c r="F38" s="1421" t="s">
        <v>144</v>
      </c>
      <c r="G38" s="1421" t="s">
        <v>145</v>
      </c>
      <c r="H38" s="1421" t="s">
        <v>146</v>
      </c>
      <c r="I38" s="1421" t="s">
        <v>147</v>
      </c>
      <c r="J38" s="1421" t="s">
        <v>148</v>
      </c>
      <c r="K38" s="1421" t="s">
        <v>149</v>
      </c>
      <c r="L38" s="1174" t="s">
        <v>150</v>
      </c>
    </row>
    <row r="39" spans="1:12">
      <c r="C39" s="137">
        <f>IF($B$3=1,Car!C$45,IF($B$3=2,SUV!C$45,PUT!C$45))</f>
        <v>2959.8626743605541</v>
      </c>
      <c r="D39" s="138">
        <f>IF($B$3=1,Car!D$45,IF($B$3=2,SUV!D$45,PUT!D$45))</f>
        <v>2575.5290831000002</v>
      </c>
      <c r="E39" s="138">
        <f>IF($B$3=1,Car!E$45,IF($B$3=2,SUV!E$45,PUT!E$45))</f>
        <v>3098.8981258685394</v>
      </c>
      <c r="F39" s="138">
        <f>IF($B$3=1,Car!F$45,IF($B$3=2,SUV!F$45,PUT!F$45))</f>
        <v>2677.75813565</v>
      </c>
      <c r="G39" s="138">
        <f>IF($B$3=1,Car!G$45,IF($B$3=2,SUV!G$45,PUT!G$45))</f>
        <v>3103.307371112237</v>
      </c>
      <c r="H39" s="138">
        <f>IF($B$3=1,Car!H$45,IF($B$3=2,SUV!H$45,PUT!H$45))</f>
        <v>2688.7812356499999</v>
      </c>
      <c r="I39" s="138">
        <f>IF($B$3=1,Car!I$45,IF($B$3=2,SUV!I$45,PUT!I$45))</f>
        <v>2664.8841124925889</v>
      </c>
      <c r="J39" s="138">
        <f>IF($B$3=1,Car!J$45,IF($B$3=2,SUV!J$45,PUT!J$45))</f>
        <v>2327.5202171311998</v>
      </c>
      <c r="K39" s="138">
        <f>IF($B$3=1,Car!K$45,IF($B$3=2,SUV!K$45,PUT!K$45))</f>
        <v>2945.7530345161235</v>
      </c>
      <c r="L39" s="139">
        <f>IF($B$3=1,Car!L$45,IF($B$3=2,SUV!L$45,PUT!L$45))</f>
        <v>2766.2395971312003</v>
      </c>
    </row>
    <row r="41" spans="1:12">
      <c r="A41" s="63" t="s">
        <v>171</v>
      </c>
    </row>
    <row r="42" spans="1:12">
      <c r="B42" s="147">
        <f>IF($B$3=1,Car!B$48,IF($B$3=2,SUV!B$48,PUT!B$48))</f>
        <v>86.575000000000003</v>
      </c>
      <c r="C42" s="8" t="s">
        <v>172</v>
      </c>
    </row>
    <row r="43" spans="1:12">
      <c r="B43" s="148">
        <f>IF($B$3=1,Car!B$49,IF($B$3=2,SUV!B$49,PUT!B$49))</f>
        <v>66</v>
      </c>
      <c r="C43" s="8" t="s">
        <v>173</v>
      </c>
    </row>
    <row r="45" spans="1:12">
      <c r="A45" s="63" t="s">
        <v>174</v>
      </c>
    </row>
    <row r="46" spans="1:12">
      <c r="B46" s="1612">
        <v>2.81</v>
      </c>
      <c r="C46" s="8" t="s">
        <v>175</v>
      </c>
    </row>
    <row r="48" spans="1:12">
      <c r="A48" s="63" t="s">
        <v>176</v>
      </c>
    </row>
    <row r="49" spans="1:12">
      <c r="B49" s="149">
        <f>$B$42*B46</f>
        <v>243.27575000000002</v>
      </c>
      <c r="C49" s="938" t="s">
        <v>177</v>
      </c>
    </row>
    <row r="50" spans="1:12">
      <c r="B50" s="150">
        <f>IF($B$3=1,Car!B53,IF($B$3=2,SUV!B53,PUT!B53))</f>
        <v>300</v>
      </c>
      <c r="C50" s="938" t="s">
        <v>178</v>
      </c>
    </row>
    <row r="51" spans="1:12">
      <c r="B51" s="150">
        <f>$B$43*B46</f>
        <v>185.46</v>
      </c>
      <c r="C51" s="938" t="s">
        <v>179</v>
      </c>
    </row>
    <row r="52" spans="1:12">
      <c r="B52" s="1100">
        <f>IF($B$3=1,Car!B55,IF($B$3=2,SUV!B55,PUT!B55))</f>
        <v>196</v>
      </c>
      <c r="C52" s="938" t="s">
        <v>180</v>
      </c>
    </row>
    <row r="54" spans="1:12">
      <c r="A54" s="63" t="s">
        <v>181</v>
      </c>
    </row>
    <row r="55" spans="1:12" ht="38.25">
      <c r="B55" s="1611"/>
      <c r="C55" s="1421" t="s">
        <v>141</v>
      </c>
      <c r="D55" s="1421" t="s">
        <v>142</v>
      </c>
      <c r="E55" s="1421" t="s">
        <v>143</v>
      </c>
      <c r="F55" s="1421" t="s">
        <v>144</v>
      </c>
      <c r="G55" s="1421" t="s">
        <v>145</v>
      </c>
      <c r="H55" s="1421" t="s">
        <v>146</v>
      </c>
      <c r="I55" s="1421" t="s">
        <v>147</v>
      </c>
      <c r="J55" s="1421" t="s">
        <v>148</v>
      </c>
      <c r="K55" s="1421" t="s">
        <v>149</v>
      </c>
      <c r="L55" s="1174" t="s">
        <v>150</v>
      </c>
    </row>
    <row r="56" spans="1:12">
      <c r="B56" s="141" t="s">
        <v>182</v>
      </c>
      <c r="C56" s="151">
        <f>IF($B$3=1,Car!C78,IF($B$3=2,SUV!C78,PUT!C78))</f>
        <v>0.15343673223141435</v>
      </c>
      <c r="D56" s="151">
        <f>IF($B$3=1,Car!D78,IF($B$3=2,SUV!D78,PUT!D78))</f>
        <v>0.28616405246234844</v>
      </c>
      <c r="E56" s="151">
        <f>IF($B$3=1,Car!E78,IF($B$3=2,SUV!E78,PUT!E78))</f>
        <v>0.22513089005235606</v>
      </c>
      <c r="F56" s="151">
        <f>IF($B$3=1,Car!F78,IF($B$3=2,SUV!F78,PUT!F78))</f>
        <v>0.2564410164565305</v>
      </c>
      <c r="G56" s="151">
        <f>IF($B$3=1,Car!G78,IF($B$3=2,SUV!G78,PUT!G78))</f>
        <v>0.22983981811668278</v>
      </c>
      <c r="H56" s="151">
        <f>IF($B$3=1,Car!H78,IF($B$3=2,SUV!H78,PUT!H78))</f>
        <v>0.25873756403418224</v>
      </c>
      <c r="I56" s="151">
        <f>IF($B$3=1,Car!I78,IF($B$3=2,SUV!I78,PUT!I78))</f>
        <v>4.5461302911814605E-2</v>
      </c>
      <c r="J56" s="151">
        <f>IF($B$3=1,Car!J78,IF($B$3=2,SUV!J78,PUT!J78))</f>
        <v>6.6029720728820074E-2</v>
      </c>
      <c r="K56" s="151">
        <f>IF($B$3=1,Car!K78,IF($B$3=2,SUV!K78,PUT!K78))</f>
        <v>8.2585249730536589E-2</v>
      </c>
      <c r="L56" s="152">
        <f>IF($B$3=1,Car!L78,IF($B$3=2,SUV!L78,PUT!L78))</f>
        <v>6.7044084031020329E-2</v>
      </c>
    </row>
    <row r="57" spans="1:12">
      <c r="B57" s="141" t="s">
        <v>183</v>
      </c>
      <c r="C57" s="151">
        <f>IF($B$3=1,Car!C79,IF($B$3=2,SUV!C79,PUT!C79))</f>
        <v>6.3105570480723405E-2</v>
      </c>
      <c r="D57" s="151">
        <f>IF($B$3=1,Car!D79,IF($B$3=2,SUV!D79,PUT!D79))</f>
        <v>6.1658062956724484E-2</v>
      </c>
      <c r="E57" s="151">
        <f>IF($B$3=1,Car!E79,IF($B$3=2,SUV!E79,PUT!E79))</f>
        <v>4.9892208192177392E-2</v>
      </c>
      <c r="F57" s="151">
        <f>IF($B$3=1,Car!F79,IF($B$3=2,SUV!F79,PUT!F79))</f>
        <v>5.9976770379984799E-2</v>
      </c>
      <c r="G57" s="151">
        <f>IF($B$3=1,Car!G79,IF($B$3=2,SUV!G79,PUT!G79))</f>
        <v>4.9629508737740163E-2</v>
      </c>
      <c r="H57" s="151">
        <f>IF($B$3=1,Car!H79,IF($B$3=2,SUV!H79,PUT!H79))</f>
        <v>5.9737911247593013E-2</v>
      </c>
      <c r="I57" s="151">
        <f>IF($B$3=1,Car!I79,IF($B$3=2,SUV!I79,PUT!I79))</f>
        <v>5.5890654199533756E-2</v>
      </c>
      <c r="J57" s="151">
        <f>IF($B$3=1,Car!J79,IF($B$3=2,SUV!J79,PUT!J79))</f>
        <v>6.9157304733175939E-2</v>
      </c>
      <c r="K57" s="151">
        <f>IF($B$3=1,Car!K79,IF($B$3=2,SUV!K79,PUT!K79))</f>
        <v>2.8134729281300157E-2</v>
      </c>
      <c r="L57" s="152">
        <f>IF($B$3=1,Car!L79,IF($B$3=2,SUV!L79,PUT!L79))</f>
        <v>3.2245216594726137E-2</v>
      </c>
    </row>
    <row r="58" spans="1:12">
      <c r="B58" s="141" t="s">
        <v>184</v>
      </c>
      <c r="C58" s="151">
        <f>IF($B$3=1,Car!C80,IF($B$3=2,SUV!C80,PUT!C80))</f>
        <v>0.25420370495753275</v>
      </c>
      <c r="D58" s="151">
        <f>IF($B$3=1,Car!D80,IF($B$3=2,SUV!D80,PUT!D80))</f>
        <v>0.23</v>
      </c>
      <c r="E58" s="151">
        <f>IF($B$3=1,Car!E80,IF($B$3=2,SUV!E80,PUT!E80))</f>
        <v>0.21564305507327783</v>
      </c>
      <c r="F58" s="151">
        <f>IF($B$3=1,Car!F80,IF($B$3=2,SUV!F80,PUT!F80))</f>
        <v>0.245</v>
      </c>
      <c r="G58" s="151">
        <f>IF($B$3=1,Car!G80,IF($B$3=2,SUV!G80,PUT!G80))</f>
        <v>0.21440294133376075</v>
      </c>
      <c r="H58" s="151">
        <f>IF($B$3=1,Car!H80,IF($B$3=2,SUV!H80,PUT!H80))</f>
        <v>0.25600000000000001</v>
      </c>
      <c r="I58" s="151">
        <f>IF($B$3=1,Car!I80,IF($B$3=2,SUV!I80,PUT!I80))</f>
        <v>0.24221267748836323</v>
      </c>
      <c r="J58" s="151">
        <f>IF($B$3=1,Car!J80,IF($B$3=2,SUV!J80,PUT!J80))</f>
        <v>0.312</v>
      </c>
      <c r="K58" s="151">
        <f>IF($B$3=1,Car!K80,IF($B$3=2,SUV!K80,PUT!K80))</f>
        <v>0.23470492031846918</v>
      </c>
      <c r="L58" s="152">
        <f>IF($B$3=1,Car!L80,IF($B$3=2,SUV!L80,PUT!L80))</f>
        <v>0.2729327261767891</v>
      </c>
    </row>
    <row r="59" spans="1:12">
      <c r="B59" s="141" t="s">
        <v>185</v>
      </c>
      <c r="C59" s="151">
        <f>IF($B$3=1,Car!C81,IF($B$3=2,SUV!C81,PUT!C81))</f>
        <v>0</v>
      </c>
      <c r="D59" s="151">
        <f>IF($B$3=1,Car!D81,IF($B$3=2,SUV!D81,PUT!D81))</f>
        <v>0</v>
      </c>
      <c r="E59" s="151">
        <f>IF($B$3=1,Car!E81,IF($B$3=2,SUV!E81,PUT!E81))</f>
        <v>2.125038497074222E-2</v>
      </c>
      <c r="F59" s="151">
        <f>IF($B$3=1,Car!F81,IF($B$3=2,SUV!F81,PUT!F81))</f>
        <v>1.5593960298796047E-2</v>
      </c>
      <c r="G59" s="151">
        <f>IF($B$3=1,Car!G81,IF($B$3=2,SUV!G81,PUT!G81))</f>
        <v>2.0832139470162537E-2</v>
      </c>
      <c r="H59" s="151">
        <f>IF($B$3=1,Car!H81,IF($B$3=2,SUV!H81,PUT!H81))</f>
        <v>1.6328362407675424E-2</v>
      </c>
      <c r="I59" s="151">
        <f>IF($B$3=1,Car!I81,IF($B$3=2,SUV!I81,PUT!I81))</f>
        <v>9.3151090332556238E-2</v>
      </c>
      <c r="J59" s="151">
        <f>IF($B$3=1,Car!J81,IF($B$3=2,SUV!J81,PUT!J81))</f>
        <v>6.7313109940291244E-2</v>
      </c>
      <c r="K59" s="151">
        <f>IF($B$3=1,Car!K81,IF($B$3=2,SUV!K81,PUT!K81))</f>
        <v>4.2202093921950262E-2</v>
      </c>
      <c r="L59" s="152">
        <f>IF($B$3=1,Car!L81,IF($B$3=2,SUV!L81,PUT!L81))</f>
        <v>4.4912980256939974E-2</v>
      </c>
    </row>
    <row r="60" spans="1:12">
      <c r="B60" s="141" t="s">
        <v>186</v>
      </c>
      <c r="C60" s="151">
        <f>IF($B$3=1,Car!C82,IF($B$3=2,SUV!C82,PUT!C82))</f>
        <v>0</v>
      </c>
      <c r="D60" s="151">
        <f>IF($B$3=1,Car!D82,IF($B$3=2,SUV!D82,PUT!D82))</f>
        <v>0</v>
      </c>
      <c r="E60" s="151">
        <f>IF($B$3=1,Car!E82,IF($B$3=2,SUV!E82,PUT!E82))</f>
        <v>2.125038497074222E-2</v>
      </c>
      <c r="F60" s="151">
        <f>IF($B$3=1,Car!F82,IF($B$3=2,SUV!F82,PUT!F82))</f>
        <v>1.5593960298796047E-2</v>
      </c>
      <c r="G60" s="151">
        <f>IF($B$3=1,Car!G82,IF($B$3=2,SUV!G82,PUT!G82))</f>
        <v>2.0832139470162537E-2</v>
      </c>
      <c r="H60" s="151">
        <f>IF($B$3=1,Car!H82,IF($B$3=2,SUV!H82,PUT!H82))</f>
        <v>1.6328362407675424E-2</v>
      </c>
      <c r="I60" s="151">
        <f>IF($B$3=1,Car!I82,IF($B$3=2,SUV!I82,PUT!I82))</f>
        <v>0</v>
      </c>
      <c r="J60" s="151">
        <f>IF($B$3=1,Car!J82,IF($B$3=2,SUV!J82,PUT!J82))</f>
        <v>0</v>
      </c>
      <c r="K60" s="151">
        <f>IF($B$3=1,Car!K82,IF($B$3=2,SUV!K82,PUT!K82))</f>
        <v>0</v>
      </c>
      <c r="L60" s="152">
        <f>IF($B$3=1,Car!L82,IF($B$3=2,SUV!L82,PUT!L82))</f>
        <v>0</v>
      </c>
    </row>
    <row r="61" spans="1:12">
      <c r="B61" s="141" t="s">
        <v>187</v>
      </c>
      <c r="C61" s="151">
        <f>IF($B$3=1,Car!C83,IF($B$3=2,SUV!C83,PUT!C83))</f>
        <v>0</v>
      </c>
      <c r="D61" s="151">
        <f>IF($B$3=1,Car!D83,IF($B$3=2,SUV!D83,PUT!D83))</f>
        <v>0</v>
      </c>
      <c r="E61" s="151">
        <f>IF($B$3=1,Car!E83,IF($B$3=2,SUV!E83,PUT!E83))</f>
        <v>1.7862642439174622E-2</v>
      </c>
      <c r="F61" s="151">
        <f>IF($B$3=1,Car!F83,IF($B$3=2,SUV!F83,PUT!F83))</f>
        <v>1.7999999999999999E-2</v>
      </c>
      <c r="G61" s="151">
        <f>IF($B$3=1,Car!G83,IF($B$3=2,SUV!G83,PUT!G83))</f>
        <v>1.8074944540288088E-2</v>
      </c>
      <c r="H61" s="151">
        <f>IF($B$3=1,Car!H83,IF($B$3=2,SUV!H83,PUT!H83))</f>
        <v>1.7000000000000001E-2</v>
      </c>
      <c r="I61" s="151">
        <f>IF($B$3=1,Car!I83,IF($B$3=2,SUV!I83,PUT!I83))</f>
        <v>5.8995690543952289E-2</v>
      </c>
      <c r="J61" s="151">
        <f>IF($B$3=1,Car!J83,IF($B$3=2,SUV!J83,PUT!J83))</f>
        <v>6.6000000000000003E-2</v>
      </c>
      <c r="K61" s="151">
        <f>IF($B$3=1,Car!K83,IF($B$3=2,SUV!K83,PUT!K83))</f>
        <v>3.6791569060161768E-2</v>
      </c>
      <c r="L61" s="152">
        <f>IF($B$3=1,Car!L83,IF($B$3=2,SUV!L83,PUT!L83))</f>
        <v>3.9154905865024597E-2</v>
      </c>
    </row>
    <row r="62" spans="1:12">
      <c r="B62" s="141" t="s">
        <v>188</v>
      </c>
      <c r="C62" s="151">
        <f>IF($B$3=1,Car!C84,IF($B$3=2,SUV!C84,PUT!C84))</f>
        <v>0</v>
      </c>
      <c r="D62" s="151">
        <f>IF($B$3=1,Car!D84,IF($B$3=2,SUV!D84,PUT!D84))</f>
        <v>0</v>
      </c>
      <c r="E62" s="151">
        <f>IF($B$3=1,Car!E84,IF($B$3=2,SUV!E84,PUT!E84))</f>
        <v>0</v>
      </c>
      <c r="F62" s="151">
        <f>IF($B$3=1,Car!F84,IF($B$3=2,SUV!F84,PUT!F84))</f>
        <v>0</v>
      </c>
      <c r="G62" s="151">
        <f>IF($B$3=1,Car!G84,IF($B$3=2,SUV!G84,PUT!G84))</f>
        <v>0</v>
      </c>
      <c r="H62" s="151">
        <f>IF($B$3=1,Car!H84,IF($B$3=2,SUV!H84,PUT!H84))</f>
        <v>0</v>
      </c>
      <c r="I62" s="151">
        <f>IF($B$3=1,Car!I84,IF($B$3=2,SUV!I84,PUT!I84))</f>
        <v>0</v>
      </c>
      <c r="J62" s="151">
        <f>IF($B$3=1,Car!J84,IF($B$3=2,SUV!J84,PUT!J84))</f>
        <v>0</v>
      </c>
      <c r="K62" s="151">
        <f>IF($B$3=1,Car!K84,IF($B$3=2,SUV!K84,PUT!K84))</f>
        <v>0.10184153134523673</v>
      </c>
      <c r="L62" s="152">
        <f>IF($B$3=1,Car!L84,IF($B$3=2,SUV!L84,PUT!L84))</f>
        <v>7.0854310741291837E-2</v>
      </c>
    </row>
    <row r="63" spans="1:12" ht="25.5">
      <c r="B63" s="155" t="s">
        <v>189</v>
      </c>
      <c r="C63" s="153">
        <f>IF($B$3=1,Car!C85,IF($B$3=2,SUV!C85,PUT!C85))</f>
        <v>0.52925399233032944</v>
      </c>
      <c r="D63" s="153">
        <f>IF($B$3=1,Car!D85,IF($B$3=2,SUV!D85,PUT!D85))</f>
        <v>0.42217788458092709</v>
      </c>
      <c r="E63" s="153">
        <f>IF($B$3=1,Car!E85,IF($B$3=2,SUV!E85,PUT!E85))</f>
        <v>0.44897043430152972</v>
      </c>
      <c r="F63" s="153">
        <f>IF($B$3=1,Car!F85,IF($B$3=2,SUV!F85,PUT!F85))</f>
        <v>0.38939429256589264</v>
      </c>
      <c r="G63" s="153">
        <f>IF($B$3=1,Car!G85,IF($B$3=2,SUV!G85,PUT!G85))</f>
        <v>0.44638850833120314</v>
      </c>
      <c r="H63" s="153">
        <f>IF($B$3=1,Car!H85,IF($B$3=2,SUV!H85,PUT!H85))</f>
        <v>0.37586779990287378</v>
      </c>
      <c r="I63" s="153">
        <f>IF($B$3=1,Car!I85,IF($B$3=2,SUV!I85,PUT!I85))</f>
        <v>0.50428858452377989</v>
      </c>
      <c r="J63" s="153">
        <f>IF($B$3=1,Car!J85,IF($B$3=2,SUV!J85,PUT!J85))</f>
        <v>0.41949986459771282</v>
      </c>
      <c r="K63" s="153">
        <f>IF($B$3=1,Car!K85,IF($B$3=2,SUV!K85,PUT!K85))</f>
        <v>0.4737399063423452</v>
      </c>
      <c r="L63" s="154">
        <f>IF($B$3=1,Car!L85,IF($B$3=2,SUV!L85,PUT!L85))</f>
        <v>0.47285577633420806</v>
      </c>
    </row>
    <row r="65" spans="1:12">
      <c r="A65" s="63" t="s">
        <v>190</v>
      </c>
    </row>
    <row r="66" spans="1:12">
      <c r="B66" s="1613">
        <f>IF($B$3=1,Car!B88,IF($B$3=2,SUV!B88,PUT!B88))</f>
        <v>3</v>
      </c>
    </row>
    <row r="68" spans="1:12">
      <c r="A68" s="63" t="s">
        <v>191</v>
      </c>
    </row>
    <row r="69" spans="1:12" ht="38.25">
      <c r="B69" s="1614"/>
      <c r="C69" s="1615" t="s">
        <v>141</v>
      </c>
      <c r="D69" s="1615" t="s">
        <v>142</v>
      </c>
      <c r="E69" s="1615" t="s">
        <v>143</v>
      </c>
      <c r="F69" s="1615" t="s">
        <v>144</v>
      </c>
      <c r="G69" s="1615" t="s">
        <v>145</v>
      </c>
      <c r="H69" s="1615" t="s">
        <v>146</v>
      </c>
      <c r="I69" s="1615" t="s">
        <v>147</v>
      </c>
      <c r="J69" s="1615" t="s">
        <v>148</v>
      </c>
      <c r="K69" s="1615" t="s">
        <v>149</v>
      </c>
      <c r="L69" s="1616" t="s">
        <v>150</v>
      </c>
    </row>
    <row r="70" spans="1:12">
      <c r="B70" s="1611"/>
      <c r="C70" s="1427">
        <f>IF($B$3=1,Car!C94,IF($B$3=2,SUV!C94,PUT!C94))</f>
        <v>20</v>
      </c>
      <c r="D70" s="1427">
        <f>IF($B$3=1,Car!D94,IF($B$3=2,SUV!D94,PUT!D94))</f>
        <v>20</v>
      </c>
      <c r="E70" s="1427">
        <f>IF($B$3=1,Car!E94,IF($B$3=2,SUV!E94,PUT!E94))</f>
        <v>20</v>
      </c>
      <c r="F70" s="1427">
        <f>IF($B$3=1,Car!F94,IF($B$3=2,SUV!F94,PUT!F94))</f>
        <v>20</v>
      </c>
      <c r="G70" s="1427">
        <f>IF($B$3=1,Car!G94,IF($B$3=2,SUV!G94,PUT!G94))</f>
        <v>20</v>
      </c>
      <c r="H70" s="1427">
        <f>IF($B$3=1,Car!H94,IF($B$3=2,SUV!H94,PUT!H94))</f>
        <v>20</v>
      </c>
      <c r="I70" s="1427">
        <f>IF($B$3=1,Car!I94,IF($B$3=2,SUV!I94,PUT!I94))</f>
        <v>20</v>
      </c>
      <c r="J70" s="1427">
        <f>IF($B$3=1,Car!J94,IF($B$3=2,SUV!J94,PUT!J94))</f>
        <v>20</v>
      </c>
      <c r="K70" s="1427">
        <f>IF($B$3=1,Car!K94,IF($B$3=2,SUV!K94,PUT!K94))</f>
        <v>20</v>
      </c>
      <c r="L70" s="1210">
        <f>IF($B$3=1,Car!L94,IF($B$3=2,SUV!L94,PUT!L94))</f>
        <v>20</v>
      </c>
    </row>
    <row r="72" spans="1:12" ht="15">
      <c r="A72" s="134" t="s">
        <v>192</v>
      </c>
    </row>
    <row r="73" spans="1:12">
      <c r="A73" s="63" t="s">
        <v>193</v>
      </c>
    </row>
    <row r="74" spans="1:12">
      <c r="B74" s="156" t="s">
        <v>194</v>
      </c>
      <c r="C74" s="925">
        <v>1</v>
      </c>
      <c r="D74" s="1210" t="s">
        <v>195</v>
      </c>
    </row>
    <row r="75" spans="1:12">
      <c r="B75" s="141" t="s">
        <v>166</v>
      </c>
      <c r="C75" s="157">
        <v>2</v>
      </c>
      <c r="D75" s="140" t="s">
        <v>196</v>
      </c>
    </row>
    <row r="76" spans="1:12">
      <c r="B76" s="141" t="s">
        <v>167</v>
      </c>
      <c r="C76" s="157">
        <v>2</v>
      </c>
      <c r="D76" s="140" t="s">
        <v>197</v>
      </c>
    </row>
    <row r="77" spans="1:12">
      <c r="B77" s="142" t="s">
        <v>198</v>
      </c>
      <c r="C77" s="926">
        <v>1</v>
      </c>
      <c r="D77" s="136"/>
    </row>
    <row r="79" spans="1:12">
      <c r="A79" s="63" t="s">
        <v>199</v>
      </c>
    </row>
    <row r="80" spans="1:12">
      <c r="B80" s="1617"/>
      <c r="C80" s="1618" t="s">
        <v>154</v>
      </c>
      <c r="D80" s="1619" t="s">
        <v>200</v>
      </c>
    </row>
    <row r="81" spans="1:5">
      <c r="B81" s="141" t="s">
        <v>143</v>
      </c>
      <c r="C81" s="158">
        <f>IF($B$3=1,Car!C99,IF($B$3=2,SUV!C99,PUT!C99))</f>
        <v>39.560558799999995</v>
      </c>
      <c r="D81" s="159">
        <f>IF($B$3=1,Car!D99,IF($B$3=2,SUV!D99,PUT!D99))</f>
        <v>39.560558799999995</v>
      </c>
    </row>
    <row r="82" spans="1:5">
      <c r="B82" s="141" t="s">
        <v>144</v>
      </c>
      <c r="C82" s="158">
        <f>IF($B$3=1,Car!C100,IF($B$3=2,SUV!C100,PUT!C100))</f>
        <v>27.316800000000004</v>
      </c>
      <c r="D82" s="159">
        <f>IF($B$3=1,Car!D100,IF($B$3=2,SUV!D100,PUT!D100))</f>
        <v>27.316800000000004</v>
      </c>
    </row>
    <row r="83" spans="1:5">
      <c r="B83" s="141" t="s">
        <v>149</v>
      </c>
      <c r="C83" s="158">
        <f>IF($B$3=1,Car!C101,IF($B$3=2,SUV!C101,PUT!C101))</f>
        <v>36.263845600000003</v>
      </c>
      <c r="D83" s="159">
        <f>IF($B$3=1,Car!D101,IF($B$3=2,SUV!D101,PUT!D101))</f>
        <v>36.263845600000003</v>
      </c>
    </row>
    <row r="84" spans="1:5">
      <c r="B84" s="142" t="s">
        <v>150</v>
      </c>
      <c r="C84" s="138">
        <f>IF($B$3=1,Car!C102,IF($B$3=2,SUV!C102,PUT!C102))</f>
        <v>34.146000000000001</v>
      </c>
      <c r="D84" s="139">
        <f>IF($B$3=1,Car!D102,IF($B$3=2,SUV!D102,PUT!D102))</f>
        <v>34.146000000000001</v>
      </c>
    </row>
    <row r="86" spans="1:5">
      <c r="A86" s="63" t="s">
        <v>201</v>
      </c>
    </row>
    <row r="87" spans="1:5">
      <c r="B87" s="1617"/>
      <c r="C87" s="1618" t="s">
        <v>154</v>
      </c>
      <c r="D87" s="1619" t="s">
        <v>200</v>
      </c>
    </row>
    <row r="88" spans="1:5">
      <c r="B88" s="141" t="s">
        <v>145</v>
      </c>
      <c r="C88" s="158">
        <f>IF($B$3=1,Car!C106,IF($B$3=2,SUV!C106,PUT!C106))</f>
        <v>8.1696384000000002</v>
      </c>
      <c r="D88" s="159">
        <f>IF($B$3=1,Car!D106,IF($B$3=2,SUV!D106,PUT!D106))</f>
        <v>8.1696384000000002</v>
      </c>
    </row>
    <row r="89" spans="1:5">
      <c r="B89" s="141" t="s">
        <v>146</v>
      </c>
      <c r="C89" s="158">
        <f>IF($B$3=1,Car!C107,IF($B$3=2,SUV!C107,PUT!C107))</f>
        <v>6.4982500000000005</v>
      </c>
      <c r="D89" s="159">
        <f>IF($B$3=1,Car!D107,IF($B$3=2,SUV!D107,PUT!D107))</f>
        <v>6.4982500000000005</v>
      </c>
    </row>
    <row r="90" spans="1:5">
      <c r="B90" s="141" t="s">
        <v>147</v>
      </c>
      <c r="C90" s="158">
        <f>IF($B$3=1,Car!C108,IF($B$3=2,SUV!C108,PUT!C108))</f>
        <v>74.311063200000007</v>
      </c>
      <c r="D90" s="159">
        <f>IF($B$3=1,Car!D108,IF($B$3=2,SUV!D108,PUT!D108))</f>
        <v>74.311063200000007</v>
      </c>
    </row>
    <row r="91" spans="1:5">
      <c r="B91" s="142" t="s">
        <v>148</v>
      </c>
      <c r="C91" s="138">
        <f>IF($B$3=1,Car!C109,IF($B$3=2,SUV!C109,PUT!C109))</f>
        <v>63.753</v>
      </c>
      <c r="D91" s="139">
        <f>IF($B$3=1,Car!D109,IF($B$3=2,SUV!D109,PUT!D109))</f>
        <v>63.753</v>
      </c>
    </row>
    <row r="93" spans="1:5">
      <c r="A93" s="63" t="s">
        <v>202</v>
      </c>
    </row>
    <row r="94" spans="1:5">
      <c r="B94" s="1611"/>
      <c r="C94" s="1598" t="s">
        <v>153</v>
      </c>
      <c r="D94" s="1598" t="s">
        <v>154</v>
      </c>
      <c r="E94" s="1599" t="s">
        <v>200</v>
      </c>
    </row>
    <row r="95" spans="1:5">
      <c r="B95" s="141" t="s">
        <v>203</v>
      </c>
      <c r="C95" s="323">
        <f>IF($B$3=1,Car!C113,IF($B$3=2,SUV!C113,PUT!C113))</f>
        <v>2</v>
      </c>
      <c r="D95" s="308"/>
      <c r="E95" s="311"/>
    </row>
    <row r="96" spans="1:5">
      <c r="B96" s="141" t="s">
        <v>194</v>
      </c>
      <c r="C96" s="323">
        <f>IF($B$3=1,Car!C114,IF($B$3=2,SUV!C114,PUT!C114))</f>
        <v>2</v>
      </c>
      <c r="D96" s="323">
        <f>IF($B$3=1,Car!D114,IF($B$3=2,SUV!D114,PUT!D114))</f>
        <v>0</v>
      </c>
      <c r="E96" s="324">
        <f>IF($B$3=1,Car!E114,IF($B$3=2,SUV!E114,PUT!E114))</f>
        <v>0</v>
      </c>
    </row>
    <row r="97" spans="1:10">
      <c r="B97" s="141" t="s">
        <v>166</v>
      </c>
      <c r="C97" s="323">
        <f>IF($B$3=1,Car!C115,IF($B$3=2,SUV!C115,PUT!C115))</f>
        <v>2</v>
      </c>
      <c r="D97" s="323">
        <f>IF($B$3=1,Car!D115,IF($B$3=2,SUV!D115,PUT!D115))</f>
        <v>0</v>
      </c>
      <c r="E97" s="324">
        <f>IF($B$3=1,Car!E115,IF($B$3=2,SUV!E115,PUT!E115))</f>
        <v>0</v>
      </c>
    </row>
    <row r="98" spans="1:10">
      <c r="B98" s="141" t="s">
        <v>167</v>
      </c>
      <c r="C98" s="323">
        <f>IF($B$3=1,Car!C116,IF($B$3=2,SUV!C116,PUT!C116))</f>
        <v>2</v>
      </c>
      <c r="D98" s="323">
        <f>IF($B$3=1,Car!D116,IF($B$3=2,SUV!D116,PUT!D116))</f>
        <v>0</v>
      </c>
      <c r="E98" s="324">
        <f>IF($B$3=1,Car!E116,IF($B$3=2,SUV!E116,PUT!E116))</f>
        <v>0</v>
      </c>
    </row>
    <row r="99" spans="1:10">
      <c r="B99" s="142" t="s">
        <v>198</v>
      </c>
      <c r="C99" s="325">
        <f>IF($B$3=1,Car!C117,IF($B$3=2,SUV!C117,PUT!C117))</f>
        <v>2</v>
      </c>
      <c r="D99" s="325">
        <f>IF($B$3=1,Car!D117,IF($B$3=2,SUV!D117,PUT!D117))</f>
        <v>0</v>
      </c>
      <c r="E99" s="326">
        <f>IF($B$3=1,Car!E117,IF($B$3=2,SUV!E117,PUT!E117))</f>
        <v>0</v>
      </c>
    </row>
    <row r="101" spans="1:10">
      <c r="A101" s="63" t="s">
        <v>204</v>
      </c>
    </row>
    <row r="102" spans="1:10">
      <c r="B102" s="521" t="s">
        <v>194</v>
      </c>
      <c r="C102" s="1469">
        <v>2</v>
      </c>
      <c r="D102" s="521" t="s">
        <v>205</v>
      </c>
      <c r="H102" s="8" t="s">
        <v>206</v>
      </c>
    </row>
    <row r="103" spans="1:10">
      <c r="B103" s="521" t="s">
        <v>166</v>
      </c>
      <c r="C103" s="1469">
        <v>2</v>
      </c>
      <c r="D103" s="521" t="s">
        <v>205</v>
      </c>
    </row>
    <row r="104" spans="1:10">
      <c r="B104" s="521" t="s">
        <v>167</v>
      </c>
      <c r="C104" s="1470">
        <v>2</v>
      </c>
      <c r="D104" s="521" t="s">
        <v>207</v>
      </c>
    </row>
    <row r="105" spans="1:10">
      <c r="B105" s="521" t="s">
        <v>198</v>
      </c>
      <c r="C105" s="1469">
        <v>2</v>
      </c>
      <c r="D105" s="521" t="s">
        <v>205</v>
      </c>
    </row>
    <row r="107" spans="1:10">
      <c r="A107" s="63" t="s">
        <v>208</v>
      </c>
    </row>
    <row r="108" spans="1:10" s="521" customFormat="1">
      <c r="B108" s="523"/>
      <c r="C108" s="3002" t="s">
        <v>154</v>
      </c>
      <c r="D108" s="3003"/>
      <c r="E108" s="3002" t="s">
        <v>200</v>
      </c>
      <c r="F108" s="3003"/>
      <c r="H108" s="521" t="s">
        <v>209</v>
      </c>
    </row>
    <row r="109" spans="1:10" s="521" customFormat="1">
      <c r="B109" s="897"/>
      <c r="C109" s="559" t="s">
        <v>210</v>
      </c>
      <c r="D109" s="966" t="s">
        <v>211</v>
      </c>
      <c r="E109" s="967" t="s">
        <v>210</v>
      </c>
      <c r="F109" s="966" t="s">
        <v>211</v>
      </c>
      <c r="H109" s="1426" t="s">
        <v>212</v>
      </c>
      <c r="I109" s="1620" t="s">
        <v>213</v>
      </c>
      <c r="J109" s="1471" t="s">
        <v>214</v>
      </c>
    </row>
    <row r="110" spans="1:10" s="521" customFormat="1">
      <c r="B110" s="549" t="s">
        <v>194</v>
      </c>
      <c r="C110" s="968">
        <v>800</v>
      </c>
      <c r="D110" s="969">
        <f>C110/2.2046</f>
        <v>362.87761952281591</v>
      </c>
      <c r="E110" s="1092">
        <f>IF($C$102=2,$I$110,IF(OR($C$102=3,$C$102=4),$J$110,$H$110))</f>
        <v>2336.6816135022586</v>
      </c>
      <c r="F110" s="969">
        <f>E110/2.2046</f>
        <v>1059.9118268630402</v>
      </c>
      <c r="H110" s="1621">
        <v>2275.5112106161296</v>
      </c>
      <c r="I110" s="1622">
        <v>2336.6816135022586</v>
      </c>
      <c r="J110" s="1623">
        <v>1583.5479357366601</v>
      </c>
    </row>
    <row r="111" spans="1:10" s="521" customFormat="1">
      <c r="B111" s="559" t="s">
        <v>198</v>
      </c>
      <c r="C111" s="970">
        <v>800</v>
      </c>
      <c r="D111" s="527">
        <f>C111/2.2046</f>
        <v>362.87761952281591</v>
      </c>
      <c r="E111" s="1194">
        <f>IF($C$105=2,$I$110,IF(OR($C$105=3,$C$105=4),$J$110,$H$110))</f>
        <v>2336.6816135022586</v>
      </c>
      <c r="F111" s="527">
        <f>E111/2.2046</f>
        <v>1059.9118268630402</v>
      </c>
      <c r="H111" s="8"/>
      <c r="I111" s="8"/>
      <c r="J111" s="8"/>
    </row>
    <row r="113" spans="1:22">
      <c r="A113" s="63" t="s">
        <v>215</v>
      </c>
      <c r="H113" s="521" t="s">
        <v>216</v>
      </c>
    </row>
    <row r="114" spans="1:22">
      <c r="B114" s="135"/>
      <c r="C114" s="3000" t="s">
        <v>154</v>
      </c>
      <c r="D114" s="3001"/>
      <c r="E114" s="3000" t="s">
        <v>200</v>
      </c>
      <c r="F114" s="3001"/>
      <c r="H114" s="523" t="s">
        <v>217</v>
      </c>
      <c r="I114" s="1608"/>
      <c r="J114" s="1608"/>
      <c r="K114" s="523" t="s">
        <v>218</v>
      </c>
      <c r="L114" s="1608"/>
      <c r="M114" s="525"/>
      <c r="N114" s="1426" t="s">
        <v>167</v>
      </c>
      <c r="O114" s="1427"/>
      <c r="P114" s="1427"/>
      <c r="Q114" s="1427"/>
      <c r="R114" s="1427"/>
      <c r="S114" s="1427"/>
      <c r="T114" s="1427"/>
      <c r="U114" s="1427"/>
      <c r="V114" s="1210"/>
    </row>
    <row r="115" spans="1:22">
      <c r="B115" s="161"/>
      <c r="C115" s="142" t="s">
        <v>219</v>
      </c>
      <c r="D115" s="327" t="s">
        <v>220</v>
      </c>
      <c r="E115" s="328" t="s">
        <v>219</v>
      </c>
      <c r="F115" s="327" t="s">
        <v>220</v>
      </c>
      <c r="H115" s="1426" t="s">
        <v>212</v>
      </c>
      <c r="I115" s="1620" t="s">
        <v>213</v>
      </c>
      <c r="J115" s="1620" t="s">
        <v>214</v>
      </c>
      <c r="K115" s="1426" t="s">
        <v>212</v>
      </c>
      <c r="L115" s="1620" t="s">
        <v>213</v>
      </c>
      <c r="M115" s="1471" t="s">
        <v>214</v>
      </c>
      <c r="N115" s="1030" t="s">
        <v>212</v>
      </c>
      <c r="O115" s="1030" t="s">
        <v>213</v>
      </c>
      <c r="P115" s="1030" t="s">
        <v>214</v>
      </c>
      <c r="Q115" s="1030" t="s">
        <v>221</v>
      </c>
      <c r="R115" s="1030" t="s">
        <v>222</v>
      </c>
      <c r="S115" s="1030" t="s">
        <v>223</v>
      </c>
      <c r="T115" s="1030" t="s">
        <v>224</v>
      </c>
      <c r="U115" s="1030" t="s">
        <v>225</v>
      </c>
      <c r="V115" s="1471" t="s">
        <v>226</v>
      </c>
    </row>
    <row r="116" spans="1:22">
      <c r="B116" s="141" t="s">
        <v>166</v>
      </c>
      <c r="C116" s="163">
        <v>53</v>
      </c>
      <c r="D116" s="159">
        <f>C116/2.2046</f>
        <v>24.040642293386554</v>
      </c>
      <c r="E116" s="1092">
        <f>IF(GREET1_Import_Export!$D$12&gt;=30,IF($C$103=2,$L$116,IF(OR($C$103=3,$C$103=4),$M$116,$K$116)),IF($C$103=2,$I$116,IF(OR($C$103=3,$C$103=4),$J$116,$H$116)))</f>
        <v>155.14345562612866</v>
      </c>
      <c r="F116" s="159">
        <f>E116/2.2046</f>
        <v>70.372609827691491</v>
      </c>
      <c r="H116" s="2551">
        <v>146.46695073499311</v>
      </c>
      <c r="I116" s="2552">
        <v>155.14345562612866</v>
      </c>
      <c r="J116" s="2552">
        <v>107.13011453169261</v>
      </c>
      <c r="K116" s="2551">
        <v>153.72251640032124</v>
      </c>
      <c r="L116" s="2552">
        <v>173.71090582154511</v>
      </c>
      <c r="M116" s="2553">
        <v>128.01621722597201</v>
      </c>
      <c r="N116" s="1033">
        <v>184.41410270248596</v>
      </c>
      <c r="O116" s="1033">
        <v>214.78750010342952</v>
      </c>
      <c r="P116" s="1033">
        <v>174.14246461584352</v>
      </c>
      <c r="Q116" s="1033">
        <v>240.66590054602386</v>
      </c>
      <c r="R116" s="1033">
        <v>247.89184172595316</v>
      </c>
      <c r="S116" s="1033">
        <f>28000/160</f>
        <v>175</v>
      </c>
      <c r="T116" s="1033">
        <f>28000/140</f>
        <v>200</v>
      </c>
      <c r="U116" s="1033">
        <v>250.91917856309701</v>
      </c>
      <c r="V116" s="2554">
        <v>224.74087374227938</v>
      </c>
    </row>
    <row r="117" spans="1:22">
      <c r="B117" s="142" t="s">
        <v>167</v>
      </c>
      <c r="C117" s="164">
        <v>65</v>
      </c>
      <c r="D117" s="139">
        <f>C117/2.2046</f>
        <v>29.483806586228791</v>
      </c>
      <c r="E117" s="1194">
        <f>IF($C$104=2,$O$116,IF(OR($C$104=3,$C$104=4),$P$116,IF($C$104=5,$Q$116,IF($C$104=6,$R$116,IF($C$104=7,$S$116,IF($C$104=8,$T$116,IF($C$104=9,$U$116,IF($C$104=10,V116,$N$116))))))))</f>
        <v>214.78750010342952</v>
      </c>
      <c r="F117" s="139">
        <f>E117/2.2046</f>
        <v>97.426970925986353</v>
      </c>
    </row>
    <row r="118" spans="1:22">
      <c r="L118" s="521"/>
      <c r="M118" s="521"/>
      <c r="N118" s="521"/>
      <c r="O118" s="521"/>
      <c r="P118" s="521"/>
      <c r="Q118" s="521"/>
      <c r="R118" s="521"/>
      <c r="S118" s="521"/>
    </row>
    <row r="119" spans="1:22" ht="15">
      <c r="A119" s="134" t="s">
        <v>227</v>
      </c>
    </row>
    <row r="120" spans="1:22">
      <c r="A120" s="63" t="s">
        <v>228</v>
      </c>
    </row>
    <row r="121" spans="1:22" ht="25.5">
      <c r="B121" s="1173" t="s">
        <v>157</v>
      </c>
      <c r="C121" s="1421" t="s">
        <v>158</v>
      </c>
      <c r="D121" s="1421" t="s">
        <v>159</v>
      </c>
      <c r="E121" s="1421" t="s">
        <v>160</v>
      </c>
      <c r="F121" s="1421" t="s">
        <v>161</v>
      </c>
      <c r="G121" s="1421" t="s">
        <v>162</v>
      </c>
      <c r="H121" s="1174" t="s">
        <v>163</v>
      </c>
    </row>
    <row r="122" spans="1:22">
      <c r="B122" s="320">
        <f>IF($B$3=1,Car!B121,IF($B$3=2,SUV!B121,PUT!B121))</f>
        <v>39</v>
      </c>
      <c r="C122" s="321">
        <f>IF($B$3=1,Car!C121,IF($B$3=2,SUV!C121,PUT!C121))</f>
        <v>0</v>
      </c>
      <c r="D122" s="321">
        <f>IF($B$3=1,Car!D121,IF($B$3=2,SUV!D121,PUT!D121))</f>
        <v>3</v>
      </c>
      <c r="E122" s="321">
        <f>IF($B$3=1,Car!E121,IF($B$3=2,SUV!E121,PUT!E121))</f>
        <v>1</v>
      </c>
      <c r="F122" s="321">
        <f>IF($B$3=1,Car!F121,IF($B$3=2,SUV!F121,PUT!F121))</f>
        <v>3</v>
      </c>
      <c r="G122" s="321">
        <f>IF($B$3=1,Car!G121,IF($B$3=2,SUV!G121,PUT!G121))</f>
        <v>19</v>
      </c>
      <c r="H122" s="322">
        <f>IF($B$3=1,Car!H121,IF($B$3=2,SUV!H121,PUT!H121))</f>
        <v>0</v>
      </c>
    </row>
    <row r="124" spans="1:22">
      <c r="A124" s="63" t="s">
        <v>229</v>
      </c>
    </row>
    <row r="125" spans="1:22" ht="25.5">
      <c r="B125" s="1173" t="s">
        <v>157</v>
      </c>
      <c r="C125" s="1421" t="s">
        <v>158</v>
      </c>
      <c r="D125" s="1421" t="s">
        <v>159</v>
      </c>
      <c r="E125" s="1421" t="s">
        <v>160</v>
      </c>
      <c r="F125" s="1421" t="s">
        <v>161</v>
      </c>
      <c r="G125" s="1421" t="s">
        <v>162</v>
      </c>
      <c r="H125" s="1174" t="s">
        <v>163</v>
      </c>
    </row>
    <row r="126" spans="1:22">
      <c r="B126" s="166">
        <f>2/3</f>
        <v>0.66666666666666663</v>
      </c>
      <c r="C126" s="167">
        <f>2/3</f>
        <v>0.66666666666666663</v>
      </c>
      <c r="D126" s="167">
        <f>2/3</f>
        <v>0.66666666666666663</v>
      </c>
      <c r="E126" s="167">
        <f>2/3</f>
        <v>0.66666666666666663</v>
      </c>
      <c r="F126" s="167">
        <f>2/3</f>
        <v>0.66666666666666663</v>
      </c>
      <c r="G126" s="167">
        <v>0</v>
      </c>
      <c r="H126" s="168">
        <f>2/3</f>
        <v>0.66666666666666663</v>
      </c>
    </row>
    <row r="128" spans="1:22" ht="15">
      <c r="A128" s="134" t="s">
        <v>230</v>
      </c>
    </row>
    <row r="129" spans="1:3">
      <c r="A129" s="63" t="s">
        <v>231</v>
      </c>
    </row>
    <row r="130" spans="1:3">
      <c r="B130" s="169">
        <v>2.2999999999999998</v>
      </c>
      <c r="C130" s="521" t="s">
        <v>232</v>
      </c>
    </row>
    <row r="131" spans="1:3">
      <c r="B131" s="170">
        <v>2.2999999999999998</v>
      </c>
      <c r="C131" s="521" t="s">
        <v>233</v>
      </c>
    </row>
    <row r="132" spans="1:3">
      <c r="B132" s="1115">
        <v>0.161</v>
      </c>
      <c r="C132" s="521" t="s">
        <v>234</v>
      </c>
    </row>
    <row r="134" spans="1:3">
      <c r="A134" s="63" t="s">
        <v>235</v>
      </c>
    </row>
    <row r="135" spans="1:3">
      <c r="B135" s="169">
        <v>0.28699999999999998</v>
      </c>
      <c r="C135" s="8" t="s">
        <v>236</v>
      </c>
    </row>
    <row r="136" spans="1:3">
      <c r="B136" s="170">
        <v>2.7589999999999999</v>
      </c>
      <c r="C136" s="8" t="s">
        <v>237</v>
      </c>
    </row>
    <row r="137" spans="1:3">
      <c r="B137" s="170">
        <v>0.99</v>
      </c>
      <c r="C137" s="8" t="s">
        <v>238</v>
      </c>
    </row>
    <row r="138" spans="1:3">
      <c r="B138" s="170">
        <v>2.9820000000000002</v>
      </c>
      <c r="C138" s="8" t="s">
        <v>239</v>
      </c>
    </row>
    <row r="139" spans="1:3">
      <c r="B139" s="170">
        <v>0.20499999999999999</v>
      </c>
      <c r="C139" s="8" t="s">
        <v>240</v>
      </c>
    </row>
    <row r="140" spans="1:3">
      <c r="B140" s="170">
        <v>0.27300000000000002</v>
      </c>
      <c r="C140" s="8" t="s">
        <v>241</v>
      </c>
    </row>
    <row r="141" spans="1:3">
      <c r="B141" s="170">
        <v>0.40899999999999997</v>
      </c>
      <c r="C141" s="8" t="s">
        <v>242</v>
      </c>
    </row>
    <row r="142" spans="1:3">
      <c r="B142" s="171">
        <f>0.00047*C18</f>
        <v>1.4520190956924603</v>
      </c>
      <c r="C142" s="8" t="s">
        <v>243</v>
      </c>
    </row>
    <row r="144" spans="1:3" ht="15">
      <c r="A144" s="134" t="s">
        <v>244</v>
      </c>
    </row>
    <row r="145" spans="1:11" ht="38.25">
      <c r="B145" s="1173" t="s">
        <v>141</v>
      </c>
      <c r="C145" s="1421" t="s">
        <v>142</v>
      </c>
      <c r="D145" s="1421" t="s">
        <v>143</v>
      </c>
      <c r="E145" s="1421" t="s">
        <v>144</v>
      </c>
      <c r="F145" s="1421" t="s">
        <v>145</v>
      </c>
      <c r="G145" s="1421" t="s">
        <v>146</v>
      </c>
      <c r="H145" s="1421" t="s">
        <v>147</v>
      </c>
      <c r="I145" s="1421" t="s">
        <v>148</v>
      </c>
      <c r="J145" s="1421" t="s">
        <v>149</v>
      </c>
      <c r="K145" s="1174" t="s">
        <v>150</v>
      </c>
    </row>
    <row r="146" spans="1:11">
      <c r="B146" s="137">
        <f>IF($B$3=1,Car!C$125,IF($B$3=2,SUV!C$125,PUT!C$125))</f>
        <v>173151</v>
      </c>
      <c r="C146" s="138">
        <f>IF($B$3=1,Car!D$125,IF($B$3=2,SUV!D$125,PUT!D$125))</f>
        <v>173151</v>
      </c>
      <c r="D146" s="138">
        <f>IF($B$3=1,Car!E$125,IF($B$3=2,SUV!E$125,PUT!E$125))</f>
        <v>173151</v>
      </c>
      <c r="E146" s="138">
        <f>IF($B$3=1,Car!F$125,IF($B$3=2,SUV!F$125,PUT!F$125))</f>
        <v>173151</v>
      </c>
      <c r="F146" s="138">
        <f>IF($B$3=1,Car!G$125,IF($B$3=2,SUV!G$125,PUT!G$125))</f>
        <v>173151</v>
      </c>
      <c r="G146" s="138">
        <f>IF($B$3=1,Car!H$125,IF($B$3=2,SUV!H$125,PUT!H$125))</f>
        <v>173151</v>
      </c>
      <c r="H146" s="138">
        <f>IF($B$3=1,Car!I$125,IF($B$3=2,SUV!I$125,PUT!I$125))</f>
        <v>173151</v>
      </c>
      <c r="I146" s="138">
        <f>IF($B$3=1,Car!J$125,IF($B$3=2,SUV!J$125,PUT!J$125))</f>
        <v>173151</v>
      </c>
      <c r="J146" s="138">
        <f>IF($B$3=1,Car!K$125,IF($B$3=2,SUV!K$125,PUT!K$125))</f>
        <v>173151</v>
      </c>
      <c r="K146" s="139">
        <f>IF($B$3=1,Car!L$125,IF($B$3=2,SUV!L$125,PUT!L$125))</f>
        <v>173151</v>
      </c>
    </row>
    <row r="148" spans="1:11" ht="15">
      <c r="A148" s="134" t="s">
        <v>245</v>
      </c>
    </row>
    <row r="149" spans="1:11" ht="42" customHeight="1">
      <c r="B149" s="1184" t="s">
        <v>141</v>
      </c>
      <c r="C149" s="573" t="s">
        <v>143</v>
      </c>
      <c r="D149" s="573" t="s">
        <v>145</v>
      </c>
      <c r="E149" s="573" t="s">
        <v>147</v>
      </c>
      <c r="F149" s="574" t="s">
        <v>149</v>
      </c>
    </row>
    <row r="150" spans="1:11">
      <c r="B150" s="1185">
        <f>IF($B$3=1,Car!C222/GREET1_Import_Export!B15,IF($B$3=2,SUV!C222/GREET1_Import_Export!C15,PUT!C222/GREET1_Import_Export!D15))</f>
        <v>1.0043015061990881</v>
      </c>
      <c r="C150" s="1624">
        <f>IF($B$3=1,Car!E222/GREET1_Import_Export!B16,IF($B$3=2,SUV!E222/GREET1_Import_Export!C16,PUT!E222/GREET1_Import_Export!D16))</f>
        <v>0.9821699272770571</v>
      </c>
      <c r="D150" s="1624">
        <f>IF($B$3=1,Car!G222/GREET1_Import_Export!B17,IF($B$3=2,SUV!G222/GREET1_Import_Export!C17,PUT!G222/GREET1_Import_Export!D17))</f>
        <v>1.0281569780212472</v>
      </c>
      <c r="E150" s="1624">
        <f>IF($B$3=1,Car!I222/GREET1_Import_Export!B18,IF($B$3=2,SUV!I222/GREET1_Import_Export!C18,PUT!I222/GREET1_Import_Export!D18))</f>
        <v>1.0291290017480212</v>
      </c>
      <c r="F150" s="1186">
        <f>IF($B$3=1,Car!K222/GREET1_Import_Export!B19,IF($B$3=2,SUV!K222/GREET1_Import_Export!C19,PUT!K222/GREET1_Import_Export!D19))</f>
        <v>1.0546329732865791</v>
      </c>
    </row>
    <row r="151" spans="1:11">
      <c r="B151" s="1321"/>
      <c r="C151" s="1321"/>
      <c r="D151" s="1321"/>
      <c r="E151" s="1321"/>
      <c r="F151" s="1321"/>
    </row>
    <row r="152" spans="1:11" ht="15">
      <c r="A152" s="134" t="s">
        <v>246</v>
      </c>
      <c r="B152" s="62"/>
    </row>
    <row r="153" spans="1:11" ht="42" customHeight="1">
      <c r="B153" s="1173" t="s">
        <v>142</v>
      </c>
      <c r="C153" s="1421" t="s">
        <v>144</v>
      </c>
      <c r="D153" s="1421" t="s">
        <v>146</v>
      </c>
      <c r="E153" s="1421" t="s">
        <v>148</v>
      </c>
      <c r="F153" s="1174" t="s">
        <v>150</v>
      </c>
    </row>
    <row r="154" spans="1:11">
      <c r="B154" s="1187">
        <f>IF($B$3=1,Car!D222/Car!C222,IF($B$3=2,SUV!D222/SUV!C222,PUT!D222/PUT!C222))</f>
        <v>1.1023305732096618</v>
      </c>
      <c r="C154" s="1188">
        <f>IF($B$3=1,Car!F222/Car!E222,IF($B$3=2,SUV!F222/SUV!E222,PUT!F222/PUT!E222))</f>
        <v>1.1186602375492263</v>
      </c>
      <c r="D154" s="1188">
        <f>IF($B$3=1,Car!H222/Car!G222,IF($B$3=2,SUV!H222/SUV!G222,PUT!H222/PUT!G222))</f>
        <v>1.0932546062887261</v>
      </c>
      <c r="E154" s="1188">
        <f>IF($B$3=1,Car!J222/Car!I222,IF($B$3=2,SUV!J222/SUV!I222,PUT!J222/PUT!I222))</f>
        <v>1.0897379787260477</v>
      </c>
      <c r="F154" s="949">
        <f>IF($B$3=1,Car!L222/Car!K222,IF($B$3=2,SUV!L222/SUV!K222,PUT!L222/PUT!K222))</f>
        <v>1.0385511897054385</v>
      </c>
      <c r="G154" s="1175"/>
    </row>
    <row r="155" spans="1:11">
      <c r="B155" s="1321"/>
      <c r="C155" s="1321"/>
      <c r="D155" s="1321"/>
      <c r="E155" s="1321"/>
      <c r="F155" s="1321"/>
      <c r="G155" s="920"/>
    </row>
    <row r="156" spans="1:11">
      <c r="B156" s="1321"/>
      <c r="C156" s="1321"/>
      <c r="D156" s="1321"/>
      <c r="E156" s="1321"/>
      <c r="F156" s="1321"/>
    </row>
    <row r="157" spans="1:11">
      <c r="B157" s="1321"/>
      <c r="C157" s="1321"/>
      <c r="D157" s="1321"/>
      <c r="E157" s="1321"/>
      <c r="F157" s="1321"/>
    </row>
    <row r="158" spans="1:11">
      <c r="C158" s="25"/>
      <c r="E158" s="10"/>
    </row>
    <row r="159" spans="1:11">
      <c r="C159" s="10"/>
    </row>
    <row r="160" spans="1:11">
      <c r="C160" s="10"/>
    </row>
    <row r="161" spans="3:3">
      <c r="C161" s="10"/>
    </row>
    <row r="162" spans="3:3">
      <c r="C162" s="10"/>
    </row>
  </sheetData>
  <mergeCells count="4">
    <mergeCell ref="C114:D114"/>
    <mergeCell ref="E114:F114"/>
    <mergeCell ref="E108:F108"/>
    <mergeCell ref="C108:D108"/>
  </mergeCells>
  <phoneticPr fontId="4" type="noConversion"/>
  <dataValidations count="4">
    <dataValidation type="list" allowBlank="1" showInputMessage="1" showErrorMessage="1" sqref="C74:C77 B14 B8 B11" xr:uid="{00000000-0002-0000-0100-000000000000}">
      <formula1>"1,2"</formula1>
    </dataValidation>
    <dataValidation type="list" allowBlank="1" showInputMessage="1" showErrorMessage="1" sqref="B3" xr:uid="{00000000-0002-0000-0100-000001000000}">
      <formula1>"1,2,3"</formula1>
    </dataValidation>
    <dataValidation type="list" allowBlank="1" showInputMessage="1" showErrorMessage="1" sqref="C104" xr:uid="{00000000-0002-0000-0100-000002000000}">
      <formula1>"1,2,3,4,5,6,7,8,9,10"</formula1>
    </dataValidation>
    <dataValidation type="list" allowBlank="1" showInputMessage="1" showErrorMessage="1" sqref="C102:C103 C105" xr:uid="{00000000-0002-0000-0100-000003000000}">
      <formula1>"1,2,3,4"</formula1>
    </dataValidation>
  </dataValidations>
  <pageMargins left="0.75" right="0.75" top="1" bottom="1" header="0.5" footer="0.5"/>
  <pageSetup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pageSetUpPr autoPageBreaks="0" fitToPage="1"/>
  </sheetPr>
  <dimension ref="A1:AG255"/>
  <sheetViews>
    <sheetView showGridLines="0" topLeftCell="Q181" zoomScale="85" zoomScaleNormal="85" workbookViewId="0">
      <selection activeCell="W210" sqref="W210"/>
    </sheetView>
  </sheetViews>
  <sheetFormatPr defaultColWidth="9.140625" defaultRowHeight="12.75"/>
  <cols>
    <col min="1" max="1" width="24.28515625" style="5" customWidth="1"/>
    <col min="2" max="2" width="11" style="5" customWidth="1"/>
    <col min="3" max="3" width="11.42578125" style="5" customWidth="1"/>
    <col min="4" max="4" width="11" style="5" customWidth="1"/>
    <col min="5" max="5" width="14.28515625" style="5" customWidth="1"/>
    <col min="6" max="6" width="11.42578125" style="5" customWidth="1"/>
    <col min="7" max="7" width="12.28515625" style="5" customWidth="1"/>
    <col min="8" max="8" width="15.28515625" style="5" bestFit="1" customWidth="1"/>
    <col min="9" max="9" width="14.140625" style="5" bestFit="1" customWidth="1"/>
    <col min="10" max="10" width="16.42578125" style="5" bestFit="1" customWidth="1"/>
    <col min="11" max="11" width="15.28515625" style="5" bestFit="1" customWidth="1"/>
    <col min="12" max="12" width="14.5703125" style="5" bestFit="1" customWidth="1"/>
    <col min="13" max="13" width="14.42578125" style="5" bestFit="1" customWidth="1"/>
    <col min="14" max="14" width="13.5703125" style="5" bestFit="1" customWidth="1"/>
    <col min="15" max="15" width="19.28515625" style="5" bestFit="1" customWidth="1"/>
    <col min="16" max="16" width="14" style="5" bestFit="1" customWidth="1"/>
    <col min="17" max="17" width="13.85546875" style="5" bestFit="1" customWidth="1"/>
    <col min="18" max="18" width="14.85546875" style="5" bestFit="1" customWidth="1"/>
    <col min="19" max="19" width="14.85546875" style="5" customWidth="1"/>
    <col min="20" max="20" width="14.42578125" style="5" bestFit="1" customWidth="1"/>
    <col min="21" max="21" width="16.5703125" bestFit="1" customWidth="1"/>
    <col min="22" max="22" width="9.140625" style="5"/>
    <col min="23" max="23" width="14.5703125" style="5" bestFit="1" customWidth="1"/>
    <col min="24" max="24" width="14.42578125" style="5" bestFit="1" customWidth="1"/>
    <col min="25" max="25" width="13.5703125" style="5" bestFit="1" customWidth="1"/>
    <col min="26" max="26" width="19.28515625" style="5" bestFit="1" customWidth="1"/>
    <col min="27" max="27" width="14" style="5" bestFit="1" customWidth="1"/>
    <col min="28" max="28" width="13.85546875" style="5" bestFit="1" customWidth="1"/>
    <col min="29" max="29" width="14.85546875" style="5" bestFit="1" customWidth="1"/>
    <col min="30" max="30" width="14.5703125" style="5" bestFit="1" customWidth="1"/>
    <col min="31" max="31" width="14.42578125" style="5" bestFit="1" customWidth="1"/>
    <col min="32" max="32" width="16.5703125" style="5" bestFit="1" customWidth="1"/>
    <col min="33" max="16384" width="9.140625" style="5"/>
  </cols>
  <sheetData>
    <row r="1" spans="1:8" ht="15.75">
      <c r="A1" s="2" t="s">
        <v>1503</v>
      </c>
    </row>
    <row r="3" spans="1:8" ht="15">
      <c r="A3" s="75" t="s">
        <v>1504</v>
      </c>
    </row>
    <row r="4" spans="1:8">
      <c r="A4" s="64" t="s">
        <v>1505</v>
      </c>
      <c r="B4" s="62"/>
      <c r="C4" s="64"/>
      <c r="D4" s="64"/>
      <c r="E4" s="64"/>
    </row>
    <row r="5" spans="1:8">
      <c r="A5" s="852" t="str">
        <f>Vehi_Inputs!B74</f>
        <v>HEV</v>
      </c>
      <c r="B5" s="853">
        <f>Vehi_Inputs!C74</f>
        <v>1</v>
      </c>
      <c r="C5" s="64" t="s">
        <v>1506</v>
      </c>
      <c r="F5" s="64"/>
    </row>
    <row r="6" spans="1:8">
      <c r="A6" s="854" t="str">
        <f>Vehi_Inputs!B75</f>
        <v>PHEV</v>
      </c>
      <c r="B6" s="855">
        <f>Vehi_Inputs!C75</f>
        <v>2</v>
      </c>
      <c r="C6" s="64" t="s">
        <v>1507</v>
      </c>
      <c r="F6" s="64"/>
    </row>
    <row r="7" spans="1:8">
      <c r="A7" s="854" t="str">
        <f>Vehi_Inputs!B76</f>
        <v>EV</v>
      </c>
      <c r="B7" s="855">
        <f>Vehi_Inputs!C76</f>
        <v>2</v>
      </c>
      <c r="C7" s="441"/>
      <c r="D7" s="441"/>
      <c r="E7" s="441"/>
      <c r="F7" s="64"/>
    </row>
    <row r="8" spans="1:8">
      <c r="A8" s="856" t="str">
        <f>Vehi_Inputs!B77</f>
        <v>FCV</v>
      </c>
      <c r="B8" s="857">
        <f>Vehi_Inputs!C77</f>
        <v>1</v>
      </c>
      <c r="C8" s="441"/>
      <c r="D8" s="441"/>
      <c r="E8" s="441"/>
      <c r="F8" s="64"/>
    </row>
    <row r="9" spans="1:8">
      <c r="A9" s="111"/>
      <c r="B9" s="62"/>
      <c r="C9" s="441"/>
      <c r="D9" s="441"/>
      <c r="E9" s="441"/>
      <c r="F9" s="64"/>
    </row>
    <row r="10" spans="1:8">
      <c r="A10" s="111"/>
      <c r="B10" s="62"/>
      <c r="C10" s="64"/>
      <c r="D10" s="64"/>
      <c r="E10" s="64"/>
    </row>
    <row r="11" spans="1:8">
      <c r="A11" s="64" t="s">
        <v>1508</v>
      </c>
      <c r="B11" s="62"/>
      <c r="C11" s="64"/>
      <c r="D11" s="64"/>
      <c r="E11" s="64"/>
      <c r="G11" s="64"/>
      <c r="H11" s="64"/>
    </row>
    <row r="12" spans="1:8">
      <c r="A12" s="836"/>
      <c r="B12" s="442" t="s">
        <v>154</v>
      </c>
      <c r="C12" s="840" t="s">
        <v>155</v>
      </c>
      <c r="E12" s="64"/>
    </row>
    <row r="13" spans="1:8">
      <c r="A13" s="858" t="s">
        <v>143</v>
      </c>
      <c r="B13" s="1163">
        <f>Vehi_Inputs!C81</f>
        <v>39.560558799999995</v>
      </c>
      <c r="C13" s="1164">
        <f>Vehi_Inputs!D81</f>
        <v>39.560558799999995</v>
      </c>
      <c r="E13" s="64"/>
    </row>
    <row r="14" spans="1:8">
      <c r="A14" s="859" t="s">
        <v>144</v>
      </c>
      <c r="B14" s="467">
        <f>Vehi_Inputs!C82</f>
        <v>27.316800000000004</v>
      </c>
      <c r="C14" s="1165">
        <f>Vehi_Inputs!D82</f>
        <v>27.316800000000004</v>
      </c>
      <c r="E14" s="64"/>
    </row>
    <row r="15" spans="1:8">
      <c r="A15" s="859" t="s">
        <v>149</v>
      </c>
      <c r="B15" s="467">
        <f>Vehi_Inputs!C83</f>
        <v>36.263845600000003</v>
      </c>
      <c r="C15" s="1165">
        <f>Vehi_Inputs!D83</f>
        <v>36.263845600000003</v>
      </c>
      <c r="E15" s="64"/>
    </row>
    <row r="16" spans="1:8">
      <c r="A16" s="861" t="s">
        <v>150</v>
      </c>
      <c r="B16" s="471">
        <f>Vehi_Inputs!C84</f>
        <v>34.146000000000001</v>
      </c>
      <c r="C16" s="864">
        <f>Vehi_Inputs!D84</f>
        <v>34.146000000000001</v>
      </c>
      <c r="E16" s="64"/>
    </row>
    <row r="17" spans="1:5">
      <c r="A17" s="443"/>
      <c r="B17" s="397"/>
      <c r="C17" s="397"/>
      <c r="E17" s="64"/>
    </row>
    <row r="18" spans="1:5">
      <c r="A18" s="64" t="s">
        <v>1509</v>
      </c>
      <c r="B18" s="62"/>
      <c r="C18" s="64"/>
      <c r="E18" s="64"/>
    </row>
    <row r="19" spans="1:5">
      <c r="A19" s="836"/>
      <c r="B19" s="442" t="s">
        <v>154</v>
      </c>
      <c r="C19" s="840" t="s">
        <v>155</v>
      </c>
      <c r="E19" s="64"/>
    </row>
    <row r="20" spans="1:5">
      <c r="A20" s="858" t="s">
        <v>145</v>
      </c>
      <c r="B20" s="1163">
        <f>Vehi_Inputs!C88</f>
        <v>8.1696384000000002</v>
      </c>
      <c r="C20" s="1164">
        <f>Vehi_Inputs!D88</f>
        <v>8.1696384000000002</v>
      </c>
      <c r="E20" s="64"/>
    </row>
    <row r="21" spans="1:5">
      <c r="A21" s="859" t="s">
        <v>146</v>
      </c>
      <c r="B21" s="467">
        <f>Vehi_Inputs!C89</f>
        <v>6.4982500000000005</v>
      </c>
      <c r="C21" s="1165">
        <f>Vehi_Inputs!D89</f>
        <v>6.4982500000000005</v>
      </c>
      <c r="E21" s="64"/>
    </row>
    <row r="22" spans="1:5">
      <c r="A22" s="859" t="s">
        <v>147</v>
      </c>
      <c r="B22" s="467">
        <f>Vehi_Inputs!C90</f>
        <v>74.311063200000007</v>
      </c>
      <c r="C22" s="1165">
        <f>Vehi_Inputs!D90</f>
        <v>74.311063200000007</v>
      </c>
      <c r="E22" s="64"/>
    </row>
    <row r="23" spans="1:5">
      <c r="A23" s="861" t="s">
        <v>148</v>
      </c>
      <c r="B23" s="471">
        <f>Vehi_Inputs!C91</f>
        <v>63.753</v>
      </c>
      <c r="C23" s="864">
        <f>Vehi_Inputs!D91</f>
        <v>63.753</v>
      </c>
      <c r="E23" s="64"/>
    </row>
    <row r="24" spans="1:5">
      <c r="A24" s="443"/>
      <c r="B24" s="397"/>
      <c r="C24" s="397"/>
      <c r="E24" s="64"/>
    </row>
    <row r="25" spans="1:5">
      <c r="A25" s="64" t="s">
        <v>1510</v>
      </c>
      <c r="B25" s="62"/>
      <c r="C25" s="64"/>
      <c r="D25" s="64"/>
      <c r="E25" s="64"/>
    </row>
    <row r="26" spans="1:5">
      <c r="A26" s="836"/>
      <c r="B26" s="442" t="s">
        <v>153</v>
      </c>
      <c r="C26" s="442" t="s">
        <v>154</v>
      </c>
      <c r="D26" s="840" t="s">
        <v>155</v>
      </c>
    </row>
    <row r="27" spans="1:5">
      <c r="A27" s="858" t="s">
        <v>203</v>
      </c>
      <c r="B27" s="442">
        <f>Vehi_Inputs!C95</f>
        <v>2</v>
      </c>
      <c r="C27" s="442"/>
      <c r="D27" s="840"/>
    </row>
    <row r="28" spans="1:5">
      <c r="A28" s="859" t="s">
        <v>194</v>
      </c>
      <c r="B28" s="397">
        <f>Vehi_Inputs!C96</f>
        <v>2</v>
      </c>
      <c r="C28" s="397">
        <f>Vehi_Inputs!D96</f>
        <v>0</v>
      </c>
      <c r="D28" s="860">
        <f>Vehi_Inputs!E96</f>
        <v>0</v>
      </c>
    </row>
    <row r="29" spans="1:5">
      <c r="A29" s="859" t="s">
        <v>166</v>
      </c>
      <c r="B29" s="397">
        <f>Vehi_Inputs!C97</f>
        <v>2</v>
      </c>
      <c r="C29" s="397">
        <f>Vehi_Inputs!D97</f>
        <v>0</v>
      </c>
      <c r="D29" s="860">
        <f>Vehi_Inputs!E97</f>
        <v>0</v>
      </c>
    </row>
    <row r="30" spans="1:5">
      <c r="A30" s="859" t="s">
        <v>167</v>
      </c>
      <c r="B30" s="397">
        <f>Vehi_Inputs!C98</f>
        <v>2</v>
      </c>
      <c r="C30" s="397">
        <f>Vehi_Inputs!D98</f>
        <v>0</v>
      </c>
      <c r="D30" s="860">
        <f>Vehi_Inputs!E98</f>
        <v>0</v>
      </c>
    </row>
    <row r="31" spans="1:5">
      <c r="A31" s="861" t="s">
        <v>198</v>
      </c>
      <c r="B31" s="862">
        <f>Vehi_Inputs!C99</f>
        <v>2</v>
      </c>
      <c r="C31" s="862">
        <f>Vehi_Inputs!D99</f>
        <v>0</v>
      </c>
      <c r="D31" s="863">
        <f>Vehi_Inputs!E99</f>
        <v>0</v>
      </c>
    </row>
    <row r="33" spans="1:11">
      <c r="A33" s="5" t="s">
        <v>1511</v>
      </c>
    </row>
    <row r="34" spans="1:11">
      <c r="A34" s="1653"/>
      <c r="B34" s="1480" t="s">
        <v>154</v>
      </c>
      <c r="C34" s="1716" t="s">
        <v>155</v>
      </c>
    </row>
    <row r="35" spans="1:11">
      <c r="A35" s="95" t="s">
        <v>194</v>
      </c>
      <c r="B35" s="64">
        <f>Vehi_Inputs!C110</f>
        <v>800</v>
      </c>
      <c r="C35" s="1160">
        <f>Vehi_Inputs!E110</f>
        <v>2336.6816135022586</v>
      </c>
    </row>
    <row r="36" spans="1:11">
      <c r="A36" s="539" t="s">
        <v>198</v>
      </c>
      <c r="B36" s="750">
        <f>Vehi_Inputs!C111</f>
        <v>800</v>
      </c>
      <c r="C36" s="1161">
        <f>Vehi_Inputs!E111</f>
        <v>2336.6816135022586</v>
      </c>
    </row>
    <row r="38" spans="1:11">
      <c r="A38" s="5" t="s">
        <v>1512</v>
      </c>
      <c r="B38" s="64"/>
    </row>
    <row r="39" spans="1:11">
      <c r="A39" s="1653"/>
      <c r="B39" s="1480" t="s">
        <v>154</v>
      </c>
      <c r="C39" s="1716" t="s">
        <v>155</v>
      </c>
    </row>
    <row r="40" spans="1:11">
      <c r="A40" s="95" t="s">
        <v>194</v>
      </c>
      <c r="B40" s="444">
        <f>Vehi_Inputs!C116</f>
        <v>53</v>
      </c>
      <c r="C40" s="1162">
        <f>Vehi_Inputs!E116</f>
        <v>155.14345562612866</v>
      </c>
    </row>
    <row r="41" spans="1:11">
      <c r="A41" s="539" t="s">
        <v>198</v>
      </c>
      <c r="B41" s="635">
        <f>Vehi_Inputs!C117</f>
        <v>65</v>
      </c>
      <c r="C41" s="1161">
        <f>Vehi_Inputs!E117</f>
        <v>214.78750010342952</v>
      </c>
    </row>
    <row r="42" spans="1:11">
      <c r="B42" s="64"/>
    </row>
    <row r="43" spans="1:11">
      <c r="A43" s="5" t="s">
        <v>1513</v>
      </c>
    </row>
    <row r="44" spans="1:11" ht="36" customHeight="1">
      <c r="A44" s="640"/>
      <c r="B44" s="405" t="s">
        <v>141</v>
      </c>
      <c r="C44" s="405" t="s">
        <v>142</v>
      </c>
      <c r="D44" s="405" t="s">
        <v>143</v>
      </c>
      <c r="E44" s="405" t="s">
        <v>144</v>
      </c>
      <c r="F44" s="378" t="s">
        <v>145</v>
      </c>
      <c r="G44" s="378" t="s">
        <v>146</v>
      </c>
      <c r="H44" s="378" t="s">
        <v>147</v>
      </c>
      <c r="I44" s="378" t="s">
        <v>148</v>
      </c>
      <c r="J44" s="405" t="s">
        <v>149</v>
      </c>
      <c r="K44" s="432" t="s">
        <v>150</v>
      </c>
    </row>
    <row r="45" spans="1:11">
      <c r="A45" s="95" t="s">
        <v>153</v>
      </c>
      <c r="B45" s="528">
        <f>Vehi_Inputs!C23</f>
        <v>36</v>
      </c>
      <c r="C45" s="528">
        <f>Vehi_Inputs!D23</f>
        <v>23.400000000000002</v>
      </c>
      <c r="D45" s="528">
        <f>Vehi_Inputs!E23</f>
        <v>22.1</v>
      </c>
      <c r="E45" s="528">
        <f>Vehi_Inputs!F23</f>
        <v>14.365000000000002</v>
      </c>
      <c r="F45" s="528">
        <f>Vehi_Inputs!G23</f>
        <v>22.1</v>
      </c>
      <c r="G45" s="528">
        <f>Vehi_Inputs!H23</f>
        <v>14.365000000000002</v>
      </c>
      <c r="H45" s="528">
        <f>Vehi_Inputs!I23</f>
        <v>22.1</v>
      </c>
      <c r="I45" s="528">
        <f>Vehi_Inputs!J23</f>
        <v>14.365000000000002</v>
      </c>
      <c r="J45" s="528">
        <f>Vehi_Inputs!K23</f>
        <v>22.1</v>
      </c>
      <c r="K45" s="865">
        <f>Vehi_Inputs!L23</f>
        <v>14.365000000000002</v>
      </c>
    </row>
    <row r="46" spans="1:11">
      <c r="A46" s="95" t="s">
        <v>154</v>
      </c>
      <c r="B46" s="528"/>
      <c r="C46" s="528"/>
      <c r="D46" s="528">
        <f>Vehi_Inputs!E24</f>
        <v>109.01900991310001</v>
      </c>
      <c r="E46" s="528">
        <f>Vehi_Inputs!F24</f>
        <v>75.278271600000011</v>
      </c>
      <c r="F46" s="528">
        <f>Vehi_Inputs!G24</f>
        <v>339.82612861584903</v>
      </c>
      <c r="G46" s="528">
        <f>Vehi_Inputs!H24</f>
        <v>270.30267830188683</v>
      </c>
      <c r="H46" s="528">
        <f>Vehi_Inputs!I24</f>
        <v>2520.4026143187693</v>
      </c>
      <c r="I46" s="528">
        <f>Vehi_Inputs!J24</f>
        <v>2162.3055969230768</v>
      </c>
      <c r="J46" s="528">
        <f>Vehi_Inputs!K24</f>
        <v>99.93409251220001</v>
      </c>
      <c r="K46" s="865">
        <f>Vehi_Inputs!L24</f>
        <v>94.097839500000006</v>
      </c>
    </row>
    <row r="47" spans="1:11">
      <c r="A47" s="539" t="s">
        <v>155</v>
      </c>
      <c r="B47" s="810"/>
      <c r="C47" s="810"/>
      <c r="D47" s="810">
        <f>Vehi_Inputs!E25</f>
        <v>37.324386611559092</v>
      </c>
      <c r="E47" s="810">
        <f>Vehi_Inputs!F25</f>
        <v>25.772709868563272</v>
      </c>
      <c r="F47" s="810">
        <f>Vehi_Inputs!G25</f>
        <v>116.09116700380299</v>
      </c>
      <c r="G47" s="810">
        <f>Vehi_Inputs!H25</f>
        <v>92.340613996142451</v>
      </c>
      <c r="H47" s="810">
        <f>Vehi_Inputs!I25</f>
        <v>762.73605238587254</v>
      </c>
      <c r="I47" s="810">
        <f>Vehi_Inputs!J25</f>
        <v>654.36705456471691</v>
      </c>
      <c r="J47" s="810">
        <f>Vehi_Inputs!K25</f>
        <v>34.214021092044995</v>
      </c>
      <c r="K47" s="866">
        <f>Vehi_Inputs!L25</f>
        <v>32.215887335704089</v>
      </c>
    </row>
    <row r="49" spans="1:11">
      <c r="A49" s="5" t="s">
        <v>1514</v>
      </c>
      <c r="B49" s="445"/>
      <c r="C49" s="445"/>
      <c r="D49" s="445"/>
      <c r="E49" s="445"/>
    </row>
    <row r="50" spans="1:11" ht="38.25">
      <c r="A50" s="640"/>
      <c r="B50" s="405" t="s">
        <v>141</v>
      </c>
      <c r="C50" s="405" t="s">
        <v>142</v>
      </c>
      <c r="D50" s="405" t="s">
        <v>143</v>
      </c>
      <c r="E50" s="405" t="s">
        <v>144</v>
      </c>
      <c r="F50" s="378" t="s">
        <v>145</v>
      </c>
      <c r="G50" s="378" t="s">
        <v>146</v>
      </c>
      <c r="H50" s="378" t="s">
        <v>147</v>
      </c>
      <c r="I50" s="378" t="s">
        <v>148</v>
      </c>
      <c r="J50" s="405" t="s">
        <v>149</v>
      </c>
      <c r="K50" s="432" t="s">
        <v>150</v>
      </c>
    </row>
    <row r="51" spans="1:11">
      <c r="A51" s="640" t="s">
        <v>153</v>
      </c>
      <c r="B51" s="869"/>
      <c r="C51" s="869"/>
      <c r="D51" s="869"/>
      <c r="E51" s="869"/>
      <c r="F51" s="869"/>
      <c r="G51" s="869"/>
      <c r="H51" s="869"/>
      <c r="I51" s="869"/>
      <c r="J51" s="869"/>
      <c r="K51" s="870"/>
    </row>
    <row r="52" spans="1:11">
      <c r="A52" s="95" t="s">
        <v>1515</v>
      </c>
      <c r="B52" s="382">
        <f>Mat_Inputs!C126</f>
        <v>6.0999999999999999E-2</v>
      </c>
      <c r="C52" s="382">
        <f>Mat_Inputs!D126</f>
        <v>6.0999999999999999E-2</v>
      </c>
      <c r="D52" s="382">
        <f>Mat_Inputs!E126</f>
        <v>6.0999999999999999E-2</v>
      </c>
      <c r="E52" s="382">
        <f>Mat_Inputs!F126</f>
        <v>6.0999999999999999E-2</v>
      </c>
      <c r="F52" s="382">
        <f>Mat_Inputs!G126</f>
        <v>6.0999999999999999E-2</v>
      </c>
      <c r="G52" s="382">
        <f>Mat_Inputs!H126</f>
        <v>6.0999999999999999E-2</v>
      </c>
      <c r="H52" s="382">
        <f>Mat_Inputs!I126</f>
        <v>6.0999999999999999E-2</v>
      </c>
      <c r="I52" s="382">
        <f>Mat_Inputs!J126</f>
        <v>6.0999999999999999E-2</v>
      </c>
      <c r="J52" s="382">
        <f>Mat_Inputs!K126</f>
        <v>6.0999999999999999E-2</v>
      </c>
      <c r="K52" s="588">
        <f>Mat_Inputs!L126</f>
        <v>6.0999999999999999E-2</v>
      </c>
    </row>
    <row r="53" spans="1:11">
      <c r="A53" s="95" t="s">
        <v>298</v>
      </c>
      <c r="B53" s="382">
        <f>Mat_Inputs!C127</f>
        <v>0.69</v>
      </c>
      <c r="C53" s="382">
        <f>Mat_Inputs!D127</f>
        <v>0.69</v>
      </c>
      <c r="D53" s="382">
        <f>Mat_Inputs!E127</f>
        <v>0.69</v>
      </c>
      <c r="E53" s="382">
        <f>Mat_Inputs!F127</f>
        <v>0.69</v>
      </c>
      <c r="F53" s="382">
        <f>Mat_Inputs!G127</f>
        <v>0.69</v>
      </c>
      <c r="G53" s="382">
        <f>Mat_Inputs!H127</f>
        <v>0.69</v>
      </c>
      <c r="H53" s="382">
        <f>Mat_Inputs!I127</f>
        <v>0.69</v>
      </c>
      <c r="I53" s="382">
        <f>Mat_Inputs!J127</f>
        <v>0.69</v>
      </c>
      <c r="J53" s="382">
        <f>Mat_Inputs!K127</f>
        <v>0.69</v>
      </c>
      <c r="K53" s="588">
        <f>Mat_Inputs!L127</f>
        <v>0.69</v>
      </c>
    </row>
    <row r="54" spans="1:11">
      <c r="A54" s="95" t="s">
        <v>299</v>
      </c>
      <c r="B54" s="382">
        <f>Mat_Inputs!C128</f>
        <v>7.9000000000000001E-2</v>
      </c>
      <c r="C54" s="382">
        <f>Mat_Inputs!D128</f>
        <v>7.9000000000000001E-2</v>
      </c>
      <c r="D54" s="382">
        <f>Mat_Inputs!E128</f>
        <v>7.9000000000000001E-2</v>
      </c>
      <c r="E54" s="382">
        <f>Mat_Inputs!F128</f>
        <v>7.9000000000000001E-2</v>
      </c>
      <c r="F54" s="382">
        <f>Mat_Inputs!G128</f>
        <v>7.9000000000000001E-2</v>
      </c>
      <c r="G54" s="382">
        <f>Mat_Inputs!H128</f>
        <v>7.9000000000000001E-2</v>
      </c>
      <c r="H54" s="382">
        <f>Mat_Inputs!I128</f>
        <v>7.9000000000000001E-2</v>
      </c>
      <c r="I54" s="382">
        <f>Mat_Inputs!J128</f>
        <v>7.9000000000000001E-2</v>
      </c>
      <c r="J54" s="382">
        <f>Mat_Inputs!K128</f>
        <v>7.9000000000000001E-2</v>
      </c>
      <c r="K54" s="588">
        <f>Mat_Inputs!L128</f>
        <v>7.9000000000000001E-2</v>
      </c>
    </row>
    <row r="55" spans="1:11">
      <c r="A55" s="95" t="s">
        <v>300</v>
      </c>
      <c r="B55" s="382">
        <f>Mat_Inputs!C129</f>
        <v>2.1000000000000001E-2</v>
      </c>
      <c r="C55" s="382">
        <f>Mat_Inputs!D129</f>
        <v>2.1000000000000001E-2</v>
      </c>
      <c r="D55" s="382">
        <f>Mat_Inputs!E129</f>
        <v>2.1000000000000001E-2</v>
      </c>
      <c r="E55" s="382">
        <f>Mat_Inputs!F129</f>
        <v>2.1000000000000001E-2</v>
      </c>
      <c r="F55" s="382">
        <f>Mat_Inputs!G129</f>
        <v>2.1000000000000001E-2</v>
      </c>
      <c r="G55" s="382">
        <f>Mat_Inputs!H129</f>
        <v>2.1000000000000001E-2</v>
      </c>
      <c r="H55" s="382">
        <f>Mat_Inputs!I129</f>
        <v>2.1000000000000001E-2</v>
      </c>
      <c r="I55" s="382">
        <f>Mat_Inputs!J129</f>
        <v>2.1000000000000001E-2</v>
      </c>
      <c r="J55" s="382">
        <f>Mat_Inputs!K129</f>
        <v>2.1000000000000001E-2</v>
      </c>
      <c r="K55" s="588">
        <f>Mat_Inputs!L129</f>
        <v>2.1000000000000001E-2</v>
      </c>
    </row>
    <row r="56" spans="1:11">
      <c r="A56" s="95" t="s">
        <v>301</v>
      </c>
      <c r="B56" s="382">
        <f>Mat_Inputs!C130</f>
        <v>0.14099999999999999</v>
      </c>
      <c r="C56" s="382">
        <f>Mat_Inputs!D130</f>
        <v>0.14099999999999999</v>
      </c>
      <c r="D56" s="382">
        <f>Mat_Inputs!E130</f>
        <v>0.14099999999999999</v>
      </c>
      <c r="E56" s="382">
        <f>Mat_Inputs!F130</f>
        <v>0.14099999999999999</v>
      </c>
      <c r="F56" s="382">
        <f>Mat_Inputs!G130</f>
        <v>0.14099999999999999</v>
      </c>
      <c r="G56" s="382">
        <f>Mat_Inputs!H130</f>
        <v>0.14099999999999999</v>
      </c>
      <c r="H56" s="382">
        <f>Mat_Inputs!I130</f>
        <v>0.14099999999999999</v>
      </c>
      <c r="I56" s="382">
        <f>Mat_Inputs!J130</f>
        <v>0.14099999999999999</v>
      </c>
      <c r="J56" s="382">
        <f>Mat_Inputs!K130</f>
        <v>0.14099999999999999</v>
      </c>
      <c r="K56" s="588">
        <f>Mat_Inputs!L130</f>
        <v>0.14099999999999999</v>
      </c>
    </row>
    <row r="57" spans="1:11">
      <c r="A57" s="539" t="s">
        <v>262</v>
      </c>
      <c r="B57" s="368">
        <f>Mat_Inputs!C131</f>
        <v>8.0000000000001181E-3</v>
      </c>
      <c r="C57" s="368">
        <f>Mat_Inputs!D131</f>
        <v>8.0000000000001181E-3</v>
      </c>
      <c r="D57" s="368">
        <f>Mat_Inputs!E131</f>
        <v>8.0000000000001181E-3</v>
      </c>
      <c r="E57" s="368">
        <f>Mat_Inputs!F131</f>
        <v>8.0000000000001181E-3</v>
      </c>
      <c r="F57" s="368">
        <f>Mat_Inputs!G131</f>
        <v>8.0000000000001181E-3</v>
      </c>
      <c r="G57" s="368">
        <f>Mat_Inputs!H131</f>
        <v>8.0000000000001181E-3</v>
      </c>
      <c r="H57" s="368">
        <f>Mat_Inputs!I131</f>
        <v>8.0000000000001181E-3</v>
      </c>
      <c r="I57" s="368">
        <f>Mat_Inputs!J131</f>
        <v>8.0000000000001181E-3</v>
      </c>
      <c r="J57" s="368">
        <f>Mat_Inputs!K131</f>
        <v>8.0000000000001181E-3</v>
      </c>
      <c r="K57" s="428">
        <f>Mat_Inputs!L131</f>
        <v>8.0000000000001181E-3</v>
      </c>
    </row>
    <row r="58" spans="1:11">
      <c r="A58" s="95" t="s">
        <v>154</v>
      </c>
      <c r="B58" s="446"/>
      <c r="C58" s="446"/>
      <c r="D58" s="446"/>
      <c r="E58" s="446"/>
      <c r="F58" s="446"/>
      <c r="G58" s="446"/>
      <c r="H58" s="446"/>
      <c r="I58" s="446"/>
      <c r="J58" s="446"/>
      <c r="K58" s="868"/>
    </row>
    <row r="59" spans="1:11">
      <c r="A59" s="95" t="s">
        <v>302</v>
      </c>
      <c r="B59" s="446"/>
      <c r="C59" s="446"/>
      <c r="D59" s="382">
        <f>Mat_Inputs!E133</f>
        <v>0.12</v>
      </c>
      <c r="E59" s="382">
        <f>Mat_Inputs!F133</f>
        <v>0.12</v>
      </c>
      <c r="F59" s="382">
        <f>Mat_Inputs!G133</f>
        <v>0.12</v>
      </c>
      <c r="G59" s="382">
        <f>Mat_Inputs!H133</f>
        <v>0.12</v>
      </c>
      <c r="H59" s="382">
        <f>Mat_Inputs!I133</f>
        <v>0.12</v>
      </c>
      <c r="I59" s="382">
        <f>Mat_Inputs!J133</f>
        <v>0.12</v>
      </c>
      <c r="J59" s="382">
        <f>Mat_Inputs!K133</f>
        <v>0.12</v>
      </c>
      <c r="K59" s="588">
        <f>Mat_Inputs!L133</f>
        <v>0.12</v>
      </c>
    </row>
    <row r="60" spans="1:11">
      <c r="A60" s="95" t="s">
        <v>251</v>
      </c>
      <c r="B60" s="446"/>
      <c r="C60" s="446"/>
      <c r="D60" s="382">
        <f>Mat_Inputs!E134</f>
        <v>0.23699999999999999</v>
      </c>
      <c r="E60" s="382">
        <f>Mat_Inputs!F134</f>
        <v>0.23699999999999999</v>
      </c>
      <c r="F60" s="382">
        <f>Mat_Inputs!G134</f>
        <v>0.23699999999999999</v>
      </c>
      <c r="G60" s="382">
        <f>Mat_Inputs!H134</f>
        <v>0.23699999999999999</v>
      </c>
      <c r="H60" s="382">
        <f>Mat_Inputs!I134</f>
        <v>0.23699999999999999</v>
      </c>
      <c r="I60" s="382">
        <f>Mat_Inputs!J134</f>
        <v>0.23699999999999999</v>
      </c>
      <c r="J60" s="382">
        <f>Mat_Inputs!K134</f>
        <v>0.23699999999999999</v>
      </c>
      <c r="K60" s="588">
        <f>Mat_Inputs!L134</f>
        <v>0.23699999999999999</v>
      </c>
    </row>
    <row r="61" spans="1:11">
      <c r="A61" s="95" t="s">
        <v>303</v>
      </c>
      <c r="B61" s="446"/>
      <c r="C61" s="446"/>
      <c r="D61" s="382">
        <f>Mat_Inputs!E135</f>
        <v>5.0000000000000001E-3</v>
      </c>
      <c r="E61" s="382">
        <f>Mat_Inputs!F135</f>
        <v>5.0000000000000001E-3</v>
      </c>
      <c r="F61" s="382">
        <f>Mat_Inputs!G135</f>
        <v>5.0000000000000001E-3</v>
      </c>
      <c r="G61" s="382">
        <f>Mat_Inputs!H135</f>
        <v>5.0000000000000001E-3</v>
      </c>
      <c r="H61" s="382">
        <f>Mat_Inputs!I135</f>
        <v>5.0000000000000001E-3</v>
      </c>
      <c r="I61" s="382">
        <f>Mat_Inputs!J135</f>
        <v>5.0000000000000001E-3</v>
      </c>
      <c r="J61" s="382">
        <f>Mat_Inputs!K135</f>
        <v>5.0000000000000001E-3</v>
      </c>
      <c r="K61" s="588">
        <f>Mat_Inputs!L135</f>
        <v>5.0000000000000001E-3</v>
      </c>
    </row>
    <row r="62" spans="1:11">
      <c r="A62" s="95" t="s">
        <v>275</v>
      </c>
      <c r="B62" s="446"/>
      <c r="C62" s="446"/>
      <c r="D62" s="382">
        <f>Mat_Inputs!E136</f>
        <v>3.9E-2</v>
      </c>
      <c r="E62" s="382">
        <f>Mat_Inputs!F136</f>
        <v>3.9E-2</v>
      </c>
      <c r="F62" s="382">
        <f>Mat_Inputs!G136</f>
        <v>3.9E-2</v>
      </c>
      <c r="G62" s="382">
        <f>Mat_Inputs!H136</f>
        <v>3.9E-2</v>
      </c>
      <c r="H62" s="382">
        <f>Mat_Inputs!I136</f>
        <v>3.9E-2</v>
      </c>
      <c r="I62" s="382">
        <f>Mat_Inputs!J136</f>
        <v>3.9E-2</v>
      </c>
      <c r="J62" s="382">
        <f>Mat_Inputs!K136</f>
        <v>3.9E-2</v>
      </c>
      <c r="K62" s="588">
        <f>Mat_Inputs!L136</f>
        <v>3.9E-2</v>
      </c>
    </row>
    <row r="63" spans="1:11">
      <c r="A63" s="95" t="s">
        <v>256</v>
      </c>
      <c r="B63" s="446"/>
      <c r="C63" s="446"/>
      <c r="D63" s="382">
        <f>Mat_Inputs!E137</f>
        <v>0.01</v>
      </c>
      <c r="E63" s="382">
        <f>Mat_Inputs!F137</f>
        <v>0.01</v>
      </c>
      <c r="F63" s="382">
        <f>Mat_Inputs!G137</f>
        <v>0.01</v>
      </c>
      <c r="G63" s="382">
        <f>Mat_Inputs!H137</f>
        <v>0.01</v>
      </c>
      <c r="H63" s="382">
        <f>Mat_Inputs!I137</f>
        <v>0.01</v>
      </c>
      <c r="I63" s="382">
        <f>Mat_Inputs!J137</f>
        <v>0.01</v>
      </c>
      <c r="J63" s="382">
        <f>Mat_Inputs!K137</f>
        <v>0.01</v>
      </c>
      <c r="K63" s="588">
        <f>Mat_Inputs!L137</f>
        <v>0.01</v>
      </c>
    </row>
    <row r="64" spans="1:11">
      <c r="A64" s="95" t="s">
        <v>304</v>
      </c>
      <c r="B64" s="446"/>
      <c r="C64" s="446"/>
      <c r="D64" s="382">
        <f>Mat_Inputs!E138</f>
        <v>1.7999999999999999E-2</v>
      </c>
      <c r="E64" s="382">
        <f>Mat_Inputs!F138</f>
        <v>1.7999999999999999E-2</v>
      </c>
      <c r="F64" s="382">
        <f>Mat_Inputs!G138</f>
        <v>1.7999999999999999E-2</v>
      </c>
      <c r="G64" s="382">
        <f>Mat_Inputs!H138</f>
        <v>1.7999999999999999E-2</v>
      </c>
      <c r="H64" s="382">
        <f>Mat_Inputs!I138</f>
        <v>1.7999999999999999E-2</v>
      </c>
      <c r="I64" s="382">
        <f>Mat_Inputs!J138</f>
        <v>1.7999999999999999E-2</v>
      </c>
      <c r="J64" s="382">
        <f>Mat_Inputs!K138</f>
        <v>1.7999999999999999E-2</v>
      </c>
      <c r="K64" s="588">
        <f>Mat_Inputs!L138</f>
        <v>1.7999999999999999E-2</v>
      </c>
    </row>
    <row r="65" spans="1:11">
      <c r="A65" s="95" t="s">
        <v>272</v>
      </c>
      <c r="B65" s="446"/>
      <c r="C65" s="446"/>
      <c r="D65" s="382">
        <f>Mat_Inputs!E139</f>
        <v>0.28199999999999997</v>
      </c>
      <c r="E65" s="382">
        <f>Mat_Inputs!F139</f>
        <v>0.28199999999999997</v>
      </c>
      <c r="F65" s="382">
        <f>Mat_Inputs!G139</f>
        <v>0.28199999999999997</v>
      </c>
      <c r="G65" s="382">
        <f>Mat_Inputs!H139</f>
        <v>0.28199999999999997</v>
      </c>
      <c r="H65" s="382">
        <f>Mat_Inputs!I139</f>
        <v>0.28199999999999997</v>
      </c>
      <c r="I65" s="382">
        <f>Mat_Inputs!J139</f>
        <v>0.28199999999999997</v>
      </c>
      <c r="J65" s="382">
        <f>Mat_Inputs!K139</f>
        <v>0.28199999999999997</v>
      </c>
      <c r="K65" s="588">
        <f>Mat_Inputs!L139</f>
        <v>0.28199999999999997</v>
      </c>
    </row>
    <row r="66" spans="1:11">
      <c r="A66" s="95" t="s">
        <v>305</v>
      </c>
      <c r="B66" s="446"/>
      <c r="C66" s="446"/>
      <c r="D66" s="382">
        <f>Mat_Inputs!E140</f>
        <v>6.3E-2</v>
      </c>
      <c r="E66" s="382">
        <f>Mat_Inputs!F140</f>
        <v>6.3E-2</v>
      </c>
      <c r="F66" s="382">
        <f>Mat_Inputs!G140</f>
        <v>6.3E-2</v>
      </c>
      <c r="G66" s="382">
        <f>Mat_Inputs!H140</f>
        <v>6.3E-2</v>
      </c>
      <c r="H66" s="382">
        <f>Mat_Inputs!I140</f>
        <v>6.3E-2</v>
      </c>
      <c r="I66" s="382">
        <f>Mat_Inputs!J140</f>
        <v>6.3E-2</v>
      </c>
      <c r="J66" s="382">
        <f>Mat_Inputs!K140</f>
        <v>6.3E-2</v>
      </c>
      <c r="K66" s="588">
        <f>Mat_Inputs!L140</f>
        <v>6.3E-2</v>
      </c>
    </row>
    <row r="67" spans="1:11">
      <c r="A67" s="95" t="s">
        <v>260</v>
      </c>
      <c r="B67" s="446"/>
      <c r="C67" s="446"/>
      <c r="D67" s="382">
        <f>Mat_Inputs!E141</f>
        <v>0.22500000000000001</v>
      </c>
      <c r="E67" s="382">
        <f>Mat_Inputs!F141</f>
        <v>0.22500000000000001</v>
      </c>
      <c r="F67" s="382">
        <f>Mat_Inputs!G141</f>
        <v>0.22500000000000001</v>
      </c>
      <c r="G67" s="382">
        <f>Mat_Inputs!H141</f>
        <v>0.22500000000000001</v>
      </c>
      <c r="H67" s="382">
        <f>Mat_Inputs!I141</f>
        <v>0.22500000000000001</v>
      </c>
      <c r="I67" s="382">
        <f>Mat_Inputs!J141</f>
        <v>0.22500000000000001</v>
      </c>
      <c r="J67" s="382">
        <f>Mat_Inputs!K141</f>
        <v>0.22500000000000001</v>
      </c>
      <c r="K67" s="588">
        <f>Mat_Inputs!L141</f>
        <v>0.22500000000000001</v>
      </c>
    </row>
    <row r="68" spans="1:11">
      <c r="A68" s="95" t="s">
        <v>261</v>
      </c>
      <c r="B68" s="446"/>
      <c r="C68" s="446"/>
      <c r="D68" s="382">
        <f>Mat_Inputs!E142</f>
        <v>1.0000000000000009E-3</v>
      </c>
      <c r="E68" s="382">
        <f>Mat_Inputs!F142</f>
        <v>1.0000000000000009E-3</v>
      </c>
      <c r="F68" s="382">
        <f>Mat_Inputs!G142</f>
        <v>1.0000000000000009E-3</v>
      </c>
      <c r="G68" s="382">
        <f>Mat_Inputs!H142</f>
        <v>1.0000000000000009E-3</v>
      </c>
      <c r="H68" s="382">
        <f>Mat_Inputs!I142</f>
        <v>1.0000000000000009E-3</v>
      </c>
      <c r="I68" s="382">
        <f>Mat_Inputs!J142</f>
        <v>1.0000000000000009E-3</v>
      </c>
      <c r="J68" s="382">
        <f>Mat_Inputs!K142</f>
        <v>1.0000000000000009E-3</v>
      </c>
      <c r="K68" s="588">
        <f>Mat_Inputs!L142</f>
        <v>1.0000000000000009E-3</v>
      </c>
    </row>
    <row r="69" spans="1:11">
      <c r="A69" s="640" t="s">
        <v>155</v>
      </c>
      <c r="B69" s="871"/>
      <c r="C69" s="871"/>
      <c r="D69" s="871"/>
      <c r="E69" s="871"/>
      <c r="F69" s="871"/>
      <c r="G69" s="871"/>
      <c r="H69" s="871"/>
      <c r="I69" s="871"/>
      <c r="J69" s="871"/>
      <c r="K69" s="872"/>
    </row>
    <row r="70" spans="1:11">
      <c r="A70" s="477" t="s">
        <v>309</v>
      </c>
      <c r="B70" s="446"/>
      <c r="C70" s="446"/>
      <c r="D70" s="382">
        <f>Mat_Inputs!E146</f>
        <v>0.19048312960116398</v>
      </c>
      <c r="E70" s="382">
        <f>Mat_Inputs!F146</f>
        <v>0.19048312960116398</v>
      </c>
      <c r="F70" s="382">
        <f>Mat_Inputs!G146</f>
        <v>0.27381624514093378</v>
      </c>
      <c r="G70" s="382">
        <f>Mat_Inputs!H146</f>
        <v>0.27381624514093378</v>
      </c>
      <c r="H70" s="382">
        <f>Mat_Inputs!I146</f>
        <v>0.38166128739196642</v>
      </c>
      <c r="I70" s="382">
        <f>Mat_Inputs!J146</f>
        <v>0.38166128739196642</v>
      </c>
      <c r="J70" s="382">
        <f>Mat_Inputs!K146</f>
        <v>0.19048312960116398</v>
      </c>
      <c r="K70" s="588">
        <f>Mat_Inputs!L146</f>
        <v>0.19048312960116398</v>
      </c>
    </row>
    <row r="71" spans="1:11">
      <c r="A71" s="95" t="s">
        <v>310</v>
      </c>
      <c r="B71" s="446"/>
      <c r="C71" s="446"/>
      <c r="D71" s="382">
        <f>Mat_Inputs!E147</f>
        <v>0.10148960037342793</v>
      </c>
      <c r="E71" s="382">
        <f>Mat_Inputs!F147</f>
        <v>0.10148960037342793</v>
      </c>
      <c r="F71" s="382">
        <f>Mat_Inputs!G147</f>
        <v>0.14494989886412499</v>
      </c>
      <c r="G71" s="382">
        <f>Mat_Inputs!H147</f>
        <v>0.14494989886412499</v>
      </c>
      <c r="H71" s="382">
        <f>Mat_Inputs!I147</f>
        <v>0.20169156627544349</v>
      </c>
      <c r="I71" s="382">
        <f>Mat_Inputs!J147</f>
        <v>0.20169156627544349</v>
      </c>
      <c r="J71" s="382">
        <f>Mat_Inputs!K147</f>
        <v>0.10148960037342793</v>
      </c>
      <c r="K71" s="588">
        <f>Mat_Inputs!L147</f>
        <v>0.10148960037342793</v>
      </c>
    </row>
    <row r="72" spans="1:11">
      <c r="A72" s="477" t="s">
        <v>273</v>
      </c>
      <c r="B72" s="446"/>
      <c r="C72" s="446"/>
      <c r="D72" s="382">
        <f>Mat_Inputs!E148</f>
        <v>0</v>
      </c>
      <c r="E72" s="382">
        <f>Mat_Inputs!F148</f>
        <v>0</v>
      </c>
      <c r="F72" s="382">
        <f>Mat_Inputs!G148</f>
        <v>0</v>
      </c>
      <c r="G72" s="382">
        <f>Mat_Inputs!H148</f>
        <v>0</v>
      </c>
      <c r="H72" s="382">
        <f>Mat_Inputs!I148</f>
        <v>0</v>
      </c>
      <c r="I72" s="382">
        <f>Mat_Inputs!J148</f>
        <v>0</v>
      </c>
      <c r="J72" s="382">
        <f>Mat_Inputs!K148</f>
        <v>0</v>
      </c>
      <c r="K72" s="588">
        <f>Mat_Inputs!L148</f>
        <v>0</v>
      </c>
    </row>
    <row r="73" spans="1:11">
      <c r="A73" s="95" t="s">
        <v>311</v>
      </c>
      <c r="B73" s="446"/>
      <c r="C73" s="446"/>
      <c r="D73" s="382">
        <f>Mat_Inputs!E149</f>
        <v>9.1010933670435286E-3</v>
      </c>
      <c r="E73" s="382">
        <f>Mat_Inputs!F149</f>
        <v>9.1010933670435286E-3</v>
      </c>
      <c r="F73" s="382">
        <f>Mat_Inputs!G149</f>
        <v>1.3033210041679611E-2</v>
      </c>
      <c r="G73" s="382">
        <f>Mat_Inputs!H149</f>
        <v>1.3033210041679611E-2</v>
      </c>
      <c r="H73" s="382">
        <f>Mat_Inputs!I149</f>
        <v>1.8148134160390732E-2</v>
      </c>
      <c r="I73" s="382">
        <f>Mat_Inputs!J149</f>
        <v>1.8148134160390732E-2</v>
      </c>
      <c r="J73" s="382">
        <f>Mat_Inputs!K149</f>
        <v>9.1010933670435286E-3</v>
      </c>
      <c r="K73" s="588">
        <f>Mat_Inputs!L149</f>
        <v>9.1010933670435286E-3</v>
      </c>
    </row>
    <row r="74" spans="1:11">
      <c r="A74" s="95" t="s">
        <v>275</v>
      </c>
      <c r="B74" s="446"/>
      <c r="C74" s="446"/>
      <c r="D74" s="382">
        <f>Mat_Inputs!E150</f>
        <v>0.17608271903924866</v>
      </c>
      <c r="E74" s="382">
        <f>Mat_Inputs!F150</f>
        <v>0.17608271903924866</v>
      </c>
      <c r="F74" s="382">
        <f>Mat_Inputs!G150</f>
        <v>0.12259377757456562</v>
      </c>
      <c r="G74" s="382">
        <f>Mat_Inputs!H150</f>
        <v>0.12259377757456562</v>
      </c>
      <c r="H74" s="382">
        <f>Mat_Inputs!I150</f>
        <v>7.2103499400766699E-2</v>
      </c>
      <c r="I74" s="382">
        <f>Mat_Inputs!J150</f>
        <v>7.2103499400766699E-2</v>
      </c>
      <c r="J74" s="382">
        <f>Mat_Inputs!K150</f>
        <v>0.17608271903924866</v>
      </c>
      <c r="K74" s="588">
        <f>Mat_Inputs!L150</f>
        <v>0.17608271903924866</v>
      </c>
    </row>
    <row r="75" spans="1:11">
      <c r="A75" s="95" t="s">
        <v>252</v>
      </c>
      <c r="B75" s="446"/>
      <c r="C75" s="446"/>
      <c r="D75" s="382">
        <f>Mat_Inputs!E151</f>
        <v>0.18192628038563219</v>
      </c>
      <c r="E75" s="382">
        <f>Mat_Inputs!F151</f>
        <v>0.18192628038563219</v>
      </c>
      <c r="F75" s="382">
        <f>Mat_Inputs!G151</f>
        <v>0.16062210786971309</v>
      </c>
      <c r="G75" s="382">
        <f>Mat_Inputs!H151</f>
        <v>0.16062210786971309</v>
      </c>
      <c r="H75" s="382">
        <f>Mat_Inputs!I151</f>
        <v>0.17255488299171634</v>
      </c>
      <c r="I75" s="382">
        <f>Mat_Inputs!J151</f>
        <v>0.17255488299171634</v>
      </c>
      <c r="J75" s="382">
        <f>Mat_Inputs!K151</f>
        <v>0.18192628038563219</v>
      </c>
      <c r="K75" s="588">
        <f>Mat_Inputs!L151</f>
        <v>0.18192628038563219</v>
      </c>
    </row>
    <row r="76" spans="1:11">
      <c r="A76" s="95" t="s">
        <v>253</v>
      </c>
      <c r="B76" s="446"/>
      <c r="C76" s="446"/>
      <c r="D76" s="382">
        <f>Mat_Inputs!E152</f>
        <v>0</v>
      </c>
      <c r="E76" s="382">
        <f>Mat_Inputs!F152</f>
        <v>0</v>
      </c>
      <c r="F76" s="382">
        <f>Mat_Inputs!G152</f>
        <v>0</v>
      </c>
      <c r="G76" s="382">
        <f>Mat_Inputs!H152</f>
        <v>0</v>
      </c>
      <c r="H76" s="382">
        <f>Mat_Inputs!I152</f>
        <v>0</v>
      </c>
      <c r="I76" s="382">
        <f>Mat_Inputs!J152</f>
        <v>0</v>
      </c>
      <c r="J76" s="382">
        <f>Mat_Inputs!K152</f>
        <v>0</v>
      </c>
      <c r="K76" s="588">
        <f>Mat_Inputs!L152</f>
        <v>0</v>
      </c>
    </row>
    <row r="77" spans="1:11" ht="15.75">
      <c r="A77" s="95" t="s">
        <v>1516</v>
      </c>
      <c r="B77" s="446"/>
      <c r="C77" s="446"/>
      <c r="D77" s="382">
        <f>Mat_Inputs!E153</f>
        <v>1.3976402367395847E-2</v>
      </c>
      <c r="E77" s="382">
        <f>Mat_Inputs!F153</f>
        <v>1.3976402367395847E-2</v>
      </c>
      <c r="F77" s="382">
        <f>Mat_Inputs!G153</f>
        <v>1.6783280357954747E-2</v>
      </c>
      <c r="G77" s="382">
        <f>Mat_Inputs!H153</f>
        <v>1.6783280357954747E-2</v>
      </c>
      <c r="H77" s="382">
        <f>Mat_Inputs!I153</f>
        <v>1.3847745042733589E-2</v>
      </c>
      <c r="I77" s="382">
        <f>Mat_Inputs!J153</f>
        <v>1.3847745042733589E-2</v>
      </c>
      <c r="J77" s="382">
        <f>Mat_Inputs!K153</f>
        <v>1.3976402367395847E-2</v>
      </c>
      <c r="K77" s="588">
        <f>Mat_Inputs!L153</f>
        <v>1.3976402367395847E-2</v>
      </c>
    </row>
    <row r="78" spans="1:11">
      <c r="A78" s="95" t="s">
        <v>313</v>
      </c>
      <c r="B78" s="446"/>
      <c r="C78" s="446"/>
      <c r="D78" s="382">
        <f>Mat_Inputs!E154</f>
        <v>3.9017073231693268E-2</v>
      </c>
      <c r="E78" s="382">
        <f>Mat_Inputs!F154</f>
        <v>3.9017073231693268E-2</v>
      </c>
      <c r="F78" s="382">
        <f>Mat_Inputs!G154</f>
        <v>4.6852863961755822E-2</v>
      </c>
      <c r="G78" s="382">
        <f>Mat_Inputs!H154</f>
        <v>4.6852863961755822E-2</v>
      </c>
      <c r="H78" s="382">
        <f>Mat_Inputs!I154</f>
        <v>3.8657908396123625E-2</v>
      </c>
      <c r="I78" s="382">
        <f>Mat_Inputs!J154</f>
        <v>3.8657908396123625E-2</v>
      </c>
      <c r="J78" s="382">
        <f>Mat_Inputs!K154</f>
        <v>3.9017073231693268E-2</v>
      </c>
      <c r="K78" s="588">
        <f>Mat_Inputs!L154</f>
        <v>3.9017073231693268E-2</v>
      </c>
    </row>
    <row r="79" spans="1:11">
      <c r="A79" s="95" t="s">
        <v>314</v>
      </c>
      <c r="B79" s="446"/>
      <c r="C79" s="446"/>
      <c r="D79" s="382">
        <f>Mat_Inputs!E155</f>
        <v>3.9017073231693268E-2</v>
      </c>
      <c r="E79" s="382">
        <f>Mat_Inputs!F155</f>
        <v>3.9017073231693268E-2</v>
      </c>
      <c r="F79" s="382">
        <f>Mat_Inputs!G155</f>
        <v>4.6852863961755822E-2</v>
      </c>
      <c r="G79" s="382">
        <f>Mat_Inputs!H155</f>
        <v>4.6852863961755822E-2</v>
      </c>
      <c r="H79" s="382">
        <f>Mat_Inputs!I155</f>
        <v>3.8657908396123625E-2</v>
      </c>
      <c r="I79" s="382">
        <f>Mat_Inputs!J155</f>
        <v>3.8657908396123625E-2</v>
      </c>
      <c r="J79" s="382">
        <f>Mat_Inputs!K155</f>
        <v>3.9017073231693268E-2</v>
      </c>
      <c r="K79" s="588">
        <f>Mat_Inputs!L155</f>
        <v>3.9017073231693268E-2</v>
      </c>
    </row>
    <row r="80" spans="1:11">
      <c r="A80" s="95" t="s">
        <v>297</v>
      </c>
      <c r="B80" s="446"/>
      <c r="C80" s="446"/>
      <c r="D80" s="382">
        <f>Mat_Inputs!E156</f>
        <v>1.6723613038637845E-2</v>
      </c>
      <c r="E80" s="382">
        <f>Mat_Inputs!F156</f>
        <v>1.6723613038637845E-2</v>
      </c>
      <c r="F80" s="382">
        <f>Mat_Inputs!G156</f>
        <v>1.1409690578434958E-2</v>
      </c>
      <c r="G80" s="382">
        <f>Mat_Inputs!H156</f>
        <v>1.1409690578434958E-2</v>
      </c>
      <c r="H80" s="382">
        <f>Mat_Inputs!I156</f>
        <v>6.5969595074415388E-3</v>
      </c>
      <c r="I80" s="382">
        <f>Mat_Inputs!J156</f>
        <v>6.5969595074415388E-3</v>
      </c>
      <c r="J80" s="382">
        <f>Mat_Inputs!K156</f>
        <v>1.6723613038637845E-2</v>
      </c>
      <c r="K80" s="588">
        <f>Mat_Inputs!L156</f>
        <v>1.6723613038637845E-2</v>
      </c>
    </row>
    <row r="81" spans="1:11">
      <c r="A81" s="95" t="s">
        <v>315</v>
      </c>
      <c r="B81" s="446"/>
      <c r="C81" s="446"/>
      <c r="D81" s="382">
        <f>Mat_Inputs!E157</f>
        <v>4.4680991311398573E-3</v>
      </c>
      <c r="E81" s="382">
        <f>Mat_Inputs!F157</f>
        <v>4.4680991311398573E-3</v>
      </c>
      <c r="F81" s="382">
        <f>Mat_Inputs!G157</f>
        <v>3.0372503117592699E-3</v>
      </c>
      <c r="G81" s="382">
        <f>Mat_Inputs!H157</f>
        <v>3.0372503117592699E-3</v>
      </c>
      <c r="H81" s="382">
        <f>Mat_Inputs!I157</f>
        <v>1.8425849968472382E-3</v>
      </c>
      <c r="I81" s="382">
        <f>Mat_Inputs!J157</f>
        <v>1.8425849968472382E-3</v>
      </c>
      <c r="J81" s="382">
        <f>Mat_Inputs!K157</f>
        <v>4.4680991311398573E-3</v>
      </c>
      <c r="K81" s="588">
        <f>Mat_Inputs!L157</f>
        <v>4.4680991311398573E-3</v>
      </c>
    </row>
    <row r="82" spans="1:11">
      <c r="A82" s="95" t="s">
        <v>316</v>
      </c>
      <c r="B82" s="446"/>
      <c r="C82" s="446"/>
      <c r="D82" s="382">
        <f>Mat_Inputs!E158</f>
        <v>2.4539614095971025E-3</v>
      </c>
      <c r="E82" s="382">
        <f>Mat_Inputs!F158</f>
        <v>2.4539614095971025E-3</v>
      </c>
      <c r="F82" s="382">
        <f>Mat_Inputs!G158</f>
        <v>2.1115041631765861E-3</v>
      </c>
      <c r="G82" s="382">
        <f>Mat_Inputs!H158</f>
        <v>2.1115041631765861E-3</v>
      </c>
      <c r="H82" s="382">
        <f>Mat_Inputs!I158</f>
        <v>1.8810116310044498E-3</v>
      </c>
      <c r="I82" s="382">
        <f>Mat_Inputs!J158</f>
        <v>1.8810116310044498E-3</v>
      </c>
      <c r="J82" s="382">
        <f>Mat_Inputs!K158</f>
        <v>2.4539614095971025E-3</v>
      </c>
      <c r="K82" s="588">
        <f>Mat_Inputs!L158</f>
        <v>2.4539614095971025E-3</v>
      </c>
    </row>
    <row r="83" spans="1:11">
      <c r="A83" s="95" t="s">
        <v>251</v>
      </c>
      <c r="B83" s="446"/>
      <c r="C83" s="446"/>
      <c r="D83" s="382">
        <f>Mat_Inputs!E159</f>
        <v>2.3560062758860863E-2</v>
      </c>
      <c r="E83" s="382">
        <f>Mat_Inputs!F159</f>
        <v>2.3560062758860863E-2</v>
      </c>
      <c r="F83" s="382">
        <f>Mat_Inputs!G159</f>
        <v>1.9716849536202823E-2</v>
      </c>
      <c r="G83" s="382">
        <f>Mat_Inputs!H159</f>
        <v>1.9716849536202823E-2</v>
      </c>
      <c r="H83" s="382">
        <f>Mat_Inputs!I159</f>
        <v>6.0312326551140221E-3</v>
      </c>
      <c r="I83" s="382">
        <f>Mat_Inputs!J159</f>
        <v>6.0312326551140221E-3</v>
      </c>
      <c r="J83" s="382">
        <f>Mat_Inputs!K159</f>
        <v>2.3560062758860863E-2</v>
      </c>
      <c r="K83" s="588">
        <f>Mat_Inputs!L159</f>
        <v>2.3560062758860863E-2</v>
      </c>
    </row>
    <row r="84" spans="1:11">
      <c r="A84" s="95" t="s">
        <v>317</v>
      </c>
      <c r="B84" s="446"/>
      <c r="C84" s="446"/>
      <c r="D84" s="382">
        <f>Mat_Inputs!E160</f>
        <v>8.3843204901595109E-3</v>
      </c>
      <c r="E84" s="382">
        <f>Mat_Inputs!F160</f>
        <v>8.3843204901595109E-3</v>
      </c>
      <c r="F84" s="382">
        <f>Mat_Inputs!G160</f>
        <v>5.7748881244886908E-3</v>
      </c>
      <c r="G84" s="382">
        <f>Mat_Inputs!H160</f>
        <v>5.7748881244886908E-3</v>
      </c>
      <c r="H84" s="382">
        <f>Mat_Inputs!I160</f>
        <v>3.3462431265472588E-3</v>
      </c>
      <c r="I84" s="382">
        <f>Mat_Inputs!J160</f>
        <v>3.3462431265472588E-3</v>
      </c>
      <c r="J84" s="382">
        <f>Mat_Inputs!K160</f>
        <v>8.3843204901595109E-3</v>
      </c>
      <c r="K84" s="588">
        <f>Mat_Inputs!L160</f>
        <v>8.3843204901595109E-3</v>
      </c>
    </row>
    <row r="85" spans="1:11">
      <c r="A85" s="95" t="s">
        <v>318</v>
      </c>
      <c r="B85" s="446"/>
      <c r="C85" s="446"/>
      <c r="D85" s="382">
        <f>Mat_Inputs!E161</f>
        <v>3.9712609262452327E-2</v>
      </c>
      <c r="E85" s="382">
        <f>Mat_Inputs!F161</f>
        <v>3.9712609262452327E-2</v>
      </c>
      <c r="F85" s="382">
        <f>Mat_Inputs!G161</f>
        <v>4.0357643964422318E-2</v>
      </c>
      <c r="G85" s="382">
        <f>Mat_Inputs!H161</f>
        <v>4.0357643964422318E-2</v>
      </c>
      <c r="H85" s="382">
        <f>Mat_Inputs!I161</f>
        <v>2.6098559501723042E-2</v>
      </c>
      <c r="I85" s="382">
        <f>Mat_Inputs!J161</f>
        <v>2.6098559501723042E-2</v>
      </c>
      <c r="J85" s="382">
        <f>Mat_Inputs!K161</f>
        <v>3.9712609262452327E-2</v>
      </c>
      <c r="K85" s="588">
        <f>Mat_Inputs!L161</f>
        <v>3.9712609262452327E-2</v>
      </c>
    </row>
    <row r="86" spans="1:11">
      <c r="A86" s="539" t="s">
        <v>319</v>
      </c>
      <c r="B86" s="867"/>
      <c r="C86" s="867"/>
      <c r="D86" s="368">
        <f>Mat_Inputs!E162</f>
        <v>0.15360396231185391</v>
      </c>
      <c r="E86" s="368">
        <f>Mat_Inputs!F162</f>
        <v>0.15360396231185391</v>
      </c>
      <c r="F86" s="368">
        <f>Mat_Inputs!G162</f>
        <v>9.208792554903189E-2</v>
      </c>
      <c r="G86" s="368">
        <f>Mat_Inputs!H162</f>
        <v>9.208792554903189E-2</v>
      </c>
      <c r="H86" s="368">
        <f>Mat_Inputs!I162</f>
        <v>1.6880476526058064E-2</v>
      </c>
      <c r="I86" s="368">
        <f>Mat_Inputs!J162</f>
        <v>1.6880476526058064E-2</v>
      </c>
      <c r="J86" s="368">
        <f>Mat_Inputs!K162</f>
        <v>0.15360396231185391</v>
      </c>
      <c r="K86" s="428">
        <f>Mat_Inputs!L162</f>
        <v>0.15360396231185391</v>
      </c>
    </row>
    <row r="87" spans="1:11">
      <c r="B87" s="445"/>
      <c r="C87" s="445"/>
      <c r="D87" s="445"/>
      <c r="E87" s="445"/>
    </row>
    <row r="88" spans="1:11" ht="15">
      <c r="A88" s="75" t="s">
        <v>1517</v>
      </c>
      <c r="B88" s="445"/>
      <c r="C88" s="445"/>
      <c r="D88" s="445"/>
      <c r="E88" s="445"/>
    </row>
    <row r="89" spans="1:11">
      <c r="A89" s="3" t="s">
        <v>1518</v>
      </c>
      <c r="B89" s="445"/>
      <c r="C89" s="445"/>
      <c r="D89" s="445"/>
      <c r="E89" s="445"/>
    </row>
    <row r="90" spans="1:11" ht="51">
      <c r="A90" s="481"/>
      <c r="B90" s="742" t="s">
        <v>141</v>
      </c>
      <c r="C90" s="742" t="s">
        <v>142</v>
      </c>
      <c r="D90" s="742" t="s">
        <v>143</v>
      </c>
      <c r="E90" s="742" t="s">
        <v>144</v>
      </c>
      <c r="F90" s="670" t="s">
        <v>145</v>
      </c>
      <c r="G90" s="670" t="s">
        <v>146</v>
      </c>
      <c r="H90" s="670" t="s">
        <v>147</v>
      </c>
      <c r="I90" s="670" t="s">
        <v>148</v>
      </c>
      <c r="J90" s="742" t="s">
        <v>149</v>
      </c>
      <c r="K90" s="873" t="s">
        <v>150</v>
      </c>
    </row>
    <row r="91" spans="1:11">
      <c r="A91" s="482" t="s">
        <v>1519</v>
      </c>
      <c r="B91" s="447"/>
      <c r="C91" s="447"/>
      <c r="D91" s="447"/>
      <c r="E91" s="447"/>
      <c r="F91" s="447"/>
      <c r="G91" s="447"/>
      <c r="H91" s="447"/>
      <c r="I91" s="447"/>
      <c r="J91" s="447"/>
      <c r="K91" s="874"/>
    </row>
    <row r="92" spans="1:11" s="627" customFormat="1">
      <c r="A92" s="875" t="s">
        <v>1515</v>
      </c>
      <c r="B92" s="627">
        <f t="shared" ref="B92:K92" si="0">B52*B$45</f>
        <v>2.1959999999999997</v>
      </c>
      <c r="C92" s="627">
        <f t="shared" si="0"/>
        <v>1.4274</v>
      </c>
      <c r="D92" s="627">
        <f t="shared" si="0"/>
        <v>1.3481000000000001</v>
      </c>
      <c r="E92" s="627">
        <f t="shared" si="0"/>
        <v>0.87626500000000007</v>
      </c>
      <c r="F92" s="627">
        <f t="shared" si="0"/>
        <v>1.3481000000000001</v>
      </c>
      <c r="G92" s="627">
        <f t="shared" si="0"/>
        <v>0.87626500000000007</v>
      </c>
      <c r="H92" s="627">
        <f t="shared" si="0"/>
        <v>1.3481000000000001</v>
      </c>
      <c r="I92" s="627">
        <f t="shared" si="0"/>
        <v>0.87626500000000007</v>
      </c>
      <c r="J92" s="627">
        <f t="shared" si="0"/>
        <v>1.3481000000000001</v>
      </c>
      <c r="K92" s="848">
        <f t="shared" si="0"/>
        <v>0.87626500000000007</v>
      </c>
    </row>
    <row r="93" spans="1:11" s="627" customFormat="1">
      <c r="A93" s="875" t="s">
        <v>298</v>
      </c>
      <c r="B93" s="627">
        <f t="shared" ref="B93:K93" si="1">B53*B$45</f>
        <v>24.839999999999996</v>
      </c>
      <c r="C93" s="627">
        <f t="shared" si="1"/>
        <v>16.146000000000001</v>
      </c>
      <c r="D93" s="627">
        <f t="shared" si="1"/>
        <v>15.249000000000001</v>
      </c>
      <c r="E93" s="627">
        <f t="shared" si="1"/>
        <v>9.9118500000000012</v>
      </c>
      <c r="F93" s="627">
        <f t="shared" si="1"/>
        <v>15.249000000000001</v>
      </c>
      <c r="G93" s="627">
        <f t="shared" si="1"/>
        <v>9.9118500000000012</v>
      </c>
      <c r="H93" s="627">
        <f t="shared" si="1"/>
        <v>15.249000000000001</v>
      </c>
      <c r="I93" s="627">
        <f t="shared" si="1"/>
        <v>9.9118500000000012</v>
      </c>
      <c r="J93" s="627">
        <f t="shared" si="1"/>
        <v>15.249000000000001</v>
      </c>
      <c r="K93" s="848">
        <f t="shared" si="1"/>
        <v>9.9118500000000012</v>
      </c>
    </row>
    <row r="94" spans="1:11" s="627" customFormat="1">
      <c r="A94" s="875" t="s">
        <v>299</v>
      </c>
      <c r="B94" s="627">
        <f t="shared" ref="B94:K94" si="2">B54*B$45</f>
        <v>2.8439999999999999</v>
      </c>
      <c r="C94" s="627">
        <f t="shared" si="2"/>
        <v>1.8486000000000002</v>
      </c>
      <c r="D94" s="627">
        <f t="shared" si="2"/>
        <v>1.7459000000000002</v>
      </c>
      <c r="E94" s="627">
        <f t="shared" si="2"/>
        <v>1.1348350000000003</v>
      </c>
      <c r="F94" s="627">
        <f t="shared" si="2"/>
        <v>1.7459000000000002</v>
      </c>
      <c r="G94" s="627">
        <f t="shared" si="2"/>
        <v>1.1348350000000003</v>
      </c>
      <c r="H94" s="627">
        <f t="shared" si="2"/>
        <v>1.7459000000000002</v>
      </c>
      <c r="I94" s="627">
        <f t="shared" si="2"/>
        <v>1.1348350000000003</v>
      </c>
      <c r="J94" s="627">
        <f t="shared" si="2"/>
        <v>1.7459000000000002</v>
      </c>
      <c r="K94" s="848">
        <f t="shared" si="2"/>
        <v>1.1348350000000003</v>
      </c>
    </row>
    <row r="95" spans="1:11" s="627" customFormat="1">
      <c r="A95" s="875" t="s">
        <v>300</v>
      </c>
      <c r="B95" s="627">
        <f t="shared" ref="B95:K95" si="3">B55*B$45</f>
        <v>0.75600000000000001</v>
      </c>
      <c r="C95" s="627">
        <f t="shared" si="3"/>
        <v>0.49140000000000006</v>
      </c>
      <c r="D95" s="627">
        <f t="shared" si="3"/>
        <v>0.46410000000000007</v>
      </c>
      <c r="E95" s="627">
        <f t="shared" si="3"/>
        <v>0.30166500000000007</v>
      </c>
      <c r="F95" s="627">
        <f t="shared" si="3"/>
        <v>0.46410000000000007</v>
      </c>
      <c r="G95" s="627">
        <f t="shared" si="3"/>
        <v>0.30166500000000007</v>
      </c>
      <c r="H95" s="627">
        <f t="shared" si="3"/>
        <v>0.46410000000000007</v>
      </c>
      <c r="I95" s="627">
        <f t="shared" si="3"/>
        <v>0.30166500000000007</v>
      </c>
      <c r="J95" s="627">
        <f t="shared" si="3"/>
        <v>0.46410000000000007</v>
      </c>
      <c r="K95" s="848">
        <f t="shared" si="3"/>
        <v>0.30166500000000007</v>
      </c>
    </row>
    <row r="96" spans="1:11" s="627" customFormat="1">
      <c r="A96" s="875" t="s">
        <v>301</v>
      </c>
      <c r="B96" s="627">
        <f t="shared" ref="B96:K96" si="4">B56*B$45</f>
        <v>5.0759999999999996</v>
      </c>
      <c r="C96" s="627">
        <f t="shared" si="4"/>
        <v>3.2993999999999999</v>
      </c>
      <c r="D96" s="627">
        <f t="shared" si="4"/>
        <v>3.1160999999999999</v>
      </c>
      <c r="E96" s="627">
        <f t="shared" si="4"/>
        <v>2.0254650000000001</v>
      </c>
      <c r="F96" s="627">
        <f t="shared" si="4"/>
        <v>3.1160999999999999</v>
      </c>
      <c r="G96" s="627">
        <f t="shared" si="4"/>
        <v>2.0254650000000001</v>
      </c>
      <c r="H96" s="627">
        <f t="shared" si="4"/>
        <v>3.1160999999999999</v>
      </c>
      <c r="I96" s="627">
        <f t="shared" si="4"/>
        <v>2.0254650000000001</v>
      </c>
      <c r="J96" s="627">
        <f t="shared" si="4"/>
        <v>3.1160999999999999</v>
      </c>
      <c r="K96" s="848">
        <f t="shared" si="4"/>
        <v>2.0254650000000001</v>
      </c>
    </row>
    <row r="97" spans="1:12" s="627" customFormat="1">
      <c r="A97" s="876" t="s">
        <v>262</v>
      </c>
      <c r="B97" s="629">
        <f t="shared" ref="B97:K97" si="5">B57*B$45</f>
        <v>0.28800000000000425</v>
      </c>
      <c r="C97" s="629">
        <f t="shared" si="5"/>
        <v>0.18720000000000278</v>
      </c>
      <c r="D97" s="629">
        <f t="shared" si="5"/>
        <v>0.17680000000000262</v>
      </c>
      <c r="E97" s="629">
        <f t="shared" si="5"/>
        <v>0.11492000000000172</v>
      </c>
      <c r="F97" s="629">
        <f t="shared" si="5"/>
        <v>0.17680000000000262</v>
      </c>
      <c r="G97" s="629">
        <f t="shared" si="5"/>
        <v>0.11492000000000172</v>
      </c>
      <c r="H97" s="629">
        <f t="shared" si="5"/>
        <v>0.17680000000000262</v>
      </c>
      <c r="I97" s="629">
        <f t="shared" si="5"/>
        <v>0.11492000000000172</v>
      </c>
      <c r="J97" s="629">
        <f t="shared" si="5"/>
        <v>0.17680000000000262</v>
      </c>
      <c r="K97" s="850">
        <f t="shared" si="5"/>
        <v>0.11492000000000172</v>
      </c>
    </row>
    <row r="98" spans="1:12" s="496" customFormat="1">
      <c r="A98" s="851" t="s">
        <v>1501</v>
      </c>
      <c r="K98" s="497"/>
    </row>
    <row r="99" spans="1:12" s="496" customFormat="1">
      <c r="A99" s="491" t="s">
        <v>816</v>
      </c>
      <c r="B99" s="496">
        <f ca="1">((B$92*Mat_Sum!$AQ15+B$93*Mat_Sum!$O15+B$94*Mat_Sum!$AL15+B$95*Mat_Sum!$AN15)+B$45*Battery_Assembly!$C61)*(1+$B$27)</f>
        <v>0.7465843662943501</v>
      </c>
      <c r="C99" s="496">
        <f ca="1">((C$92*Mat_Sum!$AQ15+C$93*Mat_Sum!$O15+C$94*Mat_Sum!$AL15+C$95*Mat_Sum!$AN15)+C$45*Battery_Assembly!$C61)*(1+$B$27)</f>
        <v>0.48527983809132769</v>
      </c>
      <c r="D99" s="496">
        <f ca="1">((D$92*Mat_Sum!$AQ15+D$93*Mat_Sum!$O15+D$94*Mat_Sum!$AL15+D$95*Mat_Sum!$AN15)+D$45*Battery_Assembly!$C61)*(1+$B$28)</f>
        <v>0.45831984708625384</v>
      </c>
      <c r="E99" s="496">
        <f ca="1">((E$92*Mat_Sum!$AQ15+E$93*Mat_Sum!$O15+E$94*Mat_Sum!$AL15+E$95*Mat_Sum!$AN15)+E$45*Battery_Assembly!$C61)*(1+$B$28)</f>
        <v>0.29790790060606503</v>
      </c>
      <c r="F99" s="496">
        <f ca="1">((F$92*Mat_Sum!$AQ15+F$93*Mat_Sum!$O15+F$94*Mat_Sum!$AL15+F$95*Mat_Sum!$AN15)+F$45*Battery_Assembly!$C61)*(1+$B$29)</f>
        <v>0.45831984708625384</v>
      </c>
      <c r="G99" s="496">
        <f ca="1">((G$92*Mat_Sum!$AQ15+G$93*Mat_Sum!$O15+G$94*Mat_Sum!$AL15+G$95*Mat_Sum!$AN15)+G$45*Battery_Assembly!$C61)*(1+$B$29)</f>
        <v>0.29790790060606503</v>
      </c>
      <c r="H99" s="496">
        <f ca="1">((H$92*Mat_Sum!$AQ15+H$93*Mat_Sum!$O15+H$94*Mat_Sum!$AL15+H$95*Mat_Sum!$AN15)+H$45*Battery_Assembly!$C61)*(1+$B$30)</f>
        <v>0.45831984708625384</v>
      </c>
      <c r="I99" s="496">
        <f ca="1">((I$92*Mat_Sum!$AQ15+I$93*Mat_Sum!$O15+I$94*Mat_Sum!$AL15+I$95*Mat_Sum!$AN15)+I$45*Battery_Assembly!$C61)*(1+$B$30)</f>
        <v>0.29790790060606503</v>
      </c>
      <c r="J99" s="496">
        <f ca="1">((J$92*Mat_Sum!$AQ15+J$93*Mat_Sum!$O15+J$94*Mat_Sum!$AL15+J$95*Mat_Sum!$AN15)+J$45*Battery_Assembly!$C61)*(1+$B$31)</f>
        <v>0.45831984708625384</v>
      </c>
      <c r="K99" s="497">
        <f ca="1">((K$92*Mat_Sum!$AQ15+K$93*Mat_Sum!$O15+K$94*Mat_Sum!$AL15+K$95*Mat_Sum!$AN15)+K$45*Battery_Assembly!$C61)*(1+$B$31)</f>
        <v>0.29790790060606503</v>
      </c>
    </row>
    <row r="100" spans="1:12" s="496" customFormat="1">
      <c r="A100" s="491" t="s">
        <v>817</v>
      </c>
      <c r="B100" s="496">
        <f ca="1">((B$92*Mat_Sum!$AQ16+B$93*Mat_Sum!$O16+B$94*Mat_Sum!$AL16+B$95*Mat_Sum!$AN16)+B$45*Battery_Assembly!$C62)*(1+$B$27)</f>
        <v>0.70944391931442474</v>
      </c>
      <c r="C100" s="496">
        <f ca="1">((C$92*Mat_Sum!$AQ16+C$93*Mat_Sum!$O16+C$94*Mat_Sum!$AL16+C$95*Mat_Sum!$AN16)+C$45*Battery_Assembly!$C62)*(1+$B$27)</f>
        <v>0.46113854755437617</v>
      </c>
      <c r="D100" s="496">
        <f ca="1">((D$92*Mat_Sum!$AQ16+D$93*Mat_Sum!$O16+D$94*Mat_Sum!$AL16+D$95*Mat_Sum!$AN16)+D$45*Battery_Assembly!$C62)*(1+$B$28)</f>
        <v>0.43551973935691085</v>
      </c>
      <c r="E100" s="496">
        <f ca="1">((E$92*Mat_Sum!$AQ16+E$93*Mat_Sum!$O16+E$94*Mat_Sum!$AL16+E$95*Mat_Sum!$AN16)+E$45*Battery_Assembly!$C62)*(1+$B$28)</f>
        <v>0.28308783058199205</v>
      </c>
      <c r="F100" s="496">
        <f ca="1">((F$92*Mat_Sum!$AQ16+F$93*Mat_Sum!$O16+F$94*Mat_Sum!$AL16+F$95*Mat_Sum!$AN16)+F$45*Battery_Assembly!$C62)*(1+$B$29)</f>
        <v>0.43551973935691085</v>
      </c>
      <c r="G100" s="496">
        <f ca="1">((G$92*Mat_Sum!$AQ16+G$93*Mat_Sum!$O16+G$94*Mat_Sum!$AL16+G$95*Mat_Sum!$AN16)+G$45*Battery_Assembly!$C62)*(1+$B$29)</f>
        <v>0.28308783058199205</v>
      </c>
      <c r="H100" s="496">
        <f ca="1">((H$92*Mat_Sum!$AQ16+H$93*Mat_Sum!$O16+H$94*Mat_Sum!$AL16+H$95*Mat_Sum!$AN16)+H$45*Battery_Assembly!$C62)*(1+$B$30)</f>
        <v>0.43551973935691085</v>
      </c>
      <c r="I100" s="496">
        <f ca="1">((I$92*Mat_Sum!$AQ16+I$93*Mat_Sum!$O16+I$94*Mat_Sum!$AL16+I$95*Mat_Sum!$AN16)+I$45*Battery_Assembly!$C62)*(1+$B$30)</f>
        <v>0.28308783058199205</v>
      </c>
      <c r="J100" s="496">
        <f ca="1">((J$92*Mat_Sum!$AQ16+J$93*Mat_Sum!$O16+J$94*Mat_Sum!$AL16+J$95*Mat_Sum!$AN16)+J$45*Battery_Assembly!$C62)*(1+$B$31)</f>
        <v>0.43551973935691085</v>
      </c>
      <c r="K100" s="497">
        <f ca="1">((K$92*Mat_Sum!$AQ16+K$93*Mat_Sum!$O16+K$94*Mat_Sum!$AL16+K$95*Mat_Sum!$AN16)+K$45*Battery_Assembly!$C62)*(1+$B$31)</f>
        <v>0.28308783058199205</v>
      </c>
    </row>
    <row r="101" spans="1:12" s="496" customFormat="1">
      <c r="A101" s="491" t="s">
        <v>805</v>
      </c>
      <c r="B101" s="496">
        <f ca="1">((B$92*Mat_Sum!$AQ17+B$93*Mat_Sum!$O17+B$94*Mat_Sum!$AL17+B$95*Mat_Sum!$AN17)+B$45*Battery_Assembly!$C63)*(1+$B$27)</f>
        <v>0.31740980568035321</v>
      </c>
      <c r="C101" s="496">
        <f ca="1">((C$92*Mat_Sum!$AQ17+C$93*Mat_Sum!$O17+C$94*Mat_Sum!$AL17+C$95*Mat_Sum!$AN17)+C$45*Battery_Assembly!$C63)*(1+$B$27)</f>
        <v>0.20631637369222966</v>
      </c>
      <c r="D101" s="496">
        <f ca="1">((D$92*Mat_Sum!$AQ17+D$93*Mat_Sum!$O17+D$94*Mat_Sum!$AL17+D$95*Mat_Sum!$AN17)+D$45*Battery_Assembly!$C63)*(1+$B$28)</f>
        <v>0.19485435293155023</v>
      </c>
      <c r="E101" s="496">
        <f ca="1">((E$92*Mat_Sum!$AQ17+E$93*Mat_Sum!$O17+E$94*Mat_Sum!$AL17+E$95*Mat_Sum!$AN17)+E$45*Battery_Assembly!$C63)*(1+$B$28)</f>
        <v>0.12665532940550767</v>
      </c>
      <c r="F101" s="496">
        <f ca="1">((F$92*Mat_Sum!$AQ17+F$93*Mat_Sum!$O17+F$94*Mat_Sum!$AL17+F$95*Mat_Sum!$AN17)+F$45*Battery_Assembly!$C63)*(1+$B$29)</f>
        <v>0.19485435293155023</v>
      </c>
      <c r="G101" s="496">
        <f ca="1">((G$92*Mat_Sum!$AQ17+G$93*Mat_Sum!$O17+G$94*Mat_Sum!$AL17+G$95*Mat_Sum!$AN17)+G$45*Battery_Assembly!$C63)*(1+$B$29)</f>
        <v>0.12665532940550767</v>
      </c>
      <c r="H101" s="496">
        <f ca="1">((H$92*Mat_Sum!$AQ17+H$93*Mat_Sum!$O17+H$94*Mat_Sum!$AL17+H$95*Mat_Sum!$AN17)+H$45*Battery_Assembly!$C63)*(1+$B$30)</f>
        <v>0.19485435293155023</v>
      </c>
      <c r="I101" s="496">
        <f ca="1">((I$92*Mat_Sum!$AQ17+I$93*Mat_Sum!$O17+I$94*Mat_Sum!$AL17+I$95*Mat_Sum!$AN17)+I$45*Battery_Assembly!$C63)*(1+$B$30)</f>
        <v>0.12665532940550767</v>
      </c>
      <c r="J101" s="496">
        <f ca="1">((J$92*Mat_Sum!$AQ17+J$93*Mat_Sum!$O17+J$94*Mat_Sum!$AL17+J$95*Mat_Sum!$AN17)+J$45*Battery_Assembly!$C63)*(1+$B$31)</f>
        <v>0.19485435293155023</v>
      </c>
      <c r="K101" s="497">
        <f ca="1">((K$92*Mat_Sum!$AQ17+K$93*Mat_Sum!$O17+K$94*Mat_Sum!$AL17+K$95*Mat_Sum!$AN17)+K$45*Battery_Assembly!$C63)*(1+$B$31)</f>
        <v>0.12665532940550767</v>
      </c>
    </row>
    <row r="102" spans="1:12" s="496" customFormat="1">
      <c r="A102" s="491" t="s">
        <v>804</v>
      </c>
      <c r="B102" s="496">
        <f t="shared" ref="B102:K102" ca="1" si="6">B100-B101-B103</f>
        <v>0.24323099461409153</v>
      </c>
      <c r="C102" s="496">
        <f t="shared" ca="1" si="6"/>
        <v>0.15810014649915949</v>
      </c>
      <c r="D102" s="496">
        <f t="shared" ca="1" si="6"/>
        <v>0.149316805026984</v>
      </c>
      <c r="E102" s="496">
        <f t="shared" ca="1" si="6"/>
        <v>9.7055923267539576E-2</v>
      </c>
      <c r="F102" s="496">
        <f t="shared" ca="1" si="6"/>
        <v>0.149316805026984</v>
      </c>
      <c r="G102" s="496">
        <f t="shared" ca="1" si="6"/>
        <v>9.7055923267539576E-2</v>
      </c>
      <c r="H102" s="496">
        <f t="shared" ca="1" si="6"/>
        <v>0.149316805026984</v>
      </c>
      <c r="I102" s="496">
        <f t="shared" ca="1" si="6"/>
        <v>9.7055923267539576E-2</v>
      </c>
      <c r="J102" s="496">
        <f t="shared" ca="1" si="6"/>
        <v>0.149316805026984</v>
      </c>
      <c r="K102" s="497">
        <f t="shared" ca="1" si="6"/>
        <v>9.7055923267539576E-2</v>
      </c>
    </row>
    <row r="103" spans="1:12" s="496" customFormat="1">
      <c r="A103" s="491" t="s">
        <v>818</v>
      </c>
      <c r="B103" s="496">
        <f ca="1">((B$92*Mat_Sum!$AQ19+B$93*Mat_Sum!$O19+B$94*Mat_Sum!$AL19+B$95*Mat_Sum!$AN19)+B$45*Battery_Assembly!$C65)*(1+$B$27)</f>
        <v>0.14880311901998</v>
      </c>
      <c r="C103" s="496">
        <f ca="1">((C$92*Mat_Sum!$AQ19+C$93*Mat_Sum!$O19+C$94*Mat_Sum!$AL19+C$95*Mat_Sum!$AN19)+C$45*Battery_Assembly!$C65)*(1+$B$27)</f>
        <v>9.6722027362987018E-2</v>
      </c>
      <c r="D103" s="496">
        <f ca="1">((D$92*Mat_Sum!$AQ19+D$93*Mat_Sum!$O19+D$94*Mat_Sum!$AL19+D$95*Mat_Sum!$AN19)+D$45*Battery_Assembly!$C65)*(1+$B$28)</f>
        <v>9.1348581398376621E-2</v>
      </c>
      <c r="E103" s="496">
        <f ca="1">((E$92*Mat_Sum!$AQ19+E$93*Mat_Sum!$O19+E$94*Mat_Sum!$AL19+E$95*Mat_Sum!$AN19)+E$45*Battery_Assembly!$C65)*(1+$B$28)</f>
        <v>5.9376577908944808E-2</v>
      </c>
      <c r="F103" s="496">
        <f ca="1">((F$92*Mat_Sum!$AQ19+F$93*Mat_Sum!$O19+F$94*Mat_Sum!$AL19+F$95*Mat_Sum!$AN19)+F$45*Battery_Assembly!$C65)*(1+$B$29)</f>
        <v>9.1348581398376621E-2</v>
      </c>
      <c r="G103" s="496">
        <f ca="1">((G$92*Mat_Sum!$AQ19+G$93*Mat_Sum!$O19+G$94*Mat_Sum!$AL19+G$95*Mat_Sum!$AN19)+G$45*Battery_Assembly!$C65)*(1+$B$29)</f>
        <v>5.9376577908944808E-2</v>
      </c>
      <c r="H103" s="496">
        <f ca="1">((H$92*Mat_Sum!$AQ19+H$93*Mat_Sum!$O19+H$94*Mat_Sum!$AL19+H$95*Mat_Sum!$AN19)+H$45*Battery_Assembly!$C65)*(1+$B$30)</f>
        <v>9.1348581398376621E-2</v>
      </c>
      <c r="I103" s="496">
        <f ca="1">((I$92*Mat_Sum!$AQ19+I$93*Mat_Sum!$O19+I$94*Mat_Sum!$AL19+I$95*Mat_Sum!$AN19)+I$45*Battery_Assembly!$C65)*(1+$B$30)</f>
        <v>5.9376577908944808E-2</v>
      </c>
      <c r="J103" s="496">
        <f ca="1">((J$92*Mat_Sum!$AQ19+J$93*Mat_Sum!$O19+J$94*Mat_Sum!$AL19+J$95*Mat_Sum!$AN19)+J$45*Battery_Assembly!$C65)*(1+$B$31)</f>
        <v>9.1348581398376621E-2</v>
      </c>
      <c r="K103" s="497">
        <f ca="1">((K$92*Mat_Sum!$AQ19+K$93*Mat_Sum!$O19+K$94*Mat_Sum!$AL19+K$95*Mat_Sum!$AN19)+K$45*Battery_Assembly!$C65)*(1+$B$31)</f>
        <v>5.9376577908944808E-2</v>
      </c>
    </row>
    <row r="104" spans="1:12" s="535" customFormat="1">
      <c r="A104" s="745" t="s">
        <v>819</v>
      </c>
      <c r="B104" s="47">
        <f ca="1">((B$92*Mat_Sum!$AQ20+B$93*Mat_Sum!$O20+B$94*Mat_Sum!$AL20+B$95*Mat_Sum!$AN20)+B$45*Battery_Assembly!$C66+B96/8.344)*(1+$B$27)</f>
        <v>18.235997265678336</v>
      </c>
      <c r="C104" s="47">
        <f ca="1">((C$92*Mat_Sum!$AQ20+C$93*Mat_Sum!$O20+C$94*Mat_Sum!$AL20+C$95*Mat_Sum!$AN20)+C$45*Battery_Assembly!$C66+C96/8.344)*(1+$B$27)</f>
        <v>11.85339822269092</v>
      </c>
      <c r="D104" s="47">
        <f ca="1">((D$92*Mat_Sum!$AQ20+D$93*Mat_Sum!$O20+D$94*Mat_Sum!$AL20+D$95*Mat_Sum!$AN20)+D$45*Battery_Assembly!$C66+D96/8.344)*(1+$B$28)</f>
        <v>11.194876099208091</v>
      </c>
      <c r="E104" s="47">
        <f ca="1">((E$92*Mat_Sum!$AQ20+E$93*Mat_Sum!$O20+E$94*Mat_Sum!$AL20+E$95*Mat_Sum!$AN20)+E$45*Battery_Assembly!$C66+E96/8.344)*(1+$B$28)</f>
        <v>7.2766694644852592</v>
      </c>
      <c r="F104" s="47">
        <f ca="1">((F$92*Mat_Sum!$AQ20+F$93*Mat_Sum!$O20+F$94*Mat_Sum!$AL20+F$95*Mat_Sum!$AN20)+F$45*Battery_Assembly!$C66+F96/8.344)*(1+$B$29)</f>
        <v>11.194876099208091</v>
      </c>
      <c r="G104" s="47">
        <f ca="1">((G$92*Mat_Sum!$AQ20+G$93*Mat_Sum!$O20+G$94*Mat_Sum!$AL20+G$95*Mat_Sum!$AN20)+G$45*Battery_Assembly!$C66+G96/8.344)*(1+$B$29)</f>
        <v>7.2766694644852592</v>
      </c>
      <c r="H104" s="47">
        <f ca="1">((H$92*Mat_Sum!$AQ20+H$93*Mat_Sum!$O20+H$94*Mat_Sum!$AL20+H$95*Mat_Sum!$AN20)+H$45*Battery_Assembly!$C66+H96/8.344)*(1+$B$30)</f>
        <v>11.194876099208091</v>
      </c>
      <c r="I104" s="47">
        <f ca="1">((I$92*Mat_Sum!$AQ20+I$93*Mat_Sum!$O20+I$94*Mat_Sum!$AL20+I$95*Mat_Sum!$AN20)+I$45*Battery_Assembly!$C66+I96/8.344)*(1+$B$30)</f>
        <v>7.2766694644852592</v>
      </c>
      <c r="J104" s="47">
        <f ca="1">((J$92*Mat_Sum!$AQ20+J$93*Mat_Sum!$O20+J$94*Mat_Sum!$AL20+J$95*Mat_Sum!$AN20)+J$45*Battery_Assembly!$C66+J96/8.344)*(1+$B$31)</f>
        <v>11.194876099208091</v>
      </c>
      <c r="K104" s="245">
        <f ca="1">((K$92*Mat_Sum!$AQ20+K$93*Mat_Sum!$O20+K$94*Mat_Sum!$AL20+K$95*Mat_Sum!$AN20)+K$45*Battery_Assembly!$C66+K96/8.344)*(1+$B$31)</f>
        <v>7.2766694644852592</v>
      </c>
    </row>
    <row r="105" spans="1:12" s="496" customFormat="1">
      <c r="A105" s="851" t="s">
        <v>1520</v>
      </c>
      <c r="B105" s="506"/>
      <c r="C105" s="506"/>
      <c r="D105" s="506"/>
      <c r="E105" s="506"/>
      <c r="F105" s="506"/>
      <c r="G105" s="506"/>
      <c r="H105" s="506"/>
      <c r="I105" s="506"/>
      <c r="J105" s="506"/>
      <c r="K105" s="507"/>
    </row>
    <row r="106" spans="1:12" s="496" customFormat="1">
      <c r="A106" s="491" t="s">
        <v>821</v>
      </c>
      <c r="B106" s="496">
        <f ca="1">((B$92*Mat_Sum!$AQ22+B$93*Mat_Sum!$O22+B$94*Mat_Sum!$AL22+B$95*Mat_Sum!$AN22)+B$45*Battery_Assembly!$C68)*(1+$B$27)</f>
        <v>20.932199749037338</v>
      </c>
      <c r="C106" s="496">
        <f ca="1">((C$92*Mat_Sum!$AQ22+C$93*Mat_Sum!$O22+C$94*Mat_Sum!$AL22+C$95*Mat_Sum!$AN22)+C$45*Battery_Assembly!$C68)*(1+$B$27)</f>
        <v>13.605929836874276</v>
      </c>
      <c r="D106" s="496">
        <f ca="1">((D$92*Mat_Sum!$AQ22+D$93*Mat_Sum!$O22+D$94*Mat_Sum!$AL22+D$95*Mat_Sum!$AN22)+D$45*Battery_Assembly!$C68)*(1+$B$28)</f>
        <v>12.850044845936814</v>
      </c>
      <c r="E106" s="496">
        <f ca="1">((E$92*Mat_Sum!$AQ22+E$93*Mat_Sum!$O22+E$94*Mat_Sum!$AL22+E$95*Mat_Sum!$AN22)+E$45*Battery_Assembly!$C68)*(1+$B$28)</f>
        <v>8.3525291498589294</v>
      </c>
      <c r="F106" s="496">
        <f ca="1">((F$92*Mat_Sum!$AQ22+F$93*Mat_Sum!$O22+F$94*Mat_Sum!$AL22+F$95*Mat_Sum!$AN22)+F$45*Battery_Assembly!$C68)*(1+$B$29)</f>
        <v>12.850044845936814</v>
      </c>
      <c r="G106" s="496">
        <f ca="1">((G$92*Mat_Sum!$AQ22+G$93*Mat_Sum!$O22+G$94*Mat_Sum!$AL22+G$95*Mat_Sum!$AN22)+G$45*Battery_Assembly!$C68)*(1+$B$29)</f>
        <v>8.3525291498589294</v>
      </c>
      <c r="H106" s="496">
        <f ca="1">((H$92*Mat_Sum!$AQ22+H$93*Mat_Sum!$O22+H$94*Mat_Sum!$AL22+H$95*Mat_Sum!$AN22)+H$45*Battery_Assembly!$C68)*(1+$B$30)</f>
        <v>12.850044845936814</v>
      </c>
      <c r="I106" s="496">
        <f ca="1">((I$92*Mat_Sum!$AQ22+I$93*Mat_Sum!$O22+I$94*Mat_Sum!$AL22+I$95*Mat_Sum!$AN22)+I$45*Battery_Assembly!$C68)*(1+$B$30)</f>
        <v>8.3525291498589294</v>
      </c>
      <c r="J106" s="496">
        <f ca="1">((J$92*Mat_Sum!$AQ22+J$93*Mat_Sum!$O22+J$94*Mat_Sum!$AL22+J$95*Mat_Sum!$AN22)+J$45*Battery_Assembly!$C68)*(1+$B$31)</f>
        <v>12.850044845936814</v>
      </c>
      <c r="K106" s="497">
        <f ca="1">((K$92*Mat_Sum!$AQ22+K$93*Mat_Sum!$O22+K$94*Mat_Sum!$AL22+K$95*Mat_Sum!$AN22)+K$45*Battery_Assembly!$C68)*(1+$B$31)</f>
        <v>8.3525291498589294</v>
      </c>
      <c r="L106" s="851"/>
    </row>
    <row r="107" spans="1:12" s="496" customFormat="1">
      <c r="A107" s="491" t="s">
        <v>822</v>
      </c>
      <c r="B107" s="496">
        <f ca="1">((B$92*Mat_Sum!$AQ23+B$93*Mat_Sum!$O23+B$94*Mat_Sum!$AL23+B$95*Mat_Sum!$AN23)+B$45*Battery_Assembly!$C69)*(1+$B$27)</f>
        <v>36.869912343632578</v>
      </c>
      <c r="C107" s="496">
        <f ca="1">((C$92*Mat_Sum!$AQ23+C$93*Mat_Sum!$O23+C$94*Mat_Sum!$AL23+C$95*Mat_Sum!$AN23)+C$45*Battery_Assembly!$C69)*(1+$B$27)</f>
        <v>23.965443023361182</v>
      </c>
      <c r="D107" s="496">
        <f ca="1">((D$92*Mat_Sum!$AQ23+D$93*Mat_Sum!$O23+D$94*Mat_Sum!$AL23+D$95*Mat_Sum!$AN23)+D$45*Battery_Assembly!$C69)*(1+$B$28)</f>
        <v>22.634029522063344</v>
      </c>
      <c r="E107" s="496">
        <f ca="1">((E$92*Mat_Sum!$AQ23+E$93*Mat_Sum!$O23+E$94*Mat_Sum!$AL23+E$95*Mat_Sum!$AN23)+E$45*Battery_Assembly!$C69)*(1+$B$28)</f>
        <v>14.712119189341173</v>
      </c>
      <c r="F107" s="496">
        <f ca="1">((F$92*Mat_Sum!$AQ23+F$93*Mat_Sum!$O23+F$94*Mat_Sum!$AL23+F$95*Mat_Sum!$AN23)+F$45*Battery_Assembly!$C69)*(1+$B$29)</f>
        <v>22.634029522063344</v>
      </c>
      <c r="G107" s="496">
        <f ca="1">((G$92*Mat_Sum!$AQ23+G$93*Mat_Sum!$O23+G$94*Mat_Sum!$AL23+G$95*Mat_Sum!$AN23)+G$45*Battery_Assembly!$C69)*(1+$B$29)</f>
        <v>14.712119189341173</v>
      </c>
      <c r="H107" s="496">
        <f ca="1">((H$92*Mat_Sum!$AQ23+H$93*Mat_Sum!$O23+H$94*Mat_Sum!$AL23+H$95*Mat_Sum!$AN23)+H$45*Battery_Assembly!$C69)*(1+$B$30)</f>
        <v>22.634029522063344</v>
      </c>
      <c r="I107" s="496">
        <f ca="1">((I$92*Mat_Sum!$AQ23+I$93*Mat_Sum!$O23+I$94*Mat_Sum!$AL23+I$95*Mat_Sum!$AN23)+I$45*Battery_Assembly!$C69)*(1+$B$30)</f>
        <v>14.712119189341173</v>
      </c>
      <c r="J107" s="496">
        <f ca="1">((J$92*Mat_Sum!$AQ23+J$93*Mat_Sum!$O23+J$94*Mat_Sum!$AL23+J$95*Mat_Sum!$AN23)+J$45*Battery_Assembly!$C69)*(1+$B$31)</f>
        <v>22.634029522063344</v>
      </c>
      <c r="K107" s="497">
        <f ca="1">((K$92*Mat_Sum!$AQ23+K$93*Mat_Sum!$O23+K$94*Mat_Sum!$AL23+K$95*Mat_Sum!$AN23)+K$45*Battery_Assembly!$C69)*(1+$B$31)</f>
        <v>14.712119189341173</v>
      </c>
      <c r="L107" s="491"/>
    </row>
    <row r="108" spans="1:12" s="496" customFormat="1">
      <c r="A108" s="491" t="s">
        <v>823</v>
      </c>
      <c r="B108" s="496">
        <f ca="1">((B$92*Mat_Sum!$AQ24+B$93*Mat_Sum!$O24+B$94*Mat_Sum!$AL24+B$95*Mat_Sum!$AN24)+B$45*Battery_Assembly!$C70)*(1+$B$27)</f>
        <v>43.011906152276765</v>
      </c>
      <c r="C108" s="496">
        <f ca="1">((C$92*Mat_Sum!$AQ24+C$93*Mat_Sum!$O24+C$94*Mat_Sum!$AL24+C$95*Mat_Sum!$AN24)+C$45*Battery_Assembly!$C70)*(1+$B$27)</f>
        <v>27.957738998979906</v>
      </c>
      <c r="D108" s="496">
        <f ca="1">((D$92*Mat_Sum!$AQ24+D$93*Mat_Sum!$O24+D$94*Mat_Sum!$AL24+D$95*Mat_Sum!$AN24)+D$45*Battery_Assembly!$C70)*(1+$B$28)</f>
        <v>26.404531276814353</v>
      </c>
      <c r="E108" s="496">
        <f ca="1">((E$92*Mat_Sum!$AQ24+E$93*Mat_Sum!$O24+E$94*Mat_Sum!$AL24+E$95*Mat_Sum!$AN24)+E$45*Battery_Assembly!$C70)*(1+$B$28)</f>
        <v>17.162945329929332</v>
      </c>
      <c r="F108" s="496">
        <f ca="1">((F$92*Mat_Sum!$AQ24+F$93*Mat_Sum!$O24+F$94*Mat_Sum!$AL24+F$95*Mat_Sum!$AN24)+F$45*Battery_Assembly!$C70)*(1+$B$29)</f>
        <v>26.404531276814353</v>
      </c>
      <c r="G108" s="496">
        <f ca="1">((G$92*Mat_Sum!$AQ24+G$93*Mat_Sum!$O24+G$94*Mat_Sum!$AL24+G$95*Mat_Sum!$AN24)+G$45*Battery_Assembly!$C70)*(1+$B$29)</f>
        <v>17.162945329929332</v>
      </c>
      <c r="H108" s="496">
        <f ca="1">((H$92*Mat_Sum!$AQ24+H$93*Mat_Sum!$O24+H$94*Mat_Sum!$AL24+H$95*Mat_Sum!$AN24)+H$45*Battery_Assembly!$C70)*(1+$B$30)</f>
        <v>26.404531276814353</v>
      </c>
      <c r="I108" s="496">
        <f ca="1">((I$92*Mat_Sum!$AQ24+I$93*Mat_Sum!$O24+I$94*Mat_Sum!$AL24+I$95*Mat_Sum!$AN24)+I$45*Battery_Assembly!$C70)*(1+$B$30)</f>
        <v>17.162945329929332</v>
      </c>
      <c r="J108" s="496">
        <f ca="1">((J$92*Mat_Sum!$AQ24+J$93*Mat_Sum!$O24+J$94*Mat_Sum!$AL24+J$95*Mat_Sum!$AN24)+J$45*Battery_Assembly!$C70)*(1+$B$31)</f>
        <v>26.404531276814353</v>
      </c>
      <c r="K108" s="497">
        <f ca="1">((K$92*Mat_Sum!$AQ24+K$93*Mat_Sum!$O24+K$94*Mat_Sum!$AL24+K$95*Mat_Sum!$AN24)+K$45*Battery_Assembly!$C70)*(1+$B$31)</f>
        <v>17.162945329929332</v>
      </c>
      <c r="L108" s="491"/>
    </row>
    <row r="109" spans="1:12" s="496" customFormat="1">
      <c r="A109" s="491" t="s">
        <v>824</v>
      </c>
      <c r="B109" s="496">
        <f ca="1">((B$92*Mat_Sum!$AQ25+B$93*Mat_Sum!$O25+B$94*Mat_Sum!$AL25+B$95*Mat_Sum!$AN25)+B$45*Battery_Assembly!$C71)*(1+$B$27)</f>
        <v>49.780803925951574</v>
      </c>
      <c r="C109" s="496">
        <f ca="1">((C$92*Mat_Sum!$AQ25+C$93*Mat_Sum!$O25+C$94*Mat_Sum!$AL25+C$95*Mat_Sum!$AN25)+C$45*Battery_Assembly!$C71)*(1+$B$27)</f>
        <v>32.357522551868527</v>
      </c>
      <c r="D109" s="496">
        <f ca="1">((D$92*Mat_Sum!$AQ25+D$93*Mat_Sum!$O25+D$94*Mat_Sum!$AL25+D$95*Mat_Sum!$AN25)+D$45*Battery_Assembly!$C71)*(1+$B$28)</f>
        <v>30.559882410098055</v>
      </c>
      <c r="E109" s="496">
        <f ca="1">((E$92*Mat_Sum!$AQ25+E$93*Mat_Sum!$O25+E$94*Mat_Sum!$AL25+E$95*Mat_Sum!$AN25)+E$45*Battery_Assembly!$C71)*(1+$B$28)</f>
        <v>19.863923566563738</v>
      </c>
      <c r="F109" s="496">
        <f ca="1">((F$92*Mat_Sum!$AQ25+F$93*Mat_Sum!$O25+F$94*Mat_Sum!$AL25+F$95*Mat_Sum!$AN25)+F$45*Battery_Assembly!$C71)*(1+$B$29)</f>
        <v>30.559882410098055</v>
      </c>
      <c r="G109" s="496">
        <f ca="1">((G$92*Mat_Sum!$AQ25+G$93*Mat_Sum!$O25+G$94*Mat_Sum!$AL25+G$95*Mat_Sum!$AN25)+G$45*Battery_Assembly!$C71)*(1+$B$29)</f>
        <v>19.863923566563738</v>
      </c>
      <c r="H109" s="496">
        <f ca="1">((H$92*Mat_Sum!$AQ25+H$93*Mat_Sum!$O25+H$94*Mat_Sum!$AL25+H$95*Mat_Sum!$AN25)+H$45*Battery_Assembly!$C71)*(1+$B$30)</f>
        <v>30.559882410098055</v>
      </c>
      <c r="I109" s="496">
        <f ca="1">((I$92*Mat_Sum!$AQ25+I$93*Mat_Sum!$O25+I$94*Mat_Sum!$AL25+I$95*Mat_Sum!$AN25)+I$45*Battery_Assembly!$C71)*(1+$B$30)</f>
        <v>19.863923566563738</v>
      </c>
      <c r="J109" s="496">
        <f ca="1">((J$92*Mat_Sum!$AQ25+J$93*Mat_Sum!$O25+J$94*Mat_Sum!$AL25+J$95*Mat_Sum!$AN25)+J$45*Battery_Assembly!$C71)*(1+$B$31)</f>
        <v>30.559882410098055</v>
      </c>
      <c r="K109" s="497">
        <f ca="1">((K$92*Mat_Sum!$AQ25+K$93*Mat_Sum!$O25+K$94*Mat_Sum!$AL25+K$95*Mat_Sum!$AN25)+K$45*Battery_Assembly!$C71)*(1+$B$31)</f>
        <v>19.863923566563738</v>
      </c>
      <c r="L109" s="491"/>
    </row>
    <row r="110" spans="1:12" s="349" customFormat="1">
      <c r="A110" s="494" t="s">
        <v>825</v>
      </c>
      <c r="B110" s="349">
        <f ca="1">((B$92*Mat_Sum!$AQ26+B$93*Mat_Sum!$O26+B$94*Mat_Sum!$AL26+B$95*Mat_Sum!$AN26)+B$45*Battery_Assembly!$C72)*(1+$B$27)</f>
        <v>24.601525076374262</v>
      </c>
      <c r="C110" s="349">
        <f ca="1">((C$92*Mat_Sum!$AQ26+C$93*Mat_Sum!$O26+C$94*Mat_Sum!$AL26+C$95*Mat_Sum!$AN26)+C$45*Battery_Assembly!$C72)*(1+$B$27)</f>
        <v>15.990991299643269</v>
      </c>
      <c r="D110" s="349">
        <f ca="1">((D$92*Mat_Sum!$AQ26+D$93*Mat_Sum!$O26+D$94*Mat_Sum!$AL26+D$95*Mat_Sum!$AN26)+D$45*Battery_Assembly!$C72)*(1+$B$28)</f>
        <v>15.102602894107534</v>
      </c>
      <c r="E110" s="349">
        <f ca="1">((E$92*Mat_Sum!$AQ26+E$93*Mat_Sum!$O26+E$94*Mat_Sum!$AL26+E$95*Mat_Sum!$AN26)+E$45*Battery_Assembly!$C72)*(1+$B$28)</f>
        <v>9.8166918811698967</v>
      </c>
      <c r="F110" s="349">
        <f ca="1">((F$92*Mat_Sum!$AQ26+F$93*Mat_Sum!$O26+F$94*Mat_Sum!$AL26+F$95*Mat_Sum!$AN26)+F$45*Battery_Assembly!$C72)*(1+$B$29)</f>
        <v>15.102602894107534</v>
      </c>
      <c r="G110" s="349">
        <f ca="1">((G$92*Mat_Sum!$AQ26+G$93*Mat_Sum!$O26+G$94*Mat_Sum!$AL26+G$95*Mat_Sum!$AN26)+G$45*Battery_Assembly!$C72)*(1+$B$29)</f>
        <v>9.8166918811698967</v>
      </c>
      <c r="H110" s="349">
        <f ca="1">((H$92*Mat_Sum!$AQ26+H$93*Mat_Sum!$O26+H$94*Mat_Sum!$AL26+H$95*Mat_Sum!$AN26)+H$45*Battery_Assembly!$C72)*(1+$B$30)</f>
        <v>15.102602894107534</v>
      </c>
      <c r="I110" s="349">
        <f ca="1">((I$92*Mat_Sum!$AQ26+I$93*Mat_Sum!$O26+I$94*Mat_Sum!$AL26+I$95*Mat_Sum!$AN26)+I$45*Battery_Assembly!$C72)*(1+$B$30)</f>
        <v>9.8166918811698967</v>
      </c>
      <c r="J110" s="349">
        <f ca="1">((J$92*Mat_Sum!$AQ26+J$93*Mat_Sum!$O26+J$94*Mat_Sum!$AL26+J$95*Mat_Sum!$AN26)+J$45*Battery_Assembly!$C72)*(1+$B$31)</f>
        <v>15.102602894107534</v>
      </c>
      <c r="K110" s="348">
        <f ca="1">((K$92*Mat_Sum!$AQ26+K$93*Mat_Sum!$O26+K$94*Mat_Sum!$AL26+K$95*Mat_Sum!$AN26)+K$45*Battery_Assembly!$C72)*(1+$B$31)</f>
        <v>9.8166918811698967</v>
      </c>
      <c r="L110" s="491"/>
    </row>
    <row r="111" spans="1:12" s="349" customFormat="1">
      <c r="A111" s="494" t="s">
        <v>826</v>
      </c>
      <c r="B111" s="349">
        <f ca="1">((B$92*Mat_Sum!$AQ27+B$93*Mat_Sum!$O27+B$94*Mat_Sum!$AL27+B$95*Mat_Sum!$AN27)+B$45*Battery_Assembly!$C73)*(1+$B$27)</f>
        <v>479.07287556241079</v>
      </c>
      <c r="C111" s="349">
        <f ca="1">((C$92*Mat_Sum!$AQ27+C$93*Mat_Sum!$O27+C$94*Mat_Sum!$AL27+C$95*Mat_Sum!$AN27)+C$45*Battery_Assembly!$C73)*(1+$B$27)</f>
        <v>311.39736911556713</v>
      </c>
      <c r="D111" s="349">
        <f ca="1">((D$92*Mat_Sum!$AQ27+D$93*Mat_Sum!$O27+D$94*Mat_Sum!$AL27+D$95*Mat_Sum!$AN27)+D$45*Battery_Assembly!$C73)*(1+$B$28)</f>
        <v>294.09751527581335</v>
      </c>
      <c r="E111" s="349">
        <f ca="1">((E$92*Mat_Sum!$AQ27+E$93*Mat_Sum!$O27+E$94*Mat_Sum!$AL27+E$95*Mat_Sum!$AN27)+E$45*Battery_Assembly!$C73)*(1+$B$28)</f>
        <v>191.16338492927872</v>
      </c>
      <c r="F111" s="349">
        <f ca="1">((F$92*Mat_Sum!$AQ27+F$93*Mat_Sum!$O27+F$94*Mat_Sum!$AL27+F$95*Mat_Sum!$AN27)+F$45*Battery_Assembly!$C73)*(1+$B$29)</f>
        <v>294.09751527581335</v>
      </c>
      <c r="G111" s="349">
        <f ca="1">((G$92*Mat_Sum!$AQ27+G$93*Mat_Sum!$O27+G$94*Mat_Sum!$AL27+G$95*Mat_Sum!$AN27)+G$45*Battery_Assembly!$C73)*(1+$B$29)</f>
        <v>191.16338492927872</v>
      </c>
      <c r="H111" s="349">
        <f ca="1">((H$92*Mat_Sum!$AQ27+H$93*Mat_Sum!$O27+H$94*Mat_Sum!$AL27+H$95*Mat_Sum!$AN27)+H$45*Battery_Assembly!$C73)*(1+$B$30)</f>
        <v>294.09751527581335</v>
      </c>
      <c r="I111" s="349">
        <f ca="1">((I$92*Mat_Sum!$AQ27+I$93*Mat_Sum!$O27+I$94*Mat_Sum!$AL27+I$95*Mat_Sum!$AN27)+I$45*Battery_Assembly!$C73)*(1+$B$30)</f>
        <v>191.16338492927872</v>
      </c>
      <c r="J111" s="349">
        <f ca="1">((J$92*Mat_Sum!$AQ27+J$93*Mat_Sum!$O27+J$94*Mat_Sum!$AL27+J$95*Mat_Sum!$AN27)+J$45*Battery_Assembly!$C73)*(1+$B$31)</f>
        <v>294.09751527581335</v>
      </c>
      <c r="K111" s="348">
        <f ca="1">((K$92*Mat_Sum!$AQ27+K$93*Mat_Sum!$O27+K$94*Mat_Sum!$AL27+K$95*Mat_Sum!$AN27)+K$45*Battery_Assembly!$C73)*(1+$B$31)</f>
        <v>191.16338492927872</v>
      </c>
      <c r="L111" s="494"/>
    </row>
    <row r="112" spans="1:12" s="349" customFormat="1">
      <c r="A112" s="794" t="s">
        <v>827</v>
      </c>
      <c r="B112" s="349">
        <f ca="1">((B$92*Mat_Sum!$AQ28+B$93*Mat_Sum!$O28+B$94*Mat_Sum!$AL28+B$95*Mat_Sum!$AN28)+B$45*Battery_Assembly!$C74)*(1+$B$27)</f>
        <v>0.21484921430244031</v>
      </c>
      <c r="C112" s="349">
        <f ca="1">((C$92*Mat_Sum!$AQ28+C$93*Mat_Sum!$O28+C$94*Mat_Sum!$AL28+C$95*Mat_Sum!$AN28)+C$45*Battery_Assembly!$C74)*(1+$B$27)</f>
        <v>0.13965198929658623</v>
      </c>
      <c r="D112" s="349">
        <f ca="1">((D$92*Mat_Sum!$AQ28+D$93*Mat_Sum!$O28+D$94*Mat_Sum!$AL28+D$95*Mat_Sum!$AN28)+D$45*Battery_Assembly!$C74)*(1+$B$28)</f>
        <v>0.13189354544677587</v>
      </c>
      <c r="E112" s="349">
        <f ca="1">((E$92*Mat_Sum!$AQ28+E$93*Mat_Sum!$O28+E$94*Mat_Sum!$AL28+E$95*Mat_Sum!$AN28)+E$45*Battery_Assembly!$C74)*(1+$B$28)</f>
        <v>8.573080454040434E-2</v>
      </c>
      <c r="F112" s="349">
        <f ca="1">((F$92*Mat_Sum!$AQ28+F$93*Mat_Sum!$O28+F$94*Mat_Sum!$AL28+F$95*Mat_Sum!$AN28)+F$45*Battery_Assembly!$C74)*(1+$B$29)</f>
        <v>0.13189354544677587</v>
      </c>
      <c r="G112" s="349">
        <f ca="1">((G$92*Mat_Sum!$AQ28+G$93*Mat_Sum!$O28+G$94*Mat_Sum!$AL28+G$95*Mat_Sum!$AN28)+G$45*Battery_Assembly!$C74)*(1+$B$29)</f>
        <v>8.573080454040434E-2</v>
      </c>
      <c r="H112" s="349">
        <f ca="1">((H$92*Mat_Sum!$AQ28+H$93*Mat_Sum!$O28+H$94*Mat_Sum!$AL28+H$95*Mat_Sum!$AN28)+H$45*Battery_Assembly!$C74)*(1+$B$30)</f>
        <v>0.13189354544677587</v>
      </c>
      <c r="I112" s="349">
        <f ca="1">((I$92*Mat_Sum!$AQ28+I$93*Mat_Sum!$O28+I$94*Mat_Sum!$AL28+I$95*Mat_Sum!$AN28)+I$45*Battery_Assembly!$C74)*(1+$B$30)</f>
        <v>8.573080454040434E-2</v>
      </c>
      <c r="J112" s="349">
        <f ca="1">((J$92*Mat_Sum!$AQ28+J$93*Mat_Sum!$O28+J$94*Mat_Sum!$AL28+J$95*Mat_Sum!$AN28)+J$45*Battery_Assembly!$C74)*(1+$B$31)</f>
        <v>0.13189354544677587</v>
      </c>
      <c r="K112" s="348">
        <f ca="1">((K$92*Mat_Sum!$AQ28+K$93*Mat_Sum!$O28+K$94*Mat_Sum!$AL28+K$95*Mat_Sum!$AN28)+K$45*Battery_Assembly!$C74)*(1+$B$31)</f>
        <v>8.573080454040434E-2</v>
      </c>
      <c r="L112" s="494"/>
    </row>
    <row r="113" spans="1:12" s="349" customFormat="1">
      <c r="A113" s="794" t="s">
        <v>828</v>
      </c>
      <c r="B113" s="349">
        <f ca="1">((B$92*Mat_Sum!$AQ29+B$93*Mat_Sum!$O29+B$94*Mat_Sum!$AL29+B$95*Mat_Sum!$AN29)+B$45*Battery_Assembly!$C75)*(1+$B$27)</f>
        <v>0.51648963527125735</v>
      </c>
      <c r="C113" s="349">
        <f ca="1">((C$92*Mat_Sum!$AQ29+C$93*Mat_Sum!$O29+C$94*Mat_Sum!$AL29+C$95*Mat_Sum!$AN29)+C$45*Battery_Assembly!$C75)*(1+$B$27)</f>
        <v>0.33571826292631735</v>
      </c>
      <c r="D113" s="349">
        <f ca="1">((D$92*Mat_Sum!$AQ29+D$93*Mat_Sum!$O29+D$94*Mat_Sum!$AL29+D$95*Mat_Sum!$AN29)+D$45*Battery_Assembly!$C75)*(1+$B$28)</f>
        <v>0.31706724831929967</v>
      </c>
      <c r="E113" s="349">
        <f ca="1">((E$92*Mat_Sum!$AQ29+E$93*Mat_Sum!$O29+E$94*Mat_Sum!$AL29+E$95*Mat_Sum!$AN29)+E$45*Battery_Assembly!$C75)*(1+$B$28)</f>
        <v>0.20609371140754479</v>
      </c>
      <c r="F113" s="349">
        <f ca="1">((F$92*Mat_Sum!$AQ29+F$93*Mat_Sum!$O29+F$94*Mat_Sum!$AL29+F$95*Mat_Sum!$AN29)+F$45*Battery_Assembly!$C75)*(1+$B$29)</f>
        <v>0.31706724831929967</v>
      </c>
      <c r="G113" s="349">
        <f ca="1">((G$92*Mat_Sum!$AQ29+G$93*Mat_Sum!$O29+G$94*Mat_Sum!$AL29+G$95*Mat_Sum!$AN29)+G$45*Battery_Assembly!$C75)*(1+$B$29)</f>
        <v>0.20609371140754479</v>
      </c>
      <c r="H113" s="349">
        <f ca="1">((H$92*Mat_Sum!$AQ29+H$93*Mat_Sum!$O29+H$94*Mat_Sum!$AL29+H$95*Mat_Sum!$AN29)+H$45*Battery_Assembly!$C75)*(1+$B$30)</f>
        <v>0.31706724831929967</v>
      </c>
      <c r="I113" s="349">
        <f ca="1">((I$92*Mat_Sum!$AQ29+I$93*Mat_Sum!$O29+I$94*Mat_Sum!$AL29+I$95*Mat_Sum!$AN29)+I$45*Battery_Assembly!$C75)*(1+$B$30)</f>
        <v>0.20609371140754479</v>
      </c>
      <c r="J113" s="349">
        <f ca="1">((J$92*Mat_Sum!$AQ29+J$93*Mat_Sum!$O29+J$94*Mat_Sum!$AL29+J$95*Mat_Sum!$AN29)+J$45*Battery_Assembly!$C75)*(1+$B$31)</f>
        <v>0.31706724831929967</v>
      </c>
      <c r="K113" s="348">
        <f ca="1">((K$92*Mat_Sum!$AQ29+K$93*Mat_Sum!$O29+K$94*Mat_Sum!$AL29+K$95*Mat_Sum!$AN29)+K$45*Battery_Assembly!$C75)*(1+$B$31)</f>
        <v>0.20609371140754479</v>
      </c>
      <c r="L113" s="794"/>
    </row>
    <row r="114" spans="1:12" s="349" customFormat="1">
      <c r="A114" s="494" t="s">
        <v>829</v>
      </c>
      <c r="B114" s="349">
        <f ca="1">((B$92*Mat_Sum!$AQ30+B$93*Mat_Sum!$O30+B$94*Mat_Sum!$AL30+B$95*Mat_Sum!$AN30)+B$45*Battery_Assembly!$C76)*(1+$B$27)</f>
        <v>177.34847666883201</v>
      </c>
      <c r="C114" s="349">
        <f ca="1">((C$92*Mat_Sum!$AQ30+C$93*Mat_Sum!$O30+C$94*Mat_Sum!$AL30+C$95*Mat_Sum!$AN30)+C$45*Battery_Assembly!$C76)*(1+$B$27)</f>
        <v>115.27650983474085</v>
      </c>
      <c r="D114" s="349">
        <f ca="1">((D$92*Mat_Sum!$AQ30+D$93*Mat_Sum!$O30+D$94*Mat_Sum!$AL30+D$95*Mat_Sum!$AN30)+D$45*Battery_Assembly!$C76)*(1+$B$28)</f>
        <v>108.87225928836635</v>
      </c>
      <c r="E114" s="349">
        <f ca="1">((E$92*Mat_Sum!$AQ30+E$93*Mat_Sum!$O30+E$94*Mat_Sum!$AL30+E$95*Mat_Sum!$AN30)+E$45*Battery_Assembly!$C76)*(1+$B$28)</f>
        <v>70.766968537438132</v>
      </c>
      <c r="F114" s="349">
        <f ca="1">((F$92*Mat_Sum!$AQ30+F$93*Mat_Sum!$O30+F$94*Mat_Sum!$AL30+F$95*Mat_Sum!$AN30)+F$45*Battery_Assembly!$C76)*(1+$B$29)</f>
        <v>108.87225928836635</v>
      </c>
      <c r="G114" s="349">
        <f ca="1">((G$92*Mat_Sum!$AQ30+G$93*Mat_Sum!$O30+G$94*Mat_Sum!$AL30+G$95*Mat_Sum!$AN30)+G$45*Battery_Assembly!$C76)*(1+$B$29)</f>
        <v>70.766968537438132</v>
      </c>
      <c r="H114" s="349">
        <f ca="1">((H$92*Mat_Sum!$AQ30+H$93*Mat_Sum!$O30+H$94*Mat_Sum!$AL30+H$95*Mat_Sum!$AN30)+H$45*Battery_Assembly!$C76)*(1+$B$30)</f>
        <v>108.87225928836635</v>
      </c>
      <c r="I114" s="349">
        <f ca="1">((I$92*Mat_Sum!$AQ30+I$93*Mat_Sum!$O30+I$94*Mat_Sum!$AL30+I$95*Mat_Sum!$AN30)+I$45*Battery_Assembly!$C76)*(1+$B$30)</f>
        <v>70.766968537438132</v>
      </c>
      <c r="J114" s="349">
        <f ca="1">((J$92*Mat_Sum!$AQ30+J$93*Mat_Sum!$O30+J$94*Mat_Sum!$AL30+J$95*Mat_Sum!$AN30)+J$45*Battery_Assembly!$C76)*(1+$B$31)</f>
        <v>108.87225928836635</v>
      </c>
      <c r="K114" s="348">
        <f ca="1">((K$92*Mat_Sum!$AQ30+K$93*Mat_Sum!$O30+K$94*Mat_Sum!$AL30+K$95*Mat_Sum!$AN30)+K$45*Battery_Assembly!$C76)*(1+$B$31)</f>
        <v>70.766968537438132</v>
      </c>
      <c r="L114" s="794"/>
    </row>
    <row r="115" spans="1:12" s="349" customFormat="1">
      <c r="A115" s="494" t="s">
        <v>830</v>
      </c>
      <c r="B115" s="349">
        <f ca="1">((B$92*Mat_Sum!$AQ31+B$93*Mat_Sum!$O31+B$94*Mat_Sum!$AL31+B$95*Mat_Sum!$AN31)+B$45*Battery_Assembly!$C77)*(1+$B$27)</f>
        <v>0.61285299645038227</v>
      </c>
      <c r="C115" s="349">
        <f ca="1">((C$92*Mat_Sum!$AQ31+C$93*Mat_Sum!$O31+C$94*Mat_Sum!$AL31+C$95*Mat_Sum!$AN31)+C$45*Battery_Assembly!$C77)*(1+$B$27)</f>
        <v>0.39835444769274853</v>
      </c>
      <c r="D115" s="349">
        <f ca="1">((D$92*Mat_Sum!$AQ31+D$93*Mat_Sum!$O31+D$94*Mat_Sum!$AL31+D$95*Mat_Sum!$AN31)+D$45*Battery_Assembly!$C77)*(1+$B$28)</f>
        <v>0.37622364504315142</v>
      </c>
      <c r="E115" s="349">
        <f ca="1">((E$92*Mat_Sum!$AQ31+E$93*Mat_Sum!$O31+E$94*Mat_Sum!$AL31+E$95*Mat_Sum!$AN31)+E$45*Battery_Assembly!$C77)*(1+$B$28)</f>
        <v>0.2445453692780484</v>
      </c>
      <c r="F115" s="349">
        <f ca="1">((F$92*Mat_Sum!$AQ31+F$93*Mat_Sum!$O31+F$94*Mat_Sum!$AL31+F$95*Mat_Sum!$AN31)+F$45*Battery_Assembly!$C77)*(1+$B$29)</f>
        <v>0.37622364504315142</v>
      </c>
      <c r="G115" s="349">
        <f ca="1">((G$92*Mat_Sum!$AQ31+G$93*Mat_Sum!$O31+G$94*Mat_Sum!$AL31+G$95*Mat_Sum!$AN31)+G$45*Battery_Assembly!$C77)*(1+$B$29)</f>
        <v>0.2445453692780484</v>
      </c>
      <c r="H115" s="349">
        <f ca="1">((H$92*Mat_Sum!$AQ31+H$93*Mat_Sum!$O31+H$94*Mat_Sum!$AL31+H$95*Mat_Sum!$AN31)+H$45*Battery_Assembly!$C77)*(1+$B$30)</f>
        <v>0.37622364504315142</v>
      </c>
      <c r="I115" s="349">
        <f ca="1">((I$92*Mat_Sum!$AQ31+I$93*Mat_Sum!$O31+I$94*Mat_Sum!$AL31+I$95*Mat_Sum!$AN31)+I$45*Battery_Assembly!$C77)*(1+$B$30)</f>
        <v>0.2445453692780484</v>
      </c>
      <c r="J115" s="349">
        <f ca="1">((J$92*Mat_Sum!$AQ31+J$93*Mat_Sum!$O31+J$94*Mat_Sum!$AL31+J$95*Mat_Sum!$AN31)+J$45*Battery_Assembly!$C77)*(1+$B$31)</f>
        <v>0.37622364504315142</v>
      </c>
      <c r="K115" s="348">
        <f ca="1">((K$92*Mat_Sum!$AQ31+K$93*Mat_Sum!$O31+K$94*Mat_Sum!$AL31+K$95*Mat_Sum!$AN31)+K$45*Battery_Assembly!$C77)*(1+$B$31)</f>
        <v>0.2445453692780484</v>
      </c>
      <c r="L115" s="494"/>
    </row>
    <row r="116" spans="1:12" s="419" customFormat="1">
      <c r="A116" s="630" t="s">
        <v>831</v>
      </c>
      <c r="B116" s="246">
        <f ca="1">((B$92*Mat_Sum!$AQ32+B$93*Mat_Sum!$O32+B$94*Mat_Sum!$AL32+B$95*Mat_Sum!$AN32)+B$45*Battery_Assembly!$C78)*(1+$B$27)</f>
        <v>33034.394369044618</v>
      </c>
      <c r="C116" s="246">
        <f ca="1">((C$92*Mat_Sum!$AQ32+C$93*Mat_Sum!$O32+C$94*Mat_Sum!$AL32+C$95*Mat_Sum!$AN32)+C$45*Battery_Assembly!$C78)*(1+$B$27)</f>
        <v>21472.356339879007</v>
      </c>
      <c r="D116" s="246">
        <f ca="1">((D$92*Mat_Sum!$AQ32+D$93*Mat_Sum!$O32+D$94*Mat_Sum!$AL32+D$95*Mat_Sum!$AN32)+D$45*Battery_Assembly!$C78)*(1+$B$28)</f>
        <v>20279.447654330172</v>
      </c>
      <c r="E116" s="246">
        <f ca="1">((E$92*Mat_Sum!$AQ32+E$93*Mat_Sum!$O32+E$94*Mat_Sum!$AL32+E$95*Mat_Sum!$AN32)+E$45*Battery_Assembly!$C78)*(1+$B$28)</f>
        <v>13181.640975314611</v>
      </c>
      <c r="F116" s="246">
        <f ca="1">((F$92*Mat_Sum!$AQ32+F$93*Mat_Sum!$O32+F$94*Mat_Sum!$AL32+F$95*Mat_Sum!$AN32)+F$45*Battery_Assembly!$C78)*(1+$B$29)</f>
        <v>20279.447654330172</v>
      </c>
      <c r="G116" s="246">
        <f ca="1">((G$92*Mat_Sum!$AQ32+G$93*Mat_Sum!$O32+G$94*Mat_Sum!$AL32+G$95*Mat_Sum!$AN32)+G$45*Battery_Assembly!$C78)*(1+$B$29)</f>
        <v>13181.640975314611</v>
      </c>
      <c r="H116" s="246">
        <f ca="1">((H$92*Mat_Sum!$AQ32+H$93*Mat_Sum!$O32+H$94*Mat_Sum!$AL32+H$95*Mat_Sum!$AN32)+H$45*Battery_Assembly!$C78)*(1+$B$30)</f>
        <v>20279.447654330172</v>
      </c>
      <c r="I116" s="246">
        <f ca="1">((I$92*Mat_Sum!$AQ32+I$93*Mat_Sum!$O32+I$94*Mat_Sum!$AL32+I$95*Mat_Sum!$AN32)+I$45*Battery_Assembly!$C78)*(1+$B$30)</f>
        <v>13181.640975314611</v>
      </c>
      <c r="J116" s="246">
        <f ca="1">((J$92*Mat_Sum!$AQ32+J$93*Mat_Sum!$O32+J$94*Mat_Sum!$AL32+J$95*Mat_Sum!$AN32)+J$45*Battery_Assembly!$C78)*(1+$B$31)</f>
        <v>20279.447654330172</v>
      </c>
      <c r="K116" s="247">
        <f ca="1">((K$92*Mat_Sum!$AQ32+K$93*Mat_Sum!$O32+K$94*Mat_Sum!$AL32+K$95*Mat_Sum!$AN32)+K$45*Battery_Assembly!$C78)*(1+$B$31)</f>
        <v>13181.640975314611</v>
      </c>
      <c r="L116" s="494"/>
    </row>
    <row r="117" spans="1:12" s="419" customFormat="1">
      <c r="A117" s="630" t="s">
        <v>850</v>
      </c>
      <c r="B117" s="246">
        <f ca="1">((B$92*Mat_Sum!$AQ33+B$93*Mat_Sum!$O33+B$94*Mat_Sum!$AL33+B$95*Mat_Sum!$AN33)+B$45*Battery_Assembly!$C79)*(1+$B$27)</f>
        <v>33157.571491945302</v>
      </c>
      <c r="C117" s="246">
        <f ca="1">((C$92*Mat_Sum!$AQ33+C$93*Mat_Sum!$O33+C$94*Mat_Sum!$AL33+C$95*Mat_Sum!$AN33)+C$45*Battery_Assembly!$C79)*(1+$B$27)</f>
        <v>21552.421469764449</v>
      </c>
      <c r="D117" s="246">
        <f ca="1">((D$92*Mat_Sum!$AQ33+D$93*Mat_Sum!$O33+D$94*Mat_Sum!$AL33+D$95*Mat_Sum!$AN33)+D$45*Battery_Assembly!$C79)*(1+$B$28)</f>
        <v>20355.0647214442</v>
      </c>
      <c r="E117" s="246">
        <f ca="1">((E$92*Mat_Sum!$AQ33+E$93*Mat_Sum!$O33+E$94*Mat_Sum!$AL33+E$95*Mat_Sum!$AN33)+E$45*Battery_Assembly!$C79)*(1+$B$28)</f>
        <v>13230.792068938732</v>
      </c>
      <c r="F117" s="246">
        <f ca="1">((F$92*Mat_Sum!$AQ33+F$93*Mat_Sum!$O33+F$94*Mat_Sum!$AL33+F$95*Mat_Sum!$AN33)+F$45*Battery_Assembly!$C79)*(1+$B$29)</f>
        <v>20355.0647214442</v>
      </c>
      <c r="G117" s="246">
        <f ca="1">((G$92*Mat_Sum!$AQ33+G$93*Mat_Sum!$O33+G$94*Mat_Sum!$AL33+G$95*Mat_Sum!$AN33)+G$45*Battery_Assembly!$C79)*(1+$B$29)</f>
        <v>13230.792068938732</v>
      </c>
      <c r="H117" s="246">
        <f ca="1">((H$92*Mat_Sum!$AQ33+H$93*Mat_Sum!$O33+H$94*Mat_Sum!$AL33+H$95*Mat_Sum!$AN33)+H$45*Battery_Assembly!$C79)*(1+$B$30)</f>
        <v>20355.0647214442</v>
      </c>
      <c r="I117" s="246">
        <f ca="1">((I$92*Mat_Sum!$AQ33+I$93*Mat_Sum!$O33+I$94*Mat_Sum!$AL33+I$95*Mat_Sum!$AN33)+I$45*Battery_Assembly!$C79)*(1+$B$30)</f>
        <v>13230.792068938732</v>
      </c>
      <c r="J117" s="246">
        <f ca="1">((J$92*Mat_Sum!$AQ33+J$93*Mat_Sum!$O33+J$94*Mat_Sum!$AL33+J$95*Mat_Sum!$AN33)+J$45*Battery_Assembly!$C79)*(1+$B$31)</f>
        <v>20355.0647214442</v>
      </c>
      <c r="K117" s="247">
        <f ca="1">((K$92*Mat_Sum!$AQ33+K$93*Mat_Sum!$O33+K$94*Mat_Sum!$AL33+K$95*Mat_Sum!$AN33)+K$45*Battery_Assembly!$C79)*(1+$B$31)</f>
        <v>13230.792068938732</v>
      </c>
      <c r="L117" s="630"/>
    </row>
    <row r="118" spans="1:12" s="419" customFormat="1">
      <c r="A118" s="756" t="s">
        <v>851</v>
      </c>
      <c r="B118" s="294">
        <f ca="1">((B$92*Mat_Sum!$AQ34+B$93*Mat_Sum!$O34+B$94*Mat_Sum!$AL34+B$95*Mat_Sum!$AN34)+B$45*Battery_Assembly!$C80)*(1+$B$27)</f>
        <v>38640.431836069605</v>
      </c>
      <c r="C118" s="294">
        <f ca="1">((C$92*Mat_Sum!$AQ34+C$93*Mat_Sum!$O34+C$94*Mat_Sum!$AL34+C$95*Mat_Sum!$AN34)+C$45*Battery_Assembly!$C80)*(1+$B$27)</f>
        <v>25116.280693445246</v>
      </c>
      <c r="D118" s="294">
        <f ca="1">((D$92*Mat_Sum!$AQ34+D$93*Mat_Sum!$O34+D$94*Mat_Sum!$AL34+D$95*Mat_Sum!$AN34)+D$45*Battery_Assembly!$C80)*(1+$B$28)</f>
        <v>23720.931766031623</v>
      </c>
      <c r="E118" s="294">
        <f ca="1">((E$92*Mat_Sum!$AQ34+E$93*Mat_Sum!$O34+E$94*Mat_Sum!$AL34+E$95*Mat_Sum!$AN34)+E$45*Battery_Assembly!$C80)*(1+$B$28)</f>
        <v>15418.605647920558</v>
      </c>
      <c r="F118" s="294">
        <f ca="1">((F$92*Mat_Sum!$AQ34+F$93*Mat_Sum!$O34+F$94*Mat_Sum!$AL34+F$95*Mat_Sum!$AN34)+F$45*Battery_Assembly!$C80)*(1+$B$29)</f>
        <v>23720.931766031623</v>
      </c>
      <c r="G118" s="294">
        <f ca="1">((G$92*Mat_Sum!$AQ34+G$93*Mat_Sum!$O34+G$94*Mat_Sum!$AL34+G$95*Mat_Sum!$AN34)+G$45*Battery_Assembly!$C80)*(1+$B$29)</f>
        <v>15418.605647920558</v>
      </c>
      <c r="H118" s="294">
        <f ca="1">((H$92*Mat_Sum!$AQ34+H$93*Mat_Sum!$O34+H$94*Mat_Sum!$AL34+H$95*Mat_Sum!$AN34)+H$45*Battery_Assembly!$C80)*(1+$B$30)</f>
        <v>23720.931766031623</v>
      </c>
      <c r="I118" s="294">
        <f ca="1">((I$92*Mat_Sum!$AQ34+I$93*Mat_Sum!$O34+I$94*Mat_Sum!$AL34+I$95*Mat_Sum!$AN34)+I$45*Battery_Assembly!$C80)*(1+$B$30)</f>
        <v>15418.605647920558</v>
      </c>
      <c r="J118" s="294">
        <f ca="1">((J$92*Mat_Sum!$AQ34+J$93*Mat_Sum!$O34+J$94*Mat_Sum!$AL34+J$95*Mat_Sum!$AN34)+J$45*Battery_Assembly!$C80)*(1+$B$31)</f>
        <v>23720.931766031623</v>
      </c>
      <c r="K118" s="296">
        <f ca="1">((K$92*Mat_Sum!$AQ34+K$93*Mat_Sum!$O34+K$94*Mat_Sum!$AL34+K$95*Mat_Sum!$AN34)+K$45*Battery_Assembly!$C80)*(1+$B$31)</f>
        <v>15418.605647920558</v>
      </c>
      <c r="L118" s="630"/>
    </row>
    <row r="119" spans="1:12" s="349" customFormat="1">
      <c r="A119" s="797" t="s">
        <v>1521</v>
      </c>
      <c r="B119" s="389"/>
      <c r="C119" s="389"/>
      <c r="D119" s="389"/>
      <c r="E119" s="389"/>
      <c r="F119" s="389"/>
      <c r="G119" s="389"/>
      <c r="H119" s="389"/>
      <c r="I119" s="389"/>
      <c r="J119" s="389"/>
      <c r="K119" s="391"/>
      <c r="L119" s="756"/>
    </row>
    <row r="120" spans="1:12" s="349" customFormat="1">
      <c r="A120" s="494" t="s">
        <v>821</v>
      </c>
      <c r="B120" s="349">
        <f ca="1">((B$92*Mat_Sum!$AQ36+B$93*Mat_Sum!$O36+B$94*Mat_Sum!$AL36+B$95*Mat_Sum!$AN36)+B$45*Battery_Assembly!$C82)*(1+$B$27)</f>
        <v>1.0167836966715877</v>
      </c>
      <c r="C120" s="349">
        <f ca="1">((C$92*Mat_Sum!$AQ36+C$93*Mat_Sum!$O36+C$94*Mat_Sum!$AL36+C$95*Mat_Sum!$AN36)+C$45*Battery_Assembly!$C82)*(1+$B$27)</f>
        <v>0.6609094028365321</v>
      </c>
      <c r="D120" s="349">
        <f ca="1">((D$92*Mat_Sum!$AQ36+D$93*Mat_Sum!$O36+D$94*Mat_Sum!$AL36+D$95*Mat_Sum!$AN36)+D$45*Battery_Assembly!$C82)*(1+$B$28)</f>
        <v>0.62419221379005818</v>
      </c>
      <c r="E120" s="349">
        <f ca="1">((E$92*Mat_Sum!$AQ36+E$93*Mat_Sum!$O36+E$94*Mat_Sum!$AL36+E$95*Mat_Sum!$AN36)+E$45*Battery_Assembly!$C82)*(1+$B$28)</f>
        <v>0.4057249389635379</v>
      </c>
      <c r="F120" s="349">
        <f ca="1">((F$92*Mat_Sum!$AQ36+F$93*Mat_Sum!$O36+F$94*Mat_Sum!$AL36+F$95*Mat_Sum!$AN36)+F$45*Battery_Assembly!$C82)*(1+$B$29)</f>
        <v>0.62419221379005818</v>
      </c>
      <c r="G120" s="349">
        <f ca="1">((G$92*Mat_Sum!$AQ36+G$93*Mat_Sum!$O36+G$94*Mat_Sum!$AL36+G$95*Mat_Sum!$AN36)+G$45*Battery_Assembly!$C82)*(1+$B$29)</f>
        <v>0.4057249389635379</v>
      </c>
      <c r="H120" s="349">
        <f ca="1">((H$92*Mat_Sum!$AQ36+H$93*Mat_Sum!$O36+H$94*Mat_Sum!$AL36+H$95*Mat_Sum!$AN36)+H$45*Battery_Assembly!$C82)*(1+$B$30)</f>
        <v>0.62419221379005818</v>
      </c>
      <c r="I120" s="349">
        <f ca="1">((I$92*Mat_Sum!$AQ36+I$93*Mat_Sum!$O36+I$94*Mat_Sum!$AL36+I$95*Mat_Sum!$AN36)+I$45*Battery_Assembly!$C82)*(1+$B$30)</f>
        <v>0.4057249389635379</v>
      </c>
      <c r="J120" s="349">
        <f ca="1">((J$92*Mat_Sum!$AQ36+J$93*Mat_Sum!$O36+J$94*Mat_Sum!$AL36+J$95*Mat_Sum!$AN36)+J$45*Battery_Assembly!$C82)*(1+$B$31)</f>
        <v>0.62419221379005818</v>
      </c>
      <c r="K120" s="348">
        <f ca="1">((K$92*Mat_Sum!$AQ36+K$93*Mat_Sum!$O36+K$94*Mat_Sum!$AL36+K$95*Mat_Sum!$AN36)+K$45*Battery_Assembly!$C82)*(1+$B$31)</f>
        <v>0.4057249389635379</v>
      </c>
    </row>
    <row r="121" spans="1:12" s="349" customFormat="1">
      <c r="A121" s="494" t="s">
        <v>822</v>
      </c>
      <c r="B121" s="349">
        <f ca="1">((B$92*Mat_Sum!$AQ37+B$93*Mat_Sum!$O37+B$94*Mat_Sum!$AL37+B$95*Mat_Sum!$AN37)+B$45*Battery_Assembly!$C83)*(1+$B$27)</f>
        <v>2.3721448224215012</v>
      </c>
      <c r="C121" s="349">
        <f ca="1">((C$92*Mat_Sum!$AQ37+C$93*Mat_Sum!$O37+C$94*Mat_Sum!$AL37+C$95*Mat_Sum!$AN37)+C$45*Battery_Assembly!$C83)*(1+$B$27)</f>
        <v>1.5418941345739756</v>
      </c>
      <c r="D121" s="349">
        <f ca="1">((D$92*Mat_Sum!$AQ37+D$93*Mat_Sum!$O37+D$94*Mat_Sum!$AL37+D$95*Mat_Sum!$AN37)+D$45*Battery_Assembly!$C83)*(1+$B$28)</f>
        <v>1.456233349319866</v>
      </c>
      <c r="E121" s="349">
        <f ca="1">((E$92*Mat_Sum!$AQ37+E$93*Mat_Sum!$O37+E$94*Mat_Sum!$AL37+E$95*Mat_Sum!$AN37)+E$45*Battery_Assembly!$C83)*(1+$B$28)</f>
        <v>0.94655167705791299</v>
      </c>
      <c r="F121" s="349">
        <f ca="1">((F$92*Mat_Sum!$AQ37+F$93*Mat_Sum!$O37+F$94*Mat_Sum!$AL37+F$95*Mat_Sum!$AN37)+F$45*Battery_Assembly!$C83)*(1+$B$29)</f>
        <v>1.456233349319866</v>
      </c>
      <c r="G121" s="349">
        <f ca="1">((G$92*Mat_Sum!$AQ37+G$93*Mat_Sum!$O37+G$94*Mat_Sum!$AL37+G$95*Mat_Sum!$AN37)+G$45*Battery_Assembly!$C83)*(1+$B$29)</f>
        <v>0.94655167705791299</v>
      </c>
      <c r="H121" s="349">
        <f ca="1">((H$92*Mat_Sum!$AQ37+H$93*Mat_Sum!$O37+H$94*Mat_Sum!$AL37+H$95*Mat_Sum!$AN37)+H$45*Battery_Assembly!$C83)*(1+$B$30)</f>
        <v>1.456233349319866</v>
      </c>
      <c r="I121" s="349">
        <f ca="1">((I$92*Mat_Sum!$AQ37+I$93*Mat_Sum!$O37+I$94*Mat_Sum!$AL37+I$95*Mat_Sum!$AN37)+I$45*Battery_Assembly!$C83)*(1+$B$30)</f>
        <v>0.94655167705791299</v>
      </c>
      <c r="J121" s="349">
        <f ca="1">((J$92*Mat_Sum!$AQ37+J$93*Mat_Sum!$O37+J$94*Mat_Sum!$AL37+J$95*Mat_Sum!$AN37)+J$45*Battery_Assembly!$C83)*(1+$B$31)</f>
        <v>1.456233349319866</v>
      </c>
      <c r="K121" s="348">
        <f ca="1">((K$92*Mat_Sum!$AQ37+K$93*Mat_Sum!$O37+K$94*Mat_Sum!$AL37+K$95*Mat_Sum!$AN37)+K$45*Battery_Assembly!$C83)*(1+$B$31)</f>
        <v>0.94655167705791299</v>
      </c>
    </row>
    <row r="122" spans="1:12" s="349" customFormat="1">
      <c r="A122" s="494" t="s">
        <v>823</v>
      </c>
      <c r="B122" s="349">
        <f ca="1">((B$92*Mat_Sum!$AQ38+B$93*Mat_Sum!$O38+B$94*Mat_Sum!$AL38+B$95*Mat_Sum!$AN38)+B$45*Battery_Assembly!$C84)*(1+$B$27)</f>
        <v>2.9026476123166209</v>
      </c>
      <c r="C122" s="349">
        <f ca="1">((C$92*Mat_Sum!$AQ38+C$93*Mat_Sum!$O38+C$94*Mat_Sum!$AL38+C$95*Mat_Sum!$AN38)+C$45*Battery_Assembly!$C84)*(1+$B$27)</f>
        <v>1.8867209480058036</v>
      </c>
      <c r="D122" s="349">
        <f ca="1">((D$92*Mat_Sum!$AQ38+D$93*Mat_Sum!$O38+D$94*Mat_Sum!$AL38+D$95*Mat_Sum!$AN38)+D$45*Battery_Assembly!$C84)*(1+$B$28)</f>
        <v>1.7819031175610369</v>
      </c>
      <c r="E122" s="349">
        <f ca="1">((E$92*Mat_Sum!$AQ38+E$93*Mat_Sum!$O38+E$94*Mat_Sum!$AL38+E$95*Mat_Sum!$AN38)+E$45*Battery_Assembly!$C84)*(1+$B$28)</f>
        <v>1.1582370264146742</v>
      </c>
      <c r="F122" s="349">
        <f ca="1">((F$92*Mat_Sum!$AQ38+F$93*Mat_Sum!$O38+F$94*Mat_Sum!$AL38+F$95*Mat_Sum!$AN38)+F$45*Battery_Assembly!$C84)*(1+$B$29)</f>
        <v>1.7819031175610369</v>
      </c>
      <c r="G122" s="349">
        <f ca="1">((G$92*Mat_Sum!$AQ38+G$93*Mat_Sum!$O38+G$94*Mat_Sum!$AL38+G$95*Mat_Sum!$AN38)+G$45*Battery_Assembly!$C84)*(1+$B$29)</f>
        <v>1.1582370264146742</v>
      </c>
      <c r="H122" s="349">
        <f ca="1">((H$92*Mat_Sum!$AQ38+H$93*Mat_Sum!$O38+H$94*Mat_Sum!$AL38+H$95*Mat_Sum!$AN38)+H$45*Battery_Assembly!$C84)*(1+$B$30)</f>
        <v>1.7819031175610369</v>
      </c>
      <c r="I122" s="349">
        <f ca="1">((I$92*Mat_Sum!$AQ38+I$93*Mat_Sum!$O38+I$94*Mat_Sum!$AL38+I$95*Mat_Sum!$AN38)+I$45*Battery_Assembly!$C84)*(1+$B$30)</f>
        <v>1.1582370264146742</v>
      </c>
      <c r="J122" s="349">
        <f ca="1">((J$92*Mat_Sum!$AQ38+J$93*Mat_Sum!$O38+J$94*Mat_Sum!$AL38+J$95*Mat_Sum!$AN38)+J$45*Battery_Assembly!$C84)*(1+$B$31)</f>
        <v>1.7819031175610369</v>
      </c>
      <c r="K122" s="348">
        <f ca="1">((K$92*Mat_Sum!$AQ38+K$93*Mat_Sum!$O38+K$94*Mat_Sum!$AL38+K$95*Mat_Sum!$AN38)+K$45*Battery_Assembly!$C84)*(1+$B$31)</f>
        <v>1.1582370264146742</v>
      </c>
    </row>
    <row r="123" spans="1:12" s="349" customFormat="1">
      <c r="A123" s="494" t="s">
        <v>824</v>
      </c>
      <c r="B123" s="349">
        <f ca="1">((B$92*Mat_Sum!$AQ39+B$93*Mat_Sum!$O39+B$94*Mat_Sum!$AL39+B$95*Mat_Sum!$AN39)+B$45*Battery_Assembly!$C85)*(1+$B$27)</f>
        <v>0.39224460333131805</v>
      </c>
      <c r="C123" s="349">
        <f ca="1">((C$92*Mat_Sum!$AQ39+C$93*Mat_Sum!$O39+C$94*Mat_Sum!$AL39+C$95*Mat_Sum!$AN39)+C$45*Battery_Assembly!$C85)*(1+$B$27)</f>
        <v>0.25495899216535678</v>
      </c>
      <c r="D123" s="349">
        <f ca="1">((D$92*Mat_Sum!$AQ39+D$93*Mat_Sum!$O39+D$94*Mat_Sum!$AL39+D$95*Mat_Sum!$AN39)+D$45*Battery_Assembly!$C85)*(1+$B$28)</f>
        <v>0.24079460371172584</v>
      </c>
      <c r="E123" s="349">
        <f ca="1">((E$92*Mat_Sum!$AQ39+E$93*Mat_Sum!$O39+E$94*Mat_Sum!$AL39+E$95*Mat_Sum!$AN39)+E$45*Battery_Assembly!$C85)*(1+$B$28)</f>
        <v>0.15651649241262178</v>
      </c>
      <c r="F123" s="349">
        <f ca="1">((F$92*Mat_Sum!$AQ39+F$93*Mat_Sum!$O39+F$94*Mat_Sum!$AL39+F$95*Mat_Sum!$AN39)+F$45*Battery_Assembly!$C85)*(1+$B$29)</f>
        <v>0.24079460371172584</v>
      </c>
      <c r="G123" s="349">
        <f ca="1">((G$92*Mat_Sum!$AQ39+G$93*Mat_Sum!$O39+G$94*Mat_Sum!$AL39+G$95*Mat_Sum!$AN39)+G$45*Battery_Assembly!$C85)*(1+$B$29)</f>
        <v>0.15651649241262178</v>
      </c>
      <c r="H123" s="349">
        <f ca="1">((H$92*Mat_Sum!$AQ39+H$93*Mat_Sum!$O39+H$94*Mat_Sum!$AL39+H$95*Mat_Sum!$AN39)+H$45*Battery_Assembly!$C85)*(1+$B$30)</f>
        <v>0.24079460371172584</v>
      </c>
      <c r="I123" s="349">
        <f ca="1">((I$92*Mat_Sum!$AQ39+I$93*Mat_Sum!$O39+I$94*Mat_Sum!$AL39+I$95*Mat_Sum!$AN39)+I$45*Battery_Assembly!$C85)*(1+$B$30)</f>
        <v>0.15651649241262178</v>
      </c>
      <c r="J123" s="349">
        <f ca="1">((J$92*Mat_Sum!$AQ39+J$93*Mat_Sum!$O39+J$94*Mat_Sum!$AL39+J$95*Mat_Sum!$AN39)+J$45*Battery_Assembly!$C85)*(1+$B$31)</f>
        <v>0.24079460371172584</v>
      </c>
      <c r="K123" s="348">
        <f ca="1">((K$92*Mat_Sum!$AQ39+K$93*Mat_Sum!$O39+K$94*Mat_Sum!$AL39+K$95*Mat_Sum!$AN39)+K$45*Battery_Assembly!$C85)*(1+$B$31)</f>
        <v>0.15651649241262178</v>
      </c>
    </row>
    <row r="124" spans="1:12" s="349" customFormat="1">
      <c r="A124" s="494" t="s">
        <v>825</v>
      </c>
      <c r="B124" s="349">
        <f ca="1">((B$92*Mat_Sum!$AQ40+B$93*Mat_Sum!$O40+B$94*Mat_Sum!$AL40+B$95*Mat_Sum!$AN40)+B$45*Battery_Assembly!$C86)*(1+$B$27)</f>
        <v>0.33141125642966485</v>
      </c>
      <c r="C124" s="349">
        <f ca="1">((C$92*Mat_Sum!$AQ40+C$93*Mat_Sum!$O40+C$94*Mat_Sum!$AL40+C$95*Mat_Sum!$AN40)+C$45*Battery_Assembly!$C86)*(1+$B$27)</f>
        <v>0.21541731667928218</v>
      </c>
      <c r="D124" s="349">
        <f ca="1">((D$92*Mat_Sum!$AQ40+D$93*Mat_Sum!$O40+D$94*Mat_Sum!$AL40+D$95*Mat_Sum!$AN40)+D$45*Battery_Assembly!$C86)*(1+$B$28)</f>
        <v>0.20344968797487761</v>
      </c>
      <c r="E124" s="349">
        <f ca="1">((E$92*Mat_Sum!$AQ40+E$93*Mat_Sum!$O40+E$94*Mat_Sum!$AL40+E$95*Mat_Sum!$AN40)+E$45*Battery_Assembly!$C86)*(1+$B$28)</f>
        <v>0.13224229718367045</v>
      </c>
      <c r="F124" s="349">
        <f ca="1">((F$92*Mat_Sum!$AQ40+F$93*Mat_Sum!$O40+F$94*Mat_Sum!$AL40+F$95*Mat_Sum!$AN40)+F$45*Battery_Assembly!$C86)*(1+$B$29)</f>
        <v>0.20344968797487761</v>
      </c>
      <c r="G124" s="349">
        <f ca="1">((G$92*Mat_Sum!$AQ40+G$93*Mat_Sum!$O40+G$94*Mat_Sum!$AL40+G$95*Mat_Sum!$AN40)+G$45*Battery_Assembly!$C86)*(1+$B$29)</f>
        <v>0.13224229718367045</v>
      </c>
      <c r="H124" s="349">
        <f ca="1">((H$92*Mat_Sum!$AQ40+H$93*Mat_Sum!$O40+H$94*Mat_Sum!$AL40+H$95*Mat_Sum!$AN40)+H$45*Battery_Assembly!$C86)*(1+$B$30)</f>
        <v>0.20344968797487761</v>
      </c>
      <c r="I124" s="349">
        <f ca="1">((I$92*Mat_Sum!$AQ40+I$93*Mat_Sum!$O40+I$94*Mat_Sum!$AL40+I$95*Mat_Sum!$AN40)+I$45*Battery_Assembly!$C86)*(1+$B$30)</f>
        <v>0.13224229718367045</v>
      </c>
      <c r="J124" s="349">
        <f ca="1">((J$92*Mat_Sum!$AQ40+J$93*Mat_Sum!$O40+J$94*Mat_Sum!$AL40+J$95*Mat_Sum!$AN40)+J$45*Battery_Assembly!$C86)*(1+$B$31)</f>
        <v>0.20344968797487761</v>
      </c>
      <c r="K124" s="348">
        <f ca="1">((K$92*Mat_Sum!$AQ40+K$93*Mat_Sum!$O40+K$94*Mat_Sum!$AL40+K$95*Mat_Sum!$AN40)+K$45*Battery_Assembly!$C86)*(1+$B$31)</f>
        <v>0.13224229718367045</v>
      </c>
    </row>
    <row r="125" spans="1:12" s="349" customFormat="1">
      <c r="A125" s="494" t="s">
        <v>826</v>
      </c>
      <c r="B125" s="349">
        <f ca="1">((B$92*Mat_Sum!$AQ41+B$93*Mat_Sum!$O41+B$94*Mat_Sum!$AL41+B$95*Mat_Sum!$AN41)+B$45*Battery_Assembly!$C87)*(1+$B$27)</f>
        <v>5.1909062633506657</v>
      </c>
      <c r="C125" s="349">
        <f ca="1">((C$92*Mat_Sum!$AQ41+C$93*Mat_Sum!$O41+C$94*Mat_Sum!$AL41+C$95*Mat_Sum!$AN41)+C$45*Battery_Assembly!$C87)*(1+$B$27)</f>
        <v>3.3740890711779326</v>
      </c>
      <c r="D125" s="349">
        <f ca="1">((D$92*Mat_Sum!$AQ41+D$93*Mat_Sum!$O41+D$94*Mat_Sum!$AL41+D$95*Mat_Sum!$AN41)+D$45*Battery_Assembly!$C87)*(1+$B$28)</f>
        <v>3.1866396783347142</v>
      </c>
      <c r="E125" s="349">
        <f ca="1">((E$92*Mat_Sum!$AQ41+E$93*Mat_Sum!$O41+E$94*Mat_Sum!$AL41+E$95*Mat_Sum!$AN41)+E$45*Battery_Assembly!$C87)*(1+$B$28)</f>
        <v>2.0713157909175646</v>
      </c>
      <c r="F125" s="349">
        <f ca="1">((F$92*Mat_Sum!$AQ41+F$93*Mat_Sum!$O41+F$94*Mat_Sum!$AL41+F$95*Mat_Sum!$AN41)+F$45*Battery_Assembly!$C87)*(1+$B$29)</f>
        <v>3.1866396783347142</v>
      </c>
      <c r="G125" s="349">
        <f ca="1">((G$92*Mat_Sum!$AQ41+G$93*Mat_Sum!$O41+G$94*Mat_Sum!$AL41+G$95*Mat_Sum!$AN41)+G$45*Battery_Assembly!$C87)*(1+$B$29)</f>
        <v>2.0713157909175646</v>
      </c>
      <c r="H125" s="349">
        <f ca="1">((H$92*Mat_Sum!$AQ41+H$93*Mat_Sum!$O41+H$94*Mat_Sum!$AL41+H$95*Mat_Sum!$AN41)+H$45*Battery_Assembly!$C87)*(1+$B$30)</f>
        <v>3.1866396783347142</v>
      </c>
      <c r="I125" s="349">
        <f ca="1">((I$92*Mat_Sum!$AQ41+I$93*Mat_Sum!$O41+I$94*Mat_Sum!$AL41+I$95*Mat_Sum!$AN41)+I$45*Battery_Assembly!$C87)*(1+$B$30)</f>
        <v>2.0713157909175646</v>
      </c>
      <c r="J125" s="349">
        <f ca="1">((J$92*Mat_Sum!$AQ41+J$93*Mat_Sum!$O41+J$94*Mat_Sum!$AL41+J$95*Mat_Sum!$AN41)+J$45*Battery_Assembly!$C87)*(1+$B$31)</f>
        <v>3.1866396783347142</v>
      </c>
      <c r="K125" s="348">
        <f ca="1">((K$92*Mat_Sum!$AQ41+K$93*Mat_Sum!$O41+K$94*Mat_Sum!$AL41+K$95*Mat_Sum!$AN41)+K$45*Battery_Assembly!$C87)*(1+$B$31)</f>
        <v>2.0713157909175646</v>
      </c>
    </row>
    <row r="126" spans="1:12" s="349" customFormat="1">
      <c r="A126" s="494" t="s">
        <v>827</v>
      </c>
      <c r="B126" s="349">
        <f ca="1">((B$92*Mat_Sum!$AQ42+B$93*Mat_Sum!$O42+B$94*Mat_Sum!$AL42+B$95*Mat_Sum!$AN42)+B$45*Battery_Assembly!$C88)*(1+$B$27)</f>
        <v>2.1307831112814285E-2</v>
      </c>
      <c r="C126" s="349">
        <f ca="1">((C$92*Mat_Sum!$AQ42+C$93*Mat_Sum!$O42+C$94*Mat_Sum!$AL42+C$95*Mat_Sum!$AN42)+C$45*Battery_Assembly!$C88)*(1+$B$27)</f>
        <v>1.3850090223329288E-2</v>
      </c>
      <c r="D126" s="349">
        <f ca="1">((D$92*Mat_Sum!$AQ42+D$93*Mat_Sum!$O42+D$94*Mat_Sum!$AL42+D$95*Mat_Sum!$AN42)+D$45*Battery_Assembly!$C88)*(1+$B$28)</f>
        <v>1.3080640766477662E-2</v>
      </c>
      <c r="E126" s="349">
        <f ca="1">((E$92*Mat_Sum!$AQ42+E$93*Mat_Sum!$O42+E$94*Mat_Sum!$AL42+E$95*Mat_Sum!$AN42)+E$45*Battery_Assembly!$C88)*(1+$B$28)</f>
        <v>8.5024164982104786E-3</v>
      </c>
      <c r="F126" s="349">
        <f ca="1">((F$92*Mat_Sum!$AQ42+F$93*Mat_Sum!$O42+F$94*Mat_Sum!$AL42+F$95*Mat_Sum!$AN42)+F$45*Battery_Assembly!$C88)*(1+$B$29)</f>
        <v>1.3080640766477662E-2</v>
      </c>
      <c r="G126" s="349">
        <f ca="1">((G$92*Mat_Sum!$AQ42+G$93*Mat_Sum!$O42+G$94*Mat_Sum!$AL42+G$95*Mat_Sum!$AN42)+G$45*Battery_Assembly!$C88)*(1+$B$29)</f>
        <v>8.5024164982104786E-3</v>
      </c>
      <c r="H126" s="349">
        <f ca="1">((H$92*Mat_Sum!$AQ42+H$93*Mat_Sum!$O42+H$94*Mat_Sum!$AL42+H$95*Mat_Sum!$AN42)+H$45*Battery_Assembly!$C88)*(1+$B$30)</f>
        <v>1.3080640766477662E-2</v>
      </c>
      <c r="I126" s="349">
        <f ca="1">((I$92*Mat_Sum!$AQ42+I$93*Mat_Sum!$O42+I$94*Mat_Sum!$AL42+I$95*Mat_Sum!$AN42)+I$45*Battery_Assembly!$C88)*(1+$B$30)</f>
        <v>8.5024164982104786E-3</v>
      </c>
      <c r="J126" s="349">
        <f ca="1">((J$92*Mat_Sum!$AQ42+J$93*Mat_Sum!$O42+J$94*Mat_Sum!$AL42+J$95*Mat_Sum!$AN42)+J$45*Battery_Assembly!$C88)*(1+$B$31)</f>
        <v>1.3080640766477662E-2</v>
      </c>
      <c r="K126" s="348">
        <f ca="1">((K$92*Mat_Sum!$AQ42+K$93*Mat_Sum!$O42+K$94*Mat_Sum!$AL42+K$95*Mat_Sum!$AN42)+K$45*Battery_Assembly!$C88)*(1+$B$31)</f>
        <v>8.5024164982104786E-3</v>
      </c>
    </row>
    <row r="127" spans="1:12" s="496" customFormat="1">
      <c r="A127" s="492" t="s">
        <v>828</v>
      </c>
      <c r="B127" s="499">
        <f ca="1">((B$92*Mat_Sum!$AQ43+B$93*Mat_Sum!$O43+B$94*Mat_Sum!$AL43+B$95*Mat_Sum!$AN43)+B$45*Battery_Assembly!$C89)*(1+$B$27)</f>
        <v>7.8927096471503727E-2</v>
      </c>
      <c r="C127" s="499">
        <f ca="1">((C$92*Mat_Sum!$AQ43+C$93*Mat_Sum!$O43+C$94*Mat_Sum!$AL43+C$95*Mat_Sum!$AN43)+C$45*Battery_Assembly!$C89)*(1+$B$27)</f>
        <v>5.130261270647743E-2</v>
      </c>
      <c r="D127" s="499">
        <f ca="1">((D$92*Mat_Sum!$AQ43+D$93*Mat_Sum!$O43+D$94*Mat_Sum!$AL43+D$95*Mat_Sum!$AN43)+D$45*Battery_Assembly!$C89)*(1+$B$28)</f>
        <v>4.8452467556117575E-2</v>
      </c>
      <c r="E127" s="499">
        <f ca="1">((E$92*Mat_Sum!$AQ43+E$93*Mat_Sum!$O43+E$94*Mat_Sum!$AL43+E$95*Mat_Sum!$AN43)+E$45*Battery_Assembly!$C89)*(1+$B$28)</f>
        <v>3.1494103911476425E-2</v>
      </c>
      <c r="F127" s="499">
        <f ca="1">((F$92*Mat_Sum!$AQ43+F$93*Mat_Sum!$O43+F$94*Mat_Sum!$AL43+F$95*Mat_Sum!$AN43)+F$45*Battery_Assembly!$C89)*(1+$B$29)</f>
        <v>4.8452467556117575E-2</v>
      </c>
      <c r="G127" s="499">
        <f ca="1">((G$92*Mat_Sum!$AQ43+G$93*Mat_Sum!$O43+G$94*Mat_Sum!$AL43+G$95*Mat_Sum!$AN43)+G$45*Battery_Assembly!$C89)*(1+$B$29)</f>
        <v>3.1494103911476425E-2</v>
      </c>
      <c r="H127" s="499">
        <f ca="1">((H$92*Mat_Sum!$AQ43+H$93*Mat_Sum!$O43+H$94*Mat_Sum!$AL43+H$95*Mat_Sum!$AN43)+H$45*Battery_Assembly!$C89)*(1+$B$30)</f>
        <v>4.8452467556117575E-2</v>
      </c>
      <c r="I127" s="499">
        <f ca="1">((I$92*Mat_Sum!$AQ43+I$93*Mat_Sum!$O43+I$94*Mat_Sum!$AL43+I$95*Mat_Sum!$AN43)+I$45*Battery_Assembly!$C89)*(1+$B$30)</f>
        <v>3.1494103911476425E-2</v>
      </c>
      <c r="J127" s="499">
        <f ca="1">((J$92*Mat_Sum!$AQ43+J$93*Mat_Sum!$O43+J$94*Mat_Sum!$AL43+J$95*Mat_Sum!$AN43)+J$45*Battery_Assembly!$C89)*(1+$B$31)</f>
        <v>4.8452467556117575E-2</v>
      </c>
      <c r="K127" s="500">
        <f ca="1">((K$92*Mat_Sum!$AQ43+K$93*Mat_Sum!$O43+K$94*Mat_Sum!$AL43+K$95*Mat_Sum!$AN43)+K$45*Battery_Assembly!$C89)*(1+$B$31)</f>
        <v>3.1494103911476425E-2</v>
      </c>
    </row>
    <row r="128" spans="1:12">
      <c r="B128" s="92"/>
      <c r="C128" s="92"/>
      <c r="D128" s="92"/>
      <c r="E128" s="92"/>
    </row>
    <row r="129" spans="1:12">
      <c r="A129" s="3" t="s">
        <v>1522</v>
      </c>
      <c r="B129" s="92"/>
      <c r="C129" s="92"/>
      <c r="D129" s="92"/>
      <c r="E129" s="92"/>
    </row>
    <row r="130" spans="1:12" ht="51">
      <c r="A130" s="481"/>
      <c r="B130" s="742" t="s">
        <v>141</v>
      </c>
      <c r="C130" s="742" t="s">
        <v>142</v>
      </c>
      <c r="D130" s="742" t="s">
        <v>143</v>
      </c>
      <c r="E130" s="742" t="s">
        <v>144</v>
      </c>
      <c r="F130" s="670" t="s">
        <v>145</v>
      </c>
      <c r="G130" s="670" t="s">
        <v>146</v>
      </c>
      <c r="H130" s="670" t="s">
        <v>147</v>
      </c>
      <c r="I130" s="670" t="s">
        <v>148</v>
      </c>
      <c r="J130" s="742" t="s">
        <v>149</v>
      </c>
      <c r="K130" s="873" t="s">
        <v>150</v>
      </c>
    </row>
    <row r="131" spans="1:12">
      <c r="A131" s="482" t="s">
        <v>1519</v>
      </c>
      <c r="B131" s="447"/>
      <c r="C131" s="447"/>
      <c r="D131" s="447"/>
      <c r="E131" s="447"/>
      <c r="F131" s="447"/>
      <c r="G131" s="447"/>
      <c r="H131" s="447"/>
      <c r="I131" s="447"/>
      <c r="J131" s="447"/>
      <c r="K131" s="874"/>
      <c r="L131" s="1321"/>
    </row>
    <row r="132" spans="1:12">
      <c r="A132" s="100" t="s">
        <v>302</v>
      </c>
      <c r="B132" s="449"/>
      <c r="C132" s="449"/>
      <c r="D132" s="448">
        <f t="shared" ref="D132:K141" si="7">D59*D$46</f>
        <v>13.082281189572001</v>
      </c>
      <c r="E132" s="448">
        <f t="shared" si="7"/>
        <v>9.0333925920000002</v>
      </c>
      <c r="F132" s="448">
        <f t="shared" si="7"/>
        <v>40.779135433901885</v>
      </c>
      <c r="G132" s="448">
        <f t="shared" si="7"/>
        <v>32.436321396226418</v>
      </c>
      <c r="H132" s="448">
        <f t="shared" si="7"/>
        <v>302.44831371825234</v>
      </c>
      <c r="I132" s="448">
        <f t="shared" si="7"/>
        <v>259.4766716307692</v>
      </c>
      <c r="J132" s="448">
        <f t="shared" si="7"/>
        <v>11.992091101464</v>
      </c>
      <c r="K132" s="877">
        <f t="shared" si="7"/>
        <v>11.29174074</v>
      </c>
      <c r="L132" s="1321"/>
    </row>
    <row r="133" spans="1:12">
      <c r="A133" s="100" t="s">
        <v>251</v>
      </c>
      <c r="B133" s="449"/>
      <c r="C133" s="449"/>
      <c r="D133" s="448">
        <f t="shared" si="7"/>
        <v>25.837505349404701</v>
      </c>
      <c r="E133" s="448">
        <f t="shared" si="7"/>
        <v>17.840950369200002</v>
      </c>
      <c r="F133" s="448">
        <f t="shared" si="7"/>
        <v>80.538792481956222</v>
      </c>
      <c r="G133" s="448">
        <f t="shared" si="7"/>
        <v>64.061734757547171</v>
      </c>
      <c r="H133" s="448">
        <f t="shared" si="7"/>
        <v>597.33541959354829</v>
      </c>
      <c r="I133" s="448">
        <f t="shared" si="7"/>
        <v>512.46642647076919</v>
      </c>
      <c r="J133" s="448">
        <f t="shared" si="7"/>
        <v>23.684379925391401</v>
      </c>
      <c r="K133" s="877">
        <f t="shared" si="7"/>
        <v>22.301187961500002</v>
      </c>
      <c r="L133" s="1321"/>
    </row>
    <row r="134" spans="1:12">
      <c r="A134" s="100" t="s">
        <v>303</v>
      </c>
      <c r="B134" s="449"/>
      <c r="C134" s="449"/>
      <c r="D134" s="448">
        <f t="shared" si="7"/>
        <v>0.54509504956550003</v>
      </c>
      <c r="E134" s="448">
        <f t="shared" si="7"/>
        <v>0.37639135800000006</v>
      </c>
      <c r="F134" s="448">
        <f t="shared" si="7"/>
        <v>1.6991306430792452</v>
      </c>
      <c r="G134" s="448">
        <f t="shared" si="7"/>
        <v>1.3515133915094342</v>
      </c>
      <c r="H134" s="448">
        <f t="shared" si="7"/>
        <v>12.602013071593847</v>
      </c>
      <c r="I134" s="448">
        <f t="shared" si="7"/>
        <v>10.811527984615385</v>
      </c>
      <c r="J134" s="448">
        <f t="shared" si="7"/>
        <v>0.49967046256100006</v>
      </c>
      <c r="K134" s="877">
        <f t="shared" si="7"/>
        <v>0.47048919750000007</v>
      </c>
      <c r="L134" s="1321"/>
    </row>
    <row r="135" spans="1:12">
      <c r="A135" s="100" t="s">
        <v>275</v>
      </c>
      <c r="B135" s="449"/>
      <c r="C135" s="449"/>
      <c r="D135" s="448">
        <f t="shared" si="7"/>
        <v>4.2517413866109006</v>
      </c>
      <c r="E135" s="448">
        <f t="shared" si="7"/>
        <v>2.9358525924000003</v>
      </c>
      <c r="F135" s="448">
        <f t="shared" si="7"/>
        <v>13.253219016018113</v>
      </c>
      <c r="G135" s="448">
        <f t="shared" si="7"/>
        <v>10.541804453773587</v>
      </c>
      <c r="H135" s="448">
        <f t="shared" si="7"/>
        <v>98.295701958432005</v>
      </c>
      <c r="I135" s="448">
        <f t="shared" si="7"/>
        <v>84.329918280000001</v>
      </c>
      <c r="J135" s="448">
        <f t="shared" si="7"/>
        <v>3.8974296079758002</v>
      </c>
      <c r="K135" s="877">
        <f t="shared" si="7"/>
        <v>3.6698157405000003</v>
      </c>
      <c r="L135" s="1321"/>
    </row>
    <row r="136" spans="1:12">
      <c r="A136" s="100" t="s">
        <v>256</v>
      </c>
      <c r="B136" s="449"/>
      <c r="C136" s="449"/>
      <c r="D136" s="448">
        <f t="shared" si="7"/>
        <v>1.0901900991310001</v>
      </c>
      <c r="E136" s="448">
        <f t="shared" si="7"/>
        <v>0.75278271600000013</v>
      </c>
      <c r="F136" s="448">
        <f t="shared" si="7"/>
        <v>3.3982612861584904</v>
      </c>
      <c r="G136" s="448">
        <f t="shared" si="7"/>
        <v>2.7030267830188683</v>
      </c>
      <c r="H136" s="448">
        <f t="shared" si="7"/>
        <v>25.204026143187694</v>
      </c>
      <c r="I136" s="448">
        <f t="shared" si="7"/>
        <v>21.623055969230769</v>
      </c>
      <c r="J136" s="448">
        <f t="shared" si="7"/>
        <v>0.99934092512200012</v>
      </c>
      <c r="K136" s="877">
        <f t="shared" si="7"/>
        <v>0.94097839500000013</v>
      </c>
      <c r="L136" s="1321"/>
    </row>
    <row r="137" spans="1:12">
      <c r="A137" s="100" t="s">
        <v>304</v>
      </c>
      <c r="B137" s="449"/>
      <c r="C137" s="449"/>
      <c r="D137" s="448">
        <f t="shared" si="7"/>
        <v>1.9623421784357999</v>
      </c>
      <c r="E137" s="448">
        <f t="shared" si="7"/>
        <v>1.3550088888</v>
      </c>
      <c r="F137" s="448">
        <f t="shared" si="7"/>
        <v>6.1168703150852819</v>
      </c>
      <c r="G137" s="448">
        <f t="shared" si="7"/>
        <v>4.8654482094339624</v>
      </c>
      <c r="H137" s="448">
        <f t="shared" si="7"/>
        <v>45.367247057737842</v>
      </c>
      <c r="I137" s="448">
        <f t="shared" si="7"/>
        <v>38.921500744615379</v>
      </c>
      <c r="J137" s="448">
        <f t="shared" si="7"/>
        <v>1.7988136652196001</v>
      </c>
      <c r="K137" s="877">
        <f t="shared" si="7"/>
        <v>1.6937611109999999</v>
      </c>
      <c r="L137" s="1321"/>
    </row>
    <row r="138" spans="1:12">
      <c r="A138" s="100" t="s">
        <v>272</v>
      </c>
      <c r="B138" s="449"/>
      <c r="C138" s="449"/>
      <c r="D138" s="448">
        <f t="shared" si="7"/>
        <v>30.743360795494198</v>
      </c>
      <c r="E138" s="448">
        <f t="shared" si="7"/>
        <v>21.228472591200003</v>
      </c>
      <c r="F138" s="448">
        <f t="shared" si="7"/>
        <v>95.830968269669413</v>
      </c>
      <c r="G138" s="448">
        <f t="shared" si="7"/>
        <v>76.225355281132082</v>
      </c>
      <c r="H138" s="448">
        <f t="shared" si="7"/>
        <v>710.75353723789283</v>
      </c>
      <c r="I138" s="448">
        <f t="shared" si="7"/>
        <v>609.77017833230764</v>
      </c>
      <c r="J138" s="448">
        <f t="shared" si="7"/>
        <v>28.181414088440402</v>
      </c>
      <c r="K138" s="877">
        <f t="shared" si="7"/>
        <v>26.535590739</v>
      </c>
      <c r="L138" s="1321"/>
    </row>
    <row r="139" spans="1:12">
      <c r="A139" s="100" t="s">
        <v>305</v>
      </c>
      <c r="B139" s="449"/>
      <c r="C139" s="449"/>
      <c r="D139" s="448">
        <f t="shared" si="7"/>
        <v>6.8681976245253002</v>
      </c>
      <c r="E139" s="448">
        <f t="shared" si="7"/>
        <v>4.7425311108000008</v>
      </c>
      <c r="F139" s="448">
        <f t="shared" si="7"/>
        <v>21.409046102798488</v>
      </c>
      <c r="G139" s="448">
        <f t="shared" si="7"/>
        <v>17.029068733018871</v>
      </c>
      <c r="H139" s="448">
        <f t="shared" si="7"/>
        <v>158.78536470208246</v>
      </c>
      <c r="I139" s="448">
        <f t="shared" si="7"/>
        <v>136.22525260615384</v>
      </c>
      <c r="J139" s="448">
        <f t="shared" si="7"/>
        <v>6.2958478282686006</v>
      </c>
      <c r="K139" s="877">
        <f t="shared" si="7"/>
        <v>5.9281638885000003</v>
      </c>
      <c r="L139" s="1321"/>
    </row>
    <row r="140" spans="1:12">
      <c r="A140" s="100" t="s">
        <v>260</v>
      </c>
      <c r="B140" s="449"/>
      <c r="C140" s="449"/>
      <c r="D140" s="425">
        <f t="shared" si="7"/>
        <v>24.529277230447502</v>
      </c>
      <c r="E140" s="425">
        <f t="shared" si="7"/>
        <v>16.937611110000002</v>
      </c>
      <c r="F140" s="425">
        <f t="shared" si="7"/>
        <v>76.46087893856604</v>
      </c>
      <c r="G140" s="425">
        <f t="shared" si="7"/>
        <v>60.818102617924538</v>
      </c>
      <c r="H140" s="425">
        <f t="shared" si="7"/>
        <v>567.09058822172312</v>
      </c>
      <c r="I140" s="425">
        <f t="shared" si="7"/>
        <v>486.51875930769228</v>
      </c>
      <c r="J140" s="425">
        <f t="shared" si="7"/>
        <v>22.485170815245002</v>
      </c>
      <c r="K140" s="764">
        <f t="shared" si="7"/>
        <v>21.1720138875</v>
      </c>
      <c r="L140" s="1321"/>
    </row>
    <row r="141" spans="1:12">
      <c r="A141" s="484" t="s">
        <v>261</v>
      </c>
      <c r="B141" s="450"/>
      <c r="C141" s="450"/>
      <c r="D141" s="1332">
        <f t="shared" si="7"/>
        <v>0.10901900991310011</v>
      </c>
      <c r="E141" s="1332">
        <f t="shared" si="7"/>
        <v>7.5278271600000071E-2</v>
      </c>
      <c r="F141" s="1332">
        <f t="shared" si="7"/>
        <v>0.33982612861584932</v>
      </c>
      <c r="G141" s="1332">
        <f t="shared" si="7"/>
        <v>0.27030267830188709</v>
      </c>
      <c r="H141" s="1332">
        <f t="shared" si="7"/>
        <v>2.5204026143187717</v>
      </c>
      <c r="I141" s="1332">
        <f t="shared" si="7"/>
        <v>2.1623055969230789</v>
      </c>
      <c r="J141" s="1332">
        <f t="shared" si="7"/>
        <v>9.9934092512200104E-2</v>
      </c>
      <c r="K141" s="1333">
        <f t="shared" si="7"/>
        <v>9.4097839500000086E-2</v>
      </c>
      <c r="L141" s="1321"/>
    </row>
    <row r="142" spans="1:12">
      <c r="A142" s="851" t="s">
        <v>1501</v>
      </c>
      <c r="B142" s="496"/>
      <c r="C142" s="496"/>
      <c r="D142" s="349"/>
      <c r="E142" s="349"/>
      <c r="F142" s="349"/>
      <c r="G142" s="349"/>
      <c r="H142" s="349"/>
      <c r="I142" s="349"/>
      <c r="J142" s="349"/>
      <c r="K142" s="348"/>
      <c r="L142" s="1321"/>
    </row>
    <row r="143" spans="1:12">
      <c r="A143" s="491" t="s">
        <v>816</v>
      </c>
      <c r="B143" s="496"/>
      <c r="C143" s="496"/>
      <c r="D143" s="349">
        <f ca="1">(D$132*Mat_Sum!$F15+D$133*Mat_Sum!$D15+D$134*Mat_Sum!$I15+D$135*Mat_Sum!$AG15+D$136*Mat_Sum!$AK15+D$137*Mat_Sum!$AD15+D$138*Mat_Sum!$U15+D$139*Mat_Sum!$BB15+D$140*Mat_Sum!$AR15+D$141*Mat_Sum!$AV15+(D$46*Battery_Assembly!$E61))*(1+$C$28)</f>
        <v>4.8385138822453344</v>
      </c>
      <c r="E143" s="349">
        <f ca="1">(E$132*Mat_Sum!$F15+E$133*Mat_Sum!$D15+E$134*Mat_Sum!$I15+E$135*Mat_Sum!$AG15+E$136*Mat_Sum!$AK15+E$137*Mat_Sum!$AD15+E$138*Mat_Sum!$U15+E$139*Mat_Sum!$BB15+E$140*Mat_Sum!$AR15+E$141*Mat_Sum!$AV15+(E$46*Battery_Assembly!$E61))*(1+$C$28)</f>
        <v>3.341022473588501</v>
      </c>
      <c r="F143" s="349">
        <f ca="1">(F$132*Mat_Sum!$F15+F$133*Mat_Sum!$D15+F$134*Mat_Sum!$I15+F$135*Mat_Sum!$AG15+F$136*Mat_Sum!$AK15+F$137*Mat_Sum!$AD15+F$138*Mat_Sum!$U15+F$139*Mat_Sum!$BB15+F$140*Mat_Sum!$AR15+F$141*Mat_Sum!$AV15+(F$46*Battery_Assembly!$E61))*(1+$C$29)</f>
        <v>15.082263562732061</v>
      </c>
      <c r="G143" s="349">
        <f ca="1">(G$132*Mat_Sum!$F15+G$133*Mat_Sum!$D15+G$134*Mat_Sum!$I15+G$135*Mat_Sum!$AG15+G$136*Mat_Sum!$AK15+G$137*Mat_Sum!$AD15+G$138*Mat_Sum!$U15+G$139*Mat_Sum!$BB15+G$140*Mat_Sum!$AR15+G$141*Mat_Sum!$AV15+(G$46*Battery_Assembly!$E61))*(1+$C$29)</f>
        <v>11.996653266382467</v>
      </c>
      <c r="H143" s="349">
        <f ca="1">(H$132*Mat_Sum!$F15+H$133*Mat_Sum!$D15+H$134*Mat_Sum!$I15+H$135*Mat_Sum!$AG15+H$136*Mat_Sum!$AK15+H$137*Mat_Sum!$AD15+H$138*Mat_Sum!$U15+H$139*Mat_Sum!$BB15+H$140*Mat_Sum!$AR15+H$141*Mat_Sum!$AV15+(H$46*Battery_Assembly!$E61))*(1+$C$30)</f>
        <v>111.86125289478908</v>
      </c>
      <c r="I143" s="349">
        <f ca="1">(I$132*Mat_Sum!$F15+I$133*Mat_Sum!$D15+I$134*Mat_Sum!$I15+I$135*Mat_Sum!$AG15+I$136*Mat_Sum!$AK15+I$137*Mat_Sum!$AD15+I$138*Mat_Sum!$U15+I$139*Mat_Sum!$BB15+I$140*Mat_Sum!$AR15+I$141*Mat_Sum!$AV15+(I$46*Battery_Assembly!$E61))*(1+$C$30)</f>
        <v>95.968085352350158</v>
      </c>
      <c r="J143" s="349">
        <f ca="1">((J$132*Mat_Sum!$F15+J$133*Mat_Sum!$D15+J$134*Mat_Sum!$I15+J$135*Mat_Sum!$AG15+J$136*Mat_Sum!$AK15+J$137*Mat_Sum!$AD15+J$138*Mat_Sum!$U15+J$139*Mat_Sum!$BB15+J$140*Mat_Sum!$AR15+J$141*Mat_Sum!$AV15)+(J$46*Battery_Assembly!$E61))*(1+$C$31)</f>
        <v>4.4353043961351064</v>
      </c>
      <c r="K143" s="348">
        <f ca="1">((K$132*Mat_Sum!$F15+K$133*Mat_Sum!$D15+K$134*Mat_Sum!$I15+K$135*Mat_Sum!$AG15+K$136*Mat_Sum!$AK15+K$137*Mat_Sum!$AD15+K$138*Mat_Sum!$U15+K$139*Mat_Sum!$BB15+K$140*Mat_Sum!$AR15+K$141*Mat_Sum!$AV15)+(K$46*Battery_Assembly!$E61))*(1+$C$31)</f>
        <v>4.1762780919856253</v>
      </c>
      <c r="L143" s="1321"/>
    </row>
    <row r="144" spans="1:12">
      <c r="A144" s="491" t="s">
        <v>817</v>
      </c>
      <c r="B144" s="496"/>
      <c r="C144" s="496"/>
      <c r="D144" s="349">
        <f ca="1">(D$132*Mat_Sum!$F16+D$133*Mat_Sum!$D16+D$134*Mat_Sum!$I16+D$135*Mat_Sum!$AG16+D$136*Mat_Sum!$AK16+D$137*Mat_Sum!$AD16+D$138*Mat_Sum!$U16+D$139*Mat_Sum!$BB16+D$140*Mat_Sum!$AR16+D$141*Mat_Sum!$AV16+(D$46*Battery_Assembly!$E62))*(1+$C$28)</f>
        <v>4.2424882847891512</v>
      </c>
      <c r="E144" s="349">
        <f ca="1">(E$132*Mat_Sum!$F16+E$133*Mat_Sum!$D16+E$134*Mat_Sum!$I16+E$135*Mat_Sum!$AG16+E$136*Mat_Sum!$AK16+E$137*Mat_Sum!$AD16+E$138*Mat_Sum!$U16+E$139*Mat_Sum!$BB16+E$140*Mat_Sum!$AR16+E$141*Mat_Sum!$AV16+(E$46*Battery_Assembly!$E62))*(1+$C$28)</f>
        <v>2.9294632708253929</v>
      </c>
      <c r="F144" s="349">
        <f ca="1">(F$132*Mat_Sum!$F16+F$133*Mat_Sum!$D16+F$134*Mat_Sum!$I16+F$135*Mat_Sum!$AG16+F$136*Mat_Sum!$AK16+F$137*Mat_Sum!$AD16+F$138*Mat_Sum!$U16+F$139*Mat_Sum!$BB16+F$140*Mat_Sum!$AR16+F$141*Mat_Sum!$AV16+(F$46*Battery_Assembly!$E62))*(1+$C$29)</f>
        <v>13.224375920008711</v>
      </c>
      <c r="G144" s="349">
        <f ca="1">(G$132*Mat_Sum!$F16+G$133*Mat_Sum!$D16+G$134*Mat_Sum!$I16+G$135*Mat_Sum!$AG16+G$136*Mat_Sum!$AK16+G$137*Mat_Sum!$AD16+G$138*Mat_Sum!$U16+G$139*Mat_Sum!$BB16+G$140*Mat_Sum!$AR16+G$141*Mat_Sum!$AV16+(G$46*Battery_Assembly!$E62))*(1+$C$29)</f>
        <v>10.518862232898414</v>
      </c>
      <c r="H144" s="349">
        <f ca="1">(H$132*Mat_Sum!$F16+H$133*Mat_Sum!$D16+H$134*Mat_Sum!$I16+H$135*Mat_Sum!$AG16+H$136*Mat_Sum!$AK16+H$137*Mat_Sum!$AD16+H$138*Mat_Sum!$U16+H$139*Mat_Sum!$BB16+H$140*Mat_Sum!$AR16+H$141*Mat_Sum!$AV16+(H$46*Battery_Assembly!$E62))*(1+$C$30)</f>
        <v>98.081780165886968</v>
      </c>
      <c r="I144" s="349">
        <f ca="1">(I$132*Mat_Sum!$F16+I$133*Mat_Sum!$D16+I$134*Mat_Sum!$I16+I$135*Mat_Sum!$AG16+I$136*Mat_Sum!$AK16+I$137*Mat_Sum!$AD16+I$138*Mat_Sum!$U16+I$139*Mat_Sum!$BB16+I$140*Mat_Sum!$AR16+I$141*Mat_Sum!$AV16+(I$46*Battery_Assembly!$E62))*(1+$C$30)</f>
        <v>84.146390344147193</v>
      </c>
      <c r="J144" s="349">
        <f ca="1">((J$132*Mat_Sum!$F16+J$133*Mat_Sum!$D16+J$134*Mat_Sum!$I16+J$135*Mat_Sum!$AG16+J$136*Mat_Sum!$AK16+J$137*Mat_Sum!$AD16+J$138*Mat_Sum!$U16+J$139*Mat_Sum!$BB16+J$140*Mat_Sum!$AR16+J$141*Mat_Sum!$AV16)+(J$46*Battery_Assembly!$E62))*(1+$C$31)</f>
        <v>3.8889475979647332</v>
      </c>
      <c r="K144" s="348">
        <f ca="1">((K$132*Mat_Sum!$F16+K$133*Mat_Sum!$D16+K$134*Mat_Sum!$I16+K$135*Mat_Sum!$AG16+K$136*Mat_Sum!$AK16+K$137*Mat_Sum!$AD16+K$138*Mat_Sum!$U16+K$139*Mat_Sum!$BB16+K$140*Mat_Sum!$AR16+K$141*Mat_Sum!$AV16)+(K$46*Battery_Assembly!$E62))*(1+$C$31)</f>
        <v>3.6618290885317406</v>
      </c>
      <c r="L144" s="1321"/>
    </row>
    <row r="145" spans="1:22">
      <c r="A145" s="491" t="s">
        <v>805</v>
      </c>
      <c r="B145" s="496"/>
      <c r="C145" s="496"/>
      <c r="D145" s="349">
        <f ca="1">(D$132*Mat_Sum!$F17+D$133*Mat_Sum!$D17+D$134*Mat_Sum!$I17+D$135*Mat_Sum!$AG17+D$136*Mat_Sum!$AK17+D$137*Mat_Sum!$AD17+D$138*Mat_Sum!$U17+D$139*Mat_Sum!$BB17+D$140*Mat_Sum!$AR17+D$141*Mat_Sum!$AV17+(D$46*Battery_Assembly!$E63))*(1+$C$28)</f>
        <v>1.2583402936503891</v>
      </c>
      <c r="E145" s="349">
        <f ca="1">(E$132*Mat_Sum!$F17+E$133*Mat_Sum!$D17+E$134*Mat_Sum!$I17+E$135*Mat_Sum!$AG17+E$136*Mat_Sum!$AK17+E$137*Mat_Sum!$AD17+E$138*Mat_Sum!$U17+E$139*Mat_Sum!$BB17+E$140*Mat_Sum!$AR17+E$141*Mat_Sum!$AV17+(E$46*Battery_Assembly!$E63))*(1+$C$28)</f>
        <v>0.868891420552658</v>
      </c>
      <c r="F145" s="349">
        <f ca="1">(F$132*Mat_Sum!$F17+F$133*Mat_Sum!$D17+F$134*Mat_Sum!$I17+F$135*Mat_Sum!$AG17+F$136*Mat_Sum!$AK17+F$137*Mat_Sum!$AD17+F$138*Mat_Sum!$U17+F$139*Mat_Sum!$BB17+F$140*Mat_Sum!$AR17+F$141*Mat_Sum!$AV17+(F$46*Battery_Assembly!$E63))*(1+$C$29)</f>
        <v>3.922406842746045</v>
      </c>
      <c r="G145" s="349">
        <f ca="1">(G$132*Mat_Sum!$F17+G$133*Mat_Sum!$D17+G$134*Mat_Sum!$I17+G$135*Mat_Sum!$AG17+G$136*Mat_Sum!$AK17+G$137*Mat_Sum!$AD17+G$138*Mat_Sum!$U17+G$139*Mat_Sum!$BB17+G$140*Mat_Sum!$AR17+G$141*Mat_Sum!$AV17+(G$46*Battery_Assembly!$E63))*(1+$C$29)</f>
        <v>3.1199398330621939</v>
      </c>
      <c r="H145" s="349">
        <f ca="1">(H$132*Mat_Sum!$F17+H$133*Mat_Sum!$D17+H$134*Mat_Sum!$I17+H$135*Mat_Sum!$AG17+H$136*Mat_Sum!$AK17+H$137*Mat_Sum!$AD17+H$138*Mat_Sum!$U17+H$139*Mat_Sum!$BB17+H$140*Mat_Sum!$AR17+H$141*Mat_Sum!$AV17+(H$46*Battery_Assembly!$E63))*(1+$C$30)</f>
        <v>29.091478342604084</v>
      </c>
      <c r="I145" s="349">
        <f ca="1">(I$132*Mat_Sum!$F17+I$133*Mat_Sum!$D17+I$134*Mat_Sum!$I17+I$135*Mat_Sum!$AG17+I$136*Mat_Sum!$AK17+I$137*Mat_Sum!$AD17+I$138*Mat_Sum!$U17+I$139*Mat_Sum!$BB17+I$140*Mat_Sum!$AR17+I$141*Mat_Sum!$AV17+(I$46*Battery_Assembly!$E63))*(1+$C$30)</f>
        <v>24.958181714940636</v>
      </c>
      <c r="J145" s="349">
        <f ca="1">((J$132*Mat_Sum!$F17+J$133*Mat_Sum!$D17+J$134*Mat_Sum!$I17+J$135*Mat_Sum!$AG17+J$136*Mat_Sum!$AK17+J$137*Mat_Sum!$AD17+J$138*Mat_Sum!$U17+J$139*Mat_Sum!$BB17+J$140*Mat_Sum!$AR17+J$141*Mat_Sum!$AV17)+(J$46*Battery_Assembly!$E63))*(1+$C$31)</f>
        <v>1.1534786035731219</v>
      </c>
      <c r="K145" s="348">
        <f ca="1">((K$132*Mat_Sum!$F17+K$133*Mat_Sum!$D17+K$134*Mat_Sum!$I17+K$135*Mat_Sum!$AG17+K$136*Mat_Sum!$AK17+K$137*Mat_Sum!$AD17+K$138*Mat_Sum!$U17+K$139*Mat_Sum!$BB17+K$140*Mat_Sum!$AR17+K$141*Mat_Sum!$AV17)+(K$46*Battery_Assembly!$E63))*(1+$C$31)</f>
        <v>1.0861142756908224</v>
      </c>
      <c r="L145" s="1321"/>
    </row>
    <row r="146" spans="1:22">
      <c r="A146" s="491" t="s">
        <v>804</v>
      </c>
      <c r="B146" s="496"/>
      <c r="C146" s="496"/>
      <c r="D146" s="349">
        <f t="shared" ref="D146:K146" ca="1" si="8">D144-D145-D147</f>
        <v>2.3838576749486609</v>
      </c>
      <c r="E146" s="349">
        <f t="shared" ca="1" si="8"/>
        <v>1.6460678339821013</v>
      </c>
      <c r="F146" s="349">
        <f t="shared" ca="1" si="8"/>
        <v>7.4307877634801258</v>
      </c>
      <c r="G146" s="349">
        <f t="shared" ca="1" si="8"/>
        <v>5.9105573857509714</v>
      </c>
      <c r="H146" s="349">
        <f t="shared" ca="1" si="8"/>
        <v>55.112233370067472</v>
      </c>
      <c r="I146" s="349">
        <f t="shared" ca="1" si="8"/>
        <v>47.28192630733227</v>
      </c>
      <c r="J146" s="349">
        <f t="shared" ca="1" si="8"/>
        <v>2.1852028707115529</v>
      </c>
      <c r="K146" s="348">
        <f t="shared" ca="1" si="8"/>
        <v>2.057584792477626</v>
      </c>
      <c r="L146" s="1321"/>
    </row>
    <row r="147" spans="1:22">
      <c r="A147" s="491" t="s">
        <v>818</v>
      </c>
      <c r="B147" s="496"/>
      <c r="C147" s="496"/>
      <c r="D147" s="349">
        <f ca="1">(D$132*Mat_Sum!$F19+D$133*Mat_Sum!$D19+D$134*Mat_Sum!$I19+D$135*Mat_Sum!$AG19+D$136*Mat_Sum!$AK19+D$137*Mat_Sum!$AD19+D$138*Mat_Sum!$U19+D$139*Mat_Sum!$BB19+D$140*Mat_Sum!$AR19+D$141*Mat_Sum!$AV19+(D$46*Battery_Assembly!$E65))*(1+$C$28)</f>
        <v>0.60029031619010154</v>
      </c>
      <c r="E147" s="349">
        <f ca="1">(E$132*Mat_Sum!$F19+E$133*Mat_Sum!$D19+E$134*Mat_Sum!$I19+E$135*Mat_Sum!$AG19+E$136*Mat_Sum!$AK19+E$137*Mat_Sum!$AD19+E$138*Mat_Sum!$U19+E$139*Mat_Sum!$BB19+E$140*Mat_Sum!$AR19+E$141*Mat_Sum!$AV19+(E$46*Battery_Assembly!$E65))*(1+$C$28)</f>
        <v>0.41450401629063355</v>
      </c>
      <c r="F147" s="349">
        <f ca="1">(F$132*Mat_Sum!$F19+F$133*Mat_Sum!$D19+F$134*Mat_Sum!$I19+F$135*Mat_Sum!$AG19+F$136*Mat_Sum!$AK19+F$137*Mat_Sum!$AD19+F$138*Mat_Sum!$U19+F$139*Mat_Sum!$BB19+F$140*Mat_Sum!$AR19+F$141*Mat_Sum!$AV19+(F$46*Battery_Assembly!$E65))*(1+$C$29)</f>
        <v>1.8711813137825393</v>
      </c>
      <c r="G147" s="349">
        <f ca="1">(G$132*Mat_Sum!$F19+G$133*Mat_Sum!$D19+G$134*Mat_Sum!$I19+G$135*Mat_Sum!$AG19+G$136*Mat_Sum!$AK19+G$137*Mat_Sum!$AD19+G$138*Mat_Sum!$U19+G$139*Mat_Sum!$BB19+G$140*Mat_Sum!$AR19+G$141*Mat_Sum!$AV19+(G$46*Battery_Assembly!$E65))*(1+$C$29)</f>
        <v>1.4883650140852487</v>
      </c>
      <c r="H147" s="349">
        <f ca="1">(H$132*Mat_Sum!$F19+H$133*Mat_Sum!$D19+H$134*Mat_Sum!$I19+H$135*Mat_Sum!$AG19+H$136*Mat_Sum!$AK19+H$137*Mat_Sum!$AD19+H$138*Mat_Sum!$U19+H$139*Mat_Sum!$BB19+H$140*Mat_Sum!$AR19+H$141*Mat_Sum!$AV19+(H$46*Battery_Assembly!$E65))*(1+$C$30)</f>
        <v>13.878068453215421</v>
      </c>
      <c r="I147" s="349">
        <f ca="1">(I$132*Mat_Sum!$F19+I$133*Mat_Sum!$D19+I$134*Mat_Sum!$I19+I$135*Mat_Sum!$AG19+I$136*Mat_Sum!$AK19+I$137*Mat_Sum!$AD19+I$138*Mat_Sum!$U19+I$139*Mat_Sum!$BB19+I$140*Mat_Sum!$AR19+I$141*Mat_Sum!$AV19+(I$46*Battery_Assembly!$E65))*(1+$C$30)</f>
        <v>11.906282321874286</v>
      </c>
      <c r="J147" s="349">
        <f ca="1">((J$132*Mat_Sum!$F19+J$133*Mat_Sum!$D19+J$134*Mat_Sum!$I19+J$135*Mat_Sum!$AG19+J$136*Mat_Sum!$AK19+J$137*Mat_Sum!$AD19+J$138*Mat_Sum!$U19+J$139*Mat_Sum!$BB19+J$140*Mat_Sum!$AR19+J$141*Mat_Sum!$AV19)+(J$46*Battery_Assembly!$E65))*(1+$C$31)</f>
        <v>0.55026612368005845</v>
      </c>
      <c r="K147" s="348">
        <f ca="1">((K$132*Mat_Sum!$F19+K$133*Mat_Sum!$D19+K$134*Mat_Sum!$I19+K$135*Mat_Sum!$AG19+K$136*Mat_Sum!$AK19+K$137*Mat_Sum!$AD19+K$138*Mat_Sum!$U19+K$139*Mat_Sum!$BB19+K$140*Mat_Sum!$AR19+K$141*Mat_Sum!$AV19)+(K$46*Battery_Assembly!$E65))*(1+$C$31)</f>
        <v>0.51813002036329192</v>
      </c>
      <c r="L147" s="1321"/>
    </row>
    <row r="148" spans="1:22">
      <c r="A148" s="745" t="s">
        <v>819</v>
      </c>
      <c r="B148" s="535"/>
      <c r="C148" s="535"/>
      <c r="D148" s="419">
        <f ca="1">(D$132*Mat_Sum!$F20+D$133*Mat_Sum!$D20+D$134*Mat_Sum!$I20+D$135*Mat_Sum!$AG20+D$136*Mat_Sum!$AK20+D$137*Mat_Sum!$AD20+D$138*Mat_Sum!$U20+D$139*Mat_Sum!$BB20+D$140*Mat_Sum!$AR20+D$141*Mat_Sum!$AV20+(D$46*Battery_Assembly!$E66))*(1+$C$28)</f>
        <v>278.92093339064371</v>
      </c>
      <c r="E148" s="419">
        <f ca="1">(E$132*Mat_Sum!$F20+E$133*Mat_Sum!$D20+E$134*Mat_Sum!$I20+E$135*Mat_Sum!$AG20+E$136*Mat_Sum!$AK20+E$137*Mat_Sum!$AD20+E$138*Mat_Sum!$U20+E$139*Mat_Sum!$BB20+E$140*Mat_Sum!$AR20+E$141*Mat_Sum!$AV20+(E$46*Battery_Assembly!$E66))*(1+$C$28)</f>
        <v>192.59655536628915</v>
      </c>
      <c r="F148" s="419">
        <f ca="1">(F$132*Mat_Sum!$F20+F$133*Mat_Sum!$D20+F$134*Mat_Sum!$I20+F$135*Mat_Sum!$AG20+F$136*Mat_Sum!$AK20+F$137*Mat_Sum!$AD20+F$138*Mat_Sum!$U20+F$139*Mat_Sum!$BB20+F$140*Mat_Sum!$AR20+F$141*Mat_Sum!$AV20+(F$46*Battery_Assembly!$E66))*(1+$C$29)</f>
        <v>869.43204730638422</v>
      </c>
      <c r="G148" s="419">
        <f ca="1">(G$132*Mat_Sum!$F20+G$133*Mat_Sum!$D20+G$134*Mat_Sum!$I20+G$135*Mat_Sum!$AG20+G$136*Mat_Sum!$AK20+G$137*Mat_Sum!$AD20+G$138*Mat_Sum!$U20+G$139*Mat_Sum!$BB20+G$140*Mat_Sum!$AR20+G$141*Mat_Sum!$AV20+(G$46*Battery_Assembly!$E66))*(1+$C$29)</f>
        <v>691.55898031040317</v>
      </c>
      <c r="H148" s="419">
        <f ca="1">(H$132*Mat_Sum!$F20+H$133*Mat_Sum!$D20+H$134*Mat_Sum!$I20+H$135*Mat_Sum!$AG20+H$136*Mat_Sum!$AK20+H$137*Mat_Sum!$AD20+H$138*Mat_Sum!$U20+H$139*Mat_Sum!$BB20+H$140*Mat_Sum!$AR20+H$141*Mat_Sum!$AV20+(H$46*Battery_Assembly!$E66))*(1+$C$30)</f>
        <v>6448.3529089685499</v>
      </c>
      <c r="I148" s="419">
        <f ca="1">(I$132*Mat_Sum!$F20+I$133*Mat_Sum!$D20+I$134*Mat_Sum!$I20+I$135*Mat_Sum!$AG20+I$136*Mat_Sum!$AK20+I$137*Mat_Sum!$AD20+I$138*Mat_Sum!$U20+I$139*Mat_Sum!$BB20+I$140*Mat_Sum!$AR20+I$141*Mat_Sum!$AV20+(I$46*Battery_Assembly!$E66))*(1+$C$30)</f>
        <v>5532.1754971939636</v>
      </c>
      <c r="J148" s="419">
        <f ca="1">((J$132*Mat_Sum!$F20+J$133*Mat_Sum!$D20+J$134*Mat_Sum!$I20+J$135*Mat_Sum!$AG20+J$136*Mat_Sum!$AK20+J$137*Mat_Sum!$AD20+J$138*Mat_Sum!$U20+J$139*Mat_Sum!$BB20+J$140*Mat_Sum!$AR20+J$141*Mat_Sum!$AV20)+(J$46*Battery_Assembly!$E66))*(1+$C$31)</f>
        <v>255.67752250977273</v>
      </c>
      <c r="K148" s="516">
        <f ca="1">((K$132*Mat_Sum!$F20+K$133*Mat_Sum!$D20+K$134*Mat_Sum!$I20+K$135*Mat_Sum!$AG20+K$136*Mat_Sum!$AK20+K$137*Mat_Sum!$AD20+K$138*Mat_Sum!$U20+K$139*Mat_Sum!$BB20+K$140*Mat_Sum!$AR20+K$141*Mat_Sum!$AV20)+(K$46*Battery_Assembly!$E66))*(1+$C$31)</f>
        <v>240.74569420786139</v>
      </c>
      <c r="L148" s="1321"/>
    </row>
    <row r="149" spans="1:22">
      <c r="A149" s="851" t="s">
        <v>1520</v>
      </c>
      <c r="B149" s="506"/>
      <c r="C149" s="506"/>
      <c r="D149" s="512"/>
      <c r="E149" s="512"/>
      <c r="F149" s="512"/>
      <c r="G149" s="512"/>
      <c r="H149" s="512"/>
      <c r="I149" s="512"/>
      <c r="J149" s="512"/>
      <c r="K149" s="509"/>
      <c r="L149" s="1321" t="s">
        <v>2744</v>
      </c>
      <c r="M149" s="1321" t="s">
        <v>2745</v>
      </c>
      <c r="N149" s="1321" t="s">
        <v>2751</v>
      </c>
      <c r="O149" s="1321" t="s">
        <v>2752</v>
      </c>
      <c r="P149" s="1321" t="s">
        <v>2746</v>
      </c>
      <c r="Q149" s="1321" t="s">
        <v>2747</v>
      </c>
      <c r="R149" s="1321" t="s">
        <v>2750</v>
      </c>
      <c r="S149" s="1321" t="s">
        <v>2748</v>
      </c>
      <c r="T149" s="1321" t="s">
        <v>2749</v>
      </c>
      <c r="U149" t="s">
        <v>2768</v>
      </c>
    </row>
    <row r="150" spans="1:22">
      <c r="A150" s="491" t="s">
        <v>821</v>
      </c>
      <c r="B150" s="496"/>
      <c r="C150" s="496"/>
      <c r="D150" s="349">
        <f ca="1">(D$132*Mat_Sum!$F22+D$133*Mat_Sum!$D22+D$134*Mat_Sum!$I22+D$135*Mat_Sum!$AG22+D$136*Mat_Sum!$AK22+D$137*Mat_Sum!$AD22+D$138*Mat_Sum!$U22+D$139*Mat_Sum!$BB22+D$140*Mat_Sum!$AR22+D$141*Mat_Sum!$AV22+(D$46*Battery_Assembly!$E68))*(1+$C$28)</f>
        <v>93.564521530096528</v>
      </c>
      <c r="E150" s="349">
        <f ca="1">(E$132*Mat_Sum!$F22+E$133*Mat_Sum!$D22+E$134*Mat_Sum!$I22+E$135*Mat_Sum!$AG22+E$136*Mat_Sum!$AK22+E$137*Mat_Sum!$AD22+E$138*Mat_Sum!$U22+E$139*Mat_Sum!$BB22+E$140*Mat_Sum!$AR22+E$141*Mat_Sum!$AV22+(E$46*Battery_Assembly!$E68))*(1+$C$28)</f>
        <v>64.606855900461682</v>
      </c>
      <c r="F150" s="349">
        <f ca="1">(F$132*Mat_Sum!$F22+F$133*Mat_Sum!$D22+F$134*Mat_Sum!$I22+F$135*Mat_Sum!$AG22+F$136*Mat_Sum!$AK22+F$137*Mat_Sum!$AD22+F$138*Mat_Sum!$U22+F$139*Mat_Sum!$BB22+F$140*Mat_Sum!$AR22+F$141*Mat_Sum!$AV22+(F$46*Battery_Assembly!$E68))*(1+$C$29)</f>
        <v>291.65252145209871</v>
      </c>
      <c r="G150" s="349">
        <f ca="1">(G$132*Mat_Sum!$F22+G$133*Mat_Sum!$D22+G$134*Mat_Sum!$I22+G$135*Mat_Sum!$AG22+G$136*Mat_Sum!$AK22+G$137*Mat_Sum!$AD22+G$138*Mat_Sum!$U22+G$139*Mat_Sum!$BB22+G$140*Mat_Sum!$AR22+G$141*Mat_Sum!$AV22+(G$46*Battery_Assembly!$E68))*(1+$C$29)</f>
        <v>231.98468582478517</v>
      </c>
      <c r="H150" s="349">
        <f ca="1">(H$132*Mat_Sum!$F22+H$133*Mat_Sum!$D22+H$134*Mat_Sum!$I22+H$135*Mat_Sum!$AG22+H$136*Mat_Sum!$AK22+H$137*Mat_Sum!$AD22+H$138*Mat_Sum!$U22+H$139*Mat_Sum!$BB22+H$140*Mat_Sum!$AR22+H$141*Mat_Sum!$AV22+(H$46*Battery_Assembly!$E68))*(1+$C$30)</f>
        <v>2163.1114138709795</v>
      </c>
      <c r="I150" s="349">
        <f ca="1">(I$132*Mat_Sum!$F22+I$133*Mat_Sum!$D22+I$134*Mat_Sum!$I22+I$135*Mat_Sum!$AG22+I$136*Mat_Sum!$AK22+I$137*Mat_Sum!$AD22+I$138*Mat_Sum!$U22+I$139*Mat_Sum!$BB22+I$140*Mat_Sum!$AR22+I$141*Mat_Sum!$AV22+(I$46*Battery_Assembly!$E68))*(1+$C$30)</f>
        <v>1855.778077045687</v>
      </c>
      <c r="J150" s="349">
        <f ca="1">((J$132*Mat_Sum!$F22+J$133*Mat_Sum!$D22+J$134*Mat_Sum!$I22+J$135*Mat_Sum!$AG22+J$136*Mat_Sum!$AK22+J$137*Mat_Sum!$AD22+J$138*Mat_Sum!$U22+J$139*Mat_Sum!$BB22+J$140*Mat_Sum!$AR22+J$141*Mat_Sum!$AV22)+(J$46*Battery_Assembly!$E68))*(1+$C$31)</f>
        <v>85.767478148091683</v>
      </c>
      <c r="K150" s="348">
        <f ca="1">((K$132*Mat_Sum!$F22+K$133*Mat_Sum!$D22+K$134*Mat_Sum!$I22+K$135*Mat_Sum!$AG22+K$136*Mat_Sum!$AK22+K$137*Mat_Sum!$AD22+K$138*Mat_Sum!$U22+K$139*Mat_Sum!$BB22+K$140*Mat_Sum!$AR22+K$141*Mat_Sum!$AV22)+(K$46*Battery_Assembly!$E68))*(1+$C$31)</f>
        <v>80.758569875577081</v>
      </c>
      <c r="L150" s="1321">
        <f>$D$135*Mat_Sum!AE22</f>
        <v>5.2069566369086238E-2</v>
      </c>
      <c r="M150" s="5">
        <f>$D$135*Mat_Sum!AF22</f>
        <v>0.58020297893696882</v>
      </c>
      <c r="N150" s="5">
        <v>0</v>
      </c>
      <c r="O150" s="5">
        <v>0</v>
      </c>
      <c r="P150" s="5">
        <f ca="1">$D$138*Mat_Sum!$R22</f>
        <v>17.496382724638842</v>
      </c>
      <c r="Q150" s="5">
        <f ca="1">$D$138*SUM(Mat_Sum!$S22:'Mat_Sum'!$T22)</f>
        <v>9.667821718843447</v>
      </c>
      <c r="R150" s="5">
        <v>0</v>
      </c>
      <c r="S150" s="5">
        <f ca="1">$D$137*Mat_Sum!AB22</f>
        <v>0.86913484731719781</v>
      </c>
      <c r="T150" s="5">
        <f ca="1">$D$137*Mat_Sum!AC22</f>
        <v>2.4947282894124774</v>
      </c>
      <c r="U150" s="1318">
        <f ca="1">D150-SUM(L150:T150)</f>
        <v>62.404181404578509</v>
      </c>
      <c r="V150" s="491" t="s">
        <v>821</v>
      </c>
    </row>
    <row r="151" spans="1:22">
      <c r="A151" s="491" t="s">
        <v>822</v>
      </c>
      <c r="B151" s="496"/>
      <c r="C151" s="496"/>
      <c r="D151" s="349">
        <f ca="1">(D$132*Mat_Sum!$F23+D$133*Mat_Sum!$D23+D$134*Mat_Sum!$I23+D$135*Mat_Sum!$AG23+D$136*Mat_Sum!$AK23+D$137*Mat_Sum!$AD23+D$138*Mat_Sum!$U23+D$139*Mat_Sum!$BB23+D$140*Mat_Sum!$AR23+D$141*Mat_Sum!$AV23+(D$46*Battery_Assembly!$E69))*(1+$C$28)</f>
        <v>480.07781918461387</v>
      </c>
      <c r="E151" s="349">
        <f ca="1">(E$132*Mat_Sum!$F23+E$133*Mat_Sum!$D23+E$134*Mat_Sum!$I23+E$135*Mat_Sum!$AG23+E$136*Mat_Sum!$AK23+E$137*Mat_Sum!$AD23+E$138*Mat_Sum!$U23+E$139*Mat_Sum!$BB23+E$140*Mat_Sum!$AR23+E$141*Mat_Sum!$AV23+(E$46*Battery_Assembly!$E69))*(1+$C$28)</f>
        <v>331.4965756020174</v>
      </c>
      <c r="F151" s="349">
        <f ca="1">(F$132*Mat_Sum!$F23+F$133*Mat_Sum!$D23+F$134*Mat_Sum!$I23+F$135*Mat_Sum!$AG23+F$136*Mat_Sum!$AK23+F$137*Mat_Sum!$AD23+F$138*Mat_Sum!$U23+F$139*Mat_Sum!$BB23+F$140*Mat_Sum!$AR23+F$141*Mat_Sum!$AV23+(F$46*Battery_Assembly!$E69))*(1+$C$29)</f>
        <v>1496.4636613182379</v>
      </c>
      <c r="G151" s="349">
        <f ca="1">(G$132*Mat_Sum!$F23+G$133*Mat_Sum!$D23+G$134*Mat_Sum!$I23+G$135*Mat_Sum!$AG23+G$136*Mat_Sum!$AK23+G$137*Mat_Sum!$AD23+G$138*Mat_Sum!$U23+G$139*Mat_Sum!$BB23+G$140*Mat_Sum!$AR23+G$141*Mat_Sum!$AV23+(G$46*Battery_Assembly!$E69))*(1+$C$29)</f>
        <v>1190.3091068463007</v>
      </c>
      <c r="H151" s="349">
        <f ca="1">(H$132*Mat_Sum!$F23+H$133*Mat_Sum!$D23+H$134*Mat_Sum!$I23+H$135*Mat_Sum!$AG23+H$136*Mat_Sum!$AK23+H$137*Mat_Sum!$AD23+H$138*Mat_Sum!$U23+H$139*Mat_Sum!$BB23+H$140*Mat_Sum!$AR23+H$141*Mat_Sum!$AV23+(H$46*Battery_Assembly!$E69))*(1+$C$30)</f>
        <v>11098.88441945902</v>
      </c>
      <c r="I151" s="349">
        <f ca="1">(I$132*Mat_Sum!$F23+I$133*Mat_Sum!$D23+I$134*Mat_Sum!$I23+I$135*Mat_Sum!$AG23+I$136*Mat_Sum!$AK23+I$137*Mat_Sum!$AD23+I$138*Mat_Sum!$U23+I$139*Mat_Sum!$BB23+I$140*Mat_Sum!$AR23+I$141*Mat_Sum!$AV23+(I$46*Battery_Assembly!$E69))*(1+$C$30)</f>
        <v>9521.9627862055786</v>
      </c>
      <c r="J151" s="349">
        <f ca="1">((J$132*Mat_Sum!$F23+J$133*Mat_Sum!$D23+J$134*Mat_Sum!$I23+J$135*Mat_Sum!$AG23+J$136*Mat_Sum!$AK23+J$137*Mat_Sum!$AD23+J$138*Mat_Sum!$U23+J$139*Mat_Sum!$BB23+J$140*Mat_Sum!$AR23+J$141*Mat_Sum!$AV23)+(J$46*Battery_Assembly!$E69))*(1+$C$31)</f>
        <v>440.07133465707136</v>
      </c>
      <c r="K151" s="348">
        <f ca="1">((K$132*Mat_Sum!$F23+K$133*Mat_Sum!$D23+K$134*Mat_Sum!$I23+K$135*Mat_Sum!$AG23+K$136*Mat_Sum!$AK23+K$137*Mat_Sum!$AD23+K$138*Mat_Sum!$U23+K$139*Mat_Sum!$BB23+K$140*Mat_Sum!$AR23+K$141*Mat_Sum!$AV23)+(K$46*Battery_Assembly!$E69))*(1+$C$31)</f>
        <v>414.37071950252181</v>
      </c>
      <c r="L151" s="1321">
        <f>$D$135*Mat_Sum!AE23</f>
        <v>0.39521045848207553</v>
      </c>
      <c r="M151" s="5">
        <f>$D$135*Mat_Sum!AF23</f>
        <v>3.6824276446223063</v>
      </c>
      <c r="N151" s="5">
        <v>0</v>
      </c>
      <c r="O151" s="5">
        <v>0</v>
      </c>
      <c r="P151" s="5">
        <f ca="1">$D$138*Mat_Sum!$R23</f>
        <v>103.96667801373736</v>
      </c>
      <c r="Q151" s="5">
        <f ca="1">$D$138*SUM(Mat_Sum!$S23:'Mat_Sum'!$T23)</f>
        <v>38.327153688211801</v>
      </c>
      <c r="R151" s="5">
        <v>0</v>
      </c>
      <c r="S151" s="5">
        <f ca="1">$D$137*Mat_Sum!AB23</f>
        <v>3.1258172693045299</v>
      </c>
      <c r="T151" s="5">
        <f ca="1">$D$137*Mat_Sum!AC23</f>
        <v>7.3760654071855463</v>
      </c>
      <c r="U151" s="1318">
        <f t="shared" ref="U151:U162" ca="1" si="9">D151-SUM(L151:T151)</f>
        <v>323.20446670307024</v>
      </c>
      <c r="V151" s="491" t="s">
        <v>822</v>
      </c>
    </row>
    <row r="152" spans="1:22">
      <c r="A152" s="491" t="s">
        <v>823</v>
      </c>
      <c r="B152" s="496"/>
      <c r="C152" s="496"/>
      <c r="D152" s="349">
        <f ca="1">(D$132*Mat_Sum!$F24+D$133*Mat_Sum!$D24+D$134*Mat_Sum!$I24+D$135*Mat_Sum!$AG24+D$136*Mat_Sum!$AK24+D$137*Mat_Sum!$AD24+D$138*Mat_Sum!$U24+D$139*Mat_Sum!$BB24+D$140*Mat_Sum!$AR24+D$141*Mat_Sum!$AV24+(D$46*Battery_Assembly!$E70))*(1+$C$28)</f>
        <v>319.66939652714296</v>
      </c>
      <c r="E152" s="349">
        <f ca="1">(E$132*Mat_Sum!$F24+E$133*Mat_Sum!$D24+E$134*Mat_Sum!$I24+E$135*Mat_Sum!$AG24+E$136*Mat_Sum!$AK24+E$137*Mat_Sum!$AD24+E$138*Mat_Sum!$U24+E$139*Mat_Sum!$BB24+E$140*Mat_Sum!$AR24+E$141*Mat_Sum!$AV24+(E$46*Battery_Assembly!$E70))*(1+$C$28)</f>
        <v>220.73361034153695</v>
      </c>
      <c r="F152" s="349">
        <f ca="1">(F$132*Mat_Sum!$F24+F$133*Mat_Sum!$D24+F$134*Mat_Sum!$I24+F$135*Mat_Sum!$AG24+F$136*Mat_Sum!$AK24+F$137*Mat_Sum!$AD24+F$138*Mat_Sum!$U24+F$139*Mat_Sum!$BB24+F$140*Mat_Sum!$AR24+F$141*Mat_Sum!$AV24+(F$46*Battery_Assembly!$E70))*(1+$C$29)</f>
        <v>996.45019291016524</v>
      </c>
      <c r="G152" s="349">
        <f ca="1">(G$132*Mat_Sum!$F24+G$133*Mat_Sum!$D24+G$134*Mat_Sum!$I24+G$135*Mat_Sum!$AG24+G$136*Mat_Sum!$AK24+G$137*Mat_Sum!$AD24+G$138*Mat_Sum!$U24+G$139*Mat_Sum!$BB24+G$140*Mat_Sum!$AR24+G$141*Mat_Sum!$AV24+(G$46*Battery_Assembly!$E70))*(1+$C$29)</f>
        <v>792.59107307350155</v>
      </c>
      <c r="H152" s="349">
        <f ca="1">(H$132*Mat_Sum!$F24+H$133*Mat_Sum!$D24+H$134*Mat_Sum!$I24+H$135*Mat_Sum!$AG24+H$136*Mat_Sum!$AK24+H$137*Mat_Sum!$AD24+H$138*Mat_Sum!$U24+H$139*Mat_Sum!$BB24+H$140*Mat_Sum!$AR24+H$141*Mat_Sum!$AV24+(H$46*Battery_Assembly!$E70))*(1+$C$30)</f>
        <v>7390.4136844293607</v>
      </c>
      <c r="I152" s="349">
        <f ca="1">(I$132*Mat_Sum!$F24+I$133*Mat_Sum!$D24+I$134*Mat_Sum!$I24+I$135*Mat_Sum!$AG24+I$136*Mat_Sum!$AK24+I$137*Mat_Sum!$AD24+I$138*Mat_Sum!$U24+I$139*Mat_Sum!$BB24+I$140*Mat_Sum!$AR24+I$141*Mat_Sum!$AV24+(I$46*Battery_Assembly!$E70))*(1+$C$30)</f>
        <v>6340.388945254992</v>
      </c>
      <c r="J152" s="349">
        <f ca="1">((J$132*Mat_Sum!$F24+J$133*Mat_Sum!$D24+J$134*Mat_Sum!$I24+J$135*Mat_Sum!$AG24+J$136*Mat_Sum!$AK24+J$137*Mat_Sum!$AD24+J$138*Mat_Sum!$U24+J$139*Mat_Sum!$BB24+J$140*Mat_Sum!$AR24+J$141*Mat_Sum!$AV24)+(J$46*Battery_Assembly!$E70))*(1+$C$31)</f>
        <v>293.0302804192313</v>
      </c>
      <c r="K152" s="348">
        <f ca="1">((K$132*Mat_Sum!$F24+K$133*Mat_Sum!$D24+K$134*Mat_Sum!$I24+K$135*Mat_Sum!$AG24+K$136*Mat_Sum!$AK24+K$137*Mat_Sum!$AD24+K$138*Mat_Sum!$U24+K$139*Mat_Sum!$BB24+K$140*Mat_Sum!$AR24+K$141*Mat_Sum!$AV24)+(K$46*Battery_Assembly!$E70))*(1+$C$31)</f>
        <v>275.91701292692113</v>
      </c>
      <c r="L152" s="1321">
        <f>$D$135*Mat_Sum!AE24</f>
        <v>0.37468038044382346</v>
      </c>
      <c r="M152" s="5">
        <f>$D$135*Mat_Sum!AF24</f>
        <v>5.3008068585293042</v>
      </c>
      <c r="N152" s="5">
        <v>0</v>
      </c>
      <c r="O152" s="5">
        <v>0</v>
      </c>
      <c r="P152" s="5">
        <f ca="1">$D$138*Mat_Sum!$R24</f>
        <v>132.08723387299844</v>
      </c>
      <c r="Q152" s="5">
        <f ca="1">$D$138*SUM(Mat_Sum!$S24:'Mat_Sum'!$T24)</f>
        <v>36.271030856019713</v>
      </c>
      <c r="R152" s="5">
        <v>0</v>
      </c>
      <c r="S152" s="5">
        <f ca="1">$D$137*Mat_Sum!AB24</f>
        <v>5.8953376853319295</v>
      </c>
      <c r="T152" s="5">
        <f ca="1">$D$137*Mat_Sum!AC24</f>
        <v>14.955461497951488</v>
      </c>
      <c r="U152" s="1318">
        <f t="shared" ca="1" si="9"/>
        <v>124.78484537586829</v>
      </c>
      <c r="V152" s="491" t="s">
        <v>823</v>
      </c>
    </row>
    <row r="153" spans="1:22">
      <c r="A153" s="491" t="s">
        <v>824</v>
      </c>
      <c r="B153" s="496"/>
      <c r="C153" s="496"/>
      <c r="D153" s="349">
        <f ca="1">(D$132*Mat_Sum!$F25+D$133*Mat_Sum!$D25+D$134*Mat_Sum!$I25+D$135*Mat_Sum!$AG25+D$136*Mat_Sum!$AK25+D$137*Mat_Sum!$AD25+D$138*Mat_Sum!$U25+D$139*Mat_Sum!$BB25+D$140*Mat_Sum!$AR25+D$141*Mat_Sum!$AV25+(D$46*Battery_Assembly!$E71))*(1+$C$28)</f>
        <v>301.36554859271513</v>
      </c>
      <c r="E153" s="349">
        <f ca="1">(E$132*Mat_Sum!$F25+E$133*Mat_Sum!$D25+E$134*Mat_Sum!$I25+E$135*Mat_Sum!$AG25+E$136*Mat_Sum!$AK25+E$137*Mat_Sum!$AD25+E$138*Mat_Sum!$U25+E$139*Mat_Sum!$BB25+E$140*Mat_Sum!$AR25+E$141*Mat_Sum!$AV25+(E$46*Battery_Assembly!$E71))*(1+$C$28)</f>
        <v>208.09469500712621</v>
      </c>
      <c r="F153" s="349">
        <f ca="1">(F$132*Mat_Sum!$F25+F$133*Mat_Sum!$D25+F$134*Mat_Sum!$I25+F$135*Mat_Sum!$AG25+F$136*Mat_Sum!$AK25+F$137*Mat_Sum!$AD25+F$138*Mat_Sum!$U25+F$139*Mat_Sum!$BB25+F$140*Mat_Sum!$AR25+F$141*Mat_Sum!$AV25+(F$46*Battery_Assembly!$E71))*(1+$C$29)</f>
        <v>939.39476939010285</v>
      </c>
      <c r="G153" s="349">
        <f ca="1">(G$132*Mat_Sum!$F25+G$133*Mat_Sum!$D25+G$134*Mat_Sum!$I25+G$135*Mat_Sum!$AG25+G$136*Mat_Sum!$AK25+G$137*Mat_Sum!$AD25+G$138*Mat_Sum!$U25+G$139*Mat_Sum!$BB25+G$140*Mat_Sum!$AR25+G$141*Mat_Sum!$AV25+(G$46*Battery_Assembly!$E71))*(1+$C$29)</f>
        <v>747.20835382251903</v>
      </c>
      <c r="H153" s="349">
        <f ca="1">(H$132*Mat_Sum!$F25+H$133*Mat_Sum!$D25+H$134*Mat_Sum!$I25+H$135*Mat_Sum!$AG25+H$136*Mat_Sum!$AK25+H$137*Mat_Sum!$AD25+H$138*Mat_Sum!$U25+H$139*Mat_Sum!$BB25+H$140*Mat_Sum!$AR25+H$141*Mat_Sum!$AV25+(H$46*Battery_Assembly!$E71))*(1+$C$30)</f>
        <v>6967.2483463585222</v>
      </c>
      <c r="I153" s="349">
        <f ca="1">(I$132*Mat_Sum!$F25+I$133*Mat_Sum!$D25+I$134*Mat_Sum!$I25+I$135*Mat_Sum!$AG25+I$136*Mat_Sum!$AK25+I$137*Mat_Sum!$AD25+I$138*Mat_Sum!$U25+I$139*Mat_Sum!$BB25+I$140*Mat_Sum!$AR25+I$141*Mat_Sum!$AV25+(I$46*Battery_Assembly!$E71))*(1+$C$30)</f>
        <v>5977.3466385472857</v>
      </c>
      <c r="J153" s="349">
        <f ca="1">((J$132*Mat_Sum!$F25+J$133*Mat_Sum!$D25+J$134*Mat_Sum!$I25+J$135*Mat_Sum!$AG25+J$136*Mat_Sum!$AK25+J$137*Mat_Sum!$AD25+J$138*Mat_Sum!$U25+J$139*Mat_Sum!$BB25+J$140*Mat_Sum!$AR25+J$141*Mat_Sum!$AV25)+(J$46*Battery_Assembly!$E71))*(1+$C$31)</f>
        <v>276.25175313058327</v>
      </c>
      <c r="K153" s="348">
        <f ca="1">((K$132*Mat_Sum!$F25+K$133*Mat_Sum!$D25+K$134*Mat_Sum!$I25+K$135*Mat_Sum!$AG25+K$136*Mat_Sum!$AK25+K$137*Mat_Sum!$AD25+K$138*Mat_Sum!$U25+K$139*Mat_Sum!$BB25+K$140*Mat_Sum!$AR25+K$141*Mat_Sum!$AV25)+(K$46*Battery_Assembly!$E71))*(1+$C$31)</f>
        <v>260.11836875890776</v>
      </c>
      <c r="L153" s="1321">
        <f>$D$135*Mat_Sum!AE25</f>
        <v>0.13461693736141983</v>
      </c>
      <c r="M153" s="5">
        <f>$D$135*Mat_Sum!AF25</f>
        <v>0.6498048718914724</v>
      </c>
      <c r="N153" s="363">
        <v>0</v>
      </c>
      <c r="O153" s="363">
        <v>0</v>
      </c>
      <c r="P153" s="5">
        <f ca="1">$D$138*Mat_Sum!$R25</f>
        <v>151.99998965353095</v>
      </c>
      <c r="Q153" s="5">
        <f ca="1">$D$138*SUM(Mat_Sum!$S25:'Mat_Sum'!$T25)</f>
        <v>49.833329539849146</v>
      </c>
      <c r="R153" s="363">
        <v>0</v>
      </c>
      <c r="S153" s="5">
        <f ca="1">$D$137*Mat_Sum!AB25</f>
        <v>55.189821167546768</v>
      </c>
      <c r="T153" s="5">
        <f ca="1">$D$137*Mat_Sum!AC25</f>
        <v>1.7660370525367663</v>
      </c>
      <c r="U153" s="1318">
        <f t="shared" ca="1" si="9"/>
        <v>41.791949369998576</v>
      </c>
      <c r="V153" s="491" t="s">
        <v>824</v>
      </c>
    </row>
    <row r="154" spans="1:22" s="64" customFormat="1">
      <c r="A154" s="494" t="s">
        <v>825</v>
      </c>
      <c r="B154" s="349"/>
      <c r="C154" s="349"/>
      <c r="D154" s="349">
        <f ca="1">(D$132*Mat_Sum!$F26+D$133*Mat_Sum!$D26+D$134*Mat_Sum!$I26+D$135*Mat_Sum!$AG26+D$136*Mat_Sum!$AK26+D$137*Mat_Sum!$AD26+D$138*Mat_Sum!$U26+D$139*Mat_Sum!$BB26+D$140*Mat_Sum!$AR26+D$141*Mat_Sum!$AV26+(D$46*Battery_Assembly!$E72))*(1+$C$28)</f>
        <v>128.66683985532109</v>
      </c>
      <c r="E154" s="349">
        <f ca="1">(E$132*Mat_Sum!$F26+E$133*Mat_Sum!$D26+E$134*Mat_Sum!$I26+E$135*Mat_Sum!$AG26+E$136*Mat_Sum!$AK26+E$137*Mat_Sum!$AD26+E$138*Mat_Sum!$U26+E$139*Mat_Sum!$BB26+E$140*Mat_Sum!$AR26+E$141*Mat_Sum!$AV26+(E$46*Battery_Assembly!$E72))*(1+$C$28)</f>
        <v>88.845214465469979</v>
      </c>
      <c r="F154" s="349">
        <f ca="1">(F$132*Mat_Sum!$F26+F$133*Mat_Sum!$D26+F$134*Mat_Sum!$I26+F$135*Mat_Sum!$AG26+F$136*Mat_Sum!$AK26+F$137*Mat_Sum!$AD26+F$138*Mat_Sum!$U26+F$139*Mat_Sum!$BB26+F$140*Mat_Sum!$AR26+F$141*Mat_Sum!$AV26+(F$46*Battery_Assembly!$E72))*(1+$C$29)</f>
        <v>401.07091510115748</v>
      </c>
      <c r="G154" s="349">
        <f ca="1">(G$132*Mat_Sum!$F26+G$133*Mat_Sum!$D26+G$134*Mat_Sum!$I26+G$135*Mat_Sum!$AG26+G$136*Mat_Sum!$AK26+G$137*Mat_Sum!$AD26+G$138*Mat_Sum!$U26+G$139*Mat_Sum!$BB26+G$140*Mat_Sum!$AR26+G$141*Mat_Sum!$AV26+(G$46*Battery_Assembly!$E72))*(1+$C$29)</f>
        <v>319.01767819443489</v>
      </c>
      <c r="H154" s="349">
        <f ca="1">(H$132*Mat_Sum!$F26+H$133*Mat_Sum!$D26+H$134*Mat_Sum!$I26+H$135*Mat_Sum!$AG26+H$136*Mat_Sum!$AK26+H$137*Mat_Sum!$AD26+H$138*Mat_Sum!$U26+H$139*Mat_Sum!$BB26+H$140*Mat_Sum!$AR26+H$141*Mat_Sum!$AV26+(H$46*Battery_Assembly!$E72))*(1+$C$30)</f>
        <v>2974.6393753344646</v>
      </c>
      <c r="I154" s="349">
        <f ca="1">(I$132*Mat_Sum!$F26+I$133*Mat_Sum!$D26+I$134*Mat_Sum!$I26+I$135*Mat_Sum!$AG26+I$136*Mat_Sum!$AK26+I$137*Mat_Sum!$AD26+I$138*Mat_Sum!$U26+I$139*Mat_Sum!$BB26+I$140*Mat_Sum!$AR26+I$141*Mat_Sum!$AV26+(I$46*Battery_Assembly!$E72))*(1+$C$30)</f>
        <v>2552.0047208219476</v>
      </c>
      <c r="J154" s="349">
        <f ca="1">((J$132*Mat_Sum!$F26+J$133*Mat_Sum!$D26+J$134*Mat_Sum!$I26+J$135*Mat_Sum!$AG26+J$136*Mat_Sum!$AK26+J$137*Mat_Sum!$AD26+J$138*Mat_Sum!$U26+J$139*Mat_Sum!$BB26+J$140*Mat_Sum!$AR26+J$141*Mat_Sum!$AV26)+(J$46*Battery_Assembly!$E72))*(1+$C$31)</f>
        <v>117.9446033091244</v>
      </c>
      <c r="K154" s="348">
        <f ca="1">((K$132*Mat_Sum!$F26+K$133*Mat_Sum!$D26+K$134*Mat_Sum!$I26+K$135*Mat_Sum!$AG26+K$136*Mat_Sum!$AK26+K$137*Mat_Sum!$AD26+K$138*Mat_Sum!$U26+K$139*Mat_Sum!$BB26+K$140*Mat_Sum!$AR26+K$141*Mat_Sum!$AV26)+(K$46*Battery_Assembly!$E72))*(1+$C$31)</f>
        <v>111.05651808183745</v>
      </c>
      <c r="L154" s="1321">
        <f>$D$135*Mat_Sum!AE26</f>
        <v>6.7319981553203831E-2</v>
      </c>
      <c r="M154" s="5">
        <f>$D$135*Mat_Sum!AF26</f>
        <v>0.40587191560766339</v>
      </c>
      <c r="N154" s="363">
        <v>0</v>
      </c>
      <c r="O154" s="363">
        <v>0</v>
      </c>
      <c r="P154" s="5">
        <f ca="1">$D$138*Mat_Sum!$R26</f>
        <v>100.68018837151796</v>
      </c>
      <c r="Q154" s="5">
        <f ca="1">$D$138*SUM(Mat_Sum!$S26:'Mat_Sum'!$T26)</f>
        <v>2.103432580831027</v>
      </c>
      <c r="R154" s="363">
        <v>0</v>
      </c>
      <c r="S154" s="5">
        <f ca="1">$D$137*Mat_Sum!AB26</f>
        <v>6.0098985462889516</v>
      </c>
      <c r="T154" s="5">
        <f ca="1">$D$137*Mat_Sum!AC26</f>
        <v>1.1487124947833927</v>
      </c>
      <c r="U154" s="1318">
        <f t="shared" ca="1" si="9"/>
        <v>18.251415964738882</v>
      </c>
      <c r="V154" s="494" t="s">
        <v>825</v>
      </c>
    </row>
    <row r="155" spans="1:22" s="64" customFormat="1">
      <c r="A155" s="494" t="s">
        <v>826</v>
      </c>
      <c r="B155" s="349"/>
      <c r="C155" s="349"/>
      <c r="D155" s="349">
        <f ca="1">(D$132*Mat_Sum!$F27+D$133*Mat_Sum!$D27+D$134*Mat_Sum!$I27+D$135*Mat_Sum!$AG27+D$136*Mat_Sum!$AK27+D$137*Mat_Sum!$AD27+D$138*Mat_Sum!$U27+D$139*Mat_Sum!$BB27+D$140*Mat_Sum!$AR27+D$141*Mat_Sum!$AV27+(D$46*Battery_Assembly!$E73))*(1+$C$28)</f>
        <v>23296.450491611089</v>
      </c>
      <c r="E155" s="349">
        <f ca="1">(E$132*Mat_Sum!$F27+E$133*Mat_Sum!$D27+E$134*Mat_Sum!$I27+E$135*Mat_Sum!$AG27+E$136*Mat_Sum!$AK27+E$137*Mat_Sum!$AD27+E$138*Mat_Sum!$U27+E$139*Mat_Sum!$BB27+E$140*Mat_Sum!$AR27+E$141*Mat_Sum!$AV27+(E$46*Battery_Assembly!$E73))*(1+$C$28)</f>
        <v>16086.336950054456</v>
      </c>
      <c r="F155" s="349">
        <f ca="1">(F$132*Mat_Sum!$F27+F$133*Mat_Sum!$D27+F$134*Mat_Sum!$I27+F$135*Mat_Sum!$AG27+F$136*Mat_Sum!$AK27+F$137*Mat_Sum!$AD27+F$138*Mat_Sum!$U27+F$139*Mat_Sum!$BB27+F$140*Mat_Sum!$AR27+F$141*Mat_Sum!$AV27+(F$46*Battery_Assembly!$E73))*(1+$C$29)</f>
        <v>72618.00109325425</v>
      </c>
      <c r="G155" s="349">
        <f ca="1">(G$132*Mat_Sum!$F27+G$133*Mat_Sum!$D27+G$134*Mat_Sum!$I27+G$135*Mat_Sum!$AG27+G$136*Mat_Sum!$AK27+G$137*Mat_Sum!$AD27+G$138*Mat_Sum!$U27+G$139*Mat_Sum!$BB27+G$140*Mat_Sum!$AR27+G$141*Mat_Sum!$AV27+(G$46*Battery_Assembly!$E73))*(1+$C$29)</f>
        <v>57761.421313853927</v>
      </c>
      <c r="H155" s="349">
        <f ca="1">(H$132*Mat_Sum!$F27+H$133*Mat_Sum!$D27+H$134*Mat_Sum!$I27+H$135*Mat_Sum!$AG27+H$136*Mat_Sum!$AK27+H$137*Mat_Sum!$AD27+H$138*Mat_Sum!$U27+H$139*Mat_Sum!$BB27+H$140*Mat_Sum!$AR27+H$141*Mat_Sum!$AV27+(H$46*Battery_Assembly!$E73))*(1+$C$30)</f>
        <v>538588.95590968721</v>
      </c>
      <c r="I155" s="349">
        <f ca="1">(I$132*Mat_Sum!$F27+I$133*Mat_Sum!$D27+I$134*Mat_Sum!$I27+I$135*Mat_Sum!$AG27+I$136*Mat_Sum!$AK27+I$137*Mat_Sum!$AD27+I$138*Mat_Sum!$U27+I$139*Mat_Sum!$BB27+I$140*Mat_Sum!$AR27+I$141*Mat_Sum!$AV27+(I$46*Battery_Assembly!$E73))*(1+$C$30)</f>
        <v>462066.61871728254</v>
      </c>
      <c r="J155" s="349">
        <f ca="1">((J$132*Mat_Sum!$F27+J$133*Mat_Sum!$D27+J$134*Mat_Sum!$I27+J$135*Mat_Sum!$AG27+J$136*Mat_Sum!$AK27+J$137*Mat_Sum!$AD27+J$138*Mat_Sum!$U27+J$139*Mat_Sum!$BB27+J$140*Mat_Sum!$AR27+J$141*Mat_Sum!$AV27)+(J$46*Battery_Assembly!$E73))*(1+$C$31)</f>
        <v>21355.079636939525</v>
      </c>
      <c r="K155" s="348">
        <f ca="1">((K$132*Mat_Sum!$F27+K$133*Mat_Sum!$D27+K$134*Mat_Sum!$I27+K$135*Mat_Sum!$AG27+K$136*Mat_Sum!$AK27+K$137*Mat_Sum!$AD27+K$138*Mat_Sum!$U27+K$139*Mat_Sum!$BB27+K$140*Mat_Sum!$AR27+K$141*Mat_Sum!$AV27)+(K$46*Battery_Assembly!$E73))*(1+$C$31)</f>
        <v>20107.92118756807</v>
      </c>
      <c r="L155" s="1321">
        <f>$D$135*Mat_Sum!AE27</f>
        <v>0.13916020823712036</v>
      </c>
      <c r="M155" s="5">
        <f>$D$135*Mat_Sum!AF27</f>
        <v>271.41242801767635</v>
      </c>
      <c r="N155" s="363">
        <v>0</v>
      </c>
      <c r="O155" s="363">
        <v>0</v>
      </c>
      <c r="P155" s="5">
        <f ca="1">$D$138*Mat_Sum!$R27</f>
        <v>22062.842122740891</v>
      </c>
      <c r="Q155" s="5">
        <f ca="1">$D$138*SUM(Mat_Sum!$S27:'Mat_Sum'!$T27)</f>
        <v>583.71676647747904</v>
      </c>
      <c r="R155" s="363">
        <v>0</v>
      </c>
      <c r="S155" s="5">
        <f ca="1">$D$137*Mat_Sum!AB27</f>
        <v>46.090269922369068</v>
      </c>
      <c r="T155" s="5">
        <f ca="1">$D$137*Mat_Sum!AC27</f>
        <v>14.445656957073032</v>
      </c>
      <c r="U155" s="1318">
        <f t="shared" ca="1" si="9"/>
        <v>317.80408728736438</v>
      </c>
      <c r="V155" s="494" t="s">
        <v>826</v>
      </c>
    </row>
    <row r="156" spans="1:22" s="64" customFormat="1">
      <c r="A156" s="794" t="s">
        <v>827</v>
      </c>
      <c r="B156" s="349"/>
      <c r="C156" s="349"/>
      <c r="D156" s="349">
        <f ca="1">(D$132*Mat_Sum!$F28+D$133*Mat_Sum!$D28+D$134*Mat_Sum!$I28+D$135*Mat_Sum!$AG28+D$136*Mat_Sum!$AK28+D$137*Mat_Sum!$AD28+D$138*Mat_Sum!$U28+D$139*Mat_Sum!$BB28+D$140*Mat_Sum!$AR28+D$141*Mat_Sum!$AV28+(D$46*Battery_Assembly!$E74))*(1+$C$28)</f>
        <v>2.2623825293374584</v>
      </c>
      <c r="E156" s="349">
        <f ca="1">(E$132*Mat_Sum!$F28+E$133*Mat_Sum!$D28+E$134*Mat_Sum!$I28+E$135*Mat_Sum!$AG28+E$136*Mat_Sum!$AK28+E$137*Mat_Sum!$AD28+E$138*Mat_Sum!$U28+E$139*Mat_Sum!$BB28+E$140*Mat_Sum!$AR28+E$141*Mat_Sum!$AV28+(E$46*Battery_Assembly!$E74))*(1+$C$28)</f>
        <v>1.562188526957953</v>
      </c>
      <c r="F156" s="349">
        <f ca="1">(F$132*Mat_Sum!$F28+F$133*Mat_Sum!$D28+F$134*Mat_Sum!$I28+F$135*Mat_Sum!$AG28+F$136*Mat_Sum!$AK28+F$137*Mat_Sum!$AD28+F$138*Mat_Sum!$U28+F$139*Mat_Sum!$BB28+F$140*Mat_Sum!$AR28+F$141*Mat_Sum!$AV28+(F$46*Battery_Assembly!$E74))*(1+$C$29)</f>
        <v>7.0521342746160647</v>
      </c>
      <c r="G156" s="349">
        <f ca="1">(G$132*Mat_Sum!$F28+G$133*Mat_Sum!$D28+G$134*Mat_Sum!$I28+G$135*Mat_Sum!$AG28+G$136*Mat_Sum!$AK28+G$137*Mat_Sum!$AD28+G$138*Mat_Sum!$U28+G$139*Mat_Sum!$BB28+G$140*Mat_Sum!$AR28+G$141*Mat_Sum!$AV28+(G$46*Battery_Assembly!$E74))*(1+$C$29)</f>
        <v>5.6093708566126805</v>
      </c>
      <c r="H156" s="349">
        <f ca="1">(H$132*Mat_Sum!$F28+H$133*Mat_Sum!$D28+H$134*Mat_Sum!$I28+H$135*Mat_Sum!$AG28+H$136*Mat_Sum!$AK28+H$137*Mat_Sum!$AD28+H$138*Mat_Sum!$U28+H$139*Mat_Sum!$BB28+H$140*Mat_Sum!$AR28+H$141*Mat_Sum!$AV28+(H$46*Battery_Assembly!$E74))*(1+$C$30)</f>
        <v>52.303858254413107</v>
      </c>
      <c r="I156" s="349">
        <f ca="1">(I$132*Mat_Sum!$F28+I$133*Mat_Sum!$D28+I$134*Mat_Sum!$I28+I$135*Mat_Sum!$AG28+I$136*Mat_Sum!$AK28+I$137*Mat_Sum!$AD28+I$138*Mat_Sum!$U28+I$139*Mat_Sum!$BB28+I$140*Mat_Sum!$AR28+I$141*Mat_Sum!$AV28+(I$46*Battery_Assembly!$E74))*(1+$C$30)</f>
        <v>44.87256313799584</v>
      </c>
      <c r="J156" s="349">
        <f ca="1">((J$132*Mat_Sum!$F28+J$133*Mat_Sum!$D28+J$134*Mat_Sum!$I28+J$135*Mat_Sum!$AG28+J$136*Mat_Sum!$AK28+J$137*Mat_Sum!$AD28+J$138*Mat_Sum!$U28+J$139*Mat_Sum!$BB28+J$140*Mat_Sum!$AR28+J$141*Mat_Sum!$AV28)+(J$46*Battery_Assembly!$E74))*(1+$C$31)</f>
        <v>2.0738506537989316</v>
      </c>
      <c r="K156" s="348">
        <f ca="1">((K$132*Mat_Sum!$F28+K$133*Mat_Sum!$D28+K$134*Mat_Sum!$I28+K$135*Mat_Sum!$AG28+K$136*Mat_Sum!$AK28+K$137*Mat_Sum!$AD28+K$138*Mat_Sum!$U28+K$139*Mat_Sum!$BB28+K$140*Mat_Sum!$AR28+K$141*Mat_Sum!$AV28)+(K$46*Battery_Assembly!$E74))*(1+$C$31)</f>
        <v>1.9527356586974418</v>
      </c>
      <c r="L156" s="1321">
        <f>$D$135*Mat_Sum!AE28</f>
        <v>1.2790884742521797E-3</v>
      </c>
      <c r="M156" s="5">
        <f>$D$135*Mat_Sum!AF28</f>
        <v>8.3675980510857048E-2</v>
      </c>
      <c r="N156" s="363">
        <v>0</v>
      </c>
      <c r="O156" s="363">
        <v>0</v>
      </c>
      <c r="P156" s="5">
        <f ca="1">$D$138*Mat_Sum!$R28</f>
        <v>0.67793928059529773</v>
      </c>
      <c r="Q156" s="5">
        <f ca="1">$D$138*SUM(Mat_Sum!$S28:'Mat_Sum'!$T28)</f>
        <v>0.43172355223818321</v>
      </c>
      <c r="R156" s="363">
        <v>0</v>
      </c>
      <c r="S156" s="5">
        <f ca="1">$D$137*Mat_Sum!AB28</f>
        <v>0.20751516552040139</v>
      </c>
      <c r="T156" s="5">
        <f ca="1">$D$137*Mat_Sum!AC28</f>
        <v>0.11783387283881301</v>
      </c>
      <c r="U156" s="1318">
        <f t="shared" ca="1" si="9"/>
        <v>0.742415589159654</v>
      </c>
      <c r="V156" s="794" t="s">
        <v>827</v>
      </c>
    </row>
    <row r="157" spans="1:22" s="64" customFormat="1">
      <c r="A157" s="794" t="s">
        <v>828</v>
      </c>
      <c r="B157" s="349"/>
      <c r="C157" s="349"/>
      <c r="D157" s="349">
        <f ca="1">(D$132*Mat_Sum!$F29+D$133*Mat_Sum!$D29+D$134*Mat_Sum!$I29+D$135*Mat_Sum!$AG29+D$136*Mat_Sum!$AK29+D$137*Mat_Sum!$AD29+D$138*Mat_Sum!$U29+D$139*Mat_Sum!$BB29+D$140*Mat_Sum!$AR29+D$141*Mat_Sum!$AV29+(D$46*Battery_Assembly!$E75))*(1+$C$28)</f>
        <v>5.0109685241919406</v>
      </c>
      <c r="E157" s="349">
        <f ca="1">(E$132*Mat_Sum!$F29+E$133*Mat_Sum!$D29+E$134*Mat_Sum!$I29+E$135*Mat_Sum!$AG29+E$136*Mat_Sum!$AK29+E$137*Mat_Sum!$AD29+E$138*Mat_Sum!$U29+E$139*Mat_Sum!$BB29+E$140*Mat_Sum!$AR29+E$141*Mat_Sum!$AV29+(E$46*Battery_Assembly!$E75))*(1+$C$28)</f>
        <v>3.4601034245665514</v>
      </c>
      <c r="F157" s="349">
        <f ca="1">(F$132*Mat_Sum!$F29+F$133*Mat_Sum!$D29+F$134*Mat_Sum!$I29+F$135*Mat_Sum!$AG29+F$136*Mat_Sum!$AK29+F$137*Mat_Sum!$AD29+F$138*Mat_Sum!$U29+F$139*Mat_Sum!$BB29+F$140*Mat_Sum!$AR29+F$141*Mat_Sum!$AV29+(F$46*Battery_Assembly!$E75))*(1+$C$29)</f>
        <v>15.619826629772041</v>
      </c>
      <c r="G157" s="349">
        <f ca="1">(G$132*Mat_Sum!$F29+G$133*Mat_Sum!$D29+G$134*Mat_Sum!$I29+G$135*Mat_Sum!$AG29+G$136*Mat_Sum!$AK29+G$137*Mat_Sum!$AD29+G$138*Mat_Sum!$U29+G$139*Mat_Sum!$BB29+G$140*Mat_Sum!$AR29+G$141*Mat_Sum!$AV29+(G$46*Battery_Assembly!$E75))*(1+$C$29)</f>
        <v>12.424238800693578</v>
      </c>
      <c r="H157" s="349">
        <f ca="1">(H$132*Mat_Sum!$F29+H$133*Mat_Sum!$D29+H$134*Mat_Sum!$I29+H$135*Mat_Sum!$AG29+H$136*Mat_Sum!$AK29+H$137*Mat_Sum!$AD29+H$138*Mat_Sum!$U29+H$139*Mat_Sum!$BB29+H$140*Mat_Sum!$AR29+H$141*Mat_Sum!$AV29+(H$46*Battery_Assembly!$E75))*(1+$C$30)</f>
        <v>115.84821930330905</v>
      </c>
      <c r="I157" s="349">
        <f ca="1">(I$132*Mat_Sum!$F29+I$133*Mat_Sum!$D29+I$134*Mat_Sum!$I29+I$135*Mat_Sum!$AG29+I$136*Mat_Sum!$AK29+I$137*Mat_Sum!$AD29+I$138*Mat_Sum!$U29+I$139*Mat_Sum!$BB29+I$140*Mat_Sum!$AR29+I$141*Mat_Sum!$AV29+(I$46*Battery_Assembly!$E75))*(1+$C$30)</f>
        <v>99.388586398853491</v>
      </c>
      <c r="J157" s="349">
        <f ca="1">((J$132*Mat_Sum!$F29+J$133*Mat_Sum!$D29+J$134*Mat_Sum!$I29+J$135*Mat_Sum!$AG29+J$136*Mat_Sum!$AK29+J$137*Mat_Sum!$AD29+J$138*Mat_Sum!$U29+J$139*Mat_Sum!$BB29+J$140*Mat_Sum!$AR29+J$141*Mat_Sum!$AV29)+(J$46*Battery_Assembly!$E75))*(1+$C$31)</f>
        <v>4.5933878180648051</v>
      </c>
      <c r="K157" s="348">
        <f ca="1">((K$132*Mat_Sum!$F29+K$133*Mat_Sum!$D29+K$134*Mat_Sum!$I29+K$135*Mat_Sum!$AG29+K$136*Mat_Sum!$AK29+K$137*Mat_Sum!$AD29+K$138*Mat_Sum!$U29+K$139*Mat_Sum!$BB29+K$140*Mat_Sum!$AR29+K$141*Mat_Sum!$AV29)+(K$46*Battery_Assembly!$E75))*(1+$C$31)</f>
        <v>4.3251292807081896</v>
      </c>
      <c r="L157" s="1321">
        <f>$D$135*Mat_Sum!AE29</f>
        <v>4.9716733421860922E-3</v>
      </c>
      <c r="M157" s="5">
        <f>$D$135*Mat_Sum!AF29</f>
        <v>8.6600692629143189E-2</v>
      </c>
      <c r="N157" s="363">
        <v>0</v>
      </c>
      <c r="O157" s="363">
        <v>0</v>
      </c>
      <c r="P157" s="5">
        <f ca="1">$D$138*Mat_Sum!$R29</f>
        <v>1.6903716901800871</v>
      </c>
      <c r="Q157" s="5">
        <f ca="1">$D$138*SUM(Mat_Sum!$S29:'Mat_Sum'!$T29)</f>
        <v>0.6357745973516109</v>
      </c>
      <c r="R157" s="363">
        <v>0</v>
      </c>
      <c r="S157" s="5">
        <f ca="1">$D$137*Mat_Sum!AB29</f>
        <v>8.3193268733529863E-2</v>
      </c>
      <c r="T157" s="5">
        <f ca="1">$D$137*Mat_Sum!AC29</f>
        <v>0.31220301713437076</v>
      </c>
      <c r="U157" s="1318">
        <f t="shared" ca="1" si="9"/>
        <v>2.1978535848210128</v>
      </c>
      <c r="V157" s="794" t="s">
        <v>828</v>
      </c>
    </row>
    <row r="158" spans="1:22" s="64" customFormat="1">
      <c r="A158" s="494" t="s">
        <v>829</v>
      </c>
      <c r="B158" s="349"/>
      <c r="C158" s="349"/>
      <c r="D158" s="349">
        <f ca="1">(D$132*Mat_Sum!$F30+D$133*Mat_Sum!$D30+D$134*Mat_Sum!$I30+D$135*Mat_Sum!$AG30+D$136*Mat_Sum!$AK30+D$137*Mat_Sum!$AD30+D$138*Mat_Sum!$U30+D$139*Mat_Sum!$BB30+D$140*Mat_Sum!$AR30+D$141*Mat_Sum!$AV30+(D$46*Battery_Assembly!$E76))*(1+$C$28)</f>
        <v>785.60734008244083</v>
      </c>
      <c r="E158" s="349">
        <f ca="1">(E$132*Mat_Sum!$F30+E$133*Mat_Sum!$D30+E$134*Mat_Sum!$I30+E$135*Mat_Sum!$AG30+E$136*Mat_Sum!$AK30+E$137*Mat_Sum!$AD30+E$138*Mat_Sum!$U30+E$139*Mat_Sum!$BB30+E$140*Mat_Sum!$AR30+E$141*Mat_Sum!$AV30+(E$46*Battery_Assembly!$E76))*(1+$C$28)</f>
        <v>542.46651813128653</v>
      </c>
      <c r="F158" s="349">
        <f ca="1">(F$132*Mat_Sum!$F30+F$133*Mat_Sum!$D30+F$134*Mat_Sum!$I30+F$135*Mat_Sum!$AG30+F$136*Mat_Sum!$AK30+F$137*Mat_Sum!$AD30+F$138*Mat_Sum!$U30+F$139*Mat_Sum!$BB30+F$140*Mat_Sum!$AR30+F$141*Mat_Sum!$AV30+(F$46*Battery_Assembly!$E76))*(1+$C$29)</f>
        <v>2448.8380623270627</v>
      </c>
      <c r="G158" s="349">
        <f ca="1">(G$132*Mat_Sum!$F30+G$133*Mat_Sum!$D30+G$134*Mat_Sum!$I30+G$135*Mat_Sum!$AG30+G$136*Mat_Sum!$AK30+G$137*Mat_Sum!$AD30+G$138*Mat_Sum!$U30+G$139*Mat_Sum!$BB30+G$140*Mat_Sum!$AR30+G$141*Mat_Sum!$AV30+(G$46*Battery_Assembly!$E76))*(1+$C$29)</f>
        <v>1947.8416497010244</v>
      </c>
      <c r="H158" s="349">
        <f ca="1">(H$132*Mat_Sum!$F30+H$133*Mat_Sum!$D30+H$134*Mat_Sum!$I30+H$135*Mat_Sum!$AG30+H$136*Mat_Sum!$AK30+H$137*Mat_Sum!$AD30+H$138*Mat_Sum!$U30+H$139*Mat_Sum!$BB30+H$140*Mat_Sum!$AR30+H$141*Mat_Sum!$AV30+(H$46*Battery_Assembly!$E76))*(1+$C$30)</f>
        <v>18162.399340721502</v>
      </c>
      <c r="I158" s="349">
        <f ca="1">(I$132*Mat_Sum!$F30+I$133*Mat_Sum!$D30+I$134*Mat_Sum!$I30+I$135*Mat_Sum!$AG30+I$136*Mat_Sum!$AK30+I$137*Mat_Sum!$AD30+I$138*Mat_Sum!$U30+I$139*Mat_Sum!$BB30+I$140*Mat_Sum!$AR30+I$141*Mat_Sum!$AV30+(I$46*Battery_Assembly!$E76))*(1+$C$30)</f>
        <v>15581.898512912383</v>
      </c>
      <c r="J158" s="349">
        <f ca="1">((J$132*Mat_Sum!$F30+J$133*Mat_Sum!$D30+J$134*Mat_Sum!$I30+J$135*Mat_Sum!$AG30+J$136*Mat_Sum!$AK30+J$137*Mat_Sum!$AD30+J$138*Mat_Sum!$U30+J$139*Mat_Sum!$BB30+J$140*Mat_Sum!$AR30+J$141*Mat_Sum!$AV30)+(J$46*Battery_Assembly!$E76))*(1+$C$31)</f>
        <v>720.14006240418257</v>
      </c>
      <c r="K158" s="348">
        <f ca="1">((K$132*Mat_Sum!$F30+K$133*Mat_Sum!$D30+K$134*Mat_Sum!$I30+K$135*Mat_Sum!$AG30+K$136*Mat_Sum!$AK30+K$137*Mat_Sum!$AD30+K$138*Mat_Sum!$U30+K$139*Mat_Sum!$BB30+K$140*Mat_Sum!$AR30+K$141*Mat_Sum!$AV30)+(K$46*Battery_Assembly!$E76))*(1+$C$31)</f>
        <v>678.08314766410808</v>
      </c>
      <c r="L158" s="1321">
        <f>$D$135*Mat_Sum!AE30</f>
        <v>0.73995453772631914</v>
      </c>
      <c r="M158" s="5">
        <f>$D$135*Mat_Sum!AF30</f>
        <v>10.309362884060963</v>
      </c>
      <c r="N158" s="363">
        <v>0</v>
      </c>
      <c r="O158" s="363">
        <v>0</v>
      </c>
      <c r="P158" s="5">
        <f ca="1">$D$138*Mat_Sum!$R30</f>
        <v>203.31067617417008</v>
      </c>
      <c r="Q158" s="5">
        <f ca="1">$D$138*SUM(Mat_Sum!$S30:'Mat_Sum'!$T30)</f>
        <v>84.001672068381183</v>
      </c>
      <c r="R158" s="363">
        <v>0</v>
      </c>
      <c r="S158" s="5">
        <f ca="1">$D$137*Mat_Sum!AB30</f>
        <v>5.0298543144050099</v>
      </c>
      <c r="T158" s="5">
        <f ca="1">$D$137*Mat_Sum!AC30</f>
        <v>32.628593735985532</v>
      </c>
      <c r="U158" s="1318">
        <f t="shared" ca="1" si="9"/>
        <v>449.58722636771176</v>
      </c>
      <c r="V158" s="494" t="s">
        <v>829</v>
      </c>
    </row>
    <row r="159" spans="1:22" s="64" customFormat="1">
      <c r="A159" s="494" t="s">
        <v>830</v>
      </c>
      <c r="B159" s="349"/>
      <c r="C159" s="349"/>
      <c r="D159" s="349">
        <f ca="1">(D$132*Mat_Sum!$F31+D$133*Mat_Sum!$D31+D$134*Mat_Sum!$I31+D$135*Mat_Sum!$AG31+D$136*Mat_Sum!$AK31+D$137*Mat_Sum!$AD31+D$138*Mat_Sum!$U31+D$139*Mat_Sum!$BB31+D$140*Mat_Sum!$AR31+D$141*Mat_Sum!$AV31+(D$46*Battery_Assembly!$E77))*(1+$C$28)</f>
        <v>12.801765751462607</v>
      </c>
      <c r="E159" s="349">
        <f ca="1">(E$132*Mat_Sum!$F31+E$133*Mat_Sum!$D31+E$134*Mat_Sum!$I31+E$135*Mat_Sum!$AG31+E$136*Mat_Sum!$AK31+E$137*Mat_Sum!$AD31+E$138*Mat_Sum!$U31+E$139*Mat_Sum!$BB31+E$140*Mat_Sum!$AR31+E$141*Mat_Sum!$AV31+(E$46*Battery_Assembly!$E77))*(1+$C$28)</f>
        <v>8.8396950216879624</v>
      </c>
      <c r="F159" s="349">
        <f ca="1">(F$132*Mat_Sum!$F31+F$133*Mat_Sum!$D31+F$134*Mat_Sum!$I31+F$135*Mat_Sum!$AG31+F$136*Mat_Sum!$AK31+F$137*Mat_Sum!$AD31+F$138*Mat_Sum!$U31+F$139*Mat_Sum!$BB31+F$140*Mat_Sum!$AR31+F$141*Mat_Sum!$AV31+(F$46*Battery_Assembly!$E77))*(1+$C$29)</f>
        <v>39.904733112456483</v>
      </c>
      <c r="G159" s="349">
        <f ca="1">(G$132*Mat_Sum!$F31+G$133*Mat_Sum!$D31+G$134*Mat_Sum!$I31+G$135*Mat_Sum!$AG31+G$136*Mat_Sum!$AK31+G$137*Mat_Sum!$AD31+G$138*Mat_Sum!$U31+G$139*Mat_Sum!$BB31+G$140*Mat_Sum!$AR31+G$141*Mat_Sum!$AV31+(G$46*Battery_Assembly!$E77))*(1+$C$29)</f>
        <v>31.74080898709304</v>
      </c>
      <c r="H159" s="349">
        <f ca="1">(H$132*Mat_Sum!$F31+H$133*Mat_Sum!$D31+H$134*Mat_Sum!$I31+H$135*Mat_Sum!$AG31+H$136*Mat_Sum!$AK31+H$137*Mat_Sum!$AD31+H$138*Mat_Sum!$U31+H$139*Mat_Sum!$BB31+H$140*Mat_Sum!$AR31+H$141*Mat_Sum!$AV31+(H$46*Battery_Assembly!$E77))*(1+$C$30)</f>
        <v>295.96309756988285</v>
      </c>
      <c r="I159" s="349">
        <f ca="1">(I$132*Mat_Sum!$F31+I$133*Mat_Sum!$D31+I$134*Mat_Sum!$I31+I$135*Mat_Sum!$AG31+I$136*Mat_Sum!$AK31+I$137*Mat_Sum!$AD31+I$138*Mat_Sum!$U31+I$139*Mat_Sum!$BB31+I$140*Mat_Sum!$AR31+I$141*Mat_Sum!$AV31+(I$46*Battery_Assembly!$E77))*(1+$C$30)</f>
        <v>253.91287039710588</v>
      </c>
      <c r="J159" s="349">
        <f ca="1">((J$132*Mat_Sum!$F31+J$133*Mat_Sum!$D31+J$134*Mat_Sum!$I31+J$135*Mat_Sum!$AG31+J$136*Mat_Sum!$AK31+J$137*Mat_Sum!$AD31+J$138*Mat_Sum!$U31+J$139*Mat_Sum!$BB31+J$140*Mat_Sum!$AR31+J$141*Mat_Sum!$AV31)+(J$46*Battery_Assembly!$E77))*(1+$C$31)</f>
        <v>11.734951949627368</v>
      </c>
      <c r="K159" s="348">
        <f ca="1">((K$132*Mat_Sum!$F31+K$133*Mat_Sum!$D31+K$134*Mat_Sum!$I31+K$135*Mat_Sum!$AG31+K$136*Mat_Sum!$AK31+K$137*Mat_Sum!$AD31+K$138*Mat_Sum!$U31+K$139*Mat_Sum!$BB31+K$140*Mat_Sum!$AR31+K$141*Mat_Sum!$AV31)+(K$46*Battery_Assembly!$E77))*(1+$C$31)</f>
        <v>11.04961877710995</v>
      </c>
      <c r="L159" s="1321">
        <f>$D$135*Mat_Sum!AE31</f>
        <v>5.4728205107771417E-3</v>
      </c>
      <c r="M159" s="5">
        <f>$D$135*Mat_Sum!AF31</f>
        <v>0.11737132107718587</v>
      </c>
      <c r="N159" s="363">
        <v>0</v>
      </c>
      <c r="O159" s="363">
        <v>0</v>
      </c>
      <c r="P159" s="5">
        <f ca="1">$D$138*Mat_Sum!$R31</f>
        <v>6.8518294625723142</v>
      </c>
      <c r="Q159" s="5">
        <f ca="1">$D$138*SUM(Mat_Sum!$S31:'Mat_Sum'!$T31)</f>
        <v>0.99101392922197418</v>
      </c>
      <c r="R159" s="363">
        <v>0</v>
      </c>
      <c r="S159" s="5">
        <f ca="1">$D$137*Mat_Sum!AB31</f>
        <v>6.8877375422265921E-2</v>
      </c>
      <c r="T159" s="5">
        <f ca="1">$D$137*Mat_Sum!AC31</f>
        <v>0.33964055162548606</v>
      </c>
      <c r="U159" s="1318">
        <f t="shared" ca="1" si="9"/>
        <v>4.427560291032604</v>
      </c>
      <c r="V159" s="494" t="s">
        <v>830</v>
      </c>
    </row>
    <row r="160" spans="1:22" s="64" customFormat="1">
      <c r="A160" s="630" t="s">
        <v>831</v>
      </c>
      <c r="B160" s="246"/>
      <c r="C160" s="246"/>
      <c r="D160" s="246">
        <f ca="1">(D$132*Mat_Sum!$F32+D$133*Mat_Sum!$D32+D$134*Mat_Sum!$I32+D$135*Mat_Sum!$AG32+D$136*Mat_Sum!$AK32+D$137*Mat_Sum!$AD32+D$138*Mat_Sum!$U32+D$139*Mat_Sum!$BB32+D$140*Mat_Sum!$AR32+D$141*Mat_Sum!$AV32+(D$46*Battery_Assembly!$E78))*(1+$C$28)</f>
        <v>271055.20680808037</v>
      </c>
      <c r="E160" s="246">
        <f ca="1">(E$132*Mat_Sum!$F32+E$133*Mat_Sum!$D32+E$134*Mat_Sum!$I32+E$135*Mat_Sum!$AG32+E$136*Mat_Sum!$AK32+E$137*Mat_Sum!$AD32+E$138*Mat_Sum!$U32+E$139*Mat_Sum!$BB32+E$140*Mat_Sum!$AR32+E$141*Mat_Sum!$AV32+(E$46*Battery_Assembly!$E78))*(1+$C$28)</f>
        <v>187165.22460585088</v>
      </c>
      <c r="F160" s="246">
        <f ca="1">(F$132*Mat_Sum!$F32+F$133*Mat_Sum!$D32+F$134*Mat_Sum!$I32+F$135*Mat_Sum!$AG32+F$136*Mat_Sum!$AK32+F$137*Mat_Sum!$AD32+F$138*Mat_Sum!$U32+F$139*Mat_Sum!$BB32+F$140*Mat_Sum!$AR32+F$141*Mat_Sum!$AV32+(F$46*Battery_Assembly!$E78))*(1+$C$29)</f>
        <v>844913.57648708473</v>
      </c>
      <c r="G160" s="246">
        <f ca="1">(G$132*Mat_Sum!$F32+G$133*Mat_Sum!$D32+G$134*Mat_Sum!$I32+G$135*Mat_Sum!$AG32+G$136*Mat_Sum!$AK32+G$137*Mat_Sum!$AD32+G$138*Mat_Sum!$U32+G$139*Mat_Sum!$BB32+G$140*Mat_Sum!$AR32+G$141*Mat_Sum!$AV32+(G$46*Battery_Assembly!$E78))*(1+$C$29)</f>
        <v>672056.62963090267</v>
      </c>
      <c r="H160" s="246">
        <f ca="1">(H$132*Mat_Sum!$F32+H$133*Mat_Sum!$D32+H$134*Mat_Sum!$I32+H$135*Mat_Sum!$AG32+H$136*Mat_Sum!$AK32+H$137*Mat_Sum!$AD32+H$138*Mat_Sum!$U32+H$139*Mat_Sum!$BB32+H$140*Mat_Sum!$AR32+H$141*Mat_Sum!$AV32+(H$46*Battery_Assembly!$E78))*(1+$C$30)</f>
        <v>6266505.7443500878</v>
      </c>
      <c r="I160" s="246">
        <f ca="1">(I$132*Mat_Sum!$F32+I$133*Mat_Sum!$D32+I$134*Mat_Sum!$I32+I$135*Mat_Sum!$AG32+I$136*Mat_Sum!$AK32+I$137*Mat_Sum!$AD32+I$138*Mat_Sum!$U32+I$139*Mat_Sum!$BB32+I$140*Mat_Sum!$AR32+I$141*Mat_Sum!$AV32+(I$46*Battery_Assembly!$E78))*(1+$C$30)</f>
        <v>5376165.0488611385</v>
      </c>
      <c r="J160" s="246">
        <f ca="1">((J$132*Mat_Sum!$F32+J$133*Mat_Sum!$D32+J$134*Mat_Sum!$I32+J$135*Mat_Sum!$AG32+J$136*Mat_Sum!$AK32+J$137*Mat_Sum!$AD32+J$138*Mat_Sum!$U32+J$139*Mat_Sum!$BB32+J$140*Mat_Sum!$AR32+J$141*Mat_Sum!$AV32)+(J$46*Battery_Assembly!$E78))*(1+$C$31)</f>
        <v>248467.27313579543</v>
      </c>
      <c r="K160" s="247">
        <f ca="1">((K$132*Mat_Sum!$F32+K$133*Mat_Sum!$D32+K$134*Mat_Sum!$I32+K$135*Mat_Sum!$AG32+K$136*Mat_Sum!$AK32+K$137*Mat_Sum!$AD32+K$138*Mat_Sum!$U32+K$139*Mat_Sum!$BB32+K$140*Mat_Sum!$AR32+K$141*Mat_Sum!$AV32)+(K$46*Battery_Assembly!$E78))*(1+$C$31)</f>
        <v>233956.53075731359</v>
      </c>
      <c r="L160" s="1321">
        <f>$D$135*Mat_Sum!AE32</f>
        <v>404.70381073280726</v>
      </c>
      <c r="M160" s="5">
        <f>$D$135*Mat_Sum!AF32</f>
        <v>4769.35362353244</v>
      </c>
      <c r="N160" s="363">
        <v>0</v>
      </c>
      <c r="O160" s="363">
        <v>0</v>
      </c>
      <c r="P160" s="5">
        <f ca="1">$D$138*Mat_Sum!$R32</f>
        <v>89145.269746210048</v>
      </c>
      <c r="Q160" s="5">
        <f ca="1">$D$138*SUM(Mat_Sum!$S32:'Mat_Sum'!$T32)</f>
        <v>33497.783533632981</v>
      </c>
      <c r="R160" s="363">
        <v>0</v>
      </c>
      <c r="S160" s="5">
        <f ca="1">$D$137*Mat_Sum!AB32</f>
        <v>3220.8092756152114</v>
      </c>
      <c r="T160" s="5">
        <f ca="1">$D$137*Mat_Sum!AC32</f>
        <v>13910.730989181133</v>
      </c>
      <c r="U160" s="1318">
        <f t="shared" ca="1" si="9"/>
        <v>126106.55582917575</v>
      </c>
      <c r="V160" s="630" t="s">
        <v>831</v>
      </c>
    </row>
    <row r="161" spans="1:29" s="64" customFormat="1">
      <c r="A161" s="630" t="s">
        <v>850</v>
      </c>
      <c r="B161" s="246"/>
      <c r="C161" s="246"/>
      <c r="D161" s="246">
        <f ca="1">(D$132*Mat_Sum!$F33+D$133*Mat_Sum!$D33+D$134*Mat_Sum!$I33+D$135*Mat_Sum!$AG33+D$136*Mat_Sum!$AK33+D$137*Mat_Sum!$AD33+D$138*Mat_Sum!$U33+D$139*Mat_Sum!$BB33+D$140*Mat_Sum!$AR33+D$141*Mat_Sum!$AV33+(D$46*Battery_Assembly!$E79))*(1+$C$28)</f>
        <v>272101.22423509165</v>
      </c>
      <c r="E161" s="246">
        <f ca="1">(E$132*Mat_Sum!$F33+E$133*Mat_Sum!$D33+E$134*Mat_Sum!$I33+E$135*Mat_Sum!$AG33+E$136*Mat_Sum!$AK33+E$137*Mat_Sum!$AD33+E$138*Mat_Sum!$U33+E$139*Mat_Sum!$BB33+E$140*Mat_Sum!$AR33+E$141*Mat_Sum!$AV33+(E$46*Battery_Assembly!$E79))*(1+$C$28)</f>
        <v>187887.50583030572</v>
      </c>
      <c r="F161" s="246">
        <f ca="1">(F$132*Mat_Sum!$F33+F$133*Mat_Sum!$D33+F$134*Mat_Sum!$I33+F$135*Mat_Sum!$AG33+F$136*Mat_Sum!$AK33+F$137*Mat_Sum!$AD33+F$138*Mat_Sum!$U33+F$139*Mat_Sum!$BB33+F$140*Mat_Sum!$AR33+F$141*Mat_Sum!$AV33+(F$46*Battery_Assembly!$E79))*(1+$C$29)</f>
        <v>848174.14593244391</v>
      </c>
      <c r="G161" s="246">
        <f ca="1">(G$132*Mat_Sum!$F33+G$133*Mat_Sum!$D33+G$134*Mat_Sum!$I33+G$135*Mat_Sum!$AG33+G$136*Mat_Sum!$AK33+G$137*Mat_Sum!$AD33+G$138*Mat_Sum!$U33+G$139*Mat_Sum!$BB33+G$140*Mat_Sum!$AR33+G$141*Mat_Sum!$AV33+(G$46*Battery_Assembly!$E79))*(1+$C$29)</f>
        <v>674650.13430771977</v>
      </c>
      <c r="H161" s="246">
        <f ca="1">(H$132*Mat_Sum!$F33+H$133*Mat_Sum!$D33+H$134*Mat_Sum!$I33+H$135*Mat_Sum!$AG33+H$136*Mat_Sum!$AK33+H$137*Mat_Sum!$AD33+H$138*Mat_Sum!$U33+H$139*Mat_Sum!$BB33+H$140*Mat_Sum!$AR33+H$141*Mat_Sum!$AV33+(H$46*Battery_Assembly!$E79))*(1+$C$30)</f>
        <v>6290688.5456777075</v>
      </c>
      <c r="I161" s="246">
        <f ca="1">(I$132*Mat_Sum!$F33+I$133*Mat_Sum!$D33+I$134*Mat_Sum!$I33+I$135*Mat_Sum!$AG33+I$136*Mat_Sum!$AK33+I$137*Mat_Sum!$AD33+I$138*Mat_Sum!$U33+I$139*Mat_Sum!$BB33+I$140*Mat_Sum!$AR33+I$141*Mat_Sum!$AV33+(I$46*Battery_Assembly!$E79))*(1+$C$30)</f>
        <v>5396911.97491292</v>
      </c>
      <c r="J161" s="246">
        <f ca="1">((J$132*Mat_Sum!$F33+J$133*Mat_Sum!$D33+J$134*Mat_Sum!$I33+J$135*Mat_Sum!$AG33+J$136*Mat_Sum!$AK33+J$137*Mat_Sum!$AD33+J$138*Mat_Sum!$U33+J$139*Mat_Sum!$BB33+J$140*Mat_Sum!$AR33+J$141*Mat_Sum!$AV33)+(J$46*Battery_Assembly!$E79))*(1+$C$31)</f>
        <v>249426.12244477047</v>
      </c>
      <c r="K161" s="247">
        <f ca="1">((K$132*Mat_Sum!$F33+K$133*Mat_Sum!$D33+K$134*Mat_Sum!$I33+K$135*Mat_Sum!$AG33+K$136*Mat_Sum!$AK33+K$137*Mat_Sum!$AD33+K$138*Mat_Sum!$U33+K$139*Mat_Sum!$BB33+K$140*Mat_Sum!$AR33+K$141*Mat_Sum!$AV33)+(K$46*Battery_Assembly!$E79))*(1+$C$31)</f>
        <v>234859.38228788209</v>
      </c>
      <c r="L161" s="1321">
        <f>$D$135*Mat_Sum!AE33</f>
        <v>405.48713922084369</v>
      </c>
      <c r="M161" s="5">
        <f>$D$135*Mat_Sum!AF33</f>
        <v>4776.9485948297715</v>
      </c>
      <c r="N161" s="363">
        <v>0</v>
      </c>
      <c r="O161" s="363">
        <v>0</v>
      </c>
      <c r="P161" s="5">
        <f ca="1">$D$138*Mat_Sum!$R33</f>
        <v>89363.176347342451</v>
      </c>
      <c r="Q161" s="5">
        <f ca="1">$D$138*SUM(Mat_Sum!$S33:'Mat_Sum'!$T33)</f>
        <v>33588.14329569057</v>
      </c>
      <c r="R161" s="363">
        <v>0</v>
      </c>
      <c r="S161" s="5">
        <f ca="1">$D$137*Mat_Sum!AB33</f>
        <v>3228.4300777887329</v>
      </c>
      <c r="T161" s="5">
        <f ca="1">$D$137*Mat_Sum!AC33</f>
        <v>13930.097185608711</v>
      </c>
      <c r="U161" s="1318">
        <f t="shared" ca="1" si="9"/>
        <v>126808.94159461057</v>
      </c>
      <c r="V161" s="630" t="s">
        <v>850</v>
      </c>
    </row>
    <row r="162" spans="1:29" s="64" customFormat="1">
      <c r="A162" s="756" t="s">
        <v>851</v>
      </c>
      <c r="B162" s="294"/>
      <c r="C162" s="294"/>
      <c r="D162" s="294">
        <f ca="1">(D$132*Mat_Sum!$F34+D$133*Mat_Sum!$D34+D$134*Mat_Sum!$I34+D$135*Mat_Sum!$AG34+D$136*Mat_Sum!$AK34+D$137*Mat_Sum!$AD34+D$138*Mat_Sum!$U34+D$139*Mat_Sum!$BB34+D$140*Mat_Sum!$AR34+D$141*Mat_Sum!$AV34+(D$46*Battery_Assembly!$E80))*(1+$C$28)</f>
        <v>309702.99648415105</v>
      </c>
      <c r="E162" s="294">
        <f ca="1">(E$132*Mat_Sum!$F34+E$133*Mat_Sum!$D34+E$134*Mat_Sum!$I34+E$135*Mat_Sum!$AG34+E$136*Mat_Sum!$AK34+E$137*Mat_Sum!$AD34+E$138*Mat_Sum!$U34+E$139*Mat_Sum!$BB34+E$140*Mat_Sum!$AR34+E$141*Mat_Sum!$AV34+(E$46*Battery_Assembly!$E80))*(1+$C$28)</f>
        <v>213851.75212333602</v>
      </c>
      <c r="F162" s="294">
        <f ca="1">(F$132*Mat_Sum!$F34+F$133*Mat_Sum!$D34+F$134*Mat_Sum!$I34+F$135*Mat_Sum!$AG34+F$136*Mat_Sum!$AK34+F$137*Mat_Sum!$AD34+F$138*Mat_Sum!$U34+F$139*Mat_Sum!$BB34+F$140*Mat_Sum!$AR34+F$141*Mat_Sum!$AV34+(F$46*Battery_Assembly!$E80))*(1+$C$29)</f>
        <v>965383.65556455532</v>
      </c>
      <c r="G162" s="294">
        <f ca="1">(G$132*Mat_Sum!$F34+G$133*Mat_Sum!$D34+G$134*Mat_Sum!$I34+G$135*Mat_Sum!$AG34+G$136*Mat_Sum!$AK34+G$137*Mat_Sum!$AD34+G$138*Mat_Sum!$U34+G$139*Mat_Sum!$BB34+G$140*Mat_Sum!$AR34+G$141*Mat_Sum!$AV34+(G$46*Battery_Assembly!$E80))*(1+$C$29)</f>
        <v>767880.29440475255</v>
      </c>
      <c r="H162" s="294">
        <f ca="1">(H$132*Mat_Sum!$F34+H$133*Mat_Sum!$D34+H$134*Mat_Sum!$I34+H$135*Mat_Sum!$AG34+H$136*Mat_Sum!$AK34+H$137*Mat_Sum!$AD34+H$138*Mat_Sum!$U34+H$139*Mat_Sum!$BB34+H$140*Mat_Sum!$AR34+H$141*Mat_Sum!$AV34+(H$46*Battery_Assembly!$E80))*(1+$C$30)</f>
        <v>7160001.2018382391</v>
      </c>
      <c r="I162" s="294">
        <f ca="1">(I$132*Mat_Sum!$F34+I$133*Mat_Sum!$D34+I$134*Mat_Sum!$I34+I$135*Mat_Sum!$AG34+I$136*Mat_Sum!$AK34+I$137*Mat_Sum!$AD34+I$138*Mat_Sum!$U34+I$139*Mat_Sum!$BB34+I$140*Mat_Sum!$AR34+I$141*Mat_Sum!$AV34+(I$46*Battery_Assembly!$E80))*(1+$C$30)</f>
        <v>6142713.3049119571</v>
      </c>
      <c r="J162" s="294">
        <f ca="1">((J$132*Mat_Sum!$F34+J$133*Mat_Sum!$D34+J$134*Mat_Sum!$I34+J$135*Mat_Sum!$AG34+J$136*Mat_Sum!$AK34+J$137*Mat_Sum!$AD34+J$138*Mat_Sum!$U34+J$139*Mat_Sum!$BB34+J$140*Mat_Sum!$AR34+J$141*Mat_Sum!$AV34)+(J$46*Battery_Assembly!$E80))*(1+$C$31)</f>
        <v>283894.41370475781</v>
      </c>
      <c r="K162" s="296">
        <f ca="1">((K$132*Mat_Sum!$F34+K$133*Mat_Sum!$D34+K$134*Mat_Sum!$I34+K$135*Mat_Sum!$AG34+K$136*Mat_Sum!$AK34+K$137*Mat_Sum!$AD34+K$138*Mat_Sum!$U34+K$139*Mat_Sum!$BB34+K$140*Mat_Sum!$AR34+K$141*Mat_Sum!$AV34)+(K$46*Battery_Assembly!$E80))*(1+$C$31)</f>
        <v>267314.69015416998</v>
      </c>
      <c r="L162" s="1321">
        <f>$D$135*Mat_Sum!AE34</f>
        <v>429.13607278798912</v>
      </c>
      <c r="M162" s="5">
        <f>$D$135*Mat_Sum!AF34</f>
        <v>5117.3328814370534</v>
      </c>
      <c r="N162" s="363">
        <v>0</v>
      </c>
      <c r="O162" s="363">
        <v>0</v>
      </c>
      <c r="P162" s="5">
        <f ca="1">$D$138*Mat_Sum!$R34</f>
        <v>97278.231440149219</v>
      </c>
      <c r="Q162" s="5">
        <f ca="1">$D$138*SUM(Mat_Sum!$S34:'Mat_Sum'!$T34)</f>
        <v>36370.812148985831</v>
      </c>
      <c r="R162" s="363">
        <v>0</v>
      </c>
      <c r="S162" s="5">
        <f ca="1">$D$137*Mat_Sum!AB34</f>
        <v>3397.5782117077842</v>
      </c>
      <c r="T162" s="5">
        <f ca="1">$D$137*Mat_Sum!AC34</f>
        <v>14998.959743869031</v>
      </c>
      <c r="U162" s="1318">
        <f t="shared" ca="1" si="9"/>
        <v>152110.94598521414</v>
      </c>
      <c r="V162" s="756" t="s">
        <v>851</v>
      </c>
    </row>
    <row r="163" spans="1:29" s="64" customFormat="1">
      <c r="A163" s="797" t="s">
        <v>1521</v>
      </c>
      <c r="B163" s="389"/>
      <c r="C163" s="389"/>
      <c r="D163" s="389"/>
      <c r="E163" s="389"/>
      <c r="F163" s="389"/>
      <c r="G163" s="389"/>
      <c r="H163" s="389"/>
      <c r="I163" s="389"/>
      <c r="J163" s="389"/>
      <c r="K163" s="391"/>
      <c r="L163" s="1321"/>
      <c r="M163" s="5"/>
    </row>
    <row r="164" spans="1:29" s="64" customFormat="1">
      <c r="A164" s="494" t="s">
        <v>821</v>
      </c>
      <c r="B164" s="349"/>
      <c r="C164" s="349"/>
      <c r="D164" s="349">
        <f ca="1">(D$132*Mat_Sum!$F36+D$133*Mat_Sum!$D36+D$134*Mat_Sum!$I36+D$135*Mat_Sum!$AG36+D$136*Mat_Sum!$AK36+D$137*Mat_Sum!$AD36+D$138*Mat_Sum!$U36+D$139*Mat_Sum!$BB36+D$140*Mat_Sum!$AR36+D$141*Mat_Sum!$AV36+(D$46*Battery_Assembly!$E82))*(1+$C$28)</f>
        <v>3.3959477425803803</v>
      </c>
      <c r="E164" s="349">
        <f ca="1">(E$132*Mat_Sum!$F36+E$133*Mat_Sum!$D36+E$134*Mat_Sum!$I36+E$135*Mat_Sum!$AG36+E$136*Mat_Sum!$AK36+E$137*Mat_Sum!$AD36+E$138*Mat_Sum!$U36+E$139*Mat_Sum!$BB36+E$140*Mat_Sum!$AR36+E$141*Mat_Sum!$AV36+(E$46*Battery_Assembly!$E82))*(1+$C$28)</f>
        <v>2.3449220159781907</v>
      </c>
      <c r="F164" s="349">
        <f ca="1">(F$132*Mat_Sum!$F36+F$133*Mat_Sum!$D36+F$134*Mat_Sum!$I36+F$135*Mat_Sum!$AG36+F$136*Mat_Sum!$AK36+F$137*Mat_Sum!$AD36+F$138*Mat_Sum!$U36+F$139*Mat_Sum!$BB36+F$140*Mat_Sum!$AR36+F$141*Mat_Sum!$AV36+(F$46*Battery_Assembly!$E82))*(1+$C$29)</f>
        <v>10.585601311759401</v>
      </c>
      <c r="G164" s="349">
        <f ca="1">(G$132*Mat_Sum!$F36+G$133*Mat_Sum!$D36+G$134*Mat_Sum!$I36+G$135*Mat_Sum!$AG36+G$136*Mat_Sum!$AK36+G$137*Mat_Sum!$AD36+G$138*Mat_Sum!$U36+G$139*Mat_Sum!$BB36+G$140*Mat_Sum!$AR36+G$141*Mat_Sum!$AV36+(G$46*Battery_Assembly!$E82))*(1+$C$29)</f>
        <v>8.4199422735944527</v>
      </c>
      <c r="H164" s="349">
        <f ca="1">(H$132*Mat_Sum!$F36+H$133*Mat_Sum!$D36+H$134*Mat_Sum!$I36+H$135*Mat_Sum!$AG36+H$136*Mat_Sum!$AK36+H$137*Mat_Sum!$AD36+H$138*Mat_Sum!$U36+H$139*Mat_Sum!$BB36+H$140*Mat_Sum!$AR36+H$141*Mat_Sum!$AV36+(H$46*Battery_Assembly!$E82))*(1+$C$30)</f>
        <v>78.510670527205207</v>
      </c>
      <c r="I164" s="349">
        <f ca="1">(I$132*Mat_Sum!$F36+I$133*Mat_Sum!$D36+I$134*Mat_Sum!$I36+I$135*Mat_Sum!$AG36+I$136*Mat_Sum!$AK36+I$137*Mat_Sum!$AD36+I$138*Mat_Sum!$U36+I$139*Mat_Sum!$BB36+I$140*Mat_Sum!$AR36+I$141*Mat_Sum!$AV36+(I$46*Battery_Assembly!$E82))*(1+$C$30)</f>
        <v>67.355930094146672</v>
      </c>
      <c r="J164" s="349">
        <f ca="1">((J$132*Mat_Sum!$F36+J$133*Mat_Sum!$D36+J$134*Mat_Sum!$I36+J$135*Mat_Sum!$AG36+J$136*Mat_Sum!$AK36+J$137*Mat_Sum!$AD36+J$138*Mat_Sum!$U36+J$139*Mat_Sum!$BB36+J$140*Mat_Sum!$AR36+J$141*Mat_Sum!$AV36)+(J$46*Battery_Assembly!$E82))*(1+$C$31)</f>
        <v>3.1129521002267411</v>
      </c>
      <c r="K164" s="348">
        <f ca="1">((K$132*Mat_Sum!$F36+K$133*Mat_Sum!$D36+K$134*Mat_Sum!$I36+K$135*Mat_Sum!$AG36+K$136*Mat_Sum!$AK36+K$137*Mat_Sum!$AD36+K$138*Mat_Sum!$U36+K$139*Mat_Sum!$BB36+K$140*Mat_Sum!$AR36+K$141*Mat_Sum!$AV36)+(K$46*Battery_Assembly!$E82))*(1+$C$31)</f>
        <v>2.9311525199727382</v>
      </c>
      <c r="L164" s="1321"/>
    </row>
    <row r="165" spans="1:29" s="64" customFormat="1">
      <c r="A165" s="494" t="s">
        <v>822</v>
      </c>
      <c r="B165" s="349"/>
      <c r="C165" s="349"/>
      <c r="D165" s="349">
        <f ca="1">(D$132*Mat_Sum!$F37+D$133*Mat_Sum!$D37+D$134*Mat_Sum!$I37+D$135*Mat_Sum!$AG37+D$136*Mat_Sum!$AK37+D$137*Mat_Sum!$AD37+D$138*Mat_Sum!$U37+D$139*Mat_Sum!$BB37+D$140*Mat_Sum!$AR37+D$141*Mat_Sum!$AV37+(D$46*Battery_Assembly!$E83))*(1+$C$28)</f>
        <v>12.874688214421264</v>
      </c>
      <c r="E165" s="349">
        <f ca="1">(E$132*Mat_Sum!$F37+E$133*Mat_Sum!$D37+E$134*Mat_Sum!$I37+E$135*Mat_Sum!$AG37+E$136*Mat_Sum!$AK37+E$137*Mat_Sum!$AD37+E$138*Mat_Sum!$U37+E$139*Mat_Sum!$BB37+E$140*Mat_Sum!$AR37+E$141*Mat_Sum!$AV37+(E$46*Battery_Assembly!$E83))*(1+$C$28)</f>
        <v>8.890048413969895</v>
      </c>
      <c r="F165" s="349">
        <f ca="1">(F$132*Mat_Sum!$F37+F$133*Mat_Sum!$D37+F$134*Mat_Sum!$I37+F$135*Mat_Sum!$AG37+F$136*Mat_Sum!$AK37+F$137*Mat_Sum!$AD37+F$138*Mat_Sum!$U37+F$139*Mat_Sum!$BB37+F$140*Mat_Sum!$AR37+F$141*Mat_Sum!$AV37+(F$46*Battery_Assembly!$E83))*(1+$C$29)</f>
        <v>40.132041710251734</v>
      </c>
      <c r="G165" s="349">
        <f ca="1">(G$132*Mat_Sum!$F37+G$133*Mat_Sum!$D37+G$134*Mat_Sum!$I37+G$135*Mat_Sum!$AG37+G$136*Mat_Sum!$AK37+G$137*Mat_Sum!$AD37+G$138*Mat_Sum!$U37+G$139*Mat_Sum!$BB37+G$140*Mat_Sum!$AR37+G$141*Mat_Sum!$AV37+(G$46*Battery_Assembly!$E83))*(1+$C$29)</f>
        <v>31.921613573942683</v>
      </c>
      <c r="H165" s="349">
        <f ca="1">(H$132*Mat_Sum!$F37+H$133*Mat_Sum!$D37+H$134*Mat_Sum!$I37+H$135*Mat_Sum!$AG37+H$136*Mat_Sum!$AK37+H$137*Mat_Sum!$AD37+H$138*Mat_Sum!$U37+H$139*Mat_Sum!$BB37+H$140*Mat_Sum!$AR37+H$141*Mat_Sum!$AV37+(H$46*Battery_Assembly!$E83))*(1+$C$30)</f>
        <v>297.64898672288524</v>
      </c>
      <c r="I165" s="349">
        <f ca="1">(I$132*Mat_Sum!$F37+I$133*Mat_Sum!$D37+I$134*Mat_Sum!$I37+I$135*Mat_Sum!$AG37+I$136*Mat_Sum!$AK37+I$137*Mat_Sum!$AD37+I$138*Mat_Sum!$U37+I$139*Mat_Sum!$BB37+I$140*Mat_Sum!$AR37+I$141*Mat_Sum!$AV37+(I$46*Battery_Assembly!$E83))*(1+$C$30)</f>
        <v>255.35922961393052</v>
      </c>
      <c r="J165" s="349">
        <f ca="1">((J$132*Mat_Sum!$F37+J$133*Mat_Sum!$D37+J$134*Mat_Sum!$I37+J$135*Mat_Sum!$AG37+J$136*Mat_Sum!$AK37+J$137*Mat_Sum!$AD37+J$138*Mat_Sum!$U37+J$139*Mat_Sum!$BB37+J$140*Mat_Sum!$AR37+J$141*Mat_Sum!$AV37)+(J$46*Battery_Assembly!$E83))*(1+$C$31)</f>
        <v>11.801797540734242</v>
      </c>
      <c r="K165" s="348">
        <f ca="1">((K$132*Mat_Sum!$F37+K$133*Mat_Sum!$D37+K$134*Mat_Sum!$I37+K$135*Mat_Sum!$AG37+K$136*Mat_Sum!$AK37+K$137*Mat_Sum!$AD37+K$138*Mat_Sum!$U37+K$139*Mat_Sum!$BB37+K$140*Mat_Sum!$AR37+K$141*Mat_Sum!$AV37)+(K$46*Battery_Assembly!$E83))*(1+$C$31)</f>
        <v>11.11256051746237</v>
      </c>
      <c r="L165" s="1321"/>
    </row>
    <row r="166" spans="1:29" s="64" customFormat="1">
      <c r="A166" s="494" t="s">
        <v>823</v>
      </c>
      <c r="B166" s="349"/>
      <c r="C166" s="349"/>
      <c r="D166" s="349">
        <f ca="1">(D$132*Mat_Sum!$F38+D$133*Mat_Sum!$D38+D$134*Mat_Sum!$I38+D$135*Mat_Sum!$AG38+D$136*Mat_Sum!$AK38+D$137*Mat_Sum!$AD38+D$138*Mat_Sum!$U38+D$139*Mat_Sum!$BB38+D$140*Mat_Sum!$AR38+D$141*Mat_Sum!$AV38+(D$46*Battery_Assembly!$E84))*(1+$C$28)</f>
        <v>30.602506607532554</v>
      </c>
      <c r="E166" s="349">
        <f ca="1">(E$132*Mat_Sum!$F38+E$133*Mat_Sum!$D38+E$134*Mat_Sum!$I38+E$135*Mat_Sum!$AG38+E$136*Mat_Sum!$AK38+E$137*Mat_Sum!$AD38+E$138*Mat_Sum!$U38+E$139*Mat_Sum!$BB38+E$140*Mat_Sum!$AR38+E$141*Mat_Sum!$AV38+(E$46*Battery_Assembly!$E84))*(1+$C$28)</f>
        <v>21.131211940733394</v>
      </c>
      <c r="F166" s="349">
        <f ca="1">(F$132*Mat_Sum!$F38+F$133*Mat_Sum!$D38+F$134*Mat_Sum!$I38+F$135*Mat_Sum!$AG38+F$136*Mat_Sum!$AK38+F$137*Mat_Sum!$AD38+F$138*Mat_Sum!$U38+F$139*Mat_Sum!$BB38+F$140*Mat_Sum!$AR38+F$141*Mat_Sum!$AV38+(F$46*Battery_Assembly!$E84))*(1+$C$29)</f>
        <v>95.391907839451918</v>
      </c>
      <c r="G166" s="349">
        <f ca="1">(G$132*Mat_Sum!$F38+G$133*Mat_Sum!$D38+G$134*Mat_Sum!$I38+G$135*Mat_Sum!$AG38+G$136*Mat_Sum!$AK38+G$137*Mat_Sum!$AD38+G$138*Mat_Sum!$U38+G$139*Mat_Sum!$BB38+G$140*Mat_Sum!$AR38+G$141*Mat_Sum!$AV38+(G$46*Battery_Assembly!$E84))*(1+$C$29)</f>
        <v>75.876120186386515</v>
      </c>
      <c r="H166" s="349">
        <f ca="1">(H$132*Mat_Sum!$F38+H$133*Mat_Sum!$D38+H$134*Mat_Sum!$I38+H$135*Mat_Sum!$AG38+H$136*Mat_Sum!$AK38+H$137*Mat_Sum!$AD38+H$138*Mat_Sum!$U38+H$139*Mat_Sum!$BB38+H$140*Mat_Sum!$AR38+H$141*Mat_Sum!$AV38+(H$46*Battery_Assembly!$E84))*(1+$C$30)</f>
        <v>707.4971394421392</v>
      </c>
      <c r="I166" s="349">
        <f ca="1">(I$132*Mat_Sum!$F38+I$133*Mat_Sum!$D38+I$134*Mat_Sum!$I38+I$135*Mat_Sum!$AG38+I$136*Mat_Sum!$AK38+I$137*Mat_Sum!$AD38+I$138*Mat_Sum!$U38+I$139*Mat_Sum!$BB38+I$140*Mat_Sum!$AR38+I$141*Mat_Sum!$AV38+(I$46*Battery_Assembly!$E84))*(1+$C$30)</f>
        <v>606.97644722777557</v>
      </c>
      <c r="J166" s="349">
        <f ca="1">((J$132*Mat_Sum!$F38+J$133*Mat_Sum!$D38+J$134*Mat_Sum!$I38+J$135*Mat_Sum!$AG38+J$136*Mat_Sum!$AK38+J$137*Mat_Sum!$AD38+J$138*Mat_Sum!$U38+J$139*Mat_Sum!$BB38+J$140*Mat_Sum!$AR38+J$141*Mat_Sum!$AV38)+(J$46*Battery_Assembly!$E84))*(1+$C$31)</f>
        <v>28.052297749356882</v>
      </c>
      <c r="K166" s="348">
        <f ca="1">((K$132*Mat_Sum!$F38+K$133*Mat_Sum!$D38+K$134*Mat_Sum!$I38+K$135*Mat_Sum!$AG38+K$136*Mat_Sum!$AK38+K$137*Mat_Sum!$AD38+K$138*Mat_Sum!$U38+K$139*Mat_Sum!$BB38+K$140*Mat_Sum!$AR38+K$141*Mat_Sum!$AV38)+(K$46*Battery_Assembly!$E84))*(1+$C$31)</f>
        <v>26.414014925916735</v>
      </c>
      <c r="L166" s="1321"/>
    </row>
    <row r="167" spans="1:29" s="64" customFormat="1">
      <c r="A167" s="494" t="s">
        <v>824</v>
      </c>
      <c r="B167" s="349"/>
      <c r="C167" s="349"/>
      <c r="D167" s="349">
        <f ca="1">(D$132*Mat_Sum!$F39+D$133*Mat_Sum!$D39+D$134*Mat_Sum!$I39+D$135*Mat_Sum!$AG39+D$136*Mat_Sum!$AK39+D$137*Mat_Sum!$AD39+D$138*Mat_Sum!$U39+D$139*Mat_Sum!$BB39+D$140*Mat_Sum!$AR39+D$141*Mat_Sum!$AV39+(D$46*Battery_Assembly!$E85))*(1+$C$28)</f>
        <v>3.5524631067774726</v>
      </c>
      <c r="E167" s="349">
        <f ca="1">(E$132*Mat_Sum!$F39+E$133*Mat_Sum!$D39+E$134*Mat_Sum!$I39+E$135*Mat_Sum!$AG39+E$136*Mat_Sum!$AK39+E$137*Mat_Sum!$AD39+E$138*Mat_Sum!$U39+E$139*Mat_Sum!$BB39+E$140*Mat_Sum!$AR39+E$141*Mat_Sum!$AV39+(E$46*Battery_Assembly!$E85))*(1+$C$28)</f>
        <v>2.4529968013297849</v>
      </c>
      <c r="F167" s="349">
        <f ca="1">(F$132*Mat_Sum!$F39+F$133*Mat_Sum!$D39+F$134*Mat_Sum!$I39+F$135*Mat_Sum!$AG39+F$136*Mat_Sum!$AK39+F$137*Mat_Sum!$AD39+F$138*Mat_Sum!$U39+F$139*Mat_Sum!$BB39+F$140*Mat_Sum!$AR39+F$141*Mat_Sum!$AV39+(F$46*Battery_Assembly!$E85))*(1+$C$29)</f>
        <v>11.07347962148166</v>
      </c>
      <c r="G167" s="349">
        <f ca="1">(G$132*Mat_Sum!$F39+G$133*Mat_Sum!$D39+G$134*Mat_Sum!$I39+G$135*Mat_Sum!$AG39+G$136*Mat_Sum!$AK39+G$137*Mat_Sum!$AD39+G$138*Mat_Sum!$U39+G$139*Mat_Sum!$BB39+G$140*Mat_Sum!$AR39+G$141*Mat_Sum!$AV39+(G$46*Battery_Assembly!$E85))*(1+$C$29)</f>
        <v>8.8080078244703213</v>
      </c>
      <c r="H167" s="349">
        <f ca="1">(H$132*Mat_Sum!$F39+H$133*Mat_Sum!$D39+H$134*Mat_Sum!$I39+H$135*Mat_Sum!$AG39+H$136*Mat_Sum!$AK39+H$137*Mat_Sum!$AD39+H$138*Mat_Sum!$U39+H$139*Mat_Sum!$BB39+H$140*Mat_Sum!$AR39+H$141*Mat_Sum!$AV39+(H$46*Battery_Assembly!$E85))*(1+$C$30)</f>
        <v>82.129137924935662</v>
      </c>
      <c r="I167" s="349">
        <f ca="1">(I$132*Mat_Sum!$F39+I$133*Mat_Sum!$D39+I$134*Mat_Sum!$I39+I$135*Mat_Sum!$AG39+I$136*Mat_Sum!$AK39+I$137*Mat_Sum!$AD39+I$138*Mat_Sum!$U39+I$139*Mat_Sum!$BB39+I$140*Mat_Sum!$AR39+I$141*Mat_Sum!$AV39+(I$46*Battery_Assembly!$E85))*(1+$C$30)</f>
        <v>70.460288208181936</v>
      </c>
      <c r="J167" s="349">
        <f ca="1">((J$132*Mat_Sum!$F39+J$133*Mat_Sum!$D39+J$134*Mat_Sum!$I39+J$135*Mat_Sum!$AG39+J$136*Mat_Sum!$AK39+J$137*Mat_Sum!$AD39+J$138*Mat_Sum!$U39+J$139*Mat_Sum!$BB39+J$140*Mat_Sum!$AR39+J$141*Mat_Sum!$AV39)+(J$46*Battery_Assembly!$E85))*(1+$C$31)</f>
        <v>3.2564245175392865</v>
      </c>
      <c r="K167" s="348">
        <f ca="1">((K$132*Mat_Sum!$F39+K$133*Mat_Sum!$D39+K$134*Mat_Sum!$I39+K$135*Mat_Sum!$AG39+K$136*Mat_Sum!$AK39+K$137*Mat_Sum!$AD39+K$138*Mat_Sum!$U39+K$139*Mat_Sum!$BB39+K$140*Mat_Sum!$AR39+K$141*Mat_Sum!$AV39)+(K$46*Battery_Assembly!$E85))*(1+$C$31)</f>
        <v>3.0662460016622308</v>
      </c>
      <c r="L167" s="1321"/>
    </row>
    <row r="168" spans="1:29" s="64" customFormat="1">
      <c r="A168" s="494" t="s">
        <v>825</v>
      </c>
      <c r="B168" s="349"/>
      <c r="C168" s="349"/>
      <c r="D168" s="349">
        <f ca="1">(D$132*Mat_Sum!$F40+D$133*Mat_Sum!$D40+D$134*Mat_Sum!$I40+D$135*Mat_Sum!$AG40+D$136*Mat_Sum!$AK40+D$137*Mat_Sum!$AD40+D$138*Mat_Sum!$U40+D$139*Mat_Sum!$BB40+D$140*Mat_Sum!$AR40+D$141*Mat_Sum!$AV40+(D$46*Battery_Assembly!$E86))*(1+$C$28)</f>
        <v>3.0738289065917845</v>
      </c>
      <c r="E168" s="349">
        <f ca="1">(E$132*Mat_Sum!$F40+E$133*Mat_Sum!$D40+E$134*Mat_Sum!$I40+E$135*Mat_Sum!$AG40+E$136*Mat_Sum!$AK40+E$137*Mat_Sum!$AD40+E$138*Mat_Sum!$U40+E$139*Mat_Sum!$BB40+E$140*Mat_Sum!$AR40+E$141*Mat_Sum!$AV40+(E$46*Battery_Assembly!$E86))*(1+$C$28)</f>
        <v>2.1224970531909291</v>
      </c>
      <c r="F168" s="349">
        <f ca="1">(F$132*Mat_Sum!$F40+F$133*Mat_Sum!$D40+F$134*Mat_Sum!$I40+F$135*Mat_Sum!$AG40+F$136*Mat_Sum!$AK40+F$137*Mat_Sum!$AD40+F$138*Mat_Sum!$U40+F$139*Mat_Sum!$BB40+F$140*Mat_Sum!$AR40+F$141*Mat_Sum!$AV40+(F$46*Battery_Assembly!$E86))*(1+$C$29)</f>
        <v>9.5815159043107094</v>
      </c>
      <c r="G168" s="349">
        <f ca="1">(G$132*Mat_Sum!$F40+G$133*Mat_Sum!$D40+G$134*Mat_Sum!$I40+G$135*Mat_Sum!$AG40+G$136*Mat_Sum!$AK40+G$137*Mat_Sum!$AD40+G$138*Mat_Sum!$U40+G$139*Mat_Sum!$BB40+G$140*Mat_Sum!$AR40+G$141*Mat_Sum!$AV40+(G$46*Battery_Assembly!$E86))*(1+$C$29)</f>
        <v>7.6212780390851904</v>
      </c>
      <c r="H168" s="349">
        <f ca="1">(H$132*Mat_Sum!$F40+H$133*Mat_Sum!$D40+H$134*Mat_Sum!$I40+H$135*Mat_Sum!$AG40+H$136*Mat_Sum!$AK40+H$137*Mat_Sum!$AD40+H$138*Mat_Sum!$U40+H$139*Mat_Sum!$BB40+H$140*Mat_Sum!$AR40+H$141*Mat_Sum!$AV40+(H$46*Battery_Assembly!$E86))*(1+$C$30)</f>
        <v>71.063628428821417</v>
      </c>
      <c r="I168" s="349">
        <f ca="1">(I$132*Mat_Sum!$F40+I$133*Mat_Sum!$D40+I$134*Mat_Sum!$I40+I$135*Mat_Sum!$AG40+I$136*Mat_Sum!$AK40+I$137*Mat_Sum!$AD40+I$138*Mat_Sum!$U40+I$139*Mat_Sum!$BB40+I$140*Mat_Sum!$AR40+I$141*Mat_Sum!$AV40+(I$46*Battery_Assembly!$E86))*(1+$C$30)</f>
        <v>60.96695845986298</v>
      </c>
      <c r="J168" s="349">
        <f ca="1">((J$132*Mat_Sum!$F40+J$133*Mat_Sum!$D40+J$134*Mat_Sum!$I40+J$135*Mat_Sum!$AG40+J$136*Mat_Sum!$AK40+J$137*Mat_Sum!$AD40+J$138*Mat_Sum!$U40+J$139*Mat_Sum!$BB40+J$140*Mat_Sum!$AR40+J$141*Mat_Sum!$AV40)+(J$46*Battery_Assembly!$E86))*(1+$C$31)</f>
        <v>2.8176765002991138</v>
      </c>
      <c r="K168" s="348">
        <f ca="1">((K$132*Mat_Sum!$F40+K$133*Mat_Sum!$D40+K$134*Mat_Sum!$I40+K$135*Mat_Sum!$AG40+K$136*Mat_Sum!$AK40+K$137*Mat_Sum!$AD40+K$138*Mat_Sum!$U40+K$139*Mat_Sum!$BB40+K$140*Mat_Sum!$AR40+K$141*Mat_Sum!$AV40)+(K$46*Battery_Assembly!$E86))*(1+$C$31)</f>
        <v>2.6531213164886616</v>
      </c>
      <c r="L168" s="1321"/>
    </row>
    <row r="169" spans="1:29">
      <c r="A169" s="494" t="s">
        <v>826</v>
      </c>
      <c r="B169" s="349"/>
      <c r="C169" s="349"/>
      <c r="D169" s="349">
        <f ca="1">(D$132*Mat_Sum!$F41+D$133*Mat_Sum!$D41+D$134*Mat_Sum!$I41+D$135*Mat_Sum!$AG41+D$136*Mat_Sum!$AK41+D$137*Mat_Sum!$AD41+D$138*Mat_Sum!$U41+D$139*Mat_Sum!$BB41+D$140*Mat_Sum!$AR41+D$141*Mat_Sum!$AV41+(D$46*Battery_Assembly!$E87))*(1+$C$28)</f>
        <v>30.427643413907067</v>
      </c>
      <c r="E169" s="349">
        <f ca="1">(E$132*Mat_Sum!$F41+E$133*Mat_Sum!$D41+E$134*Mat_Sum!$I41+E$135*Mat_Sum!$AG41+E$136*Mat_Sum!$AK41+E$137*Mat_Sum!$AD41+E$138*Mat_Sum!$U41+E$139*Mat_Sum!$BB41+E$140*Mat_Sum!$AR41+E$141*Mat_Sum!$AV41+(E$46*Battery_Assembly!$E87))*(1+$C$28)</f>
        <v>21.010467870565488</v>
      </c>
      <c r="F169" s="349">
        <f ca="1">(F$132*Mat_Sum!$F41+F$133*Mat_Sum!$D41+F$134*Mat_Sum!$I41+F$135*Mat_Sum!$AG41+F$136*Mat_Sum!$AK41+F$137*Mat_Sum!$AD41+F$138*Mat_Sum!$U41+F$139*Mat_Sum!$BB41+F$140*Mat_Sum!$AR41+F$141*Mat_Sum!$AV41+(F$46*Battery_Assembly!$E87))*(1+$C$29)</f>
        <v>94.846837010295403</v>
      </c>
      <c r="G169" s="349">
        <f ca="1">(G$132*Mat_Sum!$F41+G$133*Mat_Sum!$D41+G$134*Mat_Sum!$I41+G$135*Mat_Sum!$AG41+G$136*Mat_Sum!$AK41+G$137*Mat_Sum!$AD41+G$138*Mat_Sum!$U41+G$139*Mat_Sum!$BB41+G$140*Mat_Sum!$AR41+G$141*Mat_Sum!$AV41+(G$46*Battery_Assembly!$E87))*(1+$C$29)</f>
        <v>75.442562868162227</v>
      </c>
      <c r="H169" s="349">
        <f ca="1">(H$132*Mat_Sum!$F41+H$133*Mat_Sum!$D41+H$134*Mat_Sum!$I41+H$135*Mat_Sum!$AG41+H$136*Mat_Sum!$AK41+H$137*Mat_Sum!$AD41+H$138*Mat_Sum!$U41+H$139*Mat_Sum!$BB41+H$140*Mat_Sum!$AR41+H$141*Mat_Sum!$AV41+(H$46*Battery_Assembly!$E87))*(1+$C$30)</f>
        <v>703.45448990135617</v>
      </c>
      <c r="I169" s="349">
        <f ca="1">(I$132*Mat_Sum!$F41+I$133*Mat_Sum!$D41+I$134*Mat_Sum!$I41+I$135*Mat_Sum!$AG41+I$136*Mat_Sum!$AK41+I$137*Mat_Sum!$AD41+I$138*Mat_Sum!$U41+I$139*Mat_Sum!$BB41+I$140*Mat_Sum!$AR41+I$141*Mat_Sum!$AV41+(I$46*Battery_Assembly!$E87))*(1+$C$30)</f>
        <v>603.50817446898213</v>
      </c>
      <c r="J169" s="349">
        <f ca="1">((J$132*Mat_Sum!$F41+J$133*Mat_Sum!$D41+J$134*Mat_Sum!$I41+J$135*Mat_Sum!$AG41+J$136*Mat_Sum!$AK41+J$137*Mat_Sum!$AD41+J$138*Mat_Sum!$U41+J$139*Mat_Sum!$BB41+J$140*Mat_Sum!$AR41+J$141*Mat_Sum!$AV41)+(J$46*Battery_Assembly!$E87))*(1+$C$31)</f>
        <v>27.892006488386176</v>
      </c>
      <c r="K169" s="348">
        <f ca="1">((K$132*Mat_Sum!$F41+K$133*Mat_Sum!$D41+K$134*Mat_Sum!$I41+K$135*Mat_Sum!$AG41+K$136*Mat_Sum!$AK41+K$137*Mat_Sum!$AD41+K$138*Mat_Sum!$U41+K$139*Mat_Sum!$BB41+K$140*Mat_Sum!$AR41+K$141*Mat_Sum!$AV41)+(K$46*Battery_Assembly!$E87))*(1+$C$31)</f>
        <v>26.263084838206854</v>
      </c>
      <c r="L169" s="1321"/>
    </row>
    <row r="170" spans="1:29">
      <c r="A170" s="494" t="s">
        <v>827</v>
      </c>
      <c r="B170" s="349"/>
      <c r="C170" s="349"/>
      <c r="D170" s="349">
        <f ca="1">(D$132*Mat_Sum!$F42+D$133*Mat_Sum!$D42+D$134*Mat_Sum!$I42+D$135*Mat_Sum!$AG42+D$136*Mat_Sum!$AK42+D$137*Mat_Sum!$AD42+D$138*Mat_Sum!$U42+D$139*Mat_Sum!$BB42+D$140*Mat_Sum!$AR42+D$141*Mat_Sum!$AV42+(D$46*Battery_Assembly!$E88))*(1+$C$28)</f>
        <v>0.16873372895607014</v>
      </c>
      <c r="E170" s="349">
        <f ca="1">(E$132*Mat_Sum!$F42+E$133*Mat_Sum!$D42+E$134*Mat_Sum!$I42+E$135*Mat_Sum!$AG42+E$136*Mat_Sum!$AK42+E$137*Mat_Sum!$AD42+E$138*Mat_Sum!$U42+E$139*Mat_Sum!$BB42+E$140*Mat_Sum!$AR42+E$141*Mat_Sum!$AV42+(E$46*Battery_Assembly!$E88))*(1+$C$28)</f>
        <v>0.11651163853497382</v>
      </c>
      <c r="F170" s="349">
        <f ca="1">(F$132*Mat_Sum!$F42+F$133*Mat_Sum!$D42+F$134*Mat_Sum!$I42+F$135*Mat_Sum!$AG42+F$136*Mat_Sum!$AK42+F$137*Mat_Sum!$AD42+F$138*Mat_Sum!$U42+F$139*Mat_Sum!$BB42+F$140*Mat_Sum!$AR42+F$141*Mat_Sum!$AV42+(F$46*Battery_Assembly!$E88))*(1+$C$29)</f>
        <v>0.52596450769240721</v>
      </c>
      <c r="G170" s="349">
        <f ca="1">(G$132*Mat_Sum!$F42+G$133*Mat_Sum!$D42+G$134*Mat_Sum!$I42+G$135*Mat_Sum!$AG42+G$136*Mat_Sum!$AK42+G$137*Mat_Sum!$AD42+G$138*Mat_Sum!$U42+G$139*Mat_Sum!$BB42+G$140*Mat_Sum!$AR42+G$141*Mat_Sum!$AV42+(G$46*Battery_Assembly!$E88))*(1+$C$29)</f>
        <v>0.41835987038449407</v>
      </c>
      <c r="H170" s="349">
        <f ca="1">(H$132*Mat_Sum!$F42+H$133*Mat_Sum!$D42+H$134*Mat_Sum!$I42+H$135*Mat_Sum!$AG42+H$136*Mat_Sum!$AK42+H$137*Mat_Sum!$AD42+H$138*Mat_Sum!$U42+H$139*Mat_Sum!$BB42+H$140*Mat_Sum!$AR42+H$141*Mat_Sum!$AV42+(H$46*Battery_Assembly!$E88))*(1+$C$30)</f>
        <v>3.9009428899017307</v>
      </c>
      <c r="I170" s="349">
        <f ca="1">(I$132*Mat_Sum!$F42+I$133*Mat_Sum!$D42+I$134*Mat_Sum!$I42+I$135*Mat_Sum!$AG42+I$136*Mat_Sum!$AK42+I$137*Mat_Sum!$AD42+I$138*Mat_Sum!$U42+I$139*Mat_Sum!$BB42+I$140*Mat_Sum!$AR42+I$141*Mat_Sum!$AV42+(I$46*Battery_Assembly!$E88))*(1+$C$30)</f>
        <v>3.346699688451034</v>
      </c>
      <c r="J170" s="349">
        <f ca="1">((J$132*Mat_Sum!$F42+J$133*Mat_Sum!$D42+J$134*Mat_Sum!$I42+J$135*Mat_Sum!$AG42+J$136*Mat_Sum!$AK42+J$137*Mat_Sum!$AD42+J$138*Mat_Sum!$U42+J$139*Mat_Sum!$BB42+J$140*Mat_Sum!$AR42+J$141*Mat_Sum!$AV42)+(J$46*Battery_Assembly!$E88))*(1+$C$31)</f>
        <v>0.15467258501857103</v>
      </c>
      <c r="K170" s="348">
        <f ca="1">((K$132*Mat_Sum!$F42+K$133*Mat_Sum!$D42+K$134*Mat_Sum!$I42+K$135*Mat_Sum!$AG42+K$136*Mat_Sum!$AK42+K$137*Mat_Sum!$AD42+K$138*Mat_Sum!$U42+K$139*Mat_Sum!$BB42+K$140*Mat_Sum!$AR42+K$141*Mat_Sum!$AV42)+(K$46*Battery_Assembly!$E88))*(1+$C$31)</f>
        <v>0.14563954816871727</v>
      </c>
      <c r="L170" s="1321"/>
    </row>
    <row r="171" spans="1:29">
      <c r="A171" s="492" t="s">
        <v>828</v>
      </c>
      <c r="B171" s="499"/>
      <c r="C171" s="499"/>
      <c r="D171" s="505">
        <f ca="1">(D$132*Mat_Sum!$F43+D$133*Mat_Sum!$D43+D$134*Mat_Sum!$I43+D$135*Mat_Sum!$AG43+D$136*Mat_Sum!$AK43+D$137*Mat_Sum!$AD43+D$138*Mat_Sum!$U43+D$139*Mat_Sum!$BB43+D$140*Mat_Sum!$AR43+D$141*Mat_Sum!$AV43+(D$46*Battery_Assembly!$E89))*(1+$C$28)</f>
        <v>0.72642351741833122</v>
      </c>
      <c r="E171" s="505">
        <f ca="1">(E$132*Mat_Sum!$F43+E$133*Mat_Sum!$D43+E$134*Mat_Sum!$I43+E$135*Mat_Sum!$AG43+E$136*Mat_Sum!$AK43+E$137*Mat_Sum!$AD43+E$138*Mat_Sum!$U43+E$139*Mat_Sum!$BB43+E$140*Mat_Sum!$AR43+E$141*Mat_Sum!$AV43+(E$46*Battery_Assembly!$E89))*(1+$C$28)</f>
        <v>0.50159973828815263</v>
      </c>
      <c r="F171" s="505">
        <f ca="1">(F$132*Mat_Sum!$F43+F$133*Mat_Sum!$D43+F$134*Mat_Sum!$I43+F$135*Mat_Sum!$AG43+F$136*Mat_Sum!$AK43+F$137*Mat_Sum!$AD43+F$138*Mat_Sum!$U43+F$139*Mat_Sum!$BB43+F$140*Mat_Sum!$AR43+F$141*Mat_Sum!$AV43+(F$46*Battery_Assembly!$E89))*(1+$C$29)</f>
        <v>2.2643545548299482</v>
      </c>
      <c r="G171" s="505">
        <f ca="1">(G$132*Mat_Sum!$F43+G$133*Mat_Sum!$D43+G$134*Mat_Sum!$I43+G$135*Mat_Sum!$AG43+G$136*Mat_Sum!$AK43+G$137*Mat_Sum!$AD43+G$138*Mat_Sum!$U43+G$139*Mat_Sum!$BB43+G$140*Mat_Sum!$AR43+G$141*Mat_Sum!$AV43+(G$46*Battery_Assembly!$E89))*(1+$C$29)</f>
        <v>1.801100766702687</v>
      </c>
      <c r="H171" s="505">
        <f ca="1">(H$132*Mat_Sum!$F43+H$133*Mat_Sum!$D43+H$134*Mat_Sum!$I43+H$135*Mat_Sum!$AG43+H$136*Mat_Sum!$AK43+H$137*Mat_Sum!$AD43+H$138*Mat_Sum!$U43+H$139*Mat_Sum!$BB43+H$140*Mat_Sum!$AR43+H$141*Mat_Sum!$AV43+(H$46*Battery_Assembly!$E89))*(1+$C$30)</f>
        <v>16.79413282016786</v>
      </c>
      <c r="I171" s="505">
        <f ca="1">(I$132*Mat_Sum!$F43+I$133*Mat_Sum!$D43+I$134*Mat_Sum!$I43+I$135*Mat_Sum!$AG43+I$136*Mat_Sum!$AK43+I$137*Mat_Sum!$AD43+I$138*Mat_Sum!$U43+I$139*Mat_Sum!$BB43+I$140*Mat_Sum!$AR43+I$141*Mat_Sum!$AV43+(I$46*Battery_Assembly!$E89))*(1+$C$30)</f>
        <v>14.408034329996795</v>
      </c>
      <c r="J171" s="505">
        <f ca="1">((J$132*Mat_Sum!$F43+J$133*Mat_Sum!$D43+J$134*Mat_Sum!$I43+J$135*Mat_Sum!$AG43+J$136*Mat_Sum!$AK43+J$137*Mat_Sum!$AD43+J$138*Mat_Sum!$U43+J$139*Mat_Sum!$BB43+J$140*Mat_Sum!$AR43+J$141*Mat_Sum!$AV43)+(J$46*Battery_Assembly!$E89))*(1+$C$31)</f>
        <v>0.66588822491221422</v>
      </c>
      <c r="K171" s="502">
        <f ca="1">((K$132*Mat_Sum!$F43+K$133*Mat_Sum!$D43+K$134*Mat_Sum!$I43+K$135*Mat_Sum!$AG43+K$136*Mat_Sum!$AK43+K$137*Mat_Sum!$AD43+K$138*Mat_Sum!$U43+K$139*Mat_Sum!$BB43+K$140*Mat_Sum!$AR43+K$141*Mat_Sum!$AV43)+(K$46*Battery_Assembly!$E89))*(1+$C$31)</f>
        <v>0.62699967286019076</v>
      </c>
      <c r="L171" s="1321"/>
    </row>
    <row r="172" spans="1:29">
      <c r="A172" s="3"/>
    </row>
    <row r="173" spans="1:29">
      <c r="A173" s="3" t="s">
        <v>1523</v>
      </c>
      <c r="B173" s="92"/>
      <c r="C173" s="92"/>
      <c r="D173" s="92"/>
      <c r="E173" s="92"/>
      <c r="L173" s="1321"/>
      <c r="M173" s="1321"/>
      <c r="N173" s="1321"/>
      <c r="O173" s="1321"/>
      <c r="P173" s="1321"/>
      <c r="Q173" s="1321"/>
      <c r="R173" s="1321"/>
      <c r="S173" s="1321"/>
      <c r="T173" s="1321"/>
      <c r="V173" s="1321"/>
      <c r="W173" s="1321"/>
      <c r="X173" s="1321"/>
      <c r="Y173" s="1321"/>
      <c r="Z173" s="1321"/>
      <c r="AA173" s="1321"/>
      <c r="AB173" s="1321"/>
      <c r="AC173" s="1321"/>
    </row>
    <row r="174" spans="1:29" ht="51">
      <c r="A174" s="481"/>
      <c r="B174" s="742" t="s">
        <v>141</v>
      </c>
      <c r="C174" s="742" t="s">
        <v>142</v>
      </c>
      <c r="D174" s="742" t="s">
        <v>143</v>
      </c>
      <c r="E174" s="742" t="s">
        <v>144</v>
      </c>
      <c r="F174" s="670" t="s">
        <v>145</v>
      </c>
      <c r="G174" s="670" t="s">
        <v>146</v>
      </c>
      <c r="H174" s="670" t="s">
        <v>147</v>
      </c>
      <c r="I174" s="670" t="s">
        <v>148</v>
      </c>
      <c r="J174" s="742" t="s">
        <v>149</v>
      </c>
      <c r="K174" s="873" t="s">
        <v>150</v>
      </c>
      <c r="L174" s="1321"/>
      <c r="M174" s="1321"/>
      <c r="N174" s="1321"/>
      <c r="O174" s="1321"/>
      <c r="P174" s="1321"/>
      <c r="Q174" s="1321"/>
      <c r="R174" s="1321"/>
      <c r="S174" s="1321"/>
      <c r="T174" s="1321"/>
      <c r="V174" s="1321"/>
      <c r="W174" s="1321"/>
      <c r="X174" s="1321"/>
      <c r="Y174" s="1321"/>
      <c r="Z174" s="1321"/>
      <c r="AA174" s="1321"/>
      <c r="AB174" s="1321"/>
      <c r="AC174" s="1321"/>
    </row>
    <row r="175" spans="1:29">
      <c r="A175" s="482" t="s">
        <v>1519</v>
      </c>
      <c r="B175" s="447"/>
      <c r="C175" s="447"/>
      <c r="D175" s="447"/>
      <c r="E175" s="447"/>
      <c r="F175" s="447"/>
      <c r="G175" s="447"/>
      <c r="H175" s="447"/>
      <c r="I175" s="447"/>
      <c r="J175" s="447"/>
      <c r="K175" s="52"/>
      <c r="L175" s="1321"/>
      <c r="M175" s="1321"/>
      <c r="N175" s="1321"/>
      <c r="O175" s="1321"/>
      <c r="P175" s="1321"/>
      <c r="Q175" s="1321"/>
      <c r="R175" s="1321"/>
      <c r="S175" s="1321"/>
      <c r="T175" s="1321"/>
      <c r="V175" s="1321"/>
      <c r="W175" s="1321"/>
      <c r="X175" s="1321"/>
      <c r="Y175" s="1321"/>
      <c r="Z175" s="1321"/>
      <c r="AA175" s="1321"/>
      <c r="AB175" s="1321"/>
      <c r="AC175" s="1321"/>
    </row>
    <row r="176" spans="1:29">
      <c r="A176" s="488" t="s">
        <v>309</v>
      </c>
      <c r="B176" s="449"/>
      <c r="C176" s="449"/>
      <c r="D176" s="448">
        <f t="shared" ref="D176:K185" si="10">D70*D$47</f>
        <v>7.10966597221356</v>
      </c>
      <c r="E176" s="448">
        <f t="shared" si="10"/>
        <v>4.909266434066736</v>
      </c>
      <c r="F176" s="448">
        <f t="shared" si="10"/>
        <v>31.787647443010403</v>
      </c>
      <c r="G176" s="448">
        <f t="shared" si="10"/>
        <v>25.284360198432083</v>
      </c>
      <c r="H176" s="448">
        <f t="shared" si="10"/>
        <v>291.10682369385847</v>
      </c>
      <c r="I176" s="448">
        <f t="shared" si="10"/>
        <v>249.746572472059</v>
      </c>
      <c r="J176" s="448">
        <f t="shared" si="10"/>
        <v>6.5171938138529644</v>
      </c>
      <c r="K176" s="877">
        <f t="shared" si="10"/>
        <v>6.1365830425834194</v>
      </c>
      <c r="L176" s="1321"/>
      <c r="M176" s="1321"/>
      <c r="N176" s="1321"/>
      <c r="O176" s="1321"/>
      <c r="P176" s="1321"/>
      <c r="Q176" s="1321"/>
      <c r="R176" s="1321"/>
      <c r="S176" s="1321"/>
      <c r="T176" s="1321"/>
      <c r="V176" s="1321"/>
      <c r="W176" s="1321"/>
      <c r="X176" s="1321"/>
      <c r="Y176" s="1321"/>
      <c r="Z176" s="1321"/>
      <c r="AA176" s="1321"/>
      <c r="AB176" s="1321"/>
      <c r="AC176" s="1321"/>
    </row>
    <row r="177" spans="1:29">
      <c r="A177" s="100" t="s">
        <v>310</v>
      </c>
      <c r="B177" s="449"/>
      <c r="C177" s="449"/>
      <c r="D177" s="448">
        <f t="shared" si="10"/>
        <v>3.7880370813904558</v>
      </c>
      <c r="E177" s="448">
        <f t="shared" si="10"/>
        <v>2.6156620251007885</v>
      </c>
      <c r="F177" s="448">
        <f t="shared" si="10"/>
        <v>16.827402916219487</v>
      </c>
      <c r="G177" s="448">
        <f t="shared" si="10"/>
        <v>13.384762659792052</v>
      </c>
      <c r="H177" s="448">
        <f t="shared" si="10"/>
        <v>153.83742906045535</v>
      </c>
      <c r="I177" s="448">
        <f t="shared" si="10"/>
        <v>131.98031615420635</v>
      </c>
      <c r="J177" s="448">
        <f t="shared" si="10"/>
        <v>3.4723673277996805</v>
      </c>
      <c r="K177" s="877">
        <f t="shared" si="10"/>
        <v>3.2695775313759858</v>
      </c>
      <c r="L177" s="1321"/>
      <c r="M177" s="1321"/>
      <c r="N177" s="1321"/>
      <c r="O177" s="1321"/>
      <c r="P177" s="1321"/>
      <c r="Q177" s="1321"/>
      <c r="R177" s="1321"/>
      <c r="S177" s="1321"/>
      <c r="T177" s="1321"/>
      <c r="V177" s="1321"/>
      <c r="W177" s="1321"/>
      <c r="X177" s="1321"/>
      <c r="Y177" s="1321"/>
      <c r="Z177" s="1321"/>
      <c r="AA177" s="1321"/>
      <c r="AB177" s="1321"/>
      <c r="AC177" s="1321"/>
    </row>
    <row r="178" spans="1:29">
      <c r="A178" s="488" t="s">
        <v>273</v>
      </c>
      <c r="B178" s="449"/>
      <c r="C178" s="449"/>
      <c r="D178" s="448">
        <f t="shared" si="10"/>
        <v>0</v>
      </c>
      <c r="E178" s="448">
        <f t="shared" si="10"/>
        <v>0</v>
      </c>
      <c r="F178" s="448">
        <f t="shared" si="10"/>
        <v>0</v>
      </c>
      <c r="G178" s="448">
        <f t="shared" si="10"/>
        <v>0</v>
      </c>
      <c r="H178" s="448">
        <f t="shared" si="10"/>
        <v>0</v>
      </c>
      <c r="I178" s="448">
        <f t="shared" si="10"/>
        <v>0</v>
      </c>
      <c r="J178" s="448">
        <f t="shared" si="10"/>
        <v>0</v>
      </c>
      <c r="K178" s="877">
        <f t="shared" si="10"/>
        <v>0</v>
      </c>
      <c r="L178" s="1321"/>
      <c r="M178" s="1321"/>
      <c r="N178" s="1321"/>
      <c r="O178" s="1321"/>
      <c r="P178" s="1321"/>
      <c r="Q178" s="1321"/>
      <c r="R178" s="1321"/>
      <c r="S178" s="1321"/>
      <c r="T178" s="1321"/>
      <c r="V178" s="1321"/>
      <c r="W178" s="1321"/>
      <c r="X178" s="1321"/>
      <c r="Y178" s="1321"/>
      <c r="Z178" s="1321"/>
      <c r="AA178" s="1321"/>
      <c r="AB178" s="1321"/>
      <c r="AC178" s="1321"/>
    </row>
    <row r="179" spans="1:29">
      <c r="A179" s="100" t="s">
        <v>311</v>
      </c>
      <c r="B179" s="449"/>
      <c r="C179" s="449"/>
      <c r="D179" s="448">
        <f t="shared" si="10"/>
        <v>0.33969272741942874</v>
      </c>
      <c r="E179" s="448">
        <f t="shared" si="10"/>
        <v>0.23455983883551848</v>
      </c>
      <c r="F179" s="448">
        <f t="shared" si="10"/>
        <v>1.5130405635442699</v>
      </c>
      <c r="G179" s="448">
        <f t="shared" si="10"/>
        <v>1.2034946175893846</v>
      </c>
      <c r="H179" s="448">
        <f t="shared" si="10"/>
        <v>13.842236207665628</v>
      </c>
      <c r="I179" s="448">
        <f t="shared" si="10"/>
        <v>11.875541096380205</v>
      </c>
      <c r="J179" s="448">
        <f t="shared" si="10"/>
        <v>0.31138500042069811</v>
      </c>
      <c r="K179" s="877">
        <f t="shared" si="10"/>
        <v>0.29319979854439809</v>
      </c>
      <c r="L179" s="1321"/>
      <c r="M179" s="1321"/>
      <c r="N179" s="1321"/>
      <c r="O179" s="1321"/>
      <c r="P179" s="1321"/>
      <c r="Q179" s="1321"/>
      <c r="R179" s="1321"/>
      <c r="S179" s="1321"/>
      <c r="T179" s="1321"/>
      <c r="V179" s="1321"/>
      <c r="W179" s="1321"/>
      <c r="X179" s="1321"/>
      <c r="Y179" s="1321"/>
      <c r="Z179" s="1321"/>
      <c r="AA179" s="1321"/>
      <c r="AB179" s="1321"/>
      <c r="AC179" s="1321"/>
    </row>
    <row r="180" spans="1:29">
      <c r="A180" s="100" t="s">
        <v>275</v>
      </c>
      <c r="B180" s="449"/>
      <c r="C180" s="449"/>
      <c r="D180" s="448">
        <f t="shared" si="10"/>
        <v>6.5721794810354535</v>
      </c>
      <c r="E180" s="448">
        <f t="shared" si="10"/>
        <v>4.5381288306662979</v>
      </c>
      <c r="F180" s="448">
        <f t="shared" si="10"/>
        <v>14.232054706035976</v>
      </c>
      <c r="G180" s="448">
        <f t="shared" si="10"/>
        <v>11.320384693341909</v>
      </c>
      <c r="H180" s="448">
        <f t="shared" si="10"/>
        <v>54.995938496147922</v>
      </c>
      <c r="I180" s="448">
        <f t="shared" si="10"/>
        <v>47.182154526688535</v>
      </c>
      <c r="J180" s="448">
        <f t="shared" si="10"/>
        <v>6.0244978631534867</v>
      </c>
      <c r="K180" s="877">
        <f t="shared" si="10"/>
        <v>5.6726610383328717</v>
      </c>
      <c r="L180" s="1321"/>
      <c r="M180" s="1321"/>
      <c r="N180" s="1321"/>
      <c r="O180" s="1321"/>
      <c r="P180" s="1321"/>
      <c r="Q180" s="1321"/>
      <c r="R180" s="1321"/>
      <c r="S180" s="1321"/>
      <c r="T180" s="1321"/>
      <c r="V180" s="1321"/>
      <c r="W180" s="1321"/>
      <c r="X180" s="1321"/>
      <c r="Y180" s="1321"/>
      <c r="Z180" s="1321"/>
      <c r="AA180" s="1321"/>
      <c r="AB180" s="1321"/>
      <c r="AC180" s="1321"/>
    </row>
    <row r="181" spans="1:29">
      <c r="A181" s="100" t="s">
        <v>252</v>
      </c>
      <c r="B181" s="449"/>
      <c r="C181" s="449"/>
      <c r="D181" s="448">
        <f t="shared" si="10"/>
        <v>6.7902868239162357</v>
      </c>
      <c r="E181" s="448">
        <f t="shared" si="10"/>
        <v>4.6887332418457914</v>
      </c>
      <c r="F181" s="448">
        <f t="shared" si="10"/>
        <v>18.646807949205723</v>
      </c>
      <c r="G181" s="448">
        <f t="shared" si="10"/>
        <v>14.831944062043931</v>
      </c>
      <c r="H181" s="448">
        <f t="shared" si="10"/>
        <v>131.61383027300786</v>
      </c>
      <c r="I181" s="448">
        <f t="shared" si="10"/>
        <v>112.91423053404878</v>
      </c>
      <c r="J181" s="448">
        <f t="shared" si="10"/>
        <v>6.224429594311311</v>
      </c>
      <c r="K181" s="877">
        <f t="shared" si="10"/>
        <v>5.8609165523072395</v>
      </c>
      <c r="L181" s="1321"/>
      <c r="M181" s="1321"/>
      <c r="N181" s="1321"/>
      <c r="O181" s="1321"/>
      <c r="P181" s="1321"/>
      <c r="Q181" s="1321"/>
      <c r="R181" s="1321"/>
      <c r="S181" s="1321"/>
      <c r="T181" s="1321"/>
      <c r="V181" s="1321"/>
      <c r="W181" s="1321"/>
      <c r="X181" s="1321"/>
      <c r="Y181" s="1321"/>
      <c r="Z181" s="1321"/>
      <c r="AA181" s="1321"/>
      <c r="AB181" s="1321"/>
      <c r="AC181" s="1321"/>
    </row>
    <row r="182" spans="1:29">
      <c r="A182" s="100" t="s">
        <v>253</v>
      </c>
      <c r="B182" s="449"/>
      <c r="C182" s="449"/>
      <c r="D182" s="448">
        <f t="shared" si="10"/>
        <v>0</v>
      </c>
      <c r="E182" s="448">
        <f t="shared" si="10"/>
        <v>0</v>
      </c>
      <c r="F182" s="448">
        <f t="shared" si="10"/>
        <v>0</v>
      </c>
      <c r="G182" s="448">
        <f t="shared" si="10"/>
        <v>0</v>
      </c>
      <c r="H182" s="448">
        <f t="shared" si="10"/>
        <v>0</v>
      </c>
      <c r="I182" s="448">
        <f t="shared" si="10"/>
        <v>0</v>
      </c>
      <c r="J182" s="448">
        <f t="shared" si="10"/>
        <v>0</v>
      </c>
      <c r="K182" s="877">
        <f t="shared" si="10"/>
        <v>0</v>
      </c>
      <c r="L182" s="1321"/>
      <c r="M182" s="1321"/>
      <c r="N182" s="1321"/>
      <c r="O182" s="1321"/>
      <c r="P182" s="1321"/>
      <c r="Q182" s="1321"/>
      <c r="R182" s="1321"/>
      <c r="S182" s="1321"/>
      <c r="T182" s="1321"/>
      <c r="V182" s="1321"/>
      <c r="W182" s="1321"/>
      <c r="X182" s="1321"/>
      <c r="Y182" s="1321"/>
      <c r="Z182" s="1321"/>
      <c r="AA182" s="1321"/>
      <c r="AB182" s="1321"/>
      <c r="AC182" s="1321"/>
    </row>
    <row r="183" spans="1:29" ht="15.75">
      <c r="A183" s="100" t="s">
        <v>1516</v>
      </c>
      <c r="B183" s="449"/>
      <c r="C183" s="449"/>
      <c r="D183" s="448">
        <f t="shared" si="10"/>
        <v>0.52166064539939239</v>
      </c>
      <c r="E183" s="448">
        <f t="shared" si="10"/>
        <v>0.36020976322119402</v>
      </c>
      <c r="F183" s="448">
        <f t="shared" si="10"/>
        <v>1.9483906029069711</v>
      </c>
      <c r="G183" s="448">
        <f t="shared" si="10"/>
        <v>1.5497784131229388</v>
      </c>
      <c r="H183" s="448">
        <f t="shared" si="10"/>
        <v>10.562174388340653</v>
      </c>
      <c r="I183" s="448">
        <f t="shared" si="10"/>
        <v>9.0615081359767391</v>
      </c>
      <c r="J183" s="448">
        <f t="shared" si="10"/>
        <v>0.47818892538898911</v>
      </c>
      <c r="K183" s="877">
        <f t="shared" si="10"/>
        <v>0.45026220402649253</v>
      </c>
      <c r="L183" s="1321"/>
      <c r="M183" s="1321"/>
      <c r="N183" s="1321"/>
      <c r="O183" s="1321"/>
      <c r="P183" s="1321"/>
      <c r="Q183" s="1321"/>
      <c r="R183" s="1321"/>
      <c r="S183" s="1321"/>
      <c r="T183" s="1321"/>
      <c r="V183" s="1321"/>
      <c r="W183" s="1321"/>
      <c r="X183" s="1321"/>
      <c r="Y183" s="1321"/>
      <c r="Z183" s="1321"/>
      <c r="AA183" s="1321"/>
      <c r="AB183" s="1321"/>
      <c r="AC183" s="1321"/>
    </row>
    <row r="184" spans="1:29">
      <c r="A184" s="100" t="s">
        <v>313</v>
      </c>
      <c r="B184" s="449"/>
      <c r="C184" s="449"/>
      <c r="D184" s="448">
        <f t="shared" si="10"/>
        <v>1.4562883257512329</v>
      </c>
      <c r="E184" s="448">
        <f t="shared" si="10"/>
        <v>1.0055757083209169</v>
      </c>
      <c r="F184" s="448">
        <f t="shared" si="10"/>
        <v>5.4392036547906581</v>
      </c>
      <c r="G184" s="448">
        <f t="shared" si="10"/>
        <v>4.3264222257062679</v>
      </c>
      <c r="H184" s="448">
        <f t="shared" si="10"/>
        <v>29.48578044355401</v>
      </c>
      <c r="I184" s="448">
        <f t="shared" si="10"/>
        <v>25.296461652804055</v>
      </c>
      <c r="J184" s="448">
        <f t="shared" si="10"/>
        <v>1.3349309664990177</v>
      </c>
      <c r="K184" s="877">
        <f t="shared" si="10"/>
        <v>1.2569696354011461</v>
      </c>
      <c r="L184" s="1321"/>
      <c r="M184" s="1321"/>
      <c r="N184" s="1321"/>
      <c r="O184" s="1321"/>
      <c r="P184" s="1321"/>
      <c r="Q184" s="1321"/>
      <c r="R184" s="1321"/>
      <c r="S184" s="1321"/>
      <c r="T184" s="1321"/>
      <c r="V184" s="1321"/>
      <c r="W184" s="1321"/>
      <c r="X184" s="1321"/>
      <c r="Y184" s="1321"/>
      <c r="Z184" s="1321"/>
      <c r="AA184" s="1321"/>
      <c r="AB184" s="1321"/>
      <c r="AC184" s="1321"/>
    </row>
    <row r="185" spans="1:29">
      <c r="A185" s="100" t="s">
        <v>314</v>
      </c>
      <c r="B185" s="449"/>
      <c r="C185" s="449"/>
      <c r="D185" s="425">
        <f t="shared" si="10"/>
        <v>1.4562883257512329</v>
      </c>
      <c r="E185" s="425">
        <f t="shared" si="10"/>
        <v>1.0055757083209169</v>
      </c>
      <c r="F185" s="425">
        <f t="shared" si="10"/>
        <v>5.4392036547906581</v>
      </c>
      <c r="G185" s="425">
        <f t="shared" si="10"/>
        <v>4.3264222257062679</v>
      </c>
      <c r="H185" s="425">
        <f t="shared" si="10"/>
        <v>29.48578044355401</v>
      </c>
      <c r="I185" s="425">
        <f t="shared" si="10"/>
        <v>25.296461652804055</v>
      </c>
      <c r="J185" s="425">
        <f t="shared" si="10"/>
        <v>1.3349309664990177</v>
      </c>
      <c r="K185" s="764">
        <f t="shared" si="10"/>
        <v>1.2569696354011461</v>
      </c>
      <c r="L185" s="1321"/>
      <c r="M185" s="1321"/>
      <c r="N185" s="1321"/>
      <c r="O185" s="1321"/>
      <c r="P185" s="1321"/>
      <c r="Q185" s="1321"/>
      <c r="R185" s="1321"/>
      <c r="S185" s="1321"/>
      <c r="T185" s="1321"/>
      <c r="V185" s="1321"/>
      <c r="W185" s="1321"/>
      <c r="X185" s="1321"/>
      <c r="Y185" s="1321"/>
      <c r="Z185" s="1321"/>
      <c r="AA185" s="1321"/>
      <c r="AB185" s="1321"/>
      <c r="AC185" s="1321"/>
    </row>
    <row r="186" spans="1:29">
      <c r="A186" s="100" t="s">
        <v>297</v>
      </c>
      <c r="B186" s="449"/>
      <c r="C186" s="449"/>
      <c r="D186" s="425">
        <f t="shared" ref="D186:K192" si="11">D80*D$47</f>
        <v>0.62419859859622939</v>
      </c>
      <c r="E186" s="425">
        <f t="shared" si="11"/>
        <v>0.43101282679893499</v>
      </c>
      <c r="F186" s="425">
        <f t="shared" si="11"/>
        <v>1.3245642944028102</v>
      </c>
      <c r="G186" s="425">
        <f t="shared" si="11"/>
        <v>1.0535778335186858</v>
      </c>
      <c r="H186" s="425">
        <f t="shared" si="11"/>
        <v>5.0317388524554092</v>
      </c>
      <c r="I186" s="425">
        <f t="shared" si="11"/>
        <v>4.3168329619672257</v>
      </c>
      <c r="J186" s="425">
        <f t="shared" si="11"/>
        <v>0.57218204923915394</v>
      </c>
      <c r="K186" s="764">
        <f t="shared" si="11"/>
        <v>0.53876603349866869</v>
      </c>
      <c r="L186" s="1321"/>
      <c r="M186" s="1321"/>
      <c r="N186" s="1321"/>
      <c r="O186" s="1321"/>
      <c r="P186" s="1321"/>
      <c r="Q186" s="1321"/>
      <c r="R186" s="1321"/>
      <c r="S186" s="1321"/>
      <c r="T186" s="1321"/>
      <c r="V186" s="1321"/>
      <c r="W186" s="1321"/>
      <c r="X186" s="1321"/>
      <c r="Y186" s="1321"/>
      <c r="Z186" s="1321"/>
      <c r="AA186" s="1321"/>
      <c r="AB186" s="1321"/>
      <c r="AC186" s="1321"/>
    </row>
    <row r="187" spans="1:29">
      <c r="A187" s="100" t="s">
        <v>315</v>
      </c>
      <c r="B187" s="449"/>
      <c r="C187" s="449"/>
      <c r="D187" s="425">
        <f t="shared" si="11"/>
        <v>0.16676905938943531</v>
      </c>
      <c r="E187" s="425">
        <f t="shared" si="11"/>
        <v>0.11515502257084718</v>
      </c>
      <c r="F187" s="425">
        <f t="shared" si="11"/>
        <v>0.35259793317479809</v>
      </c>
      <c r="G187" s="425">
        <f t="shared" si="11"/>
        <v>0.28046155864782607</v>
      </c>
      <c r="H187" s="425">
        <f t="shared" si="11"/>
        <v>1.4054060066806979</v>
      </c>
      <c r="I187" s="425">
        <f t="shared" si="11"/>
        <v>1.2057269171720655</v>
      </c>
      <c r="J187" s="425">
        <f t="shared" si="11"/>
        <v>0.152871637914167</v>
      </c>
      <c r="K187" s="764">
        <f t="shared" si="11"/>
        <v>0.14394377821355897</v>
      </c>
      <c r="L187" s="1321"/>
      <c r="M187" s="1321"/>
      <c r="N187" s="1321"/>
      <c r="O187" s="1321"/>
      <c r="P187" s="1321"/>
      <c r="Q187" s="1321"/>
      <c r="R187" s="1321"/>
      <c r="S187" s="1321"/>
      <c r="T187" s="1321"/>
      <c r="V187" s="1321"/>
      <c r="W187" s="1321"/>
      <c r="X187" s="1321"/>
      <c r="Y187" s="1321"/>
      <c r="Z187" s="1321"/>
      <c r="AA187" s="1321"/>
      <c r="AB187" s="1321"/>
      <c r="AC187" s="1321"/>
    </row>
    <row r="188" spans="1:29">
      <c r="A188" s="100" t="s">
        <v>316</v>
      </c>
      <c r="B188" s="449"/>
      <c r="C188" s="449"/>
      <c r="D188" s="425">
        <f t="shared" si="11"/>
        <v>9.1592604381648762E-2</v>
      </c>
      <c r="E188" s="425">
        <f t="shared" si="11"/>
        <v>6.3245235438196684E-2</v>
      </c>
      <c r="F188" s="425">
        <f t="shared" si="11"/>
        <v>0.24512698243655834</v>
      </c>
      <c r="G188" s="425">
        <f t="shared" si="11"/>
        <v>0.19497759088313693</v>
      </c>
      <c r="H188" s="425">
        <f t="shared" si="11"/>
        <v>1.4347153859242456</v>
      </c>
      <c r="I188" s="425">
        <f t="shared" si="11"/>
        <v>1.2308720405823559</v>
      </c>
      <c r="J188" s="425">
        <f t="shared" si="11"/>
        <v>8.3959887427019736E-2</v>
      </c>
      <c r="K188" s="764">
        <f t="shared" si="11"/>
        <v>7.9056544297745848E-2</v>
      </c>
      <c r="L188" s="1321"/>
      <c r="M188" s="1321"/>
      <c r="N188" s="1321"/>
      <c r="O188" s="1321"/>
      <c r="P188" s="1321"/>
      <c r="Q188" s="1321"/>
      <c r="R188" s="1321"/>
      <c r="S188" s="1321"/>
      <c r="T188" s="1321"/>
      <c r="V188" s="1321"/>
      <c r="W188" s="1321"/>
      <c r="X188" s="1321"/>
      <c r="Y188" s="1321"/>
      <c r="Z188" s="1321"/>
      <c r="AA188" s="1321"/>
      <c r="AB188" s="1321"/>
      <c r="AC188" s="1321"/>
    </row>
    <row r="189" spans="1:29">
      <c r="A189" s="100" t="s">
        <v>251</v>
      </c>
      <c r="B189" s="449"/>
      <c r="C189" s="449"/>
      <c r="D189" s="425">
        <f t="shared" si="11"/>
        <v>0.87936489100431836</v>
      </c>
      <c r="E189" s="425">
        <f t="shared" si="11"/>
        <v>0.60720666196926343</v>
      </c>
      <c r="F189" s="425">
        <f t="shared" si="11"/>
        <v>2.2889520722961776</v>
      </c>
      <c r="G189" s="425">
        <f t="shared" si="11"/>
        <v>1.8206659922425252</v>
      </c>
      <c r="H189" s="425">
        <f t="shared" si="11"/>
        <v>4.6002385863824342</v>
      </c>
      <c r="I189" s="425">
        <f t="shared" si="11"/>
        <v>3.9466399479214997</v>
      </c>
      <c r="J189" s="425">
        <f t="shared" si="11"/>
        <v>0.8060844841615693</v>
      </c>
      <c r="K189" s="764">
        <f t="shared" si="11"/>
        <v>0.7590083274615792</v>
      </c>
      <c r="L189" s="1321"/>
      <c r="M189" s="1321"/>
      <c r="N189" s="1321"/>
      <c r="O189" s="1321"/>
      <c r="P189" s="1321"/>
      <c r="Q189" s="1321"/>
      <c r="R189" s="1321"/>
      <c r="S189" s="1321"/>
      <c r="T189" s="1321"/>
      <c r="V189" s="1321"/>
      <c r="W189" s="1321"/>
      <c r="X189" s="1321"/>
      <c r="Y189" s="1321"/>
      <c r="Z189" s="1321"/>
      <c r="AA189" s="1321"/>
      <c r="AB189" s="1321"/>
      <c r="AC189" s="1321"/>
    </row>
    <row r="190" spans="1:29">
      <c r="A190" s="100" t="s">
        <v>317</v>
      </c>
      <c r="B190" s="449"/>
      <c r="C190" s="449"/>
      <c r="D190" s="425">
        <f t="shared" si="11"/>
        <v>0.31293961944993021</v>
      </c>
      <c r="E190" s="425">
        <f t="shared" si="11"/>
        <v>0.21608665943793126</v>
      </c>
      <c r="F190" s="425">
        <f t="shared" si="11"/>
        <v>0.67041350168829528</v>
      </c>
      <c r="G190" s="425">
        <f t="shared" si="11"/>
        <v>0.53325671517431728</v>
      </c>
      <c r="H190" s="425">
        <f t="shared" si="11"/>
        <v>2.5523002726660158</v>
      </c>
      <c r="I190" s="425">
        <f t="shared" si="11"/>
        <v>2.1896712585761589</v>
      </c>
      <c r="J190" s="425">
        <f t="shared" si="11"/>
        <v>0.28686131809278254</v>
      </c>
      <c r="K190" s="764">
        <f t="shared" si="11"/>
        <v>0.2701083242974141</v>
      </c>
      <c r="L190" s="1321"/>
      <c r="M190" s="1321"/>
      <c r="N190" s="1321"/>
      <c r="O190" s="1321"/>
      <c r="P190" s="1321"/>
      <c r="Q190" s="1321"/>
      <c r="R190" s="1321"/>
      <c r="S190" s="1321"/>
      <c r="T190" s="1321"/>
      <c r="V190" s="1321"/>
      <c r="W190" s="1321"/>
      <c r="X190" s="1321"/>
      <c r="Y190" s="1321"/>
      <c r="Z190" s="1321"/>
      <c r="AA190" s="1321"/>
      <c r="AB190" s="1321"/>
      <c r="AC190" s="1321"/>
    </row>
    <row r="191" spans="1:29">
      <c r="A191" s="100" t="s">
        <v>318</v>
      </c>
      <c r="B191" s="449"/>
      <c r="C191" s="449"/>
      <c r="D191" s="425">
        <f t="shared" si="11"/>
        <v>1.4822487814655532</v>
      </c>
      <c r="E191" s="425">
        <f t="shared" si="11"/>
        <v>1.0235015566448022</v>
      </c>
      <c r="F191" s="425">
        <f t="shared" si="11"/>
        <v>4.6851659853537733</v>
      </c>
      <c r="G191" s="425">
        <f t="shared" si="11"/>
        <v>3.7266496231124693</v>
      </c>
      <c r="H191" s="425">
        <f t="shared" si="11"/>
        <v>19.906312247302036</v>
      </c>
      <c r="I191" s="425">
        <f t="shared" si="11"/>
        <v>17.078037509524513</v>
      </c>
      <c r="J191" s="425">
        <f t="shared" si="11"/>
        <v>1.3587280509256854</v>
      </c>
      <c r="K191" s="764">
        <f t="shared" si="11"/>
        <v>1.2793769458060029</v>
      </c>
      <c r="L191" s="1321"/>
      <c r="M191" s="1321"/>
      <c r="N191" s="1321"/>
      <c r="O191" s="1321"/>
      <c r="P191" s="1321"/>
      <c r="Q191" s="1321"/>
      <c r="R191" s="1321"/>
      <c r="S191" s="1321"/>
      <c r="T191" s="1321"/>
      <c r="V191" s="1321"/>
      <c r="W191" s="1321"/>
      <c r="X191" s="1321"/>
      <c r="Y191" s="1321"/>
      <c r="Z191" s="1321"/>
      <c r="AA191" s="1321"/>
      <c r="AB191" s="1321"/>
      <c r="AC191" s="1321"/>
    </row>
    <row r="192" spans="1:29">
      <c r="A192" s="100" t="s">
        <v>319</v>
      </c>
      <c r="B192" s="449"/>
      <c r="C192" s="449"/>
      <c r="D192" s="425">
        <f t="shared" si="11"/>
        <v>5.7331736743949877</v>
      </c>
      <c r="E192" s="425">
        <f t="shared" si="11"/>
        <v>3.9587903553251382</v>
      </c>
      <c r="F192" s="425">
        <f t="shared" si="11"/>
        <v>10.690594743946438</v>
      </c>
      <c r="G192" s="425">
        <f t="shared" si="11"/>
        <v>8.5034555868286574</v>
      </c>
      <c r="H192" s="425">
        <f t="shared" si="11"/>
        <v>12.875348027877916</v>
      </c>
      <c r="I192" s="425">
        <f t="shared" si="11"/>
        <v>11.046027704005461</v>
      </c>
      <c r="J192" s="425">
        <f t="shared" si="11"/>
        <v>5.2554092063594542</v>
      </c>
      <c r="K192" s="764">
        <f t="shared" si="11"/>
        <v>4.9484879441564225</v>
      </c>
      <c r="L192" s="1321"/>
      <c r="M192" s="1321"/>
      <c r="N192" s="1321"/>
      <c r="O192" s="1321"/>
      <c r="P192" s="1321"/>
      <c r="Q192" s="1321"/>
      <c r="R192" s="1321"/>
      <c r="S192" s="1321"/>
      <c r="T192" s="1321"/>
      <c r="V192" s="1321"/>
      <c r="W192" s="1321"/>
      <c r="X192" s="1321"/>
      <c r="Y192" s="1321"/>
      <c r="Z192" s="1321"/>
      <c r="AA192" s="1321"/>
      <c r="AB192" s="1321"/>
      <c r="AC192" s="1321"/>
    </row>
    <row r="193" spans="1:33">
      <c r="A193" s="851" t="s">
        <v>1501</v>
      </c>
      <c r="B193" s="506"/>
      <c r="C193" s="506"/>
      <c r="D193" s="512"/>
      <c r="E193" s="512"/>
      <c r="F193" s="512"/>
      <c r="G193" s="512"/>
      <c r="H193" s="512"/>
      <c r="I193" s="512"/>
      <c r="J193" s="512"/>
      <c r="K193" s="509"/>
      <c r="L193" s="1321"/>
      <c r="M193" s="1321"/>
      <c r="N193" s="1321"/>
      <c r="O193" s="1321"/>
      <c r="P193" s="1321"/>
      <c r="Q193" s="1321"/>
      <c r="R193" s="1321"/>
      <c r="S193" s="1321"/>
      <c r="T193" s="1321"/>
      <c r="V193" s="1321"/>
      <c r="W193" s="1321"/>
      <c r="X193" s="1321"/>
      <c r="Y193" s="1321"/>
      <c r="Z193" s="1321"/>
      <c r="AA193" s="1321"/>
      <c r="AB193" s="1321"/>
      <c r="AC193" s="1321"/>
    </row>
    <row r="194" spans="1:33">
      <c r="A194" s="491" t="s">
        <v>816</v>
      </c>
      <c r="B194" s="496"/>
      <c r="C194" s="496"/>
      <c r="D194" s="349">
        <f ca="1">((D$176*(IF(Vehi_Inputs!$C$102=2,Mat_Sum!$BT15,IF(Vehi_Inputs!$C$102=3,Mat_Sum!$BZ15,IF(Vehi_Inputs!$C$102=4,Mat_Sum!$CA15,Mat_Sum!$BK15)))+Mat_Sum!$CE15*LiMn2O4!$E$9)+D$177*Mat_Sum!$CF15+D$178*Mat_Sum!$CO15+D$179*Mat_Sum!$CG15+D$180*Mat_Sum!$AG15+D$181*Mat_Sum!$I15+D$182*Mat_Sum!$L15+D$183*Mat_Sum!$CI15+D$184*Mat_Sum!$CJ15+D$185*Mat_Sum!$CK15+D$186*Mat_Sum!$AQ15+D$187*Mat_Sum!$AO15+D$188*Mat_Sum!$AP15+D$189*Mat_Sum!$D15+D$190*Mat_Sum!$BE15+D$191*Mat_Sum!$CM15+D$192*Mat_Sum!$CL15)+(Battery_Assembly!$F61*$D$47/2.2046*$C$40/1000))*(1+$D$28)</f>
        <v>3.1933453752466172</v>
      </c>
      <c r="E194" s="349">
        <f ca="1">((E$176*(IF(Vehi_Inputs!$C$102=2,Mat_Sum!$BT15,IF(Vehi_Inputs!$C$102=3,Mat_Sum!$BZ15,IF(Vehi_Inputs!$C$102=4,Mat_Sum!$CA15,Mat_Sum!$BK15)))+Mat_Sum!$CE15*LiMn2O4!$E$9)+E$177*Mat_Sum!$CF15+E$178*Mat_Sum!$CO15+E$179*Mat_Sum!$CG15+E$180*Mat_Sum!$AG15+E$181*Mat_Sum!$I15+E$182*Mat_Sum!$L15+E$183*Mat_Sum!$CI15+E$184*Mat_Sum!$CJ15+E$185*Mat_Sum!$CK15+E$186*Mat_Sum!$AQ15+E$187*Mat_Sum!$AO15+E$188*Mat_Sum!$AP15+E$189*Mat_Sum!$D15+E$190*Mat_Sum!$BE15+E$191*Mat_Sum!$CM15+E$192*Mat_Sum!$CL15)+(Battery_Assembly!$F61*$E$47/2.2046*$C$40/1000))*(1+$D$28)</f>
        <v>2.205023882183808</v>
      </c>
      <c r="F194" s="349">
        <f ca="1">((F$176*(IF(Vehi_Inputs!$C$103=2,Mat_Sum!$BT15,IF(Vehi_Inputs!$C$103=3,Mat_Sum!$BZ15,IF(Vehi_Inputs!$C$103=4,Mat_Sum!$CA15,Mat_Sum!$BK15)))+Mat_Sum!$CE15*LiMn2O4!$E$9)+F$177*Mat_Sum!$CF15+F$178*Mat_Sum!$CO15+F$179*Mat_Sum!$CG15+F$180*Mat_Sum!$AG15+F$181*Mat_Sum!$I15+F$182*Mat_Sum!$L15+F$183*Mat_Sum!$CI15+F$184*Mat_Sum!$CJ15+F$185*Mat_Sum!$CK15+F$186*Mat_Sum!$AQ15+F$187*Mat_Sum!$AO15+F$188*Mat_Sum!$AP15+F$189*Mat_Sum!$D15+F$190*Mat_Sum!$BE15+F$191*Mat_Sum!$CM15+F$192*Mat_Sum!$CL15)+(Battery_Assembly!$F61*$C$20))*(1+$D$29)</f>
        <v>9.9554606211157957</v>
      </c>
      <c r="G194" s="349">
        <f ca="1">((G$176*(IF(Vehi_Inputs!$C$103=2,Mat_Sum!$BT15,IF(Vehi_Inputs!$C$103=3,Mat_Sum!$BZ15,IF(Vehi_Inputs!$C$103=4,Mat_Sum!$CA15,Mat_Sum!$BK15)))+Mat_Sum!$CE15*LiMn2O4!$E$9)+G$177*Mat_Sum!$CF15+G$178*Mat_Sum!$CO15+G$179*Mat_Sum!$CG15+G$180*Mat_Sum!$AG15+G$181*Mat_Sum!$I15+G$182*Mat_Sum!$L15+G$183*Mat_Sum!$CI15+G$184*Mat_Sum!$CJ15+G$185*Mat_Sum!$CK15+G$186*Mat_Sum!$AQ15+G$187*Mat_Sum!$AO15+G$188*Mat_Sum!$AP15+G$189*Mat_Sum!$D15+G$190*Mat_Sum!$BE15+G$191*Mat_Sum!$CM15+G$192*Mat_Sum!$CL15)+(Battery_Assembly!$F61*$C$21))*(1+$D$29)</f>
        <v>7.9187191419837761</v>
      </c>
      <c r="H194" s="349">
        <f ca="1">((H$176*(IF(Vehi_Inputs!$C$104=2,Mat_Sum!$BT15,IF(OR(Vehi_Inputs!$C$104=7,Vehi_Inputs!$C$104=8),Mat_Sum!$BY15,IF(Vehi_Inputs!$C$104=3,Mat_Sum!$BZ15,IF(Vehi_Inputs!$C$104=4,Mat_Sum!$CA15,IF(Vehi_Inputs!$C$104=5,Mat_Sum!$BV15,IF(Vehi_Inputs!$C$104=6,Mat_Sum!$BW15,IF(Vehi_Inputs!$C$104=9,Mat_Sum!$CD15,IF(Vehi_Inputs!$C$104=10,Mat_Sum!$BU15,Mat_Sum!$BK15))))))))+Mat_Sum!$CE15*LiMn2O4!$E$9)+H$177*Mat_Sum!$CF15+H$178*Mat_Sum!$CO15+H$179*Mat_Sum!$CG15+H$180*Mat_Sum!$AG15+H$181*Mat_Sum!$I15+H$182*Mat_Sum!$L15+H$183*Mat_Sum!$CI15+H$184*Mat_Sum!$CJ15+H$185*Mat_Sum!$CK15+H$186*Mat_Sum!$AQ15+H$187*Mat_Sum!$AO15+H$188*Mat_Sum!$AP15+H$189*Mat_Sum!$D15+H$190*Mat_Sum!$BE15+H$191*Mat_Sum!$CM15+H$192*Mat_Sum!$CL15)+(Battery_Assembly!$F61*$C$22))*(1+$D$30)</f>
        <v>71.477998381280443</v>
      </c>
      <c r="I194" s="349">
        <f ca="1">((I$176*(IF(Vehi_Inputs!$C$104=2,Mat_Sum!$BT15,IF(OR(Vehi_Inputs!$C$104=7,Vehi_Inputs!$C$104=8),Mat_Sum!$BY15,IF(Vehi_Inputs!$C$104=3,Mat_Sum!$BZ15,IF(Vehi_Inputs!$C$104=4,Mat_Sum!$CA15,IF(Vehi_Inputs!$C$104=5,Mat_Sum!$BV15,IF(Vehi_Inputs!$C$104=6,Mat_Sum!$BW15,IF(Vehi_Inputs!$C$104=9,Mat_Sum!$CD15,IF(Vehi_Inputs!$C$104=10,Mat_Sum!$BU15,Mat_Sum!$BK15))))))))+Mat_Sum!$CE15*LiMn2O4!$E$9)+I$177*Mat_Sum!$CF15+I$178*Mat_Sum!$CO15+I$179*Mat_Sum!$CG15+I$180*Mat_Sum!$AG15+I$181*Mat_Sum!$I15+I$182*Mat_Sum!$L15+I$183*Mat_Sum!$CI15+I$184*Mat_Sum!$CJ15+I$185*Mat_Sum!$CK15+I$186*Mat_Sum!$AQ15+I$187*Mat_Sum!$AO15+I$188*Mat_Sum!$AP15+I$189*Mat_Sum!$D15+I$190*Mat_Sum!$BE15+I$191*Mat_Sum!$CM15+I$192*Mat_Sum!$CL15)+(Battery_Assembly!$F61*$C$23))*(1+$D$30)</f>
        <v>61.322455023113854</v>
      </c>
      <c r="J194" s="349">
        <f ca="1">((J$176*(IF(Vehi_Inputs!$C$105=2,Mat_Sum!$BT15,IF(Vehi_Inputs!$C$105=3,Mat_Sum!$BZ15,IF(Vehi_Inputs!$C$105=4,Mat_Sum!$CA15,Mat_Sum!$BK15)))+Mat_Sum!$CE15*LiMn2O4!$E$9)+J$177*Mat_Sum!$CF15+J$178*Mat_Sum!$CO15+J$179*Mat_Sum!$CG15+J$180*Mat_Sum!$AG15+J$181*Mat_Sum!$I15+J$182*Mat_Sum!$L15+J$183*Mat_Sum!$CI15+J$184*Mat_Sum!$CJ15+J$185*Mat_Sum!$CK15+J$186*Mat_Sum!$AQ15+J$187*Mat_Sum!$AO15+J$188*Mat_Sum!$AP15+J$189*Mat_Sum!$D15+J$190*Mat_Sum!$BE15+J$191*Mat_Sum!$CM15+J$192*Mat_Sum!$CL15)+(Battery_Assembly!$F61*$J$47/2.2046*$C$41/1000))*(1+$D$31)</f>
        <v>3.1160283522018268</v>
      </c>
      <c r="K194" s="348">
        <f ca="1">((K$176*(IF(Vehi_Inputs!$C$105=2,Mat_Sum!$BT15,IF(Vehi_Inputs!$C$105=3,Mat_Sum!$BZ15,IF(Vehi_Inputs!$C$105=4,Mat_Sum!$CA15,Mat_Sum!$BK15)))+Mat_Sum!$CE15*LiMn2O4!$E$9)+K$177*Mat_Sum!$CF15+K$178*Mat_Sum!$CO15+K$179*Mat_Sum!$CG15+K$180*Mat_Sum!$AG15+K$181*Mat_Sum!$I15+K$182*Mat_Sum!$L15+K$183*Mat_Sum!$CI15+K$184*Mat_Sum!$CJ15+K$185*Mat_Sum!$CK15+K$186*Mat_Sum!$AQ15+K$187*Mat_Sum!$AO15+K$188*Mat_Sum!$AP15+K$189*Mat_Sum!$D15+K$190*Mat_Sum!$BE15+K$191*Mat_Sum!$CM15+K$192*Mat_Sum!$CL15)+(Battery_Assembly!$F61*$K$47/2.2046*$C$41/1000))*(1+$D$31)</f>
        <v>2.9340491156923401</v>
      </c>
      <c r="L194" s="1321"/>
      <c r="M194" s="1321"/>
      <c r="N194" s="1321"/>
      <c r="O194" s="1321"/>
      <c r="P194" s="1321"/>
      <c r="Q194" s="1321"/>
      <c r="R194" s="1321"/>
      <c r="S194" s="1321"/>
      <c r="T194" s="1318"/>
      <c r="V194" s="1321"/>
      <c r="W194" s="1321"/>
      <c r="X194" s="1321"/>
      <c r="Y194" s="1321"/>
      <c r="Z194" s="1321"/>
      <c r="AA194" s="1321"/>
      <c r="AB194" s="1321"/>
      <c r="AC194" s="1321"/>
    </row>
    <row r="195" spans="1:33">
      <c r="A195" s="491" t="s">
        <v>817</v>
      </c>
      <c r="B195" s="496"/>
      <c r="C195" s="496"/>
      <c r="D195" s="349">
        <f ca="1">((D$176*(IF(Vehi_Inputs!$C$102=2,Mat_Sum!$BT16,IF(Vehi_Inputs!$C$102=3,Mat_Sum!$BZ16,IF(Vehi_Inputs!$C$102=4,Mat_Sum!$CA16,Mat_Sum!$BK16)))+Mat_Sum!$CE16*LiMn2O4!$E$9)+D$177*Mat_Sum!$CF16+D$178*Mat_Sum!$CO16+D$179*Mat_Sum!$CG16+D$180*Mat_Sum!$AG16+D$181*Mat_Sum!$I16+D$182*Mat_Sum!$L16+D$183*Mat_Sum!$CI16+D$184*Mat_Sum!$CJ16+D$185*Mat_Sum!$CK16+D$186*Mat_Sum!$AQ16+D$187*Mat_Sum!$AO16+D$188*Mat_Sum!$AP16+D$189*Mat_Sum!$D16+D$190*Mat_Sum!$BE16+D$191*Mat_Sum!$CM16+D$192*Mat_Sum!$CL16)+(Battery_Assembly!$F62*$D$47/2.2046*$C$40/1000))*(1+$D$28)</f>
        <v>2.7688130942628364</v>
      </c>
      <c r="E195" s="349">
        <f ca="1">((E$176*(IF(Vehi_Inputs!$C$102=2,Mat_Sum!$BT16,IF(Vehi_Inputs!$C$102=3,Mat_Sum!$BZ16,IF(Vehi_Inputs!$C$102=4,Mat_Sum!$CA16,Mat_Sum!$BK16)))+Mat_Sum!$CE16*LiMn2O4!$E$9)+E$177*Mat_Sum!$CF16+E$178*Mat_Sum!$CO16+E$179*Mat_Sum!$CG16+E$180*Mat_Sum!$AG16+E$181*Mat_Sum!$I16+E$182*Mat_Sum!$L16+E$183*Mat_Sum!$CI16+E$184*Mat_Sum!$CJ16+E$185*Mat_Sum!$CK16+E$186*Mat_Sum!$AQ16+E$187*Mat_Sum!$AO16+E$188*Mat_Sum!$AP16+E$189*Mat_Sum!$D16+E$190*Mat_Sum!$BE16+E$191*Mat_Sum!$CM16+E$192*Mat_Sum!$CL16)+(Battery_Assembly!$F62*$E$47/2.2046*$C$40/1000))*(1+$D$28)</f>
        <v>1.9118818294689783</v>
      </c>
      <c r="F195" s="349">
        <f ca="1">((F$176*(IF(Vehi_Inputs!$C$103=2,Mat_Sum!$BT16,IF(Vehi_Inputs!$C$103=3,Mat_Sum!$BZ16,IF(Vehi_Inputs!$C$103=4,Mat_Sum!$CA16,Mat_Sum!$BK16)))+Mat_Sum!$CE16*LiMn2O4!$E$9)+F$177*Mat_Sum!$CF16+F$178*Mat_Sum!$CO16+F$179*Mat_Sum!$CG16+F$180*Mat_Sum!$AG16+F$181*Mat_Sum!$I16+F$182*Mat_Sum!$L16+F$183*Mat_Sum!$CI16+F$184*Mat_Sum!$CJ16+F$185*Mat_Sum!$CK16+F$186*Mat_Sum!$AQ16+F$187*Mat_Sum!$AO16+F$188*Mat_Sum!$AP16+F$189*Mat_Sum!$D16+F$190*Mat_Sum!$BE16+F$191*Mat_Sum!$CM16+F$192*Mat_Sum!$CL16)+(Battery_Assembly!$F62*$C$20))*(1+$D$29)</f>
        <v>8.755987045583689</v>
      </c>
      <c r="G195" s="349">
        <f ca="1">((G$176*(IF(Vehi_Inputs!$C$103=2,Mat_Sum!$BT16,IF(Vehi_Inputs!$C$103=3,Mat_Sum!$BZ16,IF(Vehi_Inputs!$C$103=4,Mat_Sum!$CA16,Mat_Sum!$BK16)))+Mat_Sum!$CE16*LiMn2O4!$E$9)+G$177*Mat_Sum!$CF16+G$178*Mat_Sum!$CO16+G$179*Mat_Sum!$CG16+G$180*Mat_Sum!$AG16+G$181*Mat_Sum!$I16+G$182*Mat_Sum!$L16+G$183*Mat_Sum!$CI16+G$184*Mat_Sum!$CJ16+G$185*Mat_Sum!$CK16+G$186*Mat_Sum!$AQ16+G$187*Mat_Sum!$AO16+G$188*Mat_Sum!$AP16+G$189*Mat_Sum!$D16+G$190*Mat_Sum!$BE16+G$191*Mat_Sum!$CM16+G$192*Mat_Sum!$CL16)+(Battery_Assembly!$F62*$C$21))*(1+$D$29)</f>
        <v>6.964640297784074</v>
      </c>
      <c r="H195" s="349">
        <f ca="1">((H$176*(IF(Vehi_Inputs!$C$104=2,Mat_Sum!$BT16,IF(OR(Vehi_Inputs!$C$104=7,Vehi_Inputs!$C$104=8),Mat_Sum!$BY16,IF(Vehi_Inputs!$C$104=3,Mat_Sum!$BZ16,IF(Vehi_Inputs!$C$104=4,Mat_Sum!$CA16,IF(Vehi_Inputs!$C$104=5,Mat_Sum!$BV16,IF(Vehi_Inputs!$C$104=6,Mat_Sum!$BW16,IF(Vehi_Inputs!$C$104=9,Mat_Sum!$CD16,IF(Vehi_Inputs!$C$104=10,Mat_Sum!$BU16,Mat_Sum!$BK16))))))))+Mat_Sum!$CE16*LiMn2O4!$E$9)+H$177*Mat_Sum!$CF16+H$178*Mat_Sum!$CO16+H$179*Mat_Sum!$CG16+H$180*Mat_Sum!$AG16+H$181*Mat_Sum!$I16+H$182*Mat_Sum!$L16+H$183*Mat_Sum!$CI16+H$184*Mat_Sum!$CJ16+H$185*Mat_Sum!$CK16+H$186*Mat_Sum!$AQ16+H$187*Mat_Sum!$AO16+H$188*Mat_Sum!$AP16+H$189*Mat_Sum!$D16+H$190*Mat_Sum!$BE16+H$191*Mat_Sum!$CM16+H$192*Mat_Sum!$CL16)+(Battery_Assembly!$F62*$C$22))*(1+$D$30)</f>
        <v>63.766668987087087</v>
      </c>
      <c r="I195" s="349">
        <f ca="1">((I$176*(IF(Vehi_Inputs!$C$104=2,Mat_Sum!$BT16,IF(OR(Vehi_Inputs!$C$104=7,Vehi_Inputs!$C$104=8),Mat_Sum!$BY16,IF(Vehi_Inputs!$C$104=3,Mat_Sum!$BZ16,IF(Vehi_Inputs!$C$104=4,Mat_Sum!$CA16,IF(Vehi_Inputs!$C$104=5,Mat_Sum!$BV16,IF(Vehi_Inputs!$C$104=6,Mat_Sum!$BW16,IF(Vehi_Inputs!$C$104=9,Mat_Sum!$CD16,IF(Vehi_Inputs!$C$104=10,Mat_Sum!$BU16,Mat_Sum!$BK16))))))))+Mat_Sum!$CE16*LiMn2O4!$E$9)+I$177*Mat_Sum!$CF16+I$178*Mat_Sum!$CO16+I$179*Mat_Sum!$CG16+I$180*Mat_Sum!$AG16+I$181*Mat_Sum!$I16+I$182*Mat_Sum!$L16+I$183*Mat_Sum!$CI16+I$184*Mat_Sum!$CJ16+I$185*Mat_Sum!$CK16+I$186*Mat_Sum!$AQ16+I$187*Mat_Sum!$AO16+I$188*Mat_Sum!$AP16+I$189*Mat_Sum!$D16+I$190*Mat_Sum!$BE16+I$191*Mat_Sum!$CM16+I$192*Mat_Sum!$CL16)+(Battery_Assembly!$F62*$C$23))*(1+$D$30)</f>
        <v>54.70674584472588</v>
      </c>
      <c r="J195" s="349">
        <f ca="1">((J$176*(IF(Vehi_Inputs!$C$105=2,Mat_Sum!$BT16,IF(Vehi_Inputs!$C$105=3,Mat_Sum!$BZ16,IF(Vehi_Inputs!$C$105=4,Mat_Sum!$CA16,Mat_Sum!$BK16)))+Mat_Sum!$CE16*LiMn2O4!$E$9)+J$177*Mat_Sum!$CF16+J$178*Mat_Sum!$CO16+J$179*Mat_Sum!$CG16+J$180*Mat_Sum!$AG16+J$181*Mat_Sum!$I16+J$182*Mat_Sum!$L16+J$183*Mat_Sum!$CI16+J$184*Mat_Sum!$CJ16+J$185*Mat_Sum!$CK16+J$186*Mat_Sum!$AQ16+J$187*Mat_Sum!$AO16+J$188*Mat_Sum!$AP16+J$189*Mat_Sum!$D16+J$190*Mat_Sum!$BE16+J$191*Mat_Sum!$CM16+J$192*Mat_Sum!$CL16)+(Battery_Assembly!$F62*$J$47/2.2046*$C$41/1000))*(1+$D$31)</f>
        <v>2.7157185690919405</v>
      </c>
      <c r="K195" s="348">
        <f ca="1">((K$176*(IF(Vehi_Inputs!$C$105=2,Mat_Sum!$BT16,IF(Vehi_Inputs!$C$105=3,Mat_Sum!$BZ16,IF(Vehi_Inputs!$C$105=4,Mat_Sum!$CA16,Mat_Sum!$BK16)))+Mat_Sum!$CE16*LiMn2O4!$E$9)+K$177*Mat_Sum!$CF16+K$178*Mat_Sum!$CO16+K$179*Mat_Sum!$CG16+K$180*Mat_Sum!$AG16+K$181*Mat_Sum!$I16+K$182*Mat_Sum!$L16+K$183*Mat_Sum!$CI16+K$184*Mat_Sum!$CJ16+K$185*Mat_Sum!$CK16+K$186*Mat_Sum!$AQ16+K$187*Mat_Sum!$AO16+K$188*Mat_Sum!$AP16+K$189*Mat_Sum!$D16+K$190*Mat_Sum!$BE16+K$191*Mat_Sum!$CM16+K$192*Mat_Sum!$CL16)+(Battery_Assembly!$F62*$K$47/2.2046*$C$41/1000))*(1+$D$31)</f>
        <v>2.5571178325393431</v>
      </c>
      <c r="L195" s="1321"/>
      <c r="M195" s="1321"/>
      <c r="N195" s="1321"/>
      <c r="O195" s="1321"/>
      <c r="P195" s="1321"/>
      <c r="Q195" s="1321"/>
      <c r="R195" s="1321"/>
      <c r="S195" s="1321"/>
      <c r="T195" s="1318"/>
      <c r="V195" s="1321"/>
      <c r="W195" s="1321"/>
      <c r="X195" s="1321"/>
      <c r="Y195" s="1321"/>
      <c r="Z195" s="1321"/>
      <c r="AA195" s="1321"/>
      <c r="AB195" s="1321"/>
      <c r="AC195" s="1321"/>
    </row>
    <row r="196" spans="1:33">
      <c r="A196" s="491" t="s">
        <v>805</v>
      </c>
      <c r="B196" s="496"/>
      <c r="C196" s="496"/>
      <c r="D196" s="349">
        <f ca="1">((D$176*(IF(Vehi_Inputs!$C$102=2,Mat_Sum!$BT17,IF(Vehi_Inputs!$C$102=3,Mat_Sum!$BZ17,IF(Vehi_Inputs!$C$102=4,Mat_Sum!$CA17,Mat_Sum!$BK17)))+Mat_Sum!$CE17*LiMn2O4!$E$9)+D$177*Mat_Sum!$CF17+D$178*Mat_Sum!$CO17+D$179*Mat_Sum!$CG17+D$180*Mat_Sum!$AG17+D$181*Mat_Sum!$I17+D$182*Mat_Sum!$L17+D$183*Mat_Sum!$CI17+D$184*Mat_Sum!$CJ17+D$185*Mat_Sum!$CK17+D$186*Mat_Sum!$AQ17+D$187*Mat_Sum!$AO17+D$188*Mat_Sum!$AP17+D$189*Mat_Sum!$D17+D$190*Mat_Sum!$BE17+D$191*Mat_Sum!$CM17+D$192*Mat_Sum!$CL17)+(Battery_Assembly!$F63*$D$47/2.2046*$C$40/1000))*(1+$D$28)</f>
        <v>0.67328565109207972</v>
      </c>
      <c r="E196" s="349">
        <f ca="1">((E$176*(IF(Vehi_Inputs!$C$102=2,Mat_Sum!$BT17,IF(Vehi_Inputs!$C$102=3,Mat_Sum!$BZ17,IF(Vehi_Inputs!$C$102=4,Mat_Sum!$CA17,Mat_Sum!$BK17)))+Mat_Sum!$CE17*LiMn2O4!$E$9)+E$177*Mat_Sum!$CF17+E$178*Mat_Sum!$CO17+E$179*Mat_Sum!$CG17+E$180*Mat_Sum!$AG17+E$181*Mat_Sum!$I17+E$182*Mat_Sum!$L17+E$183*Mat_Sum!$CI17+E$184*Mat_Sum!$CJ17+E$185*Mat_Sum!$CK17+E$186*Mat_Sum!$AQ17+E$187*Mat_Sum!$AO17+E$188*Mat_Sum!$AP17+E$189*Mat_Sum!$D17+E$190*Mat_Sum!$BE17+E$191*Mat_Sum!$CM17+E$192*Mat_Sum!$CL17)+(Battery_Assembly!$F63*$E$47/2.2046*$C$40/1000))*(1+$D$28)</f>
        <v>0.46490772708074407</v>
      </c>
      <c r="F196" s="349">
        <f ca="1">((F$176*(IF(Vehi_Inputs!$C$103=2,Mat_Sum!$BT17,IF(Vehi_Inputs!$C$103=3,Mat_Sum!$BZ17,IF(Vehi_Inputs!$C$103=4,Mat_Sum!$CA17,Mat_Sum!$BK17)))+Mat_Sum!$CE17*LiMn2O4!$E$9)+F$177*Mat_Sum!$CF17+F$178*Mat_Sum!$CO17+F$179*Mat_Sum!$CG17+F$180*Mat_Sum!$AG17+F$181*Mat_Sum!$I17+F$182*Mat_Sum!$L17+F$183*Mat_Sum!$CI17+F$184*Mat_Sum!$CJ17+F$185*Mat_Sum!$CK17+F$186*Mat_Sum!$AQ17+F$187*Mat_Sum!$AO17+F$188*Mat_Sum!$AP17+F$189*Mat_Sum!$D17+F$190*Mat_Sum!$BE17+F$191*Mat_Sum!$CM17+F$192*Mat_Sum!$CL17)+(Battery_Assembly!$F63*$C$20))*(1+$D$29)</f>
        <v>2.2090120307364307</v>
      </c>
      <c r="G196" s="349">
        <f ca="1">((G$176*(IF(Vehi_Inputs!$C$103=2,Mat_Sum!$BT17,IF(Vehi_Inputs!$C$103=3,Mat_Sum!$BZ17,IF(Vehi_Inputs!$C$103=4,Mat_Sum!$CA17,Mat_Sum!$BK17)))+Mat_Sum!$CE17*LiMn2O4!$E$9)+G$177*Mat_Sum!$CF17+G$178*Mat_Sum!$CO17+G$179*Mat_Sum!$CG17+G$180*Mat_Sum!$AG17+G$181*Mat_Sum!$I17+G$182*Mat_Sum!$L17+G$183*Mat_Sum!$CI17+G$184*Mat_Sum!$CJ17+G$185*Mat_Sum!$CK17+G$186*Mat_Sum!$AQ17+G$187*Mat_Sum!$AO17+G$188*Mat_Sum!$AP17+G$189*Mat_Sum!$D17+G$190*Mat_Sum!$BE17+G$191*Mat_Sum!$CM17+G$192*Mat_Sum!$CL17)+(Battery_Assembly!$F63*$C$21))*(1+$D$29)</f>
        <v>1.7570805127351798</v>
      </c>
      <c r="H196" s="349">
        <f ca="1">((H$176*(IF(Vehi_Inputs!$C$104=2,Mat_Sum!$BT17,IF(OR(Vehi_Inputs!$C$104=7,Vehi_Inputs!$C$104=8),Mat_Sum!$BY17,IF(Vehi_Inputs!$C$104=3,Mat_Sum!$BZ17,IF(Vehi_Inputs!$C$104=4,Mat_Sum!$CA17,IF(Vehi_Inputs!$C$104=5,Mat_Sum!$BV17,IF(Vehi_Inputs!$C$104=6,Mat_Sum!$BW17,IF(Vehi_Inputs!$C$104=9,Mat_Sum!$CD17,IF(Vehi_Inputs!$C$104=10,Mat_Sum!$BU17,Mat_Sum!$BK17))))))))+Mat_Sum!$CE17*LiMn2O4!$E$9)+H$177*Mat_Sum!$CF17+H$178*Mat_Sum!$CO17+H$179*Mat_Sum!$CG17+H$180*Mat_Sum!$AG17+H$181*Mat_Sum!$I17+H$182*Mat_Sum!$L17+H$183*Mat_Sum!$CI17+H$184*Mat_Sum!$CJ17+H$185*Mat_Sum!$CK17+H$186*Mat_Sum!$AQ17+H$187*Mat_Sum!$AO17+H$188*Mat_Sum!$AP17+H$189*Mat_Sum!$D17+H$190*Mat_Sum!$BE17+H$191*Mat_Sum!$CM17+H$192*Mat_Sum!$CL17)+(Battery_Assembly!$F63*$C$22))*(1+$D$30)</f>
        <v>16.203210811061073</v>
      </c>
      <c r="I196" s="349">
        <f ca="1">((I$176*(IF(Vehi_Inputs!$C$104=2,Mat_Sum!$BT17,IF(OR(Vehi_Inputs!$C$104=7,Vehi_Inputs!$C$104=8),Mat_Sum!$BY17,IF(Vehi_Inputs!$C$104=3,Mat_Sum!$BZ17,IF(Vehi_Inputs!$C$104=4,Mat_Sum!$CA17,IF(Vehi_Inputs!$C$104=5,Mat_Sum!$BV17,IF(Vehi_Inputs!$C$104=6,Mat_Sum!$BW17,IF(Vehi_Inputs!$C$104=9,Mat_Sum!$CD17,IF(Vehi_Inputs!$C$104=10,Mat_Sum!$BU17,Mat_Sum!$BK17))))))))+Mat_Sum!$CE17*LiMn2O4!$E$9)+I$177*Mat_Sum!$CF17+I$178*Mat_Sum!$CO17+I$179*Mat_Sum!$CG17+I$180*Mat_Sum!$AG17+I$181*Mat_Sum!$I17+I$182*Mat_Sum!$L17+I$183*Mat_Sum!$CI17+I$184*Mat_Sum!$CJ17+I$185*Mat_Sum!$CK17+I$186*Mat_Sum!$AQ17+I$187*Mat_Sum!$AO17+I$188*Mat_Sum!$AP17+I$189*Mat_Sum!$D17+I$190*Mat_Sum!$BE17+I$191*Mat_Sum!$CM17+I$192*Mat_Sum!$CL17)+(Battery_Assembly!$F63*$C$23))*(1+$D$30)</f>
        <v>13.901070101195593</v>
      </c>
      <c r="J196" s="349">
        <f ca="1">((J$176*(IF(Vehi_Inputs!$C$105=2,Mat_Sum!$BT17,IF(Vehi_Inputs!$C$105=3,Mat_Sum!$BZ17,IF(Vehi_Inputs!$C$105=4,Mat_Sum!$CA17,Mat_Sum!$BK17)))+Mat_Sum!$CE17*LiMn2O4!$E$9)+J$177*Mat_Sum!$CF17+J$178*Mat_Sum!$CO17+J$179*Mat_Sum!$CG17+J$180*Mat_Sum!$AG17+J$181*Mat_Sum!$I17+J$182*Mat_Sum!$L17+J$183*Mat_Sum!$CI17+J$184*Mat_Sum!$CJ17+J$185*Mat_Sum!$CK17+J$186*Mat_Sum!$AQ17+J$187*Mat_Sum!$AO17+J$188*Mat_Sum!$AP17+J$189*Mat_Sum!$D17+J$190*Mat_Sum!$BE17+J$191*Mat_Sum!$CM17+J$192*Mat_Sum!$CL17)+(Battery_Assembly!$F63*$J$47/2.2046*$C$41/1000))*(1+$D$31)</f>
        <v>0.63192468527640289</v>
      </c>
      <c r="K196" s="348">
        <f ca="1">((K$176*(IF(Vehi_Inputs!$C$105=2,Mat_Sum!$BT17,IF(Vehi_Inputs!$C$105=3,Mat_Sum!$BZ17,IF(Vehi_Inputs!$C$105=4,Mat_Sum!$CA17,Mat_Sum!$BK17)))+Mat_Sum!$CE17*LiMn2O4!$E$9)+K$177*Mat_Sum!$CF17+K$178*Mat_Sum!$CO17+K$179*Mat_Sum!$CG17+K$180*Mat_Sum!$AG17+K$181*Mat_Sum!$I17+K$182*Mat_Sum!$L17+K$183*Mat_Sum!$CI17+K$184*Mat_Sum!$CJ17+K$185*Mat_Sum!$CK17+K$186*Mat_Sum!$AQ17+K$187*Mat_Sum!$AO17+K$188*Mat_Sum!$AP17+K$189*Mat_Sum!$D17+K$190*Mat_Sum!$BE17+K$191*Mat_Sum!$CM17+K$192*Mat_Sum!$CL17)+(Battery_Assembly!$F63*$K$47/2.2046*$C$41/1000))*(1+$D$31)</f>
        <v>0.59501963860799301</v>
      </c>
      <c r="L196" s="1321"/>
      <c r="M196" s="1321"/>
      <c r="N196" s="1321"/>
      <c r="O196" s="1321"/>
      <c r="P196" s="1321"/>
      <c r="Q196" s="1321"/>
      <c r="R196" s="1321"/>
      <c r="S196" s="1321"/>
      <c r="T196" s="1318"/>
      <c r="V196" s="1321"/>
      <c r="W196" s="1321"/>
      <c r="X196" s="1321"/>
      <c r="Y196" s="1321"/>
      <c r="Z196" s="1321"/>
      <c r="AA196" s="1321"/>
      <c r="AB196" s="1321"/>
      <c r="AC196" s="1321"/>
    </row>
    <row r="197" spans="1:33">
      <c r="A197" s="491" t="s">
        <v>804</v>
      </c>
      <c r="B197" s="496"/>
      <c r="C197" s="496"/>
      <c r="D197" s="349">
        <f ca="1">((D$176*(IF(Vehi_Inputs!$C$102=2,Mat_Sum!$BT18,IF(Vehi_Inputs!$C$102=3,Mat_Sum!$BZ18,IF(Vehi_Inputs!$C$102=4,Mat_Sum!$CA18,Mat_Sum!$BK18)))+Mat_Sum!$CE18*LiMn2O4!$E$9)+D$177*Mat_Sum!$CF18+D$178*Mat_Sum!$CO18+D$179*Mat_Sum!$CG18+D$180*Mat_Sum!$AG18+D$181*Mat_Sum!$I18+D$182*Mat_Sum!$L18+D$183*Mat_Sum!$CI18+D$184*Mat_Sum!$CJ18+D$185*Mat_Sum!$CK18+D$186*Mat_Sum!$AQ18+D$187*Mat_Sum!$AO18+D$188*Mat_Sum!$AP18+D$189*Mat_Sum!$D18+D$190*Mat_Sum!$BE18+D$191*Mat_Sum!$CM18+D$192*Mat_Sum!$CL18)+(Battery_Assembly!$F64*$D$47/2.2046*$C$40/1000))*(1+$D$28)</f>
        <v>1.8027169684170958</v>
      </c>
      <c r="E197" s="349">
        <f ca="1">((E$176*(IF(Vehi_Inputs!$C$102=2,Mat_Sum!$BT18,IF(Vehi_Inputs!$C$102=3,Mat_Sum!$BZ18,IF(Vehi_Inputs!$C$102=4,Mat_Sum!$CA18,Mat_Sum!$BK18)))+Mat_Sum!$CE18*LiMn2O4!$E$9)+E$177*Mat_Sum!$CF18+E$178*Mat_Sum!$CO18+E$179*Mat_Sum!$CG18+E$180*Mat_Sum!$AG18+E$181*Mat_Sum!$I18+E$182*Mat_Sum!$L18+E$183*Mat_Sum!$CI18+E$184*Mat_Sum!$CJ18+E$185*Mat_Sum!$CK18+E$186*Mat_Sum!$AQ18+E$187*Mat_Sum!$AO18+E$188*Mat_Sum!$AP18+E$189*Mat_Sum!$D18+E$190*Mat_Sum!$BE18+E$191*Mat_Sum!$CM18+E$192*Mat_Sum!$CL18)+(Battery_Assembly!$F64*$E$47/2.2046*$C$40/1000))*(1+$D$28)</f>
        <v>1.2447867365022189</v>
      </c>
      <c r="F197" s="349">
        <f ca="1">((F$176*(IF(Vehi_Inputs!$C$103=2,Mat_Sum!$BT18,IF(Vehi_Inputs!$C$103=3,Mat_Sum!$BZ18,IF(Vehi_Inputs!$C$103=4,Mat_Sum!$CA18,Mat_Sum!$BK18)))+Mat_Sum!$CE18*LiMn2O4!$E$9)+F$177*Mat_Sum!$CF18+F$178*Mat_Sum!$CO18+F$179*Mat_Sum!$CG18+F$180*Mat_Sum!$AG18+F$181*Mat_Sum!$I18+F$182*Mat_Sum!$L18+F$183*Mat_Sum!$CI18+F$184*Mat_Sum!$CJ18+F$185*Mat_Sum!$CK18+F$186*Mat_Sum!$AQ18+F$187*Mat_Sum!$AO18+F$188*Mat_Sum!$AP18+F$189*Mat_Sum!$D18+F$190*Mat_Sum!$BE18+F$191*Mat_Sum!$CM18+F$192*Mat_Sum!$CL18)+(Battery_Assembly!$F64*$C$20))*(1+$D$29)</f>
        <v>5.4222533522124259</v>
      </c>
      <c r="G197" s="349">
        <f ca="1">((G$176*(IF(Vehi_Inputs!$C$103=2,Mat_Sum!$BT18,IF(Vehi_Inputs!$C$103=3,Mat_Sum!$BZ18,IF(Vehi_Inputs!$C$103=4,Mat_Sum!$CA18,Mat_Sum!$BK18)))+Mat_Sum!$CE18*LiMn2O4!$E$9)+G$177*Mat_Sum!$CF18+G$178*Mat_Sum!$CO18+G$179*Mat_Sum!$CG18+G$180*Mat_Sum!$AG18+G$181*Mat_Sum!$I18+G$182*Mat_Sum!$L18+G$183*Mat_Sum!$CI18+G$184*Mat_Sum!$CJ18+G$185*Mat_Sum!$CK18+G$186*Mat_Sum!$AQ18+G$187*Mat_Sum!$AO18+G$188*Mat_Sum!$AP18+G$189*Mat_Sum!$D18+G$190*Mat_Sum!$BE18+G$191*Mat_Sum!$CM18+G$192*Mat_Sum!$CL18)+(Battery_Assembly!$F64*$C$21))*(1+$D$29)</f>
        <v>4.3129397068558619</v>
      </c>
      <c r="H197" s="349">
        <f ca="1">((H$176*(IF(Vehi_Inputs!$C$104=2,Mat_Sum!$BT18,IF(OR(Vehi_Inputs!$C$104=7,Vehi_Inputs!$C$104=8),Mat_Sum!$BY18,IF(Vehi_Inputs!$C$104=3,Mat_Sum!$BZ18,IF(Vehi_Inputs!$C$104=4,Mat_Sum!$CA18,IF(Vehi_Inputs!$C$104=5,Mat_Sum!$BV18,IF(Vehi_Inputs!$C$104=6,Mat_Sum!$BW18,IF(Vehi_Inputs!$C$104=9,Mat_Sum!$CD18,IF(Vehi_Inputs!$C$104=10,Mat_Sum!$BU18,Mat_Sum!$BK18))))))))+Mat_Sum!$CE18*LiMn2O4!$E$9)+H$177*Mat_Sum!$CF18+H$178*Mat_Sum!$CO18+H$179*Mat_Sum!$CG18+H$180*Mat_Sum!$AG18+H$181*Mat_Sum!$I18+H$182*Mat_Sum!$L18+H$183*Mat_Sum!$CI18+H$184*Mat_Sum!$CJ18+H$185*Mat_Sum!$CK18+H$186*Mat_Sum!$AQ18+H$187*Mat_Sum!$AO18+H$188*Mat_Sum!$AP18+H$189*Mat_Sum!$D18+H$190*Mat_Sum!$BE18+H$191*Mat_Sum!$CM18+H$192*Mat_Sum!$CL18)+(Battery_Assembly!$F64*$C$22))*(1+$D$30)</f>
        <v>38.1972022261657</v>
      </c>
      <c r="I197" s="349">
        <f ca="1">((I$176*(IF(Vehi_Inputs!$C$104=2,Mat_Sum!$BT18,IF(OR(Vehi_Inputs!$C$104=7,Vehi_Inputs!$C$104=8),Mat_Sum!$BY18,IF(Vehi_Inputs!$C$104=3,Mat_Sum!$BZ18,IF(Vehi_Inputs!$C$104=4,Mat_Sum!$CA18,IF(Vehi_Inputs!$C$104=5,Mat_Sum!$BV18,IF(Vehi_Inputs!$C$104=6,Mat_Sum!$BW18,IF(Vehi_Inputs!$C$104=9,Mat_Sum!$CD18,IF(Vehi_Inputs!$C$104=10,Mat_Sum!$BU18,Mat_Sum!$BK18))))))))+Mat_Sum!$CE18*LiMn2O4!$E$9)+I$177*Mat_Sum!$CF18+I$178*Mat_Sum!$CO18+I$179*Mat_Sum!$CG18+I$180*Mat_Sum!$AG18+I$181*Mat_Sum!$I18+I$182*Mat_Sum!$L18+I$183*Mat_Sum!$CI18+I$184*Mat_Sum!$CJ18+I$185*Mat_Sum!$CK18+I$186*Mat_Sum!$AQ18+I$187*Mat_Sum!$AO18+I$188*Mat_Sum!$AP18+I$189*Mat_Sum!$D18+I$190*Mat_Sum!$BE18+I$191*Mat_Sum!$CM18+I$192*Mat_Sum!$CL18)+(Battery_Assembly!$F64*$C$23))*(1+$D$30)</f>
        <v>32.770170801764834</v>
      </c>
      <c r="J197" s="349">
        <f ca="1">((J$176*(IF(Vehi_Inputs!$C$105=2,Mat_Sum!$BT18,IF(Vehi_Inputs!$C$105=3,Mat_Sum!$BZ18,IF(Vehi_Inputs!$C$105=4,Mat_Sum!$CA18,Mat_Sum!$BK18)))+Mat_Sum!$CE18*LiMn2O4!$E$9)+J$177*Mat_Sum!$CF18+J$178*Mat_Sum!$CO18+J$179*Mat_Sum!$CG18+J$180*Mat_Sum!$AG18+J$181*Mat_Sum!$I18+J$182*Mat_Sum!$L18+J$183*Mat_Sum!$CI18+J$184*Mat_Sum!$CJ18+J$185*Mat_Sum!$CK18+J$186*Mat_Sum!$AQ18+J$187*Mat_Sum!$AO18+J$188*Mat_Sum!$AP18+J$189*Mat_Sum!$D18+J$190*Mat_Sum!$BE18+J$191*Mat_Sum!$CM18+J$192*Mat_Sum!$CL18)+(Battery_Assembly!$F64*$J$47/2.2046*$C$41/1000))*(1+$D$31)</f>
        <v>1.8144337940962472</v>
      </c>
      <c r="K197" s="348">
        <f ca="1">((K$176*(IF(Vehi_Inputs!$C$105=2,Mat_Sum!$BT18,IF(Vehi_Inputs!$C$105=3,Mat_Sum!$BZ18,IF(Vehi_Inputs!$C$105=4,Mat_Sum!$CA18,Mat_Sum!$BK18)))+Mat_Sum!$CE18*LiMn2O4!$E$9)+K$177*Mat_Sum!$CF18+K$178*Mat_Sum!$CO18+K$179*Mat_Sum!$CG18+K$180*Mat_Sum!$AG18+K$181*Mat_Sum!$I18+K$182*Mat_Sum!$L18+K$183*Mat_Sum!$CI18+K$184*Mat_Sum!$CJ18+K$185*Mat_Sum!$CK18+K$186*Mat_Sum!$AQ18+K$187*Mat_Sum!$AO18+K$188*Mat_Sum!$AP18+K$189*Mat_Sum!$D18+K$190*Mat_Sum!$BE18+K$191*Mat_Sum!$CM18+K$192*Mat_Sum!$CL18)+(Battery_Assembly!$F64*$K$47/2.2046*$C$41/1000))*(1+$D$31)</f>
        <v>1.7084690084057292</v>
      </c>
      <c r="L197" s="1321"/>
      <c r="M197" s="1321"/>
      <c r="N197" s="1321"/>
      <c r="O197" s="1321"/>
      <c r="P197" s="1321"/>
      <c r="Q197" s="1321"/>
      <c r="R197" s="1321"/>
      <c r="S197" s="1321"/>
      <c r="T197" s="1318"/>
      <c r="V197" s="1321"/>
      <c r="W197" s="1321"/>
      <c r="X197" s="1321"/>
      <c r="Y197" s="1321"/>
      <c r="Z197" s="1321"/>
      <c r="AA197" s="1321"/>
      <c r="AB197" s="1321"/>
      <c r="AC197" s="1321"/>
    </row>
    <row r="198" spans="1:33">
      <c r="A198" s="491" t="s">
        <v>818</v>
      </c>
      <c r="B198" s="496"/>
      <c r="C198" s="496"/>
      <c r="D198" s="349">
        <f ca="1">((D$176*(IF(Vehi_Inputs!$C$102=2,Mat_Sum!$BT19,IF(Vehi_Inputs!$C$102=3,Mat_Sum!$BZ19,IF(Vehi_Inputs!$C$102=4,Mat_Sum!$CA19,Mat_Sum!$BK19)))+Mat_Sum!$CE19*LiMn2O4!$E$9)+D$177*Mat_Sum!$CF19+D$178*Mat_Sum!$CO19+D$179*Mat_Sum!$CG19+D$180*Mat_Sum!$AG19+D$181*Mat_Sum!$I19+D$182*Mat_Sum!$L19+D$183*Mat_Sum!$CI19+D$184*Mat_Sum!$CJ19+D$185*Mat_Sum!$CK19+D$186*Mat_Sum!$AQ19+D$187*Mat_Sum!$AO19+D$188*Mat_Sum!$AP19+D$189*Mat_Sum!$D19+D$190*Mat_Sum!$BE19+D$191*Mat_Sum!$CM19+D$192*Mat_Sum!$CL19)+(Battery_Assembly!$F65*$D$47/2.2046*$C$40/1000))*(1+$D$28)</f>
        <v>0.29281047475366095</v>
      </c>
      <c r="E198" s="349">
        <f ca="1">((E$176*(IF(Vehi_Inputs!$C$102=2,Mat_Sum!$BT19,IF(Vehi_Inputs!$C$102=3,Mat_Sum!$BZ19,IF(Vehi_Inputs!$C$102=4,Mat_Sum!$CA19,Mat_Sum!$BK19)))+Mat_Sum!$CE19*LiMn2O4!$E$9)+E$177*Mat_Sum!$CF19+E$178*Mat_Sum!$CO19+E$179*Mat_Sum!$CG19+E$180*Mat_Sum!$AG19+E$181*Mat_Sum!$I19+E$182*Mat_Sum!$L19+E$183*Mat_Sum!$CI19+E$184*Mat_Sum!$CJ19+E$185*Mat_Sum!$CK19+E$186*Mat_Sum!$AQ19+E$187*Mat_Sum!$AO19+E$188*Mat_Sum!$AP19+E$189*Mat_Sum!$D19+E$190*Mat_Sum!$BE19+E$191*Mat_Sum!$CM19+E$192*Mat_Sum!$CL19)+(Battery_Assembly!$F65*$E$47/2.2046*$C$40/1000))*(1+$D$28)</f>
        <v>0.20218736588601496</v>
      </c>
      <c r="F198" s="349">
        <f ca="1">((F$176*(IF(Vehi_Inputs!$C$103=2,Mat_Sum!$BT19,IF(Vehi_Inputs!$C$103=3,Mat_Sum!$BZ19,IF(Vehi_Inputs!$C$103=4,Mat_Sum!$CA19,Mat_Sum!$BK19)))+Mat_Sum!$CE19*LiMn2O4!$E$9)+F$177*Mat_Sum!$CF19+F$178*Mat_Sum!$CO19+F$179*Mat_Sum!$CG19+F$180*Mat_Sum!$AG19+F$181*Mat_Sum!$I19+F$182*Mat_Sum!$L19+F$183*Mat_Sum!$CI19+F$184*Mat_Sum!$CJ19+F$185*Mat_Sum!$CK19+F$186*Mat_Sum!$AQ19+F$187*Mat_Sum!$AO19+F$188*Mat_Sum!$AP19+F$189*Mat_Sum!$D19+F$190*Mat_Sum!$BE19+F$191*Mat_Sum!$CM19+F$192*Mat_Sum!$CL19)+(Battery_Assembly!$F65*$C$20))*(1+$D$29)</f>
        <v>1.1247216626348313</v>
      </c>
      <c r="G198" s="349">
        <f ca="1">((G$176*(IF(Vehi_Inputs!$C$103=2,Mat_Sum!$BT19,IF(Vehi_Inputs!$C$103=3,Mat_Sum!$BZ19,IF(Vehi_Inputs!$C$103=4,Mat_Sum!$CA19,Mat_Sum!$BK19)))+Mat_Sum!$CE19*LiMn2O4!$E$9)+G$177*Mat_Sum!$CF19+G$178*Mat_Sum!$CO19+G$179*Mat_Sum!$CG19+G$180*Mat_Sum!$AG19+G$181*Mat_Sum!$I19+G$182*Mat_Sum!$L19+G$183*Mat_Sum!$CI19+G$184*Mat_Sum!$CJ19+G$185*Mat_Sum!$CK19+G$186*Mat_Sum!$AQ19+G$187*Mat_Sum!$AO19+G$188*Mat_Sum!$AP19+G$189*Mat_Sum!$D19+G$190*Mat_Sum!$BE19+G$191*Mat_Sum!$CM19+G$192*Mat_Sum!$CL19)+(Battery_Assembly!$F65*$C$21))*(1+$D$29)</f>
        <v>0.89462007819303146</v>
      </c>
      <c r="H198" s="349">
        <f ca="1">((H$176*(IF(Vehi_Inputs!$C$104=2,Mat_Sum!$BT19,IF(OR(Vehi_Inputs!$C$104=7,Vehi_Inputs!$C$104=8),Mat_Sum!$BY19,IF(Vehi_Inputs!$C$104=3,Mat_Sum!$BZ19,IF(Vehi_Inputs!$C$104=4,Mat_Sum!$CA19,IF(Vehi_Inputs!$C$104=5,Mat_Sum!$BV19,IF(Vehi_Inputs!$C$104=6,Mat_Sum!$BW19,IF(Vehi_Inputs!$C$104=9,Mat_Sum!$CD19,IF(Vehi_Inputs!$C$104=10,Mat_Sum!$BU19,Mat_Sum!$BK19))))))))+Mat_Sum!$CE19*LiMn2O4!$E$9)+H$177*Mat_Sum!$CF19+H$178*Mat_Sum!$CO19+H$179*Mat_Sum!$CG19+H$180*Mat_Sum!$AG19+H$181*Mat_Sum!$I19+H$182*Mat_Sum!$L19+H$183*Mat_Sum!$CI19+H$184*Mat_Sum!$CJ19+H$185*Mat_Sum!$CK19+H$186*Mat_Sum!$AQ19+H$187*Mat_Sum!$AO19+H$188*Mat_Sum!$AP19+H$189*Mat_Sum!$D19+H$190*Mat_Sum!$BE19+H$191*Mat_Sum!$CM19+H$192*Mat_Sum!$CL19)+(Battery_Assembly!$F65*$C$22))*(1+$D$30)</f>
        <v>9.366255949860312</v>
      </c>
      <c r="I198" s="349">
        <f ca="1">((I$176*(IF(Vehi_Inputs!$C$104=2,Mat_Sum!$BT19,IF(OR(Vehi_Inputs!$C$104=7,Vehi_Inputs!$C$104=8),Mat_Sum!$BY19,IF(Vehi_Inputs!$C$104=3,Mat_Sum!$BZ19,IF(Vehi_Inputs!$C$104=4,Mat_Sum!$CA19,IF(Vehi_Inputs!$C$104=5,Mat_Sum!$BV19,IF(Vehi_Inputs!$C$104=6,Mat_Sum!$BW19,IF(Vehi_Inputs!$C$104=9,Mat_Sum!$CD19,IF(Vehi_Inputs!$C$104=10,Mat_Sum!$BU19,Mat_Sum!$BK19))))))))+Mat_Sum!$CE19*LiMn2O4!$E$9)+I$177*Mat_Sum!$CF19+I$178*Mat_Sum!$CO19+I$179*Mat_Sum!$CG19+I$180*Mat_Sum!$AG19+I$181*Mat_Sum!$I19+I$182*Mat_Sum!$L19+I$183*Mat_Sum!$CI19+I$184*Mat_Sum!$CJ19+I$185*Mat_Sum!$CK19+I$186*Mat_Sum!$AQ19+I$187*Mat_Sum!$AO19+I$188*Mat_Sum!$AP19+I$189*Mat_Sum!$D19+I$190*Mat_Sum!$BE19+I$191*Mat_Sum!$CM19+I$192*Mat_Sum!$CL19)+(Battery_Assembly!$F65*$C$23))*(1+$D$30)</f>
        <v>8.0355049417654456</v>
      </c>
      <c r="J198" s="349">
        <f ca="1">((J$176*(IF(Vehi_Inputs!$C$105=2,Mat_Sum!$BT19,IF(Vehi_Inputs!$C$105=3,Mat_Sum!$BZ19,IF(Vehi_Inputs!$C$105=4,Mat_Sum!$CA19,Mat_Sum!$BK19)))+Mat_Sum!$CE19*LiMn2O4!$E$9)+J$177*Mat_Sum!$CF19+J$178*Mat_Sum!$CO19+J$179*Mat_Sum!$CG19+J$180*Mat_Sum!$AG19+J$181*Mat_Sum!$I19+J$182*Mat_Sum!$L19+J$183*Mat_Sum!$CI19+J$184*Mat_Sum!$CJ19+J$185*Mat_Sum!$CK19+J$186*Mat_Sum!$AQ19+J$187*Mat_Sum!$AO19+J$188*Mat_Sum!$AP19+J$189*Mat_Sum!$D19+J$190*Mat_Sum!$BE19+J$191*Mat_Sum!$CM19+J$192*Mat_Sum!$CL19)+(Battery_Assembly!$F65*$J$47/2.2046*$C$41/1000))*(1+$D$31)</f>
        <v>0.26936008971929004</v>
      </c>
      <c r="K198" s="348">
        <f ca="1">((K$176*(IF(Vehi_Inputs!$C$105=2,Mat_Sum!$BT19,IF(Vehi_Inputs!$C$105=3,Mat_Sum!$BZ19,IF(Vehi_Inputs!$C$105=4,Mat_Sum!$CA19,Mat_Sum!$BK19)))+Mat_Sum!$CE19*LiMn2O4!$E$9)+K$177*Mat_Sum!$CF19+K$178*Mat_Sum!$CO19+K$179*Mat_Sum!$CG19+K$180*Mat_Sum!$AG19+K$181*Mat_Sum!$I19+K$182*Mat_Sum!$L19+K$183*Mat_Sum!$CI19+K$184*Mat_Sum!$CJ19+K$185*Mat_Sum!$CK19+K$186*Mat_Sum!$AQ19+K$187*Mat_Sum!$AO19+K$188*Mat_Sum!$AP19+K$189*Mat_Sum!$D19+K$190*Mat_Sum!$BE19+K$191*Mat_Sum!$CM19+K$192*Mat_Sum!$CL19)+(Battery_Assembly!$F65*$K$47/2.2046*$C$41/1000))*(1+$D$31)</f>
        <v>0.25362918552562103</v>
      </c>
      <c r="L198" s="1321"/>
      <c r="M198" s="1321"/>
      <c r="N198" s="1321"/>
      <c r="O198" s="1321"/>
      <c r="P198" s="1321"/>
      <c r="Q198" s="1321"/>
      <c r="R198" s="1321"/>
      <c r="S198" s="1321"/>
      <c r="T198" s="1318"/>
      <c r="V198" s="1321"/>
      <c r="W198" s="1321"/>
      <c r="X198" s="1321"/>
      <c r="Y198" s="1321"/>
      <c r="Z198" s="1321"/>
      <c r="AA198" s="1321"/>
      <c r="AB198" s="1321"/>
      <c r="AC198" s="1321"/>
    </row>
    <row r="199" spans="1:33">
      <c r="A199" s="745" t="s">
        <v>819</v>
      </c>
      <c r="B199" s="535"/>
      <c r="C199" s="535"/>
      <c r="D199" s="419">
        <f ca="1">((D$176*(IF(Vehi_Inputs!$C$102=2,Mat_Sum!$BT20,IF(Vehi_Inputs!$C$102=3,Mat_Sum!$BZ20,IF(Vehi_Inputs!$C$102=4,Mat_Sum!$CA20,Mat_Sum!$BK20)))+Mat_Sum!$CE20*LiMn2O4!$E$9)+D$177*Mat_Sum!$CF20+D$178*Mat_Sum!$CO20+D$179*Mat_Sum!$CG20+D$180*Mat_Sum!$AG20+D$181*Mat_Sum!$I20+D$182*Mat_Sum!$L20+D$183*Mat_Sum!$CI20+D$184*Mat_Sum!$CJ20+D$185*Mat_Sum!$CK20+D$186*Mat_Sum!$AQ20+D$187*Mat_Sum!$AO20+D$188*Mat_Sum!$AP20+D$189*Mat_Sum!$D20+D$190*Mat_Sum!$BE20+D$191*Mat_Sum!$CM20+D$192*Mat_Sum!$CL20)+(Battery_Assembly!$F66*$D$47/2.2046*$C$40/1000))*(1+$D$28)</f>
        <v>242.91698924709351</v>
      </c>
      <c r="E199" s="419">
        <f ca="1">((E$176*(IF(Vehi_Inputs!$C$102=2,Mat_Sum!$BT20,IF(Vehi_Inputs!$C$102=3,Mat_Sum!$BZ20,IF(Vehi_Inputs!$C$102=4,Mat_Sum!$CA20,Mat_Sum!$BK20)))+Mat_Sum!$CE20*LiMn2O4!$E$9)+E$177*Mat_Sum!$CF20+E$178*Mat_Sum!$CO20+E$179*Mat_Sum!$CG20+E$180*Mat_Sum!$AG20+E$181*Mat_Sum!$I20+E$182*Mat_Sum!$L20+E$183*Mat_Sum!$CI20+E$184*Mat_Sum!$CJ20+E$185*Mat_Sum!$CK20+E$186*Mat_Sum!$AQ20+E$187*Mat_Sum!$AO20+E$188*Mat_Sum!$AP20+E$189*Mat_Sum!$D20+E$190*Mat_Sum!$BE20+E$191*Mat_Sum!$CM20+E$192*Mat_Sum!$CL20)+(Battery_Assembly!$F66*$E$47/2.2046*$C$40/1000))*(1+$D$28)</f>
        <v>167.7356188372396</v>
      </c>
      <c r="F199" s="349">
        <f ca="1">((F$176*(IF(Vehi_Inputs!$C$103=2,Mat_Sum!$BT20,IF(Vehi_Inputs!$C$103=3,Mat_Sum!$BZ20,IF(Vehi_Inputs!$C$103=4,Mat_Sum!$CA20,Mat_Sum!$BK20)))+Mat_Sum!$CE20*LiMn2O4!$E$9)+F$177*Mat_Sum!$CF20+F$178*Mat_Sum!$CO20+F$179*Mat_Sum!$CG20+F$180*Mat_Sum!$AG20+F$181*Mat_Sum!$I20+F$182*Mat_Sum!$L20+F$183*Mat_Sum!$CI20+F$184*Mat_Sum!$CJ20+F$185*Mat_Sum!$CK20+F$186*Mat_Sum!$AQ20+F$187*Mat_Sum!$AO20+F$188*Mat_Sum!$AP20+F$189*Mat_Sum!$D20+F$190*Mat_Sum!$BE20+F$191*Mat_Sum!$CM20+F$192*Mat_Sum!$CL20)+(Battery_Assembly!$F66*$C$20))*(1+$D$29)</f>
        <v>787.88574313188542</v>
      </c>
      <c r="G199" s="349">
        <f ca="1">((G$176*(IF(Vehi_Inputs!$C$103=2,Mat_Sum!$BT20,IF(Vehi_Inputs!$C$103=3,Mat_Sum!$BZ20,IF(Vehi_Inputs!$C$103=4,Mat_Sum!$CA20,Mat_Sum!$BK20)))+Mat_Sum!$CE20*LiMn2O4!$E$9)+G$177*Mat_Sum!$CF20+G$178*Mat_Sum!$CO20+G$179*Mat_Sum!$CG20+G$180*Mat_Sum!$AG20+G$181*Mat_Sum!$I20+G$182*Mat_Sum!$L20+G$183*Mat_Sum!$CI20+G$184*Mat_Sum!$CJ20+G$185*Mat_Sum!$CK20+G$186*Mat_Sum!$AQ20+G$187*Mat_Sum!$AO20+G$188*Mat_Sum!$AP20+G$189*Mat_Sum!$D20+G$190*Mat_Sum!$BE20+G$191*Mat_Sum!$CM20+G$192*Mat_Sum!$CL20)+(Battery_Assembly!$F66*$C$21))*(1+$D$29)</f>
        <v>626.6958560010163</v>
      </c>
      <c r="H199" s="349">
        <f ca="1">((H$176*(IF(Vehi_Inputs!$C$104=2,Mat_Sum!$BT20,IF(OR(Vehi_Inputs!$C$104=7,Vehi_Inputs!$C$104=8),Mat_Sum!$BY20,IF(Vehi_Inputs!$C$104=3,Mat_Sum!$BZ20,IF(Vehi_Inputs!$C$104=4,Mat_Sum!$CA20,IF(Vehi_Inputs!$C$104=5,Mat_Sum!$BV20,IF(Vehi_Inputs!$C$104=6,Mat_Sum!$BW20,IF(Vehi_Inputs!$C$104=9,Mat_Sum!$CD20,IF(Vehi_Inputs!C104=10,Mat_Sum!$BU20,Mat_Sum!$BK20))))))))+Mat_Sum!$CE20*LiMn2O4!$E$9)+H$177*Mat_Sum!$CF20+H$178*Mat_Sum!$CO20+H$179*Mat_Sum!$CG20+H$180*Mat_Sum!$AG20+H$181*Mat_Sum!$I20+H$182*Mat_Sum!$L20+H$183*Mat_Sum!$CI20+H$184*Mat_Sum!$CJ20+H$185*Mat_Sum!$CK20+H$186*Mat_Sum!$AQ20+H$187*Mat_Sum!$AO20+H$188*Mat_Sum!$AP20+H$189*Mat_Sum!$D20+H$190*Mat_Sum!$BE20+H$191*Mat_Sum!$CM20+H$192*Mat_Sum!$CL20)+(Battery_Assembly!$F66*$C$22))*(1+$D$30)</f>
        <v>6056.8221966992051</v>
      </c>
      <c r="I199" s="349">
        <f ca="1">((I$176*(IF(Vehi_Inputs!$C$104=2,Mat_Sum!$BT20,IF(OR(Vehi_Inputs!$C$104=7,Vehi_Inputs!$C$104=8),Mat_Sum!$BY20,IF(Vehi_Inputs!$C$104=3,Mat_Sum!$BZ20,IF(Vehi_Inputs!$C$104=4,Mat_Sum!$CA20,IF(Vehi_Inputs!$C$104=5,Mat_Sum!$BV20,IF(Vehi_Inputs!$C$104=6,Mat_Sum!$BW20,IF(Vehi_Inputs!$C$104=9,Mat_Sum!$CD20,IF(Vehi_Inputs!$C$104=10,Mat_Sum!$BU20,Mat_Sum!$BK20))))))))+Mat_Sum!$CE20*LiMn2O4!$E$9)+I$177*Mat_Sum!$CF20+I$178*Mat_Sum!$CO20+I$179*Mat_Sum!$CG20+I$180*Mat_Sum!$AG20+I$181*Mat_Sum!$I20+I$182*Mat_Sum!$L20+I$183*Mat_Sum!$CI20+I$184*Mat_Sum!$CJ20+I$185*Mat_Sum!$CK20+I$186*Mat_Sum!$AQ20+I$187*Mat_Sum!$AO20+I$188*Mat_Sum!$AP20+I$189*Mat_Sum!$D20+I$190*Mat_Sum!$BE20+I$191*Mat_Sum!$CM20+I$192*Mat_Sum!$CL20)+(Battery_Assembly!$F66*$C$23))*(1+$D$30)</f>
        <v>5196.2731910712928</v>
      </c>
      <c r="J199" s="349">
        <f ca="1">((J$176*(IF(Vehi_Inputs!$C$105=2,Mat_Sum!$BT20,IF(Vehi_Inputs!$C$105=3,Mat_Sum!$BZ20,IF(Vehi_Inputs!$C$105=4,Mat_Sum!$CA20,Mat_Sum!$BK20)))+Mat_Sum!$CE20*LiMn2O4!$E$9)+J$177*Mat_Sum!$CF20+J$178*Mat_Sum!$CO20+J$179*Mat_Sum!$CG20+J$180*Mat_Sum!$AG20+J$181*Mat_Sum!$I20+J$182*Mat_Sum!$L20+J$183*Mat_Sum!$CI20+J$184*Mat_Sum!$CJ20+J$185*Mat_Sum!$CK20+J$186*Mat_Sum!$AQ20+J$187*Mat_Sum!$AO20+J$188*Mat_Sum!$AP20+J$189*Mat_Sum!$D20+J$190*Mat_Sum!$BE20+J$191*Mat_Sum!$CM20+J$192*Mat_Sum!$CL20)+(Battery_Assembly!$F66*$J$47/2.2046*$C$41/1000))*(1+$D$31)</f>
        <v>233.86356230526081</v>
      </c>
      <c r="K199" s="348">
        <f ca="1">((K$176*(IF(Vehi_Inputs!$C$105=2,Mat_Sum!$BT20,IF(Vehi_Inputs!$C$105=3,Mat_Sum!$BZ20,IF(Vehi_Inputs!$C$105=4,Mat_Sum!$CA20,Mat_Sum!$BK20)))+Mat_Sum!$CE20*LiMn2O4!$E$9)+K$177*Mat_Sum!$CF20+K$178*Mat_Sum!$CO20+K$179*Mat_Sum!$CG20+K$180*Mat_Sum!$AG20+K$181*Mat_Sum!$I20+K$182*Mat_Sum!$L20+K$183*Mat_Sum!$CI20+K$184*Mat_Sum!$CJ20+K$185*Mat_Sum!$CK20+K$186*Mat_Sum!$AQ20+K$187*Mat_Sum!$AO20+K$188*Mat_Sum!$AP20+K$189*Mat_Sum!$D20+K$190*Mat_Sum!$BE20+K$191*Mat_Sum!$CM20+K$192*Mat_Sum!$CL20)+(Battery_Assembly!$F66*$K$47/2.2046*$C$41/1000))*(1+$D$31)</f>
        <v>220.20569154627762</v>
      </c>
      <c r="L199" s="1321" t="s">
        <v>2769</v>
      </c>
      <c r="M199" s="1321"/>
      <c r="N199" s="1321"/>
      <c r="O199" s="1321"/>
      <c r="P199" s="1321"/>
      <c r="Q199" s="1321"/>
      <c r="R199" s="1321"/>
      <c r="S199" s="1321"/>
      <c r="T199" s="1318"/>
      <c r="V199" s="1321"/>
      <c r="W199" s="1321" t="s">
        <v>2770</v>
      </c>
      <c r="X199" s="1321"/>
      <c r="Y199" s="1321"/>
      <c r="Z199" s="1321"/>
      <c r="AA199" s="1321"/>
      <c r="AB199" s="1321"/>
      <c r="AC199" s="1321"/>
    </row>
    <row r="200" spans="1:33">
      <c r="A200" s="851" t="s">
        <v>1520</v>
      </c>
      <c r="B200" s="506"/>
      <c r="C200" s="506"/>
      <c r="D200" s="512"/>
      <c r="E200" s="512"/>
      <c r="F200" s="512"/>
      <c r="G200" s="512"/>
      <c r="H200" s="512"/>
      <c r="I200" s="512"/>
      <c r="J200" s="512"/>
      <c r="K200" s="509"/>
      <c r="L200" s="1321" t="s">
        <v>2744</v>
      </c>
      <c r="M200" s="1321" t="s">
        <v>2745</v>
      </c>
      <c r="N200" s="1321" t="s">
        <v>2751</v>
      </c>
      <c r="O200" s="1321" t="s">
        <v>2752</v>
      </c>
      <c r="P200" s="1321" t="s">
        <v>2746</v>
      </c>
      <c r="Q200" s="1321" t="s">
        <v>2747</v>
      </c>
      <c r="R200" s="1321" t="s">
        <v>2750</v>
      </c>
      <c r="S200" s="1321" t="s">
        <v>2748</v>
      </c>
      <c r="T200" s="1321" t="s">
        <v>2749</v>
      </c>
      <c r="U200" t="s">
        <v>2768</v>
      </c>
      <c r="V200" s="1321"/>
      <c r="W200" s="1321" t="s">
        <v>2744</v>
      </c>
      <c r="X200" s="1321" t="s">
        <v>2745</v>
      </c>
      <c r="Y200" s="1321" t="s">
        <v>2751</v>
      </c>
      <c r="Z200" s="1321" t="s">
        <v>2752</v>
      </c>
      <c r="AA200" s="1321" t="s">
        <v>2746</v>
      </c>
      <c r="AB200" s="1321" t="s">
        <v>2747</v>
      </c>
      <c r="AC200" s="1321" t="s">
        <v>2750</v>
      </c>
      <c r="AD200" s="1321" t="s">
        <v>2748</v>
      </c>
      <c r="AE200" s="1321" t="s">
        <v>2749</v>
      </c>
      <c r="AF200" s="1321" t="s">
        <v>2768</v>
      </c>
    </row>
    <row r="201" spans="1:33">
      <c r="A201" s="491" t="s">
        <v>821</v>
      </c>
      <c r="B201" s="496"/>
      <c r="C201" s="496"/>
      <c r="D201" s="349">
        <f ca="1">((D$176*(IF(Vehi_Inputs!$C$102=2,Mat_Sum!$BT22,IF(Vehi_Inputs!$C$102=3,Mat_Sum!$BZ22,IF(Vehi_Inputs!$C$102=4,Mat_Sum!$CA22,Mat_Sum!$BK22)))+Mat_Sum!$CE22*LiMn2O4!$E$9)+D$177*Mat_Sum!$CF22+D$178*Mat_Sum!$CO22+D$179*Mat_Sum!$CG22+D$180*Mat_Sum!$AG22+D$181*Mat_Sum!$I22+D$182*Mat_Sum!$L22+D$183*Mat_Sum!$CI22+D$184*Mat_Sum!$CJ22+D$185*Mat_Sum!$CK22+D$186*Mat_Sum!$AQ22+D$187*Mat_Sum!$AO22+D$188*Mat_Sum!$AP22+D$189*Mat_Sum!$D22+D$190*Mat_Sum!$BE22+D$191*Mat_Sum!$CM22+D$192*Mat_Sum!$CL22)+(Battery_Assembly!$F68*$D$47/2.2046*$C$40/1000))*(1+$D$28)</f>
        <v>35.096596879847588</v>
      </c>
      <c r="E201" s="349">
        <f ca="1">((E$176*(IF(Vehi_Inputs!$C$102=2,Mat_Sum!$BT22,IF(Vehi_Inputs!$C$102=3,Mat_Sum!$BZ22,IF(Vehi_Inputs!$C$102=4,Mat_Sum!$CA22,Mat_Sum!$BK22)))+Mat_Sum!$CE22*LiMn2O4!$E$9)+E$177*Mat_Sum!$CF22+E$178*Mat_Sum!$CO22+E$179*Mat_Sum!$CG22+E$180*Mat_Sum!$AG22+E$181*Mat_Sum!$I22+E$182*Mat_Sum!$L22+E$183*Mat_Sum!$CI22+E$184*Mat_Sum!$CJ22+E$185*Mat_Sum!$CK22+E$186*Mat_Sum!$AQ22+E$187*Mat_Sum!$AO22+E$188*Mat_Sum!$AP22+E$189*Mat_Sum!$D22+E$190*Mat_Sum!$BE22+E$191*Mat_Sum!$CM22+E$192*Mat_Sum!$CL22)+(Battery_Assembly!$F68*$E$47/2.2046*$C$40/1000))*(1+$D$28)</f>
        <v>24.23440787311176</v>
      </c>
      <c r="F201" s="349">
        <f ca="1">((F$176*(IF(Vehi_Inputs!$C$103=2,Mat_Sum!$BT22,IF(Vehi_Inputs!$C$103=3,Mat_Sum!$BZ22,IF(Vehi_Inputs!$C$103=4,Mat_Sum!$CA22,Mat_Sum!$BK22)))+Mat_Sum!$CE22*LiMn2O4!$E$9)+F$177*Mat_Sum!$CF22+F$178*Mat_Sum!$CO22+F$179*Mat_Sum!$CG22+F$180*Mat_Sum!$AG22+F$181*Mat_Sum!$I22+F$182*Mat_Sum!$L22+F$183*Mat_Sum!$CI22+F$184*Mat_Sum!$CJ22+F$185*Mat_Sum!$CK22+F$186*Mat_Sum!$AQ22+F$187*Mat_Sum!$AO22+F$188*Mat_Sum!$AP22+F$189*Mat_Sum!$D22+F$190*Mat_Sum!$BE22+F$191*Mat_Sum!$CM22+F$192*Mat_Sum!$CL22)+(Battery_Assembly!$F68*$C$20))*(1+$D$29)</f>
        <v>116.23065874370897</v>
      </c>
      <c r="G201" s="349">
        <f ca="1">((G$176*(IF(Vehi_Inputs!$C$103=2,Mat_Sum!$BT22,IF(Vehi_Inputs!$C$103=3,Mat_Sum!$BZ22,IF(Vehi_Inputs!$C$103=4,Mat_Sum!$CA22,Mat_Sum!$BK22)))+Mat_Sum!$CE22*LiMn2O4!$E$9)+G$177*Mat_Sum!$CF22+G$178*Mat_Sum!$CO22+G$179*Mat_Sum!$CG22+G$180*Mat_Sum!$AG22+G$181*Mat_Sum!$I22+G$182*Mat_Sum!$L22+G$183*Mat_Sum!$CI22+G$184*Mat_Sum!$CJ22+G$185*Mat_Sum!$CK22+G$186*Mat_Sum!$AQ22+G$187*Mat_Sum!$AO22+G$188*Mat_Sum!$AP22+G$189*Mat_Sum!$D22+G$190*Mat_Sum!$BE22+G$191*Mat_Sum!$CM22+G$192*Mat_Sum!$CL22)+(Battery_Assembly!$F68*$C$21))*(1+$D$29)</f>
        <v>92.451567768446978</v>
      </c>
      <c r="H201" s="349">
        <f ca="1">((H$176*(IF(Vehi_Inputs!$C$104=2,Mat_Sum!$BT22,IF(OR(Vehi_Inputs!$C$104=7,Vehi_Inputs!$C$104=8),Mat_Sum!$BY22,IF(Vehi_Inputs!$C$104=3,Mat_Sum!$BZ22,IF(Vehi_Inputs!$C$104=4,Mat_Sum!$CA22,IF(Vehi_Inputs!$C$104=5,Mat_Sum!$BV22,IF(Vehi_Inputs!$C$104=6,Mat_Sum!$BW22,IF(Vehi_Inputs!$C$104=9,Mat_Sum!$CD22,IF(Vehi_Inputs!$C$104=10,Mat_Sum!$BU22,Mat_Sum!$BK22))))))))+Mat_Sum!$CE22*LiMn2O4!$E$9)+H$177*Mat_Sum!$CF22+H$178*Mat_Sum!$CO22+H$179*Mat_Sum!$CG22+H$180*Mat_Sum!$AG22+H$181*Mat_Sum!$I22+H$182*Mat_Sum!$L22+H$183*Mat_Sum!$CI22+H$184*Mat_Sum!$CJ22+H$185*Mat_Sum!$CK22+H$186*Mat_Sum!$AQ22+H$187*Mat_Sum!$AO22+H$188*Mat_Sum!$AP22+H$189*Mat_Sum!$D22+H$190*Mat_Sum!$BE22+H$191*Mat_Sum!$CM22+H$192*Mat_Sum!$CL22)+(Battery_Assembly!$F68*$C$22))*(1+$D$30)</f>
        <v>874.21009596428371</v>
      </c>
      <c r="I201" s="349">
        <f ca="1">((I$176*(IF(Vehi_Inputs!$C$104=2,Mat_Sum!$BT22,IF(OR(Vehi_Inputs!$C$104=7,Vehi_Inputs!$C$104=8),Mat_Sum!$BY22,IF(Vehi_Inputs!$C$104=3,Mat_Sum!$BZ22,IF(Vehi_Inputs!$C$104=4,Mat_Sum!$CA22,IF(Vehi_Inputs!$C$104=5,Mat_Sum!$BV22,IF(Vehi_Inputs!$C$104=6,Mat_Sum!$BW22,IF(Vehi_Inputs!$C$104=9,Mat_Sum!$CD22,IF(Vehi_Inputs!$C$104=10,Mat_Sum!$BU22,Mat_Sum!$BK22))))))))+Mat_Sum!$CE22*LiMn2O4!$E$9)+I$177*Mat_Sum!$CF22+I$178*Mat_Sum!$CO22+I$179*Mat_Sum!$CG22+I$180*Mat_Sum!$AG22+I$181*Mat_Sum!$I22+I$182*Mat_Sum!$L22+I$183*Mat_Sum!$CI22+I$184*Mat_Sum!$CJ22+I$185*Mat_Sum!$CK22+I$186*Mat_Sum!$AQ22+I$187*Mat_Sum!$AO22+I$188*Mat_Sum!$AP22+I$189*Mat_Sum!$D22+I$190*Mat_Sum!$BE22+I$191*Mat_Sum!$CM22+I$192*Mat_Sum!$CL22)+(Battery_Assembly!$F68*$C$23))*(1+$D$30)</f>
        <v>750.00294502596955</v>
      </c>
      <c r="J201" s="349">
        <f ca="1">((J$176*(IF(Vehi_Inputs!$C$105=2,Mat_Sum!$BT22,IF(Vehi_Inputs!$C$105=3,Mat_Sum!$BZ22,IF(Vehi_Inputs!$C$105=4,Mat_Sum!$CA22,Mat_Sum!$BK22)))+Mat_Sum!$CE22*LiMn2O4!$E$9)+J$177*Mat_Sum!$CF22+J$178*Mat_Sum!$CO22+J$179*Mat_Sum!$CG22+J$180*Mat_Sum!$AG22+J$181*Mat_Sum!$I22+J$182*Mat_Sum!$L22+J$183*Mat_Sum!$CI22+J$184*Mat_Sum!$CJ22+J$185*Mat_Sum!$CK22+J$186*Mat_Sum!$AQ22+J$187*Mat_Sum!$AO22+J$188*Mat_Sum!$AP22+J$189*Mat_Sum!$D22+J$190*Mat_Sum!$BE22+J$191*Mat_Sum!$CM22+J$192*Mat_Sum!$CL22)+(Battery_Assembly!$F68*$J$47/2.2046*$C$41/1000))*(1+$D$31)</f>
        <v>34.110455619585942</v>
      </c>
      <c r="K201" s="348">
        <f ca="1">((K$176*(IF(Vehi_Inputs!$C$105=2,Mat_Sum!$BT22,IF(Vehi_Inputs!$C$105=3,Mat_Sum!$BZ22,IF(Vehi_Inputs!$C$105=4,Mat_Sum!$CA22,Mat_Sum!$BK22)))+Mat_Sum!$CE22*LiMn2O4!$E$9)+K$177*Mat_Sum!$CF22+K$178*Mat_Sum!$CO22+K$179*Mat_Sum!$CG22+K$180*Mat_Sum!$AG22+K$181*Mat_Sum!$I22+K$182*Mat_Sum!$L22+K$183*Mat_Sum!$CI22+K$184*Mat_Sum!$CJ22+K$185*Mat_Sum!$CK22+K$186*Mat_Sum!$AQ22+K$187*Mat_Sum!$AO22+K$188*Mat_Sum!$AP22+K$189*Mat_Sum!$D22+K$190*Mat_Sum!$BE22+K$191*Mat_Sum!$CM22+K$192*Mat_Sum!$CL22)+(Battery_Assembly!$F68*$K$47/2.2046*$C$41/1000))*(1+$D$31)</f>
        <v>32.118370192552931</v>
      </c>
      <c r="L201" s="1321">
        <f>$F$180*Mat_Sum!$AE22</f>
        <v>0.17429491817589338</v>
      </c>
      <c r="M201" s="5">
        <f>$F$180*Mat_Sum!$AF22</f>
        <v>1.9421408279533408</v>
      </c>
      <c r="N201" s="1321">
        <f>$F$180*Mat_Sum!$BR22</f>
        <v>5.0310274198039906</v>
      </c>
      <c r="O201" s="1321">
        <f ca="1">$F$180*Mat_Sum!$CF22</f>
        <v>7.2967818139457101</v>
      </c>
      <c r="P201" s="1321">
        <f ca="1">$F$180*Mat_Sum!$BM22</f>
        <v>0.78966922354698998</v>
      </c>
      <c r="Q201" s="1321">
        <f ca="1">$F$180*Mat_Sum!$BN22</f>
        <v>5.4462620209330757</v>
      </c>
      <c r="R201" s="1321">
        <f>$F$180*Mat_Sum!$BO22</f>
        <v>0.19720265597427555</v>
      </c>
      <c r="S201" s="1321">
        <f ca="1">$F$180*Mat_Sum!$BP22</f>
        <v>0.9930721535143342</v>
      </c>
      <c r="T201" s="1321">
        <f ca="1">$F$180*Mat_Sum!$BQ22</f>
        <v>3.6880030781741819</v>
      </c>
      <c r="U201" s="1318">
        <f ca="1">F201-SUM(L201:T201)</f>
        <v>90.67220463168718</v>
      </c>
      <c r="V201" s="491" t="s">
        <v>821</v>
      </c>
      <c r="W201" s="1321">
        <f>$H$180*Mat_Sum!$AE22</f>
        <v>0.67351572195174614</v>
      </c>
      <c r="X201" s="5">
        <f>$H$180*Mat_Sum!$AF22</f>
        <v>7.5048796348204352</v>
      </c>
      <c r="Y201" s="1321">
        <f>$H$180*Mat_Sum!$BR22</f>
        <v>19.441049115320528</v>
      </c>
      <c r="Z201" s="1321">
        <f ca="1">$H$180*Mat_Sum!$CF22</f>
        <v>28.196446131518581</v>
      </c>
      <c r="AA201" s="1321">
        <f ca="1">$H$180*Mat_Sum!$BM22</f>
        <v>3.0514638221614327</v>
      </c>
      <c r="AB201" s="1321">
        <f ca="1">$H$180*Mat_Sum!$BN22</f>
        <v>21.045611285495614</v>
      </c>
      <c r="AC201" s="1321">
        <f>$H$180*Mat_Sum!$BO22</f>
        <v>0.76203649882252356</v>
      </c>
      <c r="AD201" s="1321">
        <f ca="1">$H$180*Mat_Sum!$BP22</f>
        <v>3.8374596082566121</v>
      </c>
      <c r="AE201" s="1321">
        <f ca="1">$H$180*Mat_Sum!$BQ22</f>
        <v>14.251293622055224</v>
      </c>
      <c r="AF201" s="1318">
        <f ca="1">H201-SUM(W201:AE201)</f>
        <v>775.44634052388096</v>
      </c>
      <c r="AG201" s="491" t="s">
        <v>821</v>
      </c>
    </row>
    <row r="202" spans="1:33">
      <c r="A202" s="491" t="s">
        <v>822</v>
      </c>
      <c r="B202" s="496"/>
      <c r="C202" s="496"/>
      <c r="D202" s="349">
        <f ca="1">((D$176*(IF(Vehi_Inputs!$C$102=2,Mat_Sum!$BT23,IF(Vehi_Inputs!$C$102=3,Mat_Sum!$BZ23,IF(Vehi_Inputs!$C$102=4,Mat_Sum!$CA23,Mat_Sum!$BK23)))+Mat_Sum!$CE23*LiMn2O4!$E$9)+D$177*Mat_Sum!$CF23+D$178*Mat_Sum!$CO23+D$179*Mat_Sum!$CG23+D$180*Mat_Sum!$AG23+D$181*Mat_Sum!$I23+D$182*Mat_Sum!$L23+D$183*Mat_Sum!$CI23+D$184*Mat_Sum!$CJ23+D$185*Mat_Sum!$CK23+D$186*Mat_Sum!$AQ23+D$187*Mat_Sum!$AO23+D$188*Mat_Sum!$AP23+D$189*Mat_Sum!$D23+D$190*Mat_Sum!$BE23+D$191*Mat_Sum!$CM23+D$192*Mat_Sum!$CL23)+(Battery_Assembly!$F69*$D$47/2.2046*$C$40/1000))*(1+$D$28)</f>
        <v>125.69037825017233</v>
      </c>
      <c r="E202" s="349">
        <f ca="1">((E$176*(IF(Vehi_Inputs!$C$102=2,Mat_Sum!$BT23,IF(Vehi_Inputs!$C$102=3,Mat_Sum!$BZ23,IF(Vehi_Inputs!$C$102=4,Mat_Sum!$CA23,Mat_Sum!$BK23)))+Mat_Sum!$CE23*LiMn2O4!$E$9)+E$177*Mat_Sum!$CF23+E$178*Mat_Sum!$CO23+E$179*Mat_Sum!$CG23+E$180*Mat_Sum!$AG23+E$181*Mat_Sum!$I23+E$182*Mat_Sum!$L23+E$183*Mat_Sum!$CI23+E$184*Mat_Sum!$CJ23+E$185*Mat_Sum!$CK23+E$186*Mat_Sum!$AQ23+E$187*Mat_Sum!$AO23+E$188*Mat_Sum!$AP23+E$189*Mat_Sum!$D23+E$190*Mat_Sum!$BE23+E$191*Mat_Sum!$CM23+E$192*Mat_Sum!$CL23)+(Battery_Assembly!$F69*$E$47/2.2046*$C$40/1000))*(1+$D$28)</f>
        <v>86.789950110217049</v>
      </c>
      <c r="F202" s="349">
        <f ca="1">((F$176*(IF(Vehi_Inputs!$C$103=2,Mat_Sum!$BT23,IF(Vehi_Inputs!$C$103=3,Mat_Sum!$BZ23,IF(Vehi_Inputs!$C$103=4,Mat_Sum!$CA23,Mat_Sum!$BK23)))+Mat_Sum!$CE23*LiMn2O4!$E$9)+F$177*Mat_Sum!$CF23+F$178*Mat_Sum!$CO23+F$179*Mat_Sum!$CG23+F$180*Mat_Sum!$AG23+F$181*Mat_Sum!$I23+F$182*Mat_Sum!$L23+F$183*Mat_Sum!$CI23+F$184*Mat_Sum!$CJ23+F$185*Mat_Sum!$CK23+F$186*Mat_Sum!$AQ23+F$187*Mat_Sum!$AO23+F$188*Mat_Sum!$AP23+F$189*Mat_Sum!$D23+F$190*Mat_Sum!$BE23+F$191*Mat_Sum!$CM23+F$192*Mat_Sum!$CL23)+(Battery_Assembly!$F69*$C$20))*(1+$D$29)</f>
        <v>415.3698478893142</v>
      </c>
      <c r="G202" s="349">
        <f ca="1">((G$176*(IF(Vehi_Inputs!$C$103=2,Mat_Sum!$BT23,IF(Vehi_Inputs!$C$103=3,Mat_Sum!$BZ23,IF(Vehi_Inputs!$C$103=4,Mat_Sum!$CA23,Mat_Sum!$BK23)))+Mat_Sum!$CE23*LiMn2O4!$E$9)+G$177*Mat_Sum!$CF23+G$178*Mat_Sum!$CO23+G$179*Mat_Sum!$CG23+G$180*Mat_Sum!$AG23+G$181*Mat_Sum!$I23+G$182*Mat_Sum!$L23+G$183*Mat_Sum!$CI23+G$184*Mat_Sum!$CJ23+G$185*Mat_Sum!$CK23+G$186*Mat_Sum!$AQ23+G$187*Mat_Sum!$AO23+G$188*Mat_Sum!$AP23+G$189*Mat_Sum!$D23+G$190*Mat_Sum!$BE23+G$191*Mat_Sum!$CM23+G$192*Mat_Sum!$CL23)+(Battery_Assembly!$F69*$C$21))*(1+$D$29)</f>
        <v>330.39125869349823</v>
      </c>
      <c r="H202" s="349">
        <f ca="1">((H$176*(IF(Vehi_Inputs!$C$104=2,Mat_Sum!$BT23,IF(OR(Vehi_Inputs!$C$104=7,Vehi_Inputs!$C$104=8),Mat_Sum!$BY23,IF(Vehi_Inputs!$C$104=3,Mat_Sum!$BZ23,IF(Vehi_Inputs!$C$104=4,Mat_Sum!$CA23,IF(Vehi_Inputs!$C$104=5,Mat_Sum!$BV23,IF(Vehi_Inputs!$C$104=6,Mat_Sum!$BW23,IF(Vehi_Inputs!$C$104=9,Mat_Sum!$CD23,IF(Vehi_Inputs!$C$104=10,Mat_Sum!$BU23,Mat_Sum!$BK23))))))))+Mat_Sum!$CE23*LiMn2O4!$E$9)+H$177*Mat_Sum!$CF23+H$178*Mat_Sum!$CO23+H$179*Mat_Sum!$CG23+H$180*Mat_Sum!$AG23+H$181*Mat_Sum!$I23+H$182*Mat_Sum!$L23+H$183*Mat_Sum!$CI23+H$184*Mat_Sum!$CJ23+H$185*Mat_Sum!$CK23+H$186*Mat_Sum!$AQ23+H$187*Mat_Sum!$AO23+H$188*Mat_Sum!$AP23+H$189*Mat_Sum!$D23+H$190*Mat_Sum!$BE23+H$191*Mat_Sum!$CM23+H$192*Mat_Sum!$CL23)+(Battery_Assembly!$F69*$C$22))*(1+$D$30)</f>
        <v>3102.9142808500237</v>
      </c>
      <c r="I202" s="349">
        <f ca="1">((I$176*(IF(Vehi_Inputs!$C$104=2,Mat_Sum!$BT23,IF(OR(Vehi_Inputs!$C$104=7,Vehi_Inputs!$C$104=8),Mat_Sum!$BY23,IF(Vehi_Inputs!$C$104=3,Mat_Sum!$BZ23,IF(Vehi_Inputs!$C$104=4,Mat_Sum!$CA23,IF(Vehi_Inputs!$C$104=5,Mat_Sum!$BV23,IF(Vehi_Inputs!$C$104=6,Mat_Sum!$BW23,IF(Vehi_Inputs!$C$104=9,Mat_Sum!$CD23,IF(Vehi_Inputs!$C$104=10,Mat_Sum!$BU23,Mat_Sum!$BK23))))))))+Mat_Sum!$CE23*LiMn2O4!$E$9)+I$177*Mat_Sum!$CF23+I$178*Mat_Sum!$CO23+I$179*Mat_Sum!$CG23+I$180*Mat_Sum!$AG23+I$181*Mat_Sum!$I23+I$182*Mat_Sum!$L23+I$183*Mat_Sum!$CI23+I$184*Mat_Sum!$CJ23+I$185*Mat_Sum!$CK23+I$186*Mat_Sum!$AQ23+I$187*Mat_Sum!$AO23+I$188*Mat_Sum!$AP23+I$189*Mat_Sum!$D23+I$190*Mat_Sum!$BE23+I$191*Mat_Sum!$CM23+I$192*Mat_Sum!$CL23)+(Battery_Assembly!$F69*$C$23))*(1+$D$30)</f>
        <v>2662.0544186620054</v>
      </c>
      <c r="J202" s="349">
        <f ca="1">((J$176*(IF(Vehi_Inputs!$C$105=2,Mat_Sum!$BT23,IF(Vehi_Inputs!$C$105=3,Mat_Sum!$BZ23,IF(Vehi_Inputs!$C$105=4,Mat_Sum!$CA23,Mat_Sum!$BK23)))+Mat_Sum!$CE23*LiMn2O4!$E$9)+J$177*Mat_Sum!$CF23+J$178*Mat_Sum!$CO23+J$179*Mat_Sum!$CG23+J$180*Mat_Sum!$AG23+J$181*Mat_Sum!$I23+J$182*Mat_Sum!$L23+J$183*Mat_Sum!$CI23+J$184*Mat_Sum!$CJ23+J$185*Mat_Sum!$CK23+J$186*Mat_Sum!$AQ23+J$187*Mat_Sum!$AO23+J$188*Mat_Sum!$AP23+J$189*Mat_Sum!$D23+J$190*Mat_Sum!$BE23+J$191*Mat_Sum!$CM23+J$192*Mat_Sum!$CL23)+(Battery_Assembly!$F69*$J$47/2.2046*$C$41/1000))*(1+$D$31)</f>
        <v>122.76290638072184</v>
      </c>
      <c r="K202" s="348">
        <f ca="1">((K$176*(IF(Vehi_Inputs!$C$105=2,Mat_Sum!$BT23,IF(Vehi_Inputs!$C$105=3,Mat_Sum!$BZ23,IF(Vehi_Inputs!$C$105=4,Mat_Sum!$CA23,Mat_Sum!$BK23)))+Mat_Sum!$CE23*LiMn2O4!$E$9)+K$177*Mat_Sum!$CF23+K$178*Mat_Sum!$CO23+K$179*Mat_Sum!$CG23+K$180*Mat_Sum!$AG23+K$181*Mat_Sum!$I23+K$182*Mat_Sum!$L23+K$183*Mat_Sum!$CI23+K$184*Mat_Sum!$CJ23+K$185*Mat_Sum!$CK23+K$186*Mat_Sum!$AQ23+K$187*Mat_Sum!$AO23+K$188*Mat_Sum!$AP23+K$189*Mat_Sum!$D23+K$190*Mat_Sum!$BE23+K$191*Mat_Sum!$CM23+K$192*Mat_Sum!$CL23)+(Battery_Assembly!$F69*$K$47/2.2046*$C$41/1000))*(1+$D$31)</f>
        <v>115.5934273356858</v>
      </c>
      <c r="L202" s="1321">
        <f>$F$180*Mat_Sum!$AE23</f>
        <v>1.3229066290877867</v>
      </c>
      <c r="M202" s="5">
        <f>$F$180*Mat_Sum!$AF23</f>
        <v>12.326363935097929</v>
      </c>
      <c r="N202" s="1321">
        <f>$F$180*Mat_Sum!BR23</f>
        <v>21.722164143186106</v>
      </c>
      <c r="O202" s="1321">
        <f ca="1">$F$180*Mat_Sum!CF23</f>
        <v>8.8140541904537191</v>
      </c>
      <c r="P202" s="1321">
        <f ca="1">$F$180*Mat_Sum!BM23</f>
        <v>3.9346782379927689</v>
      </c>
      <c r="Q202" s="1321">
        <f ca="1">$F$180*Mat_Sum!BN23</f>
        <v>30.684348621333552</v>
      </c>
      <c r="R202" s="1321">
        <f>$F$180*Mat_Sum!BO23</f>
        <v>0.90902877207445576</v>
      </c>
      <c r="S202" s="1321">
        <f ca="1">$F$180*Mat_Sum!BP23</f>
        <v>3.0277552812100157</v>
      </c>
      <c r="T202" s="1321">
        <f ca="1">$F$180*Mat_Sum!BQ23</f>
        <v>11.895990662188835</v>
      </c>
      <c r="U202" s="1318">
        <f t="shared" ref="U202:U213" ca="1" si="12">F202-SUM(L202:T202)</f>
        <v>320.73255741668902</v>
      </c>
      <c r="V202" s="491" t="s">
        <v>822</v>
      </c>
      <c r="W202" s="1321">
        <f>$H$180*Mat_Sum!$AE23</f>
        <v>5.1120160168160593</v>
      </c>
      <c r="X202" s="5">
        <f>$H$180*Mat_Sum!$AF23</f>
        <v>47.631910279847119</v>
      </c>
      <c r="Y202" s="1321">
        <f>$H$180*Mat_Sum!$BR23</f>
        <v>83.939447107046064</v>
      </c>
      <c r="Z202" s="1321">
        <f ca="1">$H$180*Mat_Sum!$CF23</f>
        <v>34.059536178871284</v>
      </c>
      <c r="AA202" s="1321">
        <f ca="1">$H$180*Mat_Sum!$BM23</f>
        <v>15.204503274359112</v>
      </c>
      <c r="AB202" s="1321">
        <f ca="1">$H$180*Mat_Sum!$BN23</f>
        <v>118.57139284726942</v>
      </c>
      <c r="AC202" s="1321">
        <f>$H$180*Mat_Sum!$BO23</f>
        <v>3.5126966185025328</v>
      </c>
      <c r="AD202" s="1321">
        <f ca="1">$H$180*Mat_Sum!$BP23</f>
        <v>11.699944011330459</v>
      </c>
      <c r="AE202" s="1321">
        <f ca="1">$H$180*Mat_Sum!$BQ23</f>
        <v>45.968848793914503</v>
      </c>
      <c r="AF202" s="1318">
        <f t="shared" ref="AF202:AF213" ca="1" si="13">H202-SUM(W202:AE202)</f>
        <v>2737.2139857220673</v>
      </c>
      <c r="AG202" s="491" t="s">
        <v>822</v>
      </c>
    </row>
    <row r="203" spans="1:33">
      <c r="A203" s="491" t="s">
        <v>823</v>
      </c>
      <c r="B203" s="496"/>
      <c r="C203" s="496"/>
      <c r="D203" s="349">
        <f ca="1">((D$176*(IF(Vehi_Inputs!$C$102=2,Mat_Sum!$BT24,IF(Vehi_Inputs!$C$102=3,Mat_Sum!$BZ24,IF(Vehi_Inputs!$C$102=4,Mat_Sum!$CA24,Mat_Sum!$BK24)))+Mat_Sum!$CE24*LiMn2O4!$E$9)+D$177*Mat_Sum!$CF24+D$178*Mat_Sum!$CO24+D$179*Mat_Sum!$CG24+D$180*Mat_Sum!$AG24+D$181*Mat_Sum!$I24+D$182*Mat_Sum!$L24+D$183*Mat_Sum!$CI24+D$184*Mat_Sum!$CJ24+D$185*Mat_Sum!$CK24+D$186*Mat_Sum!$AQ24+D$187*Mat_Sum!$AO24+D$188*Mat_Sum!$AP24+D$189*Mat_Sum!$D24+D$190*Mat_Sum!$BE24+D$191*Mat_Sum!$CM24+D$192*Mat_Sum!$CL24)+(Battery_Assembly!$F70*$D$47/2.2046*$C$40/1000))*(1+$D$28)</f>
        <v>215.80628660169646</v>
      </c>
      <c r="E203" s="349">
        <f ca="1">((E$176*(IF(Vehi_Inputs!$C$102=2,Mat_Sum!$BT24,IF(Vehi_Inputs!$C$102=3,Mat_Sum!$BZ24,IF(Vehi_Inputs!$C$102=4,Mat_Sum!$CA24,Mat_Sum!$BK24)))+Mat_Sum!$CE24*LiMn2O4!$E$9)+E$177*Mat_Sum!$CF24+E$178*Mat_Sum!$CO24+E$179*Mat_Sum!$CG24+E$180*Mat_Sum!$AG24+E$181*Mat_Sum!$I24+E$182*Mat_Sum!$L24+E$183*Mat_Sum!$CI24+E$184*Mat_Sum!$CJ24+E$185*Mat_Sum!$CK24+E$186*Mat_Sum!$AQ24+E$187*Mat_Sum!$AO24+E$188*Mat_Sum!$AP24+E$189*Mat_Sum!$D24+E$190*Mat_Sum!$BE24+E$191*Mat_Sum!$CM24+E$192*Mat_Sum!$CL24)+(Battery_Assembly!$F70*$E$47/2.2046*$C$40/1000))*(1+$D$28)</f>
        <v>149.01551819943515</v>
      </c>
      <c r="F203" s="349">
        <f ca="1">((F$176*(IF(Vehi_Inputs!$C$103=2,Mat_Sum!$BT24,IF(Vehi_Inputs!$C$103=3,Mat_Sum!$BZ24,IF(Vehi_Inputs!$C$103=4,Mat_Sum!$CA24,Mat_Sum!$BK24)))+Mat_Sum!$CE24*LiMn2O4!$E$9)+F$177*Mat_Sum!$CF24+F$178*Mat_Sum!$CO24+F$179*Mat_Sum!$CG24+F$180*Mat_Sum!$AG24+F$181*Mat_Sum!$I24+F$182*Mat_Sum!$L24+F$183*Mat_Sum!$CI24+F$184*Mat_Sum!$CJ24+F$185*Mat_Sum!$CK24+F$186*Mat_Sum!$AQ24+F$187*Mat_Sum!$AO24+F$188*Mat_Sum!$AP24+F$189*Mat_Sum!$D24+F$190*Mat_Sum!$BE24+F$191*Mat_Sum!$CM24+F$192*Mat_Sum!$CL24)+(Battery_Assembly!$F70*$C$20))*(1+$D$29)</f>
        <v>752.266126805049</v>
      </c>
      <c r="G203" s="349">
        <f ca="1">((G$176*(IF(Vehi_Inputs!$C$103=2,Mat_Sum!$BT24,IF(Vehi_Inputs!$C$103=3,Mat_Sum!$BZ24,IF(Vehi_Inputs!$C$103=4,Mat_Sum!$CA24,Mat_Sum!$BK24)))+Mat_Sum!$CE24*LiMn2O4!$E$9)+G$177*Mat_Sum!$CF24+G$178*Mat_Sum!$CO24+G$179*Mat_Sum!$CG24+G$180*Mat_Sum!$AG24+G$181*Mat_Sum!$I24+G$182*Mat_Sum!$L24+G$183*Mat_Sum!$CI24+G$184*Mat_Sum!$CJ24+G$185*Mat_Sum!$CK24+G$186*Mat_Sum!$AQ24+G$187*Mat_Sum!$AO24+G$188*Mat_Sum!$AP24+G$189*Mat_Sum!$D24+G$190*Mat_Sum!$BE24+G$191*Mat_Sum!$CM24+G$192*Mat_Sum!$CL24)+(Battery_Assembly!$F70*$C$21))*(1+$D$29)</f>
        <v>598.36349164620435</v>
      </c>
      <c r="H203" s="349">
        <f ca="1">((H$176*(IF(Vehi_Inputs!$C$104=2,Mat_Sum!$BT24,IF(OR(Vehi_Inputs!$C$104=7,Vehi_Inputs!$C$104=8),Mat_Sum!$BY24,IF(Vehi_Inputs!$C$104=3,Mat_Sum!$BZ24,IF(Vehi_Inputs!$C$104=4,Mat_Sum!$CA24,IF(Vehi_Inputs!$C$104=5,Mat_Sum!$BV24,IF(Vehi_Inputs!$C$104=6,Mat_Sum!$BW24,IF(Vehi_Inputs!$C$104=9,Mat_Sum!$CD24,IF(Vehi_Inputs!$C$104=10,Mat_Sum!$BU24,Mat_Sum!$BK24))))))))+Mat_Sum!$CE24*LiMn2O4!$E$9)+H$177*Mat_Sum!$CF24+H$178*Mat_Sum!$CO24+H$179*Mat_Sum!$CG24+H$180*Mat_Sum!$AG24+H$181*Mat_Sum!$I24+H$182*Mat_Sum!$L24+H$183*Mat_Sum!$CI24+H$184*Mat_Sum!$CJ24+H$185*Mat_Sum!$CK24+H$186*Mat_Sum!$AQ24+H$187*Mat_Sum!$AO24+H$188*Mat_Sum!$AP24+H$189*Mat_Sum!$D24+H$190*Mat_Sum!$BE24+H$191*Mat_Sum!$CM24+H$192*Mat_Sum!$CL24)+(Battery_Assembly!$F70*$C$22))*(1+$D$30)</f>
        <v>5957.8005104287213</v>
      </c>
      <c r="I203" s="349">
        <f ca="1">((I$176*(IF(Vehi_Inputs!$C$104=2,Mat_Sum!$BT24,IF(OR(Vehi_Inputs!$C$104=7,Vehi_Inputs!$C$104=8),Mat_Sum!$BY24,IF(Vehi_Inputs!$C$104=3,Mat_Sum!$BZ24,IF(Vehi_Inputs!$C$104=4,Mat_Sum!$CA24,IF(Vehi_Inputs!$C$104=5,Mat_Sum!$BV24,IF(Vehi_Inputs!$C$104=6,Mat_Sum!$BW24,IF(Vehi_Inputs!$C$104=9,Mat_Sum!$CD24,IF(Vehi_Inputs!$C$104=10,Mat_Sum!$BU24,Mat_Sum!$BK24))))))))+Mat_Sum!$CE24*LiMn2O4!$E$9)+I$177*Mat_Sum!$CF24+I$178*Mat_Sum!$CO24+I$179*Mat_Sum!$CG24+I$180*Mat_Sum!$AG24+I$181*Mat_Sum!$I24+I$182*Mat_Sum!$L24+I$183*Mat_Sum!$CI24+I$184*Mat_Sum!$CJ24+I$185*Mat_Sum!$CK24+I$186*Mat_Sum!$AQ24+I$187*Mat_Sum!$AO24+I$188*Mat_Sum!$AP24+I$189*Mat_Sum!$D24+I$190*Mat_Sum!$BE24+I$191*Mat_Sum!$CM24+I$192*Mat_Sum!$CL24)+(Battery_Assembly!$F70*$C$23))*(1+$D$30)</f>
        <v>5111.3204358158391</v>
      </c>
      <c r="J203" s="349">
        <f ca="1">((J$176*(IF(Vehi_Inputs!$C$105=2,Mat_Sum!$BT24,IF(Vehi_Inputs!$C$105=3,Mat_Sum!$BZ24,IF(Vehi_Inputs!$C$105=4,Mat_Sum!$CA24,Mat_Sum!$BK24)))+Mat_Sum!$CE24*LiMn2O4!$E$9)+J$177*Mat_Sum!$CF24+J$178*Mat_Sum!$CO24+J$179*Mat_Sum!$CG24+J$180*Mat_Sum!$AG24+J$181*Mat_Sum!$I24+J$182*Mat_Sum!$L24+J$183*Mat_Sum!$CI24+J$184*Mat_Sum!$CJ24+J$185*Mat_Sum!$CK24+J$186*Mat_Sum!$AQ24+J$187*Mat_Sum!$AO24+J$188*Mat_Sum!$AP24+J$189*Mat_Sum!$D24+J$190*Mat_Sum!$BE24+J$191*Mat_Sum!$CM24+J$192*Mat_Sum!$CL24)+(Battery_Assembly!$F70*$J$47/2.2046*$C$41/1000))*(1+$D$31)</f>
        <v>208.77003377266161</v>
      </c>
      <c r="K203" s="348">
        <f ca="1">((K$176*(IF(Vehi_Inputs!$C$105=2,Mat_Sum!$BT24,IF(Vehi_Inputs!$C$105=3,Mat_Sum!$BZ24,IF(Vehi_Inputs!$C$105=4,Mat_Sum!$CA24,Mat_Sum!$BK24)))+Mat_Sum!$CE24*LiMn2O4!$E$9)+K$177*Mat_Sum!$CF24+K$178*Mat_Sum!$CO24+K$179*Mat_Sum!$CG24+K$180*Mat_Sum!$AG24+K$181*Mat_Sum!$I24+K$182*Mat_Sum!$L24+K$183*Mat_Sum!$CI24+K$184*Mat_Sum!$CJ24+K$185*Mat_Sum!$CK24+K$186*Mat_Sum!$AQ24+K$187*Mat_Sum!$AO24+K$188*Mat_Sum!$AP24+K$189*Mat_Sum!$D24+K$190*Mat_Sum!$BE24+K$191*Mat_Sum!$CM24+K$192*Mat_Sum!$CL24)+(Battery_Assembly!$F70*$K$47/2.2046*$C$41/1000))*(1+$D$31)</f>
        <v>196.57765069464403</v>
      </c>
      <c r="L203" s="1321">
        <f>$F$180*Mat_Sum!$AE24</f>
        <v>1.254185329462248</v>
      </c>
      <c r="M203" s="5">
        <f>$F$180*Mat_Sum!$AF24</f>
        <v>17.743641095926282</v>
      </c>
      <c r="N203" s="1321">
        <f>$F$180*Mat_Sum!BR24</f>
        <v>43.718129463763091</v>
      </c>
      <c r="O203" s="1321">
        <f ca="1">$F$180*Mat_Sum!CF24</f>
        <v>88.159819052060001</v>
      </c>
      <c r="P203" s="1321">
        <f ca="1">$F$180*Mat_Sum!BM24</f>
        <v>16.267554086819718</v>
      </c>
      <c r="Q203" s="1321">
        <f ca="1">$F$180*Mat_Sum!BN24</f>
        <v>42.682888870285552</v>
      </c>
      <c r="R203" s="1321">
        <f>$F$180*Mat_Sum!BO24</f>
        <v>1.2232978202948679</v>
      </c>
      <c r="S203" s="1321">
        <f ca="1">$F$180*Mat_Sum!BP24</f>
        <v>6.9371735405281481</v>
      </c>
      <c r="T203" s="1321">
        <f ca="1">$F$180*Mat_Sum!BQ24</f>
        <v>21.595627095052308</v>
      </c>
      <c r="U203" s="1318">
        <f t="shared" ca="1" si="12"/>
        <v>512.68381045085675</v>
      </c>
      <c r="V203" s="491" t="s">
        <v>823</v>
      </c>
      <c r="W203" s="1321">
        <f>$H$180*Mat_Sum!$AE24</f>
        <v>4.846461081450431</v>
      </c>
      <c r="X203" s="5">
        <f>$H$180*Mat_Sum!$AF24</f>
        <v>68.565517387691358</v>
      </c>
      <c r="Y203" s="1321">
        <f>$H$180*Mat_Sum!$BR24</f>
        <v>168.93692504821865</v>
      </c>
      <c r="Z203" s="1321">
        <f ca="1">$H$180*Mat_Sum!$CF24</f>
        <v>340.66985312825886</v>
      </c>
      <c r="AA203" s="1321">
        <f ca="1">$H$180*Mat_Sum!$BM24</f>
        <v>62.861577089221413</v>
      </c>
      <c r="AB203" s="1321">
        <f ca="1">$H$180*Mat_Sum!$BN24</f>
        <v>164.93651687219753</v>
      </c>
      <c r="AC203" s="1321">
        <f>$H$180*Mat_Sum!$BO24</f>
        <v>4.7271046294443826</v>
      </c>
      <c r="AD203" s="1321">
        <f ca="1">$H$180*Mat_Sum!$BP24</f>
        <v>26.806836908108941</v>
      </c>
      <c r="AE203" s="1321">
        <f ca="1">$H$180*Mat_Sum!$BQ24</f>
        <v>83.450478798506666</v>
      </c>
      <c r="AF203" s="1318">
        <f t="shared" ca="1" si="13"/>
        <v>5031.9992394856226</v>
      </c>
      <c r="AG203" s="491" t="s">
        <v>823</v>
      </c>
    </row>
    <row r="204" spans="1:33">
      <c r="A204" s="491" t="s">
        <v>824</v>
      </c>
      <c r="B204" s="496"/>
      <c r="C204" s="496"/>
      <c r="D204" s="349">
        <f ca="1">((D$176*(IF(Vehi_Inputs!$C$102=2,Mat_Sum!$BT25,IF(Vehi_Inputs!$C$102=3,Mat_Sum!$BZ25,IF(Vehi_Inputs!$C$102=4,Mat_Sum!$CA25,Mat_Sum!$BK25)))+Mat_Sum!$CE25*LiMn2O4!$E$9)+D$177*Mat_Sum!$CF25+D$178*Mat_Sum!$CO25+D$179*Mat_Sum!$CG25+D$180*Mat_Sum!$AG25+D$181*Mat_Sum!$I25+D$182*Mat_Sum!$L25+D$183*Mat_Sum!$CI25+D$184*Mat_Sum!$CJ25+D$185*Mat_Sum!$CK25+D$186*Mat_Sum!$AQ25+D$187*Mat_Sum!$AO25+D$188*Mat_Sum!$AP25+D$189*Mat_Sum!$D25+D$190*Mat_Sum!$BE25+D$191*Mat_Sum!$CM25+D$192*Mat_Sum!$CL25)+(Battery_Assembly!$F71*$D$47/2.2046*$C$40/1000))*(1+$D$28)</f>
        <v>92.419950824631215</v>
      </c>
      <c r="E204" s="349">
        <f ca="1">((E$176*(IF(Vehi_Inputs!$C$102=2,Mat_Sum!$BT25,IF(Vehi_Inputs!$C$102=3,Mat_Sum!$BZ25,IF(Vehi_Inputs!$C$102=4,Mat_Sum!$CA25,Mat_Sum!$BK25)))+Mat_Sum!$CE25*LiMn2O4!$E$9)+E$177*Mat_Sum!$CF25+E$178*Mat_Sum!$CO25+E$179*Mat_Sum!$CG25+E$180*Mat_Sum!$AG25+E$181*Mat_Sum!$I25+E$182*Mat_Sum!$L25+E$183*Mat_Sum!$CI25+E$184*Mat_Sum!$CJ25+E$185*Mat_Sum!$CK25+E$186*Mat_Sum!$AQ25+E$187*Mat_Sum!$AO25+E$188*Mat_Sum!$AP25+E$189*Mat_Sum!$D25+E$190*Mat_Sum!$BE25+E$191*Mat_Sum!$CM25+E$192*Mat_Sum!$CL25)+(Battery_Assembly!$F71*$E$47/2.2046*$C$40/1000))*(1+$D$28)</f>
        <v>63.816523053923277</v>
      </c>
      <c r="F204" s="349">
        <f ca="1">((F$176*(IF(Vehi_Inputs!$C$103=2,Mat_Sum!$BT25,IF(Vehi_Inputs!$C$103=3,Mat_Sum!$BZ25,IF(Vehi_Inputs!$C$103=4,Mat_Sum!$CA25,Mat_Sum!$BK25)))+Mat_Sum!$CE25*LiMn2O4!$E$9)+F$177*Mat_Sum!$CF25+F$178*Mat_Sum!$CO25+F$179*Mat_Sum!$CG25+F$180*Mat_Sum!$AG25+F$181*Mat_Sum!$I25+F$182*Mat_Sum!$L25+F$183*Mat_Sum!$CI25+F$184*Mat_Sum!$CJ25+F$185*Mat_Sum!$CK25+F$186*Mat_Sum!$AQ25+F$187*Mat_Sum!$AO25+F$188*Mat_Sum!$AP25+F$189*Mat_Sum!$D25+F$190*Mat_Sum!$BE25+F$191*Mat_Sum!$CM25+F$192*Mat_Sum!$CL25)+(Battery_Assembly!$F71*$C$20))*(1+$D$29)</f>
        <v>368.24934292527621</v>
      </c>
      <c r="G204" s="349">
        <f ca="1">((G$176*(IF(Vehi_Inputs!$C$103=2,Mat_Sum!$BT25,IF(Vehi_Inputs!$C$103=3,Mat_Sum!$BZ25,IF(Vehi_Inputs!$C$103=4,Mat_Sum!$CA25,Mat_Sum!$BK25)))+Mat_Sum!$CE25*LiMn2O4!$E$9)+G$177*Mat_Sum!$CF25+G$178*Mat_Sum!$CO25+G$179*Mat_Sum!$CG25+G$180*Mat_Sum!$AG25+G$181*Mat_Sum!$I25+G$182*Mat_Sum!$L25+G$183*Mat_Sum!$CI25+G$184*Mat_Sum!$CJ25+G$185*Mat_Sum!$CK25+G$186*Mat_Sum!$AQ25+G$187*Mat_Sum!$AO25+G$188*Mat_Sum!$AP25+G$189*Mat_Sum!$D25+G$190*Mat_Sum!$BE25+G$191*Mat_Sum!$CM25+G$192*Mat_Sum!$CL25)+(Battery_Assembly!$F71*$C$21))*(1+$D$29)</f>
        <v>292.91091912515691</v>
      </c>
      <c r="H204" s="349">
        <f ca="1">((H$176*(IF(Vehi_Inputs!$C$104=2,Mat_Sum!$BT25,IF(OR(Vehi_Inputs!$C$104=7,Vehi_Inputs!$C$104=8),Mat_Sum!$BY25,IF(Vehi_Inputs!$C$104=3,Mat_Sum!$BZ25,IF(Vehi_Inputs!$C$104=4,Mat_Sum!$CA25,IF(Vehi_Inputs!$C$104=5,Mat_Sum!$BV25,IF(Vehi_Inputs!$C$104=6,Mat_Sum!$BW25,IF(Vehi_Inputs!$C$104=9,Mat_Sum!$CD25,IF(Vehi_Inputs!$C$104=10,Mat_Sum!$BU25,Mat_Sum!$BK25))))))))+Mat_Sum!$CE25*LiMn2O4!$E$9)+H$177*Mat_Sum!$CF25+H$178*Mat_Sum!$CO25+H$179*Mat_Sum!$CG25+H$180*Mat_Sum!$AG25+H$181*Mat_Sum!$I25+H$182*Mat_Sum!$L25+H$183*Mat_Sum!$CI25+H$184*Mat_Sum!$CJ25+H$185*Mat_Sum!$CK25+H$186*Mat_Sum!$AQ25+H$187*Mat_Sum!$AO25+H$188*Mat_Sum!$AP25+H$189*Mat_Sum!$D25+H$190*Mat_Sum!$BE25+H$191*Mat_Sum!$CM25+H$192*Mat_Sum!$CL25)+(Battery_Assembly!$F71*$C$22))*(1+$D$30)</f>
        <v>3183.3559468342896</v>
      </c>
      <c r="I204" s="349">
        <f ca="1">((I$176*(IF(Vehi_Inputs!$C$104=2,Mat_Sum!$BT25,IF(OR(Vehi_Inputs!$C$104=7,Vehi_Inputs!$C$104=8),Mat_Sum!$BY25,IF(Vehi_Inputs!$C$104=3,Mat_Sum!$BZ25,IF(Vehi_Inputs!$C$104=4,Mat_Sum!$CA25,IF(Vehi_Inputs!$C$104=5,Mat_Sum!$BV25,IF(Vehi_Inputs!$C$104=6,Mat_Sum!$BW25,IF(Vehi_Inputs!$C$104=9,Mat_Sum!$CD25,IF(Vehi_Inputs!$C$104=10,Mat_Sum!$BU25,Mat_Sum!$BK25))))))))+Mat_Sum!$CE25*LiMn2O4!$E$9)+I$177*Mat_Sum!$CF25+I$178*Mat_Sum!$CO25+I$179*Mat_Sum!$CG25+I$180*Mat_Sum!$AG25+I$181*Mat_Sum!$I25+I$182*Mat_Sum!$L25+I$183*Mat_Sum!$CI25+I$184*Mat_Sum!$CJ25+I$185*Mat_Sum!$CK25+I$186*Mat_Sum!$AQ25+I$187*Mat_Sum!$AO25+I$188*Mat_Sum!$AP25+I$189*Mat_Sum!$D25+I$190*Mat_Sum!$BE25+I$191*Mat_Sum!$CM25+I$192*Mat_Sum!$CL25)+(Battery_Assembly!$F71*$C$23))*(1+$D$30)</f>
        <v>2731.0669897470457</v>
      </c>
      <c r="J204" s="349">
        <f ca="1">((J$176*(IF(Vehi_Inputs!$C$105=2,Mat_Sum!$BT25,IF(Vehi_Inputs!$C$105=3,Mat_Sum!$BZ25,IF(Vehi_Inputs!$C$105=4,Mat_Sum!$CA25,Mat_Sum!$BK25)))+Mat_Sum!$CE25*LiMn2O4!$E$9)+J$177*Mat_Sum!$CF25+J$178*Mat_Sum!$CO25+J$179*Mat_Sum!$CG25+J$180*Mat_Sum!$AG25+J$181*Mat_Sum!$I25+J$182*Mat_Sum!$L25+J$183*Mat_Sum!$CI25+J$184*Mat_Sum!$CJ25+J$185*Mat_Sum!$CK25+J$186*Mat_Sum!$AQ25+J$187*Mat_Sum!$AO25+J$188*Mat_Sum!$AP25+J$189*Mat_Sum!$D25+J$190*Mat_Sum!$BE25+J$191*Mat_Sum!$CM25+J$192*Mat_Sum!$CL25)+(Battery_Assembly!$F71*$J$47/2.2046*$C$41/1000))*(1+$D$31)</f>
        <v>85.524489393175784</v>
      </c>
      <c r="K204" s="348">
        <f ca="1">((K$176*(IF(Vehi_Inputs!$C$105=2,Mat_Sum!$BT25,IF(Vehi_Inputs!$C$105=3,Mat_Sum!$BZ25,IF(Vehi_Inputs!$C$105=4,Mat_Sum!$CA25,Mat_Sum!$BK25)))+Mat_Sum!$CE25*LiMn2O4!$E$9)+K$177*Mat_Sum!$CF25+K$178*Mat_Sum!$CO25+K$179*Mat_Sum!$CG25+K$180*Mat_Sum!$AG25+K$181*Mat_Sum!$I25+K$182*Mat_Sum!$L25+K$183*Mat_Sum!$CI25+K$184*Mat_Sum!$CJ25+K$185*Mat_Sum!$CK25+K$186*Mat_Sum!$AQ25+K$187*Mat_Sum!$AO25+K$188*Mat_Sum!$AP25+K$189*Mat_Sum!$D25+K$190*Mat_Sum!$BE25+K$191*Mat_Sum!$CM25+K$192*Mat_Sum!$CL25)+(Battery_Assembly!$F71*$K$47/2.2046*$C$41/1000))*(1+$D$31)</f>
        <v>80.529771911983346</v>
      </c>
      <c r="L204" s="1321">
        <f>$F$180*Mat_Sum!$AE25</f>
        <v>0.45060963089617878</v>
      </c>
      <c r="M204" s="5">
        <f>$F$180*Mat_Sum!$AF25</f>
        <v>2.1751225307661151</v>
      </c>
      <c r="N204" s="1321">
        <f>$F$180*Mat_Sum!BR25</f>
        <v>8.0642491745646723</v>
      </c>
      <c r="O204" s="1321">
        <f ca="1">$F$180*Mat_Sum!CF25</f>
        <v>34.973862935001137</v>
      </c>
      <c r="P204" s="1321">
        <f ca="1">$F$180*Mat_Sum!BM25</f>
        <v>1.1817146010105271</v>
      </c>
      <c r="Q204" s="1321">
        <f ca="1">$F$180*Mat_Sum!BN25</f>
        <v>16.292315068709428</v>
      </c>
      <c r="R204" s="1321">
        <f>$F$180*Mat_Sum!BO25</f>
        <v>6.4736781369787817</v>
      </c>
      <c r="S204" s="1321">
        <f ca="1">$F$180*Mat_Sum!BP25</f>
        <v>81.362001348363549</v>
      </c>
      <c r="T204" s="1321">
        <f ca="1">$F$180*Mat_Sum!BQ25</f>
        <v>2.2230115783959263</v>
      </c>
      <c r="U204" s="1318">
        <f t="shared" ca="1" si="12"/>
        <v>215.0527779205899</v>
      </c>
      <c r="V204" s="491" t="s">
        <v>824</v>
      </c>
      <c r="W204" s="1321">
        <f>$H$180*Mat_Sum!$AE25</f>
        <v>1.7412594357178772</v>
      </c>
      <c r="X204" s="5">
        <f>$H$180*Mat_Sum!$AF25</f>
        <v>8.4051746142365129</v>
      </c>
      <c r="Y204" s="1321">
        <f>$H$180*Mat_Sum!$BR25</f>
        <v>31.162116839944172</v>
      </c>
      <c r="Z204" s="1321">
        <f ca="1">$H$180*Mat_Sum!$CF25</f>
        <v>135.14706447343019</v>
      </c>
      <c r="AA204" s="1321">
        <f ca="1">$H$180*Mat_Sum!$BM25</f>
        <v>4.5664174892197495</v>
      </c>
      <c r="AB204" s="1321">
        <f ca="1">$H$180*Mat_Sum!$BN25</f>
        <v>62.957259228254586</v>
      </c>
      <c r="AC204" s="1321">
        <f>$H$180*Mat_Sum!$BO25</f>
        <v>25.015783877934918</v>
      </c>
      <c r="AD204" s="1321">
        <f ca="1">$H$180*Mat_Sum!$BP25</f>
        <v>314.40151928170894</v>
      </c>
      <c r="AE204" s="1321">
        <f ca="1">$H$180*Mat_Sum!$BQ25</f>
        <v>8.5902289280715483</v>
      </c>
      <c r="AF204" s="1318">
        <f t="shared" ca="1" si="13"/>
        <v>2591.3691226657711</v>
      </c>
      <c r="AG204" s="491" t="s">
        <v>824</v>
      </c>
    </row>
    <row r="205" spans="1:33" s="64" customFormat="1">
      <c r="A205" s="494" t="s">
        <v>825</v>
      </c>
      <c r="B205" s="349"/>
      <c r="C205" s="349"/>
      <c r="D205" s="349">
        <f ca="1">((D$176*(IF(Vehi_Inputs!$C$102=2,Mat_Sum!$BT26,IF(Vehi_Inputs!$C$102=3,Mat_Sum!$BZ26,IF(Vehi_Inputs!$C$102=4,Mat_Sum!$CA26,Mat_Sum!$BK26)))+Mat_Sum!$CE26*LiMn2O4!$E$9)+D$177*Mat_Sum!$CF26+D$178*Mat_Sum!$CO26+D$179*Mat_Sum!$CG26+D$180*Mat_Sum!$AG26+D$181*Mat_Sum!$I26+D$182*Mat_Sum!$L26+D$183*Mat_Sum!$CI26+D$184*Mat_Sum!$CJ26+D$185*Mat_Sum!$CK26+D$186*Mat_Sum!$AQ26+D$187*Mat_Sum!$AO26+D$188*Mat_Sum!$AP26+D$189*Mat_Sum!$D26+D$190*Mat_Sum!$BE26+D$191*Mat_Sum!$CM26+D$192*Mat_Sum!$CL26)+(Battery_Assembly!$F72*$D$47/2.2046*$C$40/1000))*(1+$D$28)</f>
        <v>34.17820431829989</v>
      </c>
      <c r="E205" s="349">
        <f ca="1">((E$176*(IF(Vehi_Inputs!$C$102=2,Mat_Sum!$BT26,IF(Vehi_Inputs!$C$102=3,Mat_Sum!$BZ26,IF(Vehi_Inputs!$C$102=4,Mat_Sum!$CA26,Mat_Sum!$BK26)))+Mat_Sum!$CE26*LiMn2O4!$E$9)+E$177*Mat_Sum!$CF26+E$178*Mat_Sum!$CO26+E$179*Mat_Sum!$CG26+E$180*Mat_Sum!$AG26+E$181*Mat_Sum!$I26+E$182*Mat_Sum!$L26+E$183*Mat_Sum!$CI26+E$184*Mat_Sum!$CJ26+E$185*Mat_Sum!$CK26+E$186*Mat_Sum!$AQ26+E$187*Mat_Sum!$AO26+E$188*Mat_Sum!$AP26+E$189*Mat_Sum!$D26+E$190*Mat_Sum!$BE26+E$191*Mat_Sum!$CM26+E$192*Mat_Sum!$CL26)+(Battery_Assembly!$F72*$E$47/2.2046*$C$40/1000))*(1+$D$28)</f>
        <v>23.600252373637712</v>
      </c>
      <c r="F205" s="349">
        <f ca="1">((F$176*(IF(Vehi_Inputs!$C$103=2,Mat_Sum!$BT26,IF(Vehi_Inputs!$C$103=3,Mat_Sum!$BZ26,IF(Vehi_Inputs!$C$103=4,Mat_Sum!$CA26,Mat_Sum!$BK26)))+Mat_Sum!$CE26*LiMn2O4!$E$9)+F$177*Mat_Sum!$CF26+F$178*Mat_Sum!$CO26+F$179*Mat_Sum!$CG26+F$180*Mat_Sum!$AG26+F$181*Mat_Sum!$I26+F$182*Mat_Sum!$L26+F$183*Mat_Sum!$CI26+F$184*Mat_Sum!$CJ26+F$185*Mat_Sum!$CK26+F$186*Mat_Sum!$AQ26+F$187*Mat_Sum!$AO26+F$188*Mat_Sum!$AP26+F$189*Mat_Sum!$D26+F$190*Mat_Sum!$BE26+F$191*Mat_Sum!$CM26+F$192*Mat_Sum!$CL26)+(Battery_Assembly!$F72*$C$20))*(1+$D$29)</f>
        <v>126.5309007217401</v>
      </c>
      <c r="G205" s="349">
        <f ca="1">((G$176*(IF(Vehi_Inputs!$C$103=2,Mat_Sum!$BT26,IF(Vehi_Inputs!$C$103=3,Mat_Sum!$BZ26,IF(Vehi_Inputs!$C$103=4,Mat_Sum!$CA26,Mat_Sum!$BK26)))+Mat_Sum!$CE26*LiMn2O4!$E$9)+G$177*Mat_Sum!$CF26+G$178*Mat_Sum!$CO26+G$179*Mat_Sum!$CG26+G$180*Mat_Sum!$AG26+G$181*Mat_Sum!$I26+G$182*Mat_Sum!$L26+G$183*Mat_Sum!$CI26+G$184*Mat_Sum!$CJ26+G$185*Mat_Sum!$CK26+G$186*Mat_Sum!$AQ26+G$187*Mat_Sum!$AO26+G$188*Mat_Sum!$AP26+G$189*Mat_Sum!$D26+G$190*Mat_Sum!$BE26+G$191*Mat_Sum!$CM26+G$192*Mat_Sum!$CL26)+(Battery_Assembly!$F72*$C$21))*(1+$D$29)</f>
        <v>100.64453104987454</v>
      </c>
      <c r="H205" s="349">
        <f ca="1">((H$176*(IF(Vehi_Inputs!$C$104=2,Mat_Sum!$BT26,IF(OR(Vehi_Inputs!$C$104=7,Vehi_Inputs!$C$104=8),Mat_Sum!$BY26,IF(Vehi_Inputs!$C$104=3,Mat_Sum!$BZ26,IF(Vehi_Inputs!$C$104=4,Mat_Sum!$CA26,IF(Vehi_Inputs!$C$104=5,Mat_Sum!$BV26,IF(Vehi_Inputs!$C$104=6,Mat_Sum!$BW26,IF(Vehi_Inputs!$C$104=9,Mat_Sum!$CD26,IF(Vehi_Inputs!$C$104=10,Mat_Sum!$BU26,Mat_Sum!$BK26))))))))+Mat_Sum!$CE26*LiMn2O4!$E$9)+H$177*Mat_Sum!$CF26+H$178*Mat_Sum!$CO26+H$179*Mat_Sum!$CG26+H$180*Mat_Sum!$AG26+H$181*Mat_Sum!$I26+H$182*Mat_Sum!$L26+H$183*Mat_Sum!$CI26+H$184*Mat_Sum!$CJ26+H$185*Mat_Sum!$CK26+H$186*Mat_Sum!$AQ26+H$187*Mat_Sum!$AO26+H$188*Mat_Sum!$AP26+H$189*Mat_Sum!$D26+H$190*Mat_Sum!$BE26+H$191*Mat_Sum!$CM26+H$192*Mat_Sum!$CL26)+(Battery_Assembly!$F72*$C$22))*(1+$D$30)</f>
        <v>1048.2457734322838</v>
      </c>
      <c r="I205" s="349">
        <f ca="1">((I$176*(IF(Vehi_Inputs!$C$104=2,Mat_Sum!$BT26,IF(OR(Vehi_Inputs!$C$104=7,Vehi_Inputs!$C$104=8),Mat_Sum!$BY26,IF(Vehi_Inputs!$C$104=3,Mat_Sum!$BZ26,IF(Vehi_Inputs!$C$104=4,Mat_Sum!$CA26,IF(Vehi_Inputs!$C$104=5,Mat_Sum!$BV26,IF(Vehi_Inputs!$C$104=6,Mat_Sum!$BW26,IF(Vehi_Inputs!$C$104=9,Mat_Sum!$CD26,IF(Vehi_Inputs!$C$104=10,Mat_Sum!$BU26,Mat_Sum!$BK26))))))))+Mat_Sum!$CE26*LiMn2O4!$E$9)+I$177*Mat_Sum!$CF26+I$178*Mat_Sum!$CO26+I$179*Mat_Sum!$CG26+I$180*Mat_Sum!$AG26+I$181*Mat_Sum!$I26+I$182*Mat_Sum!$L26+I$183*Mat_Sum!$CI26+I$184*Mat_Sum!$CJ26+I$185*Mat_Sum!$CK26+I$186*Mat_Sum!$AQ26+I$187*Mat_Sum!$AO26+I$188*Mat_Sum!$AP26+I$189*Mat_Sum!$D26+I$190*Mat_Sum!$BE26+I$191*Mat_Sum!$CM26+I$192*Mat_Sum!$CL26)+(Battery_Assembly!$F72*$C$23))*(1+$D$30)</f>
        <v>899.31175676717237</v>
      </c>
      <c r="J205" s="349">
        <f ca="1">((J$176*(IF(Vehi_Inputs!$C$105=2,Mat_Sum!$BT26,IF(Vehi_Inputs!$C$105=3,Mat_Sum!$BZ26,IF(Vehi_Inputs!$C$105=4,Mat_Sum!$CA26,Mat_Sum!$BK26)))+Mat_Sum!$CE26*LiMn2O4!$E$9)+J$177*Mat_Sum!$CF26+J$178*Mat_Sum!$CO26+J$179*Mat_Sum!$CG26+J$180*Mat_Sum!$AG26+J$181*Mat_Sum!$I26+J$182*Mat_Sum!$L26+J$183*Mat_Sum!$CI26+J$184*Mat_Sum!$CJ26+J$185*Mat_Sum!$CK26+J$186*Mat_Sum!$AQ26+J$187*Mat_Sum!$AO26+J$188*Mat_Sum!$AP26+J$189*Mat_Sum!$D26+J$190*Mat_Sum!$BE26+J$191*Mat_Sum!$CM26+J$192*Mat_Sum!$CL26)+(Battery_Assembly!$F72*$J$47/2.2046*$C$41/1000))*(1+$D$31)</f>
        <v>32.001645775970609</v>
      </c>
      <c r="K205" s="348">
        <f ca="1">((K$176*(IF(Vehi_Inputs!$C$105=2,Mat_Sum!$BT26,IF(Vehi_Inputs!$C$105=3,Mat_Sum!$BZ26,IF(Vehi_Inputs!$C$105=4,Mat_Sum!$CA26,Mat_Sum!$BK26)))+Mat_Sum!$CE26*LiMn2O4!$E$9)+K$177*Mat_Sum!$CF26+K$178*Mat_Sum!$CO26+K$179*Mat_Sum!$CG26+K$180*Mat_Sum!$AG26+K$181*Mat_Sum!$I26+K$182*Mat_Sum!$L26+K$183*Mat_Sum!$CI26+K$184*Mat_Sum!$CJ26+K$185*Mat_Sum!$CK26+K$186*Mat_Sum!$AQ26+K$187*Mat_Sum!$AO26+K$188*Mat_Sum!$AP26+K$189*Mat_Sum!$D26+K$190*Mat_Sum!$BE26+K$191*Mat_Sum!$CM26+K$192*Mat_Sum!$CL26)+(Battery_Assembly!$F72*$K$47/2.2046*$C$41/1000))*(1+$D$31)</f>
        <v>30.132716996409563</v>
      </c>
      <c r="L205" s="1321">
        <f>$F$180*Mat_Sum!$AE26</f>
        <v>0.22534335302981368</v>
      </c>
      <c r="M205" s="5">
        <f>$F$180*Mat_Sum!$AF26</f>
        <v>1.3585942279467504</v>
      </c>
      <c r="N205" s="1321">
        <f>$F$180*Mat_Sum!BR26</f>
        <v>5.6915151638388757</v>
      </c>
      <c r="O205" s="1321">
        <f ca="1">$F$180*Mat_Sum!CF26</f>
        <v>17.440177770693186</v>
      </c>
      <c r="P205" s="1321">
        <f ca="1">$F$180*Mat_Sum!BM26</f>
        <v>0.83886624454446057</v>
      </c>
      <c r="Q205" s="1321">
        <f ca="1">$F$180*Mat_Sum!BN26</f>
        <v>8.9225983528336439</v>
      </c>
      <c r="R205" s="1321">
        <f>$F$180*Mat_Sum!BO26</f>
        <v>3.2476049972368704</v>
      </c>
      <c r="S205" s="1321">
        <f ca="1">$F$180*Mat_Sum!BP26</f>
        <v>8.7602531646325019</v>
      </c>
      <c r="T205" s="1321">
        <f ca="1">$F$180*Mat_Sum!BQ26</f>
        <v>1.5565732867037525</v>
      </c>
      <c r="U205" s="1318">
        <f t="shared" ca="1" si="12"/>
        <v>78.489374160280249</v>
      </c>
      <c r="V205" s="494" t="s">
        <v>825</v>
      </c>
      <c r="W205" s="1321">
        <f>$H$180*Mat_Sum!$AE26</f>
        <v>0.87077863595390637</v>
      </c>
      <c r="X205" s="5">
        <f>$H$180*Mat_Sum!$AF26</f>
        <v>5.2499211213467767</v>
      </c>
      <c r="Y205" s="1321">
        <f>$H$180*Mat_Sum!$BR26</f>
        <v>21.993325936811139</v>
      </c>
      <c r="Z205" s="1321">
        <f ca="1">$H$180*Mat_Sum!$CF26</f>
        <v>67.392865180046471</v>
      </c>
      <c r="AA205" s="1321">
        <f ca="1">$H$180*Mat_Sum!$BM26</f>
        <v>3.2415724464504541</v>
      </c>
      <c r="AB205" s="1321">
        <f ca="1">$H$180*Mat_Sum!$BN26</f>
        <v>34.478975831237889</v>
      </c>
      <c r="AC205" s="1321">
        <f>$H$180*Mat_Sum!$BO26</f>
        <v>12.549493968152969</v>
      </c>
      <c r="AD205" s="1321">
        <f ca="1">$H$180*Mat_Sum!$BP26</f>
        <v>33.851636619165504</v>
      </c>
      <c r="AE205" s="1321">
        <f ca="1">$H$180*Mat_Sum!$BQ26</f>
        <v>6.0149578194075</v>
      </c>
      <c r="AF205" s="1318">
        <f t="shared" ca="1" si="13"/>
        <v>862.60224587371124</v>
      </c>
      <c r="AG205" s="494" t="s">
        <v>825</v>
      </c>
    </row>
    <row r="206" spans="1:33" s="64" customFormat="1">
      <c r="A206" s="494" t="s">
        <v>826</v>
      </c>
      <c r="B206" s="349"/>
      <c r="C206" s="349"/>
      <c r="D206" s="349">
        <f ca="1">((D$176*(IF(Vehi_Inputs!$C$102=2,Mat_Sum!$BT27,IF(Vehi_Inputs!$C$102=3,Mat_Sum!$BZ27,IF(Vehi_Inputs!$C$102=4,Mat_Sum!$CA27,Mat_Sum!$BK27)))+Mat_Sum!$CE27*LiMn2O4!$E$9)+D$177*Mat_Sum!$CF27+D$178*Mat_Sum!$CO27+D$179*Mat_Sum!$CG27+D$180*Mat_Sum!$AG27+D$181*Mat_Sum!$I27+D$182*Mat_Sum!$L27+D$183*Mat_Sum!$CI27+D$184*Mat_Sum!$CJ27+D$185*Mat_Sum!$CK27+D$186*Mat_Sum!$AQ27+D$187*Mat_Sum!$AO27+D$188*Mat_Sum!$AP27+D$189*Mat_Sum!$D27+D$190*Mat_Sum!$BE27+D$191*Mat_Sum!$CM27+D$192*Mat_Sum!$CL27)+(Battery_Assembly!$F73*$D$47/2.2046*$C$40/1000))*(1+$D$28)</f>
        <v>1665.7881858164003</v>
      </c>
      <c r="E206" s="349">
        <f ca="1">((E$176*(IF(Vehi_Inputs!$C$102=2,Mat_Sum!$BT27,IF(Vehi_Inputs!$C$102=3,Mat_Sum!$BZ27,IF(Vehi_Inputs!$C$102=4,Mat_Sum!$CA27,Mat_Sum!$BK27)))+Mat_Sum!$CE27*LiMn2O4!$E$9)+E$177*Mat_Sum!$CF27+E$178*Mat_Sum!$CO27+E$179*Mat_Sum!$CG27+E$180*Mat_Sum!$AG27+E$181*Mat_Sum!$I27+E$182*Mat_Sum!$L27+E$183*Mat_Sum!$CI27+E$184*Mat_Sum!$CJ27+E$185*Mat_Sum!$CK27+E$186*Mat_Sum!$AQ27+E$187*Mat_Sum!$AO27+E$188*Mat_Sum!$AP27+E$189*Mat_Sum!$D27+E$190*Mat_Sum!$BE27+E$191*Mat_Sum!$CM27+E$192*Mat_Sum!$CL27)+(Battery_Assembly!$F73*$E$47/2.2046*$C$40/1000))*(1+$D$28)</f>
        <v>1150.2366016707899</v>
      </c>
      <c r="F206" s="349">
        <f ca="1">((F$176*(IF(Vehi_Inputs!$C$103=2,Mat_Sum!$BT27,IF(Vehi_Inputs!$C$103=3,Mat_Sum!$BZ27,IF(Vehi_Inputs!$C$103=4,Mat_Sum!$CA27,Mat_Sum!$BK27)))+Mat_Sum!$CE27*LiMn2O4!$E$9)+F$177*Mat_Sum!$CF27+F$178*Mat_Sum!$CO27+F$179*Mat_Sum!$CG27+F$180*Mat_Sum!$AG27+F$181*Mat_Sum!$I27+F$182*Mat_Sum!$L27+F$183*Mat_Sum!$CI27+F$184*Mat_Sum!$CJ27+F$185*Mat_Sum!$CK27+F$186*Mat_Sum!$AQ27+F$187*Mat_Sum!$AO27+F$188*Mat_Sum!$AP27+F$189*Mat_Sum!$D27+F$190*Mat_Sum!$BE27+F$191*Mat_Sum!$CM27+F$192*Mat_Sum!$CL27)+(Battery_Assembly!$F73*$C$20))*(1+$D$29)</f>
        <v>6261.5203539983977</v>
      </c>
      <c r="G206" s="349">
        <f ca="1">((G$176*(IF(Vehi_Inputs!$C$103=2,Mat_Sum!$BT27,IF(Vehi_Inputs!$C$103=3,Mat_Sum!$BZ27,IF(Vehi_Inputs!$C$103=4,Mat_Sum!$CA27,Mat_Sum!$BK27)))+Mat_Sum!$CE27*LiMn2O4!$E$9)+G$177*Mat_Sum!$CF27+G$178*Mat_Sum!$CO27+G$179*Mat_Sum!$CG27+G$180*Mat_Sum!$AG27+G$181*Mat_Sum!$I27+G$182*Mat_Sum!$L27+G$183*Mat_Sum!$CI27+G$184*Mat_Sum!$CJ27+G$185*Mat_Sum!$CK27+G$186*Mat_Sum!$AQ27+G$187*Mat_Sum!$AO27+G$188*Mat_Sum!$AP27+G$189*Mat_Sum!$D27+G$190*Mat_Sum!$BE27+G$191*Mat_Sum!$CM27+G$192*Mat_Sum!$CL27)+(Battery_Assembly!$F73*$C$21))*(1+$D$29)</f>
        <v>4980.5049682945692</v>
      </c>
      <c r="H206" s="349">
        <f ca="1">((H$176*(IF(Vehi_Inputs!$C$104=2,Mat_Sum!$BT27,IF(OR(Vehi_Inputs!$C$104=7,Vehi_Inputs!$C$104=8),Mat_Sum!$BY27,IF(Vehi_Inputs!$C$104=3,Mat_Sum!$BZ27,IF(Vehi_Inputs!$C$104=4,Mat_Sum!$CA27,IF(Vehi_Inputs!$C$104=5,Mat_Sum!$BV27,IF(Vehi_Inputs!$C$104=6,Mat_Sum!$BW27,IF(Vehi_Inputs!$C$104=9,Mat_Sum!$CD27,IF(Vehi_Inputs!$C$104=10,Mat_Sum!$BU27,Mat_Sum!$BK27))))))))+Mat_Sum!$CE27*LiMn2O4!$E$9)+H$177*Mat_Sum!$CF27+H$178*Mat_Sum!$CO27+H$179*Mat_Sum!$CG27+H$180*Mat_Sum!$AG27+H$181*Mat_Sum!$I27+H$182*Mat_Sum!$L27+H$183*Mat_Sum!$CI27+H$184*Mat_Sum!$CJ27+H$185*Mat_Sum!$CK27+H$186*Mat_Sum!$AQ27+H$187*Mat_Sum!$AO27+H$188*Mat_Sum!$AP27+H$189*Mat_Sum!$D27+H$190*Mat_Sum!$BE27+H$191*Mat_Sum!$CM27+H$192*Mat_Sum!$CL27)+(Battery_Assembly!$F73*$C$22))*(1+$D$30)</f>
        <v>51559.311214664827</v>
      </c>
      <c r="I206" s="349">
        <f ca="1">((I$176*(IF(Vehi_Inputs!$C$104=2,Mat_Sum!$BT27,IF(OR(Vehi_Inputs!$C$104=7,Vehi_Inputs!$C$104=8),Mat_Sum!$BY27,IF(Vehi_Inputs!$C$104=3,Mat_Sum!$BZ27,IF(Vehi_Inputs!$C$104=4,Mat_Sum!$CA27,IF(Vehi_Inputs!$C$104=5,Mat_Sum!$BV27,IF(Vehi_Inputs!$C$104=6,Mat_Sum!$BW27,IF(Vehi_Inputs!$C$104=9,Mat_Sum!$CD27,IF(Vehi_Inputs!$C$104=10,Mat_Sum!$BU27,Mat_Sum!$BK27))))))))+Mat_Sum!$CE27*LiMn2O4!$E$9)+I$177*Mat_Sum!$CF27+I$178*Mat_Sum!$CO27+I$179*Mat_Sum!$CG27+I$180*Mat_Sum!$AG27+I$181*Mat_Sum!$I27+I$182*Mat_Sum!$L27+I$183*Mat_Sum!$CI27+I$184*Mat_Sum!$CJ27+I$185*Mat_Sum!$CK27+I$186*Mat_Sum!$AQ27+I$187*Mat_Sum!$AO27+I$188*Mat_Sum!$AP27+I$189*Mat_Sum!$D27+I$190*Mat_Sum!$BE27+I$191*Mat_Sum!$CM27+I$192*Mat_Sum!$CL27)+(Battery_Assembly!$F73*$C$23))*(1+$D$30)</f>
        <v>44233.800814042537</v>
      </c>
      <c r="J206" s="349">
        <f ca="1">((J$176*(IF(Vehi_Inputs!$C$105=2,Mat_Sum!$BT27,IF(Vehi_Inputs!$C$105=3,Mat_Sum!$BZ27,IF(Vehi_Inputs!$C$105=4,Mat_Sum!$CA27,Mat_Sum!$BK27)))+Mat_Sum!$CE27*LiMn2O4!$E$9)+J$177*Mat_Sum!$CF27+J$178*Mat_Sum!$CO27+J$179*Mat_Sum!$CG27+J$180*Mat_Sum!$AG27+J$181*Mat_Sum!$I27+J$182*Mat_Sum!$L27+J$183*Mat_Sum!$CI27+J$184*Mat_Sum!$CJ27+J$185*Mat_Sum!$CK27+J$186*Mat_Sum!$AQ27+J$187*Mat_Sum!$AO27+J$188*Mat_Sum!$AP27+J$189*Mat_Sum!$D27+J$190*Mat_Sum!$BE27+J$191*Mat_Sum!$CM27+J$192*Mat_Sum!$CL27)+(Battery_Assembly!$F73*$J$47/2.2046*$C$41/1000))*(1+$D$31)</f>
        <v>1530.0678672115544</v>
      </c>
      <c r="K206" s="348">
        <f ca="1">((K$176*(IF(Vehi_Inputs!$C$105=2,Mat_Sum!$BT27,IF(Vehi_Inputs!$C$105=3,Mat_Sum!$BZ27,IF(Vehi_Inputs!$C$105=4,Mat_Sum!$CA27,Mat_Sum!$BK27)))+Mat_Sum!$CE27*LiMn2O4!$E$9)+K$177*Mat_Sum!$CF27+K$178*Mat_Sum!$CO27+K$179*Mat_Sum!$CG27+K$180*Mat_Sum!$AG27+K$181*Mat_Sum!$I27+K$182*Mat_Sum!$L27+K$183*Mat_Sum!$CI27+K$184*Mat_Sum!$CJ27+K$185*Mat_Sum!$CK27+K$186*Mat_Sum!$AQ27+K$187*Mat_Sum!$AO27+K$188*Mat_Sum!$AP27+K$189*Mat_Sum!$D27+K$190*Mat_Sum!$BE27+K$191*Mat_Sum!$CM27+K$192*Mat_Sum!$CL27)+(Battery_Assembly!$F73*$K$47/2.2046*$C$41/1000))*(1+$D$31)</f>
        <v>1440.7103419226382</v>
      </c>
      <c r="L206" s="1321">
        <f>$F$180*Mat_Sum!$AE27</f>
        <v>0.46581753602675185</v>
      </c>
      <c r="M206" s="5">
        <f>$F$180*Mat_Sum!$AF27</f>
        <v>908.51163610509661</v>
      </c>
      <c r="N206" s="1321">
        <f>$F$180*Mat_Sum!BR27</f>
        <v>37.738423313934803</v>
      </c>
      <c r="O206" s="1321">
        <f ca="1">$F$180*Mat_Sum!CF27</f>
        <v>482.30032246928357</v>
      </c>
      <c r="P206" s="1321">
        <f ca="1">$F$180*Mat_Sum!BM27</f>
        <v>10.256050739927732</v>
      </c>
      <c r="Q206" s="1321">
        <f ca="1">$F$180*Mat_Sum!BN27</f>
        <v>1853.4509013492993</v>
      </c>
      <c r="R206" s="1321">
        <f>$F$180*Mat_Sum!BO27</f>
        <v>0.76790925266951326</v>
      </c>
      <c r="S206" s="1321">
        <f ca="1">$F$180*Mat_Sum!BP27</f>
        <v>0.1586812251877861</v>
      </c>
      <c r="T206" s="1321">
        <f ca="1">$F$180*Mat_Sum!BQ27</f>
        <v>86.118288465304602</v>
      </c>
      <c r="U206" s="1318">
        <f t="shared" ca="1" si="12"/>
        <v>2881.752323541667</v>
      </c>
      <c r="V206" s="494" t="s">
        <v>826</v>
      </c>
      <c r="W206" s="1321">
        <f>$H$180*Mat_Sum!$AE27</f>
        <v>1.8000262850935711</v>
      </c>
      <c r="X206" s="5">
        <f>$H$180*Mat_Sum!$AF27</f>
        <v>3510.6982859671079</v>
      </c>
      <c r="Y206" s="1321">
        <f>$H$180*Mat_Sum!$BR27</f>
        <v>145.8299627413972</v>
      </c>
      <c r="Z206" s="1321">
        <f ca="1">$H$180*Mat_Sum!$CF27</f>
        <v>1863.7195695955036</v>
      </c>
      <c r="AA206" s="1321">
        <f ca="1">$H$180*Mat_Sum!$BM27</f>
        <v>39.631743086767479</v>
      </c>
      <c r="AB206" s="1321">
        <f ca="1">$H$180*Mat_Sum!$BN27</f>
        <v>7162.1613239728031</v>
      </c>
      <c r="AC206" s="1321">
        <f>$H$180*Mat_Sum!$BO27</f>
        <v>2.9673782811222926</v>
      </c>
      <c r="AD206" s="1321">
        <f ca="1">$H$180*Mat_Sum!$BP27</f>
        <v>0.61318081479968867</v>
      </c>
      <c r="AE206" s="1321">
        <f ca="1">$H$180*Mat_Sum!$BQ27</f>
        <v>332.78090856570128</v>
      </c>
      <c r="AF206" s="1318">
        <f t="shared" ca="1" si="13"/>
        <v>38499.108835354535</v>
      </c>
      <c r="AG206" s="494" t="s">
        <v>826</v>
      </c>
    </row>
    <row r="207" spans="1:33" s="64" customFormat="1">
      <c r="A207" s="794" t="s">
        <v>827</v>
      </c>
      <c r="B207" s="349"/>
      <c r="C207" s="349"/>
      <c r="D207" s="349">
        <f ca="1">((D$176*(IF(Vehi_Inputs!$C$102=2,Mat_Sum!$BT28,IF(Vehi_Inputs!$C$102=3,Mat_Sum!$BZ28,IF(Vehi_Inputs!$C$102=4,Mat_Sum!$CA28,Mat_Sum!$BK28)))+Mat_Sum!$CE28*LiMn2O4!$E$9)+D$177*Mat_Sum!$CF28+D$178*Mat_Sum!$CO28+D$179*Mat_Sum!$CG28+D$180*Mat_Sum!$AG28+D$181*Mat_Sum!$I28+D$182*Mat_Sum!$L28+D$183*Mat_Sum!$CI28+D$184*Mat_Sum!$CJ28+D$185*Mat_Sum!$CK28+D$186*Mat_Sum!$AQ28+D$187*Mat_Sum!$AO28+D$188*Mat_Sum!$AP28+D$189*Mat_Sum!$D28+D$190*Mat_Sum!$BE28+D$191*Mat_Sum!$CM28+D$192*Mat_Sum!$CL28)+(Battery_Assembly!$F74*$D$47/2.2046*$C$40/1000))*(1+$D$28)</f>
        <v>1.716224464642105</v>
      </c>
      <c r="E207" s="349">
        <f ca="1">((E$176*(IF(Vehi_Inputs!$C$102=2,Mat_Sum!$BT28,IF(Vehi_Inputs!$C$102=3,Mat_Sum!$BZ28,IF(Vehi_Inputs!$C$102=4,Mat_Sum!$CA28,Mat_Sum!$BK28)))+Mat_Sum!$CE28*LiMn2O4!$E$9)+E$177*Mat_Sum!$CF28+E$178*Mat_Sum!$CO28+E$179*Mat_Sum!$CG28+E$180*Mat_Sum!$AG28+E$181*Mat_Sum!$I28+E$182*Mat_Sum!$L28+E$183*Mat_Sum!$CI28+E$184*Mat_Sum!$CJ28+E$185*Mat_Sum!$CK28+E$186*Mat_Sum!$AQ28+E$187*Mat_Sum!$AO28+E$188*Mat_Sum!$AP28+E$189*Mat_Sum!$D28+E$190*Mat_Sum!$BE28+E$191*Mat_Sum!$CM28+E$192*Mat_Sum!$CL28)+(Battery_Assembly!$F74*$E$47/2.2046*$C$40/1000))*(1+$D$28)</f>
        <v>1.1850631507190812</v>
      </c>
      <c r="F207" s="349">
        <f ca="1">((F$176*(IF(Vehi_Inputs!$C$103=2,Mat_Sum!$BT28,IF(Vehi_Inputs!$C$103=3,Mat_Sum!$BZ28,IF(Vehi_Inputs!$C$103=4,Mat_Sum!$CA28,Mat_Sum!$BK28)))+Mat_Sum!$CE28*LiMn2O4!$E$9)+F$177*Mat_Sum!$CF28+F$178*Mat_Sum!$CO28+F$179*Mat_Sum!$CG28+F$180*Mat_Sum!$AG28+F$181*Mat_Sum!$I28+F$182*Mat_Sum!$L28+F$183*Mat_Sum!$CI28+F$184*Mat_Sum!$CJ28+F$185*Mat_Sum!$CK28+F$186*Mat_Sum!$AQ28+F$187*Mat_Sum!$AO28+F$188*Mat_Sum!$AP28+F$189*Mat_Sum!$D28+F$190*Mat_Sum!$BE28+F$191*Mat_Sum!$CM28+F$192*Mat_Sum!$CL28)+(Battery_Assembly!$F74*$C$20))*(1+$D$29)</f>
        <v>5.9341543942170576</v>
      </c>
      <c r="G207" s="349">
        <f ca="1">((G$176*(IF(Vehi_Inputs!$C$103=2,Mat_Sum!$BT28,IF(Vehi_Inputs!$C$103=3,Mat_Sum!$BZ28,IF(Vehi_Inputs!$C$103=4,Mat_Sum!$CA28,Mat_Sum!$BK28)))+Mat_Sum!$CE28*LiMn2O4!$E$9)+G$177*Mat_Sum!$CF28+G$178*Mat_Sum!$CO28+G$179*Mat_Sum!$CG28+G$180*Mat_Sum!$AG28+G$181*Mat_Sum!$I28+G$182*Mat_Sum!$L28+G$183*Mat_Sum!$CI28+G$184*Mat_Sum!$CJ28+G$185*Mat_Sum!$CK28+G$186*Mat_Sum!$AQ28+G$187*Mat_Sum!$AO28+G$188*Mat_Sum!$AP28+G$189*Mat_Sum!$D28+G$190*Mat_Sum!$BE28+G$191*Mat_Sum!$CM28+G$192*Mat_Sum!$CL28)+(Battery_Assembly!$F74*$C$21))*(1+$D$29)</f>
        <v>4.7201132907205521</v>
      </c>
      <c r="H207" s="349">
        <f ca="1">((H$176*(IF(Vehi_Inputs!$C$104=2,Mat_Sum!$BT28,IF(OR(Vehi_Inputs!$C$104=7,Vehi_Inputs!$C$104=8),Mat_Sum!$BY28,IF(Vehi_Inputs!$C$104=3,Mat_Sum!$BZ28,IF(Vehi_Inputs!$C$104=4,Mat_Sum!$CA28,IF(Vehi_Inputs!$C$104=5,Mat_Sum!$BV28,IF(Vehi_Inputs!$C$104=6,Mat_Sum!$BW28,IF(Vehi_Inputs!$C$104=9,Mat_Sum!$CD28,IF(Vehi_Inputs!$C$104=10,Mat_Sum!$BU28,Mat_Sum!$BK28))))))))+Mat_Sum!$CE28*LiMn2O4!$E$9)+H$177*Mat_Sum!$CF28+H$178*Mat_Sum!$CO28+H$179*Mat_Sum!$CG28+H$180*Mat_Sum!$AG28+H$181*Mat_Sum!$I28+H$182*Mat_Sum!$L28+H$183*Mat_Sum!$CI28+H$184*Mat_Sum!$CJ28+H$185*Mat_Sum!$CK28+H$186*Mat_Sum!$AQ28+H$187*Mat_Sum!$AO28+H$188*Mat_Sum!$AP28+H$189*Mat_Sum!$D28+H$190*Mat_Sum!$BE28+H$191*Mat_Sum!$CM28+H$192*Mat_Sum!$CL28)+(Battery_Assembly!$F74*$C$22))*(1+$D$30)</f>
        <v>46.927562789492121</v>
      </c>
      <c r="I207" s="349">
        <f ca="1">((I$176*(IF(Vehi_Inputs!$C$104=2,Mat_Sum!$BT28,IF(OR(Vehi_Inputs!$C$104=7,Vehi_Inputs!$C$104=8),Mat_Sum!$BY28,IF(Vehi_Inputs!$C$104=3,Mat_Sum!$BZ28,IF(Vehi_Inputs!$C$104=4,Mat_Sum!$CA28,IF(Vehi_Inputs!$C$104=5,Mat_Sum!$BV28,IF(Vehi_Inputs!$C$104=6,Mat_Sum!$BW28,IF(Vehi_Inputs!$C$104=9,Mat_Sum!$CD28,IF(Vehi_Inputs!$C$104=10,Mat_Sum!$BU28,Mat_Sum!$BK28))))))))+Mat_Sum!$CE28*LiMn2O4!$E$9)+I$177*Mat_Sum!$CF28+I$178*Mat_Sum!$CO28+I$179*Mat_Sum!$CG28+I$180*Mat_Sum!$AG28+I$181*Mat_Sum!$I28+I$182*Mat_Sum!$L28+I$183*Mat_Sum!$CI28+I$184*Mat_Sum!$CJ28+I$185*Mat_Sum!$CK28+I$186*Mat_Sum!$AQ28+I$187*Mat_Sum!$AO28+I$188*Mat_Sum!$AP28+I$189*Mat_Sum!$D28+I$190*Mat_Sum!$BE28+I$191*Mat_Sum!$CM28+I$192*Mat_Sum!$CL28)+(Battery_Assembly!$F74*$C$23))*(1+$D$30)</f>
        <v>40.260127922897084</v>
      </c>
      <c r="J207" s="349">
        <f ca="1">((J$176*(IF(Vehi_Inputs!$C$105=2,Mat_Sum!$BT28,IF(Vehi_Inputs!$C$105=3,Mat_Sum!$BZ28,IF(Vehi_Inputs!$C$105=4,Mat_Sum!$CA28,Mat_Sum!$BK28)))+Mat_Sum!$CE28*LiMn2O4!$E$9)+J$177*Mat_Sum!$CF28+J$178*Mat_Sum!$CO28+J$179*Mat_Sum!$CG28+J$180*Mat_Sum!$AG28+J$181*Mat_Sum!$I28+J$182*Mat_Sum!$L28+J$183*Mat_Sum!$CI28+J$184*Mat_Sum!$CJ28+J$185*Mat_Sum!$CK28+J$186*Mat_Sum!$AQ28+J$187*Mat_Sum!$AO28+J$188*Mat_Sum!$AP28+J$189*Mat_Sum!$D28+J$190*Mat_Sum!$BE28+J$191*Mat_Sum!$CM28+J$192*Mat_Sum!$CL28)+(Battery_Assembly!$F74*$J$47/2.2046*$C$41/1000))*(1+$D$31)</f>
        <v>1.6683144266440573</v>
      </c>
      <c r="K207" s="348">
        <f ca="1">((K$176*(IF(Vehi_Inputs!$C$105=2,Mat_Sum!$BT28,IF(Vehi_Inputs!$C$105=3,Mat_Sum!$BZ28,IF(Vehi_Inputs!$C$105=4,Mat_Sum!$CA28,Mat_Sum!$BK28)))+Mat_Sum!$CE28*LiMn2O4!$E$9)+K$177*Mat_Sum!$CF28+K$178*Mat_Sum!$CO28+K$179*Mat_Sum!$CG28+K$180*Mat_Sum!$AG28+K$181*Mat_Sum!$I28+K$182*Mat_Sum!$L28+K$183*Mat_Sum!$CI28+K$184*Mat_Sum!$CJ28+K$185*Mat_Sum!$CK28+K$186*Mat_Sum!$AQ28+K$187*Mat_Sum!$AO28+K$188*Mat_Sum!$AP28+K$189*Mat_Sum!$D28+K$190*Mat_Sum!$BE28+K$191*Mat_Sum!$CM28+K$192*Mat_Sum!$CL28)+(Battery_Assembly!$F74*$K$47/2.2046*$C$41/1000))*(1+$D$31)</f>
        <v>1.5708831611666687</v>
      </c>
      <c r="L207" s="1321">
        <f>$F$180*Mat_Sum!$AE28</f>
        <v>4.2815532470397311E-3</v>
      </c>
      <c r="M207" s="5">
        <f>$F$180*Mat_Sum!$AF28</f>
        <v>0.28009256065336069</v>
      </c>
      <c r="N207" s="1321">
        <f>$F$180*Mat_Sum!BR28</f>
        <v>0.52429079834575598</v>
      </c>
      <c r="O207" s="1321">
        <f ca="1">$F$180*Mat_Sum!CF28</f>
        <v>0.12930662734578768</v>
      </c>
      <c r="P207" s="1321">
        <f ca="1">$F$180*Mat_Sum!BM28</f>
        <v>7.1823769060931089E-2</v>
      </c>
      <c r="Q207" s="1321">
        <f ca="1">$F$180*Mat_Sum!BN28</f>
        <v>0.22930590048941485</v>
      </c>
      <c r="R207" s="1321">
        <f>$F$180*Mat_Sum!BO28</f>
        <v>5.8161702001648247E-3</v>
      </c>
      <c r="S207" s="1321">
        <f ca="1">$F$180*Mat_Sum!BP28</f>
        <v>0.29183173164604004</v>
      </c>
      <c r="T207" s="1321">
        <f ca="1">$F$180*Mat_Sum!BQ28</f>
        <v>0.17776707401346001</v>
      </c>
      <c r="U207" s="1318">
        <f t="shared" ca="1" si="12"/>
        <v>4.2196382092151019</v>
      </c>
      <c r="V207" s="794" t="s">
        <v>827</v>
      </c>
      <c r="W207" s="1321">
        <f>$H$180*Mat_Sum!$AE28</f>
        <v>1.6544908230454933E-2</v>
      </c>
      <c r="X207" s="5">
        <f>$H$180*Mat_Sum!$AF28</f>
        <v>1.0823421886080733</v>
      </c>
      <c r="Y207" s="1321">
        <f>$H$180*Mat_Sum!$BR28</f>
        <v>2.0259804431253849</v>
      </c>
      <c r="Z207" s="1321">
        <f ca="1">$H$180*Mat_Sum!$CF28</f>
        <v>0.49967060073464009</v>
      </c>
      <c r="AA207" s="1321">
        <f ca="1">$H$180*Mat_Sum!$BM28</f>
        <v>0.27754359208310603</v>
      </c>
      <c r="AB207" s="1321">
        <f ca="1">$H$180*Mat_Sum!$BN28</f>
        <v>0.88609083232172037</v>
      </c>
      <c r="AC207" s="1321">
        <f>$H$180*Mat_Sum!$BO28</f>
        <v>2.2475021718103314E-2</v>
      </c>
      <c r="AD207" s="1321">
        <f ca="1">$H$180*Mat_Sum!$BP28</f>
        <v>1.1277050500672376</v>
      </c>
      <c r="AE207" s="1321">
        <f ca="1">$H$180*Mat_Sum!$BQ28</f>
        <v>0.68693293210418249</v>
      </c>
      <c r="AF207" s="1318">
        <f t="shared" ca="1" si="13"/>
        <v>40.302277220499221</v>
      </c>
      <c r="AG207" s="794" t="s">
        <v>827</v>
      </c>
    </row>
    <row r="208" spans="1:33" s="64" customFormat="1">
      <c r="A208" s="794" t="s">
        <v>828</v>
      </c>
      <c r="B208" s="349"/>
      <c r="C208" s="349"/>
      <c r="D208" s="349">
        <f ca="1">((D$176*(IF(Vehi_Inputs!$C$102=2,Mat_Sum!$BT29,IF(Vehi_Inputs!$C$102=3,Mat_Sum!$BZ29,IF(Vehi_Inputs!$C$102=4,Mat_Sum!$CA29,Mat_Sum!$BK29)))+Mat_Sum!$CE29*LiMn2O4!$E$9)+D$177*Mat_Sum!$CF29+D$178*Mat_Sum!$CO29+D$179*Mat_Sum!$CG29+D$180*Mat_Sum!$AG29+D$181*Mat_Sum!$I29+D$182*Mat_Sum!$L29+D$183*Mat_Sum!$CI29+D$184*Mat_Sum!$CJ29+D$185*Mat_Sum!$CK29+D$186*Mat_Sum!$AQ29+D$187*Mat_Sum!$AO29+D$188*Mat_Sum!$AP29+D$189*Mat_Sum!$D29+D$190*Mat_Sum!$BE29+D$191*Mat_Sum!$CM29+D$192*Mat_Sum!$CL29)+(Battery_Assembly!$F75*$D$47/2.2046*$C$40/1000))*(1+$D$28)</f>
        <v>4.0212734234534739</v>
      </c>
      <c r="E208" s="349">
        <f ca="1">((E$176*(IF(Vehi_Inputs!$C$102=2,Mat_Sum!$BT29,IF(Vehi_Inputs!$C$102=3,Mat_Sum!$BZ29,IF(Vehi_Inputs!$C$102=4,Mat_Sum!$CA29,Mat_Sum!$BK29)))+Mat_Sum!$CE29*LiMn2O4!$E$9)+E$177*Mat_Sum!$CF29+E$178*Mat_Sum!$CO29+E$179*Mat_Sum!$CG29+E$180*Mat_Sum!$AG29+E$181*Mat_Sum!$I29+E$182*Mat_Sum!$L29+E$183*Mat_Sum!$CI29+E$184*Mat_Sum!$CJ29+E$185*Mat_Sum!$CK29+E$186*Mat_Sum!$AQ29+E$187*Mat_Sum!$AO29+E$188*Mat_Sum!$AP29+E$189*Mat_Sum!$D29+E$190*Mat_Sum!$BE29+E$191*Mat_Sum!$CM29+E$192*Mat_Sum!$CL29)+(Battery_Assembly!$F75*$E$47/2.2046*$C$40/1000))*(1+$D$28)</f>
        <v>2.7767130997602054</v>
      </c>
      <c r="F208" s="349">
        <f ca="1">((F$176*(IF(Vehi_Inputs!$C$103=2,Mat_Sum!$BT29,IF(Vehi_Inputs!$C$103=3,Mat_Sum!$BZ29,IF(Vehi_Inputs!$C$103=4,Mat_Sum!$CA29,Mat_Sum!$BK29)))+Mat_Sum!$CE29*LiMn2O4!$E$9)+F$177*Mat_Sum!$CF29+F$178*Mat_Sum!$CO29+F$179*Mat_Sum!$CG29+F$180*Mat_Sum!$AG29+F$181*Mat_Sum!$I29+F$182*Mat_Sum!$L29+F$183*Mat_Sum!$CI29+F$184*Mat_Sum!$CJ29+F$185*Mat_Sum!$CK29+F$186*Mat_Sum!$AQ29+F$187*Mat_Sum!$AO29+F$188*Mat_Sum!$AP29+F$189*Mat_Sum!$D29+F$190*Mat_Sum!$BE29+F$191*Mat_Sum!$CM29+F$192*Mat_Sum!$CL29)+(Battery_Assembly!$F75*$C$20))*(1+$D$29)</f>
        <v>13.15364153046597</v>
      </c>
      <c r="G208" s="349">
        <f ca="1">((G$176*(IF(Vehi_Inputs!$C$103=2,Mat_Sum!$BT29,IF(Vehi_Inputs!$C$103=3,Mat_Sum!$BZ29,IF(Vehi_Inputs!$C$103=4,Mat_Sum!$CA29,Mat_Sum!$BK29)))+Mat_Sum!$CE29*LiMn2O4!$E$9)+G$177*Mat_Sum!$CF29+G$178*Mat_Sum!$CO29+G$179*Mat_Sum!$CG29+G$180*Mat_Sum!$AG29+G$181*Mat_Sum!$I29+G$182*Mat_Sum!$L29+G$183*Mat_Sum!$CI29+G$184*Mat_Sum!$CJ29+G$185*Mat_Sum!$CK29+G$186*Mat_Sum!$AQ29+G$187*Mat_Sum!$AO29+G$188*Mat_Sum!$AP29+G$189*Mat_Sum!$D29+G$190*Mat_Sum!$BE29+G$191*Mat_Sum!$CM29+G$192*Mat_Sum!$CL29)+(Battery_Assembly!$F75*$C$21))*(1+$D$29)</f>
        <v>10.462599063790938</v>
      </c>
      <c r="H208" s="349">
        <f ca="1">((H$176*(IF(Vehi_Inputs!$C$104=2,Mat_Sum!$BT29,IF(OR(Vehi_Inputs!$C$104=7,Vehi_Inputs!$C$104=8),Mat_Sum!$BY29,IF(Vehi_Inputs!$C$104=3,Mat_Sum!$BZ29,IF(Vehi_Inputs!$C$104=4,Mat_Sum!$CA29,IF(Vehi_Inputs!$C$104=5,Mat_Sum!$BV29,IF(Vehi_Inputs!$C$104=6,Mat_Sum!$BW29,IF(Vehi_Inputs!$C$104=9,Mat_Sum!$CD29,IF(Vehi_Inputs!$C$104=10,Mat_Sum!$BU29,Mat_Sum!$BK29))))))))+Mat_Sum!$CE29*LiMn2O4!$E$9)+H$177*Mat_Sum!$CF29+H$178*Mat_Sum!$CO29+H$179*Mat_Sum!$CG29+H$180*Mat_Sum!$AG29+H$181*Mat_Sum!$I29+H$182*Mat_Sum!$L29+H$183*Mat_Sum!$CI29+H$184*Mat_Sum!$CJ29+H$185*Mat_Sum!$CK29+H$186*Mat_Sum!$AQ29+H$187*Mat_Sum!$AO29+H$188*Mat_Sum!$AP29+H$189*Mat_Sum!$D29+H$190*Mat_Sum!$BE29+H$191*Mat_Sum!$CM29+H$192*Mat_Sum!$CL29)+(Battery_Assembly!$F75*$C$22))*(1+$D$30)</f>
        <v>98.898646399368388</v>
      </c>
      <c r="I208" s="349">
        <f ca="1">((I$176*(IF(Vehi_Inputs!$C$104=2,Mat_Sum!$BT29,IF(OR(Vehi_Inputs!$C$104=7,Vehi_Inputs!$C$104=8),Mat_Sum!$BY29,IF(Vehi_Inputs!$C$104=3,Mat_Sum!$BZ29,IF(Vehi_Inputs!$C$104=4,Mat_Sum!$CA29,IF(Vehi_Inputs!$C$104=5,Mat_Sum!$BV29,IF(Vehi_Inputs!$C$104=6,Mat_Sum!$BW29,IF(Vehi_Inputs!$C$104=9,Mat_Sum!$CD29,IF(Vehi_Inputs!$C$104=10,Mat_Sum!$BU29,Mat_Sum!$BK29))))))))+Mat_Sum!$CE29*LiMn2O4!$E$9)+I$177*Mat_Sum!$CF29+I$178*Mat_Sum!$CO29+I$179*Mat_Sum!$CG29+I$180*Mat_Sum!$AG29+I$181*Mat_Sum!$I29+I$182*Mat_Sum!$L29+I$183*Mat_Sum!$CI29+I$184*Mat_Sum!$CJ29+I$185*Mat_Sum!$CK29+I$186*Mat_Sum!$AQ29+I$187*Mat_Sum!$AO29+I$188*Mat_Sum!$AP29+I$189*Mat_Sum!$D29+I$190*Mat_Sum!$BE29+I$191*Mat_Sum!$CM29+I$192*Mat_Sum!$CL29)+(Battery_Assembly!$F75*$C$23))*(1+$D$30)</f>
        <v>84.847196802035967</v>
      </c>
      <c r="J208" s="349">
        <f ca="1">((J$176*(IF(Vehi_Inputs!$C$105=2,Mat_Sum!$BT29,IF(Vehi_Inputs!$C$105=3,Mat_Sum!$BZ29,IF(Vehi_Inputs!$C$105=4,Mat_Sum!$CA29,Mat_Sum!$BK29)))+Mat_Sum!$CE29*LiMn2O4!$E$9)+J$177*Mat_Sum!$CF29+J$178*Mat_Sum!$CO29+J$179*Mat_Sum!$CG29+J$180*Mat_Sum!$AG29+J$181*Mat_Sum!$I29+J$182*Mat_Sum!$L29+J$183*Mat_Sum!$CI29+J$184*Mat_Sum!$CJ29+J$185*Mat_Sum!$CK29+J$186*Mat_Sum!$AQ29+J$187*Mat_Sum!$AO29+J$188*Mat_Sum!$AP29+J$189*Mat_Sum!$D29+J$190*Mat_Sum!$BE29+J$191*Mat_Sum!$CM29+J$192*Mat_Sum!$CL29)+(Battery_Assembly!$F75*$J$47/2.2046*$C$41/1000))*(1+$D$31)</f>
        <v>3.9445582497148335</v>
      </c>
      <c r="K208" s="348">
        <f ca="1">((K$176*(IF(Vehi_Inputs!$C$105=2,Mat_Sum!$BT29,IF(Vehi_Inputs!$C$105=3,Mat_Sum!$BZ29,IF(Vehi_Inputs!$C$105=4,Mat_Sum!$CA29,Mat_Sum!$BK29)))+Mat_Sum!$CE29*LiMn2O4!$E$9)+K$177*Mat_Sum!$CF29+K$178*Mat_Sum!$CO29+K$179*Mat_Sum!$CG29+K$180*Mat_Sum!$AG29+K$181*Mat_Sum!$I29+K$182*Mat_Sum!$L29+K$183*Mat_Sum!$CI29+K$184*Mat_Sum!$CJ29+K$185*Mat_Sum!$CK29+K$186*Mat_Sum!$AQ29+K$187*Mat_Sum!$AO29+K$188*Mat_Sum!$AP29+K$189*Mat_Sum!$D29+K$190*Mat_Sum!$BE29+K$191*Mat_Sum!$CM29+K$192*Mat_Sum!$CL29)+(Battery_Assembly!$F75*$K$47/2.2046*$C$41/1000))*(1+$D$31)</f>
        <v>3.7141920214540818</v>
      </c>
      <c r="L208" s="1321">
        <f>$F$180*Mat_Sum!$AE29</f>
        <v>1.6641916935341707E-2</v>
      </c>
      <c r="M208" s="5">
        <f>$F$180*Mat_Sum!$AF29</f>
        <v>0.28988258762864533</v>
      </c>
      <c r="N208" s="1321">
        <f>$F$180*Mat_Sum!BR29</f>
        <v>0.97979077820983718</v>
      </c>
      <c r="O208" s="1321">
        <f ca="1">$F$180*Mat_Sum!CF29</f>
        <v>0.26323236895568242</v>
      </c>
      <c r="P208" s="1321">
        <f ca="1">$F$180*Mat_Sum!BM29</f>
        <v>0.12614118246935715</v>
      </c>
      <c r="Q208" s="1321">
        <f ca="1">$F$180*Mat_Sum!BN29</f>
        <v>0.48895306244146974</v>
      </c>
      <c r="R208" s="1321">
        <f>$F$180*Mat_Sum!BO29</f>
        <v>2.6033889744611544E-2</v>
      </c>
      <c r="S208" s="1321">
        <f ca="1">$F$180*Mat_Sum!BP29</f>
        <v>8.7754129383464205E-2</v>
      </c>
      <c r="T208" s="1321">
        <f ca="1">$F$180*Mat_Sum!BQ29</f>
        <v>0.4742329080435646</v>
      </c>
      <c r="U208" s="1318">
        <f t="shared" ca="1" si="12"/>
        <v>10.400978706653996</v>
      </c>
      <c r="V208" s="794" t="s">
        <v>828</v>
      </c>
      <c r="W208" s="1321">
        <f>$H$180*Mat_Sum!$AE29</f>
        <v>6.4308201390337008E-2</v>
      </c>
      <c r="X208" s="5">
        <f>$H$180*Mat_Sum!$AF29</f>
        <v>1.1201731084948578</v>
      </c>
      <c r="Y208" s="1321">
        <f>$H$180*Mat_Sum!$BR29</f>
        <v>3.7861373140076591</v>
      </c>
      <c r="Z208" s="1321">
        <f ca="1">$H$180*Mat_Sum!$CF29</f>
        <v>1.0171905232448475</v>
      </c>
      <c r="AA208" s="1321">
        <f ca="1">$H$180*Mat_Sum!$BM29</f>
        <v>0.48743859240324389</v>
      </c>
      <c r="AB208" s="1321">
        <f ca="1">$H$180*Mat_Sum!$BN29</f>
        <v>1.8894272896611131</v>
      </c>
      <c r="AC208" s="1321">
        <f>$H$180*Mat_Sum!$BO29</f>
        <v>0.10060094826665665</v>
      </c>
      <c r="AD208" s="1321">
        <f ca="1">$H$180*Mat_Sum!$BP29</f>
        <v>0.33910217477657612</v>
      </c>
      <c r="AE208" s="1321">
        <f ca="1">$H$180*Mat_Sum!$BQ29</f>
        <v>1.8325452214958149</v>
      </c>
      <c r="AF208" s="1318">
        <f t="shared" ca="1" si="13"/>
        <v>88.261723025627276</v>
      </c>
      <c r="AG208" s="794" t="s">
        <v>828</v>
      </c>
    </row>
    <row r="209" spans="1:33" s="64" customFormat="1">
      <c r="A209" s="494" t="s">
        <v>829</v>
      </c>
      <c r="B209" s="349"/>
      <c r="C209" s="349"/>
      <c r="D209" s="349">
        <f ca="1">((D$176*(IF(Vehi_Inputs!$C$102=2,Mat_Sum!$BT30,IF(Vehi_Inputs!$C$102=3,Mat_Sum!$BZ30,IF(Vehi_Inputs!$C$102=4,Mat_Sum!$CA30,Mat_Sum!$BK30)))+Mat_Sum!$CE30*LiMn2O4!$E$9)+D$177*Mat_Sum!$CF30+D$178*Mat_Sum!$CO30+D$179*Mat_Sum!$CG30+D$180*Mat_Sum!$AG30+D$181*Mat_Sum!$I30+D$182*Mat_Sum!$L30+D$183*Mat_Sum!$CI30+D$184*Mat_Sum!$CJ30+D$185*Mat_Sum!$CK30+D$186*Mat_Sum!$AQ30+D$187*Mat_Sum!$AO30+D$188*Mat_Sum!$AP30+D$189*Mat_Sum!$D30+D$190*Mat_Sum!$BE30+D$191*Mat_Sum!$CM30+D$192*Mat_Sum!$CL30)+(Battery_Assembly!$F76*$D$47/2.2046*$C$40/1000))*(1+$D$28)</f>
        <v>472.53301364330883</v>
      </c>
      <c r="E209" s="349">
        <f ca="1">((E$176*(IF(Vehi_Inputs!$C$102=2,Mat_Sum!$BT30,IF(Vehi_Inputs!$C$102=3,Mat_Sum!$BZ30,IF(Vehi_Inputs!$C$102=4,Mat_Sum!$CA30,Mat_Sum!$BK30)))+Mat_Sum!$CE30*LiMn2O4!$E$9)+E$177*Mat_Sum!$CF30+E$178*Mat_Sum!$CO30+E$179*Mat_Sum!$CG30+E$180*Mat_Sum!$AG30+E$181*Mat_Sum!$I30+E$182*Mat_Sum!$L30+E$183*Mat_Sum!$CI30+E$184*Mat_Sum!$CJ30+E$185*Mat_Sum!$CK30+E$186*Mat_Sum!$AQ30+E$187*Mat_Sum!$AO30+E$188*Mat_Sum!$AP30+E$189*Mat_Sum!$D30+E$190*Mat_Sum!$BE30+E$191*Mat_Sum!$CM30+E$192*Mat_Sum!$CL30)+(Battery_Assembly!$F76*$E$47/2.2046*$C$40/1000))*(1+$D$28)</f>
        <v>326.28684272001595</v>
      </c>
      <c r="F209" s="349">
        <f ca="1">((F$176*(IF(Vehi_Inputs!$C$103=2,Mat_Sum!$BT30,IF(Vehi_Inputs!$C$103=3,Mat_Sum!$BZ30,IF(Vehi_Inputs!$C$103=4,Mat_Sum!$CA30,Mat_Sum!$BK30)))+Mat_Sum!$CE30*LiMn2O4!$E$9)+F$177*Mat_Sum!$CF30+F$178*Mat_Sum!$CO30+F$179*Mat_Sum!$CG30+F$180*Mat_Sum!$AG30+F$181*Mat_Sum!$I30+F$182*Mat_Sum!$L30+F$183*Mat_Sum!$CI30+F$184*Mat_Sum!$CJ30+F$185*Mat_Sum!$CK30+F$186*Mat_Sum!$AQ30+F$187*Mat_Sum!$AO30+F$188*Mat_Sum!$AP30+F$189*Mat_Sum!$D30+F$190*Mat_Sum!$BE30+F$191*Mat_Sum!$CM30+F$192*Mat_Sum!$CL30)+(Battery_Assembly!$F76*$C$20))*(1+$D$29)</f>
        <v>1468.6329617039514</v>
      </c>
      <c r="G209" s="349">
        <f ca="1">((G$176*(IF(Vehi_Inputs!$C$103=2,Mat_Sum!$BT30,IF(Vehi_Inputs!$C$103=3,Mat_Sum!$BZ30,IF(Vehi_Inputs!$C$103=4,Mat_Sum!$CA30,Mat_Sum!$BK30)))+Mat_Sum!$CE30*LiMn2O4!$E$9)+G$177*Mat_Sum!$CF30+G$178*Mat_Sum!$CO30+G$179*Mat_Sum!$CG30+G$180*Mat_Sum!$AG30+G$181*Mat_Sum!$I30+G$182*Mat_Sum!$L30+G$183*Mat_Sum!$CI30+G$184*Mat_Sum!$CJ30+G$185*Mat_Sum!$CK30+G$186*Mat_Sum!$AQ30+G$187*Mat_Sum!$AO30+G$188*Mat_Sum!$AP30+G$189*Mat_Sum!$D30+G$190*Mat_Sum!$BE30+G$191*Mat_Sum!$CM30+G$192*Mat_Sum!$CL30)+(Battery_Assembly!$F76*$C$21))*(1+$D$29)</f>
        <v>1168.1721608869129</v>
      </c>
      <c r="H209" s="349">
        <f ca="1">((H$176*(IF(Vehi_Inputs!$C$104=2,Mat_Sum!$BT30,IF(OR(Vehi_Inputs!$C$104=7,Vehi_Inputs!$C$104=8),Mat_Sum!$BY30,IF(Vehi_Inputs!$C$104=3,Mat_Sum!$BZ30,IF(Vehi_Inputs!$C$104=4,Mat_Sum!$CA30,IF(Vehi_Inputs!$C$104=5,Mat_Sum!$BV30,IF(Vehi_Inputs!$C$104=6,Mat_Sum!$BW30,IF(Vehi_Inputs!$C$104=9,Mat_Sum!$CD30,IF(Vehi_Inputs!$C$104=10,Mat_Sum!$BU30,Mat_Sum!$BK30))))))))+Mat_Sum!$CE30*LiMn2O4!$E$9)+H$177*Mat_Sum!$CF30+H$178*Mat_Sum!$CO30+H$179*Mat_Sum!$CG30+H$180*Mat_Sum!$AG30+H$181*Mat_Sum!$I30+H$182*Mat_Sum!$L30+H$183*Mat_Sum!$CI30+H$184*Mat_Sum!$CJ30+H$185*Mat_Sum!$CK30+H$186*Mat_Sum!$AQ30+H$187*Mat_Sum!$AO30+H$188*Mat_Sum!$AP30+H$189*Mat_Sum!$D30+H$190*Mat_Sum!$BE30+H$191*Mat_Sum!$CM30+H$192*Mat_Sum!$CL30)+(Battery_Assembly!$F76*$C$22))*(1+$D$30)</f>
        <v>10586.356843752295</v>
      </c>
      <c r="I209" s="349">
        <f ca="1">((I$176*(IF(Vehi_Inputs!$C$104=2,Mat_Sum!$BT30,IF(OR(Vehi_Inputs!$C$104=7,Vehi_Inputs!$C$104=8),Mat_Sum!$BY30,IF(Vehi_Inputs!$C$104=3,Mat_Sum!$BZ30,IF(Vehi_Inputs!$C$104=4,Mat_Sum!$CA30,IF(Vehi_Inputs!$C$104=5,Mat_Sum!$BV30,IF(Vehi_Inputs!$C$104=6,Mat_Sum!$BW30,IF(Vehi_Inputs!$C$104=9,Mat_Sum!$CD30,IF(Vehi_Inputs!$C$104=10,Mat_Sum!$BU30,Mat_Sum!$BK30))))))))+Mat_Sum!$CE30*LiMn2O4!$E$9)+I$177*Mat_Sum!$CF30+I$178*Mat_Sum!$CO30+I$179*Mat_Sum!$CG30+I$180*Mat_Sum!$AG30+I$181*Mat_Sum!$I30+I$182*Mat_Sum!$L30+I$183*Mat_Sum!$CI30+I$184*Mat_Sum!$CJ30+I$185*Mat_Sum!$CK30+I$186*Mat_Sum!$AQ30+I$187*Mat_Sum!$AO30+I$188*Mat_Sum!$AP30+I$189*Mat_Sum!$D30+I$190*Mat_Sum!$BE30+I$191*Mat_Sum!$CM30+I$192*Mat_Sum!$CL30)+(Battery_Assembly!$F76*$C$23))*(1+$D$30)</f>
        <v>9082.2547652600388</v>
      </c>
      <c r="J209" s="349">
        <f ca="1">((J$176*(IF(Vehi_Inputs!$C$105=2,Mat_Sum!$BT30,IF(Vehi_Inputs!$C$105=3,Mat_Sum!$BZ30,IF(Vehi_Inputs!$C$105=4,Mat_Sum!$CA30,Mat_Sum!$BK30)))+Mat_Sum!$CE30*LiMn2O4!$E$9)+J$177*Mat_Sum!$CF30+J$178*Mat_Sum!$CO30+J$179*Mat_Sum!$CG30+J$180*Mat_Sum!$AG30+J$181*Mat_Sum!$I30+J$182*Mat_Sum!$L30+J$183*Mat_Sum!$CI30+J$184*Mat_Sum!$CJ30+J$185*Mat_Sum!$CK30+J$186*Mat_Sum!$AQ30+J$187*Mat_Sum!$AO30+J$188*Mat_Sum!$AP30+J$189*Mat_Sum!$D30+J$190*Mat_Sum!$BE30+J$191*Mat_Sum!$CM30+J$192*Mat_Sum!$CL30)+(Battery_Assembly!$F76*$J$47/2.2046*$C$41/1000))*(1+$D$31)</f>
        <v>466.881411087277</v>
      </c>
      <c r="K209" s="348">
        <f ca="1">((K$176*(IF(Vehi_Inputs!$C$105=2,Mat_Sum!$BT30,IF(Vehi_Inputs!$C$105=3,Mat_Sum!$BZ30,IF(Vehi_Inputs!$C$105=4,Mat_Sum!$CA30,Mat_Sum!$BK30)))+Mat_Sum!$CE30*LiMn2O4!$E$9)+K$177*Mat_Sum!$CF30+K$178*Mat_Sum!$CO30+K$179*Mat_Sum!$CG30+K$180*Mat_Sum!$AG30+K$181*Mat_Sum!$I30+K$182*Mat_Sum!$L30+K$183*Mat_Sum!$CI30+K$184*Mat_Sum!$CJ30+K$185*Mat_Sum!$CK30+K$186*Mat_Sum!$AQ30+K$187*Mat_Sum!$AO30+K$188*Mat_Sum!$AP30+K$189*Mat_Sum!$D30+K$190*Mat_Sum!$BE30+K$191*Mat_Sum!$CM30+K$192*Mat_Sum!$CL30)+(Battery_Assembly!$F76*$K$47/2.2046*$C$41/1000))*(1+$D$31)</f>
        <v>439.61506010234513</v>
      </c>
      <c r="L209" s="1321">
        <f>$F$180*Mat_Sum!$AE30</f>
        <v>2.4768847639848914</v>
      </c>
      <c r="M209" s="5">
        <f>$F$180*Mat_Sum!$AF30</f>
        <v>34.509017178791055</v>
      </c>
      <c r="N209" s="1321">
        <f>$F$180*Mat_Sum!BR30</f>
        <v>42.009542653200306</v>
      </c>
      <c r="O209" s="1321">
        <f ca="1">$F$180*Mat_Sum!CF30</f>
        <v>68.454913716995804</v>
      </c>
      <c r="P209" s="1321">
        <f ca="1">$F$180*Mat_Sum!BM30</f>
        <v>7.0708981278635958</v>
      </c>
      <c r="Q209" s="1321">
        <f ca="1">$F$180*Mat_Sum!BN30</f>
        <v>45.152348949351548</v>
      </c>
      <c r="R209" s="1321">
        <f>$F$180*Mat_Sum!BO30</f>
        <v>3.4184886832846959</v>
      </c>
      <c r="S209" s="1321">
        <f ca="1">$F$180*Mat_Sum!BP30</f>
        <v>3.5208813066721674</v>
      </c>
      <c r="T209" s="1321">
        <f ca="1">$F$180*Mat_Sum!BQ30</f>
        <v>46.589883633920067</v>
      </c>
      <c r="U209" s="1318">
        <f t="shared" ca="1" si="12"/>
        <v>1215.4301026898872</v>
      </c>
      <c r="V209" s="494" t="s">
        <v>829</v>
      </c>
      <c r="W209" s="1321">
        <f>$H$180*Mat_Sum!$AE30</f>
        <v>9.5712534104008942</v>
      </c>
      <c r="X209" s="5">
        <f>$H$180*Mat_Sum!$AF30</f>
        <v>133.35079336944949</v>
      </c>
      <c r="Y209" s="1321">
        <f>$H$180*Mat_Sum!$BR30</f>
        <v>162.33455194820601</v>
      </c>
      <c r="Z209" s="1321">
        <f ca="1">$H$180*Mat_Sum!$CF30</f>
        <v>264.52555883883332</v>
      </c>
      <c r="AA209" s="1321">
        <f ca="1">$H$180*Mat_Sum!$BM30</f>
        <v>27.323579524156081</v>
      </c>
      <c r="AB209" s="1321">
        <f ca="1">$H$180*Mat_Sum!$BN30</f>
        <v>174.47907958940007</v>
      </c>
      <c r="AC209" s="1321">
        <f>$H$180*Mat_Sum!$BO30</f>
        <v>13.209827903202804</v>
      </c>
      <c r="AD209" s="1321">
        <f ca="1">$H$180*Mat_Sum!$BP30</f>
        <v>13.605496591567835</v>
      </c>
      <c r="AE209" s="1321">
        <f ca="1">$H$180*Mat_Sum!$BQ30</f>
        <v>180.03404482327315</v>
      </c>
      <c r="AF209" s="1318">
        <f t="shared" ca="1" si="13"/>
        <v>9607.9226577538066</v>
      </c>
      <c r="AG209" s="494" t="s">
        <v>829</v>
      </c>
    </row>
    <row r="210" spans="1:33" s="64" customFormat="1">
      <c r="A210" s="494" t="s">
        <v>830</v>
      </c>
      <c r="B210" s="349"/>
      <c r="C210" s="349"/>
      <c r="D210" s="349">
        <f ca="1">((D$176*(IF(Vehi_Inputs!$C$102=2,Mat_Sum!$BT31,IF(Vehi_Inputs!$C$102=3,Mat_Sum!$BZ31,IF(Vehi_Inputs!$C$102=4,Mat_Sum!$CA31,Mat_Sum!$BK31)))+Mat_Sum!$CE31*LiMn2O4!$E$9)+D$177*Mat_Sum!$CF31+D$178*Mat_Sum!$CO31+D$179*Mat_Sum!$CG31+D$180*Mat_Sum!$AG31+D$181*Mat_Sum!$I31+D$182*Mat_Sum!$L31+D$183*Mat_Sum!$CI31+D$184*Mat_Sum!$CJ31+D$185*Mat_Sum!$CK31+D$186*Mat_Sum!$AQ31+D$187*Mat_Sum!$AO31+D$188*Mat_Sum!$AP31+D$189*Mat_Sum!$D31+D$190*Mat_Sum!$BE31+D$191*Mat_Sum!$CM31+D$192*Mat_Sum!$CL31)+(Battery_Assembly!$F77*$D$47/2.2046*$C$40/1000))*(1+$D$28)</f>
        <v>5.6479270748346231</v>
      </c>
      <c r="E210" s="349">
        <f ca="1">((E$176*(IF(Vehi_Inputs!$C$102=2,Mat_Sum!$BT31,IF(Vehi_Inputs!$C$102=3,Mat_Sum!$BZ31,IF(Vehi_Inputs!$C$102=4,Mat_Sum!$CA31,Mat_Sum!$BK31)))+Mat_Sum!$CE31*LiMn2O4!$E$9)+E$177*Mat_Sum!$CF31+E$178*Mat_Sum!$CO31+E$179*Mat_Sum!$CG31+E$180*Mat_Sum!$AG31+E$181*Mat_Sum!$I31+E$182*Mat_Sum!$L31+E$183*Mat_Sum!$CI31+E$184*Mat_Sum!$CJ31+E$185*Mat_Sum!$CK31+E$186*Mat_Sum!$AQ31+E$187*Mat_Sum!$AO31+E$188*Mat_Sum!$AP31+E$189*Mat_Sum!$D31+E$190*Mat_Sum!$BE31+E$191*Mat_Sum!$CM31+E$192*Mat_Sum!$CL31)+(Battery_Assembly!$F77*$E$47/2.2046*$C$40/1000))*(1+$D$28)</f>
        <v>3.8999270737763823</v>
      </c>
      <c r="F210" s="349">
        <f ca="1">((F$176*(IF(Vehi_Inputs!$C$103=2,Mat_Sum!$BT31,IF(Vehi_Inputs!$C$103=3,Mat_Sum!$BZ31,IF(Vehi_Inputs!$C$103=4,Mat_Sum!$CA31,Mat_Sum!$BK31)))+Mat_Sum!$CE31*LiMn2O4!$E$9)+F$177*Mat_Sum!$CF31+F$178*Mat_Sum!$CO31+F$179*Mat_Sum!$CG31+F$180*Mat_Sum!$AG31+F$181*Mat_Sum!$I31+F$182*Mat_Sum!$L31+F$183*Mat_Sum!$CI31+F$184*Mat_Sum!$CJ31+F$185*Mat_Sum!$CK31+F$186*Mat_Sum!$AQ31+F$187*Mat_Sum!$AO31+F$188*Mat_Sum!$AP31+F$189*Mat_Sum!$D31+F$190*Mat_Sum!$BE31+F$191*Mat_Sum!$CM31+F$192*Mat_Sum!$CL31)+(Battery_Assembly!$F77*$C$20))*(1+$D$29)</f>
        <v>19.208926002286422</v>
      </c>
      <c r="G210" s="349">
        <f ca="1">((G$176*(IF(Vehi_Inputs!$C$103=2,Mat_Sum!$BT31,IF(Vehi_Inputs!$C$103=3,Mat_Sum!$BZ31,IF(Vehi_Inputs!$C$103=4,Mat_Sum!$CA31,Mat_Sum!$BK31)))+Mat_Sum!$CE31*LiMn2O4!$E$9)+G$177*Mat_Sum!$CF31+G$178*Mat_Sum!$CO31+G$179*Mat_Sum!$CG31+G$180*Mat_Sum!$AG31+G$181*Mat_Sum!$I31+G$182*Mat_Sum!$L31+G$183*Mat_Sum!$CI31+G$184*Mat_Sum!$CJ31+G$185*Mat_Sum!$CK31+G$186*Mat_Sum!$AQ31+G$187*Mat_Sum!$AO31+G$188*Mat_Sum!$AP31+G$189*Mat_Sum!$D31+G$190*Mat_Sum!$BE31+G$191*Mat_Sum!$CM31+G$192*Mat_Sum!$CL31)+(Battery_Assembly!$F77*$C$21))*(1+$D$29)</f>
        <v>15.279060991776294</v>
      </c>
      <c r="H210" s="349">
        <f ca="1">((H$176*(IF(Vehi_Inputs!$C$104=2,Mat_Sum!$BT31,IF(OR(Vehi_Inputs!$C$104=7,Vehi_Inputs!$C$104=8),Mat_Sum!$BY31,IF(Vehi_Inputs!$C$104=3,Mat_Sum!$BZ31,IF(Vehi_Inputs!$C$104=4,Mat_Sum!$CA31,IF(Vehi_Inputs!$C$104=5,Mat_Sum!$BV31,IF(Vehi_Inputs!$C$104=6,Mat_Sum!$BW31,IF(Vehi_Inputs!$C$104=9,Mat_Sum!$CD31,IF(Vehi_Inputs!$C$104=10,Mat_Sum!$BU31,Mat_Sum!$BK31))))))))+Mat_Sum!$CE31*LiMn2O4!$E$9)+H$177*Mat_Sum!$CF31+H$178*Mat_Sum!$CO31+H$179*Mat_Sum!$CG31+H$180*Mat_Sum!$AG31+H$181*Mat_Sum!$I31+H$182*Mat_Sum!$L31+H$183*Mat_Sum!$CI31+H$184*Mat_Sum!$CJ31+H$185*Mat_Sum!$CK31+H$186*Mat_Sum!$AQ31+H$187*Mat_Sum!$AO31+H$188*Mat_Sum!$AP31+H$189*Mat_Sum!$D31+H$190*Mat_Sum!$BE31+H$191*Mat_Sum!$CM31+H$192*Mat_Sum!$CL31)+(Battery_Assembly!$F77*$C$22))*(1+$D$30)</f>
        <v>149.70645862294009</v>
      </c>
      <c r="I210" s="349">
        <f ca="1">((I$176*(IF(Vehi_Inputs!$C$104=2,Mat_Sum!$BT31,IF(OR(Vehi_Inputs!$C$104=7,Vehi_Inputs!$C$104=8),Mat_Sum!$BY31,IF(Vehi_Inputs!$C$104=3,Mat_Sum!$BZ31,IF(Vehi_Inputs!$C$104=4,Mat_Sum!$CA31,IF(Vehi_Inputs!$C$104=5,Mat_Sum!$BV31,IF(Vehi_Inputs!$C$104=6,Mat_Sum!$BW31,IF(Vehi_Inputs!$C$104=9,Mat_Sum!$CD31,IF(Vehi_Inputs!$C$104=10,Mat_Sum!$BU31,Mat_Sum!$BK31))))))))+Mat_Sum!$CE31*LiMn2O4!$E$9)+I$177*Mat_Sum!$CF31+I$178*Mat_Sum!$CO31+I$179*Mat_Sum!$CG31+I$180*Mat_Sum!$AG31+I$181*Mat_Sum!$I31+I$182*Mat_Sum!$L31+I$183*Mat_Sum!$CI31+I$184*Mat_Sum!$CJ31+I$185*Mat_Sum!$CK31+I$186*Mat_Sum!$AQ31+I$187*Mat_Sum!$AO31+I$188*Mat_Sum!$AP31+I$189*Mat_Sum!$D31+I$190*Mat_Sum!$BE31+I$191*Mat_Sum!$CM31+I$192*Mat_Sum!$CL31)+(Battery_Assembly!$F77*$C$23))*(1+$D$30)</f>
        <v>128.43627106910105</v>
      </c>
      <c r="J210" s="349">
        <f ca="1">((J$176*(IF(Vehi_Inputs!$C$105=2,Mat_Sum!$BT31,IF(Vehi_Inputs!$C$105=3,Mat_Sum!$BZ31,IF(Vehi_Inputs!$C$105=4,Mat_Sum!$CA31,Mat_Sum!$BK31)))+Mat_Sum!$CE31*LiMn2O4!$E$9)+J$177*Mat_Sum!$CF31+J$178*Mat_Sum!$CO31+J$179*Mat_Sum!$CG31+J$180*Mat_Sum!$AG31+J$181*Mat_Sum!$I31+J$182*Mat_Sum!$L31+J$183*Mat_Sum!$CI31+J$184*Mat_Sum!$CJ31+J$185*Mat_Sum!$CK31+J$186*Mat_Sum!$AQ31+J$187*Mat_Sum!$AO31+J$188*Mat_Sum!$AP31+J$189*Mat_Sum!$D31+J$190*Mat_Sum!$BE31+J$191*Mat_Sum!$CM31+J$192*Mat_Sum!$CL31)+(Battery_Assembly!$F77*$J$47/2.2046*$C$41/1000))*(1+$D$31)</f>
        <v>5.5074592636754822</v>
      </c>
      <c r="K210" s="348">
        <f ca="1">((K$176*(IF(Vehi_Inputs!$C$105=2,Mat_Sum!$BT31,IF(Vehi_Inputs!$C$105=3,Mat_Sum!$BZ31,IF(Vehi_Inputs!$C$105=4,Mat_Sum!$CA31,Mat_Sum!$BK31)))+Mat_Sum!$CE31*LiMn2O4!$E$9)+K$177*Mat_Sum!$CF31+K$178*Mat_Sum!$CO31+K$179*Mat_Sum!$CG31+K$180*Mat_Sum!$AG31+K$181*Mat_Sum!$I31+K$182*Mat_Sum!$L31+K$183*Mat_Sum!$CI31+K$184*Mat_Sum!$CJ31+K$185*Mat_Sum!$CK31+K$186*Mat_Sum!$AQ31+K$187*Mat_Sum!$AO31+K$188*Mat_Sum!$AP31+K$189*Mat_Sum!$D31+K$190*Mat_Sum!$BE31+K$191*Mat_Sum!$CM31+K$192*Mat_Sum!$CL31)+(Battery_Assembly!$F77*$K$47/2.2046*$C$41/1000))*(1+$D$31)</f>
        <v>5.185818020840653</v>
      </c>
      <c r="L210" s="1321">
        <f>$F$180*Mat_Sum!$AE31</f>
        <v>1.8319430516394227E-2</v>
      </c>
      <c r="M210" s="5">
        <f>$F$180*Mat_Sum!$AF31</f>
        <v>0.39288256518859926</v>
      </c>
      <c r="N210" s="1321">
        <f>$F$180*Mat_Sum!BR31</f>
        <v>0.22455736949472943</v>
      </c>
      <c r="O210" s="1321">
        <f ca="1">$F$180*Mat_Sum!CF31</f>
        <v>0.65076635487678491</v>
      </c>
      <c r="P210" s="1321">
        <f ca="1">$F$180*Mat_Sum!BM31</f>
        <v>1.0756483844373068</v>
      </c>
      <c r="Q210" s="1321">
        <f ca="1">$F$180*Mat_Sum!BN31</f>
        <v>1.9442714164507653</v>
      </c>
      <c r="R210" s="1321">
        <f>$F$180*Mat_Sum!BO31</f>
        <v>2.9182149168289869E-2</v>
      </c>
      <c r="S210" s="1321">
        <f ca="1">$F$180*Mat_Sum!BP31</f>
        <v>7.0209120704076311E-2</v>
      </c>
      <c r="T210" s="1321">
        <f ca="1">$F$180*Mat_Sum!BQ31</f>
        <v>0.44913155046742914</v>
      </c>
      <c r="U210" s="1318">
        <f t="shared" ca="1" si="12"/>
        <v>14.353957660982047</v>
      </c>
      <c r="V210" s="494" t="s">
        <v>830</v>
      </c>
      <c r="W210" s="1321">
        <f>$H$180*Mat_Sum!$AE31</f>
        <v>7.0790500372148124E-2</v>
      </c>
      <c r="X210" s="5">
        <f>$H$180*Mat_Sum!$AF31</f>
        <v>1.5181887533187517</v>
      </c>
      <c r="Y210" s="1321">
        <f>$H$180*Mat_Sum!$BR31</f>
        <v>0.86774141448115971</v>
      </c>
      <c r="Z210" s="1321">
        <f ca="1">$H$180*Mat_Sum!$CF31</f>
        <v>2.5147111339438077</v>
      </c>
      <c r="AA210" s="1321">
        <f ca="1">$H$180*Mat_Sum!$BM31</f>
        <v>4.1565531903770818</v>
      </c>
      <c r="AB210" s="1321">
        <f ca="1">$H$180*Mat_Sum!$BN31</f>
        <v>7.5131127196690519</v>
      </c>
      <c r="AC210" s="1321">
        <f>$H$180*Mat_Sum!$BO31</f>
        <v>0.11276654804903383</v>
      </c>
      <c r="AD210" s="1321">
        <f ca="1">$H$180*Mat_Sum!$BP31</f>
        <v>0.27130421881194855</v>
      </c>
      <c r="AE210" s="1321">
        <f ca="1">$H$180*Mat_Sum!$BQ31</f>
        <v>1.7355477923866161</v>
      </c>
      <c r="AF210" s="1318">
        <f t="shared" ca="1" si="13"/>
        <v>130.9457423515305</v>
      </c>
      <c r="AG210" s="494" t="s">
        <v>830</v>
      </c>
    </row>
    <row r="211" spans="1:33" s="64" customFormat="1">
      <c r="A211" s="630" t="s">
        <v>831</v>
      </c>
      <c r="B211" s="246"/>
      <c r="C211" s="246"/>
      <c r="D211" s="246">
        <f ca="1">((D$176*(IF(Vehi_Inputs!$C$102=2,Mat_Sum!$BT32,IF(Vehi_Inputs!$C$102=3,Mat_Sum!$BZ32,IF(Vehi_Inputs!$C$102=4,Mat_Sum!$CA32,Mat_Sum!$BK32)))+Mat_Sum!$CE32*LiMn2O4!$E$9)+D$177*Mat_Sum!$CF32+D$178*Mat_Sum!$CO32+D$179*Mat_Sum!$CG32+D$180*Mat_Sum!$AG32+D$181*Mat_Sum!$I32+D$182*Mat_Sum!$L32+D$183*Mat_Sum!$CI32+D$184*Mat_Sum!$CJ32+D$185*Mat_Sum!$CK32+D$186*Mat_Sum!$AQ32+D$187*Mat_Sum!$AO32+D$188*Mat_Sum!$AP32+D$189*Mat_Sum!$D32+D$190*Mat_Sum!$BE32+D$191*Mat_Sum!$CM32+D$192*Mat_Sum!$CL32)+(Battery_Assembly!$F78*$D$47/2.2046*$C$40/1000))*(1+$D$28)</f>
        <v>195061.85777725169</v>
      </c>
      <c r="E211" s="246">
        <f ca="1">((E$176*(IF(Vehi_Inputs!$C$102=2,Mat_Sum!$BT32,IF(Vehi_Inputs!$C$102=3,Mat_Sum!$BZ32,IF(Vehi_Inputs!$C$102=4,Mat_Sum!$CA32,Mat_Sum!$BK32)))+Mat_Sum!$CE32*LiMn2O4!$E$9)+E$177*Mat_Sum!$CF32+E$178*Mat_Sum!$CO32+E$179*Mat_Sum!$CG32+E$180*Mat_Sum!$AG32+E$181*Mat_Sum!$I32+E$182*Mat_Sum!$L32+E$183*Mat_Sum!$CI32+E$184*Mat_Sum!$CJ32+E$185*Mat_Sum!$CK32+E$186*Mat_Sum!$AQ32+E$187*Mat_Sum!$AO32+E$188*Mat_Sum!$AP32+E$189*Mat_Sum!$D32+E$190*Mat_Sum!$BE32+E$191*Mat_Sum!$CM32+E$192*Mat_Sum!$CL32)+(Battery_Assembly!$F78*$E$47/2.2046*$C$40/1000))*(1+$D$28)</f>
        <v>134691.36731530778</v>
      </c>
      <c r="F211" s="246">
        <f ca="1">((F$176*(IF(Vehi_Inputs!$C$103=2,Mat_Sum!$BT32,IF(Vehi_Inputs!$C$103=3,Mat_Sum!$BZ32,IF(Vehi_Inputs!$C$103=4,Mat_Sum!$CA32,Mat_Sum!$BK32)))+Mat_Sum!$CE32*LiMn2O4!$E$9)+F$177*Mat_Sum!$CF32+F$178*Mat_Sum!$CO32+F$179*Mat_Sum!$CG32+F$180*Mat_Sum!$AG32+F$181*Mat_Sum!$I32+F$182*Mat_Sum!$L32+F$183*Mat_Sum!$CI32+F$184*Mat_Sum!$CJ32+F$185*Mat_Sum!$CK32+F$186*Mat_Sum!$AQ32+F$187*Mat_Sum!$AO32+F$188*Mat_Sum!$AP32+F$189*Mat_Sum!$D32+F$190*Mat_Sum!$BE32+F$191*Mat_Sum!$CM32+F$192*Mat_Sum!$CL32)+(Battery_Assembly!$F78*$C$20))*(1+$D$29)</f>
        <v>621291.90266382485</v>
      </c>
      <c r="G211" s="246">
        <f ca="1">((G$176*(IF(Vehi_Inputs!$C$103=2,Mat_Sum!$BT32,IF(Vehi_Inputs!$C$103=3,Mat_Sum!$BZ32,IF(Vehi_Inputs!$C$103=4,Mat_Sum!$CA32,Mat_Sum!$BK32)))+Mat_Sum!$CE32*LiMn2O4!$E$9)+G$177*Mat_Sum!$CF32+G$178*Mat_Sum!$CO32+G$179*Mat_Sum!$CG32+G$180*Mat_Sum!$AG32+G$181*Mat_Sum!$I32+G$182*Mat_Sum!$L32+G$183*Mat_Sum!$CI32+G$184*Mat_Sum!$CJ32+G$185*Mat_Sum!$CK32+G$186*Mat_Sum!$AQ32+G$187*Mat_Sum!$AO32+G$188*Mat_Sum!$AP32+G$189*Mat_Sum!$D32+G$190*Mat_Sum!$BE32+G$191*Mat_Sum!$CM32+G$192*Mat_Sum!$CL32)+(Battery_Assembly!$F78*$C$21))*(1+$D$29)</f>
        <v>494184.6760910739</v>
      </c>
      <c r="H211" s="419">
        <f ca="1">((H$176*(IF(Vehi_Inputs!$C$104=2,Mat_Sum!$BT32,IF(OR(Vehi_Inputs!$C$104=7,Vehi_Inputs!$C$104=8),Mat_Sum!$BY32,IF(Vehi_Inputs!$C$104=3,Mat_Sum!$BZ32,IF(Vehi_Inputs!$C$104=4,Mat_Sum!$CA32,IF(Vehi_Inputs!$C$104=5,Mat_Sum!$BV32,IF(Vehi_Inputs!$C$104=6,Mat_Sum!$BW32,IF(Vehi_Inputs!$C$104=9,Mat_Sum!$CD32,IF(Vehi_Inputs!$C$104=10,Mat_Sum!$BU32,Mat_Sum!$BK32))))))))+Mat_Sum!$CE32*LiMn2O4!$E$9)+H$177*Mat_Sum!$CF32+H$178*Mat_Sum!$CO32+H$179*Mat_Sum!$CG32+H$180*Mat_Sum!$AG32+H$181*Mat_Sum!$I32+H$182*Mat_Sum!$L32+H$183*Mat_Sum!$CI32+H$184*Mat_Sum!$CJ32+H$185*Mat_Sum!$CK32+H$186*Mat_Sum!$AQ32+H$187*Mat_Sum!$AO32+H$188*Mat_Sum!$AP32+H$189*Mat_Sum!$D32+H$190*Mat_Sum!$BE32+H$191*Mat_Sum!$CM32+H$192*Mat_Sum!$CL32)+(Battery_Assembly!$F78*$C$22))*(1+$D$30)</f>
        <v>4554903.3343355367</v>
      </c>
      <c r="I211" s="419">
        <f ca="1">((I$176*(IF(Vehi_Inputs!$C$104=2,Mat_Sum!$BT32,IF(OR(Vehi_Inputs!$C$104=7,Vehi_Inputs!$C$104=8),Mat_Sum!$BY32,IF(Vehi_Inputs!$C$104=3,Mat_Sum!$BZ32,IF(Vehi_Inputs!$C$104=4,Mat_Sum!$CA32,IF(Vehi_Inputs!$C$104=5,Mat_Sum!$BV32,IF(Vehi_Inputs!$C$104=6,Mat_Sum!$BW32,IF(Vehi_Inputs!$C$104=9,Mat_Sum!$CD32,IF(Vehi_Inputs!$C$104=10,Mat_Sum!$BU32,Mat_Sum!$BK32))))))))+Mat_Sum!$CE32*LiMn2O4!$E$9)+I$177*Mat_Sum!$CF32+I$178*Mat_Sum!$CO32+I$179*Mat_Sum!$CG32+I$180*Mat_Sum!$AG32+I$181*Mat_Sum!$I32+I$182*Mat_Sum!$L32+I$183*Mat_Sum!$CI32+I$184*Mat_Sum!$CJ32+I$185*Mat_Sum!$CK32+I$186*Mat_Sum!$AQ32+I$187*Mat_Sum!$AO32+I$188*Mat_Sum!$AP32+I$189*Mat_Sum!$D32+I$190*Mat_Sum!$BE32+I$191*Mat_Sum!$CM32+I$192*Mat_Sum!$CL32)+(Battery_Assembly!$F78*$C$23))*(1+$D$30)</f>
        <v>3907745.8963592583</v>
      </c>
      <c r="J211" s="246">
        <f ca="1">((J$176*(IF(Vehi_Inputs!$C$105=2,Mat_Sum!$BT32,IF(Vehi_Inputs!$C$105=3,Mat_Sum!$BZ32,IF(Vehi_Inputs!$C$105=4,Mat_Sum!$CA32,Mat_Sum!$BK32)))+Mat_Sum!$CE32*LiMn2O4!$E$9)+J$177*Mat_Sum!$CF32+J$178*Mat_Sum!$CO32+J$179*Mat_Sum!$CG32+J$180*Mat_Sum!$AG32+J$181*Mat_Sum!$I32+J$182*Mat_Sum!$L32+J$183*Mat_Sum!$CI32+J$184*Mat_Sum!$CJ32+J$185*Mat_Sum!$CK32+J$186*Mat_Sum!$AQ32+J$187*Mat_Sum!$AO32+J$188*Mat_Sum!$AP32+J$189*Mat_Sum!$D32+J$190*Mat_Sum!$BE32+J$191*Mat_Sum!$CM32+J$192*Mat_Sum!$CL32)+(Battery_Assembly!$F78*$J$47/2.2046*$C$41/1000))*(1+$D$31)</f>
        <v>189954.78236870049</v>
      </c>
      <c r="K211" s="247">
        <f ca="1">((K$176*(IF(Vehi_Inputs!$C$105=2,Mat_Sum!$BT32,IF(Vehi_Inputs!$C$105=3,Mat_Sum!$BZ32,IF(Vehi_Inputs!$C$105=4,Mat_Sum!$CA32,Mat_Sum!$BK32)))+Mat_Sum!$CE32*LiMn2O4!$E$9)+K$177*Mat_Sum!$CF32+K$178*Mat_Sum!$CO32+K$179*Mat_Sum!$CG32+K$180*Mat_Sum!$AG32+K$181*Mat_Sum!$I32+K$182*Mat_Sum!$L32+K$183*Mat_Sum!$CI32+K$184*Mat_Sum!$CJ32+K$185*Mat_Sum!$CK32+K$186*Mat_Sum!$AQ32+K$187*Mat_Sum!$AO32+K$188*Mat_Sum!$AP32+K$189*Mat_Sum!$D32+K$190*Mat_Sum!$BE32+K$191*Mat_Sum!$CM32+K$192*Mat_Sum!$CL32)+(Battery_Assembly!$F78*$K$47/2.2046*$C$41/1000))*(1+$D$31)</f>
        <v>178861.22917867394</v>
      </c>
      <c r="L211" s="1321">
        <f>$F$180*Mat_Sum!$AE32</f>
        <v>1354.6841753424947</v>
      </c>
      <c r="M211" s="5">
        <f>$F$180*Mat_Sum!$AF32</f>
        <v>15964.682587773876</v>
      </c>
      <c r="N211" s="1321">
        <f>$F$180*Mat_Sum!BR32</f>
        <v>29478.972332223049</v>
      </c>
      <c r="O211" s="1321">
        <f ca="1">$F$180*Mat_Sum!CF32</f>
        <v>29749.026622989866</v>
      </c>
      <c r="P211" s="1321">
        <f ca="1">$F$180*Mat_Sum!BM32</f>
        <v>5320.4038476707319</v>
      </c>
      <c r="Q211" s="1321">
        <f ca="1">$F$180*Mat_Sum!BN32</f>
        <v>22729.193201001628</v>
      </c>
      <c r="R211" s="1321">
        <f>$F$180*Mat_Sum!BO32</f>
        <v>1625.358905970666</v>
      </c>
      <c r="S211" s="1321">
        <f ca="1">$F$180*Mat_Sum!BP32</f>
        <v>2870.1344240627718</v>
      </c>
      <c r="T211" s="1321">
        <f ca="1">$F$180*Mat_Sum!BQ32</f>
        <v>19060.281077925341</v>
      </c>
      <c r="U211" s="1318">
        <f t="shared" ca="1" si="12"/>
        <v>493139.16548886441</v>
      </c>
      <c r="V211" s="630" t="s">
        <v>831</v>
      </c>
      <c r="W211" s="1321">
        <f>$H$180*Mat_Sum!$AE32</f>
        <v>5234.8117771950037</v>
      </c>
      <c r="X211" s="5">
        <f>$H$180*Mat_Sum!$AF32</f>
        <v>61691.211834322778</v>
      </c>
      <c r="Y211" s="1321">
        <f>$H$180*Mat_Sum!$BR32</f>
        <v>113913.54114350092</v>
      </c>
      <c r="Z211" s="1321">
        <f ca="1">$H$180*Mat_Sum!$CF32</f>
        <v>114957.09314441711</v>
      </c>
      <c r="AA211" s="1321">
        <f ca="1">$H$180*Mat_Sum!$BM32</f>
        <v>20559.26630587452</v>
      </c>
      <c r="AB211" s="1321">
        <f ca="1">$H$180*Mat_Sum!$BN32</f>
        <v>87830.839409238935</v>
      </c>
      <c r="AC211" s="1321">
        <f>$H$180*Mat_Sum!$BO32</f>
        <v>6280.7613006868569</v>
      </c>
      <c r="AD211" s="1321">
        <f ca="1">$H$180*Mat_Sum!$BP32</f>
        <v>11090.860702951693</v>
      </c>
      <c r="AE211" s="1321">
        <f ca="1">$H$180*Mat_Sum!$BQ32</f>
        <v>73653.317636300577</v>
      </c>
      <c r="AF211" s="1318">
        <f t="shared" ca="1" si="13"/>
        <v>4059691.6310810484</v>
      </c>
      <c r="AG211" s="630" t="s">
        <v>831</v>
      </c>
    </row>
    <row r="212" spans="1:33" s="64" customFormat="1">
      <c r="A212" s="630" t="s">
        <v>850</v>
      </c>
      <c r="B212" s="246"/>
      <c r="C212" s="246"/>
      <c r="D212" s="246">
        <f ca="1">((D$176*(IF(Vehi_Inputs!$C$102=2,Mat_Sum!$BT33,IF(Vehi_Inputs!$C$102=3,Mat_Sum!$BZ33,IF(Vehi_Inputs!$C$102=4,Mat_Sum!$CA33,Mat_Sum!$BK33)))+Mat_Sum!$CE33*LiMn2O4!$E$9)+D$177*Mat_Sum!$CF33+D$178*Mat_Sum!$CO33+D$179*Mat_Sum!$CG33+D$180*Mat_Sum!$AG33+D$181*Mat_Sum!$I33+D$182*Mat_Sum!$L33+D$183*Mat_Sum!$CI33+D$184*Mat_Sum!$CJ33+D$185*Mat_Sum!$CK33+D$186*Mat_Sum!$AQ33+D$187*Mat_Sum!$AO33+D$188*Mat_Sum!$AP33+D$189*Mat_Sum!$D33+D$190*Mat_Sum!$BE33+D$191*Mat_Sum!$CM33+D$192*Mat_Sum!$CL33)+(Battery_Assembly!$F79*$D$47/2.2046*$C$40/1000))*(1+$D$28)</f>
        <v>195368.75562239654</v>
      </c>
      <c r="E212" s="246">
        <f ca="1">((E$176*(IF(Vehi_Inputs!$C$102=2,Mat_Sum!$BT33,IF(Vehi_Inputs!$C$102=3,Mat_Sum!$BZ33,IF(Vehi_Inputs!$C$102=4,Mat_Sum!$CA33,Mat_Sum!$BK33)))+Mat_Sum!$CE33*LiMn2O4!$E$9)+E$177*Mat_Sum!$CF33+E$178*Mat_Sum!$CO33+E$179*Mat_Sum!$CG33+E$180*Mat_Sum!$AG33+E$181*Mat_Sum!$I33+E$182*Mat_Sum!$L33+E$183*Mat_Sum!$CI33+E$184*Mat_Sum!$CJ33+E$185*Mat_Sum!$CK33+E$186*Mat_Sum!$AQ33+E$187*Mat_Sum!$AO33+E$188*Mat_Sum!$AP33+E$189*Mat_Sum!$D33+E$190*Mat_Sum!$BE33+E$191*Mat_Sum!$CM33+E$192*Mat_Sum!$CL33)+(Battery_Assembly!$F79*$E$47/2.2046*$C$40/1000))*(1+$D$28)</f>
        <v>134903.28209382831</v>
      </c>
      <c r="F212" s="246">
        <f ca="1">((F$176*(IF(Vehi_Inputs!$C$103=2,Mat_Sum!$BT33,IF(Vehi_Inputs!$C$103=3,Mat_Sum!$BZ33,IF(Vehi_Inputs!$C$103=4,Mat_Sum!$CA33,Mat_Sum!$BK33)))+Mat_Sum!$CE33*LiMn2O4!$E$9)+F$177*Mat_Sum!$CF33+F$178*Mat_Sum!$CO33+F$179*Mat_Sum!$CG33+F$180*Mat_Sum!$AG33+F$181*Mat_Sum!$I33+F$182*Mat_Sum!$L33+F$183*Mat_Sum!$CI33+F$184*Mat_Sum!$CJ33+F$185*Mat_Sum!$CK33+F$186*Mat_Sum!$AQ33+F$187*Mat_Sum!$AO33+F$188*Mat_Sum!$AP33+F$189*Mat_Sum!$D33+F$190*Mat_Sum!$BE33+F$191*Mat_Sum!$CM33+F$192*Mat_Sum!$CL33)+(Battery_Assembly!$F79*$C$20))*(1+$D$29)</f>
        <v>622306.87893025903</v>
      </c>
      <c r="G212" s="246">
        <f ca="1">((G$176*(IF(Vehi_Inputs!$C$103=2,Mat_Sum!$BT33,IF(Vehi_Inputs!$C$103=3,Mat_Sum!$BZ33,IF(Vehi_Inputs!$C$103=4,Mat_Sum!$CA33,Mat_Sum!$BK33)))+Mat_Sum!$CE33*LiMn2O4!$E$9)+G$177*Mat_Sum!$CF33+G$178*Mat_Sum!$CO33+G$179*Mat_Sum!$CG33+G$180*Mat_Sum!$AG33+G$181*Mat_Sum!$I33+G$182*Mat_Sum!$L33+G$183*Mat_Sum!$CI33+G$184*Mat_Sum!$CJ33+G$185*Mat_Sum!$CK33+G$186*Mat_Sum!$AQ33+G$187*Mat_Sum!$AO33+G$188*Mat_Sum!$AP33+G$189*Mat_Sum!$D33+G$190*Mat_Sum!$BE33+G$191*Mat_Sum!$CM33+G$192*Mat_Sum!$CL33)+(Battery_Assembly!$F79*$C$21))*(1+$D$29)</f>
        <v>494992.00307428004</v>
      </c>
      <c r="H212" s="419">
        <f ca="1">((H$176*(IF(Vehi_Inputs!$C$104=2,Mat_Sum!$BT33,IF(OR(Vehi_Inputs!$C$104=7,Vehi_Inputs!$C$104=8),Mat_Sum!$BY33,IF(Vehi_Inputs!$C$104=3,Mat_Sum!$BZ33,IF(Vehi_Inputs!$C$104=4,Mat_Sum!$CA33,IF(Vehi_Inputs!$C$104=5,Mat_Sum!$BV33,IF(Vehi_Inputs!$C$104=6,Mat_Sum!$BW33,IF(Vehi_Inputs!$C$104=9,Mat_Sum!$CD33,IF(Vehi_Inputs!$C$104=10,Mat_Sum!$BU33,Mat_Sum!$BK33))))))))+Mat_Sum!$CE33*LiMn2O4!$E$9)+H$177*Mat_Sum!$CF33+H$178*Mat_Sum!$CO33+H$179*Mat_Sum!$CG33+H$180*Mat_Sum!$AG33+H$181*Mat_Sum!$I33+H$182*Mat_Sum!$L33+H$183*Mat_Sum!$CI33+H$184*Mat_Sum!$CJ33+H$185*Mat_Sum!$CK33+H$186*Mat_Sum!$AQ33+H$187*Mat_Sum!$AO33+H$188*Mat_Sum!$AP33+H$189*Mat_Sum!$D33+H$190*Mat_Sum!$BE33+H$191*Mat_Sum!$CM33+H$192*Mat_Sum!$CL33)+(Battery_Assembly!$F79*$C$22))*(1+$D$30)</f>
        <v>4562503.963956913</v>
      </c>
      <c r="I212" s="419">
        <f ca="1">((I$176*(IF(Vehi_Inputs!$C$104=2,Mat_Sum!$BT33,IF(OR(Vehi_Inputs!$C$104=7,Vehi_Inputs!$C$104=8),Mat_Sum!$BY33,IF(Vehi_Inputs!$C$104=3,Mat_Sum!$BZ33,IF(Vehi_Inputs!$C$104=4,Mat_Sum!$CA33,IF(Vehi_Inputs!$C$104=5,Mat_Sum!$BV33,IF(Vehi_Inputs!$C$104=6,Mat_Sum!$BW33,IF(Vehi_Inputs!$C$104=9,Mat_Sum!$CD33,IF(Vehi_Inputs!$C$104=10,Mat_Sum!$BU33,Mat_Sum!$BK33))))))))+Mat_Sum!$CE33*LiMn2O4!$E$9)+I$177*Mat_Sum!$CF33+I$178*Mat_Sum!$CO33+I$179*Mat_Sum!$CG33+I$180*Mat_Sum!$AG33+I$181*Mat_Sum!$I33+I$182*Mat_Sum!$L33+I$183*Mat_Sum!$CI33+I$184*Mat_Sum!$CJ33+I$185*Mat_Sum!$CK33+I$186*Mat_Sum!$AQ33+I$187*Mat_Sum!$AO33+I$188*Mat_Sum!$AP33+I$189*Mat_Sum!$D33+I$190*Mat_Sum!$BE33+I$191*Mat_Sum!$CM33+I$192*Mat_Sum!$CL33)+(Battery_Assembly!$F79*$C$23))*(1+$D$30)</f>
        <v>3914266.6339101051</v>
      </c>
      <c r="J212" s="246">
        <f ca="1">((J$176*(IF(Vehi_Inputs!$C$105=2,Mat_Sum!$BT33,IF(Vehi_Inputs!$C$105=3,Mat_Sum!$BZ33,IF(Vehi_Inputs!$C$105=4,Mat_Sum!$CA33,Mat_Sum!$BK33)))+Mat_Sum!$CE33*LiMn2O4!$E$9)+J$177*Mat_Sum!$CF33+J$178*Mat_Sum!$CO33+J$179*Mat_Sum!$CG33+J$180*Mat_Sum!$AG33+J$181*Mat_Sum!$I33+J$182*Mat_Sum!$L33+J$183*Mat_Sum!$CI33+J$184*Mat_Sum!$CJ33+J$185*Mat_Sum!$CK33+J$186*Mat_Sum!$AQ33+J$187*Mat_Sum!$AO33+J$188*Mat_Sum!$AP33+J$189*Mat_Sum!$D33+J$190*Mat_Sum!$BE33+J$191*Mat_Sum!$CM33+J$192*Mat_Sum!$CL33)+(Battery_Assembly!$F79*$J$47/2.2046*$C$41/1000))*(1+$D$31)</f>
        <v>190254.00642731314</v>
      </c>
      <c r="K212" s="247">
        <f ca="1">((K$176*(IF(Vehi_Inputs!$C$105=2,Mat_Sum!$BT33,IF(Vehi_Inputs!$C$105=3,Mat_Sum!$BZ33,IF(Vehi_Inputs!$C$105=4,Mat_Sum!$CA33,Mat_Sum!$BK33)))+Mat_Sum!$CE33*LiMn2O4!$E$9)+K$177*Mat_Sum!$CF33+K$178*Mat_Sum!$CO33+K$179*Mat_Sum!$CG33+K$180*Mat_Sum!$AG33+K$181*Mat_Sum!$I33+K$182*Mat_Sum!$L33+K$183*Mat_Sum!$CI33+K$184*Mat_Sum!$CJ33+K$185*Mat_Sum!$CK33+K$186*Mat_Sum!$AQ33+K$187*Mat_Sum!$AO33+K$188*Mat_Sum!$AP33+K$189*Mat_Sum!$D33+K$190*Mat_Sum!$BE33+K$191*Mat_Sum!$CM33+K$192*Mat_Sum!$CL33)+(Battery_Assembly!$F79*$K$47/2.2046*$C$41/1000))*(1+$D$31)</f>
        <v>179142.9782468254</v>
      </c>
      <c r="L212" s="1321">
        <f>$F$180*Mat_Sum!$AE33</f>
        <v>1357.3062477784235</v>
      </c>
      <c r="M212" s="5">
        <f>$F$180*Mat_Sum!$AF33</f>
        <v>15990.10559382377</v>
      </c>
      <c r="N212" s="1321">
        <f>$F$180*Mat_Sum!BR33</f>
        <v>29528.7871970493</v>
      </c>
      <c r="O212" s="1321">
        <f ca="1">$F$180*Mat_Sum!CF33</f>
        <v>29785.61891622833</v>
      </c>
      <c r="P212" s="1321">
        <f ca="1">$F$180*Mat_Sum!BM33</f>
        <v>5329.048049220014</v>
      </c>
      <c r="Q212" s="1321">
        <f ca="1">$F$180*Mat_Sum!BN33</f>
        <v>22794.385646419432</v>
      </c>
      <c r="R212" s="1321">
        <f>$F$180*Mat_Sum!BO33</f>
        <v>0</v>
      </c>
      <c r="S212" s="1321">
        <f ca="1">$F$180*Mat_Sum!BP33</f>
        <v>2877.9874000974114</v>
      </c>
      <c r="T212" s="1321">
        <f ca="1">$F$180*Mat_Sum!BQ33</f>
        <v>19090.469053797664</v>
      </c>
      <c r="U212" s="1318">
        <f t="shared" ca="1" si="12"/>
        <v>495553.17082584469</v>
      </c>
      <c r="V212" s="630" t="s">
        <v>850</v>
      </c>
      <c r="W212" s="1321">
        <f>$H$180*Mat_Sum!$AE33</f>
        <v>5244.9440692215121</v>
      </c>
      <c r="X212" s="5">
        <f>$H$180*Mat_Sum!$AF33</f>
        <v>61789.452187243434</v>
      </c>
      <c r="Y212" s="1321">
        <f>$H$180*Mat_Sum!$BR33</f>
        <v>114106.0372586976</v>
      </c>
      <c r="Z212" s="1321">
        <f ca="1">$H$180*Mat_Sum!$CF33</f>
        <v>115098.49419647478</v>
      </c>
      <c r="AA212" s="1321">
        <f ca="1">$H$180*Mat_Sum!$BM33</f>
        <v>20592.6694923133</v>
      </c>
      <c r="AB212" s="1321">
        <f ca="1">$H$180*Mat_Sum!$BN33</f>
        <v>88082.758038886313</v>
      </c>
      <c r="AC212" s="1321">
        <f>$H$180*Mat_Sum!$BO33</f>
        <v>0</v>
      </c>
      <c r="AD212" s="1321">
        <f ca="1">$H$180*Mat_Sum!$BP33</f>
        <v>11121.206411700943</v>
      </c>
      <c r="AE212" s="1321">
        <f ca="1">$H$180*Mat_Sum!$BQ33</f>
        <v>73769.970930479758</v>
      </c>
      <c r="AF212" s="1318">
        <f t="shared" ca="1" si="13"/>
        <v>4072698.4313718956</v>
      </c>
      <c r="AG212" s="630" t="s">
        <v>850</v>
      </c>
    </row>
    <row r="213" spans="1:33" s="64" customFormat="1">
      <c r="A213" s="756" t="s">
        <v>851</v>
      </c>
      <c r="B213" s="294"/>
      <c r="C213" s="294"/>
      <c r="D213" s="294">
        <f ca="1">((D$176*(IF(Vehi_Inputs!$C$102=2,Mat_Sum!$BT34,IF(Vehi_Inputs!$C$102=3,Mat_Sum!$BZ34,IF(Vehi_Inputs!$C$102=4,Mat_Sum!$CA34,Mat_Sum!$BK34)))+Mat_Sum!$CE34*LiMn2O4!$E$9)+D$177*Mat_Sum!$CF34+D$178*Mat_Sum!$CO34+D$179*Mat_Sum!$CG34+D$180*Mat_Sum!$AG34+D$181*Mat_Sum!$I34+D$182*Mat_Sum!$L34+D$183*Mat_Sum!$CI34+D$184*Mat_Sum!$CJ34+D$185*Mat_Sum!$CK34+D$186*Mat_Sum!$AQ34+D$187*Mat_Sum!$AO34+D$188*Mat_Sum!$AP34+D$189*Mat_Sum!$D34+D$190*Mat_Sum!$BE34+D$191*Mat_Sum!$CM34+D$192*Mat_Sum!$CL34)+(Battery_Assembly!$F80*$D$47/2.2046*$C$40/1000))*(1+$D$28)</f>
        <v>212821.4075841895</v>
      </c>
      <c r="E213" s="294">
        <f ca="1">((E$176*(IF(Vehi_Inputs!$C$102=2,Mat_Sum!$BT34,IF(Vehi_Inputs!$C$102=3,Mat_Sum!$BZ34,IF(Vehi_Inputs!$C$102=4,Mat_Sum!$CA34,Mat_Sum!$BK34)))+Mat_Sum!$CE34*LiMn2O4!$E$9)+E$177*Mat_Sum!$CF34+E$178*Mat_Sum!$CO34+E$179*Mat_Sum!$CG34+E$180*Mat_Sum!$AG34+E$181*Mat_Sum!$I34+E$182*Mat_Sum!$L34+E$183*Mat_Sum!$CI34+E$184*Mat_Sum!$CJ34+E$185*Mat_Sum!$CK34+E$186*Mat_Sum!$AQ34+E$187*Mat_Sum!$AO34+E$188*Mat_Sum!$AP34+E$189*Mat_Sum!$D34+E$190*Mat_Sum!$BE34+E$191*Mat_Sum!$CM34+E$192*Mat_Sum!$CL34)+(Battery_Assembly!$F80*$E$47/2.2046*$C$40/1000))*(1+$D$28)</f>
        <v>146954.44157112838</v>
      </c>
      <c r="F213" s="294">
        <f ca="1">((F$176*(IF(Vehi_Inputs!$C$103=2,Mat_Sum!$BT34,IF(Vehi_Inputs!$C$103=3,Mat_Sum!$BZ34,IF(Vehi_Inputs!$C$103=4,Mat_Sum!$CA34,Mat_Sum!$BK34)))+Mat_Sum!$CE34*LiMn2O4!$E$9)+F$177*Mat_Sum!$CF34+F$178*Mat_Sum!$CO34+F$179*Mat_Sum!$CG34+F$180*Mat_Sum!$AG34+F$181*Mat_Sum!$I34+F$182*Mat_Sum!$L34+F$183*Mat_Sum!$CI34+F$184*Mat_Sum!$CJ34+F$185*Mat_Sum!$CK34+F$186*Mat_Sum!$AQ34+F$187*Mat_Sum!$AO34+F$188*Mat_Sum!$AP34+F$189*Mat_Sum!$D34+F$190*Mat_Sum!$BE34+F$191*Mat_Sum!$CM34+F$192*Mat_Sum!$CL34)+(Battery_Assembly!$F80*$C$20))*(1+$D$29)</f>
        <v>676344.18407944299</v>
      </c>
      <c r="G213" s="294">
        <f ca="1">((G$176*(IF(Vehi_Inputs!$C$103=2,Mat_Sum!$BT34,IF(Vehi_Inputs!$C$103=3,Mat_Sum!$BZ34,IF(Vehi_Inputs!$C$103=4,Mat_Sum!$CA34,Mat_Sum!$BK34)))+Mat_Sum!$CE34*LiMn2O4!$E$9)+G$177*Mat_Sum!$CF34+G$178*Mat_Sum!$CO34+G$179*Mat_Sum!$CG34+G$180*Mat_Sum!$AG34+G$181*Mat_Sum!$I34+G$182*Mat_Sum!$L34+G$183*Mat_Sum!$CI34+G$184*Mat_Sum!$CJ34+G$185*Mat_Sum!$CK34+G$186*Mat_Sum!$AQ34+G$187*Mat_Sum!$AO34+G$188*Mat_Sum!$AP34+G$189*Mat_Sum!$D34+G$190*Mat_Sum!$BE34+G$191*Mat_Sum!$CM34+G$192*Mat_Sum!$CL34)+(Battery_Assembly!$F80*$C$21))*(1+$D$29)</f>
        <v>537974.0667829609</v>
      </c>
      <c r="H213" s="374">
        <f ca="1">((H$176*(IF(Vehi_Inputs!$C$104=2,Mat_Sum!$BT34,IF(OR(Vehi_Inputs!$C$104=7,Vehi_Inputs!$C$104=8),Mat_Sum!$BY34,IF(Vehi_Inputs!$C$104=3,Mat_Sum!$BZ34,IF(Vehi_Inputs!$C$104=4,Mat_Sum!$CA34,IF(Vehi_Inputs!$C$104=5,Mat_Sum!$BV34,IF(Vehi_Inputs!$C$104=6,Mat_Sum!$BW34,IF(Vehi_Inputs!$C$104=9,Mat_Sum!$CD34,IF(Vehi_Inputs!$C$104=10,Mat_Sum!$BU34,Mat_Sum!$BK34))))))))+Mat_Sum!$CE34*LiMn2O4!$E$9)+H$177*Mat_Sum!$CF34+H$178*Mat_Sum!$CO34+H$179*Mat_Sum!$CG34+H$180*Mat_Sum!$AG34+H$181*Mat_Sum!$I34+H$182*Mat_Sum!$L34+H$183*Mat_Sum!$CI34+H$184*Mat_Sum!$CJ34+H$185*Mat_Sum!$CK34+H$186*Mat_Sum!$AQ34+H$187*Mat_Sum!$AO34+H$188*Mat_Sum!$AP34+H$189*Mat_Sum!$D34+H$190*Mat_Sum!$BE34+H$191*Mat_Sum!$CM34+H$192*Mat_Sum!$CL34)+(Battery_Assembly!$F80*$C$22))*(1+$D$30)</f>
        <v>4954267.259790048</v>
      </c>
      <c r="I213" s="374">
        <f ca="1">((I$176*(IF(Vehi_Inputs!$C$104=2,Mat_Sum!$BT34,IF(OR(Vehi_Inputs!$C$104=7,Vehi_Inputs!$C$104=8),Mat_Sum!$BY34,IF(Vehi_Inputs!$C$104=3,Mat_Sum!$BZ34,IF(Vehi_Inputs!$C$104=4,Mat_Sum!$CA34,IF(Vehi_Inputs!$C$104=5,Mat_Sum!$BV34,IF(Vehi_Inputs!$C$104=6,Mat_Sum!$BW34,IF(Vehi_Inputs!$C$104=9,Mat_Sum!$CD34,IF(Vehi_Inputs!$C$104=10,Mat_Sum!$BU34,Mat_Sum!$BK34))))))))+Mat_Sum!$CE34*LiMn2O4!$E$9)+I$177*Mat_Sum!$CF34+I$178*Mat_Sum!$CO34+I$179*Mat_Sum!$CG34+I$180*Mat_Sum!$AG34+I$181*Mat_Sum!$I34+I$182*Mat_Sum!$L34+I$183*Mat_Sum!$CI34+I$184*Mat_Sum!$CJ34+I$185*Mat_Sum!$CK34+I$186*Mat_Sum!$AQ34+I$187*Mat_Sum!$AO34+I$188*Mat_Sum!$AP34+I$189*Mat_Sum!$D34+I$190*Mat_Sum!$BE34+I$191*Mat_Sum!$CM34+I$192*Mat_Sum!$CL34)+(Battery_Assembly!$F80*$C$23))*(1+$D$30)</f>
        <v>4250368.4782886393</v>
      </c>
      <c r="J213" s="294">
        <f ca="1">((J$176*(IF(Vehi_Inputs!$C$105=2,Mat_Sum!$BT34,IF(Vehi_Inputs!$C$105=3,Mat_Sum!$BZ34,IF(Vehi_Inputs!$C$105=4,Mat_Sum!$CA34,Mat_Sum!$BK34)))+Mat_Sum!$CE34*LiMn2O4!$E$9)+J$177*Mat_Sum!$CF34+J$178*Mat_Sum!$CO34+J$179*Mat_Sum!$CG34+J$180*Mat_Sum!$AG34+J$181*Mat_Sum!$I34+J$182*Mat_Sum!$L34+J$183*Mat_Sum!$CI34+J$184*Mat_Sum!$CJ34+J$185*Mat_Sum!$CK34+J$186*Mat_Sum!$AQ34+J$187*Mat_Sum!$AO34+J$188*Mat_Sum!$AP34+J$189*Mat_Sum!$D34+J$190*Mat_Sum!$BE34+J$191*Mat_Sum!$CM34+J$192*Mat_Sum!$CL34)+(Battery_Assembly!$F80*$J$47/2.2046*$C$41/1000))*(1+$D$31)</f>
        <v>207351.55627082917</v>
      </c>
      <c r="K213" s="296">
        <f ca="1">((K$176*(IF(Vehi_Inputs!$C$105=2,Mat_Sum!$BT34,IF(Vehi_Inputs!$C$105=3,Mat_Sum!$BZ34,IF(Vehi_Inputs!$C$105=4,Mat_Sum!$CA34,Mat_Sum!$BK34)))+Mat_Sum!$CE34*LiMn2O4!$E$9)+K$177*Mat_Sum!$CF34+K$178*Mat_Sum!$CO34+K$179*Mat_Sum!$CG34+K$180*Mat_Sum!$AG34+K$181*Mat_Sum!$I34+K$182*Mat_Sum!$L34+K$183*Mat_Sum!$CI34+K$184*Mat_Sum!$CJ34+K$185*Mat_Sum!$CK34+K$186*Mat_Sum!$AQ34+K$187*Mat_Sum!$AO34+K$188*Mat_Sum!$AP34+K$189*Mat_Sum!$D34+K$190*Mat_Sum!$BE34+K$191*Mat_Sum!$CM34+K$192*Mat_Sum!$CL34)+(Battery_Assembly!$F80*$K$47/2.2046*$C$41/1000))*(1+$D$31)</f>
        <v>195242.01372685452</v>
      </c>
      <c r="L213" s="1321">
        <f>$F$180*Mat_Sum!$AE34</f>
        <v>1436.4674397848146</v>
      </c>
      <c r="M213" s="5">
        <f>$F$180*Mat_Sum!$AF34</f>
        <v>17129.489988962476</v>
      </c>
      <c r="N213" s="1321">
        <f>$F$180*Mat_Sum!BR34</f>
        <v>30848.58117956141</v>
      </c>
      <c r="O213" s="1321">
        <f ca="1">$F$180*Mat_Sum!CF34</f>
        <v>32011.719411780552</v>
      </c>
      <c r="P213" s="1321">
        <f ca="1">$F$180*Mat_Sum!BM34</f>
        <v>5826.2218149318078</v>
      </c>
      <c r="Q213" s="1321">
        <f ca="1">$F$180*Mat_Sum!BN34</f>
        <v>24664.188040259436</v>
      </c>
      <c r="R213" s="1321">
        <f>$F$180*Mat_Sum!BO34</f>
        <v>1.7598336697827965E-2</v>
      </c>
      <c r="S213" s="1321">
        <f ca="1">$F$180*Mat_Sum!BP34</f>
        <v>3002.2192562841569</v>
      </c>
      <c r="T213" s="1321">
        <f ca="1">$F$180*Mat_Sum!BQ34</f>
        <v>20607.18542368913</v>
      </c>
      <c r="U213" s="1318">
        <f t="shared" ca="1" si="12"/>
        <v>540818.09392585256</v>
      </c>
      <c r="V213" s="756" t="s">
        <v>851</v>
      </c>
      <c r="W213" s="1321">
        <f>$H$180*Mat_Sum!$AE34</f>
        <v>5550.8411541321566</v>
      </c>
      <c r="X213" s="5">
        <f>$H$180*Mat_Sum!$AF34</f>
        <v>66192.296007956378</v>
      </c>
      <c r="Y213" s="1321">
        <f>$H$180*Mat_Sum!$BR34</f>
        <v>119206.02529198126</v>
      </c>
      <c r="Z213" s="1321">
        <f ca="1">$H$180*Mat_Sum!$CF34</f>
        <v>123700.65941213488</v>
      </c>
      <c r="AA213" s="1321">
        <f ca="1">$H$180*Mat_Sum!$BM34</f>
        <v>22513.863473487905</v>
      </c>
      <c r="AB213" s="1321">
        <f ca="1">$H$180*Mat_Sum!$BN34</f>
        <v>95308.105297280621</v>
      </c>
      <c r="AC213" s="1321">
        <f>$H$180*Mat_Sum!$BO34</f>
        <v>6.8004027714830176E-2</v>
      </c>
      <c r="AD213" s="1321">
        <f ca="1">$H$180*Mat_Sum!$BP34</f>
        <v>11601.266927433147</v>
      </c>
      <c r="AE213" s="1321">
        <f ca="1">$H$180*Mat_Sum!$BQ34</f>
        <v>79630.912440160391</v>
      </c>
      <c r="AF213" s="1318">
        <f t="shared" ca="1" si="13"/>
        <v>4430563.2217814531</v>
      </c>
      <c r="AG213" s="756" t="s">
        <v>851</v>
      </c>
    </row>
    <row r="214" spans="1:33" s="64" customFormat="1">
      <c r="A214" s="797" t="s">
        <v>1521</v>
      </c>
      <c r="B214" s="389"/>
      <c r="C214" s="389"/>
      <c r="D214" s="389"/>
      <c r="E214" s="389"/>
      <c r="F214" s="389"/>
      <c r="G214" s="389"/>
      <c r="H214" s="349"/>
      <c r="I214" s="349"/>
      <c r="J214" s="389"/>
      <c r="K214" s="391"/>
      <c r="L214" s="1321"/>
      <c r="M214" s="1321"/>
      <c r="N214" s="1321"/>
      <c r="O214" s="1321"/>
      <c r="P214" s="1321"/>
      <c r="Q214" s="1321"/>
      <c r="R214" s="1321"/>
      <c r="S214" s="1321"/>
      <c r="T214" s="1318"/>
      <c r="V214" s="1321"/>
      <c r="W214" s="1321"/>
      <c r="X214" s="1321"/>
      <c r="Y214" s="1321"/>
      <c r="Z214" s="1321"/>
      <c r="AA214" s="1321"/>
      <c r="AB214" s="1321"/>
      <c r="AC214" s="1321"/>
    </row>
    <row r="215" spans="1:33" s="64" customFormat="1">
      <c r="A215" s="494" t="s">
        <v>821</v>
      </c>
      <c r="B215" s="349"/>
      <c r="C215" s="349"/>
      <c r="D215" s="349">
        <f ca="1">((D$176*(IF(Vehi_Inputs!$C$102=2,Mat_Sum!$BT36,IF(Vehi_Inputs!$C$102=3,Mat_Sum!$BZ36,IF(Vehi_Inputs!$C$102=4,Mat_Sum!$CA36,Mat_Sum!$BK36)))+Mat_Sum!$CE36*LiMn2O4!$E$9)+D$177*Mat_Sum!$CF36+D$178*Mat_Sum!$CO36+D$179*Mat_Sum!$CG36+D$180*Mat_Sum!$AG36+D$181*Mat_Sum!$I36+D$182*Mat_Sum!$L36+D$183*Mat_Sum!$CI36+D$184*Mat_Sum!$CJ36+D$185*Mat_Sum!$CK36+D$186*Mat_Sum!$AQ36+D$187*Mat_Sum!$AO36+D$188*Mat_Sum!$AP36+D$189*Mat_Sum!$D36+D$190*Mat_Sum!$BE36+D$191*Mat_Sum!$CM36+D$192*Mat_Sum!$CL36)+(Battery_Assembly!$F82*$D$47/2.2046*$C$40/1000))*(1+$D$28)</f>
        <v>2.240833883259</v>
      </c>
      <c r="E215" s="349">
        <f ca="1">((E$176*(IF(Vehi_Inputs!$C$102=2,Mat_Sum!$BT36,IF(Vehi_Inputs!$C$102=3,Mat_Sum!$BZ36,IF(Vehi_Inputs!$C$102=4,Mat_Sum!$CA36,Mat_Sum!$BK36)))+Mat_Sum!$CE36*LiMn2O4!$E$9)+E$177*Mat_Sum!$CF36+E$178*Mat_Sum!$CO36+E$179*Mat_Sum!$CG36+E$180*Mat_Sum!$AG36+E$181*Mat_Sum!$I36+E$182*Mat_Sum!$L36+E$183*Mat_Sum!$CI36+E$184*Mat_Sum!$CJ36+E$185*Mat_Sum!$CK36+E$186*Mat_Sum!$AQ36+E$187*Mat_Sum!$AO36+E$188*Mat_Sum!$AP36+E$189*Mat_Sum!$D36+E$190*Mat_Sum!$BE36+E$191*Mat_Sum!$CM36+E$192*Mat_Sum!$CL36)+(Battery_Assembly!$F82*$E$47/2.2046*$C$40/1000))*(1+$D$28)</f>
        <v>1.5473090592999776</v>
      </c>
      <c r="F215" s="349">
        <f ca="1">((F$176*(IF(Vehi_Inputs!$C$103=2,Mat_Sum!$BT36,IF(Vehi_Inputs!$C$103=3,Mat_Sum!$BZ36,IF(Vehi_Inputs!$C$103=4,Mat_Sum!$CA36,Mat_Sum!$BK36)))+Mat_Sum!$CE36*LiMn2O4!$E$9)+F$177*Mat_Sum!$CF36+F$178*Mat_Sum!$CO36+F$179*Mat_Sum!$CG36+F$180*Mat_Sum!$AG36+F$181*Mat_Sum!$I36+F$182*Mat_Sum!$L36+F$183*Mat_Sum!$CI36+F$184*Mat_Sum!$CJ36+F$185*Mat_Sum!$CK36+F$186*Mat_Sum!$AQ36+F$187*Mat_Sum!$AO36+F$188*Mat_Sum!$AP36+F$189*Mat_Sum!$D36+F$190*Mat_Sum!$BE36+F$191*Mat_Sum!$CM36+F$192*Mat_Sum!$CL36)+(Battery_Assembly!$F82*$C$20))*(1+$D$29)</f>
        <v>7.348961121844277</v>
      </c>
      <c r="G215" s="349">
        <f ca="1">((G$176*(IF(Vehi_Inputs!$C$103=2,Mat_Sum!$BT36,IF(Vehi_Inputs!$C$103=3,Mat_Sum!$BZ36,IF(Vehi_Inputs!$C$103=4,Mat_Sum!$CA36,Mat_Sum!$BK36)))+Mat_Sum!$CE36*LiMn2O4!$E$9)+G$177*Mat_Sum!$CF36+G$178*Mat_Sum!$CO36+G$179*Mat_Sum!$CG36+G$180*Mat_Sum!$AG36+G$181*Mat_Sum!$I36+G$182*Mat_Sum!$L36+G$183*Mat_Sum!$CI36+G$184*Mat_Sum!$CJ36+G$185*Mat_Sum!$CK36+G$186*Mat_Sum!$AQ36+G$187*Mat_Sum!$AO36+G$188*Mat_Sum!$AP36+G$189*Mat_Sum!$D36+G$190*Mat_Sum!$BE36+G$191*Mat_Sum!$CM36+G$192*Mat_Sum!$CL36)+(Battery_Assembly!$F82*$C$21))*(1+$D$29)</f>
        <v>5.8454712769202342</v>
      </c>
      <c r="H215" s="349">
        <f ca="1">((H$176*(IF(Vehi_Inputs!$C$104=2,Mat_Sum!$BT36,IF(OR(Vehi_Inputs!$C$104=7,Vehi_Inputs!$C$104=8),Mat_Sum!$BY36,IF(Vehi_Inputs!$C$104=3,Mat_Sum!$BZ36,IF(Vehi_Inputs!$C$104=4,Mat_Sum!$CA36,IF(Vehi_Inputs!$C$104=5,Mat_Sum!$BV36,IF(Vehi_Inputs!$C$104=6,Mat_Sum!$BW36,IF(Vehi_Inputs!$C$104=9,Mat_Sum!$CD36,IF(Vehi_Inputs!$C$104=10,Mat_Sum!$BU36,Mat_Sum!$BK36))))))))+Mat_Sum!$CE36*LiMn2O4!$E$9)+H$177*Mat_Sum!$CF36+H$178*Mat_Sum!$CO36+H$179*Mat_Sum!$CG36+H$180*Mat_Sum!$AG36+H$181*Mat_Sum!$I36+H$182*Mat_Sum!$L36+H$183*Mat_Sum!$CI36+H$184*Mat_Sum!$CJ36+H$185*Mat_Sum!$CK36+H$186*Mat_Sum!$AQ36+H$187*Mat_Sum!$AO36+H$188*Mat_Sum!$AP36+H$189*Mat_Sum!$D36+H$190*Mat_Sum!$BE36+H$191*Mat_Sum!$CM36+H$192*Mat_Sum!$CL36)+(Battery_Assembly!$F82*$C$22))*(1+$D$30)</f>
        <v>52.181913549481934</v>
      </c>
      <c r="I215" s="349">
        <f ca="1">((I$176*(IF(Vehi_Inputs!$C$104=2,Mat_Sum!$BT36,IF(OR(Vehi_Inputs!$C$104=7,Vehi_Inputs!$C$104=8),Mat_Sum!$BY36,IF(Vehi_Inputs!$C$104=3,Mat_Sum!$BZ36,IF(Vehi_Inputs!$C$104=4,Mat_Sum!$CA36,IF(Vehi_Inputs!$C$104=5,Mat_Sum!$BV36,IF(Vehi_Inputs!$C$104=6,Mat_Sum!$BW36,IF(Vehi_Inputs!$C$104=9,Mat_Sum!$CD36,IF(Vehi_Inputs!$C$104=10,Mat_Sum!$BU36,Mat_Sum!$BK36))))))))+Mat_Sum!$CE36*LiMn2O4!$E$9)+I$177*Mat_Sum!$CF36+I$178*Mat_Sum!$CO36+I$179*Mat_Sum!$CG36+I$180*Mat_Sum!$AG36+I$181*Mat_Sum!$I36+I$182*Mat_Sum!$L36+I$183*Mat_Sum!$CI36+I$184*Mat_Sum!$CJ36+I$185*Mat_Sum!$CK36+I$186*Mat_Sum!$AQ36+I$187*Mat_Sum!$AO36+I$188*Mat_Sum!$AP36+I$189*Mat_Sum!$D36+I$190*Mat_Sum!$BE36+I$191*Mat_Sum!$CM36+I$192*Mat_Sum!$CL36)+(Battery_Assembly!$F82*$C$23))*(1+$D$30)</f>
        <v>44.767944250326934</v>
      </c>
      <c r="J215" s="349">
        <f ca="1">((J$176*(IF(Vehi_Inputs!$C$105=2,Mat_Sum!$BT36,IF(Vehi_Inputs!$C$105=3,Mat_Sum!$BZ36,IF(Vehi_Inputs!$C$105=4,Mat_Sum!$CA36,Mat_Sum!$BK36)))+Mat_Sum!$CE36*LiMn2O4!$E$9)+J$177*Mat_Sum!$CF36+J$178*Mat_Sum!$CO36+J$179*Mat_Sum!$CG36+J$180*Mat_Sum!$AG36+J$181*Mat_Sum!$I36+J$182*Mat_Sum!$L36+J$183*Mat_Sum!$CI36+J$184*Mat_Sum!$CJ36+J$185*Mat_Sum!$CK36+J$186*Mat_Sum!$AQ36+J$187*Mat_Sum!$AO36+J$188*Mat_Sum!$AP36+J$189*Mat_Sum!$D36+J$190*Mat_Sum!$BE36+J$191*Mat_Sum!$CM36+J$192*Mat_Sum!$CL36)+(Battery_Assembly!$F82*$J$47/2.2046*$C$41/1000))*(1+$D$31)</f>
        <v>2.1502112043035386</v>
      </c>
      <c r="K215" s="348">
        <f ca="1">((K$176*(IF(Vehi_Inputs!$C$105=2,Mat_Sum!$BT36,IF(Vehi_Inputs!$C$105=3,Mat_Sum!$BZ36,IF(Vehi_Inputs!$C$105=4,Mat_Sum!$CA36,Mat_Sum!$BK36)))+Mat_Sum!$CE36*LiMn2O4!$E$9)+K$177*Mat_Sum!$CF36+K$178*Mat_Sum!$CO36+K$179*Mat_Sum!$CG36+K$180*Mat_Sum!$AG36+K$181*Mat_Sum!$I36+K$182*Mat_Sum!$L36+K$183*Mat_Sum!$CI36+K$184*Mat_Sum!$CJ36+K$185*Mat_Sum!$CK36+K$186*Mat_Sum!$AQ36+K$187*Mat_Sum!$AO36+K$188*Mat_Sum!$AP36+K$189*Mat_Sum!$D36+K$190*Mat_Sum!$BE36+K$191*Mat_Sum!$CM36+K$192*Mat_Sum!$CL36)+(Battery_Assembly!$F82*$K$47/2.2046*$C$41/1000))*(1+$D$31)</f>
        <v>2.0246366751062013</v>
      </c>
      <c r="L215" s="1321"/>
      <c r="M215" s="1321"/>
      <c r="N215" s="1321"/>
      <c r="O215" s="1321"/>
      <c r="P215" s="1321"/>
      <c r="Q215" s="1321"/>
      <c r="R215" s="1321"/>
      <c r="S215" s="1321"/>
      <c r="T215" s="1318"/>
      <c r="V215" s="1321"/>
      <c r="W215" s="1321"/>
      <c r="X215" s="1321"/>
      <c r="Y215" s="1321"/>
      <c r="Z215" s="1321"/>
      <c r="AA215" s="1321"/>
      <c r="AB215" s="1321"/>
      <c r="AC215" s="1321"/>
    </row>
    <row r="216" spans="1:33" s="64" customFormat="1">
      <c r="A216" s="494" t="s">
        <v>822</v>
      </c>
      <c r="B216" s="349"/>
      <c r="C216" s="349"/>
      <c r="D216" s="349">
        <f ca="1">((D$176*(IF(Vehi_Inputs!$C$102=2,Mat_Sum!$BT37,IF(Vehi_Inputs!$C$102=3,Mat_Sum!$BZ37,IF(Vehi_Inputs!$C$102=4,Mat_Sum!$CA37,Mat_Sum!$BK37)))+Mat_Sum!$CE37*LiMn2O4!$E$9)+D$177*Mat_Sum!$CF37+D$178*Mat_Sum!$CO37+D$179*Mat_Sum!$CG37+D$180*Mat_Sum!$AG37+D$181*Mat_Sum!$I37+D$182*Mat_Sum!$L37+D$183*Mat_Sum!$CI37+D$184*Mat_Sum!$CJ37+D$185*Mat_Sum!$CK37+D$186*Mat_Sum!$AQ37+D$187*Mat_Sum!$AO37+D$188*Mat_Sum!$AP37+D$189*Mat_Sum!$D37+D$190*Mat_Sum!$BE37+D$191*Mat_Sum!$CM37+D$192*Mat_Sum!$CL37)+(Battery_Assembly!$F83*$D$47/2.2046*$C$40/1000))*(1+$D$28)</f>
        <v>8.5775101574985211</v>
      </c>
      <c r="E216" s="349">
        <f ca="1">((E$176*(IF(Vehi_Inputs!$C$102=2,Mat_Sum!$BT37,IF(Vehi_Inputs!$C$102=3,Mat_Sum!$BZ37,IF(Vehi_Inputs!$C$102=4,Mat_Sum!$CA37,Mat_Sum!$BK37)))+Mat_Sum!$CE37*LiMn2O4!$E$9)+E$177*Mat_Sum!$CF37+E$178*Mat_Sum!$CO37+E$179*Mat_Sum!$CG37+E$180*Mat_Sum!$AG37+E$181*Mat_Sum!$I37+E$182*Mat_Sum!$L37+E$183*Mat_Sum!$CI37+E$184*Mat_Sum!$CJ37+E$185*Mat_Sum!$CK37+E$186*Mat_Sum!$AQ37+E$187*Mat_Sum!$AO37+E$188*Mat_Sum!$AP37+E$189*Mat_Sum!$D37+E$190*Mat_Sum!$BE37+E$191*Mat_Sum!$CM37+E$192*Mat_Sum!$CL37)+(Battery_Assembly!$F83*$E$47/2.2046*$C$40/1000))*(1+$D$28)</f>
        <v>5.9228215317918016</v>
      </c>
      <c r="F216" s="349">
        <f ca="1">((F$176*(IF(Vehi_Inputs!$C$103=2,Mat_Sum!$BT37,IF(Vehi_Inputs!$C$103=3,Mat_Sum!$BZ37,IF(Vehi_Inputs!$C$103=4,Mat_Sum!$CA37,Mat_Sum!$BK37)))+Mat_Sum!$CE37*LiMn2O4!$E$9)+F$177*Mat_Sum!$CF37+F$178*Mat_Sum!$CO37+F$179*Mat_Sum!$CG37+F$180*Mat_Sum!$AG37+F$181*Mat_Sum!$I37+F$182*Mat_Sum!$L37+F$183*Mat_Sum!$CI37+F$184*Mat_Sum!$CJ37+F$185*Mat_Sum!$CK37+F$186*Mat_Sum!$AQ37+F$187*Mat_Sum!$AO37+F$188*Mat_Sum!$AP37+F$189*Mat_Sum!$D37+F$190*Mat_Sum!$BE37+F$191*Mat_Sum!$CM37+F$192*Mat_Sum!$CL37)+(Battery_Assembly!$F83*$C$20))*(1+$D$29)</f>
        <v>25.990606957477489</v>
      </c>
      <c r="G216" s="349">
        <f ca="1">((G$176*(IF(Vehi_Inputs!$C$103=2,Mat_Sum!$BT37,IF(Vehi_Inputs!$C$103=3,Mat_Sum!$BZ37,IF(Vehi_Inputs!$C$103=4,Mat_Sum!$CA37,Mat_Sum!$BK37)))+Mat_Sum!$CE37*LiMn2O4!$E$9)+G$177*Mat_Sum!$CF37+G$178*Mat_Sum!$CO37+G$179*Mat_Sum!$CG37+G$180*Mat_Sum!$AG37+G$181*Mat_Sum!$I37+G$182*Mat_Sum!$L37+G$183*Mat_Sum!$CI37+G$184*Mat_Sum!$CJ37+G$185*Mat_Sum!$CK37+G$186*Mat_Sum!$AQ37+G$187*Mat_Sum!$AO37+G$188*Mat_Sum!$AP37+G$189*Mat_Sum!$D37+G$190*Mat_Sum!$BE37+G$191*Mat_Sum!$CM37+G$192*Mat_Sum!$CL37)+(Battery_Assembly!$F83*$C$21))*(1+$D$29)</f>
        <v>20.67330931824695</v>
      </c>
      <c r="H216" s="349">
        <f ca="1">((H$176*(IF(Vehi_Inputs!$C$104=2,Mat_Sum!$BT37,IF(OR(Vehi_Inputs!$C$104=7,Vehi_Inputs!$C$104=8),Mat_Sum!$BY37,IF(Vehi_Inputs!$C$104=3,Mat_Sum!$BZ37,IF(Vehi_Inputs!$C$104=4,Mat_Sum!$CA37,IF(Vehi_Inputs!$C$104=5,Mat_Sum!$BV37,IF(Vehi_Inputs!$C$104=6,Mat_Sum!$BW37,IF(Vehi_Inputs!$C$104=9,Mat_Sum!$CD37,IF(Vehi_Inputs!$C$104=10,Mat_Sum!$BU37,Mat_Sum!$BK37))))))))+Mat_Sum!$CE37*LiMn2O4!$E$9)+H$177*Mat_Sum!$CF37+H$178*Mat_Sum!$CO37+H$179*Mat_Sum!$CG37+H$180*Mat_Sum!$AG37+H$181*Mat_Sum!$I37+H$182*Mat_Sum!$L37+H$183*Mat_Sum!$CI37+H$184*Mat_Sum!$CJ37+H$185*Mat_Sum!$CK37+H$186*Mat_Sum!$AQ37+H$187*Mat_Sum!$AO37+H$188*Mat_Sum!$AP37+H$189*Mat_Sum!$D37+H$190*Mat_Sum!$BE37+H$191*Mat_Sum!$CM37+H$192*Mat_Sum!$CL37)+(Battery_Assembly!$F83*$C$22))*(1+$D$30)</f>
        <v>179.72152243602338</v>
      </c>
      <c r="I216" s="349">
        <f ca="1">((I$176*(IF(Vehi_Inputs!$C$104=2,Mat_Sum!$BT37,IF(OR(Vehi_Inputs!$C$104=7,Vehi_Inputs!$C$104=8),Mat_Sum!$BY37,IF(Vehi_Inputs!$C$104=3,Mat_Sum!$BZ37,IF(Vehi_Inputs!$C$104=4,Mat_Sum!$CA37,IF(Vehi_Inputs!$C$104=5,Mat_Sum!$BV37,IF(Vehi_Inputs!$C$104=6,Mat_Sum!$BW37,IF(Vehi_Inputs!$C$104=9,Mat_Sum!$CD37,IF(Vehi_Inputs!$C$104=10,Mat_Sum!$BU37,Mat_Sum!$BK37))))))))+Mat_Sum!$CE37*LiMn2O4!$E$9)+I$177*Mat_Sum!$CF37+I$178*Mat_Sum!$CO37+I$179*Mat_Sum!$CG37+I$180*Mat_Sum!$AG37+I$181*Mat_Sum!$I37+I$182*Mat_Sum!$L37+I$183*Mat_Sum!$CI37+I$184*Mat_Sum!$CJ37+I$185*Mat_Sum!$CK37+I$186*Mat_Sum!$AQ37+I$187*Mat_Sum!$AO37+I$188*Mat_Sum!$AP37+I$189*Mat_Sum!$D37+I$190*Mat_Sum!$BE37+I$191*Mat_Sum!$CM37+I$192*Mat_Sum!$CL37)+(Battery_Assembly!$F83*$C$23))*(1+$D$30)</f>
        <v>154.18681588536066</v>
      </c>
      <c r="J216" s="349">
        <f ca="1">((J$176*(IF(Vehi_Inputs!$C$105=2,Mat_Sum!$BT37,IF(Vehi_Inputs!$C$105=3,Mat_Sum!$BZ37,IF(Vehi_Inputs!$C$105=4,Mat_Sum!$CA37,Mat_Sum!$BK37)))+Mat_Sum!$CE37*LiMn2O4!$E$9)+J$177*Mat_Sum!$CF37+J$178*Mat_Sum!$CO37+J$179*Mat_Sum!$CG37+J$180*Mat_Sum!$AG37+J$181*Mat_Sum!$I37+J$182*Mat_Sum!$L37+J$183*Mat_Sum!$CI37+J$184*Mat_Sum!$CJ37+J$185*Mat_Sum!$CK37+J$186*Mat_Sum!$AQ37+J$187*Mat_Sum!$AO37+J$188*Mat_Sum!$AP37+J$189*Mat_Sum!$D37+J$190*Mat_Sum!$BE37+J$191*Mat_Sum!$CM37+J$192*Mat_Sum!$CL37)+(Battery_Assembly!$F83*$J$47/2.2046*$C$41/1000))*(1+$D$31)</f>
        <v>8.3829301135805121</v>
      </c>
      <c r="K216" s="348">
        <f ca="1">((K$176*(IF(Vehi_Inputs!$C$105=2,Mat_Sum!$BT37,IF(Vehi_Inputs!$C$105=3,Mat_Sum!$BZ37,IF(Vehi_Inputs!$C$105=4,Mat_Sum!$CA37,Mat_Sum!$BK37)))+Mat_Sum!$CE37*LiMn2O4!$E$9)+K$177*Mat_Sum!$CF37+K$178*Mat_Sum!$CO37+K$179*Mat_Sum!$CG37+K$180*Mat_Sum!$AG37+K$181*Mat_Sum!$I37+K$182*Mat_Sum!$L37+K$183*Mat_Sum!$CI37+K$184*Mat_Sum!$CJ37+K$185*Mat_Sum!$CK37+K$186*Mat_Sum!$AQ37+K$187*Mat_Sum!$AO37+K$188*Mat_Sum!$AP37+K$189*Mat_Sum!$D37+K$190*Mat_Sum!$BE37+K$191*Mat_Sum!$CM37+K$192*Mat_Sum!$CL37)+(Battery_Assembly!$F83*$K$47/2.2046*$C$41/1000))*(1+$D$31)</f>
        <v>7.893358437923645</v>
      </c>
      <c r="L216" s="1321"/>
      <c r="M216" s="1321"/>
      <c r="N216" s="1321"/>
      <c r="O216" s="1321"/>
      <c r="P216" s="1321"/>
      <c r="Q216" s="1321"/>
      <c r="R216" s="1321"/>
      <c r="S216" s="1321"/>
      <c r="T216" s="1318"/>
      <c r="V216" s="1321"/>
      <c r="W216" s="1321"/>
      <c r="X216" s="1321"/>
      <c r="Y216" s="1321"/>
      <c r="Z216" s="1321"/>
      <c r="AA216" s="1321"/>
      <c r="AB216" s="1321"/>
      <c r="AC216" s="1321"/>
    </row>
    <row r="217" spans="1:33" s="64" customFormat="1">
      <c r="A217" s="494" t="s">
        <v>823</v>
      </c>
      <c r="B217" s="349"/>
      <c r="C217" s="349"/>
      <c r="D217" s="349">
        <f ca="1">((D$176*(IF(Vehi_Inputs!$C$102=2,Mat_Sum!$BT38,IF(Vehi_Inputs!$C$102=3,Mat_Sum!$BZ38,IF(Vehi_Inputs!$C$102=4,Mat_Sum!$CA38,Mat_Sum!$BK38)))+Mat_Sum!$CE38*LiMn2O4!$E$9)+D$177*Mat_Sum!$CF38+D$178*Mat_Sum!$CO38+D$179*Mat_Sum!$CG38+D$180*Mat_Sum!$AG38+D$181*Mat_Sum!$I38+D$182*Mat_Sum!$L38+D$183*Mat_Sum!$CI38+D$184*Mat_Sum!$CJ38+D$185*Mat_Sum!$CK38+D$186*Mat_Sum!$AQ38+D$187*Mat_Sum!$AO38+D$188*Mat_Sum!$AP38+D$189*Mat_Sum!$D38+D$190*Mat_Sum!$BE38+D$191*Mat_Sum!$CM38+D$192*Mat_Sum!$CL38)+(Battery_Assembly!$F84*$D$47/2.2046*$C$40/1000))*(1+$D$28)</f>
        <v>20.615811958400826</v>
      </c>
      <c r="E217" s="349">
        <f ca="1">((E$176*(IF(Vehi_Inputs!$C$102=2,Mat_Sum!$BT38,IF(Vehi_Inputs!$C$102=3,Mat_Sum!$BZ38,IF(Vehi_Inputs!$C$102=4,Mat_Sum!$CA38,Mat_Sum!$BK38)))+Mat_Sum!$CE38*LiMn2O4!$E$9)+E$177*Mat_Sum!$CF38+E$178*Mat_Sum!$CO38+E$179*Mat_Sum!$CG38+E$180*Mat_Sum!$AG38+E$181*Mat_Sum!$I38+E$182*Mat_Sum!$L38+E$183*Mat_Sum!$CI38+E$184*Mat_Sum!$CJ38+E$185*Mat_Sum!$CK38+E$186*Mat_Sum!$AQ38+E$187*Mat_Sum!$AO38+E$188*Mat_Sum!$AP38+E$189*Mat_Sum!$D38+E$190*Mat_Sum!$BE38+E$191*Mat_Sum!$CM38+E$192*Mat_Sum!$CL38)+(Battery_Assembly!$F84*$E$47/2.2046*$C$40/1000))*(1+$D$28)</f>
        <v>14.235340176874439</v>
      </c>
      <c r="F217" s="349">
        <f ca="1">((F$176*(IF(Vehi_Inputs!$C$103=2,Mat_Sum!$BT38,IF(Vehi_Inputs!$C$103=3,Mat_Sum!$BZ38,IF(Vehi_Inputs!$C$103=4,Mat_Sum!$CA38,Mat_Sum!$BK38)))+Mat_Sum!$CE38*LiMn2O4!$E$9)+F$177*Mat_Sum!$CF38+F$178*Mat_Sum!$CO38+F$179*Mat_Sum!$CG38+F$180*Mat_Sum!$AG38+F$181*Mat_Sum!$I38+F$182*Mat_Sum!$L38+F$183*Mat_Sum!$CI38+F$184*Mat_Sum!$CJ38+F$185*Mat_Sum!$CK38+F$186*Mat_Sum!$AQ38+F$187*Mat_Sum!$AO38+F$188*Mat_Sum!$AP38+F$189*Mat_Sum!$D38+F$190*Mat_Sum!$BE38+F$191*Mat_Sum!$CM38+F$192*Mat_Sum!$CL38)+(Battery_Assembly!$F84*$C$20))*(1+$D$29)</f>
        <v>62.694757722994297</v>
      </c>
      <c r="G217" s="349">
        <f ca="1">((G$176*(IF(Vehi_Inputs!$C$103=2,Mat_Sum!$BT38,IF(Vehi_Inputs!$C$103=3,Mat_Sum!$BZ38,IF(Vehi_Inputs!$C$103=4,Mat_Sum!$CA38,Mat_Sum!$BK38)))+Mat_Sum!$CE38*LiMn2O4!$E$9)+G$177*Mat_Sum!$CF38+G$178*Mat_Sum!$CO38+G$179*Mat_Sum!$CG38+G$180*Mat_Sum!$AG38+G$181*Mat_Sum!$I38+G$182*Mat_Sum!$L38+G$183*Mat_Sum!$CI38+G$184*Mat_Sum!$CJ38+G$185*Mat_Sum!$CK38+G$186*Mat_Sum!$AQ38+G$187*Mat_Sum!$AO38+G$188*Mat_Sum!$AP38+G$189*Mat_Sum!$D38+G$190*Mat_Sum!$BE38+G$191*Mat_Sum!$CM38+G$192*Mat_Sum!$CL38)+(Battery_Assembly!$F84*$C$21))*(1+$D$29)</f>
        <v>49.868328244913215</v>
      </c>
      <c r="H217" s="349">
        <f ca="1">((H$176*(IF(Vehi_Inputs!$C$104=2,Mat_Sum!$BT38,IF(OR(Vehi_Inputs!$C$104=7,Vehi_Inputs!$C$104=8),Mat_Sum!$BY38,IF(Vehi_Inputs!$C$104=3,Mat_Sum!$BZ38,IF(Vehi_Inputs!$C$104=4,Mat_Sum!$CA38,IF(Vehi_Inputs!$C$104=5,Mat_Sum!$BV38,IF(Vehi_Inputs!$C$104=6,Mat_Sum!$BW38,IF(Vehi_Inputs!$C$104=9,Mat_Sum!$CD38,IF(Vehi_Inputs!$C$104=10,Mat_Sum!$BU38,Mat_Sum!$BK38))))))))+Mat_Sum!$CE38*LiMn2O4!$E$9)+H$177*Mat_Sum!$CF38+H$178*Mat_Sum!$CO38+H$179*Mat_Sum!$CG38+H$180*Mat_Sum!$AG38+H$181*Mat_Sum!$I38+H$182*Mat_Sum!$L38+H$183*Mat_Sum!$CI38+H$184*Mat_Sum!$CJ38+H$185*Mat_Sum!$CK38+H$186*Mat_Sum!$AQ38+H$187*Mat_Sum!$AO38+H$188*Mat_Sum!$AP38+H$189*Mat_Sum!$D38+H$190*Mat_Sum!$BE38+H$191*Mat_Sum!$CM38+H$192*Mat_Sum!$CL38)+(Battery_Assembly!$F84*$C$22))*(1+$D$30)</f>
        <v>429.62682220745239</v>
      </c>
      <c r="I217" s="349">
        <f ca="1">((I$176*(IF(Vehi_Inputs!$C$104=2,Mat_Sum!$BT38,IF(OR(Vehi_Inputs!$C$104=7,Vehi_Inputs!$C$104=8),Mat_Sum!$BY38,IF(Vehi_Inputs!$C$104=3,Mat_Sum!$BZ38,IF(Vehi_Inputs!$C$104=4,Mat_Sum!$CA38,IF(Vehi_Inputs!$C$104=5,Mat_Sum!$BV38,IF(Vehi_Inputs!$C$104=6,Mat_Sum!$BW38,IF(Vehi_Inputs!$C$104=9,Mat_Sum!$CD38,IF(Vehi_Inputs!$C$104=10,Mat_Sum!$BU38,Mat_Sum!$BK38))))))))+Mat_Sum!$CE38*LiMn2O4!$E$9)+I$177*Mat_Sum!$CF38+I$178*Mat_Sum!$CO38+I$179*Mat_Sum!$CG38+I$180*Mat_Sum!$AG38+I$181*Mat_Sum!$I38+I$182*Mat_Sum!$L38+I$183*Mat_Sum!$CI38+I$184*Mat_Sum!$CJ38+I$185*Mat_Sum!$CK38+I$186*Mat_Sum!$AQ38+I$187*Mat_Sum!$AO38+I$188*Mat_Sum!$AP38+I$189*Mat_Sum!$D38+I$190*Mat_Sum!$BE38+I$191*Mat_Sum!$CM38+I$192*Mat_Sum!$CL38)+(Battery_Assembly!$F84*$C$23))*(1+$D$30)</f>
        <v>368.58574775702732</v>
      </c>
      <c r="J217" s="349">
        <f ca="1">((J$176*(IF(Vehi_Inputs!$C$105=2,Mat_Sum!$BT38,IF(Vehi_Inputs!$C$105=3,Mat_Sum!$BZ38,IF(Vehi_Inputs!$C$105=4,Mat_Sum!$CA38,Mat_Sum!$BK38)))+Mat_Sum!$CE38*LiMn2O4!$E$9)+J$177*Mat_Sum!$CF38+J$178*Mat_Sum!$CO38+J$179*Mat_Sum!$CG38+J$180*Mat_Sum!$AG38+J$181*Mat_Sum!$I38+J$182*Mat_Sum!$L38+J$183*Mat_Sum!$CI38+J$184*Mat_Sum!$CJ38+J$185*Mat_Sum!$CK38+J$186*Mat_Sum!$AQ38+J$187*Mat_Sum!$AO38+J$188*Mat_Sum!$AP38+J$189*Mat_Sum!$D38+J$190*Mat_Sum!$BE38+J$191*Mat_Sum!$CM38+J$192*Mat_Sum!$CL38)+(Battery_Assembly!$F84*$J$47/2.2046*$C$41/1000))*(1+$D$31)</f>
        <v>19.815869079020771</v>
      </c>
      <c r="K217" s="348">
        <f ca="1">((K$176*(IF(Vehi_Inputs!$C$105=2,Mat_Sum!$BT38,IF(Vehi_Inputs!$C$105=3,Mat_Sum!$BZ38,IF(Vehi_Inputs!$C$105=4,Mat_Sum!$CA38,Mat_Sum!$BK38)))+Mat_Sum!$CE38*LiMn2O4!$E$9)+K$177*Mat_Sum!$CF38+K$178*Mat_Sum!$CO38+K$179*Mat_Sum!$CG38+K$180*Mat_Sum!$AG38+K$181*Mat_Sum!$I38+K$182*Mat_Sum!$L38+K$183*Mat_Sum!$CI38+K$184*Mat_Sum!$CJ38+K$185*Mat_Sum!$CK38+K$186*Mat_Sum!$AQ38+K$187*Mat_Sum!$AO38+K$188*Mat_Sum!$AP38+K$189*Mat_Sum!$D38+K$190*Mat_Sum!$BE38+K$191*Mat_Sum!$CM38+K$192*Mat_Sum!$CL38)+(Battery_Assembly!$F84*$K$47/2.2046*$C$41/1000))*(1+$D$31)</f>
        <v>18.658602097408092</v>
      </c>
      <c r="L217" s="1321"/>
      <c r="M217" s="1321"/>
      <c r="N217" s="1321"/>
      <c r="O217" s="1321"/>
      <c r="P217" s="1321"/>
      <c r="Q217" s="1321"/>
      <c r="R217" s="1321"/>
      <c r="S217" s="1321"/>
      <c r="T217" s="1318"/>
      <c r="V217" s="1321"/>
      <c r="W217" s="1321"/>
      <c r="X217" s="1321"/>
      <c r="Y217" s="1321"/>
      <c r="Z217" s="1321"/>
      <c r="AA217" s="1321"/>
      <c r="AB217" s="1321"/>
      <c r="AC217" s="1321"/>
    </row>
    <row r="218" spans="1:33" s="64" customFormat="1">
      <c r="A218" s="494" t="s">
        <v>824</v>
      </c>
      <c r="B218" s="349"/>
      <c r="C218" s="349"/>
      <c r="D218" s="349">
        <f ca="1">((D$176*(IF(Vehi_Inputs!$C$102=2,Mat_Sum!$BT39,IF(Vehi_Inputs!$C$102=3,Mat_Sum!$BZ39,IF(Vehi_Inputs!$C$102=4,Mat_Sum!$CA39,Mat_Sum!$BK39)))+Mat_Sum!$CE39*LiMn2O4!$E$9)+D$177*Mat_Sum!$CF39+D$178*Mat_Sum!$CO39+D$179*Mat_Sum!$CG39+D$180*Mat_Sum!$AG39+D$181*Mat_Sum!$I39+D$182*Mat_Sum!$L39+D$183*Mat_Sum!$CI39+D$184*Mat_Sum!$CJ39+D$185*Mat_Sum!$CK39+D$186*Mat_Sum!$AQ39+D$187*Mat_Sum!$AO39+D$188*Mat_Sum!$AP39+D$189*Mat_Sum!$D39+D$190*Mat_Sum!$BE39+D$191*Mat_Sum!$CM39+D$192*Mat_Sum!$CL39)+(Battery_Assembly!$F85*$D$47/2.2046*$C$40/1000))*(1+$D$28)</f>
        <v>2.3087555974446694</v>
      </c>
      <c r="E218" s="349">
        <f ca="1">((E$176*(IF(Vehi_Inputs!$C$102=2,Mat_Sum!$BT39,IF(Vehi_Inputs!$C$102=3,Mat_Sum!$BZ39,IF(Vehi_Inputs!$C$102=4,Mat_Sum!$CA39,Mat_Sum!$BK39)))+Mat_Sum!$CE39*LiMn2O4!$E$9)+E$177*Mat_Sum!$CF39+E$178*Mat_Sum!$CO39+E$179*Mat_Sum!$CG39+E$180*Mat_Sum!$AG39+E$181*Mat_Sum!$I39+E$182*Mat_Sum!$L39+E$183*Mat_Sum!$CI39+E$184*Mat_Sum!$CJ39+E$185*Mat_Sum!$CK39+E$186*Mat_Sum!$AQ39+E$187*Mat_Sum!$AO39+E$188*Mat_Sum!$AP39+E$189*Mat_Sum!$D39+E$190*Mat_Sum!$BE39+E$191*Mat_Sum!$CM39+E$192*Mat_Sum!$CL39)+(Battery_Assembly!$F85*$E$47/2.2046*$C$40/1000))*(1+$D$28)</f>
        <v>1.5942094049560431</v>
      </c>
      <c r="F218" s="349">
        <f ca="1">((F$176*(IF(Vehi_Inputs!$C$103=2,Mat_Sum!$BT39,IF(Vehi_Inputs!$C$103=3,Mat_Sum!$BZ39,IF(Vehi_Inputs!$C$103=4,Mat_Sum!$CA39,Mat_Sum!$BK39)))+Mat_Sum!$CE39*LiMn2O4!$E$9)+F$177*Mat_Sum!$CF39+F$178*Mat_Sum!$CO39+F$179*Mat_Sum!$CG39+F$180*Mat_Sum!$AG39+F$181*Mat_Sum!$I39+F$182*Mat_Sum!$L39+F$183*Mat_Sum!$CI39+F$184*Mat_Sum!$CJ39+F$185*Mat_Sum!$CK39+F$186*Mat_Sum!$AQ39+F$187*Mat_Sum!$AO39+F$188*Mat_Sum!$AP39+F$189*Mat_Sum!$D39+F$190*Mat_Sum!$BE39+F$191*Mat_Sum!$CM39+F$192*Mat_Sum!$CL39)+(Battery_Assembly!$F85*$C$20))*(1+$D$29)</f>
        <v>6.9482719080570936</v>
      </c>
      <c r="G218" s="349">
        <f ca="1">((G$176*(IF(Vehi_Inputs!$C$103=2,Mat_Sum!$BT39,IF(Vehi_Inputs!$C$103=3,Mat_Sum!$BZ39,IF(Vehi_Inputs!$C$103=4,Mat_Sum!$CA39,Mat_Sum!$BK39)))+Mat_Sum!$CE39*LiMn2O4!$E$9)+G$177*Mat_Sum!$CF39+G$178*Mat_Sum!$CO39+G$179*Mat_Sum!$CG39+G$180*Mat_Sum!$AG39+G$181*Mat_Sum!$I39+G$182*Mat_Sum!$L39+G$183*Mat_Sum!$CI39+G$184*Mat_Sum!$CJ39+G$185*Mat_Sum!$CK39+G$186*Mat_Sum!$AQ39+G$187*Mat_Sum!$AO39+G$188*Mat_Sum!$AP39+G$189*Mat_Sum!$D39+G$190*Mat_Sum!$BE39+G$191*Mat_Sum!$CM39+G$192*Mat_Sum!$CL39)+(Battery_Assembly!$F85*$C$21))*(1+$D$29)</f>
        <v>5.5267572095396549</v>
      </c>
      <c r="H218" s="349">
        <f ca="1">((H$176*(IF(Vehi_Inputs!$C$104=2,Mat_Sum!$BT39,IF(OR(Vehi_Inputs!$C$104=7,Vehi_Inputs!$C$104=8),Mat_Sum!$BY39,IF(Vehi_Inputs!$C$104=3,Mat_Sum!$BZ39,IF(Vehi_Inputs!$C$104=4,Mat_Sum!$CA39,IF(Vehi_Inputs!$C$104=5,Mat_Sum!$BV39,IF(Vehi_Inputs!$C$104=6,Mat_Sum!$BW39,IF(Vehi_Inputs!$C$104=9,Mat_Sum!$CD39,IF(Vehi_Inputs!$C$104=10,Mat_Sum!$BU39,Mat_Sum!$BK39))))))))+Mat_Sum!$CE39*LiMn2O4!$E$9)+H$177*Mat_Sum!$CF39+H$178*Mat_Sum!$CO39+H$179*Mat_Sum!$CG39+H$180*Mat_Sum!$AG39+H$181*Mat_Sum!$I39+H$182*Mat_Sum!$L39+H$183*Mat_Sum!$CI39+H$184*Mat_Sum!$CJ39+H$185*Mat_Sum!$CK39+H$186*Mat_Sum!$AQ39+H$187*Mat_Sum!$AO39+H$188*Mat_Sum!$AP39+H$189*Mat_Sum!$D39+H$190*Mat_Sum!$BE39+H$191*Mat_Sum!$CM39+H$192*Mat_Sum!$CL39)+(Battery_Assembly!$F85*$C$22))*(1+$D$30)</f>
        <v>46.318460409923965</v>
      </c>
      <c r="I218" s="349">
        <f ca="1">((I$176*(IF(Vehi_Inputs!$C$104=2,Mat_Sum!$BT39,IF(OR(Vehi_Inputs!$C$104=7,Vehi_Inputs!$C$104=8),Mat_Sum!$BY39,IF(Vehi_Inputs!$C$104=3,Mat_Sum!$BZ39,IF(Vehi_Inputs!$C$104=4,Mat_Sum!$CA39,IF(Vehi_Inputs!$C$104=5,Mat_Sum!$BV39,IF(Vehi_Inputs!$C$104=6,Mat_Sum!$BW39,IF(Vehi_Inputs!$C$104=9,Mat_Sum!$CD39,IF(Vehi_Inputs!$C$104=10,Mat_Sum!$BU39,Mat_Sum!$BK39))))))))+Mat_Sum!$CE39*LiMn2O4!$E$9)+I$177*Mat_Sum!$CF39+I$178*Mat_Sum!$CO39+I$179*Mat_Sum!$CG39+I$180*Mat_Sum!$AG39+I$181*Mat_Sum!$I39+I$182*Mat_Sum!$L39+I$183*Mat_Sum!$CI39+I$184*Mat_Sum!$CJ39+I$185*Mat_Sum!$CK39+I$186*Mat_Sum!$AQ39+I$187*Mat_Sum!$AO39+I$188*Mat_Sum!$AP39+I$189*Mat_Sum!$D39+I$190*Mat_Sum!$BE39+I$191*Mat_Sum!$CM39+I$192*Mat_Sum!$CL39)+(Battery_Assembly!$F85*$C$23))*(1+$D$30)</f>
        <v>39.737566377786436</v>
      </c>
      <c r="J218" s="349">
        <f ca="1">((J$176*(IF(Vehi_Inputs!$C$105=2,Mat_Sum!$BT39,IF(Vehi_Inputs!$C$105=3,Mat_Sum!$BZ39,IF(Vehi_Inputs!$C$105=4,Mat_Sum!$CA39,Mat_Sum!$BK39)))+Mat_Sum!$CE39*LiMn2O4!$E$9)+J$177*Mat_Sum!$CF39+J$178*Mat_Sum!$CO39+J$179*Mat_Sum!$CG39+J$180*Mat_Sum!$AG39+J$181*Mat_Sum!$I39+J$182*Mat_Sum!$L39+J$183*Mat_Sum!$CI39+J$184*Mat_Sum!$CJ39+J$185*Mat_Sum!$CK39+J$186*Mat_Sum!$AQ39+J$187*Mat_Sum!$AO39+J$188*Mat_Sum!$AP39+J$189*Mat_Sum!$D39+J$190*Mat_Sum!$BE39+J$191*Mat_Sum!$CM39+J$192*Mat_Sum!$CL39)+(Battery_Assembly!$F85*$J$47/2.2046*$C$41/1000))*(1+$D$31)</f>
        <v>2.1848766490560827</v>
      </c>
      <c r="K218" s="348">
        <f ca="1">((K$176*(IF(Vehi_Inputs!$C$105=2,Mat_Sum!$BT39,IF(Vehi_Inputs!$C$105=3,Mat_Sum!$BZ39,IF(Vehi_Inputs!$C$105=4,Mat_Sum!$CA39,Mat_Sum!$BK39)))+Mat_Sum!$CE39*LiMn2O4!$E$9)+K$177*Mat_Sum!$CF39+K$178*Mat_Sum!$CO39+K$179*Mat_Sum!$CG39+K$180*Mat_Sum!$AG39+K$181*Mat_Sum!$I39+K$182*Mat_Sum!$L39+K$183*Mat_Sum!$CI39+K$184*Mat_Sum!$CJ39+K$185*Mat_Sum!$CK39+K$186*Mat_Sum!$AQ39+K$187*Mat_Sum!$AO39+K$188*Mat_Sum!$AP39+K$189*Mat_Sum!$D39+K$190*Mat_Sum!$BE39+K$191*Mat_Sum!$CM39+K$192*Mat_Sum!$CL39)+(Battery_Assembly!$F85*$K$47/2.2046*$C$41/1000))*(1+$D$31)</f>
        <v>2.057277622499833</v>
      </c>
      <c r="L218" s="1321"/>
      <c r="M218" s="1321"/>
      <c r="N218" s="1321"/>
      <c r="O218" s="1321"/>
      <c r="P218" s="1321"/>
      <c r="Q218" s="1321"/>
      <c r="R218" s="1321"/>
      <c r="S218" s="1321"/>
      <c r="T218" s="1318"/>
      <c r="V218" s="1321"/>
      <c r="W218" s="1321"/>
      <c r="X218" s="1321"/>
      <c r="Y218" s="1321"/>
      <c r="Z218" s="1321"/>
      <c r="AA218" s="1321"/>
      <c r="AB218" s="1321"/>
      <c r="AC218" s="1321"/>
    </row>
    <row r="219" spans="1:33" s="64" customFormat="1">
      <c r="A219" s="494" t="s">
        <v>825</v>
      </c>
      <c r="B219" s="349"/>
      <c r="C219" s="349"/>
      <c r="D219" s="349">
        <f ca="1">((D$176*(IF(Vehi_Inputs!$C$102=2,Mat_Sum!$BT40,IF(Vehi_Inputs!$C$102=3,Mat_Sum!$BZ40,IF(Vehi_Inputs!$C$102=4,Mat_Sum!$CA40,Mat_Sum!$BK40)))+Mat_Sum!$CE40*LiMn2O4!$E$9)+D$177*Mat_Sum!$CF40+D$178*Mat_Sum!$CO40+D$179*Mat_Sum!$CG40+D$180*Mat_Sum!$AG40+D$181*Mat_Sum!$I40+D$182*Mat_Sum!$L40+D$183*Mat_Sum!$CI40+D$184*Mat_Sum!$CJ40+D$185*Mat_Sum!$CK40+D$186*Mat_Sum!$AQ40+D$187*Mat_Sum!$AO40+D$188*Mat_Sum!$AP40+D$189*Mat_Sum!$D40+D$190*Mat_Sum!$BE40+D$191*Mat_Sum!$CM40+D$192*Mat_Sum!$CL40)+(Battery_Assembly!$F86*$D$47/2.2046*$C$40/1000))*(1+$D$28)</f>
        <v>2.0038175347980296</v>
      </c>
      <c r="E219" s="349">
        <f ca="1">((E$176*(IF(Vehi_Inputs!$C$102=2,Mat_Sum!$BT40,IF(Vehi_Inputs!$C$102=3,Mat_Sum!$BZ40,IF(Vehi_Inputs!$C$102=4,Mat_Sum!$CA40,Mat_Sum!$BK40)))+Mat_Sum!$CE40*LiMn2O4!$E$9)+E$177*Mat_Sum!$CF40+E$178*Mat_Sum!$CO40+E$179*Mat_Sum!$CG40+E$180*Mat_Sum!$AG40+E$181*Mat_Sum!$I40+E$182*Mat_Sum!$L40+E$183*Mat_Sum!$CI40+E$184*Mat_Sum!$CJ40+E$185*Mat_Sum!$CK40+E$186*Mat_Sum!$AQ40+E$187*Mat_Sum!$AO40+E$188*Mat_Sum!$AP40+E$189*Mat_Sum!$D40+E$190*Mat_Sum!$BE40+E$191*Mat_Sum!$CM40+E$192*Mat_Sum!$CL40)+(Battery_Assembly!$F86*$E$47/2.2046*$C$40/1000))*(1+$D$28)</f>
        <v>1.3836478678499062</v>
      </c>
      <c r="F219" s="349">
        <f ca="1">((F$176*(IF(Vehi_Inputs!$C$103=2,Mat_Sum!$BT40,IF(Vehi_Inputs!$C$103=3,Mat_Sum!$BZ40,IF(Vehi_Inputs!$C$103=4,Mat_Sum!$CA40,Mat_Sum!$BK40)))+Mat_Sum!$CE40*LiMn2O4!$E$9)+F$177*Mat_Sum!$CF40+F$178*Mat_Sum!$CO40+F$179*Mat_Sum!$CG40+F$180*Mat_Sum!$AG40+F$181*Mat_Sum!$I40+F$182*Mat_Sum!$L40+F$183*Mat_Sum!$CI40+F$184*Mat_Sum!$CJ40+F$185*Mat_Sum!$CK40+F$186*Mat_Sum!$AQ40+F$187*Mat_Sum!$AO40+F$188*Mat_Sum!$AP40+F$189*Mat_Sum!$D40+F$190*Mat_Sum!$BE40+F$191*Mat_Sum!$CM40+F$192*Mat_Sum!$CL40)+(Battery_Assembly!$F86*$C$20))*(1+$D$29)</f>
        <v>6.0128737168635258</v>
      </c>
      <c r="G219" s="349">
        <f ca="1">((G$176*(IF(Vehi_Inputs!$C$103=2,Mat_Sum!$BT40,IF(Vehi_Inputs!$C$103=3,Mat_Sum!$BZ40,IF(Vehi_Inputs!$C$103=4,Mat_Sum!$CA40,Mat_Sum!$BK40)))+Mat_Sum!$CE40*LiMn2O4!$E$9)+G$177*Mat_Sum!$CF40+G$178*Mat_Sum!$CO40+G$179*Mat_Sum!$CG40+G$180*Mat_Sum!$AG40+G$181*Mat_Sum!$I40+G$182*Mat_Sum!$L40+G$183*Mat_Sum!$CI40+G$184*Mat_Sum!$CJ40+G$185*Mat_Sum!$CK40+G$186*Mat_Sum!$AQ40+G$187*Mat_Sum!$AO40+G$188*Mat_Sum!$AP40+G$189*Mat_Sum!$D40+G$190*Mat_Sum!$BE40+G$191*Mat_Sum!$CM40+G$192*Mat_Sum!$CL40)+(Battery_Assembly!$F86*$C$21))*(1+$D$29)</f>
        <v>4.7827277925309906</v>
      </c>
      <c r="H219" s="349">
        <f ca="1">((H$176*(IF(Vehi_Inputs!$C$104=2,Mat_Sum!$BT40,IF(OR(Vehi_Inputs!$C$104=7,Vehi_Inputs!$C$104=8),Mat_Sum!$BY40,IF(Vehi_Inputs!$C$104=3,Mat_Sum!$BZ40,IF(Vehi_Inputs!$C$104=4,Mat_Sum!$CA40,IF(Vehi_Inputs!$C$104=5,Mat_Sum!$BV40,IF(Vehi_Inputs!$C$104=6,Mat_Sum!$BW40,IF(Vehi_Inputs!$C$104=9,Mat_Sum!$CD40,IF(Vehi_Inputs!$C$104=10,Mat_Sum!$BU40,Mat_Sum!$BK40))))))))+Mat_Sum!$CE40*LiMn2O4!$E$9)+H$177*Mat_Sum!$CF40+H$178*Mat_Sum!$CO40+H$179*Mat_Sum!$CG40+H$180*Mat_Sum!$AG40+H$181*Mat_Sum!$I40+H$182*Mat_Sum!$L40+H$183*Mat_Sum!$CI40+H$184*Mat_Sum!$CJ40+H$185*Mat_Sum!$CK40+H$186*Mat_Sum!$AQ40+H$187*Mat_Sum!$AO40+H$188*Mat_Sum!$AP40+H$189*Mat_Sum!$D40+H$190*Mat_Sum!$BE40+H$191*Mat_Sum!$CM40+H$192*Mat_Sum!$CL40)+(Battery_Assembly!$F86*$C$22))*(1+$D$30)</f>
        <v>39.910729215954163</v>
      </c>
      <c r="I219" s="349">
        <f ca="1">((I$176*(IF(Vehi_Inputs!$C$104=2,Mat_Sum!$BT40,IF(OR(Vehi_Inputs!$C$104=7,Vehi_Inputs!$C$104=8),Mat_Sum!$BY40,IF(Vehi_Inputs!$C$104=3,Mat_Sum!$BZ40,IF(Vehi_Inputs!$C$104=4,Mat_Sum!$CA40,IF(Vehi_Inputs!$C$104=5,Mat_Sum!$BV40,IF(Vehi_Inputs!$C$104=6,Mat_Sum!$BW40,IF(Vehi_Inputs!$C$104=9,Mat_Sum!$CD40,IF(Vehi_Inputs!$C$104=10,Mat_Sum!$BU40,Mat_Sum!$BK40))))))))+Mat_Sum!$CE40*LiMn2O4!$E$9)+I$177*Mat_Sum!$CF40+I$178*Mat_Sum!$CO40+I$179*Mat_Sum!$CG40+I$180*Mat_Sum!$AG40+I$181*Mat_Sum!$I40+I$182*Mat_Sum!$L40+I$183*Mat_Sum!$CI40+I$184*Mat_Sum!$CJ40+I$185*Mat_Sum!$CK40+I$186*Mat_Sum!$AQ40+I$187*Mat_Sum!$AO40+I$188*Mat_Sum!$AP40+I$189*Mat_Sum!$D40+I$190*Mat_Sum!$BE40+I$191*Mat_Sum!$CM40+I$192*Mat_Sum!$CL40)+(Battery_Assembly!$F86*$C$23))*(1+$D$30)</f>
        <v>34.240241091110171</v>
      </c>
      <c r="J219" s="349">
        <f ca="1">((J$176*(IF(Vehi_Inputs!$C$105=2,Mat_Sum!$BT40,IF(Vehi_Inputs!$C$105=3,Mat_Sum!$BZ40,IF(Vehi_Inputs!$C$105=4,Mat_Sum!$CA40,Mat_Sum!$BK40)))+Mat_Sum!$CE40*LiMn2O4!$E$9)+J$177*Mat_Sum!$CF40+J$178*Mat_Sum!$CO40+J$179*Mat_Sum!$CG40+J$180*Mat_Sum!$AG40+J$181*Mat_Sum!$I40+J$182*Mat_Sum!$L40+J$183*Mat_Sum!$CI40+J$184*Mat_Sum!$CJ40+J$185*Mat_Sum!$CK40+J$186*Mat_Sum!$AQ40+J$187*Mat_Sum!$AO40+J$188*Mat_Sum!$AP40+J$189*Mat_Sum!$D40+J$190*Mat_Sum!$BE40+J$191*Mat_Sum!$CM40+J$192*Mat_Sum!$CL40)+(Battery_Assembly!$F86*$J$47/2.2046*$C$41/1000))*(1+$D$31)</f>
        <v>1.897161653394821</v>
      </c>
      <c r="K219" s="348">
        <f ca="1">((K$176*(IF(Vehi_Inputs!$C$105=2,Mat_Sum!$BT40,IF(Vehi_Inputs!$C$105=3,Mat_Sum!$BZ40,IF(Vehi_Inputs!$C$105=4,Mat_Sum!$CA40,Mat_Sum!$BK40)))+Mat_Sum!$CE40*LiMn2O4!$E$9)+K$177*Mat_Sum!$CF40+K$178*Mat_Sum!$CO40+K$179*Mat_Sum!$CG40+K$180*Mat_Sum!$AG40+K$181*Mat_Sum!$I40+K$182*Mat_Sum!$L40+K$183*Mat_Sum!$CI40+K$184*Mat_Sum!$CJ40+K$185*Mat_Sum!$CK40+K$186*Mat_Sum!$AQ40+K$187*Mat_Sum!$AO40+K$188*Mat_Sum!$AP40+K$189*Mat_Sum!$D40+K$190*Mat_Sum!$BE40+K$191*Mat_Sum!$CM40+K$192*Mat_Sum!$CL40)+(Battery_Assembly!$F86*$K$47/2.2046*$C$41/1000))*(1+$D$31)</f>
        <v>1.7863654762753451</v>
      </c>
      <c r="L219" s="1321"/>
      <c r="M219" s="1321"/>
      <c r="N219" s="1321"/>
      <c r="O219" s="1321"/>
      <c r="P219" s="1321"/>
      <c r="Q219" s="1321"/>
      <c r="R219" s="1321"/>
      <c r="S219" s="1321"/>
      <c r="T219" s="1318"/>
      <c r="V219" s="1321"/>
      <c r="W219" s="1321"/>
      <c r="X219" s="1321"/>
      <c r="Y219" s="1321"/>
      <c r="Z219" s="1321"/>
      <c r="AA219" s="1321"/>
      <c r="AB219" s="1321"/>
      <c r="AC219" s="1321"/>
    </row>
    <row r="220" spans="1:33" s="64" customFormat="1">
      <c r="A220" s="494" t="s">
        <v>826</v>
      </c>
      <c r="B220" s="349"/>
      <c r="C220" s="349"/>
      <c r="D220" s="349">
        <f ca="1">((D$176*(IF(Vehi_Inputs!$C$102=2,Mat_Sum!$BT41,IF(Vehi_Inputs!$C$102=3,Mat_Sum!$BZ41,IF(Vehi_Inputs!$C$102=4,Mat_Sum!$CA41,Mat_Sum!$BK41)))+Mat_Sum!$CE41*LiMn2O4!$E$9)+D$177*Mat_Sum!$CF41+D$178*Mat_Sum!$CO41+D$179*Mat_Sum!$CG41+D$180*Mat_Sum!$AG41+D$181*Mat_Sum!$I41+D$182*Mat_Sum!$L41+D$183*Mat_Sum!$CI41+D$184*Mat_Sum!$CJ41+D$185*Mat_Sum!$CK41+D$186*Mat_Sum!$AQ41+D$187*Mat_Sum!$AO41+D$188*Mat_Sum!$AP41+D$189*Mat_Sum!$D41+D$190*Mat_Sum!$BE41+D$191*Mat_Sum!$CM41+D$192*Mat_Sum!$CL41)+(Battery_Assembly!$F87*$D$47/2.2046*$C$40/1000))*(1+$D$28)</f>
        <v>18.494911948636013</v>
      </c>
      <c r="E220" s="349">
        <f ca="1">((E$176*(IF(Vehi_Inputs!$C$102=2,Mat_Sum!$BT41,IF(Vehi_Inputs!$C$102=3,Mat_Sum!$BZ41,IF(Vehi_Inputs!$C$102=4,Mat_Sum!$CA41,Mat_Sum!$BK41)))+Mat_Sum!$CE41*LiMn2O4!$E$9)+E$177*Mat_Sum!$CF41+E$178*Mat_Sum!$CO41+E$179*Mat_Sum!$CG41+E$180*Mat_Sum!$AG41+E$181*Mat_Sum!$I41+E$182*Mat_Sum!$L41+E$183*Mat_Sum!$CI41+E$184*Mat_Sum!$CJ41+E$185*Mat_Sum!$CK41+E$186*Mat_Sum!$AQ41+E$187*Mat_Sum!$AO41+E$188*Mat_Sum!$AP41+E$189*Mat_Sum!$D41+E$190*Mat_Sum!$BE41+E$191*Mat_Sum!$CM41+E$192*Mat_Sum!$CL41)+(Battery_Assembly!$F87*$E$47/2.2046*$C$40/1000))*(1+$D$28)</f>
        <v>12.77084616707943</v>
      </c>
      <c r="F220" s="349">
        <f ca="1">((F$176*(IF(Vehi_Inputs!$C$103=2,Mat_Sum!$BT41,IF(Vehi_Inputs!$C$103=3,Mat_Sum!$BZ41,IF(Vehi_Inputs!$C$103=4,Mat_Sum!$CA41,Mat_Sum!$BK41)))+Mat_Sum!$CE41*LiMn2O4!$E$9)+F$177*Mat_Sum!$CF41+F$178*Mat_Sum!$CO41+F$179*Mat_Sum!$CG41+F$180*Mat_Sum!$AG41+F$181*Mat_Sum!$I41+F$182*Mat_Sum!$L41+F$183*Mat_Sum!$CI41+F$184*Mat_Sum!$CJ41+F$185*Mat_Sum!$CK41+F$186*Mat_Sum!$AQ41+F$187*Mat_Sum!$AO41+F$188*Mat_Sum!$AP41+F$189*Mat_Sum!$D41+F$190*Mat_Sum!$BE41+F$191*Mat_Sum!$CM41+F$192*Mat_Sum!$CL41)+(Battery_Assembly!$F87*$C$20))*(1+$D$29)</f>
        <v>56.03086583602694</v>
      </c>
      <c r="G220" s="349">
        <f ca="1">((G$176*(IF(Vehi_Inputs!$C$103=2,Mat_Sum!$BT41,IF(Vehi_Inputs!$C$103=3,Mat_Sum!$BZ41,IF(Vehi_Inputs!$C$103=4,Mat_Sum!$CA41,Mat_Sum!$BK41)))+Mat_Sum!$CE41*LiMn2O4!$E$9)+G$177*Mat_Sum!$CF41+G$178*Mat_Sum!$CO41+G$179*Mat_Sum!$CG41+G$180*Mat_Sum!$AG41+G$181*Mat_Sum!$I41+G$182*Mat_Sum!$L41+G$183*Mat_Sum!$CI41+G$184*Mat_Sum!$CJ41+G$185*Mat_Sum!$CK41+G$186*Mat_Sum!$AQ41+G$187*Mat_Sum!$AO41+G$188*Mat_Sum!$AP41+G$189*Mat_Sum!$D41+G$190*Mat_Sum!$BE41+G$191*Mat_Sum!$CM41+G$192*Mat_Sum!$CL41)+(Battery_Assembly!$F87*$C$21))*(1+$D$29)</f>
        <v>44.567771067929037</v>
      </c>
      <c r="H220" s="349">
        <f ca="1">((H$176*(IF(Vehi_Inputs!$C$104=2,Mat_Sum!$BT41,IF(OR(Vehi_Inputs!$C$104=7,Vehi_Inputs!$C$104=8),Mat_Sum!$BY41,IF(Vehi_Inputs!$C$104=3,Mat_Sum!$BZ41,IF(Vehi_Inputs!$C$104=4,Mat_Sum!$CA41,IF(Vehi_Inputs!$C$104=5,Mat_Sum!$BV41,IF(Vehi_Inputs!$C$104=6,Mat_Sum!$BW41,IF(Vehi_Inputs!$C$104=9,Mat_Sum!$CD41,IF(Vehi_Inputs!$C$104=10,Mat_Sum!$BU41,Mat_Sum!$BK41))))))))+Mat_Sum!$CE41*LiMn2O4!$E$9)+H$177*Mat_Sum!$CF41+H$178*Mat_Sum!$CO41+H$179*Mat_Sum!$CG41+H$180*Mat_Sum!$AG41+H$181*Mat_Sum!$I41+H$182*Mat_Sum!$L41+H$183*Mat_Sum!$CI41+H$184*Mat_Sum!$CJ41+H$185*Mat_Sum!$CK41+H$186*Mat_Sum!$AQ41+H$187*Mat_Sum!$AO41+H$188*Mat_Sum!$AP41+H$189*Mat_Sum!$D41+H$190*Mat_Sum!$BE41+H$191*Mat_Sum!$CM41+H$192*Mat_Sum!$CL41)+(Battery_Assembly!$F87*$C$22))*(1+$D$30)</f>
        <v>379.91754752489317</v>
      </c>
      <c r="I220" s="349">
        <f ca="1">((I$176*(IF(Vehi_Inputs!$C$104=2,Mat_Sum!$BT41,IF(OR(Vehi_Inputs!$C$104=7,Vehi_Inputs!$C$104=8),Mat_Sum!$BY41,IF(Vehi_Inputs!$C$104=3,Mat_Sum!$BZ41,IF(Vehi_Inputs!$C$104=4,Mat_Sum!$CA41,IF(Vehi_Inputs!$C$104=5,Mat_Sum!$BV41,IF(Vehi_Inputs!$C$104=6,Mat_Sum!$BW41,IF(Vehi_Inputs!$C$104=9,Mat_Sum!$CD41,IF(Vehi_Inputs!$C$104=10,Mat_Sum!$BU41,Mat_Sum!$BK41))))))))+Mat_Sum!$CE41*LiMn2O4!$E$9)+I$177*Mat_Sum!$CF41+I$178*Mat_Sum!$CO41+I$179*Mat_Sum!$CG41+I$180*Mat_Sum!$AG41+I$181*Mat_Sum!$I41+I$182*Mat_Sum!$L41+I$183*Mat_Sum!$CI41+I$184*Mat_Sum!$CJ41+I$185*Mat_Sum!$CK41+I$186*Mat_Sum!$AQ41+I$187*Mat_Sum!$AO41+I$188*Mat_Sum!$AP41+I$189*Mat_Sum!$D41+I$190*Mat_Sum!$BE41+I$191*Mat_Sum!$CM41+I$192*Mat_Sum!$CL41)+(Battery_Assembly!$F87*$C$23))*(1+$D$30)</f>
        <v>325.93913159561032</v>
      </c>
      <c r="J220" s="349">
        <f ca="1">((J$176*(IF(Vehi_Inputs!$C$105=2,Mat_Sum!$BT41,IF(Vehi_Inputs!$C$105=3,Mat_Sum!$BZ41,IF(Vehi_Inputs!$C$105=4,Mat_Sum!$CA41,Mat_Sum!$BK41)))+Mat_Sum!$CE41*LiMn2O4!$E$9)+J$177*Mat_Sum!$CF41+J$178*Mat_Sum!$CO41+J$179*Mat_Sum!$CG41+J$180*Mat_Sum!$AG41+J$181*Mat_Sum!$I41+J$182*Mat_Sum!$L41+J$183*Mat_Sum!$CI41+J$184*Mat_Sum!$CJ41+J$185*Mat_Sum!$CK41+J$186*Mat_Sum!$AQ41+J$187*Mat_Sum!$AO41+J$188*Mat_Sum!$AP41+J$189*Mat_Sum!$D41+J$190*Mat_Sum!$BE41+J$191*Mat_Sum!$CM41+J$192*Mat_Sum!$CL41)+(Battery_Assembly!$F87*$J$47/2.2046*$C$41/1000))*(1+$D$31)</f>
        <v>17.468278820841739</v>
      </c>
      <c r="K220" s="348">
        <f ca="1">((K$176*(IF(Vehi_Inputs!$C$105=2,Mat_Sum!$BT41,IF(Vehi_Inputs!$C$105=3,Mat_Sum!$BZ41,IF(Vehi_Inputs!$C$105=4,Mat_Sum!$CA41,Mat_Sum!$BK41)))+Mat_Sum!$CE41*LiMn2O4!$E$9)+K$177*Mat_Sum!$CF41+K$178*Mat_Sum!$CO41+K$179*Mat_Sum!$CG41+K$180*Mat_Sum!$AG41+K$181*Mat_Sum!$I41+K$182*Mat_Sum!$L41+K$183*Mat_Sum!$CI41+K$184*Mat_Sum!$CJ41+K$185*Mat_Sum!$CK41+K$186*Mat_Sum!$AQ41+K$187*Mat_Sum!$AO41+K$188*Mat_Sum!$AP41+K$189*Mat_Sum!$D41+K$190*Mat_Sum!$BE41+K$191*Mat_Sum!$CM41+K$192*Mat_Sum!$CL41)+(Battery_Assembly!$F87*$K$47/2.2046*$C$41/1000))*(1+$D$31)</f>
        <v>16.448113506650877</v>
      </c>
      <c r="L220" s="1321"/>
      <c r="M220" s="1321"/>
      <c r="N220" s="1321"/>
      <c r="O220" s="1321"/>
      <c r="P220" s="1321"/>
      <c r="Q220" s="1321"/>
      <c r="R220" s="1321"/>
      <c r="S220" s="1321"/>
      <c r="T220" s="1318"/>
      <c r="V220" s="1321"/>
      <c r="W220" s="1321"/>
      <c r="X220" s="1321"/>
      <c r="Y220" s="1321"/>
      <c r="Z220" s="1321"/>
      <c r="AA220" s="1321"/>
      <c r="AB220" s="1321"/>
      <c r="AC220" s="1321"/>
    </row>
    <row r="221" spans="1:33" s="64" customFormat="1">
      <c r="A221" s="494" t="s">
        <v>827</v>
      </c>
      <c r="B221" s="349"/>
      <c r="C221" s="349"/>
      <c r="D221" s="349">
        <f ca="1">((D$176*(IF(Vehi_Inputs!$C$102=2,Mat_Sum!$BT42,IF(Vehi_Inputs!$C$102=3,Mat_Sum!$BZ42,IF(Vehi_Inputs!$C$102=4,Mat_Sum!$CA42,Mat_Sum!$BK42)))+Mat_Sum!$CE42*LiMn2O4!$E$9)+D$177*Mat_Sum!$CF42+D$178*Mat_Sum!$CO42+D$179*Mat_Sum!$CG42+D$180*Mat_Sum!$AG42+D$181*Mat_Sum!$I42+D$182*Mat_Sum!$L42+D$183*Mat_Sum!$CI42+D$184*Mat_Sum!$CJ42+D$185*Mat_Sum!$CK42+D$186*Mat_Sum!$AQ42+D$187*Mat_Sum!$AO42+D$188*Mat_Sum!$AP42+D$189*Mat_Sum!$D42+D$190*Mat_Sum!$BE42+D$191*Mat_Sum!$CM42+D$192*Mat_Sum!$CL42)+(Battery_Assembly!$F88*$D$47/2.2046*$C$40/1000))*(1+$D$28)</f>
        <v>0.11052993913912613</v>
      </c>
      <c r="E221" s="349">
        <f ca="1">((E$176*(IF(Vehi_Inputs!$C$102=2,Mat_Sum!$BT42,IF(Vehi_Inputs!$C$102=3,Mat_Sum!$BZ42,IF(Vehi_Inputs!$C$102=4,Mat_Sum!$CA42,Mat_Sum!$BK42)))+Mat_Sum!$CE42*LiMn2O4!$E$9)+E$177*Mat_Sum!$CF42+E$178*Mat_Sum!$CO42+E$179*Mat_Sum!$CG42+E$180*Mat_Sum!$AG42+E$181*Mat_Sum!$I42+E$182*Mat_Sum!$L42+E$183*Mat_Sum!$CI42+E$184*Mat_Sum!$CJ42+E$185*Mat_Sum!$CK42+E$186*Mat_Sum!$AQ42+E$187*Mat_Sum!$AO42+E$188*Mat_Sum!$AP42+E$189*Mat_Sum!$D42+E$190*Mat_Sum!$BE42+E$191*Mat_Sum!$CM42+E$192*Mat_Sum!$CL42)+(Battery_Assembly!$F88*$E$47/2.2046*$C$40/1000))*(1+$D$28)</f>
        <v>7.6321577173365934E-2</v>
      </c>
      <c r="F221" s="349">
        <f ca="1">((F$176*(IF(Vehi_Inputs!$C$103=2,Mat_Sum!$BT42,IF(Vehi_Inputs!$C$103=3,Mat_Sum!$BZ42,IF(Vehi_Inputs!$C$103=4,Mat_Sum!$CA42,Mat_Sum!$BK42)))+Mat_Sum!$CE42*LiMn2O4!$E$9)+F$177*Mat_Sum!$CF42+F$178*Mat_Sum!$CO42+F$179*Mat_Sum!$CG42+F$180*Mat_Sum!$AG42+F$181*Mat_Sum!$I42+F$182*Mat_Sum!$L42+F$183*Mat_Sum!$CI42+F$184*Mat_Sum!$CJ42+F$185*Mat_Sum!$CK42+F$186*Mat_Sum!$AQ42+F$187*Mat_Sum!$AO42+F$188*Mat_Sum!$AP42+F$189*Mat_Sum!$D42+F$190*Mat_Sum!$BE42+F$191*Mat_Sum!$CM42+F$192*Mat_Sum!$CL42)+(Battery_Assembly!$F88*$C$20))*(1+$D$29)</f>
        <v>0.33765714185484658</v>
      </c>
      <c r="G221" s="349">
        <f ca="1">((G$176*(IF(Vehi_Inputs!$C$103=2,Mat_Sum!$BT42,IF(Vehi_Inputs!$C$103=3,Mat_Sum!$BZ42,IF(Vehi_Inputs!$C$103=4,Mat_Sum!$CA42,Mat_Sum!$BK42)))+Mat_Sum!$CE42*LiMn2O4!$E$9)+G$177*Mat_Sum!$CF42+G$178*Mat_Sum!$CO42+G$179*Mat_Sum!$CG42+G$180*Mat_Sum!$AG42+G$181*Mat_Sum!$I42+G$182*Mat_Sum!$L42+G$183*Mat_Sum!$CI42+G$184*Mat_Sum!$CJ42+G$185*Mat_Sum!$CK42+G$186*Mat_Sum!$AQ42+G$187*Mat_Sum!$AO42+G$188*Mat_Sum!$AP42+G$189*Mat_Sum!$D42+G$190*Mat_Sum!$BE42+G$191*Mat_Sum!$CM42+G$192*Mat_Sum!$CL42)+(Battery_Assembly!$F88*$C$21))*(1+$D$29)</f>
        <v>0.26857743447473226</v>
      </c>
      <c r="H221" s="349">
        <f ca="1">((H$176*(IF(Vehi_Inputs!$C$104=2,Mat_Sum!$BT42,IF(OR(Vehi_Inputs!$C$104=7,Vehi_Inputs!$C$104=8),Mat_Sum!$BY42,IF(Vehi_Inputs!$C$104=3,Mat_Sum!$BZ42,IF(Vehi_Inputs!$C$104=4,Mat_Sum!$CA42,IF(Vehi_Inputs!$C$104=5,Mat_Sum!$BV42,IF(Vehi_Inputs!$C$104=6,Mat_Sum!$BW42,IF(Vehi_Inputs!$C$104=9,Mat_Sum!$CD42,IF(Vehi_Inputs!$C$104=10,Mat_Sum!$BU42,Mat_Sum!$BK42))))))))+Mat_Sum!$CE42*LiMn2O4!$E$9)+H$177*Mat_Sum!$CF42+H$178*Mat_Sum!$CO42+H$179*Mat_Sum!$CG42+H$180*Mat_Sum!$AG42+H$181*Mat_Sum!$I42+H$182*Mat_Sum!$L42+H$183*Mat_Sum!$CI42+H$184*Mat_Sum!$CJ42+H$185*Mat_Sum!$CK42+H$186*Mat_Sum!$AQ42+H$187*Mat_Sum!$AO42+H$188*Mat_Sum!$AP42+H$189*Mat_Sum!$D42+H$190*Mat_Sum!$BE42+H$191*Mat_Sum!$CM42+H$192*Mat_Sum!$CL42)+(Battery_Assembly!$F88*$C$22))*(1+$D$30)</f>
        <v>2.2803042488005838</v>
      </c>
      <c r="I221" s="349">
        <f ca="1">((I$176*(IF(Vehi_Inputs!$C$104=2,Mat_Sum!$BT42,IF(OR(Vehi_Inputs!$C$104=7,Vehi_Inputs!$C$104=8),Mat_Sum!$BY42,IF(Vehi_Inputs!$C$104=3,Mat_Sum!$BZ42,IF(Vehi_Inputs!$C$104=4,Mat_Sum!$CA42,IF(Vehi_Inputs!$C$104=5,Mat_Sum!$BV42,IF(Vehi_Inputs!$C$104=6,Mat_Sum!$BW42,IF(Vehi_Inputs!$C$104=9,Mat_Sum!$CD42,IF(Vehi_Inputs!$C$104=10,Mat_Sum!$BU42,Mat_Sum!$BK42))))))))+Mat_Sum!$CE42*LiMn2O4!$E$9)+I$177*Mat_Sum!$CF42+I$178*Mat_Sum!$CO42+I$179*Mat_Sum!$CG42+I$180*Mat_Sum!$AG42+I$181*Mat_Sum!$I42+I$182*Mat_Sum!$L42+I$183*Mat_Sum!$CI42+I$184*Mat_Sum!$CJ42+I$185*Mat_Sum!$CK42+I$186*Mat_Sum!$AQ42+I$187*Mat_Sum!$AO42+I$188*Mat_Sum!$AP42+I$189*Mat_Sum!$D42+I$190*Mat_Sum!$BE42+I$191*Mat_Sum!$CM42+I$192*Mat_Sum!$CL42)+(Battery_Assembly!$F88*$C$23))*(1+$D$30)</f>
        <v>1.9563202370354946</v>
      </c>
      <c r="J221" s="349">
        <f ca="1">((J$176*(IF(Vehi_Inputs!$C$105=2,Mat_Sum!$BT42,IF(Vehi_Inputs!$C$105=3,Mat_Sum!$BZ42,IF(Vehi_Inputs!$C$105=4,Mat_Sum!$CA42,Mat_Sum!$BK42)))+Mat_Sum!$CE42*LiMn2O4!$E$9)+J$177*Mat_Sum!$CF42+J$178*Mat_Sum!$CO42+J$179*Mat_Sum!$CG42+J$180*Mat_Sum!$AG42+J$181*Mat_Sum!$I42+J$182*Mat_Sum!$L42+J$183*Mat_Sum!$CI42+J$184*Mat_Sum!$CJ42+J$185*Mat_Sum!$CK42+J$186*Mat_Sum!$AQ42+J$187*Mat_Sum!$AO42+J$188*Mat_Sum!$AP42+J$189*Mat_Sum!$D42+J$190*Mat_Sum!$BE42+J$191*Mat_Sum!$CM42+J$192*Mat_Sum!$CL42)+(Battery_Assembly!$F88*$J$47/2.2046*$C$41/1000))*(1+$D$31)</f>
        <v>0.10461959714281142</v>
      </c>
      <c r="K221" s="348">
        <f ca="1">((K$176*(IF(Vehi_Inputs!$C$105=2,Mat_Sum!$BT42,IF(Vehi_Inputs!$C$105=3,Mat_Sum!$BZ42,IF(Vehi_Inputs!$C$105=4,Mat_Sum!$CA42,Mat_Sum!$BK42)))+Mat_Sum!$CE42*LiMn2O4!$E$9)+K$177*Mat_Sum!$CF42+K$178*Mat_Sum!$CO42+K$179*Mat_Sum!$CG42+K$180*Mat_Sum!$AG42+K$181*Mat_Sum!$I42+K$182*Mat_Sum!$L42+K$183*Mat_Sum!$CI42+K$184*Mat_Sum!$CJ42+K$185*Mat_Sum!$CK42+K$186*Mat_Sum!$AQ42+K$187*Mat_Sum!$AO42+K$188*Mat_Sum!$AP42+K$189*Mat_Sum!$D42+K$190*Mat_Sum!$BE42+K$191*Mat_Sum!$CM42+K$192*Mat_Sum!$CL42)+(Battery_Assembly!$F88*$K$47/2.2046*$C$41/1000))*(1+$D$31)</f>
        <v>9.8509705877372233E-2</v>
      </c>
      <c r="L221" s="1321"/>
      <c r="M221" s="1321"/>
      <c r="N221" s="1321"/>
      <c r="O221" s="1321"/>
      <c r="P221" s="1321"/>
      <c r="Q221" s="1321"/>
      <c r="R221" s="1321"/>
      <c r="S221" s="1321"/>
      <c r="T221" s="1318"/>
      <c r="V221" s="1321"/>
      <c r="W221" s="1321"/>
      <c r="X221" s="1321"/>
      <c r="Y221" s="1321"/>
      <c r="Z221" s="1321"/>
      <c r="AA221" s="1321"/>
      <c r="AB221" s="1321"/>
      <c r="AC221" s="1321"/>
    </row>
    <row r="222" spans="1:33" s="64" customFormat="1">
      <c r="A222" s="492" t="s">
        <v>828</v>
      </c>
      <c r="B222" s="499"/>
      <c r="C222" s="499"/>
      <c r="D222" s="505">
        <f ca="1">((D$176*(IF(Vehi_Inputs!$C$102=2,Mat_Sum!$BT43,IF(Vehi_Inputs!$C$102=3,Mat_Sum!$BZ43,IF(Vehi_Inputs!$C$102=4,Mat_Sum!$CA43,Mat_Sum!$BK43)))+Mat_Sum!$CE43*LiMn2O4!$E$9)+D$177*Mat_Sum!$CF43+D$178*Mat_Sum!$CO43+D$179*Mat_Sum!$CG43+D$180*Mat_Sum!$AG43+D$181*Mat_Sum!$I43+D$182*Mat_Sum!$L43+D$183*Mat_Sum!$CI43+D$184*Mat_Sum!$CJ43+D$185*Mat_Sum!$CK43+D$186*Mat_Sum!$AQ43+D$187*Mat_Sum!$AO43+D$188*Mat_Sum!$AP43+D$189*Mat_Sum!$D43+D$190*Mat_Sum!$BE43+D$191*Mat_Sum!$CM43+D$192*Mat_Sum!$CL43)+(Battery_Assembly!$F89*$D$47/2.2046*$C$40/1000))*(1+$D$28)</f>
        <v>0.48330539096113817</v>
      </c>
      <c r="E222" s="505">
        <f ca="1">((E$176*(IF(Vehi_Inputs!$C$102=2,Mat_Sum!$BT43,IF(Vehi_Inputs!$C$102=3,Mat_Sum!$BZ43,IF(Vehi_Inputs!$C$102=4,Mat_Sum!$CA43,Mat_Sum!$BK43)))+Mat_Sum!$CE43*LiMn2O4!$E$9)+E$177*Mat_Sum!$CF43+E$178*Mat_Sum!$CO43+E$179*Mat_Sum!$CG43+E$180*Mat_Sum!$AG43+E$181*Mat_Sum!$I43+E$182*Mat_Sum!$L43+E$183*Mat_Sum!$CI43+E$184*Mat_Sum!$CJ43+E$185*Mat_Sum!$CK43+E$186*Mat_Sum!$AQ43+E$187*Mat_Sum!$AO43+E$188*Mat_Sum!$AP43+E$189*Mat_Sum!$D43+E$190*Mat_Sum!$BE43+E$191*Mat_Sum!$CM43+E$192*Mat_Sum!$CL43)+(Battery_Assembly!$F89*$E$47/2.2046*$C$40/1000))*(1+$D$28)</f>
        <v>0.3337252330168608</v>
      </c>
      <c r="F222" s="505">
        <f ca="1">((F$176*(IF(Vehi_Inputs!$C$103=2,Mat_Sum!$BT43,IF(Vehi_Inputs!$C$103=3,Mat_Sum!$BZ43,IF(Vehi_Inputs!$C$103=4,Mat_Sum!$CA43,Mat_Sum!$BK43)))+Mat_Sum!$CE43*LiMn2O4!$E$9)+F$177*Mat_Sum!$CF43+F$178*Mat_Sum!$CO43+F$179*Mat_Sum!$CG43+F$180*Mat_Sum!$AG43+F$181*Mat_Sum!$I43+F$182*Mat_Sum!$L43+F$183*Mat_Sum!$CI43+F$184*Mat_Sum!$CJ43+F$185*Mat_Sum!$CK43+F$186*Mat_Sum!$AQ43+F$187*Mat_Sum!$AO43+F$188*Mat_Sum!$AP43+F$189*Mat_Sum!$D43+F$190*Mat_Sum!$BE43+F$191*Mat_Sum!$CM43+F$192*Mat_Sum!$CL43)+(Battery_Assembly!$F89*$C$20))*(1+$D$29)</f>
        <v>1.3820692130542316</v>
      </c>
      <c r="G222" s="505">
        <f ca="1">((G$176*(IF(Vehi_Inputs!$C$103=2,Mat_Sum!$BT43,IF(Vehi_Inputs!$C$103=3,Mat_Sum!$BZ43,IF(Vehi_Inputs!$C$103=4,Mat_Sum!$CA43,Mat_Sum!$BK43)))+Mat_Sum!$CE43*LiMn2O4!$E$9)+G$177*Mat_Sum!$CF43+G$178*Mat_Sum!$CO43+G$179*Mat_Sum!$CG43+G$180*Mat_Sum!$AG43+G$181*Mat_Sum!$I43+G$182*Mat_Sum!$L43+G$183*Mat_Sum!$CI43+G$184*Mat_Sum!$CJ43+G$185*Mat_Sum!$CK43+G$186*Mat_Sum!$AQ43+G$187*Mat_Sum!$AO43+G$188*Mat_Sum!$AP43+G$189*Mat_Sum!$D43+G$190*Mat_Sum!$BE43+G$191*Mat_Sum!$CM43+G$192*Mat_Sum!$CL43)+(Battery_Assembly!$F89*$C$21))*(1+$D$29)</f>
        <v>1.0993180877784823</v>
      </c>
      <c r="H222" s="505">
        <f ca="1">((H$176*(IF(Vehi_Inputs!$C$104=2,Mat_Sum!$BT43,IF(OR(Vehi_Inputs!$C$104=7,Vehi_Inputs!$C$104=8),Mat_Sum!$BY43,IF(Vehi_Inputs!$C$104=3,Mat_Sum!$BZ43,IF(Vehi_Inputs!$C$104=4,Mat_Sum!$CA43,IF(Vehi_Inputs!$C$104=5,Mat_Sum!$BV43,IF(Vehi_Inputs!$C$104=6,Mat_Sum!$BW43,IF(Vehi_Inputs!$C$104=9,Mat_Sum!$CD43,IF(Vehi_Inputs!$C$104=10,Mat_Sum!$BU43,Mat_Sum!$BK43))))))))+Mat_Sum!$CE43*LiMn2O4!$E$9)+H$177*Mat_Sum!$CF43+H$178*Mat_Sum!$CO43+H$179*Mat_Sum!$CG43+H$180*Mat_Sum!$AG43+H$181*Mat_Sum!$I43+H$182*Mat_Sum!$L43+H$183*Mat_Sum!$CI43+H$184*Mat_Sum!$CJ43+H$185*Mat_Sum!$CK43+H$186*Mat_Sum!$AQ43+H$187*Mat_Sum!$AO43+H$188*Mat_Sum!$AP43+H$189*Mat_Sum!$D43+H$190*Mat_Sum!$BE43+H$191*Mat_Sum!$CM43+H$192*Mat_Sum!$CL43)+(Battery_Assembly!$F89*$C$22))*(1+$D$30)</f>
        <v>8.5512302803147264</v>
      </c>
      <c r="I222" s="505">
        <f ca="1">((I$176*(IF(Vehi_Inputs!$C$104=2,Mat_Sum!$BT43,IF(OR(Vehi_Inputs!$C$104=7,Vehi_Inputs!$C$104=8),Mat_Sum!$BY43,IF(Vehi_Inputs!$C$104=3,Mat_Sum!$BZ43,IF(Vehi_Inputs!$C$104=4,Mat_Sum!$CA43,IF(Vehi_Inputs!$C$104=5,Mat_Sum!$BV43,IF(Vehi_Inputs!$C$104=6,Mat_Sum!$BW43,IF(Vehi_Inputs!$C$104=9,Mat_Sum!$CD43,IF(Vehi_Inputs!$C$104=10,Mat_Sum!$BU43,Mat_Sum!$BK43))))))))+Mat_Sum!$CE43*LiMn2O4!$E$9)+I$177*Mat_Sum!$CF43+I$178*Mat_Sum!$CO43+I$179*Mat_Sum!$CG43+I$180*Mat_Sum!$AG43+I$181*Mat_Sum!$I43+I$182*Mat_Sum!$L43+I$183*Mat_Sum!$CI43+I$184*Mat_Sum!$CJ43+I$185*Mat_Sum!$CK43+I$186*Mat_Sum!$AQ43+I$187*Mat_Sum!$AO43+I$188*Mat_Sum!$AP43+I$189*Mat_Sum!$D43+I$190*Mat_Sum!$BE43+I$191*Mat_Sum!$CM43+I$192*Mat_Sum!$CL43)+(Battery_Assembly!$F89*$C$23))*(1+$D$30)</f>
        <v>7.336277541792791</v>
      </c>
      <c r="J222" s="505">
        <f ca="1">((J$176*(IF(Vehi_Inputs!$C$105=2,Mat_Sum!$BT43,IF(Vehi_Inputs!$C$105=3,Mat_Sum!$BZ43,IF(Vehi_Inputs!$C$105=4,Mat_Sum!$CA43,Mat_Sum!$BK43)))+Mat_Sum!$CE43*LiMn2O4!$E$9)+J$177*Mat_Sum!$CF43+J$178*Mat_Sum!$CO43+J$179*Mat_Sum!$CG43+J$180*Mat_Sum!$AG43+J$181*Mat_Sum!$I43+J$182*Mat_Sum!$L43+J$183*Mat_Sum!$CI43+J$184*Mat_Sum!$CJ43+J$185*Mat_Sum!$CK43+J$186*Mat_Sum!$AQ43+J$187*Mat_Sum!$AO43+J$188*Mat_Sum!$AP43+J$189*Mat_Sum!$D43+J$190*Mat_Sum!$BE43+J$191*Mat_Sum!$CM43+J$192*Mat_Sum!$CL43)+(Battery_Assembly!$F89*$J$47/2.2046*$C$41/1000))*(1+$D$31)</f>
        <v>0.46037948732724049</v>
      </c>
      <c r="K222" s="502">
        <f ca="1">((K$176*(IF(Vehi_Inputs!$C$105=2,Mat_Sum!$BT43,IF(Vehi_Inputs!$C$105=3,Mat_Sum!$BZ43,IF(Vehi_Inputs!$C$105=4,Mat_Sum!$CA43,Mat_Sum!$BK43)))+Mat_Sum!$CE43*LiMn2O4!$E$9)+K$177*Mat_Sum!$CF43+K$178*Mat_Sum!$CO43+K$179*Mat_Sum!$CG43+K$180*Mat_Sum!$AG43+K$181*Mat_Sum!$I43+K$182*Mat_Sum!$L43+K$183*Mat_Sum!$CI43+K$184*Mat_Sum!$CJ43+K$185*Mat_Sum!$CK43+K$186*Mat_Sum!$AQ43+K$187*Mat_Sum!$AO43+K$188*Mat_Sum!$AP43+K$189*Mat_Sum!$D43+K$190*Mat_Sum!$BE43+K$191*Mat_Sum!$CM43+K$192*Mat_Sum!$CL43)+(Battery_Assembly!$F89*$K$47/2.2046*$C$41/1000))*(1+$D$31)</f>
        <v>0.43349285532684811</v>
      </c>
      <c r="L222" s="1321"/>
      <c r="M222" s="1321"/>
      <c r="N222" s="1321"/>
      <c r="O222" s="1321"/>
      <c r="P222" s="1321"/>
      <c r="Q222" s="1321"/>
      <c r="R222" s="1321"/>
      <c r="S222" s="1321"/>
      <c r="T222" s="1318"/>
      <c r="V222" s="1321"/>
      <c r="W222" s="1321"/>
      <c r="X222" s="1321"/>
      <c r="Y222" s="1321"/>
      <c r="Z222" s="1321"/>
      <c r="AA222" s="1321"/>
      <c r="AB222" s="1321"/>
      <c r="AC222" s="1321"/>
    </row>
    <row r="223" spans="1:33" s="64" customFormat="1">
      <c r="L223" s="1321"/>
      <c r="M223" s="1321"/>
      <c r="N223" s="1321"/>
      <c r="O223" s="1321"/>
      <c r="P223" s="1321"/>
      <c r="Q223" s="1321"/>
      <c r="R223" s="1321"/>
      <c r="S223" s="1321"/>
      <c r="T223" s="1321"/>
      <c r="V223" s="1321"/>
      <c r="W223" s="1321"/>
      <c r="X223" s="1321"/>
      <c r="Y223" s="1321"/>
      <c r="Z223" s="1321"/>
      <c r="AA223" s="1321"/>
      <c r="AB223" s="1321"/>
      <c r="AC223" s="1321"/>
    </row>
    <row r="224" spans="1:33" s="64" customFormat="1" ht="15">
      <c r="A224" s="381" t="s">
        <v>1524</v>
      </c>
    </row>
    <row r="225" spans="1:11" s="64" customFormat="1" ht="51">
      <c r="A225" s="1352"/>
      <c r="B225" s="1658" t="s">
        <v>141</v>
      </c>
      <c r="C225" s="1658" t="s">
        <v>142</v>
      </c>
      <c r="D225" s="1658" t="s">
        <v>143</v>
      </c>
      <c r="E225" s="1658" t="s">
        <v>144</v>
      </c>
      <c r="F225" s="1658" t="s">
        <v>145</v>
      </c>
      <c r="G225" s="1658" t="s">
        <v>146</v>
      </c>
      <c r="H225" s="1658" t="s">
        <v>147</v>
      </c>
      <c r="I225" s="1658" t="s">
        <v>148</v>
      </c>
      <c r="J225" s="1658" t="s">
        <v>149</v>
      </c>
      <c r="K225" s="1226" t="s">
        <v>150</v>
      </c>
    </row>
    <row r="226" spans="1:11" s="64" customFormat="1">
      <c r="A226" s="878" t="s">
        <v>1501</v>
      </c>
      <c r="B226" s="496"/>
      <c r="C226" s="496"/>
      <c r="D226" s="496"/>
      <c r="E226" s="496"/>
      <c r="F226" s="496"/>
      <c r="G226" s="496"/>
      <c r="H226" s="496"/>
      <c r="I226" s="496"/>
      <c r="J226" s="496"/>
      <c r="K226" s="497"/>
    </row>
    <row r="227" spans="1:11" s="64" customFormat="1">
      <c r="A227" s="491" t="s">
        <v>816</v>
      </c>
      <c r="B227" s="496">
        <f t="shared" ref="B227:C229" ca="1" si="14">B99</f>
        <v>0.7465843662943501</v>
      </c>
      <c r="C227" s="496">
        <f t="shared" ca="1" si="14"/>
        <v>0.48527983809132769</v>
      </c>
      <c r="D227" s="496">
        <f ca="1">IF(B$5=1,(D99+D143),(D99+D194))</f>
        <v>5.2968337293315884</v>
      </c>
      <c r="E227" s="496">
        <f ca="1">IF(B$5=1,(E99+E143),(E99+E194))</f>
        <v>3.6389303741945662</v>
      </c>
      <c r="F227" s="496">
        <f ca="1">IF(B$6=1,(F99+F143),(F99+F194))</f>
        <v>10.413780468202049</v>
      </c>
      <c r="G227" s="496">
        <f ca="1">IF(B$6=1,(G99+G143),(G99+G194))</f>
        <v>8.2166270425898418</v>
      </c>
      <c r="H227" s="496">
        <f ca="1">IF(B$7=1,(H99+H143),(H99+H194))</f>
        <v>71.936318228366702</v>
      </c>
      <c r="I227" s="496">
        <f ca="1">IF(B$7=1,(I99+I143),(I99+I194))</f>
        <v>61.620362923719917</v>
      </c>
      <c r="J227" s="496">
        <f ca="1">IF(B$8=1,(J99+J143),(J99+J194))</f>
        <v>4.8936242432213604</v>
      </c>
      <c r="K227" s="497">
        <f ca="1">IF(B$8=1,(K99+K143),(K99+K194))</f>
        <v>4.47418599259169</v>
      </c>
    </row>
    <row r="228" spans="1:11" s="64" customFormat="1">
      <c r="A228" s="491" t="s">
        <v>817</v>
      </c>
      <c r="B228" s="496">
        <f t="shared" ca="1" si="14"/>
        <v>0.70944391931442474</v>
      </c>
      <c r="C228" s="496">
        <f t="shared" ca="1" si="14"/>
        <v>0.46113854755437617</v>
      </c>
      <c r="D228" s="496">
        <f ca="1">IF(B$5=1,(D100+D144),(D100+D195))</f>
        <v>4.6780080241460622</v>
      </c>
      <c r="E228" s="496">
        <f ca="1">IF(B$5=1,(E100+E144),(E100+E195))</f>
        <v>3.2125511014073851</v>
      </c>
      <c r="F228" s="496">
        <f ca="1">IF(B$6=1,(F100+F144),(F100+F195))</f>
        <v>9.1915067849406</v>
      </c>
      <c r="G228" s="496">
        <f ca="1">IF(B$6=1,(G100+G144),(G100+G195))</f>
        <v>7.2477281283660657</v>
      </c>
      <c r="H228" s="496">
        <f ca="1">IF(B$7=1,(H100+H144),(H100+H195))</f>
        <v>64.202188726443993</v>
      </c>
      <c r="I228" s="496">
        <f ca="1">IF(B$7=1,(I100+I144),(I100+I195))</f>
        <v>54.989833675307871</v>
      </c>
      <c r="J228" s="496">
        <f ca="1">IF(B$8=1,(J100+J144),(J100+J195))</f>
        <v>4.3244673373216438</v>
      </c>
      <c r="K228" s="497">
        <f ca="1">IF(B$8=1,(K100+K144),(K100+K195))</f>
        <v>3.9449169191137328</v>
      </c>
    </row>
    <row r="229" spans="1:11" s="64" customFormat="1">
      <c r="A229" s="491" t="s">
        <v>805</v>
      </c>
      <c r="B229" s="496">
        <f t="shared" ca="1" si="14"/>
        <v>0.31740980568035321</v>
      </c>
      <c r="C229" s="496">
        <f t="shared" ca="1" si="14"/>
        <v>0.20631637369222966</v>
      </c>
      <c r="D229" s="496">
        <f ca="1">IF(B$5=1,(D101+D145),(D101+D196))</f>
        <v>1.4531946465819394</v>
      </c>
      <c r="E229" s="496">
        <f ca="1">IF(B$5=1,(E101+E145),(E101+E196))</f>
        <v>0.99554674995816561</v>
      </c>
      <c r="F229" s="496">
        <f ca="1">IF(B$6=1,(F101+F145),(F101+F196))</f>
        <v>2.4038663836679808</v>
      </c>
      <c r="G229" s="496">
        <f ca="1">IF(B$6=1,(G101+G145),(G101+G196))</f>
        <v>1.8837358421406876</v>
      </c>
      <c r="H229" s="496">
        <f ca="1">IF(B$7=1,(H101+H145),(H101+H196))</f>
        <v>16.398065163992623</v>
      </c>
      <c r="I229" s="496">
        <f ca="1">IF(B$7=1,(I101+I145),(I101+I196))</f>
        <v>14.0277254306011</v>
      </c>
      <c r="J229" s="496">
        <f ca="1">IF(B$8=1,(J101+J145),(J101+J196))</f>
        <v>1.3483329565046722</v>
      </c>
      <c r="K229" s="497">
        <f ca="1">IF(B$8=1,(K101+K145),(K101+K196))</f>
        <v>1.2127696050963301</v>
      </c>
    </row>
    <row r="230" spans="1:11" s="64" customFormat="1">
      <c r="A230" s="491" t="s">
        <v>804</v>
      </c>
      <c r="B230" s="496">
        <f t="shared" ref="B230:K230" ca="1" si="15">B228-B229-B231</f>
        <v>0.24323099461409153</v>
      </c>
      <c r="C230" s="496">
        <f t="shared" ca="1" si="15"/>
        <v>0.15810014649915949</v>
      </c>
      <c r="D230" s="496">
        <f t="shared" ca="1" si="15"/>
        <v>2.5331744799756448</v>
      </c>
      <c r="E230" s="496">
        <f t="shared" ca="1" si="15"/>
        <v>1.743123757249641</v>
      </c>
      <c r="F230" s="496">
        <f t="shared" ca="1" si="15"/>
        <v>5.5715701572394112</v>
      </c>
      <c r="G230" s="496">
        <f t="shared" ca="1" si="15"/>
        <v>4.4099956301234018</v>
      </c>
      <c r="H230" s="496">
        <f t="shared" ca="1" si="15"/>
        <v>38.346519031192678</v>
      </c>
      <c r="I230" s="496">
        <f t="shared" ca="1" si="15"/>
        <v>32.867226725032381</v>
      </c>
      <c r="J230" s="496">
        <f t="shared" ca="1" si="15"/>
        <v>2.3345196757385365</v>
      </c>
      <c r="K230" s="497">
        <f t="shared" ca="1" si="15"/>
        <v>2.1546407157451659</v>
      </c>
    </row>
    <row r="231" spans="1:11" s="64" customFormat="1">
      <c r="A231" s="491" t="s">
        <v>818</v>
      </c>
      <c r="B231" s="496">
        <f ca="1">B103</f>
        <v>0.14880311901998</v>
      </c>
      <c r="C231" s="496">
        <f ca="1">C103</f>
        <v>9.6722027362987018E-2</v>
      </c>
      <c r="D231" s="496">
        <f ca="1">IF(B$5=1,(D103+D147),(D103+D198))</f>
        <v>0.69163889758847819</v>
      </c>
      <c r="E231" s="496">
        <f ca="1">IF(B$5=1,(E103+E147),(E103+E198))</f>
        <v>0.47388059419957834</v>
      </c>
      <c r="F231" s="496">
        <f ca="1">IF(B$6=1,(F103+F147),(F103+F198))</f>
        <v>1.2160702440332078</v>
      </c>
      <c r="G231" s="496">
        <f ca="1">IF(B$6=1,(G103+G147),(G103+G198))</f>
        <v>0.95399665610197626</v>
      </c>
      <c r="H231" s="496">
        <f ca="1">IF(B$7=1,(H103+H147),(H103+H198))</f>
        <v>9.4576045312586885</v>
      </c>
      <c r="I231" s="496">
        <f ca="1">IF(B$7=1,(I103+I147),(I103+I198))</f>
        <v>8.0948815196743897</v>
      </c>
      <c r="J231" s="496">
        <f ca="1">IF(B$8=1,(J103+J147),(J103+J198))</f>
        <v>0.6416147050784351</v>
      </c>
      <c r="K231" s="497">
        <f ca="1">IF(B$8=1,(K103+K147),(K103+K198))</f>
        <v>0.57750659827223672</v>
      </c>
    </row>
    <row r="232" spans="1:11" s="64" customFormat="1">
      <c r="A232" s="491" t="s">
        <v>819</v>
      </c>
      <c r="B232" s="535">
        <f ca="1">B104</f>
        <v>18.235997265678336</v>
      </c>
      <c r="C232" s="535">
        <f ca="1">C104</f>
        <v>11.85339822269092</v>
      </c>
      <c r="D232" s="535">
        <f ca="1">IF(B$5=1,(D104+D148),(D104+D199))</f>
        <v>290.11580948985181</v>
      </c>
      <c r="E232" s="535">
        <f ca="1">IF(B$5=1,(E104+E148),(E104+E199))</f>
        <v>199.8732248307744</v>
      </c>
      <c r="F232" s="535">
        <f ca="1">IF(B$6=1,(F104+F148),(F104+F199))</f>
        <v>799.08061923109346</v>
      </c>
      <c r="G232" s="535">
        <f ca="1">IF(B$6=1,(G104+G148),(G104+G199))</f>
        <v>633.97252546550158</v>
      </c>
      <c r="H232" s="535">
        <f ca="1">IF(B$7=1,(H104+H148),(H104+H199))</f>
        <v>6068.0170727984132</v>
      </c>
      <c r="I232" s="535">
        <f ca="1">IF(B$7=1,(I104+I148),(I104+I199))</f>
        <v>5203.549860535778</v>
      </c>
      <c r="J232" s="535">
        <f ca="1">IF(B$8=1,(J104+J148),(J104+J199))</f>
        <v>266.8723986089808</v>
      </c>
      <c r="K232" s="599">
        <f ca="1">IF(B$8=1,(K104+K148),(K104+K199))</f>
        <v>248.02236367234664</v>
      </c>
    </row>
    <row r="233" spans="1:11" s="64" customFormat="1">
      <c r="A233" s="851" t="s">
        <v>1520</v>
      </c>
      <c r="B233" s="506"/>
      <c r="C233" s="506"/>
      <c r="D233" s="506"/>
      <c r="E233" s="506"/>
      <c r="F233" s="506"/>
      <c r="G233" s="506"/>
      <c r="H233" s="506"/>
      <c r="I233" s="506"/>
      <c r="J233" s="506"/>
      <c r="K233" s="507"/>
    </row>
    <row r="234" spans="1:11" s="64" customFormat="1">
      <c r="A234" s="491" t="s">
        <v>821</v>
      </c>
      <c r="B234" s="496">
        <f t="shared" ref="B234:C246" ca="1" si="16">B106</f>
        <v>20.932199749037338</v>
      </c>
      <c r="C234" s="496">
        <f t="shared" ca="1" si="16"/>
        <v>13.605929836874276</v>
      </c>
      <c r="D234" s="496">
        <f t="shared" ref="D234:D246" ca="1" si="17">IF(B$5=1,(D106+D150),(D106+D201))</f>
        <v>106.41456637603335</v>
      </c>
      <c r="E234" s="496">
        <f t="shared" ref="E234:E246" ca="1" si="18">IF(B$5=1,(E106+E150),(E106+E201))</f>
        <v>72.959385050320606</v>
      </c>
      <c r="F234" s="496">
        <f t="shared" ref="F234:F246" ca="1" si="19">IF(B$6=1,(F106+F150),(F106+F201))</f>
        <v>129.08070358964579</v>
      </c>
      <c r="G234" s="496">
        <f t="shared" ref="G234:G246" ca="1" si="20">IF(B$6=1,(G106+G150),(G106+G201))</f>
        <v>100.8040969183059</v>
      </c>
      <c r="H234" s="496">
        <f t="shared" ref="H234:H246" ca="1" si="21">IF(B$7=1,(H106+H150),(H106+H201))</f>
        <v>887.06014081022056</v>
      </c>
      <c r="I234" s="496">
        <f t="shared" ref="I234:I246" ca="1" si="22">IF(B$7=1,(I106+I150),(I106+I201))</f>
        <v>758.35547417582848</v>
      </c>
      <c r="J234" s="496">
        <f t="shared" ref="J234:J246" ca="1" si="23">IF(B$8=1,(J106+J150),(J106+J201))</f>
        <v>98.617522994028491</v>
      </c>
      <c r="K234" s="497">
        <f t="shared" ref="K234:K246" ca="1" si="24">IF(B$8=1,(K106+K150),(K106+K201))</f>
        <v>89.111099025436005</v>
      </c>
    </row>
    <row r="235" spans="1:11" s="64" customFormat="1">
      <c r="A235" s="491" t="s">
        <v>822</v>
      </c>
      <c r="B235" s="496">
        <f t="shared" ca="1" si="16"/>
        <v>36.869912343632578</v>
      </c>
      <c r="C235" s="496">
        <f t="shared" ca="1" si="16"/>
        <v>23.965443023361182</v>
      </c>
      <c r="D235" s="496">
        <f t="shared" ca="1" si="17"/>
        <v>502.71184870667719</v>
      </c>
      <c r="E235" s="496">
        <f t="shared" ca="1" si="18"/>
        <v>346.2086947913586</v>
      </c>
      <c r="F235" s="496">
        <f t="shared" ca="1" si="19"/>
        <v>438.00387741137752</v>
      </c>
      <c r="G235" s="496">
        <f t="shared" ca="1" si="20"/>
        <v>345.10337788283942</v>
      </c>
      <c r="H235" s="496">
        <f t="shared" ca="1" si="21"/>
        <v>3125.5483103720871</v>
      </c>
      <c r="I235" s="496">
        <f t="shared" ca="1" si="22"/>
        <v>2676.7665378513466</v>
      </c>
      <c r="J235" s="496">
        <f t="shared" ca="1" si="23"/>
        <v>462.70536417913468</v>
      </c>
      <c r="K235" s="497">
        <f t="shared" ca="1" si="24"/>
        <v>429.082838691863</v>
      </c>
    </row>
    <row r="236" spans="1:11" s="64" customFormat="1">
      <c r="A236" s="491" t="s">
        <v>823</v>
      </c>
      <c r="B236" s="496">
        <f t="shared" ca="1" si="16"/>
        <v>43.011906152276765</v>
      </c>
      <c r="C236" s="496">
        <f t="shared" ca="1" si="16"/>
        <v>27.957738998979906</v>
      </c>
      <c r="D236" s="496">
        <f t="shared" ca="1" si="17"/>
        <v>346.0739278039573</v>
      </c>
      <c r="E236" s="496">
        <f t="shared" ca="1" si="18"/>
        <v>237.89655567146627</v>
      </c>
      <c r="F236" s="496">
        <f t="shared" ca="1" si="19"/>
        <v>778.67065808186339</v>
      </c>
      <c r="G236" s="496">
        <f t="shared" ca="1" si="20"/>
        <v>615.52643697613371</v>
      </c>
      <c r="H236" s="496">
        <f t="shared" ca="1" si="21"/>
        <v>5984.2050417055352</v>
      </c>
      <c r="I236" s="496">
        <f t="shared" ca="1" si="22"/>
        <v>5128.4833811457684</v>
      </c>
      <c r="J236" s="496">
        <f t="shared" ca="1" si="23"/>
        <v>319.43481169604564</v>
      </c>
      <c r="K236" s="497">
        <f t="shared" ca="1" si="24"/>
        <v>293.07995825685049</v>
      </c>
    </row>
    <row r="237" spans="1:11" s="64" customFormat="1">
      <c r="A237" s="491" t="s">
        <v>824</v>
      </c>
      <c r="B237" s="496">
        <f t="shared" ca="1" si="16"/>
        <v>49.780803925951574</v>
      </c>
      <c r="C237" s="496">
        <f t="shared" ca="1" si="16"/>
        <v>32.357522551868527</v>
      </c>
      <c r="D237" s="496">
        <f t="shared" ca="1" si="17"/>
        <v>331.92543100281318</v>
      </c>
      <c r="E237" s="496">
        <f t="shared" ca="1" si="18"/>
        <v>227.95861857368993</v>
      </c>
      <c r="F237" s="496">
        <f t="shared" ca="1" si="19"/>
        <v>398.80922533537426</v>
      </c>
      <c r="G237" s="496">
        <f t="shared" ca="1" si="20"/>
        <v>312.77484269172066</v>
      </c>
      <c r="H237" s="496">
        <f t="shared" ca="1" si="21"/>
        <v>3213.9158292443876</v>
      </c>
      <c r="I237" s="496">
        <f t="shared" ca="1" si="22"/>
        <v>2750.9309133136094</v>
      </c>
      <c r="J237" s="496">
        <f t="shared" ca="1" si="23"/>
        <v>306.81163554068132</v>
      </c>
      <c r="K237" s="497">
        <f t="shared" ca="1" si="24"/>
        <v>279.98229232547152</v>
      </c>
    </row>
    <row r="238" spans="1:11" s="64" customFormat="1">
      <c r="A238" s="494" t="s">
        <v>825</v>
      </c>
      <c r="B238" s="349">
        <f t="shared" ca="1" si="16"/>
        <v>24.601525076374262</v>
      </c>
      <c r="C238" s="349">
        <f t="shared" ca="1" si="16"/>
        <v>15.990991299643269</v>
      </c>
      <c r="D238" s="349">
        <f t="shared" ca="1" si="17"/>
        <v>143.76944274942861</v>
      </c>
      <c r="E238" s="349">
        <f t="shared" ca="1" si="18"/>
        <v>98.661906346639881</v>
      </c>
      <c r="F238" s="349">
        <f t="shared" ca="1" si="19"/>
        <v>141.63350361584764</v>
      </c>
      <c r="G238" s="349">
        <f t="shared" ca="1" si="20"/>
        <v>110.46122293104445</v>
      </c>
      <c r="H238" s="349">
        <f t="shared" ca="1" si="21"/>
        <v>1063.3483763263914</v>
      </c>
      <c r="I238" s="349">
        <f t="shared" ca="1" si="22"/>
        <v>909.12844864834221</v>
      </c>
      <c r="J238" s="349">
        <f t="shared" ca="1" si="23"/>
        <v>133.04720620323195</v>
      </c>
      <c r="K238" s="348">
        <f t="shared" ca="1" si="24"/>
        <v>120.87320996300735</v>
      </c>
    </row>
    <row r="239" spans="1:11">
      <c r="A239" s="494" t="s">
        <v>826</v>
      </c>
      <c r="B239" s="349">
        <f t="shared" ca="1" si="16"/>
        <v>479.07287556241079</v>
      </c>
      <c r="C239" s="349">
        <f t="shared" ca="1" si="16"/>
        <v>311.39736911556713</v>
      </c>
      <c r="D239" s="349">
        <f t="shared" ca="1" si="17"/>
        <v>23590.548006886904</v>
      </c>
      <c r="E239" s="349">
        <f t="shared" ca="1" si="18"/>
        <v>16277.500334983735</v>
      </c>
      <c r="F239" s="349">
        <f t="shared" ca="1" si="19"/>
        <v>6555.6178692742114</v>
      </c>
      <c r="G239" s="349">
        <f t="shared" ca="1" si="20"/>
        <v>5171.6683532238476</v>
      </c>
      <c r="H239" s="349">
        <f t="shared" ca="1" si="21"/>
        <v>51853.408729940638</v>
      </c>
      <c r="I239" s="349">
        <f t="shared" ca="1" si="22"/>
        <v>44424.964198971815</v>
      </c>
      <c r="J239" s="349">
        <f t="shared" ca="1" si="23"/>
        <v>21649.177152215339</v>
      </c>
      <c r="K239" s="348">
        <f t="shared" ca="1" si="24"/>
        <v>20299.084572497348</v>
      </c>
    </row>
    <row r="240" spans="1:11">
      <c r="A240" s="794" t="s">
        <v>827</v>
      </c>
      <c r="B240" s="349">
        <f t="shared" ca="1" si="16"/>
        <v>0.21484921430244031</v>
      </c>
      <c r="C240" s="349">
        <f t="shared" ca="1" si="16"/>
        <v>0.13965198929658623</v>
      </c>
      <c r="D240" s="349">
        <f t="shared" ca="1" si="17"/>
        <v>2.3942760747842344</v>
      </c>
      <c r="E240" s="349">
        <f t="shared" ca="1" si="18"/>
        <v>1.6479193314983573</v>
      </c>
      <c r="F240" s="349">
        <f t="shared" ca="1" si="19"/>
        <v>6.0660479396638332</v>
      </c>
      <c r="G240" s="349">
        <f t="shared" ca="1" si="20"/>
        <v>4.805844095260956</v>
      </c>
      <c r="H240" s="349">
        <f t="shared" ca="1" si="21"/>
        <v>47.059456334938901</v>
      </c>
      <c r="I240" s="349">
        <f t="shared" ca="1" si="22"/>
        <v>40.345858727437488</v>
      </c>
      <c r="J240" s="349">
        <f t="shared" ca="1" si="23"/>
        <v>2.2057441992457076</v>
      </c>
      <c r="K240" s="348">
        <f t="shared" ca="1" si="24"/>
        <v>2.038466463237846</v>
      </c>
    </row>
    <row r="241" spans="1:11">
      <c r="A241" s="794" t="s">
        <v>828</v>
      </c>
      <c r="B241" s="349">
        <f t="shared" ca="1" si="16"/>
        <v>0.51648963527125735</v>
      </c>
      <c r="C241" s="349">
        <f t="shared" ca="1" si="16"/>
        <v>0.33571826292631735</v>
      </c>
      <c r="D241" s="349">
        <f t="shared" ca="1" si="17"/>
        <v>5.3280357725112406</v>
      </c>
      <c r="E241" s="349">
        <f t="shared" ca="1" si="18"/>
        <v>3.6661971359740964</v>
      </c>
      <c r="F241" s="349">
        <f t="shared" ca="1" si="19"/>
        <v>13.470708778785269</v>
      </c>
      <c r="G241" s="349">
        <f t="shared" ca="1" si="20"/>
        <v>10.668692775198483</v>
      </c>
      <c r="H241" s="349">
        <f t="shared" ca="1" si="21"/>
        <v>99.215713647687693</v>
      </c>
      <c r="I241" s="349">
        <f t="shared" ca="1" si="22"/>
        <v>85.053290513443514</v>
      </c>
      <c r="J241" s="349">
        <f t="shared" ca="1" si="23"/>
        <v>4.9104550663841051</v>
      </c>
      <c r="K241" s="348">
        <f t="shared" ca="1" si="24"/>
        <v>4.5312229921157341</v>
      </c>
    </row>
    <row r="242" spans="1:11">
      <c r="A242" s="494" t="s">
        <v>829</v>
      </c>
      <c r="B242" s="349">
        <f t="shared" ca="1" si="16"/>
        <v>177.34847666883201</v>
      </c>
      <c r="C242" s="349">
        <f t="shared" ca="1" si="16"/>
        <v>115.27650983474085</v>
      </c>
      <c r="D242" s="349">
        <f t="shared" ca="1" si="17"/>
        <v>894.47959937080714</v>
      </c>
      <c r="E242" s="349">
        <f t="shared" ca="1" si="18"/>
        <v>613.23348666872471</v>
      </c>
      <c r="F242" s="349">
        <f t="shared" ca="1" si="19"/>
        <v>1577.5052209923178</v>
      </c>
      <c r="G242" s="349">
        <f t="shared" ca="1" si="20"/>
        <v>1238.939129424351</v>
      </c>
      <c r="H242" s="349">
        <f t="shared" ca="1" si="21"/>
        <v>10695.229103040661</v>
      </c>
      <c r="I242" s="349">
        <f t="shared" ca="1" si="22"/>
        <v>9153.0217337974773</v>
      </c>
      <c r="J242" s="349">
        <f t="shared" ca="1" si="23"/>
        <v>829.01232169254888</v>
      </c>
      <c r="K242" s="348">
        <f t="shared" ca="1" si="24"/>
        <v>748.85011620154626</v>
      </c>
    </row>
    <row r="243" spans="1:11">
      <c r="A243" s="494" t="s">
        <v>830</v>
      </c>
      <c r="B243" s="349">
        <f t="shared" ca="1" si="16"/>
        <v>0.61285299645038227</v>
      </c>
      <c r="C243" s="349">
        <f t="shared" ca="1" si="16"/>
        <v>0.39835444769274853</v>
      </c>
      <c r="D243" s="349">
        <f t="shared" ca="1" si="17"/>
        <v>13.177989396505758</v>
      </c>
      <c r="E243" s="349">
        <f t="shared" ca="1" si="18"/>
        <v>9.084240390966011</v>
      </c>
      <c r="F243" s="349">
        <f t="shared" ca="1" si="19"/>
        <v>19.585149647329573</v>
      </c>
      <c r="G243" s="349">
        <f t="shared" ca="1" si="20"/>
        <v>15.523606361054343</v>
      </c>
      <c r="H243" s="349">
        <f t="shared" ca="1" si="21"/>
        <v>150.08268226798324</v>
      </c>
      <c r="I243" s="349">
        <f t="shared" ca="1" si="22"/>
        <v>128.68081643837911</v>
      </c>
      <c r="J243" s="349">
        <f t="shared" ca="1" si="23"/>
        <v>12.111175594670518</v>
      </c>
      <c r="K243" s="348">
        <f t="shared" ca="1" si="24"/>
        <v>11.294164146387999</v>
      </c>
    </row>
    <row r="244" spans="1:11">
      <c r="A244" s="630" t="s">
        <v>831</v>
      </c>
      <c r="B244" s="246">
        <f t="shared" ca="1" si="16"/>
        <v>33034.394369044618</v>
      </c>
      <c r="C244" s="246">
        <f t="shared" ca="1" si="16"/>
        <v>21472.356339879007</v>
      </c>
      <c r="D244" s="246">
        <f t="shared" ca="1" si="17"/>
        <v>291334.65446241054</v>
      </c>
      <c r="E244" s="246">
        <f t="shared" ca="1" si="18"/>
        <v>200346.86558116548</v>
      </c>
      <c r="F244" s="246">
        <f t="shared" ca="1" si="19"/>
        <v>641571.35031815502</v>
      </c>
      <c r="G244" s="246">
        <f t="shared" ca="1" si="20"/>
        <v>507366.3170663885</v>
      </c>
      <c r="H244" s="246">
        <f t="shared" ca="1" si="21"/>
        <v>4575182.7819898669</v>
      </c>
      <c r="I244" s="246">
        <f t="shared" ca="1" si="22"/>
        <v>3920927.537334573</v>
      </c>
      <c r="J244" s="246">
        <f t="shared" ca="1" si="23"/>
        <v>268746.7207901256</v>
      </c>
      <c r="K244" s="247">
        <f t="shared" ca="1" si="24"/>
        <v>247138.17173262819</v>
      </c>
    </row>
    <row r="245" spans="1:11">
      <c r="A245" s="630" t="s">
        <v>850</v>
      </c>
      <c r="B245" s="246">
        <f t="shared" ca="1" si="16"/>
        <v>33157.571491945302</v>
      </c>
      <c r="C245" s="246">
        <f t="shared" ca="1" si="16"/>
        <v>21552.421469764449</v>
      </c>
      <c r="D245" s="246">
        <f t="shared" ca="1" si="17"/>
        <v>292456.28895653586</v>
      </c>
      <c r="E245" s="246">
        <f t="shared" ca="1" si="18"/>
        <v>201118.29789924444</v>
      </c>
      <c r="F245" s="246">
        <f t="shared" ca="1" si="19"/>
        <v>642661.94365170319</v>
      </c>
      <c r="G245" s="246">
        <f t="shared" ca="1" si="20"/>
        <v>508222.79514321877</v>
      </c>
      <c r="H245" s="246">
        <f t="shared" ca="1" si="21"/>
        <v>4582859.0286783576</v>
      </c>
      <c r="I245" s="246">
        <f t="shared" ca="1" si="22"/>
        <v>3927497.4259790438</v>
      </c>
      <c r="J245" s="246">
        <f t="shared" ca="1" si="23"/>
        <v>269781.18716621469</v>
      </c>
      <c r="K245" s="247">
        <f t="shared" ca="1" si="24"/>
        <v>248090.17435682082</v>
      </c>
    </row>
    <row r="246" spans="1:11">
      <c r="A246" s="756" t="s">
        <v>851</v>
      </c>
      <c r="B246" s="294">
        <f t="shared" ca="1" si="16"/>
        <v>38640.431836069605</v>
      </c>
      <c r="C246" s="294">
        <f t="shared" ca="1" si="16"/>
        <v>25116.280693445246</v>
      </c>
      <c r="D246" s="294">
        <f t="shared" ca="1" si="17"/>
        <v>333423.92825018265</v>
      </c>
      <c r="E246" s="294">
        <f t="shared" ca="1" si="18"/>
        <v>229270.35777125659</v>
      </c>
      <c r="F246" s="294">
        <f t="shared" ca="1" si="19"/>
        <v>700065.11584547465</v>
      </c>
      <c r="G246" s="294">
        <f t="shared" ca="1" si="20"/>
        <v>553392.67243088142</v>
      </c>
      <c r="H246" s="294">
        <f t="shared" ca="1" si="21"/>
        <v>4977988.1915560793</v>
      </c>
      <c r="I246" s="294">
        <f t="shared" ca="1" si="22"/>
        <v>4265787.08393656</v>
      </c>
      <c r="J246" s="294">
        <f t="shared" ca="1" si="23"/>
        <v>307615.34547078941</v>
      </c>
      <c r="K246" s="296">
        <f t="shared" ca="1" si="24"/>
        <v>282733.29580209055</v>
      </c>
    </row>
    <row r="247" spans="1:11">
      <c r="A247" s="797" t="s">
        <v>1521</v>
      </c>
      <c r="B247" s="389"/>
      <c r="C247" s="389"/>
      <c r="D247" s="389"/>
      <c r="E247" s="389"/>
      <c r="F247" s="389"/>
      <c r="G247" s="389"/>
      <c r="H247" s="389"/>
      <c r="I247" s="389"/>
      <c r="J247" s="389"/>
      <c r="K247" s="391"/>
    </row>
    <row r="248" spans="1:11">
      <c r="A248" s="494" t="s">
        <v>821</v>
      </c>
      <c r="B248" s="349">
        <f t="shared" ref="B248:C255" ca="1" si="25">B120</f>
        <v>1.0167836966715877</v>
      </c>
      <c r="C248" s="349">
        <f t="shared" ca="1" si="25"/>
        <v>0.6609094028365321</v>
      </c>
      <c r="D248" s="349">
        <f t="shared" ref="D248:D255" ca="1" si="26">IF(B$5=1,(D120+D164),(D120+D215))</f>
        <v>4.0201399563704383</v>
      </c>
      <c r="E248" s="349">
        <f t="shared" ref="E248:E255" ca="1" si="27">IF(B$5=1,(E120+E164),(E120+E215))</f>
        <v>2.7506469549417285</v>
      </c>
      <c r="F248" s="349">
        <f t="shared" ref="F248:F255" ca="1" si="28">IF(B$6=1,(F120+F164),(F120+F215))</f>
        <v>7.9731533356343354</v>
      </c>
      <c r="G248" s="349">
        <f t="shared" ref="G248:G255" ca="1" si="29">IF(B$6=1,(G120+G164),(G120+G215))</f>
        <v>6.2511962158837724</v>
      </c>
      <c r="H248" s="349">
        <f t="shared" ref="H248:H255" ca="1" si="30">IF(B$7=1,(H120+H164),(H120+H215))</f>
        <v>52.806105763271994</v>
      </c>
      <c r="I248" s="349">
        <f t="shared" ref="I248:I255" ca="1" si="31">IF(B$7=1,(I120+I164),(I120+I215))</f>
        <v>45.173669189290472</v>
      </c>
      <c r="J248" s="349">
        <f t="shared" ref="J248:J255" ca="1" si="32">IF(B$8=1,(J120+J164),(J120+J215))</f>
        <v>3.737144314016799</v>
      </c>
      <c r="K248" s="348">
        <f t="shared" ref="K248:K255" ca="1" si="33">IF(B$8=1,(K120+K164),(K120+K215))</f>
        <v>3.336877458936276</v>
      </c>
    </row>
    <row r="249" spans="1:11">
      <c r="A249" s="494" t="s">
        <v>822</v>
      </c>
      <c r="B249" s="349">
        <f t="shared" ca="1" si="25"/>
        <v>2.3721448224215012</v>
      </c>
      <c r="C249" s="349">
        <f t="shared" ca="1" si="25"/>
        <v>1.5418941345739756</v>
      </c>
      <c r="D249" s="349">
        <f t="shared" ca="1" si="26"/>
        <v>14.33092156374113</v>
      </c>
      <c r="E249" s="349">
        <f t="shared" ca="1" si="27"/>
        <v>9.8366000910278082</v>
      </c>
      <c r="F249" s="349">
        <f t="shared" ca="1" si="28"/>
        <v>27.446840306797355</v>
      </c>
      <c r="G249" s="349">
        <f t="shared" ca="1" si="29"/>
        <v>21.619860995304862</v>
      </c>
      <c r="H249" s="349">
        <f t="shared" ca="1" si="30"/>
        <v>181.17775578534324</v>
      </c>
      <c r="I249" s="349">
        <f t="shared" ca="1" si="31"/>
        <v>155.13336756241858</v>
      </c>
      <c r="J249" s="349">
        <f t="shared" ca="1" si="32"/>
        <v>13.258030890054108</v>
      </c>
      <c r="K249" s="348">
        <f t="shared" ca="1" si="33"/>
        <v>12.059112194520283</v>
      </c>
    </row>
    <row r="250" spans="1:11">
      <c r="A250" s="494" t="s">
        <v>823</v>
      </c>
      <c r="B250" s="349">
        <f t="shared" ca="1" si="25"/>
        <v>2.9026476123166209</v>
      </c>
      <c r="C250" s="349">
        <f t="shared" ca="1" si="25"/>
        <v>1.8867209480058036</v>
      </c>
      <c r="D250" s="349">
        <f t="shared" ca="1" si="26"/>
        <v>32.38440972509359</v>
      </c>
      <c r="E250" s="349">
        <f t="shared" ca="1" si="27"/>
        <v>22.289448967148068</v>
      </c>
      <c r="F250" s="349">
        <f t="shared" ca="1" si="28"/>
        <v>64.47666084055534</v>
      </c>
      <c r="G250" s="349">
        <f t="shared" ca="1" si="29"/>
        <v>51.02656527132789</v>
      </c>
      <c r="H250" s="349">
        <f t="shared" ca="1" si="30"/>
        <v>431.40872532501345</v>
      </c>
      <c r="I250" s="349">
        <f t="shared" ca="1" si="31"/>
        <v>369.74398478344199</v>
      </c>
      <c r="J250" s="349">
        <f t="shared" ca="1" si="32"/>
        <v>29.834200866917918</v>
      </c>
      <c r="K250" s="348">
        <f t="shared" ca="1" si="33"/>
        <v>27.57225195233141</v>
      </c>
    </row>
    <row r="251" spans="1:11">
      <c r="A251" s="494" t="s">
        <v>824</v>
      </c>
      <c r="B251" s="349">
        <f t="shared" ca="1" si="25"/>
        <v>0.39224460333131805</v>
      </c>
      <c r="C251" s="349">
        <f t="shared" ca="1" si="25"/>
        <v>0.25495899216535678</v>
      </c>
      <c r="D251" s="349">
        <f t="shared" ca="1" si="26"/>
        <v>3.7932577104891982</v>
      </c>
      <c r="E251" s="349">
        <f t="shared" ca="1" si="27"/>
        <v>2.6095132937424066</v>
      </c>
      <c r="F251" s="349">
        <f t="shared" ca="1" si="28"/>
        <v>7.1890665117688197</v>
      </c>
      <c r="G251" s="349">
        <f t="shared" ca="1" si="29"/>
        <v>5.6832737019522765</v>
      </c>
      <c r="H251" s="349">
        <f t="shared" ca="1" si="30"/>
        <v>46.559255013635692</v>
      </c>
      <c r="I251" s="349">
        <f t="shared" ca="1" si="31"/>
        <v>39.894082870199057</v>
      </c>
      <c r="J251" s="349">
        <f t="shared" ca="1" si="32"/>
        <v>3.4972191212510122</v>
      </c>
      <c r="K251" s="348">
        <f t="shared" ca="1" si="33"/>
        <v>3.2227624940748525</v>
      </c>
    </row>
    <row r="252" spans="1:11" s="64" customFormat="1">
      <c r="A252" s="494" t="s">
        <v>825</v>
      </c>
      <c r="B252" s="349">
        <f t="shared" ca="1" si="25"/>
        <v>0.33141125642966485</v>
      </c>
      <c r="C252" s="349">
        <f t="shared" ca="1" si="25"/>
        <v>0.21541731667928218</v>
      </c>
      <c r="D252" s="349">
        <f t="shared" ca="1" si="26"/>
        <v>3.277278594566662</v>
      </c>
      <c r="E252" s="349">
        <f t="shared" ca="1" si="27"/>
        <v>2.2547393503745994</v>
      </c>
      <c r="F252" s="349">
        <f t="shared" ca="1" si="28"/>
        <v>6.2163234048384037</v>
      </c>
      <c r="G252" s="349">
        <f t="shared" ca="1" si="29"/>
        <v>4.9149700897146609</v>
      </c>
      <c r="H252" s="349">
        <f t="shared" ca="1" si="30"/>
        <v>40.114178903929037</v>
      </c>
      <c r="I252" s="349">
        <f t="shared" ca="1" si="31"/>
        <v>34.372483388293844</v>
      </c>
      <c r="J252" s="349">
        <f t="shared" ca="1" si="32"/>
        <v>3.0211261882739913</v>
      </c>
      <c r="K252" s="348">
        <f t="shared" ca="1" si="33"/>
        <v>2.7853636136723319</v>
      </c>
    </row>
    <row r="253" spans="1:11">
      <c r="A253" s="494" t="s">
        <v>826</v>
      </c>
      <c r="B253" s="349">
        <f t="shared" ca="1" si="25"/>
        <v>5.1909062633506657</v>
      </c>
      <c r="C253" s="349">
        <f t="shared" ca="1" si="25"/>
        <v>3.3740890711779326</v>
      </c>
      <c r="D253" s="349">
        <f t="shared" ca="1" si="26"/>
        <v>33.614283092241777</v>
      </c>
      <c r="E253" s="349">
        <f t="shared" ca="1" si="27"/>
        <v>23.081783661483051</v>
      </c>
      <c r="F253" s="349">
        <f t="shared" ca="1" si="28"/>
        <v>59.217505514361655</v>
      </c>
      <c r="G253" s="349">
        <f t="shared" ca="1" si="29"/>
        <v>46.639086858846603</v>
      </c>
      <c r="H253" s="349">
        <f t="shared" ca="1" si="30"/>
        <v>383.10418720322787</v>
      </c>
      <c r="I253" s="349">
        <f t="shared" ca="1" si="31"/>
        <v>328.01044738652786</v>
      </c>
      <c r="J253" s="349">
        <f t="shared" ca="1" si="32"/>
        <v>31.07864616672089</v>
      </c>
      <c r="K253" s="348">
        <f t="shared" ca="1" si="33"/>
        <v>28.334400629124417</v>
      </c>
    </row>
    <row r="254" spans="1:11">
      <c r="A254" s="494" t="s">
        <v>827</v>
      </c>
      <c r="B254" s="349">
        <f t="shared" ca="1" si="25"/>
        <v>2.1307831112814285E-2</v>
      </c>
      <c r="C254" s="349">
        <f t="shared" ca="1" si="25"/>
        <v>1.3850090223329288E-2</v>
      </c>
      <c r="D254" s="349">
        <f t="shared" ca="1" si="26"/>
        <v>0.1818143697225478</v>
      </c>
      <c r="E254" s="349">
        <f t="shared" ca="1" si="27"/>
        <v>0.1250140550331843</v>
      </c>
      <c r="F254" s="349">
        <f t="shared" ca="1" si="28"/>
        <v>0.35073778262132421</v>
      </c>
      <c r="G254" s="349">
        <f t="shared" ca="1" si="29"/>
        <v>0.27707985097294274</v>
      </c>
      <c r="H254" s="349">
        <f t="shared" ca="1" si="30"/>
        <v>2.2933848895670614</v>
      </c>
      <c r="I254" s="349">
        <f t="shared" ca="1" si="31"/>
        <v>1.964822653533705</v>
      </c>
      <c r="J254" s="349">
        <f t="shared" ca="1" si="32"/>
        <v>0.1677532257850487</v>
      </c>
      <c r="K254" s="348">
        <f t="shared" ca="1" si="33"/>
        <v>0.15414196466692776</v>
      </c>
    </row>
    <row r="255" spans="1:11">
      <c r="A255" s="492" t="s">
        <v>828</v>
      </c>
      <c r="B255" s="499">
        <f t="shared" ca="1" si="25"/>
        <v>7.8927096471503727E-2</v>
      </c>
      <c r="C255" s="499">
        <f t="shared" ca="1" si="25"/>
        <v>5.130261270647743E-2</v>
      </c>
      <c r="D255" s="499">
        <f t="shared" ca="1" si="26"/>
        <v>0.77487598497444876</v>
      </c>
      <c r="E255" s="499">
        <f t="shared" ca="1" si="27"/>
        <v>0.53309384219962908</v>
      </c>
      <c r="F255" s="499">
        <f t="shared" ca="1" si="28"/>
        <v>1.4305216806103491</v>
      </c>
      <c r="G255" s="499">
        <f t="shared" ca="1" si="29"/>
        <v>1.1308121916899587</v>
      </c>
      <c r="H255" s="499">
        <f t="shared" ca="1" si="30"/>
        <v>8.599682747870844</v>
      </c>
      <c r="I255" s="499">
        <f t="shared" ca="1" si="31"/>
        <v>7.3677716457042672</v>
      </c>
      <c r="J255" s="499">
        <f t="shared" ca="1" si="32"/>
        <v>0.71434069246833176</v>
      </c>
      <c r="K255" s="500">
        <f t="shared" ca="1" si="33"/>
        <v>0.65849377677166721</v>
      </c>
    </row>
  </sheetData>
  <phoneticPr fontId="5" type="noConversion"/>
  <pageMargins left="0.75" right="0.75" top="1" bottom="1" header="0.5" footer="0.5"/>
  <pageSetup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2"/>
  <dimension ref="A1:Z373"/>
  <sheetViews>
    <sheetView showGridLines="0" tabSelected="1" topLeftCell="A193" zoomScale="80" zoomScaleNormal="80" workbookViewId="0">
      <selection activeCell="N211" sqref="N198:N211"/>
    </sheetView>
  </sheetViews>
  <sheetFormatPr defaultColWidth="9.140625" defaultRowHeight="12.75"/>
  <cols>
    <col min="1" max="1" width="17.7109375" style="5" customWidth="1"/>
    <col min="2" max="2" width="13.140625" style="5" customWidth="1"/>
    <col min="3" max="6" width="12.28515625" style="5" customWidth="1"/>
    <col min="7" max="7" width="14.140625" style="5" customWidth="1"/>
    <col min="8" max="10" width="12.28515625" style="5" customWidth="1"/>
    <col min="11" max="11" width="10.28515625" style="5" customWidth="1"/>
    <col min="12" max="13" width="15.42578125" style="5" bestFit="1" customWidth="1"/>
    <col min="14" max="14" width="14.28515625" style="5" bestFit="1" customWidth="1"/>
    <col min="15" max="15" width="13.5703125" style="5" bestFit="1" customWidth="1"/>
    <col min="16" max="17" width="16" style="5" bestFit="1" customWidth="1"/>
    <col min="18" max="18" width="15.5703125" style="5" bestFit="1" customWidth="1"/>
    <col min="19" max="19" width="15.42578125" style="5" bestFit="1" customWidth="1"/>
    <col min="20" max="20" width="16" style="5" bestFit="1" customWidth="1"/>
    <col min="21" max="21" width="17.7109375" style="5" bestFit="1" customWidth="1"/>
    <col min="22" max="22" width="17.140625" style="5" bestFit="1" customWidth="1"/>
    <col min="23" max="23" width="16" style="5" bestFit="1" customWidth="1"/>
    <col min="24" max="24" width="17.140625" style="5" bestFit="1" customWidth="1"/>
    <col min="25" max="25" width="13.85546875" style="5" customWidth="1"/>
    <col min="26" max="26" width="18.140625" style="5" bestFit="1" customWidth="1"/>
    <col min="27" max="16384" width="9.140625" style="5"/>
  </cols>
  <sheetData>
    <row r="1" spans="1:26" ht="15.75">
      <c r="A1" s="2" t="s">
        <v>1887</v>
      </c>
    </row>
    <row r="2" spans="1:26" ht="13.5" customHeight="1">
      <c r="A2" s="3"/>
    </row>
    <row r="3" spans="1:26" ht="15">
      <c r="A3" s="75" t="s">
        <v>1888</v>
      </c>
    </row>
    <row r="4" spans="1:26">
      <c r="A4" s="3" t="s">
        <v>1889</v>
      </c>
    </row>
    <row r="5" spans="1:26">
      <c r="A5" s="178"/>
      <c r="B5" s="2984" t="s">
        <v>1875</v>
      </c>
      <c r="C5" s="2985"/>
      <c r="D5" s="2985"/>
      <c r="E5" s="2985"/>
      <c r="F5" s="3004"/>
      <c r="G5" s="2985" t="s">
        <v>1890</v>
      </c>
      <c r="H5" s="2985"/>
      <c r="I5" s="2985"/>
      <c r="J5" s="3004"/>
    </row>
    <row r="6" spans="1:26" ht="22.5" customHeight="1">
      <c r="A6" s="539"/>
      <c r="B6" s="1725" t="s">
        <v>1891</v>
      </c>
      <c r="C6" s="1726" t="s">
        <v>1892</v>
      </c>
      <c r="D6" s="1726" t="s">
        <v>1893</v>
      </c>
      <c r="E6" s="1726" t="s">
        <v>1418</v>
      </c>
      <c r="F6" s="1727" t="s">
        <v>1894</v>
      </c>
      <c r="G6" s="1726" t="s">
        <v>1891</v>
      </c>
      <c r="H6" s="1726" t="s">
        <v>1892</v>
      </c>
      <c r="I6" s="1726" t="s">
        <v>1893</v>
      </c>
      <c r="J6" s="1727" t="s">
        <v>1418</v>
      </c>
      <c r="K6" s="457"/>
      <c r="L6" s="457"/>
      <c r="M6" s="457"/>
      <c r="N6" s="457"/>
      <c r="O6" s="457"/>
      <c r="P6" s="457"/>
    </row>
    <row r="7" spans="1:26">
      <c r="A7" s="95" t="s">
        <v>876</v>
      </c>
      <c r="B7" s="498">
        <f ca="1">Vehi_Comp_Sum!B174</f>
        <v>61.900994038678526</v>
      </c>
      <c r="C7" s="496">
        <f>Vehi_ADR!J106</f>
        <v>14.096115653906098</v>
      </c>
      <c r="D7" s="496">
        <f ca="1">Battery_Sum!B227</f>
        <v>0.7465843662943501</v>
      </c>
      <c r="E7" s="496">
        <f>Vehi_Fluids!B105</f>
        <v>11.904484848690602</v>
      </c>
      <c r="F7" s="497">
        <f ca="1">SUM(B7:E7)</f>
        <v>88.648178907569587</v>
      </c>
      <c r="G7" s="369">
        <f ca="1">B7/$F7</f>
        <v>0.69827710846965696</v>
      </c>
      <c r="H7" s="369">
        <f t="shared" ref="H7:H31" ca="1" si="0">C7/$F7</f>
        <v>0.15901190331956661</v>
      </c>
      <c r="I7" s="369">
        <f t="shared" ref="I7:I31" ca="1" si="1">D7/$F7</f>
        <v>8.4218804660701266E-3</v>
      </c>
      <c r="J7" s="746">
        <f t="shared" ref="J7:J31" ca="1" si="2">E7/$F7</f>
        <v>0.13428910774470618</v>
      </c>
    </row>
    <row r="8" spans="1:26">
      <c r="A8" s="95" t="s">
        <v>877</v>
      </c>
      <c r="B8" s="498">
        <f ca="1">Vehi_Comp_Sum!B175</f>
        <v>55.524800287290148</v>
      </c>
      <c r="C8" s="496">
        <f>Vehi_ADR!J107</f>
        <v>12.373726900986338</v>
      </c>
      <c r="D8" s="496">
        <f ca="1">Battery_Sum!B228</f>
        <v>0.70944391931442474</v>
      </c>
      <c r="E8" s="496">
        <f>Vehi_Fluids!B106</f>
        <v>11.799381898983951</v>
      </c>
      <c r="F8" s="497">
        <f t="shared" ref="F8:F31" ca="1" si="3">SUM(B8:E8)</f>
        <v>80.407353006574866</v>
      </c>
      <c r="G8" s="369">
        <f t="shared" ref="G8:G31" ca="1" si="4">B8/$F8</f>
        <v>0.69054381485173266</v>
      </c>
      <c r="H8" s="369">
        <f t="shared" ca="1" si="0"/>
        <v>0.15388800200865391</v>
      </c>
      <c r="I8" s="369">
        <f t="shared" ca="1" si="1"/>
        <v>8.8231224233486939E-3</v>
      </c>
      <c r="J8" s="746">
        <f t="shared" ca="1" si="2"/>
        <v>0.14674506071626461</v>
      </c>
    </row>
    <row r="9" spans="1:26">
      <c r="A9" s="95" t="s">
        <v>442</v>
      </c>
      <c r="B9" s="498">
        <f ca="1">Vehi_Comp_Sum!B176</f>
        <v>19.065346309674595</v>
      </c>
      <c r="C9" s="496">
        <f>Vehi_ADR!J108</f>
        <v>2.2768602194752541</v>
      </c>
      <c r="D9" s="496">
        <f ca="1">Battery_Sum!B229</f>
        <v>0.31740980568035321</v>
      </c>
      <c r="E9" s="496">
        <f>Vehi_Fluids!B107</f>
        <v>0.14265858643336127</v>
      </c>
      <c r="F9" s="497">
        <f ca="1">SUM(B9:E9)</f>
        <v>21.80227492126356</v>
      </c>
      <c r="G9" s="369">
        <f t="shared" ref="G9:J10" ca="1" si="5">B9/$F9</f>
        <v>0.87446591598936019</v>
      </c>
      <c r="H9" s="369">
        <f t="shared" ca="1" si="5"/>
        <v>0.10443223139318608</v>
      </c>
      <c r="I9" s="369">
        <f t="shared" ca="1" si="5"/>
        <v>1.4558563582316188E-2</v>
      </c>
      <c r="J9" s="746">
        <f t="shared" ca="1" si="5"/>
        <v>6.5432890351376886E-3</v>
      </c>
    </row>
    <row r="10" spans="1:26">
      <c r="A10" s="95" t="s">
        <v>878</v>
      </c>
      <c r="B10" s="498">
        <f ca="1">B8-B9-B11</f>
        <v>27.382490925133041</v>
      </c>
      <c r="C10" s="496">
        <f>C8-C9-C11</f>
        <v>10.004591508550437</v>
      </c>
      <c r="D10" s="496">
        <f ca="1">D8-D9-D11</f>
        <v>0.24323099461409153</v>
      </c>
      <c r="E10" s="496">
        <f>E8-E9-E11</f>
        <v>3.0625502085656144</v>
      </c>
      <c r="F10" s="497">
        <f ca="1">F8-F9-F11</f>
        <v>40.692863636863194</v>
      </c>
      <c r="G10" s="369">
        <f t="shared" ca="1" si="5"/>
        <v>0.67290646265375043</v>
      </c>
      <c r="H10" s="369">
        <f t="shared" ca="1" si="5"/>
        <v>0.24585616775044047</v>
      </c>
      <c r="I10" s="369">
        <f t="shared" ca="1" si="5"/>
        <v>5.9772395667369886E-3</v>
      </c>
      <c r="J10" s="746">
        <f t="shared" ca="1" si="5"/>
        <v>7.5260130029071864E-2</v>
      </c>
    </row>
    <row r="11" spans="1:26">
      <c r="A11" s="95" t="s">
        <v>440</v>
      </c>
      <c r="B11" s="498">
        <f ca="1">Vehi_Comp_Sum!B178</f>
        <v>9.0769630524825118</v>
      </c>
      <c r="C11" s="496">
        <f>Vehi_ADR!J110</f>
        <v>9.2275172960647592E-2</v>
      </c>
      <c r="D11" s="496">
        <f ca="1">Battery_Sum!B231</f>
        <v>0.14880311901998</v>
      </c>
      <c r="E11" s="496">
        <f>Vehi_Fluids!B109</f>
        <v>8.5941731039849749</v>
      </c>
      <c r="F11" s="497">
        <f t="shared" ca="1" si="3"/>
        <v>17.912214448448115</v>
      </c>
      <c r="G11" s="369">
        <f t="shared" ca="1" si="4"/>
        <v>0.50674711820843155</v>
      </c>
      <c r="H11" s="369">
        <f t="shared" ca="1" si="0"/>
        <v>5.1515223439412405E-3</v>
      </c>
      <c r="I11" s="369">
        <f t="shared" ca="1" si="1"/>
        <v>8.3073547074952563E-3</v>
      </c>
      <c r="J11" s="746">
        <f t="shared" ca="1" si="2"/>
        <v>0.47979400474013195</v>
      </c>
      <c r="L11" s="1321"/>
    </row>
    <row r="12" spans="1:26">
      <c r="A12" s="477" t="s">
        <v>819</v>
      </c>
      <c r="B12" s="598">
        <f ca="1">Vehi_Comp_Sum!B179</f>
        <v>3350.4790160861639</v>
      </c>
      <c r="C12" s="535">
        <f>Vehi_ADR!J111</f>
        <v>459.06790690026895</v>
      </c>
      <c r="D12" s="535">
        <f ca="1">Battery_Sum!B232</f>
        <v>18.235997265678336</v>
      </c>
      <c r="E12" s="535">
        <f>Vehi_Fluids!B110</f>
        <v>244.52750845776495</v>
      </c>
      <c r="F12" s="599">
        <f t="shared" ref="F12:F17" ca="1" si="6">SUM(B12:E12)</f>
        <v>4072.3104287098759</v>
      </c>
      <c r="G12" s="369">
        <f ca="1">B12/$F12</f>
        <v>0.82274646659184303</v>
      </c>
      <c r="H12" s="369">
        <f ca="1">C12/$F12</f>
        <v>0.11272910426077304</v>
      </c>
      <c r="I12" s="369">
        <f ca="1">D12/$F12</f>
        <v>4.4780469428642184E-3</v>
      </c>
      <c r="J12" s="746">
        <f ca="1">E12/$F12</f>
        <v>6.0046382204519765E-2</v>
      </c>
      <c r="L12" s="1321" t="s">
        <v>2744</v>
      </c>
      <c r="M12" s="1321" t="s">
        <v>2745</v>
      </c>
      <c r="N12" s="1321" t="s">
        <v>2751</v>
      </c>
      <c r="O12" s="1321" t="s">
        <v>2752</v>
      </c>
      <c r="P12" s="1321" t="s">
        <v>2746</v>
      </c>
      <c r="Q12" s="1321" t="s">
        <v>2747</v>
      </c>
      <c r="R12" s="1321" t="s">
        <v>2750</v>
      </c>
      <c r="S12" s="1321" t="s">
        <v>2748</v>
      </c>
      <c r="T12" s="1321" t="s">
        <v>2749</v>
      </c>
      <c r="U12" s="1321" t="s">
        <v>2768</v>
      </c>
      <c r="V12" s="1321" t="s">
        <v>2775</v>
      </c>
      <c r="W12" s="1321" t="s">
        <v>2776</v>
      </c>
      <c r="X12" s="1321" t="s">
        <v>2777</v>
      </c>
      <c r="Y12" s="1321" t="s">
        <v>2778</v>
      </c>
      <c r="Z12" s="1321" t="s">
        <v>1894</v>
      </c>
    </row>
    <row r="13" spans="1:26">
      <c r="A13" s="640" t="s">
        <v>889</v>
      </c>
      <c r="B13" s="898">
        <f ca="1">Vehi_Comp_Sum!B191</f>
        <v>3841325.9391376576</v>
      </c>
      <c r="C13" s="632">
        <f>Vehi_ADR!J123</f>
        <v>828288.3486815989</v>
      </c>
      <c r="D13" s="632">
        <f ca="1">Battery_Sum!B244</f>
        <v>33034.394369044618</v>
      </c>
      <c r="E13" s="632">
        <f>Vehi_Fluids!B122</f>
        <v>631835.11621996353</v>
      </c>
      <c r="F13" s="899">
        <f t="shared" ca="1" si="6"/>
        <v>5334483.7984082652</v>
      </c>
      <c r="G13" s="458">
        <f t="shared" ca="1" si="4"/>
        <v>0.72009328068141387</v>
      </c>
      <c r="H13" s="458">
        <f t="shared" ca="1" si="0"/>
        <v>0.15527057162095956</v>
      </c>
      <c r="I13" s="458">
        <f t="shared" ca="1" si="1"/>
        <v>6.1926131219859765E-3</v>
      </c>
      <c r="J13" s="896">
        <f t="shared" ca="1" si="2"/>
        <v>0.11844353457564052</v>
      </c>
      <c r="L13" s="112">
        <v>0</v>
      </c>
      <c r="M13" s="112">
        <v>0</v>
      </c>
      <c r="N13" s="112">
        <v>0</v>
      </c>
      <c r="O13" s="112">
        <v>0</v>
      </c>
      <c r="P13" s="112">
        <v>0</v>
      </c>
      <c r="Q13" s="112">
        <v>0</v>
      </c>
      <c r="R13" s="112">
        <v>0</v>
      </c>
      <c r="S13" s="112">
        <v>0</v>
      </c>
      <c r="T13" s="112">
        <v>0</v>
      </c>
      <c r="U13" s="92">
        <f ca="1">V13-SUM(L13:T13)</f>
        <v>33034.394369044618</v>
      </c>
      <c r="V13" s="92">
        <f ca="1">SUM(D13)</f>
        <v>33034.394369044618</v>
      </c>
      <c r="W13" s="92">
        <f>Vehi_Comp_Sum!L$191</f>
        <v>6702.0224185966845</v>
      </c>
      <c r="X13" s="92">
        <f>Vehi_Comp_Sum!M$191</f>
        <v>78981.996362354897</v>
      </c>
      <c r="Y13" s="92">
        <f ca="1">SUM(E13,C13,B13)-SUM(W13:X13)</f>
        <v>5215765.3852582686</v>
      </c>
      <c r="Z13" s="92">
        <f ca="1">F13</f>
        <v>5334483.7984082652</v>
      </c>
    </row>
    <row r="14" spans="1:26">
      <c r="A14" s="230" t="s">
        <v>1895</v>
      </c>
      <c r="B14" s="517">
        <f ca="1">Vehi_Comp_Sum!B192</f>
        <v>3880020.970494994</v>
      </c>
      <c r="C14" s="246">
        <f>Vehi_ADR!J124</f>
        <v>834381.00943205075</v>
      </c>
      <c r="D14" s="246">
        <f ca="1">Battery_Sum!B245</f>
        <v>33157.571491945302</v>
      </c>
      <c r="E14" s="246">
        <f>Vehi_Fluids!B123</f>
        <v>718027.75527943484</v>
      </c>
      <c r="F14" s="247">
        <f t="shared" ca="1" si="6"/>
        <v>5465587.3066984247</v>
      </c>
      <c r="G14" s="382">
        <f ca="1">B14/$F14</f>
        <v>0.70990009906891094</v>
      </c>
      <c r="H14" s="382">
        <f ca="1">C14/$F14</f>
        <v>0.15266081440314086</v>
      </c>
      <c r="I14" s="382">
        <f ca="1">D14/$F14</f>
        <v>6.0666072338298556E-3</v>
      </c>
      <c r="J14" s="588">
        <f ca="1">E14/$F14</f>
        <v>0.13137247929411836</v>
      </c>
      <c r="L14" s="112">
        <v>0</v>
      </c>
      <c r="M14" s="112">
        <v>0</v>
      </c>
      <c r="N14" s="112">
        <v>0</v>
      </c>
      <c r="O14" s="112">
        <v>0</v>
      </c>
      <c r="P14" s="112">
        <v>0</v>
      </c>
      <c r="Q14" s="112">
        <v>0</v>
      </c>
      <c r="R14" s="112">
        <v>0</v>
      </c>
      <c r="S14" s="112">
        <v>0</v>
      </c>
      <c r="T14" s="112">
        <v>0</v>
      </c>
      <c r="U14" s="92">
        <f t="shared" ref="U14:U25" ca="1" si="7">V14-SUM(L14:T14)</f>
        <v>33157.571491945302</v>
      </c>
      <c r="V14" s="92">
        <f t="shared" ref="V14:V25" ca="1" si="8">SUM(D14)</f>
        <v>33157.571491945302</v>
      </c>
      <c r="W14" s="92">
        <f>Vehi_Comp_Sum!L$192</f>
        <v>6714.9945847802437</v>
      </c>
      <c r="X14" s="92">
        <f>Vehi_Comp_Sum!M$192</f>
        <v>79107.7714762861</v>
      </c>
      <c r="Y14" s="92">
        <f t="shared" ref="Y14:Y25" ca="1" si="9">SUM(E14,C14,B14)-SUM(W14:X14)</f>
        <v>5346606.9691454126</v>
      </c>
      <c r="Z14" s="92">
        <f t="shared" ref="Z14:Z25" ca="1" si="10">F14</f>
        <v>5465587.3066984247</v>
      </c>
    </row>
    <row r="15" spans="1:26">
      <c r="A15" s="95" t="s">
        <v>887</v>
      </c>
      <c r="B15" s="498">
        <f ca="1">Vehi_Comp_Sum!B189</f>
        <v>10573.239112101242</v>
      </c>
      <c r="C15" s="496">
        <f>Vehi_ADR!J121</f>
        <v>2240.0809170636567</v>
      </c>
      <c r="D15" s="496">
        <f ca="1">Battery_Sum!B242</f>
        <v>177.34847666883201</v>
      </c>
      <c r="E15" s="496">
        <f>Vehi_Fluids!B120</f>
        <v>1376.6152875984117</v>
      </c>
      <c r="F15" s="497">
        <f t="shared" ca="1" si="6"/>
        <v>14367.283793432143</v>
      </c>
      <c r="G15" s="369">
        <f t="shared" ca="1" si="4"/>
        <v>0.73592470672394528</v>
      </c>
      <c r="H15" s="369">
        <f t="shared" ca="1" si="0"/>
        <v>0.15591540817810579</v>
      </c>
      <c r="I15" s="369">
        <f t="shared" ca="1" si="1"/>
        <v>1.2343911293093901E-2</v>
      </c>
      <c r="J15" s="746">
        <f t="shared" ca="1" si="2"/>
        <v>9.5815973804854973E-2</v>
      </c>
      <c r="L15" s="112">
        <v>0</v>
      </c>
      <c r="M15" s="112">
        <v>0</v>
      </c>
      <c r="N15" s="112">
        <v>0</v>
      </c>
      <c r="O15" s="112">
        <v>0</v>
      </c>
      <c r="P15" s="112">
        <v>0</v>
      </c>
      <c r="Q15" s="112">
        <v>0</v>
      </c>
      <c r="R15" s="112">
        <v>0</v>
      </c>
      <c r="S15" s="112">
        <v>0</v>
      </c>
      <c r="T15" s="112">
        <v>0</v>
      </c>
      <c r="U15" s="92">
        <f t="shared" ca="1" si="7"/>
        <v>177.34847666883201</v>
      </c>
      <c r="V15" s="92">
        <f t="shared" ca="1" si="8"/>
        <v>177.34847666883201</v>
      </c>
      <c r="W15" s="92">
        <f>Vehi_Comp_Sum!L$189</f>
        <v>12.253879921724495</v>
      </c>
      <c r="X15" s="92">
        <f>Vehi_Comp_Sum!M$189</f>
        <v>170.72629250837963</v>
      </c>
      <c r="Y15" s="92">
        <f t="shared" ca="1" si="9"/>
        <v>14006.955144333207</v>
      </c>
      <c r="Z15" s="92">
        <f t="shared" ca="1" si="10"/>
        <v>14367.283793432143</v>
      </c>
    </row>
    <row r="16" spans="1:26">
      <c r="A16" s="95" t="s">
        <v>888</v>
      </c>
      <c r="B16" s="498">
        <f ca="1">Vehi_Comp_Sum!B190</f>
        <v>99.504606542627627</v>
      </c>
      <c r="C16" s="496">
        <f>Vehi_ADR!J122</f>
        <v>21.36502696769179</v>
      </c>
      <c r="D16" s="496">
        <f ca="1">Battery_Sum!B243</f>
        <v>0.61285299645038227</v>
      </c>
      <c r="E16" s="496">
        <f>Vehi_Fluids!B121</f>
        <v>14.892348209602856</v>
      </c>
      <c r="F16" s="497">
        <f t="shared" ca="1" si="6"/>
        <v>136.37483471637265</v>
      </c>
      <c r="G16" s="369">
        <f t="shared" ca="1" si="4"/>
        <v>0.72964052898449805</v>
      </c>
      <c r="H16" s="369">
        <f t="shared" ca="1" si="0"/>
        <v>0.15666399898578051</v>
      </c>
      <c r="I16" s="369">
        <f t="shared" ca="1" si="1"/>
        <v>4.4938862637301912E-3</v>
      </c>
      <c r="J16" s="746">
        <f t="shared" ca="1" si="2"/>
        <v>0.1092015857659913</v>
      </c>
      <c r="L16" s="112">
        <v>0</v>
      </c>
      <c r="M16" s="112">
        <v>0</v>
      </c>
      <c r="N16" s="112">
        <v>0</v>
      </c>
      <c r="O16" s="112">
        <v>0</v>
      </c>
      <c r="P16" s="112">
        <v>0</v>
      </c>
      <c r="Q16" s="112">
        <v>0</v>
      </c>
      <c r="R16" s="112">
        <v>0</v>
      </c>
      <c r="S16" s="112">
        <v>0</v>
      </c>
      <c r="T16" s="112">
        <v>0</v>
      </c>
      <c r="U16" s="92">
        <f t="shared" ca="1" si="7"/>
        <v>0.61285299645038227</v>
      </c>
      <c r="V16" s="92">
        <f t="shared" ca="1" si="8"/>
        <v>0.61285299645038227</v>
      </c>
      <c r="W16" s="92">
        <f>Vehi_Comp_Sum!L$190</f>
        <v>9.0631629313716239E-2</v>
      </c>
      <c r="X16" s="92">
        <f>Vehi_Comp_Sum!M$190</f>
        <v>1.9437060000380215</v>
      </c>
      <c r="Y16" s="92">
        <f t="shared" ca="1" si="9"/>
        <v>133.72764409057055</v>
      </c>
      <c r="Z16" s="92">
        <f t="shared" ca="1" si="10"/>
        <v>136.37483471637265</v>
      </c>
    </row>
    <row r="17" spans="1:26">
      <c r="A17" s="589" t="s">
        <v>1896</v>
      </c>
      <c r="B17" s="517">
        <f ca="1">Vehi_Comp_Sum!B193</f>
        <v>4283988.2061557183</v>
      </c>
      <c r="C17" s="246">
        <f>Vehi_ADR!J125</f>
        <v>907245.16909039882</v>
      </c>
      <c r="D17" s="246">
        <f ca="1">Battery_Sum!B246</f>
        <v>38640.431836069605</v>
      </c>
      <c r="E17" s="246">
        <f>Vehi_Fluids!B124</f>
        <v>763272.686182932</v>
      </c>
      <c r="F17" s="247">
        <f t="shared" ca="1" si="6"/>
        <v>5993146.4932651184</v>
      </c>
      <c r="G17" s="368">
        <f ca="1">B17/$F17</f>
        <v>0.71481453206089818</v>
      </c>
      <c r="H17" s="368">
        <f ca="1">C17/$F17</f>
        <v>0.1513804426622857</v>
      </c>
      <c r="I17" s="368">
        <f ca="1">D17/$F17</f>
        <v>6.4474365643309951E-3</v>
      </c>
      <c r="J17" s="428">
        <f ca="1">E17/$F17</f>
        <v>0.1273575887124852</v>
      </c>
      <c r="L17" s="112">
        <v>0</v>
      </c>
      <c r="M17" s="112">
        <v>0</v>
      </c>
      <c r="N17" s="112">
        <v>0</v>
      </c>
      <c r="O17" s="112">
        <v>0</v>
      </c>
      <c r="P17" s="112">
        <v>0</v>
      </c>
      <c r="Q17" s="112">
        <v>0</v>
      </c>
      <c r="R17" s="112">
        <v>0</v>
      </c>
      <c r="S17" s="112">
        <v>0</v>
      </c>
      <c r="T17" s="112">
        <v>0</v>
      </c>
      <c r="U17" s="92">
        <f t="shared" ca="1" si="7"/>
        <v>38640.431836069605</v>
      </c>
      <c r="V17" s="92">
        <f t="shared" ca="1" si="8"/>
        <v>38640.431836069605</v>
      </c>
      <c r="W17" s="92">
        <f>Vehi_Comp_Sum!L$193</f>
        <v>7106.6283642001126</v>
      </c>
      <c r="X17" s="92">
        <f>Vehi_Comp_Sum!M$193</f>
        <v>84744.642341547558</v>
      </c>
      <c r="Y17" s="92">
        <f t="shared" ca="1" si="9"/>
        <v>5862654.7907233015</v>
      </c>
      <c r="Z17" s="92">
        <f t="shared" ca="1" si="10"/>
        <v>5993146.4932651184</v>
      </c>
    </row>
    <row r="18" spans="1:26">
      <c r="A18" s="393" t="s">
        <v>879</v>
      </c>
      <c r="B18" s="508">
        <f ca="1">Vehi_Comp_Sum!B181</f>
        <v>3404.143968706991</v>
      </c>
      <c r="C18" s="506">
        <f>Vehi_ADR!J113</f>
        <v>1724.21746234342</v>
      </c>
      <c r="D18" s="506">
        <f ca="1">Battery_Sum!B234</f>
        <v>20.932199749037338</v>
      </c>
      <c r="E18" s="506">
        <f>Vehi_Fluids!B112</f>
        <v>27502.587620200975</v>
      </c>
      <c r="F18" s="507">
        <f t="shared" ca="1" si="3"/>
        <v>32651.881251000421</v>
      </c>
      <c r="G18" s="458">
        <f t="shared" ca="1" si="4"/>
        <v>0.10425567649651707</v>
      </c>
      <c r="H18" s="458">
        <f t="shared" ca="1" si="0"/>
        <v>5.2806068020677728E-2</v>
      </c>
      <c r="I18" s="458">
        <f t="shared" ca="1" si="1"/>
        <v>6.410717835253672E-4</v>
      </c>
      <c r="J18" s="896">
        <f t="shared" ca="1" si="2"/>
        <v>0.84229718369927986</v>
      </c>
      <c r="L18" s="112">
        <v>0</v>
      </c>
      <c r="M18" s="112">
        <v>0</v>
      </c>
      <c r="N18" s="112">
        <v>0</v>
      </c>
      <c r="O18" s="112">
        <v>0</v>
      </c>
      <c r="P18" s="112">
        <v>0</v>
      </c>
      <c r="Q18" s="112">
        <v>0</v>
      </c>
      <c r="R18" s="112">
        <v>0</v>
      </c>
      <c r="S18" s="112">
        <v>0</v>
      </c>
      <c r="T18" s="112">
        <v>0</v>
      </c>
      <c r="U18" s="92">
        <f t="shared" ca="1" si="7"/>
        <v>20.932199749037338</v>
      </c>
      <c r="V18" s="92">
        <f t="shared" ca="1" si="8"/>
        <v>20.932199749037338</v>
      </c>
      <c r="W18" s="92">
        <f>Vehi_Comp_Sum!L$181</f>
        <v>0.86228839926249456</v>
      </c>
      <c r="X18" s="92">
        <f>Vehi_Comp_Sum!M$181</f>
        <v>9.6083438530788268</v>
      </c>
      <c r="Y18" s="92">
        <f t="shared" ca="1" si="9"/>
        <v>32620.478418999042</v>
      </c>
      <c r="Z18" s="92">
        <f t="shared" ca="1" si="10"/>
        <v>32651.881251000421</v>
      </c>
    </row>
    <row r="19" spans="1:26">
      <c r="A19" s="230" t="s">
        <v>880</v>
      </c>
      <c r="B19" s="498">
        <f ca="1">Vehi_Comp_Sum!B182</f>
        <v>17872.558659157079</v>
      </c>
      <c r="C19" s="496">
        <f>Vehi_ADR!J114</f>
        <v>457.44978330654908</v>
      </c>
      <c r="D19" s="496">
        <f ca="1">Battery_Sum!B235</f>
        <v>36.869912343632578</v>
      </c>
      <c r="E19" s="496">
        <f>Vehi_Fluids!B113</f>
        <v>303.06243959827975</v>
      </c>
      <c r="F19" s="497">
        <f t="shared" ca="1" si="3"/>
        <v>18669.940794405542</v>
      </c>
      <c r="G19" s="369">
        <f t="shared" ca="1" si="4"/>
        <v>0.9572905911149221</v>
      </c>
      <c r="H19" s="369">
        <f t="shared" ca="1" si="0"/>
        <v>2.4501940758356565E-2</v>
      </c>
      <c r="I19" s="369">
        <f t="shared" ca="1" si="1"/>
        <v>1.9748274914016153E-3</v>
      </c>
      <c r="J19" s="746">
        <f t="shared" ca="1" si="2"/>
        <v>1.6232640635319668E-2</v>
      </c>
      <c r="L19" s="112">
        <v>0</v>
      </c>
      <c r="M19" s="112">
        <v>0</v>
      </c>
      <c r="N19" s="112">
        <v>0</v>
      </c>
      <c r="O19" s="112">
        <v>0</v>
      </c>
      <c r="P19" s="112">
        <v>0</v>
      </c>
      <c r="Q19" s="112">
        <v>0</v>
      </c>
      <c r="R19" s="112">
        <v>0</v>
      </c>
      <c r="S19" s="112">
        <v>0</v>
      </c>
      <c r="T19" s="112">
        <v>0</v>
      </c>
      <c r="U19" s="92">
        <f t="shared" ca="1" si="7"/>
        <v>36.869912343632578</v>
      </c>
      <c r="V19" s="92">
        <f t="shared" ca="1" si="8"/>
        <v>36.869912343632578</v>
      </c>
      <c r="W19" s="92">
        <f>Vehi_Comp_Sum!L$182</f>
        <v>6.5448095188791537</v>
      </c>
      <c r="X19" s="92">
        <f>Vehi_Comp_Sum!M$182</f>
        <v>60.982160223375985</v>
      </c>
      <c r="Y19" s="92">
        <f t="shared" ca="1" si="9"/>
        <v>18565.543912319652</v>
      </c>
      <c r="Z19" s="92">
        <f t="shared" ca="1" si="10"/>
        <v>18669.940794405542</v>
      </c>
    </row>
    <row r="20" spans="1:26">
      <c r="A20" s="230" t="s">
        <v>881</v>
      </c>
      <c r="B20" s="498">
        <f ca="1">Vehi_Comp_Sum!B183</f>
        <v>4246.7829684490516</v>
      </c>
      <c r="C20" s="496">
        <f>Vehi_ADR!J115</f>
        <v>725.01502646481504</v>
      </c>
      <c r="D20" s="496">
        <f ca="1">Battery_Sum!B236</f>
        <v>43.011906152276765</v>
      </c>
      <c r="E20" s="496">
        <f>Vehi_Fluids!B114</f>
        <v>831.89004954831967</v>
      </c>
      <c r="F20" s="497">
        <f t="shared" ca="1" si="3"/>
        <v>5846.6999506144621</v>
      </c>
      <c r="G20" s="369">
        <f t="shared" ca="1" si="4"/>
        <v>0.72635555173354394</v>
      </c>
      <c r="H20" s="369">
        <f t="shared" ca="1" si="0"/>
        <v>0.12400414466089014</v>
      </c>
      <c r="I20" s="369">
        <f t="shared" ca="1" si="1"/>
        <v>7.3566125362318968E-3</v>
      </c>
      <c r="J20" s="746">
        <f t="shared" ca="1" si="2"/>
        <v>0.14228369106933419</v>
      </c>
      <c r="L20" s="112">
        <v>0</v>
      </c>
      <c r="M20" s="112">
        <v>0</v>
      </c>
      <c r="N20" s="112">
        <v>0</v>
      </c>
      <c r="O20" s="112">
        <v>0</v>
      </c>
      <c r="P20" s="112">
        <v>0</v>
      </c>
      <c r="Q20" s="112">
        <v>0</v>
      </c>
      <c r="R20" s="112">
        <v>0</v>
      </c>
      <c r="S20" s="112">
        <v>0</v>
      </c>
      <c r="T20" s="112">
        <v>0</v>
      </c>
      <c r="U20" s="92">
        <f t="shared" ca="1" si="7"/>
        <v>43.011906152276765</v>
      </c>
      <c r="V20" s="92">
        <f t="shared" ca="1" si="8"/>
        <v>43.011906152276765</v>
      </c>
      <c r="W20" s="92">
        <f>Vehi_Comp_Sum!L$183</f>
        <v>6.2048249681560916</v>
      </c>
      <c r="X20" s="92">
        <f>Vehi_Comp_Sum!M$183</f>
        <v>87.783029119954222</v>
      </c>
      <c r="Y20" s="92">
        <f t="shared" ca="1" si="9"/>
        <v>5709.7001903740766</v>
      </c>
      <c r="Z20" s="92">
        <f t="shared" ca="1" si="10"/>
        <v>5846.6999506144621</v>
      </c>
    </row>
    <row r="21" spans="1:26">
      <c r="A21" s="230" t="s">
        <v>882</v>
      </c>
      <c r="B21" s="498">
        <f ca="1">Vehi_Comp_Sum!B184</f>
        <v>2038.384465600828</v>
      </c>
      <c r="C21" s="496">
        <f>Vehi_ADR!J116</f>
        <v>131.06644114303808</v>
      </c>
      <c r="D21" s="496">
        <f ca="1">Battery_Sum!B237</f>
        <v>49.780803925951574</v>
      </c>
      <c r="E21" s="496">
        <f>Vehi_Fluids!B115</f>
        <v>136.19606015600155</v>
      </c>
      <c r="F21" s="497">
        <f t="shared" ca="1" si="3"/>
        <v>2355.4277708258196</v>
      </c>
      <c r="G21" s="369">
        <f t="shared" ca="1" si="4"/>
        <v>0.86539884213310636</v>
      </c>
      <c r="H21" s="369">
        <f t="shared" ca="1" si="0"/>
        <v>5.5644432305001573E-2</v>
      </c>
      <c r="I21" s="369">
        <f t="shared" ca="1" si="1"/>
        <v>2.1134506666913536E-2</v>
      </c>
      <c r="J21" s="746">
        <f t="shared" ca="1" si="2"/>
        <v>5.7822218894978399E-2</v>
      </c>
      <c r="L21" s="112">
        <v>0</v>
      </c>
      <c r="M21" s="112">
        <v>0</v>
      </c>
      <c r="N21" s="112">
        <v>0</v>
      </c>
      <c r="O21" s="112">
        <v>0</v>
      </c>
      <c r="P21" s="112">
        <v>0</v>
      </c>
      <c r="Q21" s="112">
        <v>0</v>
      </c>
      <c r="R21" s="112">
        <v>0</v>
      </c>
      <c r="S21" s="112">
        <v>0</v>
      </c>
      <c r="T21" s="112">
        <v>0</v>
      </c>
      <c r="U21" s="92">
        <f t="shared" ca="1" si="7"/>
        <v>49.780803925951574</v>
      </c>
      <c r="V21" s="92">
        <f t="shared" ca="1" si="8"/>
        <v>49.780803925951574</v>
      </c>
      <c r="W21" s="92">
        <f>Vehi_Comp_Sum!L$184</f>
        <v>2.2292988308793409</v>
      </c>
      <c r="X21" s="92">
        <f>Vehi_Comp_Sum!M$184</f>
        <v>10.760973095964367</v>
      </c>
      <c r="Y21" s="92">
        <f t="shared" ca="1" si="9"/>
        <v>2292.6566949730236</v>
      </c>
      <c r="Z21" s="92">
        <f t="shared" ca="1" si="10"/>
        <v>2355.4277708258196</v>
      </c>
    </row>
    <row r="22" spans="1:26">
      <c r="A22" s="230" t="s">
        <v>883</v>
      </c>
      <c r="B22" s="498">
        <f ca="1">Vehi_Comp_Sum!B185</f>
        <v>945.32818841535004</v>
      </c>
      <c r="C22" s="496">
        <f>Vehi_ADR!J117</f>
        <v>80.733623309220008</v>
      </c>
      <c r="D22" s="496">
        <f ca="1">Battery_Sum!B238</f>
        <v>24.601525076374262</v>
      </c>
      <c r="E22" s="496">
        <f>Vehi_Fluids!B116</f>
        <v>72.727792554794846</v>
      </c>
      <c r="F22" s="497">
        <f ca="1">SUM(B22:E22)</f>
        <v>1123.3911293557392</v>
      </c>
      <c r="G22" s="369">
        <f ca="1">B22/$F22</f>
        <v>0.84149515134367525</v>
      </c>
      <c r="H22" s="369">
        <f ca="1">C22/$F22</f>
        <v>7.1865996801595236E-2</v>
      </c>
      <c r="I22" s="369">
        <f ca="1">D22/$F22</f>
        <v>2.1899340695776322E-2</v>
      </c>
      <c r="J22" s="746">
        <f ca="1">E22/$F22</f>
        <v>6.4739511158953142E-2</v>
      </c>
      <c r="L22" s="112">
        <v>0</v>
      </c>
      <c r="M22" s="112">
        <v>0</v>
      </c>
      <c r="N22" s="112">
        <v>0</v>
      </c>
      <c r="O22" s="112">
        <v>0</v>
      </c>
      <c r="P22" s="112">
        <v>0</v>
      </c>
      <c r="Q22" s="112">
        <v>0</v>
      </c>
      <c r="R22" s="112">
        <v>0</v>
      </c>
      <c r="S22" s="112">
        <v>0</v>
      </c>
      <c r="T22" s="112">
        <v>0</v>
      </c>
      <c r="U22" s="92">
        <f t="shared" ca="1" si="7"/>
        <v>24.601525076374262</v>
      </c>
      <c r="V22" s="92">
        <f t="shared" ca="1" si="8"/>
        <v>24.601525076374262</v>
      </c>
      <c r="W22" s="92">
        <f>Vehi_Comp_Sum!L$185</f>
        <v>1.1148400722299217</v>
      </c>
      <c r="X22" s="92">
        <f>Vehi_Comp_Sum!M$185</f>
        <v>6.721366602790015</v>
      </c>
      <c r="Y22" s="92">
        <f t="shared" ca="1" si="9"/>
        <v>1090.9533976043451</v>
      </c>
      <c r="Z22" s="92">
        <f t="shared" ca="1" si="10"/>
        <v>1123.3911293557392</v>
      </c>
    </row>
    <row r="23" spans="1:26">
      <c r="A23" s="230" t="s">
        <v>884</v>
      </c>
      <c r="B23" s="498">
        <f ca="1">Vehi_Comp_Sum!B186</f>
        <v>17416.931451193039</v>
      </c>
      <c r="C23" s="496">
        <f>Vehi_ADR!J118</f>
        <v>324.00162905349237</v>
      </c>
      <c r="D23" s="496">
        <f ca="1">Battery_Sum!B239</f>
        <v>479.07287556241079</v>
      </c>
      <c r="E23" s="496">
        <f>Vehi_Fluids!B117</f>
        <v>1562.7378397227392</v>
      </c>
      <c r="F23" s="497">
        <f t="shared" ca="1" si="3"/>
        <v>19782.743795531682</v>
      </c>
      <c r="G23" s="369">
        <f t="shared" ca="1" si="4"/>
        <v>0.88041030259548692</v>
      </c>
      <c r="H23" s="369">
        <f t="shared" ca="1" si="0"/>
        <v>1.6377992476790528E-2</v>
      </c>
      <c r="I23" s="369">
        <f t="shared" ca="1" si="1"/>
        <v>2.4216705251504028E-2</v>
      </c>
      <c r="J23" s="746">
        <f t="shared" ca="1" si="2"/>
        <v>7.8994999676218522E-2</v>
      </c>
      <c r="L23" s="112">
        <v>0</v>
      </c>
      <c r="M23" s="112">
        <v>0</v>
      </c>
      <c r="N23" s="112">
        <v>0</v>
      </c>
      <c r="O23" s="112">
        <v>0</v>
      </c>
      <c r="P23" s="112">
        <v>0</v>
      </c>
      <c r="Q23" s="112">
        <v>0</v>
      </c>
      <c r="R23" s="112">
        <v>0</v>
      </c>
      <c r="S23" s="112">
        <v>0</v>
      </c>
      <c r="T23" s="112">
        <v>0</v>
      </c>
      <c r="U23" s="92">
        <f t="shared" ca="1" si="7"/>
        <v>479.07287556241079</v>
      </c>
      <c r="V23" s="92">
        <f t="shared" ca="1" si="8"/>
        <v>479.07287556241079</v>
      </c>
      <c r="W23" s="92">
        <f>Vehi_Comp_Sum!L$186</f>
        <v>2.3045368258158536</v>
      </c>
      <c r="X23" s="92">
        <f>Vehi_Comp_Sum!M$186</f>
        <v>4494.675189656592</v>
      </c>
      <c r="Y23" s="92">
        <f t="shared" ca="1" si="9"/>
        <v>14806.691193486862</v>
      </c>
      <c r="Z23" s="92">
        <f t="shared" ca="1" si="10"/>
        <v>19782.743795531682</v>
      </c>
    </row>
    <row r="24" spans="1:26">
      <c r="A24" s="661" t="s">
        <v>885</v>
      </c>
      <c r="B24" s="498">
        <f ca="1">Vehi_Comp_Sum!B187</f>
        <v>24.200380952893905</v>
      </c>
      <c r="C24" s="496">
        <f>Vehi_ADR!J119</f>
        <v>5.4242394675900218</v>
      </c>
      <c r="D24" s="496">
        <f ca="1">Battery_Sum!B240</f>
        <v>0.21484921430244031</v>
      </c>
      <c r="E24" s="496">
        <f>Vehi_Fluids!B118</f>
        <v>5.732987837650807</v>
      </c>
      <c r="F24" s="497">
        <f ca="1">SUM(B24:E24)</f>
        <v>35.572457472437179</v>
      </c>
      <c r="G24" s="369">
        <f t="shared" ref="G24:J25" ca="1" si="11">B24/$F24</f>
        <v>0.68031231667492276</v>
      </c>
      <c r="H24" s="369">
        <f t="shared" ca="1" si="11"/>
        <v>0.15248424913552622</v>
      </c>
      <c r="I24" s="369">
        <f t="shared" ca="1" si="11"/>
        <v>6.0397630517631008E-3</v>
      </c>
      <c r="J24" s="746">
        <f t="shared" ca="1" si="11"/>
        <v>0.16116367113778779</v>
      </c>
      <c r="L24" s="112">
        <v>0</v>
      </c>
      <c r="M24" s="112">
        <v>0</v>
      </c>
      <c r="N24" s="112">
        <v>0</v>
      </c>
      <c r="O24" s="112">
        <v>0</v>
      </c>
      <c r="P24" s="112">
        <v>0</v>
      </c>
      <c r="Q24" s="112">
        <v>0</v>
      </c>
      <c r="R24" s="112">
        <v>0</v>
      </c>
      <c r="S24" s="112">
        <v>0</v>
      </c>
      <c r="T24" s="112">
        <v>0</v>
      </c>
      <c r="U24" s="92">
        <f t="shared" ca="1" si="7"/>
        <v>0.21484921430244031</v>
      </c>
      <c r="V24" s="92">
        <f t="shared" ca="1" si="8"/>
        <v>0.21484921430244031</v>
      </c>
      <c r="W24" s="92">
        <f>Vehi_Comp_Sum!L$187</f>
        <v>2.1182107512860666E-2</v>
      </c>
      <c r="X24" s="92">
        <f>Vehi_Comp_Sum!M$187</f>
        <v>1.385700560284747</v>
      </c>
      <c r="Y24" s="92">
        <f t="shared" ca="1" si="9"/>
        <v>33.950725590337122</v>
      </c>
      <c r="Z24" s="92">
        <f t="shared" ca="1" si="10"/>
        <v>35.572457472437179</v>
      </c>
    </row>
    <row r="25" spans="1:26">
      <c r="A25" s="897" t="s">
        <v>886</v>
      </c>
      <c r="B25" s="501">
        <f ca="1">Vehi_Comp_Sum!B188</f>
        <v>53.355173708414767</v>
      </c>
      <c r="C25" s="499">
        <f>Vehi_ADR!J120</f>
        <v>17.458827230125763</v>
      </c>
      <c r="D25" s="499">
        <f ca="1">Battery_Sum!B241</f>
        <v>0.51648963527125735</v>
      </c>
      <c r="E25" s="499">
        <f>Vehi_Fluids!B119</f>
        <v>6.5283488693717171</v>
      </c>
      <c r="F25" s="500">
        <f ca="1">SUM(B25:E25)</f>
        <v>77.858839443183498</v>
      </c>
      <c r="G25" s="426">
        <f t="shared" ca="1" si="11"/>
        <v>0.68528087613417399</v>
      </c>
      <c r="H25" s="426">
        <f t="shared" ca="1" si="11"/>
        <v>0.22423693128467603</v>
      </c>
      <c r="I25" s="426">
        <f t="shared" ca="1" si="11"/>
        <v>6.6336672748398611E-3</v>
      </c>
      <c r="J25" s="747">
        <f t="shared" ca="1" si="11"/>
        <v>8.3848525306310234E-2</v>
      </c>
      <c r="L25" s="112">
        <v>0</v>
      </c>
      <c r="M25" s="112">
        <v>0</v>
      </c>
      <c r="N25" s="112">
        <v>0</v>
      </c>
      <c r="O25" s="112">
        <v>0</v>
      </c>
      <c r="P25" s="112">
        <v>0</v>
      </c>
      <c r="Q25" s="112">
        <v>0</v>
      </c>
      <c r="R25" s="112">
        <v>0</v>
      </c>
      <c r="S25" s="112">
        <v>0</v>
      </c>
      <c r="T25" s="112">
        <v>0</v>
      </c>
      <c r="U25" s="92">
        <f t="shared" ca="1" si="7"/>
        <v>0.51648963527125735</v>
      </c>
      <c r="V25" s="92">
        <f t="shared" ca="1" si="8"/>
        <v>0.51648963527125735</v>
      </c>
      <c r="W25" s="92">
        <f>Vehi_Comp_Sum!L$188</f>
        <v>8.2332474549564688E-2</v>
      </c>
      <c r="X25" s="92">
        <f>Vehi_Comp_Sum!M$188</f>
        <v>1.4341347130277178</v>
      </c>
      <c r="Y25" s="92">
        <f t="shared" ca="1" si="9"/>
        <v>75.82588262033498</v>
      </c>
      <c r="Z25" s="92">
        <f t="shared" ca="1" si="10"/>
        <v>77.858839443183498</v>
      </c>
    </row>
    <row r="26" spans="1:26">
      <c r="A26" s="230" t="s">
        <v>890</v>
      </c>
      <c r="B26" s="498">
        <f ca="1">Vehi_Comp_Sum!B195</f>
        <v>43.558240251326431</v>
      </c>
      <c r="C26" s="496">
        <f>Vehi_ADR!J127</f>
        <v>6.6802755568844958</v>
      </c>
      <c r="D26" s="496">
        <f ca="1">Battery_Sum!B248</f>
        <v>1.0167836966715877</v>
      </c>
      <c r="E26" s="496">
        <f>Vehi_Fluids!B126</f>
        <v>19208.709560330957</v>
      </c>
      <c r="F26" s="497">
        <f t="shared" ca="1" si="3"/>
        <v>19259.96485983584</v>
      </c>
      <c r="G26" s="369">
        <f t="shared" ca="1" si="4"/>
        <v>2.2615950012536885E-3</v>
      </c>
      <c r="H26" s="369">
        <f t="shared" ca="1" si="0"/>
        <v>3.4684775416259165E-4</v>
      </c>
      <c r="I26" s="369">
        <f t="shared" ca="1" si="1"/>
        <v>5.2792603936259427E-5</v>
      </c>
      <c r="J26" s="746">
        <f t="shared" ca="1" si="2"/>
        <v>0.99733876464064741</v>
      </c>
      <c r="U26" s="535"/>
      <c r="V26" s="535"/>
      <c r="Y26" s="535"/>
      <c r="Z26" s="535"/>
    </row>
    <row r="27" spans="1:26">
      <c r="A27" s="230" t="s">
        <v>891</v>
      </c>
      <c r="B27" s="498">
        <f ca="1">Vehi_Comp_Sum!B196</f>
        <v>132.31371613507466</v>
      </c>
      <c r="C27" s="496">
        <f>Vehi_ADR!J128</f>
        <v>41.171382071924583</v>
      </c>
      <c r="D27" s="496">
        <f ca="1">Battery_Sum!B249</f>
        <v>2.3721448224215012</v>
      </c>
      <c r="E27" s="496">
        <f>Vehi_Fluids!B127</f>
        <v>69.925882606331029</v>
      </c>
      <c r="F27" s="497">
        <f t="shared" ca="1" si="3"/>
        <v>245.78312563575173</v>
      </c>
      <c r="G27" s="369">
        <f ca="1">B27/$F27</f>
        <v>0.53833523270902794</v>
      </c>
      <c r="H27" s="369">
        <f t="shared" ca="1" si="0"/>
        <v>0.16751101999142196</v>
      </c>
      <c r="I27" s="369">
        <f t="shared" ca="1" si="1"/>
        <v>9.6513738129321274E-3</v>
      </c>
      <c r="J27" s="746">
        <f t="shared" ca="1" si="2"/>
        <v>0.28450237348661817</v>
      </c>
      <c r="U27" s="535"/>
      <c r="V27" s="535"/>
      <c r="Y27" s="535"/>
      <c r="Z27" s="535"/>
    </row>
    <row r="28" spans="1:26">
      <c r="A28" s="230" t="s">
        <v>892</v>
      </c>
      <c r="B28" s="498">
        <f ca="1">Vehi_Comp_Sum!B197</f>
        <v>250.72913119091143</v>
      </c>
      <c r="C28" s="496">
        <f>Vehi_ADR!J129</f>
        <v>95.620028716881123</v>
      </c>
      <c r="D28" s="496">
        <f ca="1">Battery_Sum!B250</f>
        <v>2.9026476123166209</v>
      </c>
      <c r="E28" s="496">
        <f>Vehi_Fluids!B128</f>
        <v>334.96598432036228</v>
      </c>
      <c r="F28" s="497">
        <f t="shared" ca="1" si="3"/>
        <v>684.21779184047148</v>
      </c>
      <c r="G28" s="369">
        <f t="shared" ca="1" si="4"/>
        <v>0.36644637742680924</v>
      </c>
      <c r="H28" s="369">
        <f t="shared" ca="1" si="0"/>
        <v>0.13975086567052522</v>
      </c>
      <c r="I28" s="369">
        <f t="shared" ca="1" si="1"/>
        <v>4.242286077520455E-3</v>
      </c>
      <c r="J28" s="746">
        <f t="shared" ca="1" si="2"/>
        <v>0.48956047082514503</v>
      </c>
      <c r="U28" s="535"/>
      <c r="V28" s="535"/>
      <c r="Y28" s="535"/>
      <c r="Z28" s="535"/>
    </row>
    <row r="29" spans="1:26">
      <c r="A29" s="230" t="s">
        <v>893</v>
      </c>
      <c r="B29" s="498">
        <f ca="1">Vehi_Comp_Sum!B198</f>
        <v>26.172831314537003</v>
      </c>
      <c r="C29" s="496">
        <f>Vehi_ADR!J130</f>
        <v>10.440968312981976</v>
      </c>
      <c r="D29" s="496">
        <f ca="1">Battery_Sum!B251</f>
        <v>0.39224460333131805</v>
      </c>
      <c r="E29" s="496">
        <f>Vehi_Fluids!B129</f>
        <v>59.926784028824521</v>
      </c>
      <c r="F29" s="497">
        <f t="shared" ca="1" si="3"/>
        <v>96.932828259674821</v>
      </c>
      <c r="G29" s="369">
        <f t="shared" ca="1" si="4"/>
        <v>0.27000998304126861</v>
      </c>
      <c r="H29" s="369">
        <f t="shared" ca="1" si="0"/>
        <v>0.10771343930057944</v>
      </c>
      <c r="I29" s="369">
        <f t="shared" ca="1" si="1"/>
        <v>4.046561009037393E-3</v>
      </c>
      <c r="J29" s="746">
        <f t="shared" ca="1" si="2"/>
        <v>0.61823001664911448</v>
      </c>
      <c r="U29" s="535"/>
      <c r="V29" s="535"/>
      <c r="Y29" s="535"/>
      <c r="Z29" s="535"/>
    </row>
    <row r="30" spans="1:26">
      <c r="A30" s="230" t="s">
        <v>894</v>
      </c>
      <c r="B30" s="498">
        <f ca="1">Vehi_Comp_Sum!B199</f>
        <v>22.548288144571796</v>
      </c>
      <c r="C30" s="496">
        <f>Vehi_ADR!J131</f>
        <v>9.1844793924853896</v>
      </c>
      <c r="D30" s="496">
        <f ca="1">Battery_Sum!B252</f>
        <v>0.33141125642966485</v>
      </c>
      <c r="E30" s="496">
        <f>Vehi_Fluids!B130</f>
        <v>34.000814113336418</v>
      </c>
      <c r="F30" s="497">
        <f ca="1">SUM(B30:E30)</f>
        <v>66.064992906823278</v>
      </c>
      <c r="G30" s="369">
        <f ca="1">B30/$F30</f>
        <v>0.34130463279354989</v>
      </c>
      <c r="H30" s="369">
        <f ca="1">C30/$F30</f>
        <v>0.13902187812899627</v>
      </c>
      <c r="I30" s="369">
        <f ca="1">D30/$F30</f>
        <v>5.0164427762382502E-3</v>
      </c>
      <c r="J30" s="746">
        <f ca="1">E30/$F30</f>
        <v>0.51465704630121545</v>
      </c>
      <c r="U30" s="535"/>
      <c r="V30" s="535"/>
      <c r="Y30" s="535"/>
      <c r="Z30" s="535"/>
    </row>
    <row r="31" spans="1:26">
      <c r="A31" s="230" t="s">
        <v>895</v>
      </c>
      <c r="B31" s="498">
        <f ca="1">Vehi_Comp_Sum!B200</f>
        <v>238.75931089469762</v>
      </c>
      <c r="C31" s="496">
        <f>Vehi_ADR!J132</f>
        <v>77.903979866860453</v>
      </c>
      <c r="D31" s="496">
        <f ca="1">Battery_Sum!B253</f>
        <v>5.1909062633506657</v>
      </c>
      <c r="E31" s="496">
        <f>Vehi_Fluids!B131</f>
        <v>674.0516207983195</v>
      </c>
      <c r="F31" s="497">
        <f t="shared" ca="1" si="3"/>
        <v>995.90581782322829</v>
      </c>
      <c r="G31" s="369">
        <f t="shared" ca="1" si="4"/>
        <v>0.2397408536246517</v>
      </c>
      <c r="H31" s="369">
        <f t="shared" ca="1" si="0"/>
        <v>7.822424417314558E-2</v>
      </c>
      <c r="I31" s="369">
        <f t="shared" ca="1" si="1"/>
        <v>5.2122461486333472E-3</v>
      </c>
      <c r="J31" s="746">
        <f t="shared" ca="1" si="2"/>
        <v>0.67682265605356928</v>
      </c>
      <c r="U31" s="535"/>
      <c r="V31" s="535"/>
      <c r="Y31" s="535"/>
      <c r="Z31" s="535"/>
    </row>
    <row r="32" spans="1:26">
      <c r="A32" s="661" t="s">
        <v>896</v>
      </c>
      <c r="B32" s="498">
        <f ca="1">Vehi_Comp_Sum!B201</f>
        <v>1.315417106707256</v>
      </c>
      <c r="C32" s="496">
        <f>Vehi_ADR!J133</f>
        <v>0.48156408344236989</v>
      </c>
      <c r="D32" s="496">
        <f ca="1">Battery_Sum!B254</f>
        <v>2.1307831112814285E-2</v>
      </c>
      <c r="E32" s="496">
        <f>Vehi_Fluids!B132</f>
        <v>2.4653929222207505</v>
      </c>
      <c r="F32" s="497">
        <f ca="1">SUM(B32:E32)</f>
        <v>4.2836819434831908</v>
      </c>
      <c r="G32" s="369">
        <f t="shared" ref="G32:J33" ca="1" si="12">B32/$F32</f>
        <v>0.30707627785214386</v>
      </c>
      <c r="H32" s="369">
        <f t="shared" ca="1" si="12"/>
        <v>0.11241826302603494</v>
      </c>
      <c r="I32" s="369">
        <f t="shared" ca="1" si="12"/>
        <v>4.9741860842937016E-3</v>
      </c>
      <c r="J32" s="746">
        <f t="shared" ca="1" si="12"/>
        <v>0.57553127303752749</v>
      </c>
      <c r="U32" s="535"/>
      <c r="V32" s="535"/>
      <c r="Y32" s="535"/>
      <c r="Z32" s="535"/>
    </row>
    <row r="33" spans="1:26">
      <c r="A33" s="897" t="s">
        <v>897</v>
      </c>
      <c r="B33" s="501">
        <f ca="1">Vehi_Comp_Sum!B202</f>
        <v>5.2314633701279316</v>
      </c>
      <c r="C33" s="499">
        <f>Vehi_ADR!J134</f>
        <v>2.6308995653983809</v>
      </c>
      <c r="D33" s="499">
        <f ca="1">Battery_Sum!B255</f>
        <v>7.8927096471503727E-2</v>
      </c>
      <c r="E33" s="499">
        <f>Vehi_Fluids!B133</f>
        <v>2.348751042831172</v>
      </c>
      <c r="F33" s="500">
        <f ca="1">SUM(B33:E33)</f>
        <v>10.290041074828988</v>
      </c>
      <c r="G33" s="426">
        <f t="shared" ca="1" si="12"/>
        <v>0.50840063048192197</v>
      </c>
      <c r="H33" s="426">
        <f t="shared" ca="1" si="12"/>
        <v>0.25567435020584739</v>
      </c>
      <c r="I33" s="426">
        <f t="shared" ca="1" si="12"/>
        <v>7.6702411484606669E-3</v>
      </c>
      <c r="J33" s="747">
        <f t="shared" ca="1" si="12"/>
        <v>0.22825477816376999</v>
      </c>
      <c r="U33" s="535"/>
      <c r="V33" s="535"/>
      <c r="Y33" s="535"/>
      <c r="Z33" s="535"/>
    </row>
    <row r="35" spans="1:26">
      <c r="A35" s="3" t="s">
        <v>1897</v>
      </c>
    </row>
    <row r="36" spans="1:26">
      <c r="A36" s="178"/>
      <c r="B36" s="2984" t="s">
        <v>1875</v>
      </c>
      <c r="C36" s="2985"/>
      <c r="D36" s="2985"/>
      <c r="E36" s="2985"/>
      <c r="F36" s="3004"/>
      <c r="G36" s="2985" t="s">
        <v>1890</v>
      </c>
      <c r="H36" s="2985"/>
      <c r="I36" s="2985"/>
      <c r="J36" s="3004"/>
    </row>
    <row r="37" spans="1:26">
      <c r="A37" s="539"/>
      <c r="B37" s="1725" t="s">
        <v>1891</v>
      </c>
      <c r="C37" s="1726" t="s">
        <v>1892</v>
      </c>
      <c r="D37" s="1726" t="s">
        <v>1893</v>
      </c>
      <c r="E37" s="1726" t="s">
        <v>1418</v>
      </c>
      <c r="F37" s="1727" t="s">
        <v>1894</v>
      </c>
      <c r="G37" s="1726" t="s">
        <v>1891</v>
      </c>
      <c r="H37" s="1726" t="s">
        <v>1892</v>
      </c>
      <c r="I37" s="1726" t="s">
        <v>1893</v>
      </c>
      <c r="J37" s="1727" t="s">
        <v>1418</v>
      </c>
    </row>
    <row r="38" spans="1:26">
      <c r="A38" s="95" t="s">
        <v>876</v>
      </c>
      <c r="B38" s="498">
        <f ca="1">Vehi_Comp_Sum!C174</f>
        <v>97.134833847607368</v>
      </c>
      <c r="C38" s="496">
        <f>Vehi_ADR!J106</f>
        <v>14.096115653906098</v>
      </c>
      <c r="D38" s="496">
        <f ca="1">Battery_Sum!C227</f>
        <v>0.48527983809132769</v>
      </c>
      <c r="E38" s="496">
        <f>Vehi_Fluids!C105</f>
        <v>11.904484848690602</v>
      </c>
      <c r="F38" s="497">
        <f ca="1">SUM(B38:E38)</f>
        <v>123.62071418829539</v>
      </c>
      <c r="G38" s="369">
        <f t="shared" ref="G38:G64" ca="1" si="13">B38/$F38</f>
        <v>0.78574884868934247</v>
      </c>
      <c r="H38" s="369">
        <f t="shared" ref="H38:H64" ca="1" si="14">C38/$F38</f>
        <v>0.11402713328799666</v>
      </c>
      <c r="I38" s="369">
        <f t="shared" ref="I38:I64" ca="1" si="15">D38/$F38</f>
        <v>3.9255543965889391E-3</v>
      </c>
      <c r="J38" s="746">
        <f t="shared" ref="J38:J64" ca="1" si="16">E38/$F38</f>
        <v>9.6298463626071959E-2</v>
      </c>
    </row>
    <row r="39" spans="1:26">
      <c r="A39" s="95" t="s">
        <v>877</v>
      </c>
      <c r="B39" s="498">
        <f ca="1">Vehi_Comp_Sum!C175</f>
        <v>86.826500567906066</v>
      </c>
      <c r="C39" s="496">
        <f>Vehi_ADR!J107</f>
        <v>12.373726900986338</v>
      </c>
      <c r="D39" s="496">
        <f ca="1">Battery_Sum!C228</f>
        <v>0.46113854755437617</v>
      </c>
      <c r="E39" s="496">
        <f>Vehi_Fluids!C106</f>
        <v>11.799381898983951</v>
      </c>
      <c r="F39" s="497">
        <f t="shared" ref="F39:F62" ca="1" si="17">SUM(B39:E39)</f>
        <v>111.46074791543073</v>
      </c>
      <c r="G39" s="369">
        <f t="shared" ca="1" si="13"/>
        <v>0.77898724162325239</v>
      </c>
      <c r="H39" s="369">
        <f t="shared" ca="1" si="14"/>
        <v>0.11101421022560093</v>
      </c>
      <c r="I39" s="369">
        <f t="shared" ca="1" si="15"/>
        <v>4.1372281828241323E-3</v>
      </c>
      <c r="J39" s="746">
        <f t="shared" ca="1" si="16"/>
        <v>0.10586131996832253</v>
      </c>
    </row>
    <row r="40" spans="1:26">
      <c r="A40" s="95" t="s">
        <v>442</v>
      </c>
      <c r="B40" s="498">
        <f ca="1">Vehi_Comp_Sum!C176</f>
        <v>17.077554473173727</v>
      </c>
      <c r="C40" s="496">
        <f>Vehi_ADR!J108</f>
        <v>2.2768602194752541</v>
      </c>
      <c r="D40" s="496">
        <f ca="1">Battery_Sum!C229</f>
        <v>0.20631637369222966</v>
      </c>
      <c r="E40" s="496">
        <f>Vehi_Fluids!C107</f>
        <v>0.14265858643336127</v>
      </c>
      <c r="F40" s="497">
        <f ca="1">SUM(B40:E40)</f>
        <v>19.703389652774568</v>
      </c>
      <c r="G40" s="369">
        <f t="shared" ca="1" si="13"/>
        <v>0.86673180473639577</v>
      </c>
      <c r="H40" s="369">
        <f t="shared" ca="1" si="14"/>
        <v>0.11555677777273383</v>
      </c>
      <c r="I40" s="369">
        <f t="shared" ca="1" si="15"/>
        <v>1.0471110673242807E-2</v>
      </c>
      <c r="J40" s="746">
        <f t="shared" ca="1" si="16"/>
        <v>7.2403068176278259E-3</v>
      </c>
    </row>
    <row r="41" spans="1:26">
      <c r="A41" s="95" t="s">
        <v>878</v>
      </c>
      <c r="B41" s="498">
        <f ca="1">B39-B40-B42</f>
        <v>50.353589745418155</v>
      </c>
      <c r="C41" s="496">
        <f>C39-C40-C42</f>
        <v>10.004591508550437</v>
      </c>
      <c r="D41" s="496">
        <f ca="1">D39-D40-D42</f>
        <v>0.15810014649915949</v>
      </c>
      <c r="E41" s="496">
        <f>E39-E40-E42</f>
        <v>3.0625502085656144</v>
      </c>
      <c r="F41" s="497">
        <f ca="1">F39-F40-F42</f>
        <v>63.578831609033386</v>
      </c>
      <c r="G41" s="369">
        <f t="shared" ca="1" si="13"/>
        <v>0.79198671115975394</v>
      </c>
      <c r="H41" s="369">
        <f t="shared" ca="1" si="14"/>
        <v>0.15735727215108131</v>
      </c>
      <c r="I41" s="369">
        <f t="shared" ca="1" si="15"/>
        <v>2.4866790171824476E-3</v>
      </c>
      <c r="J41" s="746">
        <f t="shared" ca="1" si="16"/>
        <v>4.8169337671982039E-2</v>
      </c>
    </row>
    <row r="42" spans="1:26">
      <c r="A42" s="95" t="s">
        <v>440</v>
      </c>
      <c r="B42" s="498">
        <f ca="1">Vehi_Comp_Sum!C178</f>
        <v>19.395356349314177</v>
      </c>
      <c r="C42" s="496">
        <f>Vehi_ADR!J110</f>
        <v>9.2275172960647592E-2</v>
      </c>
      <c r="D42" s="496">
        <f ca="1">Battery_Sum!C231</f>
        <v>9.6722027362987018E-2</v>
      </c>
      <c r="E42" s="496">
        <f>Vehi_Fluids!C109</f>
        <v>8.5941731039849749</v>
      </c>
      <c r="F42" s="497">
        <f t="shared" ca="1" si="17"/>
        <v>28.178526653622786</v>
      </c>
      <c r="G42" s="369">
        <f t="shared" ca="1" si="13"/>
        <v>0.68830271318747616</v>
      </c>
      <c r="H42" s="369">
        <f t="shared" ca="1" si="14"/>
        <v>3.2746627989076989E-3</v>
      </c>
      <c r="I42" s="369">
        <f t="shared" ca="1" si="15"/>
        <v>3.4324728383395412E-3</v>
      </c>
      <c r="J42" s="746">
        <f t="shared" ca="1" si="16"/>
        <v>0.30499015117527661</v>
      </c>
    </row>
    <row r="43" spans="1:26">
      <c r="A43" s="477" t="s">
        <v>819</v>
      </c>
      <c r="B43" s="598">
        <f ca="1">Vehi_Comp_Sum!C179</f>
        <v>5077.8953125698345</v>
      </c>
      <c r="C43" s="535">
        <f>Vehi_ADR!J111</f>
        <v>459.06790690026895</v>
      </c>
      <c r="D43" s="535">
        <f ca="1">Battery_Sum!C232</f>
        <v>11.85339822269092</v>
      </c>
      <c r="E43" s="535">
        <f>Vehi_Fluids!C110</f>
        <v>244.52750845776495</v>
      </c>
      <c r="F43" s="599">
        <f t="shared" ref="F43:F48" ca="1" si="18">SUM(B43:E43)</f>
        <v>5793.3441261505595</v>
      </c>
      <c r="G43" s="369">
        <f t="shared" ca="1" si="13"/>
        <v>0.8765050378500282</v>
      </c>
      <c r="H43" s="369">
        <f t="shared" ca="1" si="14"/>
        <v>7.924057278560126E-2</v>
      </c>
      <c r="I43" s="369">
        <f t="shared" ca="1" si="15"/>
        <v>2.0460373084322577E-3</v>
      </c>
      <c r="J43" s="746">
        <f t="shared" ca="1" si="16"/>
        <v>4.2208352055938286E-2</v>
      </c>
    </row>
    <row r="44" spans="1:26">
      <c r="A44" s="640" t="s">
        <v>889</v>
      </c>
      <c r="B44" s="898">
        <f ca="1">Vehi_Comp_Sum!C191</f>
        <v>5089875.6487105908</v>
      </c>
      <c r="C44" s="632">
        <f>Vehi_ADR!J123</f>
        <v>828288.3486815989</v>
      </c>
      <c r="D44" s="632">
        <f ca="1">Battery_Sum!C244</f>
        <v>21472.356339879007</v>
      </c>
      <c r="E44" s="632">
        <f>Vehi_Fluids!C122</f>
        <v>631835.11621996353</v>
      </c>
      <c r="F44" s="899">
        <f t="shared" ca="1" si="18"/>
        <v>6571471.4699520329</v>
      </c>
      <c r="G44" s="458">
        <f t="shared" ca="1" si="13"/>
        <v>0.77454123813577835</v>
      </c>
      <c r="H44" s="458">
        <f t="shared" ca="1" si="14"/>
        <v>0.12604305633356799</v>
      </c>
      <c r="I44" s="458">
        <f t="shared" ca="1" si="15"/>
        <v>3.2675111560722852E-3</v>
      </c>
      <c r="J44" s="896">
        <f t="shared" ca="1" si="16"/>
        <v>9.6148194374581303E-2</v>
      </c>
    </row>
    <row r="45" spans="1:26">
      <c r="A45" s="230" t="s">
        <v>1895</v>
      </c>
      <c r="B45" s="517">
        <f ca="1">Vehi_Comp_Sum!C192</f>
        <v>5115918.6398377558</v>
      </c>
      <c r="C45" s="246">
        <f>Vehi_ADR!J124</f>
        <v>834381.00943205075</v>
      </c>
      <c r="D45" s="246">
        <f ca="1">Battery_Sum!C245</f>
        <v>21552.421469764449</v>
      </c>
      <c r="E45" s="246">
        <f>Vehi_Fluids!C123</f>
        <v>718027.75527943484</v>
      </c>
      <c r="F45" s="247">
        <f t="shared" ca="1" si="18"/>
        <v>6689879.8260190058</v>
      </c>
      <c r="G45" s="382">
        <f t="shared" ca="1" si="13"/>
        <v>0.76472504333192515</v>
      </c>
      <c r="H45" s="382">
        <f t="shared" ca="1" si="14"/>
        <v>0.12472286963764068</v>
      </c>
      <c r="I45" s="382">
        <f t="shared" ca="1" si="15"/>
        <v>3.2216455347882987E-3</v>
      </c>
      <c r="J45" s="588">
        <f t="shared" ca="1" si="16"/>
        <v>0.10733044149564593</v>
      </c>
    </row>
    <row r="46" spans="1:26">
      <c r="A46" s="95" t="s">
        <v>887</v>
      </c>
      <c r="B46" s="498">
        <f ca="1">Vehi_Comp_Sum!C189</f>
        <v>15373.180070240769</v>
      </c>
      <c r="C46" s="496">
        <f>Vehi_ADR!J121</f>
        <v>2240.0809170636567</v>
      </c>
      <c r="D46" s="496">
        <f ca="1">Battery_Sum!C242</f>
        <v>115.27650983474085</v>
      </c>
      <c r="E46" s="496">
        <f>Vehi_Fluids!C120</f>
        <v>1376.6152875984117</v>
      </c>
      <c r="F46" s="497">
        <f t="shared" ca="1" si="18"/>
        <v>19105.15278473758</v>
      </c>
      <c r="G46" s="369">
        <f t="shared" ca="1" si="13"/>
        <v>0.80466145669988309</v>
      </c>
      <c r="H46" s="369">
        <f t="shared" ca="1" si="14"/>
        <v>0.11725009175813432</v>
      </c>
      <c r="I46" s="369">
        <f t="shared" ca="1" si="15"/>
        <v>6.0337915709750885E-3</v>
      </c>
      <c r="J46" s="746">
        <f t="shared" ca="1" si="16"/>
        <v>7.2054659971007406E-2</v>
      </c>
    </row>
    <row r="47" spans="1:26">
      <c r="A47" s="95" t="s">
        <v>888</v>
      </c>
      <c r="B47" s="498">
        <f ca="1">Vehi_Comp_Sum!C190</f>
        <v>138.69550065504396</v>
      </c>
      <c r="C47" s="496">
        <f>Vehi_ADR!J122</f>
        <v>21.36502696769179</v>
      </c>
      <c r="D47" s="496">
        <f ca="1">Battery_Sum!C243</f>
        <v>0.39835444769274853</v>
      </c>
      <c r="E47" s="496">
        <f>Vehi_Fluids!C121</f>
        <v>14.892348209602856</v>
      </c>
      <c r="F47" s="497">
        <f t="shared" ca="1" si="18"/>
        <v>175.35123028003136</v>
      </c>
      <c r="G47" s="369">
        <f t="shared" ca="1" si="13"/>
        <v>0.79095824097470457</v>
      </c>
      <c r="H47" s="369">
        <f t="shared" ca="1" si="14"/>
        <v>0.12184132916303123</v>
      </c>
      <c r="I47" s="369">
        <f t="shared" ca="1" si="15"/>
        <v>2.2717516555577446E-3</v>
      </c>
      <c r="J47" s="746">
        <f t="shared" ca="1" si="16"/>
        <v>8.4928678206706409E-2</v>
      </c>
    </row>
    <row r="48" spans="1:26">
      <c r="A48" s="589" t="s">
        <v>1896</v>
      </c>
      <c r="B48" s="517">
        <f ca="1">Vehi_Comp_Sum!C193</f>
        <v>5778967.2314620344</v>
      </c>
      <c r="C48" s="246">
        <f>Vehi_ADR!J125</f>
        <v>907245.16909039882</v>
      </c>
      <c r="D48" s="246">
        <f ca="1">Battery_Sum!C246</f>
        <v>25116.280693445246</v>
      </c>
      <c r="E48" s="246">
        <f>Vehi_Fluids!C124</f>
        <v>763272.686182932</v>
      </c>
      <c r="F48" s="247">
        <f t="shared" ca="1" si="18"/>
        <v>7474601.3674288103</v>
      </c>
      <c r="G48" s="368">
        <f t="shared" ca="1" si="13"/>
        <v>0.77314721513368712</v>
      </c>
      <c r="H48" s="368">
        <f t="shared" ca="1" si="14"/>
        <v>0.12137706407244594</v>
      </c>
      <c r="I48" s="368">
        <f t="shared" ca="1" si="15"/>
        <v>3.3602167471955767E-3</v>
      </c>
      <c r="J48" s="428">
        <f t="shared" ca="1" si="16"/>
        <v>0.10211550404667137</v>
      </c>
    </row>
    <row r="49" spans="1:10">
      <c r="A49" s="393" t="s">
        <v>879</v>
      </c>
      <c r="B49" s="508">
        <f ca="1">Vehi_Comp_Sum!C181</f>
        <v>2843.7640683364639</v>
      </c>
      <c r="C49" s="506">
        <f>Vehi_ADR!J113</f>
        <v>1724.21746234342</v>
      </c>
      <c r="D49" s="506">
        <f ca="1">Battery_Sum!C234</f>
        <v>13.605929836874276</v>
      </c>
      <c r="E49" s="506">
        <f>Vehi_Fluids!C112</f>
        <v>27502.587620200975</v>
      </c>
      <c r="F49" s="507">
        <f t="shared" ca="1" si="17"/>
        <v>32084.175080717734</v>
      </c>
      <c r="G49" s="458">
        <f t="shared" ca="1" si="13"/>
        <v>8.8634476690832464E-2</v>
      </c>
      <c r="H49" s="458">
        <f t="shared" ca="1" si="14"/>
        <v>5.3740433032970741E-2</v>
      </c>
      <c r="I49" s="458">
        <f t="shared" ca="1" si="15"/>
        <v>4.2406980396548523E-4</v>
      </c>
      <c r="J49" s="896">
        <f t="shared" ca="1" si="16"/>
        <v>0.85720102047223123</v>
      </c>
    </row>
    <row r="50" spans="1:10">
      <c r="A50" s="230" t="s">
        <v>880</v>
      </c>
      <c r="B50" s="498">
        <f ca="1">Vehi_Comp_Sum!C182</f>
        <v>10932.680466602204</v>
      </c>
      <c r="C50" s="496">
        <f>Vehi_ADR!J114</f>
        <v>457.44978330654908</v>
      </c>
      <c r="D50" s="496">
        <f ca="1">Battery_Sum!C235</f>
        <v>23.965443023361182</v>
      </c>
      <c r="E50" s="496">
        <f>Vehi_Fluids!C113</f>
        <v>303.06243959827975</v>
      </c>
      <c r="F50" s="497">
        <f t="shared" ca="1" si="17"/>
        <v>11717.158132530392</v>
      </c>
      <c r="G50" s="369">
        <f t="shared" ca="1" si="13"/>
        <v>0.93304881123433503</v>
      </c>
      <c r="H50" s="369">
        <f t="shared" ca="1" si="14"/>
        <v>3.904101814897671E-2</v>
      </c>
      <c r="I50" s="369">
        <f t="shared" ca="1" si="15"/>
        <v>2.0453289741670234E-3</v>
      </c>
      <c r="J50" s="746">
        <f t="shared" ca="1" si="16"/>
        <v>2.5864841642521348E-2</v>
      </c>
    </row>
    <row r="51" spans="1:10">
      <c r="A51" s="230" t="s">
        <v>881</v>
      </c>
      <c r="B51" s="498">
        <f ca="1">Vehi_Comp_Sum!C183</f>
        <v>5471.6753817035496</v>
      </c>
      <c r="C51" s="496">
        <f>Vehi_ADR!J115</f>
        <v>725.01502646481504</v>
      </c>
      <c r="D51" s="496">
        <f ca="1">Battery_Sum!C236</f>
        <v>27.957738998979906</v>
      </c>
      <c r="E51" s="496">
        <f>Vehi_Fluids!C114</f>
        <v>831.89004954831967</v>
      </c>
      <c r="F51" s="497">
        <f t="shared" ca="1" si="17"/>
        <v>7056.5381967156636</v>
      </c>
      <c r="G51" s="369">
        <f t="shared" ca="1" si="13"/>
        <v>0.77540505403205229</v>
      </c>
      <c r="H51" s="369">
        <f t="shared" ca="1" si="14"/>
        <v>0.10274372592530712</v>
      </c>
      <c r="I51" s="369">
        <f t="shared" ca="1" si="15"/>
        <v>3.9619623985019062E-3</v>
      </c>
      <c r="J51" s="746">
        <f t="shared" ca="1" si="16"/>
        <v>0.11788925764413882</v>
      </c>
    </row>
    <row r="52" spans="1:10">
      <c r="A52" s="230" t="s">
        <v>882</v>
      </c>
      <c r="B52" s="498">
        <f ca="1">Vehi_Comp_Sum!C184</f>
        <v>2816.5547026366057</v>
      </c>
      <c r="C52" s="496">
        <f>Vehi_ADR!J116</f>
        <v>131.06644114303808</v>
      </c>
      <c r="D52" s="496">
        <f ca="1">Battery_Sum!C237</f>
        <v>32.357522551868527</v>
      </c>
      <c r="E52" s="496">
        <f>Vehi_Fluids!C115</f>
        <v>136.19606015600155</v>
      </c>
      <c r="F52" s="497">
        <f t="shared" ca="1" si="17"/>
        <v>3116.1747264875139</v>
      </c>
      <c r="G52" s="369">
        <f t="shared" ca="1" si="13"/>
        <v>0.90385005651187167</v>
      </c>
      <c r="H52" s="369">
        <f t="shared" ca="1" si="14"/>
        <v>4.2060042406791932E-2</v>
      </c>
      <c r="I52" s="369">
        <f t="shared" ca="1" si="15"/>
        <v>1.0383731783981586E-2</v>
      </c>
      <c r="J52" s="746">
        <f t="shared" ca="1" si="16"/>
        <v>4.3706169297354797E-2</v>
      </c>
    </row>
    <row r="53" spans="1:10">
      <c r="A53" s="230" t="s">
        <v>883</v>
      </c>
      <c r="B53" s="498">
        <f ca="1">Vehi_Comp_Sum!C185</f>
        <v>973.06303114895718</v>
      </c>
      <c r="C53" s="496">
        <f>Vehi_ADR!J117</f>
        <v>80.733623309220008</v>
      </c>
      <c r="D53" s="496">
        <f ca="1">Battery_Sum!C238</f>
        <v>15.990991299643269</v>
      </c>
      <c r="E53" s="496">
        <f>Vehi_Fluids!C116</f>
        <v>72.727792554794846</v>
      </c>
      <c r="F53" s="497">
        <f ca="1">SUM(B53:E53)</f>
        <v>1142.5154383126153</v>
      </c>
      <c r="G53" s="369">
        <f t="shared" ca="1" si="13"/>
        <v>0.85168479875079595</v>
      </c>
      <c r="H53" s="369">
        <f t="shared" ca="1" si="14"/>
        <v>7.066304804463365E-2</v>
      </c>
      <c r="I53" s="369">
        <f t="shared" ca="1" si="15"/>
        <v>1.3996302162236351E-2</v>
      </c>
      <c r="J53" s="746">
        <f t="shared" ca="1" si="16"/>
        <v>6.3655851042334052E-2</v>
      </c>
    </row>
    <row r="54" spans="1:10">
      <c r="A54" s="230" t="s">
        <v>884</v>
      </c>
      <c r="B54" s="498">
        <f ca="1">Vehi_Comp_Sum!C186</f>
        <v>15212.426176348761</v>
      </c>
      <c r="C54" s="496">
        <f>Vehi_ADR!J118</f>
        <v>324.00162905349237</v>
      </c>
      <c r="D54" s="496">
        <f ca="1">Battery_Sum!C239</f>
        <v>311.39736911556713</v>
      </c>
      <c r="E54" s="496">
        <f>Vehi_Fluids!C117</f>
        <v>1562.7378397227392</v>
      </c>
      <c r="F54" s="497">
        <f t="shared" ca="1" si="17"/>
        <v>17410.563014240561</v>
      </c>
      <c r="G54" s="369">
        <f t="shared" ca="1" si="13"/>
        <v>0.87374694109007933</v>
      </c>
      <c r="H54" s="369">
        <f t="shared" ca="1" si="14"/>
        <v>1.860948602227756E-2</v>
      </c>
      <c r="I54" s="369">
        <f t="shared" ca="1" si="15"/>
        <v>1.7885542751309477E-2</v>
      </c>
      <c r="J54" s="746">
        <f t="shared" ca="1" si="16"/>
        <v>8.9758030136333586E-2</v>
      </c>
    </row>
    <row r="55" spans="1:10">
      <c r="A55" s="661" t="s">
        <v>885</v>
      </c>
      <c r="B55" s="498">
        <f ca="1">Vehi_Comp_Sum!C187</f>
        <v>36.025311562554286</v>
      </c>
      <c r="C55" s="496">
        <f>Vehi_ADR!J119</f>
        <v>5.4242394675900218</v>
      </c>
      <c r="D55" s="496">
        <f ca="1">Battery_Sum!C240</f>
        <v>0.13965198929658623</v>
      </c>
      <c r="E55" s="496">
        <f>Vehi_Fluids!C118</f>
        <v>5.732987837650807</v>
      </c>
      <c r="F55" s="497">
        <f ca="1">SUM(B55:E55)</f>
        <v>47.322190857091698</v>
      </c>
      <c r="G55" s="369">
        <f t="shared" ca="1" si="13"/>
        <v>0.76127733965967759</v>
      </c>
      <c r="H55" s="369">
        <f t="shared" ca="1" si="14"/>
        <v>0.11462359137113251</v>
      </c>
      <c r="I55" s="369">
        <f t="shared" ca="1" si="15"/>
        <v>2.951088839447889E-3</v>
      </c>
      <c r="J55" s="746">
        <f t="shared" ca="1" si="16"/>
        <v>0.12114798012974207</v>
      </c>
    </row>
    <row r="56" spans="1:10">
      <c r="A56" s="897" t="s">
        <v>886</v>
      </c>
      <c r="B56" s="501">
        <f ca="1">Vehi_Comp_Sum!C188</f>
        <v>83.751112997760004</v>
      </c>
      <c r="C56" s="499">
        <f>Vehi_ADR!J120</f>
        <v>17.458827230125763</v>
      </c>
      <c r="D56" s="499">
        <f ca="1">Battery_Sum!C241</f>
        <v>0.33571826292631735</v>
      </c>
      <c r="E56" s="499">
        <f>Vehi_Fluids!C119</f>
        <v>6.5283488693717171</v>
      </c>
      <c r="F56" s="500">
        <f ca="1">SUM(B56:E56)</f>
        <v>108.0740073601838</v>
      </c>
      <c r="G56" s="426">
        <f t="shared" ca="1" si="13"/>
        <v>0.77494223674558826</v>
      </c>
      <c r="H56" s="426">
        <f t="shared" ca="1" si="14"/>
        <v>0.16154510836208591</v>
      </c>
      <c r="I56" s="426">
        <f t="shared" ca="1" si="15"/>
        <v>3.1063737815092934E-3</v>
      </c>
      <c r="J56" s="747">
        <f t="shared" ca="1" si="16"/>
        <v>6.0406281110816529E-2</v>
      </c>
    </row>
    <row r="57" spans="1:10">
      <c r="A57" s="230" t="s">
        <v>890</v>
      </c>
      <c r="B57" s="498">
        <f ca="1">Vehi_Comp_Sum!C195</f>
        <v>93.910332429941377</v>
      </c>
      <c r="C57" s="496">
        <f>Vehi_ADR!J127</f>
        <v>6.6802755568844958</v>
      </c>
      <c r="D57" s="496">
        <f ca="1">Battery_Sum!C248</f>
        <v>0.6609094028365321</v>
      </c>
      <c r="E57" s="496">
        <f>Vehi_Fluids!C126</f>
        <v>19208.709560330957</v>
      </c>
      <c r="F57" s="497">
        <f t="shared" ca="1" si="17"/>
        <v>19309.961077720618</v>
      </c>
      <c r="G57" s="369">
        <f t="shared" ca="1" si="13"/>
        <v>4.8633102910959737E-3</v>
      </c>
      <c r="H57" s="369">
        <f t="shared" ca="1" si="14"/>
        <v>3.4594971631465594E-4</v>
      </c>
      <c r="I57" s="369">
        <f t="shared" ca="1" si="15"/>
        <v>3.422634567601868E-5</v>
      </c>
      <c r="J57" s="746">
        <f t="shared" ca="1" si="16"/>
        <v>0.99475651364691342</v>
      </c>
    </row>
    <row r="58" spans="1:10">
      <c r="A58" s="230" t="s">
        <v>891</v>
      </c>
      <c r="B58" s="498">
        <f ca="1">Vehi_Comp_Sum!C196</f>
        <v>236.20291179854559</v>
      </c>
      <c r="C58" s="496">
        <f>Vehi_ADR!J128</f>
        <v>41.171382071924583</v>
      </c>
      <c r="D58" s="496">
        <f ca="1">Battery_Sum!C249</f>
        <v>1.5418941345739756</v>
      </c>
      <c r="E58" s="496">
        <f>Vehi_Fluids!C127</f>
        <v>69.925882606331029</v>
      </c>
      <c r="F58" s="497">
        <f t="shared" ca="1" si="17"/>
        <v>348.84207061137516</v>
      </c>
      <c r="G58" s="369">
        <f t="shared" ca="1" si="13"/>
        <v>0.67710557784667447</v>
      </c>
      <c r="H58" s="369">
        <f t="shared" ca="1" si="14"/>
        <v>0.11802298386707848</v>
      </c>
      <c r="I58" s="369">
        <f t="shared" ca="1" si="15"/>
        <v>4.4200349225988599E-3</v>
      </c>
      <c r="J58" s="746">
        <f t="shared" ca="1" si="16"/>
        <v>0.20045140336364825</v>
      </c>
    </row>
    <row r="59" spans="1:10">
      <c r="A59" s="230" t="s">
        <v>892</v>
      </c>
      <c r="B59" s="498">
        <f ca="1">Vehi_Comp_Sum!C197</f>
        <v>465.1074514542662</v>
      </c>
      <c r="C59" s="496">
        <f>Vehi_ADR!J129</f>
        <v>95.620028716881123</v>
      </c>
      <c r="D59" s="496">
        <f ca="1">Battery_Sum!C250</f>
        <v>1.8867209480058036</v>
      </c>
      <c r="E59" s="496">
        <f>Vehi_Fluids!C128</f>
        <v>334.96598432036228</v>
      </c>
      <c r="F59" s="497">
        <f t="shared" ca="1" si="17"/>
        <v>897.5801854395155</v>
      </c>
      <c r="G59" s="369">
        <f t="shared" ca="1" si="13"/>
        <v>0.5181792769038438</v>
      </c>
      <c r="H59" s="369">
        <f t="shared" ca="1" si="14"/>
        <v>0.10653090416658334</v>
      </c>
      <c r="I59" s="369">
        <f t="shared" ca="1" si="15"/>
        <v>2.1020082423966815E-3</v>
      </c>
      <c r="J59" s="746">
        <f t="shared" ca="1" si="16"/>
        <v>0.37318781068717605</v>
      </c>
    </row>
    <row r="60" spans="1:10">
      <c r="A60" s="230" t="s">
        <v>893</v>
      </c>
      <c r="B60" s="498">
        <f ca="1">Vehi_Comp_Sum!C198</f>
        <v>51.474646613292862</v>
      </c>
      <c r="C60" s="496">
        <f>Vehi_ADR!J130</f>
        <v>10.440968312981976</v>
      </c>
      <c r="D60" s="496">
        <f ca="1">Battery_Sum!C251</f>
        <v>0.25495899216535678</v>
      </c>
      <c r="E60" s="496">
        <f>Vehi_Fluids!C129</f>
        <v>59.926784028824521</v>
      </c>
      <c r="F60" s="497">
        <f t="shared" ca="1" si="17"/>
        <v>122.09735794726473</v>
      </c>
      <c r="G60" s="369">
        <f t="shared" ca="1" si="13"/>
        <v>0.42158689982075914</v>
      </c>
      <c r="H60" s="369">
        <f t="shared" ca="1" si="14"/>
        <v>8.5513466372397276E-2</v>
      </c>
      <c r="I60" s="369">
        <f t="shared" ca="1" si="15"/>
        <v>2.0881614184925816E-3</v>
      </c>
      <c r="J60" s="746">
        <f t="shared" ca="1" si="16"/>
        <v>0.49081147238835093</v>
      </c>
    </row>
    <row r="61" spans="1:10">
      <c r="A61" s="230" t="s">
        <v>894</v>
      </c>
      <c r="B61" s="498">
        <f ca="1">Vehi_Comp_Sum!C199</f>
        <v>44.773820278763445</v>
      </c>
      <c r="C61" s="496">
        <f>Vehi_ADR!J131</f>
        <v>9.1844793924853896</v>
      </c>
      <c r="D61" s="496">
        <f ca="1">Battery_Sum!C252</f>
        <v>0.21541731667928218</v>
      </c>
      <c r="E61" s="496">
        <f>Vehi_Fluids!C130</f>
        <v>34.000814113336418</v>
      </c>
      <c r="F61" s="497">
        <f ca="1">SUM(B61:E61)</f>
        <v>88.174531101264535</v>
      </c>
      <c r="G61" s="369">
        <f t="shared" ca="1" si="13"/>
        <v>0.50778631561241538</v>
      </c>
      <c r="H61" s="369">
        <f t="shared" ca="1" si="14"/>
        <v>0.10416249769377761</v>
      </c>
      <c r="I61" s="369">
        <f t="shared" ca="1" si="15"/>
        <v>2.4430786757673253E-3</v>
      </c>
      <c r="J61" s="746">
        <f t="shared" ca="1" si="16"/>
        <v>0.38560810801803974</v>
      </c>
    </row>
    <row r="62" spans="1:10">
      <c r="A62" s="230" t="s">
        <v>895</v>
      </c>
      <c r="B62" s="498">
        <f ca="1">Vehi_Comp_Sum!C200</f>
        <v>387.3754395770942</v>
      </c>
      <c r="C62" s="496">
        <f>Vehi_ADR!J132</f>
        <v>77.903979866860453</v>
      </c>
      <c r="D62" s="496">
        <f ca="1">Battery_Sum!C253</f>
        <v>3.3740890711779326</v>
      </c>
      <c r="E62" s="496">
        <f>Vehi_Fluids!C131</f>
        <v>674.0516207983195</v>
      </c>
      <c r="F62" s="497">
        <f t="shared" ca="1" si="17"/>
        <v>1142.7051293134521</v>
      </c>
      <c r="G62" s="369">
        <f t="shared" ca="1" si="13"/>
        <v>0.33899860046119945</v>
      </c>
      <c r="H62" s="369">
        <f t="shared" ca="1" si="14"/>
        <v>6.8175050473139903E-2</v>
      </c>
      <c r="I62" s="369">
        <f t="shared" ca="1" si="15"/>
        <v>2.9527206841235736E-3</v>
      </c>
      <c r="J62" s="746">
        <f t="shared" ca="1" si="16"/>
        <v>0.58987362838153712</v>
      </c>
    </row>
    <row r="63" spans="1:10">
      <c r="A63" s="661" t="s">
        <v>896</v>
      </c>
      <c r="B63" s="498">
        <f ca="1">Vehi_Comp_Sum!C201</f>
        <v>2.6717291062586992</v>
      </c>
      <c r="C63" s="496">
        <f>Vehi_ADR!J133</f>
        <v>0.48156408344236989</v>
      </c>
      <c r="D63" s="496">
        <f ca="1">Battery_Sum!C254</f>
        <v>1.3850090223329288E-2</v>
      </c>
      <c r="E63" s="496">
        <f>Vehi_Fluids!C132</f>
        <v>2.4653929222207505</v>
      </c>
      <c r="F63" s="497">
        <f ca="1">SUM(B63:E63)</f>
        <v>5.6325362021451486</v>
      </c>
      <c r="G63" s="369">
        <f t="shared" ca="1" si="13"/>
        <v>0.47433855910969069</v>
      </c>
      <c r="H63" s="369">
        <f t="shared" ca="1" si="14"/>
        <v>8.5496846564246928E-2</v>
      </c>
      <c r="I63" s="369">
        <f t="shared" ca="1" si="15"/>
        <v>2.4589438445250448E-3</v>
      </c>
      <c r="J63" s="746">
        <f t="shared" ca="1" si="16"/>
        <v>0.43770565048153737</v>
      </c>
    </row>
    <row r="64" spans="1:10">
      <c r="A64" s="897" t="s">
        <v>897</v>
      </c>
      <c r="B64" s="501">
        <f ca="1">Vehi_Comp_Sum!C202</f>
        <v>10.473009239078182</v>
      </c>
      <c r="C64" s="499">
        <f>Vehi_ADR!J134</f>
        <v>2.6308995653983809</v>
      </c>
      <c r="D64" s="499">
        <f ca="1">Battery_Sum!C255</f>
        <v>5.130261270647743E-2</v>
      </c>
      <c r="E64" s="499">
        <f>Vehi_Fluids!C133</f>
        <v>2.348751042831172</v>
      </c>
      <c r="F64" s="500">
        <f ca="1">SUM(B64:E64)</f>
        <v>15.503962460014213</v>
      </c>
      <c r="G64" s="426">
        <f t="shared" ca="1" si="13"/>
        <v>0.67550532749861814</v>
      </c>
      <c r="H64" s="426">
        <f t="shared" ca="1" si="14"/>
        <v>0.16969207531195021</v>
      </c>
      <c r="I64" s="426">
        <f t="shared" ca="1" si="15"/>
        <v>3.3090000597453973E-3</v>
      </c>
      <c r="J64" s="747">
        <f t="shared" ca="1" si="16"/>
        <v>0.15149359712968621</v>
      </c>
    </row>
    <row r="66" spans="1:26">
      <c r="A66" s="3" t="s">
        <v>1898</v>
      </c>
    </row>
    <row r="67" spans="1:26">
      <c r="A67" s="178"/>
      <c r="B67" s="2984" t="s">
        <v>1875</v>
      </c>
      <c r="C67" s="2985"/>
      <c r="D67" s="2985"/>
      <c r="E67" s="2985"/>
      <c r="F67" s="3004"/>
      <c r="G67" s="2985" t="s">
        <v>1890</v>
      </c>
      <c r="H67" s="2985"/>
      <c r="I67" s="2985"/>
      <c r="J67" s="3004"/>
    </row>
    <row r="68" spans="1:26">
      <c r="A68" s="539"/>
      <c r="B68" s="1725" t="s">
        <v>1891</v>
      </c>
      <c r="C68" s="1726" t="s">
        <v>1892</v>
      </c>
      <c r="D68" s="1726" t="s">
        <v>1893</v>
      </c>
      <c r="E68" s="1726" t="s">
        <v>1418</v>
      </c>
      <c r="F68" s="1727" t="s">
        <v>1894</v>
      </c>
      <c r="G68" s="1726" t="s">
        <v>1891</v>
      </c>
      <c r="H68" s="1726" t="s">
        <v>1892</v>
      </c>
      <c r="I68" s="1726" t="s">
        <v>1893</v>
      </c>
      <c r="J68" s="1727" t="s">
        <v>1418</v>
      </c>
    </row>
    <row r="69" spans="1:26">
      <c r="A69" s="95" t="s">
        <v>876</v>
      </c>
      <c r="B69" s="498">
        <f ca="1">Vehi_Comp_Sum!D174</f>
        <v>60.329878794075512</v>
      </c>
      <c r="C69" s="496">
        <f>Vehi_ADR!J106</f>
        <v>14.096115653906098</v>
      </c>
      <c r="D69" s="496">
        <f ca="1">Battery_Sum!D227</f>
        <v>5.2968337293315884</v>
      </c>
      <c r="E69" s="496">
        <f>Vehi_Fluids!D105</f>
        <v>10.884735119507255</v>
      </c>
      <c r="F69" s="497">
        <f ca="1">SUM(B69:E69)</f>
        <v>90.607563296820459</v>
      </c>
      <c r="G69" s="369">
        <f t="shared" ref="G69:G95" ca="1" si="19">B69/$F69</f>
        <v>0.66583711777394827</v>
      </c>
      <c r="H69" s="369">
        <f t="shared" ref="H69:H95" ca="1" si="20">C69/$F69</f>
        <v>0.15557327822324021</v>
      </c>
      <c r="I69" s="369">
        <f t="shared" ref="I69:I95" ca="1" si="21">D69/$F69</f>
        <v>5.8459068278657281E-2</v>
      </c>
      <c r="J69" s="746">
        <f t="shared" ref="J69:J95" ca="1" si="22">E69/$F69</f>
        <v>0.12013053572415422</v>
      </c>
    </row>
    <row r="70" spans="1:26">
      <c r="A70" s="95" t="s">
        <v>877</v>
      </c>
      <c r="B70" s="498">
        <f ca="1">Vehi_Comp_Sum!D175</f>
        <v>54.587603118249007</v>
      </c>
      <c r="C70" s="496">
        <f>Vehi_ADR!J107</f>
        <v>12.373726900986338</v>
      </c>
      <c r="D70" s="496">
        <f ca="1">Battery_Sum!D228</f>
        <v>4.6780080241460622</v>
      </c>
      <c r="E70" s="496">
        <f>Vehi_Fluids!D106</f>
        <v>10.784962260046292</v>
      </c>
      <c r="F70" s="497">
        <f t="shared" ref="F70:F93" ca="1" si="23">SUM(B70:E70)</f>
        <v>82.424300303427714</v>
      </c>
      <c r="G70" s="369">
        <f t="shared" ca="1" si="19"/>
        <v>0.66227560218644543</v>
      </c>
      <c r="H70" s="369">
        <f t="shared" ca="1" si="20"/>
        <v>0.15012231654299843</v>
      </c>
      <c r="I70" s="369">
        <f t="shared" ca="1" si="21"/>
        <v>5.6755204556483467E-2</v>
      </c>
      <c r="J70" s="746">
        <f t="shared" ca="1" si="22"/>
        <v>0.13084687671407247</v>
      </c>
    </row>
    <row r="71" spans="1:26">
      <c r="A71" s="95" t="s">
        <v>442</v>
      </c>
      <c r="B71" s="498">
        <f ca="1">Vehi_Comp_Sum!D176</f>
        <v>20.242139702774502</v>
      </c>
      <c r="C71" s="496">
        <f>Vehi_ADR!J108</f>
        <v>2.2768602194752541</v>
      </c>
      <c r="D71" s="496">
        <f ca="1">Battery_Sum!D229</f>
        <v>1.4531946465819394</v>
      </c>
      <c r="E71" s="496">
        <f>Vehi_Fluids!D107</f>
        <v>0.13586594521559447</v>
      </c>
      <c r="F71" s="497">
        <f ca="1">SUM(B71:E71)</f>
        <v>24.108060514047288</v>
      </c>
      <c r="G71" s="369">
        <f t="shared" ca="1" si="19"/>
        <v>0.83964198160942094</v>
      </c>
      <c r="H71" s="369">
        <f t="shared" ca="1" si="20"/>
        <v>9.4443939948988129E-2</v>
      </c>
      <c r="I71" s="369">
        <f t="shared" ca="1" si="21"/>
        <v>6.0278372278648948E-2</v>
      </c>
      <c r="J71" s="746">
        <f t="shared" ca="1" si="22"/>
        <v>5.6357061629419792E-3</v>
      </c>
    </row>
    <row r="72" spans="1:26">
      <c r="A72" s="95" t="s">
        <v>878</v>
      </c>
      <c r="B72" s="498">
        <f ca="1">B70-B71-B73</f>
        <v>26.186481334043727</v>
      </c>
      <c r="C72" s="496">
        <f>C70-C71-C73</f>
        <v>10.004591508550437</v>
      </c>
      <c r="D72" s="496">
        <f ca="1">D70-D71-D73</f>
        <v>2.5331744799756448</v>
      </c>
      <c r="E72" s="496">
        <f>E70-E71-E73</f>
        <v>2.945670850959174</v>
      </c>
      <c r="F72" s="497">
        <f ca="1">F70-F71-F73</f>
        <v>41.669918173528998</v>
      </c>
      <c r="G72" s="369">
        <f t="shared" ca="1" si="19"/>
        <v>0.62842651202225797</v>
      </c>
      <c r="H72" s="369">
        <f t="shared" ca="1" si="20"/>
        <v>0.24009146038846552</v>
      </c>
      <c r="I72" s="369">
        <f t="shared" ca="1" si="21"/>
        <v>6.0791443588311511E-2</v>
      </c>
      <c r="J72" s="746">
        <f t="shared" ca="1" si="22"/>
        <v>7.0690584000964618E-2</v>
      </c>
    </row>
    <row r="73" spans="1:26">
      <c r="A73" s="95" t="s">
        <v>440</v>
      </c>
      <c r="B73" s="498">
        <f ca="1">Vehi_Comp_Sum!D178</f>
        <v>8.1589820814307803</v>
      </c>
      <c r="C73" s="496">
        <f>Vehi_ADR!J110</f>
        <v>9.2275172960647592E-2</v>
      </c>
      <c r="D73" s="496">
        <f ca="1">Battery_Sum!D231</f>
        <v>0.69163889758847819</v>
      </c>
      <c r="E73" s="496">
        <f>Vehi_Fluids!D109</f>
        <v>7.7034254638715245</v>
      </c>
      <c r="F73" s="497">
        <f t="shared" ca="1" si="23"/>
        <v>16.646321615851431</v>
      </c>
      <c r="G73" s="369">
        <f t="shared" ca="1" si="19"/>
        <v>0.49013723690532351</v>
      </c>
      <c r="H73" s="369">
        <f t="shared" ca="1" si="20"/>
        <v>5.5432770728626752E-3</v>
      </c>
      <c r="I73" s="369">
        <f t="shared" ca="1" si="21"/>
        <v>4.1549052910876495E-2</v>
      </c>
      <c r="J73" s="746">
        <f t="shared" ca="1" si="22"/>
        <v>0.4627704331109373</v>
      </c>
    </row>
    <row r="74" spans="1:26">
      <c r="A74" s="477" t="s">
        <v>819</v>
      </c>
      <c r="B74" s="598">
        <f ca="1">Vehi_Comp_Sum!D179</f>
        <v>2910.7931718363798</v>
      </c>
      <c r="C74" s="535">
        <f>Vehi_ADR!J111</f>
        <v>459.06790690026895</v>
      </c>
      <c r="D74" s="535">
        <f ca="1">Battery_Sum!D232</f>
        <v>290.11580948985181</v>
      </c>
      <c r="E74" s="535">
        <f>Vehi_Fluids!D110</f>
        <v>223.07943509845086</v>
      </c>
      <c r="F74" s="599">
        <f t="shared" ref="F74:F79" ca="1" si="24">SUM(B74:E74)</f>
        <v>3883.0563233249513</v>
      </c>
      <c r="G74" s="369">
        <f t="shared" ca="1" si="19"/>
        <v>0.74961394568285578</v>
      </c>
      <c r="H74" s="369">
        <f t="shared" ca="1" si="20"/>
        <v>0.11822334487983478</v>
      </c>
      <c r="I74" s="369">
        <f t="shared" ca="1" si="21"/>
        <v>7.4713263299110183E-2</v>
      </c>
      <c r="J74" s="746">
        <f t="shared" ca="1" si="22"/>
        <v>5.7449446138199266E-2</v>
      </c>
      <c r="L74" s="1321" t="s">
        <v>2744</v>
      </c>
      <c r="M74" s="1321" t="s">
        <v>2745</v>
      </c>
      <c r="N74" s="1321" t="s">
        <v>2751</v>
      </c>
      <c r="O74" s="1321" t="s">
        <v>2752</v>
      </c>
      <c r="P74" s="1321" t="s">
        <v>2746</v>
      </c>
      <c r="Q74" s="1321" t="s">
        <v>2747</v>
      </c>
      <c r="R74" s="1321" t="s">
        <v>2750</v>
      </c>
      <c r="S74" s="1321" t="s">
        <v>2748</v>
      </c>
      <c r="T74" s="1321" t="s">
        <v>2749</v>
      </c>
      <c r="U74" s="1321" t="s">
        <v>2768</v>
      </c>
      <c r="V74" s="1321" t="s">
        <v>2775</v>
      </c>
      <c r="W74" s="1321" t="s">
        <v>2776</v>
      </c>
      <c r="X74" s="1321" t="s">
        <v>2777</v>
      </c>
      <c r="Y74" s="1321" t="s">
        <v>2778</v>
      </c>
      <c r="Z74" s="1321" t="s">
        <v>1894</v>
      </c>
    </row>
    <row r="75" spans="1:26">
      <c r="A75" s="640" t="s">
        <v>889</v>
      </c>
      <c r="B75" s="898">
        <f ca="1">Vehi_Comp_Sum!D191</f>
        <v>3783410.8190479586</v>
      </c>
      <c r="C75" s="632">
        <f>Vehi_ADR!J123</f>
        <v>828288.3486815989</v>
      </c>
      <c r="D75" s="632">
        <f ca="1">Battery_Sum!D244</f>
        <v>291334.65446241054</v>
      </c>
      <c r="E75" s="632">
        <f>Vehi_Fluids!D122</f>
        <v>569101.25534683804</v>
      </c>
      <c r="F75" s="899">
        <f t="shared" ca="1" si="24"/>
        <v>5472135.077538806</v>
      </c>
      <c r="G75" s="458">
        <f t="shared" ca="1" si="19"/>
        <v>0.69139572862108833</v>
      </c>
      <c r="H75" s="458">
        <f t="shared" ca="1" si="20"/>
        <v>0.15136474830115795</v>
      </c>
      <c r="I75" s="458">
        <f t="shared" ca="1" si="21"/>
        <v>5.3239667942086635E-2</v>
      </c>
      <c r="J75" s="896">
        <f t="shared" ca="1" si="22"/>
        <v>0.10399985513566705</v>
      </c>
      <c r="L75" s="112">
        <f>Battery_Sum!L160</f>
        <v>404.70381073280726</v>
      </c>
      <c r="M75" s="112">
        <f>Battery_Sum!M160</f>
        <v>4769.35362353244</v>
      </c>
      <c r="N75" s="112">
        <f>Battery_Sum!N160</f>
        <v>0</v>
      </c>
      <c r="O75" s="112">
        <f>Battery_Sum!O160</f>
        <v>0</v>
      </c>
      <c r="P75" s="112">
        <f ca="1">Battery_Sum!P160</f>
        <v>89145.269746210048</v>
      </c>
      <c r="Q75" s="112">
        <f ca="1">Battery_Sum!Q160</f>
        <v>33497.783533632981</v>
      </c>
      <c r="R75" s="112">
        <f>Battery_Sum!R160</f>
        <v>0</v>
      </c>
      <c r="S75" s="112">
        <f ca="1">Battery_Sum!S160</f>
        <v>3220.8092756152114</v>
      </c>
      <c r="T75" s="112">
        <f ca="1">Battery_Sum!T160</f>
        <v>13910.730989181133</v>
      </c>
      <c r="U75" s="92">
        <f ca="1">V75-SUM(L75:T75)</f>
        <v>146386.00348350592</v>
      </c>
      <c r="V75" s="92">
        <f ca="1">SUM(D75)</f>
        <v>291334.65446241054</v>
      </c>
      <c r="W75" s="92">
        <f>Vehi_Comp_Sum!N$191</f>
        <v>11781.432026430932</v>
      </c>
      <c r="X75" s="92">
        <f>Vehi_Comp_Sum!O$191</f>
        <v>138841.82465175015</v>
      </c>
      <c r="Y75" s="92">
        <f ca="1">SUM(E75,C75,B75)-SUM(W75:X75)</f>
        <v>5030177.1663982142</v>
      </c>
      <c r="Z75" s="92">
        <f ca="1">F75</f>
        <v>5472135.077538806</v>
      </c>
    </row>
    <row r="76" spans="1:26">
      <c r="A76" s="230" t="s">
        <v>1895</v>
      </c>
      <c r="B76" s="517">
        <f ca="1">Vehi_Comp_Sum!D192</f>
        <v>3822975.7885930971</v>
      </c>
      <c r="C76" s="246">
        <f>Vehi_ADR!J124</f>
        <v>834381.00943205075</v>
      </c>
      <c r="D76" s="246">
        <f ca="1">Battery_Sum!D245</f>
        <v>292456.28895653586</v>
      </c>
      <c r="E76" s="246">
        <f>Vehi_Fluids!D123</f>
        <v>655184.88420587475</v>
      </c>
      <c r="F76" s="247">
        <f t="shared" ca="1" si="24"/>
        <v>5604997.971187559</v>
      </c>
      <c r="G76" s="382">
        <f t="shared" ca="1" si="19"/>
        <v>0.68206550800643806</v>
      </c>
      <c r="H76" s="382">
        <f t="shared" ca="1" si="20"/>
        <v>0.14886374869735525</v>
      </c>
      <c r="I76" s="382">
        <f t="shared" ca="1" si="21"/>
        <v>5.2177768923361748E-2</v>
      </c>
      <c r="J76" s="588">
        <f t="shared" ca="1" si="22"/>
        <v>0.11689297437284486</v>
      </c>
      <c r="L76" s="112">
        <f>Battery_Sum!L161</f>
        <v>405.48713922084369</v>
      </c>
      <c r="M76" s="112">
        <f>Battery_Sum!M161</f>
        <v>4776.9485948297715</v>
      </c>
      <c r="N76" s="112">
        <f>Battery_Sum!N161</f>
        <v>0</v>
      </c>
      <c r="O76" s="112">
        <f>Battery_Sum!O161</f>
        <v>0</v>
      </c>
      <c r="P76" s="112">
        <f ca="1">Battery_Sum!P161</f>
        <v>89363.176347342451</v>
      </c>
      <c r="Q76" s="112">
        <f ca="1">Battery_Sum!Q161</f>
        <v>33588.14329569057</v>
      </c>
      <c r="R76" s="112">
        <f>Battery_Sum!R161</f>
        <v>0</v>
      </c>
      <c r="S76" s="112">
        <f ca="1">Battery_Sum!S161</f>
        <v>3228.4300777887329</v>
      </c>
      <c r="T76" s="112">
        <f ca="1">Battery_Sum!T161</f>
        <v>13930.097185608711</v>
      </c>
      <c r="U76" s="92">
        <f t="shared" ref="U76:U87" ca="1" si="25">V76-SUM(L76:T76)</f>
        <v>147164.00631605479</v>
      </c>
      <c r="V76" s="92">
        <f t="shared" ref="V76:V87" ca="1" si="26">SUM(D76)</f>
        <v>292456.28895653586</v>
      </c>
      <c r="W76" s="92">
        <f>Vehi_Comp_Sum!N$192</f>
        <v>11804.235694425699</v>
      </c>
      <c r="X76" s="92">
        <f>Vehi_Comp_Sum!O$192</f>
        <v>139062.92372645414</v>
      </c>
      <c r="Y76" s="92">
        <f t="shared" ref="Y76:Y87" ca="1" si="27">SUM(E76,C76,B76)-SUM(W76:X76)</f>
        <v>5161674.5228101425</v>
      </c>
      <c r="Z76" s="92">
        <f t="shared" ref="Z76:Z87" ca="1" si="28">F76</f>
        <v>5604997.971187559</v>
      </c>
    </row>
    <row r="77" spans="1:26">
      <c r="A77" s="95" t="s">
        <v>887</v>
      </c>
      <c r="B77" s="498">
        <f ca="1">Vehi_Comp_Sum!D189</f>
        <v>10169.27376055887</v>
      </c>
      <c r="C77" s="496">
        <f>Vehi_ADR!J121</f>
        <v>2240.0809170636567</v>
      </c>
      <c r="D77" s="496">
        <f ca="1">Battery_Sum!D242</f>
        <v>894.47959937080714</v>
      </c>
      <c r="E77" s="496">
        <f>Vehi_Fluids!D120</f>
        <v>1279.8021547003659</v>
      </c>
      <c r="F77" s="497">
        <f t="shared" ca="1" si="24"/>
        <v>14583.6364316937</v>
      </c>
      <c r="G77" s="369">
        <f t="shared" ca="1" si="19"/>
        <v>0.69730713654233911</v>
      </c>
      <c r="H77" s="369">
        <f t="shared" ca="1" si="20"/>
        <v>0.15360235614455045</v>
      </c>
      <c r="I77" s="369">
        <f t="shared" ca="1" si="21"/>
        <v>6.1334469188143698E-2</v>
      </c>
      <c r="J77" s="746">
        <f t="shared" ca="1" si="22"/>
        <v>8.7756038124966726E-2</v>
      </c>
      <c r="L77" s="112">
        <f>Battery_Sum!L158</f>
        <v>0.73995453772631914</v>
      </c>
      <c r="M77" s="112">
        <f>Battery_Sum!M158</f>
        <v>10.309362884060963</v>
      </c>
      <c r="N77" s="112">
        <f>Battery_Sum!N158</f>
        <v>0</v>
      </c>
      <c r="O77" s="112">
        <f>Battery_Sum!O158</f>
        <v>0</v>
      </c>
      <c r="P77" s="112">
        <f ca="1">Battery_Sum!P158</f>
        <v>203.31067617417008</v>
      </c>
      <c r="Q77" s="112">
        <f ca="1">Battery_Sum!Q158</f>
        <v>84.001672068381183</v>
      </c>
      <c r="R77" s="112">
        <f>Battery_Sum!R158</f>
        <v>0</v>
      </c>
      <c r="S77" s="112">
        <f ca="1">Battery_Sum!S158</f>
        <v>5.0298543144050099</v>
      </c>
      <c r="T77" s="112">
        <f ca="1">Battery_Sum!T158</f>
        <v>32.628593735985532</v>
      </c>
      <c r="U77" s="92">
        <f t="shared" ca="1" si="25"/>
        <v>558.45948565607807</v>
      </c>
      <c r="V77" s="92">
        <f t="shared" ca="1" si="26"/>
        <v>894.47959937080714</v>
      </c>
      <c r="W77" s="92">
        <f>Vehi_Comp_Sum!N$189</f>
        <v>21.540998274976339</v>
      </c>
      <c r="X77" s="92">
        <f>Vehi_Comp_Sum!O$189</f>
        <v>300.11839481927603</v>
      </c>
      <c r="Y77" s="92">
        <f t="shared" ca="1" si="27"/>
        <v>13367.49743922864</v>
      </c>
      <c r="Z77" s="92">
        <f t="shared" ca="1" si="28"/>
        <v>14583.6364316937</v>
      </c>
    </row>
    <row r="78" spans="1:26">
      <c r="A78" s="95" t="s">
        <v>888</v>
      </c>
      <c r="B78" s="498">
        <f ca="1">Vehi_Comp_Sum!D190</f>
        <v>92.800056039101904</v>
      </c>
      <c r="C78" s="496">
        <f>Vehi_ADR!J122</f>
        <v>21.36502696769179</v>
      </c>
      <c r="D78" s="496">
        <f ca="1">Battery_Sum!D243</f>
        <v>13.177989396505758</v>
      </c>
      <c r="E78" s="496">
        <f>Vehi_Fluids!D121</f>
        <v>13.673601257980243</v>
      </c>
      <c r="F78" s="497">
        <f t="shared" ca="1" si="24"/>
        <v>141.0166736612797</v>
      </c>
      <c r="G78" s="369">
        <f t="shared" ca="1" si="19"/>
        <v>0.65807860609452817</v>
      </c>
      <c r="H78" s="369">
        <f t="shared" ca="1" si="20"/>
        <v>0.15150709779901858</v>
      </c>
      <c r="I78" s="369">
        <f t="shared" ca="1" si="21"/>
        <v>9.3449866986361665E-2</v>
      </c>
      <c r="J78" s="746">
        <f t="shared" ca="1" si="22"/>
        <v>9.6964429120091594E-2</v>
      </c>
      <c r="L78" s="112">
        <f>Battery_Sum!L159</f>
        <v>5.4728205107771417E-3</v>
      </c>
      <c r="M78" s="112">
        <f>Battery_Sum!M159</f>
        <v>0.11737132107718587</v>
      </c>
      <c r="N78" s="112">
        <f>Battery_Sum!N159</f>
        <v>0</v>
      </c>
      <c r="O78" s="112">
        <f>Battery_Sum!O159</f>
        <v>0</v>
      </c>
      <c r="P78" s="112">
        <f ca="1">Battery_Sum!P159</f>
        <v>6.8518294625723142</v>
      </c>
      <c r="Q78" s="112">
        <f ca="1">Battery_Sum!Q159</f>
        <v>0.99101392922197418</v>
      </c>
      <c r="R78" s="112">
        <f>Battery_Sum!R159</f>
        <v>0</v>
      </c>
      <c r="S78" s="112">
        <f ca="1">Battery_Sum!S159</f>
        <v>6.8877375422265921E-2</v>
      </c>
      <c r="T78" s="112">
        <f ca="1">Battery_Sum!T159</f>
        <v>0.33964055162548606</v>
      </c>
      <c r="U78" s="92">
        <f t="shared" ca="1" si="25"/>
        <v>4.8037839360757548</v>
      </c>
      <c r="V78" s="92">
        <f t="shared" ca="1" si="26"/>
        <v>13.177989396505758</v>
      </c>
      <c r="W78" s="92">
        <f>Vehi_Comp_Sum!N$190</f>
        <v>0.15932062197246574</v>
      </c>
      <c r="X78" s="92">
        <f>Vehi_Comp_Sum!O$190</f>
        <v>3.4168253533847164</v>
      </c>
      <c r="Y78" s="92">
        <f t="shared" ca="1" si="27"/>
        <v>124.26253828941677</v>
      </c>
      <c r="Z78" s="92">
        <f t="shared" ca="1" si="28"/>
        <v>141.0166736612797</v>
      </c>
    </row>
    <row r="79" spans="1:26">
      <c r="A79" s="589" t="s">
        <v>1896</v>
      </c>
      <c r="B79" s="517">
        <f ca="1">Vehi_Comp_Sum!D193</f>
        <v>4202108.7638886217</v>
      </c>
      <c r="C79" s="246">
        <f>Vehi_ADR!J125</f>
        <v>907245.16909039882</v>
      </c>
      <c r="D79" s="246">
        <f ca="1">Battery_Sum!D246</f>
        <v>333423.92825018265</v>
      </c>
      <c r="E79" s="246">
        <f>Vehi_Fluids!D124</f>
        <v>697202.45318025048</v>
      </c>
      <c r="F79" s="247">
        <f t="shared" ca="1" si="24"/>
        <v>6139980.3144094534</v>
      </c>
      <c r="G79" s="368">
        <f t="shared" ca="1" si="19"/>
        <v>0.68438472905638015</v>
      </c>
      <c r="H79" s="368">
        <f t="shared" ca="1" si="20"/>
        <v>0.14776027326362171</v>
      </c>
      <c r="I79" s="368">
        <f t="shared" ca="1" si="21"/>
        <v>5.4303745480697288E-2</v>
      </c>
      <c r="J79" s="428">
        <f t="shared" ca="1" si="22"/>
        <v>0.11355125219930087</v>
      </c>
      <c r="L79" s="112">
        <f>Battery_Sum!L162</f>
        <v>429.13607278798912</v>
      </c>
      <c r="M79" s="112">
        <f>Battery_Sum!M162</f>
        <v>5117.3328814370534</v>
      </c>
      <c r="N79" s="112">
        <f>Battery_Sum!N162</f>
        <v>0</v>
      </c>
      <c r="O79" s="112">
        <f>Battery_Sum!O162</f>
        <v>0</v>
      </c>
      <c r="P79" s="112">
        <f ca="1">Battery_Sum!P162</f>
        <v>97278.231440149219</v>
      </c>
      <c r="Q79" s="112">
        <f ca="1">Battery_Sum!Q162</f>
        <v>36370.812148985831</v>
      </c>
      <c r="R79" s="112">
        <f>Battery_Sum!R162</f>
        <v>0</v>
      </c>
      <c r="S79" s="112">
        <f ca="1">Battery_Sum!S162</f>
        <v>3397.5782117077842</v>
      </c>
      <c r="T79" s="112">
        <f ca="1">Battery_Sum!T162</f>
        <v>14998.959743869031</v>
      </c>
      <c r="U79" s="92">
        <f t="shared" ca="1" si="25"/>
        <v>175831.87775124575</v>
      </c>
      <c r="V79" s="92">
        <f t="shared" ca="1" si="26"/>
        <v>333423.92825018265</v>
      </c>
      <c r="W79" s="92">
        <f>Vehi_Comp_Sum!N$193</f>
        <v>12492.685607497691</v>
      </c>
      <c r="X79" s="92">
        <f>Vehi_Comp_Sum!O$193</f>
        <v>148971.93428967934</v>
      </c>
      <c r="Y79" s="92">
        <f t="shared" ca="1" si="27"/>
        <v>5645091.7662620936</v>
      </c>
      <c r="Z79" s="92">
        <f t="shared" ca="1" si="28"/>
        <v>6139980.3144094534</v>
      </c>
    </row>
    <row r="80" spans="1:26">
      <c r="A80" s="393" t="s">
        <v>879</v>
      </c>
      <c r="B80" s="508">
        <f ca="1">Vehi_Comp_Sum!D181</f>
        <v>3488.9069215236927</v>
      </c>
      <c r="C80" s="506">
        <f>Vehi_ADR!J113</f>
        <v>1724.21746234342</v>
      </c>
      <c r="D80" s="506">
        <f ca="1">Battery_Sum!D234</f>
        <v>106.41456637603335</v>
      </c>
      <c r="E80" s="506">
        <f>Vehi_Fluids!D112</f>
        <v>27477.941443330226</v>
      </c>
      <c r="F80" s="507">
        <f t="shared" ca="1" si="23"/>
        <v>32797.480393573373</v>
      </c>
      <c r="G80" s="458">
        <f t="shared" ca="1" si="19"/>
        <v>0.1063772850736223</v>
      </c>
      <c r="H80" s="458">
        <f t="shared" ca="1" si="20"/>
        <v>5.2571643969372674E-2</v>
      </c>
      <c r="I80" s="458">
        <f t="shared" ca="1" si="21"/>
        <v>3.2445957768416E-3</v>
      </c>
      <c r="J80" s="896">
        <f t="shared" ca="1" si="22"/>
        <v>0.83780647518016338</v>
      </c>
      <c r="K80" s="393"/>
      <c r="L80" s="112">
        <f>Battery_Sum!L150</f>
        <v>5.2069566369086238E-2</v>
      </c>
      <c r="M80" s="112">
        <f>Battery_Sum!M150</f>
        <v>0.58020297893696882</v>
      </c>
      <c r="N80" s="112">
        <f>Battery_Sum!N150</f>
        <v>0</v>
      </c>
      <c r="O80" s="112">
        <f>Battery_Sum!O150</f>
        <v>0</v>
      </c>
      <c r="P80" s="112">
        <f ca="1">Battery_Sum!P150</f>
        <v>17.496382724638842</v>
      </c>
      <c r="Q80" s="112">
        <f ca="1">Battery_Sum!Q150</f>
        <v>9.667821718843447</v>
      </c>
      <c r="R80" s="112">
        <f>Battery_Sum!R150</f>
        <v>0</v>
      </c>
      <c r="S80" s="112">
        <f ca="1">Battery_Sum!S150</f>
        <v>0.86913484731719781</v>
      </c>
      <c r="T80" s="112">
        <f ca="1">Battery_Sum!T150</f>
        <v>2.4947282894124774</v>
      </c>
      <c r="U80" s="92">
        <f t="shared" ca="1" si="25"/>
        <v>75.25422625051533</v>
      </c>
      <c r="V80" s="92">
        <f t="shared" ca="1" si="26"/>
        <v>106.41456637603335</v>
      </c>
      <c r="W80" s="92">
        <f>Vehi_Comp_Sum!N$181</f>
        <v>1.5158099344612721</v>
      </c>
      <c r="X80" s="92">
        <f>Vehi_Comp_Sum!O$181</f>
        <v>16.890431413287672</v>
      </c>
      <c r="Y80" s="92">
        <f t="shared" ca="1" si="27"/>
        <v>32672.659585849589</v>
      </c>
      <c r="Z80" s="92">
        <f t="shared" ca="1" si="28"/>
        <v>32797.480393573373</v>
      </c>
    </row>
    <row r="81" spans="1:26">
      <c r="A81" s="230" t="s">
        <v>880</v>
      </c>
      <c r="B81" s="498">
        <f ca="1">Vehi_Comp_Sum!D182</f>
        <v>18258.042498005445</v>
      </c>
      <c r="C81" s="496">
        <f>Vehi_ADR!J114</f>
        <v>457.44978330654908</v>
      </c>
      <c r="D81" s="496">
        <f ca="1">Battery_Sum!D235</f>
        <v>502.71184870667719</v>
      </c>
      <c r="E81" s="496">
        <f>Vehi_Fluids!D113</f>
        <v>282.57389617602286</v>
      </c>
      <c r="F81" s="497">
        <f t="shared" ca="1" si="23"/>
        <v>19500.778026194694</v>
      </c>
      <c r="G81" s="369">
        <f t="shared" ca="1" si="19"/>
        <v>0.93627251556220337</v>
      </c>
      <c r="H81" s="369">
        <f t="shared" ca="1" si="20"/>
        <v>2.345802729983764E-2</v>
      </c>
      <c r="I81" s="369">
        <f t="shared" ca="1" si="21"/>
        <v>2.577906625219786E-2</v>
      </c>
      <c r="J81" s="746">
        <f t="shared" ca="1" si="22"/>
        <v>1.4490390885761147E-2</v>
      </c>
      <c r="K81" s="230"/>
      <c r="L81" s="112">
        <f>Battery_Sum!L151</f>
        <v>0.39521045848207553</v>
      </c>
      <c r="M81" s="112">
        <f>Battery_Sum!M151</f>
        <v>3.6824276446223063</v>
      </c>
      <c r="N81" s="112">
        <f>Battery_Sum!N151</f>
        <v>0</v>
      </c>
      <c r="O81" s="112">
        <f>Battery_Sum!O151</f>
        <v>0</v>
      </c>
      <c r="P81" s="112">
        <f ca="1">Battery_Sum!P151</f>
        <v>103.96667801373736</v>
      </c>
      <c r="Q81" s="112">
        <f ca="1">Battery_Sum!Q151</f>
        <v>38.327153688211801</v>
      </c>
      <c r="R81" s="112">
        <f>Battery_Sum!R151</f>
        <v>0</v>
      </c>
      <c r="S81" s="112">
        <f ca="1">Battery_Sum!S151</f>
        <v>3.1258172693045299</v>
      </c>
      <c r="T81" s="112">
        <f ca="1">Battery_Sum!T151</f>
        <v>7.3760654071855463</v>
      </c>
      <c r="U81" s="92">
        <f t="shared" ca="1" si="25"/>
        <v>345.83849622513355</v>
      </c>
      <c r="V81" s="92">
        <f t="shared" ca="1" si="26"/>
        <v>502.71184870667719</v>
      </c>
      <c r="W81" s="92">
        <f>Vehi_Comp_Sum!N$182</f>
        <v>11.50506871756453</v>
      </c>
      <c r="X81" s="92">
        <f>Vehi_Comp_Sum!O$182</f>
        <v>107.20005553891593</v>
      </c>
      <c r="Y81" s="92">
        <f t="shared" ca="1" si="27"/>
        <v>18879.361053231536</v>
      </c>
      <c r="Z81" s="92">
        <f t="shared" ca="1" si="28"/>
        <v>19500.778026194694</v>
      </c>
    </row>
    <row r="82" spans="1:26">
      <c r="A82" s="230" t="s">
        <v>881</v>
      </c>
      <c r="B82" s="498">
        <f ca="1">Vehi_Comp_Sum!D183</f>
        <v>4201.1864654497167</v>
      </c>
      <c r="C82" s="496">
        <f>Vehi_ADR!J115</f>
        <v>725.01502646481504</v>
      </c>
      <c r="D82" s="496">
        <f ca="1">Battery_Sum!D236</f>
        <v>346.0739278039573</v>
      </c>
      <c r="E82" s="496">
        <f>Vehi_Fluids!D114</f>
        <v>749.31242935723196</v>
      </c>
      <c r="F82" s="497">
        <f t="shared" ca="1" si="23"/>
        <v>6021.5878490757204</v>
      </c>
      <c r="G82" s="369">
        <f t="shared" ca="1" si="19"/>
        <v>0.69768748223021859</v>
      </c>
      <c r="H82" s="369">
        <f t="shared" ca="1" si="20"/>
        <v>0.12040263210244466</v>
      </c>
      <c r="I82" s="369">
        <f t="shared" ca="1" si="21"/>
        <v>5.7472204421476256E-2</v>
      </c>
      <c r="J82" s="746">
        <f t="shared" ca="1" si="22"/>
        <v>0.12443768124586062</v>
      </c>
      <c r="K82" s="230"/>
      <c r="L82" s="112">
        <f>Battery_Sum!L152</f>
        <v>0.37468038044382346</v>
      </c>
      <c r="M82" s="112">
        <f>Battery_Sum!M152</f>
        <v>5.3008068585293042</v>
      </c>
      <c r="N82" s="112">
        <f>Battery_Sum!N152</f>
        <v>0</v>
      </c>
      <c r="O82" s="112">
        <f>Battery_Sum!O152</f>
        <v>0</v>
      </c>
      <c r="P82" s="112">
        <f ca="1">Battery_Sum!P152</f>
        <v>132.08723387299844</v>
      </c>
      <c r="Q82" s="112">
        <f ca="1">Battery_Sum!Q152</f>
        <v>36.271030856019713</v>
      </c>
      <c r="R82" s="112">
        <f>Battery_Sum!R152</f>
        <v>0</v>
      </c>
      <c r="S82" s="112">
        <f ca="1">Battery_Sum!S152</f>
        <v>5.8953376853319295</v>
      </c>
      <c r="T82" s="112">
        <f ca="1">Battery_Sum!T152</f>
        <v>14.955461497951488</v>
      </c>
      <c r="U82" s="92">
        <f t="shared" ca="1" si="25"/>
        <v>151.18937665268263</v>
      </c>
      <c r="V82" s="92">
        <f t="shared" ca="1" si="26"/>
        <v>346.0739278039573</v>
      </c>
      <c r="W82" s="92">
        <f>Vehi_Comp_Sum!N$183</f>
        <v>10.90741257376143</v>
      </c>
      <c r="X82" s="92">
        <f>Vehi_Comp_Sum!O$183</f>
        <v>154.31309029662987</v>
      </c>
      <c r="Y82" s="92">
        <f t="shared" ca="1" si="27"/>
        <v>5510.2934184013729</v>
      </c>
      <c r="Z82" s="92">
        <f t="shared" ca="1" si="28"/>
        <v>6021.5878490757204</v>
      </c>
    </row>
    <row r="83" spans="1:26">
      <c r="A83" s="230" t="s">
        <v>882</v>
      </c>
      <c r="B83" s="498">
        <f ca="1">Vehi_Comp_Sum!D184</f>
        <v>2005.0631545070685</v>
      </c>
      <c r="C83" s="496">
        <f>Vehi_ADR!J116</f>
        <v>131.06644114303808</v>
      </c>
      <c r="D83" s="496">
        <f ca="1">Battery_Sum!D237</f>
        <v>331.92543100281318</v>
      </c>
      <c r="E83" s="496">
        <f>Vehi_Fluids!D115</f>
        <v>122.98388884704013</v>
      </c>
      <c r="F83" s="497">
        <f t="shared" ca="1" si="23"/>
        <v>2591.0389154999602</v>
      </c>
      <c r="G83" s="369">
        <f t="shared" ca="1" si="19"/>
        <v>0.77384524891251072</v>
      </c>
      <c r="H83" s="369">
        <f t="shared" ca="1" si="20"/>
        <v>5.0584512783262398E-2</v>
      </c>
      <c r="I83" s="369">
        <f t="shared" ca="1" si="21"/>
        <v>0.12810515080155241</v>
      </c>
      <c r="J83" s="746">
        <f t="shared" ca="1" si="22"/>
        <v>4.7465087502674377E-2</v>
      </c>
      <c r="K83" s="230"/>
      <c r="L83" s="112">
        <f>Battery_Sum!L153</f>
        <v>0.13461693736141983</v>
      </c>
      <c r="M83" s="112">
        <f>Battery_Sum!M153</f>
        <v>0.6498048718914724</v>
      </c>
      <c r="N83" s="112">
        <f>Battery_Sum!N153</f>
        <v>0</v>
      </c>
      <c r="O83" s="112">
        <f>Battery_Sum!O153</f>
        <v>0</v>
      </c>
      <c r="P83" s="112">
        <f ca="1">Battery_Sum!P153</f>
        <v>151.99998965353095</v>
      </c>
      <c r="Q83" s="112">
        <f ca="1">Battery_Sum!Q153</f>
        <v>49.833329539849146</v>
      </c>
      <c r="R83" s="112">
        <f>Battery_Sum!R153</f>
        <v>0</v>
      </c>
      <c r="S83" s="112">
        <f ca="1">Battery_Sum!S153</f>
        <v>55.189821167546768</v>
      </c>
      <c r="T83" s="112">
        <f ca="1">Battery_Sum!T153</f>
        <v>1.7660370525367663</v>
      </c>
      <c r="U83" s="92">
        <f t="shared" ca="1" si="25"/>
        <v>72.351831780096632</v>
      </c>
      <c r="V83" s="92">
        <f t="shared" ca="1" si="26"/>
        <v>331.92543100281318</v>
      </c>
      <c r="W83" s="92">
        <f>Vehi_Comp_Sum!N$184</f>
        <v>3.9188667244276854</v>
      </c>
      <c r="X83" s="92">
        <f>Vehi_Comp_Sum!O$184</f>
        <v>18.916629212783537</v>
      </c>
      <c r="Y83" s="92">
        <f t="shared" ca="1" si="27"/>
        <v>2236.2779885599352</v>
      </c>
      <c r="Z83" s="92">
        <f t="shared" ca="1" si="28"/>
        <v>2591.0389154999602</v>
      </c>
    </row>
    <row r="84" spans="1:26">
      <c r="A84" s="230" t="s">
        <v>883</v>
      </c>
      <c r="B84" s="498">
        <f ca="1">Vehi_Comp_Sum!D185</f>
        <v>941.00555032716409</v>
      </c>
      <c r="C84" s="496">
        <f>Vehi_ADR!J117</f>
        <v>80.733623309220008</v>
      </c>
      <c r="D84" s="496">
        <f ca="1">Battery_Sum!D238</f>
        <v>143.76944274942861</v>
      </c>
      <c r="E84" s="496">
        <f>Vehi_Fluids!D116</f>
        <v>65.320195990832303</v>
      </c>
      <c r="F84" s="497">
        <f ca="1">SUM(B84:E84)</f>
        <v>1230.8288123766451</v>
      </c>
      <c r="G84" s="369">
        <f t="shared" ca="1" si="19"/>
        <v>0.76452999870075156</v>
      </c>
      <c r="H84" s="369">
        <f t="shared" ca="1" si="20"/>
        <v>6.5592893583088105E-2</v>
      </c>
      <c r="I84" s="369">
        <f t="shared" ca="1" si="21"/>
        <v>0.11680701759964472</v>
      </c>
      <c r="J84" s="746">
        <f t="shared" ca="1" si="22"/>
        <v>5.3070090116515499E-2</v>
      </c>
      <c r="K84" s="230"/>
      <c r="L84" s="112">
        <f>Battery_Sum!L154</f>
        <v>6.7319981553203831E-2</v>
      </c>
      <c r="M84" s="112">
        <f>Battery_Sum!M154</f>
        <v>0.40587191560766339</v>
      </c>
      <c r="N84" s="112">
        <f>Battery_Sum!N154</f>
        <v>0</v>
      </c>
      <c r="O84" s="112">
        <f>Battery_Sum!O154</f>
        <v>0</v>
      </c>
      <c r="P84" s="112">
        <f ca="1">Battery_Sum!P154</f>
        <v>100.68018837151796</v>
      </c>
      <c r="Q84" s="112">
        <f ca="1">Battery_Sum!Q154</f>
        <v>2.103432580831027</v>
      </c>
      <c r="R84" s="112">
        <f>Battery_Sum!R154</f>
        <v>0</v>
      </c>
      <c r="S84" s="112">
        <f ca="1">Battery_Sum!S154</f>
        <v>6.0098985462889516</v>
      </c>
      <c r="T84" s="112">
        <f ca="1">Battery_Sum!T154</f>
        <v>1.1487124947833927</v>
      </c>
      <c r="U84" s="92">
        <f t="shared" ca="1" si="25"/>
        <v>33.354018858846402</v>
      </c>
      <c r="V84" s="92">
        <f t="shared" ca="1" si="26"/>
        <v>143.76944274942861</v>
      </c>
      <c r="W84" s="92">
        <f>Vehi_Comp_Sum!N$185</f>
        <v>1.9597685162724874</v>
      </c>
      <c r="X84" s="92">
        <f>Vehi_Comp_Sum!O$185</f>
        <v>11.815437014320572</v>
      </c>
      <c r="Y84" s="92">
        <f t="shared" ca="1" si="27"/>
        <v>1073.2841640966235</v>
      </c>
      <c r="Z84" s="92">
        <f t="shared" ca="1" si="28"/>
        <v>1230.8288123766451</v>
      </c>
    </row>
    <row r="85" spans="1:26">
      <c r="A85" s="230" t="s">
        <v>884</v>
      </c>
      <c r="B85" s="498">
        <f ca="1">Vehi_Comp_Sum!D186</f>
        <v>20460.581097576935</v>
      </c>
      <c r="C85" s="496">
        <f>Vehi_ADR!J118</f>
        <v>324.00162905349237</v>
      </c>
      <c r="D85" s="496">
        <f ca="1">Battery_Sum!D239</f>
        <v>23590.548006886904</v>
      </c>
      <c r="E85" s="496">
        <f>Vehi_Fluids!D117</f>
        <v>1411.0507995076123</v>
      </c>
      <c r="F85" s="497">
        <f t="shared" ca="1" si="23"/>
        <v>45786.181533024945</v>
      </c>
      <c r="G85" s="369">
        <f t="shared" ca="1" si="19"/>
        <v>0.44687240587684735</v>
      </c>
      <c r="H85" s="369">
        <f t="shared" ca="1" si="20"/>
        <v>7.0764064223131258E-3</v>
      </c>
      <c r="I85" s="369">
        <f t="shared" ca="1" si="21"/>
        <v>0.51523291999948428</v>
      </c>
      <c r="J85" s="746">
        <f t="shared" ca="1" si="22"/>
        <v>3.0818267701355283E-2</v>
      </c>
      <c r="K85" s="230"/>
      <c r="L85" s="112">
        <f>Battery_Sum!L155</f>
        <v>0.13916020823712036</v>
      </c>
      <c r="M85" s="112">
        <f>Battery_Sum!M155</f>
        <v>271.41242801767635</v>
      </c>
      <c r="N85" s="112">
        <f>Battery_Sum!N155</f>
        <v>0</v>
      </c>
      <c r="O85" s="112">
        <f>Battery_Sum!O155</f>
        <v>0</v>
      </c>
      <c r="P85" s="112">
        <f ca="1">Battery_Sum!P155</f>
        <v>22062.842122740891</v>
      </c>
      <c r="Q85" s="112">
        <f ca="1">Battery_Sum!Q155</f>
        <v>583.71676647747904</v>
      </c>
      <c r="R85" s="112">
        <f>Battery_Sum!R155</f>
        <v>0</v>
      </c>
      <c r="S85" s="112">
        <f ca="1">Battery_Sum!S155</f>
        <v>46.090269922369068</v>
      </c>
      <c r="T85" s="112">
        <f ca="1">Battery_Sum!T155</f>
        <v>14.445656957073032</v>
      </c>
      <c r="U85" s="92">
        <f t="shared" ca="1" si="25"/>
        <v>611.90160256317904</v>
      </c>
      <c r="V85" s="92">
        <f t="shared" ca="1" si="26"/>
        <v>23590.548006886904</v>
      </c>
      <c r="W85" s="92">
        <f>Vehi_Comp_Sum!N$186</f>
        <v>4.0511269986830918</v>
      </c>
      <c r="X85" s="92">
        <f>Vehi_Comp_Sum!O$186</f>
        <v>7901.153848857537</v>
      </c>
      <c r="Y85" s="92">
        <f t="shared" ca="1" si="27"/>
        <v>14290.428550281817</v>
      </c>
      <c r="Z85" s="92">
        <f t="shared" ca="1" si="28"/>
        <v>45786.181533024945</v>
      </c>
    </row>
    <row r="86" spans="1:26">
      <c r="A86" s="661" t="s">
        <v>885</v>
      </c>
      <c r="B86" s="498">
        <f ca="1">Vehi_Comp_Sum!D187</f>
        <v>24.126566772220123</v>
      </c>
      <c r="C86" s="496">
        <f>Vehi_ADR!J119</f>
        <v>5.4242394675900218</v>
      </c>
      <c r="D86" s="496">
        <f ca="1">Battery_Sum!D240</f>
        <v>2.3942760747842344</v>
      </c>
      <c r="E86" s="496">
        <f>Vehi_Fluids!D118</f>
        <v>5.163003708791698</v>
      </c>
      <c r="F86" s="497">
        <f ca="1">SUM(B86:E86)</f>
        <v>37.108086023386072</v>
      </c>
      <c r="G86" s="369">
        <f t="shared" ca="1" si="19"/>
        <v>0.6501700668963416</v>
      </c>
      <c r="H86" s="369">
        <f t="shared" ca="1" si="20"/>
        <v>0.14617405662398175</v>
      </c>
      <c r="I86" s="369">
        <f t="shared" ca="1" si="21"/>
        <v>6.4521680619025343E-2</v>
      </c>
      <c r="J86" s="746">
        <f t="shared" ca="1" si="22"/>
        <v>0.1391341958606514</v>
      </c>
      <c r="K86" s="661"/>
      <c r="L86" s="112">
        <f>Battery_Sum!L156</f>
        <v>1.2790884742521797E-3</v>
      </c>
      <c r="M86" s="112">
        <f>Battery_Sum!M156</f>
        <v>8.3675980510857048E-2</v>
      </c>
      <c r="N86" s="112">
        <f>Battery_Sum!N156</f>
        <v>0</v>
      </c>
      <c r="O86" s="112">
        <f>Battery_Sum!O156</f>
        <v>0</v>
      </c>
      <c r="P86" s="112">
        <f ca="1">Battery_Sum!P156</f>
        <v>0.67793928059529773</v>
      </c>
      <c r="Q86" s="112">
        <f ca="1">Battery_Sum!Q156</f>
        <v>0.43172355223818321</v>
      </c>
      <c r="R86" s="112">
        <f>Battery_Sum!R156</f>
        <v>0</v>
      </c>
      <c r="S86" s="112">
        <f ca="1">Battery_Sum!S156</f>
        <v>0.20751516552040139</v>
      </c>
      <c r="T86" s="112">
        <f ca="1">Battery_Sum!T156</f>
        <v>0.11783387283881301</v>
      </c>
      <c r="U86" s="92">
        <f t="shared" ca="1" si="25"/>
        <v>0.87430913460643001</v>
      </c>
      <c r="V86" s="92">
        <f t="shared" ca="1" si="26"/>
        <v>2.3942760747842344</v>
      </c>
      <c r="W86" s="92">
        <f>Vehi_Comp_Sum!N$187</f>
        <v>3.7235858708388733E-2</v>
      </c>
      <c r="X86" s="92">
        <f>Vehi_Comp_Sum!O$187</f>
        <v>2.4359120188380921</v>
      </c>
      <c r="Y86" s="92">
        <f t="shared" ca="1" si="27"/>
        <v>32.240662071055361</v>
      </c>
      <c r="Z86" s="92">
        <f t="shared" ca="1" si="28"/>
        <v>37.108086023386072</v>
      </c>
    </row>
    <row r="87" spans="1:26">
      <c r="A87" s="897" t="s">
        <v>886</v>
      </c>
      <c r="B87" s="501">
        <f ca="1">Vehi_Comp_Sum!D188</f>
        <v>52.606034053152214</v>
      </c>
      <c r="C87" s="499">
        <f>Vehi_ADR!J120</f>
        <v>17.458827230125763</v>
      </c>
      <c r="D87" s="499">
        <f ca="1">Battery_Sum!D241</f>
        <v>5.3280357725112406</v>
      </c>
      <c r="E87" s="499">
        <f>Vehi_Fluids!D119</f>
        <v>5.9565370708729368</v>
      </c>
      <c r="F87" s="500">
        <f ca="1">SUM(B87:E87)</f>
        <v>81.34943412666216</v>
      </c>
      <c r="G87" s="426">
        <f t="shared" ca="1" si="19"/>
        <v>0.64666748598698198</v>
      </c>
      <c r="H87" s="426">
        <f t="shared" ca="1" si="20"/>
        <v>0.21461522649244413</v>
      </c>
      <c r="I87" s="426">
        <f t="shared" ca="1" si="21"/>
        <v>6.5495670986664978E-2</v>
      </c>
      <c r="J87" s="747">
        <f t="shared" ca="1" si="22"/>
        <v>7.3221616533908879E-2</v>
      </c>
      <c r="K87" s="897"/>
      <c r="L87" s="112">
        <f>Battery_Sum!L157</f>
        <v>4.9716733421860922E-3</v>
      </c>
      <c r="M87" s="112">
        <f>Battery_Sum!M157</f>
        <v>8.6600692629143189E-2</v>
      </c>
      <c r="N87" s="112">
        <f>Battery_Sum!N157</f>
        <v>0</v>
      </c>
      <c r="O87" s="112">
        <f>Battery_Sum!O157</f>
        <v>0</v>
      </c>
      <c r="P87" s="112">
        <f ca="1">Battery_Sum!P157</f>
        <v>1.6903716901800871</v>
      </c>
      <c r="Q87" s="112">
        <f ca="1">Battery_Sum!Q157</f>
        <v>0.6357745973516109</v>
      </c>
      <c r="R87" s="112">
        <f>Battery_Sum!R157</f>
        <v>0</v>
      </c>
      <c r="S87" s="112">
        <f ca="1">Battery_Sum!S157</f>
        <v>8.3193268733529863E-2</v>
      </c>
      <c r="T87" s="112">
        <f ca="1">Battery_Sum!T157</f>
        <v>0.31220301713437076</v>
      </c>
      <c r="U87" s="92">
        <f t="shared" ca="1" si="25"/>
        <v>2.5149208331403128</v>
      </c>
      <c r="V87" s="92">
        <f t="shared" ca="1" si="26"/>
        <v>5.3280357725112406</v>
      </c>
      <c r="W87" s="92">
        <f>Vehi_Comp_Sum!N$188</f>
        <v>0.14473160366966589</v>
      </c>
      <c r="X87" s="92">
        <f>Vehi_Comp_Sum!O$188</f>
        <v>2.5210540316006465</v>
      </c>
      <c r="Y87" s="92">
        <f t="shared" ca="1" si="27"/>
        <v>73.355612718880607</v>
      </c>
      <c r="Z87" s="92">
        <f t="shared" ca="1" si="28"/>
        <v>81.34943412666216</v>
      </c>
    </row>
    <row r="88" spans="1:26">
      <c r="A88" s="230" t="s">
        <v>890</v>
      </c>
      <c r="B88" s="498">
        <f ca="1">Vehi_Comp_Sum!D195</f>
        <v>39.964467041620885</v>
      </c>
      <c r="C88" s="496">
        <f>Vehi_ADR!J127</f>
        <v>6.6802755568844958</v>
      </c>
      <c r="D88" s="496">
        <f ca="1">Battery_Sum!D248</f>
        <v>4.0201399563704383</v>
      </c>
      <c r="E88" s="496">
        <f>Vehi_Fluids!D126</f>
        <v>19194.407273101213</v>
      </c>
      <c r="F88" s="497">
        <f t="shared" ca="1" si="23"/>
        <v>19245.072155656089</v>
      </c>
      <c r="G88" s="369">
        <f t="shared" ca="1" si="19"/>
        <v>2.0766078047608364E-3</v>
      </c>
      <c r="H88" s="369">
        <f t="shared" ca="1" si="20"/>
        <v>3.4711616058665575E-4</v>
      </c>
      <c r="I88" s="369">
        <f t="shared" ca="1" si="21"/>
        <v>2.0889191393283122E-4</v>
      </c>
      <c r="J88" s="746">
        <f t="shared" ca="1" si="22"/>
        <v>0.99736738412071968</v>
      </c>
      <c r="L88" s="1321"/>
    </row>
    <row r="89" spans="1:26">
      <c r="A89" s="230" t="s">
        <v>891</v>
      </c>
      <c r="B89" s="498">
        <f ca="1">Vehi_Comp_Sum!D196</f>
        <v>124.54837233458208</v>
      </c>
      <c r="C89" s="496">
        <f>Vehi_ADR!J128</f>
        <v>41.171382071924583</v>
      </c>
      <c r="D89" s="496">
        <f ca="1">Battery_Sum!D249</f>
        <v>14.33092156374113</v>
      </c>
      <c r="E89" s="496">
        <f>Vehi_Fluids!D127</f>
        <v>62.993567626681326</v>
      </c>
      <c r="F89" s="497">
        <f t="shared" ca="1" si="23"/>
        <v>243.04424359692911</v>
      </c>
      <c r="G89" s="369">
        <f t="shared" ca="1" si="19"/>
        <v>0.51245143884640343</v>
      </c>
      <c r="H89" s="369">
        <f t="shared" ca="1" si="20"/>
        <v>0.16939871301870565</v>
      </c>
      <c r="I89" s="369">
        <f t="shared" ca="1" si="21"/>
        <v>5.8964250095583023E-2</v>
      </c>
      <c r="J89" s="746">
        <f t="shared" ca="1" si="22"/>
        <v>0.25918559803930802</v>
      </c>
      <c r="L89" s="1321"/>
    </row>
    <row r="90" spans="1:26">
      <c r="A90" s="230" t="s">
        <v>892</v>
      </c>
      <c r="B90" s="498">
        <f ca="1">Vehi_Comp_Sum!D197</f>
        <v>239.73434125401565</v>
      </c>
      <c r="C90" s="496">
        <f>Vehi_ADR!J129</f>
        <v>95.620028716881123</v>
      </c>
      <c r="D90" s="496">
        <f ca="1">Battery_Sum!D250</f>
        <v>32.38440972509359</v>
      </c>
      <c r="E90" s="496">
        <f>Vehi_Fluids!D128</f>
        <v>298.66505977967461</v>
      </c>
      <c r="F90" s="497">
        <f t="shared" ca="1" si="23"/>
        <v>666.40383947566488</v>
      </c>
      <c r="G90" s="369">
        <f t="shared" ca="1" si="19"/>
        <v>0.3597433373772902</v>
      </c>
      <c r="H90" s="369">
        <f t="shared" ca="1" si="20"/>
        <v>0.14348661134983284</v>
      </c>
      <c r="I90" s="369">
        <f t="shared" ca="1" si="21"/>
        <v>4.8595773023417846E-2</v>
      </c>
      <c r="J90" s="746">
        <f t="shared" ca="1" si="22"/>
        <v>0.44817427824945927</v>
      </c>
    </row>
    <row r="91" spans="1:26">
      <c r="A91" s="230" t="s">
        <v>893</v>
      </c>
      <c r="B91" s="498">
        <f ca="1">Vehi_Comp_Sum!D198</f>
        <v>24.996574707162917</v>
      </c>
      <c r="C91" s="496">
        <f>Vehi_ADR!J130</f>
        <v>10.440968312981976</v>
      </c>
      <c r="D91" s="496">
        <f ca="1">Battery_Sum!D251</f>
        <v>3.7932577104891982</v>
      </c>
      <c r="E91" s="496">
        <f>Vehi_Fluids!D129</f>
        <v>53.340316298991773</v>
      </c>
      <c r="F91" s="497">
        <f t="shared" ca="1" si="23"/>
        <v>92.571117029625867</v>
      </c>
      <c r="G91" s="369">
        <f t="shared" ca="1" si="19"/>
        <v>0.2700256355247736</v>
      </c>
      <c r="H91" s="369">
        <f t="shared" ca="1" si="20"/>
        <v>0.11278861753002846</v>
      </c>
      <c r="I91" s="369">
        <f t="shared" ca="1" si="21"/>
        <v>4.0976687245496114E-2</v>
      </c>
      <c r="J91" s="746">
        <f t="shared" ca="1" si="22"/>
        <v>0.57620905969970182</v>
      </c>
    </row>
    <row r="92" spans="1:26">
      <c r="A92" s="230" t="s">
        <v>894</v>
      </c>
      <c r="B92" s="498">
        <f ca="1">Vehi_Comp_Sum!D199</f>
        <v>21.583927690930249</v>
      </c>
      <c r="C92" s="496">
        <f>Vehi_ADR!J131</f>
        <v>9.1844793924853896</v>
      </c>
      <c r="D92" s="496">
        <f ca="1">Battery_Sum!D252</f>
        <v>3.277278594566662</v>
      </c>
      <c r="E92" s="496">
        <f>Vehi_Fluids!D130</f>
        <v>30.304069794073357</v>
      </c>
      <c r="F92" s="497">
        <f ca="1">SUM(B92:E92)</f>
        <v>64.349755472055648</v>
      </c>
      <c r="G92" s="369">
        <f t="shared" ca="1" si="19"/>
        <v>0.33541584630112897</v>
      </c>
      <c r="H92" s="369">
        <f t="shared" ca="1" si="20"/>
        <v>0.14272749484609645</v>
      </c>
      <c r="I92" s="369">
        <f t="shared" ca="1" si="21"/>
        <v>5.09291538176838E-2</v>
      </c>
      <c r="J92" s="746">
        <f t="shared" ca="1" si="22"/>
        <v>0.47092750503509095</v>
      </c>
    </row>
    <row r="93" spans="1:26">
      <c r="A93" s="230" t="s">
        <v>895</v>
      </c>
      <c r="B93" s="498">
        <f ca="1">Vehi_Comp_Sum!D200</f>
        <v>222.82112166917258</v>
      </c>
      <c r="C93" s="496">
        <f>Vehi_ADR!J132</f>
        <v>77.903979866860453</v>
      </c>
      <c r="D93" s="496">
        <f ca="1">Battery_Sum!D253</f>
        <v>33.614283092241777</v>
      </c>
      <c r="E93" s="496">
        <f>Vehi_Fluids!D131</f>
        <v>599.28580391292655</v>
      </c>
      <c r="F93" s="497">
        <f t="shared" ca="1" si="23"/>
        <v>933.6251885412014</v>
      </c>
      <c r="G93" s="369">
        <f t="shared" ca="1" si="19"/>
        <v>0.23866228589797667</v>
      </c>
      <c r="H93" s="369">
        <f t="shared" ca="1" si="20"/>
        <v>8.3442457233385267E-2</v>
      </c>
      <c r="I93" s="369">
        <f t="shared" ca="1" si="21"/>
        <v>3.6004044776003129E-2</v>
      </c>
      <c r="J93" s="746">
        <f t="shared" ca="1" si="22"/>
        <v>0.64189121209263489</v>
      </c>
    </row>
    <row r="94" spans="1:26">
      <c r="A94" s="661" t="s">
        <v>896</v>
      </c>
      <c r="B94" s="498">
        <f ca="1">Vehi_Comp_Sum!D201</f>
        <v>1.2556065004295878</v>
      </c>
      <c r="C94" s="496">
        <f>Vehi_ADR!J133</f>
        <v>0.48156408344236989</v>
      </c>
      <c r="D94" s="496">
        <f ca="1">Battery_Sum!D254</f>
        <v>0.1818143697225478</v>
      </c>
      <c r="E94" s="496">
        <f>Vehi_Fluids!D132</f>
        <v>2.1973546050334241</v>
      </c>
      <c r="F94" s="497">
        <f ca="1">SUM(B94:E94)</f>
        <v>4.1163395586279297</v>
      </c>
      <c r="G94" s="369">
        <f t="shared" ca="1" si="19"/>
        <v>0.30502986513778035</v>
      </c>
      <c r="H94" s="369">
        <f t="shared" ca="1" si="20"/>
        <v>0.11698842541621766</v>
      </c>
      <c r="I94" s="369">
        <f t="shared" ca="1" si="21"/>
        <v>4.4168943580337357E-2</v>
      </c>
      <c r="J94" s="746">
        <f t="shared" ca="1" si="22"/>
        <v>0.53381276586566462</v>
      </c>
    </row>
    <row r="95" spans="1:26">
      <c r="A95" s="897" t="s">
        <v>897</v>
      </c>
      <c r="B95" s="501">
        <f ca="1">Vehi_Comp_Sum!D202</f>
        <v>5.1324985468205409</v>
      </c>
      <c r="C95" s="499">
        <f>Vehi_ADR!J134</f>
        <v>2.6308995653983809</v>
      </c>
      <c r="D95" s="499">
        <f ca="1">Battery_Sum!D255</f>
        <v>0.77487598497444876</v>
      </c>
      <c r="E95" s="499">
        <f>Vehi_Fluids!D133</f>
        <v>2.1141694008976444</v>
      </c>
      <c r="F95" s="500">
        <f ca="1">SUM(B95:E95)</f>
        <v>10.652443498091015</v>
      </c>
      <c r="G95" s="426">
        <f t="shared" ca="1" si="19"/>
        <v>0.481814200445214</v>
      </c>
      <c r="H95" s="426">
        <f t="shared" ca="1" si="20"/>
        <v>0.24697615771159495</v>
      </c>
      <c r="I95" s="426">
        <f t="shared" ca="1" si="21"/>
        <v>7.274161887019738E-2</v>
      </c>
      <c r="J95" s="747">
        <f t="shared" ca="1" si="22"/>
        <v>0.19846802297299365</v>
      </c>
    </row>
    <row r="97" spans="1:26">
      <c r="A97" s="3" t="s">
        <v>1899</v>
      </c>
    </row>
    <row r="98" spans="1:26">
      <c r="A98" s="178"/>
      <c r="B98" s="2984" t="s">
        <v>1875</v>
      </c>
      <c r="C98" s="2985"/>
      <c r="D98" s="2985"/>
      <c r="E98" s="2985"/>
      <c r="F98" s="3004"/>
      <c r="G98" s="2985" t="s">
        <v>1890</v>
      </c>
      <c r="H98" s="2985"/>
      <c r="I98" s="2985"/>
      <c r="J98" s="3004"/>
    </row>
    <row r="99" spans="1:26">
      <c r="A99" s="539"/>
      <c r="B99" s="1725" t="s">
        <v>1891</v>
      </c>
      <c r="C99" s="1726" t="s">
        <v>1892</v>
      </c>
      <c r="D99" s="1726" t="s">
        <v>1893</v>
      </c>
      <c r="E99" s="1726" t="s">
        <v>1418</v>
      </c>
      <c r="F99" s="1727" t="s">
        <v>1894</v>
      </c>
      <c r="G99" s="1726" t="s">
        <v>1891</v>
      </c>
      <c r="H99" s="1726" t="s">
        <v>1892</v>
      </c>
      <c r="I99" s="1726" t="s">
        <v>1893</v>
      </c>
      <c r="J99" s="1727" t="s">
        <v>1418</v>
      </c>
    </row>
    <row r="100" spans="1:26">
      <c r="A100" s="95" t="s">
        <v>876</v>
      </c>
      <c r="B100" s="498">
        <f ca="1">Vehi_Comp_Sum!E174</f>
        <v>97.348886438157663</v>
      </c>
      <c r="C100" s="496">
        <f>Vehi_ADR!J106</f>
        <v>14.096115653906098</v>
      </c>
      <c r="D100" s="496">
        <f ca="1">Battery_Sum!E227</f>
        <v>3.6389303741945662</v>
      </c>
      <c r="E100" s="496">
        <f>Vehi_Fluids!D105</f>
        <v>10.884735119507255</v>
      </c>
      <c r="F100" s="497">
        <f ca="1">SUM(B100:E100)</f>
        <v>125.96866758576559</v>
      </c>
      <c r="G100" s="369">
        <f t="shared" ref="G100:G126" ca="1" si="29">B100/$F100</f>
        <v>0.77280238255975686</v>
      </c>
      <c r="H100" s="369">
        <f t="shared" ref="H100:H126" ca="1" si="30">C100/$F100</f>
        <v>0.11190176036678945</v>
      </c>
      <c r="I100" s="369">
        <f t="shared" ref="I100:I126" ca="1" si="31">D100/$F100</f>
        <v>2.8887583269204667E-2</v>
      </c>
      <c r="J100" s="746">
        <f t="shared" ref="J100:J126" ca="1" si="32">E100/$F100</f>
        <v>8.6408273804248967E-2</v>
      </c>
    </row>
    <row r="101" spans="1:26">
      <c r="A101" s="95" t="s">
        <v>877</v>
      </c>
      <c r="B101" s="498">
        <f ca="1">Vehi_Comp_Sum!E175</f>
        <v>87.114467312211076</v>
      </c>
      <c r="C101" s="496">
        <f>Vehi_ADR!J107</f>
        <v>12.373726900986338</v>
      </c>
      <c r="D101" s="496">
        <f ca="1">Battery_Sum!E228</f>
        <v>3.2125511014073851</v>
      </c>
      <c r="E101" s="496">
        <f>Vehi_Fluids!D106</f>
        <v>10.784962260046292</v>
      </c>
      <c r="F101" s="497">
        <f t="shared" ref="F101:F124" ca="1" si="33">SUM(B101:E101)</f>
        <v>113.48570757465109</v>
      </c>
      <c r="G101" s="369">
        <f t="shared" ca="1" si="29"/>
        <v>0.76762500912202569</v>
      </c>
      <c r="H101" s="369">
        <f t="shared" ca="1" si="30"/>
        <v>0.10903335023793088</v>
      </c>
      <c r="I101" s="369">
        <f t="shared" ca="1" si="31"/>
        <v>2.83079796572107E-2</v>
      </c>
      <c r="J101" s="746">
        <f t="shared" ca="1" si="32"/>
        <v>9.5033660982832807E-2</v>
      </c>
    </row>
    <row r="102" spans="1:26">
      <c r="A102" s="95" t="s">
        <v>442</v>
      </c>
      <c r="B102" s="498">
        <f ca="1">Vehi_Comp_Sum!E176</f>
        <v>17.83678320840605</v>
      </c>
      <c r="C102" s="496">
        <f>Vehi_ADR!J108</f>
        <v>2.2768602194752541</v>
      </c>
      <c r="D102" s="496">
        <f ca="1">Battery_Sum!E229</f>
        <v>0.99554674995816561</v>
      </c>
      <c r="E102" s="496">
        <f>Vehi_Fluids!D107</f>
        <v>0.13586594521559447</v>
      </c>
      <c r="F102" s="497">
        <f ca="1">SUM(B102:E102)</f>
        <v>21.245056123055065</v>
      </c>
      <c r="G102" s="369">
        <f t="shared" ca="1" si="29"/>
        <v>0.83957336262574667</v>
      </c>
      <c r="H102" s="369">
        <f t="shared" ca="1" si="30"/>
        <v>0.1071712969966887</v>
      </c>
      <c r="I102" s="369">
        <f t="shared" ca="1" si="31"/>
        <v>4.6860160980125701E-2</v>
      </c>
      <c r="J102" s="746">
        <f t="shared" ca="1" si="32"/>
        <v>6.3951793974388795E-3</v>
      </c>
    </row>
    <row r="103" spans="1:26">
      <c r="A103" s="95" t="s">
        <v>878</v>
      </c>
      <c r="B103" s="498">
        <f ca="1">B101-B102-B104</f>
        <v>50.242498172817406</v>
      </c>
      <c r="C103" s="496">
        <f>C101-C102-C104</f>
        <v>10.004591508550437</v>
      </c>
      <c r="D103" s="496">
        <f ca="1">D101-D102-D104</f>
        <v>1.743123757249641</v>
      </c>
      <c r="E103" s="496">
        <f>E101-E102-E104</f>
        <v>2.945670850959174</v>
      </c>
      <c r="F103" s="497">
        <f ca="1">F101-F102-F104</f>
        <v>64.935884289576649</v>
      </c>
      <c r="G103" s="369">
        <f t="shared" ca="1" si="29"/>
        <v>0.77372470895698897</v>
      </c>
      <c r="H103" s="369">
        <f t="shared" ca="1" si="30"/>
        <v>0.15406876518283358</v>
      </c>
      <c r="I103" s="369">
        <f t="shared" ca="1" si="31"/>
        <v>2.6843767145393951E-2</v>
      </c>
      <c r="J103" s="746">
        <f t="shared" ca="1" si="32"/>
        <v>4.5362758714783624E-2</v>
      </c>
    </row>
    <row r="104" spans="1:26">
      <c r="A104" s="95" t="s">
        <v>440</v>
      </c>
      <c r="B104" s="498">
        <f ca="1">Vehi_Comp_Sum!E178</f>
        <v>19.03518593098762</v>
      </c>
      <c r="C104" s="496">
        <f>Vehi_ADR!J110</f>
        <v>9.2275172960647592E-2</v>
      </c>
      <c r="D104" s="496">
        <f ca="1">Battery_Sum!E231</f>
        <v>0.47388059419957834</v>
      </c>
      <c r="E104" s="496">
        <f>Vehi_Fluids!D109</f>
        <v>7.7034254638715245</v>
      </c>
      <c r="F104" s="497">
        <f t="shared" ca="1" si="33"/>
        <v>27.30476716201937</v>
      </c>
      <c r="G104" s="369">
        <f t="shared" ca="1" si="29"/>
        <v>0.69713782278522241</v>
      </c>
      <c r="H104" s="369">
        <f t="shared" ca="1" si="30"/>
        <v>3.3794528410775585E-3</v>
      </c>
      <c r="I104" s="369">
        <f t="shared" ca="1" si="31"/>
        <v>1.7355232930121485E-2</v>
      </c>
      <c r="J104" s="746">
        <f t="shared" ca="1" si="32"/>
        <v>0.28212749144357857</v>
      </c>
    </row>
    <row r="105" spans="1:26">
      <c r="A105" s="477" t="s">
        <v>819</v>
      </c>
      <c r="B105" s="598">
        <f ca="1">Vehi_Comp_Sum!E179</f>
        <v>4972.809302013713</v>
      </c>
      <c r="C105" s="535">
        <f>Vehi_ADR!J111</f>
        <v>459.06790690026895</v>
      </c>
      <c r="D105" s="535">
        <f ca="1">Battery_Sum!E232</f>
        <v>199.8732248307744</v>
      </c>
      <c r="E105" s="535">
        <f>Vehi_Fluids!D110</f>
        <v>223.07943509845086</v>
      </c>
      <c r="F105" s="599">
        <f t="shared" ref="F105:F110" ca="1" si="34">SUM(B105:E105)</f>
        <v>5854.8298688432069</v>
      </c>
      <c r="G105" s="369">
        <f t="shared" ca="1" si="29"/>
        <v>0.84935163162926153</v>
      </c>
      <c r="H105" s="369">
        <f t="shared" ca="1" si="30"/>
        <v>7.8408411035685868E-2</v>
      </c>
      <c r="I105" s="369">
        <f t="shared" ca="1" si="31"/>
        <v>3.4138178103929294E-2</v>
      </c>
      <c r="J105" s="746">
        <f t="shared" ca="1" si="32"/>
        <v>3.8101779231123366E-2</v>
      </c>
      <c r="L105" s="1321"/>
      <c r="M105" s="1321"/>
      <c r="N105" s="1321"/>
      <c r="O105" s="1321"/>
      <c r="P105" s="1321"/>
      <c r="Q105" s="1321"/>
      <c r="R105" s="1321"/>
      <c r="S105" s="1321"/>
      <c r="T105" s="1321"/>
      <c r="U105" s="1321"/>
      <c r="V105" s="1321"/>
      <c r="W105" s="1321"/>
      <c r="X105" s="1321"/>
      <c r="Y105" s="1321"/>
      <c r="Z105" s="1321"/>
    </row>
    <row r="106" spans="1:26">
      <c r="A106" s="640" t="s">
        <v>889</v>
      </c>
      <c r="B106" s="898">
        <f ca="1">Vehi_Comp_Sum!E191</f>
        <v>5161392.7410857826</v>
      </c>
      <c r="C106" s="632">
        <f>Vehi_ADR!J123</f>
        <v>828288.3486815989</v>
      </c>
      <c r="D106" s="632">
        <f ca="1">Battery_Sum!E244</f>
        <v>200346.86558116548</v>
      </c>
      <c r="E106" s="632">
        <f>Vehi_Fluids!D122</f>
        <v>569101.25534683804</v>
      </c>
      <c r="F106" s="899">
        <f t="shared" ca="1" si="34"/>
        <v>6759129.210695385</v>
      </c>
      <c r="G106" s="458">
        <f t="shared" ca="1" si="29"/>
        <v>0.76361800169740712</v>
      </c>
      <c r="H106" s="458">
        <f t="shared" ca="1" si="30"/>
        <v>0.12254364768925373</v>
      </c>
      <c r="I106" s="458">
        <f t="shared" ca="1" si="31"/>
        <v>2.9640928488856869E-2</v>
      </c>
      <c r="J106" s="896">
        <f t="shared" ca="1" si="32"/>
        <v>8.419742212448228E-2</v>
      </c>
    </row>
    <row r="107" spans="1:26">
      <c r="A107" s="230" t="s">
        <v>1895</v>
      </c>
      <c r="B107" s="517">
        <f ca="1">Vehi_Comp_Sum!E192</f>
        <v>5188807.8097183257</v>
      </c>
      <c r="C107" s="246">
        <f>Vehi_ADR!J124</f>
        <v>834381.00943205075</v>
      </c>
      <c r="D107" s="246">
        <f ca="1">Battery_Sum!E245</f>
        <v>201118.29789924444</v>
      </c>
      <c r="E107" s="246">
        <f>Vehi_Fluids!D123</f>
        <v>655184.88420587475</v>
      </c>
      <c r="F107" s="247">
        <f t="shared" ca="1" si="34"/>
        <v>6879492.0012554955</v>
      </c>
      <c r="G107" s="382">
        <f t="shared" ca="1" si="29"/>
        <v>0.75424287269632373</v>
      </c>
      <c r="H107" s="382">
        <f t="shared" ca="1" si="30"/>
        <v>0.12128526485382607</v>
      </c>
      <c r="I107" s="382">
        <f t="shared" ca="1" si="31"/>
        <v>2.9234469327464978E-2</v>
      </c>
      <c r="J107" s="588">
        <f t="shared" ca="1" si="32"/>
        <v>9.5237393122385286E-2</v>
      </c>
    </row>
    <row r="108" spans="1:26">
      <c r="A108" s="95" t="s">
        <v>887</v>
      </c>
      <c r="B108" s="498">
        <f ca="1">Vehi_Comp_Sum!E189</f>
        <v>15317.231502114506</v>
      </c>
      <c r="C108" s="496">
        <f>Vehi_ADR!J121</f>
        <v>2240.0809170636567</v>
      </c>
      <c r="D108" s="496">
        <f ca="1">Battery_Sum!E242</f>
        <v>613.23348666872471</v>
      </c>
      <c r="E108" s="496">
        <f>Vehi_Fluids!D120</f>
        <v>1279.8021547003659</v>
      </c>
      <c r="F108" s="497">
        <f t="shared" ca="1" si="34"/>
        <v>19450.34806054725</v>
      </c>
      <c r="G108" s="369">
        <f t="shared" ca="1" si="29"/>
        <v>0.78750423665598634</v>
      </c>
      <c r="H108" s="369">
        <f t="shared" ca="1" si="30"/>
        <v>0.11516919440672622</v>
      </c>
      <c r="I108" s="369">
        <f t="shared" ca="1" si="31"/>
        <v>3.1528149766769313E-2</v>
      </c>
      <c r="J108" s="746">
        <f t="shared" ca="1" si="32"/>
        <v>6.5798419170518319E-2</v>
      </c>
    </row>
    <row r="109" spans="1:26">
      <c r="A109" s="95" t="s">
        <v>888</v>
      </c>
      <c r="B109" s="498">
        <f ca="1">Vehi_Comp_Sum!E190</f>
        <v>136.92503234912664</v>
      </c>
      <c r="C109" s="496">
        <f>Vehi_ADR!J122</f>
        <v>21.36502696769179</v>
      </c>
      <c r="D109" s="496">
        <f ca="1">Battery_Sum!E243</f>
        <v>9.084240390966011</v>
      </c>
      <c r="E109" s="496">
        <f>Vehi_Fluids!D121</f>
        <v>13.673601257980243</v>
      </c>
      <c r="F109" s="497">
        <f t="shared" ca="1" si="34"/>
        <v>181.04790096576468</v>
      </c>
      <c r="G109" s="369">
        <f t="shared" ca="1" si="29"/>
        <v>0.75629174168121682</v>
      </c>
      <c r="H109" s="369">
        <f t="shared" ca="1" si="30"/>
        <v>0.11800759276260163</v>
      </c>
      <c r="I109" s="369">
        <f t="shared" ca="1" si="31"/>
        <v>5.0175894569933724E-2</v>
      </c>
      <c r="J109" s="746">
        <f t="shared" ca="1" si="32"/>
        <v>7.5524770986247769E-2</v>
      </c>
    </row>
    <row r="110" spans="1:26">
      <c r="A110" s="589" t="s">
        <v>1896</v>
      </c>
      <c r="B110" s="517">
        <f ca="1">Vehi_Comp_Sum!E193</f>
        <v>5842558.2174321562</v>
      </c>
      <c r="C110" s="246">
        <f>Vehi_ADR!J125</f>
        <v>907245.16909039882</v>
      </c>
      <c r="D110" s="246">
        <f ca="1">Battery_Sum!E246</f>
        <v>229270.35777125659</v>
      </c>
      <c r="E110" s="246">
        <f>Vehi_Fluids!D124</f>
        <v>697202.45318025048</v>
      </c>
      <c r="F110" s="247">
        <f t="shared" ca="1" si="34"/>
        <v>7676276.1974740624</v>
      </c>
      <c r="G110" s="368">
        <f t="shared" ca="1" si="29"/>
        <v>0.76111881166478801</v>
      </c>
      <c r="H110" s="368">
        <f t="shared" ca="1" si="30"/>
        <v>0.11818818731261062</v>
      </c>
      <c r="I110" s="368">
        <f t="shared" ca="1" si="31"/>
        <v>2.9867392974564901E-2</v>
      </c>
      <c r="J110" s="428">
        <f t="shared" ca="1" si="32"/>
        <v>9.0825608048036396E-2</v>
      </c>
    </row>
    <row r="111" spans="1:26">
      <c r="A111" s="393" t="s">
        <v>879</v>
      </c>
      <c r="B111" s="508">
        <f ca="1">Vehi_Comp_Sum!E181</f>
        <v>2915.4280070679151</v>
      </c>
      <c r="C111" s="506">
        <f>Vehi_ADR!J113</f>
        <v>1724.21746234342</v>
      </c>
      <c r="D111" s="506">
        <f ca="1">Battery_Sum!E234</f>
        <v>72.959385050320606</v>
      </c>
      <c r="E111" s="506">
        <f>Vehi_Fluids!D112</f>
        <v>27477.941443330226</v>
      </c>
      <c r="F111" s="507">
        <f t="shared" ca="1" si="33"/>
        <v>32190.546297791883</v>
      </c>
      <c r="G111" s="458">
        <f t="shared" ca="1" si="29"/>
        <v>9.0567832558588773E-2</v>
      </c>
      <c r="H111" s="458">
        <f t="shared" ca="1" si="30"/>
        <v>5.3562851850752623E-2</v>
      </c>
      <c r="I111" s="458">
        <f t="shared" ca="1" si="31"/>
        <v>2.2664848361186487E-3</v>
      </c>
      <c r="J111" s="896">
        <f t="shared" ca="1" si="32"/>
        <v>0.85360283075453991</v>
      </c>
    </row>
    <row r="112" spans="1:26">
      <c r="A112" s="230" t="s">
        <v>880</v>
      </c>
      <c r="B112" s="498">
        <f ca="1">Vehi_Comp_Sum!E182</f>
        <v>11663.687218812511</v>
      </c>
      <c r="C112" s="496">
        <f>Vehi_ADR!J114</f>
        <v>457.44978330654908</v>
      </c>
      <c r="D112" s="496">
        <f ca="1">Battery_Sum!E235</f>
        <v>346.2086947913586</v>
      </c>
      <c r="E112" s="496">
        <f>Vehi_Fluids!D113</f>
        <v>282.57389617602286</v>
      </c>
      <c r="F112" s="497">
        <f t="shared" ca="1" si="33"/>
        <v>12749.919593086443</v>
      </c>
      <c r="G112" s="369">
        <f t="shared" ca="1" si="29"/>
        <v>0.9148047667012007</v>
      </c>
      <c r="H112" s="369">
        <f t="shared" ca="1" si="30"/>
        <v>3.5878640642925945E-2</v>
      </c>
      <c r="I112" s="369">
        <f t="shared" ca="1" si="31"/>
        <v>2.7153794364247436E-2</v>
      </c>
      <c r="J112" s="746">
        <f t="shared" ca="1" si="32"/>
        <v>2.2162798291625825E-2</v>
      </c>
    </row>
    <row r="113" spans="1:11">
      <c r="A113" s="230" t="s">
        <v>881</v>
      </c>
      <c r="B113" s="498">
        <f ca="1">Vehi_Comp_Sum!E183</f>
        <v>5544.986833448399</v>
      </c>
      <c r="C113" s="496">
        <f>Vehi_ADR!J115</f>
        <v>725.01502646481504</v>
      </c>
      <c r="D113" s="496">
        <f ca="1">Battery_Sum!E236</f>
        <v>237.89655567146627</v>
      </c>
      <c r="E113" s="496">
        <f>Vehi_Fluids!D114</f>
        <v>749.31242935723196</v>
      </c>
      <c r="F113" s="497">
        <f t="shared" ca="1" si="33"/>
        <v>7257.2108449419129</v>
      </c>
      <c r="G113" s="369">
        <f t="shared" ca="1" si="29"/>
        <v>0.76406583078857504</v>
      </c>
      <c r="H113" s="369">
        <f t="shared" ca="1" si="30"/>
        <v>9.9902709450715721E-2</v>
      </c>
      <c r="I113" s="369">
        <f t="shared" ca="1" si="31"/>
        <v>3.2780714348029996E-2</v>
      </c>
      <c r="J113" s="746">
        <f t="shared" ca="1" si="32"/>
        <v>0.1032507454126792</v>
      </c>
    </row>
    <row r="114" spans="1:11">
      <c r="A114" s="230" t="s">
        <v>882</v>
      </c>
      <c r="B114" s="498">
        <f ca="1">Vehi_Comp_Sum!E184</f>
        <v>2851.3527517116804</v>
      </c>
      <c r="C114" s="496">
        <f>Vehi_ADR!J116</f>
        <v>131.06644114303808</v>
      </c>
      <c r="D114" s="496">
        <f ca="1">Battery_Sum!E237</f>
        <v>227.95861857368993</v>
      </c>
      <c r="E114" s="496">
        <f>Vehi_Fluids!D115</f>
        <v>122.98388884704013</v>
      </c>
      <c r="F114" s="497">
        <f t="shared" ca="1" si="33"/>
        <v>3333.3617002754481</v>
      </c>
      <c r="G114" s="369">
        <f t="shared" ca="1" si="29"/>
        <v>0.85539854600119225</v>
      </c>
      <c r="H114" s="369">
        <f t="shared" ca="1" si="30"/>
        <v>3.9319597729885587E-2</v>
      </c>
      <c r="I114" s="369">
        <f t="shared" ca="1" si="31"/>
        <v>6.8387003593055287E-2</v>
      </c>
      <c r="J114" s="746">
        <f t="shared" ca="1" si="32"/>
        <v>3.6894852675866986E-2</v>
      </c>
    </row>
    <row r="115" spans="1:11">
      <c r="A115" s="230" t="s">
        <v>883</v>
      </c>
      <c r="B115" s="498">
        <f ca="1">Vehi_Comp_Sum!E185</f>
        <v>991.39461535676116</v>
      </c>
      <c r="C115" s="496">
        <f>Vehi_ADR!J117</f>
        <v>80.733623309220008</v>
      </c>
      <c r="D115" s="496">
        <f ca="1">Battery_Sum!E238</f>
        <v>98.661906346639881</v>
      </c>
      <c r="E115" s="496">
        <f>Vehi_Fluids!D116</f>
        <v>65.320195990832303</v>
      </c>
      <c r="F115" s="497">
        <f ca="1">SUM(B115:E115)</f>
        <v>1236.1103410034534</v>
      </c>
      <c r="G115" s="369">
        <f t="shared" ca="1" si="29"/>
        <v>0.80202760422824704</v>
      </c>
      <c r="H115" s="369">
        <f t="shared" ca="1" si="30"/>
        <v>6.5312634828118846E-2</v>
      </c>
      <c r="I115" s="369">
        <f t="shared" ca="1" si="31"/>
        <v>7.9816423399991801E-2</v>
      </c>
      <c r="J115" s="746">
        <f t="shared" ca="1" si="32"/>
        <v>5.2843337543642323E-2</v>
      </c>
    </row>
    <row r="116" spans="1:11">
      <c r="A116" s="230" t="s">
        <v>884</v>
      </c>
      <c r="B116" s="498">
        <f ca="1">Vehi_Comp_Sum!E186</f>
        <v>18447.002002470406</v>
      </c>
      <c r="C116" s="496">
        <f>Vehi_ADR!J118</f>
        <v>324.00162905349237</v>
      </c>
      <c r="D116" s="496">
        <f ca="1">Battery_Sum!E239</f>
        <v>16277.500334983735</v>
      </c>
      <c r="E116" s="496">
        <f>Vehi_Fluids!D117</f>
        <v>1411.0507995076123</v>
      </c>
      <c r="F116" s="497">
        <f t="shared" ca="1" si="33"/>
        <v>36459.554766015244</v>
      </c>
      <c r="G116" s="369">
        <f t="shared" ca="1" si="29"/>
        <v>0.50595796138644189</v>
      </c>
      <c r="H116" s="369">
        <f t="shared" ca="1" si="30"/>
        <v>8.8866041050918547E-3</v>
      </c>
      <c r="I116" s="369">
        <f t="shared" ca="1" si="31"/>
        <v>0.44645362345884576</v>
      </c>
      <c r="J116" s="746">
        <f t="shared" ca="1" si="32"/>
        <v>3.8701811049620491E-2</v>
      </c>
    </row>
    <row r="117" spans="1:11">
      <c r="A117" s="661" t="s">
        <v>885</v>
      </c>
      <c r="B117" s="498">
        <f ca="1">Vehi_Comp_Sum!E187</f>
        <v>36.699866284885132</v>
      </c>
      <c r="C117" s="496">
        <f>Vehi_ADR!J119</f>
        <v>5.4242394675900218</v>
      </c>
      <c r="D117" s="496">
        <f ca="1">Battery_Sum!E240</f>
        <v>1.6479193314983573</v>
      </c>
      <c r="E117" s="496">
        <f>Vehi_Fluids!D118</f>
        <v>5.163003708791698</v>
      </c>
      <c r="F117" s="497">
        <f ca="1">SUM(B117:E117)</f>
        <v>48.935028792765209</v>
      </c>
      <c r="G117" s="369">
        <f t="shared" ca="1" si="29"/>
        <v>0.74997128213217723</v>
      </c>
      <c r="H117" s="369">
        <f t="shared" ca="1" si="30"/>
        <v>0.11084573977796387</v>
      </c>
      <c r="I117" s="369">
        <f t="shared" ca="1" si="31"/>
        <v>3.3675658769449703E-2</v>
      </c>
      <c r="J117" s="746">
        <f t="shared" ca="1" si="32"/>
        <v>0.10550731932040922</v>
      </c>
    </row>
    <row r="118" spans="1:11">
      <c r="A118" s="897" t="s">
        <v>886</v>
      </c>
      <c r="B118" s="501">
        <f ca="1">Vehi_Comp_Sum!E188</f>
        <v>84.549993001118239</v>
      </c>
      <c r="C118" s="499">
        <f>Vehi_ADR!J120</f>
        <v>17.458827230125763</v>
      </c>
      <c r="D118" s="499">
        <f ca="1">Battery_Sum!E241</f>
        <v>3.6661971359740964</v>
      </c>
      <c r="E118" s="499">
        <f>Vehi_Fluids!D119</f>
        <v>5.9565370708729368</v>
      </c>
      <c r="F118" s="500">
        <f ca="1">SUM(B118:E118)</f>
        <v>111.63155443809104</v>
      </c>
      <c r="G118" s="426">
        <f t="shared" ca="1" si="29"/>
        <v>0.75740227238355107</v>
      </c>
      <c r="H118" s="426">
        <f t="shared" ca="1" si="30"/>
        <v>0.1563968836410688</v>
      </c>
      <c r="I118" s="426">
        <f t="shared" ca="1" si="31"/>
        <v>3.284194289355083E-2</v>
      </c>
      <c r="J118" s="747">
        <f t="shared" ca="1" si="32"/>
        <v>5.3358901081829245E-2</v>
      </c>
      <c r="K118" s="1180"/>
    </row>
    <row r="119" spans="1:11">
      <c r="A119" s="230" t="s">
        <v>890</v>
      </c>
      <c r="B119" s="498">
        <f ca="1">Vehi_Comp_Sum!E195</f>
        <v>92.624138601890976</v>
      </c>
      <c r="C119" s="496">
        <f>Vehi_ADR!J127</f>
        <v>6.6802755568844958</v>
      </c>
      <c r="D119" s="496">
        <f ca="1">Battery_Sum!E248</f>
        <v>2.7506469549417285</v>
      </c>
      <c r="E119" s="496">
        <f>Vehi_Fluids!D126</f>
        <v>19194.407273101213</v>
      </c>
      <c r="F119" s="497">
        <f t="shared" ca="1" si="33"/>
        <v>19296.462334214932</v>
      </c>
      <c r="G119" s="369">
        <f t="shared" ca="1" si="29"/>
        <v>4.8000580105119744E-3</v>
      </c>
      <c r="H119" s="369">
        <f t="shared" ca="1" si="30"/>
        <v>3.4619172370469012E-4</v>
      </c>
      <c r="I119" s="369">
        <f t="shared" ca="1" si="31"/>
        <v>1.4254669624413503E-4</v>
      </c>
      <c r="J119" s="746">
        <f t="shared" ca="1" si="32"/>
        <v>0.99471120356953913</v>
      </c>
    </row>
    <row r="120" spans="1:11">
      <c r="A120" s="230" t="s">
        <v>891</v>
      </c>
      <c r="B120" s="498">
        <f ca="1">Vehi_Comp_Sum!E196</f>
        <v>235.03881264917788</v>
      </c>
      <c r="C120" s="496">
        <f>Vehi_ADR!J128</f>
        <v>41.171382071924583</v>
      </c>
      <c r="D120" s="496">
        <f ca="1">Battery_Sum!E249</f>
        <v>9.8366000910278082</v>
      </c>
      <c r="E120" s="496">
        <f>Vehi_Fluids!D127</f>
        <v>62.993567626681326</v>
      </c>
      <c r="F120" s="497">
        <f t="shared" ca="1" si="33"/>
        <v>349.04036243881166</v>
      </c>
      <c r="G120" s="369">
        <f t="shared" ca="1" si="29"/>
        <v>0.67338576835904251</v>
      </c>
      <c r="H120" s="369">
        <f t="shared" ca="1" si="30"/>
        <v>0.11795593433450582</v>
      </c>
      <c r="I120" s="369">
        <f t="shared" ca="1" si="31"/>
        <v>2.8181841269868061E-2</v>
      </c>
      <c r="J120" s="746">
        <f t="shared" ca="1" si="32"/>
        <v>0.18047645603658338</v>
      </c>
    </row>
    <row r="121" spans="1:11">
      <c r="A121" s="230" t="s">
        <v>892</v>
      </c>
      <c r="B121" s="498">
        <f ca="1">Vehi_Comp_Sum!E197</f>
        <v>467.01224666474081</v>
      </c>
      <c r="C121" s="496">
        <f>Vehi_ADR!J129</f>
        <v>95.620028716881123</v>
      </c>
      <c r="D121" s="496">
        <f ca="1">Battery_Sum!E250</f>
        <v>22.289448967148068</v>
      </c>
      <c r="E121" s="496">
        <f>Vehi_Fluids!D128</f>
        <v>298.66505977967461</v>
      </c>
      <c r="F121" s="497">
        <f t="shared" ca="1" si="33"/>
        <v>883.58678412844461</v>
      </c>
      <c r="G121" s="369">
        <f t="shared" ca="1" si="29"/>
        <v>0.52854145744766201</v>
      </c>
      <c r="H121" s="369">
        <f t="shared" ca="1" si="30"/>
        <v>0.10821803860635958</v>
      </c>
      <c r="I121" s="369">
        <f t="shared" ca="1" si="31"/>
        <v>2.5226100443697799E-2</v>
      </c>
      <c r="J121" s="746">
        <f t="shared" ca="1" si="32"/>
        <v>0.33801440350228062</v>
      </c>
    </row>
    <row r="122" spans="1:11">
      <c r="A122" s="230" t="s">
        <v>893</v>
      </c>
      <c r="B122" s="498">
        <f ca="1">Vehi_Comp_Sum!E198</f>
        <v>51.78257193368389</v>
      </c>
      <c r="C122" s="496">
        <f>Vehi_ADR!J130</f>
        <v>10.440968312981976</v>
      </c>
      <c r="D122" s="496">
        <f ca="1">Battery_Sum!E251</f>
        <v>2.6095132937424066</v>
      </c>
      <c r="E122" s="496">
        <f>Vehi_Fluids!D129</f>
        <v>53.340316298991773</v>
      </c>
      <c r="F122" s="497">
        <f t="shared" ca="1" si="33"/>
        <v>118.17336983940004</v>
      </c>
      <c r="G122" s="369">
        <f t="shared" ca="1" si="29"/>
        <v>0.43819154860403353</v>
      </c>
      <c r="H122" s="369">
        <f t="shared" ca="1" si="30"/>
        <v>8.8352970954212948E-2</v>
      </c>
      <c r="I122" s="369">
        <f t="shared" ca="1" si="31"/>
        <v>2.2082075659590542E-2</v>
      </c>
      <c r="J122" s="746">
        <f t="shared" ca="1" si="32"/>
        <v>0.45137340478216303</v>
      </c>
    </row>
    <row r="123" spans="1:11">
      <c r="A123" s="230" t="s">
        <v>894</v>
      </c>
      <c r="B123" s="498">
        <f ca="1">Vehi_Comp_Sum!E199</f>
        <v>45.067414858828741</v>
      </c>
      <c r="C123" s="496">
        <f>Vehi_ADR!J131</f>
        <v>9.1844793924853896</v>
      </c>
      <c r="D123" s="496">
        <f ca="1">Battery_Sum!E252</f>
        <v>2.2547393503745994</v>
      </c>
      <c r="E123" s="496">
        <f>Vehi_Fluids!D130</f>
        <v>30.304069794073357</v>
      </c>
      <c r="F123" s="497">
        <f ca="1">SUM(B123:E123)</f>
        <v>86.81070339576209</v>
      </c>
      <c r="G123" s="369">
        <f t="shared" ca="1" si="29"/>
        <v>0.51914583220654831</v>
      </c>
      <c r="H123" s="369">
        <f t="shared" ca="1" si="30"/>
        <v>0.10579892839497204</v>
      </c>
      <c r="I123" s="369">
        <f t="shared" ca="1" si="31"/>
        <v>2.5973057033018707E-2</v>
      </c>
      <c r="J123" s="746">
        <f t="shared" ca="1" si="32"/>
        <v>0.3490821823654609</v>
      </c>
    </row>
    <row r="124" spans="1:11">
      <c r="A124" s="230" t="s">
        <v>895</v>
      </c>
      <c r="B124" s="498">
        <f ca="1">Vehi_Comp_Sum!E200</f>
        <v>386.88735628541696</v>
      </c>
      <c r="C124" s="496">
        <f>Vehi_ADR!J132</f>
        <v>77.903979866860453</v>
      </c>
      <c r="D124" s="496">
        <f ca="1">Battery_Sum!E253</f>
        <v>23.081783661483051</v>
      </c>
      <c r="E124" s="496">
        <f>Vehi_Fluids!D131</f>
        <v>599.28580391292655</v>
      </c>
      <c r="F124" s="497">
        <f t="shared" ca="1" si="33"/>
        <v>1087.1589237266869</v>
      </c>
      <c r="G124" s="369">
        <f t="shared" ca="1" si="29"/>
        <v>0.35587010127203894</v>
      </c>
      <c r="H124" s="369">
        <f t="shared" ca="1" si="30"/>
        <v>7.1658317994403559E-2</v>
      </c>
      <c r="I124" s="369">
        <f t="shared" ca="1" si="31"/>
        <v>2.1231287494160183E-2</v>
      </c>
      <c r="J124" s="746">
        <f t="shared" ca="1" si="32"/>
        <v>0.55124029323939738</v>
      </c>
    </row>
    <row r="125" spans="1:11">
      <c r="A125" s="661" t="s">
        <v>896</v>
      </c>
      <c r="B125" s="498">
        <f ca="1">Vehi_Comp_Sum!E201</f>
        <v>2.6819289060289173</v>
      </c>
      <c r="C125" s="496">
        <f>Vehi_ADR!J133</f>
        <v>0.48156408344236989</v>
      </c>
      <c r="D125" s="496">
        <f ca="1">Battery_Sum!E254</f>
        <v>0.1250140550331843</v>
      </c>
      <c r="E125" s="496">
        <f>Vehi_Fluids!D132</f>
        <v>2.1973546050334241</v>
      </c>
      <c r="F125" s="497">
        <f ca="1">SUM(B125:E125)</f>
        <v>5.4858616495378953</v>
      </c>
      <c r="G125" s="369">
        <f t="shared" ca="1" si="29"/>
        <v>0.48888015727754108</v>
      </c>
      <c r="H125" s="369">
        <f t="shared" ca="1" si="30"/>
        <v>8.7782761251905567E-2</v>
      </c>
      <c r="I125" s="369">
        <f t="shared" ca="1" si="31"/>
        <v>2.2788408279256357E-2</v>
      </c>
      <c r="J125" s="746">
        <f t="shared" ca="1" si="32"/>
        <v>0.400548673191297</v>
      </c>
    </row>
    <row r="126" spans="1:11">
      <c r="A126" s="897" t="s">
        <v>897</v>
      </c>
      <c r="B126" s="501">
        <f ca="1">Vehi_Comp_Sum!E202</f>
        <v>10.606956749144736</v>
      </c>
      <c r="C126" s="499">
        <f>Vehi_ADR!J134</f>
        <v>2.6308995653983809</v>
      </c>
      <c r="D126" s="499">
        <f ca="1">Battery_Sum!E255</f>
        <v>0.53309384219962908</v>
      </c>
      <c r="E126" s="499">
        <f>Vehi_Fluids!D133</f>
        <v>2.1141694008976444</v>
      </c>
      <c r="F126" s="500">
        <f ca="1">SUM(B126:E126)</f>
        <v>15.885119557640389</v>
      </c>
      <c r="G126" s="426">
        <f t="shared" ca="1" si="29"/>
        <v>0.66772911029448478</v>
      </c>
      <c r="H126" s="426">
        <f t="shared" ca="1" si="30"/>
        <v>0.16562038175740243</v>
      </c>
      <c r="I126" s="426">
        <f t="shared" ca="1" si="31"/>
        <v>3.3559321997247593E-2</v>
      </c>
      <c r="J126" s="747">
        <f t="shared" ca="1" si="32"/>
        <v>0.13309118595086533</v>
      </c>
    </row>
    <row r="128" spans="1:11">
      <c r="A128" s="3" t="s">
        <v>1900</v>
      </c>
    </row>
    <row r="129" spans="1:26">
      <c r="A129" s="178"/>
      <c r="B129" s="2984" t="s">
        <v>1875</v>
      </c>
      <c r="C129" s="2985"/>
      <c r="D129" s="2985"/>
      <c r="E129" s="2985"/>
      <c r="F129" s="3004"/>
      <c r="G129" s="2985" t="s">
        <v>1890</v>
      </c>
      <c r="H129" s="2985"/>
      <c r="I129" s="2985"/>
      <c r="J129" s="3004"/>
    </row>
    <row r="130" spans="1:26">
      <c r="A130" s="539"/>
      <c r="B130" s="1725" t="s">
        <v>1891</v>
      </c>
      <c r="C130" s="1726" t="s">
        <v>1892</v>
      </c>
      <c r="D130" s="1726" t="s">
        <v>1893</v>
      </c>
      <c r="E130" s="1726" t="s">
        <v>1418</v>
      </c>
      <c r="F130" s="1727" t="s">
        <v>1894</v>
      </c>
      <c r="G130" s="1726" t="s">
        <v>1891</v>
      </c>
      <c r="H130" s="1726" t="s">
        <v>1892</v>
      </c>
      <c r="I130" s="1726" t="s">
        <v>1893</v>
      </c>
      <c r="J130" s="1727" t="s">
        <v>1418</v>
      </c>
    </row>
    <row r="131" spans="1:26">
      <c r="A131" s="95" t="s">
        <v>876</v>
      </c>
      <c r="B131" s="498">
        <f ca="1">Vehi_Comp_Sum!F174</f>
        <v>60.328234142615706</v>
      </c>
      <c r="C131" s="496">
        <f>Vehi_ADR!J106</f>
        <v>14.096115653906098</v>
      </c>
      <c r="D131" s="496">
        <f ca="1">Battery_Sum!F227</f>
        <v>10.413780468202049</v>
      </c>
      <c r="E131" s="496">
        <f>Vehi_Fluids!E105</f>
        <v>10.884735119507255</v>
      </c>
      <c r="F131" s="497">
        <f ca="1">SUM(B131:E131)</f>
        <v>95.722865384231113</v>
      </c>
      <c r="G131" s="369">
        <f ca="1">Vehi_Sum!B131/$F131</f>
        <v>0.63023849004580534</v>
      </c>
      <c r="H131" s="369">
        <f ca="1">Vehi_Sum!C131/$F131</f>
        <v>0.14725965000446192</v>
      </c>
      <c r="I131" s="369">
        <f ca="1">Vehi_Sum!D131/$F131</f>
        <v>0.1087909396192977</v>
      </c>
      <c r="J131" s="746">
        <f ca="1">Vehi_Sum!E131/$F131</f>
        <v>0.11371092033043496</v>
      </c>
    </row>
    <row r="132" spans="1:26">
      <c r="A132" s="95" t="s">
        <v>877</v>
      </c>
      <c r="B132" s="498">
        <f ca="1">Vehi_Comp_Sum!F175</f>
        <v>54.601380419397458</v>
      </c>
      <c r="C132" s="496">
        <f>Vehi_ADR!J107</f>
        <v>12.373726900986338</v>
      </c>
      <c r="D132" s="496">
        <f ca="1">Battery_Sum!F228</f>
        <v>9.1915067849406</v>
      </c>
      <c r="E132" s="496">
        <f>Vehi_Fluids!E106</f>
        <v>10.784962260046292</v>
      </c>
      <c r="F132" s="497">
        <f ca="1">SUM(B132:E132)</f>
        <v>86.951576365370698</v>
      </c>
      <c r="G132" s="369">
        <f ca="1">Vehi_Sum!B132/$F132</f>
        <v>0.627951587559061</v>
      </c>
      <c r="H132" s="369">
        <f ca="1">Vehi_Sum!C132/$F132</f>
        <v>0.14230595255676462</v>
      </c>
      <c r="I132" s="369">
        <f ca="1">Vehi_Sum!D132/$F132</f>
        <v>0.10570833985019283</v>
      </c>
      <c r="J132" s="746">
        <f ca="1">Vehi_Sum!E132/$F132</f>
        <v>0.12403412003398143</v>
      </c>
    </row>
    <row r="133" spans="1:26">
      <c r="A133" s="95" t="s">
        <v>442</v>
      </c>
      <c r="B133" s="498">
        <f ca="1">Vehi_Comp_Sum!F176</f>
        <v>20.288597869269744</v>
      </c>
      <c r="C133" s="496">
        <f>Vehi_ADR!J108</f>
        <v>2.2768602194752541</v>
      </c>
      <c r="D133" s="496">
        <f ca="1">Battery_Sum!F229</f>
        <v>2.4038663836679808</v>
      </c>
      <c r="E133" s="496">
        <f>Vehi_Fluids!E107</f>
        <v>0.13586594521559447</v>
      </c>
      <c r="F133" s="497">
        <f ca="1">SUM(B133:E133)</f>
        <v>25.105190417628574</v>
      </c>
      <c r="G133" s="369">
        <f ca="1">Vehi_Sum!B133/$F133</f>
        <v>0.80814355644254843</v>
      </c>
      <c r="H133" s="369">
        <f ca="1">Vehi_Sum!C133/$F133</f>
        <v>9.0692808204173955E-2</v>
      </c>
      <c r="I133" s="369">
        <f ca="1">Vehi_Sum!D133/$F133</f>
        <v>9.5751768605587373E-2</v>
      </c>
      <c r="J133" s="746">
        <f ca="1">Vehi_Sum!E133/$F133</f>
        <v>5.4118667476901897E-3</v>
      </c>
    </row>
    <row r="134" spans="1:26">
      <c r="A134" s="95" t="s">
        <v>878</v>
      </c>
      <c r="B134" s="498">
        <f ca="1">B132-B133-B135</f>
        <v>26.169821816681058</v>
      </c>
      <c r="C134" s="496">
        <f>C132-C133-C135</f>
        <v>10.004591508550437</v>
      </c>
      <c r="D134" s="496">
        <f ca="1">D132-D133-D135</f>
        <v>5.5715701572394112</v>
      </c>
      <c r="E134" s="496">
        <f>E132-E133-E135</f>
        <v>2.945670850959174</v>
      </c>
      <c r="F134" s="497">
        <f ca="1">F132-F133-F135</f>
        <v>44.691654333430087</v>
      </c>
      <c r="G134" s="369">
        <f ca="1">Vehi_Sum!B134/$F134</f>
        <v>0.58556395387461868</v>
      </c>
      <c r="H134" s="369">
        <f ca="1">Vehi_Sum!C134/$F134</f>
        <v>0.22385816004727396</v>
      </c>
      <c r="I134" s="369">
        <f ca="1">Vehi_Sum!D134/$F134</f>
        <v>0.12466690348206211</v>
      </c>
      <c r="J134" s="746">
        <f ca="1">Vehi_Sum!E134/$F134</f>
        <v>6.5910982596045095E-2</v>
      </c>
    </row>
    <row r="135" spans="1:26">
      <c r="A135" s="95" t="s">
        <v>440</v>
      </c>
      <c r="B135" s="498">
        <f ca="1">Vehi_Comp_Sum!F178</f>
        <v>8.1429607334466549</v>
      </c>
      <c r="C135" s="496">
        <f>Vehi_ADR!J110</f>
        <v>9.2275172960647592E-2</v>
      </c>
      <c r="D135" s="496">
        <f ca="1">Battery_Sum!F231</f>
        <v>1.2160702440332078</v>
      </c>
      <c r="E135" s="496">
        <f>Vehi_Fluids!E109</f>
        <v>7.7034254638715245</v>
      </c>
      <c r="F135" s="497">
        <f t="shared" ref="F135:F155" ca="1" si="35">SUM(B135:E135)</f>
        <v>17.154731614312034</v>
      </c>
      <c r="G135" s="369">
        <f ca="1">Vehi_Sum!B135/$F135</f>
        <v>0.47467724453660692</v>
      </c>
      <c r="H135" s="369">
        <f ca="1">Vehi_Sum!C135/$F135</f>
        <v>5.3789925156079547E-3</v>
      </c>
      <c r="I135" s="369">
        <f ca="1">Vehi_Sum!D135/$F135</f>
        <v>7.088832815190485E-2</v>
      </c>
      <c r="J135" s="746">
        <f ca="1">Vehi_Sum!E135/$F135</f>
        <v>0.44905543479588034</v>
      </c>
    </row>
    <row r="136" spans="1:26">
      <c r="A136" s="477" t="s">
        <v>819</v>
      </c>
      <c r="B136" s="598">
        <f ca="1">Vehi_Comp_Sum!F179</f>
        <v>2897.7331039388882</v>
      </c>
      <c r="C136" s="535">
        <f>Vehi_ADR!J111</f>
        <v>459.06790690026895</v>
      </c>
      <c r="D136" s="535">
        <f ca="1">Battery_Sum!F232</f>
        <v>799.08061923109346</v>
      </c>
      <c r="E136" s="535">
        <f>Vehi_Fluids!E110</f>
        <v>223.07943509845086</v>
      </c>
      <c r="F136" s="599">
        <f ca="1">SUM(B136:E136)</f>
        <v>4378.9610651687017</v>
      </c>
      <c r="G136" s="369">
        <f ca="1">Vehi_Sum!B136/$F136</f>
        <v>0.6617398649620676</v>
      </c>
      <c r="H136" s="369">
        <f ca="1">Vehi_Sum!C136/$F136</f>
        <v>0.10483489121467746</v>
      </c>
      <c r="I136" s="369">
        <f ca="1">Vehi_Sum!D136/$F136</f>
        <v>0.18248178217138555</v>
      </c>
      <c r="J136" s="746">
        <f ca="1">Vehi_Sum!E136/$F136</f>
        <v>5.094346165186938E-2</v>
      </c>
      <c r="L136" s="112" t="s">
        <v>2744</v>
      </c>
      <c r="M136" s="112" t="s">
        <v>2745</v>
      </c>
      <c r="N136" s="112" t="s">
        <v>2751</v>
      </c>
      <c r="O136" s="112" t="s">
        <v>2752</v>
      </c>
      <c r="P136" s="112" t="s">
        <v>2746</v>
      </c>
      <c r="Q136" s="112" t="s">
        <v>2747</v>
      </c>
      <c r="R136" s="112" t="s">
        <v>2750</v>
      </c>
      <c r="S136" s="112" t="s">
        <v>2748</v>
      </c>
      <c r="T136" s="112" t="s">
        <v>2749</v>
      </c>
      <c r="U136" s="112" t="s">
        <v>2768</v>
      </c>
      <c r="V136" s="112" t="s">
        <v>2775</v>
      </c>
      <c r="W136" s="112" t="s">
        <v>2776</v>
      </c>
      <c r="X136" s="112" t="s">
        <v>2777</v>
      </c>
      <c r="Y136" s="112" t="s">
        <v>2778</v>
      </c>
      <c r="Z136" s="112" t="s">
        <v>1894</v>
      </c>
    </row>
    <row r="137" spans="1:26">
      <c r="A137" s="640" t="s">
        <v>889</v>
      </c>
      <c r="B137" s="898">
        <f ca="1">Vehi_Comp_Sum!F191</f>
        <v>3789585.6250035716</v>
      </c>
      <c r="C137" s="632">
        <f>Vehi_ADR!J123</f>
        <v>828288.3486815989</v>
      </c>
      <c r="D137" s="632">
        <f ca="1">Battery_Sum!F244</f>
        <v>641571.35031815502</v>
      </c>
      <c r="E137" s="632">
        <f>Vehi_Fluids!E122</f>
        <v>569101.25534683804</v>
      </c>
      <c r="F137" s="899">
        <f t="shared" ca="1" si="35"/>
        <v>5828546.5793501642</v>
      </c>
      <c r="G137" s="458">
        <f ca="1">Vehi_Sum!B137/$F137</f>
        <v>0.65017677621889736</v>
      </c>
      <c r="H137" s="458">
        <f ca="1">Vehi_Sum!C137/$F137</f>
        <v>0.14210890097646717</v>
      </c>
      <c r="I137" s="458">
        <f ca="1">Vehi_Sum!D137/$F137</f>
        <v>0.11007398526952925</v>
      </c>
      <c r="J137" s="896">
        <f ca="1">Vehi_Sum!E137/$F137</f>
        <v>9.7640337535106092E-2</v>
      </c>
      <c r="L137" s="112">
        <f>Battery_Sum!L211</f>
        <v>1354.6841753424947</v>
      </c>
      <c r="M137" s="112">
        <f>Battery_Sum!M211</f>
        <v>15964.682587773876</v>
      </c>
      <c r="N137" s="112">
        <f>Battery_Sum!N211</f>
        <v>29478.972332223049</v>
      </c>
      <c r="O137" s="112">
        <f ca="1">Battery_Sum!O211</f>
        <v>29749.026622989866</v>
      </c>
      <c r="P137" s="112">
        <f ca="1">Battery_Sum!P211</f>
        <v>5320.4038476707319</v>
      </c>
      <c r="Q137" s="112">
        <f ca="1">Battery_Sum!Q211</f>
        <v>22729.193201001628</v>
      </c>
      <c r="R137" s="112">
        <f>Battery_Sum!R211</f>
        <v>1625.358905970666</v>
      </c>
      <c r="S137" s="112">
        <f ca="1">Battery_Sum!S211</f>
        <v>2870.1344240627718</v>
      </c>
      <c r="T137" s="112">
        <f ca="1">Battery_Sum!T211</f>
        <v>19060.281077925341</v>
      </c>
      <c r="U137" s="92">
        <f ca="1">V137-SUM(L137:T137)</f>
        <v>513418.61314319458</v>
      </c>
      <c r="V137" s="92">
        <f ca="1">SUM(D137)</f>
        <v>641571.35031815502</v>
      </c>
      <c r="W137" s="92">
        <f>Vehi_Comp_Sum!P$191</f>
        <v>11872.601653833155</v>
      </c>
      <c r="X137" s="92">
        <f>Vehi_Comp_Sum!Q$191</f>
        <v>139916.24051163433</v>
      </c>
      <c r="Y137" s="92">
        <f ca="1">SUM(E137,C137,B137)-SUM(W137:X137)</f>
        <v>5035186.3868665406</v>
      </c>
      <c r="Z137" s="92">
        <f ca="1">F137</f>
        <v>5828546.5793501642</v>
      </c>
    </row>
    <row r="138" spans="1:26">
      <c r="A138" s="230" t="s">
        <v>1895</v>
      </c>
      <c r="B138" s="517">
        <f ca="1">Vehi_Comp_Sum!F192</f>
        <v>3829349.2046743189</v>
      </c>
      <c r="C138" s="246">
        <f>Vehi_ADR!J124</f>
        <v>834381.00943205075</v>
      </c>
      <c r="D138" s="246">
        <f ca="1">Battery_Sum!F245</f>
        <v>642661.94365170319</v>
      </c>
      <c r="E138" s="246">
        <f>Vehi_Fluids!E123</f>
        <v>655184.88420587475</v>
      </c>
      <c r="F138" s="247">
        <f t="shared" ca="1" si="35"/>
        <v>5961577.0419639479</v>
      </c>
      <c r="G138" s="382">
        <f ca="1">Vehi_Sum!B138/$F138</f>
        <v>0.64233829030796186</v>
      </c>
      <c r="H138" s="382">
        <f ca="1">Vehi_Sum!C138/$F138</f>
        <v>0.13995977969567211</v>
      </c>
      <c r="I138" s="382">
        <f ca="1">Vehi_Sum!D138/$F138</f>
        <v>0.10780066065203249</v>
      </c>
      <c r="J138" s="588">
        <f ca="1">Vehi_Sum!E138/$F138</f>
        <v>0.10990126934433349</v>
      </c>
      <c r="L138" s="112">
        <f>Battery_Sum!L212</f>
        <v>1357.3062477784235</v>
      </c>
      <c r="M138" s="112">
        <f>Battery_Sum!M212</f>
        <v>15990.10559382377</v>
      </c>
      <c r="N138" s="112">
        <f>Battery_Sum!N212</f>
        <v>29528.7871970493</v>
      </c>
      <c r="O138" s="112">
        <f ca="1">Battery_Sum!O212</f>
        <v>29785.61891622833</v>
      </c>
      <c r="P138" s="112">
        <f ca="1">Battery_Sum!P212</f>
        <v>5329.048049220014</v>
      </c>
      <c r="Q138" s="112">
        <f ca="1">Battery_Sum!Q212</f>
        <v>22794.385646419432</v>
      </c>
      <c r="R138" s="112">
        <f>Battery_Sum!R212</f>
        <v>0</v>
      </c>
      <c r="S138" s="112">
        <f ca="1">Battery_Sum!S212</f>
        <v>2877.9874000974114</v>
      </c>
      <c r="T138" s="112">
        <f ca="1">Battery_Sum!T212</f>
        <v>19090.469053797664</v>
      </c>
      <c r="U138" s="92">
        <f t="shared" ref="U138:U149" ca="1" si="36">V138-SUM(L138:T138)</f>
        <v>515908.23554728884</v>
      </c>
      <c r="V138" s="92">
        <f t="shared" ref="V138:V149" ca="1" si="37">SUM(D138)</f>
        <v>642661.94365170319</v>
      </c>
      <c r="W138" s="92">
        <f>Vehi_Comp_Sum!P$192</f>
        <v>11895.581786107463</v>
      </c>
      <c r="X138" s="92">
        <f>Vehi_Comp_Sum!Q$192</f>
        <v>140139.05054305517</v>
      </c>
      <c r="Y138" s="92">
        <f ca="1">SUM(E138,C138,B138)-SUM(W138:X138)</f>
        <v>5166880.4659830816</v>
      </c>
      <c r="Z138" s="92">
        <f t="shared" ref="Z138:Z149" ca="1" si="38">F138</f>
        <v>5961577.0419639479</v>
      </c>
    </row>
    <row r="139" spans="1:26">
      <c r="A139" s="95" t="s">
        <v>887</v>
      </c>
      <c r="B139" s="498">
        <f ca="1">Vehi_Comp_Sum!F189</f>
        <v>10172.521134087328</v>
      </c>
      <c r="C139" s="496">
        <f>Vehi_ADR!J121</f>
        <v>2240.0809170636567</v>
      </c>
      <c r="D139" s="496">
        <f ca="1">Battery_Sum!F242</f>
        <v>1577.5052209923178</v>
      </c>
      <c r="E139" s="496">
        <f>Vehi_Fluids!E120</f>
        <v>1279.8021547003659</v>
      </c>
      <c r="F139" s="497">
        <f t="shared" ca="1" si="35"/>
        <v>15269.909426843669</v>
      </c>
      <c r="G139" s="369">
        <f ca="1">Vehi_Sum!B139/$F139</f>
        <v>0.66618084297242719</v>
      </c>
      <c r="H139" s="369">
        <f ca="1">Vehi_Sum!C139/$F139</f>
        <v>0.14669903104505103</v>
      </c>
      <c r="I139" s="369">
        <f ca="1">Vehi_Sum!D139/$F139</f>
        <v>0.10330809285739112</v>
      </c>
      <c r="J139" s="746">
        <f ca="1">Vehi_Sum!E139/$F139</f>
        <v>8.3812033125130622E-2</v>
      </c>
      <c r="L139" s="112">
        <f>Battery_Sum!L209</f>
        <v>2.4768847639848914</v>
      </c>
      <c r="M139" s="112">
        <f>Battery_Sum!M209</f>
        <v>34.509017178791055</v>
      </c>
      <c r="N139" s="112">
        <f>Battery_Sum!N209</f>
        <v>42.009542653200306</v>
      </c>
      <c r="O139" s="112">
        <f ca="1">Battery_Sum!O209</f>
        <v>68.454913716995804</v>
      </c>
      <c r="P139" s="112">
        <f ca="1">Battery_Sum!P209</f>
        <v>7.0708981278635958</v>
      </c>
      <c r="Q139" s="112">
        <f ca="1">Battery_Sum!Q209</f>
        <v>45.152348949351548</v>
      </c>
      <c r="R139" s="112">
        <f>Battery_Sum!R209</f>
        <v>3.4184886832846959</v>
      </c>
      <c r="S139" s="112">
        <f ca="1">Battery_Sum!S209</f>
        <v>3.5208813066721674</v>
      </c>
      <c r="T139" s="112">
        <f ca="1">Battery_Sum!T209</f>
        <v>46.589883633920067</v>
      </c>
      <c r="U139" s="92">
        <f t="shared" ca="1" si="36"/>
        <v>1324.3023619782537</v>
      </c>
      <c r="V139" s="92">
        <f t="shared" ca="1" si="37"/>
        <v>1577.5052209923178</v>
      </c>
      <c r="W139" s="92">
        <f>Vehi_Comp_Sum!P$189</f>
        <v>21.707691490384757</v>
      </c>
      <c r="X139" s="92">
        <f>Vehi_Comp_Sum!Q$189</f>
        <v>302.44083594280346</v>
      </c>
      <c r="Y139" s="92">
        <f t="shared" ref="Y139:Y149" ca="1" si="39">SUM(E139,C139,B139)-SUM(W139:X139)</f>
        <v>13368.255678418163</v>
      </c>
      <c r="Z139" s="92">
        <f t="shared" ca="1" si="38"/>
        <v>15269.909426843669</v>
      </c>
    </row>
    <row r="140" spans="1:26">
      <c r="A140" s="95" t="s">
        <v>888</v>
      </c>
      <c r="B140" s="498">
        <f ca="1">Vehi_Comp_Sum!F190</f>
        <v>92.777270228280301</v>
      </c>
      <c r="C140" s="496">
        <f>Vehi_ADR!J122</f>
        <v>21.36502696769179</v>
      </c>
      <c r="D140" s="496">
        <f ca="1">Battery_Sum!F243</f>
        <v>19.585149647329573</v>
      </c>
      <c r="E140" s="496">
        <f>Vehi_Fluids!E121</f>
        <v>13.673601257980243</v>
      </c>
      <c r="F140" s="497">
        <f t="shared" ca="1" si="35"/>
        <v>147.4010481012819</v>
      </c>
      <c r="G140" s="369">
        <f ca="1">Vehi_Sum!B140/$F140</f>
        <v>0.62942069560137304</v>
      </c>
      <c r="H140" s="369">
        <f ca="1">Vehi_Sum!C140/$F140</f>
        <v>0.14494487822780946</v>
      </c>
      <c r="I140" s="369">
        <f ca="1">Vehi_Sum!D140/$F140</f>
        <v>0.13286981266152373</v>
      </c>
      <c r="J140" s="746">
        <f ca="1">Vehi_Sum!E140/$F140</f>
        <v>9.2764613509293825E-2</v>
      </c>
      <c r="L140" s="112">
        <f>Battery_Sum!L210</f>
        <v>1.8319430516394227E-2</v>
      </c>
      <c r="M140" s="112">
        <f>Battery_Sum!M210</f>
        <v>0.39288256518859926</v>
      </c>
      <c r="N140" s="112">
        <f>Battery_Sum!N210</f>
        <v>0.22455736949472943</v>
      </c>
      <c r="O140" s="112">
        <f ca="1">Battery_Sum!O210</f>
        <v>0.65076635487678491</v>
      </c>
      <c r="P140" s="112">
        <f ca="1">Battery_Sum!P210</f>
        <v>1.0756483844373068</v>
      </c>
      <c r="Q140" s="112">
        <f ca="1">Battery_Sum!Q210</f>
        <v>1.9442714164507653</v>
      </c>
      <c r="R140" s="112">
        <f>Battery_Sum!R210</f>
        <v>2.9182149168289869E-2</v>
      </c>
      <c r="S140" s="112">
        <f ca="1">Battery_Sum!S210</f>
        <v>7.0209120704076311E-2</v>
      </c>
      <c r="T140" s="112">
        <f ca="1">Battery_Sum!T210</f>
        <v>0.44913155046742914</v>
      </c>
      <c r="U140" s="92">
        <f t="shared" ca="1" si="36"/>
        <v>14.730181306025198</v>
      </c>
      <c r="V140" s="92">
        <f t="shared" ca="1" si="37"/>
        <v>19.585149647329573</v>
      </c>
      <c r="W140" s="92">
        <f>Vehi_Comp_Sum!P$190</f>
        <v>0.1605535112944203</v>
      </c>
      <c r="X140" s="92">
        <f>Vehi_Comp_Sum!Q$190</f>
        <v>3.4432661709073824</v>
      </c>
      <c r="Y140" s="92">
        <f t="shared" ca="1" si="39"/>
        <v>124.21207877175054</v>
      </c>
      <c r="Z140" s="92">
        <f t="shared" ca="1" si="38"/>
        <v>147.4010481012819</v>
      </c>
    </row>
    <row r="141" spans="1:26">
      <c r="A141" s="589" t="s">
        <v>1896</v>
      </c>
      <c r="B141" s="517">
        <f ca="1">Vehi_Comp_Sum!F193</f>
        <v>4208186.8845309699</v>
      </c>
      <c r="C141" s="246">
        <f>Vehi_ADR!J125</f>
        <v>907245.16909039882</v>
      </c>
      <c r="D141" s="246">
        <f ca="1">Battery_Sum!F246</f>
        <v>700065.11584547465</v>
      </c>
      <c r="E141" s="246">
        <f>Vehi_Fluids!E124</f>
        <v>697202.45318025048</v>
      </c>
      <c r="F141" s="247">
        <f t="shared" ca="1" si="35"/>
        <v>6512699.6226470936</v>
      </c>
      <c r="G141" s="368">
        <f ca="1">Vehi_Sum!B141/$F141</f>
        <v>0.6461509248634052</v>
      </c>
      <c r="H141" s="368">
        <f ca="1">Vehi_Sum!C141/$F141</f>
        <v>0.13930400934438431</v>
      </c>
      <c r="I141" s="368">
        <f ca="1">Vehi_Sum!D141/$F141</f>
        <v>0.10749230832189562</v>
      </c>
      <c r="J141" s="428">
        <f ca="1">Vehi_Sum!E141/$F141</f>
        <v>0.10705275747031487</v>
      </c>
      <c r="L141" s="112">
        <f>Battery_Sum!L213</f>
        <v>1436.4674397848146</v>
      </c>
      <c r="M141" s="112">
        <f>Battery_Sum!M213</f>
        <v>17129.489988962476</v>
      </c>
      <c r="N141" s="112">
        <f>Battery_Sum!N213</f>
        <v>30848.58117956141</v>
      </c>
      <c r="O141" s="112">
        <f ca="1">Battery_Sum!O213</f>
        <v>32011.719411780552</v>
      </c>
      <c r="P141" s="112">
        <f ca="1">Battery_Sum!P213</f>
        <v>5826.2218149318078</v>
      </c>
      <c r="Q141" s="112">
        <f ca="1">Battery_Sum!Q213</f>
        <v>24664.188040259436</v>
      </c>
      <c r="R141" s="112">
        <f>Battery_Sum!R213</f>
        <v>1.7598336697827965E-2</v>
      </c>
      <c r="S141" s="112">
        <f ca="1">Battery_Sum!S213</f>
        <v>3002.2192562841569</v>
      </c>
      <c r="T141" s="112">
        <f ca="1">Battery_Sum!T213</f>
        <v>20607.18542368913</v>
      </c>
      <c r="U141" s="92">
        <f t="shared" ca="1" si="36"/>
        <v>564539.0256918841</v>
      </c>
      <c r="V141" s="92">
        <f t="shared" ca="1" si="37"/>
        <v>700065.11584547465</v>
      </c>
      <c r="W141" s="92">
        <f>Vehi_Comp_Sum!P$193</f>
        <v>12589.359211312025</v>
      </c>
      <c r="X141" s="92">
        <f>Vehi_Comp_Sum!Q$193</f>
        <v>150124.74115662969</v>
      </c>
      <c r="Y141" s="92">
        <f t="shared" ca="1" si="39"/>
        <v>5649920.4064336773</v>
      </c>
      <c r="Z141" s="92">
        <f t="shared" ca="1" si="38"/>
        <v>6512699.6226470936</v>
      </c>
    </row>
    <row r="142" spans="1:26">
      <c r="A142" s="393" t="s">
        <v>879</v>
      </c>
      <c r="B142" s="508">
        <f ca="1">Vehi_Comp_Sum!F181</f>
        <v>3497.7026545688927</v>
      </c>
      <c r="C142" s="506">
        <f>Vehi_ADR!J113</f>
        <v>1724.21746234342</v>
      </c>
      <c r="D142" s="506">
        <f ca="1">Battery_Sum!F234</f>
        <v>129.08070358964579</v>
      </c>
      <c r="E142" s="506">
        <f>Vehi_Fluids!E112</f>
        <v>27477.941443330226</v>
      </c>
      <c r="F142" s="507">
        <f t="shared" ca="1" si="35"/>
        <v>32828.942263832185</v>
      </c>
      <c r="G142" s="458">
        <f ca="1">Vehi_Sum!B142/$F142</f>
        <v>0.10654326375974439</v>
      </c>
      <c r="H142" s="458">
        <f ca="1">Vehi_Sum!C142/$F142</f>
        <v>5.2521261528520193E-2</v>
      </c>
      <c r="I142" s="458">
        <f ca="1">Vehi_Sum!D142/$F142</f>
        <v>3.9319178349481784E-3</v>
      </c>
      <c r="J142" s="896">
        <f ca="1">Vehi_Sum!E142/$F142</f>
        <v>0.83700355687678718</v>
      </c>
      <c r="L142" s="112">
        <f>Battery_Sum!L201</f>
        <v>0.17429491817589338</v>
      </c>
      <c r="M142" s="112">
        <f>Battery_Sum!M201</f>
        <v>1.9421408279533408</v>
      </c>
      <c r="N142" s="112">
        <f>Battery_Sum!N201</f>
        <v>5.0310274198039906</v>
      </c>
      <c r="O142" s="112">
        <f ca="1">Battery_Sum!O201</f>
        <v>7.2967818139457101</v>
      </c>
      <c r="P142" s="112">
        <f ca="1">Battery_Sum!P201</f>
        <v>0.78966922354698998</v>
      </c>
      <c r="Q142" s="112">
        <f ca="1">Battery_Sum!Q201</f>
        <v>5.4462620209330757</v>
      </c>
      <c r="R142" s="112">
        <f>Battery_Sum!R201</f>
        <v>0.19720265597427555</v>
      </c>
      <c r="S142" s="112">
        <f ca="1">Battery_Sum!S201</f>
        <v>0.9930721535143342</v>
      </c>
      <c r="T142" s="112">
        <f ca="1">Battery_Sum!T201</f>
        <v>3.6880030781741819</v>
      </c>
      <c r="U142" s="92">
        <f t="shared" ca="1" si="36"/>
        <v>103.522249477624</v>
      </c>
      <c r="V142" s="92">
        <f t="shared" ca="1" si="37"/>
        <v>129.08070358964579</v>
      </c>
      <c r="W142" s="92">
        <f>Vehi_Comp_Sum!P$181</f>
        <v>1.527539902993738</v>
      </c>
      <c r="X142" s="92">
        <f>Vehi_Comp_Sum!Q$181</f>
        <v>17.021136605590065</v>
      </c>
      <c r="Y142" s="92">
        <f t="shared" ca="1" si="39"/>
        <v>32681.312883733954</v>
      </c>
      <c r="Z142" s="92">
        <f t="shared" ca="1" si="38"/>
        <v>32828.942263832185</v>
      </c>
    </row>
    <row r="143" spans="1:26">
      <c r="A143" s="230" t="s">
        <v>880</v>
      </c>
      <c r="B143" s="498">
        <f ca="1">Vehi_Comp_Sum!F182</f>
        <v>18366.985889216448</v>
      </c>
      <c r="C143" s="496">
        <f>Vehi_ADR!J114</f>
        <v>457.44978330654908</v>
      </c>
      <c r="D143" s="496">
        <f ca="1">Battery_Sum!F235</f>
        <v>438.00387741137752</v>
      </c>
      <c r="E143" s="496">
        <f>Vehi_Fluids!E113</f>
        <v>282.57389617602286</v>
      </c>
      <c r="F143" s="497">
        <f t="shared" ca="1" si="35"/>
        <v>19545.013446110399</v>
      </c>
      <c r="G143" s="369">
        <f ca="1">Vehi_Sum!B143/$F143</f>
        <v>0.93972746244754379</v>
      </c>
      <c r="H143" s="369">
        <f ca="1">Vehi_Sum!C143/$F143</f>
        <v>2.3404935717636202E-2</v>
      </c>
      <c r="I143" s="369">
        <f ca="1">Vehi_Sum!D143/$F143</f>
        <v>2.2410006450957112E-2</v>
      </c>
      <c r="J143" s="746">
        <f ca="1">Vehi_Sum!E143/$F143</f>
        <v>1.4457595383862841E-2</v>
      </c>
      <c r="L143" s="112">
        <f>Battery_Sum!L202</f>
        <v>1.3229066290877867</v>
      </c>
      <c r="M143" s="112">
        <f>Battery_Sum!M202</f>
        <v>12.326363935097929</v>
      </c>
      <c r="N143" s="112">
        <f>Battery_Sum!N202</f>
        <v>21.722164143186106</v>
      </c>
      <c r="O143" s="112">
        <f ca="1">Battery_Sum!O202</f>
        <v>8.8140541904537191</v>
      </c>
      <c r="P143" s="112">
        <f ca="1">Battery_Sum!P202</f>
        <v>3.9346782379927689</v>
      </c>
      <c r="Q143" s="112">
        <f ca="1">Battery_Sum!Q202</f>
        <v>30.684348621333552</v>
      </c>
      <c r="R143" s="112">
        <f>Battery_Sum!R202</f>
        <v>0.90902877207445576</v>
      </c>
      <c r="S143" s="112">
        <f ca="1">Battery_Sum!S202</f>
        <v>3.0277552812100157</v>
      </c>
      <c r="T143" s="112">
        <f ca="1">Battery_Sum!T202</f>
        <v>11.895990662188835</v>
      </c>
      <c r="U143" s="92">
        <f t="shared" ca="1" si="36"/>
        <v>343.36658693875233</v>
      </c>
      <c r="V143" s="92">
        <f t="shared" ca="1" si="37"/>
        <v>438.00387741137752</v>
      </c>
      <c r="W143" s="92">
        <f>Vehi_Comp_Sum!P$182</f>
        <v>11.594099730591143</v>
      </c>
      <c r="X143" s="92">
        <f>Vehi_Comp_Sum!Q$182</f>
        <v>108.02961421217861</v>
      </c>
      <c r="Y143" s="92">
        <f t="shared" ca="1" si="39"/>
        <v>18987.385854756252</v>
      </c>
      <c r="Z143" s="92">
        <f t="shared" ca="1" si="38"/>
        <v>19545.013446110399</v>
      </c>
    </row>
    <row r="144" spans="1:26">
      <c r="A144" s="230" t="s">
        <v>881</v>
      </c>
      <c r="B144" s="498">
        <f ca="1">Vehi_Comp_Sum!F183</f>
        <v>4207.1937069566875</v>
      </c>
      <c r="C144" s="496">
        <f>Vehi_ADR!J115</f>
        <v>725.01502646481504</v>
      </c>
      <c r="D144" s="496">
        <f ca="1">Battery_Sum!F236</f>
        <v>778.67065808186339</v>
      </c>
      <c r="E144" s="496">
        <f>Vehi_Fluids!E114</f>
        <v>749.31242935723196</v>
      </c>
      <c r="F144" s="497">
        <f t="shared" ca="1" si="35"/>
        <v>6460.1918208605985</v>
      </c>
      <c r="G144" s="369">
        <f ca="1">Vehi_Sum!B144/$F144</f>
        <v>0.65124903774083653</v>
      </c>
      <c r="H144" s="369">
        <f ca="1">Vehi_Sum!C144/$F144</f>
        <v>0.11222809578558794</v>
      </c>
      <c r="I144" s="369">
        <f ca="1">Vehi_Sum!D144/$F144</f>
        <v>0.12053367449050953</v>
      </c>
      <c r="J144" s="746">
        <f ca="1">Vehi_Sum!E144/$F144</f>
        <v>0.11598919198306588</v>
      </c>
      <c r="L144" s="112">
        <f>Battery_Sum!L203</f>
        <v>1.254185329462248</v>
      </c>
      <c r="M144" s="112">
        <f>Battery_Sum!M203</f>
        <v>17.743641095926282</v>
      </c>
      <c r="N144" s="112">
        <f>Battery_Sum!N203</f>
        <v>43.718129463763091</v>
      </c>
      <c r="O144" s="112">
        <f ca="1">Battery_Sum!O203</f>
        <v>88.159819052060001</v>
      </c>
      <c r="P144" s="112">
        <f ca="1">Battery_Sum!P203</f>
        <v>16.267554086819718</v>
      </c>
      <c r="Q144" s="112">
        <f ca="1">Battery_Sum!Q203</f>
        <v>42.682888870285552</v>
      </c>
      <c r="R144" s="112">
        <f>Battery_Sum!R203</f>
        <v>1.2232978202948679</v>
      </c>
      <c r="S144" s="112">
        <f ca="1">Battery_Sum!S203</f>
        <v>6.9371735405281481</v>
      </c>
      <c r="T144" s="112">
        <f ca="1">Battery_Sum!T203</f>
        <v>21.595627095052308</v>
      </c>
      <c r="U144" s="92">
        <f t="shared" ca="1" si="36"/>
        <v>539.08834172767115</v>
      </c>
      <c r="V144" s="92">
        <f t="shared" ca="1" si="37"/>
        <v>778.67065808186339</v>
      </c>
      <c r="W144" s="92">
        <f>Vehi_Comp_Sum!P$183</f>
        <v>10.991818674653173</v>
      </c>
      <c r="X144" s="92">
        <f>Vehi_Comp_Sum!Q$183</f>
        <v>155.50722925308838</v>
      </c>
      <c r="Y144" s="92">
        <f t="shared" ca="1" si="39"/>
        <v>5515.0221148509927</v>
      </c>
      <c r="Z144" s="92">
        <f t="shared" ca="1" si="38"/>
        <v>6460.1918208605985</v>
      </c>
    </row>
    <row r="145" spans="1:26">
      <c r="A145" s="230" t="s">
        <v>882</v>
      </c>
      <c r="B145" s="498">
        <f ca="1">Vehi_Comp_Sum!F184</f>
        <v>2008.3360469857435</v>
      </c>
      <c r="C145" s="496">
        <f>Vehi_ADR!J116</f>
        <v>131.06644114303808</v>
      </c>
      <c r="D145" s="496">
        <f ca="1">Battery_Sum!F237</f>
        <v>398.80922533537426</v>
      </c>
      <c r="E145" s="496">
        <f>Vehi_Fluids!E115</f>
        <v>122.98388884704013</v>
      </c>
      <c r="F145" s="497">
        <f t="shared" ca="1" si="35"/>
        <v>2661.1956023111961</v>
      </c>
      <c r="G145" s="369">
        <f ca="1">Vehi_Sum!B145/$F145</f>
        <v>0.75467434458464577</v>
      </c>
      <c r="H145" s="369">
        <f ca="1">Vehi_Sum!C145/$F145</f>
        <v>4.9250961120336077E-2</v>
      </c>
      <c r="I145" s="369">
        <f ca="1">Vehi_Sum!D145/$F145</f>
        <v>0.14986092153053923</v>
      </c>
      <c r="J145" s="746">
        <f ca="1">Vehi_Sum!E145/$F145</f>
        <v>4.6213772764478883E-2</v>
      </c>
      <c r="L145" s="112">
        <f>Battery_Sum!L204</f>
        <v>0.45060963089617878</v>
      </c>
      <c r="M145" s="112">
        <f>Battery_Sum!M204</f>
        <v>2.1751225307661151</v>
      </c>
      <c r="N145" s="112">
        <f>Battery_Sum!N204</f>
        <v>8.0642491745646723</v>
      </c>
      <c r="O145" s="112">
        <f ca="1">Battery_Sum!O204</f>
        <v>34.973862935001137</v>
      </c>
      <c r="P145" s="112">
        <f ca="1">Battery_Sum!P204</f>
        <v>1.1817146010105271</v>
      </c>
      <c r="Q145" s="112">
        <f ca="1">Battery_Sum!Q204</f>
        <v>16.292315068709428</v>
      </c>
      <c r="R145" s="112">
        <f>Battery_Sum!R204</f>
        <v>6.4736781369787817</v>
      </c>
      <c r="S145" s="112">
        <f ca="1">Battery_Sum!S204</f>
        <v>81.362001348363549</v>
      </c>
      <c r="T145" s="112">
        <f ca="1">Battery_Sum!T204</f>
        <v>2.2230115783959263</v>
      </c>
      <c r="U145" s="92">
        <f t="shared" ca="1" si="36"/>
        <v>245.61266033068796</v>
      </c>
      <c r="V145" s="92">
        <f t="shared" ca="1" si="37"/>
        <v>398.80922533537426</v>
      </c>
      <c r="W145" s="92">
        <f>Vehi_Comp_Sum!P$184</f>
        <v>3.9491925471547953</v>
      </c>
      <c r="X145" s="92">
        <f>Vehi_Comp_Sum!Q$184</f>
        <v>19.063013967469249</v>
      </c>
      <c r="Y145" s="92">
        <f t="shared" ca="1" si="39"/>
        <v>2239.3741704611975</v>
      </c>
      <c r="Z145" s="92">
        <f t="shared" ca="1" si="38"/>
        <v>2661.1956023111961</v>
      </c>
    </row>
    <row r="146" spans="1:26">
      <c r="A146" s="230" t="s">
        <v>883</v>
      </c>
      <c r="B146" s="498">
        <f ca="1">Vehi_Comp_Sum!F185</f>
        <v>942.55727618558694</v>
      </c>
      <c r="C146" s="496">
        <f>Vehi_ADR!J117</f>
        <v>80.733623309220008</v>
      </c>
      <c r="D146" s="496">
        <f ca="1">Battery_Sum!F238</f>
        <v>141.63350361584764</v>
      </c>
      <c r="E146" s="496">
        <f>Vehi_Fluids!E116</f>
        <v>65.320195990832303</v>
      </c>
      <c r="F146" s="497">
        <f t="shared" ca="1" si="35"/>
        <v>1230.244599101487</v>
      </c>
      <c r="G146" s="369">
        <f ca="1">Vehi_Sum!B146/$F146</f>
        <v>0.76615437033740008</v>
      </c>
      <c r="H146" s="369">
        <f ca="1">Vehi_Sum!C146/$F146</f>
        <v>6.5624042054875972E-2</v>
      </c>
      <c r="I146" s="369">
        <f ca="1">Vehi_Sum!D146/$F146</f>
        <v>0.11512629579458436</v>
      </c>
      <c r="J146" s="746">
        <f ca="1">Vehi_Sum!E146/$F146</f>
        <v>5.3095291813139531E-2</v>
      </c>
      <c r="L146" s="112">
        <f>Battery_Sum!L205</f>
        <v>0.22534335302981368</v>
      </c>
      <c r="M146" s="112">
        <f>Battery_Sum!M205</f>
        <v>1.3585942279467504</v>
      </c>
      <c r="N146" s="112">
        <f>Battery_Sum!N205</f>
        <v>5.6915151638388757</v>
      </c>
      <c r="O146" s="112">
        <f ca="1">Battery_Sum!O205</f>
        <v>17.440177770693186</v>
      </c>
      <c r="P146" s="112">
        <f ca="1">Battery_Sum!P205</f>
        <v>0.83886624454446057</v>
      </c>
      <c r="Q146" s="112">
        <f ca="1">Battery_Sum!Q205</f>
        <v>8.9225983528336439</v>
      </c>
      <c r="R146" s="112">
        <f>Battery_Sum!R205</f>
        <v>3.2476049972368704</v>
      </c>
      <c r="S146" s="112">
        <f ca="1">Battery_Sum!S205</f>
        <v>8.7602531646325019</v>
      </c>
      <c r="T146" s="112">
        <f ca="1">Battery_Sum!T205</f>
        <v>1.5565732867037525</v>
      </c>
      <c r="U146" s="92">
        <f t="shared" ca="1" si="36"/>
        <v>93.591977054387797</v>
      </c>
      <c r="V146" s="92">
        <f t="shared" ca="1" si="37"/>
        <v>141.63350361584764</v>
      </c>
      <c r="W146" s="92">
        <f>Vehi_Comp_Sum!P$185</f>
        <v>1.9749340211977233</v>
      </c>
      <c r="X146" s="92">
        <f>Vehi_Comp_Sum!Q$185</f>
        <v>11.906869786480476</v>
      </c>
      <c r="Y146" s="92">
        <f t="shared" ca="1" si="39"/>
        <v>1074.7292916779611</v>
      </c>
      <c r="Z146" s="92">
        <f t="shared" ca="1" si="38"/>
        <v>1230.244599101487</v>
      </c>
    </row>
    <row r="147" spans="1:26">
      <c r="A147" s="230" t="s">
        <v>884</v>
      </c>
      <c r="B147" s="498">
        <f ca="1">Vehi_Comp_Sum!F186</f>
        <v>20556.826972394916</v>
      </c>
      <c r="C147" s="496">
        <f>Vehi_ADR!J118</f>
        <v>324.00162905349237</v>
      </c>
      <c r="D147" s="496">
        <f ca="1">Battery_Sum!F239</f>
        <v>6555.6178692742114</v>
      </c>
      <c r="E147" s="496">
        <f>Vehi_Fluids!E117</f>
        <v>1411.0507995076123</v>
      </c>
      <c r="F147" s="497">
        <f t="shared" ca="1" si="35"/>
        <v>28847.497270230229</v>
      </c>
      <c r="G147" s="369">
        <f ca="1">Vehi_Sum!B147/$F147</f>
        <v>0.71260348098235049</v>
      </c>
      <c r="H147" s="369">
        <f ca="1">Vehi_Sum!C147/$F147</f>
        <v>1.1231533398491818E-2</v>
      </c>
      <c r="I147" s="369">
        <f ca="1">Vehi_Sum!D147/$F147</f>
        <v>0.22725083593436776</v>
      </c>
      <c r="J147" s="746">
        <f ca="1">Vehi_Sum!E147/$F147</f>
        <v>4.891414968479E-2</v>
      </c>
      <c r="L147" s="112">
        <f>Battery_Sum!L206</f>
        <v>0.46581753602675185</v>
      </c>
      <c r="M147" s="112">
        <f>Battery_Sum!M206</f>
        <v>908.51163610509661</v>
      </c>
      <c r="N147" s="112">
        <f>Battery_Sum!N206</f>
        <v>37.738423313934803</v>
      </c>
      <c r="O147" s="112">
        <f ca="1">Battery_Sum!O206</f>
        <v>482.30032246928357</v>
      </c>
      <c r="P147" s="112">
        <f ca="1">Battery_Sum!P206</f>
        <v>10.256050739927732</v>
      </c>
      <c r="Q147" s="112">
        <f ca="1">Battery_Sum!Q206</f>
        <v>1853.4509013492993</v>
      </c>
      <c r="R147" s="112">
        <f>Battery_Sum!R206</f>
        <v>0.76790925266951326</v>
      </c>
      <c r="S147" s="112">
        <f ca="1">Battery_Sum!S206</f>
        <v>0.1586812251877861</v>
      </c>
      <c r="T147" s="112">
        <f ca="1">Battery_Sum!T206</f>
        <v>86.118288465304602</v>
      </c>
      <c r="U147" s="92">
        <f t="shared" ca="1" si="36"/>
        <v>3175.8498388174808</v>
      </c>
      <c r="V147" s="92">
        <f t="shared" ca="1" si="37"/>
        <v>6555.6178692742114</v>
      </c>
      <c r="W147" s="92">
        <f>Vehi_Comp_Sum!P$186</f>
        <v>4.0824763064922296</v>
      </c>
      <c r="X147" s="92">
        <f>Vehi_Comp_Sum!Q$186</f>
        <v>7962.2962677784235</v>
      </c>
      <c r="Y147" s="92">
        <f t="shared" ca="1" si="39"/>
        <v>14325.500656871107</v>
      </c>
      <c r="Z147" s="92">
        <f t="shared" ca="1" si="38"/>
        <v>28847.497270230229</v>
      </c>
    </row>
    <row r="148" spans="1:26">
      <c r="A148" s="661" t="s">
        <v>885</v>
      </c>
      <c r="B148" s="498">
        <f ca="1">Vehi_Comp_Sum!F187</f>
        <v>24.132521743817435</v>
      </c>
      <c r="C148" s="496">
        <f>Vehi_ADR!J119</f>
        <v>5.4242394675900218</v>
      </c>
      <c r="D148" s="496">
        <f ca="1">Battery_Sum!F240</f>
        <v>6.0660479396638332</v>
      </c>
      <c r="E148" s="496">
        <f>Vehi_Fluids!E118</f>
        <v>5.163003708791698</v>
      </c>
      <c r="F148" s="497">
        <f ca="1">SUM(B148:E148)</f>
        <v>40.785812859862986</v>
      </c>
      <c r="G148" s="369">
        <f ca="1">Vehi_Sum!B148/$F148</f>
        <v>0.59168912059531542</v>
      </c>
      <c r="H148" s="369">
        <f ca="1">Vehi_Sum!C148/$F148</f>
        <v>0.13299329073634758</v>
      </c>
      <c r="I148" s="369">
        <f ca="1">Vehi_Sum!D148/$F148</f>
        <v>0.14872936235220618</v>
      </c>
      <c r="J148" s="746">
        <f ca="1">Vehi_Sum!E148/$F148</f>
        <v>0.1265882263161309</v>
      </c>
      <c r="L148" s="112">
        <f>Battery_Sum!L207</f>
        <v>4.2815532470397311E-3</v>
      </c>
      <c r="M148" s="112">
        <f>Battery_Sum!M207</f>
        <v>0.28009256065336069</v>
      </c>
      <c r="N148" s="112">
        <f>Battery_Sum!N207</f>
        <v>0.52429079834575598</v>
      </c>
      <c r="O148" s="112">
        <f ca="1">Battery_Sum!O207</f>
        <v>0.12930662734578768</v>
      </c>
      <c r="P148" s="112">
        <f ca="1">Battery_Sum!P207</f>
        <v>7.1823769060931089E-2</v>
      </c>
      <c r="Q148" s="112">
        <f ca="1">Battery_Sum!Q207</f>
        <v>0.22930590048941485</v>
      </c>
      <c r="R148" s="112">
        <f>Battery_Sum!R207</f>
        <v>5.8161702001648247E-3</v>
      </c>
      <c r="S148" s="112">
        <f ca="1">Battery_Sum!S207</f>
        <v>0.29183173164604004</v>
      </c>
      <c r="T148" s="112">
        <f ca="1">Battery_Sum!T207</f>
        <v>0.17776707401346001</v>
      </c>
      <c r="U148" s="92">
        <f t="shared" ca="1" si="36"/>
        <v>4.3515317546618775</v>
      </c>
      <c r="V148" s="92">
        <f t="shared" ca="1" si="37"/>
        <v>6.0660479396638332</v>
      </c>
      <c r="W148" s="92">
        <f>Vehi_Comp_Sum!P$187</f>
        <v>3.7524005289961297E-2</v>
      </c>
      <c r="X148" s="92">
        <f>Vehi_Comp_Sum!Q$187</f>
        <v>2.4547621204763175</v>
      </c>
      <c r="Y148" s="92">
        <f t="shared" ca="1" si="39"/>
        <v>32.227478794432876</v>
      </c>
      <c r="Z148" s="92">
        <f t="shared" ca="1" si="38"/>
        <v>40.785812859862986</v>
      </c>
    </row>
    <row r="149" spans="1:26">
      <c r="A149" s="897" t="s">
        <v>886</v>
      </c>
      <c r="B149" s="501">
        <f ca="1">Vehi_Comp_Sum!F188</f>
        <v>52.631339270934802</v>
      </c>
      <c r="C149" s="499">
        <f>Vehi_ADR!J120</f>
        <v>17.458827230125763</v>
      </c>
      <c r="D149" s="499">
        <f ca="1">Battery_Sum!F241</f>
        <v>13.470708778785269</v>
      </c>
      <c r="E149" s="499">
        <f>Vehi_Fluids!E119</f>
        <v>5.9565370708729368</v>
      </c>
      <c r="F149" s="500">
        <f ca="1">SUM(B149:E149)</f>
        <v>89.517412350718772</v>
      </c>
      <c r="G149" s="426">
        <f ca="1">Vehi_Sum!B149/$F149</f>
        <v>0.5879452710801264</v>
      </c>
      <c r="H149" s="426">
        <f ca="1">Vehi_Sum!C149/$F149</f>
        <v>0.19503275141292195</v>
      </c>
      <c r="I149" s="426">
        <f ca="1">Vehi_Sum!D149/$F149</f>
        <v>0.15048143623732782</v>
      </c>
      <c r="J149" s="747">
        <f ca="1">Vehi_Sum!E149/$F149</f>
        <v>6.6540541269623832E-2</v>
      </c>
      <c r="L149" s="112">
        <f>Battery_Sum!L208</f>
        <v>1.6641916935341707E-2</v>
      </c>
      <c r="M149" s="112">
        <f>Battery_Sum!M208</f>
        <v>0.28988258762864533</v>
      </c>
      <c r="N149" s="112">
        <f>Battery_Sum!N208</f>
        <v>0.97979077820983718</v>
      </c>
      <c r="O149" s="112">
        <f ca="1">Battery_Sum!O208</f>
        <v>0.26323236895568242</v>
      </c>
      <c r="P149" s="112">
        <f ca="1">Battery_Sum!P208</f>
        <v>0.12614118246935715</v>
      </c>
      <c r="Q149" s="112">
        <f ca="1">Battery_Sum!Q208</f>
        <v>0.48895306244146974</v>
      </c>
      <c r="R149" s="112">
        <f>Battery_Sum!R208</f>
        <v>2.6033889744611544E-2</v>
      </c>
      <c r="S149" s="112">
        <f ca="1">Battery_Sum!S208</f>
        <v>8.7754129383464205E-2</v>
      </c>
      <c r="T149" s="112">
        <f ca="1">Battery_Sum!T208</f>
        <v>0.4742329080435646</v>
      </c>
      <c r="U149" s="92">
        <f t="shared" ca="1" si="36"/>
        <v>10.718045954973295</v>
      </c>
      <c r="V149" s="92">
        <f t="shared" ca="1" si="37"/>
        <v>13.470708778785269</v>
      </c>
      <c r="W149" s="92">
        <f>Vehi_Comp_Sum!P$188</f>
        <v>0.14585159709239134</v>
      </c>
      <c r="X149" s="92">
        <f>Vehi_Comp_Sum!Q$188</f>
        <v>2.5405629975910506</v>
      </c>
      <c r="Y149" s="92">
        <f t="shared" ca="1" si="39"/>
        <v>73.360288977250065</v>
      </c>
      <c r="Z149" s="92">
        <f t="shared" ca="1" si="38"/>
        <v>89.517412350718772</v>
      </c>
    </row>
    <row r="150" spans="1:26">
      <c r="A150" s="230" t="s">
        <v>890</v>
      </c>
      <c r="B150" s="498">
        <f ca="1">Vehi_Comp_Sum!F195</f>
        <v>39.924885129365911</v>
      </c>
      <c r="C150" s="496">
        <f>Vehi_ADR!J127</f>
        <v>6.6802755568844958</v>
      </c>
      <c r="D150" s="496">
        <f ca="1">Battery_Sum!F248</f>
        <v>7.9731533356343354</v>
      </c>
      <c r="E150" s="496">
        <f>Vehi_Fluids!E126</f>
        <v>19194.407273101213</v>
      </c>
      <c r="F150" s="497">
        <f t="shared" ca="1" si="35"/>
        <v>19248.985587123098</v>
      </c>
      <c r="G150" s="369">
        <f ca="1">Vehi_Sum!B150/$F150</f>
        <v>2.0741293066411912E-3</v>
      </c>
      <c r="H150" s="369">
        <f ca="1">Vehi_Sum!C150/$F150</f>
        <v>3.4704558983894546E-4</v>
      </c>
      <c r="I150" s="369">
        <f ca="1">Vehi_Sum!D150/$F150</f>
        <v>4.142116112844979E-4</v>
      </c>
      <c r="J150" s="746">
        <f ca="1">Vehi_Sum!E150/$F150</f>
        <v>0.9971646134922354</v>
      </c>
    </row>
    <row r="151" spans="1:26">
      <c r="A151" s="230" t="s">
        <v>891</v>
      </c>
      <c r="B151" s="498">
        <f ca="1">Vehi_Comp_Sum!F196</f>
        <v>124.50750341128604</v>
      </c>
      <c r="C151" s="496">
        <f>Vehi_ADR!J128</f>
        <v>41.171382071924583</v>
      </c>
      <c r="D151" s="496">
        <f ca="1">Battery_Sum!F249</f>
        <v>27.446840306797355</v>
      </c>
      <c r="E151" s="496">
        <f>Vehi_Fluids!E127</f>
        <v>62.993567626681326</v>
      </c>
      <c r="F151" s="497">
        <f t="shared" ca="1" si="35"/>
        <v>256.11929341668929</v>
      </c>
      <c r="G151" s="369">
        <f ca="1">Vehi_Sum!B151/$F151</f>
        <v>0.48613090310506402</v>
      </c>
      <c r="H151" s="369">
        <f ca="1">Vehi_Sum!C151/$F151</f>
        <v>0.16075080296641864</v>
      </c>
      <c r="I151" s="369">
        <f ca="1">Vehi_Sum!D151/$F151</f>
        <v>0.10716428247419513</v>
      </c>
      <c r="J151" s="746">
        <f ca="1">Vehi_Sum!E151/$F151</f>
        <v>0.24595401145432227</v>
      </c>
    </row>
    <row r="152" spans="1:26">
      <c r="A152" s="230" t="s">
        <v>892</v>
      </c>
      <c r="B152" s="498">
        <f ca="1">Vehi_Comp_Sum!F197</f>
        <v>239.73266488756923</v>
      </c>
      <c r="C152" s="496">
        <f>Vehi_ADR!J129</f>
        <v>95.620028716881123</v>
      </c>
      <c r="D152" s="496">
        <f ca="1">Battery_Sum!F250</f>
        <v>64.47666084055534</v>
      </c>
      <c r="E152" s="496">
        <f>Vehi_Fluids!E128</f>
        <v>298.66505977967461</v>
      </c>
      <c r="F152" s="497">
        <f t="shared" ca="1" si="35"/>
        <v>698.49441422468021</v>
      </c>
      <c r="G152" s="369">
        <f ca="1">Vehi_Sum!B152/$F152</f>
        <v>0.34321343164020773</v>
      </c>
      <c r="H152" s="369">
        <f ca="1">Vehi_Sum!C152/$F152</f>
        <v>0.13689447870963739</v>
      </c>
      <c r="I152" s="369">
        <f ca="1">Vehi_Sum!D152/$F152</f>
        <v>9.230805505026636E-2</v>
      </c>
      <c r="J152" s="746">
        <f ca="1">Vehi_Sum!E152/$F152</f>
        <v>0.42758403459988864</v>
      </c>
    </row>
    <row r="153" spans="1:26">
      <c r="A153" s="230" t="s">
        <v>893</v>
      </c>
      <c r="B153" s="498">
        <f ca="1">Vehi_Comp_Sum!F198</f>
        <v>25.007565696468973</v>
      </c>
      <c r="C153" s="496">
        <f>Vehi_ADR!J130</f>
        <v>10.440968312981976</v>
      </c>
      <c r="D153" s="496">
        <f ca="1">Battery_Sum!F251</f>
        <v>7.1890665117688197</v>
      </c>
      <c r="E153" s="496">
        <f>Vehi_Fluids!E129</f>
        <v>53.340316298991773</v>
      </c>
      <c r="F153" s="497">
        <f t="shared" ca="1" si="35"/>
        <v>95.977916820211547</v>
      </c>
      <c r="G153" s="369">
        <f ca="1">Vehi_Sum!B153/$F153</f>
        <v>0.26055541238005642</v>
      </c>
      <c r="H153" s="369">
        <f ca="1">Vehi_Sum!C153/$F153</f>
        <v>0.10878511077230696</v>
      </c>
      <c r="I153" s="369">
        <f ca="1">Vehi_Sum!D153/$F153</f>
        <v>7.4903339746741696E-2</v>
      </c>
      <c r="J153" s="746">
        <f ca="1">Vehi_Sum!E153/$F153</f>
        <v>0.55575613710089489</v>
      </c>
    </row>
    <row r="154" spans="1:26">
      <c r="A154" s="230" t="s">
        <v>894</v>
      </c>
      <c r="B154" s="498">
        <f ca="1">Vehi_Comp_Sum!F199</f>
        <v>21.595234773866643</v>
      </c>
      <c r="C154" s="496">
        <f>Vehi_ADR!J131</f>
        <v>9.1844793924853896</v>
      </c>
      <c r="D154" s="496">
        <f ca="1">Battery_Sum!F252</f>
        <v>6.2163234048384037</v>
      </c>
      <c r="E154" s="496">
        <f>Vehi_Fluids!E130</f>
        <v>30.304069794073357</v>
      </c>
      <c r="F154" s="497">
        <f t="shared" ca="1" si="35"/>
        <v>67.300107365263784</v>
      </c>
      <c r="G154" s="369">
        <f ca="1">Vehi_Sum!B154/$F154</f>
        <v>0.32087964818036513</v>
      </c>
      <c r="H154" s="369">
        <f ca="1">Vehi_Sum!C154/$F154</f>
        <v>0.13647050134166441</v>
      </c>
      <c r="I154" s="369">
        <f ca="1">Vehi_Sum!D154/$F154</f>
        <v>9.2367213786153507E-2</v>
      </c>
      <c r="J154" s="746">
        <f ca="1">Vehi_Sum!E154/$F154</f>
        <v>0.45028263669181712</v>
      </c>
    </row>
    <row r="155" spans="1:26">
      <c r="A155" s="230" t="s">
        <v>895</v>
      </c>
      <c r="B155" s="498">
        <f ca="1">Vehi_Comp_Sum!F200</f>
        <v>222.83759424386076</v>
      </c>
      <c r="C155" s="496">
        <f>Vehi_ADR!J132</f>
        <v>77.903979866860453</v>
      </c>
      <c r="D155" s="496">
        <f ca="1">Battery_Sum!F253</f>
        <v>59.217505514361655</v>
      </c>
      <c r="E155" s="496">
        <f>Vehi_Fluids!E131</f>
        <v>599.28580391292655</v>
      </c>
      <c r="F155" s="497">
        <f t="shared" ca="1" si="35"/>
        <v>959.24488353800939</v>
      </c>
      <c r="G155" s="369">
        <f ca="1">Vehi_Sum!B155/$F155</f>
        <v>0.23230522056261871</v>
      </c>
      <c r="H155" s="369">
        <f ca="1">Vehi_Sum!C155/$F155</f>
        <v>8.1213860197538984E-2</v>
      </c>
      <c r="I155" s="369">
        <f ca="1">Vehi_Sum!D155/$F155</f>
        <v>6.1733459860581263E-2</v>
      </c>
      <c r="J155" s="746">
        <f ca="1">Vehi_Sum!E155/$F155</f>
        <v>0.62474745937926113</v>
      </c>
    </row>
    <row r="156" spans="1:26">
      <c r="A156" s="661" t="s">
        <v>896</v>
      </c>
      <c r="B156" s="498">
        <f ca="1">Vehi_Comp_Sum!F201</f>
        <v>1.2559467081709932</v>
      </c>
      <c r="C156" s="496">
        <f>Vehi_ADR!J133</f>
        <v>0.48156408344236989</v>
      </c>
      <c r="D156" s="496">
        <f ca="1">Battery_Sum!F254</f>
        <v>0.35073778262132421</v>
      </c>
      <c r="E156" s="496">
        <f>Vehi_Fluids!E132</f>
        <v>2.1973546050334241</v>
      </c>
      <c r="F156" s="497">
        <f ca="1">SUM(B156:E156)</f>
        <v>4.2856031792681115</v>
      </c>
      <c r="G156" s="369">
        <f ca="1">Vehi_Sum!B156/$F156</f>
        <v>0.29306182948685461</v>
      </c>
      <c r="H156" s="369">
        <f ca="1">Vehi_Sum!C156/$F156</f>
        <v>0.11236786592187722</v>
      </c>
      <c r="I156" s="369">
        <f ca="1">Vehi_Sum!D156/$F156</f>
        <v>8.1840937657980423E-2</v>
      </c>
      <c r="J156" s="746">
        <f ca="1">Vehi_Sum!E156/$F156</f>
        <v>0.51272936693328774</v>
      </c>
    </row>
    <row r="157" spans="1:26">
      <c r="A157" s="897" t="s">
        <v>897</v>
      </c>
      <c r="B157" s="501">
        <f ca="1">Vehi_Comp_Sum!F202</f>
        <v>5.1417429422634866</v>
      </c>
      <c r="C157" s="499">
        <f>Vehi_ADR!J134</f>
        <v>2.6308995653983809</v>
      </c>
      <c r="D157" s="499">
        <f ca="1">Battery_Sum!F255</f>
        <v>1.4305216806103491</v>
      </c>
      <c r="E157" s="499">
        <f>Vehi_Fluids!E133</f>
        <v>2.1141694008976444</v>
      </c>
      <c r="F157" s="500">
        <f ca="1">SUM(B157:E157)</f>
        <v>11.317333589169861</v>
      </c>
      <c r="G157" s="426">
        <f ca="1">Vehi_Sum!B157/$F157</f>
        <v>0.45432458995322761</v>
      </c>
      <c r="H157" s="426">
        <f ca="1">Vehi_Sum!C157/$F157</f>
        <v>0.23246637952918733</v>
      </c>
      <c r="I157" s="426">
        <f ca="1">Vehi_Sum!D157/$F157</f>
        <v>0.12640094677241723</v>
      </c>
      <c r="J157" s="747">
        <f ca="1">Vehi_Sum!E157/$F157</f>
        <v>0.18680808374516786</v>
      </c>
    </row>
    <row r="159" spans="1:26">
      <c r="A159" s="3" t="s">
        <v>1901</v>
      </c>
    </row>
    <row r="160" spans="1:26">
      <c r="A160" s="178"/>
      <c r="B160" s="2984" t="s">
        <v>1875</v>
      </c>
      <c r="C160" s="2985"/>
      <c r="D160" s="2985"/>
      <c r="E160" s="2985"/>
      <c r="F160" s="3004"/>
      <c r="G160" s="2985" t="s">
        <v>1890</v>
      </c>
      <c r="H160" s="2985"/>
      <c r="I160" s="2985"/>
      <c r="J160" s="3004"/>
    </row>
    <row r="161" spans="1:10">
      <c r="A161" s="539"/>
      <c r="B161" s="1725" t="s">
        <v>1891</v>
      </c>
      <c r="C161" s="1726" t="s">
        <v>1892</v>
      </c>
      <c r="D161" s="1726" t="s">
        <v>1893</v>
      </c>
      <c r="E161" s="1726" t="s">
        <v>1418</v>
      </c>
      <c r="F161" s="1727" t="s">
        <v>1894</v>
      </c>
      <c r="G161" s="1726" t="s">
        <v>1891</v>
      </c>
      <c r="H161" s="1726" t="s">
        <v>1892</v>
      </c>
      <c r="I161" s="1726" t="s">
        <v>1893</v>
      </c>
      <c r="J161" s="1727" t="s">
        <v>1418</v>
      </c>
    </row>
    <row r="162" spans="1:10">
      <c r="A162" s="95" t="s">
        <v>876</v>
      </c>
      <c r="B162" s="498">
        <f ca="1">Vehi_Comp_Sum!G174</f>
        <v>97.171985533476672</v>
      </c>
      <c r="C162" s="496">
        <f>Vehi_ADR!J106</f>
        <v>14.096115653906098</v>
      </c>
      <c r="D162" s="496">
        <f ca="1">Battery_Sum!G227</f>
        <v>8.2166270425898418</v>
      </c>
      <c r="E162" s="496">
        <f>Vehi_Fluids!E105</f>
        <v>10.884735119507255</v>
      </c>
      <c r="F162" s="497">
        <f ca="1">SUM(B162:E162)</f>
        <v>130.36946334947987</v>
      </c>
      <c r="G162" s="369">
        <f ca="1">Vehi_Sum!B162/$F162</f>
        <v>0.74535848378073699</v>
      </c>
      <c r="H162" s="369">
        <f ca="1">Vehi_Sum!C162/$F162</f>
        <v>0.1081243666403597</v>
      </c>
      <c r="I162" s="369">
        <f ca="1">Vehi_Sum!D162/$F162</f>
        <v>6.3025702733496933E-2</v>
      </c>
      <c r="J162" s="746">
        <f ca="1">Vehi_Sum!E162/$F162</f>
        <v>8.3491446845406381E-2</v>
      </c>
    </row>
    <row r="163" spans="1:10">
      <c r="A163" s="95" t="s">
        <v>877</v>
      </c>
      <c r="B163" s="498">
        <f ca="1">Vehi_Comp_Sum!G175</f>
        <v>87.272024189612551</v>
      </c>
      <c r="C163" s="496">
        <f>Vehi_ADR!J107</f>
        <v>12.373726900986338</v>
      </c>
      <c r="D163" s="496">
        <f ca="1">Battery_Sum!G228</f>
        <v>7.2477281283660657</v>
      </c>
      <c r="E163" s="496">
        <f>Vehi_Fluids!E106</f>
        <v>10.784962260046292</v>
      </c>
      <c r="F163" s="497">
        <f ca="1">SUM(B163:E163)</f>
        <v>117.67844147901124</v>
      </c>
      <c r="G163" s="369">
        <f ca="1">Vehi_Sum!B163/$F163</f>
        <v>0.74161437806922448</v>
      </c>
      <c r="H163" s="369">
        <f ca="1">Vehi_Sum!C163/$F163</f>
        <v>0.10514862999093404</v>
      </c>
      <c r="I163" s="369">
        <f ca="1">Vehi_Sum!D163/$F163</f>
        <v>6.1589259997624525E-2</v>
      </c>
      <c r="J163" s="746">
        <f ca="1">Vehi_Sum!E163/$F163</f>
        <v>9.1647731942216995E-2</v>
      </c>
    </row>
    <row r="164" spans="1:10">
      <c r="A164" s="95" t="s">
        <v>442</v>
      </c>
      <c r="B164" s="498">
        <f ca="1">Vehi_Comp_Sum!G176</f>
        <v>17.780050051519208</v>
      </c>
      <c r="C164" s="496">
        <f>Vehi_ADR!J108</f>
        <v>2.2768602194752541</v>
      </c>
      <c r="D164" s="496">
        <f ca="1">Battery_Sum!G229</f>
        <v>1.8837358421406876</v>
      </c>
      <c r="E164" s="496">
        <f>Vehi_Fluids!E107</f>
        <v>0.13586594521559447</v>
      </c>
      <c r="F164" s="497">
        <f ca="1">SUM(B164:E164)</f>
        <v>22.076512058350744</v>
      </c>
      <c r="G164" s="369">
        <f ca="1">Vehi_Sum!B164/$F164</f>
        <v>0.8053831150738171</v>
      </c>
      <c r="H164" s="369">
        <f ca="1">Vehi_Sum!C164/$F164</f>
        <v>0.10313496142222342</v>
      </c>
      <c r="I164" s="369">
        <f ca="1">Vehi_Sum!D164/$F164</f>
        <v>8.5327602347769357E-2</v>
      </c>
      <c r="J164" s="746">
        <f ca="1">Vehi_Sum!E164/$F164</f>
        <v>6.1543211561901293E-3</v>
      </c>
    </row>
    <row r="165" spans="1:10">
      <c r="A165" s="95" t="s">
        <v>878</v>
      </c>
      <c r="B165" s="498">
        <f ca="1">B163-B164-B166</f>
        <v>50.421545710094925</v>
      </c>
      <c r="C165" s="496">
        <f>C163-C164-C166</f>
        <v>10.004591508550437</v>
      </c>
      <c r="D165" s="496">
        <f ca="1">D163-D164-D166</f>
        <v>4.4099956301234018</v>
      </c>
      <c r="E165" s="496">
        <f>E163-E164-E166</f>
        <v>2.945670850959174</v>
      </c>
      <c r="F165" s="497">
        <f ca="1">F163-F164-F166</f>
        <v>67.781803699727931</v>
      </c>
      <c r="G165" s="369">
        <f ca="1">Vehi_Sum!B165/$F165</f>
        <v>0.7438802592722582</v>
      </c>
      <c r="H165" s="369">
        <f ca="1">Vehi_Sum!C165/$F165</f>
        <v>0.14759995990768529</v>
      </c>
      <c r="I165" s="369">
        <f ca="1">Vehi_Sum!D165/$F165</f>
        <v>6.5061644710128944E-2</v>
      </c>
      <c r="J165" s="746">
        <f ca="1">Vehi_Sum!E165/$F165</f>
        <v>4.3458136109927652E-2</v>
      </c>
    </row>
    <row r="166" spans="1:10">
      <c r="A166" s="95" t="s">
        <v>440</v>
      </c>
      <c r="B166" s="498">
        <f ca="1">Vehi_Comp_Sum!G178</f>
        <v>19.070428427998415</v>
      </c>
      <c r="C166" s="496">
        <f>Vehi_ADR!J110</f>
        <v>9.2275172960647592E-2</v>
      </c>
      <c r="D166" s="496">
        <f ca="1">Battery_Sum!G231</f>
        <v>0.95399665610197626</v>
      </c>
      <c r="E166" s="496">
        <f>Vehi_Fluids!E109</f>
        <v>7.7034254638715245</v>
      </c>
      <c r="F166" s="497">
        <f t="shared" ref="F166:F186" ca="1" si="40">SUM(B166:E166)</f>
        <v>27.820125720932563</v>
      </c>
      <c r="G166" s="369">
        <f ca="1">Vehi_Sum!B166/$F166</f>
        <v>0.68549037553950898</v>
      </c>
      <c r="H166" s="369">
        <f ca="1">Vehi_Sum!C166/$F166</f>
        <v>3.3168496032790185E-3</v>
      </c>
      <c r="I166" s="369">
        <f ca="1">Vehi_Sum!D166/$F166</f>
        <v>3.4291601183677078E-2</v>
      </c>
      <c r="J166" s="746">
        <f ca="1">Vehi_Sum!E166/$F166</f>
        <v>0.27690117367353495</v>
      </c>
    </row>
    <row r="167" spans="1:10">
      <c r="A167" s="477" t="s">
        <v>819</v>
      </c>
      <c r="B167" s="598">
        <f ca="1">Vehi_Comp_Sum!G179</f>
        <v>4756.7786563072614</v>
      </c>
      <c r="C167" s="535">
        <f>Vehi_ADR!J111</f>
        <v>459.06790690026895</v>
      </c>
      <c r="D167" s="535">
        <f ca="1">Battery_Sum!G232</f>
        <v>633.97252546550158</v>
      </c>
      <c r="E167" s="535">
        <f>Vehi_Fluids!E110</f>
        <v>223.07943509845086</v>
      </c>
      <c r="F167" s="599">
        <f ca="1">SUM(B167:E167)</f>
        <v>6072.8985237714824</v>
      </c>
      <c r="G167" s="369">
        <f ca="1">Vehi_Sum!B167/$F167</f>
        <v>0.78327978603422066</v>
      </c>
      <c r="H167" s="369">
        <f ca="1">Vehi_Sum!C167/$F167</f>
        <v>7.5592882888346327E-2</v>
      </c>
      <c r="I167" s="369">
        <f ca="1">Vehi_Sum!D167/$F167</f>
        <v>0.10439372944960432</v>
      </c>
      <c r="J167" s="746">
        <f ca="1">Vehi_Sum!E167/$F167</f>
        <v>3.6733601627828738E-2</v>
      </c>
    </row>
    <row r="168" spans="1:10">
      <c r="A168" s="640" t="s">
        <v>889</v>
      </c>
      <c r="B168" s="898">
        <f ca="1">Vehi_Comp_Sum!G191</f>
        <v>5146448.1702240752</v>
      </c>
      <c r="C168" s="632">
        <f>Vehi_ADR!J123</f>
        <v>828288.3486815989</v>
      </c>
      <c r="D168" s="632">
        <f ca="1">Battery_Sum!G244</f>
        <v>507366.3170663885</v>
      </c>
      <c r="E168" s="632">
        <f>Vehi_Fluids!E122</f>
        <v>569101.25534683804</v>
      </c>
      <c r="F168" s="899">
        <f t="shared" ca="1" si="40"/>
        <v>7051204.0913189007</v>
      </c>
      <c r="G168" s="458">
        <f ca="1">Vehi_Sum!B168/$F168</f>
        <v>0.72986799184555329</v>
      </c>
      <c r="H168" s="458">
        <f ca="1">Vehi_Sum!C168/$F168</f>
        <v>0.11746764636997917</v>
      </c>
      <c r="I168" s="458">
        <f ca="1">Vehi_Sum!D168/$F168</f>
        <v>7.1954564141893607E-2</v>
      </c>
      <c r="J168" s="896">
        <f ca="1">Vehi_Sum!E168/$F168</f>
        <v>8.0709797642573952E-2</v>
      </c>
    </row>
    <row r="169" spans="1:10">
      <c r="A169" s="230" t="s">
        <v>1895</v>
      </c>
      <c r="B169" s="517">
        <f ca="1">Vehi_Comp_Sum!G192</f>
        <v>5174113.5402347082</v>
      </c>
      <c r="C169" s="246">
        <f>Vehi_ADR!J124</f>
        <v>834381.00943205075</v>
      </c>
      <c r="D169" s="246">
        <f ca="1">Battery_Sum!G245</f>
        <v>508222.79514321877</v>
      </c>
      <c r="E169" s="246">
        <f>Vehi_Fluids!E123</f>
        <v>655184.88420587475</v>
      </c>
      <c r="F169" s="247">
        <f t="shared" ca="1" si="40"/>
        <v>7171902.2290158523</v>
      </c>
      <c r="G169" s="382">
        <f ca="1">Vehi_Sum!B169/$F169</f>
        <v>0.72144228616244177</v>
      </c>
      <c r="H169" s="382">
        <f ca="1">Vehi_Sum!C169/$F169</f>
        <v>0.11634026549558063</v>
      </c>
      <c r="I169" s="382">
        <f ca="1">Vehi_Sum!D169/$F169</f>
        <v>7.0863040085385895E-2</v>
      </c>
      <c r="J169" s="588">
        <f ca="1">Vehi_Sum!E169/$F169</f>
        <v>9.1354408256591774E-2</v>
      </c>
    </row>
    <row r="170" spans="1:10">
      <c r="A170" s="95" t="s">
        <v>887</v>
      </c>
      <c r="B170" s="498">
        <f ca="1">Vehi_Comp_Sum!G189</f>
        <v>15371.132513558254</v>
      </c>
      <c r="C170" s="496">
        <f>Vehi_ADR!J121</f>
        <v>2240.0809170636567</v>
      </c>
      <c r="D170" s="496">
        <f ca="1">Battery_Sum!G242</f>
        <v>1238.939129424351</v>
      </c>
      <c r="E170" s="496">
        <f>Vehi_Fluids!E120</f>
        <v>1279.8021547003659</v>
      </c>
      <c r="F170" s="497">
        <f t="shared" ca="1" si="40"/>
        <v>20129.954714746626</v>
      </c>
      <c r="G170" s="369">
        <f ca="1">Vehi_Sum!B170/$F170</f>
        <v>0.76359498724047326</v>
      </c>
      <c r="H170" s="369">
        <f ca="1">Vehi_Sum!C170/$F170</f>
        <v>0.1112809715077321</v>
      </c>
      <c r="I170" s="369">
        <f ca="1">Vehi_Sum!D170/$F170</f>
        <v>6.1547040069431444E-2</v>
      </c>
      <c r="J170" s="746">
        <f ca="1">Vehi_Sum!E170/$F170</f>
        <v>6.3577001182363299E-2</v>
      </c>
    </row>
    <row r="171" spans="1:10">
      <c r="A171" s="95" t="s">
        <v>888</v>
      </c>
      <c r="B171" s="498">
        <f ca="1">Vehi_Comp_Sum!G190</f>
        <v>137.27799703942662</v>
      </c>
      <c r="C171" s="496">
        <f>Vehi_ADR!J122</f>
        <v>21.36502696769179</v>
      </c>
      <c r="D171" s="496">
        <f ca="1">Battery_Sum!G243</f>
        <v>15.523606361054343</v>
      </c>
      <c r="E171" s="496">
        <f>Vehi_Fluids!E121</f>
        <v>13.673601257980243</v>
      </c>
      <c r="F171" s="497">
        <f t="shared" ca="1" si="40"/>
        <v>187.84023162615298</v>
      </c>
      <c r="G171" s="369">
        <f ca="1">Vehi_Sum!B171/$F171</f>
        <v>0.73082318868006235</v>
      </c>
      <c r="H171" s="369">
        <f ca="1">Vehi_Sum!C171/$F171</f>
        <v>0.11374042069013898</v>
      </c>
      <c r="I171" s="369">
        <f ca="1">Vehi_Sum!D171/$F171</f>
        <v>8.2642606574027416E-2</v>
      </c>
      <c r="J171" s="746">
        <f ca="1">Vehi_Sum!E171/$F171</f>
        <v>7.2793784055771305E-2</v>
      </c>
    </row>
    <row r="172" spans="1:10">
      <c r="A172" s="589" t="s">
        <v>1896</v>
      </c>
      <c r="B172" s="517">
        <f ca="1">Vehi_Comp_Sum!G193</f>
        <v>5821568.8096927917</v>
      </c>
      <c r="C172" s="246">
        <f>Vehi_ADR!J125</f>
        <v>907245.16909039882</v>
      </c>
      <c r="D172" s="246">
        <f ca="1">Battery_Sum!G246</f>
        <v>553392.67243088142</v>
      </c>
      <c r="E172" s="246">
        <f>Vehi_Fluids!E124</f>
        <v>697202.45318025048</v>
      </c>
      <c r="F172" s="247">
        <f t="shared" ca="1" si="40"/>
        <v>7979409.1043943223</v>
      </c>
      <c r="G172" s="368">
        <f ca="1">Vehi_Sum!B172/$F172</f>
        <v>0.72957392377423147</v>
      </c>
      <c r="H172" s="368">
        <f ca="1">Vehi_Sum!C172/$F172</f>
        <v>0.11369828983837561</v>
      </c>
      <c r="I172" s="368">
        <f ca="1">Vehi_Sum!D172/$F172</f>
        <v>6.9352588041403193E-2</v>
      </c>
      <c r="J172" s="428">
        <f ca="1">Vehi_Sum!E172/$F172</f>
        <v>8.7375198345989766E-2</v>
      </c>
    </row>
    <row r="173" spans="1:10">
      <c r="A173" s="393" t="s">
        <v>879</v>
      </c>
      <c r="B173" s="508">
        <f ca="1">Vehi_Comp_Sum!G181</f>
        <v>2930.2713082412647</v>
      </c>
      <c r="C173" s="506">
        <f>Vehi_ADR!J113</f>
        <v>1724.21746234342</v>
      </c>
      <c r="D173" s="506">
        <f ca="1">Battery_Sum!G234</f>
        <v>100.8040969183059</v>
      </c>
      <c r="E173" s="506">
        <f>Vehi_Fluids!E112</f>
        <v>27477.941443330226</v>
      </c>
      <c r="F173" s="507">
        <f t="shared" ca="1" si="40"/>
        <v>32233.234310833217</v>
      </c>
      <c r="G173" s="458">
        <f ca="1">Vehi_Sum!B173/$F173</f>
        <v>9.0908386046026857E-2</v>
      </c>
      <c r="H173" s="458">
        <f ca="1">Vehi_Sum!C173/$F173</f>
        <v>5.3491916005584658E-2</v>
      </c>
      <c r="I173" s="458">
        <f ca="1">Vehi_Sum!D173/$F173</f>
        <v>3.1273342273451851E-3</v>
      </c>
      <c r="J173" s="896">
        <f ca="1">Vehi_Sum!E173/$F173</f>
        <v>0.85247236372104329</v>
      </c>
    </row>
    <row r="174" spans="1:10">
      <c r="A174" s="230" t="s">
        <v>880</v>
      </c>
      <c r="B174" s="498">
        <f ca="1">Vehi_Comp_Sum!G182</f>
        <v>11793.530699966772</v>
      </c>
      <c r="C174" s="496">
        <f>Vehi_ADR!J114</f>
        <v>457.44978330654908</v>
      </c>
      <c r="D174" s="496">
        <f ca="1">Battery_Sum!G235</f>
        <v>345.10337788283942</v>
      </c>
      <c r="E174" s="496">
        <f>Vehi_Fluids!E113</f>
        <v>282.57389617602286</v>
      </c>
      <c r="F174" s="497">
        <f t="shared" ca="1" si="40"/>
        <v>12878.657757332183</v>
      </c>
      <c r="G174" s="369">
        <f ca="1">Vehi_Sum!B174/$F174</f>
        <v>0.91574222424323548</v>
      </c>
      <c r="H174" s="369">
        <f ca="1">Vehi_Sum!C174/$F174</f>
        <v>3.5519989111140876E-2</v>
      </c>
      <c r="I174" s="369">
        <f ca="1">Vehi_Sum!D174/$F174</f>
        <v>2.6796533022733861E-2</v>
      </c>
      <c r="J174" s="746">
        <f ca="1">Vehi_Sum!E174/$F174</f>
        <v>2.194125362288982E-2</v>
      </c>
    </row>
    <row r="175" spans="1:10">
      <c r="A175" s="230" t="s">
        <v>881</v>
      </c>
      <c r="B175" s="498">
        <f ca="1">Vehi_Comp_Sum!G183</f>
        <v>5550.8546747094169</v>
      </c>
      <c r="C175" s="496">
        <f>Vehi_ADR!J115</f>
        <v>725.01502646481504</v>
      </c>
      <c r="D175" s="496">
        <f ca="1">Battery_Sum!G236</f>
        <v>615.52643697613371</v>
      </c>
      <c r="E175" s="496">
        <f>Vehi_Fluids!E114</f>
        <v>749.31242935723196</v>
      </c>
      <c r="F175" s="497">
        <f t="shared" ca="1" si="40"/>
        <v>7640.7085675075969</v>
      </c>
      <c r="G175" s="369">
        <f ca="1">Vehi_Sum!B175/$F175</f>
        <v>0.72648428161684342</v>
      </c>
      <c r="H175" s="369">
        <f ca="1">Vehi_Sum!C175/$F175</f>
        <v>9.4888454396490005E-2</v>
      </c>
      <c r="I175" s="369">
        <f ca="1">Vehi_Sum!D175/$F175</f>
        <v>8.055881618017513E-2</v>
      </c>
      <c r="J175" s="746">
        <f ca="1">Vehi_Sum!E175/$F175</f>
        <v>9.8068447806491599E-2</v>
      </c>
    </row>
    <row r="176" spans="1:10">
      <c r="A176" s="230" t="s">
        <v>882</v>
      </c>
      <c r="B176" s="498">
        <f ca="1">Vehi_Comp_Sum!G184</f>
        <v>2841.1652065970675</v>
      </c>
      <c r="C176" s="496">
        <f>Vehi_ADR!J116</f>
        <v>131.06644114303808</v>
      </c>
      <c r="D176" s="496">
        <f ca="1">Battery_Sum!G237</f>
        <v>312.77484269172066</v>
      </c>
      <c r="E176" s="496">
        <f>Vehi_Fluids!E115</f>
        <v>122.98388884704013</v>
      </c>
      <c r="F176" s="497">
        <f t="shared" ca="1" si="40"/>
        <v>3407.9903792788664</v>
      </c>
      <c r="G176" s="369">
        <f ca="1">Vehi_Sum!B176/$F176</f>
        <v>0.83367759013400167</v>
      </c>
      <c r="H176" s="369">
        <f ca="1">Vehi_Sum!C176/$F176</f>
        <v>3.8458571344550524E-2</v>
      </c>
      <c r="I176" s="369">
        <f ca="1">Vehi_Sum!D176/$F176</f>
        <v>9.1776914803939111E-2</v>
      </c>
      <c r="J176" s="746">
        <f ca="1">Vehi_Sum!E176/$F176</f>
        <v>3.608692371750874E-2</v>
      </c>
    </row>
    <row r="177" spans="1:10">
      <c r="A177" s="230" t="s">
        <v>883</v>
      </c>
      <c r="B177" s="498">
        <f ca="1">Vehi_Comp_Sum!G185</f>
        <v>980.92044561737555</v>
      </c>
      <c r="C177" s="496">
        <f>Vehi_ADR!J117</f>
        <v>80.733623309220008</v>
      </c>
      <c r="D177" s="496">
        <f ca="1">Battery_Sum!G238</f>
        <v>110.46122293104445</v>
      </c>
      <c r="E177" s="496">
        <f>Vehi_Fluids!E116</f>
        <v>65.320195990832303</v>
      </c>
      <c r="F177" s="497">
        <f t="shared" ca="1" si="40"/>
        <v>1237.4354878484723</v>
      </c>
      <c r="G177" s="369">
        <f ca="1">Vehi_Sum!B177/$F177</f>
        <v>0.79270431085090409</v>
      </c>
      <c r="H177" s="369">
        <f ca="1">Vehi_Sum!C177/$F177</f>
        <v>6.5242692731878466E-2</v>
      </c>
      <c r="I177" s="369">
        <f ca="1">Vehi_Sum!D177/$F177</f>
        <v>8.9266247829293502E-2</v>
      </c>
      <c r="J177" s="746">
        <f ca="1">Vehi_Sum!E177/$F177</f>
        <v>5.2786748587923926E-2</v>
      </c>
    </row>
    <row r="178" spans="1:10">
      <c r="A178" s="230" t="s">
        <v>884</v>
      </c>
      <c r="B178" s="498">
        <f ca="1">Vehi_Comp_Sum!G186</f>
        <v>18409.913313500168</v>
      </c>
      <c r="C178" s="496">
        <f>Vehi_ADR!J118</f>
        <v>324.00162905349237</v>
      </c>
      <c r="D178" s="496">
        <f ca="1">Battery_Sum!G239</f>
        <v>5171.6683532238476</v>
      </c>
      <c r="E178" s="496">
        <f>Vehi_Fluids!E117</f>
        <v>1411.0507995076123</v>
      </c>
      <c r="F178" s="497">
        <f t="shared" ca="1" si="40"/>
        <v>25316.634095285117</v>
      </c>
      <c r="G178" s="369">
        <f ca="1">Vehi_Sum!B178/$F178</f>
        <v>0.72718645157212136</v>
      </c>
      <c r="H178" s="369">
        <f ca="1">Vehi_Sum!C178/$F178</f>
        <v>1.2797974163312386E-2</v>
      </c>
      <c r="I178" s="369">
        <f ca="1">Vehi_Sum!D178/$F178</f>
        <v>0.20427946044324277</v>
      </c>
      <c r="J178" s="746">
        <f ca="1">Vehi_Sum!E178/$F178</f>
        <v>5.5736113821323569E-2</v>
      </c>
    </row>
    <row r="179" spans="1:10">
      <c r="A179" s="661" t="s">
        <v>885</v>
      </c>
      <c r="B179" s="498">
        <f ca="1">Vehi_Comp_Sum!G187</f>
        <v>36.679196885300009</v>
      </c>
      <c r="C179" s="496">
        <f>Vehi_ADR!J119</f>
        <v>5.4242394675900218</v>
      </c>
      <c r="D179" s="496">
        <f ca="1">Battery_Sum!G240</f>
        <v>4.805844095260956</v>
      </c>
      <c r="E179" s="496">
        <f>Vehi_Fluids!E118</f>
        <v>5.163003708791698</v>
      </c>
      <c r="F179" s="497">
        <f ca="1">SUM(B179:E179)</f>
        <v>52.072284156942686</v>
      </c>
      <c r="G179" s="369">
        <f ca="1">Vehi_Sum!B179/$F179</f>
        <v>0.70439001244407007</v>
      </c>
      <c r="H179" s="369">
        <f ca="1">Vehi_Sum!C179/$F179</f>
        <v>0.10416749630651298</v>
      </c>
      <c r="I179" s="369">
        <f ca="1">Vehi_Sum!D179/$F179</f>
        <v>9.2291785794846939E-2</v>
      </c>
      <c r="J179" s="746">
        <f ca="1">Vehi_Sum!E179/$F179</f>
        <v>9.915070545457004E-2</v>
      </c>
    </row>
    <row r="180" spans="1:10">
      <c r="A180" s="897" t="s">
        <v>886</v>
      </c>
      <c r="B180" s="501">
        <f ca="1">Vehi_Comp_Sum!G188</f>
        <v>84.630365658504786</v>
      </c>
      <c r="C180" s="499">
        <f>Vehi_ADR!J120</f>
        <v>17.458827230125763</v>
      </c>
      <c r="D180" s="499">
        <f ca="1">Battery_Sum!G241</f>
        <v>10.668692775198483</v>
      </c>
      <c r="E180" s="499">
        <f>Vehi_Fluids!E119</f>
        <v>5.9565370708729368</v>
      </c>
      <c r="F180" s="500">
        <f ca="1">SUM(B180:E180)</f>
        <v>118.71442273470197</v>
      </c>
      <c r="G180" s="426">
        <f ca="1">Vehi_Sum!B180/$F180</f>
        <v>0.71289034397811279</v>
      </c>
      <c r="H180" s="426">
        <f ca="1">Vehi_Sum!C180/$F180</f>
        <v>0.14706576360264179</v>
      </c>
      <c r="I180" s="426">
        <f ca="1">Vehi_Sum!D180/$F180</f>
        <v>8.9868547809396612E-2</v>
      </c>
      <c r="J180" s="747">
        <f ca="1">Vehi_Sum!E180/$F180</f>
        <v>5.0175344609848772E-2</v>
      </c>
    </row>
    <row r="181" spans="1:10">
      <c r="A181" s="230" t="s">
        <v>890</v>
      </c>
      <c r="B181" s="498">
        <f ca="1">Vehi_Comp_Sum!G195</f>
        <v>92.926057449967161</v>
      </c>
      <c r="C181" s="496">
        <f>Vehi_ADR!J127</f>
        <v>6.6802755568844958</v>
      </c>
      <c r="D181" s="496">
        <f ca="1">Battery_Sum!G248</f>
        <v>6.2511962158837724</v>
      </c>
      <c r="E181" s="496">
        <f>Vehi_Fluids!E126</f>
        <v>19194.407273101213</v>
      </c>
      <c r="F181" s="497">
        <f t="shared" ca="1" si="40"/>
        <v>19300.264802323949</v>
      </c>
      <c r="G181" s="369">
        <f ca="1">Vehi_Sum!B181/$F181</f>
        <v>4.8147555695079334E-3</v>
      </c>
      <c r="H181" s="369">
        <f ca="1">Vehi_Sum!C181/$F181</f>
        <v>3.4612351826800441E-4</v>
      </c>
      <c r="I181" s="369">
        <f ca="1">Vehi_Sum!D181/$F181</f>
        <v>3.2389173308809032E-4</v>
      </c>
      <c r="J181" s="746">
        <f ca="1">Vehi_Sum!E181/$F181</f>
        <v>0.99451522917913593</v>
      </c>
    </row>
    <row r="182" spans="1:10">
      <c r="A182" s="230" t="s">
        <v>891</v>
      </c>
      <c r="B182" s="498">
        <f ca="1">Vehi_Comp_Sum!G196</f>
        <v>235.09906878659987</v>
      </c>
      <c r="C182" s="496">
        <f>Vehi_ADR!J128</f>
        <v>41.171382071924583</v>
      </c>
      <c r="D182" s="496">
        <f ca="1">Battery_Sum!G249</f>
        <v>21.619860995304862</v>
      </c>
      <c r="E182" s="496">
        <f>Vehi_Fluids!E127</f>
        <v>62.993567626681326</v>
      </c>
      <c r="F182" s="497">
        <f t="shared" ca="1" si="40"/>
        <v>360.88387948051064</v>
      </c>
      <c r="G182" s="369">
        <f ca="1">Vehi_Sum!B182/$F182</f>
        <v>0.65145350666542112</v>
      </c>
      <c r="H182" s="369">
        <f ca="1">Vehi_Sum!C182/$F182</f>
        <v>0.11408484671354799</v>
      </c>
      <c r="I182" s="369">
        <f ca="1">Vehi_Sum!D182/$F182</f>
        <v>5.9908081863968191E-2</v>
      </c>
      <c r="J182" s="746">
        <f ca="1">Vehi_Sum!E182/$F182</f>
        <v>0.17455356475706271</v>
      </c>
    </row>
    <row r="183" spans="1:10">
      <c r="A183" s="230" t="s">
        <v>892</v>
      </c>
      <c r="B183" s="498">
        <f ca="1">Vehi_Comp_Sum!G197</f>
        <v>464.53196380329632</v>
      </c>
      <c r="C183" s="496">
        <f>Vehi_ADR!J129</f>
        <v>95.620028716881123</v>
      </c>
      <c r="D183" s="496">
        <f ca="1">Battery_Sum!G250</f>
        <v>51.02656527132789</v>
      </c>
      <c r="E183" s="496">
        <f>Vehi_Fluids!E128</f>
        <v>298.66505977967461</v>
      </c>
      <c r="F183" s="497">
        <f t="shared" ca="1" si="40"/>
        <v>909.84361757117995</v>
      </c>
      <c r="G183" s="369">
        <f ca="1">Vehi_Sum!B183/$F183</f>
        <v>0.51056242504987903</v>
      </c>
      <c r="H183" s="369">
        <f ca="1">Vehi_Sum!C183/$F183</f>
        <v>0.10509501508856874</v>
      </c>
      <c r="I183" s="369">
        <f ca="1">Vehi_Sum!D183/$F183</f>
        <v>5.6082786410639324E-2</v>
      </c>
      <c r="J183" s="746">
        <f ca="1">Vehi_Sum!E183/$F183</f>
        <v>0.32825977345091295</v>
      </c>
    </row>
    <row r="184" spans="1:10">
      <c r="A184" s="230" t="s">
        <v>893</v>
      </c>
      <c r="B184" s="498">
        <f ca="1">Vehi_Comp_Sum!G198</f>
        <v>51.425450319851599</v>
      </c>
      <c r="C184" s="496">
        <f>Vehi_ADR!J130</f>
        <v>10.440968312981976</v>
      </c>
      <c r="D184" s="496">
        <f ca="1">Battery_Sum!G251</f>
        <v>5.6832737019522765</v>
      </c>
      <c r="E184" s="496">
        <f>Vehi_Fluids!E129</f>
        <v>53.340316298991773</v>
      </c>
      <c r="F184" s="497">
        <f t="shared" ca="1" si="40"/>
        <v>120.89000863377763</v>
      </c>
      <c r="G184" s="369">
        <f ca="1">Vehi_Sum!B184/$F184</f>
        <v>0.42539040985296878</v>
      </c>
      <c r="H184" s="369">
        <f ca="1">Vehi_Sum!C184/$F184</f>
        <v>8.6367504072331472E-2</v>
      </c>
      <c r="I184" s="369">
        <f ca="1">Vehi_Sum!D184/$F184</f>
        <v>4.7011938920189018E-2</v>
      </c>
      <c r="J184" s="746">
        <f ca="1">Vehi_Sum!E184/$F184</f>
        <v>0.4412301471545107</v>
      </c>
    </row>
    <row r="185" spans="1:10">
      <c r="A185" s="230" t="s">
        <v>894</v>
      </c>
      <c r="B185" s="498">
        <f ca="1">Vehi_Comp_Sum!G199</f>
        <v>44.777757937850829</v>
      </c>
      <c r="C185" s="496">
        <f>Vehi_ADR!J131</f>
        <v>9.1844793924853896</v>
      </c>
      <c r="D185" s="496">
        <f ca="1">Battery_Sum!G252</f>
        <v>4.9149700897146609</v>
      </c>
      <c r="E185" s="496">
        <f>Vehi_Fluids!E130</f>
        <v>30.304069794073357</v>
      </c>
      <c r="F185" s="497">
        <f t="shared" ca="1" si="40"/>
        <v>89.181277214124236</v>
      </c>
      <c r="G185" s="369">
        <f ca="1">Vehi_Sum!B185/$F185</f>
        <v>0.5020981907484845</v>
      </c>
      <c r="H185" s="369">
        <f ca="1">Vehi_Sum!C185/$F185</f>
        <v>0.10298663216533058</v>
      </c>
      <c r="I185" s="369">
        <f ca="1">Vehi_Sum!D185/$F185</f>
        <v>5.5112129398122635E-2</v>
      </c>
      <c r="J185" s="746">
        <f ca="1">Vehi_Sum!E185/$F185</f>
        <v>0.33980304768806224</v>
      </c>
    </row>
    <row r="186" spans="1:10">
      <c r="A186" s="230" t="s">
        <v>895</v>
      </c>
      <c r="B186" s="498">
        <f ca="1">Vehi_Comp_Sum!G200</f>
        <v>382.95721660277809</v>
      </c>
      <c r="C186" s="496">
        <f>Vehi_ADR!J132</f>
        <v>77.903979866860453</v>
      </c>
      <c r="D186" s="496">
        <f ca="1">Battery_Sum!G253</f>
        <v>46.639086858846603</v>
      </c>
      <c r="E186" s="496">
        <f>Vehi_Fluids!E131</f>
        <v>599.28580391292655</v>
      </c>
      <c r="F186" s="497">
        <f t="shared" ca="1" si="40"/>
        <v>1106.7860872414117</v>
      </c>
      <c r="G186" s="369">
        <f ca="1">Vehi_Sum!B186/$F186</f>
        <v>0.3460083398385253</v>
      </c>
      <c r="H186" s="369">
        <f ca="1">Vehi_Sum!C186/$F186</f>
        <v>7.038756699682662E-2</v>
      </c>
      <c r="I186" s="369">
        <f ca="1">Vehi_Sum!D186/$F186</f>
        <v>4.2139205937338192E-2</v>
      </c>
      <c r="J186" s="746">
        <f ca="1">Vehi_Sum!E186/$F186</f>
        <v>0.5414648872273099</v>
      </c>
    </row>
    <row r="187" spans="1:10">
      <c r="A187" s="661" t="s">
        <v>896</v>
      </c>
      <c r="B187" s="498">
        <f ca="1">Vehi_Comp_Sum!G201</f>
        <v>2.6699361106551445</v>
      </c>
      <c r="C187" s="496">
        <f>Vehi_ADR!J133</f>
        <v>0.48156408344236989</v>
      </c>
      <c r="D187" s="496">
        <f ca="1">Battery_Sum!G254</f>
        <v>0.27707985097294274</v>
      </c>
      <c r="E187" s="496">
        <f>Vehi_Fluids!E132</f>
        <v>2.1973546050334241</v>
      </c>
      <c r="F187" s="497">
        <f ca="1">SUM(B187:E187)</f>
        <v>5.6259346501038809</v>
      </c>
      <c r="G187" s="369">
        <f ca="1">Vehi_Sum!B187/$F187</f>
        <v>0.47457645292873157</v>
      </c>
      <c r="H187" s="369">
        <f ca="1">Vehi_Sum!C187/$F187</f>
        <v>8.5597169784664667E-2</v>
      </c>
      <c r="I187" s="369">
        <f ca="1">Vehi_Sum!D187/$F187</f>
        <v>4.9250456716170093E-2</v>
      </c>
      <c r="J187" s="746">
        <f ca="1">Vehi_Sum!E187/$F187</f>
        <v>0.39057592057043367</v>
      </c>
    </row>
    <row r="188" spans="1:10">
      <c r="A188" s="897" t="s">
        <v>897</v>
      </c>
      <c r="B188" s="501">
        <f ca="1">Vehi_Comp_Sum!G202</f>
        <v>10.603544405636194</v>
      </c>
      <c r="C188" s="499">
        <f>Vehi_ADR!J134</f>
        <v>2.6308995653983809</v>
      </c>
      <c r="D188" s="499">
        <f ca="1">Battery_Sum!G255</f>
        <v>1.1308121916899587</v>
      </c>
      <c r="E188" s="499">
        <f>Vehi_Fluids!E133</f>
        <v>2.1141694008976444</v>
      </c>
      <c r="F188" s="500">
        <f ca="1">SUM(B188:E188)</f>
        <v>16.479425563622179</v>
      </c>
      <c r="G188" s="426">
        <f ca="1">Vehi_Sum!B188/$F188</f>
        <v>0.64344138481642166</v>
      </c>
      <c r="H188" s="426">
        <f ca="1">Vehi_Sum!C188/$F188</f>
        <v>0.15964752868607326</v>
      </c>
      <c r="I188" s="426">
        <f ca="1">Vehi_Sum!D188/$F188</f>
        <v>6.8619636486977525E-2</v>
      </c>
      <c r="J188" s="747">
        <f ca="1">Vehi_Sum!E188/$F188</f>
        <v>0.12829145001052752</v>
      </c>
    </row>
    <row r="190" spans="1:10">
      <c r="A190" s="3" t="s">
        <v>1902</v>
      </c>
    </row>
    <row r="191" spans="1:10">
      <c r="A191" s="178"/>
      <c r="B191" s="2984" t="s">
        <v>1875</v>
      </c>
      <c r="C191" s="2985"/>
      <c r="D191" s="2985"/>
      <c r="E191" s="2985"/>
      <c r="F191" s="3004"/>
      <c r="G191" s="2985" t="s">
        <v>1890</v>
      </c>
      <c r="H191" s="2985"/>
      <c r="I191" s="2985"/>
      <c r="J191" s="3004"/>
    </row>
    <row r="192" spans="1:10">
      <c r="A192" s="539"/>
      <c r="B192" s="1725" t="s">
        <v>1891</v>
      </c>
      <c r="C192" s="1726" t="s">
        <v>1892</v>
      </c>
      <c r="D192" s="1726" t="s">
        <v>1893</v>
      </c>
      <c r="E192" s="1726" t="s">
        <v>1418</v>
      </c>
      <c r="F192" s="1727" t="s">
        <v>1894</v>
      </c>
      <c r="G192" s="1726" t="s">
        <v>1891</v>
      </c>
      <c r="H192" s="1726" t="s">
        <v>1892</v>
      </c>
      <c r="I192" s="1726" t="s">
        <v>1893</v>
      </c>
      <c r="J192" s="1727" t="s">
        <v>1418</v>
      </c>
    </row>
    <row r="193" spans="1:26">
      <c r="A193" s="95" t="s">
        <v>876</v>
      </c>
      <c r="B193" s="498">
        <f ca="1">Vehi_Comp_Sum!H174</f>
        <v>54.281809065430117</v>
      </c>
      <c r="C193" s="496">
        <f>Vehi_ADR!J106</f>
        <v>14.096115653906098</v>
      </c>
      <c r="D193" s="496">
        <f ca="1">Battery_Sum!H227</f>
        <v>71.936318228366702</v>
      </c>
      <c r="E193" s="496">
        <f>Vehi_Fluids!F105</f>
        <v>2.7912189918497425</v>
      </c>
      <c r="F193" s="497">
        <f ca="1">SUM(B193:E193)</f>
        <v>143.10546193955267</v>
      </c>
      <c r="G193" s="369">
        <f ca="1">Vehi_Sum!B193/$F193</f>
        <v>0.37931332829461528</v>
      </c>
      <c r="H193" s="369">
        <f ca="1">Vehi_Sum!C193/$F193</f>
        <v>9.8501590804830758E-2</v>
      </c>
      <c r="I193" s="369">
        <f ca="1">Vehi_Sum!D193/$F193</f>
        <v>0.50268045155923113</v>
      </c>
      <c r="J193" s="746">
        <f ca="1">Vehi_Sum!E193/$F193</f>
        <v>1.9504629341322733E-2</v>
      </c>
      <c r="K193" s="1179"/>
    </row>
    <row r="194" spans="1:26">
      <c r="A194" s="95" t="s">
        <v>877</v>
      </c>
      <c r="B194" s="498">
        <f ca="1">Vehi_Comp_Sum!H175</f>
        <v>48.838224195840802</v>
      </c>
      <c r="C194" s="496">
        <f>Vehi_ADR!J107</f>
        <v>12.373726900986338</v>
      </c>
      <c r="D194" s="496">
        <f ca="1">Battery_Sum!H228</f>
        <v>64.202188726443993</v>
      </c>
      <c r="E194" s="496">
        <f>Vehi_Fluids!F106</f>
        <v>2.7365393962143338</v>
      </c>
      <c r="F194" s="497">
        <f ca="1">SUM(B194:E194)</f>
        <v>128.15067921948545</v>
      </c>
      <c r="G194" s="369">
        <f ca="1">Vehi_Sum!B194/$F194</f>
        <v>0.3811000026944445</v>
      </c>
      <c r="H194" s="369">
        <f ca="1">Vehi_Sum!C194/$F194</f>
        <v>9.6556077395373641E-2</v>
      </c>
      <c r="I194" s="369">
        <f ca="1">Vehi_Sum!D194/$F194</f>
        <v>0.50098984349887066</v>
      </c>
      <c r="J194" s="746">
        <f ca="1">Vehi_Sum!E194/$F194</f>
        <v>2.1354076411311287E-2</v>
      </c>
    </row>
    <row r="195" spans="1:26">
      <c r="A195" s="95" t="s">
        <v>442</v>
      </c>
      <c r="B195" s="498">
        <f ca="1">Vehi_Comp_Sum!H176</f>
        <v>16.578060862912714</v>
      </c>
      <c r="C195" s="496">
        <f>Vehi_ADR!J108</f>
        <v>2.2768602194752541</v>
      </c>
      <c r="D195" s="496">
        <f ca="1">Battery_Sum!H229</f>
        <v>16.398065163992623</v>
      </c>
      <c r="E195" s="496">
        <f>Vehi_Fluids!F107</f>
        <v>7.8223251390751244E-2</v>
      </c>
      <c r="F195" s="497">
        <f ca="1">SUM(B195:E195)</f>
        <v>35.33120949777134</v>
      </c>
      <c r="G195" s="369">
        <f ca="1">Vehi_Sum!B195/$F195</f>
        <v>0.46921860583228669</v>
      </c>
      <c r="H195" s="369">
        <f ca="1">Vehi_Sum!C195/$F195</f>
        <v>6.44433137682104E-2</v>
      </c>
      <c r="I195" s="369">
        <f ca="1">Vehi_Sum!D195/$F195</f>
        <v>0.46412408171384562</v>
      </c>
      <c r="J195" s="746">
        <f ca="1">Vehi_Sum!E195/$F195</f>
        <v>2.213998685657379E-3</v>
      </c>
    </row>
    <row r="196" spans="1:26">
      <c r="A196" s="95" t="s">
        <v>878</v>
      </c>
      <c r="B196" s="498">
        <f ca="1">B194-B195-B197</f>
        <v>24.379843801560742</v>
      </c>
      <c r="C196" s="496">
        <f>C194-C195-C197</f>
        <v>10.004591508550437</v>
      </c>
      <c r="D196" s="496">
        <f ca="1">D194-D195-D197</f>
        <v>38.346519031192678</v>
      </c>
      <c r="E196" s="496">
        <f>E194-E195-E197</f>
        <v>1.8717081422849038</v>
      </c>
      <c r="F196" s="497">
        <f ca="1">F194-F195-F197</f>
        <v>74.602662483588759</v>
      </c>
      <c r="G196" s="369">
        <f ca="1">Vehi_Sum!B196/$F196</f>
        <v>0.32679589427420058</v>
      </c>
      <c r="H196" s="369">
        <f ca="1">Vehi_Sum!C196/$F196</f>
        <v>0.13410501951926002</v>
      </c>
      <c r="I196" s="369">
        <f ca="1">Vehi_Sum!D196/$F196</f>
        <v>0.51401006015875395</v>
      </c>
      <c r="J196" s="746">
        <f ca="1">Vehi_Sum!E196/$F196</f>
        <v>2.5089026047785436E-2</v>
      </c>
    </row>
    <row r="197" spans="1:26">
      <c r="A197" s="95" t="s">
        <v>440</v>
      </c>
      <c r="B197" s="498">
        <f ca="1">Vehi_Comp_Sum!H178</f>
        <v>7.880319531367344</v>
      </c>
      <c r="C197" s="496">
        <f>Vehi_ADR!J110</f>
        <v>9.2275172960647592E-2</v>
      </c>
      <c r="D197" s="496">
        <f ca="1">Battery_Sum!H231</f>
        <v>9.4576045312586885</v>
      </c>
      <c r="E197" s="496">
        <f>Vehi_Fluids!F109</f>
        <v>0.7866080025386788</v>
      </c>
      <c r="F197" s="497">
        <f t="shared" ref="F197:F217" ca="1" si="41">SUM(B197:E197)</f>
        <v>18.216807238125359</v>
      </c>
      <c r="G197" s="369">
        <f ca="1">Vehi_Sum!B197/$F197</f>
        <v>0.43258510826611163</v>
      </c>
      <c r="H197" s="369">
        <f ca="1">Vehi_Sum!C197/$F197</f>
        <v>5.0653866923248718E-3</v>
      </c>
      <c r="I197" s="369">
        <f ca="1">Vehi_Sum!D197/$F197</f>
        <v>0.51916916107369127</v>
      </c>
      <c r="J197" s="746">
        <f ca="1">Vehi_Sum!E197/$F197</f>
        <v>4.3180343967872299E-2</v>
      </c>
    </row>
    <row r="198" spans="1:26">
      <c r="A198" s="477" t="s">
        <v>819</v>
      </c>
      <c r="B198" s="598">
        <f ca="1">Vehi_Comp_Sum!H179</f>
        <v>2760.7555820442144</v>
      </c>
      <c r="C198" s="535">
        <f>Vehi_ADR!J111</f>
        <v>459.06790690026895</v>
      </c>
      <c r="D198" s="535">
        <f ca="1">Battery_Sum!H232</f>
        <v>6068.0170727984132</v>
      </c>
      <c r="E198" s="535">
        <f>Vehi_Fluids!F110</f>
        <v>49.107960876842185</v>
      </c>
      <c r="F198" s="599">
        <f ca="1">SUM(B198:E198)</f>
        <v>9336.9485226197376</v>
      </c>
      <c r="G198" s="369">
        <f ca="1">Vehi_Sum!B198/$F198</f>
        <v>0.29568071146113684</v>
      </c>
      <c r="H198" s="369">
        <f ca="1">Vehi_Sum!C198/$F198</f>
        <v>4.9166802814445083E-2</v>
      </c>
      <c r="I198" s="369">
        <f ca="1">Vehi_Sum!D198/$F198</f>
        <v>0.64989295572295436</v>
      </c>
      <c r="J198" s="746">
        <f ca="1">Vehi_Sum!E198/$F198</f>
        <v>5.2595300014638613E-3</v>
      </c>
      <c r="L198" s="112" t="s">
        <v>2744</v>
      </c>
      <c r="M198" s="112" t="s">
        <v>2745</v>
      </c>
      <c r="N198" s="112" t="s">
        <v>2751</v>
      </c>
      <c r="O198" s="112" t="s">
        <v>2752</v>
      </c>
      <c r="P198" s="112" t="s">
        <v>2746</v>
      </c>
      <c r="Q198" s="112" t="s">
        <v>2747</v>
      </c>
      <c r="R198" s="112" t="s">
        <v>2750</v>
      </c>
      <c r="S198" s="112" t="s">
        <v>2748</v>
      </c>
      <c r="T198" s="112" t="s">
        <v>2749</v>
      </c>
      <c r="U198" s="112" t="s">
        <v>2768</v>
      </c>
      <c r="V198" s="112" t="s">
        <v>2775</v>
      </c>
      <c r="W198" s="112" t="s">
        <v>2776</v>
      </c>
      <c r="X198" s="112" t="s">
        <v>2777</v>
      </c>
      <c r="Y198" s="112" t="s">
        <v>2778</v>
      </c>
      <c r="Z198" s="112" t="s">
        <v>1894</v>
      </c>
    </row>
    <row r="199" spans="1:26">
      <c r="A199" s="640" t="s">
        <v>889</v>
      </c>
      <c r="B199" s="898">
        <f ca="1">Vehi_Comp_Sum!H191</f>
        <v>3428594.675521302</v>
      </c>
      <c r="C199" s="632">
        <f>Vehi_ADR!J123</f>
        <v>828288.3486815989</v>
      </c>
      <c r="D199" s="632">
        <f ca="1">Battery_Sum!H244</f>
        <v>4575182.7819898669</v>
      </c>
      <c r="E199" s="632">
        <f>Vehi_Fluids!F122</f>
        <v>81548.311811566891</v>
      </c>
      <c r="F199" s="899">
        <f t="shared" ca="1" si="41"/>
        <v>8913614.1180043332</v>
      </c>
      <c r="G199" s="458">
        <f ca="1">Vehi_Sum!B199/$F199</f>
        <v>0.38464697149004801</v>
      </c>
      <c r="H199" s="458">
        <f ca="1">Vehi_Sum!C199/$F199</f>
        <v>9.2923963020629857E-2</v>
      </c>
      <c r="I199" s="458">
        <f ca="1">Vehi_Sum!D199/$F199</f>
        <v>0.51328032843026006</v>
      </c>
      <c r="J199" s="896">
        <f ca="1">Vehi_Sum!E199/$F199</f>
        <v>9.1487370590622695E-3</v>
      </c>
      <c r="L199" s="112">
        <f>Battery_Sum!W211</f>
        <v>5234.8117771950037</v>
      </c>
      <c r="M199" s="112">
        <f>Battery_Sum!X211</f>
        <v>61691.211834322778</v>
      </c>
      <c r="N199" s="112">
        <f>Battery_Sum!Y211</f>
        <v>113913.54114350092</v>
      </c>
      <c r="O199" s="112">
        <f ca="1">Battery_Sum!Z211</f>
        <v>114957.09314441711</v>
      </c>
      <c r="P199" s="112">
        <f ca="1">Battery_Sum!AA211</f>
        <v>20559.26630587452</v>
      </c>
      <c r="Q199" s="112">
        <f ca="1">Battery_Sum!AB211</f>
        <v>87830.839409238935</v>
      </c>
      <c r="R199" s="112">
        <f>Battery_Sum!AC211</f>
        <v>6280.7613006868569</v>
      </c>
      <c r="S199" s="112">
        <f ca="1">Battery_Sum!AD211</f>
        <v>11090.860702951693</v>
      </c>
      <c r="T199" s="112">
        <f ca="1">Battery_Sum!AE211</f>
        <v>73653.317636300577</v>
      </c>
      <c r="U199" s="92">
        <f ca="1">V199-SUM(L199:T199)</f>
        <v>4079971.0787353786</v>
      </c>
      <c r="V199" s="92">
        <f ca="1">SUM(D199)</f>
        <v>4575182.7819898669</v>
      </c>
      <c r="W199" s="92">
        <f>Vehi_Comp_Sum!R$191</f>
        <v>16081.06580035162</v>
      </c>
      <c r="X199" s="92">
        <f>Vehi_Comp_Sum!S$191</f>
        <v>189512.15039535883</v>
      </c>
      <c r="Y199" s="92">
        <f ca="1">SUM(E199,C199,B199)-SUM(W199:X199)</f>
        <v>4132838.1198187578</v>
      </c>
      <c r="Z199" s="92">
        <f ca="1">F199</f>
        <v>8913614.1180043332</v>
      </c>
    </row>
    <row r="200" spans="1:26">
      <c r="A200" s="230" t="s">
        <v>1895</v>
      </c>
      <c r="B200" s="517">
        <f ca="1">Vehi_Comp_Sum!H192</f>
        <v>3462670.9597740141</v>
      </c>
      <c r="C200" s="246">
        <f>Vehi_ADR!J124</f>
        <v>834381.00943205075</v>
      </c>
      <c r="D200" s="246">
        <f ca="1">Battery_Sum!H245</f>
        <v>4582859.0286783576</v>
      </c>
      <c r="E200" s="246">
        <f>Vehi_Fluids!F123</f>
        <v>166772.74990950144</v>
      </c>
      <c r="F200" s="247">
        <f t="shared" ca="1" si="41"/>
        <v>9046683.7477939241</v>
      </c>
      <c r="G200" s="382">
        <f ca="1">Vehi_Sum!B200/$F200</f>
        <v>0.38275583145242614</v>
      </c>
      <c r="H200" s="382">
        <f ca="1">Vehi_Sum!C200/$F200</f>
        <v>9.2230593297297297E-2</v>
      </c>
      <c r="I200" s="382">
        <f ca="1">Vehi_Sum!D200/$F200</f>
        <v>0.50657889193881778</v>
      </c>
      <c r="J200" s="588">
        <f ca="1">Vehi_Sum!E200/$F200</f>
        <v>1.8434683311458717E-2</v>
      </c>
      <c r="L200" s="112">
        <f>Battery_Sum!W212</f>
        <v>5244.9440692215121</v>
      </c>
      <c r="M200" s="112">
        <f>Battery_Sum!X212</f>
        <v>61789.452187243434</v>
      </c>
      <c r="N200" s="112">
        <f>Battery_Sum!Y212</f>
        <v>114106.0372586976</v>
      </c>
      <c r="O200" s="112">
        <f ca="1">Battery_Sum!Z212</f>
        <v>115098.49419647478</v>
      </c>
      <c r="P200" s="112">
        <f ca="1">Battery_Sum!AA212</f>
        <v>20592.6694923133</v>
      </c>
      <c r="Q200" s="112">
        <f ca="1">Battery_Sum!AB212</f>
        <v>88082.758038886313</v>
      </c>
      <c r="R200" s="112">
        <f>Battery_Sum!AC212</f>
        <v>0</v>
      </c>
      <c r="S200" s="112">
        <f ca="1">Battery_Sum!AD212</f>
        <v>11121.206411700943</v>
      </c>
      <c r="T200" s="112">
        <f ca="1">Battery_Sum!AE212</f>
        <v>73769.970930479758</v>
      </c>
      <c r="U200" s="92">
        <f t="shared" ref="U200:U211" ca="1" si="42">V200-SUM(L200:T200)</f>
        <v>4093053.4960933402</v>
      </c>
      <c r="V200" s="92">
        <f t="shared" ref="V200:V211" ca="1" si="43">SUM(D200)</f>
        <v>4582859.0286783576</v>
      </c>
      <c r="W200" s="92">
        <f>Vehi_Comp_Sum!R$192</f>
        <v>16112.191667282783</v>
      </c>
      <c r="X200" s="92">
        <f>Vehi_Comp_Sum!S$192</f>
        <v>189813.93958030129</v>
      </c>
      <c r="Y200" s="92">
        <f ca="1">SUM(E200,C200,B200)-SUM(W200:X200)</f>
        <v>4257898.5878679827</v>
      </c>
      <c r="Z200" s="92">
        <f t="shared" ref="Z200:Z211" ca="1" si="44">F200</f>
        <v>9046683.7477939241</v>
      </c>
    </row>
    <row r="201" spans="1:26">
      <c r="A201" s="95" t="s">
        <v>887</v>
      </c>
      <c r="B201" s="498">
        <f ca="1">Vehi_Comp_Sum!H189</f>
        <v>9253.2002677186047</v>
      </c>
      <c r="C201" s="496">
        <f>Vehi_ADR!J121</f>
        <v>2240.0809170636567</v>
      </c>
      <c r="D201" s="496">
        <f ca="1">Battery_Sum!H242</f>
        <v>10695.229103040661</v>
      </c>
      <c r="E201" s="496">
        <f>Vehi_Fluids!F120</f>
        <v>501.16215421510094</v>
      </c>
      <c r="F201" s="497">
        <f t="shared" ca="1" si="41"/>
        <v>22689.672442038023</v>
      </c>
      <c r="G201" s="369">
        <f ca="1">Vehi_Sum!B201/$F201</f>
        <v>0.40781550687240625</v>
      </c>
      <c r="H201" s="369">
        <f ca="1">Vehi_Sum!C201/$F201</f>
        <v>9.8726895365548475E-2</v>
      </c>
      <c r="I201" s="369">
        <f ca="1">Vehi_Sum!D201/$F201</f>
        <v>0.4713699208466845</v>
      </c>
      <c r="J201" s="746">
        <f ca="1">Vehi_Sum!E201/$F201</f>
        <v>2.2087676915360781E-2</v>
      </c>
      <c r="L201" s="112">
        <f>Battery_Sum!W209</f>
        <v>9.5712534104008942</v>
      </c>
      <c r="M201" s="112">
        <f>Battery_Sum!X209</f>
        <v>133.35079336944949</v>
      </c>
      <c r="N201" s="112">
        <f>Battery_Sum!Y209</f>
        <v>162.33455194820601</v>
      </c>
      <c r="O201" s="112">
        <f ca="1">Battery_Sum!Z209</f>
        <v>264.52555883883332</v>
      </c>
      <c r="P201" s="112">
        <f ca="1">Battery_Sum!AA209</f>
        <v>27.323579524156081</v>
      </c>
      <c r="Q201" s="112">
        <f ca="1">Battery_Sum!AB209</f>
        <v>174.47907958940007</v>
      </c>
      <c r="R201" s="112">
        <f>Battery_Sum!AC209</f>
        <v>13.209827903202804</v>
      </c>
      <c r="S201" s="112">
        <f ca="1">Battery_Sum!AD209</f>
        <v>13.605496591567835</v>
      </c>
      <c r="T201" s="112">
        <f ca="1">Battery_Sum!AE209</f>
        <v>180.03404482327315</v>
      </c>
      <c r="U201" s="92">
        <f t="shared" ca="1" si="42"/>
        <v>9716.7949170421707</v>
      </c>
      <c r="V201" s="92">
        <f t="shared" ca="1" si="43"/>
        <v>10695.229103040661</v>
      </c>
      <c r="W201" s="92">
        <f>Vehi_Comp_Sum!R$189</f>
        <v>29.402385880428014</v>
      </c>
      <c r="X201" s="92">
        <f>Vehi_Comp_Sum!S$189</f>
        <v>409.64660697929952</v>
      </c>
      <c r="Y201" s="92">
        <f t="shared" ref="Y201:Y211" ca="1" si="45">SUM(E201,C201,B201)-SUM(W201:X201)</f>
        <v>11555.394346137635</v>
      </c>
      <c r="Z201" s="92">
        <f t="shared" ca="1" si="44"/>
        <v>22689.672442038023</v>
      </c>
    </row>
    <row r="202" spans="1:26">
      <c r="A202" s="95" t="s">
        <v>888</v>
      </c>
      <c r="B202" s="498">
        <f ca="1">Vehi_Comp_Sum!H190</f>
        <v>87.669001783885477</v>
      </c>
      <c r="C202" s="496">
        <f>Vehi_ADR!J122</f>
        <v>21.36502696769179</v>
      </c>
      <c r="D202" s="496">
        <f ca="1">Battery_Sum!H243</f>
        <v>150.08268226798324</v>
      </c>
      <c r="E202" s="496">
        <f>Vehi_Fluids!F121</f>
        <v>4.1701931336438403</v>
      </c>
      <c r="F202" s="497">
        <f t="shared" ca="1" si="41"/>
        <v>263.28690415320438</v>
      </c>
      <c r="G202" s="369">
        <f ca="1">Vehi_Sum!B202/$F202</f>
        <v>0.33297896857365772</v>
      </c>
      <c r="H202" s="369">
        <f ca="1">Vehi_Sum!C202/$F202</f>
        <v>8.114732115676998E-2</v>
      </c>
      <c r="I202" s="369">
        <f ca="1">Vehi_Sum!D202/$F202</f>
        <v>0.57003474119112063</v>
      </c>
      <c r="J202" s="746">
        <f ca="1">Vehi_Sum!E202/$F202</f>
        <v>1.5838969078451545E-2</v>
      </c>
      <c r="L202" s="112">
        <f>Battery_Sum!W210</f>
        <v>7.0790500372148124E-2</v>
      </c>
      <c r="M202" s="112">
        <f>Battery_Sum!X210</f>
        <v>1.5181887533187517</v>
      </c>
      <c r="N202" s="112">
        <f>Battery_Sum!Y210</f>
        <v>0.86774141448115971</v>
      </c>
      <c r="O202" s="112">
        <f ca="1">Battery_Sum!Z210</f>
        <v>2.5147111339438077</v>
      </c>
      <c r="P202" s="112">
        <f ca="1">Battery_Sum!AA210</f>
        <v>4.1565531903770818</v>
      </c>
      <c r="Q202" s="112">
        <f ca="1">Battery_Sum!AB210</f>
        <v>7.5131127196690519</v>
      </c>
      <c r="R202" s="112">
        <f>Battery_Sum!AC210</f>
        <v>0.11276654804903383</v>
      </c>
      <c r="S202" s="112">
        <f ca="1">Battery_Sum!AD210</f>
        <v>0.27130421881194855</v>
      </c>
      <c r="T202" s="112">
        <f ca="1">Battery_Sum!AE210</f>
        <v>1.7355477923866161</v>
      </c>
      <c r="U202" s="92">
        <f t="shared" ca="1" si="42"/>
        <v>131.32196599657365</v>
      </c>
      <c r="V202" s="92">
        <f t="shared" ca="1" si="43"/>
        <v>150.08268226798324</v>
      </c>
      <c r="W202" s="92">
        <f>Vehi_Comp_Sum!R$190</f>
        <v>0.21746468506921515</v>
      </c>
      <c r="X202" s="92">
        <f>Vehi_Comp_Sum!S$190</f>
        <v>4.6637958113089164</v>
      </c>
      <c r="Y202" s="92">
        <f t="shared" ca="1" si="45"/>
        <v>108.32296138884297</v>
      </c>
      <c r="Z202" s="92">
        <f t="shared" ca="1" si="44"/>
        <v>263.28690415320438</v>
      </c>
    </row>
    <row r="203" spans="1:26">
      <c r="A203" s="589" t="s">
        <v>1896</v>
      </c>
      <c r="B203" s="517">
        <f ca="1">Vehi_Comp_Sum!H193</f>
        <v>3810926.1040290627</v>
      </c>
      <c r="C203" s="246">
        <f>Vehi_ADR!J125</f>
        <v>907245.16909039882</v>
      </c>
      <c r="D203" s="246">
        <f ca="1">Battery_Sum!H246</f>
        <v>4977988.1915560793</v>
      </c>
      <c r="E203" s="246">
        <f>Vehi_Fluids!F124</f>
        <v>182912.71571637009</v>
      </c>
      <c r="F203" s="247">
        <f t="shared" ca="1" si="41"/>
        <v>9879072.1803919114</v>
      </c>
      <c r="G203" s="368">
        <f ca="1">Vehi_Sum!B203/$F203</f>
        <v>0.38575749163904577</v>
      </c>
      <c r="H203" s="368">
        <f ca="1">Vehi_Sum!C203/$F203</f>
        <v>9.1835058244751855E-2</v>
      </c>
      <c r="I203" s="368">
        <f ca="1">Vehi_Sum!D203/$F203</f>
        <v>0.50389227861260533</v>
      </c>
      <c r="J203" s="428">
        <f ca="1">Vehi_Sum!E203/$F203</f>
        <v>1.8515171503596987E-2</v>
      </c>
      <c r="L203" s="112">
        <f>Battery_Sum!W213</f>
        <v>5550.8411541321566</v>
      </c>
      <c r="M203" s="112">
        <f>Battery_Sum!X213</f>
        <v>66192.296007956378</v>
      </c>
      <c r="N203" s="112">
        <f>Battery_Sum!Y213</f>
        <v>119206.02529198126</v>
      </c>
      <c r="O203" s="112">
        <f ca="1">Battery_Sum!Z213</f>
        <v>123700.65941213488</v>
      </c>
      <c r="P203" s="112">
        <f ca="1">Battery_Sum!AA213</f>
        <v>22513.863473487905</v>
      </c>
      <c r="Q203" s="112">
        <f ca="1">Battery_Sum!AB213</f>
        <v>95308.105297280621</v>
      </c>
      <c r="R203" s="112">
        <f>Battery_Sum!AC213</f>
        <v>6.8004027714830176E-2</v>
      </c>
      <c r="S203" s="112">
        <f ca="1">Battery_Sum!AD213</f>
        <v>11601.266927433147</v>
      </c>
      <c r="T203" s="112">
        <f ca="1">Battery_Sum!AE213</f>
        <v>79630.912440160391</v>
      </c>
      <c r="U203" s="92">
        <f t="shared" ca="1" si="42"/>
        <v>4454284.1535474844</v>
      </c>
      <c r="V203" s="92">
        <f t="shared" ca="1" si="43"/>
        <v>4977988.1915560793</v>
      </c>
      <c r="W203" s="92">
        <f>Vehi_Comp_Sum!R$193</f>
        <v>17051.891385238963</v>
      </c>
      <c r="X203" s="92">
        <f>Vehi_Comp_Sum!S$193</f>
        <v>203339.24367967711</v>
      </c>
      <c r="Y203" s="92">
        <f t="shared" ca="1" si="45"/>
        <v>4680692.8537709164</v>
      </c>
      <c r="Z203" s="92">
        <f t="shared" ca="1" si="44"/>
        <v>9879072.1803919114</v>
      </c>
    </row>
    <row r="204" spans="1:26">
      <c r="A204" s="393" t="s">
        <v>879</v>
      </c>
      <c r="B204" s="508">
        <f ca="1">Vehi_Comp_Sum!H181</f>
        <v>2973.4968345548391</v>
      </c>
      <c r="C204" s="506">
        <f>Vehi_ADR!J113</f>
        <v>1724.21746234342</v>
      </c>
      <c r="D204" s="506">
        <f ca="1">Battery_Sum!H234</f>
        <v>887.06014081022056</v>
      </c>
      <c r="E204" s="506">
        <f>Vehi_Fluids!F112</f>
        <v>27284.451108767778</v>
      </c>
      <c r="F204" s="507">
        <f t="shared" ca="1" si="41"/>
        <v>32869.225546476257</v>
      </c>
      <c r="G204" s="458">
        <f ca="1">Vehi_Sum!B204/$F204</f>
        <v>9.0464462886428204E-2</v>
      </c>
      <c r="H204" s="458">
        <f ca="1">Vehi_Sum!C204/$F204</f>
        <v>5.2456893452065674E-2</v>
      </c>
      <c r="I204" s="458">
        <f ca="1">Vehi_Sum!D204/$F204</f>
        <v>2.6987558303007166E-2</v>
      </c>
      <c r="J204" s="896">
        <f ca="1">Vehi_Sum!E204/$F204</f>
        <v>0.83009108535849896</v>
      </c>
      <c r="L204" s="112">
        <f>Battery_Sum!W201</f>
        <v>0.67351572195174614</v>
      </c>
      <c r="M204" s="112">
        <f>Battery_Sum!X201</f>
        <v>7.5048796348204352</v>
      </c>
      <c r="N204" s="112">
        <f>Battery_Sum!Y201</f>
        <v>19.441049115320528</v>
      </c>
      <c r="O204" s="112">
        <f ca="1">Battery_Sum!Z201</f>
        <v>28.196446131518581</v>
      </c>
      <c r="P204" s="112">
        <f ca="1">Battery_Sum!AA201</f>
        <v>3.0514638221614327</v>
      </c>
      <c r="Q204" s="112">
        <f ca="1">Battery_Sum!AB201</f>
        <v>21.045611285495614</v>
      </c>
      <c r="R204" s="112">
        <f>Battery_Sum!AC201</f>
        <v>0.76203649882252356</v>
      </c>
      <c r="S204" s="112">
        <f ca="1">Battery_Sum!AD201</f>
        <v>3.8374596082566121</v>
      </c>
      <c r="T204" s="112">
        <f ca="1">Battery_Sum!AE201</f>
        <v>14.251293622055224</v>
      </c>
      <c r="U204" s="92">
        <f t="shared" ca="1" si="42"/>
        <v>788.29638536981781</v>
      </c>
      <c r="V204" s="92">
        <f t="shared" ca="1" si="43"/>
        <v>887.06014081022056</v>
      </c>
      <c r="W204" s="92">
        <f>Vehi_Comp_Sum!R$181</f>
        <v>2.0690047900978987</v>
      </c>
      <c r="X204" s="92">
        <f>Vehi_Comp_Sum!S$181</f>
        <v>23.054594581036554</v>
      </c>
      <c r="Y204" s="92">
        <f t="shared" ca="1" si="45"/>
        <v>31957.041806294903</v>
      </c>
      <c r="Z204" s="92">
        <f t="shared" ca="1" si="44"/>
        <v>32869.225546476257</v>
      </c>
    </row>
    <row r="205" spans="1:26">
      <c r="A205" s="230" t="s">
        <v>880</v>
      </c>
      <c r="B205" s="498">
        <f ca="1">Vehi_Comp_Sum!H182</f>
        <v>15787.472772283214</v>
      </c>
      <c r="C205" s="496">
        <f>Vehi_ADR!J114</f>
        <v>457.44978330654908</v>
      </c>
      <c r="D205" s="496">
        <f ca="1">Battery_Sum!H235</f>
        <v>3125.5483103720871</v>
      </c>
      <c r="E205" s="496">
        <f>Vehi_Fluids!F113</f>
        <v>119.57196932648242</v>
      </c>
      <c r="F205" s="497">
        <f t="shared" ca="1" si="41"/>
        <v>19490.042835288332</v>
      </c>
      <c r="G205" s="369">
        <f ca="1">Vehi_Sum!B205/$F205</f>
        <v>0.81002760772278504</v>
      </c>
      <c r="H205" s="369">
        <f ca="1">Vehi_Sum!C205/$F205</f>
        <v>2.347094807192001E-2</v>
      </c>
      <c r="I205" s="369">
        <f ca="1">Vehi_Sum!D205/$F205</f>
        <v>0.16036641565061233</v>
      </c>
      <c r="J205" s="746">
        <f ca="1">Vehi_Sum!E205/$F205</f>
        <v>6.1350285546826755E-3</v>
      </c>
      <c r="L205" s="112">
        <f>Battery_Sum!W202</f>
        <v>5.1120160168160593</v>
      </c>
      <c r="M205" s="112">
        <f>Battery_Sum!X202</f>
        <v>47.631910279847119</v>
      </c>
      <c r="N205" s="112">
        <f>Battery_Sum!Y202</f>
        <v>83.939447107046064</v>
      </c>
      <c r="O205" s="112">
        <f ca="1">Battery_Sum!Z202</f>
        <v>34.059536178871284</v>
      </c>
      <c r="P205" s="112">
        <f ca="1">Battery_Sum!AA202</f>
        <v>15.204503274359112</v>
      </c>
      <c r="Q205" s="112">
        <f ca="1">Battery_Sum!AB202</f>
        <v>118.57139284726942</v>
      </c>
      <c r="R205" s="112">
        <f>Battery_Sum!AC202</f>
        <v>3.5126966185025328</v>
      </c>
      <c r="S205" s="112">
        <f ca="1">Battery_Sum!AD202</f>
        <v>11.699944011330459</v>
      </c>
      <c r="T205" s="112">
        <f ca="1">Battery_Sum!AE202</f>
        <v>45.968848793914503</v>
      </c>
      <c r="U205" s="92">
        <f t="shared" ca="1" si="42"/>
        <v>2759.8480152441307</v>
      </c>
      <c r="V205" s="92">
        <f t="shared" ca="1" si="43"/>
        <v>3125.5483103720871</v>
      </c>
      <c r="W205" s="92">
        <f>Vehi_Comp_Sum!R$182</f>
        <v>15.703843698257987</v>
      </c>
      <c r="X205" s="92">
        <f>Vehi_Comp_Sum!S$182</f>
        <v>146.32271722615803</v>
      </c>
      <c r="Y205" s="92">
        <f t="shared" ca="1" si="45"/>
        <v>16202.467963991829</v>
      </c>
      <c r="Z205" s="92">
        <f t="shared" ca="1" si="44"/>
        <v>19490.042835288332</v>
      </c>
    </row>
    <row r="206" spans="1:26">
      <c r="A206" s="230" t="s">
        <v>881</v>
      </c>
      <c r="B206" s="498">
        <f ca="1">Vehi_Comp_Sum!H183</f>
        <v>3786.6126725642475</v>
      </c>
      <c r="C206" s="496">
        <f>Vehi_ADR!J115</f>
        <v>725.01502646481504</v>
      </c>
      <c r="D206" s="496">
        <f ca="1">Battery_Sum!H236</f>
        <v>5984.2050417055352</v>
      </c>
      <c r="E206" s="496">
        <f>Vehi_Fluids!F114</f>
        <v>108.22926182592694</v>
      </c>
      <c r="F206" s="497">
        <f t="shared" ca="1" si="41"/>
        <v>10604.062002560524</v>
      </c>
      <c r="G206" s="369">
        <f ca="1">Vehi_Sum!B206/$F206</f>
        <v>0.35709077065467065</v>
      </c>
      <c r="H206" s="369">
        <f ca="1">Vehi_Sum!C206/$F206</f>
        <v>6.8371443536424839E-2</v>
      </c>
      <c r="I206" s="369">
        <f ca="1">Vehi_Sum!D206/$F206</f>
        <v>0.56433138926012982</v>
      </c>
      <c r="J206" s="746">
        <f ca="1">Vehi_Sum!E206/$F206</f>
        <v>1.0206396548774727E-2</v>
      </c>
      <c r="L206" s="112">
        <f>Battery_Sum!W203</f>
        <v>4.846461081450431</v>
      </c>
      <c r="M206" s="112">
        <f>Battery_Sum!X203</f>
        <v>68.565517387691358</v>
      </c>
      <c r="N206" s="112">
        <f>Battery_Sum!Y203</f>
        <v>168.93692504821865</v>
      </c>
      <c r="O206" s="112">
        <f ca="1">Battery_Sum!Z203</f>
        <v>340.66985312825886</v>
      </c>
      <c r="P206" s="112">
        <f ca="1">Battery_Sum!AA203</f>
        <v>62.861577089221413</v>
      </c>
      <c r="Q206" s="112">
        <f ca="1">Battery_Sum!AB203</f>
        <v>164.93651687219753</v>
      </c>
      <c r="R206" s="112">
        <f>Battery_Sum!AC203</f>
        <v>4.7271046294443826</v>
      </c>
      <c r="S206" s="112">
        <f ca="1">Battery_Sum!AD203</f>
        <v>26.806836908108941</v>
      </c>
      <c r="T206" s="112">
        <f ca="1">Battery_Sum!AE203</f>
        <v>83.450478798506666</v>
      </c>
      <c r="U206" s="92">
        <f t="shared" ca="1" si="42"/>
        <v>5058.4037707624366</v>
      </c>
      <c r="V206" s="92">
        <f t="shared" ca="1" si="43"/>
        <v>5984.2050417055352</v>
      </c>
      <c r="W206" s="92">
        <f>Vehi_Comp_Sum!R$183</f>
        <v>14.888072936866633</v>
      </c>
      <c r="X206" s="92">
        <f>Vehi_Comp_Sum!S$183</f>
        <v>210.6296546420306</v>
      </c>
      <c r="Y206" s="92">
        <f t="shared" ca="1" si="45"/>
        <v>4394.3392332760923</v>
      </c>
      <c r="Z206" s="92">
        <f t="shared" ca="1" si="44"/>
        <v>10604.062002560524</v>
      </c>
    </row>
    <row r="207" spans="1:26">
      <c r="A207" s="230" t="s">
        <v>882</v>
      </c>
      <c r="B207" s="498">
        <f ca="1">Vehi_Comp_Sum!H184</f>
        <v>1736.3434915952046</v>
      </c>
      <c r="C207" s="496">
        <f>Vehi_ADR!J116</f>
        <v>131.06644114303808</v>
      </c>
      <c r="D207" s="496">
        <f ca="1">Battery_Sum!H237</f>
        <v>3213.9158292443876</v>
      </c>
      <c r="E207" s="496">
        <f>Vehi_Fluids!F115</f>
        <v>21.160078163559724</v>
      </c>
      <c r="F207" s="497">
        <f t="shared" ca="1" si="41"/>
        <v>5102.4858401461897</v>
      </c>
      <c r="G207" s="369">
        <f ca="1">Vehi_Sum!B207/$F207</f>
        <v>0.34029364235246112</v>
      </c>
      <c r="H207" s="369">
        <f ca="1">Vehi_Sum!C207/$F207</f>
        <v>2.5686781942991718E-2</v>
      </c>
      <c r="I207" s="369">
        <f ca="1">Vehi_Sum!D207/$F207</f>
        <v>0.62987256210637654</v>
      </c>
      <c r="J207" s="746">
        <f ca="1">Vehi_Sum!E207/$F207</f>
        <v>4.1470135981707054E-3</v>
      </c>
      <c r="L207" s="112">
        <f>Battery_Sum!W204</f>
        <v>1.7412594357178772</v>
      </c>
      <c r="M207" s="112">
        <f>Battery_Sum!X204</f>
        <v>8.4051746142365129</v>
      </c>
      <c r="N207" s="112">
        <f>Battery_Sum!Y204</f>
        <v>31.162116839944172</v>
      </c>
      <c r="O207" s="112">
        <f ca="1">Battery_Sum!Z204</f>
        <v>135.14706447343019</v>
      </c>
      <c r="P207" s="112">
        <f ca="1">Battery_Sum!AA204</f>
        <v>4.5664174892197495</v>
      </c>
      <c r="Q207" s="112">
        <f ca="1">Battery_Sum!AB204</f>
        <v>62.957259228254586</v>
      </c>
      <c r="R207" s="112">
        <f>Battery_Sum!AC204</f>
        <v>25.015783877934918</v>
      </c>
      <c r="S207" s="112">
        <f ca="1">Battery_Sum!AD204</f>
        <v>314.40151928170894</v>
      </c>
      <c r="T207" s="112">
        <f ca="1">Battery_Sum!AE204</f>
        <v>8.5902289280715483</v>
      </c>
      <c r="U207" s="92">
        <f t="shared" ca="1" si="42"/>
        <v>2621.9290050758691</v>
      </c>
      <c r="V207" s="92">
        <f t="shared" ca="1" si="43"/>
        <v>3213.9158292443876</v>
      </c>
      <c r="W207" s="92">
        <f>Vehi_Comp_Sum!R$184</f>
        <v>5.349057187356296</v>
      </c>
      <c r="X207" s="92">
        <f>Vehi_Comp_Sum!S$184</f>
        <v>25.820253294266127</v>
      </c>
      <c r="Y207" s="92">
        <f t="shared" ca="1" si="45"/>
        <v>1857.4007004201799</v>
      </c>
      <c r="Z207" s="92">
        <f t="shared" ca="1" si="44"/>
        <v>5102.4858401461897</v>
      </c>
    </row>
    <row r="208" spans="1:26">
      <c r="A208" s="230" t="s">
        <v>883</v>
      </c>
      <c r="B208" s="498">
        <f ca="1">Vehi_Comp_Sum!H185</f>
        <v>814.12919462254331</v>
      </c>
      <c r="C208" s="496">
        <f>Vehi_ADR!J117</f>
        <v>80.733623309220008</v>
      </c>
      <c r="D208" s="496">
        <f ca="1">Battery_Sum!H238</f>
        <v>1063.3483763263914</v>
      </c>
      <c r="E208" s="496">
        <f>Vehi_Fluids!F116</f>
        <v>8.0487274063768375</v>
      </c>
      <c r="F208" s="497">
        <f t="shared" ca="1" si="41"/>
        <v>1966.2599216645315</v>
      </c>
      <c r="G208" s="369">
        <f ca="1">Vehi_Sum!B208/$F208</f>
        <v>0.41404963080025792</v>
      </c>
      <c r="H208" s="369">
        <f ca="1">Vehi_Sum!C208/$F208</f>
        <v>4.1059486805221153E-2</v>
      </c>
      <c r="I208" s="369">
        <f ca="1">Vehi_Sum!D208/$F208</f>
        <v>0.54079746253802352</v>
      </c>
      <c r="J208" s="746">
        <f ca="1">Vehi_Sum!E208/$F208</f>
        <v>4.0934198564975127E-3</v>
      </c>
      <c r="L208" s="112">
        <f>Battery_Sum!W205</f>
        <v>0.87077863595390637</v>
      </c>
      <c r="M208" s="112">
        <f>Battery_Sum!X205</f>
        <v>5.2499211213467767</v>
      </c>
      <c r="N208" s="112">
        <f>Battery_Sum!Y205</f>
        <v>21.993325936811139</v>
      </c>
      <c r="O208" s="112">
        <f ca="1">Battery_Sum!Z205</f>
        <v>67.392865180046471</v>
      </c>
      <c r="P208" s="112">
        <f ca="1">Battery_Sum!AA205</f>
        <v>3.2415724464504541</v>
      </c>
      <c r="Q208" s="112">
        <f ca="1">Battery_Sum!AB205</f>
        <v>34.478975831237889</v>
      </c>
      <c r="R208" s="112">
        <f>Battery_Sum!AC205</f>
        <v>12.549493968152969</v>
      </c>
      <c r="S208" s="112">
        <f ca="1">Battery_Sum!AD205</f>
        <v>33.851636619165504</v>
      </c>
      <c r="T208" s="112">
        <f ca="1">Battery_Sum!AE205</f>
        <v>6.0149578194075</v>
      </c>
      <c r="U208" s="92">
        <f t="shared" ca="1" si="42"/>
        <v>877.70484876781882</v>
      </c>
      <c r="V208" s="92">
        <f t="shared" ca="1" si="43"/>
        <v>1063.3483763263914</v>
      </c>
      <c r="W208" s="92">
        <f>Vehi_Comp_Sum!R$185</f>
        <v>2.6749860622149293</v>
      </c>
      <c r="X208" s="92">
        <f>Vehi_Comp_Sum!S$185</f>
        <v>16.127480909021489</v>
      </c>
      <c r="Y208" s="92">
        <f t="shared" ca="1" si="45"/>
        <v>884.10907836690376</v>
      </c>
      <c r="Z208" s="92">
        <f t="shared" ca="1" si="44"/>
        <v>1966.2599216645315</v>
      </c>
    </row>
    <row r="209" spans="1:26">
      <c r="A209" s="230" t="s">
        <v>884</v>
      </c>
      <c r="B209" s="498">
        <f ca="1">Vehi_Comp_Sum!H186</f>
        <v>21799.092954207586</v>
      </c>
      <c r="C209" s="496">
        <f>Vehi_ADR!J118</f>
        <v>324.00162905349237</v>
      </c>
      <c r="D209" s="496">
        <f ca="1">Battery_Sum!H239</f>
        <v>51853.408729940638</v>
      </c>
      <c r="E209" s="496">
        <f>Vehi_Fluids!F117</f>
        <v>246.18368794364392</v>
      </c>
      <c r="F209" s="497">
        <f t="shared" ca="1" si="41"/>
        <v>74222.687001145357</v>
      </c>
      <c r="G209" s="369">
        <f ca="1">Vehi_Sum!B209/$F209</f>
        <v>0.29369851503585687</v>
      </c>
      <c r="H209" s="369">
        <f ca="1">Vehi_Sum!C209/$F209</f>
        <v>4.3652640741569026E-3</v>
      </c>
      <c r="I209" s="369">
        <f ca="1">Vehi_Sum!D209/$F209</f>
        <v>0.69861939556486907</v>
      </c>
      <c r="J209" s="746">
        <f ca="1">Vehi_Sum!E209/$F209</f>
        <v>3.3168253251171704E-3</v>
      </c>
      <c r="L209" s="112">
        <f>Battery_Sum!W206</f>
        <v>1.8000262850935711</v>
      </c>
      <c r="M209" s="112">
        <f>Battery_Sum!X206</f>
        <v>3510.6982859671079</v>
      </c>
      <c r="N209" s="112">
        <f>Battery_Sum!Y206</f>
        <v>145.8299627413972</v>
      </c>
      <c r="O209" s="112">
        <f ca="1">Battery_Sum!Z206</f>
        <v>1863.7195695955036</v>
      </c>
      <c r="P209" s="112">
        <f ca="1">Battery_Sum!AA206</f>
        <v>39.631743086767479</v>
      </c>
      <c r="Q209" s="112">
        <f ca="1">Battery_Sum!AB206</f>
        <v>7162.1613239728031</v>
      </c>
      <c r="R209" s="112">
        <f>Battery_Sum!AC206</f>
        <v>2.9673782811222926</v>
      </c>
      <c r="S209" s="112">
        <f ca="1">Battery_Sum!AD206</f>
        <v>0.61318081479968867</v>
      </c>
      <c r="T209" s="112">
        <f ca="1">Battery_Sum!AE206</f>
        <v>332.78090856570128</v>
      </c>
      <c r="U209" s="92">
        <f t="shared" ca="1" si="42"/>
        <v>38793.206350630338</v>
      </c>
      <c r="V209" s="92">
        <f t="shared" ca="1" si="43"/>
        <v>51853.408729940638</v>
      </c>
      <c r="W209" s="92">
        <f>Vehi_Comp_Sum!R$186</f>
        <v>5.5295858504510873</v>
      </c>
      <c r="X209" s="92">
        <f>Vehi_Comp_Sum!S$186</f>
        <v>10784.680050534636</v>
      </c>
      <c r="Y209" s="92">
        <f t="shared" ca="1" si="45"/>
        <v>11579.068634819636</v>
      </c>
      <c r="Z209" s="92">
        <f t="shared" ca="1" si="44"/>
        <v>74222.687001145357</v>
      </c>
    </row>
    <row r="210" spans="1:26">
      <c r="A210" s="661" t="s">
        <v>885</v>
      </c>
      <c r="B210" s="498">
        <f ca="1">Vehi_Comp_Sum!H187</f>
        <v>22.928861977371962</v>
      </c>
      <c r="C210" s="496">
        <f>Vehi_ADR!J119</f>
        <v>5.4242394675900218</v>
      </c>
      <c r="D210" s="496">
        <f ca="1">Battery_Sum!H240</f>
        <v>47.059456334938901</v>
      </c>
      <c r="E210" s="496">
        <f>Vehi_Fluids!F118</f>
        <v>0.72803788047807971</v>
      </c>
      <c r="F210" s="497">
        <f ca="1">SUM(B210:E210)</f>
        <v>76.140595660378963</v>
      </c>
      <c r="G210" s="369">
        <f ca="1">Vehi_Sum!B210/$F210</f>
        <v>0.30113846337169359</v>
      </c>
      <c r="H210" s="369">
        <f ca="1">Vehi_Sum!C210/$F210</f>
        <v>7.1239782412322469E-2</v>
      </c>
      <c r="I210" s="369">
        <f ca="1">Vehi_Sum!D210/$F210</f>
        <v>0.61805999712485937</v>
      </c>
      <c r="J210" s="746">
        <f ca="1">Vehi_Sum!E210/$F210</f>
        <v>9.5617570911246032E-3</v>
      </c>
      <c r="L210" s="112">
        <f>Battery_Sum!W207</f>
        <v>1.6544908230454933E-2</v>
      </c>
      <c r="M210" s="112">
        <f>Battery_Sum!X207</f>
        <v>1.0823421886080733</v>
      </c>
      <c r="N210" s="112">
        <f>Battery_Sum!Y207</f>
        <v>2.0259804431253849</v>
      </c>
      <c r="O210" s="112">
        <f ca="1">Battery_Sum!Z207</f>
        <v>0.49967060073464009</v>
      </c>
      <c r="P210" s="112">
        <f ca="1">Battery_Sum!AA207</f>
        <v>0.27754359208310603</v>
      </c>
      <c r="Q210" s="112">
        <f ca="1">Battery_Sum!AB207</f>
        <v>0.88609083232172037</v>
      </c>
      <c r="R210" s="112">
        <f>Battery_Sum!AC207</f>
        <v>2.2475021718103314E-2</v>
      </c>
      <c r="S210" s="112">
        <f ca="1">Battery_Sum!AD207</f>
        <v>1.1277050500672376</v>
      </c>
      <c r="T210" s="112">
        <f ca="1">Battery_Sum!AE207</f>
        <v>0.68693293210418249</v>
      </c>
      <c r="U210" s="92">
        <f t="shared" ca="1" si="42"/>
        <v>40.434170765945993</v>
      </c>
      <c r="V210" s="92">
        <f t="shared" ca="1" si="43"/>
        <v>47.059456334938901</v>
      </c>
      <c r="W210" s="92">
        <f>Vehi_Comp_Sum!R$187</f>
        <v>5.0825085836665757E-2</v>
      </c>
      <c r="X210" s="92">
        <f>Vehi_Comp_Sum!S$187</f>
        <v>3.3248981423414876</v>
      </c>
      <c r="Y210" s="92">
        <f t="shared" ca="1" si="45"/>
        <v>25.70541609726191</v>
      </c>
      <c r="Z210" s="92">
        <f t="shared" ca="1" si="44"/>
        <v>76.140595660378963</v>
      </c>
    </row>
    <row r="211" spans="1:26">
      <c r="A211" s="897" t="s">
        <v>886</v>
      </c>
      <c r="B211" s="501">
        <f ca="1">Vehi_Comp_Sum!H188</f>
        <v>48.182580314646245</v>
      </c>
      <c r="C211" s="499">
        <f>Vehi_ADR!J120</f>
        <v>17.458827230125763</v>
      </c>
      <c r="D211" s="499">
        <f ca="1">Battery_Sum!H241</f>
        <v>99.215713647687693</v>
      </c>
      <c r="E211" s="499">
        <f>Vehi_Fluids!F119</f>
        <v>1.3970106118851247</v>
      </c>
      <c r="F211" s="500">
        <f ca="1">SUM(B211:E211)</f>
        <v>166.25413180434484</v>
      </c>
      <c r="G211" s="426">
        <f ca="1">Vehi_Sum!B211/$F211</f>
        <v>0.28981282926158863</v>
      </c>
      <c r="H211" s="426">
        <f ca="1">Vehi_Sum!C211/$F211</f>
        <v>0.10501289225504529</v>
      </c>
      <c r="I211" s="426">
        <f ca="1">Vehi_Sum!D211/$F211</f>
        <v>0.59677141596967409</v>
      </c>
      <c r="J211" s="747">
        <f ca="1">Vehi_Sum!E211/$F211</f>
        <v>8.4028625136919194E-3</v>
      </c>
      <c r="L211" s="112">
        <f>Battery_Sum!W208</f>
        <v>6.4308201390337008E-2</v>
      </c>
      <c r="M211" s="112">
        <f>Battery_Sum!X208</f>
        <v>1.1201731084948578</v>
      </c>
      <c r="N211" s="112">
        <f>Battery_Sum!Y208</f>
        <v>3.7861373140076591</v>
      </c>
      <c r="O211" s="112">
        <f ca="1">Battery_Sum!Z208</f>
        <v>1.0171905232448475</v>
      </c>
      <c r="P211" s="112">
        <f ca="1">Battery_Sum!AA208</f>
        <v>0.48743859240324389</v>
      </c>
      <c r="Q211" s="112">
        <f ca="1">Battery_Sum!AB208</f>
        <v>1.8894272896611131</v>
      </c>
      <c r="R211" s="112">
        <f>Battery_Sum!AC208</f>
        <v>0.10060094826665665</v>
      </c>
      <c r="S211" s="112">
        <f ca="1">Battery_Sum!AD208</f>
        <v>0.33910217477657612</v>
      </c>
      <c r="T211" s="112">
        <f ca="1">Battery_Sum!AE208</f>
        <v>1.8325452214958149</v>
      </c>
      <c r="U211" s="92">
        <f t="shared" ca="1" si="42"/>
        <v>88.578790273946595</v>
      </c>
      <c r="V211" s="92">
        <f t="shared" ca="1" si="43"/>
        <v>99.215713647687693</v>
      </c>
      <c r="W211" s="92">
        <f>Vehi_Comp_Sum!R$188</f>
        <v>0.19755140434378787</v>
      </c>
      <c r="X211" s="92">
        <f>Vehi_Comp_Sum!S$188</f>
        <v>3.441112733788211</v>
      </c>
      <c r="Y211" s="92">
        <f t="shared" ca="1" si="45"/>
        <v>63.39975401852513</v>
      </c>
      <c r="Z211" s="92">
        <f t="shared" ca="1" si="44"/>
        <v>166.25413180434484</v>
      </c>
    </row>
    <row r="212" spans="1:26">
      <c r="A212" s="230" t="s">
        <v>890</v>
      </c>
      <c r="B212" s="498">
        <f ca="1">Vehi_Comp_Sum!H195</f>
        <v>38.045340203314566</v>
      </c>
      <c r="C212" s="496">
        <f>Vehi_ADR!J127</f>
        <v>6.6802755568844958</v>
      </c>
      <c r="D212" s="496">
        <f ca="1">Battery_Sum!H248</f>
        <v>52.806105763271994</v>
      </c>
      <c r="E212" s="496">
        <f>Vehi_Fluids!F126</f>
        <v>19082.723602870992</v>
      </c>
      <c r="F212" s="497">
        <f t="shared" ca="1" si="41"/>
        <v>19180.255324394464</v>
      </c>
      <c r="G212" s="369">
        <f ca="1">Vehi_Sum!B212/$F212</f>
        <v>1.9835679744537337E-3</v>
      </c>
      <c r="H212" s="369">
        <f ca="1">Vehi_Sum!C212/$F212</f>
        <v>3.4828918822515193E-4</v>
      </c>
      <c r="I212" s="369">
        <f ca="1">Vehi_Sum!D212/$F212</f>
        <v>2.7531492605372358E-3</v>
      </c>
      <c r="J212" s="746">
        <f ca="1">Vehi_Sum!E212/$F212</f>
        <v>0.99491499357678381</v>
      </c>
    </row>
    <row r="213" spans="1:26">
      <c r="A213" s="230" t="s">
        <v>891</v>
      </c>
      <c r="B213" s="498">
        <f ca="1">Vehi_Comp_Sum!H196</f>
        <v>117.15686417506244</v>
      </c>
      <c r="C213" s="496">
        <f>Vehi_ADR!J128</f>
        <v>41.171382071924583</v>
      </c>
      <c r="D213" s="496">
        <f ca="1">Battery_Sum!H249</f>
        <v>181.17775578534324</v>
      </c>
      <c r="E213" s="496">
        <f>Vehi_Fluids!F127</f>
        <v>8.7030176324234159</v>
      </c>
      <c r="F213" s="497">
        <f t="shared" ca="1" si="41"/>
        <v>348.20901966475367</v>
      </c>
      <c r="G213" s="369">
        <f ca="1">Vehi_Sum!B213/$F213</f>
        <v>0.33645556995582115</v>
      </c>
      <c r="H213" s="369">
        <f ca="1">Vehi_Sum!C213/$F213</f>
        <v>0.11823755200701949</v>
      </c>
      <c r="I213" s="369">
        <f ca="1">Vehi_Sum!D213/$F213</f>
        <v>0.52031321865176361</v>
      </c>
      <c r="J213" s="746">
        <f ca="1">Vehi_Sum!E213/$F213</f>
        <v>2.4993659385395727E-2</v>
      </c>
    </row>
    <row r="214" spans="1:26">
      <c r="A214" s="230" t="s">
        <v>892</v>
      </c>
      <c r="B214" s="498">
        <f ca="1">Vehi_Comp_Sum!H197</f>
        <v>224.50763770722523</v>
      </c>
      <c r="C214" s="496">
        <f>Vehi_ADR!J129</f>
        <v>95.620028716881123</v>
      </c>
      <c r="D214" s="496">
        <f ca="1">Battery_Sum!H250</f>
        <v>431.40872532501345</v>
      </c>
      <c r="E214" s="496">
        <f>Vehi_Fluids!F128</f>
        <v>18.72174064540371</v>
      </c>
      <c r="F214" s="497">
        <f t="shared" ca="1" si="41"/>
        <v>770.25813239452339</v>
      </c>
      <c r="G214" s="369">
        <f ca="1">Vehi_Sum!B214/$F214</f>
        <v>0.29147064894893343</v>
      </c>
      <c r="H214" s="369">
        <f ca="1">Vehi_Sum!C214/$F214</f>
        <v>0.12414023909052985</v>
      </c>
      <c r="I214" s="369">
        <f ca="1">Vehi_Sum!D214/$F214</f>
        <v>0.56008331127109412</v>
      </c>
      <c r="J214" s="746">
        <f ca="1">Vehi_Sum!E214/$F214</f>
        <v>2.4305800689442773E-2</v>
      </c>
    </row>
    <row r="215" spans="1:26">
      <c r="A215" s="230" t="s">
        <v>893</v>
      </c>
      <c r="B215" s="498">
        <f ca="1">Vehi_Comp_Sum!H198</f>
        <v>23.54828834478575</v>
      </c>
      <c r="C215" s="496">
        <f>Vehi_ADR!J130</f>
        <v>10.440968312981976</v>
      </c>
      <c r="D215" s="496">
        <f ca="1">Battery_Sum!H251</f>
        <v>46.559255013635692</v>
      </c>
      <c r="E215" s="496">
        <f>Vehi_Fluids!F129</f>
        <v>2.68193185031223</v>
      </c>
      <c r="F215" s="497">
        <f t="shared" ca="1" si="41"/>
        <v>83.230443521715642</v>
      </c>
      <c r="G215" s="369">
        <f ca="1">Vehi_Sum!B215/$F215</f>
        <v>0.28292878601135618</v>
      </c>
      <c r="H215" s="369">
        <f ca="1">Vehi_Sum!C215/$F215</f>
        <v>0.12544650576393751</v>
      </c>
      <c r="I215" s="369">
        <f ca="1">Vehi_Sum!D215/$F215</f>
        <v>0.55940174104067975</v>
      </c>
      <c r="J215" s="746">
        <f ca="1">Vehi_Sum!E215/$F215</f>
        <v>3.2222967184026688E-2</v>
      </c>
    </row>
    <row r="216" spans="1:26">
      <c r="A216" s="230" t="s">
        <v>894</v>
      </c>
      <c r="B216" s="498">
        <f ca="1">Vehi_Comp_Sum!H199</f>
        <v>20.317114139143143</v>
      </c>
      <c r="C216" s="496">
        <f>Vehi_ADR!J131</f>
        <v>9.1844793924853896</v>
      </c>
      <c r="D216" s="496">
        <f ca="1">Battery_Sum!H252</f>
        <v>40.114178903929037</v>
      </c>
      <c r="E216" s="496">
        <f>Vehi_Fluids!F130</f>
        <v>1.8027600615403809</v>
      </c>
      <c r="F216" s="497">
        <f t="shared" ca="1" si="41"/>
        <v>71.418532497097956</v>
      </c>
      <c r="G216" s="369">
        <f ca="1">Vehi_Sum!B216/$F216</f>
        <v>0.28447958014215308</v>
      </c>
      <c r="H216" s="369">
        <f ca="1">Vehi_Sum!C216/$F216</f>
        <v>0.12860078569744618</v>
      </c>
      <c r="I216" s="369">
        <f ca="1">Vehi_Sum!D216/$F216</f>
        <v>0.56167744563442334</v>
      </c>
      <c r="J216" s="746">
        <f ca="1">Vehi_Sum!E216/$F216</f>
        <v>2.5242188525977271E-2</v>
      </c>
    </row>
    <row r="217" spans="1:26">
      <c r="A217" s="230" t="s">
        <v>895</v>
      </c>
      <c r="B217" s="498">
        <f ca="1">Vehi_Comp_Sum!H200</f>
        <v>211.55998323219251</v>
      </c>
      <c r="C217" s="496">
        <f>Vehi_ADR!J132</f>
        <v>77.903979866860453</v>
      </c>
      <c r="D217" s="496">
        <f ca="1">Battery_Sum!H253</f>
        <v>383.10418720322787</v>
      </c>
      <c r="E217" s="496">
        <f>Vehi_Fluids!F131</f>
        <v>26.127716033425571</v>
      </c>
      <c r="F217" s="497">
        <f t="shared" ca="1" si="41"/>
        <v>698.69586633570646</v>
      </c>
      <c r="G217" s="369">
        <f ca="1">Vehi_Sum!B217/$F217</f>
        <v>0.30279266477088768</v>
      </c>
      <c r="H217" s="369">
        <f ca="1">Vehi_Sum!C217/$F217</f>
        <v>0.11149912804755235</v>
      </c>
      <c r="I217" s="369">
        <f ca="1">Vehi_Sum!D217/$F217</f>
        <v>0.54831322992135123</v>
      </c>
      <c r="J217" s="746">
        <f ca="1">Vehi_Sum!E217/$F217</f>
        <v>3.7394977260208719E-2</v>
      </c>
    </row>
    <row r="218" spans="1:26">
      <c r="A218" s="661" t="s">
        <v>896</v>
      </c>
      <c r="B218" s="498">
        <f ca="1">Vehi_Comp_Sum!H201</f>
        <v>1.1827882944210903</v>
      </c>
      <c r="C218" s="496">
        <f>Vehi_ADR!J133</f>
        <v>0.48156408344236989</v>
      </c>
      <c r="D218" s="496">
        <f ca="1">Battery_Sum!H254</f>
        <v>2.2933848895670614</v>
      </c>
      <c r="E218" s="496">
        <f>Vehi_Fluids!F132</f>
        <v>0.12826624110914431</v>
      </c>
      <c r="F218" s="497">
        <f ca="1">SUM(B218:E218)</f>
        <v>4.0860035085396662</v>
      </c>
      <c r="G218" s="369">
        <f ca="1">Vehi_Sum!B218/$F218</f>
        <v>0.28947314703697302</v>
      </c>
      <c r="H218" s="369">
        <f ca="1">Vehi_Sum!C218/$F218</f>
        <v>0.11785699215282379</v>
      </c>
      <c r="I218" s="369">
        <f ca="1">Vehi_Sum!D218/$F218</f>
        <v>0.56127824774842516</v>
      </c>
      <c r="J218" s="746">
        <f ca="1">Vehi_Sum!E218/$F218</f>
        <v>3.139161306177795E-2</v>
      </c>
    </row>
    <row r="219" spans="1:26">
      <c r="A219" s="897" t="s">
        <v>897</v>
      </c>
      <c r="B219" s="501">
        <f ca="1">Vehi_Comp_Sum!H202</f>
        <v>4.7812707820750822</v>
      </c>
      <c r="C219" s="499">
        <f>Vehi_ADR!J134</f>
        <v>2.6308995653983809</v>
      </c>
      <c r="D219" s="499">
        <f ca="1">Battery_Sum!H255</f>
        <v>8.599682747870844</v>
      </c>
      <c r="E219" s="499">
        <f>Vehi_Fluids!F133</f>
        <v>0.26424515284277039</v>
      </c>
      <c r="F219" s="500">
        <f ca="1">SUM(B219:E219)</f>
        <v>16.276098248187079</v>
      </c>
      <c r="G219" s="426">
        <f ca="1">Vehi_Sum!B219/$F219</f>
        <v>0.29376025563176028</v>
      </c>
      <c r="H219" s="426">
        <f ca="1">Vehi_Sum!C219/$F219</f>
        <v>0.161641907371223</v>
      </c>
      <c r="I219" s="426">
        <f ca="1">Vehi_Sum!D219/$F219</f>
        <v>0.5283626712457774</v>
      </c>
      <c r="J219" s="747">
        <f ca="1">Vehi_Sum!E219/$F219</f>
        <v>1.623516575123915E-2</v>
      </c>
    </row>
    <row r="221" spans="1:26">
      <c r="A221" s="3" t="s">
        <v>1903</v>
      </c>
    </row>
    <row r="222" spans="1:26">
      <c r="A222" s="178"/>
      <c r="B222" s="2984" t="s">
        <v>1875</v>
      </c>
      <c r="C222" s="2985"/>
      <c r="D222" s="2985"/>
      <c r="E222" s="2985"/>
      <c r="F222" s="3004"/>
      <c r="G222" s="2985" t="s">
        <v>1890</v>
      </c>
      <c r="H222" s="2985"/>
      <c r="I222" s="2985"/>
      <c r="J222" s="3004"/>
    </row>
    <row r="223" spans="1:26">
      <c r="A223" s="539"/>
      <c r="B223" s="1725" t="s">
        <v>1891</v>
      </c>
      <c r="C223" s="1726" t="s">
        <v>1892</v>
      </c>
      <c r="D223" s="1726" t="s">
        <v>1893</v>
      </c>
      <c r="E223" s="1726" t="s">
        <v>1418</v>
      </c>
      <c r="F223" s="1727" t="s">
        <v>1894</v>
      </c>
      <c r="G223" s="1726" t="s">
        <v>1891</v>
      </c>
      <c r="H223" s="1726" t="s">
        <v>1892</v>
      </c>
      <c r="I223" s="1726" t="s">
        <v>1893</v>
      </c>
      <c r="J223" s="1727" t="s">
        <v>1418</v>
      </c>
    </row>
    <row r="224" spans="1:26">
      <c r="A224" s="95" t="s">
        <v>876</v>
      </c>
      <c r="B224" s="498">
        <f ca="1">Vehi_Comp_Sum!I174</f>
        <v>94.209572374227363</v>
      </c>
      <c r="C224" s="496">
        <f>Vehi_ADR!J106</f>
        <v>14.096115653906098</v>
      </c>
      <c r="D224" s="496">
        <f ca="1">Battery_Sum!I227</f>
        <v>61.620362923719917</v>
      </c>
      <c r="E224" s="496">
        <f>Vehi_Fluids!F105</f>
        <v>2.7912189918497425</v>
      </c>
      <c r="F224" s="497">
        <f ca="1">SUM(B224:E224)</f>
        <v>172.71726994370312</v>
      </c>
      <c r="G224" s="369">
        <f ca="1">Vehi_Sum!B224/$F224</f>
        <v>0.54545542785000478</v>
      </c>
      <c r="H224" s="369">
        <f ca="1">Vehi_Sum!C224/$F224</f>
        <v>8.1613816953572171E-2</v>
      </c>
      <c r="I224" s="369">
        <f ca="1">Vehi_Sum!D224/$F224</f>
        <v>0.35677013042068673</v>
      </c>
      <c r="J224" s="746">
        <f ca="1">Vehi_Sum!E224/$F224</f>
        <v>1.6160624775736297E-2</v>
      </c>
    </row>
    <row r="225" spans="1:10">
      <c r="A225" s="95" t="s">
        <v>877</v>
      </c>
      <c r="B225" s="498">
        <f ca="1">Vehi_Comp_Sum!I175</f>
        <v>84.110273857477978</v>
      </c>
      <c r="C225" s="496">
        <f>Vehi_ADR!J107</f>
        <v>12.373726900986338</v>
      </c>
      <c r="D225" s="496">
        <f ca="1">Battery_Sum!I228</f>
        <v>54.989833675307871</v>
      </c>
      <c r="E225" s="496">
        <f>Vehi_Fluids!F106</f>
        <v>2.7365393962143338</v>
      </c>
      <c r="F225" s="497">
        <f ca="1">SUM(B225:E225)</f>
        <v>154.21037382998654</v>
      </c>
      <c r="G225" s="369">
        <f ca="1">Vehi_Sum!B225/$F225</f>
        <v>0.545425523384099</v>
      </c>
      <c r="H225" s="369">
        <f ca="1">Vehi_Sum!C225/$F225</f>
        <v>8.0239264024014961E-2</v>
      </c>
      <c r="I225" s="369">
        <f ca="1">Vehi_Sum!D225/$F225</f>
        <v>0.35658971773152515</v>
      </c>
      <c r="J225" s="746">
        <f ca="1">Vehi_Sum!E225/$F225</f>
        <v>1.7745494860360735E-2</v>
      </c>
    </row>
    <row r="226" spans="1:10">
      <c r="A226" s="95" t="s">
        <v>442</v>
      </c>
      <c r="B226" s="498">
        <f ca="1">Vehi_Comp_Sum!I176</f>
        <v>14.952061560552171</v>
      </c>
      <c r="C226" s="496">
        <f>Vehi_ADR!J108</f>
        <v>2.2768602194752541</v>
      </c>
      <c r="D226" s="496">
        <f ca="1">Battery_Sum!I229</f>
        <v>14.0277254306011</v>
      </c>
      <c r="E226" s="496">
        <f>Vehi_Fluids!F107</f>
        <v>7.8223251390751244E-2</v>
      </c>
      <c r="F226" s="497">
        <f ca="1">SUM(B226:E226)</f>
        <v>31.334870462019271</v>
      </c>
      <c r="G226" s="369">
        <f ca="1">Vehi_Sum!B226/$F226</f>
        <v>0.47717004538682989</v>
      </c>
      <c r="H226" s="369">
        <f ca="1">Vehi_Sum!C226/$F226</f>
        <v>7.2662187074780379E-2</v>
      </c>
      <c r="I226" s="369">
        <f ca="1">Vehi_Sum!D226/$F226</f>
        <v>0.44767140325676424</v>
      </c>
      <c r="J226" s="746">
        <f ca="1">Vehi_Sum!E226/$F226</f>
        <v>2.4963642816256408E-3</v>
      </c>
    </row>
    <row r="227" spans="1:10">
      <c r="A227" s="95" t="s">
        <v>878</v>
      </c>
      <c r="B227" s="498">
        <f ca="1">B225-B226-B228</f>
        <v>49.758794172890084</v>
      </c>
      <c r="C227" s="496">
        <f>C225-C226-C228</f>
        <v>10.004591508550437</v>
      </c>
      <c r="D227" s="496">
        <f ca="1">D225-D226-D228</f>
        <v>32.867226725032381</v>
      </c>
      <c r="E227" s="496">
        <f>E225-E226-E228</f>
        <v>1.8717081422849038</v>
      </c>
      <c r="F227" s="497">
        <f ca="1">F225-F226-F228</f>
        <v>94.502320548757837</v>
      </c>
      <c r="G227" s="369">
        <f ca="1">Vehi_Sum!B227/$F227</f>
        <v>0.52653515685064445</v>
      </c>
      <c r="H227" s="369">
        <f ca="1">Vehi_Sum!C227/$F227</f>
        <v>0.10586609355680991</v>
      </c>
      <c r="I227" s="369">
        <f ca="1">Vehi_Sum!D227/$F227</f>
        <v>0.3477928005807514</v>
      </c>
      <c r="J227" s="746">
        <f ca="1">Vehi_Sum!E227/$F227</f>
        <v>1.9805949011793934E-2</v>
      </c>
    </row>
    <row r="228" spans="1:10">
      <c r="A228" s="95" t="s">
        <v>440</v>
      </c>
      <c r="B228" s="498">
        <f ca="1">Vehi_Comp_Sum!I178</f>
        <v>19.399418124035726</v>
      </c>
      <c r="C228" s="496">
        <f>Vehi_ADR!J110</f>
        <v>9.2275172960647592E-2</v>
      </c>
      <c r="D228" s="496">
        <f ca="1">Battery_Sum!I231</f>
        <v>8.0948815196743897</v>
      </c>
      <c r="E228" s="496">
        <f>Vehi_Fluids!F109</f>
        <v>0.7866080025386788</v>
      </c>
      <c r="F228" s="497">
        <f t="shared" ref="F228:F248" ca="1" si="46">SUM(B228:E228)</f>
        <v>28.37318281920944</v>
      </c>
      <c r="G228" s="369">
        <f ca="1">Vehi_Sum!B228/$F228</f>
        <v>0.68372372065716136</v>
      </c>
      <c r="H228" s="369">
        <f ca="1">Vehi_Sum!C228/$F228</f>
        <v>3.2521967503122248E-3</v>
      </c>
      <c r="I228" s="369">
        <f ca="1">Vehi_Sum!D228/$F228</f>
        <v>0.28530043919478532</v>
      </c>
      <c r="J228" s="746">
        <f ca="1">Vehi_Sum!E228/$F228</f>
        <v>2.7723643397741162E-2</v>
      </c>
    </row>
    <row r="229" spans="1:10">
      <c r="A229" s="477" t="s">
        <v>819</v>
      </c>
      <c r="B229" s="598">
        <f ca="1">Vehi_Comp_Sum!I179</f>
        <v>4936.9944122393372</v>
      </c>
      <c r="C229" s="535">
        <f>Vehi_ADR!J111</f>
        <v>459.06790690026895</v>
      </c>
      <c r="D229" s="535">
        <f ca="1">Battery_Sum!I232</f>
        <v>5203.549860535778</v>
      </c>
      <c r="E229" s="535">
        <f>Vehi_Fluids!F110</f>
        <v>49.107960876842185</v>
      </c>
      <c r="F229" s="599">
        <f ca="1">SUM(B229:E229)</f>
        <v>10648.720140552225</v>
      </c>
      <c r="G229" s="369">
        <f ca="1">Vehi_Sum!B229/$F229</f>
        <v>0.46362326618373434</v>
      </c>
      <c r="H229" s="369">
        <f ca="1">Vehi_Sum!C229/$F229</f>
        <v>4.3110148528747276E-2</v>
      </c>
      <c r="I229" s="369">
        <f ca="1">Vehi_Sum!D229/$F229</f>
        <v>0.48865495494803479</v>
      </c>
      <c r="J229" s="746">
        <f ca="1">Vehi_Sum!E229/$F229</f>
        <v>4.6116303394837391E-3</v>
      </c>
    </row>
    <row r="230" spans="1:10">
      <c r="A230" s="640" t="s">
        <v>889</v>
      </c>
      <c r="B230" s="898">
        <f ca="1">Vehi_Comp_Sum!I191</f>
        <v>4855281.1053986521</v>
      </c>
      <c r="C230" s="632">
        <f>Vehi_ADR!J123</f>
        <v>828288.3486815989</v>
      </c>
      <c r="D230" s="632">
        <f ca="1">Battery_Sum!I244</f>
        <v>3920927.537334573</v>
      </c>
      <c r="E230" s="632">
        <f>Vehi_Fluids!F122</f>
        <v>81548.311811566891</v>
      </c>
      <c r="F230" s="899">
        <f t="shared" ca="1" si="46"/>
        <v>9686045.3032263909</v>
      </c>
      <c r="G230" s="458">
        <f ca="1">Vehi_Sum!B230/$F230</f>
        <v>0.50126557882001377</v>
      </c>
      <c r="H230" s="458">
        <f ca="1">Vehi_Sum!C230/$F230</f>
        <v>8.5513573677556382E-2</v>
      </c>
      <c r="I230" s="458">
        <f ca="1">Vehi_Sum!D230/$F230</f>
        <v>0.40480169301175212</v>
      </c>
      <c r="J230" s="896">
        <f ca="1">Vehi_Sum!E230/$F230</f>
        <v>8.4191544906777795E-3</v>
      </c>
    </row>
    <row r="231" spans="1:10">
      <c r="A231" s="230" t="s">
        <v>1895</v>
      </c>
      <c r="B231" s="517">
        <f ca="1">Vehi_Comp_Sum!I192</f>
        <v>4876314.0333616771</v>
      </c>
      <c r="C231" s="246">
        <f>Vehi_ADR!J124</f>
        <v>834381.00943205075</v>
      </c>
      <c r="D231" s="246">
        <f ca="1">Battery_Sum!I245</f>
        <v>3927497.4259790438</v>
      </c>
      <c r="E231" s="246">
        <f>Vehi_Fluids!F123</f>
        <v>166772.74990950144</v>
      </c>
      <c r="F231" s="247">
        <f t="shared" ca="1" si="46"/>
        <v>9804965.2186822724</v>
      </c>
      <c r="G231" s="382">
        <f ca="1">Vehi_Sum!B231/$F231</f>
        <v>0.49733108936178605</v>
      </c>
      <c r="H231" s="382">
        <f ca="1">Vehi_Sum!C231/$F231</f>
        <v>8.5097804104621436E-2</v>
      </c>
      <c r="I231" s="382">
        <f ca="1">Vehi_Sum!D231/$F231</f>
        <v>0.40056209669113702</v>
      </c>
      <c r="J231" s="588">
        <f ca="1">Vehi_Sum!E231/$F231</f>
        <v>1.7009009842455583E-2</v>
      </c>
    </row>
    <row r="232" spans="1:10">
      <c r="A232" s="95" t="s">
        <v>887</v>
      </c>
      <c r="B232" s="498">
        <f ca="1">Vehi_Comp_Sum!I189</f>
        <v>14902.036168392748</v>
      </c>
      <c r="C232" s="496">
        <f>Vehi_ADR!J121</f>
        <v>2240.0809170636567</v>
      </c>
      <c r="D232" s="496">
        <f ca="1">Battery_Sum!I242</f>
        <v>9153.0217337974773</v>
      </c>
      <c r="E232" s="496">
        <f>Vehi_Fluids!F120</f>
        <v>501.16215421510094</v>
      </c>
      <c r="F232" s="497">
        <f t="shared" ca="1" si="46"/>
        <v>26796.30097346898</v>
      </c>
      <c r="G232" s="369">
        <f ca="1">Vehi_Sum!B232/$F232</f>
        <v>0.55612288364529328</v>
      </c>
      <c r="H232" s="369">
        <f ca="1">Vehi_Sum!C232/$F232</f>
        <v>8.3596647137288121E-2</v>
      </c>
      <c r="I232" s="369">
        <f ca="1">Vehi_Sum!D232/$F232</f>
        <v>0.34157780743170052</v>
      </c>
      <c r="J232" s="746">
        <f ca="1">Vehi_Sum!E232/$F232</f>
        <v>1.870266178571817E-2</v>
      </c>
    </row>
    <row r="233" spans="1:10">
      <c r="A233" s="95" t="s">
        <v>888</v>
      </c>
      <c r="B233" s="498">
        <f ca="1">Vehi_Comp_Sum!I190</f>
        <v>136.28618907720127</v>
      </c>
      <c r="C233" s="496">
        <f>Vehi_ADR!J122</f>
        <v>21.36502696769179</v>
      </c>
      <c r="D233" s="496">
        <f ca="1">Battery_Sum!I243</f>
        <v>128.68081643837911</v>
      </c>
      <c r="E233" s="496">
        <f>Vehi_Fluids!F121</f>
        <v>4.1701931336438403</v>
      </c>
      <c r="F233" s="497">
        <f t="shared" ca="1" si="46"/>
        <v>290.50222561691606</v>
      </c>
      <c r="G233" s="369">
        <f ca="1">Vehi_Sum!B233/$F233</f>
        <v>0.46913991377443431</v>
      </c>
      <c r="H233" s="369">
        <f ca="1">Vehi_Sum!C233/$F233</f>
        <v>7.3545140393746072E-2</v>
      </c>
      <c r="I233" s="369">
        <f ca="1">Vehi_Sum!D233/$F233</f>
        <v>0.44295982987775767</v>
      </c>
      <c r="J233" s="746">
        <f ca="1">Vehi_Sum!E233/$F233</f>
        <v>1.4355115954061758E-2</v>
      </c>
    </row>
    <row r="234" spans="1:10">
      <c r="A234" s="589" t="s">
        <v>1896</v>
      </c>
      <c r="B234" s="517">
        <f ca="1">Vehi_Comp_Sum!I193</f>
        <v>5511994.4731196798</v>
      </c>
      <c r="C234" s="246">
        <f>Vehi_ADR!J125</f>
        <v>907245.16909039882</v>
      </c>
      <c r="D234" s="246">
        <f ca="1">Battery_Sum!I246</f>
        <v>4265787.08393656</v>
      </c>
      <c r="E234" s="246">
        <f>Vehi_Fluids!F124</f>
        <v>182912.71571637009</v>
      </c>
      <c r="F234" s="247">
        <f t="shared" ca="1" si="46"/>
        <v>10867939.441863008</v>
      </c>
      <c r="G234" s="368">
        <f ca="1">Vehi_Sum!B234/$F234</f>
        <v>0.50717935102652734</v>
      </c>
      <c r="H234" s="368">
        <f ca="1">Vehi_Sum!C234/$F234</f>
        <v>8.3479041629153275E-2</v>
      </c>
      <c r="I234" s="368">
        <f ca="1">Vehi_Sum!D234/$F234</f>
        <v>0.3925111201397446</v>
      </c>
      <c r="J234" s="428">
        <f ca="1">Vehi_Sum!E234/$F234</f>
        <v>1.6830487204574886E-2</v>
      </c>
    </row>
    <row r="235" spans="1:10">
      <c r="A235" s="393" t="s">
        <v>879</v>
      </c>
      <c r="B235" s="508">
        <f ca="1">Vehi_Comp_Sum!I181</f>
        <v>2454.3047967574666</v>
      </c>
      <c r="C235" s="506">
        <f>Vehi_ADR!J113</f>
        <v>1724.21746234342</v>
      </c>
      <c r="D235" s="506">
        <f ca="1">Battery_Sum!I234</f>
        <v>758.35547417582848</v>
      </c>
      <c r="E235" s="506">
        <f>Vehi_Fluids!F112</f>
        <v>27284.451108767778</v>
      </c>
      <c r="F235" s="507">
        <f t="shared" ca="1" si="46"/>
        <v>32221.328842044495</v>
      </c>
      <c r="G235" s="458">
        <f ca="1">Vehi_Sum!B235/$F235</f>
        <v>7.6170191763007905E-2</v>
      </c>
      <c r="H235" s="458">
        <f ca="1">Vehi_Sum!C235/$F235</f>
        <v>5.351168075022246E-2</v>
      </c>
      <c r="I235" s="458">
        <f ca="1">Vehi_Sum!D235/$F235</f>
        <v>2.3535822432818994E-2</v>
      </c>
      <c r="J235" s="896">
        <f ca="1">Vehi_Sum!E235/$F235</f>
        <v>0.84678230505395058</v>
      </c>
    </row>
    <row r="236" spans="1:10">
      <c r="A236" s="230" t="s">
        <v>880</v>
      </c>
      <c r="B236" s="498">
        <f ca="1">Vehi_Comp_Sum!I182</f>
        <v>8516.8860083561576</v>
      </c>
      <c r="C236" s="496">
        <f>Vehi_ADR!J114</f>
        <v>457.44978330654908</v>
      </c>
      <c r="D236" s="496">
        <f ca="1">Battery_Sum!I235</f>
        <v>2676.7665378513466</v>
      </c>
      <c r="E236" s="496">
        <f>Vehi_Fluids!F113</f>
        <v>119.57196932648242</v>
      </c>
      <c r="F236" s="497">
        <f t="shared" ca="1" si="46"/>
        <v>11770.674298840535</v>
      </c>
      <c r="G236" s="369">
        <f ca="1">Vehi_Sum!B236/$F236</f>
        <v>0.72356823340147214</v>
      </c>
      <c r="H236" s="369">
        <f ca="1">Vehi_Sum!C236/$F236</f>
        <v>3.8863515521078515E-2</v>
      </c>
      <c r="I236" s="369">
        <f ca="1">Vehi_Sum!D236/$F236</f>
        <v>0.22740978722986332</v>
      </c>
      <c r="J236" s="746">
        <f ca="1">Vehi_Sum!E236/$F236</f>
        <v>1.0158463847586098E-2</v>
      </c>
    </row>
    <row r="237" spans="1:10">
      <c r="A237" s="230" t="s">
        <v>881</v>
      </c>
      <c r="B237" s="498">
        <f ca="1">Vehi_Comp_Sum!I183</f>
        <v>5233.1138877422727</v>
      </c>
      <c r="C237" s="496">
        <f>Vehi_ADR!J115</f>
        <v>725.01502646481504</v>
      </c>
      <c r="D237" s="496">
        <f ca="1">Battery_Sum!I236</f>
        <v>5128.4833811457684</v>
      </c>
      <c r="E237" s="496">
        <f>Vehi_Fluids!F114</f>
        <v>108.22926182592694</v>
      </c>
      <c r="F237" s="497">
        <f t="shared" ca="1" si="46"/>
        <v>11194.841557178783</v>
      </c>
      <c r="G237" s="369">
        <f ca="1">Vehi_Sum!B237/$F237</f>
        <v>0.46745761081240994</v>
      </c>
      <c r="H237" s="369">
        <f ca="1">Vehi_Sum!C237/$F237</f>
        <v>6.4763312884932547E-2</v>
      </c>
      <c r="I237" s="369">
        <f ca="1">Vehi_Sum!D237/$F237</f>
        <v>0.45811129661384864</v>
      </c>
      <c r="J237" s="746">
        <f ca="1">Vehi_Sum!E237/$F237</f>
        <v>9.6677796888089088E-3</v>
      </c>
    </row>
    <row r="238" spans="1:10">
      <c r="A238" s="230" t="s">
        <v>882</v>
      </c>
      <c r="B238" s="498">
        <f ca="1">Vehi_Comp_Sum!I184</f>
        <v>2629.6446359691963</v>
      </c>
      <c r="C238" s="496">
        <f>Vehi_ADR!J116</f>
        <v>131.06644114303808</v>
      </c>
      <c r="D238" s="496">
        <f ca="1">Battery_Sum!I237</f>
        <v>2750.9309133136094</v>
      </c>
      <c r="E238" s="496">
        <f>Vehi_Fluids!F115</f>
        <v>21.160078163559724</v>
      </c>
      <c r="F238" s="497">
        <f t="shared" ca="1" si="46"/>
        <v>5532.8020685894035</v>
      </c>
      <c r="G238" s="369">
        <f ca="1">Vehi_Sum!B238/$F238</f>
        <v>0.47528261509626502</v>
      </c>
      <c r="H238" s="369">
        <f ca="1">Vehi_Sum!C238/$F238</f>
        <v>2.3688980649989828E-2</v>
      </c>
      <c r="I238" s="369">
        <f ca="1">Vehi_Sum!D238/$F238</f>
        <v>0.49720392654764956</v>
      </c>
      <c r="J238" s="746">
        <f ca="1">Vehi_Sum!E238/$F238</f>
        <v>3.8244777060955876E-3</v>
      </c>
    </row>
    <row r="239" spans="1:10">
      <c r="A239" s="230" t="s">
        <v>883</v>
      </c>
      <c r="B239" s="498">
        <f ca="1">Vehi_Comp_Sum!I185</f>
        <v>876.74077997712891</v>
      </c>
      <c r="C239" s="496">
        <f>Vehi_ADR!J117</f>
        <v>80.733623309220008</v>
      </c>
      <c r="D239" s="496">
        <f ca="1">Battery_Sum!I238</f>
        <v>909.12844864834221</v>
      </c>
      <c r="E239" s="496">
        <f>Vehi_Fluids!F116</f>
        <v>8.0487274063768375</v>
      </c>
      <c r="F239" s="497">
        <f t="shared" ca="1" si="46"/>
        <v>1874.6515793410679</v>
      </c>
      <c r="G239" s="369">
        <f ca="1">Vehi_Sum!B239/$F239</f>
        <v>0.46768198935681671</v>
      </c>
      <c r="H239" s="369">
        <f ca="1">Vehi_Sum!C239/$F239</f>
        <v>4.3065935131048477E-2</v>
      </c>
      <c r="I239" s="369">
        <f ca="1">Vehi_Sum!D239/$F239</f>
        <v>0.48495862306738463</v>
      </c>
      <c r="J239" s="746">
        <f ca="1">Vehi_Sum!E239/$F239</f>
        <v>4.2934524447502563E-3</v>
      </c>
    </row>
    <row r="240" spans="1:10">
      <c r="A240" s="230" t="s">
        <v>884</v>
      </c>
      <c r="B240" s="498">
        <f ca="1">Vehi_Comp_Sum!I186</f>
        <v>19928.99059976844</v>
      </c>
      <c r="C240" s="496">
        <f>Vehi_ADR!J118</f>
        <v>324.00162905349237</v>
      </c>
      <c r="D240" s="496">
        <f ca="1">Battery_Sum!I239</f>
        <v>44424.964198971815</v>
      </c>
      <c r="E240" s="496">
        <f>Vehi_Fluids!F117</f>
        <v>246.18368794364392</v>
      </c>
      <c r="F240" s="497">
        <f t="shared" ca="1" si="46"/>
        <v>64924.140115737391</v>
      </c>
      <c r="G240" s="369">
        <f ca="1">Vehi_Sum!B240/$F240</f>
        <v>0.30695809854765749</v>
      </c>
      <c r="H240" s="369">
        <f ca="1">Vehi_Sum!C240/$F240</f>
        <v>4.9904646942710218E-3</v>
      </c>
      <c r="I240" s="369">
        <f ca="1">Vehi_Sum!D240/$F240</f>
        <v>0.68425957001166893</v>
      </c>
      <c r="J240" s="746">
        <f ca="1">Vehi_Sum!E240/$F240</f>
        <v>3.7918667464025423E-3</v>
      </c>
    </row>
    <row r="241" spans="1:10">
      <c r="A241" s="661" t="s">
        <v>885</v>
      </c>
      <c r="B241" s="498">
        <f ca="1">Vehi_Comp_Sum!I187</f>
        <v>36.376860707475572</v>
      </c>
      <c r="C241" s="496">
        <f>Vehi_ADR!J119</f>
        <v>5.4242394675900218</v>
      </c>
      <c r="D241" s="496">
        <f ca="1">Battery_Sum!I240</f>
        <v>40.345858727437488</v>
      </c>
      <c r="E241" s="496">
        <f>Vehi_Fluids!F118</f>
        <v>0.72803788047807971</v>
      </c>
      <c r="F241" s="497">
        <f ca="1">SUM(B241:E241)</f>
        <v>82.874996782981171</v>
      </c>
      <c r="G241" s="369">
        <f ca="1">Vehi_Sum!B241/$F241</f>
        <v>0.4389364961634093</v>
      </c>
      <c r="H241" s="369">
        <f ca="1">Vehi_Sum!C241/$F241</f>
        <v>6.5450855844906883E-2</v>
      </c>
      <c r="I241" s="369">
        <f ca="1">Vehi_Sum!D241/$F241</f>
        <v>0.48682787684551354</v>
      </c>
      <c r="J241" s="746">
        <f ca="1">Vehi_Sum!E241/$F241</f>
        <v>8.7847711461701821E-3</v>
      </c>
    </row>
    <row r="242" spans="1:10">
      <c r="A242" s="897" t="s">
        <v>886</v>
      </c>
      <c r="B242" s="501">
        <f ca="1">Vehi_Comp_Sum!I188</f>
        <v>81.812379258361801</v>
      </c>
      <c r="C242" s="499">
        <f>Vehi_ADR!J120</f>
        <v>17.458827230125763</v>
      </c>
      <c r="D242" s="499">
        <f ca="1">Battery_Sum!I241</f>
        <v>85.053290513443514</v>
      </c>
      <c r="E242" s="499">
        <f>Vehi_Fluids!F119</f>
        <v>1.3970106118851247</v>
      </c>
      <c r="F242" s="500">
        <f ca="1">SUM(B242:E242)</f>
        <v>185.72150761381621</v>
      </c>
      <c r="G242" s="426">
        <f ca="1">Vehi_Sum!B242/$F242</f>
        <v>0.44051106578609106</v>
      </c>
      <c r="H242" s="426">
        <f ca="1">Vehi_Sum!C242/$F242</f>
        <v>9.4005414097914436E-2</v>
      </c>
      <c r="I242" s="426">
        <f ca="1">Vehi_Sum!D242/$F242</f>
        <v>0.45796144779473147</v>
      </c>
      <c r="J242" s="747">
        <f ca="1">Vehi_Sum!E242/$F242</f>
        <v>7.5220723212630122E-3</v>
      </c>
    </row>
    <row r="243" spans="1:10">
      <c r="A243" s="230" t="s">
        <v>890</v>
      </c>
      <c r="B243" s="498">
        <f ca="1">Vehi_Comp_Sum!I195</f>
        <v>93.340188396895513</v>
      </c>
      <c r="C243" s="496">
        <f>Vehi_ADR!J127</f>
        <v>6.6802755568844958</v>
      </c>
      <c r="D243" s="496">
        <f ca="1">Battery_Sum!I248</f>
        <v>45.173669189290472</v>
      </c>
      <c r="E243" s="496">
        <f>Vehi_Fluids!F126</f>
        <v>19082.723602870992</v>
      </c>
      <c r="F243" s="497">
        <f t="shared" ca="1" si="46"/>
        <v>19227.917736014064</v>
      </c>
      <c r="G243" s="369">
        <f ca="1">Vehi_Sum!B243/$F243</f>
        <v>4.8544095974609094E-3</v>
      </c>
      <c r="H243" s="369">
        <f ca="1">Vehi_Sum!C243/$F243</f>
        <v>3.4742584447260659E-4</v>
      </c>
      <c r="I243" s="369">
        <f ca="1">Vehi_Sum!D243/$F243</f>
        <v>2.3493791584452113E-3</v>
      </c>
      <c r="J243" s="746">
        <f ca="1">Vehi_Sum!E243/$F243</f>
        <v>0.99244878539962122</v>
      </c>
    </row>
    <row r="244" spans="1:10">
      <c r="A244" s="230" t="s">
        <v>891</v>
      </c>
      <c r="B244" s="498">
        <f ca="1">Vehi_Comp_Sum!I196</f>
        <v>233.40888808863684</v>
      </c>
      <c r="C244" s="496">
        <f>Vehi_ADR!J128</f>
        <v>41.171382071924583</v>
      </c>
      <c r="D244" s="496">
        <f ca="1">Battery_Sum!I249</f>
        <v>155.13336756241858</v>
      </c>
      <c r="E244" s="496">
        <f>Vehi_Fluids!F127</f>
        <v>8.7030176324234159</v>
      </c>
      <c r="F244" s="497">
        <f t="shared" ca="1" si="46"/>
        <v>438.41665535540346</v>
      </c>
      <c r="G244" s="369">
        <f ca="1">Vehi_Sum!B244/$F244</f>
        <v>0.53239055870134178</v>
      </c>
      <c r="H244" s="369">
        <f ca="1">Vehi_Sum!C244/$F244</f>
        <v>9.3909256340977534E-2</v>
      </c>
      <c r="I244" s="369">
        <f ca="1">Vehi_Sum!D244/$F244</f>
        <v>0.35384916532575472</v>
      </c>
      <c r="J244" s="746">
        <f ca="1">Vehi_Sum!E244/$F244</f>
        <v>1.9851019631925922E-2</v>
      </c>
    </row>
    <row r="245" spans="1:10">
      <c r="A245" s="230" t="s">
        <v>892</v>
      </c>
      <c r="B245" s="498">
        <f ca="1">Vehi_Comp_Sum!I197</f>
        <v>459.69928613803745</v>
      </c>
      <c r="C245" s="496">
        <f>Vehi_ADR!J129</f>
        <v>95.620028716881123</v>
      </c>
      <c r="D245" s="496">
        <f ca="1">Battery_Sum!I250</f>
        <v>369.74398478344199</v>
      </c>
      <c r="E245" s="496">
        <f>Vehi_Fluids!F128</f>
        <v>18.72174064540371</v>
      </c>
      <c r="F245" s="497">
        <f t="shared" ca="1" si="46"/>
        <v>943.78504028376426</v>
      </c>
      <c r="G245" s="369">
        <f ca="1">Vehi_Sum!B245/$F245</f>
        <v>0.48708049663493441</v>
      </c>
      <c r="H245" s="369">
        <f ca="1">Vehi_Sum!C245/$F245</f>
        <v>0.10131547400680499</v>
      </c>
      <c r="I245" s="369">
        <f ca="1">Vehi_Sum!D245/$F245</f>
        <v>0.39176715989508848</v>
      </c>
      <c r="J245" s="746">
        <f ca="1">Vehi_Sum!E245/$F245</f>
        <v>1.983686946317216E-2</v>
      </c>
    </row>
    <row r="246" spans="1:10">
      <c r="A246" s="230" t="s">
        <v>893</v>
      </c>
      <c r="B246" s="498">
        <f ca="1">Vehi_Comp_Sum!I198</f>
        <v>50.976452237412957</v>
      </c>
      <c r="C246" s="496">
        <f>Vehi_ADR!J130</f>
        <v>10.440968312981976</v>
      </c>
      <c r="D246" s="496">
        <f ca="1">Battery_Sum!I251</f>
        <v>39.894082870199057</v>
      </c>
      <c r="E246" s="496">
        <f>Vehi_Fluids!F129</f>
        <v>2.68193185031223</v>
      </c>
      <c r="F246" s="497">
        <f t="shared" ca="1" si="46"/>
        <v>103.99343527090622</v>
      </c>
      <c r="G246" s="369">
        <f ca="1">Vehi_Sum!B246/$F246</f>
        <v>0.49018913650287321</v>
      </c>
      <c r="H246" s="369">
        <f ca="1">Vehi_Sum!C246/$F246</f>
        <v>0.10040026359147498</v>
      </c>
      <c r="I246" s="369">
        <f ca="1">Vehi_Sum!D246/$F246</f>
        <v>0.38362116576179733</v>
      </c>
      <c r="J246" s="746">
        <f ca="1">Vehi_Sum!E246/$F246</f>
        <v>2.5789434143854484E-2</v>
      </c>
    </row>
    <row r="247" spans="1:10">
      <c r="A247" s="230" t="s">
        <v>894</v>
      </c>
      <c r="B247" s="498">
        <f ca="1">Vehi_Comp_Sum!I199</f>
        <v>44.343262634596101</v>
      </c>
      <c r="C247" s="496">
        <f>Vehi_ADR!J131</f>
        <v>9.1844793924853896</v>
      </c>
      <c r="D247" s="496">
        <f ca="1">Battery_Sum!I252</f>
        <v>34.372483388293844</v>
      </c>
      <c r="E247" s="496">
        <f>Vehi_Fluids!F130</f>
        <v>1.8027600615403809</v>
      </c>
      <c r="F247" s="497">
        <f t="shared" ca="1" si="46"/>
        <v>89.702985476915714</v>
      </c>
      <c r="G247" s="369">
        <f ca="1">Vehi_Sum!B247/$F247</f>
        <v>0.49433430112543419</v>
      </c>
      <c r="H247" s="369">
        <f ca="1">Vehi_Sum!C247/$F247</f>
        <v>0.10238766685027374</v>
      </c>
      <c r="I247" s="369">
        <f ca="1">Vehi_Sum!D247/$F247</f>
        <v>0.38318104136165348</v>
      </c>
      <c r="J247" s="746">
        <f ca="1">Vehi_Sum!E247/$F247</f>
        <v>2.0096990662638599E-2</v>
      </c>
    </row>
    <row r="248" spans="1:10">
      <c r="A248" s="230" t="s">
        <v>895</v>
      </c>
      <c r="B248" s="498">
        <f ca="1">Vehi_Comp_Sum!I200</f>
        <v>382.20745383266069</v>
      </c>
      <c r="C248" s="496">
        <f>Vehi_ADR!J132</f>
        <v>77.903979866860453</v>
      </c>
      <c r="D248" s="496">
        <f ca="1">Battery_Sum!I253</f>
        <v>328.01044738652786</v>
      </c>
      <c r="E248" s="496">
        <f>Vehi_Fluids!F131</f>
        <v>26.127716033425571</v>
      </c>
      <c r="F248" s="497">
        <f t="shared" ca="1" si="46"/>
        <v>814.24959711947463</v>
      </c>
      <c r="G248" s="369">
        <f ca="1">Vehi_Sum!B248/$F248</f>
        <v>0.46939839477326689</v>
      </c>
      <c r="H248" s="369">
        <f ca="1">Vehi_Sum!C248/$F248</f>
        <v>9.5675797866473636E-2</v>
      </c>
      <c r="I248" s="369">
        <f ca="1">Vehi_Sum!D248/$F248</f>
        <v>0.40283771529873902</v>
      </c>
      <c r="J248" s="746">
        <f ca="1">Vehi_Sum!E248/$F248</f>
        <v>3.2088092061520364E-2</v>
      </c>
    </row>
    <row r="249" spans="1:10">
      <c r="A249" s="661" t="s">
        <v>896</v>
      </c>
      <c r="B249" s="498">
        <f ca="1">Vehi_Comp_Sum!I201</f>
        <v>2.6499310980948385</v>
      </c>
      <c r="C249" s="496">
        <f>Vehi_ADR!J133</f>
        <v>0.48156408344236989</v>
      </c>
      <c r="D249" s="496">
        <f ca="1">Battery_Sum!I254</f>
        <v>1.964822653533705</v>
      </c>
      <c r="E249" s="496">
        <f>Vehi_Fluids!F132</f>
        <v>0.12826624110914431</v>
      </c>
      <c r="F249" s="497">
        <f ca="1">SUM(B249:E249)</f>
        <v>5.2245840761800579</v>
      </c>
      <c r="G249" s="369">
        <f ca="1">Vehi_Sum!B249/$F249</f>
        <v>0.50720422132288268</v>
      </c>
      <c r="H249" s="369">
        <f ca="1">Vehi_Sum!C249/$F249</f>
        <v>9.2172712013176047E-2</v>
      </c>
      <c r="I249" s="369">
        <f ca="1">Vehi_Sum!D249/$F249</f>
        <v>0.37607254948613639</v>
      </c>
      <c r="J249" s="746">
        <f ca="1">Vehi_Sum!E249/$F249</f>
        <v>2.4550517177804872E-2</v>
      </c>
    </row>
    <row r="250" spans="1:10">
      <c r="A250" s="897" t="s">
        <v>897</v>
      </c>
      <c r="B250" s="501">
        <f ca="1">Vehi_Comp_Sum!I202</f>
        <v>10.349300517505055</v>
      </c>
      <c r="C250" s="499">
        <f>Vehi_ADR!J134</f>
        <v>2.6308995653983809</v>
      </c>
      <c r="D250" s="499">
        <f ca="1">Battery_Sum!I255</f>
        <v>7.3677716457042672</v>
      </c>
      <c r="E250" s="499">
        <f>Vehi_Fluids!F133</f>
        <v>0.26424515284277039</v>
      </c>
      <c r="F250" s="500">
        <f ca="1">SUM(B250:E250)</f>
        <v>20.612216881450475</v>
      </c>
      <c r="G250" s="426">
        <f ca="1">Vehi_Sum!B250/$F250</f>
        <v>0.50209546003849237</v>
      </c>
      <c r="H250" s="426">
        <f ca="1">Vehi_Sum!C250/$F250</f>
        <v>0.12763787517518327</v>
      </c>
      <c r="I250" s="426">
        <f ca="1">Vehi_Sum!D250/$F250</f>
        <v>0.35744683301555674</v>
      </c>
      <c r="J250" s="747">
        <f ca="1">Vehi_Sum!E250/$F250</f>
        <v>1.2819831770767568E-2</v>
      </c>
    </row>
    <row r="252" spans="1:10">
      <c r="A252" s="3" t="s">
        <v>1904</v>
      </c>
    </row>
    <row r="253" spans="1:10">
      <c r="A253" s="178"/>
      <c r="B253" s="2984" t="s">
        <v>1875</v>
      </c>
      <c r="C253" s="2985"/>
      <c r="D253" s="2985"/>
      <c r="E253" s="2985"/>
      <c r="F253" s="3004"/>
      <c r="G253" s="2985" t="s">
        <v>1890</v>
      </c>
      <c r="H253" s="2985"/>
      <c r="I253" s="2985"/>
      <c r="J253" s="3004"/>
    </row>
    <row r="254" spans="1:10">
      <c r="A254" s="539"/>
      <c r="B254" s="1725" t="s">
        <v>1891</v>
      </c>
      <c r="C254" s="1726" t="s">
        <v>1892</v>
      </c>
      <c r="D254" s="1726" t="s">
        <v>1893</v>
      </c>
      <c r="E254" s="1726" t="s">
        <v>1418</v>
      </c>
      <c r="F254" s="1727" t="s">
        <v>1894</v>
      </c>
      <c r="G254" s="1726" t="s">
        <v>1891</v>
      </c>
      <c r="H254" s="1726" t="s">
        <v>1892</v>
      </c>
      <c r="I254" s="1726" t="s">
        <v>1893</v>
      </c>
      <c r="J254" s="1727" t="s">
        <v>1418</v>
      </c>
    </row>
    <row r="255" spans="1:10">
      <c r="A255" s="95" t="s">
        <v>876</v>
      </c>
      <c r="B255" s="498">
        <f ca="1">Vehi_Comp_Sum!J174</f>
        <v>96.139966167784422</v>
      </c>
      <c r="C255" s="496">
        <f>Vehi_ADR!J106</f>
        <v>14.096115653906098</v>
      </c>
      <c r="D255" s="496">
        <f ca="1">Battery_Sum!J227</f>
        <v>4.8936242432213604</v>
      </c>
      <c r="E255" s="496">
        <f>Vehi_Fluids!G105</f>
        <v>2.7912189918497425</v>
      </c>
      <c r="F255" s="497">
        <f ca="1">SUM(B255:E255)</f>
        <v>117.92092505676163</v>
      </c>
      <c r="G255" s="369">
        <f t="shared" ref="G255:G281" ca="1" si="47">B255/$F255</f>
        <v>0.81529182476737805</v>
      </c>
      <c r="H255" s="369">
        <f t="shared" ref="H255:H281" ca="1" si="48">C255/$F255</f>
        <v>0.11953871331250909</v>
      </c>
      <c r="I255" s="369">
        <f t="shared" ref="I255:I281" ca="1" si="49">D255/$F255</f>
        <v>4.149920161214643E-2</v>
      </c>
      <c r="J255" s="746">
        <f t="shared" ref="J255:J281" ca="1" si="50">E255/$F255</f>
        <v>2.3670260307966377E-2</v>
      </c>
    </row>
    <row r="256" spans="1:10">
      <c r="A256" s="95" t="s">
        <v>877</v>
      </c>
      <c r="B256" s="498">
        <f ca="1">Vehi_Comp_Sum!J175</f>
        <v>85.597386521145552</v>
      </c>
      <c r="C256" s="496">
        <f>Vehi_ADR!J107</f>
        <v>12.373726900986338</v>
      </c>
      <c r="D256" s="496">
        <f ca="1">Battery_Sum!J228</f>
        <v>4.3244673373216438</v>
      </c>
      <c r="E256" s="496">
        <f>Vehi_Fluids!G106</f>
        <v>2.7365393962143338</v>
      </c>
      <c r="F256" s="497">
        <f t="shared" ref="F256:F279" ca="1" si="51">SUM(B256:E256)</f>
        <v>105.03212015566788</v>
      </c>
      <c r="G256" s="369">
        <f t="shared" ca="1" si="47"/>
        <v>0.81496390241653549</v>
      </c>
      <c r="H256" s="369">
        <f t="shared" ca="1" si="48"/>
        <v>0.1178089796021185</v>
      </c>
      <c r="I256" s="369">
        <f t="shared" ca="1" si="49"/>
        <v>4.1172808193458914E-2</v>
      </c>
      <c r="J256" s="746">
        <f t="shared" ca="1" si="50"/>
        <v>2.605430978788693E-2</v>
      </c>
    </row>
    <row r="257" spans="1:10">
      <c r="A257" s="95" t="s">
        <v>442</v>
      </c>
      <c r="B257" s="498">
        <f ca="1">Vehi_Comp_Sum!J176</f>
        <v>22.309488218298121</v>
      </c>
      <c r="C257" s="496">
        <f>Vehi_ADR!J108</f>
        <v>2.2768602194752541</v>
      </c>
      <c r="D257" s="496">
        <f ca="1">Battery_Sum!J229</f>
        <v>1.3483329565046722</v>
      </c>
      <c r="E257" s="496">
        <f>Vehi_Fluids!G107</f>
        <v>7.8223251390751244E-2</v>
      </c>
      <c r="F257" s="497">
        <f ca="1">SUM(B257:E257)</f>
        <v>26.012904645668797</v>
      </c>
      <c r="G257" s="369">
        <f t="shared" ca="1" si="47"/>
        <v>0.85763156872266844</v>
      </c>
      <c r="H257" s="369">
        <f t="shared" ca="1" si="48"/>
        <v>8.7528103858034792E-2</v>
      </c>
      <c r="I257" s="369">
        <f t="shared" ca="1" si="49"/>
        <v>5.1833233345941337E-2</v>
      </c>
      <c r="J257" s="746">
        <f t="shared" ca="1" si="50"/>
        <v>3.0070940733554559E-3</v>
      </c>
    </row>
    <row r="258" spans="1:10">
      <c r="A258" s="95" t="s">
        <v>878</v>
      </c>
      <c r="B258" s="498">
        <f ca="1">B256-B257-B259</f>
        <v>45.624361805422552</v>
      </c>
      <c r="C258" s="496">
        <f>C256-C257-C259</f>
        <v>10.004591508550437</v>
      </c>
      <c r="D258" s="496">
        <f ca="1">D256-D257-D259</f>
        <v>2.3345196757385365</v>
      </c>
      <c r="E258" s="496">
        <f>E256-E257-E259</f>
        <v>1.8717081422849038</v>
      </c>
      <c r="F258" s="497">
        <f ca="1">F256-F257-F259</f>
        <v>59.83518113199645</v>
      </c>
      <c r="G258" s="369">
        <f t="shared" ca="1" si="47"/>
        <v>0.76250060486614357</v>
      </c>
      <c r="H258" s="369">
        <f t="shared" ca="1" si="48"/>
        <v>0.16720249390538822</v>
      </c>
      <c r="I258" s="369">
        <f t="shared" ca="1" si="49"/>
        <v>3.9015837030535336E-2</v>
      </c>
      <c r="J258" s="746">
        <f t="shared" ca="1" si="50"/>
        <v>3.1281064197932557E-2</v>
      </c>
    </row>
    <row r="259" spans="1:10">
      <c r="A259" s="95" t="s">
        <v>440</v>
      </c>
      <c r="B259" s="498">
        <f ca="1">Vehi_Comp_Sum!J178</f>
        <v>17.663536497424879</v>
      </c>
      <c r="C259" s="496">
        <f>Vehi_ADR!J110</f>
        <v>9.2275172960647592E-2</v>
      </c>
      <c r="D259" s="496">
        <f ca="1">Battery_Sum!J231</f>
        <v>0.6416147050784351</v>
      </c>
      <c r="E259" s="496">
        <f>Vehi_Fluids!G109</f>
        <v>0.7866080025386788</v>
      </c>
      <c r="F259" s="497">
        <f t="shared" ca="1" si="51"/>
        <v>19.184034378002639</v>
      </c>
      <c r="G259" s="369">
        <f t="shared" ca="1" si="47"/>
        <v>0.92074149521326765</v>
      </c>
      <c r="H259" s="369">
        <f t="shared" ca="1" si="48"/>
        <v>4.8099983112235688E-3</v>
      </c>
      <c r="I259" s="369">
        <f t="shared" ca="1" si="49"/>
        <v>3.3445243708181749E-2</v>
      </c>
      <c r="J259" s="746">
        <f t="shared" ca="1" si="50"/>
        <v>4.1003262767327103E-2</v>
      </c>
    </row>
    <row r="260" spans="1:10">
      <c r="A260" s="477" t="s">
        <v>819</v>
      </c>
      <c r="B260" s="598">
        <f ca="1">Vehi_Comp_Sum!J179</f>
        <v>4598.233314104903</v>
      </c>
      <c r="C260" s="535">
        <f>Vehi_ADR!J111</f>
        <v>459.06790690026895</v>
      </c>
      <c r="D260" s="535">
        <f ca="1">Battery_Sum!J232</f>
        <v>266.8723986089808</v>
      </c>
      <c r="E260" s="535">
        <f>Vehi_Fluids!G110</f>
        <v>49.107960876842185</v>
      </c>
      <c r="F260" s="599">
        <f t="shared" ref="F260:F265" ca="1" si="52">SUM(B260:E260)</f>
        <v>5373.2815804909951</v>
      </c>
      <c r="G260" s="369">
        <f t="shared" ca="1" si="47"/>
        <v>0.85575885894383552</v>
      </c>
      <c r="H260" s="369">
        <f t="shared" ca="1" si="48"/>
        <v>8.5435296852304665E-2</v>
      </c>
      <c r="I260" s="369">
        <f t="shared" ca="1" si="49"/>
        <v>4.9666557505180058E-2</v>
      </c>
      <c r="J260" s="746">
        <f t="shared" ca="1" si="50"/>
        <v>9.1392866986797373E-3</v>
      </c>
    </row>
    <row r="261" spans="1:10">
      <c r="A261" s="640" t="s">
        <v>889</v>
      </c>
      <c r="B261" s="898">
        <f ca="1">Vehi_Comp_Sum!J191</f>
        <v>5352953.8691367805</v>
      </c>
      <c r="C261" s="632">
        <f>Vehi_ADR!J123</f>
        <v>828288.3486815989</v>
      </c>
      <c r="D261" s="632">
        <f ca="1">Battery_Sum!J244</f>
        <v>268746.7207901256</v>
      </c>
      <c r="E261" s="632">
        <f>Vehi_Fluids!G122</f>
        <v>81548.311811566891</v>
      </c>
      <c r="F261" s="899">
        <f t="shared" ca="1" si="52"/>
        <v>6531537.2504200721</v>
      </c>
      <c r="G261" s="458">
        <f t="shared" ca="1" si="47"/>
        <v>0.81955497823923584</v>
      </c>
      <c r="H261" s="458">
        <f t="shared" ca="1" si="48"/>
        <v>0.12681369131414325</v>
      </c>
      <c r="I261" s="458">
        <f t="shared" ca="1" si="49"/>
        <v>4.1146013639107901E-2</v>
      </c>
      <c r="J261" s="896">
        <f t="shared" ca="1" si="50"/>
        <v>1.2485316807512987E-2</v>
      </c>
    </row>
    <row r="262" spans="1:10">
      <c r="A262" s="230" t="s">
        <v>1895</v>
      </c>
      <c r="B262" s="517">
        <f ca="1">Vehi_Comp_Sum!J192</f>
        <v>5391574.5225012498</v>
      </c>
      <c r="C262" s="246">
        <f>Vehi_ADR!J124</f>
        <v>834381.00943205075</v>
      </c>
      <c r="D262" s="246">
        <f ca="1">Battery_Sum!J245</f>
        <v>269781.18716621469</v>
      </c>
      <c r="E262" s="246">
        <f>Vehi_Fluids!G123</f>
        <v>166772.74990950144</v>
      </c>
      <c r="F262" s="247">
        <f t="shared" ca="1" si="52"/>
        <v>6662509.4690090166</v>
      </c>
      <c r="G262" s="382">
        <f t="shared" ca="1" si="47"/>
        <v>0.80924080447171121</v>
      </c>
      <c r="H262" s="382">
        <f t="shared" ca="1" si="48"/>
        <v>0.12523524556523546</v>
      </c>
      <c r="I262" s="382">
        <f t="shared" ca="1" si="49"/>
        <v>4.049242832916259E-2</v>
      </c>
      <c r="J262" s="588">
        <f t="shared" ca="1" si="50"/>
        <v>2.5031521633890788E-2</v>
      </c>
    </row>
    <row r="263" spans="1:10">
      <c r="A263" s="95" t="s">
        <v>887</v>
      </c>
      <c r="B263" s="498">
        <f ca="1">Vehi_Comp_Sum!J189</f>
        <v>14958.694455120525</v>
      </c>
      <c r="C263" s="496">
        <f>Vehi_ADR!J121</f>
        <v>2240.0809170636567</v>
      </c>
      <c r="D263" s="496">
        <f ca="1">Battery_Sum!J242</f>
        <v>829.01232169254888</v>
      </c>
      <c r="E263" s="496">
        <f>Vehi_Fluids!G120</f>
        <v>501.16215421510094</v>
      </c>
      <c r="F263" s="497">
        <f t="shared" ca="1" si="52"/>
        <v>18528.94984809183</v>
      </c>
      <c r="G263" s="369">
        <f t="shared" ca="1" si="47"/>
        <v>0.80731474680207083</v>
      </c>
      <c r="H263" s="369">
        <f t="shared" ca="1" si="48"/>
        <v>0.12089626964446382</v>
      </c>
      <c r="I263" s="369">
        <f t="shared" ca="1" si="49"/>
        <v>4.4741462872377694E-2</v>
      </c>
      <c r="J263" s="746">
        <f t="shared" ca="1" si="50"/>
        <v>2.7047520681087719E-2</v>
      </c>
    </row>
    <row r="264" spans="1:10">
      <c r="A264" s="95" t="s">
        <v>888</v>
      </c>
      <c r="B264" s="498">
        <f ca="1">Vehi_Comp_Sum!J190</f>
        <v>133.29545240357683</v>
      </c>
      <c r="C264" s="496">
        <f>Vehi_ADR!J122</f>
        <v>21.36502696769179</v>
      </c>
      <c r="D264" s="496">
        <f ca="1">Battery_Sum!J243</f>
        <v>12.111175594670518</v>
      </c>
      <c r="E264" s="496">
        <f>Vehi_Fluids!G121</f>
        <v>4.1701931336438403</v>
      </c>
      <c r="F264" s="497">
        <f t="shared" ca="1" si="52"/>
        <v>170.94184809958298</v>
      </c>
      <c r="G264" s="369">
        <f t="shared" ca="1" si="47"/>
        <v>0.77977074593182671</v>
      </c>
      <c r="H264" s="369">
        <f t="shared" ca="1" si="48"/>
        <v>0.12498418149337834</v>
      </c>
      <c r="I264" s="369">
        <f t="shared" ca="1" si="49"/>
        <v>7.0849682095487213E-2</v>
      </c>
      <c r="J264" s="746">
        <f t="shared" ca="1" si="50"/>
        <v>2.439539047930776E-2</v>
      </c>
    </row>
    <row r="265" spans="1:10">
      <c r="A265" s="589" t="s">
        <v>1896</v>
      </c>
      <c r="B265" s="517">
        <f ca="1">Vehi_Comp_Sum!J193</f>
        <v>5927240.1086901305</v>
      </c>
      <c r="C265" s="246">
        <f>Vehi_ADR!J125</f>
        <v>907245.16909039882</v>
      </c>
      <c r="D265" s="246">
        <f ca="1">Battery_Sum!J246</f>
        <v>307615.34547078941</v>
      </c>
      <c r="E265" s="246">
        <f>Vehi_Fluids!G124</f>
        <v>182912.71571637009</v>
      </c>
      <c r="F265" s="247">
        <f t="shared" ca="1" si="52"/>
        <v>7325013.3389676893</v>
      </c>
      <c r="G265" s="368">
        <f t="shared" ca="1" si="47"/>
        <v>0.80917806349352717</v>
      </c>
      <c r="H265" s="368">
        <f t="shared" ca="1" si="48"/>
        <v>0.12385577023648894</v>
      </c>
      <c r="I265" s="368">
        <f t="shared" ca="1" si="49"/>
        <v>4.1995192532187454E-2</v>
      </c>
      <c r="J265" s="428">
        <f t="shared" ca="1" si="50"/>
        <v>2.4970973737796345E-2</v>
      </c>
    </row>
    <row r="266" spans="1:10">
      <c r="A266" s="393" t="s">
        <v>879</v>
      </c>
      <c r="B266" s="508">
        <f ca="1">Vehi_Comp_Sum!J181</f>
        <v>3720.0221306191606</v>
      </c>
      <c r="C266" s="506">
        <f>Vehi_ADR!J113</f>
        <v>1724.21746234342</v>
      </c>
      <c r="D266" s="506">
        <f ca="1">Battery_Sum!J234</f>
        <v>98.617522994028491</v>
      </c>
      <c r="E266" s="506">
        <f>Vehi_Fluids!G112</f>
        <v>27284.451108767778</v>
      </c>
      <c r="F266" s="507">
        <f t="shared" ca="1" si="51"/>
        <v>32827.308224724387</v>
      </c>
      <c r="G266" s="458">
        <f t="shared" ca="1" si="47"/>
        <v>0.11332096147369675</v>
      </c>
      <c r="H266" s="458">
        <f t="shared" ca="1" si="48"/>
        <v>5.2523875870053804E-2</v>
      </c>
      <c r="I266" s="458">
        <f t="shared" ca="1" si="49"/>
        <v>3.0041306560661955E-3</v>
      </c>
      <c r="J266" s="896">
        <f t="shared" ca="1" si="50"/>
        <v>0.83115103200018325</v>
      </c>
    </row>
    <row r="267" spans="1:10">
      <c r="A267" s="230" t="s">
        <v>880</v>
      </c>
      <c r="B267" s="498">
        <f ca="1">Vehi_Comp_Sum!J182</f>
        <v>17198.735521357328</v>
      </c>
      <c r="C267" s="496">
        <f>Vehi_ADR!J114</f>
        <v>457.44978330654908</v>
      </c>
      <c r="D267" s="496">
        <f ca="1">Battery_Sum!J235</f>
        <v>462.70536417913468</v>
      </c>
      <c r="E267" s="496">
        <f>Vehi_Fluids!G113</f>
        <v>119.57196932648242</v>
      </c>
      <c r="F267" s="497">
        <f t="shared" ca="1" si="51"/>
        <v>18238.462638169498</v>
      </c>
      <c r="G267" s="369">
        <f t="shared" ca="1" si="47"/>
        <v>0.94299261196301565</v>
      </c>
      <c r="H267" s="369">
        <f t="shared" ca="1" si="48"/>
        <v>2.508159774109453E-2</v>
      </c>
      <c r="I267" s="369">
        <f t="shared" ca="1" si="49"/>
        <v>2.5369756944907396E-2</v>
      </c>
      <c r="J267" s="746">
        <f t="shared" ca="1" si="50"/>
        <v>6.5560333509822209E-3</v>
      </c>
    </row>
    <row r="268" spans="1:10">
      <c r="A268" s="230" t="s">
        <v>881</v>
      </c>
      <c r="B268" s="498">
        <f ca="1">Vehi_Comp_Sum!J183</f>
        <v>5495.12032041363</v>
      </c>
      <c r="C268" s="496">
        <f>Vehi_ADR!J115</f>
        <v>725.01502646481504</v>
      </c>
      <c r="D268" s="496">
        <f ca="1">Battery_Sum!J236</f>
        <v>319.43481169604564</v>
      </c>
      <c r="E268" s="496">
        <f>Vehi_Fluids!G114</f>
        <v>108.22926182592694</v>
      </c>
      <c r="F268" s="497">
        <f t="shared" ca="1" si="51"/>
        <v>6647.7994204004181</v>
      </c>
      <c r="G268" s="369">
        <f t="shared" ca="1" si="47"/>
        <v>0.82660741892279321</v>
      </c>
      <c r="H268" s="369">
        <f t="shared" ca="1" si="48"/>
        <v>0.10906090581492681</v>
      </c>
      <c r="I268" s="369">
        <f t="shared" ca="1" si="49"/>
        <v>4.8051210858706242E-2</v>
      </c>
      <c r="J268" s="746">
        <f t="shared" ca="1" si="50"/>
        <v>1.6280464403573711E-2</v>
      </c>
    </row>
    <row r="269" spans="1:10">
      <c r="A269" s="230" t="s">
        <v>882</v>
      </c>
      <c r="B269" s="498">
        <f ca="1">Vehi_Comp_Sum!J184</f>
        <v>2266.329882453942</v>
      </c>
      <c r="C269" s="496">
        <f>Vehi_ADR!J116</f>
        <v>131.06644114303808</v>
      </c>
      <c r="D269" s="496">
        <f ca="1">Battery_Sum!J237</f>
        <v>306.81163554068132</v>
      </c>
      <c r="E269" s="496">
        <f>Vehi_Fluids!G115</f>
        <v>21.160078163559724</v>
      </c>
      <c r="F269" s="497">
        <f t="shared" ca="1" si="51"/>
        <v>2725.3680373012212</v>
      </c>
      <c r="G269" s="369">
        <f t="shared" ca="1" si="47"/>
        <v>0.83156837954926677</v>
      </c>
      <c r="H269" s="369">
        <f t="shared" ca="1" si="48"/>
        <v>4.8091281378945722E-2</v>
      </c>
      <c r="I269" s="369">
        <f t="shared" ca="1" si="49"/>
        <v>0.11257622139155181</v>
      </c>
      <c r="J269" s="746">
        <f t="shared" ca="1" si="50"/>
        <v>7.7641176802357159E-3</v>
      </c>
    </row>
    <row r="270" spans="1:10">
      <c r="A270" s="230" t="s">
        <v>883</v>
      </c>
      <c r="B270" s="498">
        <f ca="1">Vehi_Comp_Sum!J185</f>
        <v>1004.6623514175856</v>
      </c>
      <c r="C270" s="496">
        <f>Vehi_ADR!J117</f>
        <v>80.733623309220008</v>
      </c>
      <c r="D270" s="496">
        <f ca="1">Battery_Sum!J238</f>
        <v>133.04720620323195</v>
      </c>
      <c r="E270" s="496">
        <f>Vehi_Fluids!G116</f>
        <v>8.0487274063768375</v>
      </c>
      <c r="F270" s="497">
        <f ca="1">SUM(B270:E270)</f>
        <v>1226.4919083364146</v>
      </c>
      <c r="G270" s="369">
        <f t="shared" ca="1" si="47"/>
        <v>0.8191349201645256</v>
      </c>
      <c r="H270" s="369">
        <f t="shared" ca="1" si="48"/>
        <v>6.5824831587128235E-2</v>
      </c>
      <c r="I270" s="369">
        <f t="shared" ca="1" si="49"/>
        <v>0.10847785077008304</v>
      </c>
      <c r="J270" s="746">
        <f t="shared" ca="1" si="50"/>
        <v>6.5623974782629806E-3</v>
      </c>
    </row>
    <row r="271" spans="1:10">
      <c r="A271" s="230" t="s">
        <v>884</v>
      </c>
      <c r="B271" s="498">
        <f ca="1">Vehi_Comp_Sum!J186</f>
        <v>18746.478420014249</v>
      </c>
      <c r="C271" s="496">
        <f>Vehi_ADR!J118</f>
        <v>324.00162905349237</v>
      </c>
      <c r="D271" s="496">
        <f ca="1">Battery_Sum!J239</f>
        <v>21649.177152215339</v>
      </c>
      <c r="E271" s="496">
        <f>Vehi_Fluids!G117</f>
        <v>246.18368794364392</v>
      </c>
      <c r="F271" s="497">
        <f t="shared" ca="1" si="51"/>
        <v>40965.840889226725</v>
      </c>
      <c r="G271" s="369">
        <f t="shared" ca="1" si="47"/>
        <v>0.45761244034280851</v>
      </c>
      <c r="H271" s="369">
        <f t="shared" ca="1" si="48"/>
        <v>7.9090681899977536E-3</v>
      </c>
      <c r="I271" s="369">
        <f t="shared" ca="1" si="49"/>
        <v>0.52846900447510847</v>
      </c>
      <c r="J271" s="746">
        <f t="shared" ca="1" si="50"/>
        <v>6.0094869920852955E-3</v>
      </c>
    </row>
    <row r="272" spans="1:10">
      <c r="A272" s="661" t="s">
        <v>885</v>
      </c>
      <c r="B272" s="498">
        <f ca="1">Vehi_Comp_Sum!J187</f>
        <v>33.717335270307174</v>
      </c>
      <c r="C272" s="496">
        <f>Vehi_ADR!J119</f>
        <v>5.4242394675900218</v>
      </c>
      <c r="D272" s="496">
        <f ca="1">Battery_Sum!J240</f>
        <v>2.2057441992457076</v>
      </c>
      <c r="E272" s="496">
        <f>Vehi_Fluids!G118</f>
        <v>0.72803788047807971</v>
      </c>
      <c r="F272" s="497">
        <f ca="1">SUM(B272:E272)</f>
        <v>42.075356817620978</v>
      </c>
      <c r="G272" s="369">
        <f t="shared" ca="1" si="47"/>
        <v>0.80135589619495518</v>
      </c>
      <c r="H272" s="369">
        <f t="shared" ca="1" si="48"/>
        <v>0.12891725413290789</v>
      </c>
      <c r="I272" s="369">
        <f t="shared" ca="1" si="49"/>
        <v>5.2423659977660637E-2</v>
      </c>
      <c r="J272" s="746">
        <f t="shared" ca="1" si="50"/>
        <v>1.7303189694476473E-2</v>
      </c>
    </row>
    <row r="273" spans="1:10">
      <c r="A273" s="897" t="s">
        <v>886</v>
      </c>
      <c r="B273" s="501">
        <f ca="1">Vehi_Comp_Sum!J188</f>
        <v>83.38263999381671</v>
      </c>
      <c r="C273" s="499">
        <f>Vehi_ADR!J120</f>
        <v>17.458827230125763</v>
      </c>
      <c r="D273" s="499">
        <f ca="1">Battery_Sum!J241</f>
        <v>4.9104550663841051</v>
      </c>
      <c r="E273" s="499">
        <f>Vehi_Fluids!G119</f>
        <v>1.3970106118851247</v>
      </c>
      <c r="F273" s="500">
        <f ca="1">SUM(B273:E273)</f>
        <v>107.1489329022117</v>
      </c>
      <c r="G273" s="426">
        <f t="shared" ca="1" si="47"/>
        <v>0.77819384416935788</v>
      </c>
      <c r="H273" s="426">
        <f t="shared" ca="1" si="48"/>
        <v>0.16293981430556448</v>
      </c>
      <c r="I273" s="426">
        <f t="shared" ca="1" si="49"/>
        <v>4.5828315162649153E-2</v>
      </c>
      <c r="J273" s="747">
        <f t="shared" ca="1" si="50"/>
        <v>1.3038026362428557E-2</v>
      </c>
    </row>
    <row r="274" spans="1:10">
      <c r="A274" s="230" t="s">
        <v>890</v>
      </c>
      <c r="B274" s="498">
        <f ca="1">Vehi_Comp_Sum!J195</f>
        <v>95.776072401272515</v>
      </c>
      <c r="C274" s="496">
        <f>Vehi_ADR!J127</f>
        <v>6.6802755568844958</v>
      </c>
      <c r="D274" s="496">
        <f ca="1">Battery_Sum!J248</f>
        <v>3.737144314016799</v>
      </c>
      <c r="E274" s="496">
        <f>Vehi_Fluids!G126</f>
        <v>19082.723602870992</v>
      </c>
      <c r="F274" s="497">
        <f t="shared" ca="1" si="51"/>
        <v>19188.917095143166</v>
      </c>
      <c r="G274" s="369">
        <f t="shared" ca="1" si="47"/>
        <v>4.9912182082184325E-3</v>
      </c>
      <c r="H274" s="369">
        <f t="shared" ca="1" si="48"/>
        <v>3.4813197241731351E-4</v>
      </c>
      <c r="I274" s="369">
        <f t="shared" ca="1" si="49"/>
        <v>1.9475535255518371E-4</v>
      </c>
      <c r="J274" s="746">
        <f t="shared" ca="1" si="50"/>
        <v>0.99446589446680911</v>
      </c>
    </row>
    <row r="275" spans="1:10">
      <c r="A275" s="230" t="s">
        <v>891</v>
      </c>
      <c r="B275" s="498">
        <f ca="1">Vehi_Comp_Sum!J196</f>
        <v>235.01943187789021</v>
      </c>
      <c r="C275" s="496">
        <f>Vehi_ADR!J128</f>
        <v>41.171382071924583</v>
      </c>
      <c r="D275" s="496">
        <f ca="1">Battery_Sum!J249</f>
        <v>13.258030890054108</v>
      </c>
      <c r="E275" s="496">
        <f>Vehi_Fluids!G127</f>
        <v>8.7030176324234159</v>
      </c>
      <c r="F275" s="497">
        <f t="shared" ca="1" si="51"/>
        <v>298.15186247229235</v>
      </c>
      <c r="G275" s="369">
        <f t="shared" ca="1" si="47"/>
        <v>0.78825411295135173</v>
      </c>
      <c r="H275" s="369">
        <f t="shared" ca="1" si="48"/>
        <v>0.13808862950084941</v>
      </c>
      <c r="I275" s="369">
        <f t="shared" ca="1" si="49"/>
        <v>4.4467375719600591E-2</v>
      </c>
      <c r="J275" s="746">
        <f t="shared" ca="1" si="50"/>
        <v>2.9189881828198202E-2</v>
      </c>
    </row>
    <row r="276" spans="1:10">
      <c r="A276" s="230" t="s">
        <v>892</v>
      </c>
      <c r="B276" s="498">
        <f ca="1">Vehi_Comp_Sum!J197</f>
        <v>485.40099836657748</v>
      </c>
      <c r="C276" s="496">
        <f>Vehi_ADR!J129</f>
        <v>95.620028716881123</v>
      </c>
      <c r="D276" s="496">
        <f ca="1">Battery_Sum!J250</f>
        <v>29.834200866917918</v>
      </c>
      <c r="E276" s="496">
        <f>Vehi_Fluids!G128</f>
        <v>18.72174064540371</v>
      </c>
      <c r="F276" s="497">
        <f t="shared" ca="1" si="51"/>
        <v>629.57696859578027</v>
      </c>
      <c r="G276" s="369">
        <f t="shared" ca="1" si="47"/>
        <v>0.77099548201266721</v>
      </c>
      <c r="H276" s="369">
        <f t="shared" ca="1" si="48"/>
        <v>0.1518798073731219</v>
      </c>
      <c r="I276" s="369">
        <f t="shared" ca="1" si="49"/>
        <v>4.7387694205937449E-2</v>
      </c>
      <c r="J276" s="746">
        <f t="shared" ca="1" si="50"/>
        <v>2.9737016408273344E-2</v>
      </c>
    </row>
    <row r="277" spans="1:10">
      <c r="A277" s="230" t="s">
        <v>893</v>
      </c>
      <c r="B277" s="498">
        <f ca="1">Vehi_Comp_Sum!J198</f>
        <v>57.754836376766711</v>
      </c>
      <c r="C277" s="496">
        <f>Vehi_ADR!J130</f>
        <v>10.440968312981976</v>
      </c>
      <c r="D277" s="496">
        <f ca="1">Battery_Sum!J251</f>
        <v>3.4972191212510122</v>
      </c>
      <c r="E277" s="496">
        <f>Vehi_Fluids!G129</f>
        <v>2.68193185031223</v>
      </c>
      <c r="F277" s="497">
        <f t="shared" ca="1" si="51"/>
        <v>74.374955661311915</v>
      </c>
      <c r="G277" s="369">
        <f t="shared" ca="1" si="47"/>
        <v>0.77653607808211988</v>
      </c>
      <c r="H277" s="369">
        <f t="shared" ca="1" si="48"/>
        <v>0.14038285092266778</v>
      </c>
      <c r="I277" s="369">
        <f t="shared" ca="1" si="49"/>
        <v>4.7021461594903273E-2</v>
      </c>
      <c r="J277" s="746">
        <f t="shared" ca="1" si="50"/>
        <v>3.6059609400309292E-2</v>
      </c>
    </row>
    <row r="278" spans="1:10">
      <c r="A278" s="230" t="s">
        <v>894</v>
      </c>
      <c r="B278" s="498">
        <f ca="1">Vehi_Comp_Sum!J199</f>
        <v>50.398222766308443</v>
      </c>
      <c r="C278" s="496">
        <f>Vehi_ADR!J131</f>
        <v>9.1844793924853896</v>
      </c>
      <c r="D278" s="496">
        <f ca="1">Battery_Sum!J252</f>
        <v>3.0211261882739913</v>
      </c>
      <c r="E278" s="496">
        <f>Vehi_Fluids!G130</f>
        <v>1.8027600615403809</v>
      </c>
      <c r="F278" s="497">
        <f ca="1">SUM(B278:E278)</f>
        <v>64.406588408608201</v>
      </c>
      <c r="G278" s="369">
        <f t="shared" ca="1" si="47"/>
        <v>0.78250104549199373</v>
      </c>
      <c r="H278" s="369">
        <f t="shared" ca="1" si="48"/>
        <v>0.14260155085714565</v>
      </c>
      <c r="I278" s="369">
        <f t="shared" ca="1" si="49"/>
        <v>4.6907098527053881E-2</v>
      </c>
      <c r="J278" s="746">
        <f t="shared" ca="1" si="50"/>
        <v>2.7990305123806788E-2</v>
      </c>
    </row>
    <row r="279" spans="1:10">
      <c r="A279" s="230" t="s">
        <v>895</v>
      </c>
      <c r="B279" s="498">
        <f ca="1">Vehi_Comp_Sum!J200</f>
        <v>428.61445936410024</v>
      </c>
      <c r="C279" s="496">
        <f>Vehi_ADR!J132</f>
        <v>77.903979866860453</v>
      </c>
      <c r="D279" s="496">
        <f ca="1">Battery_Sum!J253</f>
        <v>31.07864616672089</v>
      </c>
      <c r="E279" s="496">
        <f>Vehi_Fluids!G131</f>
        <v>26.127716033425571</v>
      </c>
      <c r="F279" s="497">
        <f t="shared" ca="1" si="51"/>
        <v>563.72480143110715</v>
      </c>
      <c r="G279" s="369">
        <f t="shared" ca="1" si="47"/>
        <v>0.76032570906228125</v>
      </c>
      <c r="H279" s="369">
        <f t="shared" ca="1" si="48"/>
        <v>0.13819505487267639</v>
      </c>
      <c r="I279" s="369">
        <f t="shared" ca="1" si="49"/>
        <v>5.513088316821025E-2</v>
      </c>
      <c r="J279" s="746">
        <f t="shared" ca="1" si="50"/>
        <v>4.6348352896832125E-2</v>
      </c>
    </row>
    <row r="280" spans="1:10">
      <c r="A280" s="661" t="s">
        <v>896</v>
      </c>
      <c r="B280" s="498">
        <f ca="1">Vehi_Comp_Sum!J201</f>
        <v>2.9674975278208855</v>
      </c>
      <c r="C280" s="496">
        <f>Vehi_ADR!J133</f>
        <v>0.48156408344236989</v>
      </c>
      <c r="D280" s="496">
        <f ca="1">Battery_Sum!J254</f>
        <v>0.1677532257850487</v>
      </c>
      <c r="E280" s="496">
        <f>Vehi_Fluids!G132</f>
        <v>0.12826624110914431</v>
      </c>
      <c r="F280" s="497">
        <f ca="1">SUM(B280:E280)</f>
        <v>3.7450810781574484</v>
      </c>
      <c r="G280" s="369">
        <f t="shared" ca="1" si="47"/>
        <v>0.7923720383861147</v>
      </c>
      <c r="H280" s="369">
        <f t="shared" ca="1" si="48"/>
        <v>0.12858575646092441</v>
      </c>
      <c r="I280" s="369">
        <f t="shared" ca="1" si="49"/>
        <v>4.4792949013424836E-2</v>
      </c>
      <c r="J280" s="746">
        <f t="shared" ca="1" si="50"/>
        <v>3.4249256139536055E-2</v>
      </c>
    </row>
    <row r="281" spans="1:10">
      <c r="A281" s="897" t="s">
        <v>897</v>
      </c>
      <c r="B281" s="501">
        <f ca="1">Vehi_Comp_Sum!J202</f>
        <v>12.390741306015528</v>
      </c>
      <c r="C281" s="499">
        <f>Vehi_ADR!J134</f>
        <v>2.6308995653983809</v>
      </c>
      <c r="D281" s="499">
        <f ca="1">Battery_Sum!J255</f>
        <v>0.71434069246833176</v>
      </c>
      <c r="E281" s="499">
        <f>Vehi_Fluids!G133</f>
        <v>0.26424515284277039</v>
      </c>
      <c r="F281" s="500">
        <f ca="1">SUM(B281:E281)</f>
        <v>16.00022671672501</v>
      </c>
      <c r="G281" s="426">
        <f t="shared" ca="1" si="47"/>
        <v>0.77441035838970373</v>
      </c>
      <c r="H281" s="426">
        <f t="shared" ca="1" si="48"/>
        <v>0.16442889291364265</v>
      </c>
      <c r="I281" s="426">
        <f t="shared" ca="1" si="49"/>
        <v>4.4645660659397575E-2</v>
      </c>
      <c r="J281" s="747">
        <f t="shared" ca="1" si="50"/>
        <v>1.6515088037256084E-2</v>
      </c>
    </row>
    <row r="283" spans="1:10">
      <c r="A283" s="3" t="s">
        <v>1905</v>
      </c>
    </row>
    <row r="284" spans="1:10">
      <c r="A284" s="178"/>
      <c r="B284" s="2984" t="s">
        <v>1875</v>
      </c>
      <c r="C284" s="2985"/>
      <c r="D284" s="2985"/>
      <c r="E284" s="2985"/>
      <c r="F284" s="3004"/>
      <c r="G284" s="2985" t="s">
        <v>1890</v>
      </c>
      <c r="H284" s="2985"/>
      <c r="I284" s="2985"/>
      <c r="J284" s="3004"/>
    </row>
    <row r="285" spans="1:10">
      <c r="A285" s="539"/>
      <c r="B285" s="1725" t="s">
        <v>1891</v>
      </c>
      <c r="C285" s="1726" t="s">
        <v>1892</v>
      </c>
      <c r="D285" s="1726" t="s">
        <v>1893</v>
      </c>
      <c r="E285" s="1726" t="s">
        <v>1418</v>
      </c>
      <c r="F285" s="1727" t="s">
        <v>1894</v>
      </c>
      <c r="G285" s="1726" t="s">
        <v>1891</v>
      </c>
      <c r="H285" s="1726" t="s">
        <v>1892</v>
      </c>
      <c r="I285" s="1726" t="s">
        <v>1893</v>
      </c>
      <c r="J285" s="1727" t="s">
        <v>1418</v>
      </c>
    </row>
    <row r="286" spans="1:10">
      <c r="A286" s="95" t="s">
        <v>876</v>
      </c>
      <c r="B286" s="498">
        <f ca="1">Vehi_Comp_Sum!K174</f>
        <v>138.4175661378946</v>
      </c>
      <c r="C286" s="496">
        <f>Vehi_ADR!J106</f>
        <v>14.096115653906098</v>
      </c>
      <c r="D286" s="496">
        <f ca="1">Battery_Sum!K227</f>
        <v>4.47418599259169</v>
      </c>
      <c r="E286" s="496">
        <f>Vehi_Fluids!G105</f>
        <v>2.7912189918497425</v>
      </c>
      <c r="F286" s="497">
        <f ca="1">SUM(B286:E286)</f>
        <v>159.77908677624214</v>
      </c>
      <c r="G286" s="369">
        <f t="shared" ref="G286:G312" ca="1" si="53">B286/$F286</f>
        <v>0.86630590354880022</v>
      </c>
      <c r="H286" s="369">
        <f t="shared" ref="H286:H312" ca="1" si="54">C286/$F286</f>
        <v>8.8222532362114345E-2</v>
      </c>
      <c r="I286" s="369">
        <f t="shared" ref="I286:I312" ca="1" si="55">D286/$F286</f>
        <v>2.8002325478661862E-2</v>
      </c>
      <c r="J286" s="746">
        <f t="shared" ref="J286:J312" ca="1" si="56">E286/$F286</f>
        <v>1.746923861042354E-2</v>
      </c>
    </row>
    <row r="287" spans="1:10">
      <c r="A287" s="95" t="s">
        <v>877</v>
      </c>
      <c r="B287" s="498">
        <f ca="1">Vehi_Comp_Sum!K175</f>
        <v>123.71107963373827</v>
      </c>
      <c r="C287" s="496">
        <f>Vehi_ADR!J107</f>
        <v>12.373726900986338</v>
      </c>
      <c r="D287" s="496">
        <f ca="1">Battery_Sum!K228</f>
        <v>3.9449169191137328</v>
      </c>
      <c r="E287" s="496">
        <f>Vehi_Fluids!G106</f>
        <v>2.7365393962143338</v>
      </c>
      <c r="F287" s="497">
        <f t="shared" ref="F287:F310" ca="1" si="57">SUM(B287:E287)</f>
        <v>142.76626285005267</v>
      </c>
      <c r="G287" s="369">
        <f t="shared" ca="1" si="53"/>
        <v>0.86652880844595581</v>
      </c>
      <c r="H287" s="369">
        <f t="shared" ca="1" si="54"/>
        <v>8.6671225077751435E-2</v>
      </c>
      <c r="I287" s="369">
        <f t="shared" ca="1" si="55"/>
        <v>2.7631996806255811E-2</v>
      </c>
      <c r="J287" s="746">
        <f t="shared" ca="1" si="56"/>
        <v>1.916796967003696E-2</v>
      </c>
    </row>
    <row r="288" spans="1:10">
      <c r="A288" s="95" t="s">
        <v>442</v>
      </c>
      <c r="B288" s="498">
        <f ca="1">Vehi_Comp_Sum!K176</f>
        <v>20.715490436625569</v>
      </c>
      <c r="C288" s="496">
        <f>Vehi_ADR!J108</f>
        <v>2.2768602194752541</v>
      </c>
      <c r="D288" s="496">
        <f ca="1">Battery_Sum!K229</f>
        <v>1.2127696050963301</v>
      </c>
      <c r="E288" s="496">
        <f>Vehi_Fluids!G107</f>
        <v>7.8223251390751244E-2</v>
      </c>
      <c r="F288" s="497">
        <f ca="1">SUM(B288:E288)</f>
        <v>24.283343512587901</v>
      </c>
      <c r="G288" s="369">
        <f t="shared" ca="1" si="53"/>
        <v>0.85307405983394158</v>
      </c>
      <c r="H288" s="369">
        <f t="shared" ca="1" si="54"/>
        <v>9.3762220935308366E-2</v>
      </c>
      <c r="I288" s="369">
        <f t="shared" ca="1" si="55"/>
        <v>4.9942447359757502E-2</v>
      </c>
      <c r="J288" s="746">
        <f t="shared" ca="1" si="56"/>
        <v>3.2212718709926495E-3</v>
      </c>
    </row>
    <row r="289" spans="1:10">
      <c r="A289" s="95" t="s">
        <v>878</v>
      </c>
      <c r="B289" s="498">
        <f ca="1">B287-B288-B290</f>
        <v>73.298993690380854</v>
      </c>
      <c r="C289" s="496">
        <f>C287-C288-C290</f>
        <v>10.004591508550437</v>
      </c>
      <c r="D289" s="496">
        <f ca="1">D287-D288-D290</f>
        <v>2.1546407157451659</v>
      </c>
      <c r="E289" s="496">
        <f>E287-E288-E290</f>
        <v>1.8717081422849038</v>
      </c>
      <c r="F289" s="497">
        <f ca="1">F287-F288-F290</f>
        <v>87.329934056961363</v>
      </c>
      <c r="G289" s="369">
        <f t="shared" ca="1" si="53"/>
        <v>0.83933412388209572</v>
      </c>
      <c r="H289" s="369">
        <f t="shared" ca="1" si="54"/>
        <v>0.11456085037262131</v>
      </c>
      <c r="I289" s="369">
        <f t="shared" ca="1" si="55"/>
        <v>2.4672418902089075E-2</v>
      </c>
      <c r="J289" s="746">
        <f t="shared" ca="1" si="56"/>
        <v>2.1432606843193917E-2</v>
      </c>
    </row>
    <row r="290" spans="1:10">
      <c r="A290" s="95" t="s">
        <v>440</v>
      </c>
      <c r="B290" s="498">
        <f ca="1">Vehi_Comp_Sum!K178</f>
        <v>29.696595506731843</v>
      </c>
      <c r="C290" s="496">
        <f>Vehi_ADR!J110</f>
        <v>9.2275172960647592E-2</v>
      </c>
      <c r="D290" s="496">
        <f ca="1">Battery_Sum!K231</f>
        <v>0.57750659827223672</v>
      </c>
      <c r="E290" s="496">
        <f>Vehi_Fluids!G109</f>
        <v>0.7866080025386788</v>
      </c>
      <c r="F290" s="497">
        <f t="shared" ca="1" si="57"/>
        <v>31.152985280503405</v>
      </c>
      <c r="G290" s="369">
        <f t="shared" ca="1" si="53"/>
        <v>0.95325039444348147</v>
      </c>
      <c r="H290" s="369">
        <f t="shared" ca="1" si="54"/>
        <v>2.9620009809588465E-3</v>
      </c>
      <c r="I290" s="369">
        <f t="shared" ca="1" si="55"/>
        <v>1.8537761086853528E-2</v>
      </c>
      <c r="J290" s="746">
        <f t="shared" ca="1" si="56"/>
        <v>2.5249843488706195E-2</v>
      </c>
    </row>
    <row r="291" spans="1:10">
      <c r="A291" s="477" t="s">
        <v>819</v>
      </c>
      <c r="B291" s="598">
        <f ca="1">Vehi_Comp_Sum!K179</f>
        <v>6602.7265340535378</v>
      </c>
      <c r="C291" s="535">
        <f>Vehi_ADR!J111</f>
        <v>459.06790690026895</v>
      </c>
      <c r="D291" s="535">
        <f ca="1">Battery_Sum!K232</f>
        <v>248.02236367234664</v>
      </c>
      <c r="E291" s="535">
        <f>Vehi_Fluids!G110</f>
        <v>49.107960876842185</v>
      </c>
      <c r="F291" s="599">
        <f t="shared" ref="F291:F296" ca="1" si="58">SUM(B291:E291)</f>
        <v>7358.9247655029958</v>
      </c>
      <c r="G291" s="369">
        <f t="shared" ca="1" si="53"/>
        <v>0.89724066279433279</v>
      </c>
      <c r="H291" s="369">
        <f t="shared" ca="1" si="54"/>
        <v>6.2382470473441622E-2</v>
      </c>
      <c r="I291" s="369">
        <f t="shared" ca="1" si="55"/>
        <v>3.3703614532794302E-2</v>
      </c>
      <c r="J291" s="746">
        <f t="shared" ca="1" si="56"/>
        <v>6.6732521994312798E-3</v>
      </c>
    </row>
    <row r="292" spans="1:10">
      <c r="A292" s="640" t="s">
        <v>889</v>
      </c>
      <c r="B292" s="898">
        <f ca="1">Vehi_Comp_Sum!K191</f>
        <v>6920141.5553770605</v>
      </c>
      <c r="C292" s="632">
        <f>Vehi_ADR!J123</f>
        <v>828288.3486815989</v>
      </c>
      <c r="D292" s="632">
        <f ca="1">Battery_Sum!K244</f>
        <v>247138.17173262819</v>
      </c>
      <c r="E292" s="632">
        <f>Vehi_Fluids!G122</f>
        <v>81548.311811566891</v>
      </c>
      <c r="F292" s="899">
        <f t="shared" ca="1" si="58"/>
        <v>8077116.3876028545</v>
      </c>
      <c r="G292" s="458">
        <f t="shared" ca="1" si="53"/>
        <v>0.85675892525189135</v>
      </c>
      <c r="H292" s="458">
        <f t="shared" ca="1" si="54"/>
        <v>0.10254753168505726</v>
      </c>
      <c r="I292" s="458">
        <f t="shared" ca="1" si="55"/>
        <v>3.0597327050028364E-2</v>
      </c>
      <c r="J292" s="896">
        <f t="shared" ca="1" si="56"/>
        <v>1.0096216013023058E-2</v>
      </c>
    </row>
    <row r="293" spans="1:10">
      <c r="A293" s="230" t="s">
        <v>1895</v>
      </c>
      <c r="B293" s="517">
        <f ca="1">Vehi_Comp_Sum!K192</f>
        <v>6946623.8575362228</v>
      </c>
      <c r="C293" s="246">
        <f>Vehi_ADR!J124</f>
        <v>834381.00943205075</v>
      </c>
      <c r="D293" s="246">
        <f ca="1">Battery_Sum!K245</f>
        <v>248090.17435682082</v>
      </c>
      <c r="E293" s="246">
        <f>Vehi_Fluids!G123</f>
        <v>166772.74990950144</v>
      </c>
      <c r="F293" s="247">
        <f t="shared" ca="1" si="58"/>
        <v>8195867.7912345957</v>
      </c>
      <c r="G293" s="382">
        <f t="shared" ca="1" si="53"/>
        <v>0.84757636829690841</v>
      </c>
      <c r="H293" s="382">
        <f t="shared" ca="1" si="54"/>
        <v>0.10180508406009349</v>
      </c>
      <c r="I293" s="382">
        <f t="shared" ca="1" si="55"/>
        <v>3.0270153286531896E-2</v>
      </c>
      <c r="J293" s="588">
        <f t="shared" ca="1" si="56"/>
        <v>2.0348394356466234E-2</v>
      </c>
    </row>
    <row r="294" spans="1:10">
      <c r="A294" s="95" t="s">
        <v>887</v>
      </c>
      <c r="B294" s="498">
        <f ca="1">Vehi_Comp_Sum!K189</f>
        <v>21192.059667670212</v>
      </c>
      <c r="C294" s="496">
        <f>Vehi_ADR!J121</f>
        <v>2240.0809170636567</v>
      </c>
      <c r="D294" s="496">
        <f ca="1">Battery_Sum!K242</f>
        <v>748.85011620154626</v>
      </c>
      <c r="E294" s="496">
        <f>Vehi_Fluids!G120</f>
        <v>501.16215421510094</v>
      </c>
      <c r="F294" s="497">
        <f t="shared" ca="1" si="58"/>
        <v>24682.152855150514</v>
      </c>
      <c r="G294" s="369">
        <f t="shared" ca="1" si="53"/>
        <v>0.85859851010719224</v>
      </c>
      <c r="H294" s="369">
        <f t="shared" ca="1" si="54"/>
        <v>9.0757112242589921E-2</v>
      </c>
      <c r="I294" s="369">
        <f t="shared" ca="1" si="55"/>
        <v>3.0339740645649593E-2</v>
      </c>
      <c r="J294" s="746">
        <f t="shared" ca="1" si="56"/>
        <v>2.0304637004568329E-2</v>
      </c>
    </row>
    <row r="295" spans="1:10">
      <c r="A295" s="95" t="s">
        <v>888</v>
      </c>
      <c r="B295" s="498">
        <f ca="1">Vehi_Comp_Sum!K190</f>
        <v>186.47196868192287</v>
      </c>
      <c r="C295" s="496">
        <f>Vehi_ADR!J122</f>
        <v>21.36502696769179</v>
      </c>
      <c r="D295" s="496">
        <f ca="1">Battery_Sum!K243</f>
        <v>11.294164146387999</v>
      </c>
      <c r="E295" s="496">
        <f>Vehi_Fluids!G121</f>
        <v>4.1701931336438403</v>
      </c>
      <c r="F295" s="497">
        <f t="shared" ca="1" si="58"/>
        <v>223.3013529296465</v>
      </c>
      <c r="G295" s="369">
        <f t="shared" ca="1" si="53"/>
        <v>0.83506869186176802</v>
      </c>
      <c r="H295" s="369">
        <f t="shared" ca="1" si="54"/>
        <v>9.5678000546745787E-2</v>
      </c>
      <c r="I295" s="369">
        <f t="shared" ca="1" si="55"/>
        <v>5.0578126814781757E-2</v>
      </c>
      <c r="J295" s="746">
        <f t="shared" ca="1" si="56"/>
        <v>1.8675180776704495E-2</v>
      </c>
    </row>
    <row r="296" spans="1:10">
      <c r="A296" s="589" t="s">
        <v>1896</v>
      </c>
      <c r="B296" s="517">
        <f ca="1">Vehi_Comp_Sum!K193</f>
        <v>7816105.3181227976</v>
      </c>
      <c r="C296" s="246">
        <f>Vehi_ADR!J125</f>
        <v>907245.16909039882</v>
      </c>
      <c r="D296" s="246">
        <f ca="1">Battery_Sum!K246</f>
        <v>282733.29580209055</v>
      </c>
      <c r="E296" s="246">
        <f>Vehi_Fluids!G124</f>
        <v>182912.71571637009</v>
      </c>
      <c r="F296" s="247">
        <f t="shared" ca="1" si="58"/>
        <v>9188996.498731656</v>
      </c>
      <c r="G296" s="368">
        <f t="shared" ca="1" si="53"/>
        <v>0.85059400329531554</v>
      </c>
      <c r="H296" s="368">
        <f t="shared" ca="1" si="54"/>
        <v>9.8731691672276134E-2</v>
      </c>
      <c r="I296" s="368">
        <f t="shared" ca="1" si="55"/>
        <v>3.0768680327728476E-2</v>
      </c>
      <c r="J296" s="428">
        <f t="shared" ca="1" si="56"/>
        <v>1.9905624704679915E-2</v>
      </c>
    </row>
    <row r="297" spans="1:10">
      <c r="A297" s="393" t="s">
        <v>879</v>
      </c>
      <c r="B297" s="508">
        <f ca="1">Vehi_Comp_Sum!K181</f>
        <v>3247.2656725176462</v>
      </c>
      <c r="C297" s="506">
        <f>Vehi_ADR!J113</f>
        <v>1724.21746234342</v>
      </c>
      <c r="D297" s="506">
        <f ca="1">Battery_Sum!K234</f>
        <v>89.111099025436005</v>
      </c>
      <c r="E297" s="506">
        <f>Vehi_Fluids!G112</f>
        <v>27284.451108767778</v>
      </c>
      <c r="F297" s="507">
        <f t="shared" ca="1" si="57"/>
        <v>32345.045342654281</v>
      </c>
      <c r="G297" s="458">
        <f t="shared" ca="1" si="53"/>
        <v>0.10039453146894772</v>
      </c>
      <c r="H297" s="458">
        <f t="shared" ca="1" si="54"/>
        <v>5.3307004027279815E-2</v>
      </c>
      <c r="I297" s="458">
        <f t="shared" ca="1" si="55"/>
        <v>2.7550154306917236E-3</v>
      </c>
      <c r="J297" s="896">
        <f t="shared" ca="1" si="56"/>
        <v>0.84354344907308076</v>
      </c>
    </row>
    <row r="298" spans="1:10">
      <c r="A298" s="230" t="s">
        <v>880</v>
      </c>
      <c r="B298" s="498">
        <f ca="1">Vehi_Comp_Sum!K182</f>
        <v>10411.963850791171</v>
      </c>
      <c r="C298" s="496">
        <f>Vehi_ADR!J114</f>
        <v>457.44978330654908</v>
      </c>
      <c r="D298" s="496">
        <f ca="1">Battery_Sum!K235</f>
        <v>429.082838691863</v>
      </c>
      <c r="E298" s="496">
        <f>Vehi_Fluids!G113</f>
        <v>119.57196932648242</v>
      </c>
      <c r="F298" s="497">
        <f t="shared" ca="1" si="57"/>
        <v>11418.068442116066</v>
      </c>
      <c r="G298" s="369">
        <f t="shared" ca="1" si="53"/>
        <v>0.91188486945709379</v>
      </c>
      <c r="H298" s="369">
        <f t="shared" ca="1" si="54"/>
        <v>4.0063675009971447E-2</v>
      </c>
      <c r="I298" s="369">
        <f t="shared" ca="1" si="55"/>
        <v>3.7579284172896653E-2</v>
      </c>
      <c r="J298" s="746">
        <f t="shared" ca="1" si="56"/>
        <v>1.0472171360038075E-2</v>
      </c>
    </row>
    <row r="299" spans="1:10">
      <c r="A299" s="230" t="s">
        <v>881</v>
      </c>
      <c r="B299" s="498">
        <f ca="1">Vehi_Comp_Sum!K183</f>
        <v>7201.5837441745189</v>
      </c>
      <c r="C299" s="496">
        <f>Vehi_ADR!J115</f>
        <v>725.01502646481504</v>
      </c>
      <c r="D299" s="496">
        <f ca="1">Battery_Sum!K236</f>
        <v>293.07995825685049</v>
      </c>
      <c r="E299" s="496">
        <f>Vehi_Fluids!G114</f>
        <v>108.22926182592694</v>
      </c>
      <c r="F299" s="497">
        <f t="shared" ca="1" si="57"/>
        <v>8327.9079907221112</v>
      </c>
      <c r="G299" s="369">
        <f t="shared" ca="1" si="53"/>
        <v>0.8647530390822763</v>
      </c>
      <c r="H299" s="369">
        <f t="shared" ca="1" si="54"/>
        <v>8.7058481826712539E-2</v>
      </c>
      <c r="I299" s="369">
        <f t="shared" ca="1" si="55"/>
        <v>3.5192506759604295E-2</v>
      </c>
      <c r="J299" s="746">
        <f t="shared" ca="1" si="56"/>
        <v>1.2995972331406895E-2</v>
      </c>
    </row>
    <row r="300" spans="1:10">
      <c r="A300" s="230" t="s">
        <v>882</v>
      </c>
      <c r="B300" s="498">
        <f ca="1">Vehi_Comp_Sum!K184</f>
        <v>3444.6323791745081</v>
      </c>
      <c r="C300" s="496">
        <f>Vehi_ADR!J116</f>
        <v>131.06644114303808</v>
      </c>
      <c r="D300" s="496">
        <f ca="1">Battery_Sum!K237</f>
        <v>279.98229232547152</v>
      </c>
      <c r="E300" s="496">
        <f>Vehi_Fluids!G115</f>
        <v>21.160078163559724</v>
      </c>
      <c r="F300" s="497">
        <f t="shared" ca="1" si="57"/>
        <v>3876.8411908065773</v>
      </c>
      <c r="G300" s="369">
        <f t="shared" ca="1" si="53"/>
        <v>0.88851521371135966</v>
      </c>
      <c r="H300" s="369">
        <f t="shared" ca="1" si="54"/>
        <v>3.3807534199194189E-2</v>
      </c>
      <c r="I300" s="369">
        <f t="shared" ca="1" si="55"/>
        <v>7.2219180138049746E-2</v>
      </c>
      <c r="J300" s="746">
        <f t="shared" ca="1" si="56"/>
        <v>5.4580719513964322E-3</v>
      </c>
    </row>
    <row r="301" spans="1:10">
      <c r="A301" s="230" t="s">
        <v>883</v>
      </c>
      <c r="B301" s="498">
        <f ca="1">Vehi_Comp_Sum!K185</f>
        <v>1110.3354703505722</v>
      </c>
      <c r="C301" s="496">
        <f>Vehi_ADR!J117</f>
        <v>80.733623309220008</v>
      </c>
      <c r="D301" s="496">
        <f ca="1">Battery_Sum!K238</f>
        <v>120.87320996300735</v>
      </c>
      <c r="E301" s="496">
        <f>Vehi_Fluids!G116</f>
        <v>8.0487274063768375</v>
      </c>
      <c r="F301" s="497">
        <f ca="1">SUM(B301:E301)</f>
        <v>1319.9910310291766</v>
      </c>
      <c r="G301" s="369">
        <f t="shared" ca="1" si="53"/>
        <v>0.84116895058359664</v>
      </c>
      <c r="H301" s="369">
        <f t="shared" ca="1" si="54"/>
        <v>6.1162251417930656E-2</v>
      </c>
      <c r="I301" s="369">
        <f t="shared" ca="1" si="55"/>
        <v>9.1571235805113296E-2</v>
      </c>
      <c r="J301" s="746">
        <f t="shared" ca="1" si="56"/>
        <v>6.0975621933592756E-3</v>
      </c>
    </row>
    <row r="302" spans="1:10">
      <c r="A302" s="230" t="s">
        <v>884</v>
      </c>
      <c r="B302" s="498">
        <f ca="1">Vehi_Comp_Sum!K186</f>
        <v>18039.430432196397</v>
      </c>
      <c r="C302" s="496">
        <f>Vehi_ADR!J118</f>
        <v>324.00162905349237</v>
      </c>
      <c r="D302" s="496">
        <f ca="1">Battery_Sum!K239</f>
        <v>20299.084572497348</v>
      </c>
      <c r="E302" s="496">
        <f>Vehi_Fluids!G117</f>
        <v>246.18368794364392</v>
      </c>
      <c r="F302" s="497">
        <f t="shared" ca="1" si="57"/>
        <v>38908.700321690878</v>
      </c>
      <c r="G302" s="369">
        <f t="shared" ca="1" si="53"/>
        <v>0.46363487556894184</v>
      </c>
      <c r="H302" s="369">
        <f t="shared" ca="1" si="54"/>
        <v>8.3272282644935199E-3</v>
      </c>
      <c r="I302" s="369">
        <f t="shared" ca="1" si="55"/>
        <v>0.52171068179270397</v>
      </c>
      <c r="J302" s="746">
        <f t="shared" ca="1" si="56"/>
        <v>6.3272143738607759E-3</v>
      </c>
    </row>
    <row r="303" spans="1:10">
      <c r="A303" s="661" t="s">
        <v>885</v>
      </c>
      <c r="B303" s="498">
        <f ca="1">Vehi_Comp_Sum!K187</f>
        <v>48.982642325074423</v>
      </c>
      <c r="C303" s="496">
        <f>Vehi_ADR!J119</f>
        <v>5.4242394675900218</v>
      </c>
      <c r="D303" s="496">
        <f ca="1">Battery_Sum!K240</f>
        <v>2.038466463237846</v>
      </c>
      <c r="E303" s="496">
        <f>Vehi_Fluids!G118</f>
        <v>0.72803788047807971</v>
      </c>
      <c r="F303" s="497">
        <f ca="1">SUM(B303:E303)</f>
        <v>57.173386136380365</v>
      </c>
      <c r="G303" s="369">
        <f t="shared" ca="1" si="53"/>
        <v>0.85673852180509491</v>
      </c>
      <c r="H303" s="369">
        <f t="shared" ca="1" si="54"/>
        <v>9.4873503812615514E-2</v>
      </c>
      <c r="I303" s="369">
        <f t="shared" ca="1" si="55"/>
        <v>3.5654114632555169E-2</v>
      </c>
      <c r="J303" s="746">
        <f t="shared" ca="1" si="56"/>
        <v>1.2733859749734453E-2</v>
      </c>
    </row>
    <row r="304" spans="1:10">
      <c r="A304" s="897" t="s">
        <v>886</v>
      </c>
      <c r="B304" s="501">
        <f ca="1">Vehi_Comp_Sum!K188</f>
        <v>119.63345033771125</v>
      </c>
      <c r="C304" s="499">
        <f>Vehi_ADR!J120</f>
        <v>17.458827230125763</v>
      </c>
      <c r="D304" s="499">
        <f ca="1">Battery_Sum!K241</f>
        <v>4.5312229921157341</v>
      </c>
      <c r="E304" s="499">
        <f>Vehi_Fluids!G119</f>
        <v>1.3970106118851247</v>
      </c>
      <c r="F304" s="500">
        <f ca="1">SUM(B304:E304)</f>
        <v>143.02051117183788</v>
      </c>
      <c r="G304" s="426">
        <f t="shared" ca="1" si="53"/>
        <v>0.83647757484220375</v>
      </c>
      <c r="H304" s="426">
        <f t="shared" ca="1" si="54"/>
        <v>0.12207219151348954</v>
      </c>
      <c r="I304" s="426">
        <f t="shared" ca="1" si="55"/>
        <v>3.1682329723122786E-2</v>
      </c>
      <c r="J304" s="747">
        <f t="shared" ca="1" si="56"/>
        <v>9.7679039211839257E-3</v>
      </c>
    </row>
    <row r="305" spans="1:11">
      <c r="A305" s="230" t="s">
        <v>890</v>
      </c>
      <c r="B305" s="498">
        <f ca="1">Vehi_Comp_Sum!K195</f>
        <v>150.95274597285291</v>
      </c>
      <c r="C305" s="496">
        <f>Vehi_ADR!J127</f>
        <v>6.6802755568844958</v>
      </c>
      <c r="D305" s="496">
        <f ca="1">Battery_Sum!K248</f>
        <v>3.336877458936276</v>
      </c>
      <c r="E305" s="496">
        <f>Vehi_Fluids!G126</f>
        <v>19082.723602870992</v>
      </c>
      <c r="F305" s="497">
        <f t="shared" ca="1" si="57"/>
        <v>19243.693501859667</v>
      </c>
      <c r="G305" s="369">
        <f t="shared" ca="1" si="53"/>
        <v>7.8442709534043021E-3</v>
      </c>
      <c r="H305" s="369">
        <f t="shared" ca="1" si="54"/>
        <v>3.4714102863044088E-4</v>
      </c>
      <c r="I305" s="369">
        <f t="shared" ca="1" si="55"/>
        <v>1.7340109156351963E-4</v>
      </c>
      <c r="J305" s="746">
        <f t="shared" ca="1" si="56"/>
        <v>0.99163518692640173</v>
      </c>
    </row>
    <row r="306" spans="1:11">
      <c r="A306" s="230" t="s">
        <v>891</v>
      </c>
      <c r="B306" s="498">
        <f ca="1">Vehi_Comp_Sum!K196</f>
        <v>354.36953436034565</v>
      </c>
      <c r="C306" s="496">
        <f>Vehi_ADR!J128</f>
        <v>41.171382071924583</v>
      </c>
      <c r="D306" s="496">
        <f ca="1">Battery_Sum!K249</f>
        <v>12.059112194520283</v>
      </c>
      <c r="E306" s="496">
        <f>Vehi_Fluids!G127</f>
        <v>8.7030176324234159</v>
      </c>
      <c r="F306" s="497">
        <f t="shared" ca="1" si="57"/>
        <v>416.303046259214</v>
      </c>
      <c r="G306" s="369">
        <f t="shared" ca="1" si="53"/>
        <v>0.85122974127769169</v>
      </c>
      <c r="H306" s="369">
        <f t="shared" ca="1" si="54"/>
        <v>9.8897623838882343E-2</v>
      </c>
      <c r="I306" s="369">
        <f t="shared" ca="1" si="55"/>
        <v>2.8967148578133615E-2</v>
      </c>
      <c r="J306" s="746">
        <f t="shared" ca="1" si="56"/>
        <v>2.0905486305292181E-2</v>
      </c>
    </row>
    <row r="307" spans="1:11">
      <c r="A307" s="230" t="s">
        <v>892</v>
      </c>
      <c r="B307" s="498">
        <f ca="1">Vehi_Comp_Sum!K197</f>
        <v>717.76542177880572</v>
      </c>
      <c r="C307" s="496">
        <f>Vehi_ADR!J129</f>
        <v>95.620028716881123</v>
      </c>
      <c r="D307" s="496">
        <f ca="1">Battery_Sum!K250</f>
        <v>27.57225195233141</v>
      </c>
      <c r="E307" s="496">
        <f>Vehi_Fluids!G128</f>
        <v>18.72174064540371</v>
      </c>
      <c r="F307" s="497">
        <f t="shared" ca="1" si="57"/>
        <v>859.67944309342192</v>
      </c>
      <c r="G307" s="369">
        <f t="shared" ca="1" si="53"/>
        <v>0.83492216493631533</v>
      </c>
      <c r="H307" s="369">
        <f t="shared" ca="1" si="54"/>
        <v>0.11122753892172577</v>
      </c>
      <c r="I307" s="369">
        <f t="shared" ca="1" si="55"/>
        <v>3.2072712885999666E-2</v>
      </c>
      <c r="J307" s="746">
        <f t="shared" ca="1" si="56"/>
        <v>2.1777583255959288E-2</v>
      </c>
    </row>
    <row r="308" spans="1:11">
      <c r="A308" s="230" t="s">
        <v>893</v>
      </c>
      <c r="B308" s="498">
        <f ca="1">Vehi_Comp_Sum!K198</f>
        <v>83.483307450417598</v>
      </c>
      <c r="C308" s="496">
        <f>Vehi_ADR!J130</f>
        <v>10.440968312981976</v>
      </c>
      <c r="D308" s="496">
        <f ca="1">Battery_Sum!K251</f>
        <v>3.2227624940748525</v>
      </c>
      <c r="E308" s="496">
        <f>Vehi_Fluids!G129</f>
        <v>2.68193185031223</v>
      </c>
      <c r="F308" s="497">
        <f t="shared" ca="1" si="57"/>
        <v>99.82897010778666</v>
      </c>
      <c r="G308" s="369">
        <f t="shared" ca="1" si="53"/>
        <v>0.83626333478427717</v>
      </c>
      <c r="H308" s="369">
        <f t="shared" ca="1" si="54"/>
        <v>0.10458856083267938</v>
      </c>
      <c r="I308" s="369">
        <f t="shared" ca="1" si="55"/>
        <v>3.2282838244200987E-2</v>
      </c>
      <c r="J308" s="746">
        <f t="shared" ca="1" si="56"/>
        <v>2.6865266138842388E-2</v>
      </c>
    </row>
    <row r="309" spans="1:11">
      <c r="A309" s="230" t="s">
        <v>894</v>
      </c>
      <c r="B309" s="498">
        <f ca="1">Vehi_Comp_Sum!K199</f>
        <v>72.934916244587271</v>
      </c>
      <c r="C309" s="496">
        <f>Vehi_ADR!J131</f>
        <v>9.1844793924853896</v>
      </c>
      <c r="D309" s="496">
        <f ca="1">Battery_Sum!K252</f>
        <v>2.7853636136723319</v>
      </c>
      <c r="E309" s="496">
        <f>Vehi_Fluids!G130</f>
        <v>1.8027600615403809</v>
      </c>
      <c r="F309" s="497">
        <f ca="1">SUM(B309:E309)</f>
        <v>86.70751931228537</v>
      </c>
      <c r="G309" s="369">
        <f t="shared" ca="1" si="53"/>
        <v>0.84116022258583178</v>
      </c>
      <c r="H309" s="369">
        <f t="shared" ca="1" si="54"/>
        <v>0.1059248317254541</v>
      </c>
      <c r="I309" s="369">
        <f t="shared" ca="1" si="55"/>
        <v>3.2123668578737448E-2</v>
      </c>
      <c r="J309" s="746">
        <f t="shared" ca="1" si="56"/>
        <v>2.0791277109976695E-2</v>
      </c>
    </row>
    <row r="310" spans="1:11">
      <c r="A310" s="230" t="s">
        <v>895</v>
      </c>
      <c r="B310" s="498">
        <f ca="1">Vehi_Comp_Sum!K200</f>
        <v>587.0487054561454</v>
      </c>
      <c r="C310" s="496">
        <f>Vehi_ADR!J132</f>
        <v>77.903979866860453</v>
      </c>
      <c r="D310" s="496">
        <f ca="1">Battery_Sum!K253</f>
        <v>28.334400629124417</v>
      </c>
      <c r="E310" s="496">
        <f>Vehi_Fluids!G131</f>
        <v>26.127716033425571</v>
      </c>
      <c r="F310" s="497">
        <f t="shared" ca="1" si="57"/>
        <v>719.41480198555587</v>
      </c>
      <c r="G310" s="369">
        <f t="shared" ca="1" si="53"/>
        <v>0.81600865569615</v>
      </c>
      <c r="H310" s="369">
        <f t="shared" ca="1" si="54"/>
        <v>0.10828798580714298</v>
      </c>
      <c r="I310" s="369">
        <f t="shared" ca="1" si="55"/>
        <v>3.9385345632203583E-2</v>
      </c>
      <c r="J310" s="746">
        <f t="shared" ca="1" si="56"/>
        <v>3.6318012864503382E-2</v>
      </c>
    </row>
    <row r="311" spans="1:11">
      <c r="A311" s="661" t="s">
        <v>896</v>
      </c>
      <c r="B311" s="498">
        <f ca="1">Vehi_Comp_Sum!K201</f>
        <v>4.3588389707320525</v>
      </c>
      <c r="C311" s="496">
        <f>Vehi_ADR!J133</f>
        <v>0.48156408344236989</v>
      </c>
      <c r="D311" s="496">
        <f ca="1">Battery_Sum!K254</f>
        <v>0.15414196466692776</v>
      </c>
      <c r="E311" s="496">
        <f>Vehi_Fluids!G132</f>
        <v>0.12826624110914431</v>
      </c>
      <c r="F311" s="497">
        <f ca="1">SUM(B311:E311)</f>
        <v>5.1228112599504945</v>
      </c>
      <c r="G311" s="369">
        <f t="shared" ca="1" si="53"/>
        <v>0.85086854649690435</v>
      </c>
      <c r="H311" s="369">
        <f t="shared" ca="1" si="54"/>
        <v>9.4003869946796284E-2</v>
      </c>
      <c r="I311" s="369">
        <f t="shared" ca="1" si="55"/>
        <v>3.0089331198279858E-2</v>
      </c>
      <c r="J311" s="746">
        <f t="shared" ca="1" si="56"/>
        <v>2.50382523580195E-2</v>
      </c>
    </row>
    <row r="312" spans="1:11">
      <c r="A312" s="897" t="s">
        <v>897</v>
      </c>
      <c r="B312" s="501">
        <f ca="1">Vehi_Comp_Sum!K202</f>
        <v>17.576328641338495</v>
      </c>
      <c r="C312" s="499">
        <f>Vehi_ADR!J134</f>
        <v>2.6308995653983809</v>
      </c>
      <c r="D312" s="499">
        <f ca="1">Battery_Sum!K255</f>
        <v>0.65849377677166721</v>
      </c>
      <c r="E312" s="499">
        <f>Vehi_Fluids!G133</f>
        <v>0.26424515284277039</v>
      </c>
      <c r="F312" s="500">
        <f ca="1">SUM(B312:E312)</f>
        <v>21.129967136351315</v>
      </c>
      <c r="G312" s="426">
        <f t="shared" ca="1" si="53"/>
        <v>0.83181997056212864</v>
      </c>
      <c r="H312" s="426">
        <f t="shared" ca="1" si="54"/>
        <v>0.12451034819037962</v>
      </c>
      <c r="I312" s="426">
        <f t="shared" ca="1" si="55"/>
        <v>3.1163975434624114E-2</v>
      </c>
      <c r="J312" s="747">
        <f t="shared" ca="1" si="56"/>
        <v>1.2505705812867619E-2</v>
      </c>
    </row>
    <row r="314" spans="1:11" ht="15">
      <c r="A314" s="75" t="s">
        <v>1906</v>
      </c>
      <c r="G314" s="369"/>
      <c r="H314" s="369"/>
      <c r="I314" s="369"/>
      <c r="J314" s="369"/>
    </row>
    <row r="315" spans="1:11" ht="51">
      <c r="A315" s="481"/>
      <c r="B315" s="742" t="s">
        <v>141</v>
      </c>
      <c r="C315" s="742" t="s">
        <v>142</v>
      </c>
      <c r="D315" s="742" t="s">
        <v>143</v>
      </c>
      <c r="E315" s="742" t="s">
        <v>144</v>
      </c>
      <c r="F315" s="670" t="s">
        <v>145</v>
      </c>
      <c r="G315" s="670" t="s">
        <v>146</v>
      </c>
      <c r="H315" s="670" t="s">
        <v>147</v>
      </c>
      <c r="I315" s="670" t="s">
        <v>148</v>
      </c>
      <c r="J315" s="742" t="s">
        <v>149</v>
      </c>
      <c r="K315" s="873" t="s">
        <v>150</v>
      </c>
    </row>
    <row r="316" spans="1:11">
      <c r="A316" s="1351" t="s">
        <v>1907</v>
      </c>
      <c r="B316" s="1671">
        <f>Vehi_Inputs!B146</f>
        <v>173151</v>
      </c>
      <c r="C316" s="1671">
        <f>Vehi_Inputs!C146</f>
        <v>173151</v>
      </c>
      <c r="D316" s="1671">
        <f>Vehi_Inputs!D146</f>
        <v>173151</v>
      </c>
      <c r="E316" s="1671">
        <f>Vehi_Inputs!E146</f>
        <v>173151</v>
      </c>
      <c r="F316" s="1671">
        <f>Vehi_Inputs!F146</f>
        <v>173151</v>
      </c>
      <c r="G316" s="1671">
        <f>Vehi_Inputs!G146</f>
        <v>173151</v>
      </c>
      <c r="H316" s="1671">
        <f>Vehi_Inputs!H146</f>
        <v>173151</v>
      </c>
      <c r="I316" s="1671">
        <f>Vehi_Inputs!I146</f>
        <v>173151</v>
      </c>
      <c r="J316" s="1671">
        <f>Vehi_Inputs!J146</f>
        <v>173151</v>
      </c>
      <c r="K316" s="1146">
        <f>Vehi_Inputs!K146</f>
        <v>173151</v>
      </c>
    </row>
    <row r="317" spans="1:11">
      <c r="A317" s="100" t="s">
        <v>876</v>
      </c>
      <c r="B317" s="459">
        <f ca="1">F7/B$316*1000000</f>
        <v>511.97035482076103</v>
      </c>
      <c r="C317" s="459">
        <f ca="1">F38/C$316*1000000</f>
        <v>713.94744580334725</v>
      </c>
      <c r="D317" s="459">
        <f ca="1">F69/D$316*1000000</f>
        <v>523.28639913613245</v>
      </c>
      <c r="E317" s="459">
        <f ca="1">F100/E$316*1000000</f>
        <v>727.50759502264259</v>
      </c>
      <c r="F317" s="459">
        <f ca="1">F131/F$316*1000000</f>
        <v>552.82883370140007</v>
      </c>
      <c r="G317" s="459">
        <f ca="1">F162/G$316*1000000</f>
        <v>752.92353696761711</v>
      </c>
      <c r="H317" s="459">
        <f ca="1">F193/H$316*1000000</f>
        <v>826.4778253637154</v>
      </c>
      <c r="I317" s="459">
        <f ca="1">F224/I$316*1000000</f>
        <v>997.49507622654869</v>
      </c>
      <c r="J317" s="459">
        <f ca="1">F255/J$316*1000000</f>
        <v>681.02941973630891</v>
      </c>
      <c r="K317" s="900">
        <f ca="1">F286/K$316*1000000</f>
        <v>922.77311003830255</v>
      </c>
    </row>
    <row r="318" spans="1:11">
      <c r="A318" s="100" t="s">
        <v>877</v>
      </c>
      <c r="B318" s="459">
        <f ca="1">F8/B$316*1000000</f>
        <v>464.3770639879346</v>
      </c>
      <c r="C318" s="459">
        <f ca="1">F39/C$316*1000000</f>
        <v>643.71992027438898</v>
      </c>
      <c r="D318" s="459">
        <f ca="1">F70/D$316*1000000</f>
        <v>476.02555170589665</v>
      </c>
      <c r="E318" s="459">
        <f ca="1">F101/E$316*1000000</f>
        <v>655.41468183638028</v>
      </c>
      <c r="F318" s="459">
        <f ca="1">F132/F$316*1000000</f>
        <v>502.1719560693885</v>
      </c>
      <c r="G318" s="459">
        <f ca="1">F163/G$316*1000000</f>
        <v>679.62900288771789</v>
      </c>
      <c r="H318" s="459">
        <f ca="1">F194/H$316*1000000</f>
        <v>740.10937978692266</v>
      </c>
      <c r="I318" s="459">
        <f ca="1">F225/I$316*1000000</f>
        <v>890.61208904358944</v>
      </c>
      <c r="J318" s="459">
        <f ca="1">F256/J$316*1000000</f>
        <v>606.59262814345789</v>
      </c>
      <c r="K318" s="900">
        <f ca="1">F287/K$316*1000000</f>
        <v>824.51884684496576</v>
      </c>
    </row>
    <row r="319" spans="1:11">
      <c r="A319" s="100" t="s">
        <v>442</v>
      </c>
      <c r="B319" s="459">
        <f ca="1">F9/B$316*1000000</f>
        <v>125.91480800725125</v>
      </c>
      <c r="C319" s="459">
        <f ca="1">F40/C$316*1000000</f>
        <v>113.79310343442756</v>
      </c>
      <c r="D319" s="459">
        <f ca="1">F71/D$316*1000000</f>
        <v>139.23142525337587</v>
      </c>
      <c r="E319" s="459">
        <f ca="1">F102/E$316*1000000</f>
        <v>122.69669896827084</v>
      </c>
      <c r="F319" s="459">
        <f ca="1">F133/F$316*1000000</f>
        <v>144.99015551529345</v>
      </c>
      <c r="G319" s="459">
        <f ca="1">F164/G$316*1000000</f>
        <v>127.4986113759132</v>
      </c>
      <c r="H319" s="459">
        <f ca="1">F195/H$316*1000000</f>
        <v>204.0485443212649</v>
      </c>
      <c r="I319" s="459">
        <f ca="1">F226/I$316*1000000</f>
        <v>180.96846372252699</v>
      </c>
      <c r="J319" s="459">
        <f ca="1">F257/J$316*1000000</f>
        <v>150.23248289451865</v>
      </c>
      <c r="K319" s="900">
        <f ca="1">F288/K$316*1000000</f>
        <v>140.24373819722612</v>
      </c>
    </row>
    <row r="320" spans="1:11">
      <c r="A320" s="100" t="s">
        <v>878</v>
      </c>
      <c r="B320" s="459">
        <f t="shared" ref="B320:J320" ca="1" si="59">B318-B319-B321</f>
        <v>235.01373735562134</v>
      </c>
      <c r="C320" s="459">
        <f t="shared" ca="1" si="59"/>
        <v>367.18720428431476</v>
      </c>
      <c r="D320" s="459">
        <f t="shared" ca="1" si="59"/>
        <v>240.65652623160707</v>
      </c>
      <c r="E320" s="459">
        <f t="shared" ca="1" si="59"/>
        <v>375.02459870042128</v>
      </c>
      <c r="F320" s="459">
        <f t="shared" ca="1" si="59"/>
        <v>258.10797704564271</v>
      </c>
      <c r="G320" s="459">
        <f t="shared" ca="1" si="59"/>
        <v>391.46065399407411</v>
      </c>
      <c r="H320" s="459">
        <f t="shared" ca="1" si="59"/>
        <v>430.85320029101047</v>
      </c>
      <c r="I320" s="459">
        <f t="shared" ca="1" si="59"/>
        <v>545.77981385471548</v>
      </c>
      <c r="J320" s="459">
        <f t="shared" ca="1" si="59"/>
        <v>345.56647742142087</v>
      </c>
      <c r="K320" s="900">
        <f ca="1">K318-K319-K321</f>
        <v>504.35708749566197</v>
      </c>
    </row>
    <row r="321" spans="1:11">
      <c r="A321" s="100" t="s">
        <v>440</v>
      </c>
      <c r="B321" s="459">
        <f ca="1">F11/B$316*1000000</f>
        <v>103.44851862506202</v>
      </c>
      <c r="C321" s="459">
        <f ca="1">F42/C$316*1000000</f>
        <v>162.73961255564672</v>
      </c>
      <c r="D321" s="459">
        <f ca="1">F73/D$316*1000000</f>
        <v>96.137600220913725</v>
      </c>
      <c r="E321" s="459">
        <f ca="1">F104/E$316*1000000</f>
        <v>157.69338416768815</v>
      </c>
      <c r="F321" s="459">
        <f ca="1">F135/F$316*1000000</f>
        <v>99.07382350845235</v>
      </c>
      <c r="G321" s="459">
        <f ca="1">F166/G$316*1000000</f>
        <v>160.66973751773054</v>
      </c>
      <c r="H321" s="459">
        <f ca="1">F197/H$316*1000000</f>
        <v>105.20763517464732</v>
      </c>
      <c r="I321" s="459">
        <f ca="1">F228/I$316*1000000</f>
        <v>163.86381146634696</v>
      </c>
      <c r="J321" s="459">
        <f ca="1">F259/J$316*1000000</f>
        <v>110.79366782751841</v>
      </c>
      <c r="K321" s="900">
        <f ca="1">F290/K$316*1000000</f>
        <v>179.9180211520777</v>
      </c>
    </row>
    <row r="322" spans="1:11">
      <c r="A322" s="488" t="s">
        <v>819</v>
      </c>
      <c r="B322" s="460">
        <f t="shared" ref="B322:B343" ca="1" si="60">F12/B$316</f>
        <v>2.3518838636276289E-2</v>
      </c>
      <c r="C322" s="460">
        <f t="shared" ref="C322:C343" ca="1" si="61">F43/C$316</f>
        <v>3.3458334783804652E-2</v>
      </c>
      <c r="D322" s="460">
        <f t="shared" ref="D322:D343" ca="1" si="62">F74/D$316</f>
        <v>2.2425838275984263E-2</v>
      </c>
      <c r="E322" s="460">
        <f t="shared" ref="E322:E343" ca="1" si="63">F105/E$316</f>
        <v>3.3813433759222918E-2</v>
      </c>
      <c r="F322" s="460">
        <f t="shared" ref="F322:F343" ca="1" si="64">F136/F$316</f>
        <v>2.5289839880616928E-2</v>
      </c>
      <c r="G322" s="460">
        <f t="shared" ref="G322:G343" ca="1" si="65">F167/G$316</f>
        <v>3.5072846958847957E-2</v>
      </c>
      <c r="H322" s="460">
        <f t="shared" ref="H322:H343" ca="1" si="66">F198/H$316</f>
        <v>5.3923734327955004E-2</v>
      </c>
      <c r="I322" s="460">
        <f t="shared" ref="I322:I343" ca="1" si="67">F229/I$316</f>
        <v>6.1499616753886634E-2</v>
      </c>
      <c r="J322" s="460">
        <f t="shared" ref="J322:J343" ca="1" si="68">F260/J$316</f>
        <v>3.1032345065815359E-2</v>
      </c>
      <c r="K322" s="901">
        <f t="shared" ref="K322:K343" ca="1" si="69">F291/K$316</f>
        <v>4.2500041960502659E-2</v>
      </c>
    </row>
    <row r="323" spans="1:11">
      <c r="A323" s="481" t="s">
        <v>889</v>
      </c>
      <c r="B323" s="633">
        <f t="shared" ca="1" si="60"/>
        <v>30.808276004229057</v>
      </c>
      <c r="C323" s="633">
        <f t="shared" ca="1" si="61"/>
        <v>37.952258259854304</v>
      </c>
      <c r="D323" s="633">
        <f t="shared" ca="1" si="62"/>
        <v>31.603254255180772</v>
      </c>
      <c r="E323" s="633">
        <f t="shared" ca="1" si="63"/>
        <v>39.036039125938544</v>
      </c>
      <c r="F323" s="633">
        <f t="shared" ca="1" si="64"/>
        <v>33.66163972111142</v>
      </c>
      <c r="G323" s="633">
        <f t="shared" ca="1" si="65"/>
        <v>40.722860920923935</v>
      </c>
      <c r="H323" s="633">
        <f t="shared" ca="1" si="66"/>
        <v>51.47884862348085</v>
      </c>
      <c r="I323" s="633">
        <f t="shared" ca="1" si="67"/>
        <v>55.939875041012705</v>
      </c>
      <c r="J323" s="633">
        <f t="shared" ca="1" si="68"/>
        <v>37.721625924309258</v>
      </c>
      <c r="K323" s="902">
        <f t="shared" ca="1" si="69"/>
        <v>46.647818306581279</v>
      </c>
    </row>
    <row r="324" spans="1:11">
      <c r="A324" s="291" t="s">
        <v>1895</v>
      </c>
      <c r="B324" s="459">
        <f t="shared" ca="1" si="60"/>
        <v>31.565438875307823</v>
      </c>
      <c r="C324" s="459">
        <f t="shared" ca="1" si="61"/>
        <v>38.636102742802557</v>
      </c>
      <c r="D324" s="459">
        <f t="shared" ca="1" si="62"/>
        <v>32.370578114983793</v>
      </c>
      <c r="E324" s="459">
        <f t="shared" ca="1" si="63"/>
        <v>39.73117106603771</v>
      </c>
      <c r="F324" s="459">
        <f t="shared" ca="1" si="64"/>
        <v>34.429931342954696</v>
      </c>
      <c r="G324" s="459">
        <f t="shared" ca="1" si="65"/>
        <v>41.419929593336754</v>
      </c>
      <c r="H324" s="459">
        <f t="shared" ca="1" si="66"/>
        <v>52.247366447747481</v>
      </c>
      <c r="I324" s="459">
        <f t="shared" ca="1" si="67"/>
        <v>56.626673935941881</v>
      </c>
      <c r="J324" s="459">
        <f t="shared" ca="1" si="68"/>
        <v>38.478030557195837</v>
      </c>
      <c r="K324" s="900">
        <f t="shared" ca="1" si="69"/>
        <v>47.33364399417038</v>
      </c>
    </row>
    <row r="325" spans="1:11">
      <c r="A325" s="100" t="s">
        <v>887</v>
      </c>
      <c r="B325" s="460">
        <f t="shared" ca="1" si="60"/>
        <v>8.2975459532039331E-2</v>
      </c>
      <c r="C325" s="460">
        <f t="shared" ca="1" si="61"/>
        <v>0.11033810249283908</v>
      </c>
      <c r="D325" s="460">
        <f t="shared" ca="1" si="62"/>
        <v>8.4224962210404208E-2</v>
      </c>
      <c r="E325" s="377">
        <f t="shared" ca="1" si="63"/>
        <v>0.11233171082204117</v>
      </c>
      <c r="F325" s="377">
        <f t="shared" ca="1" si="64"/>
        <v>8.81883987204444E-2</v>
      </c>
      <c r="G325" s="377">
        <f t="shared" ca="1" si="65"/>
        <v>0.11625664717354578</v>
      </c>
      <c r="H325" s="377">
        <f t="shared" ca="1" si="66"/>
        <v>0.13103980018618444</v>
      </c>
      <c r="I325" s="377">
        <f t="shared" ca="1" si="67"/>
        <v>0.1547568363651898</v>
      </c>
      <c r="J325" s="460">
        <f t="shared" ca="1" si="68"/>
        <v>0.10701035424624651</v>
      </c>
      <c r="K325" s="901">
        <f t="shared" ca="1" si="69"/>
        <v>0.14254698416498035</v>
      </c>
    </row>
    <row r="326" spans="1:11">
      <c r="A326" s="100" t="s">
        <v>888</v>
      </c>
      <c r="B326" s="460">
        <f t="shared" ca="1" si="60"/>
        <v>7.8760639393577077E-4</v>
      </c>
      <c r="C326" s="460">
        <f t="shared" ca="1" si="61"/>
        <v>1.012707003020666E-3</v>
      </c>
      <c r="D326" s="460">
        <f t="shared" ca="1" si="62"/>
        <v>8.144144339985313E-4</v>
      </c>
      <c r="E326" s="377">
        <f t="shared" ca="1" si="63"/>
        <v>1.0456070191091284E-3</v>
      </c>
      <c r="F326" s="377">
        <f t="shared" ca="1" si="64"/>
        <v>8.5128614966868167E-4</v>
      </c>
      <c r="G326" s="377">
        <f t="shared" ca="1" si="65"/>
        <v>1.0848348067649218E-3</v>
      </c>
      <c r="H326" s="377">
        <f t="shared" ca="1" si="66"/>
        <v>1.5205624232791286E-3</v>
      </c>
      <c r="I326" s="377">
        <f t="shared" ca="1" si="67"/>
        <v>1.6777392311734616E-3</v>
      </c>
      <c r="J326" s="460">
        <f t="shared" ca="1" si="68"/>
        <v>9.8724147189206517E-4</v>
      </c>
      <c r="K326" s="901">
        <f t="shared" ca="1" si="69"/>
        <v>1.2896336315103378E-3</v>
      </c>
    </row>
    <row r="327" spans="1:11">
      <c r="A327" s="292" t="s">
        <v>1896</v>
      </c>
      <c r="B327" s="634">
        <f t="shared" ca="1" si="60"/>
        <v>34.61225458279258</v>
      </c>
      <c r="C327" s="634">
        <f t="shared" ca="1" si="61"/>
        <v>43.168109727514192</v>
      </c>
      <c r="D327" s="634">
        <f t="shared" ca="1" si="62"/>
        <v>35.460264823243605</v>
      </c>
      <c r="E327" s="635">
        <f t="shared" ca="1" si="63"/>
        <v>44.332843572800982</v>
      </c>
      <c r="F327" s="635">
        <f t="shared" ca="1" si="64"/>
        <v>37.612832860607753</v>
      </c>
      <c r="G327" s="635">
        <f t="shared" ca="1" si="65"/>
        <v>46.083528852818191</v>
      </c>
      <c r="H327" s="635">
        <f t="shared" ca="1" si="66"/>
        <v>57.054664312605247</v>
      </c>
      <c r="I327" s="635">
        <f t="shared" ca="1" si="67"/>
        <v>62.765675288407273</v>
      </c>
      <c r="J327" s="634">
        <f t="shared" ca="1" si="68"/>
        <v>42.304193097167726</v>
      </c>
      <c r="K327" s="903">
        <f t="shared" ca="1" si="69"/>
        <v>53.069266124548264</v>
      </c>
    </row>
    <row r="328" spans="1:11">
      <c r="A328" s="291" t="s">
        <v>879</v>
      </c>
      <c r="B328" s="460">
        <f t="shared" ca="1" si="60"/>
        <v>0.18857460396417244</v>
      </c>
      <c r="C328" s="460">
        <f t="shared" ca="1" si="61"/>
        <v>0.18529592714288531</v>
      </c>
      <c r="D328" s="460">
        <f t="shared" ca="1" si="62"/>
        <v>0.18941548355812771</v>
      </c>
      <c r="E328" s="377">
        <f t="shared" ca="1" si="63"/>
        <v>0.18591025346542545</v>
      </c>
      <c r="F328" s="377">
        <f t="shared" ca="1" si="64"/>
        <v>0.18959718548453192</v>
      </c>
      <c r="G328" s="377">
        <f t="shared" ca="1" si="65"/>
        <v>0.18615678980100153</v>
      </c>
      <c r="H328" s="377">
        <f t="shared" ca="1" si="66"/>
        <v>0.18982983376634416</v>
      </c>
      <c r="I328" s="377">
        <f t="shared" ca="1" si="67"/>
        <v>0.1860880320763062</v>
      </c>
      <c r="J328" s="460">
        <f t="shared" ca="1" si="68"/>
        <v>0.18958774840875528</v>
      </c>
      <c r="K328" s="901">
        <f t="shared" ca="1" si="69"/>
        <v>0.18680253271799921</v>
      </c>
    </row>
    <row r="329" spans="1:11">
      <c r="A329" s="291" t="s">
        <v>880</v>
      </c>
      <c r="B329" s="460">
        <f t="shared" ca="1" si="60"/>
        <v>0.10782462009694165</v>
      </c>
      <c r="C329" s="460">
        <f t="shared" ca="1" si="61"/>
        <v>6.767017304277996E-2</v>
      </c>
      <c r="D329" s="460">
        <f t="shared" ca="1" si="62"/>
        <v>0.1126229593025434</v>
      </c>
      <c r="E329" s="377">
        <f t="shared" ca="1" si="63"/>
        <v>7.3634686447588762E-2</v>
      </c>
      <c r="F329" s="377">
        <f t="shared" ca="1" si="64"/>
        <v>0.11287843238624322</v>
      </c>
      <c r="G329" s="377">
        <f t="shared" ca="1" si="65"/>
        <v>7.437818873314149E-2</v>
      </c>
      <c r="H329" s="377">
        <f t="shared" ca="1" si="66"/>
        <v>0.11256096029066151</v>
      </c>
      <c r="I329" s="377">
        <f t="shared" ca="1" si="67"/>
        <v>6.7979245276322597E-2</v>
      </c>
      <c r="J329" s="460">
        <f t="shared" ca="1" si="68"/>
        <v>0.10533270173530328</v>
      </c>
      <c r="K329" s="901">
        <f t="shared" ca="1" si="69"/>
        <v>6.5942838575093796E-2</v>
      </c>
    </row>
    <row r="330" spans="1:11">
      <c r="A330" s="291" t="s">
        <v>881</v>
      </c>
      <c r="B330" s="460">
        <f t="shared" ca="1" si="60"/>
        <v>3.3766480994129183E-2</v>
      </c>
      <c r="C330" s="460">
        <f t="shared" ca="1" si="61"/>
        <v>4.0753667011542892E-2</v>
      </c>
      <c r="D330" s="460">
        <f t="shared" ca="1" si="62"/>
        <v>3.4776512114141532E-2</v>
      </c>
      <c r="E330" s="377">
        <f t="shared" ca="1" si="63"/>
        <v>4.1912612950210586E-2</v>
      </c>
      <c r="F330" s="377">
        <f t="shared" ca="1" si="64"/>
        <v>3.7309584240695109E-2</v>
      </c>
      <c r="G330" s="377">
        <f t="shared" ca="1" si="65"/>
        <v>4.412742962794091E-2</v>
      </c>
      <c r="H330" s="377">
        <f t="shared" ca="1" si="66"/>
        <v>6.1241702343968696E-2</v>
      </c>
      <c r="I330" s="377">
        <f t="shared" ca="1" si="67"/>
        <v>6.4653635019022604E-2</v>
      </c>
      <c r="J330" s="460">
        <f t="shared" ca="1" si="68"/>
        <v>3.8393075525988404E-2</v>
      </c>
      <c r="K330" s="901">
        <f t="shared" ca="1" si="69"/>
        <v>4.8096216543491582E-2</v>
      </c>
    </row>
    <row r="331" spans="1:11">
      <c r="A331" s="291" t="s">
        <v>882</v>
      </c>
      <c r="B331" s="460">
        <f t="shared" ca="1" si="60"/>
        <v>1.3603316012184855E-2</v>
      </c>
      <c r="C331" s="460">
        <f t="shared" ca="1" si="61"/>
        <v>1.7996862429252584E-2</v>
      </c>
      <c r="D331" s="460">
        <f t="shared" ca="1" si="62"/>
        <v>1.4964042457161439E-2</v>
      </c>
      <c r="E331" s="377">
        <f t="shared" ca="1" si="63"/>
        <v>1.9251183650544599E-2</v>
      </c>
      <c r="F331" s="377">
        <f t="shared" ca="1" si="64"/>
        <v>1.5369218787712437E-2</v>
      </c>
      <c r="G331" s="377">
        <f t="shared" ca="1" si="65"/>
        <v>1.9682187104197297E-2</v>
      </c>
      <c r="H331" s="377">
        <f t="shared" ca="1" si="66"/>
        <v>2.9468416816225085E-2</v>
      </c>
      <c r="I331" s="377">
        <f t="shared" ca="1" si="67"/>
        <v>3.1953624689371726E-2</v>
      </c>
      <c r="J331" s="460">
        <f t="shared" ca="1" si="68"/>
        <v>1.5739834233133052E-2</v>
      </c>
      <c r="K331" s="901">
        <f t="shared" ca="1" si="69"/>
        <v>2.2389943984190547E-2</v>
      </c>
    </row>
    <row r="332" spans="1:11">
      <c r="A332" s="291" t="s">
        <v>883</v>
      </c>
      <c r="B332" s="460">
        <f t="shared" ca="1" si="60"/>
        <v>6.4879274699871162E-3</v>
      </c>
      <c r="C332" s="460">
        <f t="shared" ca="1" si="61"/>
        <v>6.5983762052348252E-3</v>
      </c>
      <c r="D332" s="460">
        <f t="shared" ca="1" si="62"/>
        <v>7.1084129596516634E-3</v>
      </c>
      <c r="E332" s="377">
        <f t="shared" ca="1" si="63"/>
        <v>7.1389154033384356E-3</v>
      </c>
      <c r="F332" s="377">
        <f t="shared" ca="1" si="64"/>
        <v>7.105038949249424E-3</v>
      </c>
      <c r="G332" s="377">
        <f t="shared" ca="1" si="65"/>
        <v>7.1465685317928995E-3</v>
      </c>
      <c r="H332" s="377">
        <f t="shared" ca="1" si="66"/>
        <v>1.1355752618607639E-2</v>
      </c>
      <c r="I332" s="377">
        <f t="shared" ca="1" si="67"/>
        <v>1.082668641440747E-2</v>
      </c>
      <c r="J332" s="460">
        <f t="shared" ca="1" si="68"/>
        <v>7.0833660119572778E-3</v>
      </c>
      <c r="K332" s="901">
        <f t="shared" ca="1" si="69"/>
        <v>7.6233520512684113E-3</v>
      </c>
    </row>
    <row r="333" spans="1:11">
      <c r="A333" s="291" t="s">
        <v>884</v>
      </c>
      <c r="B333" s="460">
        <f t="shared" ca="1" si="60"/>
        <v>0.11425139788699852</v>
      </c>
      <c r="C333" s="460">
        <f t="shared" ca="1" si="61"/>
        <v>0.10055132811384607</v>
      </c>
      <c r="D333" s="460">
        <f t="shared" ca="1" si="62"/>
        <v>0.26442920649043289</v>
      </c>
      <c r="E333" s="377">
        <f t="shared" ca="1" si="63"/>
        <v>0.21056508345903427</v>
      </c>
      <c r="F333" s="377">
        <f t="shared" ca="1" si="64"/>
        <v>0.16660312253599591</v>
      </c>
      <c r="G333" s="377">
        <f t="shared" ca="1" si="65"/>
        <v>0.1462113074442834</v>
      </c>
      <c r="H333" s="377">
        <f t="shared" ca="1" si="66"/>
        <v>0.42865872562760454</v>
      </c>
      <c r="I333" s="377">
        <f t="shared" ca="1" si="67"/>
        <v>0.37495677250340681</v>
      </c>
      <c r="J333" s="460">
        <f t="shared" ca="1" si="68"/>
        <v>0.23659026450454645</v>
      </c>
      <c r="K333" s="901">
        <f t="shared" ca="1" si="69"/>
        <v>0.22470964835138624</v>
      </c>
    </row>
    <row r="334" spans="1:11">
      <c r="A334" s="483" t="s">
        <v>885</v>
      </c>
      <c r="B334" s="460">
        <f t="shared" ca="1" si="60"/>
        <v>2.0544182518401384E-4</v>
      </c>
      <c r="C334" s="460">
        <f t="shared" ca="1" si="61"/>
        <v>2.7330013027410582E-4</v>
      </c>
      <c r="D334" s="460">
        <f t="shared" ca="1" si="62"/>
        <v>2.1431054988643481E-4</v>
      </c>
      <c r="E334" s="377">
        <f t="shared" ca="1" si="63"/>
        <v>2.8261476279527816E-4</v>
      </c>
      <c r="F334" s="377">
        <f t="shared" ca="1" si="64"/>
        <v>2.3555054755596553E-4</v>
      </c>
      <c r="G334" s="377">
        <f t="shared" ca="1" si="65"/>
        <v>3.0073337235674464E-4</v>
      </c>
      <c r="H334" s="377">
        <f t="shared" ca="1" si="66"/>
        <v>4.3973523491275799E-4</v>
      </c>
      <c r="I334" s="377">
        <f t="shared" ca="1" si="67"/>
        <v>4.7862846176447826E-4</v>
      </c>
      <c r="J334" s="460">
        <f t="shared" ca="1" si="68"/>
        <v>2.429980584439072E-4</v>
      </c>
      <c r="K334" s="901">
        <f t="shared" ca="1" si="69"/>
        <v>3.3019379695399027E-4</v>
      </c>
    </row>
    <row r="335" spans="1:11">
      <c r="A335" s="483" t="s">
        <v>886</v>
      </c>
      <c r="B335" s="460">
        <f t="shared" ca="1" si="60"/>
        <v>4.4965861844969708E-4</v>
      </c>
      <c r="C335" s="460">
        <f t="shared" ca="1" si="61"/>
        <v>6.2416045740529248E-4</v>
      </c>
      <c r="D335" s="460">
        <f t="shared" ca="1" si="62"/>
        <v>4.6981787068317343E-4</v>
      </c>
      <c r="E335" s="377">
        <f t="shared" ca="1" si="63"/>
        <v>6.4470638020046691E-4</v>
      </c>
      <c r="F335" s="377">
        <f t="shared" ca="1" si="64"/>
        <v>5.1699044389416616E-4</v>
      </c>
      <c r="G335" s="377">
        <f t="shared" ca="1" si="65"/>
        <v>6.8561211159451558E-4</v>
      </c>
      <c r="H335" s="377">
        <f t="shared" ca="1" si="66"/>
        <v>9.6016847609511262E-4</v>
      </c>
      <c r="I335" s="377">
        <f t="shared" ca="1" si="67"/>
        <v>1.0725985273767765E-3</v>
      </c>
      <c r="J335" s="460">
        <f t="shared" ca="1" si="68"/>
        <v>6.1881786938690331E-4</v>
      </c>
      <c r="K335" s="901">
        <f t="shared" ca="1" si="69"/>
        <v>8.2598720868974412E-4</v>
      </c>
    </row>
    <row r="336" spans="1:11">
      <c r="A336" s="702" t="s">
        <v>890</v>
      </c>
      <c r="B336" s="636">
        <f t="shared" ca="1" si="60"/>
        <v>0.11123218959079555</v>
      </c>
      <c r="C336" s="636">
        <f t="shared" ca="1" si="61"/>
        <v>0.11152093304526464</v>
      </c>
      <c r="D336" s="636">
        <f t="shared" ca="1" si="62"/>
        <v>0.11114617966778181</v>
      </c>
      <c r="E336" s="367">
        <f t="shared" ca="1" si="63"/>
        <v>0.11144297367162148</v>
      </c>
      <c r="F336" s="367">
        <f t="shared" ca="1" si="64"/>
        <v>0.11116878093180575</v>
      </c>
      <c r="G336" s="367">
        <f t="shared" ca="1" si="65"/>
        <v>0.11146493408830413</v>
      </c>
      <c r="H336" s="367">
        <f t="shared" ca="1" si="66"/>
        <v>0.11077184263674171</v>
      </c>
      <c r="I336" s="367">
        <f t="shared" ca="1" si="67"/>
        <v>0.11104710764600877</v>
      </c>
      <c r="J336" s="636">
        <f t="shared" ca="1" si="68"/>
        <v>0.11082186701285679</v>
      </c>
      <c r="K336" s="904">
        <f t="shared" ca="1" si="69"/>
        <v>0.11113821752031272</v>
      </c>
    </row>
    <row r="337" spans="1:11">
      <c r="A337" s="291" t="s">
        <v>891</v>
      </c>
      <c r="B337" s="460">
        <f t="shared" ca="1" si="60"/>
        <v>1.4194727471152446E-3</v>
      </c>
      <c r="C337" s="460">
        <f t="shared" ca="1" si="61"/>
        <v>2.0146696849072496E-3</v>
      </c>
      <c r="D337" s="460">
        <f t="shared" ca="1" si="62"/>
        <v>1.4036548653887596E-3</v>
      </c>
      <c r="E337" s="377">
        <f t="shared" ca="1" si="63"/>
        <v>2.0158148808774516E-3</v>
      </c>
      <c r="F337" s="377">
        <f t="shared" ca="1" si="64"/>
        <v>1.4791672783679522E-3</v>
      </c>
      <c r="G337" s="377">
        <f t="shared" ca="1" si="65"/>
        <v>2.0842148152797886E-3</v>
      </c>
      <c r="H337" s="377">
        <f t="shared" ca="1" si="66"/>
        <v>2.0110136220105783E-3</v>
      </c>
      <c r="I337" s="377">
        <f t="shared" ca="1" si="67"/>
        <v>2.5319903168644908E-3</v>
      </c>
      <c r="J337" s="460">
        <f t="shared" ca="1" si="68"/>
        <v>1.7219182243954257E-3</v>
      </c>
      <c r="K337" s="901">
        <f t="shared" ca="1" si="69"/>
        <v>2.404277458745338E-3</v>
      </c>
    </row>
    <row r="338" spans="1:11">
      <c r="A338" s="291" t="s">
        <v>892</v>
      </c>
      <c r="B338" s="460">
        <f t="shared" ca="1" si="60"/>
        <v>3.9515670821448998E-3</v>
      </c>
      <c r="C338" s="460">
        <f t="shared" ca="1" si="61"/>
        <v>5.183800182727882E-3</v>
      </c>
      <c r="D338" s="460">
        <f t="shared" ca="1" si="62"/>
        <v>3.8486860571158403E-3</v>
      </c>
      <c r="E338" s="377">
        <f t="shared" ca="1" si="63"/>
        <v>5.1029840089196398E-3</v>
      </c>
      <c r="F338" s="377">
        <f t="shared" ca="1" si="64"/>
        <v>4.0340189443011029E-3</v>
      </c>
      <c r="G338" s="377">
        <f t="shared" ca="1" si="65"/>
        <v>5.2546252552464609E-3</v>
      </c>
      <c r="H338" s="377">
        <f t="shared" ca="1" si="66"/>
        <v>4.4484763726142119E-3</v>
      </c>
      <c r="I338" s="377">
        <f t="shared" ca="1" si="67"/>
        <v>5.4506473556824057E-3</v>
      </c>
      <c r="J338" s="460">
        <f t="shared" ca="1" si="68"/>
        <v>3.6359996107200089E-3</v>
      </c>
      <c r="K338" s="901">
        <f t="shared" ca="1" si="69"/>
        <v>4.96491180006712E-3</v>
      </c>
    </row>
    <row r="339" spans="1:11">
      <c r="A339" s="291" t="s">
        <v>893</v>
      </c>
      <c r="B339" s="460">
        <f t="shared" ca="1" si="60"/>
        <v>5.598167394913967E-4</v>
      </c>
      <c r="C339" s="460">
        <f t="shared" ca="1" si="61"/>
        <v>7.0514959744537851E-4</v>
      </c>
      <c r="D339" s="460">
        <f t="shared" ca="1" si="62"/>
        <v>5.3462652268612871E-4</v>
      </c>
      <c r="E339" s="377">
        <f t="shared" ca="1" si="63"/>
        <v>6.8248736559072736E-4</v>
      </c>
      <c r="F339" s="377">
        <f t="shared" ca="1" si="64"/>
        <v>5.5430183377636597E-4</v>
      </c>
      <c r="G339" s="377">
        <f t="shared" ca="1" si="65"/>
        <v>6.9817678577529228E-4</v>
      </c>
      <c r="H339" s="377">
        <f t="shared" ca="1" si="66"/>
        <v>4.8068127542847365E-4</v>
      </c>
      <c r="I339" s="377">
        <f t="shared" ca="1" si="67"/>
        <v>6.0059390515160879E-4</v>
      </c>
      <c r="J339" s="460">
        <f t="shared" ca="1" si="68"/>
        <v>4.295381237261807E-4</v>
      </c>
      <c r="K339" s="901">
        <f t="shared" ca="1" si="69"/>
        <v>5.7654284472966749E-4</v>
      </c>
    </row>
    <row r="340" spans="1:11">
      <c r="A340" s="291" t="s">
        <v>894</v>
      </c>
      <c r="B340" s="460">
        <f t="shared" ca="1" si="60"/>
        <v>3.8154554641222564E-4</v>
      </c>
      <c r="C340" s="460">
        <f t="shared" ca="1" si="61"/>
        <v>5.0923489382830327E-4</v>
      </c>
      <c r="D340" s="460">
        <f t="shared" ca="1" si="62"/>
        <v>3.7163952545498237E-4</v>
      </c>
      <c r="E340" s="377">
        <f t="shared" ca="1" si="63"/>
        <v>5.0135837157026005E-4</v>
      </c>
      <c r="F340" s="377">
        <f t="shared" ca="1" si="64"/>
        <v>3.8867871028907592E-4</v>
      </c>
      <c r="G340" s="377">
        <f t="shared" ca="1" si="65"/>
        <v>5.1504916064085246E-4</v>
      </c>
      <c r="H340" s="377">
        <f t="shared" ca="1" si="66"/>
        <v>4.1246387544454239E-4</v>
      </c>
      <c r="I340" s="377">
        <f t="shared" ca="1" si="67"/>
        <v>5.1806218547346375E-4</v>
      </c>
      <c r="J340" s="460">
        <f t="shared" ca="1" si="68"/>
        <v>3.7196775305143025E-4</v>
      </c>
      <c r="K340" s="901">
        <f t="shared" ca="1" si="69"/>
        <v>5.007624519193384E-4</v>
      </c>
    </row>
    <row r="341" spans="1:11">
      <c r="A341" s="291" t="s">
        <v>895</v>
      </c>
      <c r="B341" s="460">
        <f t="shared" ca="1" si="60"/>
        <v>5.7516607921596083E-3</v>
      </c>
      <c r="C341" s="460">
        <f t="shared" ca="1" si="61"/>
        <v>6.5994717288000186E-3</v>
      </c>
      <c r="D341" s="460">
        <f t="shared" ca="1" si="62"/>
        <v>5.3919711034946458E-3</v>
      </c>
      <c r="E341" s="377">
        <f t="shared" ca="1" si="63"/>
        <v>6.2786753973507912E-3</v>
      </c>
      <c r="F341" s="377">
        <f t="shared" ca="1" si="64"/>
        <v>5.5399326803657464E-3</v>
      </c>
      <c r="G341" s="377">
        <f t="shared" ca="1" si="65"/>
        <v>6.392028271516836E-3</v>
      </c>
      <c r="H341" s="377">
        <f t="shared" ca="1" si="66"/>
        <v>4.0351823918759145E-3</v>
      </c>
      <c r="I341" s="377">
        <f t="shared" ca="1" si="67"/>
        <v>4.702540540450096E-3</v>
      </c>
      <c r="J341" s="460">
        <f t="shared" ca="1" si="68"/>
        <v>3.2556831980820621E-3</v>
      </c>
      <c r="K341" s="901">
        <f t="shared" ca="1" si="69"/>
        <v>4.1548405841465305E-3</v>
      </c>
    </row>
    <row r="342" spans="1:11">
      <c r="A342" s="483" t="s">
        <v>896</v>
      </c>
      <c r="B342" s="460">
        <f t="shared" ca="1" si="60"/>
        <v>2.4739573802537618E-5</v>
      </c>
      <c r="C342" s="460">
        <f t="shared" ca="1" si="61"/>
        <v>3.2529619823998408E-5</v>
      </c>
      <c r="D342" s="460">
        <f t="shared" ca="1" si="62"/>
        <v>2.3773120332125887E-5</v>
      </c>
      <c r="E342" s="377">
        <f t="shared" ca="1" si="63"/>
        <v>3.1682529408076736E-5</v>
      </c>
      <c r="F342" s="377">
        <f t="shared" ca="1" si="64"/>
        <v>2.4750669526991535E-5</v>
      </c>
      <c r="G342" s="377">
        <f t="shared" ca="1" si="65"/>
        <v>3.2491493841236152E-5</v>
      </c>
      <c r="H342" s="377">
        <f t="shared" ca="1" si="66"/>
        <v>2.3597920361647731E-5</v>
      </c>
      <c r="I342" s="377">
        <f t="shared" ca="1" si="67"/>
        <v>3.0173571484889248E-5</v>
      </c>
      <c r="J342" s="460">
        <f t="shared" ca="1" si="68"/>
        <v>2.1628989022052708E-5</v>
      </c>
      <c r="K342" s="901">
        <f t="shared" ca="1" si="69"/>
        <v>2.9585802334092755E-5</v>
      </c>
    </row>
    <row r="343" spans="1:11">
      <c r="A343" s="905" t="s">
        <v>897</v>
      </c>
      <c r="B343" s="906">
        <f t="shared" ca="1" si="60"/>
        <v>5.9428135412610887E-5</v>
      </c>
      <c r="C343" s="906">
        <f t="shared" ca="1" si="61"/>
        <v>8.9540126594788444E-5</v>
      </c>
      <c r="D343" s="906">
        <f t="shared" ca="1" si="62"/>
        <v>6.1521120282822598E-5</v>
      </c>
      <c r="E343" s="386">
        <f t="shared" ca="1" si="63"/>
        <v>9.174142544738632E-5</v>
      </c>
      <c r="F343" s="386">
        <f t="shared" ca="1" si="64"/>
        <v>6.5361063979820275E-5</v>
      </c>
      <c r="G343" s="386">
        <f t="shared" ca="1" si="65"/>
        <v>9.5173724457971252E-5</v>
      </c>
      <c r="H343" s="386">
        <f t="shared" ca="1" si="66"/>
        <v>9.3999447003985414E-5</v>
      </c>
      <c r="I343" s="386">
        <f t="shared" ca="1" si="67"/>
        <v>1.1904185873284286E-4</v>
      </c>
      <c r="J343" s="906">
        <f t="shared" ca="1" si="68"/>
        <v>9.2406204507770726E-5</v>
      </c>
      <c r="K343" s="907">
        <f t="shared" ca="1" si="69"/>
        <v>1.2203202485894574E-4</v>
      </c>
    </row>
    <row r="344" spans="1:11">
      <c r="B344" s="377"/>
      <c r="C344" s="377"/>
      <c r="D344" s="377"/>
      <c r="E344" s="377"/>
      <c r="F344" s="461"/>
      <c r="G344" s="461"/>
    </row>
    <row r="345" spans="1:11" ht="15">
      <c r="A345" s="75" t="s">
        <v>1908</v>
      </c>
    </row>
    <row r="346" spans="1:11" ht="38.25">
      <c r="A346" s="1351"/>
      <c r="B346" s="742" t="s">
        <v>142</v>
      </c>
      <c r="C346" s="742" t="s">
        <v>143</v>
      </c>
      <c r="D346" s="742" t="s">
        <v>144</v>
      </c>
      <c r="E346" s="670" t="s">
        <v>145</v>
      </c>
      <c r="F346" s="670" t="s">
        <v>146</v>
      </c>
      <c r="G346" s="670" t="s">
        <v>147</v>
      </c>
      <c r="H346" s="670" t="s">
        <v>148</v>
      </c>
      <c r="I346" s="742" t="s">
        <v>149</v>
      </c>
      <c r="J346" s="873" t="s">
        <v>150</v>
      </c>
    </row>
    <row r="347" spans="1:11">
      <c r="A347" s="481" t="s">
        <v>876</v>
      </c>
      <c r="B347" s="458">
        <f t="shared" ref="B347:I347" ca="1" si="70">(C317-$B317)/$B317</f>
        <v>0.39450934820883854</v>
      </c>
      <c r="C347" s="458">
        <f t="shared" ca="1" si="70"/>
        <v>2.210292882941068E-2</v>
      </c>
      <c r="D347" s="458">
        <f t="shared" ca="1" si="70"/>
        <v>0.42099554822337393</v>
      </c>
      <c r="E347" s="458">
        <f t="shared" ca="1" si="70"/>
        <v>7.9806337409796799E-2</v>
      </c>
      <c r="F347" s="458">
        <f t="shared" ca="1" si="70"/>
        <v>0.47063893422347258</v>
      </c>
      <c r="G347" s="458">
        <f t="shared" ca="1" si="70"/>
        <v>0.61430797229082201</v>
      </c>
      <c r="H347" s="458">
        <f t="shared" ca="1" si="70"/>
        <v>0.94834538139570235</v>
      </c>
      <c r="I347" s="458">
        <f t="shared" ca="1" si="70"/>
        <v>0.33021260571763933</v>
      </c>
      <c r="J347" s="896">
        <f t="shared" ref="J347:J373" ca="1" si="71">(K317-$B317)/$B317</f>
        <v>0.80239559058329091</v>
      </c>
    </row>
    <row r="348" spans="1:11">
      <c r="A348" s="100" t="s">
        <v>877</v>
      </c>
      <c r="B348" s="369">
        <f t="shared" ref="B348:I348" ca="1" si="72">(C318-$B318)/$B318</f>
        <v>0.38620093496071989</v>
      </c>
      <c r="C348" s="369">
        <f t="shared" ca="1" si="72"/>
        <v>2.5084115089423733E-2</v>
      </c>
      <c r="D348" s="369">
        <f t="shared" ca="1" si="72"/>
        <v>0.41138469718523651</v>
      </c>
      <c r="E348" s="369">
        <f t="shared" ca="1" si="72"/>
        <v>8.1388369522134449E-2</v>
      </c>
      <c r="F348" s="369">
        <f t="shared" ca="1" si="72"/>
        <v>0.46352836001688474</v>
      </c>
      <c r="G348" s="369">
        <f t="shared" ca="1" si="72"/>
        <v>0.5937681620859554</v>
      </c>
      <c r="H348" s="369">
        <f t="shared" ca="1" si="72"/>
        <v>0.91786407665200542</v>
      </c>
      <c r="I348" s="369">
        <f t="shared" ca="1" si="72"/>
        <v>0.30625019016705424</v>
      </c>
      <c r="J348" s="746">
        <f t="shared" ca="1" si="71"/>
        <v>0.7755374043761738</v>
      </c>
    </row>
    <row r="349" spans="1:11">
      <c r="A349" s="100" t="s">
        <v>442</v>
      </c>
      <c r="B349" s="369">
        <f t="shared" ref="B349:I349" ca="1" si="73">(C319-$B319)/$B319</f>
        <v>-9.6269094673325603E-2</v>
      </c>
      <c r="C349" s="369">
        <f t="shared" ca="1" si="73"/>
        <v>0.10575894493170127</v>
      </c>
      <c r="D349" s="369">
        <f t="shared" ca="1" si="73"/>
        <v>-2.5557828264290323E-2</v>
      </c>
      <c r="E349" s="369">
        <f t="shared" ca="1" si="73"/>
        <v>0.15149407611330096</v>
      </c>
      <c r="F349" s="369">
        <f t="shared" ca="1" si="73"/>
        <v>1.2578372581648522E-2</v>
      </c>
      <c r="G349" s="369">
        <f t="shared" ca="1" si="73"/>
        <v>0.62052857444307929</v>
      </c>
      <c r="H349" s="369">
        <f t="shared" ca="1" si="73"/>
        <v>0.43722939808719941</v>
      </c>
      <c r="I349" s="369">
        <f t="shared" ca="1" si="73"/>
        <v>0.19312799878046893</v>
      </c>
      <c r="J349" s="746">
        <f t="shared" ca="1" si="71"/>
        <v>0.11379861047915577</v>
      </c>
    </row>
    <row r="350" spans="1:11">
      <c r="A350" s="100" t="s">
        <v>878</v>
      </c>
      <c r="B350" s="369">
        <f t="shared" ref="B350:I350" ca="1" si="74">(C320-$B320)/$B320</f>
        <v>0.56240740824732871</v>
      </c>
      <c r="C350" s="369">
        <f t="shared" ca="1" si="74"/>
        <v>2.4010463981716509E-2</v>
      </c>
      <c r="D350" s="369">
        <f t="shared" ca="1" si="74"/>
        <v>0.59575607332662583</v>
      </c>
      <c r="E350" s="369">
        <f t="shared" ca="1" si="74"/>
        <v>9.8267615969509503E-2</v>
      </c>
      <c r="F350" s="369">
        <f t="shared" ca="1" si="74"/>
        <v>0.66569264588017785</v>
      </c>
      <c r="G350" s="369">
        <f t="shared" ca="1" si="74"/>
        <v>0.83331070404214735</v>
      </c>
      <c r="H350" s="369">
        <f t="shared" ca="1" si="74"/>
        <v>1.3223315368532897</v>
      </c>
      <c r="I350" s="369">
        <f t="shared" ca="1" si="74"/>
        <v>0.47040969310875558</v>
      </c>
      <c r="J350" s="746">
        <f t="shared" ca="1" si="71"/>
        <v>1.1460749195800071</v>
      </c>
    </row>
    <row r="351" spans="1:11">
      <c r="A351" s="100" t="s">
        <v>440</v>
      </c>
      <c r="B351" s="369">
        <f t="shared" ref="B351:I351" ca="1" si="75">(C321-$B321)/$B321</f>
        <v>0.57314589632239066</v>
      </c>
      <c r="C351" s="369">
        <f t="shared" ca="1" si="75"/>
        <v>-7.067204539337997E-2</v>
      </c>
      <c r="D351" s="369">
        <f t="shared" ca="1" si="75"/>
        <v>0.52436580304480518</v>
      </c>
      <c r="E351" s="369">
        <f t="shared" ca="1" si="75"/>
        <v>-4.2288620221477329E-2</v>
      </c>
      <c r="F351" s="369">
        <f t="shared" ca="1" si="75"/>
        <v>0.55313715124390173</v>
      </c>
      <c r="G351" s="369">
        <f t="shared" ca="1" si="75"/>
        <v>1.7004753407451181E-2</v>
      </c>
      <c r="H351" s="369">
        <f t="shared" ca="1" si="75"/>
        <v>0.58401312695693242</v>
      </c>
      <c r="I351" s="369">
        <f t="shared" ca="1" si="75"/>
        <v>7.1002942333839331E-2</v>
      </c>
      <c r="J351" s="746">
        <f t="shared" ca="1" si="71"/>
        <v>0.73920345639913054</v>
      </c>
    </row>
    <row r="352" spans="1:11">
      <c r="A352" s="488" t="s">
        <v>819</v>
      </c>
      <c r="B352" s="369">
        <f t="shared" ref="B352:I352" ca="1" si="76">(C322-$B322)/$B322</f>
        <v>0.42261849325320566</v>
      </c>
      <c r="C352" s="369">
        <f t="shared" ca="1" si="76"/>
        <v>-4.6473398503876086E-2</v>
      </c>
      <c r="D352" s="369">
        <f t="shared" ca="1" si="76"/>
        <v>0.43771698433560752</v>
      </c>
      <c r="E352" s="369">
        <f t="shared" ca="1" si="76"/>
        <v>7.5301390163414972E-2</v>
      </c>
      <c r="F352" s="369">
        <f t="shared" ca="1" si="76"/>
        <v>0.49126610804456805</v>
      </c>
      <c r="G352" s="369">
        <f t="shared" ca="1" si="76"/>
        <v>1.2927889919182118</v>
      </c>
      <c r="H352" s="369">
        <f t="shared" ca="1" si="76"/>
        <v>1.6149087420935593</v>
      </c>
      <c r="I352" s="369">
        <f t="shared" ca="1" si="76"/>
        <v>0.31946757855423918</v>
      </c>
      <c r="J352" s="746">
        <f t="shared" ca="1" si="71"/>
        <v>0.80706380182179105</v>
      </c>
    </row>
    <row r="353" spans="1:10">
      <c r="A353" s="481" t="s">
        <v>889</v>
      </c>
      <c r="B353" s="458">
        <f t="shared" ref="B353:I353" ca="1" si="77">(C323-$B323)/$B323</f>
        <v>0.23188516795437014</v>
      </c>
      <c r="C353" s="458">
        <f t="shared" ca="1" si="77"/>
        <v>2.5804048588846325E-2</v>
      </c>
      <c r="D353" s="458">
        <f t="shared" ca="1" si="77"/>
        <v>0.26706340596858003</v>
      </c>
      <c r="E353" s="458">
        <f t="shared" ca="1" si="77"/>
        <v>9.26167928543188E-2</v>
      </c>
      <c r="F353" s="458">
        <f t="shared" ca="1" si="77"/>
        <v>0.32181563536154706</v>
      </c>
      <c r="G353" s="458">
        <f t="shared" ca="1" si="77"/>
        <v>0.67094220450421638</v>
      </c>
      <c r="H353" s="458">
        <f t="shared" ca="1" si="77"/>
        <v>0.81574181669022405</v>
      </c>
      <c r="I353" s="458">
        <f t="shared" ca="1" si="77"/>
        <v>0.22439911662474082</v>
      </c>
      <c r="J353" s="896">
        <f t="shared" ca="1" si="71"/>
        <v>0.51413270577613379</v>
      </c>
    </row>
    <row r="354" spans="1:10">
      <c r="A354" s="291" t="s">
        <v>1895</v>
      </c>
      <c r="B354" s="382">
        <f t="shared" ref="B354:I354" ca="1" si="78">(C324-$B324)/$B324</f>
        <v>0.22400017612382336</v>
      </c>
      <c r="C354" s="382">
        <f t="shared" ca="1" si="78"/>
        <v>2.5506987020091562E-2</v>
      </c>
      <c r="D354" s="382">
        <f t="shared" ca="1" si="78"/>
        <v>0.25869217985489695</v>
      </c>
      <c r="E354" s="369">
        <f t="shared" ca="1" si="78"/>
        <v>9.0747747210561738E-2</v>
      </c>
      <c r="F354" s="369">
        <f t="shared" ca="1" si="78"/>
        <v>0.3121924189603979</v>
      </c>
      <c r="G354" s="369">
        <f t="shared" ca="1" si="78"/>
        <v>0.65520798409104875</v>
      </c>
      <c r="H354" s="369">
        <f t="shared" ca="1" si="78"/>
        <v>0.79394540210997344</v>
      </c>
      <c r="I354" s="382">
        <f t="shared" ca="1" si="78"/>
        <v>0.21899241474812545</v>
      </c>
      <c r="J354" s="588">
        <f t="shared" ca="1" si="71"/>
        <v>0.49954018320959548</v>
      </c>
    </row>
    <row r="355" spans="1:10">
      <c r="A355" s="100" t="s">
        <v>887</v>
      </c>
      <c r="B355" s="369">
        <f t="shared" ref="B355:I355" ca="1" si="79">(C325-$B325)/$B325</f>
        <v>0.32976789902843756</v>
      </c>
      <c r="C355" s="369">
        <f t="shared" ca="1" si="79"/>
        <v>1.5058701517433682E-2</v>
      </c>
      <c r="D355" s="369">
        <f t="shared" ca="1" si="79"/>
        <v>0.35379438035732125</v>
      </c>
      <c r="E355" s="369">
        <f t="shared" ca="1" si="79"/>
        <v>6.2825071627258616E-2</v>
      </c>
      <c r="F355" s="369">
        <f t="shared" ca="1" si="79"/>
        <v>0.4010967559469264</v>
      </c>
      <c r="G355" s="369">
        <f t="shared" ca="1" si="79"/>
        <v>0.57925971034346624</v>
      </c>
      <c r="H355" s="369">
        <f t="shared" ca="1" si="79"/>
        <v>0.86509164562606022</v>
      </c>
      <c r="I355" s="369">
        <f t="shared" ca="1" si="79"/>
        <v>0.28966268882098306</v>
      </c>
      <c r="J355" s="746">
        <f t="shared" ca="1" si="71"/>
        <v>0.71794148497530952</v>
      </c>
    </row>
    <row r="356" spans="1:10">
      <c r="A356" s="100" t="s">
        <v>888</v>
      </c>
      <c r="B356" s="369">
        <f t="shared" ref="B356:I356" ca="1" si="80">(C326-$B326)/$B326</f>
        <v>0.28580343026424465</v>
      </c>
      <c r="C356" s="369">
        <f t="shared" ca="1" si="80"/>
        <v>3.4037357072226514E-2</v>
      </c>
      <c r="D356" s="369">
        <f t="shared" ca="1" si="80"/>
        <v>0.32757558491125904</v>
      </c>
      <c r="E356" s="369">
        <f t="shared" ca="1" si="80"/>
        <v>8.0852258467195709E-2</v>
      </c>
      <c r="F356" s="369">
        <f t="shared" ca="1" si="80"/>
        <v>0.37738191959547496</v>
      </c>
      <c r="G356" s="369">
        <f t="shared" ca="1" si="80"/>
        <v>0.9306120861724877</v>
      </c>
      <c r="H356" s="369">
        <f t="shared" ca="1" si="80"/>
        <v>1.1301747219059284</v>
      </c>
      <c r="I356" s="369">
        <f t="shared" ca="1" si="80"/>
        <v>0.25347061615217742</v>
      </c>
      <c r="J356" s="746">
        <f t="shared" ca="1" si="71"/>
        <v>0.6374087887553479</v>
      </c>
    </row>
    <row r="357" spans="1:10">
      <c r="A357" s="292" t="s">
        <v>1896</v>
      </c>
      <c r="B357" s="426">
        <f t="shared" ref="B357:I357" ca="1" si="81">(C327-$B327)/$B327</f>
        <v>0.24719150046281987</v>
      </c>
      <c r="C357" s="426">
        <f t="shared" ca="1" si="81"/>
        <v>2.4500289006674867E-2</v>
      </c>
      <c r="D357" s="426">
        <f t="shared" ca="1" si="81"/>
        <v>0.28084240992613568</v>
      </c>
      <c r="E357" s="426">
        <f t="shared" ca="1" si="81"/>
        <v>8.669121136381866E-2</v>
      </c>
      <c r="F357" s="426">
        <f t="shared" ca="1" si="81"/>
        <v>0.33142233605691013</v>
      </c>
      <c r="G357" s="426">
        <f t="shared" ca="1" si="81"/>
        <v>0.64839491100270219</v>
      </c>
      <c r="H357" s="426">
        <f t="shared" ca="1" si="81"/>
        <v>0.81339459231907751</v>
      </c>
      <c r="I357" s="426">
        <f t="shared" ca="1" si="81"/>
        <v>0.22223165197100969</v>
      </c>
      <c r="J357" s="747">
        <f t="shared" ca="1" si="71"/>
        <v>0.53325077387277608</v>
      </c>
    </row>
    <row r="358" spans="1:10">
      <c r="A358" s="291" t="s">
        <v>879</v>
      </c>
      <c r="B358" s="369">
        <f t="shared" ref="B358:I358" ca="1" si="82">(C328-$B328)/$B328</f>
        <v>-1.7386629760124277E-2</v>
      </c>
      <c r="C358" s="369">
        <f t="shared" ca="1" si="82"/>
        <v>4.4591348796629189E-3</v>
      </c>
      <c r="D358" s="369">
        <f t="shared" ca="1" si="82"/>
        <v>-1.4128893513429846E-2</v>
      </c>
      <c r="E358" s="369">
        <f t="shared" ca="1" si="82"/>
        <v>5.4226894760110653E-3</v>
      </c>
      <c r="F358" s="369">
        <f t="shared" ca="1" si="82"/>
        <v>-1.2821525870102188E-2</v>
      </c>
      <c r="G358" s="369">
        <f t="shared" ca="1" si="82"/>
        <v>6.6564095895447163E-3</v>
      </c>
      <c r="H358" s="369">
        <f t="shared" ca="1" si="82"/>
        <v>-1.318614402784944E-2</v>
      </c>
      <c r="I358" s="369">
        <f t="shared" ca="1" si="82"/>
        <v>5.3726452199010059E-3</v>
      </c>
      <c r="J358" s="746">
        <f t="shared" ca="1" si="71"/>
        <v>-9.3971892763986022E-3</v>
      </c>
    </row>
    <row r="359" spans="1:10">
      <c r="A359" s="291" t="s">
        <v>880</v>
      </c>
      <c r="B359" s="369">
        <f t="shared" ref="B359:I359" ca="1" si="83">(C329-$B329)/$B329</f>
        <v>-0.37240517998635297</v>
      </c>
      <c r="C359" s="369">
        <f t="shared" ca="1" si="83"/>
        <v>4.4501331896998328E-2</v>
      </c>
      <c r="D359" s="369">
        <f t="shared" ca="1" si="83"/>
        <v>-0.31708837572173976</v>
      </c>
      <c r="E359" s="369">
        <f t="shared" ca="1" si="83"/>
        <v>4.6870670953979281E-2</v>
      </c>
      <c r="F359" s="369">
        <f t="shared" ca="1" si="83"/>
        <v>-0.31019289781619025</v>
      </c>
      <c r="G359" s="369">
        <f t="shared" ca="1" si="83"/>
        <v>4.3926333238749872E-2</v>
      </c>
      <c r="H359" s="369">
        <f t="shared" ca="1" si="83"/>
        <v>-0.36953874527724145</v>
      </c>
      <c r="I359" s="369">
        <f t="shared" ca="1" si="83"/>
        <v>-2.3110847591189879E-2</v>
      </c>
      <c r="J359" s="746">
        <f t="shared" ca="1" si="71"/>
        <v>-0.38842503209557599</v>
      </c>
    </row>
    <row r="360" spans="1:10">
      <c r="A360" s="291" t="s">
        <v>881</v>
      </c>
      <c r="B360" s="369">
        <f t="shared" ref="B360:I360" ca="1" si="84">(C330-$B330)/$B330</f>
        <v>0.206926686219643</v>
      </c>
      <c r="C360" s="369">
        <f t="shared" ca="1" si="84"/>
        <v>2.9912241082745875E-2</v>
      </c>
      <c r="D360" s="369">
        <f t="shared" ca="1" si="84"/>
        <v>0.24124906464187759</v>
      </c>
      <c r="E360" s="369">
        <f t="shared" ca="1" si="84"/>
        <v>0.10492959711087302</v>
      </c>
      <c r="F360" s="369">
        <f t="shared" ca="1" si="84"/>
        <v>0.30684123215602882</v>
      </c>
      <c r="G360" s="369">
        <f t="shared" ca="1" si="84"/>
        <v>0.81368329008333729</v>
      </c>
      <c r="H360" s="369">
        <f t="shared" ca="1" si="84"/>
        <v>0.91472824871101088</v>
      </c>
      <c r="I360" s="369">
        <f t="shared" ca="1" si="84"/>
        <v>0.13701737331360128</v>
      </c>
      <c r="J360" s="746">
        <f t="shared" ca="1" si="71"/>
        <v>0.42437752254532657</v>
      </c>
    </row>
    <row r="361" spans="1:10">
      <c r="A361" s="291" t="s">
        <v>882</v>
      </c>
      <c r="B361" s="369">
        <f t="shared" ref="B361:I361" ca="1" si="85">(C331-$B331)/$B331</f>
        <v>0.32297613413761117</v>
      </c>
      <c r="C361" s="369">
        <f t="shared" ca="1" si="85"/>
        <v>0.10002902555213343</v>
      </c>
      <c r="D361" s="369">
        <f t="shared" ca="1" si="85"/>
        <v>0.41518315337971989</v>
      </c>
      <c r="E361" s="369">
        <f t="shared" ca="1" si="85"/>
        <v>0.12981414046000375</v>
      </c>
      <c r="F361" s="369">
        <f t="shared" ca="1" si="85"/>
        <v>0.44686685853415703</v>
      </c>
      <c r="G361" s="369">
        <f t="shared" ca="1" si="85"/>
        <v>1.1662671652874517</v>
      </c>
      <c r="H361" s="369">
        <f t="shared" ca="1" si="85"/>
        <v>1.3489584937047709</v>
      </c>
      <c r="I361" s="369">
        <f t="shared" ca="1" si="85"/>
        <v>0.15705863327989006</v>
      </c>
      <c r="J361" s="746">
        <f t="shared" ca="1" si="71"/>
        <v>0.64591809556840951</v>
      </c>
    </row>
    <row r="362" spans="1:10">
      <c r="A362" s="291" t="s">
        <v>883</v>
      </c>
      <c r="B362" s="369">
        <f t="shared" ref="B362:I362" ca="1" si="86">(C332-$B332)/$B332</f>
        <v>1.7023731501105758E-2</v>
      </c>
      <c r="C362" s="369">
        <f t="shared" ca="1" si="86"/>
        <v>9.5636933756563625E-2</v>
      </c>
      <c r="D362" s="369">
        <f t="shared" ca="1" si="86"/>
        <v>0.10033834939782584</v>
      </c>
      <c r="E362" s="369">
        <f t="shared" ca="1" si="86"/>
        <v>9.5116889348261055E-2</v>
      </c>
      <c r="F362" s="369">
        <f t="shared" ca="1" si="86"/>
        <v>0.10151794465222208</v>
      </c>
      <c r="G362" s="369">
        <f t="shared" ca="1" si="86"/>
        <v>0.75028969900463294</v>
      </c>
      <c r="H362" s="369">
        <f t="shared" ca="1" si="86"/>
        <v>0.66874344149056431</v>
      </c>
      <c r="I362" s="369">
        <f t="shared" ca="1" si="86"/>
        <v>9.1776386947085287E-2</v>
      </c>
      <c r="J362" s="746">
        <f t="shared" ca="1" si="71"/>
        <v>0.17500574513721404</v>
      </c>
    </row>
    <row r="363" spans="1:10">
      <c r="A363" s="291" t="s">
        <v>884</v>
      </c>
      <c r="B363" s="369">
        <f t="shared" ref="B363:I363" ca="1" si="87">(C333-$B333)/$B333</f>
        <v>-0.11991161619486393</v>
      </c>
      <c r="C363" s="369">
        <f t="shared" ca="1" si="87"/>
        <v>1.3144505133492479</v>
      </c>
      <c r="D363" s="369">
        <f t="shared" ca="1" si="87"/>
        <v>0.84299787445310526</v>
      </c>
      <c r="E363" s="369">
        <f t="shared" ca="1" si="87"/>
        <v>0.45821517825783087</v>
      </c>
      <c r="F363" s="369">
        <f t="shared" ca="1" si="87"/>
        <v>0.27973320369257226</v>
      </c>
      <c r="G363" s="369">
        <f t="shared" ca="1" si="87"/>
        <v>2.7518904237090713</v>
      </c>
      <c r="H363" s="369">
        <f t="shared" ca="1" si="87"/>
        <v>2.2818571977059006</v>
      </c>
      <c r="I363" s="369">
        <f t="shared" ca="1" si="87"/>
        <v>1.0707866063796296</v>
      </c>
      <c r="J363" s="746">
        <f t="shared" ca="1" si="71"/>
        <v>0.96679999113566684</v>
      </c>
    </row>
    <row r="364" spans="1:10">
      <c r="A364" s="483" t="s">
        <v>885</v>
      </c>
      <c r="B364" s="369">
        <f t="shared" ref="B364:I364" ca="1" si="88">(C334-$B334)/$B334</f>
        <v>0.33030423590382063</v>
      </c>
      <c r="C364" s="369">
        <f t="shared" ca="1" si="88"/>
        <v>4.316903188762692E-2</v>
      </c>
      <c r="D364" s="369">
        <f t="shared" ca="1" si="88"/>
        <v>0.37564374996250482</v>
      </c>
      <c r="E364" s="369">
        <f t="shared" ca="1" si="88"/>
        <v>0.14655595249401315</v>
      </c>
      <c r="F364" s="369">
        <f t="shared" ca="1" si="88"/>
        <v>0.46383713290795747</v>
      </c>
      <c r="G364" s="369">
        <f t="shared" ca="1" si="88"/>
        <v>1.1404367612042388</v>
      </c>
      <c r="H364" s="369">
        <f t="shared" ca="1" si="88"/>
        <v>1.329751798767226</v>
      </c>
      <c r="I364" s="369">
        <f t="shared" ca="1" si="88"/>
        <v>0.18280714370724813</v>
      </c>
      <c r="J364" s="746">
        <f t="shared" ca="1" si="71"/>
        <v>0.60723745838139986</v>
      </c>
    </row>
    <row r="365" spans="1:10">
      <c r="A365" s="483" t="s">
        <v>886</v>
      </c>
      <c r="B365" s="369">
        <f t="shared" ref="B365:I365" ca="1" si="89">(C335-$B335)/$B335</f>
        <v>0.38807626896428932</v>
      </c>
      <c r="C365" s="369">
        <f t="shared" ca="1" si="89"/>
        <v>4.4832349267495589E-2</v>
      </c>
      <c r="D365" s="369">
        <f t="shared" ca="1" si="89"/>
        <v>0.43376853850426011</v>
      </c>
      <c r="E365" s="369">
        <f t="shared" ca="1" si="89"/>
        <v>0.14973987527829721</v>
      </c>
      <c r="F365" s="369">
        <f t="shared" ca="1" si="89"/>
        <v>0.52473917648531498</v>
      </c>
      <c r="G365" s="369">
        <f t="shared" ca="1" si="89"/>
        <v>1.1353276390109397</v>
      </c>
      <c r="H365" s="369">
        <f t="shared" ca="1" si="89"/>
        <v>1.3853618798074192</v>
      </c>
      <c r="I365" s="369">
        <f t="shared" ca="1" si="89"/>
        <v>0.37619483758683908</v>
      </c>
      <c r="J365" s="746">
        <f t="shared" ca="1" si="71"/>
        <v>0.83692066558743516</v>
      </c>
    </row>
    <row r="366" spans="1:10">
      <c r="A366" s="702" t="s">
        <v>890</v>
      </c>
      <c r="B366" s="458">
        <f t="shared" ref="B366:I366" ca="1" si="90">(C336-$B336)/$B336</f>
        <v>2.5958623626068478E-3</v>
      </c>
      <c r="C366" s="458">
        <f t="shared" ca="1" si="90"/>
        <v>-7.7324669531498821E-4</v>
      </c>
      <c r="D366" s="458">
        <f t="shared" ca="1" si="90"/>
        <v>1.8949917429601437E-3</v>
      </c>
      <c r="E366" s="458">
        <f t="shared" ca="1" si="90"/>
        <v>-5.7005673648126453E-4</v>
      </c>
      <c r="F366" s="458">
        <f t="shared" ca="1" si="90"/>
        <v>2.0924203538994482E-3</v>
      </c>
      <c r="G366" s="458">
        <f t="shared" ca="1" si="90"/>
        <v>-4.1386127140657309E-3</v>
      </c>
      <c r="H366" s="458">
        <f t="shared" ca="1" si="90"/>
        <v>-1.6639243142445134E-3</v>
      </c>
      <c r="I366" s="458">
        <f t="shared" ca="1" si="90"/>
        <v>-3.6888834019024939E-3</v>
      </c>
      <c r="J366" s="896">
        <f t="shared" ca="1" si="71"/>
        <v>-8.4482801991521536E-4</v>
      </c>
    </row>
    <row r="367" spans="1:10">
      <c r="A367" s="291" t="s">
        <v>891</v>
      </c>
      <c r="B367" s="369">
        <f t="shared" ref="B367:I367" ca="1" si="91">(C337-$B337)/$B337</f>
        <v>0.4193084643587609</v>
      </c>
      <c r="C367" s="369">
        <f t="shared" ca="1" si="91"/>
        <v>-1.1143490960732609E-2</v>
      </c>
      <c r="D367" s="369">
        <f t="shared" ca="1" si="91"/>
        <v>0.42011523995380445</v>
      </c>
      <c r="E367" s="369">
        <f t="shared" ca="1" si="91"/>
        <v>4.205401715110281E-2</v>
      </c>
      <c r="F367" s="369">
        <f t="shared" ca="1" si="91"/>
        <v>0.4683020998574865</v>
      </c>
      <c r="G367" s="369">
        <f t="shared" ca="1" si="91"/>
        <v>0.41673281582721888</v>
      </c>
      <c r="H367" s="369">
        <f t="shared" ca="1" si="91"/>
        <v>0.78375408898140875</v>
      </c>
      <c r="I367" s="369">
        <f t="shared" ca="1" si="91"/>
        <v>0.21306888624303116</v>
      </c>
      <c r="J367" s="746">
        <f t="shared" ca="1" si="71"/>
        <v>0.69378204944863142</v>
      </c>
    </row>
    <row r="368" spans="1:10">
      <c r="A368" s="291" t="s">
        <v>892</v>
      </c>
      <c r="B368" s="369">
        <f t="shared" ref="B368:I368" ca="1" si="92">(C338-$B338)/$B338</f>
        <v>0.31183403317403113</v>
      </c>
      <c r="C368" s="369">
        <f t="shared" ca="1" si="92"/>
        <v>-2.6035500066271429E-2</v>
      </c>
      <c r="D368" s="369">
        <f t="shared" ca="1" si="92"/>
        <v>0.29138235612332158</v>
      </c>
      <c r="E368" s="369">
        <f t="shared" ca="1" si="92"/>
        <v>2.0865611146717124E-2</v>
      </c>
      <c r="F368" s="369">
        <f t="shared" ca="1" si="92"/>
        <v>0.32975732058033658</v>
      </c>
      <c r="G368" s="369">
        <f t="shared" ca="1" si="92"/>
        <v>0.1257499316447365</v>
      </c>
      <c r="H368" s="369">
        <f t="shared" ca="1" si="92"/>
        <v>0.37936348855396607</v>
      </c>
      <c r="I368" s="369">
        <f t="shared" ca="1" si="92"/>
        <v>-7.9858816733942878E-2</v>
      </c>
      <c r="J368" s="746">
        <f t="shared" ca="1" si="71"/>
        <v>0.25644122872189212</v>
      </c>
    </row>
    <row r="369" spans="1:10">
      <c r="A369" s="291" t="s">
        <v>893</v>
      </c>
      <c r="B369" s="369">
        <f t="shared" ref="B369:I369" ca="1" si="93">(C339-$B339)/$B339</f>
        <v>0.25960791755891266</v>
      </c>
      <c r="C369" s="369">
        <f t="shared" ca="1" si="93"/>
        <v>-4.4997255402104877E-2</v>
      </c>
      <c r="D369" s="369">
        <f t="shared" ca="1" si="93"/>
        <v>0.21912639877610496</v>
      </c>
      <c r="E369" s="369">
        <f t="shared" ca="1" si="93"/>
        <v>-9.8512697566727203E-3</v>
      </c>
      <c r="F369" s="369">
        <f t="shared" ca="1" si="93"/>
        <v>0.2471523920660145</v>
      </c>
      <c r="G369" s="369">
        <f t="shared" ca="1" si="93"/>
        <v>-0.14135958873759116</v>
      </c>
      <c r="H369" s="369">
        <f t="shared" ca="1" si="93"/>
        <v>7.2840204273382142E-2</v>
      </c>
      <c r="I369" s="369">
        <f t="shared" ca="1" si="93"/>
        <v>-0.23271654199475422</v>
      </c>
      <c r="J369" s="746">
        <f t="shared" ca="1" si="71"/>
        <v>2.987782261292642E-2</v>
      </c>
    </row>
    <row r="370" spans="1:10">
      <c r="A370" s="291" t="s">
        <v>894</v>
      </c>
      <c r="B370" s="369">
        <f t="shared" ref="B370:I370" ca="1" si="94">(C340-$B340)/$B340</f>
        <v>0.33466344612530419</v>
      </c>
      <c r="C370" s="369">
        <f t="shared" ca="1" si="94"/>
        <v>-2.5962879269309333E-2</v>
      </c>
      <c r="D370" s="369">
        <f t="shared" ca="1" si="94"/>
        <v>0.31401971870636758</v>
      </c>
      <c r="E370" s="369">
        <f t="shared" ca="1" si="94"/>
        <v>1.8695445259223498E-2</v>
      </c>
      <c r="F370" s="369">
        <f t="shared" ca="1" si="94"/>
        <v>0.34990216891272052</v>
      </c>
      <c r="G370" s="369">
        <f t="shared" ca="1" si="94"/>
        <v>8.1034438281484433E-2</v>
      </c>
      <c r="H370" s="369">
        <f t="shared" ca="1" si="94"/>
        <v>0.35779906316543442</v>
      </c>
      <c r="I370" s="369">
        <f t="shared" ca="1" si="94"/>
        <v>-2.5102621301330674E-2</v>
      </c>
      <c r="J370" s="746">
        <f t="shared" ca="1" si="71"/>
        <v>0.31245786152699478</v>
      </c>
    </row>
    <row r="371" spans="1:10">
      <c r="A371" s="291" t="s">
        <v>895</v>
      </c>
      <c r="B371" s="369">
        <f t="shared" ref="B371:I371" ca="1" si="95">(C341-$B341)/$B341</f>
        <v>0.14740280542901729</v>
      </c>
      <c r="C371" s="369">
        <f t="shared" ca="1" si="95"/>
        <v>-6.2536665784476461E-2</v>
      </c>
      <c r="D371" s="369">
        <f t="shared" ca="1" si="95"/>
        <v>9.1628248645953578E-2</v>
      </c>
      <c r="E371" s="369">
        <f t="shared" ca="1" si="95"/>
        <v>-3.6811647877858109E-2</v>
      </c>
      <c r="F371" s="369">
        <f t="shared" ca="1" si="95"/>
        <v>0.11133609969317843</v>
      </c>
      <c r="G371" s="369">
        <f t="shared" ca="1" si="95"/>
        <v>-0.29843178558504629</v>
      </c>
      <c r="H371" s="369">
        <f t="shared" ca="1" si="95"/>
        <v>-0.1824030118639165</v>
      </c>
      <c r="I371" s="369">
        <f t="shared" ca="1" si="95"/>
        <v>-0.4339577183480543</v>
      </c>
      <c r="J371" s="746">
        <f t="shared" ca="1" si="71"/>
        <v>-0.27762767411280365</v>
      </c>
    </row>
    <row r="372" spans="1:10">
      <c r="A372" s="483" t="s">
        <v>896</v>
      </c>
      <c r="B372" s="369">
        <f t="shared" ref="B372:I372" ca="1" si="96">(C342-$B342)/$B342</f>
        <v>0.31488198154253327</v>
      </c>
      <c r="C372" s="369">
        <f t="shared" ca="1" si="96"/>
        <v>-3.9065081643104078E-2</v>
      </c>
      <c r="D372" s="369">
        <f t="shared" ca="1" si="96"/>
        <v>0.28064168206596013</v>
      </c>
      <c r="E372" s="369">
        <f t="shared" ca="1" si="96"/>
        <v>4.4850103491997682E-4</v>
      </c>
      <c r="F372" s="369">
        <f t="shared" ca="1" si="96"/>
        <v>0.31334088859297143</v>
      </c>
      <c r="G372" s="369">
        <f t="shared" ca="1" si="96"/>
        <v>-4.6146851599067687E-2</v>
      </c>
      <c r="H372" s="369">
        <f t="shared" ca="1" si="96"/>
        <v>0.21964799093645856</v>
      </c>
      <c r="I372" s="369">
        <f t="shared" ca="1" si="96"/>
        <v>-0.12573315956501427</v>
      </c>
      <c r="J372" s="746">
        <f t="shared" ca="1" si="71"/>
        <v>0.19588973400415025</v>
      </c>
    </row>
    <row r="373" spans="1:10">
      <c r="A373" s="905" t="s">
        <v>897</v>
      </c>
      <c r="B373" s="426">
        <f t="shared" ref="B373:I373" ca="1" si="97">(C343-$B343)/$B343</f>
        <v>0.50669587684535822</v>
      </c>
      <c r="C373" s="426">
        <f t="shared" ca="1" si="97"/>
        <v>3.5218753805416732E-2</v>
      </c>
      <c r="D373" s="426">
        <f t="shared" ca="1" si="97"/>
        <v>0.54373723507263905</v>
      </c>
      <c r="E373" s="426">
        <f t="shared" ca="1" si="97"/>
        <v>9.9833665081647455E-2</v>
      </c>
      <c r="F373" s="426">
        <f t="shared" ca="1" si="97"/>
        <v>0.6014926902413803</v>
      </c>
      <c r="G373" s="426">
        <f t="shared" ca="1" si="97"/>
        <v>0.58173306887966669</v>
      </c>
      <c r="H373" s="426">
        <f t="shared" ca="1" si="97"/>
        <v>1.0031228963576351</v>
      </c>
      <c r="I373" s="426">
        <f t="shared" ca="1" si="97"/>
        <v>0.55492350325636774</v>
      </c>
      <c r="J373" s="747">
        <f t="shared" ca="1" si="71"/>
        <v>1.0534385609051107</v>
      </c>
    </row>
  </sheetData>
  <mergeCells count="20">
    <mergeCell ref="B284:F284"/>
    <mergeCell ref="G284:J284"/>
    <mergeCell ref="B253:F253"/>
    <mergeCell ref="G253:J253"/>
    <mergeCell ref="B129:F129"/>
    <mergeCell ref="G129:J129"/>
    <mergeCell ref="B222:F222"/>
    <mergeCell ref="G222:J222"/>
    <mergeCell ref="B160:F160"/>
    <mergeCell ref="G160:J160"/>
    <mergeCell ref="B5:F5"/>
    <mergeCell ref="G5:J5"/>
    <mergeCell ref="B36:F36"/>
    <mergeCell ref="G36:J36"/>
    <mergeCell ref="B191:F191"/>
    <mergeCell ref="G191:J191"/>
    <mergeCell ref="B67:F67"/>
    <mergeCell ref="G67:J67"/>
    <mergeCell ref="B98:F98"/>
    <mergeCell ref="G98:J98"/>
  </mergeCells>
  <phoneticPr fontId="5" type="noConversion"/>
  <pageMargins left="0.75" right="0.75" top="1" bottom="1" header="0.5" footer="0.5"/>
  <pageSetup orientation="portrait" horizontalDpi="4294967292" r:id="rId1"/>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9">
    <pageSetUpPr autoPageBreaks="0" fitToPage="1"/>
  </sheetPr>
  <dimension ref="A1:AG543"/>
  <sheetViews>
    <sheetView showGridLines="0" topLeftCell="B163" zoomScale="85" zoomScaleNormal="85" workbookViewId="0">
      <selection activeCell="R181" sqref="R181"/>
    </sheetView>
  </sheetViews>
  <sheetFormatPr defaultColWidth="9.140625" defaultRowHeight="12.75"/>
  <cols>
    <col min="1" max="1" width="34.42578125" style="64" customWidth="1"/>
    <col min="2" max="6" width="13.7109375" style="64" customWidth="1"/>
    <col min="7" max="7" width="13.42578125" style="64" customWidth="1"/>
    <col min="8" max="8" width="12.85546875" style="64" customWidth="1"/>
    <col min="9" max="9" width="12.42578125" style="64" customWidth="1"/>
    <col min="10" max="10" width="13.85546875" style="64" bestFit="1" customWidth="1"/>
    <col min="11" max="11" width="11" style="64" customWidth="1"/>
    <col min="12" max="12" width="12.140625" style="64" customWidth="1"/>
    <col min="13" max="17" width="11" style="64" customWidth="1"/>
    <col min="18" max="16384" width="9.140625" style="64"/>
  </cols>
  <sheetData>
    <row r="1" spans="1:11" ht="15.75">
      <c r="A1" s="6" t="s">
        <v>1855</v>
      </c>
    </row>
    <row r="3" spans="1:11" ht="15">
      <c r="A3" s="381" t="s">
        <v>1504</v>
      </c>
    </row>
    <row r="4" spans="1:11">
      <c r="A4" s="64" t="s">
        <v>1856</v>
      </c>
    </row>
    <row r="5" spans="1:11" ht="38.25">
      <c r="A5" s="379" t="s">
        <v>141</v>
      </c>
      <c r="B5" s="378" t="s">
        <v>142</v>
      </c>
      <c r="C5" s="378" t="s">
        <v>143</v>
      </c>
      <c r="D5" s="378" t="s">
        <v>144</v>
      </c>
      <c r="E5" s="378" t="s">
        <v>145</v>
      </c>
      <c r="F5" s="378" t="s">
        <v>146</v>
      </c>
      <c r="G5" s="378" t="s">
        <v>147</v>
      </c>
      <c r="H5" s="378" t="s">
        <v>148</v>
      </c>
      <c r="I5" s="378" t="s">
        <v>149</v>
      </c>
      <c r="J5" s="380" t="s">
        <v>150</v>
      </c>
    </row>
    <row r="6" spans="1:11">
      <c r="A6" s="737">
        <f>Vehi_Inputs!C39</f>
        <v>2959.8626743605541</v>
      </c>
      <c r="B6" s="403">
        <f>Vehi_Inputs!D39</f>
        <v>2575.5290831000002</v>
      </c>
      <c r="C6" s="403">
        <f>Vehi_Inputs!E39</f>
        <v>3098.8981258685394</v>
      </c>
      <c r="D6" s="403">
        <f>Vehi_Inputs!F39</f>
        <v>2677.75813565</v>
      </c>
      <c r="E6" s="403">
        <f>Vehi_Inputs!G39</f>
        <v>3103.307371112237</v>
      </c>
      <c r="F6" s="403">
        <f>Vehi_Inputs!H39</f>
        <v>2688.7812356499999</v>
      </c>
      <c r="G6" s="403">
        <f>Vehi_Inputs!I39</f>
        <v>2664.8841124925889</v>
      </c>
      <c r="H6" s="403">
        <f>Vehi_Inputs!J39</f>
        <v>2327.5202171311998</v>
      </c>
      <c r="I6" s="403">
        <f>Vehi_Inputs!K39</f>
        <v>2945.7530345161235</v>
      </c>
      <c r="J6" s="881">
        <f>Vehi_Inputs!L39</f>
        <v>2766.2395971312003</v>
      </c>
    </row>
    <row r="8" spans="1:11">
      <c r="A8" s="64" t="s">
        <v>1857</v>
      </c>
    </row>
    <row r="9" spans="1:11" ht="38.25">
      <c r="A9" s="238"/>
      <c r="B9" s="378" t="s">
        <v>141</v>
      </c>
      <c r="C9" s="950" t="s">
        <v>142</v>
      </c>
      <c r="D9" s="378" t="s">
        <v>143</v>
      </c>
      <c r="E9" s="378" t="s">
        <v>144</v>
      </c>
      <c r="F9" s="378" t="s">
        <v>145</v>
      </c>
      <c r="G9" s="378" t="s">
        <v>146</v>
      </c>
      <c r="H9" s="378" t="s">
        <v>147</v>
      </c>
      <c r="I9" s="378" t="s">
        <v>148</v>
      </c>
      <c r="J9" s="378" t="s">
        <v>149</v>
      </c>
      <c r="K9" s="380" t="s">
        <v>150</v>
      </c>
    </row>
    <row r="10" spans="1:11">
      <c r="A10" s="230" t="s">
        <v>709</v>
      </c>
      <c r="B10" s="382">
        <f>Vehi_Inputs!C56</f>
        <v>0.15343673223141435</v>
      </c>
      <c r="C10" s="382">
        <f>Vehi_Inputs!D56</f>
        <v>0.28616405246234844</v>
      </c>
      <c r="D10" s="382">
        <f>Vehi_Inputs!E56</f>
        <v>0.22513089005235606</v>
      </c>
      <c r="E10" s="382">
        <f>Vehi_Inputs!F56</f>
        <v>0.2564410164565305</v>
      </c>
      <c r="F10" s="382">
        <f>Vehi_Inputs!G56</f>
        <v>0.22983981811668278</v>
      </c>
      <c r="G10" s="382">
        <f>Vehi_Inputs!H56</f>
        <v>0.25873756403418224</v>
      </c>
      <c r="H10" s="382">
        <f>Vehi_Inputs!I56</f>
        <v>4.5461302911814605E-2</v>
      </c>
      <c r="I10" s="382">
        <f>Vehi_Inputs!J56</f>
        <v>6.6029720728820074E-2</v>
      </c>
      <c r="J10" s="382">
        <f>Vehi_Inputs!K56</f>
        <v>8.2585249730536589E-2</v>
      </c>
      <c r="K10" s="588">
        <f>Vehi_Inputs!L56</f>
        <v>6.7044084031020329E-2</v>
      </c>
    </row>
    <row r="11" spans="1:11">
      <c r="A11" s="230" t="s">
        <v>183</v>
      </c>
      <c r="B11" s="382">
        <f>Vehi_Inputs!C57</f>
        <v>6.3105570480723405E-2</v>
      </c>
      <c r="C11" s="382">
        <f>Vehi_Inputs!D57</f>
        <v>6.1658062956724484E-2</v>
      </c>
      <c r="D11" s="382">
        <f>Vehi_Inputs!E57</f>
        <v>4.9892208192177392E-2</v>
      </c>
      <c r="E11" s="382">
        <f>Vehi_Inputs!F57</f>
        <v>5.9976770379984799E-2</v>
      </c>
      <c r="F11" s="382">
        <f>Vehi_Inputs!G57</f>
        <v>4.9629508737740163E-2</v>
      </c>
      <c r="G11" s="382">
        <f>Vehi_Inputs!H57</f>
        <v>5.9737911247593013E-2</v>
      </c>
      <c r="H11" s="382">
        <f>Vehi_Inputs!I57</f>
        <v>5.5890654199533756E-2</v>
      </c>
      <c r="I11" s="382">
        <f>Vehi_Inputs!J57</f>
        <v>6.9157304733175939E-2</v>
      </c>
      <c r="J11" s="382">
        <f>Vehi_Inputs!K57</f>
        <v>2.8134729281300157E-2</v>
      </c>
      <c r="K11" s="588">
        <f>Vehi_Inputs!L57</f>
        <v>3.2245216594726137E-2</v>
      </c>
    </row>
    <row r="12" spans="1:11">
      <c r="A12" s="230" t="s">
        <v>184</v>
      </c>
      <c r="B12" s="382">
        <f>Vehi_Inputs!C58</f>
        <v>0.25420370495753275</v>
      </c>
      <c r="C12" s="382">
        <f>Vehi_Inputs!D58</f>
        <v>0.23</v>
      </c>
      <c r="D12" s="382">
        <f>Vehi_Inputs!E58</f>
        <v>0.21564305507327783</v>
      </c>
      <c r="E12" s="382">
        <f>Vehi_Inputs!F58</f>
        <v>0.245</v>
      </c>
      <c r="F12" s="382">
        <f>Vehi_Inputs!G58</f>
        <v>0.21440294133376075</v>
      </c>
      <c r="G12" s="382">
        <f>Vehi_Inputs!H58</f>
        <v>0.25600000000000001</v>
      </c>
      <c r="H12" s="382">
        <f>Vehi_Inputs!I58</f>
        <v>0.24221267748836323</v>
      </c>
      <c r="I12" s="382">
        <f>Vehi_Inputs!J58</f>
        <v>0.312</v>
      </c>
      <c r="J12" s="382">
        <f>Vehi_Inputs!K58</f>
        <v>0.23470492031846918</v>
      </c>
      <c r="K12" s="588">
        <f>Vehi_Inputs!L58</f>
        <v>0.2729327261767891</v>
      </c>
    </row>
    <row r="13" spans="1:11">
      <c r="A13" s="230" t="s">
        <v>185</v>
      </c>
      <c r="B13" s="382">
        <f>Vehi_Inputs!C59</f>
        <v>0</v>
      </c>
      <c r="C13" s="382">
        <f>Vehi_Inputs!D59</f>
        <v>0</v>
      </c>
      <c r="D13" s="382">
        <f>Vehi_Inputs!E59</f>
        <v>2.125038497074222E-2</v>
      </c>
      <c r="E13" s="382">
        <f>Vehi_Inputs!F59</f>
        <v>1.5593960298796047E-2</v>
      </c>
      <c r="F13" s="382">
        <f>Vehi_Inputs!G59</f>
        <v>2.0832139470162537E-2</v>
      </c>
      <c r="G13" s="382">
        <f>Vehi_Inputs!H59</f>
        <v>1.6328362407675424E-2</v>
      </c>
      <c r="H13" s="382">
        <f>Vehi_Inputs!I59</f>
        <v>9.3151090332556238E-2</v>
      </c>
      <c r="I13" s="382">
        <f>Vehi_Inputs!J59</f>
        <v>6.7313109940291244E-2</v>
      </c>
      <c r="J13" s="382">
        <f>Vehi_Inputs!K59</f>
        <v>4.2202093921950262E-2</v>
      </c>
      <c r="K13" s="588">
        <f>Vehi_Inputs!L59</f>
        <v>4.4912980256939974E-2</v>
      </c>
    </row>
    <row r="14" spans="1:11">
      <c r="A14" s="230" t="s">
        <v>186</v>
      </c>
      <c r="B14" s="382">
        <f>Vehi_Inputs!C60</f>
        <v>0</v>
      </c>
      <c r="C14" s="382">
        <f>Vehi_Inputs!D60</f>
        <v>0</v>
      </c>
      <c r="D14" s="382">
        <f>Vehi_Inputs!E60</f>
        <v>2.125038497074222E-2</v>
      </c>
      <c r="E14" s="382">
        <f>Vehi_Inputs!F60</f>
        <v>1.5593960298796047E-2</v>
      </c>
      <c r="F14" s="382">
        <f>Vehi_Inputs!G60</f>
        <v>2.0832139470162537E-2</v>
      </c>
      <c r="G14" s="382">
        <f>Vehi_Inputs!H60</f>
        <v>1.6328362407675424E-2</v>
      </c>
      <c r="H14" s="382">
        <f>Vehi_Inputs!I60</f>
        <v>0</v>
      </c>
      <c r="I14" s="382">
        <f>Vehi_Inputs!J60</f>
        <v>0</v>
      </c>
      <c r="J14" s="382">
        <f>Vehi_Inputs!K60</f>
        <v>0</v>
      </c>
      <c r="K14" s="588">
        <f>Vehi_Inputs!L60</f>
        <v>0</v>
      </c>
    </row>
    <row r="15" spans="1:11">
      <c r="A15" s="230" t="s">
        <v>187</v>
      </c>
      <c r="B15" s="382">
        <f>Vehi_Inputs!C61</f>
        <v>0</v>
      </c>
      <c r="C15" s="382">
        <f>Vehi_Inputs!D61</f>
        <v>0</v>
      </c>
      <c r="D15" s="382">
        <f>Vehi_Inputs!E61</f>
        <v>1.7862642439174622E-2</v>
      </c>
      <c r="E15" s="382">
        <f>Vehi_Inputs!F61</f>
        <v>1.7999999999999999E-2</v>
      </c>
      <c r="F15" s="382">
        <f>Vehi_Inputs!G61</f>
        <v>1.8074944540288088E-2</v>
      </c>
      <c r="G15" s="382">
        <f>Vehi_Inputs!H61</f>
        <v>1.7000000000000001E-2</v>
      </c>
      <c r="H15" s="382">
        <f>Vehi_Inputs!I61</f>
        <v>5.8995690543952289E-2</v>
      </c>
      <c r="I15" s="382">
        <f>Vehi_Inputs!J61</f>
        <v>6.6000000000000003E-2</v>
      </c>
      <c r="J15" s="382">
        <f>Vehi_Inputs!K61</f>
        <v>3.6791569060161768E-2</v>
      </c>
      <c r="K15" s="588">
        <f>Vehi_Inputs!L61</f>
        <v>3.9154905865024597E-2</v>
      </c>
    </row>
    <row r="16" spans="1:11">
      <c r="A16" s="230" t="s">
        <v>751</v>
      </c>
      <c r="B16" s="382">
        <f>Vehi_Inputs!C62</f>
        <v>0</v>
      </c>
      <c r="C16" s="382">
        <f>Vehi_Inputs!D62</f>
        <v>0</v>
      </c>
      <c r="D16" s="382">
        <f>Vehi_Inputs!E62</f>
        <v>0</v>
      </c>
      <c r="E16" s="382">
        <f>Vehi_Inputs!F62</f>
        <v>0</v>
      </c>
      <c r="F16" s="382">
        <f>Vehi_Inputs!G62</f>
        <v>0</v>
      </c>
      <c r="G16" s="382">
        <f>Vehi_Inputs!H62</f>
        <v>0</v>
      </c>
      <c r="H16" s="382">
        <f>Vehi_Inputs!I62</f>
        <v>0</v>
      </c>
      <c r="I16" s="382">
        <f>Vehi_Inputs!J62</f>
        <v>0</v>
      </c>
      <c r="J16" s="382">
        <f>Vehi_Inputs!K62</f>
        <v>0.10184153134523673</v>
      </c>
      <c r="K16" s="588">
        <f>Vehi_Inputs!L62</f>
        <v>7.0854310741291837E-2</v>
      </c>
    </row>
    <row r="17" spans="1:11">
      <c r="A17" s="589" t="s">
        <v>189</v>
      </c>
      <c r="B17" s="368">
        <f>Vehi_Inputs!C63</f>
        <v>0.52925399233032944</v>
      </c>
      <c r="C17" s="368">
        <f>Vehi_Inputs!D63</f>
        <v>0.42217788458092709</v>
      </c>
      <c r="D17" s="368">
        <f>Vehi_Inputs!E63</f>
        <v>0.44897043430152972</v>
      </c>
      <c r="E17" s="368">
        <f>Vehi_Inputs!F63</f>
        <v>0.38939429256589264</v>
      </c>
      <c r="F17" s="368">
        <f>Vehi_Inputs!G63</f>
        <v>0.44638850833120314</v>
      </c>
      <c r="G17" s="368">
        <f>Vehi_Inputs!H63</f>
        <v>0.37586779990287378</v>
      </c>
      <c r="H17" s="368">
        <f>Vehi_Inputs!I63</f>
        <v>0.50428858452377989</v>
      </c>
      <c r="I17" s="368">
        <f>Vehi_Inputs!J63</f>
        <v>0.41949986459771282</v>
      </c>
      <c r="J17" s="368">
        <f>Vehi_Inputs!K63</f>
        <v>0.4737399063423452</v>
      </c>
      <c r="K17" s="428">
        <f>Vehi_Inputs!L63</f>
        <v>0.47285577633420806</v>
      </c>
    </row>
    <row r="19" spans="1:11">
      <c r="A19" s="64" t="s">
        <v>1858</v>
      </c>
    </row>
    <row r="20" spans="1:11" ht="38.25">
      <c r="A20" s="238"/>
      <c r="B20" s="378" t="s">
        <v>141</v>
      </c>
      <c r="C20" s="378" t="s">
        <v>142</v>
      </c>
      <c r="D20" s="378" t="s">
        <v>143</v>
      </c>
      <c r="E20" s="378" t="s">
        <v>144</v>
      </c>
      <c r="F20" s="378" t="s">
        <v>145</v>
      </c>
      <c r="G20" s="378" t="s">
        <v>146</v>
      </c>
      <c r="H20" s="378" t="s">
        <v>147</v>
      </c>
      <c r="I20" s="378" t="s">
        <v>148</v>
      </c>
      <c r="J20" s="378" t="s">
        <v>149</v>
      </c>
      <c r="K20" s="380" t="s">
        <v>150</v>
      </c>
    </row>
    <row r="21" spans="1:11">
      <c r="A21" s="238" t="s">
        <v>250</v>
      </c>
      <c r="B21" s="392"/>
      <c r="C21" s="392"/>
      <c r="D21" s="392"/>
      <c r="E21" s="392"/>
      <c r="F21" s="392"/>
      <c r="G21" s="392"/>
      <c r="H21" s="392"/>
      <c r="I21" s="392"/>
      <c r="J21" s="392"/>
      <c r="K21" s="394"/>
    </row>
    <row r="22" spans="1:11">
      <c r="A22" s="230" t="s">
        <v>251</v>
      </c>
      <c r="B22" s="382">
        <f>Mat_Inputs!C6</f>
        <v>0.65277705820941678</v>
      </c>
      <c r="C22" s="382">
        <f>Mat_Inputs!D6</f>
        <v>0.111</v>
      </c>
      <c r="D22" s="382">
        <f>Mat_Inputs!E6</f>
        <v>0.65277705820941678</v>
      </c>
      <c r="E22" s="382">
        <f>Mat_Inputs!F6</f>
        <v>0.108</v>
      </c>
      <c r="F22" s="382">
        <f>Mat_Inputs!G6</f>
        <v>0.65277705820941678</v>
      </c>
      <c r="G22" s="382">
        <f>Mat_Inputs!H6</f>
        <v>0.105</v>
      </c>
      <c r="H22" s="382">
        <f>Mat_Inputs!I6</f>
        <v>0.65277705820941678</v>
      </c>
      <c r="I22" s="382">
        <f>Mat_Inputs!J6</f>
        <v>0.10299999999999999</v>
      </c>
      <c r="J22" s="382">
        <f>Mat_Inputs!K6</f>
        <v>0.65277705820941678</v>
      </c>
      <c r="K22" s="588">
        <f>Mat_Inputs!L6</f>
        <v>0.10299999999999999</v>
      </c>
    </row>
    <row r="23" spans="1:11">
      <c r="A23" s="230" t="s">
        <v>252</v>
      </c>
      <c r="B23" s="382">
        <f>Mat_Inputs!C7</f>
        <v>3.0699147135276265E-2</v>
      </c>
      <c r="C23" s="382">
        <f>Mat_Inputs!D7</f>
        <v>9.0999999999999998E-2</v>
      </c>
      <c r="D23" s="382">
        <f>Mat_Inputs!E7</f>
        <v>3.0699147135276265E-2</v>
      </c>
      <c r="E23" s="382">
        <f>Mat_Inputs!F7</f>
        <v>8.8999999999999996E-2</v>
      </c>
      <c r="F23" s="382">
        <f>Mat_Inputs!G7</f>
        <v>3.0699147135276265E-2</v>
      </c>
      <c r="G23" s="382">
        <f>Mat_Inputs!H7</f>
        <v>6.7000000000000004E-2</v>
      </c>
      <c r="H23" s="382">
        <f>Mat_Inputs!I7</f>
        <v>3.0699147135276265E-2</v>
      </c>
      <c r="I23" s="382">
        <f>Mat_Inputs!J7</f>
        <v>6.6000000000000003E-2</v>
      </c>
      <c r="J23" s="382">
        <f>Mat_Inputs!K7</f>
        <v>3.0699147135276265E-2</v>
      </c>
      <c r="K23" s="588">
        <f>Mat_Inputs!L7</f>
        <v>8.5000000000000006E-2</v>
      </c>
    </row>
    <row r="24" spans="1:11">
      <c r="A24" s="230" t="s">
        <v>283</v>
      </c>
      <c r="B24" s="382">
        <f>Mat_Inputs!C8</f>
        <v>1.6460795893228374E-3</v>
      </c>
      <c r="C24" s="382">
        <f>Mat_Inputs!D8</f>
        <v>0</v>
      </c>
      <c r="D24" s="382">
        <f>Mat_Inputs!E8</f>
        <v>1.6460795893228374E-3</v>
      </c>
      <c r="E24" s="382">
        <f>Mat_Inputs!F8</f>
        <v>0</v>
      </c>
      <c r="F24" s="382">
        <f>Mat_Inputs!G8</f>
        <v>1.6460795893228374E-3</v>
      </c>
      <c r="G24" s="382">
        <f>Mat_Inputs!H8</f>
        <v>0</v>
      </c>
      <c r="H24" s="382">
        <f>Mat_Inputs!I8</f>
        <v>1.6460795893228374E-3</v>
      </c>
      <c r="I24" s="382">
        <f>Mat_Inputs!J8</f>
        <v>0</v>
      </c>
      <c r="J24" s="382">
        <f>Mat_Inputs!K8</f>
        <v>1.6460795893228374E-3</v>
      </c>
      <c r="K24" s="588">
        <f>Mat_Inputs!L8</f>
        <v>0</v>
      </c>
    </row>
    <row r="25" spans="1:11">
      <c r="A25" s="230" t="s">
        <v>254</v>
      </c>
      <c r="B25" s="382">
        <f>Mat_Inputs!C9</f>
        <v>1.8986305664788112E-2</v>
      </c>
      <c r="C25" s="382">
        <f>Mat_Inputs!D9</f>
        <v>3.5999999999999997E-2</v>
      </c>
      <c r="D25" s="382">
        <f>Mat_Inputs!E9</f>
        <v>1.8986305664788112E-2</v>
      </c>
      <c r="E25" s="382">
        <f>Mat_Inputs!F9</f>
        <v>3.5000000000000003E-2</v>
      </c>
      <c r="F25" s="382">
        <f>Mat_Inputs!G9</f>
        <v>1.8986305664788112E-2</v>
      </c>
      <c r="G25" s="382">
        <f>Mat_Inputs!H9</f>
        <v>3.4000000000000002E-2</v>
      </c>
      <c r="H25" s="382">
        <f>Mat_Inputs!I9</f>
        <v>1.8986305664788112E-2</v>
      </c>
      <c r="I25" s="382">
        <f>Mat_Inputs!J9</f>
        <v>3.3000000000000002E-2</v>
      </c>
      <c r="J25" s="382">
        <f>Mat_Inputs!K9</f>
        <v>1.8986305664788112E-2</v>
      </c>
      <c r="K25" s="588">
        <f>Mat_Inputs!L9</f>
        <v>3.3000000000000002E-2</v>
      </c>
    </row>
    <row r="26" spans="1:11">
      <c r="A26" s="230" t="s">
        <v>54</v>
      </c>
      <c r="B26" s="382">
        <f>Mat_Inputs!C10</f>
        <v>0</v>
      </c>
      <c r="C26" s="382">
        <f>Mat_Inputs!D10</f>
        <v>0</v>
      </c>
      <c r="D26" s="382">
        <f>Mat_Inputs!E10</f>
        <v>0</v>
      </c>
      <c r="E26" s="382">
        <f>Mat_Inputs!F10</f>
        <v>0</v>
      </c>
      <c r="F26" s="382">
        <f>Mat_Inputs!G10</f>
        <v>0</v>
      </c>
      <c r="G26" s="382">
        <f>Mat_Inputs!H10</f>
        <v>0</v>
      </c>
      <c r="H26" s="382">
        <f>Mat_Inputs!I10</f>
        <v>0</v>
      </c>
      <c r="I26" s="382">
        <f>Mat_Inputs!J10</f>
        <v>0</v>
      </c>
      <c r="J26" s="382">
        <f>Mat_Inputs!K10</f>
        <v>0</v>
      </c>
      <c r="K26" s="588">
        <f>Mat_Inputs!L10</f>
        <v>0</v>
      </c>
    </row>
    <row r="27" spans="1:11">
      <c r="A27" s="230" t="s">
        <v>256</v>
      </c>
      <c r="B27" s="446">
        <f>Mat_Inputs!C11</f>
        <v>0</v>
      </c>
      <c r="C27" s="382">
        <f>Mat_Inputs!D11</f>
        <v>8.9999999999999993E-3</v>
      </c>
      <c r="D27" s="446">
        <f>Mat_Inputs!E11</f>
        <v>0</v>
      </c>
      <c r="E27" s="382">
        <f>Mat_Inputs!F11</f>
        <v>8.9999999999999993E-3</v>
      </c>
      <c r="F27" s="382">
        <f>Mat_Inputs!G11</f>
        <v>0</v>
      </c>
      <c r="G27" s="382">
        <f>Mat_Inputs!H11</f>
        <v>8.9999999999999993E-3</v>
      </c>
      <c r="H27" s="382">
        <f>Mat_Inputs!I11</f>
        <v>0</v>
      </c>
      <c r="I27" s="382">
        <f>Mat_Inputs!J11</f>
        <v>8.9999999999999993E-3</v>
      </c>
      <c r="J27" s="446">
        <f>Mat_Inputs!K11</f>
        <v>0</v>
      </c>
      <c r="K27" s="588">
        <f>Mat_Inputs!L11</f>
        <v>8.9999999999999993E-3</v>
      </c>
    </row>
    <row r="28" spans="1:11">
      <c r="A28" s="230" t="s">
        <v>257</v>
      </c>
      <c r="B28" s="446">
        <f>Mat_Inputs!C12</f>
        <v>8.491106795336963E-3</v>
      </c>
      <c r="C28" s="382">
        <f>Mat_Inputs!D12</f>
        <v>0</v>
      </c>
      <c r="D28" s="446">
        <f>Mat_Inputs!E12</f>
        <v>8.491106795336963E-3</v>
      </c>
      <c r="E28" s="382">
        <f>Mat_Inputs!F12</f>
        <v>0</v>
      </c>
      <c r="F28" s="382">
        <f>Mat_Inputs!G12</f>
        <v>8.491106795336963E-3</v>
      </c>
      <c r="G28" s="382">
        <f>Mat_Inputs!H12</f>
        <v>0</v>
      </c>
      <c r="H28" s="382">
        <f>Mat_Inputs!I12</f>
        <v>8.491106795336963E-3</v>
      </c>
      <c r="I28" s="382">
        <f>Mat_Inputs!J12</f>
        <v>0</v>
      </c>
      <c r="J28" s="446">
        <f>Mat_Inputs!K12</f>
        <v>8.491106795336963E-3</v>
      </c>
      <c r="K28" s="588">
        <f>Mat_Inputs!L12</f>
        <v>0</v>
      </c>
    </row>
    <row r="29" spans="1:11">
      <c r="A29" s="230" t="s">
        <v>258</v>
      </c>
      <c r="B29" s="382">
        <f>Mat_Inputs!C13</f>
        <v>4.4418960145847855E-2</v>
      </c>
      <c r="C29" s="382">
        <f>Mat_Inputs!D13</f>
        <v>7.6999999999999999E-2</v>
      </c>
      <c r="D29" s="382">
        <f>Mat_Inputs!E13</f>
        <v>4.4418960145847855E-2</v>
      </c>
      <c r="E29" s="382">
        <f>Mat_Inputs!F13</f>
        <v>7.4999999999999997E-2</v>
      </c>
      <c r="F29" s="382">
        <f>Mat_Inputs!G13</f>
        <v>4.4418960145847855E-2</v>
      </c>
      <c r="G29" s="382">
        <f>Mat_Inputs!H13</f>
        <v>7.2999999999999995E-2</v>
      </c>
      <c r="H29" s="382">
        <f>Mat_Inputs!I13</f>
        <v>4.4418960145847855E-2</v>
      </c>
      <c r="I29" s="382">
        <f>Mat_Inputs!J13</f>
        <v>7.1999999999999995E-2</v>
      </c>
      <c r="J29" s="382">
        <f>Mat_Inputs!K13</f>
        <v>4.4418960145847855E-2</v>
      </c>
      <c r="K29" s="588">
        <f>Mat_Inputs!L13</f>
        <v>7.1999999999999995E-2</v>
      </c>
    </row>
    <row r="30" spans="1:11">
      <c r="A30" s="230" t="s">
        <v>259</v>
      </c>
      <c r="B30" s="382">
        <f>Mat_Inputs!C14</f>
        <v>0</v>
      </c>
      <c r="C30" s="382">
        <f>Mat_Inputs!D14</f>
        <v>0.38100000000000001</v>
      </c>
      <c r="D30" s="382">
        <f>Mat_Inputs!E14</f>
        <v>0</v>
      </c>
      <c r="E30" s="382">
        <f>Mat_Inputs!F14</f>
        <v>0.39700000000000002</v>
      </c>
      <c r="F30" s="382">
        <f>Mat_Inputs!G14</f>
        <v>0</v>
      </c>
      <c r="G30" s="382">
        <f>Mat_Inputs!H14</f>
        <v>0.41199999999999998</v>
      </c>
      <c r="H30" s="382">
        <f>Mat_Inputs!I14</f>
        <v>0</v>
      </c>
      <c r="I30" s="382">
        <f>Mat_Inputs!J14</f>
        <v>0.42599999999999999</v>
      </c>
      <c r="J30" s="382">
        <f>Mat_Inputs!K14</f>
        <v>0</v>
      </c>
      <c r="K30" s="588">
        <f>Mat_Inputs!L14</f>
        <v>0.42299999999999999</v>
      </c>
    </row>
    <row r="31" spans="1:11">
      <c r="A31" s="230" t="s">
        <v>260</v>
      </c>
      <c r="B31" s="382">
        <f>Mat_Inputs!C15</f>
        <v>0.21674698939986173</v>
      </c>
      <c r="C31" s="382">
        <f>Mat_Inputs!D15</f>
        <v>0.23599999999999999</v>
      </c>
      <c r="D31" s="382">
        <f>Mat_Inputs!E15</f>
        <v>0.21674698939986173</v>
      </c>
      <c r="E31" s="382">
        <f>Mat_Inputs!F15</f>
        <v>0.22900000000000001</v>
      </c>
      <c r="F31" s="382">
        <f>Mat_Inputs!G15</f>
        <v>0.21674698939986173</v>
      </c>
      <c r="G31" s="382">
        <f>Mat_Inputs!H15</f>
        <v>0.24299999999999999</v>
      </c>
      <c r="H31" s="382">
        <f>Mat_Inputs!I15</f>
        <v>0.21674698939986173</v>
      </c>
      <c r="I31" s="382">
        <f>Mat_Inputs!J15</f>
        <v>0.23799999999999999</v>
      </c>
      <c r="J31" s="382">
        <f>Mat_Inputs!K15</f>
        <v>0.21674698939986173</v>
      </c>
      <c r="K31" s="588">
        <f>Mat_Inputs!L15</f>
        <v>0.22</v>
      </c>
    </row>
    <row r="32" spans="1:11">
      <c r="A32" s="230" t="s">
        <v>261</v>
      </c>
      <c r="B32" s="382">
        <f>Mat_Inputs!C16</f>
        <v>1.7677867751252862E-2</v>
      </c>
      <c r="C32" s="382">
        <f>Mat_Inputs!D16</f>
        <v>8.9999999999999993E-3</v>
      </c>
      <c r="D32" s="382">
        <f>Mat_Inputs!E16</f>
        <v>1.7677867751252862E-2</v>
      </c>
      <c r="E32" s="382">
        <f>Mat_Inputs!F16</f>
        <v>8.0000000000000002E-3</v>
      </c>
      <c r="F32" s="382">
        <f>Mat_Inputs!G16</f>
        <v>1.7677867751252862E-2</v>
      </c>
      <c r="G32" s="382">
        <f>Mat_Inputs!H16</f>
        <v>8.0000000000000002E-3</v>
      </c>
      <c r="H32" s="382">
        <f>Mat_Inputs!I16</f>
        <v>1.7677867751252862E-2</v>
      </c>
      <c r="I32" s="382">
        <f>Mat_Inputs!J16</f>
        <v>8.0000000000000002E-3</v>
      </c>
      <c r="J32" s="382">
        <f>Mat_Inputs!K16</f>
        <v>1.7677867751252862E-2</v>
      </c>
      <c r="K32" s="588">
        <f>Mat_Inputs!L16</f>
        <v>8.0000000000000002E-3</v>
      </c>
    </row>
    <row r="33" spans="1:11">
      <c r="A33" s="589" t="s">
        <v>262</v>
      </c>
      <c r="B33" s="368">
        <f>Mat_Inputs!C17</f>
        <v>8.5564853088966331E-3</v>
      </c>
      <c r="C33" s="368">
        <f>Mat_Inputs!D17</f>
        <v>4.9999999999999933E-2</v>
      </c>
      <c r="D33" s="368">
        <f>Mat_Inputs!E17</f>
        <v>8.5564853088966331E-3</v>
      </c>
      <c r="E33" s="368">
        <f>Mat_Inputs!F17</f>
        <v>4.9999999999999933E-2</v>
      </c>
      <c r="F33" s="368">
        <f>Mat_Inputs!G17</f>
        <v>8.5564853088966331E-3</v>
      </c>
      <c r="G33" s="368">
        <f>Mat_Inputs!H17</f>
        <v>4.9000000000000044E-2</v>
      </c>
      <c r="H33" s="368">
        <f>Mat_Inputs!I17</f>
        <v>8.5564853088966331E-3</v>
      </c>
      <c r="I33" s="368">
        <f>Mat_Inputs!J17</f>
        <v>4.500000000000004E-2</v>
      </c>
      <c r="J33" s="368">
        <f>Mat_Inputs!K17</f>
        <v>8.5564853088966331E-3</v>
      </c>
      <c r="K33" s="428">
        <f>Mat_Inputs!L17</f>
        <v>4.7000000000000042E-2</v>
      </c>
    </row>
    <row r="34" spans="1:11">
      <c r="A34" s="238" t="s">
        <v>182</v>
      </c>
      <c r="B34" s="392"/>
      <c r="C34" s="392"/>
      <c r="D34" s="392"/>
      <c r="E34" s="392"/>
      <c r="F34" s="392"/>
      <c r="G34" s="392"/>
      <c r="H34" s="392"/>
      <c r="I34" s="392"/>
      <c r="J34" s="392"/>
      <c r="K34" s="394"/>
    </row>
    <row r="35" spans="1:11">
      <c r="A35" s="230" t="s">
        <v>251</v>
      </c>
      <c r="B35" s="382">
        <f>Mat_Inputs!C19</f>
        <v>0.42357724452507295</v>
      </c>
      <c r="C35" s="382">
        <f>Mat_Inputs!D19</f>
        <v>0.54800000000000004</v>
      </c>
      <c r="D35" s="382">
        <f>Mat_Inputs!E19</f>
        <v>0.48399999999999999</v>
      </c>
      <c r="E35" s="382">
        <f>Mat_Inputs!F19</f>
        <v>0.59599999999999997</v>
      </c>
      <c r="F35" s="382">
        <f>Mat_Inputs!G19</f>
        <v>0.502</v>
      </c>
      <c r="G35" s="382">
        <f>Mat_Inputs!H19</f>
        <v>0.60699999999999998</v>
      </c>
      <c r="H35" s="382">
        <f>Mat_Inputs!I19</f>
        <v>0.5</v>
      </c>
      <c r="I35" s="382">
        <f>Mat_Inputs!J19</f>
        <v>0</v>
      </c>
      <c r="J35" s="382">
        <f>Mat_Inputs!K19</f>
        <v>0.18710919904856269</v>
      </c>
      <c r="K35" s="588">
        <f>Mat_Inputs!L19</f>
        <v>0.18710919904856269</v>
      </c>
    </row>
    <row r="36" spans="1:11">
      <c r="A36" s="230" t="s">
        <v>264</v>
      </c>
      <c r="B36" s="382">
        <f>Mat_Inputs!C20</f>
        <v>0</v>
      </c>
      <c r="C36" s="382">
        <f>Mat_Inputs!D20</f>
        <v>3.5999999999999997E-2</v>
      </c>
      <c r="D36" s="382">
        <f>Mat_Inputs!E20</f>
        <v>0</v>
      </c>
      <c r="E36" s="382">
        <f>Mat_Inputs!F20</f>
        <v>3.2000000000000001E-2</v>
      </c>
      <c r="F36" s="382">
        <f>Mat_Inputs!G20</f>
        <v>0</v>
      </c>
      <c r="G36" s="382">
        <f>Mat_Inputs!H20</f>
        <v>0.03</v>
      </c>
      <c r="H36" s="382">
        <f>Mat_Inputs!I20</f>
        <v>0</v>
      </c>
      <c r="I36" s="382">
        <f>Mat_Inputs!J20</f>
        <v>0</v>
      </c>
      <c r="J36" s="382">
        <f>Mat_Inputs!K20</f>
        <v>0.31347914244110364</v>
      </c>
      <c r="K36" s="588">
        <f>Mat_Inputs!L20</f>
        <v>0.31347914244110364</v>
      </c>
    </row>
    <row r="37" spans="1:11">
      <c r="A37" s="230" t="s">
        <v>265</v>
      </c>
      <c r="B37" s="382">
        <f>Mat_Inputs!C21</f>
        <v>0</v>
      </c>
      <c r="C37" s="382">
        <f>Mat_Inputs!D21</f>
        <v>5.2999999999999999E-2</v>
      </c>
      <c r="D37" s="382">
        <f>Mat_Inputs!E21</f>
        <v>0.24</v>
      </c>
      <c r="E37" s="382">
        <f>Mat_Inputs!F21</f>
        <v>4.7E-2</v>
      </c>
      <c r="F37" s="382">
        <f>Mat_Inputs!G21</f>
        <v>0.22800000000000001</v>
      </c>
      <c r="G37" s="382">
        <f>Mat_Inputs!H21</f>
        <v>4.3999999999999997E-2</v>
      </c>
      <c r="H37" s="382">
        <f>Mat_Inputs!I21</f>
        <v>0</v>
      </c>
      <c r="I37" s="382">
        <f>Mat_Inputs!J21</f>
        <v>0</v>
      </c>
      <c r="J37" s="382">
        <f>Mat_Inputs!K21</f>
        <v>7.6391227457442282E-4</v>
      </c>
      <c r="K37" s="588">
        <f>Mat_Inputs!L21</f>
        <v>7.6391227457442282E-4</v>
      </c>
    </row>
    <row r="38" spans="1:11">
      <c r="A38" s="230" t="s">
        <v>252</v>
      </c>
      <c r="B38" s="382">
        <f>Mat_Inputs!C22</f>
        <v>4.8421314571954061E-2</v>
      </c>
      <c r="C38" s="382">
        <f>Mat_Inputs!D22</f>
        <v>1.7999999999999999E-2</v>
      </c>
      <c r="D38" s="382">
        <f>Mat_Inputs!E22</f>
        <v>0</v>
      </c>
      <c r="E38" s="382">
        <f>Mat_Inputs!F22</f>
        <v>2.5000000000000001E-2</v>
      </c>
      <c r="F38" s="382">
        <f>Mat_Inputs!G22</f>
        <v>0</v>
      </c>
      <c r="G38" s="382">
        <f>Mat_Inputs!H22</f>
        <v>2.7E-2</v>
      </c>
      <c r="H38" s="382">
        <f>Mat_Inputs!I22</f>
        <v>0</v>
      </c>
      <c r="I38" s="382">
        <f>Mat_Inputs!J22</f>
        <v>0.3</v>
      </c>
      <c r="J38" s="382">
        <f>Mat_Inputs!K22</f>
        <v>0.16794927778569879</v>
      </c>
      <c r="K38" s="588">
        <f>Mat_Inputs!L22</f>
        <v>0.16794927778569879</v>
      </c>
    </row>
    <row r="39" spans="1:11">
      <c r="A39" s="230" t="s">
        <v>253</v>
      </c>
      <c r="B39" s="382">
        <f>Mat_Inputs!C23</f>
        <v>0.22329403991189864</v>
      </c>
      <c r="C39" s="382">
        <f>Mat_Inputs!D23</f>
        <v>0.17799999999999999</v>
      </c>
      <c r="D39" s="382">
        <f>Mat_Inputs!E23</f>
        <v>0.14399999999999999</v>
      </c>
      <c r="E39" s="382">
        <f>Mat_Inputs!F23</f>
        <v>0.158</v>
      </c>
      <c r="F39" s="382">
        <f>Mat_Inputs!G23</f>
        <v>0.13700000000000001</v>
      </c>
      <c r="G39" s="382">
        <f>Mat_Inputs!H23</f>
        <v>0.14899999999999999</v>
      </c>
      <c r="H39" s="382">
        <f>Mat_Inputs!I23</f>
        <v>0</v>
      </c>
      <c r="I39" s="382">
        <f>Mat_Inputs!J23</f>
        <v>0</v>
      </c>
      <c r="J39" s="382">
        <f>Mat_Inputs!K23</f>
        <v>0</v>
      </c>
      <c r="K39" s="588">
        <f>Mat_Inputs!L23</f>
        <v>0</v>
      </c>
    </row>
    <row r="40" spans="1:11">
      <c r="A40" s="230" t="s">
        <v>254</v>
      </c>
      <c r="B40" s="382">
        <f>Mat_Inputs!C24</f>
        <v>6.7621169877134568E-2</v>
      </c>
      <c r="C40" s="382">
        <f>Mat_Inputs!D24</f>
        <v>3.7999999999999999E-2</v>
      </c>
      <c r="D40" s="382">
        <f>Mat_Inputs!E24</f>
        <v>2.5999999999999999E-2</v>
      </c>
      <c r="E40" s="382">
        <f>Mat_Inputs!F24</f>
        <v>3.2000000000000001E-2</v>
      </c>
      <c r="F40" s="382">
        <f>Mat_Inputs!G24</f>
        <v>2.8000000000000001E-2</v>
      </c>
      <c r="G40" s="382">
        <f>Mat_Inputs!H24</f>
        <v>3.4000000000000002E-2</v>
      </c>
      <c r="H40" s="382">
        <f>Mat_Inputs!I24</f>
        <v>0.20499999999999999</v>
      </c>
      <c r="I40" s="382">
        <f>Mat_Inputs!J24</f>
        <v>0.28299999999999997</v>
      </c>
      <c r="J40" s="382">
        <f>Mat_Inputs!K24</f>
        <v>1.7274919301796213E-2</v>
      </c>
      <c r="K40" s="588">
        <f>Mat_Inputs!L24</f>
        <v>1.7274919301796213E-2</v>
      </c>
    </row>
    <row r="41" spans="1:11">
      <c r="A41" s="230" t="s">
        <v>56</v>
      </c>
      <c r="B41" s="382">
        <f>Mat_Inputs!C25</f>
        <v>0</v>
      </c>
      <c r="C41" s="382">
        <f>Mat_Inputs!D25</f>
        <v>0</v>
      </c>
      <c r="D41" s="382">
        <f>Mat_Inputs!E25</f>
        <v>0</v>
      </c>
      <c r="E41" s="382">
        <f>Mat_Inputs!F25</f>
        <v>0</v>
      </c>
      <c r="F41" s="382">
        <f>Mat_Inputs!G25</f>
        <v>0</v>
      </c>
      <c r="G41" s="382">
        <f>Mat_Inputs!H25</f>
        <v>0</v>
      </c>
      <c r="H41" s="382">
        <f>Mat_Inputs!I25</f>
        <v>0</v>
      </c>
      <c r="I41" s="382">
        <f>Mat_Inputs!J25</f>
        <v>0</v>
      </c>
      <c r="J41" s="382">
        <f>Mat_Inputs!K25</f>
        <v>0</v>
      </c>
      <c r="K41" s="588">
        <f>Mat_Inputs!L25</f>
        <v>0</v>
      </c>
    </row>
    <row r="42" spans="1:11">
      <c r="A42" s="230" t="s">
        <v>257</v>
      </c>
      <c r="B42" s="382">
        <f>Mat_Inputs!C26</f>
        <v>2.4832024141197638E-2</v>
      </c>
      <c r="C42" s="382">
        <f>Mat_Inputs!D26</f>
        <v>0</v>
      </c>
      <c r="D42" s="382">
        <f>Mat_Inputs!E26</f>
        <v>0</v>
      </c>
      <c r="E42" s="382">
        <f>Mat_Inputs!F26</f>
        <v>0</v>
      </c>
      <c r="F42" s="382">
        <f>Mat_Inputs!G26</f>
        <v>0</v>
      </c>
      <c r="G42" s="382">
        <f>Mat_Inputs!H26</f>
        <v>0</v>
      </c>
      <c r="H42" s="382">
        <f>Mat_Inputs!I26</f>
        <v>0</v>
      </c>
      <c r="I42" s="382">
        <f>Mat_Inputs!J26</f>
        <v>0</v>
      </c>
      <c r="J42" s="382">
        <f>Mat_Inputs!K26</f>
        <v>2.5916749175188158E-2</v>
      </c>
      <c r="K42" s="588">
        <f>Mat_Inputs!L26</f>
        <v>2.5916749175188158E-2</v>
      </c>
    </row>
    <row r="43" spans="1:11">
      <c r="A43" s="230" t="s">
        <v>260</v>
      </c>
      <c r="B43" s="382">
        <f>Mat_Inputs!C27</f>
        <v>0.19000339344935827</v>
      </c>
      <c r="C43" s="382">
        <f>Mat_Inputs!D27</f>
        <v>0.111</v>
      </c>
      <c r="D43" s="382">
        <f>Mat_Inputs!E27</f>
        <v>8.4000000000000005E-2</v>
      </c>
      <c r="E43" s="382">
        <f>Mat_Inputs!F27</f>
        <v>9.4E-2</v>
      </c>
      <c r="F43" s="382">
        <f>Mat_Inputs!G27</f>
        <v>8.4000000000000005E-2</v>
      </c>
      <c r="G43" s="382">
        <f>Mat_Inputs!H27</f>
        <v>9.4E-2</v>
      </c>
      <c r="H43" s="382">
        <f>Mat_Inputs!I27</f>
        <v>0.29499999999999998</v>
      </c>
      <c r="I43" s="382">
        <f>Mat_Inputs!J27</f>
        <v>0.40699999999999997</v>
      </c>
      <c r="J43" s="382">
        <f>Mat_Inputs!K27</f>
        <v>0.16617678413030071</v>
      </c>
      <c r="K43" s="588">
        <f>Mat_Inputs!L27</f>
        <v>0.16617678413030071</v>
      </c>
    </row>
    <row r="44" spans="1:11">
      <c r="A44" s="230" t="s">
        <v>261</v>
      </c>
      <c r="B44" s="382">
        <f>Mat_Inputs!C28</f>
        <v>2.2191507429110999E-2</v>
      </c>
      <c r="C44" s="382">
        <f>Mat_Inputs!D28</f>
        <v>1.7999999999999999E-2</v>
      </c>
      <c r="D44" s="382">
        <f>Mat_Inputs!E28</f>
        <v>2.1999999999999999E-2</v>
      </c>
      <c r="E44" s="382">
        <f>Mat_Inputs!F28</f>
        <v>1.6E-2</v>
      </c>
      <c r="F44" s="382">
        <f>Mat_Inputs!G28</f>
        <v>2.1000000000000001E-2</v>
      </c>
      <c r="G44" s="382">
        <f>Mat_Inputs!H28</f>
        <v>1.4999999999999999E-2</v>
      </c>
      <c r="H44" s="382">
        <f>Mat_Inputs!I28</f>
        <v>0</v>
      </c>
      <c r="I44" s="382">
        <f>Mat_Inputs!J28</f>
        <v>0</v>
      </c>
      <c r="J44" s="382">
        <f>Mat_Inputs!K28</f>
        <v>6.4615988571509395E-2</v>
      </c>
      <c r="K44" s="588">
        <f>Mat_Inputs!L28</f>
        <v>6.4615988571509395E-2</v>
      </c>
    </row>
    <row r="45" spans="1:11">
      <c r="A45" s="230" t="s">
        <v>259</v>
      </c>
      <c r="B45" s="382">
        <f>Mat_Inputs!C29</f>
        <v>0</v>
      </c>
      <c r="C45" s="382">
        <f>Mat_Inputs!D29</f>
        <v>0</v>
      </c>
      <c r="D45" s="382">
        <f>Mat_Inputs!E29</f>
        <v>0</v>
      </c>
      <c r="E45" s="382">
        <f>Mat_Inputs!F29</f>
        <v>0</v>
      </c>
      <c r="F45" s="382">
        <f>Mat_Inputs!G29</f>
        <v>0</v>
      </c>
      <c r="G45" s="382">
        <f>Mat_Inputs!H29</f>
        <v>0</v>
      </c>
      <c r="H45" s="382">
        <f>Mat_Inputs!I29</f>
        <v>0</v>
      </c>
      <c r="I45" s="382">
        <f>Mat_Inputs!J29</f>
        <v>0</v>
      </c>
      <c r="J45" s="382">
        <f>Mat_Inputs!K29</f>
        <v>0</v>
      </c>
      <c r="K45" s="588">
        <f>Mat_Inputs!L29</f>
        <v>0</v>
      </c>
    </row>
    <row r="46" spans="1:11">
      <c r="A46" s="230" t="s">
        <v>266</v>
      </c>
      <c r="B46" s="382">
        <f>Mat_Inputs!C30</f>
        <v>0</v>
      </c>
      <c r="C46" s="382">
        <f>Mat_Inputs!D30</f>
        <v>0</v>
      </c>
      <c r="D46" s="382">
        <f>Mat_Inputs!E30</f>
        <v>0</v>
      </c>
      <c r="E46" s="382">
        <f>Mat_Inputs!F30</f>
        <v>0</v>
      </c>
      <c r="F46" s="382">
        <f>Mat_Inputs!G30</f>
        <v>0</v>
      </c>
      <c r="G46" s="382">
        <f>Mat_Inputs!H30</f>
        <v>0</v>
      </c>
      <c r="H46" s="382">
        <f>Mat_Inputs!I30</f>
        <v>0</v>
      </c>
      <c r="I46" s="382">
        <f>Mat_Inputs!J30</f>
        <v>0</v>
      </c>
      <c r="J46" s="382">
        <f>Mat_Inputs!K30</f>
        <v>6.1984188925405387E-3</v>
      </c>
      <c r="K46" s="588">
        <f>Mat_Inputs!L30</f>
        <v>6.1984188925405387E-3</v>
      </c>
    </row>
    <row r="47" spans="1:11">
      <c r="A47" s="230" t="s">
        <v>267</v>
      </c>
      <c r="B47" s="382">
        <f>Mat_Inputs!C31</f>
        <v>0</v>
      </c>
      <c r="C47" s="382">
        <f>Mat_Inputs!D31</f>
        <v>0</v>
      </c>
      <c r="D47" s="382">
        <f>Mat_Inputs!E31</f>
        <v>0</v>
      </c>
      <c r="E47" s="382">
        <f>Mat_Inputs!F31</f>
        <v>0</v>
      </c>
      <c r="F47" s="382">
        <f>Mat_Inputs!G31</f>
        <v>0</v>
      </c>
      <c r="G47" s="382">
        <f>Mat_Inputs!H31</f>
        <v>0</v>
      </c>
      <c r="H47" s="382">
        <f>Mat_Inputs!I31</f>
        <v>0</v>
      </c>
      <c r="I47" s="382">
        <f>Mat_Inputs!J31</f>
        <v>0</v>
      </c>
      <c r="J47" s="382">
        <f>Mat_Inputs!K31</f>
        <v>2.1400740290504861E-2</v>
      </c>
      <c r="K47" s="588">
        <f>Mat_Inputs!L31</f>
        <v>2.1400740290504861E-2</v>
      </c>
    </row>
    <row r="48" spans="1:11">
      <c r="A48" s="230" t="s">
        <v>268</v>
      </c>
      <c r="B48" s="382">
        <f>Mat_Inputs!C32</f>
        <v>0</v>
      </c>
      <c r="C48" s="382">
        <f>Mat_Inputs!D32</f>
        <v>0</v>
      </c>
      <c r="D48" s="382">
        <f>Mat_Inputs!E32</f>
        <v>0</v>
      </c>
      <c r="E48" s="382">
        <f>Mat_Inputs!F32</f>
        <v>0</v>
      </c>
      <c r="F48" s="382">
        <f>Mat_Inputs!G32</f>
        <v>0</v>
      </c>
      <c r="G48" s="382">
        <f>Mat_Inputs!H32</f>
        <v>0</v>
      </c>
      <c r="H48" s="382">
        <f>Mat_Inputs!I32</f>
        <v>0</v>
      </c>
      <c r="I48" s="382">
        <f>Mat_Inputs!J32</f>
        <v>0</v>
      </c>
      <c r="J48" s="382">
        <f>Mat_Inputs!K32</f>
        <v>2.565086908263094E-2</v>
      </c>
      <c r="K48" s="588">
        <f>Mat_Inputs!L32</f>
        <v>2.565086908263094E-2</v>
      </c>
    </row>
    <row r="49" spans="1:11">
      <c r="A49" s="230" t="s">
        <v>269</v>
      </c>
      <c r="B49" s="382">
        <f>Mat_Inputs!C33</f>
        <v>0</v>
      </c>
      <c r="C49" s="382">
        <f>Mat_Inputs!D33</f>
        <v>0</v>
      </c>
      <c r="D49" s="382">
        <f>Mat_Inputs!E33</f>
        <v>0</v>
      </c>
      <c r="E49" s="382">
        <f>Mat_Inputs!F33</f>
        <v>0</v>
      </c>
      <c r="F49" s="382">
        <f>Mat_Inputs!G33</f>
        <v>0</v>
      </c>
      <c r="G49" s="382">
        <f>Mat_Inputs!H33</f>
        <v>0</v>
      </c>
      <c r="H49" s="382">
        <f>Mat_Inputs!I33</f>
        <v>0</v>
      </c>
      <c r="I49" s="382">
        <f>Mat_Inputs!J33</f>
        <v>0</v>
      </c>
      <c r="J49" s="382">
        <f>Mat_Inputs!K33</f>
        <v>0</v>
      </c>
      <c r="K49" s="588">
        <f>Mat_Inputs!L33</f>
        <v>0</v>
      </c>
    </row>
    <row r="50" spans="1:11">
      <c r="A50" s="230" t="s">
        <v>270</v>
      </c>
      <c r="B50" s="382">
        <f>Mat_Inputs!C34</f>
        <v>2.0000000000000002E-5</v>
      </c>
      <c r="C50" s="382">
        <f>Mat_Inputs!D34</f>
        <v>3.0000000000000001E-5</v>
      </c>
      <c r="D50" s="382">
        <f>Mat_Inputs!E34</f>
        <v>2.0000000000000002E-5</v>
      </c>
      <c r="E50" s="382">
        <f>Mat_Inputs!F34</f>
        <v>2.0000000000000002E-5</v>
      </c>
      <c r="F50" s="382">
        <f>Mat_Inputs!G34</f>
        <v>2.0000000000000002E-5</v>
      </c>
      <c r="G50" s="382">
        <f>Mat_Inputs!H34</f>
        <v>2.0000000000000002E-5</v>
      </c>
      <c r="H50" s="382">
        <f>Mat_Inputs!I34</f>
        <v>0</v>
      </c>
      <c r="I50" s="382">
        <f>Mat_Inputs!J34</f>
        <v>0</v>
      </c>
      <c r="J50" s="382">
        <f>Mat_Inputs!K34</f>
        <v>1.7668053030533081E-4</v>
      </c>
      <c r="K50" s="588">
        <f>Mat_Inputs!L34</f>
        <v>1.7668053030533081E-4</v>
      </c>
    </row>
    <row r="51" spans="1:11">
      <c r="A51" s="661" t="s">
        <v>271</v>
      </c>
      <c r="B51" s="382">
        <f>Mat_Inputs!C35</f>
        <v>0</v>
      </c>
      <c r="C51" s="382">
        <f>Mat_Inputs!D35</f>
        <v>0</v>
      </c>
      <c r="D51" s="382">
        <f>Mat_Inputs!E35</f>
        <v>0</v>
      </c>
      <c r="E51" s="382">
        <f>Mat_Inputs!F35</f>
        <v>0</v>
      </c>
      <c r="F51" s="382">
        <f>Mat_Inputs!G35</f>
        <v>0</v>
      </c>
      <c r="G51" s="382">
        <f>Mat_Inputs!H35</f>
        <v>0</v>
      </c>
      <c r="H51" s="382">
        <f>Mat_Inputs!I35</f>
        <v>0</v>
      </c>
      <c r="I51" s="382">
        <f>Mat_Inputs!J35</f>
        <v>0</v>
      </c>
      <c r="J51" s="382">
        <f>Mat_Inputs!K35</f>
        <v>2.7278836091788705E-3</v>
      </c>
      <c r="K51" s="588">
        <f>Mat_Inputs!L35</f>
        <v>2.7278836091788705E-3</v>
      </c>
    </row>
    <row r="52" spans="1:11">
      <c r="A52" s="661" t="s">
        <v>272</v>
      </c>
      <c r="B52" s="382">
        <f>Mat_Inputs!C36</f>
        <v>0</v>
      </c>
      <c r="C52" s="382">
        <f>Mat_Inputs!D36</f>
        <v>0</v>
      </c>
      <c r="D52" s="382">
        <f>Mat_Inputs!E36</f>
        <v>0</v>
      </c>
      <c r="E52" s="382">
        <f>Mat_Inputs!F36</f>
        <v>0</v>
      </c>
      <c r="F52" s="382">
        <f>Mat_Inputs!G36</f>
        <v>0</v>
      </c>
      <c r="G52" s="382">
        <f>Mat_Inputs!H36</f>
        <v>0</v>
      </c>
      <c r="H52" s="382">
        <f>Mat_Inputs!I36</f>
        <v>0</v>
      </c>
      <c r="I52" s="382">
        <f>Mat_Inputs!J36</f>
        <v>0</v>
      </c>
      <c r="J52" s="382">
        <f>Mat_Inputs!K36</f>
        <v>1.912608023438235E-5</v>
      </c>
      <c r="K52" s="588">
        <f>Mat_Inputs!L36</f>
        <v>1.912608023438235E-5</v>
      </c>
    </row>
    <row r="53" spans="1:11">
      <c r="A53" s="661" t="s">
        <v>273</v>
      </c>
      <c r="B53" s="382">
        <f>Mat_Inputs!C37</f>
        <v>0</v>
      </c>
      <c r="C53" s="382">
        <f>Mat_Inputs!D37</f>
        <v>0</v>
      </c>
      <c r="D53" s="382">
        <f>Mat_Inputs!E37</f>
        <v>0</v>
      </c>
      <c r="E53" s="382">
        <f>Mat_Inputs!F37</f>
        <v>0</v>
      </c>
      <c r="F53" s="382">
        <f>Mat_Inputs!G37</f>
        <v>0</v>
      </c>
      <c r="G53" s="382">
        <f>Mat_Inputs!H37</f>
        <v>0</v>
      </c>
      <c r="H53" s="382">
        <f>Mat_Inputs!I37</f>
        <v>0</v>
      </c>
      <c r="I53" s="382">
        <f>Mat_Inputs!J37</f>
        <v>0</v>
      </c>
      <c r="J53" s="382">
        <f>Mat_Inputs!K37</f>
        <v>5.4030878587086771E-4</v>
      </c>
      <c r="K53" s="588">
        <f>Mat_Inputs!L37</f>
        <v>5.4030878587086771E-4</v>
      </c>
    </row>
    <row r="54" spans="1:11">
      <c r="A54" s="589" t="s">
        <v>262</v>
      </c>
      <c r="B54" s="368">
        <f>Mat_Inputs!C38</f>
        <v>3.9306094272717473E-5</v>
      </c>
      <c r="C54" s="368">
        <f>Mat_Inputs!D38</f>
        <v>-3.0000000000196536E-5</v>
      </c>
      <c r="D54" s="368">
        <f>Mat_Inputs!E38</f>
        <v>-1.9999999999908979E-5</v>
      </c>
      <c r="E54" s="368">
        <f>Mat_Inputs!F38</f>
        <v>-1.9999999999908979E-5</v>
      </c>
      <c r="F54" s="368">
        <f>Mat_Inputs!G38</f>
        <v>-1.9999999999908979E-5</v>
      </c>
      <c r="G54" s="368">
        <f>Mat_Inputs!H38</f>
        <v>-1.9999999999908979E-5</v>
      </c>
      <c r="H54" s="368">
        <f>Mat_Inputs!I38</f>
        <v>0</v>
      </c>
      <c r="I54" s="368">
        <f>Mat_Inputs!J38</f>
        <v>1.0000000000000009E-2</v>
      </c>
      <c r="J54" s="368">
        <f>Mat_Inputs!K38</f>
        <v>0</v>
      </c>
      <c r="K54" s="428">
        <f>Mat_Inputs!L38</f>
        <v>0</v>
      </c>
    </row>
    <row r="55" spans="1:11">
      <c r="A55" s="238" t="s">
        <v>274</v>
      </c>
      <c r="B55" s="392"/>
      <c r="C55" s="392"/>
      <c r="D55" s="392"/>
      <c r="E55" s="392"/>
      <c r="F55" s="392"/>
      <c r="G55" s="392"/>
      <c r="H55" s="392"/>
      <c r="I55" s="392"/>
      <c r="J55" s="392"/>
      <c r="K55" s="394"/>
    </row>
    <row r="56" spans="1:11">
      <c r="A56" s="230" t="s">
        <v>251</v>
      </c>
      <c r="B56" s="382">
        <f>Mat_Inputs!C40</f>
        <v>0.3</v>
      </c>
      <c r="C56" s="382">
        <f>Mat_Inputs!D40</f>
        <v>0.3</v>
      </c>
      <c r="D56" s="382">
        <f>Mat_Inputs!E40</f>
        <v>0.60499999999999998</v>
      </c>
      <c r="E56" s="382">
        <f>Mat_Inputs!F40</f>
        <v>0.60499999999999998</v>
      </c>
      <c r="F56" s="382">
        <f>Mat_Inputs!G40</f>
        <v>0.60499999999999998</v>
      </c>
      <c r="G56" s="382">
        <f>Mat_Inputs!H40</f>
        <v>0.60499999999999998</v>
      </c>
      <c r="H56" s="382">
        <f>Mat_Inputs!I40</f>
        <v>0.60499999999999998</v>
      </c>
      <c r="I56" s="382">
        <f>Mat_Inputs!J40</f>
        <v>0.60499999999999998</v>
      </c>
      <c r="J56" s="382">
        <f>Mat_Inputs!K40</f>
        <v>0.60499999999999998</v>
      </c>
      <c r="K56" s="588">
        <f>Mat_Inputs!L40</f>
        <v>0.60499999999999998</v>
      </c>
    </row>
    <row r="57" spans="1:11">
      <c r="A57" s="230" t="s">
        <v>275</v>
      </c>
      <c r="B57" s="382">
        <f>Mat_Inputs!C41</f>
        <v>0</v>
      </c>
      <c r="C57" s="382">
        <f>Mat_Inputs!D41</f>
        <v>0</v>
      </c>
      <c r="D57" s="382">
        <f>Mat_Inputs!E41</f>
        <v>0.189</v>
      </c>
      <c r="E57" s="382">
        <f>Mat_Inputs!F41</f>
        <v>0.189</v>
      </c>
      <c r="F57" s="382">
        <f>Mat_Inputs!G41</f>
        <v>0.189</v>
      </c>
      <c r="G57" s="382">
        <f>Mat_Inputs!H41</f>
        <v>0.189</v>
      </c>
      <c r="H57" s="382">
        <f>Mat_Inputs!I41</f>
        <v>0.189</v>
      </c>
      <c r="I57" s="382">
        <f>Mat_Inputs!J41</f>
        <v>0.189</v>
      </c>
      <c r="J57" s="382">
        <f>Mat_Inputs!K41</f>
        <v>0.189</v>
      </c>
      <c r="K57" s="588">
        <f>Mat_Inputs!L41</f>
        <v>0.189</v>
      </c>
    </row>
    <row r="58" spans="1:11">
      <c r="A58" s="230" t="s">
        <v>276</v>
      </c>
      <c r="B58" s="382">
        <f>Mat_Inputs!C42</f>
        <v>0.3</v>
      </c>
      <c r="C58" s="382">
        <f>Mat_Inputs!D42</f>
        <v>0</v>
      </c>
      <c r="D58" s="382">
        <f>Mat_Inputs!E42</f>
        <v>0</v>
      </c>
      <c r="E58" s="382">
        <f>Mat_Inputs!F42</f>
        <v>0</v>
      </c>
      <c r="F58" s="382">
        <f>Mat_Inputs!G42</f>
        <v>0</v>
      </c>
      <c r="G58" s="382">
        <f>Mat_Inputs!H42</f>
        <v>0</v>
      </c>
      <c r="H58" s="382">
        <f>Mat_Inputs!I42</f>
        <v>0</v>
      </c>
      <c r="I58" s="382">
        <f>Mat_Inputs!J42</f>
        <v>0</v>
      </c>
      <c r="J58" s="382">
        <f>Mat_Inputs!K42</f>
        <v>0</v>
      </c>
      <c r="K58" s="588">
        <f>Mat_Inputs!L42</f>
        <v>0</v>
      </c>
    </row>
    <row r="59" spans="1:11">
      <c r="A59" s="230" t="s">
        <v>56</v>
      </c>
      <c r="B59" s="382">
        <f>Mat_Inputs!C43</f>
        <v>0</v>
      </c>
      <c r="C59" s="382">
        <f>Mat_Inputs!D43</f>
        <v>0</v>
      </c>
      <c r="D59" s="382">
        <f>Mat_Inputs!E43</f>
        <v>0</v>
      </c>
      <c r="E59" s="382">
        <f>Mat_Inputs!F43</f>
        <v>0</v>
      </c>
      <c r="F59" s="382">
        <f>Mat_Inputs!G43</f>
        <v>0</v>
      </c>
      <c r="G59" s="382">
        <f>Mat_Inputs!H43</f>
        <v>0</v>
      </c>
      <c r="H59" s="382">
        <f>Mat_Inputs!I43</f>
        <v>0</v>
      </c>
      <c r="I59" s="382">
        <f>Mat_Inputs!J43</f>
        <v>0</v>
      </c>
      <c r="J59" s="382">
        <f>Mat_Inputs!K43</f>
        <v>0</v>
      </c>
      <c r="K59" s="588">
        <f>Mat_Inputs!L43</f>
        <v>0</v>
      </c>
    </row>
    <row r="60" spans="1:11">
      <c r="A60" s="230" t="s">
        <v>252</v>
      </c>
      <c r="B60" s="382">
        <f>Mat_Inputs!C44</f>
        <v>0.3</v>
      </c>
      <c r="C60" s="382">
        <f>Mat_Inputs!D44</f>
        <v>0.3</v>
      </c>
      <c r="D60" s="382">
        <f>Mat_Inputs!E44</f>
        <v>0.2</v>
      </c>
      <c r="E60" s="382">
        <f>Mat_Inputs!F44</f>
        <v>0.2</v>
      </c>
      <c r="F60" s="382">
        <f>Mat_Inputs!G44</f>
        <v>0.2</v>
      </c>
      <c r="G60" s="382">
        <f>Mat_Inputs!H44</f>
        <v>0.2</v>
      </c>
      <c r="H60" s="382">
        <f>Mat_Inputs!I44</f>
        <v>0.2</v>
      </c>
      <c r="I60" s="382">
        <f>Mat_Inputs!J44</f>
        <v>0.2</v>
      </c>
      <c r="J60" s="382">
        <f>Mat_Inputs!K44</f>
        <v>0.2</v>
      </c>
      <c r="K60" s="588">
        <f>Mat_Inputs!L44</f>
        <v>0.2</v>
      </c>
    </row>
    <row r="61" spans="1:11">
      <c r="A61" s="230" t="s">
        <v>253</v>
      </c>
      <c r="B61" s="382">
        <f>Mat_Inputs!C45</f>
        <v>0</v>
      </c>
      <c r="C61" s="382">
        <f>Mat_Inputs!D45</f>
        <v>0.3</v>
      </c>
      <c r="D61" s="382">
        <f>Mat_Inputs!E45</f>
        <v>0</v>
      </c>
      <c r="E61" s="382">
        <f>Mat_Inputs!F45</f>
        <v>0</v>
      </c>
      <c r="F61" s="382">
        <f>Mat_Inputs!G45</f>
        <v>0</v>
      </c>
      <c r="G61" s="382">
        <f>Mat_Inputs!H45</f>
        <v>0</v>
      </c>
      <c r="H61" s="382">
        <f>Mat_Inputs!I45</f>
        <v>0</v>
      </c>
      <c r="I61" s="382">
        <f>Mat_Inputs!J45</f>
        <v>0</v>
      </c>
      <c r="J61" s="382">
        <f>Mat_Inputs!K45</f>
        <v>0</v>
      </c>
      <c r="K61" s="588">
        <f>Mat_Inputs!L45</f>
        <v>0</v>
      </c>
    </row>
    <row r="62" spans="1:11">
      <c r="A62" s="230" t="s">
        <v>259</v>
      </c>
      <c r="B62" s="382">
        <f>Mat_Inputs!C46</f>
        <v>0</v>
      </c>
      <c r="C62" s="382">
        <f>Mat_Inputs!D46</f>
        <v>0</v>
      </c>
      <c r="D62" s="382">
        <f>Mat_Inputs!E46</f>
        <v>0</v>
      </c>
      <c r="E62" s="382">
        <f>Mat_Inputs!F46</f>
        <v>0</v>
      </c>
      <c r="F62" s="382">
        <f>Mat_Inputs!G46</f>
        <v>0</v>
      </c>
      <c r="G62" s="382">
        <f>Mat_Inputs!H46</f>
        <v>0</v>
      </c>
      <c r="H62" s="382">
        <f>Mat_Inputs!I46</f>
        <v>0</v>
      </c>
      <c r="I62" s="382">
        <f>Mat_Inputs!J46</f>
        <v>0</v>
      </c>
      <c r="J62" s="382">
        <f>Mat_Inputs!K46</f>
        <v>0</v>
      </c>
      <c r="K62" s="588">
        <f>Mat_Inputs!L46</f>
        <v>0</v>
      </c>
    </row>
    <row r="63" spans="1:11">
      <c r="A63" s="230" t="s">
        <v>260</v>
      </c>
      <c r="B63" s="382">
        <f>Mat_Inputs!C47</f>
        <v>0.05</v>
      </c>
      <c r="C63" s="382">
        <f>Mat_Inputs!D47</f>
        <v>0.05</v>
      </c>
      <c r="D63" s="382">
        <f>Mat_Inputs!E47</f>
        <v>2E-3</v>
      </c>
      <c r="E63" s="382">
        <f>Mat_Inputs!F47</f>
        <v>2E-3</v>
      </c>
      <c r="F63" s="382">
        <f>Mat_Inputs!G47</f>
        <v>2E-3</v>
      </c>
      <c r="G63" s="382">
        <f>Mat_Inputs!H47</f>
        <v>2E-3</v>
      </c>
      <c r="H63" s="382">
        <f>Mat_Inputs!I47</f>
        <v>2E-3</v>
      </c>
      <c r="I63" s="382">
        <f>Mat_Inputs!J47</f>
        <v>2E-3</v>
      </c>
      <c r="J63" s="382">
        <f>Mat_Inputs!K47</f>
        <v>2E-3</v>
      </c>
      <c r="K63" s="588">
        <f>Mat_Inputs!L47</f>
        <v>2E-3</v>
      </c>
    </row>
    <row r="64" spans="1:11">
      <c r="A64" s="230" t="s">
        <v>261</v>
      </c>
      <c r="B64" s="382">
        <f>Mat_Inputs!C48</f>
        <v>0.05</v>
      </c>
      <c r="C64" s="382">
        <f>Mat_Inputs!D48</f>
        <v>0.05</v>
      </c>
      <c r="D64" s="382">
        <f>Mat_Inputs!E48</f>
        <v>0</v>
      </c>
      <c r="E64" s="382">
        <f>Mat_Inputs!F48</f>
        <v>0</v>
      </c>
      <c r="F64" s="382">
        <f>Mat_Inputs!G48</f>
        <v>0</v>
      </c>
      <c r="G64" s="382">
        <f>Mat_Inputs!H48</f>
        <v>0</v>
      </c>
      <c r="H64" s="382">
        <f>Mat_Inputs!I48</f>
        <v>0</v>
      </c>
      <c r="I64" s="382">
        <f>Mat_Inputs!J48</f>
        <v>0</v>
      </c>
      <c r="J64" s="382">
        <f>Mat_Inputs!K48</f>
        <v>0</v>
      </c>
      <c r="K64" s="588">
        <f>Mat_Inputs!L48</f>
        <v>0</v>
      </c>
    </row>
    <row r="65" spans="1:11">
      <c r="A65" s="589" t="s">
        <v>262</v>
      </c>
      <c r="B65" s="368">
        <f>Mat_Inputs!C49</f>
        <v>0</v>
      </c>
      <c r="C65" s="368">
        <f>Mat_Inputs!D49</f>
        <v>0</v>
      </c>
      <c r="D65" s="368">
        <f>Mat_Inputs!E49</f>
        <v>4.0000000000000036E-3</v>
      </c>
      <c r="E65" s="368">
        <f>Mat_Inputs!F49</f>
        <v>4.0000000000000036E-3</v>
      </c>
      <c r="F65" s="368">
        <f>Mat_Inputs!G49</f>
        <v>4.0000000000000036E-3</v>
      </c>
      <c r="G65" s="368">
        <f>Mat_Inputs!H49</f>
        <v>4.0000000000000036E-3</v>
      </c>
      <c r="H65" s="368">
        <f>Mat_Inputs!I49</f>
        <v>4.0000000000000036E-3</v>
      </c>
      <c r="I65" s="368">
        <f>Mat_Inputs!J49</f>
        <v>4.0000000000000036E-3</v>
      </c>
      <c r="J65" s="368">
        <f>Mat_Inputs!K49</f>
        <v>4.0000000000000036E-3</v>
      </c>
      <c r="K65" s="428">
        <f>Mat_Inputs!L49</f>
        <v>4.0000000000000036E-3</v>
      </c>
    </row>
    <row r="66" spans="1:11">
      <c r="A66" s="238" t="s">
        <v>184</v>
      </c>
      <c r="B66" s="392"/>
      <c r="C66" s="392"/>
      <c r="D66" s="392"/>
      <c r="E66" s="392"/>
      <c r="F66" s="392"/>
      <c r="G66" s="392"/>
      <c r="H66" s="392"/>
      <c r="I66" s="392"/>
      <c r="J66" s="392"/>
      <c r="K66" s="394"/>
    </row>
    <row r="67" spans="1:11">
      <c r="A67" s="230" t="s">
        <v>251</v>
      </c>
      <c r="B67" s="382">
        <f>Mat_Inputs!C51</f>
        <v>0.66803727795805046</v>
      </c>
      <c r="C67" s="382">
        <f>Mat_Inputs!D51</f>
        <v>0.36899999999999999</v>
      </c>
      <c r="D67" s="382">
        <f>Mat_Inputs!E51</f>
        <v>0.66803727795805046</v>
      </c>
      <c r="E67" s="382">
        <f>Mat_Inputs!F51</f>
        <v>0.35599999999999998</v>
      </c>
      <c r="F67" s="382">
        <f>Mat_Inputs!G51</f>
        <v>0.66803727795805046</v>
      </c>
      <c r="G67" s="382">
        <f>Mat_Inputs!H51</f>
        <v>0.34799999999999998</v>
      </c>
      <c r="H67" s="382">
        <f>Mat_Inputs!I51</f>
        <v>0.66803727795805046</v>
      </c>
      <c r="I67" s="382">
        <f>Mat_Inputs!J51</f>
        <v>0.34300000000000003</v>
      </c>
      <c r="J67" s="382">
        <f>Mat_Inputs!K51</f>
        <v>0.66803727795805046</v>
      </c>
      <c r="K67" s="588">
        <f>Mat_Inputs!L51</f>
        <v>0.34399999999999997</v>
      </c>
    </row>
    <row r="68" spans="1:11">
      <c r="A68" s="230" t="s">
        <v>276</v>
      </c>
      <c r="B68" s="382">
        <f>Mat_Inputs!C52</f>
        <v>0</v>
      </c>
      <c r="C68" s="382">
        <f>Mat_Inputs!D52</f>
        <v>8.6999999999999994E-2</v>
      </c>
      <c r="D68" s="382">
        <f>Mat_Inputs!E52</f>
        <v>0</v>
      </c>
      <c r="E68" s="382">
        <f>Mat_Inputs!F52</f>
        <v>8.6999999999999994E-2</v>
      </c>
      <c r="F68" s="382">
        <f>Mat_Inputs!G52</f>
        <v>0</v>
      </c>
      <c r="G68" s="382">
        <f>Mat_Inputs!H52</f>
        <v>8.8999999999999996E-2</v>
      </c>
      <c r="H68" s="382">
        <f>Mat_Inputs!I52</f>
        <v>0</v>
      </c>
      <c r="I68" s="382">
        <f>Mat_Inputs!J52</f>
        <v>9.1999999999999998E-2</v>
      </c>
      <c r="J68" s="382">
        <f>Mat_Inputs!K52</f>
        <v>0</v>
      </c>
      <c r="K68" s="588">
        <f>Mat_Inputs!L52</f>
        <v>9.0999999999999998E-2</v>
      </c>
    </row>
    <row r="69" spans="1:11">
      <c r="A69" s="230" t="s">
        <v>252</v>
      </c>
      <c r="B69" s="382">
        <f>Mat_Inputs!C53</f>
        <v>1.5068145011052537E-2</v>
      </c>
      <c r="C69" s="382">
        <f>Mat_Inputs!D53</f>
        <v>2.3E-2</v>
      </c>
      <c r="D69" s="382">
        <f>Mat_Inputs!E53</f>
        <v>1.5068145011052537E-2</v>
      </c>
      <c r="E69" s="382">
        <f>Mat_Inputs!F53</f>
        <v>2.1999999999999999E-2</v>
      </c>
      <c r="F69" s="382">
        <f>Mat_Inputs!G53</f>
        <v>1.5068145011052537E-2</v>
      </c>
      <c r="G69" s="382">
        <f>Mat_Inputs!H53</f>
        <v>2.1000000000000001E-2</v>
      </c>
      <c r="H69" s="382">
        <f>Mat_Inputs!I53</f>
        <v>1.5068145011052537E-2</v>
      </c>
      <c r="I69" s="382">
        <f>Mat_Inputs!J53</f>
        <v>0.02</v>
      </c>
      <c r="J69" s="382">
        <f>Mat_Inputs!K53</f>
        <v>1.5068145011052537E-2</v>
      </c>
      <c r="K69" s="588">
        <f>Mat_Inputs!L53</f>
        <v>0.02</v>
      </c>
    </row>
    <row r="70" spans="1:11">
      <c r="A70" s="230" t="s">
        <v>253</v>
      </c>
      <c r="B70" s="382">
        <f>Mat_Inputs!C54</f>
        <v>0.18599848825412088</v>
      </c>
      <c r="C70" s="382">
        <f>Mat_Inputs!D54</f>
        <v>0.31</v>
      </c>
      <c r="D70" s="382">
        <f>Mat_Inputs!E54</f>
        <v>0.18599848825412088</v>
      </c>
      <c r="E70" s="382">
        <f>Mat_Inputs!F54</f>
        <v>0.33200000000000002</v>
      </c>
      <c r="F70" s="382">
        <f>Mat_Inputs!G54</f>
        <v>0.18599848825412088</v>
      </c>
      <c r="G70" s="382">
        <f>Mat_Inputs!H54</f>
        <v>0.34200000000000003</v>
      </c>
      <c r="H70" s="382">
        <f>Mat_Inputs!I54</f>
        <v>0.18599848825412088</v>
      </c>
      <c r="I70" s="382">
        <f>Mat_Inputs!J54</f>
        <v>0.34699999999999998</v>
      </c>
      <c r="J70" s="382">
        <f>Mat_Inputs!K54</f>
        <v>0.18599848825412088</v>
      </c>
      <c r="K70" s="588">
        <f>Mat_Inputs!L54</f>
        <v>0.34599999999999997</v>
      </c>
    </row>
    <row r="71" spans="1:11">
      <c r="A71" s="230" t="s">
        <v>254</v>
      </c>
      <c r="B71" s="382">
        <f>Mat_Inputs!C55</f>
        <v>1.3234171660046654E-2</v>
      </c>
      <c r="C71" s="382">
        <f>Mat_Inputs!D55</f>
        <v>2.1000000000000001E-2</v>
      </c>
      <c r="D71" s="382">
        <f>Mat_Inputs!E55</f>
        <v>1.3234171660046654E-2</v>
      </c>
      <c r="E71" s="382">
        <f>Mat_Inputs!F55</f>
        <v>0.02</v>
      </c>
      <c r="F71" s="382">
        <f>Mat_Inputs!G55</f>
        <v>1.3234171660046654E-2</v>
      </c>
      <c r="G71" s="382">
        <f>Mat_Inputs!H55</f>
        <v>1.9E-2</v>
      </c>
      <c r="H71" s="382">
        <f>Mat_Inputs!I55</f>
        <v>1.3234171660046654E-2</v>
      </c>
      <c r="I71" s="382">
        <f>Mat_Inputs!J55</f>
        <v>1.7999999999999999E-2</v>
      </c>
      <c r="J71" s="382">
        <f>Mat_Inputs!K55</f>
        <v>1.3234171660046654E-2</v>
      </c>
      <c r="K71" s="588">
        <f>Mat_Inputs!L55</f>
        <v>1.7999999999999999E-2</v>
      </c>
    </row>
    <row r="72" spans="1:11">
      <c r="A72" s="230" t="s">
        <v>54</v>
      </c>
      <c r="B72" s="382">
        <f>Mat_Inputs!C56</f>
        <v>0</v>
      </c>
      <c r="C72" s="382">
        <f>Mat_Inputs!D56</f>
        <v>0</v>
      </c>
      <c r="D72" s="382">
        <f>Mat_Inputs!E56</f>
        <v>0</v>
      </c>
      <c r="E72" s="382">
        <f>Mat_Inputs!F56</f>
        <v>0</v>
      </c>
      <c r="F72" s="382">
        <f>Mat_Inputs!G56</f>
        <v>0</v>
      </c>
      <c r="G72" s="382">
        <f>Mat_Inputs!H56</f>
        <v>0</v>
      </c>
      <c r="H72" s="382">
        <f>Mat_Inputs!I56</f>
        <v>0</v>
      </c>
      <c r="I72" s="382">
        <f>Mat_Inputs!J56</f>
        <v>0</v>
      </c>
      <c r="J72" s="382">
        <f>Mat_Inputs!K56</f>
        <v>0</v>
      </c>
      <c r="K72" s="588">
        <f>Mat_Inputs!L56</f>
        <v>0</v>
      </c>
    </row>
    <row r="73" spans="1:11">
      <c r="A73" s="230" t="s">
        <v>56</v>
      </c>
      <c r="B73" s="382">
        <f>Mat_Inputs!C57</f>
        <v>1.0053329268806524E-3</v>
      </c>
      <c r="C73" s="382">
        <f>Mat_Inputs!D57</f>
        <v>0</v>
      </c>
      <c r="D73" s="382">
        <f>Mat_Inputs!E57</f>
        <v>1.0053329268806524E-3</v>
      </c>
      <c r="E73" s="382">
        <f>Mat_Inputs!F57</f>
        <v>0</v>
      </c>
      <c r="F73" s="382">
        <f>Mat_Inputs!G57</f>
        <v>1.0053329268806524E-3</v>
      </c>
      <c r="G73" s="382">
        <f>Mat_Inputs!H57</f>
        <v>0</v>
      </c>
      <c r="H73" s="382">
        <f>Mat_Inputs!I57</f>
        <v>1.0053329268806524E-3</v>
      </c>
      <c r="I73" s="382">
        <f>Mat_Inputs!J57</f>
        <v>0</v>
      </c>
      <c r="J73" s="382">
        <f>Mat_Inputs!K57</f>
        <v>1.0053329268806524E-3</v>
      </c>
      <c r="K73" s="588">
        <f>Mat_Inputs!L57</f>
        <v>0</v>
      </c>
    </row>
    <row r="74" spans="1:11">
      <c r="A74" s="230" t="s">
        <v>257</v>
      </c>
      <c r="B74" s="382">
        <f>Mat_Inputs!C58</f>
        <v>1.5458246998998973E-3</v>
      </c>
      <c r="C74" s="382">
        <f>Mat_Inputs!D58</f>
        <v>7.8E-2</v>
      </c>
      <c r="D74" s="382">
        <f>Mat_Inputs!E58</f>
        <v>1.5458246998998973E-3</v>
      </c>
      <c r="E74" s="382">
        <f>Mat_Inputs!F58</f>
        <v>7.8E-2</v>
      </c>
      <c r="F74" s="382">
        <f>Mat_Inputs!G58</f>
        <v>1.5458246998998973E-3</v>
      </c>
      <c r="G74" s="382">
        <f>Mat_Inputs!H58</f>
        <v>0.08</v>
      </c>
      <c r="H74" s="382">
        <f>Mat_Inputs!I58</f>
        <v>1.5458246998998973E-3</v>
      </c>
      <c r="I74" s="382">
        <f>Mat_Inputs!J58</f>
        <v>8.3000000000000004E-2</v>
      </c>
      <c r="J74" s="382">
        <f>Mat_Inputs!K58</f>
        <v>1.5458246998998973E-3</v>
      </c>
      <c r="K74" s="588">
        <f>Mat_Inputs!L58</f>
        <v>8.2000000000000003E-2</v>
      </c>
    </row>
    <row r="75" spans="1:11">
      <c r="A75" s="230" t="s">
        <v>260</v>
      </c>
      <c r="B75" s="382">
        <f>Mat_Inputs!C59</f>
        <v>2.3483428646982336E-2</v>
      </c>
      <c r="C75" s="382">
        <f>Mat_Inputs!D59</f>
        <v>3.1E-2</v>
      </c>
      <c r="D75" s="382">
        <f>Mat_Inputs!E59</f>
        <v>2.3483428646982336E-2</v>
      </c>
      <c r="E75" s="382">
        <f>Mat_Inputs!F59</f>
        <v>2.9000000000000001E-2</v>
      </c>
      <c r="F75" s="382">
        <f>Mat_Inputs!G59</f>
        <v>2.3483428646982336E-2</v>
      </c>
      <c r="G75" s="382">
        <f>Mat_Inputs!H59</f>
        <v>2.7E-2</v>
      </c>
      <c r="H75" s="382">
        <f>Mat_Inputs!I59</f>
        <v>2.3483428646982336E-2</v>
      </c>
      <c r="I75" s="382">
        <f>Mat_Inputs!J59</f>
        <v>2.5999999999999999E-2</v>
      </c>
      <c r="J75" s="382">
        <f>Mat_Inputs!K59</f>
        <v>2.3483428646982336E-2</v>
      </c>
      <c r="K75" s="588">
        <f>Mat_Inputs!L59</f>
        <v>2.5999999999999999E-2</v>
      </c>
    </row>
    <row r="76" spans="1:11">
      <c r="A76" s="230" t="s">
        <v>261</v>
      </c>
      <c r="B76" s="382">
        <f>Mat_Inputs!C60</f>
        <v>9.1540191527829384E-2</v>
      </c>
      <c r="C76" s="382">
        <f>Mat_Inputs!D60</f>
        <v>7.3999999999999996E-2</v>
      </c>
      <c r="D76" s="382">
        <f>Mat_Inputs!E60</f>
        <v>9.1540191527829384E-2</v>
      </c>
      <c r="E76" s="382">
        <f>Mat_Inputs!F60</f>
        <v>6.9000000000000006E-2</v>
      </c>
      <c r="F76" s="382">
        <f>Mat_Inputs!G60</f>
        <v>9.1540191527829384E-2</v>
      </c>
      <c r="G76" s="382">
        <f>Mat_Inputs!H60</f>
        <v>6.6000000000000003E-2</v>
      </c>
      <c r="H76" s="382">
        <f>Mat_Inputs!I60</f>
        <v>9.1540191527829384E-2</v>
      </c>
      <c r="I76" s="382">
        <f>Mat_Inputs!J60</f>
        <v>6.4000000000000001E-2</v>
      </c>
      <c r="J76" s="382">
        <f>Mat_Inputs!K60</f>
        <v>9.1540191527829384E-2</v>
      </c>
      <c r="K76" s="588">
        <f>Mat_Inputs!L60</f>
        <v>6.4000000000000001E-2</v>
      </c>
    </row>
    <row r="77" spans="1:11">
      <c r="A77" s="589" t="s">
        <v>262</v>
      </c>
      <c r="B77" s="368">
        <f>Mat_Inputs!C61</f>
        <v>8.7139315136930406E-5</v>
      </c>
      <c r="C77" s="368">
        <f>Mat_Inputs!D61</f>
        <v>7.0000000000001172E-3</v>
      </c>
      <c r="D77" s="368">
        <f>Mat_Inputs!E61</f>
        <v>8.7139315136930406E-5</v>
      </c>
      <c r="E77" s="368">
        <f>Mat_Inputs!F61</f>
        <v>7.0000000000001172E-3</v>
      </c>
      <c r="F77" s="368">
        <f>Mat_Inputs!G61</f>
        <v>8.7139315136930406E-5</v>
      </c>
      <c r="G77" s="368">
        <f>Mat_Inputs!H61</f>
        <v>8.0000000000000071E-3</v>
      </c>
      <c r="H77" s="368">
        <f>Mat_Inputs!I61</f>
        <v>8.7139315136930406E-5</v>
      </c>
      <c r="I77" s="368">
        <f>Mat_Inputs!J61</f>
        <v>6.9999999999998952E-3</v>
      </c>
      <c r="J77" s="368">
        <f>Mat_Inputs!K61</f>
        <v>8.7139315136930406E-5</v>
      </c>
      <c r="K77" s="428">
        <f>Mat_Inputs!L61</f>
        <v>9.000000000000119E-3</v>
      </c>
    </row>
    <row r="78" spans="1:11">
      <c r="A78" s="571" t="s">
        <v>185</v>
      </c>
      <c r="K78" s="395"/>
    </row>
    <row r="79" spans="1:11">
      <c r="A79" s="230" t="s">
        <v>251</v>
      </c>
      <c r="B79" s="382"/>
      <c r="C79" s="382"/>
      <c r="D79" s="382">
        <f>Mat_Inputs!E63</f>
        <v>0.36099999999999999</v>
      </c>
      <c r="E79" s="382">
        <f>Mat_Inputs!F63</f>
        <v>0.36099999999999999</v>
      </c>
      <c r="F79" s="382">
        <f>Mat_Inputs!G63</f>
        <v>0.36099999999999999</v>
      </c>
      <c r="G79" s="382">
        <f>Mat_Inputs!H63</f>
        <v>0.36099999999999999</v>
      </c>
      <c r="H79" s="382">
        <f>Mat_Inputs!I63</f>
        <v>0.36099999999999999</v>
      </c>
      <c r="I79" s="382">
        <f>Mat_Inputs!J63</f>
        <v>0.36099999999999999</v>
      </c>
      <c r="J79" s="382">
        <f>Mat_Inputs!K63</f>
        <v>0.36099999999999999</v>
      </c>
      <c r="K79" s="588">
        <f>Mat_Inputs!L63</f>
        <v>0.36099999999999999</v>
      </c>
    </row>
    <row r="80" spans="1:11">
      <c r="A80" s="230" t="s">
        <v>1859</v>
      </c>
      <c r="B80" s="382"/>
      <c r="C80" s="382"/>
      <c r="D80" s="382">
        <f>Mat_Inputs!E64</f>
        <v>0</v>
      </c>
      <c r="E80" s="382">
        <f>Mat_Inputs!F64</f>
        <v>0</v>
      </c>
      <c r="F80" s="382">
        <f>Mat_Inputs!G64</f>
        <v>0</v>
      </c>
      <c r="G80" s="382">
        <f>Mat_Inputs!H64</f>
        <v>0</v>
      </c>
      <c r="H80" s="382">
        <f>Mat_Inputs!I64</f>
        <v>0</v>
      </c>
      <c r="I80" s="382">
        <f>Mat_Inputs!J64</f>
        <v>0</v>
      </c>
      <c r="J80" s="382">
        <f>Mat_Inputs!K64</f>
        <v>0</v>
      </c>
      <c r="K80" s="588">
        <f>Mat_Inputs!L64</f>
        <v>0</v>
      </c>
    </row>
    <row r="81" spans="1:11">
      <c r="A81" s="230" t="s">
        <v>253</v>
      </c>
      <c r="B81" s="382"/>
      <c r="C81" s="382"/>
      <c r="D81" s="382">
        <f>Mat_Inputs!E65</f>
        <v>0.36099999999999999</v>
      </c>
      <c r="E81" s="382">
        <f>Mat_Inputs!F65</f>
        <v>0.36099999999999999</v>
      </c>
      <c r="F81" s="382">
        <f>Mat_Inputs!G65</f>
        <v>0.36099999999999999</v>
      </c>
      <c r="G81" s="382">
        <f>Mat_Inputs!H65</f>
        <v>0.36099999999999999</v>
      </c>
      <c r="H81" s="382">
        <f>Mat_Inputs!I65</f>
        <v>0.36099999999999999</v>
      </c>
      <c r="I81" s="382">
        <f>Mat_Inputs!J65</f>
        <v>0.36099999999999999</v>
      </c>
      <c r="J81" s="382">
        <f>Mat_Inputs!K65</f>
        <v>0.36099999999999999</v>
      </c>
      <c r="K81" s="588">
        <f>Mat_Inputs!L65</f>
        <v>0.36099999999999999</v>
      </c>
    </row>
    <row r="82" spans="1:11">
      <c r="A82" s="230" t="s">
        <v>254</v>
      </c>
      <c r="B82" s="382"/>
      <c r="C82" s="382"/>
      <c r="D82" s="382">
        <f>Mat_Inputs!E66</f>
        <v>0.27800000000000002</v>
      </c>
      <c r="E82" s="382">
        <f>Mat_Inputs!F66</f>
        <v>0.27800000000000002</v>
      </c>
      <c r="F82" s="382">
        <f>Mat_Inputs!G66</f>
        <v>0.27800000000000002</v>
      </c>
      <c r="G82" s="382">
        <f>Mat_Inputs!H66</f>
        <v>0.27800000000000002</v>
      </c>
      <c r="H82" s="382">
        <f>Mat_Inputs!I66</f>
        <v>0.27800000000000002</v>
      </c>
      <c r="I82" s="382">
        <f>Mat_Inputs!J66</f>
        <v>0.27800000000000002</v>
      </c>
      <c r="J82" s="382">
        <f>Mat_Inputs!K66</f>
        <v>0.27800000000000002</v>
      </c>
      <c r="K82" s="588">
        <f>Mat_Inputs!L66</f>
        <v>0.27800000000000002</v>
      </c>
    </row>
    <row r="83" spans="1:11">
      <c r="A83" s="230" t="s">
        <v>262</v>
      </c>
      <c r="B83" s="368"/>
      <c r="C83" s="368"/>
      <c r="D83" s="368">
        <f>Mat_Inputs!E67</f>
        <v>0</v>
      </c>
      <c r="E83" s="368">
        <f>Mat_Inputs!F67</f>
        <v>0</v>
      </c>
      <c r="F83" s="368">
        <f>Mat_Inputs!G67</f>
        <v>0</v>
      </c>
      <c r="G83" s="368">
        <f>Mat_Inputs!H67</f>
        <v>0</v>
      </c>
      <c r="H83" s="368">
        <f>Mat_Inputs!I67</f>
        <v>0</v>
      </c>
      <c r="I83" s="368">
        <f>Mat_Inputs!J67</f>
        <v>0</v>
      </c>
      <c r="J83" s="368">
        <f>Mat_Inputs!K67</f>
        <v>0</v>
      </c>
      <c r="K83" s="428">
        <f>Mat_Inputs!L67</f>
        <v>0</v>
      </c>
    </row>
    <row r="84" spans="1:11">
      <c r="A84" s="238" t="s">
        <v>186</v>
      </c>
      <c r="B84" s="392"/>
      <c r="C84" s="392"/>
      <c r="D84" s="392"/>
      <c r="E84" s="392"/>
      <c r="F84" s="392"/>
      <c r="G84" s="392"/>
      <c r="H84" s="392"/>
      <c r="I84" s="392"/>
      <c r="J84" s="392"/>
      <c r="K84" s="394"/>
    </row>
    <row r="85" spans="1:11">
      <c r="A85" s="230" t="s">
        <v>251</v>
      </c>
      <c r="B85" s="451"/>
      <c r="C85" s="451"/>
      <c r="D85" s="382">
        <f>Mat_Inputs!E69</f>
        <v>0.36099999999999999</v>
      </c>
      <c r="E85" s="382">
        <f>Mat_Inputs!F69</f>
        <v>0.36099999999999999</v>
      </c>
      <c r="F85" s="382">
        <f>Mat_Inputs!G69</f>
        <v>0.36099999999999999</v>
      </c>
      <c r="G85" s="382">
        <f>Mat_Inputs!H69</f>
        <v>0.36099999999999999</v>
      </c>
      <c r="H85" s="382">
        <f>Mat_Inputs!I69</f>
        <v>0</v>
      </c>
      <c r="I85" s="382">
        <f>Mat_Inputs!J69</f>
        <v>0</v>
      </c>
      <c r="J85" s="451"/>
      <c r="K85" s="882"/>
    </row>
    <row r="86" spans="1:11">
      <c r="A86" s="230" t="s">
        <v>253</v>
      </c>
      <c r="B86" s="451"/>
      <c r="C86" s="451"/>
      <c r="D86" s="382">
        <f>Mat_Inputs!E70</f>
        <v>0.36099999999999999</v>
      </c>
      <c r="E86" s="382">
        <f>Mat_Inputs!F70</f>
        <v>0.36099999999999999</v>
      </c>
      <c r="F86" s="382">
        <f>Mat_Inputs!G70</f>
        <v>0.36099999999999999</v>
      </c>
      <c r="G86" s="382">
        <f>Mat_Inputs!H70</f>
        <v>0.36099999999999999</v>
      </c>
      <c r="H86" s="382">
        <f>Mat_Inputs!I70</f>
        <v>0</v>
      </c>
      <c r="I86" s="382">
        <f>Mat_Inputs!J70</f>
        <v>0</v>
      </c>
      <c r="J86" s="451"/>
      <c r="K86" s="882"/>
    </row>
    <row r="87" spans="1:11">
      <c r="A87" s="230" t="s">
        <v>254</v>
      </c>
      <c r="B87" s="451"/>
      <c r="C87" s="451"/>
      <c r="D87" s="382">
        <f>Mat_Inputs!E71</f>
        <v>0.27800000000000002</v>
      </c>
      <c r="E87" s="382">
        <f>Mat_Inputs!F71</f>
        <v>0.27800000000000002</v>
      </c>
      <c r="F87" s="382">
        <f>Mat_Inputs!G71</f>
        <v>0.27800000000000002</v>
      </c>
      <c r="G87" s="382">
        <f>Mat_Inputs!H71</f>
        <v>0.27800000000000002</v>
      </c>
      <c r="H87" s="382">
        <f>Mat_Inputs!I71</f>
        <v>0</v>
      </c>
      <c r="I87" s="382">
        <f>Mat_Inputs!J71</f>
        <v>0</v>
      </c>
      <c r="J87" s="451"/>
      <c r="K87" s="882"/>
    </row>
    <row r="88" spans="1:11">
      <c r="A88" s="589" t="s">
        <v>262</v>
      </c>
      <c r="B88" s="451"/>
      <c r="C88" s="451"/>
      <c r="D88" s="368">
        <f>Mat_Inputs!E72</f>
        <v>0</v>
      </c>
      <c r="E88" s="368">
        <f>Mat_Inputs!F72</f>
        <v>0</v>
      </c>
      <c r="F88" s="368">
        <f>Mat_Inputs!G72</f>
        <v>0</v>
      </c>
      <c r="G88" s="368">
        <f>Mat_Inputs!H72</f>
        <v>0</v>
      </c>
      <c r="H88" s="368">
        <f>Mat_Inputs!I72</f>
        <v>0</v>
      </c>
      <c r="I88" s="368">
        <f>Mat_Inputs!J72</f>
        <v>0</v>
      </c>
      <c r="J88" s="451"/>
      <c r="K88" s="882"/>
    </row>
    <row r="89" spans="1:11">
      <c r="A89" s="238" t="s">
        <v>187</v>
      </c>
      <c r="B89" s="392"/>
      <c r="C89" s="392"/>
      <c r="D89" s="392"/>
      <c r="E89" s="392"/>
      <c r="F89" s="392"/>
      <c r="G89" s="392"/>
      <c r="H89" s="392"/>
      <c r="I89" s="392"/>
      <c r="J89" s="392"/>
      <c r="K89" s="394"/>
    </row>
    <row r="90" spans="1:11">
      <c r="A90" s="230" t="s">
        <v>251</v>
      </c>
      <c r="B90" s="382"/>
      <c r="C90" s="382"/>
      <c r="D90" s="382">
        <f>Mat_Inputs!E74</f>
        <v>0.05</v>
      </c>
      <c r="E90" s="382">
        <f>Mat_Inputs!F74</f>
        <v>0.05</v>
      </c>
      <c r="F90" s="382">
        <f>Mat_Inputs!G74</f>
        <v>0.05</v>
      </c>
      <c r="G90" s="382">
        <f>Mat_Inputs!H74</f>
        <v>0.05</v>
      </c>
      <c r="H90" s="382">
        <f>Mat_Inputs!I74</f>
        <v>0.05</v>
      </c>
      <c r="I90" s="382">
        <f>Mat_Inputs!J74</f>
        <v>0.05</v>
      </c>
      <c r="J90" s="382">
        <f>Mat_Inputs!K74</f>
        <v>0.05</v>
      </c>
      <c r="K90" s="588">
        <f>Mat_Inputs!L74</f>
        <v>0.05</v>
      </c>
    </row>
    <row r="91" spans="1:11">
      <c r="A91" s="230" t="s">
        <v>253</v>
      </c>
      <c r="B91" s="382"/>
      <c r="C91" s="382"/>
      <c r="D91" s="382">
        <f>Mat_Inputs!E75</f>
        <v>0.46899999999999997</v>
      </c>
      <c r="E91" s="382">
        <f>Mat_Inputs!F75</f>
        <v>0.46899999999999997</v>
      </c>
      <c r="F91" s="382">
        <f>Mat_Inputs!G75</f>
        <v>0.46899999999999997</v>
      </c>
      <c r="G91" s="382">
        <f>Mat_Inputs!H75</f>
        <v>0.46899999999999997</v>
      </c>
      <c r="H91" s="382">
        <f>Mat_Inputs!I75</f>
        <v>0.46899999999999997</v>
      </c>
      <c r="I91" s="382">
        <f>Mat_Inputs!J75</f>
        <v>0.46899999999999997</v>
      </c>
      <c r="J91" s="382">
        <f>Mat_Inputs!K75</f>
        <v>0.46899999999999997</v>
      </c>
      <c r="K91" s="588">
        <f>Mat_Inputs!L75</f>
        <v>0.46899999999999997</v>
      </c>
    </row>
    <row r="92" spans="1:11">
      <c r="A92" s="230" t="s">
        <v>254</v>
      </c>
      <c r="B92" s="382"/>
      <c r="C92" s="382"/>
      <c r="D92" s="382">
        <f>Mat_Inputs!E76</f>
        <v>8.2000000000000003E-2</v>
      </c>
      <c r="E92" s="382">
        <f>Mat_Inputs!F76</f>
        <v>8.2000000000000003E-2</v>
      </c>
      <c r="F92" s="382">
        <f>Mat_Inputs!G76</f>
        <v>8.2000000000000003E-2</v>
      </c>
      <c r="G92" s="382">
        <f>Mat_Inputs!H76</f>
        <v>8.2000000000000003E-2</v>
      </c>
      <c r="H92" s="382">
        <f>Mat_Inputs!I76</f>
        <v>8.2000000000000003E-2</v>
      </c>
      <c r="I92" s="382">
        <f>Mat_Inputs!J76</f>
        <v>8.2000000000000003E-2</v>
      </c>
      <c r="J92" s="382">
        <f>Mat_Inputs!K76</f>
        <v>8.2000000000000003E-2</v>
      </c>
      <c r="K92" s="588">
        <f>Mat_Inputs!L76</f>
        <v>8.2000000000000003E-2</v>
      </c>
    </row>
    <row r="93" spans="1:11">
      <c r="A93" s="230" t="s">
        <v>261</v>
      </c>
      <c r="B93" s="382"/>
      <c r="C93" s="382"/>
      <c r="D93" s="382">
        <f>Mat_Inputs!E77</f>
        <v>3.6999999999999998E-2</v>
      </c>
      <c r="E93" s="382">
        <f>Mat_Inputs!F77</f>
        <v>3.6999999999999998E-2</v>
      </c>
      <c r="F93" s="382">
        <f>Mat_Inputs!G77</f>
        <v>3.6999999999999998E-2</v>
      </c>
      <c r="G93" s="382">
        <f>Mat_Inputs!H77</f>
        <v>3.6999999999999998E-2</v>
      </c>
      <c r="H93" s="382">
        <f>Mat_Inputs!I77</f>
        <v>3.6999999999999998E-2</v>
      </c>
      <c r="I93" s="382">
        <f>Mat_Inputs!J77</f>
        <v>3.6999999999999998E-2</v>
      </c>
      <c r="J93" s="382">
        <f>Mat_Inputs!K77</f>
        <v>3.6999999999999998E-2</v>
      </c>
      <c r="K93" s="588">
        <f>Mat_Inputs!L77</f>
        <v>3.6999999999999998E-2</v>
      </c>
    </row>
    <row r="94" spans="1:11">
      <c r="A94" s="230" t="s">
        <v>260</v>
      </c>
      <c r="B94" s="382"/>
      <c r="C94" s="382"/>
      <c r="D94" s="382">
        <f>Mat_Inputs!E78</f>
        <v>0.23799999999999999</v>
      </c>
      <c r="E94" s="382">
        <f>Mat_Inputs!F78</f>
        <v>0.23799999999999999</v>
      </c>
      <c r="F94" s="382">
        <f>Mat_Inputs!G78</f>
        <v>0.23799999999999999</v>
      </c>
      <c r="G94" s="382">
        <f>Mat_Inputs!H78</f>
        <v>0.23799999999999999</v>
      </c>
      <c r="H94" s="382">
        <f>Mat_Inputs!I78</f>
        <v>0.23799999999999999</v>
      </c>
      <c r="I94" s="382">
        <f>Mat_Inputs!J78</f>
        <v>0.23799999999999999</v>
      </c>
      <c r="J94" s="382">
        <f>Mat_Inputs!K78</f>
        <v>0.23799999999999999</v>
      </c>
      <c r="K94" s="588">
        <f>Mat_Inputs!L78</f>
        <v>0.23799999999999999</v>
      </c>
    </row>
    <row r="95" spans="1:11">
      <c r="A95" s="589" t="s">
        <v>262</v>
      </c>
      <c r="B95" s="368"/>
      <c r="C95" s="368"/>
      <c r="D95" s="368">
        <f>Mat_Inputs!E79</f>
        <v>0.124</v>
      </c>
      <c r="E95" s="368">
        <f>Mat_Inputs!F79</f>
        <v>0.124</v>
      </c>
      <c r="F95" s="368">
        <f>Mat_Inputs!G79</f>
        <v>0.124</v>
      </c>
      <c r="G95" s="368">
        <f>Mat_Inputs!H79</f>
        <v>0.124</v>
      </c>
      <c r="H95" s="368">
        <f>Mat_Inputs!I79</f>
        <v>0.124</v>
      </c>
      <c r="I95" s="368">
        <f>Mat_Inputs!J79</f>
        <v>0.124</v>
      </c>
      <c r="J95" s="368">
        <f>Mat_Inputs!K79</f>
        <v>0.124</v>
      </c>
      <c r="K95" s="428">
        <f>Mat_Inputs!L79</f>
        <v>0.124</v>
      </c>
    </row>
    <row r="96" spans="1:11">
      <c r="A96" s="293" t="s">
        <v>1860</v>
      </c>
      <c r="B96" s="393"/>
      <c r="C96" s="392"/>
      <c r="D96" s="392"/>
      <c r="E96" s="392"/>
      <c r="F96" s="392"/>
      <c r="G96" s="392"/>
      <c r="H96" s="392"/>
      <c r="I96" s="392"/>
      <c r="J96" s="392"/>
      <c r="K96" s="394"/>
    </row>
    <row r="97" spans="1:11">
      <c r="A97" s="490" t="s">
        <v>251</v>
      </c>
      <c r="B97" s="921"/>
      <c r="C97" s="451"/>
      <c r="D97" s="451"/>
      <c r="E97" s="451"/>
      <c r="F97" s="451"/>
      <c r="G97" s="451"/>
      <c r="H97" s="451"/>
      <c r="I97" s="451"/>
      <c r="J97" s="382">
        <f>Mat_Inputs!K81</f>
        <v>9.1528724440116851E-2</v>
      </c>
      <c r="K97" s="588">
        <f>Mat_Inputs!L81</f>
        <v>9.1528724440116851E-2</v>
      </c>
    </row>
    <row r="98" spans="1:11">
      <c r="A98" s="490" t="s">
        <v>264</v>
      </c>
      <c r="B98" s="921"/>
      <c r="C98" s="451"/>
      <c r="D98" s="451"/>
      <c r="E98" s="451"/>
      <c r="F98" s="451"/>
      <c r="G98" s="451"/>
      <c r="H98" s="451"/>
      <c r="I98" s="451"/>
      <c r="J98" s="382">
        <f>Mat_Inputs!K82</f>
        <v>8.081791626095422E-2</v>
      </c>
      <c r="K98" s="588">
        <f>Mat_Inputs!L82</f>
        <v>8.081791626095422E-2</v>
      </c>
    </row>
    <row r="99" spans="1:11">
      <c r="A99" s="490" t="s">
        <v>277</v>
      </c>
      <c r="B99" s="921"/>
      <c r="C99" s="451"/>
      <c r="D99" s="451"/>
      <c r="E99" s="451"/>
      <c r="F99" s="451"/>
      <c r="G99" s="451"/>
      <c r="H99" s="451"/>
      <c r="I99" s="451"/>
      <c r="J99" s="382">
        <f>Mat_Inputs!K83</f>
        <v>0.65628042843232726</v>
      </c>
      <c r="K99" s="588">
        <f>Mat_Inputs!L83</f>
        <v>0.65628042843232726</v>
      </c>
    </row>
    <row r="100" spans="1:11">
      <c r="A100" s="490" t="s">
        <v>257</v>
      </c>
      <c r="B100" s="921"/>
      <c r="C100" s="451"/>
      <c r="D100" s="451"/>
      <c r="E100" s="451"/>
      <c r="F100" s="451"/>
      <c r="G100" s="451"/>
      <c r="H100" s="451"/>
      <c r="I100" s="451"/>
      <c r="J100" s="382">
        <f>Mat_Inputs!K84</f>
        <v>4.4790652385589089E-2</v>
      </c>
      <c r="K100" s="588">
        <f>Mat_Inputs!L84</f>
        <v>4.4790652385589089E-2</v>
      </c>
    </row>
    <row r="101" spans="1:11">
      <c r="A101" s="490" t="s">
        <v>252</v>
      </c>
      <c r="B101" s="921"/>
      <c r="C101" s="451"/>
      <c r="D101" s="451"/>
      <c r="E101" s="451"/>
      <c r="F101" s="451"/>
      <c r="G101" s="451"/>
      <c r="H101" s="451"/>
      <c r="I101" s="451"/>
      <c r="J101" s="382">
        <f>Mat_Inputs!K85</f>
        <v>0</v>
      </c>
      <c r="K101" s="588">
        <f>Mat_Inputs!L85</f>
        <v>0</v>
      </c>
    </row>
    <row r="102" spans="1:11">
      <c r="A102" s="490" t="s">
        <v>275</v>
      </c>
      <c r="B102" s="921"/>
      <c r="C102" s="451"/>
      <c r="D102" s="451"/>
      <c r="E102" s="451"/>
      <c r="F102" s="451"/>
      <c r="G102" s="451"/>
      <c r="H102" s="451"/>
      <c r="I102" s="451"/>
      <c r="J102" s="382">
        <f>Mat_Inputs!K86</f>
        <v>0</v>
      </c>
      <c r="K102" s="588">
        <f>Mat_Inputs!L86</f>
        <v>0</v>
      </c>
    </row>
    <row r="103" spans="1:11">
      <c r="A103" s="490" t="s">
        <v>278</v>
      </c>
      <c r="B103" s="921"/>
      <c r="C103" s="451"/>
      <c r="D103" s="451"/>
      <c r="E103" s="451"/>
      <c r="F103" s="451"/>
      <c r="G103" s="451"/>
      <c r="H103" s="451"/>
      <c r="I103" s="451"/>
      <c r="J103" s="382">
        <f>Mat_Inputs!K87</f>
        <v>7.7896786757546244E-2</v>
      </c>
      <c r="K103" s="588">
        <f>Mat_Inputs!L87</f>
        <v>7.7896786757546244E-2</v>
      </c>
    </row>
    <row r="104" spans="1:11">
      <c r="A104" s="490" t="s">
        <v>261</v>
      </c>
      <c r="B104" s="921"/>
      <c r="C104" s="451"/>
      <c r="D104" s="451"/>
      <c r="E104" s="451"/>
      <c r="F104" s="451"/>
      <c r="G104" s="451"/>
      <c r="H104" s="451"/>
      <c r="I104" s="451"/>
      <c r="J104" s="382">
        <f>Mat_Inputs!K88</f>
        <v>0</v>
      </c>
      <c r="K104" s="588">
        <f>Mat_Inputs!L88</f>
        <v>0</v>
      </c>
    </row>
    <row r="105" spans="1:11">
      <c r="A105" s="490" t="s">
        <v>272</v>
      </c>
      <c r="B105" s="921"/>
      <c r="C105" s="451"/>
      <c r="D105" s="451"/>
      <c r="E105" s="451"/>
      <c r="F105" s="451"/>
      <c r="G105" s="451"/>
      <c r="H105" s="451"/>
      <c r="I105" s="451"/>
      <c r="J105" s="382">
        <f>Mat_Inputs!K89</f>
        <v>0</v>
      </c>
      <c r="K105" s="588">
        <f>Mat_Inputs!L89</f>
        <v>0</v>
      </c>
    </row>
    <row r="106" spans="1:11">
      <c r="A106" s="490" t="s">
        <v>273</v>
      </c>
      <c r="B106" s="921"/>
      <c r="C106" s="451"/>
      <c r="D106" s="451"/>
      <c r="E106" s="451"/>
      <c r="F106" s="451"/>
      <c r="G106" s="451"/>
      <c r="H106" s="451"/>
      <c r="I106" s="451"/>
      <c r="J106" s="382">
        <f>Mat_Inputs!K90</f>
        <v>9.7370983446932804E-3</v>
      </c>
      <c r="K106" s="588">
        <f>Mat_Inputs!L90</f>
        <v>9.7370983446932804E-3</v>
      </c>
    </row>
    <row r="107" spans="1:11">
      <c r="A107" s="647" t="s">
        <v>262</v>
      </c>
      <c r="B107" s="922"/>
      <c r="C107" s="883"/>
      <c r="D107" s="883"/>
      <c r="E107" s="883"/>
      <c r="F107" s="883"/>
      <c r="G107" s="883"/>
      <c r="H107" s="883"/>
      <c r="I107" s="883"/>
      <c r="J107" s="368">
        <f>Mat_Inputs!K91</f>
        <v>3.8948393378772983E-2</v>
      </c>
      <c r="K107" s="428">
        <f>Mat_Inputs!L91</f>
        <v>3.8948393378772983E-2</v>
      </c>
    </row>
    <row r="109" spans="1:11">
      <c r="A109" s="64" t="s">
        <v>1861</v>
      </c>
      <c r="C109" s="951"/>
      <c r="D109" s="951"/>
      <c r="E109" s="951"/>
      <c r="H109" s="951"/>
    </row>
    <row r="110" spans="1:11" ht="38.25">
      <c r="A110" s="238"/>
      <c r="B110" s="378" t="s">
        <v>141</v>
      </c>
      <c r="C110" s="378" t="s">
        <v>142</v>
      </c>
      <c r="D110" s="378" t="s">
        <v>143</v>
      </c>
      <c r="E110" s="378" t="s">
        <v>144</v>
      </c>
      <c r="F110" s="378" t="s">
        <v>145</v>
      </c>
      <c r="G110" s="378" t="s">
        <v>146</v>
      </c>
      <c r="H110" s="378" t="s">
        <v>147</v>
      </c>
      <c r="I110" s="378" t="s">
        <v>148</v>
      </c>
      <c r="J110" s="378" t="s">
        <v>149</v>
      </c>
      <c r="K110" s="380" t="s">
        <v>150</v>
      </c>
    </row>
    <row r="111" spans="1:11">
      <c r="A111" s="230" t="s">
        <v>38</v>
      </c>
      <c r="B111" s="452">
        <f>Mat_Inputs!C95</f>
        <v>0.59922639465739413</v>
      </c>
      <c r="C111" s="452">
        <f>Mat_Inputs!D95</f>
        <v>0.30704706482486721</v>
      </c>
      <c r="D111" s="452">
        <f>Mat_Inputs!E95</f>
        <v>0.59251924566050973</v>
      </c>
      <c r="E111" s="452">
        <f>Mat_Inputs!F95</f>
        <v>0.3305582148208302</v>
      </c>
      <c r="F111" s="452">
        <f>Mat_Inputs!G95</f>
        <v>0.59597132800711683</v>
      </c>
      <c r="G111" s="452">
        <f>Mat_Inputs!H95</f>
        <v>0.3343883343216858</v>
      </c>
      <c r="H111" s="452">
        <f>Mat_Inputs!I95</f>
        <v>0.58411694183415686</v>
      </c>
      <c r="I111" s="452">
        <f>Mat_Inputs!J95</f>
        <v>0.21966468810558099</v>
      </c>
      <c r="J111" s="452">
        <f>Mat_Inputs!K95</f>
        <v>0.52490810947485456</v>
      </c>
      <c r="K111" s="884">
        <f>Mat_Inputs!L95</f>
        <v>0.19930245952027761</v>
      </c>
    </row>
    <row r="112" spans="1:11">
      <c r="A112" s="230" t="s">
        <v>280</v>
      </c>
      <c r="B112" s="452">
        <f>Mat_Inputs!C96</f>
        <v>0</v>
      </c>
      <c r="C112" s="452">
        <f>Mat_Inputs!D96</f>
        <v>1.0301905888644543E-2</v>
      </c>
      <c r="D112" s="452">
        <f>Mat_Inputs!E96</f>
        <v>0</v>
      </c>
      <c r="E112" s="452">
        <f>Mat_Inputs!F96</f>
        <v>8.2061125266089767E-3</v>
      </c>
      <c r="F112" s="452">
        <f>Mat_Inputs!G96</f>
        <v>0</v>
      </c>
      <c r="G112" s="452">
        <f>Mat_Inputs!H96</f>
        <v>7.7621269210254671E-3</v>
      </c>
      <c r="H112" s="452">
        <f>Mat_Inputs!I96</f>
        <v>0</v>
      </c>
      <c r="I112" s="452">
        <f>Mat_Inputs!J96</f>
        <v>0</v>
      </c>
      <c r="J112" s="452">
        <f>Mat_Inputs!K96</f>
        <v>3.4119373615959681E-2</v>
      </c>
      <c r="K112" s="884">
        <f>Mat_Inputs!L96</f>
        <v>2.6743219720010897E-2</v>
      </c>
    </row>
    <row r="113" spans="1:11">
      <c r="A113" s="230" t="s">
        <v>281</v>
      </c>
      <c r="B113" s="452">
        <f>Mat_Inputs!C97</f>
        <v>1.8931671144217021E-2</v>
      </c>
      <c r="C113" s="452">
        <f>Mat_Inputs!D97</f>
        <v>3.5176694780504468E-2</v>
      </c>
      <c r="D113" s="452">
        <f>Mat_Inputs!E97</f>
        <v>5.403141361256545E-2</v>
      </c>
      <c r="E113" s="452">
        <f>Mat_Inputs!F97</f>
        <v>3.336772777345693E-2</v>
      </c>
      <c r="F113" s="452">
        <f>Mat_Inputs!G97</f>
        <v>5.2403478530603675E-2</v>
      </c>
      <c r="G113" s="452">
        <f>Mat_Inputs!H97</f>
        <v>3.4168452817504018E-2</v>
      </c>
      <c r="H113" s="452">
        <f>Mat_Inputs!I97</f>
        <v>0</v>
      </c>
      <c r="I113" s="452">
        <f>Mat_Inputs!J97</f>
        <v>2.8704E-2</v>
      </c>
      <c r="J113" s="452">
        <f>Mat_Inputs!K97</f>
        <v>6.3087885967950941E-5</v>
      </c>
      <c r="K113" s="884">
        <f>Mat_Inputs!L97</f>
        <v>2.4888093880816704E-2</v>
      </c>
    </row>
    <row r="114" spans="1:11">
      <c r="A114" s="230" t="s">
        <v>282</v>
      </c>
      <c r="B114" s="452">
        <f>Mat_Inputs!C98</f>
        <v>4.64393038936151E-2</v>
      </c>
      <c r="C114" s="452">
        <f>Mat_Inputs!D98</f>
        <v>6.7356559328203974E-2</v>
      </c>
      <c r="D114" s="452">
        <f>Mat_Inputs!E98</f>
        <v>2.7010791884917566E-2</v>
      </c>
      <c r="E114" s="452">
        <f>Mat_Inputs!F98</f>
        <v>5.8452471525774666E-2</v>
      </c>
      <c r="F114" s="452">
        <f>Mat_Inputs!G98</f>
        <v>2.6860302855117431E-2</v>
      </c>
      <c r="G114" s="452">
        <f>Mat_Inputs!H98</f>
        <v>4.9492639071934068E-2</v>
      </c>
      <c r="H114" s="452">
        <f>Mat_Inputs!I98</f>
        <v>3.0309056042752427E-2</v>
      </c>
      <c r="I114" s="452">
        <f>Mat_Inputs!J98</f>
        <v>6.756736822873026E-2</v>
      </c>
      <c r="J114" s="452">
        <f>Mat_Inputs!K98</f>
        <v>3.75770577670771E-2</v>
      </c>
      <c r="K114" s="884">
        <f>Mat_Inputs!L98</f>
        <v>6.3360444323702261E-2</v>
      </c>
    </row>
    <row r="115" spans="1:11">
      <c r="A115" s="230" t="s">
        <v>283</v>
      </c>
      <c r="B115" s="452">
        <f>Mat_Inputs!C99</f>
        <v>8.2414206835872986E-2</v>
      </c>
      <c r="C115" s="452">
        <f>Mat_Inputs!D99</f>
        <v>0.14073462022531535</v>
      </c>
      <c r="D115" s="452">
        <f>Mat_Inputs!E99</f>
        <v>9.698752873463104E-2</v>
      </c>
      <c r="E115" s="452">
        <f>Mat_Inputs!F99</f>
        <v>0.14155851993586258</v>
      </c>
      <c r="F115" s="452">
        <f>Mat_Inputs!G99</f>
        <v>9.5619422746626742E-2</v>
      </c>
      <c r="G115" s="452">
        <f>Mat_Inputs!H99</f>
        <v>0.1458659746994348</v>
      </c>
      <c r="H115" s="452">
        <f>Mat_Inputs!I99</f>
        <v>0.10717781347009803</v>
      </c>
      <c r="I115" s="452">
        <f>Mat_Inputs!J99</f>
        <v>0.16351803268844514</v>
      </c>
      <c r="J115" s="452">
        <f>Mat_Inputs!K99</f>
        <v>7.6924775750556923E-2</v>
      </c>
      <c r="K115" s="884">
        <f>Mat_Inputs!L99</f>
        <v>0.12901195998062087</v>
      </c>
    </row>
    <row r="116" spans="1:11">
      <c r="A116" s="230" t="s">
        <v>284</v>
      </c>
      <c r="B116" s="452">
        <f>Mat_Inputs!C100</f>
        <v>2.3788324876333776E-2</v>
      </c>
      <c r="C116" s="452">
        <f>Mat_Inputs!D100</f>
        <v>3.0902637838482617E-2</v>
      </c>
      <c r="D116" s="452">
        <f>Mat_Inputs!E100</f>
        <v>3.9941128321665943E-2</v>
      </c>
      <c r="E116" s="452">
        <f>Mat_Inputs!F100</f>
        <v>4.8216764294362946E-2</v>
      </c>
      <c r="F116" s="452">
        <f>Mat_Inputs!G100</f>
        <v>4.0193021050868943E-2</v>
      </c>
      <c r="G116" s="452">
        <f>Mat_Inputs!H100</f>
        <v>4.8203617098322521E-2</v>
      </c>
      <c r="H116" s="452">
        <f>Mat_Inputs!I100</f>
        <v>6.3396611838840933E-2</v>
      </c>
      <c r="I116" s="452">
        <f>Mat_Inputs!J100</f>
        <v>7.5341681655951814E-2</v>
      </c>
      <c r="J116" s="452">
        <f>Mat_Inputs!K100</f>
        <v>3.3593904004390926E-2</v>
      </c>
      <c r="K116" s="884">
        <f>Mat_Inputs!L100</f>
        <v>4.3466067560274359E-2</v>
      </c>
    </row>
    <row r="117" spans="1:11">
      <c r="A117" s="661" t="s">
        <v>54</v>
      </c>
      <c r="B117" s="452">
        <f>Mat_Inputs!C101</f>
        <v>0</v>
      </c>
      <c r="C117" s="452">
        <f>Mat_Inputs!D101</f>
        <v>0</v>
      </c>
      <c r="D117" s="452">
        <f>Mat_Inputs!E101</f>
        <v>0</v>
      </c>
      <c r="E117" s="452">
        <f>Mat_Inputs!F101</f>
        <v>0</v>
      </c>
      <c r="F117" s="452">
        <f>Mat_Inputs!G101</f>
        <v>0</v>
      </c>
      <c r="G117" s="452">
        <f>Mat_Inputs!H101</f>
        <v>0</v>
      </c>
      <c r="H117" s="452">
        <f>Mat_Inputs!I101</f>
        <v>0</v>
      </c>
      <c r="I117" s="452">
        <f>Mat_Inputs!J101</f>
        <v>0</v>
      </c>
      <c r="J117" s="452">
        <f>Mat_Inputs!K101</f>
        <v>0</v>
      </c>
      <c r="K117" s="884">
        <f>Mat_Inputs!L101</f>
        <v>0</v>
      </c>
    </row>
    <row r="118" spans="1:11">
      <c r="A118" s="230" t="s">
        <v>56</v>
      </c>
      <c r="B118" s="453">
        <f>Mat_Inputs!C102</f>
        <v>2.5555935472886221E-4</v>
      </c>
      <c r="C118" s="452">
        <f>Mat_Inputs!D102</f>
        <v>3.7996009612283436E-3</v>
      </c>
      <c r="D118" s="453">
        <f>Mat_Inputs!E102</f>
        <v>2.1679306371830411E-4</v>
      </c>
      <c r="E118" s="452">
        <f>Mat_Inputs!F102</f>
        <v>3.5045486330930334E-3</v>
      </c>
      <c r="F118" s="452">
        <f>Mat_Inputs!G102</f>
        <v>2.1554633654289051E-4</v>
      </c>
      <c r="G118" s="452">
        <f>Mat_Inputs!H102</f>
        <v>3.3828101991258638E-3</v>
      </c>
      <c r="H118" s="452">
        <f>Mat_Inputs!I102</f>
        <v>2.4350437998697569E-4</v>
      </c>
      <c r="I118" s="452">
        <f>Mat_Inputs!J102</f>
        <v>3.7754987813794151E-3</v>
      </c>
      <c r="J118" s="453">
        <f>Mat_Inputs!K102</f>
        <v>2.359565844970569E-4</v>
      </c>
      <c r="K118" s="884">
        <f>Mat_Inputs!L102</f>
        <v>4.2557019870078719E-3</v>
      </c>
    </row>
    <row r="119" spans="1:11">
      <c r="A119" s="230" t="s">
        <v>58</v>
      </c>
      <c r="B119" s="452">
        <f>Mat_Inputs!C103</f>
        <v>2.3508911992351771E-2</v>
      </c>
      <c r="C119" s="452">
        <f>Mat_Inputs!D103</f>
        <v>3.2507697112731382E-2</v>
      </c>
      <c r="D119" s="452">
        <f>Mat_Inputs!E103</f>
        <v>1.9942799827903653E-2</v>
      </c>
      <c r="E119" s="452">
        <f>Mat_Inputs!F103</f>
        <v>2.9204571942441946E-2</v>
      </c>
      <c r="F119" s="452">
        <f>Mat_Inputs!G103</f>
        <v>1.9828113361128184E-2</v>
      </c>
      <c r="G119" s="452">
        <f>Mat_Inputs!H103</f>
        <v>2.7438349392909785E-2</v>
      </c>
      <c r="H119" s="452">
        <f>Mat_Inputs!I103</f>
        <v>2.2399974537967805E-2</v>
      </c>
      <c r="I119" s="452">
        <f>Mat_Inputs!J103</f>
        <v>3.0203990251035321E-2</v>
      </c>
      <c r="J119" s="452">
        <f>Mat_Inputs!K103</f>
        <v>2.1043034019318327E-2</v>
      </c>
      <c r="K119" s="884">
        <f>Mat_Inputs!L103</f>
        <v>3.4045615896062975E-2</v>
      </c>
    </row>
    <row r="120" spans="1:11">
      <c r="A120" s="230" t="s">
        <v>285</v>
      </c>
      <c r="B120" s="452">
        <f>Mat_Inputs!C104</f>
        <v>0.15299256236041059</v>
      </c>
      <c r="C120" s="452">
        <f>Mat_Inputs!D104</f>
        <v>0.14161109373225569</v>
      </c>
      <c r="D120" s="452">
        <f>Mat_Inputs!E104</f>
        <v>0.12563911634274139</v>
      </c>
      <c r="E120" s="452">
        <f>Mat_Inputs!F104</f>
        <v>0.12478570208526325</v>
      </c>
      <c r="F120" s="452">
        <f>Mat_Inputs!G104</f>
        <v>0.12549592199786327</v>
      </c>
      <c r="G120" s="452">
        <f>Mat_Inputs!H104</f>
        <v>0.12673468221810666</v>
      </c>
      <c r="H120" s="452">
        <f>Mat_Inputs!I104</f>
        <v>0.14255485663028453</v>
      </c>
      <c r="I120" s="452">
        <f>Mat_Inputs!J104</f>
        <v>0.15067337872035177</v>
      </c>
      <c r="J120" s="452">
        <f>Mat_Inputs!K104</f>
        <v>0.13866291686963156</v>
      </c>
      <c r="K120" s="884">
        <f>Mat_Inputs!L104</f>
        <v>0.13716837311709154</v>
      </c>
    </row>
    <row r="121" spans="1:11">
      <c r="A121" s="230" t="s">
        <v>61</v>
      </c>
      <c r="B121" s="452">
        <f>Mat_Inputs!C105</f>
        <v>3.918620882938266E-2</v>
      </c>
      <c r="C121" s="452">
        <f>Mat_Inputs!D105</f>
        <v>2.9053457053386841E-2</v>
      </c>
      <c r="D121" s="452">
        <f>Mat_Inputs!E105</f>
        <v>3.3290643876260406E-2</v>
      </c>
      <c r="E121" s="452">
        <f>Mat_Inputs!F105</f>
        <v>2.478921060383163E-2</v>
      </c>
      <c r="F121" s="452">
        <f>Mat_Inputs!G105</f>
        <v>3.3013092458221469E-2</v>
      </c>
      <c r="G121" s="452">
        <f>Mat_Inputs!H105</f>
        <v>2.4413005859735725E-2</v>
      </c>
      <c r="H121" s="452">
        <f>Mat_Inputs!I105</f>
        <v>3.326978234355725E-2</v>
      </c>
      <c r="I121" s="452">
        <f>Mat_Inputs!J105</f>
        <v>2.5765998916781701E-2</v>
      </c>
      <c r="J121" s="452">
        <f>Mat_Inputs!K105</f>
        <v>3.6557260379277083E-2</v>
      </c>
      <c r="K121" s="884">
        <f>Mat_Inputs!L105</f>
        <v>2.7031391970529801E-2</v>
      </c>
    </row>
    <row r="122" spans="1:11">
      <c r="A122" s="661" t="s">
        <v>286</v>
      </c>
      <c r="B122" s="452">
        <f>Mat_Inputs!C106</f>
        <v>0</v>
      </c>
      <c r="C122" s="452">
        <f>Mat_Inputs!D106</f>
        <v>0.16084977402533324</v>
      </c>
      <c r="D122" s="452">
        <f>Mat_Inputs!E106</f>
        <v>0</v>
      </c>
      <c r="E122" s="452">
        <f>Mat_Inputs!F106</f>
        <v>0.15458953414865939</v>
      </c>
      <c r="F122" s="452">
        <f>Mat_Inputs!G106</f>
        <v>0</v>
      </c>
      <c r="G122" s="452">
        <f>Mat_Inputs!H106</f>
        <v>0.154857533559984</v>
      </c>
      <c r="H122" s="452">
        <f>Mat_Inputs!I106</f>
        <v>0</v>
      </c>
      <c r="I122" s="452">
        <f>Mat_Inputs!J106</f>
        <v>0.17870694231862566</v>
      </c>
      <c r="J122" s="452">
        <f>Mat_Inputs!K106</f>
        <v>0</v>
      </c>
      <c r="K122" s="884">
        <f>Mat_Inputs!L106</f>
        <v>0.20001799338937001</v>
      </c>
    </row>
    <row r="123" spans="1:11" ht="25.5">
      <c r="A123" s="592" t="s">
        <v>287</v>
      </c>
      <c r="B123" s="452">
        <f>Mat_Inputs!C107</f>
        <v>0</v>
      </c>
      <c r="C123" s="452">
        <f>Mat_Inputs!D107</f>
        <v>0</v>
      </c>
      <c r="D123" s="452">
        <f>Mat_Inputs!E107</f>
        <v>0</v>
      </c>
      <c r="E123" s="452">
        <f>Mat_Inputs!F107</f>
        <v>0</v>
      </c>
      <c r="F123" s="452">
        <f>Mat_Inputs!G107</f>
        <v>0</v>
      </c>
      <c r="G123" s="452">
        <f>Mat_Inputs!H107</f>
        <v>0</v>
      </c>
      <c r="H123" s="452">
        <f>Mat_Inputs!I107</f>
        <v>0</v>
      </c>
      <c r="I123" s="452">
        <f>Mat_Inputs!J107</f>
        <v>0</v>
      </c>
      <c r="J123" s="452">
        <f>Mat_Inputs!K107</f>
        <v>6.6836603823456242E-2</v>
      </c>
      <c r="K123" s="884">
        <f>Mat_Inputs!L107</f>
        <v>4.6500297409572254E-2</v>
      </c>
    </row>
    <row r="124" spans="1:11">
      <c r="A124" s="230" t="s">
        <v>288</v>
      </c>
      <c r="B124" s="452">
        <f>Mat_Inputs!C108</f>
        <v>8.6970511755816576E-3</v>
      </c>
      <c r="C124" s="452">
        <f>Mat_Inputs!D108</f>
        <v>1.7940000000000001E-2</v>
      </c>
      <c r="D124" s="452">
        <f>Mat_Inputs!E108</f>
        <v>4.1456022664972531E-3</v>
      </c>
      <c r="E124" s="452">
        <f>Mat_Inputs!F108</f>
        <v>1.9109999999999999E-2</v>
      </c>
      <c r="F124" s="452">
        <f>Mat_Inputs!G108</f>
        <v>4.1217618588963254E-3</v>
      </c>
      <c r="G124" s="452">
        <f>Mat_Inputs!H108</f>
        <v>2.0480000000000002E-2</v>
      </c>
      <c r="H124" s="452">
        <f>Mat_Inputs!I108</f>
        <v>4.6563865663511259E-3</v>
      </c>
      <c r="I124" s="452">
        <f>Mat_Inputs!J108</f>
        <v>2.5896000000000002E-2</v>
      </c>
      <c r="J124" s="452">
        <f>Mat_Inputs!K108</f>
        <v>1.1087278632719275E-2</v>
      </c>
      <c r="K124" s="884">
        <f>Mat_Inputs!L108</f>
        <v>2.7291659058442615E-2</v>
      </c>
    </row>
    <row r="125" spans="1:11">
      <c r="A125" s="230" t="s">
        <v>48</v>
      </c>
      <c r="B125" s="452">
        <f>Mat_Inputs!C109</f>
        <v>0</v>
      </c>
      <c r="C125" s="452">
        <f>Mat_Inputs!D109</f>
        <v>0</v>
      </c>
      <c r="D125" s="452">
        <f>Mat_Inputs!E109</f>
        <v>0</v>
      </c>
      <c r="E125" s="452">
        <f>Mat_Inputs!F109</f>
        <v>0</v>
      </c>
      <c r="F125" s="452">
        <f>Mat_Inputs!G109</f>
        <v>0</v>
      </c>
      <c r="G125" s="452">
        <f>Mat_Inputs!H109</f>
        <v>0</v>
      </c>
      <c r="H125" s="452">
        <f>Mat_Inputs!I109</f>
        <v>0</v>
      </c>
      <c r="I125" s="452">
        <f>Mat_Inputs!J109</f>
        <v>0</v>
      </c>
      <c r="J125" s="452">
        <f>Mat_Inputs!K109</f>
        <v>1.5795321125227461E-6</v>
      </c>
      <c r="K125" s="884">
        <f>Mat_Inputs!L109</f>
        <v>1.2822905304179673E-6</v>
      </c>
    </row>
    <row r="126" spans="1:11">
      <c r="A126" s="230" t="s">
        <v>289</v>
      </c>
      <c r="B126" s="452">
        <f>Mat_Inputs!C110</f>
        <v>0</v>
      </c>
      <c r="C126" s="452">
        <f>Mat_Inputs!D110</f>
        <v>0</v>
      </c>
      <c r="D126" s="452">
        <f>Mat_Inputs!E110</f>
        <v>0</v>
      </c>
      <c r="E126" s="452">
        <f>Mat_Inputs!F110</f>
        <v>0</v>
      </c>
      <c r="F126" s="452">
        <f>Mat_Inputs!G110</f>
        <v>0</v>
      </c>
      <c r="G126" s="452">
        <f>Mat_Inputs!H110</f>
        <v>0</v>
      </c>
      <c r="H126" s="452">
        <f>Mat_Inputs!I110</f>
        <v>0</v>
      </c>
      <c r="I126" s="452">
        <f>Mat_Inputs!J110</f>
        <v>0</v>
      </c>
      <c r="J126" s="452">
        <f>Mat_Inputs!K110</f>
        <v>5.1189797217493645E-4</v>
      </c>
      <c r="K126" s="884">
        <f>Mat_Inputs!L110</f>
        <v>4.1556731709095184E-4</v>
      </c>
    </row>
    <row r="127" spans="1:11">
      <c r="A127" s="230" t="s">
        <v>290</v>
      </c>
      <c r="B127" s="452">
        <f>Mat_Inputs!C111</f>
        <v>0</v>
      </c>
      <c r="C127" s="452">
        <f>Mat_Inputs!D111</f>
        <v>0</v>
      </c>
      <c r="D127" s="452">
        <f>Mat_Inputs!E111</f>
        <v>0</v>
      </c>
      <c r="E127" s="452">
        <f>Mat_Inputs!F111</f>
        <v>0</v>
      </c>
      <c r="F127" s="452">
        <f>Mat_Inputs!G111</f>
        <v>0</v>
      </c>
      <c r="G127" s="452">
        <f>Mat_Inputs!H111</f>
        <v>0</v>
      </c>
      <c r="H127" s="452">
        <f>Mat_Inputs!I111</f>
        <v>0</v>
      </c>
      <c r="I127" s="452">
        <f>Mat_Inputs!J111</f>
        <v>0</v>
      </c>
      <c r="J127" s="452">
        <f>Mat_Inputs!K111</f>
        <v>1.7673854813097002E-3</v>
      </c>
      <c r="K127" s="884">
        <f>Mat_Inputs!L111</f>
        <v>1.4347930303626503E-3</v>
      </c>
    </row>
    <row r="128" spans="1:11">
      <c r="A128" s="230" t="s">
        <v>291</v>
      </c>
      <c r="B128" s="452">
        <f>Mat_Inputs!C112</f>
        <v>0</v>
      </c>
      <c r="C128" s="452">
        <f>Mat_Inputs!D112</f>
        <v>0</v>
      </c>
      <c r="D128" s="452">
        <f>Mat_Inputs!E112</f>
        <v>0</v>
      </c>
      <c r="E128" s="452">
        <f>Mat_Inputs!F112</f>
        <v>0</v>
      </c>
      <c r="F128" s="452">
        <f>Mat_Inputs!G112</f>
        <v>0</v>
      </c>
      <c r="G128" s="452">
        <f>Mat_Inputs!H112</f>
        <v>0</v>
      </c>
      <c r="H128" s="452">
        <f>Mat_Inputs!I112</f>
        <v>0</v>
      </c>
      <c r="I128" s="452">
        <f>Mat_Inputs!J112</f>
        <v>0</v>
      </c>
      <c r="J128" s="452">
        <f>Mat_Inputs!K112</f>
        <v>2.1183834289943762E-3</v>
      </c>
      <c r="K128" s="884">
        <f>Mat_Inputs!L112</f>
        <v>1.7197390222446101E-3</v>
      </c>
    </row>
    <row r="129" spans="1:11">
      <c r="A129" s="230" t="s">
        <v>292</v>
      </c>
      <c r="B129" s="452">
        <f>Mat_Inputs!C113</f>
        <v>0</v>
      </c>
      <c r="C129" s="452">
        <f>Mat_Inputs!D113</f>
        <v>0</v>
      </c>
      <c r="D129" s="452">
        <f>Mat_Inputs!E113</f>
        <v>0</v>
      </c>
      <c r="E129" s="452">
        <f>Mat_Inputs!F113</f>
        <v>0</v>
      </c>
      <c r="F129" s="452">
        <f>Mat_Inputs!G113</f>
        <v>0</v>
      </c>
      <c r="G129" s="452">
        <f>Mat_Inputs!H113</f>
        <v>0</v>
      </c>
      <c r="H129" s="452">
        <f>Mat_Inputs!I113</f>
        <v>0</v>
      </c>
      <c r="I129" s="452">
        <f>Mat_Inputs!J113</f>
        <v>0</v>
      </c>
      <c r="J129" s="453">
        <f>Mat_Inputs!K113</f>
        <v>0</v>
      </c>
      <c r="K129" s="885">
        <f>Mat_Inputs!L113</f>
        <v>0</v>
      </c>
    </row>
    <row r="130" spans="1:11">
      <c r="A130" s="230" t="s">
        <v>63</v>
      </c>
      <c r="B130" s="454">
        <f>Mat_Inputs!C114</f>
        <v>3.0687346446282874E-6</v>
      </c>
      <c r="C130" s="454">
        <f>Mat_Inputs!D114</f>
        <v>8.5849215738704534E-6</v>
      </c>
      <c r="D130" s="454">
        <f>Mat_Inputs!E114</f>
        <v>4.5026178010471217E-6</v>
      </c>
      <c r="E130" s="454">
        <f>Mat_Inputs!F114</f>
        <v>5.1288203291306102E-6</v>
      </c>
      <c r="F130" s="454">
        <f>Mat_Inputs!G114</f>
        <v>4.5967963623336555E-6</v>
      </c>
      <c r="G130" s="454">
        <f>Mat_Inputs!H114</f>
        <v>5.1747512806836457E-6</v>
      </c>
      <c r="H130" s="454">
        <f>Mat_Inputs!I114</f>
        <v>0</v>
      </c>
      <c r="I130" s="454">
        <f>Mat_Inputs!J114</f>
        <v>0</v>
      </c>
      <c r="J130" s="455">
        <f>Mat_Inputs!K114</f>
        <v>1.4591205717789383E-5</v>
      </c>
      <c r="K130" s="886">
        <f>Mat_Inputs!L114</f>
        <v>1.1845384320435833E-5</v>
      </c>
    </row>
    <row r="131" spans="1:11">
      <c r="A131" s="661" t="s">
        <v>83</v>
      </c>
      <c r="B131" s="453">
        <f>Mat_Inputs!C115</f>
        <v>0</v>
      </c>
      <c r="C131" s="453">
        <f>Mat_Inputs!D115</f>
        <v>0</v>
      </c>
      <c r="D131" s="453">
        <f>Mat_Inputs!E115</f>
        <v>0</v>
      </c>
      <c r="E131" s="453">
        <f>Mat_Inputs!F115</f>
        <v>0</v>
      </c>
      <c r="F131" s="453">
        <f>Mat_Inputs!G115</f>
        <v>0</v>
      </c>
      <c r="G131" s="453">
        <f>Mat_Inputs!H115</f>
        <v>0</v>
      </c>
      <c r="H131" s="453">
        <f>Mat_Inputs!I115</f>
        <v>0</v>
      </c>
      <c r="I131" s="453">
        <f>Mat_Inputs!J115</f>
        <v>0</v>
      </c>
      <c r="J131" s="453">
        <f>Mat_Inputs!K115</f>
        <v>1.036262542295482E-3</v>
      </c>
      <c r="K131" s="885">
        <f>Mat_Inputs!L115</f>
        <v>7.2613989947604117E-4</v>
      </c>
    </row>
    <row r="132" spans="1:11">
      <c r="A132" s="661" t="s">
        <v>293</v>
      </c>
      <c r="B132" s="453">
        <f>Mat_Inputs!C116</f>
        <v>0</v>
      </c>
      <c r="C132" s="453">
        <f>Mat_Inputs!D116</f>
        <v>0</v>
      </c>
      <c r="D132" s="453">
        <f>Mat_Inputs!E116</f>
        <v>0</v>
      </c>
      <c r="E132" s="453">
        <f>Mat_Inputs!F116</f>
        <v>0</v>
      </c>
      <c r="F132" s="453">
        <f>Mat_Inputs!G116</f>
        <v>0</v>
      </c>
      <c r="G132" s="453">
        <f>Mat_Inputs!H116</f>
        <v>0</v>
      </c>
      <c r="H132" s="453">
        <f>Mat_Inputs!I116</f>
        <v>0</v>
      </c>
      <c r="I132" s="453">
        <f>Mat_Inputs!J116</f>
        <v>0</v>
      </c>
      <c r="J132" s="453">
        <f>Mat_Inputs!K116</f>
        <v>2.252829490998745E-4</v>
      </c>
      <c r="K132" s="885">
        <f>Mat_Inputs!L116</f>
        <v>1.8288845792063121E-4</v>
      </c>
    </row>
    <row r="133" spans="1:11">
      <c r="A133" s="589" t="s">
        <v>294</v>
      </c>
      <c r="B133" s="887">
        <f>Mat_Inputs!C117</f>
        <v>4.556736145467033E-3</v>
      </c>
      <c r="C133" s="887">
        <f>Mat_Inputs!D117</f>
        <v>2.2710309307472643E-2</v>
      </c>
      <c r="D133" s="887">
        <f>Mat_Inputs!E117</f>
        <v>6.2704337907880658E-3</v>
      </c>
      <c r="E133" s="887">
        <f>Mat_Inputs!F117</f>
        <v>2.3651492889485315E-2</v>
      </c>
      <c r="F133" s="887">
        <f>Mat_Inputs!G117</f>
        <v>6.2734140006518446E-3</v>
      </c>
      <c r="G133" s="887">
        <f>Mat_Inputs!H117</f>
        <v>2.2807299088950406E-2</v>
      </c>
      <c r="H133" s="887">
        <f>Mat_Inputs!I117</f>
        <v>1.1875072356003935E-2</v>
      </c>
      <c r="I133" s="887">
        <f>Mat_Inputs!J117</f>
        <v>3.018242033311791E-2</v>
      </c>
      <c r="J133" s="887">
        <f>Mat_Inputs!K117</f>
        <v>1.2715258080588598E-2</v>
      </c>
      <c r="K133" s="888">
        <f>Mat_Inputs!L117</f>
        <v>3.2424466784274575E-2</v>
      </c>
    </row>
    <row r="134" spans="1:11">
      <c r="C134" s="951"/>
      <c r="D134" s="951"/>
      <c r="E134" s="951"/>
      <c r="H134" s="951"/>
    </row>
    <row r="135" spans="1:11">
      <c r="A135" s="64" t="s">
        <v>1862</v>
      </c>
      <c r="C135" s="951"/>
      <c r="D135" s="951"/>
      <c r="E135" s="951"/>
      <c r="H135" s="951"/>
    </row>
    <row r="136" spans="1:11">
      <c r="A136" s="1724">
        <f>Vehi_Inputs!B66</f>
        <v>3</v>
      </c>
      <c r="C136" s="951"/>
      <c r="D136" s="951"/>
      <c r="E136" s="951"/>
      <c r="H136" s="951"/>
    </row>
    <row r="137" spans="1:11">
      <c r="C137" s="951"/>
      <c r="D137" s="951"/>
      <c r="E137" s="951"/>
      <c r="H137" s="951"/>
    </row>
    <row r="138" spans="1:11">
      <c r="A138" s="8" t="s">
        <v>1863</v>
      </c>
      <c r="B138" s="8"/>
      <c r="C138" s="8"/>
      <c r="D138" s="8"/>
      <c r="E138" s="8"/>
      <c r="F138" s="8"/>
      <c r="G138" s="8"/>
      <c r="H138" s="8"/>
      <c r="I138" s="8"/>
      <c r="J138" s="8"/>
      <c r="K138" s="8"/>
    </row>
    <row r="139" spans="1:11" ht="38.25">
      <c r="A139" s="890"/>
      <c r="B139" s="891" t="s">
        <v>141</v>
      </c>
      <c r="C139" s="891" t="s">
        <v>142</v>
      </c>
      <c r="D139" s="891" t="s">
        <v>143</v>
      </c>
      <c r="E139" s="891" t="s">
        <v>144</v>
      </c>
      <c r="F139" s="891" t="s">
        <v>145</v>
      </c>
      <c r="G139" s="891" t="s">
        <v>146</v>
      </c>
      <c r="H139" s="891" t="s">
        <v>147</v>
      </c>
      <c r="I139" s="891" t="s">
        <v>148</v>
      </c>
      <c r="J139" s="891" t="s">
        <v>149</v>
      </c>
      <c r="K139" s="892" t="s">
        <v>150</v>
      </c>
    </row>
    <row r="140" spans="1:11">
      <c r="A140" s="737"/>
      <c r="B140" s="403">
        <f>Vehi_Inputs!C70</f>
        <v>20</v>
      </c>
      <c r="C140" s="403">
        <f>Vehi_Inputs!D70</f>
        <v>20</v>
      </c>
      <c r="D140" s="403">
        <f>Vehi_Inputs!E70</f>
        <v>20</v>
      </c>
      <c r="E140" s="403">
        <f>Vehi_Inputs!F70</f>
        <v>20</v>
      </c>
      <c r="F140" s="403">
        <f>Vehi_Inputs!G70</f>
        <v>20</v>
      </c>
      <c r="G140" s="403">
        <f>Vehi_Inputs!H70</f>
        <v>20</v>
      </c>
      <c r="H140" s="403">
        <f>Vehi_Inputs!I70</f>
        <v>20</v>
      </c>
      <c r="I140" s="403">
        <f>Vehi_Inputs!J70</f>
        <v>20</v>
      </c>
      <c r="J140" s="403">
        <f>Vehi_Inputs!K70</f>
        <v>20</v>
      </c>
      <c r="K140" s="881">
        <f>Vehi_Inputs!L70</f>
        <v>20</v>
      </c>
    </row>
    <row r="141" spans="1:11">
      <c r="C141" s="951"/>
      <c r="D141" s="951"/>
      <c r="E141" s="951"/>
      <c r="H141" s="951"/>
    </row>
    <row r="142" spans="1:11">
      <c r="A142" s="64" t="s">
        <v>1864</v>
      </c>
      <c r="C142" s="951"/>
      <c r="D142" s="951"/>
      <c r="E142" s="951"/>
      <c r="H142" s="951"/>
    </row>
    <row r="143" spans="1:11">
      <c r="A143" s="837" t="s">
        <v>61</v>
      </c>
      <c r="B143" s="840" t="s">
        <v>38</v>
      </c>
      <c r="C143" s="951"/>
      <c r="D143" s="951"/>
      <c r="E143" s="951"/>
      <c r="H143" s="951"/>
    </row>
    <row r="144" spans="1:11">
      <c r="A144" s="893">
        <f>Mat_Inputs!B121</f>
        <v>0.66700000000000004</v>
      </c>
      <c r="B144" s="826">
        <f>Mat_Inputs!C121</f>
        <v>0.33299999999999996</v>
      </c>
      <c r="C144" s="951"/>
      <c r="D144" s="951"/>
      <c r="E144" s="951"/>
      <c r="H144" s="951"/>
    </row>
    <row r="145" spans="1:11">
      <c r="C145" s="951"/>
      <c r="D145" s="951"/>
      <c r="E145" s="951"/>
      <c r="H145" s="951"/>
    </row>
    <row r="146" spans="1:11" ht="15">
      <c r="A146" s="381" t="s">
        <v>1865</v>
      </c>
      <c r="C146" s="951"/>
      <c r="D146" s="951"/>
      <c r="E146" s="951"/>
      <c r="H146" s="951"/>
    </row>
    <row r="147" spans="1:11" ht="35.450000000000003" customHeight="1">
      <c r="A147" s="393"/>
      <c r="B147" s="1658" t="s">
        <v>141</v>
      </c>
      <c r="C147" s="1658" t="s">
        <v>142</v>
      </c>
      <c r="D147" s="1658" t="s">
        <v>143</v>
      </c>
      <c r="E147" s="1658" t="s">
        <v>144</v>
      </c>
      <c r="F147" s="1658" t="s">
        <v>145</v>
      </c>
      <c r="G147" s="1658" t="s">
        <v>146</v>
      </c>
      <c r="H147" s="1658" t="s">
        <v>147</v>
      </c>
      <c r="I147" s="1658" t="s">
        <v>148</v>
      </c>
      <c r="J147" s="1658" t="s">
        <v>149</v>
      </c>
      <c r="K147" s="1226" t="s">
        <v>150</v>
      </c>
    </row>
    <row r="148" spans="1:11">
      <c r="A148" s="1499" t="s">
        <v>1866</v>
      </c>
      <c r="B148" s="889">
        <f t="shared" ref="B148:K148" si="0">A6</f>
        <v>2959.8626743605541</v>
      </c>
      <c r="C148" s="889">
        <f t="shared" si="0"/>
        <v>2575.5290831000002</v>
      </c>
      <c r="D148" s="889">
        <f t="shared" si="0"/>
        <v>3098.8981258685394</v>
      </c>
      <c r="E148" s="889">
        <f t="shared" si="0"/>
        <v>2677.75813565</v>
      </c>
      <c r="F148" s="889">
        <f t="shared" si="0"/>
        <v>3103.307371112237</v>
      </c>
      <c r="G148" s="889">
        <f t="shared" si="0"/>
        <v>2688.7812356499999</v>
      </c>
      <c r="H148" s="889">
        <f t="shared" si="0"/>
        <v>2664.8841124925889</v>
      </c>
      <c r="I148" s="889">
        <f t="shared" si="0"/>
        <v>2327.5202171311998</v>
      </c>
      <c r="J148" s="889">
        <f t="shared" si="0"/>
        <v>2945.7530345161235</v>
      </c>
      <c r="K148" s="894">
        <f t="shared" si="0"/>
        <v>2766.2395971312003</v>
      </c>
    </row>
    <row r="149" spans="1:11">
      <c r="A149" s="238" t="s">
        <v>1867</v>
      </c>
      <c r="B149" s="392"/>
      <c r="C149" s="392"/>
      <c r="D149" s="392"/>
      <c r="E149" s="392"/>
      <c r="F149" s="392"/>
      <c r="G149" s="392"/>
      <c r="H149" s="392"/>
      <c r="I149" s="392"/>
      <c r="J149" s="392"/>
      <c r="K149" s="394"/>
    </row>
    <row r="150" spans="1:11">
      <c r="A150" s="230" t="s">
        <v>38</v>
      </c>
      <c r="B150" s="377">
        <f t="shared" ref="B150:K150" si="1">B$148*B111+$A$136*(B$140*4)*$B$144</f>
        <v>1853.5478390380677</v>
      </c>
      <c r="C150" s="377">
        <f t="shared" si="1"/>
        <v>870.72864533693655</v>
      </c>
      <c r="D150" s="377">
        <f t="shared" si="1"/>
        <v>1916.0767799183943</v>
      </c>
      <c r="E150" s="377">
        <f t="shared" si="1"/>
        <v>965.07494904241844</v>
      </c>
      <c r="F150" s="377">
        <f t="shared" si="1"/>
        <v>1929.4022151760346</v>
      </c>
      <c r="G150" s="377">
        <f t="shared" si="1"/>
        <v>979.01707874440751</v>
      </c>
      <c r="H150" s="377">
        <f t="shared" si="1"/>
        <v>1636.5239581316023</v>
      </c>
      <c r="I150" s="377">
        <f t="shared" si="1"/>
        <v>591.19400255555911</v>
      </c>
      <c r="J150" s="377">
        <f t="shared" si="1"/>
        <v>1626.1696563276744</v>
      </c>
      <c r="K150" s="384">
        <f t="shared" si="1"/>
        <v>631.23835533063004</v>
      </c>
    </row>
    <row r="151" spans="1:11">
      <c r="A151" s="230" t="s">
        <v>1868</v>
      </c>
      <c r="B151" s="377">
        <f t="shared" ref="B151:K151" si="2">B$148*B112</f>
        <v>0</v>
      </c>
      <c r="C151" s="377">
        <f t="shared" si="2"/>
        <v>26.532858227563175</v>
      </c>
      <c r="D151" s="377">
        <f t="shared" si="2"/>
        <v>0</v>
      </c>
      <c r="E151" s="377">
        <f t="shared" si="2"/>
        <v>21.973984580186563</v>
      </c>
      <c r="F151" s="377">
        <f t="shared" si="2"/>
        <v>0</v>
      </c>
      <c r="G151" s="377">
        <f t="shared" si="2"/>
        <v>20.870661213986985</v>
      </c>
      <c r="H151" s="377">
        <f t="shared" si="2"/>
        <v>0</v>
      </c>
      <c r="I151" s="377">
        <f t="shared" si="2"/>
        <v>0</v>
      </c>
      <c r="J151" s="377">
        <f t="shared" si="2"/>
        <v>100.5072483650026</v>
      </c>
      <c r="K151" s="384">
        <f t="shared" si="2"/>
        <v>73.978153344274119</v>
      </c>
    </row>
    <row r="152" spans="1:11">
      <c r="A152" s="230" t="s">
        <v>1869</v>
      </c>
      <c r="B152" s="377">
        <f t="shared" ref="B152:K152" si="3">B$148*B113</f>
        <v>56.035146783036723</v>
      </c>
      <c r="C152" s="377">
        <f t="shared" si="3"/>
        <v>90.598600454521232</v>
      </c>
      <c r="D152" s="377">
        <f t="shared" si="3"/>
        <v>167.43784638200697</v>
      </c>
      <c r="E152" s="377">
        <f t="shared" si="3"/>
        <v>89.350704513528754</v>
      </c>
      <c r="F152" s="377">
        <f t="shared" si="3"/>
        <v>162.62410119594423</v>
      </c>
      <c r="G152" s="377">
        <f t="shared" si="3"/>
        <v>91.871494786897173</v>
      </c>
      <c r="H152" s="377">
        <f t="shared" si="3"/>
        <v>0</v>
      </c>
      <c r="I152" s="377">
        <f t="shared" si="3"/>
        <v>66.809140312533955</v>
      </c>
      <c r="J152" s="377">
        <f t="shared" si="3"/>
        <v>0.18584133153129864</v>
      </c>
      <c r="K152" s="384">
        <f t="shared" si="3"/>
        <v>68.846430790233896</v>
      </c>
    </row>
    <row r="153" spans="1:11">
      <c r="A153" s="230" t="s">
        <v>282</v>
      </c>
      <c r="B153" s="377">
        <f t="shared" ref="B153:K153" si="4">B$148*B114</f>
        <v>137.45396221799808</v>
      </c>
      <c r="C153" s="377">
        <f t="shared" si="4"/>
        <v>173.47877748733995</v>
      </c>
      <c r="D153" s="377">
        <f t="shared" si="4"/>
        <v>83.703692350396196</v>
      </c>
      <c r="E153" s="377">
        <f t="shared" si="4"/>
        <v>156.52158117699307</v>
      </c>
      <c r="F153" s="377">
        <f t="shared" si="4"/>
        <v>83.355775840592983</v>
      </c>
      <c r="G153" s="377">
        <f t="shared" si="4"/>
        <v>133.07487923941434</v>
      </c>
      <c r="H153" s="377">
        <f t="shared" si="4"/>
        <v>80.770121912978439</v>
      </c>
      <c r="I153" s="377">
        <f t="shared" si="4"/>
        <v>157.264415570718</v>
      </c>
      <c r="J153" s="377">
        <f t="shared" si="4"/>
        <v>110.69273194555504</v>
      </c>
      <c r="K153" s="384">
        <f t="shared" si="4"/>
        <v>175.270169980052</v>
      </c>
    </row>
    <row r="154" spans="1:11">
      <c r="A154" s="230" t="s">
        <v>283</v>
      </c>
      <c r="B154" s="377">
        <f t="shared" ref="B154:K154" si="5">B$148*B115</f>
        <v>243.93473465053088</v>
      </c>
      <c r="C154" s="377">
        <f t="shared" si="5"/>
        <v>362.46610738933322</v>
      </c>
      <c r="D154" s="377">
        <f t="shared" si="5"/>
        <v>300.55447102836922</v>
      </c>
      <c r="E154" s="377">
        <f t="shared" si="5"/>
        <v>379.05947842882875</v>
      </c>
      <c r="F154" s="377">
        <f t="shared" si="5"/>
        <v>296.73645943110387</v>
      </c>
      <c r="G154" s="377">
        <f t="shared" si="5"/>
        <v>392.20169569163789</v>
      </c>
      <c r="H154" s="377">
        <f t="shared" si="5"/>
        <v>285.6164523281584</v>
      </c>
      <c r="I154" s="377">
        <f t="shared" si="5"/>
        <v>380.59152694787645</v>
      </c>
      <c r="J154" s="377">
        <f t="shared" si="5"/>
        <v>226.60139159667537</v>
      </c>
      <c r="K154" s="384">
        <f t="shared" si="5"/>
        <v>356.87799220189919</v>
      </c>
    </row>
    <row r="155" spans="1:11">
      <c r="A155" s="230" t="s">
        <v>284</v>
      </c>
      <c r="B155" s="377">
        <f t="shared" ref="B155:K155" si="6">B$148*B116</f>
        <v>70.41017488702299</v>
      </c>
      <c r="C155" s="377">
        <f t="shared" si="6"/>
        <v>79.590642497518502</v>
      </c>
      <c r="D155" s="377">
        <f t="shared" si="6"/>
        <v>123.77348770108543</v>
      </c>
      <c r="E155" s="377">
        <f t="shared" si="6"/>
        <v>129.1128328639488</v>
      </c>
      <c r="F155" s="377">
        <f t="shared" si="6"/>
        <v>124.7312984944309</v>
      </c>
      <c r="G155" s="377">
        <f t="shared" si="6"/>
        <v>129.60898114442708</v>
      </c>
      <c r="H155" s="377">
        <f t="shared" si="6"/>
        <v>168.94462367518676</v>
      </c>
      <c r="I155" s="377">
        <f t="shared" si="6"/>
        <v>175.35928724689072</v>
      </c>
      <c r="J155" s="377">
        <f t="shared" si="6"/>
        <v>98.959344662177926</v>
      </c>
      <c r="K155" s="384">
        <f t="shared" si="6"/>
        <v>120.23755721681087</v>
      </c>
    </row>
    <row r="156" spans="1:11">
      <c r="A156" s="661" t="s">
        <v>54</v>
      </c>
      <c r="B156" s="377">
        <f t="shared" ref="B156:K156" si="7">B$148*B117</f>
        <v>0</v>
      </c>
      <c r="C156" s="377">
        <f t="shared" si="7"/>
        <v>0</v>
      </c>
      <c r="D156" s="377">
        <f t="shared" si="7"/>
        <v>0</v>
      </c>
      <c r="E156" s="377">
        <f t="shared" si="7"/>
        <v>0</v>
      </c>
      <c r="F156" s="377">
        <f t="shared" si="7"/>
        <v>0</v>
      </c>
      <c r="G156" s="377">
        <f t="shared" si="7"/>
        <v>0</v>
      </c>
      <c r="H156" s="377">
        <f t="shared" si="7"/>
        <v>0</v>
      </c>
      <c r="I156" s="377">
        <f t="shared" si="7"/>
        <v>0</v>
      </c>
      <c r="J156" s="377">
        <f t="shared" si="7"/>
        <v>0</v>
      </c>
      <c r="K156" s="384">
        <f t="shared" si="7"/>
        <v>0</v>
      </c>
    </row>
    <row r="157" spans="1:11">
      <c r="A157" s="230" t="s">
        <v>56</v>
      </c>
      <c r="B157" s="377">
        <f t="shared" ref="B157:K157" si="8">B$148*B118</f>
        <v>0.75642059514562765</v>
      </c>
      <c r="C157" s="377">
        <f t="shared" si="8"/>
        <v>9.7859827798183154</v>
      </c>
      <c r="D157" s="377">
        <f t="shared" si="8"/>
        <v>0.67181961885795149</v>
      </c>
      <c r="E157" s="377">
        <f t="shared" si="8"/>
        <v>9.384333614045957</v>
      </c>
      <c r="F157" s="377">
        <f t="shared" si="8"/>
        <v>0.66890653500979103</v>
      </c>
      <c r="G157" s="377">
        <f t="shared" si="8"/>
        <v>9.0956365871750613</v>
      </c>
      <c r="H157" s="377">
        <f t="shared" si="8"/>
        <v>0.64891095354964978</v>
      </c>
      <c r="I157" s="377">
        <f t="shared" si="8"/>
        <v>8.7875497434147967</v>
      </c>
      <c r="J157" s="377">
        <f t="shared" si="8"/>
        <v>0.69506982479626545</v>
      </c>
      <c r="K157" s="384">
        <f t="shared" si="8"/>
        <v>11.772291350051104</v>
      </c>
    </row>
    <row r="158" spans="1:11">
      <c r="A158" s="230" t="s">
        <v>58</v>
      </c>
      <c r="B158" s="377">
        <f t="shared" ref="B158:K158" si="9">B$148*B119</f>
        <v>69.583151120989214</v>
      </c>
      <c r="C158" s="377">
        <f t="shared" si="9"/>
        <v>83.724519338445575</v>
      </c>
      <c r="D158" s="377">
        <f t="shared" si="9"/>
        <v>61.80070501126206</v>
      </c>
      <c r="E158" s="377">
        <f t="shared" si="9"/>
        <v>78.202780117049642</v>
      </c>
      <c r="F158" s="377">
        <f t="shared" si="9"/>
        <v>61.532730348838129</v>
      </c>
      <c r="G158" s="377">
        <f t="shared" si="9"/>
        <v>73.775718984864397</v>
      </c>
      <c r="H158" s="377">
        <f t="shared" si="9"/>
        <v>59.693336266468926</v>
      </c>
      <c r="I158" s="377">
        <f t="shared" si="9"/>
        <v>70.300397947318373</v>
      </c>
      <c r="J158" s="377">
        <f t="shared" si="9"/>
        <v>61.987581317832984</v>
      </c>
      <c r="K158" s="384">
        <f t="shared" si="9"/>
        <v>94.17833080040883</v>
      </c>
    </row>
    <row r="159" spans="1:11">
      <c r="A159" s="230" t="s">
        <v>285</v>
      </c>
      <c r="B159" s="377">
        <f t="shared" ref="B159:K159" si="10">B$148*B120</f>
        <v>452.83697478535873</v>
      </c>
      <c r="C159" s="377">
        <f t="shared" si="10"/>
        <v>364.7234903970247</v>
      </c>
      <c r="D159" s="377">
        <f t="shared" si="10"/>
        <v>389.34282217030068</v>
      </c>
      <c r="E159" s="377">
        <f t="shared" si="10"/>
        <v>334.14592897161083</v>
      </c>
      <c r="F159" s="377">
        <f t="shared" si="10"/>
        <v>389.4524197804954</v>
      </c>
      <c r="G159" s="377">
        <f t="shared" si="10"/>
        <v>340.76183545411089</v>
      </c>
      <c r="H159" s="377">
        <f t="shared" si="10"/>
        <v>379.89217259270401</v>
      </c>
      <c r="I159" s="377">
        <f t="shared" si="10"/>
        <v>350.69533515508465</v>
      </c>
      <c r="J159" s="377">
        <f t="shared" si="10"/>
        <v>408.46670814357412</v>
      </c>
      <c r="K159" s="384">
        <f t="shared" si="10"/>
        <v>379.44058519056546</v>
      </c>
    </row>
    <row r="160" spans="1:11">
      <c r="A160" s="230" t="s">
        <v>61</v>
      </c>
      <c r="B160" s="377">
        <f t="shared" ref="B160:K160" si="11">B$148*B121+$A$136*(B$140*4)*$A$144</f>
        <v>276.06579686378774</v>
      </c>
      <c r="C160" s="377">
        <f t="shared" si="11"/>
        <v>234.90802360559468</v>
      </c>
      <c r="D160" s="377">
        <f t="shared" si="11"/>
        <v>263.24431391710038</v>
      </c>
      <c r="E160" s="377">
        <f t="shared" si="11"/>
        <v>226.45951037075139</v>
      </c>
      <c r="F160" s="377">
        <f t="shared" si="11"/>
        <v>262.5297731688085</v>
      </c>
      <c r="G160" s="377">
        <f t="shared" si="11"/>
        <v>225.72123206147091</v>
      </c>
      <c r="H160" s="377">
        <f t="shared" si="11"/>
        <v>248.74011439343218</v>
      </c>
      <c r="I160" s="377">
        <f t="shared" si="11"/>
        <v>220.05088339339002</v>
      </c>
      <c r="J160" s="377">
        <f t="shared" si="11"/>
        <v>267.76866069585151</v>
      </c>
      <c r="K160" s="384">
        <f t="shared" si="11"/>
        <v>234.85530683445393</v>
      </c>
    </row>
    <row r="161" spans="1:11">
      <c r="A161" s="661" t="s">
        <v>286</v>
      </c>
      <c r="B161" s="377">
        <f t="shared" ref="B161:K161" si="12">B$148*B122</f>
        <v>0</v>
      </c>
      <c r="C161" s="377">
        <f t="shared" si="12"/>
        <v>414.27327101230873</v>
      </c>
      <c r="D161" s="377">
        <f t="shared" si="12"/>
        <v>0</v>
      </c>
      <c r="E161" s="377">
        <f t="shared" si="12"/>
        <v>413.95338275291618</v>
      </c>
      <c r="F161" s="377">
        <f t="shared" si="12"/>
        <v>0</v>
      </c>
      <c r="G161" s="377">
        <f t="shared" si="12"/>
        <v>416.37803043512508</v>
      </c>
      <c r="H161" s="377">
        <f t="shared" si="12"/>
        <v>0</v>
      </c>
      <c r="I161" s="377">
        <f t="shared" si="12"/>
        <v>415.94402118830038</v>
      </c>
      <c r="J161" s="377">
        <f t="shared" si="12"/>
        <v>0</v>
      </c>
      <c r="K161" s="384">
        <f t="shared" si="12"/>
        <v>553.29769345240197</v>
      </c>
    </row>
    <row r="162" spans="1:11" ht="25.5">
      <c r="A162" s="592" t="s">
        <v>287</v>
      </c>
      <c r="B162" s="377">
        <f t="shared" ref="B162:K162" si="13">B$148*B123</f>
        <v>0</v>
      </c>
      <c r="C162" s="377">
        <f t="shared" si="13"/>
        <v>0</v>
      </c>
      <c r="D162" s="377">
        <f t="shared" si="13"/>
        <v>0</v>
      </c>
      <c r="E162" s="377">
        <f t="shared" si="13"/>
        <v>0</v>
      </c>
      <c r="F162" s="377">
        <f t="shared" si="13"/>
        <v>0</v>
      </c>
      <c r="G162" s="377">
        <f t="shared" si="13"/>
        <v>0</v>
      </c>
      <c r="H162" s="377">
        <f t="shared" si="13"/>
        <v>0</v>
      </c>
      <c r="I162" s="377">
        <f t="shared" si="13"/>
        <v>0</v>
      </c>
      <c r="J162" s="377">
        <f t="shared" si="13"/>
        <v>196.88412852969816</v>
      </c>
      <c r="K162" s="384">
        <f t="shared" si="13"/>
        <v>128.63096397273614</v>
      </c>
    </row>
    <row r="163" spans="1:11">
      <c r="A163" s="230" t="s">
        <v>288</v>
      </c>
      <c r="B163" s="377">
        <f t="shared" ref="B163:K163" si="14">B$148*B124</f>
        <v>25.742077151607727</v>
      </c>
      <c r="C163" s="377">
        <f t="shared" si="14"/>
        <v>46.20499175081401</v>
      </c>
      <c r="D163" s="377">
        <f t="shared" si="14"/>
        <v>12.846799094244707</v>
      </c>
      <c r="E163" s="377">
        <f t="shared" si="14"/>
        <v>51.171957972271493</v>
      </c>
      <c r="F163" s="377">
        <f t="shared" si="14"/>
        <v>12.791093958682243</v>
      </c>
      <c r="G163" s="377">
        <f t="shared" si="14"/>
        <v>55.066239706112</v>
      </c>
      <c r="H163" s="377">
        <f t="shared" si="14"/>
        <v>12.408730582293034</v>
      </c>
      <c r="I163" s="377">
        <f t="shared" si="14"/>
        <v>60.273463542829553</v>
      </c>
      <c r="J163" s="377">
        <f t="shared" si="14"/>
        <v>32.660384676858584</v>
      </c>
      <c r="K163" s="384">
        <f t="shared" si="14"/>
        <v>75.495267958868368</v>
      </c>
    </row>
    <row r="164" spans="1:11">
      <c r="A164" s="230" t="s">
        <v>48</v>
      </c>
      <c r="B164" s="377">
        <f t="shared" ref="B164:K164" si="15">B$148*B125</f>
        <v>0</v>
      </c>
      <c r="C164" s="377">
        <f t="shared" si="15"/>
        <v>0</v>
      </c>
      <c r="D164" s="377">
        <f t="shared" si="15"/>
        <v>0</v>
      </c>
      <c r="E164" s="377">
        <f t="shared" si="15"/>
        <v>0</v>
      </c>
      <c r="F164" s="377">
        <f t="shared" si="15"/>
        <v>0</v>
      </c>
      <c r="G164" s="377">
        <f t="shared" si="15"/>
        <v>0</v>
      </c>
      <c r="H164" s="377">
        <f t="shared" si="15"/>
        <v>0</v>
      </c>
      <c r="I164" s="377">
        <f t="shared" si="15"/>
        <v>0</v>
      </c>
      <c r="J164" s="377">
        <f t="shared" si="15"/>
        <v>4.6529115135795426E-3</v>
      </c>
      <c r="K164" s="384">
        <f t="shared" si="15"/>
        <v>3.5471228402685511E-3</v>
      </c>
    </row>
    <row r="165" spans="1:11">
      <c r="A165" s="230" t="s">
        <v>1870</v>
      </c>
      <c r="B165" s="377">
        <f t="shared" ref="B165:K165" si="16">B$148*B126</f>
        <v>0</v>
      </c>
      <c r="C165" s="377">
        <f t="shared" si="16"/>
        <v>0</v>
      </c>
      <c r="D165" s="377">
        <f t="shared" si="16"/>
        <v>0</v>
      </c>
      <c r="E165" s="377">
        <f t="shared" si="16"/>
        <v>0</v>
      </c>
      <c r="F165" s="377">
        <f t="shared" si="16"/>
        <v>0</v>
      </c>
      <c r="G165" s="377">
        <f t="shared" si="16"/>
        <v>0</v>
      </c>
      <c r="H165" s="377">
        <f t="shared" si="16"/>
        <v>0</v>
      </c>
      <c r="I165" s="377">
        <f t="shared" si="16"/>
        <v>0</v>
      </c>
      <c r="J165" s="377">
        <f t="shared" si="16"/>
        <v>1.5079250048969692</v>
      </c>
      <c r="K165" s="384">
        <f t="shared" si="16"/>
        <v>1.1495587678105683</v>
      </c>
    </row>
    <row r="166" spans="1:11">
      <c r="A166" s="230" t="s">
        <v>290</v>
      </c>
      <c r="B166" s="377">
        <f t="shared" ref="B166:K166" si="17">B$148*B127</f>
        <v>0</v>
      </c>
      <c r="C166" s="377">
        <f t="shared" si="17"/>
        <v>0</v>
      </c>
      <c r="D166" s="377">
        <f t="shared" si="17"/>
        <v>0</v>
      </c>
      <c r="E166" s="377">
        <f t="shared" si="17"/>
        <v>0</v>
      </c>
      <c r="F166" s="377">
        <f t="shared" si="17"/>
        <v>0</v>
      </c>
      <c r="G166" s="377">
        <f t="shared" si="17"/>
        <v>0</v>
      </c>
      <c r="H166" s="377">
        <f t="shared" si="17"/>
        <v>0</v>
      </c>
      <c r="I166" s="377">
        <f t="shared" si="17"/>
        <v>0</v>
      </c>
      <c r="J166" s="377">
        <f t="shared" si="17"/>
        <v>5.2062811447277886</v>
      </c>
      <c r="K166" s="384">
        <f t="shared" si="17"/>
        <v>3.9689812942770319</v>
      </c>
    </row>
    <row r="167" spans="1:11">
      <c r="A167" s="230" t="s">
        <v>1871</v>
      </c>
      <c r="B167" s="377">
        <f t="shared" ref="B167:K167" si="18">B$148*B128</f>
        <v>0</v>
      </c>
      <c r="C167" s="377">
        <f t="shared" si="18"/>
        <v>0</v>
      </c>
      <c r="D167" s="377">
        <f t="shared" si="18"/>
        <v>0</v>
      </c>
      <c r="E167" s="377">
        <f t="shared" si="18"/>
        <v>0</v>
      </c>
      <c r="F167" s="377">
        <f t="shared" si="18"/>
        <v>0</v>
      </c>
      <c r="G167" s="377">
        <f t="shared" si="18"/>
        <v>0</v>
      </c>
      <c r="H167" s="377">
        <f t="shared" si="18"/>
        <v>0</v>
      </c>
      <c r="I167" s="377">
        <f t="shared" si="18"/>
        <v>0</v>
      </c>
      <c r="J167" s="377">
        <f t="shared" si="18"/>
        <v>6.2402344142288548</v>
      </c>
      <c r="K167" s="384">
        <f t="shared" si="18"/>
        <v>4.7572101800647344</v>
      </c>
    </row>
    <row r="168" spans="1:11">
      <c r="A168" s="230" t="s">
        <v>1872</v>
      </c>
      <c r="B168" s="377">
        <f t="shared" ref="B168:K168" si="19">B$148*B129</f>
        <v>0</v>
      </c>
      <c r="C168" s="377">
        <f t="shared" si="19"/>
        <v>0</v>
      </c>
      <c r="D168" s="377">
        <f t="shared" si="19"/>
        <v>0</v>
      </c>
      <c r="E168" s="377">
        <f t="shared" si="19"/>
        <v>0</v>
      </c>
      <c r="F168" s="377">
        <f t="shared" si="19"/>
        <v>0</v>
      </c>
      <c r="G168" s="377">
        <f t="shared" si="19"/>
        <v>0</v>
      </c>
      <c r="H168" s="377">
        <f t="shared" si="19"/>
        <v>0</v>
      </c>
      <c r="I168" s="377">
        <f t="shared" si="19"/>
        <v>0</v>
      </c>
      <c r="J168" s="377">
        <f t="shared" si="19"/>
        <v>0</v>
      </c>
      <c r="K168" s="384">
        <f t="shared" si="19"/>
        <v>0</v>
      </c>
    </row>
    <row r="169" spans="1:11">
      <c r="A169" s="230" t="s">
        <v>63</v>
      </c>
      <c r="B169" s="377">
        <f t="shared" ref="B169:K169" si="20">B$148*B130</f>
        <v>9.0830331321523679E-3</v>
      </c>
      <c r="C169" s="377">
        <f t="shared" si="20"/>
        <v>2.211071518963598E-2</v>
      </c>
      <c r="D169" s="377">
        <f t="shared" si="20"/>
        <v>1.395315386516725E-2</v>
      </c>
      <c r="E169" s="377">
        <f t="shared" si="20"/>
        <v>1.3733740362616603E-2</v>
      </c>
      <c r="F169" s="377">
        <f t="shared" si="20"/>
        <v>1.4265272034731951E-2</v>
      </c>
      <c r="G169" s="377">
        <f t="shared" si="20"/>
        <v>1.3913774142657992E-2</v>
      </c>
      <c r="H169" s="377">
        <f t="shared" si="20"/>
        <v>0</v>
      </c>
      <c r="I169" s="377">
        <f t="shared" si="20"/>
        <v>0</v>
      </c>
      <c r="J169" s="377">
        <f t="shared" si="20"/>
        <v>4.2982088520427085E-2</v>
      </c>
      <c r="K169" s="384">
        <f t="shared" si="20"/>
        <v>3.2767171150426655E-2</v>
      </c>
    </row>
    <row r="170" spans="1:11">
      <c r="A170" s="661" t="s">
        <v>83</v>
      </c>
      <c r="B170" s="377">
        <f t="shared" ref="B170:K170" si="21">B$148*B131</f>
        <v>0</v>
      </c>
      <c r="C170" s="377">
        <f t="shared" si="21"/>
        <v>0</v>
      </c>
      <c r="D170" s="377">
        <f t="shared" si="21"/>
        <v>0</v>
      </c>
      <c r="E170" s="377">
        <f t="shared" si="21"/>
        <v>0</v>
      </c>
      <c r="F170" s="377">
        <f t="shared" si="21"/>
        <v>0</v>
      </c>
      <c r="G170" s="377">
        <f t="shared" si="21"/>
        <v>0</v>
      </c>
      <c r="H170" s="377">
        <f t="shared" si="21"/>
        <v>0</v>
      </c>
      <c r="I170" s="377">
        <f t="shared" si="21"/>
        <v>0</v>
      </c>
      <c r="J170" s="377">
        <f t="shared" si="21"/>
        <v>3.0525735285223088</v>
      </c>
      <c r="K170" s="384">
        <f t="shared" si="21"/>
        <v>2.0086769429874942</v>
      </c>
    </row>
    <row r="171" spans="1:11">
      <c r="A171" s="661" t="s">
        <v>293</v>
      </c>
      <c r="B171" s="377">
        <f t="shared" ref="B171:K171" si="22">B$148*B132</f>
        <v>0</v>
      </c>
      <c r="C171" s="377">
        <f t="shared" si="22"/>
        <v>0</v>
      </c>
      <c r="D171" s="377">
        <f t="shared" si="22"/>
        <v>0</v>
      </c>
      <c r="E171" s="377">
        <f t="shared" si="22"/>
        <v>0</v>
      </c>
      <c r="F171" s="377">
        <f t="shared" si="22"/>
        <v>0</v>
      </c>
      <c r="G171" s="377">
        <f t="shared" si="22"/>
        <v>0</v>
      </c>
      <c r="H171" s="377">
        <f t="shared" si="22"/>
        <v>0</v>
      </c>
      <c r="I171" s="377">
        <f t="shared" si="22"/>
        <v>0</v>
      </c>
      <c r="J171" s="377">
        <f t="shared" si="22"/>
        <v>0.66362793093569672</v>
      </c>
      <c r="K171" s="384">
        <f t="shared" si="22"/>
        <v>0.50591329415831332</v>
      </c>
    </row>
    <row r="172" spans="1:11">
      <c r="A172" s="589" t="s">
        <v>294</v>
      </c>
      <c r="B172" s="386">
        <f t="shared" ref="B172:K172" si="23">B$148*B133</f>
        <v>13.487313233877455</v>
      </c>
      <c r="C172" s="386">
        <f t="shared" si="23"/>
        <v>58.491062107592413</v>
      </c>
      <c r="D172" s="386">
        <f t="shared" si="23"/>
        <v>19.431435522655899</v>
      </c>
      <c r="E172" s="386">
        <f t="shared" si="23"/>
        <v>63.332977505087428</v>
      </c>
      <c r="F172" s="386">
        <f t="shared" si="23"/>
        <v>19.468331910261576</v>
      </c>
      <c r="G172" s="386">
        <f t="shared" si="23"/>
        <v>61.323837826227191</v>
      </c>
      <c r="H172" s="386">
        <f t="shared" si="23"/>
        <v>31.645691656214822</v>
      </c>
      <c r="I172" s="386">
        <f t="shared" si="23"/>
        <v>70.250193527283741</v>
      </c>
      <c r="J172" s="386">
        <f t="shared" si="23"/>
        <v>37.456010075549521</v>
      </c>
      <c r="K172" s="388">
        <f t="shared" si="23"/>
        <v>89.693843934525688</v>
      </c>
    </row>
    <row r="173" spans="1:11">
      <c r="A173" s="238" t="s">
        <v>1501</v>
      </c>
      <c r="B173" s="871"/>
      <c r="C173" s="871"/>
      <c r="D173" s="871"/>
      <c r="E173" s="871"/>
      <c r="F173" s="871"/>
      <c r="G173" s="871"/>
      <c r="H173" s="871"/>
      <c r="I173" s="871"/>
      <c r="J173" s="392"/>
      <c r="K173" s="394"/>
    </row>
    <row r="174" spans="1:11">
      <c r="A174" s="230" t="s">
        <v>816</v>
      </c>
      <c r="B174" s="377">
        <f ca="1">B$150*Mat_Sum!$D15+B$151*Mat_Sum!$E15+B$152*Mat_Sum!$F15+B$153*Mat_Sum!$I15+B$154*Mat_Sum!$L15+B$155*Mat_Sum!$AG15+B$156*Mat_Sum!$AH15+B$157*Mat_Sum!$AK15+B$158*Mat_Sum!$AM15+B$159*Mat_Sum!$AR15+B$163*Mat_Sum!$AS15+B$160*Mat_Sum!$AV15+B$161*Mat_Sum!$AT15+B$162*Mat_Sum!$AU15+B$164*Mat_Sum!$U15+B$165*Mat_Sum!$BH15+B$166*Mat_Sum!$BG15+B$167*Mat_Sum!$BJ15+B$168*Mat_Sum!$BI15+B$169*Mat_Sum!$AW15+B$170*Mat_Sum!$CN15+B$171*Mat_Sum!$CF15</f>
        <v>61.900994038678526</v>
      </c>
      <c r="C174" s="377">
        <f ca="1">C$150*Mat_Sum!$D15+C$151*Mat_Sum!$E15+C$152*Mat_Sum!$F15+C$153*Mat_Sum!$I15+C$154*Mat_Sum!$L15+C$155*Mat_Sum!$AG15+C$156*Mat_Sum!$AH15+C$157*Mat_Sum!$AK15+C$158*Mat_Sum!$AM15+C$159*Mat_Sum!$AR15+C$163*Mat_Sum!$AS15+C$160*Mat_Sum!$AV15+C$161*Mat_Sum!$AT15+C$162*Mat_Sum!$AU15+C$164*Mat_Sum!$U15+C$165*Mat_Sum!$BH15+C$166*Mat_Sum!$BG15+C$167*Mat_Sum!$BJ15+C$168*Mat_Sum!$BI15+C$169*Mat_Sum!$AW15+C$170*Mat_Sum!$CN15+C$171*Mat_Sum!$CF15</f>
        <v>97.134833847607368</v>
      </c>
      <c r="D174" s="377">
        <f ca="1">D$150*Mat_Sum!$D15+D$151*Mat_Sum!$E15+D$152*Mat_Sum!$F15+D$153*Mat_Sum!$I15+D$154*Mat_Sum!$L15+D$155*Mat_Sum!$AG15+D$156*Mat_Sum!$AH15+D$157*Mat_Sum!$AK15+D$158*Mat_Sum!$AM15+D$159*Mat_Sum!$AR15+D$163*Mat_Sum!$AS15+D$160*Mat_Sum!$AV15+D$161*Mat_Sum!$AT15+D$162*Mat_Sum!$AU15+D$164*Mat_Sum!$U15+D$165*Mat_Sum!$BH15+D$166*Mat_Sum!$BG15+D$167*Mat_Sum!$BJ15+D$168*Mat_Sum!$BI15+D$169*Mat_Sum!$AW15+D$170*Mat_Sum!$CN15+D$171*Mat_Sum!$CF15</f>
        <v>60.329878794075512</v>
      </c>
      <c r="E174" s="377">
        <f ca="1">E$150*Mat_Sum!$D15+E$151*Mat_Sum!$E15+E$152*Mat_Sum!$F15+E$153*Mat_Sum!$I15+E$154*Mat_Sum!$L15+E$155*Mat_Sum!$AG15+E$156*Mat_Sum!$AH15+E$157*Mat_Sum!$AK15+E$158*Mat_Sum!$AM15+E$159*Mat_Sum!$AR15+E$163*Mat_Sum!$AS15+E$160*Mat_Sum!$AV15+E$161*Mat_Sum!$AT15+E$162*Mat_Sum!$AU15+E$164*Mat_Sum!$U15+E$165*Mat_Sum!$BH15+E$166*Mat_Sum!$BG15+E$167*Mat_Sum!$BJ15+E$168*Mat_Sum!$BI15+E$169*Mat_Sum!$AW15+E$170*Mat_Sum!$CN15+E$171*Mat_Sum!$CF15</f>
        <v>97.348886438157663</v>
      </c>
      <c r="F174" s="377">
        <f ca="1">F$150*Mat_Sum!$D15+F$151*Mat_Sum!$E15+F$152*Mat_Sum!$F15+F$153*Mat_Sum!$I15+F$154*Mat_Sum!$L15+F$155*Mat_Sum!$AG15+F$156*Mat_Sum!$AH15+F$157*Mat_Sum!$AK15+F$158*Mat_Sum!$AM15+F$159*Mat_Sum!$AR15+F$163*Mat_Sum!$AS15+F$160*Mat_Sum!$AV15+F$161*Mat_Sum!$AT15+F$162*Mat_Sum!$AU15+F$164*Mat_Sum!$U15+F$165*Mat_Sum!$BH15+F$166*Mat_Sum!$BG15+F$167*Mat_Sum!$BJ15+F$168*Mat_Sum!$BI15+F$169*Mat_Sum!$AW15+F$170*Mat_Sum!$CN15+F$171*Mat_Sum!$CF15</f>
        <v>60.328234142615706</v>
      </c>
      <c r="G174" s="377">
        <f ca="1">G$150*Mat_Sum!$D15+G$151*Mat_Sum!$E15+G$152*Mat_Sum!$F15+G$153*Mat_Sum!$I15+G$154*Mat_Sum!$L15+G$155*Mat_Sum!$AG15+G$156*Mat_Sum!$AH15+G$157*Mat_Sum!$AK15+G$158*Mat_Sum!$AM15+G$159*Mat_Sum!$AR15+G$163*Mat_Sum!$AS15+G$160*Mat_Sum!$AV15+G$161*Mat_Sum!$AT15+G$162*Mat_Sum!$AU15+G$164*Mat_Sum!$U15+G$165*Mat_Sum!$BH15+G$166*Mat_Sum!$BG15+G$167*Mat_Sum!$BJ15+G$168*Mat_Sum!$BI15+G$169*Mat_Sum!$AW15+G$170*Mat_Sum!$CN15+G$171*Mat_Sum!$CF15</f>
        <v>97.171985533476672</v>
      </c>
      <c r="H174" s="377">
        <f ca="1">H$150*Mat_Sum!$D15+H$151*Mat_Sum!$E15+H$152*Mat_Sum!$F15+H$153*Mat_Sum!$I15+H$154*Mat_Sum!$L15+H$155*Mat_Sum!$AG15+H$156*Mat_Sum!$AH15+H$157*Mat_Sum!$AK15+H$158*Mat_Sum!$AM15+H$159*Mat_Sum!$AR15+H$163*Mat_Sum!$AS15+H$160*Mat_Sum!$AV15+H$161*Mat_Sum!$AT15+H$162*Mat_Sum!$AU15+H$164*Mat_Sum!$U15+H$165*Mat_Sum!$BH15+H$166*Mat_Sum!$BG15+H$167*Mat_Sum!$BJ15+H$168*Mat_Sum!$BI15+H$169*Mat_Sum!$AW15+H$170*Mat_Sum!$CN15+H$171*Mat_Sum!$CF15</f>
        <v>54.281809065430117</v>
      </c>
      <c r="I174" s="377">
        <f ca="1">I$150*Mat_Sum!$D15+I$151*Mat_Sum!$E15+I$152*Mat_Sum!$F15+I$153*Mat_Sum!$I15+I$154*Mat_Sum!$L15+I$155*Mat_Sum!$AG15+I$156*Mat_Sum!$AH15+I$157*Mat_Sum!$AK15+I$158*Mat_Sum!$AM15+I$159*Mat_Sum!$AR15+I$163*Mat_Sum!$AS15+I$160*Mat_Sum!$AV15+I$161*Mat_Sum!$AT15+I$162*Mat_Sum!$AU15+I$164*Mat_Sum!$U15+I$165*Mat_Sum!$BH15+I$166*Mat_Sum!$BG15+I$167*Mat_Sum!$BJ15+I$168*Mat_Sum!$BI15+I$169*Mat_Sum!$AW15+I$170*Mat_Sum!$CN15+I$171*Mat_Sum!$CF15</f>
        <v>94.209572374227363</v>
      </c>
      <c r="J174" s="377">
        <f ca="1">J$150*Mat_Sum!$D15+J$151*Mat_Sum!$E15+J$152*Mat_Sum!$F15+J$153*Mat_Sum!$I15+J$154*Mat_Sum!$L15+J$155*Mat_Sum!$AG15+J$156*Mat_Sum!$AH15+J$157*Mat_Sum!$AK15+J$158*Mat_Sum!$AM15+J$159*Mat_Sum!$AR15+J$163*Mat_Sum!$AS15+J$160*Mat_Sum!$AV15+J$161*Mat_Sum!$AT15+J$162*Mat_Sum!$AU15+J$164*Mat_Sum!$U15+J$165*Mat_Sum!$BH15+J$166*Mat_Sum!$BG15+J$167*Mat_Sum!$BJ15+J$168*Mat_Sum!$BI15+J$169*Mat_Sum!$AW15+J$170*Mat_Sum!$CN15+J$171*Mat_Sum!$CF15</f>
        <v>96.139966167784422</v>
      </c>
      <c r="K174" s="384">
        <f ca="1">K$150*Mat_Sum!$D15+K$151*Mat_Sum!$E15+K$152*Mat_Sum!$F15+K$153*Mat_Sum!$I15+K$154*Mat_Sum!$L15+K$155*Mat_Sum!$AG15+K$156*Mat_Sum!$AH15+K$157*Mat_Sum!$AK15+K$158*Mat_Sum!$AM15+K$159*Mat_Sum!$AR15+K$163*Mat_Sum!$AS15+K$160*Mat_Sum!$AV15+K$161*Mat_Sum!$AT15+K$162*Mat_Sum!$AU15+K$164*Mat_Sum!$U15+K$165*Mat_Sum!$BH15+K$166*Mat_Sum!$BG15+K$167*Mat_Sum!$BJ15+K$168*Mat_Sum!$BI15+K$169*Mat_Sum!$AW15+K$170*Mat_Sum!$CN15+K$171*Mat_Sum!$CF15</f>
        <v>138.4175661378946</v>
      </c>
    </row>
    <row r="175" spans="1:11">
      <c r="A175" s="230" t="s">
        <v>817</v>
      </c>
      <c r="B175" s="377">
        <f ca="1">B$150*Mat_Sum!$D16+B$151*Mat_Sum!$E16+B$152*Mat_Sum!$F16+B$153*Mat_Sum!$I16+B$154*Mat_Sum!$L16+B$155*Mat_Sum!$AG16+B$156*Mat_Sum!$AH16+B$157*Mat_Sum!$AK16+B$158*Mat_Sum!$AM16+B$159*Mat_Sum!$AR16+B$163*Mat_Sum!$AS16+B$160*Mat_Sum!$AV16+B$161*Mat_Sum!$AT16+B$162*Mat_Sum!$AU16+B$164*Mat_Sum!$U16+B$165*Mat_Sum!$BH16+B$166*Mat_Sum!$BG16+B$167*Mat_Sum!$BJ16+B$168*Mat_Sum!$BI16+B$169*Mat_Sum!$AW16+B$170*Mat_Sum!$CN16+B$171*Mat_Sum!$CF16</f>
        <v>55.524800287290148</v>
      </c>
      <c r="C175" s="377">
        <f ca="1">C$150*Mat_Sum!$D16+C$151*Mat_Sum!$E16+C$152*Mat_Sum!$F16+C$153*Mat_Sum!$I16+C$154*Mat_Sum!$L16+C$155*Mat_Sum!$AG16+C$156*Mat_Sum!$AH16+C$157*Mat_Sum!$AK16+C$158*Mat_Sum!$AM16+C$159*Mat_Sum!$AR16+C$163*Mat_Sum!$AS16+C$160*Mat_Sum!$AV16+C$161*Mat_Sum!$AT16+C$162*Mat_Sum!$AU16+C$164*Mat_Sum!$U16+C$165*Mat_Sum!$BH16+C$166*Mat_Sum!$BG16+C$167*Mat_Sum!$BJ16+C$168*Mat_Sum!$BI16+C$169*Mat_Sum!$AW16+C$170*Mat_Sum!$CN16+C$171*Mat_Sum!$CF16</f>
        <v>86.826500567906066</v>
      </c>
      <c r="D175" s="377">
        <f ca="1">D$150*Mat_Sum!$D16+D$151*Mat_Sum!$E16+D$152*Mat_Sum!$F16+D$153*Mat_Sum!$I16+D$154*Mat_Sum!$L16+D$155*Mat_Sum!$AG16+D$156*Mat_Sum!$AH16+D$157*Mat_Sum!$AK16+D$158*Mat_Sum!$AM16+D$159*Mat_Sum!$AR16+D$163*Mat_Sum!$AS16+D$160*Mat_Sum!$AV16+D$161*Mat_Sum!$AT16+D$162*Mat_Sum!$AU16+D$164*Mat_Sum!$U16+D$165*Mat_Sum!$BH16+D$166*Mat_Sum!$BG16+D$167*Mat_Sum!$BJ16+D$168*Mat_Sum!$BI16+D$169*Mat_Sum!$AW16+D$170*Mat_Sum!$CN16+D$171*Mat_Sum!$CF16</f>
        <v>54.587603118249007</v>
      </c>
      <c r="E175" s="377">
        <f ca="1">E$150*Mat_Sum!$D16+E$151*Mat_Sum!$E16+E$152*Mat_Sum!$F16+E$153*Mat_Sum!$I16+E$154*Mat_Sum!$L16+E$155*Mat_Sum!$AG16+E$156*Mat_Sum!$AH16+E$157*Mat_Sum!$AK16+E$158*Mat_Sum!$AM16+E$159*Mat_Sum!$AR16+E$163*Mat_Sum!$AS16+E$160*Mat_Sum!$AV16+E$161*Mat_Sum!$AT16+E$162*Mat_Sum!$AU16+E$164*Mat_Sum!$U16+E$165*Mat_Sum!$BH16+E$166*Mat_Sum!$BG16+E$167*Mat_Sum!$BJ16+E$168*Mat_Sum!$BI16+E$169*Mat_Sum!$AW16+E$170*Mat_Sum!$CN16+E$171*Mat_Sum!$CF16</f>
        <v>87.114467312211076</v>
      </c>
      <c r="F175" s="377">
        <f ca="1">F$150*Mat_Sum!$D16+F$151*Mat_Sum!$E16+F$152*Mat_Sum!$F16+F$153*Mat_Sum!$I16+F$154*Mat_Sum!$L16+F$155*Mat_Sum!$AG16+F$156*Mat_Sum!$AH16+F$157*Mat_Sum!$AK16+F$158*Mat_Sum!$AM16+F$159*Mat_Sum!$AR16+F$163*Mat_Sum!$AS16+F$160*Mat_Sum!$AV16+F$161*Mat_Sum!$AT16+F$162*Mat_Sum!$AU16+F$164*Mat_Sum!$U16+F$165*Mat_Sum!$BH16+F$166*Mat_Sum!$BG16+F$167*Mat_Sum!$BJ16+F$168*Mat_Sum!$BI16+F$169*Mat_Sum!$AW16+F$170*Mat_Sum!$CN16+F$171*Mat_Sum!$CF16</f>
        <v>54.601380419397458</v>
      </c>
      <c r="G175" s="377">
        <f ca="1">G$150*Mat_Sum!$D16+G$151*Mat_Sum!$E16+G$152*Mat_Sum!$F16+G$153*Mat_Sum!$I16+G$154*Mat_Sum!$L16+G$155*Mat_Sum!$AG16+G$156*Mat_Sum!$AH16+G$157*Mat_Sum!$AK16+G$158*Mat_Sum!$AM16+G$159*Mat_Sum!$AR16+G$163*Mat_Sum!$AS16+G$160*Mat_Sum!$AV16+G$161*Mat_Sum!$AT16+G$162*Mat_Sum!$AU16+G$164*Mat_Sum!$U16+G$165*Mat_Sum!$BH16+G$166*Mat_Sum!$BG16+G$167*Mat_Sum!$BJ16+G$168*Mat_Sum!$BI16+G$169*Mat_Sum!$AW16+G$170*Mat_Sum!$CN16+G$171*Mat_Sum!$CF16</f>
        <v>87.272024189612551</v>
      </c>
      <c r="H175" s="377">
        <f ca="1">H$150*Mat_Sum!$D16+H$151*Mat_Sum!$E16+H$152*Mat_Sum!$F16+H$153*Mat_Sum!$I16+H$154*Mat_Sum!$L16+H$155*Mat_Sum!$AG16+H$156*Mat_Sum!$AH16+H$157*Mat_Sum!$AK16+H$158*Mat_Sum!$AM16+H$159*Mat_Sum!$AR16+H$163*Mat_Sum!$AS16+H$160*Mat_Sum!$AV16+H$161*Mat_Sum!$AT16+H$162*Mat_Sum!$AU16+H$164*Mat_Sum!$U16+H$165*Mat_Sum!$BH16+H$166*Mat_Sum!$BG16+H$167*Mat_Sum!$BJ16+H$168*Mat_Sum!$BI16+H$169*Mat_Sum!$AW16+H$170*Mat_Sum!$CN16+H$171*Mat_Sum!$CF16</f>
        <v>48.838224195840802</v>
      </c>
      <c r="I175" s="377">
        <f ca="1">I$150*Mat_Sum!$D16+I$151*Mat_Sum!$E16+I$152*Mat_Sum!$F16+I$153*Mat_Sum!$I16+I$154*Mat_Sum!$L16+I$155*Mat_Sum!$AG16+I$156*Mat_Sum!$AH16+I$157*Mat_Sum!$AK16+I$158*Mat_Sum!$AM16+I$159*Mat_Sum!$AR16+I$163*Mat_Sum!$AS16+I$160*Mat_Sum!$AV16+I$161*Mat_Sum!$AT16+I$162*Mat_Sum!$AU16+I$164*Mat_Sum!$U16+I$165*Mat_Sum!$BH16+I$166*Mat_Sum!$BG16+I$167*Mat_Sum!$BJ16+I$168*Mat_Sum!$BI16+I$169*Mat_Sum!$AW16+I$170*Mat_Sum!$CN16+I$171*Mat_Sum!$CF16</f>
        <v>84.110273857477978</v>
      </c>
      <c r="J175" s="377">
        <f ca="1">J$150*Mat_Sum!$D16+J$151*Mat_Sum!$E16+J$152*Mat_Sum!$F16+J$153*Mat_Sum!$I16+J$154*Mat_Sum!$L16+J$155*Mat_Sum!$AG16+J$156*Mat_Sum!$AH16+J$157*Mat_Sum!$AK16+J$158*Mat_Sum!$AM16+J$159*Mat_Sum!$AR16+J$163*Mat_Sum!$AS16+J$160*Mat_Sum!$AV16+J$161*Mat_Sum!$AT16+J$162*Mat_Sum!$AU16+J$164*Mat_Sum!$U16+J$165*Mat_Sum!$BH16+J$166*Mat_Sum!$BG16+J$167*Mat_Sum!$BJ16+J$168*Mat_Sum!$BI16+J$169*Mat_Sum!$AW16+J$170*Mat_Sum!$CN16+J$171*Mat_Sum!$CF16</f>
        <v>85.597386521145552</v>
      </c>
      <c r="K175" s="384">
        <f ca="1">K$150*Mat_Sum!$D16+K$151*Mat_Sum!$E16+K$152*Mat_Sum!$F16+K$153*Mat_Sum!$I16+K$154*Mat_Sum!$L16+K$155*Mat_Sum!$AG16+K$156*Mat_Sum!$AH16+K$157*Mat_Sum!$AK16+K$158*Mat_Sum!$AM16+K$159*Mat_Sum!$AR16+K$163*Mat_Sum!$AS16+K$160*Mat_Sum!$AV16+K$161*Mat_Sum!$AT16+K$162*Mat_Sum!$AU16+K$164*Mat_Sum!$U16+K$165*Mat_Sum!$BH16+K$166*Mat_Sum!$BG16+K$167*Mat_Sum!$BJ16+K$168*Mat_Sum!$BI16+K$169*Mat_Sum!$AW16+K$170*Mat_Sum!$CN16+K$171*Mat_Sum!$CF16</f>
        <v>123.71107963373827</v>
      </c>
    </row>
    <row r="176" spans="1:11">
      <c r="A176" s="230" t="s">
        <v>805</v>
      </c>
      <c r="B176" s="377">
        <f ca="1">B$150*Mat_Sum!$D17+B$151*Mat_Sum!$E17+B$152*Mat_Sum!$F17+B$153*Mat_Sum!$I17+B$154*Mat_Sum!$L17+B$155*Mat_Sum!$AG17+B$156*Mat_Sum!$AH17+B$157*Mat_Sum!$AK17+B$158*Mat_Sum!$AM17+B$159*Mat_Sum!$AR17+B$163*Mat_Sum!$AS17+B$160*Mat_Sum!$AV17+B$161*Mat_Sum!$AT17+B$162*Mat_Sum!$AU17+B$164*Mat_Sum!$U17+B$165*Mat_Sum!$BH17+B$166*Mat_Sum!$BG17+B$167*Mat_Sum!$BJ17+B$168*Mat_Sum!$BI17+B$169*Mat_Sum!$AW17+B$170*Mat_Sum!$CN17+B$171*Mat_Sum!$CF17</f>
        <v>19.065346309674595</v>
      </c>
      <c r="C176" s="377">
        <f ca="1">C$150*Mat_Sum!$D17+C$151*Mat_Sum!$E17+C$152*Mat_Sum!$F17+C$153*Mat_Sum!$I17+C$154*Mat_Sum!$L17+C$155*Mat_Sum!$AG17+C$156*Mat_Sum!$AH17+C$157*Mat_Sum!$AK17+C$158*Mat_Sum!$AM17+C$159*Mat_Sum!$AR17+C$163*Mat_Sum!$AS17+C$160*Mat_Sum!$AV17+C$161*Mat_Sum!$AT17+C$162*Mat_Sum!$AU17+C$164*Mat_Sum!$U17+C$165*Mat_Sum!$BH17+C$166*Mat_Sum!$BG17+C$167*Mat_Sum!$BJ17+C$168*Mat_Sum!$BI17+C$169*Mat_Sum!$AW17+C$170*Mat_Sum!$CN17+C$171*Mat_Sum!$CF17</f>
        <v>17.077554473173727</v>
      </c>
      <c r="D176" s="377">
        <f ca="1">D$150*Mat_Sum!$D17+D$151*Mat_Sum!$E17+D$152*Mat_Sum!$F17+D$153*Mat_Sum!$I17+D$154*Mat_Sum!$L17+D$155*Mat_Sum!$AG17+D$156*Mat_Sum!$AH17+D$157*Mat_Sum!$AK17+D$158*Mat_Sum!$AM17+D$159*Mat_Sum!$AR17+D$163*Mat_Sum!$AS17+D$160*Mat_Sum!$AV17+D$161*Mat_Sum!$AT17+D$162*Mat_Sum!$AU17+D$164*Mat_Sum!$U17+D$165*Mat_Sum!$BH17+D$166*Mat_Sum!$BG17+D$167*Mat_Sum!$BJ17+D$168*Mat_Sum!$BI17+D$169*Mat_Sum!$AW17+D$170*Mat_Sum!$CN17+D$171*Mat_Sum!$CF17</f>
        <v>20.242139702774502</v>
      </c>
      <c r="E176" s="377">
        <f ca="1">E$150*Mat_Sum!$D17+E$151*Mat_Sum!$E17+E$152*Mat_Sum!$F17+E$153*Mat_Sum!$I17+E$154*Mat_Sum!$L17+E$155*Mat_Sum!$AG17+E$156*Mat_Sum!$AH17+E$157*Mat_Sum!$AK17+E$158*Mat_Sum!$AM17+E$159*Mat_Sum!$AR17+E$163*Mat_Sum!$AS17+E$160*Mat_Sum!$AV17+E$161*Mat_Sum!$AT17+E$162*Mat_Sum!$AU17+E$164*Mat_Sum!$U17+E$165*Mat_Sum!$BH17+E$166*Mat_Sum!$BG17+E$167*Mat_Sum!$BJ17+E$168*Mat_Sum!$BI17+E$169*Mat_Sum!$AW17+E$170*Mat_Sum!$CN17+E$171*Mat_Sum!$CF17</f>
        <v>17.83678320840605</v>
      </c>
      <c r="F176" s="377">
        <f ca="1">F$150*Mat_Sum!$D17+F$151*Mat_Sum!$E17+F$152*Mat_Sum!$F17+F$153*Mat_Sum!$I17+F$154*Mat_Sum!$L17+F$155*Mat_Sum!$AG17+F$156*Mat_Sum!$AH17+F$157*Mat_Sum!$AK17+F$158*Mat_Sum!$AM17+F$159*Mat_Sum!$AR17+F$163*Mat_Sum!$AS17+F$160*Mat_Sum!$AV17+F$161*Mat_Sum!$AT17+F$162*Mat_Sum!$AU17+F$164*Mat_Sum!$U17+F$165*Mat_Sum!$BH17+F$166*Mat_Sum!$BG17+F$167*Mat_Sum!$BJ17+F$168*Mat_Sum!$BI17+F$169*Mat_Sum!$AW17+F$170*Mat_Sum!$CN17+F$171*Mat_Sum!$CF17</f>
        <v>20.288597869269744</v>
      </c>
      <c r="G176" s="377">
        <f ca="1">G$150*Mat_Sum!$D17+G$151*Mat_Sum!$E17+G$152*Mat_Sum!$F17+G$153*Mat_Sum!$I17+G$154*Mat_Sum!$L17+G$155*Mat_Sum!$AG17+G$156*Mat_Sum!$AH17+G$157*Mat_Sum!$AK17+G$158*Mat_Sum!$AM17+G$159*Mat_Sum!$AR17+G$163*Mat_Sum!$AS17+G$160*Mat_Sum!$AV17+G$161*Mat_Sum!$AT17+G$162*Mat_Sum!$AU17+G$164*Mat_Sum!$U17+G$165*Mat_Sum!$BH17+G$166*Mat_Sum!$BG17+G$167*Mat_Sum!$BJ17+G$168*Mat_Sum!$BI17+G$169*Mat_Sum!$AW17+G$170*Mat_Sum!$CN17+G$171*Mat_Sum!$CF17</f>
        <v>17.780050051519208</v>
      </c>
      <c r="H176" s="377">
        <f ca="1">H$150*Mat_Sum!$D17+H$151*Mat_Sum!$E17+H$152*Mat_Sum!$F17+H$153*Mat_Sum!$I17+H$154*Mat_Sum!$L17+H$155*Mat_Sum!$AG17+H$156*Mat_Sum!$AH17+H$157*Mat_Sum!$AK17+H$158*Mat_Sum!$AM17+H$159*Mat_Sum!$AR17+H$163*Mat_Sum!$AS17+H$160*Mat_Sum!$AV17+H$161*Mat_Sum!$AT17+H$162*Mat_Sum!$AU17+H$164*Mat_Sum!$U17+H$165*Mat_Sum!$BH17+H$166*Mat_Sum!$BG17+H$167*Mat_Sum!$BJ17+H$168*Mat_Sum!$BI17+H$169*Mat_Sum!$AW17+H$170*Mat_Sum!$CN17+H$171*Mat_Sum!$CF17</f>
        <v>16.578060862912714</v>
      </c>
      <c r="I176" s="377">
        <f ca="1">I$150*Mat_Sum!$D17+I$151*Mat_Sum!$E17+I$152*Mat_Sum!$F17+I$153*Mat_Sum!$I17+I$154*Mat_Sum!$L17+I$155*Mat_Sum!$AG17+I$156*Mat_Sum!$AH17+I$157*Mat_Sum!$AK17+I$158*Mat_Sum!$AM17+I$159*Mat_Sum!$AR17+I$163*Mat_Sum!$AS17+I$160*Mat_Sum!$AV17+I$161*Mat_Sum!$AT17+I$162*Mat_Sum!$AU17+I$164*Mat_Sum!$U17+I$165*Mat_Sum!$BH17+I$166*Mat_Sum!$BG17+I$167*Mat_Sum!$BJ17+I$168*Mat_Sum!$BI17+I$169*Mat_Sum!$AW17+I$170*Mat_Sum!$CN17+I$171*Mat_Sum!$CF17</f>
        <v>14.952061560552171</v>
      </c>
      <c r="J176" s="377">
        <f ca="1">J$150*Mat_Sum!$D17+J$151*Mat_Sum!$E17+J$152*Mat_Sum!$F17+J$153*Mat_Sum!$I17+J$154*Mat_Sum!$L17+J$155*Mat_Sum!$AG17+J$156*Mat_Sum!$AH17+J$157*Mat_Sum!$AK17+J$158*Mat_Sum!$AM17+J$159*Mat_Sum!$AR17+J$163*Mat_Sum!$AS17+J$160*Mat_Sum!$AV17+J$161*Mat_Sum!$AT17+J$162*Mat_Sum!$AU17+J$164*Mat_Sum!$U17+J$165*Mat_Sum!$BH17+J$166*Mat_Sum!$BG17+J$167*Mat_Sum!$BJ17+J$168*Mat_Sum!$BI17+J$169*Mat_Sum!$AW17+J$170*Mat_Sum!$CN17+J$171*Mat_Sum!$CF17</f>
        <v>22.309488218298121</v>
      </c>
      <c r="K176" s="384">
        <f ca="1">K$150*Mat_Sum!$D17+K$151*Mat_Sum!$E17+K$152*Mat_Sum!$F17+K$153*Mat_Sum!$I17+K$154*Mat_Sum!$L17+K$155*Mat_Sum!$AG17+K$156*Mat_Sum!$AH17+K$157*Mat_Sum!$AK17+K$158*Mat_Sum!$AM17+K$159*Mat_Sum!$AR17+K$163*Mat_Sum!$AS17+K$160*Mat_Sum!$AV17+K$161*Mat_Sum!$AT17+K$162*Mat_Sum!$AU17+K$164*Mat_Sum!$U17+K$165*Mat_Sum!$BH17+K$166*Mat_Sum!$BG17+K$167*Mat_Sum!$BJ17+K$168*Mat_Sum!$BI17+K$169*Mat_Sum!$AW17+K$170*Mat_Sum!$CN17+K$171*Mat_Sum!$CF17</f>
        <v>20.715490436625569</v>
      </c>
    </row>
    <row r="177" spans="1:33">
      <c r="A177" s="230" t="s">
        <v>804</v>
      </c>
      <c r="B177" s="377">
        <f ca="1">B$150*Mat_Sum!$D18+B$151*Mat_Sum!$E18+B$152*Mat_Sum!$F18+B$153*Mat_Sum!$I18+B$154*Mat_Sum!$L18+B$155*Mat_Sum!$AG18+B$156*Mat_Sum!$AH18+B$157*Mat_Sum!$AK18+B$158*Mat_Sum!$AM18+B$159*Mat_Sum!$AR18+B$163*Mat_Sum!$AS18+B$160*Mat_Sum!$AV18+B$161*Mat_Sum!$AT18+B$162*Mat_Sum!$AU18+B$164*Mat_Sum!$U18+B$165*Mat_Sum!$BH18+B$166*Mat_Sum!$BG18+B$167*Mat_Sum!$BJ18+B$168*Mat_Sum!$BI18+B$169*Mat_Sum!$AW18+B$170*Mat_Sum!$CN18+B$171*Mat_Sum!$CF18</f>
        <v>27.382490925133038</v>
      </c>
      <c r="C177" s="377">
        <f ca="1">C$150*Mat_Sum!$D18+C$151*Mat_Sum!$E18+C$152*Mat_Sum!$F18+C$153*Mat_Sum!$I18+C$154*Mat_Sum!$L18+C$155*Mat_Sum!$AG18+C$156*Mat_Sum!$AH18+C$157*Mat_Sum!$AK18+C$158*Mat_Sum!$AM18+C$159*Mat_Sum!$AR18+C$163*Mat_Sum!$AS18+C$160*Mat_Sum!$AV18+C$161*Mat_Sum!$AT18+C$162*Mat_Sum!$AU18+C$164*Mat_Sum!$U18+C$165*Mat_Sum!$BH18+C$166*Mat_Sum!$BG18+C$167*Mat_Sum!$BJ18+C$168*Mat_Sum!$BI18+C$169*Mat_Sum!$AW18+C$170*Mat_Sum!$CN18+C$171*Mat_Sum!$CF18</f>
        <v>50.353589745418169</v>
      </c>
      <c r="D177" s="377">
        <f ca="1">D$150*Mat_Sum!$D18+D$151*Mat_Sum!$E18+D$152*Mat_Sum!$F18+D$153*Mat_Sum!$I18+D$154*Mat_Sum!$L18+D$155*Mat_Sum!$AG18+D$156*Mat_Sum!$AH18+D$157*Mat_Sum!$AK18+D$158*Mat_Sum!$AM18+D$159*Mat_Sum!$AR18+D$163*Mat_Sum!$AS18+D$160*Mat_Sum!$AV18+D$161*Mat_Sum!$AT18+D$162*Mat_Sum!$AU18+D$164*Mat_Sum!$U18+D$165*Mat_Sum!$BH18+D$166*Mat_Sum!$BG18+D$167*Mat_Sum!$BJ18+D$168*Mat_Sum!$BI18+D$169*Mat_Sum!$AW18+D$170*Mat_Sum!$CN18+D$171*Mat_Sum!$CF18</f>
        <v>26.18648133404373</v>
      </c>
      <c r="E177" s="377">
        <f ca="1">E$150*Mat_Sum!$D18+E$151*Mat_Sum!$E18+E$152*Mat_Sum!$F18+E$153*Mat_Sum!$I18+E$154*Mat_Sum!$L18+E$155*Mat_Sum!$AG18+E$156*Mat_Sum!$AH18+E$157*Mat_Sum!$AK18+E$158*Mat_Sum!$AM18+E$159*Mat_Sum!$AR18+E$163*Mat_Sum!$AS18+E$160*Mat_Sum!$AV18+E$161*Mat_Sum!$AT18+E$162*Mat_Sum!$AU18+E$164*Mat_Sum!$U18+E$165*Mat_Sum!$BH18+E$166*Mat_Sum!$BG18+E$167*Mat_Sum!$BJ18+E$168*Mat_Sum!$BI18+E$169*Mat_Sum!$AW18+E$170*Mat_Sum!$CN18+E$171*Mat_Sum!$CF18</f>
        <v>50.24249817281742</v>
      </c>
      <c r="F177" s="377">
        <f ca="1">F$150*Mat_Sum!$D18+F$151*Mat_Sum!$E18+F$152*Mat_Sum!$F18+F$153*Mat_Sum!$I18+F$154*Mat_Sum!$L18+F$155*Mat_Sum!$AG18+F$156*Mat_Sum!$AH18+F$157*Mat_Sum!$AK18+F$158*Mat_Sum!$AM18+F$159*Mat_Sum!$AR18+F$163*Mat_Sum!$AS18+F$160*Mat_Sum!$AV18+F$161*Mat_Sum!$AT18+F$162*Mat_Sum!$AU18+F$164*Mat_Sum!$U18+F$165*Mat_Sum!$BH18+F$166*Mat_Sum!$BG18+F$167*Mat_Sum!$BJ18+F$168*Mat_Sum!$BI18+F$169*Mat_Sum!$AW18+F$170*Mat_Sum!$CN18+F$171*Mat_Sum!$CF18</f>
        <v>26.169821816681061</v>
      </c>
      <c r="G177" s="377">
        <f ca="1">G$150*Mat_Sum!$D18+G$151*Mat_Sum!$E18+G$152*Mat_Sum!$F18+G$153*Mat_Sum!$I18+G$154*Mat_Sum!$L18+G$155*Mat_Sum!$AG18+G$156*Mat_Sum!$AH18+G$157*Mat_Sum!$AK18+G$158*Mat_Sum!$AM18+G$159*Mat_Sum!$AR18+G$163*Mat_Sum!$AS18+G$160*Mat_Sum!$AV18+G$161*Mat_Sum!$AT18+G$162*Mat_Sum!$AU18+G$164*Mat_Sum!$U18+G$165*Mat_Sum!$BH18+G$166*Mat_Sum!$BG18+G$167*Mat_Sum!$BJ18+G$168*Mat_Sum!$BI18+G$169*Mat_Sum!$AW18+G$170*Mat_Sum!$CN18+G$171*Mat_Sum!$CF18</f>
        <v>50.421545710094939</v>
      </c>
      <c r="H177" s="377">
        <f ca="1">H$150*Mat_Sum!$D18+H$151*Mat_Sum!$E18+H$152*Mat_Sum!$F18+H$153*Mat_Sum!$I18+H$154*Mat_Sum!$L18+H$155*Mat_Sum!$AG18+H$156*Mat_Sum!$AH18+H$157*Mat_Sum!$AK18+H$158*Mat_Sum!$AM18+H$159*Mat_Sum!$AR18+H$163*Mat_Sum!$AS18+H$160*Mat_Sum!$AV18+H$161*Mat_Sum!$AT18+H$162*Mat_Sum!$AU18+H$164*Mat_Sum!$U18+H$165*Mat_Sum!$BH18+H$166*Mat_Sum!$BG18+H$167*Mat_Sum!$BJ18+H$168*Mat_Sum!$BI18+H$169*Mat_Sum!$AW18+H$170*Mat_Sum!$CN18+H$171*Mat_Sum!$CF18</f>
        <v>24.379843801560749</v>
      </c>
      <c r="I177" s="377">
        <f ca="1">I$150*Mat_Sum!$D18+I$151*Mat_Sum!$E18+I$152*Mat_Sum!$F18+I$153*Mat_Sum!$I18+I$154*Mat_Sum!$L18+I$155*Mat_Sum!$AG18+I$156*Mat_Sum!$AH18+I$157*Mat_Sum!$AK18+I$158*Mat_Sum!$AM18+I$159*Mat_Sum!$AR18+I$163*Mat_Sum!$AS18+I$160*Mat_Sum!$AV18+I$161*Mat_Sum!$AT18+I$162*Mat_Sum!$AU18+I$164*Mat_Sum!$U18+I$165*Mat_Sum!$BH18+I$166*Mat_Sum!$BG18+I$167*Mat_Sum!$BJ18+I$168*Mat_Sum!$BI18+I$169*Mat_Sum!$AW18+I$170*Mat_Sum!$CN18+I$171*Mat_Sum!$CF18</f>
        <v>49.758794172890092</v>
      </c>
      <c r="J177" s="377">
        <f ca="1">J$150*Mat_Sum!$D18+J$151*Mat_Sum!$E18+J$152*Mat_Sum!$F18+J$153*Mat_Sum!$I18+J$154*Mat_Sum!$L18+J$155*Mat_Sum!$AG18+J$156*Mat_Sum!$AH18+J$157*Mat_Sum!$AK18+J$158*Mat_Sum!$AM18+J$159*Mat_Sum!$AR18+J$163*Mat_Sum!$AS18+J$160*Mat_Sum!$AV18+J$161*Mat_Sum!$AT18+J$162*Mat_Sum!$AU18+J$164*Mat_Sum!$U18+J$165*Mat_Sum!$BH18+J$166*Mat_Sum!$BG18+J$167*Mat_Sum!$BJ18+J$168*Mat_Sum!$BI18+J$169*Mat_Sum!$AW18+J$170*Mat_Sum!$CN18+J$171*Mat_Sum!$CF18</f>
        <v>45.624361805422566</v>
      </c>
      <c r="K177" s="384">
        <f ca="1">K$150*Mat_Sum!$D18+K$151*Mat_Sum!$E18+K$152*Mat_Sum!$F18+K$153*Mat_Sum!$I18+K$154*Mat_Sum!$L18+K$155*Mat_Sum!$AG18+K$156*Mat_Sum!$AH18+K$157*Mat_Sum!$AK18+K$158*Mat_Sum!$AM18+K$159*Mat_Sum!$AR18+K$163*Mat_Sum!$AS18+K$160*Mat_Sum!$AV18+K$161*Mat_Sum!$AT18+K$162*Mat_Sum!$AU18+K$164*Mat_Sum!$U18+K$165*Mat_Sum!$BH18+K$166*Mat_Sum!$BG18+K$167*Mat_Sum!$BJ18+K$168*Mat_Sum!$BI18+K$169*Mat_Sum!$AW18+K$170*Mat_Sum!$CN18+K$171*Mat_Sum!$CF18</f>
        <v>73.298993690380854</v>
      </c>
    </row>
    <row r="178" spans="1:33">
      <c r="A178" s="230" t="s">
        <v>818</v>
      </c>
      <c r="B178" s="377">
        <f ca="1">B$150*Mat_Sum!$D19+B$151*Mat_Sum!$E19+B$152*Mat_Sum!$F19+B$153*Mat_Sum!$I19+B$154*Mat_Sum!$L19+B$155*Mat_Sum!$AG19+B$156*Mat_Sum!$AH19+B$157*Mat_Sum!$AK19+B$158*Mat_Sum!$AM19+B$159*Mat_Sum!$AR19+B$163*Mat_Sum!$AS19+B$160*Mat_Sum!$AV19+B$161*Mat_Sum!$AT19+B$162*Mat_Sum!$AU19+B$164*Mat_Sum!$U19+B$165*Mat_Sum!$BH19+B$166*Mat_Sum!$BG19+B$167*Mat_Sum!$BJ19+B$168*Mat_Sum!$BI19+B$169*Mat_Sum!$AW19+B$170*Mat_Sum!$CN19+B$171*Mat_Sum!$CF19</f>
        <v>9.0769630524825118</v>
      </c>
      <c r="C178" s="377">
        <f ca="1">C$150*Mat_Sum!$D19+C$151*Mat_Sum!$E19+C$152*Mat_Sum!$F19+C$153*Mat_Sum!$I19+C$154*Mat_Sum!$L19+C$155*Mat_Sum!$AG19+C$156*Mat_Sum!$AH19+C$157*Mat_Sum!$AK19+C$158*Mat_Sum!$AM19+C$159*Mat_Sum!$AR19+C$163*Mat_Sum!$AS19+C$160*Mat_Sum!$AV19+C$161*Mat_Sum!$AT19+C$162*Mat_Sum!$AU19+C$164*Mat_Sum!$U19+C$165*Mat_Sum!$BH19+C$166*Mat_Sum!$BG19+C$167*Mat_Sum!$BJ19+C$168*Mat_Sum!$BI19+C$169*Mat_Sum!$AW19+C$170*Mat_Sum!$CN19+C$171*Mat_Sum!$CF19</f>
        <v>19.395356349314177</v>
      </c>
      <c r="D178" s="377">
        <f ca="1">D$150*Mat_Sum!$D19+D$151*Mat_Sum!$E19+D$152*Mat_Sum!$F19+D$153*Mat_Sum!$I19+D$154*Mat_Sum!$L19+D$155*Mat_Sum!$AG19+D$156*Mat_Sum!$AH19+D$157*Mat_Sum!$AK19+D$158*Mat_Sum!$AM19+D$159*Mat_Sum!$AR19+D$163*Mat_Sum!$AS19+D$160*Mat_Sum!$AV19+D$161*Mat_Sum!$AT19+D$162*Mat_Sum!$AU19+D$164*Mat_Sum!$U19+D$165*Mat_Sum!$BH19+D$166*Mat_Sum!$BG19+D$167*Mat_Sum!$BJ19+D$168*Mat_Sum!$BI19+D$169*Mat_Sum!$AW19+D$170*Mat_Sum!$CN19+D$171*Mat_Sum!$CF19</f>
        <v>8.1589820814307803</v>
      </c>
      <c r="E178" s="377">
        <f ca="1">E$150*Mat_Sum!$D19+E$151*Mat_Sum!$E19+E$152*Mat_Sum!$F19+E$153*Mat_Sum!$I19+E$154*Mat_Sum!$L19+E$155*Mat_Sum!$AG19+E$156*Mat_Sum!$AH19+E$157*Mat_Sum!$AK19+E$158*Mat_Sum!$AM19+E$159*Mat_Sum!$AR19+E$163*Mat_Sum!$AS19+E$160*Mat_Sum!$AV19+E$161*Mat_Sum!$AT19+E$162*Mat_Sum!$AU19+E$164*Mat_Sum!$U19+E$165*Mat_Sum!$BH19+E$166*Mat_Sum!$BG19+E$167*Mat_Sum!$BJ19+E$168*Mat_Sum!$BI19+E$169*Mat_Sum!$AW19+E$170*Mat_Sum!$CN19+E$171*Mat_Sum!$CF19</f>
        <v>19.03518593098762</v>
      </c>
      <c r="F178" s="377">
        <f ca="1">F$150*Mat_Sum!$D19+F$151*Mat_Sum!$E19+F$152*Mat_Sum!$F19+F$153*Mat_Sum!$I19+F$154*Mat_Sum!$L19+F$155*Mat_Sum!$AG19+F$156*Mat_Sum!$AH19+F$157*Mat_Sum!$AK19+F$158*Mat_Sum!$AM19+F$159*Mat_Sum!$AR19+F$163*Mat_Sum!$AS19+F$160*Mat_Sum!$AV19+F$161*Mat_Sum!$AT19+F$162*Mat_Sum!$AU19+F$164*Mat_Sum!$U19+F$165*Mat_Sum!$BH19+F$166*Mat_Sum!$BG19+F$167*Mat_Sum!$BJ19+F$168*Mat_Sum!$BI19+F$169*Mat_Sum!$AW19+F$170*Mat_Sum!$CN19+F$171*Mat_Sum!$CF19</f>
        <v>8.1429607334466549</v>
      </c>
      <c r="G178" s="377">
        <f ca="1">G$150*Mat_Sum!$D19+G$151*Mat_Sum!$E19+G$152*Mat_Sum!$F19+G$153*Mat_Sum!$I19+G$154*Mat_Sum!$L19+G$155*Mat_Sum!$AG19+G$156*Mat_Sum!$AH19+G$157*Mat_Sum!$AK19+G$158*Mat_Sum!$AM19+G$159*Mat_Sum!$AR19+G$163*Mat_Sum!$AS19+G$160*Mat_Sum!$AV19+G$161*Mat_Sum!$AT19+G$162*Mat_Sum!$AU19+G$164*Mat_Sum!$U19+G$165*Mat_Sum!$BH19+G$166*Mat_Sum!$BG19+G$167*Mat_Sum!$BJ19+G$168*Mat_Sum!$BI19+G$169*Mat_Sum!$AW19+G$170*Mat_Sum!$CN19+G$171*Mat_Sum!$CF19</f>
        <v>19.070428427998415</v>
      </c>
      <c r="H178" s="377">
        <f ca="1">H$150*Mat_Sum!$D19+H$151*Mat_Sum!$E19+H$152*Mat_Sum!$F19+H$153*Mat_Sum!$I19+H$154*Mat_Sum!$L19+H$155*Mat_Sum!$AG19+H$156*Mat_Sum!$AH19+H$157*Mat_Sum!$AK19+H$158*Mat_Sum!$AM19+H$159*Mat_Sum!$AR19+H$163*Mat_Sum!$AS19+H$160*Mat_Sum!$AV19+H$161*Mat_Sum!$AT19+H$162*Mat_Sum!$AU19+H$164*Mat_Sum!$U19+H$165*Mat_Sum!$BH19+H$166*Mat_Sum!$BG19+H$167*Mat_Sum!$BJ19+H$168*Mat_Sum!$BI19+H$169*Mat_Sum!$AW19+H$170*Mat_Sum!$CN19+H$171*Mat_Sum!$CF19</f>
        <v>7.880319531367344</v>
      </c>
      <c r="I178" s="377">
        <f ca="1">I$150*Mat_Sum!$D19+I$151*Mat_Sum!$E19+I$152*Mat_Sum!$F19+I$153*Mat_Sum!$I19+I$154*Mat_Sum!$L19+I$155*Mat_Sum!$AG19+I$156*Mat_Sum!$AH19+I$157*Mat_Sum!$AK19+I$158*Mat_Sum!$AM19+I$159*Mat_Sum!$AR19+I$163*Mat_Sum!$AS19+I$160*Mat_Sum!$AV19+I$161*Mat_Sum!$AT19+I$162*Mat_Sum!$AU19+I$164*Mat_Sum!$U19+I$165*Mat_Sum!$BH19+I$166*Mat_Sum!$BG19+I$167*Mat_Sum!$BJ19+I$168*Mat_Sum!$BI19+I$169*Mat_Sum!$AW19+I$170*Mat_Sum!$CN19+I$171*Mat_Sum!$CF19</f>
        <v>19.399418124035726</v>
      </c>
      <c r="J178" s="377">
        <f ca="1">J$150*Mat_Sum!$D19+J$151*Mat_Sum!$E19+J$152*Mat_Sum!$F19+J$153*Mat_Sum!$I19+J$154*Mat_Sum!$L19+J$155*Mat_Sum!$AG19+J$156*Mat_Sum!$AH19+J$157*Mat_Sum!$AK19+J$158*Mat_Sum!$AM19+J$159*Mat_Sum!$AR19+J$163*Mat_Sum!$AS19+J$160*Mat_Sum!$AV19+J$161*Mat_Sum!$AT19+J$162*Mat_Sum!$AU19+J$164*Mat_Sum!$U19+J$165*Mat_Sum!$BH19+J$166*Mat_Sum!$BG19+J$167*Mat_Sum!$BJ19+J$168*Mat_Sum!$BI19+J$169*Mat_Sum!$AW19+J$170*Mat_Sum!$CN19+J$171*Mat_Sum!$CF19</f>
        <v>17.663536497424879</v>
      </c>
      <c r="K178" s="384">
        <f ca="1">K$150*Mat_Sum!$D19+K$151*Mat_Sum!$E19+K$152*Mat_Sum!$F19+K$153*Mat_Sum!$I19+K$154*Mat_Sum!$L19+K$155*Mat_Sum!$AG19+K$156*Mat_Sum!$AH19+K$157*Mat_Sum!$AK19+K$158*Mat_Sum!$AM19+K$159*Mat_Sum!$AR19+K$163*Mat_Sum!$AS19+K$160*Mat_Sum!$AV19+K$161*Mat_Sum!$AT19+K$162*Mat_Sum!$AU19+K$164*Mat_Sum!$U19+K$165*Mat_Sum!$BH19+K$166*Mat_Sum!$BG19+K$167*Mat_Sum!$BJ19+K$168*Mat_Sum!$BI19+K$169*Mat_Sum!$AW19+K$170*Mat_Sum!$CN19+K$171*Mat_Sum!$CF19</f>
        <v>29.696595506731843</v>
      </c>
    </row>
    <row r="179" spans="1:33" s="419" customFormat="1">
      <c r="A179" s="668" t="s">
        <v>819</v>
      </c>
      <c r="B179" s="377">
        <f ca="1">B$150*Mat_Sum!$D20+B$151*Mat_Sum!$E20+B$152*Mat_Sum!$F20+B$153*Mat_Sum!$I20+B$154*Mat_Sum!$L20+B$155*Mat_Sum!$AG20+B$156*Mat_Sum!$AH20+B$157*Mat_Sum!$AK20+B$158*Mat_Sum!$AM20+B$159*Mat_Sum!$AR20+B$163*Mat_Sum!$AS20+B$160*Mat_Sum!$AV20+B$161*Mat_Sum!$AT20+B$162*Mat_Sum!$AU20+B$164*Mat_Sum!$U20+B$165*Mat_Sum!$BH20+B$166*Mat_Sum!$BG20+B$167*Mat_Sum!$BJ20+B$168*Mat_Sum!$BI20+B$169*Mat_Sum!$AW20+B$170*Mat_Sum!$CN20+B$171*Mat_Sum!$CF20</f>
        <v>3350.4790160861639</v>
      </c>
      <c r="C179" s="377">
        <f ca="1">C$150*Mat_Sum!$D20+C$151*Mat_Sum!$E20+C$152*Mat_Sum!$F20+C$153*Mat_Sum!$I20+C$154*Mat_Sum!$L20+C$155*Mat_Sum!$AG20+C$156*Mat_Sum!$AH20+C$157*Mat_Sum!$AK20+C$158*Mat_Sum!$AM20+C$159*Mat_Sum!$AR20+C$163*Mat_Sum!$AS20+C$160*Mat_Sum!$AV20+C$161*Mat_Sum!$AT20+C$162*Mat_Sum!$AU20+C$164*Mat_Sum!$U20+C$165*Mat_Sum!$BH20+C$166*Mat_Sum!$BG20+C$167*Mat_Sum!$BJ20+C$168*Mat_Sum!$BI20+C$169*Mat_Sum!$AW20+C$170*Mat_Sum!$CN20+C$171*Mat_Sum!$CF20</f>
        <v>5077.8953125698345</v>
      </c>
      <c r="D179" s="377">
        <f ca="1">D$150*Mat_Sum!$D20+D$151*Mat_Sum!$E20+D$152*Mat_Sum!$F20+D$153*Mat_Sum!$I20+D$154*Mat_Sum!$L20+D$155*Mat_Sum!$AG20+D$156*Mat_Sum!$AH20+D$157*Mat_Sum!$AK20+D$158*Mat_Sum!$AM20+D$159*Mat_Sum!$AR20+D$163*Mat_Sum!$AS20+D$160*Mat_Sum!$AV20+D$161*Mat_Sum!$AT20+D$162*Mat_Sum!$AU20+D$164*Mat_Sum!$U20+D$165*Mat_Sum!$BH20+D$166*Mat_Sum!$BG20+D$167*Mat_Sum!$BJ20+D$168*Mat_Sum!$BI20+D$169*Mat_Sum!$AW20+D$170*Mat_Sum!$CN20+D$171*Mat_Sum!$CF20</f>
        <v>2910.7931718363798</v>
      </c>
      <c r="E179" s="377">
        <f ca="1">E$150*Mat_Sum!$D20+E$151*Mat_Sum!$E20+E$152*Mat_Sum!$F20+E$153*Mat_Sum!$I20+E$154*Mat_Sum!$L20+E$155*Mat_Sum!$AG20+E$156*Mat_Sum!$AH20+E$157*Mat_Sum!$AK20+E$158*Mat_Sum!$AM20+E$159*Mat_Sum!$AR20+E$163*Mat_Sum!$AS20+E$160*Mat_Sum!$AV20+E$161*Mat_Sum!$AT20+E$162*Mat_Sum!$AU20+E$164*Mat_Sum!$U20+E$165*Mat_Sum!$BH20+E$166*Mat_Sum!$BG20+E$167*Mat_Sum!$BJ20+E$168*Mat_Sum!$BI20+E$169*Mat_Sum!$AW20+E$170*Mat_Sum!$CN20+E$171*Mat_Sum!$CF20</f>
        <v>4972.809302013713</v>
      </c>
      <c r="F179" s="377">
        <f ca="1">F$150*Mat_Sum!$D20+F$151*Mat_Sum!$E20+F$152*Mat_Sum!$F20+F$153*Mat_Sum!$I20+F$154*Mat_Sum!$L20+F$155*Mat_Sum!$AG20+F$156*Mat_Sum!$AH20+F$157*Mat_Sum!$AK20+F$158*Mat_Sum!$AM20+F$159*Mat_Sum!$AR20+F$163*Mat_Sum!$AS20+F$160*Mat_Sum!$AV20+F$161*Mat_Sum!$AT20+F$162*Mat_Sum!$AU20+F$164*Mat_Sum!$U20+F$165*Mat_Sum!$BH20+F$166*Mat_Sum!$BG20+F$167*Mat_Sum!$BJ20+F$168*Mat_Sum!$BI20+F$169*Mat_Sum!$AW20+F$170*Mat_Sum!$CN20+F$171*Mat_Sum!$CF20</f>
        <v>2897.7331039388882</v>
      </c>
      <c r="G179" s="377">
        <f ca="1">G$150*Mat_Sum!$D20+G$151*Mat_Sum!$E20+G$152*Mat_Sum!$F20+G$153*Mat_Sum!$I20+G$154*Mat_Sum!$L20+G$155*Mat_Sum!$AG20+G$156*Mat_Sum!$AH20+G$157*Mat_Sum!$AK20+G$158*Mat_Sum!$AM20+G$159*Mat_Sum!$AR20+G$163*Mat_Sum!$AS20+G$160*Mat_Sum!$AV20+G$161*Mat_Sum!$AT20+G$162*Mat_Sum!$AU20+G$164*Mat_Sum!$U20+G$165*Mat_Sum!$BH20+G$166*Mat_Sum!$BG20+G$167*Mat_Sum!$BJ20+G$168*Mat_Sum!$BI20+G$169*Mat_Sum!$AW20+G$170*Mat_Sum!$CN20+G$171*Mat_Sum!$CF20</f>
        <v>4756.7786563072614</v>
      </c>
      <c r="H179" s="377">
        <f ca="1">H$150*Mat_Sum!$D20+H$151*Mat_Sum!$E20+H$152*Mat_Sum!$F20+H$153*Mat_Sum!$I20+H$154*Mat_Sum!$L20+H$155*Mat_Sum!$AG20+H$156*Mat_Sum!$AH20+H$157*Mat_Sum!$AK20+H$158*Mat_Sum!$AM20+H$159*Mat_Sum!$AR20+H$163*Mat_Sum!$AS20+H$160*Mat_Sum!$AV20+H$161*Mat_Sum!$AT20+H$162*Mat_Sum!$AU20+H$164*Mat_Sum!$U20+H$165*Mat_Sum!$BH20+H$166*Mat_Sum!$BG20+H$167*Mat_Sum!$BJ20+H$168*Mat_Sum!$BI20+H$169*Mat_Sum!$AW20+H$170*Mat_Sum!$CN20+H$171*Mat_Sum!$CF20</f>
        <v>2760.7555820442144</v>
      </c>
      <c r="I179" s="377">
        <f ca="1">I$150*Mat_Sum!$D20+I$151*Mat_Sum!$E20+I$152*Mat_Sum!$F20+I$153*Mat_Sum!$I20+I$154*Mat_Sum!$L20+I$155*Mat_Sum!$AG20+I$156*Mat_Sum!$AH20+I$157*Mat_Sum!$AK20+I$158*Mat_Sum!$AM20+I$159*Mat_Sum!$AR20+I$163*Mat_Sum!$AS20+I$160*Mat_Sum!$AV20+I$161*Mat_Sum!$AT20+I$162*Mat_Sum!$AU20+I$164*Mat_Sum!$U20+I$165*Mat_Sum!$BH20+I$166*Mat_Sum!$BG20+I$167*Mat_Sum!$BJ20+I$168*Mat_Sum!$BI20+I$169*Mat_Sum!$AW20+I$170*Mat_Sum!$CN20+I$171*Mat_Sum!$CF20</f>
        <v>4936.9944122393372</v>
      </c>
      <c r="J179" s="377">
        <f ca="1">J$150*Mat_Sum!$D20+J$151*Mat_Sum!$E20+J$152*Mat_Sum!$F20+J$153*Mat_Sum!$I20+J$154*Mat_Sum!$L20+J$155*Mat_Sum!$AG20+J$156*Mat_Sum!$AH20+J$157*Mat_Sum!$AK20+J$158*Mat_Sum!$AM20+J$159*Mat_Sum!$AR20+J$163*Mat_Sum!$AS20+J$160*Mat_Sum!$AV20+J$161*Mat_Sum!$AT20+J$162*Mat_Sum!$AU20+J$164*Mat_Sum!$U20+J$165*Mat_Sum!$BH20+J$166*Mat_Sum!$BG20+J$167*Mat_Sum!$BJ20+J$168*Mat_Sum!$BI20+J$169*Mat_Sum!$AW20+J$170*Mat_Sum!$CN20+J$171*Mat_Sum!$CF20</f>
        <v>4598.233314104903</v>
      </c>
      <c r="K179" s="384">
        <f ca="1">K$150*Mat_Sum!$D20+K$151*Mat_Sum!$E20+K$152*Mat_Sum!$F20+K$153*Mat_Sum!$I20+K$154*Mat_Sum!$L20+K$155*Mat_Sum!$AG20+K$156*Mat_Sum!$AH20+K$157*Mat_Sum!$AK20+K$158*Mat_Sum!$AM20+K$159*Mat_Sum!$AR20+K$163*Mat_Sum!$AS20+K$160*Mat_Sum!$AV20+K$161*Mat_Sum!$AT20+K$162*Mat_Sum!$AU20+K$164*Mat_Sum!$U20+K$165*Mat_Sum!$BH20+K$166*Mat_Sum!$BG20+K$167*Mat_Sum!$BJ20+K$168*Mat_Sum!$BI20+K$169*Mat_Sum!$AW20+K$170*Mat_Sum!$CN20+K$171*Mat_Sum!$CF20</f>
        <v>6602.7265340535378</v>
      </c>
      <c r="L179" s="419" t="s">
        <v>2772</v>
      </c>
      <c r="M179" s="419" t="s">
        <v>2771</v>
      </c>
      <c r="N179" s="419" t="s">
        <v>2772</v>
      </c>
      <c r="O179" s="419" t="s">
        <v>2771</v>
      </c>
      <c r="P179" s="419" t="s">
        <v>2772</v>
      </c>
      <c r="Q179" s="419" t="s">
        <v>2771</v>
      </c>
      <c r="R179" s="419" t="s">
        <v>2772</v>
      </c>
      <c r="S179" s="419" t="s">
        <v>2771</v>
      </c>
    </row>
    <row r="180" spans="1:33">
      <c r="A180" s="238" t="s">
        <v>1520</v>
      </c>
      <c r="B180" s="367"/>
      <c r="C180" s="367"/>
      <c r="D180" s="367"/>
      <c r="E180" s="367"/>
      <c r="F180" s="367"/>
      <c r="G180" s="367"/>
      <c r="H180" s="367"/>
      <c r="I180" s="367"/>
      <c r="J180" s="367"/>
      <c r="K180" s="952"/>
      <c r="L180" s="64" t="s">
        <v>2773</v>
      </c>
      <c r="N180" s="64" t="s">
        <v>194</v>
      </c>
      <c r="P180" s="64" t="s">
        <v>166</v>
      </c>
      <c r="R180" s="64" t="s">
        <v>2774</v>
      </c>
    </row>
    <row r="181" spans="1:33">
      <c r="A181" s="230" t="s">
        <v>821</v>
      </c>
      <c r="B181" s="349">
        <f ca="1">B$150*Mat_Sum!$D22+B$151*Mat_Sum!$E22+B$152*Mat_Sum!$F22+B$153*Mat_Sum!$I22+B$154*Mat_Sum!$L22+B$155*Mat_Sum!$AG22+B$156*Mat_Sum!$AH22+B$157*Mat_Sum!$AK22+B$158*Mat_Sum!$AM22+B$159*Mat_Sum!$AR22+B$163*Mat_Sum!$AS22+B$160*Mat_Sum!$AV22+B$161*Mat_Sum!$AT22+B$162*Mat_Sum!$AU22+B$164*Mat_Sum!$U22+B$165*Mat_Sum!$BH22+B$166*Mat_Sum!$BG22+B$167*Mat_Sum!$BJ22+B$168*Mat_Sum!$BI22+B$169*Mat_Sum!$AW22+B$170*Mat_Sum!$CN22+B$171*Mat_Sum!$CF22</f>
        <v>3404.143968706991</v>
      </c>
      <c r="C181" s="349">
        <f ca="1">C$150*Mat_Sum!$D22+C$151*Mat_Sum!$E22+C$152*Mat_Sum!$F22+C$153*Mat_Sum!$I22+C$154*Mat_Sum!$L22+C$155*Mat_Sum!$AG22+C$156*Mat_Sum!$AH22+C$157*Mat_Sum!$AK22+C$158*Mat_Sum!$AM22+C$159*Mat_Sum!$AR22+C$163*Mat_Sum!$AS22+C$160*Mat_Sum!$AV22+C$161*Mat_Sum!$AT22+C$162*Mat_Sum!$AU22+C$164*Mat_Sum!$U22+C$165*Mat_Sum!$BH22+C$166*Mat_Sum!$BG22+C$167*Mat_Sum!$BJ22+C$168*Mat_Sum!$BI22+C$169*Mat_Sum!$AW22+C$170*Mat_Sum!$CN22+C$171*Mat_Sum!$CF22</f>
        <v>2843.7640683364639</v>
      </c>
      <c r="D181" s="349">
        <f ca="1">D$150*Mat_Sum!$D22+D$151*Mat_Sum!$E22+D$152*Mat_Sum!$F22+D$153*Mat_Sum!$I22+D$154*Mat_Sum!$L22+D$155*Mat_Sum!$AG22+D$156*Mat_Sum!$AH22+D$157*Mat_Sum!$AK22+D$158*Mat_Sum!$AM22+D$159*Mat_Sum!$AR22+D$163*Mat_Sum!$AS22+D$160*Mat_Sum!$AV22+D$161*Mat_Sum!$AT22+D$162*Mat_Sum!$AU22+D$164*Mat_Sum!$U22+D$165*Mat_Sum!$BH22+D$166*Mat_Sum!$BG22+D$167*Mat_Sum!$BJ22+D$168*Mat_Sum!$BI22+D$169*Mat_Sum!$AW22+D$170*Mat_Sum!$CN22+D$171*Mat_Sum!$CF22</f>
        <v>3488.9069215236927</v>
      </c>
      <c r="E181" s="349">
        <f ca="1">E$150*Mat_Sum!$D22+E$151*Mat_Sum!$E22+E$152*Mat_Sum!$F22+E$153*Mat_Sum!$I22+E$154*Mat_Sum!$L22+E$155*Mat_Sum!$AG22+E$156*Mat_Sum!$AH22+E$157*Mat_Sum!$AK22+E$158*Mat_Sum!$AM22+E$159*Mat_Sum!$AR22+E$163*Mat_Sum!$AS22+E$160*Mat_Sum!$AV22+E$161*Mat_Sum!$AT22+E$162*Mat_Sum!$AU22+E$164*Mat_Sum!$U22+E$165*Mat_Sum!$BH22+E$166*Mat_Sum!$BG22+E$167*Mat_Sum!$BJ22+E$168*Mat_Sum!$BI22+E$169*Mat_Sum!$AW22+E$170*Mat_Sum!$CN22+E$171*Mat_Sum!$CF22</f>
        <v>2915.4280070679151</v>
      </c>
      <c r="F181" s="349">
        <f ca="1">F$150*Mat_Sum!$D22+F$151*Mat_Sum!$E22+F$152*Mat_Sum!$F22+F$153*Mat_Sum!$I22+F$154*Mat_Sum!$L22+F$155*Mat_Sum!$AG22+F$156*Mat_Sum!$AH22+F$157*Mat_Sum!$AK22+F$158*Mat_Sum!$AM22+F$159*Mat_Sum!$AR22+F$163*Mat_Sum!$AS22+F$160*Mat_Sum!$AV22+F$161*Mat_Sum!$AT22+F$162*Mat_Sum!$AU22+F$164*Mat_Sum!$U22+F$165*Mat_Sum!$BH22+F$166*Mat_Sum!$BG22+F$167*Mat_Sum!$BJ22+F$168*Mat_Sum!$BI22+F$169*Mat_Sum!$AW22+F$170*Mat_Sum!$CN22+F$171*Mat_Sum!$CF22</f>
        <v>3497.7026545688927</v>
      </c>
      <c r="G181" s="349">
        <f ca="1">G$150*Mat_Sum!$D22+G$151*Mat_Sum!$E22+G$152*Mat_Sum!$F22+G$153*Mat_Sum!$I22+G$154*Mat_Sum!$L22+G$155*Mat_Sum!$AG22+G$156*Mat_Sum!$AH22+G$157*Mat_Sum!$AK22+G$158*Mat_Sum!$AM22+G$159*Mat_Sum!$AR22+G$163*Mat_Sum!$AS22+G$160*Mat_Sum!$AV22+G$161*Mat_Sum!$AT22+G$162*Mat_Sum!$AU22+G$164*Mat_Sum!$U22+G$165*Mat_Sum!$BH22+G$166*Mat_Sum!$BG22+G$167*Mat_Sum!$BJ22+G$168*Mat_Sum!$BI22+G$169*Mat_Sum!$AW22+G$170*Mat_Sum!$CN22+G$171*Mat_Sum!$CF22</f>
        <v>2930.2713082412647</v>
      </c>
      <c r="H181" s="349">
        <f ca="1">H$150*Mat_Sum!$D22+H$151*Mat_Sum!$E22+H$152*Mat_Sum!$F22+H$153*Mat_Sum!$I22+H$154*Mat_Sum!$L22+H$155*Mat_Sum!$AG22+H$156*Mat_Sum!$AH22+H$157*Mat_Sum!$AK22+H$158*Mat_Sum!$AM22+H$159*Mat_Sum!$AR22+H$163*Mat_Sum!$AS22+H$160*Mat_Sum!$AV22+H$161*Mat_Sum!$AT22+H$162*Mat_Sum!$AU22+H$164*Mat_Sum!$U22+H$165*Mat_Sum!$BH22+H$166*Mat_Sum!$BG22+H$167*Mat_Sum!$BJ22+H$168*Mat_Sum!$BI22+H$169*Mat_Sum!$AW22+H$170*Mat_Sum!$CN22+H$171*Mat_Sum!$CF22</f>
        <v>2973.4968345548391</v>
      </c>
      <c r="I181" s="349">
        <f ca="1">I$150*Mat_Sum!$D22+I$151*Mat_Sum!$E22+I$152*Mat_Sum!$F22+I$153*Mat_Sum!$I22+I$154*Mat_Sum!$L22+I$155*Mat_Sum!$AG22+I$156*Mat_Sum!$AH22+I$157*Mat_Sum!$AK22+I$158*Mat_Sum!$AM22+I$159*Mat_Sum!$AR22+I$163*Mat_Sum!$AS22+I$160*Mat_Sum!$AV22+I$161*Mat_Sum!$AT22+I$162*Mat_Sum!$AU22+I$164*Mat_Sum!$U22+I$165*Mat_Sum!$BH22+I$166*Mat_Sum!$BG22+I$167*Mat_Sum!$BJ22+I$168*Mat_Sum!$BI22+I$169*Mat_Sum!$AW22+I$170*Mat_Sum!$CN22+I$171*Mat_Sum!$CF22</f>
        <v>2454.3047967574666</v>
      </c>
      <c r="J181" s="349">
        <f ca="1">J$150*Mat_Sum!$D22+J$151*Mat_Sum!$E22+J$152*Mat_Sum!$F22+J$153*Mat_Sum!$I22+J$154*Mat_Sum!$L22+J$155*Mat_Sum!$AG22+J$156*Mat_Sum!$AH22+J$157*Mat_Sum!$AK22+J$158*Mat_Sum!$AM22+J$159*Mat_Sum!$AR22+J$163*Mat_Sum!$AS22+J$160*Mat_Sum!$AV22+J$161*Mat_Sum!$AT22+J$162*Mat_Sum!$AU22+J$164*Mat_Sum!$U22+J$165*Mat_Sum!$BH22+J$166*Mat_Sum!$BG22+J$167*Mat_Sum!$BJ22+J$168*Mat_Sum!$BI22+J$169*Mat_Sum!$AW22+J$170*Mat_Sum!$CN22+J$171*Mat_Sum!$CF22</f>
        <v>3720.0221306191606</v>
      </c>
      <c r="K181" s="348">
        <f ca="1">K$150*Mat_Sum!$D22+K$151*Mat_Sum!$E22+K$152*Mat_Sum!$F22+K$153*Mat_Sum!$I22+K$154*Mat_Sum!$L22+K$155*Mat_Sum!$AG22+K$156*Mat_Sum!$AH22+K$157*Mat_Sum!$AK22+K$158*Mat_Sum!$AM22+K$159*Mat_Sum!$AR22+K$163*Mat_Sum!$AS22+K$160*Mat_Sum!$AV22+K$161*Mat_Sum!$AT22+K$162*Mat_Sum!$AU22+K$164*Mat_Sum!$U22+K$165*Mat_Sum!$BH22+K$166*Mat_Sum!$BG22+K$167*Mat_Sum!$BJ22+K$168*Mat_Sum!$BI22+K$169*Mat_Sum!$AW22+K$170*Mat_Sum!$CN22+K$171*Mat_Sum!$CF22</f>
        <v>3247.2656725176462</v>
      </c>
      <c r="L181" s="64">
        <f>B$155*Mat_Sum!$AE22</f>
        <v>0.86228839926249456</v>
      </c>
      <c r="M181" s="64">
        <f>B$155*Mat_Sum!$AF22</f>
        <v>9.6083438530788268</v>
      </c>
      <c r="N181" s="64">
        <f>D$155*Mat_Sum!$AE22</f>
        <v>1.5158099344612721</v>
      </c>
      <c r="O181" s="64">
        <f>D$155*Mat_Sum!$AF22</f>
        <v>16.890431413287672</v>
      </c>
      <c r="P181" s="64">
        <f>F$155*Mat_Sum!$AE22</f>
        <v>1.527539902993738</v>
      </c>
      <c r="Q181" s="64">
        <f>F$155*Mat_Sum!$AF22</f>
        <v>17.021136605590065</v>
      </c>
      <c r="R181" s="64">
        <f>H$155*Mat_Sum!$AE22</f>
        <v>2.0690047900978987</v>
      </c>
      <c r="S181" s="64">
        <f>H$155*Mat_Sum!$AF22</f>
        <v>23.054594581036554</v>
      </c>
      <c r="T181" s="230" t="s">
        <v>821</v>
      </c>
      <c r="AG181" s="230"/>
    </row>
    <row r="182" spans="1:33">
      <c r="A182" s="230" t="s">
        <v>822</v>
      </c>
      <c r="B182" s="349">
        <f ca="1">B$150*Mat_Sum!$D23+B$151*Mat_Sum!$E23+B$152*Mat_Sum!$F23+B$153*Mat_Sum!$I23+B$154*Mat_Sum!$L23+B$155*Mat_Sum!$AG23+B$156*Mat_Sum!$AH23+B$157*Mat_Sum!$AK23+B$158*Mat_Sum!$AM23+B$159*Mat_Sum!$AR23+B$163*Mat_Sum!$AS23+B$160*Mat_Sum!$AV23+B$161*Mat_Sum!$AT23+B$162*Mat_Sum!$AU23+B$164*Mat_Sum!$U23+B$165*Mat_Sum!$BH23+B$166*Mat_Sum!$BG23+B$167*Mat_Sum!$BJ23+B$168*Mat_Sum!$BI23+B$169*Mat_Sum!$AW23+B$170*Mat_Sum!$CN23+B$171*Mat_Sum!$CF23</f>
        <v>17872.558659157079</v>
      </c>
      <c r="C182" s="349">
        <f ca="1">C$150*Mat_Sum!$D23+C$151*Mat_Sum!$E23+C$152*Mat_Sum!$F23+C$153*Mat_Sum!$I23+C$154*Mat_Sum!$L23+C$155*Mat_Sum!$AG23+C$156*Mat_Sum!$AH23+C$157*Mat_Sum!$AK23+C$158*Mat_Sum!$AM23+C$159*Mat_Sum!$AR23+C$163*Mat_Sum!$AS23+C$160*Mat_Sum!$AV23+C$161*Mat_Sum!$AT23+C$162*Mat_Sum!$AU23+C$164*Mat_Sum!$U23+C$165*Mat_Sum!$BH23+C$166*Mat_Sum!$BG23+C$167*Mat_Sum!$BJ23+C$168*Mat_Sum!$BI23+C$169*Mat_Sum!$AW23+C$170*Mat_Sum!$CN23+C$171*Mat_Sum!$CF23</f>
        <v>10932.680466602204</v>
      </c>
      <c r="D182" s="349">
        <f ca="1">D$150*Mat_Sum!$D23+D$151*Mat_Sum!$E23+D$152*Mat_Sum!$F23+D$153*Mat_Sum!$I23+D$154*Mat_Sum!$L23+D$155*Mat_Sum!$AG23+D$156*Mat_Sum!$AH23+D$157*Mat_Sum!$AK23+D$158*Mat_Sum!$AM23+D$159*Mat_Sum!$AR23+D$163*Mat_Sum!$AS23+D$160*Mat_Sum!$AV23+D$161*Mat_Sum!$AT23+D$162*Mat_Sum!$AU23+D$164*Mat_Sum!$U23+D$165*Mat_Sum!$BH23+D$166*Mat_Sum!$BG23+D$167*Mat_Sum!$BJ23+D$168*Mat_Sum!$BI23+D$169*Mat_Sum!$AW23+D$170*Mat_Sum!$CN23+D$171*Mat_Sum!$CF23</f>
        <v>18258.042498005445</v>
      </c>
      <c r="E182" s="349">
        <f ca="1">E$150*Mat_Sum!$D23+E$151*Mat_Sum!$E23+E$152*Mat_Sum!$F23+E$153*Mat_Sum!$I23+E$154*Mat_Sum!$L23+E$155*Mat_Sum!$AG23+E$156*Mat_Sum!$AH23+E$157*Mat_Sum!$AK23+E$158*Mat_Sum!$AM23+E$159*Mat_Sum!$AR23+E$163*Mat_Sum!$AS23+E$160*Mat_Sum!$AV23+E$161*Mat_Sum!$AT23+E$162*Mat_Sum!$AU23+E$164*Mat_Sum!$U23+E$165*Mat_Sum!$BH23+E$166*Mat_Sum!$BG23+E$167*Mat_Sum!$BJ23+E$168*Mat_Sum!$BI23+E$169*Mat_Sum!$AW23+E$170*Mat_Sum!$CN23+E$171*Mat_Sum!$CF23</f>
        <v>11663.687218812511</v>
      </c>
      <c r="F182" s="349">
        <f ca="1">F$150*Mat_Sum!$D23+F$151*Mat_Sum!$E23+F$152*Mat_Sum!$F23+F$153*Mat_Sum!$I23+F$154*Mat_Sum!$L23+F$155*Mat_Sum!$AG23+F$156*Mat_Sum!$AH23+F$157*Mat_Sum!$AK23+F$158*Mat_Sum!$AM23+F$159*Mat_Sum!$AR23+F$163*Mat_Sum!$AS23+F$160*Mat_Sum!$AV23+F$161*Mat_Sum!$AT23+F$162*Mat_Sum!$AU23+F$164*Mat_Sum!$U23+F$165*Mat_Sum!$BH23+F$166*Mat_Sum!$BG23+F$167*Mat_Sum!$BJ23+F$168*Mat_Sum!$BI23+F$169*Mat_Sum!$AW23+F$170*Mat_Sum!$CN23+F$171*Mat_Sum!$CF23</f>
        <v>18366.985889216448</v>
      </c>
      <c r="G182" s="349">
        <f ca="1">G$150*Mat_Sum!$D23+G$151*Mat_Sum!$E23+G$152*Mat_Sum!$F23+G$153*Mat_Sum!$I23+G$154*Mat_Sum!$L23+G$155*Mat_Sum!$AG23+G$156*Mat_Sum!$AH23+G$157*Mat_Sum!$AK23+G$158*Mat_Sum!$AM23+G$159*Mat_Sum!$AR23+G$163*Mat_Sum!$AS23+G$160*Mat_Sum!$AV23+G$161*Mat_Sum!$AT23+G$162*Mat_Sum!$AU23+G$164*Mat_Sum!$U23+G$165*Mat_Sum!$BH23+G$166*Mat_Sum!$BG23+G$167*Mat_Sum!$BJ23+G$168*Mat_Sum!$BI23+G$169*Mat_Sum!$AW23+G$170*Mat_Sum!$CN23+G$171*Mat_Sum!$CF23</f>
        <v>11793.530699966772</v>
      </c>
      <c r="H182" s="349">
        <f ca="1">H$150*Mat_Sum!$D23+H$151*Mat_Sum!$E23+H$152*Mat_Sum!$F23+H$153*Mat_Sum!$I23+H$154*Mat_Sum!$L23+H$155*Mat_Sum!$AG23+H$156*Mat_Sum!$AH23+H$157*Mat_Sum!$AK23+H$158*Mat_Sum!$AM23+H$159*Mat_Sum!$AR23+H$163*Mat_Sum!$AS23+H$160*Mat_Sum!$AV23+H$161*Mat_Sum!$AT23+H$162*Mat_Sum!$AU23+H$164*Mat_Sum!$U23+H$165*Mat_Sum!$BH23+H$166*Mat_Sum!$BG23+H$167*Mat_Sum!$BJ23+H$168*Mat_Sum!$BI23+H$169*Mat_Sum!$AW23+H$170*Mat_Sum!$CN23+H$171*Mat_Sum!$CF23</f>
        <v>15787.472772283214</v>
      </c>
      <c r="I182" s="349">
        <f ca="1">I$150*Mat_Sum!$D23+I$151*Mat_Sum!$E23+I$152*Mat_Sum!$F23+I$153*Mat_Sum!$I23+I$154*Mat_Sum!$L23+I$155*Mat_Sum!$AG23+I$156*Mat_Sum!$AH23+I$157*Mat_Sum!$AK23+I$158*Mat_Sum!$AM23+I$159*Mat_Sum!$AR23+I$163*Mat_Sum!$AS23+I$160*Mat_Sum!$AV23+I$161*Mat_Sum!$AT23+I$162*Mat_Sum!$AU23+I$164*Mat_Sum!$U23+I$165*Mat_Sum!$BH23+I$166*Mat_Sum!$BG23+I$167*Mat_Sum!$BJ23+I$168*Mat_Sum!$BI23+I$169*Mat_Sum!$AW23+I$170*Mat_Sum!$CN23+I$171*Mat_Sum!$CF23</f>
        <v>8516.8860083561576</v>
      </c>
      <c r="J182" s="349">
        <f ca="1">J$150*Mat_Sum!$D23+J$151*Mat_Sum!$E23+J$152*Mat_Sum!$F23+J$153*Mat_Sum!$I23+J$154*Mat_Sum!$L23+J$155*Mat_Sum!$AG23+J$156*Mat_Sum!$AH23+J$157*Mat_Sum!$AK23+J$158*Mat_Sum!$AM23+J$159*Mat_Sum!$AR23+J$163*Mat_Sum!$AS23+J$160*Mat_Sum!$AV23+J$161*Mat_Sum!$AT23+J$162*Mat_Sum!$AU23+J$164*Mat_Sum!$U23+J$165*Mat_Sum!$BH23+J$166*Mat_Sum!$BG23+J$167*Mat_Sum!$BJ23+J$168*Mat_Sum!$BI23+J$169*Mat_Sum!$AW23+J$170*Mat_Sum!$CN23+J$171*Mat_Sum!$CF23</f>
        <v>17198.735521357328</v>
      </c>
      <c r="K182" s="348">
        <f ca="1">K$150*Mat_Sum!$D23+K$151*Mat_Sum!$E23+K$152*Mat_Sum!$F23+K$153*Mat_Sum!$I23+K$154*Mat_Sum!$L23+K$155*Mat_Sum!$AG23+K$156*Mat_Sum!$AH23+K$157*Mat_Sum!$AK23+K$158*Mat_Sum!$AM23+K$159*Mat_Sum!$AR23+K$163*Mat_Sum!$AS23+K$160*Mat_Sum!$AV23+K$161*Mat_Sum!$AT23+K$162*Mat_Sum!$AU23+K$164*Mat_Sum!$U23+K$165*Mat_Sum!$BH23+K$166*Mat_Sum!$BG23+K$167*Mat_Sum!$BJ23+K$168*Mat_Sum!$BI23+K$169*Mat_Sum!$AW23+K$170*Mat_Sum!$CN23+K$171*Mat_Sum!$CF23</f>
        <v>10411.963850791171</v>
      </c>
      <c r="L182" s="64">
        <f>B$155*Mat_Sum!$AE23</f>
        <v>6.5448095188791537</v>
      </c>
      <c r="M182" s="64">
        <f>B$155*Mat_Sum!$AF23</f>
        <v>60.982160223375985</v>
      </c>
      <c r="N182" s="64">
        <f>D$155*Mat_Sum!$AE23</f>
        <v>11.50506871756453</v>
      </c>
      <c r="O182" s="64">
        <f>D$155*Mat_Sum!$AF23</f>
        <v>107.20005553891593</v>
      </c>
      <c r="P182" s="64">
        <f>F$155*Mat_Sum!$AE23</f>
        <v>11.594099730591143</v>
      </c>
      <c r="Q182" s="64">
        <f>F$155*Mat_Sum!$AF23</f>
        <v>108.02961421217861</v>
      </c>
      <c r="R182" s="64">
        <f>H$155*Mat_Sum!$AE23</f>
        <v>15.703843698257987</v>
      </c>
      <c r="S182" s="64">
        <f>H$155*Mat_Sum!$AF23</f>
        <v>146.32271722615803</v>
      </c>
      <c r="T182" s="230" t="s">
        <v>822</v>
      </c>
      <c r="AG182" s="230"/>
    </row>
    <row r="183" spans="1:33">
      <c r="A183" s="230" t="s">
        <v>849</v>
      </c>
      <c r="B183" s="349">
        <f ca="1">B$150*Mat_Sum!$D24+B$151*Mat_Sum!$E24+B$152*Mat_Sum!$F24+B$153*Mat_Sum!$I24+B$154*Mat_Sum!$L24+B$155*Mat_Sum!$AG24+B$156*Mat_Sum!$AH24+B$157*Mat_Sum!$AK24+B$158*Mat_Sum!$AM24+B$159*Mat_Sum!$AR24+B$163*Mat_Sum!$AS24+B$160*Mat_Sum!$AV24+B$161*Mat_Sum!$AT24+B$162*Mat_Sum!$AU24+B$164*Mat_Sum!$U24+B$165*Mat_Sum!$BH24+B$166*Mat_Sum!$BG24+B$167*Mat_Sum!$BJ24+B$168*Mat_Sum!$BI24+B$169*Mat_Sum!$AW24+B$170*Mat_Sum!$CN24+B$171*Mat_Sum!$CF24</f>
        <v>4246.7829684490516</v>
      </c>
      <c r="C183" s="349">
        <f ca="1">C$150*Mat_Sum!$D24+C$151*Mat_Sum!$E24+C$152*Mat_Sum!$F24+C$153*Mat_Sum!$I24+C$154*Mat_Sum!$L24+C$155*Mat_Sum!$AG24+C$156*Mat_Sum!$AH24+C$157*Mat_Sum!$AK24+C$158*Mat_Sum!$AM24+C$159*Mat_Sum!$AR24+C$163*Mat_Sum!$AS24+C$160*Mat_Sum!$AV24+C$161*Mat_Sum!$AT24+C$162*Mat_Sum!$AU24+C$164*Mat_Sum!$U24+C$165*Mat_Sum!$BH24+C$166*Mat_Sum!$BG24+C$167*Mat_Sum!$BJ24+C$168*Mat_Sum!$BI24+C$169*Mat_Sum!$AW24+C$170*Mat_Sum!$CN24+C$171*Mat_Sum!$CF24</f>
        <v>5471.6753817035496</v>
      </c>
      <c r="D183" s="349">
        <f ca="1">D$150*Mat_Sum!$D24+D$151*Mat_Sum!$E24+D$152*Mat_Sum!$F24+D$153*Mat_Sum!$I24+D$154*Mat_Sum!$L24+D$155*Mat_Sum!$AG24+D$156*Mat_Sum!$AH24+D$157*Mat_Sum!$AK24+D$158*Mat_Sum!$AM24+D$159*Mat_Sum!$AR24+D$163*Mat_Sum!$AS24+D$160*Mat_Sum!$AV24+D$161*Mat_Sum!$AT24+D$162*Mat_Sum!$AU24+D$164*Mat_Sum!$U24+D$165*Mat_Sum!$BH24+D$166*Mat_Sum!$BG24+D$167*Mat_Sum!$BJ24+D$168*Mat_Sum!$BI24+D$169*Mat_Sum!$AW24+D$170*Mat_Sum!$CN24+D$171*Mat_Sum!$CF24</f>
        <v>4201.1864654497167</v>
      </c>
      <c r="E183" s="349">
        <f ca="1">E$150*Mat_Sum!$D24+E$151*Mat_Sum!$E24+E$152*Mat_Sum!$F24+E$153*Mat_Sum!$I24+E$154*Mat_Sum!$L24+E$155*Mat_Sum!$AG24+E$156*Mat_Sum!$AH24+E$157*Mat_Sum!$AK24+E$158*Mat_Sum!$AM24+E$159*Mat_Sum!$AR24+E$163*Mat_Sum!$AS24+E$160*Mat_Sum!$AV24+E$161*Mat_Sum!$AT24+E$162*Mat_Sum!$AU24+E$164*Mat_Sum!$U24+E$165*Mat_Sum!$BH24+E$166*Mat_Sum!$BG24+E$167*Mat_Sum!$BJ24+E$168*Mat_Sum!$BI24+E$169*Mat_Sum!$AW24+E$170*Mat_Sum!$CN24+E$171*Mat_Sum!$CF24</f>
        <v>5544.986833448399</v>
      </c>
      <c r="F183" s="349">
        <f ca="1">F$150*Mat_Sum!$D24+F$151*Mat_Sum!$E24+F$152*Mat_Sum!$F24+F$153*Mat_Sum!$I24+F$154*Mat_Sum!$L24+F$155*Mat_Sum!$AG24+F$156*Mat_Sum!$AH24+F$157*Mat_Sum!$AK24+F$158*Mat_Sum!$AM24+F$159*Mat_Sum!$AR24+F$163*Mat_Sum!$AS24+F$160*Mat_Sum!$AV24+F$161*Mat_Sum!$AT24+F$162*Mat_Sum!$AU24+F$164*Mat_Sum!$U24+F$165*Mat_Sum!$BH24+F$166*Mat_Sum!$BG24+F$167*Mat_Sum!$BJ24+F$168*Mat_Sum!$BI24+F$169*Mat_Sum!$AW24+F$170*Mat_Sum!$CN24+F$171*Mat_Sum!$CF24</f>
        <v>4207.1937069566875</v>
      </c>
      <c r="G183" s="349">
        <f ca="1">G$150*Mat_Sum!$D24+G$151*Mat_Sum!$E24+G$152*Mat_Sum!$F24+G$153*Mat_Sum!$I24+G$154*Mat_Sum!$L24+G$155*Mat_Sum!$AG24+G$156*Mat_Sum!$AH24+G$157*Mat_Sum!$AK24+G$158*Mat_Sum!$AM24+G$159*Mat_Sum!$AR24+G$163*Mat_Sum!$AS24+G$160*Mat_Sum!$AV24+G$161*Mat_Sum!$AT24+G$162*Mat_Sum!$AU24+G$164*Mat_Sum!$U24+G$165*Mat_Sum!$BH24+G$166*Mat_Sum!$BG24+G$167*Mat_Sum!$BJ24+G$168*Mat_Sum!$BI24+G$169*Mat_Sum!$AW24+G$170*Mat_Sum!$CN24+G$171*Mat_Sum!$CF24</f>
        <v>5550.8546747094169</v>
      </c>
      <c r="H183" s="349">
        <f ca="1">H$150*Mat_Sum!$D24+H$151*Mat_Sum!$E24+H$152*Mat_Sum!$F24+H$153*Mat_Sum!$I24+H$154*Mat_Sum!$L24+H$155*Mat_Sum!$AG24+H$156*Mat_Sum!$AH24+H$157*Mat_Sum!$AK24+H$158*Mat_Sum!$AM24+H$159*Mat_Sum!$AR24+H$163*Mat_Sum!$AS24+H$160*Mat_Sum!$AV24+H$161*Mat_Sum!$AT24+H$162*Mat_Sum!$AU24+H$164*Mat_Sum!$U24+H$165*Mat_Sum!$BH24+H$166*Mat_Sum!$BG24+H$167*Mat_Sum!$BJ24+H$168*Mat_Sum!$BI24+H$169*Mat_Sum!$AW24+H$170*Mat_Sum!$CN24+H$171*Mat_Sum!$CF24</f>
        <v>3786.6126725642475</v>
      </c>
      <c r="I183" s="349">
        <f ca="1">I$150*Mat_Sum!$D24+I$151*Mat_Sum!$E24+I$152*Mat_Sum!$F24+I$153*Mat_Sum!$I24+I$154*Mat_Sum!$L24+I$155*Mat_Sum!$AG24+I$156*Mat_Sum!$AH24+I$157*Mat_Sum!$AK24+I$158*Mat_Sum!$AM24+I$159*Mat_Sum!$AR24+I$163*Mat_Sum!$AS24+I$160*Mat_Sum!$AV24+I$161*Mat_Sum!$AT24+I$162*Mat_Sum!$AU24+I$164*Mat_Sum!$U24+I$165*Mat_Sum!$BH24+I$166*Mat_Sum!$BG24+I$167*Mat_Sum!$BJ24+I$168*Mat_Sum!$BI24+I$169*Mat_Sum!$AW24+I$170*Mat_Sum!$CN24+I$171*Mat_Sum!$CF24</f>
        <v>5233.1138877422727</v>
      </c>
      <c r="J183" s="349">
        <f ca="1">J$150*Mat_Sum!$D24+J$151*Mat_Sum!$E24+J$152*Mat_Sum!$F24+J$153*Mat_Sum!$I24+J$154*Mat_Sum!$L24+J$155*Mat_Sum!$AG24+J$156*Mat_Sum!$AH24+J$157*Mat_Sum!$AK24+J$158*Mat_Sum!$AM24+J$159*Mat_Sum!$AR24+J$163*Mat_Sum!$AS24+J$160*Mat_Sum!$AV24+J$161*Mat_Sum!$AT24+J$162*Mat_Sum!$AU24+J$164*Mat_Sum!$U24+J$165*Mat_Sum!$BH24+J$166*Mat_Sum!$BG24+J$167*Mat_Sum!$BJ24+J$168*Mat_Sum!$BI24+J$169*Mat_Sum!$AW24+J$170*Mat_Sum!$CN24+J$171*Mat_Sum!$CF24</f>
        <v>5495.12032041363</v>
      </c>
      <c r="K183" s="348">
        <f ca="1">K$150*Mat_Sum!$D24+K$151*Mat_Sum!$E24+K$152*Mat_Sum!$F24+K$153*Mat_Sum!$I24+K$154*Mat_Sum!$L24+K$155*Mat_Sum!$AG24+K$156*Mat_Sum!$AH24+K$157*Mat_Sum!$AK24+K$158*Mat_Sum!$AM24+K$159*Mat_Sum!$AR24+K$163*Mat_Sum!$AS24+K$160*Mat_Sum!$AV24+K$161*Mat_Sum!$AT24+K$162*Mat_Sum!$AU24+K$164*Mat_Sum!$U24+K$165*Mat_Sum!$BH24+K$166*Mat_Sum!$BG24+K$167*Mat_Sum!$BJ24+K$168*Mat_Sum!$BI24+K$169*Mat_Sum!$AW24+K$170*Mat_Sum!$CN24+K$171*Mat_Sum!$CF24</f>
        <v>7201.5837441745189</v>
      </c>
      <c r="L183" s="64">
        <f>B$155*Mat_Sum!$AE24</f>
        <v>6.2048249681560916</v>
      </c>
      <c r="M183" s="64">
        <f>B$155*Mat_Sum!$AF24</f>
        <v>87.783029119954222</v>
      </c>
      <c r="N183" s="64">
        <f>D$155*Mat_Sum!$AE24</f>
        <v>10.90741257376143</v>
      </c>
      <c r="O183" s="64">
        <f>D$155*Mat_Sum!$AF24</f>
        <v>154.31309029662987</v>
      </c>
      <c r="P183" s="64">
        <f>F$155*Mat_Sum!$AE24</f>
        <v>10.991818674653173</v>
      </c>
      <c r="Q183" s="64">
        <f>F$155*Mat_Sum!$AF24</f>
        <v>155.50722925308838</v>
      </c>
      <c r="R183" s="64">
        <f>H$155*Mat_Sum!$AE24</f>
        <v>14.888072936866633</v>
      </c>
      <c r="S183" s="64">
        <f>H$155*Mat_Sum!$AF24</f>
        <v>210.6296546420306</v>
      </c>
      <c r="T183" s="230" t="s">
        <v>849</v>
      </c>
      <c r="AG183" s="230"/>
    </row>
    <row r="184" spans="1:33">
      <c r="A184" s="230" t="s">
        <v>824</v>
      </c>
      <c r="B184" s="349">
        <f ca="1">B$150*Mat_Sum!$D25+B$151*Mat_Sum!$E25+B$152*Mat_Sum!$F25+B$153*Mat_Sum!$I25+B$154*Mat_Sum!$L25+B$155*Mat_Sum!$AG25+B$156*Mat_Sum!$AH25+B$157*Mat_Sum!$AK25+B$158*Mat_Sum!$AM25+B$159*Mat_Sum!$AR25+B$163*Mat_Sum!$AS25+B$160*Mat_Sum!$AV25+B$161*Mat_Sum!$AT25+B$162*Mat_Sum!$AU25+B$164*Mat_Sum!$U25+B$165*Mat_Sum!$BH25+B$166*Mat_Sum!$BG25+B$167*Mat_Sum!$BJ25+B$168*Mat_Sum!$BI25+B$169*Mat_Sum!$AW25+B$170*Mat_Sum!$CN25+B$171*Mat_Sum!$CF25</f>
        <v>2038.384465600828</v>
      </c>
      <c r="C184" s="349">
        <f ca="1">C$150*Mat_Sum!$D25+C$151*Mat_Sum!$E25+C$152*Mat_Sum!$F25+C$153*Mat_Sum!$I25+C$154*Mat_Sum!$L25+C$155*Mat_Sum!$AG25+C$156*Mat_Sum!$AH25+C$157*Mat_Sum!$AK25+C$158*Mat_Sum!$AM25+C$159*Mat_Sum!$AR25+C$163*Mat_Sum!$AS25+C$160*Mat_Sum!$AV25+C$161*Mat_Sum!$AT25+C$162*Mat_Sum!$AU25+C$164*Mat_Sum!$U25+C$165*Mat_Sum!$BH25+C$166*Mat_Sum!$BG25+C$167*Mat_Sum!$BJ25+C$168*Mat_Sum!$BI25+C$169*Mat_Sum!$AW25+C$170*Mat_Sum!$CN25+C$171*Mat_Sum!$CF25</f>
        <v>2816.5547026366057</v>
      </c>
      <c r="D184" s="349">
        <f ca="1">D$150*Mat_Sum!$D25+D$151*Mat_Sum!$E25+D$152*Mat_Sum!$F25+D$153*Mat_Sum!$I25+D$154*Mat_Sum!$L25+D$155*Mat_Sum!$AG25+D$156*Mat_Sum!$AH25+D$157*Mat_Sum!$AK25+D$158*Mat_Sum!$AM25+D$159*Mat_Sum!$AR25+D$163*Mat_Sum!$AS25+D$160*Mat_Sum!$AV25+D$161*Mat_Sum!$AT25+D$162*Mat_Sum!$AU25+D$164*Mat_Sum!$U25+D$165*Mat_Sum!$BH25+D$166*Mat_Sum!$BG25+D$167*Mat_Sum!$BJ25+D$168*Mat_Sum!$BI25+D$169*Mat_Sum!$AW25+D$170*Mat_Sum!$CN25+D$171*Mat_Sum!$CF25</f>
        <v>2005.0631545070685</v>
      </c>
      <c r="E184" s="349">
        <f ca="1">E$150*Mat_Sum!$D25+E$151*Mat_Sum!$E25+E$152*Mat_Sum!$F25+E$153*Mat_Sum!$I25+E$154*Mat_Sum!$L25+E$155*Mat_Sum!$AG25+E$156*Mat_Sum!$AH25+E$157*Mat_Sum!$AK25+E$158*Mat_Sum!$AM25+E$159*Mat_Sum!$AR25+E$163*Mat_Sum!$AS25+E$160*Mat_Sum!$AV25+E$161*Mat_Sum!$AT25+E$162*Mat_Sum!$AU25+E$164*Mat_Sum!$U25+E$165*Mat_Sum!$BH25+E$166*Mat_Sum!$BG25+E$167*Mat_Sum!$BJ25+E$168*Mat_Sum!$BI25+E$169*Mat_Sum!$AW25+E$170*Mat_Sum!$CN25+E$171*Mat_Sum!$CF25</f>
        <v>2851.3527517116804</v>
      </c>
      <c r="F184" s="349">
        <f ca="1">F$150*Mat_Sum!$D25+F$151*Mat_Sum!$E25+F$152*Mat_Sum!$F25+F$153*Mat_Sum!$I25+F$154*Mat_Sum!$L25+F$155*Mat_Sum!$AG25+F$156*Mat_Sum!$AH25+F$157*Mat_Sum!$AK25+F$158*Mat_Sum!$AM25+F$159*Mat_Sum!$AR25+F$163*Mat_Sum!$AS25+F$160*Mat_Sum!$AV25+F$161*Mat_Sum!$AT25+F$162*Mat_Sum!$AU25+F$164*Mat_Sum!$U25+F$165*Mat_Sum!$BH25+F$166*Mat_Sum!$BG25+F$167*Mat_Sum!$BJ25+F$168*Mat_Sum!$BI25+F$169*Mat_Sum!$AW25+F$170*Mat_Sum!$CN25+F$171*Mat_Sum!$CF25</f>
        <v>2008.3360469857435</v>
      </c>
      <c r="G184" s="349">
        <f ca="1">G$150*Mat_Sum!$D25+G$151*Mat_Sum!$E25+G$152*Mat_Sum!$F25+G$153*Mat_Sum!$I25+G$154*Mat_Sum!$L25+G$155*Mat_Sum!$AG25+G$156*Mat_Sum!$AH25+G$157*Mat_Sum!$AK25+G$158*Mat_Sum!$AM25+G$159*Mat_Sum!$AR25+G$163*Mat_Sum!$AS25+G$160*Mat_Sum!$AV25+G$161*Mat_Sum!$AT25+G$162*Mat_Sum!$AU25+G$164*Mat_Sum!$U25+G$165*Mat_Sum!$BH25+G$166*Mat_Sum!$BG25+G$167*Mat_Sum!$BJ25+G$168*Mat_Sum!$BI25+G$169*Mat_Sum!$AW25+G$170*Mat_Sum!$CN25+G$171*Mat_Sum!$CF25</f>
        <v>2841.1652065970675</v>
      </c>
      <c r="H184" s="349">
        <f ca="1">H$150*Mat_Sum!$D25+H$151*Mat_Sum!$E25+H$152*Mat_Sum!$F25+H$153*Mat_Sum!$I25+H$154*Mat_Sum!$L25+H$155*Mat_Sum!$AG25+H$156*Mat_Sum!$AH25+H$157*Mat_Sum!$AK25+H$158*Mat_Sum!$AM25+H$159*Mat_Sum!$AR25+H$163*Mat_Sum!$AS25+H$160*Mat_Sum!$AV25+H$161*Mat_Sum!$AT25+H$162*Mat_Sum!$AU25+H$164*Mat_Sum!$U25+H$165*Mat_Sum!$BH25+H$166*Mat_Sum!$BG25+H$167*Mat_Sum!$BJ25+H$168*Mat_Sum!$BI25+H$169*Mat_Sum!$AW25+H$170*Mat_Sum!$CN25+H$171*Mat_Sum!$CF25</f>
        <v>1736.3434915952046</v>
      </c>
      <c r="I184" s="349">
        <f ca="1">I$150*Mat_Sum!$D25+I$151*Mat_Sum!$E25+I$152*Mat_Sum!$F25+I$153*Mat_Sum!$I25+I$154*Mat_Sum!$L25+I$155*Mat_Sum!$AG25+I$156*Mat_Sum!$AH25+I$157*Mat_Sum!$AK25+I$158*Mat_Sum!$AM25+I$159*Mat_Sum!$AR25+I$163*Mat_Sum!$AS25+I$160*Mat_Sum!$AV25+I$161*Mat_Sum!$AT25+I$162*Mat_Sum!$AU25+I$164*Mat_Sum!$U25+I$165*Mat_Sum!$BH25+I$166*Mat_Sum!$BG25+I$167*Mat_Sum!$BJ25+I$168*Mat_Sum!$BI25+I$169*Mat_Sum!$AW25+I$170*Mat_Sum!$CN25+I$171*Mat_Sum!$CF25</f>
        <v>2629.6446359691963</v>
      </c>
      <c r="J184" s="349">
        <f ca="1">J$150*Mat_Sum!$D25+J$151*Mat_Sum!$E25+J$152*Mat_Sum!$F25+J$153*Mat_Sum!$I25+J$154*Mat_Sum!$L25+J$155*Mat_Sum!$AG25+J$156*Mat_Sum!$AH25+J$157*Mat_Sum!$AK25+J$158*Mat_Sum!$AM25+J$159*Mat_Sum!$AR25+J$163*Mat_Sum!$AS25+J$160*Mat_Sum!$AV25+J$161*Mat_Sum!$AT25+J$162*Mat_Sum!$AU25+J$164*Mat_Sum!$U25+J$165*Mat_Sum!$BH25+J$166*Mat_Sum!$BG25+J$167*Mat_Sum!$BJ25+J$168*Mat_Sum!$BI25+J$169*Mat_Sum!$AW25+J$170*Mat_Sum!$CN25+J$171*Mat_Sum!$CF25</f>
        <v>2266.329882453942</v>
      </c>
      <c r="K184" s="348">
        <f ca="1">K$150*Mat_Sum!$D25+K$151*Mat_Sum!$E25+K$152*Mat_Sum!$F25+K$153*Mat_Sum!$I25+K$154*Mat_Sum!$L25+K$155*Mat_Sum!$AG25+K$156*Mat_Sum!$AH25+K$157*Mat_Sum!$AK25+K$158*Mat_Sum!$AM25+K$159*Mat_Sum!$AR25+K$163*Mat_Sum!$AS25+K$160*Mat_Sum!$AV25+K$161*Mat_Sum!$AT25+K$162*Mat_Sum!$AU25+K$164*Mat_Sum!$U25+K$165*Mat_Sum!$BH25+K$166*Mat_Sum!$BG25+K$167*Mat_Sum!$BJ25+K$168*Mat_Sum!$BI25+K$169*Mat_Sum!$AW25+K$170*Mat_Sum!$CN25+K$171*Mat_Sum!$CF25</f>
        <v>3444.6323791745081</v>
      </c>
      <c r="L184" s="64">
        <f>B$155*Mat_Sum!$AE25</f>
        <v>2.2292988308793409</v>
      </c>
      <c r="M184" s="64">
        <f>B$155*Mat_Sum!$AF25</f>
        <v>10.760973095964367</v>
      </c>
      <c r="N184" s="64">
        <f>D$155*Mat_Sum!$AE25</f>
        <v>3.9188667244276854</v>
      </c>
      <c r="O184" s="64">
        <f>D$155*Mat_Sum!$AF25</f>
        <v>18.916629212783537</v>
      </c>
      <c r="P184" s="64">
        <f>F$155*Mat_Sum!$AE25</f>
        <v>3.9491925471547953</v>
      </c>
      <c r="Q184" s="64">
        <f>F$155*Mat_Sum!$AF25</f>
        <v>19.063013967469249</v>
      </c>
      <c r="R184" s="64">
        <f>H$155*Mat_Sum!$AE25</f>
        <v>5.349057187356296</v>
      </c>
      <c r="S184" s="64">
        <f>H$155*Mat_Sum!$AF25</f>
        <v>25.820253294266127</v>
      </c>
      <c r="T184" s="230" t="s">
        <v>824</v>
      </c>
      <c r="AG184" s="230"/>
    </row>
    <row r="185" spans="1:33">
      <c r="A185" s="230" t="s">
        <v>825</v>
      </c>
      <c r="B185" s="349">
        <f ca="1">B$150*Mat_Sum!$D26+B$151*Mat_Sum!$E26+B$152*Mat_Sum!$F26+B$153*Mat_Sum!$I26+B$154*Mat_Sum!$L26+B$155*Mat_Sum!$AG26+B$156*Mat_Sum!$AH26+B$157*Mat_Sum!$AK26+B$158*Mat_Sum!$AM26+B$159*Mat_Sum!$AR26+B$163*Mat_Sum!$AS26+B$160*Mat_Sum!$AV26+B$161*Mat_Sum!$AT26+B$162*Mat_Sum!$AU26+B$164*Mat_Sum!$U26+B$165*Mat_Sum!$BH26+B$166*Mat_Sum!$BG26+B$167*Mat_Sum!$BJ26+B$168*Mat_Sum!$BI26+B$169*Mat_Sum!$AW26+B$170*Mat_Sum!$CN26+B$171*Mat_Sum!$CF26</f>
        <v>945.32818841535004</v>
      </c>
      <c r="C185" s="349">
        <f ca="1">C$150*Mat_Sum!$D26+C$151*Mat_Sum!$E26+C$152*Mat_Sum!$F26+C$153*Mat_Sum!$I26+C$154*Mat_Sum!$L26+C$155*Mat_Sum!$AG26+C$156*Mat_Sum!$AH26+C$157*Mat_Sum!$AK26+C$158*Mat_Sum!$AM26+C$159*Mat_Sum!$AR26+C$163*Mat_Sum!$AS26+C$160*Mat_Sum!$AV26+C$161*Mat_Sum!$AT26+C$162*Mat_Sum!$AU26+C$164*Mat_Sum!$U26+C$165*Mat_Sum!$BH26+C$166*Mat_Sum!$BG26+C$167*Mat_Sum!$BJ26+C$168*Mat_Sum!$BI26+C$169*Mat_Sum!$AW26+C$170*Mat_Sum!$CN26+C$171*Mat_Sum!$CF26</f>
        <v>973.06303114895718</v>
      </c>
      <c r="D185" s="349">
        <f ca="1">D$150*Mat_Sum!$D26+D$151*Mat_Sum!$E26+D$152*Mat_Sum!$F26+D$153*Mat_Sum!$I26+D$154*Mat_Sum!$L26+D$155*Mat_Sum!$AG26+D$156*Mat_Sum!$AH26+D$157*Mat_Sum!$AK26+D$158*Mat_Sum!$AM26+D$159*Mat_Sum!$AR26+D$163*Mat_Sum!$AS26+D$160*Mat_Sum!$AV26+D$161*Mat_Sum!$AT26+D$162*Mat_Sum!$AU26+D$164*Mat_Sum!$U26+D$165*Mat_Sum!$BH26+D$166*Mat_Sum!$BG26+D$167*Mat_Sum!$BJ26+D$168*Mat_Sum!$BI26+D$169*Mat_Sum!$AW26+D$170*Mat_Sum!$CN26+D$171*Mat_Sum!$CF26</f>
        <v>941.00555032716409</v>
      </c>
      <c r="E185" s="349">
        <f ca="1">E$150*Mat_Sum!$D26+E$151*Mat_Sum!$E26+E$152*Mat_Sum!$F26+E$153*Mat_Sum!$I26+E$154*Mat_Sum!$L26+E$155*Mat_Sum!$AG26+E$156*Mat_Sum!$AH26+E$157*Mat_Sum!$AK26+E$158*Mat_Sum!$AM26+E$159*Mat_Sum!$AR26+E$163*Mat_Sum!$AS26+E$160*Mat_Sum!$AV26+E$161*Mat_Sum!$AT26+E$162*Mat_Sum!$AU26+E$164*Mat_Sum!$U26+E$165*Mat_Sum!$BH26+E$166*Mat_Sum!$BG26+E$167*Mat_Sum!$BJ26+E$168*Mat_Sum!$BI26+E$169*Mat_Sum!$AW26+E$170*Mat_Sum!$CN26+E$171*Mat_Sum!$CF26</f>
        <v>991.39461535676116</v>
      </c>
      <c r="F185" s="349">
        <f ca="1">F$150*Mat_Sum!$D26+F$151*Mat_Sum!$E26+F$152*Mat_Sum!$F26+F$153*Mat_Sum!$I26+F$154*Mat_Sum!$L26+F$155*Mat_Sum!$AG26+F$156*Mat_Sum!$AH26+F$157*Mat_Sum!$AK26+F$158*Mat_Sum!$AM26+F$159*Mat_Sum!$AR26+F$163*Mat_Sum!$AS26+F$160*Mat_Sum!$AV26+F$161*Mat_Sum!$AT26+F$162*Mat_Sum!$AU26+F$164*Mat_Sum!$U26+F$165*Mat_Sum!$BH26+F$166*Mat_Sum!$BG26+F$167*Mat_Sum!$BJ26+F$168*Mat_Sum!$BI26+F$169*Mat_Sum!$AW26+F$170*Mat_Sum!$CN26+F$171*Mat_Sum!$CF26</f>
        <v>942.55727618558694</v>
      </c>
      <c r="G185" s="349">
        <f ca="1">G$150*Mat_Sum!$D26+G$151*Mat_Sum!$E26+G$152*Mat_Sum!$F26+G$153*Mat_Sum!$I26+G$154*Mat_Sum!$L26+G$155*Mat_Sum!$AG26+G$156*Mat_Sum!$AH26+G$157*Mat_Sum!$AK26+G$158*Mat_Sum!$AM26+G$159*Mat_Sum!$AR26+G$163*Mat_Sum!$AS26+G$160*Mat_Sum!$AV26+G$161*Mat_Sum!$AT26+G$162*Mat_Sum!$AU26+G$164*Mat_Sum!$U26+G$165*Mat_Sum!$BH26+G$166*Mat_Sum!$BG26+G$167*Mat_Sum!$BJ26+G$168*Mat_Sum!$BI26+G$169*Mat_Sum!$AW26+G$170*Mat_Sum!$CN26+G$171*Mat_Sum!$CF26</f>
        <v>980.92044561737555</v>
      </c>
      <c r="H185" s="349">
        <f ca="1">H$150*Mat_Sum!$D26+H$151*Mat_Sum!$E26+H$152*Mat_Sum!$F26+H$153*Mat_Sum!$I26+H$154*Mat_Sum!$L26+H$155*Mat_Sum!$AG26+H$156*Mat_Sum!$AH26+H$157*Mat_Sum!$AK26+H$158*Mat_Sum!$AM26+H$159*Mat_Sum!$AR26+H$163*Mat_Sum!$AS26+H$160*Mat_Sum!$AV26+H$161*Mat_Sum!$AT26+H$162*Mat_Sum!$AU26+H$164*Mat_Sum!$U26+H$165*Mat_Sum!$BH26+H$166*Mat_Sum!$BG26+H$167*Mat_Sum!$BJ26+H$168*Mat_Sum!$BI26+H$169*Mat_Sum!$AW26+H$170*Mat_Sum!$CN26+H$171*Mat_Sum!$CF26</f>
        <v>814.12919462254331</v>
      </c>
      <c r="I185" s="349">
        <f ca="1">I$150*Mat_Sum!$D26+I$151*Mat_Sum!$E26+I$152*Mat_Sum!$F26+I$153*Mat_Sum!$I26+I$154*Mat_Sum!$L26+I$155*Mat_Sum!$AG26+I$156*Mat_Sum!$AH26+I$157*Mat_Sum!$AK26+I$158*Mat_Sum!$AM26+I$159*Mat_Sum!$AR26+I$163*Mat_Sum!$AS26+I$160*Mat_Sum!$AV26+I$161*Mat_Sum!$AT26+I$162*Mat_Sum!$AU26+I$164*Mat_Sum!$U26+I$165*Mat_Sum!$BH26+I$166*Mat_Sum!$BG26+I$167*Mat_Sum!$BJ26+I$168*Mat_Sum!$BI26+I$169*Mat_Sum!$AW26+I$170*Mat_Sum!$CN26+I$171*Mat_Sum!$CF26</f>
        <v>876.74077997712891</v>
      </c>
      <c r="J185" s="349">
        <f ca="1">J$150*Mat_Sum!$D26+J$151*Mat_Sum!$E26+J$152*Mat_Sum!$F26+J$153*Mat_Sum!$I26+J$154*Mat_Sum!$L26+J$155*Mat_Sum!$AG26+J$156*Mat_Sum!$AH26+J$157*Mat_Sum!$AK26+J$158*Mat_Sum!$AM26+J$159*Mat_Sum!$AR26+J$163*Mat_Sum!$AS26+J$160*Mat_Sum!$AV26+J$161*Mat_Sum!$AT26+J$162*Mat_Sum!$AU26+J$164*Mat_Sum!$U26+J$165*Mat_Sum!$BH26+J$166*Mat_Sum!$BG26+J$167*Mat_Sum!$BJ26+J$168*Mat_Sum!$BI26+J$169*Mat_Sum!$AW26+J$170*Mat_Sum!$CN26+J$171*Mat_Sum!$CF26</f>
        <v>1004.6623514175856</v>
      </c>
      <c r="K185" s="348">
        <f ca="1">K$150*Mat_Sum!$D26+K$151*Mat_Sum!$E26+K$152*Mat_Sum!$F26+K$153*Mat_Sum!$I26+K$154*Mat_Sum!$L26+K$155*Mat_Sum!$AG26+K$156*Mat_Sum!$AH26+K$157*Mat_Sum!$AK26+K$158*Mat_Sum!$AM26+K$159*Mat_Sum!$AR26+K$163*Mat_Sum!$AS26+K$160*Mat_Sum!$AV26+K$161*Mat_Sum!$AT26+K$162*Mat_Sum!$AU26+K$164*Mat_Sum!$U26+K$165*Mat_Sum!$BH26+K$166*Mat_Sum!$BG26+K$167*Mat_Sum!$BJ26+K$168*Mat_Sum!$BI26+K$169*Mat_Sum!$AW26+K$170*Mat_Sum!$CN26+K$171*Mat_Sum!$CF26</f>
        <v>1110.3354703505722</v>
      </c>
      <c r="L185" s="64">
        <f>B$155*Mat_Sum!$AE26</f>
        <v>1.1148400722299217</v>
      </c>
      <c r="M185" s="64">
        <f>B$155*Mat_Sum!$AF26</f>
        <v>6.721366602790015</v>
      </c>
      <c r="N185" s="64">
        <f>D$155*Mat_Sum!$AE26</f>
        <v>1.9597685162724874</v>
      </c>
      <c r="O185" s="64">
        <f>D$155*Mat_Sum!$AF26</f>
        <v>11.815437014320572</v>
      </c>
      <c r="P185" s="64">
        <f>F$155*Mat_Sum!$AE26</f>
        <v>1.9749340211977233</v>
      </c>
      <c r="Q185" s="64">
        <f>F$155*Mat_Sum!$AF26</f>
        <v>11.906869786480476</v>
      </c>
      <c r="R185" s="64">
        <f>H$155*Mat_Sum!$AE26</f>
        <v>2.6749860622149293</v>
      </c>
      <c r="S185" s="64">
        <f>H$155*Mat_Sum!$AF26</f>
        <v>16.127480909021489</v>
      </c>
      <c r="T185" s="230" t="s">
        <v>825</v>
      </c>
      <c r="AG185" s="230"/>
    </row>
    <row r="186" spans="1:33">
      <c r="A186" s="230" t="s">
        <v>826</v>
      </c>
      <c r="B186" s="349">
        <f ca="1">B$150*Mat_Sum!$D27+B$151*Mat_Sum!$E27+B$152*Mat_Sum!$F27+B$153*Mat_Sum!$I27+B$154*Mat_Sum!$L27+B$155*Mat_Sum!$AG27+B$156*Mat_Sum!$AH27+B$157*Mat_Sum!$AK27+B$158*Mat_Sum!$AM27+B$159*Mat_Sum!$AR27+B$163*Mat_Sum!$AS27+B$160*Mat_Sum!$AV27+B$161*Mat_Sum!$AT27+B$162*Mat_Sum!$AU27+B$164*Mat_Sum!$U27+B$165*Mat_Sum!$BH27+B$166*Mat_Sum!$BG27+B$167*Mat_Sum!$BJ27+B$168*Mat_Sum!$BI27+B$169*Mat_Sum!$AW27+B$170*Mat_Sum!$CN27+B$171*Mat_Sum!$CF27</f>
        <v>17416.931451193039</v>
      </c>
      <c r="C186" s="349">
        <f ca="1">C$150*Mat_Sum!$D27+C$151*Mat_Sum!$E27+C$152*Mat_Sum!$F27+C$153*Mat_Sum!$I27+C$154*Mat_Sum!$L27+C$155*Mat_Sum!$AG27+C$156*Mat_Sum!$AH27+C$157*Mat_Sum!$AK27+C$158*Mat_Sum!$AM27+C$159*Mat_Sum!$AR27+C$163*Mat_Sum!$AS27+C$160*Mat_Sum!$AV27+C$161*Mat_Sum!$AT27+C$162*Mat_Sum!$AU27+C$164*Mat_Sum!$U27+C$165*Mat_Sum!$BH27+C$166*Mat_Sum!$BG27+C$167*Mat_Sum!$BJ27+C$168*Mat_Sum!$BI27+C$169*Mat_Sum!$AW27+C$170*Mat_Sum!$CN27+C$171*Mat_Sum!$CF27</f>
        <v>15212.426176348761</v>
      </c>
      <c r="D186" s="349">
        <f ca="1">D$150*Mat_Sum!$D27+D$151*Mat_Sum!$E27+D$152*Mat_Sum!$F27+D$153*Mat_Sum!$I27+D$154*Mat_Sum!$L27+D$155*Mat_Sum!$AG27+D$156*Mat_Sum!$AH27+D$157*Mat_Sum!$AK27+D$158*Mat_Sum!$AM27+D$159*Mat_Sum!$AR27+D$163*Mat_Sum!$AS27+D$160*Mat_Sum!$AV27+D$161*Mat_Sum!$AT27+D$162*Mat_Sum!$AU27+D$164*Mat_Sum!$U27+D$165*Mat_Sum!$BH27+D$166*Mat_Sum!$BG27+D$167*Mat_Sum!$BJ27+D$168*Mat_Sum!$BI27+D$169*Mat_Sum!$AW27+D$170*Mat_Sum!$CN27+D$171*Mat_Sum!$CF27</f>
        <v>20460.581097576935</v>
      </c>
      <c r="E186" s="349">
        <f ca="1">E$150*Mat_Sum!$D27+E$151*Mat_Sum!$E27+E$152*Mat_Sum!$F27+E$153*Mat_Sum!$I27+E$154*Mat_Sum!$L27+E$155*Mat_Sum!$AG27+E$156*Mat_Sum!$AH27+E$157*Mat_Sum!$AK27+E$158*Mat_Sum!$AM27+E$159*Mat_Sum!$AR27+E$163*Mat_Sum!$AS27+E$160*Mat_Sum!$AV27+E$161*Mat_Sum!$AT27+E$162*Mat_Sum!$AU27+E$164*Mat_Sum!$U27+E$165*Mat_Sum!$BH27+E$166*Mat_Sum!$BG27+E$167*Mat_Sum!$BJ27+E$168*Mat_Sum!$BI27+E$169*Mat_Sum!$AW27+E$170*Mat_Sum!$CN27+E$171*Mat_Sum!$CF27</f>
        <v>18447.002002470406</v>
      </c>
      <c r="F186" s="349">
        <f ca="1">F$150*Mat_Sum!$D27+F$151*Mat_Sum!$E27+F$152*Mat_Sum!$F27+F$153*Mat_Sum!$I27+F$154*Mat_Sum!$L27+F$155*Mat_Sum!$AG27+F$156*Mat_Sum!$AH27+F$157*Mat_Sum!$AK27+F$158*Mat_Sum!$AM27+F$159*Mat_Sum!$AR27+F$163*Mat_Sum!$AS27+F$160*Mat_Sum!$AV27+F$161*Mat_Sum!$AT27+F$162*Mat_Sum!$AU27+F$164*Mat_Sum!$U27+F$165*Mat_Sum!$BH27+F$166*Mat_Sum!$BG27+F$167*Mat_Sum!$BJ27+F$168*Mat_Sum!$BI27+F$169*Mat_Sum!$AW27+F$170*Mat_Sum!$CN27+F$171*Mat_Sum!$CF27</f>
        <v>20556.826972394916</v>
      </c>
      <c r="G186" s="349">
        <f ca="1">G$150*Mat_Sum!$D27+G$151*Mat_Sum!$E27+G$152*Mat_Sum!$F27+G$153*Mat_Sum!$I27+G$154*Mat_Sum!$L27+G$155*Mat_Sum!$AG27+G$156*Mat_Sum!$AH27+G$157*Mat_Sum!$AK27+G$158*Mat_Sum!$AM27+G$159*Mat_Sum!$AR27+G$163*Mat_Sum!$AS27+G$160*Mat_Sum!$AV27+G$161*Mat_Sum!$AT27+G$162*Mat_Sum!$AU27+G$164*Mat_Sum!$U27+G$165*Mat_Sum!$BH27+G$166*Mat_Sum!$BG27+G$167*Mat_Sum!$BJ27+G$168*Mat_Sum!$BI27+G$169*Mat_Sum!$AW27+G$170*Mat_Sum!$CN27+G$171*Mat_Sum!$CF27</f>
        <v>18409.913313500168</v>
      </c>
      <c r="H186" s="349">
        <f ca="1">H$150*Mat_Sum!$D27+H$151*Mat_Sum!$E27+H$152*Mat_Sum!$F27+H$153*Mat_Sum!$I27+H$154*Mat_Sum!$L27+H$155*Mat_Sum!$AG27+H$156*Mat_Sum!$AH27+H$157*Mat_Sum!$AK27+H$158*Mat_Sum!$AM27+H$159*Mat_Sum!$AR27+H$163*Mat_Sum!$AS27+H$160*Mat_Sum!$AV27+H$161*Mat_Sum!$AT27+H$162*Mat_Sum!$AU27+H$164*Mat_Sum!$U27+H$165*Mat_Sum!$BH27+H$166*Mat_Sum!$BG27+H$167*Mat_Sum!$BJ27+H$168*Mat_Sum!$BI27+H$169*Mat_Sum!$AW27+H$170*Mat_Sum!$CN27+H$171*Mat_Sum!$CF27</f>
        <v>21799.092954207586</v>
      </c>
      <c r="I186" s="349">
        <f ca="1">I$150*Mat_Sum!$D27+I$151*Mat_Sum!$E27+I$152*Mat_Sum!$F27+I$153*Mat_Sum!$I27+I$154*Mat_Sum!$L27+I$155*Mat_Sum!$AG27+I$156*Mat_Sum!$AH27+I$157*Mat_Sum!$AK27+I$158*Mat_Sum!$AM27+I$159*Mat_Sum!$AR27+I$163*Mat_Sum!$AS27+I$160*Mat_Sum!$AV27+I$161*Mat_Sum!$AT27+I$162*Mat_Sum!$AU27+I$164*Mat_Sum!$U27+I$165*Mat_Sum!$BH27+I$166*Mat_Sum!$BG27+I$167*Mat_Sum!$BJ27+I$168*Mat_Sum!$BI27+I$169*Mat_Sum!$AW27+I$170*Mat_Sum!$CN27+I$171*Mat_Sum!$CF27</f>
        <v>19928.99059976844</v>
      </c>
      <c r="J186" s="349">
        <f ca="1">J$150*Mat_Sum!$D27+J$151*Mat_Sum!$E27+J$152*Mat_Sum!$F27+J$153*Mat_Sum!$I27+J$154*Mat_Sum!$L27+J$155*Mat_Sum!$AG27+J$156*Mat_Sum!$AH27+J$157*Mat_Sum!$AK27+J$158*Mat_Sum!$AM27+J$159*Mat_Sum!$AR27+J$163*Mat_Sum!$AS27+J$160*Mat_Sum!$AV27+J$161*Mat_Sum!$AT27+J$162*Mat_Sum!$AU27+J$164*Mat_Sum!$U27+J$165*Mat_Sum!$BH27+J$166*Mat_Sum!$BG27+J$167*Mat_Sum!$BJ27+J$168*Mat_Sum!$BI27+J$169*Mat_Sum!$AW27+J$170*Mat_Sum!$CN27+J$171*Mat_Sum!$CF27</f>
        <v>18746.478420014249</v>
      </c>
      <c r="K186" s="348">
        <f ca="1">K$150*Mat_Sum!$D27+K$151*Mat_Sum!$E27+K$152*Mat_Sum!$F27+K$153*Mat_Sum!$I27+K$154*Mat_Sum!$L27+K$155*Mat_Sum!$AG27+K$156*Mat_Sum!$AH27+K$157*Mat_Sum!$AK27+K$158*Mat_Sum!$AM27+K$159*Mat_Sum!$AR27+K$163*Mat_Sum!$AS27+K$160*Mat_Sum!$AV27+K$161*Mat_Sum!$AT27+K$162*Mat_Sum!$AU27+K$164*Mat_Sum!$U27+K$165*Mat_Sum!$BH27+K$166*Mat_Sum!$BG27+K$167*Mat_Sum!$BJ27+K$168*Mat_Sum!$BI27+K$169*Mat_Sum!$AW27+K$170*Mat_Sum!$CN27+K$171*Mat_Sum!$CF27</f>
        <v>18039.430432196397</v>
      </c>
      <c r="L186" s="64">
        <f>B$155*Mat_Sum!$AE27</f>
        <v>2.3045368258158536</v>
      </c>
      <c r="M186" s="64">
        <f>B$155*Mat_Sum!$AF27</f>
        <v>4494.675189656592</v>
      </c>
      <c r="N186" s="64">
        <f>D$155*Mat_Sum!$AE27</f>
        <v>4.0511269986830918</v>
      </c>
      <c r="O186" s="64">
        <f>D$155*Mat_Sum!$AF27</f>
        <v>7901.153848857537</v>
      </c>
      <c r="P186" s="64">
        <f>F$155*Mat_Sum!$AE27</f>
        <v>4.0824763064922296</v>
      </c>
      <c r="Q186" s="64">
        <f>F$155*Mat_Sum!$AF27</f>
        <v>7962.2962677784235</v>
      </c>
      <c r="R186" s="64">
        <f>H$155*Mat_Sum!$AE27</f>
        <v>5.5295858504510873</v>
      </c>
      <c r="S186" s="64">
        <f>H$155*Mat_Sum!$AF27</f>
        <v>10784.680050534636</v>
      </c>
      <c r="T186" s="230" t="s">
        <v>826</v>
      </c>
      <c r="AG186" s="230"/>
    </row>
    <row r="187" spans="1:33">
      <c r="A187" s="230" t="s">
        <v>827</v>
      </c>
      <c r="B187" s="349">
        <f ca="1">B$150*Mat_Sum!$D28+B$151*Mat_Sum!$E28+B$152*Mat_Sum!$F28+B$153*Mat_Sum!$I28+B$154*Mat_Sum!$L28+B$155*Mat_Sum!$AG28+B$156*Mat_Sum!$AH28+B$157*Mat_Sum!$AK28+B$158*Mat_Sum!$AM28+B$159*Mat_Sum!$AR28+B$163*Mat_Sum!$AS28+B$160*Mat_Sum!$AV28+B$161*Mat_Sum!$AT28+B$162*Mat_Sum!$AU28+B$164*Mat_Sum!$U28+B$165*Mat_Sum!$BH28+B$166*Mat_Sum!$BG28+B$167*Mat_Sum!$BJ28+B$168*Mat_Sum!$BI28+B$169*Mat_Sum!$AW28+B$170*Mat_Sum!$CN28+B$171*Mat_Sum!$CF28</f>
        <v>24.200380952893905</v>
      </c>
      <c r="C187" s="349">
        <f ca="1">C$150*Mat_Sum!$D28+C$151*Mat_Sum!$E28+C$152*Mat_Sum!$F28+C$153*Mat_Sum!$I28+C$154*Mat_Sum!$L28+C$155*Mat_Sum!$AG28+C$156*Mat_Sum!$AH28+C$157*Mat_Sum!$AK28+C$158*Mat_Sum!$AM28+C$159*Mat_Sum!$AR28+C$163*Mat_Sum!$AS28+C$160*Mat_Sum!$AV28+C$161*Mat_Sum!$AT28+C$162*Mat_Sum!$AU28+C$164*Mat_Sum!$U28+C$165*Mat_Sum!$BH28+C$166*Mat_Sum!$BG28+C$167*Mat_Sum!$BJ28+C$168*Mat_Sum!$BI28+C$169*Mat_Sum!$AW28+C$170*Mat_Sum!$CN28+C$171*Mat_Sum!$CF28</f>
        <v>36.025311562554286</v>
      </c>
      <c r="D187" s="349">
        <f ca="1">D$150*Mat_Sum!$D28+D$151*Mat_Sum!$E28+D$152*Mat_Sum!$F28+D$153*Mat_Sum!$I28+D$154*Mat_Sum!$L28+D$155*Mat_Sum!$AG28+D$156*Mat_Sum!$AH28+D$157*Mat_Sum!$AK28+D$158*Mat_Sum!$AM28+D$159*Mat_Sum!$AR28+D$163*Mat_Sum!$AS28+D$160*Mat_Sum!$AV28+D$161*Mat_Sum!$AT28+D$162*Mat_Sum!$AU28+D$164*Mat_Sum!$U28+D$165*Mat_Sum!$BH28+D$166*Mat_Sum!$BG28+D$167*Mat_Sum!$BJ28+D$168*Mat_Sum!$BI28+D$169*Mat_Sum!$AW28+D$170*Mat_Sum!$CN28+D$171*Mat_Sum!$CF28</f>
        <v>24.126566772220123</v>
      </c>
      <c r="E187" s="349">
        <f ca="1">E$150*Mat_Sum!$D28+E$151*Mat_Sum!$E28+E$152*Mat_Sum!$F28+E$153*Mat_Sum!$I28+E$154*Mat_Sum!$L28+E$155*Mat_Sum!$AG28+E$156*Mat_Sum!$AH28+E$157*Mat_Sum!$AK28+E$158*Mat_Sum!$AM28+E$159*Mat_Sum!$AR28+E$163*Mat_Sum!$AS28+E$160*Mat_Sum!$AV28+E$161*Mat_Sum!$AT28+E$162*Mat_Sum!$AU28+E$164*Mat_Sum!$U28+E$165*Mat_Sum!$BH28+E$166*Mat_Sum!$BG28+E$167*Mat_Sum!$BJ28+E$168*Mat_Sum!$BI28+E$169*Mat_Sum!$AW28+E$170*Mat_Sum!$CN28+E$171*Mat_Sum!$CF28</f>
        <v>36.699866284885132</v>
      </c>
      <c r="F187" s="349">
        <f ca="1">F$150*Mat_Sum!$D28+F$151*Mat_Sum!$E28+F$152*Mat_Sum!$F28+F$153*Mat_Sum!$I28+F$154*Mat_Sum!$L28+F$155*Mat_Sum!$AG28+F$156*Mat_Sum!$AH28+F$157*Mat_Sum!$AK28+F$158*Mat_Sum!$AM28+F$159*Mat_Sum!$AR28+F$163*Mat_Sum!$AS28+F$160*Mat_Sum!$AV28+F$161*Mat_Sum!$AT28+F$162*Mat_Sum!$AU28+F$164*Mat_Sum!$U28+F$165*Mat_Sum!$BH28+F$166*Mat_Sum!$BG28+F$167*Mat_Sum!$BJ28+F$168*Mat_Sum!$BI28+F$169*Mat_Sum!$AW28+F$170*Mat_Sum!$CN28+F$171*Mat_Sum!$CF28</f>
        <v>24.132521743817435</v>
      </c>
      <c r="G187" s="349">
        <f ca="1">G$150*Mat_Sum!$D28+G$151*Mat_Sum!$E28+G$152*Mat_Sum!$F28+G$153*Mat_Sum!$I28+G$154*Mat_Sum!$L28+G$155*Mat_Sum!$AG28+G$156*Mat_Sum!$AH28+G$157*Mat_Sum!$AK28+G$158*Mat_Sum!$AM28+G$159*Mat_Sum!$AR28+G$163*Mat_Sum!$AS28+G$160*Mat_Sum!$AV28+G$161*Mat_Sum!$AT28+G$162*Mat_Sum!$AU28+G$164*Mat_Sum!$U28+G$165*Mat_Sum!$BH28+G$166*Mat_Sum!$BG28+G$167*Mat_Sum!$BJ28+G$168*Mat_Sum!$BI28+G$169*Mat_Sum!$AW28+G$170*Mat_Sum!$CN28+G$171*Mat_Sum!$CF28</f>
        <v>36.679196885300009</v>
      </c>
      <c r="H187" s="349">
        <f ca="1">H$150*Mat_Sum!$D28+H$151*Mat_Sum!$E28+H$152*Mat_Sum!$F28+H$153*Mat_Sum!$I28+H$154*Mat_Sum!$L28+H$155*Mat_Sum!$AG28+H$156*Mat_Sum!$AH28+H$157*Mat_Sum!$AK28+H$158*Mat_Sum!$AM28+H$159*Mat_Sum!$AR28+H$163*Mat_Sum!$AS28+H$160*Mat_Sum!$AV28+H$161*Mat_Sum!$AT28+H$162*Mat_Sum!$AU28+H$164*Mat_Sum!$U28+H$165*Mat_Sum!$BH28+H$166*Mat_Sum!$BG28+H$167*Mat_Sum!$BJ28+H$168*Mat_Sum!$BI28+H$169*Mat_Sum!$AW28+H$170*Mat_Sum!$CN28+H$171*Mat_Sum!$CF28</f>
        <v>22.928861977371962</v>
      </c>
      <c r="I187" s="349">
        <f ca="1">I$150*Mat_Sum!$D28+I$151*Mat_Sum!$E28+I$152*Mat_Sum!$F28+I$153*Mat_Sum!$I28+I$154*Mat_Sum!$L28+I$155*Mat_Sum!$AG28+I$156*Mat_Sum!$AH28+I$157*Mat_Sum!$AK28+I$158*Mat_Sum!$AM28+I$159*Mat_Sum!$AR28+I$163*Mat_Sum!$AS28+I$160*Mat_Sum!$AV28+I$161*Mat_Sum!$AT28+I$162*Mat_Sum!$AU28+I$164*Mat_Sum!$U28+I$165*Mat_Sum!$BH28+I$166*Mat_Sum!$BG28+I$167*Mat_Sum!$BJ28+I$168*Mat_Sum!$BI28+I$169*Mat_Sum!$AW28+I$170*Mat_Sum!$CN28+I$171*Mat_Sum!$CF28</f>
        <v>36.376860707475572</v>
      </c>
      <c r="J187" s="349">
        <f ca="1">J$150*Mat_Sum!$D28+J$151*Mat_Sum!$E28+J$152*Mat_Sum!$F28+J$153*Mat_Sum!$I28+J$154*Mat_Sum!$L28+J$155*Mat_Sum!$AG28+J$156*Mat_Sum!$AH28+J$157*Mat_Sum!$AK28+J$158*Mat_Sum!$AM28+J$159*Mat_Sum!$AR28+J$163*Mat_Sum!$AS28+J$160*Mat_Sum!$AV28+J$161*Mat_Sum!$AT28+J$162*Mat_Sum!$AU28+J$164*Mat_Sum!$U28+J$165*Mat_Sum!$BH28+J$166*Mat_Sum!$BG28+J$167*Mat_Sum!$BJ28+J$168*Mat_Sum!$BI28+J$169*Mat_Sum!$AW28+J$170*Mat_Sum!$CN28+J$171*Mat_Sum!$CF28</f>
        <v>33.717335270307174</v>
      </c>
      <c r="K187" s="348">
        <f ca="1">K$150*Mat_Sum!$D28+K$151*Mat_Sum!$E28+K$152*Mat_Sum!$F28+K$153*Mat_Sum!$I28+K$154*Mat_Sum!$L28+K$155*Mat_Sum!$AG28+K$156*Mat_Sum!$AH28+K$157*Mat_Sum!$AK28+K$158*Mat_Sum!$AM28+K$159*Mat_Sum!$AR28+K$163*Mat_Sum!$AS28+K$160*Mat_Sum!$AV28+K$161*Mat_Sum!$AT28+K$162*Mat_Sum!$AU28+K$164*Mat_Sum!$U28+K$165*Mat_Sum!$BH28+K$166*Mat_Sum!$BG28+K$167*Mat_Sum!$BJ28+K$168*Mat_Sum!$BI28+K$169*Mat_Sum!$AW28+K$170*Mat_Sum!$CN28+K$171*Mat_Sum!$CF28</f>
        <v>48.982642325074423</v>
      </c>
      <c r="L187" s="64">
        <f>B$155*Mat_Sum!$AE28</f>
        <v>2.1182107512860666E-2</v>
      </c>
      <c r="M187" s="64">
        <f>B$155*Mat_Sum!$AF28</f>
        <v>1.385700560284747</v>
      </c>
      <c r="N187" s="64">
        <f>D$155*Mat_Sum!$AE28</f>
        <v>3.7235858708388733E-2</v>
      </c>
      <c r="O187" s="64">
        <f>D$155*Mat_Sum!$AF28</f>
        <v>2.4359120188380921</v>
      </c>
      <c r="P187" s="64">
        <f>F$155*Mat_Sum!$AE28</f>
        <v>3.7524005289961297E-2</v>
      </c>
      <c r="Q187" s="64">
        <f>F$155*Mat_Sum!$AF28</f>
        <v>2.4547621204763175</v>
      </c>
      <c r="R187" s="64">
        <f>H$155*Mat_Sum!$AE28</f>
        <v>5.0825085836665757E-2</v>
      </c>
      <c r="S187" s="64">
        <f>H$155*Mat_Sum!$AF28</f>
        <v>3.3248981423414876</v>
      </c>
      <c r="T187" s="230" t="s">
        <v>827</v>
      </c>
      <c r="AG187" s="230"/>
    </row>
    <row r="188" spans="1:33">
      <c r="A188" s="230" t="s">
        <v>828</v>
      </c>
      <c r="B188" s="349">
        <f ca="1">B$150*Mat_Sum!$D29+B$151*Mat_Sum!$E29+B$152*Mat_Sum!$F29+B$153*Mat_Sum!$I29+B$154*Mat_Sum!$L29+B$155*Mat_Sum!$AG29+B$156*Mat_Sum!$AH29+B$157*Mat_Sum!$AK29+B$158*Mat_Sum!$AM29+B$159*Mat_Sum!$AR29+B$163*Mat_Sum!$AS29+B$160*Mat_Sum!$AV29+B$161*Mat_Sum!$AT29+B$162*Mat_Sum!$AU29+B$164*Mat_Sum!$U29+B$165*Mat_Sum!$BH29+B$166*Mat_Sum!$BG29+B$167*Mat_Sum!$BJ29+B$168*Mat_Sum!$BI29+B$169*Mat_Sum!$AW29+B$170*Mat_Sum!$CN29+B$171*Mat_Sum!$CF29</f>
        <v>53.355173708414767</v>
      </c>
      <c r="C188" s="349">
        <f ca="1">C$150*Mat_Sum!$D29+C$151*Mat_Sum!$E29+C$152*Mat_Sum!$F29+C$153*Mat_Sum!$I29+C$154*Mat_Sum!$L29+C$155*Mat_Sum!$AG29+C$156*Mat_Sum!$AH29+C$157*Mat_Sum!$AK29+C$158*Mat_Sum!$AM29+C$159*Mat_Sum!$AR29+C$163*Mat_Sum!$AS29+C$160*Mat_Sum!$AV29+C$161*Mat_Sum!$AT29+C$162*Mat_Sum!$AU29+C$164*Mat_Sum!$U29+C$165*Mat_Sum!$BH29+C$166*Mat_Sum!$BG29+C$167*Mat_Sum!$BJ29+C$168*Mat_Sum!$BI29+C$169*Mat_Sum!$AW29+C$170*Mat_Sum!$CN29+C$171*Mat_Sum!$CF29</f>
        <v>83.751112997760004</v>
      </c>
      <c r="D188" s="349">
        <f ca="1">D$150*Mat_Sum!$D29+D$151*Mat_Sum!$E29+D$152*Mat_Sum!$F29+D$153*Mat_Sum!$I29+D$154*Mat_Sum!$L29+D$155*Mat_Sum!$AG29+D$156*Mat_Sum!$AH29+D$157*Mat_Sum!$AK29+D$158*Mat_Sum!$AM29+D$159*Mat_Sum!$AR29+D$163*Mat_Sum!$AS29+D$160*Mat_Sum!$AV29+D$161*Mat_Sum!$AT29+D$162*Mat_Sum!$AU29+D$164*Mat_Sum!$U29+D$165*Mat_Sum!$BH29+D$166*Mat_Sum!$BG29+D$167*Mat_Sum!$BJ29+D$168*Mat_Sum!$BI29+D$169*Mat_Sum!$AW29+D$170*Mat_Sum!$CN29+D$171*Mat_Sum!$CF29</f>
        <v>52.606034053152214</v>
      </c>
      <c r="E188" s="349">
        <f ca="1">E$150*Mat_Sum!$D29+E$151*Mat_Sum!$E29+E$152*Mat_Sum!$F29+E$153*Mat_Sum!$I29+E$154*Mat_Sum!$L29+E$155*Mat_Sum!$AG29+E$156*Mat_Sum!$AH29+E$157*Mat_Sum!$AK29+E$158*Mat_Sum!$AM29+E$159*Mat_Sum!$AR29+E$163*Mat_Sum!$AS29+E$160*Mat_Sum!$AV29+E$161*Mat_Sum!$AT29+E$162*Mat_Sum!$AU29+E$164*Mat_Sum!$U29+E$165*Mat_Sum!$BH29+E$166*Mat_Sum!$BG29+E$167*Mat_Sum!$BJ29+E$168*Mat_Sum!$BI29+E$169*Mat_Sum!$AW29+E$170*Mat_Sum!$CN29+E$171*Mat_Sum!$CF29</f>
        <v>84.549993001118239</v>
      </c>
      <c r="F188" s="349">
        <f ca="1">F$150*Mat_Sum!$D29+F$151*Mat_Sum!$E29+F$152*Mat_Sum!$F29+F$153*Mat_Sum!$I29+F$154*Mat_Sum!$L29+F$155*Mat_Sum!$AG29+F$156*Mat_Sum!$AH29+F$157*Mat_Sum!$AK29+F$158*Mat_Sum!$AM29+F$159*Mat_Sum!$AR29+F$163*Mat_Sum!$AS29+F$160*Mat_Sum!$AV29+F$161*Mat_Sum!$AT29+F$162*Mat_Sum!$AU29+F$164*Mat_Sum!$U29+F$165*Mat_Sum!$BH29+F$166*Mat_Sum!$BG29+F$167*Mat_Sum!$BJ29+F$168*Mat_Sum!$BI29+F$169*Mat_Sum!$AW29+F$170*Mat_Sum!$CN29+F$171*Mat_Sum!$CF29</f>
        <v>52.631339270934802</v>
      </c>
      <c r="G188" s="349">
        <f ca="1">G$150*Mat_Sum!$D29+G$151*Mat_Sum!$E29+G$152*Mat_Sum!$F29+G$153*Mat_Sum!$I29+G$154*Mat_Sum!$L29+G$155*Mat_Sum!$AG29+G$156*Mat_Sum!$AH29+G$157*Mat_Sum!$AK29+G$158*Mat_Sum!$AM29+G$159*Mat_Sum!$AR29+G$163*Mat_Sum!$AS29+G$160*Mat_Sum!$AV29+G$161*Mat_Sum!$AT29+G$162*Mat_Sum!$AU29+G$164*Mat_Sum!$U29+G$165*Mat_Sum!$BH29+G$166*Mat_Sum!$BG29+G$167*Mat_Sum!$BJ29+G$168*Mat_Sum!$BI29+G$169*Mat_Sum!$AW29+G$170*Mat_Sum!$CN29+G$171*Mat_Sum!$CF29</f>
        <v>84.630365658504786</v>
      </c>
      <c r="H188" s="349">
        <f ca="1">H$150*Mat_Sum!$D29+H$151*Mat_Sum!$E29+H$152*Mat_Sum!$F29+H$153*Mat_Sum!$I29+H$154*Mat_Sum!$L29+H$155*Mat_Sum!$AG29+H$156*Mat_Sum!$AH29+H$157*Mat_Sum!$AK29+H$158*Mat_Sum!$AM29+H$159*Mat_Sum!$AR29+H$163*Mat_Sum!$AS29+H$160*Mat_Sum!$AV29+H$161*Mat_Sum!$AT29+H$162*Mat_Sum!$AU29+H$164*Mat_Sum!$U29+H$165*Mat_Sum!$BH29+H$166*Mat_Sum!$BG29+H$167*Mat_Sum!$BJ29+H$168*Mat_Sum!$BI29+H$169*Mat_Sum!$AW29+H$170*Mat_Sum!$CN29+H$171*Mat_Sum!$CF29</f>
        <v>48.182580314646245</v>
      </c>
      <c r="I188" s="349">
        <f ca="1">I$150*Mat_Sum!$D29+I$151*Mat_Sum!$E29+I$152*Mat_Sum!$F29+I$153*Mat_Sum!$I29+I$154*Mat_Sum!$L29+I$155*Mat_Sum!$AG29+I$156*Mat_Sum!$AH29+I$157*Mat_Sum!$AK29+I$158*Mat_Sum!$AM29+I$159*Mat_Sum!$AR29+I$163*Mat_Sum!$AS29+I$160*Mat_Sum!$AV29+I$161*Mat_Sum!$AT29+I$162*Mat_Sum!$AU29+I$164*Mat_Sum!$U29+I$165*Mat_Sum!$BH29+I$166*Mat_Sum!$BG29+I$167*Mat_Sum!$BJ29+I$168*Mat_Sum!$BI29+I$169*Mat_Sum!$AW29+I$170*Mat_Sum!$CN29+I$171*Mat_Sum!$CF29</f>
        <v>81.812379258361801</v>
      </c>
      <c r="J188" s="349">
        <f ca="1">J$150*Mat_Sum!$D29+J$151*Mat_Sum!$E29+J$152*Mat_Sum!$F29+J$153*Mat_Sum!$I29+J$154*Mat_Sum!$L29+J$155*Mat_Sum!$AG29+J$156*Mat_Sum!$AH29+J$157*Mat_Sum!$AK29+J$158*Mat_Sum!$AM29+J$159*Mat_Sum!$AR29+J$163*Mat_Sum!$AS29+J$160*Mat_Sum!$AV29+J$161*Mat_Sum!$AT29+J$162*Mat_Sum!$AU29+J$164*Mat_Sum!$U29+J$165*Mat_Sum!$BH29+J$166*Mat_Sum!$BG29+J$167*Mat_Sum!$BJ29+J$168*Mat_Sum!$BI29+J$169*Mat_Sum!$AW29+J$170*Mat_Sum!$CN29+J$171*Mat_Sum!$CF29</f>
        <v>83.38263999381671</v>
      </c>
      <c r="K188" s="348">
        <f ca="1">K$150*Mat_Sum!$D29+K$151*Mat_Sum!$E29+K$152*Mat_Sum!$F29+K$153*Mat_Sum!$I29+K$154*Mat_Sum!$L29+K$155*Mat_Sum!$AG29+K$156*Mat_Sum!$AH29+K$157*Mat_Sum!$AK29+K$158*Mat_Sum!$AM29+K$159*Mat_Sum!$AR29+K$163*Mat_Sum!$AS29+K$160*Mat_Sum!$AV29+K$161*Mat_Sum!$AT29+K$162*Mat_Sum!$AU29+K$164*Mat_Sum!$U29+K$165*Mat_Sum!$BH29+K$166*Mat_Sum!$BG29+K$167*Mat_Sum!$BJ29+K$168*Mat_Sum!$BI29+K$169*Mat_Sum!$AW29+K$170*Mat_Sum!$CN29+K$171*Mat_Sum!$CF29</f>
        <v>119.63345033771125</v>
      </c>
      <c r="L188" s="64">
        <f>B$155*Mat_Sum!$AE29</f>
        <v>8.2332474549564688E-2</v>
      </c>
      <c r="M188" s="64">
        <f>B$155*Mat_Sum!$AF29</f>
        <v>1.4341347130277178</v>
      </c>
      <c r="N188" s="64">
        <f>D$155*Mat_Sum!$AE29</f>
        <v>0.14473160366966589</v>
      </c>
      <c r="O188" s="64">
        <f>D$155*Mat_Sum!$AF29</f>
        <v>2.5210540316006465</v>
      </c>
      <c r="P188" s="64">
        <f>F$155*Mat_Sum!$AE29</f>
        <v>0.14585159709239134</v>
      </c>
      <c r="Q188" s="64">
        <f>F$155*Mat_Sum!$AF29</f>
        <v>2.5405629975910506</v>
      </c>
      <c r="R188" s="64">
        <f>H$155*Mat_Sum!$AE29</f>
        <v>0.19755140434378787</v>
      </c>
      <c r="S188" s="64">
        <f>H$155*Mat_Sum!$AF29</f>
        <v>3.441112733788211</v>
      </c>
      <c r="T188" s="230" t="s">
        <v>828</v>
      </c>
      <c r="AG188" s="230"/>
    </row>
    <row r="189" spans="1:33">
      <c r="A189" s="230" t="s">
        <v>829</v>
      </c>
      <c r="B189" s="349">
        <f ca="1">B$150*Mat_Sum!$D30+B$151*Mat_Sum!$E30+B$152*Mat_Sum!$F30+B$153*Mat_Sum!$I30+B$154*Mat_Sum!$L30+B$155*Mat_Sum!$AG30+B$156*Mat_Sum!$AH30+B$157*Mat_Sum!$AK30+B$158*Mat_Sum!$AM30+B$159*Mat_Sum!$AR30+B$163*Mat_Sum!$AS30+B$160*Mat_Sum!$AV30+B$161*Mat_Sum!$AT30+B$162*Mat_Sum!$AU30+B$164*Mat_Sum!$U30+B$165*Mat_Sum!$BH30+B$166*Mat_Sum!$BG30+B$167*Mat_Sum!$BJ30+B$168*Mat_Sum!$BI30+B$169*Mat_Sum!$AW30+B$170*Mat_Sum!$CN30+B$171*Mat_Sum!$CF30</f>
        <v>10573.239112101242</v>
      </c>
      <c r="C189" s="349">
        <f ca="1">C$150*Mat_Sum!$D30+C$151*Mat_Sum!$E30+C$152*Mat_Sum!$F30+C$153*Mat_Sum!$I30+C$154*Mat_Sum!$L30+C$155*Mat_Sum!$AG30+C$156*Mat_Sum!$AH30+C$157*Mat_Sum!$AK30+C$158*Mat_Sum!$AM30+C$159*Mat_Sum!$AR30+C$163*Mat_Sum!$AS30+C$160*Mat_Sum!$AV30+C$161*Mat_Sum!$AT30+C$162*Mat_Sum!$AU30+C$164*Mat_Sum!$U30+C$165*Mat_Sum!$BH30+C$166*Mat_Sum!$BG30+C$167*Mat_Sum!$BJ30+C$168*Mat_Sum!$BI30+C$169*Mat_Sum!$AW30+C$170*Mat_Sum!$CN30+C$171*Mat_Sum!$CF30</f>
        <v>15373.180070240769</v>
      </c>
      <c r="D189" s="349">
        <f ca="1">D$150*Mat_Sum!$D30+D$151*Mat_Sum!$E30+D$152*Mat_Sum!$F30+D$153*Mat_Sum!$I30+D$154*Mat_Sum!$L30+D$155*Mat_Sum!$AG30+D$156*Mat_Sum!$AH30+D$157*Mat_Sum!$AK30+D$158*Mat_Sum!$AM30+D$159*Mat_Sum!$AR30+D$163*Mat_Sum!$AS30+D$160*Mat_Sum!$AV30+D$161*Mat_Sum!$AT30+D$162*Mat_Sum!$AU30+D$164*Mat_Sum!$U30+D$165*Mat_Sum!$BH30+D$166*Mat_Sum!$BG30+D$167*Mat_Sum!$BJ30+D$168*Mat_Sum!$BI30+D$169*Mat_Sum!$AW30+D$170*Mat_Sum!$CN30+D$171*Mat_Sum!$CF30</f>
        <v>10169.27376055887</v>
      </c>
      <c r="E189" s="349">
        <f ca="1">E$150*Mat_Sum!$D30+E$151*Mat_Sum!$E30+E$152*Mat_Sum!$F30+E$153*Mat_Sum!$I30+E$154*Mat_Sum!$L30+E$155*Mat_Sum!$AG30+E$156*Mat_Sum!$AH30+E$157*Mat_Sum!$AK30+E$158*Mat_Sum!$AM30+E$159*Mat_Sum!$AR30+E$163*Mat_Sum!$AS30+E$160*Mat_Sum!$AV30+E$161*Mat_Sum!$AT30+E$162*Mat_Sum!$AU30+E$164*Mat_Sum!$U30+E$165*Mat_Sum!$BH30+E$166*Mat_Sum!$BG30+E$167*Mat_Sum!$BJ30+E$168*Mat_Sum!$BI30+E$169*Mat_Sum!$AW30+E$170*Mat_Sum!$CN30+E$171*Mat_Sum!$CF30</f>
        <v>15317.231502114506</v>
      </c>
      <c r="F189" s="349">
        <f ca="1">F$150*Mat_Sum!$D30+F$151*Mat_Sum!$E30+F$152*Mat_Sum!$F30+F$153*Mat_Sum!$I30+F$154*Mat_Sum!$L30+F$155*Mat_Sum!$AG30+F$156*Mat_Sum!$AH30+F$157*Mat_Sum!$AK30+F$158*Mat_Sum!$AM30+F$159*Mat_Sum!$AR30+F$163*Mat_Sum!$AS30+F$160*Mat_Sum!$AV30+F$161*Mat_Sum!$AT30+F$162*Mat_Sum!$AU30+F$164*Mat_Sum!$U30+F$165*Mat_Sum!$BH30+F$166*Mat_Sum!$BG30+F$167*Mat_Sum!$BJ30+F$168*Mat_Sum!$BI30+F$169*Mat_Sum!$AW30+F$170*Mat_Sum!$CN30+F$171*Mat_Sum!$CF30</f>
        <v>10172.521134087328</v>
      </c>
      <c r="G189" s="349">
        <f ca="1">G$150*Mat_Sum!$D30+G$151*Mat_Sum!$E30+G$152*Mat_Sum!$F30+G$153*Mat_Sum!$I30+G$154*Mat_Sum!$L30+G$155*Mat_Sum!$AG30+G$156*Mat_Sum!$AH30+G$157*Mat_Sum!$AK30+G$158*Mat_Sum!$AM30+G$159*Mat_Sum!$AR30+G$163*Mat_Sum!$AS30+G$160*Mat_Sum!$AV30+G$161*Mat_Sum!$AT30+G$162*Mat_Sum!$AU30+G$164*Mat_Sum!$U30+G$165*Mat_Sum!$BH30+G$166*Mat_Sum!$BG30+G$167*Mat_Sum!$BJ30+G$168*Mat_Sum!$BI30+G$169*Mat_Sum!$AW30+G$170*Mat_Sum!$CN30+G$171*Mat_Sum!$CF30</f>
        <v>15371.132513558254</v>
      </c>
      <c r="H189" s="349">
        <f ca="1">H$150*Mat_Sum!$D30+H$151*Mat_Sum!$E30+H$152*Mat_Sum!$F30+H$153*Mat_Sum!$I30+H$154*Mat_Sum!$L30+H$155*Mat_Sum!$AG30+H$156*Mat_Sum!$AH30+H$157*Mat_Sum!$AK30+H$158*Mat_Sum!$AM30+H$159*Mat_Sum!$AR30+H$163*Mat_Sum!$AS30+H$160*Mat_Sum!$AV30+H$161*Mat_Sum!$AT30+H$162*Mat_Sum!$AU30+H$164*Mat_Sum!$U30+H$165*Mat_Sum!$BH30+H$166*Mat_Sum!$BG30+H$167*Mat_Sum!$BJ30+H$168*Mat_Sum!$BI30+H$169*Mat_Sum!$AW30+H$170*Mat_Sum!$CN30+H$171*Mat_Sum!$CF30</f>
        <v>9253.2002677186047</v>
      </c>
      <c r="I189" s="349">
        <f ca="1">I$150*Mat_Sum!$D30+I$151*Mat_Sum!$E30+I$152*Mat_Sum!$F30+I$153*Mat_Sum!$I30+I$154*Mat_Sum!$L30+I$155*Mat_Sum!$AG30+I$156*Mat_Sum!$AH30+I$157*Mat_Sum!$AK30+I$158*Mat_Sum!$AM30+I$159*Mat_Sum!$AR30+I$163*Mat_Sum!$AS30+I$160*Mat_Sum!$AV30+I$161*Mat_Sum!$AT30+I$162*Mat_Sum!$AU30+I$164*Mat_Sum!$U30+I$165*Mat_Sum!$BH30+I$166*Mat_Sum!$BG30+I$167*Mat_Sum!$BJ30+I$168*Mat_Sum!$BI30+I$169*Mat_Sum!$AW30+I$170*Mat_Sum!$CN30+I$171*Mat_Sum!$CF30</f>
        <v>14902.036168392748</v>
      </c>
      <c r="J189" s="349">
        <f ca="1">J$150*Mat_Sum!$D30+J$151*Mat_Sum!$E30+J$152*Mat_Sum!$F30+J$153*Mat_Sum!$I30+J$154*Mat_Sum!$L30+J$155*Mat_Sum!$AG30+J$156*Mat_Sum!$AH30+J$157*Mat_Sum!$AK30+J$158*Mat_Sum!$AM30+J$159*Mat_Sum!$AR30+J$163*Mat_Sum!$AS30+J$160*Mat_Sum!$AV30+J$161*Mat_Sum!$AT30+J$162*Mat_Sum!$AU30+J$164*Mat_Sum!$U30+J$165*Mat_Sum!$BH30+J$166*Mat_Sum!$BG30+J$167*Mat_Sum!$BJ30+J$168*Mat_Sum!$BI30+J$169*Mat_Sum!$AW30+J$170*Mat_Sum!$CN30+J$171*Mat_Sum!$CF30</f>
        <v>14958.694455120525</v>
      </c>
      <c r="K189" s="348">
        <f ca="1">K$150*Mat_Sum!$D30+K$151*Mat_Sum!$E30+K$152*Mat_Sum!$F30+K$153*Mat_Sum!$I30+K$154*Mat_Sum!$L30+K$155*Mat_Sum!$AG30+K$156*Mat_Sum!$AH30+K$157*Mat_Sum!$AK30+K$158*Mat_Sum!$AM30+K$159*Mat_Sum!$AR30+K$163*Mat_Sum!$AS30+K$160*Mat_Sum!$AV30+K$161*Mat_Sum!$AT30+K$162*Mat_Sum!$AU30+K$164*Mat_Sum!$U30+K$165*Mat_Sum!$BH30+K$166*Mat_Sum!$BG30+K$167*Mat_Sum!$BJ30+K$168*Mat_Sum!$BI30+K$169*Mat_Sum!$AW30+K$170*Mat_Sum!$CN30+K$171*Mat_Sum!$CF30</f>
        <v>21192.059667670212</v>
      </c>
      <c r="L189" s="64">
        <f>B$155*Mat_Sum!$AE30</f>
        <v>12.253879921724495</v>
      </c>
      <c r="M189" s="64">
        <f>B$155*Mat_Sum!$AF30</f>
        <v>170.72629250837963</v>
      </c>
      <c r="N189" s="64">
        <f>D$155*Mat_Sum!$AE30</f>
        <v>21.540998274976339</v>
      </c>
      <c r="O189" s="64">
        <f>D$155*Mat_Sum!$AF30</f>
        <v>300.11839481927603</v>
      </c>
      <c r="P189" s="64">
        <f>F$155*Mat_Sum!$AE30</f>
        <v>21.707691490384757</v>
      </c>
      <c r="Q189" s="64">
        <f>F$155*Mat_Sum!$AF30</f>
        <v>302.44083594280346</v>
      </c>
      <c r="R189" s="64">
        <f>H$155*Mat_Sum!$AE30</f>
        <v>29.402385880428014</v>
      </c>
      <c r="S189" s="64">
        <f>H$155*Mat_Sum!$AF30</f>
        <v>409.64660697929952</v>
      </c>
      <c r="T189" s="230" t="s">
        <v>829</v>
      </c>
      <c r="AG189" s="230"/>
    </row>
    <row r="190" spans="1:33">
      <c r="A190" s="230" t="s">
        <v>830</v>
      </c>
      <c r="B190" s="349">
        <f ca="1">B$150*Mat_Sum!$D31+B$151*Mat_Sum!$E31+B$152*Mat_Sum!$F31+B$153*Mat_Sum!$I31+B$154*Mat_Sum!$L31+B$155*Mat_Sum!$AG31+B$156*Mat_Sum!$AH31+B$157*Mat_Sum!$AK31+B$158*Mat_Sum!$AM31+B$159*Mat_Sum!$AR31+B$163*Mat_Sum!$AS31+B$160*Mat_Sum!$AV31+B$161*Mat_Sum!$AT31+B$162*Mat_Sum!$AU31+B$164*Mat_Sum!$U31+B$165*Mat_Sum!$BH31+B$166*Mat_Sum!$BG31+B$167*Mat_Sum!$BJ31+B$168*Mat_Sum!$BI31+B$169*Mat_Sum!$AW31+B$170*Mat_Sum!$CN31+B$171*Mat_Sum!$CF31</f>
        <v>99.504606542627627</v>
      </c>
      <c r="C190" s="349">
        <f ca="1">C$150*Mat_Sum!$D31+C$151*Mat_Sum!$E31+C$152*Mat_Sum!$F31+C$153*Mat_Sum!$I31+C$154*Mat_Sum!$L31+C$155*Mat_Sum!$AG31+C$156*Mat_Sum!$AH31+C$157*Mat_Sum!$AK31+C$158*Mat_Sum!$AM31+C$159*Mat_Sum!$AR31+C$163*Mat_Sum!$AS31+C$160*Mat_Sum!$AV31+C$161*Mat_Sum!$AT31+C$162*Mat_Sum!$AU31+C$164*Mat_Sum!$U31+C$165*Mat_Sum!$BH31+C$166*Mat_Sum!$BG31+C$167*Mat_Sum!$BJ31+C$168*Mat_Sum!$BI31+C$169*Mat_Sum!$AW31+C$170*Mat_Sum!$CN31+C$171*Mat_Sum!$CF31</f>
        <v>138.69550065504396</v>
      </c>
      <c r="D190" s="349">
        <f ca="1">D$150*Mat_Sum!$D31+D$151*Mat_Sum!$E31+D$152*Mat_Sum!$F31+D$153*Mat_Sum!$I31+D$154*Mat_Sum!$L31+D$155*Mat_Sum!$AG31+D$156*Mat_Sum!$AH31+D$157*Mat_Sum!$AK31+D$158*Mat_Sum!$AM31+D$159*Mat_Sum!$AR31+D$163*Mat_Sum!$AS31+D$160*Mat_Sum!$AV31+D$161*Mat_Sum!$AT31+D$162*Mat_Sum!$AU31+D$164*Mat_Sum!$U31+D$165*Mat_Sum!$BH31+D$166*Mat_Sum!$BG31+D$167*Mat_Sum!$BJ31+D$168*Mat_Sum!$BI31+D$169*Mat_Sum!$AW31+D$170*Mat_Sum!$CN31+D$171*Mat_Sum!$CF31</f>
        <v>92.800056039101904</v>
      </c>
      <c r="E190" s="349">
        <f ca="1">E$150*Mat_Sum!$D31+E$151*Mat_Sum!$E31+E$152*Mat_Sum!$F31+E$153*Mat_Sum!$I31+E$154*Mat_Sum!$L31+E$155*Mat_Sum!$AG31+E$156*Mat_Sum!$AH31+E$157*Mat_Sum!$AK31+E$158*Mat_Sum!$AM31+E$159*Mat_Sum!$AR31+E$163*Mat_Sum!$AS31+E$160*Mat_Sum!$AV31+E$161*Mat_Sum!$AT31+E$162*Mat_Sum!$AU31+E$164*Mat_Sum!$U31+E$165*Mat_Sum!$BH31+E$166*Mat_Sum!$BG31+E$167*Mat_Sum!$BJ31+E$168*Mat_Sum!$BI31+E$169*Mat_Sum!$AW31+E$170*Mat_Sum!$CN31+E$171*Mat_Sum!$CF31</f>
        <v>136.92503234912664</v>
      </c>
      <c r="F190" s="349">
        <f ca="1">F$150*Mat_Sum!$D31+F$151*Mat_Sum!$E31+F$152*Mat_Sum!$F31+F$153*Mat_Sum!$I31+F$154*Mat_Sum!$L31+F$155*Mat_Sum!$AG31+F$156*Mat_Sum!$AH31+F$157*Mat_Sum!$AK31+F$158*Mat_Sum!$AM31+F$159*Mat_Sum!$AR31+F$163*Mat_Sum!$AS31+F$160*Mat_Sum!$AV31+F$161*Mat_Sum!$AT31+F$162*Mat_Sum!$AU31+F$164*Mat_Sum!$U31+F$165*Mat_Sum!$BH31+F$166*Mat_Sum!$BG31+F$167*Mat_Sum!$BJ31+F$168*Mat_Sum!$BI31+F$169*Mat_Sum!$AW31+F$170*Mat_Sum!$CN31+F$171*Mat_Sum!$CF31</f>
        <v>92.777270228280301</v>
      </c>
      <c r="G190" s="349">
        <f ca="1">G$150*Mat_Sum!$D31+G$151*Mat_Sum!$E31+G$152*Mat_Sum!$F31+G$153*Mat_Sum!$I31+G$154*Mat_Sum!$L31+G$155*Mat_Sum!$AG31+G$156*Mat_Sum!$AH31+G$157*Mat_Sum!$AK31+G$158*Mat_Sum!$AM31+G$159*Mat_Sum!$AR31+G$163*Mat_Sum!$AS31+G$160*Mat_Sum!$AV31+G$161*Mat_Sum!$AT31+G$162*Mat_Sum!$AU31+G$164*Mat_Sum!$U31+G$165*Mat_Sum!$BH31+G$166*Mat_Sum!$BG31+G$167*Mat_Sum!$BJ31+G$168*Mat_Sum!$BI31+G$169*Mat_Sum!$AW31+G$170*Mat_Sum!$CN31+G$171*Mat_Sum!$CF31</f>
        <v>137.27799703942662</v>
      </c>
      <c r="H190" s="349">
        <f ca="1">H$150*Mat_Sum!$D31+H$151*Mat_Sum!$E31+H$152*Mat_Sum!$F31+H$153*Mat_Sum!$I31+H$154*Mat_Sum!$L31+H$155*Mat_Sum!$AG31+H$156*Mat_Sum!$AH31+H$157*Mat_Sum!$AK31+H$158*Mat_Sum!$AM31+H$159*Mat_Sum!$AR31+H$163*Mat_Sum!$AS31+H$160*Mat_Sum!$AV31+H$161*Mat_Sum!$AT31+H$162*Mat_Sum!$AU31+H$164*Mat_Sum!$U31+H$165*Mat_Sum!$BH31+H$166*Mat_Sum!$BG31+H$167*Mat_Sum!$BJ31+H$168*Mat_Sum!$BI31+H$169*Mat_Sum!$AW31+H$170*Mat_Sum!$CN31+H$171*Mat_Sum!$CF31</f>
        <v>87.669001783885477</v>
      </c>
      <c r="I190" s="349">
        <f ca="1">I$150*Mat_Sum!$D31+I$151*Mat_Sum!$E31+I$152*Mat_Sum!$F31+I$153*Mat_Sum!$I31+I$154*Mat_Sum!$L31+I$155*Mat_Sum!$AG31+I$156*Mat_Sum!$AH31+I$157*Mat_Sum!$AK31+I$158*Mat_Sum!$AM31+I$159*Mat_Sum!$AR31+I$163*Mat_Sum!$AS31+I$160*Mat_Sum!$AV31+I$161*Mat_Sum!$AT31+I$162*Mat_Sum!$AU31+I$164*Mat_Sum!$U31+I$165*Mat_Sum!$BH31+I$166*Mat_Sum!$BG31+I$167*Mat_Sum!$BJ31+I$168*Mat_Sum!$BI31+I$169*Mat_Sum!$AW31+I$170*Mat_Sum!$CN31+I$171*Mat_Sum!$CF31</f>
        <v>136.28618907720127</v>
      </c>
      <c r="J190" s="349">
        <f ca="1">J$150*Mat_Sum!$D31+J$151*Mat_Sum!$E31+J$152*Mat_Sum!$F31+J$153*Mat_Sum!$I31+J$154*Mat_Sum!$L31+J$155*Mat_Sum!$AG31+J$156*Mat_Sum!$AH31+J$157*Mat_Sum!$AK31+J$158*Mat_Sum!$AM31+J$159*Mat_Sum!$AR31+J$163*Mat_Sum!$AS31+J$160*Mat_Sum!$AV31+J$161*Mat_Sum!$AT31+J$162*Mat_Sum!$AU31+J$164*Mat_Sum!$U31+J$165*Mat_Sum!$BH31+J$166*Mat_Sum!$BG31+J$167*Mat_Sum!$BJ31+J$168*Mat_Sum!$BI31+J$169*Mat_Sum!$AW31+J$170*Mat_Sum!$CN31+J$171*Mat_Sum!$CF31</f>
        <v>133.29545240357683</v>
      </c>
      <c r="K190" s="348">
        <f ca="1">K$150*Mat_Sum!$D31+K$151*Mat_Sum!$E31+K$152*Mat_Sum!$F31+K$153*Mat_Sum!$I31+K$154*Mat_Sum!$L31+K$155*Mat_Sum!$AG31+K$156*Mat_Sum!$AH31+K$157*Mat_Sum!$AK31+K$158*Mat_Sum!$AM31+K$159*Mat_Sum!$AR31+K$163*Mat_Sum!$AS31+K$160*Mat_Sum!$AV31+K$161*Mat_Sum!$AT31+K$162*Mat_Sum!$AU31+K$164*Mat_Sum!$U31+K$165*Mat_Sum!$BH31+K$166*Mat_Sum!$BG31+K$167*Mat_Sum!$BJ31+K$168*Mat_Sum!$BI31+K$169*Mat_Sum!$AW31+K$170*Mat_Sum!$CN31+K$171*Mat_Sum!$CF31</f>
        <v>186.47196868192287</v>
      </c>
      <c r="L190" s="64">
        <f>B$155*Mat_Sum!$AE31</f>
        <v>9.0631629313716239E-2</v>
      </c>
      <c r="M190" s="64">
        <f>B$155*Mat_Sum!$AF31</f>
        <v>1.9437060000380215</v>
      </c>
      <c r="N190" s="64">
        <f>D$155*Mat_Sum!$AE31</f>
        <v>0.15932062197246574</v>
      </c>
      <c r="O190" s="64">
        <f>D$155*Mat_Sum!$AF31</f>
        <v>3.4168253533847164</v>
      </c>
      <c r="P190" s="64">
        <f>F$155*Mat_Sum!$AE31</f>
        <v>0.1605535112944203</v>
      </c>
      <c r="Q190" s="64">
        <f>F$155*Mat_Sum!$AF31</f>
        <v>3.4432661709073824</v>
      </c>
      <c r="R190" s="64">
        <f>H$155*Mat_Sum!$AE31</f>
        <v>0.21746468506921515</v>
      </c>
      <c r="S190" s="64">
        <f>H$155*Mat_Sum!$AF31</f>
        <v>4.6637958113089164</v>
      </c>
      <c r="T190" s="230" t="s">
        <v>830</v>
      </c>
      <c r="AG190" s="230"/>
    </row>
    <row r="191" spans="1:33">
      <c r="A191" s="230" t="s">
        <v>831</v>
      </c>
      <c r="B191" s="419">
        <f ca="1">B$150*Mat_Sum!$D32+B$151*Mat_Sum!$E32+B$152*Mat_Sum!$F32+B$153*Mat_Sum!$I32+B$154*Mat_Sum!$L32+B$155*Mat_Sum!$AG32+B$156*Mat_Sum!$AH32+B$157*Mat_Sum!$AK32+B$158*Mat_Sum!$AM32+B$159*Mat_Sum!$AR32+B$163*Mat_Sum!$AS32+B$160*Mat_Sum!$AV32+B$161*Mat_Sum!$AT32+B$162*Mat_Sum!$AU32+B$164*Mat_Sum!$U32+B$165*Mat_Sum!$BH32+B$166*Mat_Sum!$BG32+B$167*Mat_Sum!$BJ32+B$168*Mat_Sum!$BI32+B$169*Mat_Sum!$AW32+B$170*Mat_Sum!$CN32+B$171*Mat_Sum!$CF32</f>
        <v>3841325.9391376576</v>
      </c>
      <c r="C191" s="419">
        <f ca="1">C$150*Mat_Sum!$D32+C$151*Mat_Sum!$E32+C$152*Mat_Sum!$F32+C$153*Mat_Sum!$I32+C$154*Mat_Sum!$L32+C$155*Mat_Sum!$AG32+C$156*Mat_Sum!$AH32+C$157*Mat_Sum!$AK32+C$158*Mat_Sum!$AM32+C$159*Mat_Sum!$AR32+C$163*Mat_Sum!$AS32+C$160*Mat_Sum!$AV32+C$161*Mat_Sum!$AT32+C$162*Mat_Sum!$AU32+C$164*Mat_Sum!$U32+C$165*Mat_Sum!$BH32+C$166*Mat_Sum!$BG32+C$167*Mat_Sum!$BJ32+C$168*Mat_Sum!$BI32+C$169*Mat_Sum!$AW32+C$170*Mat_Sum!$CN32+C$171*Mat_Sum!$CF32</f>
        <v>5089875.6487105908</v>
      </c>
      <c r="D191" s="419">
        <f ca="1">D$150*Mat_Sum!$D32+D$151*Mat_Sum!$E32+D$152*Mat_Sum!$F32+D$153*Mat_Sum!$I32+D$154*Mat_Sum!$L32+D$155*Mat_Sum!$AG32+D$156*Mat_Sum!$AH32+D$157*Mat_Sum!$AK32+D$158*Mat_Sum!$AM32+D$159*Mat_Sum!$AR32+D$163*Mat_Sum!$AS32+D$160*Mat_Sum!$AV32+D$161*Mat_Sum!$AT32+D$162*Mat_Sum!$AU32+D$164*Mat_Sum!$U32+D$165*Mat_Sum!$BH32+D$166*Mat_Sum!$BG32+D$167*Mat_Sum!$BJ32+D$168*Mat_Sum!$BI32+D$169*Mat_Sum!$AW32+D$170*Mat_Sum!$CN32+D$171*Mat_Sum!$CF32</f>
        <v>3783410.8190479586</v>
      </c>
      <c r="E191" s="419">
        <f ca="1">E$150*Mat_Sum!$D32+E$151*Mat_Sum!$E32+E$152*Mat_Sum!$F32+E$153*Mat_Sum!$I32+E$154*Mat_Sum!$L32+E$155*Mat_Sum!$AG32+E$156*Mat_Sum!$AH32+E$157*Mat_Sum!$AK32+E$158*Mat_Sum!$AM32+E$159*Mat_Sum!$AR32+E$163*Mat_Sum!$AS32+E$160*Mat_Sum!$AV32+E$161*Mat_Sum!$AT32+E$162*Mat_Sum!$AU32+E$164*Mat_Sum!$U32+E$165*Mat_Sum!$BH32+E$166*Mat_Sum!$BG32+E$167*Mat_Sum!$BJ32+E$168*Mat_Sum!$BI32+E$169*Mat_Sum!$AW32+E$170*Mat_Sum!$CN32+E$171*Mat_Sum!$CF32</f>
        <v>5161392.7410857826</v>
      </c>
      <c r="F191" s="419">
        <f ca="1">F$150*Mat_Sum!$D32+F$151*Mat_Sum!$E32+F$152*Mat_Sum!$F32+F$153*Mat_Sum!$I32+F$154*Mat_Sum!$L32+F$155*Mat_Sum!$AG32+F$156*Mat_Sum!$AH32+F$157*Mat_Sum!$AK32+F$158*Mat_Sum!$AM32+F$159*Mat_Sum!$AR32+F$163*Mat_Sum!$AS32+F$160*Mat_Sum!$AV32+F$161*Mat_Sum!$AT32+F$162*Mat_Sum!$AU32+F$164*Mat_Sum!$U32+F$165*Mat_Sum!$BH32+F$166*Mat_Sum!$BG32+F$167*Mat_Sum!$BJ32+F$168*Mat_Sum!$BI32+F$169*Mat_Sum!$AW32+F$170*Mat_Sum!$CN32+F$171*Mat_Sum!$CF32</f>
        <v>3789585.6250035716</v>
      </c>
      <c r="G191" s="419">
        <f ca="1">G$150*Mat_Sum!$D32+G$151*Mat_Sum!$E32+G$152*Mat_Sum!$F32+G$153*Mat_Sum!$I32+G$154*Mat_Sum!$L32+G$155*Mat_Sum!$AG32+G$156*Mat_Sum!$AH32+G$157*Mat_Sum!$AK32+G$158*Mat_Sum!$AM32+G$159*Mat_Sum!$AR32+G$163*Mat_Sum!$AS32+G$160*Mat_Sum!$AV32+G$161*Mat_Sum!$AT32+G$162*Mat_Sum!$AU32+G$164*Mat_Sum!$U32+G$165*Mat_Sum!$BH32+G$166*Mat_Sum!$BG32+G$167*Mat_Sum!$BJ32+G$168*Mat_Sum!$BI32+G$169*Mat_Sum!$AW32+G$170*Mat_Sum!$CN32+G$171*Mat_Sum!$CF32</f>
        <v>5146448.1702240752</v>
      </c>
      <c r="H191" s="419">
        <f ca="1">H$150*Mat_Sum!$D32+H$151*Mat_Sum!$E32+H$152*Mat_Sum!$F32+H$153*Mat_Sum!$I32+H$154*Mat_Sum!$L32+H$155*Mat_Sum!$AG32+H$156*Mat_Sum!$AH32+H$157*Mat_Sum!$AK32+H$158*Mat_Sum!$AM32+H$159*Mat_Sum!$AR32+H$163*Mat_Sum!$AS32+H$160*Mat_Sum!$AV32+H$161*Mat_Sum!$AT32+H$162*Mat_Sum!$AU32+H$164*Mat_Sum!$U32+H$165*Mat_Sum!$BH32+H$166*Mat_Sum!$BG32+H$167*Mat_Sum!$BJ32+H$168*Mat_Sum!$BI32+H$169*Mat_Sum!$AW32+H$170*Mat_Sum!$CN32+H$171*Mat_Sum!$CF32</f>
        <v>3428594.675521302</v>
      </c>
      <c r="I191" s="419">
        <f ca="1">I$150*Mat_Sum!$D32+I$151*Mat_Sum!$E32+I$152*Mat_Sum!$F32+I$153*Mat_Sum!$I32+I$154*Mat_Sum!$L32+I$155*Mat_Sum!$AG32+I$156*Mat_Sum!$AH32+I$157*Mat_Sum!$AK32+I$158*Mat_Sum!$AM32+I$159*Mat_Sum!$AR32+I$163*Mat_Sum!$AS32+I$160*Mat_Sum!$AV32+I$161*Mat_Sum!$AT32+I$162*Mat_Sum!$AU32+I$164*Mat_Sum!$U32+I$165*Mat_Sum!$BH32+I$166*Mat_Sum!$BG32+I$167*Mat_Sum!$BJ32+I$168*Mat_Sum!$BI32+I$169*Mat_Sum!$AW32+I$170*Mat_Sum!$CN32+I$171*Mat_Sum!$CF32</f>
        <v>4855281.1053986521</v>
      </c>
      <c r="J191" s="419">
        <f ca="1">J$150*Mat_Sum!$D32+J$151*Mat_Sum!$E32+J$152*Mat_Sum!$F32+J$153*Mat_Sum!$I32+J$154*Mat_Sum!$L32+J$155*Mat_Sum!$AG32+J$156*Mat_Sum!$AH32+J$157*Mat_Sum!$AK32+J$158*Mat_Sum!$AM32+J$159*Mat_Sum!$AR32+J$163*Mat_Sum!$AS32+J$160*Mat_Sum!$AV32+J$161*Mat_Sum!$AT32+J$162*Mat_Sum!$AU32+J$164*Mat_Sum!$U32+J$165*Mat_Sum!$BH32+J$166*Mat_Sum!$BG32+J$167*Mat_Sum!$BJ32+J$168*Mat_Sum!$BI32+J$169*Mat_Sum!$AW32+J$170*Mat_Sum!$CN32+J$171*Mat_Sum!$CF32</f>
        <v>5352953.8691367805</v>
      </c>
      <c r="K191" s="516">
        <f ca="1">K$150*Mat_Sum!$D32+K$151*Mat_Sum!$E32+K$152*Mat_Sum!$F32+K$153*Mat_Sum!$I32+K$154*Mat_Sum!$L32+K$155*Mat_Sum!$AG32+K$156*Mat_Sum!$AH32+K$157*Mat_Sum!$AK32+K$158*Mat_Sum!$AM32+K$159*Mat_Sum!$AR32+K$163*Mat_Sum!$AS32+K$160*Mat_Sum!$AV32+K$161*Mat_Sum!$AT32+K$162*Mat_Sum!$AU32+K$164*Mat_Sum!$U32+K$165*Mat_Sum!$BH32+K$166*Mat_Sum!$BG32+K$167*Mat_Sum!$BJ32+K$168*Mat_Sum!$BI32+K$169*Mat_Sum!$AW32+K$170*Mat_Sum!$CN32+K$171*Mat_Sum!$CF32</f>
        <v>6920141.5553770605</v>
      </c>
      <c r="L191" s="64">
        <f>B$155*Mat_Sum!$AE32</f>
        <v>6702.0224185966845</v>
      </c>
      <c r="M191" s="64">
        <f>B$155*Mat_Sum!$AF32</f>
        <v>78981.996362354897</v>
      </c>
      <c r="N191" s="64">
        <f>D$155*Mat_Sum!$AE32</f>
        <v>11781.432026430932</v>
      </c>
      <c r="O191" s="64">
        <f>D$155*Mat_Sum!$AF32</f>
        <v>138841.82465175015</v>
      </c>
      <c r="P191" s="64">
        <f>F$155*Mat_Sum!$AE32</f>
        <v>11872.601653833155</v>
      </c>
      <c r="Q191" s="64">
        <f>F$155*Mat_Sum!$AF32</f>
        <v>139916.24051163433</v>
      </c>
      <c r="R191" s="64">
        <f>H$155*Mat_Sum!$AE32</f>
        <v>16081.06580035162</v>
      </c>
      <c r="S191" s="64">
        <f>H$155*Mat_Sum!$AF32</f>
        <v>189512.15039535883</v>
      </c>
      <c r="T191" s="230" t="s">
        <v>831</v>
      </c>
      <c r="AG191" s="230"/>
    </row>
    <row r="192" spans="1:33">
      <c r="A192" s="230" t="s">
        <v>850</v>
      </c>
      <c r="B192" s="419">
        <f ca="1">B$150*Mat_Sum!$D33+B$151*Mat_Sum!$E33+B$152*Mat_Sum!$F33+B$153*Mat_Sum!$I33+B$154*Mat_Sum!$L33+B$155*Mat_Sum!$AG33+B$156*Mat_Sum!$AH33+B$157*Mat_Sum!$AK33+B$158*Mat_Sum!$AM33+B$159*Mat_Sum!$AR33+B$163*Mat_Sum!$AS33+B$160*Mat_Sum!$AV33+B$161*Mat_Sum!$AT33+B$162*Mat_Sum!$AU33+B$164*Mat_Sum!$U33+B$165*Mat_Sum!$BH33+B$166*Mat_Sum!$BG33+B$167*Mat_Sum!$BJ33+B$168*Mat_Sum!$BI33+B$169*Mat_Sum!$AW33+B$170*Mat_Sum!$CN33+B$171*Mat_Sum!$CF33</f>
        <v>3880020.970494994</v>
      </c>
      <c r="C192" s="419">
        <f ca="1">C$150*Mat_Sum!$D33+C$151*Mat_Sum!$E33+C$152*Mat_Sum!$F33+C$153*Mat_Sum!$I33+C$154*Mat_Sum!$L33+C$155*Mat_Sum!$AG33+C$156*Mat_Sum!$AH33+C$157*Mat_Sum!$AK33+C$158*Mat_Sum!$AM33+C$159*Mat_Sum!$AR33+C$163*Mat_Sum!$AS33+C$160*Mat_Sum!$AV33+C$161*Mat_Sum!$AT33+C$162*Mat_Sum!$AU33+C$164*Mat_Sum!$U33+C$165*Mat_Sum!$BH33+C$166*Mat_Sum!$BG33+C$167*Mat_Sum!$BJ33+C$168*Mat_Sum!$BI33+C$169*Mat_Sum!$AW33+C$170*Mat_Sum!$CN33+C$171*Mat_Sum!$CF33</f>
        <v>5115918.6398377558</v>
      </c>
      <c r="D192" s="419">
        <f ca="1">D$150*Mat_Sum!$D33+D$151*Mat_Sum!$E33+D$152*Mat_Sum!$F33+D$153*Mat_Sum!$I33+D$154*Mat_Sum!$L33+D$155*Mat_Sum!$AG33+D$156*Mat_Sum!$AH33+D$157*Mat_Sum!$AK33+D$158*Mat_Sum!$AM33+D$159*Mat_Sum!$AR33+D$163*Mat_Sum!$AS33+D$160*Mat_Sum!$AV33+D$161*Mat_Sum!$AT33+D$162*Mat_Sum!$AU33+D$164*Mat_Sum!$U33+D$165*Mat_Sum!$BH33+D$166*Mat_Sum!$BG33+D$167*Mat_Sum!$BJ33+D$168*Mat_Sum!$BI33+D$169*Mat_Sum!$AW33+D$170*Mat_Sum!$CN33+D$171*Mat_Sum!$CF33</f>
        <v>3822975.7885930971</v>
      </c>
      <c r="E192" s="419">
        <f ca="1">E$150*Mat_Sum!$D33+E$151*Mat_Sum!$E33+E$152*Mat_Sum!$F33+E$153*Mat_Sum!$I33+E$154*Mat_Sum!$L33+E$155*Mat_Sum!$AG33+E$156*Mat_Sum!$AH33+E$157*Mat_Sum!$AK33+E$158*Mat_Sum!$AM33+E$159*Mat_Sum!$AR33+E$163*Mat_Sum!$AS33+E$160*Mat_Sum!$AV33+E$161*Mat_Sum!$AT33+E$162*Mat_Sum!$AU33+E$164*Mat_Sum!$U33+E$165*Mat_Sum!$BH33+E$166*Mat_Sum!$BG33+E$167*Mat_Sum!$BJ33+E$168*Mat_Sum!$BI33+E$169*Mat_Sum!$AW33+E$170*Mat_Sum!$CN33+E$171*Mat_Sum!$CF33</f>
        <v>5188807.8097183257</v>
      </c>
      <c r="F192" s="419">
        <f ca="1">F$150*Mat_Sum!$D33+F$151*Mat_Sum!$E33+F$152*Mat_Sum!$F33+F$153*Mat_Sum!$I33+F$154*Mat_Sum!$L33+F$155*Mat_Sum!$AG33+F$156*Mat_Sum!$AH33+F$157*Mat_Sum!$AK33+F$158*Mat_Sum!$AM33+F$159*Mat_Sum!$AR33+F$163*Mat_Sum!$AS33+F$160*Mat_Sum!$AV33+F$161*Mat_Sum!$AT33+F$162*Mat_Sum!$AU33+F$164*Mat_Sum!$U33+F$165*Mat_Sum!$BH33+F$166*Mat_Sum!$BG33+F$167*Mat_Sum!$BJ33+F$168*Mat_Sum!$BI33+F$169*Mat_Sum!$AW33+F$170*Mat_Sum!$CN33+F$171*Mat_Sum!$CF33</f>
        <v>3829349.2046743189</v>
      </c>
      <c r="G192" s="419">
        <f ca="1">G$150*Mat_Sum!$D33+G$151*Mat_Sum!$E33+G$152*Mat_Sum!$F33+G$153*Mat_Sum!$I33+G$154*Mat_Sum!$L33+G$155*Mat_Sum!$AG33+G$156*Mat_Sum!$AH33+G$157*Mat_Sum!$AK33+G$158*Mat_Sum!$AM33+G$159*Mat_Sum!$AR33+G$163*Mat_Sum!$AS33+G$160*Mat_Sum!$AV33+G$161*Mat_Sum!$AT33+G$162*Mat_Sum!$AU33+G$164*Mat_Sum!$U33+G$165*Mat_Sum!$BH33+G$166*Mat_Sum!$BG33+G$167*Mat_Sum!$BJ33+G$168*Mat_Sum!$BI33+G$169*Mat_Sum!$AW33+G$170*Mat_Sum!$CN33+G$171*Mat_Sum!$CF33</f>
        <v>5174113.5402347082</v>
      </c>
      <c r="H192" s="419">
        <f ca="1">H$150*Mat_Sum!$D33+H$151*Mat_Sum!$E33+H$152*Mat_Sum!$F33+H$153*Mat_Sum!$I33+H$154*Mat_Sum!$L33+H$155*Mat_Sum!$AG33+H$156*Mat_Sum!$AH33+H$157*Mat_Sum!$AK33+H$158*Mat_Sum!$AM33+H$159*Mat_Sum!$AR33+H$163*Mat_Sum!$AS33+H$160*Mat_Sum!$AV33+H$161*Mat_Sum!$AT33+H$162*Mat_Sum!$AU33+H$164*Mat_Sum!$U33+H$165*Mat_Sum!$BH33+H$166*Mat_Sum!$BG33+H$167*Mat_Sum!$BJ33+H$168*Mat_Sum!$BI33+H$169*Mat_Sum!$AW33+H$170*Mat_Sum!$CN33+H$171*Mat_Sum!$CF33</f>
        <v>3462670.9597740141</v>
      </c>
      <c r="I192" s="419">
        <f ca="1">I$150*Mat_Sum!$D33+I$151*Mat_Sum!$E33+I$152*Mat_Sum!$F33+I$153*Mat_Sum!$I33+I$154*Mat_Sum!$L33+I$155*Mat_Sum!$AG33+I$156*Mat_Sum!$AH33+I$157*Mat_Sum!$AK33+I$158*Mat_Sum!$AM33+I$159*Mat_Sum!$AR33+I$163*Mat_Sum!$AS33+I$160*Mat_Sum!$AV33+I$161*Mat_Sum!$AT33+I$162*Mat_Sum!$AU33+I$164*Mat_Sum!$U33+I$165*Mat_Sum!$BH33+I$166*Mat_Sum!$BG33+I$167*Mat_Sum!$BJ33+I$168*Mat_Sum!$BI33+I$169*Mat_Sum!$AW33+I$170*Mat_Sum!$CN33+I$171*Mat_Sum!$CF33</f>
        <v>4876314.0333616771</v>
      </c>
      <c r="J192" s="419">
        <f ca="1">J$150*Mat_Sum!$D33+J$151*Mat_Sum!$E33+J$152*Mat_Sum!$F33+J$153*Mat_Sum!$I33+J$154*Mat_Sum!$L33+J$155*Mat_Sum!$AG33+J$156*Mat_Sum!$AH33+J$157*Mat_Sum!$AK33+J$158*Mat_Sum!$AM33+J$159*Mat_Sum!$AR33+J$163*Mat_Sum!$AS33+J$160*Mat_Sum!$AV33+J$161*Mat_Sum!$AT33+J$162*Mat_Sum!$AU33+J$164*Mat_Sum!$U33+J$165*Mat_Sum!$BH33+J$166*Mat_Sum!$BG33+J$167*Mat_Sum!$BJ33+J$168*Mat_Sum!$BI33+J$169*Mat_Sum!$AW33+J$170*Mat_Sum!$CN33+J$171*Mat_Sum!$CF33</f>
        <v>5391574.5225012498</v>
      </c>
      <c r="K192" s="516">
        <f ca="1">K$150*Mat_Sum!$D33+K$151*Mat_Sum!$E33+K$152*Mat_Sum!$F33+K$153*Mat_Sum!$I33+K$154*Mat_Sum!$L33+K$155*Mat_Sum!$AG33+K$156*Mat_Sum!$AH33+K$157*Mat_Sum!$AK33+K$158*Mat_Sum!$AM33+K$159*Mat_Sum!$AR33+K$163*Mat_Sum!$AS33+K$160*Mat_Sum!$AV33+K$161*Mat_Sum!$AT33+K$162*Mat_Sum!$AU33+K$164*Mat_Sum!$U33+K$165*Mat_Sum!$BH33+K$166*Mat_Sum!$BG33+K$167*Mat_Sum!$BJ33+K$168*Mat_Sum!$BI33+K$169*Mat_Sum!$AW33+K$170*Mat_Sum!$CN33+K$171*Mat_Sum!$CF33</f>
        <v>6946623.8575362228</v>
      </c>
      <c r="L192" s="64">
        <f>B$155*Mat_Sum!$AE33</f>
        <v>6714.9945847802437</v>
      </c>
      <c r="M192" s="64">
        <f>B$155*Mat_Sum!$AF33</f>
        <v>79107.7714762861</v>
      </c>
      <c r="N192" s="64">
        <f>D$155*Mat_Sum!$AE33</f>
        <v>11804.235694425699</v>
      </c>
      <c r="O192" s="64">
        <f>D$155*Mat_Sum!$AF33</f>
        <v>139062.92372645414</v>
      </c>
      <c r="P192" s="64">
        <f>F$155*Mat_Sum!$AE33</f>
        <v>11895.581786107463</v>
      </c>
      <c r="Q192" s="64">
        <f>F$155*Mat_Sum!$AF33</f>
        <v>140139.05054305517</v>
      </c>
      <c r="R192" s="64">
        <f>H$155*Mat_Sum!$AE33</f>
        <v>16112.191667282783</v>
      </c>
      <c r="S192" s="64">
        <f>H$155*Mat_Sum!$AF33</f>
        <v>189813.93958030129</v>
      </c>
      <c r="T192" s="230" t="s">
        <v>850</v>
      </c>
      <c r="AG192" s="230"/>
    </row>
    <row r="193" spans="1:33">
      <c r="A193" s="589" t="s">
        <v>851</v>
      </c>
      <c r="B193" s="419">
        <f ca="1">B$150*Mat_Sum!$D34+B$151*Mat_Sum!$E34+B$152*Mat_Sum!$F34+B$153*Mat_Sum!$I34+B$154*Mat_Sum!$L34+B$155*Mat_Sum!$AG34+B$156*Mat_Sum!$AH34+B$157*Mat_Sum!$AK34+B$158*Mat_Sum!$AM34+B$159*Mat_Sum!$AR34+B$163*Mat_Sum!$AS34+B$160*Mat_Sum!$AV34+B$161*Mat_Sum!$AT34+B$162*Mat_Sum!$AU34+B$164*Mat_Sum!$U34+B$165*Mat_Sum!$BH34+B$166*Mat_Sum!$BG34+B$167*Mat_Sum!$BJ34+B$168*Mat_Sum!$BI34+B$169*Mat_Sum!$AW34+B$170*Mat_Sum!$CN34+B$171*Mat_Sum!$CF34</f>
        <v>4283988.2061557183</v>
      </c>
      <c r="C193" s="419">
        <f ca="1">C$150*Mat_Sum!$D34+C$151*Mat_Sum!$E34+C$152*Mat_Sum!$F34+C$153*Mat_Sum!$I34+C$154*Mat_Sum!$L34+C$155*Mat_Sum!$AG34+C$156*Mat_Sum!$AH34+C$157*Mat_Sum!$AK34+C$158*Mat_Sum!$AM34+C$159*Mat_Sum!$AR34+C$163*Mat_Sum!$AS34+C$160*Mat_Sum!$AV34+C$161*Mat_Sum!$AT34+C$162*Mat_Sum!$AU34+C$164*Mat_Sum!$U34+C$165*Mat_Sum!$BH34+C$166*Mat_Sum!$BG34+C$167*Mat_Sum!$BJ34+C$168*Mat_Sum!$BI34+C$169*Mat_Sum!$AW34+C$170*Mat_Sum!$CN34+C$171*Mat_Sum!$CF34</f>
        <v>5778967.2314620344</v>
      </c>
      <c r="D193" s="419">
        <f ca="1">D$150*Mat_Sum!$D34+D$151*Mat_Sum!$E34+D$152*Mat_Sum!$F34+D$153*Mat_Sum!$I34+D$154*Mat_Sum!$L34+D$155*Mat_Sum!$AG34+D$156*Mat_Sum!$AH34+D$157*Mat_Sum!$AK34+D$158*Mat_Sum!$AM34+D$159*Mat_Sum!$AR34+D$163*Mat_Sum!$AS34+D$160*Mat_Sum!$AV34+D$161*Mat_Sum!$AT34+D$162*Mat_Sum!$AU34+D$164*Mat_Sum!$U34+D$165*Mat_Sum!$BH34+D$166*Mat_Sum!$BG34+D$167*Mat_Sum!$BJ34+D$168*Mat_Sum!$BI34+D$169*Mat_Sum!$AW34+D$170*Mat_Sum!$CN34+D$171*Mat_Sum!$CF34</f>
        <v>4202108.7638886217</v>
      </c>
      <c r="E193" s="419">
        <f ca="1">E$150*Mat_Sum!$D34+E$151*Mat_Sum!$E34+E$152*Mat_Sum!$F34+E$153*Mat_Sum!$I34+E$154*Mat_Sum!$L34+E$155*Mat_Sum!$AG34+E$156*Mat_Sum!$AH34+E$157*Mat_Sum!$AK34+E$158*Mat_Sum!$AM34+E$159*Mat_Sum!$AR34+E$163*Mat_Sum!$AS34+E$160*Mat_Sum!$AV34+E$161*Mat_Sum!$AT34+E$162*Mat_Sum!$AU34+E$164*Mat_Sum!$U34+E$165*Mat_Sum!$BH34+E$166*Mat_Sum!$BG34+E$167*Mat_Sum!$BJ34+E$168*Mat_Sum!$BI34+E$169*Mat_Sum!$AW34+E$170*Mat_Sum!$CN34+E$171*Mat_Sum!$CF34</f>
        <v>5842558.2174321562</v>
      </c>
      <c r="F193" s="419">
        <f ca="1">F$150*Mat_Sum!$D34+F$151*Mat_Sum!$E34+F$152*Mat_Sum!$F34+F$153*Mat_Sum!$I34+F$154*Mat_Sum!$L34+F$155*Mat_Sum!$AG34+F$156*Mat_Sum!$AH34+F$157*Mat_Sum!$AK34+F$158*Mat_Sum!$AM34+F$159*Mat_Sum!$AR34+F$163*Mat_Sum!$AS34+F$160*Mat_Sum!$AV34+F$161*Mat_Sum!$AT34+F$162*Mat_Sum!$AU34+F$164*Mat_Sum!$U34+F$165*Mat_Sum!$BH34+F$166*Mat_Sum!$BG34+F$167*Mat_Sum!$BJ34+F$168*Mat_Sum!$BI34+F$169*Mat_Sum!$AW34+F$170*Mat_Sum!$CN34+F$171*Mat_Sum!$CF34</f>
        <v>4208186.8845309699</v>
      </c>
      <c r="G193" s="419">
        <f ca="1">G$150*Mat_Sum!$D34+G$151*Mat_Sum!$E34+G$152*Mat_Sum!$F34+G$153*Mat_Sum!$I34+G$154*Mat_Sum!$L34+G$155*Mat_Sum!$AG34+G$156*Mat_Sum!$AH34+G$157*Mat_Sum!$AK34+G$158*Mat_Sum!$AM34+G$159*Mat_Sum!$AR34+G$163*Mat_Sum!$AS34+G$160*Mat_Sum!$AV34+G$161*Mat_Sum!$AT34+G$162*Mat_Sum!$AU34+G$164*Mat_Sum!$U34+G$165*Mat_Sum!$BH34+G$166*Mat_Sum!$BG34+G$167*Mat_Sum!$BJ34+G$168*Mat_Sum!$BI34+G$169*Mat_Sum!$AW34+G$170*Mat_Sum!$CN34+G$171*Mat_Sum!$CF34</f>
        <v>5821568.8096927917</v>
      </c>
      <c r="H193" s="419">
        <f ca="1">H$150*Mat_Sum!$D34+H$151*Mat_Sum!$E34+H$152*Mat_Sum!$F34+H$153*Mat_Sum!$I34+H$154*Mat_Sum!$L34+H$155*Mat_Sum!$AG34+H$156*Mat_Sum!$AH34+H$157*Mat_Sum!$AK34+H$158*Mat_Sum!$AM34+H$159*Mat_Sum!$AR34+H$163*Mat_Sum!$AS34+H$160*Mat_Sum!$AV34+H$161*Mat_Sum!$AT34+H$162*Mat_Sum!$AU34+H$164*Mat_Sum!$U34+H$165*Mat_Sum!$BH34+H$166*Mat_Sum!$BG34+H$167*Mat_Sum!$BJ34+H$168*Mat_Sum!$BI34+H$169*Mat_Sum!$AW34+H$170*Mat_Sum!$CN34+H$171*Mat_Sum!$CF34</f>
        <v>3810926.1040290627</v>
      </c>
      <c r="I193" s="419">
        <f ca="1">I$150*Mat_Sum!$D34+I$151*Mat_Sum!$E34+I$152*Mat_Sum!$F34+I$153*Mat_Sum!$I34+I$154*Mat_Sum!$L34+I$155*Mat_Sum!$AG34+I$156*Mat_Sum!$AH34+I$157*Mat_Sum!$AK34+I$158*Mat_Sum!$AM34+I$159*Mat_Sum!$AR34+I$163*Mat_Sum!$AS34+I$160*Mat_Sum!$AV34+I$161*Mat_Sum!$AT34+I$162*Mat_Sum!$AU34+I$164*Mat_Sum!$U34+I$165*Mat_Sum!$BH34+I$166*Mat_Sum!$BG34+I$167*Mat_Sum!$BJ34+I$168*Mat_Sum!$BI34+I$169*Mat_Sum!$AW34+I$170*Mat_Sum!$CN34+I$171*Mat_Sum!$CF34</f>
        <v>5511994.4731196798</v>
      </c>
      <c r="J193" s="419">
        <f ca="1">J$150*Mat_Sum!$D34+J$151*Mat_Sum!$E34+J$152*Mat_Sum!$F34+J$153*Mat_Sum!$I34+J$154*Mat_Sum!$L34+J$155*Mat_Sum!$AG34+J$156*Mat_Sum!$AH34+J$157*Mat_Sum!$AK34+J$158*Mat_Sum!$AM34+J$159*Mat_Sum!$AR34+J$163*Mat_Sum!$AS34+J$160*Mat_Sum!$AV34+J$161*Mat_Sum!$AT34+J$162*Mat_Sum!$AU34+J$164*Mat_Sum!$U34+J$165*Mat_Sum!$BH34+J$166*Mat_Sum!$BG34+J$167*Mat_Sum!$BJ34+J$168*Mat_Sum!$BI34+J$169*Mat_Sum!$AW34+J$170*Mat_Sum!$CN34+J$171*Mat_Sum!$CF34</f>
        <v>5927240.1086901305</v>
      </c>
      <c r="K193" s="516">
        <f ca="1">K$150*Mat_Sum!$D34+K$151*Mat_Sum!$E34+K$152*Mat_Sum!$F34+K$153*Mat_Sum!$I34+K$154*Mat_Sum!$L34+K$155*Mat_Sum!$AG34+K$156*Mat_Sum!$AH34+K$157*Mat_Sum!$AK34+K$158*Mat_Sum!$AM34+K$159*Mat_Sum!$AR34+K$163*Mat_Sum!$AS34+K$160*Mat_Sum!$AV34+K$161*Mat_Sum!$AT34+K$162*Mat_Sum!$AU34+K$164*Mat_Sum!$U34+K$165*Mat_Sum!$BH34+K$166*Mat_Sum!$BG34+K$167*Mat_Sum!$BJ34+K$168*Mat_Sum!$BI34+K$169*Mat_Sum!$AW34+K$170*Mat_Sum!$CN34+K$171*Mat_Sum!$CF34</f>
        <v>7816105.3181227976</v>
      </c>
      <c r="L193" s="64">
        <f>B$155*Mat_Sum!$AE34</f>
        <v>7106.6283642001126</v>
      </c>
      <c r="M193" s="64">
        <f>B$155*Mat_Sum!$AF34</f>
        <v>84744.642341547558</v>
      </c>
      <c r="N193" s="64">
        <f>D$155*Mat_Sum!$AE34</f>
        <v>12492.685607497691</v>
      </c>
      <c r="O193" s="64">
        <f>D$155*Mat_Sum!$AF34</f>
        <v>148971.93428967934</v>
      </c>
      <c r="P193" s="64">
        <f>F$155*Mat_Sum!$AE34</f>
        <v>12589.359211312025</v>
      </c>
      <c r="Q193" s="64">
        <f>F$155*Mat_Sum!$AF34</f>
        <v>150124.74115662969</v>
      </c>
      <c r="R193" s="64">
        <f>H$155*Mat_Sum!$AE34</f>
        <v>17051.891385238963</v>
      </c>
      <c r="S193" s="64">
        <f>H$155*Mat_Sum!$AF34</f>
        <v>203339.24367967711</v>
      </c>
      <c r="T193" s="589" t="s">
        <v>851</v>
      </c>
      <c r="AG193" s="589"/>
    </row>
    <row r="194" spans="1:33">
      <c r="A194" s="238" t="s">
        <v>1521</v>
      </c>
      <c r="B194" s="512"/>
      <c r="C194" s="512"/>
      <c r="D194" s="512"/>
      <c r="E194" s="512"/>
      <c r="F194" s="512"/>
      <c r="G194" s="512"/>
      <c r="H194" s="512"/>
      <c r="I194" s="512"/>
      <c r="J194" s="512"/>
      <c r="K194" s="509"/>
    </row>
    <row r="195" spans="1:33">
      <c r="A195" s="230" t="s">
        <v>821</v>
      </c>
      <c r="B195" s="349">
        <f ca="1">B$150*Mat_Sum!$D36+B$151*Mat_Sum!$E36+B$152*Mat_Sum!$F36+B$153*Mat_Sum!$I36+B$154*Mat_Sum!$L36+B$155*Mat_Sum!$AG36+B$156*Mat_Sum!$AH36+B$157*Mat_Sum!$AK36+B$158*Mat_Sum!$AM36+B$159*Mat_Sum!$AR36+B$163*Mat_Sum!$AS36+B$160*Mat_Sum!$AV36+B$161*Mat_Sum!$AT36+B$162*Mat_Sum!$AU36+B$164*Mat_Sum!$U36+B$165*Mat_Sum!$BH36+B$166*Mat_Sum!$BG36+B$167*Mat_Sum!$BJ36+B$168*Mat_Sum!$BI36+B$169*Mat_Sum!$AW36+B$170*Mat_Sum!$CN36+B$171*Mat_Sum!$CF36</f>
        <v>43.558240251326431</v>
      </c>
      <c r="C195" s="349">
        <f ca="1">C$150*Mat_Sum!$D36+C$151*Mat_Sum!$E36+C$152*Mat_Sum!$F36+C$153*Mat_Sum!$I36+C$154*Mat_Sum!$L36+C$155*Mat_Sum!$AG36+C$156*Mat_Sum!$AH36+C$157*Mat_Sum!$AK36+C$158*Mat_Sum!$AM36+C$159*Mat_Sum!$AR36+C$163*Mat_Sum!$AS36+C$160*Mat_Sum!$AV36+C$161*Mat_Sum!$AT36+C$162*Mat_Sum!$AU36+C$164*Mat_Sum!$U36+C$165*Mat_Sum!$BH36+C$166*Mat_Sum!$BG36+C$167*Mat_Sum!$BJ36+C$168*Mat_Sum!$BI36+C$169*Mat_Sum!$AW36+C$170*Mat_Sum!$CN36+C$171*Mat_Sum!$CF36</f>
        <v>93.910332429941377</v>
      </c>
      <c r="D195" s="349">
        <f ca="1">D$150*Mat_Sum!$D36+D$151*Mat_Sum!$E36+D$152*Mat_Sum!$F36+D$153*Mat_Sum!$I36+D$154*Mat_Sum!$L36+D$155*Mat_Sum!$AG36+D$156*Mat_Sum!$AH36+D$157*Mat_Sum!$AK36+D$158*Mat_Sum!$AM36+D$159*Mat_Sum!$AR36+D$163*Mat_Sum!$AS36+D$160*Mat_Sum!$AV36+D$161*Mat_Sum!$AT36+D$162*Mat_Sum!$AU36+D$164*Mat_Sum!$U36+D$165*Mat_Sum!$BH36+D$166*Mat_Sum!$BG36+D$167*Mat_Sum!$BJ36+D$168*Mat_Sum!$BI36+D$169*Mat_Sum!$AW36+D$170*Mat_Sum!$CN36+D$171*Mat_Sum!$CF36</f>
        <v>39.964467041620885</v>
      </c>
      <c r="E195" s="349">
        <f ca="1">E$150*Mat_Sum!$D36+E$151*Mat_Sum!$E36+E$152*Mat_Sum!$F36+E$153*Mat_Sum!$I36+E$154*Mat_Sum!$L36+E$155*Mat_Sum!$AG36+E$156*Mat_Sum!$AH36+E$157*Mat_Sum!$AK36+E$158*Mat_Sum!$AM36+E$159*Mat_Sum!$AR36+E$163*Mat_Sum!$AS36+E$160*Mat_Sum!$AV36+E$161*Mat_Sum!$AT36+E$162*Mat_Sum!$AU36+E$164*Mat_Sum!$U36+E$165*Mat_Sum!$BH36+E$166*Mat_Sum!$BG36+E$167*Mat_Sum!$BJ36+E$168*Mat_Sum!$BI36+E$169*Mat_Sum!$AW36+E$170*Mat_Sum!$CN36+E$171*Mat_Sum!$CF36</f>
        <v>92.624138601890976</v>
      </c>
      <c r="F195" s="349">
        <f ca="1">F$150*Mat_Sum!$D36+F$151*Mat_Sum!$E36+F$152*Mat_Sum!$F36+F$153*Mat_Sum!$I36+F$154*Mat_Sum!$L36+F$155*Mat_Sum!$AG36+F$156*Mat_Sum!$AH36+F$157*Mat_Sum!$AK36+F$158*Mat_Sum!$AM36+F$159*Mat_Sum!$AR36+F$163*Mat_Sum!$AS36+F$160*Mat_Sum!$AV36+F$161*Mat_Sum!$AT36+F$162*Mat_Sum!$AU36+F$164*Mat_Sum!$U36+F$165*Mat_Sum!$BH36+F$166*Mat_Sum!$BG36+F$167*Mat_Sum!$BJ36+F$168*Mat_Sum!$BI36+F$169*Mat_Sum!$AW36+F$170*Mat_Sum!$CN36+F$171*Mat_Sum!$CF36</f>
        <v>39.924885129365911</v>
      </c>
      <c r="G195" s="349">
        <f ca="1">G$150*Mat_Sum!$D36+G$151*Mat_Sum!$E36+G$152*Mat_Sum!$F36+G$153*Mat_Sum!$I36+G$154*Mat_Sum!$L36+G$155*Mat_Sum!$AG36+G$156*Mat_Sum!$AH36+G$157*Mat_Sum!$AK36+G$158*Mat_Sum!$AM36+G$159*Mat_Sum!$AR36+G$163*Mat_Sum!$AS36+G$160*Mat_Sum!$AV36+G$161*Mat_Sum!$AT36+G$162*Mat_Sum!$AU36+G$164*Mat_Sum!$U36+G$165*Mat_Sum!$BH36+G$166*Mat_Sum!$BG36+G$167*Mat_Sum!$BJ36+G$168*Mat_Sum!$BI36+G$169*Mat_Sum!$AW36+G$170*Mat_Sum!$CN36+G$171*Mat_Sum!$CF36</f>
        <v>92.926057449967161</v>
      </c>
      <c r="H195" s="349">
        <f ca="1">H$150*Mat_Sum!$D36+H$151*Mat_Sum!$E36+H$152*Mat_Sum!$F36+H$153*Mat_Sum!$I36+H$154*Mat_Sum!$L36+H$155*Mat_Sum!$AG36+H$156*Mat_Sum!$AH36+H$157*Mat_Sum!$AK36+H$158*Mat_Sum!$AM36+H$159*Mat_Sum!$AR36+H$163*Mat_Sum!$AS36+H$160*Mat_Sum!$AV36+H$161*Mat_Sum!$AT36+H$162*Mat_Sum!$AU36+H$164*Mat_Sum!$U36+H$165*Mat_Sum!$BH36+H$166*Mat_Sum!$BG36+H$167*Mat_Sum!$BJ36+H$168*Mat_Sum!$BI36+H$169*Mat_Sum!$AW36+H$170*Mat_Sum!$CN36+H$171*Mat_Sum!$CF36</f>
        <v>38.045340203314566</v>
      </c>
      <c r="I195" s="349">
        <f ca="1">I$150*Mat_Sum!$D36+I$151*Mat_Sum!$E36+I$152*Mat_Sum!$F36+I$153*Mat_Sum!$I36+I$154*Mat_Sum!$L36+I$155*Mat_Sum!$AG36+I$156*Mat_Sum!$AH36+I$157*Mat_Sum!$AK36+I$158*Mat_Sum!$AM36+I$159*Mat_Sum!$AR36+I$163*Mat_Sum!$AS36+I$160*Mat_Sum!$AV36+I$161*Mat_Sum!$AT36+I$162*Mat_Sum!$AU36+I$164*Mat_Sum!$U36+I$165*Mat_Sum!$BH36+I$166*Mat_Sum!$BG36+I$167*Mat_Sum!$BJ36+I$168*Mat_Sum!$BI36+I$169*Mat_Sum!$AW36+I$170*Mat_Sum!$CN36+I$171*Mat_Sum!$CF36</f>
        <v>93.340188396895513</v>
      </c>
      <c r="J195" s="349">
        <f ca="1">J$150*Mat_Sum!$D36+J$151*Mat_Sum!$E36+J$152*Mat_Sum!$F36+J$153*Mat_Sum!$I36+J$154*Mat_Sum!$L36+J$155*Mat_Sum!$AG36+J$156*Mat_Sum!$AH36+J$157*Mat_Sum!$AK36+J$158*Mat_Sum!$AM36+J$159*Mat_Sum!$AR36+J$163*Mat_Sum!$AS36+J$160*Mat_Sum!$AV36+J$161*Mat_Sum!$AT36+J$162*Mat_Sum!$AU36+J$164*Mat_Sum!$U36+J$165*Mat_Sum!$BH36+J$166*Mat_Sum!$BG36+J$167*Mat_Sum!$BJ36+J$168*Mat_Sum!$BI36+J$169*Mat_Sum!$AW36+J$170*Mat_Sum!$CN36+J$171*Mat_Sum!$CF36</f>
        <v>95.776072401272515</v>
      </c>
      <c r="K195" s="348">
        <f ca="1">K$150*Mat_Sum!$D36+K$151*Mat_Sum!$E36+K$152*Mat_Sum!$F36+K$153*Mat_Sum!$I36+K$154*Mat_Sum!$L36+K$155*Mat_Sum!$AG36+K$156*Mat_Sum!$AH36+K$157*Mat_Sum!$AK36+K$158*Mat_Sum!$AM36+K$159*Mat_Sum!$AR36+K$163*Mat_Sum!$AS36+K$160*Mat_Sum!$AV36+K$161*Mat_Sum!$AT36+K$162*Mat_Sum!$AU36+K$164*Mat_Sum!$U36+K$165*Mat_Sum!$BH36+K$166*Mat_Sum!$BG36+K$167*Mat_Sum!$BJ36+K$168*Mat_Sum!$BI36+K$169*Mat_Sum!$AW36+K$170*Mat_Sum!$CN36+K$171*Mat_Sum!$CF36</f>
        <v>150.95274597285291</v>
      </c>
    </row>
    <row r="196" spans="1:33">
      <c r="A196" s="230" t="s">
        <v>822</v>
      </c>
      <c r="B196" s="349">
        <f ca="1">B$150*Mat_Sum!$D37+B$151*Mat_Sum!$E37+B$152*Mat_Sum!$F37+B$153*Mat_Sum!$I37+B$154*Mat_Sum!$L37+B$155*Mat_Sum!$AG37+B$156*Mat_Sum!$AH37+B$157*Mat_Sum!$AK37+B$158*Mat_Sum!$AM37+B$159*Mat_Sum!$AR37+B$163*Mat_Sum!$AS37+B$160*Mat_Sum!$AV37+B$161*Mat_Sum!$AT37+B$162*Mat_Sum!$AU37+B$164*Mat_Sum!$U37+B$165*Mat_Sum!$BH37+B$166*Mat_Sum!$BG37+B$167*Mat_Sum!$BJ37+B$168*Mat_Sum!$BI37+B$169*Mat_Sum!$AW37+B$170*Mat_Sum!$CN37+B$171*Mat_Sum!$CF37</f>
        <v>132.31371613507466</v>
      </c>
      <c r="C196" s="349">
        <f ca="1">C$150*Mat_Sum!$D37+C$151*Mat_Sum!$E37+C$152*Mat_Sum!$F37+C$153*Mat_Sum!$I37+C$154*Mat_Sum!$L37+C$155*Mat_Sum!$AG37+C$156*Mat_Sum!$AH37+C$157*Mat_Sum!$AK37+C$158*Mat_Sum!$AM37+C$159*Mat_Sum!$AR37+C$163*Mat_Sum!$AS37+C$160*Mat_Sum!$AV37+C$161*Mat_Sum!$AT37+C$162*Mat_Sum!$AU37+C$164*Mat_Sum!$U37+C$165*Mat_Sum!$BH37+C$166*Mat_Sum!$BG37+C$167*Mat_Sum!$BJ37+C$168*Mat_Sum!$BI37+C$169*Mat_Sum!$AW37+C$170*Mat_Sum!$CN37+C$171*Mat_Sum!$CF37</f>
        <v>236.20291179854559</v>
      </c>
      <c r="D196" s="349">
        <f ca="1">D$150*Mat_Sum!$D37+D$151*Mat_Sum!$E37+D$152*Mat_Sum!$F37+D$153*Mat_Sum!$I37+D$154*Mat_Sum!$L37+D$155*Mat_Sum!$AG37+D$156*Mat_Sum!$AH37+D$157*Mat_Sum!$AK37+D$158*Mat_Sum!$AM37+D$159*Mat_Sum!$AR37+D$163*Mat_Sum!$AS37+D$160*Mat_Sum!$AV37+D$161*Mat_Sum!$AT37+D$162*Mat_Sum!$AU37+D$164*Mat_Sum!$U37+D$165*Mat_Sum!$BH37+D$166*Mat_Sum!$BG37+D$167*Mat_Sum!$BJ37+D$168*Mat_Sum!$BI37+D$169*Mat_Sum!$AW37+D$170*Mat_Sum!$CN37+D$171*Mat_Sum!$CF37</f>
        <v>124.54837233458208</v>
      </c>
      <c r="E196" s="349">
        <f ca="1">E$150*Mat_Sum!$D37+E$151*Mat_Sum!$E37+E$152*Mat_Sum!$F37+E$153*Mat_Sum!$I37+E$154*Mat_Sum!$L37+E$155*Mat_Sum!$AG37+E$156*Mat_Sum!$AH37+E$157*Mat_Sum!$AK37+E$158*Mat_Sum!$AM37+E$159*Mat_Sum!$AR37+E$163*Mat_Sum!$AS37+E$160*Mat_Sum!$AV37+E$161*Mat_Sum!$AT37+E$162*Mat_Sum!$AU37+E$164*Mat_Sum!$U37+E$165*Mat_Sum!$BH37+E$166*Mat_Sum!$BG37+E$167*Mat_Sum!$BJ37+E$168*Mat_Sum!$BI37+E$169*Mat_Sum!$AW37+E$170*Mat_Sum!$CN37+E$171*Mat_Sum!$CF37</f>
        <v>235.03881264917788</v>
      </c>
      <c r="F196" s="349">
        <f ca="1">F$150*Mat_Sum!$D37+F$151*Mat_Sum!$E37+F$152*Mat_Sum!$F37+F$153*Mat_Sum!$I37+F$154*Mat_Sum!$L37+F$155*Mat_Sum!$AG37+F$156*Mat_Sum!$AH37+F$157*Mat_Sum!$AK37+F$158*Mat_Sum!$AM37+F$159*Mat_Sum!$AR37+F$163*Mat_Sum!$AS37+F$160*Mat_Sum!$AV37+F$161*Mat_Sum!$AT37+F$162*Mat_Sum!$AU37+F$164*Mat_Sum!$U37+F$165*Mat_Sum!$BH37+F$166*Mat_Sum!$BG37+F$167*Mat_Sum!$BJ37+F$168*Mat_Sum!$BI37+F$169*Mat_Sum!$AW37+F$170*Mat_Sum!$CN37+F$171*Mat_Sum!$CF37</f>
        <v>124.50750341128604</v>
      </c>
      <c r="G196" s="349">
        <f ca="1">G$150*Mat_Sum!$D37+G$151*Mat_Sum!$E37+G$152*Mat_Sum!$F37+G$153*Mat_Sum!$I37+G$154*Mat_Sum!$L37+G$155*Mat_Sum!$AG37+G$156*Mat_Sum!$AH37+G$157*Mat_Sum!$AK37+G$158*Mat_Sum!$AM37+G$159*Mat_Sum!$AR37+G$163*Mat_Sum!$AS37+G$160*Mat_Sum!$AV37+G$161*Mat_Sum!$AT37+G$162*Mat_Sum!$AU37+G$164*Mat_Sum!$U37+G$165*Mat_Sum!$BH37+G$166*Mat_Sum!$BG37+G$167*Mat_Sum!$BJ37+G$168*Mat_Sum!$BI37+G$169*Mat_Sum!$AW37+G$170*Mat_Sum!$CN37+G$171*Mat_Sum!$CF37</f>
        <v>235.09906878659987</v>
      </c>
      <c r="H196" s="349">
        <f ca="1">H$150*Mat_Sum!$D37+H$151*Mat_Sum!$E37+H$152*Mat_Sum!$F37+H$153*Mat_Sum!$I37+H$154*Mat_Sum!$L37+H$155*Mat_Sum!$AG37+H$156*Mat_Sum!$AH37+H$157*Mat_Sum!$AK37+H$158*Mat_Sum!$AM37+H$159*Mat_Sum!$AR37+H$163*Mat_Sum!$AS37+H$160*Mat_Sum!$AV37+H$161*Mat_Sum!$AT37+H$162*Mat_Sum!$AU37+H$164*Mat_Sum!$U37+H$165*Mat_Sum!$BH37+H$166*Mat_Sum!$BG37+H$167*Mat_Sum!$BJ37+H$168*Mat_Sum!$BI37+H$169*Mat_Sum!$AW37+H$170*Mat_Sum!$CN37+H$171*Mat_Sum!$CF37</f>
        <v>117.15686417506244</v>
      </c>
      <c r="I196" s="349">
        <f ca="1">I$150*Mat_Sum!$D37+I$151*Mat_Sum!$E37+I$152*Mat_Sum!$F37+I$153*Mat_Sum!$I37+I$154*Mat_Sum!$L37+I$155*Mat_Sum!$AG37+I$156*Mat_Sum!$AH37+I$157*Mat_Sum!$AK37+I$158*Mat_Sum!$AM37+I$159*Mat_Sum!$AR37+I$163*Mat_Sum!$AS37+I$160*Mat_Sum!$AV37+I$161*Mat_Sum!$AT37+I$162*Mat_Sum!$AU37+I$164*Mat_Sum!$U37+I$165*Mat_Sum!$BH37+I$166*Mat_Sum!$BG37+I$167*Mat_Sum!$BJ37+I$168*Mat_Sum!$BI37+I$169*Mat_Sum!$AW37+I$170*Mat_Sum!$CN37+I$171*Mat_Sum!$CF37</f>
        <v>233.40888808863684</v>
      </c>
      <c r="J196" s="349">
        <f ca="1">J$150*Mat_Sum!$D37+J$151*Mat_Sum!$E37+J$152*Mat_Sum!$F37+J$153*Mat_Sum!$I37+J$154*Mat_Sum!$L37+J$155*Mat_Sum!$AG37+J$156*Mat_Sum!$AH37+J$157*Mat_Sum!$AK37+J$158*Mat_Sum!$AM37+J$159*Mat_Sum!$AR37+J$163*Mat_Sum!$AS37+J$160*Mat_Sum!$AV37+J$161*Mat_Sum!$AT37+J$162*Mat_Sum!$AU37+J$164*Mat_Sum!$U37+J$165*Mat_Sum!$BH37+J$166*Mat_Sum!$BG37+J$167*Mat_Sum!$BJ37+J$168*Mat_Sum!$BI37+J$169*Mat_Sum!$AW37+J$170*Mat_Sum!$CN37+J$171*Mat_Sum!$CF37</f>
        <v>235.01943187789021</v>
      </c>
      <c r="K196" s="348">
        <f ca="1">K$150*Mat_Sum!$D37+K$151*Mat_Sum!$E37+K$152*Mat_Sum!$F37+K$153*Mat_Sum!$I37+K$154*Mat_Sum!$L37+K$155*Mat_Sum!$AG37+K$156*Mat_Sum!$AH37+K$157*Mat_Sum!$AK37+K$158*Mat_Sum!$AM37+K$159*Mat_Sum!$AR37+K$163*Mat_Sum!$AS37+K$160*Mat_Sum!$AV37+K$161*Mat_Sum!$AT37+K$162*Mat_Sum!$AU37+K$164*Mat_Sum!$U37+K$165*Mat_Sum!$BH37+K$166*Mat_Sum!$BG37+K$167*Mat_Sum!$BJ37+K$168*Mat_Sum!$BI37+K$169*Mat_Sum!$AW37+K$170*Mat_Sum!$CN37+K$171*Mat_Sum!$CF37</f>
        <v>354.36953436034565</v>
      </c>
    </row>
    <row r="197" spans="1:33">
      <c r="A197" s="230" t="s">
        <v>823</v>
      </c>
      <c r="B197" s="349">
        <f ca="1">B$150*Mat_Sum!$D38+B$151*Mat_Sum!$E38+B$152*Mat_Sum!$F38+B$153*Mat_Sum!$I38+B$154*Mat_Sum!$L38+B$155*Mat_Sum!$AG38+B$156*Mat_Sum!$AH38+B$157*Mat_Sum!$AK38+B$158*Mat_Sum!$AM38+B$159*Mat_Sum!$AR38+B$163*Mat_Sum!$AS38+B$160*Mat_Sum!$AV38+B$161*Mat_Sum!$AT38+B$162*Mat_Sum!$AU38+B$164*Mat_Sum!$U38+B$165*Mat_Sum!$BH38+B$166*Mat_Sum!$BG38+B$167*Mat_Sum!$BJ38+B$168*Mat_Sum!$BI38+B$169*Mat_Sum!$AW38+B$170*Mat_Sum!$CN38+B$171*Mat_Sum!$CF38</f>
        <v>250.72913119091143</v>
      </c>
      <c r="C197" s="349">
        <f ca="1">C$150*Mat_Sum!$D38+C$151*Mat_Sum!$E38+C$152*Mat_Sum!$F38+C$153*Mat_Sum!$I38+C$154*Mat_Sum!$L38+C$155*Mat_Sum!$AG38+C$156*Mat_Sum!$AH38+C$157*Mat_Sum!$AK38+C$158*Mat_Sum!$AM38+C$159*Mat_Sum!$AR38+C$163*Mat_Sum!$AS38+C$160*Mat_Sum!$AV38+C$161*Mat_Sum!$AT38+C$162*Mat_Sum!$AU38+C$164*Mat_Sum!$U38+C$165*Mat_Sum!$BH38+C$166*Mat_Sum!$BG38+C$167*Mat_Sum!$BJ38+C$168*Mat_Sum!$BI38+C$169*Mat_Sum!$AW38+C$170*Mat_Sum!$CN38+C$171*Mat_Sum!$CF38</f>
        <v>465.1074514542662</v>
      </c>
      <c r="D197" s="349">
        <f ca="1">D$150*Mat_Sum!$D38+D$151*Mat_Sum!$E38+D$152*Mat_Sum!$F38+D$153*Mat_Sum!$I38+D$154*Mat_Sum!$L38+D$155*Mat_Sum!$AG38+D$156*Mat_Sum!$AH38+D$157*Mat_Sum!$AK38+D$158*Mat_Sum!$AM38+D$159*Mat_Sum!$AR38+D$163*Mat_Sum!$AS38+D$160*Mat_Sum!$AV38+D$161*Mat_Sum!$AT38+D$162*Mat_Sum!$AU38+D$164*Mat_Sum!$U38+D$165*Mat_Sum!$BH38+D$166*Mat_Sum!$BG38+D$167*Mat_Sum!$BJ38+D$168*Mat_Sum!$BI38+D$169*Mat_Sum!$AW38+D$170*Mat_Sum!$CN38+D$171*Mat_Sum!$CF38</f>
        <v>239.73434125401565</v>
      </c>
      <c r="E197" s="349">
        <f ca="1">E$150*Mat_Sum!$D38+E$151*Mat_Sum!$E38+E$152*Mat_Sum!$F38+E$153*Mat_Sum!$I38+E$154*Mat_Sum!$L38+E$155*Mat_Sum!$AG38+E$156*Mat_Sum!$AH38+E$157*Mat_Sum!$AK38+E$158*Mat_Sum!$AM38+E$159*Mat_Sum!$AR38+E$163*Mat_Sum!$AS38+E$160*Mat_Sum!$AV38+E$161*Mat_Sum!$AT38+E$162*Mat_Sum!$AU38+E$164*Mat_Sum!$U38+E$165*Mat_Sum!$BH38+E$166*Mat_Sum!$BG38+E$167*Mat_Sum!$BJ38+E$168*Mat_Sum!$BI38+E$169*Mat_Sum!$AW38+E$170*Mat_Sum!$CN38+E$171*Mat_Sum!$CF38</f>
        <v>467.01224666474081</v>
      </c>
      <c r="F197" s="349">
        <f ca="1">F$150*Mat_Sum!$D38+F$151*Mat_Sum!$E38+F$152*Mat_Sum!$F38+F$153*Mat_Sum!$I38+F$154*Mat_Sum!$L38+F$155*Mat_Sum!$AG38+F$156*Mat_Sum!$AH38+F$157*Mat_Sum!$AK38+F$158*Mat_Sum!$AM38+F$159*Mat_Sum!$AR38+F$163*Mat_Sum!$AS38+F$160*Mat_Sum!$AV38+F$161*Mat_Sum!$AT38+F$162*Mat_Sum!$AU38+F$164*Mat_Sum!$U38+F$165*Mat_Sum!$BH38+F$166*Mat_Sum!$BG38+F$167*Mat_Sum!$BJ38+F$168*Mat_Sum!$BI38+F$169*Mat_Sum!$AW38+F$170*Mat_Sum!$CN38+F$171*Mat_Sum!$CF38</f>
        <v>239.73266488756923</v>
      </c>
      <c r="G197" s="349">
        <f ca="1">G$150*Mat_Sum!$D38+G$151*Mat_Sum!$E38+G$152*Mat_Sum!$F38+G$153*Mat_Sum!$I38+G$154*Mat_Sum!$L38+G$155*Mat_Sum!$AG38+G$156*Mat_Sum!$AH38+G$157*Mat_Sum!$AK38+G$158*Mat_Sum!$AM38+G$159*Mat_Sum!$AR38+G$163*Mat_Sum!$AS38+G$160*Mat_Sum!$AV38+G$161*Mat_Sum!$AT38+G$162*Mat_Sum!$AU38+G$164*Mat_Sum!$U38+G$165*Mat_Sum!$BH38+G$166*Mat_Sum!$BG38+G$167*Mat_Sum!$BJ38+G$168*Mat_Sum!$BI38+G$169*Mat_Sum!$AW38+G$170*Mat_Sum!$CN38+G$171*Mat_Sum!$CF38</f>
        <v>464.53196380329632</v>
      </c>
      <c r="H197" s="349">
        <f ca="1">H$150*Mat_Sum!$D38+H$151*Mat_Sum!$E38+H$152*Mat_Sum!$F38+H$153*Mat_Sum!$I38+H$154*Mat_Sum!$L38+H$155*Mat_Sum!$AG38+H$156*Mat_Sum!$AH38+H$157*Mat_Sum!$AK38+H$158*Mat_Sum!$AM38+H$159*Mat_Sum!$AR38+H$163*Mat_Sum!$AS38+H$160*Mat_Sum!$AV38+H$161*Mat_Sum!$AT38+H$162*Mat_Sum!$AU38+H$164*Mat_Sum!$U38+H$165*Mat_Sum!$BH38+H$166*Mat_Sum!$BG38+H$167*Mat_Sum!$BJ38+H$168*Mat_Sum!$BI38+H$169*Mat_Sum!$AW38+H$170*Mat_Sum!$CN38+H$171*Mat_Sum!$CF38</f>
        <v>224.50763770722523</v>
      </c>
      <c r="I197" s="349">
        <f ca="1">I$150*Mat_Sum!$D38+I$151*Mat_Sum!$E38+I$152*Mat_Sum!$F38+I$153*Mat_Sum!$I38+I$154*Mat_Sum!$L38+I$155*Mat_Sum!$AG38+I$156*Mat_Sum!$AH38+I$157*Mat_Sum!$AK38+I$158*Mat_Sum!$AM38+I$159*Mat_Sum!$AR38+I$163*Mat_Sum!$AS38+I$160*Mat_Sum!$AV38+I$161*Mat_Sum!$AT38+I$162*Mat_Sum!$AU38+I$164*Mat_Sum!$U38+I$165*Mat_Sum!$BH38+I$166*Mat_Sum!$BG38+I$167*Mat_Sum!$BJ38+I$168*Mat_Sum!$BI38+I$169*Mat_Sum!$AW38+I$170*Mat_Sum!$CN38+I$171*Mat_Sum!$CF38</f>
        <v>459.69928613803745</v>
      </c>
      <c r="J197" s="349">
        <f ca="1">J$150*Mat_Sum!$D38+J$151*Mat_Sum!$E38+J$152*Mat_Sum!$F38+J$153*Mat_Sum!$I38+J$154*Mat_Sum!$L38+J$155*Mat_Sum!$AG38+J$156*Mat_Sum!$AH38+J$157*Mat_Sum!$AK38+J$158*Mat_Sum!$AM38+J$159*Mat_Sum!$AR38+J$163*Mat_Sum!$AS38+J$160*Mat_Sum!$AV38+J$161*Mat_Sum!$AT38+J$162*Mat_Sum!$AU38+J$164*Mat_Sum!$U38+J$165*Mat_Sum!$BH38+J$166*Mat_Sum!$BG38+J$167*Mat_Sum!$BJ38+J$168*Mat_Sum!$BI38+J$169*Mat_Sum!$AW38+J$170*Mat_Sum!$CN38+J$171*Mat_Sum!$CF38</f>
        <v>485.40099836657748</v>
      </c>
      <c r="K197" s="348">
        <f ca="1">K$150*Mat_Sum!$D38+K$151*Mat_Sum!$E38+K$152*Mat_Sum!$F38+K$153*Mat_Sum!$I38+K$154*Mat_Sum!$L38+K$155*Mat_Sum!$AG38+K$156*Mat_Sum!$AH38+K$157*Mat_Sum!$AK38+K$158*Mat_Sum!$AM38+K$159*Mat_Sum!$AR38+K$163*Mat_Sum!$AS38+K$160*Mat_Sum!$AV38+K$161*Mat_Sum!$AT38+K$162*Mat_Sum!$AU38+K$164*Mat_Sum!$U38+K$165*Mat_Sum!$BH38+K$166*Mat_Sum!$BG38+K$167*Mat_Sum!$BJ38+K$168*Mat_Sum!$BI38+K$169*Mat_Sum!$AW38+K$170*Mat_Sum!$CN38+K$171*Mat_Sum!$CF38</f>
        <v>717.76542177880572</v>
      </c>
    </row>
    <row r="198" spans="1:33">
      <c r="A198" s="230" t="s">
        <v>824</v>
      </c>
      <c r="B198" s="349">
        <f ca="1">B$150*Mat_Sum!$D39+B$151*Mat_Sum!$E39+B$152*Mat_Sum!$F39+B$153*Mat_Sum!$I39+B$154*Mat_Sum!$L39+B$155*Mat_Sum!$AG39+B$156*Mat_Sum!$AH39+B$157*Mat_Sum!$AK39+B$158*Mat_Sum!$AM39+B$159*Mat_Sum!$AR39+B$163*Mat_Sum!$AS39+B$160*Mat_Sum!$AV39+B$161*Mat_Sum!$AT39+B$162*Mat_Sum!$AU39+B$164*Mat_Sum!$U39+B$165*Mat_Sum!$BH39+B$166*Mat_Sum!$BG39+B$167*Mat_Sum!$BJ39+B$168*Mat_Sum!$BI39+B$169*Mat_Sum!$AW39+B$170*Mat_Sum!$CN39+B$171*Mat_Sum!$CF39</f>
        <v>26.172831314537003</v>
      </c>
      <c r="C198" s="349">
        <f ca="1">C$150*Mat_Sum!$D39+C$151*Mat_Sum!$E39+C$152*Mat_Sum!$F39+C$153*Mat_Sum!$I39+C$154*Mat_Sum!$L39+C$155*Mat_Sum!$AG39+C$156*Mat_Sum!$AH39+C$157*Mat_Sum!$AK39+C$158*Mat_Sum!$AM39+C$159*Mat_Sum!$AR39+C$163*Mat_Sum!$AS39+C$160*Mat_Sum!$AV39+C$161*Mat_Sum!$AT39+C$162*Mat_Sum!$AU39+C$164*Mat_Sum!$U39+C$165*Mat_Sum!$BH39+C$166*Mat_Sum!$BG39+C$167*Mat_Sum!$BJ39+C$168*Mat_Sum!$BI39+C$169*Mat_Sum!$AW39+C$170*Mat_Sum!$CN39+C$171*Mat_Sum!$CF39</f>
        <v>51.474646613292862</v>
      </c>
      <c r="D198" s="349">
        <f ca="1">D$150*Mat_Sum!$D39+D$151*Mat_Sum!$E39+D$152*Mat_Sum!$F39+D$153*Mat_Sum!$I39+D$154*Mat_Sum!$L39+D$155*Mat_Sum!$AG39+D$156*Mat_Sum!$AH39+D$157*Mat_Sum!$AK39+D$158*Mat_Sum!$AM39+D$159*Mat_Sum!$AR39+D$163*Mat_Sum!$AS39+D$160*Mat_Sum!$AV39+D$161*Mat_Sum!$AT39+D$162*Mat_Sum!$AU39+D$164*Mat_Sum!$U39+D$165*Mat_Sum!$BH39+D$166*Mat_Sum!$BG39+D$167*Mat_Sum!$BJ39+D$168*Mat_Sum!$BI39+D$169*Mat_Sum!$AW39+D$170*Mat_Sum!$CN39+D$171*Mat_Sum!$CF39</f>
        <v>24.996574707162917</v>
      </c>
      <c r="E198" s="349">
        <f ca="1">E$150*Mat_Sum!$D39+E$151*Mat_Sum!$E39+E$152*Mat_Sum!$F39+E$153*Mat_Sum!$I39+E$154*Mat_Sum!$L39+E$155*Mat_Sum!$AG39+E$156*Mat_Sum!$AH39+E$157*Mat_Sum!$AK39+E$158*Mat_Sum!$AM39+E$159*Mat_Sum!$AR39+E$163*Mat_Sum!$AS39+E$160*Mat_Sum!$AV39+E$161*Mat_Sum!$AT39+E$162*Mat_Sum!$AU39+E$164*Mat_Sum!$U39+E$165*Mat_Sum!$BH39+E$166*Mat_Sum!$BG39+E$167*Mat_Sum!$BJ39+E$168*Mat_Sum!$BI39+E$169*Mat_Sum!$AW39+E$170*Mat_Sum!$CN39+E$171*Mat_Sum!$CF39</f>
        <v>51.78257193368389</v>
      </c>
      <c r="F198" s="349">
        <f ca="1">F$150*Mat_Sum!$D39+F$151*Mat_Sum!$E39+F$152*Mat_Sum!$F39+F$153*Mat_Sum!$I39+F$154*Mat_Sum!$L39+F$155*Mat_Sum!$AG39+F$156*Mat_Sum!$AH39+F$157*Mat_Sum!$AK39+F$158*Mat_Sum!$AM39+F$159*Mat_Sum!$AR39+F$163*Mat_Sum!$AS39+F$160*Mat_Sum!$AV39+F$161*Mat_Sum!$AT39+F$162*Mat_Sum!$AU39+F$164*Mat_Sum!$U39+F$165*Mat_Sum!$BH39+F$166*Mat_Sum!$BG39+F$167*Mat_Sum!$BJ39+F$168*Mat_Sum!$BI39+F$169*Mat_Sum!$AW39+F$170*Mat_Sum!$CN39+F$171*Mat_Sum!$CF39</f>
        <v>25.007565696468973</v>
      </c>
      <c r="G198" s="349">
        <f ca="1">G$150*Mat_Sum!$D39+G$151*Mat_Sum!$E39+G$152*Mat_Sum!$F39+G$153*Mat_Sum!$I39+G$154*Mat_Sum!$L39+G$155*Mat_Sum!$AG39+G$156*Mat_Sum!$AH39+G$157*Mat_Sum!$AK39+G$158*Mat_Sum!$AM39+G$159*Mat_Sum!$AR39+G$163*Mat_Sum!$AS39+G$160*Mat_Sum!$AV39+G$161*Mat_Sum!$AT39+G$162*Mat_Sum!$AU39+G$164*Mat_Sum!$U39+G$165*Mat_Sum!$BH39+G$166*Mat_Sum!$BG39+G$167*Mat_Sum!$BJ39+G$168*Mat_Sum!$BI39+G$169*Mat_Sum!$AW39+G$170*Mat_Sum!$CN39+G$171*Mat_Sum!$CF39</f>
        <v>51.425450319851599</v>
      </c>
      <c r="H198" s="349">
        <f ca="1">H$150*Mat_Sum!$D39+H$151*Mat_Sum!$E39+H$152*Mat_Sum!$F39+H$153*Mat_Sum!$I39+H$154*Mat_Sum!$L39+H$155*Mat_Sum!$AG39+H$156*Mat_Sum!$AH39+H$157*Mat_Sum!$AK39+H$158*Mat_Sum!$AM39+H$159*Mat_Sum!$AR39+H$163*Mat_Sum!$AS39+H$160*Mat_Sum!$AV39+H$161*Mat_Sum!$AT39+H$162*Mat_Sum!$AU39+H$164*Mat_Sum!$U39+H$165*Mat_Sum!$BH39+H$166*Mat_Sum!$BG39+H$167*Mat_Sum!$BJ39+H$168*Mat_Sum!$BI39+H$169*Mat_Sum!$AW39+H$170*Mat_Sum!$CN39+H$171*Mat_Sum!$CF39</f>
        <v>23.54828834478575</v>
      </c>
      <c r="I198" s="349">
        <f ca="1">I$150*Mat_Sum!$D39+I$151*Mat_Sum!$E39+I$152*Mat_Sum!$F39+I$153*Mat_Sum!$I39+I$154*Mat_Sum!$L39+I$155*Mat_Sum!$AG39+I$156*Mat_Sum!$AH39+I$157*Mat_Sum!$AK39+I$158*Mat_Sum!$AM39+I$159*Mat_Sum!$AR39+I$163*Mat_Sum!$AS39+I$160*Mat_Sum!$AV39+I$161*Mat_Sum!$AT39+I$162*Mat_Sum!$AU39+I$164*Mat_Sum!$U39+I$165*Mat_Sum!$BH39+I$166*Mat_Sum!$BG39+I$167*Mat_Sum!$BJ39+I$168*Mat_Sum!$BI39+I$169*Mat_Sum!$AW39+I$170*Mat_Sum!$CN39+I$171*Mat_Sum!$CF39</f>
        <v>50.976452237412957</v>
      </c>
      <c r="J198" s="349">
        <f ca="1">J$150*Mat_Sum!$D39+J$151*Mat_Sum!$E39+J$152*Mat_Sum!$F39+J$153*Mat_Sum!$I39+J$154*Mat_Sum!$L39+J$155*Mat_Sum!$AG39+J$156*Mat_Sum!$AH39+J$157*Mat_Sum!$AK39+J$158*Mat_Sum!$AM39+J$159*Mat_Sum!$AR39+J$163*Mat_Sum!$AS39+J$160*Mat_Sum!$AV39+J$161*Mat_Sum!$AT39+J$162*Mat_Sum!$AU39+J$164*Mat_Sum!$U39+J$165*Mat_Sum!$BH39+J$166*Mat_Sum!$BG39+J$167*Mat_Sum!$BJ39+J$168*Mat_Sum!$BI39+J$169*Mat_Sum!$AW39+J$170*Mat_Sum!$CN39+J$171*Mat_Sum!$CF39</f>
        <v>57.754836376766711</v>
      </c>
      <c r="K198" s="348">
        <f ca="1">K$150*Mat_Sum!$D39+K$151*Mat_Sum!$E39+K$152*Mat_Sum!$F39+K$153*Mat_Sum!$I39+K$154*Mat_Sum!$L39+K$155*Mat_Sum!$AG39+K$156*Mat_Sum!$AH39+K$157*Mat_Sum!$AK39+K$158*Mat_Sum!$AM39+K$159*Mat_Sum!$AR39+K$163*Mat_Sum!$AS39+K$160*Mat_Sum!$AV39+K$161*Mat_Sum!$AT39+K$162*Mat_Sum!$AU39+K$164*Mat_Sum!$U39+K$165*Mat_Sum!$BH39+K$166*Mat_Sum!$BG39+K$167*Mat_Sum!$BJ39+K$168*Mat_Sum!$BI39+K$169*Mat_Sum!$AW39+K$170*Mat_Sum!$CN39+K$171*Mat_Sum!$CF39</f>
        <v>83.483307450417598</v>
      </c>
    </row>
    <row r="199" spans="1:33">
      <c r="A199" s="230" t="s">
        <v>825</v>
      </c>
      <c r="B199" s="349">
        <f ca="1">B$150*Mat_Sum!$D40+B$151*Mat_Sum!$E40+B$152*Mat_Sum!$F40+B$153*Mat_Sum!$I40+B$154*Mat_Sum!$L40+B$155*Mat_Sum!$AG40+B$156*Mat_Sum!$AH40+B$157*Mat_Sum!$AK40+B$158*Mat_Sum!$AM40+B$159*Mat_Sum!$AR40+B$163*Mat_Sum!$AS40+B$160*Mat_Sum!$AV40+B$161*Mat_Sum!$AT40+B$162*Mat_Sum!$AU40+B$164*Mat_Sum!$U40+B$165*Mat_Sum!$BH40+B$166*Mat_Sum!$BG40+B$167*Mat_Sum!$BJ40+B$168*Mat_Sum!$BI40+B$169*Mat_Sum!$AW40+B$170*Mat_Sum!$CN40+B$171*Mat_Sum!$CF40</f>
        <v>22.548288144571796</v>
      </c>
      <c r="C199" s="349">
        <f ca="1">C$150*Mat_Sum!$D40+C$151*Mat_Sum!$E40+C$152*Mat_Sum!$F40+C$153*Mat_Sum!$I40+C$154*Mat_Sum!$L40+C$155*Mat_Sum!$AG40+C$156*Mat_Sum!$AH40+C$157*Mat_Sum!$AK40+C$158*Mat_Sum!$AM40+C$159*Mat_Sum!$AR40+C$163*Mat_Sum!$AS40+C$160*Mat_Sum!$AV40+C$161*Mat_Sum!$AT40+C$162*Mat_Sum!$AU40+C$164*Mat_Sum!$U40+C$165*Mat_Sum!$BH40+C$166*Mat_Sum!$BG40+C$167*Mat_Sum!$BJ40+C$168*Mat_Sum!$BI40+C$169*Mat_Sum!$AW40+C$170*Mat_Sum!$CN40+C$171*Mat_Sum!$CF40</f>
        <v>44.773820278763445</v>
      </c>
      <c r="D199" s="349">
        <f ca="1">D$150*Mat_Sum!$D40+D$151*Mat_Sum!$E40+D$152*Mat_Sum!$F40+D$153*Mat_Sum!$I40+D$154*Mat_Sum!$L40+D$155*Mat_Sum!$AG40+D$156*Mat_Sum!$AH40+D$157*Mat_Sum!$AK40+D$158*Mat_Sum!$AM40+D$159*Mat_Sum!$AR40+D$163*Mat_Sum!$AS40+D$160*Mat_Sum!$AV40+D$161*Mat_Sum!$AT40+D$162*Mat_Sum!$AU40+D$164*Mat_Sum!$U40+D$165*Mat_Sum!$BH40+D$166*Mat_Sum!$BG40+D$167*Mat_Sum!$BJ40+D$168*Mat_Sum!$BI40+D$169*Mat_Sum!$AW40+D$170*Mat_Sum!$CN40+D$171*Mat_Sum!$CF40</f>
        <v>21.583927690930249</v>
      </c>
      <c r="E199" s="349">
        <f ca="1">E$150*Mat_Sum!$D40+E$151*Mat_Sum!$E40+E$152*Mat_Sum!$F40+E$153*Mat_Sum!$I40+E$154*Mat_Sum!$L40+E$155*Mat_Sum!$AG40+E$156*Mat_Sum!$AH40+E$157*Mat_Sum!$AK40+E$158*Mat_Sum!$AM40+E$159*Mat_Sum!$AR40+E$163*Mat_Sum!$AS40+E$160*Mat_Sum!$AV40+E$161*Mat_Sum!$AT40+E$162*Mat_Sum!$AU40+E$164*Mat_Sum!$U40+E$165*Mat_Sum!$BH40+E$166*Mat_Sum!$BG40+E$167*Mat_Sum!$BJ40+E$168*Mat_Sum!$BI40+E$169*Mat_Sum!$AW40+E$170*Mat_Sum!$CN40+E$171*Mat_Sum!$CF40</f>
        <v>45.067414858828741</v>
      </c>
      <c r="F199" s="349">
        <f ca="1">F$150*Mat_Sum!$D40+F$151*Mat_Sum!$E40+F$152*Mat_Sum!$F40+F$153*Mat_Sum!$I40+F$154*Mat_Sum!$L40+F$155*Mat_Sum!$AG40+F$156*Mat_Sum!$AH40+F$157*Mat_Sum!$AK40+F$158*Mat_Sum!$AM40+F$159*Mat_Sum!$AR40+F$163*Mat_Sum!$AS40+F$160*Mat_Sum!$AV40+F$161*Mat_Sum!$AT40+F$162*Mat_Sum!$AU40+F$164*Mat_Sum!$U40+F$165*Mat_Sum!$BH40+F$166*Mat_Sum!$BG40+F$167*Mat_Sum!$BJ40+F$168*Mat_Sum!$BI40+F$169*Mat_Sum!$AW40+F$170*Mat_Sum!$CN40+F$171*Mat_Sum!$CF40</f>
        <v>21.595234773866643</v>
      </c>
      <c r="G199" s="349">
        <f ca="1">G$150*Mat_Sum!$D40+G$151*Mat_Sum!$E40+G$152*Mat_Sum!$F40+G$153*Mat_Sum!$I40+G$154*Mat_Sum!$L40+G$155*Mat_Sum!$AG40+G$156*Mat_Sum!$AH40+G$157*Mat_Sum!$AK40+G$158*Mat_Sum!$AM40+G$159*Mat_Sum!$AR40+G$163*Mat_Sum!$AS40+G$160*Mat_Sum!$AV40+G$161*Mat_Sum!$AT40+G$162*Mat_Sum!$AU40+G$164*Mat_Sum!$U40+G$165*Mat_Sum!$BH40+G$166*Mat_Sum!$BG40+G$167*Mat_Sum!$BJ40+G$168*Mat_Sum!$BI40+G$169*Mat_Sum!$AW40+G$170*Mat_Sum!$CN40+G$171*Mat_Sum!$CF40</f>
        <v>44.777757937850829</v>
      </c>
      <c r="H199" s="349">
        <f ca="1">H$150*Mat_Sum!$D40+H$151*Mat_Sum!$E40+H$152*Mat_Sum!$F40+H$153*Mat_Sum!$I40+H$154*Mat_Sum!$L40+H$155*Mat_Sum!$AG40+H$156*Mat_Sum!$AH40+H$157*Mat_Sum!$AK40+H$158*Mat_Sum!$AM40+H$159*Mat_Sum!$AR40+H$163*Mat_Sum!$AS40+H$160*Mat_Sum!$AV40+H$161*Mat_Sum!$AT40+H$162*Mat_Sum!$AU40+H$164*Mat_Sum!$U40+H$165*Mat_Sum!$BH40+H$166*Mat_Sum!$BG40+H$167*Mat_Sum!$BJ40+H$168*Mat_Sum!$BI40+H$169*Mat_Sum!$AW40+H$170*Mat_Sum!$CN40+H$171*Mat_Sum!$CF40</f>
        <v>20.317114139143143</v>
      </c>
      <c r="I199" s="349">
        <f ca="1">I$150*Mat_Sum!$D40+I$151*Mat_Sum!$E40+I$152*Mat_Sum!$F40+I$153*Mat_Sum!$I40+I$154*Mat_Sum!$L40+I$155*Mat_Sum!$AG40+I$156*Mat_Sum!$AH40+I$157*Mat_Sum!$AK40+I$158*Mat_Sum!$AM40+I$159*Mat_Sum!$AR40+I$163*Mat_Sum!$AS40+I$160*Mat_Sum!$AV40+I$161*Mat_Sum!$AT40+I$162*Mat_Sum!$AU40+I$164*Mat_Sum!$U40+I$165*Mat_Sum!$BH40+I$166*Mat_Sum!$BG40+I$167*Mat_Sum!$BJ40+I$168*Mat_Sum!$BI40+I$169*Mat_Sum!$AW40+I$170*Mat_Sum!$CN40+I$171*Mat_Sum!$CF40</f>
        <v>44.343262634596101</v>
      </c>
      <c r="J199" s="349">
        <f ca="1">J$150*Mat_Sum!$D40+J$151*Mat_Sum!$E40+J$152*Mat_Sum!$F40+J$153*Mat_Sum!$I40+J$154*Mat_Sum!$L40+J$155*Mat_Sum!$AG40+J$156*Mat_Sum!$AH40+J$157*Mat_Sum!$AK40+J$158*Mat_Sum!$AM40+J$159*Mat_Sum!$AR40+J$163*Mat_Sum!$AS40+J$160*Mat_Sum!$AV40+J$161*Mat_Sum!$AT40+J$162*Mat_Sum!$AU40+J$164*Mat_Sum!$U40+J$165*Mat_Sum!$BH40+J$166*Mat_Sum!$BG40+J$167*Mat_Sum!$BJ40+J$168*Mat_Sum!$BI40+J$169*Mat_Sum!$AW40+J$170*Mat_Sum!$CN40+J$171*Mat_Sum!$CF40</f>
        <v>50.398222766308443</v>
      </c>
      <c r="K199" s="348">
        <f ca="1">K$150*Mat_Sum!$D40+K$151*Mat_Sum!$E40+K$152*Mat_Sum!$F40+K$153*Mat_Sum!$I40+K$154*Mat_Sum!$L40+K$155*Mat_Sum!$AG40+K$156*Mat_Sum!$AH40+K$157*Mat_Sum!$AK40+K$158*Mat_Sum!$AM40+K$159*Mat_Sum!$AR40+K$163*Mat_Sum!$AS40+K$160*Mat_Sum!$AV40+K$161*Mat_Sum!$AT40+K$162*Mat_Sum!$AU40+K$164*Mat_Sum!$U40+K$165*Mat_Sum!$BH40+K$166*Mat_Sum!$BG40+K$167*Mat_Sum!$BJ40+K$168*Mat_Sum!$BI40+K$169*Mat_Sum!$AW40+K$170*Mat_Sum!$CN40+K$171*Mat_Sum!$CF40</f>
        <v>72.934916244587271</v>
      </c>
    </row>
    <row r="200" spans="1:33">
      <c r="A200" s="230" t="s">
        <v>826</v>
      </c>
      <c r="B200" s="349">
        <f ca="1">B$150*Mat_Sum!$D41+B$151*Mat_Sum!$E41+B$152*Mat_Sum!$F41+B$153*Mat_Sum!$I41+B$154*Mat_Sum!$L41+B$155*Mat_Sum!$AG41+B$156*Mat_Sum!$AH41+B$157*Mat_Sum!$AK41+B$158*Mat_Sum!$AM41+B$159*Mat_Sum!$AR41+B$163*Mat_Sum!$AS41+B$160*Mat_Sum!$AV41+B$161*Mat_Sum!$AT41+B$162*Mat_Sum!$AU41+B$164*Mat_Sum!$U41+B$165*Mat_Sum!$BH41+B$166*Mat_Sum!$BG41+B$167*Mat_Sum!$BJ41+B$168*Mat_Sum!$BI41+B$169*Mat_Sum!$AW41+B$170*Mat_Sum!$CN41+B$171*Mat_Sum!$CF41</f>
        <v>238.75931089469762</v>
      </c>
      <c r="C200" s="349">
        <f ca="1">C$150*Mat_Sum!$D41+C$151*Mat_Sum!$E41+C$152*Mat_Sum!$F41+C$153*Mat_Sum!$I41+C$154*Mat_Sum!$L41+C$155*Mat_Sum!$AG41+C$156*Mat_Sum!$AH41+C$157*Mat_Sum!$AK41+C$158*Mat_Sum!$AM41+C$159*Mat_Sum!$AR41+C$163*Mat_Sum!$AS41+C$160*Mat_Sum!$AV41+C$161*Mat_Sum!$AT41+C$162*Mat_Sum!$AU41+C$164*Mat_Sum!$U41+C$165*Mat_Sum!$BH41+C$166*Mat_Sum!$BG41+C$167*Mat_Sum!$BJ41+C$168*Mat_Sum!$BI41+C$169*Mat_Sum!$AW41+C$170*Mat_Sum!$CN41+C$171*Mat_Sum!$CF41</f>
        <v>387.3754395770942</v>
      </c>
      <c r="D200" s="349">
        <f ca="1">D$150*Mat_Sum!$D41+D$151*Mat_Sum!$E41+D$152*Mat_Sum!$F41+D$153*Mat_Sum!$I41+D$154*Mat_Sum!$L41+D$155*Mat_Sum!$AG41+D$156*Mat_Sum!$AH41+D$157*Mat_Sum!$AK41+D$158*Mat_Sum!$AM41+D$159*Mat_Sum!$AR41+D$163*Mat_Sum!$AS41+D$160*Mat_Sum!$AV41+D$161*Mat_Sum!$AT41+D$162*Mat_Sum!$AU41+D$164*Mat_Sum!$U41+D$165*Mat_Sum!$BH41+D$166*Mat_Sum!$BG41+D$167*Mat_Sum!$BJ41+D$168*Mat_Sum!$BI41+D$169*Mat_Sum!$AW41+D$170*Mat_Sum!$CN41+D$171*Mat_Sum!$CF41</f>
        <v>222.82112166917258</v>
      </c>
      <c r="E200" s="349">
        <f ca="1">E$150*Mat_Sum!$D41+E$151*Mat_Sum!$E41+E$152*Mat_Sum!$F41+E$153*Mat_Sum!$I41+E$154*Mat_Sum!$L41+E$155*Mat_Sum!$AG41+E$156*Mat_Sum!$AH41+E$157*Mat_Sum!$AK41+E$158*Mat_Sum!$AM41+E$159*Mat_Sum!$AR41+E$163*Mat_Sum!$AS41+E$160*Mat_Sum!$AV41+E$161*Mat_Sum!$AT41+E$162*Mat_Sum!$AU41+E$164*Mat_Sum!$U41+E$165*Mat_Sum!$BH41+E$166*Mat_Sum!$BG41+E$167*Mat_Sum!$BJ41+E$168*Mat_Sum!$BI41+E$169*Mat_Sum!$AW41+E$170*Mat_Sum!$CN41+E$171*Mat_Sum!$CF41</f>
        <v>386.88735628541696</v>
      </c>
      <c r="F200" s="349">
        <f ca="1">F$150*Mat_Sum!$D41+F$151*Mat_Sum!$E41+F$152*Mat_Sum!$F41+F$153*Mat_Sum!$I41+F$154*Mat_Sum!$L41+F$155*Mat_Sum!$AG41+F$156*Mat_Sum!$AH41+F$157*Mat_Sum!$AK41+F$158*Mat_Sum!$AM41+F$159*Mat_Sum!$AR41+F$163*Mat_Sum!$AS41+F$160*Mat_Sum!$AV41+F$161*Mat_Sum!$AT41+F$162*Mat_Sum!$AU41+F$164*Mat_Sum!$U41+F$165*Mat_Sum!$BH41+F$166*Mat_Sum!$BG41+F$167*Mat_Sum!$BJ41+F$168*Mat_Sum!$BI41+F$169*Mat_Sum!$AW41+F$170*Mat_Sum!$CN41+F$171*Mat_Sum!$CF41</f>
        <v>222.83759424386076</v>
      </c>
      <c r="G200" s="349">
        <f ca="1">G$150*Mat_Sum!$D41+G$151*Mat_Sum!$E41+G$152*Mat_Sum!$F41+G$153*Mat_Sum!$I41+G$154*Mat_Sum!$L41+G$155*Mat_Sum!$AG41+G$156*Mat_Sum!$AH41+G$157*Mat_Sum!$AK41+G$158*Mat_Sum!$AM41+G$159*Mat_Sum!$AR41+G$163*Mat_Sum!$AS41+G$160*Mat_Sum!$AV41+G$161*Mat_Sum!$AT41+G$162*Mat_Sum!$AU41+G$164*Mat_Sum!$U41+G$165*Mat_Sum!$BH41+G$166*Mat_Sum!$BG41+G$167*Mat_Sum!$BJ41+G$168*Mat_Sum!$BI41+G$169*Mat_Sum!$AW41+G$170*Mat_Sum!$CN41+G$171*Mat_Sum!$CF41</f>
        <v>382.95721660277809</v>
      </c>
      <c r="H200" s="349">
        <f ca="1">H$150*Mat_Sum!$D41+H$151*Mat_Sum!$E41+H$152*Mat_Sum!$F41+H$153*Mat_Sum!$I41+H$154*Mat_Sum!$L41+H$155*Mat_Sum!$AG41+H$156*Mat_Sum!$AH41+H$157*Mat_Sum!$AK41+H$158*Mat_Sum!$AM41+H$159*Mat_Sum!$AR41+H$163*Mat_Sum!$AS41+H$160*Mat_Sum!$AV41+H$161*Mat_Sum!$AT41+H$162*Mat_Sum!$AU41+H$164*Mat_Sum!$U41+H$165*Mat_Sum!$BH41+H$166*Mat_Sum!$BG41+H$167*Mat_Sum!$BJ41+H$168*Mat_Sum!$BI41+H$169*Mat_Sum!$AW41+H$170*Mat_Sum!$CN41+H$171*Mat_Sum!$CF41</f>
        <v>211.55998323219251</v>
      </c>
      <c r="I200" s="349">
        <f ca="1">I$150*Mat_Sum!$D41+I$151*Mat_Sum!$E41+I$152*Mat_Sum!$F41+I$153*Mat_Sum!$I41+I$154*Mat_Sum!$L41+I$155*Mat_Sum!$AG41+I$156*Mat_Sum!$AH41+I$157*Mat_Sum!$AK41+I$158*Mat_Sum!$AM41+I$159*Mat_Sum!$AR41+I$163*Mat_Sum!$AS41+I$160*Mat_Sum!$AV41+I$161*Mat_Sum!$AT41+I$162*Mat_Sum!$AU41+I$164*Mat_Sum!$U41+I$165*Mat_Sum!$BH41+I$166*Mat_Sum!$BG41+I$167*Mat_Sum!$BJ41+I$168*Mat_Sum!$BI41+I$169*Mat_Sum!$AW41+I$170*Mat_Sum!$CN41+I$171*Mat_Sum!$CF41</f>
        <v>382.20745383266069</v>
      </c>
      <c r="J200" s="349">
        <f ca="1">J$150*Mat_Sum!$D41+J$151*Mat_Sum!$E41+J$152*Mat_Sum!$F41+J$153*Mat_Sum!$I41+J$154*Mat_Sum!$L41+J$155*Mat_Sum!$AG41+J$156*Mat_Sum!$AH41+J$157*Mat_Sum!$AK41+J$158*Mat_Sum!$AM41+J$159*Mat_Sum!$AR41+J$163*Mat_Sum!$AS41+J$160*Mat_Sum!$AV41+J$161*Mat_Sum!$AT41+J$162*Mat_Sum!$AU41+J$164*Mat_Sum!$U41+J$165*Mat_Sum!$BH41+J$166*Mat_Sum!$BG41+J$167*Mat_Sum!$BJ41+J$168*Mat_Sum!$BI41+J$169*Mat_Sum!$AW41+J$170*Mat_Sum!$CN41+J$171*Mat_Sum!$CF41</f>
        <v>428.61445936410024</v>
      </c>
      <c r="K200" s="348">
        <f ca="1">K$150*Mat_Sum!$D41+K$151*Mat_Sum!$E41+K$152*Mat_Sum!$F41+K$153*Mat_Sum!$I41+K$154*Mat_Sum!$L41+K$155*Mat_Sum!$AG41+K$156*Mat_Sum!$AH41+K$157*Mat_Sum!$AK41+K$158*Mat_Sum!$AM41+K$159*Mat_Sum!$AR41+K$163*Mat_Sum!$AS41+K$160*Mat_Sum!$AV41+K$161*Mat_Sum!$AT41+K$162*Mat_Sum!$AU41+K$164*Mat_Sum!$U41+K$165*Mat_Sum!$BH41+K$166*Mat_Sum!$BG41+K$167*Mat_Sum!$BJ41+K$168*Mat_Sum!$BI41+K$169*Mat_Sum!$AW41+K$170*Mat_Sum!$CN41+K$171*Mat_Sum!$CF41</f>
        <v>587.0487054561454</v>
      </c>
    </row>
    <row r="201" spans="1:33">
      <c r="A201" s="230" t="s">
        <v>827</v>
      </c>
      <c r="B201" s="349">
        <f ca="1">B$150*Mat_Sum!$D42+B$151*Mat_Sum!$E42+B$152*Mat_Sum!$F42+B$153*Mat_Sum!$I42+B$154*Mat_Sum!$L42+B$155*Mat_Sum!$AG42+B$156*Mat_Sum!$AH42+B$157*Mat_Sum!$AK42+B$158*Mat_Sum!$AM42+B$159*Mat_Sum!$AR42+B$163*Mat_Sum!$AS42+B$160*Mat_Sum!$AV42+B$161*Mat_Sum!$AT42+B$162*Mat_Sum!$AU42+B$164*Mat_Sum!$U42+B$165*Mat_Sum!$BH42+B$166*Mat_Sum!$BG42+B$167*Mat_Sum!$BJ42+B$168*Mat_Sum!$BI42+B$169*Mat_Sum!$AW42+B$170*Mat_Sum!$CN42+B$171*Mat_Sum!$CF42</f>
        <v>1.315417106707256</v>
      </c>
      <c r="C201" s="349">
        <f ca="1">C$150*Mat_Sum!$D42+C$151*Mat_Sum!$E42+C$152*Mat_Sum!$F42+C$153*Mat_Sum!$I42+C$154*Mat_Sum!$L42+C$155*Mat_Sum!$AG42+C$156*Mat_Sum!$AH42+C$157*Mat_Sum!$AK42+C$158*Mat_Sum!$AM42+C$159*Mat_Sum!$AR42+C$163*Mat_Sum!$AS42+C$160*Mat_Sum!$AV42+C$161*Mat_Sum!$AT42+C$162*Mat_Sum!$AU42+C$164*Mat_Sum!$U42+C$165*Mat_Sum!$BH42+C$166*Mat_Sum!$BG42+C$167*Mat_Sum!$BJ42+C$168*Mat_Sum!$BI42+C$169*Mat_Sum!$AW42+C$170*Mat_Sum!$CN42+C$171*Mat_Sum!$CF42</f>
        <v>2.6717291062586992</v>
      </c>
      <c r="D201" s="349">
        <f ca="1">D$150*Mat_Sum!$D42+D$151*Mat_Sum!$E42+D$152*Mat_Sum!$F42+D$153*Mat_Sum!$I42+D$154*Mat_Sum!$L42+D$155*Mat_Sum!$AG42+D$156*Mat_Sum!$AH42+D$157*Mat_Sum!$AK42+D$158*Mat_Sum!$AM42+D$159*Mat_Sum!$AR42+D$163*Mat_Sum!$AS42+D$160*Mat_Sum!$AV42+D$161*Mat_Sum!$AT42+D$162*Mat_Sum!$AU42+D$164*Mat_Sum!$U42+D$165*Mat_Sum!$BH42+D$166*Mat_Sum!$BG42+D$167*Mat_Sum!$BJ42+D$168*Mat_Sum!$BI42+D$169*Mat_Sum!$AW42+D$170*Mat_Sum!$CN42+D$171*Mat_Sum!$CF42</f>
        <v>1.2556065004295878</v>
      </c>
      <c r="E201" s="349">
        <f ca="1">E$150*Mat_Sum!$D42+E$151*Mat_Sum!$E42+E$152*Mat_Sum!$F42+E$153*Mat_Sum!$I42+E$154*Mat_Sum!$L42+E$155*Mat_Sum!$AG42+E$156*Mat_Sum!$AH42+E$157*Mat_Sum!$AK42+E$158*Mat_Sum!$AM42+E$159*Mat_Sum!$AR42+E$163*Mat_Sum!$AS42+E$160*Mat_Sum!$AV42+E$161*Mat_Sum!$AT42+E$162*Mat_Sum!$AU42+E$164*Mat_Sum!$U42+E$165*Mat_Sum!$BH42+E$166*Mat_Sum!$BG42+E$167*Mat_Sum!$BJ42+E$168*Mat_Sum!$BI42+E$169*Mat_Sum!$AW42+E$170*Mat_Sum!$CN42+E$171*Mat_Sum!$CF42</f>
        <v>2.6819289060289173</v>
      </c>
      <c r="F201" s="349">
        <f ca="1">F$150*Mat_Sum!$D42+F$151*Mat_Sum!$E42+F$152*Mat_Sum!$F42+F$153*Mat_Sum!$I42+F$154*Mat_Sum!$L42+F$155*Mat_Sum!$AG42+F$156*Mat_Sum!$AH42+F$157*Mat_Sum!$AK42+F$158*Mat_Sum!$AM42+F$159*Mat_Sum!$AR42+F$163*Mat_Sum!$AS42+F$160*Mat_Sum!$AV42+F$161*Mat_Sum!$AT42+F$162*Mat_Sum!$AU42+F$164*Mat_Sum!$U42+F$165*Mat_Sum!$BH42+F$166*Mat_Sum!$BG42+F$167*Mat_Sum!$BJ42+F$168*Mat_Sum!$BI42+F$169*Mat_Sum!$AW42+F$170*Mat_Sum!$CN42+F$171*Mat_Sum!$CF42</f>
        <v>1.2559467081709932</v>
      </c>
      <c r="G201" s="349">
        <f ca="1">G$150*Mat_Sum!$D42+G$151*Mat_Sum!$E42+G$152*Mat_Sum!$F42+G$153*Mat_Sum!$I42+G$154*Mat_Sum!$L42+G$155*Mat_Sum!$AG42+G$156*Mat_Sum!$AH42+G$157*Mat_Sum!$AK42+G$158*Mat_Sum!$AM42+G$159*Mat_Sum!$AR42+G$163*Mat_Sum!$AS42+G$160*Mat_Sum!$AV42+G$161*Mat_Sum!$AT42+G$162*Mat_Sum!$AU42+G$164*Mat_Sum!$U42+G$165*Mat_Sum!$BH42+G$166*Mat_Sum!$BG42+G$167*Mat_Sum!$BJ42+G$168*Mat_Sum!$BI42+G$169*Mat_Sum!$AW42+G$170*Mat_Sum!$CN42+G$171*Mat_Sum!$CF42</f>
        <v>2.6699361106551445</v>
      </c>
      <c r="H201" s="349">
        <f ca="1">H$150*Mat_Sum!$D42+H$151*Mat_Sum!$E42+H$152*Mat_Sum!$F42+H$153*Mat_Sum!$I42+H$154*Mat_Sum!$L42+H$155*Mat_Sum!$AG42+H$156*Mat_Sum!$AH42+H$157*Mat_Sum!$AK42+H$158*Mat_Sum!$AM42+H$159*Mat_Sum!$AR42+H$163*Mat_Sum!$AS42+H$160*Mat_Sum!$AV42+H$161*Mat_Sum!$AT42+H$162*Mat_Sum!$AU42+H$164*Mat_Sum!$U42+H$165*Mat_Sum!$BH42+H$166*Mat_Sum!$BG42+H$167*Mat_Sum!$BJ42+H$168*Mat_Sum!$BI42+H$169*Mat_Sum!$AW42+H$170*Mat_Sum!$CN42+H$171*Mat_Sum!$CF42</f>
        <v>1.1827882944210903</v>
      </c>
      <c r="I201" s="349">
        <f ca="1">I$150*Mat_Sum!$D42+I$151*Mat_Sum!$E42+I$152*Mat_Sum!$F42+I$153*Mat_Sum!$I42+I$154*Mat_Sum!$L42+I$155*Mat_Sum!$AG42+I$156*Mat_Sum!$AH42+I$157*Mat_Sum!$AK42+I$158*Mat_Sum!$AM42+I$159*Mat_Sum!$AR42+I$163*Mat_Sum!$AS42+I$160*Mat_Sum!$AV42+I$161*Mat_Sum!$AT42+I$162*Mat_Sum!$AU42+I$164*Mat_Sum!$U42+I$165*Mat_Sum!$BH42+I$166*Mat_Sum!$BG42+I$167*Mat_Sum!$BJ42+I$168*Mat_Sum!$BI42+I$169*Mat_Sum!$AW42+I$170*Mat_Sum!$CN42+I$171*Mat_Sum!$CF42</f>
        <v>2.6499310980948385</v>
      </c>
      <c r="J201" s="349">
        <f ca="1">J$150*Mat_Sum!$D42+J$151*Mat_Sum!$E42+J$152*Mat_Sum!$F42+J$153*Mat_Sum!$I42+J$154*Mat_Sum!$L42+J$155*Mat_Sum!$AG42+J$156*Mat_Sum!$AH42+J$157*Mat_Sum!$AK42+J$158*Mat_Sum!$AM42+J$159*Mat_Sum!$AR42+J$163*Mat_Sum!$AS42+J$160*Mat_Sum!$AV42+J$161*Mat_Sum!$AT42+J$162*Mat_Sum!$AU42+J$164*Mat_Sum!$U42+J$165*Mat_Sum!$BH42+J$166*Mat_Sum!$BG42+J$167*Mat_Sum!$BJ42+J$168*Mat_Sum!$BI42+J$169*Mat_Sum!$AW42+J$170*Mat_Sum!$CN42+J$171*Mat_Sum!$CF42</f>
        <v>2.9674975278208855</v>
      </c>
      <c r="K201" s="348">
        <f ca="1">K$150*Mat_Sum!$D42+K$151*Mat_Sum!$E42+K$152*Mat_Sum!$F42+K$153*Mat_Sum!$I42+K$154*Mat_Sum!$L42+K$155*Mat_Sum!$AG42+K$156*Mat_Sum!$AH42+K$157*Mat_Sum!$AK42+K$158*Mat_Sum!$AM42+K$159*Mat_Sum!$AR42+K$163*Mat_Sum!$AS42+K$160*Mat_Sum!$AV42+K$161*Mat_Sum!$AT42+K$162*Mat_Sum!$AU42+K$164*Mat_Sum!$U42+K$165*Mat_Sum!$BH42+K$166*Mat_Sum!$BG42+K$167*Mat_Sum!$BJ42+K$168*Mat_Sum!$BI42+K$169*Mat_Sum!$AW42+K$170*Mat_Sum!$CN42+K$171*Mat_Sum!$CF42</f>
        <v>4.3588389707320525</v>
      </c>
    </row>
    <row r="202" spans="1:33">
      <c r="A202" s="589" t="s">
        <v>828</v>
      </c>
      <c r="B202" s="505">
        <f ca="1">B$150*Mat_Sum!$D43+B$151*Mat_Sum!$E43+B$152*Mat_Sum!$F43+B$153*Mat_Sum!$I43+B$154*Mat_Sum!$L43+B$155*Mat_Sum!$AG43+B$156*Mat_Sum!$AH43+B$157*Mat_Sum!$AK43+B$158*Mat_Sum!$AM43+B$159*Mat_Sum!$AR43+B$163*Mat_Sum!$AS43+B$160*Mat_Sum!$AV43+B$161*Mat_Sum!$AT43+B$162*Mat_Sum!$AU43+B$164*Mat_Sum!$U43+B$165*Mat_Sum!$BH43+B$166*Mat_Sum!$BG43+B$167*Mat_Sum!$BJ43+B$168*Mat_Sum!$BI43+B$169*Mat_Sum!$AW43+B$170*Mat_Sum!$CN43+B$171*Mat_Sum!$CF43</f>
        <v>5.2314633701279316</v>
      </c>
      <c r="C202" s="505">
        <f ca="1">C$150*Mat_Sum!$D43+C$151*Mat_Sum!$E43+C$152*Mat_Sum!$F43+C$153*Mat_Sum!$I43+C$154*Mat_Sum!$L43+C$155*Mat_Sum!$AG43+C$156*Mat_Sum!$AH43+C$157*Mat_Sum!$AK43+C$158*Mat_Sum!$AM43+C$159*Mat_Sum!$AR43+C$163*Mat_Sum!$AS43+C$160*Mat_Sum!$AV43+C$161*Mat_Sum!$AT43+C$162*Mat_Sum!$AU43+C$164*Mat_Sum!$U43+C$165*Mat_Sum!$BH43+C$166*Mat_Sum!$BG43+C$167*Mat_Sum!$BJ43+C$168*Mat_Sum!$BI43+C$169*Mat_Sum!$AW43+C$170*Mat_Sum!$CN43+C$171*Mat_Sum!$CF43</f>
        <v>10.473009239078182</v>
      </c>
      <c r="D202" s="505">
        <f ca="1">D$150*Mat_Sum!$D43+D$151*Mat_Sum!$E43+D$152*Mat_Sum!$F43+D$153*Mat_Sum!$I43+D$154*Mat_Sum!$L43+D$155*Mat_Sum!$AG43+D$156*Mat_Sum!$AH43+D$157*Mat_Sum!$AK43+D$158*Mat_Sum!$AM43+D$159*Mat_Sum!$AR43+D$163*Mat_Sum!$AS43+D$160*Mat_Sum!$AV43+D$161*Mat_Sum!$AT43+D$162*Mat_Sum!$AU43+D$164*Mat_Sum!$U43+D$165*Mat_Sum!$BH43+D$166*Mat_Sum!$BG43+D$167*Mat_Sum!$BJ43+D$168*Mat_Sum!$BI43+D$169*Mat_Sum!$AW43+D$170*Mat_Sum!$CN43+D$171*Mat_Sum!$CF43</f>
        <v>5.1324985468205409</v>
      </c>
      <c r="E202" s="505">
        <f ca="1">E$150*Mat_Sum!$D43+E$151*Mat_Sum!$E43+E$152*Mat_Sum!$F43+E$153*Mat_Sum!$I43+E$154*Mat_Sum!$L43+E$155*Mat_Sum!$AG43+E$156*Mat_Sum!$AH43+E$157*Mat_Sum!$AK43+E$158*Mat_Sum!$AM43+E$159*Mat_Sum!$AR43+E$163*Mat_Sum!$AS43+E$160*Mat_Sum!$AV43+E$161*Mat_Sum!$AT43+E$162*Mat_Sum!$AU43+E$164*Mat_Sum!$U43+E$165*Mat_Sum!$BH43+E$166*Mat_Sum!$BG43+E$167*Mat_Sum!$BJ43+E$168*Mat_Sum!$BI43+E$169*Mat_Sum!$AW43+E$170*Mat_Sum!$CN43+E$171*Mat_Sum!$CF43</f>
        <v>10.606956749144736</v>
      </c>
      <c r="F202" s="505">
        <f ca="1">F$150*Mat_Sum!$D43+F$151*Mat_Sum!$E43+F$152*Mat_Sum!$F43+F$153*Mat_Sum!$I43+F$154*Mat_Sum!$L43+F$155*Mat_Sum!$AG43+F$156*Mat_Sum!$AH43+F$157*Mat_Sum!$AK43+F$158*Mat_Sum!$AM43+F$159*Mat_Sum!$AR43+F$163*Mat_Sum!$AS43+F$160*Mat_Sum!$AV43+F$161*Mat_Sum!$AT43+F$162*Mat_Sum!$AU43+F$164*Mat_Sum!$U43+F$165*Mat_Sum!$BH43+F$166*Mat_Sum!$BG43+F$167*Mat_Sum!$BJ43+F$168*Mat_Sum!$BI43+F$169*Mat_Sum!$AW43+F$170*Mat_Sum!$CN43+F$171*Mat_Sum!$CF43</f>
        <v>5.1417429422634866</v>
      </c>
      <c r="G202" s="505">
        <f ca="1">G$150*Mat_Sum!$D43+G$151*Mat_Sum!$E43+G$152*Mat_Sum!$F43+G$153*Mat_Sum!$I43+G$154*Mat_Sum!$L43+G$155*Mat_Sum!$AG43+G$156*Mat_Sum!$AH43+G$157*Mat_Sum!$AK43+G$158*Mat_Sum!$AM43+G$159*Mat_Sum!$AR43+G$163*Mat_Sum!$AS43+G$160*Mat_Sum!$AV43+G$161*Mat_Sum!$AT43+G$162*Mat_Sum!$AU43+G$164*Mat_Sum!$U43+G$165*Mat_Sum!$BH43+G$166*Mat_Sum!$BG43+G$167*Mat_Sum!$BJ43+G$168*Mat_Sum!$BI43+G$169*Mat_Sum!$AW43+G$170*Mat_Sum!$CN43+G$171*Mat_Sum!$CF43</f>
        <v>10.603544405636194</v>
      </c>
      <c r="H202" s="505">
        <f ca="1">H$150*Mat_Sum!$D43+H$151*Mat_Sum!$E43+H$152*Mat_Sum!$F43+H$153*Mat_Sum!$I43+H$154*Mat_Sum!$L43+H$155*Mat_Sum!$AG43+H$156*Mat_Sum!$AH43+H$157*Mat_Sum!$AK43+H$158*Mat_Sum!$AM43+H$159*Mat_Sum!$AR43+H$163*Mat_Sum!$AS43+H$160*Mat_Sum!$AV43+H$161*Mat_Sum!$AT43+H$162*Mat_Sum!$AU43+H$164*Mat_Sum!$U43+H$165*Mat_Sum!$BH43+H$166*Mat_Sum!$BG43+H$167*Mat_Sum!$BJ43+H$168*Mat_Sum!$BI43+H$169*Mat_Sum!$AW43+H$170*Mat_Sum!$CN43+H$171*Mat_Sum!$CF43</f>
        <v>4.7812707820750822</v>
      </c>
      <c r="I202" s="505">
        <f ca="1">I$150*Mat_Sum!$D43+I$151*Mat_Sum!$E43+I$152*Mat_Sum!$F43+I$153*Mat_Sum!$I43+I$154*Mat_Sum!$L43+I$155*Mat_Sum!$AG43+I$156*Mat_Sum!$AH43+I$157*Mat_Sum!$AK43+I$158*Mat_Sum!$AM43+I$159*Mat_Sum!$AR43+I$163*Mat_Sum!$AS43+I$160*Mat_Sum!$AV43+I$161*Mat_Sum!$AT43+I$162*Mat_Sum!$AU43+I$164*Mat_Sum!$U43+I$165*Mat_Sum!$BH43+I$166*Mat_Sum!$BG43+I$167*Mat_Sum!$BJ43+I$168*Mat_Sum!$BI43+I$169*Mat_Sum!$AW43+I$170*Mat_Sum!$CN43+I$171*Mat_Sum!$CF43</f>
        <v>10.349300517505055</v>
      </c>
      <c r="J202" s="505">
        <f ca="1">J$150*Mat_Sum!$D43+J$151*Mat_Sum!$E43+J$152*Mat_Sum!$F43+J$153*Mat_Sum!$I43+J$154*Mat_Sum!$L43+J$155*Mat_Sum!$AG43+J$156*Mat_Sum!$AH43+J$157*Mat_Sum!$AK43+J$158*Mat_Sum!$AM43+J$159*Mat_Sum!$AR43+J$163*Mat_Sum!$AS43+J$160*Mat_Sum!$AV43+J$161*Mat_Sum!$AT43+J$162*Mat_Sum!$AU43+J$164*Mat_Sum!$U43+J$165*Mat_Sum!$BH43+J$166*Mat_Sum!$BG43+J$167*Mat_Sum!$BJ43+J$168*Mat_Sum!$BI43+J$169*Mat_Sum!$AW43+J$170*Mat_Sum!$CN43+J$171*Mat_Sum!$CF43</f>
        <v>12.390741306015528</v>
      </c>
      <c r="K202" s="502">
        <f ca="1">K$150*Mat_Sum!$D43+K$151*Mat_Sum!$E43+K$152*Mat_Sum!$F43+K$153*Mat_Sum!$I43+K$154*Mat_Sum!$L43+K$155*Mat_Sum!$AG43+K$156*Mat_Sum!$AH43+K$157*Mat_Sum!$AK43+K$158*Mat_Sum!$AM43+K$159*Mat_Sum!$AR43+K$163*Mat_Sum!$AS43+K$160*Mat_Sum!$AV43+K$161*Mat_Sum!$AT43+K$162*Mat_Sum!$AU43+K$164*Mat_Sum!$U43+K$165*Mat_Sum!$BH43+K$166*Mat_Sum!$BG43+K$167*Mat_Sum!$BJ43+K$168*Mat_Sum!$BI43+K$169*Mat_Sum!$AW43+K$170*Mat_Sum!$CN43+K$171*Mat_Sum!$CF43</f>
        <v>17.576328641338495</v>
      </c>
    </row>
    <row r="204" spans="1:33" ht="15">
      <c r="A204" s="381" t="s">
        <v>1873</v>
      </c>
    </row>
    <row r="205" spans="1:33">
      <c r="A205" s="111" t="s">
        <v>1874</v>
      </c>
    </row>
    <row r="206" spans="1:33">
      <c r="A206" s="238"/>
      <c r="B206" s="3007" t="s">
        <v>1875</v>
      </c>
      <c r="C206" s="3005"/>
      <c r="D206" s="3005"/>
      <c r="E206" s="3005"/>
      <c r="F206" s="3005"/>
      <c r="G206" s="3005"/>
      <c r="H206" s="3005"/>
      <c r="I206" s="3006"/>
      <c r="J206" s="3005" t="s">
        <v>1876</v>
      </c>
      <c r="K206" s="3005"/>
      <c r="L206" s="3005"/>
      <c r="M206" s="3005"/>
      <c r="N206" s="3005"/>
      <c r="O206" s="3005"/>
      <c r="P206" s="3005"/>
      <c r="Q206" s="3006"/>
    </row>
    <row r="207" spans="1:33" ht="51">
      <c r="A207" s="230"/>
      <c r="B207" s="923" t="s">
        <v>250</v>
      </c>
      <c r="C207" s="924" t="s">
        <v>182</v>
      </c>
      <c r="D207" s="924" t="s">
        <v>183</v>
      </c>
      <c r="E207" s="924" t="s">
        <v>184</v>
      </c>
      <c r="F207" s="924" t="s">
        <v>185</v>
      </c>
      <c r="G207" s="924" t="s">
        <v>186</v>
      </c>
      <c r="H207" s="670" t="s">
        <v>187</v>
      </c>
      <c r="I207" s="953" t="s">
        <v>1860</v>
      </c>
      <c r="J207" s="923" t="s">
        <v>250</v>
      </c>
      <c r="K207" s="924" t="s">
        <v>182</v>
      </c>
      <c r="L207" s="924" t="s">
        <v>183</v>
      </c>
      <c r="M207" s="924" t="s">
        <v>184</v>
      </c>
      <c r="N207" s="924" t="s">
        <v>185</v>
      </c>
      <c r="O207" s="924" t="s">
        <v>186</v>
      </c>
      <c r="P207" s="670" t="s">
        <v>187</v>
      </c>
      <c r="Q207" s="953" t="s">
        <v>1860</v>
      </c>
    </row>
    <row r="208" spans="1:33">
      <c r="A208" s="571" t="s">
        <v>1877</v>
      </c>
      <c r="B208" s="895"/>
      <c r="C208" s="446"/>
      <c r="D208" s="446"/>
      <c r="E208" s="446"/>
      <c r="I208" s="395"/>
      <c r="J208" s="446"/>
      <c r="K208" s="446"/>
      <c r="L208" s="446"/>
      <c r="M208" s="446"/>
      <c r="Q208" s="395"/>
    </row>
    <row r="209" spans="1:17">
      <c r="A209" s="230" t="s">
        <v>816</v>
      </c>
      <c r="B209" s="347">
        <f ca="1">$A$6*$B$17*($B$22*Mat_Sum!$D15+$B$23*Mat_Sum!$I15+$B$24*Mat_Sum!$L15+$B$25*Mat_Sum!$AG15+$B$26*Mat_Sum!$AH15+$B$27*Mat_Sum!$AK15+$B$28*Mat_Sum!$AS15+$B$29*Mat_Sum!$AM15+$B$30*Mat_Sum!$AT15+$B$31*Mat_Sum!$AR15+$B$32*Mat_Sum!$AV15)</f>
        <v>30.006503865957153</v>
      </c>
      <c r="C209" s="349">
        <f ca="1">$A$6*$B$10*($B$35*Mat_Sum!$D15+$B$36*Mat_Sum!$E15+$B$37*Mat_Sum!$F15+$B$38*Mat_Sum!$I15+$B$39*Mat_Sum!$L15+$B$40*Mat_Sum!$AG15+$B$41*Mat_Sum!$AK15+$B$42*Mat_Sum!$AS15+$B$43*Mat_Sum!$AR15+$B$44*Mat_Sum!$AV15+$B$45*Mat_Sum!$AT15+$B$46*Mat_Sum!$BH15+$B$47*Mat_Sum!$BG15+$B$48*Mat_Sum!$BJ15+$B$49*Mat_Sum!$BI15+$B$50*Mat_Sum!$AW15)</f>
        <v>10.046517180305218</v>
      </c>
      <c r="D209" s="349">
        <f ca="1">$A$6*$B$11*($B$56*Mat_Sum!$D15+$B$57*Mat_Sum!$AG15+$B$58*Mat_Sum!$F15+$B$59*Mat_Sum!$AK15+$B$60*Mat_Sum!$I15+$B$61*Mat_Sum!$L15+$B$62*Mat_Sum!$AT15+$B$63*Mat_Sum!$AR15+$B$64*Mat_Sum!$AV15)</f>
        <v>4.9615421392477694</v>
      </c>
      <c r="E209" s="349">
        <f ca="1">$A$6*$B$12*($B$67*Mat_Sum!$D15+$B$68*Mat_Sum!$F15+$B$69*Mat_Sum!$I15+$B$70*Mat_Sum!$L15+$B$71*Mat_Sum!$AG15+$B$72*Mat_Sum!$AH15+$B$73*Mat_Sum!$AK15+$B$74*Mat_Sum!$AS15+$B$75*Mat_Sum!$AR15+$B$76*Mat_Sum!$AV15)+$A$136*(B$140*4)*($A$144*Mat_Sum!$AV15+$B$144*Mat_Sum!$D15)</f>
        <v>16.886430853168385</v>
      </c>
      <c r="F209" s="349"/>
      <c r="G209" s="349"/>
      <c r="H209" s="349"/>
      <c r="I209" s="348"/>
      <c r="J209" s="382">
        <f t="shared" ref="J209:L214" ca="1" si="24">B209/$B174</f>
        <v>0.48474995162771928</v>
      </c>
      <c r="K209" s="382">
        <f t="shared" ca="1" si="24"/>
        <v>0.16229977137407037</v>
      </c>
      <c r="L209" s="382">
        <f t="shared" ca="1" si="24"/>
        <v>8.0152866949884105E-2</v>
      </c>
      <c r="M209" s="382">
        <f t="shared" ref="M209:M214" ca="1" si="25">E209/$B174</f>
        <v>0.27279741004832625</v>
      </c>
      <c r="N209" s="382"/>
      <c r="O209" s="382"/>
      <c r="P209" s="382"/>
      <c r="Q209" s="588"/>
    </row>
    <row r="210" spans="1:17">
      <c r="A210" s="230" t="s">
        <v>817</v>
      </c>
      <c r="B210" s="347">
        <f ca="1">$A$6*$B$17*($B$22*Mat_Sum!$D16+$B$23*Mat_Sum!$I16+$B$24*Mat_Sum!$L16+$B$25*Mat_Sum!$AG16+$B$26*Mat_Sum!$AH16+$B$27*Mat_Sum!$AK16+$B$28*Mat_Sum!$AS16+$B$29*Mat_Sum!$AM16+$B$30*Mat_Sum!$AT16+$B$31*Mat_Sum!$AR16+$B$32*Mat_Sum!$AV16)</f>
        <v>27.71128437554043</v>
      </c>
      <c r="C210" s="349">
        <f ca="1">$A$6*$B$10*($B$35*Mat_Sum!$D16+$B$36*Mat_Sum!$E16+$B$37*Mat_Sum!$F16+$B$38*Mat_Sum!$I16+$B$39*Mat_Sum!$L16+$B$40*Mat_Sum!$AG16+$B$41*Mat_Sum!$AK16+$B$42*Mat_Sum!$AS16+$B$43*Mat_Sum!$AR16+$B$44*Mat_Sum!$AV16+$B$45*Mat_Sum!$AT16+$B$46*Mat_Sum!$BH16+$B$47*Mat_Sum!$BG16+$B$48*Mat_Sum!$BJ16+$B$49*Mat_Sum!$BI16+$B$50*Mat_Sum!$AW16)</f>
        <v>8.7231230548674024</v>
      </c>
      <c r="D210" s="349">
        <f ca="1">$A$6*$B$11*($B$56*Mat_Sum!$D16+$B$57*Mat_Sum!$AG16+$B$58*Mat_Sum!$F16+$B$59*Mat_Sum!$AK16+$B$60*Mat_Sum!$I16+$B$61*Mat_Sum!$L16+$B$62*Mat_Sum!$AT16+$B$63*Mat_Sum!$AR16+$B$64*Mat_Sum!$AV16)</f>
        <v>3.8172329434474217</v>
      </c>
      <c r="E210" s="349">
        <f ca="1">$A$6*$B$12*($B$67*Mat_Sum!$D16+$B$68*Mat_Sum!$F16+$B$69*Mat_Sum!$I16+$B$70*Mat_Sum!$L16+$B$71*Mat_Sum!$AG16+$B$72*Mat_Sum!$AH16+$B$73*Mat_Sum!$AK16+$B$74*Mat_Sum!$AS16+$B$75*Mat_Sum!$AR16+$B$76*Mat_Sum!$AV16)+$A$136*(B$140*4)*($A$144*Mat_Sum!$AV16+$B$144*Mat_Sum!$D16)</f>
        <v>15.273159913434903</v>
      </c>
      <c r="F210" s="349"/>
      <c r="G210" s="349"/>
      <c r="H210" s="349"/>
      <c r="I210" s="348"/>
      <c r="J210" s="382">
        <f t="shared" ca="1" si="24"/>
        <v>0.4990794065383366</v>
      </c>
      <c r="K210" s="382">
        <f t="shared" ca="1" si="24"/>
        <v>0.15710318649924365</v>
      </c>
      <c r="L210" s="382">
        <f t="shared" ca="1" si="24"/>
        <v>6.8748251658659304E-2</v>
      </c>
      <c r="M210" s="382">
        <f t="shared" ca="1" si="25"/>
        <v>0.27506915530376058</v>
      </c>
      <c r="N210" s="382"/>
      <c r="O210" s="382"/>
      <c r="P210" s="382"/>
      <c r="Q210" s="588"/>
    </row>
    <row r="211" spans="1:17">
      <c r="A211" s="230" t="s">
        <v>805</v>
      </c>
      <c r="B211" s="347">
        <f ca="1">$A$6*$B$17*($B$22*Mat_Sum!$D17+$B$23*Mat_Sum!$I17+$B$24*Mat_Sum!$L17+$B$25*Mat_Sum!$AG17+$B$26*Mat_Sum!$AH17+$B$27*Mat_Sum!$AK17+$B$28*Mat_Sum!$AS17+$B$29*Mat_Sum!$AM17+$B$30*Mat_Sum!$AT17+$B$31*Mat_Sum!$AR17+$B$32*Mat_Sum!$AV17)</f>
        <v>9.4844348178542006</v>
      </c>
      <c r="C211" s="349">
        <f ca="1">$A$6*$B$10*($B$35*Mat_Sum!$D17+$B$36*Mat_Sum!$E17+$B$37*Mat_Sum!$F17+$B$38*Mat_Sum!$I17+$B$39*Mat_Sum!$L17+$B$40*Mat_Sum!$AG17+$B$41*Mat_Sum!$AK17+$B$42*Mat_Sum!$AS17+$B$43*Mat_Sum!$AR17+$B$44*Mat_Sum!$AV17+$B$45*Mat_Sum!$AT17+$B$46*Mat_Sum!$BH17+$B$47*Mat_Sum!$BG17+$B$48*Mat_Sum!$BJ17+$B$49*Mat_Sum!$BI17+$B$50*Mat_Sum!$AW17)</f>
        <v>2.4673978166318054</v>
      </c>
      <c r="D211" s="349">
        <f ca="1">$A$6*$B$11*($B$56*Mat_Sum!$D17+$B$57*Mat_Sum!$AG17+$B$58*Mat_Sum!$F17+$B$59*Mat_Sum!$AK17+$B$60*Mat_Sum!$I17+$B$61*Mat_Sum!$L17+$B$62*Mat_Sum!$AT17+$B$63*Mat_Sum!$AR17+$B$64*Mat_Sum!$AV17)</f>
        <v>1.6518452888080293</v>
      </c>
      <c r="E211" s="349">
        <f ca="1">$A$6*$B$12*($B$67*Mat_Sum!$D17+$B$68*Mat_Sum!$F17+$B$69*Mat_Sum!$I17+$B$70*Mat_Sum!$L17+$B$71*Mat_Sum!$AG17+$B$72*Mat_Sum!$AH17+$B$73*Mat_Sum!$AK17+$B$74*Mat_Sum!$AS17+$B$75*Mat_Sum!$AR17+$B$76*Mat_Sum!$AV17)+$A$136*(B$140*4)*($A$144*Mat_Sum!$AV17+$B$144*Mat_Sum!$D17)</f>
        <v>5.4616683863805653</v>
      </c>
      <c r="F211" s="349"/>
      <c r="G211" s="349"/>
      <c r="H211" s="349"/>
      <c r="I211" s="348"/>
      <c r="J211" s="382">
        <f t="shared" ca="1" si="24"/>
        <v>0.49746984207894412</v>
      </c>
      <c r="K211" s="382">
        <f t="shared" ca="1" si="24"/>
        <v>0.12941793852334793</v>
      </c>
      <c r="L211" s="382">
        <f t="shared" ca="1" si="24"/>
        <v>8.664124228206703E-2</v>
      </c>
      <c r="M211" s="382">
        <f t="shared" ca="1" si="25"/>
        <v>0.28647097711564118</v>
      </c>
      <c r="N211" s="382"/>
      <c r="O211" s="382"/>
      <c r="P211" s="382"/>
      <c r="Q211" s="588"/>
    </row>
    <row r="212" spans="1:17">
      <c r="A212" s="230" t="s">
        <v>804</v>
      </c>
      <c r="B212" s="347">
        <f ca="1">$A$6*$B$17*($B$22*Mat_Sum!$D18+$B$23*Mat_Sum!$I18+$B$24*Mat_Sum!$L18+$B$25*Mat_Sum!$AG18+$B$26*Mat_Sum!$AH18+$B$27*Mat_Sum!$AK18+$B$28*Mat_Sum!$AS18+$B$29*Mat_Sum!$AM18+$B$30*Mat_Sum!$AT18+$B$31*Mat_Sum!$AR18+$B$32*Mat_Sum!$AV18)</f>
        <v>13.73351109519691</v>
      </c>
      <c r="C212" s="349">
        <f ca="1">$A$6*$B$10*($B$35*Mat_Sum!$D18+$B$36*Mat_Sum!$E18+$B$37*Mat_Sum!$F18+$B$38*Mat_Sum!$I18+$B$39*Mat_Sum!$L18+$B$40*Mat_Sum!$AG18+$B$41*Mat_Sum!$AK18+$B$42*Mat_Sum!$AS18+$B$43*Mat_Sum!$AR18+$B$44*Mat_Sum!$AV18+$B$45*Mat_Sum!$AT18+$B$46*Mat_Sum!$BH18+$B$47*Mat_Sum!$BG18+$B$48*Mat_Sum!$BJ18+$B$49*Mat_Sum!$BI18+$B$50*Mat_Sum!$AW18)</f>
        <v>4.7561073377256005</v>
      </c>
      <c r="D212" s="349">
        <f ca="1">$A$6*$B$11*($B$56*Mat_Sum!$D18+$B$57*Mat_Sum!$AG18+$B$58*Mat_Sum!$F18+$B$59*Mat_Sum!$AK18+$B$60*Mat_Sum!$I18+$B$61*Mat_Sum!$L18+$B$62*Mat_Sum!$AT18+$B$63*Mat_Sum!$AR18+$B$64*Mat_Sum!$AV18)</f>
        <v>1.5956666869910081</v>
      </c>
      <c r="E212" s="349">
        <f ca="1">$A$6*$B$12*($B$67*Mat_Sum!$D18+$B$68*Mat_Sum!$F18+$B$69*Mat_Sum!$I18+$B$70*Mat_Sum!$L18+$B$71*Mat_Sum!$AG18+$B$72*Mat_Sum!$AH18+$B$73*Mat_Sum!$AK18+$B$74*Mat_Sum!$AS18+$B$75*Mat_Sum!$AR18+$B$76*Mat_Sum!$AV18)+$A$136*(B$140*4)*($A$144*Mat_Sum!$AV18+$B$144*Mat_Sum!$D18)</f>
        <v>7.2972058052195239</v>
      </c>
      <c r="F212" s="349"/>
      <c r="G212" s="349"/>
      <c r="H212" s="349"/>
      <c r="I212" s="348"/>
      <c r="J212" s="382">
        <f t="shared" ca="1" si="24"/>
        <v>0.50154352767781241</v>
      </c>
      <c r="K212" s="382">
        <f t="shared" ca="1" si="24"/>
        <v>0.17369155168276543</v>
      </c>
      <c r="L212" s="382">
        <f t="shared" ca="1" si="24"/>
        <v>5.8273248089582105E-2</v>
      </c>
      <c r="M212" s="382">
        <f t="shared" ca="1" si="25"/>
        <v>0.26649167254984019</v>
      </c>
      <c r="N212" s="382"/>
      <c r="O212" s="382"/>
      <c r="P212" s="382"/>
      <c r="Q212" s="588"/>
    </row>
    <row r="213" spans="1:17">
      <c r="A213" s="230" t="s">
        <v>818</v>
      </c>
      <c r="B213" s="347">
        <f ca="1">$A$6*$B$17*($B$22*Mat_Sum!$D19+$B$23*Mat_Sum!$I19+$B$24*Mat_Sum!$L19+$B$25*Mat_Sum!$AG19+$B$26*Mat_Sum!$AH19+$B$27*Mat_Sum!$AK19+$B$28*Mat_Sum!$AS19+$B$29*Mat_Sum!$AM19+$B$30*Mat_Sum!$AT19+$B$31*Mat_Sum!$AR19+$B$32*Mat_Sum!$AV19)</f>
        <v>4.4933384624893176</v>
      </c>
      <c r="C213" s="349">
        <f ca="1">$A$6*$B$10*($B$35*Mat_Sum!$D19+$B$36*Mat_Sum!$E19+$B$37*Mat_Sum!$F19+$B$38*Mat_Sum!$I19+$B$39*Mat_Sum!$L19+$B$40*Mat_Sum!$AG19+$B$41*Mat_Sum!$AK19+$B$42*Mat_Sum!$AS19+$B$43*Mat_Sum!$AR19+$B$44*Mat_Sum!$AV19+$B$45*Mat_Sum!$AT19+$B$46*Mat_Sum!$BH19+$B$47*Mat_Sum!$BG19+$B$48*Mat_Sum!$BJ19+$B$49*Mat_Sum!$BI19+$B$50*Mat_Sum!$AW19)</f>
        <v>1.4996179005099963</v>
      </c>
      <c r="D213" s="349">
        <f ca="1">$A$6*$B$11*($B$56*Mat_Sum!$D19+$B$57*Mat_Sum!$AG19+$B$58*Mat_Sum!$F19+$B$59*Mat_Sum!$AK19+$B$60*Mat_Sum!$I19+$B$61*Mat_Sum!$L19+$B$62*Mat_Sum!$AT19+$B$63*Mat_Sum!$AR19+$B$64*Mat_Sum!$AV19)</f>
        <v>0.56972096764838431</v>
      </c>
      <c r="E213" s="349">
        <f ca="1">$A$6*$B$12*($B$67*Mat_Sum!$D19+$B$68*Mat_Sum!$F19+$B$69*Mat_Sum!$I19+$B$70*Mat_Sum!$L19+$B$71*Mat_Sum!$AG19+$B$72*Mat_Sum!$AH19+$B$73*Mat_Sum!$AK19+$B$74*Mat_Sum!$AS19+$B$75*Mat_Sum!$AR19+$B$76*Mat_Sum!$AV19)+$A$136*(B$140*4)*($A$144*Mat_Sum!$AV19+$B$144*Mat_Sum!$D19)</f>
        <v>2.5142857218348134</v>
      </c>
      <c r="F213" s="349"/>
      <c r="G213" s="349"/>
      <c r="H213" s="349"/>
      <c r="I213" s="348"/>
      <c r="J213" s="382">
        <f t="shared" ca="1" si="24"/>
        <v>0.49502663352368809</v>
      </c>
      <c r="K213" s="382">
        <f t="shared" ca="1" si="24"/>
        <v>0.1652114139761599</v>
      </c>
      <c r="L213" s="382">
        <f t="shared" ca="1" si="24"/>
        <v>6.2765592892059643E-2</v>
      </c>
      <c r="M213" s="382">
        <f t="shared" ca="1" si="25"/>
        <v>0.27699635960809232</v>
      </c>
      <c r="N213" s="382"/>
      <c r="O213" s="382"/>
      <c r="P213" s="382"/>
      <c r="Q213" s="588"/>
    </row>
    <row r="214" spans="1:17">
      <c r="A214" s="230" t="s">
        <v>819</v>
      </c>
      <c r="B214" s="517">
        <f ca="1">$A$6*$B$17*($B$22*Mat_Sum!$D20+$B$23*Mat_Sum!$I20+$B$24*Mat_Sum!$L20+$B$25*Mat_Sum!$AG20+$B$26*Mat_Sum!$AH20+$B$27*Mat_Sum!$AK20+$B$28*Mat_Sum!$AS20+$B$29*Mat_Sum!$AM20+$B$30*Mat_Sum!$AT20+$B$31*Mat_Sum!$AR20+$B$32*Mat_Sum!$AV20)</f>
        <v>1105.6980031253997</v>
      </c>
      <c r="C214" s="419">
        <f ca="1">$A$6*$B$10*($B$35*Mat_Sum!$D20+$B$36*Mat_Sum!$E20+$B$37*Mat_Sum!$F20+$B$38*Mat_Sum!$I20+$B$39*Mat_Sum!$L20+$B$40*Mat_Sum!$AG20+$B$41*Mat_Sum!$AK20+$B$42*Mat_Sum!$AS20+$B$43*Mat_Sum!$AR20+$B$44*Mat_Sum!$AV20+$B$45*Mat_Sum!$AT20+$B$46*Mat_Sum!$BH20+$B$47*Mat_Sum!$BG20+$B$48*Mat_Sum!$BJ20+$B$49*Mat_Sum!$BI20+$B$50*Mat_Sum!$AW20)</f>
        <v>725.91513351635126</v>
      </c>
      <c r="D214" s="419">
        <f ca="1">$A$6*$B$11*($B$56*Mat_Sum!$D20+$B$57*Mat_Sum!$AG20+$B$58*Mat_Sum!$F20+$B$59*Mat_Sum!$AK20+$B$60*Mat_Sum!$I20+$B$61*Mat_Sum!$L20+$B$62*Mat_Sum!$AT20+$B$63*Mat_Sum!$AR20+$B$64*Mat_Sum!$AV20)</f>
        <v>686.71143446459655</v>
      </c>
      <c r="E214" s="419">
        <f ca="1">$A$6*$B$12*($B$67*Mat_Sum!$D20+$B$68*Mat_Sum!$F20+$B$69*Mat_Sum!$I20+$B$70*Mat_Sum!$L20+$B$71*Mat_Sum!$AG20+$B$72*Mat_Sum!$AH20+$B$73*Mat_Sum!$AK20+$B$74*Mat_Sum!$AS20+$B$75*Mat_Sum!$AR20+$B$76*Mat_Sum!$AV20)+$A$136*(B$140*4)*($A$144*Mat_Sum!$AV20+$B$144*Mat_Sum!$D20)</f>
        <v>832.15444497981662</v>
      </c>
      <c r="F214" s="419"/>
      <c r="G214" s="419"/>
      <c r="H214" s="419"/>
      <c r="I214" s="516"/>
      <c r="J214" s="382">
        <f t="shared" ca="1" si="24"/>
        <v>0.33001191704731592</v>
      </c>
      <c r="K214" s="382">
        <f t="shared" ca="1" si="24"/>
        <v>0.21666010443017888</v>
      </c>
      <c r="L214" s="382">
        <f t="shared" ca="1" si="24"/>
        <v>0.20495918081193451</v>
      </c>
      <c r="M214" s="382">
        <f t="shared" ca="1" si="25"/>
        <v>0.24836879771057077</v>
      </c>
      <c r="N214" s="382"/>
      <c r="O214" s="382"/>
      <c r="P214" s="382"/>
      <c r="Q214" s="588"/>
    </row>
    <row r="215" spans="1:17">
      <c r="A215" s="571" t="s">
        <v>964</v>
      </c>
      <c r="B215" s="347"/>
      <c r="C215" s="349"/>
      <c r="D215" s="349"/>
      <c r="E215" s="349"/>
      <c r="F215" s="349"/>
      <c r="G215" s="349"/>
      <c r="H215" s="349"/>
      <c r="I215" s="348"/>
      <c r="J215" s="382"/>
      <c r="K215" s="382"/>
      <c r="L215" s="382"/>
      <c r="M215" s="382"/>
      <c r="N215" s="382"/>
      <c r="O215" s="382"/>
      <c r="P215" s="382"/>
      <c r="Q215" s="588"/>
    </row>
    <row r="216" spans="1:17">
      <c r="A216" s="230" t="s">
        <v>821</v>
      </c>
      <c r="B216" s="347">
        <f ca="1">$A$6*$B$17*($B$22*Mat_Sum!$D22+$B$23*Mat_Sum!$I22+$B$24*Mat_Sum!$L22+$B$25*Mat_Sum!$AG22+$B$26*Mat_Sum!$AH22+$B$27*Mat_Sum!$AK22+$B$28*Mat_Sum!$AS22+$B$29*Mat_Sum!$AM22+$B$30*Mat_Sum!$AT22+$B$31*Mat_Sum!$AR22+$B$32*Mat_Sum!$AV22)</f>
        <v>1502.7848666567677</v>
      </c>
      <c r="C216" s="349">
        <f ca="1">$A$6*$B$10*($B$35*Mat_Sum!$D22+$B$36*Mat_Sum!$E22+$B$37*Mat_Sum!$F22+$B$38*Mat_Sum!$I22+$B$39*Mat_Sum!$L22+$B$40*Mat_Sum!$AG22+$B$41*Mat_Sum!$AK22+$B$42*Mat_Sum!$AS22+$B$43*Mat_Sum!$AR22+$B$44*Mat_Sum!$AV22+$B$45*Mat_Sum!$AT22+$B$46*Mat_Sum!$BH22+$B$47*Mat_Sum!$BG22+$B$48*Mat_Sum!$BJ22+$B$49*Mat_Sum!$BI22+$B$50*Mat_Sum!$AW22)</f>
        <v>341.30904793401936</v>
      </c>
      <c r="D216" s="349">
        <f ca="1">$A$6*$B$11*($B$56*Mat_Sum!$D22+$B$57*Mat_Sum!$AG22+$B$58*Mat_Sum!$F22+$B$59*Mat_Sum!$AK22+$B$60*Mat_Sum!$I22+$B$61*Mat_Sum!$L22+$B$62*Mat_Sum!$AT22+$B$63*Mat_Sum!$AR22+$B$64*Mat_Sum!$AV22)</f>
        <v>174.03645639614572</v>
      </c>
      <c r="E216" s="349">
        <f ca="1">$A$6*$B$12*($B$67*Mat_Sum!$D22+$B$68*Mat_Sum!$F22+$B$69*Mat_Sum!$I22+$B$70*Mat_Sum!$L22+$B$71*Mat_Sum!$AG22+$B$72*Mat_Sum!$AH22+$B$73*Mat_Sum!$AK22+$B$74*Mat_Sum!$AS22+$B$75*Mat_Sum!$AR22+$B$76*Mat_Sum!$AV22)+$A$136*(B$140*4)*($A$144*Mat_Sum!$AV22+$B$144*Mat_Sum!$D22)</f>
        <v>1386.0135977200584</v>
      </c>
      <c r="F216" s="349"/>
      <c r="G216" s="349"/>
      <c r="H216" s="349"/>
      <c r="I216" s="348"/>
      <c r="J216" s="382">
        <f t="shared" ref="J216:J228" ca="1" si="26">B216/$B181</f>
        <v>0.44145749429850822</v>
      </c>
      <c r="K216" s="382">
        <f t="shared" ref="K216:K228" ca="1" si="27">C216/$B181</f>
        <v>0.1002628123462299</v>
      </c>
      <c r="L216" s="382">
        <f t="shared" ref="L216:L228" ca="1" si="28">D216/$B181</f>
        <v>5.1124881319943312E-2</v>
      </c>
      <c r="M216" s="382">
        <f t="shared" ref="M216:M228" ca="1" si="29">E216/$B181</f>
        <v>0.40715481203531861</v>
      </c>
      <c r="N216" s="382"/>
      <c r="O216" s="382"/>
      <c r="P216" s="382"/>
      <c r="Q216" s="588"/>
    </row>
    <row r="217" spans="1:17">
      <c r="A217" s="230" t="s">
        <v>822</v>
      </c>
      <c r="B217" s="347">
        <f ca="1">$A$6*$B$17*($B$22*Mat_Sum!$D23+$B$23*Mat_Sum!$I23+$B$24*Mat_Sum!$L23+$B$25*Mat_Sum!$AG23+$B$26*Mat_Sum!$AH23+$B$27*Mat_Sum!$AK23+$B$28*Mat_Sum!$AS23+$B$29*Mat_Sum!$AM23+$B$30*Mat_Sum!$AT23+$B$31*Mat_Sum!$AR23+$B$32*Mat_Sum!$AV23)</f>
        <v>9887.3355657955708</v>
      </c>
      <c r="C217" s="349">
        <f ca="1">$A$6*$B$10*($B$35*Mat_Sum!$D23+$B$36*Mat_Sum!$E23+$B$37*Mat_Sum!$F23+$B$38*Mat_Sum!$I23+$B$39*Mat_Sum!$L23+$B$40*Mat_Sum!$AG23+$B$41*Mat_Sum!$AK23+$B$42*Mat_Sum!$AS23+$B$43*Mat_Sum!$AR23+$B$44*Mat_Sum!$AV23+$B$45*Mat_Sum!$AT23+$B$46*Mat_Sum!$BH23+$B$47*Mat_Sum!$BG23+$B$48*Mat_Sum!$BJ23+$B$49*Mat_Sum!$BI23+$B$50*Mat_Sum!$AW23)</f>
        <v>2036.0836632958838</v>
      </c>
      <c r="D217" s="349">
        <f ca="1">$A$6*$B$11*($B$56*Mat_Sum!$D23+$B$57*Mat_Sum!$AG23+$B$58*Mat_Sum!$F23+$B$59*Mat_Sum!$AK23+$B$60*Mat_Sum!$I23+$B$61*Mat_Sum!$L23+$B$62*Mat_Sum!$AT23+$B$63*Mat_Sum!$AR23+$B$64*Mat_Sum!$AV23)</f>
        <v>601.86689028099261</v>
      </c>
      <c r="E217" s="349">
        <f ca="1">$A$6*$B$12*($B$67*Mat_Sum!$D23+$B$68*Mat_Sum!$F23+$B$69*Mat_Sum!$I23+$B$70*Mat_Sum!$L23+$B$71*Mat_Sum!$AG23+$B$72*Mat_Sum!$AH23+$B$73*Mat_Sum!$AK23+$B$74*Mat_Sum!$AS23+$B$75*Mat_Sum!$AR23+$B$76*Mat_Sum!$AV23)+$A$136*(B$140*4)*($A$144*Mat_Sum!$AV23+$B$144*Mat_Sum!$D23)</f>
        <v>5347.2725397846325</v>
      </c>
      <c r="F217" s="349"/>
      <c r="G217" s="349"/>
      <c r="H217" s="349"/>
      <c r="I217" s="348"/>
      <c r="J217" s="382">
        <f t="shared" ca="1" si="26"/>
        <v>0.55321321106587917</v>
      </c>
      <c r="K217" s="382">
        <f t="shared" ca="1" si="27"/>
        <v>0.11392233770919465</v>
      </c>
      <c r="L217" s="382">
        <f t="shared" ca="1" si="28"/>
        <v>3.3675474326817979E-2</v>
      </c>
      <c r="M217" s="382">
        <f t="shared" ca="1" si="29"/>
        <v>0.29918897689810831</v>
      </c>
      <c r="N217" s="382"/>
      <c r="O217" s="382"/>
      <c r="P217" s="382"/>
      <c r="Q217" s="588"/>
    </row>
    <row r="218" spans="1:17">
      <c r="A218" s="230" t="s">
        <v>823</v>
      </c>
      <c r="B218" s="347">
        <f ca="1">$A$6*$B$17*($B$22*Mat_Sum!$D24+$B$23*Mat_Sum!$I24+$B$24*Mat_Sum!$L24+$B$25*Mat_Sum!$AG24+$B$26*Mat_Sum!$AH24+$B$27*Mat_Sum!$AK24+$B$28*Mat_Sum!$AS24+$B$29*Mat_Sum!$AM24+$B$30*Mat_Sum!$AT24+$B$31*Mat_Sum!$AR24+$B$32*Mat_Sum!$AV24)</f>
        <v>2033.3251860746773</v>
      </c>
      <c r="C218" s="349">
        <f ca="1">$A$6*$B$10*($B$35*Mat_Sum!$D24+$B$36*Mat_Sum!$E24+$B$37*Mat_Sum!$F24+$B$38*Mat_Sum!$I24+$B$39*Mat_Sum!$L24+$B$40*Mat_Sum!$AG24+$B$41*Mat_Sum!$AK24+$B$42*Mat_Sum!$AS24+$B$43*Mat_Sum!$AR24+$B$44*Mat_Sum!$AV24+$B$45*Mat_Sum!$AT24+$B$46*Mat_Sum!$BH24+$B$47*Mat_Sum!$BG24+$B$48*Mat_Sum!$BJ24+$B$49*Mat_Sum!$BI24+$B$50*Mat_Sum!$AW24)</f>
        <v>615.14267461532052</v>
      </c>
      <c r="D218" s="349">
        <f ca="1">$A$6*$B$11*($B$56*Mat_Sum!$D24+$B$57*Mat_Sum!$AG24+$B$58*Mat_Sum!$F24+$B$59*Mat_Sum!$AK24+$B$60*Mat_Sum!$I24+$B$61*Mat_Sum!$L24+$B$62*Mat_Sum!$AT24+$B$63*Mat_Sum!$AR24+$B$64*Mat_Sum!$AV24)</f>
        <v>259.27218840792619</v>
      </c>
      <c r="E218" s="349">
        <f ca="1">$A$6*$B$12*($B$67*Mat_Sum!$D24+$B$68*Mat_Sum!$F24+$B$69*Mat_Sum!$I24+$B$70*Mat_Sum!$L24+$B$71*Mat_Sum!$AG24+$B$72*Mat_Sum!$AH24+$B$73*Mat_Sum!$AK24+$B$74*Mat_Sum!$AS24+$B$75*Mat_Sum!$AR24+$B$76*Mat_Sum!$AV24)+$A$136*(B$140*4)*($A$144*Mat_Sum!$AV24+$B$144*Mat_Sum!$D24)</f>
        <v>1339.0429193511272</v>
      </c>
      <c r="F218" s="349"/>
      <c r="G218" s="349"/>
      <c r="H218" s="349"/>
      <c r="I218" s="348"/>
      <c r="J218" s="382">
        <f t="shared" ca="1" si="26"/>
        <v>0.47879187638761272</v>
      </c>
      <c r="K218" s="382">
        <f t="shared" ca="1" si="27"/>
        <v>0.14484909617125408</v>
      </c>
      <c r="L218" s="382">
        <f t="shared" ca="1" si="28"/>
        <v>6.1051433599069421E-2</v>
      </c>
      <c r="M218" s="382">
        <f t="shared" ca="1" si="29"/>
        <v>0.31530759384206369</v>
      </c>
      <c r="N218" s="382"/>
      <c r="O218" s="382"/>
      <c r="P218" s="382"/>
      <c r="Q218" s="588"/>
    </row>
    <row r="219" spans="1:17">
      <c r="A219" s="230" t="s">
        <v>824</v>
      </c>
      <c r="B219" s="347">
        <f ca="1">$A$6*$B$17*($B$22*Mat_Sum!$D25+$B$23*Mat_Sum!$I25+$B$24*Mat_Sum!$L25+$B$25*Mat_Sum!$AG25+$B$26*Mat_Sum!$AH25+$B$27*Mat_Sum!$AK25+$B$28*Mat_Sum!$AS25+$B$29*Mat_Sum!$AM25+$B$30*Mat_Sum!$AT25+$B$31*Mat_Sum!$AR25+$B$32*Mat_Sum!$AV25)</f>
        <v>974.64491855660697</v>
      </c>
      <c r="C219" s="349">
        <f ca="1">$A$6*$B$10*($B$35*Mat_Sum!$D25+$B$36*Mat_Sum!$E25+$B$37*Mat_Sum!$F25+$B$38*Mat_Sum!$I25+$B$39*Mat_Sum!$L25+$B$40*Mat_Sum!$AG25+$B$41*Mat_Sum!$AK25+$B$42*Mat_Sum!$AS25+$B$43*Mat_Sum!$AR25+$B$44*Mat_Sum!$AV25+$B$45*Mat_Sum!$AT25+$B$46*Mat_Sum!$BH25+$B$47*Mat_Sum!$BG25+$B$48*Mat_Sum!$BJ25+$B$49*Mat_Sum!$BI25+$B$50*Mat_Sum!$AW25)</f>
        <v>309.46069623404651</v>
      </c>
      <c r="D219" s="349">
        <f ca="1">$A$6*$B$11*($B$56*Mat_Sum!$D25+$B$57*Mat_Sum!$AG25+$B$58*Mat_Sum!$F25+$B$59*Mat_Sum!$AK25+$B$60*Mat_Sum!$I25+$B$61*Mat_Sum!$L25+$B$62*Mat_Sum!$AT25+$B$63*Mat_Sum!$AR25+$B$64*Mat_Sum!$AV25)</f>
        <v>177.75621583116052</v>
      </c>
      <c r="E219" s="349">
        <f ca="1">$A$6*$B$12*($B$67*Mat_Sum!$D25+$B$68*Mat_Sum!$F25+$B$69*Mat_Sum!$I25+$B$70*Mat_Sum!$L25+$B$71*Mat_Sum!$AG25+$B$72*Mat_Sum!$AH25+$B$73*Mat_Sum!$AK25+$B$74*Mat_Sum!$AS25+$B$75*Mat_Sum!$AR25+$B$76*Mat_Sum!$AV25)+$A$136*(B$140*4)*($A$144*Mat_Sum!$AV25+$B$144*Mat_Sum!$D25)</f>
        <v>576.52263497901436</v>
      </c>
      <c r="F219" s="349"/>
      <c r="G219" s="349"/>
      <c r="H219" s="349"/>
      <c r="I219" s="348"/>
      <c r="J219" s="382">
        <f t="shared" ca="1" si="26"/>
        <v>0.47814577426605515</v>
      </c>
      <c r="K219" s="382">
        <f t="shared" ca="1" si="27"/>
        <v>0.15181664767192524</v>
      </c>
      <c r="L219" s="382">
        <f t="shared" ca="1" si="28"/>
        <v>8.7204459625218764E-2</v>
      </c>
      <c r="M219" s="382">
        <f t="shared" ca="1" si="29"/>
        <v>0.28283311843680103</v>
      </c>
      <c r="N219" s="382"/>
      <c r="O219" s="382"/>
      <c r="P219" s="382"/>
      <c r="Q219" s="588"/>
    </row>
    <row r="220" spans="1:17">
      <c r="A220" s="230" t="s">
        <v>825</v>
      </c>
      <c r="B220" s="347">
        <f ca="1">$A$6*$B$17*($B$22*Mat_Sum!$D26+$B$23*Mat_Sum!$I26+$B$24*Mat_Sum!$L26+$B$25*Mat_Sum!$AG26+$B$26*Mat_Sum!$AH26+$B$27*Mat_Sum!$AK26+$B$28*Mat_Sum!$AS26+$B$29*Mat_Sum!$AM26+$B$30*Mat_Sum!$AT26+$B$31*Mat_Sum!$AR26+$B$32*Mat_Sum!$AV26)</f>
        <v>432.20701545020347</v>
      </c>
      <c r="C220" s="349">
        <f ca="1">$A$6*$B$10*($B$35*Mat_Sum!$D26+$B$36*Mat_Sum!$E26+$B$37*Mat_Sum!$F26+$B$38*Mat_Sum!$I26+$B$39*Mat_Sum!$L26+$B$40*Mat_Sum!$AG26+$B$41*Mat_Sum!$AK26+$B$42*Mat_Sum!$AS26+$B$43*Mat_Sum!$AR26+$B$44*Mat_Sum!$AV26+$B$45*Mat_Sum!$AT26+$B$46*Mat_Sum!$BH26+$B$47*Mat_Sum!$BG26+$B$48*Mat_Sum!$BJ26+$B$49*Mat_Sum!$BI26+$B$50*Mat_Sum!$AW26)</f>
        <v>138.60040786088516</v>
      </c>
      <c r="D220" s="349">
        <f ca="1">$A$6*$B$11*($B$56*Mat_Sum!$D26+$B$57*Mat_Sum!$AG26+$B$58*Mat_Sum!$F26+$B$59*Mat_Sum!$AK26+$B$60*Mat_Sum!$I26+$B$61*Mat_Sum!$L26+$B$62*Mat_Sum!$AT26+$B$63*Mat_Sum!$AR26+$B$64*Mat_Sum!$AV26)</f>
        <v>86.93310560299075</v>
      </c>
      <c r="E220" s="349">
        <f ca="1">$A$6*$B$12*($B$67*Mat_Sum!$D26+$B$68*Mat_Sum!$F26+$B$69*Mat_Sum!$I26+$B$70*Mat_Sum!$L26+$B$71*Mat_Sum!$AG26+$B$72*Mat_Sum!$AH26+$B$73*Mat_Sum!$AK26+$B$74*Mat_Sum!$AS26+$B$75*Mat_Sum!$AR26+$B$76*Mat_Sum!$AV26)+$A$136*(B$140*4)*($A$144*Mat_Sum!$AV26+$B$144*Mat_Sum!$D26)</f>
        <v>287.58765950127065</v>
      </c>
      <c r="F220" s="349"/>
      <c r="G220" s="349"/>
      <c r="H220" s="349"/>
      <c r="I220" s="348"/>
      <c r="J220" s="382">
        <f t="shared" ca="1" si="26"/>
        <v>0.4572031393401168</v>
      </c>
      <c r="K220" s="382">
        <f t="shared" ca="1" si="27"/>
        <v>0.14661618003078961</v>
      </c>
      <c r="L220" s="382">
        <f t="shared" ca="1" si="28"/>
        <v>9.1960767348656325E-2</v>
      </c>
      <c r="M220" s="382">
        <f t="shared" ca="1" si="29"/>
        <v>0.30421991328043729</v>
      </c>
      <c r="N220" s="382"/>
      <c r="O220" s="382"/>
      <c r="P220" s="382"/>
      <c r="Q220" s="588"/>
    </row>
    <row r="221" spans="1:17">
      <c r="A221" s="230" t="s">
        <v>826</v>
      </c>
      <c r="B221" s="347">
        <f ca="1">$A$6*$B$17*($B$22*Mat_Sum!$D27+$B$23*Mat_Sum!$I27+$B$24*Mat_Sum!$L27+$B$25*Mat_Sum!$AG27+$B$26*Mat_Sum!$AH27+$B$27*Mat_Sum!$AK27+$B$28*Mat_Sum!$AS27+$B$29*Mat_Sum!$AM27+$B$30*Mat_Sum!$AT27+$B$31*Mat_Sum!$AR27+$B$32*Mat_Sum!$AV27)</f>
        <v>8824.5047668963853</v>
      </c>
      <c r="C221" s="349">
        <f ca="1">$A$6*$B$10*($B$35*Mat_Sum!$D27+$B$36*Mat_Sum!$E27+$B$37*Mat_Sum!$F27+$B$38*Mat_Sum!$I27+$B$39*Mat_Sum!$L27+$B$40*Mat_Sum!$AG27+$B$41*Mat_Sum!$AK27+$B$42*Mat_Sum!$AS27+$B$43*Mat_Sum!$AR27+$B$44*Mat_Sum!$AV27+$B$45*Mat_Sum!$AT27+$B$46*Mat_Sum!$BH27+$B$47*Mat_Sum!$BG27+$B$48*Mat_Sum!$BJ27+$B$49*Mat_Sum!$BI27+$B$50*Mat_Sum!$AW27)</f>
        <v>3792.8054409946012</v>
      </c>
      <c r="D221" s="349">
        <f ca="1">$A$6*$B$11*($B$56*Mat_Sum!$D27+$B$57*Mat_Sum!$AG27+$B$58*Mat_Sum!$F27+$B$59*Mat_Sum!$AK27+$B$60*Mat_Sum!$I27+$B$61*Mat_Sum!$L27+$B$62*Mat_Sum!$AT27+$B$63*Mat_Sum!$AR27+$B$64*Mat_Sum!$AV27)</f>
        <v>895.46735749254572</v>
      </c>
      <c r="E221" s="349">
        <f ca="1">$A$6*$B$12*($B$67*Mat_Sum!$D27+$B$68*Mat_Sum!$F27+$B$69*Mat_Sum!$I27+$B$70*Mat_Sum!$L27+$B$71*Mat_Sum!$AG27+$B$72*Mat_Sum!$AH27+$B$73*Mat_Sum!$AK27+$B$74*Mat_Sum!$AS27+$B$75*Mat_Sum!$AR27+$B$76*Mat_Sum!$AV27)+$A$136*(B$140*4)*($A$144*Mat_Sum!$AV27+$B$144*Mat_Sum!$D27)</f>
        <v>3904.1538858095064</v>
      </c>
      <c r="F221" s="349"/>
      <c r="G221" s="349"/>
      <c r="H221" s="349"/>
      <c r="I221" s="348"/>
      <c r="J221" s="382">
        <f t="shared" ca="1" si="26"/>
        <v>0.50666242739859424</v>
      </c>
      <c r="K221" s="382">
        <f t="shared" ca="1" si="27"/>
        <v>0.21776542277972843</v>
      </c>
      <c r="L221" s="382">
        <f t="shared" ca="1" si="28"/>
        <v>5.1413612093604885E-2</v>
      </c>
      <c r="M221" s="382">
        <f t="shared" ca="1" si="29"/>
        <v>0.22415853772807245</v>
      </c>
      <c r="N221" s="382"/>
      <c r="O221" s="382"/>
      <c r="P221" s="382"/>
      <c r="Q221" s="588"/>
    </row>
    <row r="222" spans="1:17">
      <c r="A222" s="661" t="s">
        <v>827</v>
      </c>
      <c r="B222" s="347">
        <f ca="1">$A$6*$B$17*($B$22*Mat_Sum!$D28+$B$23*Mat_Sum!$I28+$B$24*Mat_Sum!$L28+$B$25*Mat_Sum!$AG28+$B$26*Mat_Sum!$AH28+$B$27*Mat_Sum!$AK28+$B$28*Mat_Sum!$AS28+$B$29*Mat_Sum!$AM28+$B$30*Mat_Sum!$AT28+$B$31*Mat_Sum!$AR28+$B$32*Mat_Sum!$AV28)</f>
        <v>10.735514126953587</v>
      </c>
      <c r="C222" s="349">
        <f ca="1">$A$6*$B$10*($B$35*Mat_Sum!$D28+$B$36*Mat_Sum!$E28+$B$37*Mat_Sum!$F28+$B$38*Mat_Sum!$I28+$B$39*Mat_Sum!$L28+$B$40*Mat_Sum!$AG28+$B$41*Mat_Sum!$AK28+$B$42*Mat_Sum!$AS28+$B$43*Mat_Sum!$AR28+$B$44*Mat_Sum!$AV28+$B$45*Mat_Sum!$AT28+$B$46*Mat_Sum!$BH28+$B$47*Mat_Sum!$BG28+$B$48*Mat_Sum!$BJ28+$B$49*Mat_Sum!$BI28+$B$50*Mat_Sum!$AW28)</f>
        <v>3.9946375183560741</v>
      </c>
      <c r="D222" s="349">
        <f ca="1">$A$6*$B$11*($B$56*Mat_Sum!$D28+$B$57*Mat_Sum!$AG28+$B$58*Mat_Sum!$F28+$B$59*Mat_Sum!$AK28+$B$60*Mat_Sum!$I28+$B$61*Mat_Sum!$L28+$B$62*Mat_Sum!$AT28+$B$63*Mat_Sum!$AR28+$B$64*Mat_Sum!$AV28)</f>
        <v>1.5692475077358312</v>
      </c>
      <c r="E222" s="349">
        <f ca="1">$A$6*$B$12*($B$67*Mat_Sum!$D28+$B$68*Mat_Sum!$F28+$B$69*Mat_Sum!$I28+$B$70*Mat_Sum!$L28+$B$71*Mat_Sum!$AG28+$B$72*Mat_Sum!$AH28+$B$73*Mat_Sum!$AK28+$B$74*Mat_Sum!$AS28+$B$75*Mat_Sum!$AR28+$B$76*Mat_Sum!$AV28)+$A$136*(B$140*4)*($A$144*Mat_Sum!$AV28+$B$144*Mat_Sum!$D28)</f>
        <v>7.9009817998484095</v>
      </c>
      <c r="F222" s="349"/>
      <c r="G222" s="349"/>
      <c r="H222" s="349"/>
      <c r="I222" s="348"/>
      <c r="J222" s="382">
        <f t="shared" ca="1" si="26"/>
        <v>0.44360930300437373</v>
      </c>
      <c r="K222" s="382">
        <f t="shared" ca="1" si="27"/>
        <v>0.16506506761739184</v>
      </c>
      <c r="L222" s="382">
        <f t="shared" ca="1" si="28"/>
        <v>6.4843917572635523E-2</v>
      </c>
      <c r="M222" s="382">
        <f t="shared" ca="1" si="29"/>
        <v>0.32648171180559876</v>
      </c>
      <c r="N222" s="382"/>
      <c r="O222" s="382"/>
      <c r="P222" s="382"/>
      <c r="Q222" s="588"/>
    </row>
    <row r="223" spans="1:17">
      <c r="A223" s="661" t="s">
        <v>828</v>
      </c>
      <c r="B223" s="347">
        <f ca="1">$A$6*$B$17*($B$22*Mat_Sum!$D29+$B$23*Mat_Sum!$I29+$B$24*Mat_Sum!$L29+$B$25*Mat_Sum!$AG29+$B$26*Mat_Sum!$AH29+$B$27*Mat_Sum!$AK29+$B$28*Mat_Sum!$AS29+$B$29*Mat_Sum!$AM29+$B$30*Mat_Sum!$AT29+$B$31*Mat_Sum!$AR29+$B$32*Mat_Sum!$AV29)</f>
        <v>24.836550634886933</v>
      </c>
      <c r="C223" s="349">
        <f ca="1">$A$6*$B$10*($B$35*Mat_Sum!$D29+$B$36*Mat_Sum!$E29+$B$37*Mat_Sum!$F29+$B$38*Mat_Sum!$I29+$B$39*Mat_Sum!$L29+$B$40*Mat_Sum!$AG29+$B$41*Mat_Sum!$AK29+$B$42*Mat_Sum!$AS29+$B$43*Mat_Sum!$AR29+$B$44*Mat_Sum!$AV29+$B$45*Mat_Sum!$AT29+$B$46*Mat_Sum!$BH29+$B$47*Mat_Sum!$BG29+$B$48*Mat_Sum!$BJ29+$B$49*Mat_Sum!$BI29+$B$50*Mat_Sum!$AW29)</f>
        <v>8.4317976036979694</v>
      </c>
      <c r="D223" s="349">
        <f ca="1">$A$6*$B$11*($B$56*Mat_Sum!$D29+$B$57*Mat_Sum!$AG29+$B$58*Mat_Sum!$F29+$B$59*Mat_Sum!$AK29+$B$60*Mat_Sum!$I29+$B$61*Mat_Sum!$L29+$B$62*Mat_Sum!$AT29+$B$63*Mat_Sum!$AR29+$B$64*Mat_Sum!$AV29)</f>
        <v>3.4312438859251255</v>
      </c>
      <c r="E223" s="349">
        <f ca="1">$A$6*$B$12*($B$67*Mat_Sum!$D29+$B$68*Mat_Sum!$F29+$B$69*Mat_Sum!$I29+$B$70*Mat_Sum!$L29+$B$71*Mat_Sum!$AG29+$B$72*Mat_Sum!$AH29+$B$73*Mat_Sum!$AK29+$B$74*Mat_Sum!$AS29+$B$75*Mat_Sum!$AR29+$B$76*Mat_Sum!$AV29)+$A$136*(B$140*4)*($A$144*Mat_Sum!$AV29+$B$144*Mat_Sum!$D29)</f>
        <v>16.655581583904734</v>
      </c>
      <c r="F223" s="349"/>
      <c r="G223" s="349"/>
      <c r="H223" s="349"/>
      <c r="I223" s="348"/>
      <c r="J223" s="382">
        <f t="shared" ca="1" si="26"/>
        <v>0.46549470105032953</v>
      </c>
      <c r="K223" s="382">
        <f t="shared" ca="1" si="27"/>
        <v>0.15803149006275602</v>
      </c>
      <c r="L223" s="382">
        <f t="shared" ca="1" si="28"/>
        <v>6.4309487673619478E-2</v>
      </c>
      <c r="M223" s="382">
        <f t="shared" ca="1" si="29"/>
        <v>0.3121643212132949</v>
      </c>
      <c r="N223" s="382"/>
      <c r="O223" s="382"/>
      <c r="P223" s="382"/>
      <c r="Q223" s="588"/>
    </row>
    <row r="224" spans="1:17">
      <c r="A224" s="230" t="s">
        <v>829</v>
      </c>
      <c r="B224" s="347">
        <f ca="1">$A$6*$B$17*($B$22*Mat_Sum!$D30+$B$23*Mat_Sum!$I30+$B$24*Mat_Sum!$L30+$B$25*Mat_Sum!$AG30+$B$26*Mat_Sum!$AH30+$B$27*Mat_Sum!$AK30+$B$28*Mat_Sum!$AS30+$B$29*Mat_Sum!$AM30+$B$30*Mat_Sum!$AT30+$B$31*Mat_Sum!$AR30+$B$32*Mat_Sum!$AV30)</f>
        <v>5703.3425363494116</v>
      </c>
      <c r="C224" s="349">
        <f ca="1">$A$6*$B$10*($B$35*Mat_Sum!$D30+$B$36*Mat_Sum!$E30+$B$37*Mat_Sum!$F30+$B$38*Mat_Sum!$I30+$B$39*Mat_Sum!$L30+$B$40*Mat_Sum!$AG30+$B$41*Mat_Sum!$AK30+$B$42*Mat_Sum!$AS30+$B$43*Mat_Sum!$AR30+$B$44*Mat_Sum!$AV30+$B$45*Mat_Sum!$AT30+$B$46*Mat_Sum!$BH30+$B$47*Mat_Sum!$BG30+$B$48*Mat_Sum!$BJ30+$B$49*Mat_Sum!$BI30+$B$50*Mat_Sum!$AW30)</f>
        <v>1740.049009950256</v>
      </c>
      <c r="D224" s="349">
        <f ca="1">$A$6*$B$11*($B$56*Mat_Sum!$D30+$B$57*Mat_Sum!$AG30+$B$58*Mat_Sum!$F30+$B$59*Mat_Sum!$AK30+$B$60*Mat_Sum!$I30+$B$61*Mat_Sum!$L30+$B$62*Mat_Sum!$AT30+$B$63*Mat_Sum!$AR30+$B$64*Mat_Sum!$AV30)</f>
        <v>628.42006112471836</v>
      </c>
      <c r="E224" s="349">
        <f ca="1">$A$6*$B$12*($B$67*Mat_Sum!$D30+$B$68*Mat_Sum!$F30+$B$69*Mat_Sum!$I30+$B$70*Mat_Sum!$L30+$B$71*Mat_Sum!$AG30+$B$72*Mat_Sum!$AH30+$B$73*Mat_Sum!$AK30+$B$74*Mat_Sum!$AS30+$B$75*Mat_Sum!$AR30+$B$76*Mat_Sum!$AV30)+$A$136*(B$140*4)*($A$144*Mat_Sum!$AV30+$B$144*Mat_Sum!$D30)</f>
        <v>2501.4275046768571</v>
      </c>
      <c r="F224" s="349"/>
      <c r="G224" s="349"/>
      <c r="H224" s="349"/>
      <c r="I224" s="348"/>
      <c r="J224" s="382">
        <f t="shared" ca="1" si="26"/>
        <v>0.5394129912206227</v>
      </c>
      <c r="K224" s="382">
        <f t="shared" ca="1" si="27"/>
        <v>0.16457104502240397</v>
      </c>
      <c r="L224" s="382">
        <f t="shared" ca="1" si="28"/>
        <v>5.9434961648174731E-2</v>
      </c>
      <c r="M224" s="382">
        <f t="shared" ca="1" si="29"/>
        <v>0.2365810021087987</v>
      </c>
      <c r="N224" s="382"/>
      <c r="O224" s="382"/>
      <c r="P224" s="382"/>
      <c r="Q224" s="588"/>
    </row>
    <row r="225" spans="1:17">
      <c r="A225" s="230" t="s">
        <v>830</v>
      </c>
      <c r="B225" s="347">
        <f ca="1">$A$6*$B$17*($B$22*Mat_Sum!$D31+$B$23*Mat_Sum!$I31+$B$24*Mat_Sum!$L31+$B$25*Mat_Sum!$AG31+$B$26*Mat_Sum!$AH31+$B$27*Mat_Sum!$AK31+$B$28*Mat_Sum!$AS31+$B$29*Mat_Sum!$AM31+$B$30*Mat_Sum!$AT31+$B$31*Mat_Sum!$AR31+$B$32*Mat_Sum!$AV31)</f>
        <v>54.425866516044152</v>
      </c>
      <c r="C225" s="349">
        <f ca="1">$A$6*$B$10*($B$35*Mat_Sum!$D31+$B$36*Mat_Sum!$E31+$B$37*Mat_Sum!$F31+$B$38*Mat_Sum!$I31+$B$39*Mat_Sum!$L31+$B$40*Mat_Sum!$AG31+$B$41*Mat_Sum!$AK31+$B$42*Mat_Sum!$AS31+$B$43*Mat_Sum!$AR31+$B$44*Mat_Sum!$AV31+$B$45*Mat_Sum!$AT31+$B$46*Mat_Sum!$BH31+$B$47*Mat_Sum!$BG31+$B$48*Mat_Sum!$BJ31+$B$49*Mat_Sum!$BI31+$B$50*Mat_Sum!$AW31)</f>
        <v>17.379878748317509</v>
      </c>
      <c r="D225" s="349">
        <f ca="1">$A$6*$B$11*($B$56*Mat_Sum!$D31+$B$57*Mat_Sum!$AG31+$B$58*Mat_Sum!$F31+$B$59*Mat_Sum!$AK31+$B$60*Mat_Sum!$I31+$B$61*Mat_Sum!$L31+$B$62*Mat_Sum!$AT31+$B$63*Mat_Sum!$AR31+$B$64*Mat_Sum!$AV31)</f>
        <v>5.5045533533095332</v>
      </c>
      <c r="E225" s="349">
        <f ca="1">$A$6*$B$12*($B$67*Mat_Sum!$D31+$B$68*Mat_Sum!$F31+$B$69*Mat_Sum!$I31+$B$70*Mat_Sum!$L31+$B$71*Mat_Sum!$AG31+$B$72*Mat_Sum!$AH31+$B$73*Mat_Sum!$AK31+$B$74*Mat_Sum!$AS31+$B$75*Mat_Sum!$AR31+$B$76*Mat_Sum!$AV31)+$A$136*(B$140*4)*($A$144*Mat_Sum!$AV31+$B$144*Mat_Sum!$D31)</f>
        <v>22.194307924956448</v>
      </c>
      <c r="F225" s="349"/>
      <c r="G225" s="349"/>
      <c r="H225" s="349"/>
      <c r="I225" s="348"/>
      <c r="J225" s="382">
        <f t="shared" ca="1" si="26"/>
        <v>0.54696831038398397</v>
      </c>
      <c r="K225" s="382">
        <f t="shared" ca="1" si="27"/>
        <v>0.17466406181780131</v>
      </c>
      <c r="L225" s="382">
        <f t="shared" ca="1" si="28"/>
        <v>5.531958312855989E-2</v>
      </c>
      <c r="M225" s="382">
        <f t="shared" ca="1" si="29"/>
        <v>0.22304804466965494</v>
      </c>
      <c r="N225" s="382"/>
      <c r="O225" s="382"/>
      <c r="P225" s="382"/>
      <c r="Q225" s="588"/>
    </row>
    <row r="226" spans="1:17">
      <c r="A226" s="230" t="s">
        <v>831</v>
      </c>
      <c r="B226" s="517">
        <f ca="1">$A$6*$B$17*($B$22*Mat_Sum!$D32+$B$23*Mat_Sum!$I32+$B$24*Mat_Sum!$L32+$B$25*Mat_Sum!$AG32+$B$26*Mat_Sum!$AH32+$B$27*Mat_Sum!$AK32+$B$28*Mat_Sum!$AS32+$B$29*Mat_Sum!$AM32+$B$30*Mat_Sum!$AT32+$B$31*Mat_Sum!$AR32+$B$32*Mat_Sum!$AV32)</f>
        <v>1795705.0559865306</v>
      </c>
      <c r="C226" s="419">
        <f ca="1">$A$6*$B$10*($B$35*Mat_Sum!$D32+$B$36*Mat_Sum!$E32+$B$37*Mat_Sum!$F32+$B$38*Mat_Sum!$I32+$B$39*Mat_Sum!$L32+$B$40*Mat_Sum!$AG32+$B$41*Mat_Sum!$AK32+$B$42*Mat_Sum!$AS32+$B$43*Mat_Sum!$AR32+$B$44*Mat_Sum!$AV32+$B$45*Mat_Sum!$AT32+$B$46*Mat_Sum!$BH32+$B$47*Mat_Sum!$BG32+$B$48*Mat_Sum!$BJ32+$B$49*Mat_Sum!$BI32+$B$50*Mat_Sum!$AW32)</f>
        <v>571576.78737787646</v>
      </c>
      <c r="D226" s="419">
        <f ca="1">$A$6*$B$11*($B$56*Mat_Sum!$D32+$B$57*Mat_Sum!$AG32+$B$58*Mat_Sum!$F32+$B$59*Mat_Sum!$AK32+$B$60*Mat_Sum!$I32+$B$61*Mat_Sum!$L32+$B$62*Mat_Sum!$AT32+$B$63*Mat_Sum!$AR32+$B$64*Mat_Sum!$AV32)</f>
        <v>268827.19382185809</v>
      </c>
      <c r="E226" s="419">
        <f ca="1">$A$6*$B$12*($B$67*Mat_Sum!$D32+$B$68*Mat_Sum!$F32+$B$69*Mat_Sum!$I32+$B$70*Mat_Sum!$L32+$B$71*Mat_Sum!$AG32+$B$72*Mat_Sum!$AH32+$B$73*Mat_Sum!$AK32+$B$74*Mat_Sum!$AS32+$B$75*Mat_Sum!$AR32+$B$76*Mat_Sum!$AV32)+$A$136*(B$140*4)*($A$144*Mat_Sum!$AV32+$B$144*Mat_Sum!$D32)</f>
        <v>1205216.9019513929</v>
      </c>
      <c r="F226" s="419"/>
      <c r="G226" s="419"/>
      <c r="H226" s="419"/>
      <c r="I226" s="516"/>
      <c r="J226" s="382">
        <f t="shared" ca="1" si="26"/>
        <v>0.46747010913363157</v>
      </c>
      <c r="K226" s="382">
        <f t="shared" ca="1" si="27"/>
        <v>0.14879674269614054</v>
      </c>
      <c r="L226" s="382">
        <f t="shared" ca="1" si="28"/>
        <v>6.9982916857663821E-2</v>
      </c>
      <c r="M226" s="382">
        <f t="shared" ca="1" si="29"/>
        <v>0.31375023131256419</v>
      </c>
      <c r="N226" s="382"/>
      <c r="O226" s="382"/>
      <c r="P226" s="382"/>
      <c r="Q226" s="588"/>
    </row>
    <row r="227" spans="1:17">
      <c r="A227" s="230" t="s">
        <v>850</v>
      </c>
      <c r="B227" s="517">
        <f ca="1">$A$6*$B$17*($B$22*Mat_Sum!$D33+$B$23*Mat_Sum!$I33+$B$24*Mat_Sum!$L33+$B$25*Mat_Sum!$AG33+$B$26*Mat_Sum!$AH33+$B$27*Mat_Sum!$AK33+$B$28*Mat_Sum!$AS33+$B$29*Mat_Sum!$AM33+$B$30*Mat_Sum!$AT33+$B$31*Mat_Sum!$AR33+$B$32*Mat_Sum!$AV33)</f>
        <v>1815925.9770910041</v>
      </c>
      <c r="C227" s="419">
        <f ca="1">$A$6*$B$10*($B$35*Mat_Sum!$D33+$B$36*Mat_Sum!$E33+$B$37*Mat_Sum!$F33+$B$38*Mat_Sum!$I33+$B$39*Mat_Sum!$L33+$B$40*Mat_Sum!$AG33+$B$41*Mat_Sum!$AK33+$B$42*Mat_Sum!$AS33+$B$43*Mat_Sum!$AR33+$B$44*Mat_Sum!$AV33+$B$45*Mat_Sum!$AT33+$B$46*Mat_Sum!$BH33+$B$47*Mat_Sum!$BG33+$B$48*Mat_Sum!$BJ33+$B$49*Mat_Sum!$BI33+$B$50*Mat_Sum!$AW33)</f>
        <v>575840.09395292634</v>
      </c>
      <c r="D227" s="419">
        <f ca="1">$A$6*$B$11*($B$56*Mat_Sum!$D33+$B$57*Mat_Sum!$AG33+$B$58*Mat_Sum!$F33+$B$59*Mat_Sum!$AK33+$B$60*Mat_Sum!$I33+$B$61*Mat_Sum!$L33+$B$62*Mat_Sum!$AT33+$B$63*Mat_Sum!$AR33+$B$64*Mat_Sum!$AV33)</f>
        <v>270315.39827187714</v>
      </c>
      <c r="E227" s="419">
        <f ca="1">$A$6*$B$12*($B$67*Mat_Sum!$D33+$B$68*Mat_Sum!$F33+$B$69*Mat_Sum!$I33+$B$70*Mat_Sum!$L33+$B$71*Mat_Sum!$AG33+$B$72*Mat_Sum!$AH33+$B$73*Mat_Sum!$AK33+$B$74*Mat_Sum!$AS33+$B$75*Mat_Sum!$AR33+$B$76*Mat_Sum!$AV33)+$A$136*(B$140*4)*($A$144*Mat_Sum!$AV33+$B$144*Mat_Sum!$D33)</f>
        <v>1217939.5011791869</v>
      </c>
      <c r="F227" s="419"/>
      <c r="G227" s="419"/>
      <c r="H227" s="419"/>
      <c r="I227" s="516"/>
      <c r="J227" s="382">
        <f t="shared" ca="1" si="26"/>
        <v>0.46801962950714082</v>
      </c>
      <c r="K227" s="382">
        <f t="shared" ca="1" si="27"/>
        <v>0.14841159321864786</v>
      </c>
      <c r="L227" s="382">
        <f t="shared" ca="1" si="28"/>
        <v>6.9668540538169219E-2</v>
      </c>
      <c r="M227" s="382">
        <f t="shared" ca="1" si="29"/>
        <v>0.31390023673604223</v>
      </c>
      <c r="N227" s="382"/>
      <c r="O227" s="382"/>
      <c r="P227" s="382"/>
      <c r="Q227" s="588"/>
    </row>
    <row r="228" spans="1:17">
      <c r="A228" s="230" t="s">
        <v>851</v>
      </c>
      <c r="B228" s="517">
        <f ca="1">$A$6*$B$17*($B$22*Mat_Sum!$D34+$B$23*Mat_Sum!$I34+$B$24*Mat_Sum!$L34+$B$25*Mat_Sum!$AG34+$B$26*Mat_Sum!$AH34+$B$27*Mat_Sum!$AK34+$B$28*Mat_Sum!$AS34+$B$29*Mat_Sum!$AM34+$B$30*Mat_Sum!$AT34+$B$31*Mat_Sum!$AR34+$B$32*Mat_Sum!$AV34)</f>
        <v>2014235.9269108307</v>
      </c>
      <c r="C228" s="419">
        <f ca="1">$A$6*$B$10*($B$35*Mat_Sum!$D34+$B$36*Mat_Sum!$E34+$B$37*Mat_Sum!$F34+$B$38*Mat_Sum!$I34+$B$39*Mat_Sum!$L34+$B$40*Mat_Sum!$AG34+$B$41*Mat_Sum!$AK34+$B$42*Mat_Sum!$AS34+$B$43*Mat_Sum!$AR34+$B$44*Mat_Sum!$AV34+$B$45*Mat_Sum!$AT34+$B$46*Mat_Sum!$BH34+$B$47*Mat_Sum!$BG34+$B$48*Mat_Sum!$BJ34+$B$49*Mat_Sum!$BI34+$B$50*Mat_Sum!$AW34)</f>
        <v>645514.7442825688</v>
      </c>
      <c r="D228" s="419">
        <f ca="1">$A$6*$B$11*($B$56*Mat_Sum!$D34+$B$57*Mat_Sum!$AG34+$B$58*Mat_Sum!$F34+$B$59*Mat_Sum!$AK34+$B$60*Mat_Sum!$I34+$B$61*Mat_Sum!$L34+$B$62*Mat_Sum!$AT34+$B$63*Mat_Sum!$AR34+$B$64*Mat_Sum!$AV34)</f>
        <v>305315.3895104258</v>
      </c>
      <c r="E228" s="419">
        <f ca="1">$A$6*$B$12*($B$67*Mat_Sum!$D34+$B$68*Mat_Sum!$F34+$B$69*Mat_Sum!$I34+$B$70*Mat_Sum!$L34+$B$71*Mat_Sum!$AG34+$B$72*Mat_Sum!$AH34+$B$73*Mat_Sum!$AK34+$B$74*Mat_Sum!$AS34+$B$75*Mat_Sum!$AR34+$B$76*Mat_Sum!$AV34)+$A$136*(B$140*4)*($A$144*Mat_Sum!$AV34+$B$144*Mat_Sum!$D34)</f>
        <v>1318922.1454518931</v>
      </c>
      <c r="F228" s="419"/>
      <c r="G228" s="419"/>
      <c r="H228" s="419"/>
      <c r="I228" s="516"/>
      <c r="J228" s="382">
        <f t="shared" ca="1" si="26"/>
        <v>0.47017774792576433</v>
      </c>
      <c r="K228" s="382">
        <f t="shared" ca="1" si="27"/>
        <v>0.15068079397488077</v>
      </c>
      <c r="L228" s="382">
        <f t="shared" ca="1" si="28"/>
        <v>7.1268961261778022E-2</v>
      </c>
      <c r="M228" s="382">
        <f t="shared" ca="1" si="29"/>
        <v>0.30787249683757689</v>
      </c>
      <c r="N228" s="382"/>
      <c r="O228" s="382"/>
      <c r="P228" s="382"/>
      <c r="Q228" s="588"/>
    </row>
    <row r="229" spans="1:17">
      <c r="A229" s="571" t="s">
        <v>973</v>
      </c>
      <c r="B229" s="347"/>
      <c r="C229" s="349"/>
      <c r="D229" s="349"/>
      <c r="E229" s="349"/>
      <c r="F229" s="349"/>
      <c r="G229" s="349"/>
      <c r="H229" s="349"/>
      <c r="I229" s="348"/>
      <c r="J229" s="382"/>
      <c r="K229" s="382"/>
      <c r="L229" s="382"/>
      <c r="M229" s="382"/>
      <c r="N229" s="382"/>
      <c r="O229" s="382"/>
      <c r="P229" s="382"/>
      <c r="Q229" s="588"/>
    </row>
    <row r="230" spans="1:17">
      <c r="A230" s="230" t="s">
        <v>821</v>
      </c>
      <c r="B230" s="347">
        <f ca="1">$A$6*$B$17*($B$22*Mat_Sum!$D36+$B$23*Mat_Sum!$I36+$B$24*Mat_Sum!$L36+$B$25*Mat_Sum!$AG36+$B$26*Mat_Sum!$AH36+$B$27*Mat_Sum!$AK36+$B$28*Mat_Sum!$AS36+$B$29*Mat_Sum!$AM36+$B$30*Mat_Sum!$AT36+$B$31*Mat_Sum!$AR36+$B$32*Mat_Sum!$AV36)</f>
        <v>23.684299119707994</v>
      </c>
      <c r="C230" s="349">
        <f ca="1">$A$6*$B$10*($B$35*Mat_Sum!$D36+$B$36*Mat_Sum!$E36+$B$37*Mat_Sum!$F36+$B$38*Mat_Sum!$I36+$B$39*Mat_Sum!$L36+$B$40*Mat_Sum!$AG36+$B$41*Mat_Sum!$AK36+$B$42*Mat_Sum!$AS36+$B$43*Mat_Sum!$AR36+$B$44*Mat_Sum!$AV36+$B$45*Mat_Sum!$AT36+$B$46*Mat_Sum!$BH36+$B$47*Mat_Sum!$BG36+$B$48*Mat_Sum!$BJ36+$B$49*Mat_Sum!$BI36+$B$50*Mat_Sum!$AW36)</f>
        <v>7.603223138352555</v>
      </c>
      <c r="D230" s="349">
        <f ca="1">$A$6*$B$11*($B$56*Mat_Sum!$D36+$B$57*Mat_Sum!$AG36+$B$58*Mat_Sum!$F36+$B$59*Mat_Sum!$AK36+$B$60*Mat_Sum!$I36+$B$61*Mat_Sum!$L36+$B$62*Mat_Sum!$AT36+$B$63*Mat_Sum!$AR36+$B$64*Mat_Sum!$AV36)</f>
        <v>2.5287736242932786</v>
      </c>
      <c r="E230" s="349">
        <f ca="1">$A$6*$B$12*($B$67*Mat_Sum!$D36+$B$68*Mat_Sum!$F36+$B$69*Mat_Sum!$I36+$B$70*Mat_Sum!$L36+$B$71*Mat_Sum!$AG36+$B$72*Mat_Sum!$AH36+$B$73*Mat_Sum!$AK36+$B$74*Mat_Sum!$AS36+$B$75*Mat_Sum!$AR36+$B$76*Mat_Sum!$AV36)+$A$136*(B$140*4)*($A$144*Mat_Sum!$AV36+$B$144*Mat_Sum!$D36)</f>
        <v>9.7419443689726073</v>
      </c>
      <c r="F230" s="349"/>
      <c r="G230" s="349"/>
      <c r="H230" s="349"/>
      <c r="I230" s="348"/>
      <c r="J230" s="382">
        <f t="shared" ref="J230:L237" ca="1" si="30">B230/$B195</f>
        <v>0.54373865847316372</v>
      </c>
      <c r="K230" s="382">
        <f t="shared" ca="1" si="30"/>
        <v>0.17455303736980105</v>
      </c>
      <c r="L230" s="382">
        <f t="shared" ca="1" si="30"/>
        <v>5.8054999690128034E-2</v>
      </c>
      <c r="M230" s="382">
        <f t="shared" ref="M230:M237" ca="1" si="31">E230/$B195</f>
        <v>0.22365330446690732</v>
      </c>
      <c r="N230" s="382"/>
      <c r="O230" s="382"/>
      <c r="P230" s="382"/>
      <c r="Q230" s="588"/>
    </row>
    <row r="231" spans="1:17">
      <c r="A231" s="230" t="s">
        <v>822</v>
      </c>
      <c r="B231" s="347">
        <f ca="1">$A$6*$B$17*($B$22*Mat_Sum!$D37+$B$23*Mat_Sum!$I37+$B$24*Mat_Sum!$L37+$B$25*Mat_Sum!$AG37+$B$26*Mat_Sum!$AH37+$B$27*Mat_Sum!$AK37+$B$28*Mat_Sum!$AS37+$B$29*Mat_Sum!$AM37+$B$30*Mat_Sum!$AT37+$B$31*Mat_Sum!$AR37+$B$32*Mat_Sum!$AV37)</f>
        <v>68.576928385788548</v>
      </c>
      <c r="C231" s="349">
        <f ca="1">$A$6*$B$10*($B$35*Mat_Sum!$D37+$B$36*Mat_Sum!$E37+$B$37*Mat_Sum!$F37+$B$38*Mat_Sum!$I37+$B$39*Mat_Sum!$L37+$B$40*Mat_Sum!$AG37+$B$41*Mat_Sum!$AK37+$B$42*Mat_Sum!$AS37+$B$43*Mat_Sum!$AR37+$B$44*Mat_Sum!$AV37+$B$45*Mat_Sum!$AT37+$B$46*Mat_Sum!$BH37+$B$47*Mat_Sum!$BG37+$B$48*Mat_Sum!$BJ37+$B$49*Mat_Sum!$BI37+$B$50*Mat_Sum!$AW37)</f>
        <v>23.556795044755493</v>
      </c>
      <c r="D231" s="349">
        <f ca="1">$A$6*$B$11*($B$56*Mat_Sum!$D37+$B$57*Mat_Sum!$AG37+$B$58*Mat_Sum!$F37+$B$59*Mat_Sum!$AK37+$B$60*Mat_Sum!$I37+$B$61*Mat_Sum!$L37+$B$62*Mat_Sum!$AT37+$B$63*Mat_Sum!$AR37+$B$64*Mat_Sum!$AV37)</f>
        <v>9.0518326636358104</v>
      </c>
      <c r="E231" s="349">
        <f ca="1">$A$6*$B$12*($B$67*Mat_Sum!$D37+$B$68*Mat_Sum!$F37+$B$69*Mat_Sum!$I37+$B$70*Mat_Sum!$L37+$B$71*Mat_Sum!$AG37+$B$72*Mat_Sum!$AH37+$B$73*Mat_Sum!$AK37+$B$74*Mat_Sum!$AS37+$B$75*Mat_Sum!$AR37+$B$76*Mat_Sum!$AV37)+$A$136*(B$140*4)*($A$144*Mat_Sum!$AV37+$B$144*Mat_Sum!$D37)</f>
        <v>31.128160040894819</v>
      </c>
      <c r="F231" s="349"/>
      <c r="G231" s="349"/>
      <c r="H231" s="349"/>
      <c r="I231" s="348"/>
      <c r="J231" s="382">
        <f t="shared" ca="1" si="30"/>
        <v>0.51829039640743402</v>
      </c>
      <c r="K231" s="382">
        <f t="shared" ca="1" si="30"/>
        <v>0.17803743808923897</v>
      </c>
      <c r="L231" s="382">
        <f t="shared" ca="1" si="30"/>
        <v>6.8411899597734041E-2</v>
      </c>
      <c r="M231" s="382">
        <f t="shared" ca="1" si="31"/>
        <v>0.23526026590559304</v>
      </c>
      <c r="N231" s="382"/>
      <c r="O231" s="382"/>
      <c r="P231" s="382"/>
      <c r="Q231" s="588"/>
    </row>
    <row r="232" spans="1:17">
      <c r="A232" s="230" t="s">
        <v>823</v>
      </c>
      <c r="B232" s="347">
        <f ca="1">$A$6*$B$17*($B$22*Mat_Sum!$D38+$B$23*Mat_Sum!$I38+$B$24*Mat_Sum!$L38+$B$25*Mat_Sum!$AG38+$B$26*Mat_Sum!$AH38+$B$27*Mat_Sum!$AK38+$B$28*Mat_Sum!$AS38+$B$29*Mat_Sum!$AM38+$B$30*Mat_Sum!$AT38+$B$31*Mat_Sum!$AR38+$B$32*Mat_Sum!$AV38)</f>
        <v>117.36545710103806</v>
      </c>
      <c r="C232" s="349">
        <f ca="1">$A$6*$B$10*($B$35*Mat_Sum!$D38+$B$36*Mat_Sum!$E38+$B$37*Mat_Sum!$F38+$B$38*Mat_Sum!$I38+$B$39*Mat_Sum!$L38+$B$40*Mat_Sum!$AG38+$B$41*Mat_Sum!$AK38+$B$42*Mat_Sum!$AS38+$B$43*Mat_Sum!$AR38+$B$44*Mat_Sum!$AV38+$B$45*Mat_Sum!$AT38+$B$46*Mat_Sum!$BH38+$B$47*Mat_Sum!$BG38+$B$48*Mat_Sum!$BJ38+$B$49*Mat_Sum!$BI38+$B$50*Mat_Sum!$AW38)</f>
        <v>44.838457858888709</v>
      </c>
      <c r="D232" s="349">
        <f ca="1">$A$6*$B$11*($B$56*Mat_Sum!$D38+$B$57*Mat_Sum!$AG38+$B$58*Mat_Sum!$F38+$B$59*Mat_Sum!$AK38+$B$60*Mat_Sum!$I38+$B$61*Mat_Sum!$L38+$B$62*Mat_Sum!$AT38+$B$63*Mat_Sum!$AR38+$B$64*Mat_Sum!$AV38)</f>
        <v>22.925776784377128</v>
      </c>
      <c r="E232" s="349">
        <f ca="1">$A$6*$B$12*($B$67*Mat_Sum!$D38+$B$68*Mat_Sum!$F38+$B$69*Mat_Sum!$I38+$B$70*Mat_Sum!$L38+$B$71*Mat_Sum!$AG38+$B$72*Mat_Sum!$AH38+$B$73*Mat_Sum!$AK38+$B$74*Mat_Sum!$AS38+$B$75*Mat_Sum!$AR38+$B$76*Mat_Sum!$AV38)+$A$136*(B$140*4)*($A$144*Mat_Sum!$AV38+$B$144*Mat_Sum!$D38)</f>
        <v>65.599439446607505</v>
      </c>
      <c r="F232" s="349"/>
      <c r="G232" s="349"/>
      <c r="H232" s="349"/>
      <c r="I232" s="348"/>
      <c r="J232" s="382">
        <f t="shared" ca="1" si="30"/>
        <v>0.46809661304044109</v>
      </c>
      <c r="K232" s="382">
        <f t="shared" ca="1" si="30"/>
        <v>0.17883226271281411</v>
      </c>
      <c r="L232" s="382">
        <f t="shared" ca="1" si="30"/>
        <v>9.1436430523587103E-2</v>
      </c>
      <c r="M232" s="382">
        <f t="shared" ca="1" si="31"/>
        <v>0.26163469372315756</v>
      </c>
      <c r="N232" s="382"/>
      <c r="O232" s="382"/>
      <c r="P232" s="382"/>
      <c r="Q232" s="588"/>
    </row>
    <row r="233" spans="1:17">
      <c r="A233" s="230" t="s">
        <v>824</v>
      </c>
      <c r="B233" s="347">
        <f ca="1">$A$6*$B$17*($B$22*Mat_Sum!$D39+$B$23*Mat_Sum!$I39+$B$24*Mat_Sum!$L39+$B$25*Mat_Sum!$AG39+$B$26*Mat_Sum!$AH39+$B$27*Mat_Sum!$AK39+$B$28*Mat_Sum!$AS39+$B$29*Mat_Sum!$AM39+$B$30*Mat_Sum!$AT39+$B$31*Mat_Sum!$AR39+$B$32*Mat_Sum!$AV39)</f>
        <v>12.155389765471092</v>
      </c>
      <c r="C233" s="349">
        <f ca="1">$A$6*$B$10*($B$35*Mat_Sum!$D39+$B$36*Mat_Sum!$E39+$B$37*Mat_Sum!$F39+$B$38*Mat_Sum!$I39+$B$39*Mat_Sum!$L39+$B$40*Mat_Sum!$AG39+$B$41*Mat_Sum!$AK39+$B$42*Mat_Sum!$AS39+$B$43*Mat_Sum!$AR39+$B$44*Mat_Sum!$AV39+$B$45*Mat_Sum!$AT39+$B$46*Mat_Sum!$BH39+$B$47*Mat_Sum!$BG39+$B$48*Mat_Sum!$BJ39+$B$49*Mat_Sum!$BI39+$B$50*Mat_Sum!$AW39)</f>
        <v>4.6907155025556486</v>
      </c>
      <c r="D233" s="349">
        <f ca="1">$A$6*$B$11*($B$56*Mat_Sum!$D39+$B$57*Mat_Sum!$AG39+$B$58*Mat_Sum!$F39+$B$59*Mat_Sum!$AK39+$B$60*Mat_Sum!$I39+$B$61*Mat_Sum!$L39+$B$62*Mat_Sum!$AT39+$B$63*Mat_Sum!$AR39+$B$64*Mat_Sum!$AV39)</f>
        <v>2.5903230352604933</v>
      </c>
      <c r="E233" s="349">
        <f ca="1">$A$6*$B$12*($B$67*Mat_Sum!$D39+$B$68*Mat_Sum!$F39+$B$69*Mat_Sum!$I39+$B$70*Mat_Sum!$L39+$B$71*Mat_Sum!$AG39+$B$72*Mat_Sum!$AH39+$B$73*Mat_Sum!$AK39+$B$74*Mat_Sum!$AS39+$B$75*Mat_Sum!$AR39+$B$76*Mat_Sum!$AV39)+$A$136*(B$140*4)*($A$144*Mat_Sum!$AV39+$B$144*Mat_Sum!$D39)</f>
        <v>6.7364030112497781</v>
      </c>
      <c r="F233" s="349"/>
      <c r="G233" s="349"/>
      <c r="H233" s="349"/>
      <c r="I233" s="348"/>
      <c r="J233" s="382">
        <f t="shared" ca="1" si="30"/>
        <v>0.46442777318935702</v>
      </c>
      <c r="K233" s="382">
        <f t="shared" ca="1" si="30"/>
        <v>0.17922078991699747</v>
      </c>
      <c r="L233" s="382">
        <f t="shared" ca="1" si="30"/>
        <v>9.8969920530598735E-2</v>
      </c>
      <c r="M233" s="382">
        <f t="shared" ca="1" si="31"/>
        <v>0.25738151636304712</v>
      </c>
      <c r="N233" s="382"/>
      <c r="O233" s="382"/>
      <c r="P233" s="382"/>
      <c r="Q233" s="588"/>
    </row>
    <row r="234" spans="1:17">
      <c r="A234" s="230" t="s">
        <v>825</v>
      </c>
      <c r="B234" s="347">
        <f ca="1">$A$6*$B$17*($B$22*Mat_Sum!$D40+$B$23*Mat_Sum!$I40+$B$24*Mat_Sum!$L40+$B$25*Mat_Sum!$AG40+$B$26*Mat_Sum!$AH40+$B$27*Mat_Sum!$AK40+$B$28*Mat_Sum!$AS40+$B$29*Mat_Sum!$AM40+$B$30*Mat_Sum!$AT40+$B$31*Mat_Sum!$AR40+$B$32*Mat_Sum!$AV40)</f>
        <v>10.478579322281831</v>
      </c>
      <c r="C234" s="349">
        <f ca="1">$A$6*$B$10*($B$35*Mat_Sum!$D40+$B$36*Mat_Sum!$E40+$B$37*Mat_Sum!$F40+$B$38*Mat_Sum!$I40+$B$39*Mat_Sum!$L40+$B$40*Mat_Sum!$AG40+$B$41*Mat_Sum!$AK40+$B$42*Mat_Sum!$AS40+$B$43*Mat_Sum!$AR40+$B$44*Mat_Sum!$AV40+$B$45*Mat_Sum!$AT40+$B$46*Mat_Sum!$BH40+$B$47*Mat_Sum!$BG40+$B$48*Mat_Sum!$BJ40+$B$49*Mat_Sum!$BI40+$B$50*Mat_Sum!$AW40)</f>
        <v>4.0177662964464913</v>
      </c>
      <c r="D234" s="349">
        <f ca="1">$A$6*$B$11*($B$56*Mat_Sum!$D40+$B$57*Mat_Sum!$AG40+$B$58*Mat_Sum!$F40+$B$59*Mat_Sum!$AK40+$B$60*Mat_Sum!$I40+$B$61*Mat_Sum!$L40+$B$62*Mat_Sum!$AT40+$B$63*Mat_Sum!$AR40+$B$64*Mat_Sum!$AV40)</f>
        <v>2.1982780026965356</v>
      </c>
      <c r="E234" s="349">
        <f ca="1">$A$6*$B$12*($B$67*Mat_Sum!$D40+$B$68*Mat_Sum!$F40+$B$69*Mat_Sum!$I40+$B$70*Mat_Sum!$L40+$B$71*Mat_Sum!$AG40+$B$72*Mat_Sum!$AH40+$B$73*Mat_Sum!$AK40+$B$74*Mat_Sum!$AS40+$B$75*Mat_Sum!$AR40+$B$76*Mat_Sum!$AV40)+$A$136*(B$140*4)*($A$144*Mat_Sum!$AV40+$B$144*Mat_Sum!$D40)</f>
        <v>5.8536645231469429</v>
      </c>
      <c r="F234" s="349"/>
      <c r="G234" s="349"/>
      <c r="H234" s="349"/>
      <c r="I234" s="348"/>
      <c r="J234" s="382">
        <f t="shared" ca="1" si="30"/>
        <v>0.46471728829686842</v>
      </c>
      <c r="K234" s="382">
        <f t="shared" ca="1" si="30"/>
        <v>0.17818498108086825</v>
      </c>
      <c r="L234" s="382">
        <f t="shared" ca="1" si="30"/>
        <v>9.7492013078861697E-2</v>
      </c>
      <c r="M234" s="382">
        <f t="shared" ca="1" si="31"/>
        <v>0.25960571754340189</v>
      </c>
      <c r="N234" s="382"/>
      <c r="O234" s="382"/>
      <c r="P234" s="382"/>
      <c r="Q234" s="588"/>
    </row>
    <row r="235" spans="1:17">
      <c r="A235" s="230" t="s">
        <v>826</v>
      </c>
      <c r="B235" s="347">
        <f ca="1">$A$6*$B$17*($B$22*Mat_Sum!$D41+$B$23*Mat_Sum!$I41+$B$24*Mat_Sum!$L41+$B$25*Mat_Sum!$AG41+$B$26*Mat_Sum!$AH41+$B$27*Mat_Sum!$AK41+$B$28*Mat_Sum!$AS41+$B$29*Mat_Sum!$AM41+$B$30*Mat_Sum!$AT41+$B$31*Mat_Sum!$AR41+$B$32*Mat_Sum!$AV41)</f>
        <v>118.52594352950888</v>
      </c>
      <c r="C235" s="349">
        <f ca="1">$A$6*$B$10*($B$35*Mat_Sum!$D41+$B$36*Mat_Sum!$E41+$B$37*Mat_Sum!$F41+$B$38*Mat_Sum!$I41+$B$39*Mat_Sum!$L41+$B$40*Mat_Sum!$AG41+$B$41*Mat_Sum!$AK41+$B$42*Mat_Sum!$AS41+$B$43*Mat_Sum!$AR41+$B$44*Mat_Sum!$AV41+$B$45*Mat_Sum!$AT41+$B$46*Mat_Sum!$BH41+$B$47*Mat_Sum!$BG41+$B$48*Mat_Sum!$BJ41+$B$49*Mat_Sum!$BI41+$B$50*Mat_Sum!$AW41)</f>
        <v>44.927421254233082</v>
      </c>
      <c r="D235" s="349">
        <f ca="1">$A$6*$B$11*($B$56*Mat_Sum!$D41+$B$57*Mat_Sum!$AG41+$B$58*Mat_Sum!$F41+$B$59*Mat_Sum!$AK41+$B$60*Mat_Sum!$I41+$B$61*Mat_Sum!$L41+$B$62*Mat_Sum!$AT41+$B$63*Mat_Sum!$AR41+$B$64*Mat_Sum!$AV41)</f>
        <v>23.953976328329372</v>
      </c>
      <c r="E235" s="349">
        <f ca="1">$A$6*$B$12*($B$67*Mat_Sum!$D41+$B$68*Mat_Sum!$F41+$B$69*Mat_Sum!$I41+$B$70*Mat_Sum!$L41+$B$71*Mat_Sum!$AG41+$B$72*Mat_Sum!$AH41+$B$73*Mat_Sum!$AK41+$B$74*Mat_Sum!$AS41+$B$75*Mat_Sum!$AR41+$B$76*Mat_Sum!$AV41)+$A$136*(B$140*4)*($A$144*Mat_Sum!$AV41+$B$144*Mat_Sum!$D41)</f>
        <v>51.351969782626284</v>
      </c>
      <c r="F235" s="349"/>
      <c r="G235" s="349"/>
      <c r="H235" s="349"/>
      <c r="I235" s="348"/>
      <c r="J235" s="382">
        <f t="shared" ca="1" si="30"/>
        <v>0.49642438271981587</v>
      </c>
      <c r="K235" s="382">
        <f t="shared" ca="1" si="30"/>
        <v>0.18817034228268428</v>
      </c>
      <c r="L235" s="382">
        <f t="shared" ca="1" si="30"/>
        <v>0.10032687830504768</v>
      </c>
      <c r="M235" s="382">
        <f t="shared" ca="1" si="31"/>
        <v>0.21507839669245213</v>
      </c>
      <c r="N235" s="382"/>
      <c r="O235" s="382"/>
      <c r="P235" s="382"/>
      <c r="Q235" s="588"/>
    </row>
    <row r="236" spans="1:17">
      <c r="A236" s="230" t="s">
        <v>827</v>
      </c>
      <c r="B236" s="347">
        <f ca="1">$A$6*$B$17*($B$22*Mat_Sum!$D42+$B$23*Mat_Sum!$I42+$B$24*Mat_Sum!$L42+$B$25*Mat_Sum!$AG42+$B$26*Mat_Sum!$AH42+$B$27*Mat_Sum!$AK42+$B$28*Mat_Sum!$AS42+$B$29*Mat_Sum!$AM42+$B$30*Mat_Sum!$AT42+$B$31*Mat_Sum!$AR42+$B$32*Mat_Sum!$AV42)</f>
        <v>0.61735867819393597</v>
      </c>
      <c r="C236" s="349">
        <f ca="1">$A$6*$B$10*($B$35*Mat_Sum!$D42+$B$36*Mat_Sum!$E42+$B$37*Mat_Sum!$F42+$B$38*Mat_Sum!$I42+$B$39*Mat_Sum!$L42+$B$40*Mat_Sum!$AG42+$B$41*Mat_Sum!$AK42+$B$42*Mat_Sum!$AS42+$B$43*Mat_Sum!$AR42+$B$44*Mat_Sum!$AV42+$B$45*Mat_Sum!$AT42+$B$46*Mat_Sum!$BH42+$B$47*Mat_Sum!$BG42+$B$48*Mat_Sum!$BJ42+$B$49*Mat_Sum!$BI42+$B$50*Mat_Sum!$AW42)</f>
        <v>0.22971444365292895</v>
      </c>
      <c r="D236" s="349">
        <f ca="1">$A$6*$B$11*($B$56*Mat_Sum!$D42+$B$57*Mat_Sum!$AG42+$B$58*Mat_Sum!$F42+$B$59*Mat_Sum!$AK42+$B$60*Mat_Sum!$I42+$B$61*Mat_Sum!$L42+$B$62*Mat_Sum!$AT42+$B$63*Mat_Sum!$AR42+$B$64*Mat_Sum!$AV42)</f>
        <v>0.118784830278386</v>
      </c>
      <c r="E236" s="349">
        <f ca="1">$A$6*$B$12*($B$67*Mat_Sum!$D42+$B$68*Mat_Sum!$F42+$B$69*Mat_Sum!$I42+$B$70*Mat_Sum!$L42+$B$71*Mat_Sum!$AG42+$B$72*Mat_Sum!$AH42+$B$73*Mat_Sum!$AK42+$B$74*Mat_Sum!$AS42+$B$75*Mat_Sum!$AR42+$B$76*Mat_Sum!$AV42)+$A$136*(B$140*4)*($A$144*Mat_Sum!$AV42+$B$144*Mat_Sum!$D42)</f>
        <v>0.34955915458200498</v>
      </c>
      <c r="F236" s="349"/>
      <c r="G236" s="349"/>
      <c r="H236" s="349"/>
      <c r="I236" s="348"/>
      <c r="J236" s="382">
        <f t="shared" ca="1" si="30"/>
        <v>0.46932541400446315</v>
      </c>
      <c r="K236" s="382">
        <f t="shared" ca="1" si="30"/>
        <v>0.17463239795318516</v>
      </c>
      <c r="L236" s="382">
        <f t="shared" ca="1" si="30"/>
        <v>9.0302026385932793E-2</v>
      </c>
      <c r="M236" s="382">
        <f t="shared" ca="1" si="31"/>
        <v>0.26574016165641884</v>
      </c>
      <c r="N236" s="382"/>
      <c r="O236" s="382"/>
      <c r="P236" s="382"/>
      <c r="Q236" s="588"/>
    </row>
    <row r="237" spans="1:17">
      <c r="A237" s="589" t="s">
        <v>828</v>
      </c>
      <c r="B237" s="503">
        <f ca="1">$A$6*$B$17*($B$22*Mat_Sum!$D43+$B$23*Mat_Sum!$I43+$B$24*Mat_Sum!$L43+$B$25*Mat_Sum!$AG43+$B$26*Mat_Sum!$AH43+$B$27*Mat_Sum!$AK43+$B$28*Mat_Sum!$AS43+$B$29*Mat_Sum!$AM43+$B$30*Mat_Sum!$AT43+$B$31*Mat_Sum!$AR43+$B$32*Mat_Sum!$AV43)</f>
        <v>2.607681248243769</v>
      </c>
      <c r="C237" s="505">
        <f ca="1">$A$6*$B$10*($B$35*Mat_Sum!$D43+$B$36*Mat_Sum!$E43+$B$37*Mat_Sum!$F43+$B$38*Mat_Sum!$I43+$B$39*Mat_Sum!$L43+$B$40*Mat_Sum!$AG43+$B$41*Mat_Sum!$AK43+$B$42*Mat_Sum!$AS43+$B$43*Mat_Sum!$AR43+$B$44*Mat_Sum!$AV43+$B$45*Mat_Sum!$AT43+$B$46*Mat_Sum!$BH43+$B$47*Mat_Sum!$BG43+$B$48*Mat_Sum!$BJ43+$B$49*Mat_Sum!$BI43+$B$50*Mat_Sum!$AW43)</f>
        <v>0.86969070724560471</v>
      </c>
      <c r="D237" s="505">
        <f ca="1">$A$6*$B$11*($B$56*Mat_Sum!$D43+$B$57*Mat_Sum!$AG43+$B$58*Mat_Sum!$F43+$B$59*Mat_Sum!$AK43+$B$60*Mat_Sum!$I43+$B$61*Mat_Sum!$L43+$B$62*Mat_Sum!$AT43+$B$63*Mat_Sum!$AR43+$B$64*Mat_Sum!$AV43)</f>
        <v>0.37495306648498894</v>
      </c>
      <c r="E237" s="505">
        <f ca="1">$A$6*$B$12*($B$67*Mat_Sum!$D43+$B$68*Mat_Sum!$F43+$B$69*Mat_Sum!$I43+$B$70*Mat_Sum!$L43+$B$71*Mat_Sum!$AG43+$B$72*Mat_Sum!$AH43+$B$73*Mat_Sum!$AK43+$B$74*Mat_Sum!$AS43+$B$75*Mat_Sum!$AR43+$B$76*Mat_Sum!$AV43)+$A$136*(B$140*4)*($A$144*Mat_Sum!$AV43+$B$144*Mat_Sum!$D43)</f>
        <v>1.3791383481535695</v>
      </c>
      <c r="F237" s="505"/>
      <c r="G237" s="505"/>
      <c r="H237" s="505"/>
      <c r="I237" s="502"/>
      <c r="J237" s="368">
        <f t="shared" ca="1" si="30"/>
        <v>0.49846115011219128</v>
      </c>
      <c r="K237" s="368">
        <f t="shared" ca="1" si="30"/>
        <v>0.16624233903874913</v>
      </c>
      <c r="L237" s="368">
        <f t="shared" ca="1" si="30"/>
        <v>7.1672692697420104E-2</v>
      </c>
      <c r="M237" s="368">
        <f t="shared" ca="1" si="31"/>
        <v>0.2636238181516396</v>
      </c>
      <c r="N237" s="368"/>
      <c r="O237" s="368"/>
      <c r="P237" s="368"/>
      <c r="Q237" s="428"/>
    </row>
    <row r="239" spans="1:17">
      <c r="A239" s="111" t="s">
        <v>1878</v>
      </c>
    </row>
    <row r="240" spans="1:17">
      <c r="A240" s="238"/>
      <c r="B240" s="3007" t="s">
        <v>1875</v>
      </c>
      <c r="C240" s="3005"/>
      <c r="D240" s="3005"/>
      <c r="E240" s="3005"/>
      <c r="F240" s="3005"/>
      <c r="G240" s="3005"/>
      <c r="H240" s="3005"/>
      <c r="I240" s="3006"/>
      <c r="J240" s="3005" t="s">
        <v>1876</v>
      </c>
      <c r="K240" s="3005"/>
      <c r="L240" s="3005"/>
      <c r="M240" s="3005"/>
      <c r="N240" s="3005"/>
      <c r="O240" s="3005"/>
      <c r="P240" s="3005"/>
      <c r="Q240" s="3006"/>
    </row>
    <row r="241" spans="1:17" ht="51">
      <c r="A241" s="230"/>
      <c r="B241" s="923" t="s">
        <v>250</v>
      </c>
      <c r="C241" s="924" t="s">
        <v>182</v>
      </c>
      <c r="D241" s="924" t="s">
        <v>183</v>
      </c>
      <c r="E241" s="924" t="s">
        <v>184</v>
      </c>
      <c r="F241" s="924" t="s">
        <v>185</v>
      </c>
      <c r="G241" s="924" t="s">
        <v>186</v>
      </c>
      <c r="H241" s="670" t="s">
        <v>187</v>
      </c>
      <c r="I241" s="953" t="s">
        <v>1860</v>
      </c>
      <c r="J241" s="923" t="s">
        <v>250</v>
      </c>
      <c r="K241" s="924" t="s">
        <v>182</v>
      </c>
      <c r="L241" s="924" t="s">
        <v>183</v>
      </c>
      <c r="M241" s="924" t="s">
        <v>184</v>
      </c>
      <c r="N241" s="924" t="s">
        <v>185</v>
      </c>
      <c r="O241" s="924" t="s">
        <v>186</v>
      </c>
      <c r="P241" s="670" t="s">
        <v>187</v>
      </c>
      <c r="Q241" s="953" t="s">
        <v>1860</v>
      </c>
    </row>
    <row r="242" spans="1:17">
      <c r="A242" s="571" t="s">
        <v>1877</v>
      </c>
      <c r="B242" s="895"/>
      <c r="C242" s="446"/>
      <c r="D242" s="446"/>
      <c r="E242" s="446"/>
      <c r="I242" s="395"/>
      <c r="J242" s="446"/>
      <c r="K242" s="446"/>
      <c r="L242" s="446"/>
      <c r="M242" s="446"/>
      <c r="Q242" s="395"/>
    </row>
    <row r="243" spans="1:17">
      <c r="A243" s="230" t="s">
        <v>816</v>
      </c>
      <c r="B243" s="347">
        <f ca="1">$B$6*$C$17*($C$22*Mat_Sum!$D15+$C$23*Mat_Sum!$I15+$C$24*Mat_Sum!$L15+$C$25*Mat_Sum!$AG15+$C$26*Mat_Sum!$AH15+$C$27*Mat_Sum!$AK15+$C$28*Mat_Sum!$AS15+$C$29*Mat_Sum!$AM15+$C$30*Mat_Sum!$AT15+$C$31*Mat_Sum!$AR15+$C$32*Mat_Sum!$AV15)</f>
        <v>63.387540485657162</v>
      </c>
      <c r="C243" s="349">
        <f ca="1">$B$6*$C$10*($C$35*Mat_Sum!$D15+$C$36*Mat_Sum!$E15+$C$37*Mat_Sum!$F15+$C$38*Mat_Sum!$I15+$C$39*Mat_Sum!$L15+$C$40*Mat_Sum!$AG15+$C$41*Mat_Sum!$AK15+$C$42*Mat_Sum!$AS15+$C$43*Mat_Sum!$AR15+$C$44*Mat_Sum!$AV15+$C$45*Mat_Sum!$AT15+$C$46*Mat_Sum!$BH15+$C$47*Mat_Sum!$BG15+$C$48*Mat_Sum!$BJ15+$C$49*Mat_Sum!$BI15+$C$50*Mat_Sum!$AW15)</f>
        <v>12.918070100151857</v>
      </c>
      <c r="D243" s="349">
        <f ca="1">$B$6*$C$11*($C$56*Mat_Sum!$D15+$C$57*Mat_Sum!$AG15+$C$58*Mat_Sum!$F15+$C$59*Mat_Sum!$AK15+$C$60*Mat_Sum!$I15+$C$61*Mat_Sum!$L15+$C$62*Mat_Sum!$AT15+$C$63*Mat_Sum!$AR15+$C$64*Mat_Sum!$AV15)</f>
        <v>4.5557371308478256</v>
      </c>
      <c r="E243" s="349">
        <f ca="1">$B$6*$C$12*($C$67*Mat_Sum!$D15+$C$68*Mat_Sum!$F15+$C$69*Mat_Sum!$I15+$C$70*Mat_Sum!$L15+$C$71*Mat_Sum!$AG15+$C$72*Mat_Sum!$AH15+$C$73*Mat_Sum!$AK15+$C$74*Mat_Sum!$AS15+$C$75*Mat_Sum!$AR15+$C$76*Mat_Sum!$AV15)+$A$136*(C$140*4)*($A$144*Mat_Sum!$AV15+$B$144*Mat_Sum!$D15)</f>
        <v>16.273486130950513</v>
      </c>
      <c r="F243" s="349"/>
      <c r="G243" s="349"/>
      <c r="H243" s="349"/>
      <c r="I243" s="348"/>
      <c r="J243" s="382">
        <f t="shared" ref="J243:L248" ca="1" si="32">B243/$C174</f>
        <v>0.65257269688754949</v>
      </c>
      <c r="K243" s="382">
        <f t="shared" ca="1" si="32"/>
        <v>0.13299111748539894</v>
      </c>
      <c r="L243" s="382">
        <f t="shared" ca="1" si="32"/>
        <v>4.6901167690215212E-2</v>
      </c>
      <c r="M243" s="382">
        <f t="shared" ref="M243:M248" ca="1" si="33">E243/$C174</f>
        <v>0.16753501793683628</v>
      </c>
      <c r="N243" s="382"/>
      <c r="O243" s="382"/>
      <c r="P243" s="382"/>
      <c r="Q243" s="588"/>
    </row>
    <row r="244" spans="1:17">
      <c r="A244" s="230" t="s">
        <v>817</v>
      </c>
      <c r="B244" s="347">
        <f ca="1">$B$6*$C$17*($C$22*Mat_Sum!$D16+$C$23*Mat_Sum!$I16+$C$24*Mat_Sum!$L16+$C$25*Mat_Sum!$AG16+$C$26*Mat_Sum!$AH16+$C$27*Mat_Sum!$AK16+$C$28*Mat_Sum!$AS16+$C$29*Mat_Sum!$AM16+$C$30*Mat_Sum!$AT16+$C$31*Mat_Sum!$AR16+$C$32*Mat_Sum!$AV16)</f>
        <v>57.543443588488323</v>
      </c>
      <c r="C244" s="349">
        <f ca="1">$B$6*$C$10*($C$35*Mat_Sum!$D16+$C$36*Mat_Sum!$E16+$C$37*Mat_Sum!$F16+$C$38*Mat_Sum!$I16+$C$39*Mat_Sum!$L16+$C$40*Mat_Sum!$AG16+$C$41*Mat_Sum!$AK16+$C$42*Mat_Sum!$AS16+$C$43*Mat_Sum!$AR16+$C$44*Mat_Sum!$AV16+$C$45*Mat_Sum!$AT16+$C$46*Mat_Sum!$BH16+$C$47*Mat_Sum!$BG16+$C$48*Mat_Sum!$BJ16+$C$49*Mat_Sum!$BI16+$C$50*Mat_Sum!$AW16)</f>
        <v>11.441332826641892</v>
      </c>
      <c r="D244" s="349">
        <f ca="1">$B$6*$C$11*($C$56*Mat_Sum!$D16+$C$57*Mat_Sum!$AG16+$C$58*Mat_Sum!$F16+$C$59*Mat_Sum!$AK16+$C$60*Mat_Sum!$I16+$C$61*Mat_Sum!$L16+$C$62*Mat_Sum!$AT16+$C$63*Mat_Sum!$AR16+$C$64*Mat_Sum!$AV16)</f>
        <v>3.3394856653470271</v>
      </c>
      <c r="E244" s="349">
        <f ca="1">$B$6*$C$12*($C$67*Mat_Sum!$D16+$C$68*Mat_Sum!$F16+$C$69*Mat_Sum!$I16+$C$70*Mat_Sum!$L16+$C$71*Mat_Sum!$AG16+$C$72*Mat_Sum!$AH16+$C$73*Mat_Sum!$AK16+$C$74*Mat_Sum!$AS16+$C$75*Mat_Sum!$AR16+$C$76*Mat_Sum!$AV16)+$A$136*(C$140*4)*($A$144*Mat_Sum!$AV16+$B$144*Mat_Sum!$D16)</f>
        <v>14.502238487428819</v>
      </c>
      <c r="F244" s="349"/>
      <c r="G244" s="349"/>
      <c r="H244" s="349"/>
      <c r="I244" s="348"/>
      <c r="J244" s="382">
        <f t="shared" ca="1" si="32"/>
        <v>0.66274055976129331</v>
      </c>
      <c r="K244" s="382">
        <f t="shared" ca="1" si="32"/>
        <v>0.13177235926597949</v>
      </c>
      <c r="L244" s="382">
        <f t="shared" ca="1" si="32"/>
        <v>3.8461594599626316E-2</v>
      </c>
      <c r="M244" s="382">
        <f t="shared" ca="1" si="33"/>
        <v>0.16702548637310075</v>
      </c>
      <c r="N244" s="382"/>
      <c r="O244" s="382"/>
      <c r="P244" s="382"/>
      <c r="Q244" s="588"/>
    </row>
    <row r="245" spans="1:17">
      <c r="A245" s="230" t="s">
        <v>805</v>
      </c>
      <c r="B245" s="347">
        <f ca="1">$B$6*$C$17*($C$22*Mat_Sum!$D17+$C$23*Mat_Sum!$I17+$C$24*Mat_Sum!$L17+$C$25*Mat_Sum!$AG17+$C$26*Mat_Sum!$AH17+$C$27*Mat_Sum!$AK17+$C$28*Mat_Sum!$AS17+$C$29*Mat_Sum!$AM17+$C$30*Mat_Sum!$AT17+$C$31*Mat_Sum!$AR17+$C$32*Mat_Sum!$AV17)</f>
        <v>7.4529405027693629</v>
      </c>
      <c r="C245" s="349">
        <f ca="1">$B$6*$C$10*($C$35*Mat_Sum!$D17+$C$36*Mat_Sum!$E17+$C$37*Mat_Sum!$F17+$C$38*Mat_Sum!$I17+$C$39*Mat_Sum!$L17+$C$40*Mat_Sum!$AG17+$C$41*Mat_Sum!$AK17+$C$42*Mat_Sum!$AS17+$C$43*Mat_Sum!$AR17+$C$44*Mat_Sum!$AV17+$C$45*Mat_Sum!$AT17+$C$46*Mat_Sum!$BH17+$C$47*Mat_Sum!$BG17+$C$48*Mat_Sum!$BJ17+$C$49*Mat_Sum!$BI17+$C$50*Mat_Sum!$AW17)</f>
        <v>4.4782943243312046</v>
      </c>
      <c r="D245" s="349">
        <f ca="1">$B$6*$C$11*($C$56*Mat_Sum!$D17+$C$57*Mat_Sum!$AG17+$C$58*Mat_Sum!$F17+$C$59*Mat_Sum!$AK17+$C$60*Mat_Sum!$I17+$C$61*Mat_Sum!$L17+$C$62*Mat_Sum!$AT17+$C$63*Mat_Sum!$AR17+$C$64*Mat_Sum!$AV17)</f>
        <v>1.1245152534677145</v>
      </c>
      <c r="E245" s="349">
        <f ca="1">$B$6*$C$12*($C$67*Mat_Sum!$D17+$C$68*Mat_Sum!$F17+$C$69*Mat_Sum!$I17+$C$70*Mat_Sum!$L17+$C$71*Mat_Sum!$AG17+$C$72*Mat_Sum!$AH17+$C$73*Mat_Sum!$AK17+$C$74*Mat_Sum!$AS17+$C$75*Mat_Sum!$AR17+$C$76*Mat_Sum!$AV17)+$A$136*(C$140*4)*($A$144*Mat_Sum!$AV17+$B$144*Mat_Sum!$D17)</f>
        <v>4.0218043926054454</v>
      </c>
      <c r="F245" s="349"/>
      <c r="G245" s="349"/>
      <c r="H245" s="349"/>
      <c r="I245" s="348"/>
      <c r="J245" s="382">
        <f t="shared" ca="1" si="32"/>
        <v>0.43641731692185864</v>
      </c>
      <c r="K245" s="382">
        <f t="shared" ca="1" si="32"/>
        <v>0.26223276473021545</v>
      </c>
      <c r="L245" s="382">
        <f t="shared" ca="1" si="32"/>
        <v>6.5847557695345615E-2</v>
      </c>
      <c r="M245" s="382">
        <f t="shared" ca="1" si="33"/>
        <v>0.23550236065258032</v>
      </c>
      <c r="N245" s="382"/>
      <c r="O245" s="382"/>
      <c r="P245" s="382"/>
      <c r="Q245" s="588"/>
    </row>
    <row r="246" spans="1:17">
      <c r="A246" s="230" t="s">
        <v>804</v>
      </c>
      <c r="B246" s="347">
        <f ca="1">$B$6*$C$17*($C$22*Mat_Sum!$D18+$C$23*Mat_Sum!$I18+$C$24*Mat_Sum!$L18+$C$25*Mat_Sum!$AG18+$C$26*Mat_Sum!$AH18+$C$27*Mat_Sum!$AK18+$C$28*Mat_Sum!$AS18+$C$29*Mat_Sum!$AM18+$C$30*Mat_Sum!$AT18+$C$31*Mat_Sum!$AR18+$C$32*Mat_Sum!$AV18)</f>
        <v>35.342604899794487</v>
      </c>
      <c r="C246" s="349">
        <f ca="1">$B$6*$C$10*($C$35*Mat_Sum!$D18+$C$36*Mat_Sum!$E18+$C$37*Mat_Sum!$F18+$C$38*Mat_Sum!$I18+$C$39*Mat_Sum!$L18+$C$40*Mat_Sum!$AG18+$C$41*Mat_Sum!$AK18+$C$42*Mat_Sum!$AS18+$C$43*Mat_Sum!$AR18+$C$44*Mat_Sum!$AV18+$C$45*Mat_Sum!$AT18+$C$46*Mat_Sum!$BH18+$C$47*Mat_Sum!$BG18+$C$48*Mat_Sum!$BJ18+$C$49*Mat_Sum!$BI18+$C$50*Mat_Sum!$AW18)</f>
        <v>5.5399763484948767</v>
      </c>
      <c r="D246" s="349">
        <f ca="1">$B$6*$C$11*($C$56*Mat_Sum!$D18+$C$57*Mat_Sum!$AG18+$C$58*Mat_Sum!$F18+$C$59*Mat_Sum!$AK18+$C$60*Mat_Sum!$I18+$C$61*Mat_Sum!$L18+$C$62*Mat_Sum!$AT18+$C$63*Mat_Sum!$AR18+$C$64*Mat_Sum!$AV18)</f>
        <v>1.6894270719492439</v>
      </c>
      <c r="E246" s="349">
        <f ca="1">$B$6*$C$12*($C$67*Mat_Sum!$D18+$C$68*Mat_Sum!$F18+$C$69*Mat_Sum!$I18+$C$70*Mat_Sum!$L18+$C$71*Mat_Sum!$AG18+$C$72*Mat_Sum!$AH18+$C$73*Mat_Sum!$AK18+$C$74*Mat_Sum!$AS18+$C$75*Mat_Sum!$AR18+$C$76*Mat_Sum!$AV18)+$A$136*(C$140*4)*($A$144*Mat_Sum!$AV18+$B$144*Mat_Sum!$D18)</f>
        <v>7.7815814251795512</v>
      </c>
      <c r="F246" s="349"/>
      <c r="G246" s="349"/>
      <c r="H246" s="349"/>
      <c r="I246" s="348"/>
      <c r="J246" s="382">
        <f t="shared" ca="1" si="32"/>
        <v>0.70188848657032288</v>
      </c>
      <c r="K246" s="382">
        <f t="shared" ca="1" si="32"/>
        <v>0.11002147764448068</v>
      </c>
      <c r="L246" s="382">
        <f t="shared" ca="1" si="32"/>
        <v>3.3551273712376588E-2</v>
      </c>
      <c r="M246" s="382">
        <f t="shared" ca="1" si="33"/>
        <v>0.15453876207281966</v>
      </c>
      <c r="N246" s="382"/>
      <c r="O246" s="382"/>
      <c r="P246" s="382"/>
      <c r="Q246" s="588"/>
    </row>
    <row r="247" spans="1:17">
      <c r="A247" s="230" t="s">
        <v>818</v>
      </c>
      <c r="B247" s="347">
        <f ca="1">$B$6*$C$17*($C$22*Mat_Sum!$D19+$C$23*Mat_Sum!$I19+$C$24*Mat_Sum!$L19+$C$25*Mat_Sum!$AG19+$C$26*Mat_Sum!$AH19+$C$27*Mat_Sum!$AK19+$C$28*Mat_Sum!$AS19+$C$29*Mat_Sum!$AM19+$C$30*Mat_Sum!$AT19+$C$31*Mat_Sum!$AR19+$C$32*Mat_Sum!$AV19)</f>
        <v>14.747898185924473</v>
      </c>
      <c r="C247" s="349">
        <f ca="1">$B$6*$C$10*($C$35*Mat_Sum!$D19+$C$36*Mat_Sum!$E19+$C$37*Mat_Sum!$F19+$C$38*Mat_Sum!$I19+$C$39*Mat_Sum!$L19+$C$40*Mat_Sum!$AG19+$C$41*Mat_Sum!$AK19+$C$42*Mat_Sum!$AS19+$C$43*Mat_Sum!$AR19+$C$44*Mat_Sum!$AV19+$C$45*Mat_Sum!$AT19+$C$46*Mat_Sum!$BH19+$C$47*Mat_Sum!$BG19+$C$48*Mat_Sum!$BJ19+$C$49*Mat_Sum!$BI19+$C$50*Mat_Sum!$AW19)</f>
        <v>1.4230621538158097</v>
      </c>
      <c r="D247" s="349">
        <f ca="1">$B$6*$C$11*($C$56*Mat_Sum!$D19+$C$57*Mat_Sum!$AG19+$C$58*Mat_Sum!$F19+$C$59*Mat_Sum!$AK19+$C$60*Mat_Sum!$I19+$C$61*Mat_Sum!$L19+$C$62*Mat_Sum!$AT19+$C$63*Mat_Sum!$AR19+$C$64*Mat_Sum!$AV19)</f>
        <v>0.52554333993006841</v>
      </c>
      <c r="E247" s="349">
        <f ca="1">$B$6*$C$12*($C$67*Mat_Sum!$D19+$C$68*Mat_Sum!$F19+$C$69*Mat_Sum!$I19+$C$70*Mat_Sum!$L19+$C$71*Mat_Sum!$AG19+$C$72*Mat_Sum!$AH19+$C$73*Mat_Sum!$AK19+$C$74*Mat_Sum!$AS19+$C$75*Mat_Sum!$AR19+$C$76*Mat_Sum!$AV19)+$A$136*(C$140*4)*($A$144*Mat_Sum!$AV19+$B$144*Mat_Sum!$D19)</f>
        <v>2.6988526696438226</v>
      </c>
      <c r="F247" s="349"/>
      <c r="G247" s="349"/>
      <c r="H247" s="349"/>
      <c r="I247" s="348"/>
      <c r="J247" s="382">
        <f t="shared" ca="1" si="32"/>
        <v>0.7603829452943236</v>
      </c>
      <c r="K247" s="382">
        <f t="shared" ca="1" si="32"/>
        <v>7.3371281671044383E-2</v>
      </c>
      <c r="L247" s="382">
        <f t="shared" ca="1" si="32"/>
        <v>2.7096348758173329E-2</v>
      </c>
      <c r="M247" s="382">
        <f t="shared" ca="1" si="33"/>
        <v>0.13914942427645854</v>
      </c>
      <c r="N247" s="382"/>
      <c r="O247" s="382"/>
      <c r="P247" s="382"/>
      <c r="Q247" s="588"/>
    </row>
    <row r="248" spans="1:17">
      <c r="A248" s="230" t="s">
        <v>819</v>
      </c>
      <c r="B248" s="517">
        <f ca="1">$B$6*$C$17*($C$22*Mat_Sum!$D20+$C$23*Mat_Sum!$I20+$C$24*Mat_Sum!$L20+$C$25*Mat_Sum!$AG20+$C$26*Mat_Sum!$AH20+$C$27*Mat_Sum!$AK20+$C$28*Mat_Sum!$AS20+$C$29*Mat_Sum!$AM20+$C$30*Mat_Sum!$AT20+$C$31*Mat_Sum!$AR20+$C$32*Mat_Sum!$AV20)</f>
        <v>2601.1462887012399</v>
      </c>
      <c r="C248" s="419">
        <f ca="1">$B$6*$C$10*($C$35*Mat_Sum!$D20+$C$36*Mat_Sum!$E20+$C$37*Mat_Sum!$F20+$C$38*Mat_Sum!$I20+$C$39*Mat_Sum!$L20+$C$40*Mat_Sum!$AG20+$C$41*Mat_Sum!$AK20+$C$42*Mat_Sum!$AS20+$C$43*Mat_Sum!$AR20+$C$44*Mat_Sum!$AV20+$C$45*Mat_Sum!$AT20+$C$46*Mat_Sum!$BH20+$C$47*Mat_Sum!$BG20+$C$48*Mat_Sum!$BJ20+$C$49*Mat_Sum!$BI20+$C$50*Mat_Sum!$AW20)</f>
        <v>768.77388855762752</v>
      </c>
      <c r="D248" s="419">
        <f ca="1">$B$6*$C$11*($C$56*Mat_Sum!$D20+$C$57*Mat_Sum!$AG20+$C$58*Mat_Sum!$F20+$C$59*Mat_Sum!$AK20+$C$60*Mat_Sum!$I20+$C$61*Mat_Sum!$L20+$C$62*Mat_Sum!$AT20+$C$63*Mat_Sum!$AR20+$C$64*Mat_Sum!$AV20)</f>
        <v>732.75340336261479</v>
      </c>
      <c r="E248" s="419">
        <f ca="1">$B$6*$C$12*($C$67*Mat_Sum!$D20+$C$68*Mat_Sum!$F20+$C$69*Mat_Sum!$I20+$C$70*Mat_Sum!$L20+$C$71*Mat_Sum!$AG20+$C$72*Mat_Sum!$AH20+$C$73*Mat_Sum!$AK20+$C$74*Mat_Sum!$AS20+$C$75*Mat_Sum!$AR20+$C$76*Mat_Sum!$AV20)+$A$136*(C$140*4)*($A$144*Mat_Sum!$AV20+$B$144*Mat_Sum!$D20)</f>
        <v>975.22173194835113</v>
      </c>
      <c r="F248" s="419"/>
      <c r="G248" s="419"/>
      <c r="H248" s="419"/>
      <c r="I248" s="516"/>
      <c r="J248" s="382">
        <f t="shared" ca="1" si="32"/>
        <v>0.51224890010283508</v>
      </c>
      <c r="K248" s="382">
        <f t="shared" ca="1" si="32"/>
        <v>0.15139616735591274</v>
      </c>
      <c r="L248" s="382">
        <f t="shared" ca="1" si="32"/>
        <v>0.14430258173081181</v>
      </c>
      <c r="M248" s="382">
        <f t="shared" ca="1" si="33"/>
        <v>0.19205235081044009</v>
      </c>
      <c r="N248" s="382"/>
      <c r="O248" s="382"/>
      <c r="P248" s="382"/>
      <c r="Q248" s="588"/>
    </row>
    <row r="249" spans="1:17">
      <c r="A249" s="571" t="s">
        <v>964</v>
      </c>
      <c r="B249" s="347"/>
      <c r="C249" s="349"/>
      <c r="D249" s="349"/>
      <c r="E249" s="349"/>
      <c r="F249" s="349"/>
      <c r="G249" s="349"/>
      <c r="H249" s="349"/>
      <c r="I249" s="348"/>
      <c r="J249" s="382"/>
      <c r="K249" s="382"/>
      <c r="L249" s="382"/>
      <c r="M249" s="382"/>
      <c r="N249" s="382"/>
      <c r="O249" s="382"/>
      <c r="P249" s="382"/>
      <c r="Q249" s="588"/>
    </row>
    <row r="250" spans="1:17">
      <c r="A250" s="230" t="s">
        <v>821</v>
      </c>
      <c r="B250" s="347">
        <f ca="1">$B$6*$C$17*($C$22*Mat_Sum!$D22+$C$23*Mat_Sum!$I22+$C$24*Mat_Sum!$L22+$C$25*Mat_Sum!$AG22+$C$26*Mat_Sum!$AH22+$C$27*Mat_Sum!$AK22+$C$28*Mat_Sum!$AS22+$C$29*Mat_Sum!$AM22+$C$30*Mat_Sum!$AT22+$C$31*Mat_Sum!$AR22+$C$32*Mat_Sum!$AV22)</f>
        <v>1044.4691068819247</v>
      </c>
      <c r="C250" s="349">
        <f ca="1">$B$6*$C$10*($C$35*Mat_Sum!$D22+$C$36*Mat_Sum!$E22+$C$37*Mat_Sum!$F22+$C$38*Mat_Sum!$I22+$C$39*Mat_Sum!$L22+$C$40*Mat_Sum!$AG22+$C$41*Mat_Sum!$AK22+$C$42*Mat_Sum!$AS22+$C$43*Mat_Sum!$AR22+$C$44*Mat_Sum!$AV22+$C$45*Mat_Sum!$AT22+$C$46*Mat_Sum!$BH22+$C$47*Mat_Sum!$BG22+$C$48*Mat_Sum!$BJ22+$C$49*Mat_Sum!$BI22+$C$50*Mat_Sum!$AW22)</f>
        <v>633.03360132087505</v>
      </c>
      <c r="D250" s="349">
        <f ca="1">$B$6*$C$11*($C$56*Mat_Sum!$D22+$C$57*Mat_Sum!$AG22+$C$58*Mat_Sum!$F22+$C$59*Mat_Sum!$AK22+$C$60*Mat_Sum!$I22+$C$61*Mat_Sum!$L22+$C$62*Mat_Sum!$AT22+$C$63*Mat_Sum!$AR22+$C$64*Mat_Sum!$AV22)</f>
        <v>117.75027943074286</v>
      </c>
      <c r="E250" s="349">
        <f ca="1">$B$6*$C$12*($C$67*Mat_Sum!$D22+$C$68*Mat_Sum!$F22+$C$69*Mat_Sum!$I22+$C$70*Mat_Sum!$L22+$C$71*Mat_Sum!$AG22+$C$72*Mat_Sum!$AH22+$C$73*Mat_Sum!$AK22+$C$74*Mat_Sum!$AS22+$C$75*Mat_Sum!$AR22+$C$76*Mat_Sum!$AV22)+$A$136*(C$140*4)*($A$144*Mat_Sum!$AV22+$B$144*Mat_Sum!$D22)</f>
        <v>1048.5110807029209</v>
      </c>
      <c r="F250" s="349"/>
      <c r="G250" s="349"/>
      <c r="H250" s="349"/>
      <c r="I250" s="348"/>
      <c r="J250" s="382">
        <f t="shared" ref="J250:L257" ca="1" si="34">B250/$C181</f>
        <v>0.36728402278917427</v>
      </c>
      <c r="K250" s="382">
        <f t="shared" ca="1" si="34"/>
        <v>0.22260412119602632</v>
      </c>
      <c r="L250" s="382">
        <f t="shared" ca="1" si="34"/>
        <v>4.1406486825619135E-2</v>
      </c>
      <c r="M250" s="382">
        <f t="shared" ref="M250:M257" ca="1" si="35">E250/$C181</f>
        <v>0.36870536918918018</v>
      </c>
      <c r="N250" s="382"/>
      <c r="O250" s="382"/>
      <c r="P250" s="382"/>
      <c r="Q250" s="588"/>
    </row>
    <row r="251" spans="1:17">
      <c r="A251" s="230" t="s">
        <v>822</v>
      </c>
      <c r="B251" s="347">
        <f ca="1">$B$6*$C$17*($C$22*Mat_Sum!$D23+$C$23*Mat_Sum!$I23+$C$24*Mat_Sum!$L23+$C$25*Mat_Sum!$AG23+$C$26*Mat_Sum!$AH23+$C$27*Mat_Sum!$AK23+$C$28*Mat_Sum!$AS23+$C$29*Mat_Sum!$AM23+$C$30*Mat_Sum!$AT23+$C$31*Mat_Sum!$AR23+$C$32*Mat_Sum!$AV23)</f>
        <v>3493.827755195488</v>
      </c>
      <c r="C251" s="349">
        <f ca="1">$B$6*$C$10*($C$35*Mat_Sum!$D23+$C$36*Mat_Sum!$E23+$C$37*Mat_Sum!$F23+$C$38*Mat_Sum!$I23+$C$39*Mat_Sum!$L23+$C$40*Mat_Sum!$AG23+$C$41*Mat_Sum!$AK23+$C$42*Mat_Sum!$AS23+$C$43*Mat_Sum!$AR23+$C$44*Mat_Sum!$AV23+$C$45*Mat_Sum!$AT23+$C$46*Mat_Sum!$BH23+$C$47*Mat_Sum!$BG23+$C$48*Mat_Sum!$BJ23+$C$49*Mat_Sum!$BI23+$C$50*Mat_Sum!$AW23)</f>
        <v>3904.3486011350892</v>
      </c>
      <c r="D251" s="349">
        <f ca="1">$B$6*$C$11*($C$56*Mat_Sum!$D23+$C$57*Mat_Sum!$AG23+$C$58*Mat_Sum!$F23+$C$59*Mat_Sum!$AK23+$C$60*Mat_Sum!$I23+$C$61*Mat_Sum!$L23+$C$62*Mat_Sum!$AT23+$C$63*Mat_Sum!$AR23+$C$64*Mat_Sum!$AV23)</f>
        <v>518.01704897125057</v>
      </c>
      <c r="E251" s="349">
        <f ca="1">$B$6*$C$12*($C$67*Mat_Sum!$D23+$C$68*Mat_Sum!$F23+$C$69*Mat_Sum!$I23+$C$70*Mat_Sum!$L23+$C$71*Mat_Sum!$AG23+$C$72*Mat_Sum!$AH23+$C$73*Mat_Sum!$AK23+$C$74*Mat_Sum!$AS23+$C$75*Mat_Sum!$AR23+$C$76*Mat_Sum!$AV23)+$A$136*(C$140*4)*($A$144*Mat_Sum!$AV23+$B$144*Mat_Sum!$D23)</f>
        <v>3016.4870613003764</v>
      </c>
      <c r="F251" s="349"/>
      <c r="G251" s="349"/>
      <c r="H251" s="349"/>
      <c r="I251" s="348"/>
      <c r="J251" s="382">
        <f t="shared" ca="1" si="34"/>
        <v>0.31957649963964818</v>
      </c>
      <c r="K251" s="382">
        <f t="shared" ca="1" si="34"/>
        <v>0.35712638021959237</v>
      </c>
      <c r="L251" s="382">
        <f t="shared" ca="1" si="34"/>
        <v>4.7382437505030864E-2</v>
      </c>
      <c r="M251" s="382">
        <f t="shared" ca="1" si="35"/>
        <v>0.2759146826357286</v>
      </c>
      <c r="N251" s="382"/>
      <c r="O251" s="382"/>
      <c r="P251" s="382"/>
      <c r="Q251" s="588"/>
    </row>
    <row r="252" spans="1:17">
      <c r="A252" s="230" t="s">
        <v>823</v>
      </c>
      <c r="B252" s="347">
        <f ca="1">$B$6*$C$17*($C$22*Mat_Sum!$D24+$C$23*Mat_Sum!$I24+$C$24*Mat_Sum!$L24+$C$25*Mat_Sum!$AG24+$C$26*Mat_Sum!$AH24+$C$27*Mat_Sum!$AK24+$C$28*Mat_Sum!$AS24+$C$29*Mat_Sum!$AM24+$C$30*Mat_Sum!$AT24+$C$31*Mat_Sum!$AR24+$C$32*Mat_Sum!$AV24)</f>
        <v>3191.7255696635434</v>
      </c>
      <c r="C252" s="349">
        <f ca="1">$B$6*$C$10*($C$35*Mat_Sum!$D24+$C$36*Mat_Sum!$E24+$C$37*Mat_Sum!$F24+$C$38*Mat_Sum!$I24+$C$39*Mat_Sum!$L24+$C$40*Mat_Sum!$AG24+$C$41*Mat_Sum!$AK24+$C$42*Mat_Sum!$AS24+$C$43*Mat_Sum!$AR24+$C$44*Mat_Sum!$AV24+$C$45*Mat_Sum!$AT24+$C$46*Mat_Sum!$BH24+$C$47*Mat_Sum!$BG24+$C$48*Mat_Sum!$BJ24+$C$49*Mat_Sum!$BI24+$C$50*Mat_Sum!$AW24)</f>
        <v>848.77923898859933</v>
      </c>
      <c r="D252" s="349">
        <f ca="1">$B$6*$C$11*($C$56*Mat_Sum!$D24+$C$57*Mat_Sum!$AG24+$C$58*Mat_Sum!$F24+$C$59*Mat_Sum!$AK24+$C$60*Mat_Sum!$I24+$C$61*Mat_Sum!$L24+$C$62*Mat_Sum!$AT24+$C$63*Mat_Sum!$AR24+$C$64*Mat_Sum!$AV24)</f>
        <v>241.36522085524598</v>
      </c>
      <c r="E252" s="349">
        <f ca="1">$B$6*$C$12*($C$67*Mat_Sum!$D24+$C$68*Mat_Sum!$F24+$C$69*Mat_Sum!$I24+$C$70*Mat_Sum!$L24+$C$71*Mat_Sum!$AG24+$C$72*Mat_Sum!$AH24+$C$73*Mat_Sum!$AK24+$C$74*Mat_Sum!$AS24+$C$75*Mat_Sum!$AR24+$C$76*Mat_Sum!$AV24)+$A$136*(C$140*4)*($A$144*Mat_Sum!$AV24+$B$144*Mat_Sum!$D24)</f>
        <v>1189.8053521961601</v>
      </c>
      <c r="F252" s="349"/>
      <c r="G252" s="349"/>
      <c r="H252" s="349"/>
      <c r="I252" s="348"/>
      <c r="J252" s="382">
        <f t="shared" ca="1" si="34"/>
        <v>0.58331778605437534</v>
      </c>
      <c r="K252" s="382">
        <f t="shared" ca="1" si="34"/>
        <v>0.15512236742457128</v>
      </c>
      <c r="L252" s="382">
        <f t="shared" ca="1" si="34"/>
        <v>4.4111758102890128E-2</v>
      </c>
      <c r="M252" s="382">
        <f t="shared" ca="1" si="35"/>
        <v>0.21744808841816315</v>
      </c>
      <c r="N252" s="382"/>
      <c r="O252" s="382"/>
      <c r="P252" s="382"/>
      <c r="Q252" s="588"/>
    </row>
    <row r="253" spans="1:17">
      <c r="A253" s="230" t="s">
        <v>824</v>
      </c>
      <c r="B253" s="347">
        <f ca="1">$B$6*$C$17*($C$22*Mat_Sum!$D25+$C$23*Mat_Sum!$I25+$C$24*Mat_Sum!$L25+$C$25*Mat_Sum!$AG25+$C$26*Mat_Sum!$AH25+$C$27*Mat_Sum!$AK25+$C$28*Mat_Sum!$AS25+$C$29*Mat_Sum!$AM25+$C$30*Mat_Sum!$AT25+$C$31*Mat_Sum!$AR25+$C$32*Mat_Sum!$AV25)</f>
        <v>1671.1533380779438</v>
      </c>
      <c r="C253" s="349">
        <f ca="1">$B$6*$C$10*($C$35*Mat_Sum!$D25+$C$36*Mat_Sum!$E25+$C$37*Mat_Sum!$F25+$C$38*Mat_Sum!$I25+$C$39*Mat_Sum!$L25+$C$40*Mat_Sum!$AG25+$C$41*Mat_Sum!$AK25+$C$42*Mat_Sum!$AS25+$C$43*Mat_Sum!$AR25+$C$44*Mat_Sum!$AV25+$C$45*Mat_Sum!$AT25+$C$46*Mat_Sum!$BH25+$C$47*Mat_Sum!$BG25+$C$48*Mat_Sum!$BJ25+$C$49*Mat_Sum!$BI25+$C$50*Mat_Sum!$AW25)</f>
        <v>454.75613684706815</v>
      </c>
      <c r="D253" s="349">
        <f ca="1">$B$6*$C$11*($C$56*Mat_Sum!$D25+$C$57*Mat_Sum!$AG25+$C$58*Mat_Sum!$F25+$C$59*Mat_Sum!$AK25+$C$60*Mat_Sum!$I25+$C$61*Mat_Sum!$L25+$C$62*Mat_Sum!$AT25+$C$63*Mat_Sum!$AR25+$C$64*Mat_Sum!$AV25)</f>
        <v>162.60432027744656</v>
      </c>
      <c r="E253" s="349">
        <f ca="1">$B$6*$C$12*($C$67*Mat_Sum!$D25+$C$68*Mat_Sum!$F25+$C$69*Mat_Sum!$I25+$C$70*Mat_Sum!$L25+$C$71*Mat_Sum!$AG25+$C$72*Mat_Sum!$AH25+$C$73*Mat_Sum!$AK25+$C$74*Mat_Sum!$AS25+$C$75*Mat_Sum!$AR25+$C$76*Mat_Sum!$AV25)+$A$136*(C$140*4)*($A$144*Mat_Sum!$AV25+$B$144*Mat_Sum!$D25)</f>
        <v>528.04090743414758</v>
      </c>
      <c r="F253" s="349"/>
      <c r="G253" s="349"/>
      <c r="H253" s="349"/>
      <c r="I253" s="348"/>
      <c r="J253" s="382">
        <f t="shared" ca="1" si="34"/>
        <v>0.59333246271182305</v>
      </c>
      <c r="K253" s="382">
        <f t="shared" ca="1" si="34"/>
        <v>0.16145830095945457</v>
      </c>
      <c r="L253" s="382">
        <f t="shared" ca="1" si="34"/>
        <v>5.7731639341224578E-2</v>
      </c>
      <c r="M253" s="382">
        <f t="shared" ca="1" si="35"/>
        <v>0.18747759698749791</v>
      </c>
      <c r="N253" s="382"/>
      <c r="O253" s="382"/>
      <c r="P253" s="382"/>
      <c r="Q253" s="588"/>
    </row>
    <row r="254" spans="1:17">
      <c r="A254" s="230" t="s">
        <v>825</v>
      </c>
      <c r="B254" s="347">
        <f ca="1">$B$6*$C$17*($C$22*Mat_Sum!$D26+$C$23*Mat_Sum!$I26+$C$24*Mat_Sum!$L26+$C$25*Mat_Sum!$AG26+$C$26*Mat_Sum!$AH26+$C$27*Mat_Sum!$AK26+$C$28*Mat_Sum!$AS26+$C$29*Mat_Sum!$AM26+$C$30*Mat_Sum!$AT26+$C$31*Mat_Sum!$AR26+$C$32*Mat_Sum!$AV26)</f>
        <v>435.52786641321057</v>
      </c>
      <c r="C254" s="349">
        <f ca="1">$B$6*$C$10*($C$35*Mat_Sum!$D26+$C$36*Mat_Sum!$E26+$C$37*Mat_Sum!$F26+$C$38*Mat_Sum!$I26+$C$39*Mat_Sum!$L26+$C$40*Mat_Sum!$AG26+$C$41*Mat_Sum!$AK26+$C$42*Mat_Sum!$AS26+$C$43*Mat_Sum!$AR26+$C$44*Mat_Sum!$AV26+$C$45*Mat_Sum!$AT26+$C$46*Mat_Sum!$BH26+$C$47*Mat_Sum!$BG26+$C$48*Mat_Sum!$BJ26+$C$49*Mat_Sum!$BI26+$C$50*Mat_Sum!$AW26)</f>
        <v>215.21644408038549</v>
      </c>
      <c r="D254" s="349">
        <f ca="1">$B$6*$C$11*($C$56*Mat_Sum!$D26+$C$57*Mat_Sum!$AG26+$C$58*Mat_Sum!$F26+$C$59*Mat_Sum!$AK26+$C$60*Mat_Sum!$I26+$C$61*Mat_Sum!$L26+$C$62*Mat_Sum!$AT26+$C$63*Mat_Sum!$AR26+$C$64*Mat_Sum!$AV26)</f>
        <v>80.96560448032659</v>
      </c>
      <c r="E254" s="349">
        <f ca="1">$B$6*$C$12*($C$67*Mat_Sum!$D26+$C$68*Mat_Sum!$F26+$C$69*Mat_Sum!$I26+$C$70*Mat_Sum!$L26+$C$71*Mat_Sum!$AG26+$C$72*Mat_Sum!$AH26+$C$73*Mat_Sum!$AK26+$C$74*Mat_Sum!$AS26+$C$75*Mat_Sum!$AR26+$C$76*Mat_Sum!$AV26)+$A$136*(C$140*4)*($A$144*Mat_Sum!$AV26+$B$144*Mat_Sum!$D26)</f>
        <v>241.35311617503481</v>
      </c>
      <c r="F254" s="349"/>
      <c r="G254" s="349"/>
      <c r="H254" s="349"/>
      <c r="I254" s="348"/>
      <c r="J254" s="382">
        <f t="shared" ca="1" si="34"/>
        <v>0.44758443438032502</v>
      </c>
      <c r="K254" s="382">
        <f t="shared" ca="1" si="34"/>
        <v>0.22117420679960043</v>
      </c>
      <c r="L254" s="382">
        <f t="shared" ca="1" si="34"/>
        <v>8.3206947431478689E-2</v>
      </c>
      <c r="M254" s="382">
        <f t="shared" ca="1" si="35"/>
        <v>0.24803441138859617</v>
      </c>
      <c r="N254" s="382"/>
      <c r="O254" s="382"/>
      <c r="P254" s="382"/>
      <c r="Q254" s="588"/>
    </row>
    <row r="255" spans="1:17">
      <c r="A255" s="230" t="s">
        <v>826</v>
      </c>
      <c r="B255" s="347">
        <f ca="1">$B$6*$C$17*($C$22*Mat_Sum!$D27+$C$23*Mat_Sum!$I27+$C$24*Mat_Sum!$L27+$C$25*Mat_Sum!$AG27+$C$26*Mat_Sum!$AH27+$C$27*Mat_Sum!$AK27+$C$28*Mat_Sum!$AS27+$C$29*Mat_Sum!$AM27+$C$30*Mat_Sum!$AT27+$C$31*Mat_Sum!$AR27+$C$32*Mat_Sum!$AV27)</f>
        <v>6756.9556056552547</v>
      </c>
      <c r="C255" s="349">
        <f ca="1">$B$6*$C$10*($C$35*Mat_Sum!$D27+$C$36*Mat_Sum!$E27+$C$37*Mat_Sum!$F27+$C$38*Mat_Sum!$I27+$C$39*Mat_Sum!$L27+$C$40*Mat_Sum!$AG27+$C$41*Mat_Sum!$AK27+$C$42*Mat_Sum!$AS27+$C$43*Mat_Sum!$AR27+$C$44*Mat_Sum!$AV27+$C$45*Mat_Sum!$AT27+$C$46*Mat_Sum!$BH27+$C$47*Mat_Sum!$BG27+$C$48*Mat_Sum!$BJ27+$C$49*Mat_Sum!$BI27+$C$50*Mat_Sum!$AW27)</f>
        <v>4523.3568948290622</v>
      </c>
      <c r="D255" s="349">
        <f ca="1">$B$6*$C$11*($C$56*Mat_Sum!$D27+$C$57*Mat_Sum!$AG27+$C$58*Mat_Sum!$F27+$C$59*Mat_Sum!$AK27+$C$60*Mat_Sum!$I27+$C$61*Mat_Sum!$L27+$C$62*Mat_Sum!$AT27+$C$63*Mat_Sum!$AR27+$C$64*Mat_Sum!$AV27)</f>
        <v>812.98042879403454</v>
      </c>
      <c r="E255" s="349">
        <f ca="1">$B$6*$C$12*($C$67*Mat_Sum!$D27+$C$68*Mat_Sum!$F27+$C$69*Mat_Sum!$I27+$C$70*Mat_Sum!$L27+$C$71*Mat_Sum!$AG27+$C$72*Mat_Sum!$AH27+$C$73*Mat_Sum!$AK27+$C$74*Mat_Sum!$AS27+$C$75*Mat_Sum!$AR27+$C$76*Mat_Sum!$AV27)+$A$136*(C$140*4)*($A$144*Mat_Sum!$AV27+$B$144*Mat_Sum!$D27)</f>
        <v>3119.1332470704074</v>
      </c>
      <c r="F255" s="349"/>
      <c r="G255" s="349"/>
      <c r="H255" s="349"/>
      <c r="I255" s="348"/>
      <c r="J255" s="382">
        <f t="shared" ca="1" si="34"/>
        <v>0.44417343606639859</v>
      </c>
      <c r="K255" s="382">
        <f t="shared" ca="1" si="34"/>
        <v>0.29734618544027303</v>
      </c>
      <c r="L255" s="382">
        <f t="shared" ca="1" si="34"/>
        <v>5.3441865181111006E-2</v>
      </c>
      <c r="M255" s="382">
        <f t="shared" ca="1" si="35"/>
        <v>0.20503851331221723</v>
      </c>
      <c r="N255" s="382"/>
      <c r="O255" s="382"/>
      <c r="P255" s="382"/>
      <c r="Q255" s="588"/>
    </row>
    <row r="256" spans="1:17">
      <c r="A256" s="661" t="s">
        <v>827</v>
      </c>
      <c r="B256" s="347">
        <f ca="1">$B$6*$C$17*($C$22*Mat_Sum!$D28+$C$23*Mat_Sum!$I28+$C$24*Mat_Sum!$L28+$C$25*Mat_Sum!$AG28+$C$26*Mat_Sum!$AH28+$C$27*Mat_Sum!$AK28+$C$28*Mat_Sum!$AS28+$C$29*Mat_Sum!$AM28+$C$30*Mat_Sum!$AT28+$C$31*Mat_Sum!$AR28+$C$32*Mat_Sum!$AV28)</f>
        <v>21.945269780806964</v>
      </c>
      <c r="C256" s="349">
        <f ca="1">$B$6*$C$10*($C$35*Mat_Sum!$D28+$C$36*Mat_Sum!$E28+$C$37*Mat_Sum!$F28+$C$38*Mat_Sum!$I28+$C$39*Mat_Sum!$L28+$C$40*Mat_Sum!$AG28+$C$41*Mat_Sum!$AK28+$C$42*Mat_Sum!$AS28+$C$43*Mat_Sum!$AR28+$C$44*Mat_Sum!$AV28+$C$45*Mat_Sum!$AT28+$C$46*Mat_Sum!$BH28+$C$47*Mat_Sum!$BG28+$C$48*Mat_Sum!$BJ28+$C$49*Mat_Sum!$BI28+$C$50*Mat_Sum!$AW28)</f>
        <v>4.8345738041256636</v>
      </c>
      <c r="D256" s="349">
        <f ca="1">$B$6*$C$11*($C$56*Mat_Sum!$D28+$C$57*Mat_Sum!$AG28+$C$58*Mat_Sum!$F28+$C$59*Mat_Sum!$AK28+$C$60*Mat_Sum!$I28+$C$61*Mat_Sum!$L28+$C$62*Mat_Sum!$AT28+$C$63*Mat_Sum!$AR28+$C$64*Mat_Sum!$AV28)</f>
        <v>1.5874001360688847</v>
      </c>
      <c r="E256" s="349">
        <f ca="1">$B$6*$C$12*($C$67*Mat_Sum!$D28+$C$68*Mat_Sum!$F28+$C$69*Mat_Sum!$I28+$C$70*Mat_Sum!$L28+$C$71*Mat_Sum!$AG28+$C$72*Mat_Sum!$AH28+$C$73*Mat_Sum!$AK28+$C$74*Mat_Sum!$AS28+$C$75*Mat_Sum!$AR28+$C$76*Mat_Sum!$AV28)+$A$136*(C$140*4)*($A$144*Mat_Sum!$AV28+$B$144*Mat_Sum!$D28)</f>
        <v>7.6580678415527697</v>
      </c>
      <c r="F256" s="349"/>
      <c r="G256" s="349"/>
      <c r="H256" s="349"/>
      <c r="I256" s="348"/>
      <c r="J256" s="382">
        <f t="shared" ca="1" si="34"/>
        <v>0.60916252570643936</v>
      </c>
      <c r="K256" s="382">
        <f t="shared" ca="1" si="34"/>
        <v>0.13419936134989197</v>
      </c>
      <c r="L256" s="382">
        <f t="shared" ca="1" si="34"/>
        <v>4.4063467246147923E-2</v>
      </c>
      <c r="M256" s="382">
        <f t="shared" ca="1" si="35"/>
        <v>0.2125746456975206</v>
      </c>
      <c r="N256" s="382"/>
      <c r="O256" s="382"/>
      <c r="P256" s="382"/>
      <c r="Q256" s="588"/>
    </row>
    <row r="257" spans="1:17">
      <c r="A257" s="661" t="s">
        <v>828</v>
      </c>
      <c r="B257" s="347">
        <f ca="1">$B$6*$C$17*($C$22*Mat_Sum!$D29+$C$23*Mat_Sum!$I29+$C$24*Mat_Sum!$L29+$C$25*Mat_Sum!$AG29+$C$26*Mat_Sum!$AH29+$C$27*Mat_Sum!$AK29+$C$28*Mat_Sum!$AS29+$C$29*Mat_Sum!$AM29+$C$30*Mat_Sum!$AT29+$C$31*Mat_Sum!$AR29+$C$32*Mat_Sum!$AV29)</f>
        <v>53.494292057920042</v>
      </c>
      <c r="C257" s="349">
        <f ca="1">$B$6*$C$10*($C$35*Mat_Sum!$D29+$C$36*Mat_Sum!$E29+$C$37*Mat_Sum!$F29+$C$38*Mat_Sum!$I29+$C$39*Mat_Sum!$L29+$C$40*Mat_Sum!$AG29+$C$41*Mat_Sum!$AK29+$C$42*Mat_Sum!$AS29+$C$43*Mat_Sum!$AR29+$C$44*Mat_Sum!$AV29+$C$45*Mat_Sum!$AT29+$C$46*Mat_Sum!$BH29+$C$47*Mat_Sum!$BG29+$C$48*Mat_Sum!$BJ29+$C$49*Mat_Sum!$BI29+$C$50*Mat_Sum!$AW29)</f>
        <v>10.978161621781023</v>
      </c>
      <c r="D257" s="349">
        <f ca="1">$B$6*$C$11*($C$56*Mat_Sum!$D29+$C$57*Mat_Sum!$AG29+$C$58*Mat_Sum!$F29+$C$59*Mat_Sum!$AK29+$C$60*Mat_Sum!$I29+$C$61*Mat_Sum!$L29+$C$62*Mat_Sum!$AT29+$C$63*Mat_Sum!$AR29+$C$64*Mat_Sum!$AV29)</f>
        <v>3.4589374937976167</v>
      </c>
      <c r="E257" s="349">
        <f ca="1">$B$6*$C$12*($C$67*Mat_Sum!$D29+$C$68*Mat_Sum!$F29+$C$69*Mat_Sum!$I29+$C$70*Mat_Sum!$L29+$C$71*Mat_Sum!$AG29+$C$72*Mat_Sum!$AH29+$C$73*Mat_Sum!$AK29+$C$74*Mat_Sum!$AS29+$C$75*Mat_Sum!$AR29+$C$76*Mat_Sum!$AV29)+$A$136*(C$140*4)*($A$144*Mat_Sum!$AV29+$B$144*Mat_Sum!$D29)</f>
        <v>15.819721824261318</v>
      </c>
      <c r="F257" s="349"/>
      <c r="G257" s="349"/>
      <c r="H257" s="349"/>
      <c r="I257" s="348"/>
      <c r="J257" s="382">
        <f t="shared" ca="1" si="34"/>
        <v>0.63872932720727893</v>
      </c>
      <c r="K257" s="382">
        <f t="shared" ca="1" si="34"/>
        <v>0.13108078482580457</v>
      </c>
      <c r="L257" s="382">
        <f t="shared" ca="1" si="34"/>
        <v>4.1300197334573081E-2</v>
      </c>
      <c r="M257" s="382">
        <f t="shared" ca="1" si="35"/>
        <v>0.18888969063234337</v>
      </c>
      <c r="N257" s="382"/>
      <c r="O257" s="382"/>
      <c r="P257" s="382"/>
      <c r="Q257" s="588"/>
    </row>
    <row r="258" spans="1:17">
      <c r="A258" s="230" t="s">
        <v>829</v>
      </c>
      <c r="B258" s="347">
        <f ca="1">$B$6*$C$17*($C$22*Mat_Sum!$D30+$C$23*Mat_Sum!$I30+$C$24*Mat_Sum!$L30+$C$25*Mat_Sum!$AG30+$C$26*Mat_Sum!$AH30+$C$27*Mat_Sum!$AK30+$C$28*Mat_Sum!$AS30+$C$29*Mat_Sum!$AM30+$C$30*Mat_Sum!$AT30+$C$31*Mat_Sum!$AR30+$C$32*Mat_Sum!$AV30)</f>
        <v>10240.084265522759</v>
      </c>
      <c r="C258" s="349">
        <f ca="1">$B$6*$C$10*($C$35*Mat_Sum!$D30+$C$36*Mat_Sum!$E30+$C$37*Mat_Sum!$F30+$C$38*Mat_Sum!$I30+$C$39*Mat_Sum!$L30+$C$40*Mat_Sum!$AG30+$C$41*Mat_Sum!$AK30+$C$42*Mat_Sum!$AS30+$C$43*Mat_Sum!$AR30+$C$44*Mat_Sum!$AV30+$C$45*Mat_Sum!$AT30+$C$46*Mat_Sum!$BH30+$C$47*Mat_Sum!$BG30+$C$48*Mat_Sum!$BJ30+$C$49*Mat_Sum!$BI30+$C$50*Mat_Sum!$AW30)</f>
        <v>2150.8430067499326</v>
      </c>
      <c r="D258" s="349">
        <f ca="1">$B$6*$C$11*($C$56*Mat_Sum!$D30+$C$57*Mat_Sum!$AG30+$C$58*Mat_Sum!$F30+$C$59*Mat_Sum!$AK30+$C$60*Mat_Sum!$I30+$C$61*Mat_Sum!$L30+$C$62*Mat_Sum!$AT30+$C$63*Mat_Sum!$AR30+$C$64*Mat_Sum!$AV30)</f>
        <v>571.93964399846652</v>
      </c>
      <c r="E258" s="349">
        <f ca="1">$B$6*$C$12*($C$67*Mat_Sum!$D30+$C$68*Mat_Sum!$F30+$C$69*Mat_Sum!$I30+$C$70*Mat_Sum!$L30+$C$71*Mat_Sum!$AG30+$C$72*Mat_Sum!$AH30+$C$73*Mat_Sum!$AK30+$C$74*Mat_Sum!$AS30+$C$75*Mat_Sum!$AR30+$C$76*Mat_Sum!$AV30)+$A$136*(C$140*4)*($A$144*Mat_Sum!$AV30+$B$144*Mat_Sum!$D30)</f>
        <v>2410.3131539696096</v>
      </c>
      <c r="F258" s="349"/>
      <c r="G258" s="349"/>
      <c r="H258" s="349"/>
      <c r="I258" s="348"/>
      <c r="J258" s="382"/>
      <c r="K258" s="382"/>
      <c r="L258" s="382"/>
      <c r="M258" s="382"/>
      <c r="N258" s="382"/>
      <c r="O258" s="382"/>
      <c r="P258" s="382"/>
      <c r="Q258" s="588"/>
    </row>
    <row r="259" spans="1:17">
      <c r="A259" s="230" t="s">
        <v>830</v>
      </c>
      <c r="B259" s="347">
        <f ca="1">$B$6*$C$17*($C$22*Mat_Sum!$D31+$C$23*Mat_Sum!$I31+$C$24*Mat_Sum!$L31+$C$25*Mat_Sum!$AG31+$C$26*Mat_Sum!$AH31+$C$27*Mat_Sum!$AK31+$C$28*Mat_Sum!$AS31+$C$29*Mat_Sum!$AM31+$C$30*Mat_Sum!$AT31+$C$31*Mat_Sum!$AR31+$C$32*Mat_Sum!$AV31)</f>
        <v>91.252263705678004</v>
      </c>
      <c r="C259" s="349">
        <f ca="1">$B$6*$C$10*($C$35*Mat_Sum!$D31+$C$36*Mat_Sum!$E31+$C$37*Mat_Sum!$F31+$C$38*Mat_Sum!$I31+$C$39*Mat_Sum!$L31+$C$40*Mat_Sum!$AG31+$C$41*Mat_Sum!$AK31+$C$42*Mat_Sum!$AS31+$C$43*Mat_Sum!$AR31+$C$44*Mat_Sum!$AV31+$C$45*Mat_Sum!$AT31+$C$46*Mat_Sum!$BH31+$C$47*Mat_Sum!$BG31+$C$48*Mat_Sum!$BJ31+$C$49*Mat_Sum!$BI31+$C$50*Mat_Sum!$AW31)</f>
        <v>19.36497888894046</v>
      </c>
      <c r="D259" s="349">
        <f ca="1">$B$6*$C$11*($C$56*Mat_Sum!$D31+$C$57*Mat_Sum!$AG31+$C$58*Mat_Sum!$F31+$C$59*Mat_Sum!$AK31+$C$60*Mat_Sum!$I31+$C$61*Mat_Sum!$L31+$C$62*Mat_Sum!$AT31+$C$63*Mat_Sum!$AR31+$C$64*Mat_Sum!$AV31)</f>
        <v>5.614946904213018</v>
      </c>
      <c r="E259" s="349">
        <f ca="1">$B$6*$C$12*($C$67*Mat_Sum!$D31+$C$68*Mat_Sum!$F31+$C$69*Mat_Sum!$I31+$C$70*Mat_Sum!$L31+$C$71*Mat_Sum!$AG31+$C$72*Mat_Sum!$AH31+$C$73*Mat_Sum!$AK31+$C$74*Mat_Sum!$AS31+$C$75*Mat_Sum!$AR31+$C$76*Mat_Sum!$AV31)+$A$136*(C$140*4)*($A$144*Mat_Sum!$AV31+$B$144*Mat_Sum!$D31)</f>
        <v>22.463311156212448</v>
      </c>
      <c r="F259" s="349"/>
      <c r="G259" s="349"/>
      <c r="H259" s="349"/>
      <c r="I259" s="348"/>
      <c r="J259" s="382">
        <f t="shared" ref="J259:L262" ca="1" si="36">B259/$C190</f>
        <v>0.65793240065253278</v>
      </c>
      <c r="K259" s="382">
        <f t="shared" ca="1" si="36"/>
        <v>0.13962225737303477</v>
      </c>
      <c r="L259" s="382">
        <f t="shared" ca="1" si="36"/>
        <v>4.0483987423486897E-2</v>
      </c>
      <c r="M259" s="382">
        <f ca="1">E259/$C190</f>
        <v>0.16196135455094535</v>
      </c>
      <c r="N259" s="382"/>
      <c r="O259" s="382"/>
      <c r="P259" s="382"/>
      <c r="Q259" s="588"/>
    </row>
    <row r="260" spans="1:17">
      <c r="A260" s="230" t="s">
        <v>831</v>
      </c>
      <c r="B260" s="517">
        <f ca="1">$B$6*$C$17*($C$22*Mat_Sum!$D32+$C$23*Mat_Sum!$I32+$C$24*Mat_Sum!$L32+$C$25*Mat_Sum!$AG32+$C$26*Mat_Sum!$AH32+$C$27*Mat_Sum!$AK32+$C$28*Mat_Sum!$AS32+$C$29*Mat_Sum!$AM32+$C$30*Mat_Sum!$AT32+$C$31*Mat_Sum!$AR32+$C$32*Mat_Sum!$AV32)</f>
        <v>2988160.6265733391</v>
      </c>
      <c r="C260" s="419">
        <f ca="1">$B$6*$C$10*($C$35*Mat_Sum!$D32+$C$36*Mat_Sum!$E32+$C$37*Mat_Sum!$F32+$C$38*Mat_Sum!$I32+$C$39*Mat_Sum!$L32+$C$40*Mat_Sum!$AG32+$C$41*Mat_Sum!$AK32+$C$42*Mat_Sum!$AS32+$C$43*Mat_Sum!$AR32+$C$44*Mat_Sum!$AV32+$C$45*Mat_Sum!$AT32+$C$46*Mat_Sum!$BH32+$C$47*Mat_Sum!$BG32+$C$48*Mat_Sum!$BJ32+$C$49*Mat_Sum!$BI32+$C$50*Mat_Sum!$AW32)</f>
        <v>795390.80155695381</v>
      </c>
      <c r="D260" s="419">
        <f ca="1">$B$6*$C$11*($C$56*Mat_Sum!$D32+$C$57*Mat_Sum!$AG32+$C$58*Mat_Sum!$F32+$C$59*Mat_Sum!$AK32+$C$60*Mat_Sum!$I32+$C$61*Mat_Sum!$L32+$C$62*Mat_Sum!$AT32+$C$63*Mat_Sum!$AR32+$C$64*Mat_Sum!$AV32)</f>
        <v>268184.02448037785</v>
      </c>
      <c r="E260" s="419">
        <f ca="1">$B$6*$C$12*($C$67*Mat_Sum!$D32+$C$68*Mat_Sum!$F32+$C$69*Mat_Sum!$I32+$C$70*Mat_Sum!$L32+$C$71*Mat_Sum!$AG32+$C$72*Mat_Sum!$AH32+$C$73*Mat_Sum!$AK32+$C$74*Mat_Sum!$AS32+$C$75*Mat_Sum!$AR32+$C$76*Mat_Sum!$AV32)+$A$136*(C$140*4)*($A$144*Mat_Sum!$AV32+$B$144*Mat_Sum!$D32)</f>
        <v>1038140.1960999198</v>
      </c>
      <c r="F260" s="419"/>
      <c r="G260" s="419"/>
      <c r="H260" s="419"/>
      <c r="I260" s="516"/>
      <c r="J260" s="382">
        <f t="shared" ca="1" si="36"/>
        <v>0.58707929875071208</v>
      </c>
      <c r="K260" s="382">
        <f t="shared" ca="1" si="36"/>
        <v>0.15626920114609258</v>
      </c>
      <c r="L260" s="382">
        <f t="shared" ca="1" si="36"/>
        <v>5.2689700690097693E-2</v>
      </c>
      <c r="M260" s="382">
        <f ca="1">E260/$C191</f>
        <v>0.20396179941309767</v>
      </c>
      <c r="N260" s="382"/>
      <c r="O260" s="382"/>
      <c r="P260" s="382"/>
      <c r="Q260" s="588"/>
    </row>
    <row r="261" spans="1:17">
      <c r="A261" s="230" t="s">
        <v>850</v>
      </c>
      <c r="B261" s="517">
        <f ca="1">$B$6*$C$17*($C$22*Mat_Sum!$D33+$C$23*Mat_Sum!$I33+$C$24*Mat_Sum!$L33+$C$25*Mat_Sum!$AG33+$C$26*Mat_Sum!$AH33+$C$27*Mat_Sum!$AK33+$C$28*Mat_Sum!$AS33+$C$29*Mat_Sum!$AM33+$C$30*Mat_Sum!$AT33+$C$31*Mat_Sum!$AR33+$C$32*Mat_Sum!$AV33)</f>
        <v>2996906.1893812846</v>
      </c>
      <c r="C261" s="419">
        <f ca="1">$B$6*$C$10*($C$35*Mat_Sum!$D33+$C$36*Mat_Sum!$E33+$C$37*Mat_Sum!$F33+$C$38*Mat_Sum!$I33+$C$39*Mat_Sum!$L33+$C$40*Mat_Sum!$AG33+$C$41*Mat_Sum!$AK33+$C$42*Mat_Sum!$AS33+$C$43*Mat_Sum!$AR33+$C$44*Mat_Sum!$AV33+$C$45*Mat_Sum!$AT33+$C$46*Mat_Sum!$BH33+$C$47*Mat_Sum!$BG33+$C$48*Mat_Sum!$BJ33+$C$49*Mat_Sum!$BI33+$C$50*Mat_Sum!$AW33)</f>
        <v>803499.16122571123</v>
      </c>
      <c r="D261" s="419">
        <f ca="1">$B$6*$C$11*($C$56*Mat_Sum!$D33+$C$57*Mat_Sum!$AG33+$C$58*Mat_Sum!$F33+$C$59*Mat_Sum!$AK33+$C$60*Mat_Sum!$I33+$C$61*Mat_Sum!$L33+$C$62*Mat_Sum!$AT33+$C$63*Mat_Sum!$AR33+$C$64*Mat_Sum!$AV33)</f>
        <v>269365.03964251082</v>
      </c>
      <c r="E261" s="419">
        <f ca="1">$B$6*$C$12*($C$67*Mat_Sum!$D33+$C$68*Mat_Sum!$F33+$C$69*Mat_Sum!$I33+$C$70*Mat_Sum!$L33+$C$71*Mat_Sum!$AG33+$C$72*Mat_Sum!$AH33+$C$73*Mat_Sum!$AK33+$C$74*Mat_Sum!$AS33+$C$75*Mat_Sum!$AR33+$C$76*Mat_Sum!$AV33)+$A$136*(C$140*4)*($A$144*Mat_Sum!$AV33+$B$144*Mat_Sum!$D33)</f>
        <v>1046148.2495882493</v>
      </c>
      <c r="F261" s="419"/>
      <c r="G261" s="419"/>
      <c r="H261" s="419"/>
      <c r="I261" s="516"/>
      <c r="J261" s="382">
        <f t="shared" ca="1" si="36"/>
        <v>0.58580020527385235</v>
      </c>
      <c r="K261" s="382">
        <f t="shared" ca="1" si="36"/>
        <v>0.15705862774455559</v>
      </c>
      <c r="L261" s="382">
        <f t="shared" ca="1" si="36"/>
        <v>5.2652330618583362E-2</v>
      </c>
      <c r="M261" s="382">
        <f ca="1">E261/$C192</f>
        <v>0.20448883636300877</v>
      </c>
      <c r="N261" s="382"/>
      <c r="O261" s="382"/>
      <c r="P261" s="382"/>
      <c r="Q261" s="588"/>
    </row>
    <row r="262" spans="1:17">
      <c r="A262" s="230" t="s">
        <v>851</v>
      </c>
      <c r="B262" s="517">
        <f ca="1">$B$6*$C$17*($C$22*Mat_Sum!$D34+$C$23*Mat_Sum!$I34+$C$24*Mat_Sum!$L34+$C$25*Mat_Sum!$AG34+$C$26*Mat_Sum!$AH34+$C$27*Mat_Sum!$AK34+$C$28*Mat_Sum!$AS34+$C$29*Mat_Sum!$AM34+$C$30*Mat_Sum!$AT34+$C$31*Mat_Sum!$AR34+$C$32*Mat_Sum!$AV34)</f>
        <v>3448463.9358845539</v>
      </c>
      <c r="C262" s="419">
        <f ca="1">$B$6*$C$10*($C$35*Mat_Sum!$D34+$C$36*Mat_Sum!$E34+$C$37*Mat_Sum!$F34+$C$38*Mat_Sum!$I34+$C$39*Mat_Sum!$L34+$C$40*Mat_Sum!$AG34+$C$41*Mat_Sum!$AK34+$C$42*Mat_Sum!$AS34+$C$43*Mat_Sum!$AR34+$C$44*Mat_Sum!$AV34+$C$45*Mat_Sum!$AT34+$C$46*Mat_Sum!$BH34+$C$47*Mat_Sum!$BG34+$C$48*Mat_Sum!$BJ34+$C$49*Mat_Sum!$BI34+$C$50*Mat_Sum!$AW34)</f>
        <v>885822.7298827325</v>
      </c>
      <c r="D262" s="419">
        <f ca="1">$B$6*$C$11*($C$56*Mat_Sum!$D34+$C$57*Mat_Sum!$AG34+$C$58*Mat_Sum!$F34+$C$59*Mat_Sum!$AK34+$C$60*Mat_Sum!$I34+$C$61*Mat_Sum!$L34+$C$62*Mat_Sum!$AT34+$C$63*Mat_Sum!$AR34+$C$64*Mat_Sum!$AV34)</f>
        <v>303836.29536704812</v>
      </c>
      <c r="E262" s="419">
        <f ca="1">$B$6*$C$12*($C$67*Mat_Sum!$D34+$C$68*Mat_Sum!$F34+$C$69*Mat_Sum!$I34+$C$70*Mat_Sum!$L34+$C$71*Mat_Sum!$AG34+$C$72*Mat_Sum!$AH34+$C$73*Mat_Sum!$AK34+$C$74*Mat_Sum!$AS34+$C$75*Mat_Sum!$AR34+$C$76*Mat_Sum!$AV34)+$A$136*(C$140*4)*($A$144*Mat_Sum!$AV34+$B$144*Mat_Sum!$D34)</f>
        <v>1140844.2703276984</v>
      </c>
      <c r="F262" s="419"/>
      <c r="G262" s="419"/>
      <c r="H262" s="419"/>
      <c r="I262" s="516"/>
      <c r="J262" s="382">
        <f t="shared" ca="1" si="36"/>
        <v>0.59672668104264692</v>
      </c>
      <c r="K262" s="382">
        <f t="shared" ca="1" si="36"/>
        <v>0.15328391638217095</v>
      </c>
      <c r="L262" s="382">
        <f t="shared" ca="1" si="36"/>
        <v>5.2576227411862284E-2</v>
      </c>
      <c r="M262" s="382">
        <f ca="1">E262/$C193</f>
        <v>0.19741317516331955</v>
      </c>
      <c r="N262" s="382"/>
      <c r="O262" s="382"/>
      <c r="P262" s="382"/>
      <c r="Q262" s="588"/>
    </row>
    <row r="263" spans="1:17">
      <c r="A263" s="571" t="s">
        <v>973</v>
      </c>
      <c r="B263" s="347"/>
      <c r="C263" s="349"/>
      <c r="D263" s="349"/>
      <c r="E263" s="349"/>
      <c r="F263" s="349"/>
      <c r="G263" s="349"/>
      <c r="H263" s="349"/>
      <c r="I263" s="348"/>
      <c r="J263" s="382"/>
      <c r="K263" s="382"/>
      <c r="L263" s="382"/>
      <c r="M263" s="382"/>
      <c r="N263" s="382"/>
      <c r="O263" s="382"/>
      <c r="P263" s="382"/>
      <c r="Q263" s="588"/>
    </row>
    <row r="264" spans="1:17">
      <c r="A264" s="230" t="s">
        <v>821</v>
      </c>
      <c r="B264" s="347">
        <f ca="1">$B$6*$C$17*($C$22*Mat_Sum!$D36+$C$23*Mat_Sum!$I36+$C$24*Mat_Sum!$L36+$C$25*Mat_Sum!$AG36+$C$26*Mat_Sum!$AH36+$C$27*Mat_Sum!$AK36+$C$28*Mat_Sum!$AS36+$C$29*Mat_Sum!$AM36+$C$30*Mat_Sum!$AT36+$C$31*Mat_Sum!$AR36+$C$32*Mat_Sum!$AV36)</f>
        <v>73.245761608218061</v>
      </c>
      <c r="C264" s="349">
        <f ca="1">$B$6*$C$10*($C$35*Mat_Sum!$D36+$C$36*Mat_Sum!$E36+$C$37*Mat_Sum!$F36+$C$38*Mat_Sum!$I36+$C$39*Mat_Sum!$L36+$C$40*Mat_Sum!$AG36+$C$41*Mat_Sum!$AK36+$C$42*Mat_Sum!$AS36+$C$43*Mat_Sum!$AR36+$C$44*Mat_Sum!$AV36+$C$45*Mat_Sum!$AT36+$C$46*Mat_Sum!$BH36+$C$47*Mat_Sum!$BG36+$C$48*Mat_Sum!$BJ36+$C$49*Mat_Sum!$BI36+$C$50*Mat_Sum!$AW36)</f>
        <v>7.974723352844352</v>
      </c>
      <c r="D264" s="349">
        <f ca="1">$B$6*$C$11*($C$56*Mat_Sum!$D36+$C$57*Mat_Sum!$AG36+$C$58*Mat_Sum!$F36+$C$59*Mat_Sum!$AK36+$C$60*Mat_Sum!$I36+$C$61*Mat_Sum!$L36+$C$62*Mat_Sum!$AT36+$C$63*Mat_Sum!$AR36+$C$64*Mat_Sum!$AV36)</f>
        <v>2.4470301287509164</v>
      </c>
      <c r="E264" s="349">
        <f ca="1">$B$6*$C$12*($C$67*Mat_Sum!$D36+$C$68*Mat_Sum!$F36+$C$69*Mat_Sum!$I36+$C$70*Mat_Sum!$L36+$C$71*Mat_Sum!$AG36+$C$72*Mat_Sum!$AH36+$C$73*Mat_Sum!$AK36+$C$74*Mat_Sum!$AS36+$C$75*Mat_Sum!$AR36+$C$76*Mat_Sum!$AV36)+$A$136*(C$140*4)*($A$144*Mat_Sum!$AV36+$B$144*Mat_Sum!$D36)</f>
        <v>10.242817340128045</v>
      </c>
      <c r="F264" s="349"/>
      <c r="G264" s="349"/>
      <c r="H264" s="349"/>
      <c r="I264" s="348"/>
      <c r="J264" s="382">
        <f t="shared" ref="J264:L271" ca="1" si="37">B264/$C195</f>
        <v>0.77995423626958815</v>
      </c>
      <c r="K264" s="382">
        <f t="shared" ca="1" si="37"/>
        <v>8.4918487098250076E-2</v>
      </c>
      <c r="L264" s="382">
        <f t="shared" ca="1" si="37"/>
        <v>2.6057091540767789E-2</v>
      </c>
      <c r="M264" s="382">
        <f t="shared" ref="M264:M271" ca="1" si="38">E264/$C195</f>
        <v>0.10907018509139399</v>
      </c>
      <c r="N264" s="382"/>
      <c r="O264" s="382"/>
      <c r="P264" s="382"/>
      <c r="Q264" s="588"/>
    </row>
    <row r="265" spans="1:17">
      <c r="A265" s="230" t="s">
        <v>822</v>
      </c>
      <c r="B265" s="347">
        <f ca="1">$B$6*$C$17*($C$22*Mat_Sum!$D37+$C$23*Mat_Sum!$I37+$C$24*Mat_Sum!$L37+$C$25*Mat_Sum!$AG37+$C$26*Mat_Sum!$AH37+$C$27*Mat_Sum!$AK37+$C$28*Mat_Sum!$AS37+$C$29*Mat_Sum!$AM37+$C$30*Mat_Sum!$AT37+$C$31*Mat_Sum!$AR37+$C$32*Mat_Sum!$AV37)</f>
        <v>167.65959580171389</v>
      </c>
      <c r="C265" s="349">
        <f ca="1">$B$6*$C$10*($C$35*Mat_Sum!$D37+$C$36*Mat_Sum!$E37+$C$37*Mat_Sum!$F37+$C$38*Mat_Sum!$I37+$C$39*Mat_Sum!$L37+$C$40*Mat_Sum!$AG37+$C$41*Mat_Sum!$AK37+$C$42*Mat_Sum!$AS37+$C$43*Mat_Sum!$AR37+$C$44*Mat_Sum!$AV37+$C$45*Mat_Sum!$AT37+$C$46*Mat_Sum!$BH37+$C$47*Mat_Sum!$BG37+$C$48*Mat_Sum!$BJ37+$C$49*Mat_Sum!$BI37+$C$50*Mat_Sum!$AW37)</f>
        <v>26.885315670904685</v>
      </c>
      <c r="D265" s="349">
        <f ca="1">$B$6*$C$11*($C$56*Mat_Sum!$D37+$C$57*Mat_Sum!$AG37+$C$58*Mat_Sum!$F37+$C$59*Mat_Sum!$AK37+$C$60*Mat_Sum!$I37+$C$61*Mat_Sum!$L37+$C$62*Mat_Sum!$AT37+$C$63*Mat_Sum!$AR37+$C$64*Mat_Sum!$AV37)</f>
        <v>9.3210474273206341</v>
      </c>
      <c r="E265" s="349">
        <f ca="1">$B$6*$C$12*($C$67*Mat_Sum!$D37+$C$68*Mat_Sum!$F37+$C$69*Mat_Sum!$I37+$C$70*Mat_Sum!$L37+$C$71*Mat_Sum!$AG37+$C$72*Mat_Sum!$AH37+$C$73*Mat_Sum!$AK37+$C$74*Mat_Sum!$AS37+$C$75*Mat_Sum!$AR37+$C$76*Mat_Sum!$AV37)+$A$136*(C$140*4)*($A$144*Mat_Sum!$AV37+$B$144*Mat_Sum!$D37)</f>
        <v>32.336952898606391</v>
      </c>
      <c r="F265" s="349"/>
      <c r="G265" s="349"/>
      <c r="H265" s="349"/>
      <c r="I265" s="348"/>
      <c r="J265" s="382">
        <f t="shared" ca="1" si="37"/>
        <v>0.70981172300157158</v>
      </c>
      <c r="K265" s="382">
        <f t="shared" ca="1" si="37"/>
        <v>0.11382296461203165</v>
      </c>
      <c r="L265" s="382">
        <f t="shared" ca="1" si="37"/>
        <v>3.9462034385378091E-2</v>
      </c>
      <c r="M265" s="382">
        <f t="shared" ca="1" si="38"/>
        <v>0.13690327800101873</v>
      </c>
      <c r="N265" s="382"/>
      <c r="O265" s="382"/>
      <c r="P265" s="382"/>
      <c r="Q265" s="588"/>
    </row>
    <row r="266" spans="1:17">
      <c r="A266" s="230" t="s">
        <v>823</v>
      </c>
      <c r="B266" s="347">
        <f ca="1">$B$6*$C$17*($C$22*Mat_Sum!$D38+$C$23*Mat_Sum!$I38+$C$24*Mat_Sum!$L38+$C$25*Mat_Sum!$AG38+$C$26*Mat_Sum!$AH38+$C$27*Mat_Sum!$AK38+$C$28*Mat_Sum!$AS38+$C$29*Mat_Sum!$AM38+$C$30*Mat_Sum!$AT38+$C$31*Mat_Sum!$AR38+$C$32*Mat_Sum!$AV38)</f>
        <v>321.33893678346533</v>
      </c>
      <c r="C266" s="349">
        <f ca="1">$B$6*$C$10*($C$35*Mat_Sum!$D38+$C$36*Mat_Sum!$E38+$C$37*Mat_Sum!$F38+$C$38*Mat_Sum!$I38+$C$39*Mat_Sum!$L38+$C$40*Mat_Sum!$AG38+$C$41*Mat_Sum!$AK38+$C$42*Mat_Sum!$AS38+$C$43*Mat_Sum!$AR38+$C$44*Mat_Sum!$AV38+$C$45*Mat_Sum!$AT38+$C$46*Mat_Sum!$BH38+$C$47*Mat_Sum!$BG38+$C$48*Mat_Sum!$BJ38+$C$49*Mat_Sum!$BI38+$C$50*Mat_Sum!$AW38)</f>
        <v>53.873404242323026</v>
      </c>
      <c r="D266" s="349">
        <f ca="1">$B$6*$C$11*($C$56*Mat_Sum!$D38+$C$57*Mat_Sum!$AG38+$C$58*Mat_Sum!$F38+$C$59*Mat_Sum!$AK38+$C$60*Mat_Sum!$I38+$C$61*Mat_Sum!$L38+$C$62*Mat_Sum!$AT38+$C$63*Mat_Sum!$AR38+$C$64*Mat_Sum!$AV38)</f>
        <v>23.643360313623987</v>
      </c>
      <c r="E266" s="349">
        <f ca="1">$B$6*$C$12*($C$67*Mat_Sum!$D38+$C$68*Mat_Sum!$F38+$C$69*Mat_Sum!$I38+$C$70*Mat_Sum!$L38+$C$71*Mat_Sum!$AG38+$C$72*Mat_Sum!$AH38+$C$73*Mat_Sum!$AK38+$C$74*Mat_Sum!$AS38+$C$75*Mat_Sum!$AR38+$C$76*Mat_Sum!$AV38)+$A$136*(C$140*4)*($A$144*Mat_Sum!$AV38+$B$144*Mat_Sum!$D38)</f>
        <v>66.251750114853877</v>
      </c>
      <c r="F266" s="349"/>
      <c r="G266" s="349"/>
      <c r="H266" s="349"/>
      <c r="I266" s="348"/>
      <c r="J266" s="382">
        <f t="shared" ca="1" si="37"/>
        <v>0.69089182677835992</v>
      </c>
      <c r="K266" s="382">
        <f t="shared" ca="1" si="37"/>
        <v>0.11583001750213923</v>
      </c>
      <c r="L266" s="382">
        <f t="shared" ca="1" si="37"/>
        <v>5.0834189475351434E-2</v>
      </c>
      <c r="M266" s="382">
        <f t="shared" ca="1" si="38"/>
        <v>0.14244396624414946</v>
      </c>
      <c r="N266" s="382"/>
      <c r="O266" s="382"/>
      <c r="P266" s="382"/>
      <c r="Q266" s="588"/>
    </row>
    <row r="267" spans="1:17">
      <c r="A267" s="230" t="s">
        <v>824</v>
      </c>
      <c r="B267" s="347">
        <f ca="1">$B$6*$C$17*($C$22*Mat_Sum!$D39+$C$23*Mat_Sum!$I39+$C$24*Mat_Sum!$L39+$C$25*Mat_Sum!$AG39+$C$26*Mat_Sum!$AH39+$C$27*Mat_Sum!$AK39+$C$28*Mat_Sum!$AS39+$C$29*Mat_Sum!$AM39+$C$30*Mat_Sum!$AT39+$C$31*Mat_Sum!$AR39+$C$32*Mat_Sum!$AV39)</f>
        <v>36.557649063427881</v>
      </c>
      <c r="C267" s="349">
        <f ca="1">$B$6*$C$10*($C$35*Mat_Sum!$D39+$C$36*Mat_Sum!$E39+$C$37*Mat_Sum!$F39+$C$38*Mat_Sum!$I39+$C$39*Mat_Sum!$L39+$C$40*Mat_Sum!$AG39+$C$41*Mat_Sum!$AK39+$C$42*Mat_Sum!$AS39+$C$43*Mat_Sum!$AR39+$C$44*Mat_Sum!$AV39+$C$45*Mat_Sum!$AT39+$C$46*Mat_Sum!$BH39+$C$47*Mat_Sum!$BG39+$C$48*Mat_Sum!$BJ39+$C$49*Mat_Sum!$BI39+$C$50*Mat_Sum!$AW39)</f>
        <v>5.6765337972872949</v>
      </c>
      <c r="D267" s="349">
        <f ca="1">$B$6*$C$11*($C$56*Mat_Sum!$D39+$C$57*Mat_Sum!$AG39+$C$58*Mat_Sum!$F39+$C$59*Mat_Sum!$AK39+$C$60*Mat_Sum!$I39+$C$61*Mat_Sum!$L39+$C$62*Mat_Sum!$AT39+$C$63*Mat_Sum!$AR39+$C$64*Mat_Sum!$AV39)</f>
        <v>2.6491231054893056</v>
      </c>
      <c r="E267" s="349">
        <f ca="1">$B$6*$C$12*($C$67*Mat_Sum!$D39+$C$68*Mat_Sum!$F39+$C$69*Mat_Sum!$I39+$C$70*Mat_Sum!$L39+$C$71*Mat_Sum!$AG39+$C$72*Mat_Sum!$AH39+$C$73*Mat_Sum!$AK39+$C$74*Mat_Sum!$AS39+$C$75*Mat_Sum!$AR39+$C$76*Mat_Sum!$AV39)+$A$136*(C$140*4)*($A$144*Mat_Sum!$AV39+$B$144*Mat_Sum!$D39)</f>
        <v>6.5913406470883809</v>
      </c>
      <c r="F267" s="349"/>
      <c r="G267" s="349"/>
      <c r="H267" s="349"/>
      <c r="I267" s="348"/>
      <c r="J267" s="382">
        <f t="shared" ca="1" si="37"/>
        <v>0.71020689735026177</v>
      </c>
      <c r="K267" s="382">
        <f t="shared" ca="1" si="37"/>
        <v>0.11027824707438363</v>
      </c>
      <c r="L267" s="382">
        <f t="shared" ca="1" si="37"/>
        <v>5.1464619570699366E-2</v>
      </c>
      <c r="M267" s="382">
        <f t="shared" ca="1" si="38"/>
        <v>0.12805023600465529</v>
      </c>
      <c r="N267" s="382"/>
      <c r="O267" s="382"/>
      <c r="P267" s="382"/>
      <c r="Q267" s="588"/>
    </row>
    <row r="268" spans="1:17">
      <c r="A268" s="230" t="s">
        <v>825</v>
      </c>
      <c r="B268" s="347">
        <f ca="1">$B$6*$C$17*($C$22*Mat_Sum!$D40+$C$23*Mat_Sum!$I40+$C$24*Mat_Sum!$L40+$C$25*Mat_Sum!$AG40+$C$26*Mat_Sum!$AH40+$C$27*Mat_Sum!$AK40+$C$28*Mat_Sum!$AS40+$C$29*Mat_Sum!$AM40+$C$30*Mat_Sum!$AT40+$C$31*Mat_Sum!$AR40+$C$32*Mat_Sum!$AV40)</f>
        <v>31.935171934862591</v>
      </c>
      <c r="C268" s="349">
        <f ca="1">$B$6*$C$10*($C$35*Mat_Sum!$D40+$C$36*Mat_Sum!$E40+$C$37*Mat_Sum!$F40+$C$38*Mat_Sum!$I40+$C$39*Mat_Sum!$L40+$C$40*Mat_Sum!$AG40+$C$41*Mat_Sum!$AK40+$C$42*Mat_Sum!$AS40+$C$43*Mat_Sum!$AR40+$C$44*Mat_Sum!$AV40+$C$45*Mat_Sum!$AT40+$C$46*Mat_Sum!$BH40+$C$47*Mat_Sum!$BG40+$C$48*Mat_Sum!$BJ40+$C$49*Mat_Sum!$BI40+$C$50*Mat_Sum!$AW40)</f>
        <v>4.8874236651325571</v>
      </c>
      <c r="D268" s="349">
        <f ca="1">$B$6*$C$11*($C$56*Mat_Sum!$D40+$C$57*Mat_Sum!$AG40+$C$58*Mat_Sum!$F40+$C$59*Mat_Sum!$AK40+$C$60*Mat_Sum!$I40+$C$61*Mat_Sum!$L40+$C$62*Mat_Sum!$AT40+$C$63*Mat_Sum!$AR40+$C$64*Mat_Sum!$AV40)</f>
        <v>2.2449243946569761</v>
      </c>
      <c r="E268" s="349">
        <f ca="1">$B$6*$C$12*($C$67*Mat_Sum!$D40+$C$68*Mat_Sum!$F40+$C$69*Mat_Sum!$I40+$C$70*Mat_Sum!$L40+$C$71*Mat_Sum!$AG40+$C$72*Mat_Sum!$AH40+$C$73*Mat_Sum!$AK40+$C$74*Mat_Sum!$AS40+$C$75*Mat_Sum!$AR40+$C$76*Mat_Sum!$AV40)+$A$136*(C$140*4)*($A$144*Mat_Sum!$AV40+$B$144*Mat_Sum!$D40)</f>
        <v>5.7063002841113191</v>
      </c>
      <c r="F268" s="349"/>
      <c r="G268" s="349"/>
      <c r="H268" s="349"/>
      <c r="I268" s="348"/>
      <c r="J268" s="382">
        <f t="shared" ca="1" si="37"/>
        <v>0.71325546348363933</v>
      </c>
      <c r="K268" s="382">
        <f t="shared" ca="1" si="37"/>
        <v>0.10915806680563057</v>
      </c>
      <c r="L268" s="382">
        <f t="shared" ca="1" si="37"/>
        <v>5.0139219317895917E-2</v>
      </c>
      <c r="M268" s="382">
        <f t="shared" ca="1" si="38"/>
        <v>0.12744725039283414</v>
      </c>
      <c r="N268" s="382"/>
      <c r="O268" s="382"/>
      <c r="P268" s="382"/>
      <c r="Q268" s="588"/>
    </row>
    <row r="269" spans="1:17">
      <c r="A269" s="230" t="s">
        <v>826</v>
      </c>
      <c r="B269" s="347">
        <f ca="1">$B$6*$C$17*($C$22*Mat_Sum!$D41+$C$23*Mat_Sum!$I41+$C$24*Mat_Sum!$L41+$C$25*Mat_Sum!$AG41+$C$26*Mat_Sum!$AH41+$C$27*Mat_Sum!$AK41+$C$28*Mat_Sum!$AS41+$C$29*Mat_Sum!$AM41+$C$30*Mat_Sum!$AT41+$C$31*Mat_Sum!$AR41+$C$32*Mat_Sum!$AV41)</f>
        <v>259.2312417403312</v>
      </c>
      <c r="C269" s="349">
        <f ca="1">$B$6*$C$10*($C$35*Mat_Sum!$D41+$C$36*Mat_Sum!$E41+$C$37*Mat_Sum!$F41+$C$38*Mat_Sum!$I41+$C$39*Mat_Sum!$L41+$C$40*Mat_Sum!$AG41+$C$41*Mat_Sum!$AK41+$C$42*Mat_Sum!$AS41+$C$43*Mat_Sum!$AR41+$C$44*Mat_Sum!$AV41+$C$45*Mat_Sum!$AT41+$C$46*Mat_Sum!$BH41+$C$47*Mat_Sum!$BG41+$C$48*Mat_Sum!$BJ41+$C$49*Mat_Sum!$BI41+$C$50*Mat_Sum!$AW41)</f>
        <v>51.886414367776858</v>
      </c>
      <c r="D269" s="349">
        <f ca="1">$B$6*$C$11*($C$56*Mat_Sum!$D41+$C$57*Mat_Sum!$AG41+$C$58*Mat_Sum!$F41+$C$59*Mat_Sum!$AK41+$C$60*Mat_Sum!$I41+$C$61*Mat_Sum!$L41+$C$62*Mat_Sum!$AT41+$C$63*Mat_Sum!$AR41+$C$64*Mat_Sum!$AV41)</f>
        <v>24.776360866498813</v>
      </c>
      <c r="E269" s="349">
        <f ca="1">$B$6*$C$12*($C$67*Mat_Sum!$D41+$C$68*Mat_Sum!$F41+$C$69*Mat_Sum!$I41+$C$70*Mat_Sum!$L41+$C$71*Mat_Sum!$AG41+$C$72*Mat_Sum!$AH41+$C$73*Mat_Sum!$AK41+$C$74*Mat_Sum!$AS41+$C$75*Mat_Sum!$AR41+$C$76*Mat_Sum!$AV41)+$A$136*(C$140*4)*($A$144*Mat_Sum!$AV41+$B$144*Mat_Sum!$D41)</f>
        <v>51.481422602487299</v>
      </c>
      <c r="F269" s="349"/>
      <c r="G269" s="349"/>
      <c r="H269" s="349"/>
      <c r="I269" s="348"/>
      <c r="J269" s="382">
        <f t="shared" ca="1" si="37"/>
        <v>0.66919896115081356</v>
      </c>
      <c r="K269" s="382">
        <f t="shared" ca="1" si="37"/>
        <v>0.13394347980455945</v>
      </c>
      <c r="L269" s="382">
        <f t="shared" ca="1" si="37"/>
        <v>6.3959555343900173E-2</v>
      </c>
      <c r="M269" s="382">
        <f t="shared" ca="1" si="38"/>
        <v>0.13289800370072671</v>
      </c>
      <c r="N269" s="382"/>
      <c r="O269" s="382"/>
      <c r="P269" s="382"/>
      <c r="Q269" s="588"/>
    </row>
    <row r="270" spans="1:17">
      <c r="A270" s="230" t="s">
        <v>827</v>
      </c>
      <c r="B270" s="347">
        <f ca="1">$B$6*$C$17*($C$22*Mat_Sum!$D42+$C$23*Mat_Sum!$I42+$C$24*Mat_Sum!$L42+$C$25*Mat_Sum!$AG42+$C$26*Mat_Sum!$AH42+$C$27*Mat_Sum!$AK42+$C$28*Mat_Sum!$AS42+$C$29*Mat_Sum!$AM42+$C$30*Mat_Sum!$AT42+$C$31*Mat_Sum!$AR42+$C$32*Mat_Sum!$AV42)</f>
        <v>1.9345231532967802</v>
      </c>
      <c r="C270" s="349">
        <f ca="1">$B$6*$C$10*($C$35*Mat_Sum!$D42+$C$36*Mat_Sum!$E42+$C$37*Mat_Sum!$F42+$C$38*Mat_Sum!$I42+$C$39*Mat_Sum!$L42+$C$40*Mat_Sum!$AG42+$C$41*Mat_Sum!$AK42+$C$42*Mat_Sum!$AS42+$C$43*Mat_Sum!$AR42+$C$44*Mat_Sum!$AV42+$C$45*Mat_Sum!$AT42+$C$46*Mat_Sum!$BH42+$C$47*Mat_Sum!$BG42+$C$48*Mat_Sum!$BJ42+$C$49*Mat_Sum!$BI42+$C$50*Mat_Sum!$AW42)</f>
        <v>0.27459747598099105</v>
      </c>
      <c r="D270" s="349">
        <f ca="1">$B$6*$C$11*($C$56*Mat_Sum!$D42+$C$57*Mat_Sum!$AG42+$C$58*Mat_Sum!$F42+$C$59*Mat_Sum!$AK42+$C$60*Mat_Sum!$I42+$C$61*Mat_Sum!$L42+$C$62*Mat_Sum!$AT42+$C$63*Mat_Sum!$AR42+$C$64*Mat_Sum!$AV42)</f>
        <v>0.11942212839443477</v>
      </c>
      <c r="E270" s="349">
        <f ca="1">$B$6*$C$12*($C$67*Mat_Sum!$D42+$C$68*Mat_Sum!$F42+$C$69*Mat_Sum!$I42+$C$70*Mat_Sum!$L42+$C$71*Mat_Sum!$AG42+$C$72*Mat_Sum!$AH42+$C$73*Mat_Sum!$AK42+$C$74*Mat_Sum!$AS42+$C$75*Mat_Sum!$AR42+$C$76*Mat_Sum!$AV42)+$A$136*(C$140*4)*($A$144*Mat_Sum!$AV42+$B$144*Mat_Sum!$D42)</f>
        <v>0.34318634858649288</v>
      </c>
      <c r="F270" s="349"/>
      <c r="G270" s="349"/>
      <c r="H270" s="349"/>
      <c r="I270" s="348"/>
      <c r="J270" s="382">
        <f t="shared" ca="1" si="37"/>
        <v>0.72407159422152267</v>
      </c>
      <c r="K270" s="382">
        <f t="shared" ca="1" si="37"/>
        <v>0.10277893643398524</v>
      </c>
      <c r="L270" s="382">
        <f t="shared" ca="1" si="37"/>
        <v>4.4698441962053963E-2</v>
      </c>
      <c r="M270" s="382">
        <f t="shared" ca="1" si="38"/>
        <v>0.12845102738243805</v>
      </c>
      <c r="N270" s="382"/>
      <c r="O270" s="382"/>
      <c r="P270" s="382"/>
      <c r="Q270" s="588"/>
    </row>
    <row r="271" spans="1:17">
      <c r="A271" s="589" t="s">
        <v>828</v>
      </c>
      <c r="B271" s="503">
        <f ca="1">$B$6*$C$17*($C$22*Mat_Sum!$D43+$C$23*Mat_Sum!$I43+$C$24*Mat_Sum!$L43+$C$25*Mat_Sum!$AG43+$C$26*Mat_Sum!$AH43+$C$27*Mat_Sum!$AK43+$C$28*Mat_Sum!$AS43+$C$29*Mat_Sum!$AM43+$C$30*Mat_Sum!$AT43+$C$31*Mat_Sum!$AR43+$C$32*Mat_Sum!$AV43)</f>
        <v>7.703144108365322</v>
      </c>
      <c r="C271" s="505">
        <f ca="1">$B$6*$C$10*($C$35*Mat_Sum!$D43+$C$36*Mat_Sum!$E43+$C$37*Mat_Sum!$F43+$C$38*Mat_Sum!$I43+$C$39*Mat_Sum!$L43+$C$40*Mat_Sum!$AG43+$C$41*Mat_Sum!$AK43+$C$42*Mat_Sum!$AS43+$C$43*Mat_Sum!$AR43+$C$44*Mat_Sum!$AV43+$C$45*Mat_Sum!$AT43+$C$46*Mat_Sum!$BH43+$C$47*Mat_Sum!$BG43+$C$48*Mat_Sum!$BJ43+$C$49*Mat_Sum!$BI43+$C$50*Mat_Sum!$AW43)</f>
        <v>1.128182293368698</v>
      </c>
      <c r="D271" s="505">
        <f ca="1">$B$6*$C$11*($C$56*Mat_Sum!$D43+$C$57*Mat_Sum!$AG43+$C$58*Mat_Sum!$F43+$C$59*Mat_Sum!$AK43+$C$60*Mat_Sum!$I43+$C$61*Mat_Sum!$L43+$C$62*Mat_Sum!$AT43+$C$63*Mat_Sum!$AR43+$C$64*Mat_Sum!$AV43)</f>
        <v>0.37099328996652636</v>
      </c>
      <c r="E271" s="505">
        <f ca="1">$B$6*$C$12*($C$67*Mat_Sum!$D43+$C$68*Mat_Sum!$F43+$C$69*Mat_Sum!$I43+$C$70*Mat_Sum!$L43+$C$71*Mat_Sum!$AG43+$C$72*Mat_Sum!$AH43+$C$73*Mat_Sum!$AK43+$C$74*Mat_Sum!$AS43+$C$75*Mat_Sum!$AR43+$C$76*Mat_Sum!$AV43)+$A$136*(C$140*4)*($A$144*Mat_Sum!$AV43+$B$144*Mat_Sum!$D43)</f>
        <v>1.2706895473776341</v>
      </c>
      <c r="F271" s="505"/>
      <c r="G271" s="505"/>
      <c r="H271" s="505"/>
      <c r="I271" s="502"/>
      <c r="J271" s="368">
        <f t="shared" ca="1" si="37"/>
        <v>0.73552347109772442</v>
      </c>
      <c r="K271" s="368">
        <f t="shared" ca="1" si="37"/>
        <v>0.10772283950243118</v>
      </c>
      <c r="L271" s="368">
        <f t="shared" ca="1" si="37"/>
        <v>3.5423752762695035E-2</v>
      </c>
      <c r="M271" s="368">
        <f t="shared" ca="1" si="38"/>
        <v>0.12132993663714921</v>
      </c>
      <c r="N271" s="368"/>
      <c r="O271" s="368"/>
      <c r="P271" s="368"/>
      <c r="Q271" s="428"/>
    </row>
    <row r="273" spans="1:17">
      <c r="A273" s="111" t="s">
        <v>1879</v>
      </c>
    </row>
    <row r="274" spans="1:17">
      <c r="A274" s="238"/>
      <c r="B274" s="3007" t="s">
        <v>1875</v>
      </c>
      <c r="C274" s="3005"/>
      <c r="D274" s="3005"/>
      <c r="E274" s="3005"/>
      <c r="F274" s="3005"/>
      <c r="G274" s="3005"/>
      <c r="H274" s="3005"/>
      <c r="I274" s="3006"/>
      <c r="J274" s="3005" t="s">
        <v>1876</v>
      </c>
      <c r="K274" s="3005"/>
      <c r="L274" s="3005"/>
      <c r="M274" s="3005"/>
      <c r="N274" s="3005"/>
      <c r="O274" s="3005"/>
      <c r="P274" s="3005"/>
      <c r="Q274" s="3006"/>
    </row>
    <row r="275" spans="1:17" ht="51">
      <c r="A275" s="230"/>
      <c r="B275" s="923" t="s">
        <v>250</v>
      </c>
      <c r="C275" s="924" t="s">
        <v>182</v>
      </c>
      <c r="D275" s="924" t="s">
        <v>183</v>
      </c>
      <c r="E275" s="924" t="s">
        <v>184</v>
      </c>
      <c r="F275" s="924" t="s">
        <v>185</v>
      </c>
      <c r="G275" s="924" t="s">
        <v>186</v>
      </c>
      <c r="H275" s="670" t="s">
        <v>187</v>
      </c>
      <c r="I275" s="953" t="s">
        <v>1860</v>
      </c>
      <c r="J275" s="923" t="s">
        <v>250</v>
      </c>
      <c r="K275" s="924" t="s">
        <v>182</v>
      </c>
      <c r="L275" s="924" t="s">
        <v>183</v>
      </c>
      <c r="M275" s="924" t="s">
        <v>184</v>
      </c>
      <c r="N275" s="924" t="s">
        <v>185</v>
      </c>
      <c r="O275" s="924" t="s">
        <v>186</v>
      </c>
      <c r="P275" s="670" t="s">
        <v>187</v>
      </c>
      <c r="Q275" s="953" t="s">
        <v>1860</v>
      </c>
    </row>
    <row r="276" spans="1:17">
      <c r="A276" s="571" t="s">
        <v>1877</v>
      </c>
      <c r="B276" s="895"/>
      <c r="C276" s="446"/>
      <c r="D276" s="446"/>
      <c r="E276" s="446"/>
      <c r="I276" s="395"/>
      <c r="J276" s="446"/>
      <c r="K276" s="446"/>
      <c r="L276" s="446"/>
      <c r="M276" s="446"/>
      <c r="Q276" s="395"/>
    </row>
    <row r="277" spans="1:17">
      <c r="A277" s="230" t="s">
        <v>816</v>
      </c>
      <c r="B277" s="347">
        <f ca="1">$C$6*$D$17*($D$22*Mat_Sum!$D15+$D$23*Mat_Sum!$I15+$D$24*Mat_Sum!$L15+$D$25*Mat_Sum!$AG15+$D$26*Mat_Sum!$AH15+$D$27*Mat_Sum!$AK15+$D$28*Mat_Sum!$AS15+$D$29*Mat_Sum!$AM15+$D$30*Mat_Sum!$AT15+$D$31*Mat_Sum!$AR15+$D$32*Mat_Sum!$AV15)</f>
        <v>26.650461555195943</v>
      </c>
      <c r="C277" s="349">
        <f ca="1">$C$6*$D$10*($D$35*Mat_Sum!$D15+$D$36*Mat_Sum!$E15+$D$37*Mat_Sum!$F15+$D$38*Mat_Sum!$I15+$D$39*Mat_Sum!$L15+$D$40*Mat_Sum!$AG15+$D$41*Mat_Sum!$AK15+$D$42*Mat_Sum!$AS15+$D$43*Mat_Sum!$AR15+$D$44*Mat_Sum!$AV15+$D$45*Mat_Sum!$AT15+$D$46*Mat_Sum!$BH15+$D$47*Mat_Sum!$BG15+$D$48*Mat_Sum!$BJ15+$D$49*Mat_Sum!$BI15+$D$50*Mat_Sum!$AW15)</f>
        <v>11.380392861785584</v>
      </c>
      <c r="D277" s="349">
        <f ca="1">$C$6*$D$11*($D$56*Mat_Sum!$D15+$D$57*Mat_Sum!$AG15+$D$58*Mat_Sum!$F15+$D$59*Mat_Sum!$AK15+$D$60*Mat_Sum!$I15+$D$61*Mat_Sum!$L15+$D$62*Mat_Sum!$AT15+$D$63*Mat_Sum!$AR15+$D$64*Mat_Sum!$AV15)</f>
        <v>3.3198524134349601</v>
      </c>
      <c r="E277" s="349">
        <f ca="1">$C$6*$D$12*($D$67*Mat_Sum!$D15+$D$68*Mat_Sum!$F15+$D$69*Mat_Sum!$I15+$D$70*Mat_Sum!$L15+$D$71*Mat_Sum!$AG15+$D$72*Mat_Sum!$AH15+$D$73*Mat_Sum!$AK15+$D$74*Mat_Sum!$AS15+$D$75*Mat_Sum!$AR15+$D$76*Mat_Sum!$AV15)+$A$136*(D$140*4)*($A$144*Mat_Sum!$AV15+$B$144*Mat_Sum!$D15)</f>
        <v>15.526853793245955</v>
      </c>
      <c r="F277" s="349">
        <f ca="1">$C$6*$D$13*($D$79*Mat_Sum!$D15+$D$80*Mat_Sum!$E15+$D$81*Mat_Sum!$L15+$D$82*Mat_Sum!$AG15)</f>
        <v>1.1271337746861492</v>
      </c>
      <c r="G277" s="349">
        <f ca="1">$C$6*$D$14*($D$85*Mat_Sum!$D15+$D$86*Mat_Sum!$L15+$D$87*Mat_Sum!$AG15)</f>
        <v>1.1271337746861492</v>
      </c>
      <c r="H277" s="349">
        <f ca="1">$C$6*$D$15*($D$90*Mat_Sum!$D15+$D$91*Mat_Sum!$L15+$D$92*Mat_Sum!$AG15+$D$93*Mat_Sum!$AV15+$D$94*Mat_Sum!$AR15)</f>
        <v>1.1980506210407638</v>
      </c>
      <c r="I277" s="348"/>
      <c r="J277" s="382">
        <f t="shared" ref="J277:P282" ca="1" si="39">B277/$D174</f>
        <v>0.4417456505451004</v>
      </c>
      <c r="K277" s="382">
        <f t="shared" ca="1" si="39"/>
        <v>0.18863609689371955</v>
      </c>
      <c r="L277" s="382">
        <f t="shared" ca="1" si="39"/>
        <v>5.502832891089738E-2</v>
      </c>
      <c r="M277" s="382">
        <f t="shared" ref="M277:M282" ca="1" si="40">E277/$D174</f>
        <v>0.25736590398671111</v>
      </c>
      <c r="N277" s="382">
        <f t="shared" ca="1" si="39"/>
        <v>1.8682845005099456E-2</v>
      </c>
      <c r="O277" s="382">
        <f t="shared" ca="1" si="39"/>
        <v>1.8682845005099456E-2</v>
      </c>
      <c r="P277" s="382">
        <f t="shared" ca="1" si="39"/>
        <v>1.9858329653372586E-2</v>
      </c>
      <c r="Q277" s="588"/>
    </row>
    <row r="278" spans="1:17">
      <c r="A278" s="230" t="s">
        <v>817</v>
      </c>
      <c r="B278" s="347">
        <f ca="1">$C$6*$D$17*($D$22*Mat_Sum!$D16+$D$23*Mat_Sum!$I16+$D$24*Mat_Sum!$L16+$D$25*Mat_Sum!$AG16+$D$26*Mat_Sum!$AH16+$D$27*Mat_Sum!$AK16+$D$28*Mat_Sum!$AS16+$D$29*Mat_Sum!$AM16+$D$30*Mat_Sum!$AT16+$D$31*Mat_Sum!$AR16+$D$32*Mat_Sum!$AV16)</f>
        <v>24.611948202779566</v>
      </c>
      <c r="C278" s="349">
        <f ca="1">$C$6*$D$10*($D$35*Mat_Sum!$D16+$D$36*Mat_Sum!$E16+$D$37*Mat_Sum!$F16+$D$38*Mat_Sum!$I16+$D$39*Mat_Sum!$L16+$D$40*Mat_Sum!$AG16+$D$41*Mat_Sum!$AK16+$D$42*Mat_Sum!$AS16+$D$43*Mat_Sum!$AR16+$D$44*Mat_Sum!$AV16+$D$45*Mat_Sum!$AT16+$D$46*Mat_Sum!$BH16+$D$47*Mat_Sum!$BG16+$D$48*Mat_Sum!$BJ16+$D$49*Mat_Sum!$BI16+$D$50*Mat_Sum!$AW16)</f>
        <v>10.420823866968117</v>
      </c>
      <c r="D278" s="349">
        <f ca="1">$C$6*$D$11*($D$56*Mat_Sum!$D16+$D$57*Mat_Sum!$AG16+$D$58*Mat_Sum!$F16+$D$59*Mat_Sum!$AK16+$D$60*Mat_Sum!$I16+$D$61*Mat_Sum!$L16+$D$62*Mat_Sum!$AT16+$D$63*Mat_Sum!$AR16+$D$64*Mat_Sum!$AV16)</f>
        <v>2.5784628845130126</v>
      </c>
      <c r="E278" s="349">
        <f ca="1">$C$6*$D$12*($D$67*Mat_Sum!$D16+$D$68*Mat_Sum!$F16+$D$69*Mat_Sum!$I16+$D$70*Mat_Sum!$L16+$D$71*Mat_Sum!$AG16+$D$72*Mat_Sum!$AH16+$D$73*Mat_Sum!$AK16+$D$74*Mat_Sum!$AS16+$D$75*Mat_Sum!$AR16+$D$76*Mat_Sum!$AV16)+$A$136*(D$140*4)*($A$144*Mat_Sum!$AV16+$B$144*Mat_Sum!$D16)</f>
        <v>14.076284729572983</v>
      </c>
      <c r="F278" s="349">
        <f ca="1">$C$6*$D$13*($D$79*Mat_Sum!$D16+$D$80*Mat_Sum!$E16+$D$81*Mat_Sum!$L16+$D$82*Mat_Sum!$AG16)</f>
        <v>0.93498951702525557</v>
      </c>
      <c r="G278" s="349">
        <f ca="1">$C$6*$D$14*($D$85*Mat_Sum!$D16+$D$86*Mat_Sum!$L16+$D$87*Mat_Sum!$AG16)</f>
        <v>0.93498951702525557</v>
      </c>
      <c r="H278" s="349">
        <f ca="1">$C$6*$D$15*($D$90*Mat_Sum!$D16+$D$91*Mat_Sum!$L16+$D$92*Mat_Sum!$AG16+$D$93*Mat_Sum!$AV16+$D$94*Mat_Sum!$AR16)</f>
        <v>1.0301044003648239</v>
      </c>
      <c r="I278" s="348"/>
      <c r="J278" s="382">
        <f t="shared" ca="1" si="39"/>
        <v>0.45087065188527436</v>
      </c>
      <c r="K278" s="382">
        <f t="shared" ca="1" si="39"/>
        <v>0.19090092386716948</v>
      </c>
      <c r="L278" s="382">
        <f t="shared" ca="1" si="39"/>
        <v>4.7235319692045884E-2</v>
      </c>
      <c r="M278" s="382">
        <f t="shared" ca="1" si="40"/>
        <v>0.25786596086808555</v>
      </c>
      <c r="N278" s="382">
        <f t="shared" ca="1" si="39"/>
        <v>1.7128239080214939E-2</v>
      </c>
      <c r="O278" s="382">
        <f t="shared" ca="1" si="39"/>
        <v>1.7128239080214939E-2</v>
      </c>
      <c r="P278" s="382">
        <f t="shared" ca="1" si="39"/>
        <v>1.8870665526994956E-2</v>
      </c>
      <c r="Q278" s="588"/>
    </row>
    <row r="279" spans="1:17">
      <c r="A279" s="230" t="s">
        <v>805</v>
      </c>
      <c r="B279" s="347">
        <f ca="1">$C$6*$D$17*($D$22*Mat_Sum!$D17+$D$23*Mat_Sum!$I17+$D$24*Mat_Sum!$L17+$D$25*Mat_Sum!$AG17+$D$26*Mat_Sum!$AH17+$D$27*Mat_Sum!$AK17+$D$28*Mat_Sum!$AS17+$D$29*Mat_Sum!$AM17+$D$30*Mat_Sum!$AT17+$D$31*Mat_Sum!$AR17+$D$32*Mat_Sum!$AV17)</f>
        <v>8.423659304500001</v>
      </c>
      <c r="C279" s="349">
        <f ca="1">$C$6*$D$10*($D$35*Mat_Sum!$D17+$D$36*Mat_Sum!$E17+$D$37*Mat_Sum!$F17+$D$38*Mat_Sum!$I17+$D$39*Mat_Sum!$L17+$D$40*Mat_Sum!$AG17+$D$41*Mat_Sum!$AK17+$D$42*Mat_Sum!$AS17+$D$43*Mat_Sum!$AR17+$D$44*Mat_Sum!$AV17+$D$45*Mat_Sum!$AT17+$D$46*Mat_Sum!$BH17+$D$47*Mat_Sum!$BG17+$D$48*Mat_Sum!$BJ17+$D$49*Mat_Sum!$BI17+$D$50*Mat_Sum!$AW17)</f>
        <v>4.7672577176705948</v>
      </c>
      <c r="D279" s="349">
        <f ca="1">$C$6*$D$11*($D$56*Mat_Sum!$D17+$D$57*Mat_Sum!$AG17+$D$58*Mat_Sum!$F17+$D$59*Mat_Sum!$AK17+$D$60*Mat_Sum!$I17+$D$61*Mat_Sum!$L17+$D$62*Mat_Sum!$AT17+$D$63*Mat_Sum!$AR17+$D$64*Mat_Sum!$AV17)</f>
        <v>1.2443933718494098</v>
      </c>
      <c r="E279" s="349">
        <f ca="1">$C$6*$D$12*($D$67*Mat_Sum!$D17+$D$68*Mat_Sum!$F17+$D$69*Mat_Sum!$I17+$D$70*Mat_Sum!$L17+$D$71*Mat_Sum!$AG17+$D$72*Mat_Sum!$AH17+$D$73*Mat_Sum!$AK17+$D$74*Mat_Sum!$AS17+$D$75*Mat_Sum!$AR17+$D$76*Mat_Sum!$AV17)+$A$136*(D$140*4)*($A$144*Mat_Sum!$AV17+$B$144*Mat_Sum!$D17)</f>
        <v>4.9350332598827968</v>
      </c>
      <c r="F279" s="349">
        <f ca="1">$C$6*$D$13*($D$79*Mat_Sum!$D17+$D$80*Mat_Sum!$E17+$D$81*Mat_Sum!$L17+$D$82*Mat_Sum!$AG17)</f>
        <v>0.35727433584451185</v>
      </c>
      <c r="G279" s="349">
        <f ca="1">$C$6*$D$14*($D$85*Mat_Sum!$D17+$D$86*Mat_Sum!$L17+$D$87*Mat_Sum!$AG17)</f>
        <v>0.35727433584451185</v>
      </c>
      <c r="H279" s="349">
        <f ca="1">$C$6*$D$15*($D$90*Mat_Sum!$D17+$D$91*Mat_Sum!$L17+$D$92*Mat_Sum!$AG17+$D$93*Mat_Sum!$AV17+$D$94*Mat_Sum!$AR17)</f>
        <v>0.15724737718266882</v>
      </c>
      <c r="I279" s="348"/>
      <c r="J279" s="382">
        <f t="shared" ca="1" si="39"/>
        <v>0.41614470743650717</v>
      </c>
      <c r="K279" s="382">
        <f t="shared" ca="1" si="39"/>
        <v>0.23551155103514909</v>
      </c>
      <c r="L279" s="382">
        <f t="shared" ca="1" si="39"/>
        <v>6.1475386995715982E-2</v>
      </c>
      <c r="M279" s="382">
        <f t="shared" ca="1" si="40"/>
        <v>0.24379998025635469</v>
      </c>
      <c r="N279" s="382">
        <f t="shared" ca="1" si="39"/>
        <v>1.7650028163551396E-2</v>
      </c>
      <c r="O279" s="382">
        <f t="shared" ca="1" si="39"/>
        <v>1.7650028163551396E-2</v>
      </c>
      <c r="P279" s="382">
        <f t="shared" ca="1" si="39"/>
        <v>7.7683179491699486E-3</v>
      </c>
      <c r="Q279" s="588"/>
    </row>
    <row r="280" spans="1:17">
      <c r="A280" s="230" t="s">
        <v>804</v>
      </c>
      <c r="B280" s="347">
        <f ca="1">$C$6*$D$17*($D$22*Mat_Sum!$D18+$D$23*Mat_Sum!$I18+$D$24*Mat_Sum!$L18+$D$25*Mat_Sum!$AG18+$D$26*Mat_Sum!$AH18+$D$27*Mat_Sum!$AK18+$D$28*Mat_Sum!$AS18+$D$29*Mat_Sum!$AM18+$D$30*Mat_Sum!$AT18+$D$31*Mat_Sum!$AR18+$D$32*Mat_Sum!$AV18)</f>
        <v>12.197502617945434</v>
      </c>
      <c r="C280" s="349">
        <f ca="1">$C$6*$D$10*($D$35*Mat_Sum!$D18+$D$36*Mat_Sum!$E18+$D$37*Mat_Sum!$F18+$D$38*Mat_Sum!$I18+$D$39*Mat_Sum!$L18+$D$40*Mat_Sum!$AG18+$D$41*Mat_Sum!$AK18+$D$42*Mat_Sum!$AS18+$D$43*Mat_Sum!$AR18+$D$44*Mat_Sum!$AV18+$D$45*Mat_Sum!$AT18+$D$46*Mat_Sum!$BH18+$D$47*Mat_Sum!$BG18+$D$48*Mat_Sum!$BJ18+$D$49*Mat_Sum!$BI18+$D$50*Mat_Sum!$AW18)</f>
        <v>4.5285290076383191</v>
      </c>
      <c r="D280" s="349">
        <f ca="1">$C$6*$D$11*($D$56*Mat_Sum!$D18+$D$57*Mat_Sum!$AG18+$D$58*Mat_Sum!$F18+$D$59*Mat_Sum!$AK18+$D$60*Mat_Sum!$I18+$D$61*Mat_Sum!$L18+$D$62*Mat_Sum!$AT18+$D$63*Mat_Sum!$AR18+$D$64*Mat_Sum!$AV18)</f>
        <v>1.0733948791087227</v>
      </c>
      <c r="E280" s="349">
        <f ca="1">$C$6*$D$12*($D$67*Mat_Sum!$D18+$D$68*Mat_Sum!$F18+$D$69*Mat_Sum!$I18+$D$70*Mat_Sum!$L18+$D$71*Mat_Sum!$AG18+$D$72*Mat_Sum!$AH18+$D$73*Mat_Sum!$AK18+$D$74*Mat_Sum!$AS18+$D$75*Mat_Sum!$AR18+$D$76*Mat_Sum!$AV18)+$A$136*(D$140*4)*($A$144*Mat_Sum!$AV18+$B$144*Mat_Sum!$D18)</f>
        <v>6.750897502765925</v>
      </c>
      <c r="F280" s="349">
        <f ca="1">F278-F279-F281</f>
        <v>0.49277998396687539</v>
      </c>
      <c r="G280" s="349">
        <f ca="1">G278-G279-G281</f>
        <v>0.49277998396687539</v>
      </c>
      <c r="H280" s="349">
        <f ca="1">H278-H279-H281</f>
        <v>0.65059735865158086</v>
      </c>
      <c r="I280" s="348"/>
      <c r="J280" s="382">
        <f t="shared" ca="1" si="39"/>
        <v>0.46579387518123988</v>
      </c>
      <c r="K280" s="382">
        <f t="shared" ca="1" si="39"/>
        <v>0.17293384895323854</v>
      </c>
      <c r="L280" s="382">
        <f t="shared" ca="1" si="39"/>
        <v>4.0990420416402253E-2</v>
      </c>
      <c r="M280" s="382">
        <f t="shared" ca="1" si="40"/>
        <v>0.2578008636077968</v>
      </c>
      <c r="N280" s="382">
        <f t="shared" ca="1" si="39"/>
        <v>1.8818106093781942E-2</v>
      </c>
      <c r="O280" s="382">
        <f t="shared" ca="1" si="39"/>
        <v>1.8818106093781942E-2</v>
      </c>
      <c r="P280" s="382">
        <f t="shared" ca="1" si="39"/>
        <v>2.484477965375867E-2</v>
      </c>
      <c r="Q280" s="588"/>
    </row>
    <row r="281" spans="1:17">
      <c r="A281" s="230" t="s">
        <v>818</v>
      </c>
      <c r="B281" s="347">
        <f ca="1">$C$6*$D$17*($D$22*Mat_Sum!$D19+$D$23*Mat_Sum!$I19+$D$24*Mat_Sum!$L19+$D$25*Mat_Sum!$AG19+$D$26*Mat_Sum!$AH19+$D$27*Mat_Sum!$AK19+$D$28*Mat_Sum!$AS19+$D$29*Mat_Sum!$AM19+$D$30*Mat_Sum!$AT19+$D$31*Mat_Sum!$AR19+$D$32*Mat_Sum!$AV19)</f>
        <v>3.9907862803341292</v>
      </c>
      <c r="C281" s="349">
        <f ca="1">$C$6*$D$10*($D$35*Mat_Sum!$D19+$D$36*Mat_Sum!$E19+$D$37*Mat_Sum!$F19+$D$38*Mat_Sum!$I19+$D$39*Mat_Sum!$L19+$D$40*Mat_Sum!$AG19+$D$41*Mat_Sum!$AK19+$D$42*Mat_Sum!$AS19+$D$43*Mat_Sum!$AR19+$D$44*Mat_Sum!$AV19+$D$45*Mat_Sum!$AT19+$D$46*Mat_Sum!$BH19+$D$47*Mat_Sum!$BG19+$D$48*Mat_Sum!$BJ19+$D$49*Mat_Sum!$BI19+$D$50*Mat_Sum!$AW19)</f>
        <v>1.1250371416592015</v>
      </c>
      <c r="D281" s="349">
        <f ca="1">$C$6*$D$11*($D$56*Mat_Sum!$D19+$D$57*Mat_Sum!$AG19+$D$58*Mat_Sum!$F19+$D$59*Mat_Sum!$AK19+$D$60*Mat_Sum!$I19+$D$61*Mat_Sum!$L19+$D$62*Mat_Sum!$AT19+$D$63*Mat_Sum!$AR19+$D$64*Mat_Sum!$AV19)</f>
        <v>0.26067463355488046</v>
      </c>
      <c r="E281" s="349">
        <f ca="1">$C$6*$D$12*($D$67*Mat_Sum!$D19+$D$68*Mat_Sum!$F19+$D$69*Mat_Sum!$I19+$D$70*Mat_Sum!$L19+$D$71*Mat_Sum!$AG19+$D$72*Mat_Sum!$AH19+$D$73*Mat_Sum!$AK19+$D$74*Mat_Sum!$AS19+$D$75*Mat_Sum!$AR19+$D$76*Mat_Sum!$AV19)+$A$136*(D$140*4)*($A$144*Mat_Sum!$AV19+$B$144*Mat_Sum!$D19)</f>
        <v>2.3903539669242599</v>
      </c>
      <c r="F281" s="349">
        <f ca="1">$C$6*$D$13*($D$79*Mat_Sum!$D19+$D$80*Mat_Sum!$E19+$D$81*Mat_Sum!$L19+$D$82*Mat_Sum!$AG19)</f>
        <v>8.4935197213868316E-2</v>
      </c>
      <c r="G281" s="349">
        <f ca="1">$C$6*$D$14*($D$85*Mat_Sum!$D19+$D$86*Mat_Sum!$L19+$D$87*Mat_Sum!$AG19)</f>
        <v>8.4935197213868316E-2</v>
      </c>
      <c r="H281" s="349">
        <f ca="1">$C$6*$D$15*($D$90*Mat_Sum!$D19+$D$91*Mat_Sum!$L19+$D$92*Mat_Sum!$AG19+$D$93*Mat_Sum!$AV19+$D$94*Mat_Sum!$AR19)</f>
        <v>0.22225966453057425</v>
      </c>
      <c r="I281" s="348"/>
      <c r="J281" s="382">
        <f t="shared" ca="1" si="39"/>
        <v>0.4891279623492315</v>
      </c>
      <c r="K281" s="382">
        <f t="shared" ca="1" si="39"/>
        <v>0.13788939973525621</v>
      </c>
      <c r="L281" s="382">
        <f t="shared" ca="1" si="39"/>
        <v>3.1949406305004154E-2</v>
      </c>
      <c r="M281" s="382">
        <f t="shared" ca="1" si="40"/>
        <v>0.29297208194200142</v>
      </c>
      <c r="N281" s="382">
        <f t="shared" ca="1" si="39"/>
        <v>1.0410023746365902E-2</v>
      </c>
      <c r="O281" s="382">
        <f t="shared" ca="1" si="39"/>
        <v>1.0410023746365902E-2</v>
      </c>
      <c r="P281" s="382">
        <f t="shared" ca="1" si="39"/>
        <v>2.724110217577512E-2</v>
      </c>
      <c r="Q281" s="588"/>
    </row>
    <row r="282" spans="1:17">
      <c r="A282" s="230" t="s">
        <v>819</v>
      </c>
      <c r="B282" s="517">
        <f ca="1">$C$6*$D$17*($D$22*Mat_Sum!$D20+$D$23*Mat_Sum!$I20+$D$24*Mat_Sum!$L20+$D$25*Mat_Sum!$AG20+$D$26*Mat_Sum!$AH20+$D$27*Mat_Sum!$AK20+$D$28*Mat_Sum!$AS20+$D$29*Mat_Sum!$AM20+$D$30*Mat_Sum!$AT20+$D$31*Mat_Sum!$AR20+$D$32*Mat_Sum!$AV20)</f>
        <v>982.03250387265439</v>
      </c>
      <c r="C282" s="419">
        <f ca="1">$C$6*$D$10*($D$35*Mat_Sum!$D20+$D$36*Mat_Sum!$E20+$D$37*Mat_Sum!$F20+$D$38*Mat_Sum!$I20+$D$39*Mat_Sum!$L20+$D$40*Mat_Sum!$AG20+$D$41*Mat_Sum!$AK20+$D$42*Mat_Sum!$AS20+$D$43*Mat_Sum!$AR20+$D$44*Mat_Sum!$AV20+$D$45*Mat_Sum!$AT20+$D$46*Mat_Sum!$BH20+$D$47*Mat_Sum!$BG20+$D$48*Mat_Sum!$BJ20+$D$49*Mat_Sum!$BI20+$D$50*Mat_Sum!$AW20)</f>
        <v>482.38501959554918</v>
      </c>
      <c r="D282" s="419">
        <f ca="1">$C$6*$D$11*($D$56*Mat_Sum!$D20+$D$57*Mat_Sum!$AG20+$D$58*Mat_Sum!$F20+$D$59*Mat_Sum!$AK20+$D$60*Mat_Sum!$I20+$D$61*Mat_Sum!$L20+$D$62*Mat_Sum!$AT20+$D$63*Mat_Sum!$AR20+$D$64*Mat_Sum!$AV20)</f>
        <v>409.28890190237252</v>
      </c>
      <c r="E282" s="419">
        <f ca="1">$C$6*$D$12*($D$67*Mat_Sum!$D20+$D$68*Mat_Sum!$F20+$D$69*Mat_Sum!$I20+$D$70*Mat_Sum!$L20+$D$71*Mat_Sum!$AG20+$D$72*Mat_Sum!$AH20+$D$73*Mat_Sum!$AK20+$D$74*Mat_Sum!$AS20+$D$75*Mat_Sum!$AR20+$D$76*Mat_Sum!$AV20)+$A$136*(D$140*4)*($A$144*Mat_Sum!$AV20+$B$144*Mat_Sum!$D20)</f>
        <v>747.48686545084593</v>
      </c>
      <c r="F282" s="419">
        <f ca="1">$C$6*$D$13*($D$79*Mat_Sum!$D20+$D$80*Mat_Sum!$E20+$D$81*Mat_Sum!$L20+$D$82*Mat_Sum!$AG20)</f>
        <v>96.598342448268383</v>
      </c>
      <c r="G282" s="419">
        <f ca="1">$C$6*$D$14*($D$85*Mat_Sum!$D20+$D$86*Mat_Sum!$L20+$D$87*Mat_Sum!$AG20)</f>
        <v>96.598342448268383</v>
      </c>
      <c r="H282" s="419">
        <f ca="1">$C$6*$D$15*($D$90*Mat_Sum!$D20+$D$91*Mat_Sum!$L20+$D$92*Mat_Sum!$AG20+$D$93*Mat_Sum!$AV20+$D$94*Mat_Sum!$AR20)</f>
        <v>96.403196118420922</v>
      </c>
      <c r="I282" s="516"/>
      <c r="J282" s="382">
        <f t="shared" ca="1" si="39"/>
        <v>0.3373762565387301</v>
      </c>
      <c r="K282" s="382">
        <f t="shared" ca="1" si="39"/>
        <v>0.165722877277199</v>
      </c>
      <c r="L282" s="382">
        <f t="shared" ca="1" si="39"/>
        <v>0.1406107812339541</v>
      </c>
      <c r="M282" s="382">
        <f t="shared" ca="1" si="40"/>
        <v>0.25679834372404642</v>
      </c>
      <c r="N282" s="382">
        <f t="shared" ca="1" si="39"/>
        <v>3.3186261182317468E-2</v>
      </c>
      <c r="O282" s="382">
        <f t="shared" ca="1" si="39"/>
        <v>3.3186261182317468E-2</v>
      </c>
      <c r="P282" s="382">
        <f t="shared" ca="1" si="39"/>
        <v>3.3119218861435443E-2</v>
      </c>
      <c r="Q282" s="588"/>
    </row>
    <row r="283" spans="1:17">
      <c r="A283" s="571" t="s">
        <v>964</v>
      </c>
      <c r="B283" s="347"/>
      <c r="C283" s="349"/>
      <c r="D283" s="349"/>
      <c r="E283" s="349"/>
      <c r="F283" s="349"/>
      <c r="G283" s="349"/>
      <c r="H283" s="349"/>
      <c r="I283" s="348"/>
      <c r="J283" s="382"/>
      <c r="K283" s="382"/>
      <c r="L283" s="382"/>
      <c r="M283" s="382"/>
      <c r="N283" s="382"/>
      <c r="O283" s="382"/>
      <c r="P283" s="382"/>
      <c r="Q283" s="588"/>
    </row>
    <row r="284" spans="1:17">
      <c r="A284" s="230" t="s">
        <v>821</v>
      </c>
      <c r="B284" s="347">
        <f ca="1">$C$6*$D$17*($D$22*Mat_Sum!$D22+$D$23*Mat_Sum!$I22+$D$24*Mat_Sum!$L22+$D$25*Mat_Sum!$AG22+$D$26*Mat_Sum!$AH22+$D$27*Mat_Sum!$AK22+$D$28*Mat_Sum!$AS22+$D$29*Mat_Sum!$AM22+$D$30*Mat_Sum!$AT22+$D$31*Mat_Sum!$AR22+$D$32*Mat_Sum!$AV22)</f>
        <v>1334.707651830232</v>
      </c>
      <c r="C284" s="349">
        <f ca="1">$C$6*$D$10*($D$35*Mat_Sum!$D22+$D$36*Mat_Sum!$E22+$D$37*Mat_Sum!$F22+$D$38*Mat_Sum!$I22+$D$39*Mat_Sum!$L22+$D$40*Mat_Sum!$AG22+$D$41*Mat_Sum!$AK22+$D$42*Mat_Sum!$AS22+$D$43*Mat_Sum!$AR22+$D$44*Mat_Sum!$AV22+$D$45*Mat_Sum!$AT22+$D$46*Mat_Sum!$BH22+$D$47*Mat_Sum!$BG22+$D$48*Mat_Sum!$BJ22+$D$49*Mat_Sum!$BI22+$D$50*Mat_Sum!$AW22)</f>
        <v>637.20975630195687</v>
      </c>
      <c r="D284" s="349">
        <f ca="1">$C$6*$D$11*($D$56*Mat_Sum!$D22+$D$57*Mat_Sum!$AG22+$D$58*Mat_Sum!$F22+$D$59*Mat_Sum!$AK22+$D$60*Mat_Sum!$I22+$D$61*Mat_Sum!$L22+$D$62*Mat_Sum!$AT22+$D$63*Mat_Sum!$AR22+$D$64*Mat_Sum!$AV22)</f>
        <v>130.96529888838037</v>
      </c>
      <c r="E284" s="349">
        <f ca="1">$C$6*$D$12*($D$67*Mat_Sum!$D22+$D$68*Mat_Sum!$F22+$D$69*Mat_Sum!$I22+$D$70*Mat_Sum!$L22+$D$71*Mat_Sum!$AG22+$D$72*Mat_Sum!$AH22+$D$73*Mat_Sum!$AK22+$D$74*Mat_Sum!$AS22+$D$75*Mat_Sum!$AR22+$D$76*Mat_Sum!$AV22)+$A$136*(D$140*4)*($A$144*Mat_Sum!$AV22+$B$144*Mat_Sum!$D22)</f>
        <v>1292.5595918375247</v>
      </c>
      <c r="F284" s="349">
        <f ca="1">$C$6*$D$13*($D$79*Mat_Sum!$D22+$D$80*Mat_Sum!$E22+$D$81*Mat_Sum!$L22+$D$82*Mat_Sum!$AG22)</f>
        <v>35.717475280006781</v>
      </c>
      <c r="G284" s="349">
        <f ca="1">$C$6*$D$14*($D$85*Mat_Sum!$D22+$D$86*Mat_Sum!$L22+$D$87*Mat_Sum!$AG22)</f>
        <v>35.717475280006781</v>
      </c>
      <c r="H284" s="349">
        <f ca="1">$C$6*$D$15*($D$90*Mat_Sum!$D22+$D$91*Mat_Sum!$L22+$D$92*Mat_Sum!$AG22+$D$93*Mat_Sum!$AV22+$D$94*Mat_Sum!$AR22)</f>
        <v>22.029672105584837</v>
      </c>
      <c r="I284" s="348"/>
      <c r="J284" s="382">
        <f t="shared" ref="J284:J296" ca="1" si="41">B284/$D181</f>
        <v>0.3825575407575883</v>
      </c>
      <c r="K284" s="382">
        <f t="shared" ref="K284:K296" ca="1" si="42">C284/$D181</f>
        <v>0.18263879508246425</v>
      </c>
      <c r="L284" s="382">
        <f t="shared" ref="L284:L296" ca="1" si="43">D284/$D181</f>
        <v>3.7537630505540848E-2</v>
      </c>
      <c r="M284" s="382">
        <f t="shared" ref="M284:M296" ca="1" si="44">E284/$D181</f>
        <v>0.37047694905917172</v>
      </c>
      <c r="N284" s="382">
        <f t="shared" ref="N284:N296" ca="1" si="45">F284/$D181</f>
        <v>1.023744000152577E-2</v>
      </c>
      <c r="O284" s="382">
        <f t="shared" ref="O284:O296" ca="1" si="46">G284/$D181</f>
        <v>1.023744000152577E-2</v>
      </c>
      <c r="P284" s="382">
        <f t="shared" ref="P284:P296" ca="1" si="47">H284/$D181</f>
        <v>6.3142045921832533E-3</v>
      </c>
      <c r="Q284" s="588"/>
    </row>
    <row r="285" spans="1:17">
      <c r="A285" s="230" t="s">
        <v>822</v>
      </c>
      <c r="B285" s="347">
        <f ca="1">$C$6*$D$17*($D$22*Mat_Sum!$D23+$D$23*Mat_Sum!$I23+$D$24*Mat_Sum!$L23+$D$25*Mat_Sum!$AG23+$D$26*Mat_Sum!$AH23+$D$27*Mat_Sum!$AK23+$D$28*Mat_Sum!$AS23+$D$29*Mat_Sum!$AM23+$D$30*Mat_Sum!$AT23+$D$31*Mat_Sum!$AR23+$D$32*Mat_Sum!$AV23)</f>
        <v>8781.4980897692494</v>
      </c>
      <c r="C285" s="349">
        <f ca="1">$C$6*$D$10*($D$35*Mat_Sum!$D23+$D$36*Mat_Sum!$E23+$D$37*Mat_Sum!$F23+$D$38*Mat_Sum!$I23+$D$39*Mat_Sum!$L23+$D$40*Mat_Sum!$AG23+$D$41*Mat_Sum!$AK23+$D$42*Mat_Sum!$AS23+$D$43*Mat_Sum!$AR23+$D$44*Mat_Sum!$AV23+$D$45*Mat_Sum!$AT23+$D$46*Mat_Sum!$BH23+$D$47*Mat_Sum!$BG23+$D$48*Mat_Sum!$BJ23+$D$49*Mat_Sum!$BI23+$D$50*Mat_Sum!$AW23)</f>
        <v>3221.018895796949</v>
      </c>
      <c r="D285" s="349">
        <f ca="1">$C$6*$D$11*($D$56*Mat_Sum!$D23+$D$57*Mat_Sum!$AG23+$D$58*Mat_Sum!$F23+$D$59*Mat_Sum!$AK23+$D$60*Mat_Sum!$I23+$D$61*Mat_Sum!$L23+$D$62*Mat_Sum!$AT23+$D$63*Mat_Sum!$AR23+$D$64*Mat_Sum!$AV23)</f>
        <v>859.35642231103463</v>
      </c>
      <c r="E285" s="349">
        <f ca="1">$C$6*$D$12*($D$67*Mat_Sum!$D23+$D$68*Mat_Sum!$F23+$D$69*Mat_Sum!$I23+$D$70*Mat_Sum!$L23+$D$71*Mat_Sum!$AG23+$D$72*Mat_Sum!$AH23+$D$73*Mat_Sum!$AK23+$D$74*Mat_Sum!$AS23+$D$75*Mat_Sum!$AR23+$D$76*Mat_Sum!$AV23)+$A$136*(D$140*4)*($A$144*Mat_Sum!$AV23+$B$144*Mat_Sum!$D23)</f>
        <v>4842.9952012940939</v>
      </c>
      <c r="F285" s="349">
        <f ca="1">$C$6*$D$13*($D$79*Mat_Sum!$D23+$D$80*Mat_Sum!$E23+$D$81*Mat_Sum!$L23+$D$82*Mat_Sum!$AG23)</f>
        <v>234.06531152142688</v>
      </c>
      <c r="G285" s="349">
        <f ca="1">$C$6*$D$14*($D$85*Mat_Sum!$D23+$D$86*Mat_Sum!$L23+$D$87*Mat_Sum!$AG23)</f>
        <v>234.06531152142688</v>
      </c>
      <c r="H285" s="349">
        <f ca="1">$C$6*$D$15*($D$90*Mat_Sum!$D23+$D$91*Mat_Sum!$L23+$D$92*Mat_Sum!$AG23+$D$93*Mat_Sum!$AV23+$D$94*Mat_Sum!$AR23)</f>
        <v>85.043265791261504</v>
      </c>
      <c r="I285" s="348"/>
      <c r="J285" s="382">
        <f t="shared" ca="1" si="41"/>
        <v>0.48096602309522296</v>
      </c>
      <c r="K285" s="382">
        <f t="shared" ca="1" si="42"/>
        <v>0.17641644202267692</v>
      </c>
      <c r="L285" s="382">
        <f t="shared" ca="1" si="43"/>
        <v>4.7067281303837083E-2</v>
      </c>
      <c r="M285" s="382">
        <f t="shared" ca="1" si="44"/>
        <v>0.2652527072287818</v>
      </c>
      <c r="N285" s="382">
        <f t="shared" ca="1" si="45"/>
        <v>1.2819847009721703E-2</v>
      </c>
      <c r="O285" s="382">
        <f t="shared" ca="1" si="46"/>
        <v>1.2819847009721703E-2</v>
      </c>
      <c r="P285" s="382">
        <f t="shared" ca="1" si="47"/>
        <v>4.6578523300376722E-3</v>
      </c>
      <c r="Q285" s="588"/>
    </row>
    <row r="286" spans="1:17">
      <c r="A286" s="230" t="s">
        <v>823</v>
      </c>
      <c r="B286" s="347">
        <f ca="1">$C$6*$D$17*($D$22*Mat_Sum!$D24+$D$23*Mat_Sum!$I24+$D$24*Mat_Sum!$L24+$D$25*Mat_Sum!$AG24+$D$26*Mat_Sum!$AH24+$D$27*Mat_Sum!$AK24+$D$28*Mat_Sum!$AS24+$D$29*Mat_Sum!$AM24+$D$30*Mat_Sum!$AT24+$D$31*Mat_Sum!$AR24+$D$32*Mat_Sum!$AV24)</f>
        <v>1805.9103100702496</v>
      </c>
      <c r="C286" s="349">
        <f ca="1">$C$6*$D$10*($D$35*Mat_Sum!$D24+$D$36*Mat_Sum!$E24+$D$37*Mat_Sum!$F24+$D$38*Mat_Sum!$I24+$D$39*Mat_Sum!$L24+$D$40*Mat_Sum!$AG24+$D$41*Mat_Sum!$AK24+$D$42*Mat_Sum!$AS24+$D$43*Mat_Sum!$AR24+$D$44*Mat_Sum!$AV24+$D$45*Mat_Sum!$AT24+$D$46*Mat_Sum!$BH24+$D$47*Mat_Sum!$BG24+$D$48*Mat_Sum!$BJ24+$D$49*Mat_Sum!$BI24+$D$50*Mat_Sum!$AW24)</f>
        <v>733.51118996429886</v>
      </c>
      <c r="D286" s="349">
        <f ca="1">$C$6*$D$11*($D$56*Mat_Sum!$D24+$D$57*Mat_Sum!$AG24+$D$58*Mat_Sum!$F24+$D$59*Mat_Sum!$AK24+$D$60*Mat_Sum!$I24+$D$61*Mat_Sum!$L24+$D$62*Mat_Sum!$AT24+$D$63*Mat_Sum!$AR24+$D$64*Mat_Sum!$AV24)</f>
        <v>209.89254166645253</v>
      </c>
      <c r="E286" s="349">
        <f ca="1">$C$6*$D$12*($D$67*Mat_Sum!$D24+$D$68*Mat_Sum!$F24+$D$69*Mat_Sum!$I24+$D$70*Mat_Sum!$L24+$D$71*Mat_Sum!$AG24+$D$72*Mat_Sum!$AH24+$D$73*Mat_Sum!$AK24+$D$74*Mat_Sum!$AS24+$D$75*Mat_Sum!$AR24+$D$76*Mat_Sum!$AV24)+$A$136*(D$140*4)*($A$144*Mat_Sum!$AV24+$B$144*Mat_Sum!$D24)</f>
        <v>1237.4510017886314</v>
      </c>
      <c r="F286" s="349">
        <f ca="1">$C$6*$D$13*($D$79*Mat_Sum!$D24+$D$80*Mat_Sum!$E24+$D$81*Mat_Sum!$L24+$D$82*Mat_Sum!$AG24)</f>
        <v>74.693193227141293</v>
      </c>
      <c r="G286" s="349">
        <f ca="1">$C$6*$D$14*($D$85*Mat_Sum!$D24+$D$86*Mat_Sum!$L24+$D$87*Mat_Sum!$AG24)</f>
        <v>74.693193227141293</v>
      </c>
      <c r="H286" s="349">
        <f ca="1">$C$6*$D$15*($D$90*Mat_Sum!$D24+$D$91*Mat_Sum!$L24+$D$92*Mat_Sum!$AG24+$D$93*Mat_Sum!$AV24+$D$94*Mat_Sum!$AR24)</f>
        <v>65.035035505800082</v>
      </c>
      <c r="I286" s="348"/>
      <c r="J286" s="382">
        <f t="shared" ca="1" si="41"/>
        <v>0.42985721412794647</v>
      </c>
      <c r="K286" s="382">
        <f t="shared" ca="1" si="42"/>
        <v>0.17459619943000554</v>
      </c>
      <c r="L286" s="382">
        <f t="shared" ca="1" si="43"/>
        <v>4.9960301308355409E-2</v>
      </c>
      <c r="M286" s="382">
        <f t="shared" ca="1" si="44"/>
        <v>0.29454798351973843</v>
      </c>
      <c r="N286" s="382">
        <f t="shared" ca="1" si="45"/>
        <v>1.7779071184155532E-2</v>
      </c>
      <c r="O286" s="382">
        <f t="shared" ca="1" si="46"/>
        <v>1.7779071184155532E-2</v>
      </c>
      <c r="P286" s="382">
        <f t="shared" ca="1" si="47"/>
        <v>1.5480159245642623E-2</v>
      </c>
      <c r="Q286" s="588"/>
    </row>
    <row r="287" spans="1:17">
      <c r="A287" s="230" t="s">
        <v>824</v>
      </c>
      <c r="B287" s="347">
        <f ca="1">$C$6*$D$17*($D$22*Mat_Sum!$D25+$D$23*Mat_Sum!$I25+$D$24*Mat_Sum!$L25+$D$25*Mat_Sum!$AG25+$D$26*Mat_Sum!$AH25+$D$27*Mat_Sum!$AK25+$D$28*Mat_Sum!$AS25+$D$29*Mat_Sum!$AM25+$D$30*Mat_Sum!$AT25+$D$31*Mat_Sum!$AR25+$D$32*Mat_Sum!$AV25)</f>
        <v>865.63689818688533</v>
      </c>
      <c r="C287" s="349">
        <f ca="1">$C$6*$D$10*($D$35*Mat_Sum!$D25+$D$36*Mat_Sum!$E25+$D$37*Mat_Sum!$F25+$D$38*Mat_Sum!$I25+$D$39*Mat_Sum!$L25+$D$40*Mat_Sum!$AG25+$D$41*Mat_Sum!$AK25+$D$42*Mat_Sum!$AS25+$D$43*Mat_Sum!$AR25+$D$44*Mat_Sum!$AV25+$D$45*Mat_Sum!$AT25+$D$46*Mat_Sum!$BH25+$D$47*Mat_Sum!$BG25+$D$48*Mat_Sum!$BJ25+$D$49*Mat_Sum!$BI25+$D$50*Mat_Sum!$AW25)</f>
        <v>393.06159690683791</v>
      </c>
      <c r="D287" s="349">
        <f ca="1">$C$6*$D$11*($D$56*Mat_Sum!$D25+$D$57*Mat_Sum!$AG25+$D$58*Mat_Sum!$F25+$D$59*Mat_Sum!$AK25+$D$60*Mat_Sum!$I25+$D$61*Mat_Sum!$L25+$D$62*Mat_Sum!$AT25+$D$63*Mat_Sum!$AR25+$D$64*Mat_Sum!$AV25)</f>
        <v>126.88816540339253</v>
      </c>
      <c r="E287" s="349">
        <f ca="1">$C$6*$D$12*($D$67*Mat_Sum!$D25+$D$68*Mat_Sum!$F25+$D$69*Mat_Sum!$I25+$D$70*Mat_Sum!$L25+$D$71*Mat_Sum!$AG25+$D$72*Mat_Sum!$AH25+$D$73*Mat_Sum!$AK25+$D$74*Mat_Sum!$AS25+$D$75*Mat_Sum!$AR25+$D$76*Mat_Sum!$AV25)+$A$136*(D$140*4)*($A$144*Mat_Sum!$AV25+$B$144*Mat_Sum!$D25)</f>
        <v>523.44333912952186</v>
      </c>
      <c r="F287" s="349">
        <f ca="1">$C$6*$D$13*($D$79*Mat_Sum!$D25+$D$80*Mat_Sum!$E25+$D$81*Mat_Sum!$L25+$D$82*Mat_Sum!$AG25)</f>
        <v>34.444496669933194</v>
      </c>
      <c r="G287" s="349">
        <f ca="1">$C$6*$D$14*($D$85*Mat_Sum!$D25+$D$86*Mat_Sum!$L25+$D$87*Mat_Sum!$AG25)</f>
        <v>34.444496669933194</v>
      </c>
      <c r="H287" s="349">
        <f ca="1">$C$6*$D$15*($D$90*Mat_Sum!$D25+$D$91*Mat_Sum!$L25+$D$92*Mat_Sum!$AG25+$D$93*Mat_Sum!$AV25+$D$94*Mat_Sum!$AR25)</f>
        <v>27.144161540564117</v>
      </c>
      <c r="I287" s="348"/>
      <c r="J287" s="382">
        <f t="shared" ca="1" si="41"/>
        <v>0.43172550263121084</v>
      </c>
      <c r="K287" s="382">
        <f t="shared" ca="1" si="42"/>
        <v>0.19603452191682685</v>
      </c>
      <c r="L287" s="382">
        <f t="shared" ca="1" si="43"/>
        <v>6.3283874684030669E-2</v>
      </c>
      <c r="M287" s="382">
        <f t="shared" ca="1" si="44"/>
        <v>0.26106077404739253</v>
      </c>
      <c r="N287" s="382">
        <f t="shared" ca="1" si="45"/>
        <v>1.7178758979490172E-2</v>
      </c>
      <c r="O287" s="382">
        <f t="shared" ca="1" si="46"/>
        <v>1.7178758979490172E-2</v>
      </c>
      <c r="P287" s="382">
        <f t="shared" ca="1" si="47"/>
        <v>1.3537808761558599E-2</v>
      </c>
      <c r="Q287" s="588"/>
    </row>
    <row r="288" spans="1:17">
      <c r="A288" s="230" t="s">
        <v>825</v>
      </c>
      <c r="B288" s="347">
        <f ca="1">$C$6*$D$17*($D$22*Mat_Sum!$D26+$D$23*Mat_Sum!$I26+$D$24*Mat_Sum!$L26+$D$25*Mat_Sum!$AG26+$D$26*Mat_Sum!$AH26+$D$27*Mat_Sum!$AK26+$D$28*Mat_Sum!$AS26+$D$29*Mat_Sum!$AM26+$D$30*Mat_Sum!$AT26+$D$31*Mat_Sum!$AR26+$D$32*Mat_Sum!$AV26)</f>
        <v>383.8673275832565</v>
      </c>
      <c r="C288" s="349">
        <f ca="1">$C$6*$D$10*($D$35*Mat_Sum!$D26+$D$36*Mat_Sum!$E26+$D$37*Mat_Sum!$F26+$D$38*Mat_Sum!$I26+$D$39*Mat_Sum!$L26+$D$40*Mat_Sum!$AG26+$D$41*Mat_Sum!$AK26+$D$42*Mat_Sum!$AS26+$D$43*Mat_Sum!$AR26+$D$44*Mat_Sum!$AV26+$D$45*Mat_Sum!$AT26+$D$46*Mat_Sum!$BH26+$D$47*Mat_Sum!$BG26+$D$48*Mat_Sum!$BJ26+$D$49*Mat_Sum!$BI26+$D$50*Mat_Sum!$AW26)</f>
        <v>184.85629259413935</v>
      </c>
      <c r="D288" s="349">
        <f ca="1">$C$6*$D$11*($D$56*Mat_Sum!$D26+$D$57*Mat_Sum!$AG26+$D$58*Mat_Sum!$F26+$D$59*Mat_Sum!$AK26+$D$60*Mat_Sum!$I26+$D$61*Mat_Sum!$L26+$D$62*Mat_Sum!$AT26+$D$63*Mat_Sum!$AR26+$D$64*Mat_Sum!$AV26)</f>
        <v>63.252649913370298</v>
      </c>
      <c r="E288" s="349">
        <f ca="1">$C$6*$D$12*($D$67*Mat_Sum!$D26+$D$68*Mat_Sum!$F26+$D$69*Mat_Sum!$I26+$D$70*Mat_Sum!$L26+$D$71*Mat_Sum!$AG26+$D$72*Mat_Sum!$AH26+$D$73*Mat_Sum!$AK26+$D$74*Mat_Sum!$AS26+$D$75*Mat_Sum!$AR26+$D$76*Mat_Sum!$AV26)+$A$136*(D$140*4)*($A$144*Mat_Sum!$AV26+$B$144*Mat_Sum!$D26)</f>
        <v>261.52928698494219</v>
      </c>
      <c r="F288" s="349">
        <f ca="1">$C$6*$D$13*($D$79*Mat_Sum!$D26+$D$80*Mat_Sum!$E26+$D$81*Mat_Sum!$L26+$D$82*Mat_Sum!$AG26)</f>
        <v>17.559547636485828</v>
      </c>
      <c r="G288" s="349">
        <f ca="1">$C$6*$D$14*($D$85*Mat_Sum!$D26+$D$86*Mat_Sum!$L26+$D$87*Mat_Sum!$AG26)</f>
        <v>17.559547636485828</v>
      </c>
      <c r="H288" s="349">
        <f ca="1">$C$6*$D$15*($D$90*Mat_Sum!$D26+$D$91*Mat_Sum!$L26+$D$92*Mat_Sum!$AG26+$D$93*Mat_Sum!$AV26+$D$94*Mat_Sum!$AR26)</f>
        <v>12.380897978483898</v>
      </c>
      <c r="I288" s="348"/>
      <c r="J288" s="382">
        <f t="shared" ca="1" si="41"/>
        <v>0.40793311734430837</v>
      </c>
      <c r="K288" s="382">
        <f t="shared" ca="1" si="42"/>
        <v>0.1964454859271228</v>
      </c>
      <c r="L288" s="382">
        <f t="shared" ca="1" si="43"/>
        <v>6.7218147535239234E-2</v>
      </c>
      <c r="M288" s="382">
        <f t="shared" ca="1" si="44"/>
        <v>0.27792533943504905</v>
      </c>
      <c r="N288" s="382">
        <f t="shared" ca="1" si="45"/>
        <v>1.866040814571265E-2</v>
      </c>
      <c r="O288" s="382">
        <f t="shared" ca="1" si="46"/>
        <v>1.866040814571265E-2</v>
      </c>
      <c r="P288" s="382">
        <f t="shared" ca="1" si="47"/>
        <v>1.3157093466855077E-2</v>
      </c>
      <c r="Q288" s="588"/>
    </row>
    <row r="289" spans="1:17">
      <c r="A289" s="230" t="s">
        <v>826</v>
      </c>
      <c r="B289" s="347">
        <f ca="1">$C$6*$D$17*($D$22*Mat_Sum!$D27+$D$23*Mat_Sum!$I27+$D$24*Mat_Sum!$L27+$D$25*Mat_Sum!$AG27+$D$26*Mat_Sum!$AH27+$D$27*Mat_Sum!$AK27+$D$28*Mat_Sum!$AS27+$D$29*Mat_Sum!$AM27+$D$30*Mat_Sum!$AT27+$D$31*Mat_Sum!$AR27+$D$32*Mat_Sum!$AV27)</f>
        <v>7837.5383578300698</v>
      </c>
      <c r="C289" s="349">
        <f ca="1">$C$6*$D$10*($D$35*Mat_Sum!$D27+$D$36*Mat_Sum!$E27+$D$37*Mat_Sum!$F27+$D$38*Mat_Sum!$I27+$D$39*Mat_Sum!$L27+$D$40*Mat_Sum!$AG27+$D$41*Mat_Sum!$AK27+$D$42*Mat_Sum!$AS27+$D$43*Mat_Sum!$AR27+$D$44*Mat_Sum!$AV27+$D$45*Mat_Sum!$AT27+$D$46*Mat_Sum!$BH27+$D$47*Mat_Sum!$BG27+$D$48*Mat_Sum!$BJ27+$D$49*Mat_Sum!$BI27+$D$50*Mat_Sum!$AW27)</f>
        <v>3448.8022986216401</v>
      </c>
      <c r="D289" s="349">
        <f ca="1">$C$6*$D$11*($D$56*Mat_Sum!$D27+$D$57*Mat_Sum!$AG27+$D$58*Mat_Sum!$F27+$D$59*Mat_Sum!$AK27+$D$60*Mat_Sum!$I27+$D$61*Mat_Sum!$L27+$D$62*Mat_Sum!$AT27+$D$63*Mat_Sum!$AR27+$D$64*Mat_Sum!$AV27)</f>
        <v>2538.0305224671306</v>
      </c>
      <c r="E289" s="349">
        <f ca="1">$C$6*$D$12*($D$67*Mat_Sum!$D27+$D$68*Mat_Sum!$F27+$D$69*Mat_Sum!$I27+$D$70*Mat_Sum!$L27+$D$71*Mat_Sum!$AG27+$D$72*Mat_Sum!$AH27+$D$73*Mat_Sum!$AK27+$D$74*Mat_Sum!$AS27+$D$75*Mat_Sum!$AR27+$D$76*Mat_Sum!$AV27)+$A$136*(D$140*4)*($A$144*Mat_Sum!$AV27+$B$144*Mat_Sum!$D27)</f>
        <v>3526.460191559232</v>
      </c>
      <c r="F289" s="349">
        <f ca="1">$C$6*$D$13*($D$79*Mat_Sum!$D27+$D$80*Mat_Sum!$E27+$D$81*Mat_Sum!$L27+$D$82*Mat_Sum!$AG27)</f>
        <v>1328.057022642884</v>
      </c>
      <c r="G289" s="349">
        <f ca="1">$C$6*$D$14*($D$85*Mat_Sum!$D27+$D$86*Mat_Sum!$L27+$D$87*Mat_Sum!$AG27)</f>
        <v>1328.057022642884</v>
      </c>
      <c r="H289" s="349">
        <f ca="1">$C$6*$D$15*($D$90*Mat_Sum!$D27+$D$91*Mat_Sum!$L27+$D$92*Mat_Sum!$AG27+$D$93*Mat_Sum!$AV27+$D$94*Mat_Sum!$AR27)</f>
        <v>453.63568181309216</v>
      </c>
      <c r="I289" s="348"/>
      <c r="J289" s="382">
        <f t="shared" ca="1" si="41"/>
        <v>0.383055511495626</v>
      </c>
      <c r="K289" s="382">
        <f t="shared" ca="1" si="42"/>
        <v>0.16855837486600359</v>
      </c>
      <c r="L289" s="382">
        <f t="shared" ca="1" si="43"/>
        <v>0.1240448895543685</v>
      </c>
      <c r="M289" s="382">
        <f t="shared" ca="1" si="44"/>
        <v>0.17235386300816533</v>
      </c>
      <c r="N289" s="382">
        <f t="shared" ca="1" si="45"/>
        <v>6.4908079409345829E-2</v>
      </c>
      <c r="O289" s="382">
        <f t="shared" ca="1" si="46"/>
        <v>6.4908079409345829E-2</v>
      </c>
      <c r="P289" s="382">
        <f t="shared" ca="1" si="47"/>
        <v>2.217120225714481E-2</v>
      </c>
      <c r="Q289" s="588"/>
    </row>
    <row r="290" spans="1:17">
      <c r="A290" s="661" t="s">
        <v>827</v>
      </c>
      <c r="B290" s="347">
        <f ca="1">$C$6*$D$17*($D$22*Mat_Sum!$D28+$D$23*Mat_Sum!$I28+$D$24*Mat_Sum!$L28+$D$25*Mat_Sum!$AG28+$D$26*Mat_Sum!$AH28+$D$27*Mat_Sum!$AK28+$D$28*Mat_Sum!$AS28+$D$29*Mat_Sum!$AM28+$D$30*Mat_Sum!$AT28+$D$31*Mat_Sum!$AR28+$D$32*Mat_Sum!$AV28)</f>
        <v>9.5348131123076847</v>
      </c>
      <c r="C290" s="349">
        <f ca="1">$C$6*$D$10*($D$35*Mat_Sum!$D28+$D$36*Mat_Sum!$E28+$D$37*Mat_Sum!$F28+$D$38*Mat_Sum!$I28+$D$39*Mat_Sum!$L28+$D$40*Mat_Sum!$AG28+$D$41*Mat_Sum!$AK28+$D$42*Mat_Sum!$AS28+$D$43*Mat_Sum!$AR28+$D$44*Mat_Sum!$AV28+$D$45*Mat_Sum!$AT28+$D$46*Mat_Sum!$BH28+$D$47*Mat_Sum!$BG28+$D$48*Mat_Sum!$BJ28+$D$49*Mat_Sum!$BI28+$D$50*Mat_Sum!$AW28)</f>
        <v>3.9675872286794993</v>
      </c>
      <c r="D290" s="349">
        <f ca="1">$C$6*$D$11*($D$56*Mat_Sum!$D28+$D$57*Mat_Sum!$AG28+$D$58*Mat_Sum!$F28+$D$59*Mat_Sum!$AK28+$D$60*Mat_Sum!$I28+$D$61*Mat_Sum!$L28+$D$62*Mat_Sum!$AT28+$D$63*Mat_Sum!$AR28+$D$64*Mat_Sum!$AV28)</f>
        <v>1.4484296543421142</v>
      </c>
      <c r="E290" s="349">
        <f ca="1">$C$6*$D$12*($D$67*Mat_Sum!$D28+$D$68*Mat_Sum!$F28+$D$69*Mat_Sum!$I28+$D$70*Mat_Sum!$L28+$D$71*Mat_Sum!$AG28+$D$72*Mat_Sum!$AH28+$D$73*Mat_Sum!$AK28+$D$74*Mat_Sum!$AS28+$D$75*Mat_Sum!$AR28+$D$76*Mat_Sum!$AV28)+$A$136*(D$140*4)*($A$144*Mat_Sum!$AV28+$B$144*Mat_Sum!$D28)</f>
        <v>7.3558391852755687</v>
      </c>
      <c r="F290" s="349">
        <f ca="1">$C$6*$D$13*($D$79*Mat_Sum!$D28+$D$80*Mat_Sum!$E28+$D$81*Mat_Sum!$L28+$D$82*Mat_Sum!$AG28)</f>
        <v>0.65036809057335787</v>
      </c>
      <c r="G290" s="349">
        <f ca="1">$C$6*$D$14*($D$85*Mat_Sum!$D28+$D$86*Mat_Sum!$L28+$D$87*Mat_Sum!$AG28)</f>
        <v>0.65036809057335787</v>
      </c>
      <c r="H290" s="349">
        <f ca="1">$C$6*$D$15*($D$90*Mat_Sum!$D28+$D$91*Mat_Sum!$L28+$D$92*Mat_Sum!$AG28+$D$93*Mat_Sum!$AV28+$D$94*Mat_Sum!$AR28)</f>
        <v>0.51916141046853914</v>
      </c>
      <c r="I290" s="348"/>
      <c r="J290" s="382">
        <f t="shared" ca="1" si="41"/>
        <v>0.39519974815837805</v>
      </c>
      <c r="K290" s="382">
        <f t="shared" ca="1" si="42"/>
        <v>0.16444889428892426</v>
      </c>
      <c r="L290" s="382">
        <f t="shared" ca="1" si="43"/>
        <v>6.003463601003807E-2</v>
      </c>
      <c r="M290" s="382">
        <f t="shared" ca="1" si="44"/>
        <v>0.3048854507449128</v>
      </c>
      <c r="N290" s="382">
        <f t="shared" ca="1" si="45"/>
        <v>2.6956512159956654E-2</v>
      </c>
      <c r="O290" s="382">
        <f t="shared" ca="1" si="46"/>
        <v>2.6956512159956654E-2</v>
      </c>
      <c r="P290" s="382">
        <f t="shared" ca="1" si="47"/>
        <v>2.1518246477833448E-2</v>
      </c>
      <c r="Q290" s="588"/>
    </row>
    <row r="291" spans="1:17">
      <c r="A291" s="661" t="s">
        <v>828</v>
      </c>
      <c r="B291" s="347">
        <f ca="1">$C$6*$D$17*($D$22*Mat_Sum!$D29+$D$23*Mat_Sum!$I29+$D$24*Mat_Sum!$L29+$D$25*Mat_Sum!$AG29+$D$26*Mat_Sum!$AH29+$D$27*Mat_Sum!$AK29+$D$28*Mat_Sum!$AS29+$D$29*Mat_Sum!$AM29+$D$30*Mat_Sum!$AT29+$D$31*Mat_Sum!$AR29+$D$32*Mat_Sum!$AV29)</f>
        <v>22.058735693286607</v>
      </c>
      <c r="C291" s="349">
        <f ca="1">$C$6*$D$10*($D$35*Mat_Sum!$D29+$D$36*Mat_Sum!$E29+$D$37*Mat_Sum!$F29+$D$38*Mat_Sum!$I29+$D$39*Mat_Sum!$L29+$D$40*Mat_Sum!$AG29+$D$41*Mat_Sum!$AK29+$D$42*Mat_Sum!$AS29+$D$43*Mat_Sum!$AR29+$D$44*Mat_Sum!$AV29+$D$45*Mat_Sum!$AT29+$D$46*Mat_Sum!$BH29+$D$47*Mat_Sum!$BG29+$D$48*Mat_Sum!$BJ29+$D$49*Mat_Sum!$BI29+$D$50*Mat_Sum!$AW29)</f>
        <v>9.2166399983087022</v>
      </c>
      <c r="D291" s="349">
        <f ca="1">$C$6*$D$11*($D$56*Mat_Sum!$D29+$D$57*Mat_Sum!$AG29+$D$58*Mat_Sum!$F29+$D$59*Mat_Sum!$AK29+$D$60*Mat_Sum!$I29+$D$61*Mat_Sum!$L29+$D$62*Mat_Sum!$AT29+$D$63*Mat_Sum!$AR29+$D$64*Mat_Sum!$AV29)</f>
        <v>2.7087734263772001</v>
      </c>
      <c r="E291" s="349">
        <f ca="1">$C$6*$D$12*($D$67*Mat_Sum!$D29+$D$68*Mat_Sum!$F29+$D$69*Mat_Sum!$I29+$D$70*Mat_Sum!$L29+$D$71*Mat_Sum!$AG29+$D$72*Mat_Sum!$AH29+$D$73*Mat_Sum!$AK29+$D$74*Mat_Sum!$AS29+$D$75*Mat_Sum!$AR29+$D$76*Mat_Sum!$AV29)+$A$136*(D$140*4)*($A$144*Mat_Sum!$AV29+$B$144*Mat_Sum!$D29)</f>
        <v>15.396548882490462</v>
      </c>
      <c r="F291" s="349">
        <f ca="1">$C$6*$D$13*($D$79*Mat_Sum!$D29+$D$80*Mat_Sum!$E29+$D$81*Mat_Sum!$L29+$D$82*Mat_Sum!$AG29)</f>
        <v>1.1008415879251223</v>
      </c>
      <c r="G291" s="349">
        <f ca="1">$C$6*$D$14*($D$85*Mat_Sum!$D29+$D$86*Mat_Sum!$L29+$D$87*Mat_Sum!$AG29)</f>
        <v>1.1008415879251223</v>
      </c>
      <c r="H291" s="349">
        <f ca="1">$C$6*$D$15*($D$90*Mat_Sum!$D29+$D$91*Mat_Sum!$L29+$D$92*Mat_Sum!$AG29+$D$93*Mat_Sum!$AV29+$D$94*Mat_Sum!$AR29)</f>
        <v>1.0236528768389976</v>
      </c>
      <c r="I291" s="348"/>
      <c r="J291" s="382">
        <f t="shared" ca="1" si="41"/>
        <v>0.41931949614370945</v>
      </c>
      <c r="K291" s="382">
        <f t="shared" ca="1" si="42"/>
        <v>0.1752011943914337</v>
      </c>
      <c r="L291" s="382">
        <f t="shared" ca="1" si="43"/>
        <v>5.1491686745294328E-2</v>
      </c>
      <c r="M291" s="382">
        <f t="shared" ca="1" si="44"/>
        <v>0.29267648017210457</v>
      </c>
      <c r="N291" s="382">
        <f t="shared" ca="1" si="45"/>
        <v>2.0926146738468276E-2</v>
      </c>
      <c r="O291" s="382">
        <f t="shared" ca="1" si="46"/>
        <v>2.0926146738468276E-2</v>
      </c>
      <c r="P291" s="382">
        <f t="shared" ca="1" si="47"/>
        <v>1.9458849070521391E-2</v>
      </c>
      <c r="Q291" s="588"/>
    </row>
    <row r="292" spans="1:17">
      <c r="A292" s="230" t="s">
        <v>829</v>
      </c>
      <c r="B292" s="347">
        <f ca="1">$C$6*$D$17*($D$22*Mat_Sum!$D30+$D$23*Mat_Sum!$I30+$D$24*Mat_Sum!$L30+$D$25*Mat_Sum!$AG30+$D$26*Mat_Sum!$AH30+$D$27*Mat_Sum!$AK30+$D$28*Mat_Sum!$AS30+$D$29*Mat_Sum!$AM30+$D$30*Mat_Sum!$AT30+$D$31*Mat_Sum!$AR30+$D$32*Mat_Sum!$AV30)</f>
        <v>5065.4588645209133</v>
      </c>
      <c r="C292" s="349">
        <f ca="1">$C$6*$D$10*($D$35*Mat_Sum!$D30+$D$36*Mat_Sum!$E30+$D$37*Mat_Sum!$F30+$D$38*Mat_Sum!$I30+$D$39*Mat_Sum!$L30+$D$40*Mat_Sum!$AG30+$D$41*Mat_Sum!$AK30+$D$42*Mat_Sum!$AS30+$D$43*Mat_Sum!$AR30+$D$44*Mat_Sum!$AV30+$D$45*Mat_Sum!$AT30+$D$46*Mat_Sum!$BH30+$D$47*Mat_Sum!$BG30+$D$48*Mat_Sum!$BJ30+$D$49*Mat_Sum!$BI30+$D$50*Mat_Sum!$AW30)</f>
        <v>1860.7607016605314</v>
      </c>
      <c r="D292" s="349">
        <f ca="1">$C$6*$D$11*($D$56*Mat_Sum!$D30+$D$57*Mat_Sum!$AG30+$D$58*Mat_Sum!$F30+$D$59*Mat_Sum!$AK30+$D$60*Mat_Sum!$I30+$D$61*Mat_Sum!$L30+$D$62*Mat_Sum!$AT30+$D$63*Mat_Sum!$AR30+$D$64*Mat_Sum!$AV30)</f>
        <v>414.77004603617172</v>
      </c>
      <c r="E292" s="349">
        <f ca="1">$C$6*$D$12*($D$67*Mat_Sum!$D30+$D$68*Mat_Sum!$F30+$D$69*Mat_Sum!$I30+$D$70*Mat_Sum!$L30+$D$71*Mat_Sum!$AG30+$D$72*Mat_Sum!$AH30+$D$73*Mat_Sum!$AK30+$D$74*Mat_Sum!$AS30+$D$75*Mat_Sum!$AR30+$D$76*Mat_Sum!$AV30)+$A$136*(D$140*4)*($A$144*Mat_Sum!$AV30+$B$144*Mat_Sum!$D30)</f>
        <v>2299.9286623566154</v>
      </c>
      <c r="F292" s="349">
        <f ca="1">$C$6*$D$13*($D$79*Mat_Sum!$D30+$D$80*Mat_Sum!$E30+$D$81*Mat_Sum!$L30+$D$82*Mat_Sum!$AG30)</f>
        <v>155.20282161638437</v>
      </c>
      <c r="G292" s="349">
        <f ca="1">$C$6*$D$14*($D$85*Mat_Sum!$D30+$D$86*Mat_Sum!$L30+$D$87*Mat_Sum!$AG30)</f>
        <v>155.20282161638437</v>
      </c>
      <c r="H292" s="349">
        <f ca="1">$C$6*$D$15*($D$90*Mat_Sum!$D30+$D$91*Mat_Sum!$L30+$D$92*Mat_Sum!$AG30+$D$93*Mat_Sum!$AV30+$D$94*Mat_Sum!$AR30)</f>
        <v>217.94984275187025</v>
      </c>
      <c r="I292" s="348"/>
      <c r="J292" s="382">
        <f t="shared" ca="1" si="41"/>
        <v>0.49811412140039901</v>
      </c>
      <c r="K292" s="382">
        <f t="shared" ca="1" si="42"/>
        <v>0.182978720553027</v>
      </c>
      <c r="L292" s="382">
        <f t="shared" ca="1" si="43"/>
        <v>4.0786594579137116E-2</v>
      </c>
      <c r="M292" s="382">
        <f t="shared" ca="1" si="44"/>
        <v>0.22616449478199699</v>
      </c>
      <c r="N292" s="382">
        <f t="shared" ca="1" si="45"/>
        <v>1.5261937604466156E-2</v>
      </c>
      <c r="O292" s="382">
        <f t="shared" ca="1" si="46"/>
        <v>1.5261937604466156E-2</v>
      </c>
      <c r="P292" s="382">
        <f t="shared" ca="1" si="47"/>
        <v>2.1432193476507651E-2</v>
      </c>
      <c r="Q292" s="588"/>
    </row>
    <row r="293" spans="1:17">
      <c r="A293" s="230" t="s">
        <v>830</v>
      </c>
      <c r="B293" s="347">
        <f ca="1">$C$6*$D$17*($D$22*Mat_Sum!$D31+$D$23*Mat_Sum!$I31+$D$24*Mat_Sum!$L31+$D$25*Mat_Sum!$AG31+$D$26*Mat_Sum!$AH31+$D$27*Mat_Sum!$AK31+$D$28*Mat_Sum!$AS31+$D$29*Mat_Sum!$AM31+$D$30*Mat_Sum!$AT31+$D$31*Mat_Sum!$AR31+$D$32*Mat_Sum!$AV31)</f>
        <v>48.33866916564201</v>
      </c>
      <c r="C293" s="349">
        <f ca="1">$C$6*$D$10*($D$35*Mat_Sum!$D31+$D$36*Mat_Sum!$E31+$D$37*Mat_Sum!$F31+$D$38*Mat_Sum!$I31+$D$39*Mat_Sum!$L31+$D$40*Mat_Sum!$AG31+$D$41*Mat_Sum!$AK31+$D$42*Mat_Sum!$AS31+$D$43*Mat_Sum!$AR31+$D$44*Mat_Sum!$AV31+$D$45*Mat_Sum!$AT31+$D$46*Mat_Sum!$BH31+$D$47*Mat_Sum!$BG31+$D$48*Mat_Sum!$BJ31+$D$49*Mat_Sum!$BI31+$D$50*Mat_Sum!$AW31)</f>
        <v>15.134913228689967</v>
      </c>
      <c r="D293" s="349">
        <f ca="1">$C$6*$D$11*($D$56*Mat_Sum!$D31+$D$57*Mat_Sum!$AG31+$D$58*Mat_Sum!$F31+$D$59*Mat_Sum!$AK31+$D$60*Mat_Sum!$I31+$D$61*Mat_Sum!$L31+$D$62*Mat_Sum!$AT31+$D$63*Mat_Sum!$AR31+$D$64*Mat_Sum!$AV31)</f>
        <v>3.5303113693942101</v>
      </c>
      <c r="E293" s="349">
        <f ca="1">$C$6*$D$12*($D$67*Mat_Sum!$D31+$D$68*Mat_Sum!$F31+$D$69*Mat_Sum!$I31+$D$70*Mat_Sum!$L31+$D$71*Mat_Sum!$AG31+$D$72*Mat_Sum!$AH31+$D$73*Mat_Sum!$AK31+$D$74*Mat_Sum!$AS31+$D$75*Mat_Sum!$AR31+$D$76*Mat_Sum!$AV31)+$A$136*(D$140*4)*($A$144*Mat_Sum!$AV31+$B$144*Mat_Sum!$D31)</f>
        <v>20.541340677622848</v>
      </c>
      <c r="F293" s="349">
        <f ca="1">$C$6*$D$13*($D$79*Mat_Sum!$D31+$D$80*Mat_Sum!$E31+$D$81*Mat_Sum!$L31+$D$82*Mat_Sum!$AG31)</f>
        <v>1.4225942385957233</v>
      </c>
      <c r="G293" s="349">
        <f ca="1">$C$6*$D$14*($D$85*Mat_Sum!$D31+$D$86*Mat_Sum!$L31+$D$87*Mat_Sum!$AG31)</f>
        <v>1.4225942385957233</v>
      </c>
      <c r="H293" s="349">
        <f ca="1">$C$6*$D$15*($D$90*Mat_Sum!$D31+$D$91*Mat_Sum!$L31+$D$92*Mat_Sum!$AG31+$D$93*Mat_Sum!$AV31+$D$94*Mat_Sum!$AR31)</f>
        <v>2.4096331205614052</v>
      </c>
      <c r="I293" s="348"/>
      <c r="J293" s="382">
        <f t="shared" ca="1" si="41"/>
        <v>0.52089051697634969</v>
      </c>
      <c r="K293" s="382">
        <f t="shared" ca="1" si="42"/>
        <v>0.16309163889203659</v>
      </c>
      <c r="L293" s="382">
        <f t="shared" ca="1" si="43"/>
        <v>3.8042125404608489E-2</v>
      </c>
      <c r="M293" s="382">
        <f t="shared" ca="1" si="44"/>
        <v>0.22135052018683718</v>
      </c>
      <c r="N293" s="382">
        <f t="shared" ca="1" si="45"/>
        <v>1.5329670038090323E-2</v>
      </c>
      <c r="O293" s="382">
        <f t="shared" ca="1" si="46"/>
        <v>1.5329670038090323E-2</v>
      </c>
      <c r="P293" s="382">
        <f t="shared" ca="1" si="47"/>
        <v>2.5965858463987249E-2</v>
      </c>
      <c r="Q293" s="588"/>
    </row>
    <row r="294" spans="1:17">
      <c r="A294" s="230" t="s">
        <v>831</v>
      </c>
      <c r="B294" s="517">
        <f ca="1">$C$6*$D$17*($D$22*Mat_Sum!$D32+$D$23*Mat_Sum!$I32+$D$24*Mat_Sum!$L32+$D$25*Mat_Sum!$AG32+$D$26*Mat_Sum!$AH32+$D$27*Mat_Sum!$AK32+$D$28*Mat_Sum!$AS32+$D$29*Mat_Sum!$AM32+$D$30*Mat_Sum!$AT32+$D$31*Mat_Sum!$AR32+$D$32*Mat_Sum!$AV32)</f>
        <v>1594866.5253646497</v>
      </c>
      <c r="C294" s="419">
        <f ca="1">$C$6*$D$10*($D$35*Mat_Sum!$D32+$D$36*Mat_Sum!$E32+$D$37*Mat_Sum!$F32+$D$38*Mat_Sum!$I32+$D$39*Mat_Sum!$L32+$D$40*Mat_Sum!$AG32+$D$41*Mat_Sum!$AK32+$D$42*Mat_Sum!$AS32+$D$43*Mat_Sum!$AR32+$D$44*Mat_Sum!$AV32+$D$45*Mat_Sum!$AT32+$D$46*Mat_Sum!$BH32+$D$47*Mat_Sum!$BG32+$D$48*Mat_Sum!$BJ32+$D$49*Mat_Sum!$BI32+$D$50*Mat_Sum!$AW32)</f>
        <v>648593.8878647919</v>
      </c>
      <c r="D294" s="419">
        <f ca="1">$C$6*$D$11*($D$56*Mat_Sum!$D32+$D$57*Mat_Sum!$AG32+$D$58*Mat_Sum!$F32+$D$59*Mat_Sum!$AK32+$D$60*Mat_Sum!$I32+$D$61*Mat_Sum!$L32+$D$62*Mat_Sum!$AT32+$D$63*Mat_Sum!$AR32+$D$64*Mat_Sum!$AV32)</f>
        <v>221866.16487165258</v>
      </c>
      <c r="E294" s="419">
        <f ca="1">$C$6*$D$12*($D$67*Mat_Sum!$D32+$D$68*Mat_Sum!$F32+$D$69*Mat_Sum!$I32+$D$70*Mat_Sum!$L32+$D$71*Mat_Sum!$AG32+$D$72*Mat_Sum!$AH32+$D$73*Mat_Sum!$AK32+$D$74*Mat_Sum!$AS32+$D$75*Mat_Sum!$AR32+$D$76*Mat_Sum!$AV32)+$A$136*(D$140*4)*($A$144*Mat_Sum!$AV32+$B$144*Mat_Sum!$D32)</f>
        <v>1108605.8440433247</v>
      </c>
      <c r="F294" s="419">
        <f ca="1">$C$6*$D$13*($D$79*Mat_Sum!$D32+$D$80*Mat_Sum!$E32+$D$81*Mat_Sum!$L32+$D$82*Mat_Sum!$AG32)</f>
        <v>74695.103623832474</v>
      </c>
      <c r="G294" s="419">
        <f ca="1">$C$6*$D$14*($D$85*Mat_Sum!$D32+$D$86*Mat_Sum!$L32+$D$87*Mat_Sum!$AG32)</f>
        <v>74695.103623832474</v>
      </c>
      <c r="H294" s="419">
        <f ca="1">$C$6*$D$15*($D$90*Mat_Sum!$D32+$D$91*Mat_Sum!$L32+$D$92*Mat_Sum!$AG32+$D$93*Mat_Sum!$AV32+$D$94*Mat_Sum!$AR32)</f>
        <v>60088.189655874012</v>
      </c>
      <c r="I294" s="516"/>
      <c r="J294" s="382">
        <f t="shared" ca="1" si="41"/>
        <v>0.42154198992484121</v>
      </c>
      <c r="K294" s="382">
        <f t="shared" ca="1" si="42"/>
        <v>0.17143099676074863</v>
      </c>
      <c r="L294" s="382">
        <f t="shared" ca="1" si="43"/>
        <v>5.8641838141035407E-2</v>
      </c>
      <c r="M294" s="382">
        <f t="shared" ca="1" si="44"/>
        <v>0.29301756987687888</v>
      </c>
      <c r="N294" s="382">
        <f t="shared" ca="1" si="45"/>
        <v>1.9742794847382825E-2</v>
      </c>
      <c r="O294" s="382">
        <f t="shared" ca="1" si="46"/>
        <v>1.9742794847382825E-2</v>
      </c>
      <c r="P294" s="382">
        <f t="shared" ca="1" si="47"/>
        <v>1.5882015601730068E-2</v>
      </c>
      <c r="Q294" s="588"/>
    </row>
    <row r="295" spans="1:17">
      <c r="A295" s="230" t="s">
        <v>850</v>
      </c>
      <c r="B295" s="517">
        <f ca="1">$C$6*$D$17*($D$22*Mat_Sum!$D33+$D$23*Mat_Sum!$I33+$D$24*Mat_Sum!$L33+$D$25*Mat_Sum!$AG33+$D$26*Mat_Sum!$AH33+$D$27*Mat_Sum!$AK33+$D$28*Mat_Sum!$AS33+$D$29*Mat_Sum!$AM33+$D$30*Mat_Sum!$AT33+$D$31*Mat_Sum!$AR33+$D$32*Mat_Sum!$AV33)</f>
        <v>1612825.8612110629</v>
      </c>
      <c r="C295" s="419">
        <f ca="1">$C$6*$D$10*($D$35*Mat_Sum!$D33+$D$36*Mat_Sum!$E33+$D$37*Mat_Sum!$F33+$D$38*Mat_Sum!$I33+$D$39*Mat_Sum!$L33+$D$40*Mat_Sum!$AG33+$D$41*Mat_Sum!$AK33+$D$42*Mat_Sum!$AS33+$D$43*Mat_Sum!$AR33+$D$44*Mat_Sum!$AV33+$D$45*Mat_Sum!$AT33+$D$46*Mat_Sum!$BH33+$D$47*Mat_Sum!$BG33+$D$48*Mat_Sum!$BJ33+$D$49*Mat_Sum!$BI33+$D$50*Mat_Sum!$AW33)</f>
        <v>655641.45939389977</v>
      </c>
      <c r="D295" s="419">
        <f ca="1">$C$6*$D$11*($D$56*Mat_Sum!$D33+$D$57*Mat_Sum!$AG33+$D$58*Mat_Sum!$F33+$D$59*Mat_Sum!$AK33+$D$60*Mat_Sum!$I33+$D$61*Mat_Sum!$L33+$D$62*Mat_Sum!$AT33+$D$63*Mat_Sum!$AR33+$D$64*Mat_Sum!$AV33)</f>
        <v>223624.75728824822</v>
      </c>
      <c r="E295" s="419">
        <f ca="1">$C$6*$D$12*($D$67*Mat_Sum!$D33+$D$68*Mat_Sum!$F33+$D$69*Mat_Sum!$I33+$D$70*Mat_Sum!$L33+$D$71*Mat_Sum!$AG33+$D$72*Mat_Sum!$AH33+$D$73*Mat_Sum!$AK33+$D$74*Mat_Sum!$AS33+$D$75*Mat_Sum!$AR33+$D$76*Mat_Sum!$AV33)+$A$136*(D$140*4)*($A$144*Mat_Sum!$AV33+$B$144*Mat_Sum!$D33)</f>
        <v>1120244.7424684903</v>
      </c>
      <c r="F295" s="419">
        <f ca="1">$C$6*$D$13*($D$79*Mat_Sum!$D33+$D$80*Mat_Sum!$E33+$D$81*Mat_Sum!$L33+$D$82*Mat_Sum!$AG33)</f>
        <v>75174.240006560256</v>
      </c>
      <c r="G295" s="419">
        <f ca="1">$C$6*$D$14*($D$85*Mat_Sum!$D33+$D$86*Mat_Sum!$L33+$D$87*Mat_Sum!$AG33)</f>
        <v>75174.240006560256</v>
      </c>
      <c r="H295" s="419">
        <f ca="1">$C$6*$D$15*($D$90*Mat_Sum!$D33+$D$91*Mat_Sum!$L33+$D$92*Mat_Sum!$AG33+$D$93*Mat_Sum!$AV33+$D$94*Mat_Sum!$AR33)</f>
        <v>60290.488218275073</v>
      </c>
      <c r="I295" s="516"/>
      <c r="J295" s="382">
        <f t="shared" ca="1" si="41"/>
        <v>0.42187707963607141</v>
      </c>
      <c r="K295" s="382">
        <f t="shared" ca="1" si="42"/>
        <v>0.17150029078138213</v>
      </c>
      <c r="L295" s="382">
        <f t="shared" ca="1" si="43"/>
        <v>5.8494944685627978E-2</v>
      </c>
      <c r="M295" s="382">
        <f t="shared" ca="1" si="44"/>
        <v>0.29302951533489946</v>
      </c>
      <c r="N295" s="382">
        <f t="shared" ca="1" si="45"/>
        <v>1.9663802274360025E-2</v>
      </c>
      <c r="O295" s="382">
        <f t="shared" ca="1" si="46"/>
        <v>1.9663802274360025E-2</v>
      </c>
      <c r="P295" s="382">
        <f t="shared" ca="1" si="47"/>
        <v>1.57705650132989E-2</v>
      </c>
      <c r="Q295" s="588"/>
    </row>
    <row r="296" spans="1:17">
      <c r="A296" s="230" t="s">
        <v>851</v>
      </c>
      <c r="B296" s="517">
        <f ca="1">$C$6*$D$17*($D$22*Mat_Sum!$D34+$D$23*Mat_Sum!$I34+$D$24*Mat_Sum!$L34+$D$25*Mat_Sum!$AG34+$D$26*Mat_Sum!$AH34+$D$27*Mat_Sum!$AK34+$D$28*Mat_Sum!$AS34+$D$29*Mat_Sum!$AM34+$D$30*Mat_Sum!$AT34+$D$31*Mat_Sum!$AR34+$D$32*Mat_Sum!$AV34)</f>
        <v>1788956.066759004</v>
      </c>
      <c r="C296" s="419">
        <f ca="1">$C$6*$D$10*($D$35*Mat_Sum!$D34+$D$36*Mat_Sum!$E34+$D$37*Mat_Sum!$F34+$D$38*Mat_Sum!$I34+$D$39*Mat_Sum!$L34+$D$40*Mat_Sum!$AG34+$D$41*Mat_Sum!$AK34+$D$42*Mat_Sum!$AS34+$D$43*Mat_Sum!$AR34+$D$44*Mat_Sum!$AV34+$D$45*Mat_Sum!$AT34+$D$46*Mat_Sum!$BH34+$D$47*Mat_Sum!$BG34+$D$48*Mat_Sum!$BJ34+$D$49*Mat_Sum!$BI34+$D$50*Mat_Sum!$AW34)</f>
        <v>722511.7624484488</v>
      </c>
      <c r="D296" s="419">
        <f ca="1">$C$6*$D$11*($D$56*Mat_Sum!$D34+$D$57*Mat_Sum!$AG34+$D$58*Mat_Sum!$F34+$D$59*Mat_Sum!$AK34+$D$60*Mat_Sum!$I34+$D$61*Mat_Sum!$L34+$D$62*Mat_Sum!$AT34+$D$63*Mat_Sum!$AR34+$D$64*Mat_Sum!$AV34)</f>
        <v>245109.12538227838</v>
      </c>
      <c r="E296" s="419">
        <f ca="1">$C$6*$D$12*($D$67*Mat_Sum!$D34+$D$68*Mat_Sum!$F34+$D$69*Mat_Sum!$I34+$D$70*Mat_Sum!$L34+$D$71*Mat_Sum!$AG34+$D$72*Mat_Sum!$AH34+$D$73*Mat_Sum!$AK34+$D$74*Mat_Sum!$AS34+$D$75*Mat_Sum!$AR34+$D$76*Mat_Sum!$AV34)+$A$136*(D$140*4)*($A$144*Mat_Sum!$AV34+$B$144*Mat_Sum!$D34)</f>
        <v>1212500.9849807969</v>
      </c>
      <c r="F296" s="419">
        <f ca="1">$C$6*$D$13*($D$79*Mat_Sum!$D34+$D$80*Mat_Sum!$E34+$D$81*Mat_Sum!$L34+$D$82*Mat_Sum!$AG34)</f>
        <v>81872.438928974414</v>
      </c>
      <c r="G296" s="419">
        <f ca="1">$C$6*$D$14*($D$85*Mat_Sum!$D34+$D$86*Mat_Sum!$L34+$D$87*Mat_Sum!$AG34)</f>
        <v>81872.438928974414</v>
      </c>
      <c r="H296" s="419">
        <f ca="1">$C$6*$D$15*($D$90*Mat_Sum!$D34+$D$91*Mat_Sum!$L34+$D$92*Mat_Sum!$AG34+$D$93*Mat_Sum!$AV34+$D$94*Mat_Sum!$AR34)</f>
        <v>69285.946460143707</v>
      </c>
      <c r="I296" s="516"/>
      <c r="J296" s="382">
        <f t="shared" ca="1" si="41"/>
        <v>0.42572816823130211</v>
      </c>
      <c r="K296" s="382">
        <f t="shared" ca="1" si="42"/>
        <v>0.1719402811886854</v>
      </c>
      <c r="L296" s="382">
        <f t="shared" ca="1" si="43"/>
        <v>5.8330028839009625E-2</v>
      </c>
      <c r="M296" s="382">
        <f t="shared" ca="1" si="44"/>
        <v>0.28854583570053799</v>
      </c>
      <c r="N296" s="382">
        <f t="shared" ca="1" si="45"/>
        <v>1.9483655357175916E-2</v>
      </c>
      <c r="O296" s="382">
        <f t="shared" ca="1" si="46"/>
        <v>1.9483655357175916E-2</v>
      </c>
      <c r="P296" s="382">
        <f t="shared" ca="1" si="47"/>
        <v>1.6488375326112848E-2</v>
      </c>
      <c r="Q296" s="588"/>
    </row>
    <row r="297" spans="1:17">
      <c r="A297" s="571" t="s">
        <v>973</v>
      </c>
      <c r="B297" s="347"/>
      <c r="C297" s="349"/>
      <c r="D297" s="349"/>
      <c r="E297" s="349"/>
      <c r="F297" s="349"/>
      <c r="G297" s="349"/>
      <c r="H297" s="349"/>
      <c r="I297" s="348"/>
      <c r="J297" s="382"/>
      <c r="K297" s="382"/>
      <c r="L297" s="382"/>
      <c r="M297" s="382"/>
      <c r="N297" s="382"/>
      <c r="O297" s="382"/>
      <c r="P297" s="382"/>
      <c r="Q297" s="588"/>
    </row>
    <row r="298" spans="1:17">
      <c r="A298" s="230" t="s">
        <v>821</v>
      </c>
      <c r="B298" s="347">
        <f ca="1">$C$6*$D$17*($D$22*Mat_Sum!$D36+$D$23*Mat_Sum!$I36+$D$24*Mat_Sum!$L36+$D$25*Mat_Sum!$AG36+$D$26*Mat_Sum!$AH36+$D$27*Mat_Sum!$AK36+$D$28*Mat_Sum!$AS36+$D$29*Mat_Sum!$AM36+$D$30*Mat_Sum!$AT36+$D$31*Mat_Sum!$AR36+$D$32*Mat_Sum!$AV36)</f>
        <v>21.035356400438317</v>
      </c>
      <c r="C298" s="349">
        <f ca="1">$C$6*$D$10*($D$35*Mat_Sum!$D36+$D$36*Mat_Sum!$E36+$D$37*Mat_Sum!$F36+$D$38*Mat_Sum!$I36+$D$39*Mat_Sum!$L36+$D$40*Mat_Sum!$AG36+$D$41*Mat_Sum!$AK36+$D$42*Mat_Sum!$AS36+$D$43*Mat_Sum!$AR36+$D$44*Mat_Sum!$AV36+$D$45*Mat_Sum!$AT36+$D$46*Mat_Sum!$BH36+$D$47*Mat_Sum!$BG36+$D$48*Mat_Sum!$BJ36+$D$49*Mat_Sum!$BI36+$D$50*Mat_Sum!$AW36)</f>
        <v>6.297596564907777</v>
      </c>
      <c r="D298" s="349">
        <f ca="1">$C$6*$D$11*($D$56*Mat_Sum!$D36+$D$57*Mat_Sum!$AG36+$D$58*Mat_Sum!$F36+$D$59*Mat_Sum!$AK36+$D$60*Mat_Sum!$I36+$D$61*Mat_Sum!$L36+$D$62*Mat_Sum!$AT36+$D$63*Mat_Sum!$AR36+$D$64*Mat_Sum!$AV36)</f>
        <v>1.3828151346624238</v>
      </c>
      <c r="E298" s="349">
        <f ca="1">$C$6*$D$12*($D$67*Mat_Sum!$D36+$D$68*Mat_Sum!$F36+$D$69*Mat_Sum!$I36+$D$70*Mat_Sum!$L36+$D$71*Mat_Sum!$AG36+$D$72*Mat_Sum!$AH36+$D$73*Mat_Sum!$AK36+$D$74*Mat_Sum!$AS36+$D$75*Mat_Sum!$AR36+$D$76*Mat_Sum!$AV36)+$A$136*(D$140*4)*($A$144*Mat_Sum!$AV36+$B$144*Mat_Sum!$D36)</f>
        <v>9.1039799291553329</v>
      </c>
      <c r="F298" s="349">
        <f ca="1">$C$6*$D$13*($D$79*Mat_Sum!$D36+$D$80*Mat_Sum!$E36+$D$81*Mat_Sum!$L36+$D$82*Mat_Sum!$AG36)</f>
        <v>0.52561264327808666</v>
      </c>
      <c r="G298" s="349">
        <f ca="1">$C$6*$D$14*($D$85*Mat_Sum!$D36+$D$86*Mat_Sum!$L36+$D$87*Mat_Sum!$AG36)</f>
        <v>0.52561264327808666</v>
      </c>
      <c r="H298" s="349">
        <f ca="1">$C$6*$D$15*($D$90*Mat_Sum!$D36+$D$91*Mat_Sum!$L36+$D$92*Mat_Sum!$AG36+$D$93*Mat_Sum!$AV36+$D$94*Mat_Sum!$AR36)</f>
        <v>1.0934937259008604</v>
      </c>
      <c r="I298" s="348"/>
      <c r="J298" s="382">
        <f t="shared" ref="J298:P305" ca="1" si="48">B298/$D195</f>
        <v>0.52635148064231918</v>
      </c>
      <c r="K298" s="382">
        <f t="shared" ca="1" si="48"/>
        <v>0.1575798961199498</v>
      </c>
      <c r="L298" s="382">
        <f t="shared" ca="1" si="48"/>
        <v>3.4601115366365197E-2</v>
      </c>
      <c r="M298" s="382">
        <f t="shared" ref="M298:M305" ca="1" si="49">E298/$D195</f>
        <v>0.2278018600792053</v>
      </c>
      <c r="N298" s="382">
        <f t="shared" ca="1" si="48"/>
        <v>1.3151999318061438E-2</v>
      </c>
      <c r="O298" s="382">
        <f t="shared" ca="1" si="48"/>
        <v>1.3151999318061438E-2</v>
      </c>
      <c r="P298" s="382">
        <f t="shared" ca="1" si="48"/>
        <v>2.7361649156037643E-2</v>
      </c>
      <c r="Q298" s="588"/>
    </row>
    <row r="299" spans="1:17">
      <c r="A299" s="230" t="s">
        <v>822</v>
      </c>
      <c r="B299" s="347">
        <f ca="1">$C$6*$D$17*($D$22*Mat_Sum!$D37+$D$23*Mat_Sum!$I37+$D$24*Mat_Sum!$L37+$D$25*Mat_Sum!$AG37+$D$26*Mat_Sum!$AH37+$D$27*Mat_Sum!$AK37+$D$28*Mat_Sum!$AS37+$D$29*Mat_Sum!$AM37+$D$30*Mat_Sum!$AT37+$D$31*Mat_Sum!$AR37+$D$32*Mat_Sum!$AV37)</f>
        <v>60.907022080380763</v>
      </c>
      <c r="C299" s="349">
        <f ca="1">$C$6*$D$10*($D$35*Mat_Sum!$D37+$D$36*Mat_Sum!$E37+$D$37*Mat_Sum!$F37+$D$38*Mat_Sum!$I37+$D$39*Mat_Sum!$L37+$D$40*Mat_Sum!$AG37+$D$41*Mat_Sum!$AK37+$D$42*Mat_Sum!$AS37+$D$43*Mat_Sum!$AR37+$D$44*Mat_Sum!$AV37+$D$45*Mat_Sum!$AT37+$D$46*Mat_Sum!$BH37+$D$47*Mat_Sum!$BG37+$D$48*Mat_Sum!$BJ37+$D$49*Mat_Sum!$BI37+$D$50*Mat_Sum!$AW37)</f>
        <v>20.893270175082915</v>
      </c>
      <c r="D299" s="349">
        <f ca="1">$C$6*$D$11*($D$56*Mat_Sum!$D37+$D$57*Mat_Sum!$AG37+$D$58*Mat_Sum!$F37+$D$59*Mat_Sum!$AK37+$D$60*Mat_Sum!$I37+$D$61*Mat_Sum!$L37+$D$62*Mat_Sum!$AT37+$D$63*Mat_Sum!$AR37+$D$64*Mat_Sum!$AV37)</f>
        <v>6.207231483408937</v>
      </c>
      <c r="E299" s="349">
        <f ca="1">$C$6*$D$12*($D$67*Mat_Sum!$D37+$D$68*Mat_Sum!$F37+$D$69*Mat_Sum!$I37+$D$70*Mat_Sum!$L37+$D$71*Mat_Sum!$AG37+$D$72*Mat_Sum!$AH37+$D$73*Mat_Sum!$AK37+$D$74*Mat_Sum!$AS37+$D$75*Mat_Sum!$AR37+$D$76*Mat_Sum!$AV37)+$A$136*(D$140*4)*($A$144*Mat_Sum!$AV37+$B$144*Mat_Sum!$D37)</f>
        <v>28.663492367584524</v>
      </c>
      <c r="F299" s="349">
        <f ca="1">$C$6*$D$13*($D$79*Mat_Sum!$D37+$D$80*Mat_Sum!$E37+$D$81*Mat_Sum!$L37+$D$82*Mat_Sum!$AG37)</f>
        <v>2.3627192448263865</v>
      </c>
      <c r="G299" s="349">
        <f ca="1">$C$6*$D$14*($D$85*Mat_Sum!$D37+$D$86*Mat_Sum!$L37+$D$87*Mat_Sum!$AG37)</f>
        <v>2.3627192448263865</v>
      </c>
      <c r="H299" s="349">
        <f ca="1">$C$6*$D$15*($D$90*Mat_Sum!$D37+$D$91*Mat_Sum!$L37+$D$92*Mat_Sum!$AG37+$D$93*Mat_Sum!$AV37+$D$94*Mat_Sum!$AR37)</f>
        <v>3.1519177384721702</v>
      </c>
      <c r="I299" s="348"/>
      <c r="J299" s="382">
        <f t="shared" ca="1" si="48"/>
        <v>0.48902302726817193</v>
      </c>
      <c r="K299" s="382">
        <f t="shared" ca="1" si="48"/>
        <v>0.16775225387093792</v>
      </c>
      <c r="L299" s="382">
        <f t="shared" ca="1" si="48"/>
        <v>4.9837917325278751E-2</v>
      </c>
      <c r="M299" s="382">
        <f t="shared" ca="1" si="49"/>
        <v>0.23013943763619801</v>
      </c>
      <c r="N299" s="382">
        <f t="shared" ca="1" si="48"/>
        <v>1.8970294035471343E-2</v>
      </c>
      <c r="O299" s="382">
        <f t="shared" ca="1" si="48"/>
        <v>1.8970294035471343E-2</v>
      </c>
      <c r="P299" s="382">
        <f t="shared" ca="1" si="48"/>
        <v>2.5306775828470695E-2</v>
      </c>
      <c r="Q299" s="588"/>
    </row>
    <row r="300" spans="1:17">
      <c r="A300" s="230" t="s">
        <v>823</v>
      </c>
      <c r="B300" s="347">
        <f ca="1">$C$6*$D$17*($D$22*Mat_Sum!$D38+$D$23*Mat_Sum!$I38+$D$24*Mat_Sum!$L38+$D$25*Mat_Sum!$AG38+$D$26*Mat_Sum!$AH38+$D$27*Mat_Sum!$AK38+$D$28*Mat_Sum!$AS38+$D$29*Mat_Sum!$AM38+$D$30*Mat_Sum!$AT38+$D$31*Mat_Sum!$AR38+$D$32*Mat_Sum!$AV38)</f>
        <v>104.23885489464838</v>
      </c>
      <c r="C300" s="349">
        <f ca="1">$C$6*$D$10*($D$35*Mat_Sum!$D38+$D$36*Mat_Sum!$E38+$D$37*Mat_Sum!$F38+$D$38*Mat_Sum!$I38+$D$39*Mat_Sum!$L38+$D$40*Mat_Sum!$AG38+$D$41*Mat_Sum!$AK38+$D$42*Mat_Sum!$AS38+$D$43*Mat_Sum!$AR38+$D$44*Mat_Sum!$AV38+$D$45*Mat_Sum!$AT38+$D$46*Mat_Sum!$BH38+$D$47*Mat_Sum!$BG38+$D$48*Mat_Sum!$BJ38+$D$49*Mat_Sum!$BI38+$D$50*Mat_Sum!$AW38)</f>
        <v>40.865585445783857</v>
      </c>
      <c r="D300" s="349">
        <f ca="1">$C$6*$D$11*($D$56*Mat_Sum!$D38+$D$57*Mat_Sum!$AG38+$D$58*Mat_Sum!$F38+$D$59*Mat_Sum!$AK38+$D$60*Mat_Sum!$I38+$D$61*Mat_Sum!$L38+$D$62*Mat_Sum!$AT38+$D$63*Mat_Sum!$AR38+$D$64*Mat_Sum!$AV38)</f>
        <v>17.239180901835883</v>
      </c>
      <c r="E300" s="349">
        <f ca="1">$C$6*$D$12*($D$67*Mat_Sum!$D38+$D$68*Mat_Sum!$F38+$D$69*Mat_Sum!$I38+$D$70*Mat_Sum!$L38+$D$71*Mat_Sum!$AG38+$D$72*Mat_Sum!$AH38+$D$73*Mat_Sum!$AK38+$D$74*Mat_Sum!$AS38+$D$75*Mat_Sum!$AR38+$D$76*Mat_Sum!$AV38)+$A$136*(D$140*4)*($A$144*Mat_Sum!$AV38+$B$144*Mat_Sum!$D38)</f>
        <v>60.036526749086789</v>
      </c>
      <c r="F300" s="349">
        <f ca="1">$C$6*$D$13*($D$79*Mat_Sum!$D38+$D$80*Mat_Sum!$E38+$D$81*Mat_Sum!$L38+$D$82*Mat_Sum!$AG38)</f>
        <v>5.9149741383946326</v>
      </c>
      <c r="G300" s="349">
        <f ca="1">$C$6*$D$14*($D$85*Mat_Sum!$D38+$D$86*Mat_Sum!$L38+$D$87*Mat_Sum!$AG38)</f>
        <v>5.9149741383946326</v>
      </c>
      <c r="H300" s="349">
        <f ca="1">$C$6*$D$15*($D$90*Mat_Sum!$D38+$D$91*Mat_Sum!$L38+$D$92*Mat_Sum!$AG38+$D$93*Mat_Sum!$AV38+$D$94*Mat_Sum!$AR38)</f>
        <v>5.5242449858714613</v>
      </c>
      <c r="I300" s="348"/>
      <c r="J300" s="382">
        <f t="shared" ca="1" si="48"/>
        <v>0.43480985806785133</v>
      </c>
      <c r="K300" s="382">
        <f t="shared" ca="1" si="48"/>
        <v>0.17046195898352273</v>
      </c>
      <c r="L300" s="382">
        <f t="shared" ca="1" si="48"/>
        <v>7.1909517892431357E-2</v>
      </c>
      <c r="M300" s="382">
        <f t="shared" ca="1" si="49"/>
        <v>0.25042939795377001</v>
      </c>
      <c r="N300" s="382">
        <f t="shared" ca="1" si="48"/>
        <v>2.4673036442982091E-2</v>
      </c>
      <c r="O300" s="382">
        <f t="shared" ca="1" si="48"/>
        <v>2.4673036442982091E-2</v>
      </c>
      <c r="P300" s="382">
        <f t="shared" ca="1" si="48"/>
        <v>2.3043194216460335E-2</v>
      </c>
      <c r="Q300" s="588"/>
    </row>
    <row r="301" spans="1:17">
      <c r="A301" s="230" t="s">
        <v>824</v>
      </c>
      <c r="B301" s="347">
        <f ca="1">$C$6*$D$17*($D$22*Mat_Sum!$D39+$D$23*Mat_Sum!$I39+$D$24*Mat_Sum!$L39+$D$25*Mat_Sum!$AG39+$D$26*Mat_Sum!$AH39+$D$27*Mat_Sum!$AK39+$D$28*Mat_Sum!$AS39+$D$29*Mat_Sum!$AM39+$D$30*Mat_Sum!$AT39+$D$31*Mat_Sum!$AR39+$D$32*Mat_Sum!$AV39)</f>
        <v>10.795884421598087</v>
      </c>
      <c r="C301" s="349">
        <f ca="1">$C$6*$D$10*($D$35*Mat_Sum!$D39+$D$36*Mat_Sum!$E39+$D$37*Mat_Sum!$F39+$D$38*Mat_Sum!$I39+$D$39*Mat_Sum!$L39+$D$40*Mat_Sum!$AG39+$D$41*Mat_Sum!$AK39+$D$42*Mat_Sum!$AS39+$D$43*Mat_Sum!$AR39+$D$44*Mat_Sum!$AV39+$D$45*Mat_Sum!$AT39+$D$46*Mat_Sum!$BH39+$D$47*Mat_Sum!$BG39+$D$48*Mat_Sum!$BJ39+$D$49*Mat_Sum!$BI39+$D$50*Mat_Sum!$AW39)</f>
        <v>4.1591520358820144</v>
      </c>
      <c r="D301" s="349">
        <f ca="1">$C$6*$D$11*($D$56*Mat_Sum!$D39+$D$57*Mat_Sum!$AG39+$D$58*Mat_Sum!$F39+$D$59*Mat_Sum!$AK39+$D$60*Mat_Sum!$I39+$D$61*Mat_Sum!$L39+$D$62*Mat_Sum!$AT39+$D$63*Mat_Sum!$AR39+$D$64*Mat_Sum!$AV39)</f>
        <v>2.0280427750997374</v>
      </c>
      <c r="E301" s="349">
        <f ca="1">$C$6*$D$12*($D$67*Mat_Sum!$D39+$D$68*Mat_Sum!$F39+$D$69*Mat_Sum!$I39+$D$70*Mat_Sum!$L39+$D$71*Mat_Sum!$AG39+$D$72*Mat_Sum!$AH39+$D$73*Mat_Sum!$AK39+$D$74*Mat_Sum!$AS39+$D$75*Mat_Sum!$AR39+$D$76*Mat_Sum!$AV39)+$A$136*(D$140*4)*($A$144*Mat_Sum!$AV39+$B$144*Mat_Sum!$D39)</f>
        <v>6.148143741075347</v>
      </c>
      <c r="F301" s="349">
        <f ca="1">$C$6*$D$13*($D$79*Mat_Sum!$D39+$D$80*Mat_Sum!$E39+$D$81*Mat_Sum!$L39+$D$82*Mat_Sum!$AG39)</f>
        <v>0.6559528922762492</v>
      </c>
      <c r="G301" s="349">
        <f ca="1">$C$6*$D$14*($D$85*Mat_Sum!$D39+$D$86*Mat_Sum!$L39+$D$87*Mat_Sum!$AG39)</f>
        <v>0.6559528922762492</v>
      </c>
      <c r="H301" s="349">
        <f ca="1">$C$6*$D$15*($D$90*Mat_Sum!$D39+$D$91*Mat_Sum!$L39+$D$92*Mat_Sum!$AG39+$D$93*Mat_Sum!$AV39+$D$94*Mat_Sum!$AR39)</f>
        <v>0.55344594895522981</v>
      </c>
      <c r="I301" s="348"/>
      <c r="J301" s="382">
        <f t="shared" ca="1" si="48"/>
        <v>0.43189455147646538</v>
      </c>
      <c r="K301" s="382">
        <f t="shared" ca="1" si="48"/>
        <v>0.16638887866065044</v>
      </c>
      <c r="L301" s="382">
        <f t="shared" ca="1" si="48"/>
        <v>8.1132827151657289E-2</v>
      </c>
      <c r="M301" s="382">
        <f t="shared" ca="1" si="49"/>
        <v>0.24595944896856448</v>
      </c>
      <c r="N301" s="382">
        <f t="shared" ca="1" si="48"/>
        <v>2.6241711112854275E-2</v>
      </c>
      <c r="O301" s="382">
        <f t="shared" ca="1" si="48"/>
        <v>2.6241711112854275E-2</v>
      </c>
      <c r="P301" s="382">
        <f t="shared" ca="1" si="48"/>
        <v>2.2140871516953743E-2</v>
      </c>
      <c r="Q301" s="588"/>
    </row>
    <row r="302" spans="1:17">
      <c r="A302" s="230" t="s">
        <v>825</v>
      </c>
      <c r="B302" s="347">
        <f ca="1">$C$6*$D$17*($D$22*Mat_Sum!$D40+$D$23*Mat_Sum!$I40+$D$24*Mat_Sum!$L40+$D$25*Mat_Sum!$AG40+$D$26*Mat_Sum!$AH40+$D$27*Mat_Sum!$AK40+$D$28*Mat_Sum!$AS40+$D$29*Mat_Sum!$AM40+$D$30*Mat_Sum!$AT40+$D$31*Mat_Sum!$AR40+$D$32*Mat_Sum!$AV40)</f>
        <v>9.306614880194914</v>
      </c>
      <c r="C302" s="349">
        <f ca="1">$C$6*$D$10*($D$35*Mat_Sum!$D40+$D$36*Mat_Sum!$E40+$D$37*Mat_Sum!$F40+$D$38*Mat_Sum!$I40+$D$39*Mat_Sum!$L40+$D$40*Mat_Sum!$AG40+$D$41*Mat_Sum!$AK40+$D$42*Mat_Sum!$AS40+$D$43*Mat_Sum!$AR40+$D$44*Mat_Sum!$AV40+$D$45*Mat_Sum!$AT40+$D$46*Mat_Sum!$BH40+$D$47*Mat_Sum!$BG40+$D$48*Mat_Sum!$BJ40+$D$49*Mat_Sum!$BI40+$D$50*Mat_Sum!$AW40)</f>
        <v>3.5935885764687194</v>
      </c>
      <c r="D302" s="349">
        <f ca="1">$C$6*$D$11*($D$56*Mat_Sum!$D40+$D$57*Mat_Sum!$AG40+$D$58*Mat_Sum!$F40+$D$59*Mat_Sum!$AK40+$D$60*Mat_Sum!$I40+$D$61*Mat_Sum!$L40+$D$62*Mat_Sum!$AT40+$D$63*Mat_Sum!$AR40+$D$64*Mat_Sum!$AV40)</f>
        <v>1.7370680448321241</v>
      </c>
      <c r="E302" s="349">
        <f ca="1">$C$6*$D$12*($D$67*Mat_Sum!$D40+$D$68*Mat_Sum!$F40+$D$69*Mat_Sum!$I40+$D$70*Mat_Sum!$L40+$D$71*Mat_Sum!$AG40+$D$72*Mat_Sum!$AH40+$D$73*Mat_Sum!$AK40+$D$74*Mat_Sum!$AS40+$D$75*Mat_Sum!$AR40+$D$76*Mat_Sum!$AV40)+$A$136*(D$140*4)*($A$144*Mat_Sum!$AV40+$B$144*Mat_Sum!$D40)</f>
        <v>5.3444724508085137</v>
      </c>
      <c r="F302" s="349">
        <f ca="1">$C$6*$D$13*($D$79*Mat_Sum!$D40+$D$80*Mat_Sum!$E40+$D$81*Mat_Sum!$L40+$D$82*Mat_Sum!$AG40)</f>
        <v>0.56550384849269053</v>
      </c>
      <c r="G302" s="349">
        <f ca="1">$C$6*$D$14*($D$85*Mat_Sum!$D40+$D$86*Mat_Sum!$L40+$D$87*Mat_Sum!$AG40)</f>
        <v>0.56550384849269053</v>
      </c>
      <c r="H302" s="349">
        <f ca="1">$C$6*$D$15*($D$90*Mat_Sum!$D40+$D$91*Mat_Sum!$L40+$D$92*Mat_Sum!$AG40+$D$93*Mat_Sum!$AV40+$D$94*Mat_Sum!$AR40)</f>
        <v>0.47117604164059834</v>
      </c>
      <c r="I302" s="348"/>
      <c r="J302" s="382">
        <f t="shared" ca="1" si="48"/>
        <v>0.43118263800085066</v>
      </c>
      <c r="K302" s="382">
        <f t="shared" ca="1" si="48"/>
        <v>0.16649372755167152</v>
      </c>
      <c r="L302" s="382">
        <f t="shared" ca="1" si="48"/>
        <v>8.0479700900872406E-2</v>
      </c>
      <c r="M302" s="382">
        <f t="shared" ca="1" si="49"/>
        <v>0.24761352647851514</v>
      </c>
      <c r="N302" s="382">
        <f t="shared" ca="1" si="48"/>
        <v>2.6200229012549928E-2</v>
      </c>
      <c r="O302" s="382">
        <f t="shared" ca="1" si="48"/>
        <v>2.6200229012549928E-2</v>
      </c>
      <c r="P302" s="382">
        <f t="shared" ca="1" si="48"/>
        <v>2.1829949042990474E-2</v>
      </c>
      <c r="Q302" s="588"/>
    </row>
    <row r="303" spans="1:17">
      <c r="A303" s="230" t="s">
        <v>826</v>
      </c>
      <c r="B303" s="347">
        <f ca="1">$C$6*$D$17*($D$22*Mat_Sum!$D41+$D$23*Mat_Sum!$I41+$D$24*Mat_Sum!$L41+$D$25*Mat_Sum!$AG41+$D$26*Mat_Sum!$AH41+$D$27*Mat_Sum!$AK41+$D$28*Mat_Sum!$AS41+$D$29*Mat_Sum!$AM41+$D$30*Mat_Sum!$AT41+$D$31*Mat_Sum!$AR41+$D$32*Mat_Sum!$AV41)</f>
        <v>105.26954807654806</v>
      </c>
      <c r="C303" s="349">
        <f ca="1">$C$6*$D$10*($D$35*Mat_Sum!$D41+$D$36*Mat_Sum!$E41+$D$37*Mat_Sum!$F41+$D$38*Mat_Sum!$I41+$D$39*Mat_Sum!$L41+$D$40*Mat_Sum!$AG41+$D$41*Mat_Sum!$AK41+$D$42*Mat_Sum!$AS41+$D$43*Mat_Sum!$AR41+$D$44*Mat_Sum!$AV41+$D$45*Mat_Sum!$AT41+$D$46*Mat_Sum!$BH41+$D$47*Mat_Sum!$BG41+$D$48*Mat_Sum!$BJ41+$D$49*Mat_Sum!$BI41+$D$50*Mat_Sum!$AW41)</f>
        <v>36.848651328957615</v>
      </c>
      <c r="D303" s="349">
        <f ca="1">$C$6*$D$11*($D$56*Mat_Sum!$D41+$D$57*Mat_Sum!$AG41+$D$58*Mat_Sum!$F41+$D$59*Mat_Sum!$AK41+$D$60*Mat_Sum!$I41+$D$61*Mat_Sum!$L41+$D$62*Mat_Sum!$AT41+$D$63*Mat_Sum!$AR41+$D$64*Mat_Sum!$AV41)</f>
        <v>17.640342453339208</v>
      </c>
      <c r="E303" s="349">
        <f ca="1">$C$6*$D$12*($D$67*Mat_Sum!$D41+$D$68*Mat_Sum!$F41+$D$69*Mat_Sum!$I41+$D$70*Mat_Sum!$L41+$D$71*Mat_Sum!$AG41+$D$72*Mat_Sum!$AH41+$D$73*Mat_Sum!$AK41+$D$74*Mat_Sum!$AS41+$D$75*Mat_Sum!$AR41+$D$76*Mat_Sum!$AV41)+$A$136*(D$140*4)*($A$144*Mat_Sum!$AV41+$B$144*Mat_Sum!$D41)</f>
        <v>46.530298025207202</v>
      </c>
      <c r="F303" s="349">
        <f ca="1">$C$6*$D$13*($D$79*Mat_Sum!$D41+$D$80*Mat_Sum!$E41+$D$81*Mat_Sum!$L41+$D$82*Mat_Sum!$AG41)</f>
        <v>5.4689503460315185</v>
      </c>
      <c r="G303" s="349">
        <f ca="1">$C$6*$D$14*($D$85*Mat_Sum!$D41+$D$86*Mat_Sum!$L41+$D$87*Mat_Sum!$AG41)</f>
        <v>5.4689503460315185</v>
      </c>
      <c r="H303" s="349">
        <f ca="1">$C$6*$D$15*($D$90*Mat_Sum!$D41+$D$91*Mat_Sum!$L41+$D$92*Mat_Sum!$AG41+$D$93*Mat_Sum!$AV41+$D$94*Mat_Sum!$AR41)</f>
        <v>5.5943810930574527</v>
      </c>
      <c r="I303" s="348"/>
      <c r="J303" s="382">
        <f t="shared" ca="1" si="48"/>
        <v>0.47243971885593539</v>
      </c>
      <c r="K303" s="382">
        <f t="shared" ca="1" si="48"/>
        <v>0.16537324223539104</v>
      </c>
      <c r="L303" s="382">
        <f t="shared" ca="1" si="48"/>
        <v>7.9168179036142775E-2</v>
      </c>
      <c r="M303" s="382">
        <f t="shared" ca="1" si="49"/>
        <v>0.20882355172007327</v>
      </c>
      <c r="N303" s="382">
        <f t="shared" ca="1" si="48"/>
        <v>2.4544128963462402E-2</v>
      </c>
      <c r="O303" s="382">
        <f t="shared" ca="1" si="48"/>
        <v>2.4544128963462402E-2</v>
      </c>
      <c r="P303" s="382">
        <f t="shared" ca="1" si="48"/>
        <v>2.5107050225532716E-2</v>
      </c>
      <c r="Q303" s="588"/>
    </row>
    <row r="304" spans="1:17">
      <c r="A304" s="230" t="s">
        <v>827</v>
      </c>
      <c r="B304" s="347">
        <f ca="1">$C$6*$D$17*($D$22*Mat_Sum!$D42+$D$23*Mat_Sum!$I42+$D$24*Mat_Sum!$L42+$D$25*Mat_Sum!$AG42+$D$26*Mat_Sum!$AH42+$D$27*Mat_Sum!$AK42+$D$28*Mat_Sum!$AS42+$D$29*Mat_Sum!$AM42+$D$30*Mat_Sum!$AT42+$D$31*Mat_Sum!$AR42+$D$32*Mat_Sum!$AV42)</f>
        <v>0.54831091927507547</v>
      </c>
      <c r="C304" s="349">
        <f ca="1">$C$6*$D$10*($D$35*Mat_Sum!$D42+$D$36*Mat_Sum!$E42+$D$37*Mat_Sum!$F42+$D$38*Mat_Sum!$I42+$D$39*Mat_Sum!$L42+$D$40*Mat_Sum!$AG42+$D$41*Mat_Sum!$AK42+$D$42*Mat_Sum!$AS42+$D$43*Mat_Sum!$AR42+$D$44*Mat_Sum!$AV42+$D$45*Mat_Sum!$AT42+$D$46*Mat_Sum!$BH42+$D$47*Mat_Sum!$BG42+$D$48*Mat_Sum!$BJ42+$D$49*Mat_Sum!$BI42+$D$50*Mat_Sum!$AW42)</f>
        <v>0.20654948969980266</v>
      </c>
      <c r="D304" s="349">
        <f ca="1">$C$6*$D$11*($D$56*Mat_Sum!$D42+$D$57*Mat_Sum!$AG42+$D$58*Mat_Sum!$F42+$D$59*Mat_Sum!$AK42+$D$60*Mat_Sum!$I42+$D$61*Mat_Sum!$L42+$D$62*Mat_Sum!$AT42+$D$63*Mat_Sum!$AR42+$D$64*Mat_Sum!$AV42)</f>
        <v>9.1195860530248543E-2</v>
      </c>
      <c r="E304" s="349">
        <f ca="1">$C$6*$D$12*($D$67*Mat_Sum!$D42+$D$68*Mat_Sum!$F42+$D$69*Mat_Sum!$I42+$D$70*Mat_Sum!$L42+$D$71*Mat_Sum!$AG42+$D$72*Mat_Sum!$AH42+$D$73*Mat_Sum!$AK42+$D$74*Mat_Sum!$AS42+$D$75*Mat_Sum!$AR42+$D$76*Mat_Sum!$AV42)+$A$136*(D$140*4)*($A$144*Mat_Sum!$AV42+$B$144*Mat_Sum!$D42)</f>
        <v>0.32125069782176918</v>
      </c>
      <c r="F304" s="349">
        <f ca="1">$C$6*$D$13*($D$79*Mat_Sum!$D42+$D$80*Mat_Sum!$E42+$D$81*Mat_Sum!$L42+$D$82*Mat_Sum!$AG42)</f>
        <v>3.0270611164290258E-2</v>
      </c>
      <c r="G304" s="349">
        <f ca="1">$C$6*$D$14*($D$85*Mat_Sum!$D42+$D$86*Mat_Sum!$L42+$D$87*Mat_Sum!$AG42)</f>
        <v>3.0270611164290258E-2</v>
      </c>
      <c r="H304" s="349">
        <f ca="1">$C$6*$D$15*($D$90*Mat_Sum!$D42+$D$91*Mat_Sum!$L42+$D$92*Mat_Sum!$AG42+$D$93*Mat_Sum!$AV42+$D$94*Mat_Sum!$AR42)</f>
        <v>2.7758310774111401E-2</v>
      </c>
      <c r="I304" s="348"/>
      <c r="J304" s="382">
        <f t="shared" ca="1" si="48"/>
        <v>0.43669009286546284</v>
      </c>
      <c r="K304" s="382">
        <f t="shared" ca="1" si="48"/>
        <v>0.16450176837180655</v>
      </c>
      <c r="L304" s="382">
        <f t="shared" ca="1" si="48"/>
        <v>7.2630924178114079E-2</v>
      </c>
      <c r="M304" s="382">
        <f t="shared" ca="1" si="49"/>
        <v>0.255853006265783</v>
      </c>
      <c r="N304" s="382">
        <f t="shared" ca="1" si="48"/>
        <v>2.4108358115328011E-2</v>
      </c>
      <c r="O304" s="382">
        <f t="shared" ca="1" si="48"/>
        <v>2.4108358115328011E-2</v>
      </c>
      <c r="P304" s="382">
        <f t="shared" ca="1" si="48"/>
        <v>2.2107492088177541E-2</v>
      </c>
      <c r="Q304" s="588"/>
    </row>
    <row r="305" spans="1:17">
      <c r="A305" s="589" t="s">
        <v>828</v>
      </c>
      <c r="B305" s="503">
        <f ca="1">$C$6*$D$17*($D$22*Mat_Sum!$D43+$D$23*Mat_Sum!$I43+$D$24*Mat_Sum!$L43+$D$25*Mat_Sum!$AG43+$D$26*Mat_Sum!$AH43+$D$27*Mat_Sum!$AK43+$D$28*Mat_Sum!$AS43+$D$29*Mat_Sum!$AM43+$D$30*Mat_Sum!$AT43+$D$31*Mat_Sum!$AR43+$D$32*Mat_Sum!$AV43)</f>
        <v>2.316028190587379</v>
      </c>
      <c r="C305" s="505">
        <f ca="1">$C$6*$D$10*($D$35*Mat_Sum!$D43+$D$36*Mat_Sum!$E43+$D$37*Mat_Sum!$F43+$D$38*Mat_Sum!$I43+$D$39*Mat_Sum!$L43+$D$40*Mat_Sum!$AG43+$D$41*Mat_Sum!$AK43+$D$42*Mat_Sum!$AS43+$D$43*Mat_Sum!$AR43+$D$44*Mat_Sum!$AV43+$D$45*Mat_Sum!$AT43+$D$46*Mat_Sum!$BH43+$D$47*Mat_Sum!$BG43+$D$48*Mat_Sum!$BJ43+$D$49*Mat_Sum!$BI43+$D$50*Mat_Sum!$AW43)</f>
        <v>0.86820738883056425</v>
      </c>
      <c r="D305" s="505">
        <f ca="1">$C$6*$D$11*($D$56*Mat_Sum!$D43+$D$57*Mat_Sum!$AG43+$D$58*Mat_Sum!$F43+$D$59*Mat_Sum!$AK43+$D$60*Mat_Sum!$I43+$D$61*Mat_Sum!$L43+$D$62*Mat_Sum!$AT43+$D$63*Mat_Sum!$AR43+$D$64*Mat_Sum!$AV43)</f>
        <v>0.34613781077271638</v>
      </c>
      <c r="E305" s="505">
        <f ca="1">$C$6*$D$12*($D$67*Mat_Sum!$D43+$D$68*Mat_Sum!$F43+$D$69*Mat_Sum!$I43+$D$70*Mat_Sum!$L43+$D$71*Mat_Sum!$AG43+$D$72*Mat_Sum!$AH43+$D$73*Mat_Sum!$AK43+$D$74*Mat_Sum!$AS43+$D$75*Mat_Sum!$AR43+$D$76*Mat_Sum!$AV43)+$A$136*(D$140*4)*($A$144*Mat_Sum!$AV43+$B$144*Mat_Sum!$D43)</f>
        <v>1.2602770869514206</v>
      </c>
      <c r="F305" s="505">
        <f ca="1">$C$6*$D$13*($D$79*Mat_Sum!$D43+$D$80*Mat_Sum!$E43+$D$81*Mat_Sum!$L43+$D$82*Mat_Sum!$AG43)</f>
        <v>0.12382658178564061</v>
      </c>
      <c r="G305" s="505">
        <f ca="1">$C$6*$D$14*($D$85*Mat_Sum!$D43+$D$86*Mat_Sum!$L43+$D$87*Mat_Sum!$AG43)</f>
        <v>0.12382658178564061</v>
      </c>
      <c r="H305" s="505">
        <f ca="1">$C$6*$D$15*($D$90*Mat_Sum!$D43+$D$91*Mat_Sum!$L43+$D$92*Mat_Sum!$AG43+$D$93*Mat_Sum!$AV43+$D$94*Mat_Sum!$AR43)</f>
        <v>9.4194906107178497E-2</v>
      </c>
      <c r="I305" s="502"/>
      <c r="J305" s="368">
        <f t="shared" ca="1" si="48"/>
        <v>0.45124770508159279</v>
      </c>
      <c r="K305" s="368">
        <f t="shared" ca="1" si="48"/>
        <v>0.16915881824621223</v>
      </c>
      <c r="L305" s="368">
        <f t="shared" ca="1" si="48"/>
        <v>6.7440410867167302E-2</v>
      </c>
      <c r="M305" s="368">
        <f t="shared" ca="1" si="49"/>
        <v>0.24554845470577519</v>
      </c>
      <c r="N305" s="368">
        <f t="shared" ca="1" si="48"/>
        <v>2.4125984772533096E-2</v>
      </c>
      <c r="O305" s="368">
        <f t="shared" ca="1" si="48"/>
        <v>2.4125984772533096E-2</v>
      </c>
      <c r="P305" s="368">
        <f t="shared" ca="1" si="48"/>
        <v>1.8352641554186113E-2</v>
      </c>
      <c r="Q305" s="428"/>
    </row>
    <row r="307" spans="1:17">
      <c r="A307" s="111" t="s">
        <v>1880</v>
      </c>
    </row>
    <row r="308" spans="1:17">
      <c r="A308" s="238"/>
      <c r="B308" s="3007" t="s">
        <v>1875</v>
      </c>
      <c r="C308" s="3005"/>
      <c r="D308" s="3005"/>
      <c r="E308" s="3005"/>
      <c r="F308" s="3005"/>
      <c r="G308" s="3005"/>
      <c r="H308" s="3005"/>
      <c r="I308" s="3006"/>
      <c r="J308" s="3005" t="s">
        <v>1876</v>
      </c>
      <c r="K308" s="3005"/>
      <c r="L308" s="3005"/>
      <c r="M308" s="3005"/>
      <c r="N308" s="3005"/>
      <c r="O308" s="3005"/>
      <c r="P308" s="3005"/>
      <c r="Q308" s="3006"/>
    </row>
    <row r="309" spans="1:17" ht="51">
      <c r="A309" s="230"/>
      <c r="B309" s="923" t="s">
        <v>250</v>
      </c>
      <c r="C309" s="924" t="s">
        <v>182</v>
      </c>
      <c r="D309" s="924" t="s">
        <v>183</v>
      </c>
      <c r="E309" s="924" t="s">
        <v>184</v>
      </c>
      <c r="F309" s="924" t="s">
        <v>185</v>
      </c>
      <c r="G309" s="924" t="s">
        <v>186</v>
      </c>
      <c r="H309" s="670" t="s">
        <v>187</v>
      </c>
      <c r="I309" s="953" t="s">
        <v>1860</v>
      </c>
      <c r="J309" s="923" t="s">
        <v>250</v>
      </c>
      <c r="K309" s="924" t="s">
        <v>182</v>
      </c>
      <c r="L309" s="924" t="s">
        <v>183</v>
      </c>
      <c r="M309" s="924" t="s">
        <v>184</v>
      </c>
      <c r="N309" s="924" t="s">
        <v>185</v>
      </c>
      <c r="O309" s="924" t="s">
        <v>186</v>
      </c>
      <c r="P309" s="670" t="s">
        <v>187</v>
      </c>
      <c r="Q309" s="953" t="s">
        <v>1860</v>
      </c>
    </row>
    <row r="310" spans="1:17">
      <c r="A310" s="571" t="s">
        <v>1877</v>
      </c>
      <c r="B310" s="895"/>
      <c r="C310" s="446"/>
      <c r="D310" s="446"/>
      <c r="E310" s="446"/>
      <c r="I310" s="395"/>
      <c r="J310" s="446"/>
      <c r="K310" s="446"/>
      <c r="L310" s="446"/>
      <c r="M310" s="446"/>
      <c r="Q310" s="395"/>
    </row>
    <row r="311" spans="1:17">
      <c r="A311" s="230" t="s">
        <v>816</v>
      </c>
      <c r="B311" s="347">
        <f ca="1">$D$6*$E$17*($E$22*Mat_Sum!$D15+$E$23*Mat_Sum!$I15+$E$24*Mat_Sum!$L15+$E$25*Mat_Sum!$AG15+$E$26*Mat_Sum!$AH15+$E$27*Mat_Sum!$AK15+$E$28*Mat_Sum!$AS15+$E$29*Mat_Sum!$AM15+$E$30*Mat_Sum!$AT15+$E$31*Mat_Sum!$AR15+$E$32*Mat_Sum!$AV15)</f>
        <v>62.107746059014303</v>
      </c>
      <c r="C311" s="349">
        <f ca="1">$D$6*$E$10*($E$35*Mat_Sum!$D15+$E$36*Mat_Sum!$E15+$E$37*Mat_Sum!$F15+$E$38*Mat_Sum!$I15+$E$39*Mat_Sum!$L15+$E$40*Mat_Sum!$AG15+$E$41*Mat_Sum!$AK15+$E$42*Mat_Sum!$AS15+$E$43*Mat_Sum!$AR15+$E$44*Mat_Sum!$AV15+$E$45*Mat_Sum!$AT15+$E$46*Mat_Sum!$BH15+$E$47*Mat_Sum!$BG15+$E$48*Mat_Sum!$BJ15+$E$49*Mat_Sum!$BI15+$E$50*Mat_Sum!$AW15)</f>
        <v>11.781273387559329</v>
      </c>
      <c r="D311" s="349">
        <f ca="1">$D$6*$E$11*($E$56*Mat_Sum!$D15+$E$57*Mat_Sum!$AG15+$E$58*Mat_Sum!$F15+$E$59*Mat_Sum!$AK15+$E$60*Mat_Sum!$I15+$E$61*Mat_Sum!$L15+$E$62*Mat_Sum!$AT15+$E$63*Mat_Sum!$AR15+$E$64*Mat_Sum!$AV15)</f>
        <v>3.4485233875940753</v>
      </c>
      <c r="E311" s="349">
        <f ca="1">$D$6*$E$12*($E$67*Mat_Sum!$D15+$E$68*Mat_Sum!$F15+$E$69*Mat_Sum!$I15+$E$70*Mat_Sum!$L15+$E$71*Mat_Sum!$AG15+$E$72*Mat_Sum!$AH15+$E$73*Mat_Sum!$AK15+$E$74*Mat_Sum!$AS15+$E$75*Mat_Sum!$AR15+$E$76*Mat_Sum!$AV15)+$A$136*(E$140*4)*($A$144*Mat_Sum!$AV15+$B$144*Mat_Sum!$D15)</f>
        <v>17.538729740248151</v>
      </c>
      <c r="F311" s="349">
        <f ca="1">$D$6*$E$13*($E$79*Mat_Sum!$D15+$E$80*Mat_Sum!$E15+$E$81*Mat_Sum!$L15+$E$82*Mat_Sum!$AG15)</f>
        <v>0.71470880724544616</v>
      </c>
      <c r="G311" s="349">
        <f ca="1">$D$6*$E$14*($E$85*Mat_Sum!$D15+$E$86*Mat_Sum!$L15+$E$87*Mat_Sum!$AG15)</f>
        <v>0.71470880724544616</v>
      </c>
      <c r="H311" s="349">
        <f ca="1">$D$6*$E$15*($E$90*Mat_Sum!$D15+$E$91*Mat_Sum!$L15+$E$92*Mat_Sum!$AG15+$E$93*Mat_Sum!$AV15+$E$94*Mat_Sum!$AR15)</f>
        <v>1.0431962492508926</v>
      </c>
      <c r="I311" s="348"/>
      <c r="J311" s="382">
        <f t="shared" ref="J311:P316" ca="1" si="50">B311/$E174</f>
        <v>0.63799133540648334</v>
      </c>
      <c r="K311" s="382">
        <f t="shared" ca="1" si="50"/>
        <v>0.12102114177796537</v>
      </c>
      <c r="L311" s="382">
        <f t="shared" ca="1" si="50"/>
        <v>3.5424374266312758E-2</v>
      </c>
      <c r="M311" s="382">
        <f t="shared" ref="M311:M316" ca="1" si="51">E311/$E174</f>
        <v>0.18016364009864552</v>
      </c>
      <c r="N311" s="382">
        <f t="shared" ca="1" si="50"/>
        <v>7.3417255542976923E-3</v>
      </c>
      <c r="O311" s="382">
        <f t="shared" ca="1" si="50"/>
        <v>7.3417255542976923E-3</v>
      </c>
      <c r="P311" s="382">
        <f t="shared" ca="1" si="50"/>
        <v>1.0716057341997421E-2</v>
      </c>
      <c r="Q311" s="588"/>
    </row>
    <row r="312" spans="1:17">
      <c r="A312" s="230" t="s">
        <v>817</v>
      </c>
      <c r="B312" s="347">
        <f ca="1">$D$6*$E$17*($E$22*Mat_Sum!$D16+$E$23*Mat_Sum!$I16+$E$24*Mat_Sum!$L16+$E$25*Mat_Sum!$AG16+$E$26*Mat_Sum!$AH16+$E$27*Mat_Sum!$AK16+$E$28*Mat_Sum!$AS16+$E$29*Mat_Sum!$AM16+$E$30*Mat_Sum!$AT16+$E$31*Mat_Sum!$AR16+$E$32*Mat_Sum!$AV16)</f>
        <v>56.423322449625999</v>
      </c>
      <c r="C312" s="349">
        <f ca="1">$D$6*$E$10*($E$35*Mat_Sum!$D16+$E$36*Mat_Sum!$E16+$E$37*Mat_Sum!$F16+$E$38*Mat_Sum!$I16+$E$39*Mat_Sum!$L16+$E$40*Mat_Sum!$AG16+$E$41*Mat_Sum!$AK16+$E$42*Mat_Sum!$AS16+$E$43*Mat_Sum!$AR16+$E$44*Mat_Sum!$AV16+$E$45*Mat_Sum!$AT16+$E$46*Mat_Sum!$BH16+$E$47*Mat_Sum!$BG16+$E$48*Mat_Sum!$BJ16+$E$49*Mat_Sum!$BI16+$E$50*Mat_Sum!$AW16)</f>
        <v>10.388132114326092</v>
      </c>
      <c r="D312" s="349">
        <f ca="1">$D$6*$E$11*($E$56*Mat_Sum!$D16+$E$57*Mat_Sum!$AG16+$E$58*Mat_Sum!$F16+$E$59*Mat_Sum!$AK16+$E$60*Mat_Sum!$I16+$E$61*Mat_Sum!$L16+$E$62*Mat_Sum!$AT16+$E$63*Mat_Sum!$AR16+$E$64*Mat_Sum!$AV16)</f>
        <v>2.6783990533140036</v>
      </c>
      <c r="E312" s="349">
        <f ca="1">$D$6*$E$12*($E$67*Mat_Sum!$D16+$E$68*Mat_Sum!$F16+$E$69*Mat_Sum!$I16+$E$70*Mat_Sum!$L16+$E$71*Mat_Sum!$AG16+$E$72*Mat_Sum!$AH16+$E$73*Mat_Sum!$AK16+$E$74*Mat_Sum!$AS16+$E$75*Mat_Sum!$AR16+$E$76*Mat_Sum!$AV16)+$A$136*(E$140*4)*($A$144*Mat_Sum!$AV16+$B$144*Mat_Sum!$D16)</f>
        <v>15.541913172308453</v>
      </c>
      <c r="F312" s="349">
        <f ca="1">$D$6*$E$13*($E$79*Mat_Sum!$D16+$E$80*Mat_Sum!$E16+$E$81*Mat_Sum!$L16+$E$82*Mat_Sum!$AG16)</f>
        <v>0.59287127890936397</v>
      </c>
      <c r="G312" s="349">
        <f ca="1">$D$6*$E$14*($E$85*Mat_Sum!$D16+$E$86*Mat_Sum!$L16+$E$87*Mat_Sum!$AG16)</f>
        <v>0.59287127890936397</v>
      </c>
      <c r="H312" s="349">
        <f ca="1">$D$6*$E$15*($E$90*Mat_Sum!$D16+$E$91*Mat_Sum!$L16+$E$92*Mat_Sum!$AG16+$E$93*Mat_Sum!$AV16+$E$94*Mat_Sum!$AR16)</f>
        <v>0.89695796481779932</v>
      </c>
      <c r="I312" s="348"/>
      <c r="J312" s="382">
        <f t="shared" ca="1" si="50"/>
        <v>0.64769175764353193</v>
      </c>
      <c r="K312" s="382">
        <f t="shared" ca="1" si="50"/>
        <v>0.1192469222947307</v>
      </c>
      <c r="L312" s="382">
        <f t="shared" ca="1" si="50"/>
        <v>3.0745743341514586E-2</v>
      </c>
      <c r="M312" s="382">
        <f t="shared" ca="1" si="51"/>
        <v>0.17840794591106798</v>
      </c>
      <c r="N312" s="382">
        <f t="shared" ca="1" si="50"/>
        <v>6.8056580864411667E-3</v>
      </c>
      <c r="O312" s="382">
        <f t="shared" ca="1" si="50"/>
        <v>6.8056580864411667E-3</v>
      </c>
      <c r="P312" s="382">
        <f t="shared" ca="1" si="50"/>
        <v>1.0296314636272478E-2</v>
      </c>
      <c r="Q312" s="588"/>
    </row>
    <row r="313" spans="1:17">
      <c r="A313" s="230" t="s">
        <v>805</v>
      </c>
      <c r="B313" s="347">
        <f ca="1">$D$6*$E$17*($E$22*Mat_Sum!$D17+$E$23*Mat_Sum!$I17+$E$24*Mat_Sum!$L17+$E$25*Mat_Sum!$AG17+$E$26*Mat_Sum!$AH17+$E$27*Mat_Sum!$AK17+$E$28*Mat_Sum!$AS17+$E$29*Mat_Sum!$AM17+$E$30*Mat_Sum!$AT17+$E$31*Mat_Sum!$AR17+$E$32*Mat_Sum!$AV17)</f>
        <v>7.2590593050867724</v>
      </c>
      <c r="C313" s="349">
        <f ca="1">$D$6*$E$10*($E$35*Mat_Sum!$D17+$E$36*Mat_Sum!$E17+$E$37*Mat_Sum!$F17+$E$38*Mat_Sum!$I17+$E$39*Mat_Sum!$L17+$E$40*Mat_Sum!$AG17+$E$41*Mat_Sum!$AK17+$E$42*Mat_Sum!$AS17+$E$43*Mat_Sum!$AR17+$E$44*Mat_Sum!$AV17+$E$45*Mat_Sum!$AT17+$E$46*Mat_Sum!$BH17+$E$47*Mat_Sum!$BG17+$E$48*Mat_Sum!$BJ17+$E$49*Mat_Sum!$BI17+$E$50*Mat_Sum!$AW17)</f>
        <v>4.3549345229299892</v>
      </c>
      <c r="D313" s="349">
        <f ca="1">$D$6*$E$11*($E$56*Mat_Sum!$D17+$E$57*Mat_Sum!$AG17+$E$58*Mat_Sum!$F17+$E$59*Mat_Sum!$AK17+$E$60*Mat_Sum!$I17+$E$61*Mat_Sum!$L17+$E$62*Mat_Sum!$AT17+$E$63*Mat_Sum!$AR17+$E$64*Mat_Sum!$AV17)</f>
        <v>1.292623620502946</v>
      </c>
      <c r="E313" s="349">
        <f ca="1">$D$6*$E$12*($E$67*Mat_Sum!$D17+$E$68*Mat_Sum!$F17+$E$69*Mat_Sum!$I17+$E$70*Mat_Sum!$L17+$E$71*Mat_Sum!$AG17+$E$72*Mat_Sum!$AH17+$E$73*Mat_Sum!$AK17+$E$74*Mat_Sum!$AS17+$E$75*Mat_Sum!$AR17+$E$76*Mat_Sum!$AV17)+$A$136*(E$140*4)*($A$144*Mat_Sum!$AV17+$B$144*Mat_Sum!$D17)</f>
        <v>4.3401523838902163</v>
      </c>
      <c r="F313" s="349">
        <f ca="1">$D$6*$E$13*($E$79*Mat_Sum!$D17+$E$80*Mat_Sum!$E17+$E$81*Mat_Sum!$L17+$E$82*Mat_Sum!$AG17)</f>
        <v>0.22654552650766011</v>
      </c>
      <c r="G313" s="349">
        <f ca="1">$D$6*$E$14*($E$85*Mat_Sum!$D17+$E$86*Mat_Sum!$L17+$E$87*Mat_Sum!$AG17)</f>
        <v>0.22654552650766011</v>
      </c>
      <c r="H313" s="349">
        <f ca="1">$D$6*$E$15*($E$90*Mat_Sum!$D17+$E$91*Mat_Sum!$L17+$E$92*Mat_Sum!$AG17+$E$93*Mat_Sum!$AV17+$E$94*Mat_Sum!$AR17)</f>
        <v>0.13692232298080753</v>
      </c>
      <c r="I313" s="348"/>
      <c r="J313" s="382">
        <f t="shared" ca="1" si="50"/>
        <v>0.40697132550592147</v>
      </c>
      <c r="K313" s="382">
        <f t="shared" ca="1" si="50"/>
        <v>0.2441547039085844</v>
      </c>
      <c r="L313" s="382">
        <f t="shared" ca="1" si="50"/>
        <v>7.2469548202714229E-2</v>
      </c>
      <c r="M313" s="382">
        <f t="shared" ca="1" si="51"/>
        <v>0.24332595923713454</v>
      </c>
      <c r="N313" s="382">
        <f t="shared" ca="1" si="50"/>
        <v>1.2701030441458446E-2</v>
      </c>
      <c r="O313" s="382">
        <f t="shared" ca="1" si="50"/>
        <v>1.2701030441458446E-2</v>
      </c>
      <c r="P313" s="382">
        <f t="shared" ca="1" si="50"/>
        <v>7.6764022627285903E-3</v>
      </c>
      <c r="Q313" s="588"/>
    </row>
    <row r="314" spans="1:17">
      <c r="A314" s="230" t="s">
        <v>804</v>
      </c>
      <c r="B314" s="347">
        <f ca="1">$D$6*$E$17*($E$22*Mat_Sum!$D18+$E$23*Mat_Sum!$I18+$E$24*Mat_Sum!$L18+$E$25*Mat_Sum!$AG18+$E$26*Mat_Sum!$AH18+$E$27*Mat_Sum!$AK18+$E$28*Mat_Sum!$AS18+$E$29*Mat_Sum!$AM18+$E$30*Mat_Sum!$AT18+$E$31*Mat_Sum!$AR18+$E$32*Mat_Sum!$AV18)</f>
        <v>34.685008800716311</v>
      </c>
      <c r="C314" s="349">
        <f ca="1">$D$6*$E$10*($E$35*Mat_Sum!$D18+$E$36*Mat_Sum!$E18+$E$37*Mat_Sum!$F18+$E$38*Mat_Sum!$I18+$E$39*Mat_Sum!$L18+$E$40*Mat_Sum!$AG18+$E$41*Mat_Sum!$AK18+$E$42*Mat_Sum!$AS18+$E$43*Mat_Sum!$AR18+$E$44*Mat_Sum!$AV18+$E$45*Mat_Sum!$AT18+$E$46*Mat_Sum!$BH18+$E$47*Mat_Sum!$BG18+$E$48*Mat_Sum!$BJ18+$E$49*Mat_Sum!$BI18+$E$50*Mat_Sum!$AW18)</f>
        <v>4.8620108982820307</v>
      </c>
      <c r="D314" s="349">
        <f ca="1">$D$6*$E$11*($E$56*Mat_Sum!$D18+$E$57*Mat_Sum!$AG18+$E$58*Mat_Sum!$F18+$E$59*Mat_Sum!$AK18+$E$60*Mat_Sum!$I18+$E$61*Mat_Sum!$L18+$E$62*Mat_Sum!$AT18+$E$63*Mat_Sum!$AR18+$E$64*Mat_Sum!$AV18)</f>
        <v>1.1149975612621206</v>
      </c>
      <c r="E314" s="349">
        <f ca="1">$D$6*$E$12*($E$67*Mat_Sum!$D18+$E$68*Mat_Sum!$F18+$E$69*Mat_Sum!$I18+$E$70*Mat_Sum!$L18+$E$71*Mat_Sum!$AG18+$E$72*Mat_Sum!$AH18+$E$73*Mat_Sum!$AK18+$E$74*Mat_Sum!$AS18+$E$75*Mat_Sum!$AR18+$E$76*Mat_Sum!$AV18)+$A$136*(E$140*4)*($A$144*Mat_Sum!$AV18+$B$144*Mat_Sum!$D18)</f>
        <v>8.3890389991039989</v>
      </c>
      <c r="F314" s="349">
        <f ca="1">F312-F313-F315</f>
        <v>0.31246885018015202</v>
      </c>
      <c r="G314" s="349">
        <f ca="1">G312-G313-G315</f>
        <v>0.31246885018015202</v>
      </c>
      <c r="H314" s="349">
        <f ca="1">H312-H313-H315</f>
        <v>0.56650421309265697</v>
      </c>
      <c r="I314" s="348"/>
      <c r="J314" s="382">
        <f t="shared" ca="1" si="50"/>
        <v>0.69035199407106429</v>
      </c>
      <c r="K314" s="382">
        <f t="shared" ca="1" si="50"/>
        <v>9.6770882720806126E-2</v>
      </c>
      <c r="L314" s="382">
        <f t="shared" ca="1" si="50"/>
        <v>2.219231928768552E-2</v>
      </c>
      <c r="M314" s="382">
        <f t="shared" ca="1" si="51"/>
        <v>0.16697097684610557</v>
      </c>
      <c r="N314" s="382">
        <f t="shared" ca="1" si="50"/>
        <v>6.219214042768405E-3</v>
      </c>
      <c r="O314" s="382">
        <f t="shared" ca="1" si="50"/>
        <v>6.219214042768405E-3</v>
      </c>
      <c r="P314" s="382">
        <f t="shared" ca="1" si="50"/>
        <v>1.1275398988801703E-2</v>
      </c>
      <c r="Q314" s="588"/>
    </row>
    <row r="315" spans="1:17">
      <c r="A315" s="230" t="s">
        <v>818</v>
      </c>
      <c r="B315" s="347">
        <f ca="1">$D$6*$E$17*($E$22*Mat_Sum!$D19+$E$23*Mat_Sum!$I19+$E$24*Mat_Sum!$L19+$E$25*Mat_Sum!$AG19+$E$26*Mat_Sum!$AH19+$E$27*Mat_Sum!$AK19+$E$28*Mat_Sum!$AS19+$E$29*Mat_Sum!$AM19+$E$30*Mat_Sum!$AT19+$E$31*Mat_Sum!$AR19+$E$32*Mat_Sum!$AV19)</f>
        <v>14.479254343822927</v>
      </c>
      <c r="C315" s="349">
        <f ca="1">$D$6*$E$10*($E$35*Mat_Sum!$D19+$E$36*Mat_Sum!$E19+$E$37*Mat_Sum!$F19+$E$38*Mat_Sum!$I19+$E$39*Mat_Sum!$L19+$E$40*Mat_Sum!$AG19+$E$41*Mat_Sum!$AK19+$E$42*Mat_Sum!$AS19+$E$43*Mat_Sum!$AR19+$E$44*Mat_Sum!$AV19+$E$45*Mat_Sum!$AT19+$E$46*Mat_Sum!$BH19+$E$47*Mat_Sum!$BG19+$E$48*Mat_Sum!$BJ19+$E$49*Mat_Sum!$BI19+$E$50*Mat_Sum!$AW19)</f>
        <v>1.1711866931140722</v>
      </c>
      <c r="D315" s="349">
        <f ca="1">$D$6*$E$11*($E$56*Mat_Sum!$D19+$E$57*Mat_Sum!$AG19+$E$58*Mat_Sum!$F19+$E$59*Mat_Sum!$AK19+$E$60*Mat_Sum!$I19+$E$61*Mat_Sum!$L19+$E$62*Mat_Sum!$AT19+$E$63*Mat_Sum!$AR19+$E$64*Mat_Sum!$AV19)</f>
        <v>0.27077787154893718</v>
      </c>
      <c r="E315" s="349">
        <f ca="1">$D$6*$E$12*($E$67*Mat_Sum!$D19+$E$68*Mat_Sum!$F19+$E$69*Mat_Sum!$I19+$E$70*Mat_Sum!$L19+$E$71*Mat_Sum!$AG19+$E$72*Mat_Sum!$AH19+$E$73*Mat_Sum!$AK19+$E$74*Mat_Sum!$AS19+$E$75*Mat_Sum!$AR19+$E$76*Mat_Sum!$AV19)+$A$136*(E$140*4)*($A$144*Mat_Sum!$AV19+$B$144*Mat_Sum!$D19)</f>
        <v>2.8127217893142422</v>
      </c>
      <c r="F315" s="349">
        <f ca="1">$D$6*$E$13*($E$79*Mat_Sum!$D19+$E$80*Mat_Sum!$E19+$E$81*Mat_Sum!$L19+$E$82*Mat_Sum!$AG19)</f>
        <v>5.3856902221551831E-2</v>
      </c>
      <c r="G315" s="349">
        <f ca="1">$D$6*$E$14*($E$85*Mat_Sum!$D19+$E$86*Mat_Sum!$L19+$E$87*Mat_Sum!$AG19)</f>
        <v>5.3856902221551831E-2</v>
      </c>
      <c r="H315" s="349">
        <f ca="1">$D$6*$E$15*($E$90*Mat_Sum!$D19+$E$91*Mat_Sum!$L19+$E$92*Mat_Sum!$AG19+$E$93*Mat_Sum!$AV19+$E$94*Mat_Sum!$AR19)</f>
        <v>0.19353142874433485</v>
      </c>
      <c r="I315" s="348"/>
      <c r="J315" s="382">
        <f t="shared" ca="1" si="50"/>
        <v>0.76065736349083757</v>
      </c>
      <c r="K315" s="382">
        <f t="shared" ca="1" si="50"/>
        <v>6.152746273980348E-2</v>
      </c>
      <c r="L315" s="382">
        <f t="shared" ca="1" si="50"/>
        <v>1.4225123543875369E-2</v>
      </c>
      <c r="M315" s="382">
        <f t="shared" ca="1" si="51"/>
        <v>0.14776434543438721</v>
      </c>
      <c r="N315" s="382">
        <f t="shared" ca="1" si="50"/>
        <v>2.8293341823300766E-3</v>
      </c>
      <c r="O315" s="382">
        <f t="shared" ca="1" si="50"/>
        <v>2.8293341823300766E-3</v>
      </c>
      <c r="P315" s="382">
        <f t="shared" ca="1" si="50"/>
        <v>1.0167036426436087E-2</v>
      </c>
      <c r="Q315" s="588"/>
    </row>
    <row r="316" spans="1:17">
      <c r="A316" s="230" t="s">
        <v>819</v>
      </c>
      <c r="B316" s="517">
        <f ca="1">$D$6*$E$17*($E$22*Mat_Sum!$D20+$E$23*Mat_Sum!$I20+$E$24*Mat_Sum!$L20+$E$25*Mat_Sum!$AG20+$E$26*Mat_Sum!$AH20+$E$27*Mat_Sum!$AK20+$E$28*Mat_Sum!$AS20+$E$29*Mat_Sum!$AM20+$E$30*Mat_Sum!$AT20+$E$31*Mat_Sum!$AR20+$E$32*Mat_Sum!$AV20)</f>
        <v>2510.4268594651339</v>
      </c>
      <c r="C316" s="419">
        <f ca="1">$D$6*$E$10*($E$35*Mat_Sum!$D20+$E$36*Mat_Sum!$E20+$E$37*Mat_Sum!$F20+$E$38*Mat_Sum!$I20+$E$39*Mat_Sum!$L20+$E$40*Mat_Sum!$AG20+$E$41*Mat_Sum!$AK20+$E$42*Mat_Sum!$AS20+$E$43*Mat_Sum!$AR20+$E$44*Mat_Sum!$AV20+$E$45*Mat_Sum!$AT20+$E$46*Mat_Sum!$BH20+$E$47*Mat_Sum!$BG20+$E$48*Mat_Sum!$BJ20+$E$49*Mat_Sum!$BI20+$E$50*Mat_Sum!$AW20)</f>
        <v>724.51867986311765</v>
      </c>
      <c r="D316" s="419">
        <f ca="1">$D$6*$E$11*($E$56*Mat_Sum!$D20+$E$57*Mat_Sum!$AG20+$E$58*Mat_Sum!$F20+$E$59*Mat_Sum!$AK20+$E$60*Mat_Sum!$I20+$E$61*Mat_Sum!$L20+$E$62*Mat_Sum!$AT20+$E$63*Mat_Sum!$AR20+$E$64*Mat_Sum!$AV20)</f>
        <v>425.15213772188395</v>
      </c>
      <c r="E316" s="419">
        <f ca="1">$D$6*$E$12*($E$67*Mat_Sum!$D20+$E$68*Mat_Sum!$F20+$E$69*Mat_Sum!$I20+$E$70*Mat_Sum!$L20+$E$71*Mat_Sum!$AG20+$E$72*Mat_Sum!$AH20+$E$73*Mat_Sum!$AK20+$E$74*Mat_Sum!$AS20+$E$75*Mat_Sum!$AR20+$E$76*Mat_Sum!$AV20)+$A$136*(E$140*4)*($A$144*Mat_Sum!$AV20+$B$144*Mat_Sum!$D20)</f>
        <v>1106.2641850466546</v>
      </c>
      <c r="F316" s="419">
        <f ca="1">$D$6*$E$13*($E$79*Mat_Sum!$D20+$E$80*Mat_Sum!$E20+$E$81*Mat_Sum!$L20+$E$82*Mat_Sum!$AG20)</f>
        <v>61.252433086137607</v>
      </c>
      <c r="G316" s="419">
        <f ca="1">$D$6*$E$14*($E$85*Mat_Sum!$D20+$E$86*Mat_Sum!$L20+$E$87*Mat_Sum!$AG20)</f>
        <v>61.252433086137607</v>
      </c>
      <c r="H316" s="419">
        <f ca="1">$D$6*$E$15*($E$90*Mat_Sum!$D20+$E$91*Mat_Sum!$L20+$E$92*Mat_Sum!$AG20+$E$93*Mat_Sum!$AV20+$E$94*Mat_Sum!$AR20)</f>
        <v>83.942573744647376</v>
      </c>
      <c r="I316" s="516"/>
      <c r="J316" s="382">
        <f t="shared" ca="1" si="50"/>
        <v>0.50483071177665106</v>
      </c>
      <c r="K316" s="382">
        <f t="shared" ca="1" si="50"/>
        <v>0.14569605143911865</v>
      </c>
      <c r="L316" s="382">
        <f t="shared" ca="1" si="50"/>
        <v>8.5495363264728619E-2</v>
      </c>
      <c r="M316" s="382">
        <f t="shared" ca="1" si="51"/>
        <v>0.22246261979092558</v>
      </c>
      <c r="N316" s="382">
        <f t="shared" ca="1" si="50"/>
        <v>1.2317470742610973E-2</v>
      </c>
      <c r="O316" s="382">
        <f t="shared" ca="1" si="50"/>
        <v>1.2317470742610973E-2</v>
      </c>
      <c r="P316" s="382">
        <f t="shared" ca="1" si="50"/>
        <v>1.6880312243354127E-2</v>
      </c>
      <c r="Q316" s="588"/>
    </row>
    <row r="317" spans="1:17">
      <c r="A317" s="571" t="s">
        <v>964</v>
      </c>
      <c r="B317" s="347"/>
      <c r="C317" s="349"/>
      <c r="D317" s="349"/>
      <c r="E317" s="349"/>
      <c r="F317" s="349"/>
      <c r="G317" s="349"/>
      <c r="H317" s="349"/>
      <c r="I317" s="348"/>
      <c r="J317" s="382"/>
      <c r="K317" s="382"/>
      <c r="L317" s="382"/>
      <c r="M317" s="382"/>
      <c r="N317" s="382"/>
      <c r="O317" s="382"/>
      <c r="P317" s="382"/>
      <c r="Q317" s="588"/>
    </row>
    <row r="318" spans="1:17">
      <c r="A318" s="230" t="s">
        <v>821</v>
      </c>
      <c r="B318" s="347">
        <f ca="1">$D$6*$E$17*($E$22*Mat_Sum!$D22+$E$23*Mat_Sum!$I22+$E$24*Mat_Sum!$L22+$E$25*Mat_Sum!$AG22+$E$26*Mat_Sum!$AH22+$E$27*Mat_Sum!$AK22+$E$28*Mat_Sum!$AS22+$E$29*Mat_Sum!$AM22+$E$30*Mat_Sum!$AT22+$E$31*Mat_Sum!$AR22+$E$32*Mat_Sum!$AV22)</f>
        <v>1016.660796157318</v>
      </c>
      <c r="C318" s="349">
        <f ca="1">$D$6*$E$10*($E$35*Mat_Sum!$D22+$E$36*Mat_Sum!$E22+$E$37*Mat_Sum!$F22+$E$38*Mat_Sum!$I22+$E$39*Mat_Sum!$L22+$E$40*Mat_Sum!$AG22+$E$41*Mat_Sum!$AK22+$E$42*Mat_Sum!$AS22+$E$43*Mat_Sum!$AR22+$E$44*Mat_Sum!$AV22+$E$45*Mat_Sum!$AT22+$E$46*Mat_Sum!$BH22+$E$47*Mat_Sum!$BG22+$E$48*Mat_Sum!$BJ22+$E$49*Mat_Sum!$BI22+$E$50*Mat_Sum!$AW22)</f>
        <v>613.70959295971056</v>
      </c>
      <c r="D318" s="349">
        <f ca="1">$D$6*$E$11*($E$56*Mat_Sum!$D22+$E$57*Mat_Sum!$AG22+$E$58*Mat_Sum!$F22+$E$59*Mat_Sum!$AK22+$E$60*Mat_Sum!$I22+$E$61*Mat_Sum!$L22+$E$62*Mat_Sum!$AT22+$E$63*Mat_Sum!$AR22+$E$64*Mat_Sum!$AV22)</f>
        <v>136.04125724147232</v>
      </c>
      <c r="E318" s="349">
        <f ca="1">$D$6*$E$12*($E$67*Mat_Sum!$D22+$E$68*Mat_Sum!$F22+$E$69*Mat_Sum!$I22+$E$70*Mat_Sum!$L22+$E$71*Mat_Sum!$AG22+$E$72*Mat_Sum!$AH22+$E$73*Mat_Sum!$AK22+$E$74*Mat_Sum!$AS22+$E$75*Mat_Sum!$AR22+$E$76*Mat_Sum!$AV22)+$A$136*(E$140*4)*($A$144*Mat_Sum!$AV22+$B$144*Mat_Sum!$D22)</f>
        <v>1084.5376638024993</v>
      </c>
      <c r="F318" s="349">
        <f ca="1">$D$6*$E$13*($E$79*Mat_Sum!$D22+$E$80*Mat_Sum!$E22+$E$81*Mat_Sum!$L22+$E$82*Mat_Sum!$AG22)</f>
        <v>22.648238149283141</v>
      </c>
      <c r="G318" s="349">
        <f ca="1">$D$6*$E$14*($E$85*Mat_Sum!$D22+$E$86*Mat_Sum!$L22+$E$87*Mat_Sum!$AG22)</f>
        <v>22.648238149283141</v>
      </c>
      <c r="H318" s="349">
        <f ca="1">$D$6*$E$15*($E$90*Mat_Sum!$D22+$E$91*Mat_Sum!$L22+$E$92*Mat_Sum!$AG22+$E$93*Mat_Sum!$AV22+$E$94*Mat_Sum!$AR22)</f>
        <v>19.182220608348711</v>
      </c>
      <c r="I318" s="348"/>
      <c r="J318" s="382">
        <f t="shared" ref="J318:J330" ca="1" si="52">B318/$E181</f>
        <v>0.34871751032528064</v>
      </c>
      <c r="K318" s="382">
        <f t="shared" ref="K318:K330" ca="1" si="53">C318/$E181</f>
        <v>0.21050411516658457</v>
      </c>
      <c r="L318" s="382">
        <f t="shared" ref="L318:L330" ca="1" si="54">D318/$E181</f>
        <v>4.6662533566826377E-2</v>
      </c>
      <c r="M318" s="382">
        <f t="shared" ref="M318:M330" ca="1" si="55">E318/$E181</f>
        <v>0.37199946669004985</v>
      </c>
      <c r="N318" s="382">
        <f t="shared" ref="N318:N330" ca="1" si="56">F318/$E181</f>
        <v>7.7684093362541222E-3</v>
      </c>
      <c r="O318" s="382">
        <f t="shared" ref="O318:O330" ca="1" si="57">G318/$E181</f>
        <v>7.7684093362541222E-3</v>
      </c>
      <c r="P318" s="382">
        <f t="shared" ref="P318:P330" ca="1" si="58">H318/$E181</f>
        <v>6.5795555787503479E-3</v>
      </c>
      <c r="Q318" s="588"/>
    </row>
    <row r="319" spans="1:17">
      <c r="A319" s="230" t="s">
        <v>822</v>
      </c>
      <c r="B319" s="347">
        <f ca="1">$D$6*$E$17*($E$22*Mat_Sum!$D23+$E$23*Mat_Sum!$I23+$E$24*Mat_Sum!$L23+$E$25*Mat_Sum!$AG23+$E$26*Mat_Sum!$AH23+$E$27*Mat_Sum!$AK23+$E$28*Mat_Sum!$AS23+$E$29*Mat_Sum!$AM23+$E$30*Mat_Sum!$AT23+$E$31*Mat_Sum!$AR23+$E$32*Mat_Sum!$AV23)</f>
        <v>3356.2087823290594</v>
      </c>
      <c r="C319" s="349">
        <f ca="1">$D$6*$E$10*($E$35*Mat_Sum!$D23+$E$36*Mat_Sum!$E23+$E$37*Mat_Sum!$F23+$E$38*Mat_Sum!$I23+$E$39*Mat_Sum!$L23+$E$40*Mat_Sum!$AG23+$E$41*Mat_Sum!$AK23+$E$42*Mat_Sum!$AS23+$E$43*Mat_Sum!$AR23+$E$44*Mat_Sum!$AV23+$E$45*Mat_Sum!$AT23+$E$46*Mat_Sum!$BH23+$E$47*Mat_Sum!$BG23+$E$48*Mat_Sum!$BJ23+$E$49*Mat_Sum!$BI23+$E$50*Mat_Sum!$AW23)</f>
        <v>3865.9043744282567</v>
      </c>
      <c r="D319" s="349">
        <f ca="1">$D$6*$E$11*($E$56*Mat_Sum!$D23+$E$57*Mat_Sum!$AG23+$E$58*Mat_Sum!$F23+$E$59*Mat_Sum!$AK23+$E$60*Mat_Sum!$I23+$E$61*Mat_Sum!$L23+$E$62*Mat_Sum!$AT23+$E$63*Mat_Sum!$AR23+$E$64*Mat_Sum!$AV23)</f>
        <v>892.66339329600225</v>
      </c>
      <c r="E319" s="349">
        <f ca="1">$D$6*$E$12*($E$67*Mat_Sum!$D23+$E$68*Mat_Sum!$F23+$E$69*Mat_Sum!$I23+$E$70*Mat_Sum!$L23+$E$71*Mat_Sum!$AG23+$E$72*Mat_Sum!$AH23+$E$73*Mat_Sum!$AK23+$E$74*Mat_Sum!$AS23+$E$75*Mat_Sum!$AR23+$E$76*Mat_Sum!$AV23)+$A$136*(E$140*4)*($A$144*Mat_Sum!$AV23+$B$144*Mat_Sum!$D23)</f>
        <v>3178.0208569724086</v>
      </c>
      <c r="F319" s="349">
        <f ca="1">$D$6*$E$13*($E$79*Mat_Sum!$D23+$E$80*Mat_Sum!$E23+$E$81*Mat_Sum!$L23+$E$82*Mat_Sum!$AG23)</f>
        <v>148.41941868133119</v>
      </c>
      <c r="G319" s="349">
        <f ca="1">$D$6*$E$14*($E$85*Mat_Sum!$D23+$E$86*Mat_Sum!$L23+$E$87*Mat_Sum!$AG23)</f>
        <v>148.41941868133119</v>
      </c>
      <c r="H319" s="349">
        <f ca="1">$D$6*$E$15*($E$90*Mat_Sum!$D23+$E$91*Mat_Sum!$L23+$E$92*Mat_Sum!$AG23+$E$93*Mat_Sum!$AV23+$E$94*Mat_Sum!$AR23)</f>
        <v>74.050974424120056</v>
      </c>
      <c r="I319" s="348"/>
      <c r="J319" s="382">
        <f t="shared" ca="1" si="52"/>
        <v>0.28774852406156665</v>
      </c>
      <c r="K319" s="382">
        <f t="shared" ca="1" si="53"/>
        <v>0.3314478776653827</v>
      </c>
      <c r="L319" s="382">
        <f t="shared" ca="1" si="54"/>
        <v>7.6533550373008463E-2</v>
      </c>
      <c r="M319" s="382">
        <f t="shared" ca="1" si="55"/>
        <v>0.27247137181855646</v>
      </c>
      <c r="N319" s="382">
        <f t="shared" ca="1" si="56"/>
        <v>1.2724914162816679E-2</v>
      </c>
      <c r="O319" s="382">
        <f t="shared" ca="1" si="57"/>
        <v>1.2724914162816679E-2</v>
      </c>
      <c r="P319" s="382">
        <f t="shared" ca="1" si="58"/>
        <v>6.3488477558522223E-3</v>
      </c>
      <c r="Q319" s="588"/>
    </row>
    <row r="320" spans="1:17">
      <c r="A320" s="230" t="s">
        <v>823</v>
      </c>
      <c r="B320" s="347">
        <f ca="1">$D$6*$E$17*($E$22*Mat_Sum!$D24+$E$23*Mat_Sum!$I24+$E$24*Mat_Sum!$L24+$E$25*Mat_Sum!$AG24+$E$26*Mat_Sum!$AH24+$E$27*Mat_Sum!$AK24+$E$28*Mat_Sum!$AS24+$E$29*Mat_Sum!$AM24+$E$30*Mat_Sum!$AT24+$E$31*Mat_Sum!$AR24+$E$32*Mat_Sum!$AV24)</f>
        <v>3121.2486852159254</v>
      </c>
      <c r="C320" s="349">
        <f ca="1">$D$6*$E$10*($E$35*Mat_Sum!$D24+$E$36*Mat_Sum!$E24+$E$37*Mat_Sum!$F24+$E$38*Mat_Sum!$I24+$E$39*Mat_Sum!$L24+$E$40*Mat_Sum!$AG24+$E$41*Mat_Sum!$AK24+$E$42*Mat_Sum!$AS24+$E$43*Mat_Sum!$AR24+$E$44*Mat_Sum!$AV24+$E$45*Mat_Sum!$AT24+$E$46*Mat_Sum!$BH24+$E$47*Mat_Sum!$BG24+$E$48*Mat_Sum!$BJ24+$E$49*Mat_Sum!$BI24+$E$50*Mat_Sum!$AW24)</f>
        <v>788.7918866492289</v>
      </c>
      <c r="D320" s="349">
        <f ca="1">$D$6*$E$11*($E$56*Mat_Sum!$D24+$E$57*Mat_Sum!$AG24+$E$58*Mat_Sum!$F24+$E$59*Mat_Sum!$AK24+$E$60*Mat_Sum!$I24+$E$61*Mat_Sum!$L24+$E$62*Mat_Sum!$AT24+$E$63*Mat_Sum!$AR24+$E$64*Mat_Sum!$AV24)</f>
        <v>218.02756528848508</v>
      </c>
      <c r="E320" s="349">
        <f ca="1">$D$6*$E$12*($E$67*Mat_Sum!$D24+$E$68*Mat_Sum!$F24+$E$69*Mat_Sum!$I24+$E$70*Mat_Sum!$L24+$E$71*Mat_Sum!$AG24+$E$72*Mat_Sum!$AH24+$E$73*Mat_Sum!$AK24+$E$74*Mat_Sum!$AS24+$E$75*Mat_Sum!$AR24+$E$76*Mat_Sum!$AV24)+$A$136*(E$140*4)*($A$144*Mat_Sum!$AV24+$B$144*Mat_Sum!$D24)</f>
        <v>1265.5647655926405</v>
      </c>
      <c r="F320" s="349">
        <f ca="1">$D$6*$E$13*($E$79*Mat_Sum!$D24+$E$80*Mat_Sum!$E24+$E$81*Mat_Sum!$L24+$E$82*Mat_Sum!$AG24)</f>
        <v>47.362508550139538</v>
      </c>
      <c r="G320" s="349">
        <f ca="1">$D$6*$E$14*($E$85*Mat_Sum!$D24+$E$86*Mat_Sum!$L24+$E$87*Mat_Sum!$AG24)</f>
        <v>47.362508550139538</v>
      </c>
      <c r="H320" s="349">
        <f ca="1">$D$6*$E$15*($E$90*Mat_Sum!$D24+$E$91*Mat_Sum!$L24+$E$92*Mat_Sum!$AG24+$E$93*Mat_Sum!$AV24+$E$94*Mat_Sum!$AR24)</f>
        <v>56.628913601840914</v>
      </c>
      <c r="I320" s="348"/>
      <c r="J320" s="382">
        <f t="shared" ca="1" si="52"/>
        <v>0.56289559902793074</v>
      </c>
      <c r="K320" s="382">
        <f t="shared" ca="1" si="53"/>
        <v>0.14225315773359254</v>
      </c>
      <c r="L320" s="382">
        <f t="shared" ca="1" si="54"/>
        <v>3.9319762487676609E-2</v>
      </c>
      <c r="M320" s="382">
        <f t="shared" ca="1" si="55"/>
        <v>0.22823584682988188</v>
      </c>
      <c r="N320" s="382">
        <f t="shared" ca="1" si="56"/>
        <v>8.541500633408184E-3</v>
      </c>
      <c r="O320" s="382">
        <f t="shared" ca="1" si="57"/>
        <v>8.541500633408184E-3</v>
      </c>
      <c r="P320" s="382">
        <f t="shared" ca="1" si="58"/>
        <v>1.0212632654102027E-2</v>
      </c>
      <c r="Q320" s="588"/>
    </row>
    <row r="321" spans="1:17">
      <c r="A321" s="230" t="s">
        <v>824</v>
      </c>
      <c r="B321" s="347">
        <f ca="1">$D$6*$E$17*($E$22*Mat_Sum!$D25+$E$23*Mat_Sum!$I25+$E$24*Mat_Sum!$L25+$E$25*Mat_Sum!$AG25+$E$26*Mat_Sum!$AH25+$E$27*Mat_Sum!$AK25+$E$28*Mat_Sum!$AS25+$E$29*Mat_Sum!$AM25+$E$30*Mat_Sum!$AT25+$E$31*Mat_Sum!$AR25+$E$32*Mat_Sum!$AV25)</f>
        <v>1642.3919232151395</v>
      </c>
      <c r="C321" s="349">
        <f ca="1">$D$6*$E$10*($E$35*Mat_Sum!$D25+$E$36*Mat_Sum!$E25+$E$37*Mat_Sum!$F25+$E$38*Mat_Sum!$I25+$E$39*Mat_Sum!$L25+$E$40*Mat_Sum!$AG25+$E$41*Mat_Sum!$AK25+$E$42*Mat_Sum!$AS25+$E$43*Mat_Sum!$AR25+$E$44*Mat_Sum!$AV25+$E$45*Mat_Sum!$AT25+$E$46*Mat_Sum!$BH25+$E$47*Mat_Sum!$BG25+$E$48*Mat_Sum!$BJ25+$E$49*Mat_Sum!$BI25+$E$50*Mat_Sum!$AW25)</f>
        <v>435.08321668013406</v>
      </c>
      <c r="D321" s="349">
        <f ca="1">$D$6*$E$11*($E$56*Mat_Sum!$D25+$E$57*Mat_Sum!$AG25+$E$58*Mat_Sum!$F25+$E$59*Mat_Sum!$AK25+$E$60*Mat_Sum!$I25+$E$61*Mat_Sum!$L25+$E$62*Mat_Sum!$AT25+$E$63*Mat_Sum!$AR25+$E$64*Mat_Sum!$AV25)</f>
        <v>131.80610205191499</v>
      </c>
      <c r="E321" s="349">
        <f ca="1">$D$6*$E$12*($E$67*Mat_Sum!$D25+$E$68*Mat_Sum!$F25+$E$69*Mat_Sum!$I25+$E$70*Mat_Sum!$L25+$E$71*Mat_Sum!$AG25+$E$72*Mat_Sum!$AH25+$E$73*Mat_Sum!$AK25+$E$74*Mat_Sum!$AS25+$E$75*Mat_Sum!$AR25+$E$76*Mat_Sum!$AV25)+$A$136*(E$140*4)*($A$144*Mat_Sum!$AV25+$B$144*Mat_Sum!$D25)</f>
        <v>574.75377449657003</v>
      </c>
      <c r="F321" s="349">
        <f ca="1">$D$6*$E$13*($E$79*Mat_Sum!$D25+$E$80*Mat_Sum!$E25+$E$81*Mat_Sum!$L25+$E$82*Mat_Sum!$AG25)</f>
        <v>21.84105000135634</v>
      </c>
      <c r="G321" s="349">
        <f ca="1">$D$6*$E$14*($E$85*Mat_Sum!$D25+$E$86*Mat_Sum!$L25+$E$87*Mat_Sum!$AG25)</f>
        <v>21.84105000135634</v>
      </c>
      <c r="H321" s="349">
        <f ca="1">$D$6*$E$15*($E$90*Mat_Sum!$D25+$E$91*Mat_Sum!$L25+$E$92*Mat_Sum!$AG25+$E$93*Mat_Sum!$AV25+$E$94*Mat_Sum!$AR25)</f>
        <v>23.635635265209164</v>
      </c>
      <c r="I321" s="348"/>
      <c r="J321" s="382">
        <f t="shared" ca="1" si="52"/>
        <v>0.5760044674336432</v>
      </c>
      <c r="K321" s="382">
        <f t="shared" ca="1" si="53"/>
        <v>0.15258835176354507</v>
      </c>
      <c r="L321" s="382">
        <f t="shared" ca="1" si="54"/>
        <v>4.6225814036089073E-2</v>
      </c>
      <c r="M321" s="382">
        <f t="shared" ca="1" si="55"/>
        <v>0.20157231480796006</v>
      </c>
      <c r="N321" s="382">
        <f t="shared" ca="1" si="56"/>
        <v>7.6598905513339437E-3</v>
      </c>
      <c r="O321" s="382">
        <f t="shared" ca="1" si="57"/>
        <v>7.6598905513339437E-3</v>
      </c>
      <c r="P321" s="382">
        <f t="shared" ca="1" si="58"/>
        <v>8.2892708560947364E-3</v>
      </c>
      <c r="Q321" s="588"/>
    </row>
    <row r="322" spans="1:17">
      <c r="A322" s="230" t="s">
        <v>825</v>
      </c>
      <c r="B322" s="347">
        <f ca="1">$D$6*$E$17*($E$22*Mat_Sum!$D26+$E$23*Mat_Sum!$I26+$E$24*Mat_Sum!$L26+$E$25*Mat_Sum!$AG26+$E$26*Mat_Sum!$AH26+$E$27*Mat_Sum!$AK26+$E$28*Mat_Sum!$AS26+$E$29*Mat_Sum!$AM26+$E$30*Mat_Sum!$AT26+$E$31*Mat_Sum!$AR26+$E$32*Mat_Sum!$AV26)</f>
        <v>423.37854081535551</v>
      </c>
      <c r="C322" s="349">
        <f ca="1">$D$6*$E$10*($E$35*Mat_Sum!$D26+$E$36*Mat_Sum!$E26+$E$37*Mat_Sum!$F26+$E$38*Mat_Sum!$I26+$E$39*Mat_Sum!$L26+$E$40*Mat_Sum!$AG26+$E$41*Mat_Sum!$AK26+$E$42*Mat_Sum!$AS26+$E$43*Mat_Sum!$AR26+$E$44*Mat_Sum!$AV26+$E$45*Mat_Sum!$AT26+$E$46*Mat_Sum!$BH26+$E$47*Mat_Sum!$BG26+$E$48*Mat_Sum!$BJ26+$E$49*Mat_Sum!$BI26+$E$50*Mat_Sum!$AW26)</f>
        <v>207.10090799701646</v>
      </c>
      <c r="D322" s="349">
        <f ca="1">$D$6*$E$11*($E$56*Mat_Sum!$D26+$E$57*Mat_Sum!$AG26+$E$58*Mat_Sum!$F26+$E$59*Mat_Sum!$AK26+$E$60*Mat_Sum!$I26+$E$61*Mat_Sum!$L26+$E$62*Mat_Sum!$AT26+$E$63*Mat_Sum!$AR26+$E$64*Mat_Sum!$AV26)</f>
        <v>65.704198677876335</v>
      </c>
      <c r="E322" s="349">
        <f ca="1">$D$6*$E$12*($E$67*Mat_Sum!$D26+$E$68*Mat_Sum!$F26+$E$69*Mat_Sum!$I26+$E$70*Mat_Sum!$L26+$E$71*Mat_Sum!$AG26+$E$72*Mat_Sum!$AH26+$E$73*Mat_Sum!$AK26+$E$74*Mat_Sum!$AS26+$E$75*Mat_Sum!$AR26+$E$76*Mat_Sum!$AV26)+$A$136*(E$140*4)*($A$144*Mat_Sum!$AV26+$B$144*Mat_Sum!$D26)</f>
        <v>262.161557403129</v>
      </c>
      <c r="F322" s="349">
        <f ca="1">$D$6*$E$13*($E$79*Mat_Sum!$D26+$E$80*Mat_Sum!$E26+$E$81*Mat_Sum!$L26+$E$82*Mat_Sum!$AG26)</f>
        <v>11.134404476999123</v>
      </c>
      <c r="G322" s="349">
        <f ca="1">$D$6*$E$14*($E$85*Mat_Sum!$D26+$E$86*Mat_Sum!$L26+$E$87*Mat_Sum!$AG26)</f>
        <v>11.134404476999123</v>
      </c>
      <c r="H322" s="349">
        <f ca="1">$D$6*$E$15*($E$90*Mat_Sum!$D26+$E$91*Mat_Sum!$L26+$E$92*Mat_Sum!$AG26+$E$93*Mat_Sum!$AV26+$E$94*Mat_Sum!$AR26)</f>
        <v>10.780601509385555</v>
      </c>
      <c r="I322" s="348"/>
      <c r="J322" s="382">
        <f t="shared" ca="1" si="52"/>
        <v>0.42705350044996904</v>
      </c>
      <c r="K322" s="382">
        <f t="shared" ca="1" si="53"/>
        <v>0.208898560461204</v>
      </c>
      <c r="L322" s="382">
        <f t="shared" ca="1" si="54"/>
        <v>6.6274516383400123E-2</v>
      </c>
      <c r="M322" s="382">
        <f t="shared" ca="1" si="55"/>
        <v>0.26443714071292196</v>
      </c>
      <c r="N322" s="382">
        <f t="shared" ca="1" si="56"/>
        <v>1.1231051999402195E-2</v>
      </c>
      <c r="O322" s="382">
        <f t="shared" ca="1" si="57"/>
        <v>1.1231051999402195E-2</v>
      </c>
      <c r="P322" s="382">
        <f t="shared" ca="1" si="58"/>
        <v>1.087417799370039E-2</v>
      </c>
      <c r="Q322" s="588"/>
    </row>
    <row r="323" spans="1:17">
      <c r="A323" s="230" t="s">
        <v>826</v>
      </c>
      <c r="B323" s="347">
        <f ca="1">$D$6*$E$17*($E$22*Mat_Sum!$D27+$E$23*Mat_Sum!$I27+$E$24*Mat_Sum!$L27+$E$25*Mat_Sum!$AG27+$E$26*Mat_Sum!$AH27+$E$27*Mat_Sum!$AK27+$E$28*Mat_Sum!$AS27+$E$29*Mat_Sum!$AM27+$E$30*Mat_Sum!$AT27+$E$31*Mat_Sum!$AR27+$E$32*Mat_Sum!$AV27)</f>
        <v>6379.2855452603362</v>
      </c>
      <c r="C323" s="349">
        <f ca="1">$D$6*$E$10*($E$35*Mat_Sum!$D27+$E$36*Mat_Sum!$E27+$E$37*Mat_Sum!$F27+$E$38*Mat_Sum!$I27+$E$39*Mat_Sum!$L27+$E$40*Mat_Sum!$AG27+$E$41*Mat_Sum!$AK27+$E$42*Mat_Sum!$AS27+$E$43*Mat_Sum!$AR27+$E$44*Mat_Sum!$AV27+$E$45*Mat_Sum!$AT27+$E$46*Mat_Sum!$BH27+$E$47*Mat_Sum!$BG27+$E$48*Mat_Sum!$BJ27+$E$49*Mat_Sum!$BI27+$E$50*Mat_Sum!$AW27)</f>
        <v>4013.3507041896969</v>
      </c>
      <c r="D323" s="349">
        <f ca="1">$D$6*$E$11*($E$56*Mat_Sum!$D27+$E$57*Mat_Sum!$AG27+$E$58*Mat_Sum!$F27+$E$59*Mat_Sum!$AK27+$E$60*Mat_Sum!$I27+$E$61*Mat_Sum!$L27+$E$62*Mat_Sum!$AT27+$E$63*Mat_Sum!$AR27+$E$64*Mat_Sum!$AV27)</f>
        <v>2636.3996121440782</v>
      </c>
      <c r="E323" s="349">
        <f ca="1">$D$6*$E$12*($E$67*Mat_Sum!$D27+$E$68*Mat_Sum!$F27+$E$69*Mat_Sum!$I27+$E$70*Mat_Sum!$L27+$E$71*Mat_Sum!$AG27+$E$72*Mat_Sum!$AH27+$E$73*Mat_Sum!$AK27+$E$74*Mat_Sum!$AS27+$E$75*Mat_Sum!$AR27+$E$76*Mat_Sum!$AV27)+$A$136*(E$140*4)*($A$144*Mat_Sum!$AV27+$B$144*Mat_Sum!$D27)</f>
        <v>3338.7391854021362</v>
      </c>
      <c r="F323" s="349">
        <f ca="1">$D$6*$E$13*($E$79*Mat_Sum!$D27+$E$80*Mat_Sum!$E27+$E$81*Mat_Sum!$L27+$E$82*Mat_Sum!$AG27)</f>
        <v>842.11304099314395</v>
      </c>
      <c r="G323" s="349">
        <f ca="1">$D$6*$E$14*($E$85*Mat_Sum!$D27+$E$86*Mat_Sum!$L27+$E$87*Mat_Sum!$AG27)</f>
        <v>842.11304099314395</v>
      </c>
      <c r="H323" s="349">
        <f ca="1">$D$6*$E$15*($E$90*Mat_Sum!$D27+$E$91*Mat_Sum!$L27+$E$92*Mat_Sum!$AG27+$E$93*Mat_Sum!$AV27+$E$94*Mat_Sum!$AR27)</f>
        <v>395.00087348787184</v>
      </c>
      <c r="I323" s="348"/>
      <c r="J323" s="382">
        <f t="shared" ca="1" si="52"/>
        <v>0.34581692702185579</v>
      </c>
      <c r="K323" s="382">
        <f t="shared" ca="1" si="53"/>
        <v>0.21756113560632956</v>
      </c>
      <c r="L323" s="382">
        <f t="shared" ca="1" si="54"/>
        <v>0.1429175110292184</v>
      </c>
      <c r="M323" s="382">
        <f t="shared" ca="1" si="55"/>
        <v>0.18099088323159584</v>
      </c>
      <c r="N323" s="382">
        <f t="shared" ca="1" si="56"/>
        <v>4.5650401126446936E-2</v>
      </c>
      <c r="O323" s="382">
        <f t="shared" ca="1" si="57"/>
        <v>4.5650401126446936E-2</v>
      </c>
      <c r="P323" s="382">
        <f t="shared" ca="1" si="58"/>
        <v>2.1412740858106575E-2</v>
      </c>
      <c r="Q323" s="588"/>
    </row>
    <row r="324" spans="1:17">
      <c r="A324" s="661" t="s">
        <v>827</v>
      </c>
      <c r="B324" s="347">
        <f ca="1">$D$6*$E$17*($E$22*Mat_Sum!$D28+$E$23*Mat_Sum!$I28+$E$24*Mat_Sum!$L28+$E$25*Mat_Sum!$AG28+$E$26*Mat_Sum!$AH28+$E$27*Mat_Sum!$AK28+$E$28*Mat_Sum!$AS28+$E$29*Mat_Sum!$AM28+$E$30*Mat_Sum!$AT28+$E$31*Mat_Sum!$AR28+$E$32*Mat_Sum!$AV28)</f>
        <v>21.453148734911547</v>
      </c>
      <c r="C324" s="349">
        <f ca="1">$D$6*$E$10*($E$35*Mat_Sum!$D28+$E$36*Mat_Sum!$E28+$E$37*Mat_Sum!$F28+$E$38*Mat_Sum!$I28+$E$39*Mat_Sum!$L28+$E$40*Mat_Sum!$AG28+$E$41*Mat_Sum!$AK28+$E$42*Mat_Sum!$AS28+$E$43*Mat_Sum!$AR28+$E$44*Mat_Sum!$AV28+$E$45*Mat_Sum!$AT28+$E$46*Mat_Sum!$BH28+$E$47*Mat_Sum!$BG28+$E$48*Mat_Sum!$BJ28+$E$49*Mat_Sum!$BI28+$E$50*Mat_Sum!$AW28)</f>
        <v>4.3203918407151232</v>
      </c>
      <c r="D324" s="349">
        <f ca="1">$D$6*$E$11*($E$56*Mat_Sum!$D28+$E$57*Mat_Sum!$AG28+$E$58*Mat_Sum!$F28+$E$59*Mat_Sum!$AK28+$E$60*Mat_Sum!$I28+$E$61*Mat_Sum!$L28+$E$62*Mat_Sum!$AT28+$E$63*Mat_Sum!$AR28+$E$64*Mat_Sum!$AV28)</f>
        <v>1.504567949487686</v>
      </c>
      <c r="E324" s="349">
        <f ca="1">$D$6*$E$12*($E$67*Mat_Sum!$D28+$E$68*Mat_Sum!$F28+$E$69*Mat_Sum!$I28+$E$70*Mat_Sum!$L28+$E$71*Mat_Sum!$AG28+$E$72*Mat_Sum!$AH28+$E$73*Mat_Sum!$AK28+$E$74*Mat_Sum!$AS28+$E$75*Mat_Sum!$AR28+$E$76*Mat_Sum!$AV28)+$A$136*(E$140*4)*($A$144*Mat_Sum!$AV28+$B$144*Mat_Sum!$D28)</f>
        <v>8.1449116459426261</v>
      </c>
      <c r="F324" s="349">
        <f ca="1">$D$6*$E$13*($E$79*Mat_Sum!$D28+$E$80*Mat_Sum!$E28+$E$81*Mat_Sum!$L28+$E$82*Mat_Sum!$AG28)</f>
        <v>0.41239452913529562</v>
      </c>
      <c r="G324" s="349">
        <f ca="1">$D$6*$E$14*($E$85*Mat_Sum!$D28+$E$86*Mat_Sum!$L28+$E$87*Mat_Sum!$AG28)</f>
        <v>0.41239452913529562</v>
      </c>
      <c r="H324" s="349">
        <f ca="1">$D$6*$E$15*($E$90*Mat_Sum!$D28+$E$91*Mat_Sum!$L28+$E$92*Mat_Sum!$AG28+$E$93*Mat_Sum!$AV28+$E$94*Mat_Sum!$AR28)</f>
        <v>0.45205705555755105</v>
      </c>
      <c r="I324" s="348"/>
      <c r="J324" s="382">
        <f t="shared" ca="1" si="52"/>
        <v>0.58455659125240578</v>
      </c>
      <c r="K324" s="382">
        <f t="shared" ca="1" si="53"/>
        <v>0.1177222774376832</v>
      </c>
      <c r="L324" s="382">
        <f t="shared" ca="1" si="54"/>
        <v>4.0996551262840526E-2</v>
      </c>
      <c r="M324" s="382">
        <f t="shared" ca="1" si="55"/>
        <v>0.22193300604196245</v>
      </c>
      <c r="N324" s="382">
        <f t="shared" ca="1" si="56"/>
        <v>1.1236949092240715E-2</v>
      </c>
      <c r="O324" s="382">
        <f t="shared" ca="1" si="57"/>
        <v>1.1236949092240715E-2</v>
      </c>
      <c r="P324" s="382">
        <f t="shared" ca="1" si="58"/>
        <v>1.2317675820626385E-2</v>
      </c>
      <c r="Q324" s="588"/>
    </row>
    <row r="325" spans="1:17">
      <c r="A325" s="661" t="s">
        <v>828</v>
      </c>
      <c r="B325" s="347">
        <f ca="1">$D$6*$E$17*($E$22*Mat_Sum!$D29+$E$23*Mat_Sum!$I29+$E$24*Mat_Sum!$L29+$E$25*Mat_Sum!$AG29+$E$26*Mat_Sum!$AH29+$E$27*Mat_Sum!$AK29+$E$28*Mat_Sum!$AS29+$E$29*Mat_Sum!$AM29+$E$30*Mat_Sum!$AT29+$E$31*Mat_Sum!$AR29+$E$32*Mat_Sum!$AV29)</f>
        <v>52.490562286305774</v>
      </c>
      <c r="C325" s="349">
        <f ca="1">$D$6*$E$10*($E$35*Mat_Sum!$D29+$E$36*Mat_Sum!$E29+$E$37*Mat_Sum!$F29+$E$38*Mat_Sum!$I29+$E$39*Mat_Sum!$L29+$E$40*Mat_Sum!$AG29+$E$41*Mat_Sum!$AK29+$E$42*Mat_Sum!$AS29+$E$43*Mat_Sum!$AR29+$E$44*Mat_Sum!$AV29+$E$45*Mat_Sum!$AT29+$E$46*Mat_Sum!$BH29+$E$47*Mat_Sum!$BG29+$E$48*Mat_Sum!$BJ29+$E$49*Mat_Sum!$BI29+$E$50*Mat_Sum!$AW29)</f>
        <v>10.005556318464672</v>
      </c>
      <c r="D325" s="349">
        <f ca="1">$D$6*$E$11*($E$56*Mat_Sum!$D29+$E$57*Mat_Sum!$AG29+$E$58*Mat_Sum!$F29+$E$59*Mat_Sum!$AK29+$E$60*Mat_Sum!$I29+$E$61*Mat_Sum!$L29+$E$62*Mat_Sum!$AT29+$E$63*Mat_Sum!$AR29+$E$64*Mat_Sum!$AV29)</f>
        <v>2.8137601764320483</v>
      </c>
      <c r="E325" s="349">
        <f ca="1">$D$6*$E$12*($E$67*Mat_Sum!$D29+$E$68*Mat_Sum!$F29+$E$69*Mat_Sum!$I29+$E$70*Mat_Sum!$L29+$E$71*Mat_Sum!$AG29+$E$72*Mat_Sum!$AH29+$E$73*Mat_Sum!$AK29+$E$74*Mat_Sum!$AS29+$E$75*Mat_Sum!$AR29+$E$76*Mat_Sum!$AV29)+$A$136*(E$140*4)*($A$144*Mat_Sum!$AV29+$B$144*Mat_Sum!$D29)</f>
        <v>16.952699708409696</v>
      </c>
      <c r="F325" s="349">
        <f ca="1">$D$6*$E$13*($E$79*Mat_Sum!$D29+$E$80*Mat_Sum!$E29+$E$81*Mat_Sum!$L29+$E$82*Mat_Sum!$AG29)</f>
        <v>0.69803708835823564</v>
      </c>
      <c r="G325" s="349">
        <f ca="1">$D$6*$E$14*($E$85*Mat_Sum!$D29+$E$86*Mat_Sum!$L29+$E$87*Mat_Sum!$AG29)</f>
        <v>0.69803708835823564</v>
      </c>
      <c r="H325" s="349">
        <f ca="1">$D$6*$E$15*($E$90*Mat_Sum!$D29+$E$91*Mat_Sum!$L29+$E$92*Mat_Sum!$AG29+$E$93*Mat_Sum!$AV29+$E$94*Mat_Sum!$AR29)</f>
        <v>0.89134033478957131</v>
      </c>
      <c r="I325" s="348"/>
      <c r="J325" s="382">
        <f t="shared" ca="1" si="52"/>
        <v>0.6208227868878895</v>
      </c>
      <c r="K325" s="382">
        <f t="shared" ca="1" si="53"/>
        <v>0.11833893727622592</v>
      </c>
      <c r="L325" s="382">
        <f t="shared" ca="1" si="54"/>
        <v>3.327924789295765E-2</v>
      </c>
      <c r="M325" s="382">
        <f t="shared" ca="1" si="55"/>
        <v>0.20050503976015094</v>
      </c>
      <c r="N325" s="382">
        <f t="shared" ca="1" si="56"/>
        <v>8.2559094753444102E-3</v>
      </c>
      <c r="O325" s="382">
        <f t="shared" ca="1" si="57"/>
        <v>8.2559094753444102E-3</v>
      </c>
      <c r="P325" s="382">
        <f t="shared" ca="1" si="58"/>
        <v>1.0542169232087135E-2</v>
      </c>
      <c r="Q325" s="588"/>
    </row>
    <row r="326" spans="1:17">
      <c r="A326" s="230" t="s">
        <v>829</v>
      </c>
      <c r="B326" s="347">
        <f ca="1">$D$6*$E$17*($E$22*Mat_Sum!$D30+$E$23*Mat_Sum!$I30+$E$24*Mat_Sum!$L30+$E$25*Mat_Sum!$AG30+$E$26*Mat_Sum!$AH30+$E$27*Mat_Sum!$AK30+$E$28*Mat_Sum!$AS30+$E$29*Mat_Sum!$AM30+$E$30*Mat_Sum!$AT30+$E$31*Mat_Sum!$AR30+$E$32*Mat_Sum!$AV30)</f>
        <v>9994.4534804777177</v>
      </c>
      <c r="C326" s="349">
        <f ca="1">$D$6*$E$10*($E$35*Mat_Sum!$D30+$E$36*Mat_Sum!$E30+$E$37*Mat_Sum!$F30+$E$38*Mat_Sum!$I30+$E$39*Mat_Sum!$L30+$E$40*Mat_Sum!$AG30+$E$41*Mat_Sum!$AK30+$E$42*Mat_Sum!$AS30+$E$43*Mat_Sum!$AR30+$E$44*Mat_Sum!$AV30+$E$45*Mat_Sum!$AT30+$E$46*Mat_Sum!$BH30+$E$47*Mat_Sum!$BG30+$E$48*Mat_Sum!$BJ30+$E$49*Mat_Sum!$BI30+$E$50*Mat_Sum!$AW30)</f>
        <v>1916.6642203365727</v>
      </c>
      <c r="D326" s="349">
        <f ca="1">$D$6*$E$11*($E$56*Mat_Sum!$D30+$E$57*Mat_Sum!$AG30+$E$58*Mat_Sum!$F30+$E$59*Mat_Sum!$AK30+$E$60*Mat_Sum!$I30+$E$61*Mat_Sum!$L30+$E$62*Mat_Sum!$AT30+$E$63*Mat_Sum!$AR30+$E$64*Mat_Sum!$AV30)</f>
        <v>430.84572026178472</v>
      </c>
      <c r="E326" s="349">
        <f ca="1">$D$6*$E$12*($E$67*Mat_Sum!$D30+$E$68*Mat_Sum!$F30+$E$69*Mat_Sum!$I30+$E$70*Mat_Sum!$L30+$E$71*Mat_Sum!$AG30+$E$72*Mat_Sum!$AH30+$E$73*Mat_Sum!$AK30+$E$74*Mat_Sum!$AS30+$E$75*Mat_Sum!$AR30+$E$76*Mat_Sum!$AV30)+$A$136*(E$140*4)*($A$144*Mat_Sum!$AV30+$B$144*Mat_Sum!$D30)</f>
        <v>2588.6630389150559</v>
      </c>
      <c r="F326" s="349">
        <f ca="1">$D$6*$E$13*($E$79*Mat_Sum!$D30+$E$80*Mat_Sum!$E30+$E$81*Mat_Sum!$L30+$E$82*Mat_Sum!$AG30)</f>
        <v>98.413183962534433</v>
      </c>
      <c r="G326" s="349">
        <f ca="1">$D$6*$E$14*($E$85*Mat_Sum!$D30+$E$86*Mat_Sum!$L30+$E$87*Mat_Sum!$AG30)</f>
        <v>98.413183962534433</v>
      </c>
      <c r="H326" s="349">
        <f ca="1">$D$6*$E$15*($E$90*Mat_Sum!$D30+$E$91*Mat_Sum!$L30+$E$92*Mat_Sum!$AG30+$E$93*Mat_Sum!$AV30+$E$94*Mat_Sum!$AR30)</f>
        <v>189.77867419830565</v>
      </c>
      <c r="I326" s="348"/>
      <c r="J326" s="382">
        <f t="shared" ca="1" si="52"/>
        <v>0.65249738368829957</v>
      </c>
      <c r="K326" s="382">
        <f t="shared" ca="1" si="53"/>
        <v>0.12513124320618788</v>
      </c>
      <c r="L326" s="382">
        <f t="shared" ca="1" si="54"/>
        <v>2.8128171869851778E-2</v>
      </c>
      <c r="M326" s="382">
        <f t="shared" ca="1" si="55"/>
        <v>0.16900332403787835</v>
      </c>
      <c r="N326" s="382">
        <f t="shared" ca="1" si="56"/>
        <v>6.4249981433621827E-3</v>
      </c>
      <c r="O326" s="382">
        <f t="shared" ca="1" si="57"/>
        <v>6.4249981433621827E-3</v>
      </c>
      <c r="P326" s="382">
        <f t="shared" ca="1" si="58"/>
        <v>1.2389880911058058E-2</v>
      </c>
      <c r="Q326" s="588"/>
    </row>
    <row r="327" spans="1:17">
      <c r="A327" s="230" t="s">
        <v>830</v>
      </c>
      <c r="B327" s="347">
        <f ca="1">$D$6*$E$17*($E$22*Mat_Sum!$D31+$E$23*Mat_Sum!$I31+$E$24*Mat_Sum!$L31+$E$25*Mat_Sum!$AG31+$E$26*Mat_Sum!$AH31+$E$27*Mat_Sum!$AK31+$E$28*Mat_Sum!$AS31+$E$29*Mat_Sum!$AM31+$E$30*Mat_Sum!$AT31+$E$31*Mat_Sum!$AR31+$E$32*Mat_Sum!$AV31)</f>
        <v>88.561844989255945</v>
      </c>
      <c r="C327" s="349">
        <f ca="1">$D$6*$E$10*($E$35*Mat_Sum!$D31+$E$36*Mat_Sum!$E31+$E$37*Mat_Sum!$F31+$E$38*Mat_Sum!$I31+$E$39*Mat_Sum!$L31+$E$40*Mat_Sum!$AG31+$E$41*Mat_Sum!$AK31+$E$42*Mat_Sum!$AS31+$E$43*Mat_Sum!$AR31+$E$44*Mat_Sum!$AV31+$E$45*Mat_Sum!$AT31+$E$46*Mat_Sum!$BH31+$E$47*Mat_Sum!$BG31+$E$48*Mat_Sum!$BJ31+$E$49*Mat_Sum!$BI31+$E$50*Mat_Sum!$AW31)</f>
        <v>16.738836450670942</v>
      </c>
      <c r="D327" s="349">
        <f ca="1">$D$6*$E$11*($E$56*Mat_Sum!$D31+$E$57*Mat_Sum!$AG31+$E$58*Mat_Sum!$F31+$E$59*Mat_Sum!$AK31+$E$60*Mat_Sum!$I31+$E$61*Mat_Sum!$L31+$E$62*Mat_Sum!$AT31+$E$63*Mat_Sum!$AR31+$E$64*Mat_Sum!$AV31)</f>
        <v>3.667139320283435</v>
      </c>
      <c r="E327" s="349">
        <f ca="1">$D$6*$E$12*($E$67*Mat_Sum!$D31+$E$68*Mat_Sum!$F31+$E$69*Mat_Sum!$I31+$E$70*Mat_Sum!$L31+$E$71*Mat_Sum!$AG31+$E$72*Mat_Sum!$AH31+$E$73*Mat_Sum!$AK31+$E$74*Mat_Sum!$AS31+$E$75*Mat_Sum!$AR31+$E$76*Mat_Sum!$AV31)+$A$136*(E$140*4)*($A$144*Mat_Sum!$AV31+$B$144*Mat_Sum!$D31)</f>
        <v>24.054919226602529</v>
      </c>
      <c r="F327" s="349">
        <f ca="1">$D$6*$E$13*($E$79*Mat_Sum!$D31+$E$80*Mat_Sum!$E31+$E$81*Mat_Sum!$L31+$E$82*Mat_Sum!$AG31)</f>
        <v>0.90205852605570713</v>
      </c>
      <c r="G327" s="349">
        <f ca="1">$D$6*$E$14*($E$85*Mat_Sum!$D31+$E$86*Mat_Sum!$L31+$E$87*Mat_Sum!$AG31)</f>
        <v>0.90205852605570713</v>
      </c>
      <c r="H327" s="349">
        <f ca="1">$D$6*$E$15*($E$90*Mat_Sum!$D31+$E$91*Mat_Sum!$L31+$E$92*Mat_Sum!$AG31+$E$93*Mat_Sum!$AV31+$E$94*Mat_Sum!$AR31)</f>
        <v>2.0981753102023992</v>
      </c>
      <c r="I327" s="348"/>
      <c r="J327" s="382">
        <f t="shared" ca="1" si="52"/>
        <v>0.64679075454548052</v>
      </c>
      <c r="K327" s="382">
        <f t="shared" ca="1" si="53"/>
        <v>0.12224818328317677</v>
      </c>
      <c r="L327" s="382">
        <f t="shared" ca="1" si="54"/>
        <v>2.6782095701340367E-2</v>
      </c>
      <c r="M327" s="382">
        <f t="shared" ca="1" si="55"/>
        <v>0.1756794854374629</v>
      </c>
      <c r="N327" s="382">
        <f t="shared" ca="1" si="56"/>
        <v>6.5879738027424381E-3</v>
      </c>
      <c r="O327" s="382">
        <f t="shared" ca="1" si="57"/>
        <v>6.5879738027424381E-3</v>
      </c>
      <c r="P327" s="382">
        <f t="shared" ca="1" si="58"/>
        <v>1.5323533427054781E-2</v>
      </c>
      <c r="Q327" s="588"/>
    </row>
    <row r="328" spans="1:17">
      <c r="A328" s="230" t="s">
        <v>831</v>
      </c>
      <c r="B328" s="517">
        <f ca="1">$D$6*$E$17*($E$22*Mat_Sum!$D32+$E$23*Mat_Sum!$I32+$E$24*Mat_Sum!$L32+$E$25*Mat_Sum!$AG32+$E$26*Mat_Sum!$AH32+$E$27*Mat_Sum!$AK32+$E$28*Mat_Sum!$AS32+$E$29*Mat_Sum!$AM32+$E$30*Mat_Sum!$AT32+$E$31*Mat_Sum!$AR32+$E$32*Mat_Sum!$AV32)</f>
        <v>2925443.1186307557</v>
      </c>
      <c r="C328" s="419">
        <f ca="1">$D$6*$E$10*($E$35*Mat_Sum!$D32+$E$36*Mat_Sum!$E32+$E$37*Mat_Sum!$F32+$E$38*Mat_Sum!$I32+$E$39*Mat_Sum!$L32+$E$40*Mat_Sum!$AG32+$E$41*Mat_Sum!$AK32+$E$42*Mat_Sum!$AS32+$E$43*Mat_Sum!$AR32+$E$44*Mat_Sum!$AV32+$E$45*Mat_Sum!$AT32+$E$46*Mat_Sum!$BH32+$E$47*Mat_Sum!$BG32+$E$48*Mat_Sum!$BJ32+$E$49*Mat_Sum!$BI32+$E$50*Mat_Sum!$AW32)</f>
        <v>746763.79486426373</v>
      </c>
      <c r="D328" s="419">
        <f ca="1">$D$6*$E$11*($E$56*Mat_Sum!$D32+$E$57*Mat_Sum!$AG32+$E$58*Mat_Sum!$F32+$E$59*Mat_Sum!$AK32+$E$60*Mat_Sum!$I32+$E$61*Mat_Sum!$L32+$E$62*Mat_Sum!$AT32+$E$63*Mat_Sum!$AR32+$E$64*Mat_Sum!$AV32)</f>
        <v>230465.26266631778</v>
      </c>
      <c r="E328" s="419">
        <f ca="1">$D$6*$E$12*($E$67*Mat_Sum!$D32+$E$68*Mat_Sum!$F32+$E$69*Mat_Sum!$I32+$E$70*Mat_Sum!$L32+$E$71*Mat_Sum!$AG32+$E$72*Mat_Sum!$AH32+$E$73*Mat_Sum!$AK32+$E$74*Mat_Sum!$AS32+$E$75*Mat_Sum!$AR32+$E$76*Mat_Sum!$AV32)+$A$136*(E$140*4)*($A$144*Mat_Sum!$AV32+$B$144*Mat_Sum!$D32)</f>
        <v>1111671.6513708152</v>
      </c>
      <c r="F328" s="419">
        <f ca="1">$D$6*$E$13*($E$79*Mat_Sum!$D32+$E$80*Mat_Sum!$E32+$E$81*Mat_Sum!$L32+$E$82*Mat_Sum!$AG32)</f>
        <v>47363.719921292795</v>
      </c>
      <c r="G328" s="419">
        <f ca="1">$D$6*$E$14*($E$85*Mat_Sum!$D32+$E$86*Mat_Sum!$L32+$E$87*Mat_Sum!$AG32)</f>
        <v>47363.719921292795</v>
      </c>
      <c r="H328" s="419">
        <f ca="1">$D$6*$E$15*($E$90*Mat_Sum!$D32+$E$91*Mat_Sum!$L32+$E$92*Mat_Sum!$AG32+$E$93*Mat_Sum!$AV32+$E$94*Mat_Sum!$AR32)</f>
        <v>52321.473711043822</v>
      </c>
      <c r="I328" s="516"/>
      <c r="J328" s="382">
        <f t="shared" ca="1" si="52"/>
        <v>0.56679335702234146</v>
      </c>
      <c r="K328" s="382">
        <f t="shared" ca="1" si="53"/>
        <v>0.14468261423314396</v>
      </c>
      <c r="L328" s="382">
        <f t="shared" ca="1" si="54"/>
        <v>4.4651758590615542E-2</v>
      </c>
      <c r="M328" s="382">
        <f t="shared" ca="1" si="55"/>
        <v>0.21538210849983819</v>
      </c>
      <c r="N328" s="382">
        <f t="shared" ca="1" si="56"/>
        <v>9.1765386393225859E-3</v>
      </c>
      <c r="O328" s="382">
        <f t="shared" ca="1" si="57"/>
        <v>9.1765386393225859E-3</v>
      </c>
      <c r="P328" s="382">
        <f t="shared" ca="1" si="58"/>
        <v>1.013708437541553E-2</v>
      </c>
      <c r="Q328" s="588"/>
    </row>
    <row r="329" spans="1:17">
      <c r="A329" s="230" t="s">
        <v>850</v>
      </c>
      <c r="B329" s="517">
        <f ca="1">$D$6*$E$17*($E$22*Mat_Sum!$D33+$E$23*Mat_Sum!$I33+$E$24*Mat_Sum!$L33+$E$25*Mat_Sum!$AG33+$E$26*Mat_Sum!$AH33+$E$27*Mat_Sum!$AK33+$E$28*Mat_Sum!$AS33+$E$29*Mat_Sum!$AM33+$E$30*Mat_Sum!$AT33+$E$31*Mat_Sum!$AR33+$E$32*Mat_Sum!$AV33)</f>
        <v>2933885.7538176775</v>
      </c>
      <c r="C329" s="419">
        <f ca="1">$D$6*$E$10*($E$35*Mat_Sum!$D33+$E$36*Mat_Sum!$E33+$E$37*Mat_Sum!$F33+$E$38*Mat_Sum!$I33+$E$39*Mat_Sum!$L33+$E$40*Mat_Sum!$AG33+$E$41*Mat_Sum!$AK33+$E$42*Mat_Sum!$AS33+$E$43*Mat_Sum!$AR33+$E$44*Mat_Sum!$AV33+$E$45*Mat_Sum!$AT33+$E$46*Mat_Sum!$BH33+$E$47*Mat_Sum!$BG33+$E$48*Mat_Sum!$BJ33+$E$49*Mat_Sum!$BI33+$E$50*Mat_Sum!$AW33)</f>
        <v>754751.51568404224</v>
      </c>
      <c r="D329" s="419">
        <f ca="1">$D$6*$E$11*($E$56*Mat_Sum!$D33+$E$57*Mat_Sum!$AG33+$E$58*Mat_Sum!$F33+$E$59*Mat_Sum!$AK33+$E$60*Mat_Sum!$I33+$E$61*Mat_Sum!$L33+$E$62*Mat_Sum!$AT33+$E$63*Mat_Sum!$AR33+$E$64*Mat_Sum!$AV33)</f>
        <v>232292.01467894739</v>
      </c>
      <c r="E329" s="419">
        <f ca="1">$D$6*$E$12*($E$67*Mat_Sum!$D33+$E$68*Mat_Sum!$F33+$E$69*Mat_Sum!$I33+$E$70*Mat_Sum!$L33+$E$71*Mat_Sum!$AG33+$E$72*Mat_Sum!$AH33+$E$73*Mat_Sum!$AK33+$E$74*Mat_Sum!$AS33+$E$75*Mat_Sum!$AR33+$E$76*Mat_Sum!$AV33)+$A$136*(E$140*4)*($A$144*Mat_Sum!$AV33+$B$144*Mat_Sum!$D33)</f>
        <v>1120045.8265315755</v>
      </c>
      <c r="F329" s="419">
        <f ca="1">$D$6*$E$13*($E$79*Mat_Sum!$D33+$E$80*Mat_Sum!$E33+$E$81*Mat_Sum!$L33+$E$82*Mat_Sum!$AG33)</f>
        <v>47667.53744526206</v>
      </c>
      <c r="G329" s="419">
        <f ca="1">$D$6*$E$14*($E$85*Mat_Sum!$D33+$E$86*Mat_Sum!$L33+$E$87*Mat_Sum!$AG33)</f>
        <v>47667.53744526206</v>
      </c>
      <c r="H329" s="419">
        <f ca="1">$D$6*$E$15*($E$90*Mat_Sum!$D33+$E$91*Mat_Sum!$L33+$E$92*Mat_Sum!$AG33+$E$93*Mat_Sum!$AV33+$E$94*Mat_Sum!$AR33)</f>
        <v>52497.624115558705</v>
      </c>
      <c r="I329" s="516"/>
      <c r="J329" s="382">
        <f t="shared" ca="1" si="52"/>
        <v>0.56542578977827729</v>
      </c>
      <c r="K329" s="382">
        <f t="shared" ca="1" si="53"/>
        <v>0.14545759707469563</v>
      </c>
      <c r="L329" s="382">
        <f t="shared" ca="1" si="54"/>
        <v>4.4767897212126144E-2</v>
      </c>
      <c r="M329" s="382">
        <f t="shared" ca="1" si="55"/>
        <v>0.21585802897416953</v>
      </c>
      <c r="N329" s="382">
        <f t="shared" ca="1" si="56"/>
        <v>9.1866068648724323E-3</v>
      </c>
      <c r="O329" s="382">
        <f t="shared" ca="1" si="57"/>
        <v>9.1866068648724323E-3</v>
      </c>
      <c r="P329" s="382">
        <f t="shared" ca="1" si="58"/>
        <v>1.0117473230986471E-2</v>
      </c>
      <c r="Q329" s="588"/>
    </row>
    <row r="330" spans="1:17">
      <c r="A330" s="230" t="s">
        <v>851</v>
      </c>
      <c r="B330" s="517">
        <f ca="1">$D$6*$E$17*($E$22*Mat_Sum!$D34+$E$23*Mat_Sum!$I34+$E$24*Mat_Sum!$L34+$E$25*Mat_Sum!$AG34+$E$26*Mat_Sum!$AH34+$E$27*Mat_Sum!$AK34+$E$28*Mat_Sum!$AS34+$E$29*Mat_Sum!$AM34+$E$30*Mat_Sum!$AT34+$E$31*Mat_Sum!$AR34+$E$32*Mat_Sum!$AV34)</f>
        <v>3371882.6475627581</v>
      </c>
      <c r="C330" s="419">
        <f ca="1">$D$6*$E$10*($E$35*Mat_Sum!$D34+$E$36*Mat_Sum!$E34+$E$37*Mat_Sum!$F34+$E$38*Mat_Sum!$I34+$E$39*Mat_Sum!$L34+$E$40*Mat_Sum!$AG34+$E$41*Mat_Sum!$AK34+$E$42*Mat_Sum!$AS34+$E$43*Mat_Sum!$AR34+$E$44*Mat_Sum!$AV34+$E$45*Mat_Sum!$AT34+$E$46*Mat_Sum!$BH34+$E$47*Mat_Sum!$BG34+$E$48*Mat_Sum!$BJ34+$E$49*Mat_Sum!$BI34+$E$50*Mat_Sum!$AW34)</f>
        <v>828786.76975520095</v>
      </c>
      <c r="D330" s="419">
        <f ca="1">$D$6*$E$11*($E$56*Mat_Sum!$D34+$E$57*Mat_Sum!$AG34+$E$58*Mat_Sum!$F34+$E$59*Mat_Sum!$AK34+$E$60*Mat_Sum!$I34+$E$61*Mat_Sum!$L34+$E$62*Mat_Sum!$AT34+$E$63*Mat_Sum!$AR34+$E$64*Mat_Sum!$AV34)</f>
        <v>254609.07478081039</v>
      </c>
      <c r="E330" s="419">
        <f ca="1">$D$6*$E$12*($E$67*Mat_Sum!$D34+$E$68*Mat_Sum!$F34+$E$69*Mat_Sum!$I34+$E$70*Mat_Sum!$L34+$E$71*Mat_Sum!$AG34+$E$72*Mat_Sum!$AH34+$E$73*Mat_Sum!$AK34+$E$74*Mat_Sum!$AS34+$E$75*Mat_Sum!$AR34+$E$76*Mat_Sum!$AV34)+$A$136*(E$140*4)*($A$144*Mat_Sum!$AV34+$B$144*Mat_Sum!$D34)</f>
        <v>1223119.7025718275</v>
      </c>
      <c r="F330" s="419">
        <f ca="1">$D$6*$E$13*($E$79*Mat_Sum!$D34+$E$80*Mat_Sum!$E34+$E$81*Mat_Sum!$L34+$E$82*Mat_Sum!$AG34)</f>
        <v>51914.825451394579</v>
      </c>
      <c r="G330" s="419">
        <f ca="1">$D$6*$E$14*($E$85*Mat_Sum!$D34+$E$86*Mat_Sum!$L34+$E$87*Mat_Sum!$AG34)</f>
        <v>51914.825451394579</v>
      </c>
      <c r="H330" s="419">
        <f ca="1">$D$6*$E$15*($E$90*Mat_Sum!$D34+$E$91*Mat_Sum!$L34+$E$92*Mat_Sum!$AG34+$E$93*Mat_Sum!$AV34+$E$94*Mat_Sum!$AR34)</f>
        <v>60330.37185877037</v>
      </c>
      <c r="I330" s="516"/>
      <c r="J330" s="382">
        <f t="shared" ca="1" si="52"/>
        <v>0.57712435581766841</v>
      </c>
      <c r="K330" s="382">
        <f t="shared" ca="1" si="53"/>
        <v>0.14185340375084157</v>
      </c>
      <c r="L330" s="382">
        <f t="shared" ca="1" si="54"/>
        <v>4.3578354772939309E-2</v>
      </c>
      <c r="M330" s="382">
        <f t="shared" ca="1" si="55"/>
        <v>0.20934660076171169</v>
      </c>
      <c r="N330" s="382">
        <f t="shared" ca="1" si="56"/>
        <v>8.8856325464586466E-3</v>
      </c>
      <c r="O330" s="382">
        <f t="shared" ca="1" si="57"/>
        <v>8.8856325464586466E-3</v>
      </c>
      <c r="P330" s="382">
        <f t="shared" ca="1" si="58"/>
        <v>1.0326019803921779E-2</v>
      </c>
      <c r="Q330" s="588"/>
    </row>
    <row r="331" spans="1:17">
      <c r="A331" s="571" t="s">
        <v>973</v>
      </c>
      <c r="B331" s="347"/>
      <c r="C331" s="349"/>
      <c r="D331" s="349"/>
      <c r="E331" s="349"/>
      <c r="F331" s="349"/>
      <c r="G331" s="349"/>
      <c r="H331" s="349"/>
      <c r="I331" s="348"/>
      <c r="J331" s="382"/>
      <c r="K331" s="382"/>
      <c r="L331" s="382"/>
      <c r="M331" s="382"/>
      <c r="N331" s="382"/>
      <c r="O331" s="382"/>
      <c r="P331" s="382"/>
      <c r="Q331" s="588"/>
    </row>
    <row r="332" spans="1:17">
      <c r="A332" s="230" t="s">
        <v>821</v>
      </c>
      <c r="B332" s="347">
        <f ca="1">$D$6*$E$17*($E$22*Mat_Sum!$D36+$E$23*Mat_Sum!$I36+$E$24*Mat_Sum!$L36+$E$25*Mat_Sum!$AG36+$E$26*Mat_Sum!$AH36+$E$27*Mat_Sum!$AK36+$E$28*Mat_Sum!$AS36+$E$29*Mat_Sum!$AM36+$E$30*Mat_Sum!$AT36+$E$31*Mat_Sum!$AR36+$E$32*Mat_Sum!$AV36)</f>
        <v>71.957186190654369</v>
      </c>
      <c r="C332" s="349">
        <f ca="1">$D$6*$E$10*($E$35*Mat_Sum!$D36+$E$36*Mat_Sum!$E36+$E$37*Mat_Sum!$F36+$E$38*Mat_Sum!$I36+$E$39*Mat_Sum!$L36+$E$40*Mat_Sum!$AG36+$E$41*Mat_Sum!$AK36+$E$42*Mat_Sum!$AS36+$E$43*Mat_Sum!$AR36+$E$44*Mat_Sum!$AV36+$E$45*Mat_Sum!$AT36+$E$46*Mat_Sum!$BH36+$E$47*Mat_Sum!$BG36+$E$48*Mat_Sum!$BJ36+$E$49*Mat_Sum!$BI36+$E$50*Mat_Sum!$AW36)</f>
        <v>6.7464777237288951</v>
      </c>
      <c r="D332" s="349">
        <f ca="1">$D$6*$E$11*($E$56*Mat_Sum!$D36+$E$57*Mat_Sum!$AG36+$E$58*Mat_Sum!$F36+$E$59*Mat_Sum!$AK36+$E$60*Mat_Sum!$I36+$E$61*Mat_Sum!$L36+$E$62*Mat_Sum!$AT36+$E$63*Mat_Sum!$AR36+$E$64*Mat_Sum!$AV36)</f>
        <v>1.4364103395995269</v>
      </c>
      <c r="E332" s="349">
        <f ca="1">$D$6*$E$12*($E$67*Mat_Sum!$D36+$E$68*Mat_Sum!$F36+$E$69*Mat_Sum!$I36+$E$70*Mat_Sum!$L36+$E$71*Mat_Sum!$AG36+$E$72*Mat_Sum!$AH36+$E$73*Mat_Sum!$AK36+$E$74*Mat_Sum!$AS36+$E$75*Mat_Sum!$AR36+$E$76*Mat_Sum!$AV36)+$A$136*(E$140*4)*($A$144*Mat_Sum!$AV36+$B$144*Mat_Sum!$D36)</f>
        <v>10.865334775308545</v>
      </c>
      <c r="F332" s="349">
        <f ca="1">$D$6*$E$13*($E$79*Mat_Sum!$D36+$E$80*Mat_Sum!$E36+$E$81*Mat_Sum!$L36+$E$82*Mat_Sum!$AG36)</f>
        <v>0.33328784372113252</v>
      </c>
      <c r="G332" s="349">
        <f ca="1">$D$6*$E$14*($E$85*Mat_Sum!$D36+$E$86*Mat_Sum!$L36+$E$87*Mat_Sum!$AG36)</f>
        <v>0.33328784372113252</v>
      </c>
      <c r="H332" s="349">
        <f ca="1">$D$6*$E$15*($E$90*Mat_Sum!$D36+$E$91*Mat_Sum!$L36+$E$92*Mat_Sum!$AG36+$E$93*Mat_Sum!$AV36+$E$94*Mat_Sum!$AR36)</f>
        <v>0.95215388515736832</v>
      </c>
      <c r="I332" s="348"/>
      <c r="J332" s="382">
        <f t="shared" ref="J332:P339" ca="1" si="59">B332/$E195</f>
        <v>0.77687293265888813</v>
      </c>
      <c r="K332" s="382">
        <f t="shared" ca="1" si="59"/>
        <v>7.2837144027066411E-2</v>
      </c>
      <c r="L332" s="382">
        <f t="shared" ca="1" si="59"/>
        <v>1.5507948157805613E-2</v>
      </c>
      <c r="M332" s="382">
        <f t="shared" ref="M332:M339" ca="1" si="60">E332/$E195</f>
        <v>0.11730564990200862</v>
      </c>
      <c r="N332" s="382">
        <f t="shared" ca="1" si="59"/>
        <v>3.5982827883953811E-3</v>
      </c>
      <c r="O332" s="382">
        <f t="shared" ca="1" si="59"/>
        <v>3.5982827883953811E-3</v>
      </c>
      <c r="P332" s="382">
        <f t="shared" ca="1" si="59"/>
        <v>1.0279759677440384E-2</v>
      </c>
      <c r="Q332" s="588"/>
    </row>
    <row r="333" spans="1:17">
      <c r="A333" s="230" t="s">
        <v>822</v>
      </c>
      <c r="B333" s="347">
        <f ca="1">$D$6*$E$17*($E$22*Mat_Sum!$D37+$E$23*Mat_Sum!$I37+$E$24*Mat_Sum!$L37+$E$25*Mat_Sum!$AG37+$E$26*Mat_Sum!$AH37+$E$27*Mat_Sum!$AK37+$E$28*Mat_Sum!$AS37+$E$29*Mat_Sum!$AM37+$E$30*Mat_Sum!$AT37+$E$31*Mat_Sum!$AR37+$E$32*Mat_Sum!$AV37)</f>
        <v>164.23681730224652</v>
      </c>
      <c r="C333" s="349">
        <f ca="1">$D$6*$E$10*($E$35*Mat_Sum!$D37+$E$36*Mat_Sum!$E37+$E$37*Mat_Sum!$F37+$E$38*Mat_Sum!$I37+$E$39*Mat_Sum!$L37+$E$40*Mat_Sum!$AG37+$E$41*Mat_Sum!$AK37+$E$42*Mat_Sum!$AS37+$E$43*Mat_Sum!$AR37+$E$44*Mat_Sum!$AV37+$E$45*Mat_Sum!$AT37+$E$46*Mat_Sum!$BH37+$E$47*Mat_Sum!$BG37+$E$48*Mat_Sum!$BJ37+$E$49*Mat_Sum!$BI37+$E$50*Mat_Sum!$AW37)</f>
        <v>23.668224895738707</v>
      </c>
      <c r="D333" s="349">
        <f ca="1">$D$6*$E$11*($E$56*Mat_Sum!$D37+$E$57*Mat_Sum!$AG37+$E$58*Mat_Sum!$F37+$E$59*Mat_Sum!$AK37+$E$60*Mat_Sum!$I37+$E$61*Mat_Sum!$L37+$E$62*Mat_Sum!$AT37+$E$63*Mat_Sum!$AR37+$E$64*Mat_Sum!$AV37)</f>
        <v>6.4478116123836999</v>
      </c>
      <c r="E333" s="349">
        <f ca="1">$D$6*$E$12*($E$67*Mat_Sum!$D37+$E$68*Mat_Sum!$F37+$E$69*Mat_Sum!$I37+$E$70*Mat_Sum!$L37+$E$71*Mat_Sum!$AG37+$E$72*Mat_Sum!$AH37+$E$73*Mat_Sum!$AK37+$E$74*Mat_Sum!$AS37+$E$75*Mat_Sum!$AR37+$E$76*Mat_Sum!$AV37)+$A$136*(E$140*4)*($A$144*Mat_Sum!$AV37+$B$144*Mat_Sum!$D37)</f>
        <v>34.94507074276509</v>
      </c>
      <c r="F333" s="349">
        <f ca="1">$D$6*$E$13*($E$79*Mat_Sum!$D37+$E$80*Mat_Sum!$E37+$E$81*Mat_Sum!$L37+$E$82*Mat_Sum!$AG37)</f>
        <v>1.4981861880555705</v>
      </c>
      <c r="G333" s="349">
        <f ca="1">$D$6*$E$14*($E$85*Mat_Sum!$D37+$E$86*Mat_Sum!$L37+$E$87*Mat_Sum!$AG37)</f>
        <v>1.4981861880555705</v>
      </c>
      <c r="H333" s="349">
        <f ca="1">$D$6*$E$15*($E$90*Mat_Sum!$D37+$E$91*Mat_Sum!$L37+$E$92*Mat_Sum!$AG37+$E$93*Mat_Sum!$AV37+$E$94*Mat_Sum!$AR37)</f>
        <v>2.744515719932711</v>
      </c>
      <c r="I333" s="348"/>
      <c r="J333" s="382">
        <f t="shared" ca="1" si="59"/>
        <v>0.69876466550819682</v>
      </c>
      <c r="K333" s="382">
        <f t="shared" ca="1" si="59"/>
        <v>0.10069921911606242</v>
      </c>
      <c r="L333" s="382">
        <f t="shared" ca="1" si="59"/>
        <v>2.743296538860495E-2</v>
      </c>
      <c r="M333" s="382">
        <f t="shared" ca="1" si="60"/>
        <v>0.14867787302399529</v>
      </c>
      <c r="N333" s="382">
        <f t="shared" ca="1" si="59"/>
        <v>6.374207609241898E-3</v>
      </c>
      <c r="O333" s="382">
        <f t="shared" ca="1" si="59"/>
        <v>6.374207609241898E-3</v>
      </c>
      <c r="P333" s="382">
        <f t="shared" ca="1" si="59"/>
        <v>1.1676861744656668E-2</v>
      </c>
      <c r="Q333" s="588"/>
    </row>
    <row r="334" spans="1:17">
      <c r="A334" s="230" t="s">
        <v>823</v>
      </c>
      <c r="B334" s="347">
        <f ca="1">$D$6*$E$17*($E$22*Mat_Sum!$D38+$E$23*Mat_Sum!$I38+$E$24*Mat_Sum!$L38+$E$25*Mat_Sum!$AG38+$E$26*Mat_Sum!$AH38+$E$27*Mat_Sum!$AK38+$E$28*Mat_Sum!$AS38+$E$29*Mat_Sum!$AM38+$E$30*Mat_Sum!$AT38+$E$31*Mat_Sum!$AR38+$E$32*Mat_Sum!$AV38)</f>
        <v>315.5987531850032</v>
      </c>
      <c r="C334" s="349">
        <f ca="1">$D$6*$E$10*($E$35*Mat_Sum!$D38+$E$36*Mat_Sum!$E38+$E$37*Mat_Sum!$F38+$E$38*Mat_Sum!$I38+$E$39*Mat_Sum!$L38+$E$40*Mat_Sum!$AG38+$E$41*Mat_Sum!$AK38+$E$42*Mat_Sum!$AS38+$E$43*Mat_Sum!$AR38+$E$44*Mat_Sum!$AV38+$E$45*Mat_Sum!$AT38+$E$46*Mat_Sum!$BH38+$E$47*Mat_Sum!$BG38+$E$48*Mat_Sum!$BJ38+$E$49*Mat_Sum!$BI38+$E$50*Mat_Sum!$AW38)</f>
        <v>49.036234833068697</v>
      </c>
      <c r="D334" s="349">
        <f ca="1">$D$6*$E$11*($E$56*Mat_Sum!$D38+$E$57*Mat_Sum!$AG38+$E$58*Mat_Sum!$F38+$E$59*Mat_Sum!$AK38+$E$60*Mat_Sum!$I38+$E$61*Mat_Sum!$L38+$E$62*Mat_Sum!$AT38+$E$63*Mat_Sum!$AR38+$E$64*Mat_Sum!$AV38)</f>
        <v>17.90733777271598</v>
      </c>
      <c r="E334" s="349">
        <f ca="1">$D$6*$E$12*($E$67*Mat_Sum!$D38+$E$68*Mat_Sum!$F38+$E$69*Mat_Sum!$I38+$E$70*Mat_Sum!$L38+$E$71*Mat_Sum!$AG38+$E$72*Mat_Sum!$AH38+$E$73*Mat_Sum!$AK38+$E$74*Mat_Sum!$AS38+$E$75*Mat_Sum!$AR38+$E$76*Mat_Sum!$AV38)+$A$136*(E$140*4)*($A$144*Mat_Sum!$AV38+$B$144*Mat_Sum!$D38)</f>
        <v>72.158414056408674</v>
      </c>
      <c r="F334" s="349">
        <f ca="1">$D$6*$E$13*($E$79*Mat_Sum!$D38+$E$80*Mat_Sum!$E38+$E$81*Mat_Sum!$L38+$E$82*Mat_Sum!$AG38)</f>
        <v>3.7506498396934589</v>
      </c>
      <c r="G334" s="349">
        <f ca="1">$D$6*$E$14*($E$85*Mat_Sum!$D38+$E$86*Mat_Sum!$L38+$E$87*Mat_Sum!$AG38)</f>
        <v>3.7506498396934589</v>
      </c>
      <c r="H334" s="349">
        <f ca="1">$D$6*$E$15*($E$90*Mat_Sum!$D38+$E$91*Mat_Sum!$L38+$E$92*Mat_Sum!$AG38+$E$93*Mat_Sum!$AV38+$E$94*Mat_Sum!$AR38)</f>
        <v>4.8102071381573746</v>
      </c>
      <c r="I334" s="348"/>
      <c r="J334" s="382">
        <f t="shared" ca="1" si="59"/>
        <v>0.67578260621410546</v>
      </c>
      <c r="K334" s="382">
        <f t="shared" ca="1" si="59"/>
        <v>0.10499989065226993</v>
      </c>
      <c r="L334" s="382">
        <f t="shared" ca="1" si="59"/>
        <v>3.8344471479291452E-2</v>
      </c>
      <c r="M334" s="382">
        <f t="shared" ca="1" si="60"/>
        <v>0.1545107533512067</v>
      </c>
      <c r="N334" s="382">
        <f t="shared" ca="1" si="59"/>
        <v>8.0311594963075536E-3</v>
      </c>
      <c r="O334" s="382">
        <f t="shared" ca="1" si="59"/>
        <v>8.0311594963075536E-3</v>
      </c>
      <c r="P334" s="382">
        <f t="shared" ca="1" si="59"/>
        <v>1.0299959310511466E-2</v>
      </c>
      <c r="Q334" s="588"/>
    </row>
    <row r="335" spans="1:17">
      <c r="A335" s="230" t="s">
        <v>824</v>
      </c>
      <c r="B335" s="347">
        <f ca="1">$D$6*$E$17*($E$22*Mat_Sum!$D39+$E$23*Mat_Sum!$I39+$E$24*Mat_Sum!$L39+$E$25*Mat_Sum!$AG39+$E$26*Mat_Sum!$AH39+$E$27*Mat_Sum!$AK39+$E$28*Mat_Sum!$AS39+$E$29*Mat_Sum!$AM39+$E$30*Mat_Sum!$AT39+$E$31*Mat_Sum!$AR39+$E$32*Mat_Sum!$AV39)</f>
        <v>35.95999890844049</v>
      </c>
      <c r="C335" s="349">
        <f ca="1">$D$6*$E$10*($E$35*Mat_Sum!$D39+$E$36*Mat_Sum!$E39+$E$37*Mat_Sum!$F39+$E$38*Mat_Sum!$I39+$E$39*Mat_Sum!$L39+$E$40*Mat_Sum!$AG39+$E$41*Mat_Sum!$AK39+$E$42*Mat_Sum!$AS39+$E$43*Mat_Sum!$AR39+$E$44*Mat_Sum!$AV39+$E$45*Mat_Sum!$AT39+$E$46*Mat_Sum!$BH39+$E$47*Mat_Sum!$BG39+$E$48*Mat_Sum!$BJ39+$E$49*Mat_Sum!$BI39+$E$50*Mat_Sum!$AW39)</f>
        <v>5.2162699562754167</v>
      </c>
      <c r="D335" s="349">
        <f ca="1">$D$6*$E$11*($E$56*Mat_Sum!$D39+$E$57*Mat_Sum!$AG39+$E$58*Mat_Sum!$F39+$E$59*Mat_Sum!$AK39+$E$60*Mat_Sum!$I39+$E$61*Mat_Sum!$L39+$E$62*Mat_Sum!$AT39+$E$63*Mat_Sum!$AR39+$E$64*Mat_Sum!$AV39)</f>
        <v>2.1066457390304265</v>
      </c>
      <c r="E335" s="349">
        <f ca="1">$D$6*$E$12*($E$67*Mat_Sum!$D39+$E$68*Mat_Sum!$F39+$E$69*Mat_Sum!$I39+$E$70*Mat_Sum!$L39+$E$71*Mat_Sum!$AG39+$E$72*Mat_Sum!$AH39+$E$73*Mat_Sum!$AK39+$E$74*Mat_Sum!$AS39+$E$75*Mat_Sum!$AR39+$E$76*Mat_Sum!$AV39)+$A$136*(E$140*4)*($A$144*Mat_Sum!$AV39+$B$144*Mat_Sum!$D39)</f>
        <v>7.1858755564060539</v>
      </c>
      <c r="F335" s="349">
        <f ca="1">$D$6*$E$13*($E$79*Mat_Sum!$D39+$E$80*Mat_Sum!$E39+$E$81*Mat_Sum!$L39+$E$82*Mat_Sum!$AG39)</f>
        <v>0.4159358186019228</v>
      </c>
      <c r="G335" s="349">
        <f ca="1">$D$6*$E$14*($E$85*Mat_Sum!$D39+$E$86*Mat_Sum!$L39+$E$87*Mat_Sum!$AG39)</f>
        <v>0.4159358186019228</v>
      </c>
      <c r="H335" s="349">
        <f ca="1">$D$6*$E$15*($E$90*Mat_Sum!$D39+$E$91*Mat_Sum!$L39+$E$92*Mat_Sum!$AG39+$E$93*Mat_Sum!$AV39+$E$94*Mat_Sum!$AR39)</f>
        <v>0.48191013632766372</v>
      </c>
      <c r="I335" s="348"/>
      <c r="J335" s="382">
        <f t="shared" ca="1" si="59"/>
        <v>0.69444211760074781</v>
      </c>
      <c r="K335" s="382">
        <f t="shared" ca="1" si="59"/>
        <v>0.10073408410373492</v>
      </c>
      <c r="L335" s="382">
        <f t="shared" ca="1" si="59"/>
        <v>4.0682524261798608E-2</v>
      </c>
      <c r="M335" s="382">
        <f t="shared" ca="1" si="60"/>
        <v>0.13877015544165613</v>
      </c>
      <c r="N335" s="382">
        <f t="shared" ca="1" si="59"/>
        <v>8.0323514856426425E-3</v>
      </c>
      <c r="O335" s="382">
        <f t="shared" ca="1" si="59"/>
        <v>8.0323514856426425E-3</v>
      </c>
      <c r="P335" s="382">
        <f t="shared" ca="1" si="59"/>
        <v>9.3064156207773724E-3</v>
      </c>
      <c r="Q335" s="588"/>
    </row>
    <row r="336" spans="1:17">
      <c r="A336" s="230" t="s">
        <v>825</v>
      </c>
      <c r="B336" s="347">
        <f ca="1">$D$6*$E$17*($E$22*Mat_Sum!$D40+$E$23*Mat_Sum!$I40+$E$24*Mat_Sum!$L40+$E$25*Mat_Sum!$AG40+$E$26*Mat_Sum!$AH40+$E$27*Mat_Sum!$AK40+$E$28*Mat_Sum!$AS40+$E$29*Mat_Sum!$AM40+$E$30*Mat_Sum!$AT40+$E$31*Mat_Sum!$AR40+$E$32*Mat_Sum!$AV40)</f>
        <v>31.425750522909659</v>
      </c>
      <c r="C336" s="349">
        <f ca="1">$D$6*$E$10*($E$35*Mat_Sum!$D40+$E$36*Mat_Sum!$E40+$E$37*Mat_Sum!$F40+$E$38*Mat_Sum!$I40+$E$39*Mat_Sum!$L40+$E$40*Mat_Sum!$AG40+$E$41*Mat_Sum!$AK40+$E$42*Mat_Sum!$AS40+$E$43*Mat_Sum!$AR40+$E$44*Mat_Sum!$AV40+$E$45*Mat_Sum!$AT40+$E$46*Mat_Sum!$BH40+$E$47*Mat_Sum!$BG40+$E$48*Mat_Sum!$BJ40+$E$49*Mat_Sum!$BI40+$E$50*Mat_Sum!$AW40)</f>
        <v>4.4943226560700653</v>
      </c>
      <c r="D336" s="349">
        <f ca="1">$D$6*$E$11*($E$56*Mat_Sum!$D40+$E$57*Mat_Sum!$AG40+$E$58*Mat_Sum!$F40+$E$59*Mat_Sum!$AK40+$E$60*Mat_Sum!$I40+$E$61*Mat_Sum!$L40+$E$62*Mat_Sum!$AT40+$E$63*Mat_Sum!$AR40+$E$64*Mat_Sum!$AV40)</f>
        <v>1.8043933983944409</v>
      </c>
      <c r="E336" s="349">
        <f ca="1">$D$6*$E$12*($E$67*Mat_Sum!$D40+$E$68*Mat_Sum!$F40+$E$69*Mat_Sum!$I40+$E$70*Mat_Sum!$L40+$E$71*Mat_Sum!$AG40+$E$72*Mat_Sum!$AH40+$E$73*Mat_Sum!$AK40+$E$74*Mat_Sum!$AS40+$E$75*Mat_Sum!$AR40+$E$76*Mat_Sum!$AV40)+$A$136*(E$140*4)*($A$144*Mat_Sum!$AV40+$B$144*Mat_Sum!$D40)</f>
        <v>6.2155089940270623</v>
      </c>
      <c r="F336" s="349">
        <f ca="1">$D$6*$E$13*($E$79*Mat_Sum!$D40+$E$80*Mat_Sum!$E40+$E$81*Mat_Sum!$L40+$E$82*Mat_Sum!$AG40)</f>
        <v>0.35858261914071538</v>
      </c>
      <c r="G336" s="349">
        <f ca="1">$D$6*$E$14*($E$85*Mat_Sum!$D40+$E$86*Mat_Sum!$L40+$E$87*Mat_Sum!$AG40)</f>
        <v>0.35858261914071538</v>
      </c>
      <c r="H336" s="349">
        <f ca="1">$D$6*$E$15*($E$90*Mat_Sum!$D40+$E$91*Mat_Sum!$L40+$E$92*Mat_Sum!$AG40+$E$93*Mat_Sum!$AV40+$E$94*Mat_Sum!$AR40)</f>
        <v>0.41027404914606708</v>
      </c>
      <c r="I336" s="348"/>
      <c r="J336" s="382">
        <f t="shared" ca="1" si="59"/>
        <v>0.69730537288080841</v>
      </c>
      <c r="K336" s="382">
        <f t="shared" ca="1" si="59"/>
        <v>9.9724438824554062E-2</v>
      </c>
      <c r="L336" s="382">
        <f t="shared" ca="1" si="59"/>
        <v>4.0037650352180314E-2</v>
      </c>
      <c r="M336" s="382">
        <f t="shared" ca="1" si="60"/>
        <v>0.13791580931581743</v>
      </c>
      <c r="N336" s="382">
        <f t="shared" ca="1" si="59"/>
        <v>7.9565828273921672E-3</v>
      </c>
      <c r="O336" s="382">
        <f t="shared" ca="1" si="59"/>
        <v>7.9565828273921672E-3</v>
      </c>
      <c r="P336" s="382">
        <f t="shared" ca="1" si="59"/>
        <v>9.1035629718551319E-3</v>
      </c>
      <c r="Q336" s="588"/>
    </row>
    <row r="337" spans="1:17">
      <c r="A337" s="230" t="s">
        <v>826</v>
      </c>
      <c r="B337" s="347">
        <f ca="1">$D$6*$E$17*($E$22*Mat_Sum!$D41+$E$23*Mat_Sum!$I41+$E$24*Mat_Sum!$L41+$E$25*Mat_Sum!$AG41+$E$26*Mat_Sum!$AH41+$E$27*Mat_Sum!$AK41+$E$28*Mat_Sum!$AS41+$E$29*Mat_Sum!$AM41+$E$30*Mat_Sum!$AT41+$E$31*Mat_Sum!$AR41+$E$32*Mat_Sum!$AV41)</f>
        <v>253.06511633811101</v>
      </c>
      <c r="C337" s="349">
        <f ca="1">$D$6*$E$10*($E$35*Mat_Sum!$D41+$E$36*Mat_Sum!$E41+$E$37*Mat_Sum!$F41+$E$38*Mat_Sum!$I41+$E$39*Mat_Sum!$L41+$E$40*Mat_Sum!$AG41+$E$41*Mat_Sum!$AK41+$E$42*Mat_Sum!$AS41+$E$43*Mat_Sum!$AR41+$E$44*Mat_Sum!$AV41+$E$45*Mat_Sum!$AT41+$E$46*Mat_Sum!$BH41+$E$47*Mat_Sum!$BG41+$E$48*Mat_Sum!$BJ41+$E$49*Mat_Sum!$BI41+$E$50*Mat_Sum!$AW41)</f>
        <v>47.024708825888659</v>
      </c>
      <c r="D337" s="349">
        <f ca="1">$D$6*$E$11*($E$56*Mat_Sum!$D41+$E$57*Mat_Sum!$AG41+$E$58*Mat_Sum!$F41+$E$59*Mat_Sum!$AK41+$E$60*Mat_Sum!$I41+$E$61*Mat_Sum!$L41+$E$62*Mat_Sum!$AT41+$E$63*Mat_Sum!$AR41+$E$64*Mat_Sum!$AV41)</f>
        <v>18.324047559863224</v>
      </c>
      <c r="E337" s="349">
        <f ca="1">$D$6*$E$12*($E$67*Mat_Sum!$D41+$E$68*Mat_Sum!$F41+$E$69*Mat_Sum!$I41+$E$70*Mat_Sum!$L41+$E$71*Mat_Sum!$AG41+$E$72*Mat_Sum!$AH41+$E$73*Mat_Sum!$AK41+$E$74*Mat_Sum!$AS41+$E$75*Mat_Sum!$AR41+$E$76*Mat_Sum!$AV41)+$A$136*(E$140*4)*($A$144*Mat_Sum!$AV41+$B$144*Mat_Sum!$D41)</f>
        <v>56.666548154822223</v>
      </c>
      <c r="F337" s="349">
        <f ca="1">$D$6*$E$13*($E$79*Mat_Sum!$D41+$E$80*Mat_Sum!$E41+$E$81*Mat_Sum!$L41+$E$82*Mat_Sum!$AG41)</f>
        <v>3.467828811877399</v>
      </c>
      <c r="G337" s="349">
        <f ca="1">$D$6*$E$14*($E$85*Mat_Sum!$D41+$E$86*Mat_Sum!$L41+$E$87*Mat_Sum!$AG41)</f>
        <v>3.467828811877399</v>
      </c>
      <c r="H337" s="349">
        <f ca="1">$D$6*$E$15*($E$90*Mat_Sum!$D41+$E$91*Mat_Sum!$L41+$E$92*Mat_Sum!$AG41+$E$93*Mat_Sum!$AV41+$E$94*Mat_Sum!$AR41)</f>
        <v>4.8712777829769776</v>
      </c>
      <c r="I337" s="348"/>
      <c r="J337" s="382">
        <f t="shared" ca="1" si="59"/>
        <v>0.65410541912726206</v>
      </c>
      <c r="K337" s="382">
        <f t="shared" ca="1" si="59"/>
        <v>0.12154625386929754</v>
      </c>
      <c r="L337" s="382">
        <f t="shared" ca="1" si="59"/>
        <v>4.7362745931518874E-2</v>
      </c>
      <c r="M337" s="382">
        <f t="shared" ca="1" si="60"/>
        <v>0.14646782127720354</v>
      </c>
      <c r="N337" s="382">
        <f t="shared" ca="1" si="59"/>
        <v>8.9634069336685454E-3</v>
      </c>
      <c r="O337" s="382">
        <f t="shared" ca="1" si="59"/>
        <v>8.9634069336685454E-3</v>
      </c>
      <c r="P337" s="382">
        <f t="shared" ca="1" si="59"/>
        <v>1.2590945927380755E-2</v>
      </c>
      <c r="Q337" s="588"/>
    </row>
    <row r="338" spans="1:17">
      <c r="A338" s="230" t="s">
        <v>827</v>
      </c>
      <c r="B338" s="347">
        <f ca="1">$D$6*$E$17*($E$22*Mat_Sum!$D42+$E$23*Mat_Sum!$I42+$E$24*Mat_Sum!$L42+$E$25*Mat_Sum!$AG42+$E$26*Mat_Sum!$AH42+$E$27*Mat_Sum!$AK42+$E$28*Mat_Sum!$AS42+$E$29*Mat_Sum!$AM42+$E$30*Mat_Sum!$AT42+$E$31*Mat_Sum!$AR42+$E$32*Mat_Sum!$AV42)</f>
        <v>1.904013485192972</v>
      </c>
      <c r="C338" s="349">
        <f ca="1">$D$6*$E$10*($E$35*Mat_Sum!$D42+$E$36*Mat_Sum!$E42+$E$37*Mat_Sum!$F42+$E$38*Mat_Sum!$I42+$E$39*Mat_Sum!$L42+$E$40*Mat_Sum!$AG42+$E$41*Mat_Sum!$AK42+$E$42*Mat_Sum!$AS42+$E$43*Mat_Sum!$AR42+$E$44*Mat_Sum!$AV42+$E$45*Mat_Sum!$AT42+$E$46*Mat_Sum!$BH42+$E$47*Mat_Sum!$BG42+$E$48*Mat_Sum!$BJ42+$E$49*Mat_Sum!$BI42+$E$50*Mat_Sum!$AW42)</f>
        <v>0.24984774641636687</v>
      </c>
      <c r="D338" s="349">
        <f ca="1">$D$6*$E$11*($E$56*Mat_Sum!$D42+$E$57*Mat_Sum!$AG42+$E$58*Mat_Sum!$F42+$E$59*Mat_Sum!$AK42+$E$60*Mat_Sum!$I42+$E$61*Mat_Sum!$L42+$E$62*Mat_Sum!$AT42+$E$63*Mat_Sum!$AR42+$E$64*Mat_Sum!$AV42)</f>
        <v>9.4730433382408802E-2</v>
      </c>
      <c r="E338" s="349">
        <f ca="1">$D$6*$E$12*($E$67*Mat_Sum!$D42+$E$68*Mat_Sum!$F42+$E$69*Mat_Sum!$I42+$E$70*Mat_Sum!$L42+$E$71*Mat_Sum!$AG42+$E$72*Mat_Sum!$AH42+$E$73*Mat_Sum!$AK42+$E$74*Mat_Sum!$AS42+$E$75*Mat_Sum!$AR42+$E$76*Mat_Sum!$AV42)+$A$136*(E$140*4)*($A$144*Mat_Sum!$AV42+$B$144*Mat_Sum!$D42)</f>
        <v>0.37077801040248809</v>
      </c>
      <c r="F338" s="349">
        <f ca="1">$D$6*$E$13*($E$79*Mat_Sum!$D42+$E$80*Mat_Sum!$E42+$E$81*Mat_Sum!$L42+$E$82*Mat_Sum!$AG42)</f>
        <v>1.9194414084383868E-2</v>
      </c>
      <c r="G338" s="349">
        <f ca="1">$D$6*$E$14*($E$85*Mat_Sum!$D42+$E$86*Mat_Sum!$L42+$E$87*Mat_Sum!$AG42)</f>
        <v>1.9194414084383868E-2</v>
      </c>
      <c r="H338" s="349">
        <f ca="1">$D$6*$E$15*($E$90*Mat_Sum!$D42+$E$91*Mat_Sum!$L42+$E$92*Mat_Sum!$AG42+$E$93*Mat_Sum!$AV42+$E$94*Mat_Sum!$AR42)</f>
        <v>2.4170402465914148E-2</v>
      </c>
      <c r="I338" s="348"/>
      <c r="J338" s="382">
        <f t="shared" ca="1" si="59"/>
        <v>0.7099418187084644</v>
      </c>
      <c r="K338" s="382">
        <f t="shared" ca="1" si="59"/>
        <v>9.3159720175547758E-2</v>
      </c>
      <c r="L338" s="382">
        <f t="shared" ca="1" si="59"/>
        <v>3.5321754118633371E-2</v>
      </c>
      <c r="M338" s="382">
        <f t="shared" ca="1" si="60"/>
        <v>0.13825049932121142</v>
      </c>
      <c r="N338" s="382">
        <f t="shared" ca="1" si="59"/>
        <v>7.1569436614204226E-3</v>
      </c>
      <c r="O338" s="382">
        <f t="shared" ca="1" si="59"/>
        <v>7.1569436614204226E-3</v>
      </c>
      <c r="P338" s="382">
        <f t="shared" ca="1" si="59"/>
        <v>9.0123203533022875E-3</v>
      </c>
      <c r="Q338" s="588"/>
    </row>
    <row r="339" spans="1:17">
      <c r="A339" s="589" t="s">
        <v>828</v>
      </c>
      <c r="B339" s="503">
        <f ca="1">$D$6*$E$17*($E$22*Mat_Sum!$D43+$E$23*Mat_Sum!$I43+$E$24*Mat_Sum!$L43+$E$25*Mat_Sum!$AG43+$E$26*Mat_Sum!$AH43+$E$27*Mat_Sum!$AK43+$E$28*Mat_Sum!$AS43+$E$29*Mat_Sum!$AM43+$E$30*Mat_Sum!$AT43+$E$31*Mat_Sum!$AR43+$E$32*Mat_Sum!$AV43)</f>
        <v>7.5962031788762054</v>
      </c>
      <c r="C339" s="505">
        <f ca="1">$D$6*$E$10*($E$35*Mat_Sum!$D43+$E$36*Mat_Sum!$E43+$E$37*Mat_Sum!$F43+$E$38*Mat_Sum!$I43+$E$39*Mat_Sum!$L43+$E$40*Mat_Sum!$AG43+$E$41*Mat_Sum!$AK43+$E$42*Mat_Sum!$AS43+$E$43*Mat_Sum!$AR43+$E$44*Mat_Sum!$AV43+$E$45*Mat_Sum!$AT43+$E$46*Mat_Sum!$BH43+$E$47*Mat_Sum!$BG43+$E$48*Mat_Sum!$BJ43+$E$49*Mat_Sum!$BI43+$E$50*Mat_Sum!$AW43)</f>
        <v>1.0406951990777134</v>
      </c>
      <c r="D339" s="505">
        <f ca="1">$D$6*$E$11*($E$56*Mat_Sum!$D43+$E$57*Mat_Sum!$AG43+$E$58*Mat_Sum!$F43+$E$59*Mat_Sum!$AK43+$E$60*Mat_Sum!$I43+$E$61*Mat_Sum!$L43+$E$62*Mat_Sum!$AT43+$E$63*Mat_Sum!$AR43+$E$64*Mat_Sum!$AV43)</f>
        <v>0.35955343404717</v>
      </c>
      <c r="E339" s="505">
        <f ca="1">$D$6*$E$12*($E$67*Mat_Sum!$D43+$E$68*Mat_Sum!$F43+$E$69*Mat_Sum!$I43+$E$70*Mat_Sum!$L43+$E$71*Mat_Sum!$AG43+$E$72*Mat_Sum!$AH43+$E$73*Mat_Sum!$AK43+$E$74*Mat_Sum!$AS43+$E$75*Mat_Sum!$AR43+$E$76*Mat_Sum!$AV43)+$A$136*(E$140*4)*($A$144*Mat_Sum!$AV43+$B$144*Mat_Sum!$D43)</f>
        <v>1.3714498255967398</v>
      </c>
      <c r="F339" s="505">
        <f ca="1">$D$6*$E$13*($E$79*Mat_Sum!$D43+$E$80*Mat_Sum!$E43+$E$81*Mat_Sum!$L43+$E$82*Mat_Sum!$AG43)</f>
        <v>7.8517697331835112E-2</v>
      </c>
      <c r="G339" s="505">
        <f ca="1">$D$6*$E$14*($E$85*Mat_Sum!$D43+$E$86*Mat_Sum!$L43+$E$87*Mat_Sum!$AG43)</f>
        <v>7.8517697331835112E-2</v>
      </c>
      <c r="H339" s="505">
        <f ca="1">$D$6*$E$15*($E$90*Mat_Sum!$D43+$E$91*Mat_Sum!$L43+$E$92*Mat_Sum!$AG43+$E$93*Mat_Sum!$AV43+$E$94*Mat_Sum!$AR43)</f>
        <v>8.2019716883236074E-2</v>
      </c>
      <c r="I339" s="502"/>
      <c r="J339" s="368">
        <f t="shared" ca="1" si="59"/>
        <v>0.71615293231856592</v>
      </c>
      <c r="K339" s="368">
        <f t="shared" ca="1" si="59"/>
        <v>9.8114400170588714E-2</v>
      </c>
      <c r="L339" s="368">
        <f t="shared" ca="1" si="59"/>
        <v>3.3897888202114299E-2</v>
      </c>
      <c r="M339" s="368">
        <f t="shared" ca="1" si="60"/>
        <v>0.12929720164149092</v>
      </c>
      <c r="N339" s="368">
        <f t="shared" ca="1" si="59"/>
        <v>7.4024717163258145E-3</v>
      </c>
      <c r="O339" s="368">
        <f t="shared" ca="1" si="59"/>
        <v>7.4024717163258145E-3</v>
      </c>
      <c r="P339" s="368">
        <f t="shared" ca="1" si="59"/>
        <v>7.7326342345884948E-3</v>
      </c>
      <c r="Q339" s="428"/>
    </row>
    <row r="341" spans="1:17">
      <c r="A341" s="111" t="s">
        <v>1881</v>
      </c>
    </row>
    <row r="342" spans="1:17">
      <c r="A342" s="238"/>
      <c r="B342" s="3007" t="s">
        <v>1875</v>
      </c>
      <c r="C342" s="3005"/>
      <c r="D342" s="3005"/>
      <c r="E342" s="3005"/>
      <c r="F342" s="3005"/>
      <c r="G342" s="3005"/>
      <c r="H342" s="3005"/>
      <c r="I342" s="3006"/>
      <c r="J342" s="3005" t="s">
        <v>1876</v>
      </c>
      <c r="K342" s="3005"/>
      <c r="L342" s="3005"/>
      <c r="M342" s="3005"/>
      <c r="N342" s="3005"/>
      <c r="O342" s="3005"/>
      <c r="P342" s="3005"/>
      <c r="Q342" s="3006"/>
    </row>
    <row r="343" spans="1:17" ht="51">
      <c r="A343" s="230"/>
      <c r="B343" s="923" t="s">
        <v>250</v>
      </c>
      <c r="C343" s="924" t="s">
        <v>182</v>
      </c>
      <c r="D343" s="924" t="s">
        <v>183</v>
      </c>
      <c r="E343" s="924" t="s">
        <v>184</v>
      </c>
      <c r="F343" s="924" t="s">
        <v>185</v>
      </c>
      <c r="G343" s="924" t="s">
        <v>186</v>
      </c>
      <c r="H343" s="670" t="s">
        <v>187</v>
      </c>
      <c r="I343" s="953" t="s">
        <v>1860</v>
      </c>
      <c r="J343" s="923" t="s">
        <v>250</v>
      </c>
      <c r="K343" s="924" t="s">
        <v>182</v>
      </c>
      <c r="L343" s="924" t="s">
        <v>183</v>
      </c>
      <c r="M343" s="924" t="s">
        <v>184</v>
      </c>
      <c r="N343" s="924" t="s">
        <v>185</v>
      </c>
      <c r="O343" s="924" t="s">
        <v>186</v>
      </c>
      <c r="P343" s="670" t="s">
        <v>187</v>
      </c>
      <c r="Q343" s="953" t="s">
        <v>1860</v>
      </c>
    </row>
    <row r="344" spans="1:17">
      <c r="A344" s="571" t="s">
        <v>1877</v>
      </c>
      <c r="B344" s="895"/>
      <c r="C344" s="446"/>
      <c r="D344" s="446"/>
      <c r="E344" s="446"/>
      <c r="I344" s="395"/>
      <c r="J344" s="446"/>
      <c r="K344" s="446"/>
      <c r="L344" s="446"/>
      <c r="M344" s="446"/>
      <c r="Q344" s="395"/>
    </row>
    <row r="345" spans="1:17">
      <c r="A345" s="230" t="s">
        <v>816</v>
      </c>
      <c r="B345" s="347">
        <f ca="1">$E$6*$F$17*($F$22*Mat_Sum!$D15+$F$23*Mat_Sum!$I15+$F$24*Mat_Sum!$L15+$F$25*Mat_Sum!$AG15+$F$26*Mat_Sum!$AH15+$F$27*Mat_Sum!$AK15+$F$28*Mat_Sum!$AS15+$F$29*Mat_Sum!$AM15+$F$30*Mat_Sum!$AT15+$F$31*Mat_Sum!$AR15+$F$32*Mat_Sum!$AV15)</f>
        <v>26.534902219143159</v>
      </c>
      <c r="C345" s="349">
        <f ca="1">$E$6*$F$10*($F$35*Mat_Sum!$D15+$F$36*Mat_Sum!$E15+$F$37*Mat_Sum!$F15+$F$38*Mat_Sum!$I15+$F$39*Mat_Sum!$L15+$F$40*Mat_Sum!$AG15+$F$41*Mat_Sum!$AK15+$F$42*Mat_Sum!$AS15+$F$43*Mat_Sum!$AR15+$F$44*Mat_Sum!$AV15+$F$45*Mat_Sum!$AT15+$F$46*Mat_Sum!$BH15+$F$47*Mat_Sum!$BG15+$F$48*Mat_Sum!$BJ15+$F$49*Mat_Sum!$BI15+$F$50*Mat_Sum!$AW15)</f>
        <v>11.579163185979573</v>
      </c>
      <c r="D345" s="349">
        <f ca="1">$E$6*$F$11*($F$56*Mat_Sum!$D15+$F$57*Mat_Sum!$AG15+$F$58*Mat_Sum!$F15+$F$59*Mat_Sum!$AK15+$F$60*Mat_Sum!$I15+$F$61*Mat_Sum!$L15+$F$62*Mat_Sum!$AT15+$F$63*Mat_Sum!$AR15+$F$64*Mat_Sum!$AV15)</f>
        <v>3.3070710177082572</v>
      </c>
      <c r="E345" s="349">
        <f ca="1">$E$6*$F$12*($F$67*Mat_Sum!$D15+$F$68*Mat_Sum!$F15+$F$69*Mat_Sum!$I15+$F$70*Mat_Sum!$L15+$F$71*Mat_Sum!$AG15+$F$72*Mat_Sum!$AH15+$F$73*Mat_Sum!$AK15+$F$74*Mat_Sum!$AS15+$F$75*Mat_Sum!$AR15+$F$76*Mat_Sum!$AV15)+$A$136*(F$140*4)*($A$144*Mat_Sum!$AV15+$B$144*Mat_Sum!$D15)</f>
        <v>15.480039180136504</v>
      </c>
      <c r="F345" s="349">
        <f ca="1">$E$6*$F$13*($E$79*Mat_Sum!$D15+$E$80*Mat_Sum!$E15+$E$81*Mat_Sum!$L15+$F$82*Mat_Sum!$AG15)</f>
        <v>1.1065219404213742</v>
      </c>
      <c r="G345" s="349">
        <f ca="1">$E$6*$F$14*($F$85*Mat_Sum!$D15+$F$86*Mat_Sum!$L15+$F$87*Mat_Sum!$AG15)</f>
        <v>1.1065219404213742</v>
      </c>
      <c r="H345" s="349">
        <f ca="1">$E$6*$F$15*($F$90*Mat_Sum!$D15+$F$91*Mat_Sum!$L15+$F$92*Mat_Sum!$AG15+$F$93*Mat_Sum!$AV15+$F$94*Mat_Sum!$AR15)</f>
        <v>1.2140146588054805</v>
      </c>
      <c r="I345" s="348"/>
      <c r="J345" s="382">
        <f t="shared" ref="J345:P350" ca="1" si="61">B345/$F174</f>
        <v>0.43984218328709501</v>
      </c>
      <c r="K345" s="382">
        <f t="shared" ca="1" si="61"/>
        <v>0.19193605366612385</v>
      </c>
      <c r="L345" s="382">
        <f t="shared" ca="1" si="61"/>
        <v>5.4817964833685576E-2</v>
      </c>
      <c r="M345" s="382">
        <f t="shared" ref="M345:M350" ca="1" si="62">E345/$F174</f>
        <v>0.25659692182505711</v>
      </c>
      <c r="N345" s="382">
        <f t="shared" ca="1" si="61"/>
        <v>1.8341692843280657E-2</v>
      </c>
      <c r="O345" s="382">
        <f t="shared" ca="1" si="61"/>
        <v>1.8341692843280657E-2</v>
      </c>
      <c r="P345" s="382">
        <f t="shared" ca="1" si="61"/>
        <v>2.0123490701477433E-2</v>
      </c>
      <c r="Q345" s="588"/>
    </row>
    <row r="346" spans="1:17">
      <c r="A346" s="230" t="s">
        <v>817</v>
      </c>
      <c r="B346" s="347">
        <f ca="1">$E$6*$F$17*($F$22*Mat_Sum!$D16+$F$23*Mat_Sum!$I16+$F$24*Mat_Sum!$L16+$F$25*Mat_Sum!$AG16+$F$26*Mat_Sum!$AH16+$F$27*Mat_Sum!$AK16+$F$28*Mat_Sum!$AS16+$F$29*Mat_Sum!$AM16+$F$30*Mat_Sum!$AT16+$F$31*Mat_Sum!$AR16+$F$32*Mat_Sum!$AV16)</f>
        <v>24.505228085103997</v>
      </c>
      <c r="C346" s="349">
        <f ca="1">$E$6*$F$10*($F$35*Mat_Sum!$D16+$F$36*Mat_Sum!$E16+$F$37*Mat_Sum!$F16+$F$38*Mat_Sum!$I16+$F$39*Mat_Sum!$L16+$F$40*Mat_Sum!$AG16+$F$41*Mat_Sum!$AK16+$F$42*Mat_Sum!$AS16+$F$43*Mat_Sum!$AR16+$F$44*Mat_Sum!$AV16+$F$45*Mat_Sum!$AT16+$F$46*Mat_Sum!$BH16+$F$47*Mat_Sum!$BG16+$F$48*Mat_Sum!$BJ16+$F$49*Mat_Sum!$BI16+$F$50*Mat_Sum!$AW16)</f>
        <v>10.612930656604416</v>
      </c>
      <c r="D346" s="349">
        <f ca="1">$E$6*$F$11*($F$56*Mat_Sum!$D16+$F$57*Mat_Sum!$AG16+$F$58*Mat_Sum!$F16+$F$59*Mat_Sum!$AK16+$F$60*Mat_Sum!$I16+$F$61*Mat_Sum!$L16+$F$62*Mat_Sum!$AT16+$F$63*Mat_Sum!$AR16+$F$64*Mat_Sum!$AV16)</f>
        <v>2.5685358304186181</v>
      </c>
      <c r="E346" s="349">
        <f ca="1">$E$6*$F$12*($F$67*Mat_Sum!$D16+$F$68*Mat_Sum!$F16+$F$69*Mat_Sum!$I16+$F$70*Mat_Sum!$L16+$F$71*Mat_Sum!$AG16+$F$72*Mat_Sum!$AH16+$F$73*Mat_Sum!$AK16+$F$74*Mat_Sum!$AS16+$F$75*Mat_Sum!$AR16+$F$76*Mat_Sum!$AV16)+$A$136*(F$140*4)*($A$144*Mat_Sum!$AV16+$B$144*Mat_Sum!$D16)</f>
        <v>14.035072465609073</v>
      </c>
      <c r="F346" s="349">
        <f ca="1">$E$6*$F$13*($E$79*Mat_Sum!$D16+$E$80*Mat_Sum!$E16+$E$81*Mat_Sum!$L16+$F$82*Mat_Sum!$AG16)</f>
        <v>0.91789141438913069</v>
      </c>
      <c r="G346" s="349">
        <f ca="1">$E$6*$F$14*($F$85*Mat_Sum!$D16+$F$86*Mat_Sum!$L16+$F$87*Mat_Sum!$AG16)</f>
        <v>0.91789141438913069</v>
      </c>
      <c r="H346" s="349">
        <f ca="1">$E$6*$F$15*($F$90*Mat_Sum!$D16+$F$91*Mat_Sum!$L16+$F$92*Mat_Sum!$AG16+$F$93*Mat_Sum!$AV16+$F$94*Mat_Sum!$AR16)</f>
        <v>1.0438305528831033</v>
      </c>
      <c r="I346" s="348"/>
      <c r="J346" s="382">
        <f t="shared" ca="1" si="61"/>
        <v>0.44880235438879806</v>
      </c>
      <c r="K346" s="382">
        <f t="shared" ca="1" si="61"/>
        <v>0.19437110518242703</v>
      </c>
      <c r="L346" s="382">
        <f t="shared" ca="1" si="61"/>
        <v>4.7041591452258058E-2</v>
      </c>
      <c r="M346" s="382">
        <f t="shared" ca="1" si="62"/>
        <v>0.25704611051597209</v>
      </c>
      <c r="N346" s="382">
        <f t="shared" ca="1" si="61"/>
        <v>1.6810773048936405E-2</v>
      </c>
      <c r="O346" s="382">
        <f t="shared" ca="1" si="61"/>
        <v>1.6810773048936405E-2</v>
      </c>
      <c r="P346" s="382">
        <f t="shared" ca="1" si="61"/>
        <v>1.9117292362672143E-2</v>
      </c>
      <c r="Q346" s="588"/>
    </row>
    <row r="347" spans="1:17">
      <c r="A347" s="230" t="s">
        <v>805</v>
      </c>
      <c r="B347" s="347">
        <f ca="1">$E$6*$F$17*($F$22*Mat_Sum!$D17+$F$23*Mat_Sum!$I17+$F$24*Mat_Sum!$L17+$F$25*Mat_Sum!$AG17+$F$26*Mat_Sum!$AH17+$F$27*Mat_Sum!$AK17+$F$28*Mat_Sum!$AS17+$F$29*Mat_Sum!$AM17+$F$30*Mat_Sum!$AT17+$F$31*Mat_Sum!$AR17+$F$32*Mat_Sum!$AV17)</f>
        <v>8.387133390142127</v>
      </c>
      <c r="C347" s="349">
        <f ca="1">$E$6*$F$10*($F$35*Mat_Sum!$D17+$F$36*Mat_Sum!$E17+$F$37*Mat_Sum!$F17+$F$38*Mat_Sum!$I17+$F$39*Mat_Sum!$L17+$F$40*Mat_Sum!$AG17+$F$41*Mat_Sum!$AK17+$F$42*Mat_Sum!$AS17+$F$43*Mat_Sum!$AR17+$F$44*Mat_Sum!$AV17+$F$45*Mat_Sum!$AT17+$F$46*Mat_Sum!$BH17+$F$47*Mat_Sum!$BG17+$F$48*Mat_Sum!$BJ17+$F$49*Mat_Sum!$BI17+$F$50*Mat_Sum!$AW17)</f>
        <v>4.8841380313365734</v>
      </c>
      <c r="D347" s="349">
        <f ca="1">$E$6*$F$11*($F$56*Mat_Sum!$D17+$F$57*Mat_Sum!$AG17+$F$58*Mat_Sum!$F17+$F$59*Mat_Sum!$AK17+$F$60*Mat_Sum!$I17+$F$61*Mat_Sum!$L17+$F$62*Mat_Sum!$AT17+$F$63*Mat_Sum!$AR17+$F$64*Mat_Sum!$AV17)</f>
        <v>1.2396024708861839</v>
      </c>
      <c r="E347" s="349">
        <f ca="1">$E$6*$F$12*($F$67*Mat_Sum!$D17+$F$68*Mat_Sum!$F17+$F$69*Mat_Sum!$I17+$F$70*Mat_Sum!$L17+$F$71*Mat_Sum!$AG17+$F$72*Mat_Sum!$AH17+$F$73*Mat_Sum!$AK17+$F$74*Mat_Sum!$AS17+$F$75*Mat_Sum!$AR17+$F$76*Mat_Sum!$AV17)+$A$136*(F$140*4)*($A$144*Mat_Sum!$AV17+$B$144*Mat_Sum!$D17)</f>
        <v>4.9168995178363941</v>
      </c>
      <c r="F347" s="349">
        <f ca="1">$E$6*$F$13*($E$79*Mat_Sum!$D17+$E$80*Mat_Sum!$E17+$E$81*Mat_Sum!$L17+$F$82*Mat_Sum!$AG17)</f>
        <v>0.35074087942356907</v>
      </c>
      <c r="G347" s="349">
        <f ca="1">$E$6*$F$14*($F$85*Mat_Sum!$D17+$F$86*Mat_Sum!$L17+$F$87*Mat_Sum!$AG17)</f>
        <v>0.35074087942356907</v>
      </c>
      <c r="H347" s="349">
        <f ca="1">$E$6*$F$15*($F$90*Mat_Sum!$D17+$F$91*Mat_Sum!$L17+$F$92*Mat_Sum!$AG17+$F$93*Mat_Sum!$AV17+$F$94*Mat_Sum!$AR17)</f>
        <v>0.1593427002213281</v>
      </c>
      <c r="I347" s="348"/>
      <c r="J347" s="382">
        <f t="shared" ca="1" si="61"/>
        <v>0.41339147457034242</v>
      </c>
      <c r="K347" s="382">
        <f t="shared" ca="1" si="61"/>
        <v>0.24073314788965111</v>
      </c>
      <c r="L347" s="382">
        <f t="shared" ca="1" si="61"/>
        <v>6.1098479001535921E-2</v>
      </c>
      <c r="M347" s="382">
        <f t="shared" ca="1" si="62"/>
        <v>0.24234792120769508</v>
      </c>
      <c r="N347" s="382">
        <f t="shared" ca="1" si="61"/>
        <v>1.7287585947712091E-2</v>
      </c>
      <c r="O347" s="382">
        <f t="shared" ca="1" si="61"/>
        <v>1.7287585947712091E-2</v>
      </c>
      <c r="P347" s="382">
        <f t="shared" ca="1" si="61"/>
        <v>7.8538054353513281E-3</v>
      </c>
      <c r="Q347" s="588"/>
    </row>
    <row r="348" spans="1:17">
      <c r="A348" s="230" t="s">
        <v>804</v>
      </c>
      <c r="B348" s="347">
        <f ca="1">$E$6*$F$17*($F$22*Mat_Sum!$D18+$F$23*Mat_Sum!$I18+$F$24*Mat_Sum!$L18+$F$25*Mat_Sum!$AG18+$F$26*Mat_Sum!$AH18+$F$27*Mat_Sum!$AK18+$F$28*Mat_Sum!$AS18+$F$29*Mat_Sum!$AM18+$F$30*Mat_Sum!$AT18+$F$31*Mat_Sum!$AR18+$F$32*Mat_Sum!$AV18)</f>
        <v>12.144612903404747</v>
      </c>
      <c r="C348" s="349">
        <f ca="1">$E$6*$F$10*($F$35*Mat_Sum!$D18+$F$36*Mat_Sum!$E18+$F$37*Mat_Sum!$F18+$F$38*Mat_Sum!$I18+$F$39*Mat_Sum!$L18+$F$40*Mat_Sum!$AG18+$F$41*Mat_Sum!$AK18+$F$42*Mat_Sum!$AS18+$F$43*Mat_Sum!$AR18+$F$44*Mat_Sum!$AV18+$F$45*Mat_Sum!$AT18+$F$46*Mat_Sum!$BH18+$F$47*Mat_Sum!$BG18+$F$48*Mat_Sum!$BJ18+$F$49*Mat_Sum!$BI18+$F$50*Mat_Sum!$AW18)</f>
        <v>4.5970565809784922</v>
      </c>
      <c r="D348" s="349">
        <f ca="1">$E$6*$F$11*($F$56*Mat_Sum!$D18+$F$57*Mat_Sum!$AG18+$F$58*Mat_Sum!$F18+$F$59*Mat_Sum!$AK18+$F$60*Mat_Sum!$I18+$F$61*Mat_Sum!$L18+$F$62*Mat_Sum!$AT18+$F$63*Mat_Sum!$AR18+$F$64*Mat_Sum!$AV18)</f>
        <v>1.0692623204849163</v>
      </c>
      <c r="E348" s="349">
        <f ca="1">$E$6*$F$12*($F$67*Mat_Sum!$D18+$F$68*Mat_Sum!$F18+$F$69*Mat_Sum!$I18+$F$70*Mat_Sum!$L18+$F$71*Mat_Sum!$AG18+$F$72*Mat_Sum!$AH18+$F$73*Mat_Sum!$AK18+$F$74*Mat_Sum!$AS18+$F$75*Mat_Sum!$AR18+$F$76*Mat_Sum!$AV18)+$A$136*(F$140*4)*($A$144*Mat_Sum!$AV18+$B$144*Mat_Sum!$D18)</f>
        <v>6.7320863499657264</v>
      </c>
      <c r="F348" s="349">
        <f ca="1">F346-F347-F349</f>
        <v>0.48376854310099249</v>
      </c>
      <c r="G348" s="349">
        <f ca="1">G346-G347-G349</f>
        <v>0.48376854310099249</v>
      </c>
      <c r="H348" s="349">
        <f ca="1">H346-H347-H349</f>
        <v>0.65926657564519675</v>
      </c>
      <c r="I348" s="348"/>
      <c r="J348" s="382">
        <f t="shared" ca="1" si="61"/>
        <v>0.46406937687529753</v>
      </c>
      <c r="K348" s="382">
        <f t="shared" ca="1" si="61"/>
        <v>0.17566250978630107</v>
      </c>
      <c r="L348" s="382">
        <f t="shared" ca="1" si="61"/>
        <v>4.0858601482848138E-2</v>
      </c>
      <c r="M348" s="382">
        <f t="shared" ca="1" si="62"/>
        <v>0.25724616686822788</v>
      </c>
      <c r="N348" s="382">
        <f t="shared" ca="1" si="61"/>
        <v>1.8485740808240073E-2</v>
      </c>
      <c r="O348" s="382">
        <f t="shared" ca="1" si="61"/>
        <v>1.8485740808240073E-2</v>
      </c>
      <c r="P348" s="382">
        <f t="shared" ca="1" si="61"/>
        <v>2.5191863370845335E-2</v>
      </c>
      <c r="Q348" s="588"/>
    </row>
    <row r="349" spans="1:17">
      <c r="A349" s="230" t="s">
        <v>818</v>
      </c>
      <c r="B349" s="347">
        <f ca="1">$E$6*$F$17*($F$22*Mat_Sum!$D19+$F$23*Mat_Sum!$I19+$F$24*Mat_Sum!$L19+$F$25*Mat_Sum!$AG19+$F$26*Mat_Sum!$AH19+$F$27*Mat_Sum!$AK19+$F$28*Mat_Sum!$AS19+$F$29*Mat_Sum!$AM19+$F$30*Mat_Sum!$AT19+$F$31*Mat_Sum!$AR19+$F$32*Mat_Sum!$AV19)</f>
        <v>3.9734817915571208</v>
      </c>
      <c r="C349" s="349">
        <f ca="1">$E$6*$F$10*($F$35*Mat_Sum!$D19+$F$36*Mat_Sum!$E19+$F$37*Mat_Sum!$F19+$F$38*Mat_Sum!$I19+$F$39*Mat_Sum!$L19+$F$40*Mat_Sum!$AG19+$F$41*Mat_Sum!$AK19+$F$42*Mat_Sum!$AS19+$F$43*Mat_Sum!$AR19+$F$44*Mat_Sum!$AV19+$F$45*Mat_Sum!$AT19+$F$46*Mat_Sum!$BH19+$F$47*Mat_Sum!$BG19+$F$48*Mat_Sum!$BJ19+$F$49*Mat_Sum!$BI19+$F$50*Mat_Sum!$AW19)</f>
        <v>1.1317360442893487</v>
      </c>
      <c r="D349" s="349">
        <f ca="1">$E$6*$F$11*($F$56*Mat_Sum!$D19+$F$57*Mat_Sum!$AG19+$F$58*Mat_Sum!$F19+$F$59*Mat_Sum!$AK19+$F$60*Mat_Sum!$I19+$F$61*Mat_Sum!$L19+$F$62*Mat_Sum!$AT19+$F$63*Mat_Sum!$AR19+$F$64*Mat_Sum!$AV19)</f>
        <v>0.25967103904751776</v>
      </c>
      <c r="E349" s="349">
        <f ca="1">$E$6*$F$12*($F$67*Mat_Sum!$D19+$F$68*Mat_Sum!$F19+$F$69*Mat_Sum!$I19+$F$70*Mat_Sum!$L19+$F$71*Mat_Sum!$AG19+$F$72*Mat_Sum!$AH19+$F$73*Mat_Sum!$AK19+$F$74*Mat_Sum!$AS19+$F$75*Mat_Sum!$AR19+$F$76*Mat_Sum!$AV19)+$A$136*(F$140*4)*($A$144*Mat_Sum!$AV19+$B$144*Mat_Sum!$D19)</f>
        <v>2.3860865978069521</v>
      </c>
      <c r="F349" s="349">
        <f ca="1">$E$6*$F$13*($E$79*Mat_Sum!$D19+$E$80*Mat_Sum!$E19+$E$81*Mat_Sum!$L19+$F$82*Mat_Sum!$AG19)</f>
        <v>8.3381991864569197E-2</v>
      </c>
      <c r="G349" s="349">
        <f ca="1">$E$6*$F$14*($F$85*Mat_Sum!$D19+$F$86*Mat_Sum!$L19+$F$87*Mat_Sum!$AG19)</f>
        <v>8.3381991864569197E-2</v>
      </c>
      <c r="H349" s="349">
        <f ca="1">$E$6*$F$15*($F$90*Mat_Sum!$D19+$F$91*Mat_Sum!$L19+$F$92*Mat_Sum!$AG19+$F$93*Mat_Sum!$AV19+$F$94*Mat_Sum!$AR19)</f>
        <v>0.2252212770165784</v>
      </c>
      <c r="I349" s="348"/>
      <c r="J349" s="382">
        <f t="shared" ca="1" si="61"/>
        <v>0.48796524036230654</v>
      </c>
      <c r="K349" s="382">
        <f t="shared" ca="1" si="61"/>
        <v>0.13898336014821</v>
      </c>
      <c r="L349" s="382">
        <f t="shared" ca="1" si="61"/>
        <v>3.1889020166944525E-2</v>
      </c>
      <c r="M349" s="382">
        <f t="shared" ca="1" si="62"/>
        <v>0.29302445092314694</v>
      </c>
      <c r="N349" s="382">
        <f t="shared" ca="1" si="61"/>
        <v>1.0239763471053393E-2</v>
      </c>
      <c r="O349" s="382">
        <f t="shared" ca="1" si="61"/>
        <v>1.0239763471053393E-2</v>
      </c>
      <c r="P349" s="382">
        <f t="shared" ca="1" si="61"/>
        <v>2.7658401457285358E-2</v>
      </c>
      <c r="Q349" s="588"/>
    </row>
    <row r="350" spans="1:17">
      <c r="A350" s="230" t="s">
        <v>819</v>
      </c>
      <c r="B350" s="517">
        <f ca="1">$E$6*$F$17*($F$22*Mat_Sum!$D20+$F$23*Mat_Sum!$I20+$F$24*Mat_Sum!$L20+$F$25*Mat_Sum!$AG20+$F$26*Mat_Sum!$AH20+$F$27*Mat_Sum!$AK20+$F$28*Mat_Sum!$AS20+$F$29*Mat_Sum!$AM20+$F$30*Mat_Sum!$AT20+$F$31*Mat_Sum!$AR20+$F$32*Mat_Sum!$AV20)</f>
        <v>977.77430279442012</v>
      </c>
      <c r="C350" s="419">
        <f ca="1">$E$6*$F$10*($F$35*Mat_Sum!$D20+$F$36*Mat_Sum!$E20+$F$37*Mat_Sum!$F20+$F$38*Mat_Sum!$I20+$F$39*Mat_Sum!$L20+$F$40*Mat_Sum!$AG20+$F$41*Mat_Sum!$AK20+$F$42*Mat_Sum!$AS20+$F$43*Mat_Sum!$AR20+$F$44*Mat_Sum!$AV20+$F$45*Mat_Sum!$AT20+$F$46*Mat_Sum!$BH20+$F$47*Mat_Sum!$BG20+$F$48*Mat_Sum!$BJ20+$F$49*Mat_Sum!$BI20+$F$50*Mat_Sum!$AW20)</f>
        <v>480.32269146928741</v>
      </c>
      <c r="D350" s="419">
        <f ca="1">$E$6*$F$11*($F$56*Mat_Sum!$D20+$F$57*Mat_Sum!$AG20+$F$58*Mat_Sum!$F20+$F$59*Mat_Sum!$AK20+$F$60*Mat_Sum!$I20+$F$61*Mat_Sum!$L20+$F$62*Mat_Sum!$AT20+$F$63*Mat_Sum!$AR20+$F$64*Mat_Sum!$AV20)</f>
        <v>407.71314407633434</v>
      </c>
      <c r="E350" s="419">
        <f ca="1">$E$6*$F$12*($F$67*Mat_Sum!$D20+$F$68*Mat_Sum!$F20+$F$69*Mat_Sum!$I20+$F$70*Mat_Sum!$L20+$F$71*Mat_Sum!$AG20+$F$72*Mat_Sum!$AH20+$F$73*Mat_Sum!$AK20+$F$74*Mat_Sum!$AS20+$F$75*Mat_Sum!$AR20+$F$76*Mat_Sum!$AV20)+$A$136*(F$140*4)*($A$144*Mat_Sum!$AV20+$B$144*Mat_Sum!$D20)</f>
        <v>744.57148823876753</v>
      </c>
      <c r="F350" s="419">
        <f ca="1">$E$6*$F$13*($E$79*Mat_Sum!$D20+$E$80*Mat_Sum!$E20+$E$81*Mat_Sum!$L20+$F$82*Mat_Sum!$AG20)</f>
        <v>94.831853794026699</v>
      </c>
      <c r="G350" s="419">
        <f ca="1">$E$6*$F$14*($F$85*Mat_Sum!$D20+$F$86*Mat_Sum!$L20+$F$87*Mat_Sum!$AG20)</f>
        <v>94.831853794026699</v>
      </c>
      <c r="H350" s="419">
        <f ca="1">$E$6*$F$15*($F$90*Mat_Sum!$D20+$F$91*Mat_Sum!$L20+$F$92*Mat_Sum!$AG20+$F$93*Mat_Sum!$AV20+$F$94*Mat_Sum!$AR20)</f>
        <v>97.687769772025746</v>
      </c>
      <c r="I350" s="516"/>
      <c r="J350" s="382">
        <f t="shared" ca="1" si="61"/>
        <v>0.33742731567145767</v>
      </c>
      <c r="K350" s="382">
        <f t="shared" ca="1" si="61"/>
        <v>0.16575808545527704</v>
      </c>
      <c r="L350" s="382">
        <f t="shared" ca="1" si="61"/>
        <v>0.1407007234455547</v>
      </c>
      <c r="M350" s="382">
        <f t="shared" ca="1" si="62"/>
        <v>0.25694964357713679</v>
      </c>
      <c r="N350" s="382">
        <f t="shared" ca="1" si="61"/>
        <v>3.272622094323379E-2</v>
      </c>
      <c r="O350" s="382">
        <f t="shared" ca="1" si="61"/>
        <v>3.272622094323379E-2</v>
      </c>
      <c r="P350" s="382">
        <f t="shared" ca="1" si="61"/>
        <v>3.3711789964106349E-2</v>
      </c>
      <c r="Q350" s="588"/>
    </row>
    <row r="351" spans="1:17">
      <c r="A351" s="571" t="s">
        <v>964</v>
      </c>
      <c r="B351" s="347"/>
      <c r="C351" s="349"/>
      <c r="D351" s="349"/>
      <c r="E351" s="349"/>
      <c r="F351" s="349"/>
      <c r="G351" s="349"/>
      <c r="H351" s="349"/>
      <c r="I351" s="348"/>
      <c r="J351" s="382"/>
      <c r="K351" s="382"/>
      <c r="L351" s="382"/>
      <c r="M351" s="382"/>
      <c r="N351" s="382"/>
      <c r="O351" s="382"/>
      <c r="P351" s="382"/>
      <c r="Q351" s="588"/>
    </row>
    <row r="352" spans="1:17">
      <c r="A352" s="230" t="s">
        <v>821</v>
      </c>
      <c r="B352" s="347">
        <f ca="1">$E$6*$F$17*($F$22*Mat_Sum!$D22+$F$23*Mat_Sum!$I22+$F$24*Mat_Sum!$L22+$F$25*Mat_Sum!$AG22+$F$26*Mat_Sum!$AH22+$F$27*Mat_Sum!$AK22+$F$28*Mat_Sum!$AS22+$F$29*Mat_Sum!$AM22+$F$30*Mat_Sum!$AT22+$F$31*Mat_Sum!$AR22+$F$32*Mat_Sum!$AV22)</f>
        <v>1328.9202124738581</v>
      </c>
      <c r="C352" s="349">
        <f ca="1">$E$6*$F$10*($F$35*Mat_Sum!$D22+$F$36*Mat_Sum!$E22+$F$37*Mat_Sum!$F22+$F$38*Mat_Sum!$I22+$F$39*Mat_Sum!$L22+$F$40*Mat_Sum!$AG22+$F$41*Mat_Sum!$AK22+$F$42*Mat_Sum!$AS22+$F$43*Mat_Sum!$AR22+$F$44*Mat_Sum!$AV22+$F$45*Mat_Sum!$AT22+$F$46*Mat_Sum!$BH22+$F$47*Mat_Sum!$BG22+$F$48*Mat_Sum!$BJ22+$F$49*Mat_Sum!$BI22+$F$50*Mat_Sum!$AW22)</f>
        <v>656.52784727247899</v>
      </c>
      <c r="D352" s="349">
        <f ca="1">$E$6*$F$11*($F$56*Mat_Sum!$D22+$F$57*Mat_Sum!$AG22+$F$58*Mat_Sum!$F22+$F$59*Mat_Sum!$AK22+$F$60*Mat_Sum!$I22+$F$61*Mat_Sum!$L22+$F$62*Mat_Sum!$AT22+$F$63*Mat_Sum!$AR22+$F$64*Mat_Sum!$AV22)</f>
        <v>130.46108391039394</v>
      </c>
      <c r="E352" s="349">
        <f ca="1">$E$6*$F$12*($F$67*Mat_Sum!$D22+$F$68*Mat_Sum!$F22+$F$69*Mat_Sum!$I22+$F$70*Mat_Sum!$L22+$F$71*Mat_Sum!$AG22+$F$72*Mat_Sum!$AH22+$F$73*Mat_Sum!$AK22+$F$74*Mat_Sum!$AS22+$F$75*Mat_Sum!$AR22+$F$76*Mat_Sum!$AV22)+$A$136*(F$140*4)*($A$144*Mat_Sum!$AV22+$B$144*Mat_Sum!$D22)</f>
        <v>1289.3416696925533</v>
      </c>
      <c r="F352" s="349">
        <f ca="1">$E$6*$F$13*($E$79*Mat_Sum!$D22+$E$80*Mat_Sum!$E22+$E$81*Mat_Sum!$L22+$F$82*Mat_Sum!$AG22)</f>
        <v>35.064311744886297</v>
      </c>
      <c r="G352" s="349">
        <f ca="1">$E$6*$F$14*($F$85*Mat_Sum!$D22+$F$86*Mat_Sum!$L22+$F$87*Mat_Sum!$AG22)</f>
        <v>35.064311744886297</v>
      </c>
      <c r="H352" s="349">
        <f ca="1">$E$6*$F$15*($F$90*Mat_Sum!$D22+$F$91*Mat_Sum!$L22+$F$92*Mat_Sum!$AG22+$F$93*Mat_Sum!$AV22+$F$94*Mat_Sum!$AR22)</f>
        <v>22.323217729835982</v>
      </c>
      <c r="I352" s="348"/>
      <c r="J352" s="382">
        <f t="shared" ref="J352:J364" ca="1" si="63">B352/$F181</f>
        <v>0.37994087654590908</v>
      </c>
      <c r="K352" s="382">
        <f t="shared" ref="K352:K364" ca="1" si="64">C352/$F181</f>
        <v>0.18770258998857034</v>
      </c>
      <c r="L352" s="382">
        <f t="shared" ref="L352:L364" ca="1" si="65">D352/$F181</f>
        <v>3.7299077936192901E-2</v>
      </c>
      <c r="M352" s="382">
        <f t="shared" ref="M352:M364" ca="1" si="66">E352/$F181</f>
        <v>0.36862529409363709</v>
      </c>
      <c r="N352" s="382">
        <f t="shared" ref="N352:N364" ca="1" si="67">F352/$F181</f>
        <v>1.0024955008420556E-2</v>
      </c>
      <c r="O352" s="382">
        <f t="shared" ref="O352:O364" ca="1" si="68">G352/$F181</f>
        <v>1.0024955008420556E-2</v>
      </c>
      <c r="P352" s="382">
        <f t="shared" ref="P352:P364" ca="1" si="69">H352/$F181</f>
        <v>6.3822514188495013E-3</v>
      </c>
      <c r="Q352" s="588"/>
    </row>
    <row r="353" spans="1:17">
      <c r="A353" s="230" t="s">
        <v>822</v>
      </c>
      <c r="B353" s="347">
        <f ca="1">$E$6*$F$17*($F$22*Mat_Sum!$D23+$F$23*Mat_Sum!$I23+$F$24*Mat_Sum!$L23+$F$25*Mat_Sum!$AG23+$F$26*Mat_Sum!$AH23+$F$27*Mat_Sum!$AK23+$F$28*Mat_Sum!$AS23+$F$29*Mat_Sum!$AM23+$F$30*Mat_Sum!$AT23+$F$31*Mat_Sum!$AR23+$F$32*Mat_Sum!$AV23)</f>
        <v>8743.4205470332345</v>
      </c>
      <c r="C353" s="349">
        <f ca="1">$E$6*$F$10*($F$35*Mat_Sum!$D23+$F$36*Mat_Sum!$E23+$F$37*Mat_Sum!$F23+$F$38*Mat_Sum!$I23+$F$39*Mat_Sum!$L23+$F$40*Mat_Sum!$AG23+$F$41*Mat_Sum!$AK23+$F$42*Mat_Sum!$AS23+$F$43*Mat_Sum!$AR23+$F$44*Mat_Sum!$AV23+$F$45*Mat_Sum!$AT23+$F$46*Mat_Sum!$BH23+$F$47*Mat_Sum!$BG23+$F$48*Mat_Sum!$BJ23+$F$49*Mat_Sum!$BI23+$F$50*Mat_Sum!$AW23)</f>
        <v>3396.1397109770774</v>
      </c>
      <c r="D353" s="349">
        <f ca="1">$E$6*$F$11*($F$56*Mat_Sum!$D23+$F$57*Mat_Sum!$AG23+$F$58*Mat_Sum!$F23+$F$59*Mat_Sum!$AK23+$F$60*Mat_Sum!$I23+$F$61*Mat_Sum!$L23+$F$62*Mat_Sum!$AT23+$F$63*Mat_Sum!$AR23+$F$64*Mat_Sum!$AV23)</f>
        <v>856.0479094207052</v>
      </c>
      <c r="E353" s="349">
        <f ca="1">$E$6*$F$12*($F$67*Mat_Sum!$D23+$F$68*Mat_Sum!$F23+$F$69*Mat_Sum!$I23+$F$70*Mat_Sum!$L23+$F$71*Mat_Sum!$AG23+$F$72*Mat_Sum!$AH23+$F$73*Mat_Sum!$AK23+$F$74*Mat_Sum!$AS23+$F$75*Mat_Sum!$AR23+$F$76*Mat_Sum!$AV23)+$A$136*(F$140*4)*($A$144*Mat_Sum!$AV23+$B$144*Mat_Sum!$D23)</f>
        <v>4825.6313098331384</v>
      </c>
      <c r="F353" s="349">
        <f ca="1">$E$6*$F$13*($E$79*Mat_Sum!$D23+$E$80*Mat_Sum!$E23+$E$81*Mat_Sum!$L23+$F$82*Mat_Sum!$AG23)</f>
        <v>229.78497185229045</v>
      </c>
      <c r="G353" s="349">
        <f ca="1">$E$6*$F$14*($F$85*Mat_Sum!$D23+$F$86*Mat_Sum!$L23+$F$87*Mat_Sum!$AG23)</f>
        <v>229.78497185229045</v>
      </c>
      <c r="H353" s="349">
        <f ca="1">$E$6*$F$15*($F$90*Mat_Sum!$D23+$F$91*Mat_Sum!$L23+$F$92*Mat_Sum!$AG23+$F$93*Mat_Sum!$AV23+$F$94*Mat_Sum!$AR23)</f>
        <v>86.176468247721274</v>
      </c>
      <c r="I353" s="348"/>
      <c r="J353" s="382">
        <f t="shared" ca="1" si="63"/>
        <v>0.47604003181418225</v>
      </c>
      <c r="K353" s="382">
        <f t="shared" ca="1" si="64"/>
        <v>0.18490457451546286</v>
      </c>
      <c r="L353" s="382">
        <f t="shared" ca="1" si="65"/>
        <v>4.6607969025734629E-2</v>
      </c>
      <c r="M353" s="382">
        <f t="shared" ca="1" si="66"/>
        <v>0.26273398035691548</v>
      </c>
      <c r="N353" s="382">
        <f t="shared" ca="1" si="67"/>
        <v>1.25107610599952E-2</v>
      </c>
      <c r="O353" s="382">
        <f t="shared" ca="1" si="68"/>
        <v>1.25107610599952E-2</v>
      </c>
      <c r="P353" s="382">
        <f t="shared" ca="1" si="69"/>
        <v>4.6919221677148917E-3</v>
      </c>
      <c r="Q353" s="588"/>
    </row>
    <row r="354" spans="1:17">
      <c r="A354" s="230" t="s">
        <v>823</v>
      </c>
      <c r="B354" s="347">
        <f ca="1">$E$6*$F$17*($F$22*Mat_Sum!$D24+$F$23*Mat_Sum!$I24+$F$24*Mat_Sum!$L24+$F$25*Mat_Sum!$AG24+$F$26*Mat_Sum!$AH24+$F$27*Mat_Sum!$AK24+$F$28*Mat_Sum!$AS24+$F$29*Mat_Sum!$AM24+$F$30*Mat_Sum!$AT24+$F$31*Mat_Sum!$AR24+$F$32*Mat_Sum!$AV24)</f>
        <v>1798.079684098899</v>
      </c>
      <c r="C354" s="349">
        <f ca="1">$E$6*$F$10*($F$35*Mat_Sum!$D24+$F$36*Mat_Sum!$E24+$F$37*Mat_Sum!$F24+$F$38*Mat_Sum!$I24+$F$39*Mat_Sum!$L24+$F$40*Mat_Sum!$AG24+$F$41*Mat_Sum!$AK24+$F$42*Mat_Sum!$AS24+$F$43*Mat_Sum!$AR24+$F$44*Mat_Sum!$AV24+$F$45*Mat_Sum!$AT24+$F$46*Mat_Sum!$BH24+$F$47*Mat_Sum!$BG24+$F$48*Mat_Sum!$BJ24+$F$49*Mat_Sum!$BI24+$F$50*Mat_Sum!$AW24)</f>
        <v>753.52050626659968</v>
      </c>
      <c r="D354" s="349">
        <f ca="1">$E$6*$F$11*($F$56*Mat_Sum!$D24+$F$57*Mat_Sum!$AG24+$F$58*Mat_Sum!$F24+$F$59*Mat_Sum!$AK24+$F$60*Mat_Sum!$I24+$F$61*Mat_Sum!$L24+$F$62*Mat_Sum!$AT24+$F$63*Mat_Sum!$AR24+$F$64*Mat_Sum!$AV24)</f>
        <v>209.08445766119198</v>
      </c>
      <c r="E354" s="349">
        <f ca="1">$E$6*$F$12*($F$67*Mat_Sum!$D24+$F$68*Mat_Sum!$F24+$F$69*Mat_Sum!$I24+$F$70*Mat_Sum!$L24+$F$71*Mat_Sum!$AG24+$F$72*Mat_Sum!$AH24+$F$73*Mat_Sum!$AK24+$F$74*Mat_Sum!$AS24+$F$75*Mat_Sum!$AR24+$F$76*Mat_Sum!$AV24)+$A$136*(F$140*4)*($A$144*Mat_Sum!$AV24+$B$144*Mat_Sum!$D24)</f>
        <v>1233.9528651578125</v>
      </c>
      <c r="F354" s="349">
        <f ca="1">$E$6*$F$13*($E$79*Mat_Sum!$D24+$E$80*Mat_Sum!$E24+$E$81*Mat_Sum!$L24+$F$82*Mat_Sum!$AG24)</f>
        <v>73.327282849792027</v>
      </c>
      <c r="G354" s="349">
        <f ca="1">$E$6*$F$14*($F$85*Mat_Sum!$D24+$F$86*Mat_Sum!$L24+$F$87*Mat_Sum!$AG24)</f>
        <v>73.327282849792027</v>
      </c>
      <c r="H354" s="349">
        <f ca="1">$E$6*$F$15*($F$90*Mat_Sum!$D24+$F$91*Mat_Sum!$L24+$F$92*Mat_Sum!$AG24+$F$93*Mat_Sum!$AV24+$F$94*Mat_Sum!$AR24)</f>
        <v>65.901628072600275</v>
      </c>
      <c r="I354" s="348"/>
      <c r="J354" s="382">
        <f t="shared" ca="1" si="63"/>
        <v>0.42738219567255353</v>
      </c>
      <c r="K354" s="382">
        <f t="shared" ca="1" si="64"/>
        <v>0.17910287919965201</v>
      </c>
      <c r="L354" s="382">
        <f t="shared" ca="1" si="65"/>
        <v>4.9696893517278802E-2</v>
      </c>
      <c r="M354" s="382">
        <f t="shared" ca="1" si="66"/>
        <v>0.29329594763308481</v>
      </c>
      <c r="N354" s="382">
        <f t="shared" ca="1" si="67"/>
        <v>1.7429024655685271E-2</v>
      </c>
      <c r="O354" s="382">
        <f t="shared" ca="1" si="68"/>
        <v>1.7429024655685271E-2</v>
      </c>
      <c r="P354" s="382">
        <f t="shared" ca="1" si="69"/>
        <v>1.5664034666060297E-2</v>
      </c>
      <c r="Q354" s="588"/>
    </row>
    <row r="355" spans="1:17">
      <c r="A355" s="230" t="s">
        <v>824</v>
      </c>
      <c r="B355" s="347">
        <f ca="1">$E$6*$F$17*($F$22*Mat_Sum!$D25+$F$23*Mat_Sum!$I25+$F$24*Mat_Sum!$L25+$F$25*Mat_Sum!$AG25+$F$26*Mat_Sum!$AH25+$F$27*Mat_Sum!$AK25+$F$28*Mat_Sum!$AS25+$F$29*Mat_Sum!$AM25+$F$30*Mat_Sum!$AT25+$F$31*Mat_Sum!$AR25+$F$32*Mat_Sum!$AV25)</f>
        <v>861.88340127239132</v>
      </c>
      <c r="C355" s="349">
        <f ca="1">$E$6*$F$10*($F$35*Mat_Sum!$D25+$F$36*Mat_Sum!$E25+$F$37*Mat_Sum!$F25+$F$38*Mat_Sum!$I25+$F$39*Mat_Sum!$L25+$F$40*Mat_Sum!$AG25+$F$41*Mat_Sum!$AK25+$F$42*Mat_Sum!$AS25+$F$43*Mat_Sum!$AR25+$F$44*Mat_Sum!$AV25+$F$45*Mat_Sum!$AT25+$F$46*Mat_Sum!$BH25+$F$47*Mat_Sum!$BG25+$F$48*Mat_Sum!$BJ25+$F$49*Mat_Sum!$BI25+$F$50*Mat_Sum!$AW25)</f>
        <v>403.30226835252483</v>
      </c>
      <c r="D355" s="349">
        <f ca="1">$E$6*$F$11*($F$56*Mat_Sum!$D25+$F$57*Mat_Sum!$AG25+$F$58*Mat_Sum!$F25+$F$59*Mat_Sum!$AK25+$F$60*Mat_Sum!$I25+$F$61*Mat_Sum!$L25+$F$62*Mat_Sum!$AT25+$F$63*Mat_Sum!$AR25+$F$64*Mat_Sum!$AV25)</f>
        <v>126.39964734503161</v>
      </c>
      <c r="E355" s="349">
        <f ca="1">$E$6*$F$12*($F$67*Mat_Sum!$D25+$F$68*Mat_Sum!$F25+$F$69*Mat_Sum!$I25+$F$70*Mat_Sum!$L25+$F$71*Mat_Sum!$AG25+$F$72*Mat_Sum!$AH25+$F$73*Mat_Sum!$AK25+$F$74*Mat_Sum!$AS25+$F$75*Mat_Sum!$AR25+$F$76*Mat_Sum!$AV25)+$A$136*(F$140*4)*($A$144*Mat_Sum!$AV25+$B$144*Mat_Sum!$D25)</f>
        <v>521.61564817138083</v>
      </c>
      <c r="F355" s="349">
        <f ca="1">$E$6*$F$13*($E$79*Mat_Sum!$D25+$E$80*Mat_Sum!$E25+$E$81*Mat_Sum!$L25+$F$82*Mat_Sum!$AG25)</f>
        <v>33.814612025679722</v>
      </c>
      <c r="G355" s="349">
        <f ca="1">$E$6*$F$14*($F$85*Mat_Sum!$D25+$F$86*Mat_Sum!$L25+$F$87*Mat_Sum!$AG25)</f>
        <v>33.814612025679722</v>
      </c>
      <c r="H355" s="349">
        <f ca="1">$E$6*$F$15*($F$90*Mat_Sum!$D25+$F$91*Mat_Sum!$L25+$F$92*Mat_Sum!$AG25+$F$93*Mat_Sum!$AV25+$F$94*Mat_Sum!$AR25)</f>
        <v>27.505857793055263</v>
      </c>
      <c r="I355" s="348"/>
      <c r="J355" s="382">
        <f t="shared" ca="1" si="63"/>
        <v>0.42915298092964499</v>
      </c>
      <c r="K355" s="382">
        <f t="shared" ca="1" si="64"/>
        <v>0.20081413613913376</v>
      </c>
      <c r="L355" s="382">
        <f t="shared" ca="1" si="65"/>
        <v>6.2937498699354319E-2</v>
      </c>
      <c r="M355" s="382">
        <f t="shared" ca="1" si="66"/>
        <v>0.25972528300443515</v>
      </c>
      <c r="N355" s="382">
        <f t="shared" ca="1" si="67"/>
        <v>1.6837128465841733E-2</v>
      </c>
      <c r="O355" s="382">
        <f t="shared" ca="1" si="68"/>
        <v>1.6837128465841733E-2</v>
      </c>
      <c r="P355" s="382">
        <f t="shared" ca="1" si="69"/>
        <v>1.3695844295748239E-2</v>
      </c>
      <c r="Q355" s="588"/>
    </row>
    <row r="356" spans="1:17">
      <c r="A356" s="230" t="s">
        <v>825</v>
      </c>
      <c r="B356" s="347">
        <f ca="1">$E$6*$F$17*($F$22*Mat_Sum!$D26+$F$23*Mat_Sum!$I26+$F$24*Mat_Sum!$L26+$F$25*Mat_Sum!$AG26+$F$26*Mat_Sum!$AH26+$F$27*Mat_Sum!$AK26+$F$28*Mat_Sum!$AS26+$F$29*Mat_Sum!$AM26+$F$30*Mat_Sum!$AT26+$F$31*Mat_Sum!$AR26+$F$32*Mat_Sum!$AV26)</f>
        <v>382.20283657937631</v>
      </c>
      <c r="C356" s="349">
        <f ca="1">$E$6*$F$10*($F$35*Mat_Sum!$D26+$F$36*Mat_Sum!$E26+$F$37*Mat_Sum!$F26+$F$38*Mat_Sum!$I26+$F$39*Mat_Sum!$L26+$F$40*Mat_Sum!$AG26+$F$41*Mat_Sum!$AK26+$F$42*Mat_Sum!$AS26+$F$43*Mat_Sum!$AR26+$F$44*Mat_Sum!$AV26+$F$45*Mat_Sum!$AT26+$F$46*Mat_Sum!$BH26+$F$47*Mat_Sum!$BG26+$F$48*Mat_Sum!$BJ26+$F$49*Mat_Sum!$BI26+$F$50*Mat_Sum!$AW26)</f>
        <v>189.69055047952003</v>
      </c>
      <c r="D356" s="349">
        <f ca="1">$E$6*$F$11*($F$56*Mat_Sum!$D26+$F$57*Mat_Sum!$AG26+$F$58*Mat_Sum!$F26+$F$59*Mat_Sum!$AK26+$F$60*Mat_Sum!$I26+$F$61*Mat_Sum!$L26+$F$62*Mat_Sum!$AT26+$F$63*Mat_Sum!$AR26+$F$64*Mat_Sum!$AV26)</f>
        <v>63.00912789834527</v>
      </c>
      <c r="E356" s="349">
        <f ca="1">$E$6*$F$12*($F$67*Mat_Sum!$D26+$F$68*Mat_Sum!$F26+$F$69*Mat_Sum!$I26+$F$70*Mat_Sum!$L26+$F$71*Mat_Sum!$AG26+$F$72*Mat_Sum!$AH26+$F$73*Mat_Sum!$AK26+$F$74*Mat_Sum!$AS26+$F$75*Mat_Sum!$AR26+$F$76*Mat_Sum!$AV26)+$A$136*(F$140*4)*($A$144*Mat_Sum!$AV26+$B$144*Mat_Sum!$D26)</f>
        <v>260.63201336686313</v>
      </c>
      <c r="F356" s="349">
        <f ca="1">$E$6*$F$13*($E$79*Mat_Sum!$D26+$E$80*Mat_Sum!$E26+$E$81*Mat_Sum!$L26+$F$82*Mat_Sum!$AG26)</f>
        <v>17.238437140308523</v>
      </c>
      <c r="G356" s="349">
        <f ca="1">$E$6*$F$14*($F$85*Mat_Sum!$D26+$F$86*Mat_Sum!$L26+$F$87*Mat_Sum!$AG26)</f>
        <v>17.238437140308523</v>
      </c>
      <c r="H356" s="349">
        <f ca="1">$E$6*$F$15*($F$90*Mat_Sum!$D26+$F$91*Mat_Sum!$L26+$F$92*Mat_Sum!$AG26+$F$93*Mat_Sum!$AV26+$F$94*Mat_Sum!$AR26)</f>
        <v>12.545873580865308</v>
      </c>
      <c r="I356" s="348"/>
      <c r="J356" s="382">
        <f t="shared" ca="1" si="63"/>
        <v>0.4054956088462911</v>
      </c>
      <c r="K356" s="382">
        <f t="shared" ca="1" si="64"/>
        <v>0.20125095341385968</v>
      </c>
      <c r="L356" s="382">
        <f t="shared" ca="1" si="65"/>
        <v>6.6849123645127906E-2</v>
      </c>
      <c r="M356" s="382">
        <f t="shared" ca="1" si="66"/>
        <v>0.27651583617454928</v>
      </c>
      <c r="N356" s="382">
        <f t="shared" ca="1" si="67"/>
        <v>1.8289007549833314E-2</v>
      </c>
      <c r="O356" s="382">
        <f t="shared" ca="1" si="68"/>
        <v>1.8289007549833314E-2</v>
      </c>
      <c r="P356" s="382">
        <f t="shared" ca="1" si="69"/>
        <v>1.3310462820505626E-2</v>
      </c>
      <c r="Q356" s="588"/>
    </row>
    <row r="357" spans="1:17">
      <c r="A357" s="230" t="s">
        <v>826</v>
      </c>
      <c r="B357" s="347">
        <f ca="1">$E$6*$F$17*($F$22*Mat_Sum!$D27+$F$23*Mat_Sum!$I27+$F$24*Mat_Sum!$L27+$F$25*Mat_Sum!$AG27+$F$26*Mat_Sum!$AH27+$F$27*Mat_Sum!$AK27+$F$28*Mat_Sum!$AS27+$F$29*Mat_Sum!$AM27+$F$30*Mat_Sum!$AT27+$F$31*Mat_Sum!$AR27+$F$32*Mat_Sum!$AV27)</f>
        <v>7803.5539284406095</v>
      </c>
      <c r="C357" s="349">
        <f ca="1">$E$6*$F$10*($F$35*Mat_Sum!$D27+$F$36*Mat_Sum!$E27+$F$37*Mat_Sum!$F27+$F$38*Mat_Sum!$I27+$F$39*Mat_Sum!$L27+$F$40*Mat_Sum!$AG27+$F$41*Mat_Sum!$AK27+$F$42*Mat_Sum!$AS27+$F$43*Mat_Sum!$AR27+$F$44*Mat_Sum!$AV27+$F$45*Mat_Sum!$AT27+$F$46*Mat_Sum!$BH27+$F$47*Mat_Sum!$BG27+$F$48*Mat_Sum!$BJ27+$F$49*Mat_Sum!$BI27+$F$50*Mat_Sum!$AW27)</f>
        <v>3644.3367151828361</v>
      </c>
      <c r="D357" s="349">
        <f ca="1">$E$6*$F$11*($F$56*Mat_Sum!$D27+$F$57*Mat_Sum!$AG27+$F$58*Mat_Sum!$F27+$F$59*Mat_Sum!$AK27+$F$60*Mat_Sum!$I27+$F$61*Mat_Sum!$L27+$F$62*Mat_Sum!$AT27+$F$63*Mat_Sum!$AR27+$F$64*Mat_Sum!$AV27)</f>
        <v>2528.2591325273775</v>
      </c>
      <c r="E357" s="349">
        <f ca="1">$E$6*$F$12*($F$67*Mat_Sum!$D27+$F$68*Mat_Sum!$F27+$F$69*Mat_Sum!$I27+$F$70*Mat_Sum!$L27+$F$71*Mat_Sum!$AG27+$F$72*Mat_Sum!$AH27+$F$73*Mat_Sum!$AK27+$F$74*Mat_Sum!$AS27+$F$75*Mat_Sum!$AR27+$F$76*Mat_Sum!$AV27)+$A$136*(F$140*4)*($A$144*Mat_Sum!$AV27+$B$144*Mat_Sum!$D27)</f>
        <v>3513.4549822986301</v>
      </c>
      <c r="F357" s="349">
        <f ca="1">$E$6*$F$13*($E$79*Mat_Sum!$D27+$E$80*Mat_Sum!$E27+$E$81*Mat_Sum!$L27+$F$82*Mat_Sum!$AG27)</f>
        <v>1303.7709158296018</v>
      </c>
      <c r="G357" s="349">
        <f ca="1">$E$6*$F$14*($F$85*Mat_Sum!$D27+$F$86*Mat_Sum!$L27+$F$87*Mat_Sum!$AG27)</f>
        <v>1303.7709158296018</v>
      </c>
      <c r="H357" s="349">
        <f ca="1">$E$6*$F$15*($F$90*Mat_Sum!$D27+$F$91*Mat_Sum!$L27+$F$92*Mat_Sum!$AG27+$F$93*Mat_Sum!$AV27+$F$94*Mat_Sum!$AR27)</f>
        <v>459.68038228626256</v>
      </c>
      <c r="I357" s="348"/>
      <c r="J357" s="382">
        <f t="shared" ca="1" si="63"/>
        <v>0.37960887343750788</v>
      </c>
      <c r="K357" s="382">
        <f t="shared" ca="1" si="64"/>
        <v>0.17728109109818824</v>
      </c>
      <c r="L357" s="382">
        <f t="shared" ca="1" si="65"/>
        <v>0.12298878304139511</v>
      </c>
      <c r="M357" s="382">
        <f t="shared" ca="1" si="66"/>
        <v>0.17091426546600469</v>
      </c>
      <c r="N357" s="382">
        <f t="shared" ca="1" si="67"/>
        <v>6.3422770332230385E-2</v>
      </c>
      <c r="O357" s="382">
        <f t="shared" ca="1" si="68"/>
        <v>6.3422770332230385E-2</v>
      </c>
      <c r="P357" s="382">
        <f t="shared" ca="1" si="69"/>
        <v>2.2361446292443486E-2</v>
      </c>
      <c r="Q357" s="588"/>
    </row>
    <row r="358" spans="1:17">
      <c r="A358" s="661" t="s">
        <v>827</v>
      </c>
      <c r="B358" s="347">
        <f ca="1">$E$6*$F$17*($F$22*Mat_Sum!$D28+$F$23*Mat_Sum!$I28+$F$24*Mat_Sum!$L28+$F$25*Mat_Sum!$AG28+$F$26*Mat_Sum!$AH28+$F$27*Mat_Sum!$AK28+$F$28*Mat_Sum!$AS28+$F$29*Mat_Sum!$AM28+$F$30*Mat_Sum!$AT28+$F$31*Mat_Sum!$AR28+$F$32*Mat_Sum!$AV28)</f>
        <v>9.4934691126788735</v>
      </c>
      <c r="C358" s="349">
        <f ca="1">$E$6*$F$10*($F$35*Mat_Sum!$D28+$F$36*Mat_Sum!$E28+$F$37*Mat_Sum!$F28+$F$38*Mat_Sum!$I28+$F$39*Mat_Sum!$L28+$F$40*Mat_Sum!$AG28+$F$41*Mat_Sum!$AK28+$F$42*Mat_Sum!$AS28+$F$43*Mat_Sum!$AR28+$F$44*Mat_Sum!$AV28+$F$45*Mat_Sum!$AT28+$F$46*Mat_Sum!$BH28+$F$47*Mat_Sum!$BG28+$F$48*Mat_Sum!$BJ28+$F$49*Mat_Sum!$BI28+$F$50*Mat_Sum!$AW28)</f>
        <v>4.0561023132889398</v>
      </c>
      <c r="D358" s="349">
        <f ca="1">$E$6*$F$11*($F$56*Mat_Sum!$D28+$F$57*Mat_Sum!$AG28+$F$58*Mat_Sum!$F28+$F$59*Mat_Sum!$AK28+$F$60*Mat_Sum!$I28+$F$61*Mat_Sum!$L28+$F$62*Mat_Sum!$AT28+$F$63*Mat_Sum!$AR28+$F$64*Mat_Sum!$AV28)</f>
        <v>1.4428532159078276</v>
      </c>
      <c r="E358" s="349">
        <f ca="1">$E$6*$F$12*($F$67*Mat_Sum!$D28+$F$68*Mat_Sum!$F28+$F$69*Mat_Sum!$I28+$F$70*Mat_Sum!$L28+$F$71*Mat_Sum!$AG28+$F$72*Mat_Sum!$AH28+$F$73*Mat_Sum!$AK28+$F$74*Mat_Sum!$AS28+$F$75*Mat_Sum!$AR28+$F$76*Mat_Sum!$AV28)+$A$136*(F$140*4)*($A$144*Mat_Sum!$AV28+$B$144*Mat_Sum!$D28)</f>
        <v>7.33706817086013</v>
      </c>
      <c r="F358" s="349">
        <f ca="1">$E$6*$F$13*($E$79*Mat_Sum!$D28+$E$80*Mat_Sum!$E28+$E$81*Mat_Sum!$L28+$F$82*Mat_Sum!$AG28)</f>
        <v>0.6384748445407572</v>
      </c>
      <c r="G358" s="349">
        <f ca="1">$E$6*$F$14*($F$85*Mat_Sum!$D28+$F$86*Mat_Sum!$L28+$F$87*Mat_Sum!$AG28)</f>
        <v>0.6384748445407572</v>
      </c>
      <c r="H358" s="349">
        <f ca="1">$E$6*$F$15*($F$90*Mat_Sum!$D28+$F$91*Mat_Sum!$L28+$F$92*Mat_Sum!$AG28+$F$93*Mat_Sum!$AV28+$F$94*Mat_Sum!$AR28)</f>
        <v>0.52607924200015133</v>
      </c>
      <c r="I358" s="348"/>
      <c r="J358" s="382">
        <f t="shared" ca="1" si="63"/>
        <v>0.39338902139852111</v>
      </c>
      <c r="K358" s="382">
        <f t="shared" ca="1" si="64"/>
        <v>0.16807619014486463</v>
      </c>
      <c r="L358" s="382">
        <f t="shared" ca="1" si="65"/>
        <v>5.978874612544275E-2</v>
      </c>
      <c r="M358" s="382">
        <f t="shared" ca="1" si="66"/>
        <v>0.30403238620264911</v>
      </c>
      <c r="N358" s="382">
        <f t="shared" ca="1" si="67"/>
        <v>2.6457029701188583E-2</v>
      </c>
      <c r="O358" s="382">
        <f t="shared" ca="1" si="68"/>
        <v>2.6457029701188583E-2</v>
      </c>
      <c r="P358" s="382">
        <f t="shared" ca="1" si="69"/>
        <v>2.1799596726145239E-2</v>
      </c>
      <c r="Q358" s="588"/>
    </row>
    <row r="359" spans="1:17">
      <c r="A359" s="661" t="s">
        <v>828</v>
      </c>
      <c r="B359" s="347">
        <f ca="1">$E$6*$F$17*($F$22*Mat_Sum!$D29+$F$23*Mat_Sum!$I29+$F$24*Mat_Sum!$L29+$F$25*Mat_Sum!$AG29+$F$26*Mat_Sum!$AH29+$F$27*Mat_Sum!$AK29+$F$28*Mat_Sum!$AS29+$F$29*Mat_Sum!$AM29+$F$30*Mat_Sum!$AT29+$F$31*Mat_Sum!$AR29+$F$32*Mat_Sum!$AV29)</f>
        <v>21.963086586212022</v>
      </c>
      <c r="C359" s="349">
        <f ca="1">$E$6*$F$10*($F$35*Mat_Sum!$D29+$F$36*Mat_Sum!$E29+$F$37*Mat_Sum!$F29+$F$38*Mat_Sum!$I29+$F$39*Mat_Sum!$L29+$F$40*Mat_Sum!$AG29+$F$41*Mat_Sum!$AK29+$F$42*Mat_Sum!$AS29+$F$43*Mat_Sum!$AR29+$F$44*Mat_Sum!$AV29+$F$45*Mat_Sum!$AT29+$F$46*Mat_Sum!$BH29+$F$47*Mat_Sum!$BG29+$F$48*Mat_Sum!$BJ29+$F$49*Mat_Sum!$BI29+$F$50*Mat_Sum!$AW29)</f>
        <v>9.4179974937827993</v>
      </c>
      <c r="D359" s="349">
        <f ca="1">$E$6*$F$11*($F$56*Mat_Sum!$D29+$F$57*Mat_Sum!$AG29+$F$58*Mat_Sum!$F29+$F$59*Mat_Sum!$AK29+$F$60*Mat_Sum!$I29+$F$61*Mat_Sum!$L29+$F$62*Mat_Sum!$AT29+$F$63*Mat_Sum!$AR29+$F$64*Mat_Sum!$AV29)</f>
        <v>2.6983446781122491</v>
      </c>
      <c r="E359" s="349">
        <f ca="1">$E$6*$F$12*($F$67*Mat_Sum!$D29+$F$68*Mat_Sum!$F29+$F$69*Mat_Sum!$I29+$F$70*Mat_Sum!$L29+$F$71*Mat_Sum!$AG29+$F$72*Mat_Sum!$AH29+$F$73*Mat_Sum!$AK29+$F$74*Mat_Sum!$AS29+$F$75*Mat_Sum!$AR29+$F$76*Mat_Sum!$AV29)+$A$136*(F$140*4)*($A$144*Mat_Sum!$AV29+$B$144*Mat_Sum!$D29)</f>
        <v>15.353196335182686</v>
      </c>
      <c r="F359" s="349">
        <f ca="1">$E$6*$F$13*($E$79*Mat_Sum!$D29+$E$80*Mat_Sum!$E29+$E$81*Mat_Sum!$L29+$F$82*Mat_Sum!$AG29)</f>
        <v>1.0807105574550235</v>
      </c>
      <c r="G359" s="349">
        <f ca="1">$E$6*$F$14*($F$85*Mat_Sum!$D29+$F$86*Mat_Sum!$L29+$F$87*Mat_Sum!$AG29)</f>
        <v>1.0807105574550235</v>
      </c>
      <c r="H359" s="349">
        <f ca="1">$E$6*$F$15*($F$90*Mat_Sum!$D29+$F$91*Mat_Sum!$L29+$F$92*Mat_Sum!$AG29+$F$93*Mat_Sum!$AV29+$F$94*Mat_Sum!$AR29)</f>
        <v>1.0372930627350012</v>
      </c>
      <c r="I359" s="348"/>
      <c r="J359" s="382">
        <f t="shared" ca="1" si="63"/>
        <v>0.41730054546305162</v>
      </c>
      <c r="K359" s="382">
        <f t="shared" ca="1" si="64"/>
        <v>0.1789427672607945</v>
      </c>
      <c r="L359" s="382">
        <f t="shared" ca="1" si="65"/>
        <v>5.1268782354592035E-2</v>
      </c>
      <c r="M359" s="382">
        <f t="shared" ca="1" si="66"/>
        <v>0.29171205878208301</v>
      </c>
      <c r="N359" s="382">
        <f t="shared" ca="1" si="67"/>
        <v>2.0533594098598902E-2</v>
      </c>
      <c r="O359" s="382">
        <f t="shared" ca="1" si="68"/>
        <v>2.0533594098598902E-2</v>
      </c>
      <c r="P359" s="382">
        <f t="shared" ca="1" si="69"/>
        <v>1.9708657942281115E-2</v>
      </c>
      <c r="Q359" s="588"/>
    </row>
    <row r="360" spans="1:17">
      <c r="A360" s="230" t="s">
        <v>829</v>
      </c>
      <c r="B360" s="347">
        <f ca="1">$E$6*$F$17*($F$22*Mat_Sum!$D30+$F$23*Mat_Sum!$I30+$F$24*Mat_Sum!$L30+$F$25*Mat_Sum!$AG30+$F$26*Mat_Sum!$AH30+$F$27*Mat_Sum!$AK30+$F$28*Mat_Sum!$AS30+$F$29*Mat_Sum!$AM30+$F$30*Mat_Sum!$AT30+$F$31*Mat_Sum!$AR30+$F$32*Mat_Sum!$AV30)</f>
        <v>5043.4944770759012</v>
      </c>
      <c r="C360" s="349">
        <f ca="1">$E$6*$F$10*($F$35*Mat_Sum!$D30+$F$36*Mat_Sum!$E30+$F$37*Mat_Sum!$F30+$F$38*Mat_Sum!$I30+$F$39*Mat_Sum!$L30+$F$40*Mat_Sum!$AG30+$F$41*Mat_Sum!$AK30+$F$42*Mat_Sum!$AS30+$F$43*Mat_Sum!$AR30+$F$44*Mat_Sum!$AV30+$F$45*Mat_Sum!$AT30+$F$46*Mat_Sum!$BH30+$F$47*Mat_Sum!$BG30+$F$48*Mat_Sum!$BJ30+$F$49*Mat_Sum!$BI30+$F$50*Mat_Sum!$AW30)</f>
        <v>1897.2797634582225</v>
      </c>
      <c r="D360" s="349">
        <f ca="1">$E$6*$F$11*($F$56*Mat_Sum!$D30+$F$57*Mat_Sum!$AG30+$F$58*Mat_Sum!$F30+$F$59*Mat_Sum!$AK30+$F$60*Mat_Sum!$I30+$F$61*Mat_Sum!$L30+$F$62*Mat_Sum!$AT30+$F$63*Mat_Sum!$AR30+$F$64*Mat_Sum!$AV30)</f>
        <v>413.1731858647625</v>
      </c>
      <c r="E360" s="349">
        <f ca="1">$E$6*$F$12*($F$67*Mat_Sum!$D30+$F$68*Mat_Sum!$F30+$F$69*Mat_Sum!$I30+$F$70*Mat_Sum!$L30+$F$71*Mat_Sum!$AG30+$F$72*Mat_Sum!$AH30+$F$73*Mat_Sum!$AK30+$F$74*Mat_Sum!$AS30+$F$75*Mat_Sum!$AR30+$F$76*Mat_Sum!$AV30)+$A$136*(F$140*4)*($A$144*Mat_Sum!$AV30+$B$144*Mat_Sum!$D30)</f>
        <v>2292.9904088193257</v>
      </c>
      <c r="F360" s="349">
        <f ca="1">$E$6*$F$13*($E$79*Mat_Sum!$D30+$E$80*Mat_Sum!$E30+$E$81*Mat_Sum!$L30+$F$82*Mat_Sum!$AG30)</f>
        <v>152.36463602703574</v>
      </c>
      <c r="G360" s="349">
        <f ca="1">$E$6*$F$14*($F$85*Mat_Sum!$D30+$F$86*Mat_Sum!$L30+$F$87*Mat_Sum!$AG30)</f>
        <v>152.36463602703574</v>
      </c>
      <c r="H360" s="349">
        <f ca="1">$E$6*$F$15*($F$90*Mat_Sum!$D30+$F$91*Mat_Sum!$L30+$F$92*Mat_Sum!$AG30+$F$93*Mat_Sum!$AV30+$F$94*Mat_Sum!$AR30)</f>
        <v>220.85402681504644</v>
      </c>
      <c r="I360" s="348"/>
      <c r="J360" s="382">
        <f t="shared" ca="1" si="63"/>
        <v>0.49579592026361519</v>
      </c>
      <c r="K360" s="382">
        <f t="shared" ca="1" si="64"/>
        <v>0.18651027984602414</v>
      </c>
      <c r="L360" s="382">
        <f t="shared" ca="1" si="65"/>
        <v>4.0616596458104295E-2</v>
      </c>
      <c r="M360" s="382">
        <f t="shared" ca="1" si="66"/>
        <v>0.22541023789429082</v>
      </c>
      <c r="N360" s="382">
        <f t="shared" ca="1" si="67"/>
        <v>1.497806040593749E-2</v>
      </c>
      <c r="O360" s="382">
        <f t="shared" ca="1" si="68"/>
        <v>1.497806040593749E-2</v>
      </c>
      <c r="P360" s="382">
        <f t="shared" ca="1" si="69"/>
        <v>2.1710844726090736E-2</v>
      </c>
      <c r="Q360" s="588"/>
    </row>
    <row r="361" spans="1:17">
      <c r="A361" s="230" t="s">
        <v>830</v>
      </c>
      <c r="B361" s="347">
        <f ca="1">$E$6*$F$17*($F$22*Mat_Sum!$D31+$F$23*Mat_Sum!$I31+$F$24*Mat_Sum!$L31+$F$25*Mat_Sum!$AG31+$F$26*Mat_Sum!$AH31+$F$27*Mat_Sum!$AK31+$F$28*Mat_Sum!$AS31+$F$29*Mat_Sum!$AM31+$F$30*Mat_Sum!$AT31+$F$31*Mat_Sum!$AR31+$F$32*Mat_Sum!$AV31)</f>
        <v>48.129067373084396</v>
      </c>
      <c r="C361" s="349">
        <f ca="1">$E$6*$F$10*($F$35*Mat_Sum!$D31+$F$36*Mat_Sum!$E31+$F$37*Mat_Sum!$F31+$F$38*Mat_Sum!$I31+$F$39*Mat_Sum!$L31+$F$40*Mat_Sum!$AG31+$F$41*Mat_Sum!$AK31+$F$42*Mat_Sum!$AS31+$F$43*Mat_Sum!$AR31+$F$44*Mat_Sum!$AV31+$F$45*Mat_Sum!$AT31+$F$46*Mat_Sum!$BH31+$F$47*Mat_Sum!$BG31+$F$48*Mat_Sum!$BJ31+$F$49*Mat_Sum!$BI31+$F$50*Mat_Sum!$AW31)</f>
        <v>15.412159271757316</v>
      </c>
      <c r="D361" s="349">
        <f ca="1">$E$6*$F$11*($F$56*Mat_Sum!$D31+$F$57*Mat_Sum!$AG31+$F$58*Mat_Sum!$F31+$F$59*Mat_Sum!$AK31+$F$60*Mat_Sum!$I31+$F$61*Mat_Sum!$L31+$F$62*Mat_Sum!$AT31+$F$63*Mat_Sum!$AR31+$F$64*Mat_Sum!$AV31)</f>
        <v>3.5167197089733726</v>
      </c>
      <c r="E361" s="349">
        <f ca="1">$E$6*$F$12*($F$67*Mat_Sum!$D31+$F$68*Mat_Sum!$F31+$F$69*Mat_Sum!$I31+$F$70*Mat_Sum!$L31+$F$71*Mat_Sum!$AG31+$F$72*Mat_Sum!$AH31+$F$73*Mat_Sum!$AK31+$F$74*Mat_Sum!$AS31+$F$75*Mat_Sum!$AR31+$F$76*Mat_Sum!$AV31)+$A$136*(F$140*4)*($A$144*Mat_Sum!$AV31+$B$144*Mat_Sum!$D31)</f>
        <v>20.484423696270621</v>
      </c>
      <c r="F361" s="349">
        <f ca="1">$E$6*$F$13*($E$79*Mat_Sum!$D31+$E$80*Mat_Sum!$E31+$E$81*Mat_Sum!$L31+$F$82*Mat_Sum!$AG31)</f>
        <v>1.3965793348367408</v>
      </c>
      <c r="G361" s="349">
        <f ca="1">$E$6*$F$14*($F$85*Mat_Sum!$D31+$F$86*Mat_Sum!$L31+$F$87*Mat_Sum!$AG31)</f>
        <v>1.3965793348367408</v>
      </c>
      <c r="H361" s="349">
        <f ca="1">$E$6*$F$15*($F$90*Mat_Sum!$D31+$F$91*Mat_Sum!$L31+$F$92*Mat_Sum!$AG31+$F$93*Mat_Sum!$AV31+$F$94*Mat_Sum!$AR31)</f>
        <v>2.4417415085211203</v>
      </c>
      <c r="I361" s="348"/>
      <c r="J361" s="382">
        <f t="shared" ca="1" si="63"/>
        <v>0.51875925272064893</v>
      </c>
      <c r="K361" s="382">
        <f t="shared" ca="1" si="64"/>
        <v>0.16611999074595959</v>
      </c>
      <c r="L361" s="382">
        <f t="shared" ca="1" si="65"/>
        <v>3.7904970692933887E-2</v>
      </c>
      <c r="M361" s="382">
        <f t="shared" ca="1" si="66"/>
        <v>0.22079140338865644</v>
      </c>
      <c r="N361" s="382">
        <f t="shared" ca="1" si="67"/>
        <v>1.5053033263432195E-2</v>
      </c>
      <c r="O361" s="382">
        <f t="shared" ca="1" si="68"/>
        <v>1.5053033263432195E-2</v>
      </c>
      <c r="P361" s="382">
        <f t="shared" ca="1" si="69"/>
        <v>2.6318315924936865E-2</v>
      </c>
      <c r="Q361" s="588"/>
    </row>
    <row r="362" spans="1:17">
      <c r="A362" s="230" t="s">
        <v>831</v>
      </c>
      <c r="B362" s="517">
        <f ca="1">$E$6*$F$17*($F$22*Mat_Sum!$D32+$F$23*Mat_Sum!$I32+$F$24*Mat_Sum!$L32+$F$25*Mat_Sum!$AG32+$F$26*Mat_Sum!$AH32+$F$27*Mat_Sum!$AK32+$F$28*Mat_Sum!$AS32+$F$29*Mat_Sum!$AM32+$F$30*Mat_Sum!$AT32+$F$31*Mat_Sum!$AR32+$F$32*Mat_Sum!$AV32)</f>
        <v>1587951.0084839291</v>
      </c>
      <c r="C362" s="419">
        <f ca="1">$E$6*$F$10*($F$35*Mat_Sum!$D32+$F$36*Mat_Sum!$E32+$F$37*Mat_Sum!$F32+$F$38*Mat_Sum!$I32+$F$39*Mat_Sum!$L32+$F$40*Mat_Sum!$AG32+$F$41*Mat_Sum!$AK32+$F$42*Mat_Sum!$AS32+$F$43*Mat_Sum!$AR32+$F$44*Mat_Sum!$AV32+$F$45*Mat_Sum!$AT32+$F$46*Mat_Sum!$BH32+$F$47*Mat_Sum!$BG32+$F$48*Mat_Sum!$BJ32+$F$49*Mat_Sum!$BI32+$F$50*Mat_Sum!$AW32)</f>
        <v>667796.23746498872</v>
      </c>
      <c r="D362" s="419">
        <f ca="1">$E$6*$F$11*($F$56*Mat_Sum!$D32+$F$57*Mat_Sum!$AG32+$F$58*Mat_Sum!$F32+$F$59*Mat_Sum!$AK32+$F$60*Mat_Sum!$I32+$F$61*Mat_Sum!$L32+$F$62*Mat_Sum!$AT32+$F$63*Mat_Sum!$AR32+$F$64*Mat_Sum!$AV32)</f>
        <v>221011.98254712677</v>
      </c>
      <c r="E362" s="419">
        <f ca="1">$E$6*$F$12*($F$67*Mat_Sum!$D32+$F$68*Mat_Sum!$F32+$F$69*Mat_Sum!$I32+$F$70*Mat_Sum!$L32+$F$71*Mat_Sum!$AG32+$F$72*Mat_Sum!$AH32+$F$73*Mat_Sum!$AK32+$F$74*Mat_Sum!$AS32+$F$75*Mat_Sum!$AR32+$F$76*Mat_Sum!$AV32)+$A$136*(F$140*4)*($A$144*Mat_Sum!$AV32+$B$144*Mat_Sum!$D32)</f>
        <v>1105279.2144381453</v>
      </c>
      <c r="F362" s="419">
        <f ca="1">$E$6*$F$13*($E$79*Mat_Sum!$D32+$E$80*Mat_Sum!$E32+$E$81*Mat_Sum!$L32+$F$82*Mat_Sum!$AG32)</f>
        <v>73329.158311162435</v>
      </c>
      <c r="G362" s="419">
        <f ca="1">$E$6*$F$14*($F$85*Mat_Sum!$D32+$F$86*Mat_Sum!$L32+$F$87*Mat_Sum!$AG32)</f>
        <v>73329.158311162435</v>
      </c>
      <c r="H362" s="419">
        <f ca="1">$E$6*$F$15*($F$90*Mat_Sum!$D32+$F$91*Mat_Sum!$L32+$F$92*Mat_Sum!$AG32+$F$93*Mat_Sum!$AV32+$F$94*Mat_Sum!$AR32)</f>
        <v>60888.865447057622</v>
      </c>
      <c r="I362" s="516"/>
      <c r="J362" s="382">
        <f t="shared" ca="1" si="63"/>
        <v>0.4190302491139602</v>
      </c>
      <c r="K362" s="382">
        <f t="shared" ca="1" si="64"/>
        <v>0.17621880161748801</v>
      </c>
      <c r="L362" s="382">
        <f t="shared" ca="1" si="65"/>
        <v>5.8320883710582069E-2</v>
      </c>
      <c r="M362" s="382">
        <f t="shared" ca="1" si="66"/>
        <v>0.29166228812605433</v>
      </c>
      <c r="N362" s="382">
        <f t="shared" ca="1" si="67"/>
        <v>1.9350178506942515E-2</v>
      </c>
      <c r="O362" s="382">
        <f t="shared" ca="1" si="68"/>
        <v>1.9350178506942515E-2</v>
      </c>
      <c r="P362" s="382">
        <f t="shared" ca="1" si="69"/>
        <v>1.6067420418030595E-2</v>
      </c>
      <c r="Q362" s="588"/>
    </row>
    <row r="363" spans="1:17">
      <c r="A363" s="230" t="s">
        <v>850</v>
      </c>
      <c r="B363" s="517">
        <f ca="1">$E$6*$F$17*($F$22*Mat_Sum!$D33+$F$23*Mat_Sum!$I33+$F$24*Mat_Sum!$L33+$F$25*Mat_Sum!$AG33+$F$26*Mat_Sum!$AH33+$F$27*Mat_Sum!$AK33+$F$28*Mat_Sum!$AS33+$F$29*Mat_Sum!$AM33+$F$30*Mat_Sum!$AT33+$F$31*Mat_Sum!$AR33+$F$32*Mat_Sum!$AV33)</f>
        <v>1605832.47067243</v>
      </c>
      <c r="C363" s="419">
        <f ca="1">$E$6*$F$10*($F$35*Mat_Sum!$D33+$F$36*Mat_Sum!$E33+$F$37*Mat_Sum!$F33+$F$38*Mat_Sum!$I33+$F$39*Mat_Sum!$L33+$F$40*Mat_Sum!$AG33+$F$41*Mat_Sum!$AK33+$F$42*Mat_Sum!$AS33+$F$43*Mat_Sum!$AR33+$F$44*Mat_Sum!$AV33+$F$45*Mat_Sum!$AT33+$F$46*Mat_Sum!$BH33+$F$47*Mat_Sum!$BG33+$F$48*Mat_Sum!$BJ33+$F$49*Mat_Sum!$BI33+$F$50*Mat_Sum!$AW33)</f>
        <v>675179.20689671382</v>
      </c>
      <c r="D363" s="419">
        <f ca="1">$E$6*$F$11*($F$56*Mat_Sum!$D33+$F$57*Mat_Sum!$AG33+$F$58*Mat_Sum!$F33+$F$59*Mat_Sum!$AK33+$F$60*Mat_Sum!$I33+$F$61*Mat_Sum!$L33+$F$62*Mat_Sum!$AT33+$F$63*Mat_Sum!$AR33+$F$64*Mat_Sum!$AV33)</f>
        <v>222763.80440202288</v>
      </c>
      <c r="E363" s="419">
        <f ca="1">$E$6*$F$12*($F$67*Mat_Sum!$D33+$F$68*Mat_Sum!$F33+$F$69*Mat_Sum!$I33+$F$70*Mat_Sum!$L33+$F$71*Mat_Sum!$AG33+$F$72*Mat_Sum!$AH33+$F$73*Mat_Sum!$AK33+$F$74*Mat_Sum!$AS33+$F$75*Mat_Sum!$AR33+$F$76*Mat_Sum!$AV33)+$A$136*(F$140*4)*($A$144*Mat_Sum!$AV33+$B$144*Mat_Sum!$D33)</f>
        <v>1116880.7975574725</v>
      </c>
      <c r="F363" s="419">
        <f ca="1">$E$6*$F$13*($E$79*Mat_Sum!$D33+$E$80*Mat_Sum!$E33+$E$81*Mat_Sum!$L33+$F$82*Mat_Sum!$AG33)</f>
        <v>73799.532752820931</v>
      </c>
      <c r="G363" s="419">
        <f ca="1">$E$6*$F$14*($F$85*Mat_Sum!$D33+$F$86*Mat_Sum!$L33+$F$87*Mat_Sum!$AG33)</f>
        <v>73799.532752820931</v>
      </c>
      <c r="H363" s="419">
        <f ca="1">$E$6*$F$15*($F$90*Mat_Sum!$D33+$F$91*Mat_Sum!$L33+$F$92*Mat_Sum!$AG33+$F$93*Mat_Sum!$AV33+$F$94*Mat_Sum!$AR33)</f>
        <v>61093.859640038223</v>
      </c>
      <c r="I363" s="516"/>
      <c r="J363" s="382">
        <f t="shared" ca="1" si="63"/>
        <v>0.41934866340010479</v>
      </c>
      <c r="K363" s="382">
        <f t="shared" ca="1" si="64"/>
        <v>0.17631695904686678</v>
      </c>
      <c r="L363" s="382">
        <f t="shared" ca="1" si="65"/>
        <v>5.8172757953258707E-2</v>
      </c>
      <c r="M363" s="382">
        <f t="shared" ca="1" si="66"/>
        <v>0.29166334483001577</v>
      </c>
      <c r="N363" s="382">
        <f t="shared" ca="1" si="67"/>
        <v>1.9272082228159571E-2</v>
      </c>
      <c r="O363" s="382">
        <f t="shared" ca="1" si="68"/>
        <v>1.9272082228159571E-2</v>
      </c>
      <c r="P363" s="382">
        <f t="shared" ca="1" si="69"/>
        <v>1.5954110313434883E-2</v>
      </c>
      <c r="Q363" s="588"/>
    </row>
    <row r="364" spans="1:17">
      <c r="A364" s="230" t="s">
        <v>851</v>
      </c>
      <c r="B364" s="517">
        <f ca="1">$E$6*$F$17*($F$22*Mat_Sum!$D34+$F$23*Mat_Sum!$I34+$F$24*Mat_Sum!$L34+$F$25*Mat_Sum!$AG34+$F$26*Mat_Sum!$AH34+$F$27*Mat_Sum!$AK34+$F$28*Mat_Sum!$AS34+$F$29*Mat_Sum!$AM34+$F$30*Mat_Sum!$AT34+$F$31*Mat_Sum!$AR34+$F$32*Mat_Sum!$AV34)</f>
        <v>1781198.9562536527</v>
      </c>
      <c r="C364" s="419">
        <f ca="1">$E$6*$F$10*($F$35*Mat_Sum!$D34+$F$36*Mat_Sum!$E34+$F$37*Mat_Sum!$F34+$F$38*Mat_Sum!$I34+$F$39*Mat_Sum!$L34+$F$40*Mat_Sum!$AG34+$F$41*Mat_Sum!$AK34+$F$42*Mat_Sum!$AS34+$F$43*Mat_Sum!$AR34+$F$44*Mat_Sum!$AV34+$F$45*Mat_Sum!$AT34+$F$46*Mat_Sum!$BH34+$F$47*Mat_Sum!$BG34+$F$48*Mat_Sum!$BJ34+$F$49*Mat_Sum!$BI34+$F$50*Mat_Sum!$AW34)</f>
        <v>743026.24177690933</v>
      </c>
      <c r="D364" s="419">
        <f ca="1">$E$6*$F$11*($F$56*Mat_Sum!$D34+$F$57*Mat_Sum!$AG34+$F$58*Mat_Sum!$F34+$F$59*Mat_Sum!$AK34+$F$60*Mat_Sum!$I34+$F$61*Mat_Sum!$L34+$F$62*Mat_Sum!$AT34+$F$63*Mat_Sum!$AR34+$F$64*Mat_Sum!$AV34)</f>
        <v>244165.4579122852</v>
      </c>
      <c r="E364" s="419">
        <f ca="1">$E$6*$F$12*($F$67*Mat_Sum!$D34+$F$68*Mat_Sum!$F34+$F$69*Mat_Sum!$I34+$F$70*Mat_Sum!$L34+$F$71*Mat_Sum!$AG34+$F$72*Mat_Sum!$AH34+$F$73*Mat_Sum!$AK34+$F$74*Mat_Sum!$AS34+$F$75*Mat_Sum!$AR34+$F$76*Mat_Sum!$AV34)+$A$136*(F$140*4)*($A$144*Mat_Sum!$AV34+$B$144*Mat_Sum!$D34)</f>
        <v>1208836.5619767802</v>
      </c>
      <c r="F364" s="419">
        <f ca="1">$E$6*$F$13*($E$79*Mat_Sum!$D34+$E$80*Mat_Sum!$E34+$E$81*Mat_Sum!$L34+$F$82*Mat_Sum!$AG34)</f>
        <v>80375.24207447785</v>
      </c>
      <c r="G364" s="419">
        <f ca="1">$E$6*$F$14*($F$85*Mat_Sum!$D34+$F$86*Mat_Sum!$L34+$F$87*Mat_Sum!$AG34)</f>
        <v>80375.24207447785</v>
      </c>
      <c r="H364" s="419">
        <f ca="1">$E$6*$F$15*($F$90*Mat_Sum!$D34+$F$91*Mat_Sum!$L34+$F$92*Mat_Sum!$AG34+$F$93*Mat_Sum!$AV34+$F$94*Mat_Sum!$AR34)</f>
        <v>70209.182462386249</v>
      </c>
      <c r="I364" s="516"/>
      <c r="J364" s="382">
        <f t="shared" ca="1" si="63"/>
        <v>0.42326992719862988</v>
      </c>
      <c r="K364" s="382">
        <f t="shared" ca="1" si="64"/>
        <v>0.17656683559093514</v>
      </c>
      <c r="L364" s="382">
        <f t="shared" ca="1" si="65"/>
        <v>5.8021533884301112E-2</v>
      </c>
      <c r="M364" s="382">
        <f t="shared" ca="1" si="66"/>
        <v>0.28725828846156698</v>
      </c>
      <c r="N364" s="382">
        <f t="shared" ca="1" si="67"/>
        <v>1.9099732088879461E-2</v>
      </c>
      <c r="O364" s="382">
        <f t="shared" ca="1" si="68"/>
        <v>1.9099732088879461E-2</v>
      </c>
      <c r="P364" s="382">
        <f t="shared" ca="1" si="69"/>
        <v>1.6683950686807846E-2</v>
      </c>
      <c r="Q364" s="588"/>
    </row>
    <row r="365" spans="1:17">
      <c r="A365" s="571" t="s">
        <v>973</v>
      </c>
      <c r="B365" s="347"/>
      <c r="C365" s="349"/>
      <c r="D365" s="349"/>
      <c r="E365" s="349"/>
      <c r="F365" s="349"/>
      <c r="G365" s="349"/>
      <c r="H365" s="349"/>
      <c r="I365" s="348"/>
      <c r="J365" s="382"/>
      <c r="K365" s="382"/>
      <c r="L365" s="382"/>
      <c r="M365" s="382"/>
      <c r="N365" s="382"/>
      <c r="O365" s="382"/>
      <c r="P365" s="382"/>
      <c r="Q365" s="588"/>
    </row>
    <row r="366" spans="1:17">
      <c r="A366" s="230" t="s">
        <v>821</v>
      </c>
      <c r="B366" s="347">
        <f ca="1">$E$6*$F$17*($F$22*Mat_Sum!$D36+$F$23*Mat_Sum!$I36+$F$24*Mat_Sum!$L36+$F$25*Mat_Sum!$AG36+$F$26*Mat_Sum!$AH36+$F$27*Mat_Sum!$AK36+$F$28*Mat_Sum!$AS36+$F$29*Mat_Sum!$AM36+$F$30*Mat_Sum!$AT36+$F$31*Mat_Sum!$AR36+$F$32*Mat_Sum!$AV36)</f>
        <v>20.944144778672076</v>
      </c>
      <c r="C366" s="349">
        <f ca="1">$E$6*$F$10*($F$35*Mat_Sum!$D36+$F$36*Mat_Sum!$E36+$F$37*Mat_Sum!$F36+$F$38*Mat_Sum!$I36+$F$39*Mat_Sum!$L36+$F$40*Mat_Sum!$AG36+$F$41*Mat_Sum!$AK36+$F$42*Mat_Sum!$AS36+$F$43*Mat_Sum!$AR36+$F$44*Mat_Sum!$AV36+$F$45*Mat_Sum!$AT36+$F$46*Mat_Sum!$BH36+$F$47*Mat_Sum!$BG36+$F$48*Mat_Sum!$BJ36+$F$49*Mat_Sum!$BI36+$F$50*Mat_Sum!$AW36)</f>
        <v>6.3811701500859765</v>
      </c>
      <c r="D366" s="349">
        <f ca="1">$E$6*$F$11*($F$56*Mat_Sum!$D36+$F$57*Mat_Sum!$AG36+$F$58*Mat_Sum!$F36+$F$59*Mat_Sum!$AK36+$F$60*Mat_Sum!$I36+$F$61*Mat_Sum!$L36+$F$62*Mat_Sum!$AT36+$F$63*Mat_Sum!$AR36+$F$64*Mat_Sum!$AV36)</f>
        <v>1.3774913114161045</v>
      </c>
      <c r="E366" s="349">
        <f ca="1">$E$6*$F$12*($F$67*Mat_Sum!$D36+$F$68*Mat_Sum!$F36+$F$69*Mat_Sum!$I36+$F$70*Mat_Sum!$L36+$F$71*Mat_Sum!$AG36+$F$72*Mat_Sum!$AH36+$F$73*Mat_Sum!$AK36+$F$74*Mat_Sum!$AS36+$F$75*Mat_Sum!$AR36+$F$76*Mat_Sum!$AV36)+$A$136*(F$140*4)*($A$144*Mat_Sum!$AV36+$B$144*Mat_Sum!$D36)</f>
        <v>9.082012760608567</v>
      </c>
      <c r="F366" s="349">
        <f ca="1">$E$6*$F$13*($E$79*Mat_Sum!$D36+$E$80*Mat_Sum!$E36+$E$81*Mat_Sum!$L36+$F$82*Mat_Sum!$AG36)</f>
        <v>0.51600079335039284</v>
      </c>
      <c r="G366" s="349">
        <f ca="1">$E$6*$F$14*($F$85*Mat_Sum!$D36+$F$86*Mat_Sum!$L36+$F$87*Mat_Sum!$AG36)</f>
        <v>0.51600079335039284</v>
      </c>
      <c r="H366" s="349">
        <f ca="1">$E$6*$F$15*($F$90*Mat_Sum!$D36+$F$91*Mat_Sum!$L36+$F$92*Mat_Sum!$AG36+$F$93*Mat_Sum!$AV36+$F$94*Mat_Sum!$AR36)</f>
        <v>1.1080645418824067</v>
      </c>
      <c r="I366" s="348"/>
      <c r="J366" s="382">
        <f t="shared" ref="J366:P373" ca="1" si="70">B366/$F195</f>
        <v>0.52458872983123628</v>
      </c>
      <c r="K366" s="382">
        <f t="shared" ca="1" si="70"/>
        <v>0.15982939285634765</v>
      </c>
      <c r="L366" s="382">
        <f t="shared" ca="1" si="70"/>
        <v>3.4502073254630845E-2</v>
      </c>
      <c r="M366" s="382">
        <f t="shared" ref="M366:M373" ca="1" si="71">E366/$F195</f>
        <v>0.22747749257588928</v>
      </c>
      <c r="N366" s="382">
        <f t="shared" ca="1" si="70"/>
        <v>1.2924289993031421E-2</v>
      </c>
      <c r="O366" s="382">
        <f t="shared" ca="1" si="70"/>
        <v>1.2924289993031421E-2</v>
      </c>
      <c r="P366" s="382">
        <f t="shared" ca="1" si="70"/>
        <v>2.7753731495833236E-2</v>
      </c>
      <c r="Q366" s="588"/>
    </row>
    <row r="367" spans="1:17">
      <c r="A367" s="230" t="s">
        <v>822</v>
      </c>
      <c r="B367" s="347">
        <f ca="1">$E$6*$F$17*($F$22*Mat_Sum!$D37+$F$23*Mat_Sum!$I37+$F$24*Mat_Sum!$L37+$F$25*Mat_Sum!$AG37+$F$26*Mat_Sum!$AH37+$F$27*Mat_Sum!$AK37+$F$28*Mat_Sum!$AS37+$F$29*Mat_Sum!$AM37+$F$30*Mat_Sum!$AT37+$F$31*Mat_Sum!$AR37+$F$32*Mat_Sum!$AV37)</f>
        <v>60.642922525557523</v>
      </c>
      <c r="C367" s="349">
        <f ca="1">$E$6*$F$10*($F$35*Mat_Sum!$D37+$F$36*Mat_Sum!$E37+$F$37*Mat_Sum!$F37+$F$38*Mat_Sum!$I37+$F$39*Mat_Sum!$L37+$F$40*Mat_Sum!$AG37+$F$41*Mat_Sum!$AK37+$F$42*Mat_Sum!$AS37+$F$43*Mat_Sum!$AR37+$F$44*Mat_Sum!$AV37+$F$45*Mat_Sum!$AT37+$F$46*Mat_Sum!$BH37+$F$47*Mat_Sum!$BG37+$F$48*Mat_Sum!$BJ37+$F$49*Mat_Sum!$BI37+$F$50*Mat_Sum!$AW37)</f>
        <v>21.269679518270589</v>
      </c>
      <c r="D367" s="349">
        <f ca="1">$E$6*$F$11*($F$56*Mat_Sum!$D37+$F$57*Mat_Sum!$AG37+$F$58*Mat_Sum!$F37+$F$59*Mat_Sum!$AK37+$F$60*Mat_Sum!$I37+$F$61*Mat_Sum!$L37+$F$62*Mat_Sum!$AT37+$F$63*Mat_Sum!$AR37+$F$64*Mat_Sum!$AV37)</f>
        <v>6.1833337096297081</v>
      </c>
      <c r="E367" s="349">
        <f ca="1">$E$6*$F$12*($F$67*Mat_Sum!$D37+$F$68*Mat_Sum!$F37+$F$69*Mat_Sum!$I37+$F$70*Mat_Sum!$L37+$F$71*Mat_Sum!$AG37+$F$72*Mat_Sum!$AH37+$F$73*Mat_Sum!$AK37+$F$74*Mat_Sum!$AS37+$F$75*Mat_Sum!$AR37+$F$76*Mat_Sum!$AV37)+$A$136*(F$140*4)*($A$144*Mat_Sum!$AV37+$B$144*Mat_Sum!$D37)</f>
        <v>28.578625928623005</v>
      </c>
      <c r="F367" s="349">
        <f ca="1">$E$6*$F$13*($E$79*Mat_Sum!$D37+$E$80*Mat_Sum!$E37+$E$81*Mat_Sum!$L37+$F$82*Mat_Sum!$AG37)</f>
        <v>2.3195123260184425</v>
      </c>
      <c r="G367" s="349">
        <f ca="1">$E$6*$F$14*($F$85*Mat_Sum!$D37+$F$86*Mat_Sum!$L37+$F$87*Mat_Sum!$AG37)</f>
        <v>2.3195123260184425</v>
      </c>
      <c r="H367" s="349">
        <f ca="1">$E$6*$F$15*($F$90*Mat_Sum!$D37+$F$91*Mat_Sum!$L37+$F$92*Mat_Sum!$AG37+$F$93*Mat_Sum!$AV37+$F$94*Mat_Sum!$AR37)</f>
        <v>3.1939170771683418</v>
      </c>
      <c r="I367" s="348"/>
      <c r="J367" s="382">
        <f t="shared" ca="1" si="70"/>
        <v>0.4870623927397818</v>
      </c>
      <c r="K367" s="382">
        <f t="shared" ca="1" si="70"/>
        <v>0.17083050366860533</v>
      </c>
      <c r="L367" s="382">
        <f t="shared" ca="1" si="70"/>
        <v>4.9662337933194932E-2</v>
      </c>
      <c r="M367" s="382">
        <f t="shared" ca="1" si="71"/>
        <v>0.22953336261365018</v>
      </c>
      <c r="N367" s="382">
        <f t="shared" ca="1" si="70"/>
        <v>1.8629498323136318E-2</v>
      </c>
      <c r="O367" s="382">
        <f t="shared" ca="1" si="70"/>
        <v>1.8629498323136318E-2</v>
      </c>
      <c r="P367" s="382">
        <f t="shared" ca="1" si="70"/>
        <v>2.5652406398495239E-2</v>
      </c>
      <c r="Q367" s="588"/>
    </row>
    <row r="368" spans="1:17">
      <c r="A368" s="230" t="s">
        <v>823</v>
      </c>
      <c r="B368" s="347">
        <f ca="1">$E$6*$F$17*($F$22*Mat_Sum!$D38+$F$23*Mat_Sum!$I38+$F$24*Mat_Sum!$L38+$F$25*Mat_Sum!$AG38+$F$26*Mat_Sum!$AH38+$F$27*Mat_Sum!$AK38+$F$28*Mat_Sum!$AS38+$F$29*Mat_Sum!$AM38+$F$30*Mat_Sum!$AT38+$F$31*Mat_Sum!$AR38+$F$32*Mat_Sum!$AV38)</f>
        <v>103.78686374104004</v>
      </c>
      <c r="C368" s="349">
        <f ca="1">$E$6*$F$10*($F$35*Mat_Sum!$D38+$F$36*Mat_Sum!$E38+$F$37*Mat_Sum!$F38+$F$38*Mat_Sum!$I38+$F$39*Mat_Sum!$L38+$F$40*Mat_Sum!$AG38+$F$41*Mat_Sum!$AK38+$F$42*Mat_Sum!$AS38+$F$43*Mat_Sum!$AR38+$F$44*Mat_Sum!$AV38+$F$45*Mat_Sum!$AT38+$F$46*Mat_Sum!$BH38+$F$47*Mat_Sum!$BG38+$F$48*Mat_Sum!$BJ38+$F$49*Mat_Sum!$BI38+$F$50*Mat_Sum!$AW38)</f>
        <v>41.716542874679305</v>
      </c>
      <c r="D368" s="349">
        <f ca="1">$E$6*$F$11*($F$56*Mat_Sum!$D38+$F$57*Mat_Sum!$AG38+$F$58*Mat_Sum!$F38+$F$59*Mat_Sum!$AK38+$F$60*Mat_Sum!$I38+$F$61*Mat_Sum!$L38+$F$62*Mat_Sum!$AT38+$F$63*Mat_Sum!$AR38+$F$64*Mat_Sum!$AV38)</f>
        <v>17.172810242640644</v>
      </c>
      <c r="E368" s="349">
        <f ca="1">$E$6*$F$12*($F$67*Mat_Sum!$D38+$F$68*Mat_Sum!$F38+$F$69*Mat_Sum!$I38+$F$70*Mat_Sum!$L38+$F$71*Mat_Sum!$AG38+$F$72*Mat_Sum!$AH38+$F$73*Mat_Sum!$AK38+$F$74*Mat_Sum!$AS38+$F$75*Mat_Sum!$AR38+$F$76*Mat_Sum!$AV38)+$A$136*(F$140*4)*($A$144*Mat_Sum!$AV38+$B$144*Mat_Sum!$D38)</f>
        <v>59.844977764205453</v>
      </c>
      <c r="F368" s="349">
        <f ca="1">$E$6*$F$13*($E$79*Mat_Sum!$D38+$E$80*Mat_Sum!$E38+$E$81*Mat_Sum!$L38+$F$82*Mat_Sum!$AG38)</f>
        <v>5.8068073268243126</v>
      </c>
      <c r="G368" s="349">
        <f ca="1">$E$6*$F$14*($F$85*Mat_Sum!$D38+$F$86*Mat_Sum!$L38+$F$87*Mat_Sum!$AG38)</f>
        <v>5.8068073268243126</v>
      </c>
      <c r="H368" s="349">
        <f ca="1">$E$6*$F$15*($F$90*Mat_Sum!$D38+$F$91*Mat_Sum!$L38+$F$92*Mat_Sum!$AG38+$F$93*Mat_Sum!$AV38+$F$94*Mat_Sum!$AR38)</f>
        <v>5.5978556113552056</v>
      </c>
      <c r="I368" s="348"/>
      <c r="J368" s="382">
        <f t="shared" ca="1" si="70"/>
        <v>0.43292750193101309</v>
      </c>
      <c r="K368" s="382">
        <f t="shared" ca="1" si="70"/>
        <v>0.17401276081523431</v>
      </c>
      <c r="L368" s="382">
        <f t="shared" ca="1" si="70"/>
        <v>7.1633167931847819E-2</v>
      </c>
      <c r="M368" s="382">
        <f t="shared" ca="1" si="71"/>
        <v>0.24963213833322123</v>
      </c>
      <c r="N368" s="382">
        <f t="shared" ca="1" si="70"/>
        <v>2.4222011337285271E-2</v>
      </c>
      <c r="O368" s="382">
        <f t="shared" ca="1" si="70"/>
        <v>2.4222011337285271E-2</v>
      </c>
      <c r="P368" s="382">
        <f t="shared" ca="1" si="70"/>
        <v>2.3350408314113179E-2</v>
      </c>
      <c r="Q368" s="588"/>
    </row>
    <row r="369" spans="1:17">
      <c r="A369" s="230" t="s">
        <v>824</v>
      </c>
      <c r="B369" s="347">
        <f ca="1">$E$6*$F$17*($F$22*Mat_Sum!$D39+$F$23*Mat_Sum!$I39+$F$24*Mat_Sum!$L39+$F$25*Mat_Sum!$AG39+$F$26*Mat_Sum!$AH39+$F$27*Mat_Sum!$AK39+$F$28*Mat_Sum!$AS39+$F$29*Mat_Sum!$AM39+$F$30*Mat_Sum!$AT39+$F$31*Mat_Sum!$AR39+$F$32*Mat_Sum!$AV39)</f>
        <v>10.749072277902989</v>
      </c>
      <c r="C369" s="349">
        <f ca="1">$E$6*$F$10*($F$35*Mat_Sum!$D39+$F$36*Mat_Sum!$E39+$F$37*Mat_Sum!$F39+$F$38*Mat_Sum!$I39+$F$39*Mat_Sum!$L39+$F$40*Mat_Sum!$AG39+$F$41*Mat_Sum!$AK39+$F$42*Mat_Sum!$AS39+$F$43*Mat_Sum!$AR39+$F$44*Mat_Sum!$AV39+$F$45*Mat_Sum!$AT39+$F$46*Mat_Sum!$BH39+$F$47*Mat_Sum!$BG39+$F$48*Mat_Sum!$BJ39+$F$49*Mat_Sum!$BI39+$F$50*Mat_Sum!$AW39)</f>
        <v>4.2616348477588426</v>
      </c>
      <c r="D369" s="349">
        <f ca="1">$E$6*$F$11*($F$56*Mat_Sum!$D39+$F$57*Mat_Sum!$AG39+$F$58*Mat_Sum!$F39+$F$59*Mat_Sum!$AK39+$F$60*Mat_Sum!$I39+$F$61*Mat_Sum!$L39+$F$62*Mat_Sum!$AT39+$F$63*Mat_Sum!$AR39+$F$64*Mat_Sum!$AV39)</f>
        <v>2.0202348324471271</v>
      </c>
      <c r="E369" s="349">
        <f ca="1">$E$6*$F$12*($F$67*Mat_Sum!$D39+$F$68*Mat_Sum!$F39+$F$69*Mat_Sum!$I39+$F$70*Mat_Sum!$L39+$F$71*Mat_Sum!$AG39+$F$72*Mat_Sum!$AH39+$F$73*Mat_Sum!$AK39+$F$74*Mat_Sum!$AS39+$F$75*Mat_Sum!$AR39+$F$76*Mat_Sum!$AV39)+$A$136*(F$140*4)*($A$144*Mat_Sum!$AV39+$B$144*Mat_Sum!$D39)</f>
        <v>6.1278880814639409</v>
      </c>
      <c r="F369" s="349">
        <f ca="1">$E$6*$F$13*($E$79*Mat_Sum!$D39+$E$80*Mat_Sum!$E39+$E$81*Mat_Sum!$L39+$F$82*Mat_Sum!$AG39)</f>
        <v>0.64395751727751604</v>
      </c>
      <c r="G369" s="349">
        <f ca="1">$E$6*$F$14*($F$85*Mat_Sum!$D39+$F$86*Mat_Sum!$L39+$F$87*Mat_Sum!$AG39)</f>
        <v>0.64395751727751604</v>
      </c>
      <c r="H369" s="349">
        <f ca="1">$E$6*$F$15*($F$90*Mat_Sum!$D39+$F$91*Mat_Sum!$L39+$F$92*Mat_Sum!$AG39+$F$93*Mat_Sum!$AV39+$F$94*Mat_Sum!$AR39)</f>
        <v>0.56082062234104668</v>
      </c>
      <c r="I369" s="348"/>
      <c r="J369" s="382">
        <f t="shared" ca="1" si="70"/>
        <v>0.42983281173268062</v>
      </c>
      <c r="K369" s="382">
        <f t="shared" ca="1" si="70"/>
        <v>0.17041382194031698</v>
      </c>
      <c r="L369" s="382">
        <f t="shared" ca="1" si="70"/>
        <v>8.0784945522801563E-2</v>
      </c>
      <c r="M369" s="382">
        <f t="shared" ca="1" si="71"/>
        <v>0.24504136691438097</v>
      </c>
      <c r="N369" s="382">
        <f t="shared" ca="1" si="70"/>
        <v>2.5750507870041975E-2</v>
      </c>
      <c r="O369" s="382">
        <f t="shared" ca="1" si="70"/>
        <v>2.5750507870041975E-2</v>
      </c>
      <c r="P369" s="382">
        <f t="shared" ca="1" si="70"/>
        <v>2.2426038149736167E-2</v>
      </c>
      <c r="Q369" s="588"/>
    </row>
    <row r="370" spans="1:17">
      <c r="A370" s="230" t="s">
        <v>825</v>
      </c>
      <c r="B370" s="347">
        <f ca="1">$E$6*$F$17*($F$22*Mat_Sum!$D40+$F$23*Mat_Sum!$I40+$F$24*Mat_Sum!$L40+$F$25*Mat_Sum!$AG40+$F$26*Mat_Sum!$AH40+$F$27*Mat_Sum!$AK40+$F$28*Mat_Sum!$AS40+$F$29*Mat_Sum!$AM40+$F$30*Mat_Sum!$AT40+$F$31*Mat_Sum!$AR40+$F$32*Mat_Sum!$AV40)</f>
        <v>9.2662603732297395</v>
      </c>
      <c r="C370" s="349">
        <f ca="1">$E$6*$F$10*($F$35*Mat_Sum!$D40+$F$36*Mat_Sum!$E40+$F$37*Mat_Sum!$F40+$F$38*Mat_Sum!$I40+$F$39*Mat_Sum!$L40+$F$40*Mat_Sum!$AG40+$F$41*Mat_Sum!$AK40+$F$42*Mat_Sum!$AS40+$F$43*Mat_Sum!$AR40+$F$44*Mat_Sum!$AV40+$F$45*Mat_Sum!$AT40+$F$46*Mat_Sum!$BH40+$F$47*Mat_Sum!$BG40+$F$48*Mat_Sum!$BJ40+$F$49*Mat_Sum!$BI40+$F$50*Mat_Sum!$AW40)</f>
        <v>3.683875231544901</v>
      </c>
      <c r="D370" s="349">
        <f ca="1">$E$6*$F$11*($F$56*Mat_Sum!$D40+$F$57*Mat_Sum!$AG40+$F$58*Mat_Sum!$F40+$F$59*Mat_Sum!$AK40+$F$60*Mat_Sum!$I40+$F$61*Mat_Sum!$L40+$F$62*Mat_Sum!$AT40+$F$63*Mat_Sum!$AR40+$F$64*Mat_Sum!$AV40)</f>
        <v>1.7303803517300571</v>
      </c>
      <c r="E370" s="349">
        <f ca="1">$E$6*$F$12*($F$67*Mat_Sum!$D40+$F$68*Mat_Sum!$F40+$F$69*Mat_Sum!$I40+$F$70*Mat_Sum!$L40+$F$71*Mat_Sum!$AG40+$F$72*Mat_Sum!$AH40+$F$73*Mat_Sum!$AK40+$F$74*Mat_Sum!$AS40+$F$75*Mat_Sum!$AR40+$F$76*Mat_Sum!$AV40)+$A$136*(F$140*4)*($A$144*Mat_Sum!$AV40+$B$144*Mat_Sum!$D40)</f>
        <v>5.3269393292462217</v>
      </c>
      <c r="F370" s="349">
        <f ca="1">$E$6*$F$13*($E$79*Mat_Sum!$D40+$E$80*Mat_Sum!$E40+$E$81*Mat_Sum!$L40+$F$82*Mat_Sum!$AG40)</f>
        <v>0.55516251025671282</v>
      </c>
      <c r="G370" s="349">
        <f ca="1">$E$6*$F$14*($F$85*Mat_Sum!$D40+$F$86*Mat_Sum!$L40+$F$87*Mat_Sum!$AG40)</f>
        <v>0.55516251025671282</v>
      </c>
      <c r="H370" s="349">
        <f ca="1">$E$6*$F$15*($F$90*Mat_Sum!$D40+$F$91*Mat_Sum!$L40+$F$92*Mat_Sum!$AG40+$F$93*Mat_Sum!$AV40+$F$94*Mat_Sum!$AR40)</f>
        <v>0.47745446760230426</v>
      </c>
      <c r="I370" s="348"/>
      <c r="J370" s="382">
        <f t="shared" ca="1" si="70"/>
        <v>0.42908819794092973</v>
      </c>
      <c r="K370" s="382">
        <f t="shared" ca="1" si="70"/>
        <v>0.17058741292328633</v>
      </c>
      <c r="L370" s="382">
        <f t="shared" ca="1" si="70"/>
        <v>8.0127878666272592E-2</v>
      </c>
      <c r="M370" s="382">
        <f t="shared" ca="1" si="71"/>
        <v>0.24667198041729968</v>
      </c>
      <c r="N370" s="382">
        <f t="shared" ca="1" si="70"/>
        <v>2.5707639489455317E-2</v>
      </c>
      <c r="O370" s="382">
        <f t="shared" ca="1" si="70"/>
        <v>2.5707639489455317E-2</v>
      </c>
      <c r="P370" s="382">
        <f t="shared" ca="1" si="70"/>
        <v>2.2109251073301282E-2</v>
      </c>
      <c r="Q370" s="588"/>
    </row>
    <row r="371" spans="1:17">
      <c r="A371" s="230" t="s">
        <v>826</v>
      </c>
      <c r="B371" s="347">
        <f ca="1">$E$6*$F$17*($F$22*Mat_Sum!$D41+$F$23*Mat_Sum!$I41+$F$24*Mat_Sum!$L41+$F$25*Mat_Sum!$AG41+$F$26*Mat_Sum!$AH41+$F$27*Mat_Sum!$AK41+$F$28*Mat_Sum!$AS41+$F$29*Mat_Sum!$AM41+$F$30*Mat_Sum!$AT41+$F$31*Mat_Sum!$AR41+$F$32*Mat_Sum!$AV41)</f>
        <v>104.81308772380304</v>
      </c>
      <c r="C371" s="349">
        <f ca="1">$E$6*$F$10*($F$35*Mat_Sum!$D41+$F$36*Mat_Sum!$E41+$F$37*Mat_Sum!$F41+$F$38*Mat_Sum!$I41+$F$39*Mat_Sum!$L41+$F$40*Mat_Sum!$AG41+$F$41*Mat_Sum!$AK41+$F$42*Mat_Sum!$AS41+$F$43*Mat_Sum!$AR41+$F$44*Mat_Sum!$AV41+$F$45*Mat_Sum!$AT41+$F$46*Mat_Sum!$BH41+$F$47*Mat_Sum!$BG41+$F$48*Mat_Sum!$BJ41+$F$49*Mat_Sum!$BI41+$F$50*Mat_Sum!$AW41)</f>
        <v>37.681000664707888</v>
      </c>
      <c r="D371" s="349">
        <f ca="1">$E$6*$F$11*($F$56*Mat_Sum!$D41+$F$57*Mat_Sum!$AG41+$F$58*Mat_Sum!$F41+$F$59*Mat_Sum!$AK41+$F$60*Mat_Sum!$I41+$F$61*Mat_Sum!$L41+$F$62*Mat_Sum!$AT41+$F$63*Mat_Sum!$AR41+$F$64*Mat_Sum!$AV41)</f>
        <v>17.572427326528679</v>
      </c>
      <c r="E371" s="349">
        <f ca="1">$E$6*$F$12*($F$67*Mat_Sum!$D41+$F$68*Mat_Sum!$F41+$F$69*Mat_Sum!$I41+$F$70*Mat_Sum!$L41+$F$71*Mat_Sum!$AG41+$F$72*Mat_Sum!$AH41+$F$73*Mat_Sum!$AK41+$F$74*Mat_Sum!$AS41+$F$75*Mat_Sum!$AR41+$F$76*Mat_Sum!$AV41)+$A$136*(F$140*4)*($A$144*Mat_Sum!$AV41+$B$144*Mat_Sum!$D41)</f>
        <v>46.364272351107331</v>
      </c>
      <c r="F371" s="349">
        <f ca="1">$E$6*$F$13*($E$79*Mat_Sum!$D41+$E$80*Mat_Sum!$E41+$E$81*Mat_Sum!$L41+$F$82*Mat_Sum!$AG41)</f>
        <v>5.3689399473846722</v>
      </c>
      <c r="G371" s="349">
        <f ca="1">$E$6*$F$14*($F$85*Mat_Sum!$D41+$F$86*Mat_Sum!$L41+$F$87*Mat_Sum!$AG41)</f>
        <v>5.3689399473846722</v>
      </c>
      <c r="H371" s="349">
        <f ca="1">$E$6*$F$15*($F$90*Mat_Sum!$D41+$F$91*Mat_Sum!$L41+$F$92*Mat_Sum!$AG41+$F$93*Mat_Sum!$AV41+$F$94*Mat_Sum!$AR41)</f>
        <v>5.668926282944506</v>
      </c>
      <c r="I371" s="348"/>
      <c r="J371" s="382">
        <f t="shared" ca="1" si="70"/>
        <v>0.47035639600875229</v>
      </c>
      <c r="K371" s="382">
        <f t="shared" ca="1" si="70"/>
        <v>0.16909624604666998</v>
      </c>
      <c r="L371" s="382">
        <f t="shared" ca="1" si="70"/>
        <v>7.8857552677123299E-2</v>
      </c>
      <c r="M371" s="382">
        <f t="shared" ca="1" si="71"/>
        <v>0.20806306273603417</v>
      </c>
      <c r="N371" s="382">
        <f t="shared" ca="1" si="70"/>
        <v>2.4093510637658428E-2</v>
      </c>
      <c r="O371" s="382">
        <f t="shared" ca="1" si="70"/>
        <v>2.4093510637658428E-2</v>
      </c>
      <c r="P371" s="382">
        <f t="shared" ca="1" si="70"/>
        <v>2.5439721256103474E-2</v>
      </c>
      <c r="Q371" s="588"/>
    </row>
    <row r="372" spans="1:17">
      <c r="A372" s="230" t="s">
        <v>827</v>
      </c>
      <c r="B372" s="347">
        <f ca="1">$E$6*$F$17*($F$22*Mat_Sum!$D42+$F$23*Mat_Sum!$I42+$F$24*Mat_Sum!$L42+$F$25*Mat_Sum!$AG42+$F$26*Mat_Sum!$AH42+$F$27*Mat_Sum!$AK42+$F$28*Mat_Sum!$AS42+$F$29*Mat_Sum!$AM42+$F$30*Mat_Sum!$AT42+$F$31*Mat_Sum!$AR42+$F$32*Mat_Sum!$AV42)</f>
        <v>0.54593338274908743</v>
      </c>
      <c r="C372" s="349">
        <f ca="1">$E$6*$F$10*($F$35*Mat_Sum!$D42+$F$36*Mat_Sum!$E42+$F$37*Mat_Sum!$F42+$F$38*Mat_Sum!$I42+$F$39*Mat_Sum!$L42+$F$40*Mat_Sum!$AG42+$F$41*Mat_Sum!$AK42+$F$42*Mat_Sum!$AS42+$F$43*Mat_Sum!$AR42+$F$44*Mat_Sum!$AV42+$F$45*Mat_Sum!$AT42+$F$46*Mat_Sum!$BH42+$F$47*Mat_Sum!$BG42+$F$48*Mat_Sum!$BJ42+$F$49*Mat_Sum!$BI42+$F$50*Mat_Sum!$AW42)</f>
        <v>0.21133032255312867</v>
      </c>
      <c r="D372" s="349">
        <f ca="1">$E$6*$F$11*($F$56*Mat_Sum!$D42+$F$57*Mat_Sum!$AG42+$F$58*Mat_Sum!$F42+$F$59*Mat_Sum!$AK42+$F$60*Mat_Sum!$I42+$F$61*Mat_Sum!$L42+$F$62*Mat_Sum!$AT42+$F$63*Mat_Sum!$AR42+$F$64*Mat_Sum!$AV42)</f>
        <v>9.0844757457907974E-2</v>
      </c>
      <c r="E372" s="349">
        <f ca="1">$E$6*$F$12*($F$67*Mat_Sum!$D42+$F$68*Mat_Sum!$F42+$F$69*Mat_Sum!$I42+$F$70*Mat_Sum!$L42+$F$71*Mat_Sum!$AG42+$F$72*Mat_Sum!$AH42+$F$73*Mat_Sum!$AK42+$F$74*Mat_Sum!$AS42+$F$75*Mat_Sum!$AR42+$F$76*Mat_Sum!$AV42)+$A$136*(F$140*4)*($A$144*Mat_Sum!$AV42+$B$144*Mat_Sum!$D42)</f>
        <v>0.32027594656270364</v>
      </c>
      <c r="F372" s="349">
        <f ca="1">$E$6*$F$13*($E$79*Mat_Sum!$D42+$E$80*Mat_Sum!$E42+$E$81*Mat_Sum!$L42+$F$82*Mat_Sum!$AG42)</f>
        <v>2.9717054138119574E-2</v>
      </c>
      <c r="G372" s="349">
        <f ca="1">$E$6*$F$14*($F$85*Mat_Sum!$D42+$F$86*Mat_Sum!$L42+$F$87*Mat_Sum!$AG42)</f>
        <v>2.9717054138119574E-2</v>
      </c>
      <c r="H372" s="349">
        <f ca="1">$E$6*$F$15*($F$90*Mat_Sum!$D42+$F$91*Mat_Sum!$L42+$F$92*Mat_Sum!$AG42+$F$93*Mat_Sum!$AV42+$F$94*Mat_Sum!$AR42)</f>
        <v>2.8128190571926372E-2</v>
      </c>
      <c r="I372" s="348"/>
      <c r="J372" s="382">
        <f t="shared" ca="1" si="70"/>
        <v>0.43467877991743603</v>
      </c>
      <c r="K372" s="382">
        <f t="shared" ca="1" si="70"/>
        <v>0.16826376563451823</v>
      </c>
      <c r="L372" s="382">
        <f t="shared" ca="1" si="70"/>
        <v>7.2331697568763204E-2</v>
      </c>
      <c r="M372" s="382">
        <f t="shared" ca="1" si="71"/>
        <v>0.25500759266220319</v>
      </c>
      <c r="N372" s="382">
        <f t="shared" ca="1" si="70"/>
        <v>2.366107888558094E-2</v>
      </c>
      <c r="O372" s="382">
        <f t="shared" ca="1" si="70"/>
        <v>2.366107888558094E-2</v>
      </c>
      <c r="P372" s="382">
        <f t="shared" ca="1" si="70"/>
        <v>2.2396006445917455E-2</v>
      </c>
      <c r="Q372" s="588"/>
    </row>
    <row r="373" spans="1:17">
      <c r="A373" s="589" t="s">
        <v>828</v>
      </c>
      <c r="B373" s="503">
        <f ca="1">$E$6*$F$17*($F$22*Mat_Sum!$D43+$F$23*Mat_Sum!$I43+$F$24*Mat_Sum!$L43+$F$25*Mat_Sum!$AG43+$F$26*Mat_Sum!$AH43+$F$27*Mat_Sum!$AK43+$F$28*Mat_Sum!$AS43+$F$29*Mat_Sum!$AM43+$F$30*Mat_Sum!$AT43+$F$31*Mat_Sum!$AR43+$F$32*Mat_Sum!$AV43)</f>
        <v>2.3059856373119132</v>
      </c>
      <c r="C373" s="505">
        <f ca="1">$E$6*$F$10*($F$35*Mat_Sum!$D43+$F$36*Mat_Sum!$E43+$F$37*Mat_Sum!$F43+$F$38*Mat_Sum!$I43+$F$39*Mat_Sum!$L43+$F$40*Mat_Sum!$AG43+$F$41*Mat_Sum!$AK43+$F$42*Mat_Sum!$AS43+$F$43*Mat_Sum!$AR43+$F$44*Mat_Sum!$AV43+$F$45*Mat_Sum!$AT43+$F$46*Mat_Sum!$BH43+$F$47*Mat_Sum!$BG43+$F$48*Mat_Sum!$BJ43+$F$49*Mat_Sum!$BI43+$F$50*Mat_Sum!$AW43)</f>
        <v>0.89619341188148693</v>
      </c>
      <c r="D373" s="505">
        <f ca="1">$E$6*$F$11*($F$56*Mat_Sum!$D43+$F$57*Mat_Sum!$AG43+$F$58*Mat_Sum!$F43+$F$59*Mat_Sum!$AK43+$F$60*Mat_Sum!$I43+$F$61*Mat_Sum!$L43+$F$62*Mat_Sum!$AT43+$F$63*Mat_Sum!$AR43+$F$64*Mat_Sum!$AV43)</f>
        <v>0.34480518396148918</v>
      </c>
      <c r="E373" s="505">
        <f ca="1">$E$6*$F$12*($F$67*Mat_Sum!$D43+$F$68*Mat_Sum!$F43+$F$69*Mat_Sum!$I43+$F$70*Mat_Sum!$L43+$F$71*Mat_Sum!$AG43+$F$72*Mat_Sum!$AH43+$F$73*Mat_Sum!$AK43+$F$74*Mat_Sum!$AS43+$F$75*Mat_Sum!$AR43+$F$76*Mat_Sum!$AV43)+$A$136*(F$140*4)*($A$144*Mat_Sum!$AV43+$B$144*Mat_Sum!$D43)</f>
        <v>1.2561843112486608</v>
      </c>
      <c r="F373" s="505">
        <f ca="1">$E$6*$F$13*($E$79*Mat_Sum!$D43+$E$80*Mat_Sum!$E43+$E$81*Mat_Sum!$L43+$F$82*Mat_Sum!$AG43)</f>
        <v>0.12156217179397842</v>
      </c>
      <c r="G373" s="505">
        <f ca="1">$E$6*$F$14*($F$85*Mat_Sum!$D43+$F$86*Mat_Sum!$L43+$F$87*Mat_Sum!$AG43)</f>
        <v>0.12156217179397842</v>
      </c>
      <c r="H373" s="505">
        <f ca="1">$E$6*$F$15*($F$90*Mat_Sum!$D43+$F$91*Mat_Sum!$L43+$F$92*Mat_Sum!$AG43+$F$93*Mat_Sum!$AV43+$F$94*Mat_Sum!$AR43)</f>
        <v>9.5450054271980264E-2</v>
      </c>
      <c r="I373" s="502"/>
      <c r="J373" s="368">
        <f t="shared" ca="1" si="70"/>
        <v>0.44848326009405232</v>
      </c>
      <c r="K373" s="368">
        <f t="shared" ca="1" si="70"/>
        <v>0.17429759168142442</v>
      </c>
      <c r="L373" s="368">
        <f t="shared" ca="1" si="70"/>
        <v>6.7059980989578563E-2</v>
      </c>
      <c r="M373" s="368">
        <f t="shared" ca="1" si="71"/>
        <v>0.24431099052487174</v>
      </c>
      <c r="N373" s="368">
        <f t="shared" ca="1" si="70"/>
        <v>2.3642211047692825E-2</v>
      </c>
      <c r="O373" s="368">
        <f t="shared" ca="1" si="70"/>
        <v>2.3642211047692825E-2</v>
      </c>
      <c r="P373" s="368">
        <f t="shared" ca="1" si="70"/>
        <v>1.8563754614687417E-2</v>
      </c>
      <c r="Q373" s="428"/>
    </row>
    <row r="375" spans="1:17">
      <c r="A375" s="111" t="s">
        <v>1882</v>
      </c>
    </row>
    <row r="376" spans="1:17">
      <c r="A376" s="238"/>
      <c r="B376" s="3007" t="s">
        <v>1875</v>
      </c>
      <c r="C376" s="3005"/>
      <c r="D376" s="3005"/>
      <c r="E376" s="3005"/>
      <c r="F376" s="3005"/>
      <c r="G376" s="3005"/>
      <c r="H376" s="3005"/>
      <c r="I376" s="3006"/>
      <c r="J376" s="3005" t="s">
        <v>1876</v>
      </c>
      <c r="K376" s="3005"/>
      <c r="L376" s="3005"/>
      <c r="M376" s="3005"/>
      <c r="N376" s="3005"/>
      <c r="O376" s="3005"/>
      <c r="P376" s="3005"/>
      <c r="Q376" s="3006"/>
    </row>
    <row r="377" spans="1:17" ht="51">
      <c r="A377" s="230"/>
      <c r="B377" s="923" t="s">
        <v>250</v>
      </c>
      <c r="C377" s="924" t="s">
        <v>182</v>
      </c>
      <c r="D377" s="924" t="s">
        <v>183</v>
      </c>
      <c r="E377" s="924" t="s">
        <v>184</v>
      </c>
      <c r="F377" s="924" t="s">
        <v>185</v>
      </c>
      <c r="G377" s="924" t="s">
        <v>186</v>
      </c>
      <c r="H377" s="670" t="s">
        <v>187</v>
      </c>
      <c r="I377" s="953" t="s">
        <v>1860</v>
      </c>
      <c r="J377" s="923" t="s">
        <v>250</v>
      </c>
      <c r="K377" s="924" t="s">
        <v>182</v>
      </c>
      <c r="L377" s="924" t="s">
        <v>183</v>
      </c>
      <c r="M377" s="924" t="s">
        <v>184</v>
      </c>
      <c r="N377" s="924" t="s">
        <v>185</v>
      </c>
      <c r="O377" s="924" t="s">
        <v>186</v>
      </c>
      <c r="P377" s="670" t="s">
        <v>187</v>
      </c>
      <c r="Q377" s="953" t="s">
        <v>1860</v>
      </c>
    </row>
    <row r="378" spans="1:17">
      <c r="A378" s="571" t="s">
        <v>1877</v>
      </c>
      <c r="B378" s="895"/>
      <c r="C378" s="446"/>
      <c r="D378" s="446"/>
      <c r="E378" s="446"/>
      <c r="I378" s="395"/>
      <c r="J378" s="446"/>
      <c r="K378" s="446"/>
      <c r="L378" s="446"/>
      <c r="M378" s="446"/>
      <c r="Q378" s="395"/>
    </row>
    <row r="379" spans="1:17">
      <c r="A379" s="230" t="s">
        <v>816</v>
      </c>
      <c r="B379" s="347">
        <f ca="1">$F$6*$G$17*($G$22*Mat_Sum!$D15+$G$23*Mat_Sum!$I15+$G$24*Mat_Sum!$L15+$G$25*Mat_Sum!$AG15+$G$26*Mat_Sum!$AH15+$G$27*Mat_Sum!$AK15+$G$28*Mat_Sum!$AS15+$G$29*Mat_Sum!$AM15+$G$30*Mat_Sum!$AT15+$G$31*Mat_Sum!$AR15+$G$32*Mat_Sum!$AV15)</f>
        <v>61.120655646970292</v>
      </c>
      <c r="C379" s="349">
        <f ca="1">$F$6*$G$10*($G$35*Mat_Sum!$D15+$G$36*Mat_Sum!$E15+$G$37*Mat_Sum!$F15+$G$38*Mat_Sum!$I15+$G$39*Mat_Sum!$L15+$G$40*Mat_Sum!$AG15+$G$41*Mat_Sum!$AK15+$G$42*Mat_Sum!$AS15+$G$43*Mat_Sum!$AR15+$G$44*Mat_Sum!$AV15+$G$45*Mat_Sum!$AT15+$G$46*Mat_Sum!$BH15+$G$47*Mat_Sum!$BG15+$G$48*Mat_Sum!$BJ15+$G$49*Mat_Sum!$BI15+$G$50*Mat_Sum!$AW15)</f>
        <v>11.944199546587869</v>
      </c>
      <c r="D379" s="349">
        <f ca="1">$F$6*$G$11*($G$56*Mat_Sum!$D15+$G$57*Mat_Sum!$AG15+$G$58*Mat_Sum!$F15+$G$59*Mat_Sum!$AK15+$G$60*Mat_Sum!$I15+$G$61*Mat_Sum!$L15+$G$62*Mat_Sum!$AT15+$G$63*Mat_Sum!$AR15+$G$64*Mat_Sum!$AV15)</f>
        <v>3.4489289991803451</v>
      </c>
      <c r="E379" s="349">
        <f ca="1">$F$6*$G$12*($G$67*Mat_Sum!$D15+$G$68*Mat_Sum!$F15+$G$69*Mat_Sum!$I15+$G$70*Mat_Sum!$L15+$G$71*Mat_Sum!$AG15+$G$72*Mat_Sum!$AH15+$G$73*Mat_Sum!$AK15+$G$74*Mat_Sum!$AS15+$G$75*Mat_Sum!$AR15+$G$76*Mat_Sum!$AV15)+$A$136*(G$140*4)*($A$144*Mat_Sum!$AV15+$B$144*Mat_Sum!$D15)</f>
        <v>18.166006824197087</v>
      </c>
      <c r="F379" s="349">
        <f ca="1">$F$6*$G$13*($G$79*Mat_Sum!$D15+$G$80*Mat_Sum!$E15+$G$81*Mat_Sum!$L15+$G$82*Mat_Sum!$AG15)</f>
        <v>0.75144891516348133</v>
      </c>
      <c r="G379" s="349">
        <f ca="1">$F$6*$G$14*($G$85*Mat_Sum!$D15+$G$86*Mat_Sum!$L15+$G$87*Mat_Sum!$AG15)</f>
        <v>0.75144891516348133</v>
      </c>
      <c r="H379" s="349">
        <f ca="1">$F$6*$G$15*($G$90*Mat_Sum!$D15+$G$91*Mat_Sum!$L15+$G$92*Mat_Sum!$AG15+$G$93*Mat_Sum!$AV15+$G$94*Mat_Sum!$AR15)</f>
        <v>0.98929668621412858</v>
      </c>
      <c r="I379" s="348"/>
      <c r="J379" s="382">
        <f t="shared" ref="J379:P384" ca="1" si="72">B379/$G174</f>
        <v>0.62899461518066491</v>
      </c>
      <c r="K379" s="382">
        <f t="shared" ca="1" si="72"/>
        <v>0.12291813819604396</v>
      </c>
      <c r="L379" s="382">
        <f t="shared" ca="1" si="72"/>
        <v>3.549303824806746E-2</v>
      </c>
      <c r="M379" s="382">
        <f t="shared" ref="M379:M384" ca="1" si="73">E379/$G174</f>
        <v>0.18694695517916246</v>
      </c>
      <c r="N379" s="382">
        <f t="shared" ca="1" si="72"/>
        <v>7.7331847346537967E-3</v>
      </c>
      <c r="O379" s="382">
        <f t="shared" ca="1" si="72"/>
        <v>7.7331847346537967E-3</v>
      </c>
      <c r="P379" s="382">
        <f t="shared" ca="1" si="72"/>
        <v>1.0180883726753803E-2</v>
      </c>
      <c r="Q379" s="588"/>
    </row>
    <row r="380" spans="1:17">
      <c r="A380" s="230" t="s">
        <v>817</v>
      </c>
      <c r="B380" s="347">
        <f ca="1">$F$6*$G$17*($G$22*Mat_Sum!$D16+$G$23*Mat_Sum!$I16+$G$24*Mat_Sum!$L16+$G$25*Mat_Sum!$AG16+$G$26*Mat_Sum!$AH16+$G$27*Mat_Sum!$AK16+$G$28*Mat_Sum!$AS16+$G$29*Mat_Sum!$AM16+$G$30*Mat_Sum!$AT16+$G$31*Mat_Sum!$AR16+$G$32*Mat_Sum!$AV16)</f>
        <v>55.903545107305803</v>
      </c>
      <c r="C380" s="349">
        <f ca="1">$F$6*$G$10*($G$35*Mat_Sum!$D16+$G$36*Mat_Sum!$E16+$G$37*Mat_Sum!$F16+$G$38*Mat_Sum!$I16+$G$39*Mat_Sum!$L16+$G$40*Mat_Sum!$AG16+$G$41*Mat_Sum!$AK16+$G$42*Mat_Sum!$AS16+$G$43*Mat_Sum!$AR16+$G$44*Mat_Sum!$AV16+$G$45*Mat_Sum!$AT16+$G$46*Mat_Sum!$BH16+$G$47*Mat_Sum!$BG16+$G$48*Mat_Sum!$BJ16+$G$49*Mat_Sum!$BI16+$G$50*Mat_Sum!$AW16)</f>
        <v>10.531808374164003</v>
      </c>
      <c r="D380" s="349">
        <f ca="1">$F$6*$G$11*($G$56*Mat_Sum!$D16+$G$57*Mat_Sum!$AG16+$G$58*Mat_Sum!$F16+$G$59*Mat_Sum!$AK16+$G$60*Mat_Sum!$I16+$G$61*Mat_Sum!$L16+$G$62*Mat_Sum!$AT16+$G$63*Mat_Sum!$AR16+$G$64*Mat_Sum!$AV16)</f>
        <v>2.6787140837100814</v>
      </c>
      <c r="E380" s="349">
        <f ca="1">$F$6*$G$12*($G$67*Mat_Sum!$D16+$G$68*Mat_Sum!$F16+$G$69*Mat_Sum!$I16+$G$70*Mat_Sum!$L16+$G$71*Mat_Sum!$AG16+$G$72*Mat_Sum!$AH16+$G$73*Mat_Sum!$AK16+$G$74*Mat_Sum!$AS16+$G$75*Mat_Sum!$AR16+$G$76*Mat_Sum!$AV16)+$A$136*(G$140*4)*($A$144*Mat_Sum!$AV16+$B$144*Mat_Sum!$D16)</f>
        <v>16.060645938812609</v>
      </c>
      <c r="F380" s="349">
        <f ca="1">$F$6*$G$13*($G$79*Mat_Sum!$D16+$G$80*Mat_Sum!$E16+$G$81*Mat_Sum!$L16+$G$82*Mat_Sum!$AG16)</f>
        <v>0.6233482431608387</v>
      </c>
      <c r="G380" s="349">
        <f ca="1">$F$6*$G$14*($G$85*Mat_Sum!$D16+$G$86*Mat_Sum!$L16+$G$87*Mat_Sum!$AG16)</f>
        <v>0.6233482431608387</v>
      </c>
      <c r="H380" s="349">
        <f ca="1">$F$6*$G$15*($G$90*Mat_Sum!$D16+$G$91*Mat_Sum!$L16+$G$92*Mat_Sum!$AG16+$G$93*Mat_Sum!$AV16+$G$94*Mat_Sum!$AR16)</f>
        <v>0.85061419929837678</v>
      </c>
      <c r="I380" s="348"/>
      <c r="J380" s="382">
        <f t="shared" ca="1" si="72"/>
        <v>0.64056661486212729</v>
      </c>
      <c r="K380" s="382">
        <f t="shared" ca="1" si="72"/>
        <v>0.12067794315486427</v>
      </c>
      <c r="L380" s="382">
        <f t="shared" ca="1" si="72"/>
        <v>3.0693846150401449E-2</v>
      </c>
      <c r="M380" s="382">
        <f t="shared" ca="1" si="73"/>
        <v>0.18402971728853526</v>
      </c>
      <c r="N380" s="382">
        <f t="shared" ca="1" si="72"/>
        <v>7.142589494733319E-3</v>
      </c>
      <c r="O380" s="382">
        <f t="shared" ca="1" si="72"/>
        <v>7.142589494733319E-3</v>
      </c>
      <c r="P380" s="382">
        <f t="shared" ca="1" si="72"/>
        <v>9.7466995546050383E-3</v>
      </c>
      <c r="Q380" s="588"/>
    </row>
    <row r="381" spans="1:17">
      <c r="A381" s="230" t="s">
        <v>805</v>
      </c>
      <c r="B381" s="347">
        <f ca="1">$F$6*$G$17*($G$22*Mat_Sum!$D17+$G$23*Mat_Sum!$I17+$G$24*Mat_Sum!$L17+$G$25*Mat_Sum!$AG17+$G$26*Mat_Sum!$AH17+$G$27*Mat_Sum!$AK17+$G$28*Mat_Sum!$AS17+$G$29*Mat_Sum!$AM17+$G$30*Mat_Sum!$AT17+$G$31*Mat_Sum!$AR17+$G$32*Mat_Sum!$AV17)</f>
        <v>6.9300474646366919</v>
      </c>
      <c r="C381" s="349">
        <f ca="1">$F$6*$G$10*($G$35*Mat_Sum!$D17+$G$36*Mat_Sum!$E17+$G$37*Mat_Sum!$F17+$G$38*Mat_Sum!$I17+$G$39*Mat_Sum!$L17+$G$40*Mat_Sum!$AG17+$G$41*Mat_Sum!$AK17+$G$42*Mat_Sum!$AS17+$G$43*Mat_Sum!$AR17+$G$44*Mat_Sum!$AV17+$G$45*Mat_Sum!$AT17+$G$46*Mat_Sum!$BH17+$G$47*Mat_Sum!$BG17+$G$48*Mat_Sum!$BJ17+$G$49*Mat_Sum!$BI17+$G$50*Mat_Sum!$AW17)</f>
        <v>4.4520706911757362</v>
      </c>
      <c r="D381" s="349">
        <f ca="1">$F$6*$G$11*($G$56*Mat_Sum!$D17+$G$57*Mat_Sum!$AG17+$G$58*Mat_Sum!$F17+$G$59*Mat_Sum!$AK17+$G$60*Mat_Sum!$I17+$G$61*Mat_Sum!$L17+$G$62*Mat_Sum!$AT17+$G$63*Mat_Sum!$AR17+$G$64*Mat_Sum!$AV17)</f>
        <v>1.2927756574933424</v>
      </c>
      <c r="E381" s="349">
        <f ca="1">$F$6*$G$12*($G$67*Mat_Sum!$D17+$G$68*Mat_Sum!$F17+$G$69*Mat_Sum!$I17+$G$70*Mat_Sum!$L17+$G$71*Mat_Sum!$AG17+$G$72*Mat_Sum!$AH17+$G$73*Mat_Sum!$AK17+$G$74*Mat_Sum!$AS17+$G$75*Mat_Sum!$AR17+$G$76*Mat_Sum!$AV17)+$A$136*(G$140*4)*($A$144*Mat_Sum!$AV17+$B$144*Mat_Sum!$D17)</f>
        <v>4.4989258617019878</v>
      </c>
      <c r="F381" s="349">
        <f ca="1">$F$6*$G$13*($G$79*Mat_Sum!$D17+$G$80*Mat_Sum!$E17+$G$81*Mat_Sum!$L17+$G$82*Mat_Sum!$AG17)</f>
        <v>0.23819125831879914</v>
      </c>
      <c r="G381" s="349">
        <f ca="1">$F$6*$G$14*($G$85*Mat_Sum!$D17+$G$86*Mat_Sum!$L17+$G$87*Mat_Sum!$AG17)</f>
        <v>0.23819125831879914</v>
      </c>
      <c r="H381" s="349">
        <f ca="1">$F$6*$G$15*($G$90*Mat_Sum!$D17+$G$91*Mat_Sum!$L17+$G$92*Mat_Sum!$AG17+$G$93*Mat_Sum!$AV17+$G$94*Mat_Sum!$AR17)</f>
        <v>0.12984785987384781</v>
      </c>
      <c r="I381" s="348"/>
      <c r="J381" s="382">
        <f t="shared" ca="1" si="72"/>
        <v>0.38976535187225514</v>
      </c>
      <c r="K381" s="382">
        <f t="shared" ca="1" si="72"/>
        <v>0.250396971790039</v>
      </c>
      <c r="L381" s="382">
        <f t="shared" ca="1" si="72"/>
        <v>7.2709337361110626E-2</v>
      </c>
      <c r="M381" s="382">
        <f t="shared" ca="1" si="73"/>
        <v>0.25303223830450239</v>
      </c>
      <c r="N381" s="382">
        <f t="shared" ca="1" si="72"/>
        <v>1.3396545995574799E-2</v>
      </c>
      <c r="O381" s="382">
        <f t="shared" ca="1" si="72"/>
        <v>1.3396545995574799E-2</v>
      </c>
      <c r="P381" s="382">
        <f t="shared" ca="1" si="72"/>
        <v>7.3030086809431124E-3</v>
      </c>
      <c r="Q381" s="588"/>
    </row>
    <row r="382" spans="1:17">
      <c r="A382" s="230" t="s">
        <v>804</v>
      </c>
      <c r="B382" s="347">
        <f ca="1">$F$6*$G$17*($G$22*Mat_Sum!$D18+$G$23*Mat_Sum!$I18+$G$24*Mat_Sum!$L18+$G$25*Mat_Sum!$AG18+$G$26*Mat_Sum!$AH18+$G$27*Mat_Sum!$AK18+$G$28*Mat_Sum!$AS18+$G$29*Mat_Sum!$AM18+$G$30*Mat_Sum!$AT18+$G$31*Mat_Sum!$AR18+$G$32*Mat_Sum!$AV18)</f>
        <v>34.513009704012489</v>
      </c>
      <c r="C382" s="349">
        <f ca="1">$F$6*$G$10*($G$35*Mat_Sum!$D18+$G$36*Mat_Sum!$E18+$G$37*Mat_Sum!$F18+$G$38*Mat_Sum!$I18+$G$39*Mat_Sum!$L18+$G$40*Mat_Sum!$AG18+$G$41*Mat_Sum!$AK18+$G$42*Mat_Sum!$AS18+$G$43*Mat_Sum!$AR18+$G$44*Mat_Sum!$AV18+$G$45*Mat_Sum!$AT18+$G$46*Mat_Sum!$BH18+$G$47*Mat_Sum!$BG18+$G$48*Mat_Sum!$BJ18+$G$49*Mat_Sum!$BI18+$G$50*Mat_Sum!$AW18)</f>
        <v>4.89984894237171</v>
      </c>
      <c r="D382" s="349">
        <f ca="1">$F$6*$G$11*($G$56*Mat_Sum!$D18+$G$57*Mat_Sum!$AG18+$G$58*Mat_Sum!$F18+$G$59*Mat_Sum!$AK18+$G$60*Mat_Sum!$I18+$G$61*Mat_Sum!$L18+$G$62*Mat_Sum!$AT18+$G$63*Mat_Sum!$AR18+$G$64*Mat_Sum!$AV18)</f>
        <v>1.1151287060677892</v>
      </c>
      <c r="E382" s="349">
        <f ca="1">$F$6*$G$12*($G$67*Mat_Sum!$D18+$G$68*Mat_Sum!$F18+$G$69*Mat_Sum!$I18+$G$70*Mat_Sum!$L18+$G$71*Mat_Sum!$AG18+$G$72*Mat_Sum!$AH18+$G$73*Mat_Sum!$AK18+$G$74*Mat_Sum!$AS18+$G$75*Mat_Sum!$AR18+$G$76*Mat_Sum!$AV18)+$A$136*(G$140*4)*($A$144*Mat_Sum!$AV18+$B$144*Mat_Sum!$D18)</f>
        <v>8.6992610593853659</v>
      </c>
      <c r="F382" s="349">
        <f ca="1">F380-F381-F383</f>
        <v>0.32853153075755909</v>
      </c>
      <c r="G382" s="349">
        <f ca="1">G380-G381-G383</f>
        <v>0.32853153075755909</v>
      </c>
      <c r="H382" s="349">
        <f ca="1">H380-H381-H383</f>
        <v>0.5372342367424674</v>
      </c>
      <c r="I382" s="348"/>
      <c r="J382" s="382">
        <f t="shared" ca="1" si="72"/>
        <v>0.68448932332319612</v>
      </c>
      <c r="K382" s="382">
        <f t="shared" ca="1" si="72"/>
        <v>9.7177682146914177E-2</v>
      </c>
      <c r="L382" s="382">
        <f t="shared" ca="1" si="72"/>
        <v>2.2116115052865752E-2</v>
      </c>
      <c r="M382" s="382">
        <f t="shared" ca="1" si="73"/>
        <v>0.17253063024689622</v>
      </c>
      <c r="N382" s="382">
        <f t="shared" ca="1" si="72"/>
        <v>6.5156973299964407E-3</v>
      </c>
      <c r="O382" s="382">
        <f t="shared" ca="1" si="72"/>
        <v>6.5156973299964407E-3</v>
      </c>
      <c r="P382" s="382">
        <f t="shared" ca="1" si="72"/>
        <v>1.0654854570134832E-2</v>
      </c>
      <c r="Q382" s="588"/>
    </row>
    <row r="383" spans="1:17">
      <c r="A383" s="230" t="s">
        <v>818</v>
      </c>
      <c r="B383" s="347">
        <f ca="1">$F$6*$G$17*($G$22*Mat_Sum!$D19+$G$23*Mat_Sum!$I19+$G$24*Mat_Sum!$L19+$G$25*Mat_Sum!$AG19+$G$26*Mat_Sum!$AH19+$G$27*Mat_Sum!$AK19+$G$28*Mat_Sum!$AS19+$G$29*Mat_Sum!$AM19+$G$30*Mat_Sum!$AT19+$G$31*Mat_Sum!$AR19+$G$32*Mat_Sum!$AV19)</f>
        <v>14.460487938656629</v>
      </c>
      <c r="C383" s="349">
        <f ca="1">$F$6*$G$10*($G$35*Mat_Sum!$D19+$G$36*Mat_Sum!$E19+$G$37*Mat_Sum!$F19+$G$38*Mat_Sum!$I19+$G$39*Mat_Sum!$L19+$G$40*Mat_Sum!$AG19+$G$41*Mat_Sum!$AK19+$G$42*Mat_Sum!$AS19+$G$43*Mat_Sum!$AR19+$G$44*Mat_Sum!$AV19+$G$45*Mat_Sum!$AT19+$G$46*Mat_Sum!$BH19+$G$47*Mat_Sum!$BG19+$G$48*Mat_Sum!$BJ19+$G$49*Mat_Sum!$BI19+$G$50*Mat_Sum!$AW19)</f>
        <v>1.1798887406165566</v>
      </c>
      <c r="D383" s="349">
        <f ca="1">$F$6*$G$11*($G$56*Mat_Sum!$D19+$G$57*Mat_Sum!$AG19+$G$58*Mat_Sum!$F19+$G$59*Mat_Sum!$AK19+$G$60*Mat_Sum!$I19+$G$61*Mat_Sum!$L19+$G$62*Mat_Sum!$AT19+$G$63*Mat_Sum!$AR19+$G$64*Mat_Sum!$AV19)</f>
        <v>0.27080972014894977</v>
      </c>
      <c r="E383" s="349">
        <f ca="1">$F$6*$G$12*($G$67*Mat_Sum!$D19+$G$68*Mat_Sum!$F19+$G$69*Mat_Sum!$I19+$G$70*Mat_Sum!$L19+$G$71*Mat_Sum!$AG19+$G$72*Mat_Sum!$AH19+$G$73*Mat_Sum!$AK19+$G$74*Mat_Sum!$AS19+$G$75*Mat_Sum!$AR19+$G$76*Mat_Sum!$AV19)+$A$136*(G$140*4)*($A$144*Mat_Sum!$AV19+$B$144*Mat_Sum!$D19)</f>
        <v>2.8624590177252558</v>
      </c>
      <c r="F383" s="349">
        <f ca="1">$F$6*$G$13*($G$79*Mat_Sum!$D19+$G$80*Mat_Sum!$E19+$G$81*Mat_Sum!$L19+$G$82*Mat_Sum!$AG19)</f>
        <v>5.6625454084480463E-2</v>
      </c>
      <c r="G383" s="349">
        <f ca="1">$F$6*$G$14*($G$85*Mat_Sum!$D19+$G$86*Mat_Sum!$L19+$G$87*Mat_Sum!$AG19)</f>
        <v>5.6625454084480463E-2</v>
      </c>
      <c r="H383" s="349">
        <f ca="1">$F$6*$G$15*($G$90*Mat_Sum!$D19+$G$91*Mat_Sum!$L19+$G$92*Mat_Sum!$AG19+$G$93*Mat_Sum!$AV19+$G$94*Mat_Sum!$AR19)</f>
        <v>0.18353210268206149</v>
      </c>
      <c r="I383" s="348"/>
      <c r="J383" s="382">
        <f t="shared" ca="1" si="72"/>
        <v>0.75826759704183355</v>
      </c>
      <c r="K383" s="382">
        <f t="shared" ca="1" si="72"/>
        <v>6.187006993950344E-2</v>
      </c>
      <c r="L383" s="382">
        <f t="shared" ca="1" si="72"/>
        <v>1.4200505309642553E-2</v>
      </c>
      <c r="M383" s="382">
        <f t="shared" ca="1" si="73"/>
        <v>0.15009935558252649</v>
      </c>
      <c r="N383" s="382">
        <f t="shared" ca="1" si="72"/>
        <v>2.9692806482179137E-3</v>
      </c>
      <c r="O383" s="382">
        <f t="shared" ca="1" si="72"/>
        <v>2.9692806482179137E-3</v>
      </c>
      <c r="P383" s="382">
        <f t="shared" ca="1" si="72"/>
        <v>9.6239108300580824E-3</v>
      </c>
      <c r="Q383" s="588"/>
    </row>
    <row r="384" spans="1:17">
      <c r="A384" s="230" t="s">
        <v>819</v>
      </c>
      <c r="B384" s="517">
        <f ca="1">$F$6*$G$17*($G$22*Mat_Sum!$D20+$G$23*Mat_Sum!$I20+$G$24*Mat_Sum!$L20+$G$25*Mat_Sum!$AG20+$G$26*Mat_Sum!$AH20+$G$27*Mat_Sum!$AK20+$G$28*Mat_Sum!$AS20+$G$29*Mat_Sum!$AM20+$G$30*Mat_Sum!$AT20+$G$31*Mat_Sum!$AR20+$G$32*Mat_Sum!$AV20)</f>
        <v>2221.4299364259891</v>
      </c>
      <c r="C384" s="419">
        <f ca="1">$F$6*$G$10*($G$35*Mat_Sum!$D20+$G$36*Mat_Sum!$E20+$G$37*Mat_Sum!$F20+$G$38*Mat_Sum!$I20+$G$39*Mat_Sum!$L20+$G$40*Mat_Sum!$AG20+$G$41*Mat_Sum!$AK20+$G$42*Mat_Sum!$AS20+$G$43*Mat_Sum!$AR20+$G$44*Mat_Sum!$AV20+$G$45*Mat_Sum!$AT20+$G$46*Mat_Sum!$BH20+$G$47*Mat_Sum!$BG20+$G$48*Mat_Sum!$BJ20+$G$49*Mat_Sum!$BI20+$G$50*Mat_Sum!$AW20)</f>
        <v>732.40065411212765</v>
      </c>
      <c r="D384" s="419">
        <f ca="1">$F$6*$G$11*($G$56*Mat_Sum!$D20+$G$57*Mat_Sum!$AG20+$G$58*Mat_Sum!$F20+$G$59*Mat_Sum!$AK20+$G$60*Mat_Sum!$I20+$G$61*Mat_Sum!$L20+$G$62*Mat_Sum!$AT20+$G$63*Mat_Sum!$AR20+$G$64*Mat_Sum!$AV20)</f>
        <v>425.20214365590419</v>
      </c>
      <c r="E384" s="419">
        <f ca="1">$F$6*$G$12*($G$67*Mat_Sum!$D20+$G$68*Mat_Sum!$F20+$G$69*Mat_Sum!$I20+$G$70*Mat_Sum!$L20+$G$71*Mat_Sum!$AG20+$G$72*Mat_Sum!$AH20+$G$73*Mat_Sum!$AK20+$G$74*Mat_Sum!$AS20+$G$75*Mat_Sum!$AR20+$G$76*Mat_Sum!$AV20)+$A$136*(G$140*4)*($A$144*Mat_Sum!$AV20+$B$144*Mat_Sum!$D20)</f>
        <v>1169.3381542581601</v>
      </c>
      <c r="F384" s="419">
        <f ca="1">$F$6*$G$13*($G$79*Mat_Sum!$D20+$G$80*Mat_Sum!$E20+$G$81*Mat_Sum!$L20+$G$82*Mat_Sum!$AG20)</f>
        <v>64.401157404367652</v>
      </c>
      <c r="G384" s="419">
        <f ca="1">$F$6*$G$14*($G$85*Mat_Sum!$D20+$G$86*Mat_Sum!$L20+$G$87*Mat_Sum!$AG20)</f>
        <v>64.401157404367652</v>
      </c>
      <c r="H384" s="419">
        <f ca="1">$F$6*$G$15*($G$90*Mat_Sum!$D20+$G$91*Mat_Sum!$L20+$G$92*Mat_Sum!$AG20+$G$93*Mat_Sum!$AV20+$G$94*Mat_Sum!$AR20)</f>
        <v>79.60545304634465</v>
      </c>
      <c r="I384" s="516"/>
      <c r="J384" s="382">
        <f t="shared" ca="1" si="72"/>
        <v>0.46700300706245373</v>
      </c>
      <c r="K384" s="382">
        <f t="shared" ca="1" si="72"/>
        <v>0.15396988319836985</v>
      </c>
      <c r="L384" s="382">
        <f t="shared" ca="1" si="72"/>
        <v>8.9388675483587296E-2</v>
      </c>
      <c r="M384" s="382">
        <f t="shared" ca="1" si="73"/>
        <v>0.24582563931320905</v>
      </c>
      <c r="N384" s="382">
        <f t="shared" ca="1" si="72"/>
        <v>1.3538817350472004E-2</v>
      </c>
      <c r="O384" s="382">
        <f t="shared" ca="1" si="72"/>
        <v>1.3538817350472004E-2</v>
      </c>
      <c r="P384" s="382">
        <f t="shared" ca="1" si="72"/>
        <v>1.6735160241436002E-2</v>
      </c>
      <c r="Q384" s="588"/>
    </row>
    <row r="385" spans="1:17">
      <c r="A385" s="571" t="s">
        <v>964</v>
      </c>
      <c r="B385" s="347"/>
      <c r="C385" s="349"/>
      <c r="D385" s="349"/>
      <c r="E385" s="349"/>
      <c r="F385" s="349"/>
      <c r="G385" s="349"/>
      <c r="H385" s="349"/>
      <c r="I385" s="348"/>
      <c r="J385" s="382"/>
      <c r="K385" s="382"/>
      <c r="L385" s="382"/>
      <c r="M385" s="382"/>
      <c r="N385" s="382"/>
      <c r="O385" s="382"/>
      <c r="P385" s="382"/>
      <c r="Q385" s="588"/>
    </row>
    <row r="386" spans="1:17">
      <c r="A386" s="230" t="s">
        <v>821</v>
      </c>
      <c r="B386" s="347">
        <f ca="1">$F$6*$G$17*($G$22*Mat_Sum!$D22+$G$23*Mat_Sum!$I22+$G$24*Mat_Sum!$L22+$G$25*Mat_Sum!$AG22+$G$26*Mat_Sum!$AH22+$G$27*Mat_Sum!$AK22+$G$28*Mat_Sum!$AS22+$G$29*Mat_Sum!$AM22+$G$30*Mat_Sum!$AT22+$G$31*Mat_Sum!$AR22+$G$32*Mat_Sum!$AV22)</f>
        <v>1001.6865783383446</v>
      </c>
      <c r="C386" s="349">
        <f ca="1">$F$6*$G$10*($G$35*Mat_Sum!$D22+$G$36*Mat_Sum!$E22+$G$37*Mat_Sum!$F22+$G$38*Mat_Sum!$I22+$G$39*Mat_Sum!$L22+$G$40*Mat_Sum!$AG22+$G$41*Mat_Sum!$AK22+$G$42*Mat_Sum!$AS22+$G$43*Mat_Sum!$AR22+$G$44*Mat_Sum!$AV22+$G$45*Mat_Sum!$AT22+$G$46*Mat_Sum!$BH22+$G$47*Mat_Sum!$BG22+$G$48*Mat_Sum!$BJ22+$G$49*Mat_Sum!$BI22+$G$50*Mat_Sum!$AW22)</f>
        <v>626.40405116884085</v>
      </c>
      <c r="D386" s="349">
        <f ca="1">$F$6*$G$11*($G$56*Mat_Sum!$D22+$G$57*Mat_Sum!$AG22+$G$58*Mat_Sum!$F22+$G$59*Mat_Sum!$AK22+$G$60*Mat_Sum!$I22+$G$61*Mat_Sum!$L22+$G$62*Mat_Sum!$AT22+$G$63*Mat_Sum!$AR22+$G$64*Mat_Sum!$AV22)</f>
        <v>136.05725826682314</v>
      </c>
      <c r="E386" s="349">
        <f ca="1">$F$6*$G$12*($G$67*Mat_Sum!$D22+$G$68*Mat_Sum!$F22+$G$69*Mat_Sum!$I22+$G$70*Mat_Sum!$L22+$G$71*Mat_Sum!$AG22+$G$72*Mat_Sum!$AH22+$G$73*Mat_Sum!$AK22+$G$74*Mat_Sum!$AS22+$G$75*Mat_Sum!$AR22+$G$76*Mat_Sum!$AV22)+$A$136*(G$140*4)*($A$144*Mat_Sum!$AV22+$B$144*Mat_Sum!$D22)</f>
        <v>1100.3073278447387</v>
      </c>
      <c r="F386" s="349">
        <f ca="1">$F$6*$G$13*($G$79*Mat_Sum!$D22+$G$80*Mat_Sum!$E22+$G$81*Mat_Sum!$L22+$G$82*Mat_Sum!$AG22)</f>
        <v>23.81248672901593</v>
      </c>
      <c r="G386" s="349">
        <f ca="1">$F$6*$G$14*($G$85*Mat_Sum!$D22+$G$86*Mat_Sum!$L22+$G$87*Mat_Sum!$AG22)</f>
        <v>23.81248672901593</v>
      </c>
      <c r="H386" s="349">
        <f ca="1">$F$6*$G$15*($G$90*Mat_Sum!$D22+$G$91*Mat_Sum!$L22+$G$92*Mat_Sum!$AG22+$G$93*Mat_Sum!$AV22+$G$94*Mat_Sum!$AR22)</f>
        <v>18.191119164485926</v>
      </c>
      <c r="I386" s="348"/>
      <c r="J386" s="382">
        <f t="shared" ref="J386:J398" ca="1" si="74">B386/$G181</f>
        <v>0.34184089900520243</v>
      </c>
      <c r="K386" s="382">
        <f t="shared" ref="K386:K398" ca="1" si="75">C386/$G181</f>
        <v>0.21376998416737242</v>
      </c>
      <c r="L386" s="382">
        <f t="shared" ref="L386:L398" ca="1" si="76">D386/$G181</f>
        <v>4.6431624909327618E-2</v>
      </c>
      <c r="M386" s="382">
        <f t="shared" ref="M386:M398" ca="1" si="77">E386/$G181</f>
        <v>0.37549674146218837</v>
      </c>
      <c r="N386" s="382">
        <f t="shared" ref="N386:N398" ca="1" si="78">F386/$G181</f>
        <v>8.1263761010949096E-3</v>
      </c>
      <c r="O386" s="382">
        <f t="shared" ref="O386:O398" ca="1" si="79">G386/$G181</f>
        <v>8.1263761010949096E-3</v>
      </c>
      <c r="P386" s="382">
        <f t="shared" ref="P386:P398" ca="1" si="80">H386/$G181</f>
        <v>6.2079982537194319E-3</v>
      </c>
      <c r="Q386" s="588"/>
    </row>
    <row r="387" spans="1:17">
      <c r="A387" s="230" t="s">
        <v>822</v>
      </c>
      <c r="B387" s="347">
        <f ca="1">$F$6*$G$17*($G$22*Mat_Sum!$D23+$G$23*Mat_Sum!$I23+$G$24*Mat_Sum!$L23+$G$25*Mat_Sum!$AG23+$G$26*Mat_Sum!$AH23+$G$27*Mat_Sum!$AK23+$G$28*Mat_Sum!$AS23+$G$29*Mat_Sum!$AM23+$G$30*Mat_Sum!$AT23+$G$31*Mat_Sum!$AR23+$G$32*Mat_Sum!$AV23)</f>
        <v>3297.6851772527839</v>
      </c>
      <c r="C387" s="349">
        <f ca="1">$F$6*$G$10*($G$35*Mat_Sum!$D23+$G$36*Mat_Sum!$E23+$G$37*Mat_Sum!$F23+$G$38*Mat_Sum!$I23+$G$39*Mat_Sum!$L23+$G$40*Mat_Sum!$AG23+$G$41*Mat_Sum!$AK23+$G$42*Mat_Sum!$AS23+$G$43*Mat_Sum!$AR23+$G$44*Mat_Sum!$AV23+$G$45*Mat_Sum!$AT23+$G$46*Mat_Sum!$BH23+$G$47*Mat_Sum!$BG23+$G$48*Mat_Sum!$BJ23+$G$49*Mat_Sum!$BI23+$G$50*Mat_Sum!$AW23)</f>
        <v>3975.6528286020889</v>
      </c>
      <c r="D387" s="349">
        <f ca="1">$F$6*$G$11*($G$56*Mat_Sum!$D23+$G$57*Mat_Sum!$AG23+$G$58*Mat_Sum!$F23+$G$59*Mat_Sum!$AK23+$G$60*Mat_Sum!$I23+$G$61*Mat_Sum!$L23+$G$62*Mat_Sum!$AT23+$G$63*Mat_Sum!$AR23+$G$64*Mat_Sum!$AV23)</f>
        <v>892.76838739761172</v>
      </c>
      <c r="E387" s="349">
        <f ca="1">$F$6*$G$12*($G$67*Mat_Sum!$D23+$G$68*Mat_Sum!$F23+$G$69*Mat_Sum!$I23+$G$70*Mat_Sum!$L23+$G$71*Mat_Sum!$AG23+$G$72*Mat_Sum!$AH23+$G$73*Mat_Sum!$AK23+$G$74*Mat_Sum!$AS23+$G$75*Mat_Sum!$AR23+$G$76*Mat_Sum!$AV23)+$A$136*(G$140*4)*($A$144*Mat_Sum!$AV23+$B$144*Mat_Sum!$D23)</f>
        <v>3245.1013305267993</v>
      </c>
      <c r="F387" s="349">
        <f ca="1">$F$6*$G$13*($G$79*Mat_Sum!$D23+$G$80*Mat_Sum!$E23+$G$81*Mat_Sum!$L23+$G$82*Mat_Sum!$AG23)</f>
        <v>156.04902307993979</v>
      </c>
      <c r="G387" s="349">
        <f ca="1">$F$6*$G$14*($G$85*Mat_Sum!$D23+$G$86*Mat_Sum!$L23+$G$87*Mat_Sum!$AG23)</f>
        <v>156.04902307993979</v>
      </c>
      <c r="H387" s="349">
        <f ca="1">$F$6*$G$15*($G$90*Mat_Sum!$D23+$G$91*Mat_Sum!$L23+$G$92*Mat_Sum!$AG23+$G$93*Mat_Sum!$AV23+$G$94*Mat_Sum!$AR23)</f>
        <v>70.224930027610029</v>
      </c>
      <c r="I387" s="348"/>
      <c r="J387" s="382">
        <f t="shared" ca="1" si="74"/>
        <v>0.27961814499385457</v>
      </c>
      <c r="K387" s="382">
        <f t="shared" ca="1" si="75"/>
        <v>0.33710454737810536</v>
      </c>
      <c r="L387" s="382">
        <f t="shared" ca="1" si="76"/>
        <v>7.5699840031800414E-2</v>
      </c>
      <c r="M387" s="382">
        <f t="shared" ca="1" si="77"/>
        <v>0.27515944233188305</v>
      </c>
      <c r="N387" s="382">
        <f t="shared" ca="1" si="78"/>
        <v>1.3231747731014891E-2</v>
      </c>
      <c r="O387" s="382">
        <f t="shared" ca="1" si="79"/>
        <v>1.3231747731014891E-2</v>
      </c>
      <c r="P387" s="382">
        <f t="shared" ca="1" si="80"/>
        <v>5.9545298023269558E-3</v>
      </c>
      <c r="Q387" s="588"/>
    </row>
    <row r="388" spans="1:17">
      <c r="A388" s="230" t="s">
        <v>823</v>
      </c>
      <c r="B388" s="347">
        <f ca="1">$F$6*$G$17*($G$22*Mat_Sum!$D24+$G$23*Mat_Sum!$I24+$G$24*Mat_Sum!$L24+$G$25*Mat_Sum!$AG24+$G$26*Mat_Sum!$AH24+$G$27*Mat_Sum!$AK24+$G$28*Mat_Sum!$AS24+$G$29*Mat_Sum!$AM24+$G$30*Mat_Sum!$AT24+$G$31*Mat_Sum!$AR24+$G$32*Mat_Sum!$AV24)</f>
        <v>3073.8770160375789</v>
      </c>
      <c r="C388" s="349">
        <f ca="1">$F$6*$G$10*($G$35*Mat_Sum!$D24+$G$36*Mat_Sum!$E24+$G$37*Mat_Sum!$F24+$G$38*Mat_Sum!$I24+$G$39*Mat_Sum!$L24+$G$40*Mat_Sum!$AG24+$G$41*Mat_Sum!$AK24+$G$42*Mat_Sum!$AS24+$G$43*Mat_Sum!$AR24+$G$44*Mat_Sum!$AV24+$G$45*Mat_Sum!$AT24+$G$46*Mat_Sum!$BH24+$G$47*Mat_Sum!$BG24+$G$48*Mat_Sum!$BJ24+$G$49*Mat_Sum!$BI24+$G$50*Mat_Sum!$AW24)</f>
        <v>802.54722886538718</v>
      </c>
      <c r="D388" s="349">
        <f ca="1">$F$6*$G$11*($G$56*Mat_Sum!$D24+$G$57*Mat_Sum!$AG24+$G$58*Mat_Sum!$F24+$G$59*Mat_Sum!$AK24+$G$60*Mat_Sum!$I24+$G$61*Mat_Sum!$L24+$G$62*Mat_Sum!$AT24+$G$63*Mat_Sum!$AR24+$G$64*Mat_Sum!$AV24)</f>
        <v>218.0532094546013</v>
      </c>
      <c r="E388" s="349">
        <f ca="1">$F$6*$G$12*($G$67*Mat_Sum!$D24+$G$68*Mat_Sum!$F24+$G$69*Mat_Sum!$I24+$G$70*Mat_Sum!$L24+$G$71*Mat_Sum!$AG24+$G$72*Mat_Sum!$AH24+$G$73*Mat_Sum!$AK24+$G$74*Mat_Sum!$AS24+$G$75*Mat_Sum!$AR24+$G$76*Mat_Sum!$AV24)+$A$136*(G$140*4)*($A$144*Mat_Sum!$AV24+$B$144*Mat_Sum!$D24)</f>
        <v>1303.0797700355515</v>
      </c>
      <c r="F388" s="349">
        <f ca="1">$F$6*$G$13*($G$79*Mat_Sum!$D24+$G$80*Mat_Sum!$E24+$G$81*Mat_Sum!$L24+$G$82*Mat_Sum!$AG24)</f>
        <v>49.797211547724679</v>
      </c>
      <c r="G388" s="349">
        <f ca="1">$F$6*$G$14*($G$85*Mat_Sum!$D24+$G$86*Mat_Sum!$L24+$G$87*Mat_Sum!$AG24)</f>
        <v>49.797211547724679</v>
      </c>
      <c r="H388" s="349">
        <f ca="1">$F$6*$G$15*($G$90*Mat_Sum!$D24+$G$91*Mat_Sum!$L24+$G$92*Mat_Sum!$AG24+$G$93*Mat_Sum!$AV24+$G$94*Mat_Sum!$AR24)</f>
        <v>53.703027220848185</v>
      </c>
      <c r="I388" s="348"/>
      <c r="J388" s="382">
        <f t="shared" ca="1" si="74"/>
        <v>0.55376643709349027</v>
      </c>
      <c r="K388" s="382">
        <f t="shared" ca="1" si="75"/>
        <v>0.1445808395096202</v>
      </c>
      <c r="L388" s="382">
        <f t="shared" ca="1" si="76"/>
        <v>3.928281719355519E-2</v>
      </c>
      <c r="M388" s="382">
        <f t="shared" ca="1" si="77"/>
        <v>0.23475299686237358</v>
      </c>
      <c r="N388" s="382">
        <f t="shared" ca="1" si="78"/>
        <v>8.9710890423070795E-3</v>
      </c>
      <c r="O388" s="382">
        <f t="shared" ca="1" si="79"/>
        <v>8.9710890423070795E-3</v>
      </c>
      <c r="P388" s="382">
        <f t="shared" ca="1" si="80"/>
        <v>9.6747312563464829E-3</v>
      </c>
      <c r="Q388" s="588"/>
    </row>
    <row r="389" spans="1:17">
      <c r="A389" s="230" t="s">
        <v>824</v>
      </c>
      <c r="B389" s="347">
        <f ca="1">$F$6*$G$17*($G$22*Mat_Sum!$D25+$G$23*Mat_Sum!$I25+$G$24*Mat_Sum!$L25+$G$25*Mat_Sum!$AG25+$G$26*Mat_Sum!$AH25+$G$27*Mat_Sum!$AK25+$G$28*Mat_Sum!$AS25+$G$29*Mat_Sum!$AM25+$G$30*Mat_Sum!$AT25+$G$31*Mat_Sum!$AR25+$G$32*Mat_Sum!$AV25)</f>
        <v>1598.7796014648216</v>
      </c>
      <c r="C389" s="349">
        <f ca="1">$F$6*$G$10*($G$35*Mat_Sum!$D25+$G$36*Mat_Sum!$E25+$G$37*Mat_Sum!$F25+$G$38*Mat_Sum!$I25+$G$39*Mat_Sum!$L25+$G$40*Mat_Sum!$AG25+$G$41*Mat_Sum!$AK25+$G$42*Mat_Sum!$AS25+$G$43*Mat_Sum!$AR25+$G$44*Mat_Sum!$AV25+$G$45*Mat_Sum!$AT25+$G$46*Mat_Sum!$BH25+$G$47*Mat_Sum!$BG25+$G$48*Mat_Sum!$BJ25+$G$49*Mat_Sum!$BI25+$G$50*Mat_Sum!$AW25)</f>
        <v>442.80405819893627</v>
      </c>
      <c r="D389" s="349">
        <f ca="1">$F$6*$G$11*($G$56*Mat_Sum!$D25+$G$57*Mat_Sum!$AG25+$G$58*Mat_Sum!$F25+$G$59*Mat_Sum!$AK25+$G$60*Mat_Sum!$I25+$G$61*Mat_Sum!$L25+$G$62*Mat_Sum!$AT25+$G$63*Mat_Sum!$AR25+$G$64*Mat_Sum!$AV25)</f>
        <v>131.82160494289889</v>
      </c>
      <c r="E389" s="349">
        <f ca="1">$F$6*$G$12*($G$67*Mat_Sum!$D25+$G$68*Mat_Sum!$F25+$G$69*Mat_Sum!$I25+$G$70*Mat_Sum!$L25+$G$71*Mat_Sum!$AG25+$G$72*Mat_Sum!$AH25+$G$73*Mat_Sum!$AK25+$G$74*Mat_Sum!$AS25+$G$75*Mat_Sum!$AR25+$G$76*Mat_Sum!$AV25)+$A$136*(G$140*4)*($A$144*Mat_Sum!$AV25+$B$144*Mat_Sum!$D25)</f>
        <v>599.41789689806978</v>
      </c>
      <c r="F389" s="349">
        <f ca="1">$F$6*$G$13*($G$79*Mat_Sum!$D25+$G$80*Mat_Sum!$E25+$G$81*Mat_Sum!$L25+$G$82*Mat_Sum!$AG25)</f>
        <v>22.963804507748563</v>
      </c>
      <c r="G389" s="349">
        <f ca="1">$F$6*$G$14*($G$85*Mat_Sum!$D25+$G$86*Mat_Sum!$L25+$G$87*Mat_Sum!$AG25)</f>
        <v>22.963804507748563</v>
      </c>
      <c r="H389" s="349">
        <f ca="1">$F$6*$G$15*($G$90*Mat_Sum!$D25+$G$91*Mat_Sum!$L25+$G$92*Mat_Sum!$AG25+$G$93*Mat_Sum!$AV25+$G$94*Mat_Sum!$AR25)</f>
        <v>22.414436076843685</v>
      </c>
      <c r="I389" s="348"/>
      <c r="J389" s="382">
        <f t="shared" ca="1" si="74"/>
        <v>0.56271968900383607</v>
      </c>
      <c r="K389" s="382">
        <f t="shared" ca="1" si="75"/>
        <v>0.15585297791580852</v>
      </c>
      <c r="L389" s="382">
        <f t="shared" ca="1" si="76"/>
        <v>4.6397022122055626E-2</v>
      </c>
      <c r="M389" s="382">
        <f t="shared" ca="1" si="77"/>
        <v>0.21097607964022871</v>
      </c>
      <c r="N389" s="382">
        <f t="shared" ca="1" si="78"/>
        <v>8.082530524598697E-3</v>
      </c>
      <c r="O389" s="382">
        <f t="shared" ca="1" si="79"/>
        <v>8.082530524598697E-3</v>
      </c>
      <c r="P389" s="382">
        <f t="shared" ca="1" si="80"/>
        <v>7.8891702688735927E-3</v>
      </c>
      <c r="Q389" s="588"/>
    </row>
    <row r="390" spans="1:17">
      <c r="A390" s="230" t="s">
        <v>825</v>
      </c>
      <c r="B390" s="347">
        <f ca="1">$F$6*$G$17*($G$22*Mat_Sum!$D26+$G$23*Mat_Sum!$I26+$G$24*Mat_Sum!$L26+$G$25*Mat_Sum!$AG26+$G$26*Mat_Sum!$AH26+$G$27*Mat_Sum!$AK26+$G$28*Mat_Sum!$AS26+$G$29*Mat_Sum!$AM26+$G$30*Mat_Sum!$AT26+$G$31*Mat_Sum!$AR26+$G$32*Mat_Sum!$AV26)</f>
        <v>398.30241045100308</v>
      </c>
      <c r="C390" s="349">
        <f ca="1">$F$6*$G$10*($G$35*Mat_Sum!$D26+$G$36*Mat_Sum!$E26+$G$37*Mat_Sum!$F26+$G$38*Mat_Sum!$I26+$G$39*Mat_Sum!$L26+$G$40*Mat_Sum!$AG26+$G$41*Mat_Sum!$AK26+$G$42*Mat_Sum!$AS26+$G$43*Mat_Sum!$AR26+$G$44*Mat_Sum!$AV26+$G$45*Mat_Sum!$AT26+$G$46*Mat_Sum!$BH26+$G$47*Mat_Sum!$BG26+$G$48*Mat_Sum!$BJ26+$G$49*Mat_Sum!$BI26+$G$50*Mat_Sum!$AW26)</f>
        <v>210.73082604074085</v>
      </c>
      <c r="D390" s="349">
        <f ca="1">$F$6*$G$11*($G$56*Mat_Sum!$D26+$G$57*Mat_Sum!$AG26+$G$58*Mat_Sum!$F26+$G$59*Mat_Sum!$AK26+$G$60*Mat_Sum!$I26+$G$61*Mat_Sum!$L26+$G$62*Mat_Sum!$AT26+$G$63*Mat_Sum!$AR26+$G$64*Mat_Sum!$AV26)</f>
        <v>65.71192673457044</v>
      </c>
      <c r="E390" s="349">
        <f ca="1">$F$6*$G$12*($G$67*Mat_Sum!$D26+$G$68*Mat_Sum!$F26+$G$69*Mat_Sum!$I26+$G$70*Mat_Sum!$L26+$G$71*Mat_Sum!$AG26+$G$72*Mat_Sum!$AH26+$G$73*Mat_Sum!$AK26+$G$74*Mat_Sum!$AS26+$G$75*Mat_Sum!$AR26+$G$76*Mat_Sum!$AV26)+$A$136*(G$140*4)*($A$144*Mat_Sum!$AV26+$B$144*Mat_Sum!$D26)</f>
        <v>272.53813718263757</v>
      </c>
      <c r="F390" s="349">
        <f ca="1">$F$6*$G$13*($G$79*Mat_Sum!$D26+$G$80*Mat_Sum!$E26+$G$81*Mat_Sum!$L26+$G$82*Mat_Sum!$AG26)</f>
        <v>11.706776354805736</v>
      </c>
      <c r="G390" s="349">
        <f ca="1">$F$6*$G$14*($G$85*Mat_Sum!$D26+$G$86*Mat_Sum!$L26+$G$87*Mat_Sum!$AG26)</f>
        <v>11.706776354805736</v>
      </c>
      <c r="H390" s="349">
        <f ca="1">$F$6*$G$15*($G$90*Mat_Sum!$D26+$G$91*Mat_Sum!$L26+$G$92*Mat_Sum!$AG26+$G$93*Mat_Sum!$AV26+$G$94*Mat_Sum!$AR26)</f>
        <v>10.223592498811927</v>
      </c>
      <c r="I390" s="348"/>
      <c r="J390" s="382">
        <f t="shared" ca="1" si="74"/>
        <v>0.4060496569630761</v>
      </c>
      <c r="K390" s="382">
        <f t="shared" ca="1" si="75"/>
        <v>0.21482968061503729</v>
      </c>
      <c r="L390" s="382">
        <f t="shared" ca="1" si="76"/>
        <v>6.6990067368014147E-2</v>
      </c>
      <c r="M390" s="382">
        <f t="shared" ca="1" si="77"/>
        <v>0.27783918502290617</v>
      </c>
      <c r="N390" s="382">
        <f t="shared" ca="1" si="78"/>
        <v>1.1934480932791322E-2</v>
      </c>
      <c r="O390" s="382">
        <f t="shared" ca="1" si="79"/>
        <v>1.1934480932791322E-2</v>
      </c>
      <c r="P390" s="382">
        <f t="shared" ca="1" si="80"/>
        <v>1.0422448165383446E-2</v>
      </c>
      <c r="Q390" s="588"/>
    </row>
    <row r="391" spans="1:17">
      <c r="A391" s="230" t="s">
        <v>826</v>
      </c>
      <c r="B391" s="347">
        <f ca="1">$F$6*$G$17*($G$22*Mat_Sum!$D27+$G$23*Mat_Sum!$I27+$G$24*Mat_Sum!$L27+$G$25*Mat_Sum!$AG27+$G$26*Mat_Sum!$AH27+$G$27*Mat_Sum!$AK27+$G$28*Mat_Sum!$AS27+$G$29*Mat_Sum!$AM27+$G$30*Mat_Sum!$AT27+$G$31*Mat_Sum!$AR27+$G$32*Mat_Sum!$AV27)</f>
        <v>6035.0974027303264</v>
      </c>
      <c r="C391" s="349">
        <f ca="1">$F$6*$G$10*($G$35*Mat_Sum!$D27+$G$36*Mat_Sum!$E27+$G$37*Mat_Sum!$F27+$G$38*Mat_Sum!$I27+$G$39*Mat_Sum!$L27+$G$40*Mat_Sum!$AG27+$G$41*Mat_Sum!$AK27+$G$42*Mat_Sum!$AS27+$G$43*Mat_Sum!$AR27+$G$44*Mat_Sum!$AV27+$G$45*Mat_Sum!$AT27+$G$46*Mat_Sum!$BH27+$G$47*Mat_Sum!$BG27+$G$48*Mat_Sum!$BJ27+$G$49*Mat_Sum!$BI27+$G$50*Mat_Sum!$AW27)</f>
        <v>4178.8894187719598</v>
      </c>
      <c r="D391" s="349">
        <f ca="1">$F$6*$G$11*($G$56*Mat_Sum!$D27+$G$57*Mat_Sum!$AG27+$G$58*Mat_Sum!$F27+$G$59*Mat_Sum!$AK27+$G$60*Mat_Sum!$I27+$G$61*Mat_Sum!$L27+$G$62*Mat_Sum!$AT27+$G$63*Mat_Sum!$AR27+$G$64*Mat_Sum!$AV27)</f>
        <v>2636.7097026113688</v>
      </c>
      <c r="E391" s="349">
        <f ca="1">$F$6*$G$12*($G$67*Mat_Sum!$D27+$G$68*Mat_Sum!$F27+$G$69*Mat_Sum!$I27+$G$70*Mat_Sum!$L27+$G$71*Mat_Sum!$AG27+$G$72*Mat_Sum!$AH27+$G$73*Mat_Sum!$AK27+$G$74*Mat_Sum!$AS27+$G$75*Mat_Sum!$AR27+$G$76*Mat_Sum!$AV27)+$A$136*(G$140*4)*($A$144*Mat_Sum!$AV27+$B$144*Mat_Sum!$D27)</f>
        <v>3413.8198011913646</v>
      </c>
      <c r="F391" s="349">
        <f ca="1">$F$6*$G$13*($G$79*Mat_Sum!$D27+$G$80*Mat_Sum!$E27+$G$81*Mat_Sum!$L27+$G$82*Mat_Sum!$AG27)</f>
        <v>885.40245297690819</v>
      </c>
      <c r="G391" s="349">
        <f ca="1">$F$6*$G$14*($G$85*Mat_Sum!$D27+$G$86*Mat_Sum!$L27+$G$87*Mat_Sum!$AG27)</f>
        <v>885.40245297690819</v>
      </c>
      <c r="H391" s="349">
        <f ca="1">$F$6*$G$15*($G$90*Mat_Sum!$D27+$G$91*Mat_Sum!$L27+$G$92*Mat_Sum!$AG27+$G$93*Mat_Sum!$AV27+$G$94*Mat_Sum!$AR27)</f>
        <v>374.59208224133056</v>
      </c>
      <c r="I391" s="348"/>
      <c r="J391" s="382">
        <f t="shared" ca="1" si="74"/>
        <v>0.32781780663273036</v>
      </c>
      <c r="K391" s="382">
        <f t="shared" ca="1" si="75"/>
        <v>0.22699125995924921</v>
      </c>
      <c r="L391" s="382">
        <f t="shared" ca="1" si="76"/>
        <v>0.14322227691739559</v>
      </c>
      <c r="M391" s="382">
        <f t="shared" ca="1" si="77"/>
        <v>0.18543377923936108</v>
      </c>
      <c r="N391" s="382">
        <f t="shared" ca="1" si="78"/>
        <v>4.8093787184083803E-2</v>
      </c>
      <c r="O391" s="382">
        <f t="shared" ca="1" si="79"/>
        <v>4.8093787184083803E-2</v>
      </c>
      <c r="P391" s="382">
        <f t="shared" ca="1" si="80"/>
        <v>2.0347302883096063E-2</v>
      </c>
      <c r="Q391" s="588"/>
    </row>
    <row r="392" spans="1:17">
      <c r="A392" s="661" t="s">
        <v>827</v>
      </c>
      <c r="B392" s="347">
        <f ca="1">$F$6*$G$17*($G$22*Mat_Sum!$D28+$G$23*Mat_Sum!$I28+$G$24*Mat_Sum!$L28+$G$25*Mat_Sum!$AG28+$G$26*Mat_Sum!$AH28+$G$27*Mat_Sum!$AK28+$G$28*Mat_Sum!$AS28+$G$29*Mat_Sum!$AM28+$G$30*Mat_Sum!$AT28+$G$31*Mat_Sum!$AR28+$G$32*Mat_Sum!$AV28)</f>
        <v>21.114772706036749</v>
      </c>
      <c r="C392" s="349">
        <f ca="1">$F$6*$G$10*($G$35*Mat_Sum!$D28+$G$36*Mat_Sum!$E28+$G$37*Mat_Sum!$F28+$G$38*Mat_Sum!$I28+$G$39*Mat_Sum!$L28+$G$40*Mat_Sum!$AG28+$G$41*Mat_Sum!$AK28+$G$42*Mat_Sum!$AS28+$G$43*Mat_Sum!$AR28+$G$44*Mat_Sum!$AV28+$G$45*Mat_Sum!$AT28+$G$46*Mat_Sum!$BH28+$G$47*Mat_Sum!$BG28+$G$48*Mat_Sum!$BJ28+$G$49*Mat_Sum!$BI28+$G$50*Mat_Sum!$AW28)</f>
        <v>4.384953939252596</v>
      </c>
      <c r="D392" s="349">
        <f ca="1">$F$6*$G$11*($G$56*Mat_Sum!$D28+$G$57*Mat_Sum!$AG28+$G$58*Mat_Sum!$F28+$G$59*Mat_Sum!$AK28+$G$60*Mat_Sum!$I28+$G$61*Mat_Sum!$L28+$G$62*Mat_Sum!$AT28+$G$63*Mat_Sum!$AR28+$G$64*Mat_Sum!$AV28)</f>
        <v>1.5047449151405325</v>
      </c>
      <c r="E392" s="349">
        <f ca="1">$F$6*$G$12*($G$67*Mat_Sum!$D28+$G$68*Mat_Sum!$F28+$G$69*Mat_Sum!$I28+$G$70*Mat_Sum!$L28+$G$71*Mat_Sum!$AG28+$G$72*Mat_Sum!$AH28+$G$73*Mat_Sum!$AK28+$G$74*Mat_Sum!$AS28+$G$75*Mat_Sum!$AR28+$G$76*Mat_Sum!$AV28)+$A$136*(G$140*4)*($A$144*Mat_Sum!$AV28+$B$144*Mat_Sum!$D28)</f>
        <v>8.37883710416199</v>
      </c>
      <c r="F392" s="349">
        <f ca="1">$F$6*$G$13*($G$79*Mat_Sum!$D28+$G$80*Mat_Sum!$E28+$G$81*Mat_Sum!$L28+$G$82*Mat_Sum!$AG28)</f>
        <v>0.43359395938106671</v>
      </c>
      <c r="G392" s="349">
        <f ca="1">$F$6*$G$14*($G$85*Mat_Sum!$D28+$G$86*Mat_Sum!$L28+$G$87*Mat_Sum!$AG28)</f>
        <v>0.43359395938106671</v>
      </c>
      <c r="H392" s="349">
        <f ca="1">$F$6*$G$15*($G$90*Mat_Sum!$D28+$G$91*Mat_Sum!$L28+$G$92*Mat_Sum!$AG28+$G$93*Mat_Sum!$AV28+$G$94*Mat_Sum!$AR28)</f>
        <v>0.42870030194600878</v>
      </c>
      <c r="I392" s="348"/>
      <c r="J392" s="382">
        <f t="shared" ca="1" si="74"/>
        <v>0.57566071503869154</v>
      </c>
      <c r="K392" s="382">
        <f t="shared" ca="1" si="75"/>
        <v>0.11954879909079913</v>
      </c>
      <c r="L392" s="382">
        <f t="shared" ca="1" si="76"/>
        <v>4.1024478257962953E-2</v>
      </c>
      <c r="M392" s="382">
        <f t="shared" ca="1" si="77"/>
        <v>0.22843567514205831</v>
      </c>
      <c r="N392" s="382">
        <f t="shared" ca="1" si="78"/>
        <v>1.182125008726238E-2</v>
      </c>
      <c r="O392" s="382">
        <f t="shared" ca="1" si="79"/>
        <v>1.182125008726238E-2</v>
      </c>
      <c r="P392" s="382">
        <f t="shared" ca="1" si="80"/>
        <v>1.1687832295963377E-2</v>
      </c>
      <c r="Q392" s="588"/>
    </row>
    <row r="393" spans="1:17">
      <c r="A393" s="661" t="s">
        <v>828</v>
      </c>
      <c r="B393" s="347">
        <f ca="1">$F$6*$G$17*($G$22*Mat_Sum!$D29+$G$23*Mat_Sum!$I29+$G$24*Mat_Sum!$L29+$G$25*Mat_Sum!$AG29+$G$26*Mat_Sum!$AH29+$G$27*Mat_Sum!$AK29+$G$28*Mat_Sum!$AS29+$G$29*Mat_Sum!$AM29+$G$30*Mat_Sum!$AT29+$G$31*Mat_Sum!$AR29+$G$32*Mat_Sum!$AV29)</f>
        <v>51.848528970487479</v>
      </c>
      <c r="C393" s="349">
        <f ca="1">$F$6*$G$10*($G$35*Mat_Sum!$D29+$G$36*Mat_Sum!$E29+$G$37*Mat_Sum!$F29+$G$38*Mat_Sum!$I29+$G$39*Mat_Sum!$L29+$G$40*Mat_Sum!$AG29+$G$41*Mat_Sum!$AK29+$G$42*Mat_Sum!$AS29+$G$43*Mat_Sum!$AR29+$G$44*Mat_Sum!$AV29+$G$45*Mat_Sum!$AT29+$G$46*Mat_Sum!$BH29+$G$47*Mat_Sum!$BG29+$G$48*Mat_Sum!$BJ29+$G$49*Mat_Sum!$BI29+$G$50*Mat_Sum!$AW29)</f>
        <v>10.136009950954875</v>
      </c>
      <c r="D393" s="349">
        <f ca="1">$F$6*$G$11*($G$56*Mat_Sum!$D29+$G$57*Mat_Sum!$AG29+$G$58*Mat_Sum!$F29+$G$59*Mat_Sum!$AK29+$G$60*Mat_Sum!$I29+$G$61*Mat_Sum!$L29+$G$62*Mat_Sum!$AT29+$G$63*Mat_Sum!$AR29+$G$64*Mat_Sum!$AV29)</f>
        <v>2.8140911278568379</v>
      </c>
      <c r="E393" s="349">
        <f ca="1">$F$6*$G$12*($G$67*Mat_Sum!$D29+$G$68*Mat_Sum!$F29+$G$69*Mat_Sum!$I29+$G$70*Mat_Sum!$L29+$G$71*Mat_Sum!$AG29+$G$72*Mat_Sum!$AH29+$G$73*Mat_Sum!$AK29+$G$74*Mat_Sum!$AS29+$G$75*Mat_Sum!$AR29+$G$76*Mat_Sum!$AV29)+$A$136*(G$140*4)*($A$144*Mat_Sum!$AV29+$B$144*Mat_Sum!$D29)</f>
        <v>17.518608440118093</v>
      </c>
      <c r="F393" s="349">
        <f ca="1">$F$6*$G$13*($G$79*Mat_Sum!$D29+$G$80*Mat_Sum!$E29+$G$81*Mat_Sum!$L29+$G$82*Mat_Sum!$AG29)</f>
        <v>0.73392017486435346</v>
      </c>
      <c r="G393" s="349">
        <f ca="1">$F$6*$G$14*($G$85*Mat_Sum!$D29+$G$86*Mat_Sum!$L29+$G$87*Mat_Sum!$AG29)</f>
        <v>0.73392017486435346</v>
      </c>
      <c r="H393" s="349">
        <f ca="1">$F$6*$G$15*($G$90*Mat_Sum!$D29+$G$91*Mat_Sum!$L29+$G$92*Mat_Sum!$AG29+$G$93*Mat_Sum!$AV29+$G$94*Mat_Sum!$AR29)</f>
        <v>0.84528681935879801</v>
      </c>
      <c r="I393" s="348"/>
      <c r="J393" s="382">
        <f t="shared" ca="1" si="74"/>
        <v>0.61264687405113494</v>
      </c>
      <c r="K393" s="382">
        <f t="shared" ca="1" si="75"/>
        <v>0.11976800374294819</v>
      </c>
      <c r="L393" s="382">
        <f t="shared" ca="1" si="76"/>
        <v>3.3251553457917034E-2</v>
      </c>
      <c r="M393" s="382">
        <f t="shared" ca="1" si="77"/>
        <v>0.20700145041093285</v>
      </c>
      <c r="N393" s="382">
        <f t="shared" ca="1" si="78"/>
        <v>8.672066688519612E-3</v>
      </c>
      <c r="O393" s="382">
        <f t="shared" ca="1" si="79"/>
        <v>8.672066688519612E-3</v>
      </c>
      <c r="P393" s="382">
        <f t="shared" ca="1" si="80"/>
        <v>9.9879849600277883E-3</v>
      </c>
      <c r="Q393" s="588"/>
    </row>
    <row r="394" spans="1:17">
      <c r="A394" s="230" t="s">
        <v>829</v>
      </c>
      <c r="B394" s="347">
        <f ca="1">$F$6*$G$17*($G$22*Mat_Sum!$D30+$G$23*Mat_Sum!$I30+$G$24*Mat_Sum!$L30+$G$25*Mat_Sum!$AG30+$G$26*Mat_Sum!$AH30+$G$27*Mat_Sum!$AK30+$G$28*Mat_Sum!$AS30+$G$29*Mat_Sum!$AM30+$G$30*Mat_Sum!$AT30+$G$31*Mat_Sum!$AR30+$G$32*Mat_Sum!$AV30)</f>
        <v>9935.2482923298612</v>
      </c>
      <c r="C394" s="349">
        <f ca="1">$F$6*$G$10*($G$35*Mat_Sum!$D30+$G$36*Mat_Sum!$E30+$G$37*Mat_Sum!$F30+$G$38*Mat_Sum!$I30+$G$39*Mat_Sum!$L30+$G$40*Mat_Sum!$AG30+$G$41*Mat_Sum!$AK30+$G$42*Mat_Sum!$AS30+$G$43*Mat_Sum!$AR30+$G$44*Mat_Sum!$AV30+$G$45*Mat_Sum!$AT30+$G$46*Mat_Sum!$BH30+$G$47*Mat_Sum!$BG30+$G$48*Mat_Sum!$BJ30+$G$49*Mat_Sum!$BI30+$G$50*Mat_Sum!$AW30)</f>
        <v>1942.3239216175089</v>
      </c>
      <c r="D394" s="349">
        <f ca="1">$F$6*$G$11*($G$56*Mat_Sum!$D30+$G$57*Mat_Sum!$AG30+$G$58*Mat_Sum!$F30+$G$59*Mat_Sum!$AK30+$G$60*Mat_Sum!$I30+$G$61*Mat_Sum!$L30+$G$62*Mat_Sum!$AT30+$G$63*Mat_Sum!$AR30+$G$64*Mat_Sum!$AV30)</f>
        <v>430.89639586881742</v>
      </c>
      <c r="E394" s="349">
        <f ca="1">$F$6*$G$12*($G$67*Mat_Sum!$D30+$G$68*Mat_Sum!$F30+$G$69*Mat_Sum!$I30+$G$70*Mat_Sum!$L30+$G$71*Mat_Sum!$AG30+$G$72*Mat_Sum!$AH30+$G$73*Mat_Sum!$AK30+$G$74*Mat_Sum!$AS30+$G$75*Mat_Sum!$AR30+$G$76*Mat_Sum!$AV30)+$A$136*(G$140*4)*($A$144*Mat_Sum!$AV30+$B$144*Mat_Sum!$D30)</f>
        <v>2675.7462938378771</v>
      </c>
      <c r="F394" s="349">
        <f ca="1">$F$6*$G$13*($G$79*Mat_Sum!$D30+$G$80*Mat_Sum!$E30+$G$81*Mat_Sum!$L30+$G$82*Mat_Sum!$AG30)</f>
        <v>103.47218276412504</v>
      </c>
      <c r="G394" s="349">
        <f ca="1">$F$6*$G$14*($G$85*Mat_Sum!$D30+$G$86*Mat_Sum!$L30+$G$87*Mat_Sum!$AG30)</f>
        <v>103.47218276412504</v>
      </c>
      <c r="H394" s="349">
        <f ca="1">$F$6*$G$15*($G$90*Mat_Sum!$D30+$G$91*Mat_Sum!$L30+$G$92*Mat_Sum!$AG30+$G$93*Mat_Sum!$AV30+$G$94*Mat_Sum!$AR30)</f>
        <v>179.97324437593966</v>
      </c>
      <c r="I394" s="348"/>
      <c r="J394" s="382">
        <f t="shared" ca="1" si="74"/>
        <v>0.64635759815136462</v>
      </c>
      <c r="K394" s="382">
        <f t="shared" ca="1" si="75"/>
        <v>0.12636179669287631</v>
      </c>
      <c r="L394" s="382">
        <f t="shared" ca="1" si="76"/>
        <v>2.8032833331489475E-2</v>
      </c>
      <c r="M394" s="382">
        <f t="shared" ca="1" si="77"/>
        <v>0.17407606703524997</v>
      </c>
      <c r="N394" s="382">
        <f t="shared" ca="1" si="78"/>
        <v>6.731591356255397E-3</v>
      </c>
      <c r="O394" s="382">
        <f t="shared" ca="1" si="79"/>
        <v>6.731591356255397E-3</v>
      </c>
      <c r="P394" s="382">
        <f t="shared" ca="1" si="80"/>
        <v>1.1708522076508842E-2</v>
      </c>
      <c r="Q394" s="588"/>
    </row>
    <row r="395" spans="1:17">
      <c r="A395" s="230" t="s">
        <v>830</v>
      </c>
      <c r="B395" s="347">
        <f ca="1">$F$6*$G$17*($G$22*Mat_Sum!$D31+$G$23*Mat_Sum!$I31+$G$24*Mat_Sum!$L31+$G$25*Mat_Sum!$AG31+$G$26*Mat_Sum!$AH31+$G$27*Mat_Sum!$AK31+$G$28*Mat_Sum!$AS31+$G$29*Mat_Sum!$AM31+$G$30*Mat_Sum!$AT31+$G$31*Mat_Sum!$AR31+$G$32*Mat_Sum!$AV31)</f>
        <v>88.003875829996076</v>
      </c>
      <c r="C395" s="349">
        <f ca="1">$F$6*$G$10*($G$35*Mat_Sum!$D31+$G$36*Mat_Sum!$E31+$G$37*Mat_Sum!$F31+$G$38*Mat_Sum!$I31+$G$39*Mat_Sum!$L31+$G$40*Mat_Sum!$AG31+$G$41*Mat_Sum!$AK31+$G$42*Mat_Sum!$AS31+$G$43*Mat_Sum!$AR31+$G$44*Mat_Sum!$AV31+$G$45*Mat_Sum!$AT31+$G$46*Mat_Sum!$BH31+$G$47*Mat_Sum!$BG31+$G$48*Mat_Sum!$BJ31+$G$49*Mat_Sum!$BI31+$G$50*Mat_Sum!$AW31)</f>
        <v>16.924842794686768</v>
      </c>
      <c r="D395" s="349">
        <f ca="1">$F$6*$G$11*($G$56*Mat_Sum!$D31+$G$57*Mat_Sum!$AG31+$G$58*Mat_Sum!$F31+$G$59*Mat_Sum!$AK31+$G$60*Mat_Sum!$I31+$G$61*Mat_Sum!$L31+$G$62*Mat_Sum!$AT31+$G$63*Mat_Sum!$AR31+$G$64*Mat_Sum!$AV31)</f>
        <v>3.6675706452389574</v>
      </c>
      <c r="E395" s="349">
        <f ca="1">$F$6*$G$12*($G$67*Mat_Sum!$D31+$G$68*Mat_Sum!$F31+$G$69*Mat_Sum!$I31+$G$70*Mat_Sum!$L31+$G$71*Mat_Sum!$AG31+$G$72*Mat_Sum!$AH31+$G$73*Mat_Sum!$AK31+$G$74*Mat_Sum!$AS31+$G$75*Mat_Sum!$AR31+$G$76*Mat_Sum!$AV31)+$A$136*(G$140*4)*($A$144*Mat_Sum!$AV31+$B$144*Mat_Sum!$D31)</f>
        <v>24.795081420739418</v>
      </c>
      <c r="F395" s="349">
        <f ca="1">$F$6*$G$13*($G$79*Mat_Sum!$D31+$G$80*Mat_Sum!$E31+$G$81*Mat_Sum!$L31+$G$82*Mat_Sum!$AG31)</f>
        <v>0.94842947777715247</v>
      </c>
      <c r="G395" s="349">
        <f ca="1">$F$6*$G$14*($G$85*Mat_Sum!$D31+$G$86*Mat_Sum!$L31+$G$87*Mat_Sum!$AG31)</f>
        <v>0.94842947777715247</v>
      </c>
      <c r="H395" s="349">
        <f ca="1">$F$6*$G$15*($G$90*Mat_Sum!$D31+$G$91*Mat_Sum!$L31+$G$92*Mat_Sum!$AG31+$G$93*Mat_Sum!$AV31+$G$94*Mat_Sum!$AR31)</f>
        <v>1.98976739321109</v>
      </c>
      <c r="I395" s="348"/>
      <c r="J395" s="382">
        <f t="shared" ca="1" si="74"/>
        <v>0.64106322737737143</v>
      </c>
      <c r="K395" s="382">
        <f t="shared" ca="1" si="75"/>
        <v>0.12328882384426039</v>
      </c>
      <c r="L395" s="382">
        <f t="shared" ca="1" si="76"/>
        <v>2.671637643566158E-2</v>
      </c>
      <c r="M395" s="382">
        <f t="shared" ca="1" si="77"/>
        <v>0.18061948713906573</v>
      </c>
      <c r="N395" s="382">
        <f t="shared" ca="1" si="78"/>
        <v>6.9088236879269217E-3</v>
      </c>
      <c r="O395" s="382">
        <f t="shared" ca="1" si="79"/>
        <v>6.9088236879269217E-3</v>
      </c>
      <c r="P395" s="382">
        <f t="shared" ca="1" si="80"/>
        <v>1.4494437827786949E-2</v>
      </c>
      <c r="Q395" s="588"/>
    </row>
    <row r="396" spans="1:17">
      <c r="A396" s="230" t="s">
        <v>831</v>
      </c>
      <c r="B396" s="517">
        <f ca="1">$F$6*$G$17*($G$22*Mat_Sum!$D32+$G$23*Mat_Sum!$I32+$G$24*Mat_Sum!$L32+$G$25*Mat_Sum!$AG32+$G$26*Mat_Sum!$AH32+$G$27*Mat_Sum!$AK32+$G$28*Mat_Sum!$AS32+$G$29*Mat_Sum!$AM32+$G$30*Mat_Sum!$AT32+$G$31*Mat_Sum!$AR32+$G$32*Mat_Sum!$AV32)</f>
        <v>2859255.9897875329</v>
      </c>
      <c r="C396" s="419">
        <f ca="1">$F$6*$G$10*($G$35*Mat_Sum!$D32+$G$36*Mat_Sum!$E32+$G$37*Mat_Sum!$F32+$G$38*Mat_Sum!$I32+$G$39*Mat_Sum!$L32+$G$40*Mat_Sum!$AG32+$G$41*Mat_Sum!$AK32+$G$42*Mat_Sum!$AS32+$G$43*Mat_Sum!$AR32+$G$44*Mat_Sum!$AV32+$G$45*Mat_Sum!$AT32+$G$46*Mat_Sum!$BH32+$G$47*Mat_Sum!$BG32+$G$48*Mat_Sum!$BJ32+$G$49*Mat_Sum!$BI32+$G$50*Mat_Sum!$AW32)</f>
        <v>760324.23199445324</v>
      </c>
      <c r="D396" s="419">
        <f ca="1">$F$6*$G$11*($G$56*Mat_Sum!$D32+$G$57*Mat_Sum!$AG32+$G$58*Mat_Sum!$F32+$G$59*Mat_Sum!$AK32+$G$60*Mat_Sum!$I32+$G$61*Mat_Sum!$L32+$G$62*Mat_Sum!$AT32+$G$63*Mat_Sum!$AR32+$G$64*Mat_Sum!$AV32)</f>
        <v>230492.36974093018</v>
      </c>
      <c r="E396" s="419">
        <f ca="1">$F$6*$G$12*($G$67*Mat_Sum!$D32+$G$68*Mat_Sum!$F32+$G$69*Mat_Sum!$I32+$G$70*Mat_Sum!$L32+$G$71*Mat_Sum!$AG32+$G$72*Mat_Sum!$AH32+$G$73*Mat_Sum!$AK32+$G$74*Mat_Sum!$AS32+$G$75*Mat_Sum!$AR32+$G$76*Mat_Sum!$AV32)+$A$136*(G$140*4)*($A$144*Mat_Sum!$AV32+$B$144*Mat_Sum!$D32)</f>
        <v>1147160.4654282066</v>
      </c>
      <c r="F396" s="419">
        <f ca="1">$F$6*$G$13*($G$79*Mat_Sum!$D32+$G$80*Mat_Sum!$E32+$G$81*Mat_Sum!$L32+$G$82*Mat_Sum!$AG32)</f>
        <v>49798.485190262385</v>
      </c>
      <c r="G396" s="419">
        <f ca="1">$F$6*$G$14*($G$85*Mat_Sum!$D32+$G$86*Mat_Sum!$L32+$G$87*Mat_Sum!$AG32)</f>
        <v>49798.485190262385</v>
      </c>
      <c r="H396" s="419">
        <f ca="1">$F$6*$G$15*($G$90*Mat_Sum!$D32+$G$91*Mat_Sum!$L32+$G$92*Mat_Sum!$AG32+$G$93*Mat_Sum!$AV32+$G$94*Mat_Sum!$AR32)</f>
        <v>49618.14289242759</v>
      </c>
      <c r="I396" s="516"/>
      <c r="J396" s="382">
        <f t="shared" ca="1" si="74"/>
        <v>0.55557850680988041</v>
      </c>
      <c r="K396" s="382">
        <f t="shared" ca="1" si="75"/>
        <v>0.14773766427756502</v>
      </c>
      <c r="L396" s="382">
        <f t="shared" ca="1" si="76"/>
        <v>4.4786688239569813E-2</v>
      </c>
      <c r="M396" s="382">
        <f t="shared" ca="1" si="77"/>
        <v>0.2229033359483458</v>
      </c>
      <c r="N396" s="382">
        <f t="shared" ca="1" si="78"/>
        <v>9.6762822714085879E-3</v>
      </c>
      <c r="O396" s="382">
        <f t="shared" ca="1" si="79"/>
        <v>9.6762822714085879E-3</v>
      </c>
      <c r="P396" s="382">
        <f t="shared" ca="1" si="80"/>
        <v>9.6412401818217908E-3</v>
      </c>
      <c r="Q396" s="588"/>
    </row>
    <row r="397" spans="1:17">
      <c r="A397" s="230" t="s">
        <v>850</v>
      </c>
      <c r="B397" s="517">
        <f ca="1">$F$6*$G$17*($G$22*Mat_Sum!$D33+$G$23*Mat_Sum!$I33+$G$24*Mat_Sum!$L33+$G$25*Mat_Sum!$AG33+$G$26*Mat_Sum!$AH33+$G$27*Mat_Sum!$AK33+$G$28*Mat_Sum!$AS33+$G$29*Mat_Sum!$AM33+$G$30*Mat_Sum!$AT33+$G$31*Mat_Sum!$AR33+$G$32*Mat_Sum!$AV33)</f>
        <v>2867559.9896637993</v>
      </c>
      <c r="C397" s="419">
        <f ca="1">$F$6*$G$10*($G$35*Mat_Sum!$D33+$G$36*Mat_Sum!$E33+$G$37*Mat_Sum!$F33+$G$38*Mat_Sum!$I33+$G$39*Mat_Sum!$L33+$G$40*Mat_Sum!$AG33+$G$41*Mat_Sum!$AK33+$G$42*Mat_Sum!$AS33+$G$43*Mat_Sum!$AR33+$G$44*Mat_Sum!$AV33+$G$45*Mat_Sum!$AT33+$G$46*Mat_Sum!$BH33+$G$47*Mat_Sum!$BG33+$G$48*Mat_Sum!$BJ33+$G$49*Mat_Sum!$BI33+$G$50*Mat_Sum!$AW33)</f>
        <v>768523.97906554246</v>
      </c>
      <c r="D397" s="419">
        <f ca="1">$F$6*$G$11*($G$56*Mat_Sum!$D33+$G$57*Mat_Sum!$AG33+$G$58*Mat_Sum!$F33+$G$59*Mat_Sum!$AK33+$G$60*Mat_Sum!$I33+$G$61*Mat_Sum!$L33+$G$62*Mat_Sum!$AT33+$G$63*Mat_Sum!$AR33+$G$64*Mat_Sum!$AV33)</f>
        <v>232319.33661415323</v>
      </c>
      <c r="E397" s="419">
        <f ca="1">$F$6*$G$12*($G$67*Mat_Sum!$D33+$G$68*Mat_Sum!$F33+$G$69*Mat_Sum!$I33+$G$70*Mat_Sum!$L33+$G$71*Mat_Sum!$AG33+$G$72*Mat_Sum!$AH33+$G$73*Mat_Sum!$AK33+$G$74*Mat_Sum!$AS33+$G$75*Mat_Sum!$AR33+$G$76*Mat_Sum!$AV33)+$A$136*(G$140*4)*($A$144*Mat_Sum!$AV33+$B$144*Mat_Sum!$D33)</f>
        <v>1155689.2015479603</v>
      </c>
      <c r="F397" s="419">
        <f ca="1">$F$6*$G$13*($G$79*Mat_Sum!$D33+$G$80*Mat_Sum!$E33+$G$81*Mat_Sum!$L33+$G$82*Mat_Sum!$AG33)</f>
        <v>50117.920667312479</v>
      </c>
      <c r="G397" s="419">
        <f ca="1">$F$6*$G$14*($G$85*Mat_Sum!$D33+$G$86*Mat_Sum!$L33+$G$87*Mat_Sum!$AG33)</f>
        <v>50117.920667312479</v>
      </c>
      <c r="H397" s="419">
        <f ca="1">$F$6*$G$15*($G$90*Mat_Sum!$D33+$G$91*Mat_Sum!$L33+$G$92*Mat_Sum!$AG33+$G$93*Mat_Sum!$AV33+$G$94*Mat_Sum!$AR33)</f>
        <v>49785.192008628874</v>
      </c>
      <c r="I397" s="516"/>
      <c r="J397" s="382">
        <f t="shared" ca="1" si="74"/>
        <v>0.55421280715338173</v>
      </c>
      <c r="K397" s="382">
        <f t="shared" ca="1" si="75"/>
        <v>0.1485324922016846</v>
      </c>
      <c r="L397" s="382">
        <f t="shared" ca="1" si="76"/>
        <v>4.4900316703064609E-2</v>
      </c>
      <c r="M397" s="382">
        <f t="shared" ca="1" si="77"/>
        <v>0.22335984561628616</v>
      </c>
      <c r="N397" s="382">
        <f t="shared" ca="1" si="78"/>
        <v>9.6862815780109513E-3</v>
      </c>
      <c r="O397" s="382">
        <f t="shared" ca="1" si="79"/>
        <v>9.6862815780109513E-3</v>
      </c>
      <c r="P397" s="382">
        <f t="shared" ca="1" si="80"/>
        <v>9.6219751695612223E-3</v>
      </c>
      <c r="Q397" s="588"/>
    </row>
    <row r="398" spans="1:17">
      <c r="A398" s="230" t="s">
        <v>851</v>
      </c>
      <c r="B398" s="517">
        <f ca="1">$F$6*$G$17*($G$22*Mat_Sum!$D34+$G$23*Mat_Sum!$I34+$G$24*Mat_Sum!$L34+$G$25*Mat_Sum!$AG34+$G$26*Mat_Sum!$AH34+$G$27*Mat_Sum!$AK34+$G$28*Mat_Sum!$AS34+$G$29*Mat_Sum!$AM34+$G$30*Mat_Sum!$AT34+$G$31*Mat_Sum!$AR34+$G$32*Mat_Sum!$AV34)</f>
        <v>3294276.2237342959</v>
      </c>
      <c r="C398" s="419">
        <f ca="1">$F$6*$G$10*($G$35*Mat_Sum!$D34+$G$36*Mat_Sum!$E34+$G$37*Mat_Sum!$F34+$G$38*Mat_Sum!$I34+$G$39*Mat_Sum!$L34+$G$40*Mat_Sum!$AG34+$G$41*Mat_Sum!$AK34+$G$42*Mat_Sum!$AS34+$G$43*Mat_Sum!$AR34+$G$44*Mat_Sum!$AV34+$G$45*Mat_Sum!$AT34+$G$46*Mat_Sum!$BH34+$G$47*Mat_Sum!$BG34+$G$48*Mat_Sum!$BJ34+$G$49*Mat_Sum!$BI34+$G$50*Mat_Sum!$AW34)</f>
        <v>843463.09914045688</v>
      </c>
      <c r="D398" s="419">
        <f ca="1">$F$6*$G$11*($G$56*Mat_Sum!$D34+$G$57*Mat_Sum!$AG34+$G$58*Mat_Sum!$F34+$G$59*Mat_Sum!$AK34+$G$60*Mat_Sum!$I34+$G$61*Mat_Sum!$L34+$G$62*Mat_Sum!$AT34+$G$63*Mat_Sum!$AR34+$G$64*Mat_Sum!$AV34)</f>
        <v>254639.02162445715</v>
      </c>
      <c r="E398" s="419">
        <f ca="1">$F$6*$G$12*($G$67*Mat_Sum!$D34+$G$68*Mat_Sum!$F34+$G$69*Mat_Sum!$I34+$G$70*Mat_Sum!$L34+$G$71*Mat_Sum!$AG34+$G$72*Mat_Sum!$AH34+$G$73*Mat_Sum!$AK34+$G$74*Mat_Sum!$AS34+$G$75*Mat_Sum!$AR34+$G$76*Mat_Sum!$AV34)+$A$136*(G$140*4)*($A$144*Mat_Sum!$AV34+$B$144*Mat_Sum!$D34)</f>
        <v>1262810.1386043658</v>
      </c>
      <c r="F398" s="419">
        <f ca="1">$F$6*$G$13*($G$79*Mat_Sum!$D34+$G$80*Mat_Sum!$E34+$G$81*Mat_Sum!$L34+$G$82*Mat_Sum!$AG34)</f>
        <v>54583.543494734949</v>
      </c>
      <c r="G398" s="419">
        <f ca="1">$F$6*$G$14*($G$85*Mat_Sum!$D34+$G$86*Mat_Sum!$L34+$G$87*Mat_Sum!$AG34)</f>
        <v>54583.543494734949</v>
      </c>
      <c r="H398" s="419">
        <f ca="1">$F$6*$G$15*($G$90*Mat_Sum!$D34+$G$91*Mat_Sum!$L34+$G$92*Mat_Sum!$AG34+$G$93*Mat_Sum!$AV34+$G$94*Mat_Sum!$AR34)</f>
        <v>57213.239599745983</v>
      </c>
      <c r="I398" s="516"/>
      <c r="J398" s="382">
        <f t="shared" ca="1" si="74"/>
        <v>0.56587430835643382</v>
      </c>
      <c r="K398" s="382">
        <f t="shared" ca="1" si="75"/>
        <v>0.14488587642150827</v>
      </c>
      <c r="L398" s="382">
        <f t="shared" ca="1" si="76"/>
        <v>4.3740618714407091E-2</v>
      </c>
      <c r="M398" s="382">
        <f t="shared" ca="1" si="77"/>
        <v>0.21691921540149331</v>
      </c>
      <c r="N398" s="382">
        <f t="shared" ca="1" si="78"/>
        <v>9.3760883499056959E-3</v>
      </c>
      <c r="O398" s="382">
        <f t="shared" ca="1" si="79"/>
        <v>9.3760883499056959E-3</v>
      </c>
      <c r="P398" s="382">
        <f t="shared" ca="1" si="80"/>
        <v>9.8278044063461242E-3</v>
      </c>
      <c r="Q398" s="588"/>
    </row>
    <row r="399" spans="1:17">
      <c r="A399" s="571" t="s">
        <v>973</v>
      </c>
      <c r="B399" s="347"/>
      <c r="C399" s="349"/>
      <c r="D399" s="349"/>
      <c r="E399" s="349"/>
      <c r="F399" s="349"/>
      <c r="G399" s="349"/>
      <c r="H399" s="349"/>
      <c r="I399" s="348"/>
      <c r="J399" s="382"/>
      <c r="K399" s="382"/>
      <c r="L399" s="382"/>
      <c r="M399" s="382"/>
      <c r="N399" s="382"/>
      <c r="O399" s="382"/>
      <c r="P399" s="382"/>
      <c r="Q399" s="588"/>
    </row>
    <row r="400" spans="1:17">
      <c r="A400" s="230" t="s">
        <v>821</v>
      </c>
      <c r="B400" s="347">
        <f ca="1">$F$6*$G$17*($G$22*Mat_Sum!$D36+$G$23*Mat_Sum!$I36+$G$24*Mat_Sum!$L36+$G$25*Mat_Sum!$AG36+$G$26*Mat_Sum!$AH36+$G$27*Mat_Sum!$AK36+$G$28*Mat_Sum!$AS36+$G$29*Mat_Sum!$AM36+$G$30*Mat_Sum!$AT36+$G$31*Mat_Sum!$AR36+$G$32*Mat_Sum!$AV36)</f>
        <v>71.928561190605265</v>
      </c>
      <c r="C400" s="349">
        <f ca="1">$F$6*$G$10*($G$35*Mat_Sum!$D36+$G$36*Mat_Sum!$E36+$G$37*Mat_Sum!$F36+$G$38*Mat_Sum!$I36+$G$39*Mat_Sum!$L36+$G$40*Mat_Sum!$AG36+$G$41*Mat_Sum!$AK36+$G$42*Mat_Sum!$AS36+$G$43*Mat_Sum!$AR36+$G$44*Mat_Sum!$AV36+$G$45*Mat_Sum!$AT36+$G$46*Mat_Sum!$BH36+$G$47*Mat_Sum!$BG36+$G$48*Mat_Sum!$BJ36+$G$49*Mat_Sum!$BI36+$G$50*Mat_Sum!$AW36)</f>
        <v>6.8111715070416583</v>
      </c>
      <c r="D400" s="349">
        <f ca="1">$F$6*$G$11*($G$56*Mat_Sum!$D36+$G$57*Mat_Sum!$AG36+$G$58*Mat_Sum!$F36+$G$59*Mat_Sum!$AK36+$G$60*Mat_Sum!$I36+$G$61*Mat_Sum!$L36+$G$62*Mat_Sum!$AT36+$G$63*Mat_Sum!$AR36+$G$64*Mat_Sum!$AV36)</f>
        <v>1.4365792886281097</v>
      </c>
      <c r="E400" s="349">
        <f ca="1">$F$6*$G$12*($G$67*Mat_Sum!$D36+$G$68*Mat_Sum!$F36+$G$69*Mat_Sum!$I36+$G$70*Mat_Sum!$L36+$G$71*Mat_Sum!$AG36+$G$72*Mat_Sum!$AH36+$G$73*Mat_Sum!$AK36+$G$74*Mat_Sum!$AS36+$G$75*Mat_Sum!$AR36+$G$76*Mat_Sum!$AV36)+$A$136*(G$140*4)*($A$144*Mat_Sum!$AV36+$B$144*Mat_Sum!$D36)</f>
        <v>11.145945712402126</v>
      </c>
      <c r="F400" s="349">
        <f ca="1">$F$6*$G$13*($G$79*Mat_Sum!$D36+$G$80*Mat_Sum!$E36+$G$81*Mat_Sum!$L36+$G$82*Mat_Sum!$AG36)</f>
        <v>0.35042073927516543</v>
      </c>
      <c r="G400" s="349">
        <f ca="1">$F$6*$G$14*($G$85*Mat_Sum!$D36+$G$86*Mat_Sum!$L36+$G$87*Mat_Sum!$AG36)</f>
        <v>0.35042073927516543</v>
      </c>
      <c r="H400" s="349">
        <f ca="1">$F$6*$G$15*($G$90*Mat_Sum!$D36+$G$91*Mat_Sum!$L36+$G$92*Mat_Sum!$AG36+$G$93*Mat_Sum!$AV36+$G$94*Mat_Sum!$AR36)</f>
        <v>0.90295827273967411</v>
      </c>
      <c r="I400" s="348"/>
      <c r="J400" s="382">
        <f t="shared" ref="J400:P407" ca="1" si="81">B400/$G195</f>
        <v>0.7740408144328379</v>
      </c>
      <c r="K400" s="382">
        <f t="shared" ca="1" si="81"/>
        <v>7.3296680112668072E-2</v>
      </c>
      <c r="L400" s="382">
        <f t="shared" ca="1" si="81"/>
        <v>1.5459380587641807E-2</v>
      </c>
      <c r="M400" s="382">
        <f t="shared" ref="M400:M407" ca="1" si="82">E400/$G195</f>
        <v>0.11994424403944262</v>
      </c>
      <c r="N400" s="382">
        <f t="shared" ca="1" si="81"/>
        <v>3.7709631602937358E-3</v>
      </c>
      <c r="O400" s="382">
        <f t="shared" ca="1" si="81"/>
        <v>3.7709631602937358E-3</v>
      </c>
      <c r="P400" s="382">
        <f t="shared" ca="1" si="81"/>
        <v>9.7169545068221674E-3</v>
      </c>
      <c r="Q400" s="588"/>
    </row>
    <row r="401" spans="1:17">
      <c r="A401" s="230" t="s">
        <v>822</v>
      </c>
      <c r="B401" s="347">
        <f ca="1">$F$6*$G$17*($G$22*Mat_Sum!$D37+$G$23*Mat_Sum!$I37+$G$24*Mat_Sum!$L37+$G$25*Mat_Sum!$AG37+$G$26*Mat_Sum!$AH37+$G$27*Mat_Sum!$AK37+$G$28*Mat_Sum!$AS37+$G$29*Mat_Sum!$AM37+$G$30*Mat_Sum!$AT37+$G$31*Mat_Sum!$AR37+$G$32*Mat_Sum!$AV37)</f>
        <v>162.73847753536492</v>
      </c>
      <c r="C401" s="349">
        <f ca="1">$F$6*$G$10*($G$35*Mat_Sum!$D37+$G$36*Mat_Sum!$E37+$G$37*Mat_Sum!$F37+$G$38*Mat_Sum!$I37+$G$39*Mat_Sum!$L37+$G$40*Mat_Sum!$AG37+$G$41*Mat_Sum!$AK37+$G$42*Mat_Sum!$AS37+$G$43*Mat_Sum!$AR37+$G$44*Mat_Sum!$AV37+$G$45*Mat_Sum!$AT37+$G$46*Mat_Sum!$BH37+$G$47*Mat_Sum!$BG37+$G$48*Mat_Sum!$BJ37+$G$49*Mat_Sum!$BI37+$G$50*Mat_Sum!$AW37)</f>
        <v>23.943772394265281</v>
      </c>
      <c r="D401" s="349">
        <f ca="1">$F$6*$G$11*($G$56*Mat_Sum!$D37+$G$57*Mat_Sum!$AG37+$G$58*Mat_Sum!$F37+$G$59*Mat_Sum!$AK37+$G$60*Mat_Sum!$I37+$G$61*Mat_Sum!$L37+$G$62*Mat_Sum!$AT37+$G$63*Mat_Sum!$AR37+$G$64*Mat_Sum!$AV37)</f>
        <v>6.4485699970028891</v>
      </c>
      <c r="E401" s="349">
        <f ca="1">$F$6*$G$12*($G$67*Mat_Sum!$D37+$G$68*Mat_Sum!$F37+$G$69*Mat_Sum!$I37+$G$70*Mat_Sum!$L37+$G$71*Mat_Sum!$AG37+$G$72*Mat_Sum!$AH37+$G$73*Mat_Sum!$AK37+$G$74*Mat_Sum!$AS37+$G$75*Mat_Sum!$AR37+$G$76*Mat_Sum!$AV37)+$A$136*(G$140*4)*($A$144*Mat_Sum!$AV37+$B$144*Mat_Sum!$D37)</f>
        <v>36.215132985591381</v>
      </c>
      <c r="F401" s="349">
        <f ca="1">$F$6*$G$13*($G$79*Mat_Sum!$D37+$G$80*Mat_Sum!$E37+$G$81*Mat_Sum!$L37+$G$82*Mat_Sum!$AG37)</f>
        <v>1.5752015006870381</v>
      </c>
      <c r="G401" s="349">
        <f ca="1">$F$6*$G$14*($G$85*Mat_Sum!$D37+$G$86*Mat_Sum!$L37+$G$87*Mat_Sum!$AG37)</f>
        <v>1.5752015006870381</v>
      </c>
      <c r="H401" s="349">
        <f ca="1">$F$6*$G$15*($G$90*Mat_Sum!$D37+$G$91*Mat_Sum!$L37+$G$92*Mat_Sum!$AG37+$G$93*Mat_Sum!$AV37+$G$94*Mat_Sum!$AR37)</f>
        <v>2.6027128730013418</v>
      </c>
      <c r="I401" s="348"/>
      <c r="J401" s="382">
        <f t="shared" ca="1" si="81"/>
        <v>0.69221234424830125</v>
      </c>
      <c r="K401" s="382">
        <f t="shared" ca="1" si="81"/>
        <v>0.10184545824806782</v>
      </c>
      <c r="L401" s="382">
        <f t="shared" ca="1" si="81"/>
        <v>2.7429160099550525E-2</v>
      </c>
      <c r="M401" s="382">
        <f t="shared" ca="1" si="82"/>
        <v>0.15404200949202385</v>
      </c>
      <c r="N401" s="382">
        <f t="shared" ca="1" si="81"/>
        <v>6.7001605272918085E-3</v>
      </c>
      <c r="O401" s="382">
        <f t="shared" ca="1" si="81"/>
        <v>6.7001605272918085E-3</v>
      </c>
      <c r="P401" s="382">
        <f t="shared" ca="1" si="81"/>
        <v>1.1070706857473059E-2</v>
      </c>
      <c r="Q401" s="588"/>
    </row>
    <row r="402" spans="1:17">
      <c r="A402" s="230" t="s">
        <v>823</v>
      </c>
      <c r="B402" s="347">
        <f ca="1">$F$6*$G$17*($G$22*Mat_Sum!$D38+$G$23*Mat_Sum!$I38+$G$24*Mat_Sum!$L38+$G$25*Mat_Sum!$AG38+$G$26*Mat_Sum!$AH38+$G$27*Mat_Sum!$AK38+$G$28*Mat_Sum!$AS38+$G$29*Mat_Sum!$AM38+$G$30*Mat_Sum!$AT38+$G$31*Mat_Sum!$AR38+$G$32*Mat_Sum!$AV38)</f>
        <v>309.34315119663358</v>
      </c>
      <c r="C402" s="349">
        <f ca="1">$F$6*$G$10*($G$35*Mat_Sum!$D38+$G$36*Mat_Sum!$E38+$G$37*Mat_Sum!$F38+$G$38*Mat_Sum!$I38+$G$39*Mat_Sum!$L38+$G$40*Mat_Sum!$AG38+$G$41*Mat_Sum!$AK38+$G$42*Mat_Sum!$AS38+$G$43*Mat_Sum!$AR38+$G$44*Mat_Sum!$AV38+$G$45*Mat_Sum!$AT38+$G$46*Mat_Sum!$BH38+$G$47*Mat_Sum!$BG38+$G$48*Mat_Sum!$BJ38+$G$49*Mat_Sum!$BI38+$G$50*Mat_Sum!$AW38)</f>
        <v>49.76409600279375</v>
      </c>
      <c r="D402" s="349">
        <f ca="1">$F$6*$G$11*($G$56*Mat_Sum!$D38+$G$57*Mat_Sum!$AG38+$G$58*Mat_Sum!$F38+$G$59*Mat_Sum!$AK38+$G$60*Mat_Sum!$I38+$G$61*Mat_Sum!$L38+$G$62*Mat_Sum!$AT38+$G$63*Mat_Sum!$AR38+$G$64*Mat_Sum!$AV38)</f>
        <v>17.909444014392051</v>
      </c>
      <c r="E402" s="349">
        <f ca="1">$F$6*$G$12*($G$67*Mat_Sum!$D38+$G$68*Mat_Sum!$F38+$G$69*Mat_Sum!$I38+$G$70*Mat_Sum!$L38+$G$71*Mat_Sum!$AG38+$G$72*Mat_Sum!$AH38+$G$73*Mat_Sum!$AK38+$G$74*Mat_Sum!$AS38+$G$75*Mat_Sum!$AR38+$G$76*Mat_Sum!$AV38)+$A$136*(G$140*4)*($A$144*Mat_Sum!$AV38+$B$144*Mat_Sum!$D38)</f>
        <v>75.066688592020796</v>
      </c>
      <c r="F402" s="349">
        <f ca="1">$F$6*$G$13*($G$79*Mat_Sum!$D38+$G$80*Mat_Sum!$E38+$G$81*Mat_Sum!$L38+$G$82*Mat_Sum!$AG38)</f>
        <v>3.9434546274281872</v>
      </c>
      <c r="G402" s="349">
        <f ca="1">$F$6*$G$14*($G$85*Mat_Sum!$D38+$G$86*Mat_Sum!$L38+$G$87*Mat_Sum!$AG38)</f>
        <v>3.9434546274281872</v>
      </c>
      <c r="H402" s="349">
        <f ca="1">$F$6*$G$15*($G$90*Mat_Sum!$D38+$G$91*Mat_Sum!$L38+$G$92*Mat_Sum!$AG38+$G$93*Mat_Sum!$AV38+$G$94*Mat_Sum!$AR38)</f>
        <v>4.5616747425997959</v>
      </c>
      <c r="I402" s="348"/>
      <c r="J402" s="382">
        <f t="shared" ca="1" si="81"/>
        <v>0.66592436107932362</v>
      </c>
      <c r="K402" s="382">
        <f t="shared" ca="1" si="81"/>
        <v>0.10712738816798859</v>
      </c>
      <c r="L402" s="382">
        <f t="shared" ca="1" si="81"/>
        <v>3.8553738838035506E-2</v>
      </c>
      <c r="M402" s="382">
        <f t="shared" ca="1" si="82"/>
        <v>0.16159639043441024</v>
      </c>
      <c r="N402" s="382">
        <f t="shared" ca="1" si="81"/>
        <v>8.4890921071214438E-3</v>
      </c>
      <c r="O402" s="382">
        <f t="shared" ca="1" si="81"/>
        <v>8.4890921071214438E-3</v>
      </c>
      <c r="P402" s="382">
        <f t="shared" ca="1" si="81"/>
        <v>9.8199372659992321E-3</v>
      </c>
      <c r="Q402" s="588"/>
    </row>
    <row r="403" spans="1:17">
      <c r="A403" s="230" t="s">
        <v>824</v>
      </c>
      <c r="B403" s="347">
        <f ca="1">$F$6*$G$17*($G$22*Mat_Sum!$D39+$G$23*Mat_Sum!$I39+$G$24*Mat_Sum!$L39+$G$25*Mat_Sum!$AG39+$G$26*Mat_Sum!$AH39+$G$27*Mat_Sum!$AK39+$G$28*Mat_Sum!$AS39+$G$29*Mat_Sum!$AM39+$G$30*Mat_Sum!$AT39+$G$31*Mat_Sum!$AR39+$G$32*Mat_Sum!$AV39)</f>
        <v>35.205152197776769</v>
      </c>
      <c r="C403" s="349">
        <f ca="1">$F$6*$G$10*($G$35*Mat_Sum!$D39+$G$36*Mat_Sum!$E39+$G$37*Mat_Sum!$F39+$G$38*Mat_Sum!$I39+$G$39*Mat_Sum!$L39+$G$40*Mat_Sum!$AG39+$G$41*Mat_Sum!$AK39+$G$42*Mat_Sum!$AS39+$G$43*Mat_Sum!$AR39+$G$44*Mat_Sum!$AV39+$G$45*Mat_Sum!$AT39+$G$46*Mat_Sum!$BH39+$G$47*Mat_Sum!$BG39+$G$48*Mat_Sum!$BJ39+$G$49*Mat_Sum!$BI39+$G$50*Mat_Sum!$AW39)</f>
        <v>5.3089995060989521</v>
      </c>
      <c r="D403" s="349">
        <f ca="1">$F$6*$G$11*($G$56*Mat_Sum!$D39+$G$57*Mat_Sum!$AG39+$G$58*Mat_Sum!$F39+$G$59*Mat_Sum!$AK39+$G$60*Mat_Sum!$I39+$G$61*Mat_Sum!$L39+$G$62*Mat_Sum!$AT39+$G$63*Mat_Sum!$AR39+$G$64*Mat_Sum!$AV39)</f>
        <v>2.1068935204208588</v>
      </c>
      <c r="E403" s="349">
        <f ca="1">$F$6*$G$12*($G$67*Mat_Sum!$D39+$G$68*Mat_Sum!$F39+$G$69*Mat_Sum!$I39+$G$70*Mat_Sum!$L39+$G$71*Mat_Sum!$AG39+$G$72*Mat_Sum!$AH39+$G$73*Mat_Sum!$AK39+$G$74*Mat_Sum!$AS39+$G$75*Mat_Sum!$AR39+$G$76*Mat_Sum!$AV39)+$A$136*(G$140*4)*($A$144*Mat_Sum!$AV39+$B$144*Mat_Sum!$D39)</f>
        <v>7.4727595705720589</v>
      </c>
      <c r="F403" s="349">
        <f ca="1">$F$6*$G$13*($G$79*Mat_Sum!$D39+$G$80*Mat_Sum!$E39+$G$81*Mat_Sum!$L39+$G$82*Mat_Sum!$AG39)</f>
        <v>0.43731729131849306</v>
      </c>
      <c r="G403" s="349">
        <f ca="1">$F$6*$G$14*($G$85*Mat_Sum!$D39+$G$86*Mat_Sum!$L39+$G$87*Mat_Sum!$AG39)</f>
        <v>0.43731729131849306</v>
      </c>
      <c r="H403" s="349">
        <f ca="1">$F$6*$G$15*($G$90*Mat_Sum!$D39+$G$91*Mat_Sum!$L39+$G$92*Mat_Sum!$AG39+$G$93*Mat_Sum!$AV39+$G$94*Mat_Sum!$AR39)</f>
        <v>0.45701094234599382</v>
      </c>
      <c r="I403" s="348"/>
      <c r="J403" s="382">
        <f t="shared" ca="1" si="81"/>
        <v>0.68458617238761721</v>
      </c>
      <c r="K403" s="382">
        <f t="shared" ca="1" si="81"/>
        <v>0.10323681121076224</v>
      </c>
      <c r="L403" s="382">
        <f t="shared" ca="1" si="81"/>
        <v>4.0969860396293731E-2</v>
      </c>
      <c r="M403" s="382">
        <f t="shared" ca="1" si="82"/>
        <v>0.14531247707299849</v>
      </c>
      <c r="N403" s="382">
        <f t="shared" ca="1" si="81"/>
        <v>8.5039078627120335E-3</v>
      </c>
      <c r="O403" s="382">
        <f t="shared" ca="1" si="81"/>
        <v>8.5039078627120335E-3</v>
      </c>
      <c r="P403" s="382">
        <f t="shared" ca="1" si="81"/>
        <v>8.8868632069046827E-3</v>
      </c>
      <c r="Q403" s="588"/>
    </row>
    <row r="404" spans="1:17">
      <c r="A404" s="230" t="s">
        <v>825</v>
      </c>
      <c r="B404" s="347">
        <f ca="1">$F$6*$G$17*($G$22*Mat_Sum!$D40+$G$23*Mat_Sum!$I40+$G$24*Mat_Sum!$L40+$G$25*Mat_Sum!$AG40+$G$26*Mat_Sum!$AH40+$G$27*Mat_Sum!$AK40+$G$28*Mat_Sum!$AS40+$G$29*Mat_Sum!$AM40+$G$30*Mat_Sum!$AT40+$G$31*Mat_Sum!$AR40+$G$32*Mat_Sum!$AV40)</f>
        <v>30.7935362328755</v>
      </c>
      <c r="C404" s="349">
        <f ca="1">$F$6*$G$10*($G$35*Mat_Sum!$D40+$G$36*Mat_Sum!$E40+$G$37*Mat_Sum!$F40+$G$38*Mat_Sum!$I40+$G$39*Mat_Sum!$L40+$G$40*Mat_Sum!$AG40+$G$41*Mat_Sum!$AK40+$G$42*Mat_Sum!$AS40+$G$43*Mat_Sum!$AR40+$G$44*Mat_Sum!$AV40+$G$45*Mat_Sum!$AT40+$G$46*Mat_Sum!$BH40+$G$47*Mat_Sum!$BG40+$G$48*Mat_Sum!$BJ40+$G$49*Mat_Sum!$BI40+$G$50*Mat_Sum!$AW40)</f>
        <v>4.5748015981750045</v>
      </c>
      <c r="D404" s="349">
        <f ca="1">$F$6*$G$11*($G$56*Mat_Sum!$D40+$G$57*Mat_Sum!$AG40+$G$58*Mat_Sum!$F40+$G$59*Mat_Sum!$AK40+$G$60*Mat_Sum!$I40+$G$61*Mat_Sum!$L40+$G$62*Mat_Sum!$AT40+$G$63*Mat_Sum!$AR40+$G$64*Mat_Sum!$AV40)</f>
        <v>1.8046056291918917</v>
      </c>
      <c r="E404" s="349">
        <f ca="1">$F$6*$G$12*($G$67*Mat_Sum!$D40+$G$68*Mat_Sum!$F40+$G$69*Mat_Sum!$I40+$G$70*Mat_Sum!$L40+$G$71*Mat_Sum!$AG40+$G$72*Mat_Sum!$AH40+$G$73*Mat_Sum!$AK40+$G$74*Mat_Sum!$AS40+$G$75*Mat_Sum!$AR40+$G$76*Mat_Sum!$AV40)+$A$136*(G$140*4)*($A$144*Mat_Sum!$AV40+$B$144*Mat_Sum!$D40)</f>
        <v>6.4617067289841863</v>
      </c>
      <c r="F404" s="349">
        <f ca="1">$F$6*$G$13*($G$79*Mat_Sum!$D40+$G$80*Mat_Sum!$E40+$G$81*Mat_Sum!$L40+$G$82*Mat_Sum!$AG40)</f>
        <v>0.37701581038056708</v>
      </c>
      <c r="G404" s="349">
        <f ca="1">$F$6*$G$14*($G$85*Mat_Sum!$D40+$G$86*Mat_Sum!$L40+$G$87*Mat_Sum!$AG40)</f>
        <v>0.37701581038056708</v>
      </c>
      <c r="H404" s="349">
        <f ca="1">$F$6*$G$15*($G$90*Mat_Sum!$D40+$G$91*Mat_Sum!$L40+$G$92*Mat_Sum!$AG40+$G$93*Mat_Sum!$AV40+$G$94*Mat_Sum!$AR40)</f>
        <v>0.38907612786310969</v>
      </c>
      <c r="I404" s="348"/>
      <c r="J404" s="382">
        <f t="shared" ca="1" si="81"/>
        <v>0.68769714364920431</v>
      </c>
      <c r="K404" s="382">
        <f t="shared" ca="1" si="81"/>
        <v>0.10216683033850396</v>
      </c>
      <c r="L404" s="382">
        <f t="shared" ca="1" si="81"/>
        <v>4.0301384265299514E-2</v>
      </c>
      <c r="M404" s="382">
        <f t="shared" ca="1" si="82"/>
        <v>0.14430616954856684</v>
      </c>
      <c r="N404" s="382">
        <f t="shared" ca="1" si="81"/>
        <v>8.4197116546979676E-3</v>
      </c>
      <c r="O404" s="382">
        <f t="shared" ca="1" si="81"/>
        <v>8.4197116546979676E-3</v>
      </c>
      <c r="P404" s="382">
        <f t="shared" ca="1" si="81"/>
        <v>8.6890488890293896E-3</v>
      </c>
      <c r="Q404" s="588"/>
    </row>
    <row r="405" spans="1:17">
      <c r="A405" s="230" t="s">
        <v>826</v>
      </c>
      <c r="B405" s="347">
        <f ca="1">$F$6*$G$17*($G$22*Mat_Sum!$D41+$G$23*Mat_Sum!$I41+$G$24*Mat_Sum!$L41+$G$25*Mat_Sum!$AG41+$G$26*Mat_Sum!$AH41+$G$27*Mat_Sum!$AK41+$G$28*Mat_Sum!$AS41+$G$29*Mat_Sum!$AM41+$G$30*Mat_Sum!$AT41+$G$31*Mat_Sum!$AR41+$G$32*Mat_Sum!$AV41)</f>
        <v>245.78923973345169</v>
      </c>
      <c r="C405" s="349">
        <f ca="1">$F$6*$G$10*($G$35*Mat_Sum!$D41+$G$36*Mat_Sum!$E41+$G$37*Mat_Sum!$F41+$G$38*Mat_Sum!$I41+$G$39*Mat_Sum!$L41+$G$40*Mat_Sum!$AG41+$G$41*Mat_Sum!$AK41+$G$42*Mat_Sum!$AS41+$G$43*Mat_Sum!$AR41+$G$44*Mat_Sum!$AV41+$G$45*Mat_Sum!$AT41+$G$46*Mat_Sum!$BH41+$G$47*Mat_Sum!$BG41+$G$48*Mat_Sum!$BJ41+$G$49*Mat_Sum!$BI41+$G$50*Mat_Sum!$AW41)</f>
        <v>47.824555429238472</v>
      </c>
      <c r="D405" s="349">
        <f ca="1">$F$6*$G$11*($G$56*Mat_Sum!$D41+$G$57*Mat_Sum!$AG41+$G$58*Mat_Sum!$F41+$G$59*Mat_Sum!$AK41+$G$60*Mat_Sum!$I41+$G$61*Mat_Sum!$L41+$G$62*Mat_Sum!$AT41+$G$63*Mat_Sum!$AR41+$G$64*Mat_Sum!$AV41)</f>
        <v>18.326202814493183</v>
      </c>
      <c r="E405" s="349">
        <f ca="1">$F$6*$G$12*($G$67*Mat_Sum!$D41+$G$68*Mat_Sum!$F41+$G$69*Mat_Sum!$I41+$G$70*Mat_Sum!$L41+$G$71*Mat_Sum!$AG41+$G$72*Mat_Sum!$AH41+$G$73*Mat_Sum!$AK41+$G$74*Mat_Sum!$AS41+$G$75*Mat_Sum!$AR41+$G$76*Mat_Sum!$AV41)+$A$136*(G$140*4)*($A$144*Mat_Sum!$AV41+$B$144*Mat_Sum!$D41)</f>
        <v>59.105438646335671</v>
      </c>
      <c r="F405" s="349">
        <f ca="1">$F$6*$G$13*($G$79*Mat_Sum!$D41+$G$80*Mat_Sum!$E41+$G$81*Mat_Sum!$L41+$G$82*Mat_Sum!$AG41)</f>
        <v>3.6460949861542922</v>
      </c>
      <c r="G405" s="349">
        <f ca="1">$F$6*$G$14*($G$85*Mat_Sum!$D41+$G$86*Mat_Sum!$L41+$G$87*Mat_Sum!$AG41)</f>
        <v>3.6460949861542922</v>
      </c>
      <c r="H405" s="349">
        <f ca="1">$F$6*$G$15*($G$90*Mat_Sum!$D41+$G$91*Mat_Sum!$L41+$G$92*Mat_Sum!$AG41+$G$93*Mat_Sum!$AV41+$G$94*Mat_Sum!$AR41)</f>
        <v>4.6195900069504665</v>
      </c>
      <c r="I405" s="348"/>
      <c r="J405" s="382">
        <f t="shared" ca="1" si="81"/>
        <v>0.64181905726664057</v>
      </c>
      <c r="K405" s="382">
        <f t="shared" ca="1" si="81"/>
        <v>0.12488224103332261</v>
      </c>
      <c r="L405" s="382">
        <f t="shared" ca="1" si="81"/>
        <v>4.7854439138307225E-2</v>
      </c>
      <c r="M405" s="382">
        <f t="shared" ca="1" si="82"/>
        <v>0.15433953476751613</v>
      </c>
      <c r="N405" s="382">
        <f t="shared" ca="1" si="81"/>
        <v>9.5208937919981796E-3</v>
      </c>
      <c r="O405" s="382">
        <f t="shared" ca="1" si="81"/>
        <v>9.5208937919981796E-3</v>
      </c>
      <c r="P405" s="382">
        <f t="shared" ca="1" si="81"/>
        <v>1.2062940210217088E-2</v>
      </c>
      <c r="Q405" s="588"/>
    </row>
    <row r="406" spans="1:17">
      <c r="A406" s="230" t="s">
        <v>827</v>
      </c>
      <c r="B406" s="347">
        <f ca="1">$F$6*$G$17*($G$22*Mat_Sum!$D42+$G$23*Mat_Sum!$I42+$G$24*Mat_Sum!$L42+$G$25*Mat_Sum!$AG42+$G$26*Mat_Sum!$AH42+$G$27*Mat_Sum!$AK42+$G$28*Mat_Sum!$AS42+$G$29*Mat_Sum!$AM42+$G$30*Mat_Sum!$AT42+$G$31*Mat_Sum!$AR42+$G$32*Mat_Sum!$AV42)</f>
        <v>1.8738179979403635</v>
      </c>
      <c r="C406" s="349">
        <f ca="1">$F$6*$G$10*($G$35*Mat_Sum!$D42+$G$36*Mat_Sum!$E42+$G$37*Mat_Sum!$F42+$G$38*Mat_Sum!$I42+$G$39*Mat_Sum!$L42+$G$40*Mat_Sum!$AG42+$G$41*Mat_Sum!$AK42+$G$42*Mat_Sum!$AS42+$G$43*Mat_Sum!$AR42+$G$44*Mat_Sum!$AV42+$G$45*Mat_Sum!$AT42+$G$46*Mat_Sum!$BH42+$G$47*Mat_Sum!$BG42+$G$48*Mat_Sum!$BJ42+$G$49*Mat_Sum!$BI42+$G$50*Mat_Sum!$AW42)</f>
        <v>0.25406240051997198</v>
      </c>
      <c r="D406" s="349">
        <f ca="1">$F$6*$G$11*($G$56*Mat_Sum!$D42+$G$57*Mat_Sum!$AG42+$G$58*Mat_Sum!$F42+$G$59*Mat_Sum!$AK42+$G$60*Mat_Sum!$I42+$G$61*Mat_Sum!$L42+$G$62*Mat_Sum!$AT42+$G$63*Mat_Sum!$AR42+$G$64*Mat_Sum!$AV42)</f>
        <v>9.4741575473394901E-2</v>
      </c>
      <c r="E406" s="349">
        <f ca="1">$F$6*$G$12*($G$67*Mat_Sum!$D42+$G$68*Mat_Sum!$F42+$G$69*Mat_Sum!$I42+$G$70*Mat_Sum!$L42+$G$71*Mat_Sum!$AG42+$G$72*Mat_Sum!$AH42+$G$73*Mat_Sum!$AK42+$G$74*Mat_Sum!$AS42+$G$75*Mat_Sum!$AR42+$G$76*Mat_Sum!$AV42)+$A$136*(G$140*4)*($A$144*Mat_Sum!$AV42+$B$144*Mat_Sum!$D42)</f>
        <v>0.38403033081403237</v>
      </c>
      <c r="F406" s="349">
        <f ca="1">$F$6*$G$13*($G$79*Mat_Sum!$D42+$G$80*Mat_Sum!$E42+$G$81*Mat_Sum!$L42+$G$82*Mat_Sum!$AG42)</f>
        <v>2.0181116413688641E-2</v>
      </c>
      <c r="G406" s="349">
        <f ca="1">$F$6*$G$14*($G$85*Mat_Sum!$D42+$G$86*Mat_Sum!$L42+$G$87*Mat_Sum!$AG42)</f>
        <v>2.0181116413688641E-2</v>
      </c>
      <c r="H406" s="349">
        <f ca="1">$F$6*$G$15*($G$90*Mat_Sum!$D42+$G$91*Mat_Sum!$L42+$G$92*Mat_Sum!$AG42+$G$93*Mat_Sum!$AV42+$G$94*Mat_Sum!$AR42)</f>
        <v>2.2921573080004257E-2</v>
      </c>
      <c r="I406" s="348"/>
      <c r="J406" s="382">
        <f t="shared" ca="1" si="81"/>
        <v>0.70182128720696957</v>
      </c>
      <c r="K406" s="382">
        <f t="shared" ca="1" si="81"/>
        <v>9.5156734090401346E-2</v>
      </c>
      <c r="L406" s="382">
        <f t="shared" ca="1" si="81"/>
        <v>3.5484585228575886E-2</v>
      </c>
      <c r="M406" s="382">
        <f t="shared" ca="1" si="82"/>
        <v>0.14383502634443177</v>
      </c>
      <c r="N406" s="382">
        <f t="shared" ca="1" si="81"/>
        <v>7.5586514348227728E-3</v>
      </c>
      <c r="O406" s="382">
        <f t="shared" ca="1" si="81"/>
        <v>7.5586514348227728E-3</v>
      </c>
      <c r="P406" s="382">
        <f t="shared" ca="1" si="81"/>
        <v>8.5850642599757943E-3</v>
      </c>
      <c r="Q406" s="588"/>
    </row>
    <row r="407" spans="1:17">
      <c r="A407" s="589" t="s">
        <v>828</v>
      </c>
      <c r="B407" s="503">
        <f ca="1">$F$6*$G$17*($G$22*Mat_Sum!$D43+$G$23*Mat_Sum!$I43+$G$24*Mat_Sum!$L43+$G$25*Mat_Sum!$AG43+$G$26*Mat_Sum!$AH43+$G$27*Mat_Sum!$AK43+$G$28*Mat_Sum!$AS43+$G$29*Mat_Sum!$AM43+$G$30*Mat_Sum!$AT43+$G$31*Mat_Sum!$AR43+$G$32*Mat_Sum!$AV43)</f>
        <v>7.5184987596691375</v>
      </c>
      <c r="C407" s="505">
        <f ca="1">$F$6*$G$10*($G$35*Mat_Sum!$D43+$G$36*Mat_Sum!$E43+$G$37*Mat_Sum!$F43+$G$38*Mat_Sum!$I43+$G$39*Mat_Sum!$L43+$G$40*Mat_Sum!$AG43+$G$41*Mat_Sum!$AK43+$G$42*Mat_Sum!$AS43+$G$43*Mat_Sum!$AR43+$G$44*Mat_Sum!$AV43+$G$45*Mat_Sum!$AT43+$G$46*Mat_Sum!$BH43+$G$47*Mat_Sum!$BG43+$G$48*Mat_Sum!$BJ43+$G$49*Mat_Sum!$BI43+$G$50*Mat_Sum!$AW43)</f>
        <v>1.0613957938957079</v>
      </c>
      <c r="D407" s="505">
        <f ca="1">$F$6*$G$11*($G$56*Mat_Sum!$D43+$G$57*Mat_Sum!$AG43+$G$58*Mat_Sum!$F43+$G$59*Mat_Sum!$AK43+$G$60*Mat_Sum!$I43+$G$61*Mat_Sum!$L43+$G$62*Mat_Sum!$AT43+$G$63*Mat_Sum!$AR43+$G$64*Mat_Sum!$AV43)</f>
        <v>0.35959572433270409</v>
      </c>
      <c r="E407" s="505">
        <f ca="1">$F$6*$G$12*($G$67*Mat_Sum!$D43+$G$68*Mat_Sum!$F43+$G$69*Mat_Sum!$I43+$G$70*Mat_Sum!$L43+$G$71*Mat_Sum!$AG43+$G$72*Mat_Sum!$AH43+$G$73*Mat_Sum!$AK43+$G$74*Mat_Sum!$AS43+$G$75*Mat_Sum!$AR43+$G$76*Mat_Sum!$AV43)+$A$136*(G$140*4)*($A$144*Mat_Sum!$AV43+$B$144*Mat_Sum!$D43)</f>
        <v>1.4211642725842497</v>
      </c>
      <c r="F407" s="505">
        <f ca="1">$F$6*$G$13*($G$79*Mat_Sum!$D43+$G$80*Mat_Sum!$E43+$G$81*Mat_Sum!$L43+$G$82*Mat_Sum!$AG43)</f>
        <v>8.2553954677767827E-2</v>
      </c>
      <c r="G407" s="505">
        <f ca="1">$F$6*$G$14*($G$85*Mat_Sum!$D43+$G$86*Mat_Sum!$L43+$G$87*Mat_Sum!$AG43)</f>
        <v>8.2553954677767827E-2</v>
      </c>
      <c r="H407" s="505">
        <f ca="1">$F$6*$G$15*($G$90*Mat_Sum!$D43+$G$91*Mat_Sum!$L43+$G$92*Mat_Sum!$AG43+$G$93*Mat_Sum!$AV43+$G$94*Mat_Sum!$AR43)</f>
        <v>7.7781945798859511E-2</v>
      </c>
      <c r="I407" s="502"/>
      <c r="J407" s="368">
        <f t="shared" ca="1" si="81"/>
        <v>0.70905524342150761</v>
      </c>
      <c r="K407" s="368">
        <f t="shared" ca="1" si="81"/>
        <v>0.10009820804178789</v>
      </c>
      <c r="L407" s="368">
        <f t="shared" ca="1" si="81"/>
        <v>3.3912785251464128E-2</v>
      </c>
      <c r="M407" s="368">
        <f t="shared" ca="1" si="82"/>
        <v>0.13402728542626235</v>
      </c>
      <c r="N407" s="368">
        <f t="shared" ca="1" si="81"/>
        <v>7.7855056309178283E-3</v>
      </c>
      <c r="O407" s="368">
        <f t="shared" ca="1" si="81"/>
        <v>7.7855056309178283E-3</v>
      </c>
      <c r="P407" s="368">
        <f t="shared" ca="1" si="81"/>
        <v>7.3354665971423101E-3</v>
      </c>
      <c r="Q407" s="428"/>
    </row>
    <row r="409" spans="1:17">
      <c r="A409" s="111" t="s">
        <v>1883</v>
      </c>
    </row>
    <row r="410" spans="1:17">
      <c r="A410" s="238"/>
      <c r="B410" s="3007" t="s">
        <v>1875</v>
      </c>
      <c r="C410" s="3005"/>
      <c r="D410" s="3005"/>
      <c r="E410" s="3005"/>
      <c r="F410" s="3005"/>
      <c r="G410" s="3005"/>
      <c r="H410" s="3005"/>
      <c r="I410" s="3006"/>
      <c r="J410" s="3005" t="s">
        <v>1876</v>
      </c>
      <c r="K410" s="3005"/>
      <c r="L410" s="3005"/>
      <c r="M410" s="3005"/>
      <c r="N410" s="3005"/>
      <c r="O410" s="3005"/>
      <c r="P410" s="3005"/>
      <c r="Q410" s="3006"/>
    </row>
    <row r="411" spans="1:17" ht="51">
      <c r="A411" s="230"/>
      <c r="B411" s="923" t="s">
        <v>250</v>
      </c>
      <c r="C411" s="924" t="s">
        <v>182</v>
      </c>
      <c r="D411" s="924" t="s">
        <v>183</v>
      </c>
      <c r="E411" s="924" t="s">
        <v>184</v>
      </c>
      <c r="F411" s="924" t="s">
        <v>185</v>
      </c>
      <c r="G411" s="924" t="s">
        <v>186</v>
      </c>
      <c r="H411" s="670" t="s">
        <v>187</v>
      </c>
      <c r="I411" s="953" t="s">
        <v>1860</v>
      </c>
      <c r="J411" s="923" t="s">
        <v>250</v>
      </c>
      <c r="K411" s="924" t="s">
        <v>182</v>
      </c>
      <c r="L411" s="924" t="s">
        <v>183</v>
      </c>
      <c r="M411" s="924" t="s">
        <v>184</v>
      </c>
      <c r="N411" s="924" t="s">
        <v>185</v>
      </c>
      <c r="O411" s="924" t="s">
        <v>186</v>
      </c>
      <c r="P411" s="670" t="s">
        <v>187</v>
      </c>
      <c r="Q411" s="953" t="s">
        <v>1860</v>
      </c>
    </row>
    <row r="412" spans="1:17">
      <c r="A412" s="571" t="s">
        <v>1877</v>
      </c>
      <c r="B412" s="895"/>
      <c r="C412" s="446"/>
      <c r="D412" s="446"/>
      <c r="E412" s="446"/>
      <c r="I412" s="395"/>
      <c r="J412" s="446"/>
      <c r="K412" s="446"/>
      <c r="L412" s="446"/>
      <c r="M412" s="446"/>
      <c r="Q412" s="395"/>
    </row>
    <row r="413" spans="1:17">
      <c r="A413" s="230" t="s">
        <v>816</v>
      </c>
      <c r="B413" s="347">
        <f ca="1">$G$6*$H$17*($H$22*Mat_Sum!$D15+$H$23*Mat_Sum!$I15+$H$24*Mat_Sum!$L15+$H$25*Mat_Sum!$AG15+$H$26*Mat_Sum!$AH15+$H$27*Mat_Sum!$AK15+$H$28*Mat_Sum!$AS15+$H$29*Mat_Sum!$AM15+$H$30*Mat_Sum!$AT15+$H$31*Mat_Sum!$AR15+$H$32*Mat_Sum!$AV15)</f>
        <v>25.741696036979018</v>
      </c>
      <c r="C413" s="349">
        <f ca="1">$G$6*$H$10*($H$35*Mat_Sum!$D15+$H$36*Mat_Sum!$E15+$H$37*Mat_Sum!$F15+$H$38*Mat_Sum!$I15+$H$39*Mat_Sum!$L15+$H$40*Mat_Sum!$AG15+$H$41*Mat_Sum!$AK15+$H$42*Mat_Sum!$AS15+$H$43*Mat_Sum!$AR15+$H$44*Mat_Sum!$AV15+$H$45*Mat_Sum!$AT15+$H$46*Mat_Sum!$BH15+$H$47*Mat_Sum!$BG15+$H$48*Mat_Sum!$BJ15+$H$49*Mat_Sum!$BI15+$H$50*Mat_Sum!$AW15)</f>
        <v>2.531790390239097</v>
      </c>
      <c r="D413" s="349">
        <f ca="1">$G$6*$H$11*($H$56*Mat_Sum!$D15+$H$57*Mat_Sum!$AG15+$H$58*Mat_Sum!$F15+$H$59*Mat_Sum!$AK15+$H$60*Mat_Sum!$I15+$H$61*Mat_Sum!$L15+$H$62*Mat_Sum!$AT15+$H$63*Mat_Sum!$AR15+$H$64*Mat_Sum!$AV15)</f>
        <v>3.1981311738185374</v>
      </c>
      <c r="E413" s="349">
        <f ca="1">$G$6*$H$12*($H$67*Mat_Sum!$D15+$H$68*Mat_Sum!$F15+$H$69*Mat_Sum!$I15+$H$70*Mat_Sum!$L15+$H$71*Mat_Sum!$AG15+$H$72*Mat_Sum!$AH15+$H$73*Mat_Sum!$AK15+$H$74*Mat_Sum!$AS15+$H$75*Mat_Sum!$AR15+$H$76*Mat_Sum!$AV15)+$A$136*(H$140*4)*($A$144*Mat_Sum!$AV15+$B$144*Mat_Sum!$D15)</f>
        <v>15.15870088067555</v>
      </c>
      <c r="F413" s="349">
        <f ca="1">$G$6*$H$13*($H$79*Mat_Sum!$D15+$H$80*Mat_Sum!$E15+$H$81*Mat_Sum!$L15+$H$82*Mat_Sum!$AG15)</f>
        <v>4.2488131499195738</v>
      </c>
      <c r="G413" s="349">
        <f ca="1">$G$6*$H$14*($H$85*Mat_Sum!$D15+$H$86*Mat_Sum!$L15+$H$87*Mat_Sum!$AG15)</f>
        <v>0</v>
      </c>
      <c r="H413" s="349">
        <f ca="1">$G$6*$H$15*($H$90*Mat_Sum!$D15+$H$91*Mat_Sum!$L15+$H$92*Mat_Sum!$AG15+$H$93*Mat_Sum!$AV15+$H$94*Mat_Sum!$AR15)</f>
        <v>3.4026774337983441</v>
      </c>
      <c r="I413" s="348"/>
      <c r="J413" s="382">
        <f t="shared" ref="J413:P418" ca="1" si="83">B413/$H174</f>
        <v>0.4742232523229013</v>
      </c>
      <c r="K413" s="382">
        <f t="shared" ca="1" si="83"/>
        <v>4.6641599346612266E-2</v>
      </c>
      <c r="L413" s="382">
        <f t="shared" ca="1" si="83"/>
        <v>5.8917181075589783E-2</v>
      </c>
      <c r="M413" s="382">
        <f t="shared" ref="M413:M418" ca="1" si="84">E413/$H174</f>
        <v>0.27925931618092498</v>
      </c>
      <c r="N413" s="382">
        <f t="shared" ca="1" si="83"/>
        <v>7.8273241497868032E-2</v>
      </c>
      <c r="O413" s="382">
        <f t="shared" ca="1" si="83"/>
        <v>0</v>
      </c>
      <c r="P413" s="382">
        <f t="shared" ca="1" si="83"/>
        <v>6.2685409576103676E-2</v>
      </c>
      <c r="Q413" s="588"/>
    </row>
    <row r="414" spans="1:17">
      <c r="A414" s="230" t="s">
        <v>817</v>
      </c>
      <c r="B414" s="347">
        <f ca="1">$G$6*$H$17*($H$22*Mat_Sum!$D16+$H$23*Mat_Sum!$I16+$H$24*Mat_Sum!$L16+$H$25*Mat_Sum!$AG16+$H$26*Mat_Sum!$AH16+$H$27*Mat_Sum!$AK16+$H$28*Mat_Sum!$AS16+$H$29*Mat_Sum!$AM16+$H$30*Mat_Sum!$AT16+$H$31*Mat_Sum!$AR16+$H$32*Mat_Sum!$AV16)</f>
        <v>23.772694825628715</v>
      </c>
      <c r="C414" s="349">
        <f ca="1">$G$6*$H$10*($H$35*Mat_Sum!$D16+$H$36*Mat_Sum!$E16+$H$37*Mat_Sum!$F16+$H$38*Mat_Sum!$I16+$H$39*Mat_Sum!$L16+$H$40*Mat_Sum!$AG16+$H$41*Mat_Sum!$AK16+$H$42*Mat_Sum!$AS16+$H$43*Mat_Sum!$AR16+$H$44*Mat_Sum!$AV16+$H$45*Mat_Sum!$AT16+$H$46*Mat_Sum!$BH16+$H$47*Mat_Sum!$BG16+$H$48*Mat_Sum!$BJ16+$H$49*Mat_Sum!$BI16+$H$50*Mat_Sum!$AW16)</f>
        <v>2.3792243693406219</v>
      </c>
      <c r="D414" s="349">
        <f ca="1">$G$6*$H$11*($H$56*Mat_Sum!$D16+$H$57*Mat_Sum!$AG16+$H$58*Mat_Sum!$F16+$H$59*Mat_Sum!$AK16+$H$60*Mat_Sum!$I16+$H$61*Mat_Sum!$L16+$H$62*Mat_Sum!$AT16+$H$63*Mat_Sum!$AR16+$H$64*Mat_Sum!$AV16)</f>
        <v>2.4839244353525203</v>
      </c>
      <c r="E414" s="349">
        <f ca="1">$G$6*$H$12*($H$67*Mat_Sum!$D16+$H$68*Mat_Sum!$F16+$H$69*Mat_Sum!$I16+$H$70*Mat_Sum!$L16+$H$71*Mat_Sum!$AG16+$H$72*Mat_Sum!$AH16+$H$73*Mat_Sum!$AK16+$H$74*Mat_Sum!$AS16+$H$75*Mat_Sum!$AR16+$H$76*Mat_Sum!$AV16)+$A$136*(H$140*4)*($A$144*Mat_Sum!$AV16+$B$144*Mat_Sum!$D16)</f>
        <v>13.752189025172715</v>
      </c>
      <c r="F414" s="349">
        <f ca="1">$G$6*$H$13*($H$79*Mat_Sum!$D16+$H$80*Mat_Sum!$E16+$H$81*Mat_Sum!$L16+$H$82*Mat_Sum!$AG16)</f>
        <v>3.5245113261556091</v>
      </c>
      <c r="G414" s="349">
        <f ca="1">$G$6*$H$14*($H$85*Mat_Sum!$D16+$H$86*Mat_Sum!$L16+$H$87*Mat_Sum!$AG16)</f>
        <v>0</v>
      </c>
      <c r="H414" s="349">
        <f ca="1">$G$6*$H$15*($H$90*Mat_Sum!$D16+$H$91*Mat_Sum!$L16+$H$92*Mat_Sum!$AG16+$H$93*Mat_Sum!$AV16+$H$94*Mat_Sum!$AR16)</f>
        <v>2.9256802141906317</v>
      </c>
      <c r="I414" s="348"/>
      <c r="J414" s="382">
        <f t="shared" ca="1" si="83"/>
        <v>0.48676411186247154</v>
      </c>
      <c r="K414" s="382">
        <f t="shared" ca="1" si="83"/>
        <v>4.8716438988443876E-2</v>
      </c>
      <c r="L414" s="382">
        <f t="shared" ca="1" si="83"/>
        <v>5.0860252932047809E-2</v>
      </c>
      <c r="M414" s="382">
        <f t="shared" ca="1" si="84"/>
        <v>0.28158659025001753</v>
      </c>
      <c r="N414" s="382">
        <f t="shared" ca="1" si="83"/>
        <v>7.2167065535027511E-2</v>
      </c>
      <c r="O414" s="382">
        <f t="shared" ca="1" si="83"/>
        <v>0</v>
      </c>
      <c r="P414" s="382">
        <f t="shared" ca="1" si="83"/>
        <v>5.9905540431992012E-2</v>
      </c>
      <c r="Q414" s="588"/>
    </row>
    <row r="415" spans="1:17">
      <c r="A415" s="230" t="s">
        <v>805</v>
      </c>
      <c r="B415" s="347">
        <f ca="1">$G$6*$H$17*($H$22*Mat_Sum!$D17+$H$23*Mat_Sum!$I17+$H$24*Mat_Sum!$L17+$H$25*Mat_Sum!$AG17+$H$26*Mat_Sum!$AH17+$H$27*Mat_Sum!$AK17+$H$28*Mat_Sum!$AS17+$H$29*Mat_Sum!$AM17+$H$30*Mat_Sum!$AT17+$H$31*Mat_Sum!$AR17+$H$32*Mat_Sum!$AV17)</f>
        <v>8.1364173332012228</v>
      </c>
      <c r="C415" s="349">
        <f ca="1">$G$6*$H$10*($H$35*Mat_Sum!$D17+$H$36*Mat_Sum!$E17+$H$37*Mat_Sum!$F17+$H$38*Mat_Sum!$I17+$H$39*Mat_Sum!$L17+$H$40*Mat_Sum!$AG17+$H$41*Mat_Sum!$AK17+$H$42*Mat_Sum!$AS17+$H$43*Mat_Sum!$AR17+$H$44*Mat_Sum!$AV17+$H$45*Mat_Sum!$AT17+$H$46*Mat_Sum!$BH17+$H$47*Mat_Sum!$BG17+$H$48*Mat_Sum!$BJ17+$H$49*Mat_Sum!$BI17+$H$50*Mat_Sum!$AW17)</f>
        <v>0.65706466096665961</v>
      </c>
      <c r="D415" s="349">
        <f ca="1">$G$6*$H$11*($H$56*Mat_Sum!$D17+$H$57*Mat_Sum!$AG17+$H$58*Mat_Sum!$F17+$H$59*Mat_Sum!$AK17+$H$60*Mat_Sum!$I17+$H$61*Mat_Sum!$L17+$H$62*Mat_Sum!$AT17+$H$63*Mat_Sum!$AR17+$H$64*Mat_Sum!$AV17)</f>
        <v>1.198768119600546</v>
      </c>
      <c r="E415" s="349">
        <f ca="1">$G$6*$H$12*($H$67*Mat_Sum!$D17+$H$68*Mat_Sum!$F17+$H$69*Mat_Sum!$I17+$H$70*Mat_Sum!$L17+$H$71*Mat_Sum!$AG17+$H$72*Mat_Sum!$AH17+$H$73*Mat_Sum!$AK17+$H$74*Mat_Sum!$AS17+$H$75*Mat_Sum!$AR17+$H$76*Mat_Sum!$AV17)+$A$136*(H$140*4)*($A$144*Mat_Sum!$AV17+$B$144*Mat_Sum!$D17)</f>
        <v>4.7924284297504771</v>
      </c>
      <c r="F415" s="349">
        <f ca="1">$G$6*$H$13*($H$79*Mat_Sum!$D17+$H$80*Mat_Sum!$E17+$H$81*Mat_Sum!$L17+$H$82*Mat_Sum!$AG17)</f>
        <v>1.3467717234253134</v>
      </c>
      <c r="G415" s="349">
        <f ca="1">$G$6*$H$14*($H$85*Mat_Sum!$D17+$H$86*Mat_Sum!$L17+$H$87*Mat_Sum!$AG17)</f>
        <v>0</v>
      </c>
      <c r="H415" s="349">
        <f ca="1">$G$6*$H$15*($H$90*Mat_Sum!$D17+$H$91*Mat_Sum!$L17+$H$92*Mat_Sum!$AG17+$H$93*Mat_Sum!$AV17+$H$94*Mat_Sum!$AR17)</f>
        <v>0.44661059596849734</v>
      </c>
      <c r="I415" s="348"/>
      <c r="J415" s="382">
        <f t="shared" ca="1" si="83"/>
        <v>0.49079427325565261</v>
      </c>
      <c r="K415" s="382">
        <f t="shared" ca="1" si="83"/>
        <v>3.9634590945229246E-2</v>
      </c>
      <c r="L415" s="382">
        <f t="shared" ca="1" si="83"/>
        <v>7.2310515054408248E-2</v>
      </c>
      <c r="M415" s="382">
        <f t="shared" ca="1" si="84"/>
        <v>0.2890825693897508</v>
      </c>
      <c r="N415" s="382">
        <f t="shared" ca="1" si="83"/>
        <v>8.1238193933659483E-2</v>
      </c>
      <c r="O415" s="382">
        <f t="shared" ca="1" si="83"/>
        <v>0</v>
      </c>
      <c r="P415" s="382">
        <f t="shared" ca="1" si="83"/>
        <v>2.6939857421299708E-2</v>
      </c>
      <c r="Q415" s="588"/>
    </row>
    <row r="416" spans="1:17">
      <c r="A416" s="230" t="s">
        <v>804</v>
      </c>
      <c r="B416" s="347">
        <f ca="1">$G$6*$H$17*($H$22*Mat_Sum!$D18+$H$23*Mat_Sum!$I18+$H$24*Mat_Sum!$L18+$H$25*Mat_Sum!$AG18+$H$26*Mat_Sum!$AH18+$H$27*Mat_Sum!$AK18+$H$28*Mat_Sum!$AS18+$H$29*Mat_Sum!$AM18+$H$30*Mat_Sum!$AT18+$H$31*Mat_Sum!$AR18+$H$32*Mat_Sum!$AV18)</f>
        <v>11.781574745004399</v>
      </c>
      <c r="C416" s="349">
        <f ca="1">$G$6*$H$10*($H$35*Mat_Sum!$D18+$H$36*Mat_Sum!$E18+$H$37*Mat_Sum!$F18+$H$38*Mat_Sum!$I18+$H$39*Mat_Sum!$L18+$H$40*Mat_Sum!$AG18+$H$41*Mat_Sum!$AK18+$H$42*Mat_Sum!$AS18+$H$43*Mat_Sum!$AR18+$H$44*Mat_Sum!$AV18+$H$45*Mat_Sum!$AT18+$H$46*Mat_Sum!$BH18+$H$47*Mat_Sum!$BG18+$H$48*Mat_Sum!$BJ18+$H$49*Mat_Sum!$BI18+$H$50*Mat_Sum!$AW18)</f>
        <v>1.2558816551448468</v>
      </c>
      <c r="D416" s="349">
        <f ca="1">$G$6*$H$11*($H$56*Mat_Sum!$D18+$H$57*Mat_Sum!$AG18+$H$58*Mat_Sum!$F18+$H$59*Mat_Sum!$AK18+$H$60*Mat_Sum!$I18+$H$61*Mat_Sum!$L18+$H$62*Mat_Sum!$AT18+$H$63*Mat_Sum!$AR18+$H$64*Mat_Sum!$AV18)</f>
        <v>1.0340392274073724</v>
      </c>
      <c r="E416" s="349">
        <f ca="1">$G$6*$H$12*($H$67*Mat_Sum!$D18+$H$68*Mat_Sum!$F18+$H$69*Mat_Sum!$I18+$H$70*Mat_Sum!$L18+$H$71*Mat_Sum!$AG18+$H$72*Mat_Sum!$AH18+$H$73*Mat_Sum!$AK18+$H$74*Mat_Sum!$AS18+$H$75*Mat_Sum!$AR18+$H$76*Mat_Sum!$AV18)+$A$136*(H$140*4)*($A$144*Mat_Sum!$AV18+$B$144*Mat_Sum!$D18)</f>
        <v>6.6029654740207802</v>
      </c>
      <c r="F416" s="349">
        <f ca="1">F414-F415-F417</f>
        <v>1.8575701686151824</v>
      </c>
      <c r="G416" s="349">
        <f ca="1">G414-G415-G417</f>
        <v>0</v>
      </c>
      <c r="H416" s="349">
        <f ca="1">H414-H415-H417</f>
        <v>1.8478125313681701</v>
      </c>
      <c r="I416" s="348"/>
      <c r="J416" s="382">
        <f t="shared" ca="1" si="83"/>
        <v>0.48325062461024321</v>
      </c>
      <c r="K416" s="382">
        <f t="shared" ca="1" si="83"/>
        <v>5.1513113265493841E-2</v>
      </c>
      <c r="L416" s="382">
        <f t="shared" ca="1" si="83"/>
        <v>4.2413693698118579E-2</v>
      </c>
      <c r="M416" s="382">
        <f t="shared" ca="1" si="84"/>
        <v>0.2708370704818901</v>
      </c>
      <c r="N416" s="382">
        <f t="shared" ca="1" si="83"/>
        <v>7.61928658663623E-2</v>
      </c>
      <c r="O416" s="382">
        <f t="shared" ca="1" si="83"/>
        <v>0</v>
      </c>
      <c r="P416" s="382">
        <f t="shared" ca="1" si="83"/>
        <v>7.5792632077892025E-2</v>
      </c>
      <c r="Q416" s="588"/>
    </row>
    <row r="417" spans="1:17">
      <c r="A417" s="230" t="s">
        <v>818</v>
      </c>
      <c r="B417" s="347">
        <f ca="1">$G$6*$H$17*($H$22*Mat_Sum!$D19+$H$23*Mat_Sum!$I19+$H$24*Mat_Sum!$L19+$H$25*Mat_Sum!$AG19+$H$26*Mat_Sum!$AH19+$H$27*Mat_Sum!$AK19+$H$28*Mat_Sum!$AS19+$H$29*Mat_Sum!$AM19+$H$30*Mat_Sum!$AT19+$H$31*Mat_Sum!$AR19+$H$32*Mat_Sum!$AV19)</f>
        <v>3.8547027474230919</v>
      </c>
      <c r="C417" s="349">
        <f ca="1">$G$6*$H$10*($H$35*Mat_Sum!$D19+$H$36*Mat_Sum!$E19+$H$37*Mat_Sum!$F19+$H$38*Mat_Sum!$I19+$H$39*Mat_Sum!$L19+$H$40*Mat_Sum!$AG19+$H$41*Mat_Sum!$AK19+$H$42*Mat_Sum!$AS19+$H$43*Mat_Sum!$AR19+$H$44*Mat_Sum!$AV19+$H$45*Mat_Sum!$AT19+$H$46*Mat_Sum!$BH19+$H$47*Mat_Sum!$BG19+$H$48*Mat_Sum!$BJ19+$H$49*Mat_Sum!$BI19+$H$50*Mat_Sum!$AW19)</f>
        <v>0.46627805322911542</v>
      </c>
      <c r="D417" s="349">
        <f ca="1">$G$6*$H$11*($H$56*Mat_Sum!$D19+$H$57*Mat_Sum!$AG19+$H$58*Mat_Sum!$F19+$H$59*Mat_Sum!$AK19+$H$60*Mat_Sum!$I19+$H$61*Mat_Sum!$L19+$H$62*Mat_Sum!$AT19+$H$63*Mat_Sum!$AR19+$H$64*Mat_Sum!$AV19)</f>
        <v>0.251117088344602</v>
      </c>
      <c r="E417" s="349">
        <f ca="1">$G$6*$H$12*($H$67*Mat_Sum!$D19+$H$68*Mat_Sum!$F19+$H$69*Mat_Sum!$I19+$H$70*Mat_Sum!$L19+$H$71*Mat_Sum!$AG19+$H$72*Mat_Sum!$AH19+$H$73*Mat_Sum!$AK19+$H$74*Mat_Sum!$AS19+$H$75*Mat_Sum!$AR19+$H$76*Mat_Sum!$AV19)+$A$136*(H$140*4)*($A$144*Mat_Sum!$AV19+$B$144*Mat_Sum!$D19)</f>
        <v>2.3567951214014577</v>
      </c>
      <c r="F417" s="349">
        <f ca="1">$G$6*$H$13*($H$79*Mat_Sum!$D19+$H$80*Mat_Sum!$E19+$H$81*Mat_Sum!$L19+$H$82*Mat_Sum!$AG19)</f>
        <v>0.32016943411511334</v>
      </c>
      <c r="G417" s="349">
        <f ca="1">$G$6*$H$14*($H$85*Mat_Sum!$D19+$H$86*Mat_Sum!$L19+$H$87*Mat_Sum!$AG19)</f>
        <v>0</v>
      </c>
      <c r="H417" s="349">
        <f ca="1">$G$6*$H$15*($H$90*Mat_Sum!$D19+$H$91*Mat_Sum!$L19+$H$92*Mat_Sum!$AG19+$H$93*Mat_Sum!$AV19+$H$94*Mat_Sum!$AR19)</f>
        <v>0.63125708685396431</v>
      </c>
      <c r="I417" s="348"/>
      <c r="J417" s="382">
        <f t="shared" ca="1" si="83"/>
        <v>0.48915564046350896</v>
      </c>
      <c r="K417" s="382">
        <f t="shared" ca="1" si="83"/>
        <v>5.9169942458946176E-2</v>
      </c>
      <c r="L417" s="382">
        <f t="shared" ca="1" si="83"/>
        <v>3.1866358634956231E-2</v>
      </c>
      <c r="M417" s="382">
        <f t="shared" ca="1" si="84"/>
        <v>0.29907354797230173</v>
      </c>
      <c r="N417" s="382">
        <f t="shared" ca="1" si="83"/>
        <v>4.0628991355070032E-2</v>
      </c>
      <c r="O417" s="382">
        <f t="shared" ca="1" si="83"/>
        <v>0</v>
      </c>
      <c r="P417" s="382">
        <f t="shared" ca="1" si="83"/>
        <v>8.0105519115216961E-2</v>
      </c>
      <c r="Q417" s="588"/>
    </row>
    <row r="418" spans="1:17">
      <c r="A418" s="230" t="s">
        <v>819</v>
      </c>
      <c r="B418" s="517">
        <f ca="1">$G$6*$H$17*($H$22*Mat_Sum!$D20+$H$23*Mat_Sum!$I20+$H$24*Mat_Sum!$L20+$H$25*Mat_Sum!$AG20+$H$26*Mat_Sum!$AH20+$H$27*Mat_Sum!$AK20+$H$28*Mat_Sum!$AS20+$H$29*Mat_Sum!$AM20+$H$30*Mat_Sum!$AT20+$H$31*Mat_Sum!$AR20+$H$32*Mat_Sum!$AV20)</f>
        <v>948.54575635650485</v>
      </c>
      <c r="C418" s="419">
        <f ca="1">$G$6*$H$10*($H$35*Mat_Sum!$D20+$H$36*Mat_Sum!$E20+$H$37*Mat_Sum!$F20+$H$38*Mat_Sum!$I20+$H$39*Mat_Sum!$L20+$H$40*Mat_Sum!$AG20+$H$41*Mat_Sum!$AK20+$H$42*Mat_Sum!$AS20+$H$43*Mat_Sum!$AR20+$H$44*Mat_Sum!$AV20+$H$45*Mat_Sum!$AT20+$H$46*Mat_Sum!$BH20+$H$47*Mat_Sum!$BG20+$H$48*Mat_Sum!$BJ20+$H$49*Mat_Sum!$BI20+$H$50*Mat_Sum!$AW20)</f>
        <v>55.430411832364967</v>
      </c>
      <c r="D418" s="419">
        <f ca="1">$G$6*$H$11*($H$56*Mat_Sum!$D20+$H$57*Mat_Sum!$AG20+$H$58*Mat_Sum!$F20+$H$59*Mat_Sum!$AK20+$H$60*Mat_Sum!$I20+$H$61*Mat_Sum!$L20+$H$62*Mat_Sum!$AT20+$H$63*Mat_Sum!$AR20+$H$64*Mat_Sum!$AV20)</f>
        <v>394.28246598395936</v>
      </c>
      <c r="E418" s="419">
        <f ca="1">$G$6*$H$12*($H$67*Mat_Sum!$D20+$H$68*Mat_Sum!$F20+$H$69*Mat_Sum!$I20+$H$70*Mat_Sum!$L20+$H$71*Mat_Sum!$AG20+$H$72*Mat_Sum!$AH20+$H$73*Mat_Sum!$AK20+$H$74*Mat_Sum!$AS20+$H$75*Mat_Sum!$AR20+$H$76*Mat_Sum!$AV20)+$A$136*(H$140*4)*($A$144*Mat_Sum!$AV20+$B$144*Mat_Sum!$D20)</f>
        <v>724.5601649917669</v>
      </c>
      <c r="F418" s="419">
        <f ca="1">$G$6*$H$13*($H$79*Mat_Sum!$D20+$H$80*Mat_Sum!$E20+$H$81*Mat_Sum!$L20+$H$82*Mat_Sum!$AG20)</f>
        <v>364.1345125771968</v>
      </c>
      <c r="G418" s="419">
        <f ca="1">$G$6*$H$14*($H$85*Mat_Sum!$D20+$H$86*Mat_Sum!$L20+$H$87*Mat_Sum!$AG20)</f>
        <v>0</v>
      </c>
      <c r="H418" s="419">
        <f ca="1">$G$6*$H$15*($H$90*Mat_Sum!$D20+$H$91*Mat_Sum!$L20+$H$92*Mat_Sum!$AG20+$H$93*Mat_Sum!$AV20+$H$94*Mat_Sum!$AR20)</f>
        <v>273.80227030242139</v>
      </c>
      <c r="I418" s="516"/>
      <c r="J418" s="382">
        <f t="shared" ca="1" si="83"/>
        <v>0.34358193913499208</v>
      </c>
      <c r="K418" s="382">
        <f t="shared" ca="1" si="83"/>
        <v>2.007798596619019E-2</v>
      </c>
      <c r="L418" s="382">
        <f t="shared" ca="1" si="83"/>
        <v>0.14281686816042261</v>
      </c>
      <c r="M418" s="382">
        <f t="shared" ca="1" si="84"/>
        <v>0.26244995018909384</v>
      </c>
      <c r="N418" s="382">
        <f t="shared" ca="1" si="83"/>
        <v>0.13189668616284086</v>
      </c>
      <c r="O418" s="382">
        <f t="shared" ca="1" si="83"/>
        <v>0</v>
      </c>
      <c r="P418" s="382">
        <f t="shared" ca="1" si="83"/>
        <v>9.9176570386460369E-2</v>
      </c>
      <c r="Q418" s="588"/>
    </row>
    <row r="419" spans="1:17">
      <c r="A419" s="571" t="s">
        <v>964</v>
      </c>
      <c r="B419" s="347"/>
      <c r="C419" s="349"/>
      <c r="D419" s="349"/>
      <c r="E419" s="349"/>
      <c r="F419" s="349"/>
      <c r="G419" s="349"/>
      <c r="H419" s="349"/>
      <c r="I419" s="348"/>
      <c r="J419" s="382"/>
      <c r="K419" s="382"/>
      <c r="L419" s="382"/>
      <c r="M419" s="382"/>
      <c r="N419" s="382"/>
      <c r="O419" s="382"/>
      <c r="P419" s="382"/>
      <c r="Q419" s="588"/>
    </row>
    <row r="420" spans="1:17">
      <c r="A420" s="230" t="s">
        <v>821</v>
      </c>
      <c r="B420" s="347">
        <f ca="1">$G$6*$H$17*($H$22*Mat_Sum!$D22+$H$23*Mat_Sum!$I22+$H$24*Mat_Sum!$L22+$H$25*Mat_Sum!$AG22+$H$26*Mat_Sum!$AH22+$H$27*Mat_Sum!$AK22+$H$28*Mat_Sum!$AS22+$H$29*Mat_Sum!$AM22+$H$30*Mat_Sum!$AT22+$H$31*Mat_Sum!$AR22+$H$32*Mat_Sum!$AV22)</f>
        <v>1289.1948831912546</v>
      </c>
      <c r="C420" s="349">
        <f ca="1">$G$6*$H$10*($H$35*Mat_Sum!$D22+$H$36*Mat_Sum!$E22+$H$37*Mat_Sum!$F22+$H$38*Mat_Sum!$I22+$H$39*Mat_Sum!$L22+$H$40*Mat_Sum!$AG22+$H$41*Mat_Sum!$AK22+$H$42*Mat_Sum!$AS22+$H$43*Mat_Sum!$AR22+$H$44*Mat_Sum!$AV22+$H$45*Mat_Sum!$AT22+$H$46*Mat_Sum!$BH22+$H$47*Mat_Sum!$BG22+$H$48*Mat_Sum!$BJ22+$H$49*Mat_Sum!$BI22+$H$50*Mat_Sum!$AW22)</f>
        <v>93.67695834852195</v>
      </c>
      <c r="D420" s="349">
        <f ca="1">$G$6*$H$11*($H$56*Mat_Sum!$D22+$H$57*Mat_Sum!$AG22+$H$58*Mat_Sum!$F22+$H$59*Mat_Sum!$AK22+$H$60*Mat_Sum!$I22+$H$61*Mat_Sum!$L22+$H$62*Mat_Sum!$AT22+$H$63*Mat_Sum!$AR22+$H$64*Mat_Sum!$AV22)</f>
        <v>126.16350153651106</v>
      </c>
      <c r="E420" s="349">
        <f ca="1">$G$6*$H$12*($H$67*Mat_Sum!$D22+$H$68*Mat_Sum!$F22+$H$69*Mat_Sum!$I22+$H$70*Mat_Sum!$L22+$H$71*Mat_Sum!$AG22+$H$72*Mat_Sum!$AH22+$H$73*Mat_Sum!$AK22+$H$74*Mat_Sum!$AS22+$H$75*Mat_Sum!$AR22+$H$76*Mat_Sum!$AV22)+$A$136*(H$140*4)*($A$144*Mat_Sum!$AV22+$B$144*Mat_Sum!$D22)</f>
        <v>1267.2536599626594</v>
      </c>
      <c r="F420" s="349">
        <f ca="1">$G$6*$H$13*($H$79*Mat_Sum!$D22+$H$80*Mat_Sum!$E22+$H$81*Mat_Sum!$L22+$H$82*Mat_Sum!$AG22)</f>
        <v>134.63963378604006</v>
      </c>
      <c r="G420" s="349">
        <f ca="1">$G$6*$H$14*($H$85*Mat_Sum!$D22+$H$86*Mat_Sum!$L22+$H$87*Mat_Sum!$AG22)</f>
        <v>0</v>
      </c>
      <c r="H420" s="349">
        <f ca="1">$G$6*$H$15*($H$90*Mat_Sum!$D22+$H$91*Mat_Sum!$L22+$H$92*Mat_Sum!$AG22+$H$93*Mat_Sum!$AV22+$H$94*Mat_Sum!$AR22)</f>
        <v>62.568197729851903</v>
      </c>
      <c r="I420" s="348"/>
      <c r="J420" s="382">
        <f t="shared" ref="J420:J432" ca="1" si="85">B420/$H181</f>
        <v>0.43356188182532884</v>
      </c>
      <c r="K420" s="382">
        <f t="shared" ref="K420:K432" ca="1" si="86">C420/$H181</f>
        <v>3.1503971102275034E-2</v>
      </c>
      <c r="L420" s="382">
        <f t="shared" ref="L420:L432" ca="1" si="87">D420/$H181</f>
        <v>4.2429337765008568E-2</v>
      </c>
      <c r="M420" s="382">
        <f t="shared" ref="M420:M432" ca="1" si="88">E420/$H181</f>
        <v>0.42618295242018622</v>
      </c>
      <c r="N420" s="382">
        <f t="shared" ref="N420:N432" ca="1" si="89">F420/$H181</f>
        <v>4.5279898139254926E-2</v>
      </c>
      <c r="O420" s="382">
        <f t="shared" ref="O420:O432" ca="1" si="90">G420/$H181</f>
        <v>0</v>
      </c>
      <c r="P420" s="382">
        <f t="shared" ref="P420:P432" ca="1" si="91">H420/$H181</f>
        <v>2.1041958747946326E-2</v>
      </c>
      <c r="Q420" s="588"/>
    </row>
    <row r="421" spans="1:17">
      <c r="A421" s="230" t="s">
        <v>822</v>
      </c>
      <c r="B421" s="347">
        <f ca="1">$G$6*$H$17*($H$22*Mat_Sum!$D23+$H$23*Mat_Sum!$I23+$H$24*Mat_Sum!$L23+$H$25*Mat_Sum!$AG23+$H$26*Mat_Sum!$AH23+$H$27*Mat_Sum!$AK23+$H$28*Mat_Sum!$AS23+$H$29*Mat_Sum!$AM23+$H$30*Mat_Sum!$AT23+$H$31*Mat_Sum!$AR23+$H$32*Mat_Sum!$AV23)</f>
        <v>8482.0540202644133</v>
      </c>
      <c r="C421" s="349">
        <f ca="1">$G$6*$H$10*($H$35*Mat_Sum!$D23+$H$36*Mat_Sum!$E23+$H$37*Mat_Sum!$F23+$H$38*Mat_Sum!$I23+$H$39*Mat_Sum!$L23+$H$40*Mat_Sum!$AG23+$H$41*Mat_Sum!$AK23+$H$42*Mat_Sum!$AS23+$H$43*Mat_Sum!$AR23+$H$44*Mat_Sum!$AV23+$H$45*Mat_Sum!$AT23+$H$46*Mat_Sum!$BH23+$H$47*Mat_Sum!$BG23+$H$48*Mat_Sum!$BJ23+$H$49*Mat_Sum!$BI23+$H$50*Mat_Sum!$AW23)</f>
        <v>647.26147074487369</v>
      </c>
      <c r="D421" s="349">
        <f ca="1">$G$6*$H$11*($H$56*Mat_Sum!$D23+$H$57*Mat_Sum!$AG23+$H$58*Mat_Sum!$F23+$H$59*Mat_Sum!$AK23+$H$60*Mat_Sum!$I23+$H$61*Mat_Sum!$L23+$H$62*Mat_Sum!$AT23+$H$63*Mat_Sum!$AR23+$H$64*Mat_Sum!$AV23)</f>
        <v>827.84841654164438</v>
      </c>
      <c r="E421" s="349">
        <f ca="1">$G$6*$H$12*($H$67*Mat_Sum!$D23+$H$68*Mat_Sum!$F23+$H$69*Mat_Sum!$I23+$H$70*Mat_Sum!$L23+$H$71*Mat_Sum!$AG23+$H$72*Mat_Sum!$AH23+$H$73*Mat_Sum!$AK23+$H$74*Mat_Sum!$AS23+$H$75*Mat_Sum!$AR23+$H$76*Mat_Sum!$AV23)+$A$136*(H$140*4)*($A$144*Mat_Sum!$AV23+$B$144*Mat_Sum!$D23)</f>
        <v>4706.4445221298429</v>
      </c>
      <c r="F421" s="349">
        <f ca="1">$G$6*$H$13*($H$79*Mat_Sum!$D23+$H$80*Mat_Sum!$E23+$H$81*Mat_Sum!$L23+$H$82*Mat_Sum!$AG23)</f>
        <v>882.32630045105236</v>
      </c>
      <c r="G421" s="349">
        <f ca="1">$G$6*$H$14*($H$85*Mat_Sum!$D23+$H$86*Mat_Sum!$L23+$H$87*Mat_Sum!$AG23)</f>
        <v>0</v>
      </c>
      <c r="H421" s="349">
        <f ca="1">$G$6*$H$15*($H$90*Mat_Sum!$D23+$H$91*Mat_Sum!$L23+$H$92*Mat_Sum!$AG23+$H$93*Mat_Sum!$AV23+$H$94*Mat_Sum!$AR23)</f>
        <v>241.53804215138771</v>
      </c>
      <c r="I421" s="348"/>
      <c r="J421" s="382">
        <f t="shared" ca="1" si="85"/>
        <v>0.53726483919298773</v>
      </c>
      <c r="K421" s="382">
        <f t="shared" ca="1" si="86"/>
        <v>4.0998421981839818E-2</v>
      </c>
      <c r="L421" s="382">
        <f t="shared" ca="1" si="87"/>
        <v>5.2437044768497129E-2</v>
      </c>
      <c r="M421" s="382">
        <f t="shared" ca="1" si="88"/>
        <v>0.2981125978815663</v>
      </c>
      <c r="N421" s="382">
        <f t="shared" ca="1" si="89"/>
        <v>5.5887748037803817E-2</v>
      </c>
      <c r="O421" s="382">
        <f t="shared" ca="1" si="90"/>
        <v>0</v>
      </c>
      <c r="P421" s="382">
        <f t="shared" ca="1" si="91"/>
        <v>1.5299348137305198E-2</v>
      </c>
      <c r="Q421" s="588"/>
    </row>
    <row r="422" spans="1:17">
      <c r="A422" s="230" t="s">
        <v>823</v>
      </c>
      <c r="B422" s="347">
        <f ca="1">$G$6*$H$17*($H$22*Mat_Sum!$D24+$H$23*Mat_Sum!$I24+$H$24*Mat_Sum!$L24+$H$25*Mat_Sum!$AG24+$H$26*Mat_Sum!$AH24+$H$27*Mat_Sum!$AK24+$H$28*Mat_Sum!$AS24+$H$29*Mat_Sum!$AM24+$H$30*Mat_Sum!$AT24+$H$31*Mat_Sum!$AR24+$H$32*Mat_Sum!$AV24)</f>
        <v>1744.3297999021504</v>
      </c>
      <c r="C422" s="349">
        <f ca="1">$G$6*$H$10*($H$35*Mat_Sum!$D24+$H$36*Mat_Sum!$E24+$H$37*Mat_Sum!$F24+$H$38*Mat_Sum!$I24+$H$39*Mat_Sum!$L24+$H$40*Mat_Sum!$AG24+$H$41*Mat_Sum!$AK24+$H$42*Mat_Sum!$AS24+$H$43*Mat_Sum!$AR24+$H$44*Mat_Sum!$AV24+$H$45*Mat_Sum!$AT24+$H$46*Mat_Sum!$BH24+$H$47*Mat_Sum!$BG24+$H$48*Mat_Sum!$BJ24+$H$49*Mat_Sum!$BI24+$H$50*Mat_Sum!$AW24)</f>
        <v>163.87197074417205</v>
      </c>
      <c r="D422" s="349">
        <f ca="1">$G$6*$H$11*($H$56*Mat_Sum!$D24+$H$57*Mat_Sum!$AG24+$H$58*Mat_Sum!$F24+$H$59*Mat_Sum!$AK24+$H$60*Mat_Sum!$I24+$H$61*Mat_Sum!$L24+$H$62*Mat_Sum!$AT24+$H$63*Mat_Sum!$AR24+$H$64*Mat_Sum!$AV24)</f>
        <v>202.19690427772656</v>
      </c>
      <c r="E422" s="349">
        <f ca="1">$G$6*$H$12*($H$67*Mat_Sum!$D24+$H$68*Mat_Sum!$F24+$H$69*Mat_Sum!$I24+$H$70*Mat_Sum!$L24+$H$71*Mat_Sum!$AG24+$H$72*Mat_Sum!$AH24+$H$73*Mat_Sum!$AK24+$H$74*Mat_Sum!$AS24+$H$75*Mat_Sum!$AR24+$H$76*Mat_Sum!$AV24)+$A$136*(H$140*4)*($A$144*Mat_Sum!$AV24+$B$144*Mat_Sum!$D24)</f>
        <v>1209.941446466788</v>
      </c>
      <c r="F422" s="349">
        <f ca="1">$G$6*$H$13*($H$79*Mat_Sum!$D24+$H$80*Mat_Sum!$E24+$H$81*Mat_Sum!$L24+$H$82*Mat_Sum!$AG24)</f>
        <v>281.56145146243165</v>
      </c>
      <c r="G422" s="349">
        <f ca="1">$G$6*$H$14*($H$85*Mat_Sum!$D24+$H$86*Mat_Sum!$L24+$H$87*Mat_Sum!$AG24)</f>
        <v>0</v>
      </c>
      <c r="H422" s="349">
        <f ca="1">$G$6*$H$15*($H$90*Mat_Sum!$D24+$H$91*Mat_Sum!$L24+$H$92*Mat_Sum!$AG24+$H$93*Mat_Sum!$AV24+$H$94*Mat_Sum!$AR24)</f>
        <v>184.71109971097832</v>
      </c>
      <c r="I422" s="348"/>
      <c r="J422" s="382">
        <f t="shared" ca="1" si="85"/>
        <v>0.46065704383778755</v>
      </c>
      <c r="K422" s="382">
        <f t="shared" ca="1" si="86"/>
        <v>4.3276665694249622E-2</v>
      </c>
      <c r="L422" s="382">
        <f t="shared" ca="1" si="87"/>
        <v>5.3397831191644249E-2</v>
      </c>
      <c r="M422" s="382">
        <f t="shared" ca="1" si="88"/>
        <v>0.31953134663953642</v>
      </c>
      <c r="N422" s="382">
        <f t="shared" ca="1" si="89"/>
        <v>7.4357077369564095E-2</v>
      </c>
      <c r="O422" s="382">
        <f t="shared" ca="1" si="90"/>
        <v>0</v>
      </c>
      <c r="P422" s="382">
        <f t="shared" ca="1" si="91"/>
        <v>4.8780035267217928E-2</v>
      </c>
      <c r="Q422" s="588"/>
    </row>
    <row r="423" spans="1:17">
      <c r="A423" s="230" t="s">
        <v>824</v>
      </c>
      <c r="B423" s="347">
        <f ca="1">$G$6*$H$17*($H$22*Mat_Sum!$D25+$H$23*Mat_Sum!$I25+$H$24*Mat_Sum!$L25+$H$25*Mat_Sum!$AG25+$H$26*Mat_Sum!$AH25+$H$27*Mat_Sum!$AK25+$H$28*Mat_Sum!$AS25+$H$29*Mat_Sum!$AM25+$H$30*Mat_Sum!$AT25+$H$31*Mat_Sum!$AR25+$H$32*Mat_Sum!$AV25)</f>
        <v>836.11917434787267</v>
      </c>
      <c r="C423" s="349">
        <f ca="1">$G$6*$H$10*($H$35*Mat_Sum!$D25+$H$36*Mat_Sum!$E25+$H$37*Mat_Sum!$F25+$H$38*Mat_Sum!$I25+$H$39*Mat_Sum!$L25+$H$40*Mat_Sum!$AG25+$H$41*Mat_Sum!$AK25+$H$42*Mat_Sum!$AS25+$H$43*Mat_Sum!$AR25+$H$44*Mat_Sum!$AV25+$H$45*Mat_Sum!$AT25+$H$46*Mat_Sum!$BH25+$H$47*Mat_Sum!$BG25+$H$48*Mat_Sum!$BJ25+$H$49*Mat_Sum!$BI25+$H$50*Mat_Sum!$AW25)</f>
        <v>61.982886442417865</v>
      </c>
      <c r="D423" s="349">
        <f ca="1">$G$6*$H$11*($H$56*Mat_Sum!$D25+$H$57*Mat_Sum!$AG25+$H$58*Mat_Sum!$F25+$H$59*Mat_Sum!$AK25+$H$60*Mat_Sum!$I25+$H$61*Mat_Sum!$L25+$H$62*Mat_Sum!$AT25+$H$63*Mat_Sum!$AR25+$H$64*Mat_Sum!$AV25)</f>
        <v>122.2358547395055</v>
      </c>
      <c r="E423" s="349">
        <f ca="1">$G$6*$H$12*($H$67*Mat_Sum!$D25+$H$68*Mat_Sum!$F25+$H$69*Mat_Sum!$I25+$H$70*Mat_Sum!$L25+$H$71*Mat_Sum!$AG25+$H$72*Mat_Sum!$AH25+$H$73*Mat_Sum!$AK25+$H$74*Mat_Sum!$AS25+$H$75*Mat_Sum!$AR25+$H$76*Mat_Sum!$AV25)+$A$136*(H$140*4)*($A$144*Mat_Sum!$AV25+$B$144*Mat_Sum!$D25)</f>
        <v>509.07026831197527</v>
      </c>
      <c r="F423" s="349">
        <f ca="1">$G$6*$H$13*($H$79*Mat_Sum!$D25+$H$80*Mat_Sum!$E25+$H$81*Mat_Sum!$L25+$H$82*Mat_Sum!$AG25)</f>
        <v>129.84104786880675</v>
      </c>
      <c r="G423" s="349">
        <f ca="1">$G$6*$H$14*($H$85*Mat_Sum!$D25+$H$86*Mat_Sum!$L25+$H$87*Mat_Sum!$AG25)</f>
        <v>0</v>
      </c>
      <c r="H423" s="349">
        <f ca="1">$G$6*$H$15*($H$90*Mat_Sum!$D25+$H$91*Mat_Sum!$L25+$H$92*Mat_Sum!$AG25+$H$93*Mat_Sum!$AV25+$H$94*Mat_Sum!$AR25)</f>
        <v>77.094259884626169</v>
      </c>
      <c r="I423" s="348"/>
      <c r="J423" s="382">
        <f t="shared" ca="1" si="85"/>
        <v>0.48154018971195472</v>
      </c>
      <c r="K423" s="382">
        <f t="shared" ca="1" si="86"/>
        <v>3.5697364457232636E-2</v>
      </c>
      <c r="L423" s="382">
        <f t="shared" ca="1" si="87"/>
        <v>7.0398429418597128E-2</v>
      </c>
      <c r="M423" s="382">
        <f t="shared" ca="1" si="88"/>
        <v>0.29318523136472546</v>
      </c>
      <c r="N423" s="382">
        <f t="shared" ca="1" si="89"/>
        <v>7.4778434392333198E-2</v>
      </c>
      <c r="O423" s="382">
        <f t="shared" ca="1" si="90"/>
        <v>0</v>
      </c>
      <c r="P423" s="382">
        <f t="shared" ca="1" si="91"/>
        <v>4.4400350655156677E-2</v>
      </c>
      <c r="Q423" s="588"/>
    </row>
    <row r="424" spans="1:17">
      <c r="A424" s="230" t="s">
        <v>825</v>
      </c>
      <c r="B424" s="347">
        <f ca="1">$G$6*$H$17*($H$22*Mat_Sum!$D26+$H$23*Mat_Sum!$I26+$H$24*Mat_Sum!$L26+$H$25*Mat_Sum!$AG26+$H$26*Mat_Sum!$AH26+$H$27*Mat_Sum!$AK26+$H$28*Mat_Sum!$AS26+$H$29*Mat_Sum!$AM26+$H$30*Mat_Sum!$AT26+$H$31*Mat_Sum!$AR26+$H$32*Mat_Sum!$AV26)</f>
        <v>370.77767094990895</v>
      </c>
      <c r="C424" s="349">
        <f ca="1">$G$6*$H$10*($H$35*Mat_Sum!$D26+$H$36*Mat_Sum!$E26+$H$37*Mat_Sum!$F26+$H$38*Mat_Sum!$I26+$H$39*Mat_Sum!$L26+$H$40*Mat_Sum!$AG26+$H$41*Mat_Sum!$AK26+$H$42*Mat_Sum!$AS26+$H$43*Mat_Sum!$AR26+$H$44*Mat_Sum!$AV26+$H$45*Mat_Sum!$AT26+$H$46*Mat_Sum!$BH26+$H$47*Mat_Sum!$BG26+$H$48*Mat_Sum!$BJ26+$H$49*Mat_Sum!$BI26+$H$50*Mat_Sum!$AW26)</f>
        <v>26.588979919532193</v>
      </c>
      <c r="D424" s="349">
        <f ca="1">$G$6*$H$11*($H$56*Mat_Sum!$D26+$H$57*Mat_Sum!$AG26+$H$58*Mat_Sum!$F26+$H$59*Mat_Sum!$AK26+$H$60*Mat_Sum!$I26+$H$61*Mat_Sum!$L26+$H$62*Mat_Sum!$AT26+$H$63*Mat_Sum!$AR26+$H$64*Mat_Sum!$AV26)</f>
        <v>60.933513398348872</v>
      </c>
      <c r="E424" s="349">
        <f ca="1">$G$6*$H$12*($H$67*Mat_Sum!$D26+$H$68*Mat_Sum!$F26+$H$69*Mat_Sum!$I26+$H$70*Mat_Sum!$L26+$H$71*Mat_Sum!$AG26+$H$72*Mat_Sum!$AH26+$H$73*Mat_Sum!$AK26+$H$74*Mat_Sum!$AS26+$H$75*Mat_Sum!$AR26+$H$76*Mat_Sum!$AV26)+$A$136*(H$140*4)*($A$144*Mat_Sum!$AV26+$B$144*Mat_Sum!$D26)</f>
        <v>254.47307368043244</v>
      </c>
      <c r="F424" s="349">
        <f ca="1">$G$6*$H$13*($H$79*Mat_Sum!$D26+$H$80*Mat_Sum!$E26+$H$81*Mat_Sum!$L26+$H$82*Mat_Sum!$AG26)</f>
        <v>66.19199830589281</v>
      </c>
      <c r="G424" s="349">
        <f ca="1">$G$6*$H$14*($H$85*Mat_Sum!$D26+$H$86*Mat_Sum!$L26+$H$87*Mat_Sum!$AG26)</f>
        <v>0</v>
      </c>
      <c r="H424" s="349">
        <f ca="1">$G$6*$H$15*($H$90*Mat_Sum!$D26+$H$91*Mat_Sum!$L26+$H$92*Mat_Sum!$AG26+$H$93*Mat_Sum!$AV26+$H$94*Mat_Sum!$AR26)</f>
        <v>35.163958368427977</v>
      </c>
      <c r="I424" s="348"/>
      <c r="J424" s="382">
        <f t="shared" ca="1" si="85"/>
        <v>0.45542854057925475</v>
      </c>
      <c r="K424" s="382">
        <f t="shared" ca="1" si="86"/>
        <v>3.2659410932757059E-2</v>
      </c>
      <c r="L424" s="382">
        <f t="shared" ca="1" si="87"/>
        <v>7.4845016983575471E-2</v>
      </c>
      <c r="M424" s="382">
        <f t="shared" ca="1" si="88"/>
        <v>0.31257087371546038</v>
      </c>
      <c r="N424" s="382">
        <f t="shared" ca="1" si="89"/>
        <v>8.1304047002738383E-2</v>
      </c>
      <c r="O424" s="382">
        <f t="shared" ca="1" si="90"/>
        <v>0</v>
      </c>
      <c r="P424" s="382">
        <f t="shared" ca="1" si="91"/>
        <v>4.3192110786213884E-2</v>
      </c>
      <c r="Q424" s="588"/>
    </row>
    <row r="425" spans="1:17">
      <c r="A425" s="230" t="s">
        <v>826</v>
      </c>
      <c r="B425" s="347">
        <f ca="1">$G$6*$H$17*($H$22*Mat_Sum!$D27+$H$23*Mat_Sum!$I27+$H$24*Mat_Sum!$L27+$H$25*Mat_Sum!$AG27+$H$26*Mat_Sum!$AH27+$H$27*Mat_Sum!$AK27+$H$28*Mat_Sum!$AS27+$H$29*Mat_Sum!$AM27+$H$30*Mat_Sum!$AT27+$H$31*Mat_Sum!$AR27+$H$32*Mat_Sum!$AV27)</f>
        <v>7570.2827760628634</v>
      </c>
      <c r="C425" s="349">
        <f ca="1">$G$6*$H$10*($H$35*Mat_Sum!$D27+$H$36*Mat_Sum!$E27+$H$37*Mat_Sum!$F27+$H$38*Mat_Sum!$I27+$H$39*Mat_Sum!$L27+$H$40*Mat_Sum!$AG27+$H$41*Mat_Sum!$AK27+$H$42*Mat_Sum!$AS27+$H$43*Mat_Sum!$AR27+$H$44*Mat_Sum!$AV27+$H$45*Mat_Sum!$AT27+$H$46*Mat_Sum!$BH27+$H$47*Mat_Sum!$BG27+$H$48*Mat_Sum!$BJ27+$H$49*Mat_Sum!$BI27+$H$50*Mat_Sum!$AW27)</f>
        <v>2065.0349561249818</v>
      </c>
      <c r="D425" s="349">
        <f ca="1">$G$6*$H$11*($H$56*Mat_Sum!$D27+$H$57*Mat_Sum!$AG27+$H$58*Mat_Sum!$F27+$H$59*Mat_Sum!$AK27+$H$60*Mat_Sum!$I27+$H$61*Mat_Sum!$L27+$H$62*Mat_Sum!$AT27+$H$63*Mat_Sum!$AR27+$H$64*Mat_Sum!$AV27)</f>
        <v>2444.9745118659325</v>
      </c>
      <c r="E425" s="349">
        <f ca="1">$G$6*$H$12*($H$67*Mat_Sum!$D27+$H$68*Mat_Sum!$F27+$H$69*Mat_Sum!$I27+$H$70*Mat_Sum!$L27+$H$71*Mat_Sum!$AG27+$H$72*Mat_Sum!$AH27+$H$73*Mat_Sum!$AK27+$H$74*Mat_Sum!$AS27+$H$75*Mat_Sum!$AR27+$H$76*Mat_Sum!$AV27)+$A$136*(H$140*4)*($A$144*Mat_Sum!$AV27+$B$144*Mat_Sum!$D27)</f>
        <v>3424.1864494547226</v>
      </c>
      <c r="F425" s="349">
        <f ca="1">$G$6*$H$13*($H$79*Mat_Sum!$D27+$H$80*Mat_Sum!$E27+$H$81*Mat_Sum!$L27+$H$82*Mat_Sum!$AG27)</f>
        <v>5006.2080192915219</v>
      </c>
      <c r="G425" s="349">
        <f ca="1">$G$6*$H$14*($H$85*Mat_Sum!$D27+$H$86*Mat_Sum!$L27+$H$87*Mat_Sum!$AG27)</f>
        <v>0</v>
      </c>
      <c r="H425" s="349">
        <f ca="1">$G$6*$H$15*($H$90*Mat_Sum!$D27+$H$91*Mat_Sum!$L27+$H$92*Mat_Sum!$AG27+$H$93*Mat_Sum!$AV27+$H$94*Mat_Sum!$AR27)</f>
        <v>1288.4062414075693</v>
      </c>
      <c r="I425" s="348"/>
      <c r="J425" s="382">
        <f t="shared" ca="1" si="85"/>
        <v>0.34727512708741731</v>
      </c>
      <c r="K425" s="382">
        <f t="shared" ca="1" si="86"/>
        <v>9.4730315635742815E-2</v>
      </c>
      <c r="L425" s="382">
        <f t="shared" ca="1" si="87"/>
        <v>0.11215946080885039</v>
      </c>
      <c r="M425" s="382">
        <f t="shared" ca="1" si="88"/>
        <v>0.15707930860461777</v>
      </c>
      <c r="N425" s="382">
        <f t="shared" ca="1" si="89"/>
        <v>0.22965212496721066</v>
      </c>
      <c r="O425" s="382">
        <f t="shared" ca="1" si="90"/>
        <v>0</v>
      </c>
      <c r="P425" s="382">
        <f t="shared" ca="1" si="91"/>
        <v>5.9103662896161258E-2</v>
      </c>
      <c r="Q425" s="588"/>
    </row>
    <row r="426" spans="1:17">
      <c r="A426" s="661" t="s">
        <v>827</v>
      </c>
      <c r="B426" s="347">
        <f ca="1">$G$6*$H$17*($H$22*Mat_Sum!$D28+$H$23*Mat_Sum!$I28+$H$24*Mat_Sum!$L28+$H$25*Mat_Sum!$AG28+$H$26*Mat_Sum!$AH28+$H$27*Mat_Sum!$AK28+$H$28*Mat_Sum!$AS28+$H$29*Mat_Sum!$AM28+$H$30*Mat_Sum!$AT28+$H$31*Mat_Sum!$AR28+$H$32*Mat_Sum!$AV28)</f>
        <v>9.209681430773319</v>
      </c>
      <c r="C426" s="349">
        <f ca="1">$G$6*$H$10*($H$35*Mat_Sum!$D28+$H$36*Mat_Sum!$E28+$H$37*Mat_Sum!$F28+$H$38*Mat_Sum!$I28+$H$39*Mat_Sum!$L28+$H$40*Mat_Sum!$AG28+$H$41*Mat_Sum!$AK28+$H$42*Mat_Sum!$AS28+$H$43*Mat_Sum!$AR28+$H$44*Mat_Sum!$AV28+$H$45*Mat_Sum!$AT28+$H$46*Mat_Sum!$BH28+$H$47*Mat_Sum!$BG28+$H$48*Mat_Sum!$BJ28+$H$49*Mat_Sum!$BI28+$H$50*Mat_Sum!$AW28)</f>
        <v>1.1895132046693571</v>
      </c>
      <c r="D426" s="349">
        <f ca="1">$G$6*$H$11*($H$56*Mat_Sum!$D28+$H$57*Mat_Sum!$AG28+$H$58*Mat_Sum!$F28+$H$59*Mat_Sum!$AK28+$H$60*Mat_Sum!$I28+$H$61*Mat_Sum!$L28+$H$62*Mat_Sum!$AT28+$H$63*Mat_Sum!$AR28+$H$64*Mat_Sum!$AV28)</f>
        <v>1.3953234824200647</v>
      </c>
      <c r="E426" s="349">
        <f ca="1">$G$6*$H$12*($H$67*Mat_Sum!$D28+$H$68*Mat_Sum!$F28+$H$69*Mat_Sum!$I28+$H$70*Mat_Sum!$L28+$H$71*Mat_Sum!$AG28+$H$72*Mat_Sum!$AH28+$H$73*Mat_Sum!$AK28+$H$74*Mat_Sum!$AS28+$H$75*Mat_Sum!$AR28+$H$76*Mat_Sum!$AV28)+$A$136*(H$140*4)*($A$144*Mat_Sum!$AV28+$B$144*Mat_Sum!$D28)</f>
        <v>7.2082228071846579</v>
      </c>
      <c r="F426" s="349">
        <f ca="1">$G$6*$H$13*($H$79*Mat_Sum!$D28+$H$80*Mat_Sum!$E28+$H$81*Mat_Sum!$L28+$H$82*Mat_Sum!$AG28)</f>
        <v>2.4516100551468321</v>
      </c>
      <c r="G426" s="349">
        <f ca="1">$G$6*$H$14*($H$85*Mat_Sum!$D28+$H$86*Mat_Sum!$L28+$H$87*Mat_Sum!$AG28)</f>
        <v>0</v>
      </c>
      <c r="H426" s="349">
        <f ca="1">$G$6*$H$15*($H$90*Mat_Sum!$D28+$H$91*Mat_Sum!$L28+$H$92*Mat_Sum!$AG28+$H$93*Mat_Sum!$AV28+$H$94*Mat_Sum!$AR28)</f>
        <v>1.4745109971777319</v>
      </c>
      <c r="I426" s="348"/>
      <c r="J426" s="382">
        <f t="shared" ca="1" si="85"/>
        <v>0.40166325916489753</v>
      </c>
      <c r="K426" s="382">
        <f t="shared" ca="1" si="86"/>
        <v>5.1878423178754532E-2</v>
      </c>
      <c r="L426" s="382">
        <f t="shared" ca="1" si="87"/>
        <v>6.0854458620627647E-2</v>
      </c>
      <c r="M426" s="382">
        <f t="shared" ca="1" si="88"/>
        <v>0.31437333498270909</v>
      </c>
      <c r="N426" s="382">
        <f t="shared" ca="1" si="89"/>
        <v>0.10692244811653877</v>
      </c>
      <c r="O426" s="382">
        <f t="shared" ca="1" si="90"/>
        <v>0</v>
      </c>
      <c r="P426" s="382">
        <f t="shared" ca="1" si="91"/>
        <v>6.4308075936472447E-2</v>
      </c>
      <c r="Q426" s="588"/>
    </row>
    <row r="427" spans="1:17">
      <c r="A427" s="661" t="s">
        <v>828</v>
      </c>
      <c r="B427" s="347">
        <f ca="1">$G$6*$H$17*($H$22*Mat_Sum!$D29+$H$23*Mat_Sum!$I29+$H$24*Mat_Sum!$L29+$H$25*Mat_Sum!$AG29+$H$26*Mat_Sum!$AH29+$H$27*Mat_Sum!$AK29+$H$28*Mat_Sum!$AS29+$H$29*Mat_Sum!$AM29+$H$30*Mat_Sum!$AT29+$H$31*Mat_Sum!$AR29+$H$32*Mat_Sum!$AV29)</f>
        <v>21.306545404499229</v>
      </c>
      <c r="C427" s="349">
        <f ca="1">$G$6*$H$10*($H$35*Mat_Sum!$D29+$H$36*Mat_Sum!$E29+$H$37*Mat_Sum!$F29+$H$38*Mat_Sum!$I29+$H$39*Mat_Sum!$L29+$H$40*Mat_Sum!$AG29+$H$41*Mat_Sum!$AK29+$H$42*Mat_Sum!$AS29+$H$43*Mat_Sum!$AR29+$H$44*Mat_Sum!$AV29+$H$45*Mat_Sum!$AT29+$H$46*Mat_Sum!$BH29+$H$47*Mat_Sum!$BG29+$H$48*Mat_Sum!$BJ29+$H$49*Mat_Sum!$BI29+$H$50*Mat_Sum!$AW29)</f>
        <v>2.1538962948603744</v>
      </c>
      <c r="D427" s="349">
        <f ca="1">$G$6*$H$11*($H$56*Mat_Sum!$D29+$H$57*Mat_Sum!$AG29+$H$58*Mat_Sum!$F29+$H$59*Mat_Sum!$AK29+$H$60*Mat_Sum!$I29+$H$61*Mat_Sum!$L29+$H$62*Mat_Sum!$AT29+$H$63*Mat_Sum!$AR29+$H$64*Mat_Sum!$AV29)</f>
        <v>2.6094571863044949</v>
      </c>
      <c r="E427" s="349">
        <f ca="1">$G$6*$H$12*($H$67*Mat_Sum!$D29+$H$68*Mat_Sum!$F29+$H$69*Mat_Sum!$I29+$H$70*Mat_Sum!$L29+$H$71*Mat_Sum!$AG29+$H$72*Mat_Sum!$AH29+$H$73*Mat_Sum!$AK29+$H$74*Mat_Sum!$AS29+$H$75*Mat_Sum!$AR29+$H$76*Mat_Sum!$AV29)+$A$136*(H$140*4)*($A$144*Mat_Sum!$AV29+$B$144*Mat_Sum!$D29)</f>
        <v>15.055621862087888</v>
      </c>
      <c r="F427" s="349">
        <f ca="1">$G$6*$H$13*($H$79*Mat_Sum!$D29+$H$80*Mat_Sum!$E29+$H$81*Mat_Sum!$L29+$H$82*Mat_Sum!$AG29)</f>
        <v>4.1497028301338874</v>
      </c>
      <c r="G427" s="349">
        <f ca="1">$G$6*$H$14*($H$85*Mat_Sum!$D29+$H$86*Mat_Sum!$L29+$H$87*Mat_Sum!$AG29)</f>
        <v>0</v>
      </c>
      <c r="H427" s="349">
        <f ca="1">$G$6*$H$15*($H$90*Mat_Sum!$D29+$H$91*Mat_Sum!$L29+$H$92*Mat_Sum!$AG29+$H$93*Mat_Sum!$AV29+$H$94*Mat_Sum!$AR29)</f>
        <v>2.9073567367603728</v>
      </c>
      <c r="I427" s="348"/>
      <c r="J427" s="382">
        <f t="shared" ca="1" si="85"/>
        <v>0.44220432499383178</v>
      </c>
      <c r="K427" s="382">
        <f t="shared" ca="1" si="86"/>
        <v>4.4702800904285446E-2</v>
      </c>
      <c r="L427" s="382">
        <f t="shared" ca="1" si="87"/>
        <v>5.415768871787234E-2</v>
      </c>
      <c r="M427" s="382">
        <f t="shared" ca="1" si="88"/>
        <v>0.31247022811502212</v>
      </c>
      <c r="N427" s="382">
        <f t="shared" ca="1" si="89"/>
        <v>8.6124545489990836E-2</v>
      </c>
      <c r="O427" s="382">
        <f t="shared" ca="1" si="90"/>
        <v>0</v>
      </c>
      <c r="P427" s="382">
        <f t="shared" ca="1" si="91"/>
        <v>6.0340411778997488E-2</v>
      </c>
      <c r="Q427" s="588"/>
    </row>
    <row r="428" spans="1:17">
      <c r="A428" s="230" t="s">
        <v>829</v>
      </c>
      <c r="B428" s="347">
        <f ca="1">$G$6*$H$17*($H$22*Mat_Sum!$D30+$H$23*Mat_Sum!$I30+$H$24*Mat_Sum!$L30+$H$25*Mat_Sum!$AG30+$H$26*Mat_Sum!$AH30+$H$27*Mat_Sum!$AK30+$H$28*Mat_Sum!$AS30+$H$29*Mat_Sum!$AM30+$H$30*Mat_Sum!$AT30+$H$31*Mat_Sum!$AR30+$H$32*Mat_Sum!$AV30)</f>
        <v>4892.7296102643249</v>
      </c>
      <c r="C428" s="349">
        <f ca="1">$G$6*$H$10*($H$35*Mat_Sum!$D30+$H$36*Mat_Sum!$E30+$H$37*Mat_Sum!$F30+$H$38*Mat_Sum!$I30+$H$39*Mat_Sum!$L30+$H$40*Mat_Sum!$AG30+$H$41*Mat_Sum!$AK30+$H$42*Mat_Sum!$AS30+$H$43*Mat_Sum!$AR30+$H$44*Mat_Sum!$AV30+$H$45*Mat_Sum!$AT30+$H$46*Mat_Sum!$BH30+$H$47*Mat_Sum!$BG30+$H$48*Mat_Sum!$BJ30+$H$49*Mat_Sum!$BI30+$H$50*Mat_Sum!$AW30)</f>
        <v>511.47738453326656</v>
      </c>
      <c r="D428" s="349">
        <f ca="1">$G$6*$H$11*($H$56*Mat_Sum!$D30+$H$57*Mat_Sum!$AG30+$H$58*Mat_Sum!$F30+$H$59*Mat_Sum!$AK30+$H$60*Mat_Sum!$I30+$H$61*Mat_Sum!$L30+$H$62*Mat_Sum!$AT30+$H$63*Mat_Sum!$AR30+$H$64*Mat_Sum!$AV30)</f>
        <v>399.56264586531699</v>
      </c>
      <c r="E428" s="349">
        <f ca="1">$G$6*$H$12*($H$67*Mat_Sum!$D30+$H$68*Mat_Sum!$F30+$H$69*Mat_Sum!$I30+$H$70*Mat_Sum!$L30+$H$71*Mat_Sum!$AG30+$H$72*Mat_Sum!$AH30+$H$73*Mat_Sum!$AK30+$H$74*Mat_Sum!$AS30+$H$75*Mat_Sum!$AR30+$H$76*Mat_Sum!$AV30)+$A$136*(H$140*4)*($A$144*Mat_Sum!$AV30+$B$144*Mat_Sum!$D30)</f>
        <v>2245.3658222892827</v>
      </c>
      <c r="F428" s="349">
        <f ca="1">$G$6*$H$13*($H$79*Mat_Sum!$D30+$H$80*Mat_Sum!$E30+$H$81*Mat_Sum!$L30+$H$82*Mat_Sum!$AG30)</f>
        <v>585.04838041246148</v>
      </c>
      <c r="G428" s="349">
        <f ca="1">$G$6*$H$14*($H$85*Mat_Sum!$D30+$H$86*Mat_Sum!$L30+$H$87*Mat_Sum!$AG30)</f>
        <v>0</v>
      </c>
      <c r="H428" s="349">
        <f ca="1">$G$6*$H$15*($H$90*Mat_Sum!$D30+$H$91*Mat_Sum!$L30+$H$92*Mat_Sum!$AG30+$H$93*Mat_Sum!$AV30+$H$94*Mat_Sum!$AR30)</f>
        <v>619.01642435395308</v>
      </c>
      <c r="I428" s="348"/>
      <c r="J428" s="382">
        <f t="shared" ca="1" si="85"/>
        <v>0.52876080369009859</v>
      </c>
      <c r="K428" s="382">
        <f t="shared" ca="1" si="86"/>
        <v>5.5275728368016003E-2</v>
      </c>
      <c r="L428" s="382">
        <f t="shared" ca="1" si="87"/>
        <v>4.3181022165840355E-2</v>
      </c>
      <c r="M428" s="382">
        <f t="shared" ca="1" si="88"/>
        <v>0.2426582973809214</v>
      </c>
      <c r="N428" s="382">
        <f t="shared" ca="1" si="89"/>
        <v>6.3226598742653864E-2</v>
      </c>
      <c r="O428" s="382">
        <f t="shared" ca="1" si="90"/>
        <v>0</v>
      </c>
      <c r="P428" s="382">
        <f t="shared" ca="1" si="91"/>
        <v>6.6897549652469898E-2</v>
      </c>
      <c r="Q428" s="588"/>
    </row>
    <row r="429" spans="1:17">
      <c r="A429" s="230" t="s">
        <v>830</v>
      </c>
      <c r="B429" s="347">
        <f ca="1">$G$6*$H$17*($H$22*Mat_Sum!$D31+$H$23*Mat_Sum!$I31+$H$24*Mat_Sum!$L31+$H$25*Mat_Sum!$AG31+$H$26*Mat_Sum!$AH31+$H$27*Mat_Sum!$AK31+$H$28*Mat_Sum!$AS31+$H$29*Mat_Sum!$AM31+$H$30*Mat_Sum!$AT31+$H$31*Mat_Sum!$AR31+$H$32*Mat_Sum!$AV31)</f>
        <v>46.690348154643736</v>
      </c>
      <c r="C429" s="349">
        <f ca="1">$G$6*$H$10*($H$35*Mat_Sum!$D31+$H$36*Mat_Sum!$E31+$H$37*Mat_Sum!$F31+$H$38*Mat_Sum!$I31+$H$39*Mat_Sum!$L31+$H$40*Mat_Sum!$AG31+$H$41*Mat_Sum!$AK31+$H$42*Mat_Sum!$AS31+$H$43*Mat_Sum!$AR31+$H$44*Mat_Sum!$AV31+$H$45*Mat_Sum!$AT31+$H$46*Mat_Sum!$BH31+$H$47*Mat_Sum!$BG31+$H$48*Mat_Sum!$BJ31+$H$49*Mat_Sum!$BI31+$H$50*Mat_Sum!$AW31)</f>
        <v>5.277676985456365</v>
      </c>
      <c r="D429" s="349">
        <f ca="1">$G$6*$H$11*($H$56*Mat_Sum!$D31+$H$57*Mat_Sum!$AG31+$H$58*Mat_Sum!$F31+$H$59*Mat_Sum!$AK31+$H$60*Mat_Sum!$I31+$H$61*Mat_Sum!$L31+$H$62*Mat_Sum!$AT31+$H$63*Mat_Sum!$AR31+$H$64*Mat_Sum!$AV31)</f>
        <v>3.4008737250050731</v>
      </c>
      <c r="E429" s="349">
        <f ca="1">$G$6*$H$12*($H$67*Mat_Sum!$D31+$H$68*Mat_Sum!$F31+$H$69*Mat_Sum!$I31+$H$70*Mat_Sum!$L31+$H$71*Mat_Sum!$AG31+$H$72*Mat_Sum!$AH31+$H$73*Mat_Sum!$AK31+$H$74*Mat_Sum!$AS31+$H$75*Mat_Sum!$AR31+$H$76*Mat_Sum!$AV31)+$A$136*(H$140*4)*($A$144*Mat_Sum!$AV31+$B$144*Mat_Sum!$D31)</f>
        <v>20.093742138026961</v>
      </c>
      <c r="F429" s="349">
        <f ca="1">$G$6*$H$13*($H$79*Mat_Sum!$D31+$H$80*Mat_Sum!$E31+$H$81*Mat_Sum!$L31+$H$82*Mat_Sum!$AG31)</f>
        <v>5.3625729648890896</v>
      </c>
      <c r="G429" s="349">
        <f ca="1">$G$6*$H$14*($H$85*Mat_Sum!$D31+$H$86*Mat_Sum!$L31+$H$87*Mat_Sum!$AG31)</f>
        <v>0</v>
      </c>
      <c r="H429" s="349">
        <f ca="1">$G$6*$H$15*($H$90*Mat_Sum!$D31+$H$91*Mat_Sum!$L31+$H$92*Mat_Sum!$AG31+$H$93*Mat_Sum!$AV31+$H$94*Mat_Sum!$AR31)</f>
        <v>6.8437878158642516</v>
      </c>
      <c r="I429" s="348"/>
      <c r="J429" s="382">
        <f t="shared" ca="1" si="85"/>
        <v>0.53257533683046832</v>
      </c>
      <c r="K429" s="382">
        <f t="shared" ca="1" si="86"/>
        <v>6.0200035110089048E-2</v>
      </c>
      <c r="L429" s="382">
        <f t="shared" ca="1" si="87"/>
        <v>3.8792203125440294E-2</v>
      </c>
      <c r="M429" s="382">
        <f t="shared" ca="1" si="88"/>
        <v>0.22920007903774731</v>
      </c>
      <c r="N429" s="382">
        <f t="shared" ca="1" si="89"/>
        <v>6.1168404518948102E-2</v>
      </c>
      <c r="O429" s="382">
        <f t="shared" ca="1" si="90"/>
        <v>0</v>
      </c>
      <c r="P429" s="382">
        <f t="shared" ca="1" si="91"/>
        <v>7.806394137730692E-2</v>
      </c>
      <c r="Q429" s="588"/>
    </row>
    <row r="430" spans="1:17">
      <c r="A430" s="230" t="s">
        <v>831</v>
      </c>
      <c r="B430" s="517">
        <f ca="1">$G$6*$H$17*($H$22*Mat_Sum!$D32+$H$23*Mat_Sum!$I32+$H$24*Mat_Sum!$L32+$H$25*Mat_Sum!$AG32+$H$26*Mat_Sum!$AH32+$H$27*Mat_Sum!$AK32+$H$28*Mat_Sum!$AS32+$H$29*Mat_Sum!$AM32+$H$30*Mat_Sum!$AT32+$H$31*Mat_Sum!$AR32+$H$32*Mat_Sum!$AV32)</f>
        <v>1540482.4877220725</v>
      </c>
      <c r="C430" s="419">
        <f ca="1">$G$6*$H$10*($H$35*Mat_Sum!$D32+$H$36*Mat_Sum!$E32+$H$37*Mat_Sum!$F32+$H$38*Mat_Sum!$I32+$H$39*Mat_Sum!$L32+$H$40*Mat_Sum!$AG32+$H$41*Mat_Sum!$AK32+$H$42*Mat_Sum!$AS32+$H$43*Mat_Sum!$AR32+$H$44*Mat_Sum!$AV32+$H$45*Mat_Sum!$AT32+$H$46*Mat_Sum!$BH32+$H$47*Mat_Sum!$BG32+$H$48*Mat_Sum!$BJ32+$H$49*Mat_Sum!$BI32+$H$50*Mat_Sum!$AW32)</f>
        <v>139705.81077657198</v>
      </c>
      <c r="D430" s="419">
        <f ca="1">$G$6*$H$11*($H$56*Mat_Sum!$D32+$H$57*Mat_Sum!$AG32+$H$58*Mat_Sum!$F32+$H$59*Mat_Sum!$AK32+$H$60*Mat_Sum!$I32+$H$61*Mat_Sum!$L32+$H$62*Mat_Sum!$AT32+$H$63*Mat_Sum!$AR32+$H$64*Mat_Sum!$AV32)</f>
        <v>213731.51873261627</v>
      </c>
      <c r="E430" s="419">
        <f ca="1">$G$6*$H$12*($H$67*Mat_Sum!$D32+$H$68*Mat_Sum!$F32+$H$69*Mat_Sum!$I32+$H$70*Mat_Sum!$L32+$H$71*Mat_Sum!$AG32+$H$72*Mat_Sum!$AH32+$H$73*Mat_Sum!$AK32+$H$74*Mat_Sum!$AS32+$H$75*Mat_Sum!$AR32+$H$76*Mat_Sum!$AV32)+$A$136*(H$140*4)*($A$144*Mat_Sum!$AV32+$B$144*Mat_Sum!$D32)</f>
        <v>1082445.0302109756</v>
      </c>
      <c r="F430" s="419">
        <f ca="1">$G$6*$H$13*($H$79*Mat_Sum!$D32+$H$80*Mat_Sum!$E32+$H$81*Mat_Sum!$L32+$H$82*Mat_Sum!$AG32)</f>
        <v>281568.65284239681</v>
      </c>
      <c r="G430" s="419">
        <f ca="1">$G$6*$H$14*($H$85*Mat_Sum!$D32+$H$86*Mat_Sum!$L32+$H$87*Mat_Sum!$AG32)</f>
        <v>0</v>
      </c>
      <c r="H430" s="419">
        <f ca="1">$G$6*$H$15*($H$90*Mat_Sum!$D32+$H$91*Mat_Sum!$L32+$H$92*Mat_Sum!$AG32+$H$93*Mat_Sum!$AV32+$H$94*Mat_Sum!$AR32)</f>
        <v>170661.17523666873</v>
      </c>
      <c r="I430" s="516"/>
      <c r="J430" s="382">
        <f t="shared" ca="1" si="85"/>
        <v>0.44930434580688638</v>
      </c>
      <c r="K430" s="382">
        <f t="shared" ca="1" si="86"/>
        <v>4.0747251862114718E-2</v>
      </c>
      <c r="L430" s="382">
        <f t="shared" ca="1" si="87"/>
        <v>6.2337936956668512E-2</v>
      </c>
      <c r="M430" s="382">
        <f t="shared" ca="1" si="88"/>
        <v>0.31571099317722495</v>
      </c>
      <c r="N430" s="382">
        <f t="shared" ca="1" si="89"/>
        <v>8.2123633584534339E-2</v>
      </c>
      <c r="O430" s="382">
        <f t="shared" ca="1" si="90"/>
        <v>0</v>
      </c>
      <c r="P430" s="382">
        <f t="shared" ca="1" si="91"/>
        <v>4.9775838612571045E-2</v>
      </c>
      <c r="Q430" s="588"/>
    </row>
    <row r="431" spans="1:17">
      <c r="A431" s="230" t="s">
        <v>850</v>
      </c>
      <c r="B431" s="517">
        <f ca="1">$G$6*$H$17*($H$22*Mat_Sum!$D33+$H$23*Mat_Sum!$I33+$H$24*Mat_Sum!$L33+$H$25*Mat_Sum!$AG33+$H$26*Mat_Sum!$AH33+$H$27*Mat_Sum!$AK33+$H$28*Mat_Sum!$AS33+$H$29*Mat_Sum!$AM33+$H$30*Mat_Sum!$AT33+$H$31*Mat_Sum!$AR33+$H$32*Mat_Sum!$AV33)</f>
        <v>1557829.4204731963</v>
      </c>
      <c r="C431" s="419">
        <f ca="1">$G$6*$H$10*($H$35*Mat_Sum!$D33+$H$36*Mat_Sum!$E33+$H$37*Mat_Sum!$F33+$H$38*Mat_Sum!$I33+$H$39*Mat_Sum!$L33+$H$40*Mat_Sum!$AG33+$H$41*Mat_Sum!$AK33+$H$42*Mat_Sum!$AS33+$H$43*Mat_Sum!$AR33+$H$44*Mat_Sum!$AV33+$H$45*Mat_Sum!$AT33+$H$46*Mat_Sum!$BH33+$H$47*Mat_Sum!$BG33+$H$48*Mat_Sum!$BJ33+$H$49*Mat_Sum!$BI33+$H$50*Mat_Sum!$AW33)</f>
        <v>141014.8957984049</v>
      </c>
      <c r="D431" s="419">
        <f ca="1">$G$6*$H$11*($H$56*Mat_Sum!$D33+$H$57*Mat_Sum!$AG33+$H$58*Mat_Sum!$F33+$H$59*Mat_Sum!$AK33+$H$60*Mat_Sum!$I33+$H$61*Mat_Sum!$L33+$H$62*Mat_Sum!$AT33+$H$63*Mat_Sum!$AR33+$H$64*Mat_Sum!$AV33)</f>
        <v>215425.6329669705</v>
      </c>
      <c r="E431" s="419">
        <f ca="1">$G$6*$H$12*($H$67*Mat_Sum!$D33+$H$68*Mat_Sum!$F33+$H$69*Mat_Sum!$I33+$H$70*Mat_Sum!$L33+$H$71*Mat_Sum!$AG33+$H$72*Mat_Sum!$AH33+$H$73*Mat_Sum!$AK33+$H$74*Mat_Sum!$AS33+$H$75*Mat_Sum!$AR33+$H$76*Mat_Sum!$AV33)+$A$136*(H$140*4)*($A$144*Mat_Sum!$AV33+$B$144*Mat_Sum!$D33)</f>
        <v>1093790.4788431111</v>
      </c>
      <c r="F431" s="419">
        <f ca="1">$G$6*$H$13*($H$79*Mat_Sum!$D33+$H$80*Mat_Sum!$E33+$H$81*Mat_Sum!$L33+$H$82*Mat_Sum!$AG33)</f>
        <v>283374.79245888162</v>
      </c>
      <c r="G431" s="419">
        <f ca="1">$G$6*$H$14*($H$85*Mat_Sum!$D33+$H$86*Mat_Sum!$L33+$H$87*Mat_Sum!$AG33)</f>
        <v>0</v>
      </c>
      <c r="H431" s="419">
        <f ca="1">$G$6*$H$15*($H$90*Mat_Sum!$D33+$H$91*Mat_Sum!$L33+$H$92*Mat_Sum!$AG33+$H$93*Mat_Sum!$AV33+$H$94*Mat_Sum!$AR33)</f>
        <v>171235.73923345041</v>
      </c>
      <c r="I431" s="516"/>
      <c r="J431" s="382">
        <f t="shared" ca="1" si="85"/>
        <v>0.44989242078458003</v>
      </c>
      <c r="K431" s="382">
        <f t="shared" ca="1" si="86"/>
        <v>4.0724312947022848E-2</v>
      </c>
      <c r="L431" s="382">
        <f t="shared" ca="1" si="87"/>
        <v>6.2213717523142864E-2</v>
      </c>
      <c r="M431" s="382">
        <f t="shared" ca="1" si="88"/>
        <v>0.31588057067787223</v>
      </c>
      <c r="N431" s="382">
        <f t="shared" ca="1" si="89"/>
        <v>8.1837054617911381E-2</v>
      </c>
      <c r="O431" s="382">
        <f t="shared" ca="1" si="90"/>
        <v>0</v>
      </c>
      <c r="P431" s="382">
        <f t="shared" ca="1" si="91"/>
        <v>4.9451923449470879E-2</v>
      </c>
      <c r="Q431" s="588"/>
    </row>
    <row r="432" spans="1:17">
      <c r="A432" s="230" t="s">
        <v>851</v>
      </c>
      <c r="B432" s="517">
        <f ca="1">$G$6*$H$17*($H$22*Mat_Sum!$D34+$H$23*Mat_Sum!$I34+$H$24*Mat_Sum!$L34+$H$25*Mat_Sum!$AG34+$H$26*Mat_Sum!$AH34+$H$27*Mat_Sum!$AK34+$H$28*Mat_Sum!$AS34+$H$29*Mat_Sum!$AM34+$H$30*Mat_Sum!$AT34+$H$31*Mat_Sum!$AR34+$H$32*Mat_Sum!$AV34)</f>
        <v>1727953.6866047815</v>
      </c>
      <c r="C432" s="419">
        <f ca="1">$G$6*$H$10*($H$35*Mat_Sum!$D34+$H$36*Mat_Sum!$E34+$H$37*Mat_Sum!$F34+$H$38*Mat_Sum!$I34+$H$39*Mat_Sum!$L34+$H$40*Mat_Sum!$AG34+$H$41*Mat_Sum!$AK34+$H$42*Mat_Sum!$AS34+$H$43*Mat_Sum!$AR34+$H$44*Mat_Sum!$AV34+$H$45*Mat_Sum!$AT34+$H$46*Mat_Sum!$BH34+$H$47*Mat_Sum!$BG34+$H$48*Mat_Sum!$BJ34+$H$49*Mat_Sum!$BI34+$H$50*Mat_Sum!$AW34)</f>
        <v>157757.80173554883</v>
      </c>
      <c r="D432" s="419">
        <f ca="1">$G$6*$H$11*($H$56*Mat_Sum!$D34+$H$57*Mat_Sum!$AG34+$H$58*Mat_Sum!$F34+$H$59*Mat_Sum!$AK34+$H$60*Mat_Sum!$I34+$H$61*Mat_Sum!$L34+$H$62*Mat_Sum!$AT34+$H$63*Mat_Sum!$AR34+$H$64*Mat_Sum!$AV34)</f>
        <v>236122.28414135749</v>
      </c>
      <c r="E432" s="419">
        <f ca="1">$G$6*$H$12*($H$67*Mat_Sum!$D34+$H$68*Mat_Sum!$F34+$H$69*Mat_Sum!$I34+$H$70*Mat_Sum!$L34+$H$71*Mat_Sum!$AG34+$H$72*Mat_Sum!$AH34+$H$73*Mat_Sum!$AK34+$H$74*Mat_Sum!$AS34+$H$75*Mat_Sum!$AR34+$H$76*Mat_Sum!$AV34)+$A$136*(H$140*4)*($A$144*Mat_Sum!$AV34+$B$144*Mat_Sum!$D34)</f>
        <v>1183683.7436919571</v>
      </c>
      <c r="F432" s="419">
        <f ca="1">$G$6*$H$13*($H$79*Mat_Sum!$D34+$H$80*Mat_Sum!$E34+$H$81*Mat_Sum!$L34+$H$82*Mat_Sum!$AG34)</f>
        <v>308624.14289224515</v>
      </c>
      <c r="G432" s="419">
        <f ca="1">$G$6*$H$14*($H$85*Mat_Sum!$D34+$H$86*Mat_Sum!$L34+$H$87*Mat_Sum!$AG34)</f>
        <v>0</v>
      </c>
      <c r="H432" s="419">
        <f ca="1">$G$6*$H$15*($H$90*Mat_Sum!$D34+$H$91*Mat_Sum!$L34+$H$92*Mat_Sum!$AG34+$H$93*Mat_Sum!$AV34+$H$94*Mat_Sum!$AR34)</f>
        <v>196784.44496317286</v>
      </c>
      <c r="I432" s="516"/>
      <c r="J432" s="382">
        <f t="shared" ca="1" si="85"/>
        <v>0.45342093744035605</v>
      </c>
      <c r="K432" s="382">
        <f t="shared" ca="1" si="86"/>
        <v>4.1396184924383864E-2</v>
      </c>
      <c r="L432" s="382">
        <f t="shared" ca="1" si="87"/>
        <v>6.1959292228657918E-2</v>
      </c>
      <c r="M432" s="382">
        <f t="shared" ca="1" si="88"/>
        <v>0.31060264916722463</v>
      </c>
      <c r="N432" s="382">
        <f t="shared" ca="1" si="89"/>
        <v>8.098402710195704E-2</v>
      </c>
      <c r="O432" s="382">
        <f t="shared" ca="1" si="90"/>
        <v>0</v>
      </c>
      <c r="P432" s="382">
        <f t="shared" ca="1" si="91"/>
        <v>5.1636909137420563E-2</v>
      </c>
      <c r="Q432" s="588"/>
    </row>
    <row r="433" spans="1:17">
      <c r="A433" s="571" t="s">
        <v>973</v>
      </c>
      <c r="B433" s="347"/>
      <c r="C433" s="349"/>
      <c r="D433" s="349"/>
      <c r="E433" s="349"/>
      <c r="F433" s="349"/>
      <c r="G433" s="349"/>
      <c r="H433" s="349"/>
      <c r="I433" s="348"/>
      <c r="J433" s="382"/>
      <c r="K433" s="382"/>
      <c r="L433" s="382"/>
      <c r="M433" s="382"/>
      <c r="N433" s="382"/>
      <c r="O433" s="382"/>
      <c r="P433" s="382"/>
      <c r="Q433" s="588"/>
    </row>
    <row r="434" spans="1:17">
      <c r="A434" s="230" t="s">
        <v>821</v>
      </c>
      <c r="B434" s="347">
        <f ca="1">$G$6*$H$17*($H$22*Mat_Sum!$D36+$H$23*Mat_Sum!$I36+$H$24*Mat_Sum!$L36+$H$25*Mat_Sum!$AG36+$H$26*Mat_Sum!$AH36+$H$27*Mat_Sum!$AK36+$H$28*Mat_Sum!$AS36+$H$29*Mat_Sum!$AM36+$H$30*Mat_Sum!$AT36+$H$31*Mat_Sum!$AR36+$H$32*Mat_Sum!$AV36)</f>
        <v>20.318062761056865</v>
      </c>
      <c r="C434" s="349">
        <f ca="1">$G$6*$H$10*($H$35*Mat_Sum!$D36+$H$36*Mat_Sum!$E36+$H$37*Mat_Sum!$F36+$H$38*Mat_Sum!$I36+$H$39*Mat_Sum!$L36+$H$40*Mat_Sum!$AG36+$H$41*Mat_Sum!$AK36+$H$42*Mat_Sum!$AS36+$H$43*Mat_Sum!$AR36+$H$44*Mat_Sum!$AV36+$H$45*Mat_Sum!$AT36+$H$46*Mat_Sum!$BH36+$H$47*Mat_Sum!$BG36+$H$48*Mat_Sum!$BJ36+$H$49*Mat_Sum!$BI36+$H$50*Mat_Sum!$AW36)</f>
        <v>2.3768814598927741</v>
      </c>
      <c r="D434" s="349">
        <f ca="1">$G$6*$H$11*($H$56*Mat_Sum!$D36+$H$57*Mat_Sum!$AG36+$H$58*Mat_Sum!$F36+$H$59*Mat_Sum!$AK36+$H$60*Mat_Sum!$I36+$H$61*Mat_Sum!$L36+$H$62*Mat_Sum!$AT36+$H$63*Mat_Sum!$AR36+$H$64*Mat_Sum!$AV36)</f>
        <v>1.3321146963928485</v>
      </c>
      <c r="E434" s="349">
        <f ca="1">$G$6*$H$12*($H$67*Mat_Sum!$D36+$H$68*Mat_Sum!$F36+$H$69*Mat_Sum!$I36+$H$70*Mat_Sum!$L36+$H$71*Mat_Sum!$AG36+$H$72*Mat_Sum!$AH36+$H$73*Mat_Sum!$AK36+$H$74*Mat_Sum!$AS36+$H$75*Mat_Sum!$AR36+$H$76*Mat_Sum!$AV36)+$A$136*(H$140*4)*($A$144*Mat_Sum!$AV36+$B$144*Mat_Sum!$D36)</f>
        <v>8.9312288041485068</v>
      </c>
      <c r="F434" s="349">
        <f ca="1">$G$6*$H$13*($H$79*Mat_Sum!$D36+$H$80*Mat_Sum!$E36+$H$81*Mat_Sum!$L36+$H$82*Mat_Sum!$AG36)</f>
        <v>1.9813352777453275</v>
      </c>
      <c r="G434" s="349">
        <f ca="1">$G$6*$H$14*($H$85*Mat_Sum!$D36+$H$86*Mat_Sum!$L36+$H$87*Mat_Sum!$AG36)</f>
        <v>0</v>
      </c>
      <c r="H434" s="349">
        <f ca="1">$G$6*$H$15*($H$90*Mat_Sum!$D36+$H$91*Mat_Sum!$L36+$H$92*Mat_Sum!$AG36+$H$93*Mat_Sum!$AV36+$H$94*Mat_Sum!$AR36)</f>
        <v>3.1057172040782484</v>
      </c>
      <c r="I434" s="348"/>
      <c r="J434" s="382">
        <f t="shared" ref="J434:P441" ca="1" si="92">B434/$H195</f>
        <v>0.53404865490693454</v>
      </c>
      <c r="K434" s="382">
        <f t="shared" ca="1" si="92"/>
        <v>6.2474969265373964E-2</v>
      </c>
      <c r="L434" s="382">
        <f t="shared" ca="1" si="92"/>
        <v>3.5013872639172584E-2</v>
      </c>
      <c r="M434" s="382">
        <f t="shared" ref="M434:M441" ca="1" si="93">E434/$H195</f>
        <v>0.23475223920774416</v>
      </c>
      <c r="N434" s="382">
        <f t="shared" ca="1" si="92"/>
        <v>5.2078264175246108E-2</v>
      </c>
      <c r="O434" s="382">
        <f t="shared" ca="1" si="92"/>
        <v>0</v>
      </c>
      <c r="P434" s="382">
        <f t="shared" ca="1" si="92"/>
        <v>8.163199980552871E-2</v>
      </c>
      <c r="Q434" s="588"/>
    </row>
    <row r="435" spans="1:17">
      <c r="A435" s="230" t="s">
        <v>822</v>
      </c>
      <c r="B435" s="347">
        <f ca="1">$G$6*$H$17*($H$22*Mat_Sum!$D37+$H$23*Mat_Sum!$I37+$H$24*Mat_Sum!$L37+$H$25*Mat_Sum!$AG37+$H$26*Mat_Sum!$AH37+$H$27*Mat_Sum!$AK37+$H$28*Mat_Sum!$AS37+$H$29*Mat_Sum!$AM37+$H$30*Mat_Sum!$AT37+$H$31*Mat_Sum!$AR37+$H$32*Mat_Sum!$AV37)</f>
        <v>58.830127413123655</v>
      </c>
      <c r="C435" s="349">
        <f ca="1">$G$6*$H$10*($H$35*Mat_Sum!$D37+$H$36*Mat_Sum!$E37+$H$37*Mat_Sum!$F37+$H$38*Mat_Sum!$I37+$H$39*Mat_Sum!$L37+$H$40*Mat_Sum!$AG37+$H$41*Mat_Sum!$AK37+$H$42*Mat_Sum!$AS37+$H$43*Mat_Sum!$AR37+$H$44*Mat_Sum!$AV37+$H$45*Mat_Sum!$AT37+$H$46*Mat_Sum!$BH37+$H$47*Mat_Sum!$BG37+$H$48*Mat_Sum!$BJ37+$H$49*Mat_Sum!$BI37+$H$50*Mat_Sum!$AW37)</f>
        <v>6.4925422389474452</v>
      </c>
      <c r="D435" s="349">
        <f ca="1">$G$6*$H$11*($H$56*Mat_Sum!$D37+$H$57*Mat_Sum!$AG37+$H$58*Mat_Sum!$F37+$H$59*Mat_Sum!$AK37+$H$60*Mat_Sum!$I37+$H$61*Mat_Sum!$L37+$H$62*Mat_Sum!$AT37+$H$63*Mat_Sum!$AR37+$H$64*Mat_Sum!$AV37)</f>
        <v>5.9796454896192701</v>
      </c>
      <c r="E435" s="349">
        <f ca="1">$G$6*$H$12*($H$67*Mat_Sum!$D37+$H$68*Mat_Sum!$F37+$H$69*Mat_Sum!$I37+$H$70*Mat_Sum!$L37+$H$71*Mat_Sum!$AG37+$H$72*Mat_Sum!$AH37+$H$73*Mat_Sum!$AK37+$H$74*Mat_Sum!$AS37+$H$75*Mat_Sum!$AR37+$H$76*Mat_Sum!$AV37)+$A$136*(H$140*4)*($A$144*Mat_Sum!$AV37+$B$144*Mat_Sum!$D37)</f>
        <v>27.996097624620063</v>
      </c>
      <c r="F435" s="349">
        <f ca="1">$G$6*$H$13*($H$79*Mat_Sum!$D37+$H$80*Mat_Sum!$E37+$H$81*Mat_Sum!$L37+$H$82*Mat_Sum!$AG37)</f>
        <v>8.9064428929757611</v>
      </c>
      <c r="G435" s="349">
        <f ca="1">$G$6*$H$14*($H$85*Mat_Sum!$D37+$H$86*Mat_Sum!$L37+$H$87*Mat_Sum!$AG37)</f>
        <v>0</v>
      </c>
      <c r="H435" s="349">
        <f ca="1">$G$6*$H$15*($H$90*Mat_Sum!$D37+$H$91*Mat_Sum!$L37+$H$92*Mat_Sum!$AG37+$H$93*Mat_Sum!$AV37+$H$94*Mat_Sum!$AR37)</f>
        <v>8.952008515776269</v>
      </c>
      <c r="I435" s="348"/>
      <c r="J435" s="382">
        <f t="shared" ca="1" si="92"/>
        <v>0.50214836174870936</v>
      </c>
      <c r="K435" s="382">
        <f t="shared" ca="1" si="92"/>
        <v>5.5417514668589282E-2</v>
      </c>
      <c r="L435" s="382">
        <f t="shared" ca="1" si="92"/>
        <v>5.1039651254954591E-2</v>
      </c>
      <c r="M435" s="382">
        <f t="shared" ca="1" si="93"/>
        <v>0.23896250400477351</v>
      </c>
      <c r="N435" s="382">
        <f t="shared" ca="1" si="92"/>
        <v>7.6021519999607101E-2</v>
      </c>
      <c r="O435" s="382">
        <f t="shared" ca="1" si="92"/>
        <v>0</v>
      </c>
      <c r="P435" s="382">
        <f t="shared" ca="1" si="92"/>
        <v>7.6410448323366437E-2</v>
      </c>
      <c r="Q435" s="588"/>
    </row>
    <row r="436" spans="1:17">
      <c r="A436" s="230" t="s">
        <v>823</v>
      </c>
      <c r="B436" s="347">
        <f ca="1">$G$6*$H$17*($H$22*Mat_Sum!$D38+$H$23*Mat_Sum!$I38+$H$24*Mat_Sum!$L38+$H$25*Mat_Sum!$AG38+$H$26*Mat_Sum!$AH38+$H$27*Mat_Sum!$AK38+$H$28*Mat_Sum!$AS38+$H$29*Mat_Sum!$AM38+$H$30*Mat_Sum!$AT38+$H$31*Mat_Sum!$AR38+$H$32*Mat_Sum!$AV38)</f>
        <v>100.68436947643224</v>
      </c>
      <c r="C436" s="349">
        <f ca="1">$G$6*$H$10*($H$35*Mat_Sum!$D38+$H$36*Mat_Sum!$E38+$H$37*Mat_Sum!$F38+$H$38*Mat_Sum!$I38+$H$39*Mat_Sum!$L38+$H$40*Mat_Sum!$AG38+$H$41*Mat_Sum!$AK38+$H$42*Mat_Sum!$AS38+$H$43*Mat_Sum!$AR38+$H$44*Mat_Sum!$AV38+$H$45*Mat_Sum!$AT38+$H$46*Mat_Sum!$BH38+$H$47*Mat_Sum!$BG38+$H$48*Mat_Sum!$BJ38+$H$49*Mat_Sum!$BI38+$H$50*Mat_Sum!$AW38)</f>
        <v>10.699213474381645</v>
      </c>
      <c r="D436" s="349">
        <f ca="1">$G$6*$H$11*($H$56*Mat_Sum!$D38+$H$57*Mat_Sum!$AG38+$H$58*Mat_Sum!$F38+$H$59*Mat_Sum!$AK38+$H$60*Mat_Sum!$I38+$H$61*Mat_Sum!$L38+$H$62*Mat_Sum!$AT38+$H$63*Mat_Sum!$AR38+$H$64*Mat_Sum!$AV38)</f>
        <v>16.607112301180202</v>
      </c>
      <c r="E436" s="349">
        <f ca="1">$G$6*$H$12*($H$67*Mat_Sum!$D38+$H$68*Mat_Sum!$F38+$H$69*Mat_Sum!$I38+$H$70*Mat_Sum!$L38+$H$71*Mat_Sum!$AG38+$H$72*Mat_Sum!$AH38+$H$73*Mat_Sum!$AK38+$H$74*Mat_Sum!$AS38+$H$75*Mat_Sum!$AR38+$H$76*Mat_Sum!$AV38)+$A$136*(H$140*4)*($A$144*Mat_Sum!$AV38+$B$144*Mat_Sum!$D38)</f>
        <v>58.530174095502012</v>
      </c>
      <c r="F436" s="349">
        <f ca="1">$G$6*$H$13*($H$79*Mat_Sum!$D38+$H$80*Mat_Sum!$E38+$H$81*Mat_Sum!$L38+$H$82*Mat_Sum!$AG38)</f>
        <v>22.296927361300327</v>
      </c>
      <c r="G436" s="349">
        <f ca="1">$G$6*$H$14*($H$85*Mat_Sum!$D38+$H$86*Mat_Sum!$L38+$H$87*Mat_Sum!$AG38)</f>
        <v>0</v>
      </c>
      <c r="H436" s="349">
        <f ca="1">$G$6*$H$15*($H$90*Mat_Sum!$D38+$H$91*Mat_Sum!$L38+$H$92*Mat_Sum!$AG38+$H$93*Mat_Sum!$AV38+$H$94*Mat_Sum!$AR38)</f>
        <v>15.68984099842881</v>
      </c>
      <c r="I436" s="348"/>
      <c r="J436" s="382">
        <f t="shared" ca="1" si="92"/>
        <v>0.4484674575202301</v>
      </c>
      <c r="K436" s="382">
        <f t="shared" ca="1" si="92"/>
        <v>4.765634516334015E-2</v>
      </c>
      <c r="L436" s="382">
        <f t="shared" ca="1" si="92"/>
        <v>7.3971257596310014E-2</v>
      </c>
      <c r="M436" s="382">
        <f t="shared" ca="1" si="93"/>
        <v>0.26070460093580311</v>
      </c>
      <c r="N436" s="382">
        <f t="shared" ca="1" si="92"/>
        <v>9.9314783180682653E-2</v>
      </c>
      <c r="O436" s="382">
        <f t="shared" ca="1" si="92"/>
        <v>0</v>
      </c>
      <c r="P436" s="382">
        <f t="shared" ca="1" si="92"/>
        <v>6.988555560363402E-2</v>
      </c>
      <c r="Q436" s="588"/>
    </row>
    <row r="437" spans="1:17">
      <c r="A437" s="230" t="s">
        <v>824</v>
      </c>
      <c r="B437" s="347">
        <f ca="1">$G$6*$H$17*($H$22*Mat_Sum!$D39+$H$23*Mat_Sum!$I39+$H$24*Mat_Sum!$L39+$H$25*Mat_Sum!$AG39+$H$26*Mat_Sum!$AH39+$H$27*Mat_Sum!$AK39+$H$28*Mat_Sum!$AS39+$H$29*Mat_Sum!$AM39+$H$30*Mat_Sum!$AT39+$H$31*Mat_Sum!$AR39+$H$32*Mat_Sum!$AV39)</f>
        <v>10.427750928649601</v>
      </c>
      <c r="C437" s="349">
        <f ca="1">$G$6*$H$10*($H$35*Mat_Sum!$D39+$H$36*Mat_Sum!$E39+$H$37*Mat_Sum!$F39+$H$38*Mat_Sum!$I39+$H$39*Mat_Sum!$L39+$H$40*Mat_Sum!$AG39+$H$41*Mat_Sum!$AK39+$H$42*Mat_Sum!$AS39+$H$43*Mat_Sum!$AR39+$H$44*Mat_Sum!$AV39+$H$45*Mat_Sum!$AT39+$H$46*Mat_Sum!$BH39+$H$47*Mat_Sum!$BG39+$H$48*Mat_Sum!$BJ39+$H$49*Mat_Sum!$BI39+$H$50*Mat_Sum!$AW39)</f>
        <v>1.1334525284425405</v>
      </c>
      <c r="D437" s="349">
        <f ca="1">$G$6*$H$11*($H$56*Mat_Sum!$D39+$H$57*Mat_Sum!$AG39+$H$58*Mat_Sum!$F39+$H$59*Mat_Sum!$AK39+$H$60*Mat_Sum!$I39+$H$61*Mat_Sum!$L39+$H$62*Mat_Sum!$AT39+$H$63*Mat_Sum!$AR39+$H$64*Mat_Sum!$AV39)</f>
        <v>1.9536852887303797</v>
      </c>
      <c r="E437" s="349">
        <f ca="1">$G$6*$H$12*($H$67*Mat_Sum!$D39+$H$68*Mat_Sum!$F39+$H$69*Mat_Sum!$I39+$H$70*Mat_Sum!$L39+$H$71*Mat_Sum!$AG39+$H$72*Mat_Sum!$AH39+$H$73*Mat_Sum!$AK39+$H$74*Mat_Sum!$AS39+$H$75*Mat_Sum!$AR39+$H$76*Mat_Sum!$AV39)+$A$136*(H$140*4)*($A$144*Mat_Sum!$AV39+$B$144*Mat_Sum!$D39)</f>
        <v>5.9888520245222496</v>
      </c>
      <c r="F437" s="349">
        <f ca="1">$G$6*$H$13*($H$79*Mat_Sum!$D39+$H$80*Mat_Sum!$E39+$H$81*Mat_Sum!$L39+$H$82*Mat_Sum!$AG39)</f>
        <v>2.4726623733790185</v>
      </c>
      <c r="G437" s="349">
        <f ca="1">$G$6*$H$14*($H$85*Mat_Sum!$D39+$H$86*Mat_Sum!$L39+$H$87*Mat_Sum!$AG39)</f>
        <v>0</v>
      </c>
      <c r="H437" s="349">
        <f ca="1">$G$6*$H$15*($H$90*Mat_Sum!$D39+$H$91*Mat_Sum!$L39+$H$92*Mat_Sum!$AG39+$H$93*Mat_Sum!$AV39+$H$94*Mat_Sum!$AR39)</f>
        <v>1.5718852010619631</v>
      </c>
      <c r="I437" s="348"/>
      <c r="J437" s="382">
        <f t="shared" ca="1" si="92"/>
        <v>0.44282415672723818</v>
      </c>
      <c r="K437" s="382">
        <f t="shared" ca="1" si="92"/>
        <v>4.8133117441358265E-2</v>
      </c>
      <c r="L437" s="382">
        <f t="shared" ca="1" si="92"/>
        <v>8.296506566104539E-2</v>
      </c>
      <c r="M437" s="382">
        <f t="shared" ca="1" si="93"/>
        <v>0.25432217988991751</v>
      </c>
      <c r="N437" s="382">
        <f t="shared" ca="1" si="92"/>
        <v>0.10500391099239004</v>
      </c>
      <c r="O437" s="382">
        <f t="shared" ca="1" si="92"/>
        <v>0</v>
      </c>
      <c r="P437" s="382">
        <f t="shared" ca="1" si="92"/>
        <v>6.6751569288050719E-2</v>
      </c>
      <c r="Q437" s="588"/>
    </row>
    <row r="438" spans="1:17">
      <c r="A438" s="230" t="s">
        <v>825</v>
      </c>
      <c r="B438" s="347">
        <f ca="1">$G$6*$H$17*($H$22*Mat_Sum!$D40+$H$23*Mat_Sum!$I40+$H$24*Mat_Sum!$L40+$H$25*Mat_Sum!$AG40+$H$26*Mat_Sum!$AH40+$H$27*Mat_Sum!$AK40+$H$28*Mat_Sum!$AS40+$H$29*Mat_Sum!$AM40+$H$30*Mat_Sum!$AT40+$H$31*Mat_Sum!$AR40+$H$32*Mat_Sum!$AV40)</f>
        <v>8.9892646280452766</v>
      </c>
      <c r="C438" s="349">
        <f ca="1">$G$6*$H$10*($H$35*Mat_Sum!$D40+$H$36*Mat_Sum!$E40+$H$37*Mat_Sum!$F40+$H$38*Mat_Sum!$I40+$H$39*Mat_Sum!$L40+$H$40*Mat_Sum!$AG40+$H$41*Mat_Sum!$AK40+$H$42*Mat_Sum!$AS40+$H$43*Mat_Sum!$AR40+$H$44*Mat_Sum!$AV40+$H$45*Mat_Sum!$AT40+$H$46*Mat_Sum!$BH40+$H$47*Mat_Sum!$BG40+$H$48*Mat_Sum!$BJ40+$H$49*Mat_Sum!$BI40+$H$50*Mat_Sum!$AW40)</f>
        <v>0.97794744564330904</v>
      </c>
      <c r="D438" s="349">
        <f ca="1">$G$6*$H$11*($H$56*Mat_Sum!$D40+$H$57*Mat_Sum!$AG40+$H$58*Mat_Sum!$F40+$H$59*Mat_Sum!$AK40+$H$60*Mat_Sum!$I40+$H$61*Mat_Sum!$L40+$H$62*Mat_Sum!$AT40+$H$63*Mat_Sum!$AR40+$H$64*Mat_Sum!$AV40)</f>
        <v>1.6733790462310472</v>
      </c>
      <c r="E438" s="349">
        <f ca="1">$G$6*$H$12*($H$67*Mat_Sum!$D40+$H$68*Mat_Sum!$F40+$H$69*Mat_Sum!$I40+$H$70*Mat_Sum!$L40+$H$71*Mat_Sum!$AG40+$H$72*Mat_Sum!$AH40+$H$73*Mat_Sum!$AK40+$H$74*Mat_Sum!$AS40+$H$75*Mat_Sum!$AR40+$H$76*Mat_Sum!$AV40)+$A$136*(H$140*4)*($A$144*Mat_Sum!$AV40+$B$144*Mat_Sum!$D40)</f>
        <v>5.2065909360234315</v>
      </c>
      <c r="F438" s="349">
        <f ca="1">$G$6*$H$13*($H$79*Mat_Sum!$D40+$H$80*Mat_Sum!$E40+$H$81*Mat_Sum!$L40+$H$82*Mat_Sum!$AG40)</f>
        <v>2.1317080915926847</v>
      </c>
      <c r="G438" s="349">
        <f ca="1">$G$6*$H$14*($H$85*Mat_Sum!$D40+$H$86*Mat_Sum!$L40+$H$87*Mat_Sum!$AG40)</f>
        <v>0</v>
      </c>
      <c r="H438" s="349">
        <f ca="1">$G$6*$H$15*($H$90*Mat_Sum!$D40+$H$91*Mat_Sum!$L40+$H$92*Mat_Sum!$AG40+$H$93*Mat_Sum!$AV40+$H$94*Mat_Sum!$AR40)</f>
        <v>1.3382239916073979</v>
      </c>
      <c r="I438" s="348"/>
      <c r="J438" s="382">
        <f t="shared" ca="1" si="92"/>
        <v>0.44244790704436093</v>
      </c>
      <c r="K438" s="382">
        <f t="shared" ca="1" si="92"/>
        <v>4.8134170972598235E-2</v>
      </c>
      <c r="L438" s="382">
        <f t="shared" ca="1" si="92"/>
        <v>8.2363028271180472E-2</v>
      </c>
      <c r="M438" s="382">
        <f t="shared" ca="1" si="93"/>
        <v>0.2562662640159295</v>
      </c>
      <c r="N438" s="382">
        <f t="shared" ca="1" si="92"/>
        <v>0.10492179533931524</v>
      </c>
      <c r="O438" s="382">
        <f t="shared" ca="1" si="92"/>
        <v>0</v>
      </c>
      <c r="P438" s="382">
        <f t="shared" ca="1" si="92"/>
        <v>6.5866834356615778E-2</v>
      </c>
      <c r="Q438" s="588"/>
    </row>
    <row r="439" spans="1:17">
      <c r="A439" s="230" t="s">
        <v>826</v>
      </c>
      <c r="B439" s="347">
        <f ca="1">$G$6*$H$17*($H$22*Mat_Sum!$D41+$H$23*Mat_Sum!$I41+$H$24*Mat_Sum!$L41+$H$25*Mat_Sum!$AG41+$H$26*Mat_Sum!$AH41+$H$27*Mat_Sum!$AK41+$H$28*Mat_Sum!$AS41+$H$29*Mat_Sum!$AM41+$H$30*Mat_Sum!$AT41+$H$31*Mat_Sum!$AR41+$H$32*Mat_Sum!$AV41)</f>
        <v>101.6799166094865</v>
      </c>
      <c r="C439" s="349">
        <f ca="1">$G$6*$H$10*($H$35*Mat_Sum!$D41+$H$36*Mat_Sum!$E41+$H$37*Mat_Sum!$F41+$H$38*Mat_Sum!$I41+$H$39*Mat_Sum!$L41+$H$40*Mat_Sum!$AG41+$H$41*Mat_Sum!$AK41+$H$42*Mat_Sum!$AS41+$H$43*Mat_Sum!$AR41+$H$44*Mat_Sum!$AV41+$H$45*Mat_Sum!$AT41+$H$46*Mat_Sum!$BH41+$H$47*Mat_Sum!$BG41+$H$48*Mat_Sum!$BJ41+$H$49*Mat_Sum!$BI41+$H$50*Mat_Sum!$AW41)</f>
        <v>11.157190881977675</v>
      </c>
      <c r="D439" s="349">
        <f ca="1">$G$6*$H$11*($H$56*Mat_Sum!$D41+$H$57*Mat_Sum!$AG41+$H$58*Mat_Sum!$F41+$H$59*Mat_Sum!$AK41+$H$60*Mat_Sum!$I41+$H$61*Mat_Sum!$L41+$H$62*Mat_Sum!$AT41+$H$63*Mat_Sum!$AR41+$H$64*Mat_Sum!$AV41)</f>
        <v>16.993565403254326</v>
      </c>
      <c r="E439" s="349">
        <f ca="1">$G$6*$H$12*($H$67*Mat_Sum!$D41+$H$68*Mat_Sum!$F41+$H$69*Mat_Sum!$I41+$H$70*Mat_Sum!$L41+$H$71*Mat_Sum!$AG41+$H$72*Mat_Sum!$AH41+$H$73*Mat_Sum!$AK41+$H$74*Mat_Sum!$AS41+$H$75*Mat_Sum!$AR41+$H$76*Mat_Sum!$AV41)+$A$136*(H$140*4)*($A$144*Mat_Sum!$AV41+$B$144*Mat_Sum!$D41)</f>
        <v>45.224662211483206</v>
      </c>
      <c r="F439" s="349">
        <f ca="1">$G$6*$H$13*($H$79*Mat_Sum!$D41+$H$80*Mat_Sum!$E41+$H$81*Mat_Sum!$L41+$H$82*Mat_Sum!$AG41)</f>
        <v>20.615608074512846</v>
      </c>
      <c r="G439" s="349">
        <f ca="1">$G$6*$H$14*($H$85*Mat_Sum!$D41+$H$86*Mat_Sum!$L41+$H$87*Mat_Sum!$AG41)</f>
        <v>0</v>
      </c>
      <c r="H439" s="349">
        <f ca="1">$G$6*$H$15*($H$90*Mat_Sum!$D41+$H$91*Mat_Sum!$L41+$H$92*Mat_Sum!$AG41+$H$93*Mat_Sum!$AV41+$H$94*Mat_Sum!$AR41)</f>
        <v>15.889040051477934</v>
      </c>
      <c r="I439" s="348"/>
      <c r="J439" s="382">
        <f t="shared" ca="1" si="92"/>
        <v>0.48061979896212309</v>
      </c>
      <c r="K439" s="382">
        <f t="shared" ca="1" si="92"/>
        <v>5.2737718691026607E-2</v>
      </c>
      <c r="L439" s="382">
        <f t="shared" ca="1" si="92"/>
        <v>8.0325046086827542E-2</v>
      </c>
      <c r="M439" s="382">
        <f t="shared" ca="1" si="93"/>
        <v>0.21376756379228853</v>
      </c>
      <c r="N439" s="382">
        <f t="shared" ca="1" si="92"/>
        <v>9.7445687788161178E-2</v>
      </c>
      <c r="O439" s="382">
        <f t="shared" ca="1" si="92"/>
        <v>0</v>
      </c>
      <c r="P439" s="382">
        <f t="shared" ca="1" si="92"/>
        <v>7.5104184679572916E-2</v>
      </c>
      <c r="Q439" s="588"/>
    </row>
    <row r="440" spans="1:17">
      <c r="A440" s="230" t="s">
        <v>827</v>
      </c>
      <c r="B440" s="347">
        <f ca="1">$G$6*$H$17*($H$22*Mat_Sum!$D42+$H$23*Mat_Sum!$I42+$H$24*Mat_Sum!$L42+$H$25*Mat_Sum!$AG42+$H$26*Mat_Sum!$AH42+$H$27*Mat_Sum!$AK42+$H$28*Mat_Sum!$AS42+$H$29*Mat_Sum!$AM42+$H$30*Mat_Sum!$AT42+$H$31*Mat_Sum!$AR42+$H$32*Mat_Sum!$AV42)</f>
        <v>0.52961383008331764</v>
      </c>
      <c r="C440" s="349">
        <f ca="1">$G$6*$H$10*($H$35*Mat_Sum!$D42+$H$36*Mat_Sum!$E42+$H$37*Mat_Sum!$F42+$H$38*Mat_Sum!$I42+$H$39*Mat_Sum!$L42+$H$40*Mat_Sum!$AG42+$H$41*Mat_Sum!$AK42+$H$42*Mat_Sum!$AS42+$H$43*Mat_Sum!$AR42+$H$44*Mat_Sum!$AV42+$H$45*Mat_Sum!$AT42+$H$46*Mat_Sum!$BH42+$H$47*Mat_Sum!$BG42+$H$48*Mat_Sum!$BJ42+$H$49*Mat_Sum!$BI42+$H$50*Mat_Sum!$AW42)</f>
        <v>5.8791238133621727E-2</v>
      </c>
      <c r="D440" s="349">
        <f ca="1">$G$6*$H$11*($H$56*Mat_Sum!$D42+$H$57*Mat_Sum!$AG42+$H$58*Mat_Sum!$F42+$H$59*Mat_Sum!$AK42+$H$60*Mat_Sum!$I42+$H$61*Mat_Sum!$L42+$H$62*Mat_Sum!$AT42+$H$63*Mat_Sum!$AR42+$H$64*Mat_Sum!$AV42)</f>
        <v>8.7852195870125036E-2</v>
      </c>
      <c r="E440" s="349">
        <f ca="1">$G$6*$H$12*($H$67*Mat_Sum!$D42+$H$68*Mat_Sum!$F42+$H$69*Mat_Sum!$I42+$H$70*Mat_Sum!$L42+$H$71*Mat_Sum!$AG42+$H$72*Mat_Sum!$AH42+$H$73*Mat_Sum!$AK42+$H$74*Mat_Sum!$AS42+$H$75*Mat_Sum!$AR42+$H$76*Mat_Sum!$AV42)+$A$136*(H$140*4)*($A$144*Mat_Sum!$AV42+$B$144*Mat_Sum!$D42)</f>
        <v>0.31358519572272026</v>
      </c>
      <c r="F440" s="349">
        <f ca="1">$G$6*$H$13*($H$79*Mat_Sum!$D42+$H$80*Mat_Sum!$E42+$H$81*Mat_Sum!$L42+$H$82*Mat_Sum!$AG42)</f>
        <v>0.11410728137106119</v>
      </c>
      <c r="G440" s="349">
        <f ca="1">$G$6*$H$14*($H$85*Mat_Sum!$D42+$H$86*Mat_Sum!$L42+$H$87*Mat_Sum!$AG42)</f>
        <v>0</v>
      </c>
      <c r="H440" s="349">
        <f ca="1">$G$6*$H$15*($H$90*Mat_Sum!$D42+$H$91*Mat_Sum!$L42+$H$92*Mat_Sum!$AG42+$H$93*Mat_Sum!$AV42+$H$94*Mat_Sum!$AR42)</f>
        <v>7.8838553240244566E-2</v>
      </c>
      <c r="I440" s="348"/>
      <c r="J440" s="382">
        <f t="shared" ca="1" si="92"/>
        <v>0.44776722307903327</v>
      </c>
      <c r="K440" s="382">
        <f t="shared" ca="1" si="92"/>
        <v>4.9705630678731731E-2</v>
      </c>
      <c r="L440" s="382">
        <f t="shared" ca="1" si="92"/>
        <v>7.4275503303931359E-2</v>
      </c>
      <c r="M440" s="382">
        <f t="shared" ca="1" si="93"/>
        <v>0.26512368883072429</v>
      </c>
      <c r="N440" s="382">
        <f t="shared" ca="1" si="92"/>
        <v>9.6473123642900449E-2</v>
      </c>
      <c r="O440" s="382">
        <f t="shared" ca="1" si="92"/>
        <v>0</v>
      </c>
      <c r="P440" s="382">
        <f t="shared" ca="1" si="92"/>
        <v>6.665483046467896E-2</v>
      </c>
      <c r="Q440" s="588"/>
    </row>
    <row r="441" spans="1:17">
      <c r="A441" s="589" t="s">
        <v>828</v>
      </c>
      <c r="B441" s="503">
        <f ca="1">$G$6*$H$17*($H$22*Mat_Sum!$D43+$H$23*Mat_Sum!$I43+$H$24*Mat_Sum!$L43+$H$25*Mat_Sum!$AG43+$H$26*Mat_Sum!$AH43+$H$27*Mat_Sum!$AK43+$H$28*Mat_Sum!$AS43+$H$29*Mat_Sum!$AM43+$H$30*Mat_Sum!$AT43+$H$31*Mat_Sum!$AR43+$H$32*Mat_Sum!$AV43)</f>
        <v>2.2370529520360676</v>
      </c>
      <c r="C441" s="505">
        <f ca="1">$G$6*$H$10*($H$35*Mat_Sum!$D43+$H$36*Mat_Sum!$E43+$H$37*Mat_Sum!$F43+$H$38*Mat_Sum!$I43+$H$39*Mat_Sum!$L43+$H$40*Mat_Sum!$AG43+$H$41*Mat_Sum!$AK43+$H$42*Mat_Sum!$AS43+$H$43*Mat_Sum!$AR43+$H$44*Mat_Sum!$AV43+$H$45*Mat_Sum!$AT43+$H$46*Mat_Sum!$BH43+$H$47*Mat_Sum!$BG43+$H$48*Mat_Sum!$BJ43+$H$49*Mat_Sum!$BI43+$H$50*Mat_Sum!$AW43)</f>
        <v>0.24837610402754554</v>
      </c>
      <c r="D441" s="505">
        <f ca="1">$G$6*$H$11*($H$56*Mat_Sum!$D43+$H$57*Mat_Sum!$AG43+$H$58*Mat_Sum!$F43+$H$59*Mat_Sum!$AK43+$H$60*Mat_Sum!$I43+$H$61*Mat_Sum!$L43+$H$62*Mat_Sum!$AT43+$H$63*Mat_Sum!$AR43+$H$64*Mat_Sum!$AV43)</f>
        <v>0.33344678775167297</v>
      </c>
      <c r="E441" s="505">
        <f ca="1">$G$6*$H$12*($H$67*Mat_Sum!$D43+$H$68*Mat_Sum!$F43+$H$69*Mat_Sum!$I43+$H$70*Mat_Sum!$L43+$H$71*Mat_Sum!$AG43+$H$72*Mat_Sum!$AH43+$H$73*Mat_Sum!$AK43+$H$74*Mat_Sum!$AS43+$H$75*Mat_Sum!$AR43+$H$76*Mat_Sum!$AV43)+$A$136*(H$140*4)*($A$144*Mat_Sum!$AV43+$B$144*Mat_Sum!$D43)</f>
        <v>1.2280912544647651</v>
      </c>
      <c r="F441" s="505">
        <f ca="1">$G$6*$H$13*($H$79*Mat_Sum!$D43+$H$80*Mat_Sum!$E43+$H$81*Mat_Sum!$L43+$H$82*Mat_Sum!$AG43)</f>
        <v>0.46677335096884898</v>
      </c>
      <c r="G441" s="505">
        <f ca="1">$G$6*$H$14*($H$85*Mat_Sum!$D43+$H$86*Mat_Sum!$L43+$H$87*Mat_Sum!$AG43)</f>
        <v>0</v>
      </c>
      <c r="H441" s="505">
        <f ca="1">$G$6*$H$15*($H$90*Mat_Sum!$D43+$H$91*Mat_Sum!$L43+$H$92*Mat_Sum!$AG43+$H$93*Mat_Sum!$AV43+$H$94*Mat_Sum!$AR43)</f>
        <v>0.26753033282618244</v>
      </c>
      <c r="I441" s="502"/>
      <c r="J441" s="368">
        <f t="shared" ca="1" si="92"/>
        <v>0.46787832231187326</v>
      </c>
      <c r="K441" s="368">
        <f t="shared" ca="1" si="92"/>
        <v>5.1947717531227074E-2</v>
      </c>
      <c r="L441" s="368">
        <f t="shared" ca="1" si="92"/>
        <v>6.9740201496589646E-2</v>
      </c>
      <c r="M441" s="368">
        <f t="shared" ca="1" si="93"/>
        <v>0.25685457076994306</v>
      </c>
      <c r="N441" s="368">
        <f t="shared" ca="1" si="92"/>
        <v>9.7625374559160261E-2</v>
      </c>
      <c r="O441" s="368">
        <f t="shared" ca="1" si="92"/>
        <v>0</v>
      </c>
      <c r="P441" s="368">
        <f t="shared" ca="1" si="92"/>
        <v>5.5953813331206831E-2</v>
      </c>
      <c r="Q441" s="428"/>
    </row>
    <row r="443" spans="1:17">
      <c r="A443" s="111" t="s">
        <v>1884</v>
      </c>
    </row>
    <row r="444" spans="1:17">
      <c r="A444" s="238"/>
      <c r="B444" s="3007" t="s">
        <v>1875</v>
      </c>
      <c r="C444" s="3005"/>
      <c r="D444" s="3005"/>
      <c r="E444" s="3005"/>
      <c r="F444" s="3005"/>
      <c r="G444" s="3005"/>
      <c r="H444" s="3005"/>
      <c r="I444" s="3006"/>
      <c r="J444" s="3005" t="s">
        <v>1876</v>
      </c>
      <c r="K444" s="3005"/>
      <c r="L444" s="3005"/>
      <c r="M444" s="3005"/>
      <c r="N444" s="3005"/>
      <c r="O444" s="3005"/>
      <c r="P444" s="3005"/>
      <c r="Q444" s="3006"/>
    </row>
    <row r="445" spans="1:17" ht="51">
      <c r="A445" s="230"/>
      <c r="B445" s="923" t="s">
        <v>250</v>
      </c>
      <c r="C445" s="924" t="s">
        <v>182</v>
      </c>
      <c r="D445" s="924" t="s">
        <v>183</v>
      </c>
      <c r="E445" s="924" t="s">
        <v>184</v>
      </c>
      <c r="F445" s="924" t="s">
        <v>185</v>
      </c>
      <c r="G445" s="924" t="s">
        <v>186</v>
      </c>
      <c r="H445" s="670" t="s">
        <v>187</v>
      </c>
      <c r="I445" s="953" t="s">
        <v>1860</v>
      </c>
      <c r="J445" s="923" t="s">
        <v>250</v>
      </c>
      <c r="K445" s="924" t="s">
        <v>182</v>
      </c>
      <c r="L445" s="924" t="s">
        <v>183</v>
      </c>
      <c r="M445" s="924" t="s">
        <v>184</v>
      </c>
      <c r="N445" s="924" t="s">
        <v>185</v>
      </c>
      <c r="O445" s="924" t="s">
        <v>186</v>
      </c>
      <c r="P445" s="670" t="s">
        <v>187</v>
      </c>
      <c r="Q445" s="953" t="s">
        <v>1860</v>
      </c>
    </row>
    <row r="446" spans="1:17">
      <c r="A446" s="571" t="s">
        <v>1877</v>
      </c>
      <c r="B446" s="895"/>
      <c r="C446" s="446"/>
      <c r="D446" s="446"/>
      <c r="E446" s="446"/>
      <c r="I446" s="395"/>
      <c r="J446" s="446"/>
      <c r="K446" s="446"/>
      <c r="L446" s="446"/>
      <c r="M446" s="446"/>
      <c r="Q446" s="395"/>
    </row>
    <row r="447" spans="1:17">
      <c r="A447" s="230" t="s">
        <v>816</v>
      </c>
      <c r="B447" s="347">
        <f ca="1">$H$6*$I$17*($I$22*Mat_Sum!$D15+$I$23*Mat_Sum!$I15+$I$24*Mat_Sum!$L15+$I$25*Mat_Sum!$AG15+$I$26*Mat_Sum!$AH15+$I$27*Mat_Sum!$AK15+$I$28*Mat_Sum!$AS15+$I$29*Mat_Sum!$AM15+$I$30*Mat_Sum!$AT15+$I$31*Mat_Sum!$AR15+$I$32*Mat_Sum!$AV15)</f>
        <v>60.245163954881114</v>
      </c>
      <c r="C447" s="349">
        <f ca="1">$H$6*$I$10*($I$35*Mat_Sum!$D15+$I$36*Mat_Sum!$E15+$I$37*Mat_Sum!$F15+$I$38*Mat_Sum!$I15+$I$39*Mat_Sum!$L15+$I$40*Mat_Sum!$AG15+$I$41*Mat_Sum!$AK15+$I$42*Mat_Sum!$AS15+$I$43*Mat_Sum!$AR15+$I$44*Mat_Sum!$AV15+$I$45*Mat_Sum!$AT15+$I$46*Mat_Sum!$BH15+$I$47*Mat_Sum!$BG15+$I$48*Mat_Sum!$BJ15+$I$49*Mat_Sum!$BI15+$I$50*Mat_Sum!$AW15)</f>
        <v>5.5682813483893518</v>
      </c>
      <c r="D447" s="349">
        <f ca="1">$H$6*$I$11*($I$56*Mat_Sum!$D15+$I$57*Mat_Sum!$AG15+$I$58*Mat_Sum!$F15+$I$59*Mat_Sum!$AK15+$I$60*Mat_Sum!$I15+$I$61*Mat_Sum!$L15+$I$62*Mat_Sum!$AT15+$I$63*Mat_Sum!$AR15+$I$64*Mat_Sum!$AV15)</f>
        <v>3.4562907827306231</v>
      </c>
      <c r="E447" s="349">
        <f ca="1">$H$6*$I$12*($I$67*Mat_Sum!$D15+$I$68*Mat_Sum!$F15+$I$69*Mat_Sum!$I15+$I$70*Mat_Sum!$L15+$I$71*Mat_Sum!$AG15+$I$72*Mat_Sum!$AH15+$I$73*Mat_Sum!$AK15+$I$74*Mat_Sum!$AS15+$I$75*Mat_Sum!$AR15+$I$76*Mat_Sum!$AV15)+$A$136*(I$140*4)*($A$144*Mat_Sum!$AV15+$B$144*Mat_Sum!$D15)</f>
        <v>18.933478962698999</v>
      </c>
      <c r="F447" s="349">
        <f ca="1">$H$6*$I$13*($I$79*Mat_Sum!$D15+$I$80*Mat_Sum!$E15+$I$81*Mat_Sum!$L15+$I$82*Mat_Sum!$AG15)</f>
        <v>2.6816029833715125</v>
      </c>
      <c r="G447" s="349">
        <f ca="1">$H$6*$I$14*($I$85*Mat_Sum!$D15+$I$86*Mat_Sum!$L15+$I$87*Mat_Sum!$AG15)</f>
        <v>0</v>
      </c>
      <c r="H447" s="349">
        <f ca="1">$H$6*$I$15*($I$90*Mat_Sum!$D15+$I$91*Mat_Sum!$L15+$I$92*Mat_Sum!$AG15+$I$93*Mat_Sum!$AV15+$I$94*Mat_Sum!$AR15)</f>
        <v>3.3247543421557659</v>
      </c>
      <c r="I447" s="348"/>
      <c r="J447" s="382">
        <f t="shared" ref="J447:P452" ca="1" si="94">B447/$I174</f>
        <v>0.63948028248732613</v>
      </c>
      <c r="K447" s="382">
        <f t="shared" ca="1" si="94"/>
        <v>5.9105260835603267E-2</v>
      </c>
      <c r="L447" s="382">
        <f t="shared" ca="1" si="94"/>
        <v>3.6687256885120416E-2</v>
      </c>
      <c r="M447" s="382">
        <f t="shared" ref="M447:M452" ca="1" si="95">E447/$I174</f>
        <v>0.20097192339956502</v>
      </c>
      <c r="N447" s="382">
        <f t="shared" ca="1" si="94"/>
        <v>2.8464230500053842E-2</v>
      </c>
      <c r="O447" s="382">
        <f t="shared" ca="1" si="94"/>
        <v>0</v>
      </c>
      <c r="P447" s="382">
        <f t="shared" ca="1" si="94"/>
        <v>3.5291045892331313E-2</v>
      </c>
      <c r="Q447" s="588"/>
    </row>
    <row r="448" spans="1:17">
      <c r="A448" s="230" t="s">
        <v>817</v>
      </c>
      <c r="B448" s="347">
        <f ca="1">$H$6*$I$17*($I$22*Mat_Sum!$D16+$I$23*Mat_Sum!$I16+$I$24*Mat_Sum!$L16+$I$25*Mat_Sum!$AG16+$I$26*Mat_Sum!$AH16+$I$27*Mat_Sum!$AK16+$I$28*Mat_Sum!$AS16+$I$29*Mat_Sum!$AM16+$I$30*Mat_Sum!$AT16+$I$31*Mat_Sum!$AR16+$I$32*Mat_Sum!$AV16)</f>
        <v>55.122757559937902</v>
      </c>
      <c r="C448" s="349">
        <f ca="1">$H$6*$I$10*($I$35*Mat_Sum!$D16+$I$36*Mat_Sum!$E16+$I$37*Mat_Sum!$F16+$I$38*Mat_Sum!$I16+$I$39*Mat_Sum!$L16+$I$40*Mat_Sum!$AG16+$I$41*Mat_Sum!$AK16+$I$42*Mat_Sum!$AS16+$I$43*Mat_Sum!$AR16+$I$44*Mat_Sum!$AV16+$I$45*Mat_Sum!$AT16+$I$46*Mat_Sum!$BH16+$I$47*Mat_Sum!$BG16+$I$48*Mat_Sum!$BJ16+$I$49*Mat_Sum!$BI16+$I$50*Mat_Sum!$AW16)</f>
        <v>4.5036223691312589</v>
      </c>
      <c r="D448" s="349">
        <f ca="1">$H$6*$I$11*($I$56*Mat_Sum!$D16+$I$57*Mat_Sum!$AG16+$I$58*Mat_Sum!$F16+$I$59*Mat_Sum!$AK16+$I$60*Mat_Sum!$I16+$I$61*Mat_Sum!$L16+$I$62*Mat_Sum!$AT16+$I$63*Mat_Sum!$AR16+$I$64*Mat_Sum!$AV16)</f>
        <v>2.6844318335628738</v>
      </c>
      <c r="E448" s="349">
        <f ca="1">$H$6*$I$12*($I$67*Mat_Sum!$D16+$I$68*Mat_Sum!$F16+$I$69*Mat_Sum!$I16+$I$70*Mat_Sum!$L16+$I$71*Mat_Sum!$AG16+$I$72*Mat_Sum!$AH16+$I$73*Mat_Sum!$AK16+$I$74*Mat_Sum!$AS16+$I$75*Mat_Sum!$AR16+$I$76*Mat_Sum!$AV16)+$A$136*(I$140*4)*($A$144*Mat_Sum!$AV16+$B$144*Mat_Sum!$D16)</f>
        <v>16.716315558499019</v>
      </c>
      <c r="F448" s="349">
        <f ca="1">$H$6*$I$13*($I$79*Mat_Sum!$D16+$I$80*Mat_Sum!$E16+$I$81*Mat_Sum!$L16+$I$82*Mat_Sum!$AG16)</f>
        <v>2.2244659281673691</v>
      </c>
      <c r="G448" s="349">
        <f ca="1">$H$6*$I$14*($I$85*Mat_Sum!$D16+$I$86*Mat_Sum!$L16+$I$87*Mat_Sum!$AG16)</f>
        <v>0</v>
      </c>
      <c r="H448" s="349">
        <f ca="1">$H$6*$I$15*($I$90*Mat_Sum!$D16+$I$91*Mat_Sum!$L16+$I$92*Mat_Sum!$AG16+$I$93*Mat_Sum!$AV16+$I$94*Mat_Sum!$AR16)</f>
        <v>2.8586806081795597</v>
      </c>
      <c r="I448" s="348"/>
      <c r="J448" s="382">
        <f t="shared" ca="1" si="94"/>
        <v>0.65536295427288171</v>
      </c>
      <c r="K448" s="382">
        <f t="shared" ca="1" si="94"/>
        <v>5.3544259964751692E-2</v>
      </c>
      <c r="L448" s="382">
        <f t="shared" ca="1" si="94"/>
        <v>3.1915623507676995E-2</v>
      </c>
      <c r="M448" s="382">
        <f t="shared" ca="1" si="95"/>
        <v>0.19874285021142901</v>
      </c>
      <c r="N448" s="382">
        <f t="shared" ca="1" si="94"/>
        <v>2.6447018017521279E-2</v>
      </c>
      <c r="O448" s="382">
        <f t="shared" ca="1" si="94"/>
        <v>0</v>
      </c>
      <c r="P448" s="382">
        <f t="shared" ca="1" si="94"/>
        <v>3.3987294025739322E-2</v>
      </c>
      <c r="Q448" s="588"/>
    </row>
    <row r="449" spans="1:17">
      <c r="A449" s="230" t="s">
        <v>805</v>
      </c>
      <c r="B449" s="347">
        <f ca="1">$H$6*$I$17*($I$22*Mat_Sum!$D17+$I$23*Mat_Sum!$I17+$I$24*Mat_Sum!$L17+$I$25*Mat_Sum!$AG17+$I$26*Mat_Sum!$AH17+$I$27*Mat_Sum!$AK17+$I$28*Mat_Sum!$AS17+$I$29*Mat_Sum!$AM17+$I$30*Mat_Sum!$AT17+$I$31*Mat_Sum!$AR17+$I$32*Mat_Sum!$AV17)</f>
        <v>6.8033856888246014</v>
      </c>
      <c r="C449" s="349">
        <f ca="1">$H$6*$I$10*($I$35*Mat_Sum!$D17+$I$36*Mat_Sum!$E17+$I$37*Mat_Sum!$F17+$I$38*Mat_Sum!$I17+$I$39*Mat_Sum!$L17+$I$40*Mat_Sum!$AG17+$I$41*Mat_Sum!$AK17+$I$42*Mat_Sum!$AS17+$I$43*Mat_Sum!$AR17+$I$44*Mat_Sum!$AV17+$I$45*Mat_Sum!$AT17+$I$46*Mat_Sum!$BH17+$I$47*Mat_Sum!$BG17+$I$48*Mat_Sum!$BJ17+$I$49*Mat_Sum!$BI17+$I$50*Mat_Sum!$AW17)</f>
        <v>0.8649472730206853</v>
      </c>
      <c r="D449" s="349">
        <f ca="1">$H$6*$I$11*($I$56*Mat_Sum!$D17+$I$57*Mat_Sum!$AG17+$I$58*Mat_Sum!$F17+$I$59*Mat_Sum!$AK17+$I$60*Mat_Sum!$I17+$I$61*Mat_Sum!$L17+$I$62*Mat_Sum!$AT17+$I$63*Mat_Sum!$AR17+$I$64*Mat_Sum!$AV17)</f>
        <v>1.2955351038524285</v>
      </c>
      <c r="E449" s="349">
        <f ca="1">$H$6*$I$12*($I$67*Mat_Sum!$D17+$I$68*Mat_Sum!$F17+$I$69*Mat_Sum!$I17+$I$70*Mat_Sum!$L17+$I$71*Mat_Sum!$AG17+$I$72*Mat_Sum!$AH17+$I$73*Mat_Sum!$AK17+$I$74*Mat_Sum!$AS17+$I$75*Mat_Sum!$AR17+$I$76*Mat_Sum!$AV17)+$A$136*(I$140*4)*($A$144*Mat_Sum!$AV17+$B$144*Mat_Sum!$D17)</f>
        <v>4.701806774139067</v>
      </c>
      <c r="F449" s="349">
        <f ca="1">$H$6*$I$13*($I$79*Mat_Sum!$D17+$I$80*Mat_Sum!$E17+$I$81*Mat_Sum!$L17+$I$82*Mat_Sum!$AG17)</f>
        <v>0.85000374081549723</v>
      </c>
      <c r="G449" s="349">
        <f ca="1">$H$6*$I$14*($I$85*Mat_Sum!$D17+$I$86*Mat_Sum!$L17+$I$87*Mat_Sum!$AG17)</f>
        <v>0</v>
      </c>
      <c r="H449" s="349">
        <f ca="1">$H$6*$I$15*($I$90*Mat_Sum!$D17+$I$91*Mat_Sum!$L17+$I$92*Mat_Sum!$AG17+$I$93*Mat_Sum!$AV17+$I$94*Mat_Sum!$AR17)</f>
        <v>0.43638297989989111</v>
      </c>
      <c r="I449" s="348"/>
      <c r="J449" s="382">
        <f t="shared" ca="1" si="94"/>
        <v>0.45501322083731149</v>
      </c>
      <c r="K449" s="382">
        <f t="shared" ca="1" si="94"/>
        <v>5.7848027813279239E-2</v>
      </c>
      <c r="L449" s="382">
        <f t="shared" ca="1" si="94"/>
        <v>8.6645918263901611E-2</v>
      </c>
      <c r="M449" s="382">
        <f t="shared" ca="1" si="95"/>
        <v>0.31445876243205034</v>
      </c>
      <c r="N449" s="382">
        <f t="shared" ca="1" si="94"/>
        <v>5.6848598260058739E-2</v>
      </c>
      <c r="O449" s="382">
        <f t="shared" ca="1" si="94"/>
        <v>0</v>
      </c>
      <c r="P449" s="382">
        <f t="shared" ca="1" si="94"/>
        <v>2.9185472393398557E-2</v>
      </c>
      <c r="Q449" s="588"/>
    </row>
    <row r="450" spans="1:17">
      <c r="A450" s="230" t="s">
        <v>804</v>
      </c>
      <c r="B450" s="347">
        <f ca="1">$H$6*$I$17*($I$22*Mat_Sum!$D18+$I$23*Mat_Sum!$I18+$I$24*Mat_Sum!$L18+$I$25*Mat_Sum!$AG18+$I$26*Mat_Sum!$AH18+$I$27*Mat_Sum!$AK18+$I$28*Mat_Sum!$AS18+$I$29*Mat_Sum!$AM18+$I$30*Mat_Sum!$AT18+$I$31*Mat_Sum!$AR18+$I$32*Mat_Sum!$AV18)</f>
        <v>34.04861874105309</v>
      </c>
      <c r="C450" s="349">
        <f ca="1">$H$6*$I$10*($I$35*Mat_Sum!$D18+$I$36*Mat_Sum!$E18+$I$37*Mat_Sum!$F18+$I$38*Mat_Sum!$I18+$I$39*Mat_Sum!$L18+$I$40*Mat_Sum!$AG18+$I$41*Mat_Sum!$AK18+$I$42*Mat_Sum!$AS18+$I$43*Mat_Sum!$AR18+$I$44*Mat_Sum!$AV18+$I$45*Mat_Sum!$AT18+$I$46*Mat_Sum!$BH18+$I$47*Mat_Sum!$BG18+$I$48*Mat_Sum!$BJ18+$I$49*Mat_Sum!$BI18+$I$50*Mat_Sum!$AW18)</f>
        <v>2.5353423170196514</v>
      </c>
      <c r="D450" s="349">
        <f ca="1">$H$6*$I$11*($I$56*Mat_Sum!$D18+$I$57*Mat_Sum!$AG18+$I$58*Mat_Sum!$F18+$I$59*Mat_Sum!$AK18+$I$60*Mat_Sum!$I18+$I$61*Mat_Sum!$L18+$I$62*Mat_Sum!$AT18+$I$63*Mat_Sum!$AR18+$I$64*Mat_Sum!$AV18)</f>
        <v>1.1175089627117283</v>
      </c>
      <c r="E450" s="349">
        <f ca="1">$H$6*$I$12*($I$67*Mat_Sum!$D18+$I$68*Mat_Sum!$F18+$I$69*Mat_Sum!$I18+$I$70*Mat_Sum!$L18+$I$71*Mat_Sum!$AG18+$I$72*Mat_Sum!$AH18+$I$73*Mat_Sum!$AK18+$I$74*Mat_Sum!$AS18+$I$75*Mat_Sum!$AR18+$I$76*Mat_Sum!$AV18)+$A$136*(I$140*4)*($A$144*Mat_Sum!$AV18+$B$144*Mat_Sum!$D18)</f>
        <v>9.0794375741586002</v>
      </c>
      <c r="F450" s="349">
        <f ca="1">F448-F449-F451</f>
        <v>1.1723899193059804</v>
      </c>
      <c r="G450" s="349">
        <f ca="1">G448-G449-G451</f>
        <v>0</v>
      </c>
      <c r="H450" s="349">
        <f ca="1">H448-H449-H451</f>
        <v>1.8054966586410348</v>
      </c>
      <c r="I450" s="348"/>
      <c r="J450" s="382">
        <f t="shared" ca="1" si="94"/>
        <v>0.68427338939824389</v>
      </c>
      <c r="K450" s="382">
        <f t="shared" ca="1" si="94"/>
        <v>5.0952647851763518E-2</v>
      </c>
      <c r="L450" s="382">
        <f t="shared" ca="1" si="94"/>
        <v>2.2458521780670013E-2</v>
      </c>
      <c r="M450" s="382">
        <f t="shared" ca="1" si="95"/>
        <v>0.18246900322004422</v>
      </c>
      <c r="N450" s="382">
        <f t="shared" ca="1" si="94"/>
        <v>2.3561461622892972E-2</v>
      </c>
      <c r="O450" s="382">
        <f t="shared" ca="1" si="94"/>
        <v>0</v>
      </c>
      <c r="P450" s="382">
        <f t="shared" ca="1" si="94"/>
        <v>3.628497612638526E-2</v>
      </c>
      <c r="Q450" s="588"/>
    </row>
    <row r="451" spans="1:17">
      <c r="A451" s="230" t="s">
        <v>818</v>
      </c>
      <c r="B451" s="347">
        <f ca="1">$H$6*$I$17*($I$22*Mat_Sum!$D19+$I$23*Mat_Sum!$I19+$I$24*Mat_Sum!$L19+$I$25*Mat_Sum!$AG19+$I$26*Mat_Sum!$AH19+$I$27*Mat_Sum!$AK19+$I$28*Mat_Sum!$AS19+$I$29*Mat_Sum!$AM19+$I$30*Mat_Sum!$AT19+$I$31*Mat_Sum!$AR19+$I$32*Mat_Sum!$AV19)</f>
        <v>14.270753130060211</v>
      </c>
      <c r="C451" s="349">
        <f ca="1">$H$6*$I$10*($I$35*Mat_Sum!$D19+$I$36*Mat_Sum!$E19+$I$37*Mat_Sum!$F19+$I$38*Mat_Sum!$I19+$I$39*Mat_Sum!$L19+$I$40*Mat_Sum!$AG19+$I$41*Mat_Sum!$AK19+$I$42*Mat_Sum!$AS19+$I$43*Mat_Sum!$AR19+$I$44*Mat_Sum!$AV19+$I$45*Mat_Sum!$AT19+$I$46*Mat_Sum!$BH19+$I$47*Mat_Sum!$BG19+$I$48*Mat_Sum!$BJ19+$I$49*Mat_Sum!$BI19+$I$50*Mat_Sum!$AW19)</f>
        <v>1.1033327790909226</v>
      </c>
      <c r="D451" s="349">
        <f ca="1">$H$6*$I$11*($I$56*Mat_Sum!$D19+$I$57*Mat_Sum!$AG19+$I$58*Mat_Sum!$F19+$I$59*Mat_Sum!$AK19+$I$60*Mat_Sum!$I19+$I$61*Mat_Sum!$L19+$I$62*Mat_Sum!$AT19+$I$63*Mat_Sum!$AR19+$I$64*Mat_Sum!$AV19)</f>
        <v>0.27138776699871725</v>
      </c>
      <c r="E451" s="349">
        <f ca="1">$H$6*$I$12*($I$67*Mat_Sum!$D19+$I$68*Mat_Sum!$F19+$I$69*Mat_Sum!$I19+$I$70*Mat_Sum!$L19+$I$71*Mat_Sum!$AG19+$I$72*Mat_Sum!$AH19+$I$73*Mat_Sum!$AK19+$I$74*Mat_Sum!$AS19+$I$75*Mat_Sum!$AR19+$I$76*Mat_Sum!$AV19)+$A$136*(I$140*4)*($A$144*Mat_Sum!$AV19+$B$144*Mat_Sum!$D19)</f>
        <v>2.9350712102013516</v>
      </c>
      <c r="F451" s="349">
        <f ca="1">$H$6*$I$13*($I$79*Mat_Sum!$D19+$I$80*Mat_Sum!$E19+$I$81*Mat_Sum!$L19+$I$82*Mat_Sum!$AG19)</f>
        <v>0.20207226804589154</v>
      </c>
      <c r="G451" s="349">
        <f ca="1">$H$6*$I$14*($I$85*Mat_Sum!$D19+$I$86*Mat_Sum!$L19+$I$87*Mat_Sum!$AG19)</f>
        <v>0</v>
      </c>
      <c r="H451" s="349">
        <f ca="1">$H$6*$I$15*($I$90*Mat_Sum!$D19+$I$91*Mat_Sum!$L19+$I$92*Mat_Sum!$AG19+$I$93*Mat_Sum!$AV19+$I$94*Mat_Sum!$AR19)</f>
        <v>0.61680096963863396</v>
      </c>
      <c r="I451" s="348"/>
      <c r="J451" s="382">
        <f t="shared" ca="1" si="94"/>
        <v>0.73562789557996378</v>
      </c>
      <c r="K451" s="382">
        <f t="shared" ca="1" si="94"/>
        <v>5.6874529536733991E-2</v>
      </c>
      <c r="L451" s="382">
        <f t="shared" ca="1" si="94"/>
        <v>1.3989479749522485E-2</v>
      </c>
      <c r="M451" s="382">
        <f t="shared" ca="1" si="95"/>
        <v>0.15129686836147016</v>
      </c>
      <c r="N451" s="382">
        <f t="shared" ca="1" si="94"/>
        <v>1.0416408716688547E-2</v>
      </c>
      <c r="O451" s="382">
        <f t="shared" ca="1" si="94"/>
        <v>0</v>
      </c>
      <c r="P451" s="382">
        <f t="shared" ca="1" si="94"/>
        <v>3.179481805562108E-2</v>
      </c>
      <c r="Q451" s="588"/>
    </row>
    <row r="452" spans="1:17">
      <c r="A452" s="230" t="s">
        <v>819</v>
      </c>
      <c r="B452" s="517">
        <f ca="1">$H$6*$I$17*($I$22*Mat_Sum!$D20+$I$23*Mat_Sum!$I20+$I$24*Mat_Sum!$L20+$I$25*Mat_Sum!$AG20+$I$26*Mat_Sum!$AH20+$I$27*Mat_Sum!$AK20+$I$28*Mat_Sum!$AS20+$I$29*Mat_Sum!$AM20+$I$30*Mat_Sum!$AT20+$I$31*Mat_Sum!$AR20+$I$32*Mat_Sum!$AV20)</f>
        <v>2169.1815846918375</v>
      </c>
      <c r="C452" s="419">
        <f ca="1">$H$6*$I$10*($I$35*Mat_Sum!$D20+$I$36*Mat_Sum!$E20+$I$37*Mat_Sum!$F20+$I$38*Mat_Sum!$I20+$I$39*Mat_Sum!$L20+$I$40*Mat_Sum!$AG20+$I$41*Mat_Sum!$AK20+$I$42*Mat_Sum!$AS20+$I$43*Mat_Sum!$AR20+$I$44*Mat_Sum!$AV20+$I$45*Mat_Sum!$AT20+$I$46*Mat_Sum!$BH20+$I$47*Mat_Sum!$BG20+$I$48*Mat_Sum!$BJ20+$I$49*Mat_Sum!$BI20+$I$50*Mat_Sum!$AW20)</f>
        <v>611.40669911059911</v>
      </c>
      <c r="D452" s="419">
        <f ca="1">$H$6*$I$11*($I$56*Mat_Sum!$D20+$I$57*Mat_Sum!$AG20+$I$58*Mat_Sum!$F20+$I$59*Mat_Sum!$AK20+$I$60*Mat_Sum!$I20+$I$61*Mat_Sum!$L20+$I$62*Mat_Sum!$AT20+$I$63*Mat_Sum!$AR20+$I$64*Mat_Sum!$AV20)</f>
        <v>426.10974313024911</v>
      </c>
      <c r="E452" s="419">
        <f ca="1">$H$6*$I$12*($I$67*Mat_Sum!$D20+$I$68*Mat_Sum!$F20+$I$69*Mat_Sum!$I20+$I$70*Mat_Sum!$L20+$I$71*Mat_Sum!$AG20+$I$72*Mat_Sum!$AH20+$I$73*Mat_Sum!$AK20+$I$74*Mat_Sum!$AS20+$I$75*Mat_Sum!$AR20+$I$76*Mat_Sum!$AV20)+$A$136*(I$140*4)*($A$144*Mat_Sum!$AV20+$B$144*Mat_Sum!$D20)</f>
        <v>1232.9438694597363</v>
      </c>
      <c r="F452" s="419">
        <f ca="1">$H$6*$I$13*($I$79*Mat_Sum!$D20+$I$80*Mat_Sum!$E20+$I$81*Mat_Sum!$L20+$I$82*Mat_Sum!$AG20)</f>
        <v>229.82046063711371</v>
      </c>
      <c r="G452" s="419">
        <f ca="1">$H$6*$I$14*($I$85*Mat_Sum!$D20+$I$86*Mat_Sum!$L20+$I$87*Mat_Sum!$AG20)</f>
        <v>0</v>
      </c>
      <c r="H452" s="419">
        <f ca="1">$H$6*$I$15*($I$90*Mat_Sum!$D20+$I$91*Mat_Sum!$L20+$I$92*Mat_Sum!$AG20+$I$93*Mat_Sum!$AV20+$I$94*Mat_Sum!$AR20)</f>
        <v>267.53205520980089</v>
      </c>
      <c r="I452" s="516"/>
      <c r="J452" s="382">
        <f t="shared" ca="1" si="94"/>
        <v>0.43937290658344769</v>
      </c>
      <c r="K452" s="382">
        <f t="shared" ca="1" si="94"/>
        <v>0.12384188598529837</v>
      </c>
      <c r="L452" s="382">
        <f t="shared" ca="1" si="94"/>
        <v>8.6309545352912992E-2</v>
      </c>
      <c r="M452" s="382">
        <f t="shared" ca="1" si="95"/>
        <v>0.24973572309564229</v>
      </c>
      <c r="N452" s="382">
        <f t="shared" ca="1" si="94"/>
        <v>4.6550682752924372E-2</v>
      </c>
      <c r="O452" s="382">
        <f t="shared" ca="1" si="94"/>
        <v>0</v>
      </c>
      <c r="P452" s="382">
        <f t="shared" ca="1" si="94"/>
        <v>5.4189256229774191E-2</v>
      </c>
      <c r="Q452" s="588"/>
    </row>
    <row r="453" spans="1:17">
      <c r="A453" s="571" t="s">
        <v>964</v>
      </c>
      <c r="B453" s="347"/>
      <c r="C453" s="349"/>
      <c r="D453" s="349"/>
      <c r="E453" s="349"/>
      <c r="F453" s="349"/>
      <c r="G453" s="349"/>
      <c r="H453" s="349"/>
      <c r="I453" s="348"/>
      <c r="J453" s="382"/>
      <c r="K453" s="382"/>
      <c r="L453" s="382"/>
      <c r="M453" s="382"/>
      <c r="N453" s="382"/>
      <c r="O453" s="382"/>
      <c r="P453" s="382"/>
      <c r="Q453" s="588"/>
    </row>
    <row r="454" spans="1:17">
      <c r="A454" s="230" t="s">
        <v>821</v>
      </c>
      <c r="B454" s="347">
        <f ca="1">$H$6*$I$17*($I$22*Mat_Sum!$D22+$I$23*Mat_Sum!$I22+$I$24*Mat_Sum!$L22+$I$25*Mat_Sum!$AG22+$I$26*Mat_Sum!$AH22+$I$27*Mat_Sum!$AK22+$I$28*Mat_Sum!$AS22+$I$29*Mat_Sum!$AM22+$I$30*Mat_Sum!$AT22+$I$31*Mat_Sum!$AR22+$I$32*Mat_Sum!$AV22)</f>
        <v>984.26253060728209</v>
      </c>
      <c r="C454" s="349">
        <f ca="1">$H$6*$I$10*($I$35*Mat_Sum!$D22+$I$36*Mat_Sum!$E22+$I$37*Mat_Sum!$F22+$I$38*Mat_Sum!$I22+$I$39*Mat_Sum!$L22+$I$40*Mat_Sum!$AG22+$I$41*Mat_Sum!$AK22+$I$42*Mat_Sum!$AS22+$I$43*Mat_Sum!$AR22+$I$44*Mat_Sum!$AV22+$I$45*Mat_Sum!$AT22+$I$46*Mat_Sum!$BH22+$I$47*Mat_Sum!$BG22+$I$48*Mat_Sum!$BJ22+$I$49*Mat_Sum!$BI22+$I$50*Mat_Sum!$AW22)</f>
        <v>63.009987761982352</v>
      </c>
      <c r="D454" s="349">
        <f ca="1">$H$6*$I$11*($I$56*Mat_Sum!$D22+$I$57*Mat_Sum!$AG22+$I$58*Mat_Sum!$F22+$I$59*Mat_Sum!$AK22+$I$60*Mat_Sum!$I22+$I$61*Mat_Sum!$L22+$I$62*Mat_Sum!$AT22+$I$63*Mat_Sum!$AR22+$I$64*Mat_Sum!$AV22)</f>
        <v>136.34767424408528</v>
      </c>
      <c r="E454" s="349">
        <f ca="1">$H$6*$I$12*($I$67*Mat_Sum!$D22+$I$68*Mat_Sum!$F22+$I$69*Mat_Sum!$I22+$I$70*Mat_Sum!$L22+$I$71*Mat_Sum!$AG22+$I$72*Mat_Sum!$AH22+$I$73*Mat_Sum!$AK22+$I$74*Mat_Sum!$AS22+$I$75*Mat_Sum!$AR22+$I$76*Mat_Sum!$AV22)+$A$136*(I$140*4)*($A$144*Mat_Sum!$AV22+$B$144*Mat_Sum!$D22)</f>
        <v>1124.5725689088313</v>
      </c>
      <c r="F454" s="349">
        <f ca="1">$H$6*$I$13*($I$79*Mat_Sum!$D22+$I$80*Mat_Sum!$E22+$I$81*Mat_Sum!$L22+$I$82*Mat_Sum!$AG22)</f>
        <v>84.976681934701531</v>
      </c>
      <c r="G454" s="349">
        <f ca="1">$H$6*$I$14*($I$85*Mat_Sum!$D22+$I$86*Mat_Sum!$L22+$I$87*Mat_Sum!$AG22)</f>
        <v>0</v>
      </c>
      <c r="H454" s="349">
        <f ca="1">$H$6*$I$15*($I$90*Mat_Sum!$D22+$I$91*Mat_Sum!$L22+$I$92*Mat_Sum!$AG22+$I$93*Mat_Sum!$AV22+$I$94*Mat_Sum!$AR22)</f>
        <v>61.135353300583809</v>
      </c>
      <c r="I454" s="348"/>
      <c r="J454" s="382">
        <f t="shared" ref="J454:J466" ca="1" si="96">B454/$I181</f>
        <v>0.40103516560276131</v>
      </c>
      <c r="K454" s="382">
        <f t="shared" ref="K454:K466" ca="1" si="97">C454/$I181</f>
        <v>2.5673252908615399E-2</v>
      </c>
      <c r="L454" s="382">
        <f t="shared" ref="L454:L466" ca="1" si="98">D454/$I181</f>
        <v>5.5554499353227274E-2</v>
      </c>
      <c r="M454" s="382">
        <f t="shared" ref="M454:M466" ca="1" si="99">E454/$I181</f>
        <v>0.45820411971429686</v>
      </c>
      <c r="N454" s="382">
        <f t="shared" ref="N454:N466" ca="1" si="100">F454/$I181</f>
        <v>3.4623524367050684E-2</v>
      </c>
      <c r="O454" s="382">
        <f t="shared" ref="O454:O466" ca="1" si="101">G454/$I181</f>
        <v>0</v>
      </c>
      <c r="P454" s="382">
        <f t="shared" ref="P454:P466" ca="1" si="102">H454/$I181</f>
        <v>2.4909438054048338E-2</v>
      </c>
      <c r="Q454" s="588"/>
    </row>
    <row r="455" spans="1:17">
      <c r="A455" s="230" t="s">
        <v>822</v>
      </c>
      <c r="B455" s="347">
        <f ca="1">$H$6*$I$17*($I$22*Mat_Sum!$D23+$I$23*Mat_Sum!$I23+$I$24*Mat_Sum!$L23+$I$25*Mat_Sum!$AG23+$I$26*Mat_Sum!$AH23+$I$27*Mat_Sum!$AK23+$I$28*Mat_Sum!$AS23+$I$29*Mat_Sum!$AM23+$I$30*Mat_Sum!$AT23+$I$31*Mat_Sum!$AR23+$I$32*Mat_Sum!$AV23)</f>
        <v>3201.0798423364122</v>
      </c>
      <c r="C455" s="349">
        <f ca="1">$H$6*$I$10*($I$35*Mat_Sum!$D23+$I$36*Mat_Sum!$E23+$I$37*Mat_Sum!$F23+$I$38*Mat_Sum!$I23+$I$39*Mat_Sum!$L23+$I$40*Mat_Sum!$AG23+$I$41*Mat_Sum!$AK23+$I$42*Mat_Sum!$AS23+$I$43*Mat_Sum!$AR23+$I$44*Mat_Sum!$AV23+$I$45*Mat_Sum!$AT23+$I$46*Mat_Sum!$BH23+$I$47*Mat_Sum!$BG23+$I$48*Mat_Sum!$BJ23+$I$49*Mat_Sum!$BI23+$I$50*Mat_Sum!$AW23)</f>
        <v>280.89361077030611</v>
      </c>
      <c r="D455" s="349">
        <f ca="1">$H$6*$I$11*($I$56*Mat_Sum!$D23+$I$57*Mat_Sum!$AG23+$I$58*Mat_Sum!$F23+$I$59*Mat_Sum!$AK23+$I$60*Mat_Sum!$I23+$I$61*Mat_Sum!$L23+$I$62*Mat_Sum!$AT23+$I$63*Mat_Sum!$AR23+$I$64*Mat_Sum!$AV23)</f>
        <v>894.67401306578699</v>
      </c>
      <c r="E455" s="349">
        <f ca="1">$H$6*$I$12*($I$67*Mat_Sum!$D23+$I$68*Mat_Sum!$F23+$I$69*Mat_Sum!$I23+$I$70*Mat_Sum!$L23+$I$71*Mat_Sum!$AG23+$I$72*Mat_Sum!$AH23+$I$73*Mat_Sum!$AK23+$I$74*Mat_Sum!$AS23+$I$75*Mat_Sum!$AR23+$I$76*Mat_Sum!$AV23)+$A$136*(I$140*4)*($A$144*Mat_Sum!$AV23+$B$144*Mat_Sum!$D23)</f>
        <v>3347.3589617371317</v>
      </c>
      <c r="F455" s="349">
        <f ca="1">$H$6*$I$13*($I$79*Mat_Sum!$D23+$I$80*Mat_Sum!$E23+$I$81*Mat_Sum!$L23+$I$82*Mat_Sum!$AG23)</f>
        <v>556.87288570020519</v>
      </c>
      <c r="G455" s="349">
        <f ca="1">$H$6*$I$14*($I$85*Mat_Sum!$D23+$I$86*Mat_Sum!$L23+$I$87*Mat_Sum!$AG23)</f>
        <v>0</v>
      </c>
      <c r="H455" s="349">
        <f ca="1">$H$6*$I$15*($I$90*Mat_Sum!$D23+$I$91*Mat_Sum!$L23+$I$92*Mat_Sum!$AG23+$I$93*Mat_Sum!$AV23+$I$94*Mat_Sum!$AR23)</f>
        <v>236.00669474631746</v>
      </c>
      <c r="I455" s="348"/>
      <c r="J455" s="382">
        <f t="shared" ca="1" si="96"/>
        <v>0.37585096703134718</v>
      </c>
      <c r="K455" s="382">
        <f t="shared" ca="1" si="97"/>
        <v>3.2980787871848168E-2</v>
      </c>
      <c r="L455" s="382">
        <f t="shared" ca="1" si="98"/>
        <v>0.10504708084480607</v>
      </c>
      <c r="M455" s="382">
        <f t="shared" ca="1" si="99"/>
        <v>0.39302615515259254</v>
      </c>
      <c r="N455" s="382">
        <f t="shared" ca="1" si="100"/>
        <v>6.5384564869582787E-2</v>
      </c>
      <c r="O455" s="382">
        <f t="shared" ca="1" si="101"/>
        <v>0</v>
      </c>
      <c r="P455" s="382">
        <f t="shared" ca="1" si="102"/>
        <v>2.7710444229823508E-2</v>
      </c>
      <c r="Q455" s="588"/>
    </row>
    <row r="456" spans="1:17">
      <c r="A456" s="230" t="s">
        <v>823</v>
      </c>
      <c r="B456" s="347">
        <f ca="1">$H$6*$I$17*($I$22*Mat_Sum!$D24+$I$23*Mat_Sum!$I24+$I$24*Mat_Sum!$L24+$I$25*Mat_Sum!$AG24+$I$26*Mat_Sum!$AH24+$I$27*Mat_Sum!$AK24+$I$28*Mat_Sum!$AS24+$I$29*Mat_Sum!$AM24+$I$30*Mat_Sum!$AT24+$I$31*Mat_Sum!$AR24+$I$32*Mat_Sum!$AV24)</f>
        <v>3026.0873777249494</v>
      </c>
      <c r="C456" s="349">
        <f ca="1">$H$6*$I$10*($I$35*Mat_Sum!$D24+$I$36*Mat_Sum!$E24+$I$37*Mat_Sum!$F24+$I$38*Mat_Sum!$I24+$I$39*Mat_Sum!$L24+$I$40*Mat_Sum!$AG24+$I$41*Mat_Sum!$AK24+$I$42*Mat_Sum!$AS24+$I$43*Mat_Sum!$AR24+$I$44*Mat_Sum!$AV24+$I$45*Mat_Sum!$AT24+$I$46*Mat_Sum!$BH24+$I$47*Mat_Sum!$BG24+$I$48*Mat_Sum!$BJ24+$I$49*Mat_Sum!$BI24+$I$50*Mat_Sum!$AW24)</f>
        <v>279.16753608707216</v>
      </c>
      <c r="D456" s="349">
        <f ca="1">$H$6*$I$11*($I$56*Mat_Sum!$D24+$I$57*Mat_Sum!$AG24+$I$58*Mat_Sum!$F24+$I$59*Mat_Sum!$AK24+$I$60*Mat_Sum!$I24+$I$61*Mat_Sum!$L24+$I$62*Mat_Sum!$AT24+$I$63*Mat_Sum!$AR24+$I$64*Mat_Sum!$AV24)</f>
        <v>218.51864685004486</v>
      </c>
      <c r="E456" s="349">
        <f ca="1">$H$6*$I$12*($I$67*Mat_Sum!$D24+$I$68*Mat_Sum!$F24+$I$69*Mat_Sum!$I24+$I$70*Mat_Sum!$L24+$I$71*Mat_Sum!$AG24+$I$72*Mat_Sum!$AH24+$I$73*Mat_Sum!$AK24+$I$74*Mat_Sum!$AS24+$I$75*Mat_Sum!$AR24+$I$76*Mat_Sum!$AV24)+$A$136*(I$140*4)*($A$144*Mat_Sum!$AV24+$B$144*Mat_Sum!$D24)</f>
        <v>1351.1540462966145</v>
      </c>
      <c r="F456" s="349">
        <f ca="1">$H$6*$I$13*($I$79*Mat_Sum!$D24+$I$80*Mat_Sum!$E24+$I$81*Mat_Sum!$L24+$I$82*Mat_Sum!$AG24)</f>
        <v>177.70516179520914</v>
      </c>
      <c r="G456" s="349">
        <f ca="1">$H$6*$I$14*($I$85*Mat_Sum!$D24+$I$86*Mat_Sum!$L24+$I$87*Mat_Sum!$AG24)</f>
        <v>0</v>
      </c>
      <c r="H456" s="349">
        <f ca="1">$H$6*$I$15*($I$90*Mat_Sum!$D24+$I$91*Mat_Sum!$L24+$I$92*Mat_Sum!$AG24+$I$93*Mat_Sum!$AV24+$I$94*Mat_Sum!$AR24)</f>
        <v>180.48111898838215</v>
      </c>
      <c r="I456" s="348"/>
      <c r="J456" s="382">
        <f t="shared" ca="1" si="96"/>
        <v>0.57825750454487002</v>
      </c>
      <c r="K456" s="382">
        <f t="shared" ca="1" si="97"/>
        <v>5.3346352109969783E-2</v>
      </c>
      <c r="L456" s="382">
        <f t="shared" ca="1" si="98"/>
        <v>4.1756906411284038E-2</v>
      </c>
      <c r="M456" s="382">
        <f t="shared" ca="1" si="99"/>
        <v>0.2581931284662991</v>
      </c>
      <c r="N456" s="382">
        <f t="shared" ca="1" si="100"/>
        <v>3.3957824271979804E-2</v>
      </c>
      <c r="O456" s="382">
        <f t="shared" ca="1" si="101"/>
        <v>0</v>
      </c>
      <c r="P456" s="382">
        <f t="shared" ca="1" si="102"/>
        <v>3.448828419559722E-2</v>
      </c>
      <c r="Q456" s="588"/>
    </row>
    <row r="457" spans="1:17">
      <c r="A457" s="230" t="s">
        <v>824</v>
      </c>
      <c r="B457" s="347">
        <f ca="1">$H$6*$I$17*($I$22*Mat_Sum!$D25+$I$23*Mat_Sum!$I25+$I$24*Mat_Sum!$L25+$I$25*Mat_Sum!$AG25+$I$26*Mat_Sum!$AH25+$I$27*Mat_Sum!$AK25+$I$28*Mat_Sum!$AS25+$I$29*Mat_Sum!$AM25+$I$30*Mat_Sum!$AT25+$I$31*Mat_Sum!$AR25+$I$32*Mat_Sum!$AV25)</f>
        <v>1579.9439057675056</v>
      </c>
      <c r="C457" s="349">
        <f ca="1">$H$6*$I$10*($I$35*Mat_Sum!$D25+$I$36*Mat_Sum!$E25+$I$37*Mat_Sum!$F25+$I$38*Mat_Sum!$I25+$I$39*Mat_Sum!$L25+$I$40*Mat_Sum!$AG25+$I$41*Mat_Sum!$AK25+$I$42*Mat_Sum!$AS25+$I$43*Mat_Sum!$AR25+$I$44*Mat_Sum!$AV25+$I$45*Mat_Sum!$AT25+$I$46*Mat_Sum!$BH25+$I$47*Mat_Sum!$BG25+$I$48*Mat_Sum!$BJ25+$I$49*Mat_Sum!$BI25+$I$50*Mat_Sum!$AW25)</f>
        <v>130.74000974851609</v>
      </c>
      <c r="D457" s="349">
        <f ca="1">$H$6*$I$11*($I$56*Mat_Sum!$D25+$I$57*Mat_Sum!$AG25+$I$58*Mat_Sum!$F25+$I$59*Mat_Sum!$AK25+$I$60*Mat_Sum!$I25+$I$61*Mat_Sum!$L25+$I$62*Mat_Sum!$AT25+$I$63*Mat_Sum!$AR25+$I$64*Mat_Sum!$AV25)</f>
        <v>132.10297986336565</v>
      </c>
      <c r="E457" s="349">
        <f ca="1">$H$6*$I$12*($I$67*Mat_Sum!$D25+$I$68*Mat_Sum!$F25+$I$69*Mat_Sum!$I25+$I$70*Mat_Sum!$L25+$I$71*Mat_Sum!$AG25+$I$72*Mat_Sum!$AH25+$I$73*Mat_Sum!$AK25+$I$74*Mat_Sum!$AS25+$I$75*Mat_Sum!$AR25+$I$76*Mat_Sum!$AV25)+$A$136*(I$140*4)*($A$144*Mat_Sum!$AV25+$B$144*Mat_Sum!$D25)</f>
        <v>629.58088509535082</v>
      </c>
      <c r="F457" s="349">
        <f ca="1">$H$6*$I$13*($I$79*Mat_Sum!$D25+$I$80*Mat_Sum!$E25+$I$81*Mat_Sum!$L25+$I$82*Mat_Sum!$AG25)</f>
        <v>81.948094454486963</v>
      </c>
      <c r="G457" s="349">
        <f ca="1">$H$6*$I$14*($I$85*Mat_Sum!$D25+$I$86*Mat_Sum!$L25+$I$87*Mat_Sum!$AG25)</f>
        <v>0</v>
      </c>
      <c r="H457" s="349">
        <f ca="1">$H$6*$I$15*($I$90*Mat_Sum!$D25+$I$91*Mat_Sum!$L25+$I$92*Mat_Sum!$AG25+$I$93*Mat_Sum!$AV25+$I$94*Mat_Sum!$AR25)</f>
        <v>75.328761039970615</v>
      </c>
      <c r="I457" s="348"/>
      <c r="J457" s="382">
        <f t="shared" ca="1" si="96"/>
        <v>0.60082031015007953</v>
      </c>
      <c r="K457" s="382">
        <f t="shared" ca="1" si="97"/>
        <v>4.9717748155096185E-2</v>
      </c>
      <c r="L457" s="382">
        <f t="shared" ca="1" si="98"/>
        <v>5.0236057776178206E-2</v>
      </c>
      <c r="M457" s="382">
        <f t="shared" ca="1" si="99"/>
        <v>0.23941671680033261</v>
      </c>
      <c r="N457" s="382">
        <f t="shared" ca="1" si="100"/>
        <v>3.1163182026032091E-2</v>
      </c>
      <c r="O457" s="382">
        <f t="shared" ca="1" si="101"/>
        <v>0</v>
      </c>
      <c r="P457" s="382">
        <f t="shared" ca="1" si="102"/>
        <v>2.8645985092281123E-2</v>
      </c>
      <c r="Q457" s="588"/>
    </row>
    <row r="458" spans="1:17">
      <c r="A458" s="230" t="s">
        <v>825</v>
      </c>
      <c r="B458" s="347">
        <f ca="1">$H$6*$I$17*($I$22*Mat_Sum!$D26+$I$23*Mat_Sum!$I26+$I$24*Mat_Sum!$L26+$I$25*Mat_Sum!$AG26+$I$26*Mat_Sum!$AH26+$I$27*Mat_Sum!$AK26+$I$28*Mat_Sum!$AS26+$I$29*Mat_Sum!$AM26+$I$30*Mat_Sum!$AT26+$I$31*Mat_Sum!$AR26+$I$32*Mat_Sum!$AV26)</f>
        <v>390.74770524620487</v>
      </c>
      <c r="C458" s="349">
        <f ca="1">$H$6*$I$10*($I$35*Mat_Sum!$D26+$I$36*Mat_Sum!$E26+$I$37*Mat_Sum!$F26+$I$38*Mat_Sum!$I26+$I$39*Mat_Sum!$L26+$I$40*Mat_Sum!$AG26+$I$41*Mat_Sum!$AK26+$I$42*Mat_Sum!$AS26+$I$43*Mat_Sum!$AR26+$I$44*Mat_Sum!$AV26+$I$45*Mat_Sum!$AT26+$I$46*Mat_Sum!$BH26+$I$47*Mat_Sum!$BG26+$I$48*Mat_Sum!$BJ26+$I$49*Mat_Sum!$BI26+$I$50*Mat_Sum!$AW26)</f>
        <v>59.165949178624594</v>
      </c>
      <c r="D458" s="349">
        <f ca="1">$H$6*$I$11*($I$56*Mat_Sum!$D26+$I$57*Mat_Sum!$AG26+$I$58*Mat_Sum!$F26+$I$59*Mat_Sum!$AK26+$I$60*Mat_Sum!$I26+$I$61*Mat_Sum!$L26+$I$62*Mat_Sum!$AT26+$I$63*Mat_Sum!$AR26+$I$64*Mat_Sum!$AV26)</f>
        <v>65.852189691971603</v>
      </c>
      <c r="E458" s="349">
        <f ca="1">$H$6*$I$12*($I$67*Mat_Sum!$D26+$I$68*Mat_Sum!$F26+$I$69*Mat_Sum!$I26+$I$70*Mat_Sum!$L26+$I$71*Mat_Sum!$AG26+$I$72*Mat_Sum!$AH26+$I$73*Mat_Sum!$AK26+$I$74*Mat_Sum!$AS26+$I$75*Mat_Sum!$AR26+$I$76*Mat_Sum!$AV26)+$A$136*(I$140*4)*($A$144*Mat_Sum!$AV26+$B$144*Mat_Sum!$D26)</f>
        <v>284.83972284458793</v>
      </c>
      <c r="F458" s="349">
        <f ca="1">$H$6*$I$13*($I$79*Mat_Sum!$D26+$I$80*Mat_Sum!$E26+$I$81*Mat_Sum!$L26+$I$82*Mat_Sum!$AG26)</f>
        <v>41.776527672384042</v>
      </c>
      <c r="G458" s="349">
        <f ca="1">$H$6*$I$14*($I$85*Mat_Sum!$D26+$I$86*Mat_Sum!$L26+$I$87*Mat_Sum!$AG26)</f>
        <v>0</v>
      </c>
      <c r="H458" s="349">
        <f ca="1">$H$6*$I$15*($I$90*Mat_Sum!$D26+$I$91*Mat_Sum!$L26+$I$92*Mat_Sum!$AG26+$I$93*Mat_Sum!$AV26+$I$94*Mat_Sum!$AR26)</f>
        <v>34.358685343356036</v>
      </c>
      <c r="I458" s="348"/>
      <c r="J458" s="382">
        <f t="shared" ca="1" si="96"/>
        <v>0.445682137947773</v>
      </c>
      <c r="K458" s="382">
        <f t="shared" ca="1" si="97"/>
        <v>6.7483970781156116E-2</v>
      </c>
      <c r="L458" s="382">
        <f t="shared" ca="1" si="98"/>
        <v>7.5110216378539457E-2</v>
      </c>
      <c r="M458" s="382">
        <f t="shared" ca="1" si="99"/>
        <v>0.32488476565675251</v>
      </c>
      <c r="N458" s="382">
        <f t="shared" ca="1" si="100"/>
        <v>4.7649805537132474E-2</v>
      </c>
      <c r="O458" s="382">
        <f t="shared" ca="1" si="101"/>
        <v>0</v>
      </c>
      <c r="P458" s="382">
        <f t="shared" ca="1" si="102"/>
        <v>3.918910369864663E-2</v>
      </c>
      <c r="Q458" s="588"/>
    </row>
    <row r="459" spans="1:17">
      <c r="A459" s="230" t="s">
        <v>826</v>
      </c>
      <c r="B459" s="347">
        <f ca="1">$H$6*$I$17*($I$22*Mat_Sum!$D27+$I$23*Mat_Sum!$I27+$I$24*Mat_Sum!$L27+$I$25*Mat_Sum!$AG27+$I$26*Mat_Sum!$AH27+$I$27*Mat_Sum!$AK27+$I$28*Mat_Sum!$AS27+$I$29*Mat_Sum!$AM27+$I$30*Mat_Sum!$AT27+$I$31*Mat_Sum!$AR27+$I$32*Mat_Sum!$AV27)</f>
        <v>5758.2038581271518</v>
      </c>
      <c r="C459" s="349">
        <f ca="1">$H$6*$I$10*($I$35*Mat_Sum!$D27+$I$36*Mat_Sum!$E27+$I$37*Mat_Sum!$F27+$I$38*Mat_Sum!$I27+$I$39*Mat_Sum!$L27+$I$40*Mat_Sum!$AG27+$I$41*Mat_Sum!$AK27+$I$42*Mat_Sum!$AS27+$I$43*Mat_Sum!$AR27+$I$44*Mat_Sum!$AV27+$I$45*Mat_Sum!$AT27+$I$46*Mat_Sum!$BH27+$I$47*Mat_Sum!$BG27+$I$48*Mat_Sum!$BJ27+$I$49*Mat_Sum!$BI27+$I$50*Mat_Sum!$AW27)</f>
        <v>3596.7817961844908</v>
      </c>
      <c r="D459" s="349">
        <f ca="1">$H$6*$I$11*($I$56*Mat_Sum!$D27+$I$57*Mat_Sum!$AG27+$I$58*Mat_Sum!$F27+$I$59*Mat_Sum!$AK27+$I$60*Mat_Sum!$I27+$I$61*Mat_Sum!$L27+$I$62*Mat_Sum!$AT27+$I$63*Mat_Sum!$AR27+$I$64*Mat_Sum!$AV27)</f>
        <v>2642.3377935695057</v>
      </c>
      <c r="E459" s="349">
        <f ca="1">$H$6*$I$12*($I$67*Mat_Sum!$D27+$I$68*Mat_Sum!$F27+$I$69*Mat_Sum!$I27+$I$70*Mat_Sum!$L27+$I$71*Mat_Sum!$AG27+$I$72*Mat_Sum!$AH27+$I$73*Mat_Sum!$AK27+$I$74*Mat_Sum!$AS27+$I$75*Mat_Sum!$AR27+$I$76*Mat_Sum!$AV27)+$A$136*(I$140*4)*($A$144*Mat_Sum!$AV27+$B$144*Mat_Sum!$D27)</f>
        <v>3513.1396484866082</v>
      </c>
      <c r="F459" s="349">
        <f ca="1">$H$6*$I$13*($I$79*Mat_Sum!$D27+$I$80*Mat_Sum!$E27+$I$81*Mat_Sum!$L27+$I$82*Mat_Sum!$AG27)</f>
        <v>3159.6264383065777</v>
      </c>
      <c r="G459" s="349">
        <f ca="1">$H$6*$I$14*($I$85*Mat_Sum!$D27+$I$86*Mat_Sum!$L27+$I$87*Mat_Sum!$AG27)</f>
        <v>0</v>
      </c>
      <c r="H459" s="349">
        <f ca="1">$H$6*$I$15*($I$90*Mat_Sum!$D27+$I$91*Mat_Sum!$L27+$I$92*Mat_Sum!$AG27+$I$93*Mat_Sum!$AV27+$I$94*Mat_Sum!$AR27)</f>
        <v>1258.9010650941034</v>
      </c>
      <c r="I459" s="348"/>
      <c r="J459" s="382">
        <f t="shared" ca="1" si="96"/>
        <v>0.28893605169315789</v>
      </c>
      <c r="K459" s="382">
        <f t="shared" ca="1" si="97"/>
        <v>0.1804798782044828</v>
      </c>
      <c r="L459" s="382">
        <f t="shared" ca="1" si="98"/>
        <v>0.1325876381114961</v>
      </c>
      <c r="M459" s="382">
        <f t="shared" ca="1" si="99"/>
        <v>0.17628286946592409</v>
      </c>
      <c r="N459" s="382">
        <f t="shared" ca="1" si="100"/>
        <v>0.15854422844392782</v>
      </c>
      <c r="O459" s="382">
        <f t="shared" ca="1" si="101"/>
        <v>0</v>
      </c>
      <c r="P459" s="382">
        <f t="shared" ca="1" si="102"/>
        <v>6.316933408101115E-2</v>
      </c>
      <c r="Q459" s="588"/>
    </row>
    <row r="460" spans="1:17">
      <c r="A460" s="661" t="s">
        <v>827</v>
      </c>
      <c r="B460" s="347">
        <f ca="1">$H$6*$I$17*($I$22*Mat_Sum!$D28+$I$23*Mat_Sum!$I28+$I$24*Mat_Sum!$L28+$I$25*Mat_Sum!$AG28+$I$26*Mat_Sum!$AH28+$I$27*Mat_Sum!$AK28+$I$28*Mat_Sum!$AS28+$I$29*Mat_Sum!$AM28+$I$30*Mat_Sum!$AT28+$I$31*Mat_Sum!$AR28+$I$32*Mat_Sum!$AV28)</f>
        <v>20.778973031485741</v>
      </c>
      <c r="C460" s="349">
        <f ca="1">$H$6*$I$10*($I$35*Mat_Sum!$D28+$I$36*Mat_Sum!$E28+$I$37*Mat_Sum!$F28+$I$38*Mat_Sum!$I28+$I$39*Mat_Sum!$L28+$I$40*Mat_Sum!$AG28+$I$41*Mat_Sum!$AK28+$I$42*Mat_Sum!$AS28+$I$43*Mat_Sum!$AR28+$I$44*Mat_Sum!$AV28+$I$45*Mat_Sum!$AT28+$I$46*Mat_Sum!$BH28+$I$47*Mat_Sum!$BG28+$I$48*Mat_Sum!$BJ28+$I$49*Mat_Sum!$BI28+$I$50*Mat_Sum!$AW28)</f>
        <v>2.43414640756178</v>
      </c>
      <c r="D460" s="349">
        <f ca="1">$H$6*$I$11*($I$56*Mat_Sum!$D28+$I$57*Mat_Sum!$AG28+$I$58*Mat_Sum!$F28+$I$59*Mat_Sum!$AK28+$I$60*Mat_Sum!$I28+$I$61*Mat_Sum!$L28+$I$62*Mat_Sum!$AT28+$I$63*Mat_Sum!$AR28+$I$64*Mat_Sum!$AV28)</f>
        <v>1.5079568126212515</v>
      </c>
      <c r="E460" s="349">
        <f ca="1">$H$6*$I$12*($I$67*Mat_Sum!$D28+$I$68*Mat_Sum!$F28+$I$69*Mat_Sum!$I28+$I$70*Mat_Sum!$L28+$I$71*Mat_Sum!$AG28+$I$72*Mat_Sum!$AH28+$I$73*Mat_Sum!$AK28+$I$74*Mat_Sum!$AS28+$I$75*Mat_Sum!$AR28+$I$76*Mat_Sum!$AV28)+$A$136*(I$140*4)*($A$144*Mat_Sum!$AV28+$B$144*Mat_Sum!$D28)</f>
        <v>8.6677272918730992</v>
      </c>
      <c r="F460" s="349">
        <f ca="1">$H$6*$I$13*($I$79*Mat_Sum!$D28+$I$80*Mat_Sum!$E28+$I$81*Mat_Sum!$L28+$I$82*Mat_Sum!$AG28)</f>
        <v>1.5473132392441846</v>
      </c>
      <c r="G460" s="349">
        <f ca="1">$H$6*$I$14*($I$85*Mat_Sum!$D28+$I$86*Mat_Sum!$L28+$I$87*Mat_Sum!$AG28)</f>
        <v>0</v>
      </c>
      <c r="H460" s="349">
        <f ca="1">$H$6*$I$15*($I$90*Mat_Sum!$D28+$I$91*Mat_Sum!$L28+$I$92*Mat_Sum!$AG28+$I$93*Mat_Sum!$AV28+$I$94*Mat_Sum!$AR28)</f>
        <v>1.4407439246895206</v>
      </c>
      <c r="I460" s="348"/>
      <c r="J460" s="382">
        <f t="shared" ca="1" si="96"/>
        <v>0.5712140252722685</v>
      </c>
      <c r="K460" s="382">
        <f t="shared" ca="1" si="97"/>
        <v>6.6914691378565122E-2</v>
      </c>
      <c r="L460" s="382">
        <f t="shared" ca="1" si="98"/>
        <v>4.1453736889158252E-2</v>
      </c>
      <c r="M460" s="382">
        <f t="shared" ca="1" si="99"/>
        <v>0.2382758468789983</v>
      </c>
      <c r="N460" s="382">
        <f t="shared" ca="1" si="100"/>
        <v>4.2535645164295512E-2</v>
      </c>
      <c r="O460" s="382">
        <f t="shared" ca="1" si="101"/>
        <v>0</v>
      </c>
      <c r="P460" s="382">
        <f t="shared" ca="1" si="102"/>
        <v>3.9606054416714491E-2</v>
      </c>
      <c r="Q460" s="588"/>
    </row>
    <row r="461" spans="1:17">
      <c r="A461" s="661" t="s">
        <v>828</v>
      </c>
      <c r="B461" s="347">
        <f ca="1">$H$6*$I$17*($I$22*Mat_Sum!$D29+$I$23*Mat_Sum!$I29+$I$24*Mat_Sum!$L29+$I$25*Mat_Sum!$AG29+$I$26*Mat_Sum!$AH29+$I$27*Mat_Sum!$AK29+$I$28*Mat_Sum!$AS29+$I$29*Mat_Sum!$AM29+$I$30*Mat_Sum!$AT29+$I$31*Mat_Sum!$AR29+$I$32*Mat_Sum!$AV29)</f>
        <v>51.161026703936649</v>
      </c>
      <c r="C461" s="349">
        <f ca="1">$H$6*$I$10*($I$35*Mat_Sum!$D29+$I$36*Mat_Sum!$E29+$I$37*Mat_Sum!$F29+$I$38*Mat_Sum!$I29+$I$39*Mat_Sum!$L29+$I$40*Mat_Sum!$AG29+$I$41*Mat_Sum!$AK29+$I$42*Mat_Sum!$AS29+$I$43*Mat_Sum!$AR29+$I$44*Mat_Sum!$AV29+$I$45*Mat_Sum!$AT29+$I$46*Mat_Sum!$BH29+$I$47*Mat_Sum!$BG29+$I$48*Mat_Sum!$BJ29+$I$49*Mat_Sum!$BI29+$I$50*Mat_Sum!$AW29)</f>
        <v>4.1603194876155545</v>
      </c>
      <c r="D461" s="349">
        <f ca="1">$H$6*$I$11*($I$56*Mat_Sum!$D29+$I$57*Mat_Sum!$AG29+$I$58*Mat_Sum!$F29+$I$59*Mat_Sum!$AK29+$I$60*Mat_Sum!$I29+$I$61*Mat_Sum!$L29+$I$62*Mat_Sum!$AT29+$I$63*Mat_Sum!$AR29+$I$64*Mat_Sum!$AV29)</f>
        <v>2.8200978417610565</v>
      </c>
      <c r="E461" s="349">
        <f ca="1">$H$6*$I$12*($I$67*Mat_Sum!$D29+$I$68*Mat_Sum!$F29+$I$69*Mat_Sum!$I29+$I$70*Mat_Sum!$L29+$I$71*Mat_Sum!$AG29+$I$72*Mat_Sum!$AH29+$I$73*Mat_Sum!$AK29+$I$74*Mat_Sum!$AS29+$I$75*Mat_Sum!$AR29+$I$76*Mat_Sum!$AV29)+$A$136*(I$140*4)*($A$144*Mat_Sum!$AV29+$B$144*Mat_Sum!$D29)</f>
        <v>18.211108145444854</v>
      </c>
      <c r="F461" s="349">
        <f ca="1">$H$6*$I$13*($I$79*Mat_Sum!$D29+$I$80*Mat_Sum!$E29+$I$81*Mat_Sum!$L29+$I$82*Mat_Sum!$AG29)</f>
        <v>2.6190503316444693</v>
      </c>
      <c r="G461" s="349">
        <f ca="1">$H$6*$I$14*($I$85*Mat_Sum!$D29+$I$86*Mat_Sum!$L29+$I$87*Mat_Sum!$AG29)</f>
        <v>0</v>
      </c>
      <c r="H461" s="349">
        <f ca="1">$H$6*$I$15*($I$90*Mat_Sum!$D29+$I$91*Mat_Sum!$L29+$I$92*Mat_Sum!$AG29+$I$93*Mat_Sum!$AV29+$I$94*Mat_Sum!$AR29)</f>
        <v>2.840776747959215</v>
      </c>
      <c r="I461" s="348"/>
      <c r="J461" s="382">
        <f t="shared" ca="1" si="96"/>
        <v>0.62534578712557898</v>
      </c>
      <c r="K461" s="382">
        <f t="shared" ca="1" si="97"/>
        <v>5.0851955722707336E-2</v>
      </c>
      <c r="L461" s="382">
        <f t="shared" ca="1" si="98"/>
        <v>3.4470307150648263E-2</v>
      </c>
      <c r="M461" s="382">
        <f t="shared" ca="1" si="99"/>
        <v>0.22259599721375356</v>
      </c>
      <c r="N461" s="382">
        <f t="shared" ca="1" si="100"/>
        <v>3.2012885524005635E-2</v>
      </c>
      <c r="O461" s="382">
        <f t="shared" ca="1" si="101"/>
        <v>0</v>
      </c>
      <c r="P461" s="382">
        <f t="shared" ca="1" si="102"/>
        <v>3.4723067263306213E-2</v>
      </c>
      <c r="Q461" s="588"/>
    </row>
    <row r="462" spans="1:17">
      <c r="A462" s="230" t="s">
        <v>829</v>
      </c>
      <c r="B462" s="347">
        <f ca="1">$H$6*$I$17*($I$22*Mat_Sum!$D30+$I$23*Mat_Sum!$I30+$I$24*Mat_Sum!$L30+$I$25*Mat_Sum!$AG30+$I$26*Mat_Sum!$AH30+$I$27*Mat_Sum!$AK30+$I$28*Mat_Sum!$AS30+$I$29*Mat_Sum!$AM30+$I$30*Mat_Sum!$AT30+$I$31*Mat_Sum!$AR30+$I$32*Mat_Sum!$AV30)</f>
        <v>9761.0896601679633</v>
      </c>
      <c r="C462" s="349">
        <f ca="1">$H$6*$I$10*($I$35*Mat_Sum!$D30+$I$36*Mat_Sum!$E30+$I$37*Mat_Sum!$F30+$I$38*Mat_Sum!$I30+$I$39*Mat_Sum!$L30+$I$40*Mat_Sum!$AG30+$I$41*Mat_Sum!$AK30+$I$42*Mat_Sum!$AS30+$I$43*Mat_Sum!$AR30+$I$44*Mat_Sum!$AV30+$I$45*Mat_Sum!$AT30+$I$46*Mat_Sum!$BH30+$I$47*Mat_Sum!$BG30+$I$48*Mat_Sum!$BJ30+$I$49*Mat_Sum!$BI30+$I$50*Mat_Sum!$AW30)</f>
        <v>947.35702844218088</v>
      </c>
      <c r="D462" s="349">
        <f ca="1">$H$6*$I$11*($I$56*Mat_Sum!$D30+$I$57*Mat_Sum!$AG30+$I$58*Mat_Sum!$F30+$I$59*Mat_Sum!$AK30+$I$60*Mat_Sum!$I30+$I$61*Mat_Sum!$L30+$I$62*Mat_Sum!$AT30+$I$63*Mat_Sum!$AR30+$I$64*Mat_Sum!$AV30)</f>
        <v>431.81614979814884</v>
      </c>
      <c r="E462" s="349">
        <f ca="1">$H$6*$I$12*($I$67*Mat_Sum!$D30+$I$68*Mat_Sum!$F30+$I$69*Mat_Sum!$I30+$I$70*Mat_Sum!$L30+$I$71*Mat_Sum!$AG30+$I$72*Mat_Sum!$AH30+$I$73*Mat_Sum!$AK30+$I$74*Mat_Sum!$AS30+$I$75*Mat_Sum!$AR30+$I$76*Mat_Sum!$AV30)+$A$136*(I$140*4)*($A$144*Mat_Sum!$AV30+$B$144*Mat_Sum!$D30)</f>
        <v>2787.684299434437</v>
      </c>
      <c r="F462" s="349">
        <f ca="1">$H$6*$I$13*($I$79*Mat_Sum!$D30+$I$80*Mat_Sum!$E30+$I$81*Mat_Sum!$L30+$I$82*Mat_Sum!$AG30)</f>
        <v>369.24840584256464</v>
      </c>
      <c r="G462" s="349">
        <f ca="1">$H$6*$I$14*($I$85*Mat_Sum!$D30+$I$86*Mat_Sum!$L30+$I$87*Mat_Sum!$AG30)</f>
        <v>0</v>
      </c>
      <c r="H462" s="349">
        <f ca="1">$H$6*$I$15*($I$90*Mat_Sum!$D30+$I$91*Mat_Sum!$L30+$I$92*Mat_Sum!$AG30+$I$93*Mat_Sum!$AV30+$I$94*Mat_Sum!$AR30)</f>
        <v>604.84062470745243</v>
      </c>
      <c r="I462" s="348"/>
      <c r="J462" s="382">
        <f t="shared" ca="1" si="96"/>
        <v>0.6550171768386428</v>
      </c>
      <c r="K462" s="382">
        <f t="shared" ca="1" si="97"/>
        <v>6.357232110679796E-2</v>
      </c>
      <c r="L462" s="382">
        <f t="shared" ca="1" si="98"/>
        <v>2.897698978304937E-2</v>
      </c>
      <c r="M462" s="382">
        <f t="shared" ca="1" si="99"/>
        <v>0.1870673422030153</v>
      </c>
      <c r="N462" s="382">
        <f t="shared" ca="1" si="100"/>
        <v>2.477838609905815E-2</v>
      </c>
      <c r="O462" s="382">
        <f t="shared" ca="1" si="101"/>
        <v>0</v>
      </c>
      <c r="P462" s="382">
        <f t="shared" ca="1" si="102"/>
        <v>4.0587783969436388E-2</v>
      </c>
      <c r="Q462" s="588"/>
    </row>
    <row r="463" spans="1:17">
      <c r="A463" s="230" t="s">
        <v>830</v>
      </c>
      <c r="B463" s="347">
        <f ca="1">$H$6*$I$17*($I$22*Mat_Sum!$D31+$I$23*Mat_Sum!$I31+$I$24*Mat_Sum!$L31+$I$25*Mat_Sum!$AG31+$I$26*Mat_Sum!$AH31+$I$27*Mat_Sum!$AK31+$I$28*Mat_Sum!$AS31+$I$29*Mat_Sum!$AM31+$I$30*Mat_Sum!$AT31+$I$31*Mat_Sum!$AR31+$I$32*Mat_Sum!$AV31)</f>
        <v>86.098698780178651</v>
      </c>
      <c r="C463" s="349">
        <f ca="1">$H$6*$I$10*($I$35*Mat_Sum!$D31+$I$36*Mat_Sum!$E31+$I$37*Mat_Sum!$F31+$I$38*Mat_Sum!$I31+$I$39*Mat_Sum!$L31+$I$40*Mat_Sum!$AG31+$I$41*Mat_Sum!$AK31+$I$42*Mat_Sum!$AS31+$I$43*Mat_Sum!$AR31+$I$44*Mat_Sum!$AV31+$I$45*Mat_Sum!$AT31+$I$46*Mat_Sum!$BH31+$I$47*Mat_Sum!$BG31+$I$48*Mat_Sum!$BJ31+$I$49*Mat_Sum!$BI31+$I$50*Mat_Sum!$AW31)</f>
        <v>10.695566100158677</v>
      </c>
      <c r="D463" s="349">
        <f ca="1">$H$6*$I$11*($I$56*Mat_Sum!$D31+$I$57*Mat_Sum!$AG31+$I$58*Mat_Sum!$F31+$I$59*Mat_Sum!$AK31+$I$60*Mat_Sum!$I31+$I$61*Mat_Sum!$L31+$I$62*Mat_Sum!$AT31+$I$63*Mat_Sum!$AR31+$I$64*Mat_Sum!$AV31)</f>
        <v>3.6753991222102198</v>
      </c>
      <c r="E463" s="349">
        <f ca="1">$H$6*$I$12*($I$67*Mat_Sum!$D31+$I$68*Mat_Sum!$F31+$I$69*Mat_Sum!$I31+$I$70*Mat_Sum!$L31+$I$71*Mat_Sum!$AG31+$I$72*Mat_Sum!$AH31+$I$73*Mat_Sum!$AK31+$I$74*Mat_Sum!$AS31+$I$75*Mat_Sum!$AR31+$I$76*Mat_Sum!$AV31)+$A$136*(I$140*4)*($A$144*Mat_Sum!$AV31+$B$144*Mat_Sum!$D31)</f>
        <v>25.744920375132207</v>
      </c>
      <c r="F463" s="349">
        <f ca="1">$H$6*$I$13*($I$79*Mat_Sum!$D31+$I$80*Mat_Sum!$E31+$I$81*Mat_Sum!$L31+$I$82*Mat_Sum!$AG31)</f>
        <v>3.3845432015446959</v>
      </c>
      <c r="G463" s="349">
        <f ca="1">$H$6*$I$14*($I$85*Mat_Sum!$D31+$I$86*Mat_Sum!$L31+$I$87*Mat_Sum!$AG31)</f>
        <v>0</v>
      </c>
      <c r="H463" s="349">
        <f ca="1">$H$6*$I$15*($I$90*Mat_Sum!$D31+$I$91*Mat_Sum!$L31+$I$92*Mat_Sum!$AG31+$I$93*Mat_Sum!$AV31+$I$94*Mat_Sum!$AR31)</f>
        <v>6.6870614979767957</v>
      </c>
      <c r="I463" s="348"/>
      <c r="J463" s="382">
        <f t="shared" ca="1" si="96"/>
        <v>0.63174925766987877</v>
      </c>
      <c r="K463" s="382">
        <f t="shared" ca="1" si="97"/>
        <v>7.8478723138263262E-2</v>
      </c>
      <c r="L463" s="382">
        <f t="shared" ca="1" si="98"/>
        <v>2.6968243422877111E-2</v>
      </c>
      <c r="M463" s="382">
        <f t="shared" ca="1" si="99"/>
        <v>0.18890336980916406</v>
      </c>
      <c r="N463" s="382">
        <f t="shared" ca="1" si="100"/>
        <v>2.4834087917943563E-2</v>
      </c>
      <c r="O463" s="382">
        <f t="shared" ca="1" si="101"/>
        <v>0</v>
      </c>
      <c r="P463" s="382">
        <f t="shared" ca="1" si="102"/>
        <v>4.9066318041873003E-2</v>
      </c>
      <c r="Q463" s="588"/>
    </row>
    <row r="464" spans="1:17">
      <c r="A464" s="230" t="s">
        <v>831</v>
      </c>
      <c r="B464" s="517">
        <f ca="1">$H$6*$I$17*($I$22*Mat_Sum!$D32+$I$23*Mat_Sum!$I32+$I$24*Mat_Sum!$L32+$I$25*Mat_Sum!$AG32+$I$26*Mat_Sum!$AH32+$I$27*Mat_Sum!$AK32+$I$28*Mat_Sum!$AS32+$I$29*Mat_Sum!$AM32+$I$30*Mat_Sum!$AT32+$I$31*Mat_Sum!$AR32+$I$32*Mat_Sum!$AV32)</f>
        <v>2817510.0761175486</v>
      </c>
      <c r="C464" s="419">
        <f ca="1">$H$6*$I$10*($I$35*Mat_Sum!$D32+$I$36*Mat_Sum!$E32+$I$37*Mat_Sum!$F32+$I$38*Mat_Sum!$I32+$I$39*Mat_Sum!$L32+$I$40*Mat_Sum!$AG32+$I$41*Mat_Sum!$AK32+$I$42*Mat_Sum!$AS32+$I$43*Mat_Sum!$AR32+$I$44*Mat_Sum!$AV32+$I$45*Mat_Sum!$AT32+$I$46*Mat_Sum!$BH32+$I$47*Mat_Sum!$BG32+$I$48*Mat_Sum!$BJ32+$I$49*Mat_Sum!$BI32+$I$50*Mat_Sum!$AW32)</f>
        <v>271698.57186373277</v>
      </c>
      <c r="D464" s="419">
        <f ca="1">$H$6*$I$11*($I$56*Mat_Sum!$D32+$I$57*Mat_Sum!$AG32+$I$58*Mat_Sum!$F32+$I$59*Mat_Sum!$AK32+$I$60*Mat_Sum!$I32+$I$61*Mat_Sum!$L32+$I$62*Mat_Sum!$AT32+$I$63*Mat_Sum!$AR32+$I$64*Mat_Sum!$AV32)</f>
        <v>230984.35868486803</v>
      </c>
      <c r="E464" s="419">
        <f ca="1">$H$6*$I$12*($I$67*Mat_Sum!$D32+$I$68*Mat_Sum!$F32+$I$69*Mat_Sum!$I32+$I$70*Mat_Sum!$L32+$I$71*Mat_Sum!$AG32+$I$72*Mat_Sum!$AH32+$I$73*Mat_Sum!$AK32+$I$74*Mat_Sum!$AS32+$I$75*Mat_Sum!$AR32+$I$76*Mat_Sum!$AV32)+$A$136*(I$140*4)*($A$144*Mat_Sum!$AV32+$B$144*Mat_Sum!$D32)</f>
        <v>1190625.4467186658</v>
      </c>
      <c r="F464" s="419">
        <f ca="1">$H$6*$I$13*($I$79*Mat_Sum!$D32+$I$80*Mat_Sum!$E32+$I$81*Mat_Sum!$L32+$I$82*Mat_Sum!$AG32)</f>
        <v>177709.70688611278</v>
      </c>
      <c r="G464" s="419">
        <f ca="1">$H$6*$I$14*($I$85*Mat_Sum!$D32+$I$86*Mat_Sum!$L32+$I$87*Mat_Sum!$AG32)</f>
        <v>0</v>
      </c>
      <c r="H464" s="419">
        <f ca="1">$H$6*$I$15*($I$90*Mat_Sum!$D32+$I$91*Mat_Sum!$L32+$I$92*Mat_Sum!$AG32+$I$93*Mat_Sum!$AV32+$I$94*Mat_Sum!$AR32)</f>
        <v>166752.94512772412</v>
      </c>
      <c r="I464" s="516"/>
      <c r="J464" s="382">
        <f t="shared" ca="1" si="96"/>
        <v>0.58029803320444651</v>
      </c>
      <c r="K464" s="382">
        <f t="shared" ca="1" si="97"/>
        <v>5.5959390602869002E-2</v>
      </c>
      <c r="L464" s="382">
        <f t="shared" ca="1" si="98"/>
        <v>4.7573838397952574E-2</v>
      </c>
      <c r="M464" s="382">
        <f t="shared" ca="1" si="99"/>
        <v>0.24522276277573163</v>
      </c>
      <c r="N464" s="382">
        <f t="shared" ca="1" si="100"/>
        <v>3.6601321947871357E-2</v>
      </c>
      <c r="O464" s="382">
        <f t="shared" ca="1" si="101"/>
        <v>0</v>
      </c>
      <c r="P464" s="382">
        <f t="shared" ca="1" si="102"/>
        <v>3.4344653071128939E-2</v>
      </c>
      <c r="Q464" s="588"/>
    </row>
    <row r="465" spans="1:17">
      <c r="A465" s="230" t="s">
        <v>850</v>
      </c>
      <c r="B465" s="517">
        <f ca="1">$H$6*$I$17*($I$22*Mat_Sum!$D33+$I$23*Mat_Sum!$I33+$I$24*Mat_Sum!$L33+$I$25*Mat_Sum!$AG33+$I$26*Mat_Sum!$AH33+$I$27*Mat_Sum!$AK33+$I$28*Mat_Sum!$AS33+$I$29*Mat_Sum!$AM33+$I$30*Mat_Sum!$AT33+$I$31*Mat_Sum!$AR33+$I$32*Mat_Sum!$AV33)</f>
        <v>2825607.9626616128</v>
      </c>
      <c r="C465" s="419">
        <f ca="1">$H$6*$I$10*($I$35*Mat_Sum!$D33+$I$36*Mat_Sum!$E33+$I$37*Mat_Sum!$F33+$I$38*Mat_Sum!$I33+$I$39*Mat_Sum!$L33+$I$40*Mat_Sum!$AG33+$I$41*Mat_Sum!$AK33+$I$42*Mat_Sum!$AS33+$I$43*Mat_Sum!$AR33+$I$44*Mat_Sum!$AV33+$I$45*Mat_Sum!$AT33+$I$46*Mat_Sum!$BH33+$I$47*Mat_Sum!$BG33+$I$48*Mat_Sum!$BJ33+$I$49*Mat_Sum!$BI33+$I$50*Mat_Sum!$AW33)</f>
        <v>272336.35723775381</v>
      </c>
      <c r="D465" s="419">
        <f ca="1">$H$6*$I$11*($I$56*Mat_Sum!$D33+$I$57*Mat_Sum!$AG33+$I$58*Mat_Sum!$F33+$I$59*Mat_Sum!$AK33+$I$60*Mat_Sum!$I33+$I$61*Mat_Sum!$L33+$I$62*Mat_Sum!$AT33+$I$63*Mat_Sum!$AR33+$I$64*Mat_Sum!$AV33)</f>
        <v>232815.22524250831</v>
      </c>
      <c r="E465" s="419">
        <f ca="1">$H$6*$I$12*($I$67*Mat_Sum!$D33+$I$68*Mat_Sum!$F33+$I$69*Mat_Sum!$I33+$I$70*Mat_Sum!$L33+$I$71*Mat_Sum!$AG33+$I$72*Mat_Sum!$AH33+$I$73*Mat_Sum!$AK33+$I$74*Mat_Sum!$AS33+$I$75*Mat_Sum!$AR33+$I$76*Mat_Sum!$AV33)+$A$136*(I$140*4)*($A$144*Mat_Sum!$AV33+$B$144*Mat_Sum!$D33)</f>
        <v>1199390.5000697328</v>
      </c>
      <c r="F465" s="419">
        <f ca="1">$H$6*$I$13*($I$79*Mat_Sum!$D33+$I$80*Mat_Sum!$E33+$I$81*Mat_Sum!$L33+$I$82*Mat_Sum!$AG33)</f>
        <v>178849.63684138577</v>
      </c>
      <c r="G465" s="419">
        <f ca="1">$H$6*$I$14*($I$85*Mat_Sum!$D33+$I$86*Mat_Sum!$L33+$I$87*Mat_Sum!$AG33)</f>
        <v>0</v>
      </c>
      <c r="H465" s="419">
        <f ca="1">$H$6*$I$15*($I$90*Mat_Sum!$D33+$I$91*Mat_Sum!$L33+$I$92*Mat_Sum!$AG33+$I$93*Mat_Sum!$AV33+$I$94*Mat_Sum!$AR33)</f>
        <v>167314.35130868375</v>
      </c>
      <c r="I465" s="516"/>
      <c r="J465" s="382">
        <f t="shared" ca="1" si="96"/>
        <v>0.5794557002133166</v>
      </c>
      <c r="K465" s="382">
        <f t="shared" ca="1" si="97"/>
        <v>5.5848814365634311E-2</v>
      </c>
      <c r="L465" s="382">
        <f t="shared" ca="1" si="98"/>
        <v>4.7744100082497777E-2</v>
      </c>
      <c r="M465" s="382">
        <f t="shared" ca="1" si="99"/>
        <v>0.24596252248399314</v>
      </c>
      <c r="N465" s="382">
        <f t="shared" ca="1" si="100"/>
        <v>3.6677218820972614E-2</v>
      </c>
      <c r="O465" s="382">
        <f t="shared" ca="1" si="101"/>
        <v>0</v>
      </c>
      <c r="P465" s="382">
        <f t="shared" ca="1" si="102"/>
        <v>3.4311644033585567E-2</v>
      </c>
      <c r="Q465" s="588"/>
    </row>
    <row r="466" spans="1:17">
      <c r="A466" s="230" t="s">
        <v>851</v>
      </c>
      <c r="B466" s="517">
        <f ca="1">$H$6*$I$17*($I$22*Mat_Sum!$D34+$I$23*Mat_Sum!$I34+$I$24*Mat_Sum!$L34+$I$25*Mat_Sum!$AG34+$I$26*Mat_Sum!$AH34+$I$27*Mat_Sum!$AK34+$I$28*Mat_Sum!$AS34+$I$29*Mat_Sum!$AM34+$I$30*Mat_Sum!$AT34+$I$31*Mat_Sum!$AR34+$I$32*Mat_Sum!$AV34)</f>
        <v>3242770.6261993176</v>
      </c>
      <c r="C466" s="419">
        <f ca="1">$H$6*$I$10*($I$35*Mat_Sum!$D34+$I$36*Mat_Sum!$E34+$I$37*Mat_Sum!$F34+$I$38*Mat_Sum!$I34+$I$39*Mat_Sum!$L34+$I$40*Mat_Sum!$AG34+$I$41*Mat_Sum!$AK34+$I$42*Mat_Sum!$AS34+$I$43*Mat_Sum!$AR34+$I$44*Mat_Sum!$AV34+$I$45*Mat_Sum!$AT34+$I$46*Mat_Sum!$BH34+$I$47*Mat_Sum!$BG34+$I$48*Mat_Sum!$BJ34+$I$49*Mat_Sum!$BI34+$I$50*Mat_Sum!$AW34)</f>
        <v>315677.22404057998</v>
      </c>
      <c r="D466" s="419">
        <f ca="1">$H$6*$I$11*($I$56*Mat_Sum!$D34+$I$57*Mat_Sum!$AG34+$I$58*Mat_Sum!$F34+$I$59*Mat_Sum!$AK34+$I$60*Mat_Sum!$I34+$I$61*Mat_Sum!$L34+$I$62*Mat_Sum!$AT34+$I$63*Mat_Sum!$AR34+$I$64*Mat_Sum!$AV34)</f>
        <v>255182.55190910475</v>
      </c>
      <c r="E466" s="419">
        <f ca="1">$H$6*$I$12*($I$67*Mat_Sum!$D34+$I$68*Mat_Sum!$F34+$I$69*Mat_Sum!$I34+$I$70*Mat_Sum!$L34+$I$71*Mat_Sum!$AG34+$I$72*Mat_Sum!$AH34+$I$73*Mat_Sum!$AK34+$I$74*Mat_Sum!$AS34+$I$75*Mat_Sum!$AR34+$I$76*Mat_Sum!$AV34)+$A$136*(I$140*4)*($A$144*Mat_Sum!$AV34+$B$144*Mat_Sum!$D34)</f>
        <v>1311300.5388652142</v>
      </c>
      <c r="F466" s="419">
        <f ca="1">$H$6*$I$13*($I$79*Mat_Sum!$D34+$I$80*Mat_Sum!$E34+$I$81*Mat_Sum!$L34+$I$82*Mat_Sum!$AG34)</f>
        <v>194785.55378129217</v>
      </c>
      <c r="G466" s="419">
        <f ca="1">$H$6*$I$14*($I$85*Mat_Sum!$D34+$I$86*Mat_Sum!$L34+$I$87*Mat_Sum!$AG34)</f>
        <v>0</v>
      </c>
      <c r="H466" s="419">
        <f ca="1">$H$6*$I$15*($I$90*Mat_Sum!$D34+$I$91*Mat_Sum!$L34+$I$92*Mat_Sum!$AG34+$I$93*Mat_Sum!$AV34+$I$94*Mat_Sum!$AR34)</f>
        <v>192277.97832417025</v>
      </c>
      <c r="I466" s="516"/>
      <c r="J466" s="382">
        <f t="shared" ca="1" si="96"/>
        <v>0.58831166141644797</v>
      </c>
      <c r="K466" s="382">
        <f t="shared" ca="1" si="97"/>
        <v>5.7270961641932294E-2</v>
      </c>
      <c r="L466" s="382">
        <f t="shared" ca="1" si="98"/>
        <v>4.6295864982004685E-2</v>
      </c>
      <c r="M466" s="382">
        <f t="shared" ca="1" si="99"/>
        <v>0.2378994654766125</v>
      </c>
      <c r="N466" s="382">
        <f t="shared" ca="1" si="100"/>
        <v>3.5338488587244067E-2</v>
      </c>
      <c r="O466" s="382">
        <f t="shared" ca="1" si="101"/>
        <v>0</v>
      </c>
      <c r="P466" s="382">
        <f t="shared" ca="1" si="102"/>
        <v>3.4883557895758324E-2</v>
      </c>
      <c r="Q466" s="588"/>
    </row>
    <row r="467" spans="1:17">
      <c r="A467" s="571" t="s">
        <v>973</v>
      </c>
      <c r="B467" s="347"/>
      <c r="C467" s="349"/>
      <c r="D467" s="349"/>
      <c r="E467" s="349"/>
      <c r="F467" s="349"/>
      <c r="G467" s="349"/>
      <c r="H467" s="349"/>
      <c r="I467" s="348"/>
      <c r="J467" s="382"/>
      <c r="K467" s="382"/>
      <c r="L467" s="382"/>
      <c r="M467" s="382"/>
      <c r="N467" s="382"/>
      <c r="O467" s="382"/>
      <c r="P467" s="382"/>
      <c r="Q467" s="588"/>
    </row>
    <row r="468" spans="1:17">
      <c r="A468" s="230" t="s">
        <v>821</v>
      </c>
      <c r="B468" s="347">
        <f ca="1">$H$6*$I$17*($I$22*Mat_Sum!$D36+$I$23*Mat_Sum!$I36+$I$24*Mat_Sum!$L36+$I$25*Mat_Sum!$AG36+$I$26*Mat_Sum!$AH36+$I$27*Mat_Sum!$AK36+$I$28*Mat_Sum!$AS36+$I$29*Mat_Sum!$AM36+$I$30*Mat_Sum!$AT36+$I$31*Mat_Sum!$AR36+$I$32*Mat_Sum!$AV36)</f>
        <v>71.001860000028842</v>
      </c>
      <c r="C468" s="349">
        <f ca="1">$H$6*$I$10*($I$35*Mat_Sum!$D36+$I$36*Mat_Sum!$E36+$I$37*Mat_Sum!$F36+$I$38*Mat_Sum!$I36+$I$39*Mat_Sum!$L36+$I$40*Mat_Sum!$AG36+$I$41*Mat_Sum!$AK36+$I$42*Mat_Sum!$AS36+$I$43*Mat_Sum!$AR36+$I$44*Mat_Sum!$AV36+$I$45*Mat_Sum!$AT36+$I$46*Mat_Sum!$BH36+$I$47*Mat_Sum!$BG36+$I$48*Mat_Sum!$BJ36+$I$49*Mat_Sum!$BI36+$I$50*Mat_Sum!$AW36)</f>
        <v>5.0918875490273114</v>
      </c>
      <c r="D468" s="349">
        <f ca="1">$H$6*$I$11*($I$56*Mat_Sum!$D36+$I$57*Mat_Sum!$AG36+$I$58*Mat_Sum!$F36+$I$59*Mat_Sum!$AK36+$I$60*Mat_Sum!$I36+$I$61*Mat_Sum!$L36+$I$62*Mat_Sum!$AT36+$I$63*Mat_Sum!$AR36+$I$64*Mat_Sum!$AV36)</f>
        <v>1.4396456856975204</v>
      </c>
      <c r="E468" s="349">
        <f ca="1">$H$6*$I$12*($I$67*Mat_Sum!$D36+$I$68*Mat_Sum!$F36+$I$69*Mat_Sum!$I36+$I$70*Mat_Sum!$L36+$I$71*Mat_Sum!$AG36+$I$72*Mat_Sum!$AH36+$I$73*Mat_Sum!$AK36+$I$74*Mat_Sum!$AS36+$I$75*Mat_Sum!$AR36+$I$76*Mat_Sum!$AV36)+$A$136*(I$140*4)*($A$144*Mat_Sum!$AV36+$B$144*Mat_Sum!$D36)</f>
        <v>11.521697269538937</v>
      </c>
      <c r="F468" s="349">
        <f ca="1">$H$6*$I$13*($I$79*Mat_Sum!$D36+$I$80*Mat_Sum!$E36+$I$81*Mat_Sum!$L36+$I$82*Mat_Sum!$AG36)</f>
        <v>1.2505032357004608</v>
      </c>
      <c r="G468" s="349">
        <f ca="1">$H$6*$I$14*($I$85*Mat_Sum!$D36+$I$86*Mat_Sum!$L36+$I$87*Mat_Sum!$AG36)</f>
        <v>0</v>
      </c>
      <c r="H468" s="349">
        <f ca="1">$H$6*$I$15*($I$90*Mat_Sum!$D36+$I$91*Mat_Sum!$L36+$I$92*Mat_Sum!$AG36+$I$93*Mat_Sum!$AV36+$I$94*Mat_Sum!$AR36)</f>
        <v>3.0345946569024576</v>
      </c>
      <c r="I468" s="348"/>
      <c r="J468" s="382">
        <f t="shared" ref="J468:P475" ca="1" si="103">B468/$I195</f>
        <v>0.76067834466027662</v>
      </c>
      <c r="K468" s="382">
        <f t="shared" ca="1" si="103"/>
        <v>5.4551931343612622E-2</v>
      </c>
      <c r="L468" s="382">
        <f t="shared" ca="1" si="103"/>
        <v>1.5423642381949626E-2</v>
      </c>
      <c r="M468" s="382">
        <f t="shared" ref="M468:M475" ca="1" si="104">E468/$I195</f>
        <v>0.12343769031777685</v>
      </c>
      <c r="N468" s="382">
        <f t="shared" ca="1" si="103"/>
        <v>1.3397264963545461E-2</v>
      </c>
      <c r="O468" s="382">
        <f t="shared" ca="1" si="103"/>
        <v>0</v>
      </c>
      <c r="P468" s="382">
        <f t="shared" ca="1" si="103"/>
        <v>3.2511126332838938E-2</v>
      </c>
      <c r="Q468" s="588"/>
    </row>
    <row r="469" spans="1:17">
      <c r="A469" s="230" t="s">
        <v>822</v>
      </c>
      <c r="B469" s="347">
        <f ca="1">$H$6*$I$17*($I$22*Mat_Sum!$D37+$I$23*Mat_Sum!$I37+$I$24*Mat_Sum!$L37+$I$25*Mat_Sum!$AG37+$I$26*Mat_Sum!$AH37+$I$27*Mat_Sum!$AK37+$I$28*Mat_Sum!$AS37+$I$29*Mat_Sum!$AM37+$I$30*Mat_Sum!$AT37+$I$31*Mat_Sum!$AR37+$I$32*Mat_Sum!$AV37)</f>
        <v>160.33366422846689</v>
      </c>
      <c r="C469" s="349">
        <f ca="1">$H$6*$I$10*($I$35*Mat_Sum!$D37+$I$36*Mat_Sum!$E37+$I$37*Mat_Sum!$F37+$I$38*Mat_Sum!$I37+$I$39*Mat_Sum!$L37+$I$40*Mat_Sum!$AG37+$I$41*Mat_Sum!$AK37+$I$42*Mat_Sum!$AS37+$I$43*Mat_Sum!$AR37+$I$44*Mat_Sum!$AV37+$I$45*Mat_Sum!$AT37+$I$46*Mat_Sum!$BH37+$I$47*Mat_Sum!$BG37+$I$48*Mat_Sum!$BJ37+$I$49*Mat_Sum!$BI37+$I$50*Mat_Sum!$AW37)</f>
        <v>14.474085371241369</v>
      </c>
      <c r="D469" s="349">
        <f ca="1">$H$6*$I$11*($I$56*Mat_Sum!$D37+$I$57*Mat_Sum!$AG37+$I$58*Mat_Sum!$F37+$I$59*Mat_Sum!$AK37+$I$60*Mat_Sum!$I37+$I$61*Mat_Sum!$L37+$I$62*Mat_Sum!$AT37+$I$63*Mat_Sum!$AR37+$I$64*Mat_Sum!$AV37)</f>
        <v>6.4623345530543581</v>
      </c>
      <c r="E469" s="349">
        <f ca="1">$H$6*$I$12*($I$67*Mat_Sum!$D37+$I$68*Mat_Sum!$F37+$I$69*Mat_Sum!$I37+$I$70*Mat_Sum!$L37+$I$71*Mat_Sum!$AG37+$I$72*Mat_Sum!$AH37+$I$73*Mat_Sum!$AK37+$I$74*Mat_Sum!$AS37+$I$75*Mat_Sum!$AR37+$I$76*Mat_Sum!$AV37)+$A$136*(I$140*4)*($A$144*Mat_Sum!$AV37+$B$144*Mat_Sum!$D37)</f>
        <v>37.77057394400935</v>
      </c>
      <c r="F469" s="349">
        <f ca="1">$H$6*$I$13*($I$79*Mat_Sum!$D37+$I$80*Mat_Sum!$E37+$I$81*Mat_Sum!$L37+$I$82*Mat_Sum!$AG37)</f>
        <v>5.6212271498651099</v>
      </c>
      <c r="G469" s="349">
        <f ca="1">$H$6*$I$14*($I$85*Mat_Sum!$D37+$I$86*Mat_Sum!$L37+$I$87*Mat_Sum!$AG37)</f>
        <v>0</v>
      </c>
      <c r="H469" s="349">
        <f ca="1">$H$6*$I$15*($I$90*Mat_Sum!$D37+$I$91*Mat_Sum!$L37+$I$92*Mat_Sum!$AG37+$I$93*Mat_Sum!$AV37+$I$94*Mat_Sum!$AR37)</f>
        <v>8.7470028419997519</v>
      </c>
      <c r="I469" s="348"/>
      <c r="J469" s="382">
        <f t="shared" ca="1" si="103"/>
        <v>0.68692184578498272</v>
      </c>
      <c r="K469" s="382">
        <f t="shared" ca="1" si="103"/>
        <v>6.2011714677055685E-2</v>
      </c>
      <c r="L469" s="382">
        <f t="shared" ca="1" si="103"/>
        <v>2.7686754373296579E-2</v>
      </c>
      <c r="M469" s="382">
        <f t="shared" ca="1" si="104"/>
        <v>0.16182148954698761</v>
      </c>
      <c r="N469" s="382">
        <f t="shared" ca="1" si="103"/>
        <v>2.4083175220518824E-2</v>
      </c>
      <c r="O469" s="382">
        <f t="shared" ca="1" si="103"/>
        <v>0</v>
      </c>
      <c r="P469" s="382">
        <f t="shared" ca="1" si="103"/>
        <v>3.7475020397158505E-2</v>
      </c>
      <c r="Q469" s="588"/>
    </row>
    <row r="470" spans="1:17">
      <c r="A470" s="230" t="s">
        <v>823</v>
      </c>
      <c r="B470" s="347">
        <f ca="1">$H$6*$I$17*($I$22*Mat_Sum!$D38+$I$23*Mat_Sum!$I38+$I$24*Mat_Sum!$L38+$I$25*Mat_Sum!$AG38+$I$26*Mat_Sum!$AH38+$I$27*Mat_Sum!$AK38+$I$28*Mat_Sum!$AS38+$I$29*Mat_Sum!$AM38+$I$30*Mat_Sum!$AT38+$I$31*Mat_Sum!$AR38+$I$32*Mat_Sum!$AV38)</f>
        <v>305.45644202258239</v>
      </c>
      <c r="C470" s="349">
        <f ca="1">$H$6*$I$10*($I$35*Mat_Sum!$D38+$I$36*Mat_Sum!$E38+$I$37*Mat_Sum!$F38+$I$38*Mat_Sum!$I38+$I$39*Mat_Sum!$L38+$I$40*Mat_Sum!$AG38+$I$41*Mat_Sum!$AK38+$I$42*Mat_Sum!$AS38+$I$43*Mat_Sum!$AR38+$I$44*Mat_Sum!$AV38+$I$45*Mat_Sum!$AT38+$I$46*Mat_Sum!$BH38+$I$47*Mat_Sum!$BG38+$I$48*Mat_Sum!$BJ38+$I$49*Mat_Sum!$BI38+$I$50*Mat_Sum!$AW38)</f>
        <v>28.424813302546781</v>
      </c>
      <c r="D470" s="349">
        <f ca="1">$H$6*$I$11*($I$56*Mat_Sum!$D38+$I$57*Mat_Sum!$AG38+$I$58*Mat_Sum!$F38+$I$59*Mat_Sum!$AK38+$I$60*Mat_Sum!$I38+$I$61*Mat_Sum!$L38+$I$62*Mat_Sum!$AT38+$I$63*Mat_Sum!$AR38+$I$64*Mat_Sum!$AV38)</f>
        <v>17.947671954245585</v>
      </c>
      <c r="E470" s="349">
        <f ca="1">$H$6*$I$12*($I$67*Mat_Sum!$D38+$I$68*Mat_Sum!$F38+$I$69*Mat_Sum!$I38+$I$70*Mat_Sum!$L38+$I$71*Mat_Sum!$AG38+$I$72*Mat_Sum!$AH38+$I$73*Mat_Sum!$AK38+$I$74*Mat_Sum!$AS38+$I$75*Mat_Sum!$AR38+$I$76*Mat_Sum!$AV38)+$A$136*(I$140*4)*($A$144*Mat_Sum!$AV38+$B$144*Mat_Sum!$D38)</f>
        <v>78.467303677444249</v>
      </c>
      <c r="F470" s="349">
        <f ca="1">$H$6*$I$13*($I$79*Mat_Sum!$D38+$I$80*Mat_Sum!$E38+$I$81*Mat_Sum!$L38+$I$82*Mat_Sum!$AG38)</f>
        <v>14.072519741945504</v>
      </c>
      <c r="G470" s="349">
        <f ca="1">$H$6*$I$14*($I$85*Mat_Sum!$D38+$I$86*Mat_Sum!$L38+$I$87*Mat_Sum!$AG38)</f>
        <v>0</v>
      </c>
      <c r="H470" s="349">
        <f ca="1">$H$6*$I$15*($I$90*Mat_Sum!$D38+$I$91*Mat_Sum!$L38+$I$92*Mat_Sum!$AG38+$I$93*Mat_Sum!$AV38+$I$94*Mat_Sum!$AR38)</f>
        <v>15.330535439272918</v>
      </c>
      <c r="I470" s="348"/>
      <c r="J470" s="382">
        <f t="shared" ca="1" si="103"/>
        <v>0.66447012478253153</v>
      </c>
      <c r="K470" s="382">
        <f t="shared" ca="1" si="103"/>
        <v>6.1833494546718618E-2</v>
      </c>
      <c r="L470" s="382">
        <f t="shared" ca="1" si="103"/>
        <v>3.9042201055009468E-2</v>
      </c>
      <c r="M470" s="382">
        <f t="shared" ca="1" si="104"/>
        <v>0.17069268115826977</v>
      </c>
      <c r="N470" s="382">
        <f t="shared" ca="1" si="103"/>
        <v>3.0612446367210236E-2</v>
      </c>
      <c r="O470" s="382">
        <f t="shared" ca="1" si="103"/>
        <v>0</v>
      </c>
      <c r="P470" s="382">
        <f t="shared" ca="1" si="103"/>
        <v>3.3349052090260373E-2</v>
      </c>
      <c r="Q470" s="588"/>
    </row>
    <row r="471" spans="1:17">
      <c r="A471" s="230" t="s">
        <v>824</v>
      </c>
      <c r="B471" s="347">
        <f ca="1">$H$6*$I$17*($I$22*Mat_Sum!$D39+$I$23*Mat_Sum!$I39+$I$24*Mat_Sum!$L39+$I$25*Mat_Sum!$AG39+$I$26*Mat_Sum!$AH39+$I$27*Mat_Sum!$AK39+$I$28*Mat_Sum!$AS39+$I$29*Mat_Sum!$AM39+$I$30*Mat_Sum!$AT39+$I$31*Mat_Sum!$AR39+$I$32*Mat_Sum!$AV39)</f>
        <v>34.802554770202882</v>
      </c>
      <c r="C471" s="349">
        <f ca="1">$H$6*$I$10*($I$35*Mat_Sum!$D39+$I$36*Mat_Sum!$E39+$I$37*Mat_Sum!$F39+$I$38*Mat_Sum!$I39+$I$39*Mat_Sum!$L39+$I$40*Mat_Sum!$AG39+$I$41*Mat_Sum!$AK39+$I$42*Mat_Sum!$AS39+$I$43*Mat_Sum!$AR39+$I$44*Mat_Sum!$AV39+$I$45*Mat_Sum!$AT39+$I$46*Mat_Sum!$BH39+$I$47*Mat_Sum!$BG39+$I$48*Mat_Sum!$BJ39+$I$49*Mat_Sum!$BI39+$I$50*Mat_Sum!$AW39)</f>
        <v>3.1595864210511406</v>
      </c>
      <c r="D471" s="349">
        <f ca="1">$H$6*$I$11*($I$56*Mat_Sum!$D39+$I$57*Mat_Sum!$AG39+$I$58*Mat_Sum!$F39+$I$59*Mat_Sum!$AK39+$I$60*Mat_Sum!$I39+$I$61*Mat_Sum!$L39+$I$62*Mat_Sum!$AT39+$I$63*Mat_Sum!$AR39+$I$64*Mat_Sum!$AV39)</f>
        <v>2.1113907118865303</v>
      </c>
      <c r="E471" s="349">
        <f ca="1">$H$6*$I$12*($I$67*Mat_Sum!$D39+$I$68*Mat_Sum!$F39+$I$69*Mat_Sum!$I39+$I$70*Mat_Sum!$L39+$I$71*Mat_Sum!$AG39+$I$72*Mat_Sum!$AH39+$I$73*Mat_Sum!$AK39+$I$74*Mat_Sum!$AS39+$I$75*Mat_Sum!$AR39+$I$76*Mat_Sum!$AV39)+$A$136*(I$140*4)*($A$144*Mat_Sum!$AV39+$B$144*Mat_Sum!$D39)</f>
        <v>7.8064318915455635</v>
      </c>
      <c r="F471" s="349">
        <f ca="1">$H$6*$I$13*($I$79*Mat_Sum!$D39+$I$80*Mat_Sum!$E39+$I$81*Mat_Sum!$L39+$I$82*Mat_Sum!$AG39)</f>
        <v>1.5606002343146517</v>
      </c>
      <c r="G471" s="349">
        <f ca="1">$H$6*$I$14*($I$85*Mat_Sum!$D39+$I$86*Mat_Sum!$L39+$I$87*Mat_Sum!$AG39)</f>
        <v>0</v>
      </c>
      <c r="H471" s="349">
        <f ca="1">$H$6*$I$15*($I$90*Mat_Sum!$D39+$I$91*Mat_Sum!$L39+$I$92*Mat_Sum!$AG39+$I$93*Mat_Sum!$AV39+$I$94*Mat_Sum!$AR39)</f>
        <v>1.535888208412197</v>
      </c>
      <c r="I471" s="348"/>
      <c r="J471" s="382">
        <f t="shared" ca="1" si="103"/>
        <v>0.68271825995494395</v>
      </c>
      <c r="K471" s="382">
        <f t="shared" ca="1" si="103"/>
        <v>6.1981292976921551E-2</v>
      </c>
      <c r="L471" s="382">
        <f t="shared" ca="1" si="103"/>
        <v>4.141894186855407E-2</v>
      </c>
      <c r="M471" s="382">
        <f t="shared" ca="1" si="104"/>
        <v>0.15313799899586222</v>
      </c>
      <c r="N471" s="382">
        <f t="shared" ca="1" si="103"/>
        <v>3.061413978058846E-2</v>
      </c>
      <c r="O471" s="382">
        <f t="shared" ca="1" si="103"/>
        <v>0</v>
      </c>
      <c r="P471" s="382">
        <f t="shared" ca="1" si="103"/>
        <v>3.0129366423129939E-2</v>
      </c>
      <c r="Q471" s="588"/>
    </row>
    <row r="472" spans="1:17">
      <c r="A472" s="230" t="s">
        <v>825</v>
      </c>
      <c r="B472" s="347">
        <f ca="1">$H$6*$I$17*($I$22*Mat_Sum!$D40+$I$23*Mat_Sum!$I40+$I$24*Mat_Sum!$L40+$I$25*Mat_Sum!$AG40+$I$26*Mat_Sum!$AH40+$I$27*Mat_Sum!$AK40+$I$28*Mat_Sum!$AS40+$I$29*Mat_Sum!$AM40+$I$30*Mat_Sum!$AT40+$I$31*Mat_Sum!$AR40+$I$32*Mat_Sum!$AV40)</f>
        <v>30.44974173360578</v>
      </c>
      <c r="C472" s="349">
        <f ca="1">$H$6*$I$10*($I$35*Mat_Sum!$D40+$I$36*Mat_Sum!$E40+$I$37*Mat_Sum!$F40+$I$38*Mat_Sum!$I40+$I$39*Mat_Sum!$L40+$I$40*Mat_Sum!$AG40+$I$41*Mat_Sum!$AK40+$I$42*Mat_Sum!$AS40+$I$43*Mat_Sum!$AR40+$I$44*Mat_Sum!$AV40+$I$45*Mat_Sum!$AT40+$I$46*Mat_Sum!$BH40+$I$47*Mat_Sum!$BG40+$I$48*Mat_Sum!$BJ40+$I$49*Mat_Sum!$BI40+$I$50*Mat_Sum!$AW40)</f>
        <v>2.6830055955134622</v>
      </c>
      <c r="D472" s="349">
        <f ca="1">$H$6*$I$11*($I$56*Mat_Sum!$D40+$I$57*Mat_Sum!$AG40+$I$58*Mat_Sum!$F40+$I$59*Mat_Sum!$AK40+$I$60*Mat_Sum!$I40+$I$61*Mat_Sum!$L40+$I$62*Mat_Sum!$AT40+$I$63*Mat_Sum!$AR40+$I$64*Mat_Sum!$AV40)</f>
        <v>1.8084575832445502</v>
      </c>
      <c r="E472" s="349">
        <f ca="1">$H$6*$I$12*($I$67*Mat_Sum!$D40+$I$68*Mat_Sum!$F40+$I$69*Mat_Sum!$I40+$I$70*Mat_Sum!$L40+$I$71*Mat_Sum!$AG40+$I$72*Mat_Sum!$AH40+$I$73*Mat_Sum!$AK40+$I$74*Mat_Sum!$AS40+$I$75*Mat_Sum!$AR40+$I$76*Mat_Sum!$AV40)+$A$136*(I$140*4)*($A$144*Mat_Sum!$AV40+$B$144*Mat_Sum!$D40)</f>
        <v>6.7490699764431143</v>
      </c>
      <c r="F472" s="349">
        <f ca="1">$H$6*$I$13*($I$79*Mat_Sum!$D40+$I$80*Mat_Sum!$E40+$I$81*Mat_Sum!$L40+$I$82*Mat_Sum!$AG40)</f>
        <v>1.345409783012073</v>
      </c>
      <c r="G472" s="349">
        <f ca="1">$H$6*$I$14*($I$85*Mat_Sum!$D40+$I$86*Mat_Sum!$L40+$I$87*Mat_Sum!$AG40)</f>
        <v>0</v>
      </c>
      <c r="H472" s="349">
        <f ca="1">$H$6*$I$15*($I$90*Mat_Sum!$D40+$I$91*Mat_Sum!$L40+$I$92*Mat_Sum!$AG40+$I$93*Mat_Sum!$AV40+$I$94*Mat_Sum!$AR40)</f>
        <v>1.30757796277712</v>
      </c>
      <c r="I472" s="348"/>
      <c r="J472" s="382">
        <f t="shared" ca="1" si="103"/>
        <v>0.68668248397783083</v>
      </c>
      <c r="K472" s="382">
        <f t="shared" ca="1" si="103"/>
        <v>6.0505371867252099E-2</v>
      </c>
      <c r="L472" s="382">
        <f t="shared" ca="1" si="103"/>
        <v>4.0783142146009178E-2</v>
      </c>
      <c r="M472" s="382">
        <f t="shared" ca="1" si="104"/>
        <v>0.15220057288201361</v>
      </c>
      <c r="N472" s="382">
        <f t="shared" ca="1" si="103"/>
        <v>3.0340793687165451E-2</v>
      </c>
      <c r="O472" s="382">
        <f t="shared" ca="1" si="103"/>
        <v>0</v>
      </c>
      <c r="P472" s="382">
        <f t="shared" ca="1" si="103"/>
        <v>2.9487635439728849E-2</v>
      </c>
      <c r="Q472" s="588"/>
    </row>
    <row r="473" spans="1:17">
      <c r="A473" s="230" t="s">
        <v>826</v>
      </c>
      <c r="B473" s="347">
        <f ca="1">$H$6*$I$17*($I$22*Mat_Sum!$D41+$I$23*Mat_Sum!$I41+$I$24*Mat_Sum!$L41+$I$25*Mat_Sum!$AG41+$I$26*Mat_Sum!$AH41+$I$27*Mat_Sum!$AK41+$I$28*Mat_Sum!$AS41+$I$29*Mat_Sum!$AM41+$I$30*Mat_Sum!$AT41+$I$31*Mat_Sum!$AR41+$I$32*Mat_Sum!$AV41)</f>
        <v>241.62263599260035</v>
      </c>
      <c r="C473" s="349">
        <f ca="1">$H$6*$I$10*($I$35*Mat_Sum!$D41+$I$36*Mat_Sum!$E41+$I$37*Mat_Sum!$F41+$I$38*Mat_Sum!$I41+$I$39*Mat_Sum!$L41+$I$40*Mat_Sum!$AG41+$I$41*Mat_Sum!$AK41+$I$42*Mat_Sum!$AS41+$I$43*Mat_Sum!$AR41+$I$44*Mat_Sum!$AV41+$I$45*Mat_Sum!$AT41+$I$46*Mat_Sum!$BH41+$I$47*Mat_Sum!$BG41+$I$48*Mat_Sum!$BJ41+$I$49*Mat_Sum!$BI41+$I$50*Mat_Sum!$AW41)</f>
        <v>31.777812427314547</v>
      </c>
      <c r="D473" s="349">
        <f ca="1">$H$6*$I$11*($I$56*Mat_Sum!$D41+$I$57*Mat_Sum!$AG41+$I$58*Mat_Sum!$F41+$I$59*Mat_Sum!$AK41+$I$60*Mat_Sum!$I41+$I$61*Mat_Sum!$L41+$I$62*Mat_Sum!$AT41+$I$63*Mat_Sum!$AR41+$I$64*Mat_Sum!$AV41)</f>
        <v>18.365320331395058</v>
      </c>
      <c r="E473" s="349">
        <f ca="1">$H$6*$I$12*($I$67*Mat_Sum!$D41+$I$68*Mat_Sum!$F41+$I$69*Mat_Sum!$I41+$I$70*Mat_Sum!$L41+$I$71*Mat_Sum!$AG41+$I$72*Mat_Sum!$AH41+$I$73*Mat_Sum!$AK41+$I$74*Mat_Sum!$AS41+$I$75*Mat_Sum!$AR41+$I$76*Mat_Sum!$AV41)+$A$136*(I$140*4)*($A$144*Mat_Sum!$AV41+$B$144*Mat_Sum!$D41)</f>
        <v>61.90514325472769</v>
      </c>
      <c r="F473" s="349">
        <f ca="1">$H$6*$I$13*($I$79*Mat_Sum!$D41+$I$80*Mat_Sum!$E41+$I$81*Mat_Sum!$L41+$I$82*Mat_Sum!$AG41)</f>
        <v>13.011369096727151</v>
      </c>
      <c r="G473" s="349">
        <f ca="1">$H$6*$I$14*($I$85*Mat_Sum!$D41+$I$86*Mat_Sum!$L41+$I$87*Mat_Sum!$AG41)</f>
        <v>0</v>
      </c>
      <c r="H473" s="349">
        <f ca="1">$H$6*$I$15*($I$90*Mat_Sum!$D41+$I$91*Mat_Sum!$L41+$I$92*Mat_Sum!$AG41+$I$93*Mat_Sum!$AV41+$I$94*Mat_Sum!$AR41)</f>
        <v>15.525172729895877</v>
      </c>
      <c r="I473" s="348"/>
      <c r="J473" s="382">
        <f t="shared" ca="1" si="103"/>
        <v>0.63217667151616663</v>
      </c>
      <c r="K473" s="382">
        <f t="shared" ca="1" si="103"/>
        <v>8.3142838028552976E-2</v>
      </c>
      <c r="L473" s="382">
        <f t="shared" ca="1" si="103"/>
        <v>4.8050659784975892E-2</v>
      </c>
      <c r="M473" s="382">
        <f t="shared" ca="1" si="104"/>
        <v>0.16196738874127559</v>
      </c>
      <c r="N473" s="382">
        <f t="shared" ca="1" si="103"/>
        <v>3.404268798594344E-2</v>
      </c>
      <c r="O473" s="382">
        <f t="shared" ca="1" si="103"/>
        <v>0</v>
      </c>
      <c r="P473" s="382">
        <f t="shared" ca="1" si="103"/>
        <v>4.0619753943085472E-2</v>
      </c>
      <c r="Q473" s="588"/>
    </row>
    <row r="474" spans="1:17">
      <c r="A474" s="230" t="s">
        <v>827</v>
      </c>
      <c r="B474" s="347">
        <f ca="1">$H$6*$I$17*($I$22*Mat_Sum!$D42+$I$23*Mat_Sum!$I42+$I$24*Mat_Sum!$L42+$I$25*Mat_Sum!$AG42+$I$26*Mat_Sum!$AH42+$I$27*Mat_Sum!$AK42+$I$28*Mat_Sum!$AS42+$I$29*Mat_Sum!$AM42+$I$30*Mat_Sum!$AT42+$I$31*Mat_Sum!$AR42+$I$32*Mat_Sum!$AV42)</f>
        <v>1.8529891457537393</v>
      </c>
      <c r="C474" s="349">
        <f ca="1">$H$6*$I$10*($I$35*Mat_Sum!$D42+$I$36*Mat_Sum!$E42+$I$37*Mat_Sum!$F42+$I$38*Mat_Sum!$I42+$I$39*Mat_Sum!$L42+$I$40*Mat_Sum!$AG42+$I$41*Mat_Sum!$AK42+$I$42*Mat_Sum!$AS42+$I$43*Mat_Sum!$AR42+$I$44*Mat_Sum!$AV42+$I$45*Mat_Sum!$AT42+$I$46*Mat_Sum!$BH42+$I$47*Mat_Sum!$BG42+$I$48*Mat_Sum!$BJ42+$I$49*Mat_Sum!$BI42+$I$50*Mat_Sum!$AW42)</f>
        <v>0.15308672549193228</v>
      </c>
      <c r="D474" s="349">
        <f ca="1">$H$6*$I$11*($I$56*Mat_Sum!$D42+$I$57*Mat_Sum!$AG42+$I$58*Mat_Sum!$F42+$I$59*Mat_Sum!$AK42+$I$60*Mat_Sum!$I42+$I$61*Mat_Sum!$L42+$I$62*Mat_Sum!$AT42+$I$63*Mat_Sum!$AR42+$I$64*Mat_Sum!$AV42)</f>
        <v>9.4943802591440307E-2</v>
      </c>
      <c r="E474" s="349">
        <f ca="1">$H$6*$I$12*($I$67*Mat_Sum!$D42+$I$68*Mat_Sum!$F42+$I$69*Mat_Sum!$I42+$I$70*Mat_Sum!$L42+$I$71*Mat_Sum!$AG42+$I$72*Mat_Sum!$AH42+$I$73*Mat_Sum!$AK42+$I$74*Mat_Sum!$AS42+$I$75*Mat_Sum!$AR42+$I$76*Mat_Sum!$AV42)+$A$136*(I$140*4)*($A$144*Mat_Sum!$AV42+$B$144*Mat_Sum!$D42)</f>
        <v>0.39986045613852073</v>
      </c>
      <c r="F474" s="349">
        <f ca="1">$H$6*$I$13*($I$79*Mat_Sum!$D42+$I$80*Mat_Sum!$E42+$I$81*Mat_Sum!$L42+$I$82*Mat_Sum!$AG42)</f>
        <v>7.2017858953115507E-2</v>
      </c>
      <c r="G474" s="349">
        <f ca="1">$H$6*$I$14*($I$85*Mat_Sum!$D42+$I$86*Mat_Sum!$L42+$I$87*Mat_Sum!$AG42)</f>
        <v>0</v>
      </c>
      <c r="H474" s="349">
        <f ca="1">$H$6*$I$15*($I$90*Mat_Sum!$D42+$I$91*Mat_Sum!$L42+$I$92*Mat_Sum!$AG42+$I$93*Mat_Sum!$AV42+$I$94*Mat_Sum!$AR42)</f>
        <v>7.7033109166090824E-2</v>
      </c>
      <c r="I474" s="348"/>
      <c r="J474" s="382">
        <f t="shared" ca="1" si="103"/>
        <v>0.69925936832317692</v>
      </c>
      <c r="K474" s="382">
        <f t="shared" ca="1" si="103"/>
        <v>5.7770077720886256E-2</v>
      </c>
      <c r="L474" s="382">
        <f t="shared" ca="1" si="103"/>
        <v>3.5828781608585943E-2</v>
      </c>
      <c r="M474" s="382">
        <f t="shared" ca="1" si="104"/>
        <v>0.15089466153516196</v>
      </c>
      <c r="N474" s="382">
        <f t="shared" ca="1" si="103"/>
        <v>2.7177257176570581E-2</v>
      </c>
      <c r="O474" s="382">
        <f t="shared" ca="1" si="103"/>
        <v>0</v>
      </c>
      <c r="P474" s="382">
        <f t="shared" ca="1" si="103"/>
        <v>2.9069853635618523E-2</v>
      </c>
      <c r="Q474" s="588"/>
    </row>
    <row r="475" spans="1:17">
      <c r="A475" s="589" t="s">
        <v>828</v>
      </c>
      <c r="B475" s="503">
        <f ca="1">$H$6*$I$17*($I$22*Mat_Sum!$D43+$I$23*Mat_Sum!$I43+$I$24*Mat_Sum!$L43+$I$25*Mat_Sum!$AG43+$I$26*Mat_Sum!$AH43+$I$27*Mat_Sum!$AK43+$I$28*Mat_Sum!$AS43+$I$29*Mat_Sum!$AM43+$I$30*Mat_Sum!$AT43+$I$31*Mat_Sum!$AR43+$I$32*Mat_Sum!$AV43)</f>
        <v>7.4434588300593703</v>
      </c>
      <c r="C475" s="505">
        <f ca="1">$H$6*$I$10*($I$35*Mat_Sum!$D43+$I$36*Mat_Sum!$E43+$I$37*Mat_Sum!$F43+$I$38*Mat_Sum!$I43+$I$39*Mat_Sum!$L43+$I$40*Mat_Sum!$AG43+$I$41*Mat_Sum!$AK43+$I$42*Mat_Sum!$AS43+$I$43*Mat_Sum!$AR43+$I$44*Mat_Sum!$AV43+$I$45*Mat_Sum!$AT43+$I$46*Mat_Sum!$BH43+$I$47*Mat_Sum!$BG43+$I$48*Mat_Sum!$BJ43+$I$49*Mat_Sum!$BI43+$I$50*Mat_Sum!$AW43)</f>
        <v>0.50657044379117955</v>
      </c>
      <c r="D475" s="505">
        <f ca="1">$H$6*$I$11*($I$56*Mat_Sum!$D43+$I$57*Mat_Sum!$AG43+$I$58*Mat_Sum!$F43+$I$59*Mat_Sum!$AK43+$I$60*Mat_Sum!$I43+$I$61*Mat_Sum!$L43+$I$62*Mat_Sum!$AT43+$I$63*Mat_Sum!$AR43+$I$64*Mat_Sum!$AV43)</f>
        <v>0.36036328605658186</v>
      </c>
      <c r="E475" s="505">
        <f ca="1">$H$6*$I$12*($I$67*Mat_Sum!$D43+$I$68*Mat_Sum!$F43+$I$69*Mat_Sum!$I43+$I$70*Mat_Sum!$L43+$I$71*Mat_Sum!$AG43+$I$72*Mat_Sum!$AH43+$I$73*Mat_Sum!$AK43+$I$74*Mat_Sum!$AS43+$I$75*Mat_Sum!$AR43+$I$76*Mat_Sum!$AV43)+$A$136*(I$140*4)*($A$144*Mat_Sum!$AV43+$B$144*Mat_Sum!$D43)</f>
        <v>1.4829041017645743</v>
      </c>
      <c r="F475" s="505">
        <f ca="1">$H$6*$I$13*($I$79*Mat_Sum!$D43+$I$80*Mat_Sum!$E43+$I$81*Mat_Sum!$L43+$I$82*Mat_Sum!$AG43)</f>
        <v>0.29460010745355486</v>
      </c>
      <c r="G475" s="505">
        <f ca="1">$H$6*$I$14*($I$85*Mat_Sum!$D43+$I$86*Mat_Sum!$L43+$I$87*Mat_Sum!$AG43)</f>
        <v>0</v>
      </c>
      <c r="H475" s="505">
        <f ca="1">$H$6*$I$15*($I$90*Mat_Sum!$D43+$I$91*Mat_Sum!$L43+$I$92*Mat_Sum!$AG43+$I$93*Mat_Sum!$AV43+$I$94*Mat_Sum!$AR43)</f>
        <v>0.26140374837979452</v>
      </c>
      <c r="I475" s="502"/>
      <c r="J475" s="368">
        <f t="shared" ca="1" si="103"/>
        <v>0.71922337335449149</v>
      </c>
      <c r="K475" s="368">
        <f t="shared" ca="1" si="103"/>
        <v>4.8947312229880094E-2</v>
      </c>
      <c r="L475" s="368">
        <f t="shared" ca="1" si="103"/>
        <v>3.4820062036758401E-2</v>
      </c>
      <c r="M475" s="368">
        <f t="shared" ca="1" si="104"/>
        <v>0.14328544226311282</v>
      </c>
      <c r="N475" s="368">
        <f t="shared" ca="1" si="103"/>
        <v>2.846570229120907E-2</v>
      </c>
      <c r="O475" s="368">
        <f t="shared" ca="1" si="103"/>
        <v>0</v>
      </c>
      <c r="P475" s="368">
        <f t="shared" ca="1" si="103"/>
        <v>2.5258107824548136E-2</v>
      </c>
      <c r="Q475" s="428"/>
    </row>
    <row r="477" spans="1:17">
      <c r="A477" s="111" t="s">
        <v>1885</v>
      </c>
    </row>
    <row r="478" spans="1:17">
      <c r="A478" s="238"/>
      <c r="B478" s="3007" t="s">
        <v>1875</v>
      </c>
      <c r="C478" s="3005"/>
      <c r="D478" s="3005"/>
      <c r="E478" s="3005"/>
      <c r="F478" s="3005"/>
      <c r="G478" s="3005"/>
      <c r="H478" s="3005"/>
      <c r="I478" s="3006"/>
      <c r="J478" s="3005" t="s">
        <v>1876</v>
      </c>
      <c r="K478" s="3005"/>
      <c r="L478" s="3005"/>
      <c r="M478" s="3005"/>
      <c r="N478" s="3005"/>
      <c r="O478" s="3005"/>
      <c r="P478" s="3005"/>
      <c r="Q478" s="3006"/>
    </row>
    <row r="479" spans="1:17" ht="51">
      <c r="A479" s="230"/>
      <c r="B479" s="923" t="s">
        <v>250</v>
      </c>
      <c r="C479" s="924" t="s">
        <v>182</v>
      </c>
      <c r="D479" s="924" t="s">
        <v>183</v>
      </c>
      <c r="E479" s="924" t="s">
        <v>184</v>
      </c>
      <c r="F479" s="924" t="s">
        <v>185</v>
      </c>
      <c r="G479" s="924" t="s">
        <v>186</v>
      </c>
      <c r="H479" s="670" t="s">
        <v>187</v>
      </c>
      <c r="I479" s="953" t="s">
        <v>1860</v>
      </c>
      <c r="J479" s="923" t="s">
        <v>250</v>
      </c>
      <c r="K479" s="924" t="s">
        <v>182</v>
      </c>
      <c r="L479" s="924" t="s">
        <v>183</v>
      </c>
      <c r="M479" s="924" t="s">
        <v>184</v>
      </c>
      <c r="N479" s="924" t="s">
        <v>185</v>
      </c>
      <c r="O479" s="924" t="s">
        <v>186</v>
      </c>
      <c r="P479" s="670" t="s">
        <v>187</v>
      </c>
      <c r="Q479" s="953" t="s">
        <v>1860</v>
      </c>
    </row>
    <row r="480" spans="1:17">
      <c r="A480" s="571" t="s">
        <v>1877</v>
      </c>
      <c r="B480" s="895"/>
      <c r="C480" s="446"/>
      <c r="D480" s="446"/>
      <c r="E480" s="446"/>
      <c r="I480" s="395"/>
      <c r="J480" s="446"/>
      <c r="K480" s="446"/>
      <c r="L480" s="446"/>
      <c r="M480" s="446"/>
      <c r="Q480" s="395"/>
    </row>
    <row r="481" spans="1:17">
      <c r="A481" s="230" t="s">
        <v>816</v>
      </c>
      <c r="B481" s="347">
        <f ca="1">$I$6*$J$17*($J$22*Mat_Sum!$D15+$J$23*Mat_Sum!$I15+$J$24*Mat_Sum!$L15+$J$25*Mat_Sum!$AG15+$J$26*Mat_Sum!$AH15+$J$27*Mat_Sum!$AK15+$J$28*Mat_Sum!$AS15+$J$29*Mat_Sum!$AM15+$J$30*Mat_Sum!$AT15+$J$31*Mat_Sum!$AR15+$J$32*Mat_Sum!$AV15)</f>
        <v>26.731048658901926</v>
      </c>
      <c r="C481" s="349">
        <f ca="1">$I$6*$J$10*($J$35*Mat_Sum!$D15+$J$36*Mat_Sum!$E15+$J$37*Mat_Sum!$F15+$J$38*Mat_Sum!$I15+$J$39*Mat_Sum!$L15+$J$40*Mat_Sum!$AG15+$J$41*Mat_Sum!$AK15+$J$42*Mat_Sum!$AS15+$J$43*Mat_Sum!$AR15+$J$44*Mat_Sum!$AV15+$J$45*Mat_Sum!$AT15+$J$46*Mat_Sum!$BH15+$J$47*Mat_Sum!$BG15+$J$48*Mat_Sum!$BJ15+$J$49*Mat_Sum!$BI15+$J$50*Mat_Sum!$AW15+$J$51*Mat_Sum!$CF15+$J$52*Mat_Sum!$U15+$J$53*Mat_Sum!$CN15)</f>
        <v>9.1117984554136573</v>
      </c>
      <c r="D481" s="349">
        <f ca="1">$I$6*$J$11*($J$56*Mat_Sum!$D15+$J$57*Mat_Sum!$AG15+$J$58*Mat_Sum!$F15+$J$59*Mat_Sum!$AK15+$J$60*Mat_Sum!$I15+$J$61*Mat_Sum!$L15+$J$62*Mat_Sum!$AT15+$J$63*Mat_Sum!$AR15+$J$64*Mat_Sum!$AV15)</f>
        <v>1.7795812707109104</v>
      </c>
      <c r="E481" s="349">
        <f ca="1">$I$6*$J$12*($J$67*Mat_Sum!$D15+$J$68*Mat_Sum!$F15+$J$69*Mat_Sum!$I15+$J$70*Mat_Sum!$L15+$J$71*Mat_Sum!$AG15+$J$72*Mat_Sum!$AH15+$J$73*Mat_Sum!$AK15+$J$74*Mat_Sum!$AS15+$J$75*Mat_Sum!$AR15+$J$76*Mat_Sum!$AV15)+$A$136*(J$140*4)*($A$144*Mat_Sum!$AV15+$B$144*Mat_Sum!$D15)</f>
        <v>15.900495422684322</v>
      </c>
      <c r="F481" s="349">
        <f ca="1">$I$6*$J$13*($J$79*Mat_Sum!$D15+$J$80*Mat_Sum!$E15+$J$81*Mat_Sum!$L15+$J$82*Mat_Sum!$AG15)</f>
        <v>2.1278043657562975</v>
      </c>
      <c r="G481" s="349"/>
      <c r="H481" s="349">
        <f ca="1">$I$6*$J$15*($J$90*Mat_Sum!$D15+$J$91*Mat_Sum!$L15+$J$92*Mat_Sum!$AG15+$J$93*Mat_Sum!$AV15+$J$94*Mat_Sum!$AR15)</f>
        <v>2.3456694291389688</v>
      </c>
      <c r="I481" s="348">
        <f ca="1">$I$6*$J$16*($J$97*Mat_Sum!$D15+$J$99*Mat_Sum!$AU15+$J$101*Mat_Sum!$I15+$J$102*Mat_Sum!$AG15+$J$103*Mat_Sum!$AR15+$J$104*Mat_Sum!$AV15+$J$105*Mat_Sum!$U15+$J$98*Mat_Sum!$E15+$J$100*Mat_Sum!$AS15+$J$106*Mat_Sum!$CN15)</f>
        <v>38.143568565178349</v>
      </c>
      <c r="J481" s="382">
        <f t="shared" ref="J481:N486" ca="1" si="105">B481/$J174</f>
        <v>0.278043042081486</v>
      </c>
      <c r="K481" s="382">
        <f t="shared" ca="1" si="105"/>
        <v>9.477638508330298E-2</v>
      </c>
      <c r="L481" s="382">
        <f t="shared" ca="1" si="105"/>
        <v>1.851031721402073E-2</v>
      </c>
      <c r="M481" s="382">
        <f t="shared" ref="M481:M486" ca="1" si="106">E481/$J174</f>
        <v>0.16538902660871152</v>
      </c>
      <c r="N481" s="382">
        <f t="shared" ca="1" si="105"/>
        <v>2.2132360251124202E-2</v>
      </c>
      <c r="O481" s="382"/>
      <c r="P481" s="382">
        <f t="shared" ref="P481:Q486" ca="1" si="107">H481/$J174</f>
        <v>2.4398484029475143E-2</v>
      </c>
      <c r="Q481" s="588">
        <f t="shared" ca="1" si="107"/>
        <v>0.39675038473187951</v>
      </c>
    </row>
    <row r="482" spans="1:17">
      <c r="A482" s="230" t="s">
        <v>817</v>
      </c>
      <c r="B482" s="347">
        <f ca="1">$I$6*$J$17*($J$22*Mat_Sum!$D16+$J$23*Mat_Sum!$I16+$J$24*Mat_Sum!$L16+$J$25*Mat_Sum!$AG16+$J$26*Mat_Sum!$AH16+$J$27*Mat_Sum!$AK16+$J$28*Mat_Sum!$AS16+$J$29*Mat_Sum!$AM16+$J$30*Mat_Sum!$AT16+$J$31*Mat_Sum!$AR16+$J$32*Mat_Sum!$AV16)</f>
        <v>24.6863711398126</v>
      </c>
      <c r="C482" s="349">
        <f ca="1">$I$6*$J$10*($J$35*Mat_Sum!$D16+$J$36*Mat_Sum!$E16+$J$37*Mat_Sum!$F16+$J$38*Mat_Sum!$I16+$J$39*Mat_Sum!$L16+$J$40*Mat_Sum!$AG16+$J$41*Mat_Sum!$AK16+$J$42*Mat_Sum!$AS16+$J$43*Mat_Sum!$AR16+$J$44*Mat_Sum!$AV16+$J$45*Mat_Sum!$AT16+$J$46*Mat_Sum!$BH16+$J$47*Mat_Sum!$BG16+$J$48*Mat_Sum!$BJ16+$J$49*Mat_Sum!$BI16+$J$50*Mat_Sum!$AW16+$J$51*Mat_Sum!$CF16+$J$52*Mat_Sum!$U16+$J$53*Mat_Sum!$CN16)</f>
        <v>7.7223228009995388</v>
      </c>
      <c r="D482" s="349">
        <f ca="1">$I$6*$J$11*($J$56*Mat_Sum!$D16+$J$57*Mat_Sum!$AG16+$J$58*Mat_Sum!$F16+$J$59*Mat_Sum!$AK16+$J$60*Mat_Sum!$I16+$J$61*Mat_Sum!$L16+$J$62*Mat_Sum!$AT16+$J$63*Mat_Sum!$AR16+$J$64*Mat_Sum!$AV16)</f>
        <v>1.3821651341888734</v>
      </c>
      <c r="E482" s="349">
        <f ca="1">$I$6*$J$12*($J$67*Mat_Sum!$D16+$J$68*Mat_Sum!$F16+$J$69*Mat_Sum!$I16+$J$70*Mat_Sum!$L16+$J$71*Mat_Sum!$AG16+$J$72*Mat_Sum!$AH16+$J$73*Mat_Sum!$AK16+$J$74*Mat_Sum!$AS16+$J$75*Mat_Sum!$AR16+$J$76*Mat_Sum!$AV16)+$A$136*(J$140*4)*($A$144*Mat_Sum!$AV16+$B$144*Mat_Sum!$D16)</f>
        <v>14.405212310888622</v>
      </c>
      <c r="F482" s="349">
        <f ca="1">$I$6*$J$13*($J$79*Mat_Sum!$D16+$J$80*Mat_Sum!$E16+$J$81*Mat_Sum!$L16+$J$82*Mat_Sum!$AG16)</f>
        <v>1.765074227162327</v>
      </c>
      <c r="G482" s="349"/>
      <c r="H482" s="349">
        <f ca="1">$I$6*$J$15*($J$90*Mat_Sum!$D16+$J$91*Mat_Sum!$L16+$J$92*Mat_Sum!$AG16+$J$93*Mat_Sum!$AV16+$J$94*Mat_Sum!$AR16)</f>
        <v>2.0168466660100179</v>
      </c>
      <c r="I482" s="348">
        <f ca="1">$I$6*$J$16*($J$97*Mat_Sum!$D16+$J$99*Mat_Sum!$AU16+$J$101*Mat_Sum!$I16+$J$102*Mat_Sum!$AG16+$J$103*Mat_Sum!$AR16+$J$104*Mat_Sum!$AV16+$J$105*Mat_Sum!$U16+$J$98*Mat_Sum!$E16+$J$100*Mat_Sum!$AS16+$J$106*Mat_Sum!$CN16)</f>
        <v>33.619394242083587</v>
      </c>
      <c r="J482" s="382">
        <f t="shared" ca="1" si="105"/>
        <v>0.28840099146852111</v>
      </c>
      <c r="K482" s="382">
        <f t="shared" ca="1" si="105"/>
        <v>9.0216805849461942E-2</v>
      </c>
      <c r="L482" s="382">
        <f t="shared" ca="1" si="105"/>
        <v>1.6147281948233668E-2</v>
      </c>
      <c r="M482" s="382">
        <f t="shared" ca="1" si="106"/>
        <v>0.16829032866943935</v>
      </c>
      <c r="N482" s="382">
        <f t="shared" ca="1" si="105"/>
        <v>2.0620655593571093E-2</v>
      </c>
      <c r="O482" s="382"/>
      <c r="P482" s="382">
        <f t="shared" ca="1" si="107"/>
        <v>2.3562012205965963E-2</v>
      </c>
      <c r="Q482" s="588">
        <f t="shared" ca="1" si="107"/>
        <v>0.39276192426480705</v>
      </c>
    </row>
    <row r="483" spans="1:17">
      <c r="A483" s="230" t="s">
        <v>805</v>
      </c>
      <c r="B483" s="347">
        <f ca="1">$I$6*$J$17*($J$22*Mat_Sum!$D17+$J$23*Mat_Sum!$I17+$J$24*Mat_Sum!$L17+$J$25*Mat_Sum!$AG17+$J$26*Mat_Sum!$AH17+$J$27*Mat_Sum!$AK17+$J$28*Mat_Sum!$AS17+$J$29*Mat_Sum!$AM17+$J$30*Mat_Sum!$AT17+$J$31*Mat_Sum!$AR17+$J$32*Mat_Sum!$AV17)</f>
        <v>8.4491312200444906</v>
      </c>
      <c r="C483" s="349">
        <f ca="1">$I$6*$J$10*($J$35*Mat_Sum!$D17+$J$36*Mat_Sum!$E17+$J$37*Mat_Sum!$F17+$J$38*Mat_Sum!$I17+$J$39*Mat_Sum!$L17+$J$40*Mat_Sum!$AG17+$J$41*Mat_Sum!$AK17+$J$42*Mat_Sum!$AS17+$J$43*Mat_Sum!$AR17+$J$44*Mat_Sum!$AV17+$J$45*Mat_Sum!$AT17+$J$46*Mat_Sum!$BH17+$J$47*Mat_Sum!$BG17+$J$48*Mat_Sum!$BJ17+$J$49*Mat_Sum!$BI17+$J$50*Mat_Sum!$AW17+$J$51*Mat_Sum!$CF17+$J$52*Mat_Sum!$U17+$J$53*Mat_Sum!$CN17)</f>
        <v>1.6319844965120702</v>
      </c>
      <c r="D483" s="349">
        <f ca="1">$I$6*$J$11*($J$56*Mat_Sum!$D17+$J$57*Mat_Sum!$AG17+$J$58*Mat_Sum!$F17+$J$59*Mat_Sum!$AK17+$J$60*Mat_Sum!$I17+$J$61*Mat_Sum!$L17+$J$62*Mat_Sum!$AT17+$J$63*Mat_Sum!$AR17+$J$64*Mat_Sum!$AV17)</f>
        <v>0.66704746541691173</v>
      </c>
      <c r="E483" s="349">
        <f ca="1">$I$6*$J$12*($J$67*Mat_Sum!$D17+$J$68*Mat_Sum!$F17+$J$69*Mat_Sum!$I17+$J$70*Mat_Sum!$L17+$J$71*Mat_Sum!$AG17+$J$72*Mat_Sum!$AH17+$J$73*Mat_Sum!$AK17+$J$74*Mat_Sum!$AS17+$J$75*Mat_Sum!$AR17+$J$76*Mat_Sum!$AV17)+$A$136*(J$140*4)*($A$144*Mat_Sum!$AV17+$B$144*Mat_Sum!$D17)</f>
        <v>5.0797641564127325</v>
      </c>
      <c r="F483" s="349">
        <f ca="1">$I$6*$J$13*($J$79*Mat_Sum!$D17+$J$80*Mat_Sum!$E17+$J$81*Mat_Sum!$L17+$J$82*Mat_Sum!$AG17)</f>
        <v>0.67446287978932651</v>
      </c>
      <c r="G483" s="349"/>
      <c r="H483" s="349">
        <f ca="1">$I$6*$J$15*($J$90*Mat_Sum!$D17+$J$91*Mat_Sum!$L17+$J$92*Mat_Sum!$AG17+$J$93*Mat_Sum!$AV17+$J$94*Mat_Sum!$AR17)</f>
        <v>0.30787544281663598</v>
      </c>
      <c r="I483" s="348">
        <f ca="1">$I$6*$J$16*($J$97*Mat_Sum!$D17+$J$99*Mat_Sum!$AU17+$J$101*Mat_Sum!$I17+$J$102*Mat_Sum!$AG17+$J$103*Mat_Sum!$AR17+$J$104*Mat_Sum!$AV17+$J$105*Mat_Sum!$U17+$J$98*Mat_Sum!$E17+$J$100*Mat_Sum!$AS17+$J$106*Mat_Sum!$CN17)</f>
        <v>5.499222557305953</v>
      </c>
      <c r="J483" s="382">
        <f t="shared" ca="1" si="105"/>
        <v>0.37872366848445044</v>
      </c>
      <c r="K483" s="382">
        <f t="shared" ca="1" si="105"/>
        <v>7.3152036503173812E-2</v>
      </c>
      <c r="L483" s="382">
        <f t="shared" ca="1" si="105"/>
        <v>2.9899720643067153E-2</v>
      </c>
      <c r="M483" s="382">
        <f t="shared" ca="1" si="106"/>
        <v>0.22769523472288072</v>
      </c>
      <c r="N483" s="382">
        <f t="shared" ca="1" si="105"/>
        <v>3.0232109010736325E-2</v>
      </c>
      <c r="O483" s="382"/>
      <c r="P483" s="382">
        <f t="shared" ca="1" si="107"/>
        <v>1.3800201950133406E-2</v>
      </c>
      <c r="Q483" s="588">
        <f t="shared" ca="1" si="107"/>
        <v>0.24649702868555812</v>
      </c>
    </row>
    <row r="484" spans="1:17">
      <c r="A484" s="230" t="s">
        <v>804</v>
      </c>
      <c r="B484" s="347">
        <f ca="1">$I$6*$J$17*($J$22*Mat_Sum!$D18+$J$23*Mat_Sum!$I18+$J$24*Mat_Sum!$L18+$J$25*Mat_Sum!$AG18+$J$26*Mat_Sum!$AH18+$J$27*Mat_Sum!$AK18+$J$28*Mat_Sum!$AS18+$J$29*Mat_Sum!$AM18+$J$30*Mat_Sum!$AT18+$J$31*Mat_Sum!$AR18+$J$32*Mat_Sum!$AV18)</f>
        <v>12.234386084537206</v>
      </c>
      <c r="C484" s="349">
        <f ca="1">$I$6*$J$10*($J$35*Mat_Sum!$D18+$J$36*Mat_Sum!$E18+$J$37*Mat_Sum!$F18+$J$38*Mat_Sum!$I18+$J$39*Mat_Sum!$L18+$J$40*Mat_Sum!$AG18+$J$41*Mat_Sum!$AK18+$J$42*Mat_Sum!$AS18+$J$43*Mat_Sum!$AR18+$J$44*Mat_Sum!$AV18+$J$45*Mat_Sum!$AT18+$J$46*Mat_Sum!$BH18+$J$47*Mat_Sum!$BG18+$J$48*Mat_Sum!$BJ18+$J$49*Mat_Sum!$BI18+$J$50*Mat_Sum!$AW18+$J$51*Mat_Sum!$CF18+$J$52*Mat_Sum!$U18+$J$53*Mat_Sum!$CN18)</f>
        <v>4.2203912418444167</v>
      </c>
      <c r="D484" s="349">
        <f ca="1">$I$6*$J$11*($J$56*Mat_Sum!$D18+$J$57*Mat_Sum!$AG18+$J$58*Mat_Sum!$F18+$J$59*Mat_Sum!$AK18+$J$60*Mat_Sum!$I18+$J$61*Mat_Sum!$L18+$J$62*Mat_Sum!$AT18+$J$63*Mat_Sum!$AR18+$J$64*Mat_Sum!$AV18)</f>
        <v>0.57538504278341107</v>
      </c>
      <c r="E484" s="349">
        <f ca="1">$I$6*$J$12*($J$67*Mat_Sum!$D18+$J$68*Mat_Sum!$F18+$J$69*Mat_Sum!$I18+$J$70*Mat_Sum!$L18+$J$71*Mat_Sum!$AG18+$J$72*Mat_Sum!$AH18+$J$73*Mat_Sum!$AK18+$J$74*Mat_Sum!$AS18+$J$75*Mat_Sum!$AR18+$J$76*Mat_Sum!$AV18)+$A$136*(J$140*4)*($A$144*Mat_Sum!$AV18+$B$144*Mat_Sum!$D18)</f>
        <v>6.9010350200289166</v>
      </c>
      <c r="F484" s="349">
        <f ca="1">F482-F483-F485</f>
        <v>0.93027058969464582</v>
      </c>
      <c r="G484" s="349"/>
      <c r="H484" s="349">
        <f ca="1">H482-H483-H485</f>
        <v>1.2738078909736228</v>
      </c>
      <c r="I484" s="348">
        <f ca="1">$I$6*$J$16*($J$97*Mat_Sum!$D18+$J$99*Mat_Sum!$AU18+$J$101*Mat_Sum!$I18+$J$102*Mat_Sum!$AG18+$J$103*Mat_Sum!$AR18+$J$104*Mat_Sum!$AV18+$J$105*Mat_Sum!$U18+$J$98*Mat_Sum!$E18+$J$100*Mat_Sum!$AS18+$J$106*Mat_Sum!$CN18)</f>
        <v>19.489085935560354</v>
      </c>
      <c r="J484" s="382">
        <f t="shared" ca="1" si="105"/>
        <v>0.26815467878135052</v>
      </c>
      <c r="K484" s="382">
        <f t="shared" ca="1" si="105"/>
        <v>9.2503019764822503E-2</v>
      </c>
      <c r="L484" s="382">
        <f t="shared" ca="1" si="105"/>
        <v>1.2611355425360167E-2</v>
      </c>
      <c r="M484" s="382">
        <f t="shared" ca="1" si="106"/>
        <v>0.15125767784895813</v>
      </c>
      <c r="N484" s="382">
        <f t="shared" ca="1" si="105"/>
        <v>2.0389777585537228E-2</v>
      </c>
      <c r="O484" s="382"/>
      <c r="P484" s="382">
        <f t="shared" ca="1" si="107"/>
        <v>2.7919467595100205E-2</v>
      </c>
      <c r="Q484" s="588">
        <f t="shared" ca="1" si="107"/>
        <v>0.42716402299887135</v>
      </c>
    </row>
    <row r="485" spans="1:17">
      <c r="A485" s="230" t="s">
        <v>818</v>
      </c>
      <c r="B485" s="347">
        <f ca="1">$I$6*$J$17*($J$22*Mat_Sum!$D19+$J$23*Mat_Sum!$I19+$J$24*Mat_Sum!$L19+$J$25*Mat_Sum!$AG19+$J$26*Mat_Sum!$AH19+$J$27*Mat_Sum!$AK19+$J$28*Mat_Sum!$AS19+$J$29*Mat_Sum!$AM19+$J$30*Mat_Sum!$AT19+$J$31*Mat_Sum!$AR19+$J$32*Mat_Sum!$AV19)</f>
        <v>4.002853835230904</v>
      </c>
      <c r="C485" s="349">
        <f ca="1">$I$6*$J$10*($J$35*Mat_Sum!$D19+$J$36*Mat_Sum!$E19+$J$37*Mat_Sum!$F19+$J$38*Mat_Sum!$I19+$J$39*Mat_Sum!$L19+$J$40*Mat_Sum!$AG19+$J$41*Mat_Sum!$AK19+$J$42*Mat_Sum!$AS19+$J$43*Mat_Sum!$AR19+$J$44*Mat_Sum!$AV19+$J$45*Mat_Sum!$AT19+$J$46*Mat_Sum!$BH19+$J$47*Mat_Sum!$BG19+$J$48*Mat_Sum!$BJ19+$J$49*Mat_Sum!$BI19+$J$50*Mat_Sum!$AW19+$J$51*Mat_Sum!$CF19+$J$52*Mat_Sum!$U19+$J$53*Mat_Sum!$CN19)</f>
        <v>1.8699470626430534</v>
      </c>
      <c r="D485" s="349">
        <f ca="1">$I$6*$J$11*($J$56*Mat_Sum!$D19+$J$57*Mat_Sum!$AG19+$J$58*Mat_Sum!$F19+$J$59*Mat_Sum!$AK19+$J$60*Mat_Sum!$I19+$J$61*Mat_Sum!$L19+$J$62*Mat_Sum!$AT19+$J$63*Mat_Sum!$AR19+$J$64*Mat_Sum!$AV19)</f>
        <v>0.13973262598855082</v>
      </c>
      <c r="E485" s="349">
        <f ca="1">$I$6*$J$12*($J$67*Mat_Sum!$D19+$J$68*Mat_Sum!$F19+$J$69*Mat_Sum!$I19+$J$70*Mat_Sum!$L19+$J$71*Mat_Sum!$AG19+$J$72*Mat_Sum!$AH19+$J$73*Mat_Sum!$AK19+$J$74*Mat_Sum!$AS19+$J$75*Mat_Sum!$AR19+$J$76*Mat_Sum!$AV19)+$A$136*(J$140*4)*($A$144*Mat_Sum!$AV19+$B$144*Mat_Sum!$D19)</f>
        <v>2.424413134446973</v>
      </c>
      <c r="F485" s="349">
        <f ca="1">$I$6*$J$13*($J$79*Mat_Sum!$D19+$J$80*Mat_Sum!$E19+$J$81*Mat_Sum!$L19+$J$82*Mat_Sum!$AG19)</f>
        <v>0.16034075767835473</v>
      </c>
      <c r="G485" s="349"/>
      <c r="H485" s="349">
        <f ca="1">$I$6*$J$15*($J$90*Mat_Sum!$D19+$J$91*Mat_Sum!$L19+$J$92*Mat_Sum!$AG19+$J$93*Mat_Sum!$AV19+$J$94*Mat_Sum!$AR19)</f>
        <v>0.43516333221975928</v>
      </c>
      <c r="I485" s="348">
        <f ca="1">$I$6*$J$16*($J$97*Mat_Sum!$D19+$J$99*Mat_Sum!$AU19+$J$101*Mat_Sum!$I19+$J$102*Mat_Sum!$AG19+$J$103*Mat_Sum!$AR19+$J$104*Mat_Sum!$AV19+$J$105*Mat_Sum!$U19+$J$98*Mat_Sum!$E19+$J$100*Mat_Sum!$AS19+$J$106*Mat_Sum!$CN19)</f>
        <v>8.6310857492172826</v>
      </c>
      <c r="J485" s="382">
        <f t="shared" ca="1" si="105"/>
        <v>0.22661678400667215</v>
      </c>
      <c r="K485" s="382">
        <f t="shared" ca="1" si="105"/>
        <v>0.10586481721345373</v>
      </c>
      <c r="L485" s="382">
        <f t="shared" ca="1" si="105"/>
        <v>7.9107955538191398E-3</v>
      </c>
      <c r="M485" s="382">
        <f t="shared" ca="1" si="106"/>
        <v>0.13725525094028718</v>
      </c>
      <c r="N485" s="382">
        <f t="shared" ca="1" si="105"/>
        <v>9.0775002900314108E-3</v>
      </c>
      <c r="O485" s="382"/>
      <c r="P485" s="382">
        <f t="shared" ca="1" si="107"/>
        <v>2.4636251765505771E-2</v>
      </c>
      <c r="Q485" s="588">
        <f t="shared" ca="1" si="107"/>
        <v>0.48863860023023059</v>
      </c>
    </row>
    <row r="486" spans="1:17">
      <c r="A486" s="230" t="s">
        <v>819</v>
      </c>
      <c r="B486" s="517">
        <f ca="1">$I$6*$J$17*($J$22*Mat_Sum!$D20+$J$23*Mat_Sum!$I20+$J$24*Mat_Sum!$L20+$J$25*Mat_Sum!$AG20+$J$26*Mat_Sum!$AH20+$J$27*Mat_Sum!$AK20+$J$28*Mat_Sum!$AS20+$J$29*Mat_Sum!$AM20+$J$30*Mat_Sum!$AT20+$J$31*Mat_Sum!$AR20+$J$32*Mat_Sum!$AV20)</f>
        <v>985.00202674820866</v>
      </c>
      <c r="C486" s="419">
        <f ca="1">$I$6*$J$10*($J$35*Mat_Sum!$D20+$J$36*Mat_Sum!$E20+$J$37*Mat_Sum!$F20+$J$38*Mat_Sum!$I20+$J$39*Mat_Sum!$L20+$J$40*Mat_Sum!$AG20+$J$41*Mat_Sum!$AK20+$J$42*Mat_Sum!$AS20+$J$43*Mat_Sum!$AR20+$J$44*Mat_Sum!$AV20+$J$45*Mat_Sum!$AT20+$J$46*Mat_Sum!$BH20+$J$47*Mat_Sum!$BG20+$J$48*Mat_Sum!$BJ20+$J$49*Mat_Sum!$BI20+$J$50*Mat_Sum!$AW20+$J$51*Mat_Sum!$CF20+$J$52*Mat_Sum!$U20+$J$53*Mat_Sum!$CN20)</f>
        <v>697.48255396248373</v>
      </c>
      <c r="D486" s="419">
        <f ca="1">$I$6*$J$11*($J$56*Mat_Sum!$D20+$J$57*Mat_Sum!$AG20+$J$58*Mat_Sum!$F20+$J$59*Mat_Sum!$AK20+$J$60*Mat_Sum!$I20+$J$61*Mat_Sum!$L20+$J$62*Mat_Sum!$AT20+$J$63*Mat_Sum!$AR20+$J$64*Mat_Sum!$AV20)</f>
        <v>219.39615784958352</v>
      </c>
      <c r="E486" s="419">
        <f ca="1">$I$6*$J$12*($J$67*Mat_Sum!$D20+$J$68*Mat_Sum!$F20+$J$69*Mat_Sum!$I20+$J$70*Mat_Sum!$L20+$J$71*Mat_Sum!$AG20+$J$72*Mat_Sum!$AH20+$J$73*Mat_Sum!$AK20+$J$74*Mat_Sum!$AS20+$J$75*Mat_Sum!$AR20+$J$76*Mat_Sum!$AV20)+$A$136*(J$140*4)*($A$144*Mat_Sum!$AV20+$B$144*Mat_Sum!$D20)</f>
        <v>770.75537542233076</v>
      </c>
      <c r="F486" s="419">
        <f ca="1">$I$6*$J$13*($J$79*Mat_Sum!$D20+$J$80*Mat_Sum!$E20+$J$81*Mat_Sum!$L20+$J$82*Mat_Sum!$AG20)</f>
        <v>182.35845593703436</v>
      </c>
      <c r="G486" s="419"/>
      <c r="H486" s="419">
        <f ca="1">$I$6*$J$15*($J$90*Mat_Sum!$D20+$J$91*Mat_Sum!$L20+$J$92*Mat_Sum!$AG20+$J$93*Mat_Sum!$AV20+$J$94*Mat_Sum!$AR20)</f>
        <v>188.74830999196516</v>
      </c>
      <c r="I486" s="516">
        <f ca="1">$I$6*$J$16*($J$97*Mat_Sum!$D20+$J$99*Mat_Sum!$AU20+$J$101*Mat_Sum!$I20+$J$102*Mat_Sum!$AG20+$J$103*Mat_Sum!$AR20+$J$104*Mat_Sum!$AV20+$J$105*Mat_Sum!$U20+$J$98*Mat_Sum!$E20+$J$100*Mat_Sum!$AS20+$J$106*Mat_Sum!$CN20)</f>
        <v>1554.490434193297</v>
      </c>
      <c r="J486" s="382">
        <f t="shared" ca="1" si="105"/>
        <v>0.21421314654190188</v>
      </c>
      <c r="K486" s="382">
        <f t="shared" ca="1" si="105"/>
        <v>0.15168489859420203</v>
      </c>
      <c r="L486" s="382">
        <f t="shared" ca="1" si="105"/>
        <v>4.7713141735673627E-2</v>
      </c>
      <c r="M486" s="382">
        <f t="shared" ca="1" si="106"/>
        <v>0.1676198928527764</v>
      </c>
      <c r="N486" s="382">
        <f t="shared" ca="1" si="105"/>
        <v>3.9658373875387495E-2</v>
      </c>
      <c r="O486" s="382"/>
      <c r="P486" s="382">
        <f t="shared" ca="1" si="107"/>
        <v>4.1048006288194862E-2</v>
      </c>
      <c r="Q486" s="588">
        <f t="shared" ca="1" si="107"/>
        <v>0.33806254011186376</v>
      </c>
    </row>
    <row r="487" spans="1:17">
      <c r="A487" s="571" t="s">
        <v>964</v>
      </c>
      <c r="B487" s="347"/>
      <c r="C487" s="349"/>
      <c r="D487" s="349"/>
      <c r="E487" s="349"/>
      <c r="F487" s="349"/>
      <c r="G487" s="349"/>
      <c r="H487" s="349"/>
      <c r="I487" s="348"/>
      <c r="J487" s="382"/>
      <c r="K487" s="382"/>
      <c r="L487" s="382"/>
      <c r="M487" s="382"/>
      <c r="N487" s="382"/>
      <c r="O487" s="382"/>
      <c r="P487" s="382"/>
      <c r="Q487" s="588"/>
    </row>
    <row r="488" spans="1:17">
      <c r="A488" s="230" t="s">
        <v>821</v>
      </c>
      <c r="B488" s="347">
        <f ca="1">$I$6*$J$17*($J$22*Mat_Sum!$D22+$J$23*Mat_Sum!$I22+$J$24*Mat_Sum!$L22+$J$25*Mat_Sum!$AG22+$J$26*Mat_Sum!$AH22+$J$27*Mat_Sum!$AK22+$J$28*Mat_Sum!$AS22+$J$29*Mat_Sum!$AM22+$J$30*Mat_Sum!$AT22+$J$31*Mat_Sum!$AR22+$J$32*Mat_Sum!$AV22)</f>
        <v>1338.7436128484846</v>
      </c>
      <c r="C488" s="349">
        <f ca="1">$I$6*$J$10*($J$35*Mat_Sum!$D22+$J$36*Mat_Sum!$E22+$J$37*Mat_Sum!$F22+$J$38*Mat_Sum!$I22+$J$39*Mat_Sum!$L22+$J$40*Mat_Sum!$AG22+$J$41*Mat_Sum!$AK22+$J$42*Mat_Sum!$AS22+$J$43*Mat_Sum!$AR22+$J$44*Mat_Sum!$AV22+$J$45*Mat_Sum!$AT22+$J$46*Mat_Sum!$BH22+$J$47*Mat_Sum!$BG22+$J$48*Mat_Sum!$BJ22+$J$49*Mat_Sum!$BI22+$J$50*Mat_Sum!$AW22+$J$51*Mat_Sum!$CF22+$J$52*Mat_Sum!$U22+$J$53*Mat_Sum!$CN22)</f>
        <v>225.76436093218922</v>
      </c>
      <c r="D488" s="349">
        <f ca="1">$I$6*$J$11*($J$56*Mat_Sum!$D22+$J$57*Mat_Sum!$AG22+$J$58*Mat_Sum!$F22+$J$59*Mat_Sum!$AK22+$J$60*Mat_Sum!$I22+$J$61*Mat_Sum!$L22+$J$62*Mat_Sum!$AT22+$J$63*Mat_Sum!$AR22+$J$64*Mat_Sum!$AV22)</f>
        <v>70.202937959423878</v>
      </c>
      <c r="E488" s="349">
        <f ca="1">$I$6*$J$12*($J$67*Mat_Sum!$D22+$J$68*Mat_Sum!$F22+$J$69*Mat_Sum!$I22+$J$70*Mat_Sum!$L22+$J$71*Mat_Sum!$AG22+$J$72*Mat_Sum!$AH22+$J$73*Mat_Sum!$AK22+$J$74*Mat_Sum!$AS22+$J$75*Mat_Sum!$AR22+$J$76*Mat_Sum!$AV22)+$A$136*(J$140*4)*($A$144*Mat_Sum!$AV22+$B$144*Mat_Sum!$D22)</f>
        <v>1318.2428047018877</v>
      </c>
      <c r="F488" s="349">
        <f ca="1">$I$6*$J$13*($J$79*Mat_Sum!$D22+$J$80*Mat_Sum!$E22+$J$81*Mat_Sum!$L22+$J$82*Mat_Sum!$AG22)</f>
        <v>67.427488680971564</v>
      </c>
      <c r="G488" s="349"/>
      <c r="H488" s="349">
        <f ca="1">$I$6*$J$15*($J$90*Mat_Sum!$D22+$J$91*Mat_Sum!$L22+$J$92*Mat_Sum!$AG22+$J$93*Mat_Sum!$AV22+$J$94*Mat_Sum!$AR22)</f>
        <v>43.132007516623638</v>
      </c>
      <c r="I488" s="348">
        <f ca="1">$I$6*$J$16*($J$97*Mat_Sum!$D22+$J$99*Mat_Sum!$AU22+$J$101*Mat_Sum!$I22+$J$102*Mat_Sum!$AG22+$J$103*Mat_Sum!$AR22+$J$104*Mat_Sum!$AV22+$J$105*Mat_Sum!$U22+$J$98*Mat_Sum!$E22+$J$100*Mat_Sum!$AS22+$J$106*Mat_Sum!$CN22)</f>
        <v>656.50891797958002</v>
      </c>
      <c r="J488" s="382">
        <f t="shared" ref="J488:J500" ca="1" si="108">B488/$J181</f>
        <v>0.35987517435162786</v>
      </c>
      <c r="K488" s="382">
        <f t="shared" ref="K488:K500" ca="1" si="109">C488/$J181</f>
        <v>6.068898329231525E-2</v>
      </c>
      <c r="L488" s="382">
        <f t="shared" ref="L488:L500" ca="1" si="110">D488/$J181</f>
        <v>1.8871645246836016E-2</v>
      </c>
      <c r="M488" s="382">
        <f t="shared" ref="M488:M500" ca="1" si="111">E488/$J181</f>
        <v>0.35436423720481453</v>
      </c>
      <c r="N488" s="382">
        <f t="shared" ref="N488:N500" ca="1" si="112">F488/$J181</f>
        <v>1.8125561169645227E-2</v>
      </c>
      <c r="O488" s="382"/>
      <c r="P488" s="382">
        <f t="shared" ref="P488:P500" ca="1" si="113">H488/$J181</f>
        <v>1.1594556699436825E-2</v>
      </c>
      <c r="Q488" s="588">
        <f t="shared" ref="Q488:Q500" ca="1" si="114">I488/$J181</f>
        <v>0.1764798420353243</v>
      </c>
    </row>
    <row r="489" spans="1:17">
      <c r="A489" s="230" t="s">
        <v>822</v>
      </c>
      <c r="B489" s="347">
        <f ca="1">$I$6*$J$17*($J$22*Mat_Sum!$D23+$J$23*Mat_Sum!$I23+$J$24*Mat_Sum!$L23+$J$25*Mat_Sum!$AG23+$J$26*Mat_Sum!$AH23+$J$27*Mat_Sum!$AK23+$J$28*Mat_Sum!$AS23+$J$29*Mat_Sum!$AM23+$J$30*Mat_Sum!$AT23+$J$31*Mat_Sum!$AR23+$J$32*Mat_Sum!$AV23)</f>
        <v>8808.0520575415703</v>
      </c>
      <c r="C489" s="349">
        <f ca="1">$I$6*$J$10*($J$35*Mat_Sum!$D23+$J$36*Mat_Sum!$E23+$J$37*Mat_Sum!$F23+$J$38*Mat_Sum!$I23+$J$39*Mat_Sum!$L23+$J$40*Mat_Sum!$AG23+$J$41*Mat_Sum!$AK23+$J$42*Mat_Sum!$AS23+$J$43*Mat_Sum!$AR23+$J$44*Mat_Sum!$AV23+$J$45*Mat_Sum!$AT23+$J$46*Mat_Sum!$BH23+$J$47*Mat_Sum!$BG23+$J$48*Mat_Sum!$BJ23+$J$49*Mat_Sum!$BI23+$J$50*Mat_Sum!$AW23+$J$51*Mat_Sum!$CF23+$J$52*Mat_Sum!$U23+$J$53*Mat_Sum!$CN23)</f>
        <v>890.60415990047488</v>
      </c>
      <c r="D489" s="349">
        <f ca="1">$I$6*$J$11*($J$56*Mat_Sum!$D23+$J$57*Mat_Sum!$AG23+$J$58*Mat_Sum!$F23+$J$59*Mat_Sum!$AK23+$J$60*Mat_Sum!$I23+$J$61*Mat_Sum!$L23+$J$62*Mat_Sum!$AT23+$J$63*Mat_Sum!$AR23+$J$64*Mat_Sum!$AV23)</f>
        <v>460.65137950742024</v>
      </c>
      <c r="E489" s="349">
        <f ca="1">$I$6*$J$12*($J$67*Mat_Sum!$D23+$J$68*Mat_Sum!$F23+$J$69*Mat_Sum!$I23+$J$70*Mat_Sum!$L23+$J$71*Mat_Sum!$AG23+$J$72*Mat_Sum!$AH23+$J$73*Mat_Sum!$AK23+$J$74*Mat_Sum!$AS23+$J$75*Mat_Sum!$AR23+$J$76*Mat_Sum!$AV23)+$A$136*(J$140*4)*($A$144*Mat_Sum!$AV23+$B$144*Mat_Sum!$D23)</f>
        <v>4981.5816867509739</v>
      </c>
      <c r="F489" s="349">
        <f ca="1">$I$6*$J$13*($J$79*Mat_Sum!$D23+$J$80*Mat_Sum!$E23+$J$81*Mat_Sum!$L23+$J$82*Mat_Sum!$AG23)</f>
        <v>441.86874966645451</v>
      </c>
      <c r="G489" s="349"/>
      <c r="H489" s="349">
        <f ca="1">$I$6*$J$15*($J$90*Mat_Sum!$D23+$J$91*Mat_Sum!$L23+$J$92*Mat_Sum!$AG23+$J$93*Mat_Sum!$AV23+$J$94*Mat_Sum!$AR23)</f>
        <v>166.50664439154323</v>
      </c>
      <c r="I489" s="348">
        <f ca="1">$I$6*$J$16*($J$97*Mat_Sum!$D23+$J$99*Mat_Sum!$AU23+$J$101*Mat_Sum!$I23+$J$102*Mat_Sum!$AG23+$J$103*Mat_Sum!$AR23+$J$104*Mat_Sum!$AV23+$J$105*Mat_Sum!$U23+$J$98*Mat_Sum!$E23+$J$100*Mat_Sum!$AS23+$J$106*Mat_Sum!$CN23)</f>
        <v>1449.4708435988971</v>
      </c>
      <c r="J489" s="382">
        <f t="shared" ca="1" si="108"/>
        <v>0.51213369998066216</v>
      </c>
      <c r="K489" s="382">
        <f t="shared" ca="1" si="109"/>
        <v>5.1783118520226434E-2</v>
      </c>
      <c r="L489" s="382">
        <f t="shared" ca="1" si="110"/>
        <v>2.6784026007922793E-2</v>
      </c>
      <c r="M489" s="382">
        <f t="shared" ca="1" si="111"/>
        <v>0.28964813608331053</v>
      </c>
      <c r="N489" s="382">
        <f t="shared" ca="1" si="112"/>
        <v>2.5691932358500629E-2</v>
      </c>
      <c r="O489" s="382"/>
      <c r="P489" s="382">
        <f t="shared" ca="1" si="113"/>
        <v>9.6813305946112076E-3</v>
      </c>
      <c r="Q489" s="588">
        <f t="shared" ca="1" si="114"/>
        <v>8.427775645476665E-2</v>
      </c>
    </row>
    <row r="490" spans="1:17">
      <c r="A490" s="230" t="s">
        <v>823</v>
      </c>
      <c r="B490" s="347">
        <f ca="1">$I$6*$J$17*($J$22*Mat_Sum!$D24+$J$23*Mat_Sum!$I24+$J$24*Mat_Sum!$L24+$J$25*Mat_Sum!$AG24+$J$26*Mat_Sum!$AH24+$J$27*Mat_Sum!$AK24+$J$28*Mat_Sum!$AS24+$J$29*Mat_Sum!$AM24+$J$30*Mat_Sum!$AT24+$J$31*Mat_Sum!$AR24+$J$32*Mat_Sum!$AV24)</f>
        <v>1811.3711191125215</v>
      </c>
      <c r="C490" s="349">
        <f ca="1">$I$6*$J$10*($J$35*Mat_Sum!$D24+$J$36*Mat_Sum!$E24+$J$37*Mat_Sum!$F24+$J$38*Mat_Sum!$I24+$J$39*Mat_Sum!$L24+$J$40*Mat_Sum!$AG24+$J$41*Mat_Sum!$AK24+$J$42*Mat_Sum!$AS24+$J$43*Mat_Sum!$AR24+$J$44*Mat_Sum!$AV24+$J$45*Mat_Sum!$AT24+$J$46*Mat_Sum!$BH24+$J$47*Mat_Sum!$BG24+$J$48*Mat_Sum!$BJ24+$J$49*Mat_Sum!$BI24+$J$50*Mat_Sum!$AW24+$J$51*Mat_Sum!$CF24+$J$52*Mat_Sum!$U24+$J$53*Mat_Sum!$CN24)</f>
        <v>454.27328166565542</v>
      </c>
      <c r="D490" s="349">
        <f ca="1">$I$6*$J$11*($J$56*Mat_Sum!$D24+$J$57*Mat_Sum!$AG24+$J$58*Mat_Sum!$F24+$J$59*Mat_Sum!$AK24+$J$60*Mat_Sum!$I24+$J$61*Mat_Sum!$L24+$J$62*Mat_Sum!$AT24+$J$63*Mat_Sum!$AR24+$J$64*Mat_Sum!$AV24)</f>
        <v>112.51127745918578</v>
      </c>
      <c r="E490" s="349">
        <f ca="1">$I$6*$J$12*($J$67*Mat_Sum!$D24+$J$68*Mat_Sum!$F24+$J$69*Mat_Sum!$I24+$J$70*Mat_Sum!$L24+$J$71*Mat_Sum!$AG24+$J$72*Mat_Sum!$AH24+$J$73*Mat_Sum!$AK24+$J$74*Mat_Sum!$AS24+$J$75*Mat_Sum!$AR24+$J$76*Mat_Sum!$AV24)+$A$136*(J$140*4)*($A$144*Mat_Sum!$AV24+$B$144*Mat_Sum!$D24)</f>
        <v>1265.3706914735876</v>
      </c>
      <c r="F490" s="349">
        <f ca="1">$I$6*$J$13*($J$79*Mat_Sum!$D24+$J$80*Mat_Sum!$E24+$J$81*Mat_Sum!$L24+$J$82*Mat_Sum!$AG24)</f>
        <v>141.00589141270723</v>
      </c>
      <c r="G490" s="349"/>
      <c r="H490" s="349">
        <f ca="1">$I$6*$J$15*($J$90*Mat_Sum!$D24+$J$91*Mat_Sum!$L24+$J$92*Mat_Sum!$AG24+$J$93*Mat_Sum!$AV24+$J$94*Mat_Sum!$AR24)</f>
        <v>127.33242813763549</v>
      </c>
      <c r="I490" s="348">
        <f ca="1">$I$6*$J$16*($J$97*Mat_Sum!$D24+$J$99*Mat_Sum!$AU24+$J$101*Mat_Sum!$I24+$J$102*Mat_Sum!$AG24+$J$103*Mat_Sum!$AR24+$J$104*Mat_Sum!$AV24+$J$105*Mat_Sum!$U24+$J$98*Mat_Sum!$E24+$J$100*Mat_Sum!$AS24+$J$106*Mat_Sum!$CN24)</f>
        <v>1583.2556311523367</v>
      </c>
      <c r="J490" s="382">
        <f t="shared" ca="1" si="108"/>
        <v>0.32963265833934924</v>
      </c>
      <c r="K490" s="382">
        <f t="shared" ca="1" si="109"/>
        <v>8.2668486798749705E-2</v>
      </c>
      <c r="L490" s="382">
        <f t="shared" ca="1" si="110"/>
        <v>2.0474761406264676E-2</v>
      </c>
      <c r="M490" s="382">
        <f t="shared" ca="1" si="111"/>
        <v>0.23027169883303672</v>
      </c>
      <c r="N490" s="382">
        <f t="shared" ca="1" si="112"/>
        <v>2.5660200903861809E-2</v>
      </c>
      <c r="O490" s="382"/>
      <c r="P490" s="382">
        <f t="shared" ca="1" si="113"/>
        <v>2.3171909023468096E-2</v>
      </c>
      <c r="Q490" s="588">
        <f t="shared" ca="1" si="114"/>
        <v>0.28812028469526968</v>
      </c>
    </row>
    <row r="491" spans="1:17">
      <c r="A491" s="230" t="s">
        <v>824</v>
      </c>
      <c r="B491" s="347">
        <f ca="1">$I$6*$J$17*($J$22*Mat_Sum!$D25+$J$23*Mat_Sum!$I25+$J$24*Mat_Sum!$L25+$J$25*Mat_Sum!$AG25+$J$26*Mat_Sum!$AH25+$J$27*Mat_Sum!$AK25+$J$28*Mat_Sum!$AS25+$J$29*Mat_Sum!$AM25+$J$30*Mat_Sum!$AT25+$J$31*Mat_Sum!$AR25+$J$32*Mat_Sum!$AV25)</f>
        <v>868.25445774927539</v>
      </c>
      <c r="C491" s="349">
        <f ca="1">$I$6*$J$10*($J$35*Mat_Sum!$D25+$J$36*Mat_Sum!$E25+$J$37*Mat_Sum!$F25+$J$38*Mat_Sum!$I25+$J$39*Mat_Sum!$L25+$J$40*Mat_Sum!$AG25+$J$41*Mat_Sum!$AK25+$J$42*Mat_Sum!$AS25+$J$43*Mat_Sum!$AR25+$J$44*Mat_Sum!$AV25+$J$45*Mat_Sum!$AT25+$J$46*Mat_Sum!$BH25+$J$47*Mat_Sum!$BG25+$J$48*Mat_Sum!$BJ25+$J$49*Mat_Sum!$BI25+$J$50*Mat_Sum!$AW25+$J$51*Mat_Sum!$CF25+$J$52*Mat_Sum!$U25+$J$53*Mat_Sum!$CN25)</f>
        <v>208.25254175346316</v>
      </c>
      <c r="D491" s="349">
        <f ca="1">$I$6*$J$11*($J$56*Mat_Sum!$D25+$J$57*Mat_Sum!$AG25+$J$58*Mat_Sum!$F25+$J$59*Mat_Sum!$AK25+$J$60*Mat_Sum!$I25+$J$61*Mat_Sum!$L25+$J$62*Mat_Sum!$AT25+$J$63*Mat_Sum!$AR25+$J$64*Mat_Sum!$AV25)</f>
        <v>68.017422013380511</v>
      </c>
      <c r="E491" s="349">
        <f ca="1">$I$6*$J$12*($J$67*Mat_Sum!$D25+$J$68*Mat_Sum!$F25+$J$69*Mat_Sum!$I25+$J$70*Mat_Sum!$L25+$J$71*Mat_Sum!$AG25+$J$72*Mat_Sum!$AH25+$J$73*Mat_Sum!$AK25+$J$74*Mat_Sum!$AS25+$J$75*Mat_Sum!$AR25+$J$76*Mat_Sum!$AV25)+$A$136*(J$140*4)*($A$144*Mat_Sum!$AV25+$B$144*Mat_Sum!$D25)</f>
        <v>538.03069513549713</v>
      </c>
      <c r="F491" s="349">
        <f ca="1">$I$6*$J$13*($J$79*Mat_Sum!$D25+$J$80*Mat_Sum!$E25+$J$81*Mat_Sum!$L25+$J$82*Mat_Sum!$AG25)</f>
        <v>65.024358276345737</v>
      </c>
      <c r="G491" s="349"/>
      <c r="H491" s="349">
        <f ca="1">$I$6*$J$15*($J$90*Mat_Sum!$D25+$J$91*Mat_Sum!$L25+$J$92*Mat_Sum!$AG25+$J$93*Mat_Sum!$AV25+$J$94*Mat_Sum!$AR25)</f>
        <v>53.145692500037157</v>
      </c>
      <c r="I491" s="348">
        <f ca="1">$I$6*$J$16*($J$97*Mat_Sum!$D25+$J$99*Mat_Sum!$AU25+$J$101*Mat_Sum!$I25+$J$102*Mat_Sum!$AG25+$J$103*Mat_Sum!$AR25+$J$104*Mat_Sum!$AV25+$J$105*Mat_Sum!$U25+$J$98*Mat_Sum!$E25+$J$100*Mat_Sum!$AS25+$J$106*Mat_Sum!$CN25)</f>
        <v>465.60471502594328</v>
      </c>
      <c r="J491" s="382">
        <f t="shared" ca="1" si="108"/>
        <v>0.38311036026632839</v>
      </c>
      <c r="K491" s="382">
        <f t="shared" ca="1" si="109"/>
        <v>9.1889774461240831E-2</v>
      </c>
      <c r="L491" s="382">
        <f t="shared" ca="1" si="110"/>
        <v>3.0012145425066031E-2</v>
      </c>
      <c r="M491" s="382">
        <f t="shared" ca="1" si="111"/>
        <v>0.23740175660258558</v>
      </c>
      <c r="N491" s="382">
        <f t="shared" ca="1" si="112"/>
        <v>2.8691479903154481E-2</v>
      </c>
      <c r="O491" s="382"/>
      <c r="P491" s="382">
        <f t="shared" ca="1" si="113"/>
        <v>2.3450113291756069E-2</v>
      </c>
      <c r="Q491" s="588">
        <f t="shared" ca="1" si="114"/>
        <v>0.20544437004986879</v>
      </c>
    </row>
    <row r="492" spans="1:17">
      <c r="A492" s="230" t="s">
        <v>825</v>
      </c>
      <c r="B492" s="347">
        <f ca="1">$I$6*$J$17*($J$22*Mat_Sum!$D26+$J$23*Mat_Sum!$I26+$J$24*Mat_Sum!$L26+$J$25*Mat_Sum!$AG26+$J$26*Mat_Sum!$AH26+$J$27*Mat_Sum!$AK26+$J$28*Mat_Sum!$AS26+$J$29*Mat_Sum!$AM26+$J$30*Mat_Sum!$AT26+$J$31*Mat_Sum!$AR26+$J$32*Mat_Sum!$AV26)</f>
        <v>385.02808632183297</v>
      </c>
      <c r="C492" s="349">
        <f ca="1">$I$6*$J$10*($J$35*Mat_Sum!$D26+$J$36*Mat_Sum!$E26+$J$37*Mat_Sum!$F26+$J$38*Mat_Sum!$I26+$J$39*Mat_Sum!$L26+$J$40*Mat_Sum!$AG26+$J$41*Mat_Sum!$AK26+$J$42*Mat_Sum!$AS26+$J$43*Mat_Sum!$AR26+$J$44*Mat_Sum!$AV26+$J$45*Mat_Sum!$AT26+$J$46*Mat_Sum!$BH26+$J$47*Mat_Sum!$BG26+$J$48*Mat_Sum!$BJ26+$J$49*Mat_Sum!$BI26+$J$50*Mat_Sum!$AW26+$J$51*Mat_Sum!$CF26+$J$52*Mat_Sum!$U26+$J$53*Mat_Sum!$CN26)</f>
        <v>99.459237597318619</v>
      </c>
      <c r="D492" s="349">
        <f ca="1">$I$6*$J$11*($J$56*Mat_Sum!$D26+$J$57*Mat_Sum!$AG26+$J$58*Mat_Sum!$F26+$J$59*Mat_Sum!$AK26+$J$60*Mat_Sum!$I26+$J$61*Mat_Sum!$L26+$J$62*Mat_Sum!$AT26+$J$63*Mat_Sum!$AR26+$J$64*Mat_Sum!$AV26)</f>
        <v>33.906094937576398</v>
      </c>
      <c r="E492" s="349">
        <f ca="1">$I$6*$J$12*($J$67*Mat_Sum!$D26+$J$68*Mat_Sum!$F26+$J$69*Mat_Sum!$I26+$J$70*Mat_Sum!$L26+$J$71*Mat_Sum!$AG26+$J$72*Mat_Sum!$AH26+$J$73*Mat_Sum!$AK26+$J$74*Mat_Sum!$AS26+$J$75*Mat_Sum!$AR26+$J$76*Mat_Sum!$AV26)+$A$136*(J$140*4)*($A$144*Mat_Sum!$AV26+$B$144*Mat_Sum!$D26)</f>
        <v>268.69069993792954</v>
      </c>
      <c r="F492" s="349">
        <f ca="1">$I$6*$J$13*($J$79*Mat_Sum!$D26+$J$80*Mat_Sum!$E26+$J$81*Mat_Sum!$L26+$J$82*Mat_Sum!$AG26)</f>
        <v>33.148933126437491</v>
      </c>
      <c r="G492" s="349"/>
      <c r="H492" s="349">
        <f ca="1">$I$6*$J$15*($J$90*Mat_Sum!$D26+$J$91*Mat_Sum!$L26+$J$92*Mat_Sum!$AG26+$J$93*Mat_Sum!$AV26+$J$94*Mat_Sum!$AR26)</f>
        <v>24.240623378826324</v>
      </c>
      <c r="I492" s="348">
        <f ca="1">$I$6*$J$16*($J$97*Mat_Sum!$D26+$J$99*Mat_Sum!$AU26+$J$101*Mat_Sum!$I26+$J$102*Mat_Sum!$AG26+$J$103*Mat_Sum!$AR26+$J$104*Mat_Sum!$AV26+$J$105*Mat_Sum!$U26+$J$98*Mat_Sum!$E26+$J$100*Mat_Sum!$AS26+$J$106*Mat_Sum!$CN26)</f>
        <v>160.18867611766433</v>
      </c>
      <c r="J492" s="382">
        <f t="shared" ca="1" si="108"/>
        <v>0.3832412807930502</v>
      </c>
      <c r="K492" s="382">
        <f t="shared" ca="1" si="109"/>
        <v>9.8997675643942407E-2</v>
      </c>
      <c r="L492" s="382">
        <f t="shared" ca="1" si="110"/>
        <v>3.3748746421854728E-2</v>
      </c>
      <c r="M492" s="382">
        <f t="shared" ca="1" si="111"/>
        <v>0.2674437830369627</v>
      </c>
      <c r="N492" s="382">
        <f t="shared" ca="1" si="112"/>
        <v>3.2995098382719447E-2</v>
      </c>
      <c r="O492" s="382"/>
      <c r="P492" s="382">
        <f t="shared" ca="1" si="113"/>
        <v>2.4128129559769645E-2</v>
      </c>
      <c r="Q492" s="588">
        <f t="shared" ca="1" si="114"/>
        <v>0.15944528616170098</v>
      </c>
    </row>
    <row r="493" spans="1:17">
      <c r="A493" s="230" t="s">
        <v>826</v>
      </c>
      <c r="B493" s="347">
        <f ca="1">$I$6*$J$17*($J$22*Mat_Sum!$D27+$J$23*Mat_Sum!$I27+$J$24*Mat_Sum!$L27+$J$25*Mat_Sum!$AG27+$J$26*Mat_Sum!$AH27+$J$27*Mat_Sum!$AK27+$J$28*Mat_Sum!$AS27+$J$29*Mat_Sum!$AM27+$J$30*Mat_Sum!$AT27+$J$31*Mat_Sum!$AR27+$J$32*Mat_Sum!$AV27)</f>
        <v>7861.2379292290098</v>
      </c>
      <c r="C493" s="349">
        <f ca="1">$I$6*$J$10*($J$35*Mat_Sum!$D27+$J$36*Mat_Sum!$E27+$J$37*Mat_Sum!$F27+$J$38*Mat_Sum!$I27+$J$39*Mat_Sum!$L27+$J$40*Mat_Sum!$AG27+$J$41*Mat_Sum!$AK27+$J$42*Mat_Sum!$AS27+$J$43*Mat_Sum!$AR27+$J$44*Mat_Sum!$AV27+$J$45*Mat_Sum!$AT27+$J$46*Mat_Sum!$BH27+$J$47*Mat_Sum!$BG27+$J$48*Mat_Sum!$BJ27+$J$49*Mat_Sum!$BI27+$J$50*Mat_Sum!$AW27+$J$51*Mat_Sum!$CF27+$J$52*Mat_Sum!$U27+$J$53*Mat_Sum!$CN27)</f>
        <v>1273.1520245276988</v>
      </c>
      <c r="D493" s="349">
        <f ca="1">$I$6*$J$11*($J$56*Mat_Sum!$D27+$J$57*Mat_Sum!$AG27+$J$58*Mat_Sum!$F27+$J$59*Mat_Sum!$AK27+$J$60*Mat_Sum!$I27+$J$61*Mat_Sum!$L27+$J$62*Mat_Sum!$AT27+$J$63*Mat_Sum!$AR27+$J$64*Mat_Sum!$AV27)</f>
        <v>1360.4916784845557</v>
      </c>
      <c r="E493" s="349">
        <f ca="1">$I$6*$J$12*($J$67*Mat_Sum!$D27+$J$68*Mat_Sum!$F27+$J$69*Mat_Sum!$I27+$J$70*Mat_Sum!$L27+$J$71*Mat_Sum!$AG27+$J$72*Mat_Sum!$AH27+$J$73*Mat_Sum!$AK27+$J$74*Mat_Sum!$AS27+$J$75*Mat_Sum!$AR27+$J$76*Mat_Sum!$AV27)+$A$136*(J$140*4)*($A$144*Mat_Sum!$AV27+$B$144*Mat_Sum!$D27)</f>
        <v>3630.2587120758408</v>
      </c>
      <c r="F493" s="349">
        <f ca="1">$I$6*$J$13*($J$79*Mat_Sum!$D27+$J$80*Mat_Sum!$E27+$J$81*Mat_Sum!$L27+$J$82*Mat_Sum!$AG27)</f>
        <v>2507.1074917790452</v>
      </c>
      <c r="G493" s="349"/>
      <c r="H493" s="349">
        <f ca="1">$I$6*$J$15*($J$90*Mat_Sum!$D27+$J$91*Mat_Sum!$L27+$J$92*Mat_Sum!$AG27+$J$93*Mat_Sum!$AV27+$J$94*Mat_Sum!$AR27)</f>
        <v>888.1756180479266</v>
      </c>
      <c r="I493" s="348">
        <f ca="1">$I$6*$J$16*($J$97*Mat_Sum!$D27+$J$99*Mat_Sum!$AU27+$J$101*Mat_Sum!$I27+$J$102*Mat_Sum!$AG27+$J$103*Mat_Sum!$AR27+$J$104*Mat_Sum!$AV27+$J$105*Mat_Sum!$U27+$J$98*Mat_Sum!$E27+$J$100*Mat_Sum!$AS27+$J$106*Mat_Sum!$CN27)</f>
        <v>1226.0549658701682</v>
      </c>
      <c r="J493" s="382">
        <f t="shared" ca="1" si="108"/>
        <v>0.41934478322265256</v>
      </c>
      <c r="K493" s="382">
        <f t="shared" ca="1" si="109"/>
        <v>6.7914196789539263E-2</v>
      </c>
      <c r="L493" s="382">
        <f t="shared" ca="1" si="110"/>
        <v>7.257318670753958E-2</v>
      </c>
      <c r="M493" s="382">
        <f t="shared" ca="1" si="111"/>
        <v>0.193650168887191</v>
      </c>
      <c r="N493" s="382">
        <f t="shared" ca="1" si="112"/>
        <v>0.13373751782107454</v>
      </c>
      <c r="O493" s="382"/>
      <c r="P493" s="382">
        <f t="shared" ca="1" si="113"/>
        <v>4.7378264767834272E-2</v>
      </c>
      <c r="Q493" s="588">
        <f t="shared" ca="1" si="114"/>
        <v>6.5401881804168546E-2</v>
      </c>
    </row>
    <row r="494" spans="1:17">
      <c r="A494" s="661" t="s">
        <v>827</v>
      </c>
      <c r="B494" s="347">
        <f ca="1">$I$6*$J$17*($J$22*Mat_Sum!$D28+$J$23*Mat_Sum!$I28+$J$24*Mat_Sum!$L28+$J$25*Mat_Sum!$AG28+$J$26*Mat_Sum!$AH28+$J$27*Mat_Sum!$AK28+$J$28*Mat_Sum!$AS28+$J$29*Mat_Sum!$AM28+$J$30*Mat_Sum!$AT28+$J$31*Mat_Sum!$AR28+$J$32*Mat_Sum!$AV28)</f>
        <v>9.5636449946939361</v>
      </c>
      <c r="C494" s="349">
        <f ca="1">$I$6*$J$10*($J$35*Mat_Sum!$D28+$J$36*Mat_Sum!$E28+$J$37*Mat_Sum!$F28+$J$38*Mat_Sum!$I28+$J$39*Mat_Sum!$L28+$J$40*Mat_Sum!$AG28+$J$41*Mat_Sum!$AK28+$J$42*Mat_Sum!$AS28+$J$43*Mat_Sum!$AR28+$J$44*Mat_Sum!$AV28+$J$45*Mat_Sum!$AT28+$J$46*Mat_Sum!$BH28+$J$47*Mat_Sum!$BG28+$J$48*Mat_Sum!$BJ28+$J$49*Mat_Sum!$BI28+$J$50*Mat_Sum!$AW28+$J$51*Mat_Sum!$CF28+$J$52*Mat_Sum!$U28+$J$53*Mat_Sum!$CN28)</f>
        <v>3.022224384915551</v>
      </c>
      <c r="D494" s="349">
        <f ca="1">$I$6*$J$11*($J$56*Mat_Sum!$D28+$J$57*Mat_Sum!$AG28+$J$58*Mat_Sum!$F28+$J$59*Mat_Sum!$AK28+$J$60*Mat_Sum!$I28+$J$61*Mat_Sum!$L28+$J$62*Mat_Sum!$AT28+$J$63*Mat_Sum!$AR28+$J$64*Mat_Sum!$AV28)</f>
        <v>0.77641954033207594</v>
      </c>
      <c r="E494" s="349">
        <f ca="1">$I$6*$J$12*($J$67*Mat_Sum!$D28+$J$68*Mat_Sum!$F28+$J$69*Mat_Sum!$I28+$J$70*Mat_Sum!$L28+$J$71*Mat_Sum!$AG28+$J$72*Mat_Sum!$AH28+$J$73*Mat_Sum!$AK28+$J$74*Mat_Sum!$AS28+$J$75*Mat_Sum!$AR28+$J$76*Mat_Sum!$AV28)+$A$136*(J$140*4)*($A$144*Mat_Sum!$AV28+$B$144*Mat_Sum!$D28)</f>
        <v>7.5056563459129428</v>
      </c>
      <c r="F494" s="349">
        <f ca="1">$I$6*$J$13*($J$79*Mat_Sum!$D28+$J$80*Mat_Sum!$E28+$J$81*Mat_Sum!$L28+$J$82*Mat_Sum!$AG28)</f>
        <v>1.2277655887438146</v>
      </c>
      <c r="G494" s="349"/>
      <c r="H494" s="349">
        <f ca="1">$I$6*$J$15*($J$90*Mat_Sum!$D28+$J$91*Mat_Sum!$L28+$J$92*Mat_Sum!$AG28+$J$93*Mat_Sum!$AV28+$J$94*Mat_Sum!$AR28)</f>
        <v>1.016468776809127</v>
      </c>
      <c r="I494" s="348">
        <f ca="1">$I$6*$J$16*($J$97*Mat_Sum!$D28+$J$99*Mat_Sum!$AU28+$J$101*Mat_Sum!$I28+$J$102*Mat_Sum!$AG28+$J$103*Mat_Sum!$AR28+$J$104*Mat_Sum!$AV28+$J$105*Mat_Sum!$U28+$J$98*Mat_Sum!$E28+$J$100*Mat_Sum!$AS28+$J$106*Mat_Sum!$CN28)</f>
        <v>10.605155638899731</v>
      </c>
      <c r="J494" s="382">
        <f t="shared" ca="1" si="108"/>
        <v>0.28364178005241303</v>
      </c>
      <c r="K494" s="382">
        <f t="shared" ca="1" si="109"/>
        <v>8.9634141034183143E-2</v>
      </c>
      <c r="L494" s="382">
        <f t="shared" ca="1" si="110"/>
        <v>2.3027310257694708E-2</v>
      </c>
      <c r="M494" s="382">
        <f t="shared" ca="1" si="111"/>
        <v>0.22260526479157214</v>
      </c>
      <c r="N494" s="382">
        <f t="shared" ca="1" si="112"/>
        <v>3.6413482231053819E-2</v>
      </c>
      <c r="O494" s="382"/>
      <c r="P494" s="382">
        <f t="shared" ca="1" si="113"/>
        <v>3.0146770753389569E-2</v>
      </c>
      <c r="Q494" s="588">
        <f t="shared" ca="1" si="114"/>
        <v>0.31453125087969369</v>
      </c>
    </row>
    <row r="495" spans="1:17">
      <c r="A495" s="661" t="s">
        <v>828</v>
      </c>
      <c r="B495" s="347">
        <f ca="1">$I$6*$J$17*($J$22*Mat_Sum!$D29+$J$23*Mat_Sum!$I29+$J$24*Mat_Sum!$L29+$J$25*Mat_Sum!$AG29+$J$26*Mat_Sum!$AH29+$J$27*Mat_Sum!$AK29+$J$28*Mat_Sum!$AS29+$J$29*Mat_Sum!$AM29+$J$30*Mat_Sum!$AT29+$J$31*Mat_Sum!$AR29+$J$32*Mat_Sum!$AV29)</f>
        <v>22.125438088562429</v>
      </c>
      <c r="C495" s="349">
        <f ca="1">$I$6*$J$10*($J$35*Mat_Sum!$D29+$J$36*Mat_Sum!$E29+$J$37*Mat_Sum!$F29+$J$38*Mat_Sum!$I29+$J$39*Mat_Sum!$L29+$J$40*Mat_Sum!$AG29+$J$41*Mat_Sum!$AK29+$J$42*Mat_Sum!$AS29+$J$43*Mat_Sum!$AR29+$J$44*Mat_Sum!$AV29+$J$45*Mat_Sum!$AT29+$J$46*Mat_Sum!$BH29+$J$47*Mat_Sum!$BG29+$J$48*Mat_Sum!$BJ29+$J$49*Mat_Sum!$BI29+$J$50*Mat_Sum!$AW29+$J$51*Mat_Sum!$CF29+$J$52*Mat_Sum!$U29+$J$53*Mat_Sum!$CN29)</f>
        <v>7.4488300035212909</v>
      </c>
      <c r="D495" s="349">
        <f ca="1">$I$6*$J$11*($J$56*Mat_Sum!$D29+$J$57*Mat_Sum!$AG29+$J$58*Mat_Sum!$F29+$J$59*Mat_Sum!$AK29+$J$60*Mat_Sum!$I29+$J$61*Mat_Sum!$L29+$J$62*Mat_Sum!$AT29+$J$63*Mat_Sum!$AR29+$J$64*Mat_Sum!$AV29)</f>
        <v>1.4520170946974913</v>
      </c>
      <c r="E495" s="349">
        <f ca="1">$I$6*$J$12*($J$67*Mat_Sum!$D29+$J$68*Mat_Sum!$F29+$J$69*Mat_Sum!$I29+$J$70*Mat_Sum!$L29+$J$71*Mat_Sum!$AG29+$J$72*Mat_Sum!$AH29+$J$73*Mat_Sum!$AK29+$J$74*Mat_Sum!$AS29+$J$75*Mat_Sum!$AR29+$J$76*Mat_Sum!$AV29)+$A$136*(J$140*4)*($A$144*Mat_Sum!$AV29+$B$144*Mat_Sum!$D29)</f>
        <v>15.742558714474136</v>
      </c>
      <c r="F495" s="349">
        <f ca="1">$I$6*$J$13*($J$79*Mat_Sum!$D29+$J$80*Mat_Sum!$E29+$J$81*Mat_Sum!$L29+$J$82*Mat_Sum!$AG29)</f>
        <v>2.0781699469926771</v>
      </c>
      <c r="G495" s="349"/>
      <c r="H495" s="349">
        <f ca="1">$I$6*$J$15*($J$90*Mat_Sum!$D29+$J$91*Mat_Sum!$L29+$J$92*Mat_Sum!$AG29+$J$93*Mat_Sum!$AV29+$J$94*Mat_Sum!$AR29)</f>
        <v>2.0042151951521716</v>
      </c>
      <c r="I495" s="348">
        <f ca="1">$I$6*$J$16*($J$97*Mat_Sum!$D29+$J$99*Mat_Sum!$AU29+$J$101*Mat_Sum!$I29+$J$102*Mat_Sum!$AG29+$J$103*Mat_Sum!$AR29+$J$104*Mat_Sum!$AV29+$J$105*Mat_Sum!$U29+$J$98*Mat_Sum!$E29+$J$100*Mat_Sum!$AS29+$J$106*Mat_Sum!$CN29)</f>
        <v>32.531410950416543</v>
      </c>
      <c r="J495" s="382">
        <f t="shared" ca="1" si="108"/>
        <v>0.26534825582643046</v>
      </c>
      <c r="K495" s="382">
        <f t="shared" ca="1" si="109"/>
        <v>8.9333103438241621E-2</v>
      </c>
      <c r="L495" s="382">
        <f t="shared" ca="1" si="110"/>
        <v>1.7413901680315789E-2</v>
      </c>
      <c r="M495" s="382">
        <f t="shared" ca="1" si="111"/>
        <v>0.18879899599774647</v>
      </c>
      <c r="N495" s="382">
        <f t="shared" ca="1" si="112"/>
        <v>2.4923292751905971E-2</v>
      </c>
      <c r="O495" s="382"/>
      <c r="P495" s="382">
        <f t="shared" ca="1" si="113"/>
        <v>2.4036360509823093E-2</v>
      </c>
      <c r="Q495" s="588">
        <f t="shared" ca="1" si="114"/>
        <v>0.39014608979553694</v>
      </c>
    </row>
    <row r="496" spans="1:17">
      <c r="A496" s="230" t="s">
        <v>829</v>
      </c>
      <c r="B496" s="347">
        <f ca="1">$I$6*$J$17*($J$22*Mat_Sum!$D30+$J$23*Mat_Sum!$I30+$J$24*Mat_Sum!$L30+$J$25*Mat_Sum!$AG30+$J$26*Mat_Sum!$AH30+$J$27*Mat_Sum!$AK30+$J$28*Mat_Sum!$AS30+$J$29*Mat_Sum!$AM30+$J$30*Mat_Sum!$AT30+$J$31*Mat_Sum!$AR30+$J$32*Mat_Sum!$AV30)</f>
        <v>5080.7760723669426</v>
      </c>
      <c r="C496" s="349">
        <f ca="1">$I$6*$J$10*($J$35*Mat_Sum!$D30+$J$36*Mat_Sum!$E30+$J$37*Mat_Sum!$F30+$J$38*Mat_Sum!$I30+$J$39*Mat_Sum!$L30+$J$40*Mat_Sum!$AG30+$J$41*Mat_Sum!$AK30+$J$42*Mat_Sum!$AS30+$J$43*Mat_Sum!$AR30+$J$44*Mat_Sum!$AV30+$J$45*Mat_Sum!$AT30+$J$46*Mat_Sum!$BH30+$J$47*Mat_Sum!$BG30+$J$48*Mat_Sum!$BJ30+$J$49*Mat_Sum!$BI30+$J$50*Mat_Sum!$AW30+$J$51*Mat_Sum!$CF30+$J$52*Mat_Sum!$U30+$J$53*Mat_Sum!$CN30)</f>
        <v>1343.3259860736036</v>
      </c>
      <c r="D496" s="349">
        <f ca="1">$I$6*$J$11*($J$56*Mat_Sum!$D30+$J$57*Mat_Sum!$AG30+$J$58*Mat_Sum!$F30+$J$59*Mat_Sum!$AK30+$J$60*Mat_Sum!$I30+$J$61*Mat_Sum!$L30+$J$62*Mat_Sum!$AT30+$J$63*Mat_Sum!$AR30+$J$64*Mat_Sum!$AV30)</f>
        <v>222.33428287077498</v>
      </c>
      <c r="E496" s="349">
        <f ca="1">$I$6*$J$12*($J$67*Mat_Sum!$D30+$J$68*Mat_Sum!$F30+$J$69*Mat_Sum!$I30+$J$70*Mat_Sum!$L30+$J$71*Mat_Sum!$AG30+$J$72*Mat_Sum!$AH30+$J$73*Mat_Sum!$AK30+$J$74*Mat_Sum!$AS30+$J$75*Mat_Sum!$AR30+$J$76*Mat_Sum!$AV30)+$A$136*(J$140*4)*($A$144*Mat_Sum!$AV30+$B$144*Mat_Sum!$D30)</f>
        <v>2355.3049687049847</v>
      </c>
      <c r="F496" s="349">
        <f ca="1">$I$6*$J$13*($J$79*Mat_Sum!$D30+$J$80*Mat_Sum!$E30+$J$81*Mat_Sum!$L30+$J$82*Mat_Sum!$AG30)</f>
        <v>292.99205545055588</v>
      </c>
      <c r="G496" s="349"/>
      <c r="H496" s="349">
        <f ca="1">$I$6*$J$15*($J$90*Mat_Sum!$D30+$J$91*Mat_Sum!$L30+$J$92*Mat_Sum!$AG30+$J$93*Mat_Sum!$AV30+$J$94*Mat_Sum!$AR30)</f>
        <v>426.72511014984275</v>
      </c>
      <c r="I496" s="348">
        <f ca="1">$I$6*$J$16*($J$97*Mat_Sum!$D30+$J$99*Mat_Sum!$AU30+$J$101*Mat_Sum!$I30+$J$102*Mat_Sum!$AG30+$J$103*Mat_Sum!$AR30+$J$104*Mat_Sum!$AV30+$J$105*Mat_Sum!$U30+$J$98*Mat_Sum!$E30+$J$100*Mat_Sum!$AS30+$J$106*Mat_Sum!$CN30)</f>
        <v>5237.2359795038228</v>
      </c>
      <c r="J496" s="382">
        <f t="shared" ca="1" si="108"/>
        <v>0.33965371026264507</v>
      </c>
      <c r="K496" s="382">
        <f t="shared" ca="1" si="109"/>
        <v>8.9802354751204141E-2</v>
      </c>
      <c r="L496" s="382">
        <f t="shared" ca="1" si="110"/>
        <v>1.4863214402689234E-2</v>
      </c>
      <c r="M496" s="382">
        <f t="shared" ca="1" si="111"/>
        <v>0.15745391255710409</v>
      </c>
      <c r="N496" s="382">
        <f t="shared" ca="1" si="112"/>
        <v>1.9586739760585288E-2</v>
      </c>
      <c r="O496" s="382"/>
      <c r="P496" s="382">
        <f t="shared" ca="1" si="113"/>
        <v>2.8526895273522354E-2</v>
      </c>
      <c r="Q496" s="588">
        <f t="shared" ca="1" si="114"/>
        <v>0.35011317299224998</v>
      </c>
    </row>
    <row r="497" spans="1:17">
      <c r="A497" s="230" t="s">
        <v>830</v>
      </c>
      <c r="B497" s="347">
        <f ca="1">$I$6*$J$17*($J$22*Mat_Sum!$D31+$J$23*Mat_Sum!$I31+$J$24*Mat_Sum!$L31+$J$25*Mat_Sum!$AG31+$J$26*Mat_Sum!$AH31+$J$27*Mat_Sum!$AK31+$J$28*Mat_Sum!$AS31+$J$29*Mat_Sum!$AM31+$J$30*Mat_Sum!$AT31+$J$31*Mat_Sum!$AR31+$J$32*Mat_Sum!$AV31)</f>
        <v>48.484838241813272</v>
      </c>
      <c r="C497" s="349">
        <f ca="1">$I$6*$J$10*($J$35*Mat_Sum!$D31+$J$36*Mat_Sum!$E31+$J$37*Mat_Sum!$F31+$J$38*Mat_Sum!$I31+$J$39*Mat_Sum!$L31+$J$40*Mat_Sum!$AG31+$J$41*Mat_Sum!$AK31+$J$42*Mat_Sum!$AS31+$J$43*Mat_Sum!$AR31+$J$44*Mat_Sum!$AV31+$J$45*Mat_Sum!$AT31+$J$46*Mat_Sum!$BH31+$J$47*Mat_Sum!$BG31+$J$48*Mat_Sum!$BJ31+$J$49*Mat_Sum!$BI31+$J$50*Mat_Sum!$AW31+$J$51*Mat_Sum!$CF31+$J$52*Mat_Sum!$U31+$J$53*Mat_Sum!$CN31)</f>
        <v>12.751268295839756</v>
      </c>
      <c r="D497" s="349">
        <f ca="1">$I$6*$J$11*($J$56*Mat_Sum!$D31+$J$57*Mat_Sum!$AG31+$J$58*Mat_Sum!$F31+$J$59*Mat_Sum!$AK31+$J$60*Mat_Sum!$I31+$J$61*Mat_Sum!$L31+$J$62*Mat_Sum!$AT31+$J$63*Mat_Sum!$AR31+$J$64*Mat_Sum!$AV31)</f>
        <v>1.8923961701813778</v>
      </c>
      <c r="E497" s="349">
        <f ca="1">$I$6*$J$12*($J$67*Mat_Sum!$D31+$J$68*Mat_Sum!$F31+$J$69*Mat_Sum!$I31+$J$70*Mat_Sum!$L31+$J$71*Mat_Sum!$AG31+$J$72*Mat_Sum!$AH31+$J$73*Mat_Sum!$AK31+$J$74*Mat_Sum!$AS31+$J$75*Mat_Sum!$AR31+$J$76*Mat_Sum!$AV31)+$A$136*(J$140*4)*($A$144*Mat_Sum!$AV31+$B$144*Mat_Sum!$D31)</f>
        <v>20.995612372775764</v>
      </c>
      <c r="F497" s="349">
        <f ca="1">$I$6*$J$13*($J$79*Mat_Sum!$D31+$J$80*Mat_Sum!$E31+$J$81*Mat_Sum!$L31+$J$82*Mat_Sum!$AG31)</f>
        <v>2.685574950876267</v>
      </c>
      <c r="G497" s="349"/>
      <c r="H497" s="349">
        <f ca="1">$I$6*$J$15*($J$90*Mat_Sum!$D31+$J$91*Mat_Sum!$L31+$J$92*Mat_Sum!$AG31+$J$93*Mat_Sum!$AV31+$J$94*Mat_Sum!$AR31)</f>
        <v>4.717832992258268</v>
      </c>
      <c r="I497" s="348">
        <f ca="1">$I$6*$J$16*($J$97*Mat_Sum!$D31+$J$99*Mat_Sum!$AU31+$J$101*Mat_Sum!$I31+$J$102*Mat_Sum!$AG31+$J$103*Mat_Sum!$AR31+$J$104*Mat_Sum!$AV31+$J$105*Mat_Sum!$U31+$J$98*Mat_Sum!$E31+$J$100*Mat_Sum!$AS31+$J$106*Mat_Sum!$CN31)</f>
        <v>41.76792937983214</v>
      </c>
      <c r="J497" s="382">
        <f t="shared" ca="1" si="108"/>
        <v>0.36373962777827096</v>
      </c>
      <c r="K497" s="382">
        <f t="shared" ca="1" si="109"/>
        <v>9.5661690372098471E-2</v>
      </c>
      <c r="L497" s="382">
        <f t="shared" ca="1" si="110"/>
        <v>1.41970047444064E-2</v>
      </c>
      <c r="M497" s="382">
        <f t="shared" ca="1" si="111"/>
        <v>0.15751184300877447</v>
      </c>
      <c r="N497" s="382">
        <f t="shared" ca="1" si="112"/>
        <v>2.0147536187095028E-2</v>
      </c>
      <c r="O497" s="382"/>
      <c r="P497" s="382">
        <f t="shared" ca="1" si="113"/>
        <v>3.5393803068195825E-2</v>
      </c>
      <c r="Q497" s="588">
        <f t="shared" ca="1" si="114"/>
        <v>0.3133484948411589</v>
      </c>
    </row>
    <row r="498" spans="1:17">
      <c r="A498" s="230" t="s">
        <v>831</v>
      </c>
      <c r="B498" s="517">
        <f ca="1">$I$6*$J$17*($J$22*Mat_Sum!$D32+$J$23*Mat_Sum!$I32+$J$24*Mat_Sum!$L32+$J$25*Mat_Sum!$AG32+$J$26*Mat_Sum!$AH32+$J$27*Mat_Sum!$AK32+$J$28*Mat_Sum!$AS32+$J$29*Mat_Sum!$AM32+$J$30*Mat_Sum!$AT32+$J$31*Mat_Sum!$AR32+$J$32*Mat_Sum!$AV32)</f>
        <v>1599689.168822834</v>
      </c>
      <c r="C498" s="419">
        <f ca="1">$I$6*$J$10*($J$35*Mat_Sum!$D32+$J$36*Mat_Sum!$E32+$J$37*Mat_Sum!$F32+$J$38*Mat_Sum!$I32+$J$39*Mat_Sum!$L32+$J$40*Mat_Sum!$AG32+$J$41*Mat_Sum!$AK32+$J$42*Mat_Sum!$AS32+$J$43*Mat_Sum!$AR32+$J$44*Mat_Sum!$AV32+$J$45*Mat_Sum!$AT32+$J$46*Mat_Sum!$BH32+$J$47*Mat_Sum!$BG32+$J$48*Mat_Sum!$BJ32+$J$49*Mat_Sum!$BI32+$J$50*Mat_Sum!$AW32+$J$51*Mat_Sum!$CF32+$J$52*Mat_Sum!$U32+$J$53*Mat_Sum!$CN32)</f>
        <v>468929.30717585882</v>
      </c>
      <c r="D498" s="419">
        <f ca="1">$I$6*$J$11*($J$56*Mat_Sum!$D32+$J$57*Mat_Sum!$AG32+$J$58*Mat_Sum!$F32+$J$59*Mat_Sum!$AK32+$J$60*Mat_Sum!$I32+$J$61*Mat_Sum!$L32+$J$62*Mat_Sum!$AT32+$J$63*Mat_Sum!$AR32+$J$64*Mat_Sum!$AV32)</f>
        <v>118929.64579155292</v>
      </c>
      <c r="E498" s="419">
        <f ca="1">$I$6*$J$12*($J$67*Mat_Sum!$D32+$J$68*Mat_Sum!$F32+$J$69*Mat_Sum!$I32+$J$70*Mat_Sum!$L32+$J$71*Mat_Sum!$AG32+$J$72*Mat_Sum!$AH32+$J$73*Mat_Sum!$AK32+$J$74*Mat_Sum!$AS32+$J$75*Mat_Sum!$AR32+$J$76*Mat_Sum!$AV32)+$A$136*(J$140*4)*($A$144*Mat_Sum!$AV32+$B$144*Mat_Sum!$D32)</f>
        <v>1135156.6841263389</v>
      </c>
      <c r="F498" s="419">
        <f ca="1">$I$6*$J$13*($J$79*Mat_Sum!$D32+$J$80*Mat_Sum!$E32+$J$81*Mat_Sum!$L32+$J$82*Mat_Sum!$AG32)</f>
        <v>141009.49786165866</v>
      </c>
      <c r="G498" s="419"/>
      <c r="H498" s="419">
        <f ca="1">$I$6*$J$15*($J$90*Mat_Sum!$D32+$J$91*Mat_Sum!$L32+$J$92*Mat_Sum!$AG32+$J$93*Mat_Sum!$AV32+$J$94*Mat_Sum!$AR32)</f>
        <v>117646.97338551968</v>
      </c>
      <c r="I498" s="516">
        <f ca="1">$I$6*$J$16*($J$97*Mat_Sum!$D32+$J$99*Mat_Sum!$AU32+$J$101*Mat_Sum!$I32+$J$102*Mat_Sum!$AG32+$J$103*Mat_Sum!$AR32+$J$104*Mat_Sum!$AV32+$J$105*Mat_Sum!$U32+$J$98*Mat_Sum!$E32+$J$100*Mat_Sum!$AS32+$J$106*Mat_Sum!$CN32)</f>
        <v>1771592.5919730181</v>
      </c>
      <c r="J498" s="382">
        <f t="shared" ca="1" si="108"/>
        <v>0.29884232293614005</v>
      </c>
      <c r="K498" s="382">
        <f t="shared" ca="1" si="109"/>
        <v>8.760197054555946E-2</v>
      </c>
      <c r="L498" s="382">
        <f t="shared" ca="1" si="110"/>
        <v>2.2217573455519345E-2</v>
      </c>
      <c r="M498" s="382">
        <f t="shared" ca="1" si="111"/>
        <v>0.21206173486217522</v>
      </c>
      <c r="N498" s="382">
        <f t="shared" ca="1" si="112"/>
        <v>2.6342371204554748E-2</v>
      </c>
      <c r="O498" s="382"/>
      <c r="P498" s="382">
        <f t="shared" ca="1" si="113"/>
        <v>2.197795390388662E-2</v>
      </c>
      <c r="Q498" s="588">
        <f t="shared" ca="1" si="114"/>
        <v>0.33095607309216468</v>
      </c>
    </row>
    <row r="499" spans="1:17">
      <c r="A499" s="230" t="s">
        <v>850</v>
      </c>
      <c r="B499" s="517">
        <f ca="1">$I$6*$J$17*($J$22*Mat_Sum!$D33+$J$23*Mat_Sum!$I33+$J$24*Mat_Sum!$L33+$J$25*Mat_Sum!$AG33+$J$26*Mat_Sum!$AH33+$J$27*Mat_Sum!$AK33+$J$28*Mat_Sum!$AS33+$J$29*Mat_Sum!$AM33+$J$30*Mat_Sum!$AT33+$J$31*Mat_Sum!$AR33+$J$32*Mat_Sum!$AV33)</f>
        <v>1617702.8110780632</v>
      </c>
      <c r="C499" s="419">
        <f ca="1">$I$6*$J$10*($J$35*Mat_Sum!$D33+$J$36*Mat_Sum!$E33+$J$37*Mat_Sum!$F33+$J$38*Mat_Sum!$I33+$J$39*Mat_Sum!$L33+$J$40*Mat_Sum!$AG33+$J$41*Mat_Sum!$AK33+$J$42*Mat_Sum!$AS33+$J$43*Mat_Sum!$AR33+$J$44*Mat_Sum!$AV33+$J$45*Mat_Sum!$AT33+$J$46*Mat_Sum!$BH33+$J$47*Mat_Sum!$BG33+$J$48*Mat_Sum!$BJ33+$J$49*Mat_Sum!$BI33+$J$50*Mat_Sum!$AW33+$J$51*Mat_Sum!$CF33+$J$52*Mat_Sum!$U33+$J$53*Mat_Sum!$CN33)</f>
        <v>471032.46025679819</v>
      </c>
      <c r="D499" s="419">
        <f ca="1">$I$6*$J$11*($J$56*Mat_Sum!$D33+$J$57*Mat_Sum!$AG33+$J$58*Mat_Sum!$F33+$J$59*Mat_Sum!$AK33+$J$60*Mat_Sum!$I33+$J$61*Mat_Sum!$L33+$J$62*Mat_Sum!$AT33+$J$63*Mat_Sum!$AR33+$J$64*Mat_Sum!$AV33)</f>
        <v>119872.32568741906</v>
      </c>
      <c r="E499" s="419">
        <f ca="1">$I$6*$J$12*($J$67*Mat_Sum!$D33+$J$68*Mat_Sum!$F33+$J$69*Mat_Sum!$I33+$J$70*Mat_Sum!$L33+$J$71*Mat_Sum!$AG33+$J$72*Mat_Sum!$AH33+$J$73*Mat_Sum!$AK33+$J$74*Mat_Sum!$AS33+$J$75*Mat_Sum!$AR33+$J$76*Mat_Sum!$AV33)+$A$136*(J$140*4)*($A$144*Mat_Sum!$AV33+$B$144*Mat_Sum!$D33)</f>
        <v>1147093.4073277924</v>
      </c>
      <c r="F499" s="419">
        <f ca="1">$I$6*$J$13*($J$79*Mat_Sum!$D33+$J$80*Mat_Sum!$E33+$J$81*Mat_Sum!$L33+$J$82*Mat_Sum!$AG33)</f>
        <v>141914.01204609495</v>
      </c>
      <c r="G499" s="419"/>
      <c r="H499" s="419">
        <f ca="1">$I$6*$J$15*($J$90*Mat_Sum!$D33+$J$91*Mat_Sum!$L33+$J$92*Mat_Sum!$AG33+$J$93*Mat_Sum!$AV33+$J$94*Mat_Sum!$AR33)</f>
        <v>118043.05477394274</v>
      </c>
      <c r="I499" s="516">
        <f ca="1">$I$6*$J$16*($J$97*Mat_Sum!$D33+$J$99*Mat_Sum!$AU33+$J$101*Mat_Sum!$I33+$J$102*Mat_Sum!$AG33+$J$103*Mat_Sum!$AR33+$J$104*Mat_Sum!$AV33+$J$105*Mat_Sum!$U33+$J$98*Mat_Sum!$E33+$J$100*Mat_Sum!$AS33+$J$106*Mat_Sum!$CN33)</f>
        <v>1775916.4513311386</v>
      </c>
      <c r="J499" s="382">
        <f t="shared" ca="1" si="108"/>
        <v>0.30004274341877801</v>
      </c>
      <c r="K499" s="382">
        <f t="shared" ca="1" si="109"/>
        <v>8.7364545976502173E-2</v>
      </c>
      <c r="L499" s="382">
        <f t="shared" ca="1" si="110"/>
        <v>2.2233268813617011E-2</v>
      </c>
      <c r="M499" s="382">
        <f t="shared" ca="1" si="111"/>
        <v>0.21275666366856316</v>
      </c>
      <c r="N499" s="382">
        <f t="shared" ca="1" si="112"/>
        <v>2.632144125131344E-2</v>
      </c>
      <c r="O499" s="382"/>
      <c r="P499" s="382">
        <f t="shared" ca="1" si="113"/>
        <v>2.1893985566053237E-2</v>
      </c>
      <c r="Q499" s="588">
        <f t="shared" ca="1" si="114"/>
        <v>0.32938735130517283</v>
      </c>
    </row>
    <row r="500" spans="1:17">
      <c r="A500" s="230" t="s">
        <v>851</v>
      </c>
      <c r="B500" s="517">
        <f ca="1">$I$6*$J$17*($J$22*Mat_Sum!$D34+$J$23*Mat_Sum!$I34+$J$24*Mat_Sum!$L34+$J$25*Mat_Sum!$AG34+$J$26*Mat_Sum!$AH34+$J$27*Mat_Sum!$AK34+$J$28*Mat_Sum!$AS34+$J$29*Mat_Sum!$AM34+$J$30*Mat_Sum!$AT34+$J$31*Mat_Sum!$AR34+$J$32*Mat_Sum!$AV34)</f>
        <v>1794365.6086455029</v>
      </c>
      <c r="C500" s="419">
        <f ca="1">$I$6*$J$10*($J$35*Mat_Sum!$D34+$J$36*Mat_Sum!$E34+$J$37*Mat_Sum!$F34+$J$38*Mat_Sum!$I34+$J$39*Mat_Sum!$L34+$J$40*Mat_Sum!$AG34+$J$41*Mat_Sum!$AK34+$J$42*Mat_Sum!$AS34+$J$43*Mat_Sum!$AR34+$J$44*Mat_Sum!$AV34+$J$45*Mat_Sum!$AT34+$J$46*Mat_Sum!$BH34+$J$47*Mat_Sum!$BG34+$J$48*Mat_Sum!$BJ34+$J$49*Mat_Sum!$BI34+$J$50*Mat_Sum!$AW34+$J$51*Mat_Sum!$CF34+$J$52*Mat_Sum!$U34+$J$53*Mat_Sum!$CN34)</f>
        <v>525421.56829139381</v>
      </c>
      <c r="D500" s="419">
        <f ca="1">$I$6*$J$11*($J$56*Mat_Sum!$D34+$J$57*Mat_Sum!$AG34+$J$58*Mat_Sum!$F34+$J$59*Mat_Sum!$AK34+$J$60*Mat_Sum!$I34+$J$61*Mat_Sum!$L34+$J$62*Mat_Sum!$AT34+$J$63*Mat_Sum!$AR34+$J$64*Mat_Sum!$AV34)</f>
        <v>131388.85543388338</v>
      </c>
      <c r="E500" s="419">
        <f ca="1">$I$6*$J$12*($J$67*Mat_Sum!$D34+$J$68*Mat_Sum!$F34+$J$69*Mat_Sum!$I34+$J$70*Mat_Sum!$L34+$J$71*Mat_Sum!$AG34+$J$72*Mat_Sum!$AH34+$J$73*Mat_Sum!$AK34+$J$74*Mat_Sum!$AS34+$J$75*Mat_Sum!$AR34+$J$76*Mat_Sum!$AV34)+$A$136*(J$140*4)*($A$144*Mat_Sum!$AV34+$B$144*Mat_Sum!$D34)</f>
        <v>1241747.8566567658</v>
      </c>
      <c r="F500" s="419">
        <f ca="1">$I$6*$J$13*($J$79*Mat_Sum!$D34+$J$80*Mat_Sum!$E34+$J$81*Mat_Sum!$L34+$J$82*Mat_Sum!$AG34)</f>
        <v>154558.8792569862</v>
      </c>
      <c r="G500" s="419"/>
      <c r="H500" s="419">
        <f ca="1">$I$6*$J$15*($J$90*Mat_Sum!$D34+$J$91*Mat_Sum!$L34+$J$92*Mat_Sum!$AG34+$J$93*Mat_Sum!$AV34+$J$94*Mat_Sum!$AR34)</f>
        <v>135655.30840369107</v>
      </c>
      <c r="I500" s="516">
        <f ca="1">$I$6*$J$16*($J$97*Mat_Sum!$D34+$J$99*Mat_Sum!$AU34+$J$101*Mat_Sum!$I34+$J$102*Mat_Sum!$AG34+$J$103*Mat_Sum!$AR34+$J$104*Mat_Sum!$AV34+$J$105*Mat_Sum!$U34+$J$98*Mat_Sum!$E34+$J$100*Mat_Sum!$AS34+$J$106*Mat_Sum!$CN34)</f>
        <v>1944102.0320019089</v>
      </c>
      <c r="J500" s="382">
        <f t="shared" ca="1" si="108"/>
        <v>0.30273206007205983</v>
      </c>
      <c r="K500" s="382">
        <f t="shared" ca="1" si="109"/>
        <v>8.8645230943328102E-2</v>
      </c>
      <c r="L500" s="382">
        <f t="shared" ca="1" si="110"/>
        <v>2.2166953425971331E-2</v>
      </c>
      <c r="M500" s="382">
        <f t="shared" ca="1" si="111"/>
        <v>0.20949849067801329</v>
      </c>
      <c r="N500" s="382">
        <f t="shared" ca="1" si="112"/>
        <v>2.6076028037126775E-2</v>
      </c>
      <c r="O500" s="382"/>
      <c r="P500" s="382">
        <f t="shared" ca="1" si="113"/>
        <v>2.288675773481863E-2</v>
      </c>
      <c r="Q500" s="588">
        <f t="shared" ca="1" si="114"/>
        <v>0.32799447910868229</v>
      </c>
    </row>
    <row r="501" spans="1:17">
      <c r="A501" s="571" t="s">
        <v>973</v>
      </c>
      <c r="B501" s="347"/>
      <c r="C501" s="349"/>
      <c r="D501" s="349"/>
      <c r="E501" s="349"/>
      <c r="F501" s="349"/>
      <c r="G501" s="349"/>
      <c r="H501" s="349"/>
      <c r="I501" s="348"/>
      <c r="J501" s="382"/>
      <c r="K501" s="382"/>
      <c r="L501" s="382"/>
      <c r="M501" s="382"/>
      <c r="N501" s="382"/>
      <c r="O501" s="382"/>
      <c r="P501" s="382"/>
      <c r="Q501" s="588"/>
    </row>
    <row r="502" spans="1:17">
      <c r="A502" s="230" t="s">
        <v>821</v>
      </c>
      <c r="B502" s="347">
        <f ca="1">$I$6*$J$17*($J$22*Mat_Sum!$D36+$J$23*Mat_Sum!$I36+$J$24*Mat_Sum!$L36+$J$25*Mat_Sum!$AG36+$J$26*Mat_Sum!$AH36+$J$27*Mat_Sum!$AK36+$J$28*Mat_Sum!$AS36+$J$29*Mat_Sum!$AM36+$J$30*Mat_Sum!$AT36+$J$31*Mat_Sum!$AR36+$J$32*Mat_Sum!$AV36)</f>
        <v>21.098964246187016</v>
      </c>
      <c r="C502" s="349">
        <f ca="1">$I$6*$J$10*($J$35*Mat_Sum!$D36+$J$36*Mat_Sum!$E36+$J$37*Mat_Sum!$F36+$J$38*Mat_Sum!$I36+$J$39*Mat_Sum!$L36+$J$40*Mat_Sum!$AG36+$J$41*Mat_Sum!$AK36+$J$42*Mat_Sum!$AS36+$J$43*Mat_Sum!$AR36+$J$44*Mat_Sum!$AV36+$J$45*Mat_Sum!$AT36+$J$46*Mat_Sum!$BH36+$J$47*Mat_Sum!$BG36+$J$48*Mat_Sum!$BJ36+$J$49*Mat_Sum!$BI36+$J$50*Mat_Sum!$AW36+$J$51*Mat_Sum!$CF36+$J$52*Mat_Sum!$U36+$J$53*Mat_Sum!$CN36)</f>
        <v>9.8832456252592991</v>
      </c>
      <c r="D502" s="349">
        <f ca="1">$I$6*$J$11*($J$56*Mat_Sum!$D36+$J$57*Mat_Sum!$AG36+$J$58*Mat_Sum!$F36+$J$59*Mat_Sum!$AK36+$J$60*Mat_Sum!$I36+$J$61*Mat_Sum!$L36+$J$62*Mat_Sum!$AT36+$J$63*Mat_Sum!$AR36+$J$64*Mat_Sum!$AV36)</f>
        <v>0.74124738333011619</v>
      </c>
      <c r="E502" s="349">
        <f ca="1">$I$6*$J$12*($J$67*Mat_Sum!$D36+$J$68*Mat_Sum!$F36+$J$69*Mat_Sum!$I36+$J$70*Mat_Sum!$L36+$J$71*Mat_Sum!$AG36+$J$72*Mat_Sum!$AH36+$J$73*Mat_Sum!$AK36+$J$74*Mat_Sum!$AS36+$J$75*Mat_Sum!$AR36+$J$76*Mat_Sum!$AV36)+$A$136*(J$140*4)*($A$144*Mat_Sum!$AV36+$B$144*Mat_Sum!$D36)</f>
        <v>9.2793065655364018</v>
      </c>
      <c r="F502" s="349">
        <f ca="1">$I$6*$J$13*($J$79*Mat_Sum!$D36+$J$80*Mat_Sum!$E36+$J$81*Mat_Sum!$L36+$J$82*Mat_Sum!$AG36)</f>
        <v>0.99225211965211446</v>
      </c>
      <c r="G502" s="349"/>
      <c r="H502" s="349">
        <f ca="1">$I$6*$J$15*($J$90*Mat_Sum!$D36+$J$91*Mat_Sum!$L36+$J$92*Mat_Sum!$AG36+$J$93*Mat_Sum!$AV36+$J$94*Mat_Sum!$AR36)</f>
        <v>2.1409569501935444</v>
      </c>
      <c r="I502" s="348">
        <f ca="1">$I$6*$J$16*($J$97*Mat_Sum!$D36+$J$99*Mat_Sum!$AU36+$J$101*Mat_Sum!$I36+$J$102*Mat_Sum!$AG36+$J$103*Mat_Sum!$AR36+$J$104*Mat_Sum!$AV36+$J$105*Mat_Sum!$U36+$J$98*Mat_Sum!$E36+$J$100*Mat_Sum!$AS36+$J$106*Mat_Sum!$CN36)</f>
        <v>51.640099511114038</v>
      </c>
      <c r="J502" s="382">
        <f t="shared" ref="J502:N509" ca="1" si="115">B502/$J195</f>
        <v>0.22029473246500228</v>
      </c>
      <c r="K502" s="382">
        <f t="shared" ca="1" si="115"/>
        <v>0.10319117685105646</v>
      </c>
      <c r="L502" s="382">
        <f t="shared" ca="1" si="115"/>
        <v>7.7393796252629345E-3</v>
      </c>
      <c r="M502" s="382">
        <f t="shared" ref="M502:M509" ca="1" si="116">E502/$J195</f>
        <v>9.6885436340080219E-2</v>
      </c>
      <c r="N502" s="382">
        <f t="shared" ca="1" si="115"/>
        <v>1.0360125392226159E-2</v>
      </c>
      <c r="O502" s="382"/>
      <c r="P502" s="382">
        <f t="shared" ref="P502:Q509" ca="1" si="117">H502/$J195</f>
        <v>2.2353776851733783E-2</v>
      </c>
      <c r="Q502" s="588">
        <f t="shared" ca="1" si="117"/>
        <v>0.53917537247463831</v>
      </c>
    </row>
    <row r="503" spans="1:17">
      <c r="A503" s="230" t="s">
        <v>822</v>
      </c>
      <c r="B503" s="347">
        <f ca="1">$I$6*$J$17*($J$22*Mat_Sum!$D37+$J$23*Mat_Sum!$I37+$J$24*Mat_Sum!$L37+$J$25*Mat_Sum!$AG37+$J$26*Mat_Sum!$AH37+$J$27*Mat_Sum!$AK37+$J$28*Mat_Sum!$AS37+$J$29*Mat_Sum!$AM37+$J$30*Mat_Sum!$AT37+$J$31*Mat_Sum!$AR37+$J$32*Mat_Sum!$AV37)</f>
        <v>61.091196020282275</v>
      </c>
      <c r="C503" s="349">
        <f ca="1">$I$6*$J$10*($J$35*Mat_Sum!$D37+$J$36*Mat_Sum!$E37+$J$37*Mat_Sum!$F37+$J$38*Mat_Sum!$I37+$J$39*Mat_Sum!$L37+$J$40*Mat_Sum!$AG37+$J$41*Mat_Sum!$AK37+$J$42*Mat_Sum!$AS37+$J$43*Mat_Sum!$AR37+$J$44*Mat_Sum!$AV37+$J$45*Mat_Sum!$AT37+$J$46*Mat_Sum!$BH37+$J$47*Mat_Sum!$BG37+$J$48*Mat_Sum!$BJ37+$J$49*Mat_Sum!$BI37+$J$50*Mat_Sum!$AW37+$J$51*Mat_Sum!$CF37+$J$52*Mat_Sum!$U37+$J$53*Mat_Sum!$CN37)</f>
        <v>23.619029165446367</v>
      </c>
      <c r="D503" s="349">
        <f ca="1">$I$6*$J$11*($J$56*Mat_Sum!$D37+$J$57*Mat_Sum!$AG37+$J$58*Mat_Sum!$F37+$J$59*Mat_Sum!$AK37+$J$60*Mat_Sum!$I37+$J$61*Mat_Sum!$L37+$J$62*Mat_Sum!$AT37+$J$63*Mat_Sum!$AR37+$J$64*Mat_Sum!$AV37)</f>
        <v>3.327338542562611</v>
      </c>
      <c r="E503" s="349">
        <f ca="1">$I$6*$J$12*($J$67*Mat_Sum!$D37+$J$68*Mat_Sum!$F37+$J$69*Mat_Sum!$I37+$J$70*Mat_Sum!$L37+$J$71*Mat_Sum!$AG37+$J$72*Mat_Sum!$AH37+$J$73*Mat_Sum!$AK37+$J$74*Mat_Sum!$AS37+$J$75*Mat_Sum!$AR37+$J$76*Mat_Sum!$AV37)+$A$136*(J$140*4)*($A$144*Mat_Sum!$AV37+$B$144*Mat_Sum!$D37)</f>
        <v>29.340837162981607</v>
      </c>
      <c r="F503" s="349">
        <f ca="1">$I$6*$J$13*($J$79*Mat_Sum!$D37+$J$80*Mat_Sum!$E37+$J$81*Mat_Sum!$L37+$J$82*Mat_Sum!$AG37)</f>
        <v>4.460343960146071</v>
      </c>
      <c r="G503" s="349"/>
      <c r="H503" s="349">
        <f ca="1">$I$6*$J$15*($J$90*Mat_Sum!$D37+$J$91*Mat_Sum!$L37+$J$92*Mat_Sum!$AG37+$J$93*Mat_Sum!$AV37+$J$94*Mat_Sum!$AR37)</f>
        <v>6.1711558363638161</v>
      </c>
      <c r="I503" s="348">
        <f ca="1">$I$6*$J$16*($J$97*Mat_Sum!$D37+$J$99*Mat_Sum!$AU37+$J$101*Mat_Sum!$I37+$J$102*Mat_Sum!$AG37+$J$103*Mat_Sum!$AR37+$J$104*Mat_Sum!$AV37+$J$105*Mat_Sum!$U37+$J$98*Mat_Sum!$E37+$J$100*Mat_Sum!$AS37+$J$106*Mat_Sum!$CN37)</f>
        <v>107.00953119010745</v>
      </c>
      <c r="J503" s="382">
        <f t="shared" ca="1" si="115"/>
        <v>0.25994104203274399</v>
      </c>
      <c r="K503" s="382">
        <f t="shared" ca="1" si="115"/>
        <v>0.10049819700746354</v>
      </c>
      <c r="L503" s="382">
        <f t="shared" ca="1" si="115"/>
        <v>1.4157716729957064E-2</v>
      </c>
      <c r="M503" s="382">
        <f t="shared" ca="1" si="116"/>
        <v>0.12484430299459799</v>
      </c>
      <c r="N503" s="382">
        <f t="shared" ca="1" si="115"/>
        <v>1.8978617744525677E-2</v>
      </c>
      <c r="O503" s="382"/>
      <c r="P503" s="382">
        <f t="shared" ca="1" si="117"/>
        <v>2.6258066352446052E-2</v>
      </c>
      <c r="Q503" s="588">
        <f t="shared" ca="1" si="117"/>
        <v>0.45532205713826562</v>
      </c>
    </row>
    <row r="504" spans="1:17">
      <c r="A504" s="230" t="s">
        <v>823</v>
      </c>
      <c r="B504" s="347">
        <f ca="1">$I$6*$J$17*($J$22*Mat_Sum!$D38+$J$23*Mat_Sum!$I38+$J$24*Mat_Sum!$L38+$J$25*Mat_Sum!$AG38+$J$26*Mat_Sum!$AH38+$J$27*Mat_Sum!$AK38+$J$28*Mat_Sum!$AS38+$J$29*Mat_Sum!$AM38+$J$30*Mat_Sum!$AT38+$J$31*Mat_Sum!$AR38+$J$32*Mat_Sum!$AV38)</f>
        <v>104.55405796879366</v>
      </c>
      <c r="C504" s="349">
        <f ca="1">$I$6*$J$10*($J$35*Mat_Sum!$D38+$J$36*Mat_Sum!$E38+$J$37*Mat_Sum!$F38+$J$38*Mat_Sum!$I38+$J$39*Mat_Sum!$L38+$J$40*Mat_Sum!$AG38+$J$41*Mat_Sum!$AK38+$J$42*Mat_Sum!$AS38+$J$43*Mat_Sum!$AR38+$J$44*Mat_Sum!$AV38+$J$45*Mat_Sum!$AT38+$J$46*Mat_Sum!$BH38+$J$47*Mat_Sum!$BG38+$J$48*Mat_Sum!$BJ38+$J$49*Mat_Sum!$BI38+$J$50*Mat_Sum!$AW38+$J$51*Mat_Sum!$CF38+$J$52*Mat_Sum!$U38+$J$53*Mat_Sum!$CN38)</f>
        <v>51.083862623827159</v>
      </c>
      <c r="D504" s="349">
        <f ca="1">$I$6*$J$11*($J$56*Mat_Sum!$D38+$J$57*Mat_Sum!$AG38+$J$58*Mat_Sum!$F38+$J$59*Mat_Sum!$AK38+$J$60*Mat_Sum!$I38+$J$61*Mat_Sum!$L38+$J$62*Mat_Sum!$AT38+$J$63*Mat_Sum!$AR38+$J$64*Mat_Sum!$AV38)</f>
        <v>9.2409299073515552</v>
      </c>
      <c r="E504" s="349">
        <f ca="1">$I$6*$J$12*($J$67*Mat_Sum!$D38+$J$68*Mat_Sum!$F38+$J$69*Mat_Sum!$I38+$J$70*Mat_Sum!$L38+$J$71*Mat_Sum!$AG38+$J$72*Mat_Sum!$AH38+$J$73*Mat_Sum!$AK38+$J$74*Mat_Sum!$AS38+$J$75*Mat_Sum!$AR38+$J$76*Mat_Sum!$AV38)+$A$136*(J$140*4)*($A$144*Mat_Sum!$AV38+$B$144*Mat_Sum!$D38)</f>
        <v>61.565337307896606</v>
      </c>
      <c r="F504" s="349">
        <f ca="1">$I$6*$J$13*($J$79*Mat_Sum!$D38+$J$80*Mat_Sum!$E38+$J$81*Mat_Sum!$L38+$J$82*Mat_Sum!$AG38)</f>
        <v>11.166294611760922</v>
      </c>
      <c r="G504" s="349"/>
      <c r="H504" s="349">
        <f ca="1">$I$6*$J$15*($J$90*Mat_Sum!$D38+$J$91*Mat_Sum!$L38+$J$92*Mat_Sum!$AG38+$J$93*Mat_Sum!$AV38+$J$94*Mat_Sum!$AR38)</f>
        <v>10.815947469044399</v>
      </c>
      <c r="I504" s="348">
        <f ca="1">$I$6*$J$16*($J$97*Mat_Sum!$D38+$J$99*Mat_Sum!$AU38+$J$101*Mat_Sum!$I38+$J$102*Mat_Sum!$AG38+$J$103*Mat_Sum!$AR38+$J$104*Mat_Sum!$AV38+$J$105*Mat_Sum!$U38+$J$98*Mat_Sum!$E38+$J$100*Mat_Sum!$AS38+$J$106*Mat_Sum!$CN38)</f>
        <v>236.97456847790329</v>
      </c>
      <c r="J504" s="382">
        <f t="shared" ca="1" si="115"/>
        <v>0.21539728661586696</v>
      </c>
      <c r="K504" s="382">
        <f t="shared" ca="1" si="115"/>
        <v>0.10524053884464479</v>
      </c>
      <c r="L504" s="382">
        <f t="shared" ca="1" si="115"/>
        <v>1.9037723322465758E-2</v>
      </c>
      <c r="M504" s="382">
        <f t="shared" ca="1" si="116"/>
        <v>0.12683397338503644</v>
      </c>
      <c r="N504" s="382">
        <f t="shared" ca="1" si="115"/>
        <v>2.3004267913202921E-2</v>
      </c>
      <c r="O504" s="382"/>
      <c r="P504" s="382">
        <f t="shared" ca="1" si="117"/>
        <v>2.2282499429216535E-2</v>
      </c>
      <c r="Q504" s="588">
        <f t="shared" ca="1" si="117"/>
        <v>0.48820371048956684</v>
      </c>
    </row>
    <row r="505" spans="1:17">
      <c r="A505" s="230" t="s">
        <v>824</v>
      </c>
      <c r="B505" s="347">
        <f ca="1">$I$6*$J$17*($J$22*Mat_Sum!$D39+$J$23*Mat_Sum!$I39+$J$24*Mat_Sum!$L39+$J$25*Mat_Sum!$AG39+$J$26*Mat_Sum!$AH39+$J$27*Mat_Sum!$AK39+$J$28*Mat_Sum!$AS39+$J$29*Mat_Sum!$AM39+$J$30*Mat_Sum!$AT39+$J$31*Mat_Sum!$AR39+$J$32*Mat_Sum!$AV39)</f>
        <v>10.82852959945661</v>
      </c>
      <c r="C505" s="349">
        <f ca="1">$I$6*$J$10*($J$35*Mat_Sum!$D39+$J$36*Mat_Sum!$E39+$J$37*Mat_Sum!$F39+$J$38*Mat_Sum!$I39+$J$39*Mat_Sum!$L39+$J$40*Mat_Sum!$AG39+$J$41*Mat_Sum!$AK39+$J$42*Mat_Sum!$AS39+$J$43*Mat_Sum!$AR39+$J$44*Mat_Sum!$AV39+$J$45*Mat_Sum!$AT39+$J$46*Mat_Sum!$BH39+$J$47*Mat_Sum!$BG39+$J$48*Mat_Sum!$BJ39+$J$49*Mat_Sum!$BI39+$J$50*Mat_Sum!$AW39+$J$51*Mat_Sum!$CF39+$J$52*Mat_Sum!$U39+$J$53*Mat_Sum!$CN39)</f>
        <v>6.2545165370584277</v>
      </c>
      <c r="D505" s="349">
        <f ca="1">$I$6*$J$11*($J$56*Mat_Sum!$D39+$J$57*Mat_Sum!$AG39+$J$58*Mat_Sum!$F39+$J$59*Mat_Sum!$AK39+$J$60*Mat_Sum!$I39+$J$61*Mat_Sum!$L39+$J$62*Mat_Sum!$AT39+$J$63*Mat_Sum!$AR39+$J$64*Mat_Sum!$AV39)</f>
        <v>1.0871166815014737</v>
      </c>
      <c r="E505" s="349">
        <f ca="1">$I$6*$J$12*($J$67*Mat_Sum!$D39+$J$68*Mat_Sum!$F39+$J$69*Mat_Sum!$I39+$J$70*Mat_Sum!$L39+$J$71*Mat_Sum!$AG39+$J$72*Mat_Sum!$AH39+$J$73*Mat_Sum!$AK39+$J$74*Mat_Sum!$AS39+$J$75*Mat_Sum!$AR39+$J$76*Mat_Sum!$AV39)+$A$136*(J$140*4)*($A$144*Mat_Sum!$AV39+$B$144*Mat_Sum!$D39)</f>
        <v>6.309810305420541</v>
      </c>
      <c r="F505" s="349">
        <f ca="1">$I$6*$J$13*($J$79*Mat_Sum!$D39+$J$80*Mat_Sum!$E39+$J$81*Mat_Sum!$L39+$J$82*Mat_Sum!$AG39)</f>
        <v>1.2383085834727272</v>
      </c>
      <c r="G505" s="349"/>
      <c r="H505" s="349">
        <f ca="1">$I$6*$J$15*($J$90*Mat_Sum!$D39+$J$91*Mat_Sum!$L39+$J$92*Mat_Sum!$AG39+$J$93*Mat_Sum!$AV39+$J$94*Mat_Sum!$AR39)</f>
        <v>1.0835946497964524</v>
      </c>
      <c r="I505" s="348">
        <f ca="1">$I$6*$J$16*($J$97*Mat_Sum!$D39+$J$99*Mat_Sum!$AU39+$J$101*Mat_Sum!$I39+$J$102*Mat_Sum!$AG39+$J$103*Mat_Sum!$AR39+$J$104*Mat_Sum!$AV39+$J$105*Mat_Sum!$U39+$J$98*Mat_Sum!$E39+$J$100*Mat_Sum!$AS39+$J$106*Mat_Sum!$CN39)</f>
        <v>30.952960020060484</v>
      </c>
      <c r="J505" s="382">
        <f t="shared" ca="1" si="115"/>
        <v>0.18749130425746735</v>
      </c>
      <c r="K505" s="382">
        <f t="shared" ca="1" si="115"/>
        <v>0.10829424736409536</v>
      </c>
      <c r="L505" s="382">
        <f t="shared" ca="1" si="115"/>
        <v>1.8822954919473944E-2</v>
      </c>
      <c r="M505" s="382">
        <f t="shared" ca="1" si="116"/>
        <v>0.10925163503638313</v>
      </c>
      <c r="N505" s="382">
        <f t="shared" ca="1" si="115"/>
        <v>2.1440777277846587E-2</v>
      </c>
      <c r="O505" s="382"/>
      <c r="P505" s="382">
        <f t="shared" ca="1" si="117"/>
        <v>1.8761972464566703E-2</v>
      </c>
      <c r="Q505" s="588">
        <f t="shared" ca="1" si="117"/>
        <v>0.53593710868016697</v>
      </c>
    </row>
    <row r="506" spans="1:17">
      <c r="A506" s="230" t="s">
        <v>825</v>
      </c>
      <c r="B506" s="347">
        <f ca="1">$I$6*$J$17*($J$22*Mat_Sum!$D40+$J$23*Mat_Sum!$I40+$J$24*Mat_Sum!$L40+$J$25*Mat_Sum!$AG40+$J$26*Mat_Sum!$AH40+$J$27*Mat_Sum!$AK40+$J$28*Mat_Sum!$AS40+$J$29*Mat_Sum!$AM40+$J$30*Mat_Sum!$AT40+$J$31*Mat_Sum!$AR40+$J$32*Mat_Sum!$AV40)</f>
        <v>9.3347567244533565</v>
      </c>
      <c r="C506" s="349">
        <f ca="1">$I$6*$J$10*($J$35*Mat_Sum!$D40+$J$36*Mat_Sum!$E40+$J$37*Mat_Sum!$F40+$J$38*Mat_Sum!$I40+$J$39*Mat_Sum!$L40+$J$40*Mat_Sum!$AG40+$J$41*Mat_Sum!$AK40+$J$42*Mat_Sum!$AS40+$J$43*Mat_Sum!$AR40+$J$44*Mat_Sum!$AV40+$J$45*Mat_Sum!$AT40+$J$46*Mat_Sum!$BH40+$J$47*Mat_Sum!$BG40+$J$48*Mat_Sum!$BJ40+$J$49*Mat_Sum!$BI40+$J$50*Mat_Sum!$AW40+$J$51*Mat_Sum!$CF40+$J$52*Mat_Sum!$U40+$J$53*Mat_Sum!$CN40)</f>
        <v>5.4257975587851481</v>
      </c>
      <c r="D506" s="349">
        <f ca="1">$I$6*$J$11*($J$56*Mat_Sum!$D40+$J$57*Mat_Sum!$AG40+$J$58*Mat_Sum!$F40+$J$59*Mat_Sum!$AK40+$J$60*Mat_Sum!$I40+$J$61*Mat_Sum!$L40+$J$62*Mat_Sum!$AT40+$J$63*Mat_Sum!$AR40+$J$64*Mat_Sum!$AV40)</f>
        <v>0.931141922461316</v>
      </c>
      <c r="E506" s="349">
        <f ca="1">$I$6*$J$12*($J$67*Mat_Sum!$D40+$J$68*Mat_Sum!$F40+$J$69*Mat_Sum!$I40+$J$70*Mat_Sum!$L40+$J$71*Mat_Sum!$AG40+$J$72*Mat_Sum!$AH40+$J$73*Mat_Sum!$AK40+$J$74*Mat_Sum!$AS40+$J$75*Mat_Sum!$AR40+$J$76*Mat_Sum!$AV40)+$A$136*(J$140*4)*($A$144*Mat_Sum!$AV40+$B$144*Mat_Sum!$D40)</f>
        <v>5.4844096130437201</v>
      </c>
      <c r="F506" s="349">
        <f ca="1">$I$6*$J$13*($J$79*Mat_Sum!$D40+$J$80*Mat_Sum!$E40+$J$81*Mat_Sum!$L40+$J$82*Mat_Sum!$AG40)</f>
        <v>1.0675587802430897</v>
      </c>
      <c r="G506" s="349"/>
      <c r="H506" s="349">
        <f ca="1">$I$6*$J$15*($J$90*Mat_Sum!$D40+$J$91*Mat_Sum!$L40+$J$92*Mat_Sum!$AG40+$J$93*Mat_Sum!$AV40+$J$94*Mat_Sum!$AR40)</f>
        <v>0.92251797812928638</v>
      </c>
      <c r="I506" s="348">
        <f ca="1">$I$6*$J$16*($J$97*Mat_Sum!$D40+$J$99*Mat_Sum!$AU40+$J$101*Mat_Sum!$I40+$J$102*Mat_Sum!$AG40+$J$103*Mat_Sum!$AR40+$J$104*Mat_Sum!$AV40+$J$105*Mat_Sum!$U40+$J$98*Mat_Sum!$E40+$J$100*Mat_Sum!$AS40+$J$106*Mat_Sum!$CN40)</f>
        <v>27.232040189192517</v>
      </c>
      <c r="J506" s="382">
        <f t="shared" ca="1" si="115"/>
        <v>0.18521995840483696</v>
      </c>
      <c r="K506" s="382">
        <f t="shared" ca="1" si="115"/>
        <v>0.10765850978404601</v>
      </c>
      <c r="L506" s="382">
        <f t="shared" ca="1" si="115"/>
        <v>1.8475689644433073E-2</v>
      </c>
      <c r="M506" s="382">
        <f t="shared" ca="1" si="116"/>
        <v>0.10882148837815935</v>
      </c>
      <c r="N506" s="382">
        <f t="shared" ca="1" si="115"/>
        <v>2.1182468778576852E-2</v>
      </c>
      <c r="O506" s="382"/>
      <c r="P506" s="382">
        <f t="shared" ca="1" si="117"/>
        <v>1.8304573603853267E-2</v>
      </c>
      <c r="Q506" s="588">
        <f t="shared" ca="1" si="117"/>
        <v>0.54033731140609431</v>
      </c>
    </row>
    <row r="507" spans="1:17">
      <c r="A507" s="230" t="s">
        <v>826</v>
      </c>
      <c r="B507" s="347">
        <f ca="1">$I$6*$J$17*($J$22*Mat_Sum!$D41+$J$23*Mat_Sum!$I41+$J$24*Mat_Sum!$L41+$J$25*Mat_Sum!$AG41+$J$26*Mat_Sum!$AH41+$J$27*Mat_Sum!$AK41+$J$28*Mat_Sum!$AS41+$J$29*Mat_Sum!$AM41+$J$30*Mat_Sum!$AT41+$J$31*Mat_Sum!$AR41+$J$32*Mat_Sum!$AV41)</f>
        <v>105.58786781635283</v>
      </c>
      <c r="C507" s="349">
        <f ca="1">$I$6*$J$10*($J$35*Mat_Sum!$D41+$J$36*Mat_Sum!$E41+$J$37*Mat_Sum!$F41+$J$38*Mat_Sum!$I41+$J$39*Mat_Sum!$L41+$J$40*Mat_Sum!$AG41+$J$41*Mat_Sum!$AK41+$J$42*Mat_Sum!$AS41+$J$43*Mat_Sum!$AR41+$J$44*Mat_Sum!$AV41+$J$45*Mat_Sum!$AT41+$J$46*Mat_Sum!$BH41+$J$47*Mat_Sum!$BG41+$J$48*Mat_Sum!$BJ41+$J$49*Mat_Sum!$BI41+$J$50*Mat_Sum!$AW41+$J$51*Mat_Sum!$CF41+$J$52*Mat_Sum!$U41+$J$53*Mat_Sum!$CN41)</f>
        <v>48.069097752514431</v>
      </c>
      <c r="D507" s="349">
        <f ca="1">$I$6*$J$11*($J$56*Mat_Sum!$D41+$J$57*Mat_Sum!$AG41+$J$58*Mat_Sum!$F41+$J$59*Mat_Sum!$AK41+$J$60*Mat_Sum!$I41+$J$61*Mat_Sum!$L41+$J$62*Mat_Sum!$AT41+$J$63*Mat_Sum!$AR41+$J$64*Mat_Sum!$AV41)</f>
        <v>9.4559694617292145</v>
      </c>
      <c r="E507" s="349">
        <f ca="1">$I$6*$J$12*($J$67*Mat_Sum!$D41+$J$68*Mat_Sum!$F41+$J$69*Mat_Sum!$I41+$J$70*Mat_Sum!$L41+$J$71*Mat_Sum!$AG41+$J$72*Mat_Sum!$AH41+$J$73*Mat_Sum!$AK41+$J$74*Mat_Sum!$AS41+$J$75*Mat_Sum!$AR41+$J$76*Mat_Sum!$AV41)+$A$136*(J$140*4)*($A$144*Mat_Sum!$AV41+$B$144*Mat_Sum!$D41)</f>
        <v>47.855399297629234</v>
      </c>
      <c r="F507" s="349">
        <f ca="1">$I$6*$J$13*($J$79*Mat_Sum!$D41+$J$80*Mat_Sum!$E41+$J$81*Mat_Sum!$L41+$J$82*Mat_Sum!$AG41)</f>
        <v>10.324290411429262</v>
      </c>
      <c r="G507" s="349"/>
      <c r="H507" s="349">
        <f ca="1">$I$6*$J$15*($J$90*Mat_Sum!$D41+$J$91*Mat_Sum!$L41+$J$92*Mat_Sum!$AG41+$J$93*Mat_Sum!$AV41+$J$94*Mat_Sum!$AR41)</f>
        <v>10.953267311474828</v>
      </c>
      <c r="I507" s="348">
        <f ca="1">$I$6*$J$16*($J$97*Mat_Sum!$D41+$J$99*Mat_Sum!$AU41+$J$101*Mat_Sum!$I41+$J$102*Mat_Sum!$AG41+$J$103*Mat_Sum!$AR41+$J$104*Mat_Sum!$AV41+$J$105*Mat_Sum!$U41+$J$98*Mat_Sum!$E41+$J$100*Mat_Sum!$AS41+$J$106*Mat_Sum!$CN41)</f>
        <v>196.36856731297041</v>
      </c>
      <c r="J507" s="382">
        <f t="shared" ca="1" si="115"/>
        <v>0.24634695706020929</v>
      </c>
      <c r="K507" s="382">
        <f t="shared" ca="1" si="115"/>
        <v>0.11214996765118602</v>
      </c>
      <c r="L507" s="382">
        <f t="shared" ca="1" si="115"/>
        <v>2.2061713633642347E-2</v>
      </c>
      <c r="M507" s="382">
        <f t="shared" ca="1" si="116"/>
        <v>0.11165138798310334</v>
      </c>
      <c r="N507" s="382">
        <f t="shared" ca="1" si="115"/>
        <v>2.4087592440876951E-2</v>
      </c>
      <c r="O507" s="382"/>
      <c r="P507" s="382">
        <f t="shared" ca="1" si="117"/>
        <v>2.5555057866515477E-2</v>
      </c>
      <c r="Q507" s="588">
        <f t="shared" ca="1" si="117"/>
        <v>0.45814732336446651</v>
      </c>
    </row>
    <row r="508" spans="1:17">
      <c r="A508" s="230" t="s">
        <v>827</v>
      </c>
      <c r="B508" s="347">
        <f ca="1">$I$6*$J$17*($J$22*Mat_Sum!$D42+$J$23*Mat_Sum!$I42+$J$24*Mat_Sum!$L42+$J$25*Mat_Sum!$AG42+$J$26*Mat_Sum!$AH42+$J$27*Mat_Sum!$AK42+$J$28*Mat_Sum!$AS42+$J$29*Mat_Sum!$AM42+$J$30*Mat_Sum!$AT42+$J$31*Mat_Sum!$AR42+$J$32*Mat_Sum!$AV42)</f>
        <v>0.54996893141956416</v>
      </c>
      <c r="C508" s="349">
        <f ca="1">$I$6*$J$10*($J$35*Mat_Sum!$D42+$J$36*Mat_Sum!$E42+$J$37*Mat_Sum!$F42+$J$38*Mat_Sum!$I42+$J$39*Mat_Sum!$L42+$J$40*Mat_Sum!$AG42+$J$41*Mat_Sum!$AK42+$J$42*Mat_Sum!$AS42+$J$43*Mat_Sum!$AR42+$J$44*Mat_Sum!$AV42+$J$45*Mat_Sum!$AT42+$J$46*Mat_Sum!$BH42+$J$47*Mat_Sum!$BG42+$J$48*Mat_Sum!$BJ42+$J$49*Mat_Sum!$BI42+$J$50*Mat_Sum!$AW42+$J$51*Mat_Sum!$CF42+$J$52*Mat_Sum!$U42+$J$53*Mat_Sum!$CN42)</f>
        <v>0.31550675382296994</v>
      </c>
      <c r="D508" s="349">
        <f ca="1">$I$6*$J$11*($J$56*Mat_Sum!$D42+$J$57*Mat_Sum!$AG42+$J$58*Mat_Sum!$F42+$J$59*Mat_Sum!$AK42+$J$60*Mat_Sum!$I42+$J$61*Mat_Sum!$L42+$J$62*Mat_Sum!$AT42+$J$63*Mat_Sum!$AR42+$J$64*Mat_Sum!$AV42)</f>
        <v>4.8884837382899567E-2</v>
      </c>
      <c r="E508" s="349">
        <f ca="1">$I$6*$J$12*($J$67*Mat_Sum!$D42+$J$68*Mat_Sum!$F42+$J$69*Mat_Sum!$I42+$J$70*Mat_Sum!$L42+$J$71*Mat_Sum!$AG42+$J$72*Mat_Sum!$AH42+$J$73*Mat_Sum!$AK42+$J$74*Mat_Sum!$AS42+$J$75*Mat_Sum!$AR42+$J$76*Mat_Sum!$AV42)+$A$136*(J$140*4)*($A$144*Mat_Sum!$AV42+$B$144*Mat_Sum!$D42)</f>
        <v>0.32903048333196572</v>
      </c>
      <c r="F508" s="349">
        <f ca="1">$I$6*$J$13*($J$79*Mat_Sum!$D42+$J$80*Mat_Sum!$E42+$J$81*Mat_Sum!$L42+$J$82*Mat_Sum!$AG42)</f>
        <v>5.7144892679152577E-2</v>
      </c>
      <c r="G508" s="349"/>
      <c r="H508" s="349">
        <f ca="1">$I$6*$J$15*($J$90*Mat_Sum!$D42+$J$91*Mat_Sum!$L42+$J$92*Mat_Sum!$AG42+$J$93*Mat_Sum!$AV42+$J$94*Mat_Sum!$AR42)</f>
        <v>5.4348138420735846E-2</v>
      </c>
      <c r="I508" s="348">
        <f ca="1">$I$6*$J$16*($J$97*Mat_Sum!$D42+$J$99*Mat_Sum!$AU42+$J$101*Mat_Sum!$I42+$J$102*Mat_Sum!$AG42+$J$103*Mat_Sum!$AR42+$J$104*Mat_Sum!$AV42+$J$105*Mat_Sum!$U42+$J$98*Mat_Sum!$E42+$J$100*Mat_Sum!$AS42+$J$106*Mat_Sum!$CN42)</f>
        <v>1.6126134907635981</v>
      </c>
      <c r="J508" s="382">
        <f t="shared" ca="1" si="115"/>
        <v>0.18533088107521403</v>
      </c>
      <c r="K508" s="382">
        <f t="shared" ca="1" si="115"/>
        <v>0.10632081437811851</v>
      </c>
      <c r="L508" s="382">
        <f t="shared" ca="1" si="115"/>
        <v>1.647342143492771E-2</v>
      </c>
      <c r="M508" s="382">
        <f t="shared" ca="1" si="116"/>
        <v>0.11087809854843646</v>
      </c>
      <c r="N508" s="382">
        <f t="shared" ca="1" si="115"/>
        <v>1.9256930172108899E-2</v>
      </c>
      <c r="O508" s="382"/>
      <c r="P508" s="382">
        <f t="shared" ca="1" si="117"/>
        <v>1.8314467968788897E-2</v>
      </c>
      <c r="Q508" s="588">
        <f t="shared" ca="1" si="117"/>
        <v>0.54342538642240557</v>
      </c>
    </row>
    <row r="509" spans="1:17">
      <c r="A509" s="589" t="s">
        <v>828</v>
      </c>
      <c r="B509" s="503">
        <f ca="1">$I$6*$J$17*($J$22*Mat_Sum!$D43+$J$23*Mat_Sum!$I43+$J$24*Mat_Sum!$L43+$J$25*Mat_Sum!$AG43+$J$26*Mat_Sum!$AH43+$J$27*Mat_Sum!$AK43+$J$28*Mat_Sum!$AS43+$J$29*Mat_Sum!$AM43+$J$30*Mat_Sum!$AT43+$J$31*Mat_Sum!$AR43+$J$32*Mat_Sum!$AV43)</f>
        <v>2.323031521602652</v>
      </c>
      <c r="C509" s="349">
        <f ca="1">$I$6*$J$10*($J$35*Mat_Sum!$D43+$J$36*Mat_Sum!$E43+$J$37*Mat_Sum!$F43+$J$38*Mat_Sum!$I43+$J$39*Mat_Sum!$L43+$J$40*Mat_Sum!$AG43+$J$41*Mat_Sum!$AK43+$J$42*Mat_Sum!$AS43+$J$43*Mat_Sum!$AR43+$J$44*Mat_Sum!$AV43+$J$45*Mat_Sum!$AT43+$J$46*Mat_Sum!$BH43+$J$47*Mat_Sum!$BG43+$J$48*Mat_Sum!$BJ43+$J$49*Mat_Sum!$BI43+$J$50*Mat_Sum!$AW43+$J$51*Mat_Sum!$CF43+$J$52*Mat_Sum!$U43+$J$53*Mat_Sum!$CN43)</f>
        <v>1.2267297614889687</v>
      </c>
      <c r="D509" s="505">
        <f ca="1">$I$6*$J$11*($J$56*Mat_Sum!$D43+$J$57*Mat_Sum!$AG43+$J$58*Mat_Sum!$F43+$J$59*Mat_Sum!$AK43+$J$60*Mat_Sum!$I43+$J$61*Mat_Sum!$L43+$J$62*Mat_Sum!$AT43+$J$63*Mat_Sum!$AR43+$J$64*Mat_Sum!$AV43)</f>
        <v>0.1855445027144039</v>
      </c>
      <c r="E509" s="505">
        <f ca="1">$I$6*$J$12*($J$67*Mat_Sum!$D43+$J$68*Mat_Sum!$F43+$J$69*Mat_Sum!$I43+$J$70*Mat_Sum!$L43+$J$71*Mat_Sum!$AG43+$J$72*Mat_Sum!$AH43+$J$73*Mat_Sum!$AK43+$J$74*Mat_Sum!$AS43+$J$75*Mat_Sum!$AR43+$J$76*Mat_Sum!$AV43)+$A$136*(J$140*4)*($A$144*Mat_Sum!$AV43+$B$144*Mat_Sum!$D43)</f>
        <v>1.2929427714659887</v>
      </c>
      <c r="F509" s="505">
        <f ca="1">$I$6*$J$13*($J$79*Mat_Sum!$D43+$J$80*Mat_Sum!$E43+$J$81*Mat_Sum!$L43+$J$82*Mat_Sum!$AG43)</f>
        <v>0.23375995577235817</v>
      </c>
      <c r="G509" s="505"/>
      <c r="H509" s="505">
        <f ca="1">$I$6*$J$15*($J$90*Mat_Sum!$D43+$J$91*Mat_Sum!$L43+$J$92*Mat_Sum!$AG43+$J$93*Mat_Sum!$AV43+$J$94*Mat_Sum!$AR43)</f>
        <v>0.18442468770166123</v>
      </c>
      <c r="I509" s="502">
        <f ca="1">$I$6*$J$16*($J$97*Mat_Sum!$D43+$J$99*Mat_Sum!$AU43+$J$101*Mat_Sum!$I43+$J$102*Mat_Sum!$AG43+$J$103*Mat_Sum!$AR43+$J$104*Mat_Sum!$AV43+$J$105*Mat_Sum!$U43+$J$98*Mat_Sum!$E43+$J$100*Mat_Sum!$AS43+$J$106*Mat_Sum!$CN43)</f>
        <v>6.9443081052694975</v>
      </c>
      <c r="J509" s="368">
        <f t="shared" ca="1" si="115"/>
        <v>0.18748123814632894</v>
      </c>
      <c r="K509" s="368">
        <f t="shared" ca="1" si="115"/>
        <v>9.9003742487417515E-2</v>
      </c>
      <c r="L509" s="368">
        <f t="shared" ca="1" si="115"/>
        <v>1.4974447301577081E-2</v>
      </c>
      <c r="M509" s="368">
        <f t="shared" ca="1" si="116"/>
        <v>0.10434749136746833</v>
      </c>
      <c r="N509" s="368">
        <f t="shared" ca="1" si="115"/>
        <v>1.886569576421316E-2</v>
      </c>
      <c r="O509" s="368"/>
      <c r="P509" s="368">
        <f t="shared" ca="1" si="117"/>
        <v>1.4884072158953531E-2</v>
      </c>
      <c r="Q509" s="428">
        <f t="shared" ca="1" si="117"/>
        <v>0.56044331277404158</v>
      </c>
    </row>
    <row r="511" spans="1:17">
      <c r="A511" s="111" t="s">
        <v>1886</v>
      </c>
    </row>
    <row r="512" spans="1:17">
      <c r="A512" s="238"/>
      <c r="B512" s="3007" t="s">
        <v>1875</v>
      </c>
      <c r="C512" s="3005"/>
      <c r="D512" s="3005"/>
      <c r="E512" s="3005"/>
      <c r="F512" s="3005"/>
      <c r="G512" s="3005"/>
      <c r="H512" s="3005"/>
      <c r="I512" s="3006"/>
      <c r="J512" s="3005" t="s">
        <v>1876</v>
      </c>
      <c r="K512" s="3005"/>
      <c r="L512" s="3005"/>
      <c r="M512" s="3005"/>
      <c r="N512" s="3005"/>
      <c r="O512" s="3005"/>
      <c r="P512" s="3005"/>
      <c r="Q512" s="3006"/>
    </row>
    <row r="513" spans="1:17" ht="51">
      <c r="A513" s="230"/>
      <c r="B513" s="923" t="s">
        <v>250</v>
      </c>
      <c r="C513" s="924" t="s">
        <v>182</v>
      </c>
      <c r="D513" s="924" t="s">
        <v>183</v>
      </c>
      <c r="E513" s="924" t="s">
        <v>184</v>
      </c>
      <c r="F513" s="924" t="s">
        <v>185</v>
      </c>
      <c r="G513" s="924" t="s">
        <v>186</v>
      </c>
      <c r="H513" s="670" t="s">
        <v>187</v>
      </c>
      <c r="I513" s="953" t="s">
        <v>1860</v>
      </c>
      <c r="J513" s="923" t="s">
        <v>250</v>
      </c>
      <c r="K513" s="924" t="s">
        <v>182</v>
      </c>
      <c r="L513" s="924" t="s">
        <v>183</v>
      </c>
      <c r="M513" s="924" t="s">
        <v>184</v>
      </c>
      <c r="N513" s="924" t="s">
        <v>185</v>
      </c>
      <c r="O513" s="924" t="s">
        <v>186</v>
      </c>
      <c r="P513" s="670" t="s">
        <v>187</v>
      </c>
      <c r="Q513" s="953" t="s">
        <v>1860</v>
      </c>
    </row>
    <row r="514" spans="1:17">
      <c r="A514" s="571" t="s">
        <v>1877</v>
      </c>
      <c r="B514" s="895"/>
      <c r="C514" s="446"/>
      <c r="D514" s="446"/>
      <c r="E514" s="446"/>
      <c r="I514" s="395"/>
      <c r="J514" s="446"/>
      <c r="K514" s="446"/>
      <c r="L514" s="446"/>
      <c r="M514" s="446"/>
      <c r="Q514" s="395"/>
    </row>
    <row r="515" spans="1:17">
      <c r="A515" s="230" t="s">
        <v>816</v>
      </c>
      <c r="B515" s="347">
        <f ca="1">$J$6*$K$17*($K$22*Mat_Sum!$D15+$K$23*Mat_Sum!$I15+$K$24*Mat_Sum!$L15+$K$25*Mat_Sum!$AG15+$K$26*Mat_Sum!$AH15+$K$27*Mat_Sum!$AK15+$K$28*Mat_Sum!$AS15+$K$29*Mat_Sum!$AM15+$K$30*Mat_Sum!$AT15+$K$31*Mat_Sum!$AR15+$K$32*Mat_Sum!$AV15)</f>
        <v>80.712447060127275</v>
      </c>
      <c r="C515" s="349">
        <f ca="1">$J$6*$K$10*($K$35*Mat_Sum!$D15+$K$36*Mat_Sum!$E15+$K$37*Mat_Sum!$F15+$K$38*Mat_Sum!$I15+$K$39*Mat_Sum!$L15+$K$40*Mat_Sum!$AG15+$K$41*Mat_Sum!$AK15+$K$42*Mat_Sum!$AS15+$K$43*Mat_Sum!$AR15+$K$44*Mat_Sum!$AV15+$K$45*Mat_Sum!$AT15+$K$46*Mat_Sum!$BH15+$K$47*Mat_Sum!$BG15+$K$48*Mat_Sum!$BJ15+$K$49*Mat_Sum!$BI15+$K$50*Mat_Sum!$AW15+$K$51*Mat_Sum!$CF15+$K$52*Mat_Sum!$U15+$K$53*Mat_Sum!$CN15)</f>
        <v>6.9463320595703308</v>
      </c>
      <c r="D515" s="349">
        <f ca="1">$J$6*$K$11*($K$56*Mat_Sum!$D15+$K$57*Mat_Sum!$AG15+$K$58*Mat_Sum!$F15+$K$59*Mat_Sum!$AK15+$K$60*Mat_Sum!$I15+$K$61*Mat_Sum!$L15+$K$62*Mat_Sum!$AT15+$K$63*Mat_Sum!$AR15+$K$64*Mat_Sum!$AV15)</f>
        <v>1.9152869262315422</v>
      </c>
      <c r="E515" s="349">
        <f ca="1">$J$6*$K$12*($K$67*Mat_Sum!$D15+$K$68*Mat_Sum!$F15+$K$69*Mat_Sum!$I15+$K$70*Mat_Sum!$L15+$K$71*Mat_Sum!$AG15+$K$72*Mat_Sum!$AH15+$K$73*Mat_Sum!$AK15+$K$74*Mat_Sum!$AS15+$K$75*Mat_Sum!$AR15+$K$76*Mat_Sum!$AV15)+$A$136*(K$140*4)*($A$144*Mat_Sum!$AV15+$B$144*Mat_Sum!$D15)</f>
        <v>19.452328049276485</v>
      </c>
      <c r="F515" s="349">
        <f ca="1">$J$6*$K$13*($K$79*Mat_Sum!$D15+$K$80*Mat_Sum!$E15+$K$81*Mat_Sum!$L15+$K$82*Mat_Sum!$AG15)</f>
        <v>2.1264884592720685</v>
      </c>
      <c r="G515" s="349"/>
      <c r="H515" s="349">
        <f ca="1">$J$6*$K$15*($K$90*Mat_Sum!$D15+$K$91*Mat_Sum!$L15+$K$92*Mat_Sum!$AG15+$K$93*Mat_Sum!$AV15+$K$94*Mat_Sum!$AR15)</f>
        <v>2.3442187875004148</v>
      </c>
      <c r="I515" s="348">
        <f ca="1">$J$6*$K$16*($K$97*Mat_Sum!$D15+$K$99*Mat_Sum!$AU15+$K$101*Mat_Sum!$I15+$K$102*Mat_Sum!$AG15+$K$103*Mat_Sum!$AR15+$K$104*Mat_Sum!$AV15+$K$105*Mat_Sum!$U15+$K$98*Mat_Sum!$E15+$K$100*Mat_Sum!$AS15+$K$106*Mat_Sum!$CN15)</f>
        <v>24.920464795916519</v>
      </c>
      <c r="J515" s="382">
        <f t="shared" ref="J515:N520" ca="1" si="118">B515/$K174</f>
        <v>0.58310841110816658</v>
      </c>
      <c r="K515" s="382">
        <f t="shared" ca="1" si="118"/>
        <v>5.0183891057947398E-2</v>
      </c>
      <c r="L515" s="382">
        <f t="shared" ca="1" si="118"/>
        <v>1.3837022132895269E-2</v>
      </c>
      <c r="M515" s="382">
        <f t="shared" ref="M515:M520" ca="1" si="119">E515/$K174</f>
        <v>0.14053366629707714</v>
      </c>
      <c r="N515" s="382">
        <f t="shared" ca="1" si="118"/>
        <v>1.5362851107738842E-2</v>
      </c>
      <c r="O515" s="382"/>
      <c r="P515" s="382">
        <f t="shared" ref="P515:Q520" ca="1" si="120">H515/$K174</f>
        <v>1.6935847471592248E-2</v>
      </c>
      <c r="Q515" s="588">
        <f t="shared" ca="1" si="120"/>
        <v>0.18003831082458283</v>
      </c>
    </row>
    <row r="516" spans="1:17">
      <c r="A516" s="230" t="s">
        <v>817</v>
      </c>
      <c r="B516" s="347">
        <f ca="1">$J$6*$K$17*($K$22*Mat_Sum!$D16+$K$23*Mat_Sum!$I16+$K$24*Mat_Sum!$L16+$K$25*Mat_Sum!$AG16+$K$26*Mat_Sum!$AH16+$K$27*Mat_Sum!$AK16+$K$28*Mat_Sum!$AS16+$K$29*Mat_Sum!$AM16+$K$30*Mat_Sum!$AT16+$K$31*Mat_Sum!$AR16+$K$32*Mat_Sum!$AV16)</f>
        <v>73.43328926517178</v>
      </c>
      <c r="C516" s="349">
        <f ca="1">$J$6*$K$10*($K$35*Mat_Sum!$D16+$K$36*Mat_Sum!$E16+$K$37*Mat_Sum!$F16+$K$38*Mat_Sum!$I16+$K$39*Mat_Sum!$L16+$K$40*Mat_Sum!$AG16+$K$41*Mat_Sum!$AK16+$K$42*Mat_Sum!$AS16+$K$43*Mat_Sum!$AR16+$K$44*Mat_Sum!$AV16+$K$45*Mat_Sum!$AT16+$K$46*Mat_Sum!$BH16+$K$47*Mat_Sum!$BG16+$K$48*Mat_Sum!$BJ16+$K$49*Mat_Sum!$BI16+$K$50*Mat_Sum!$AW16+$K$51*Mat_Sum!$CF16+$K$52*Mat_Sum!$U16+$K$53*Mat_Sum!$CN16)</f>
        <v>5.8870725367134806</v>
      </c>
      <c r="D516" s="349">
        <f ca="1">$J$6*$K$11*($K$56*Mat_Sum!$D16+$K$57*Mat_Sum!$AG16+$K$58*Mat_Sum!$F16+$K$59*Mat_Sum!$AK16+$K$60*Mat_Sum!$I16+$K$61*Mat_Sum!$L16+$K$62*Mat_Sum!$AT16+$K$63*Mat_Sum!$AR16+$K$64*Mat_Sum!$AV16)</f>
        <v>1.487564999123355</v>
      </c>
      <c r="E516" s="349">
        <f ca="1">$J$6*$K$12*($K$67*Mat_Sum!$D16+$K$68*Mat_Sum!$F16+$K$69*Mat_Sum!$I16+$K$70*Mat_Sum!$L16+$K$71*Mat_Sum!$AG16+$K$72*Mat_Sum!$AH16+$K$73*Mat_Sum!$AK16+$K$74*Mat_Sum!$AS16+$K$75*Mat_Sum!$AR16+$K$76*Mat_Sum!$AV16)+$A$136*(K$140*4)*($A$144*Mat_Sum!$AV16+$B$144*Mat_Sum!$D16)</f>
        <v>17.1588999030512</v>
      </c>
      <c r="F516" s="349">
        <f ca="1">$J$6*$K$13*($K$79*Mat_Sum!$D16+$K$80*Mat_Sum!$E16+$K$81*Mat_Sum!$L16+$K$82*Mat_Sum!$AG16)</f>
        <v>1.7639826453148373</v>
      </c>
      <c r="G516" s="349"/>
      <c r="H516" s="349">
        <f ca="1">$J$6*$K$15*($K$90*Mat_Sum!$D16+$K$91*Mat_Sum!$L16+$K$92*Mat_Sum!$AG16+$K$93*Mat_Sum!$AV16+$K$94*Mat_Sum!$AR16)</f>
        <v>2.0155993795356548</v>
      </c>
      <c r="I516" s="348">
        <f ca="1">$J$6*$K$16*($K$97*Mat_Sum!$D16+$K$99*Mat_Sum!$AU16+$K$101*Mat_Sum!$I16+$K$102*Mat_Sum!$AG16+$K$103*Mat_Sum!$AR16+$K$104*Mat_Sum!$AV16+$K$105*Mat_Sum!$U16+$K$98*Mat_Sum!$E16+$K$100*Mat_Sum!$AS16+$K$106*Mat_Sum!$CN16)</f>
        <v>21.964670904827944</v>
      </c>
      <c r="J516" s="382">
        <f t="shared" ca="1" si="118"/>
        <v>0.5935870051621891</v>
      </c>
      <c r="K516" s="382">
        <f t="shared" ca="1" si="118"/>
        <v>4.7587269904545954E-2</v>
      </c>
      <c r="L516" s="382">
        <f t="shared" ca="1" si="118"/>
        <v>1.2024509070064481E-2</v>
      </c>
      <c r="M516" s="382">
        <f t="shared" ca="1" si="119"/>
        <v>0.13870139969558276</v>
      </c>
      <c r="N516" s="382">
        <f t="shared" ca="1" si="118"/>
        <v>1.4258889749708134E-2</v>
      </c>
      <c r="O516" s="382"/>
      <c r="P516" s="382">
        <f t="shared" ca="1" si="120"/>
        <v>1.6292795968664106E-2</v>
      </c>
      <c r="Q516" s="588">
        <f t="shared" ca="1" si="120"/>
        <v>0.17754813044924536</v>
      </c>
    </row>
    <row r="517" spans="1:17">
      <c r="A517" s="230" t="s">
        <v>805</v>
      </c>
      <c r="B517" s="347">
        <f ca="1">$J$6*$K$17*($K$22*Mat_Sum!$D17+$K$23*Mat_Sum!$I17+$K$24*Mat_Sum!$L17+$K$25*Mat_Sum!$AG17+$K$26*Mat_Sum!$AH17+$K$27*Mat_Sum!$AK17+$K$28*Mat_Sum!$AS17+$K$29*Mat_Sum!$AM17+$K$30*Mat_Sum!$AT17+$K$31*Mat_Sum!$AR17+$K$32*Mat_Sum!$AV17)</f>
        <v>9.3265718342253621</v>
      </c>
      <c r="C517" s="349">
        <f ca="1">$J$6*$K$10*($K$35*Mat_Sum!$D17+$K$36*Mat_Sum!$E17+$K$37*Mat_Sum!$F17+$K$38*Mat_Sum!$I17+$K$39*Mat_Sum!$L17+$K$40*Mat_Sum!$AG17+$K$41*Mat_Sum!$AK17+$K$42*Mat_Sum!$AS17+$K$43*Mat_Sum!$AR17+$K$44*Mat_Sum!$AV17+$K$45*Mat_Sum!$AT17+$K$46*Mat_Sum!$BH17+$K$47*Mat_Sum!$BG17+$K$48*Mat_Sum!$BJ17+$K$49*Mat_Sum!$BI17+$K$50*Mat_Sum!$AW17+$K$51*Mat_Sum!$CF17+$K$52*Mat_Sum!$U17+$K$53*Mat_Sum!$CN17)</f>
        <v>1.2441348746150347</v>
      </c>
      <c r="D517" s="349">
        <f ca="1">$J$6*$K$11*($K$56*Mat_Sum!$D17+$K$57*Mat_Sum!$AG17+$K$58*Mat_Sum!$F17+$K$59*Mat_Sum!$AK17+$K$60*Mat_Sum!$I17+$K$61*Mat_Sum!$L17+$K$62*Mat_Sum!$AT17+$K$63*Mat_Sum!$AR17+$K$64*Mat_Sum!$AV17)</f>
        <v>0.71791455142620419</v>
      </c>
      <c r="E517" s="349">
        <f ca="1">$J$6*$K$12*($K$67*Mat_Sum!$D17+$K$68*Mat_Sum!$F17+$K$69*Mat_Sum!$I17+$K$70*Mat_Sum!$L17+$K$71*Mat_Sum!$AG17+$K$72*Mat_Sum!$AH17+$K$73*Mat_Sum!$AK17+$K$74*Mat_Sum!$AS17+$K$75*Mat_Sum!$AR17+$K$76*Mat_Sum!$AV17)+$A$136*(K$140*4)*($A$144*Mat_Sum!$AV17+$B$144*Mat_Sum!$D17)</f>
        <v>4.8523129610273106</v>
      </c>
      <c r="F517" s="349">
        <f ca="1">$J$6*$K$13*($K$79*Mat_Sum!$D17+$K$80*Mat_Sum!$E17+$K$81*Mat_Sum!$L17+$K$82*Mat_Sum!$AG17)</f>
        <v>0.6740457690383711</v>
      </c>
      <c r="G517" s="349"/>
      <c r="H517" s="349">
        <f ca="1">$J$6*$K$15*($K$90*Mat_Sum!$D17+$K$91*Mat_Sum!$L17+$K$92*Mat_Sum!$AG17+$K$93*Mat_Sum!$AV17+$K$94*Mat_Sum!$AR17)</f>
        <v>0.30768504218673903</v>
      </c>
      <c r="I517" s="348">
        <f ca="1">$J$6*$K$16*($K$97*Mat_Sum!$D17+$K$99*Mat_Sum!$AU17+$K$101*Mat_Sum!$I17+$K$102*Mat_Sum!$AG17+$K$103*Mat_Sum!$AR17+$K$104*Mat_Sum!$AV17+$K$105*Mat_Sum!$U17+$K$98*Mat_Sum!$E17+$K$100*Mat_Sum!$AS17+$K$106*Mat_Sum!$CN17)</f>
        <v>3.5928254041065557</v>
      </c>
      <c r="J517" s="382">
        <f t="shared" ca="1" si="118"/>
        <v>0.45022211097332848</v>
      </c>
      <c r="K517" s="382">
        <f t="shared" ca="1" si="118"/>
        <v>6.0058190677222359E-2</v>
      </c>
      <c r="L517" s="382">
        <f t="shared" ca="1" si="118"/>
        <v>3.4655928307490667E-2</v>
      </c>
      <c r="M517" s="382">
        <f t="shared" ca="1" si="119"/>
        <v>0.23423596829010068</v>
      </c>
      <c r="N517" s="382">
        <f t="shared" ca="1" si="118"/>
        <v>3.2538248181980728E-2</v>
      </c>
      <c r="O517" s="382"/>
      <c r="P517" s="382">
        <f t="shared" ca="1" si="120"/>
        <v>1.4852896827523004E-2</v>
      </c>
      <c r="Q517" s="588">
        <f t="shared" ca="1" si="120"/>
        <v>0.17343665674235448</v>
      </c>
    </row>
    <row r="518" spans="1:17">
      <c r="A518" s="230" t="s">
        <v>804</v>
      </c>
      <c r="B518" s="347">
        <f ca="1">$J$6*$K$17*($K$22*Mat_Sum!$D18+$K$23*Mat_Sum!$I18+$K$24*Mat_Sum!$L18+$K$25*Mat_Sum!$AG18+$K$26*Mat_Sum!$AH18+$K$27*Mat_Sum!$AK18+$K$28*Mat_Sum!$AS18+$K$29*Mat_Sum!$AM18+$K$30*Mat_Sum!$AT18+$K$31*Mat_Sum!$AR18+$K$32*Mat_Sum!$AV18)</f>
        <v>45.209875851930398</v>
      </c>
      <c r="C518" s="349">
        <f ca="1">$J$6*$K$10*($K$35*Mat_Sum!$D18+$K$36*Mat_Sum!$E18+$K$37*Mat_Sum!$F18+$K$38*Mat_Sum!$I18+$K$39*Mat_Sum!$L18+$K$40*Mat_Sum!$AG18+$K$41*Mat_Sum!$AK18+$K$42*Mat_Sum!$AS18+$K$43*Mat_Sum!$AR18+$K$44*Mat_Sum!$AV18+$K$45*Mat_Sum!$AT18+$K$46*Mat_Sum!$BH18+$K$47*Mat_Sum!$BG18+$K$48*Mat_Sum!$BJ18+$K$49*Mat_Sum!$BI18+$K$50*Mat_Sum!$AW18+$K$51*Mat_Sum!$CF18+$K$52*Mat_Sum!$U18+$K$53*Mat_Sum!$CN18)</f>
        <v>3.2173932655123476</v>
      </c>
      <c r="D518" s="349">
        <f ca="1">$J$6*$K$11*($K$56*Mat_Sum!$D18+$K$57*Mat_Sum!$AG18+$K$58*Mat_Sum!$F18+$K$59*Mat_Sum!$AK18+$K$60*Mat_Sum!$I18+$K$61*Mat_Sum!$L18+$K$62*Mat_Sum!$AT18+$K$63*Mat_Sum!$AR18+$K$64*Mat_Sum!$AV18)</f>
        <v>0.61926222091110439</v>
      </c>
      <c r="E518" s="349">
        <f ca="1">$J$6*$K$12*($K$67*Mat_Sum!$D18+$K$68*Mat_Sum!$F18+$K$69*Mat_Sum!$I18+$K$70*Mat_Sum!$L18+$K$71*Mat_Sum!$AG18+$K$72*Mat_Sum!$AH18+$K$73*Mat_Sum!$AK18+$K$74*Mat_Sum!$AS18+$K$75*Mat_Sum!$AR18+$K$76*Mat_Sum!$AV18)+$A$136*(K$140*4)*($A$144*Mat_Sum!$AV18+$B$144*Mat_Sum!$D18)</f>
        <v>9.316877470446606</v>
      </c>
      <c r="F518" s="349">
        <f ca="1">F516-F517-F519</f>
        <v>0.92969527876814917</v>
      </c>
      <c r="G518" s="349"/>
      <c r="H518" s="349">
        <f ca="1">H516-H517-H519</f>
        <v>1.2730201249128088</v>
      </c>
      <c r="I518" s="348">
        <f ca="1">$J$6*$K$16*($K$97*Mat_Sum!$D18+$K$99*Mat_Sum!$AU18+$K$101*Mat_Sum!$I18+$K$102*Mat_Sum!$AG18+$K$103*Mat_Sum!$AR18+$K$104*Mat_Sum!$AV18+$K$105*Mat_Sum!$U18+$K$98*Mat_Sum!$E18+$K$100*Mat_Sum!$AS18+$K$106*Mat_Sum!$CN18)</f>
        <v>12.732869477899431</v>
      </c>
      <c r="J518" s="382">
        <f t="shared" ca="1" si="118"/>
        <v>0.6167871286596307</v>
      </c>
      <c r="K518" s="382">
        <f t="shared" ca="1" si="118"/>
        <v>4.3894098725322218E-2</v>
      </c>
      <c r="L518" s="382">
        <f t="shared" ca="1" si="118"/>
        <v>8.4484409639633447E-3</v>
      </c>
      <c r="M518" s="382">
        <f t="shared" ca="1" si="119"/>
        <v>0.1271078496630067</v>
      </c>
      <c r="N518" s="382">
        <f t="shared" ca="1" si="118"/>
        <v>1.2683602215539755E-2</v>
      </c>
      <c r="O518" s="382"/>
      <c r="P518" s="382">
        <f t="shared" ca="1" si="120"/>
        <v>1.7367497980806102E-2</v>
      </c>
      <c r="Q518" s="588">
        <f t="shared" ca="1" si="120"/>
        <v>0.17371138179173101</v>
      </c>
    </row>
    <row r="519" spans="1:17">
      <c r="A519" s="230" t="s">
        <v>818</v>
      </c>
      <c r="B519" s="347">
        <f ca="1">$J$6*$K$17*($K$22*Mat_Sum!$D19+$K$23*Mat_Sum!$I19+$K$24*Mat_Sum!$L19+$K$25*Mat_Sum!$AG19+$K$26*Mat_Sum!$AH19+$K$27*Mat_Sum!$AK19+$K$28*Mat_Sum!$AS19+$K$29*Mat_Sum!$AM19+$K$30*Mat_Sum!$AT19+$K$31*Mat_Sum!$AR19+$K$32*Mat_Sum!$AV19)</f>
        <v>18.896841579016026</v>
      </c>
      <c r="C519" s="349">
        <f ca="1">$J$6*$K$10*($K$35*Mat_Sum!$D19+$K$36*Mat_Sum!$E19+$K$37*Mat_Sum!$F19+$K$38*Mat_Sum!$I19+$K$39*Mat_Sum!$L19+$K$40*Mat_Sum!$AG19+$K$41*Mat_Sum!$AK19+$K$42*Mat_Sum!$AS19+$K$43*Mat_Sum!$AR19+$K$44*Mat_Sum!$AV19+$K$45*Mat_Sum!$AT19+$K$46*Mat_Sum!$BH19+$K$47*Mat_Sum!$BG19+$K$48*Mat_Sum!$BJ19+$K$49*Mat_Sum!$BI19+$K$50*Mat_Sum!$AW19+$K$51*Mat_Sum!$CF19+$K$52*Mat_Sum!$U19+$K$53*Mat_Sum!$CN19)</f>
        <v>1.4255443965860992</v>
      </c>
      <c r="D519" s="349">
        <f ca="1">$J$6*$K$11*($K$56*Mat_Sum!$D19+$K$57*Mat_Sum!$AG19+$K$58*Mat_Sum!$F19+$K$59*Mat_Sum!$AK19+$K$60*Mat_Sum!$I19+$K$61*Mat_Sum!$L19+$K$62*Mat_Sum!$AT19+$K$63*Mat_Sum!$AR19+$K$64*Mat_Sum!$AV19)</f>
        <v>0.15038822678604649</v>
      </c>
      <c r="E519" s="349">
        <f ca="1">$J$6*$K$12*($K$67*Mat_Sum!$D19+$K$68*Mat_Sum!$F19+$K$69*Mat_Sum!$I19+$K$70*Mat_Sum!$L19+$K$71*Mat_Sum!$AG19+$K$72*Mat_Sum!$AH19+$K$73*Mat_Sum!$AK19+$K$74*Mat_Sum!$AS19+$K$75*Mat_Sum!$AR19+$K$76*Mat_Sum!$AV19)+$A$136*(K$140*4)*($A$144*Mat_Sum!$AV19+$B$144*Mat_Sum!$D19)</f>
        <v>2.9897094715772861</v>
      </c>
      <c r="F519" s="349">
        <f ca="1">$J$6*$K$13*($K$79*Mat_Sum!$D19+$K$80*Mat_Sum!$E19+$K$81*Mat_Sum!$L19+$K$82*Mat_Sum!$AG19)</f>
        <v>0.16024159750831712</v>
      </c>
      <c r="G519" s="349"/>
      <c r="H519" s="349">
        <f ca="1">$J$6*$K$15*($K$90*Mat_Sum!$D19+$K$91*Mat_Sum!$L19+$K$92*Mat_Sum!$AG19+$K$93*Mat_Sum!$AV19+$K$94*Mat_Sum!$AR19)</f>
        <v>0.43489421243610693</v>
      </c>
      <c r="I519" s="348">
        <f ca="1">$J$6*$K$16*($K$97*Mat_Sum!$D19+$K$99*Mat_Sum!$AU19+$K$101*Mat_Sum!$I19+$K$102*Mat_Sum!$AG19+$K$103*Mat_Sum!$AR19+$K$104*Mat_Sum!$AV19+$K$105*Mat_Sum!$U19+$K$98*Mat_Sum!$E19+$K$100*Mat_Sum!$AS19+$K$106*Mat_Sum!$CN19)</f>
        <v>5.6389760228219581</v>
      </c>
      <c r="J519" s="382">
        <f t="shared" ca="1" si="118"/>
        <v>0.63633023437761915</v>
      </c>
      <c r="K519" s="382">
        <f t="shared" ca="1" si="118"/>
        <v>4.8003630458681577E-2</v>
      </c>
      <c r="L519" s="382">
        <f t="shared" ca="1" si="118"/>
        <v>5.0641571607747222E-3</v>
      </c>
      <c r="M519" s="382">
        <f t="shared" ca="1" si="119"/>
        <v>0.10067515890498481</v>
      </c>
      <c r="N519" s="382">
        <f t="shared" ca="1" si="118"/>
        <v>5.3959585189484894E-3</v>
      </c>
      <c r="O519" s="382"/>
      <c r="P519" s="382">
        <f t="shared" ca="1" si="120"/>
        <v>1.4644581475257724E-2</v>
      </c>
      <c r="Q519" s="588">
        <f t="shared" ca="1" si="120"/>
        <v>0.1898862791037334</v>
      </c>
    </row>
    <row r="520" spans="1:17">
      <c r="A520" s="230" t="s">
        <v>819</v>
      </c>
      <c r="B520" s="517">
        <f ca="1">$J$6*$K$17*($K$22*Mat_Sum!$D20+$K$23*Mat_Sum!$I20+$K$24*Mat_Sum!$L20+$K$25*Mat_Sum!$AG20+$K$26*Mat_Sum!$AH20+$K$27*Mat_Sum!$AK20+$K$28*Mat_Sum!$AS20+$K$29*Mat_Sum!$AM20+$K$30*Mat_Sum!$AT20+$K$31*Mat_Sum!$AR20+$K$32*Mat_Sum!$AV20)</f>
        <v>3172.6793150438057</v>
      </c>
      <c r="C520" s="419">
        <f ca="1">$J$6*$K$10*($K$35*Mat_Sum!$D20+$K$36*Mat_Sum!$E20+$K$37*Mat_Sum!$F20+$K$38*Mat_Sum!$I20+$K$39*Mat_Sum!$L20+$K$40*Mat_Sum!$AG20+$K$41*Mat_Sum!$AK20+$K$42*Mat_Sum!$AS20+$K$43*Mat_Sum!$AR20+$K$44*Mat_Sum!$AV20+$K$45*Mat_Sum!$AT20+$K$46*Mat_Sum!$BH20+$K$47*Mat_Sum!$BG20+$K$48*Mat_Sum!$BJ20+$K$49*Mat_Sum!$BI20+$K$50*Mat_Sum!$AW20+$K$51*Mat_Sum!$CF20+$K$52*Mat_Sum!$U20+$K$53*Mat_Sum!$CN20)</f>
        <v>531.72218956423819</v>
      </c>
      <c r="D520" s="419">
        <f ca="1">$J$6*$K$11*($K$56*Mat_Sum!$D20+$K$57*Mat_Sum!$AG20+$K$58*Mat_Sum!$F20+$K$59*Mat_Sum!$AK20+$K$60*Mat_Sum!$I20+$K$61*Mat_Sum!$L20+$K$62*Mat_Sum!$AT20+$K$63*Mat_Sum!$AR20+$K$64*Mat_Sum!$AV20)</f>
        <v>236.12666626170667</v>
      </c>
      <c r="E520" s="419">
        <f ca="1">$J$6*$K$12*($K$67*Mat_Sum!$D20+$K$68*Mat_Sum!$F20+$K$69*Mat_Sum!$I20+$K$70*Mat_Sum!$L20+$K$71*Mat_Sum!$AG20+$K$72*Mat_Sum!$AH20+$K$73*Mat_Sum!$AK20+$K$74*Mat_Sum!$AS20+$K$75*Mat_Sum!$AR20+$K$76*Mat_Sum!$AV20)+$A$136*(K$140*4)*($A$144*Mat_Sum!$AV20+$B$144*Mat_Sum!$D20)</f>
        <v>1275.7206852760698</v>
      </c>
      <c r="F520" s="419">
        <f ca="1">$J$6*$K$13*($K$79*Mat_Sum!$D20+$K$80*Mat_Sum!$E20+$K$81*Mat_Sum!$L20+$K$82*Mat_Sum!$AG20)</f>
        <v>182.245679274629</v>
      </c>
      <c r="G520" s="419"/>
      <c r="H520" s="419">
        <f ca="1">$J$6*$K$15*($K$90*Mat_Sum!$D20+$K$91*Mat_Sum!$L20+$K$92*Mat_Sum!$AG20+$K$93*Mat_Sum!$AV20+$K$94*Mat_Sum!$AR20)</f>
        <v>188.63158162680011</v>
      </c>
      <c r="I520" s="516">
        <f ca="1">$J$6*$K$16*($K$97*Mat_Sum!$D20+$K$99*Mat_Sum!$AU20+$K$101*Mat_Sum!$I20+$K$102*Mat_Sum!$AG20+$K$103*Mat_Sum!$AR20+$K$104*Mat_Sum!$AV20+$K$105*Mat_Sum!$U20+$K$98*Mat_Sum!$E20+$K$100*Mat_Sum!$AS20+$K$106*Mat_Sum!$CN20)</f>
        <v>1015.6004170062873</v>
      </c>
      <c r="J520" s="382">
        <f t="shared" ca="1" si="118"/>
        <v>0.480510482855942</v>
      </c>
      <c r="K520" s="382">
        <f t="shared" ca="1" si="118"/>
        <v>8.0530699980058684E-2</v>
      </c>
      <c r="L520" s="382">
        <f t="shared" ca="1" si="118"/>
        <v>3.5761993934457871E-2</v>
      </c>
      <c r="M520" s="382">
        <f t="shared" ca="1" si="119"/>
        <v>0.19321119520800159</v>
      </c>
      <c r="N520" s="382">
        <f t="shared" ca="1" si="118"/>
        <v>2.7601579186219145E-2</v>
      </c>
      <c r="O520" s="382"/>
      <c r="P520" s="382">
        <f t="shared" ca="1" si="120"/>
        <v>2.8568740603436085E-2</v>
      </c>
      <c r="Q520" s="588">
        <f t="shared" ca="1" si="120"/>
        <v>0.1538153082318845</v>
      </c>
    </row>
    <row r="521" spans="1:17">
      <c r="A521" s="571" t="s">
        <v>964</v>
      </c>
      <c r="B521" s="347"/>
      <c r="C521" s="349"/>
      <c r="D521" s="349"/>
      <c r="E521" s="349"/>
      <c r="F521" s="349"/>
      <c r="G521" s="349"/>
      <c r="H521" s="349"/>
      <c r="I521" s="348"/>
      <c r="J521" s="382"/>
      <c r="K521" s="382"/>
      <c r="L521" s="382"/>
      <c r="M521" s="382"/>
      <c r="N521" s="382"/>
      <c r="O521" s="382"/>
      <c r="P521" s="382"/>
      <c r="Q521" s="588"/>
    </row>
    <row r="522" spans="1:17">
      <c r="A522" s="230" t="s">
        <v>821</v>
      </c>
      <c r="B522" s="347">
        <f ca="1">$J$6*$K$17*($K$22*Mat_Sum!$D22+$K$23*Mat_Sum!$I22+$K$24*Mat_Sum!$L22+$K$25*Mat_Sum!$AG22+$K$26*Mat_Sum!$AH22+$K$27*Mat_Sum!$AK22+$K$28*Mat_Sum!$AS22+$K$29*Mat_Sum!$AM22+$K$30*Mat_Sum!$AT22+$K$31*Mat_Sum!$AR22+$K$32*Mat_Sum!$AV22)</f>
        <v>1312.9884196337507</v>
      </c>
      <c r="C522" s="349">
        <f ca="1">$J$6*$K$10*($K$35*Mat_Sum!$D22+$K$36*Mat_Sum!$E22+$K$37*Mat_Sum!$F22+$K$38*Mat_Sum!$I22+$K$39*Mat_Sum!$L22+$K$40*Mat_Sum!$AG22+$K$41*Mat_Sum!$AK22+$K$42*Mat_Sum!$AS22+$K$43*Mat_Sum!$AR22+$K$44*Mat_Sum!$AV22+$K$45*Mat_Sum!$AT22+$K$46*Mat_Sum!$BH22+$K$47*Mat_Sum!$BG22+$K$48*Mat_Sum!$BJ22+$K$49*Mat_Sum!$BI22+$K$50*Mat_Sum!$AW22+$K$51*Mat_Sum!$CF22+$K$52*Mat_Sum!$U22+$K$53*Mat_Sum!$CN22)</f>
        <v>172.11028381778215</v>
      </c>
      <c r="D522" s="349">
        <f ca="1">$J$6*$K$11*($K$56*Mat_Sum!$D22+$K$57*Mat_Sum!$AG22+$K$58*Mat_Sum!$F22+$K$59*Mat_Sum!$AK22+$K$60*Mat_Sum!$I22+$K$61*Mat_Sum!$L22+$K$62*Mat_Sum!$AT22+$K$63*Mat_Sum!$AR22+$K$64*Mat_Sum!$AV22)</f>
        <v>75.556408392079092</v>
      </c>
      <c r="E522" s="349">
        <f ca="1">$J$6*$K$12*($K$67*Mat_Sum!$D22+$K$68*Mat_Sum!$F22+$K$69*Mat_Sum!$I22+$K$70*Mat_Sum!$L22+$K$71*Mat_Sum!$AG22+$K$72*Mat_Sum!$AH22+$K$73*Mat_Sum!$AK22+$K$74*Mat_Sum!$AS22+$K$75*Mat_Sum!$AR22+$K$76*Mat_Sum!$AV22)+$A$136*(K$140*4)*($A$144*Mat_Sum!$AV22+$B$144*Mat_Sum!$D22)</f>
        <v>1147.200278477048</v>
      </c>
      <c r="F522" s="349">
        <f ca="1">$J$6*$K$13*($K$79*Mat_Sum!$D22+$K$80*Mat_Sum!$E22+$K$81*Mat_Sum!$L22+$K$82*Mat_Sum!$AG22)</f>
        <v>67.385789232000334</v>
      </c>
      <c r="G522" s="349"/>
      <c r="H522" s="349">
        <f ca="1">$J$6*$K$15*($K$90*Mat_Sum!$D22+$K$91*Mat_Sum!$L22+$K$92*Mat_Sum!$AG22+$K$93*Mat_Sum!$AV22+$K$94*Mat_Sum!$AR22)</f>
        <v>43.105333218327061</v>
      </c>
      <c r="I522" s="348">
        <f ca="1">$J$6*$K$16*($K$97*Mat_Sum!$D22+$K$99*Mat_Sum!$AU22+$K$101*Mat_Sum!$I22+$K$102*Mat_Sum!$AG22+$K$103*Mat_Sum!$AR22+$K$104*Mat_Sum!$AV22+$K$105*Mat_Sum!$U22+$K$98*Mat_Sum!$E22+$K$100*Mat_Sum!$AS22+$K$106*Mat_Sum!$CN22)</f>
        <v>428.91915974665898</v>
      </c>
      <c r="J522" s="382">
        <f t="shared" ref="J522:J534" ca="1" si="121">B522/$K181</f>
        <v>0.40433661795703157</v>
      </c>
      <c r="K522" s="382">
        <f t="shared" ref="K522:K534" ca="1" si="122">C522/$K181</f>
        <v>5.3001602324808508E-2</v>
      </c>
      <c r="L522" s="382">
        <f t="shared" ref="L522:L534" ca="1" si="123">D522/$K181</f>
        <v>2.3267701510082867E-2</v>
      </c>
      <c r="M522" s="382">
        <f t="shared" ref="M522:M534" ca="1" si="124">E522/$K181</f>
        <v>0.35328192829618682</v>
      </c>
      <c r="N522" s="382">
        <f t="shared" ref="N522:N534" ca="1" si="125">F522/$K181</f>
        <v>2.0751547926091084E-2</v>
      </c>
      <c r="O522" s="382"/>
      <c r="P522" s="382">
        <f t="shared" ref="P522:P534" ca="1" si="126">H522/$K181</f>
        <v>1.3274347578991574E-2</v>
      </c>
      <c r="Q522" s="588">
        <f t="shared" ref="Q522:Q534" ca="1" si="127">I522/$K181</f>
        <v>0.1320862544068076</v>
      </c>
    </row>
    <row r="523" spans="1:17">
      <c r="A523" s="230" t="s">
        <v>822</v>
      </c>
      <c r="B523" s="347">
        <f ca="1">$J$6*$K$17*($K$22*Mat_Sum!$D23+$K$23*Mat_Sum!$I23+$K$24*Mat_Sum!$L23+$K$25*Mat_Sum!$AG23+$K$26*Mat_Sum!$AH23+$K$27*Mat_Sum!$AK23+$K$28*Mat_Sum!$AS23+$K$29*Mat_Sum!$AM23+$K$30*Mat_Sum!$AT23+$K$31*Mat_Sum!$AR23+$K$32*Mat_Sum!$AV23)</f>
        <v>4230.6810794040075</v>
      </c>
      <c r="C523" s="349">
        <f ca="1">$J$6*$K$10*($K$35*Mat_Sum!$D23+$K$36*Mat_Sum!$E23+$K$37*Mat_Sum!$F23+$K$38*Mat_Sum!$I23+$K$39*Mat_Sum!$L23+$K$40*Mat_Sum!$AG23+$K$41*Mat_Sum!$AK23+$K$42*Mat_Sum!$AS23+$K$43*Mat_Sum!$AR23+$K$44*Mat_Sum!$AV23+$K$45*Mat_Sum!$AT23+$K$46*Mat_Sum!$BH23+$K$47*Mat_Sum!$BG23+$K$48*Mat_Sum!$BJ23+$K$49*Mat_Sum!$BI23+$K$50*Mat_Sum!$AW23+$K$51*Mat_Sum!$CF23+$K$52*Mat_Sum!$U23+$K$53*Mat_Sum!$CN23)</f>
        <v>678.94743925418811</v>
      </c>
      <c r="D523" s="349">
        <f ca="1">$J$6*$K$11*($K$56*Mat_Sum!$D23+$K$57*Mat_Sum!$AG23+$K$58*Mat_Sum!$F23+$K$59*Mat_Sum!$AK23+$K$60*Mat_Sum!$I23+$K$61*Mat_Sum!$L23+$K$62*Mat_Sum!$AT23+$K$63*Mat_Sum!$AR23+$K$64*Mat_Sum!$AV23)</f>
        <v>495.77930451506262</v>
      </c>
      <c r="E523" s="349">
        <f ca="1">$J$6*$K$12*($K$67*Mat_Sum!$D23+$K$68*Mat_Sum!$F23+$K$69*Mat_Sum!$I23+$K$70*Mat_Sum!$L23+$K$71*Mat_Sum!$AG23+$K$72*Mat_Sum!$AH23+$K$73*Mat_Sum!$AK23+$K$74*Mat_Sum!$AS23+$K$75*Mat_Sum!$AR23+$K$76*Mat_Sum!$AV23)+$A$136*(K$140*4)*($A$144*Mat_Sum!$AV23+$B$144*Mat_Sum!$D23)</f>
        <v>3451.5692557472894</v>
      </c>
      <c r="F523" s="349">
        <f ca="1">$J$6*$K$13*($K$79*Mat_Sum!$D23+$K$80*Mat_Sum!$E23+$K$81*Mat_Sum!$L23+$K$82*Mat_Sum!$AG23)</f>
        <v>441.59548302492385</v>
      </c>
      <c r="G523" s="349"/>
      <c r="H523" s="349">
        <f ca="1">$J$6*$K$15*($K$90*Mat_Sum!$D23+$K$91*Mat_Sum!$L23+$K$92*Mat_Sum!$AG23+$K$93*Mat_Sum!$AV23+$K$94*Mat_Sum!$AR23)</f>
        <v>166.40367102775645</v>
      </c>
      <c r="I523" s="348">
        <f ca="1">$J$6*$K$16*($K$97*Mat_Sum!$D23+$K$99*Mat_Sum!$AU23+$K$101*Mat_Sum!$I23+$K$102*Mat_Sum!$AG23+$K$103*Mat_Sum!$AR23+$K$104*Mat_Sum!$AV23+$K$105*Mat_Sum!$U23+$K$98*Mat_Sum!$E23+$K$100*Mat_Sum!$AS23+$K$106*Mat_Sum!$CN23)</f>
        <v>946.9876178179461</v>
      </c>
      <c r="J523" s="382">
        <f t="shared" ca="1" si="121"/>
        <v>0.40632882903089718</v>
      </c>
      <c r="K523" s="382">
        <f t="shared" ca="1" si="122"/>
        <v>6.5208393823091987E-2</v>
      </c>
      <c r="L523" s="382">
        <f t="shared" ca="1" si="123"/>
        <v>4.7616310584615594E-2</v>
      </c>
      <c r="M523" s="382">
        <f t="shared" ca="1" si="124"/>
        <v>0.33150031110461603</v>
      </c>
      <c r="N523" s="382">
        <f t="shared" ca="1" si="125"/>
        <v>4.241231427166052E-2</v>
      </c>
      <c r="O523" s="382"/>
      <c r="P523" s="382">
        <f t="shared" ca="1" si="126"/>
        <v>1.5981967802847486E-2</v>
      </c>
      <c r="Q523" s="588">
        <f t="shared" ca="1" si="127"/>
        <v>9.0951873382271453E-2</v>
      </c>
    </row>
    <row r="524" spans="1:17">
      <c r="A524" s="230" t="s">
        <v>823</v>
      </c>
      <c r="B524" s="347">
        <f ca="1">$J$6*$K$17*($K$22*Mat_Sum!$D24+$K$23*Mat_Sum!$I24+$K$24*Mat_Sum!$L24+$K$25*Mat_Sum!$AG24+$K$26*Mat_Sum!$AH24+$K$27*Mat_Sum!$AK24+$K$28*Mat_Sum!$AS24+$K$29*Mat_Sum!$AM24+$K$30*Mat_Sum!$AT24+$K$31*Mat_Sum!$AR24+$K$32*Mat_Sum!$AV24)</f>
        <v>4046.4457273033058</v>
      </c>
      <c r="C524" s="349">
        <f ca="1">$J$6*$K$10*($K$35*Mat_Sum!$D24+$K$36*Mat_Sum!$E24+$K$37*Mat_Sum!$F24+$K$38*Mat_Sum!$I24+$K$39*Mat_Sum!$L24+$K$40*Mat_Sum!$AG24+$K$41*Mat_Sum!$AK24+$K$42*Mat_Sum!$AS24+$K$43*Mat_Sum!$AR24+$K$44*Mat_Sum!$AV24+$K$45*Mat_Sum!$AT24+$K$46*Mat_Sum!$BH24+$K$47*Mat_Sum!$BG24+$K$48*Mat_Sum!$BJ24+$K$49*Mat_Sum!$BI24+$K$50*Mat_Sum!$AW24+$K$51*Mat_Sum!$CF24+$K$52*Mat_Sum!$U24+$K$53*Mat_Sum!$CN24)</f>
        <v>346.31286849475322</v>
      </c>
      <c r="D524" s="349">
        <f ca="1">$J$6*$K$11*($K$56*Mat_Sum!$D24+$K$57*Mat_Sum!$AG24+$K$58*Mat_Sum!$F24+$K$59*Mat_Sum!$AK24+$K$60*Mat_Sum!$I24+$K$61*Mat_Sum!$L24+$K$62*Mat_Sum!$AT24+$K$63*Mat_Sum!$AR24+$K$64*Mat_Sum!$AV24)</f>
        <v>121.09105794595332</v>
      </c>
      <c r="E524" s="349">
        <f ca="1">$J$6*$K$12*($K$67*Mat_Sum!$D24+$K$68*Mat_Sum!$F24+$K$69*Mat_Sum!$I24+$K$70*Mat_Sum!$L24+$K$71*Mat_Sum!$AG24+$K$72*Mat_Sum!$AH24+$K$73*Mat_Sum!$AK24+$K$74*Mat_Sum!$AS24+$K$75*Mat_Sum!$AR24+$K$76*Mat_Sum!$AV24)+$A$136*(K$140*4)*($A$144*Mat_Sum!$AV24+$B$144*Mat_Sum!$D24)</f>
        <v>1385.1680413907459</v>
      </c>
      <c r="F524" s="349">
        <f ca="1">$J$6*$K$13*($K$79*Mat_Sum!$D24+$K$80*Mat_Sum!$E24+$K$81*Mat_Sum!$L24+$K$82*Mat_Sum!$AG24)</f>
        <v>140.91868858061858</v>
      </c>
      <c r="G524" s="349"/>
      <c r="H524" s="349">
        <f ca="1">$J$6*$K$15*($K$90*Mat_Sum!$D24+$K$91*Mat_Sum!$L24+$K$92*Mat_Sum!$AG24+$K$93*Mat_Sum!$AV24+$K$94*Mat_Sum!$AR24)</f>
        <v>127.25368143961403</v>
      </c>
      <c r="I524" s="348">
        <f ca="1">$J$6*$K$16*($K$97*Mat_Sum!$D24+$K$99*Mat_Sum!$AU24+$K$101*Mat_Sum!$I24+$K$102*Mat_Sum!$AG24+$K$103*Mat_Sum!$AR24+$K$104*Mat_Sum!$AV24+$K$105*Mat_Sum!$U24+$K$98*Mat_Sum!$E24+$K$100*Mat_Sum!$AS24+$K$106*Mat_Sum!$CN24)</f>
        <v>1034.3936790195266</v>
      </c>
      <c r="J524" s="382">
        <f t="shared" ca="1" si="121"/>
        <v>0.56188275677229238</v>
      </c>
      <c r="K524" s="382">
        <f t="shared" ca="1" si="122"/>
        <v>4.8088431766816771E-2</v>
      </c>
      <c r="L524" s="382">
        <f t="shared" ca="1" si="123"/>
        <v>1.6814503899077186E-2</v>
      </c>
      <c r="M524" s="382">
        <f t="shared" ca="1" si="124"/>
        <v>0.19234214175614237</v>
      </c>
      <c r="N524" s="382">
        <f t="shared" ca="1" si="125"/>
        <v>1.9567735874016608E-2</v>
      </c>
      <c r="O524" s="382"/>
      <c r="P524" s="382">
        <f t="shared" ca="1" si="126"/>
        <v>1.7670235598183755E-2</v>
      </c>
      <c r="Q524" s="588">
        <f t="shared" ca="1" si="127"/>
        <v>0.14363419433347074</v>
      </c>
    </row>
    <row r="525" spans="1:17">
      <c r="A525" s="230" t="s">
        <v>824</v>
      </c>
      <c r="B525" s="347">
        <f ca="1">$J$6*$K$17*($K$22*Mat_Sum!$D25+$K$23*Mat_Sum!$I25+$K$24*Mat_Sum!$L25+$K$25*Mat_Sum!$AG25+$K$26*Mat_Sum!$AH25+$K$27*Mat_Sum!$AK25+$K$28*Mat_Sum!$AS25+$K$29*Mat_Sum!$AM25+$K$30*Mat_Sum!$AT25+$K$31*Mat_Sum!$AR25+$K$32*Mat_Sum!$AV25)</f>
        <v>2141.653351448977</v>
      </c>
      <c r="C525" s="349">
        <f ca="1">$J$6*$K$10*($K$35*Mat_Sum!$D25+$K$36*Mat_Sum!$E25+$K$37*Mat_Sum!$F25+$K$38*Mat_Sum!$I25+$K$39*Mat_Sum!$L25+$K$40*Mat_Sum!$AG25+$K$41*Mat_Sum!$AK25+$K$42*Mat_Sum!$AS25+$K$43*Mat_Sum!$AR25+$K$44*Mat_Sum!$AV25+$K$45*Mat_Sum!$AT25+$K$46*Mat_Sum!$BH25+$K$47*Mat_Sum!$BG25+$K$48*Mat_Sum!$BJ25+$K$49*Mat_Sum!$BI25+$K$50*Mat_Sum!$AW25+$K$51*Mat_Sum!$CF25+$K$52*Mat_Sum!$U25+$K$53*Mat_Sum!$CN25)</f>
        <v>158.76023974274986</v>
      </c>
      <c r="D525" s="349">
        <f ca="1">$J$6*$K$11*($K$56*Mat_Sum!$D25+$K$57*Mat_Sum!$AG25+$K$58*Mat_Sum!$F25+$K$59*Mat_Sum!$AK25+$K$60*Mat_Sum!$I25+$K$61*Mat_Sum!$L25+$K$62*Mat_Sum!$AT25+$K$63*Mat_Sum!$AR25+$K$64*Mat_Sum!$AV25)</f>
        <v>73.204231401109055</v>
      </c>
      <c r="E525" s="349">
        <f ca="1">$J$6*$K$12*($K$67*Mat_Sum!$D25+$K$68*Mat_Sum!$F25+$K$69*Mat_Sum!$I25+$K$70*Mat_Sum!$L25+$K$71*Mat_Sum!$AG25+$K$72*Mat_Sum!$AH25+$K$73*Mat_Sum!$AK25+$K$74*Mat_Sum!$AS25+$K$75*Mat_Sum!$AR25+$K$76*Mat_Sum!$AV25)+$A$136*(K$140*4)*($A$144*Mat_Sum!$AV25+$B$144*Mat_Sum!$D25)</f>
        <v>648.72250569436153</v>
      </c>
      <c r="F525" s="349">
        <f ca="1">$J$6*$K$13*($K$79*Mat_Sum!$D25+$K$80*Mat_Sum!$E25+$K$81*Mat_Sum!$L25+$K$82*Mat_Sum!$AG25)</f>
        <v>64.984145004831788</v>
      </c>
      <c r="G525" s="349"/>
      <c r="H525" s="349">
        <f ca="1">$J$6*$K$15*($K$90*Mat_Sum!$D25+$K$91*Mat_Sum!$L25+$K$92*Mat_Sum!$AG25+$K$93*Mat_Sum!$AV25+$K$94*Mat_Sum!$AR25)</f>
        <v>53.112825398862284</v>
      </c>
      <c r="I525" s="348">
        <f ca="1">$J$6*$K$16*($K$97*Mat_Sum!$D25+$K$99*Mat_Sum!$AU25+$K$101*Mat_Sum!$I25+$K$102*Mat_Sum!$AG25+$K$103*Mat_Sum!$AR25+$K$104*Mat_Sum!$AV25+$K$105*Mat_Sum!$U25+$K$98*Mat_Sum!$E25+$K$100*Mat_Sum!$AS25+$K$106*Mat_Sum!$CN25)</f>
        <v>304.19508048361627</v>
      </c>
      <c r="J525" s="382">
        <f t="shared" ca="1" si="121"/>
        <v>0.62173640484742099</v>
      </c>
      <c r="K525" s="382">
        <f t="shared" ca="1" si="122"/>
        <v>4.6089167802805156E-2</v>
      </c>
      <c r="L525" s="382">
        <f t="shared" ca="1" si="123"/>
        <v>2.1251681846714842E-2</v>
      </c>
      <c r="M525" s="382">
        <f t="shared" ca="1" si="124"/>
        <v>0.18832851645255252</v>
      </c>
      <c r="N525" s="382">
        <f t="shared" ca="1" si="125"/>
        <v>1.8865335354132904E-2</v>
      </c>
      <c r="O525" s="382"/>
      <c r="P525" s="382">
        <f t="shared" ca="1" si="126"/>
        <v>1.5419011247751946E-2</v>
      </c>
      <c r="Q525" s="588">
        <f t="shared" ca="1" si="127"/>
        <v>8.8309882448621521E-2</v>
      </c>
    </row>
    <row r="526" spans="1:17">
      <c r="A526" s="230" t="s">
        <v>825</v>
      </c>
      <c r="B526" s="347">
        <f ca="1">$J$6*$K$17*($K$22*Mat_Sum!$D26+$K$23*Mat_Sum!$I26+$K$24*Mat_Sum!$L26+$K$25*Mat_Sum!$AG26+$K$26*Mat_Sum!$AH26+$K$27*Mat_Sum!$AK26+$K$28*Mat_Sum!$AS26+$K$29*Mat_Sum!$AM26+$K$30*Mat_Sum!$AT26+$K$31*Mat_Sum!$AR26+$K$32*Mat_Sum!$AV26)</f>
        <v>542.53715354584574</v>
      </c>
      <c r="C526" s="349">
        <f ca="1">$J$6*$K$10*($K$35*Mat_Sum!$D26+$K$36*Mat_Sum!$E26+$K$37*Mat_Sum!$F26+$K$38*Mat_Sum!$I26+$K$39*Mat_Sum!$L26+$K$40*Mat_Sum!$AG26+$K$41*Mat_Sum!$AK26+$K$42*Mat_Sum!$AS26+$K$43*Mat_Sum!$AR26+$K$44*Mat_Sum!$AV26+$K$45*Mat_Sum!$AT26+$K$46*Mat_Sum!$BH26+$K$47*Mat_Sum!$BG26+$K$48*Mat_Sum!$BJ26+$K$49*Mat_Sum!$BI26+$K$50*Mat_Sum!$AW26+$K$51*Mat_Sum!$CF26+$K$52*Mat_Sum!$U26+$K$53*Mat_Sum!$CN26)</f>
        <v>75.822231376529345</v>
      </c>
      <c r="D526" s="349">
        <f ca="1">$J$6*$K$11*($K$56*Mat_Sum!$D26+$K$57*Mat_Sum!$AG26+$K$58*Mat_Sum!$F26+$K$59*Mat_Sum!$AK26+$K$60*Mat_Sum!$I26+$K$61*Mat_Sum!$L26+$K$62*Mat_Sum!$AT26+$K$63*Mat_Sum!$AR26+$K$64*Mat_Sum!$AV26)</f>
        <v>36.491674430560415</v>
      </c>
      <c r="E526" s="349">
        <f ca="1">$J$6*$K$12*($K$67*Mat_Sum!$D26+$K$68*Mat_Sum!$F26+$K$69*Mat_Sum!$I26+$K$70*Mat_Sum!$L26+$K$71*Mat_Sum!$AG26+$K$72*Mat_Sum!$AH26+$K$73*Mat_Sum!$AK26+$K$74*Mat_Sum!$AS26+$K$75*Mat_Sum!$AR26+$K$76*Mat_Sum!$AV26)+$A$136*(K$140*4)*($A$144*Mat_Sum!$AV26+$B$144*Mat_Sum!$D26)</f>
        <v>293.47374441297166</v>
      </c>
      <c r="F526" s="349">
        <f ca="1">$J$6*$K$13*($K$79*Mat_Sum!$D26+$K$80*Mat_Sum!$E26+$K$81*Mat_Sum!$L26+$K$82*Mat_Sum!$AG26)</f>
        <v>33.128432700388757</v>
      </c>
      <c r="G526" s="349"/>
      <c r="H526" s="349">
        <f ca="1">$J$6*$K$15*($K$90*Mat_Sum!$D26+$K$91*Mat_Sum!$L26+$K$92*Mat_Sum!$AG26+$K$93*Mat_Sum!$AV26+$K$94*Mat_Sum!$AR26)</f>
        <v>24.225632154069334</v>
      </c>
      <c r="I526" s="348">
        <f ca="1">$J$6*$K$16*($K$97*Mat_Sum!$D26+$K$99*Mat_Sum!$AU26+$K$101*Mat_Sum!$I26+$K$102*Mat_Sum!$AG26+$K$103*Mat_Sum!$AR26+$K$104*Mat_Sum!$AV26+$K$105*Mat_Sum!$U26+$K$98*Mat_Sum!$E26+$K$100*Mat_Sum!$AS26+$K$106*Mat_Sum!$CN26)</f>
        <v>104.65660173020736</v>
      </c>
      <c r="J526" s="382">
        <f t="shared" ca="1" si="121"/>
        <v>0.48862453558702179</v>
      </c>
      <c r="K526" s="382">
        <f t="shared" ca="1" si="122"/>
        <v>6.8287678274917746E-2</v>
      </c>
      <c r="L526" s="382">
        <f t="shared" ca="1" si="123"/>
        <v>3.286544959158938E-2</v>
      </c>
      <c r="M526" s="382">
        <f t="shared" ca="1" si="124"/>
        <v>0.26431087923392343</v>
      </c>
      <c r="N526" s="382">
        <f t="shared" ca="1" si="125"/>
        <v>2.9836417537781566E-2</v>
      </c>
      <c r="O526" s="382"/>
      <c r="P526" s="382">
        <f t="shared" ca="1" si="126"/>
        <v>2.1818299785037441E-2</v>
      </c>
      <c r="Q526" s="588">
        <f t="shared" ca="1" si="127"/>
        <v>9.4256739989729013E-2</v>
      </c>
    </row>
    <row r="527" spans="1:17">
      <c r="A527" s="230" t="s">
        <v>826</v>
      </c>
      <c r="B527" s="347">
        <f ca="1">$J$6*$K$17*($K$22*Mat_Sum!$D27+$K$23*Mat_Sum!$I27+$K$24*Mat_Sum!$L27+$K$25*Mat_Sum!$AG27+$K$26*Mat_Sum!$AH27+$K$27*Mat_Sum!$AK27+$K$28*Mat_Sum!$AS27+$K$29*Mat_Sum!$AM27+$K$30*Mat_Sum!$AT27+$K$31*Mat_Sum!$AR27+$K$32*Mat_Sum!$AV27)</f>
        <v>7779.5957301445469</v>
      </c>
      <c r="C527" s="349">
        <f ca="1">$J$6*$K$10*($K$35*Mat_Sum!$D27+$K$36*Mat_Sum!$E27+$K$37*Mat_Sum!$F27+$K$38*Mat_Sum!$I27+$K$39*Mat_Sum!$L27+$K$40*Mat_Sum!$AG27+$K$41*Mat_Sum!$AK27+$K$42*Mat_Sum!$AS27+$K$43*Mat_Sum!$AR27+$K$44*Mat_Sum!$AV27+$K$45*Mat_Sum!$AT27+$K$46*Mat_Sum!$BH27+$K$47*Mat_Sum!$BG27+$K$48*Mat_Sum!$BJ27+$K$49*Mat_Sum!$BI27+$K$50*Mat_Sum!$AW27+$K$51*Mat_Sum!$CF27+$K$52*Mat_Sum!$U27+$K$53*Mat_Sum!$CN27)</f>
        <v>970.5808099200475</v>
      </c>
      <c r="D527" s="349">
        <f ca="1">$J$6*$K$11*($K$56*Mat_Sum!$D27+$K$57*Mat_Sum!$AG27+$K$58*Mat_Sum!$F27+$K$59*Mat_Sum!$AK27+$K$60*Mat_Sum!$I27+$K$61*Mat_Sum!$L27+$K$62*Mat_Sum!$AT27+$K$63*Mat_Sum!$AR27+$K$64*Mat_Sum!$AV27)</f>
        <v>1464.238789166023</v>
      </c>
      <c r="E527" s="349">
        <f ca="1">$J$6*$K$12*($K$67*Mat_Sum!$D27+$K$68*Mat_Sum!$F27+$K$69*Mat_Sum!$I27+$K$70*Mat_Sum!$L27+$K$71*Mat_Sum!$AG27+$K$72*Mat_Sum!$AH27+$K$73*Mat_Sum!$AK27+$K$74*Mat_Sum!$AS27+$K$75*Mat_Sum!$AR27+$K$76*Mat_Sum!$AV27)+$A$136*(K$140*4)*($A$144*Mat_Sum!$AV27+$B$144*Mat_Sum!$D27)</f>
        <v>3630.8091738226158</v>
      </c>
      <c r="F527" s="349">
        <f ca="1">$J$6*$K$13*($K$79*Mat_Sum!$D27+$K$80*Mat_Sum!$E27+$K$81*Mat_Sum!$L27+$K$82*Mat_Sum!$AG27)</f>
        <v>2505.5570113597992</v>
      </c>
      <c r="G527" s="349"/>
      <c r="H527" s="349">
        <f ca="1">$J$6*$K$15*($K$90*Mat_Sum!$D27+$K$91*Mat_Sum!$L27+$K$92*Mat_Sum!$AG27+$K$93*Mat_Sum!$AV27+$K$94*Mat_Sum!$AR27)</f>
        <v>887.62634008152475</v>
      </c>
      <c r="I527" s="348">
        <f ca="1">$J$6*$K$16*($K$97*Mat_Sum!$D27+$K$99*Mat_Sum!$AU27+$K$101*Mat_Sum!$I27+$K$102*Mat_Sum!$AG27+$K$103*Mat_Sum!$AR27+$K$104*Mat_Sum!$AV27+$K$105*Mat_Sum!$U27+$K$98*Mat_Sum!$E27+$K$100*Mat_Sum!$AS27+$K$106*Mat_Sum!$CN27)</f>
        <v>801.02257770184326</v>
      </c>
      <c r="J527" s="382">
        <f t="shared" ca="1" si="121"/>
        <v>0.43125506425411786</v>
      </c>
      <c r="K527" s="382">
        <f t="shared" ca="1" si="122"/>
        <v>5.3803295706486121E-2</v>
      </c>
      <c r="L527" s="382">
        <f t="shared" ca="1" si="123"/>
        <v>8.1168792699390355E-2</v>
      </c>
      <c r="M527" s="382">
        <f t="shared" ca="1" si="124"/>
        <v>0.20127072123864972</v>
      </c>
      <c r="N527" s="382">
        <f t="shared" ca="1" si="125"/>
        <v>0.13889335479727416</v>
      </c>
      <c r="O527" s="382"/>
      <c r="P527" s="382">
        <f t="shared" ca="1" si="126"/>
        <v>4.9204787447019824E-2</v>
      </c>
      <c r="Q527" s="588">
        <f t="shared" ca="1" si="127"/>
        <v>4.4403983857062082E-2</v>
      </c>
    </row>
    <row r="528" spans="1:17">
      <c r="A528" s="661" t="s">
        <v>827</v>
      </c>
      <c r="B528" s="347">
        <f ca="1">$J$6*$K$17*($K$22*Mat_Sum!$D28+$K$23*Mat_Sum!$I28+$K$24*Mat_Sum!$L28+$K$25*Mat_Sum!$AG28+$K$26*Mat_Sum!$AH28+$K$27*Mat_Sum!$AK28+$K$28*Mat_Sum!$AS28+$K$29*Mat_Sum!$AM28+$K$30*Mat_Sum!$AT28+$K$31*Mat_Sum!$AR28+$K$32*Mat_Sum!$AV28)</f>
        <v>27.79683325182851</v>
      </c>
      <c r="C528" s="349">
        <f ca="1">$J$6*$K$10*($K$35*Mat_Sum!$D28+$K$36*Mat_Sum!$E28+$K$37*Mat_Sum!$F28+$K$38*Mat_Sum!$I28+$K$39*Mat_Sum!$L28+$K$40*Mat_Sum!$AG28+$K$41*Mat_Sum!$AK28+$K$42*Mat_Sum!$AS28+$K$43*Mat_Sum!$AR28+$K$44*Mat_Sum!$AV28+$K$45*Mat_Sum!$AT28+$K$46*Mat_Sum!$BH28+$K$47*Mat_Sum!$BG28+$K$48*Mat_Sum!$BJ28+$K$49*Mat_Sum!$BI28+$K$50*Mat_Sum!$AW28+$K$51*Mat_Sum!$CF28+$K$52*Mat_Sum!$U28+$K$53*Mat_Sum!$CN28)</f>
        <v>2.3039770072703014</v>
      </c>
      <c r="D528" s="349">
        <f ca="1">$J$6*$K$11*($K$56*Mat_Sum!$D28+$K$57*Mat_Sum!$AG28+$K$58*Mat_Sum!$F28+$K$59*Mat_Sum!$AK28+$K$60*Mat_Sum!$I28+$K$61*Mat_Sum!$L28+$K$62*Mat_Sum!$AT28+$K$63*Mat_Sum!$AR28+$K$64*Mat_Sum!$AV28)</f>
        <v>0.83562702043648307</v>
      </c>
      <c r="E528" s="349">
        <f ca="1">$J$6*$K$12*($K$67*Mat_Sum!$D28+$K$68*Mat_Sum!$F28+$K$69*Mat_Sum!$I28+$K$70*Mat_Sum!$L28+$K$71*Mat_Sum!$AG28+$K$72*Mat_Sum!$AH28+$K$73*Mat_Sum!$AK28+$K$74*Mat_Sum!$AS28+$K$75*Mat_Sum!$AR28+$K$76*Mat_Sum!$AV28)+$A$136*(K$140*4)*($A$144*Mat_Sum!$AV28+$B$144*Mat_Sum!$D28)</f>
        <v>8.8746569066553302</v>
      </c>
      <c r="F528" s="349">
        <f ca="1">$J$6*$K$13*($K$79*Mat_Sum!$D28+$K$80*Mat_Sum!$E28+$K$81*Mat_Sum!$L28+$K$82*Mat_Sum!$AG28)</f>
        <v>1.2270062968063873</v>
      </c>
      <c r="G528" s="349"/>
      <c r="H528" s="349">
        <f ca="1">$J$6*$K$15*($K$90*Mat_Sum!$D28+$K$91*Mat_Sum!$L28+$K$92*Mat_Sum!$AG28+$K$93*Mat_Sum!$AV28+$K$94*Mat_Sum!$AR28)</f>
        <v>1.0158401579962577</v>
      </c>
      <c r="I528" s="348">
        <f ca="1">$J$6*$K$16*($K$97*Mat_Sum!$D28+$K$99*Mat_Sum!$AU28+$K$101*Mat_Sum!$I28+$K$102*Mat_Sum!$AG28+$K$103*Mat_Sum!$AR28+$K$104*Mat_Sum!$AV28+$K$105*Mat_Sum!$U28+$K$98*Mat_Sum!$E28+$K$100*Mat_Sum!$AS28+$K$106*Mat_Sum!$CN28)</f>
        <v>6.9287016840811573</v>
      </c>
      <c r="J528" s="382">
        <f t="shared" ca="1" si="121"/>
        <v>0.56748333557332808</v>
      </c>
      <c r="K528" s="382">
        <f t="shared" ca="1" si="122"/>
        <v>4.7036601087787497E-2</v>
      </c>
      <c r="L528" s="382">
        <f t="shared" ca="1" si="123"/>
        <v>1.7059655844836326E-2</v>
      </c>
      <c r="M528" s="382">
        <f t="shared" ca="1" si="124"/>
        <v>0.18117962783139518</v>
      </c>
      <c r="N528" s="382">
        <f t="shared" ca="1" si="125"/>
        <v>2.5049818436974715E-2</v>
      </c>
      <c r="O528" s="382"/>
      <c r="P528" s="382">
        <f t="shared" ca="1" si="126"/>
        <v>2.0738778264647532E-2</v>
      </c>
      <c r="Q528" s="588">
        <f t="shared" ca="1" si="127"/>
        <v>0.14145218296103076</v>
      </c>
    </row>
    <row r="529" spans="1:17">
      <c r="A529" s="661" t="s">
        <v>828</v>
      </c>
      <c r="B529" s="347">
        <f ca="1">$J$6*$K$17*($K$22*Mat_Sum!$D29+$K$23*Mat_Sum!$I29+$K$24*Mat_Sum!$L29+$K$25*Mat_Sum!$AG29+$K$26*Mat_Sum!$AH29+$K$27*Mat_Sum!$AK29+$K$28*Mat_Sum!$AS29+$K$29*Mat_Sum!$AM29+$K$30*Mat_Sum!$AT29+$K$31*Mat_Sum!$AR29+$K$32*Mat_Sum!$AV29)</f>
        <v>68.378886005977662</v>
      </c>
      <c r="C529" s="349">
        <f ca="1">$J$6*$K$10*($K$35*Mat_Sum!$D29+$K$36*Mat_Sum!$E29+$K$37*Mat_Sum!$F29+$K$38*Mat_Sum!$I29+$K$39*Mat_Sum!$L29+$K$40*Mat_Sum!$AG29+$K$41*Mat_Sum!$AK29+$K$42*Mat_Sum!$AS29+$K$43*Mat_Sum!$AR29+$K$44*Mat_Sum!$AV29+$K$45*Mat_Sum!$AT29+$K$46*Mat_Sum!$BH29+$K$47*Mat_Sum!$BG29+$K$48*Mat_Sum!$BJ29+$K$49*Mat_Sum!$BI29+$K$50*Mat_Sum!$AW29+$K$51*Mat_Sum!$CF29+$K$52*Mat_Sum!$U29+$K$53*Mat_Sum!$CN29)</f>
        <v>5.6785767280670543</v>
      </c>
      <c r="D529" s="349">
        <f ca="1">$J$6*$K$11*($K$56*Mat_Sum!$D29+$K$57*Mat_Sum!$AG29+$K$58*Mat_Sum!$F29+$K$59*Mat_Sum!$AK29+$K$60*Mat_Sum!$I29+$K$61*Mat_Sum!$L29+$K$62*Mat_Sum!$AT29+$K$63*Mat_Sum!$AR29+$K$64*Mat_Sum!$AV29)</f>
        <v>1.5627436655522009</v>
      </c>
      <c r="E529" s="349">
        <f ca="1">$J$6*$K$12*($K$67*Mat_Sum!$D29+$K$68*Mat_Sum!$F29+$K$69*Mat_Sum!$I29+$K$70*Mat_Sum!$L29+$K$71*Mat_Sum!$AG29+$K$72*Mat_Sum!$AH29+$K$73*Mat_Sum!$AK29+$K$74*Mat_Sum!$AS29+$K$75*Mat_Sum!$AR29+$K$76*Mat_Sum!$AV29)+$A$136*(K$140*4)*($A$144*Mat_Sum!$AV29+$B$144*Mat_Sum!$D29)</f>
        <v>18.679528327315111</v>
      </c>
      <c r="F529" s="349">
        <f ca="1">$J$6*$K$13*($K$79*Mat_Sum!$D29+$K$80*Mat_Sum!$E29+$K$81*Mat_Sum!$L29+$K$82*Mat_Sum!$AG29)</f>
        <v>2.0768847361186942</v>
      </c>
      <c r="G529" s="349"/>
      <c r="H529" s="349">
        <f ca="1">$J$6*$K$15*($K$90*Mat_Sum!$D29+$K$91*Mat_Sum!$L29+$K$92*Mat_Sum!$AG29+$K$93*Mat_Sum!$AV29+$K$94*Mat_Sum!$AR29)</f>
        <v>2.0029757204083767</v>
      </c>
      <c r="I529" s="348">
        <f ca="1">$J$6*$K$16*($K$97*Mat_Sum!$D29+$K$99*Mat_Sum!$AU29+$K$101*Mat_Sum!$I29+$K$102*Mat_Sum!$AG29+$K$103*Mat_Sum!$AR29+$K$104*Mat_Sum!$AV29+$K$105*Mat_Sum!$U29+$K$98*Mat_Sum!$E29+$K$100*Mat_Sum!$AS29+$K$106*Mat_Sum!$CN29)</f>
        <v>21.253855154272141</v>
      </c>
      <c r="J529" s="382">
        <f t="shared" ca="1" si="121"/>
        <v>0.57156995650423903</v>
      </c>
      <c r="K529" s="382">
        <f t="shared" ca="1" si="122"/>
        <v>4.7466462866673956E-2</v>
      </c>
      <c r="L529" s="382">
        <f t="shared" ca="1" si="123"/>
        <v>1.3062765147546595E-2</v>
      </c>
      <c r="M529" s="382">
        <f t="shared" ca="1" si="124"/>
        <v>0.15613967727742523</v>
      </c>
      <c r="N529" s="382">
        <f t="shared" ca="1" si="125"/>
        <v>1.7360401545352837E-2</v>
      </c>
      <c r="O529" s="382"/>
      <c r="P529" s="382">
        <f t="shared" ca="1" si="126"/>
        <v>1.6742605974785565E-2</v>
      </c>
      <c r="Q529" s="588">
        <f t="shared" ca="1" si="127"/>
        <v>0.17765813068397671</v>
      </c>
    </row>
    <row r="530" spans="1:17">
      <c r="A530" s="230" t="s">
        <v>829</v>
      </c>
      <c r="B530" s="347">
        <f ca="1">$J$6*$K$17*($K$22*Mat_Sum!$D30+$K$23*Mat_Sum!$I30+$K$24*Mat_Sum!$L30+$K$25*Mat_Sum!$AG30+$K$26*Mat_Sum!$AH30+$K$27*Mat_Sum!$AK30+$K$28*Mat_Sum!$AS30+$K$29*Mat_Sum!$AM30+$K$30*Mat_Sum!$AT30+$K$31*Mat_Sum!$AR30+$K$32*Mat_Sum!$AV30)</f>
        <v>12924.037726806617</v>
      </c>
      <c r="C530" s="349">
        <f ca="1">$J$6*$K$10*($K$35*Mat_Sum!$D30+$K$36*Mat_Sum!$E30+$K$37*Mat_Sum!$F30+$K$38*Mat_Sum!$I30+$K$39*Mat_Sum!$L30+$K$40*Mat_Sum!$AG30+$K$41*Mat_Sum!$AK30+$K$42*Mat_Sum!$AS30+$K$43*Mat_Sum!$AR30+$K$44*Mat_Sum!$AV30+$K$45*Mat_Sum!$AT30+$K$46*Mat_Sum!$BH30+$K$47*Mat_Sum!$BG30+$K$48*Mat_Sum!$BJ30+$K$49*Mat_Sum!$BI30+$K$50*Mat_Sum!$AW30+$K$51*Mat_Sum!$CF30+$K$52*Mat_Sum!$U30+$K$53*Mat_Sum!$CN30)</f>
        <v>1024.0775637407778</v>
      </c>
      <c r="D530" s="349">
        <f ca="1">$J$6*$K$11*($K$56*Mat_Sum!$D30+$K$57*Mat_Sum!$AG30+$K$58*Mat_Sum!$F30+$K$59*Mat_Sum!$AK30+$K$60*Mat_Sum!$I30+$K$61*Mat_Sum!$L30+$K$62*Mat_Sum!$AT30+$K$63*Mat_Sum!$AR30+$K$64*Mat_Sum!$AV30)</f>
        <v>239.28884409159232</v>
      </c>
      <c r="E530" s="349">
        <f ca="1">$J$6*$K$12*($K$67*Mat_Sum!$D30+$K$68*Mat_Sum!$F30+$K$69*Mat_Sum!$I30+$K$70*Mat_Sum!$L30+$K$71*Mat_Sum!$AG30+$K$72*Mat_Sum!$AH30+$K$73*Mat_Sum!$AK30+$K$74*Mat_Sum!$AS30+$K$75*Mat_Sum!$AR30+$K$76*Mat_Sum!$AV30)+$A$136*(K$140*4)*($A$144*Mat_Sum!$AV30+$B$144*Mat_Sum!$D30)</f>
        <v>2863.7226250265498</v>
      </c>
      <c r="F530" s="349">
        <f ca="1">$J$6*$K$13*($K$79*Mat_Sum!$D30+$K$80*Mat_Sum!$E30+$K$81*Mat_Sum!$L30+$K$82*Mat_Sum!$AG30)</f>
        <v>292.81085921287541</v>
      </c>
      <c r="G530" s="349"/>
      <c r="H530" s="349">
        <f ca="1">$J$6*$K$15*($K$90*Mat_Sum!$D30+$K$91*Mat_Sum!$L30+$K$92*Mat_Sum!$AG30+$K$93*Mat_Sum!$AV30+$K$94*Mat_Sum!$AR30)</f>
        <v>426.46120884929718</v>
      </c>
      <c r="I530" s="348">
        <f ca="1">$J$6*$K$16*($K$97*Mat_Sum!$D30+$K$99*Mat_Sum!$AU30+$K$101*Mat_Sum!$I30+$K$102*Mat_Sum!$AG30+$K$103*Mat_Sum!$AR30+$K$104*Mat_Sum!$AV30+$K$105*Mat_Sum!$U30+$K$98*Mat_Sum!$E30+$K$100*Mat_Sum!$AS30+$K$106*Mat_Sum!$CN30)</f>
        <v>3421.6608399424972</v>
      </c>
      <c r="J530" s="382">
        <f t="shared" ca="1" si="121"/>
        <v>0.60985283778353216</v>
      </c>
      <c r="K530" s="382">
        <f t="shared" ca="1" si="122"/>
        <v>4.8323644789612923E-2</v>
      </c>
      <c r="L530" s="382">
        <f t="shared" ca="1" si="123"/>
        <v>1.129143876735314E-2</v>
      </c>
      <c r="M530" s="382">
        <f t="shared" ca="1" si="124"/>
        <v>0.13513186872512134</v>
      </c>
      <c r="N530" s="382">
        <f t="shared" ca="1" si="125"/>
        <v>1.381700805889936E-2</v>
      </c>
      <c r="O530" s="382"/>
      <c r="P530" s="382">
        <f t="shared" ca="1" si="126"/>
        <v>2.0123631942198142E-2</v>
      </c>
      <c r="Q530" s="588">
        <f t="shared" ca="1" si="127"/>
        <v>0.16145956993328264</v>
      </c>
    </row>
    <row r="531" spans="1:17">
      <c r="A531" s="230" t="s">
        <v>830</v>
      </c>
      <c r="B531" s="347">
        <f ca="1">$J$6*$K$17*($K$22*Mat_Sum!$D31+$K$23*Mat_Sum!$I31+$K$24*Mat_Sum!$L31+$K$25*Mat_Sum!$AG31+$K$26*Mat_Sum!$AH31+$K$27*Mat_Sum!$AK31+$K$28*Mat_Sum!$AS31+$K$29*Mat_Sum!$AM31+$K$30*Mat_Sum!$AT31+$K$31*Mat_Sum!$AR31+$K$32*Mat_Sum!$AV31)</f>
        <v>113.61390338568818</v>
      </c>
      <c r="C531" s="349">
        <f ca="1">$J$6*$K$10*($K$35*Mat_Sum!$D31+$K$36*Mat_Sum!$E31+$K$37*Mat_Sum!$F31+$K$38*Mat_Sum!$I31+$K$39*Mat_Sum!$L31+$K$40*Mat_Sum!$AG31+$K$41*Mat_Sum!$AK31+$K$42*Mat_Sum!$AS31+$K$43*Mat_Sum!$AR31+$K$44*Mat_Sum!$AV31+$K$45*Mat_Sum!$AT31+$K$46*Mat_Sum!$BH31+$K$47*Mat_Sum!$BG31+$K$48*Mat_Sum!$BJ31+$K$49*Mat_Sum!$BI31+$K$50*Mat_Sum!$AW31+$K$51*Mat_Sum!$CF31+$K$52*Mat_Sum!$U31+$K$53*Mat_Sum!$CN31)</f>
        <v>9.720862922615348</v>
      </c>
      <c r="D531" s="349">
        <f ca="1">$J$6*$K$11*($K$56*Mat_Sum!$D31+$K$57*Mat_Sum!$AG31+$K$58*Mat_Sum!$F31+$K$59*Mat_Sum!$AK31+$K$60*Mat_Sum!$I31+$K$61*Mat_Sum!$L31+$K$62*Mat_Sum!$AT31+$K$63*Mat_Sum!$AR31+$K$64*Mat_Sum!$AV31)</f>
        <v>2.0367047595140844</v>
      </c>
      <c r="E531" s="349">
        <f ca="1">$J$6*$K$12*($K$67*Mat_Sum!$D31+$K$68*Mat_Sum!$F31+$K$69*Mat_Sum!$I31+$K$70*Mat_Sum!$L31+$K$71*Mat_Sum!$AG31+$K$72*Mat_Sum!$AH31+$K$73*Mat_Sum!$AK31+$K$74*Mat_Sum!$AS31+$K$75*Mat_Sum!$AR31+$K$76*Mat_Sum!$AV31)+$A$136*(K$140*4)*($A$144*Mat_Sum!$AV31+$B$144*Mat_Sum!$D31)</f>
        <v>26.413287661720144</v>
      </c>
      <c r="F531" s="349">
        <f ca="1">$J$6*$K$13*($K$79*Mat_Sum!$D31+$K$80*Mat_Sum!$E31+$K$81*Mat_Sum!$L31+$K$82*Mat_Sum!$AG31)</f>
        <v>2.6839141001192073</v>
      </c>
      <c r="G531" s="349"/>
      <c r="H531" s="349">
        <f ca="1">$J$6*$K$15*($K$90*Mat_Sum!$D31+$K$91*Mat_Sum!$L31+$K$92*Mat_Sum!$AG31+$K$93*Mat_Sum!$AV31+$K$94*Mat_Sum!$AR31)</f>
        <v>4.7149153241089143</v>
      </c>
      <c r="I531" s="348">
        <f ca="1">$J$6*$K$16*($K$97*Mat_Sum!$D31+$K$99*Mat_Sum!$AU31+$K$101*Mat_Sum!$I31+$K$102*Mat_Sum!$AG31+$K$103*Mat_Sum!$AR31+$K$104*Mat_Sum!$AV31+$K$105*Mat_Sum!$U31+$K$98*Mat_Sum!$E31+$K$100*Mat_Sum!$AS31+$K$106*Mat_Sum!$CN31)</f>
        <v>27.288380528156996</v>
      </c>
      <c r="J531" s="382">
        <f t="shared" ca="1" si="121"/>
        <v>0.60928140668416841</v>
      </c>
      <c r="K531" s="382">
        <f t="shared" ca="1" si="122"/>
        <v>5.2130424703119016E-2</v>
      </c>
      <c r="L531" s="382">
        <f t="shared" ca="1" si="123"/>
        <v>1.092231059665714E-2</v>
      </c>
      <c r="M531" s="382">
        <f t="shared" ca="1" si="124"/>
        <v>0.14164749719983369</v>
      </c>
      <c r="N531" s="382">
        <f t="shared" ca="1" si="125"/>
        <v>1.4393123637244001E-2</v>
      </c>
      <c r="O531" s="382"/>
      <c r="P531" s="382">
        <f t="shared" ca="1" si="126"/>
        <v>2.5284847676765004E-2</v>
      </c>
      <c r="Q531" s="588">
        <f t="shared" ca="1" si="127"/>
        <v>0.14634038950221268</v>
      </c>
    </row>
    <row r="532" spans="1:17">
      <c r="A532" s="230" t="s">
        <v>831</v>
      </c>
      <c r="B532" s="517">
        <f ca="1">$J$6*$K$17*($K$22*Mat_Sum!$D32+$K$23*Mat_Sum!$I32+$K$24*Mat_Sum!$L32+$K$25*Mat_Sum!$AG32+$K$26*Mat_Sum!$AH32+$K$27*Mat_Sum!$AK32+$K$28*Mat_Sum!$AS32+$K$29*Mat_Sum!$AM32+$K$30*Mat_Sum!$AT32+$K$31*Mat_Sum!$AR32+$K$32*Mat_Sum!$AV32)</f>
        <v>3796220.7723555351</v>
      </c>
      <c r="C532" s="419">
        <f ca="1">$J$6*$K$10*($K$35*Mat_Sum!$D32+$K$36*Mat_Sum!$E32+$K$37*Mat_Sum!$F32+$K$38*Mat_Sum!$I32+$K$39*Mat_Sum!$L32+$K$40*Mat_Sum!$AG32+$K$41*Mat_Sum!$AK32+$K$42*Mat_Sum!$AS32+$K$43*Mat_Sum!$AR32+$K$44*Mat_Sum!$AV32+$K$45*Mat_Sum!$AT32+$K$46*Mat_Sum!$BH32+$K$47*Mat_Sum!$BG32+$K$48*Mat_Sum!$BJ32+$K$49*Mat_Sum!$BI32+$K$50*Mat_Sum!$AW32+$K$51*Mat_Sum!$CF32+$K$52*Mat_Sum!$U32+$K$53*Mat_Sum!$CN32)</f>
        <v>357485.81315167982</v>
      </c>
      <c r="D532" s="419">
        <f ca="1">$J$6*$K$11*($K$56*Mat_Sum!$D32+$K$57*Mat_Sum!$AG32+$K$58*Mat_Sum!$F32+$K$59*Mat_Sum!$AK32+$K$60*Mat_Sum!$I32+$K$61*Mat_Sum!$L32+$K$62*Mat_Sum!$AT32+$K$63*Mat_Sum!$AR32+$K$64*Mat_Sum!$AV32)</f>
        <v>127998.87224870248</v>
      </c>
      <c r="E532" s="419">
        <f ca="1">$J$6*$K$12*($K$67*Mat_Sum!$D32+$K$68*Mat_Sum!$F32+$K$69*Mat_Sum!$I32+$K$70*Mat_Sum!$L32+$K$71*Mat_Sum!$AG32+$K$72*Mat_Sum!$AH32+$K$73*Mat_Sum!$AK32+$K$74*Mat_Sum!$AS32+$K$75*Mat_Sum!$AR32+$K$76*Mat_Sum!$AV32)+$A$136*(K$140*4)*($A$144*Mat_Sum!$AV32+$B$144*Mat_Sum!$D32)</f>
        <v>1222499.0948978979</v>
      </c>
      <c r="F532" s="419">
        <f ca="1">$J$6*$K$13*($K$79*Mat_Sum!$D32+$K$80*Mat_Sum!$E32+$K$81*Mat_Sum!$L32+$K$82*Mat_Sum!$AG32)</f>
        <v>140922.29279921949</v>
      </c>
      <c r="G532" s="419"/>
      <c r="H532" s="419">
        <f ca="1">$J$6*$K$15*($K$90*Mat_Sum!$D32+$K$91*Mat_Sum!$L32+$K$92*Mat_Sum!$AG32+$K$93*Mat_Sum!$AV32+$K$94*Mat_Sum!$AR32)</f>
        <v>117574.21650165413</v>
      </c>
      <c r="I532" s="516">
        <f ca="1">$J$6*$K$16*($K$97*Mat_Sum!$D32+$K$99*Mat_Sum!$AU32+$K$101*Mat_Sum!$I32+$K$102*Mat_Sum!$AG32+$K$103*Mat_Sum!$AR32+$K$104*Mat_Sum!$AV32+$K$105*Mat_Sum!$U32+$K$98*Mat_Sum!$E32+$K$100*Mat_Sum!$AS32+$K$106*Mat_Sum!$CN32)</f>
        <v>1157440.4934223718</v>
      </c>
      <c r="J532" s="382">
        <f t="shared" ca="1" si="121"/>
        <v>0.54857559516334042</v>
      </c>
      <c r="K532" s="382">
        <f t="shared" ca="1" si="122"/>
        <v>5.1658742858216193E-2</v>
      </c>
      <c r="L532" s="382">
        <f t="shared" ca="1" si="123"/>
        <v>1.8496568491325919E-2</v>
      </c>
      <c r="M532" s="382">
        <f t="shared" ca="1" si="124"/>
        <v>0.17665810520133024</v>
      </c>
      <c r="N532" s="382">
        <f t="shared" ca="1" si="125"/>
        <v>2.0364076611947429E-2</v>
      </c>
      <c r="O532" s="382"/>
      <c r="P532" s="382">
        <f t="shared" ca="1" si="126"/>
        <v>1.6990146164032886E-2</v>
      </c>
      <c r="Q532" s="588">
        <f t="shared" ca="1" si="127"/>
        <v>0.16725676550980695</v>
      </c>
    </row>
    <row r="533" spans="1:17">
      <c r="A533" s="230" t="s">
        <v>850</v>
      </c>
      <c r="B533" s="517">
        <f ca="1">$J$6*$K$17*($K$22*Mat_Sum!$D33+$K$23*Mat_Sum!$I33+$K$24*Mat_Sum!$L33+$K$25*Mat_Sum!$AG33+$K$26*Mat_Sum!$AH33+$K$27*Mat_Sum!$AK33+$K$28*Mat_Sum!$AS33+$K$29*Mat_Sum!$AM33+$K$30*Mat_Sum!$AT33+$K$31*Mat_Sum!$AR33+$K$32*Mat_Sum!$AV33)</f>
        <v>3806961.1327215047</v>
      </c>
      <c r="C533" s="419">
        <f ca="1">$J$6*$K$10*($K$35*Mat_Sum!$D33+$K$36*Mat_Sum!$E33+$K$37*Mat_Sum!$F33+$K$38*Mat_Sum!$I33+$K$39*Mat_Sum!$L33+$K$40*Mat_Sum!$AG33+$K$41*Mat_Sum!$AK33+$K$42*Mat_Sum!$AS33+$K$43*Mat_Sum!$AR33+$K$44*Mat_Sum!$AV33+$K$45*Mat_Sum!$AT33+$K$46*Mat_Sum!$BH33+$K$47*Mat_Sum!$BG33+$K$48*Mat_Sum!$BJ33+$K$49*Mat_Sum!$BI33+$K$50*Mat_Sum!$AW33+$K$51*Mat_Sum!$CF33+$K$52*Mat_Sum!$U33+$K$53*Mat_Sum!$CN33)</f>
        <v>359089.1409407875</v>
      </c>
      <c r="D533" s="419">
        <f ca="1">$J$6*$K$11*($K$56*Mat_Sum!$D33+$K$57*Mat_Sum!$AG33+$K$58*Mat_Sum!$F33+$K$59*Mat_Sum!$AK33+$K$60*Mat_Sum!$I33+$K$61*Mat_Sum!$L33+$K$62*Mat_Sum!$AT33+$K$63*Mat_Sum!$AR33+$K$64*Mat_Sum!$AV33)</f>
        <v>129013.43815242907</v>
      </c>
      <c r="E533" s="419">
        <f ca="1">$J$6*$K$12*($K$67*Mat_Sum!$D33+$K$68*Mat_Sum!$F33+$K$69*Mat_Sum!$I33+$K$70*Mat_Sum!$L33+$K$71*Mat_Sum!$AG33+$K$72*Mat_Sum!$AH33+$K$73*Mat_Sum!$AK33+$K$74*Mat_Sum!$AS33+$K$75*Mat_Sum!$AR33+$K$76*Mat_Sum!$AV33)+$A$136*(K$140*4)*($A$144*Mat_Sum!$AV33+$B$144*Mat_Sum!$D33)</f>
        <v>1231498.4303105636</v>
      </c>
      <c r="F533" s="419">
        <f ca="1">$J$6*$K$13*($K$79*Mat_Sum!$D33+$K$80*Mat_Sum!$E33+$K$81*Mat_Sum!$L33+$K$82*Mat_Sum!$AG33)</f>
        <v>141826.24760136506</v>
      </c>
      <c r="G533" s="419"/>
      <c r="H533" s="419">
        <f ca="1">$J$6*$K$15*($K$90*Mat_Sum!$D33+$K$91*Mat_Sum!$L33+$K$92*Mat_Sum!$AG33+$K$93*Mat_Sum!$AV33+$K$94*Mat_Sum!$AR33)</f>
        <v>117970.05293989487</v>
      </c>
      <c r="I533" s="516">
        <f ca="1">$J$6*$K$16*($K$97*Mat_Sum!$D33+$K$99*Mat_Sum!$AU33+$K$101*Mat_Sum!$I33+$K$102*Mat_Sum!$AG33+$K$103*Mat_Sum!$AR33+$K$104*Mat_Sum!$AV33+$K$105*Mat_Sum!$U33+$K$98*Mat_Sum!$E33+$K$100*Mat_Sum!$AS33+$K$106*Mat_Sum!$CN33)</f>
        <v>1160265.4148696773</v>
      </c>
      <c r="J533" s="382">
        <f t="shared" ca="1" si="121"/>
        <v>0.54803041172172084</v>
      </c>
      <c r="K533" s="382">
        <f t="shared" ca="1" si="122"/>
        <v>5.1692613319090315E-2</v>
      </c>
      <c r="L533" s="382">
        <f t="shared" ca="1" si="123"/>
        <v>1.8572106507892396E-2</v>
      </c>
      <c r="M533" s="382">
        <f t="shared" ca="1" si="124"/>
        <v>0.17728013716685423</v>
      </c>
      <c r="N533" s="382">
        <f t="shared" ca="1" si="125"/>
        <v>2.0416572209750673E-2</v>
      </c>
      <c r="O533" s="382"/>
      <c r="P533" s="382">
        <f t="shared" ca="1" si="126"/>
        <v>1.6982357956795379E-2</v>
      </c>
      <c r="Q533" s="588">
        <f t="shared" ca="1" si="127"/>
        <v>0.16702580111789608</v>
      </c>
    </row>
    <row r="534" spans="1:17">
      <c r="A534" s="230" t="s">
        <v>851</v>
      </c>
      <c r="B534" s="517">
        <f ca="1">$J$6*$K$17*($K$22*Mat_Sum!$D34+$K$23*Mat_Sum!$I34+$K$24*Mat_Sum!$L34+$K$25*Mat_Sum!$AG34+$K$26*Mat_Sum!$AH34+$K$27*Mat_Sum!$AK34+$K$28*Mat_Sum!$AS34+$K$29*Mat_Sum!$AM34+$K$30*Mat_Sum!$AT34+$K$31*Mat_Sum!$AR34+$K$32*Mat_Sum!$AV34)</f>
        <v>4367298.2175784223</v>
      </c>
      <c r="C534" s="419">
        <f ca="1">$J$6*$K$10*($K$35*Mat_Sum!$D34+$K$36*Mat_Sum!$E34+$K$37*Mat_Sum!$F34+$K$38*Mat_Sum!$I34+$K$39*Mat_Sum!$L34+$K$40*Mat_Sum!$AG34+$K$41*Mat_Sum!$AK34+$K$42*Mat_Sum!$AS34+$K$43*Mat_Sum!$AR34+$K$44*Mat_Sum!$AV34+$K$45*Mat_Sum!$AT34+$K$46*Mat_Sum!$BH34+$K$47*Mat_Sum!$BG34+$K$48*Mat_Sum!$BJ34+$K$49*Mat_Sum!$BI34+$K$50*Mat_Sum!$AW34+$K$51*Mat_Sum!$CF34+$K$52*Mat_Sum!$U34+$K$53*Mat_Sum!$CN34)</f>
        <v>400552.39396167477</v>
      </c>
      <c r="D534" s="419">
        <f ca="1">$J$6*$K$11*($K$56*Mat_Sum!$D34+$K$57*Mat_Sum!$AG34+$K$58*Mat_Sum!$F34+$K$59*Mat_Sum!$AK34+$K$60*Mat_Sum!$I34+$K$61*Mat_Sum!$L34+$K$62*Mat_Sum!$AT34+$K$63*Mat_Sum!$AR34+$K$64*Mat_Sum!$AV34)</f>
        <v>141408.18472680059</v>
      </c>
      <c r="E534" s="419">
        <f ca="1">$J$6*$K$12*($K$67*Mat_Sum!$D34+$K$68*Mat_Sum!$F34+$K$69*Mat_Sum!$I34+$K$70*Mat_Sum!$L34+$K$71*Mat_Sum!$AG34+$K$72*Mat_Sum!$AH34+$K$73*Mat_Sum!$AK34+$K$74*Mat_Sum!$AS34+$K$75*Mat_Sum!$AR34+$K$76*Mat_Sum!$AV34)+$A$136*(K$140*4)*($A$144*Mat_Sum!$AV34+$B$144*Mat_Sum!$D34)</f>
        <v>1346665.1515972051</v>
      </c>
      <c r="F534" s="419">
        <f ca="1">$J$6*$K$13*($K$79*Mat_Sum!$D34+$K$80*Mat_Sum!$E34+$K$81*Mat_Sum!$L34+$K$82*Mat_Sum!$AG34)</f>
        <v>154463.29479692839</v>
      </c>
      <c r="G534" s="419"/>
      <c r="H534" s="419">
        <f ca="1">$J$6*$K$15*($K$90*Mat_Sum!$D34+$K$91*Mat_Sum!$L34+$K$92*Mat_Sum!$AG34+$K$93*Mat_Sum!$AV34+$K$94*Mat_Sum!$AR34)</f>
        <v>135571.41455385159</v>
      </c>
      <c r="I534" s="516">
        <f ca="1">$J$6*$K$16*($K$97*Mat_Sum!$D34+$K$99*Mat_Sum!$AU34+$K$101*Mat_Sum!$I34+$K$102*Mat_Sum!$AG34+$K$103*Mat_Sum!$AR34+$K$104*Mat_Sum!$AV34+$K$105*Mat_Sum!$U34+$K$98*Mat_Sum!$E34+$K$100*Mat_Sum!$AS34+$K$106*Mat_Sum!$CN34)</f>
        <v>1270146.6609079137</v>
      </c>
      <c r="J534" s="382">
        <f t="shared" ca="1" si="121"/>
        <v>0.55875631658291436</v>
      </c>
      <c r="K534" s="382">
        <f t="shared" ca="1" si="122"/>
        <v>5.1247056898393463E-2</v>
      </c>
      <c r="L534" s="382">
        <f t="shared" ca="1" si="123"/>
        <v>1.8091898582651488E-2</v>
      </c>
      <c r="M534" s="382">
        <f t="shared" ca="1" si="124"/>
        <v>0.1722936292164286</v>
      </c>
      <c r="N534" s="382">
        <f t="shared" ca="1" si="125"/>
        <v>1.9762181868095145E-2</v>
      </c>
      <c r="O534" s="382"/>
      <c r="P534" s="382">
        <f t="shared" ca="1" si="126"/>
        <v>1.7345136616763492E-2</v>
      </c>
      <c r="Q534" s="588">
        <f t="shared" ca="1" si="127"/>
        <v>0.16250378023475331</v>
      </c>
    </row>
    <row r="535" spans="1:17">
      <c r="A535" s="571" t="s">
        <v>973</v>
      </c>
      <c r="B535" s="347"/>
      <c r="C535" s="349"/>
      <c r="D535" s="349"/>
      <c r="E535" s="349"/>
      <c r="F535" s="349"/>
      <c r="G535" s="349"/>
      <c r="H535" s="349"/>
      <c r="I535" s="348"/>
      <c r="J535" s="382"/>
      <c r="K535" s="382"/>
      <c r="L535" s="382"/>
      <c r="M535" s="382"/>
      <c r="N535" s="382"/>
      <c r="O535" s="382"/>
      <c r="P535" s="382"/>
      <c r="Q535" s="588"/>
    </row>
    <row r="536" spans="1:17">
      <c r="A536" s="230" t="s">
        <v>821</v>
      </c>
      <c r="B536" s="347">
        <f ca="1">$J$6*$K$17*($K$22*Mat_Sum!$D36+$K$23*Mat_Sum!$I36+$K$24*Mat_Sum!$L36+$K$25*Mat_Sum!$AG36+$K$26*Mat_Sum!$AH36+$K$27*Mat_Sum!$AK36+$K$28*Mat_Sum!$AS36+$K$29*Mat_Sum!$AM36+$K$30*Mat_Sum!$AT36+$K$31*Mat_Sum!$AR36+$K$32*Mat_Sum!$AV36)</f>
        <v>93.958347884064167</v>
      </c>
      <c r="C536" s="349">
        <f ca="1">$J$6*$K$10*($K$35*Mat_Sum!$D36+$K$36*Mat_Sum!$E36+$K$37*Mat_Sum!$F36+$K$38*Mat_Sum!$I36+$K$39*Mat_Sum!$L36+$K$40*Mat_Sum!$AG36+$K$41*Mat_Sum!$AK36+$K$42*Mat_Sum!$AS36+$K$43*Mat_Sum!$AR36+$K$44*Mat_Sum!$AV36+$K$45*Mat_Sum!$AT36+$K$46*Mat_Sum!$BH36+$K$47*Mat_Sum!$BG36+$K$48*Mat_Sum!$BJ36+$K$49*Mat_Sum!$BI36+$K$50*Mat_Sum!$AW36+$K$51*Mat_Sum!$CF36+$K$52*Mat_Sum!$U36+$K$53*Mat_Sum!$CN36)</f>
        <v>7.5344407885314899</v>
      </c>
      <c r="D536" s="349">
        <f ca="1">$J$6*$K$11*($K$56*Mat_Sum!$D36+$K$57*Mat_Sum!$AG36+$K$58*Mat_Sum!$F36+$K$59*Mat_Sum!$AK36+$K$60*Mat_Sum!$I36+$K$61*Mat_Sum!$L36+$K$62*Mat_Sum!$AT36+$K$63*Mat_Sum!$AR36+$K$64*Mat_Sum!$AV36)</f>
        <v>0.79777273775665603</v>
      </c>
      <c r="E536" s="349">
        <f ca="1">$J$6*$K$12*($K$67*Mat_Sum!$D36+$K$68*Mat_Sum!$F36+$K$69*Mat_Sum!$I36+$K$70*Mat_Sum!$L36+$K$71*Mat_Sum!$AG36+$K$72*Mat_Sum!$AH36+$K$73*Mat_Sum!$AK36+$K$74*Mat_Sum!$AS36+$K$75*Mat_Sum!$AR36+$K$76*Mat_Sum!$AV36)+$A$136*(K$140*4)*($A$144*Mat_Sum!$AV36+$B$144*Mat_Sum!$D36)</f>
        <v>11.792714828292581</v>
      </c>
      <c r="F536" s="349">
        <f ca="1">$J$6*$K$13*($K$79*Mat_Sum!$D36+$K$80*Mat_Sum!$E36+$K$81*Mat_Sum!$L36+$K$82*Mat_Sum!$AG36)</f>
        <v>0.99163847724247667</v>
      </c>
      <c r="G536" s="349"/>
      <c r="H536" s="349">
        <f ca="1">$J$6*$K$15*($K$90*Mat_Sum!$D36+$K$91*Mat_Sum!$L36+$K$92*Mat_Sum!$AG36+$K$93*Mat_Sum!$AV36+$K$94*Mat_Sum!$AR36)</f>
        <v>2.1396329097044111</v>
      </c>
      <c r="I536" s="348">
        <f ca="1">$J$6*$K$16*($K$97*Mat_Sum!$D36+$K$99*Mat_Sum!$AU36+$K$101*Mat_Sum!$I36+$K$102*Mat_Sum!$AG36+$K$103*Mat_Sum!$AR36+$K$104*Mat_Sum!$AV36+$K$105*Mat_Sum!$U36+$K$98*Mat_Sum!$E36+$K$100*Mat_Sum!$AS36+$K$106*Mat_Sum!$CN36)</f>
        <v>33.738198347261175</v>
      </c>
      <c r="J536" s="382">
        <f t="shared" ref="J536:N543" ca="1" si="128">B536/$K195</f>
        <v>0.62243549978853308</v>
      </c>
      <c r="K536" s="382">
        <f t="shared" ca="1" si="128"/>
        <v>4.9912578535580079E-2</v>
      </c>
      <c r="L536" s="382">
        <f t="shared" ca="1" si="128"/>
        <v>5.2849170289365E-3</v>
      </c>
      <c r="M536" s="382">
        <f t="shared" ref="M536:M543" ca="1" si="129">E536/$K195</f>
        <v>7.8121896705432334E-2</v>
      </c>
      <c r="N536" s="382">
        <f t="shared" ca="1" si="128"/>
        <v>6.5691980020079347E-3</v>
      </c>
      <c r="O536" s="382"/>
      <c r="P536" s="382">
        <f t="shared" ref="P536:Q543" ca="1" si="130">H536/$K195</f>
        <v>1.4174190048117437E-2</v>
      </c>
      <c r="Q536" s="588">
        <f t="shared" ca="1" si="130"/>
        <v>0.223501719891393</v>
      </c>
    </row>
    <row r="537" spans="1:17">
      <c r="A537" s="230" t="s">
        <v>822</v>
      </c>
      <c r="B537" s="347">
        <f ca="1">$J$6*$K$17*($K$22*Mat_Sum!$D37+$K$23*Mat_Sum!$I37+$K$24*Mat_Sum!$L37+$K$25*Mat_Sum!$AG37+$K$26*Mat_Sum!$AH37+$K$27*Mat_Sum!$AK37+$K$28*Mat_Sum!$AS37+$K$29*Mat_Sum!$AM37+$K$30*Mat_Sum!$AT37+$K$31*Mat_Sum!$AR37+$K$32*Mat_Sum!$AV37)</f>
        <v>213.43675173345872</v>
      </c>
      <c r="C537" s="349">
        <f ca="1">$J$6*$K$10*($K$35*Mat_Sum!$D37+$K$36*Mat_Sum!$E37+$K$37*Mat_Sum!$F37+$K$38*Mat_Sum!$I37+$K$39*Mat_Sum!$L37+$K$40*Mat_Sum!$AG37+$K$41*Mat_Sum!$AK37+$K$42*Mat_Sum!$AS37+$K$43*Mat_Sum!$AR37+$K$44*Mat_Sum!$AV37+$K$45*Mat_Sum!$AT37+$K$46*Mat_Sum!$BH37+$K$47*Mat_Sum!$BG37+$K$48*Mat_Sum!$BJ37+$K$49*Mat_Sum!$BI37+$K$50*Mat_Sum!$AW37+$K$51*Mat_Sum!$CF37+$K$52*Mat_Sum!$U37+$K$53*Mat_Sum!$CN37)</f>
        <v>18.005843776141614</v>
      </c>
      <c r="D537" s="349">
        <f ca="1">$J$6*$K$11*($K$56*Mat_Sum!$D37+$K$57*Mat_Sum!$AG37+$K$58*Mat_Sum!$F37+$K$59*Mat_Sum!$AK37+$K$60*Mat_Sum!$I37+$K$61*Mat_Sum!$L37+$K$62*Mat_Sum!$AT37+$K$63*Mat_Sum!$AR37+$K$64*Mat_Sum!$AV37)</f>
        <v>3.5810716344360385</v>
      </c>
      <c r="E537" s="349">
        <f ca="1">$J$6*$K$12*($K$67*Mat_Sum!$D37+$K$68*Mat_Sum!$F37+$K$69*Mat_Sum!$I37+$K$70*Mat_Sum!$L37+$K$71*Mat_Sum!$AG37+$K$72*Mat_Sum!$AH37+$K$73*Mat_Sum!$AK37+$K$74*Mat_Sum!$AS37+$K$75*Mat_Sum!$AR37+$K$76*Mat_Sum!$AV37)+$A$136*(K$140*4)*($A$144*Mat_Sum!$AV37+$B$144*Mat_Sum!$D37)</f>
        <v>38.808048589470147</v>
      </c>
      <c r="F537" s="349">
        <f ca="1">$J$6*$K$13*($K$79*Mat_Sum!$D37+$K$80*Mat_Sum!$E37+$K$81*Mat_Sum!$L37+$K$82*Mat_Sum!$AG37)</f>
        <v>4.4575855319590119</v>
      </c>
      <c r="G537" s="349"/>
      <c r="H537" s="349">
        <f ca="1">$J$6*$K$15*($K$90*Mat_Sum!$D37+$K$91*Mat_Sum!$L37+$K$92*Mat_Sum!$AG37+$K$93*Mat_Sum!$AV37+$K$94*Mat_Sum!$AR37)</f>
        <v>6.1673393840099484</v>
      </c>
      <c r="I537" s="348">
        <f ca="1">$J$6*$K$16*($K$97*Mat_Sum!$D37+$K$99*Mat_Sum!$AU37+$K$101*Mat_Sum!$I37+$K$102*Mat_Sum!$AG37+$K$103*Mat_Sum!$AR37+$K$104*Mat_Sum!$AV37+$K$105*Mat_Sum!$U37+$K$98*Mat_Sum!$E37+$K$100*Mat_Sum!$AS37+$K$106*Mat_Sum!$CN37)</f>
        <v>69.912893710870193</v>
      </c>
      <c r="J537" s="382">
        <f t="shared" ca="1" si="128"/>
        <v>0.60229994691480038</v>
      </c>
      <c r="K537" s="382">
        <f t="shared" ca="1" si="128"/>
        <v>5.0810924840486195E-2</v>
      </c>
      <c r="L537" s="382">
        <f t="shared" ca="1" si="128"/>
        <v>1.0105472641433603E-2</v>
      </c>
      <c r="M537" s="382">
        <f t="shared" ca="1" si="129"/>
        <v>0.10951293727752465</v>
      </c>
      <c r="N537" s="382">
        <f t="shared" ca="1" si="128"/>
        <v>1.2578918613884717E-2</v>
      </c>
      <c r="O537" s="382"/>
      <c r="P537" s="382">
        <f t="shared" ca="1" si="130"/>
        <v>1.7403695255977063E-2</v>
      </c>
      <c r="Q537" s="588">
        <f t="shared" ca="1" si="130"/>
        <v>0.19728810445589345</v>
      </c>
    </row>
    <row r="538" spans="1:17">
      <c r="A538" s="230" t="s">
        <v>823</v>
      </c>
      <c r="B538" s="347">
        <f ca="1">$J$6*$K$17*($K$22*Mat_Sum!$D38+$K$23*Mat_Sum!$I38+$K$24*Mat_Sum!$L38+$K$25*Mat_Sum!$AG38+$K$26*Mat_Sum!$AH38+$K$27*Mat_Sum!$AK38+$K$28*Mat_Sum!$AS38+$K$29*Mat_Sum!$AM38+$K$30*Mat_Sum!$AT38+$K$31*Mat_Sum!$AR38+$K$32*Mat_Sum!$AV38)</f>
        <v>411.33315030086436</v>
      </c>
      <c r="C538" s="349">
        <f ca="1">$J$6*$K$10*($K$35*Mat_Sum!$D38+$K$36*Mat_Sum!$E38+$K$37*Mat_Sum!$F38+$K$38*Mat_Sum!$I38+$K$39*Mat_Sum!$L38+$K$40*Mat_Sum!$AG38+$K$41*Mat_Sum!$AK38+$K$42*Mat_Sum!$AS38+$K$43*Mat_Sum!$AR38+$K$44*Mat_Sum!$AV38+$K$45*Mat_Sum!$AT38+$K$46*Mat_Sum!$BH38+$K$47*Mat_Sum!$BG38+$K$48*Mat_Sum!$BJ38+$K$49*Mat_Sum!$BI38+$K$50*Mat_Sum!$AW38+$K$51*Mat_Sum!$CF38+$K$52*Mat_Sum!$U38+$K$53*Mat_Sum!$CN38)</f>
        <v>38.94351640973251</v>
      </c>
      <c r="D538" s="349">
        <f ca="1">$J$6*$K$11*($K$56*Mat_Sum!$D38+$K$57*Mat_Sum!$AG38+$K$58*Mat_Sum!$F38+$K$59*Mat_Sum!$AK38+$K$60*Mat_Sum!$I38+$K$61*Mat_Sum!$L38+$K$62*Mat_Sum!$AT38+$K$63*Mat_Sum!$AR38+$K$64*Mat_Sum!$AV38)</f>
        <v>9.9456161564917149</v>
      </c>
      <c r="E538" s="349">
        <f ca="1">$J$6*$K$12*($K$67*Mat_Sum!$D38+$K$68*Mat_Sum!$F38+$K$69*Mat_Sum!$I38+$K$70*Mat_Sum!$L38+$K$71*Mat_Sum!$AG38+$K$72*Mat_Sum!$AH38+$K$73*Mat_Sum!$AK38+$K$74*Mat_Sum!$AS38+$K$75*Mat_Sum!$AR38+$K$76*Mat_Sum!$AV38)+$A$136*(K$140*4)*($A$144*Mat_Sum!$AV38+$B$144*Mat_Sum!$D38)</f>
        <v>80.751106657078253</v>
      </c>
      <c r="F538" s="349">
        <f ca="1">$J$6*$K$13*($K$79*Mat_Sum!$D38+$K$80*Mat_Sum!$E38+$K$81*Mat_Sum!$L38+$K$82*Mat_Sum!$AG38)</f>
        <v>11.159388995943553</v>
      </c>
      <c r="G538" s="349"/>
      <c r="H538" s="349">
        <f ca="1">$J$6*$K$15*($K$90*Mat_Sum!$D38+$K$91*Mat_Sum!$L38+$K$92*Mat_Sum!$AG38+$K$93*Mat_Sum!$AV38+$K$94*Mat_Sum!$AR38)</f>
        <v>10.80925851979857</v>
      </c>
      <c r="I538" s="348">
        <f ca="1">$J$6*$K$16*($K$97*Mat_Sum!$D38+$K$99*Mat_Sum!$AU38+$K$101*Mat_Sum!$I38+$K$102*Mat_Sum!$AG38+$K$103*Mat_Sum!$AR38+$K$104*Mat_Sum!$AV38+$K$105*Mat_Sum!$U38+$K$98*Mat_Sum!$E38+$K$100*Mat_Sum!$AS38+$K$106*Mat_Sum!$CN38)</f>
        <v>154.82338473889681</v>
      </c>
      <c r="J538" s="382">
        <f t="shared" ca="1" si="128"/>
        <v>0.57307462552525301</v>
      </c>
      <c r="K538" s="382">
        <f t="shared" ca="1" si="128"/>
        <v>5.4256607002912662E-2</v>
      </c>
      <c r="L538" s="382">
        <f t="shared" ca="1" si="128"/>
        <v>1.385636010696077E-2</v>
      </c>
      <c r="M538" s="382">
        <f t="shared" ca="1" si="129"/>
        <v>0.11250347844419201</v>
      </c>
      <c r="N538" s="382">
        <f t="shared" ca="1" si="128"/>
        <v>1.5547404008802406E-2</v>
      </c>
      <c r="O538" s="382"/>
      <c r="P538" s="382">
        <f t="shared" ca="1" si="130"/>
        <v>1.5059597734605927E-2</v>
      </c>
      <c r="Q538" s="588">
        <f t="shared" ca="1" si="130"/>
        <v>0.21570192717727329</v>
      </c>
    </row>
    <row r="539" spans="1:17">
      <c r="A539" s="230" t="s">
        <v>824</v>
      </c>
      <c r="B539" s="347">
        <f ca="1">$J$6*$K$17*($K$22*Mat_Sum!$D39+$K$23*Mat_Sum!$I39+$K$24*Mat_Sum!$L39+$K$25*Mat_Sum!$AG39+$K$26*Mat_Sum!$AH39+$K$27*Mat_Sum!$AK39+$K$28*Mat_Sum!$AS39+$K$29*Mat_Sum!$AM39+$K$30*Mat_Sum!$AT39+$K$31*Mat_Sum!$AR39+$K$32*Mat_Sum!$AV39)</f>
        <v>46.962521894277863</v>
      </c>
      <c r="C539" s="349">
        <f ca="1">$J$6*$K$10*($K$35*Mat_Sum!$D39+$K$36*Mat_Sum!$E39+$K$37*Mat_Sum!$F39+$K$38*Mat_Sum!$I39+$K$39*Mat_Sum!$L39+$K$40*Mat_Sum!$AG39+$K$41*Mat_Sum!$AK39+$K$42*Mat_Sum!$AS39+$K$43*Mat_Sum!$AR39+$K$44*Mat_Sum!$AV39+$K$45*Mat_Sum!$AT39+$K$46*Mat_Sum!$BH39+$K$47*Mat_Sum!$BG39+$K$48*Mat_Sum!$BJ39+$K$49*Mat_Sum!$BI39+$K$50*Mat_Sum!$AW39+$K$51*Mat_Sum!$CF39+$K$52*Mat_Sum!$U39+$K$53*Mat_Sum!$CN39)</f>
        <v>4.7680980819619547</v>
      </c>
      <c r="D539" s="349">
        <f ca="1">$J$6*$K$11*($K$56*Mat_Sum!$D39+$K$57*Mat_Sum!$AG39+$K$58*Mat_Sum!$F39+$K$59*Mat_Sum!$AK39+$K$60*Mat_Sum!$I39+$K$61*Mat_Sum!$L39+$K$62*Mat_Sum!$AT39+$K$63*Mat_Sum!$AR39+$K$64*Mat_Sum!$AV39)</f>
        <v>1.1700170155961545</v>
      </c>
      <c r="E539" s="349">
        <f ca="1">$J$6*$K$12*($K$67*Mat_Sum!$D39+$K$68*Mat_Sum!$F39+$K$69*Mat_Sum!$I39+$K$70*Mat_Sum!$L39+$K$71*Mat_Sum!$AG39+$K$72*Mat_Sum!$AH39+$K$73*Mat_Sum!$AK39+$K$74*Mat_Sum!$AS39+$K$75*Mat_Sum!$AR39+$K$76*Mat_Sum!$AV39)+$A$136*(K$140*4)*($A$144*Mat_Sum!$AV39+$B$144*Mat_Sum!$D39)</f>
        <v>8.0396026226888342</v>
      </c>
      <c r="F539" s="349">
        <f ca="1">$J$6*$K$13*($K$79*Mat_Sum!$D39+$K$80*Mat_Sum!$E39+$K$81*Mat_Sum!$L39+$K$82*Mat_Sum!$AG39)</f>
        <v>1.2375427713892986</v>
      </c>
      <c r="G539" s="349"/>
      <c r="H539" s="349">
        <f ca="1">$J$6*$K$15*($K$90*Mat_Sum!$D39+$K$91*Mat_Sum!$L39+$K$92*Mat_Sum!$AG39+$K$93*Mat_Sum!$AV39+$K$94*Mat_Sum!$AR39)</f>
        <v>1.0829245180640004</v>
      </c>
      <c r="I539" s="348">
        <f ca="1">$J$6*$K$16*($K$97*Mat_Sum!$D39+$K$99*Mat_Sum!$AU39+$K$101*Mat_Sum!$I39+$K$102*Mat_Sum!$AG39+$K$103*Mat_Sum!$AR39+$K$104*Mat_Sum!$AV39+$K$105*Mat_Sum!$U39+$K$98*Mat_Sum!$E39+$K$100*Mat_Sum!$AS39+$K$106*Mat_Sum!$CN39)</f>
        <v>20.222600546439516</v>
      </c>
      <c r="J539" s="382">
        <f t="shared" ca="1" si="128"/>
        <v>0.56253786928805904</v>
      </c>
      <c r="K539" s="382">
        <f t="shared" ca="1" si="128"/>
        <v>5.7114388823104829E-2</v>
      </c>
      <c r="L539" s="382">
        <f t="shared" ca="1" si="128"/>
        <v>1.401498157330495E-2</v>
      </c>
      <c r="M539" s="382">
        <f t="shared" ca="1" si="129"/>
        <v>9.6301917930883538E-2</v>
      </c>
      <c r="N539" s="382">
        <f t="shared" ca="1" si="128"/>
        <v>1.4823834957956115E-2</v>
      </c>
      <c r="O539" s="382"/>
      <c r="P539" s="382">
        <f t="shared" ca="1" si="130"/>
        <v>1.2971749097353035E-2</v>
      </c>
      <c r="Q539" s="588">
        <f t="shared" ca="1" si="130"/>
        <v>0.24223525832933873</v>
      </c>
    </row>
    <row r="540" spans="1:17">
      <c r="A540" s="230" t="s">
        <v>825</v>
      </c>
      <c r="B540" s="347">
        <f ca="1">$J$6*$K$17*($K$22*Mat_Sum!$D40+$K$23*Mat_Sum!$I40+$K$24*Mat_Sum!$L40+$K$25*Mat_Sum!$AG40+$K$26*Mat_Sum!$AH40+$K$27*Mat_Sum!$AK40+$K$28*Mat_Sum!$AS40+$K$29*Mat_Sum!$AM40+$K$30*Mat_Sum!$AT40+$K$31*Mat_Sum!$AR40+$K$32*Mat_Sum!$AV40)</f>
        <v>41.06630016551842</v>
      </c>
      <c r="C540" s="349">
        <f ca="1">$J$6*$K$10*($K$35*Mat_Sum!$D40+$K$36*Mat_Sum!$E40+$K$37*Mat_Sum!$F40+$K$38*Mat_Sum!$I40+$K$39*Mat_Sum!$L40+$K$40*Mat_Sum!$AG40+$K$41*Mat_Sum!$AK40+$K$42*Mat_Sum!$AS40+$K$43*Mat_Sum!$AR40+$K$44*Mat_Sum!$AV40+$K$45*Mat_Sum!$AT40+$K$46*Mat_Sum!$BH40+$K$47*Mat_Sum!$BG40+$K$48*Mat_Sum!$BJ40+$K$49*Mat_Sum!$BI40+$K$50*Mat_Sum!$AW40+$K$51*Mat_Sum!$CF40+$K$52*Mat_Sum!$U40+$K$53*Mat_Sum!$CN40)</f>
        <v>4.1363284883606095</v>
      </c>
      <c r="D540" s="349">
        <f ca="1">$J$6*$K$11*($K$56*Mat_Sum!$D40+$K$57*Mat_Sum!$AG40+$K$58*Mat_Sum!$F40+$K$59*Mat_Sum!$AK40+$K$60*Mat_Sum!$I40+$K$61*Mat_Sum!$L40+$K$62*Mat_Sum!$AT40+$K$63*Mat_Sum!$AR40+$K$64*Mat_Sum!$AV40)</f>
        <v>1.0021480782632788</v>
      </c>
      <c r="E540" s="349">
        <f ca="1">$J$6*$K$12*($K$67*Mat_Sum!$D40+$K$68*Mat_Sum!$F40+$K$69*Mat_Sum!$I40+$K$70*Mat_Sum!$L40+$K$71*Mat_Sum!$AG40+$K$72*Mat_Sum!$AH40+$K$73*Mat_Sum!$AK40+$K$74*Mat_Sum!$AS40+$K$75*Mat_Sum!$AR40+$K$76*Mat_Sum!$AV40)+$A$136*(K$140*4)*($A$144*Mat_Sum!$AV40+$B$144*Mat_Sum!$D40)</f>
        <v>6.9496938948544464</v>
      </c>
      <c r="F540" s="349">
        <f ca="1">$J$6*$K$13*($K$79*Mat_Sum!$D40+$K$80*Mat_Sum!$E40+$K$81*Mat_Sum!$L40+$K$82*Mat_Sum!$AG40)</f>
        <v>1.0668985656369792</v>
      </c>
      <c r="G540" s="349"/>
      <c r="H540" s="349">
        <f ca="1">$J$6*$K$15*($K$90*Mat_Sum!$D40+$K$91*Mat_Sum!$L40+$K$92*Mat_Sum!$AG40+$K$93*Mat_Sum!$AV40+$K$94*Mat_Sum!$AR40)</f>
        <v>0.92194746168107566</v>
      </c>
      <c r="I540" s="348">
        <f ca="1">$J$6*$K$16*($K$97*Mat_Sum!$D40+$K$99*Mat_Sum!$AU40+$K$101*Mat_Sum!$I40+$K$102*Mat_Sum!$AG40+$K$103*Mat_Sum!$AR40+$K$104*Mat_Sum!$AV40+$K$105*Mat_Sum!$U40+$K$98*Mat_Sum!$E40+$K$100*Mat_Sum!$AS40+$K$106*Mat_Sum!$CN40)</f>
        <v>17.791599590272448</v>
      </c>
      <c r="J540" s="382">
        <f t="shared" ca="1" si="128"/>
        <v>0.5630540525720571</v>
      </c>
      <c r="K540" s="382">
        <f t="shared" ca="1" si="128"/>
        <v>5.6712596673031475E-2</v>
      </c>
      <c r="L540" s="382">
        <f t="shared" ca="1" si="128"/>
        <v>1.374030615052158E-2</v>
      </c>
      <c r="M540" s="382">
        <f t="shared" ca="1" si="129"/>
        <v>9.5286239467920211E-2</v>
      </c>
      <c r="N540" s="382">
        <f t="shared" ca="1" si="128"/>
        <v>1.4628090639867666E-2</v>
      </c>
      <c r="O540" s="382"/>
      <c r="P540" s="382">
        <f t="shared" ca="1" si="130"/>
        <v>1.2640687192802477E-2</v>
      </c>
      <c r="Q540" s="588">
        <f t="shared" ca="1" si="130"/>
        <v>0.24393802730379935</v>
      </c>
    </row>
    <row r="541" spans="1:17">
      <c r="A541" s="230" t="s">
        <v>826</v>
      </c>
      <c r="B541" s="347">
        <f ca="1">$J$6*$K$17*($K$22*Mat_Sum!$D41+$K$23*Mat_Sum!$I41+$K$24*Mat_Sum!$L41+$K$25*Mat_Sum!$AG41+$K$26*Mat_Sum!$AH41+$K$27*Mat_Sum!$AK41+$K$28*Mat_Sum!$AS41+$K$29*Mat_Sum!$AM41+$K$30*Mat_Sum!$AT41+$K$31*Mat_Sum!$AR41+$K$32*Mat_Sum!$AV41)</f>
        <v>326.77773494092162</v>
      </c>
      <c r="C541" s="349">
        <f ca="1">$J$6*$K$10*($K$35*Mat_Sum!$D41+$K$36*Mat_Sum!$E41+$K$37*Mat_Sum!$F41+$K$38*Mat_Sum!$I41+$K$39*Mat_Sum!$L41+$K$40*Mat_Sum!$AG41+$K$41*Mat_Sum!$AK41+$K$42*Mat_Sum!$AS41+$K$43*Mat_Sum!$AR41+$K$44*Mat_Sum!$AV41+$K$45*Mat_Sum!$AT41+$K$46*Mat_Sum!$BH41+$K$47*Mat_Sum!$BG41+$K$48*Mat_Sum!$BJ41+$K$49*Mat_Sum!$BI41+$K$50*Mat_Sum!$AW41+$K$51*Mat_Sum!$CF41+$K$52*Mat_Sum!$U41+$K$53*Mat_Sum!$CN41)</f>
        <v>36.645226123776524</v>
      </c>
      <c r="D541" s="349">
        <f ca="1">$J$6*$K$11*($K$56*Mat_Sum!$D41+$K$57*Mat_Sum!$AG41+$K$58*Mat_Sum!$F41+$K$59*Mat_Sum!$AK41+$K$60*Mat_Sum!$I41+$K$61*Mat_Sum!$L41+$K$62*Mat_Sum!$AT41+$K$63*Mat_Sum!$AR41+$K$64*Mat_Sum!$AV41)</f>
        <v>10.177053997460707</v>
      </c>
      <c r="E541" s="349">
        <f ca="1">$J$6*$K$12*($K$67*Mat_Sum!$D41+$K$68*Mat_Sum!$F41+$K$69*Mat_Sum!$I41+$K$70*Mat_Sum!$L41+$K$71*Mat_Sum!$AG41+$K$72*Mat_Sum!$AH41+$K$73*Mat_Sum!$AK41+$K$74*Mat_Sum!$AS41+$K$75*Mat_Sum!$AR41+$K$76*Mat_Sum!$AV41)+$A$136*(K$140*4)*($A$144*Mat_Sum!$AV41+$B$144*Mat_Sum!$D41)</f>
        <v>63.890160790932384</v>
      </c>
      <c r="F541" s="349">
        <f ca="1">$J$6*$K$13*($K$79*Mat_Sum!$D41+$K$80*Mat_Sum!$E41+$K$81*Mat_Sum!$L41+$K$82*Mat_Sum!$AG41)</f>
        <v>10.317905519605507</v>
      </c>
      <c r="G541" s="349"/>
      <c r="H541" s="349">
        <f ca="1">$J$6*$K$15*($K$90*Mat_Sum!$D41+$K$91*Mat_Sum!$L41+$K$92*Mat_Sum!$AG41+$K$93*Mat_Sum!$AV41+$K$94*Mat_Sum!$AR41)</f>
        <v>10.946493438974786</v>
      </c>
      <c r="I541" s="348">
        <f ca="1">$J$6*$K$16*($K$97*Mat_Sum!$D41+$K$99*Mat_Sum!$AU41+$K$101*Mat_Sum!$I41+$K$102*Mat_Sum!$AG41+$K$103*Mat_Sum!$AR41+$K$104*Mat_Sum!$AV41+$K$105*Mat_Sum!$U41+$K$98*Mat_Sum!$E41+$K$100*Mat_Sum!$AS41+$K$106*Mat_Sum!$CN41)</f>
        <v>128.294130644474</v>
      </c>
      <c r="J541" s="382">
        <f t="shared" ca="1" si="128"/>
        <v>0.55664501412537915</v>
      </c>
      <c r="K541" s="382">
        <f t="shared" ca="1" si="128"/>
        <v>6.2422803735343646E-2</v>
      </c>
      <c r="L541" s="382">
        <f t="shared" ca="1" si="128"/>
        <v>1.7335961910610105E-2</v>
      </c>
      <c r="M541" s="382">
        <f t="shared" ca="1" si="129"/>
        <v>0.10883281096972831</v>
      </c>
      <c r="N541" s="382">
        <f t="shared" ca="1" si="128"/>
        <v>1.7575893488408843E-2</v>
      </c>
      <c r="O541" s="382"/>
      <c r="P541" s="382">
        <f t="shared" ca="1" si="130"/>
        <v>1.864665288797324E-2</v>
      </c>
      <c r="Q541" s="588">
        <f t="shared" ca="1" si="130"/>
        <v>0.21854086288255689</v>
      </c>
    </row>
    <row r="542" spans="1:17">
      <c r="A542" s="230" t="s">
        <v>827</v>
      </c>
      <c r="B542" s="347">
        <f ca="1">$J$6*$K$17*($K$22*Mat_Sum!$D42+$K$23*Mat_Sum!$I42+$K$24*Mat_Sum!$L42+$K$25*Mat_Sum!$AG42+$K$26*Mat_Sum!$AH42+$K$27*Mat_Sum!$AK42+$K$28*Mat_Sum!$AS42+$K$29*Mat_Sum!$AM42+$K$30*Mat_Sum!$AT42+$K$31*Mat_Sum!$AR42+$K$32*Mat_Sum!$AV42)</f>
        <v>2.4896985672468728</v>
      </c>
      <c r="C542" s="349">
        <f ca="1">$J$6*$K$10*($K$35*Mat_Sum!$D42+$K$36*Mat_Sum!$E42+$K$37*Mat_Sum!$F42+$K$38*Mat_Sum!$I42+$K$39*Mat_Sum!$L42+$K$40*Mat_Sum!$AG42+$K$41*Mat_Sum!$AK42+$K$42*Mat_Sum!$AS42+$K$43*Mat_Sum!$AR42+$K$44*Mat_Sum!$AV42+$K$45*Mat_Sum!$AT42+$K$46*Mat_Sum!$BH42+$K$47*Mat_Sum!$BG42+$K$48*Mat_Sum!$BJ42+$K$49*Mat_Sum!$BI42+$K$50*Mat_Sum!$AW42+$K$51*Mat_Sum!$CF42+$K$52*Mat_Sum!$U42+$K$53*Mat_Sum!$CN42)</f>
        <v>0.24052492927884511</v>
      </c>
      <c r="D542" s="349">
        <f ca="1">$J$6*$K$11*($K$56*Mat_Sum!$D42+$K$57*Mat_Sum!$AG42+$K$58*Mat_Sum!$F42+$K$59*Mat_Sum!$AK42+$K$60*Mat_Sum!$I42+$K$61*Mat_Sum!$L42+$K$62*Mat_Sum!$AT42+$K$63*Mat_Sum!$AR42+$K$64*Mat_Sum!$AV42)</f>
        <v>5.2612651903792856E-2</v>
      </c>
      <c r="E542" s="349">
        <f ca="1">$J$6*$K$12*($K$67*Mat_Sum!$D42+$K$68*Mat_Sum!$F42+$K$69*Mat_Sum!$I42+$K$70*Mat_Sum!$L42+$K$71*Mat_Sum!$AG42+$K$72*Mat_Sum!$AH42+$K$73*Mat_Sum!$AK42+$K$74*Mat_Sum!$AS42+$K$75*Mat_Sum!$AR42+$K$76*Mat_Sum!$AV42)+$A$136*(K$140*4)*($A$144*Mat_Sum!$AV42+$B$144*Mat_Sum!$D42)</f>
        <v>0.4110045949807255</v>
      </c>
      <c r="F542" s="349">
        <f ca="1">$J$6*$K$13*($K$79*Mat_Sum!$D42+$K$80*Mat_Sum!$E42+$K$81*Mat_Sum!$L42+$K$82*Mat_Sum!$AG42)</f>
        <v>5.7109552336766185E-2</v>
      </c>
      <c r="G542" s="349"/>
      <c r="H542" s="349">
        <f ca="1">$J$6*$K$15*($K$90*Mat_Sum!$D42+$K$91*Mat_Sum!$L42+$K$92*Mat_Sum!$AG42+$K$93*Mat_Sum!$AV42+$K$94*Mat_Sum!$AR42)</f>
        <v>5.4314527686166167E-2</v>
      </c>
      <c r="I542" s="348">
        <f ca="1">$J$6*$K$16*($K$97*Mat_Sum!$D42+$K$99*Mat_Sum!$AU42+$K$101*Mat_Sum!$I42+$K$102*Mat_Sum!$AG42+$K$103*Mat_Sum!$AR42+$K$104*Mat_Sum!$AV42+$K$105*Mat_Sum!$U42+$K$98*Mat_Sum!$E42+$K$100*Mat_Sum!$AS42+$K$106*Mat_Sum!$CN42)</f>
        <v>1.053574147298884</v>
      </c>
      <c r="J542" s="382">
        <f t="shared" ca="1" si="128"/>
        <v>0.57118388267248521</v>
      </c>
      <c r="K542" s="382">
        <f t="shared" ca="1" si="128"/>
        <v>5.5180962383304048E-2</v>
      </c>
      <c r="L542" s="382">
        <f t="shared" ca="1" si="128"/>
        <v>1.2070336219591232E-2</v>
      </c>
      <c r="M542" s="382">
        <f t="shared" ca="1" si="129"/>
        <v>9.4292218120574117E-2</v>
      </c>
      <c r="N542" s="382">
        <f t="shared" ca="1" si="128"/>
        <v>1.3102010127062535E-2</v>
      </c>
      <c r="O542" s="382"/>
      <c r="P542" s="382">
        <f t="shared" ca="1" si="130"/>
        <v>1.2460778673143831E-2</v>
      </c>
      <c r="Q542" s="588">
        <f t="shared" ca="1" si="130"/>
        <v>0.24170981180383908</v>
      </c>
    </row>
    <row r="543" spans="1:17">
      <c r="A543" s="589" t="s">
        <v>828</v>
      </c>
      <c r="B543" s="503">
        <f ca="1">$J$6*$K$17*($K$22*Mat_Sum!$D43+$K$23*Mat_Sum!$I43+$K$24*Mat_Sum!$L43+$K$25*Mat_Sum!$AG43+$K$26*Mat_Sum!$AH43+$K$27*Mat_Sum!$AK43+$K$28*Mat_Sum!$AS43+$K$29*Mat_Sum!$AM43+$K$30*Mat_Sum!$AT43+$K$31*Mat_Sum!$AR43+$K$32*Mat_Sum!$AV43)</f>
        <v>9.9608523835683638</v>
      </c>
      <c r="C543" s="505">
        <f ca="1">$J$6*$K$10*($K$35*Mat_Sum!$D43+$K$36*Mat_Sum!$E43+$K$37*Mat_Sum!$F43+$K$38*Mat_Sum!$I43+$K$39*Mat_Sum!$L43+$K$40*Mat_Sum!$AG43+$K$41*Mat_Sum!$AK43+$K$42*Mat_Sum!$AS43+$K$43*Mat_Sum!$AR43+$K$44*Mat_Sum!$AV43+$K$45*Mat_Sum!$AT43+$K$46*Mat_Sum!$BH43+$K$47*Mat_Sum!$BG43+$K$48*Mat_Sum!$BJ43+$K$49*Mat_Sum!$BI43+$K$50*Mat_Sum!$AW43+$K$51*Mat_Sum!$CF43+$K$52*Mat_Sum!$U43+$K$53*Mat_Sum!$CN43)</f>
        <v>0.93519103965662065</v>
      </c>
      <c r="D543" s="505">
        <f ca="1">$J$6*$K$11*($K$56*Mat_Sum!$D43+$K$57*Mat_Sum!$AG43+$K$58*Mat_Sum!$F43+$K$59*Mat_Sum!$AK43+$K$60*Mat_Sum!$I43+$K$61*Mat_Sum!$L43+$K$62*Mat_Sum!$AT43+$K$63*Mat_Sum!$AR43+$K$64*Mat_Sum!$AV43)</f>
        <v>0.19969358305342605</v>
      </c>
      <c r="E543" s="505">
        <f ca="1">$J$6*$K$12*($K$67*Mat_Sum!$D43+$K$68*Mat_Sum!$F43+$K$69*Mat_Sum!$I43+$K$70*Mat_Sum!$L43+$K$71*Mat_Sum!$AG43+$K$72*Mat_Sum!$AH43+$K$73*Mat_Sum!$AK43+$K$74*Mat_Sum!$AS43+$K$75*Mat_Sum!$AR43+$K$76*Mat_Sum!$AV43)+$A$136*(K$140*4)*($A$144*Mat_Sum!$AV43+$B$144*Mat_Sum!$D43)</f>
        <v>1.5257176490625679</v>
      </c>
      <c r="F543" s="505">
        <f ca="1">$J$6*$K$13*($K$79*Mat_Sum!$D43+$K$80*Mat_Sum!$E43+$K$81*Mat_Sum!$L43+$K$82*Mat_Sum!$AG43)</f>
        <v>0.23361539067675799</v>
      </c>
      <c r="G543" s="505"/>
      <c r="H543" s="505">
        <f ca="1">$J$6*$K$15*($K$90*Mat_Sum!$D43+$K$91*Mat_Sum!$L43+$K$92*Mat_Sum!$AG43+$K$93*Mat_Sum!$AV43+$K$94*Mat_Sum!$AR43)</f>
        <v>0.18431063321135926</v>
      </c>
      <c r="I543" s="502">
        <f ca="1">$J$6*$K$16*($K$97*Mat_Sum!$D43+$K$99*Mat_Sum!$AU43+$K$101*Mat_Sum!$I43+$K$102*Mat_Sum!$AG43+$K$103*Mat_Sum!$AR43+$K$104*Mat_Sum!$AV43+$K$105*Mat_Sum!$U43+$K$98*Mat_Sum!$E43+$K$100*Mat_Sum!$AS43+$K$106*Mat_Sum!$CN43)</f>
        <v>4.5369479621094051</v>
      </c>
      <c r="J543" s="368">
        <f t="shared" ca="1" si="128"/>
        <v>0.56671973919177998</v>
      </c>
      <c r="K543" s="368">
        <f t="shared" ca="1" si="128"/>
        <v>5.3207416562359111E-2</v>
      </c>
      <c r="L543" s="368">
        <f t="shared" ca="1" si="128"/>
        <v>1.136150712292432E-2</v>
      </c>
      <c r="M543" s="368">
        <f t="shared" ca="1" si="129"/>
        <v>8.6805252689356835E-2</v>
      </c>
      <c r="N543" s="368">
        <f t="shared" ca="1" si="128"/>
        <v>1.3291478296969726E-2</v>
      </c>
      <c r="O543" s="368"/>
      <c r="P543" s="368">
        <f t="shared" ca="1" si="130"/>
        <v>1.0486298758540021E-2</v>
      </c>
      <c r="Q543" s="428">
        <f t="shared" ca="1" si="130"/>
        <v>0.25812830737807035</v>
      </c>
    </row>
  </sheetData>
  <mergeCells count="20">
    <mergeCell ref="B512:I512"/>
    <mergeCell ref="B376:I376"/>
    <mergeCell ref="B410:I410"/>
    <mergeCell ref="B444:I444"/>
    <mergeCell ref="B478:I478"/>
    <mergeCell ref="B206:I206"/>
    <mergeCell ref="B240:I240"/>
    <mergeCell ref="B342:I342"/>
    <mergeCell ref="B274:I274"/>
    <mergeCell ref="B308:I308"/>
    <mergeCell ref="J308:Q308"/>
    <mergeCell ref="J274:Q274"/>
    <mergeCell ref="J240:Q240"/>
    <mergeCell ref="J206:Q206"/>
    <mergeCell ref="J512:Q512"/>
    <mergeCell ref="J478:Q478"/>
    <mergeCell ref="J444:Q444"/>
    <mergeCell ref="J410:Q410"/>
    <mergeCell ref="J376:Q376"/>
    <mergeCell ref="J342:Q342"/>
  </mergeCells>
  <phoneticPr fontId="5" type="noConversion"/>
  <pageMargins left="0.75" right="0.75" top="1" bottom="1" header="0.5" footer="0.5"/>
  <pageSetup orientation="landscape" r:id="rId1"/>
  <headerFooter alignWithMargins="0">
    <oddHeader>&amp;A</oddHeader>
    <oddFooter>Page &amp;P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pageSetUpPr autoPageBreaks="0"/>
  </sheetPr>
  <dimension ref="A1:DC43"/>
  <sheetViews>
    <sheetView showGridLines="0" topLeftCell="Q1" zoomScale="85" zoomScaleNormal="85" workbookViewId="0">
      <selection activeCell="AG22" sqref="AG22"/>
    </sheetView>
  </sheetViews>
  <sheetFormatPr defaultColWidth="9.140625" defaultRowHeight="12.75"/>
  <cols>
    <col min="1" max="1" width="20.42578125" style="5" customWidth="1"/>
    <col min="2" max="12" width="8.42578125" style="5" customWidth="1"/>
    <col min="13" max="24" width="7.85546875" style="5" customWidth="1"/>
    <col min="25" max="27" width="9.28515625" style="5" bestFit="1" customWidth="1"/>
    <col min="28" max="32" width="9.28515625" style="5" customWidth="1"/>
    <col min="33" max="33" width="7.42578125" style="5" customWidth="1"/>
    <col min="34" max="44" width="8.42578125" style="5" customWidth="1"/>
    <col min="45" max="47" width="8.7109375" style="5" customWidth="1"/>
    <col min="48" max="48" width="10.42578125" style="5" bestFit="1" customWidth="1"/>
    <col min="49" max="49" width="12.7109375" style="5" bestFit="1" customWidth="1"/>
    <col min="50" max="53" width="9.28515625" style="5" bestFit="1" customWidth="1"/>
    <col min="54" max="54" width="10.28515625" style="5" bestFit="1" customWidth="1"/>
    <col min="55" max="57" width="9.28515625" style="5" bestFit="1" customWidth="1"/>
    <col min="58" max="62" width="8.7109375" style="5" customWidth="1"/>
    <col min="63" max="64" width="9.28515625" style="5" bestFit="1" customWidth="1"/>
    <col min="65" max="71" width="9.28515625" style="5" customWidth="1"/>
    <col min="72" max="76" width="9.28515625" style="5" bestFit="1" customWidth="1"/>
    <col min="77" max="77" width="10.28515625" style="5" bestFit="1" customWidth="1"/>
    <col min="78" max="78" width="9.28515625" style="5" bestFit="1" customWidth="1"/>
    <col min="79" max="93" width="9.140625" style="5"/>
    <col min="94" max="94" width="10.42578125" style="5" bestFit="1" customWidth="1"/>
    <col min="95" max="16384" width="9.140625" style="5"/>
  </cols>
  <sheetData>
    <row r="1" spans="1:107" ht="15.75">
      <c r="A1" s="2" t="s">
        <v>1367</v>
      </c>
    </row>
    <row r="3" spans="1:107" ht="15">
      <c r="A3" s="75" t="s">
        <v>1368</v>
      </c>
    </row>
    <row r="4" spans="1:107" ht="51">
      <c r="A4" s="640"/>
      <c r="B4" s="405" t="s">
        <v>1369</v>
      </c>
      <c r="C4" s="432" t="s">
        <v>1370</v>
      </c>
    </row>
    <row r="5" spans="1:107">
      <c r="A5" s="95" t="s">
        <v>38</v>
      </c>
      <c r="B5" s="369">
        <f>Mat_Inputs!C171</f>
        <v>0.73599999999999999</v>
      </c>
      <c r="C5" s="746">
        <f>Mat_Inputs!D171</f>
        <v>0.26400000000000001</v>
      </c>
    </row>
    <row r="6" spans="1:107">
      <c r="A6" s="95" t="s">
        <v>282</v>
      </c>
      <c r="B6" s="369">
        <f>Mat_Inputs!C172</f>
        <v>0.89</v>
      </c>
      <c r="C6" s="746">
        <f>Mat_Inputs!D172</f>
        <v>0.10999999999999999</v>
      </c>
    </row>
    <row r="7" spans="1:107">
      <c r="A7" s="95" t="s">
        <v>283</v>
      </c>
      <c r="B7" s="369">
        <f>Mat_Inputs!C173</f>
        <v>0.15</v>
      </c>
      <c r="C7" s="746">
        <f>Mat_Inputs!D173</f>
        <v>0.85</v>
      </c>
    </row>
    <row r="8" spans="1:107">
      <c r="A8" s="95" t="s">
        <v>46</v>
      </c>
      <c r="B8" s="369">
        <f>Mat_Inputs!C174</f>
        <v>0.27</v>
      </c>
      <c r="C8" s="746">
        <f>Mat_Inputs!D174</f>
        <v>0.73</v>
      </c>
    </row>
    <row r="9" spans="1:107">
      <c r="A9" s="477" t="s">
        <v>48</v>
      </c>
      <c r="B9" s="369">
        <f>Mat_Inputs!C175</f>
        <v>0.56000000000000005</v>
      </c>
      <c r="C9" s="746">
        <f>Mat_Inputs!D175</f>
        <v>0.43999999999999995</v>
      </c>
    </row>
    <row r="10" spans="1:107">
      <c r="A10" s="731" t="s">
        <v>56</v>
      </c>
      <c r="B10" s="426">
        <f>Mat_Inputs!C176</f>
        <v>0.47899999999999998</v>
      </c>
      <c r="C10" s="747">
        <f>Mat_Inputs!D176</f>
        <v>0.52100000000000002</v>
      </c>
    </row>
    <row r="12" spans="1:107" ht="15">
      <c r="A12" s="75" t="s">
        <v>1371</v>
      </c>
    </row>
    <row r="13" spans="1:107" s="431" customFormat="1" ht="90.75" customHeight="1">
      <c r="A13" s="2671"/>
      <c r="B13" s="72" t="s">
        <v>1372</v>
      </c>
      <c r="C13" s="72" t="s">
        <v>341</v>
      </c>
      <c r="D13" s="72" t="s">
        <v>1373</v>
      </c>
      <c r="E13" s="71" t="s">
        <v>280</v>
      </c>
      <c r="F13" s="2672" t="s">
        <v>2696</v>
      </c>
      <c r="G13" s="72" t="s">
        <v>1374</v>
      </c>
      <c r="H13" s="72" t="s">
        <v>1375</v>
      </c>
      <c r="I13" s="71" t="s">
        <v>1376</v>
      </c>
      <c r="J13" s="72" t="s">
        <v>364</v>
      </c>
      <c r="K13" s="72" t="s">
        <v>365</v>
      </c>
      <c r="L13" s="71" t="s">
        <v>1377</v>
      </c>
      <c r="M13" s="70" t="s">
        <v>474</v>
      </c>
      <c r="N13" s="72" t="s">
        <v>475</v>
      </c>
      <c r="O13" s="71" t="s">
        <v>1378</v>
      </c>
      <c r="P13" s="70" t="s">
        <v>1379</v>
      </c>
      <c r="Q13" s="72" t="s">
        <v>481</v>
      </c>
      <c r="R13" s="72" t="s">
        <v>2757</v>
      </c>
      <c r="S13" s="72" t="s">
        <v>2756</v>
      </c>
      <c r="T13" s="72" t="s">
        <v>2755</v>
      </c>
      <c r="U13" s="71" t="s">
        <v>1380</v>
      </c>
      <c r="V13" s="70" t="s">
        <v>1381</v>
      </c>
      <c r="W13" s="72" t="s">
        <v>483</v>
      </c>
      <c r="X13" s="71" t="s">
        <v>1382</v>
      </c>
      <c r="Y13" s="2672" t="s">
        <v>1383</v>
      </c>
      <c r="Z13" s="71" t="s">
        <v>1384</v>
      </c>
      <c r="AA13" s="71" t="s">
        <v>1385</v>
      </c>
      <c r="AB13" s="71" t="s">
        <v>2758</v>
      </c>
      <c r="AC13" s="71" t="s">
        <v>2759</v>
      </c>
      <c r="AD13" s="71" t="s">
        <v>1386</v>
      </c>
      <c r="AE13" s="71" t="s">
        <v>2753</v>
      </c>
      <c r="AF13" s="71" t="s">
        <v>2754</v>
      </c>
      <c r="AG13" s="71" t="s">
        <v>52</v>
      </c>
      <c r="AH13" s="71" t="s">
        <v>54</v>
      </c>
      <c r="AI13" s="70" t="s">
        <v>1121</v>
      </c>
      <c r="AJ13" s="72" t="s">
        <v>1122</v>
      </c>
      <c r="AK13" s="71" t="s">
        <v>1387</v>
      </c>
      <c r="AL13" s="71" t="s">
        <v>515</v>
      </c>
      <c r="AM13" s="70" t="s">
        <v>58</v>
      </c>
      <c r="AN13" s="71" t="s">
        <v>1388</v>
      </c>
      <c r="AO13" s="70" t="s">
        <v>1389</v>
      </c>
      <c r="AP13" s="71" t="s">
        <v>1390</v>
      </c>
      <c r="AQ13" s="70" t="s">
        <v>1391</v>
      </c>
      <c r="AR13" s="72" t="s">
        <v>285</v>
      </c>
      <c r="AS13" s="72" t="s">
        <v>1392</v>
      </c>
      <c r="AT13" s="72" t="s">
        <v>1393</v>
      </c>
      <c r="AU13" s="71" t="s">
        <v>1394</v>
      </c>
      <c r="AV13" s="2672" t="s">
        <v>61</v>
      </c>
      <c r="AW13" s="2672" t="s">
        <v>63</v>
      </c>
      <c r="AX13" s="2672" t="s">
        <v>65</v>
      </c>
      <c r="AY13" s="2672" t="s">
        <v>67</v>
      </c>
      <c r="AZ13" s="2672" t="s">
        <v>69</v>
      </c>
      <c r="BA13" s="2672" t="s">
        <v>71</v>
      </c>
      <c r="BB13" s="2672" t="s">
        <v>75</v>
      </c>
      <c r="BC13" s="2672" t="s">
        <v>2296</v>
      </c>
      <c r="BD13" s="2672" t="s">
        <v>77</v>
      </c>
      <c r="BE13" s="2672" t="s">
        <v>1395</v>
      </c>
      <c r="BF13" s="70" t="s">
        <v>391</v>
      </c>
      <c r="BG13" s="71" t="s">
        <v>290</v>
      </c>
      <c r="BH13" s="70" t="s">
        <v>1268</v>
      </c>
      <c r="BI13" s="72" t="s">
        <v>586</v>
      </c>
      <c r="BJ13" s="71" t="s">
        <v>291</v>
      </c>
      <c r="BK13" s="70" t="s">
        <v>1396</v>
      </c>
      <c r="BL13" s="72" t="s">
        <v>1397</v>
      </c>
      <c r="BM13" s="72" t="s">
        <v>2761</v>
      </c>
      <c r="BN13" s="72" t="s">
        <v>2762</v>
      </c>
      <c r="BO13" s="72" t="s">
        <v>2767</v>
      </c>
      <c r="BP13" s="72" t="s">
        <v>2763</v>
      </c>
      <c r="BQ13" s="72" t="s">
        <v>2764</v>
      </c>
      <c r="BR13" s="72" t="s">
        <v>2765</v>
      </c>
      <c r="BS13" s="72" t="s">
        <v>2766</v>
      </c>
      <c r="BT13" s="72" t="s">
        <v>1398</v>
      </c>
      <c r="BU13" s="72" t="s">
        <v>1399</v>
      </c>
      <c r="BV13" s="72" t="s">
        <v>1400</v>
      </c>
      <c r="BW13" s="72" t="s">
        <v>1401</v>
      </c>
      <c r="BX13" s="72" t="s">
        <v>1402</v>
      </c>
      <c r="BY13" s="72" t="s">
        <v>1403</v>
      </c>
      <c r="BZ13" s="72" t="s">
        <v>1404</v>
      </c>
      <c r="CA13" s="72" t="s">
        <v>1405</v>
      </c>
      <c r="CB13" s="72" t="s">
        <v>1406</v>
      </c>
      <c r="CC13" s="72" t="s">
        <v>1407</v>
      </c>
      <c r="CD13" s="2673" t="s">
        <v>225</v>
      </c>
      <c r="CE13" s="71" t="s">
        <v>1408</v>
      </c>
      <c r="CF13" s="2672" t="s">
        <v>1409</v>
      </c>
      <c r="CG13" s="2672" t="s">
        <v>1410</v>
      </c>
      <c r="CH13" s="70" t="s">
        <v>2760</v>
      </c>
      <c r="CI13" s="70" t="s">
        <v>1411</v>
      </c>
      <c r="CJ13" s="72" t="s">
        <v>1412</v>
      </c>
      <c r="CK13" s="71" t="s">
        <v>1413</v>
      </c>
      <c r="CL13" s="2672" t="s">
        <v>1414</v>
      </c>
      <c r="CM13" s="2672" t="s">
        <v>1415</v>
      </c>
      <c r="CN13" s="2672" t="s">
        <v>83</v>
      </c>
      <c r="CO13" s="2672" t="s">
        <v>1416</v>
      </c>
      <c r="CP13" s="2672" t="s">
        <v>73</v>
      </c>
      <c r="CQ13" s="2674" t="s">
        <v>378</v>
      </c>
      <c r="CR13" s="2675"/>
      <c r="CS13" s="2675"/>
      <c r="CT13" s="2675"/>
      <c r="CU13" s="2675"/>
      <c r="CV13" s="2675"/>
      <c r="CW13" s="2675"/>
      <c r="CX13" s="2675"/>
      <c r="CY13" s="2675"/>
      <c r="CZ13" s="2675"/>
      <c r="DA13" s="2675"/>
      <c r="DB13" s="2675"/>
      <c r="DC13" s="2675"/>
    </row>
    <row r="14" spans="1:107">
      <c r="A14" s="293" t="s">
        <v>1417</v>
      </c>
      <c r="B14" s="378"/>
      <c r="C14" s="378"/>
      <c r="D14" s="378"/>
      <c r="E14" s="380"/>
      <c r="F14" s="2676"/>
      <c r="G14" s="378"/>
      <c r="H14" s="378"/>
      <c r="I14" s="380"/>
      <c r="J14" s="378"/>
      <c r="K14" s="378"/>
      <c r="L14" s="380"/>
      <c r="M14" s="379"/>
      <c r="N14" s="378"/>
      <c r="O14" s="380"/>
      <c r="P14" s="379"/>
      <c r="Q14" s="378"/>
      <c r="R14" s="378"/>
      <c r="S14" s="378"/>
      <c r="T14" s="378"/>
      <c r="U14" s="380"/>
      <c r="V14" s="379"/>
      <c r="W14" s="378"/>
      <c r="X14" s="380"/>
      <c r="Y14" s="2677"/>
      <c r="Z14" s="2676"/>
      <c r="AA14" s="2676"/>
      <c r="AB14" s="2676"/>
      <c r="AC14" s="2676"/>
      <c r="AD14" s="2676"/>
      <c r="AE14" s="380"/>
      <c r="AF14" s="380"/>
      <c r="AG14" s="380"/>
      <c r="AH14" s="380"/>
      <c r="AI14" s="378"/>
      <c r="AJ14" s="378"/>
      <c r="AK14" s="380"/>
      <c r="AL14" s="380"/>
      <c r="AM14" s="379"/>
      <c r="AN14" s="380"/>
      <c r="AO14" s="379"/>
      <c r="AP14" s="380"/>
      <c r="AQ14" s="379"/>
      <c r="AR14" s="378"/>
      <c r="AS14" s="378"/>
      <c r="AT14" s="378"/>
      <c r="AU14" s="380"/>
      <c r="AV14" s="2676"/>
      <c r="AW14" s="2676"/>
      <c r="AX14" s="2676"/>
      <c r="AY14" s="2676"/>
      <c r="AZ14" s="2676"/>
      <c r="BA14" s="2676"/>
      <c r="BB14" s="2676"/>
      <c r="BC14" s="2676"/>
      <c r="BD14" s="2676"/>
      <c r="BE14" s="2676"/>
      <c r="BF14" s="379"/>
      <c r="BG14" s="380"/>
      <c r="BH14" s="379"/>
      <c r="BI14" s="378"/>
      <c r="BJ14" s="380"/>
      <c r="BK14" s="379"/>
      <c r="BL14" s="378"/>
      <c r="BM14" s="378"/>
      <c r="BN14" s="378"/>
      <c r="BO14" s="378"/>
      <c r="BP14" s="378"/>
      <c r="BQ14" s="378"/>
      <c r="BR14" s="378"/>
      <c r="BS14" s="378"/>
      <c r="BT14" s="378"/>
      <c r="BU14" s="378"/>
      <c r="BV14" s="378"/>
      <c r="BW14" s="378"/>
      <c r="BX14" s="378"/>
      <c r="BY14" s="378"/>
      <c r="BZ14" s="378"/>
      <c r="CA14" s="378"/>
      <c r="CB14" s="378"/>
      <c r="CC14" s="378"/>
      <c r="CD14" s="64"/>
      <c r="CE14" s="380"/>
      <c r="CF14" s="2676"/>
      <c r="CG14" s="2676"/>
      <c r="CH14" s="379"/>
      <c r="CI14" s="379"/>
      <c r="CJ14" s="378"/>
      <c r="CK14" s="380"/>
      <c r="CL14" s="2676"/>
      <c r="CM14" s="2676"/>
      <c r="CN14" s="2676"/>
      <c r="CO14" s="2676"/>
      <c r="CP14" s="2676"/>
      <c r="CQ14" s="570"/>
      <c r="CR14" s="64"/>
      <c r="CS14" s="64"/>
      <c r="CT14" s="64"/>
      <c r="CU14" s="64"/>
      <c r="CV14" s="64"/>
      <c r="CW14" s="64"/>
      <c r="CX14" s="64"/>
      <c r="CY14" s="64"/>
      <c r="CZ14" s="64"/>
      <c r="DA14" s="64"/>
      <c r="DB14" s="64"/>
      <c r="DC14" s="64"/>
    </row>
    <row r="15" spans="1:107">
      <c r="A15" s="291" t="s">
        <v>816</v>
      </c>
      <c r="B15" s="349">
        <f ca="1">Steel!V108</f>
        <v>1.4759012871451012E-2</v>
      </c>
      <c r="C15" s="349">
        <f ca="1">Steel!F142</f>
        <v>4.8074728193432592E-3</v>
      </c>
      <c r="D15" s="349">
        <f ca="1">B15*$B$5+C15*$C$5</f>
        <v>1.2131806297694565E-2</v>
      </c>
      <c r="E15" s="348">
        <f ca="1">Steel!F210</f>
        <v>5.882347636953192E-3</v>
      </c>
      <c r="F15" s="494">
        <f ca="1">'C.Iron'!K62</f>
        <v>1.3740403248997494E-2</v>
      </c>
      <c r="G15" s="349">
        <f ca="1">W.Al!V126</f>
        <v>5.7623598152407682E-2</v>
      </c>
      <c r="H15" s="349">
        <f ca="1">W.Al!S164</f>
        <v>1.1500787541114615E-2</v>
      </c>
      <c r="I15" s="348">
        <f ca="1">G15*$B$6+H15*$C$6</f>
        <v>5.2550088985165444E-2</v>
      </c>
      <c r="J15" s="349">
        <f ca="1">'C.Al'!J115</f>
        <v>6.4026812576815223E-2</v>
      </c>
      <c r="K15" s="349">
        <f ca="1">'C.Al'!G151</f>
        <v>1.3200122669193473E-2</v>
      </c>
      <c r="L15" s="348">
        <f ca="1">J15*$B$7+K15*$C$7</f>
        <v>2.0824126155336735E-2</v>
      </c>
      <c r="M15" s="347">
        <f ca="1">Lead!F60</f>
        <v>1.0517550454972205E-2</v>
      </c>
      <c r="N15" s="349">
        <f>Lead!H60</f>
        <v>2.114367968143527E-3</v>
      </c>
      <c r="O15" s="348">
        <f ca="1">M15*$B$8+N15*$C$8</f>
        <v>4.3832272395872701E-3</v>
      </c>
      <c r="P15" s="347">
        <f ca="1">Nickel!R138</f>
        <v>0.11070868585256149</v>
      </c>
      <c r="Q15" s="349">
        <f>Nickel!T138</f>
        <v>9.5951478792564802E-3</v>
      </c>
      <c r="R15" s="349">
        <f ca="1">$B$9*SUM(Nickel!B138:D138)/2000</f>
        <v>4.7944353809223281E-2</v>
      </c>
      <c r="S15" s="349">
        <f ca="1">$B$9*Nickel!E138/2000</f>
        <v>1.4052510268211166E-2</v>
      </c>
      <c r="T15" s="349">
        <f>$C$9*Nickel!F138/2000</f>
        <v>4.221865066872851E-3</v>
      </c>
      <c r="U15" s="348">
        <f ca="1">P15*$B$9+Q15*$C$9</f>
        <v>6.6218729144307292E-2</v>
      </c>
      <c r="V15" s="347">
        <f ca="1">Nickel!AF138</f>
        <v>7.3809379082534876E-2</v>
      </c>
      <c r="W15" s="349">
        <f>Nickel!AH138</f>
        <v>1.4797408990336587E-3</v>
      </c>
      <c r="X15" s="348">
        <f ca="1">V15*$B$9+W15*$C$9</f>
        <v>4.1984338281794348E-2</v>
      </c>
      <c r="Y15" s="817">
        <f ca="1">Nickel!V138</f>
        <v>0.11070868585256149</v>
      </c>
      <c r="Z15" s="494">
        <f ca="1">Cobalt!N86</f>
        <v>0.11312755736082619</v>
      </c>
      <c r="AA15" s="494">
        <f ca="1">Cobalt!J86</f>
        <v>5.3304671828197994E-2</v>
      </c>
      <c r="AB15" s="494">
        <f ca="1">SUM(Cobalt!B86:C86)/2000</f>
        <v>2.5098011993789734E-2</v>
      </c>
      <c r="AC15" s="494">
        <f ca="1">SUM(Cobalt!D86,Cobalt!F86)/2000</f>
        <v>0.10586580786872314</v>
      </c>
      <c r="AD15" s="494">
        <f ca="1">Cobalt!P86</f>
        <v>0.13096381986251288</v>
      </c>
      <c r="AE15" s="348">
        <f>Copper!M63</f>
        <v>1.4683921713102477E-3</v>
      </c>
      <c r="AF15" s="348">
        <f>Copper!N63</f>
        <v>1.7304529769188996E-2</v>
      </c>
      <c r="AG15" s="348">
        <f>Copper!L63</f>
        <v>1.8772921940499246E-2</v>
      </c>
      <c r="AH15" s="348">
        <f>Zinc!F72</f>
        <v>1.8170994073455293E-2</v>
      </c>
      <c r="AI15" s="349">
        <f ca="1">Magnesium!H70</f>
        <v>0.10978262326976271</v>
      </c>
      <c r="AJ15" s="349">
        <f>Magnesium!J70</f>
        <v>6.825976784184974E-3</v>
      </c>
      <c r="AK15" s="348">
        <f t="shared" ref="AK15:AK20" ca="1" si="0">SUMPRODUCT(AI15:AJ15,B$10:C$10)</f>
        <v>5.6142210450776706E-2</v>
      </c>
      <c r="AL15" s="348">
        <f>GREET1_Import_Export!G494/2000</f>
        <v>2.5692131981994414E-4</v>
      </c>
      <c r="AM15" s="347">
        <f>Glass!K71</f>
        <v>9.7798969699039884E-3</v>
      </c>
      <c r="AN15" s="348">
        <f>Glass!Q71</f>
        <v>1.1386987652920637E-2</v>
      </c>
      <c r="AO15" s="347">
        <f>Vehi_Plastics!AV105</f>
        <v>3.2920230880993016E-2</v>
      </c>
      <c r="AP15" s="348">
        <f>Vehi_Plastics!BH105</f>
        <v>3.201858099635977E-2</v>
      </c>
      <c r="AQ15" s="347">
        <f>Vehi_Plastics!BJ105</f>
        <v>3.205529654845117E-2</v>
      </c>
      <c r="AR15" s="349">
        <f>Vehi_Plastics!BR105</f>
        <v>3.7233163965860745E-2</v>
      </c>
      <c r="AS15" s="349">
        <f>Vehi_Plastics!BZ105</f>
        <v>3.67059884401882E-2</v>
      </c>
      <c r="AT15" s="349">
        <f>Vehi_Plastics!CB105</f>
        <v>0.10822865421389227</v>
      </c>
      <c r="AU15" s="348">
        <f>Vehi_Plastics!CD105</f>
        <v>0.16106424606718853</v>
      </c>
      <c r="AV15" s="494">
        <f>Rubber!J65</f>
        <v>2.3493415244995819E-2</v>
      </c>
      <c r="AW15" s="494">
        <f>Platinum!O69</f>
        <v>0.57927082235795457</v>
      </c>
      <c r="AX15" s="494">
        <f>Vanadium!F59</f>
        <v>0</v>
      </c>
      <c r="AY15" s="494">
        <f>Zirconium!F59</f>
        <v>8.9689747794690217E-2</v>
      </c>
      <c r="AZ15" s="494">
        <f>Titanium!F56</f>
        <v>0</v>
      </c>
      <c r="BA15" s="494">
        <f>Chromium!F56</f>
        <v>0</v>
      </c>
      <c r="BB15" s="494">
        <f>'Rare Earth'!F56</f>
        <v>0.11422717062135584</v>
      </c>
      <c r="BC15" s="494">
        <f>Manganese!H73/2000</f>
        <v>9.9240540008457574E-3</v>
      </c>
      <c r="BD15" s="494">
        <f>Manganese!E73</f>
        <v>5.1755883429134703E-2</v>
      </c>
      <c r="BE15" s="494">
        <f>AN15</f>
        <v>1.1386987652920637E-2</v>
      </c>
      <c r="BF15" s="347">
        <f>Vehi_Plastics!W105/2000</f>
        <v>0.17591016578529239</v>
      </c>
      <c r="BG15" s="348">
        <f>BF15*3.5</f>
        <v>0.61568558024852338</v>
      </c>
      <c r="BH15" s="347">
        <f>'FC Materials'!C56</f>
        <v>9.1289278521686796E-3</v>
      </c>
      <c r="BI15" s="349">
        <f>'FC Materials'!E56</f>
        <v>8.9373807323037228E-3</v>
      </c>
      <c r="BJ15" s="348">
        <f>'FC Materials'!G56</f>
        <v>4.8027332960040116E-2</v>
      </c>
      <c r="BK15" s="347">
        <f>LiMn2O4!L90/2000</f>
        <v>1.803119027000772E-2</v>
      </c>
      <c r="BL15" s="349">
        <f ca="1">Other_Cathodes!E119/2000</f>
        <v>0.12718241123291996</v>
      </c>
      <c r="BM15" s="349">
        <f ca="1">Other_Cathodes!$G$16*Other_Cathodes!$F$9*(Nickel!$B$57*Nickel!$F$80*Nickel!B138+Nickel!$C$57*Nickel!H138)/2000</f>
        <v>4.7386202808312652E-3</v>
      </c>
      <c r="BN15" s="349">
        <f ca="1">Other_Cathodes!$G$16*Other_Cathodes!$F$9*(Nickel!AC138)/2000-BM15</f>
        <v>2.2912380159679273E-2</v>
      </c>
      <c r="BO15" s="349">
        <f>Other_Cathodes!$G$16*Other_Cathodes!$F$11*Other_Cathodes!$B$7*Other_Cathodes!C152/2000</f>
        <v>1.8849461058210195E-3</v>
      </c>
      <c r="BP15" s="349">
        <f ca="1">Other_Cathodes!$G$16*Other_Cathodes!$F$10*Cobalt!$C$18*Cobalt!B86/2000</f>
        <v>2.6235857821664981E-3</v>
      </c>
      <c r="BQ15" s="349">
        <f ca="1">Other_Cathodes!$G$16*Other_Cathodes!$F$10*Cobalt!G86/2000-Mat_Sum!BP15</f>
        <v>2.1292200071562069E-2</v>
      </c>
      <c r="BR15" s="349">
        <f>Other_Cathodes!$G$26*Li_Chemicals!V107/2000</f>
        <v>2.2194412776098252E-2</v>
      </c>
      <c r="BS15" s="349">
        <f ca="1">BT15-SUM(BM15:BR15)</f>
        <v>5.4971785289508787E-2</v>
      </c>
      <c r="BT15" s="349">
        <f ca="1">(Other_Cathodes!G119*'Battery Recycling'!$F$38+'Battery Recycling'!$E$38*'Battery Recycling'!K134)/2000</f>
        <v>0.13061793046566716</v>
      </c>
      <c r="BU15" s="349">
        <f ca="1">Other_Cathodes!I119/2000</f>
        <v>0.13581009539249958</v>
      </c>
      <c r="BV15" s="349">
        <f ca="1">Other_Cathodes!K119/2000</f>
        <v>0.14196967478914929</v>
      </c>
      <c r="BW15" s="349">
        <f ca="1">Other_Cathodes!M119/2000</f>
        <v>0.16247457157841694</v>
      </c>
      <c r="BX15" s="349">
        <f ca="1">Other_Cathodes!O119/2000</f>
        <v>0.10150613811418337</v>
      </c>
      <c r="BY15" s="349">
        <f ca="1">Other_Cathodes!R119/2000</f>
        <v>7.6268196523636964E-2</v>
      </c>
      <c r="BZ15" s="349">
        <f ca="1">Other_Cathodes!P119/2000</f>
        <v>5.355944142393055E-2</v>
      </c>
      <c r="CA15" s="349">
        <f ca="1">Other_Cathodes!V119/2000</f>
        <v>2.5637423826721583E-2</v>
      </c>
      <c r="CB15" s="349">
        <f ca="1">Other_Cathodes!U119/2000</f>
        <v>0.15211190137013472</v>
      </c>
      <c r="CC15" s="349">
        <f ca="1">Other_Cathodes!S119/2000</f>
        <v>0.1273205057232939</v>
      </c>
      <c r="CD15" s="349">
        <f ca="1">Other_Cathodes!AB119/2000</f>
        <v>0.17261053835699225</v>
      </c>
      <c r="CE15" s="348">
        <f>Battery_Materials!K89</f>
        <v>4.2610950634462214E-2</v>
      </c>
      <c r="CF15" s="494">
        <f ca="1">Anode!C81</f>
        <v>3.8693861505622526E-2</v>
      </c>
      <c r="CG15" s="494">
        <f>Battery_Materials!C89</f>
        <v>1.5388897568200584E-2</v>
      </c>
      <c r="CH15" s="347"/>
      <c r="CI15" s="347">
        <f>Battery_Materials!E89</f>
        <v>7.5350456048049089E-2</v>
      </c>
      <c r="CJ15" s="349">
        <f>Battery_Materials!G89</f>
        <v>4.2932044797609464E-3</v>
      </c>
      <c r="CK15" s="348">
        <f>Battery_Materials!I89</f>
        <v>1.5782651817447455E-2</v>
      </c>
      <c r="CL15" s="494">
        <f>Battery_Materials!M89</f>
        <v>0.16905300743892279</v>
      </c>
      <c r="CM15" s="494">
        <f>Vehi_Fluids!J72</f>
        <v>9.7268629108059439E-3</v>
      </c>
      <c r="CN15" s="494">
        <f ca="1">Silicon!C72</f>
        <v>1.5725094640807533</v>
      </c>
      <c r="CO15" s="494">
        <f ca="1">Silicon!E72</f>
        <v>0.40885227997825774</v>
      </c>
      <c r="CP15" s="494">
        <f xml:space="preserve"> Molybdenum!G67</f>
        <v>0.14550034641671761</v>
      </c>
      <c r="CQ15" s="2637">
        <f xml:space="preserve"> Vehi_Plastics!BB105</f>
        <v>5.3037772697243905E-2</v>
      </c>
      <c r="CR15" s="64"/>
      <c r="CS15" s="64"/>
      <c r="CT15" s="64"/>
      <c r="CU15" s="64"/>
      <c r="CV15" s="64"/>
      <c r="CW15" s="64"/>
      <c r="CX15" s="64"/>
      <c r="CY15" s="64"/>
      <c r="CZ15" s="64"/>
      <c r="DA15" s="64"/>
      <c r="DB15" s="64"/>
      <c r="DC15" s="64"/>
    </row>
    <row r="16" spans="1:107">
      <c r="A16" s="291" t="s">
        <v>817</v>
      </c>
      <c r="B16" s="349">
        <f ca="1">Steel!V109</f>
        <v>1.391924224590683E-2</v>
      </c>
      <c r="C16" s="349">
        <f ca="1">Steel!F143</f>
        <v>4.128948939030987E-3</v>
      </c>
      <c r="D16" s="349">
        <f ca="1">B16*$B$5+C16*$C$5</f>
        <v>1.1334604812891606E-2</v>
      </c>
      <c r="E16" s="348">
        <f ca="1">Steel!F211</f>
        <v>5.0207637965518108E-3</v>
      </c>
      <c r="F16" s="494">
        <f ca="1">'C.Iron'!K63</f>
        <v>1.3536532866889316E-2</v>
      </c>
      <c r="G16" s="349">
        <f ca="1">W.Al!V127</f>
        <v>3.6375784873089616E-2</v>
      </c>
      <c r="H16" s="349">
        <f ca="1">W.Al!S165</f>
        <v>9.4883716371957326E-3</v>
      </c>
      <c r="I16" s="348">
        <f ca="1">G16*$B$6+H16*$C$6</f>
        <v>3.3418169417141291E-2</v>
      </c>
      <c r="J16" s="349">
        <f ca="1">'C.Al'!J116</f>
        <v>4.0696946500765614E-2</v>
      </c>
      <c r="K16" s="349">
        <f ca="1">'C.Al'!G152</f>
        <v>1.1067394510188211E-2</v>
      </c>
      <c r="L16" s="348">
        <f ca="1">J16*$B$7+K16*$C$7</f>
        <v>1.5511827308774821E-2</v>
      </c>
      <c r="M16" s="347">
        <f ca="1">Lead!F61</f>
        <v>1.0050272172121772E-2</v>
      </c>
      <c r="N16" s="349">
        <f>Lead!H61</f>
        <v>2.1127178375813876E-3</v>
      </c>
      <c r="O16" s="348">
        <f ca="1">M16*$B$8+N16*$C$8</f>
        <v>4.2558575079072918E-3</v>
      </c>
      <c r="P16" s="347">
        <f ca="1">Nickel!R139</f>
        <v>9.3193435585931017E-2</v>
      </c>
      <c r="Q16" s="349">
        <f>Nickel!T139</f>
        <v>9.2193638364522802E-3</v>
      </c>
      <c r="R16" s="349">
        <f ca="1">$B$9*SUM(Nickel!B139:D139)/2000</f>
        <v>4.0409333940069354E-2</v>
      </c>
      <c r="S16" s="349">
        <f ca="1">$B$9*Nickel!E139/2000</f>
        <v>1.1778989988052022E-2</v>
      </c>
      <c r="T16" s="349">
        <f>$C$9*Nickel!F139/2000</f>
        <v>4.0565200880390024E-3</v>
      </c>
      <c r="U16" s="348">
        <f ca="1">P16*$B$9+Q16*$C$9</f>
        <v>5.6244844016160374E-2</v>
      </c>
      <c r="V16" s="347">
        <f ca="1">Nickel!AF139</f>
        <v>6.2257572300092538E-2</v>
      </c>
      <c r="W16" s="349">
        <f>Nickel!AH139</f>
        <v>1.4217883771612517E-3</v>
      </c>
      <c r="X16" s="348">
        <f t="shared" ref="X16:X41" ca="1" si="1">V16*$B$9+W16*$C$9</f>
        <v>3.5489827374002775E-2</v>
      </c>
      <c r="Y16" s="817">
        <f ca="1">Nickel!V139</f>
        <v>9.3193435585931017E-2</v>
      </c>
      <c r="Z16" s="494">
        <f ca="1">Cobalt!N87</f>
        <v>0.10278851969441777</v>
      </c>
      <c r="AA16" s="494">
        <f ca="1">Cobalt!J87</f>
        <v>4.7796640025842094E-2</v>
      </c>
      <c r="AB16" s="494">
        <f ca="1">SUM(Cobalt!B87:C87)/2000</f>
        <v>2.067502536024286E-2</v>
      </c>
      <c r="AC16" s="494">
        <f ca="1">SUM(Cobalt!D87,Cobalt!F87)/2000</f>
        <v>9.6453428028214147E-2</v>
      </c>
      <c r="AD16" s="494">
        <f ca="1">Cobalt!P87</f>
        <v>0.11712845338845701</v>
      </c>
      <c r="AE16" s="348">
        <f>Copper!M64</f>
        <v>1.267383123717403E-3</v>
      </c>
      <c r="AF16" s="348">
        <f>Copper!N64</f>
        <v>1.494346859312666E-2</v>
      </c>
      <c r="AG16" s="348">
        <f>Copper!L64</f>
        <v>1.6210851716844062E-2</v>
      </c>
      <c r="AH16" s="348">
        <f>Zinc!F73</f>
        <v>1.4612780200483455E-2</v>
      </c>
      <c r="AI16" s="349">
        <f ca="1">Magnesium!H71</f>
        <v>9.8318183071363058E-2</v>
      </c>
      <c r="AJ16" s="349">
        <f>Magnesium!J71</f>
        <v>6.1484207554085638E-3</v>
      </c>
      <c r="AK16" s="348">
        <f t="shared" ca="1" si="0"/>
        <v>5.0297736904750763E-2</v>
      </c>
      <c r="AL16" s="348">
        <f>GREET1_Import_Export!G495/2000</f>
        <v>2.4231390501572962E-4</v>
      </c>
      <c r="AM16" s="347">
        <f>Glass!K72</f>
        <v>9.2776730966367214E-3</v>
      </c>
      <c r="AN16" s="348">
        <f>Glass!Q72</f>
        <v>1.0384649718151449E-2</v>
      </c>
      <c r="AO16" s="347">
        <f>Vehi_Plastics!AV106</f>
        <v>3.1646483589158725E-2</v>
      </c>
      <c r="AP16" s="348">
        <f>Vehi_Plastics!BH106</f>
        <v>3.0722123743841236E-2</v>
      </c>
      <c r="AQ16" s="347">
        <f>Vehi_Plastics!BJ106</f>
        <v>3.1252949869563985E-2</v>
      </c>
      <c r="AR16" s="349">
        <f>Vehi_Plastics!BR106</f>
        <v>3.6095878378539087E-2</v>
      </c>
      <c r="AS16" s="349">
        <f>Vehi_Plastics!BZ106</f>
        <v>3.4259866678631574E-2</v>
      </c>
      <c r="AT16" s="349">
        <f>Vehi_Plastics!CB106</f>
        <v>0.1001237090551259</v>
      </c>
      <c r="AU16" s="348">
        <f>Vehi_Plastics!CD106</f>
        <v>0.14516658100348315</v>
      </c>
      <c r="AV16" s="494">
        <f>Rubber!J66</f>
        <v>2.2900993694259086E-2</v>
      </c>
      <c r="AW16" s="494">
        <f>Platinum!O70</f>
        <v>0.55473756201795543</v>
      </c>
      <c r="AX16" s="494">
        <f>Vanadium!F60</f>
        <v>0</v>
      </c>
      <c r="AY16" s="494">
        <f>Zirconium!F60</f>
        <v>8.2481711078645437E-2</v>
      </c>
      <c r="AZ16" s="494">
        <f>Titanium!F57</f>
        <v>0</v>
      </c>
      <c r="BA16" s="494">
        <f>Chromium!F57</f>
        <v>0</v>
      </c>
      <c r="BB16" s="494">
        <f>'Rare Earth'!F57</f>
        <v>9.0469560734542792E-2</v>
      </c>
      <c r="BC16" s="494">
        <f>Manganese!H74/2000</f>
        <v>8.1026086761844772E-3</v>
      </c>
      <c r="BD16" s="494">
        <f>Manganese!E74</f>
        <v>5.0997949136901526E-2</v>
      </c>
      <c r="BE16" s="494">
        <f>AN16</f>
        <v>1.0384649718151449E-2</v>
      </c>
      <c r="BF16" s="347">
        <f>Vehi_Plastics!W106/2000</f>
        <v>0.15646482470834516</v>
      </c>
      <c r="BG16" s="348">
        <f t="shared" ref="BG16:BG41" si="2">BF16*3.5</f>
        <v>0.5476268864792081</v>
      </c>
      <c r="BH16" s="347">
        <f>'FC Materials'!C57</f>
        <v>8.0578036048287952E-3</v>
      </c>
      <c r="BI16" s="349">
        <f>'FC Materials'!E57</f>
        <v>7.8887312780521329E-3</v>
      </c>
      <c r="BJ16" s="348">
        <f>'FC Materials'!G57</f>
        <v>4.6818195283381374E-2</v>
      </c>
      <c r="BK16" s="347">
        <f>LiMn2O4!L91/2000</f>
        <v>1.6591371595071583E-2</v>
      </c>
      <c r="BL16" s="349">
        <f ca="1">Other_Cathodes!E120/2000</f>
        <v>0.11652006234405547</v>
      </c>
      <c r="BM16" s="349">
        <f ca="1">Other_Cathodes!$G$16*Other_Cathodes!$F$9*(Nickel!$B$57*Nickel!$F$80*Nickel!B139+Nickel!$C$57*Nickel!H139)/2000</f>
        <v>4.4912638874201371E-3</v>
      </c>
      <c r="BN16" s="349">
        <f ca="1">Other_Cathodes!$G$16*Other_Cathodes!$F$9*(Nickel!AC139)/2000-BM16</f>
        <v>2.1121368988000825E-2</v>
      </c>
      <c r="BO16" s="349">
        <f>Other_Cathodes!$G$16*Other_Cathodes!$F$11*Other_Cathodes!$B$7*Other_Cathodes!C153/2000</f>
        <v>1.5389860504451032E-3</v>
      </c>
      <c r="BP16" s="349">
        <f ca="1">Other_Cathodes!$G$16*Other_Cathodes!$F$10*Cobalt!$C$18*Cobalt!B87/2000</f>
        <v>2.6109554606894136E-3</v>
      </c>
      <c r="BQ16" s="349">
        <f ca="1">Other_Cathodes!$G$16*Other_Cathodes!$F$10*Cobalt!G87/2000-Mat_Sum!BP16</f>
        <v>1.8833585293074273E-2</v>
      </c>
      <c r="BR16" s="349">
        <f>Other_Cathodes!$G$26*Li_Chemicals!V108/2000</f>
        <v>2.1735713124020697E-2</v>
      </c>
      <c r="BS16" s="349">
        <f t="shared" ref="BS16:BS43" ca="1" si="3">BT16-SUM(BM16:BR16)</f>
        <v>4.9126965393885877E-2</v>
      </c>
      <c r="BT16" s="349">
        <f ca="1">(Other_Cathodes!G120*'Battery Recycling'!$F$38+'Battery Recycling'!$E$38*'Battery Recycling'!K135)/2000</f>
        <v>0.11945883819753632</v>
      </c>
      <c r="BU16" s="349">
        <f ca="1">Other_Cathodes!I120/2000</f>
        <v>0.12454965110205234</v>
      </c>
      <c r="BV16" s="349">
        <f ca="1">Other_Cathodes!K120/2000</f>
        <v>0.13033652731208648</v>
      </c>
      <c r="BW16" s="349">
        <f ca="1">Other_Cathodes!M120/2000</f>
        <v>0.14874595830167545</v>
      </c>
      <c r="BX16" s="349">
        <f ca="1">Other_Cathodes!O120/2000</f>
        <v>9.2598938114321738E-2</v>
      </c>
      <c r="BY16" s="349">
        <f ca="1">Other_Cathodes!R120/2000</f>
        <v>7.1885757211281751E-2</v>
      </c>
      <c r="BZ16" s="349">
        <f ca="1">Other_Cathodes!P120/2000</f>
        <v>5.1688976593669382E-2</v>
      </c>
      <c r="CA16" s="349">
        <f ca="1">Other_Cathodes!V120/2000</f>
        <v>2.4347131949098415E-2</v>
      </c>
      <c r="CB16" s="349">
        <f ca="1">Other_Cathodes!U120/2000</f>
        <v>0.13889844187743483</v>
      </c>
      <c r="CC16" s="349">
        <f ca="1">Other_Cathodes!S120/2000</f>
        <v>0.11503543223808196</v>
      </c>
      <c r="CD16" s="349">
        <f ca="1">Other_Cathodes!AB120/2000</f>
        <v>0.15845343909324078</v>
      </c>
      <c r="CE16" s="348">
        <f>Battery_Materials!K90</f>
        <v>4.2029136686436146E-2</v>
      </c>
      <c r="CF16" s="494">
        <f ca="1">Anode!C82</f>
        <v>3.6367166692201892E-2</v>
      </c>
      <c r="CG16" s="494">
        <f>Battery_Materials!C90</f>
        <v>1.3655104212036905E-2</v>
      </c>
      <c r="CH16" s="347"/>
      <c r="CI16" s="347">
        <f>Battery_Materials!E90</f>
        <v>5.9945899710883439E-2</v>
      </c>
      <c r="CJ16" s="349">
        <f>Battery_Materials!G90</f>
        <v>4.1676904769777671E-3</v>
      </c>
      <c r="CK16" s="348">
        <f>Battery_Materials!I90</f>
        <v>1.5336449315851229E-2</v>
      </c>
      <c r="CL16" s="494">
        <f>Battery_Materials!M90</f>
        <v>0.1435128936500914</v>
      </c>
      <c r="CM16" s="494">
        <f>Vehi_Fluids!J73</f>
        <v>9.5795501612637533E-3</v>
      </c>
      <c r="CN16" s="494">
        <f ca="1">Silicon!C73</f>
        <v>1.1302316974026025</v>
      </c>
      <c r="CO16" s="494">
        <f ca="1">Silicon!E73</f>
        <v>0.2529802107542905</v>
      </c>
      <c r="CP16" s="494">
        <f xml:space="preserve"> Molybdenum!G68</f>
        <v>0.14037031665443642</v>
      </c>
      <c r="CQ16" s="2637">
        <f xml:space="preserve"> Vehi_Plastics!BB106</f>
        <v>5.1399321219695593E-2</v>
      </c>
      <c r="CR16" s="64"/>
      <c r="CS16" s="64"/>
      <c r="CT16" s="64"/>
      <c r="CU16" s="64"/>
      <c r="CV16" s="64"/>
      <c r="CW16" s="64"/>
      <c r="CX16" s="64"/>
      <c r="CY16" s="64"/>
      <c r="CZ16" s="64"/>
      <c r="DA16" s="64"/>
      <c r="DB16" s="64"/>
      <c r="DC16" s="64"/>
    </row>
    <row r="17" spans="1:107">
      <c r="A17" s="291" t="s">
        <v>805</v>
      </c>
      <c r="B17" s="349">
        <f ca="1">Steel!V110</f>
        <v>1.0323545234516996E-2</v>
      </c>
      <c r="C17" s="349">
        <f ca="1">Steel!F144</f>
        <v>9.8571447923326175E-4</v>
      </c>
      <c r="D17" s="349">
        <f ca="1">B17*$B$5+C17*$C$5</f>
        <v>7.8583579151220891E-3</v>
      </c>
      <c r="E17" s="348">
        <f ca="1">Steel!F212</f>
        <v>1.2759572962260078E-3</v>
      </c>
      <c r="F17" s="494">
        <f ca="1">'C.Iron'!K64</f>
        <v>9.3212775528676711E-3</v>
      </c>
      <c r="G17" s="349">
        <f ca="1">W.Al!V128</f>
        <v>1.3170279438318978E-2</v>
      </c>
      <c r="H17" s="349">
        <f ca="1">W.Al!S166</f>
        <v>1.4833642826553839E-3</v>
      </c>
      <c r="I17" s="348">
        <f ca="1">G17*$B$6+H17*$C$6</f>
        <v>1.1884718771195985E-2</v>
      </c>
      <c r="J17" s="349">
        <f ca="1">'C.Al'!J117</f>
        <v>1.4393652843513368E-2</v>
      </c>
      <c r="K17" s="349">
        <f ca="1">'C.Al'!G153</f>
        <v>1.5148363810977613E-3</v>
      </c>
      <c r="L17" s="348">
        <f ca="1">J17*$B$7+K17*$C$7</f>
        <v>3.4466588504601025E-3</v>
      </c>
      <c r="M17" s="347">
        <f ca="1">Lead!F62</f>
        <v>8.3511041943280795E-3</v>
      </c>
      <c r="N17" s="349">
        <f>Lead!H62</f>
        <v>2.0734864442705806E-3</v>
      </c>
      <c r="O17" s="348">
        <f ca="1">M17*$B$8+N17*$C$8</f>
        <v>3.7684432367861057E-3</v>
      </c>
      <c r="P17" s="347">
        <f ca="1">Nickel!R140</f>
        <v>3.0794260455343423E-2</v>
      </c>
      <c r="Q17" s="349">
        <f>Nickel!T140</f>
        <v>1.4512672668532444E-3</v>
      </c>
      <c r="R17" s="349">
        <f ca="1">$B$9*SUM(Nickel!B140:D140)/2000</f>
        <v>1.3145255822220201E-2</v>
      </c>
      <c r="S17" s="349">
        <f ca="1">$B$9*Nickel!E140/2000</f>
        <v>4.0995300327721172E-3</v>
      </c>
      <c r="T17" s="349">
        <f>$C$9*Nickel!F140/2000</f>
        <v>6.3855759741542745E-4</v>
      </c>
      <c r="U17" s="348">
        <f ca="1">P17*$B$9+Q17*$C$9</f>
        <v>1.7883343452407746E-2</v>
      </c>
      <c r="V17" s="347">
        <f ca="1">Nickel!AF140</f>
        <v>2.0107001538290044E-2</v>
      </c>
      <c r="W17" s="349">
        <f>Nickel!AH140</f>
        <v>2.2381098834695068E-4</v>
      </c>
      <c r="X17" s="348">
        <f ca="1">V17*$B$9+W17*$C$9</f>
        <v>1.1358397696315085E-2</v>
      </c>
      <c r="Y17" s="817">
        <f ca="1">Nickel!V140</f>
        <v>3.0794260455343423E-2</v>
      </c>
      <c r="Z17" s="494">
        <f ca="1">Cobalt!N88</f>
        <v>1.7997341837631829E-2</v>
      </c>
      <c r="AA17" s="494">
        <f ca="1">Cobalt!J88</f>
        <v>9.6561558287619458E-3</v>
      </c>
      <c r="AB17" s="494">
        <f ca="1">SUM(Cobalt!B88:C88)/2000</f>
        <v>8.2451941957264357E-4</v>
      </c>
      <c r="AC17" s="494">
        <f ca="1">SUM(Cobalt!D88,Cobalt!F88)/2000</f>
        <v>3.1706372444597564E-2</v>
      </c>
      <c r="AD17" s="494">
        <f ca="1">Cobalt!P88</f>
        <v>3.25308918641702E-2</v>
      </c>
      <c r="AE17" s="348">
        <f>Copper!M65</f>
        <v>2.6558909006382938E-4</v>
      </c>
      <c r="AF17" s="348">
        <f>Copper!N65</f>
        <v>4.5698009427488327E-3</v>
      </c>
      <c r="AG17" s="348">
        <f>Copper!L65</f>
        <v>4.8353900328126616E-3</v>
      </c>
      <c r="AH17" s="348">
        <f>Zinc!F74</f>
        <v>4.7306899434119152E-3</v>
      </c>
      <c r="AI17" s="349">
        <f ca="1">Magnesium!H72</f>
        <v>1.51549526458096E-2</v>
      </c>
      <c r="AJ17" s="349">
        <f>Magnesium!J72</f>
        <v>8.9567357628513055E-4</v>
      </c>
      <c r="AK17" s="348">
        <f t="shared" ca="1" si="0"/>
        <v>7.7258682505873507E-3</v>
      </c>
      <c r="AL17" s="348">
        <f>GREET1_Import_Export!G496/2000</f>
        <v>1.926524915794721E-5</v>
      </c>
      <c r="AM17" s="347">
        <f>Glass!K73</f>
        <v>1.1546622793655462E-3</v>
      </c>
      <c r="AN17" s="348">
        <f>Glass!Q73</f>
        <v>1.3580651395321893E-3</v>
      </c>
      <c r="AO17" s="347">
        <f>Vehi_Plastics!AV107</f>
        <v>1.6815924071716649E-3</v>
      </c>
      <c r="AP17" s="348">
        <f>Vehi_Plastics!BH107</f>
        <v>1.7191561634394823E-3</v>
      </c>
      <c r="AQ17" s="347">
        <f>Vehi_Plastics!BJ107</f>
        <v>1.0547594670064521E-3</v>
      </c>
      <c r="AR17" s="349">
        <f>Vehi_Plastics!BR107</f>
        <v>1.7056584159618718E-3</v>
      </c>
      <c r="AS17" s="349">
        <f>Vehi_Plastics!BZ107</f>
        <v>3.2496849799392058E-3</v>
      </c>
      <c r="AT17" s="349">
        <f>Vehi_Plastics!CB107</f>
        <v>1.0914638065353666E-2</v>
      </c>
      <c r="AU17" s="348">
        <f>Vehi_Plastics!CD107</f>
        <v>2.1475324921454077E-2</v>
      </c>
      <c r="AV17" s="494">
        <f>Rubber!J67</f>
        <v>7.8063108562391426E-4</v>
      </c>
      <c r="AW17" s="494">
        <f>Platinum!O71</f>
        <v>0.5096579325679147</v>
      </c>
      <c r="AX17" s="494">
        <f>Vanadium!F61</f>
        <v>0</v>
      </c>
      <c r="AY17" s="494">
        <f>Zirconium!F61</f>
        <v>9.5284165789346082E-3</v>
      </c>
      <c r="AZ17" s="494">
        <f>Titanium!F58</f>
        <v>0</v>
      </c>
      <c r="BA17" s="494">
        <f>Chromium!F58</f>
        <v>0</v>
      </c>
      <c r="BB17" s="494">
        <f>'Rare Earth'!F58</f>
        <v>3.1405743441095861E-2</v>
      </c>
      <c r="BC17" s="494">
        <f>Manganese!H75/2000</f>
        <v>2.4075104707527821E-3</v>
      </c>
      <c r="BD17" s="494">
        <f>Manganese!E75</f>
        <v>9.9539584487378188E-4</v>
      </c>
      <c r="BE17" s="494">
        <f>AN17</f>
        <v>1.3580651395321893E-3</v>
      </c>
      <c r="BF17" s="347">
        <f>Vehi_Plastics!W107/2000</f>
        <v>2.6300611349110183E-2</v>
      </c>
      <c r="BG17" s="348">
        <f t="shared" si="2"/>
        <v>9.205213972188564E-2</v>
      </c>
      <c r="BH17" s="347">
        <f>'FC Materials'!C58</f>
        <v>1.4159402402926303E-3</v>
      </c>
      <c r="BI17" s="349">
        <f>'FC Materials'!E58</f>
        <v>1.3862303686274142E-3</v>
      </c>
      <c r="BJ17" s="348">
        <f>'FC Materials'!G58</f>
        <v>1.5926975067831503E-3</v>
      </c>
      <c r="BK17" s="347">
        <f>LiMn2O4!L92/2000</f>
        <v>2.7956756379836694E-3</v>
      </c>
      <c r="BL17" s="349">
        <f ca="1">Other_Cathodes!E121/2000</f>
        <v>3.2553852880013133E-2</v>
      </c>
      <c r="BM17" s="349">
        <f ca="1">Other_Cathodes!$G$16*Other_Cathodes!$F$9*(Nickel!$B$57*Nickel!$F$80*Nickel!B140+Nickel!$C$57*Nickel!H140)/2000</f>
        <v>3.7614119582826477E-4</v>
      </c>
      <c r="BN17" s="349">
        <f ca="1">Other_Cathodes!$G$16*Other_Cathodes!$F$9*(Nickel!AC140)/2000-BM17</f>
        <v>4.3972173949379254E-3</v>
      </c>
      <c r="BO17" s="349">
        <f>Other_Cathodes!$G$16*Other_Cathodes!$F$11*Other_Cathodes!$B$7*Other_Cathodes!C154/2000</f>
        <v>4.5727557369015136E-4</v>
      </c>
      <c r="BP17" s="349">
        <f ca="1">Other_Cathodes!$G$16*Other_Cathodes!$F$10*Cobalt!$C$18*Cobalt!B88/2000</f>
        <v>1.6035103811385084E-5</v>
      </c>
      <c r="BQ17" s="349">
        <f ca="1">Other_Cathodes!$G$16*Other_Cathodes!$F$10*Cobalt!G88/2000-Mat_Sum!BP17</f>
        <v>4.3163160213434641E-3</v>
      </c>
      <c r="BR17" s="349">
        <f>Other_Cathodes!$G$26*Li_Chemicals!V109/2000</f>
        <v>1.5637776556851592E-2</v>
      </c>
      <c r="BS17" s="349">
        <f t="shared" ca="1" si="3"/>
        <v>7.9670017531804707E-3</v>
      </c>
      <c r="BT17" s="349">
        <f ca="1">(Other_Cathodes!G121*'Battery Recycling'!$F$38+'Battery Recycling'!$E$38*'Battery Recycling'!K136)/2000</f>
        <v>3.3167763599643255E-2</v>
      </c>
      <c r="BU17" s="349">
        <f ca="1">Other_Cathodes!I121/2000</f>
        <v>3.3928785388784834E-2</v>
      </c>
      <c r="BV17" s="349">
        <f ca="1">Other_Cathodes!K121/2000</f>
        <v>3.493760208660155E-2</v>
      </c>
      <c r="BW17" s="349">
        <f ca="1">Other_Cathodes!M121/2000</f>
        <v>3.8206419773617849E-2</v>
      </c>
      <c r="BX17" s="349">
        <f ca="1">Other_Cathodes!O121/2000</f>
        <v>2.8295664445610578E-2</v>
      </c>
      <c r="BY17" s="349">
        <f ca="1">Other_Cathodes!R121/2000</f>
        <v>2.8159798188259762E-2</v>
      </c>
      <c r="BZ17" s="349">
        <f ca="1">Other_Cathodes!P121/2000</f>
        <v>1.8336756049793245E-2</v>
      </c>
      <c r="CA17" s="349">
        <f ca="1">Other_Cathodes!V121/2000</f>
        <v>1.089611426804127E-2</v>
      </c>
      <c r="CB17" s="349">
        <f ca="1">Other_Cathodes!U121/2000</f>
        <v>3.567727233196779E-2</v>
      </c>
      <c r="CC17" s="349">
        <f ca="1">Other_Cathodes!S121/2000</f>
        <v>3.4369549612746575E-2</v>
      </c>
      <c r="CD17" s="349">
        <f ca="1">Other_Cathodes!AB121/2000</f>
        <v>3.9245006577388698E-2</v>
      </c>
      <c r="CE17" s="348">
        <f>Battery_Materials!K91</f>
        <v>7.7016366462972542E-4</v>
      </c>
      <c r="CF17" s="494">
        <f ca="1">Anode!C83</f>
        <v>1.8038376712291339E-2</v>
      </c>
      <c r="CG17" s="494">
        <f>Battery_Materials!C91</f>
        <v>2.2918108851924077E-3</v>
      </c>
      <c r="CH17" s="347"/>
      <c r="CI17" s="347">
        <f>Battery_Materials!E91</f>
        <v>2.0363332426329095E-2</v>
      </c>
      <c r="CJ17" s="349">
        <f>Battery_Materials!G91</f>
        <v>1.6553121429463963E-4</v>
      </c>
      <c r="CK17" s="348">
        <f>Battery_Materials!I91</f>
        <v>5.8843628083735772E-4</v>
      </c>
      <c r="CL17" s="494">
        <f>Battery_Materials!M91</f>
        <v>3.3762029599048518E-2</v>
      </c>
      <c r="CM17" s="494">
        <f>Vehi_Fluids!J74</f>
        <v>1.9382320712716907E-4</v>
      </c>
      <c r="CN17" s="494">
        <f ca="1">Silicon!C74</f>
        <v>0.3220774608821611</v>
      </c>
      <c r="CO17" s="494">
        <f ca="1">Silicon!E74</f>
        <v>6.0992247781387628E-2</v>
      </c>
      <c r="CP17" s="494">
        <f xml:space="preserve"> Molybdenum!G69</f>
        <v>6.7503317021264074E-3</v>
      </c>
      <c r="CQ17" s="2637">
        <f xml:space="preserve"> Vehi_Plastics!BB107</f>
        <v>2.1615283361919708E-3</v>
      </c>
      <c r="CR17" s="64"/>
      <c r="CS17" s="64"/>
      <c r="CT17" s="64"/>
      <c r="CU17" s="64"/>
      <c r="CV17" s="64"/>
      <c r="CW17" s="64"/>
      <c r="CX17" s="64"/>
      <c r="CY17" s="64"/>
      <c r="CZ17" s="64"/>
      <c r="DA17" s="64"/>
      <c r="DB17" s="64"/>
      <c r="DC17" s="64"/>
    </row>
    <row r="18" spans="1:107">
      <c r="A18" s="291" t="s">
        <v>804</v>
      </c>
      <c r="B18" s="349">
        <f ca="1">Steel!V111</f>
        <v>3.696337699387858E-3</v>
      </c>
      <c r="C18" s="349">
        <f ca="1">C16-C17-C19</f>
        <v>3.1099028516683846E-3</v>
      </c>
      <c r="D18" s="349">
        <f ca="1">D16-D17-D19</f>
        <v>3.5415188995899165E-3</v>
      </c>
      <c r="E18" s="348">
        <f ca="1">E16-E17-E19</f>
        <v>3.7033742095943958E-3</v>
      </c>
      <c r="F18" s="494">
        <f ca="1">F16-F17-F19</f>
        <v>3.4256280199691505E-3</v>
      </c>
      <c r="G18" s="349">
        <f ca="1">W.Al!V129</f>
        <v>1.644629230020745E-2</v>
      </c>
      <c r="H18" s="349">
        <f ca="1">W.Al!S167</f>
        <v>7.4306465284351454E-3</v>
      </c>
      <c r="I18" s="348">
        <f t="shared" ref="I18:X18" ca="1" si="4">I16-I17-I19</f>
        <v>1.5454571265312498E-2</v>
      </c>
      <c r="J18" s="349">
        <f t="shared" ca="1" si="4"/>
        <v>1.8856188563282503E-2</v>
      </c>
      <c r="K18" s="349">
        <f t="shared" ca="1" si="4"/>
        <v>8.9210734676158452E-3</v>
      </c>
      <c r="L18" s="348">
        <f t="shared" ca="1" si="4"/>
        <v>1.0411340731965842E-2</v>
      </c>
      <c r="M18" s="347">
        <f t="shared" ca="1" si="4"/>
        <v>1.3198691567954E-3</v>
      </c>
      <c r="N18" s="349">
        <f t="shared" si="4"/>
        <v>7.4698880712405615E-6</v>
      </c>
      <c r="O18" s="348">
        <f t="shared" ca="1" si="4"/>
        <v>3.6181769062676352E-4</v>
      </c>
      <c r="P18" s="347">
        <f t="shared" ca="1" si="4"/>
        <v>4.8518075480175483E-2</v>
      </c>
      <c r="Q18" s="349">
        <f t="shared" si="4"/>
        <v>6.7998938128557467E-3</v>
      </c>
      <c r="R18" s="349">
        <f ca="1">$B$9*SUM(Nickel!B141:D141)/2000</f>
        <v>2.0072820605934003E-2</v>
      </c>
      <c r="S18" s="349">
        <f ca="1">$B$9*Nickel!E141/2000</f>
        <v>7.0973016629642706E-3</v>
      </c>
      <c r="T18" s="349">
        <f>$C$9*Nickel!F141/2000</f>
        <v>2.9919532776565274E-3</v>
      </c>
      <c r="U18" s="348">
        <f t="shared" ca="1" si="4"/>
        <v>3.0162075546554798E-2</v>
      </c>
      <c r="V18" s="347">
        <f t="shared" ca="1" si="4"/>
        <v>3.3339201813061332E-2</v>
      </c>
      <c r="W18" s="349">
        <f t="shared" si="4"/>
        <v>1.0486634610104911E-3</v>
      </c>
      <c r="X18" s="348">
        <f t="shared" ca="1" si="4"/>
        <v>1.9131364938158962E-2</v>
      </c>
      <c r="Y18" s="817">
        <f ca="1">Nickel!V141</f>
        <v>4.8518075480175483E-2</v>
      </c>
      <c r="Z18" s="494">
        <f ca="1">Cobalt!N89</f>
        <v>6.9671211224033983E-2</v>
      </c>
      <c r="AA18" s="494">
        <f ca="1">Cobalt!J89</f>
        <v>2.9662866043093896E-2</v>
      </c>
      <c r="AB18" s="494">
        <f ca="1">SUM(Cobalt!B89:C89)/2000</f>
        <v>7.0718340365158996E-3</v>
      </c>
      <c r="AC18" s="494">
        <f ca="1">SUM(Cobalt!D89,Cobalt!F89)/2000</f>
        <v>5.8639197265199054E-2</v>
      </c>
      <c r="AD18" s="494">
        <f ca="1">Cobalt!P89</f>
        <v>6.5711031301714962E-2</v>
      </c>
      <c r="AE18" s="348">
        <f>Copper!M66</f>
        <v>5.3892491123931185E-4</v>
      </c>
      <c r="AF18" s="348">
        <f>Copper!N66</f>
        <v>8.259898915027342E-3</v>
      </c>
      <c r="AG18" s="348">
        <f>AG16-AG17-AG19</f>
        <v>8.7988238262666548E-3</v>
      </c>
      <c r="AH18" s="348">
        <f>AH16-AH17-AH19</f>
        <v>9.3622865144164184E-3</v>
      </c>
      <c r="AI18" s="349">
        <f ca="1">AI16-AI17-AI19</f>
        <v>8.2125468709764421E-2</v>
      </c>
      <c r="AJ18" s="349">
        <f>AJ16-AJ17-AJ19</f>
        <v>5.2118124450991326E-3</v>
      </c>
      <c r="AK18" s="348">
        <f t="shared" ca="1" si="0"/>
        <v>4.2053453795873802E-2</v>
      </c>
      <c r="AL18" s="348">
        <f>AL16-AL17-AL19</f>
        <v>6.5766619346676924E-5</v>
      </c>
      <c r="AM18" s="347">
        <f>AM16-AM17-AM19</f>
        <v>7.9715925365537454E-3</v>
      </c>
      <c r="AN18" s="348">
        <f>AN16-AN17-AN19</f>
        <v>8.6987122018123749E-3</v>
      </c>
      <c r="AO18" s="347">
        <f>Vehi_Plastics!AV108</f>
        <v>1.9291693040048033E-2</v>
      </c>
      <c r="AP18" s="348">
        <f>Vehi_Plastics!BH108</f>
        <v>1.4390031267739606E-2</v>
      </c>
      <c r="AQ18" s="347">
        <f>Vehi_Plastics!BJ108</f>
        <v>9.5203355882119336E-3</v>
      </c>
      <c r="AR18" s="349">
        <f>Vehi_Plastics!BR108</f>
        <v>2.3023372026169022E-2</v>
      </c>
      <c r="AS18" s="349">
        <f>Vehi_Plastics!BZ108</f>
        <v>2.5547349618336386E-2</v>
      </c>
      <c r="AT18" s="349">
        <f>Vehi_Plastics!CB108</f>
        <v>6.257798836744205E-2</v>
      </c>
      <c r="AU18" s="348">
        <f>Vehi_Plastics!CD108</f>
        <v>8.2084631718574844E-2</v>
      </c>
      <c r="AV18" s="494">
        <f t="shared" ref="AV18:BB18" si="5">AV16-AV17-AV19</f>
        <v>1.3303373259689619E-2</v>
      </c>
      <c r="AW18" s="494">
        <f t="shared" si="5"/>
        <v>8.0684236969975481E-3</v>
      </c>
      <c r="AX18" s="494">
        <f t="shared" si="5"/>
        <v>0</v>
      </c>
      <c r="AY18" s="494">
        <f t="shared" si="5"/>
        <v>7.2456030645943983E-2</v>
      </c>
      <c r="AZ18" s="494">
        <f t="shared" si="5"/>
        <v>0</v>
      </c>
      <c r="BA18" s="494">
        <f t="shared" si="5"/>
        <v>0</v>
      </c>
      <c r="BB18" s="494">
        <f t="shared" si="5"/>
        <v>5.8081299592889338E-2</v>
      </c>
      <c r="BC18" s="494">
        <f>Manganese!H76/2000</f>
        <v>4.5633806161410233E-3</v>
      </c>
      <c r="BD18" s="494">
        <f>BD16-BD17-BD19</f>
        <v>2.7031452406213453E-2</v>
      </c>
      <c r="BE18" s="494">
        <f>BE16-BE17-BE19</f>
        <v>8.6987122018123749E-3</v>
      </c>
      <c r="BF18" s="347">
        <f>Vehi_Plastics!W108/2000</f>
        <v>8.4205026570157104E-2</v>
      </c>
      <c r="BG18" s="348">
        <f>BG16-BG17-BG19</f>
        <v>0.29471759299554989</v>
      </c>
      <c r="BH18" s="347">
        <f>BH16-BH17-BH19</f>
        <v>6.5831660340093774E-3</v>
      </c>
      <c r="BI18" s="349">
        <f>BI16-BI17-BI19</f>
        <v>6.4450351917212821E-3</v>
      </c>
      <c r="BJ18" s="348">
        <f>BJ16-BJ17-BJ19</f>
        <v>2.5202812492550079E-2</v>
      </c>
      <c r="BK18" s="347">
        <f>LiMn2O4!L93/2000</f>
        <v>1.1924266246535781E-2</v>
      </c>
      <c r="BL18" s="349">
        <f ca="1">Other_Cathodes!E122/2000</f>
        <v>6.3458783262347468E-2</v>
      </c>
      <c r="BM18" s="349">
        <f ca="1">Other_Cathodes!$G$16*Other_Cathodes!$F$9*(Nickel!$B$57*Nickel!$F$80*Nickel!B141+Nickel!$C$57*Nickel!H141)/2000</f>
        <v>6.0182643375356374E-4</v>
      </c>
      <c r="BN18" s="349">
        <f ca="1">Other_Cathodes!$G$16*Other_Cathodes!$F$9*(Nickel!AC141)/2000-BM18</f>
        <v>1.011062757435071E-2</v>
      </c>
      <c r="BO18" s="349">
        <f>Other_Cathodes!$G$16*Other_Cathodes!$F$11*Other_Cathodes!$B$7*Other_Cathodes!C155/2000</f>
        <v>8.6675531199659748E-4</v>
      </c>
      <c r="BP18" s="349">
        <f ca="1">Other_Cathodes!$G$16*Other_Cathodes!$F$10*Cobalt!$C$18*Cobalt!B89/2000</f>
        <v>2.7345671275200552E-4</v>
      </c>
      <c r="BQ18" s="349">
        <f ca="1">Other_Cathodes!$G$16*Other_Cathodes!$F$10*Cobalt!G89/2000-Mat_Sum!BP18</f>
        <v>1.3035146975512227E-2</v>
      </c>
      <c r="BR18" s="349">
        <f>Other_Cathodes!$G$26*Li_Chemicals!V110/2000</f>
        <v>1.0944410869308243E-3</v>
      </c>
      <c r="BS18" s="349">
        <f t="shared" ca="1" si="3"/>
        <v>4.0416834249139534E-2</v>
      </c>
      <c r="BT18" s="349">
        <f ca="1">(Other_Cathodes!G122*'Battery Recycling'!$F$38+'Battery Recycling'!$E$38*'Battery Recycling'!K137)/2000</f>
        <v>6.6399088344435461E-2</v>
      </c>
      <c r="BU18" s="349">
        <f ca="1">Other_Cathodes!I122/2000</f>
        <v>6.682249412387363E-2</v>
      </c>
      <c r="BV18" s="349">
        <f ca="1">Other_Cathodes!K122/2000</f>
        <v>6.9158058588431923E-2</v>
      </c>
      <c r="BW18" s="349">
        <f ca="1">Other_Cathodes!M122/2000</f>
        <v>7.7831214867017481E-2</v>
      </c>
      <c r="BX18" s="349">
        <f ca="1">Other_Cathodes!O122/2000</f>
        <v>5.7077203150097768E-2</v>
      </c>
      <c r="BY18" s="349">
        <f ca="1">Other_Cathodes!R122/2000</f>
        <v>2.7724114927722223E-2</v>
      </c>
      <c r="BZ18" s="349">
        <f ca="1">Other_Cathodes!P122/2000</f>
        <v>2.5227637325226909E-2</v>
      </c>
      <c r="CA18" s="349">
        <f ca="1">Other_Cathodes!V122/2000</f>
        <v>8.4174462086424647E-3</v>
      </c>
      <c r="CB18" s="349">
        <f ca="1">Other_Cathodes!U122/2000</f>
        <v>8.4191283095434138E-2</v>
      </c>
      <c r="CC18" s="349">
        <f ca="1">Other_Cathodes!S122/2000</f>
        <v>6.3996540219119838E-2</v>
      </c>
      <c r="CD18" s="349">
        <f ca="1">Other_Cathodes!AB122/2000</f>
        <v>8.5324945418094142E-2</v>
      </c>
      <c r="CE18" s="348">
        <f>Battery_Materials!K92</f>
        <v>4.0937421423843691E-2</v>
      </c>
      <c r="CF18" s="494">
        <f ca="1">Anode!C84</f>
        <v>4.521220318955313E-3</v>
      </c>
      <c r="CG18" s="494">
        <f>Battery_Materials!C92</f>
        <v>1.0830561730970861E-2</v>
      </c>
      <c r="CH18" s="347"/>
      <c r="CI18" s="347">
        <f>Battery_Materials!E92</f>
        <v>3.784679694574157E-2</v>
      </c>
      <c r="CJ18" s="349">
        <f>Battery_Materials!G92</f>
        <v>2.6325949270174175E-3</v>
      </c>
      <c r="CK18" s="348">
        <f>Battery_Materials!I92</f>
        <v>9.7827573673959795E-3</v>
      </c>
      <c r="CL18" s="494">
        <f>Battery_Materials!M92</f>
        <v>0.10852722781114386</v>
      </c>
      <c r="CM18" s="494">
        <f>Vehi_Fluids!J75</f>
        <v>6.174971666746458E-3</v>
      </c>
      <c r="CN18" s="494">
        <f ca="1">Silicon!C75</f>
        <v>0.77352650605873663</v>
      </c>
      <c r="CO18" s="494">
        <f ca="1">Silicon!E75</f>
        <v>0.18042780754193244</v>
      </c>
      <c r="CP18" s="494">
        <f xml:space="preserve"> Molybdenum!G70</f>
        <v>2.3978847569189981E-2</v>
      </c>
      <c r="CQ18" s="2637">
        <f xml:space="preserve"> Vehi_Plastics!BB108</f>
        <v>3.3798463158849351E-2</v>
      </c>
      <c r="CR18" s="64"/>
      <c r="CS18" s="64"/>
      <c r="CT18" s="64"/>
      <c r="CU18" s="64"/>
      <c r="CV18" s="64"/>
      <c r="CW18" s="64"/>
      <c r="CX18" s="64"/>
      <c r="CY18" s="64"/>
      <c r="CZ18" s="64"/>
      <c r="DA18" s="64"/>
      <c r="DB18" s="64"/>
      <c r="DC18" s="64"/>
    </row>
    <row r="19" spans="1:107">
      <c r="A19" s="292" t="s">
        <v>818</v>
      </c>
      <c r="B19" s="505">
        <f ca="1">Steel!V112</f>
        <v>-1.0064068799802305E-4</v>
      </c>
      <c r="C19" s="505">
        <f ca="1">Steel!F146</f>
        <v>3.3331608129340359E-5</v>
      </c>
      <c r="D19" s="505">
        <f ca="1">B19*$B$5+C19*$C$5</f>
        <v>-6.5272001820399105E-5</v>
      </c>
      <c r="E19" s="502">
        <f ca="1">Steel!F214</f>
        <v>4.1432290731407338E-5</v>
      </c>
      <c r="F19" s="504">
        <f ca="1">'C.Iron'!K66</f>
        <v>7.8962729405249459E-4</v>
      </c>
      <c r="G19" s="505">
        <f ca="1">W.Al!V130</f>
        <v>6.7592131345631879E-3</v>
      </c>
      <c r="H19" s="505">
        <f ca="1">W.Al!S168</f>
        <v>5.7436082610520312E-4</v>
      </c>
      <c r="I19" s="502">
        <f ca="1">G19*$B$6+H19*$C$6</f>
        <v>6.0788793806328097E-3</v>
      </c>
      <c r="J19" s="505">
        <f ca="1">'C.Al'!J119</f>
        <v>7.4471050939697407E-3</v>
      </c>
      <c r="K19" s="505">
        <f ca="1">'C.Al'!G155</f>
        <v>6.3148466147460423E-4</v>
      </c>
      <c r="L19" s="502">
        <f ca="1">J19*$B$7+K19*$C$7</f>
        <v>1.6538277263488748E-3</v>
      </c>
      <c r="M19" s="503">
        <f ca="1">Lead!F64</f>
        <v>3.7929882099829298E-4</v>
      </c>
      <c r="N19" s="505">
        <f>Lead!H64</f>
        <v>3.1761505239566353E-5</v>
      </c>
      <c r="O19" s="502">
        <f ca="1">M19*$B$8+N19*$C$8</f>
        <v>1.2559658049442256E-4</v>
      </c>
      <c r="P19" s="503">
        <f ca="1">Nickel!R142</f>
        <v>1.3881099650412114E-2</v>
      </c>
      <c r="Q19" s="505">
        <f>Nickel!T142</f>
        <v>9.6820275674328916E-4</v>
      </c>
      <c r="R19" s="349">
        <f ca="1">$B$9*SUM(Nickel!B142:D142)/2000</f>
        <v>7.1912575119151504E-3</v>
      </c>
      <c r="S19" s="349">
        <f ca="1">$B$9*Nickel!E142/2000</f>
        <v>5.8215829231563366E-4</v>
      </c>
      <c r="T19" s="349">
        <f>$C$9*Nickel!F142/2000</f>
        <v>4.2600921296704719E-4</v>
      </c>
      <c r="U19" s="502">
        <f ca="1">P19*$B$9+Q19*$C$9</f>
        <v>8.1994250171978315E-3</v>
      </c>
      <c r="V19" s="503">
        <f ca="1">Nickel!AF142</f>
        <v>8.8113689487411637E-3</v>
      </c>
      <c r="W19" s="505">
        <f>Nickel!AH142</f>
        <v>1.4931392780380984E-4</v>
      </c>
      <c r="X19" s="502">
        <f t="shared" ca="1" si="1"/>
        <v>5.0000647395287284E-3</v>
      </c>
      <c r="Y19" s="1084">
        <f ca="1">Nickel!V142</f>
        <v>1.3881099650412114E-2</v>
      </c>
      <c r="Z19" s="504">
        <f ca="1">Cobalt!N90</f>
        <v>1.5119966632751959E-2</v>
      </c>
      <c r="AA19" s="504">
        <f ca="1">Cobalt!J90</f>
        <v>8.4776181539862501E-3</v>
      </c>
      <c r="AB19" s="494">
        <f ca="1">SUM(Cobalt!B90:C90)/2000</f>
        <v>1.2778671904154319E-2</v>
      </c>
      <c r="AC19" s="494">
        <f ca="1">SUM(Cobalt!D90,Cobalt!F90)/2000</f>
        <v>6.1078583184175257E-3</v>
      </c>
      <c r="AD19" s="504">
        <f ca="1">Cobalt!P90</f>
        <v>1.8886530222571841E-2</v>
      </c>
      <c r="AE19" s="348">
        <f>Copper!M67</f>
        <v>4.6286912241426197E-4</v>
      </c>
      <c r="AF19" s="348">
        <f>Copper!N67</f>
        <v>2.1137687353504839E-3</v>
      </c>
      <c r="AG19" s="502">
        <f>Copper!L67</f>
        <v>2.5766378577647461E-3</v>
      </c>
      <c r="AH19" s="502">
        <f>Zinc!F76</f>
        <v>5.1980374265512164E-4</v>
      </c>
      <c r="AI19" s="505">
        <f ca="1">Magnesium!H74</f>
        <v>1.0377617157890406E-3</v>
      </c>
      <c r="AJ19" s="505">
        <f>Magnesium!J74</f>
        <v>4.0934734024301232E-5</v>
      </c>
      <c r="AK19" s="502">
        <f t="shared" ca="1" si="0"/>
        <v>5.1841485828961129E-4</v>
      </c>
      <c r="AL19" s="502">
        <f>GREET1_Import_Export!G498/2000</f>
        <v>1.5728203651110549E-4</v>
      </c>
      <c r="AM19" s="503">
        <f>Glass!K75</f>
        <v>1.5141828071742951E-4</v>
      </c>
      <c r="AN19" s="502">
        <f>Glass!Q75</f>
        <v>3.27872376806885E-4</v>
      </c>
      <c r="AO19" s="503">
        <f>Vehi_Plastics!AV109</f>
        <v>1.0673198141939028E-2</v>
      </c>
      <c r="AP19" s="502">
        <f>Vehi_Plastics!BH109</f>
        <v>1.4612936312662151E-2</v>
      </c>
      <c r="AQ19" s="505">
        <f>Vehi_Plastics!BJ109</f>
        <v>2.06778548143456E-2</v>
      </c>
      <c r="AR19" s="505">
        <f>Vehi_Plastics!BR109</f>
        <v>1.1366847936408192E-2</v>
      </c>
      <c r="AS19" s="505">
        <f>Vehi_Plastics!BZ109</f>
        <v>5.4628320803559796E-3</v>
      </c>
      <c r="AT19" s="505">
        <f>Vehi_Plastics!CB109</f>
        <v>2.6631082622330205E-2</v>
      </c>
      <c r="AU19" s="502">
        <f>Vehi_Plastics!CD109</f>
        <v>4.1606624363454241E-2</v>
      </c>
      <c r="AV19" s="504">
        <f>Rubber!J69</f>
        <v>8.816989348945552E-3</v>
      </c>
      <c r="AW19" s="504">
        <f>Platinum!O73</f>
        <v>3.7011205753043189E-2</v>
      </c>
      <c r="AX19" s="504">
        <f>Vanadium!F63</f>
        <v>0</v>
      </c>
      <c r="AY19" s="504">
        <f>Zirconium!F63</f>
        <v>4.9726385376684971E-4</v>
      </c>
      <c r="AZ19" s="504">
        <f>Titanium!F60</f>
        <v>0</v>
      </c>
      <c r="BA19" s="504">
        <f>Chromium!F60</f>
        <v>0</v>
      </c>
      <c r="BB19" s="504">
        <f>'Rare Earth'!F60</f>
        <v>9.8251770055759417E-4</v>
      </c>
      <c r="BC19" s="504">
        <f>Manganese!H77/2000</f>
        <v>1.131717589290672E-3</v>
      </c>
      <c r="BD19" s="504">
        <f>Manganese!E77</f>
        <v>2.2971100885814288E-2</v>
      </c>
      <c r="BE19" s="504">
        <f>AN19</f>
        <v>3.27872376806885E-4</v>
      </c>
      <c r="BF19" s="503">
        <f>Vehi_Plastics!W109/2000</f>
        <v>4.5959186789077885E-2</v>
      </c>
      <c r="BG19" s="502">
        <f t="shared" si="2"/>
        <v>0.16085715376177259</v>
      </c>
      <c r="BH19" s="503">
        <f>'FC Materials'!C60</f>
        <v>5.8697330526786941E-5</v>
      </c>
      <c r="BI19" s="505">
        <f>'FC Materials'!E60</f>
        <v>5.7465717703436991E-5</v>
      </c>
      <c r="BJ19" s="502">
        <f>'FC Materials'!G60</f>
        <v>2.0022685284048148E-2</v>
      </c>
      <c r="BK19" s="503">
        <f>LiMn2O4!L94/2000</f>
        <v>1.8714297105521334E-3</v>
      </c>
      <c r="BL19" s="505">
        <f ca="1">Other_Cathodes!E123/2000</f>
        <v>2.0507426201694875E-2</v>
      </c>
      <c r="BM19" s="349">
        <f ca="1">Other_Cathodes!$G$16*Other_Cathodes!$F$9*(Nickel!$B$57*Nickel!$F$80*Nickel!B142+Nickel!$C$57*Nickel!H142)/2000</f>
        <v>3.5132962578383088E-3</v>
      </c>
      <c r="BN19" s="349">
        <f ca="1">Other_Cathodes!$G$16*Other_Cathodes!$F$9*(Nickel!AC142)/2000-BM19</f>
        <v>6.6135240187121889E-3</v>
      </c>
      <c r="BO19" s="349">
        <f>Other_Cathodes!$G$16*Other_Cathodes!$F$11*Other_Cathodes!$B$7*Other_Cathodes!C156/2000</f>
        <v>2.1495516475835422E-4</v>
      </c>
      <c r="BP19" s="349">
        <f ca="1">Other_Cathodes!$G$16*Other_Cathodes!$F$10*Cobalt!$C$18*Cobalt!B90/2000</f>
        <v>2.3214636441260227E-3</v>
      </c>
      <c r="BQ19" s="349">
        <f ca="1">Other_Cathodes!$G$16*Other_Cathodes!$F$10*Cobalt!G90/2000-Mat_Sum!BP19</f>
        <v>1.4821222962185781E-3</v>
      </c>
      <c r="BR19" s="349">
        <f>Other_Cathodes!$G$26*Li_Chemicals!V111/2000</f>
        <v>5.0034954802382868E-3</v>
      </c>
      <c r="BS19" s="349">
        <f t="shared" ca="1" si="3"/>
        <v>7.4312939156586169E-4</v>
      </c>
      <c r="BT19" s="505">
        <f ca="1">(Other_Cathodes!G123*'Battery Recycling'!$F$38+'Battery Recycling'!$E$38*'Battery Recycling'!K138)/2000</f>
        <v>1.9891986253457599E-2</v>
      </c>
      <c r="BU19" s="505">
        <f ca="1">Other_Cathodes!I123/2000</f>
        <v>2.379837158939388E-2</v>
      </c>
      <c r="BV19" s="505">
        <f ca="1">Other_Cathodes!K123/2000</f>
        <v>2.624086663705302E-2</v>
      </c>
      <c r="BW19" s="505">
        <f ca="1">Other_Cathodes!M123/2000</f>
        <v>3.270832366104013E-2</v>
      </c>
      <c r="BX19" s="505">
        <f ca="1">Other_Cathodes!O123/2000</f>
        <v>7.2260705186133964E-3</v>
      </c>
      <c r="BY19" s="505">
        <f ca="1">Other_Cathodes!R123/2000</f>
        <v>1.6001844095299769E-2</v>
      </c>
      <c r="BZ19" s="505">
        <f ca="1">Other_Cathodes!P123/2000</f>
        <v>8.1245832186492267E-3</v>
      </c>
      <c r="CA19" s="505">
        <f ca="1">Other_Cathodes!V123/2000</f>
        <v>5.0335714724146835E-3</v>
      </c>
      <c r="CB19" s="505">
        <f ca="1">Other_Cathodes!U123/2000</f>
        <v>1.9029886450032889E-2</v>
      </c>
      <c r="CC19" s="505">
        <f ca="1">Other_Cathodes!S123/2000</f>
        <v>1.6669342406215579E-2</v>
      </c>
      <c r="CD19" s="505">
        <f ca="1">Other_Cathodes!AB123/2000</f>
        <v>3.3883487097757937E-2</v>
      </c>
      <c r="CE19" s="502">
        <f>Battery_Materials!K93</f>
        <v>3.2155159796274155E-4</v>
      </c>
      <c r="CF19" s="504">
        <f ca="1">Anode!C85</f>
        <v>1.3807569660955239E-2</v>
      </c>
      <c r="CG19" s="504">
        <f>Battery_Materials!C93</f>
        <v>5.3273159587363856E-4</v>
      </c>
      <c r="CH19" s="503"/>
      <c r="CI19" s="503">
        <f>Battery_Materials!E93</f>
        <v>1.7357703388127632E-3</v>
      </c>
      <c r="CJ19" s="505">
        <f>Battery_Materials!G93</f>
        <v>1.3695643356657094E-3</v>
      </c>
      <c r="CK19" s="502">
        <f>Battery_Materials!I93</f>
        <v>4.9652556676178933E-3</v>
      </c>
      <c r="CL19" s="504">
        <f>Battery_Materials!M93</f>
        <v>1.2236362398990184E-3</v>
      </c>
      <c r="CM19" s="504">
        <f>Vehi_Fluids!J76</f>
        <v>3.2107552873901269E-3</v>
      </c>
      <c r="CN19" s="504">
        <f ca="1">Silicon!C76</f>
        <v>3.4627730461704906E-2</v>
      </c>
      <c r="CO19" s="504">
        <f ca="1">Silicon!E76</f>
        <v>1.1560155430970453E-2</v>
      </c>
      <c r="CP19" s="494">
        <f xml:space="preserve"> Molybdenum!G71</f>
        <v>0.10964113738312002</v>
      </c>
      <c r="CQ19" s="2639">
        <f xml:space="preserve"> Vehi_Plastics!BB109</f>
        <v>1.5439329724654271E-2</v>
      </c>
      <c r="CR19" s="64"/>
      <c r="CS19" s="64"/>
      <c r="CT19" s="64"/>
      <c r="CU19" s="64"/>
      <c r="CV19" s="64"/>
      <c r="CW19" s="64"/>
      <c r="CX19" s="64"/>
      <c r="CY19" s="64"/>
      <c r="CZ19" s="64"/>
      <c r="DA19" s="64"/>
      <c r="DB19" s="64"/>
      <c r="DC19" s="64"/>
    </row>
    <row r="20" spans="1:107">
      <c r="A20" s="292" t="s">
        <v>819</v>
      </c>
      <c r="B20" s="505">
        <f ca="1">Steel!V113</f>
        <v>0.28287025715849845</v>
      </c>
      <c r="C20" s="505">
        <f ca="1">Steel!F147</f>
        <v>0.17865633279683704</v>
      </c>
      <c r="D20" s="505">
        <f ca="1">B20*$B$5+C20*$C$5</f>
        <v>0.25535778112701984</v>
      </c>
      <c r="E20" s="502">
        <f ca="1">Steel!F215</f>
        <v>0.22620928119315217</v>
      </c>
      <c r="F20" s="504">
        <f ca="1">'C.Iron'!K67</f>
        <v>0.10025231714150117</v>
      </c>
      <c r="G20" s="505">
        <f ca="1">W.Al!V131</f>
        <v>13.043328760958472</v>
      </c>
      <c r="H20" s="505">
        <f ca="1">W.Al!S169</f>
        <v>1.2274529504913962</v>
      </c>
      <c r="I20" s="502">
        <f ca="1">G20*$B$6+H20*$C$6</f>
        <v>11.743582421807094</v>
      </c>
      <c r="J20" s="505">
        <f ca="1">'C.Al'!J120</f>
        <v>14.293876615486102</v>
      </c>
      <c r="K20" s="505">
        <f ca="1">'C.Al'!G156</f>
        <v>1.2729473215862928</v>
      </c>
      <c r="L20" s="502">
        <f ca="1">J20*$B$7+K20*$C$7</f>
        <v>3.226086715671264</v>
      </c>
      <c r="M20" s="503">
        <f ca="1">Lead!F65</f>
        <v>0.14931762242911992</v>
      </c>
      <c r="N20" s="505">
        <f>Lead!H65</f>
        <v>7.7372881145743571E-3</v>
      </c>
      <c r="O20" s="502">
        <f ca="1">M20*$B$8+N20*$C$8</f>
        <v>4.5963978379501655E-2</v>
      </c>
      <c r="P20" s="503">
        <f ca="1">Nickel!R143</f>
        <v>8.9046922165901119</v>
      </c>
      <c r="Q20" s="505">
        <f>Nickel!T143</f>
        <v>0.13326734820832201</v>
      </c>
      <c r="R20" s="349">
        <f ca="1">$B$9*SUM(Nickel!B143:D143)/2000</f>
        <v>3.8902424706609136</v>
      </c>
      <c r="S20" s="349">
        <f ca="1">$B$9*Nickel!E143/2000</f>
        <v>1.0963851706295502</v>
      </c>
      <c r="T20" s="349">
        <f>$C$9*Nickel!F143/2000</f>
        <v>5.8637633211661669E-2</v>
      </c>
      <c r="U20" s="502">
        <f ca="1">P20*$B$9+Q20*$C$9</f>
        <v>5.0452652745021247</v>
      </c>
      <c r="V20" s="503">
        <f ca="1">Nickel!AF143</f>
        <v>5.7603252001004401</v>
      </c>
      <c r="W20" s="505">
        <f>Nickel!AH143</f>
        <v>2.0552173674773525E-2</v>
      </c>
      <c r="X20" s="502">
        <f ca="1">V20*$B$9+W20*$C$9</f>
        <v>3.234825068473147</v>
      </c>
      <c r="Y20" s="1084">
        <f ca="1">Nickel!V143</f>
        <v>8.9046922165901119</v>
      </c>
      <c r="Z20" s="504">
        <f ca="1">Cobalt!N91</f>
        <v>18.293873345317998</v>
      </c>
      <c r="AA20" s="504">
        <f ca="1">Cobalt!J91</f>
        <v>9.3244887435149586</v>
      </c>
      <c r="AB20" s="494">
        <f ca="1">SUM(Cobalt!B91:C91)/2000</f>
        <v>8.1983037203972113</v>
      </c>
      <c r="AC20" s="494">
        <f ca="1">SUM(Cobalt!D91,Cobalt!F91)/2000</f>
        <v>13.468854525460809</v>
      </c>
      <c r="AD20" s="504">
        <f ca="1">Cobalt!P91</f>
        <v>21.667158245858019</v>
      </c>
      <c r="AE20" s="348">
        <f>Copper!M68</f>
        <v>6.063130887184838E-2</v>
      </c>
      <c r="AF20" s="348">
        <f>Copper!N68</f>
        <v>0.69505885521001554</v>
      </c>
      <c r="AG20" s="502">
        <f>Copper!L68</f>
        <v>0.75569016408186396</v>
      </c>
      <c r="AH20" s="502">
        <f>Zinc!F77</f>
        <v>2.5220322325335736</v>
      </c>
      <c r="AI20" s="505">
        <f ca="1">Magnesium!H75</f>
        <v>3.1035842188776952</v>
      </c>
      <c r="AJ20" s="505">
        <f>Magnesium!J75</f>
        <v>0.18395148481748672</v>
      </c>
      <c r="AK20" s="502">
        <f t="shared" ca="1" si="0"/>
        <v>1.5824555644323264</v>
      </c>
      <c r="AL20" s="502">
        <f>GREET1_Import_Export!G499/2000</f>
        <v>3.5792947583676189E-2</v>
      </c>
      <c r="AM20" s="503">
        <f>Glass!K76</f>
        <v>0.33627404196841154</v>
      </c>
      <c r="AN20" s="502">
        <f>Glass!Q76</f>
        <v>0.91806019030818264</v>
      </c>
      <c r="AO20" s="503">
        <f>Vehi_Plastics!AV110</f>
        <v>1.050941187281291</v>
      </c>
      <c r="AP20" s="502">
        <f>Vehi_Plastics!BH110</f>
        <v>0.7429790406796849</v>
      </c>
      <c r="AQ20" s="505">
        <f>Vehi_Plastics!BJ110</f>
        <v>0.79407251989801941</v>
      </c>
      <c r="AR20" s="505">
        <f>Vehi_Plastics!BR110</f>
        <v>0.59302845654179925</v>
      </c>
      <c r="AS20" s="505">
        <f>Vehi_Plastics!BZ110</f>
        <v>1.1123776141357546</v>
      </c>
      <c r="AT20" s="505">
        <f>Vehi_Plastics!CB110</f>
        <v>2.847367403413354</v>
      </c>
      <c r="AU20" s="502">
        <f>Vehi_Plastics!CD110</f>
        <v>5.3567498447115733</v>
      </c>
      <c r="AV20" s="504">
        <f>Rubber!J70</f>
        <v>0.34189251508481772</v>
      </c>
      <c r="AW20" s="504">
        <f>Platinum!O74</f>
        <v>112.04623372837523</v>
      </c>
      <c r="AX20" s="504">
        <f>Vanadium!F64</f>
        <v>0</v>
      </c>
      <c r="AY20" s="504">
        <f>Zirconium!F64</f>
        <v>2.0017518315156613</v>
      </c>
      <c r="AZ20" s="504">
        <f>Titanium!F61</f>
        <v>0</v>
      </c>
      <c r="BA20" s="504">
        <f>Chromium!F61</f>
        <v>0</v>
      </c>
      <c r="BB20" s="504">
        <f>'Rare Earth'!F61</f>
        <v>6.1215405485041732</v>
      </c>
      <c r="BC20" s="504">
        <f>Manganese!H78/2000</f>
        <v>0.4898650277418295</v>
      </c>
      <c r="BD20" s="504">
        <f>Manganese!E78</f>
        <v>0.67467354998624396</v>
      </c>
      <c r="BE20" s="504">
        <f>AN20</f>
        <v>0.91806019030818264</v>
      </c>
      <c r="BF20" s="503">
        <f>Vehi_Plastics!W110/2000</f>
        <v>6.4537279404956607</v>
      </c>
      <c r="BG20" s="502">
        <f>BF20*3.5</f>
        <v>22.588047791734812</v>
      </c>
      <c r="BH20" s="503">
        <f>'FC Materials'!C61</f>
        <v>0.28643897945772773</v>
      </c>
      <c r="BI20" s="505">
        <f>'FC Materials'!E61</f>
        <v>0.28042879267339998</v>
      </c>
      <c r="BJ20" s="502">
        <f>'FC Materials'!G61</f>
        <v>0.7294054285983832</v>
      </c>
      <c r="BK20" s="503">
        <f>LiMn2O4!L95/2000</f>
        <v>0.67506356435929071</v>
      </c>
      <c r="BL20" s="505">
        <f ca="1">Other_Cathodes!E124/2000</f>
        <v>9.4718870298394169</v>
      </c>
      <c r="BM20" s="349">
        <f ca="1">Other_Cathodes!$G$16*Other_Cathodes!$F$9*(Nickel!$B$57*Nickel!$F$80*Nickel!B143+Nickel!$C$57*Nickel!H143)/2000</f>
        <v>0.27708978564840603</v>
      </c>
      <c r="BN20" s="349">
        <f ca="1">Other_Cathodes!$G$16*Other_Cathodes!$F$9*(Nickel!AC143)/2000-BM20</f>
        <v>1.5283604662936514</v>
      </c>
      <c r="BO20" s="349">
        <f>Other_Cathodes!$G$16*Other_Cathodes!$F$11*Other_Cathodes!$B$7*Other_Cathodes!C157/2000</f>
        <v>9.3043546149706058E-2</v>
      </c>
      <c r="BP20" s="349">
        <f ca="1">Other_Cathodes!$G$16*Other_Cathodes!$F$10*Cobalt!$C$18*Cobalt!B91/2000</f>
        <v>0.22757991497370719</v>
      </c>
      <c r="BQ20" s="349">
        <f ca="1">Other_Cathodes!$G$16*Other_Cathodes!$F$10*Cobalt!G91/2000-Mat_Sum!BP20</f>
        <v>3.9559647601374657</v>
      </c>
      <c r="BR20" s="349">
        <f>Other_Cathodes!$G$26*Li_Chemicals!V112/2000</f>
        <v>2.1283712220214803</v>
      </c>
      <c r="BS20" s="349">
        <f t="shared" ca="1" si="3"/>
        <v>2.5326590022926325</v>
      </c>
      <c r="BT20" s="505">
        <f ca="1">(Other_Cathodes!G124*'Battery Recycling'!$F$38+'Battery Recycling'!$E$38*'Battery Recycling'!K139)/2000</f>
        <v>10.74306869751705</v>
      </c>
      <c r="BU20" s="505">
        <f ca="1">Other_Cathodes!I124/2000</f>
        <v>10.082372110649649</v>
      </c>
      <c r="BV20" s="505">
        <f ca="1">Other_Cathodes!K124/2000</f>
        <v>10.433897662457442</v>
      </c>
      <c r="BW20" s="505">
        <f ca="1">Other_Cathodes!M124/2000</f>
        <v>10.952086466689963</v>
      </c>
      <c r="BX20" s="505">
        <f ca="1">Other_Cathodes!O124/2000</f>
        <v>8.2100519715038569</v>
      </c>
      <c r="BY20" s="505">
        <f ca="1">Other_Cathodes!R124/2000</f>
        <v>7.1833508671795023</v>
      </c>
      <c r="BZ20" s="505">
        <f ca="1">Other_Cathodes!P124/2000</f>
        <v>4.5575586695354131</v>
      </c>
      <c r="CA20" s="505">
        <f ca="1">Other_Cathodes!V124/2000</f>
        <v>5.0833938926928219</v>
      </c>
      <c r="CB20" s="505">
        <f ca="1">Other_Cathodes!U124/2000</f>
        <v>18.184217809951086</v>
      </c>
      <c r="CC20" s="505">
        <f ca="1">Other_Cathodes!S124/2000</f>
        <v>17.113025731672384</v>
      </c>
      <c r="CD20" s="505">
        <f ca="1">Other_Cathodes!AB124/2000</f>
        <v>11.768589939785331</v>
      </c>
      <c r="CE20" s="502">
        <f>Battery_Materials!K94</f>
        <v>0.33419406371568278</v>
      </c>
      <c r="CF20" s="504">
        <f ca="1">Anode!C86</f>
        <v>1.7729144150701288</v>
      </c>
      <c r="CG20" s="504">
        <f>Battery_Materials!C94</f>
        <v>0.47200283347399136</v>
      </c>
      <c r="CH20" s="503"/>
      <c r="CI20" s="503">
        <f>Battery_Materials!E94</f>
        <v>4.1584693756114426</v>
      </c>
      <c r="CJ20" s="505">
        <f>Battery_Materials!G94</f>
        <v>0.12552184604027281</v>
      </c>
      <c r="CK20" s="502">
        <f>Battery_Materials!I94</f>
        <v>0.4534408123839847</v>
      </c>
      <c r="CL20" s="504">
        <f>Battery_Materials!M94</f>
        <v>6.7022693471698656</v>
      </c>
      <c r="CM20" s="504">
        <f>Vehi_Fluids!J77</f>
        <v>0.3340297365146202</v>
      </c>
      <c r="CN20" s="504">
        <f ca="1">Silicon!C77</f>
        <v>156.9698875847559</v>
      </c>
      <c r="CO20" s="504">
        <f ca="1">Silicon!E77</f>
        <v>65.35501756139746</v>
      </c>
      <c r="CP20" s="1670">
        <f xml:space="preserve"> Molybdenum!G72</f>
        <v>3.4494818125095144</v>
      </c>
      <c r="CQ20" s="2635">
        <f xml:space="preserve"> Vehi_Plastics!BB110</f>
        <v>0.76363254111038137</v>
      </c>
      <c r="CR20" s="64"/>
      <c r="CS20" s="64"/>
      <c r="CT20" s="64"/>
      <c r="CU20" s="64"/>
      <c r="CV20" s="64"/>
      <c r="CW20" s="64"/>
      <c r="CX20" s="64"/>
      <c r="CY20" s="64"/>
      <c r="CZ20" s="64"/>
      <c r="DA20" s="64"/>
      <c r="DB20" s="64"/>
      <c r="DC20" s="64"/>
    </row>
    <row r="21" spans="1:107">
      <c r="A21" s="293" t="s">
        <v>1030</v>
      </c>
      <c r="B21" s="512"/>
      <c r="C21" s="512"/>
      <c r="D21" s="512"/>
      <c r="E21" s="509"/>
      <c r="F21" s="511"/>
      <c r="G21" s="512"/>
      <c r="H21" s="512"/>
      <c r="I21" s="509"/>
      <c r="J21" s="512"/>
      <c r="K21" s="512"/>
      <c r="L21" s="509"/>
      <c r="M21" s="510"/>
      <c r="N21" s="512"/>
      <c r="O21" s="509"/>
      <c r="P21" s="510"/>
      <c r="Q21" s="512"/>
      <c r="R21" s="349"/>
      <c r="S21" s="349"/>
      <c r="T21" s="349"/>
      <c r="U21" s="509"/>
      <c r="V21" s="510"/>
      <c r="W21" s="512"/>
      <c r="X21" s="509"/>
      <c r="Y21" s="1081"/>
      <c r="Z21" s="511"/>
      <c r="AA21" s="511"/>
      <c r="AB21" s="494"/>
      <c r="AC21" s="494"/>
      <c r="AD21" s="511"/>
      <c r="AE21" s="348"/>
      <c r="AF21" s="348"/>
      <c r="AG21" s="509"/>
      <c r="AH21" s="509"/>
      <c r="AI21" s="512"/>
      <c r="AJ21" s="512"/>
      <c r="AK21" s="509"/>
      <c r="AL21" s="509"/>
      <c r="AM21" s="510"/>
      <c r="AN21" s="509"/>
      <c r="AO21" s="510"/>
      <c r="AP21" s="509"/>
      <c r="AQ21" s="347"/>
      <c r="AR21" s="349"/>
      <c r="AS21" s="349"/>
      <c r="AT21" s="349"/>
      <c r="AU21" s="348"/>
      <c r="AV21" s="511"/>
      <c r="AW21" s="511"/>
      <c r="AX21" s="511"/>
      <c r="AY21" s="511"/>
      <c r="AZ21" s="511"/>
      <c r="BA21" s="511"/>
      <c r="BB21" s="511"/>
      <c r="BC21" s="511"/>
      <c r="BD21" s="511"/>
      <c r="BE21" s="511"/>
      <c r="BF21" s="510"/>
      <c r="BG21" s="509"/>
      <c r="BH21" s="510"/>
      <c r="BI21" s="512"/>
      <c r="BJ21" s="509"/>
      <c r="BK21" s="510"/>
      <c r="BL21" s="512"/>
      <c r="BM21" s="349"/>
      <c r="BN21" s="349"/>
      <c r="BO21" s="349"/>
      <c r="BP21" s="349"/>
      <c r="BQ21" s="349"/>
      <c r="BR21" s="349"/>
      <c r="BS21" s="349"/>
      <c r="BT21" s="512"/>
      <c r="BU21" s="512"/>
      <c r="BV21" s="512"/>
      <c r="BW21" s="512"/>
      <c r="BX21" s="512"/>
      <c r="BY21" s="512"/>
      <c r="BZ21" s="512"/>
      <c r="CA21" s="512"/>
      <c r="CB21" s="512"/>
      <c r="CC21" s="512"/>
      <c r="CD21" s="512"/>
      <c r="CE21" s="509"/>
      <c r="CF21" s="511"/>
      <c r="CG21" s="511"/>
      <c r="CH21" s="510"/>
      <c r="CI21" s="510"/>
      <c r="CJ21" s="512"/>
      <c r="CK21" s="509"/>
      <c r="CL21" s="511"/>
      <c r="CM21" s="511"/>
      <c r="CN21" s="511"/>
      <c r="CO21" s="511"/>
      <c r="CP21" s="511"/>
      <c r="CQ21" s="2638"/>
      <c r="CR21" s="64"/>
      <c r="CS21" s="64"/>
      <c r="CT21" s="64"/>
      <c r="CU21" s="64"/>
      <c r="CV21" s="64"/>
      <c r="CW21" s="64"/>
      <c r="CX21" s="64"/>
      <c r="CY21" s="64"/>
      <c r="CZ21" s="64"/>
      <c r="DA21" s="64"/>
      <c r="DB21" s="64"/>
      <c r="DC21" s="64"/>
    </row>
    <row r="22" spans="1:107">
      <c r="A22" s="291" t="s">
        <v>821</v>
      </c>
      <c r="B22" s="349">
        <f ca="1">Steel!V115</f>
        <v>1.5555807524978149</v>
      </c>
      <c r="C22" s="349">
        <f ca="1">Steel!F149</f>
        <v>0.13023942979727515</v>
      </c>
      <c r="D22" s="349">
        <f t="shared" ref="D22:D34" ca="1" si="6">B22*$B$5+C22*$C$5</f>
        <v>1.1792906433048724</v>
      </c>
      <c r="E22" s="348">
        <f ca="1">Steel!F217</f>
        <v>0.18743179650766109</v>
      </c>
      <c r="F22" s="494">
        <f ca="1">'C.Iron'!K69</f>
        <v>0.84284846287793325</v>
      </c>
      <c r="G22" s="349">
        <f ca="1">W.Al!V133</f>
        <v>0.55219371918878524</v>
      </c>
      <c r="H22" s="349">
        <f ca="1">W.Al!S171</f>
        <v>0.27993781861831607</v>
      </c>
      <c r="I22" s="348">
        <f t="shared" ref="I22:I34" ca="1" si="7">G22*$B$6+H22*$C$6</f>
        <v>0.52224557012603368</v>
      </c>
      <c r="J22" s="349">
        <f ca="1">'C.Al'!J122</f>
        <v>0.46365786013063348</v>
      </c>
      <c r="K22" s="349">
        <f ca="1">'C.Al'!G158</f>
        <v>0.16363567912271013</v>
      </c>
      <c r="L22" s="348">
        <f t="shared" ref="L22:L34" ca="1" si="8">J22*$B$7+K22*$C$7</f>
        <v>0.20863900627389861</v>
      </c>
      <c r="M22" s="347">
        <f ca="1">Lead!F67</f>
        <v>0.70517356348324622</v>
      </c>
      <c r="N22" s="349">
        <f>Lead!H67</f>
        <v>1.6229705281729442E-2</v>
      </c>
      <c r="O22" s="348">
        <f t="shared" ref="O22:O34" ca="1" si="9">M22*$B$8+N22*$C$8</f>
        <v>0.20224454699613897</v>
      </c>
      <c r="P22" s="347">
        <f ca="1">Nickel!R145</f>
        <v>1.5028745794976941</v>
      </c>
      <c r="Q22" s="349">
        <f>Nickel!T145</f>
        <v>9.5385842554590775E-2</v>
      </c>
      <c r="R22" s="349">
        <f ca="1">$B$9*SUM(Nickel!B145:D145)/2000</f>
        <v>0.56911093230910337</v>
      </c>
      <c r="S22" s="349">
        <f ca="1">$B$9*Nickel!E145/2000</f>
        <v>0.27249883220960536</v>
      </c>
      <c r="T22" s="349">
        <f>$C$9*Nickel!F145/2000</f>
        <v>4.1969770724019938E-2</v>
      </c>
      <c r="U22" s="348">
        <f t="shared" ref="U22:U34" ca="1" si="10">P22*$B$9+Q22*$C$9</f>
        <v>0.8835795352427287</v>
      </c>
      <c r="V22" s="347">
        <f ca="1">Nickel!AF145</f>
        <v>0.9839930203154178</v>
      </c>
      <c r="W22" s="349">
        <f>Nickel!AH145</f>
        <v>1.4710177914188693E-2</v>
      </c>
      <c r="X22" s="348">
        <f t="shared" ca="1" si="1"/>
        <v>0.55750856965887707</v>
      </c>
      <c r="Y22" s="817">
        <f ca="1">Nickel!V145</f>
        <v>1.5028745794976941</v>
      </c>
      <c r="Z22" s="494">
        <f ca="1">Cobalt!N93</f>
        <v>2.1538837053828339</v>
      </c>
      <c r="AA22" s="494">
        <f ca="1">Cobalt!J93</f>
        <v>0.73309226029097552</v>
      </c>
      <c r="AB22" s="494">
        <f ca="1">SUM(Cobalt!B93:C93)/2000</f>
        <v>0.44290687774442722</v>
      </c>
      <c r="AC22" s="494">
        <f ca="1">SUM(Cobalt!D93,Cobalt!F93)/2000</f>
        <v>1.2713013646789404</v>
      </c>
      <c r="AD22" s="494">
        <f ca="1">Cobalt!P93</f>
        <v>1.7142082424233676</v>
      </c>
      <c r="AE22" s="348">
        <f>Copper!M70</f>
        <v>1.2246644759029273E-2</v>
      </c>
      <c r="AF22" s="348">
        <f>Copper!N70</f>
        <v>0.13646243413676992</v>
      </c>
      <c r="AG22" s="348">
        <f>Copper!L70</f>
        <v>0.14870907889579921</v>
      </c>
      <c r="AH22" s="348">
        <f>Zinc!F79</f>
        <v>0.12943646656661048</v>
      </c>
      <c r="AI22" s="349">
        <f ca="1">Magnesium!H77</f>
        <v>1.0109245897669517</v>
      </c>
      <c r="AJ22" s="349">
        <f>Magnesium!J77</f>
        <v>6.3762695093049104E-2</v>
      </c>
      <c r="AK22" s="348">
        <f t="shared" ref="AK22:AK34" ca="1" si="11">SUMPRODUCT(AI22:AJ22,B$10:C$10)</f>
        <v>0.51745324264184844</v>
      </c>
      <c r="AL22" s="348">
        <f>GREET1_Import_Export!G501/2000</f>
        <v>8.1931713574732827E-3</v>
      </c>
      <c r="AM22" s="347">
        <f>Glass!K78</f>
        <v>0.10470138944434228</v>
      </c>
      <c r="AN22" s="348">
        <f>Glass!Q78</f>
        <v>0.11967524404447746</v>
      </c>
      <c r="AO22" s="347">
        <f>Vehi_Plastics!AV112</f>
        <v>0.8574958722201933</v>
      </c>
      <c r="AP22" s="348">
        <f>Vehi_Plastics!BH112</f>
        <v>0.61729417692781741</v>
      </c>
      <c r="AQ22" s="347">
        <f>Vehi_Plastics!BJ112</f>
        <v>0.58863083297315555</v>
      </c>
      <c r="AR22" s="349">
        <f>Vehi_Plastics!BR112</f>
        <v>0.51900414951114837</v>
      </c>
      <c r="AS22" s="349">
        <f>Vehi_Plastics!BZ112</f>
        <v>0.32746814483932851</v>
      </c>
      <c r="AT22" s="349">
        <f>Vehi_Plastics!CB112</f>
        <v>1.616664752071816</v>
      </c>
      <c r="AU22" s="348">
        <f>Vehi_Plastics!CD112</f>
        <v>2.9080058646935147</v>
      </c>
      <c r="AV22" s="494">
        <f>Rubber!J72</f>
        <v>2.8497552159442563</v>
      </c>
      <c r="AW22" s="494">
        <f>Platinum!O76</f>
        <v>4.7080597636541901</v>
      </c>
      <c r="AX22" s="494">
        <f>Vanadium!F66</f>
        <v>0</v>
      </c>
      <c r="AY22" s="494">
        <f>Zirconium!F66</f>
        <v>0.87690995482807099</v>
      </c>
      <c r="AZ22" s="494">
        <f>Titanium!F63</f>
        <v>0</v>
      </c>
      <c r="BA22" s="494">
        <f>Chromium!F63</f>
        <v>0</v>
      </c>
      <c r="BB22" s="494">
        <f>'Rare Earth'!F63</f>
        <v>0.78046733686380287</v>
      </c>
      <c r="BC22" s="494">
        <f>Manganese!H80/2000</f>
        <v>7.2951686561211246E-2</v>
      </c>
      <c r="BD22" s="494">
        <f>Manganese!E80</f>
        <v>0.4509313617837501</v>
      </c>
      <c r="BE22" s="494">
        <f t="shared" ref="BE22:BE34" si="12">AN22</f>
        <v>0.11967524404447746</v>
      </c>
      <c r="BF22" s="347">
        <f>Vehi_Plastics!W112/2000</f>
        <v>3.4688800737436511</v>
      </c>
      <c r="BG22" s="348">
        <f t="shared" si="2"/>
        <v>12.141080258102779</v>
      </c>
      <c r="BH22" s="347">
        <f>'FC Materials'!C63</f>
        <v>8.1468535941484246E-2</v>
      </c>
      <c r="BI22" s="349">
        <f>'FC Materials'!E63</f>
        <v>7.9759127819094597E-2</v>
      </c>
      <c r="BJ22" s="348">
        <f>'FC Materials'!G63</f>
        <v>0.41266453879382753</v>
      </c>
      <c r="BK22" s="347">
        <f>LiMn2O4!L97/2000</f>
        <v>0.97269322240315614</v>
      </c>
      <c r="BL22" s="349">
        <f ca="1">Other_Cathodes!E126/2000</f>
        <v>1.7211729991866269</v>
      </c>
      <c r="BM22" s="349">
        <f ca="1">Other_Cathodes!$G$16*Other_Cathodes!$F$9*(Nickel!$B$57*Nickel!$F$80*Nickel!B145+Nickel!$C$57*Nickel!H145)/2000</f>
        <v>5.548525774089965E-2</v>
      </c>
      <c r="BN22" s="349">
        <f ca="1">Other_Cathodes!$G$16*Other_Cathodes!$F$9*(Nickel!AC145)/2000-BM22</f>
        <v>0.38267573680863198</v>
      </c>
      <c r="BO22" s="349">
        <f>Other_Cathodes!$G$16*Other_Cathodes!$F$11*Other_Cathodes!$B$7*Other_Cathodes!C159/2000</f>
        <v>1.3856232290242649E-2</v>
      </c>
      <c r="BP22" s="349">
        <f ca="1">Other_Cathodes!$G$16*Other_Cathodes!$F$10*Cobalt!$C$18*Cobalt!B93/2000</f>
        <v>6.9777145607314239E-2</v>
      </c>
      <c r="BQ22" s="349">
        <f ca="1">Other_Cathodes!$G$16*Other_Cathodes!$F$10*Cobalt!G93/2000-Mat_Sum!BP22</f>
        <v>0.25913356534598325</v>
      </c>
      <c r="BR22" s="349">
        <f>Other_Cathodes!$G$26*Li_Chemicals!V114/2000</f>
        <v>0.35349972465116192</v>
      </c>
      <c r="BS22" s="349">
        <f t="shared" ca="1" si="3"/>
        <v>0.62420977663401556</v>
      </c>
      <c r="BT22" s="349">
        <f ca="1">(Other_Cathodes!G126*'Battery Recycling'!$F$38+'Battery Recycling'!$E$38*'Battery Recycling'!K141)/2000</f>
        <v>1.7586374390782493</v>
      </c>
      <c r="BU22" s="349">
        <f ca="1">Other_Cathodes!I126/2000</f>
        <v>1.8617720158793138</v>
      </c>
      <c r="BV22" s="349">
        <f ca="1">Other_Cathodes!K126/2000</f>
        <v>1.9645551151608427</v>
      </c>
      <c r="BW22" s="349">
        <f ca="1">Other_Cathodes!M126/2000</f>
        <v>2.2763225990115687</v>
      </c>
      <c r="BX22" s="349">
        <f ca="1">Other_Cathodes!O126/2000</f>
        <v>1.1872224799547855</v>
      </c>
      <c r="BY22" s="349">
        <f ca="1">Other_Cathodes!R126/2000</f>
        <v>1.908576766953447</v>
      </c>
      <c r="BZ22" s="349">
        <f ca="1">Other_Cathodes!P126/2000</f>
        <v>0.78637274566933946</v>
      </c>
      <c r="CA22" s="349">
        <f ca="1">Other_Cathodes!V126/2000</f>
        <v>0.78652057554286059</v>
      </c>
      <c r="CB22" s="349">
        <f ca="1">Other_Cathodes!U126/2000</f>
        <v>1.9411598160262082</v>
      </c>
      <c r="CC22" s="349">
        <f ca="1">Other_Cathodes!S126/2000</f>
        <v>2.126126795323914</v>
      </c>
      <c r="CD22" s="349">
        <f ca="1">Other_Cathodes!AB126/2000</f>
        <v>3.0332422981792599</v>
      </c>
      <c r="CE22" s="348">
        <f>Battery_Materials!K96</f>
        <v>0.9095488567617751</v>
      </c>
      <c r="CF22" s="494">
        <f ca="1">Anode!C88</f>
        <v>0.51270051757537594</v>
      </c>
      <c r="CG22" s="494">
        <f>Battery_Materials!C96</f>
        <v>0.1363970068004059</v>
      </c>
      <c r="CH22" s="347"/>
      <c r="CI22" s="347">
        <f>Battery_Materials!E96</f>
        <v>0.55202053700581888</v>
      </c>
      <c r="CJ22" s="349">
        <f>Battery_Materials!G96</f>
        <v>6.9342770891111891E-2</v>
      </c>
      <c r="CK22" s="348">
        <f>Battery_Materials!I96</f>
        <v>0.25412668102502056</v>
      </c>
      <c r="CL22" s="494">
        <f>Battery_Materials!M96</f>
        <v>1.3770430772096525</v>
      </c>
      <c r="CM22" s="494">
        <f>Vehi_Fluids!J79</f>
        <v>0.16174943128512101</v>
      </c>
      <c r="CN22" s="494">
        <f ca="1">Silicon!C79</f>
        <v>10.44588835423718</v>
      </c>
      <c r="CO22" s="494">
        <f ca="1">Silicon!E79</f>
        <v>2.4584635067357685</v>
      </c>
      <c r="CP22" s="494">
        <f xml:space="preserve"> Molybdenum!G74</f>
        <v>2.1544840320815593</v>
      </c>
      <c r="CQ22" s="2637">
        <f xml:space="preserve"> Vehi_Plastics!BB112</f>
        <v>0.45775265562225376</v>
      </c>
      <c r="CR22" s="64"/>
      <c r="CS22" s="64"/>
      <c r="CT22" s="64"/>
      <c r="CU22" s="64"/>
      <c r="CV22" s="64"/>
      <c r="CW22" s="64"/>
      <c r="CX22" s="64"/>
      <c r="CY22" s="64"/>
      <c r="CZ22" s="64"/>
      <c r="DA22" s="64"/>
      <c r="DB22" s="64"/>
      <c r="DC22" s="64"/>
    </row>
    <row r="23" spans="1:107">
      <c r="A23" s="291" t="s">
        <v>822</v>
      </c>
      <c r="B23" s="349">
        <f ca="1">Steel!V116</f>
        <v>10.958209123471606</v>
      </c>
      <c r="C23" s="349">
        <f ca="1">Steel!F150</f>
        <v>1.7003606761133976</v>
      </c>
      <c r="D23" s="349">
        <f t="shared" ca="1" si="6"/>
        <v>8.5141371333690401</v>
      </c>
      <c r="E23" s="348">
        <f ca="1">Steel!F218</f>
        <v>2.5769206984754707</v>
      </c>
      <c r="F23" s="494">
        <f ca="1">'C.Iron'!K70</f>
        <v>0.46067552058618766</v>
      </c>
      <c r="G23" s="349">
        <f ca="1">W.Al!V134</f>
        <v>1.1866473551787613</v>
      </c>
      <c r="H23" s="349">
        <f ca="1">W.Al!S172</f>
        <v>0.39203669749748815</v>
      </c>
      <c r="I23" s="348">
        <f t="shared" ca="1" si="7"/>
        <v>1.0992401828338212</v>
      </c>
      <c r="J23" s="349">
        <f ca="1">'C.Al'!J123</f>
        <v>1.3375235185786734</v>
      </c>
      <c r="K23" s="349">
        <f ca="1">'C.Al'!G159</f>
        <v>0.46187372707683705</v>
      </c>
      <c r="L23" s="348">
        <f t="shared" ca="1" si="8"/>
        <v>0.59322119580211252</v>
      </c>
      <c r="M23" s="347">
        <f ca="1">Lead!F68</f>
        <v>0.23861602633687345</v>
      </c>
      <c r="N23" s="349">
        <f>Lead!H68</f>
        <v>5.3345063506531627E-2</v>
      </c>
      <c r="O23" s="348">
        <f t="shared" ca="1" si="9"/>
        <v>0.10336822347072391</v>
      </c>
      <c r="P23" s="347">
        <f ca="1">Nickel!R146</f>
        <v>7.6283296175732609</v>
      </c>
      <c r="Q23" s="349">
        <f>Nickel!T146</f>
        <v>0.81040095001516532</v>
      </c>
      <c r="R23" s="349">
        <f ca="1">$B$9*SUM(Nickel!B146:D146)/2000</f>
        <v>3.3817603321031484</v>
      </c>
      <c r="S23" s="349">
        <f ca="1">$B$9*Nickel!E146/2000</f>
        <v>0.89010425373787827</v>
      </c>
      <c r="T23" s="349">
        <f>$C$9*Nickel!F146/2000</f>
        <v>0.35657641800667272</v>
      </c>
      <c r="U23" s="348">
        <f t="shared" ca="1" si="10"/>
        <v>4.6284410038476986</v>
      </c>
      <c r="V23" s="347">
        <f ca="1">Nickel!AF146</f>
        <v>4.9425928911155967</v>
      </c>
      <c r="W23" s="349">
        <f>Nickel!AH146</f>
        <v>0.12497810825257397</v>
      </c>
      <c r="X23" s="348">
        <f t="shared" ca="1" si="1"/>
        <v>2.8228423866558674</v>
      </c>
      <c r="Y23" s="817">
        <f ca="1">Nickel!V146</f>
        <v>7.6283296175732609</v>
      </c>
      <c r="Z23" s="494">
        <f ca="1">Cobalt!N94</f>
        <v>5.4275861271571202</v>
      </c>
      <c r="AA23" s="494">
        <f ca="1">Cobalt!J94</f>
        <v>2.3371730006800564</v>
      </c>
      <c r="AB23" s="494">
        <f ca="1">SUM(Cobalt!B94:C94)/2000</f>
        <v>1.5929012297927296</v>
      </c>
      <c r="AC23" s="494">
        <f ca="1">SUM(Cobalt!D94,Cobalt!F94)/2000</f>
        <v>3.7588069441921044</v>
      </c>
      <c r="AD23" s="494">
        <f ca="1">Cobalt!P94</f>
        <v>5.351708173984834</v>
      </c>
      <c r="AE23" s="348">
        <f>Copper!M71</f>
        <v>9.2952609894531038E-2</v>
      </c>
      <c r="AF23" s="348">
        <f>Copper!N71</f>
        <v>0.86609868987295124</v>
      </c>
      <c r="AG23" s="348">
        <f>Copper!L71</f>
        <v>0.95905129976748227</v>
      </c>
      <c r="AH23" s="348">
        <f>Zinc!F80</f>
        <v>0.41048899509717196</v>
      </c>
      <c r="AI23" s="349">
        <f ca="1">Magnesium!H78</f>
        <v>3.8383807866175159</v>
      </c>
      <c r="AJ23" s="349">
        <f>Magnesium!J78</f>
        <v>0.23324933719399116</v>
      </c>
      <c r="AK23" s="348">
        <f t="shared" ca="1" si="11"/>
        <v>1.9601073014678596</v>
      </c>
      <c r="AL23" s="348">
        <f>GREET1_Import_Export!G502/2000</f>
        <v>1.8096573100795134E-2</v>
      </c>
      <c r="AM23" s="347">
        <f>Glass!K79</f>
        <v>0.43819503140154498</v>
      </c>
      <c r="AN23" s="348">
        <f>Glass!Q79</f>
        <v>0.42928043665327298</v>
      </c>
      <c r="AO23" s="347">
        <f>Vehi_Plastics!AV113</f>
        <v>1.9325223884364651</v>
      </c>
      <c r="AP23" s="348">
        <f>Vehi_Plastics!BH113</f>
        <v>7.1096616353245921</v>
      </c>
      <c r="AQ23" s="347">
        <f>Vehi_Plastics!BJ113</f>
        <v>3.3629117809049189</v>
      </c>
      <c r="AR23" s="349">
        <f>Vehi_Plastics!BR113</f>
        <v>3.0135955105613021</v>
      </c>
      <c r="AS23" s="349">
        <f>Vehi_Plastics!BZ113</f>
        <v>1.2705627396981269</v>
      </c>
      <c r="AT23" s="349">
        <f>Vehi_Plastics!CB113</f>
        <v>3.5750929705396612</v>
      </c>
      <c r="AU23" s="348">
        <f>Vehi_Plastics!CD113</f>
        <v>4.9228708368153891</v>
      </c>
      <c r="AV23" s="494">
        <f>Rubber!J73</f>
        <v>0.98737848700433439</v>
      </c>
      <c r="AW23" s="494">
        <f>Platinum!O77</f>
        <v>13.81992966830715</v>
      </c>
      <c r="AX23" s="494">
        <f>Vanadium!F67</f>
        <v>0</v>
      </c>
      <c r="AY23" s="494">
        <f>Zirconium!F67</f>
        <v>3.3117636381386895</v>
      </c>
      <c r="AZ23" s="494">
        <f>Titanium!F64</f>
        <v>0</v>
      </c>
      <c r="BA23" s="494">
        <f>Chromium!F64</f>
        <v>0</v>
      </c>
      <c r="BB23" s="494">
        <f>'Rare Earth'!F64</f>
        <v>2.1095948692715587</v>
      </c>
      <c r="BC23" s="494">
        <f>Manganese!H81/2000</f>
        <v>0.33627935550801624</v>
      </c>
      <c r="BD23" s="494">
        <f>Manganese!E81</f>
        <v>2.2710958954375564</v>
      </c>
      <c r="BE23" s="494">
        <f t="shared" si="12"/>
        <v>0.42928043665327298</v>
      </c>
      <c r="BF23" s="347">
        <f>Vehi_Plastics!W113/2000</f>
        <v>5.1493967763797599</v>
      </c>
      <c r="BG23" s="348">
        <f t="shared" si="2"/>
        <v>18.02288871732916</v>
      </c>
      <c r="BH23" s="347">
        <f>'FC Materials'!C64</f>
        <v>0.28811683685132095</v>
      </c>
      <c r="BI23" s="349">
        <f>'FC Materials'!E64</f>
        <v>0.2820714445361257</v>
      </c>
      <c r="BJ23" s="348">
        <f>'FC Materials'!G64</f>
        <v>2.0034911487280871</v>
      </c>
      <c r="BK23" s="347">
        <f>LiMn2O4!L98/2000</f>
        <v>1.1869251209621086</v>
      </c>
      <c r="BL23" s="349">
        <f ca="1">Other_Cathodes!E127/2000</f>
        <v>7.0829194587981057</v>
      </c>
      <c r="BM23" s="349">
        <f ca="1">Other_Cathodes!$G$16*Other_Cathodes!$F$9*(Nickel!$B$57*Nickel!$F$80*Nickel!B146+Nickel!$C$57*Nickel!H146)/2000</f>
        <v>0.27646592985087581</v>
      </c>
      <c r="BN23" s="349">
        <f ca="1">Other_Cathodes!$G$16*Other_Cathodes!$F$9*(Nickel!AC146)/2000-BM23</f>
        <v>2.1560027174656637</v>
      </c>
      <c r="BO23" s="349">
        <f>Other_Cathodes!$G$16*Other_Cathodes!$F$11*Other_Cathodes!$B$7*Other_Cathodes!C160/2000</f>
        <v>6.3871927901522629E-2</v>
      </c>
      <c r="BP23" s="349">
        <f ca="1">Other_Cathodes!$G$16*Other_Cathodes!$F$10*Cobalt!$C$18*Cobalt!B94/2000</f>
        <v>0.21274196479345392</v>
      </c>
      <c r="BQ23" s="349">
        <f ca="1">Other_Cathodes!$G$16*Other_Cathodes!$F$10*Cobalt!G94/2000-Mat_Sum!BP23</f>
        <v>0.83585897524294994</v>
      </c>
      <c r="BR23" s="349">
        <f>Other_Cathodes!$G$26*Li_Chemicals!V115/2000</f>
        <v>1.526284474860365</v>
      </c>
      <c r="BS23" s="349">
        <f t="shared" ca="1" si="3"/>
        <v>1.9157512438125872</v>
      </c>
      <c r="BT23" s="349">
        <f ca="1">(Other_Cathodes!G127*'Battery Recycling'!$F$38+'Battery Recycling'!$E$38*'Battery Recycling'!K142)/2000</f>
        <v>6.9869772339274183</v>
      </c>
      <c r="BU23" s="349">
        <f ca="1">Other_Cathodes!I127/2000</f>
        <v>7.8657662064972413</v>
      </c>
      <c r="BV23" s="349">
        <f ca="1">Other_Cathodes!K127/2000</f>
        <v>8.4541493572195474</v>
      </c>
      <c r="BW23" s="349">
        <f ca="1">Other_Cathodes!M127/2000</f>
        <v>9.634352718192762</v>
      </c>
      <c r="BX23" s="349">
        <f ca="1">Other_Cathodes!O127/2000</f>
        <v>4.1021405553876642</v>
      </c>
      <c r="BY23" s="349">
        <f ca="1">Other_Cathodes!R127/2000</f>
        <v>5.1820161541453693</v>
      </c>
      <c r="BZ23" s="349">
        <f ca="1">Other_Cathodes!P127/2000</f>
        <v>2.6680704836437354</v>
      </c>
      <c r="CA23" s="349">
        <f ca="1">Other_Cathodes!V127/2000</f>
        <v>1.7697713873377587</v>
      </c>
      <c r="CB23" s="349">
        <f ca="1">Other_Cathodes!U127/2000</f>
        <v>6.4660533885870093</v>
      </c>
      <c r="CC23" s="349">
        <f ca="1">Other_Cathodes!S127/2000</f>
        <v>6.0075329547872407</v>
      </c>
      <c r="CD23" s="349">
        <f ca="1">Other_Cathodes!AB127/2000</f>
        <v>10.608689061453298</v>
      </c>
      <c r="CE23" s="348">
        <f>Battery_Materials!K97</f>
        <v>1.8124890073512547</v>
      </c>
      <c r="CF23" s="494">
        <f ca="1">Anode!C89</f>
        <v>0.61931002743515162</v>
      </c>
      <c r="CG23" s="494">
        <f>Battery_Materials!C97</f>
        <v>0.49273171574627112</v>
      </c>
      <c r="CH23" s="347"/>
      <c r="CI23" s="347">
        <f>Battery_Materials!E97</f>
        <v>1.4736694323110209</v>
      </c>
      <c r="CJ23" s="349">
        <f>Battery_Materials!G97</f>
        <v>8.5283048920728868E-2</v>
      </c>
      <c r="CK23" s="348">
        <f>Battery_Materials!I97</f>
        <v>0.3210809796054564</v>
      </c>
      <c r="CL23" s="494">
        <f>Battery_Materials!M97</f>
        <v>4.5115726827684313</v>
      </c>
      <c r="CM23" s="494">
        <f>Vehi_Fluids!J80</f>
        <v>0.20888678840338565</v>
      </c>
      <c r="CN23" s="494">
        <f ca="1">Silicon!C80</f>
        <v>33.026007519214645</v>
      </c>
      <c r="CO23" s="494">
        <f ca="1">Silicon!E80</f>
        <v>8.5549671098708551</v>
      </c>
      <c r="CP23" s="494">
        <f xml:space="preserve"> Molybdenum!G75</f>
        <v>18.629771410638238</v>
      </c>
      <c r="CQ23" s="2637">
        <f xml:space="preserve"> Vehi_Plastics!BB113</f>
        <v>4.3562369206437825</v>
      </c>
      <c r="CR23" s="64"/>
      <c r="CS23" s="64"/>
      <c r="CT23" s="64"/>
      <c r="CU23" s="64"/>
      <c r="CV23" s="64"/>
      <c r="CW23" s="64"/>
      <c r="CX23" s="64"/>
      <c r="CY23" s="64"/>
      <c r="CZ23" s="64"/>
      <c r="DA23" s="64"/>
      <c r="DB23" s="64"/>
      <c r="DC23" s="64"/>
    </row>
    <row r="24" spans="1:107">
      <c r="A24" s="291" t="s">
        <v>849</v>
      </c>
      <c r="B24" s="349">
        <f ca="1">Steel!V117</f>
        <v>1.3567929183889389</v>
      </c>
      <c r="C24" s="349">
        <f ca="1">Steel!F151</f>
        <v>0.2541746450109163</v>
      </c>
      <c r="D24" s="349">
        <f t="shared" ca="1" si="6"/>
        <v>1.0657016942171409</v>
      </c>
      <c r="E24" s="348">
        <f ca="1">Steel!F219</f>
        <v>0.31584080281455801</v>
      </c>
      <c r="F24" s="494">
        <f ca="1">'C.Iron'!K71</f>
        <v>0.60888127869073427</v>
      </c>
      <c r="G24" s="349">
        <f ca="1">W.Al!V135</f>
        <v>2.4874882730512318</v>
      </c>
      <c r="H24" s="349">
        <f ca="1">W.Al!S173</f>
        <v>0.6381616664858959</v>
      </c>
      <c r="I24" s="348">
        <f t="shared" ca="1" si="7"/>
        <v>2.284062346329045</v>
      </c>
      <c r="J24" s="349">
        <f ca="1">'C.Al'!J124</f>
        <v>2.780539225218952</v>
      </c>
      <c r="K24" s="349">
        <f ca="1">'C.Al'!G160</f>
        <v>0.7426072621829396</v>
      </c>
      <c r="L24" s="348">
        <f t="shared" ca="1" si="8"/>
        <v>1.0482970566383414</v>
      </c>
      <c r="M24" s="347">
        <f ca="1">Lead!F69</f>
        <v>0.45652323654727506</v>
      </c>
      <c r="N24" s="349">
        <f>Lead!H69</f>
        <v>0.26303467162960198</v>
      </c>
      <c r="O24" s="348">
        <f t="shared" ca="1" si="9"/>
        <v>0.3152765841573737</v>
      </c>
      <c r="P24" s="347">
        <f ca="1">Nickel!R147</f>
        <v>9.1333165743965061</v>
      </c>
      <c r="Q24" s="349">
        <f>Nickel!T147</f>
        <v>0.82179684017630528</v>
      </c>
      <c r="R24" s="349">
        <f ca="1">$B$9*SUM(Nickel!B147:D147)/2000</f>
        <v>4.296447442803891</v>
      </c>
      <c r="S24" s="349">
        <f ca="1">$B$9*Nickel!E147/2000</f>
        <v>0.81820983885815179</v>
      </c>
      <c r="T24" s="349">
        <f>$C$9*Nickel!F147/2000</f>
        <v>0.36159060967757428</v>
      </c>
      <c r="U24" s="348">
        <f t="shared" ca="1" si="10"/>
        <v>5.476247891339618</v>
      </c>
      <c r="V24" s="347">
        <f ca="1">Nickel!AF147</f>
        <v>5.9650197048466254</v>
      </c>
      <c r="W24" s="349">
        <f>Nickel!AH147</f>
        <v>0.12673555534609815</v>
      </c>
      <c r="X24" s="348">
        <f t="shared" ca="1" si="1"/>
        <v>3.396174679066394</v>
      </c>
      <c r="Y24" s="817">
        <f ca="1">Nickel!V147</f>
        <v>9.1333165743965061</v>
      </c>
      <c r="Z24" s="494">
        <f ca="1">Cobalt!N95</f>
        <v>8.9653808317820882</v>
      </c>
      <c r="AA24" s="494">
        <f ca="1">Cobalt!J95</f>
        <v>4.4684552747135404</v>
      </c>
      <c r="AB24" s="494">
        <f ca="1">SUM(Cobalt!B95:C95)/2000</f>
        <v>3.004235321502978</v>
      </c>
      <c r="AC24" s="494">
        <f ca="1">SUM(Cobalt!D95,Cobalt!F95)/2000</f>
        <v>7.6212302127005271</v>
      </c>
      <c r="AD24" s="494">
        <f ca="1">Cobalt!P95</f>
        <v>10.625465534203506</v>
      </c>
      <c r="AE24" s="348">
        <f>Copper!M72</f>
        <v>8.8123981769851811E-2</v>
      </c>
      <c r="AF24" s="348">
        <f>Copper!N72</f>
        <v>1.246737836694866</v>
      </c>
      <c r="AG24" s="348">
        <f>Copper!L72</f>
        <v>1.3348618184647181</v>
      </c>
      <c r="AH24" s="348">
        <f>Zinc!F81</f>
        <v>0.73549123629641344</v>
      </c>
      <c r="AI24" s="349">
        <f ca="1">Magnesium!H79</f>
        <v>5.7724718853350634</v>
      </c>
      <c r="AJ24" s="349">
        <f>Magnesium!J79</f>
        <v>0.35909033584893696</v>
      </c>
      <c r="AK24" s="348">
        <f t="shared" ca="1" si="11"/>
        <v>2.9521000980527914</v>
      </c>
      <c r="AL24" s="348">
        <f>GREET1_Import_Export!G503/2000</f>
        <v>0.14449635745271686</v>
      </c>
      <c r="AM24" s="347">
        <f>Glass!K80</f>
        <v>0.9581536373017463</v>
      </c>
      <c r="AN24" s="348">
        <f>Glass!Q80</f>
        <v>1.7750942322080296</v>
      </c>
      <c r="AO24" s="347">
        <f>Vehi_Plastics!AV114</f>
        <v>0.9350741692214779</v>
      </c>
      <c r="AP24" s="348">
        <f>Vehi_Plastics!BH114</f>
        <v>1.1052891867656158</v>
      </c>
      <c r="AQ24" s="347">
        <f>Vehi_Plastics!BJ114</f>
        <v>0.76217916349320869</v>
      </c>
      <c r="AR24" s="349">
        <f>Vehi_Plastics!BR114</f>
        <v>1.8513541377106255</v>
      </c>
      <c r="AS24" s="349">
        <f>Vehi_Plastics!BZ114</f>
        <v>2.7254135304065952</v>
      </c>
      <c r="AT24" s="349">
        <f>Vehi_Plastics!CB114</f>
        <v>5.2611143878376092</v>
      </c>
      <c r="AU24" s="348">
        <f>Vehi_Plastics!CD114</f>
        <v>6.4790986220341455</v>
      </c>
      <c r="AV24" s="494">
        <f>Rubber!J74</f>
        <v>2.1585131365738195</v>
      </c>
      <c r="AW24" s="494">
        <f>Platinum!O78</f>
        <v>39.894852604315879</v>
      </c>
      <c r="AX24" s="494">
        <f>Vanadium!F68</f>
        <v>0</v>
      </c>
      <c r="AY24" s="494">
        <f>Zirconium!F68</f>
        <v>4.9458217631157062</v>
      </c>
      <c r="AZ24" s="494">
        <f>Titanium!F65</f>
        <v>0</v>
      </c>
      <c r="BA24" s="494">
        <f>Chromium!F65</f>
        <v>0</v>
      </c>
      <c r="BB24" s="494">
        <f>'Rare Earth'!F65</f>
        <v>4.3458965399586216</v>
      </c>
      <c r="BC24" s="494">
        <f>Manganese!H82/2000</f>
        <v>0.45253771414115951</v>
      </c>
      <c r="BD24" s="494">
        <f>Manganese!E82</f>
        <v>5.0958628605641572</v>
      </c>
      <c r="BE24" s="494">
        <f t="shared" si="12"/>
        <v>1.7750942322080296</v>
      </c>
      <c r="BF24" s="347">
        <f>Vehi_Plastics!W114/2000</f>
        <v>6.2024524778034538</v>
      </c>
      <c r="BG24" s="348">
        <f t="shared" si="2"/>
        <v>21.708583672312088</v>
      </c>
      <c r="BH24" s="347">
        <f>'FC Materials'!C65</f>
        <v>0.45814705444965187</v>
      </c>
      <c r="BI24" s="349">
        <f>'FC Materials'!E65</f>
        <v>0.44853401443273505</v>
      </c>
      <c r="BJ24" s="348">
        <f>'FC Materials'!G65</f>
        <v>4.5709631111998412</v>
      </c>
      <c r="BK24" s="347">
        <f>LiMn2O4!L99/2000</f>
        <v>2.0362720287898761</v>
      </c>
      <c r="BL24" s="349">
        <f ca="1">Other_Cathodes!E128/2000</f>
        <v>12.306241068203478</v>
      </c>
      <c r="BM24" s="349">
        <f ca="1">Other_Cathodes!$G$16*Other_Cathodes!$F$9*(Nickel!$B$57*Nickel!$F$80*Nickel!B147+Nickel!$C$57*Nickel!H147)/2000</f>
        <v>1.1430221723304972</v>
      </c>
      <c r="BN24" s="349">
        <f ca="1">Other_Cathodes!$G$16*Other_Cathodes!$F$9*(Nickel!AC147)/2000-BM24</f>
        <v>2.9990672290054685</v>
      </c>
      <c r="BO24" s="349">
        <f>Other_Cathodes!$G$16*Other_Cathodes!$F$11*Other_Cathodes!$B$7*Other_Cathodes!C161/2000</f>
        <v>8.5953704195364952E-2</v>
      </c>
      <c r="BP24" s="349">
        <f ca="1">Other_Cathodes!$G$16*Other_Cathodes!$F$10*Cobalt!$C$18*Cobalt!B95/2000</f>
        <v>0.48743302944064809</v>
      </c>
      <c r="BQ24" s="349">
        <f ca="1">Other_Cathodes!$G$16*Other_Cathodes!$F$10*Cobalt!G95/2000-Mat_Sum!BP24</f>
        <v>1.5173934854180511</v>
      </c>
      <c r="BR24" s="349">
        <f>Other_Cathodes!$G$26*Li_Chemicals!V116/2000</f>
        <v>3.0718072946432491</v>
      </c>
      <c r="BS24" s="349">
        <f t="shared" ca="1" si="3"/>
        <v>2.920830028092233</v>
      </c>
      <c r="BT24" s="349">
        <f ca="1">(Other_Cathodes!G128*'Battery Recycling'!$F$38+'Battery Recycling'!$E$38*'Battery Recycling'!K143)/2000</f>
        <v>12.225506943125513</v>
      </c>
      <c r="BU24" s="349">
        <f ca="1">Other_Cathodes!I128/2000</f>
        <v>13.636271117300545</v>
      </c>
      <c r="BV24" s="349">
        <f ca="1">Other_Cathodes!K128/2000</f>
        <v>14.626775991318787</v>
      </c>
      <c r="BW24" s="349">
        <f ca="1">Other_Cathodes!M128/2000</f>
        <v>17.662211044928203</v>
      </c>
      <c r="BX24" s="349">
        <f ca="1">Other_Cathodes!O128/2000</f>
        <v>7.5567993548020498</v>
      </c>
      <c r="BY24" s="349">
        <f ca="1">Other_Cathodes!R128/2000</f>
        <v>9.1274920961245005</v>
      </c>
      <c r="BZ24" s="349">
        <f ca="1">Other_Cathodes!P128/2000</f>
        <v>6.4233140321093947</v>
      </c>
      <c r="CA24" s="349">
        <f ca="1">Other_Cathodes!V128/2000</f>
        <v>3.8386875705209613</v>
      </c>
      <c r="CB24" s="349">
        <f ca="1">Other_Cathodes!U128/2000</f>
        <v>13.016677523029326</v>
      </c>
      <c r="CC24" s="349">
        <f ca="1">Other_Cathodes!S128/2000</f>
        <v>10.608073121293605</v>
      </c>
      <c r="CD24" s="349">
        <f ca="1">Other_Cathodes!AB128/2000</f>
        <v>18.455904209127219</v>
      </c>
      <c r="CE24" s="348">
        <f>Battery_Materials!K98</f>
        <v>2.0204457379191649</v>
      </c>
      <c r="CF24" s="494">
        <f ca="1">Anode!C90</f>
        <v>6.1944547623661412</v>
      </c>
      <c r="CG24" s="494">
        <f>Battery_Materials!C98</f>
        <v>0.81638331812955012</v>
      </c>
      <c r="CH24" s="347"/>
      <c r="CI24" s="347">
        <f>Battery_Materials!E98</f>
        <v>3.6687760506736864</v>
      </c>
      <c r="CJ24" s="349">
        <f>Battery_Materials!G98</f>
        <v>0.12467272750694851</v>
      </c>
      <c r="CK24" s="348">
        <f>Battery_Materials!I98</f>
        <v>0.46759899359854656</v>
      </c>
      <c r="CL24" s="494">
        <f>Battery_Materials!M98</f>
        <v>7.7201805559249816</v>
      </c>
      <c r="CM24" s="494">
        <f>Vehi_Fluids!J81</f>
        <v>0.29256988823011809</v>
      </c>
      <c r="CN24" s="494">
        <f ca="1">Silicon!C81</f>
        <v>65.323120675491168</v>
      </c>
      <c r="CO24" s="494">
        <f ca="1">Silicon!E81</f>
        <v>16.575387624240534</v>
      </c>
      <c r="CP24" s="494">
        <f xml:space="preserve"> Molybdenum!G76</f>
        <v>13.344180332669501</v>
      </c>
      <c r="CQ24" s="2637">
        <f xml:space="preserve"> Vehi_Plastics!BB114</f>
        <v>6.9620174583240901</v>
      </c>
      <c r="CR24" s="64"/>
      <c r="CS24" s="64"/>
      <c r="CT24" s="64"/>
      <c r="CU24" s="64"/>
      <c r="CV24" s="64"/>
      <c r="CW24" s="64"/>
      <c r="CX24" s="64"/>
      <c r="CY24" s="64"/>
      <c r="CZ24" s="64"/>
      <c r="DA24" s="64"/>
      <c r="DB24" s="64"/>
      <c r="DC24" s="64"/>
    </row>
    <row r="25" spans="1:107">
      <c r="A25" s="291" t="s">
        <v>824</v>
      </c>
      <c r="B25" s="349">
        <f ca="1">Steel!V118</f>
        <v>0.76027507305429021</v>
      </c>
      <c r="C25" s="349">
        <f ca="1">Steel!F152</f>
        <v>0.32867347748397097</v>
      </c>
      <c r="D25" s="349">
        <f t="shared" ca="1" si="6"/>
        <v>0.64633225182372589</v>
      </c>
      <c r="E25" s="348">
        <f ca="1">Steel!F220</f>
        <v>0.49961829635546817</v>
      </c>
      <c r="F25" s="494">
        <f ca="1">'C.Iron'!K72</f>
        <v>0.41957640775984417</v>
      </c>
      <c r="G25" s="349">
        <f ca="1">W.Al!V136</f>
        <v>2.1709977688872644</v>
      </c>
      <c r="H25" s="349">
        <f ca="1">W.Al!S174</f>
        <v>0.33338136731839363</v>
      </c>
      <c r="I25" s="348">
        <f t="shared" ca="1" si="7"/>
        <v>1.9688599647146885</v>
      </c>
      <c r="J25" s="349">
        <f ca="1">'C.Al'!J125</f>
        <v>2.3817656323089769</v>
      </c>
      <c r="K25" s="349">
        <f ca="1">'C.Al'!G161</f>
        <v>0.35673815081304344</v>
      </c>
      <c r="L25" s="348">
        <f t="shared" ca="1" si="8"/>
        <v>0.66049227303743341</v>
      </c>
      <c r="M25" s="347">
        <f ca="1">Lead!F70</f>
        <v>2.2467527101195612</v>
      </c>
      <c r="N25" s="349">
        <f>Lead!H70</f>
        <v>2.3142679145611258E-2</v>
      </c>
      <c r="O25" s="348">
        <f t="shared" ca="1" si="9"/>
        <v>0.62351738750857788</v>
      </c>
      <c r="P25" s="347">
        <f ca="1">Nickel!R148</f>
        <v>11.673906883713894</v>
      </c>
      <c r="Q25" s="349">
        <f>Nickel!T148</f>
        <v>6.2988153353365606E-2</v>
      </c>
      <c r="R25" s="349">
        <f ca="1">$B$9*SUM(Nickel!B148:D148)/2000</f>
        <v>4.9441565827704936</v>
      </c>
      <c r="S25" s="349">
        <f ca="1">$B$9*Nickel!E148/2000</f>
        <v>1.5932312721092867</v>
      </c>
      <c r="T25" s="349">
        <f>$C$9*Nickel!F148/2000</f>
        <v>2.7714787475480864E-2</v>
      </c>
      <c r="U25" s="348">
        <f t="shared" ca="1" si="10"/>
        <v>6.5651026423552619</v>
      </c>
      <c r="V25" s="347">
        <f ca="1">Nickel!AF148</f>
        <v>7.4084995042640314</v>
      </c>
      <c r="W25" s="349">
        <f>Nickel!AH148</f>
        <v>9.7138832923127031E-3</v>
      </c>
      <c r="X25" s="348">
        <f t="shared" ca="1" si="1"/>
        <v>4.1530338310364758</v>
      </c>
      <c r="Y25" s="817">
        <f ca="1">Nickel!V148</f>
        <v>11.673906883713894</v>
      </c>
      <c r="Z25" s="494">
        <f ca="1">Cobalt!N96</f>
        <v>22.763919131089793</v>
      </c>
      <c r="AA25" s="494">
        <f ca="1">Cobalt!J96</f>
        <v>13.090053677865319</v>
      </c>
      <c r="AB25" s="494">
        <f ca="1">SUM(Cobalt!B96:C96)/2000</f>
        <v>28.124463599686297</v>
      </c>
      <c r="AC25" s="494">
        <f ca="1">SUM(Cobalt!D96,Cobalt!F96)/2000</f>
        <v>0.89996386560089636</v>
      </c>
      <c r="AD25" s="494">
        <f ca="1">Cobalt!P96</f>
        <v>29.024427465287193</v>
      </c>
      <c r="AE25" s="348">
        <f>Copper!M73</f>
        <v>3.1661600535098429E-2</v>
      </c>
      <c r="AF25" s="348">
        <f>Copper!N73</f>
        <v>0.15283264262915044</v>
      </c>
      <c r="AG25" s="348">
        <f>Copper!L73</f>
        <v>0.18449424316424889</v>
      </c>
      <c r="AH25" s="348">
        <f>Zinc!F82</f>
        <v>0.92690744690951099</v>
      </c>
      <c r="AI25" s="349">
        <f ca="1">Magnesium!H80</f>
        <v>0.53651232483421563</v>
      </c>
      <c r="AJ25" s="349">
        <f>Magnesium!J80</f>
        <v>3.250061912052235E-2</v>
      </c>
      <c r="AK25" s="348">
        <f t="shared" ca="1" si="11"/>
        <v>0.27392222615738138</v>
      </c>
      <c r="AL25" s="348">
        <f>GREET1_Import_Export!G504/2000</f>
        <v>9.6501586338585462E-3</v>
      </c>
      <c r="AM25" s="347">
        <f>Glass!K81</f>
        <v>5.681404385841822E-2</v>
      </c>
      <c r="AN25" s="348">
        <f>Glass!Q81</f>
        <v>0.69241297572041272</v>
      </c>
      <c r="AO25" s="347">
        <f>Vehi_Plastics!AV115</f>
        <v>0.14412967469768545</v>
      </c>
      <c r="AP25" s="348">
        <f>Vehi_Plastics!BH115</f>
        <v>9.2152818154642949E-2</v>
      </c>
      <c r="AQ25" s="347">
        <f>Vehi_Plastics!BJ115</f>
        <v>0.11812760876552238</v>
      </c>
      <c r="AR25" s="349">
        <f>Vehi_Plastics!BR115</f>
        <v>0.51063511054352728</v>
      </c>
      <c r="AS25" s="349">
        <f>Vehi_Plastics!BZ115</f>
        <v>1.9401407966452517</v>
      </c>
      <c r="AT25" s="349">
        <f>Vehi_Plastics!CB115</f>
        <v>3.0162811825652498</v>
      </c>
      <c r="AU25" s="348">
        <f>Vehi_Plastics!CD115</f>
        <v>1.8938869766668305</v>
      </c>
      <c r="AV25" s="494">
        <f>Rubber!J75</f>
        <v>0.31411624194707505</v>
      </c>
      <c r="AW25" s="494">
        <f>Platinum!O79</f>
        <v>8.350166789185856</v>
      </c>
      <c r="AX25" s="494">
        <f>Vanadium!F69</f>
        <v>0</v>
      </c>
      <c r="AY25" s="494">
        <f>Zirconium!F69</f>
        <v>0.40969642897664382</v>
      </c>
      <c r="AZ25" s="494">
        <f>Titanium!F66</f>
        <v>0</v>
      </c>
      <c r="BA25" s="494">
        <f>Chromium!F66</f>
        <v>0</v>
      </c>
      <c r="BB25" s="494">
        <f>'Rare Earth'!F66</f>
        <v>0.69567490509845087</v>
      </c>
      <c r="BC25" s="494">
        <f>Manganese!H83/2000</f>
        <v>2.3948244308060822</v>
      </c>
      <c r="BD25" s="494">
        <f>Manganese!E83</f>
        <v>1.5852265192740058</v>
      </c>
      <c r="BE25" s="494">
        <f t="shared" si="12"/>
        <v>0.69241297572041272</v>
      </c>
      <c r="BF25" s="347">
        <f>Vehi_Plastics!W115/2000</f>
        <v>0.77298726568851006</v>
      </c>
      <c r="BG25" s="348">
        <f t="shared" si="2"/>
        <v>2.7054554299097853</v>
      </c>
      <c r="BH25" s="347">
        <f>'FC Materials'!C66</f>
        <v>4.5482208240006261E-2</v>
      </c>
      <c r="BI25" s="349">
        <f>'FC Materials'!E66</f>
        <v>4.4527880838743934E-2</v>
      </c>
      <c r="BJ25" s="348">
        <f>'FC Materials'!G66</f>
        <v>0.69335507148696451</v>
      </c>
      <c r="BK25" s="347">
        <f>LiMn2O4!L100/2000</f>
        <v>2.4003793582814312</v>
      </c>
      <c r="BL25" s="349">
        <f ca="1">Other_Cathodes!E129/2000</f>
        <v>6.4057105993744923</v>
      </c>
      <c r="BM25" s="349">
        <f ca="1">Other_Cathodes!$G$16*Other_Cathodes!$F$9*(Nickel!$B$57*Nickel!$F$80*Nickel!B148+Nickel!$C$57*Nickel!H148)/2000</f>
        <v>8.3031904065781065E-2</v>
      </c>
      <c r="BN25" s="349">
        <f ca="1">Other_Cathodes!$G$16*Other_Cathodes!$F$9*(Nickel!AC148)/2000-BM25</f>
        <v>1.1447619760623651</v>
      </c>
      <c r="BO25" s="349">
        <f>Other_Cathodes!$G$16*Other_Cathodes!$F$11*Other_Cathodes!$B$7*Other_Cathodes!C162/2000</f>
        <v>0.45486602396442599</v>
      </c>
      <c r="BP25" s="349">
        <f ca="1">Other_Cathodes!$G$16*Other_Cathodes!$F$10*Cobalt!$C$18*Cobalt!B96/2000</f>
        <v>5.7168134207534349</v>
      </c>
      <c r="BQ25" s="349">
        <f ca="1">Other_Cathodes!$G$16*Other_Cathodes!$F$10*Cobalt!G96/2000-Mat_Sum!BP25</f>
        <v>0.15619751499782542</v>
      </c>
      <c r="BR25" s="349">
        <f>Other_Cathodes!$G$26*Li_Chemicals!V117/2000</f>
        <v>0.56662578532279906</v>
      </c>
      <c r="BS25" s="349">
        <f t="shared" ca="1" si="3"/>
        <v>0.27752905062838629</v>
      </c>
      <c r="BT25" s="349">
        <f ca="1">(Other_Cathodes!G129*'Battery Recycling'!$F$38+'Battery Recycling'!$E$38*'Battery Recycling'!K144)/2000</f>
        <v>8.399825675795018</v>
      </c>
      <c r="BU25" s="349">
        <f ca="1">Other_Cathodes!I129/2000</f>
        <v>6.7605324181662931</v>
      </c>
      <c r="BV25" s="349">
        <f ca="1">Other_Cathodes!K129/2000</f>
        <v>6.8178902689262229</v>
      </c>
      <c r="BW25" s="349">
        <f ca="1">Other_Cathodes!M129/2000</f>
        <v>5.7123734809821096</v>
      </c>
      <c r="BX25" s="349">
        <f ca="1">Other_Cathodes!O129/2000</f>
        <v>1.0278276654554508</v>
      </c>
      <c r="BY25" s="349">
        <f ca="1">Other_Cathodes!R129/2000</f>
        <v>6.7478254748001669</v>
      </c>
      <c r="BZ25" s="349">
        <f ca="1">Other_Cathodes!P129/2000</f>
        <v>0.90313209214970935</v>
      </c>
      <c r="CA25" s="349">
        <f ca="1">Other_Cathodes!V129/2000</f>
        <v>0.76571879817020827</v>
      </c>
      <c r="CB25" s="349">
        <f ca="1">Other_Cathodes!U129/2000</f>
        <v>18.236568575747032</v>
      </c>
      <c r="CC25" s="349">
        <f ca="1">Other_Cathodes!S129/2000</f>
        <v>18.101475304813636</v>
      </c>
      <c r="CD25" s="349">
        <f ca="1">Other_Cathodes!AB129/2000</f>
        <v>6.6086307635624237</v>
      </c>
      <c r="CE25" s="348">
        <f>Battery_Materials!K99</f>
        <v>0.12049093992271501</v>
      </c>
      <c r="CF25" s="494">
        <f ca="1">Anode!C91</f>
        <v>2.4574008221151877</v>
      </c>
      <c r="CG25" s="494">
        <f>Battery_Materials!C99</f>
        <v>8.6958801234353983E-2</v>
      </c>
      <c r="CH25" s="347"/>
      <c r="CI25" s="347">
        <f>Battery_Materials!E99</f>
        <v>0.51013851590298509</v>
      </c>
      <c r="CJ25" s="349">
        <f>Battery_Materials!G99</f>
        <v>1.0154259546467663E-2</v>
      </c>
      <c r="CK25" s="348">
        <f>Battery_Materials!I99</f>
        <v>3.7481603953730645E-2</v>
      </c>
      <c r="CL25" s="494">
        <f>Battery_Materials!M99</f>
        <v>0.9119859779756635</v>
      </c>
      <c r="CM25" s="494">
        <f>Vehi_Fluids!J82</f>
        <v>2.0957099509160058E-2</v>
      </c>
      <c r="CN25" s="494">
        <f ca="1">Silicon!C82</f>
        <v>8.5119483073937428</v>
      </c>
      <c r="CO25" s="494">
        <f ca="1">Silicon!E82</f>
        <v>1.8882705146557541</v>
      </c>
      <c r="CP25" s="494">
        <f xml:space="preserve"> Molybdenum!G77</f>
        <v>2.2645195770308195</v>
      </c>
      <c r="CQ25" s="2637">
        <f xml:space="preserve"> Vehi_Plastics!BB115</f>
        <v>0.42755125335370697</v>
      </c>
      <c r="CR25" s="64"/>
      <c r="CS25" s="64"/>
      <c r="CT25" s="64"/>
      <c r="CU25" s="64"/>
      <c r="CV25" s="64"/>
      <c r="CW25" s="64"/>
      <c r="CX25" s="64"/>
      <c r="CY25" s="64"/>
      <c r="CZ25" s="64"/>
      <c r="DA25" s="64"/>
      <c r="DB25" s="64"/>
      <c r="DC25" s="64"/>
    </row>
    <row r="26" spans="1:107" s="64" customFormat="1">
      <c r="A26" s="291" t="s">
        <v>825</v>
      </c>
      <c r="B26" s="349">
        <f ca="1">Steel!V119</f>
        <v>0.36433656410748921</v>
      </c>
      <c r="C26" s="349">
        <f ca="1">Steel!F153</f>
        <v>0.16886939720118072</v>
      </c>
      <c r="D26" s="349">
        <f t="shared" ca="1" si="6"/>
        <v>0.31273323204422376</v>
      </c>
      <c r="E26" s="348">
        <f ca="1">Steel!F221</f>
        <v>0.25513478422690034</v>
      </c>
      <c r="F26" s="494">
        <f ca="1">'C.Iron'!K73</f>
        <v>0.19209616332370155</v>
      </c>
      <c r="G26" s="349">
        <f ca="1">W.Al!V137</f>
        <v>1.0942634300652958</v>
      </c>
      <c r="H26" s="349">
        <f ca="1">W.Al!S175</f>
        <v>0.17356926985516458</v>
      </c>
      <c r="I26" s="348">
        <f t="shared" ca="1" si="7"/>
        <v>0.99298707244218132</v>
      </c>
      <c r="J26" s="349">
        <f ca="1">'C.Al'!J126</f>
        <v>1.2026032649953129</v>
      </c>
      <c r="K26" s="349">
        <f ca="1">'C.Al'!G162</f>
        <v>0.18801122343181151</v>
      </c>
      <c r="L26" s="348">
        <f t="shared" ca="1" si="8"/>
        <v>0.34020002966633667</v>
      </c>
      <c r="M26" s="347">
        <f ca="1">Lead!F71</f>
        <v>1.1070585382706208</v>
      </c>
      <c r="N26" s="349">
        <f>Lead!H71</f>
        <v>7.6930232847419195E-3</v>
      </c>
      <c r="O26" s="348">
        <f t="shared" ca="1" si="9"/>
        <v>0.30452171233092923</v>
      </c>
      <c r="P26" s="347">
        <f ca="1">Nickel!R149</f>
        <v>5.9300788007331127</v>
      </c>
      <c r="Q26" s="349">
        <f>Nickel!T149</f>
        <v>5.0987488117069976E-2</v>
      </c>
      <c r="R26" s="349">
        <f ca="1">$B$9*SUM(Nickel!B149:D149)/2000</f>
        <v>3.2748595393082018</v>
      </c>
      <c r="S26" s="349">
        <f ca="1">$B$9*Nickel!E149/2000</f>
        <v>4.5984589102341739E-2</v>
      </c>
      <c r="T26" s="349">
        <f>$C$9*Nickel!F149/2000</f>
        <v>2.2434494771510789E-2</v>
      </c>
      <c r="U26" s="348">
        <f t="shared" ca="1" si="10"/>
        <v>3.3432786231820542</v>
      </c>
      <c r="V26" s="347">
        <f ca="1">Nickel!AF149</f>
        <v>3.7671732219763143</v>
      </c>
      <c r="W26" s="349">
        <f>Nickel!AH149</f>
        <v>7.8631692242003819E-3</v>
      </c>
      <c r="X26" s="348">
        <f ca="1">V26*$B$9+W26*$C$9</f>
        <v>2.1130767987653845</v>
      </c>
      <c r="Y26" s="817">
        <f ca="1">Nickel!V149</f>
        <v>5.9300788007331127</v>
      </c>
      <c r="Z26" s="494">
        <f ca="1">Cobalt!N97</f>
        <v>2.8677323986432901</v>
      </c>
      <c r="AA26" s="494">
        <f ca="1">Cobalt!J97</f>
        <v>1.6156940975955416</v>
      </c>
      <c r="AB26" s="494">
        <f ca="1">SUM(Cobalt!B97:C97)/2000</f>
        <v>3.0626149773122107</v>
      </c>
      <c r="AC26" s="494">
        <f ca="1">SUM(Cobalt!D97,Cobalt!F97)/2000</f>
        <v>0.58537828285332039</v>
      </c>
      <c r="AD26" s="494">
        <f ca="1">Cobalt!P97</f>
        <v>3.6479932601655309</v>
      </c>
      <c r="AE26" s="348">
        <f>Copper!M74</f>
        <v>1.5833508069234937E-2</v>
      </c>
      <c r="AF26" s="348">
        <f>Copper!N74</f>
        <v>9.5460160602850633E-2</v>
      </c>
      <c r="AG26" s="348">
        <f>Copper!L74</f>
        <v>0.11129366867208558</v>
      </c>
      <c r="AH26" s="348">
        <f>Zinc!F83</f>
        <v>0.47477260363884372</v>
      </c>
      <c r="AI26" s="349">
        <f ca="1">Magnesium!H81</f>
        <v>0.40058657643601231</v>
      </c>
      <c r="AJ26" s="349">
        <f>Magnesium!J81</f>
        <v>2.4464114170986321E-2</v>
      </c>
      <c r="AK26" s="348">
        <f t="shared" ca="1" si="11"/>
        <v>0.20462677359593376</v>
      </c>
      <c r="AL26" s="348">
        <f>GREET1_Import_Export!G505/2000</f>
        <v>8.7845456118964063E-3</v>
      </c>
      <c r="AM26" s="347">
        <f>Glass!K82</f>
        <v>4.4163885433446716E-2</v>
      </c>
      <c r="AN26" s="348">
        <f>Glass!Q82</f>
        <v>0.36381244765836895</v>
      </c>
      <c r="AO26" s="347">
        <f>Vehi_Plastics!AV116</f>
        <v>6.7753465287632292E-2</v>
      </c>
      <c r="AP26" s="348">
        <f>Vehi_Plastics!BH116</f>
        <v>6.55380506899432E-2</v>
      </c>
      <c r="AQ26" s="347">
        <f>Vehi_Plastics!BJ116</f>
        <v>5.454718803102486E-2</v>
      </c>
      <c r="AR26" s="349">
        <f>Vehi_Plastics!BR116</f>
        <v>0.13658091131722533</v>
      </c>
      <c r="AS26" s="349">
        <f>Vehi_Plastics!BZ116</f>
        <v>0.44355372336817545</v>
      </c>
      <c r="AT26" s="349">
        <f>Vehi_Plastics!CB116</f>
        <v>0.60977924188984889</v>
      </c>
      <c r="AU26" s="348">
        <f>Vehi_Plastics!CD116</f>
        <v>0.61283647636286043</v>
      </c>
      <c r="AV26" s="494">
        <f>Rubber!J76</f>
        <v>0.18493943592071624</v>
      </c>
      <c r="AW26" s="494">
        <f>Platinum!O80</f>
        <v>3.8585400007155206</v>
      </c>
      <c r="AX26" s="494">
        <f>Vanadium!F70</f>
        <v>0</v>
      </c>
      <c r="AY26" s="494">
        <f>Zirconium!F70</f>
        <v>0.32201092249689622</v>
      </c>
      <c r="AZ26" s="494">
        <f>Titanium!F67</f>
        <v>0</v>
      </c>
      <c r="BA26" s="494">
        <f>Chromium!F67</f>
        <v>0</v>
      </c>
      <c r="BB26" s="494">
        <f>'Rare Earth'!F67</f>
        <v>0.41759244383593175</v>
      </c>
      <c r="BC26" s="494">
        <f>Manganese!H84/2000</f>
        <v>1.2013948831599544</v>
      </c>
      <c r="BD26" s="494">
        <f>Manganese!E84</f>
        <v>0.85221378135625114</v>
      </c>
      <c r="BE26" s="494">
        <f t="shared" si="12"/>
        <v>0.36381244765836895</v>
      </c>
      <c r="BF26" s="347">
        <f>Vehi_Plastics!W116/2000</f>
        <v>0.5057288592756044</v>
      </c>
      <c r="BG26" s="348">
        <f t="shared" si="2"/>
        <v>1.7700510074646154</v>
      </c>
      <c r="BH26" s="347">
        <f>'FC Materials'!C67</f>
        <v>3.2826825958413325E-2</v>
      </c>
      <c r="BI26" s="349">
        <f>'FC Materials'!E67</f>
        <v>3.2138039271907913E-2</v>
      </c>
      <c r="BJ26" s="348">
        <f>'FC Materials'!G67</f>
        <v>0.40142302082601539</v>
      </c>
      <c r="BK26" s="347">
        <f>LiMn2O4!L101/2000</f>
        <v>1.5877690728188563</v>
      </c>
      <c r="BL26" s="349">
        <f ca="1">Other_Cathodes!E130/2000</f>
        <v>2.1399096035627108</v>
      </c>
      <c r="BM26" s="349">
        <f ca="1">Other_Cathodes!$G$16*Other_Cathodes!$F$9*(Nickel!$B$57*Nickel!$F$80*Nickel!B149+Nickel!$C$57*Nickel!H149)/2000</f>
        <v>5.8942033449933824E-2</v>
      </c>
      <c r="BN26" s="349">
        <f ca="1">Other_Cathodes!$G$16*Other_Cathodes!$F$9*(Nickel!AC149)/2000-BM26</f>
        <v>0.62693676613324634</v>
      </c>
      <c r="BO26" s="349">
        <f>Other_Cathodes!$G$16*Other_Cathodes!$F$11*Other_Cathodes!$B$7*Other_Cathodes!C163/2000</f>
        <v>0.22818946837377768</v>
      </c>
      <c r="BP26" s="349">
        <f ca="1">Other_Cathodes!$G$16*Other_Cathodes!$F$10*Cobalt!$C$18*Cobalt!B97/2000</f>
        <v>0.61552975628439499</v>
      </c>
      <c r="BQ26" s="349">
        <f ca="1">Other_Cathodes!$G$16*Other_Cathodes!$F$10*Cobalt!G97/2000-Mat_Sum!BP26</f>
        <v>0.10937094599865416</v>
      </c>
      <c r="BR26" s="349">
        <f>Other_Cathodes!$G$26*Li_Chemicals!V118/2000</f>
        <v>0.39990818482625978</v>
      </c>
      <c r="BS26" s="349">
        <f t="shared" ca="1" si="3"/>
        <v>0.20192787827057979</v>
      </c>
      <c r="BT26" s="349">
        <f ca="1">(Other_Cathodes!G130*'Battery Recycling'!$F$38+'Battery Recycling'!$E$38*'Battery Recycling'!K145)/2000</f>
        <v>2.2408050333368466</v>
      </c>
      <c r="BU26" s="349">
        <f ca="1">Other_Cathodes!I130/2000</f>
        <v>2.3038592039656094</v>
      </c>
      <c r="BV26" s="349">
        <f ca="1">Other_Cathodes!K130/2000</f>
        <v>2.3964502957319862</v>
      </c>
      <c r="BW26" s="349">
        <f ca="1">Other_Cathodes!M130/2000</f>
        <v>2.5742967521171125</v>
      </c>
      <c r="BX26" s="349">
        <f ca="1">Other_Cathodes!O130/2000</f>
        <v>0.73246531570261741</v>
      </c>
      <c r="BY26" s="349">
        <f ca="1">Other_Cathodes!R130/2000</f>
        <v>2.3000598996337867</v>
      </c>
      <c r="BZ26" s="349">
        <f ca="1">Other_Cathodes!P130/2000</f>
        <v>0.68438916861678267</v>
      </c>
      <c r="CA26" s="349">
        <f ca="1">Other_Cathodes!V130/2000</f>
        <v>0.57225155186077414</v>
      </c>
      <c r="CB26" s="349">
        <f ca="1">Other_Cathodes!U130/2000</f>
        <v>2.7823238987408909</v>
      </c>
      <c r="CC26" s="349">
        <f ca="1">Other_Cathodes!S130/2000</f>
        <v>2.6585633877522792</v>
      </c>
      <c r="CD26" s="349">
        <f ca="1">Other_Cathodes!AB130/2000</f>
        <v>2.6699940629670671</v>
      </c>
      <c r="CE26" s="348">
        <f>Battery_Materials!K100</f>
        <v>0.11137565608630309</v>
      </c>
      <c r="CF26" s="494">
        <f ca="1">Anode!C92</f>
        <v>1.2254153128920033</v>
      </c>
      <c r="CG26" s="494">
        <f>Battery_Materials!C100</f>
        <v>6.0379631374636235E-2</v>
      </c>
      <c r="CH26" s="347"/>
      <c r="CI26" s="347">
        <f>Battery_Materials!E100</f>
        <v>0.32315330858983027</v>
      </c>
      <c r="CJ26" s="349">
        <f>Battery_Materials!G100</f>
        <v>8.2330683592282804E-3</v>
      </c>
      <c r="CK26" s="348">
        <f>Battery_Materials!I100</f>
        <v>3.0612359620527486E-2</v>
      </c>
      <c r="CL26" s="494">
        <f>Battery_Materials!M100</f>
        <v>0.61166886124281061</v>
      </c>
      <c r="CM26" s="494">
        <f>Vehi_Fluids!J83</f>
        <v>1.8060037449349944E-2</v>
      </c>
      <c r="CN26" s="494">
        <f ca="1">Silicon!C83</f>
        <v>5.3424394424265724</v>
      </c>
      <c r="CO26" s="494">
        <f ca="1">Silicon!E83</f>
        <v>1.223370963066206</v>
      </c>
      <c r="CP26" s="494">
        <f xml:space="preserve"> Molybdenum!G78</f>
        <v>0.71650929973062671</v>
      </c>
      <c r="CQ26" s="2637">
        <f xml:space="preserve"> Vehi_Plastics!BB116</f>
        <v>0.23025721470947633</v>
      </c>
    </row>
    <row r="27" spans="1:107" s="64" customFormat="1">
      <c r="A27" s="291" t="s">
        <v>826</v>
      </c>
      <c r="B27" s="349">
        <f ca="1">Steel!V120</f>
        <v>5.524609078768604</v>
      </c>
      <c r="C27" s="349">
        <f ca="1">Steel!F154</f>
        <v>0.30086595326799026</v>
      </c>
      <c r="D27" s="349">
        <f t="shared" ca="1" si="6"/>
        <v>4.1455408936364426</v>
      </c>
      <c r="E27" s="348">
        <f ca="1">Steel!F222</f>
        <v>0.42928865666682781</v>
      </c>
      <c r="F27" s="494">
        <f ca="1">'C.Iron'!K74</f>
        <v>1.4505874427815895</v>
      </c>
      <c r="G27" s="349">
        <f ca="1">W.Al!V138</f>
        <v>10.1305757931204</v>
      </c>
      <c r="H27" s="349">
        <f ca="1">W.Al!S176</f>
        <v>0.92960173862434514</v>
      </c>
      <c r="I27" s="348">
        <f t="shared" ca="1" si="7"/>
        <v>9.1184686471258338</v>
      </c>
      <c r="J27" s="349">
        <f ca="1">'C.Al'!J127</f>
        <v>11.15342222139529</v>
      </c>
      <c r="K27" s="349">
        <f ca="1">'C.Al'!G163</f>
        <v>1.0140779594599647</v>
      </c>
      <c r="L27" s="348">
        <f t="shared" ca="1" si="8"/>
        <v>2.5349795987502635</v>
      </c>
      <c r="M27" s="347">
        <f ca="1">Lead!F72</f>
        <v>13.689186131771084</v>
      </c>
      <c r="N27" s="349">
        <f>Lead!H72</f>
        <v>2.280674275664007</v>
      </c>
      <c r="O27" s="348">
        <f t="shared" ca="1" si="9"/>
        <v>5.3609724768129183</v>
      </c>
      <c r="P27" s="2667">
        <f ca="1">Nickel!R150</f>
        <v>1315.1520596068772</v>
      </c>
      <c r="Q27" s="349">
        <f>Nickel!T150</f>
        <v>0.33489110401709449</v>
      </c>
      <c r="R27" s="349">
        <f ca="1">$B$9*SUM(Nickel!B150:D150)/2000</f>
        <v>717.6457469794409</v>
      </c>
      <c r="S27" s="349">
        <f ca="1">$B$9*Nickel!E150/2000</f>
        <v>18.839406400410397</v>
      </c>
      <c r="T27" s="349">
        <f>$C$9*Nickel!F150/2000</f>
        <v>0.14735208576752157</v>
      </c>
      <c r="U27" s="348">
        <f t="shared" ca="1" si="10"/>
        <v>736.63250546561881</v>
      </c>
      <c r="V27" s="2667">
        <f ca="1">Nickel!AF150</f>
        <v>832.57792466227932</v>
      </c>
      <c r="W27" s="349">
        <f>Nickel!AH150</f>
        <v>5.1646110051930733E-2</v>
      </c>
      <c r="X27" s="348">
        <f t="shared" ca="1" si="1"/>
        <v>466.26636209929933</v>
      </c>
      <c r="Y27" s="817">
        <f ca="1">Nickel!V150</f>
        <v>1315.1520596068772</v>
      </c>
      <c r="Z27" s="494">
        <f ca="1">Cobalt!N98</f>
        <v>23.804669032019113</v>
      </c>
      <c r="AA27" s="494">
        <f ca="1">Cobalt!J98</f>
        <v>13.511634740090349</v>
      </c>
      <c r="AB27" s="494">
        <f ca="1">SUM(Cobalt!B98:C98)/2000</f>
        <v>23.487376681220816</v>
      </c>
      <c r="AC27" s="494">
        <f ca="1">SUM(Cobalt!D98,Cobalt!F98)/2000</f>
        <v>7.3614363059697325</v>
      </c>
      <c r="AD27" s="494">
        <f ca="1">Cobalt!P98</f>
        <v>30.848812987190549</v>
      </c>
      <c r="AE27" s="348">
        <f>Copper!M75</f>
        <v>3.2730167614462118E-2</v>
      </c>
      <c r="AF27" s="348">
        <f>Copper!N75</f>
        <v>63.835591899445589</v>
      </c>
      <c r="AG27" s="348">
        <f>Copper!L75</f>
        <v>63.868322067060056</v>
      </c>
      <c r="AH27" s="348">
        <f>Zinc!F84</f>
        <v>0.55528798691186432</v>
      </c>
      <c r="AI27" s="349">
        <f ca="1">Magnesium!H82</f>
        <v>2.3171092593240816</v>
      </c>
      <c r="AJ27" s="349">
        <f>Magnesium!J82</f>
        <v>0.1405526668349035</v>
      </c>
      <c r="AK27" s="348">
        <f t="shared" ca="1" si="11"/>
        <v>1.1831232746372198</v>
      </c>
      <c r="AL27" s="348">
        <f>GREET1_Import_Export!G506/2000</f>
        <v>0.97530073056291156</v>
      </c>
      <c r="AM27" s="347">
        <f>Glass!K83</f>
        <v>0.39126247102371237</v>
      </c>
      <c r="AN27" s="348">
        <f>Glass!Q83</f>
        <v>0.66355234762086923</v>
      </c>
      <c r="AO27" s="347">
        <f>Vehi_Plastics!AV117</f>
        <v>10.965516827818725</v>
      </c>
      <c r="AP27" s="348">
        <f>Vehi_Plastics!BH117</f>
        <v>3.8078340827608561</v>
      </c>
      <c r="AQ27" s="347">
        <f>Vehi_Plastics!BJ117</f>
        <v>9.989967345454982</v>
      </c>
      <c r="AR27" s="349">
        <f>Vehi_Plastics!BR117</f>
        <v>6.3716057760393721</v>
      </c>
      <c r="AS27" s="349">
        <f>Vehi_Plastics!BZ117</f>
        <v>1.21512422185361</v>
      </c>
      <c r="AT27" s="349">
        <f>Vehi_Plastics!CB117</f>
        <v>2.8072812817895172</v>
      </c>
      <c r="AU27" s="348">
        <f>Vehi_Plastics!CD117</f>
        <v>3.9117835440550959</v>
      </c>
      <c r="AV27" s="494">
        <f>Rubber!J77</f>
        <v>1.2235654411698504</v>
      </c>
      <c r="AW27" s="494">
        <f>Platinum!O81</f>
        <v>53.613160005814251</v>
      </c>
      <c r="AX27" s="494">
        <f>Vanadium!F71</f>
        <v>0</v>
      </c>
      <c r="AY27" s="494">
        <f>Zirconium!F71</f>
        <v>1.6701461307947321</v>
      </c>
      <c r="AZ27" s="494">
        <f>Titanium!F68</f>
        <v>0</v>
      </c>
      <c r="BA27" s="494">
        <f>Chromium!F68</f>
        <v>0</v>
      </c>
      <c r="BB27" s="494">
        <f>'Rare Earth'!F68</f>
        <v>3.6489795443892157</v>
      </c>
      <c r="BC27" s="494">
        <f>Manganese!H85/2000</f>
        <v>0.28407464814017497</v>
      </c>
      <c r="BD27" s="494">
        <f>Manganese!E85</f>
        <v>2.9731194215975942</v>
      </c>
      <c r="BE27" s="494">
        <f t="shared" si="12"/>
        <v>0.66355234762086923</v>
      </c>
      <c r="BF27" s="347">
        <f>Vehi_Plastics!W117/2000</f>
        <v>4.0086747585452045</v>
      </c>
      <c r="BG27" s="348">
        <f t="shared" si="2"/>
        <v>14.030361654908216</v>
      </c>
      <c r="BH27" s="347">
        <f>'FC Materials'!C68</f>
        <v>0.20520065022501879</v>
      </c>
      <c r="BI27" s="349">
        <f>'FC Materials'!E68</f>
        <v>0.20089504126616592</v>
      </c>
      <c r="BJ27" s="348">
        <f>'FC Materials'!G68</f>
        <v>2.7123367309862556</v>
      </c>
      <c r="BK27" s="347">
        <f>LiMn2O4!L102/2000</f>
        <v>0.89600408770593465</v>
      </c>
      <c r="BL27" s="349">
        <f ca="1">Other_Cathodes!E131/2000</f>
        <v>165.63341892363675</v>
      </c>
      <c r="BM27" s="349">
        <f ca="1">Other_Cathodes!$G$16*Other_Cathodes!$F$9*(Nickel!$B$57*Nickel!$F$80*Nickel!B150+Nickel!$C$57*Nickel!H150)/2000</f>
        <v>0.72063036235927502</v>
      </c>
      <c r="BN27" s="349">
        <f ca="1">Other_Cathodes!$G$16*Other_Cathodes!$F$9*(Nickel!AC150)/2000-BM27</f>
        <v>130.23073193804052</v>
      </c>
      <c r="BO27" s="349">
        <f>Other_Cathodes!$G$16*Other_Cathodes!$F$11*Other_Cathodes!$B$7*Other_Cathodes!C164/2000</f>
        <v>5.3956316816561579E-2</v>
      </c>
      <c r="BP27" s="349">
        <f ca="1">Other_Cathodes!$G$16*Other_Cathodes!$F$10*Cobalt!$C$18*Cobalt!B98/2000</f>
        <v>1.1149565432775324E-2</v>
      </c>
      <c r="BQ27" s="349">
        <f ca="1">Other_Cathodes!$G$16*Other_Cathodes!$F$10*Cobalt!G98/2000-Mat_Sum!BP27</f>
        <v>6.0510088138419578</v>
      </c>
      <c r="BR27" s="349">
        <f>Other_Cathodes!$G$26*Li_Chemicals!V119/2000</f>
        <v>2.6516496804870702</v>
      </c>
      <c r="BS27" s="349">
        <f t="shared" ca="1" si="3"/>
        <v>1.5915276871179742</v>
      </c>
      <c r="BT27" s="349">
        <f ca="1">(Other_Cathodes!G131*'Battery Recycling'!$F$38+'Battery Recycling'!$E$38*'Battery Recycling'!K146)/2000</f>
        <v>141.31065436409617</v>
      </c>
      <c r="BU27" s="349">
        <f ca="1">Other_Cathodes!I131/2000</f>
        <v>208.96753438527418</v>
      </c>
      <c r="BV27" s="349">
        <f ca="1">Other_Cathodes!K131/2000</f>
        <v>242.32364666211421</v>
      </c>
      <c r="BW27" s="349">
        <f ca="1">Other_Cathodes!M131/2000</f>
        <v>318.46658429992419</v>
      </c>
      <c r="BX27" s="349">
        <f ca="1">Other_Cathodes!O131/2000</f>
        <v>8.1693011282859818</v>
      </c>
      <c r="BY27" s="349">
        <f ca="1">Other_Cathodes!R131/2000</f>
        <v>86.495549159369361</v>
      </c>
      <c r="BZ27" s="349">
        <f ca="1">Other_Cathodes!P131/2000</f>
        <v>5.8610250751315576</v>
      </c>
      <c r="CA27" s="349">
        <f ca="1">Other_Cathodes!V131/2000</f>
        <v>5.8986589675545229</v>
      </c>
      <c r="CB27" s="349">
        <f ca="1">Other_Cathodes!U131/2000</f>
        <v>22.673698845414869</v>
      </c>
      <c r="CC27" s="349">
        <f ca="1">Other_Cathodes!S131/2000</f>
        <v>21.440192285897368</v>
      </c>
      <c r="CD27" s="349">
        <f ca="1">Other_Cathodes!AB131/2000</f>
        <v>324.31208719311894</v>
      </c>
      <c r="CE27" s="348">
        <f>Battery_Materials!K101</f>
        <v>0.51931391287923179</v>
      </c>
      <c r="CF27" s="494">
        <f ca="1">Anode!C93</f>
        <v>33.888312856522013</v>
      </c>
      <c r="CG27" s="494">
        <f>Battery_Materials!C101</f>
        <v>0.38444463412804747</v>
      </c>
      <c r="CH27" s="347"/>
      <c r="CI27" s="347">
        <f>Battery_Materials!E101</f>
        <v>8.0318184065519329</v>
      </c>
      <c r="CJ27" s="349">
        <f>Battery_Materials!G101</f>
        <v>4.9348461739996796E-2</v>
      </c>
      <c r="CK27" s="348">
        <f>Battery_Materials!I101</f>
        <v>0.18021797680935911</v>
      </c>
      <c r="CL27" s="494">
        <f>Battery_Materials!M101</f>
        <v>4.3957191687272905</v>
      </c>
      <c r="CM27" s="494">
        <f>Vehi_Fluids!J84</f>
        <v>9.6829475966745585E-2</v>
      </c>
      <c r="CN27" s="494">
        <f ca="1">Silicon!C84</f>
        <v>56.971674567548618</v>
      </c>
      <c r="CO27" s="494">
        <f ca="1">Silicon!E84</f>
        <v>14.755472151452103</v>
      </c>
      <c r="CP27" s="494">
        <f xml:space="preserve"> Molybdenum!G79</f>
        <v>1.2349284995731202</v>
      </c>
      <c r="CQ27" s="2637">
        <f xml:space="preserve"> Vehi_Plastics!BB117</f>
        <v>1.6625373630259161</v>
      </c>
    </row>
    <row r="28" spans="1:107" s="64" customFormat="1">
      <c r="A28" s="483" t="s">
        <v>827</v>
      </c>
      <c r="B28" s="349">
        <f ca="1">Steel!V121</f>
        <v>4.5722670663683714E-3</v>
      </c>
      <c r="C28" s="349">
        <f ca="1">Steel!F155</f>
        <v>1.623581193345745E-3</v>
      </c>
      <c r="D28" s="349">
        <f t="shared" ca="1" si="6"/>
        <v>3.793813995890398E-3</v>
      </c>
      <c r="E28" s="348">
        <f ca="1">Steel!F223</f>
        <v>1.9100067010272071E-3</v>
      </c>
      <c r="F28" s="494">
        <f ca="1">'C.Iron'!K75</f>
        <v>2.8609720537794924E-3</v>
      </c>
      <c r="G28" s="349">
        <f ca="1">W.Al!V139</f>
        <v>1.7746313695197212E-2</v>
      </c>
      <c r="H28" s="349">
        <f ca="1">W.Al!S177</f>
        <v>5.0788584631280614E-3</v>
      </c>
      <c r="I28" s="348">
        <f t="shared" ca="1" si="7"/>
        <v>1.6352893619669608E-2</v>
      </c>
      <c r="J28" s="349">
        <f ca="1">'C.Al'!J128</f>
        <v>2.004201954511791E-2</v>
      </c>
      <c r="K28" s="349">
        <f ca="1">'C.Al'!G164</f>
        <v>6.0826616814968421E-3</v>
      </c>
      <c r="L28" s="348">
        <f t="shared" ca="1" si="8"/>
        <v>8.1765653610400019E-3</v>
      </c>
      <c r="M28" s="347">
        <f ca="1">Lead!F73</f>
        <v>3.0652680819370781E-3</v>
      </c>
      <c r="N28" s="349">
        <f>Lead!H73</f>
        <v>2.9891228201488136E-4</v>
      </c>
      <c r="O28" s="348">
        <f t="shared" ca="1" si="9"/>
        <v>1.0458283479938746E-3</v>
      </c>
      <c r="P28" s="347">
        <f ca="1">Nickel!R151</f>
        <v>4.8624767800173718E-2</v>
      </c>
      <c r="Q28" s="349">
        <f>Nickel!T151</f>
        <v>2.0146634837142678E-2</v>
      </c>
      <c r="R28" s="349">
        <f ca="1">$B$9*SUM(Nickel!B151:D151)/2000</f>
        <v>2.2051567006774929E-2</v>
      </c>
      <c r="S28" s="349">
        <f ca="1">$B$9*Nickel!E151/2000</f>
        <v>5.1783029613223586E-3</v>
      </c>
      <c r="T28" s="349">
        <f>$C$9*Nickel!F151/2000</f>
        <v>8.8645193283427761E-3</v>
      </c>
      <c r="U28" s="348">
        <f t="shared" ca="1" si="10"/>
        <v>3.6094389296440058E-2</v>
      </c>
      <c r="V28" s="347">
        <f ca="1">Nickel!AF151</f>
        <v>3.2198519355398907E-2</v>
      </c>
      <c r="W28" s="349">
        <f>Nickel!AH151</f>
        <v>3.1069661376314736E-3</v>
      </c>
      <c r="X28" s="348">
        <f ca="1">V28*$B$9+W28*$C$9</f>
        <v>1.9398235939581236E-2</v>
      </c>
      <c r="Y28" s="817">
        <f ca="1">Nickel!V151</f>
        <v>4.8624767800173718E-2</v>
      </c>
      <c r="Z28" s="494">
        <f ca="1">Cobalt!N99</f>
        <v>0.13731590678779226</v>
      </c>
      <c r="AA28" s="494">
        <f ca="1">Cobalt!J99</f>
        <v>7.354277229735684E-2</v>
      </c>
      <c r="AB28" s="494">
        <f ca="1">SUM(Cobalt!B99:C99)/2000</f>
        <v>0.10574871589714976</v>
      </c>
      <c r="AC28" s="494">
        <f ca="1">SUM(Cobalt!D99,Cobalt!F99)/2000</f>
        <v>6.0047566695396321E-2</v>
      </c>
      <c r="AD28" s="494">
        <f ca="1">Cobalt!P99</f>
        <v>0.16579628259254608</v>
      </c>
      <c r="AE28" s="348">
        <f>Copper!M76</f>
        <v>3.008387288747475E-4</v>
      </c>
      <c r="AF28" s="348">
        <f>Copper!N76</f>
        <v>1.968040219340713E-2</v>
      </c>
      <c r="AG28" s="348">
        <f>Copper!L76</f>
        <v>1.9981240922281877E-2</v>
      </c>
      <c r="AH28" s="348">
        <f>Zinc!F85</f>
        <v>4.3314332017677778E-3</v>
      </c>
      <c r="AI28" s="349">
        <f ca="1">Magnesium!H83</f>
        <v>5.2093537771138614E-2</v>
      </c>
      <c r="AJ28" s="349">
        <f>Magnesium!J83</f>
        <v>2.9217047675345457E-3</v>
      </c>
      <c r="AK28" s="348">
        <f t="shared" ca="1" si="11"/>
        <v>2.6475012776260892E-2</v>
      </c>
      <c r="AL28" s="348">
        <f>GREET1_Import_Export!G507/2000</f>
        <v>1.2551686366091431E-3</v>
      </c>
      <c r="AM28" s="347">
        <f>Glass!K84</f>
        <v>5.4480865889025704E-3</v>
      </c>
      <c r="AN28" s="348">
        <f>Glass!Q84</f>
        <v>6.2064671641732507E-3</v>
      </c>
      <c r="AO28" s="347">
        <f>Vehi_Plastics!AV118</f>
        <v>6.6740355322605733E-3</v>
      </c>
      <c r="AP28" s="348">
        <f>Vehi_Plastics!BH118</f>
        <v>8.4105675962507127E-3</v>
      </c>
      <c r="AQ28" s="347">
        <f>Vehi_Plastics!BJ118</f>
        <v>5.8559099050476057E-3</v>
      </c>
      <c r="AR28" s="349">
        <f>Vehi_Plastics!BR118</f>
        <v>1.2967888705950229E-2</v>
      </c>
      <c r="AS28" s="349">
        <f>Vehi_Plastics!BZ118</f>
        <v>1.5099646441351191E-2</v>
      </c>
      <c r="AT28" s="349">
        <f>Vehi_Plastics!CB118</f>
        <v>3.5912882065014418E-2</v>
      </c>
      <c r="AU28" s="348">
        <f>Vehi_Plastics!CD118</f>
        <v>4.4255088787917951E-2</v>
      </c>
      <c r="AV28" s="494">
        <f>Rubber!J78</f>
        <v>1.7014236770919431E-2</v>
      </c>
      <c r="AW28" s="494">
        <f>Platinum!O82</f>
        <v>0.18092796647008302</v>
      </c>
      <c r="AX28" s="494">
        <f>Vanadium!F72</f>
        <v>0</v>
      </c>
      <c r="AY28" s="494">
        <f>Zirconium!F72</f>
        <v>4.1584546126115798E-2</v>
      </c>
      <c r="AZ28" s="494">
        <f>Titanium!F69</f>
        <v>0</v>
      </c>
      <c r="BA28" s="494">
        <f>Chromium!F69</f>
        <v>0</v>
      </c>
      <c r="BB28" s="494">
        <f>'Rare Earth'!F69</f>
        <v>2.5479234634775062E-2</v>
      </c>
      <c r="BC28" s="494">
        <f>Manganese!H86/2000</f>
        <v>2.1515908258579945E-3</v>
      </c>
      <c r="BD28" s="494">
        <f>Manganese!E86</f>
        <v>3.9679123253046872E-2</v>
      </c>
      <c r="BE28" s="494">
        <f t="shared" si="12"/>
        <v>6.2064671641732507E-3</v>
      </c>
      <c r="BF28" s="347">
        <f>Vehi_Plastics!W118/2000</f>
        <v>4.2091196099470291E-2</v>
      </c>
      <c r="BG28" s="348">
        <f>BF28*3.5</f>
        <v>0.147319186348146</v>
      </c>
      <c r="BH28" s="347">
        <f>'FC Materials'!C69</f>
        <v>3.596417343771858E-3</v>
      </c>
      <c r="BI28" s="349">
        <f>'FC Materials'!E69</f>
        <v>3.5209557566953176E-3</v>
      </c>
      <c r="BJ28" s="348">
        <f>'FC Materials'!G69</f>
        <v>3.5628954190078846E-2</v>
      </c>
      <c r="BK28" s="347">
        <f>LiMn2O4!L103/2000</f>
        <v>0.12910823657348849</v>
      </c>
      <c r="BL28" s="349">
        <f ca="1">Other_Cathodes!E132/2000</f>
        <v>0.10576403821215778</v>
      </c>
      <c r="BM28" s="349">
        <f ca="1">Other_Cathodes!$G$16*Other_Cathodes!$F$9*(Nickel!$B$57*Nickel!$F$80*Nickel!B151+Nickel!$C$57*Nickel!H151)/2000</f>
        <v>5.0466197990701803E-3</v>
      </c>
      <c r="BN28" s="349">
        <f ca="1">Other_Cathodes!$G$16*Other_Cathodes!$F$9*(Nickel!AC151)/2000-BM28</f>
        <v>1.6111932199934814E-2</v>
      </c>
      <c r="BO28" s="349">
        <f>Other_Cathodes!$G$16*Other_Cathodes!$F$11*Other_Cathodes!$B$7*Other_Cathodes!C165/2000</f>
        <v>4.0866693673529238E-4</v>
      </c>
      <c r="BP28" s="349">
        <f ca="1">Other_Cathodes!$G$16*Other_Cathodes!$F$10*Cobalt!$C$18*Cobalt!B99/2000</f>
        <v>2.050524240342267E-2</v>
      </c>
      <c r="BQ28" s="349">
        <f ca="1">Other_Cathodes!$G$16*Other_Cathodes!$F$10*Cobalt!G99/2000-Mat_Sum!BP28</f>
        <v>1.2490612050420728E-2</v>
      </c>
      <c r="BR28" s="349">
        <f>Other_Cathodes!$G$26*Li_Chemicals!V120/2000</f>
        <v>3.6838728432051229E-2</v>
      </c>
      <c r="BS28" s="349">
        <f t="shared" ca="1" si="3"/>
        <v>2.2921384170340176E-2</v>
      </c>
      <c r="BT28" s="349">
        <f ca="1">(Other_Cathodes!G132*'Battery Recycling'!$F$38+'Battery Recycling'!$E$38*'Battery Recycling'!K147)/2000</f>
        <v>0.11432318599197508</v>
      </c>
      <c r="BU28" s="349">
        <f ca="1">Other_Cathodes!I132/2000</f>
        <v>0.1126809351484331</v>
      </c>
      <c r="BV28" s="349">
        <f ca="1">Other_Cathodes!K132/2000</f>
        <v>0.11726285900216257</v>
      </c>
      <c r="BW28" s="349">
        <f ca="1">Other_Cathodes!M132/2000</f>
        <v>0.13829775444298578</v>
      </c>
      <c r="BX28" s="349">
        <f ca="1">Other_Cathodes!O132/2000</f>
        <v>7.2912464846523375E-2</v>
      </c>
      <c r="BY28" s="349">
        <f ca="1">Other_Cathodes!R132/2000</f>
        <v>0.1599184188687309</v>
      </c>
      <c r="BZ28" s="349">
        <f ca="1">Other_Cathodes!P132/2000</f>
        <v>7.7726556530003973E-2</v>
      </c>
      <c r="CA28" s="349">
        <f ca="1">Other_Cathodes!V132/2000</f>
        <v>4.1494851750182332E-2</v>
      </c>
      <c r="CB28" s="349">
        <f ca="1">Other_Cathodes!U132/2000</f>
        <v>0.17566024782473302</v>
      </c>
      <c r="CC28" s="349">
        <f ca="1">Other_Cathodes!S132/2000</f>
        <v>0.14563912949472815</v>
      </c>
      <c r="CD28" s="349">
        <f ca="1">Other_Cathodes!AB132/2000</f>
        <v>0.14708202880544649</v>
      </c>
      <c r="CE28" s="348">
        <f>Battery_Materials!K102</f>
        <v>1.6837671480394396E-2</v>
      </c>
      <c r="CF28" s="494">
        <f ca="1">Anode!C94</f>
        <v>9.0855909435864704E-3</v>
      </c>
      <c r="CG28" s="494">
        <f>Battery_Materials!C102</f>
        <v>6.3817883575811645E-3</v>
      </c>
      <c r="CH28" s="347"/>
      <c r="CI28" s="347">
        <f>Battery_Materials!E102</f>
        <v>2.3914212453858299E-2</v>
      </c>
      <c r="CJ28" s="349">
        <f>Battery_Materials!G102</f>
        <v>9.7560960260177035E-4</v>
      </c>
      <c r="CK28" s="348">
        <f>Battery_Materials!I102</f>
        <v>3.6883507165141839E-3</v>
      </c>
      <c r="CL28" s="494">
        <f>Battery_Materials!M102</f>
        <v>5.5845339838392571E-2</v>
      </c>
      <c r="CM28" s="494">
        <f>Vehi_Fluids!J85</f>
        <v>2.3635548782363143E-3</v>
      </c>
      <c r="CN28" s="494">
        <f ca="1">Silicon!C85</f>
        <v>0.42298890561995811</v>
      </c>
      <c r="CO28" s="494">
        <f ca="1">Silicon!E85</f>
        <v>0.11254142786297351</v>
      </c>
      <c r="CP28" s="494">
        <f xml:space="preserve"> Molybdenum!G80</f>
        <v>3.0692606639913203E-2</v>
      </c>
      <c r="CQ28" s="2637">
        <f xml:space="preserve"> Vehi_Plastics!BB118</f>
        <v>2.3796426799910172E-2</v>
      </c>
    </row>
    <row r="29" spans="1:107" s="64" customFormat="1">
      <c r="A29" s="483" t="s">
        <v>828</v>
      </c>
      <c r="B29" s="349">
        <f ca="1">Steel!V122</f>
        <v>1.2912335553862108E-2</v>
      </c>
      <c r="C29" s="349">
        <f ca="1">Steel!F156</f>
        <v>5.6342382629492949E-3</v>
      </c>
      <c r="D29" s="349">
        <f t="shared" ca="1" si="6"/>
        <v>1.0990917869061125E-2</v>
      </c>
      <c r="E29" s="348">
        <f ca="1">Steel!F224</f>
        <v>6.7869982696797428E-3</v>
      </c>
      <c r="F29" s="494">
        <f ca="1">'C.Iron'!K76</f>
        <v>7.3590121287699763E-3</v>
      </c>
      <c r="G29" s="349">
        <f ca="1">W.Al!V140</f>
        <v>3.6350598985869904E-2</v>
      </c>
      <c r="H29" s="349">
        <f ca="1">W.Al!S178</f>
        <v>1.254894349070281E-2</v>
      </c>
      <c r="I29" s="348">
        <f t="shared" ca="1" si="7"/>
        <v>3.3732416881401522E-2</v>
      </c>
      <c r="J29" s="349">
        <f ca="1">'C.Al'!J129</f>
        <v>4.1024723224846897E-2</v>
      </c>
      <c r="K29" s="349">
        <f ca="1">'C.Al'!G165</f>
        <v>1.4795632952436398E-2</v>
      </c>
      <c r="L29" s="348">
        <f t="shared" ca="1" si="8"/>
        <v>1.8729996493297971E-2</v>
      </c>
      <c r="M29" s="347">
        <f ca="1">Lead!F74</f>
        <v>4.7339219056114022E-3</v>
      </c>
      <c r="N29" s="349">
        <f>Lead!H74</f>
        <v>5.8707937598638841E-4</v>
      </c>
      <c r="O29" s="348">
        <f t="shared" ca="1" si="9"/>
        <v>1.7067268589851421E-3</v>
      </c>
      <c r="P29" s="347">
        <f ca="1">Nickel!R152</f>
        <v>0.12363229042053317</v>
      </c>
      <c r="Q29" s="349">
        <f>Nickel!T152</f>
        <v>1.4612017078946212E-2</v>
      </c>
      <c r="R29" s="349">
        <f ca="1">$B$9*SUM(Nickel!B152:D152)/2000</f>
        <v>5.498330847510436E-2</v>
      </c>
      <c r="S29" s="349">
        <f ca="1">$B$9*Nickel!E152/2000</f>
        <v>1.4250774160394226E-2</v>
      </c>
      <c r="T29" s="349">
        <f>$C$9*Nickel!F152/2000</f>
        <v>6.4292875147363331E-3</v>
      </c>
      <c r="U29" s="348">
        <f t="shared" ca="1" si="10"/>
        <v>7.5663370150234915E-2</v>
      </c>
      <c r="V29" s="347">
        <f ca="1">Nickel!AF152</f>
        <v>8.2861894481230283E-2</v>
      </c>
      <c r="W29" s="349">
        <f>Nickel!AH152</f>
        <v>2.253430542309736E-3</v>
      </c>
      <c r="X29" s="348">
        <f ca="1">V29*$B$9+W29*$C$9</f>
        <v>4.7394170348105245E-2</v>
      </c>
      <c r="Y29" s="817">
        <f ca="1">Nickel!V152</f>
        <v>0.12363229042053317</v>
      </c>
      <c r="Z29" s="494">
        <f ca="1">Cobalt!N100</f>
        <v>0.17800446443132992</v>
      </c>
      <c r="AA29" s="494">
        <f ca="1">Cobalt!J100</f>
        <v>8.8011477519663955E-2</v>
      </c>
      <c r="AB29" s="494">
        <f ca="1">SUM(Cobalt!B100:C100)/2000</f>
        <v>4.2394883852440016E-2</v>
      </c>
      <c r="AC29" s="494">
        <f ca="1">SUM(Cobalt!D100,Cobalt!F100)/2000</f>
        <v>0.1590971343148882</v>
      </c>
      <c r="AD29" s="494">
        <f ca="1">Cobalt!P100</f>
        <v>0.2014920181673282</v>
      </c>
      <c r="AE29" s="348">
        <f>Copper!M77</f>
        <v>1.1693263747984107E-3</v>
      </c>
      <c r="AF29" s="348">
        <f>Copper!N77</f>
        <v>2.0368287897720265E-2</v>
      </c>
      <c r="AG29" s="348">
        <f>Copper!L77</f>
        <v>2.1537614272518674E-2</v>
      </c>
      <c r="AH29" s="348">
        <f>Zinc!F86</f>
        <v>1.9326909342792874E-2</v>
      </c>
      <c r="AI29" s="349">
        <f ca="1">Magnesium!H84</f>
        <v>0.14089868721238583</v>
      </c>
      <c r="AJ29" s="349">
        <f>Magnesium!J84</f>
        <v>8.7769581369565378E-3</v>
      </c>
      <c r="AK29" s="348">
        <f t="shared" ca="1" si="11"/>
        <v>7.2063266364087164E-2</v>
      </c>
      <c r="AL29" s="348">
        <f>GREET1_Import_Export!G508/2000</f>
        <v>3.7061201640195044E-3</v>
      </c>
      <c r="AM29" s="347">
        <f>Glass!K85</f>
        <v>1.3593152149479489E-2</v>
      </c>
      <c r="AN29" s="348">
        <f>Glass!Q85</f>
        <v>1.6446620981755356E-2</v>
      </c>
      <c r="AO29" s="347">
        <f>Vehi_Plastics!AV119</f>
        <v>1.9669195712726819E-2</v>
      </c>
      <c r="AP29" s="348">
        <f>Vehi_Plastics!BH119</f>
        <v>2.182524450359884E-2</v>
      </c>
      <c r="AQ29" s="347">
        <f>Vehi_Plastics!BJ119</f>
        <v>1.3986826578269728E-2</v>
      </c>
      <c r="AR29" s="349">
        <f>Vehi_Plastics!BR119</f>
        <v>2.6671924385483364E-2</v>
      </c>
      <c r="AS29" s="349">
        <f>Vehi_Plastics!BZ119</f>
        <v>3.7765030464387256E-2</v>
      </c>
      <c r="AT29" s="349">
        <f>Vehi_Plastics!CB119</f>
        <v>9.419642456808161E-2</v>
      </c>
      <c r="AU29" s="348">
        <f>Vehi_Plastics!CD119</f>
        <v>0.13468298689960409</v>
      </c>
      <c r="AV29" s="494">
        <f>Rubber!J79</f>
        <v>2.8236678145119331E-2</v>
      </c>
      <c r="AW29" s="494">
        <f>Platinum!O83</f>
        <v>0.31604204805928188</v>
      </c>
      <c r="AX29" s="494">
        <f>Vanadium!F73</f>
        <v>0</v>
      </c>
      <c r="AY29" s="494">
        <f>Zirconium!F73</f>
        <v>0.11881795060757409</v>
      </c>
      <c r="AZ29" s="494">
        <f>Titanium!F70</f>
        <v>0</v>
      </c>
      <c r="BA29" s="494">
        <f>Chromium!F70</f>
        <v>0</v>
      </c>
      <c r="BB29" s="494">
        <f>'Rare Earth'!F70</f>
        <v>0.12127498400329824</v>
      </c>
      <c r="BC29" s="494">
        <f>Manganese!H87/2000</f>
        <v>9.6307839021487606E-3</v>
      </c>
      <c r="BD29" s="494">
        <f>Manganese!E87</f>
        <v>6.0806236893658966E-2</v>
      </c>
      <c r="BE29" s="494">
        <f t="shared" si="12"/>
        <v>1.6446620981755356E-2</v>
      </c>
      <c r="BF29" s="347">
        <f>Vehi_Plastics!W119/2000</f>
        <v>0.14302154666920147</v>
      </c>
      <c r="BG29" s="348">
        <f>BF29*3.5</f>
        <v>0.50057541334220512</v>
      </c>
      <c r="BH29" s="347">
        <f>'FC Materials'!C70</f>
        <v>1.1398065125970205E-2</v>
      </c>
      <c r="BI29" s="349">
        <f>'FC Materials'!E70</f>
        <v>1.1158905984582738E-2</v>
      </c>
      <c r="BJ29" s="348">
        <f>'FC Materials'!G70</f>
        <v>5.6454093884531022E-2</v>
      </c>
      <c r="BK29" s="347">
        <f>LiMn2O4!L104/2000</f>
        <v>0.32996859345452562</v>
      </c>
      <c r="BL29" s="349">
        <f ca="1">Other_Cathodes!E133/2000</f>
        <v>0.21714560544487521</v>
      </c>
      <c r="BM29" s="349">
        <f ca="1">Other_Cathodes!$G$16*Other_Cathodes!$F$9*(Nickel!$B$57*Nickel!$F$80*Nickel!B152+Nickel!$C$57*Nickel!H152)/2000</f>
        <v>8.8631743676378123E-3</v>
      </c>
      <c r="BN29" s="349">
        <f ca="1">Other_Cathodes!$G$16*Other_Cathodes!$F$9*(Nickel!AC152)/2000-BM29</f>
        <v>3.4355760467538056E-2</v>
      </c>
      <c r="BO29" s="349">
        <f>Other_Cathodes!$G$16*Other_Cathodes!$F$11*Other_Cathodes!$B$7*Other_Cathodes!C166/2000</f>
        <v>1.8292432317288856E-3</v>
      </c>
      <c r="BP29" s="349">
        <f ca="1">Other_Cathodes!$G$16*Other_Cathodes!$F$10*Cobalt!$C$18*Cobalt!B100/2000</f>
        <v>6.1659494146159149E-3</v>
      </c>
      <c r="BQ29" s="349">
        <f ca="1">Other_Cathodes!$G$16*Other_Cathodes!$F$10*Cobalt!G100/2000-Mat_Sum!BP29</f>
        <v>3.3321464668234942E-2</v>
      </c>
      <c r="BR29" s="349">
        <f>Other_Cathodes!$G$26*Li_Chemicals!V121/2000</f>
        <v>6.8843944071849072E-2</v>
      </c>
      <c r="BS29" s="349">
        <f t="shared" ca="1" si="3"/>
        <v>6.9873074428026288E-2</v>
      </c>
      <c r="BT29" s="349">
        <f ca="1">(Other_Cathodes!G133*'Battery Recycling'!$F$38+'Battery Recycling'!$E$38*'Battery Recycling'!K148)/2000</f>
        <v>0.22325261064963098</v>
      </c>
      <c r="BU29" s="349">
        <f ca="1">Other_Cathodes!I133/2000</f>
        <v>0.23041433446741255</v>
      </c>
      <c r="BV29" s="349">
        <f ca="1">Other_Cathodes!K133/2000</f>
        <v>0.23997906154732276</v>
      </c>
      <c r="BW29" s="349">
        <f ca="1">Other_Cathodes!M133/2000</f>
        <v>0.29732184404210199</v>
      </c>
      <c r="BX29" s="349">
        <f ca="1">Other_Cathodes!O133/2000</f>
        <v>0.17674876315715476</v>
      </c>
      <c r="BY29" s="349">
        <f ca="1">Other_Cathodes!R133/2000</f>
        <v>0.34170328944474304</v>
      </c>
      <c r="BZ29" s="349">
        <f ca="1">Other_Cathodes!P133/2000</f>
        <v>0.16191150890790304</v>
      </c>
      <c r="CA29" s="349">
        <f ca="1">Other_Cathodes!V133/2000</f>
        <v>8.5463403548582464E-2</v>
      </c>
      <c r="CB29" s="349">
        <f ca="1">Other_Cathodes!U133/2000</f>
        <v>0.29324975293071764</v>
      </c>
      <c r="CC29" s="349">
        <f ca="1">Other_Cathodes!S133/2000</f>
        <v>0.22412970386186787</v>
      </c>
      <c r="CD29" s="349">
        <f ca="1">Other_Cathodes!AB133/2000</f>
        <v>0.31105944932615326</v>
      </c>
      <c r="CE29" s="348">
        <f>Battery_Materials!K103</f>
        <v>4.1035694647312208E-2</v>
      </c>
      <c r="CF29" s="494">
        <f ca="1">Anode!C95</f>
        <v>1.8495738977453661E-2</v>
      </c>
      <c r="CG29" s="494">
        <f>Battery_Materials!C103</f>
        <v>1.9084492484623287E-2</v>
      </c>
      <c r="CH29" s="347"/>
      <c r="CI29" s="347">
        <f>Battery_Materials!E103</f>
        <v>9.9879033620748001E-2</v>
      </c>
      <c r="CJ29" s="349">
        <f>Battery_Materials!G103</f>
        <v>2.7187817244363477E-3</v>
      </c>
      <c r="CK29" s="348">
        <f>Battery_Materials!I103</f>
        <v>1.0201268799986682E-2</v>
      </c>
      <c r="CL29" s="494">
        <f>Battery_Materials!M103</f>
        <v>0.19931462278741993</v>
      </c>
      <c r="CM29" s="494">
        <f>Vehi_Fluids!J86</f>
        <v>6.1870061843593161E-3</v>
      </c>
      <c r="CN29" s="494">
        <f ca="1">Silicon!C86</f>
        <v>1.512211782831713</v>
      </c>
      <c r="CO29" s="494">
        <f ca="1">Silicon!E86</f>
        <v>0.33995473649452534</v>
      </c>
      <c r="CP29" s="494">
        <f xml:space="preserve"> Molybdenum!G81</f>
        <v>6.1695565804918688E-2</v>
      </c>
      <c r="CQ29" s="2637">
        <f xml:space="preserve"> Vehi_Plastics!BB119</f>
        <v>4.8142138497779353E-2</v>
      </c>
    </row>
    <row r="30" spans="1:107" s="64" customFormat="1">
      <c r="A30" s="291" t="s">
        <v>829</v>
      </c>
      <c r="B30" s="349">
        <f ca="1">Steel!V123</f>
        <v>2.2261777240309364</v>
      </c>
      <c r="C30" s="349">
        <f ca="1">Steel!F157</f>
        <v>0.7180775877565998</v>
      </c>
      <c r="D30" s="349">
        <f t="shared" ca="1" si="6"/>
        <v>1.8280392880545115</v>
      </c>
      <c r="E30" s="348">
        <f ca="1">Steel!F225</f>
        <v>0.86325191994546535</v>
      </c>
      <c r="F30" s="494">
        <f ca="1">'C.Iron'!K77</f>
        <v>1.9087214179289422</v>
      </c>
      <c r="G30" s="349">
        <f ca="1">W.Al!V141</f>
        <v>5.7799756500298134</v>
      </c>
      <c r="H30" s="349">
        <f ca="1">W.Al!S179</f>
        <v>1.7222042026316609</v>
      </c>
      <c r="I30" s="348">
        <f t="shared" ca="1" si="7"/>
        <v>5.3336207908160169</v>
      </c>
      <c r="J30" s="349">
        <f ca="1">'C.Al'!J130</f>
        <v>6.500128096411208</v>
      </c>
      <c r="K30" s="349">
        <f ca="1">'C.Al'!G166</f>
        <v>2.0285209168086444</v>
      </c>
      <c r="L30" s="348">
        <f t="shared" ca="1" si="8"/>
        <v>2.6992619937490288</v>
      </c>
      <c r="M30" s="347">
        <f ca="1">Lead!F75</f>
        <v>3.1493134038100967</v>
      </c>
      <c r="N30" s="349">
        <f>Lead!H75</f>
        <v>0.30853602677343256</v>
      </c>
      <c r="O30" s="348">
        <f t="shared" ca="1" si="9"/>
        <v>1.075545918573332</v>
      </c>
      <c r="P30" s="347">
        <f ca="1">Nickel!R153</f>
        <v>15.41466986708172</v>
      </c>
      <c r="Q30" s="349">
        <f>Nickel!T153</f>
        <v>1.621121942010759</v>
      </c>
      <c r="R30" s="349">
        <f ca="1">$B$9*SUM(Nickel!B153:D153)/2000</f>
        <v>6.6131571472162429</v>
      </c>
      <c r="S30" s="349">
        <f ca="1">$B$9*Nickel!E153/2000</f>
        <v>2.0190579783495211</v>
      </c>
      <c r="T30" s="349">
        <f>$C$9*Nickel!F153/2000</f>
        <v>0.71329365448473392</v>
      </c>
      <c r="U30" s="348">
        <f t="shared" ca="1" si="10"/>
        <v>9.3455087800504977</v>
      </c>
      <c r="V30" s="347">
        <f ca="1">Nickel!AF153</f>
        <v>10.347613639404143</v>
      </c>
      <c r="W30" s="349">
        <f>Nickel!AH153</f>
        <v>0.25000557261865519</v>
      </c>
      <c r="X30" s="348">
        <f t="shared" ca="1" si="1"/>
        <v>5.9046660900185293</v>
      </c>
      <c r="Y30" s="817">
        <f ca="1">Nickel!V153</f>
        <v>15.41466986708172</v>
      </c>
      <c r="Z30" s="494">
        <f ca="1">Cobalt!N101</f>
        <v>17.341317677542644</v>
      </c>
      <c r="AA30" s="494">
        <f ca="1">Cobalt!J101</f>
        <v>7.8477298733687526</v>
      </c>
      <c r="AB30" s="494">
        <f ca="1">SUM(Cobalt!B101:C101)/2000</f>
        <v>2.5631892183117375</v>
      </c>
      <c r="AC30" s="494">
        <f ca="1">SUM(Cobalt!D101,Cobalt!F101)/2000</f>
        <v>16.627372175220771</v>
      </c>
      <c r="AD30" s="494">
        <f ca="1">Cobalt!P101</f>
        <v>19.190561393532509</v>
      </c>
      <c r="AE30" s="348">
        <f>Copper!M78</f>
        <v>0.17403564103322455</v>
      </c>
      <c r="AF30" s="348">
        <f>Copper!N78</f>
        <v>2.4247389355632105</v>
      </c>
      <c r="AG30" s="348">
        <f>Copper!L78</f>
        <v>2.5987745765964352</v>
      </c>
      <c r="AH30" s="348">
        <f>Zinc!F87</f>
        <v>2.4252208988580013</v>
      </c>
      <c r="AI30" s="349">
        <f ca="1">Magnesium!H85</f>
        <v>18.014254633205354</v>
      </c>
      <c r="AJ30" s="349">
        <f>Magnesium!J85</f>
        <v>1.1336668498089904</v>
      </c>
      <c r="AK30" s="348">
        <f t="shared" ca="1" si="11"/>
        <v>9.2194683980558487</v>
      </c>
      <c r="AL30" s="348">
        <f>GREET1_Import_Export!G509/2000</f>
        <v>2.8747047934182517E-2</v>
      </c>
      <c r="AM30" s="347">
        <f>Glass!K86</f>
        <v>1.733359947806133</v>
      </c>
      <c r="AN30" s="348">
        <f>Glass!Q86</f>
        <v>1.898937890124468</v>
      </c>
      <c r="AO30" s="347">
        <f>Vehi_Plastics!AV120</f>
        <v>10.498592036006952</v>
      </c>
      <c r="AP30" s="348">
        <f>Vehi_Plastics!BH120</f>
        <v>7.1158134517125804</v>
      </c>
      <c r="AQ30" s="347">
        <f>Vehi_Plastics!BJ120</f>
        <v>9.602368330947499</v>
      </c>
      <c r="AR30" s="349">
        <f>Vehi_Plastics!BR120</f>
        <v>9.4071692146569639</v>
      </c>
      <c r="AS30" s="349">
        <f>Vehi_Plastics!BZ120</f>
        <v>6.2220697448338029</v>
      </c>
      <c r="AT30" s="349">
        <f>Vehi_Plastics!CB120</f>
        <v>16.189329242132732</v>
      </c>
      <c r="AU30" s="348">
        <f>Vehi_Plastics!CD120</f>
        <v>21.836562109153185</v>
      </c>
      <c r="AV30" s="494">
        <f>Rubber!J80</f>
        <v>3.4590309620287649</v>
      </c>
      <c r="AW30" s="494">
        <f>Platinum!O84</f>
        <v>86.368085901392945</v>
      </c>
      <c r="AX30" s="494">
        <f>Vanadium!F74</f>
        <v>0</v>
      </c>
      <c r="AY30" s="494">
        <f>Zirconium!F74</f>
        <v>15.425500855058901</v>
      </c>
      <c r="AZ30" s="494">
        <f>Titanium!F71</f>
        <v>0</v>
      </c>
      <c r="BA30" s="494">
        <f>Chromium!F71</f>
        <v>0</v>
      </c>
      <c r="BB30" s="494">
        <f>'Rare Earth'!F71</f>
        <v>15.089076080892534</v>
      </c>
      <c r="BC30" s="494">
        <f>Manganese!H88/2000</f>
        <v>1.2646103253729213</v>
      </c>
      <c r="BD30" s="494">
        <f>Manganese!E88</f>
        <v>7.387267839854271</v>
      </c>
      <c r="BE30" s="494">
        <f t="shared" si="12"/>
        <v>1.898937890124468</v>
      </c>
      <c r="BF30" s="347">
        <f>Vehi_Plastics!W120/2000</f>
        <v>22.71720911284546</v>
      </c>
      <c r="BG30" s="348">
        <f t="shared" si="2"/>
        <v>79.510231894959105</v>
      </c>
      <c r="BH30" s="347">
        <f>'FC Materials'!C71</f>
        <v>1.4645775518684077</v>
      </c>
      <c r="BI30" s="349">
        <f>'FC Materials'!E71</f>
        <v>1.4338471510565951</v>
      </c>
      <c r="BJ30" s="348">
        <f>'FC Materials'!G71</f>
        <v>6.8457388569483335</v>
      </c>
      <c r="BK30" s="347">
        <f>LiMn2O4!L105/2000</f>
        <v>2.9067274495147872</v>
      </c>
      <c r="BL30" s="349">
        <f ca="1">Other_Cathodes!E134/2000</f>
        <v>18.726206610532326</v>
      </c>
      <c r="BM30" s="349">
        <f ca="1">Other_Cathodes!$G$16*Other_Cathodes!$F$9*(Nickel!$B$57*Nickel!$F$80*Nickel!B153+Nickel!$C$57*Nickel!H153)/2000</f>
        <v>0.49682904358600782</v>
      </c>
      <c r="BN30" s="349">
        <f ca="1">Other_Cathodes!$G$16*Other_Cathodes!$F$9*(Nickel!AC153)/2000-BM30</f>
        <v>3.1725811825471641</v>
      </c>
      <c r="BO30" s="349">
        <f>Other_Cathodes!$G$16*Other_Cathodes!$F$11*Other_Cathodes!$B$7*Other_Cathodes!C167/2000</f>
        <v>0.24019642658026574</v>
      </c>
      <c r="BP30" s="349">
        <f ca="1">Other_Cathodes!$G$16*Other_Cathodes!$F$10*Cobalt!$C$18*Cobalt!B101/2000</f>
        <v>0.2473909340145328</v>
      </c>
      <c r="BQ30" s="349">
        <f ca="1">Other_Cathodes!$G$16*Other_Cathodes!$F$10*Cobalt!G101/2000-Mat_Sum!BP30</f>
        <v>3.2735880093378764</v>
      </c>
      <c r="BR30" s="349">
        <f>Other_Cathodes!$G$26*Li_Chemicals!V122/2000</f>
        <v>2.9517552820664457</v>
      </c>
      <c r="BS30" s="349">
        <f t="shared" ca="1" si="3"/>
        <v>8.9406982524101899</v>
      </c>
      <c r="BT30" s="349">
        <f ca="1">(Other_Cathodes!G134*'Battery Recycling'!$F$38+'Battery Recycling'!$E$38*'Battery Recycling'!K149)/2000</f>
        <v>19.323039130542483</v>
      </c>
      <c r="BU30" s="349">
        <f ca="1">Other_Cathodes!I134/2000</f>
        <v>19.873694688903548</v>
      </c>
      <c r="BV30" s="349">
        <f ca="1">Other_Cathodes!K134/2000</f>
        <v>20.694697163180198</v>
      </c>
      <c r="BW30" s="349">
        <f ca="1">Other_Cathodes!M134/2000</f>
        <v>23.50497152487095</v>
      </c>
      <c r="BX30" s="349">
        <f ca="1">Other_Cathodes!O134/2000</f>
        <v>15.37657925920713</v>
      </c>
      <c r="BY30" s="349">
        <f ca="1">Other_Cathodes!R134/2000</f>
        <v>10.879978537491354</v>
      </c>
      <c r="BZ30" s="349">
        <f ca="1">Other_Cathodes!P134/2000</f>
        <v>8.4561869628439972</v>
      </c>
      <c r="CA30" s="349">
        <f ca="1">Other_Cathodes!V134/2000</f>
        <v>3.6204732046716241</v>
      </c>
      <c r="CB30" s="349">
        <f ca="1">Other_Cathodes!U134/2000</f>
        <v>23.165995943927552</v>
      </c>
      <c r="CC30" s="349">
        <f ca="1">Other_Cathodes!S134/2000</f>
        <v>18.673869185408044</v>
      </c>
      <c r="CD30" s="349">
        <f ca="1">Other_Cathodes!AB134/2000</f>
        <v>25.18033062777516</v>
      </c>
      <c r="CE30" s="348">
        <f>Battery_Materials!K104</f>
        <v>7.4855224507684825</v>
      </c>
      <c r="CF30" s="494">
        <f ca="1">Anode!C96</f>
        <v>4.8099108056381557</v>
      </c>
      <c r="CG30" s="494">
        <f>Battery_Materials!C104</f>
        <v>2.4420505064193665</v>
      </c>
      <c r="CH30" s="347"/>
      <c r="CI30" s="347">
        <f>Battery_Materials!E104</f>
        <v>9.9151938802221551</v>
      </c>
      <c r="CJ30" s="349">
        <f>Battery_Materials!G104</f>
        <v>0.55374844359295039</v>
      </c>
      <c r="CK30" s="348">
        <f>Battery_Materials!I104</f>
        <v>2.0534057065511155</v>
      </c>
      <c r="CL30" s="494">
        <f>Battery_Materials!M104</f>
        <v>25.338505372236678</v>
      </c>
      <c r="CM30" s="494">
        <f>Vehi_Fluids!J87</f>
        <v>1.2781571872633766</v>
      </c>
      <c r="CN30" s="494">
        <f ca="1">Silicon!C87</f>
        <v>192.86872937313251</v>
      </c>
      <c r="CO30" s="494">
        <f ca="1">Silicon!E87</f>
        <v>43.970397916975728</v>
      </c>
      <c r="CP30" s="494">
        <f xml:space="preserve"> Molybdenum!G82</f>
        <v>14.422017235189127</v>
      </c>
      <c r="CQ30" s="2637">
        <f xml:space="preserve"> Vehi_Plastics!BB120</f>
        <v>9.3410934120435041</v>
      </c>
    </row>
    <row r="31" spans="1:107" s="64" customFormat="1">
      <c r="A31" s="291" t="s">
        <v>830</v>
      </c>
      <c r="B31" s="349">
        <f ca="1">Steel!V124</f>
        <v>1.1385328278784254E-2</v>
      </c>
      <c r="C31" s="349">
        <f ca="1">Steel!F158</f>
        <v>6.7751109055057554E-3</v>
      </c>
      <c r="D31" s="349">
        <f t="shared" ca="1" si="6"/>
        <v>1.0168230892238731E-2</v>
      </c>
      <c r="E31" s="348">
        <f ca="1">Steel!F226</f>
        <v>8.1181259711766724E-3</v>
      </c>
      <c r="F31" s="494">
        <f ca="1">'C.Iron'!K78</f>
        <v>7.7966399169843402E-3</v>
      </c>
      <c r="G31" s="349">
        <f ca="1">W.Al!V142</f>
        <v>5.9652917282157263E-2</v>
      </c>
      <c r="H31" s="349">
        <f ca="1">W.Al!S180</f>
        <v>1.7367833905278986E-2</v>
      </c>
      <c r="I31" s="348">
        <f t="shared" ca="1" si="7"/>
        <v>5.5001558110700656E-2</v>
      </c>
      <c r="J31" s="349">
        <f ca="1">'C.Al'!J131</f>
        <v>6.7031072720165813E-2</v>
      </c>
      <c r="K31" s="349">
        <f ca="1">'C.Al'!G167</f>
        <v>2.0433504358009374E-2</v>
      </c>
      <c r="L31" s="348">
        <f t="shared" ca="1" si="8"/>
        <v>2.7423139612332836E-2</v>
      </c>
      <c r="M31" s="347">
        <f ca="1">Lead!F76</f>
        <v>4.2100634471187882E-3</v>
      </c>
      <c r="N31" s="349">
        <f>Lead!H76</f>
        <v>1.8411487037965561E-3</v>
      </c>
      <c r="O31" s="348">
        <f t="shared" ca="1" si="9"/>
        <v>2.4807556844935589E-3</v>
      </c>
      <c r="P31" s="347">
        <f ca="1">Nickel!R154</f>
        <v>0.443666367975109</v>
      </c>
      <c r="Q31" s="349">
        <f>Nickel!T154</f>
        <v>1.5122116934690994E-2</v>
      </c>
      <c r="R31" s="349">
        <f ca="1">$B$9*SUM(Nickel!B154:D154)/2000</f>
        <v>0.22287184241667329</v>
      </c>
      <c r="S31" s="349">
        <f ca="1">$B$9*Nickel!E154/2000</f>
        <v>2.5581323649387776E-2</v>
      </c>
      <c r="T31" s="349">
        <f>$C$9*Nickel!F154/2000</f>
        <v>6.653731451264037E-3</v>
      </c>
      <c r="U31" s="348">
        <f t="shared" ca="1" si="10"/>
        <v>0.25510689751732513</v>
      </c>
      <c r="V31" s="347">
        <f ca="1">Nickel!AF154</f>
        <v>0.28646292736035317</v>
      </c>
      <c r="W31" s="349">
        <f>Nickel!AH154</f>
        <v>2.3320969295958084E-3</v>
      </c>
      <c r="X31" s="348">
        <f t="shared" ca="1" si="1"/>
        <v>0.16144536197081996</v>
      </c>
      <c r="Y31" s="817">
        <f ca="1">Nickel!V154</f>
        <v>0.443666367975109</v>
      </c>
      <c r="Z31" s="494">
        <f ca="1">Cobalt!N102</f>
        <v>0.17404539489213519</v>
      </c>
      <c r="AA31" s="494">
        <f ca="1">Cobalt!J102</f>
        <v>8.1332729692707717E-2</v>
      </c>
      <c r="AB31" s="494">
        <f ca="1">SUM(Cobalt!B102:C102)/2000</f>
        <v>3.5099574467266803E-2</v>
      </c>
      <c r="AC31" s="494">
        <f ca="1">SUM(Cobalt!D102,Cobalt!F102)/2000</f>
        <v>0.17307916802573978</v>
      </c>
      <c r="AD31" s="494">
        <f ca="1">Cobalt!P102</f>
        <v>0.20817874249300661</v>
      </c>
      <c r="AE31" s="348">
        <f>Copper!M79</f>
        <v>1.2871950603608028E-3</v>
      </c>
      <c r="AF31" s="348">
        <f>Copper!N79</f>
        <v>2.7605470418967215E-2</v>
      </c>
      <c r="AG31" s="348">
        <f>Copper!L79</f>
        <v>2.8892665479328023E-2</v>
      </c>
      <c r="AH31" s="348">
        <f>Zinc!F88</f>
        <v>2.184269147173451E-2</v>
      </c>
      <c r="AI31" s="349">
        <f ca="1">Magnesium!H86</f>
        <v>0.17308131632438872</v>
      </c>
      <c r="AJ31" s="349">
        <f>Magnesium!J86</f>
        <v>1.0924476679895028E-2</v>
      </c>
      <c r="AK31" s="348">
        <f t="shared" ca="1" si="11"/>
        <v>8.8597602869607509E-2</v>
      </c>
      <c r="AL31" s="348">
        <f>GREET1_Import_Export!G510/2000</f>
        <v>4.5081024223190603E-4</v>
      </c>
      <c r="AM31" s="347">
        <f>Glass!K87</f>
        <v>1.6315357154270557E-2</v>
      </c>
      <c r="AN31" s="348">
        <f>Glass!Q87</f>
        <v>1.8284223637915941E-2</v>
      </c>
      <c r="AO31" s="347">
        <f>Vehi_Plastics!AV121</f>
        <v>1.7139356337382824E-2</v>
      </c>
      <c r="AP31" s="348">
        <f>Vehi_Plastics!BH121</f>
        <v>2.3413861234814735E-2</v>
      </c>
      <c r="AQ31" s="347">
        <f>Vehi_Plastics!BJ121</f>
        <v>1.5312574846954191E-2</v>
      </c>
      <c r="AR31" s="349">
        <f>Vehi_Plastics!BR121</f>
        <v>0.11036058175071385</v>
      </c>
      <c r="AS31" s="349">
        <f>Vehi_Plastics!BZ121</f>
        <v>5.2907387004489999E-2</v>
      </c>
      <c r="AT31" s="349">
        <f>Vehi_Plastics!CB121</f>
        <v>0.12671713103529539</v>
      </c>
      <c r="AU31" s="348">
        <f>Vehi_Plastics!CD121</f>
        <v>0.1631030440120553</v>
      </c>
      <c r="AV31" s="494">
        <f>Rubber!J81</f>
        <v>4.12444961154739E-2</v>
      </c>
      <c r="AW31" s="494">
        <f>Platinum!O85</f>
        <v>1.1734587656290407</v>
      </c>
      <c r="AX31" s="494">
        <f>Vanadium!F75</f>
        <v>0</v>
      </c>
      <c r="AY31" s="494">
        <f>Zirconium!F75</f>
        <v>0.14980688780901366</v>
      </c>
      <c r="AZ31" s="494">
        <f>Titanium!F72</f>
        <v>0</v>
      </c>
      <c r="BA31" s="494">
        <f>Chromium!F72</f>
        <v>0</v>
      </c>
      <c r="BB31" s="494">
        <f>'Rare Earth'!F72</f>
        <v>0.13690025232868022</v>
      </c>
      <c r="BC31" s="494">
        <f>Manganese!H89/2000</f>
        <v>1.0795427621346542E-2</v>
      </c>
      <c r="BD31" s="494">
        <f>Manganese!E89</f>
        <v>9.116573652967748E-2</v>
      </c>
      <c r="BE31" s="494">
        <f t="shared" si="12"/>
        <v>1.8284223637915941E-2</v>
      </c>
      <c r="BF31" s="347">
        <f>Vehi_Plastics!W121/2000</f>
        <v>0.16273976532630571</v>
      </c>
      <c r="BG31" s="348">
        <f t="shared" si="2"/>
        <v>0.56958917864207004</v>
      </c>
      <c r="BH31" s="347">
        <f>'FC Materials'!C72</f>
        <v>1.4000299244912921E-2</v>
      </c>
      <c r="BI31" s="349">
        <f>'FC Materials'!E72</f>
        <v>1.3706538899663449E-2</v>
      </c>
      <c r="BJ31" s="348">
        <f>'FC Materials'!G72</f>
        <v>8.3684285303890882E-2</v>
      </c>
      <c r="BK31" s="347">
        <f>LiMn2O4!L106/2000</f>
        <v>2.1495057702218254E-2</v>
      </c>
      <c r="BL31" s="349">
        <f ca="1">Other_Cathodes!E135/2000</f>
        <v>0.38011632564815306</v>
      </c>
      <c r="BM31" s="349">
        <f ca="1">Other_Cathodes!$G$16*Other_Cathodes!$F$9*(Nickel!$B$57*Nickel!$F$80*Nickel!B154+Nickel!$C$57*Nickel!H154)/2000</f>
        <v>7.5579275561743875E-2</v>
      </c>
      <c r="BN31" s="349">
        <f ca="1">Other_Cathodes!$G$16*Other_Cathodes!$F$9*(Nickel!AC154)/2000-BM31</f>
        <v>0.13661213764349694</v>
      </c>
      <c r="BO31" s="349">
        <f>Other_Cathodes!$G$16*Other_Cathodes!$F$11*Other_Cathodes!$B$7*Other_Cathodes!C168/2000</f>
        <v>2.0504522903438101E-3</v>
      </c>
      <c r="BP31" s="349">
        <f ca="1">Other_Cathodes!$G$16*Other_Cathodes!$F$10*Cobalt!$C$18*Cobalt!B102/2000</f>
        <v>4.9331682707978788E-3</v>
      </c>
      <c r="BQ31" s="349">
        <f ca="1">Other_Cathodes!$G$16*Other_Cathodes!$F$10*Cobalt!G102/2000-Mat_Sum!BP31</f>
        <v>3.1557744805249192E-2</v>
      </c>
      <c r="BR31" s="349">
        <f>Other_Cathodes!$G$26*Li_Chemicals!V123/2000</f>
        <v>1.5778281782425421E-2</v>
      </c>
      <c r="BS31" s="349">
        <f t="shared" ca="1" si="3"/>
        <v>8.4467034632226379E-2</v>
      </c>
      <c r="BT31" s="349">
        <f ca="1">(Other_Cathodes!G135*'Battery Recycling'!$F$38+'Battery Recycling'!$E$38*'Battery Recycling'!K150)/2000</f>
        <v>0.35097809498628346</v>
      </c>
      <c r="BU31" s="349">
        <f ca="1">Other_Cathodes!I135/2000</f>
        <v>0.44995718627376596</v>
      </c>
      <c r="BV31" s="349">
        <f ca="1">Other_Cathodes!K135/2000</f>
        <v>0.50323617694414291</v>
      </c>
      <c r="BW31" s="349">
        <f ca="1">Other_Cathodes!M135/2000</f>
        <v>0.63987545957240255</v>
      </c>
      <c r="BX31" s="349">
        <f ca="1">Other_Cathodes!O135/2000</f>
        <v>0.12683313250068959</v>
      </c>
      <c r="BY31" s="349">
        <f ca="1">Other_Cathodes!R135/2000</f>
        <v>0.18912223602203798</v>
      </c>
      <c r="BZ31" s="349">
        <f ca="1">Other_Cathodes!P135/2000</f>
        <v>7.65293574645491E-2</v>
      </c>
      <c r="CA31" s="349">
        <f ca="1">Other_Cathodes!V135/2000</f>
        <v>2.6507404715158816E-2</v>
      </c>
      <c r="CB31" s="349">
        <f ca="1">Other_Cathodes!U135/2000</f>
        <v>0.22289612489214519</v>
      </c>
      <c r="CC31" s="349">
        <f ca="1">Other_Cathodes!S135/2000</f>
        <v>0.17137479962287064</v>
      </c>
      <c r="CD31" s="349">
        <f ca="1">Other_Cathodes!AB135/2000</f>
        <v>0.65998098331728172</v>
      </c>
      <c r="CE31" s="348">
        <f>Battery_Materials!K105</f>
        <v>5.3024414381888749E-2</v>
      </c>
      <c r="CF31" s="494">
        <f ca="1">Anode!C97</f>
        <v>4.5725397233105598E-2</v>
      </c>
      <c r="CG31" s="494">
        <f>Battery_Materials!C105</f>
        <v>2.372708738523337E-2</v>
      </c>
      <c r="CH31" s="347"/>
      <c r="CI31" s="347">
        <f>Battery_Materials!E105</f>
        <v>9.1230608728394322E-2</v>
      </c>
      <c r="CJ31" s="349">
        <f>Battery_Materials!G105</f>
        <v>2.4983279281510428E-3</v>
      </c>
      <c r="CK31" s="348">
        <f>Battery_Materials!I105</f>
        <v>9.5213200257746392E-3</v>
      </c>
      <c r="CL31" s="494">
        <f>Battery_Materials!M105</f>
        <v>0.23817388575870763</v>
      </c>
      <c r="CM31" s="494">
        <f>Vehi_Fluids!J88</f>
        <v>5.76309813631431E-3</v>
      </c>
      <c r="CN31" s="494">
        <f ca="1">Silicon!C88</f>
        <v>2.0161888744424958</v>
      </c>
      <c r="CO31" s="494">
        <f ca="1">Silicon!E88</f>
        <v>0.50591072303048146</v>
      </c>
      <c r="CP31" s="494">
        <f xml:space="preserve"> Molybdenum!G83</f>
        <v>6.0720711506142375E-2</v>
      </c>
      <c r="CQ31" s="2637">
        <f xml:space="preserve"> Vehi_Plastics!BB121</f>
        <v>4.0789702464729434</v>
      </c>
    </row>
    <row r="32" spans="1:107" s="64" customFormat="1">
      <c r="A32" s="291" t="s">
        <v>831</v>
      </c>
      <c r="B32" s="246">
        <f ca="1">Steel!V125</f>
        <v>1280.1016166648135</v>
      </c>
      <c r="C32" s="246">
        <f ca="1">Steel!F159</f>
        <v>288.97517881839372</v>
      </c>
      <c r="D32" s="246">
        <f t="shared" ca="1" si="6"/>
        <v>1018.4442370733586</v>
      </c>
      <c r="E32" s="247">
        <f ca="1">Steel!F227</f>
        <v>355.65179337278255</v>
      </c>
      <c r="F32" s="247">
        <f ca="1">'C.Iron'!K79</f>
        <v>354.61743365112028</v>
      </c>
      <c r="G32" s="246">
        <f ca="1">W.Al!V145</f>
        <v>3210.6555844341406</v>
      </c>
      <c r="H32" s="246">
        <f ca="1">W.Al!S183</f>
        <v>666.73419962404557</v>
      </c>
      <c r="I32" s="247">
        <f t="shared" ca="1" si="7"/>
        <v>2930.8242321050302</v>
      </c>
      <c r="J32" s="246">
        <f ca="1">'C.Al'!J134</f>
        <v>3569.315559192627</v>
      </c>
      <c r="K32" s="246">
        <f ca="1">'C.Al'!G170</f>
        <v>765.94989995737274</v>
      </c>
      <c r="L32" s="247">
        <f t="shared" ca="1" si="8"/>
        <v>1186.454748842661</v>
      </c>
      <c r="M32" s="251">
        <f ca="1">Lead!F77</f>
        <v>223.25819890901212</v>
      </c>
      <c r="N32" s="246">
        <f>Lead!H77</f>
        <v>210.3155416447334</v>
      </c>
      <c r="O32" s="516">
        <f t="shared" ca="1" si="9"/>
        <v>213.81005910608866</v>
      </c>
      <c r="P32" s="251">
        <f ca="1">Nickel!R155</f>
        <v>6633.1849755393359</v>
      </c>
      <c r="Q32" s="246">
        <f>Nickel!T155</f>
        <v>624.24933255660324</v>
      </c>
      <c r="R32" s="349">
        <f ca="1">$B$9*SUM(Nickel!B155:D155)/2000</f>
        <v>2899.6592252619089</v>
      </c>
      <c r="S32" s="349">
        <f ca="1">$B$9*Nickel!E155/2000</f>
        <v>814.92436104011995</v>
      </c>
      <c r="T32" s="349">
        <f>$C$9*Nickel!F155/2000</f>
        <v>274.66970632490541</v>
      </c>
      <c r="U32" s="516">
        <f t="shared" ca="1" si="10"/>
        <v>3989.2532926269337</v>
      </c>
      <c r="V32" s="251">
        <f ca="1">Nickel!AF155</f>
        <v>4417.9867284499178</v>
      </c>
      <c r="W32" s="246">
        <f>Nickel!AH155</f>
        <v>96.270248275740826</v>
      </c>
      <c r="X32" s="516">
        <f t="shared" ca="1" si="1"/>
        <v>2516.4314771732802</v>
      </c>
      <c r="Y32" s="969">
        <f ca="1">Nickel!V155</f>
        <v>6633.1849755393359</v>
      </c>
      <c r="Z32" s="253">
        <f ca="1">Cobalt!N103</f>
        <v>7460.8665606671375</v>
      </c>
      <c r="AA32" s="253">
        <f ca="1">Cobalt!J103</f>
        <v>3434.4711575322308</v>
      </c>
      <c r="AB32" s="494">
        <f ca="1">SUM(Cobalt!B103:C103)/2000</f>
        <v>1641.3086927492668</v>
      </c>
      <c r="AC32" s="494">
        <f ca="1">SUM(Cobalt!D103,Cobalt!F103)/2000</f>
        <v>7088.8406425985795</v>
      </c>
      <c r="AD32" s="253">
        <f ca="1">Cobalt!P103</f>
        <v>8730.1493353478454</v>
      </c>
      <c r="AE32" s="348">
        <f>Copper!M80</f>
        <v>95.185424966639403</v>
      </c>
      <c r="AF32" s="348">
        <f>Copper!N80</f>
        <v>1121.7412325574517</v>
      </c>
      <c r="AG32" s="516">
        <f>Copper!L80</f>
        <v>1216.9266575240906</v>
      </c>
      <c r="AH32" s="516">
        <f>Zinc!F89</f>
        <v>1076.0328409028227</v>
      </c>
      <c r="AI32" s="246">
        <f ca="1">Magnesium!H87</f>
        <v>7328.6449576680607</v>
      </c>
      <c r="AJ32" s="246">
        <f>Magnesium!J87</f>
        <v>401.810258264906</v>
      </c>
      <c r="AK32" s="247">
        <f t="shared" ca="1" si="11"/>
        <v>3719.7640792790166</v>
      </c>
      <c r="AL32" s="516">
        <f>GREET1_Import_Export!G511/2000</f>
        <v>18.583486952130212</v>
      </c>
      <c r="AM32" s="517">
        <f>Glass!K88</f>
        <v>717.90662851718344</v>
      </c>
      <c r="AN32" s="516">
        <f>Glass!Q88</f>
        <v>754.81193886846393</v>
      </c>
      <c r="AO32" s="251">
        <f>Vehi_Plastics!AV122</f>
        <v>858.26234490018828</v>
      </c>
      <c r="AP32" s="247">
        <f>Vehi_Plastics!BH122</f>
        <v>1087.400812856637</v>
      </c>
      <c r="AQ32" s="246">
        <f>Vehi_Plastics!BJ122</f>
        <v>698.28961388485868</v>
      </c>
      <c r="AR32" s="246">
        <f>Vehi_Plastics!BR122</f>
        <v>1337.2216339701936</v>
      </c>
      <c r="AS32" s="246">
        <f>Vehi_Plastics!BZ122</f>
        <v>1885.7502127302798</v>
      </c>
      <c r="AT32" s="246">
        <f>Vehi_Plastics!CB122</f>
        <v>5001.6757358830173</v>
      </c>
      <c r="AU32" s="247">
        <f>Vehi_Plastics!CD122</f>
        <v>7322.6171579416796</v>
      </c>
      <c r="AV32" s="253">
        <f>Rubber!J82</f>
        <v>1624.3105943422891</v>
      </c>
      <c r="AW32" s="253">
        <f>Platinum!O86</f>
        <v>54365.212757435271</v>
      </c>
      <c r="AX32" s="253">
        <f>Vanadium!F76</f>
        <v>0</v>
      </c>
      <c r="AY32" s="253">
        <f>Zirconium!F76</f>
        <v>5287.3242714519183</v>
      </c>
      <c r="AZ32" s="253">
        <f>Titanium!F73</f>
        <v>0</v>
      </c>
      <c r="BA32" s="253">
        <f>Chromium!F73</f>
        <v>0</v>
      </c>
      <c r="BB32" s="253">
        <f>'Rare Earth'!F73</f>
        <v>6667.1834222618591</v>
      </c>
      <c r="BC32" s="494">
        <f>Manganese!H90/2000</f>
        <v>601.27320736142963</v>
      </c>
      <c r="BD32" s="253">
        <f>Manganese!E90</f>
        <v>3673.6428425760705</v>
      </c>
      <c r="BE32" s="253">
        <f t="shared" si="12"/>
        <v>754.81193886846393</v>
      </c>
      <c r="BF32" s="251">
        <f>Vehi_Plastics!W122/2000</f>
        <v>7835.5223613804374</v>
      </c>
      <c r="BG32" s="516">
        <f t="shared" si="2"/>
        <v>27424.328264831529</v>
      </c>
      <c r="BH32" s="251">
        <f>'FC Materials'!C73</f>
        <v>537.32553653400919</v>
      </c>
      <c r="BI32" s="246">
        <f>'FC Materials'!E73</f>
        <v>525.35930155487529</v>
      </c>
      <c r="BJ32" s="516">
        <f>'FC Materials'!G73</f>
        <v>3374.0730036093478</v>
      </c>
      <c r="BK32" s="251">
        <f>LiMn2O4!L107/2000</f>
        <v>1439.1776171310441</v>
      </c>
      <c r="BL32" s="246">
        <f ca="1">Other_Cathodes!E136/2000</f>
        <v>8955.4887498329681</v>
      </c>
      <c r="BM32" s="349">
        <f ca="1">Other_Cathodes!$G$16*Other_Cathodes!$F$9*(Nickel!$B$57*Nickel!$F$80*Nickel!B155+Nickel!$C$57*Nickel!H155)/2000</f>
        <v>373.83244777820369</v>
      </c>
      <c r="BN32" s="349">
        <f ca="1">Other_Cathodes!$G$16*Other_Cathodes!$F$9*(Nickel!AC155)/2000-BM32</f>
        <v>1597.0422873207422</v>
      </c>
      <c r="BO32" s="349">
        <f>Other_Cathodes!$G$16*Other_Cathodes!$F$11*Other_Cathodes!$B$7*Other_Cathodes!C169/2000</f>
        <v>114.20409347368043</v>
      </c>
      <c r="BP32" s="349">
        <f ca="1">Other_Cathodes!$G$16*Other_Cathodes!$F$10*Cobalt!$C$18*Cobalt!B103/2000</f>
        <v>201.66690497932916</v>
      </c>
      <c r="BQ32" s="349">
        <f ca="1">Other_Cathodes!$G$16*Other_Cathodes!$F$10*Cobalt!G103/2000-Mat_Sum!BP32</f>
        <v>1339.250127379124</v>
      </c>
      <c r="BR32" s="349">
        <f>Other_Cathodes!$G$26*Li_Chemicals!V124/2000</f>
        <v>2071.3082503625201</v>
      </c>
      <c r="BS32" s="349">
        <f t="shared" ca="1" si="3"/>
        <v>3426.1004040996959</v>
      </c>
      <c r="BT32" s="246">
        <f ca="1">(Other_Cathodes!G136*'Battery Recycling'!$F$38+'Battery Recycling'!$E$38*'Battery Recycling'!K151)/2000</f>
        <v>9123.4045153932948</v>
      </c>
      <c r="BU32" s="246">
        <f ca="1">Other_Cathodes!I136/2000</f>
        <v>9549.4935344507812</v>
      </c>
      <c r="BV32" s="246">
        <f ca="1">Other_Cathodes!K136/2000</f>
        <v>9975.8107687540505</v>
      </c>
      <c r="BW32" s="246">
        <f ca="1">Other_Cathodes!M136/2000</f>
        <v>11228.557550188727</v>
      </c>
      <c r="BX32" s="246">
        <f ca="1">Other_Cathodes!O136/2000</f>
        <v>6948.1539363268466</v>
      </c>
      <c r="BY32" s="246">
        <f ca="1">Other_Cathodes!R136/2000</f>
        <v>6136.4307162454033</v>
      </c>
      <c r="BZ32" s="246">
        <f ca="1">Other_Cathodes!P136/2000</f>
        <v>4018.2487655084574</v>
      </c>
      <c r="CA32" s="246">
        <f ca="1">Other_Cathodes!V136/2000</f>
        <v>2017.3618460578673</v>
      </c>
      <c r="CB32" s="246">
        <f ca="1">Other_Cathodes!U136/2000</f>
        <v>10163.405422403568</v>
      </c>
      <c r="CC32" s="246">
        <f ca="1">Other_Cathodes!S136/2000</f>
        <v>8954.8685554151089</v>
      </c>
      <c r="CD32" s="246">
        <f ca="1">Other_Cathodes!AB136/2000</f>
        <v>11852.218678643325</v>
      </c>
      <c r="CE32" s="247">
        <f>Battery_Materials!K106</f>
        <v>2016.8888449490591</v>
      </c>
      <c r="CF32" s="253">
        <f ca="1">Anode!C98</f>
        <v>2090.2833243307423</v>
      </c>
      <c r="CG32" s="253">
        <f>Battery_Materials!C106</f>
        <v>916.583087766733</v>
      </c>
      <c r="CH32" s="251"/>
      <c r="CI32" s="251">
        <f>Battery_Materials!E106</f>
        <v>4424.1039074252258</v>
      </c>
      <c r="CJ32" s="246">
        <f>Battery_Materials!G106</f>
        <v>151.16475679219838</v>
      </c>
      <c r="CK32" s="247">
        <f>Battery_Materials!I106</f>
        <v>561.04981481717243</v>
      </c>
      <c r="CL32" s="253">
        <f>Battery_Materials!M106</f>
        <v>9911.2320552384281</v>
      </c>
      <c r="CM32" s="253">
        <f>Vehi_Fluids!J89</f>
        <v>240.41437713165016</v>
      </c>
      <c r="CN32" s="253">
        <f ca="1">Silicon!C89</f>
        <v>81033.291109689482</v>
      </c>
      <c r="CO32" s="253">
        <f ca="1">Silicon!E89</f>
        <v>17787.937756564039</v>
      </c>
      <c r="CP32" s="630">
        <f xml:space="preserve"> Molybdenum!G84</f>
        <v>10774.258489173706</v>
      </c>
      <c r="CQ32" s="2637">
        <f xml:space="preserve"> Vehi_Plastics!BB122</f>
        <v>2956.7284017789757</v>
      </c>
    </row>
    <row r="33" spans="1:107" s="64" customFormat="1">
      <c r="A33" s="291" t="s">
        <v>850</v>
      </c>
      <c r="B33" s="246">
        <f ca="1">Steel!V126</f>
        <v>1302.1698862517444</v>
      </c>
      <c r="C33" s="246">
        <f ca="1">Steel!F160</f>
        <v>292.05308705610679</v>
      </c>
      <c r="D33" s="246">
        <f t="shared" ca="1" si="6"/>
        <v>1035.4990512640961</v>
      </c>
      <c r="E33" s="247">
        <f ca="1">Steel!F228</f>
        <v>360.28540261712141</v>
      </c>
      <c r="F33" s="247">
        <f ca="1">'C.Iron'!K80</f>
        <v>357.96823003563003</v>
      </c>
      <c r="G33" s="246">
        <f ca="1">W.Al!V146</f>
        <v>3214.2413197504175</v>
      </c>
      <c r="H33" s="246">
        <f ca="1">W.Al!S184</f>
        <v>668.22273015956864</v>
      </c>
      <c r="I33" s="247">
        <f t="shared" ca="1" si="7"/>
        <v>2934.179274895424</v>
      </c>
      <c r="J33" s="246">
        <f ca="1">'C.Al'!J135</f>
        <v>3572.8624488620871</v>
      </c>
      <c r="K33" s="246">
        <f ca="1">'C.Al'!G171</f>
        <v>767.18569939509257</v>
      </c>
      <c r="L33" s="247">
        <f t="shared" ca="1" si="8"/>
        <v>1188.0372118151417</v>
      </c>
      <c r="M33" s="251">
        <f ca="1">Lead!F78</f>
        <v>225.83095788992145</v>
      </c>
      <c r="N33" s="246">
        <f>Lead!H78</f>
        <v>210.4499521831336</v>
      </c>
      <c r="O33" s="516">
        <f t="shared" ca="1" si="9"/>
        <v>214.60282372396634</v>
      </c>
      <c r="P33" s="251">
        <f ca="1">Nickel!R156</f>
        <v>6649.8563097587657</v>
      </c>
      <c r="Q33" s="246">
        <f>Nickel!T156</f>
        <v>625.82010563973176</v>
      </c>
      <c r="R33" s="349">
        <f ca="1">$B$9*SUM(Nickel!B156:D156)/2000</f>
        <v>2906.7471491418623</v>
      </c>
      <c r="S33" s="349">
        <f ca="1">$B$9*Nickel!E156/2000</f>
        <v>817.17238432304703</v>
      </c>
      <c r="T33" s="349">
        <f>$C$9*Nickel!F156/2000</f>
        <v>275.36084648148193</v>
      </c>
      <c r="U33" s="516">
        <f t="shared" ca="1" si="10"/>
        <v>3999.2803799463913</v>
      </c>
      <c r="V33" s="251">
        <f ca="1">Nickel!AF156</f>
        <v>4428.820438382606</v>
      </c>
      <c r="W33" s="246">
        <f>Nickel!AH156</f>
        <v>96.512489167017904</v>
      </c>
      <c r="X33" s="516">
        <f ca="1">V33*$B$9+W33*$C$9</f>
        <v>2522.6049407277474</v>
      </c>
      <c r="Y33" s="969">
        <f ca="1">Nickel!V156</f>
        <v>6649.8563097587657</v>
      </c>
      <c r="Z33" s="253">
        <f ca="1">Cobalt!N104</f>
        <v>7476.1085621296843</v>
      </c>
      <c r="AA33" s="253">
        <f ca="1">Cobalt!J104</f>
        <v>3440.4286621731112</v>
      </c>
      <c r="AB33" s="494">
        <f ca="1">SUM(Cobalt!B104:C104)/2000</f>
        <v>1645.19221635553</v>
      </c>
      <c r="AC33" s="494">
        <f ca="1">SUM(Cobalt!D104,Cobalt!F104)/2000</f>
        <v>7098.7095618117492</v>
      </c>
      <c r="AD33" s="253">
        <f ca="1">Cobalt!P104</f>
        <v>8743.9017781672792</v>
      </c>
      <c r="AE33" s="348">
        <f>Copper!M81</f>
        <v>95.369662063115499</v>
      </c>
      <c r="AF33" s="348">
        <f>Copper!N81</f>
        <v>1123.527552704121</v>
      </c>
      <c r="AG33" s="516">
        <f>Copper!L81</f>
        <v>1218.8972147672362</v>
      </c>
      <c r="AH33" s="516">
        <f>Zinc!F90</f>
        <v>1077.0813053587747</v>
      </c>
      <c r="AI33" s="246">
        <f ca="1">Magnesium!H88</f>
        <v>7337.8274138756142</v>
      </c>
      <c r="AJ33" s="246">
        <f>Magnesium!J88</f>
        <v>402.37552000401274</v>
      </c>
      <c r="AK33" s="247">
        <f t="shared" ca="1" si="11"/>
        <v>3724.4569771685096</v>
      </c>
      <c r="AL33" s="516">
        <f>AL32+AL22*GREET1_Import_Export!$B$62/GREET1_Import_Export!$B$65+AL23*GREET1_Import_Export!$B$63/GREET1_Import_Export!$B$65</f>
        <v>18.637459808209872</v>
      </c>
      <c r="AM33" s="517">
        <f>Glass!K89</f>
        <v>718.92154003982068</v>
      </c>
      <c r="AN33" s="516">
        <f>Glass!Q89</f>
        <v>755.85951025571489</v>
      </c>
      <c r="AO33" s="251">
        <f>Vehi_Plastics!AV123</f>
        <v>863.97169459805571</v>
      </c>
      <c r="AP33" s="247">
        <f>Vehi_Plastics!BH123</f>
        <v>1100.4970384683338</v>
      </c>
      <c r="AQ33" s="246">
        <f>Vehi_Plastics!BJ123</f>
        <v>705.40875563666611</v>
      </c>
      <c r="AR33" s="246">
        <f>Vehi_Plastics!BR123</f>
        <v>1343.5748469908613</v>
      </c>
      <c r="AS33" s="246">
        <f>Vehi_Plastics!BZ123</f>
        <v>1888.7674203726501</v>
      </c>
      <c r="AT33" s="246">
        <f>Vehi_Plastics!CB123</f>
        <v>5012.3323442663932</v>
      </c>
      <c r="AU33" s="247">
        <f>Vehi_Plastics!CD123</f>
        <v>7339.4163827730645</v>
      </c>
      <c r="AV33" s="253">
        <f>Rubber!J83</f>
        <v>1634.7439261972743</v>
      </c>
      <c r="AW33" s="253">
        <f>Platinum!O87</f>
        <v>54401.60324270124</v>
      </c>
      <c r="AX33" s="253">
        <f>Vanadium!F77</f>
        <v>0</v>
      </c>
      <c r="AY33" s="253">
        <f>Zirconium!F77</f>
        <v>5295.261507480589</v>
      </c>
      <c r="AZ33" s="253">
        <f>Titanium!F74</f>
        <v>0</v>
      </c>
      <c r="BA33" s="253">
        <f>Chromium!F74</f>
        <v>0</v>
      </c>
      <c r="BB33" s="253">
        <f>'Rare Earth'!F74</f>
        <v>6672.9309564467976</v>
      </c>
      <c r="BC33" s="494">
        <f>Manganese!H91/2000</f>
        <v>602.02901243843894</v>
      </c>
      <c r="BD33" s="253">
        <f>Manganese!E91</f>
        <v>3678.6171102988419</v>
      </c>
      <c r="BE33" s="253">
        <f t="shared" si="12"/>
        <v>755.85951025571489</v>
      </c>
      <c r="BF33" s="251">
        <f>Vehi_Plastics!W123/2000</f>
        <v>7854.4256134969628</v>
      </c>
      <c r="BG33" s="516">
        <f>BF33*3.5</f>
        <v>27490.48964723937</v>
      </c>
      <c r="BH33" s="251">
        <f>'FC Materials'!C74</f>
        <v>538.03220183369797</v>
      </c>
      <c r="BI33" s="246">
        <f>'FC Materials'!E74</f>
        <v>526.05113929703975</v>
      </c>
      <c r="BJ33" s="516">
        <f>'FC Materials'!G74</f>
        <v>3378.5074846556372</v>
      </c>
      <c r="BK33" s="251">
        <f>LiMn2O4!L108/2000</f>
        <v>1444.0743457214269</v>
      </c>
      <c r="BL33" s="246">
        <f ca="1">Other_Cathodes!E137/2000</f>
        <v>8971.983374353782</v>
      </c>
      <c r="BM33" s="349">
        <f ca="1">Other_Cathodes!$G$16*Other_Cathodes!$F$9*(Nickel!$B$57*Nickel!$F$80*Nickel!B156+Nickel!$C$57*Nickel!H156)/2000</f>
        <v>374.43982329269045</v>
      </c>
      <c r="BN33" s="349">
        <f ca="1">Other_Cathodes!$G$16*Other_Cathodes!$F$9*(Nickel!AC156)/2000-BM33</f>
        <v>1601.6229643040983</v>
      </c>
      <c r="BO33" s="349">
        <f>Other_Cathodes!$G$16*Other_Cathodes!$F$11*Other_Cathodes!$B$7*Other_Cathodes!C170/2000</f>
        <v>0</v>
      </c>
      <c r="BP33" s="349">
        <f ca="1">Other_Cathodes!$G$16*Other_Cathodes!$F$10*Cobalt!$C$18*Cobalt!B104/2000</f>
        <v>202.21868588495687</v>
      </c>
      <c r="BQ33" s="349">
        <f ca="1">Other_Cathodes!$G$16*Other_Cathodes!$F$10*Cobalt!G104/2000-Mat_Sum!BP33</f>
        <v>1341.3712529998343</v>
      </c>
      <c r="BR33" s="349">
        <f>Other_Cathodes!$G$26*Li_Chemicals!V125/2000</f>
        <v>2074.8084382029397</v>
      </c>
      <c r="BS33" s="349">
        <f t="shared" ca="1" si="3"/>
        <v>3545.403973047215</v>
      </c>
      <c r="BT33" s="246">
        <f ca="1">(Other_Cathodes!G137*'Battery Recycling'!$F$38+'Battery Recycling'!$E$38*'Battery Recycling'!K152)/2000</f>
        <v>9139.8651377317346</v>
      </c>
      <c r="BU33" s="246">
        <f ca="1">Other_Cathodes!I137/2000</f>
        <v>9567.6565469866709</v>
      </c>
      <c r="BV33" s="246">
        <f ca="1">Other_Cathodes!K137/2000</f>
        <v>9995.2187240433595</v>
      </c>
      <c r="BW33" s="246">
        <f ca="1">Other_Cathodes!M137/2000</f>
        <v>11250.791786084235</v>
      </c>
      <c r="BX33" s="246">
        <f ca="1">Other_Cathodes!O137/2000</f>
        <v>6958.3003339287907</v>
      </c>
      <c r="BY33" s="246">
        <f ca="1">Other_Cathodes!R137/2000</f>
        <v>6150.52228207797</v>
      </c>
      <c r="BZ33" s="246">
        <f ca="1">Other_Cathodes!P137/2000</f>
        <v>4024.8923094210436</v>
      </c>
      <c r="CA33" s="246">
        <f ca="1">Other_Cathodes!V137/2000</f>
        <v>2022.5942378412685</v>
      </c>
      <c r="CB33" s="246">
        <f ca="1">Other_Cathodes!U137/2000</f>
        <v>10179.61631153606</v>
      </c>
      <c r="CC33" s="246">
        <f ca="1">Other_Cathodes!S137/2000</f>
        <v>8970.9353928561522</v>
      </c>
      <c r="CD33" s="246">
        <f ca="1">Other_Cathodes!AB137/2000</f>
        <v>11878.343080902552</v>
      </c>
      <c r="CE33" s="247">
        <f>Battery_Materials!K107</f>
        <v>2022.5718025641854</v>
      </c>
      <c r="CF33" s="253">
        <f ca="1">Anode!C99</f>
        <v>2092.8544424155361</v>
      </c>
      <c r="CG33" s="253">
        <f>Battery_Materials!C107</f>
        <v>917.78248446743362</v>
      </c>
      <c r="CH33" s="251"/>
      <c r="CI33" s="251">
        <f>Battery_Materials!E107</f>
        <v>4428.1401376830017</v>
      </c>
      <c r="CJ33" s="246">
        <f>Battery_Materials!G107</f>
        <v>151.51489131454159</v>
      </c>
      <c r="CK33" s="247">
        <f>Battery_Materials!I107</f>
        <v>562.34639879812801</v>
      </c>
      <c r="CL33" s="253">
        <f>Battery_Materials!M107</f>
        <v>9922.6134537115104</v>
      </c>
      <c r="CM33" s="253">
        <f>Vehi_Fluids!J90</f>
        <v>241.24674685997982</v>
      </c>
      <c r="CN33" s="253">
        <f ca="1">Silicon!C90</f>
        <v>81117.74547354276</v>
      </c>
      <c r="CO33" s="253">
        <f ca="1">Silicon!E90</f>
        <v>17809.04348757078</v>
      </c>
      <c r="CP33" s="630">
        <f xml:space="preserve"> Molybdenum!G85</f>
        <v>10810.24865281422</v>
      </c>
      <c r="CQ33" s="2637">
        <f xml:space="preserve"> Vehi_Plastics!BB123</f>
        <v>2965.0005793833434</v>
      </c>
    </row>
    <row r="34" spans="1:107" s="64" customFormat="1">
      <c r="A34" s="292" t="s">
        <v>851</v>
      </c>
      <c r="B34" s="246">
        <f ca="1">Steel!V127</f>
        <v>1371.9723299665504</v>
      </c>
      <c r="C34" s="246">
        <f ca="1">Steel!F161</f>
        <v>315.39081907876385</v>
      </c>
      <c r="D34" s="246">
        <f t="shared" ca="1" si="6"/>
        <v>1093.0348110921748</v>
      </c>
      <c r="E34" s="247">
        <f ca="1">Steel!F229</f>
        <v>388.33426359784727</v>
      </c>
      <c r="F34" s="247">
        <f ca="1">'C.Iron'!K81</f>
        <v>417.29598215149917</v>
      </c>
      <c r="G34" s="246">
        <f ca="1">W.Al!V147</f>
        <v>3695.0995321651872</v>
      </c>
      <c r="H34" s="246">
        <f ca="1">W.Al!S185</f>
        <v>747.80103618459441</v>
      </c>
      <c r="I34" s="247">
        <f t="shared" ca="1" si="7"/>
        <v>3370.896697607322</v>
      </c>
      <c r="J34" s="246">
        <f ca="1">'C.Al'!J136</f>
        <v>4107.0247460305955</v>
      </c>
      <c r="K34" s="246">
        <f ca="1">'C.Al'!G172</f>
        <v>859.1431721412763</v>
      </c>
      <c r="L34" s="247">
        <f t="shared" ca="1" si="8"/>
        <v>1346.325408224674</v>
      </c>
      <c r="M34" s="251">
        <f ca="1">Lead!F79</f>
        <v>321.42602681771086</v>
      </c>
      <c r="N34" s="246">
        <f>Lead!H79</f>
        <v>220.19393739284266</v>
      </c>
      <c r="O34" s="516">
        <f t="shared" ca="1" si="9"/>
        <v>247.52660153755707</v>
      </c>
      <c r="P34" s="251">
        <f ca="1">Nickel!R157</f>
        <v>7229.8679932846226</v>
      </c>
      <c r="Q34" s="246">
        <f>Nickel!T157</f>
        <v>678.4611248877477</v>
      </c>
      <c r="R34" s="349">
        <f ca="1">$B$9*SUM(Nickel!B157:D157)/2000</f>
        <v>3164.2029017987679</v>
      </c>
      <c r="S34" s="349">
        <f ca="1">$B$9*Nickel!E157/2000</f>
        <v>884.52317444062044</v>
      </c>
      <c r="T34" s="349">
        <f>$C$9*Nickel!F157/2000</f>
        <v>298.52289495060893</v>
      </c>
      <c r="U34" s="516">
        <f t="shared" ca="1" si="10"/>
        <v>4347.248971189998</v>
      </c>
      <c r="V34" s="251">
        <f ca="1">Nickel!AF157</f>
        <v>4815.1615233152252</v>
      </c>
      <c r="W34" s="246">
        <f>Nickel!AH157</f>
        <v>104.63066203192045</v>
      </c>
      <c r="X34" s="516">
        <f ca="1">V34*$B$9+W34*$C$9</f>
        <v>2742.5279443505715</v>
      </c>
      <c r="Y34" s="969">
        <f ca="1">Nickel!V157</f>
        <v>7229.8679932846226</v>
      </c>
      <c r="Z34" s="253">
        <f ca="1">Cobalt!N105</f>
        <v>8042.4701221023797</v>
      </c>
      <c r="AA34" s="253">
        <f ca="1">Cobalt!J105</f>
        <v>3697.4137317427412</v>
      </c>
      <c r="AB34" s="494">
        <f ca="1">SUM(Cobalt!B105:C105)/2000</f>
        <v>1731.3892801387083</v>
      </c>
      <c r="AC34" s="494">
        <f ca="1">SUM(Cobalt!D105,Cobalt!F105)/2000</f>
        <v>7643.3967065951938</v>
      </c>
      <c r="AD34" s="253">
        <f ca="1">Cobalt!P105</f>
        <v>9374.7859867339012</v>
      </c>
      <c r="AE34" s="348">
        <f>Copper!M82</f>
        <v>100.93183798510783</v>
      </c>
      <c r="AF34" s="348">
        <f>Copper!N82</f>
        <v>1203.5851704320435</v>
      </c>
      <c r="AG34" s="516">
        <f>Copper!L82</f>
        <v>1304.5170084171511</v>
      </c>
      <c r="AH34" s="516">
        <f>Zinc!F91</f>
        <v>1155.6262455645244</v>
      </c>
      <c r="AI34" s="246">
        <f ca="1">Magnesium!H89</f>
        <v>16525.621601697738</v>
      </c>
      <c r="AJ34" s="246">
        <f>Magnesium!J89</f>
        <v>11014.280511818453</v>
      </c>
      <c r="AK34" s="247">
        <f t="shared" ca="1" si="11"/>
        <v>13654.21289387063</v>
      </c>
      <c r="AL34" s="1553">
        <f>AL33+SUMPRODUCT(AL30:AL31,GREET1_Import_Export!$B$51:$B$52)+SUMPRODUCT(AL22:AL24,GREET1_Import_Export!$B$55:$B$57)+SUMPRODUCT(AL28:AL29,GREET1_Import_Export!$B$58:$B$59)</f>
        <v>19.619335960426803</v>
      </c>
      <c r="AM34" s="517">
        <f>Glass!K90</f>
        <v>775.24590811988639</v>
      </c>
      <c r="AN34" s="516">
        <f>Glass!Q90</f>
        <v>817.6729662234967</v>
      </c>
      <c r="AO34" s="251">
        <f>Vehi_Plastics!AV124</f>
        <v>1183.4713851076708</v>
      </c>
      <c r="AP34" s="247">
        <f>Vehi_Plastics!BH124</f>
        <v>1320.1761152469371</v>
      </c>
      <c r="AQ34" s="246">
        <f>Vehi_Plastics!BJ124</f>
        <v>997.53763789953393</v>
      </c>
      <c r="AR34" s="246">
        <f>Vehi_Plastics!BR124</f>
        <v>1655.0354775945093</v>
      </c>
      <c r="AS34" s="246">
        <f>Vehi_Plastics!BZ124</f>
        <v>2089.449970273854</v>
      </c>
      <c r="AT34" s="246">
        <f>Vehi_Plastics!CB124</f>
        <v>5531.5922612547283</v>
      </c>
      <c r="AU34" s="247">
        <f>Vehi_Plastics!CD124</f>
        <v>8037.7355527108548</v>
      </c>
      <c r="AV34" s="253">
        <f>Rubber!J84</f>
        <v>1749.4446465287378</v>
      </c>
      <c r="AW34" s="253">
        <f>Platinum!O88</f>
        <v>57303.612392634721</v>
      </c>
      <c r="AX34" s="253">
        <f>Vanadium!F78</f>
        <v>0</v>
      </c>
      <c r="AY34" s="253">
        <f>Zirconium!F78</f>
        <v>5797.7253584017444</v>
      </c>
      <c r="AZ34" s="253">
        <f>Titanium!F75</f>
        <v>0</v>
      </c>
      <c r="BA34" s="253">
        <f>Chromium!F75</f>
        <v>0</v>
      </c>
      <c r="BB34" s="253">
        <f>'Rare Earth'!F75</f>
        <v>7161.8818057406743</v>
      </c>
      <c r="BC34" s="494">
        <f>Manganese!H92/2000</f>
        <v>642.82811051928343</v>
      </c>
      <c r="BD34" s="253">
        <f>Manganese!E92</f>
        <v>3924.3940656748346</v>
      </c>
      <c r="BE34" s="253">
        <f t="shared" si="12"/>
        <v>817.6729662234967</v>
      </c>
      <c r="BF34" s="251">
        <f>Vehi_Plastics!W124/2000</f>
        <v>8579.0679246937962</v>
      </c>
      <c r="BG34" s="516">
        <f>BF34*3.5</f>
        <v>30026.737736428287</v>
      </c>
      <c r="BH34" s="251">
        <f>'FC Materials'!C75</f>
        <v>585.67960768965213</v>
      </c>
      <c r="BI34" s="246">
        <f>'FC Materials'!E75</f>
        <v>572.69878663714837</v>
      </c>
      <c r="BJ34" s="516">
        <f>'FC Materials'!G75</f>
        <v>3606.0559859696182</v>
      </c>
      <c r="BK34" s="251">
        <f>LiMn2O4!L109/2000</f>
        <v>1536.9723594979582</v>
      </c>
      <c r="BL34" s="246">
        <f ca="1">Other_Cathodes!E138/2000</f>
        <v>9634.5003989665111</v>
      </c>
      <c r="BM34" s="349">
        <f ca="1">Other_Cathodes!$G$16*Other_Cathodes!$F$9*(Nickel!$B$57*Nickel!$F$80*Nickel!B157+Nickel!$C$57*Nickel!H157)/2000</f>
        <v>409.37320262413277</v>
      </c>
      <c r="BN34" s="349">
        <f ca="1">Other_Cathodes!$G$16*Other_Cathodes!$F$9*(Nickel!AC157)/2000-BM34</f>
        <v>1733.0026162560403</v>
      </c>
      <c r="BO34" s="349">
        <f>Other_Cathodes!$G$16*Other_Cathodes!$F$11*Other_Cathodes!$B$7*Other_Cathodes!C171/2000</f>
        <v>1.2365281796144524E-3</v>
      </c>
      <c r="BP34" s="349">
        <f ca="1">Other_Cathodes!$G$16*Other_Cathodes!$F$10*Cobalt!$C$18*Cobalt!B105/2000</f>
        <v>210.94770349715432</v>
      </c>
      <c r="BQ34" s="349">
        <f ca="1">Other_Cathodes!$G$16*Other_Cathodes!$F$10*Cobalt!G105/2000-Mat_Sum!BP34</f>
        <v>1447.9416956533612</v>
      </c>
      <c r="BR34" s="349">
        <f>Other_Cathodes!$G$26*Li_Chemicals!V126/2000</f>
        <v>2167.5423413372755</v>
      </c>
      <c r="BS34" s="349">
        <f t="shared" ca="1" si="3"/>
        <v>3843.7567109232323</v>
      </c>
      <c r="BT34" s="246">
        <f ca="1">(Other_Cathodes!G138*'Battery Recycling'!$F$38+'Battery Recycling'!$E$38*'Battery Recycling'!K153)/2000</f>
        <v>9812.5655068193755</v>
      </c>
      <c r="BU34" s="246">
        <f ca="1">Other_Cathodes!I138/2000</f>
        <v>10283.106042016325</v>
      </c>
      <c r="BV34" s="246">
        <f ca="1">Other_Cathodes!K138/2000</f>
        <v>10749.417225828964</v>
      </c>
      <c r="BW34" s="246">
        <f ca="1">Other_Cathodes!M138/2000</f>
        <v>12125.507928617049</v>
      </c>
      <c r="BX34" s="246">
        <f ca="1">Other_Cathodes!O138/2000</f>
        <v>7453.2084918176879</v>
      </c>
      <c r="BY34" s="246">
        <f ca="1">Other_Cathodes!R138/2000</f>
        <v>6527.0390307485504</v>
      </c>
      <c r="BZ34" s="246">
        <f ca="1">Other_Cathodes!P138/2000</f>
        <v>4298.8581980344688</v>
      </c>
      <c r="CA34" s="246">
        <f ca="1">Other_Cathodes!V138/2000</f>
        <v>2138.2328962309343</v>
      </c>
      <c r="CB34" s="246">
        <f ca="1">Other_Cathodes!U138/2000</f>
        <v>10933.663662950303</v>
      </c>
      <c r="CC34" s="246">
        <f ca="1">Other_Cathodes!S138/2000</f>
        <v>9576.5657903184547</v>
      </c>
      <c r="CD34" s="246">
        <f ca="1">Other_Cathodes!AB138/2000</f>
        <v>12808.647960314887</v>
      </c>
      <c r="CE34" s="247">
        <f>Battery_Materials!K108</f>
        <v>2261.1889458984406</v>
      </c>
      <c r="CF34" s="253">
        <f ca="1">Anode!C100</f>
        <v>2249.2689968514537</v>
      </c>
      <c r="CG34" s="253">
        <f>Battery_Materials!C108</f>
        <v>997.33167781710142</v>
      </c>
      <c r="CH34" s="251"/>
      <c r="CI34" s="251">
        <f>Battery_Materials!E108</f>
        <v>4749.7720654026907</v>
      </c>
      <c r="CJ34" s="246">
        <f>Battery_Materials!G108</f>
        <v>168.78940152329011</v>
      </c>
      <c r="CK34" s="247">
        <f>Battery_Materials!I108</f>
        <v>626.47171980149176</v>
      </c>
      <c r="CL34" s="253">
        <f>Battery_Materials!M108</f>
        <v>10745.884694604669</v>
      </c>
      <c r="CM34" s="253">
        <f>Vehi_Fluids!J91</f>
        <v>281.11868348400441</v>
      </c>
      <c r="CN34" s="253">
        <f ca="1">Silicon!C91</f>
        <v>87438.097406463989</v>
      </c>
      <c r="CO34" s="253">
        <f ca="1">Silicon!E91</f>
        <v>19262.221766683127</v>
      </c>
      <c r="CP34" s="756">
        <f xml:space="preserve"> Molybdenum!G86</f>
        <v>11259.000158419021</v>
      </c>
      <c r="CQ34" s="2639">
        <f xml:space="preserve"> Vehi_Plastics!BB124</f>
        <v>4326.1604970599783</v>
      </c>
    </row>
    <row r="35" spans="1:107" s="64" customFormat="1">
      <c r="A35" s="290" t="s">
        <v>1031</v>
      </c>
      <c r="B35" s="513"/>
      <c r="C35" s="513"/>
      <c r="D35" s="513"/>
      <c r="E35" s="514"/>
      <c r="F35" s="514"/>
      <c r="G35" s="513"/>
      <c r="H35" s="513"/>
      <c r="I35" s="514"/>
      <c r="J35" s="513"/>
      <c r="K35" s="513"/>
      <c r="L35" s="514"/>
      <c r="M35" s="515"/>
      <c r="N35" s="513"/>
      <c r="O35" s="509"/>
      <c r="P35" s="515"/>
      <c r="Q35" s="513"/>
      <c r="R35" s="349"/>
      <c r="S35" s="349"/>
      <c r="T35" s="349"/>
      <c r="U35" s="509"/>
      <c r="V35" s="515"/>
      <c r="W35" s="513"/>
      <c r="X35" s="509"/>
      <c r="Y35" s="1081"/>
      <c r="Z35" s="495"/>
      <c r="AA35" s="495"/>
      <c r="AB35" s="494"/>
      <c r="AC35" s="494"/>
      <c r="AD35" s="495"/>
      <c r="AE35" s="348"/>
      <c r="AF35" s="348"/>
      <c r="AG35" s="509"/>
      <c r="AH35" s="509"/>
      <c r="AI35" s="513"/>
      <c r="AJ35" s="513"/>
      <c r="AK35" s="514"/>
      <c r="AL35" s="509"/>
      <c r="AM35" s="510"/>
      <c r="AN35" s="509"/>
      <c r="AO35" s="515"/>
      <c r="AP35" s="514"/>
      <c r="AQ35" s="513"/>
      <c r="AR35" s="513"/>
      <c r="AS35" s="513"/>
      <c r="AT35" s="513"/>
      <c r="AU35" s="514"/>
      <c r="AV35" s="495"/>
      <c r="AW35" s="495"/>
      <c r="AX35" s="495"/>
      <c r="AY35" s="495"/>
      <c r="AZ35" s="495"/>
      <c r="BA35" s="495"/>
      <c r="BB35" s="495"/>
      <c r="BC35" s="495"/>
      <c r="BD35" s="495"/>
      <c r="BE35" s="495"/>
      <c r="BF35" s="515"/>
      <c r="BG35" s="509"/>
      <c r="BH35" s="515"/>
      <c r="BI35" s="513"/>
      <c r="BJ35" s="509"/>
      <c r="BK35" s="515"/>
      <c r="BL35" s="513"/>
      <c r="BM35" s="349"/>
      <c r="BN35" s="349"/>
      <c r="BO35" s="349"/>
      <c r="BP35" s="349"/>
      <c r="BQ35" s="349"/>
      <c r="BR35" s="349"/>
      <c r="BS35" s="349"/>
      <c r="BT35" s="513"/>
      <c r="BU35" s="513"/>
      <c r="BV35" s="513"/>
      <c r="BW35" s="513"/>
      <c r="BX35" s="513"/>
      <c r="BY35" s="513"/>
      <c r="BZ35" s="513"/>
      <c r="CA35" s="513"/>
      <c r="CB35" s="513"/>
      <c r="CC35" s="513"/>
      <c r="CD35" s="513"/>
      <c r="CE35" s="514"/>
      <c r="CF35" s="495"/>
      <c r="CG35" s="495"/>
      <c r="CH35" s="515"/>
      <c r="CI35" s="515"/>
      <c r="CJ35" s="513"/>
      <c r="CK35" s="514"/>
      <c r="CL35" s="495"/>
      <c r="CM35" s="495"/>
      <c r="CN35" s="495"/>
      <c r="CO35" s="495"/>
      <c r="CP35" s="511"/>
      <c r="CQ35" s="2638"/>
    </row>
    <row r="36" spans="1:107" s="64" customFormat="1">
      <c r="A36" s="291" t="s">
        <v>821</v>
      </c>
      <c r="B36" s="349">
        <f ca="1">Steel!V129</f>
        <v>2.4034379821180692E-3</v>
      </c>
      <c r="C36" s="349">
        <f ca="1">Steel!F163</f>
        <v>2.1794035166631631E-3</v>
      </c>
      <c r="D36" s="349">
        <f t="shared" ref="D36:D43" ca="1" si="13">B36*$B$5+C36*$C$5</f>
        <v>2.3442928832379741E-3</v>
      </c>
      <c r="E36" s="348">
        <f ca="1">Steel!F231</f>
        <v>2.6338072175117805E-3</v>
      </c>
      <c r="F36" s="494">
        <f ca="1">'C.Iron'!K83</f>
        <v>4.1653984858968946E-3</v>
      </c>
      <c r="G36" s="349">
        <f ca="1">W.Al!V149</f>
        <v>2.8042710177796314E-2</v>
      </c>
      <c r="H36" s="349">
        <f ca="1">W.Al!S187</f>
        <v>5.7983100058306451E-3</v>
      </c>
      <c r="I36" s="348">
        <f t="shared" ref="I36:I43" ca="1" si="14">G36*$B$6+H36*$C$6</f>
        <v>2.5595826158880092E-2</v>
      </c>
      <c r="J36" s="349">
        <f ca="1">'C.Al'!J138</f>
        <v>3.1237456104597071E-2</v>
      </c>
      <c r="K36" s="349">
        <f ca="1">'C.Al'!G174</f>
        <v>6.7244393405076789E-3</v>
      </c>
      <c r="L36" s="348">
        <f t="shared" ref="L36:L43" ca="1" si="15">J36*$B$7+K36*$C$7</f>
        <v>1.0401391855121088E-2</v>
      </c>
      <c r="M36" s="347">
        <f ca="1">Lead!F81</f>
        <v>2.1254328422998922E-3</v>
      </c>
      <c r="N36" s="349">
        <f>Lead!H81</f>
        <v>1.323121242996543E-4</v>
      </c>
      <c r="O36" s="348">
        <f t="shared" ref="O36:O43" ca="1" si="16">M36*$B$8+N36*$C$8</f>
        <v>6.7045471815971856E-4</v>
      </c>
      <c r="P36" s="347">
        <f ca="1">Nickel!R159</f>
        <v>6.7209039497554315E-2</v>
      </c>
      <c r="Q36" s="349">
        <f>Nickel!T159</f>
        <v>6.3878463811379268E-3</v>
      </c>
      <c r="R36" s="349">
        <f ca="1">$B$9*SUM(Nickel!B159:D159)/2000</f>
        <v>3.1396541135298064E-2</v>
      </c>
      <c r="S36" s="349">
        <f ca="1">$B$9*Nickel!E159/2000</f>
        <v>6.2405209833323568E-3</v>
      </c>
      <c r="T36" s="349">
        <f>$C$9*Nickel!F159/2000</f>
        <v>2.8106524077006877E-3</v>
      </c>
      <c r="U36" s="348">
        <f t="shared" ref="U36:U43" ca="1" si="17">P36*$B$9+Q36*$C$9</f>
        <v>4.0447714526331106E-2</v>
      </c>
      <c r="V36" s="347">
        <f ca="1">Nickel!AF159</f>
        <v>4.4306470199294908E-2</v>
      </c>
      <c r="W36" s="349">
        <f>Nickel!AH159</f>
        <v>9.8511848549502428E-4</v>
      </c>
      <c r="X36" s="348">
        <f t="shared" ca="1" si="1"/>
        <v>2.5245075445222961E-2</v>
      </c>
      <c r="Y36" s="817">
        <f ca="1">Nickel!V159</f>
        <v>6.7209039497554315E-2</v>
      </c>
      <c r="Z36" s="494">
        <f ca="1">Cobalt!N107</f>
        <v>8.2828680706742278E-2</v>
      </c>
      <c r="AA36" s="494">
        <f ca="1">Cobalt!J107</f>
        <v>4.1407088286034559E-2</v>
      </c>
      <c r="AB36" s="494">
        <f ca="1">SUM(Cobalt!B107:C107)/2000</f>
        <v>3.6817287367419398E-2</v>
      </c>
      <c r="AC36" s="494">
        <f ca="1">SUM(Cobalt!D107,Cobalt!F107)/2000</f>
        <v>6.0282449900890933E-2</v>
      </c>
      <c r="AD36" s="494">
        <f ca="1">Cobalt!P107</f>
        <v>9.7099737268310324E-2</v>
      </c>
      <c r="AE36" s="348">
        <f>Copper!M84</f>
        <v>1.6074826539727411E-3</v>
      </c>
      <c r="AF36" s="348">
        <f>Copper!N84</f>
        <v>1.05523728756069E-2</v>
      </c>
      <c r="AG36" s="348">
        <f>Copper!L84</f>
        <v>1.2159855529579641E-2</v>
      </c>
      <c r="AH36" s="348">
        <f>Zinc!F93</f>
        <v>8.604283405015305E-3</v>
      </c>
      <c r="AI36" s="349">
        <f ca="1">Magnesium!H91</f>
        <v>5.3860265141551913E-2</v>
      </c>
      <c r="AJ36" s="349">
        <f>Magnesium!J91</f>
        <v>3.3221421419375582E-3</v>
      </c>
      <c r="AK36" s="348">
        <f t="shared" ref="AK36:AK43" ca="1" si="18">SUMPRODUCT(AI36:AJ36,B$10:C$10)</f>
        <v>2.7529903058752834E-2</v>
      </c>
      <c r="AL36" s="348">
        <f>GREET1_Import_Export!G513/2000</f>
        <v>7.4238069135579873E-4</v>
      </c>
      <c r="AM36" s="347">
        <f>Glass!K92</f>
        <v>4.9509375286146372E-3</v>
      </c>
      <c r="AN36" s="348">
        <f>Glass!Q92</f>
        <v>6.1406044823567579E-3</v>
      </c>
      <c r="AO36" s="347">
        <f>Vehi_Plastics!AV126</f>
        <v>0.26056508268494621</v>
      </c>
      <c r="AP36" s="348">
        <f>Vehi_Plastics!BH126</f>
        <v>0.24600503191090622</v>
      </c>
      <c r="AQ36" s="347">
        <f>Vehi_Plastics!BJ126</f>
        <v>0.13049790661592742</v>
      </c>
      <c r="AR36" s="349">
        <f>Vehi_Plastics!BR126</f>
        <v>5.4083238127787515E-2</v>
      </c>
      <c r="AS36" s="349">
        <f>Vehi_Plastics!BZ126</f>
        <v>2.2080168958801522E-2</v>
      </c>
      <c r="AT36" s="349">
        <f>Vehi_Plastics!CB126</f>
        <v>0.13314056711373246</v>
      </c>
      <c r="AU36" s="348">
        <f>Vehi_Plastics!CD126</f>
        <v>0.24428525005522689</v>
      </c>
      <c r="AV36" s="494">
        <f>Rubber!J86</f>
        <v>2.4053746849631515E-2</v>
      </c>
      <c r="AW36" s="494">
        <f>Platinum!O90</f>
        <v>0.31534893462130431</v>
      </c>
      <c r="AX36" s="494">
        <f>Vanadium!F80</f>
        <v>0</v>
      </c>
      <c r="AY36" s="494">
        <f>Zirconium!F80</f>
        <v>4.4595997945115935E-2</v>
      </c>
      <c r="AZ36" s="494">
        <f>Titanium!F77</f>
        <v>0</v>
      </c>
      <c r="BA36" s="494">
        <f>Chromium!F77</f>
        <v>0</v>
      </c>
      <c r="BB36" s="494">
        <f>'Rare Earth'!F77</f>
        <v>4.8669576773407823E-2</v>
      </c>
      <c r="BC36" s="494">
        <f>Manganese!H94/2000</f>
        <v>6.5101980317449591E-3</v>
      </c>
      <c r="BD36" s="494">
        <f>Manganese!E94</f>
        <v>5.8312434510383961E-2</v>
      </c>
      <c r="BE36" s="494">
        <f t="shared" ref="BE36:BE43" si="19">AN36</f>
        <v>6.1406044823567579E-3</v>
      </c>
      <c r="BF36" s="347">
        <f>Vehi_Plastics!W126/2000</f>
        <v>0.29203404528273857</v>
      </c>
      <c r="BG36" s="348">
        <f t="shared" si="2"/>
        <v>1.022119158489585</v>
      </c>
      <c r="BH36" s="347">
        <f>'FC Materials'!C77</f>
        <v>4.3509944536911293E-3</v>
      </c>
      <c r="BI36" s="349">
        <f>'FC Materials'!E77</f>
        <v>4.2597000027272142E-3</v>
      </c>
      <c r="BJ36" s="348">
        <f>'FC Materials'!G77</f>
        <v>5.1844243398659479E-2</v>
      </c>
      <c r="BK36" s="347">
        <f>LiMn2O4!L111/2000</f>
        <v>1.178522717411133E-2</v>
      </c>
      <c r="BL36" s="349">
        <f ca="1">Other_Cathodes!E140/2000</f>
        <v>8.6900607211390299E-2</v>
      </c>
      <c r="BM36" s="349">
        <f ca="1">Other_Cathodes!$G$16*Other_Cathodes!$F$9*(Nickel!$B$57*Nickel!$F$80*Nickel!B159+Nickel!$C$57*Nickel!H159)/2000</f>
        <v>7.4524949943571821E-3</v>
      </c>
      <c r="BN36" s="349">
        <f ca="1">Other_Cathodes!$G$16*Other_Cathodes!$F$9*(Nickel!AC159)/2000-BM36</f>
        <v>1.9989410345526142E-2</v>
      </c>
      <c r="BO36" s="349">
        <f>Other_Cathodes!$G$16*Other_Cathodes!$F$11*Other_Cathodes!$B$7*Other_Cathodes!C173/2000</f>
        <v>1.6114681933837072E-2</v>
      </c>
      <c r="BP36" s="349">
        <f ca="1">Other_Cathodes!$G$16*Other_Cathodes!$F$10*Cobalt!$C$18*Cobalt!B107/2000</f>
        <v>6.1309706403498481E-3</v>
      </c>
      <c r="BQ36" s="349">
        <f ca="1">Other_Cathodes!$G$16*Other_Cathodes!$F$10*Cobalt!G107/2000-Mat_Sum!BP36</f>
        <v>1.2446820429576195E-2</v>
      </c>
      <c r="BR36" s="349">
        <f>Other_Cathodes!$G$26*Li_Chemicals!V128/2000</f>
        <v>1.4022946931346305E-2</v>
      </c>
      <c r="BS36" s="349">
        <f t="shared" ca="1" si="3"/>
        <v>1.2215555545657272E-2</v>
      </c>
      <c r="BT36" s="349">
        <f ca="1">(Other_Cathodes!G140*'Battery Recycling'!$F$38+'Battery Recycling'!$E$38*'Battery Recycling'!K155)/2000</f>
        <v>8.8372880820650021E-2</v>
      </c>
      <c r="BU36" s="349">
        <f ca="1">Other_Cathodes!I140/2000</f>
        <v>9.5649120736998466E-2</v>
      </c>
      <c r="BV36" s="349">
        <f ca="1">Other_Cathodes!K140/2000</f>
        <v>0.10194023372642232</v>
      </c>
      <c r="BW36" s="349">
        <f ca="1">Other_Cathodes!M140/2000</f>
        <v>0.1217073889107512</v>
      </c>
      <c r="BX36" s="349">
        <f ca="1">Other_Cathodes!O140/2000</f>
        <v>5.5190525620962855E-2</v>
      </c>
      <c r="BY36" s="349">
        <f ca="1">Other_Cathodes!R140/2000</f>
        <v>5.592340710957288E-2</v>
      </c>
      <c r="BZ36" s="349">
        <f ca="1">Other_Cathodes!P140/2000</f>
        <v>3.7386694315563435E-2</v>
      </c>
      <c r="CA36" s="349">
        <f ca="1">Other_Cathodes!V140/2000</f>
        <v>2.0389282532910634E-2</v>
      </c>
      <c r="CB36" s="349">
        <f ca="1">Other_Cathodes!U140/2000</f>
        <v>0.10315922273727191</v>
      </c>
      <c r="CC36" s="349">
        <f ca="1">Other_Cathodes!S140/2000</f>
        <v>8.5260195992344218E-2</v>
      </c>
      <c r="CD36" s="349">
        <f ca="1">Other_Cathodes!AB140/2000</f>
        <v>0.12862868994291224</v>
      </c>
      <c r="CE36" s="348">
        <f>Battery_Materials!K110</f>
        <v>7.8713325060034339E-2</v>
      </c>
      <c r="CF36" s="494">
        <f ca="1">Anode!C102</f>
        <v>3.8447949459747853E-2</v>
      </c>
      <c r="CG36" s="494">
        <f>Battery_Materials!C110</f>
        <v>7.9566250658130947E-3</v>
      </c>
      <c r="CH36" s="347"/>
      <c r="CI36" s="347">
        <f>Battery_Materials!E110</f>
        <v>3.6052320521142885E-2</v>
      </c>
      <c r="CJ36" s="349">
        <f>Battery_Materials!G110</f>
        <v>3.1372251435135452E-2</v>
      </c>
      <c r="CK36" s="348">
        <f>Battery_Materials!I110</f>
        <v>0.11384843982287332</v>
      </c>
      <c r="CL36" s="494">
        <f>Battery_Materials!M110</f>
        <v>7.739305207968239E-2</v>
      </c>
      <c r="CM36" s="494">
        <f>Vehi_Fluids!J93</f>
        <v>7.3126593678374929E-2</v>
      </c>
      <c r="CN36" s="494">
        <f ca="1">Silicon!C93</f>
        <v>0.6351699103418359</v>
      </c>
      <c r="CO36" s="494">
        <f ca="1">Silicon!E93</f>
        <v>0.14691891485509637</v>
      </c>
      <c r="CP36" s="494">
        <f xml:space="preserve"> Molybdenum!G88</f>
        <v>0.29835926913793503</v>
      </c>
      <c r="CQ36" s="2637">
        <f xml:space="preserve"> Vehi_Plastics!BB126</f>
        <v>3.8515934752253921E-2</v>
      </c>
    </row>
    <row r="37" spans="1:107" s="64" customFormat="1">
      <c r="A37" s="291" t="s">
        <v>822</v>
      </c>
      <c r="B37" s="349">
        <f ca="1">Steel!V130</f>
        <v>1.7111061352678258E-2</v>
      </c>
      <c r="C37" s="349">
        <f ca="1">Steel!F164</f>
        <v>1.4049337246935167E-2</v>
      </c>
      <c r="D37" s="349">
        <f t="shared" ca="1" si="13"/>
        <v>1.6302766188762082E-2</v>
      </c>
      <c r="E37" s="348">
        <f ca="1">Steel!F232</f>
        <v>1.7198814790980878E-2</v>
      </c>
      <c r="F37" s="494">
        <f ca="1">'C.Iron'!K84</f>
        <v>1.2070505336215148E-2</v>
      </c>
      <c r="G37" s="349">
        <f ca="1">W.Al!V150</f>
        <v>0.11445924589992114</v>
      </c>
      <c r="H37" s="349">
        <f ca="1">W.Al!S188</f>
        <v>2.7861382256570071E-2</v>
      </c>
      <c r="I37" s="348">
        <f t="shared" ca="1" si="14"/>
        <v>0.10493348089915253</v>
      </c>
      <c r="J37" s="349">
        <f ca="1">'C.Al'!J139</f>
        <v>0.12730048470323993</v>
      </c>
      <c r="K37" s="349">
        <f ca="1">'C.Al'!G175</f>
        <v>3.1870854467622334E-2</v>
      </c>
      <c r="L37" s="348">
        <f t="shared" ca="1" si="15"/>
        <v>4.6185299002964975E-2</v>
      </c>
      <c r="M37" s="347">
        <f ca="1">Lead!F82</f>
        <v>8.272138819129464E-3</v>
      </c>
      <c r="N37" s="349">
        <f>Lead!H82</f>
        <v>1.5501431185958211E-4</v>
      </c>
      <c r="O37" s="348">
        <f t="shared" ca="1" si="16"/>
        <v>2.3466379288224503E-3</v>
      </c>
      <c r="P37" s="347">
        <f ca="1">Nickel!R160</f>
        <v>0.28337239322265173</v>
      </c>
      <c r="Q37" s="349">
        <f>Nickel!T160</f>
        <v>2.2342653305737602E-2</v>
      </c>
      <c r="R37" s="349">
        <f ca="1">$B$9*SUM(Nickel!B160:D160)/2000</f>
        <v>0.1240372399731883</v>
      </c>
      <c r="S37" s="349">
        <f ca="1">$B$9*Nickel!E160/2000</f>
        <v>3.4651300231496686E-2</v>
      </c>
      <c r="T37" s="349">
        <f>$C$9*Nickel!F160/2000</f>
        <v>9.8307674545245437E-3</v>
      </c>
      <c r="U37" s="348">
        <f t="shared" ca="1" si="17"/>
        <v>0.16851930765920953</v>
      </c>
      <c r="V37" s="347">
        <f ca="1">Nickel!AF160</f>
        <v>0.19029448193844928</v>
      </c>
      <c r="W37" s="349">
        <f>Nickel!AH160</f>
        <v>3.4456308860965046E-3</v>
      </c>
      <c r="X37" s="348">
        <f t="shared" ca="1" si="1"/>
        <v>0.10808098747541407</v>
      </c>
      <c r="Y37" s="817">
        <f ca="1">Nickel!V160</f>
        <v>0.28337239322265173</v>
      </c>
      <c r="Z37" s="494">
        <f ca="1">Cobalt!N108</f>
        <v>0.29286727434230375</v>
      </c>
      <c r="AA37" s="494">
        <f ca="1">Cobalt!J108</f>
        <v>0.13767884137673328</v>
      </c>
      <c r="AB37" s="494">
        <f ca="1">SUM(Cobalt!B108:C108)/2000</f>
        <v>3.7461854171204671E-2</v>
      </c>
      <c r="AC37" s="494">
        <f ca="1">SUM(Cobalt!D108,Cobalt!F108)/2000</f>
        <v>0.32750422689642689</v>
      </c>
      <c r="AD37" s="494">
        <f ca="1">Cobalt!P108</f>
        <v>0.36496608106763151</v>
      </c>
      <c r="AE37" s="348">
        <f>Copper!M85</f>
        <v>3.7854902522396587E-3</v>
      </c>
      <c r="AF37" s="348">
        <f>Copper!N85</f>
        <v>4.4130399645399547E-2</v>
      </c>
      <c r="AG37" s="348">
        <f>Copper!L85</f>
        <v>4.7915889897639209E-2</v>
      </c>
      <c r="AH37" s="348">
        <f>Zinc!F94</f>
        <v>5.6052651439804223E-2</v>
      </c>
      <c r="AI37" s="349">
        <f ca="1">Magnesium!H92</f>
        <v>0.3150878120443254</v>
      </c>
      <c r="AJ37" s="349">
        <f>Magnesium!J92</f>
        <v>1.9527014899500109E-2</v>
      </c>
      <c r="AK37" s="348">
        <f t="shared" ca="1" si="18"/>
        <v>0.16110063673187142</v>
      </c>
      <c r="AL37" s="348">
        <f>GREET1_Import_Export!G514/2000</f>
        <v>1.217153004225376E-3</v>
      </c>
      <c r="AM37" s="347">
        <f>Glass!K93</f>
        <v>2.5343193688173112E-2</v>
      </c>
      <c r="AN37" s="348">
        <f>Glass!Q93</f>
        <v>3.2044710818127944E-2</v>
      </c>
      <c r="AO37" s="347">
        <f>Vehi_Plastics!AV127</f>
        <v>0.20734788559904863</v>
      </c>
      <c r="AP37" s="348">
        <f>Vehi_Plastics!BH127</f>
        <v>0.40944542262229067</v>
      </c>
      <c r="AQ37" s="347">
        <f>Vehi_Plastics!BJ127</f>
        <v>0.24162782580522563</v>
      </c>
      <c r="AR37" s="349">
        <f>Vehi_Plastics!BR127</f>
        <v>0.12073625327115751</v>
      </c>
      <c r="AS37" s="349">
        <f>Vehi_Plastics!BZ127</f>
        <v>9.0963428864903856E-2</v>
      </c>
      <c r="AT37" s="349">
        <f>Vehi_Plastics!CB127</f>
        <v>0.2855043183105811</v>
      </c>
      <c r="AU37" s="348">
        <f>Vehi_Plastics!CD127</f>
        <v>0.45919026294323317</v>
      </c>
      <c r="AV37" s="494">
        <f>Rubber!J87</f>
        <v>4.8654136353947851E-2</v>
      </c>
      <c r="AW37" s="494">
        <f>Platinum!O91</f>
        <v>2.5772968464775303</v>
      </c>
      <c r="AX37" s="494">
        <f>Vanadium!F81</f>
        <v>0</v>
      </c>
      <c r="AY37" s="494">
        <f>Zirconium!F81</f>
        <v>0.25213468273199946</v>
      </c>
      <c r="AZ37" s="494">
        <f>Titanium!F78</f>
        <v>0</v>
      </c>
      <c r="BA37" s="494">
        <f>Chromium!F78</f>
        <v>0</v>
      </c>
      <c r="BB37" s="494">
        <f>'Rare Earth'!F78</f>
        <v>0.35930669825927519</v>
      </c>
      <c r="BC37" s="494">
        <f>Manganese!H95/2000</f>
        <v>2.9279725927761829E-2</v>
      </c>
      <c r="BD37" s="494">
        <f>Manganese!E95</f>
        <v>0.1001710994249516</v>
      </c>
      <c r="BE37" s="494">
        <f t="shared" si="19"/>
        <v>3.2044710818127944E-2</v>
      </c>
      <c r="BF37" s="347">
        <f>Vehi_Plastics!W127/2000</f>
        <v>0.52150865401833624</v>
      </c>
      <c r="BG37" s="348">
        <f t="shared" si="2"/>
        <v>1.8252802890641768</v>
      </c>
      <c r="BH37" s="347">
        <f>'FC Materials'!C78</f>
        <v>2.6547273504577498E-2</v>
      </c>
      <c r="BI37" s="349">
        <f>'FC Materials'!E78</f>
        <v>2.5990247108661671E-2</v>
      </c>
      <c r="BJ37" s="348">
        <f>'FC Materials'!G78</f>
        <v>9.6249990675693536E-2</v>
      </c>
      <c r="BK37" s="347">
        <f>LiMn2O4!L112/2000</f>
        <v>4.5273887097636738E-2</v>
      </c>
      <c r="BL37" s="349">
        <f ca="1">Other_Cathodes!E141/2000</f>
        <v>0.29539309706408695</v>
      </c>
      <c r="BM37" s="349">
        <f ca="1">Other_Cathodes!$G$16*Other_Cathodes!$F$9*(Nickel!$B$57*Nickel!$F$80*Nickel!B160+Nickel!$C$57*Nickel!H160)/2000</f>
        <v>9.2384004751014642E-3</v>
      </c>
      <c r="BN37" s="349">
        <f ca="1">Other_Cathodes!$G$16*Other_Cathodes!$F$9*(Nickel!AC160)/2000-BM37</f>
        <v>5.3656917301010992E-2</v>
      </c>
      <c r="BO37" s="349">
        <f>Other_Cathodes!$G$16*Other_Cathodes!$F$11*Other_Cathodes!$B$7*Other_Cathodes!C174/2000</f>
        <v>2.1752932117257776E-3</v>
      </c>
      <c r="BP37" s="349">
        <f ca="1">Other_Cathodes!$G$16*Other_Cathodes!$F$10*Cobalt!$C$18*Cobalt!B108/2000</f>
        <v>3.9958084187860484E-3</v>
      </c>
      <c r="BQ37" s="349">
        <f ca="1">Other_Cathodes!$G$16*Other_Cathodes!$F$10*Cobalt!G108/2000-Mat_Sum!BP37</f>
        <v>5.7775469295254601E-2</v>
      </c>
      <c r="BR37" s="349">
        <f>Other_Cathodes!$G$26*Li_Chemicals!V129/2000</f>
        <v>1.8621836963660973E-2</v>
      </c>
      <c r="BS37" s="349">
        <f t="shared" ca="1" si="3"/>
        <v>0.16047226565489997</v>
      </c>
      <c r="BT37" s="349">
        <f ca="1">(Other_Cathodes!G141*'Battery Recycling'!$F$38+'Battery Recycling'!$E$38*'Battery Recycling'!K156)/2000</f>
        <v>0.3059359913204398</v>
      </c>
      <c r="BU37" s="349">
        <f ca="1">Other_Cathodes!I141/2000</f>
        <v>0.31488269305543559</v>
      </c>
      <c r="BV37" s="349">
        <f ca="1">Other_Cathodes!K141/2000</f>
        <v>0.3283441321284587</v>
      </c>
      <c r="BW37" s="349">
        <f ca="1">Other_Cathodes!M141/2000</f>
        <v>0.38908256716853029</v>
      </c>
      <c r="BX37" s="349">
        <f ca="1">Other_Cathodes!O141/2000</f>
        <v>0.23022444018974222</v>
      </c>
      <c r="BY37" s="349">
        <f ca="1">Other_Cathodes!R141/2000</f>
        <v>0.14107802721739784</v>
      </c>
      <c r="BZ37" s="349">
        <f ca="1">Other_Cathodes!P141/2000</f>
        <v>0.1112817546568638</v>
      </c>
      <c r="CA37" s="349">
        <f ca="1">Other_Cathodes!V141/2000</f>
        <v>4.8685807394259144E-2</v>
      </c>
      <c r="CB37" s="349">
        <f ca="1">Other_Cathodes!U141/2000</f>
        <v>0.37516343983628569</v>
      </c>
      <c r="CC37" s="349">
        <f ca="1">Other_Cathodes!S141/2000</f>
        <v>0.30182050794825183</v>
      </c>
      <c r="CD37" s="349">
        <f ca="1">Other_Cathodes!AB141/2000</f>
        <v>0.41329181290973754</v>
      </c>
      <c r="CE37" s="348">
        <f>Battery_Materials!K111</f>
        <v>8.5917464871555618E-2</v>
      </c>
      <c r="CF37" s="494">
        <f ca="1">Anode!C103</f>
        <v>0.11105165356320776</v>
      </c>
      <c r="CG37" s="494">
        <f>Battery_Materials!C111</f>
        <v>4.3864142572831569E-2</v>
      </c>
      <c r="CH37" s="347"/>
      <c r="CI37" s="347">
        <f>Battery_Materials!E111</f>
        <v>0.23897644445659366</v>
      </c>
      <c r="CJ37" s="349">
        <f>Battery_Materials!G111</f>
        <v>1.8027835594698928E-2</v>
      </c>
      <c r="CK37" s="348">
        <f>Battery_Materials!I111</f>
        <v>6.5899466789412844E-2</v>
      </c>
      <c r="CL37" s="494">
        <f>Battery_Materials!M111</f>
        <v>0.5065585399957796</v>
      </c>
      <c r="CM37" s="494">
        <f>Vehi_Fluids!J94</f>
        <v>4.0891371421104404E-2</v>
      </c>
      <c r="CN37" s="494">
        <f ca="1">Silicon!C94</f>
        <v>4.0031878244855381</v>
      </c>
      <c r="CO37" s="494">
        <f ca="1">Silicon!E94</f>
        <v>0.82289608997723052</v>
      </c>
      <c r="CP37" s="494">
        <f xml:space="preserve"> Molybdenum!G89</f>
        <v>0.25704580953764639</v>
      </c>
      <c r="CQ37" s="2637">
        <f xml:space="preserve"> Vehi_Plastics!BB127</f>
        <v>0.11092139025463564</v>
      </c>
    </row>
    <row r="38" spans="1:107" s="64" customFormat="1">
      <c r="A38" s="291" t="s">
        <v>823</v>
      </c>
      <c r="B38" s="349">
        <f ca="1">Steel!V131</f>
        <v>4.5273378363292469E-2</v>
      </c>
      <c r="C38" s="349">
        <f ca="1">Steel!F165</f>
        <v>3.5112333571923185E-2</v>
      </c>
      <c r="D38" s="349">
        <f t="shared" ca="1" si="13"/>
        <v>4.259086253837098E-2</v>
      </c>
      <c r="E38" s="348">
        <f ca="1">Steel!F233</f>
        <v>4.3830209596944461E-2</v>
      </c>
      <c r="F38" s="494">
        <f ca="1">'C.Iron'!K85</f>
        <v>2.2064670992909943E-2</v>
      </c>
      <c r="G38" s="349">
        <f ca="1">W.Al!V151</f>
        <v>0.33918948948438576</v>
      </c>
      <c r="H38" s="349">
        <f ca="1">W.Al!S189</f>
        <v>5.7756854716571049E-2</v>
      </c>
      <c r="I38" s="348">
        <f t="shared" ca="1" si="14"/>
        <v>0.30823189965992615</v>
      </c>
      <c r="J38" s="349">
        <f ca="1">'C.Al'!J140</f>
        <v>0.37283269877074804</v>
      </c>
      <c r="K38" s="349">
        <f ca="1">'C.Al'!G176</f>
        <v>6.2697885483235308E-2</v>
      </c>
      <c r="L38" s="348">
        <f t="shared" ca="1" si="15"/>
        <v>0.10921810747636221</v>
      </c>
      <c r="M38" s="347">
        <f ca="1">Lead!F83</f>
        <v>2.4315794219440825E-2</v>
      </c>
      <c r="N38" s="349">
        <f>Lead!H83</f>
        <v>7.4356380406246476E-4</v>
      </c>
      <c r="O38" s="348">
        <f t="shared" ca="1" si="16"/>
        <v>7.1080660162146222E-3</v>
      </c>
      <c r="P38" s="347">
        <f ca="1">Nickel!R161</f>
        <v>0.7939274764433365</v>
      </c>
      <c r="Q38" s="349">
        <f>Nickel!T161</f>
        <v>3.7295202290420465E-2</v>
      </c>
      <c r="R38" s="349">
        <f ca="1">$B$9*SUM(Nickel!B161:D161)/2000</f>
        <v>0.35332379316216317</v>
      </c>
      <c r="S38" s="349">
        <f ca="1">$B$9*Nickel!E161/2000</f>
        <v>9.127559364610531E-2</v>
      </c>
      <c r="T38" s="349">
        <f>$C$9*Nickel!F161/2000</f>
        <v>1.6409889007785002E-2</v>
      </c>
      <c r="U38" s="348">
        <f t="shared" ca="1" si="17"/>
        <v>0.4610092758160535</v>
      </c>
      <c r="V38" s="347">
        <f ca="1">Nickel!AF161</f>
        <v>0.52813125154047524</v>
      </c>
      <c r="W38" s="349">
        <f>Nickel!AH161</f>
        <v>5.7515774494916226E-3</v>
      </c>
      <c r="X38" s="348">
        <f t="shared" ca="1" si="1"/>
        <v>0.2982841949404425</v>
      </c>
      <c r="Y38" s="817">
        <f ca="1">Nickel!V161</f>
        <v>0.7939274764433365</v>
      </c>
      <c r="Z38" s="494">
        <f ca="1">Cobalt!N109</f>
        <v>0.67467433395103582</v>
      </c>
      <c r="AA38" s="494">
        <f ca="1">Cobalt!J109</f>
        <v>0.33744596944666555</v>
      </c>
      <c r="AB38" s="494">
        <f ca="1">SUM(Cobalt!B109:C109)/2000</f>
        <v>5.5487235245328406E-2</v>
      </c>
      <c r="AC38" s="494">
        <f ca="1">SUM(Cobalt!D109,Cobalt!F109)/2000</f>
        <v>0.95267570029299276</v>
      </c>
      <c r="AD38" s="494">
        <f ca="1">Cobalt!P109</f>
        <v>1.008162935538321</v>
      </c>
      <c r="AE38" s="348">
        <f>Copper!M86</f>
        <v>1.0183496784992514E-2</v>
      </c>
      <c r="AF38" s="348">
        <f>Copper!N86</f>
        <v>0.11578103657025259</v>
      </c>
      <c r="AG38" s="348">
        <f>Copper!L86</f>
        <v>0.1259645333552451</v>
      </c>
      <c r="AH38" s="348">
        <f>Zinc!F95</f>
        <v>0.16355763409996724</v>
      </c>
      <c r="AI38" s="349">
        <f ca="1">Magnesium!H93</f>
        <v>0.68500185325987739</v>
      </c>
      <c r="AJ38" s="349">
        <f>Magnesium!J93</f>
        <v>4.1539724929762177E-2</v>
      </c>
      <c r="AK38" s="348">
        <f t="shared" ca="1" si="18"/>
        <v>0.34975808439988737</v>
      </c>
      <c r="AL38" s="348">
        <f>GREET1_Import_Export!G515/2000</f>
        <v>7.97187853972256E-3</v>
      </c>
      <c r="AM38" s="347">
        <f>Glass!K94</f>
        <v>4.3767610379904037E-2</v>
      </c>
      <c r="AN38" s="348">
        <f>Glass!Q94</f>
        <v>6.6489731457318998E-2</v>
      </c>
      <c r="AO38" s="347">
        <f>Vehi_Plastics!AV128</f>
        <v>0.24133414050989138</v>
      </c>
      <c r="AP38" s="348">
        <f>Vehi_Plastics!BH128</f>
        <v>0.16028273755013872</v>
      </c>
      <c r="AQ38" s="347">
        <f>Vehi_Plastics!BJ128</f>
        <v>0.15066618909666302</v>
      </c>
      <c r="AR38" s="349">
        <f>Vehi_Plastics!BR128</f>
        <v>0.13964835464299105</v>
      </c>
      <c r="AS38" s="349">
        <f>Vehi_Plastics!BZ128</f>
        <v>0.17628359408695651</v>
      </c>
      <c r="AT38" s="349">
        <f>Vehi_Plastics!CB128</f>
        <v>0.57229176663525161</v>
      </c>
      <c r="AU38" s="348">
        <f>Vehi_Plastics!CD128</f>
        <v>1.0022812903694116</v>
      </c>
      <c r="AV38" s="494">
        <f>Rubber!J88</f>
        <v>7.7819593445568283E-2</v>
      </c>
      <c r="AW38" s="494">
        <f>Platinum!O92</f>
        <v>11.04666685990372</v>
      </c>
      <c r="AX38" s="494">
        <f>Vanadium!F82</f>
        <v>0</v>
      </c>
      <c r="AY38" s="494">
        <f>Zirconium!F82</f>
        <v>0.49422497031606927</v>
      </c>
      <c r="AZ38" s="494">
        <f>Titanium!F79</f>
        <v>0</v>
      </c>
      <c r="BA38" s="494">
        <f>Chromium!F79</f>
        <v>0</v>
      </c>
      <c r="BB38" s="494">
        <f>'Rare Earth'!F79</f>
        <v>1.0731664135455665</v>
      </c>
      <c r="BC38" s="494">
        <f>Manganese!H96/2000</f>
        <v>8.4842199585433528E-2</v>
      </c>
      <c r="BD38" s="494">
        <f>Manganese!E96</f>
        <v>0.14996054152518629</v>
      </c>
      <c r="BE38" s="494">
        <f t="shared" si="19"/>
        <v>6.6489731457318998E-2</v>
      </c>
      <c r="BF38" s="347">
        <f>Vehi_Plastics!W128/2000</f>
        <v>1.1777347858908156</v>
      </c>
      <c r="BG38" s="348">
        <f t="shared" si="2"/>
        <v>4.1220717506178541</v>
      </c>
      <c r="BH38" s="347">
        <f>'FC Materials'!C79</f>
        <v>6.0576101404535093E-2</v>
      </c>
      <c r="BI38" s="349">
        <f>'FC Materials'!E79</f>
        <v>5.930506739653494E-2</v>
      </c>
      <c r="BJ38" s="348">
        <f>'FC Materials'!G79</f>
        <v>0.15623031819983083</v>
      </c>
      <c r="BK38" s="347">
        <f>LiMn2O4!L113/2000</f>
        <v>9.3154858072950583E-2</v>
      </c>
      <c r="BL38" s="349">
        <f ca="1">Other_Cathodes!E142/2000</f>
        <v>0.71474338295311612</v>
      </c>
      <c r="BM38" s="349">
        <f ca="1">Other_Cathodes!$G$16*Other_Cathodes!$F$9*(Nickel!$B$57*Nickel!$F$80*Nickel!B161+Nickel!$C$57*Nickel!H161)/2000</f>
        <v>2.7439604770003741E-2</v>
      </c>
      <c r="BN38" s="349">
        <f ca="1">Other_Cathodes!$G$16*Other_Cathodes!$F$9*(Nickel!AC161)/2000-BM38</f>
        <v>0.13668207850112726</v>
      </c>
      <c r="BO38" s="349">
        <f>Other_Cathodes!$G$16*Other_Cathodes!$F$11*Other_Cathodes!$B$7*Other_Cathodes!C175/2000</f>
        <v>1.9112381823543708E-3</v>
      </c>
      <c r="BP38" s="349">
        <f ca="1">Other_Cathodes!$G$16*Other_Cathodes!$F$10*Cobalt!$C$18*Cobalt!B109/2000</f>
        <v>6.203627588327554E-3</v>
      </c>
      <c r="BQ38" s="349">
        <f ca="1">Other_Cathodes!$G$16*Other_Cathodes!$F$10*Cobalt!G109/2000-Mat_Sum!BP38</f>
        <v>0.14519558875993127</v>
      </c>
      <c r="BR38" s="349">
        <f>Other_Cathodes!$G$26*Li_Chemicals!V130/2000</f>
        <v>5.8233466327976935E-2</v>
      </c>
      <c r="BS38" s="349">
        <f t="shared" ca="1" si="3"/>
        <v>0.36199091358746965</v>
      </c>
      <c r="BT38" s="349">
        <f ca="1">(Other_Cathodes!G142*'Battery Recycling'!$F$38+'Battery Recycling'!$E$38*'Battery Recycling'!K157)/2000</f>
        <v>0.73765651771719076</v>
      </c>
      <c r="BU38" s="349">
        <f ca="1">Other_Cathodes!I142/2000</f>
        <v>0.76472776980929758</v>
      </c>
      <c r="BV38" s="349">
        <f ca="1">Other_Cathodes!K142/2000</f>
        <v>0.79870287572933218</v>
      </c>
      <c r="BW38" s="349">
        <f ca="1">Other_Cathodes!M142/2000</f>
        <v>0.98045739029696066</v>
      </c>
      <c r="BX38" s="349">
        <f ca="1">Other_Cathodes!O142/2000</f>
        <v>0.56571645463391285</v>
      </c>
      <c r="BY38" s="349">
        <f ca="1">Other_Cathodes!R142/2000</f>
        <v>0.35153938843303811</v>
      </c>
      <c r="BZ38" s="349">
        <f ca="1">Other_Cathodes!P142/2000</f>
        <v>0.26926036289319522</v>
      </c>
      <c r="CA38" s="349">
        <f ca="1">Other_Cathodes!V142/2000</f>
        <v>0.15719459488176649</v>
      </c>
      <c r="CB38" s="349">
        <f ca="1">Other_Cathodes!U142/2000</f>
        <v>0.90021678340325595</v>
      </c>
      <c r="CC38" s="349">
        <f ca="1">Other_Cathodes!S142/2000</f>
        <v>0.75088229554964281</v>
      </c>
      <c r="CD38" s="349">
        <f ca="1">Other_Cathodes!AB142/2000</f>
        <v>1.0272838142719718</v>
      </c>
      <c r="CE38" s="348">
        <f>Battery_Materials!K112</f>
        <v>0.11877180293209869</v>
      </c>
      <c r="CF38" s="494">
        <f ca="1">Anode!C104</f>
        <v>0.39381070281009062</v>
      </c>
      <c r="CG38" s="494">
        <f>Battery_Materials!C112</f>
        <v>9.9318953844520927E-2</v>
      </c>
      <c r="CH38" s="347"/>
      <c r="CI38" s="347">
        <f>Battery_Materials!E112</f>
        <v>0.73861113175707827</v>
      </c>
      <c r="CJ38" s="349">
        <f>Battery_Materials!G112</f>
        <v>2.9622790383287471E-2</v>
      </c>
      <c r="CK38" s="348">
        <f>Battery_Materials!I112</f>
        <v>0.10778862689940712</v>
      </c>
      <c r="CL38" s="494">
        <f>Battery_Materials!M112</f>
        <v>1.29541598260729</v>
      </c>
      <c r="CM38" s="494">
        <f>Vehi_Fluids!J95</f>
        <v>6.3759335736521039E-2</v>
      </c>
      <c r="CN38" s="494">
        <f ca="1">Silicon!C95</f>
        <v>10.878298753911285</v>
      </c>
      <c r="CO38" s="494">
        <f ca="1">Silicon!E95</f>
        <v>2.032599343541897</v>
      </c>
      <c r="CP38" s="494">
        <f xml:space="preserve"> Molybdenum!G90</f>
        <v>0.49741427303906799</v>
      </c>
      <c r="CQ38" s="2637">
        <f xml:space="preserve"> Vehi_Plastics!BB128</f>
        <v>0.18023643562096567</v>
      </c>
    </row>
    <row r="39" spans="1:107" s="64" customFormat="1">
      <c r="A39" s="483" t="s">
        <v>824</v>
      </c>
      <c r="B39" s="349">
        <f ca="1">Steel!V132</f>
        <v>5.0329736746588232E-3</v>
      </c>
      <c r="C39" s="349">
        <f ca="1">Steel!F166</f>
        <v>4.1054879843515617E-3</v>
      </c>
      <c r="D39" s="349">
        <f t="shared" ca="1" si="13"/>
        <v>4.7881174524177063E-3</v>
      </c>
      <c r="E39" s="348">
        <f ca="1">Steel!F234</f>
        <v>5.2108499963841029E-3</v>
      </c>
      <c r="F39" s="494">
        <f ca="1">'C.Iron'!K86</f>
        <v>1.6352007301329496E-3</v>
      </c>
      <c r="G39" s="349">
        <f ca="1">W.Al!V152</f>
        <v>4.0376765318899006E-2</v>
      </c>
      <c r="H39" s="349">
        <f ca="1">W.Al!S190</f>
        <v>5.1721000807664541E-3</v>
      </c>
      <c r="I39" s="348">
        <f t="shared" ca="1" si="14"/>
        <v>3.6504252142704426E-2</v>
      </c>
      <c r="J39" s="349">
        <f ca="1">'C.Al'!J141</f>
        <v>4.3990605748898945E-2</v>
      </c>
      <c r="K39" s="349">
        <f ca="1">'C.Al'!G177</f>
        <v>5.1955587939313229E-3</v>
      </c>
      <c r="L39" s="348">
        <f t="shared" ca="1" si="15"/>
        <v>1.1014815837176464E-2</v>
      </c>
      <c r="M39" s="347">
        <f ca="1">Lead!F84</f>
        <v>3.0111294546141484E-3</v>
      </c>
      <c r="N39" s="349">
        <f>Lead!H84</f>
        <v>3.4100639532248585E-5</v>
      </c>
      <c r="O39" s="348">
        <f t="shared" ca="1" si="16"/>
        <v>8.3789841960436157E-4</v>
      </c>
      <c r="P39" s="347">
        <f ca="1">Nickel!R162</f>
        <v>9.26238478755224E-2</v>
      </c>
      <c r="Q39" s="349">
        <f>Nickel!T162</f>
        <v>2.7367765503714708E-3</v>
      </c>
      <c r="R39" s="349">
        <f ca="1">$B$9*SUM(Nickel!B162:D162)/2000</f>
        <v>4.1705345107819522E-2</v>
      </c>
      <c r="S39" s="349">
        <f ca="1">$B$9*Nickel!E162/2000</f>
        <v>1.0164009702473024E-2</v>
      </c>
      <c r="T39" s="349">
        <f>$C$9*Nickel!F162/2000</f>
        <v>1.204181682163447E-3</v>
      </c>
      <c r="U39" s="348">
        <f t="shared" ca="1" si="17"/>
        <v>5.3073536492455997E-2</v>
      </c>
      <c r="V39" s="347">
        <f ca="1">Nickel!AF162</f>
        <v>6.1446922289314324E-2</v>
      </c>
      <c r="W39" s="349">
        <f>Nickel!AH162</f>
        <v>4.2205917449755076E-4</v>
      </c>
      <c r="X39" s="348">
        <f t="shared" ca="1" si="1"/>
        <v>3.4595982518794949E-2</v>
      </c>
      <c r="Y39" s="817">
        <f ca="1">Nickel!V162</f>
        <v>9.26238478755224E-2</v>
      </c>
      <c r="Z39" s="494">
        <f ca="1">Cobalt!N110</f>
        <v>6.9668398440025855E-2</v>
      </c>
      <c r="AA39" s="494">
        <f ca="1">Cobalt!J110</f>
        <v>3.7000596536896441E-2</v>
      </c>
      <c r="AB39" s="494">
        <f ca="1">SUM(Cobalt!B110:C110)/2000</f>
        <v>6.7739394964736726E-3</v>
      </c>
      <c r="AC39" s="494">
        <f ca="1">SUM(Cobalt!D110,Cobalt!F110)/2000</f>
        <v>0.10883224182563447</v>
      </c>
      <c r="AD39" s="494">
        <f ca="1">Cobalt!P110</f>
        <v>0.11560618132210815</v>
      </c>
      <c r="AE39" s="348">
        <f>Copper!M87</f>
        <v>1.4135325355493071E-3</v>
      </c>
      <c r="AF39" s="348">
        <f>Copper!N87</f>
        <v>1.3895965264978721E-2</v>
      </c>
      <c r="AG39" s="348">
        <f>Copper!L87</f>
        <v>1.5309497800528028E-2</v>
      </c>
      <c r="AH39" s="348">
        <f>Zinc!F96</f>
        <v>2.1629118494009156E-2</v>
      </c>
      <c r="AI39" s="349">
        <f ca="1">Magnesium!H94</f>
        <v>6.9801877320808253E-2</v>
      </c>
      <c r="AJ39" s="349">
        <f>Magnesium!J94</f>
        <v>4.1190493837298513E-3</v>
      </c>
      <c r="AK39" s="348">
        <f t="shared" ca="1" si="18"/>
        <v>3.5581123965590405E-2</v>
      </c>
      <c r="AL39" s="348">
        <f>GREET1_Import_Export!G516/2000</f>
        <v>6.0336584865481289E-4</v>
      </c>
      <c r="AM39" s="347">
        <f>Glass!K95</f>
        <v>3.1364606728063226E-3</v>
      </c>
      <c r="AN39" s="348">
        <f>Glass!Q95</f>
        <v>6.3202035675387442E-3</v>
      </c>
      <c r="AO39" s="347">
        <f>Vehi_Plastics!AV129</f>
        <v>3.1077539361433985E-2</v>
      </c>
      <c r="AP39" s="348">
        <f>Vehi_Plastics!BH129</f>
        <v>1.8094773277706172E-2</v>
      </c>
      <c r="AQ39" s="347">
        <f>Vehi_Plastics!BJ129</f>
        <v>2.8709235335681767E-2</v>
      </c>
      <c r="AR39" s="349">
        <f>Vehi_Plastics!BR129</f>
        <v>1.2960480085193687E-2</v>
      </c>
      <c r="AS39" s="349">
        <f>Vehi_Plastics!BZ129</f>
        <v>1.5920226543494901E-2</v>
      </c>
      <c r="AT39" s="349">
        <f>Vehi_Plastics!CB129</f>
        <v>6.7021019459918771E-2</v>
      </c>
      <c r="AU39" s="348">
        <f>Vehi_Plastics!CD129</f>
        <v>0.13296604359348074</v>
      </c>
      <c r="AV39" s="494">
        <f>Rubber!J89</f>
        <v>6.83463155373841E-3</v>
      </c>
      <c r="AW39" s="494">
        <f>Platinum!O93</f>
        <v>1.4237250899192901</v>
      </c>
      <c r="AX39" s="494">
        <f>Vanadium!F83</f>
        <v>0</v>
      </c>
      <c r="AY39" s="494">
        <f>Zirconium!F83</f>
        <v>4.3976456514154993E-2</v>
      </c>
      <c r="AZ39" s="494">
        <f>Titanium!F80</f>
        <v>0</v>
      </c>
      <c r="BA39" s="494">
        <f>Chromium!F80</f>
        <v>0</v>
      </c>
      <c r="BB39" s="494">
        <f>'Rare Earth'!F80</f>
        <v>0.14327981791648636</v>
      </c>
      <c r="BC39" s="494">
        <f>Manganese!H97/2000</f>
        <v>1.145270267100657E-2</v>
      </c>
      <c r="BD39" s="494">
        <f>Manganese!E97</f>
        <v>1.3065798534866925E-2</v>
      </c>
      <c r="BE39" s="494">
        <f t="shared" si="19"/>
        <v>6.3202035675387442E-3</v>
      </c>
      <c r="BF39" s="347">
        <f>Vehi_Plastics!W129/2000</f>
        <v>0.1632183360145037</v>
      </c>
      <c r="BG39" s="348">
        <f t="shared" si="2"/>
        <v>0.57126417605076296</v>
      </c>
      <c r="BH39" s="347">
        <f>'FC Materials'!C80</f>
        <v>6.4963928074945774E-3</v>
      </c>
      <c r="BI39" s="349">
        <f>'FC Materials'!E80</f>
        <v>6.3600826786450659E-3</v>
      </c>
      <c r="BJ39" s="348">
        <f>'FC Materials'!G80</f>
        <v>1.4664519919486927E-2</v>
      </c>
      <c r="BK39" s="347">
        <f>LiMn2O4!L114/2000</f>
        <v>9.1652699830059199E-3</v>
      </c>
      <c r="BL39" s="349">
        <f ca="1">Other_Cathodes!E143/2000</f>
        <v>7.7128701632483185E-2</v>
      </c>
      <c r="BM39" s="349">
        <f ca="1">Other_Cathodes!$G$16*Other_Cathodes!$F$9*(Nickel!$B$57*Nickel!$F$80*Nickel!B162+Nickel!$C$57*Nickel!H162)/2000</f>
        <v>3.2203552036850214E-3</v>
      </c>
      <c r="BN39" s="349">
        <f ca="1">Other_Cathodes!$G$16*Other_Cathodes!$F$9*(Nickel!AC162)/2000-BM39</f>
        <v>1.4325404946845182E-2</v>
      </c>
      <c r="BO39" s="349">
        <f>Other_Cathodes!$G$16*Other_Cathodes!$F$11*Other_Cathodes!$B$7*Other_Cathodes!C176/2000</f>
        <v>1.5664793142988437E-2</v>
      </c>
      <c r="BP39" s="349">
        <f ca="1">Other_Cathodes!$G$16*Other_Cathodes!$F$10*Cobalt!$C$18*Cobalt!B110/2000</f>
        <v>1.1037400748897138E-3</v>
      </c>
      <c r="BQ39" s="349">
        <f ca="1">Other_Cathodes!$G$16*Other_Cathodes!$F$10*Cobalt!G110/2000-Mat_Sum!BP39</f>
        <v>1.5497025165513054E-2</v>
      </c>
      <c r="BR39" s="349">
        <f>Other_Cathodes!$G$26*Li_Chemicals!V131/2000</f>
        <v>7.4916637008993342E-3</v>
      </c>
      <c r="BS39" s="349">
        <f t="shared" ca="1" si="3"/>
        <v>2.2360911370354099E-2</v>
      </c>
      <c r="BT39" s="349">
        <f ca="1">(Other_Cathodes!G143*'Battery Recycling'!$F$38+'Battery Recycling'!$E$38*'Battery Recycling'!K158)/2000</f>
        <v>7.966389360517484E-2</v>
      </c>
      <c r="BU39" s="349">
        <f ca="1">Other_Cathodes!I143/2000</f>
        <v>8.2382220185780841E-2</v>
      </c>
      <c r="BV39" s="349">
        <f ca="1">Other_Cathodes!K143/2000</f>
        <v>8.5866729266620895E-2</v>
      </c>
      <c r="BW39" s="349">
        <f ca="1">Other_Cathodes!M143/2000</f>
        <v>0.10756041945772751</v>
      </c>
      <c r="BX39" s="349">
        <f ca="1">Other_Cathodes!O143/2000</f>
        <v>6.3647117299459877E-2</v>
      </c>
      <c r="BY39" s="349">
        <f ca="1">Other_Cathodes!R143/2000</f>
        <v>3.7847836632956842E-2</v>
      </c>
      <c r="BZ39" s="349">
        <f ca="1">Other_Cathodes!P143/2000</f>
        <v>2.5856714651810678E-2</v>
      </c>
      <c r="CA39" s="349">
        <f ca="1">Other_Cathodes!V143/2000</f>
        <v>1.5824953468361186E-2</v>
      </c>
      <c r="CB39" s="349">
        <f ca="1">Other_Cathodes!U143/2000</f>
        <v>9.6895039197038124E-2</v>
      </c>
      <c r="CC39" s="349">
        <f ca="1">Other_Cathodes!S143/2000</f>
        <v>8.4347401922659257E-2</v>
      </c>
      <c r="CD39" s="349">
        <f ca="1">Other_Cathodes!AB143/2000</f>
        <v>0.1111216218858245</v>
      </c>
      <c r="CE39" s="348">
        <f>Battery_Materials!K113</f>
        <v>6.1432111715552839E-3</v>
      </c>
      <c r="CF39" s="494">
        <f ca="1">Anode!C105</f>
        <v>5.1843025878878859E-2</v>
      </c>
      <c r="CG39" s="494">
        <f>Battery_Materials!C113</f>
        <v>1.0674592122758467E-2</v>
      </c>
      <c r="CH39" s="347"/>
      <c r="CI39" s="347">
        <f>Battery_Materials!E113</f>
        <v>9.5960480699994424E-2</v>
      </c>
      <c r="CJ39" s="349">
        <f>Battery_Materials!G113</f>
        <v>3.3330061421761887E-3</v>
      </c>
      <c r="CK39" s="348">
        <f>Battery_Materials!I113</f>
        <v>1.2031567998525283E-2</v>
      </c>
      <c r="CL39" s="494">
        <f>Battery_Materials!M113</f>
        <v>0.15445479135517226</v>
      </c>
      <c r="CM39" s="494">
        <f>Vehi_Fluids!J96</f>
        <v>6.9085924426755757E-3</v>
      </c>
      <c r="CN39" s="494">
        <f ca="1">Silicon!C96</f>
        <v>1.3691434001957608</v>
      </c>
      <c r="CO39" s="494">
        <f ca="1">Silicon!E96</f>
        <v>0.23770274763112348</v>
      </c>
      <c r="CP39" s="494">
        <f xml:space="preserve"> Molybdenum!G91</f>
        <v>7.9391242069867501E-2</v>
      </c>
      <c r="CQ39" s="2637">
        <f xml:space="preserve"> Vehi_Plastics!BB129</f>
        <v>1.3012832931148469E-2</v>
      </c>
    </row>
    <row r="40" spans="1:107" s="64" customFormat="1">
      <c r="A40" s="291" t="s">
        <v>825</v>
      </c>
      <c r="B40" s="349">
        <f ca="1">Steel!V133</f>
        <v>4.4282636730632752E-3</v>
      </c>
      <c r="C40" s="349">
        <f ca="1">Steel!F167</f>
        <v>3.6109360548777255E-3</v>
      </c>
      <c r="D40" s="349">
        <f t="shared" ca="1" si="13"/>
        <v>4.2124891818622898E-3</v>
      </c>
      <c r="E40" s="348">
        <f ca="1">Steel!F235</f>
        <v>4.5830002833149733E-3</v>
      </c>
      <c r="F40" s="494">
        <f ca="1">'C.Iron'!K87</f>
        <v>1.4363313944402312E-3</v>
      </c>
      <c r="G40" s="349">
        <f ca="1">W.Al!V153</f>
        <v>3.4000768761017063E-2</v>
      </c>
      <c r="H40" s="349">
        <f ca="1">W.Al!S191</f>
        <v>4.4309594492897512E-3</v>
      </c>
      <c r="I40" s="348">
        <f t="shared" ca="1" si="14"/>
        <v>3.0748089736727057E-2</v>
      </c>
      <c r="J40" s="349">
        <f ca="1">'C.Al'!J142</f>
        <v>3.7025721410762616E-2</v>
      </c>
      <c r="K40" s="349">
        <f ca="1">'C.Al'!G178</f>
        <v>4.4402065950917792E-3</v>
      </c>
      <c r="L40" s="348">
        <f t="shared" ca="1" si="15"/>
        <v>9.3280338174424049E-3</v>
      </c>
      <c r="M40" s="347">
        <f ca="1">Lead!F85</f>
        <v>2.6474279436011E-3</v>
      </c>
      <c r="N40" s="349">
        <f>Lead!H85</f>
        <v>3.0474443028456883E-5</v>
      </c>
      <c r="O40" s="348">
        <f t="shared" ca="1" si="16"/>
        <v>7.3705188818307056E-4</v>
      </c>
      <c r="P40" s="347">
        <f ca="1">Nickel!R163</f>
        <v>7.9598914242902857E-2</v>
      </c>
      <c r="Q40" s="349">
        <f>Nickel!T163</f>
        <v>2.4030401871149038E-3</v>
      </c>
      <c r="R40" s="349">
        <f ca="1">$B$9*SUM(Nickel!B163:D163)/2000</f>
        <v>3.5807348808198143E-2</v>
      </c>
      <c r="S40" s="349">
        <f ca="1">$B$9*Nickel!E163/2000</f>
        <v>8.7680431678274547E-3</v>
      </c>
      <c r="T40" s="349">
        <f>$C$9*Nickel!F163/2000</f>
        <v>1.0573376823305575E-3</v>
      </c>
      <c r="U40" s="348">
        <f t="shared" ca="1" si="17"/>
        <v>4.5632729658356165E-2</v>
      </c>
      <c r="V40" s="347" t="e">
        <f ca="1">Nickel!AF163</f>
        <v>#REF!</v>
      </c>
      <c r="W40" s="349">
        <f>Nickel!AH163</f>
        <v>3.7059114582098146E-4</v>
      </c>
      <c r="X40" s="348" t="e">
        <f ca="1">V40*$B$9+W40*$C$9</f>
        <v>#REF!</v>
      </c>
      <c r="Y40" s="817">
        <f ca="1">Nickel!V163</f>
        <v>7.9598914242902857E-2</v>
      </c>
      <c r="Z40" s="494">
        <f ca="1">Cobalt!N111</f>
        <v>5.9990220317947575E-2</v>
      </c>
      <c r="AA40" s="494">
        <f ca="1">Cobalt!J111</f>
        <v>3.1807663684952261E-2</v>
      </c>
      <c r="AB40" s="494">
        <f ca="1">SUM(Cobalt!B111:C111)/2000</f>
        <v>5.8608918335025057E-3</v>
      </c>
      <c r="AC40" s="494">
        <f ca="1">SUM(Cobalt!D111,Cobalt!F111)/2000</f>
        <v>9.2480288024982121E-2</v>
      </c>
      <c r="AD40" s="494">
        <f ca="1">Cobalt!P111</f>
        <v>9.8341179858484618E-2</v>
      </c>
      <c r="AE40" s="348">
        <f>Copper!M88</f>
        <v>1.2394218834748288E-3</v>
      </c>
      <c r="AF40" s="348">
        <f>Copper!N88</f>
        <v>1.206729272704986E-2</v>
      </c>
      <c r="AG40" s="348">
        <f>Copper!L88</f>
        <v>1.3306714610524691E-2</v>
      </c>
      <c r="AH40" s="348">
        <f>Zinc!F97</f>
        <v>1.9016630564309699E-2</v>
      </c>
      <c r="AI40" s="349">
        <f ca="1">Magnesium!H95</f>
        <v>6.1407963451980727E-2</v>
      </c>
      <c r="AJ40" s="349">
        <f>Magnesium!J95</f>
        <v>3.6241039497052199E-3</v>
      </c>
      <c r="AK40" s="348">
        <f t="shared" ca="1" si="18"/>
        <v>3.1302572651295185E-2</v>
      </c>
      <c r="AL40" s="348">
        <f>GREET1_Import_Export!G517/2000</f>
        <v>5.5020949587148164E-4</v>
      </c>
      <c r="AM40" s="347">
        <f>Glass!K96</f>
        <v>2.7617323663723979E-3</v>
      </c>
      <c r="AN40" s="348">
        <f>Glass!Q96</f>
        <v>5.5612776099984761E-3</v>
      </c>
      <c r="AO40" s="347">
        <f>Vehi_Plastics!AV130</f>
        <v>2.5414802225347519E-2</v>
      </c>
      <c r="AP40" s="348">
        <f>Vehi_Plastics!BH130</f>
        <v>1.5776012973328399E-2</v>
      </c>
      <c r="AQ40" s="347">
        <f>Vehi_Plastics!BJ130</f>
        <v>2.3158251338204955E-2</v>
      </c>
      <c r="AR40" s="349">
        <f>Vehi_Plastics!BR130</f>
        <v>1.0976752727549702E-2</v>
      </c>
      <c r="AS40" s="349">
        <f>Vehi_Plastics!BZ130</f>
        <v>1.4013281948330307E-2</v>
      </c>
      <c r="AT40" s="349">
        <f>Vehi_Plastics!CB130</f>
        <v>5.9019473107974528E-2</v>
      </c>
      <c r="AU40" s="348">
        <f>Vehi_Plastics!CD130</f>
        <v>0.11707412689015922</v>
      </c>
      <c r="AV40" s="494">
        <f>Rubber!J90</f>
        <v>6.0238406469961293E-3</v>
      </c>
      <c r="AW40" s="494">
        <f>Platinum!O94</f>
        <v>1.1793152317329518</v>
      </c>
      <c r="AX40" s="494">
        <f>Vanadium!F84</f>
        <v>0</v>
      </c>
      <c r="AY40" s="494">
        <f>Zirconium!F84</f>
        <v>3.8702208809899268E-2</v>
      </c>
      <c r="AZ40" s="494">
        <f>Titanium!F81</f>
        <v>0</v>
      </c>
      <c r="BA40" s="494">
        <f>Chromium!F81</f>
        <v>0</v>
      </c>
      <c r="BB40" s="494">
        <f>'Rare Earth'!F81</f>
        <v>0.12599024863936426</v>
      </c>
      <c r="BC40" s="494">
        <f>Manganese!H98/2000</f>
        <v>1.0062479171998168E-2</v>
      </c>
      <c r="BD40" s="494">
        <f>Manganese!E98</f>
        <v>1.1518952759253791E-2</v>
      </c>
      <c r="BE40" s="494">
        <f t="shared" si="19"/>
        <v>5.5612776099984761E-3</v>
      </c>
      <c r="BF40" s="347">
        <f>Vehi_Plastics!W130/2000</f>
        <v>0.1437045346629082</v>
      </c>
      <c r="BG40" s="348">
        <f t="shared" si="2"/>
        <v>0.50296587132017867</v>
      </c>
      <c r="BH40" s="347">
        <f>'FC Materials'!C81</f>
        <v>5.7148151412111815E-3</v>
      </c>
      <c r="BI40" s="349">
        <f>'FC Materials'!E81</f>
        <v>5.5949044136223321E-3</v>
      </c>
      <c r="BJ40" s="348">
        <f>'FC Materials'!G81</f>
        <v>1.2923874628866785E-2</v>
      </c>
      <c r="BK40" s="347">
        <f>LiMn2O4!L115/2000</f>
        <v>8.0103238295154405E-3</v>
      </c>
      <c r="BL40" s="349">
        <f ca="1">Other_Cathodes!E144/2000</f>
        <v>6.7059205721325579E-2</v>
      </c>
      <c r="BM40" s="349">
        <f ca="1">Other_Cathodes!$G$16*Other_Cathodes!$F$9*(Nickel!$B$57*Nickel!$F$80*Nickel!B163+Nickel!$C$57*Nickel!H163)/2000</f>
        <v>2.7790833635034586E-3</v>
      </c>
      <c r="BN40" s="349">
        <f ca="1">Other_Cathodes!$G$16*Other_Cathodes!$F$9*(Nickel!AC163)/2000-BM40</f>
        <v>1.2367955280997055E-2</v>
      </c>
      <c r="BO40" s="349">
        <f>Other_Cathodes!$G$16*Other_Cathodes!$F$11*Other_Cathodes!$B$7*Other_Cathodes!C177/2000</f>
        <v>1.0473166018519725E-4</v>
      </c>
      <c r="BP40" s="349">
        <f ca="1">Other_Cathodes!$G$16*Other_Cathodes!$F$10*Cobalt!$C$18*Cobalt!B111/2000</f>
        <v>9.5250330947380373E-4</v>
      </c>
      <c r="BQ40" s="349">
        <f ca="1">Other_Cathodes!$G$16*Other_Cathodes!$F$10*Cobalt!G111/2000-Mat_Sum!BP40</f>
        <v>1.3318389786885654E-2</v>
      </c>
      <c r="BR40" s="349">
        <f>Other_Cathodes!$G$26*Li_Chemicals!V132/2000</f>
        <v>6.340787269044453E-3</v>
      </c>
      <c r="BS40" s="349">
        <f t="shared" ca="1" si="3"/>
        <v>3.3351910763165606E-2</v>
      </c>
      <c r="BT40" s="349">
        <f ca="1">(Other_Cathodes!G144*'Battery Recycling'!$F$38+'Battery Recycling'!$E$38*'Battery Recycling'!K159)/2000</f>
        <v>6.9215361433255226E-2</v>
      </c>
      <c r="BU40" s="349">
        <f ca="1">Other_Cathodes!I144/2000</f>
        <v>7.1580644483091524E-2</v>
      </c>
      <c r="BV40" s="349">
        <f ca="1">Other_Cathodes!K144/2000</f>
        <v>7.4577718599630624E-2</v>
      </c>
      <c r="BW40" s="349">
        <f ca="1">Other_Cathodes!M144/2000</f>
        <v>9.3150712445066675E-2</v>
      </c>
      <c r="BX40" s="349">
        <f ca="1">Other_Cathodes!O144/2000</f>
        <v>5.6039454946197241E-2</v>
      </c>
      <c r="BY40" s="349">
        <f ca="1">Other_Cathodes!R144/2000</f>
        <v>3.2568283209291365E-2</v>
      </c>
      <c r="BZ40" s="349">
        <f ca="1">Other_Cathodes!P144/2000</f>
        <v>2.2066163376113775E-2</v>
      </c>
      <c r="CA40" s="349">
        <f ca="1">Other_Cathodes!V144/2000</f>
        <v>1.3896043330314488E-2</v>
      </c>
      <c r="CB40" s="349">
        <f ca="1">Other_Cathodes!U144/2000</f>
        <v>8.3601423115999982E-2</v>
      </c>
      <c r="CC40" s="349">
        <f ca="1">Other_Cathodes!S144/2000</f>
        <v>7.2952589522727179E-2</v>
      </c>
      <c r="CD40" s="349">
        <f ca="1">Other_Cathodes!AB144/2000</f>
        <v>9.6205460471373225E-2</v>
      </c>
      <c r="CE40" s="348">
        <f>Battery_Materials!K114</f>
        <v>5.5252175304339327E-3</v>
      </c>
      <c r="CF40" s="494">
        <f ca="1">Anode!C106</f>
        <v>4.300319306807758E-2</v>
      </c>
      <c r="CG40" s="494">
        <f>Battery_Materials!C114</f>
        <v>9.3907299981747742E-3</v>
      </c>
      <c r="CH40" s="347"/>
      <c r="CI40" s="347">
        <f>Battery_Materials!E114</f>
        <v>8.4495071974591024E-2</v>
      </c>
      <c r="CJ40" s="349">
        <f>Battery_Materials!G114</f>
        <v>3.0059005261570144E-3</v>
      </c>
      <c r="CK40" s="348">
        <f>Battery_Materials!I114</f>
        <v>1.085206775232021E-2</v>
      </c>
      <c r="CL40" s="494">
        <f>Battery_Materials!M114</f>
        <v>0.13584396178061758</v>
      </c>
      <c r="CM40" s="494">
        <f>Vehi_Fluids!J97</f>
        <v>6.2500882074004649E-3</v>
      </c>
      <c r="CN40" s="494">
        <f ca="1">Silicon!C97</f>
        <v>1.2017275195931019</v>
      </c>
      <c r="CO40" s="494">
        <f ca="1">Silicon!E97</f>
        <v>0.20804092782243463</v>
      </c>
      <c r="CP40" s="494">
        <f xml:space="preserve"> Molybdenum!G92</f>
        <v>6.8958956317309833E-2</v>
      </c>
      <c r="CQ40" s="2637">
        <f xml:space="preserve"> Vehi_Plastics!BB130</f>
        <v>1.1468177324917141E-2</v>
      </c>
    </row>
    <row r="41" spans="1:107">
      <c r="A41" s="483" t="s">
        <v>826</v>
      </c>
      <c r="B41" s="349">
        <f ca="1">Steel!V134</f>
        <v>3.7670503346627394E-2</v>
      </c>
      <c r="C41" s="349">
        <f ca="1">Steel!F168</f>
        <v>3.0603696280740358E-2</v>
      </c>
      <c r="D41" s="349">
        <f t="shared" ca="1" si="13"/>
        <v>3.5804866281233215E-2</v>
      </c>
      <c r="E41" s="348">
        <f ca="1">Steel!F236</f>
        <v>3.8834889725407766E-2</v>
      </c>
      <c r="F41" s="494">
        <f ca="1">'C.Iron'!K88</f>
        <v>9.9766084100572049E-3</v>
      </c>
      <c r="G41" s="349">
        <f ca="1">W.Al!V154</f>
        <v>0.38536048073811985</v>
      </c>
      <c r="H41" s="349">
        <f ca="1">W.Al!S192</f>
        <v>4.5456893283974203E-2</v>
      </c>
      <c r="I41" s="348">
        <f t="shared" ca="1" si="14"/>
        <v>0.34797108611816385</v>
      </c>
      <c r="J41" s="349">
        <f ca="1">'C.Al'!J143</f>
        <v>0.42094671781039494</v>
      </c>
      <c r="K41" s="349">
        <f ca="1">'C.Al'!G179</f>
        <v>4.6377735368765112E-2</v>
      </c>
      <c r="L41" s="348">
        <f t="shared" ca="1" si="15"/>
        <v>0.10256308273500958</v>
      </c>
      <c r="M41" s="347">
        <f ca="1">Lead!F86</f>
        <v>2.1236285694712174E-2</v>
      </c>
      <c r="N41" s="349">
        <f>Lead!H86</f>
        <v>9.6783736358443958E-5</v>
      </c>
      <c r="O41" s="348">
        <f t="shared" ca="1" si="16"/>
        <v>5.8044492651139513E-3</v>
      </c>
      <c r="P41" s="347">
        <f ca="1">Nickel!R164</f>
        <v>0.79584298651120722</v>
      </c>
      <c r="Q41" s="349">
        <f>Nickel!T164</f>
        <v>1.8103289047669797E-2</v>
      </c>
      <c r="R41" s="349">
        <f ca="1">$B$9*SUM(Nickel!B164:D164)/2000</f>
        <v>0.35861278843857752</v>
      </c>
      <c r="S41" s="349">
        <f ca="1">$B$9*Nickel!E164/2000</f>
        <v>8.7059284007698495E-2</v>
      </c>
      <c r="T41" s="349">
        <f>$C$9*Nickel!F164/2000</f>
        <v>7.9654471809747097E-3</v>
      </c>
      <c r="U41" s="348">
        <f t="shared" ca="1" si="17"/>
        <v>0.4536375196272508</v>
      </c>
      <c r="V41" s="347">
        <f ca="1">Nickel!AF164</f>
        <v>0.5247775490443769</v>
      </c>
      <c r="W41" s="349">
        <f>Nickel!AH164</f>
        <v>2.7918462068497983E-3</v>
      </c>
      <c r="X41" s="348">
        <f t="shared" ca="1" si="1"/>
        <v>0.29510383979586496</v>
      </c>
      <c r="Y41" s="817">
        <f ca="1">Nickel!V164</f>
        <v>0.79584298651120722</v>
      </c>
      <c r="Z41" s="494">
        <f ca="1">Cobalt!N112</f>
        <v>0.57240818275474326</v>
      </c>
      <c r="AA41" s="494">
        <f ca="1">Cobalt!J112</f>
        <v>0.30610367803953048</v>
      </c>
      <c r="AB41" s="494">
        <f ca="1">SUM(Cobalt!B112:C112)/2000</f>
        <v>1.7301332165455045E-2</v>
      </c>
      <c r="AC41" s="494">
        <f ca="1">SUM(Cobalt!D112,Cobalt!F112)/2000</f>
        <v>1.0326577796886696</v>
      </c>
      <c r="AD41" s="494">
        <f ca="1">Cobalt!P112</f>
        <v>1.0499591118541247</v>
      </c>
      <c r="AE41" s="348">
        <f>Copper!M89</f>
        <v>9.3330329844997732E-3</v>
      </c>
      <c r="AF41" s="348">
        <f>Copper!N89</f>
        <v>0.10972201889495463</v>
      </c>
      <c r="AG41" s="348">
        <f>Copper!L89</f>
        <v>0.11905505187945439</v>
      </c>
      <c r="AH41" s="348">
        <f>Zinc!F98</f>
        <v>0.16001790875658417</v>
      </c>
      <c r="AI41" s="349">
        <f ca="1">Magnesium!H96</f>
        <v>0.52039469787640602</v>
      </c>
      <c r="AJ41" s="349">
        <f>Magnesium!J96</f>
        <v>3.07781196686291E-2</v>
      </c>
      <c r="AK41" s="348">
        <f t="shared" ca="1" si="18"/>
        <v>0.26530446063015423</v>
      </c>
      <c r="AL41" s="348">
        <f>GREET1_Import_Export!G518/2000</f>
        <v>4.0175851421079762E-3</v>
      </c>
      <c r="AM41" s="347">
        <f>Glass!K97</f>
        <v>2.3310336741047134E-2</v>
      </c>
      <c r="AN41" s="348">
        <f>Glass!Q97</f>
        <v>4.6679768774151441E-2</v>
      </c>
      <c r="AO41" s="347">
        <f>Vehi_Plastics!AV131</f>
        <v>0.60644880200296902</v>
      </c>
      <c r="AP41" s="348">
        <f>Vehi_Plastics!BH131</f>
        <v>0.24502957909198961</v>
      </c>
      <c r="AQ41" s="347">
        <f>Vehi_Plastics!BJ131</f>
        <v>0.56366077380618773</v>
      </c>
      <c r="AR41" s="349">
        <f>Vehi_Plastics!BR131</f>
        <v>0.16876605221870142</v>
      </c>
      <c r="AS41" s="349">
        <f>Vehi_Plastics!BZ131</f>
        <v>0.11408256096428579</v>
      </c>
      <c r="AT41" s="349">
        <f>Vehi_Plastics!CB131</f>
        <v>0.40464814019151307</v>
      </c>
      <c r="AU41" s="348">
        <f>Vehi_Plastics!CD131</f>
        <v>0.79377472187439813</v>
      </c>
      <c r="AV41" s="494">
        <f>Rubber!J91</f>
        <v>3.3606268977447618E-2</v>
      </c>
      <c r="AW41" s="494">
        <f>Platinum!O95</f>
        <v>15.676178539227424</v>
      </c>
      <c r="AX41" s="494">
        <f>Vanadium!F85</f>
        <v>0</v>
      </c>
      <c r="AY41" s="494">
        <f>Zirconium!F85</f>
        <v>0.32918775683903395</v>
      </c>
      <c r="AZ41" s="494">
        <f>Titanium!F82</f>
        <v>0</v>
      </c>
      <c r="BA41" s="494">
        <f>Chromium!F82</f>
        <v>0</v>
      </c>
      <c r="BB41" s="494">
        <f>'Rare Earth'!F82</f>
        <v>1.0662873661417882</v>
      </c>
      <c r="BC41" s="494">
        <f>Manganese!H99/2000</f>
        <v>8.2473579792554957E-2</v>
      </c>
      <c r="BD41" s="494">
        <f>Manganese!E99</f>
        <v>5.1748701796932507E-2</v>
      </c>
      <c r="BE41" s="494">
        <f t="shared" si="19"/>
        <v>4.6679768774151441E-2</v>
      </c>
      <c r="BF41" s="347">
        <f>Vehi_Plastics!W131/2000</f>
        <v>0.97101870732611384</v>
      </c>
      <c r="BG41" s="348">
        <f t="shared" si="2"/>
        <v>3.3985654756413983</v>
      </c>
      <c r="BH41" s="347">
        <f>'FC Materials'!C82</f>
        <v>4.8484584292306739E-2</v>
      </c>
      <c r="BI41" s="349">
        <f>'FC Materials'!E82</f>
        <v>4.7467259735750528E-2</v>
      </c>
      <c r="BJ41" s="348">
        <f>'FC Materials'!G82</f>
        <v>6.9734979455321339E-2</v>
      </c>
      <c r="BK41" s="347">
        <f>LiMn2O4!L116/2000</f>
        <v>6.7056584582452047E-2</v>
      </c>
      <c r="BL41" s="349">
        <f ca="1">Other_Cathodes!E145/2000</f>
        <v>0.58932698807642525</v>
      </c>
      <c r="BM41" s="349">
        <f ca="1">Other_Cathodes!$G$16*Other_Cathodes!$F$9*(Nickel!$B$57*Nickel!$F$80*Nickel!B164+Nickel!$C$57*Nickel!H164)/2000</f>
        <v>2.1613345158755803E-2</v>
      </c>
      <c r="BN41" s="349">
        <f ca="1">Other_Cathodes!$G$16*Other_Cathodes!$F$9*(Nickel!AC164)/2000-BM41</f>
        <v>0.11279354299939014</v>
      </c>
      <c r="BO41" s="349">
        <f>Other_Cathodes!$G$16*Other_Cathodes!$F$11*Other_Cathodes!$B$7*Other_Cathodes!C178/2000</f>
        <v>5.3790279761414047E-4</v>
      </c>
      <c r="BP41" s="349">
        <f ca="1">Other_Cathodes!$G$16*Other_Cathodes!$F$10*Cobalt!$C$18*Cobalt!B112/2000</f>
        <v>2.156501273171664E-3</v>
      </c>
      <c r="BQ41" s="349">
        <f ca="1">Other_Cathodes!$G$16*Other_Cathodes!$F$10*Cobalt!G112/2000-Mat_Sum!BP41</f>
        <v>0.13518061688087829</v>
      </c>
      <c r="BR41" s="349">
        <f>Other_Cathodes!$G$26*Li_Chemicals!V133/2000</f>
        <v>5.8853106306373908E-2</v>
      </c>
      <c r="BS41" s="349">
        <f t="shared" ca="1" si="3"/>
        <v>0.28190267002191516</v>
      </c>
      <c r="BT41" s="349">
        <f ca="1">(Other_Cathodes!G145*'Battery Recycling'!$F$38+'Battery Recycling'!$E$38*'Battery Recycling'!K160)/2000</f>
        <v>0.61303768543809911</v>
      </c>
      <c r="BU41" s="349">
        <f ca="1">Other_Cathodes!I145/2000</f>
        <v>0.63009977974655995</v>
      </c>
      <c r="BV41" s="349">
        <f ca="1">Other_Cathodes!K145/2000</f>
        <v>0.6569339349777229</v>
      </c>
      <c r="BW41" s="349">
        <f ca="1">Other_Cathodes!M145/2000</f>
        <v>0.84325840964636656</v>
      </c>
      <c r="BX41" s="349">
        <f ca="1">Other_Cathodes!O145/2000</f>
        <v>0.4567650196842965</v>
      </c>
      <c r="BY41" s="349">
        <f ca="1">Other_Cathodes!R145/2000</f>
        <v>0.29629430847140203</v>
      </c>
      <c r="BZ41" s="349">
        <f ca="1">Other_Cathodes!P145/2000</f>
        <v>0.22364345672869229</v>
      </c>
      <c r="CA41" s="349">
        <f ca="1">Other_Cathodes!V145/2000</f>
        <v>0.11544489072682046</v>
      </c>
      <c r="CB41" s="349">
        <f ca="1">Other_Cathodes!U145/2000</f>
        <v>0.78982394718512305</v>
      </c>
      <c r="CC41" s="349">
        <f ca="1">Other_Cathodes!S145/2000</f>
        <v>0.67206260582187483</v>
      </c>
      <c r="CD41" s="349">
        <f ca="1">Other_Cathodes!AB145/2000</f>
        <v>0.87253054546835174</v>
      </c>
      <c r="CE41" s="348">
        <f>Battery_Materials!K115</f>
        <v>3.1709159705889008E-2</v>
      </c>
      <c r="CF41" s="494">
        <f ca="1">Anode!C107</f>
        <v>0.5108676299769439</v>
      </c>
      <c r="CG41" s="494">
        <f>Battery_Materials!C115</f>
        <v>7.8787706815310637E-2</v>
      </c>
      <c r="CH41" s="347"/>
      <c r="CI41" s="347">
        <f>Battery_Materials!E115</f>
        <v>0.71101261988681974</v>
      </c>
      <c r="CJ41" s="349">
        <f>Battery_Materials!G115</f>
        <v>8.4206873320037141E-3</v>
      </c>
      <c r="CK41" s="348">
        <f>Battery_Materials!I115</f>
        <v>3.0157700207665866E-2</v>
      </c>
      <c r="CL41" s="494">
        <f>Battery_Materials!M115</f>
        <v>1.1510612355832019</v>
      </c>
      <c r="CM41" s="494">
        <f>Vehi_Fluids!J98</f>
        <v>1.3166617834043787E-2</v>
      </c>
      <c r="CN41" s="494">
        <f ca="1">Silicon!C98</f>
        <v>11.189286429855974</v>
      </c>
      <c r="CO41" s="494">
        <f ca="1">Silicon!E98</f>
        <v>2.1705400956808241</v>
      </c>
      <c r="CP41" s="494">
        <f xml:space="preserve"> Molybdenum!G93</f>
        <v>0.30520160819034331</v>
      </c>
      <c r="CQ41" s="2637">
        <f xml:space="preserve"> Vehi_Plastics!BB131</f>
        <v>8.2171218360548137E-2</v>
      </c>
      <c r="CR41" s="64"/>
      <c r="CS41" s="64"/>
      <c r="CT41" s="64"/>
      <c r="CU41" s="64"/>
      <c r="CV41" s="64"/>
      <c r="CW41" s="64"/>
      <c r="CX41" s="64"/>
      <c r="CY41" s="64"/>
      <c r="CZ41" s="64"/>
      <c r="DA41" s="64"/>
      <c r="DB41" s="64"/>
      <c r="DC41" s="64"/>
    </row>
    <row r="42" spans="1:107">
      <c r="A42" s="291" t="s">
        <v>827</v>
      </c>
      <c r="B42" s="349">
        <f ca="1">Steel!V135</f>
        <v>2.2838732364925356E-4</v>
      </c>
      <c r="C42" s="349">
        <f ca="1">Steel!F169</f>
        <v>1.8815503250848737E-4</v>
      </c>
      <c r="D42" s="349">
        <f t="shared" ca="1" si="13"/>
        <v>2.177659987880913E-4</v>
      </c>
      <c r="E42" s="348">
        <f ca="1">Steel!F237</f>
        <v>2.3845864583834809E-4</v>
      </c>
      <c r="F42" s="494">
        <f ca="1">'C.Iron'!K89</f>
        <v>1.0321794289259447E-4</v>
      </c>
      <c r="G42" s="349">
        <f ca="1">W.Al!V155</f>
        <v>1.7561090189314129E-3</v>
      </c>
      <c r="H42" s="349">
        <f ca="1">W.Al!S193</f>
        <v>2.3630283657017623E-4</v>
      </c>
      <c r="I42" s="348">
        <f t="shared" ca="1" si="14"/>
        <v>1.5889303388716769E-3</v>
      </c>
      <c r="J42" s="349">
        <f ca="1">'C.Al'!J144</f>
        <v>1.9137030557764608E-3</v>
      </c>
      <c r="K42" s="349">
        <f ca="1">'C.Al'!G180</f>
        <v>2.3889797502001347E-4</v>
      </c>
      <c r="L42" s="348">
        <f t="shared" ca="1" si="15"/>
        <v>4.9011873713348056E-4</v>
      </c>
      <c r="M42" s="347">
        <f ca="1">Lead!F87</f>
        <v>1.4882963483686386E-4</v>
      </c>
      <c r="N42" s="349">
        <f>Lead!H87</f>
        <v>2.8735645498662838E-6</v>
      </c>
      <c r="O42" s="348">
        <f t="shared" ca="1" si="16"/>
        <v>4.2281703527355632E-5</v>
      </c>
      <c r="P42" s="347">
        <f ca="1">Nickel!R165</f>
        <v>4.3062210881891745E-3</v>
      </c>
      <c r="Q42" s="349">
        <f>Nickel!T165</f>
        <v>1.6115415563732968E-4</v>
      </c>
      <c r="R42" s="349">
        <f ca="1">$B$9*SUM(Nickel!B165:D165)/2000</f>
        <v>1.9545584818632849E-3</v>
      </c>
      <c r="S42" s="349">
        <f ca="1">$B$9*Nickel!E165/2000</f>
        <v>4.5692532752265305E-4</v>
      </c>
      <c r="T42" s="349">
        <f>$C$9*Nickel!F165/2000</f>
        <v>7.0907828480425055E-5</v>
      </c>
      <c r="U42" s="348">
        <f t="shared" ca="1" si="17"/>
        <v>2.4823916378663631E-3</v>
      </c>
      <c r="V42" s="347">
        <f ca="1">Nickel!AF165</f>
        <v>2.8556167263564729E-3</v>
      </c>
      <c r="W42" s="349">
        <f>Nickel!AH165</f>
        <v>2.4852810831746236E-5</v>
      </c>
      <c r="X42" s="348">
        <f ca="1">V42*$B$9+W42*$C$9</f>
        <v>1.6100806035255933E-3</v>
      </c>
      <c r="Y42" s="817">
        <f ca="1">Nickel!V165</f>
        <v>4.3062210881891745E-3</v>
      </c>
      <c r="Z42" s="494">
        <f ca="1">Cobalt!N113</f>
        <v>3.5624900501485357E-3</v>
      </c>
      <c r="AA42" s="494">
        <f ca="1">Cobalt!J113</f>
        <v>1.8805859700481977E-3</v>
      </c>
      <c r="AB42" s="494">
        <f ca="1">SUM(Cobalt!B113:C113)/2000</f>
        <v>7.0564256534240909E-4</v>
      </c>
      <c r="AC42" s="494">
        <f ca="1">SUM(Cobalt!D113,Cobalt!F113)/2000</f>
        <v>4.6686554338540914E-3</v>
      </c>
      <c r="AD42" s="494">
        <f ca="1">Cobalt!P113</f>
        <v>5.3742979991964999E-3</v>
      </c>
      <c r="AE42" s="348">
        <f>Copper!M90</f>
        <v>7.799807618276853E-5</v>
      </c>
      <c r="AF42" s="348">
        <f>Copper!N90</f>
        <v>6.5626304513737835E-4</v>
      </c>
      <c r="AG42" s="348">
        <f>Copper!L90</f>
        <v>7.342611213201468E-4</v>
      </c>
      <c r="AH42" s="348">
        <f>Zinc!F99</f>
        <v>9.9243663701241111E-4</v>
      </c>
      <c r="AI42" s="349">
        <f ca="1">Magnesium!H97</f>
        <v>3.252950184588359E-3</v>
      </c>
      <c r="AJ42" s="349">
        <f>Magnesium!J97</f>
        <v>1.9182401202541088E-4</v>
      </c>
      <c r="AK42" s="348">
        <f t="shared" ca="1" si="18"/>
        <v>1.6581034486830629E-3</v>
      </c>
      <c r="AL42" s="348">
        <f>GREET1_Import_Export!G519/2000</f>
        <v>7.1489501190940183E-5</v>
      </c>
      <c r="AM42" s="347">
        <f>Glass!K98</f>
        <v>1.5469341538303127E-4</v>
      </c>
      <c r="AN42" s="348">
        <f>Glass!Q98</f>
        <v>3.1184366758049388E-4</v>
      </c>
      <c r="AO42" s="347">
        <f>Vehi_Plastics!AV132</f>
        <v>2.0382647827694002E-3</v>
      </c>
      <c r="AP42" s="348">
        <f>Vehi_Plastics!BH132</f>
        <v>1.6048602860253909E-3</v>
      </c>
      <c r="AQ42" s="347">
        <f>Vehi_Plastics!BJ132</f>
        <v>1.7039192488379736E-3</v>
      </c>
      <c r="AR42" s="349">
        <f>Vehi_Plastics!BR132</f>
        <v>7.6567281044291212E-4</v>
      </c>
      <c r="AS42" s="349">
        <f>Vehi_Plastics!BZ132</f>
        <v>8.0775003605250667E-4</v>
      </c>
      <c r="AT42" s="349">
        <f>Vehi_Plastics!CB132</f>
        <v>3.6009769633523624E-3</v>
      </c>
      <c r="AU42" s="348">
        <f>Vehi_Plastics!CD132</f>
        <v>7.0288015321053679E-3</v>
      </c>
      <c r="AV42" s="494">
        <f>Rubber!J92</f>
        <v>4.9380491736529162E-4</v>
      </c>
      <c r="AW42" s="494">
        <f>Platinum!O96</f>
        <v>5.2110238965955021E-2</v>
      </c>
      <c r="AX42" s="494">
        <f>Vanadium!F86</f>
        <v>0</v>
      </c>
      <c r="AY42" s="494">
        <f>Zirconium!F86</f>
        <v>2.0724781824803641E-3</v>
      </c>
      <c r="AZ42" s="494">
        <f>Titanium!F83</f>
        <v>0</v>
      </c>
      <c r="BA42" s="494">
        <f>Chromium!F83</f>
        <v>0</v>
      </c>
      <c r="BB42" s="494">
        <f>'Rare Earth'!F83</f>
        <v>6.4930234514745744E-3</v>
      </c>
      <c r="BC42" s="494">
        <f>Manganese!H100/2000</f>
        <v>5.514017870677599E-4</v>
      </c>
      <c r="BD42" s="494">
        <f>Manganese!E100</f>
        <v>1.0686544001835118E-3</v>
      </c>
      <c r="BE42" s="494">
        <f t="shared" si="19"/>
        <v>3.1184366758049388E-4</v>
      </c>
      <c r="BF42" s="347">
        <f>Vehi_Plastics!W132/2000</f>
        <v>8.5686205750010163E-3</v>
      </c>
      <c r="BG42" s="348">
        <f>BF42*3.5</f>
        <v>2.9990172012503556E-2</v>
      </c>
      <c r="BH42" s="347">
        <f>'FC Materials'!C83</f>
        <v>3.0015221805874801E-4</v>
      </c>
      <c r="BI42" s="349">
        <f>'FC Materials'!E83</f>
        <v>2.9385429415998779E-4</v>
      </c>
      <c r="BJ42" s="348">
        <f>'FC Materials'!G83</f>
        <v>1.0762281525281724E-3</v>
      </c>
      <c r="BK42" s="347">
        <f>LiMn2O4!L117/2000</f>
        <v>4.7187111039024486E-4</v>
      </c>
      <c r="BL42" s="349">
        <f ca="1">Other_Cathodes!E146/2000</f>
        <v>4.0215178293125219E-3</v>
      </c>
      <c r="BM42" s="349">
        <f ca="1">Other_Cathodes!$G$16*Other_Cathodes!$F$9*(Nickel!$B$57*Nickel!$F$80*Nickel!B165+Nickel!$C$57*Nickel!H165)/2000</f>
        <v>2.266185205316406E-4</v>
      </c>
      <c r="BN42" s="349">
        <f ca="1">Other_Cathodes!$G$16*Other_Cathodes!$F$9*(Nickel!AC165)/2000-BM42</f>
        <v>7.976215080627235E-4</v>
      </c>
      <c r="BO42" s="349">
        <f>Other_Cathodes!$G$16*Other_Cathodes!$F$11*Other_Cathodes!$B$7*Other_Cathodes!C179/2000</f>
        <v>0</v>
      </c>
      <c r="BP42" s="349">
        <f ca="1">Other_Cathodes!$G$16*Other_Cathodes!$F$10*Cobalt!$C$18*Cobalt!B113/2000</f>
        <v>1.2119675237014689E-4</v>
      </c>
      <c r="BQ42" s="349">
        <f ca="1">Other_Cathodes!$G$16*Other_Cathodes!$F$10*Cobalt!G113/2000-Mat_Sum!BP42</f>
        <v>7.2255089294238082E-4</v>
      </c>
      <c r="BR42" s="349">
        <f>Other_Cathodes!$G$26*Li_Chemicals!V134/2000</f>
        <v>4.5974380847104568E-4</v>
      </c>
      <c r="BS42" s="349">
        <f t="shared" ca="1" si="3"/>
        <v>1.793820831533721E-3</v>
      </c>
      <c r="BT42" s="349">
        <f ca="1">(Other_Cathodes!G146*'Battery Recycling'!$F$38+'Battery Recycling'!$E$38*'Battery Recycling'!K161)/2000</f>
        <v>4.1215523139116585E-3</v>
      </c>
      <c r="BU42" s="349">
        <f ca="1">Other_Cathodes!I146/2000</f>
        <v>4.3292917934241752E-3</v>
      </c>
      <c r="BV42" s="349">
        <f ca="1">Other_Cathodes!K146/2000</f>
        <v>4.5380293348508223E-3</v>
      </c>
      <c r="BW42" s="349">
        <f ca="1">Other_Cathodes!M146/2000</f>
        <v>5.601903517017756E-3</v>
      </c>
      <c r="BX42" s="349">
        <f ca="1">Other_Cathodes!O146/2000</f>
        <v>3.3639605431407659E-3</v>
      </c>
      <c r="BY42" s="349">
        <f ca="1">Other_Cathodes!R146/2000</f>
        <v>2.1408233192820054E-3</v>
      </c>
      <c r="BZ42" s="349">
        <f ca="1">Other_Cathodes!P146/2000</f>
        <v>1.4898801628932228E-3</v>
      </c>
      <c r="CA42" s="349">
        <f ca="1">Other_Cathodes!V146/2000</f>
        <v>1.2331371393895253E-3</v>
      </c>
      <c r="CB42" s="349">
        <f ca="1">Other_Cathodes!U146/2000</f>
        <v>4.8533498021388639E-3</v>
      </c>
      <c r="CC42" s="349">
        <f ca="1">Other_Cathodes!S146/2000</f>
        <v>4.2512058940823291E-3</v>
      </c>
      <c r="CD42" s="349">
        <f ca="1">Other_Cathodes!AB146/2000</f>
        <v>5.8178177437834171E-3</v>
      </c>
      <c r="CE42" s="348">
        <f>Battery_Materials!K116</f>
        <v>3.3998642707385276E-4</v>
      </c>
      <c r="CF42" s="494">
        <f ca="1">Anode!C108</f>
        <v>2.3308845959851086E-3</v>
      </c>
      <c r="CG42" s="494">
        <f>Battery_Materials!C116</f>
        <v>5.0164589943641673E-4</v>
      </c>
      <c r="CH42" s="347"/>
      <c r="CI42" s="347">
        <f>Battery_Materials!E116</f>
        <v>4.608340168753406E-3</v>
      </c>
      <c r="CJ42" s="349">
        <f>Battery_Materials!G116</f>
        <v>2.4849485332654271E-4</v>
      </c>
      <c r="CK42" s="348">
        <f>Battery_Materials!I116</f>
        <v>8.9888070310622538E-4</v>
      </c>
      <c r="CL42" s="494">
        <f>Battery_Materials!M116</f>
        <v>7.0663389380839162E-3</v>
      </c>
      <c r="CM42" s="494">
        <f>Vehi_Fluids!J99</f>
        <v>5.4155415909712596E-4</v>
      </c>
      <c r="CN42" s="494">
        <f ca="1">Silicon!C99</f>
        <v>6.4442888609051965E-2</v>
      </c>
      <c r="CO42" s="494">
        <f ca="1">Silicon!E99</f>
        <v>1.1656680491734319E-2</v>
      </c>
      <c r="CP42" s="494">
        <f xml:space="preserve"> Molybdenum!G94</f>
        <v>6.9538854762060259E-3</v>
      </c>
      <c r="CQ42" s="2637">
        <f xml:space="preserve"> Vehi_Plastics!BB132</f>
        <v>7.9231849932728533E-4</v>
      </c>
      <c r="CR42" s="64"/>
      <c r="CS42" s="64"/>
      <c r="CT42" s="64"/>
      <c r="CU42" s="64"/>
      <c r="CV42" s="64"/>
      <c r="CW42" s="64"/>
      <c r="CX42" s="64"/>
      <c r="CY42" s="64"/>
      <c r="CZ42" s="64"/>
      <c r="DA42" s="64"/>
      <c r="DB42" s="64"/>
      <c r="DC42" s="64"/>
    </row>
    <row r="43" spans="1:107">
      <c r="A43" s="292" t="s">
        <v>828</v>
      </c>
      <c r="B43" s="505">
        <f ca="1">Steel!V136</f>
        <v>1.3054306077076605E-3</v>
      </c>
      <c r="C43" s="505">
        <f ca="1">Steel!F170</f>
        <v>1.0337703578897556E-3</v>
      </c>
      <c r="D43" s="505">
        <f t="shared" ca="1" si="13"/>
        <v>1.2337123017557336E-3</v>
      </c>
      <c r="E43" s="502">
        <f ca="1">Steel!F238</f>
        <v>1.3118884428210656E-3</v>
      </c>
      <c r="F43" s="504">
        <f ca="1">'C.Iron'!K90</f>
        <v>4.0022703153688965E-4</v>
      </c>
      <c r="G43" s="505">
        <f ca="1">W.Al!V156</f>
        <v>4.828047150720609E-3</v>
      </c>
      <c r="H43" s="505">
        <f ca="1">W.Al!S194</f>
        <v>8.7969743395915488E-4</v>
      </c>
      <c r="I43" s="502">
        <f t="shared" ca="1" si="14"/>
        <v>4.3937286818768496E-3</v>
      </c>
      <c r="J43" s="505">
        <f ca="1">'C.Al'!J145</f>
        <v>5.1945362431821181E-3</v>
      </c>
      <c r="K43" s="505">
        <f ca="1">'C.Al'!G181</f>
        <v>8.4351027488294887E-4</v>
      </c>
      <c r="L43" s="502">
        <f t="shared" ca="1" si="15"/>
        <v>1.4961641701278241E-3</v>
      </c>
      <c r="M43" s="503">
        <f ca="1">Lead!F88</f>
        <v>7.5952530875845082E-4</v>
      </c>
      <c r="N43" s="505">
        <f>Lead!H88</f>
        <v>1.2889404648134851E-5</v>
      </c>
      <c r="O43" s="502">
        <f t="shared" ca="1" si="16"/>
        <v>2.1448109875792017E-4</v>
      </c>
      <c r="P43" s="503">
        <f ca="1">Nickel!R166</f>
        <v>1.6238944620092254E-2</v>
      </c>
      <c r="Q43" s="505">
        <f>Nickel!T166</f>
        <v>6.5343593795867325E-4</v>
      </c>
      <c r="R43" s="349">
        <f ca="1">$B$9*SUM(Nickel!B166:D166)/2000</f>
        <v>7.1531583117459569E-3</v>
      </c>
      <c r="S43" s="349">
        <f ca="1">$B$9*Nickel!E166/2000</f>
        <v>1.9406506755057071E-3</v>
      </c>
      <c r="T43" s="349">
        <f>$C$9*Nickel!F166/2000</f>
        <v>2.8751181270181617E-4</v>
      </c>
      <c r="U43" s="502">
        <f t="shared" ca="1" si="17"/>
        <v>9.3813207999534787E-3</v>
      </c>
      <c r="V43" s="503">
        <f ca="1">Nickel!AF166</f>
        <v>1.0988767630041902E-2</v>
      </c>
      <c r="W43" s="505">
        <f>Nickel!AH166</f>
        <v>1.0077133718660256E-4</v>
      </c>
      <c r="X43" s="502">
        <f ca="1">V43*$B$9+W43*$C$9</f>
        <v>6.1980492611855712E-3</v>
      </c>
      <c r="Y43" s="1084">
        <f ca="1">Nickel!V166</f>
        <v>1.6238944620092254E-2</v>
      </c>
      <c r="Z43" s="504">
        <f ca="1">Cobalt!N114</f>
        <v>1.2348255941656458E-2</v>
      </c>
      <c r="AA43" s="504">
        <f ca="1">Cobalt!J114</f>
        <v>6.3316185701639254E-3</v>
      </c>
      <c r="AB43" s="494">
        <f ca="1">SUM(Cobalt!B114:C114)/2000</f>
        <v>1.1272522485859119E-3</v>
      </c>
      <c r="AC43" s="494">
        <f ca="1">SUM(Cobalt!D114,Cobalt!F114)/2000</f>
        <v>1.5311396125970324E-2</v>
      </c>
      <c r="AD43" s="504">
        <f ca="1">Cobalt!P114</f>
        <v>1.6438648374556233E-2</v>
      </c>
      <c r="AE43" s="348">
        <f>Copper!M91</f>
        <v>3.3472514341446701E-4</v>
      </c>
      <c r="AF43" s="348">
        <f>Copper!N91</f>
        <v>2.8842291975276009E-3</v>
      </c>
      <c r="AG43" s="502">
        <f>Copper!L91</f>
        <v>3.2189543409420675E-3</v>
      </c>
      <c r="AH43" s="502">
        <f>Zinc!F100</f>
        <v>5.4232607081895106E-3</v>
      </c>
      <c r="AI43" s="505">
        <f ca="1">Magnesium!H98</f>
        <v>1.7585214807960495E-2</v>
      </c>
      <c r="AJ43" s="505">
        <f>Magnesium!J98</f>
        <v>1.039023859015108E-3</v>
      </c>
      <c r="AK43" s="502">
        <f t="shared" ca="1" si="18"/>
        <v>8.9646493235599478E-3</v>
      </c>
      <c r="AL43" s="502">
        <f>GREET1_Import_Export!G520/2000</f>
        <v>2.0993024886580938E-4</v>
      </c>
      <c r="AM43" s="503">
        <f>Glass!K99</f>
        <v>7.9136868044210054E-4</v>
      </c>
      <c r="AN43" s="502">
        <f>Glass!Q99</f>
        <v>1.5953618572811957E-3</v>
      </c>
      <c r="AO43" s="503">
        <f>Vehi_Plastics!AV133</f>
        <v>7.3363702183730775E-3</v>
      </c>
      <c r="AP43" s="502">
        <f>Vehi_Plastics!BH133</f>
        <v>4.3238247607005195E-3</v>
      </c>
      <c r="AQ43" s="505">
        <f>Vehi_Plastics!BJ133</f>
        <v>4.0958211352638491E-3</v>
      </c>
      <c r="AR43" s="505">
        <f>Vehi_Plastics!BR133</f>
        <v>2.6217862240500698E-3</v>
      </c>
      <c r="AS43" s="505">
        <f>Vehi_Plastics!BZ133</f>
        <v>3.9293820775575502E-3</v>
      </c>
      <c r="AT43" s="505">
        <f>Vehi_Plastics!CB133</f>
        <v>1.4853521364382078E-2</v>
      </c>
      <c r="AU43" s="502">
        <f>Vehi_Plastics!CD133</f>
        <v>2.9236877215523316E-2</v>
      </c>
      <c r="AV43" s="504">
        <f>Rubber!J93</f>
        <v>1.3605505731984853E-3</v>
      </c>
      <c r="AW43" s="504">
        <f>Platinum!O97</f>
        <v>9.9328684512090246E-2</v>
      </c>
      <c r="AX43" s="504">
        <f>Vanadium!F87</f>
        <v>0</v>
      </c>
      <c r="AY43" s="504">
        <f>Zirconium!F87</f>
        <v>1.1107773187490184E-2</v>
      </c>
      <c r="AZ43" s="504">
        <f>Titanium!F84</f>
        <v>0</v>
      </c>
      <c r="BA43" s="504">
        <f>Chromium!F84</f>
        <v>0</v>
      </c>
      <c r="BB43" s="504">
        <f>'Rare Earth'!F84</f>
        <v>3.6033802066833084E-2</v>
      </c>
      <c r="BC43" s="504">
        <f>Manganese!H101/2000</f>
        <v>2.8320047953857043E-3</v>
      </c>
      <c r="BD43" s="504">
        <f>Manganese!E101</f>
        <v>2.3438490547827112E-3</v>
      </c>
      <c r="BE43" s="504">
        <f t="shared" si="19"/>
        <v>1.5953618572811957E-3</v>
      </c>
      <c r="BF43" s="503">
        <f>Vehi_Plastics!W133/2000</f>
        <v>3.580053048352249E-2</v>
      </c>
      <c r="BG43" s="502">
        <f>BF43*3.5</f>
        <v>0.12530185669232871</v>
      </c>
      <c r="BH43" s="503">
        <f>'FC Materials'!C84</f>
        <v>1.6372662976130502E-3</v>
      </c>
      <c r="BI43" s="505">
        <f>'FC Materials'!E84</f>
        <v>1.6029124667099786E-3</v>
      </c>
      <c r="BJ43" s="502">
        <f>'FC Materials'!G84</f>
        <v>2.8692802836557786E-3</v>
      </c>
      <c r="BK43" s="503">
        <f>LiMn2O4!L118/2000</f>
        <v>2.0822815347108685E-3</v>
      </c>
      <c r="BL43" s="505">
        <f ca="1">Other_Cathodes!E147/2000</f>
        <v>1.5892742362918915E-2</v>
      </c>
      <c r="BM43" s="349">
        <f ca="1">Other_Cathodes!$G$16*Other_Cathodes!$F$9*(Nickel!$B$57*Nickel!$F$80*Nickel!B166+Nickel!$C$57*Nickel!H166)/2000</f>
        <v>4.6608528944522368E-4</v>
      </c>
      <c r="BN43" s="349">
        <f ca="1">Other_Cathodes!$G$16*Other_Cathodes!$F$9*(Nickel!AC166)/2000-BM43</f>
        <v>2.4868230200096289E-3</v>
      </c>
      <c r="BO43" s="349">
        <f>Other_Cathodes!$G$16*Other_Cathodes!$F$11*Other_Cathodes!$B$7*Other_Cathodes!C180/2000</f>
        <v>0</v>
      </c>
      <c r="BP43" s="349">
        <f ca="1">Other_Cathodes!$G$16*Other_Cathodes!$F$10*Cobalt!$C$18*Cobalt!B114/2000</f>
        <v>1.7154680248748823E-4</v>
      </c>
      <c r="BQ43" s="349">
        <f ca="1">Other_Cathodes!$G$16*Other_Cathodes!$F$10*Cobalt!G114/2000-Mat_Sum!BP43</f>
        <v>2.669210463959612E-3</v>
      </c>
      <c r="BR43" s="349">
        <f>Other_Cathodes!$G$26*Li_Chemicals!V135/2000</f>
        <v>9.1582290870942937E-4</v>
      </c>
      <c r="BS43" s="349">
        <f t="shared" ca="1" si="3"/>
        <v>9.5872714924890544E-3</v>
      </c>
      <c r="BT43" s="505">
        <f ca="1">(Other_Cathodes!G147*'Battery Recycling'!$F$38+'Battery Recycling'!$E$38*'Battery Recycling'!K162)/2000</f>
        <v>1.6296759977100436E-2</v>
      </c>
      <c r="BU43" s="505">
        <f ca="1">Other_Cathodes!I147/2000</f>
        <v>1.6713440831558193E-2</v>
      </c>
      <c r="BV43" s="505">
        <f ca="1">Other_Cathodes!K147/2000</f>
        <v>1.72396138524657E-2</v>
      </c>
      <c r="BW43" s="505">
        <f ca="1">Other_Cathodes!M147/2000</f>
        <v>2.0648008808703443E-2</v>
      </c>
      <c r="BX43" s="505">
        <f ca="1">Other_Cathodes!O147/2000</f>
        <v>1.5189587595932825E-2</v>
      </c>
      <c r="BY43" s="505">
        <f ca="1">Other_Cathodes!R147/2000</f>
        <v>6.4691263900916538E-3</v>
      </c>
      <c r="BZ43" s="505">
        <f ca="1">Other_Cathodes!P147/2000</f>
        <v>3.9267347875271931E-3</v>
      </c>
      <c r="CA43" s="505">
        <f ca="1">Other_Cathodes!V147/2000</f>
        <v>3.8238352025964902E-3</v>
      </c>
      <c r="CB43" s="505">
        <f ca="1">Other_Cathodes!U147/2000</f>
        <v>1.7917556555134242E-2</v>
      </c>
      <c r="CC43" s="505">
        <f ca="1">Other_Cathodes!S147/2000</f>
        <v>1.6298059643147976E-2</v>
      </c>
      <c r="CD43" s="505">
        <f ca="1">Other_Cathodes!AB147/2000</f>
        <v>2.1259182100681558E-2</v>
      </c>
      <c r="CE43" s="502">
        <f>Battery_Materials!K117</f>
        <v>1.294026535706135E-3</v>
      </c>
      <c r="CF43" s="504">
        <f ca="1">Anode!C109</f>
        <v>4.2768806937976845E-3</v>
      </c>
      <c r="CG43" s="504">
        <f>Battery_Materials!C117</f>
        <v>2.6719348763017806E-3</v>
      </c>
      <c r="CH43" s="503"/>
      <c r="CI43" s="503">
        <f>Battery_Materials!E117</f>
        <v>2.4462842260810053E-2</v>
      </c>
      <c r="CJ43" s="505">
        <f>Battery_Materials!G117</f>
        <v>8.7654749049957388E-4</v>
      </c>
      <c r="CK43" s="502">
        <f>Battery_Materials!I117</f>
        <v>3.1649929977778878E-3</v>
      </c>
      <c r="CL43" s="504">
        <f>Battery_Materials!M117</f>
        <v>3.8884587969796908E-2</v>
      </c>
      <c r="CM43" s="504">
        <f>Vehi_Fluids!J100</f>
        <v>1.8261672458160364E-3</v>
      </c>
      <c r="CN43" s="504">
        <f ca="1">Silicon!C100</f>
        <v>0.34516759998323526</v>
      </c>
      <c r="CO43" s="504">
        <f ca="1">Silicon!E100</f>
        <v>6.0110459262531141E-2</v>
      </c>
      <c r="CP43" s="504">
        <f xml:space="preserve"> Molybdenum!G95</f>
        <v>1.4966724972904971E-2</v>
      </c>
      <c r="CQ43" s="2639">
        <f xml:space="preserve"> Vehi_Plastics!BB133</f>
        <v>2.99188585208838E-3</v>
      </c>
      <c r="CR43" s="64"/>
      <c r="CS43" s="64"/>
      <c r="CT43" s="64"/>
      <c r="CU43" s="64"/>
      <c r="CV43" s="64"/>
      <c r="CW43" s="64"/>
      <c r="CX43" s="64"/>
      <c r="CY43" s="64"/>
      <c r="CZ43" s="64"/>
      <c r="DA43" s="64"/>
      <c r="DB43" s="64"/>
      <c r="DC43" s="64"/>
    </row>
  </sheetData>
  <phoneticPr fontId="5" type="noConversion"/>
  <printOptions headings="1"/>
  <pageMargins left="0.2" right="0.21" top="1" bottom="1" header="0.5" footer="0.5"/>
  <pageSetup orientation="landscape" r:id="rId1"/>
  <headerFooter alignWithMargins="0">
    <oddHeader>&amp;A</oddHeader>
    <oddFooter>Page &amp;P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AT512"/>
  <sheetViews>
    <sheetView showGridLines="0" topLeftCell="A13" zoomScale="85" zoomScaleNormal="85" workbookViewId="0">
      <pane xSplit="2" topLeftCell="C1" activePane="topRight" state="frozen"/>
      <selection pane="topRight" activeCell="C24" sqref="C24"/>
    </sheetView>
  </sheetViews>
  <sheetFormatPr defaultColWidth="8.85546875" defaultRowHeight="12.75"/>
  <cols>
    <col min="1" max="1" width="1.42578125" customWidth="1"/>
    <col min="2" max="2" width="36.7109375" customWidth="1"/>
    <col min="3" max="3" width="12.42578125" customWidth="1"/>
    <col min="4" max="4" width="17" customWidth="1"/>
    <col min="5" max="5" width="11.85546875" customWidth="1"/>
    <col min="6" max="6" width="17.42578125" customWidth="1"/>
    <col min="7" max="7" width="11.85546875" customWidth="1"/>
    <col min="8" max="8" width="10.7109375" customWidth="1"/>
    <col min="9" max="9" width="11.140625" bestFit="1" customWidth="1"/>
    <col min="10" max="10" width="10.7109375" customWidth="1"/>
    <col min="11" max="11" width="11.85546875" bestFit="1" customWidth="1"/>
    <col min="12" max="12" width="10.7109375" customWidth="1"/>
    <col min="15" max="15" width="11.42578125" customWidth="1"/>
    <col min="16" max="16" width="10.140625" customWidth="1"/>
    <col min="26" max="26" width="9" customWidth="1"/>
    <col min="27" max="27" width="12.28515625" customWidth="1"/>
    <col min="28" max="28" width="13.85546875" customWidth="1"/>
  </cols>
  <sheetData>
    <row r="1" spans="1:12" ht="15.75">
      <c r="A1" s="133" t="s">
        <v>247</v>
      </c>
      <c r="B1" s="1321"/>
      <c r="C1" s="1321"/>
      <c r="D1" s="1321"/>
      <c r="E1" s="1321"/>
      <c r="F1" s="1321"/>
      <c r="G1" s="1321"/>
      <c r="H1" s="1321"/>
      <c r="I1" s="1321"/>
      <c r="J1" s="1321"/>
      <c r="K1" s="1321"/>
      <c r="L1" s="1321"/>
    </row>
    <row r="2" spans="1:12" ht="15">
      <c r="A2" s="134" t="s">
        <v>248</v>
      </c>
      <c r="B2" s="1321"/>
      <c r="C2" s="1321"/>
      <c r="D2" s="1321"/>
      <c r="E2" s="1321"/>
      <c r="F2" s="1321"/>
      <c r="G2" s="1321"/>
      <c r="H2" s="1321"/>
      <c r="I2" s="1321"/>
      <c r="J2" s="1321"/>
      <c r="K2" s="1321"/>
      <c r="L2" s="1321"/>
    </row>
    <row r="3" spans="1:12">
      <c r="A3" s="172" t="s">
        <v>249</v>
      </c>
      <c r="B3" s="1321"/>
      <c r="C3" s="1321"/>
      <c r="D3" s="1321"/>
      <c r="E3" s="1321"/>
      <c r="F3" s="1321"/>
      <c r="G3" s="1321"/>
      <c r="H3" s="1321"/>
      <c r="I3" s="1321"/>
      <c r="J3" s="1321"/>
      <c r="K3" s="1321"/>
      <c r="L3" s="1321"/>
    </row>
    <row r="4" spans="1:12" ht="38.25">
      <c r="A4" s="1321"/>
      <c r="B4" s="80"/>
      <c r="C4" s="175" t="s">
        <v>141</v>
      </c>
      <c r="D4" s="175" t="s">
        <v>142</v>
      </c>
      <c r="E4" s="175" t="s">
        <v>143</v>
      </c>
      <c r="F4" s="175" t="s">
        <v>144</v>
      </c>
      <c r="G4" s="175" t="s">
        <v>145</v>
      </c>
      <c r="H4" s="175" t="s">
        <v>146</v>
      </c>
      <c r="I4" s="175" t="s">
        <v>147</v>
      </c>
      <c r="J4" s="175" t="s">
        <v>148</v>
      </c>
      <c r="K4" s="175" t="s">
        <v>149</v>
      </c>
      <c r="L4" s="176" t="s">
        <v>150</v>
      </c>
    </row>
    <row r="5" spans="1:12">
      <c r="A5" s="1321"/>
      <c r="B5" s="178" t="s">
        <v>250</v>
      </c>
      <c r="C5" s="179"/>
      <c r="D5" s="179"/>
      <c r="E5" s="179"/>
      <c r="F5" s="179"/>
      <c r="G5" s="179"/>
      <c r="H5" s="179"/>
      <c r="I5" s="179"/>
      <c r="J5" s="179"/>
      <c r="K5" s="179"/>
      <c r="L5" s="180"/>
    </row>
    <row r="6" spans="1:12">
      <c r="A6" s="1321"/>
      <c r="B6" s="173" t="s">
        <v>251</v>
      </c>
      <c r="C6" s="127">
        <f>IF(Vehi_Inputs!$B$3=1,Car!C131,IF(Vehi_Inputs!$B$3=2,SUV!C131,PUT!C131))</f>
        <v>0.65277705820941678</v>
      </c>
      <c r="D6" s="127">
        <f>IF(Vehi_Inputs!$B$3=1,Car!D131,IF(Vehi_Inputs!$B$3=2,SUV!D131,PUT!D131))</f>
        <v>0.111</v>
      </c>
      <c r="E6" s="127">
        <f>IF(Vehi_Inputs!$B$3=1,Car!E131,IF(Vehi_Inputs!$B$3=2,SUV!E131,PUT!E131))</f>
        <v>0.65277705820941678</v>
      </c>
      <c r="F6" s="127">
        <f>IF(Vehi_Inputs!$B$3=1,Car!F131,IF(Vehi_Inputs!$B$3=2,SUV!F131,PUT!F131))</f>
        <v>0.108</v>
      </c>
      <c r="G6" s="127">
        <f>IF(Vehi_Inputs!$B$3=1,Car!G131,IF(Vehi_Inputs!$B$3=2,SUV!G131,PUT!G131))</f>
        <v>0.65277705820941678</v>
      </c>
      <c r="H6" s="127">
        <f>IF(Vehi_Inputs!$B$3=1,Car!H131,IF(Vehi_Inputs!$B$3=2,SUV!H131,PUT!H131))</f>
        <v>0.105</v>
      </c>
      <c r="I6" s="127">
        <f>IF(Vehi_Inputs!$B$3=1,Car!I131,IF(Vehi_Inputs!$B$3=2,SUV!I131,PUT!I131))</f>
        <v>0.65277705820941678</v>
      </c>
      <c r="J6" s="127">
        <f>IF(Vehi_Inputs!$B$3=1,Car!J131,IF(Vehi_Inputs!$B$3=2,SUV!J131,PUT!J131))</f>
        <v>0.10299999999999999</v>
      </c>
      <c r="K6" s="127">
        <f>IF(Vehi_Inputs!$B$3=1,Car!K131,IF(Vehi_Inputs!$B$3=2,SUV!K131,PUT!K131))</f>
        <v>0.65277705820941678</v>
      </c>
      <c r="L6" s="128">
        <f>IF(Vehi_Inputs!$B$3=1,Car!L131,IF(Vehi_Inputs!$B$3=2,SUV!L131,PUT!L131))</f>
        <v>0.10299999999999999</v>
      </c>
    </row>
    <row r="7" spans="1:12">
      <c r="A7" s="1321"/>
      <c r="B7" s="173" t="s">
        <v>252</v>
      </c>
      <c r="C7" s="127">
        <f>IF(Vehi_Inputs!$B$3=1,Car!C132,IF(Vehi_Inputs!$B$3=2,SUV!C132,PUT!C132))</f>
        <v>3.0699147135276265E-2</v>
      </c>
      <c r="D7" s="127">
        <f>IF(Vehi_Inputs!$B$3=1,Car!D132,IF(Vehi_Inputs!$B$3=2,SUV!D132,PUT!D132))</f>
        <v>9.0999999999999998E-2</v>
      </c>
      <c r="E7" s="127">
        <f>IF(Vehi_Inputs!$B$3=1,Car!E132,IF(Vehi_Inputs!$B$3=2,SUV!E132,PUT!E132))</f>
        <v>3.0699147135276265E-2</v>
      </c>
      <c r="F7" s="127">
        <f>IF(Vehi_Inputs!$B$3=1,Car!F132,IF(Vehi_Inputs!$B$3=2,SUV!F132,PUT!F132))</f>
        <v>8.8999999999999996E-2</v>
      </c>
      <c r="G7" s="127">
        <f>IF(Vehi_Inputs!$B$3=1,Car!G132,IF(Vehi_Inputs!$B$3=2,SUV!G132,PUT!G132))</f>
        <v>3.0699147135276265E-2</v>
      </c>
      <c r="H7" s="127">
        <f>IF(Vehi_Inputs!$B$3=1,Car!H132,IF(Vehi_Inputs!$B$3=2,SUV!H132,PUT!H132))</f>
        <v>6.7000000000000004E-2</v>
      </c>
      <c r="I7" s="127">
        <f>IF(Vehi_Inputs!$B$3=1,Car!I132,IF(Vehi_Inputs!$B$3=2,SUV!I132,PUT!I132))</f>
        <v>3.0699147135276265E-2</v>
      </c>
      <c r="J7" s="127">
        <f>IF(Vehi_Inputs!$B$3=1,Car!J132,IF(Vehi_Inputs!$B$3=2,SUV!J132,PUT!J132))</f>
        <v>6.6000000000000003E-2</v>
      </c>
      <c r="K7" s="127">
        <f>IF(Vehi_Inputs!$B$3=1,Car!K132,IF(Vehi_Inputs!$B$3=2,SUV!K132,PUT!K132))</f>
        <v>3.0699147135276265E-2</v>
      </c>
      <c r="L7" s="128">
        <f>IF(Vehi_Inputs!$B$3=1,Car!L132,IF(Vehi_Inputs!$B$3=2,SUV!L132,PUT!L132))</f>
        <v>8.5000000000000006E-2</v>
      </c>
    </row>
    <row r="8" spans="1:12">
      <c r="A8" s="1321"/>
      <c r="B8" s="173" t="s">
        <v>253</v>
      </c>
      <c r="C8" s="127">
        <f>IF(Vehi_Inputs!$B$3=1,Car!C133,IF(Vehi_Inputs!$B$3=2,SUV!C133,PUT!C133))</f>
        <v>1.6460795893228374E-3</v>
      </c>
      <c r="D8" s="127">
        <f>IF(Vehi_Inputs!$B$3=1,Car!D133,IF(Vehi_Inputs!$B$3=2,SUV!D133,PUT!D133))</f>
        <v>0</v>
      </c>
      <c r="E8" s="127">
        <f>IF(Vehi_Inputs!$B$3=1,Car!E133,IF(Vehi_Inputs!$B$3=2,SUV!E133,PUT!E133))</f>
        <v>1.6460795893228374E-3</v>
      </c>
      <c r="F8" s="127">
        <f>IF(Vehi_Inputs!$B$3=1,Car!F133,IF(Vehi_Inputs!$B$3=2,SUV!F133,PUT!F133))</f>
        <v>0</v>
      </c>
      <c r="G8" s="127">
        <f>IF(Vehi_Inputs!$B$3=1,Car!G133,IF(Vehi_Inputs!$B$3=2,SUV!G133,PUT!G133))</f>
        <v>1.6460795893228374E-3</v>
      </c>
      <c r="H8" s="127">
        <f>IF(Vehi_Inputs!$B$3=1,Car!H133,IF(Vehi_Inputs!$B$3=2,SUV!H133,PUT!H133))</f>
        <v>0</v>
      </c>
      <c r="I8" s="127">
        <f>IF(Vehi_Inputs!$B$3=1,Car!I133,IF(Vehi_Inputs!$B$3=2,SUV!I133,PUT!I133))</f>
        <v>1.6460795893228374E-3</v>
      </c>
      <c r="J8" s="127">
        <f>IF(Vehi_Inputs!$B$3=1,Car!J133,IF(Vehi_Inputs!$B$3=2,SUV!J133,PUT!J133))</f>
        <v>0</v>
      </c>
      <c r="K8" s="127">
        <f>IF(Vehi_Inputs!$B$3=1,Car!K133,IF(Vehi_Inputs!$B$3=2,SUV!K133,PUT!K133))</f>
        <v>1.6460795893228374E-3</v>
      </c>
      <c r="L8" s="128">
        <f>IF(Vehi_Inputs!$B$3=1,Car!L133,IF(Vehi_Inputs!$B$3=2,SUV!L133,PUT!L133))</f>
        <v>0</v>
      </c>
    </row>
    <row r="9" spans="1:12">
      <c r="A9" s="1321"/>
      <c r="B9" s="173" t="s">
        <v>254</v>
      </c>
      <c r="C9" s="127">
        <f>IF(Vehi_Inputs!$B$3=1,Car!C134,IF(Vehi_Inputs!$B$3=2,SUV!C134,PUT!C134))</f>
        <v>1.8986305664788112E-2</v>
      </c>
      <c r="D9" s="127">
        <f>IF(Vehi_Inputs!$B$3=1,Car!D134,IF(Vehi_Inputs!$B$3=2,SUV!D134,PUT!D134))</f>
        <v>3.5999999999999997E-2</v>
      </c>
      <c r="E9" s="127">
        <f>IF(Vehi_Inputs!$B$3=1,Car!E134,IF(Vehi_Inputs!$B$3=2,SUV!E134,PUT!E134))</f>
        <v>1.8986305664788112E-2</v>
      </c>
      <c r="F9" s="127">
        <f>IF(Vehi_Inputs!$B$3=1,Car!F134,IF(Vehi_Inputs!$B$3=2,SUV!F134,PUT!F134))</f>
        <v>3.5000000000000003E-2</v>
      </c>
      <c r="G9" s="127">
        <f>IF(Vehi_Inputs!$B$3=1,Car!G134,IF(Vehi_Inputs!$B$3=2,SUV!G134,PUT!G134))</f>
        <v>1.8986305664788112E-2</v>
      </c>
      <c r="H9" s="127">
        <f>IF(Vehi_Inputs!$B$3=1,Car!H134,IF(Vehi_Inputs!$B$3=2,SUV!H134,PUT!H134))</f>
        <v>3.4000000000000002E-2</v>
      </c>
      <c r="I9" s="127">
        <f>IF(Vehi_Inputs!$B$3=1,Car!I134,IF(Vehi_Inputs!$B$3=2,SUV!I134,PUT!I134))</f>
        <v>1.8986305664788112E-2</v>
      </c>
      <c r="J9" s="127">
        <f>IF(Vehi_Inputs!$B$3=1,Car!J134,IF(Vehi_Inputs!$B$3=2,SUV!J134,PUT!J134))</f>
        <v>3.3000000000000002E-2</v>
      </c>
      <c r="K9" s="127">
        <f>IF(Vehi_Inputs!$B$3=1,Car!K134,IF(Vehi_Inputs!$B$3=2,SUV!K134,PUT!K134))</f>
        <v>1.8986305664788112E-2</v>
      </c>
      <c r="L9" s="128">
        <f>IF(Vehi_Inputs!$B$3=1,Car!L134,IF(Vehi_Inputs!$B$3=2,SUV!L134,PUT!L134))</f>
        <v>3.3000000000000002E-2</v>
      </c>
    </row>
    <row r="10" spans="1:12">
      <c r="A10" s="1321"/>
      <c r="B10" s="173" t="s">
        <v>255</v>
      </c>
      <c r="C10" s="127">
        <f>IF(Vehi_Inputs!$B$3=1,Car!C135,IF(Vehi_Inputs!$B$3=2,SUV!C135,PUT!C135))</f>
        <v>0</v>
      </c>
      <c r="D10" s="127">
        <f>IF(Vehi_Inputs!$B$3=1,Car!D135,IF(Vehi_Inputs!$B$3=2,SUV!D135,PUT!D135))</f>
        <v>0</v>
      </c>
      <c r="E10" s="127">
        <f>IF(Vehi_Inputs!$B$3=1,Car!E135,IF(Vehi_Inputs!$B$3=2,SUV!E135,PUT!E135))</f>
        <v>0</v>
      </c>
      <c r="F10" s="127">
        <f>IF(Vehi_Inputs!$B$3=1,Car!F135,IF(Vehi_Inputs!$B$3=2,SUV!F135,PUT!F135))</f>
        <v>0</v>
      </c>
      <c r="G10" s="127">
        <f>IF(Vehi_Inputs!$B$3=1,Car!G135,IF(Vehi_Inputs!$B$3=2,SUV!G135,PUT!G135))</f>
        <v>0</v>
      </c>
      <c r="H10" s="127">
        <f>IF(Vehi_Inputs!$B$3=1,Car!H135,IF(Vehi_Inputs!$B$3=2,SUV!H135,PUT!H135))</f>
        <v>0</v>
      </c>
      <c r="I10" s="127">
        <f>IF(Vehi_Inputs!$B$3=1,Car!I135,IF(Vehi_Inputs!$B$3=2,SUV!I135,PUT!I135))</f>
        <v>0</v>
      </c>
      <c r="J10" s="127">
        <f>IF(Vehi_Inputs!$B$3=1,Car!J135,IF(Vehi_Inputs!$B$3=2,SUV!J135,PUT!J135))</f>
        <v>0</v>
      </c>
      <c r="K10" s="127">
        <f>IF(Vehi_Inputs!$B$3=1,Car!K135,IF(Vehi_Inputs!$B$3=2,SUV!K135,PUT!K135))</f>
        <v>0</v>
      </c>
      <c r="L10" s="128">
        <f>IF(Vehi_Inputs!$B$3=1,Car!L135,IF(Vehi_Inputs!$B$3=2,SUV!L135,PUT!L135))</f>
        <v>0</v>
      </c>
    </row>
    <row r="11" spans="1:12">
      <c r="A11" s="1321"/>
      <c r="B11" s="173" t="s">
        <v>256</v>
      </c>
      <c r="C11" s="127">
        <f>IF(Vehi_Inputs!$B$3=1,Car!C136,IF(Vehi_Inputs!$B$3=2,SUV!C136,PUT!C136))</f>
        <v>0</v>
      </c>
      <c r="D11" s="127">
        <f>IF(Vehi_Inputs!$B$3=1,Car!D136,IF(Vehi_Inputs!$B$3=2,SUV!D136,PUT!D136))</f>
        <v>8.9999999999999993E-3</v>
      </c>
      <c r="E11" s="127">
        <f>IF(Vehi_Inputs!$B$3=1,Car!E136,IF(Vehi_Inputs!$B$3=2,SUV!E136,PUT!E136))</f>
        <v>0</v>
      </c>
      <c r="F11" s="127">
        <f>IF(Vehi_Inputs!$B$3=1,Car!F136,IF(Vehi_Inputs!$B$3=2,SUV!F136,PUT!F136))</f>
        <v>8.9999999999999993E-3</v>
      </c>
      <c r="G11" s="127">
        <f>IF(Vehi_Inputs!$B$3=1,Car!G136,IF(Vehi_Inputs!$B$3=2,SUV!G136,PUT!G136))</f>
        <v>0</v>
      </c>
      <c r="H11" s="127">
        <f>IF(Vehi_Inputs!$B$3=1,Car!H136,IF(Vehi_Inputs!$B$3=2,SUV!H136,PUT!H136))</f>
        <v>8.9999999999999993E-3</v>
      </c>
      <c r="I11" s="127">
        <f>IF(Vehi_Inputs!$B$3=1,Car!I136,IF(Vehi_Inputs!$B$3=2,SUV!I136,PUT!I136))</f>
        <v>0</v>
      </c>
      <c r="J11" s="127">
        <f>IF(Vehi_Inputs!$B$3=1,Car!J136,IF(Vehi_Inputs!$B$3=2,SUV!J136,PUT!J136))</f>
        <v>8.9999999999999993E-3</v>
      </c>
      <c r="K11" s="127">
        <f>IF(Vehi_Inputs!$B$3=1,Car!K136,IF(Vehi_Inputs!$B$3=2,SUV!K136,PUT!K136))</f>
        <v>0</v>
      </c>
      <c r="L11" s="128">
        <f>IF(Vehi_Inputs!$B$3=1,Car!L136,IF(Vehi_Inputs!$B$3=2,SUV!L136,PUT!L136))</f>
        <v>8.9999999999999993E-3</v>
      </c>
    </row>
    <row r="12" spans="1:12">
      <c r="A12" s="1321"/>
      <c r="B12" s="173" t="s">
        <v>257</v>
      </c>
      <c r="C12" s="127">
        <f>IF(Vehi_Inputs!$B$3=1,Car!C137,IF(Vehi_Inputs!$B$3=2,SUV!C137,PUT!C137))</f>
        <v>8.491106795336963E-3</v>
      </c>
      <c r="D12" s="127">
        <f>IF(Vehi_Inputs!$B$3=1,Car!D137,IF(Vehi_Inputs!$B$3=2,SUV!D137,PUT!D137))</f>
        <v>0</v>
      </c>
      <c r="E12" s="127">
        <f>IF(Vehi_Inputs!$B$3=1,Car!E137,IF(Vehi_Inputs!$B$3=2,SUV!E137,PUT!E137))</f>
        <v>8.491106795336963E-3</v>
      </c>
      <c r="F12" s="127">
        <f>IF(Vehi_Inputs!$B$3=1,Car!F137,IF(Vehi_Inputs!$B$3=2,SUV!F137,PUT!F137))</f>
        <v>0</v>
      </c>
      <c r="G12" s="127">
        <f>IF(Vehi_Inputs!$B$3=1,Car!G137,IF(Vehi_Inputs!$B$3=2,SUV!G137,PUT!G137))</f>
        <v>8.491106795336963E-3</v>
      </c>
      <c r="H12" s="127">
        <f>IF(Vehi_Inputs!$B$3=1,Car!H137,IF(Vehi_Inputs!$B$3=2,SUV!H137,PUT!H137))</f>
        <v>0</v>
      </c>
      <c r="I12" s="127">
        <f>IF(Vehi_Inputs!$B$3=1,Car!I137,IF(Vehi_Inputs!$B$3=2,SUV!I137,PUT!I137))</f>
        <v>8.491106795336963E-3</v>
      </c>
      <c r="J12" s="127">
        <f>IF(Vehi_Inputs!$B$3=1,Car!J137,IF(Vehi_Inputs!$B$3=2,SUV!J137,PUT!J137))</f>
        <v>0</v>
      </c>
      <c r="K12" s="127">
        <f>IF(Vehi_Inputs!$B$3=1,Car!K137,IF(Vehi_Inputs!$B$3=2,SUV!K137,PUT!K137))</f>
        <v>8.491106795336963E-3</v>
      </c>
      <c r="L12" s="128">
        <f>IF(Vehi_Inputs!$B$3=1,Car!L137,IF(Vehi_Inputs!$B$3=2,SUV!L137,PUT!L137))</f>
        <v>0</v>
      </c>
    </row>
    <row r="13" spans="1:12">
      <c r="A13" s="1321"/>
      <c r="B13" s="173" t="s">
        <v>258</v>
      </c>
      <c r="C13" s="127">
        <f>IF(Vehi_Inputs!$B$3=1,Car!C138,IF(Vehi_Inputs!$B$3=2,SUV!C138,PUT!C138))</f>
        <v>4.4418960145847855E-2</v>
      </c>
      <c r="D13" s="127">
        <f>IF(Vehi_Inputs!$B$3=1,Car!D138,IF(Vehi_Inputs!$B$3=2,SUV!D138,PUT!D138))</f>
        <v>7.6999999999999999E-2</v>
      </c>
      <c r="E13" s="127">
        <f>IF(Vehi_Inputs!$B$3=1,Car!E138,IF(Vehi_Inputs!$B$3=2,SUV!E138,PUT!E138))</f>
        <v>4.4418960145847855E-2</v>
      </c>
      <c r="F13" s="127">
        <f>IF(Vehi_Inputs!$B$3=1,Car!F138,IF(Vehi_Inputs!$B$3=2,SUV!F138,PUT!F138))</f>
        <v>7.4999999999999997E-2</v>
      </c>
      <c r="G13" s="127">
        <f>IF(Vehi_Inputs!$B$3=1,Car!G138,IF(Vehi_Inputs!$B$3=2,SUV!G138,PUT!G138))</f>
        <v>4.4418960145847855E-2</v>
      </c>
      <c r="H13" s="127">
        <f>IF(Vehi_Inputs!$B$3=1,Car!H138,IF(Vehi_Inputs!$B$3=2,SUV!H138,PUT!H138))</f>
        <v>7.2999999999999995E-2</v>
      </c>
      <c r="I13" s="127">
        <f>IF(Vehi_Inputs!$B$3=1,Car!I138,IF(Vehi_Inputs!$B$3=2,SUV!I138,PUT!I138))</f>
        <v>4.4418960145847855E-2</v>
      </c>
      <c r="J13" s="127">
        <f>IF(Vehi_Inputs!$B$3=1,Car!J138,IF(Vehi_Inputs!$B$3=2,SUV!J138,PUT!J138))</f>
        <v>7.1999999999999995E-2</v>
      </c>
      <c r="K13" s="127">
        <f>IF(Vehi_Inputs!$B$3=1,Car!K138,IF(Vehi_Inputs!$B$3=2,SUV!K138,PUT!K138))</f>
        <v>4.4418960145847855E-2</v>
      </c>
      <c r="L13" s="128">
        <f>IF(Vehi_Inputs!$B$3=1,Car!L138,IF(Vehi_Inputs!$B$3=2,SUV!L138,PUT!L138))</f>
        <v>7.1999999999999995E-2</v>
      </c>
    </row>
    <row r="14" spans="1:12">
      <c r="A14" s="1321"/>
      <c r="B14" s="173" t="s">
        <v>259</v>
      </c>
      <c r="C14" s="127">
        <f>IF(Vehi_Inputs!$B$3=1,Car!C139,IF(Vehi_Inputs!$B$3=2,SUV!C139,PUT!C139))</f>
        <v>0</v>
      </c>
      <c r="D14" s="127">
        <f>IF(Vehi_Inputs!$B$3=1,Car!D139,IF(Vehi_Inputs!$B$3=2,SUV!D139,PUT!D139))</f>
        <v>0.38100000000000001</v>
      </c>
      <c r="E14" s="127">
        <f>IF(Vehi_Inputs!$B$3=1,Car!E139,IF(Vehi_Inputs!$B$3=2,SUV!E139,PUT!E139))</f>
        <v>0</v>
      </c>
      <c r="F14" s="127">
        <f>IF(Vehi_Inputs!$B$3=1,Car!F139,IF(Vehi_Inputs!$B$3=2,SUV!F139,PUT!F139))</f>
        <v>0.39700000000000002</v>
      </c>
      <c r="G14" s="127">
        <f>IF(Vehi_Inputs!$B$3=1,Car!G139,IF(Vehi_Inputs!$B$3=2,SUV!G139,PUT!G139))</f>
        <v>0</v>
      </c>
      <c r="H14" s="127">
        <f>IF(Vehi_Inputs!$B$3=1,Car!H139,IF(Vehi_Inputs!$B$3=2,SUV!H139,PUT!H139))</f>
        <v>0.41199999999999998</v>
      </c>
      <c r="I14" s="127">
        <f>IF(Vehi_Inputs!$B$3=1,Car!I139,IF(Vehi_Inputs!$B$3=2,SUV!I139,PUT!I139))</f>
        <v>0</v>
      </c>
      <c r="J14" s="127">
        <f>IF(Vehi_Inputs!$B$3=1,Car!J139,IF(Vehi_Inputs!$B$3=2,SUV!J139,PUT!J139))</f>
        <v>0.42599999999999999</v>
      </c>
      <c r="K14" s="127">
        <f>IF(Vehi_Inputs!$B$3=1,Car!K139,IF(Vehi_Inputs!$B$3=2,SUV!K139,PUT!K139))</f>
        <v>0</v>
      </c>
      <c r="L14" s="128">
        <f>IF(Vehi_Inputs!$B$3=1,Car!L139,IF(Vehi_Inputs!$B$3=2,SUV!L139,PUT!L139))</f>
        <v>0.42299999999999999</v>
      </c>
    </row>
    <row r="15" spans="1:12">
      <c r="A15" s="1321"/>
      <c r="B15" s="173" t="s">
        <v>260</v>
      </c>
      <c r="C15" s="127">
        <f>IF(Vehi_Inputs!$B$3=1,Car!C140,IF(Vehi_Inputs!$B$3=2,SUV!C140,PUT!C140))</f>
        <v>0.21674698939986173</v>
      </c>
      <c r="D15" s="127">
        <f>IF(Vehi_Inputs!$B$3=1,Car!D140,IF(Vehi_Inputs!$B$3=2,SUV!D140,PUT!D140))</f>
        <v>0.23599999999999999</v>
      </c>
      <c r="E15" s="127">
        <f>IF(Vehi_Inputs!$B$3=1,Car!E140,IF(Vehi_Inputs!$B$3=2,SUV!E140,PUT!E140))</f>
        <v>0.21674698939986173</v>
      </c>
      <c r="F15" s="127">
        <f>IF(Vehi_Inputs!$B$3=1,Car!F140,IF(Vehi_Inputs!$B$3=2,SUV!F140,PUT!F140))</f>
        <v>0.22900000000000001</v>
      </c>
      <c r="G15" s="127">
        <f>IF(Vehi_Inputs!$B$3=1,Car!G140,IF(Vehi_Inputs!$B$3=2,SUV!G140,PUT!G140))</f>
        <v>0.21674698939986173</v>
      </c>
      <c r="H15" s="127">
        <f>IF(Vehi_Inputs!$B$3=1,Car!H140,IF(Vehi_Inputs!$B$3=2,SUV!H140,PUT!H140))</f>
        <v>0.24299999999999999</v>
      </c>
      <c r="I15" s="127">
        <f>IF(Vehi_Inputs!$B$3=1,Car!I140,IF(Vehi_Inputs!$B$3=2,SUV!I140,PUT!I140))</f>
        <v>0.21674698939986173</v>
      </c>
      <c r="J15" s="127">
        <f>IF(Vehi_Inputs!$B$3=1,Car!J140,IF(Vehi_Inputs!$B$3=2,SUV!J140,PUT!J140))</f>
        <v>0.23799999999999999</v>
      </c>
      <c r="K15" s="127">
        <f>IF(Vehi_Inputs!$B$3=1,Car!K140,IF(Vehi_Inputs!$B$3=2,SUV!K140,PUT!K140))</f>
        <v>0.21674698939986173</v>
      </c>
      <c r="L15" s="128">
        <f>IF(Vehi_Inputs!$B$3=1,Car!L140,IF(Vehi_Inputs!$B$3=2,SUV!L140,PUT!L140))</f>
        <v>0.22</v>
      </c>
    </row>
    <row r="16" spans="1:12">
      <c r="A16" s="1321"/>
      <c r="B16" s="173" t="s">
        <v>261</v>
      </c>
      <c r="C16" s="127">
        <f>IF(Vehi_Inputs!$B$3=1,Car!C141,IF(Vehi_Inputs!$B$3=2,SUV!C141,PUT!C141))</f>
        <v>1.7677867751252862E-2</v>
      </c>
      <c r="D16" s="127">
        <f>IF(Vehi_Inputs!$B$3=1,Car!D141,IF(Vehi_Inputs!$B$3=2,SUV!D141,PUT!D141))</f>
        <v>8.9999999999999993E-3</v>
      </c>
      <c r="E16" s="127">
        <f>IF(Vehi_Inputs!$B$3=1,Car!E141,IF(Vehi_Inputs!$B$3=2,SUV!E141,PUT!E141))</f>
        <v>1.7677867751252862E-2</v>
      </c>
      <c r="F16" s="127">
        <f>IF(Vehi_Inputs!$B$3=1,Car!F141,IF(Vehi_Inputs!$B$3=2,SUV!F141,PUT!F141))</f>
        <v>8.0000000000000002E-3</v>
      </c>
      <c r="G16" s="127">
        <f>IF(Vehi_Inputs!$B$3=1,Car!G141,IF(Vehi_Inputs!$B$3=2,SUV!G141,PUT!G141))</f>
        <v>1.7677867751252862E-2</v>
      </c>
      <c r="H16" s="127">
        <f>IF(Vehi_Inputs!$B$3=1,Car!H141,IF(Vehi_Inputs!$B$3=2,SUV!H141,PUT!H141))</f>
        <v>8.0000000000000002E-3</v>
      </c>
      <c r="I16" s="127">
        <f>IF(Vehi_Inputs!$B$3=1,Car!I141,IF(Vehi_Inputs!$B$3=2,SUV!I141,PUT!I141))</f>
        <v>1.7677867751252862E-2</v>
      </c>
      <c r="J16" s="127">
        <f>IF(Vehi_Inputs!$B$3=1,Car!J141,IF(Vehi_Inputs!$B$3=2,SUV!J141,PUT!J141))</f>
        <v>8.0000000000000002E-3</v>
      </c>
      <c r="K16" s="127">
        <f>IF(Vehi_Inputs!$B$3=1,Car!K141,IF(Vehi_Inputs!$B$3=2,SUV!K141,PUT!K141))</f>
        <v>1.7677867751252862E-2</v>
      </c>
      <c r="L16" s="128">
        <f>IF(Vehi_Inputs!$B$3=1,Car!L141,IF(Vehi_Inputs!$B$3=2,SUV!L141,PUT!L141))</f>
        <v>8.0000000000000002E-3</v>
      </c>
    </row>
    <row r="17" spans="2:12">
      <c r="B17" s="174" t="s">
        <v>262</v>
      </c>
      <c r="C17" s="129">
        <f>IF(Vehi_Inputs!$B$3=1,Car!C142,IF(Vehi_Inputs!$B$3=2,SUV!C142,PUT!C142))</f>
        <v>8.5564853088966331E-3</v>
      </c>
      <c r="D17" s="129">
        <f>IF(Vehi_Inputs!$B$3=1,Car!D142,IF(Vehi_Inputs!$B$3=2,SUV!D142,PUT!D142))</f>
        <v>4.9999999999999933E-2</v>
      </c>
      <c r="E17" s="129">
        <f>IF(Vehi_Inputs!$B$3=1,Car!E142,IF(Vehi_Inputs!$B$3=2,SUV!E142,PUT!E142))</f>
        <v>8.5564853088966331E-3</v>
      </c>
      <c r="F17" s="129">
        <f>IF(Vehi_Inputs!$B$3=1,Car!F142,IF(Vehi_Inputs!$B$3=2,SUV!F142,PUT!F142))</f>
        <v>4.9999999999999933E-2</v>
      </c>
      <c r="G17" s="129">
        <f>IF(Vehi_Inputs!$B$3=1,Car!G142,IF(Vehi_Inputs!$B$3=2,SUV!G142,PUT!G142))</f>
        <v>8.5564853088966331E-3</v>
      </c>
      <c r="H17" s="129">
        <f>IF(Vehi_Inputs!$B$3=1,Car!H142,IF(Vehi_Inputs!$B$3=2,SUV!H142,PUT!H142))</f>
        <v>4.9000000000000044E-2</v>
      </c>
      <c r="I17" s="129">
        <f>IF(Vehi_Inputs!$B$3=1,Car!I142,IF(Vehi_Inputs!$B$3=2,SUV!I142,PUT!I142))</f>
        <v>8.5564853088966331E-3</v>
      </c>
      <c r="J17" s="129">
        <f>IF(Vehi_Inputs!$B$3=1,Car!J142,IF(Vehi_Inputs!$B$3=2,SUV!J142,PUT!J142))</f>
        <v>4.500000000000004E-2</v>
      </c>
      <c r="K17" s="129">
        <f>IF(Vehi_Inputs!$B$3=1,Car!K142,IF(Vehi_Inputs!$B$3=2,SUV!K142,PUT!K142))</f>
        <v>8.5564853088966331E-3</v>
      </c>
      <c r="L17" s="130">
        <f>IF(Vehi_Inputs!$B$3=1,Car!L142,IF(Vehi_Inputs!$B$3=2,SUV!L142,PUT!L142))</f>
        <v>4.7000000000000042E-2</v>
      </c>
    </row>
    <row r="18" spans="2:12">
      <c r="B18" s="571" t="s">
        <v>263</v>
      </c>
      <c r="C18" s="151"/>
      <c r="D18" s="151"/>
      <c r="E18" s="151"/>
      <c r="F18" s="151"/>
      <c r="G18" s="151"/>
      <c r="H18" s="151"/>
      <c r="I18" s="151"/>
      <c r="J18" s="151"/>
      <c r="K18" s="151"/>
      <c r="L18" s="152"/>
    </row>
    <row r="19" spans="2:12">
      <c r="B19" s="160" t="s">
        <v>251</v>
      </c>
      <c r="C19" s="151">
        <f>IF(Vehi_Inputs!$B$3=1,Car!C144,IF(Vehi_Inputs!$B$3=2,SUV!C144,PUT!C144))</f>
        <v>0.42357724452507295</v>
      </c>
      <c r="D19" s="151">
        <f>IF(Vehi_Inputs!$B$3=1,Car!D144,IF(Vehi_Inputs!$B$3=2,SUV!D144,PUT!D144))</f>
        <v>0.54800000000000004</v>
      </c>
      <c r="E19" s="151">
        <f>IF(Vehi_Inputs!$B$3=1,Car!E144,IF(Vehi_Inputs!$B$3=2,SUV!E144,PUT!E144))</f>
        <v>0.48399999999999999</v>
      </c>
      <c r="F19" s="151">
        <f>IF(Vehi_Inputs!$B$3=1,Car!F144,IF(Vehi_Inputs!$B$3=2,SUV!F144,PUT!F144))</f>
        <v>0.59599999999999997</v>
      </c>
      <c r="G19" s="151">
        <f>IF(Vehi_Inputs!$B$3=1,Car!G144,IF(Vehi_Inputs!$B$3=2,SUV!G144,PUT!G144))</f>
        <v>0.502</v>
      </c>
      <c r="H19" s="151">
        <f>IF(Vehi_Inputs!$B$3=1,Car!H144,IF(Vehi_Inputs!$B$3=2,SUV!H144,PUT!H144))</f>
        <v>0.60699999999999998</v>
      </c>
      <c r="I19" s="151">
        <f>IF(Vehi_Inputs!$B$3=1,Car!I144,IF(Vehi_Inputs!$B$3=2,SUV!I144,PUT!I144))</f>
        <v>0.5</v>
      </c>
      <c r="J19" s="151">
        <f>IF(Vehi_Inputs!$B$3=1,Car!J144,IF(Vehi_Inputs!$B$3=2,SUV!J144,PUT!J144))</f>
        <v>0</v>
      </c>
      <c r="K19" s="151">
        <f>IF(Vehi_Inputs!$B$3=1,Car!K144,IF(Vehi_Inputs!$B$3=2,SUV!K144,PUT!K144))</f>
        <v>0.18710919904856269</v>
      </c>
      <c r="L19" s="152">
        <f>IF(Vehi_Inputs!$B$3=1,Car!L144,IF(Vehi_Inputs!$B$3=2,SUV!L144,PUT!L144))</f>
        <v>0.18710919904856269</v>
      </c>
    </row>
    <row r="20" spans="2:12">
      <c r="B20" s="160" t="s">
        <v>264</v>
      </c>
      <c r="C20" s="151">
        <f>IF(Vehi_Inputs!$B$3=1,Car!C145,IF(Vehi_Inputs!$B$3=2,SUV!C145,PUT!C145))</f>
        <v>0</v>
      </c>
      <c r="D20" s="151">
        <f>IF(Vehi_Inputs!$B$3=1,Car!D145,IF(Vehi_Inputs!$B$3=2,SUV!D145,PUT!D145))</f>
        <v>3.5999999999999997E-2</v>
      </c>
      <c r="E20" s="151">
        <f>IF(Vehi_Inputs!$B$3=1,Car!E145,IF(Vehi_Inputs!$B$3=2,SUV!E145,PUT!E145))</f>
        <v>0</v>
      </c>
      <c r="F20" s="151">
        <f>IF(Vehi_Inputs!$B$3=1,Car!F145,IF(Vehi_Inputs!$B$3=2,SUV!F145,PUT!F145))</f>
        <v>3.2000000000000001E-2</v>
      </c>
      <c r="G20" s="151">
        <f>IF(Vehi_Inputs!$B$3=1,Car!G145,IF(Vehi_Inputs!$B$3=2,SUV!G145,PUT!G145))</f>
        <v>0</v>
      </c>
      <c r="H20" s="151">
        <f>IF(Vehi_Inputs!$B$3=1,Car!H145,IF(Vehi_Inputs!$B$3=2,SUV!H145,PUT!H145))</f>
        <v>0.03</v>
      </c>
      <c r="I20" s="151">
        <f>IF(Vehi_Inputs!$B$3=1,Car!I145,IF(Vehi_Inputs!$B$3=2,SUV!I145,PUT!I145))</f>
        <v>0</v>
      </c>
      <c r="J20" s="151">
        <f>IF(Vehi_Inputs!$B$3=1,Car!J145,IF(Vehi_Inputs!$B$3=2,SUV!J145,PUT!J145))</f>
        <v>0</v>
      </c>
      <c r="K20" s="151">
        <f>IF(Vehi_Inputs!$B$3=1,Car!K145,IF(Vehi_Inputs!$B$3=2,SUV!K145,PUT!K145))</f>
        <v>0.31347914244110364</v>
      </c>
      <c r="L20" s="152">
        <f>IF(Vehi_Inputs!$B$3=1,Car!L145,IF(Vehi_Inputs!$B$3=2,SUV!L145,PUT!L145))</f>
        <v>0.31347914244110364</v>
      </c>
    </row>
    <row r="21" spans="2:12">
      <c r="B21" s="160" t="s">
        <v>265</v>
      </c>
      <c r="C21" s="151">
        <f>IF(Vehi_Inputs!$B$3=1,Car!C146,IF(Vehi_Inputs!$B$3=2,SUV!C146,PUT!C146))</f>
        <v>0</v>
      </c>
      <c r="D21" s="151">
        <f>IF(Vehi_Inputs!$B$3=1,Car!D146,IF(Vehi_Inputs!$B$3=2,SUV!D146,PUT!D146))</f>
        <v>5.2999999999999999E-2</v>
      </c>
      <c r="E21" s="151">
        <f>IF(Vehi_Inputs!$B$3=1,Car!E146,IF(Vehi_Inputs!$B$3=2,SUV!E146,PUT!E146))</f>
        <v>0.24</v>
      </c>
      <c r="F21" s="151">
        <f>IF(Vehi_Inputs!$B$3=1,Car!F146,IF(Vehi_Inputs!$B$3=2,SUV!F146,PUT!F146))</f>
        <v>4.7E-2</v>
      </c>
      <c r="G21" s="151">
        <f>IF(Vehi_Inputs!$B$3=1,Car!G146,IF(Vehi_Inputs!$B$3=2,SUV!G146,PUT!G146))</f>
        <v>0.22800000000000001</v>
      </c>
      <c r="H21" s="151">
        <f>IF(Vehi_Inputs!$B$3=1,Car!H146,IF(Vehi_Inputs!$B$3=2,SUV!H146,PUT!H146))</f>
        <v>4.3999999999999997E-2</v>
      </c>
      <c r="I21" s="151">
        <f>IF(Vehi_Inputs!$B$3=1,Car!I146,IF(Vehi_Inputs!$B$3=2,SUV!I146,PUT!I146))</f>
        <v>0</v>
      </c>
      <c r="J21" s="151">
        <f>IF(Vehi_Inputs!$B$3=1,Car!J146,IF(Vehi_Inputs!$B$3=2,SUV!J146,PUT!J146))</f>
        <v>0</v>
      </c>
      <c r="K21" s="151">
        <f>IF(Vehi_Inputs!$B$3=1,Car!K146,IF(Vehi_Inputs!$B$3=2,SUV!K146,PUT!K146))</f>
        <v>7.6391227457442282E-4</v>
      </c>
      <c r="L21" s="152">
        <f>IF(Vehi_Inputs!$B$3=1,Car!L146,IF(Vehi_Inputs!$B$3=2,SUV!L146,PUT!L146))</f>
        <v>7.6391227457442282E-4</v>
      </c>
    </row>
    <row r="22" spans="2:12">
      <c r="B22" s="160" t="s">
        <v>252</v>
      </c>
      <c r="C22" s="151">
        <f>IF(Vehi_Inputs!$B$3=1,Car!C147,IF(Vehi_Inputs!$B$3=2,SUV!C147,PUT!C147))</f>
        <v>4.8421314571954061E-2</v>
      </c>
      <c r="D22" s="151">
        <f>IF(Vehi_Inputs!$B$3=1,Car!D147,IF(Vehi_Inputs!$B$3=2,SUV!D147,PUT!D147))</f>
        <v>1.7999999999999999E-2</v>
      </c>
      <c r="E22" s="151">
        <f>IF(Vehi_Inputs!$B$3=1,Car!E147,IF(Vehi_Inputs!$B$3=2,SUV!E147,PUT!E147))</f>
        <v>0</v>
      </c>
      <c r="F22" s="151">
        <f>IF(Vehi_Inputs!$B$3=1,Car!F147,IF(Vehi_Inputs!$B$3=2,SUV!F147,PUT!F147))</f>
        <v>2.5000000000000001E-2</v>
      </c>
      <c r="G22" s="151">
        <f>IF(Vehi_Inputs!$B$3=1,Car!G147,IF(Vehi_Inputs!$B$3=2,SUV!G147,PUT!G147))</f>
        <v>0</v>
      </c>
      <c r="H22" s="151">
        <f>IF(Vehi_Inputs!$B$3=1,Car!H147,IF(Vehi_Inputs!$B$3=2,SUV!H147,PUT!H147))</f>
        <v>2.7E-2</v>
      </c>
      <c r="I22" s="151">
        <f>IF(Vehi_Inputs!$B$3=1,Car!I147,IF(Vehi_Inputs!$B$3=2,SUV!I147,PUT!I147))</f>
        <v>0</v>
      </c>
      <c r="J22" s="151">
        <f>IF(Vehi_Inputs!$B$3=1,Car!J147,IF(Vehi_Inputs!$B$3=2,SUV!J147,PUT!J147))</f>
        <v>0.3</v>
      </c>
      <c r="K22" s="151">
        <f>IF(Vehi_Inputs!$B$3=1,Car!K147,IF(Vehi_Inputs!$B$3=2,SUV!K147,PUT!K147))</f>
        <v>0.16794927778569879</v>
      </c>
      <c r="L22" s="152">
        <f>IF(Vehi_Inputs!$B$3=1,Car!L147,IF(Vehi_Inputs!$B$3=2,SUV!L147,PUT!L147))</f>
        <v>0.16794927778569879</v>
      </c>
    </row>
    <row r="23" spans="2:12">
      <c r="B23" s="160" t="s">
        <v>253</v>
      </c>
      <c r="C23" s="151">
        <f>IF(Vehi_Inputs!$B$3=1,Car!C148,IF(Vehi_Inputs!$B$3=2,SUV!C148,PUT!C148))</f>
        <v>0.22329403991189864</v>
      </c>
      <c r="D23" s="151">
        <f>IF(Vehi_Inputs!$B$3=1,Car!D148,IF(Vehi_Inputs!$B$3=2,SUV!D148,PUT!D148))</f>
        <v>0.17799999999999999</v>
      </c>
      <c r="E23" s="151">
        <f>IF(Vehi_Inputs!$B$3=1,Car!E148,IF(Vehi_Inputs!$B$3=2,SUV!E148,PUT!E148))</f>
        <v>0.14399999999999999</v>
      </c>
      <c r="F23" s="151">
        <f>IF(Vehi_Inputs!$B$3=1,Car!F148,IF(Vehi_Inputs!$B$3=2,SUV!F148,PUT!F148))</f>
        <v>0.158</v>
      </c>
      <c r="G23" s="151">
        <f>IF(Vehi_Inputs!$B$3=1,Car!G148,IF(Vehi_Inputs!$B$3=2,SUV!G148,PUT!G148))</f>
        <v>0.13700000000000001</v>
      </c>
      <c r="H23" s="151">
        <f>IF(Vehi_Inputs!$B$3=1,Car!H148,IF(Vehi_Inputs!$B$3=2,SUV!H148,PUT!H148))</f>
        <v>0.14899999999999999</v>
      </c>
      <c r="I23" s="151">
        <f>IF(Vehi_Inputs!$B$3=1,Car!I148,IF(Vehi_Inputs!$B$3=2,SUV!I148,PUT!I148))</f>
        <v>0</v>
      </c>
      <c r="J23" s="151">
        <f>IF(Vehi_Inputs!$B$3=1,Car!J148,IF(Vehi_Inputs!$B$3=2,SUV!J148,PUT!J148))</f>
        <v>0</v>
      </c>
      <c r="K23" s="151">
        <f>IF(Vehi_Inputs!$B$3=1,Car!K148,IF(Vehi_Inputs!$B$3=2,SUV!K148,PUT!K148))</f>
        <v>0</v>
      </c>
      <c r="L23" s="152">
        <f>IF(Vehi_Inputs!$B$3=1,Car!L148,IF(Vehi_Inputs!$B$3=2,SUV!L148,PUT!L148))</f>
        <v>0</v>
      </c>
    </row>
    <row r="24" spans="2:12">
      <c r="B24" s="160" t="s">
        <v>254</v>
      </c>
      <c r="C24" s="151">
        <f>IF(Vehi_Inputs!$B$3=1,Car!C149,IF(Vehi_Inputs!$B$3=2,SUV!C149,PUT!C149))</f>
        <v>6.7621169877134568E-2</v>
      </c>
      <c r="D24" s="151">
        <f>IF(Vehi_Inputs!$B$3=1,Car!D149,IF(Vehi_Inputs!$B$3=2,SUV!D149,PUT!D149))</f>
        <v>3.7999999999999999E-2</v>
      </c>
      <c r="E24" s="151">
        <f>IF(Vehi_Inputs!$B$3=1,Car!E149,IF(Vehi_Inputs!$B$3=2,SUV!E149,PUT!E149))</f>
        <v>2.5999999999999999E-2</v>
      </c>
      <c r="F24" s="151">
        <f>IF(Vehi_Inputs!$B$3=1,Car!F149,IF(Vehi_Inputs!$B$3=2,SUV!F149,PUT!F149))</f>
        <v>3.2000000000000001E-2</v>
      </c>
      <c r="G24" s="151">
        <f>IF(Vehi_Inputs!$B$3=1,Car!G149,IF(Vehi_Inputs!$B$3=2,SUV!G149,PUT!G149))</f>
        <v>2.8000000000000001E-2</v>
      </c>
      <c r="H24" s="151">
        <f>IF(Vehi_Inputs!$B$3=1,Car!H149,IF(Vehi_Inputs!$B$3=2,SUV!H149,PUT!H149))</f>
        <v>3.4000000000000002E-2</v>
      </c>
      <c r="I24" s="151">
        <f>IF(Vehi_Inputs!$B$3=1,Car!I149,IF(Vehi_Inputs!$B$3=2,SUV!I149,PUT!I149))</f>
        <v>0.20499999999999999</v>
      </c>
      <c r="J24" s="151">
        <f>IF(Vehi_Inputs!$B$3=1,Car!J149,IF(Vehi_Inputs!$B$3=2,SUV!J149,PUT!J149))</f>
        <v>0.28299999999999997</v>
      </c>
      <c r="K24" s="151">
        <f>IF(Vehi_Inputs!$B$3=1,Car!K149,IF(Vehi_Inputs!$B$3=2,SUV!K149,PUT!K149))</f>
        <v>1.7274919301796213E-2</v>
      </c>
      <c r="L24" s="152">
        <f>IF(Vehi_Inputs!$B$3=1,Car!L149,IF(Vehi_Inputs!$B$3=2,SUV!L149,PUT!L149))</f>
        <v>1.7274919301796213E-2</v>
      </c>
    </row>
    <row r="25" spans="2:12">
      <c r="B25" s="160" t="s">
        <v>256</v>
      </c>
      <c r="C25" s="151">
        <f>IF(Vehi_Inputs!$B$3=1,Car!C150,IF(Vehi_Inputs!$B$3=2,SUV!C150,PUT!C150))</f>
        <v>0</v>
      </c>
      <c r="D25" s="151">
        <f>IF(Vehi_Inputs!$B$3=1,Car!D150,IF(Vehi_Inputs!$B$3=2,SUV!D150,PUT!D150))</f>
        <v>0</v>
      </c>
      <c r="E25" s="151">
        <f>IF(Vehi_Inputs!$B$3=1,Car!E150,IF(Vehi_Inputs!$B$3=2,SUV!E150,PUT!E150))</f>
        <v>0</v>
      </c>
      <c r="F25" s="151">
        <f>IF(Vehi_Inputs!$B$3=1,Car!F150,IF(Vehi_Inputs!$B$3=2,SUV!F150,PUT!F150))</f>
        <v>0</v>
      </c>
      <c r="G25" s="151">
        <f>IF(Vehi_Inputs!$B$3=1,Car!G150,IF(Vehi_Inputs!$B$3=2,SUV!G150,PUT!G150))</f>
        <v>0</v>
      </c>
      <c r="H25" s="151">
        <f>IF(Vehi_Inputs!$B$3=1,Car!H150,IF(Vehi_Inputs!$B$3=2,SUV!H150,PUT!H150))</f>
        <v>0</v>
      </c>
      <c r="I25" s="151">
        <f>IF(Vehi_Inputs!$B$3=1,Car!I150,IF(Vehi_Inputs!$B$3=2,SUV!I150,PUT!I150))</f>
        <v>0</v>
      </c>
      <c r="J25" s="151">
        <f>IF(Vehi_Inputs!$B$3=1,Car!J150,IF(Vehi_Inputs!$B$3=2,SUV!J150,PUT!J150))</f>
        <v>0</v>
      </c>
      <c r="K25" s="151">
        <f>IF(Vehi_Inputs!$B$3=1,Car!K150,IF(Vehi_Inputs!$B$3=2,SUV!K150,PUT!K150))</f>
        <v>0</v>
      </c>
      <c r="L25" s="152">
        <f>IF(Vehi_Inputs!$B$3=1,Car!L150,IF(Vehi_Inputs!$B$3=2,SUV!L150,PUT!L150))</f>
        <v>0</v>
      </c>
    </row>
    <row r="26" spans="2:12">
      <c r="B26" s="160" t="s">
        <v>257</v>
      </c>
      <c r="C26" s="151">
        <f>IF(Vehi_Inputs!$B$3=1,Car!C151,IF(Vehi_Inputs!$B$3=2,SUV!C151,PUT!C151))</f>
        <v>2.4832024141197638E-2</v>
      </c>
      <c r="D26" s="151">
        <f>IF(Vehi_Inputs!$B$3=1,Car!D151,IF(Vehi_Inputs!$B$3=2,SUV!D151,PUT!D151))</f>
        <v>0</v>
      </c>
      <c r="E26" s="151">
        <f>IF(Vehi_Inputs!$B$3=1,Car!E151,IF(Vehi_Inputs!$B$3=2,SUV!E151,PUT!E151))</f>
        <v>0</v>
      </c>
      <c r="F26" s="151">
        <f>IF(Vehi_Inputs!$B$3=1,Car!F151,IF(Vehi_Inputs!$B$3=2,SUV!F151,PUT!F151))</f>
        <v>0</v>
      </c>
      <c r="G26" s="151">
        <f>IF(Vehi_Inputs!$B$3=1,Car!G151,IF(Vehi_Inputs!$B$3=2,SUV!G151,PUT!G151))</f>
        <v>0</v>
      </c>
      <c r="H26" s="151">
        <f>IF(Vehi_Inputs!$B$3=1,Car!H151,IF(Vehi_Inputs!$B$3=2,SUV!H151,PUT!H151))</f>
        <v>0</v>
      </c>
      <c r="I26" s="151">
        <f>IF(Vehi_Inputs!$B$3=1,Car!I151,IF(Vehi_Inputs!$B$3=2,SUV!I151,PUT!I151))</f>
        <v>0</v>
      </c>
      <c r="J26" s="151">
        <f>IF(Vehi_Inputs!$B$3=1,Car!J151,IF(Vehi_Inputs!$B$3=2,SUV!J151,PUT!J151))</f>
        <v>0</v>
      </c>
      <c r="K26" s="151">
        <f>IF(Vehi_Inputs!$B$3=1,Car!K151,IF(Vehi_Inputs!$B$3=2,SUV!K151,PUT!K151))</f>
        <v>2.5916749175188158E-2</v>
      </c>
      <c r="L26" s="152">
        <f>IF(Vehi_Inputs!$B$3=1,Car!L151,IF(Vehi_Inputs!$B$3=2,SUV!L151,PUT!L151))</f>
        <v>2.5916749175188158E-2</v>
      </c>
    </row>
    <row r="27" spans="2:12">
      <c r="B27" s="160" t="s">
        <v>260</v>
      </c>
      <c r="C27" s="151">
        <f>IF(Vehi_Inputs!$B$3=1,Car!C152,IF(Vehi_Inputs!$B$3=2,SUV!C152,PUT!C152))</f>
        <v>0.19000339344935827</v>
      </c>
      <c r="D27" s="151">
        <f>IF(Vehi_Inputs!$B$3=1,Car!D152,IF(Vehi_Inputs!$B$3=2,SUV!D152,PUT!D152))</f>
        <v>0.111</v>
      </c>
      <c r="E27" s="151">
        <f>IF(Vehi_Inputs!$B$3=1,Car!E152,IF(Vehi_Inputs!$B$3=2,SUV!E152,PUT!E152))</f>
        <v>8.4000000000000005E-2</v>
      </c>
      <c r="F27" s="151">
        <f>IF(Vehi_Inputs!$B$3=1,Car!F152,IF(Vehi_Inputs!$B$3=2,SUV!F152,PUT!F152))</f>
        <v>9.4E-2</v>
      </c>
      <c r="G27" s="151">
        <f>IF(Vehi_Inputs!$B$3=1,Car!G152,IF(Vehi_Inputs!$B$3=2,SUV!G152,PUT!G152))</f>
        <v>8.4000000000000005E-2</v>
      </c>
      <c r="H27" s="151">
        <f>IF(Vehi_Inputs!$B$3=1,Car!H152,IF(Vehi_Inputs!$B$3=2,SUV!H152,PUT!H152))</f>
        <v>9.4E-2</v>
      </c>
      <c r="I27" s="151">
        <f>IF(Vehi_Inputs!$B$3=1,Car!I152,IF(Vehi_Inputs!$B$3=2,SUV!I152,PUT!I152))</f>
        <v>0.29499999999999998</v>
      </c>
      <c r="J27" s="151">
        <f>IF(Vehi_Inputs!$B$3=1,Car!J152,IF(Vehi_Inputs!$B$3=2,SUV!J152,PUT!J152))</f>
        <v>0.40699999999999997</v>
      </c>
      <c r="K27" s="151">
        <f>IF(Vehi_Inputs!$B$3=1,Car!K152,IF(Vehi_Inputs!$B$3=2,SUV!K152,PUT!K152))</f>
        <v>0.16617678413030071</v>
      </c>
      <c r="L27" s="152">
        <f>IF(Vehi_Inputs!$B$3=1,Car!L152,IF(Vehi_Inputs!$B$3=2,SUV!L152,PUT!L152))</f>
        <v>0.16617678413030071</v>
      </c>
    </row>
    <row r="28" spans="2:12">
      <c r="B28" s="160" t="s">
        <v>261</v>
      </c>
      <c r="C28" s="151">
        <f>IF(Vehi_Inputs!$B$3=1,Car!C153,IF(Vehi_Inputs!$B$3=2,SUV!C153,PUT!C153))</f>
        <v>2.2191507429110999E-2</v>
      </c>
      <c r="D28" s="151">
        <f>IF(Vehi_Inputs!$B$3=1,Car!D153,IF(Vehi_Inputs!$B$3=2,SUV!D153,PUT!D153))</f>
        <v>1.7999999999999999E-2</v>
      </c>
      <c r="E28" s="151">
        <f>IF(Vehi_Inputs!$B$3=1,Car!E153,IF(Vehi_Inputs!$B$3=2,SUV!E153,PUT!E153))</f>
        <v>2.1999999999999999E-2</v>
      </c>
      <c r="F28" s="151">
        <f>IF(Vehi_Inputs!$B$3=1,Car!F153,IF(Vehi_Inputs!$B$3=2,SUV!F153,PUT!F153))</f>
        <v>1.6E-2</v>
      </c>
      <c r="G28" s="151">
        <f>IF(Vehi_Inputs!$B$3=1,Car!G153,IF(Vehi_Inputs!$B$3=2,SUV!G153,PUT!G153))</f>
        <v>2.1000000000000001E-2</v>
      </c>
      <c r="H28" s="151">
        <f>IF(Vehi_Inputs!$B$3=1,Car!H153,IF(Vehi_Inputs!$B$3=2,SUV!H153,PUT!H153))</f>
        <v>1.4999999999999999E-2</v>
      </c>
      <c r="I28" s="151">
        <f>IF(Vehi_Inputs!$B$3=1,Car!I153,IF(Vehi_Inputs!$B$3=2,SUV!I153,PUT!I153))</f>
        <v>0</v>
      </c>
      <c r="J28" s="151">
        <f>IF(Vehi_Inputs!$B$3=1,Car!J153,IF(Vehi_Inputs!$B$3=2,SUV!J153,PUT!J153))</f>
        <v>0</v>
      </c>
      <c r="K28" s="151">
        <f>IF(Vehi_Inputs!$B$3=1,Car!K153,IF(Vehi_Inputs!$B$3=2,SUV!K153,PUT!K153))</f>
        <v>6.4615988571509395E-2</v>
      </c>
      <c r="L28" s="152">
        <f>IF(Vehi_Inputs!$B$3=1,Car!L153,IF(Vehi_Inputs!$B$3=2,SUV!L153,PUT!L153))</f>
        <v>6.4615988571509395E-2</v>
      </c>
    </row>
    <row r="29" spans="2:12">
      <c r="B29" s="160" t="s">
        <v>259</v>
      </c>
      <c r="C29" s="151">
        <f>IF(Vehi_Inputs!$B$3=1,Car!C154,IF(Vehi_Inputs!$B$3=2,SUV!C154,PUT!C154))</f>
        <v>0</v>
      </c>
      <c r="D29" s="151">
        <f>IF(Vehi_Inputs!$B$3=1,Car!D154,IF(Vehi_Inputs!$B$3=2,SUV!D154,PUT!D154))</f>
        <v>0</v>
      </c>
      <c r="E29" s="151">
        <f>IF(Vehi_Inputs!$B$3=1,Car!E154,IF(Vehi_Inputs!$B$3=2,SUV!E154,PUT!E154))</f>
        <v>0</v>
      </c>
      <c r="F29" s="151">
        <f>IF(Vehi_Inputs!$B$3=1,Car!F154,IF(Vehi_Inputs!$B$3=2,SUV!F154,PUT!F154))</f>
        <v>0</v>
      </c>
      <c r="G29" s="151">
        <f>IF(Vehi_Inputs!$B$3=1,Car!G154,IF(Vehi_Inputs!$B$3=2,SUV!G154,PUT!G154))</f>
        <v>0</v>
      </c>
      <c r="H29" s="151">
        <f>IF(Vehi_Inputs!$B$3=1,Car!H154,IF(Vehi_Inputs!$B$3=2,SUV!H154,PUT!H154))</f>
        <v>0</v>
      </c>
      <c r="I29" s="151">
        <f>IF(Vehi_Inputs!$B$3=1,Car!I154,IF(Vehi_Inputs!$B$3=2,SUV!I154,PUT!I154))</f>
        <v>0</v>
      </c>
      <c r="J29" s="151">
        <f>IF(Vehi_Inputs!$B$3=1,Car!J154,IF(Vehi_Inputs!$B$3=2,SUV!J154,PUT!J154))</f>
        <v>0</v>
      </c>
      <c r="K29" s="151">
        <f>IF(Vehi_Inputs!$B$3=1,Car!K154,IF(Vehi_Inputs!$B$3=2,SUV!K154,PUT!K154))</f>
        <v>0</v>
      </c>
      <c r="L29" s="152">
        <f>IF(Vehi_Inputs!$B$3=1,Car!L154,IF(Vehi_Inputs!$B$3=2,SUV!L154,PUT!L154))</f>
        <v>0</v>
      </c>
    </row>
    <row r="30" spans="2:12">
      <c r="B30" s="160" t="s">
        <v>266</v>
      </c>
      <c r="C30" s="151">
        <f>IF(Vehi_Inputs!$B$3=1,Car!C155,IF(Vehi_Inputs!$B$3=2,SUV!C155,PUT!C155))</f>
        <v>0</v>
      </c>
      <c r="D30" s="151">
        <f>IF(Vehi_Inputs!$B$3=1,Car!D155,IF(Vehi_Inputs!$B$3=2,SUV!D155,PUT!D155))</f>
        <v>0</v>
      </c>
      <c r="E30" s="151">
        <f>IF(Vehi_Inputs!$B$3=1,Car!E155,IF(Vehi_Inputs!$B$3=2,SUV!E155,PUT!E155))</f>
        <v>0</v>
      </c>
      <c r="F30" s="151">
        <f>IF(Vehi_Inputs!$B$3=1,Car!F155,IF(Vehi_Inputs!$B$3=2,SUV!F155,PUT!F155))</f>
        <v>0</v>
      </c>
      <c r="G30" s="151">
        <f>IF(Vehi_Inputs!$B$3=1,Car!G155,IF(Vehi_Inputs!$B$3=2,SUV!G155,PUT!G155))</f>
        <v>0</v>
      </c>
      <c r="H30" s="151">
        <f>IF(Vehi_Inputs!$B$3=1,Car!H155,IF(Vehi_Inputs!$B$3=2,SUV!H155,PUT!H155))</f>
        <v>0</v>
      </c>
      <c r="I30" s="151">
        <f>IF(Vehi_Inputs!$B$3=1,Car!I155,IF(Vehi_Inputs!$B$3=2,SUV!I155,PUT!I155))</f>
        <v>0</v>
      </c>
      <c r="J30" s="151">
        <f>IF(Vehi_Inputs!$B$3=1,Car!J155,IF(Vehi_Inputs!$B$3=2,SUV!J155,PUT!J155))</f>
        <v>0</v>
      </c>
      <c r="K30" s="151">
        <f>IF(Vehi_Inputs!$B$3=1,Car!K155,IF(Vehi_Inputs!$B$3=2,SUV!K155,PUT!K155))</f>
        <v>6.1984188925405387E-3</v>
      </c>
      <c r="L30" s="152">
        <f>IF(Vehi_Inputs!$B$3=1,Car!L155,IF(Vehi_Inputs!$B$3=2,SUV!L155,PUT!L155))</f>
        <v>6.1984188925405387E-3</v>
      </c>
    </row>
    <row r="31" spans="2:12">
      <c r="B31" s="160" t="s">
        <v>267</v>
      </c>
      <c r="C31" s="151">
        <f>IF(Vehi_Inputs!$B$3=1,Car!C156,IF(Vehi_Inputs!$B$3=2,SUV!C156,PUT!C156))</f>
        <v>0</v>
      </c>
      <c r="D31" s="151">
        <f>IF(Vehi_Inputs!$B$3=1,Car!D156,IF(Vehi_Inputs!$B$3=2,SUV!D156,PUT!D156))</f>
        <v>0</v>
      </c>
      <c r="E31" s="151">
        <f>IF(Vehi_Inputs!$B$3=1,Car!E156,IF(Vehi_Inputs!$B$3=2,SUV!E156,PUT!E156))</f>
        <v>0</v>
      </c>
      <c r="F31" s="151">
        <f>IF(Vehi_Inputs!$B$3=1,Car!F156,IF(Vehi_Inputs!$B$3=2,SUV!F156,PUT!F156))</f>
        <v>0</v>
      </c>
      <c r="G31" s="151">
        <f>IF(Vehi_Inputs!$B$3=1,Car!G156,IF(Vehi_Inputs!$B$3=2,SUV!G156,PUT!G156))</f>
        <v>0</v>
      </c>
      <c r="H31" s="151">
        <f>IF(Vehi_Inputs!$B$3=1,Car!H156,IF(Vehi_Inputs!$B$3=2,SUV!H156,PUT!H156))</f>
        <v>0</v>
      </c>
      <c r="I31" s="151">
        <f>IF(Vehi_Inputs!$B$3=1,Car!I156,IF(Vehi_Inputs!$B$3=2,SUV!I156,PUT!I156))</f>
        <v>0</v>
      </c>
      <c r="J31" s="151">
        <f>IF(Vehi_Inputs!$B$3=1,Car!J156,IF(Vehi_Inputs!$B$3=2,SUV!J156,PUT!J156))</f>
        <v>0</v>
      </c>
      <c r="K31" s="151">
        <f>IF(Vehi_Inputs!$B$3=1,Car!K156,IF(Vehi_Inputs!$B$3=2,SUV!K156,PUT!K156))</f>
        <v>2.1400740290504861E-2</v>
      </c>
      <c r="L31" s="152">
        <f>IF(Vehi_Inputs!$B$3=1,Car!L156,IF(Vehi_Inputs!$B$3=2,SUV!L156,PUT!L156))</f>
        <v>2.1400740290504861E-2</v>
      </c>
    </row>
    <row r="32" spans="2:12">
      <c r="B32" s="160" t="s">
        <v>268</v>
      </c>
      <c r="C32" s="151">
        <f>IF(Vehi_Inputs!$B$3=1,Car!C157,IF(Vehi_Inputs!$B$3=2,SUV!C157,PUT!C157))</f>
        <v>0</v>
      </c>
      <c r="D32" s="151">
        <f>IF(Vehi_Inputs!$B$3=1,Car!D157,IF(Vehi_Inputs!$B$3=2,SUV!D157,PUT!D157))</f>
        <v>0</v>
      </c>
      <c r="E32" s="151">
        <f>IF(Vehi_Inputs!$B$3=1,Car!E157,IF(Vehi_Inputs!$B$3=2,SUV!E157,PUT!E157))</f>
        <v>0</v>
      </c>
      <c r="F32" s="151">
        <f>IF(Vehi_Inputs!$B$3=1,Car!F157,IF(Vehi_Inputs!$B$3=2,SUV!F157,PUT!F157))</f>
        <v>0</v>
      </c>
      <c r="G32" s="151">
        <f>IF(Vehi_Inputs!$B$3=1,Car!G157,IF(Vehi_Inputs!$B$3=2,SUV!G157,PUT!G157))</f>
        <v>0</v>
      </c>
      <c r="H32" s="151">
        <f>IF(Vehi_Inputs!$B$3=1,Car!H157,IF(Vehi_Inputs!$B$3=2,SUV!H157,PUT!H157))</f>
        <v>0</v>
      </c>
      <c r="I32" s="151">
        <f>IF(Vehi_Inputs!$B$3=1,Car!I157,IF(Vehi_Inputs!$B$3=2,SUV!I157,PUT!I157))</f>
        <v>0</v>
      </c>
      <c r="J32" s="151">
        <f>IF(Vehi_Inputs!$B$3=1,Car!J157,IF(Vehi_Inputs!$B$3=2,SUV!J157,PUT!J157))</f>
        <v>0</v>
      </c>
      <c r="K32" s="151">
        <f>IF(Vehi_Inputs!$B$3=1,Car!K157,IF(Vehi_Inputs!$B$3=2,SUV!K157,PUT!K157))</f>
        <v>2.565086908263094E-2</v>
      </c>
      <c r="L32" s="152">
        <f>IF(Vehi_Inputs!$B$3=1,Car!L157,IF(Vehi_Inputs!$B$3=2,SUV!L157,PUT!L157))</f>
        <v>2.565086908263094E-2</v>
      </c>
    </row>
    <row r="33" spans="2:12">
      <c r="B33" s="160" t="s">
        <v>269</v>
      </c>
      <c r="C33" s="151">
        <f>IF(Vehi_Inputs!$B$3=1,Car!C158,IF(Vehi_Inputs!$B$3=2,SUV!C158,PUT!C158))</f>
        <v>0</v>
      </c>
      <c r="D33" s="151">
        <f>IF(Vehi_Inputs!$B$3=1,Car!D158,IF(Vehi_Inputs!$B$3=2,SUV!D158,PUT!D158))</f>
        <v>0</v>
      </c>
      <c r="E33" s="151">
        <f>IF(Vehi_Inputs!$B$3=1,Car!E158,IF(Vehi_Inputs!$B$3=2,SUV!E158,PUT!E158))</f>
        <v>0</v>
      </c>
      <c r="F33" s="151">
        <f>IF(Vehi_Inputs!$B$3=1,Car!F158,IF(Vehi_Inputs!$B$3=2,SUV!F158,PUT!F158))</f>
        <v>0</v>
      </c>
      <c r="G33" s="151">
        <f>IF(Vehi_Inputs!$B$3=1,Car!G158,IF(Vehi_Inputs!$B$3=2,SUV!G158,PUT!G158))</f>
        <v>0</v>
      </c>
      <c r="H33" s="151">
        <f>IF(Vehi_Inputs!$B$3=1,Car!H158,IF(Vehi_Inputs!$B$3=2,SUV!H158,PUT!H158))</f>
        <v>0</v>
      </c>
      <c r="I33" s="151">
        <f>IF(Vehi_Inputs!$B$3=1,Car!I158,IF(Vehi_Inputs!$B$3=2,SUV!I158,PUT!I158))</f>
        <v>0</v>
      </c>
      <c r="J33" s="151">
        <f>IF(Vehi_Inputs!$B$3=1,Car!J158,IF(Vehi_Inputs!$B$3=2,SUV!J158,PUT!J158))</f>
        <v>0</v>
      </c>
      <c r="K33" s="151">
        <f>IF(Vehi_Inputs!$B$3=1,Car!K158,IF(Vehi_Inputs!$B$3=2,SUV!K158,PUT!K158))</f>
        <v>0</v>
      </c>
      <c r="L33" s="152">
        <f>IF(Vehi_Inputs!$B$3=1,Car!L158,IF(Vehi_Inputs!$B$3=2,SUV!L158,PUT!L158))</f>
        <v>0</v>
      </c>
    </row>
    <row r="34" spans="2:12">
      <c r="B34" s="160" t="s">
        <v>270</v>
      </c>
      <c r="C34" s="151">
        <f>IF(Vehi_Inputs!$B$3=1,Car!C159,IF(Vehi_Inputs!$B$3=2,SUV!C159,PUT!C159))</f>
        <v>2.0000000000000002E-5</v>
      </c>
      <c r="D34" s="151">
        <f>IF(Vehi_Inputs!$B$3=1,Car!D159,IF(Vehi_Inputs!$B$3=2,SUV!D159,PUT!D159))</f>
        <v>3.0000000000000001E-5</v>
      </c>
      <c r="E34" s="151">
        <f>IF(Vehi_Inputs!$B$3=1,Car!E159,IF(Vehi_Inputs!$B$3=2,SUV!E159,PUT!E159))</f>
        <v>2.0000000000000002E-5</v>
      </c>
      <c r="F34" s="151">
        <f>IF(Vehi_Inputs!$B$3=1,Car!F159,IF(Vehi_Inputs!$B$3=2,SUV!F159,PUT!F159))</f>
        <v>2.0000000000000002E-5</v>
      </c>
      <c r="G34" s="151">
        <f>IF(Vehi_Inputs!$B$3=1,Car!G159,IF(Vehi_Inputs!$B$3=2,SUV!G159,PUT!G159))</f>
        <v>2.0000000000000002E-5</v>
      </c>
      <c r="H34" s="151">
        <f>IF(Vehi_Inputs!$B$3=1,Car!H159,IF(Vehi_Inputs!$B$3=2,SUV!H159,PUT!H159))</f>
        <v>2.0000000000000002E-5</v>
      </c>
      <c r="I34" s="151">
        <f>IF(Vehi_Inputs!$B$3=1,Car!I159,IF(Vehi_Inputs!$B$3=2,SUV!I159,PUT!I159))</f>
        <v>0</v>
      </c>
      <c r="J34" s="151">
        <f>IF(Vehi_Inputs!$B$3=1,Car!J159,IF(Vehi_Inputs!$B$3=2,SUV!J159,PUT!J159))</f>
        <v>0</v>
      </c>
      <c r="K34" s="151">
        <f>IF(Vehi_Inputs!$B$3=1,Car!K159,IF(Vehi_Inputs!$B$3=2,SUV!K159,PUT!K159))</f>
        <v>1.7668053030533081E-4</v>
      </c>
      <c r="L34" s="152">
        <f>IF(Vehi_Inputs!$B$3=1,Car!L159,IF(Vehi_Inputs!$B$3=2,SUV!L159,PUT!L159))</f>
        <v>1.7668053030533081E-4</v>
      </c>
    </row>
    <row r="35" spans="2:12">
      <c r="B35" s="160" t="s">
        <v>271</v>
      </c>
      <c r="C35" s="151">
        <f>IF(Vehi_Inputs!$B$3=1,Car!C160,IF(Vehi_Inputs!$B$3=2,SUV!C160,PUT!C160))</f>
        <v>0</v>
      </c>
      <c r="D35" s="151">
        <f>IF(Vehi_Inputs!$B$3=1,Car!D160,IF(Vehi_Inputs!$B$3=2,SUV!D160,PUT!D160))</f>
        <v>0</v>
      </c>
      <c r="E35" s="151">
        <f>IF(Vehi_Inputs!$B$3=1,Car!E160,IF(Vehi_Inputs!$B$3=2,SUV!E160,PUT!E160))</f>
        <v>0</v>
      </c>
      <c r="F35" s="151">
        <f>IF(Vehi_Inputs!$B$3=1,Car!F160,IF(Vehi_Inputs!$B$3=2,SUV!F160,PUT!F160))</f>
        <v>0</v>
      </c>
      <c r="G35" s="151">
        <f>IF(Vehi_Inputs!$B$3=1,Car!G160,IF(Vehi_Inputs!$B$3=2,SUV!G160,PUT!G160))</f>
        <v>0</v>
      </c>
      <c r="H35" s="151">
        <f>IF(Vehi_Inputs!$B$3=1,Car!H160,IF(Vehi_Inputs!$B$3=2,SUV!H160,PUT!H160))</f>
        <v>0</v>
      </c>
      <c r="I35" s="151">
        <f>IF(Vehi_Inputs!$B$3=1,Car!I160,IF(Vehi_Inputs!$B$3=2,SUV!I160,PUT!I160))</f>
        <v>0</v>
      </c>
      <c r="J35" s="151">
        <f>IF(Vehi_Inputs!$B$3=1,Car!J160,IF(Vehi_Inputs!$B$3=2,SUV!J160,PUT!J160))</f>
        <v>0</v>
      </c>
      <c r="K35" s="151">
        <f>IF(Vehi_Inputs!$B$3=1,Car!K160,IF(Vehi_Inputs!$B$3=2,SUV!K160,PUT!K160))</f>
        <v>2.7278836091788705E-3</v>
      </c>
      <c r="L35" s="152">
        <f>IF(Vehi_Inputs!$B$3=1,Car!L160,IF(Vehi_Inputs!$B$3=2,SUV!L160,PUT!L160))</f>
        <v>2.7278836091788705E-3</v>
      </c>
    </row>
    <row r="36" spans="2:12">
      <c r="B36" s="160" t="s">
        <v>272</v>
      </c>
      <c r="C36" s="151">
        <f>IF(Vehi_Inputs!$B$3=1,Car!C161,IF(Vehi_Inputs!$B$3=2,SUV!C161,PUT!C161))</f>
        <v>0</v>
      </c>
      <c r="D36" s="151">
        <f>IF(Vehi_Inputs!$B$3=1,Car!D161,IF(Vehi_Inputs!$B$3=2,SUV!D161,PUT!D161))</f>
        <v>0</v>
      </c>
      <c r="E36" s="151">
        <f>IF(Vehi_Inputs!$B$3=1,Car!E161,IF(Vehi_Inputs!$B$3=2,SUV!E161,PUT!E161))</f>
        <v>0</v>
      </c>
      <c r="F36" s="151">
        <f>IF(Vehi_Inputs!$B$3=1,Car!F161,IF(Vehi_Inputs!$B$3=2,SUV!F161,PUT!F161))</f>
        <v>0</v>
      </c>
      <c r="G36" s="151">
        <f>IF(Vehi_Inputs!$B$3=1,Car!G161,IF(Vehi_Inputs!$B$3=2,SUV!G161,PUT!G161))</f>
        <v>0</v>
      </c>
      <c r="H36" s="151">
        <f>IF(Vehi_Inputs!$B$3=1,Car!H161,IF(Vehi_Inputs!$B$3=2,SUV!H161,PUT!H161))</f>
        <v>0</v>
      </c>
      <c r="I36" s="151">
        <f>IF(Vehi_Inputs!$B$3=1,Car!I161,IF(Vehi_Inputs!$B$3=2,SUV!I161,PUT!I161))</f>
        <v>0</v>
      </c>
      <c r="J36" s="151">
        <f>IF(Vehi_Inputs!$B$3=1,Car!J161,IF(Vehi_Inputs!$B$3=2,SUV!J161,PUT!J161))</f>
        <v>0</v>
      </c>
      <c r="K36" s="151">
        <f>IF(Vehi_Inputs!$B$3=1,Car!K161,IF(Vehi_Inputs!$B$3=2,SUV!K161,PUT!K161))</f>
        <v>1.912608023438235E-5</v>
      </c>
      <c r="L36" s="152">
        <f>IF(Vehi_Inputs!$B$3=1,Car!L161,IF(Vehi_Inputs!$B$3=2,SUV!L161,PUT!L161))</f>
        <v>1.912608023438235E-5</v>
      </c>
    </row>
    <row r="37" spans="2:12">
      <c r="B37" s="160" t="s">
        <v>273</v>
      </c>
      <c r="C37" s="151">
        <f>IF(Vehi_Inputs!$B$3=1,Car!C162,IF(Vehi_Inputs!$B$3=2,SUV!C162,PUT!C162))</f>
        <v>0</v>
      </c>
      <c r="D37" s="151">
        <f>IF(Vehi_Inputs!$B$3=1,Car!D162,IF(Vehi_Inputs!$B$3=2,SUV!D162,PUT!D162))</f>
        <v>0</v>
      </c>
      <c r="E37" s="151">
        <f>IF(Vehi_Inputs!$B$3=1,Car!E162,IF(Vehi_Inputs!$B$3=2,SUV!E162,PUT!E162))</f>
        <v>0</v>
      </c>
      <c r="F37" s="151">
        <f>IF(Vehi_Inputs!$B$3=1,Car!F162,IF(Vehi_Inputs!$B$3=2,SUV!F162,PUT!F162))</f>
        <v>0</v>
      </c>
      <c r="G37" s="151">
        <f>IF(Vehi_Inputs!$B$3=1,Car!G162,IF(Vehi_Inputs!$B$3=2,SUV!G162,PUT!G162))</f>
        <v>0</v>
      </c>
      <c r="H37" s="151">
        <f>IF(Vehi_Inputs!$B$3=1,Car!H162,IF(Vehi_Inputs!$B$3=2,SUV!H162,PUT!H162))</f>
        <v>0</v>
      </c>
      <c r="I37" s="151">
        <f>IF(Vehi_Inputs!$B$3=1,Car!I162,IF(Vehi_Inputs!$B$3=2,SUV!I162,PUT!I162))</f>
        <v>0</v>
      </c>
      <c r="J37" s="151">
        <f>IF(Vehi_Inputs!$B$3=1,Car!J162,IF(Vehi_Inputs!$B$3=2,SUV!J162,PUT!J162))</f>
        <v>0</v>
      </c>
      <c r="K37" s="151">
        <f>IF(Vehi_Inputs!$B$3=1,Car!K162,IF(Vehi_Inputs!$B$3=2,SUV!K162,PUT!K162))</f>
        <v>5.4030878587086771E-4</v>
      </c>
      <c r="L37" s="152">
        <f>IF(Vehi_Inputs!$B$3=1,Car!L162,IF(Vehi_Inputs!$B$3=2,SUV!L162,PUT!L162))</f>
        <v>5.4030878587086771E-4</v>
      </c>
    </row>
    <row r="38" spans="2:12">
      <c r="B38" s="160" t="s">
        <v>262</v>
      </c>
      <c r="C38" s="151">
        <f>IF(Vehi_Inputs!$B$3=1,Car!C163,IF(Vehi_Inputs!$B$3=2,SUV!C163,PUT!C163))</f>
        <v>3.9306094272717473E-5</v>
      </c>
      <c r="D38" s="151">
        <f>IF(Vehi_Inputs!$B$3=1,Car!D163,IF(Vehi_Inputs!$B$3=2,SUV!D163,PUT!D163))</f>
        <v>-3.0000000000196536E-5</v>
      </c>
      <c r="E38" s="151">
        <f>IF(Vehi_Inputs!$B$3=1,Car!E163,IF(Vehi_Inputs!$B$3=2,SUV!E163,PUT!E163))</f>
        <v>-1.9999999999908979E-5</v>
      </c>
      <c r="F38" s="151">
        <f>IF(Vehi_Inputs!$B$3=1,Car!F163,IF(Vehi_Inputs!$B$3=2,SUV!F163,PUT!F163))</f>
        <v>-1.9999999999908979E-5</v>
      </c>
      <c r="G38" s="151">
        <f>IF(Vehi_Inputs!$B$3=1,Car!G163,IF(Vehi_Inputs!$B$3=2,SUV!G163,PUT!G163))</f>
        <v>-1.9999999999908979E-5</v>
      </c>
      <c r="H38" s="151">
        <f>IF(Vehi_Inputs!$B$3=1,Car!H163,IF(Vehi_Inputs!$B$3=2,SUV!H163,PUT!H163))</f>
        <v>-1.9999999999908979E-5</v>
      </c>
      <c r="I38" s="151">
        <f>IF(Vehi_Inputs!$B$3=1,Car!I163,IF(Vehi_Inputs!$B$3=2,SUV!I163,PUT!I163))</f>
        <v>0</v>
      </c>
      <c r="J38" s="151">
        <f>IF(Vehi_Inputs!$B$3=1,Car!J163,IF(Vehi_Inputs!$B$3=2,SUV!J163,PUT!J163))</f>
        <v>1.0000000000000009E-2</v>
      </c>
      <c r="K38" s="151">
        <f>IF(Vehi_Inputs!$B$3=1,Car!K163,IF(Vehi_Inputs!$B$3=2,SUV!K163,PUT!K163))</f>
        <v>0</v>
      </c>
      <c r="L38" s="152">
        <f>IF(Vehi_Inputs!$B$3=1,Car!L163,IF(Vehi_Inputs!$B$3=2,SUV!L163,PUT!L163))</f>
        <v>0</v>
      </c>
    </row>
    <row r="39" spans="2:12">
      <c r="B39" s="178" t="s">
        <v>274</v>
      </c>
      <c r="C39" s="179"/>
      <c r="D39" s="179"/>
      <c r="E39" s="179"/>
      <c r="F39" s="179"/>
      <c r="G39" s="179"/>
      <c r="H39" s="179"/>
      <c r="I39" s="179"/>
      <c r="J39" s="179"/>
      <c r="K39" s="179"/>
      <c r="L39" s="180"/>
    </row>
    <row r="40" spans="2:12">
      <c r="B40" s="173" t="s">
        <v>251</v>
      </c>
      <c r="C40" s="127">
        <f>IF(Vehi_Inputs!$B$3=1,Car!C165,IF(Vehi_Inputs!$B$3=2,SUV!C165,PUT!C165))</f>
        <v>0.3</v>
      </c>
      <c r="D40" s="127">
        <f>IF(Vehi_Inputs!$B$3=1,Car!D165,IF(Vehi_Inputs!$B$3=2,SUV!D165,PUT!D165))</f>
        <v>0.3</v>
      </c>
      <c r="E40" s="127">
        <f>IF(Vehi_Inputs!$B$3=1,Car!E165,IF(Vehi_Inputs!$B$3=2,SUV!E165,PUT!E165))</f>
        <v>0.60499999999999998</v>
      </c>
      <c r="F40" s="127">
        <f>IF(Vehi_Inputs!$B$3=1,Car!F165,IF(Vehi_Inputs!$B$3=2,SUV!F165,PUT!F165))</f>
        <v>0.60499999999999998</v>
      </c>
      <c r="G40" s="127">
        <f>IF(Vehi_Inputs!$B$3=1,Car!G165,IF(Vehi_Inputs!$B$3=2,SUV!G165,PUT!G165))</f>
        <v>0.60499999999999998</v>
      </c>
      <c r="H40" s="127">
        <f>IF(Vehi_Inputs!$B$3=1,Car!H165,IF(Vehi_Inputs!$B$3=2,SUV!H165,PUT!H165))</f>
        <v>0.60499999999999998</v>
      </c>
      <c r="I40" s="127">
        <f>IF(Vehi_Inputs!$B$3=1,Car!I165,IF(Vehi_Inputs!$B$3=2,SUV!I165,PUT!I165))</f>
        <v>0.60499999999999998</v>
      </c>
      <c r="J40" s="127">
        <f>IF(Vehi_Inputs!$B$3=1,Car!J165,IF(Vehi_Inputs!$B$3=2,SUV!J165,PUT!J165))</f>
        <v>0.60499999999999998</v>
      </c>
      <c r="K40" s="127">
        <f>IF(Vehi_Inputs!$B$3=1,Car!K165,IF(Vehi_Inputs!$B$3=2,SUV!K165,PUT!K165))</f>
        <v>0.60499999999999998</v>
      </c>
      <c r="L40" s="128">
        <f>IF(Vehi_Inputs!$B$3=1,Car!L165,IF(Vehi_Inputs!$B$3=2,SUV!L165,PUT!L165))</f>
        <v>0.60499999999999998</v>
      </c>
    </row>
    <row r="41" spans="2:12">
      <c r="B41" s="173" t="s">
        <v>275</v>
      </c>
      <c r="C41" s="127">
        <f>IF(Vehi_Inputs!$B$3=1,Car!C166,IF(Vehi_Inputs!$B$3=2,SUV!C166,PUT!C166))</f>
        <v>0</v>
      </c>
      <c r="D41" s="127">
        <f>IF(Vehi_Inputs!$B$3=1,Car!D166,IF(Vehi_Inputs!$B$3=2,SUV!D166,PUT!D166))</f>
        <v>0</v>
      </c>
      <c r="E41" s="127">
        <f>IF(Vehi_Inputs!$B$3=1,Car!E166,IF(Vehi_Inputs!$B$3=2,SUV!E166,PUT!E166))</f>
        <v>0.189</v>
      </c>
      <c r="F41" s="127">
        <f>IF(Vehi_Inputs!$B$3=1,Car!F166,IF(Vehi_Inputs!$B$3=2,SUV!F166,PUT!F166))</f>
        <v>0.189</v>
      </c>
      <c r="G41" s="127">
        <f>IF(Vehi_Inputs!$B$3=1,Car!G166,IF(Vehi_Inputs!$B$3=2,SUV!G166,PUT!G166))</f>
        <v>0.189</v>
      </c>
      <c r="H41" s="127">
        <f>IF(Vehi_Inputs!$B$3=1,Car!H166,IF(Vehi_Inputs!$B$3=2,SUV!H166,PUT!H166))</f>
        <v>0.189</v>
      </c>
      <c r="I41" s="127">
        <f>IF(Vehi_Inputs!$B$3=1,Car!I166,IF(Vehi_Inputs!$B$3=2,SUV!I166,PUT!I166))</f>
        <v>0.189</v>
      </c>
      <c r="J41" s="127">
        <f>IF(Vehi_Inputs!$B$3=1,Car!J166,IF(Vehi_Inputs!$B$3=2,SUV!J166,PUT!J166))</f>
        <v>0.189</v>
      </c>
      <c r="K41" s="127">
        <f>IF(Vehi_Inputs!$B$3=1,Car!K166,IF(Vehi_Inputs!$B$3=2,SUV!K166,PUT!K166))</f>
        <v>0.189</v>
      </c>
      <c r="L41" s="128">
        <f>IF(Vehi_Inputs!$B$3=1,Car!L166,IF(Vehi_Inputs!$B$3=2,SUV!L166,PUT!L166))</f>
        <v>0.189</v>
      </c>
    </row>
    <row r="42" spans="2:12">
      <c r="B42" s="173" t="s">
        <v>276</v>
      </c>
      <c r="C42" s="127">
        <f>IF(Vehi_Inputs!$B$3=1,Car!C167,IF(Vehi_Inputs!$B$3=2,SUV!C167,PUT!C167))</f>
        <v>0.3</v>
      </c>
      <c r="D42" s="127">
        <f>IF(Vehi_Inputs!$B$3=1,Car!D167,IF(Vehi_Inputs!$B$3=2,SUV!D167,PUT!D167))</f>
        <v>0</v>
      </c>
      <c r="E42" s="127">
        <f>IF(Vehi_Inputs!$B$3=1,Car!E167,IF(Vehi_Inputs!$B$3=2,SUV!E167,PUT!E167))</f>
        <v>0</v>
      </c>
      <c r="F42" s="127">
        <f>IF(Vehi_Inputs!$B$3=1,Car!F167,IF(Vehi_Inputs!$B$3=2,SUV!F167,PUT!F167))</f>
        <v>0</v>
      </c>
      <c r="G42" s="127">
        <f>IF(Vehi_Inputs!$B$3=1,Car!G167,IF(Vehi_Inputs!$B$3=2,SUV!G167,PUT!G167))</f>
        <v>0</v>
      </c>
      <c r="H42" s="127">
        <f>IF(Vehi_Inputs!$B$3=1,Car!H167,IF(Vehi_Inputs!$B$3=2,SUV!H167,PUT!H167))</f>
        <v>0</v>
      </c>
      <c r="I42" s="127">
        <f>IF(Vehi_Inputs!$B$3=1,Car!I167,IF(Vehi_Inputs!$B$3=2,SUV!I167,PUT!I167))</f>
        <v>0</v>
      </c>
      <c r="J42" s="127">
        <f>IF(Vehi_Inputs!$B$3=1,Car!J167,IF(Vehi_Inputs!$B$3=2,SUV!J167,PUT!J167))</f>
        <v>0</v>
      </c>
      <c r="K42" s="127">
        <f>IF(Vehi_Inputs!$B$3=1,Car!K167,IF(Vehi_Inputs!$B$3=2,SUV!K167,PUT!K167))</f>
        <v>0</v>
      </c>
      <c r="L42" s="128">
        <f>IF(Vehi_Inputs!$B$3=1,Car!L167,IF(Vehi_Inputs!$B$3=2,SUV!L167,PUT!L167))</f>
        <v>0</v>
      </c>
    </row>
    <row r="43" spans="2:12">
      <c r="B43" s="173" t="s">
        <v>256</v>
      </c>
      <c r="C43" s="127">
        <f>IF(Vehi_Inputs!$B$3=1,Car!C168,IF(Vehi_Inputs!$B$3=2,SUV!C168,PUT!C168))</f>
        <v>0</v>
      </c>
      <c r="D43" s="127">
        <f>IF(Vehi_Inputs!$B$3=1,Car!D168,IF(Vehi_Inputs!$B$3=2,SUV!D168,PUT!D168))</f>
        <v>0</v>
      </c>
      <c r="E43" s="127">
        <f>IF(Vehi_Inputs!$B$3=1,Car!E168,IF(Vehi_Inputs!$B$3=2,SUV!E168,PUT!E168))</f>
        <v>0</v>
      </c>
      <c r="F43" s="127">
        <f>IF(Vehi_Inputs!$B$3=1,Car!F168,IF(Vehi_Inputs!$B$3=2,SUV!F168,PUT!F168))</f>
        <v>0</v>
      </c>
      <c r="G43" s="127">
        <f>IF(Vehi_Inputs!$B$3=1,Car!G168,IF(Vehi_Inputs!$B$3=2,SUV!G168,PUT!G168))</f>
        <v>0</v>
      </c>
      <c r="H43" s="127">
        <f>IF(Vehi_Inputs!$B$3=1,Car!H168,IF(Vehi_Inputs!$B$3=2,SUV!H168,PUT!H168))</f>
        <v>0</v>
      </c>
      <c r="I43" s="127">
        <f>IF(Vehi_Inputs!$B$3=1,Car!I168,IF(Vehi_Inputs!$B$3=2,SUV!I168,PUT!I168))</f>
        <v>0</v>
      </c>
      <c r="J43" s="127">
        <f>IF(Vehi_Inputs!$B$3=1,Car!J168,IF(Vehi_Inputs!$B$3=2,SUV!J168,PUT!J168))</f>
        <v>0</v>
      </c>
      <c r="K43" s="127">
        <f>IF(Vehi_Inputs!$B$3=1,Car!K168,IF(Vehi_Inputs!$B$3=2,SUV!K168,PUT!K168))</f>
        <v>0</v>
      </c>
      <c r="L43" s="128">
        <f>IF(Vehi_Inputs!$B$3=1,Car!L168,IF(Vehi_Inputs!$B$3=2,SUV!L168,PUT!L168))</f>
        <v>0</v>
      </c>
    </row>
    <row r="44" spans="2:12">
      <c r="B44" s="173" t="s">
        <v>252</v>
      </c>
      <c r="C44" s="127">
        <f>IF(Vehi_Inputs!$B$3=1,Car!C169,IF(Vehi_Inputs!$B$3=2,SUV!C169,PUT!C169))</f>
        <v>0.3</v>
      </c>
      <c r="D44" s="127">
        <f>IF(Vehi_Inputs!$B$3=1,Car!D169,IF(Vehi_Inputs!$B$3=2,SUV!D169,PUT!D169))</f>
        <v>0.3</v>
      </c>
      <c r="E44" s="127">
        <f>IF(Vehi_Inputs!$B$3=1,Car!E169,IF(Vehi_Inputs!$B$3=2,SUV!E169,PUT!E169))</f>
        <v>0.2</v>
      </c>
      <c r="F44" s="127">
        <f>IF(Vehi_Inputs!$B$3=1,Car!F169,IF(Vehi_Inputs!$B$3=2,SUV!F169,PUT!F169))</f>
        <v>0.2</v>
      </c>
      <c r="G44" s="127">
        <f>IF(Vehi_Inputs!$B$3=1,Car!G169,IF(Vehi_Inputs!$B$3=2,SUV!G169,PUT!G169))</f>
        <v>0.2</v>
      </c>
      <c r="H44" s="127">
        <f>IF(Vehi_Inputs!$B$3=1,Car!H169,IF(Vehi_Inputs!$B$3=2,SUV!H169,PUT!H169))</f>
        <v>0.2</v>
      </c>
      <c r="I44" s="127">
        <f>IF(Vehi_Inputs!$B$3=1,Car!I169,IF(Vehi_Inputs!$B$3=2,SUV!I169,PUT!I169))</f>
        <v>0.2</v>
      </c>
      <c r="J44" s="127">
        <f>IF(Vehi_Inputs!$B$3=1,Car!J169,IF(Vehi_Inputs!$B$3=2,SUV!J169,PUT!J169))</f>
        <v>0.2</v>
      </c>
      <c r="K44" s="127">
        <f>IF(Vehi_Inputs!$B$3=1,Car!K169,IF(Vehi_Inputs!$B$3=2,SUV!K169,PUT!K169))</f>
        <v>0.2</v>
      </c>
      <c r="L44" s="128">
        <f>IF(Vehi_Inputs!$B$3=1,Car!L169,IF(Vehi_Inputs!$B$3=2,SUV!L169,PUT!L169))</f>
        <v>0.2</v>
      </c>
    </row>
    <row r="45" spans="2:12">
      <c r="B45" s="173" t="s">
        <v>253</v>
      </c>
      <c r="C45" s="127">
        <f>IF(Vehi_Inputs!$B$3=1,Car!C170,IF(Vehi_Inputs!$B$3=2,SUV!C170,PUT!C170))</f>
        <v>0</v>
      </c>
      <c r="D45" s="127">
        <f>IF(Vehi_Inputs!$B$3=1,Car!D170,IF(Vehi_Inputs!$B$3=2,SUV!D170,PUT!D170))</f>
        <v>0.3</v>
      </c>
      <c r="E45" s="127">
        <f>IF(Vehi_Inputs!$B$3=1,Car!E170,IF(Vehi_Inputs!$B$3=2,SUV!E170,PUT!E170))</f>
        <v>0</v>
      </c>
      <c r="F45" s="127">
        <f>IF(Vehi_Inputs!$B$3=1,Car!F170,IF(Vehi_Inputs!$B$3=2,SUV!F170,PUT!F170))</f>
        <v>0</v>
      </c>
      <c r="G45" s="127">
        <f>IF(Vehi_Inputs!$B$3=1,Car!G170,IF(Vehi_Inputs!$B$3=2,SUV!G170,PUT!G170))</f>
        <v>0</v>
      </c>
      <c r="H45" s="127">
        <f>IF(Vehi_Inputs!$B$3=1,Car!H170,IF(Vehi_Inputs!$B$3=2,SUV!H170,PUT!H170))</f>
        <v>0</v>
      </c>
      <c r="I45" s="127">
        <f>IF(Vehi_Inputs!$B$3=1,Car!I170,IF(Vehi_Inputs!$B$3=2,SUV!I170,PUT!I170))</f>
        <v>0</v>
      </c>
      <c r="J45" s="127">
        <f>IF(Vehi_Inputs!$B$3=1,Car!J170,IF(Vehi_Inputs!$B$3=2,SUV!J170,PUT!J170))</f>
        <v>0</v>
      </c>
      <c r="K45" s="127">
        <f>IF(Vehi_Inputs!$B$3=1,Car!K170,IF(Vehi_Inputs!$B$3=2,SUV!K170,PUT!K170))</f>
        <v>0</v>
      </c>
      <c r="L45" s="128">
        <f>IF(Vehi_Inputs!$B$3=1,Car!L170,IF(Vehi_Inputs!$B$3=2,SUV!L170,PUT!L170))</f>
        <v>0</v>
      </c>
    </row>
    <row r="46" spans="2:12">
      <c r="B46" s="173" t="s">
        <v>259</v>
      </c>
      <c r="C46" s="127">
        <f>IF(Vehi_Inputs!$B$3=1,Car!C171,IF(Vehi_Inputs!$B$3=2,SUV!C171,PUT!C171))</f>
        <v>0</v>
      </c>
      <c r="D46" s="127">
        <f>IF(Vehi_Inputs!$B$3=1,Car!D171,IF(Vehi_Inputs!$B$3=2,SUV!D171,PUT!D171))</f>
        <v>0</v>
      </c>
      <c r="E46" s="127">
        <f>IF(Vehi_Inputs!$B$3=1,Car!E171,IF(Vehi_Inputs!$B$3=2,SUV!E171,PUT!E171))</f>
        <v>0</v>
      </c>
      <c r="F46" s="127">
        <f>IF(Vehi_Inputs!$B$3=1,Car!F171,IF(Vehi_Inputs!$B$3=2,SUV!F171,PUT!F171))</f>
        <v>0</v>
      </c>
      <c r="G46" s="127">
        <f>IF(Vehi_Inputs!$B$3=1,Car!G171,IF(Vehi_Inputs!$B$3=2,SUV!G171,PUT!G171))</f>
        <v>0</v>
      </c>
      <c r="H46" s="127">
        <f>IF(Vehi_Inputs!$B$3=1,Car!H171,IF(Vehi_Inputs!$B$3=2,SUV!H171,PUT!H171))</f>
        <v>0</v>
      </c>
      <c r="I46" s="127">
        <f>IF(Vehi_Inputs!$B$3=1,Car!I171,IF(Vehi_Inputs!$B$3=2,SUV!I171,PUT!I171))</f>
        <v>0</v>
      </c>
      <c r="J46" s="127">
        <f>IF(Vehi_Inputs!$B$3=1,Car!J171,IF(Vehi_Inputs!$B$3=2,SUV!J171,PUT!J171))</f>
        <v>0</v>
      </c>
      <c r="K46" s="127">
        <f>IF(Vehi_Inputs!$B$3=1,Car!K171,IF(Vehi_Inputs!$B$3=2,SUV!K171,PUT!K171))</f>
        <v>0</v>
      </c>
      <c r="L46" s="128">
        <f>IF(Vehi_Inputs!$B$3=1,Car!L171,IF(Vehi_Inputs!$B$3=2,SUV!L171,PUT!L171))</f>
        <v>0</v>
      </c>
    </row>
    <row r="47" spans="2:12">
      <c r="B47" s="173" t="s">
        <v>260</v>
      </c>
      <c r="C47" s="127">
        <f>IF(Vehi_Inputs!$B$3=1,Car!C172,IF(Vehi_Inputs!$B$3=2,SUV!C172,PUT!C172))</f>
        <v>0.05</v>
      </c>
      <c r="D47" s="127">
        <f>IF(Vehi_Inputs!$B$3=1,Car!D172,IF(Vehi_Inputs!$B$3=2,SUV!D172,PUT!D172))</f>
        <v>0.05</v>
      </c>
      <c r="E47" s="127">
        <f>IF(Vehi_Inputs!$B$3=1,Car!E172,IF(Vehi_Inputs!$B$3=2,SUV!E172,PUT!E172))</f>
        <v>2E-3</v>
      </c>
      <c r="F47" s="127">
        <f>IF(Vehi_Inputs!$B$3=1,Car!F172,IF(Vehi_Inputs!$B$3=2,SUV!F172,PUT!F172))</f>
        <v>2E-3</v>
      </c>
      <c r="G47" s="127">
        <f>IF(Vehi_Inputs!$B$3=1,Car!G172,IF(Vehi_Inputs!$B$3=2,SUV!G172,PUT!G172))</f>
        <v>2E-3</v>
      </c>
      <c r="H47" s="127">
        <f>IF(Vehi_Inputs!$B$3=1,Car!H172,IF(Vehi_Inputs!$B$3=2,SUV!H172,PUT!H172))</f>
        <v>2E-3</v>
      </c>
      <c r="I47" s="127">
        <f>IF(Vehi_Inputs!$B$3=1,Car!I172,IF(Vehi_Inputs!$B$3=2,SUV!I172,PUT!I172))</f>
        <v>2E-3</v>
      </c>
      <c r="J47" s="127">
        <f>IF(Vehi_Inputs!$B$3=1,Car!J172,IF(Vehi_Inputs!$B$3=2,SUV!J172,PUT!J172))</f>
        <v>2E-3</v>
      </c>
      <c r="K47" s="127">
        <f>IF(Vehi_Inputs!$B$3=1,Car!K172,IF(Vehi_Inputs!$B$3=2,SUV!K172,PUT!K172))</f>
        <v>2E-3</v>
      </c>
      <c r="L47" s="128">
        <f>IF(Vehi_Inputs!$B$3=1,Car!L172,IF(Vehi_Inputs!$B$3=2,SUV!L172,PUT!L172))</f>
        <v>2E-3</v>
      </c>
    </row>
    <row r="48" spans="2:12">
      <c r="B48" s="173" t="s">
        <v>261</v>
      </c>
      <c r="C48" s="127">
        <f>IF(Vehi_Inputs!$B$3=1,Car!C173,IF(Vehi_Inputs!$B$3=2,SUV!C173,PUT!C173))</f>
        <v>0.05</v>
      </c>
      <c r="D48" s="127">
        <f>IF(Vehi_Inputs!$B$3=1,Car!D173,IF(Vehi_Inputs!$B$3=2,SUV!D173,PUT!D173))</f>
        <v>0.05</v>
      </c>
      <c r="E48" s="127">
        <f>IF(Vehi_Inputs!$B$3=1,Car!E173,IF(Vehi_Inputs!$B$3=2,SUV!E173,PUT!E173))</f>
        <v>0</v>
      </c>
      <c r="F48" s="127">
        <f>IF(Vehi_Inputs!$B$3=1,Car!F173,IF(Vehi_Inputs!$B$3=2,SUV!F173,PUT!F173))</f>
        <v>0</v>
      </c>
      <c r="G48" s="127">
        <f>IF(Vehi_Inputs!$B$3=1,Car!G173,IF(Vehi_Inputs!$B$3=2,SUV!G173,PUT!G173))</f>
        <v>0</v>
      </c>
      <c r="H48" s="127">
        <f>IF(Vehi_Inputs!$B$3=1,Car!H173,IF(Vehi_Inputs!$B$3=2,SUV!H173,PUT!H173))</f>
        <v>0</v>
      </c>
      <c r="I48" s="127">
        <f>IF(Vehi_Inputs!$B$3=1,Car!I173,IF(Vehi_Inputs!$B$3=2,SUV!I173,PUT!I173))</f>
        <v>0</v>
      </c>
      <c r="J48" s="127">
        <f>IF(Vehi_Inputs!$B$3=1,Car!J173,IF(Vehi_Inputs!$B$3=2,SUV!J173,PUT!J173))</f>
        <v>0</v>
      </c>
      <c r="K48" s="127">
        <f>IF(Vehi_Inputs!$B$3=1,Car!K173,IF(Vehi_Inputs!$B$3=2,SUV!K173,PUT!K173))</f>
        <v>0</v>
      </c>
      <c r="L48" s="128">
        <f>IF(Vehi_Inputs!$B$3=1,Car!L173,IF(Vehi_Inputs!$B$3=2,SUV!L173,PUT!L173))</f>
        <v>0</v>
      </c>
    </row>
    <row r="49" spans="2:12">
      <c r="B49" s="174" t="s">
        <v>262</v>
      </c>
      <c r="C49" s="129">
        <f>IF(Vehi_Inputs!$B$3=1,Car!C174,IF(Vehi_Inputs!$B$3=2,SUV!C174,PUT!C174))</f>
        <v>0</v>
      </c>
      <c r="D49" s="129">
        <f>IF(Vehi_Inputs!$B$3=1,Car!D174,IF(Vehi_Inputs!$B$3=2,SUV!D174,PUT!D174))</f>
        <v>0</v>
      </c>
      <c r="E49" s="129">
        <f>IF(Vehi_Inputs!$B$3=1,Car!E174,IF(Vehi_Inputs!$B$3=2,SUV!E174,PUT!E174))</f>
        <v>4.0000000000000036E-3</v>
      </c>
      <c r="F49" s="129">
        <f>IF(Vehi_Inputs!$B$3=1,Car!F174,IF(Vehi_Inputs!$B$3=2,SUV!F174,PUT!F174))</f>
        <v>4.0000000000000036E-3</v>
      </c>
      <c r="G49" s="129">
        <f>IF(Vehi_Inputs!$B$3=1,Car!G174,IF(Vehi_Inputs!$B$3=2,SUV!G174,PUT!G174))</f>
        <v>4.0000000000000036E-3</v>
      </c>
      <c r="H49" s="129">
        <f>IF(Vehi_Inputs!$B$3=1,Car!H174,IF(Vehi_Inputs!$B$3=2,SUV!H174,PUT!H174))</f>
        <v>4.0000000000000036E-3</v>
      </c>
      <c r="I49" s="129">
        <f>IF(Vehi_Inputs!$B$3=1,Car!I174,IF(Vehi_Inputs!$B$3=2,SUV!I174,PUT!I174))</f>
        <v>4.0000000000000036E-3</v>
      </c>
      <c r="J49" s="129">
        <f>IF(Vehi_Inputs!$B$3=1,Car!J174,IF(Vehi_Inputs!$B$3=2,SUV!J174,PUT!J174))</f>
        <v>4.0000000000000036E-3</v>
      </c>
      <c r="K49" s="129">
        <f>IF(Vehi_Inputs!$B$3=1,Car!K174,IF(Vehi_Inputs!$B$3=2,SUV!K174,PUT!K174))</f>
        <v>4.0000000000000036E-3</v>
      </c>
      <c r="L49" s="130">
        <f>IF(Vehi_Inputs!$B$3=1,Car!L174,IF(Vehi_Inputs!$B$3=2,SUV!L174,PUT!L174))</f>
        <v>4.0000000000000036E-3</v>
      </c>
    </row>
    <row r="50" spans="2:12">
      <c r="B50" s="177" t="s">
        <v>184</v>
      </c>
      <c r="C50" s="127"/>
      <c r="D50" s="127"/>
      <c r="E50" s="127"/>
      <c r="F50" s="127"/>
      <c r="G50" s="127"/>
      <c r="H50" s="127"/>
      <c r="I50" s="127"/>
      <c r="J50" s="127"/>
      <c r="K50" s="127"/>
      <c r="L50" s="128"/>
    </row>
    <row r="51" spans="2:12">
      <c r="B51" s="173" t="s">
        <v>251</v>
      </c>
      <c r="C51" s="127">
        <f>IF(Vehi_Inputs!$B$3=1,Car!C176,IF(Vehi_Inputs!$B$3=2,SUV!C176,PUT!C176))</f>
        <v>0.66803727795805046</v>
      </c>
      <c r="D51" s="127">
        <f>IF(Vehi_Inputs!$B$3=1,Car!D176,IF(Vehi_Inputs!$B$3=2,SUV!D176,PUT!D176))</f>
        <v>0.36899999999999999</v>
      </c>
      <c r="E51" s="127">
        <f>IF(Vehi_Inputs!$B$3=1,Car!E176,IF(Vehi_Inputs!$B$3=2,SUV!E176,PUT!E176))</f>
        <v>0.66803727795805046</v>
      </c>
      <c r="F51" s="127">
        <f>IF(Vehi_Inputs!$B$3=1,Car!F176,IF(Vehi_Inputs!$B$3=2,SUV!F176,PUT!F176))</f>
        <v>0.35599999999999998</v>
      </c>
      <c r="G51" s="127">
        <f>IF(Vehi_Inputs!$B$3=1,Car!G176,IF(Vehi_Inputs!$B$3=2,SUV!G176,PUT!G176))</f>
        <v>0.66803727795805046</v>
      </c>
      <c r="H51" s="127">
        <f>IF(Vehi_Inputs!$B$3=1,Car!H176,IF(Vehi_Inputs!$B$3=2,SUV!H176,PUT!H176))</f>
        <v>0.34799999999999998</v>
      </c>
      <c r="I51" s="127">
        <f>IF(Vehi_Inputs!$B$3=1,Car!I176,IF(Vehi_Inputs!$B$3=2,SUV!I176,PUT!I176))</f>
        <v>0.66803727795805046</v>
      </c>
      <c r="J51" s="127">
        <f>IF(Vehi_Inputs!$B$3=1,Car!J176,IF(Vehi_Inputs!$B$3=2,SUV!J176,PUT!J176))</f>
        <v>0.34300000000000003</v>
      </c>
      <c r="K51" s="127">
        <f>IF(Vehi_Inputs!$B$3=1,Car!K176,IF(Vehi_Inputs!$B$3=2,SUV!K176,PUT!K176))</f>
        <v>0.66803727795805046</v>
      </c>
      <c r="L51" s="128">
        <f>IF(Vehi_Inputs!$B$3=1,Car!L176,IF(Vehi_Inputs!$B$3=2,SUV!L176,PUT!L176))</f>
        <v>0.34399999999999997</v>
      </c>
    </row>
    <row r="52" spans="2:12">
      <c r="B52" s="173" t="s">
        <v>276</v>
      </c>
      <c r="C52" s="127">
        <f>IF(Vehi_Inputs!$B$3=1,Car!C177,IF(Vehi_Inputs!$B$3=2,SUV!C177,PUT!C177))</f>
        <v>0</v>
      </c>
      <c r="D52" s="127">
        <f>IF(Vehi_Inputs!$B$3=1,Car!D177,IF(Vehi_Inputs!$B$3=2,SUV!D177,PUT!D177))</f>
        <v>8.6999999999999994E-2</v>
      </c>
      <c r="E52" s="127">
        <f>IF(Vehi_Inputs!$B$3=1,Car!E177,IF(Vehi_Inputs!$B$3=2,SUV!E177,PUT!E177))</f>
        <v>0</v>
      </c>
      <c r="F52" s="127">
        <f>IF(Vehi_Inputs!$B$3=1,Car!F177,IF(Vehi_Inputs!$B$3=2,SUV!F177,PUT!F177))</f>
        <v>8.6999999999999994E-2</v>
      </c>
      <c r="G52" s="127">
        <f>IF(Vehi_Inputs!$B$3=1,Car!G177,IF(Vehi_Inputs!$B$3=2,SUV!G177,PUT!G177))</f>
        <v>0</v>
      </c>
      <c r="H52" s="127">
        <f>IF(Vehi_Inputs!$B$3=1,Car!H177,IF(Vehi_Inputs!$B$3=2,SUV!H177,PUT!H177))</f>
        <v>8.8999999999999996E-2</v>
      </c>
      <c r="I52" s="127">
        <f>IF(Vehi_Inputs!$B$3=1,Car!I177,IF(Vehi_Inputs!$B$3=2,SUV!I177,PUT!I177))</f>
        <v>0</v>
      </c>
      <c r="J52" s="127">
        <f>IF(Vehi_Inputs!$B$3=1,Car!J177,IF(Vehi_Inputs!$B$3=2,SUV!J177,PUT!J177))</f>
        <v>9.1999999999999998E-2</v>
      </c>
      <c r="K52" s="127">
        <f>IF(Vehi_Inputs!$B$3=1,Car!K177,IF(Vehi_Inputs!$B$3=2,SUV!K177,PUT!K177))</f>
        <v>0</v>
      </c>
      <c r="L52" s="128">
        <f>IF(Vehi_Inputs!$B$3=1,Car!L177,IF(Vehi_Inputs!$B$3=2,SUV!L177,PUT!L177))</f>
        <v>9.0999999999999998E-2</v>
      </c>
    </row>
    <row r="53" spans="2:12">
      <c r="B53" s="173" t="s">
        <v>252</v>
      </c>
      <c r="C53" s="127">
        <f>IF(Vehi_Inputs!$B$3=1,Car!C178,IF(Vehi_Inputs!$B$3=2,SUV!C178,PUT!C178))</f>
        <v>1.5068145011052537E-2</v>
      </c>
      <c r="D53" s="127">
        <f>IF(Vehi_Inputs!$B$3=1,Car!D178,IF(Vehi_Inputs!$B$3=2,SUV!D178,PUT!D178))</f>
        <v>2.3E-2</v>
      </c>
      <c r="E53" s="127">
        <f>IF(Vehi_Inputs!$B$3=1,Car!E178,IF(Vehi_Inputs!$B$3=2,SUV!E178,PUT!E178))</f>
        <v>1.5068145011052537E-2</v>
      </c>
      <c r="F53" s="127">
        <f>IF(Vehi_Inputs!$B$3=1,Car!F178,IF(Vehi_Inputs!$B$3=2,SUV!F178,PUT!F178))</f>
        <v>2.1999999999999999E-2</v>
      </c>
      <c r="G53" s="127">
        <f>IF(Vehi_Inputs!$B$3=1,Car!G178,IF(Vehi_Inputs!$B$3=2,SUV!G178,PUT!G178))</f>
        <v>1.5068145011052537E-2</v>
      </c>
      <c r="H53" s="127">
        <f>IF(Vehi_Inputs!$B$3=1,Car!H178,IF(Vehi_Inputs!$B$3=2,SUV!H178,PUT!H178))</f>
        <v>2.1000000000000001E-2</v>
      </c>
      <c r="I53" s="127">
        <f>IF(Vehi_Inputs!$B$3=1,Car!I178,IF(Vehi_Inputs!$B$3=2,SUV!I178,PUT!I178))</f>
        <v>1.5068145011052537E-2</v>
      </c>
      <c r="J53" s="127">
        <f>IF(Vehi_Inputs!$B$3=1,Car!J178,IF(Vehi_Inputs!$B$3=2,SUV!J178,PUT!J178))</f>
        <v>0.02</v>
      </c>
      <c r="K53" s="127">
        <f>IF(Vehi_Inputs!$B$3=1,Car!K178,IF(Vehi_Inputs!$B$3=2,SUV!K178,PUT!K178))</f>
        <v>1.5068145011052537E-2</v>
      </c>
      <c r="L53" s="128">
        <f>IF(Vehi_Inputs!$B$3=1,Car!L178,IF(Vehi_Inputs!$B$3=2,SUV!L178,PUT!L178))</f>
        <v>0.02</v>
      </c>
    </row>
    <row r="54" spans="2:12">
      <c r="B54" s="173" t="s">
        <v>253</v>
      </c>
      <c r="C54" s="127">
        <f>IF(Vehi_Inputs!$B$3=1,Car!C179,IF(Vehi_Inputs!$B$3=2,SUV!C179,PUT!C179))</f>
        <v>0.18599848825412088</v>
      </c>
      <c r="D54" s="127">
        <f>IF(Vehi_Inputs!$B$3=1,Car!D179,IF(Vehi_Inputs!$B$3=2,SUV!D179,PUT!D179))</f>
        <v>0.31</v>
      </c>
      <c r="E54" s="127">
        <f>IF(Vehi_Inputs!$B$3=1,Car!E179,IF(Vehi_Inputs!$B$3=2,SUV!E179,PUT!E179))</f>
        <v>0.18599848825412088</v>
      </c>
      <c r="F54" s="127">
        <f>IF(Vehi_Inputs!$B$3=1,Car!F179,IF(Vehi_Inputs!$B$3=2,SUV!F179,PUT!F179))</f>
        <v>0.33200000000000002</v>
      </c>
      <c r="G54" s="127">
        <f>IF(Vehi_Inputs!$B$3=1,Car!G179,IF(Vehi_Inputs!$B$3=2,SUV!G179,PUT!G179))</f>
        <v>0.18599848825412088</v>
      </c>
      <c r="H54" s="127">
        <f>IF(Vehi_Inputs!$B$3=1,Car!H179,IF(Vehi_Inputs!$B$3=2,SUV!H179,PUT!H179))</f>
        <v>0.34200000000000003</v>
      </c>
      <c r="I54" s="127">
        <f>IF(Vehi_Inputs!$B$3=1,Car!I179,IF(Vehi_Inputs!$B$3=2,SUV!I179,PUT!I179))</f>
        <v>0.18599848825412088</v>
      </c>
      <c r="J54" s="127">
        <f>IF(Vehi_Inputs!$B$3=1,Car!J179,IF(Vehi_Inputs!$B$3=2,SUV!J179,PUT!J179))</f>
        <v>0.34699999999999998</v>
      </c>
      <c r="K54" s="127">
        <f>IF(Vehi_Inputs!$B$3=1,Car!K179,IF(Vehi_Inputs!$B$3=2,SUV!K179,PUT!K179))</f>
        <v>0.18599848825412088</v>
      </c>
      <c r="L54" s="128">
        <f>IF(Vehi_Inputs!$B$3=1,Car!L179,IF(Vehi_Inputs!$B$3=2,SUV!L179,PUT!L179))</f>
        <v>0.34599999999999997</v>
      </c>
    </row>
    <row r="55" spans="2:12">
      <c r="B55" s="173" t="s">
        <v>254</v>
      </c>
      <c r="C55" s="127">
        <f>IF(Vehi_Inputs!$B$3=1,Car!C180,IF(Vehi_Inputs!$B$3=2,SUV!C180,PUT!C180))</f>
        <v>1.3234171660046654E-2</v>
      </c>
      <c r="D55" s="127">
        <f>IF(Vehi_Inputs!$B$3=1,Car!D180,IF(Vehi_Inputs!$B$3=2,SUV!D180,PUT!D180))</f>
        <v>2.1000000000000001E-2</v>
      </c>
      <c r="E55" s="127">
        <f>IF(Vehi_Inputs!$B$3=1,Car!E180,IF(Vehi_Inputs!$B$3=2,SUV!E180,PUT!E180))</f>
        <v>1.3234171660046654E-2</v>
      </c>
      <c r="F55" s="127">
        <f>IF(Vehi_Inputs!$B$3=1,Car!F180,IF(Vehi_Inputs!$B$3=2,SUV!F180,PUT!F180))</f>
        <v>0.02</v>
      </c>
      <c r="G55" s="127">
        <f>IF(Vehi_Inputs!$B$3=1,Car!G180,IF(Vehi_Inputs!$B$3=2,SUV!G180,PUT!G180))</f>
        <v>1.3234171660046654E-2</v>
      </c>
      <c r="H55" s="127">
        <f>IF(Vehi_Inputs!$B$3=1,Car!H180,IF(Vehi_Inputs!$B$3=2,SUV!H180,PUT!H180))</f>
        <v>1.9E-2</v>
      </c>
      <c r="I55" s="127">
        <f>IF(Vehi_Inputs!$B$3=1,Car!I180,IF(Vehi_Inputs!$B$3=2,SUV!I180,PUT!I180))</f>
        <v>1.3234171660046654E-2</v>
      </c>
      <c r="J55" s="127">
        <f>IF(Vehi_Inputs!$B$3=1,Car!J180,IF(Vehi_Inputs!$B$3=2,SUV!J180,PUT!J180))</f>
        <v>1.7999999999999999E-2</v>
      </c>
      <c r="K55" s="127">
        <f>IF(Vehi_Inputs!$B$3=1,Car!K180,IF(Vehi_Inputs!$B$3=2,SUV!K180,PUT!K180))</f>
        <v>1.3234171660046654E-2</v>
      </c>
      <c r="L55" s="128">
        <f>IF(Vehi_Inputs!$B$3=1,Car!L180,IF(Vehi_Inputs!$B$3=2,SUV!L180,PUT!L180))</f>
        <v>1.7999999999999999E-2</v>
      </c>
    </row>
    <row r="56" spans="2:12">
      <c r="B56" s="173" t="s">
        <v>255</v>
      </c>
      <c r="C56" s="127">
        <f>IF(Vehi_Inputs!$B$3=1,Car!C181,IF(Vehi_Inputs!$B$3=2,SUV!C181,PUT!C181))</f>
        <v>0</v>
      </c>
      <c r="D56" s="127">
        <f>IF(Vehi_Inputs!$B$3=1,Car!D181,IF(Vehi_Inputs!$B$3=2,SUV!D181,PUT!D181))</f>
        <v>0</v>
      </c>
      <c r="E56" s="127">
        <f>IF(Vehi_Inputs!$B$3=1,Car!E181,IF(Vehi_Inputs!$B$3=2,SUV!E181,PUT!E181))</f>
        <v>0</v>
      </c>
      <c r="F56" s="127">
        <f>IF(Vehi_Inputs!$B$3=1,Car!F181,IF(Vehi_Inputs!$B$3=2,SUV!F181,PUT!F181))</f>
        <v>0</v>
      </c>
      <c r="G56" s="127">
        <f>IF(Vehi_Inputs!$B$3=1,Car!G181,IF(Vehi_Inputs!$B$3=2,SUV!G181,PUT!G181))</f>
        <v>0</v>
      </c>
      <c r="H56" s="127">
        <f>IF(Vehi_Inputs!$B$3=1,Car!H181,IF(Vehi_Inputs!$B$3=2,SUV!H181,PUT!H181))</f>
        <v>0</v>
      </c>
      <c r="I56" s="127">
        <f>IF(Vehi_Inputs!$B$3=1,Car!I181,IF(Vehi_Inputs!$B$3=2,SUV!I181,PUT!I181))</f>
        <v>0</v>
      </c>
      <c r="J56" s="127">
        <f>IF(Vehi_Inputs!$B$3=1,Car!J181,IF(Vehi_Inputs!$B$3=2,SUV!J181,PUT!J181))</f>
        <v>0</v>
      </c>
      <c r="K56" s="127">
        <f>IF(Vehi_Inputs!$B$3=1,Car!K181,IF(Vehi_Inputs!$B$3=2,SUV!K181,PUT!K181))</f>
        <v>0</v>
      </c>
      <c r="L56" s="128">
        <f>IF(Vehi_Inputs!$B$3=1,Car!L181,IF(Vehi_Inputs!$B$3=2,SUV!L181,PUT!L181))</f>
        <v>0</v>
      </c>
    </row>
    <row r="57" spans="2:12">
      <c r="B57" s="173" t="s">
        <v>256</v>
      </c>
      <c r="C57" s="127">
        <f>IF(Vehi_Inputs!$B$3=1,Car!C182,IF(Vehi_Inputs!$B$3=2,SUV!C182,PUT!C182))</f>
        <v>1.0053329268806524E-3</v>
      </c>
      <c r="D57" s="127">
        <f>IF(Vehi_Inputs!$B$3=1,Car!D182,IF(Vehi_Inputs!$B$3=2,SUV!D182,PUT!D182))</f>
        <v>0</v>
      </c>
      <c r="E57" s="127">
        <f>IF(Vehi_Inputs!$B$3=1,Car!E182,IF(Vehi_Inputs!$B$3=2,SUV!E182,PUT!E182))</f>
        <v>1.0053329268806524E-3</v>
      </c>
      <c r="F57" s="127">
        <f>IF(Vehi_Inputs!$B$3=1,Car!F182,IF(Vehi_Inputs!$B$3=2,SUV!F182,PUT!F182))</f>
        <v>0</v>
      </c>
      <c r="G57" s="127">
        <f>IF(Vehi_Inputs!$B$3=1,Car!G182,IF(Vehi_Inputs!$B$3=2,SUV!G182,PUT!G182))</f>
        <v>1.0053329268806524E-3</v>
      </c>
      <c r="H57" s="127">
        <f>IF(Vehi_Inputs!$B$3=1,Car!H182,IF(Vehi_Inputs!$B$3=2,SUV!H182,PUT!H182))</f>
        <v>0</v>
      </c>
      <c r="I57" s="127">
        <f>IF(Vehi_Inputs!$B$3=1,Car!I182,IF(Vehi_Inputs!$B$3=2,SUV!I182,PUT!I182))</f>
        <v>1.0053329268806524E-3</v>
      </c>
      <c r="J57" s="127">
        <f>IF(Vehi_Inputs!$B$3=1,Car!J182,IF(Vehi_Inputs!$B$3=2,SUV!J182,PUT!J182))</f>
        <v>0</v>
      </c>
      <c r="K57" s="127">
        <f>IF(Vehi_Inputs!$B$3=1,Car!K182,IF(Vehi_Inputs!$B$3=2,SUV!K182,PUT!K182))</f>
        <v>1.0053329268806524E-3</v>
      </c>
      <c r="L57" s="128">
        <f>IF(Vehi_Inputs!$B$3=1,Car!L182,IF(Vehi_Inputs!$B$3=2,SUV!L182,PUT!L182))</f>
        <v>0</v>
      </c>
    </row>
    <row r="58" spans="2:12">
      <c r="B58" s="173" t="s">
        <v>257</v>
      </c>
      <c r="C58" s="127">
        <f>IF(Vehi_Inputs!$B$3=1,Car!C183,IF(Vehi_Inputs!$B$3=2,SUV!C183,PUT!C183))</f>
        <v>1.5458246998998973E-3</v>
      </c>
      <c r="D58" s="127">
        <f>IF(Vehi_Inputs!$B$3=1,Car!D183,IF(Vehi_Inputs!$B$3=2,SUV!D183,PUT!D183))</f>
        <v>7.8E-2</v>
      </c>
      <c r="E58" s="127">
        <f>IF(Vehi_Inputs!$B$3=1,Car!E183,IF(Vehi_Inputs!$B$3=2,SUV!E183,PUT!E183))</f>
        <v>1.5458246998998973E-3</v>
      </c>
      <c r="F58" s="127">
        <f>IF(Vehi_Inputs!$B$3=1,Car!F183,IF(Vehi_Inputs!$B$3=2,SUV!F183,PUT!F183))</f>
        <v>7.8E-2</v>
      </c>
      <c r="G58" s="127">
        <f>IF(Vehi_Inputs!$B$3=1,Car!G183,IF(Vehi_Inputs!$B$3=2,SUV!G183,PUT!G183))</f>
        <v>1.5458246998998973E-3</v>
      </c>
      <c r="H58" s="127">
        <f>IF(Vehi_Inputs!$B$3=1,Car!H183,IF(Vehi_Inputs!$B$3=2,SUV!H183,PUT!H183))</f>
        <v>0.08</v>
      </c>
      <c r="I58" s="127">
        <f>IF(Vehi_Inputs!$B$3=1,Car!I183,IF(Vehi_Inputs!$B$3=2,SUV!I183,PUT!I183))</f>
        <v>1.5458246998998973E-3</v>
      </c>
      <c r="J58" s="127">
        <f>IF(Vehi_Inputs!$B$3=1,Car!J183,IF(Vehi_Inputs!$B$3=2,SUV!J183,PUT!J183))</f>
        <v>8.3000000000000004E-2</v>
      </c>
      <c r="K58" s="127">
        <f>IF(Vehi_Inputs!$B$3=1,Car!K183,IF(Vehi_Inputs!$B$3=2,SUV!K183,PUT!K183))</f>
        <v>1.5458246998998973E-3</v>
      </c>
      <c r="L58" s="128">
        <f>IF(Vehi_Inputs!$B$3=1,Car!L183,IF(Vehi_Inputs!$B$3=2,SUV!L183,PUT!L183))</f>
        <v>8.2000000000000003E-2</v>
      </c>
    </row>
    <row r="59" spans="2:12">
      <c r="B59" s="173" t="s">
        <v>260</v>
      </c>
      <c r="C59" s="127">
        <f>IF(Vehi_Inputs!$B$3=1,Car!C184,IF(Vehi_Inputs!$B$3=2,SUV!C184,PUT!C184))</f>
        <v>2.3483428646982336E-2</v>
      </c>
      <c r="D59" s="127">
        <f>IF(Vehi_Inputs!$B$3=1,Car!D184,IF(Vehi_Inputs!$B$3=2,SUV!D184,PUT!D184))</f>
        <v>3.1E-2</v>
      </c>
      <c r="E59" s="127">
        <f>IF(Vehi_Inputs!$B$3=1,Car!E184,IF(Vehi_Inputs!$B$3=2,SUV!E184,PUT!E184))</f>
        <v>2.3483428646982336E-2</v>
      </c>
      <c r="F59" s="127">
        <f>IF(Vehi_Inputs!$B$3=1,Car!F184,IF(Vehi_Inputs!$B$3=2,SUV!F184,PUT!F184))</f>
        <v>2.9000000000000001E-2</v>
      </c>
      <c r="G59" s="127">
        <f>IF(Vehi_Inputs!$B$3=1,Car!G184,IF(Vehi_Inputs!$B$3=2,SUV!G184,PUT!G184))</f>
        <v>2.3483428646982336E-2</v>
      </c>
      <c r="H59" s="127">
        <f>IF(Vehi_Inputs!$B$3=1,Car!H184,IF(Vehi_Inputs!$B$3=2,SUV!H184,PUT!H184))</f>
        <v>2.7E-2</v>
      </c>
      <c r="I59" s="127">
        <f>IF(Vehi_Inputs!$B$3=1,Car!I184,IF(Vehi_Inputs!$B$3=2,SUV!I184,PUT!I184))</f>
        <v>2.3483428646982336E-2</v>
      </c>
      <c r="J59" s="127">
        <f>IF(Vehi_Inputs!$B$3=1,Car!J184,IF(Vehi_Inputs!$B$3=2,SUV!J184,PUT!J184))</f>
        <v>2.5999999999999999E-2</v>
      </c>
      <c r="K59" s="127">
        <f>IF(Vehi_Inputs!$B$3=1,Car!K184,IF(Vehi_Inputs!$B$3=2,SUV!K184,PUT!K184))</f>
        <v>2.3483428646982336E-2</v>
      </c>
      <c r="L59" s="128">
        <f>IF(Vehi_Inputs!$B$3=1,Car!L184,IF(Vehi_Inputs!$B$3=2,SUV!L184,PUT!L184))</f>
        <v>2.5999999999999999E-2</v>
      </c>
    </row>
    <row r="60" spans="2:12">
      <c r="B60" s="173" t="s">
        <v>261</v>
      </c>
      <c r="C60" s="127">
        <f>IF(Vehi_Inputs!$B$3=1,Car!C185,IF(Vehi_Inputs!$B$3=2,SUV!C185,PUT!C185))</f>
        <v>9.1540191527829384E-2</v>
      </c>
      <c r="D60" s="127">
        <f>IF(Vehi_Inputs!$B$3=1,Car!D185,IF(Vehi_Inputs!$B$3=2,SUV!D185,PUT!D185))</f>
        <v>7.3999999999999996E-2</v>
      </c>
      <c r="E60" s="127">
        <f>IF(Vehi_Inputs!$B$3=1,Car!E185,IF(Vehi_Inputs!$B$3=2,SUV!E185,PUT!E185))</f>
        <v>9.1540191527829384E-2</v>
      </c>
      <c r="F60" s="127">
        <f>IF(Vehi_Inputs!$B$3=1,Car!F185,IF(Vehi_Inputs!$B$3=2,SUV!F185,PUT!F185))</f>
        <v>6.9000000000000006E-2</v>
      </c>
      <c r="G60" s="127">
        <f>IF(Vehi_Inputs!$B$3=1,Car!G185,IF(Vehi_Inputs!$B$3=2,SUV!G185,PUT!G185))</f>
        <v>9.1540191527829384E-2</v>
      </c>
      <c r="H60" s="127">
        <f>IF(Vehi_Inputs!$B$3=1,Car!H185,IF(Vehi_Inputs!$B$3=2,SUV!H185,PUT!H185))</f>
        <v>6.6000000000000003E-2</v>
      </c>
      <c r="I60" s="127">
        <f>IF(Vehi_Inputs!$B$3=1,Car!I185,IF(Vehi_Inputs!$B$3=2,SUV!I185,PUT!I185))</f>
        <v>9.1540191527829384E-2</v>
      </c>
      <c r="J60" s="127">
        <f>IF(Vehi_Inputs!$B$3=1,Car!J185,IF(Vehi_Inputs!$B$3=2,SUV!J185,PUT!J185))</f>
        <v>6.4000000000000001E-2</v>
      </c>
      <c r="K60" s="127">
        <f>IF(Vehi_Inputs!$B$3=1,Car!K185,IF(Vehi_Inputs!$B$3=2,SUV!K185,PUT!K185))</f>
        <v>9.1540191527829384E-2</v>
      </c>
      <c r="L60" s="128">
        <f>IF(Vehi_Inputs!$B$3=1,Car!L185,IF(Vehi_Inputs!$B$3=2,SUV!L185,PUT!L185))</f>
        <v>6.4000000000000001E-2</v>
      </c>
    </row>
    <row r="61" spans="2:12">
      <c r="B61" s="173" t="s">
        <v>262</v>
      </c>
      <c r="C61" s="127">
        <f>IF(Vehi_Inputs!$B$3=1,Car!C186,IF(Vehi_Inputs!$B$3=2,SUV!C186,PUT!C186))</f>
        <v>8.7139315136930406E-5</v>
      </c>
      <c r="D61" s="127">
        <f>IF(Vehi_Inputs!$B$3=1,Car!D186,IF(Vehi_Inputs!$B$3=2,SUV!D186,PUT!D186))</f>
        <v>7.0000000000001172E-3</v>
      </c>
      <c r="E61" s="127">
        <f>IF(Vehi_Inputs!$B$3=1,Car!E186,IF(Vehi_Inputs!$B$3=2,SUV!E186,PUT!E186))</f>
        <v>8.7139315136930406E-5</v>
      </c>
      <c r="F61" s="127">
        <f>IF(Vehi_Inputs!$B$3=1,Car!F186,IF(Vehi_Inputs!$B$3=2,SUV!F186,PUT!F186))</f>
        <v>7.0000000000001172E-3</v>
      </c>
      <c r="G61" s="127">
        <f>IF(Vehi_Inputs!$B$3=1,Car!G186,IF(Vehi_Inputs!$B$3=2,SUV!G186,PUT!G186))</f>
        <v>8.7139315136930406E-5</v>
      </c>
      <c r="H61" s="127">
        <f>IF(Vehi_Inputs!$B$3=1,Car!H186,IF(Vehi_Inputs!$B$3=2,SUV!H186,PUT!H186))</f>
        <v>8.0000000000000071E-3</v>
      </c>
      <c r="I61" s="127">
        <f>IF(Vehi_Inputs!$B$3=1,Car!I186,IF(Vehi_Inputs!$B$3=2,SUV!I186,PUT!I186))</f>
        <v>8.7139315136930406E-5</v>
      </c>
      <c r="J61" s="127">
        <f>IF(Vehi_Inputs!$B$3=1,Car!J186,IF(Vehi_Inputs!$B$3=2,SUV!J186,PUT!J186))</f>
        <v>6.9999999999998952E-3</v>
      </c>
      <c r="K61" s="127">
        <f>IF(Vehi_Inputs!$B$3=1,Car!K186,IF(Vehi_Inputs!$B$3=2,SUV!K186,PUT!K186))</f>
        <v>8.7139315136930406E-5</v>
      </c>
      <c r="L61" s="128">
        <f>IF(Vehi_Inputs!$B$3=1,Car!L186,IF(Vehi_Inputs!$B$3=2,SUV!L186,PUT!L186))</f>
        <v>9.000000000000119E-3</v>
      </c>
    </row>
    <row r="62" spans="2:12">
      <c r="B62" s="178" t="s">
        <v>185</v>
      </c>
      <c r="C62" s="179"/>
      <c r="D62" s="179"/>
      <c r="E62" s="179"/>
      <c r="F62" s="179"/>
      <c r="G62" s="179"/>
      <c r="H62" s="179"/>
      <c r="I62" s="179"/>
      <c r="J62" s="179"/>
      <c r="K62" s="179"/>
      <c r="L62" s="180"/>
    </row>
    <row r="63" spans="2:12">
      <c r="B63" s="173" t="s">
        <v>251</v>
      </c>
      <c r="C63" s="127"/>
      <c r="D63" s="127"/>
      <c r="E63" s="127">
        <f>IF(Vehi_Inputs!$B$3=1,Car!E188,IF(Vehi_Inputs!$B$3=2,SUV!E188,PUT!E188))</f>
        <v>0.36099999999999999</v>
      </c>
      <c r="F63" s="127">
        <f>IF(Vehi_Inputs!$B$3=1,Car!F188,IF(Vehi_Inputs!$B$3=2,SUV!F188,PUT!F188))</f>
        <v>0.36099999999999999</v>
      </c>
      <c r="G63" s="127">
        <f>IF(Vehi_Inputs!$B$3=1,Car!G188,IF(Vehi_Inputs!$B$3=2,SUV!G188,PUT!G188))</f>
        <v>0.36099999999999999</v>
      </c>
      <c r="H63" s="127">
        <f>IF(Vehi_Inputs!$B$3=1,Car!H188,IF(Vehi_Inputs!$B$3=2,SUV!H188,PUT!H188))</f>
        <v>0.36099999999999999</v>
      </c>
      <c r="I63" s="127">
        <f>IF(Vehi_Inputs!$B$3=1,Car!I188,IF(Vehi_Inputs!$B$3=2,SUV!I188,PUT!I188))</f>
        <v>0.36099999999999999</v>
      </c>
      <c r="J63" s="127">
        <f>IF(Vehi_Inputs!$B$3=1,Car!J188,IF(Vehi_Inputs!$B$3=2,SUV!J188,PUT!J188))</f>
        <v>0.36099999999999999</v>
      </c>
      <c r="K63" s="127">
        <f>IF(Vehi_Inputs!$B$3=1,Car!K188,IF(Vehi_Inputs!$B$3=2,SUV!K188,PUT!K188))</f>
        <v>0.36099999999999999</v>
      </c>
      <c r="L63" s="128">
        <f>IF(Vehi_Inputs!$B$3=1,Car!L188,IF(Vehi_Inputs!$B$3=2,SUV!L188,PUT!L188))</f>
        <v>0.36099999999999999</v>
      </c>
    </row>
    <row r="64" spans="2:12">
      <c r="B64" s="173" t="s">
        <v>264</v>
      </c>
      <c r="C64" s="127"/>
      <c r="D64" s="127"/>
      <c r="E64" s="127">
        <f>IF(Vehi_Inputs!$B$3=1,Car!E189,IF(Vehi_Inputs!$B$3=2,SUV!E189,PUT!E189))</f>
        <v>0</v>
      </c>
      <c r="F64" s="127">
        <f>IF(Vehi_Inputs!$B$3=1,Car!F189,IF(Vehi_Inputs!$B$3=2,SUV!F189,PUT!F189))</f>
        <v>0</v>
      </c>
      <c r="G64" s="127">
        <f>IF(Vehi_Inputs!$B$3=1,Car!G189,IF(Vehi_Inputs!$B$3=2,SUV!G189,PUT!G189))</f>
        <v>0</v>
      </c>
      <c r="H64" s="127">
        <f>IF(Vehi_Inputs!$B$3=1,Car!H189,IF(Vehi_Inputs!$B$3=2,SUV!H189,PUT!H189))</f>
        <v>0</v>
      </c>
      <c r="I64" s="127">
        <f>IF(Vehi_Inputs!$B$3=1,Car!I189,IF(Vehi_Inputs!$B$3=2,SUV!I189,PUT!I189))</f>
        <v>0</v>
      </c>
      <c r="J64" s="127">
        <f>IF(Vehi_Inputs!$B$3=1,Car!J189,IF(Vehi_Inputs!$B$3=2,SUV!J189,PUT!J189))</f>
        <v>0</v>
      </c>
      <c r="K64" s="127">
        <f>IF(Vehi_Inputs!$B$3=1,Car!K189,IF(Vehi_Inputs!$B$3=2,SUV!K189,PUT!K189))</f>
        <v>0</v>
      </c>
      <c r="L64" s="128">
        <f>IF(Vehi_Inputs!$B$3=1,Car!L189,IF(Vehi_Inputs!$B$3=2,SUV!L189,PUT!L189))</f>
        <v>0</v>
      </c>
    </row>
    <row r="65" spans="2:12">
      <c r="B65" s="173" t="s">
        <v>253</v>
      </c>
      <c r="C65" s="127"/>
      <c r="D65" s="127"/>
      <c r="E65" s="127">
        <f>IF(Vehi_Inputs!$B$3=1,Car!E190,IF(Vehi_Inputs!$B$3=2,SUV!E190,PUT!E190))</f>
        <v>0.36099999999999999</v>
      </c>
      <c r="F65" s="127">
        <f>IF(Vehi_Inputs!$B$3=1,Car!F190,IF(Vehi_Inputs!$B$3=2,SUV!F190,PUT!F190))</f>
        <v>0.36099999999999999</v>
      </c>
      <c r="G65" s="127">
        <f>IF(Vehi_Inputs!$B$3=1,Car!G190,IF(Vehi_Inputs!$B$3=2,SUV!G190,PUT!G190))</f>
        <v>0.36099999999999999</v>
      </c>
      <c r="H65" s="127">
        <f>IF(Vehi_Inputs!$B$3=1,Car!H190,IF(Vehi_Inputs!$B$3=2,SUV!H190,PUT!H190))</f>
        <v>0.36099999999999999</v>
      </c>
      <c r="I65" s="127">
        <f>IF(Vehi_Inputs!$B$3=1,Car!I190,IF(Vehi_Inputs!$B$3=2,SUV!I190,PUT!I190))</f>
        <v>0.36099999999999999</v>
      </c>
      <c r="J65" s="127">
        <f>IF(Vehi_Inputs!$B$3=1,Car!J190,IF(Vehi_Inputs!$B$3=2,SUV!J190,PUT!J190))</f>
        <v>0.36099999999999999</v>
      </c>
      <c r="K65" s="127">
        <f>IF(Vehi_Inputs!$B$3=1,Car!K190,IF(Vehi_Inputs!$B$3=2,SUV!K190,PUT!K190))</f>
        <v>0.36099999999999999</v>
      </c>
      <c r="L65" s="128">
        <f>IF(Vehi_Inputs!$B$3=1,Car!L190,IF(Vehi_Inputs!$B$3=2,SUV!L190,PUT!L190))</f>
        <v>0.36099999999999999</v>
      </c>
    </row>
    <row r="66" spans="2:12">
      <c r="B66" s="173" t="s">
        <v>254</v>
      </c>
      <c r="C66" s="127"/>
      <c r="D66" s="127"/>
      <c r="E66" s="127">
        <f>IF(Vehi_Inputs!$B$3=1,Car!E191,IF(Vehi_Inputs!$B$3=2,SUV!E191,PUT!E191))</f>
        <v>0.27800000000000002</v>
      </c>
      <c r="F66" s="127">
        <f>IF(Vehi_Inputs!$B$3=1,Car!F191,IF(Vehi_Inputs!$B$3=2,SUV!F191,PUT!F191))</f>
        <v>0.27800000000000002</v>
      </c>
      <c r="G66" s="127">
        <f>IF(Vehi_Inputs!$B$3=1,Car!G191,IF(Vehi_Inputs!$B$3=2,SUV!G191,PUT!G191))</f>
        <v>0.27800000000000002</v>
      </c>
      <c r="H66" s="127">
        <f>IF(Vehi_Inputs!$B$3=1,Car!H191,IF(Vehi_Inputs!$B$3=2,SUV!H191,PUT!H191))</f>
        <v>0.27800000000000002</v>
      </c>
      <c r="I66" s="127">
        <f>IF(Vehi_Inputs!$B$3=1,Car!I191,IF(Vehi_Inputs!$B$3=2,SUV!I191,PUT!I191))</f>
        <v>0.27800000000000002</v>
      </c>
      <c r="J66" s="127">
        <f>IF(Vehi_Inputs!$B$3=1,Car!J191,IF(Vehi_Inputs!$B$3=2,SUV!J191,PUT!J191))</f>
        <v>0.27800000000000002</v>
      </c>
      <c r="K66" s="127">
        <f>IF(Vehi_Inputs!$B$3=1,Car!K191,IF(Vehi_Inputs!$B$3=2,SUV!K191,PUT!K191))</f>
        <v>0.27800000000000002</v>
      </c>
      <c r="L66" s="128">
        <f>IF(Vehi_Inputs!$B$3=1,Car!L191,IF(Vehi_Inputs!$B$3=2,SUV!L191,PUT!L191))</f>
        <v>0.27800000000000002</v>
      </c>
    </row>
    <row r="67" spans="2:12">
      <c r="B67" s="174" t="s">
        <v>262</v>
      </c>
      <c r="C67" s="129"/>
      <c r="D67" s="129"/>
      <c r="E67" s="129">
        <f>IF(Vehi_Inputs!$B$3=1,Car!E192,IF(Vehi_Inputs!$B$3=2,SUV!E192,PUT!E192))</f>
        <v>0</v>
      </c>
      <c r="F67" s="129">
        <f>IF(Vehi_Inputs!$B$3=1,Car!F192,IF(Vehi_Inputs!$B$3=2,SUV!F192,PUT!F192))</f>
        <v>0</v>
      </c>
      <c r="G67" s="129">
        <f>IF(Vehi_Inputs!$B$3=1,Car!G192,IF(Vehi_Inputs!$B$3=2,SUV!G192,PUT!G192))</f>
        <v>0</v>
      </c>
      <c r="H67" s="129">
        <f>IF(Vehi_Inputs!$B$3=1,Car!H192,IF(Vehi_Inputs!$B$3=2,SUV!H192,PUT!H192))</f>
        <v>0</v>
      </c>
      <c r="I67" s="129">
        <f>IF(Vehi_Inputs!$B$3=1,Car!I192,IF(Vehi_Inputs!$B$3=2,SUV!I192,PUT!I192))</f>
        <v>0</v>
      </c>
      <c r="J67" s="129">
        <f>IF(Vehi_Inputs!$B$3=1,Car!J192,IF(Vehi_Inputs!$B$3=2,SUV!J192,PUT!J192))</f>
        <v>0</v>
      </c>
      <c r="K67" s="129">
        <f>IF(Vehi_Inputs!$B$3=1,Car!K192,IF(Vehi_Inputs!$B$3=2,SUV!K192,PUT!K192))</f>
        <v>0</v>
      </c>
      <c r="L67" s="130">
        <f>IF(Vehi_Inputs!$B$3=1,Car!L192,IF(Vehi_Inputs!$B$3=2,SUV!L192,PUT!L192))</f>
        <v>0</v>
      </c>
    </row>
    <row r="68" spans="2:12">
      <c r="B68" s="177" t="s">
        <v>186</v>
      </c>
      <c r="C68" s="127"/>
      <c r="D68" s="127"/>
      <c r="E68" s="127"/>
      <c r="F68" s="127"/>
      <c r="G68" s="127"/>
      <c r="H68" s="127"/>
      <c r="I68" s="127"/>
      <c r="J68" s="127"/>
      <c r="K68" s="127"/>
      <c r="L68" s="128"/>
    </row>
    <row r="69" spans="2:12">
      <c r="B69" s="173" t="s">
        <v>251</v>
      </c>
      <c r="C69" s="127"/>
      <c r="D69" s="127"/>
      <c r="E69" s="127">
        <f>IF(Vehi_Inputs!$B$3=1,Car!E194,IF(Vehi_Inputs!$B$3=2,SUV!E194,PUT!E194))</f>
        <v>0.36099999999999999</v>
      </c>
      <c r="F69" s="127">
        <f>IF(Vehi_Inputs!$B$3=1,Car!F194,IF(Vehi_Inputs!$B$3=2,SUV!F194,PUT!F194))</f>
        <v>0.36099999999999999</v>
      </c>
      <c r="G69" s="127">
        <f>IF(Vehi_Inputs!$B$3=1,Car!G194,IF(Vehi_Inputs!$B$3=2,SUV!G194,PUT!G194))</f>
        <v>0.36099999999999999</v>
      </c>
      <c r="H69" s="127">
        <f>IF(Vehi_Inputs!$B$3=1,Car!H194,IF(Vehi_Inputs!$B$3=2,SUV!H194,PUT!H194))</f>
        <v>0.36099999999999999</v>
      </c>
      <c r="I69" s="127">
        <f>IF(Vehi_Inputs!$B$3=1,Car!I194,IF(Vehi_Inputs!$B$3=2,SUV!I194,PUT!I194))</f>
        <v>0</v>
      </c>
      <c r="J69" s="127">
        <f>IF(Vehi_Inputs!$B$3=1,Car!J194,IF(Vehi_Inputs!$B$3=2,SUV!J194,PUT!J194))</f>
        <v>0</v>
      </c>
      <c r="K69" s="127"/>
      <c r="L69" s="128"/>
    </row>
    <row r="70" spans="2:12">
      <c r="B70" s="173" t="s">
        <v>253</v>
      </c>
      <c r="C70" s="127"/>
      <c r="D70" s="127"/>
      <c r="E70" s="127">
        <f>IF(Vehi_Inputs!$B$3=1,Car!E195,IF(Vehi_Inputs!$B$3=2,SUV!E195,PUT!E195))</f>
        <v>0.36099999999999999</v>
      </c>
      <c r="F70" s="127">
        <f>IF(Vehi_Inputs!$B$3=1,Car!F195,IF(Vehi_Inputs!$B$3=2,SUV!F195,PUT!F195))</f>
        <v>0.36099999999999999</v>
      </c>
      <c r="G70" s="127">
        <f>IF(Vehi_Inputs!$B$3=1,Car!G195,IF(Vehi_Inputs!$B$3=2,SUV!G195,PUT!G195))</f>
        <v>0.36099999999999999</v>
      </c>
      <c r="H70" s="127">
        <f>IF(Vehi_Inputs!$B$3=1,Car!H195,IF(Vehi_Inputs!$B$3=2,SUV!H195,PUT!H195))</f>
        <v>0.36099999999999999</v>
      </c>
      <c r="I70" s="127">
        <f>IF(Vehi_Inputs!$B$3=1,Car!I195,IF(Vehi_Inputs!$B$3=2,SUV!I195,PUT!I195))</f>
        <v>0</v>
      </c>
      <c r="J70" s="127">
        <f>IF(Vehi_Inputs!$B$3=1,Car!J195,IF(Vehi_Inputs!$B$3=2,SUV!J195,PUT!J195))</f>
        <v>0</v>
      </c>
      <c r="K70" s="127"/>
      <c r="L70" s="128"/>
    </row>
    <row r="71" spans="2:12">
      <c r="B71" s="173" t="s">
        <v>254</v>
      </c>
      <c r="C71" s="127"/>
      <c r="D71" s="127"/>
      <c r="E71" s="127">
        <f>IF(Vehi_Inputs!$B$3=1,Car!E196,IF(Vehi_Inputs!$B$3=2,SUV!E196,PUT!E196))</f>
        <v>0.27800000000000002</v>
      </c>
      <c r="F71" s="127">
        <f>IF(Vehi_Inputs!$B$3=1,Car!F196,IF(Vehi_Inputs!$B$3=2,SUV!F196,PUT!F196))</f>
        <v>0.27800000000000002</v>
      </c>
      <c r="G71" s="127">
        <f>IF(Vehi_Inputs!$B$3=1,Car!G196,IF(Vehi_Inputs!$B$3=2,SUV!G196,PUT!G196))</f>
        <v>0.27800000000000002</v>
      </c>
      <c r="H71" s="127">
        <f>IF(Vehi_Inputs!$B$3=1,Car!H196,IF(Vehi_Inputs!$B$3=2,SUV!H196,PUT!H196))</f>
        <v>0.27800000000000002</v>
      </c>
      <c r="I71" s="127">
        <f>IF(Vehi_Inputs!$B$3=1,Car!I196,IF(Vehi_Inputs!$B$3=2,SUV!I196,PUT!I196))</f>
        <v>0</v>
      </c>
      <c r="J71" s="127">
        <f>IF(Vehi_Inputs!$B$3=1,Car!J196,IF(Vehi_Inputs!$B$3=2,SUV!J196,PUT!J196))</f>
        <v>0</v>
      </c>
      <c r="K71" s="127"/>
      <c r="L71" s="128"/>
    </row>
    <row r="72" spans="2:12">
      <c r="B72" s="173" t="s">
        <v>262</v>
      </c>
      <c r="C72" s="127"/>
      <c r="D72" s="127"/>
      <c r="E72" s="127">
        <f>IF(Vehi_Inputs!$B$3=1,Car!E197,IF(Vehi_Inputs!$B$3=2,SUV!E197,PUT!E197))</f>
        <v>0</v>
      </c>
      <c r="F72" s="127">
        <f>IF(Vehi_Inputs!$B$3=1,Car!F197,IF(Vehi_Inputs!$B$3=2,SUV!F197,PUT!F197))</f>
        <v>0</v>
      </c>
      <c r="G72" s="127">
        <f>IF(Vehi_Inputs!$B$3=1,Car!G197,IF(Vehi_Inputs!$B$3=2,SUV!G197,PUT!G197))</f>
        <v>0</v>
      </c>
      <c r="H72" s="127">
        <f>IF(Vehi_Inputs!$B$3=1,Car!H197,IF(Vehi_Inputs!$B$3=2,SUV!H197,PUT!H197))</f>
        <v>0</v>
      </c>
      <c r="I72" s="127">
        <f>IF(Vehi_Inputs!$B$3=1,Car!I197,IF(Vehi_Inputs!$B$3=2,SUV!I197,PUT!I197))</f>
        <v>0</v>
      </c>
      <c r="J72" s="127">
        <f>IF(Vehi_Inputs!$B$3=1,Car!J197,IF(Vehi_Inputs!$B$3=2,SUV!J197,PUT!J197))</f>
        <v>0</v>
      </c>
      <c r="K72" s="127"/>
      <c r="L72" s="128"/>
    </row>
    <row r="73" spans="2:12">
      <c r="B73" s="178" t="s">
        <v>187</v>
      </c>
      <c r="C73" s="179"/>
      <c r="D73" s="179"/>
      <c r="E73" s="179"/>
      <c r="F73" s="179"/>
      <c r="G73" s="179"/>
      <c r="H73" s="179"/>
      <c r="I73" s="179"/>
      <c r="J73" s="179"/>
      <c r="K73" s="179"/>
      <c r="L73" s="180"/>
    </row>
    <row r="74" spans="2:12">
      <c r="B74" s="173" t="s">
        <v>251</v>
      </c>
      <c r="C74" s="127"/>
      <c r="D74" s="127"/>
      <c r="E74" s="127">
        <f>IF(Vehi_Inputs!$B$3=1,Car!E199,IF(Vehi_Inputs!$B$3=2,SUV!E199,PUT!E199))</f>
        <v>0.05</v>
      </c>
      <c r="F74" s="127">
        <f>IF(Vehi_Inputs!$B$3=1,Car!F199,IF(Vehi_Inputs!$B$3=2,SUV!F199,PUT!F199))</f>
        <v>0.05</v>
      </c>
      <c r="G74" s="127">
        <f>IF(Vehi_Inputs!$B$3=1,Car!G199,IF(Vehi_Inputs!$B$3=2,SUV!G199,PUT!G199))</f>
        <v>0.05</v>
      </c>
      <c r="H74" s="127">
        <f>IF(Vehi_Inputs!$B$3=1,Car!H199,IF(Vehi_Inputs!$B$3=2,SUV!H199,PUT!H199))</f>
        <v>0.05</v>
      </c>
      <c r="I74" s="127">
        <f>IF(Vehi_Inputs!$B$3=1,Car!I199,IF(Vehi_Inputs!$B$3=2,SUV!I199,PUT!I199))</f>
        <v>0.05</v>
      </c>
      <c r="J74" s="127">
        <f>IF(Vehi_Inputs!$B$3=1,Car!J199,IF(Vehi_Inputs!$B$3=2,SUV!J199,PUT!J199))</f>
        <v>0.05</v>
      </c>
      <c r="K74" s="127">
        <f>IF(Vehi_Inputs!$B$3=1,Car!K199,IF(Vehi_Inputs!$B$3=2,SUV!K199,PUT!K199))</f>
        <v>0.05</v>
      </c>
      <c r="L74" s="128">
        <f>IF(Vehi_Inputs!$B$3=1,Car!L199,IF(Vehi_Inputs!$B$3=2,SUV!L199,PUT!L199))</f>
        <v>0.05</v>
      </c>
    </row>
    <row r="75" spans="2:12">
      <c r="B75" s="173" t="s">
        <v>253</v>
      </c>
      <c r="C75" s="127"/>
      <c r="D75" s="127"/>
      <c r="E75" s="127">
        <f>IF(Vehi_Inputs!$B$3=1,Car!E200,IF(Vehi_Inputs!$B$3=2,SUV!E200,PUT!E200))</f>
        <v>0.46899999999999997</v>
      </c>
      <c r="F75" s="127">
        <f>IF(Vehi_Inputs!$B$3=1,Car!F200,IF(Vehi_Inputs!$B$3=2,SUV!F200,PUT!F200))</f>
        <v>0.46899999999999997</v>
      </c>
      <c r="G75" s="127">
        <f>IF(Vehi_Inputs!$B$3=1,Car!G200,IF(Vehi_Inputs!$B$3=2,SUV!G200,PUT!G200))</f>
        <v>0.46899999999999997</v>
      </c>
      <c r="H75" s="127">
        <f>IF(Vehi_Inputs!$B$3=1,Car!H200,IF(Vehi_Inputs!$B$3=2,SUV!H200,PUT!H200))</f>
        <v>0.46899999999999997</v>
      </c>
      <c r="I75" s="127">
        <f>IF(Vehi_Inputs!$B$3=1,Car!I200,IF(Vehi_Inputs!$B$3=2,SUV!I200,PUT!I200))</f>
        <v>0.46899999999999997</v>
      </c>
      <c r="J75" s="127">
        <f>IF(Vehi_Inputs!$B$3=1,Car!J200,IF(Vehi_Inputs!$B$3=2,SUV!J200,PUT!J200))</f>
        <v>0.46899999999999997</v>
      </c>
      <c r="K75" s="127">
        <f>IF(Vehi_Inputs!$B$3=1,Car!K200,IF(Vehi_Inputs!$B$3=2,SUV!K200,PUT!K200))</f>
        <v>0.46899999999999997</v>
      </c>
      <c r="L75" s="128">
        <f>IF(Vehi_Inputs!$B$3=1,Car!L200,IF(Vehi_Inputs!$B$3=2,SUV!L200,PUT!L200))</f>
        <v>0.46899999999999997</v>
      </c>
    </row>
    <row r="76" spans="2:12">
      <c r="B76" s="173" t="s">
        <v>254</v>
      </c>
      <c r="C76" s="127"/>
      <c r="D76" s="127"/>
      <c r="E76" s="127">
        <f>IF(Vehi_Inputs!$B$3=1,Car!E201,IF(Vehi_Inputs!$B$3=2,SUV!E201,PUT!E201))</f>
        <v>8.2000000000000003E-2</v>
      </c>
      <c r="F76" s="127">
        <f>IF(Vehi_Inputs!$B$3=1,Car!F201,IF(Vehi_Inputs!$B$3=2,SUV!F201,PUT!F201))</f>
        <v>8.2000000000000003E-2</v>
      </c>
      <c r="G76" s="127">
        <f>IF(Vehi_Inputs!$B$3=1,Car!G201,IF(Vehi_Inputs!$B$3=2,SUV!G201,PUT!G201))</f>
        <v>8.2000000000000003E-2</v>
      </c>
      <c r="H76" s="127">
        <f>IF(Vehi_Inputs!$B$3=1,Car!H201,IF(Vehi_Inputs!$B$3=2,SUV!H201,PUT!H201))</f>
        <v>8.2000000000000003E-2</v>
      </c>
      <c r="I76" s="127">
        <f>IF(Vehi_Inputs!$B$3=1,Car!I201,IF(Vehi_Inputs!$B$3=2,SUV!I201,PUT!I201))</f>
        <v>8.2000000000000003E-2</v>
      </c>
      <c r="J76" s="127">
        <f>IF(Vehi_Inputs!$B$3=1,Car!J201,IF(Vehi_Inputs!$B$3=2,SUV!J201,PUT!J201))</f>
        <v>8.2000000000000003E-2</v>
      </c>
      <c r="K76" s="127">
        <f>IF(Vehi_Inputs!$B$3=1,Car!K201,IF(Vehi_Inputs!$B$3=2,SUV!K201,PUT!K201))</f>
        <v>8.2000000000000003E-2</v>
      </c>
      <c r="L76" s="128">
        <f>IF(Vehi_Inputs!$B$3=1,Car!L201,IF(Vehi_Inputs!$B$3=2,SUV!L201,PUT!L201))</f>
        <v>8.2000000000000003E-2</v>
      </c>
    </row>
    <row r="77" spans="2:12">
      <c r="B77" s="173" t="s">
        <v>261</v>
      </c>
      <c r="C77" s="127"/>
      <c r="D77" s="127"/>
      <c r="E77" s="127">
        <f>IF(Vehi_Inputs!$B$3=1,Car!E202,IF(Vehi_Inputs!$B$3=2,SUV!E202,PUT!E202))</f>
        <v>3.6999999999999998E-2</v>
      </c>
      <c r="F77" s="127">
        <f>IF(Vehi_Inputs!$B$3=1,Car!F202,IF(Vehi_Inputs!$B$3=2,SUV!F202,PUT!F202))</f>
        <v>3.6999999999999998E-2</v>
      </c>
      <c r="G77" s="127">
        <f>IF(Vehi_Inputs!$B$3=1,Car!G202,IF(Vehi_Inputs!$B$3=2,SUV!G202,PUT!G202))</f>
        <v>3.6999999999999998E-2</v>
      </c>
      <c r="H77" s="127">
        <f>IF(Vehi_Inputs!$B$3=1,Car!H202,IF(Vehi_Inputs!$B$3=2,SUV!H202,PUT!H202))</f>
        <v>3.6999999999999998E-2</v>
      </c>
      <c r="I77" s="127">
        <f>IF(Vehi_Inputs!$B$3=1,Car!I202,IF(Vehi_Inputs!$B$3=2,SUV!I202,PUT!I202))</f>
        <v>3.6999999999999998E-2</v>
      </c>
      <c r="J77" s="127">
        <f>IF(Vehi_Inputs!$B$3=1,Car!J202,IF(Vehi_Inputs!$B$3=2,SUV!J202,PUT!J202))</f>
        <v>3.6999999999999998E-2</v>
      </c>
      <c r="K77" s="127">
        <f>IF(Vehi_Inputs!$B$3=1,Car!K202,IF(Vehi_Inputs!$B$3=2,SUV!K202,PUT!K202))</f>
        <v>3.6999999999999998E-2</v>
      </c>
      <c r="L77" s="128">
        <f>IF(Vehi_Inputs!$B$3=1,Car!L202,IF(Vehi_Inputs!$B$3=2,SUV!L202,PUT!L202))</f>
        <v>3.6999999999999998E-2</v>
      </c>
    </row>
    <row r="78" spans="2:12">
      <c r="B78" s="173" t="s">
        <v>260</v>
      </c>
      <c r="C78" s="127"/>
      <c r="D78" s="127"/>
      <c r="E78" s="127">
        <f>IF(Vehi_Inputs!$B$3=1,Car!E203,IF(Vehi_Inputs!$B$3=2,SUV!E203,PUT!E203))</f>
        <v>0.23799999999999999</v>
      </c>
      <c r="F78" s="127">
        <f>IF(Vehi_Inputs!$B$3=1,Car!F203,IF(Vehi_Inputs!$B$3=2,SUV!F203,PUT!F203))</f>
        <v>0.23799999999999999</v>
      </c>
      <c r="G78" s="127">
        <f>IF(Vehi_Inputs!$B$3=1,Car!G203,IF(Vehi_Inputs!$B$3=2,SUV!G203,PUT!G203))</f>
        <v>0.23799999999999999</v>
      </c>
      <c r="H78" s="127">
        <f>IF(Vehi_Inputs!$B$3=1,Car!H203,IF(Vehi_Inputs!$B$3=2,SUV!H203,PUT!H203))</f>
        <v>0.23799999999999999</v>
      </c>
      <c r="I78" s="127">
        <f>IF(Vehi_Inputs!$B$3=1,Car!I203,IF(Vehi_Inputs!$B$3=2,SUV!I203,PUT!I203))</f>
        <v>0.23799999999999999</v>
      </c>
      <c r="J78" s="127">
        <f>IF(Vehi_Inputs!$B$3=1,Car!J203,IF(Vehi_Inputs!$B$3=2,SUV!J203,PUT!J203))</f>
        <v>0.23799999999999999</v>
      </c>
      <c r="K78" s="127">
        <f>IF(Vehi_Inputs!$B$3=1,Car!K203,IF(Vehi_Inputs!$B$3=2,SUV!K203,PUT!K203))</f>
        <v>0.23799999999999999</v>
      </c>
      <c r="L78" s="128">
        <f>IF(Vehi_Inputs!$B$3=1,Car!L203,IF(Vehi_Inputs!$B$3=2,SUV!L203,PUT!L203))</f>
        <v>0.23799999999999999</v>
      </c>
    </row>
    <row r="79" spans="2:12">
      <c r="B79" s="173" t="s">
        <v>262</v>
      </c>
      <c r="C79" s="127"/>
      <c r="D79" s="127"/>
      <c r="E79" s="127">
        <f>IF(Vehi_Inputs!$B$3=1,Car!E204,IF(Vehi_Inputs!$B$3=2,SUV!E204,PUT!E204))</f>
        <v>0.124</v>
      </c>
      <c r="F79" s="127">
        <f>IF(Vehi_Inputs!$B$3=1,Car!F204,IF(Vehi_Inputs!$B$3=2,SUV!F204,PUT!F204))</f>
        <v>0.124</v>
      </c>
      <c r="G79" s="127">
        <f>IF(Vehi_Inputs!$B$3=1,Car!G204,IF(Vehi_Inputs!$B$3=2,SUV!G204,PUT!G204))</f>
        <v>0.124</v>
      </c>
      <c r="H79" s="127">
        <f>IF(Vehi_Inputs!$B$3=1,Car!H204,IF(Vehi_Inputs!$B$3=2,SUV!H204,PUT!H204))</f>
        <v>0.124</v>
      </c>
      <c r="I79" s="127">
        <f>IF(Vehi_Inputs!$B$3=1,Car!I204,IF(Vehi_Inputs!$B$3=2,SUV!I204,PUT!I204))</f>
        <v>0.124</v>
      </c>
      <c r="J79" s="127">
        <f>IF(Vehi_Inputs!$B$3=1,Car!J204,IF(Vehi_Inputs!$B$3=2,SUV!J204,PUT!J204))</f>
        <v>0.124</v>
      </c>
      <c r="K79" s="127">
        <f>IF(Vehi_Inputs!$B$3=1,Car!K204,IF(Vehi_Inputs!$B$3=2,SUV!K204,PUT!K204))</f>
        <v>0.124</v>
      </c>
      <c r="L79" s="128">
        <f>IF(Vehi_Inputs!$B$3=1,Car!L204,IF(Vehi_Inputs!$B$3=2,SUV!L204,PUT!L204))</f>
        <v>0.124</v>
      </c>
    </row>
    <row r="80" spans="2:12">
      <c r="B80" s="948" t="s">
        <v>188</v>
      </c>
      <c r="C80" s="520"/>
      <c r="D80" s="520"/>
      <c r="E80" s="520"/>
      <c r="F80" s="520"/>
      <c r="G80" s="520"/>
      <c r="H80" s="520"/>
      <c r="I80" s="520"/>
      <c r="J80" s="520"/>
      <c r="K80" s="520"/>
      <c r="L80" s="575"/>
    </row>
    <row r="81" spans="1:12">
      <c r="A81" s="1321"/>
      <c r="B81" s="160" t="s">
        <v>251</v>
      </c>
      <c r="C81" s="151"/>
      <c r="D81" s="151"/>
      <c r="E81" s="151"/>
      <c r="F81" s="151"/>
      <c r="G81" s="151"/>
      <c r="H81" s="151"/>
      <c r="I81" s="151"/>
      <c r="J81" s="151"/>
      <c r="K81" s="151">
        <f>IF(Vehi_Inputs!$B$3=1,Car!K206,IF(Vehi_Inputs!$B$3=2,SUV!K206,PUT!K206))</f>
        <v>9.1528724440116851E-2</v>
      </c>
      <c r="L81" s="152">
        <f>IF(Vehi_Inputs!$B$3=1,Car!L206,IF(Vehi_Inputs!$B$3=2,SUV!L206,PUT!L206))</f>
        <v>9.1528724440116851E-2</v>
      </c>
    </row>
    <row r="82" spans="1:12">
      <c r="A82" s="1321"/>
      <c r="B82" s="160" t="s">
        <v>264</v>
      </c>
      <c r="C82" s="151"/>
      <c r="D82" s="151"/>
      <c r="E82" s="151"/>
      <c r="F82" s="151"/>
      <c r="G82" s="151"/>
      <c r="H82" s="151"/>
      <c r="I82" s="151"/>
      <c r="J82" s="151"/>
      <c r="K82" s="151">
        <f>IF(Vehi_Inputs!$B$3=1,Car!K207,IF(Vehi_Inputs!$B$3=2,SUV!K207,PUT!K207))</f>
        <v>8.081791626095422E-2</v>
      </c>
      <c r="L82" s="152">
        <f>IF(Vehi_Inputs!$B$3=1,Car!L207,IF(Vehi_Inputs!$B$3=2,SUV!L207,PUT!L207))</f>
        <v>8.081791626095422E-2</v>
      </c>
    </row>
    <row r="83" spans="1:12">
      <c r="A83" s="1321"/>
      <c r="B83" s="160" t="s">
        <v>277</v>
      </c>
      <c r="C83" s="151"/>
      <c r="D83" s="151"/>
      <c r="E83" s="151"/>
      <c r="F83" s="151"/>
      <c r="G83" s="151"/>
      <c r="H83" s="151"/>
      <c r="I83" s="151"/>
      <c r="J83" s="151"/>
      <c r="K83" s="151">
        <f>IF(Vehi_Inputs!$B$3=1,Car!K208,IF(Vehi_Inputs!$B$3=2,SUV!K208,PUT!K208))</f>
        <v>0.65628042843232726</v>
      </c>
      <c r="L83" s="152">
        <f>IF(Vehi_Inputs!$B$3=1,Car!L208,IF(Vehi_Inputs!$B$3=2,SUV!L208,PUT!L208))</f>
        <v>0.65628042843232726</v>
      </c>
    </row>
    <row r="84" spans="1:12">
      <c r="A84" s="1321"/>
      <c r="B84" s="160" t="s">
        <v>257</v>
      </c>
      <c r="C84" s="151"/>
      <c r="D84" s="151"/>
      <c r="E84" s="151"/>
      <c r="F84" s="151"/>
      <c r="G84" s="151"/>
      <c r="H84" s="151"/>
      <c r="I84" s="151"/>
      <c r="J84" s="151"/>
      <c r="K84" s="151">
        <f>IF(Vehi_Inputs!$B$3=1,Car!K209,IF(Vehi_Inputs!$B$3=2,SUV!K209,PUT!K209))</f>
        <v>4.4790652385589089E-2</v>
      </c>
      <c r="L84" s="152">
        <f>IF(Vehi_Inputs!$B$3=1,Car!L209,IF(Vehi_Inputs!$B$3=2,SUV!L209,PUT!L209))</f>
        <v>4.4790652385589089E-2</v>
      </c>
    </row>
    <row r="85" spans="1:12">
      <c r="A85" s="1321"/>
      <c r="B85" s="160" t="s">
        <v>252</v>
      </c>
      <c r="C85" s="151"/>
      <c r="D85" s="151"/>
      <c r="E85" s="151"/>
      <c r="F85" s="151"/>
      <c r="G85" s="151"/>
      <c r="H85" s="151"/>
      <c r="I85" s="151"/>
      <c r="J85" s="151"/>
      <c r="K85" s="151">
        <f>IF(Vehi_Inputs!$B$3=1,Car!K210,IF(Vehi_Inputs!$B$3=2,SUV!K210,PUT!K210))</f>
        <v>0</v>
      </c>
      <c r="L85" s="152">
        <f>IF(Vehi_Inputs!$B$3=1,Car!L210,IF(Vehi_Inputs!$B$3=2,SUV!L210,PUT!L210))</f>
        <v>0</v>
      </c>
    </row>
    <row r="86" spans="1:12">
      <c r="A86" s="1321"/>
      <c r="B86" s="160" t="s">
        <v>275</v>
      </c>
      <c r="C86" s="151"/>
      <c r="D86" s="151"/>
      <c r="E86" s="151"/>
      <c r="F86" s="151"/>
      <c r="G86" s="151"/>
      <c r="H86" s="151"/>
      <c r="I86" s="151"/>
      <c r="J86" s="151"/>
      <c r="K86" s="151">
        <f>IF(Vehi_Inputs!$B$3=1,Car!K211,IF(Vehi_Inputs!$B$3=2,SUV!K211,PUT!K211))</f>
        <v>0</v>
      </c>
      <c r="L86" s="152">
        <f>IF(Vehi_Inputs!$B$3=1,Car!L211,IF(Vehi_Inputs!$B$3=2,SUV!L211,PUT!L211))</f>
        <v>0</v>
      </c>
    </row>
    <row r="87" spans="1:12">
      <c r="A87" s="1321"/>
      <c r="B87" s="160" t="s">
        <v>278</v>
      </c>
      <c r="C87" s="151"/>
      <c r="D87" s="151"/>
      <c r="E87" s="151"/>
      <c r="F87" s="151"/>
      <c r="G87" s="151"/>
      <c r="H87" s="151"/>
      <c r="I87" s="151"/>
      <c r="J87" s="151"/>
      <c r="K87" s="151">
        <f>IF(Vehi_Inputs!$B$3=1,Car!K212,IF(Vehi_Inputs!$B$3=2,SUV!K212,PUT!K212))</f>
        <v>7.7896786757546244E-2</v>
      </c>
      <c r="L87" s="152">
        <f>IF(Vehi_Inputs!$B$3=1,Car!L212,IF(Vehi_Inputs!$B$3=2,SUV!L212,PUT!L212))</f>
        <v>7.7896786757546244E-2</v>
      </c>
    </row>
    <row r="88" spans="1:12">
      <c r="A88" s="1321"/>
      <c r="B88" s="160" t="s">
        <v>261</v>
      </c>
      <c r="C88" s="151"/>
      <c r="D88" s="151"/>
      <c r="E88" s="151"/>
      <c r="F88" s="151"/>
      <c r="G88" s="151"/>
      <c r="H88" s="151"/>
      <c r="I88" s="151"/>
      <c r="J88" s="151"/>
      <c r="K88" s="151">
        <f>IF(Vehi_Inputs!$B$3=1,Car!K213,IF(Vehi_Inputs!$B$3=2,SUV!K213,PUT!K213))</f>
        <v>0</v>
      </c>
      <c r="L88" s="152">
        <f>IF(Vehi_Inputs!$B$3=1,Car!L213,IF(Vehi_Inputs!$B$3=2,SUV!L213,PUT!L213))</f>
        <v>0</v>
      </c>
    </row>
    <row r="89" spans="1:12">
      <c r="A89" s="1321"/>
      <c r="B89" s="160" t="s">
        <v>272</v>
      </c>
      <c r="C89" s="151"/>
      <c r="D89" s="151"/>
      <c r="E89" s="151"/>
      <c r="F89" s="151"/>
      <c r="G89" s="151"/>
      <c r="H89" s="151"/>
      <c r="I89" s="151"/>
      <c r="J89" s="151"/>
      <c r="K89" s="151">
        <f>IF(Vehi_Inputs!$B$3=1,Car!K214,IF(Vehi_Inputs!$B$3=2,SUV!K214,PUT!K214))</f>
        <v>0</v>
      </c>
      <c r="L89" s="152">
        <f>IF(Vehi_Inputs!$B$3=1,Car!L214,IF(Vehi_Inputs!$B$3=2,SUV!L214,PUT!L214))</f>
        <v>0</v>
      </c>
    </row>
    <row r="90" spans="1:12">
      <c r="A90" s="1321"/>
      <c r="B90" s="160" t="s">
        <v>273</v>
      </c>
      <c r="C90" s="151"/>
      <c r="D90" s="151"/>
      <c r="E90" s="151"/>
      <c r="F90" s="151"/>
      <c r="G90" s="151"/>
      <c r="H90" s="151"/>
      <c r="I90" s="151"/>
      <c r="J90" s="151"/>
      <c r="K90" s="151">
        <f>IF(Vehi_Inputs!$B$3=1,Car!K215,IF(Vehi_Inputs!$B$3=2,SUV!K215,PUT!K215))</f>
        <v>9.7370983446932804E-3</v>
      </c>
      <c r="L90" s="152">
        <f>IF(Vehi_Inputs!$B$3=1,Car!L215,IF(Vehi_Inputs!$B$3=2,SUV!L215,PUT!L215))</f>
        <v>9.7370983446932804E-3</v>
      </c>
    </row>
    <row r="91" spans="1:12">
      <c r="A91" s="1321"/>
      <c r="B91" s="161" t="s">
        <v>262</v>
      </c>
      <c r="C91" s="153"/>
      <c r="D91" s="153"/>
      <c r="E91" s="153"/>
      <c r="F91" s="153"/>
      <c r="G91" s="153"/>
      <c r="H91" s="153"/>
      <c r="I91" s="153"/>
      <c r="J91" s="153"/>
      <c r="K91" s="153">
        <f>IF(Vehi_Inputs!$B$3=1,Car!K216,IF(Vehi_Inputs!$B$3=2,SUV!K216,PUT!K216))</f>
        <v>3.8948393378772983E-2</v>
      </c>
      <c r="L91" s="154">
        <f>IF(Vehi_Inputs!$B$3=1,Car!L216,IF(Vehi_Inputs!$B$3=2,SUV!L216,PUT!L216))</f>
        <v>3.8948393378772983E-2</v>
      </c>
    </row>
    <row r="92" spans="1:12">
      <c r="A92" s="1321"/>
      <c r="B92" s="8"/>
      <c r="C92" s="8"/>
      <c r="D92" s="8"/>
      <c r="E92" s="8"/>
      <c r="F92" s="8"/>
      <c r="G92" s="8"/>
      <c r="H92" s="8"/>
      <c r="I92" s="8"/>
      <c r="J92" s="8"/>
      <c r="K92" s="8"/>
      <c r="L92" s="8"/>
    </row>
    <row r="93" spans="1:12">
      <c r="A93" s="172" t="s">
        <v>279</v>
      </c>
      <c r="B93" s="8"/>
      <c r="C93" s="8"/>
      <c r="D93" s="8"/>
      <c r="E93" s="8"/>
      <c r="F93" s="8"/>
      <c r="G93" s="8"/>
      <c r="H93" s="8"/>
      <c r="I93" s="8"/>
      <c r="J93" s="8"/>
      <c r="K93" s="8"/>
      <c r="L93" s="8"/>
    </row>
    <row r="94" spans="1:12" ht="38.25">
      <c r="A94" s="1321"/>
      <c r="B94" s="1611"/>
      <c r="C94" s="1421" t="s">
        <v>141</v>
      </c>
      <c r="D94" s="1421" t="s">
        <v>142</v>
      </c>
      <c r="E94" s="1421" t="s">
        <v>143</v>
      </c>
      <c r="F94" s="1421" t="s">
        <v>144</v>
      </c>
      <c r="G94" s="1421" t="s">
        <v>145</v>
      </c>
      <c r="H94" s="1421" t="s">
        <v>146</v>
      </c>
      <c r="I94" s="1421" t="s">
        <v>147</v>
      </c>
      <c r="J94" s="1421" t="s">
        <v>148</v>
      </c>
      <c r="K94" s="1421" t="s">
        <v>149</v>
      </c>
      <c r="L94" s="1174" t="s">
        <v>150</v>
      </c>
    </row>
    <row r="95" spans="1:12">
      <c r="A95" s="1321"/>
      <c r="B95" s="135" t="s">
        <v>38</v>
      </c>
      <c r="C95" s="151">
        <f>Vehi_Inputs!C$63*C6+Vehi_Inputs!C$56*C19+Vehi_Inputs!C$57*C40+Vehi_Inputs!C$58*C51+Vehi_Inputs!C$59*C63+Vehi_Inputs!C$60*C69+Vehi_Inputs!C$61*C74+Vehi_Inputs!C$62*C81</f>
        <v>0.59922639465739413</v>
      </c>
      <c r="D95" s="151">
        <f>Vehi_Inputs!D$63*D6+Vehi_Inputs!D$56*D19+Vehi_Inputs!D$57*D40+Vehi_Inputs!D$58*D51+Vehi_Inputs!D$59*D63+Vehi_Inputs!D$60*D69+Vehi_Inputs!D$61*D74+Vehi_Inputs!D$62*D81</f>
        <v>0.30704706482486721</v>
      </c>
      <c r="E95" s="151">
        <f>Vehi_Inputs!E$63*E6+Vehi_Inputs!E$56*E19+Vehi_Inputs!E$57*E40+Vehi_Inputs!E$58*E51+Vehi_Inputs!E$59*E63+Vehi_Inputs!E$60*E69+Vehi_Inputs!E$61*E74+Vehi_Inputs!E$62*E81</f>
        <v>0.59251924566050973</v>
      </c>
      <c r="F95" s="151">
        <f>Vehi_Inputs!F$63*F6+Vehi_Inputs!F$56*F19+Vehi_Inputs!F$57*F40+Vehi_Inputs!F$58*F51+Vehi_Inputs!F$59*F63+Vehi_Inputs!F$60*F69+Vehi_Inputs!F$61*F74+Vehi_Inputs!F$62*F81</f>
        <v>0.3305582148208302</v>
      </c>
      <c r="G95" s="151">
        <f>Vehi_Inputs!G$63*G6+Vehi_Inputs!G$56*G19+Vehi_Inputs!G$57*G40+Vehi_Inputs!G$58*G51+Vehi_Inputs!G$59*G63+Vehi_Inputs!G$60*G69+Vehi_Inputs!G$61*G74+Vehi_Inputs!G$62*G81</f>
        <v>0.59597132800711683</v>
      </c>
      <c r="H95" s="151">
        <f>Vehi_Inputs!H$63*H6+Vehi_Inputs!H$56*H19+Vehi_Inputs!H$57*H40+Vehi_Inputs!H$58*H51+Vehi_Inputs!H$59*H63+Vehi_Inputs!H$60*H69+Vehi_Inputs!H$61*H74+Vehi_Inputs!H$62*H81</f>
        <v>0.3343883343216858</v>
      </c>
      <c r="I95" s="151">
        <f>Vehi_Inputs!I$63*I6+Vehi_Inputs!I$56*I19+Vehi_Inputs!I$57*I40+Vehi_Inputs!I$58*I51+Vehi_Inputs!I$59*I63+Vehi_Inputs!I$60*I69+Vehi_Inputs!I$61*I74+Vehi_Inputs!I$62*I81</f>
        <v>0.58411694183415686</v>
      </c>
      <c r="J95" s="151">
        <f>Vehi_Inputs!J$63*J6+Vehi_Inputs!J$56*J19+Vehi_Inputs!J$57*J40+Vehi_Inputs!J$58*J51+Vehi_Inputs!J$59*J63+Vehi_Inputs!J$60*J69+Vehi_Inputs!J$61*J74+Vehi_Inputs!J$62*J81</f>
        <v>0.21966468810558099</v>
      </c>
      <c r="K95" s="151">
        <f>Vehi_Inputs!K$63*K6+Vehi_Inputs!K$56*K19+Vehi_Inputs!K$57*K40+Vehi_Inputs!K$58*K51+Vehi_Inputs!K$59*K63+Vehi_Inputs!K$60*K69+Vehi_Inputs!K$61*K74+Vehi_Inputs!K$62*K81</f>
        <v>0.52490810947485456</v>
      </c>
      <c r="L95" s="152">
        <f>Vehi_Inputs!L$63*L6+Vehi_Inputs!L$56*L19+Vehi_Inputs!L$57*L40+Vehi_Inputs!L$58*L51+Vehi_Inputs!L$59*L63+Vehi_Inputs!L$60*L69+Vehi_Inputs!L$61*L74+Vehi_Inputs!L$62*L81</f>
        <v>0.19930245952027761</v>
      </c>
    </row>
    <row r="96" spans="1:12">
      <c r="A96" s="1321"/>
      <c r="B96" s="160" t="s">
        <v>280</v>
      </c>
      <c r="C96" s="151">
        <f>Vehi_Inputs!C$56*C20+Vehi_Inputs!C$59*C64+Vehi_Inputs!C$62*C82</f>
        <v>0</v>
      </c>
      <c r="D96" s="151">
        <f>Vehi_Inputs!D$56*D20+Vehi_Inputs!D$59*D64+Vehi_Inputs!D$62*D82</f>
        <v>1.0301905888644543E-2</v>
      </c>
      <c r="E96" s="151">
        <f>Vehi_Inputs!E$56*E20+Vehi_Inputs!E$59*E64+Vehi_Inputs!E$62*E82</f>
        <v>0</v>
      </c>
      <c r="F96" s="151">
        <f>Vehi_Inputs!F$56*F20+Vehi_Inputs!F$59*F64+Vehi_Inputs!F$62*F82</f>
        <v>8.2061125266089767E-3</v>
      </c>
      <c r="G96" s="151">
        <f>Vehi_Inputs!G$56*G20+Vehi_Inputs!G$59*G64+Vehi_Inputs!G$62*G82</f>
        <v>0</v>
      </c>
      <c r="H96" s="151">
        <f>Vehi_Inputs!H$56*H20+Vehi_Inputs!H$59*H64+Vehi_Inputs!H$62*H82</f>
        <v>7.7621269210254671E-3</v>
      </c>
      <c r="I96" s="151">
        <f>Vehi_Inputs!I$56*I20+Vehi_Inputs!I$59*I64+Vehi_Inputs!I$62*I82</f>
        <v>0</v>
      </c>
      <c r="J96" s="151">
        <f>Vehi_Inputs!J$56*J20+Vehi_Inputs!J$59*J64+Vehi_Inputs!J$62*J82</f>
        <v>0</v>
      </c>
      <c r="K96" s="151">
        <f>Vehi_Inputs!K$56*K20+Vehi_Inputs!K$59*K64+Vehi_Inputs!K$62*K82</f>
        <v>3.4119373615959681E-2</v>
      </c>
      <c r="L96" s="152">
        <f>Vehi_Inputs!L$56*L20+Vehi_Inputs!L$59*L64+Vehi_Inputs!L$62*L82</f>
        <v>2.6743219720010897E-2</v>
      </c>
    </row>
    <row r="97" spans="2:12">
      <c r="B97" s="160" t="s">
        <v>281</v>
      </c>
      <c r="C97" s="151">
        <f>Vehi_Inputs!C$56*C21+Vehi_Inputs!C$57*C42+Vehi_Inputs!C$58*C52</f>
        <v>1.8931671144217021E-2</v>
      </c>
      <c r="D97" s="151">
        <f>Vehi_Inputs!D$56*D21+Vehi_Inputs!D$57*D42+Vehi_Inputs!D$58*D52</f>
        <v>3.5176694780504468E-2</v>
      </c>
      <c r="E97" s="151">
        <f>Vehi_Inputs!E$56*E21+Vehi_Inputs!E$57*E42+Vehi_Inputs!E$58*E52</f>
        <v>5.403141361256545E-2</v>
      </c>
      <c r="F97" s="151">
        <f>Vehi_Inputs!F$56*F21+Vehi_Inputs!F$57*F42+Vehi_Inputs!F$58*F52</f>
        <v>3.336772777345693E-2</v>
      </c>
      <c r="G97" s="151">
        <f>Vehi_Inputs!G$56*G21+Vehi_Inputs!G$57*G42+Vehi_Inputs!G$58*G52</f>
        <v>5.2403478530603675E-2</v>
      </c>
      <c r="H97" s="151">
        <f>Vehi_Inputs!H$56*H21+Vehi_Inputs!H$57*H42+Vehi_Inputs!H$58*H52</f>
        <v>3.4168452817504018E-2</v>
      </c>
      <c r="I97" s="151">
        <f>Vehi_Inputs!I$56*I21+Vehi_Inputs!I$57*I42+Vehi_Inputs!I$58*I52</f>
        <v>0</v>
      </c>
      <c r="J97" s="151">
        <f>Vehi_Inputs!J$56*J21+Vehi_Inputs!J$57*J42+Vehi_Inputs!J$58*J52</f>
        <v>2.8704E-2</v>
      </c>
      <c r="K97" s="151">
        <f>Vehi_Inputs!K$56*K21+Vehi_Inputs!K$57*K42+Vehi_Inputs!K$58*K52</f>
        <v>6.3087885967950941E-5</v>
      </c>
      <c r="L97" s="152">
        <f>Vehi_Inputs!L$56*L21+Vehi_Inputs!L$57*L42+Vehi_Inputs!L$58*L52</f>
        <v>2.4888093880816704E-2</v>
      </c>
    </row>
    <row r="98" spans="2:12">
      <c r="B98" s="160" t="s">
        <v>282</v>
      </c>
      <c r="C98" s="151">
        <f>Vehi_Inputs!C$63*C7+Vehi_Inputs!C$56*C22+Vehi_Inputs!C$57*C44+Vehi_Inputs!C$58*C53+Vehi_Inputs!C$62*C85</f>
        <v>4.64393038936151E-2</v>
      </c>
      <c r="D98" s="151">
        <f>Vehi_Inputs!D$63*D7+Vehi_Inputs!D$56*D22+Vehi_Inputs!D$57*D44+Vehi_Inputs!D$58*D53+Vehi_Inputs!D$62*D85</f>
        <v>6.7356559328203974E-2</v>
      </c>
      <c r="E98" s="151">
        <f>Vehi_Inputs!E$63*E7+Vehi_Inputs!E$56*E22+Vehi_Inputs!E$57*E44+Vehi_Inputs!E$58*E53+Vehi_Inputs!E$62*E85</f>
        <v>2.7010791884917566E-2</v>
      </c>
      <c r="F98" s="151">
        <f>Vehi_Inputs!F$63*F7+Vehi_Inputs!F$56*F22+Vehi_Inputs!F$57*F44+Vehi_Inputs!F$58*F53+Vehi_Inputs!F$62*F85</f>
        <v>5.8452471525774666E-2</v>
      </c>
      <c r="G98" s="151">
        <f>Vehi_Inputs!G$63*G7+Vehi_Inputs!G$56*G22+Vehi_Inputs!G$57*G44+Vehi_Inputs!G$58*G53+Vehi_Inputs!G$62*G85</f>
        <v>2.6860302855117431E-2</v>
      </c>
      <c r="H98" s="151">
        <f>Vehi_Inputs!H$63*H7+Vehi_Inputs!H$56*H22+Vehi_Inputs!H$57*H44+Vehi_Inputs!H$58*H53+Vehi_Inputs!H$62*H85</f>
        <v>4.9492639071934068E-2</v>
      </c>
      <c r="I98" s="151">
        <f>Vehi_Inputs!I$63*I7+Vehi_Inputs!I$56*I22+Vehi_Inputs!I$57*I44+Vehi_Inputs!I$58*I53+Vehi_Inputs!I$62*I85</f>
        <v>3.0309056042752427E-2</v>
      </c>
      <c r="J98" s="151">
        <f>Vehi_Inputs!J$63*J7+Vehi_Inputs!J$56*J22+Vehi_Inputs!J$57*J44+Vehi_Inputs!J$58*J53+Vehi_Inputs!J$62*J85</f>
        <v>6.756736822873026E-2</v>
      </c>
      <c r="K98" s="151">
        <f>Vehi_Inputs!K$63*K7+Vehi_Inputs!K$56*K22+Vehi_Inputs!K$57*K44+Vehi_Inputs!K$58*K53+Vehi_Inputs!K$62*K85</f>
        <v>3.75770577670771E-2</v>
      </c>
      <c r="L98" s="152">
        <f>Vehi_Inputs!L$63*L7+Vehi_Inputs!L$56*L22+Vehi_Inputs!L$57*L44+Vehi_Inputs!L$58*L53+Vehi_Inputs!L$62*L85</f>
        <v>6.3360444323702261E-2</v>
      </c>
    </row>
    <row r="99" spans="2:12">
      <c r="B99" s="160" t="s">
        <v>283</v>
      </c>
      <c r="C99" s="151">
        <f>Vehi_Inputs!C$63*C8+Vehi_Inputs!C$56*C23+Vehi_Inputs!C$57*C45+Vehi_Inputs!C$58*C54+Vehi_Inputs!C$59*C65+Vehi_Inputs!C$60*C70+Vehi_Inputs!C$61*C75</f>
        <v>8.2414206835872986E-2</v>
      </c>
      <c r="D99" s="151">
        <f>Vehi_Inputs!D$63*D8+Vehi_Inputs!D$56*D23+Vehi_Inputs!D$57*D45+Vehi_Inputs!D$58*D54+Vehi_Inputs!D$59*D65+Vehi_Inputs!D$60*D70+Vehi_Inputs!D$61*D75</f>
        <v>0.14073462022531535</v>
      </c>
      <c r="E99" s="151">
        <f>Vehi_Inputs!E$63*E8+Vehi_Inputs!E$56*E23+Vehi_Inputs!E$57*E45+Vehi_Inputs!E$58*E54+Vehi_Inputs!E$59*E65+Vehi_Inputs!E$60*E70+Vehi_Inputs!E$61*E75</f>
        <v>9.698752873463104E-2</v>
      </c>
      <c r="F99" s="151">
        <f>Vehi_Inputs!F$63*F8+Vehi_Inputs!F$56*F23+Vehi_Inputs!F$57*F45+Vehi_Inputs!F$58*F54+Vehi_Inputs!F$59*F65+Vehi_Inputs!F$60*F70+Vehi_Inputs!F$61*F75</f>
        <v>0.14155851993586258</v>
      </c>
      <c r="G99" s="151">
        <f>Vehi_Inputs!G$63*G8+Vehi_Inputs!G$56*G23+Vehi_Inputs!G$57*G45+Vehi_Inputs!G$58*G54+Vehi_Inputs!G$59*G65+Vehi_Inputs!G$60*G70+Vehi_Inputs!G$61*G75</f>
        <v>9.5619422746626742E-2</v>
      </c>
      <c r="H99" s="151">
        <f>Vehi_Inputs!H$63*H8+Vehi_Inputs!H$56*H23+Vehi_Inputs!H$57*H45+Vehi_Inputs!H$58*H54+Vehi_Inputs!H$59*H65+Vehi_Inputs!H$60*H70+Vehi_Inputs!H$61*H75</f>
        <v>0.1458659746994348</v>
      </c>
      <c r="I99" s="151">
        <f>Vehi_Inputs!I$63*I8+Vehi_Inputs!I$56*I23+Vehi_Inputs!I$57*I45+Vehi_Inputs!I$58*I54+Vehi_Inputs!I$59*I65+Vehi_Inputs!I$60*I70+Vehi_Inputs!I$61*I75</f>
        <v>0.10717781347009803</v>
      </c>
      <c r="J99" s="151">
        <f>Vehi_Inputs!J$63*J8+Vehi_Inputs!J$56*J23+Vehi_Inputs!J$57*J45+Vehi_Inputs!J$58*J54+Vehi_Inputs!J$59*J65+Vehi_Inputs!J$60*J70+Vehi_Inputs!J$61*J75</f>
        <v>0.16351803268844514</v>
      </c>
      <c r="K99" s="151">
        <f>Vehi_Inputs!K$63*K8+Vehi_Inputs!K$56*K23+Vehi_Inputs!K$57*K45+Vehi_Inputs!K$58*K54+Vehi_Inputs!K$59*K65+Vehi_Inputs!K$60*K70+Vehi_Inputs!K$61*K75</f>
        <v>7.6924775750556923E-2</v>
      </c>
      <c r="L99" s="152">
        <f>Vehi_Inputs!L$63*L8+Vehi_Inputs!L$56*L23+Vehi_Inputs!L$57*L45+Vehi_Inputs!L$58*L54+Vehi_Inputs!L$59*L65+Vehi_Inputs!L$60*L70+Vehi_Inputs!L$61*L75</f>
        <v>0.12901195998062087</v>
      </c>
    </row>
    <row r="100" spans="2:12">
      <c r="B100" s="160" t="s">
        <v>284</v>
      </c>
      <c r="C100" s="151">
        <f>Vehi_Inputs!C$63*C9+Vehi_Inputs!C$56*C24+Vehi_Inputs!C$57*C41+Vehi_Inputs!C$58*C55+Vehi_Inputs!C$59*C66+Vehi_Inputs!C$60*C71+Vehi_Inputs!C$61*C76+Vehi_Inputs!C$62*C86</f>
        <v>2.3788324876333776E-2</v>
      </c>
      <c r="D100" s="151">
        <f>Vehi_Inputs!D$63*D9+Vehi_Inputs!D$56*D24+Vehi_Inputs!D$57*D41+Vehi_Inputs!D$58*D55+Vehi_Inputs!D$59*D66+Vehi_Inputs!D$60*D71+Vehi_Inputs!D$61*D76+Vehi_Inputs!D$62*D86</f>
        <v>3.0902637838482617E-2</v>
      </c>
      <c r="E100" s="151">
        <f>Vehi_Inputs!E$63*E9+Vehi_Inputs!E$56*E24+Vehi_Inputs!E$57*E41+Vehi_Inputs!E$58*E55+Vehi_Inputs!E$59*E66+Vehi_Inputs!E$60*E71+Vehi_Inputs!E$61*E76+Vehi_Inputs!E$62*E86</f>
        <v>3.9941128321665943E-2</v>
      </c>
      <c r="F100" s="151">
        <f>Vehi_Inputs!F$63*F9+Vehi_Inputs!F$56*F24+Vehi_Inputs!F$57*F41+Vehi_Inputs!F$58*F55+Vehi_Inputs!F$59*F66+Vehi_Inputs!F$60*F71+Vehi_Inputs!F$61*F76+Vehi_Inputs!F$62*F86</f>
        <v>4.8216764294362946E-2</v>
      </c>
      <c r="G100" s="151">
        <f>Vehi_Inputs!G$63*G9+Vehi_Inputs!G$56*G24+Vehi_Inputs!G$57*G41+Vehi_Inputs!G$58*G55+Vehi_Inputs!G$59*G66+Vehi_Inputs!G$60*G71+Vehi_Inputs!G$61*G76+Vehi_Inputs!G$62*G86</f>
        <v>4.0193021050868943E-2</v>
      </c>
      <c r="H100" s="151">
        <f>Vehi_Inputs!H$63*H9+Vehi_Inputs!H$56*H24+Vehi_Inputs!H$57*H41+Vehi_Inputs!H$58*H55+Vehi_Inputs!H$59*H66+Vehi_Inputs!H$60*H71+Vehi_Inputs!H$61*H76+Vehi_Inputs!H$62*H86</f>
        <v>4.8203617098322521E-2</v>
      </c>
      <c r="I100" s="151">
        <f>Vehi_Inputs!I$63*I9+Vehi_Inputs!I$56*I24+Vehi_Inputs!I$57*I41+Vehi_Inputs!I$58*I55+Vehi_Inputs!I$59*I66+Vehi_Inputs!I$60*I71+Vehi_Inputs!I$61*I76+Vehi_Inputs!I$62*I86</f>
        <v>6.3396611838840933E-2</v>
      </c>
      <c r="J100" s="151">
        <f>Vehi_Inputs!J$63*J9+Vehi_Inputs!J$56*J24+Vehi_Inputs!J$57*J41+Vehi_Inputs!J$58*J55+Vehi_Inputs!J$59*J66+Vehi_Inputs!J$60*J71+Vehi_Inputs!J$61*J76+Vehi_Inputs!J$62*J86</f>
        <v>7.5341681655951814E-2</v>
      </c>
      <c r="K100" s="151">
        <f>Vehi_Inputs!K$63*K9+Vehi_Inputs!K$56*K24+Vehi_Inputs!K$57*K41+Vehi_Inputs!K$58*K55+Vehi_Inputs!K$59*K66+Vehi_Inputs!K$60*K71+Vehi_Inputs!K$61*K76+Vehi_Inputs!K$62*K86</f>
        <v>3.3593904004390926E-2</v>
      </c>
      <c r="L100" s="152">
        <f>Vehi_Inputs!L$63*L9+Vehi_Inputs!L$56*L24+Vehi_Inputs!L$57*L41+Vehi_Inputs!L$58*L55+Vehi_Inputs!L$59*L66+Vehi_Inputs!L$60*L71+Vehi_Inputs!L$61*L76+Vehi_Inputs!L$62*L86</f>
        <v>4.3466067560274359E-2</v>
      </c>
    </row>
    <row r="101" spans="2:12">
      <c r="B101" s="160" t="s">
        <v>54</v>
      </c>
      <c r="C101" s="151">
        <f>Vehi_Inputs!C$63*C10+Vehi_Inputs!C$58*C56</f>
        <v>0</v>
      </c>
      <c r="D101" s="151">
        <f>Vehi_Inputs!D$63*D10+Vehi_Inputs!D$58*D56</f>
        <v>0</v>
      </c>
      <c r="E101" s="151">
        <f>Vehi_Inputs!E$63*E10+Vehi_Inputs!E$58*E56</f>
        <v>0</v>
      </c>
      <c r="F101" s="151">
        <f>Vehi_Inputs!F$63*F10+Vehi_Inputs!F$58*F56</f>
        <v>0</v>
      </c>
      <c r="G101" s="151">
        <f>Vehi_Inputs!G$63*G10+Vehi_Inputs!G$58*G56</f>
        <v>0</v>
      </c>
      <c r="H101" s="151">
        <f>Vehi_Inputs!H$63*H10+Vehi_Inputs!H$58*H56</f>
        <v>0</v>
      </c>
      <c r="I101" s="151">
        <f>Vehi_Inputs!I$63*I10+Vehi_Inputs!I$58*I56</f>
        <v>0</v>
      </c>
      <c r="J101" s="151">
        <f>Vehi_Inputs!J$63*J10+Vehi_Inputs!J$58*J56</f>
        <v>0</v>
      </c>
      <c r="K101" s="151">
        <f>Vehi_Inputs!K$63*K10+Vehi_Inputs!K$58*K56</f>
        <v>0</v>
      </c>
      <c r="L101" s="152">
        <f>Vehi_Inputs!L$63*L10+Vehi_Inputs!L$58*L56</f>
        <v>0</v>
      </c>
    </row>
    <row r="102" spans="2:12">
      <c r="B102" s="160" t="s">
        <v>56</v>
      </c>
      <c r="C102" s="151">
        <f>Vehi_Inputs!C$63*C11+Vehi_Inputs!C$56*C25+Vehi_Inputs!C$57*C43+Vehi_Inputs!C$58*C57</f>
        <v>2.5555935472886221E-4</v>
      </c>
      <c r="D102" s="151">
        <f>Vehi_Inputs!D$63*D11+Vehi_Inputs!D$56*D25+Vehi_Inputs!D$57*D43+Vehi_Inputs!D$58*D57</f>
        <v>3.7996009612283436E-3</v>
      </c>
      <c r="E102" s="151">
        <f>Vehi_Inputs!E$63*E11+Vehi_Inputs!E$56*E25+Vehi_Inputs!E$57*E43+Vehi_Inputs!E$58*E57</f>
        <v>2.1679306371830411E-4</v>
      </c>
      <c r="F102" s="151">
        <f>Vehi_Inputs!F$63*F11+Vehi_Inputs!F$56*F25+Vehi_Inputs!F$57*F43+Vehi_Inputs!F$58*F57</f>
        <v>3.5045486330930334E-3</v>
      </c>
      <c r="G102" s="151">
        <f>Vehi_Inputs!G$63*G11+Vehi_Inputs!G$56*G25+Vehi_Inputs!G$57*G43+Vehi_Inputs!G$58*G57</f>
        <v>2.1554633654289051E-4</v>
      </c>
      <c r="H102" s="151">
        <f>Vehi_Inputs!H$63*H11+Vehi_Inputs!H$56*H25+Vehi_Inputs!H$57*H43+Vehi_Inputs!H$58*H57</f>
        <v>3.3828101991258638E-3</v>
      </c>
      <c r="I102" s="151">
        <f>Vehi_Inputs!I$63*I11+Vehi_Inputs!I$56*I25+Vehi_Inputs!I$57*I43+Vehi_Inputs!I$58*I57</f>
        <v>2.4350437998697569E-4</v>
      </c>
      <c r="J102" s="151">
        <f>Vehi_Inputs!J$63*J11+Vehi_Inputs!J$56*J25+Vehi_Inputs!J$57*J43+Vehi_Inputs!J$58*J57</f>
        <v>3.7754987813794151E-3</v>
      </c>
      <c r="K102" s="151">
        <f>Vehi_Inputs!K$63*K11+Vehi_Inputs!K$56*K25+Vehi_Inputs!K$57*K43+Vehi_Inputs!K$58*K57</f>
        <v>2.359565844970569E-4</v>
      </c>
      <c r="L102" s="152">
        <f>Vehi_Inputs!L$63*L11+Vehi_Inputs!L$56*L25+Vehi_Inputs!L$57*L43+Vehi_Inputs!L$58*L57</f>
        <v>4.2557019870078719E-3</v>
      </c>
    </row>
    <row r="103" spans="2:12">
      <c r="B103" s="160" t="s">
        <v>58</v>
      </c>
      <c r="C103" s="151">
        <f>Vehi_Inputs!C$63*C13</f>
        <v>2.3508911992351771E-2</v>
      </c>
      <c r="D103" s="151">
        <f>Vehi_Inputs!D$63*D13</f>
        <v>3.2507697112731382E-2</v>
      </c>
      <c r="E103" s="151">
        <f>Vehi_Inputs!E$63*E13</f>
        <v>1.9942799827903653E-2</v>
      </c>
      <c r="F103" s="151">
        <f>Vehi_Inputs!F$63*F13</f>
        <v>2.9204571942441946E-2</v>
      </c>
      <c r="G103" s="151">
        <f>Vehi_Inputs!G$63*G13</f>
        <v>1.9828113361128184E-2</v>
      </c>
      <c r="H103" s="151">
        <f>Vehi_Inputs!H$63*H13</f>
        <v>2.7438349392909785E-2</v>
      </c>
      <c r="I103" s="151">
        <f>Vehi_Inputs!I$63*I13</f>
        <v>2.2399974537967805E-2</v>
      </c>
      <c r="J103" s="151">
        <f>Vehi_Inputs!J$63*J13</f>
        <v>3.0203990251035321E-2</v>
      </c>
      <c r="K103" s="151">
        <f>Vehi_Inputs!K$63*K13</f>
        <v>2.1043034019318327E-2</v>
      </c>
      <c r="L103" s="152">
        <f>Vehi_Inputs!L$63*L13</f>
        <v>3.4045615896062975E-2</v>
      </c>
    </row>
    <row r="104" spans="2:12">
      <c r="B104" s="160" t="s">
        <v>285</v>
      </c>
      <c r="C104" s="151">
        <f>Vehi_Inputs!C$63*C15+Vehi_Inputs!C$56*C27+Vehi_Inputs!C$57*C47+Vehi_Inputs!C$58*C59+Vehi_Inputs!C$61*C78+Vehi_Inputs!C$62*C87</f>
        <v>0.15299256236041059</v>
      </c>
      <c r="D104" s="151">
        <f>Vehi_Inputs!D$63*D15+Vehi_Inputs!D$56*D27+Vehi_Inputs!D$57*D47+Vehi_Inputs!D$58*D59+Vehi_Inputs!D$61*D78+Vehi_Inputs!D$62*D87</f>
        <v>0.14161109373225569</v>
      </c>
      <c r="E104" s="151">
        <f>Vehi_Inputs!E$63*E15+Vehi_Inputs!E$56*E27+Vehi_Inputs!E$57*E47+Vehi_Inputs!E$58*E59+Vehi_Inputs!E$61*E78+Vehi_Inputs!E$62*E87</f>
        <v>0.12563911634274139</v>
      </c>
      <c r="F104" s="151">
        <f>Vehi_Inputs!F$63*F15+Vehi_Inputs!F$56*F27+Vehi_Inputs!F$57*F47+Vehi_Inputs!F$58*F59+Vehi_Inputs!F$61*F78+Vehi_Inputs!F$62*F87</f>
        <v>0.12478570208526325</v>
      </c>
      <c r="G104" s="151">
        <f>Vehi_Inputs!G$63*G15+Vehi_Inputs!G$56*G27+Vehi_Inputs!G$57*G47+Vehi_Inputs!G$58*G59+Vehi_Inputs!G$61*G78+Vehi_Inputs!G$62*G87</f>
        <v>0.12549592199786327</v>
      </c>
      <c r="H104" s="151">
        <f>Vehi_Inputs!H$63*H15+Vehi_Inputs!H$56*H27+Vehi_Inputs!H$57*H47+Vehi_Inputs!H$58*H59+Vehi_Inputs!H$61*H78+Vehi_Inputs!H$62*H87</f>
        <v>0.12673468221810666</v>
      </c>
      <c r="I104" s="151">
        <f>Vehi_Inputs!I$63*I15+Vehi_Inputs!I$56*I27+Vehi_Inputs!I$57*I47+Vehi_Inputs!I$58*I59+Vehi_Inputs!I$61*I78+Vehi_Inputs!I$62*I87</f>
        <v>0.14255485663028453</v>
      </c>
      <c r="J104" s="151">
        <f>Vehi_Inputs!J$63*J15+Vehi_Inputs!J$56*J27+Vehi_Inputs!J$57*J47+Vehi_Inputs!J$58*J59+Vehi_Inputs!J$61*J78+Vehi_Inputs!J$62*J87</f>
        <v>0.15067337872035177</v>
      </c>
      <c r="K104" s="151">
        <f>Vehi_Inputs!K$63*K15+Vehi_Inputs!K$56*K27+Vehi_Inputs!K$57*K47+Vehi_Inputs!K$58*K59+Vehi_Inputs!K$61*K78+Vehi_Inputs!K$62*K87</f>
        <v>0.13866291686963156</v>
      </c>
      <c r="L104" s="152">
        <f>Vehi_Inputs!L$63*L15+Vehi_Inputs!L$56*L27+Vehi_Inputs!L$57*L47+Vehi_Inputs!L$58*L59+Vehi_Inputs!L$61*L78+Vehi_Inputs!L$62*L87</f>
        <v>0.13716837311709154</v>
      </c>
    </row>
    <row r="105" spans="2:12">
      <c r="B105" s="160" t="s">
        <v>61</v>
      </c>
      <c r="C105" s="151">
        <f>Vehi_Inputs!C$63*C16+Vehi_Inputs!C$56*C28+Vehi_Inputs!C$57*C48+Vehi_Inputs!C$58*C60+Vehi_Inputs!C$61*C77+Vehi_Inputs!C$62*C88</f>
        <v>3.918620882938266E-2</v>
      </c>
      <c r="D105" s="151">
        <f>Vehi_Inputs!D$63*D16+Vehi_Inputs!D$56*D28+Vehi_Inputs!D$57*D48+Vehi_Inputs!D$58*D60+Vehi_Inputs!D$61*D77+Vehi_Inputs!D$62*D88</f>
        <v>2.9053457053386841E-2</v>
      </c>
      <c r="E105" s="151">
        <f>Vehi_Inputs!E$63*E16+Vehi_Inputs!E$56*E28+Vehi_Inputs!E$57*E48+Vehi_Inputs!E$58*E60+Vehi_Inputs!E$61*E77+Vehi_Inputs!E$62*E88</f>
        <v>3.3290643876260406E-2</v>
      </c>
      <c r="F105" s="151">
        <f>Vehi_Inputs!F$63*F16+Vehi_Inputs!F$56*F28+Vehi_Inputs!F$57*F48+Vehi_Inputs!F$58*F60+Vehi_Inputs!F$61*F77+Vehi_Inputs!F$62*F88</f>
        <v>2.478921060383163E-2</v>
      </c>
      <c r="G105" s="151">
        <f>Vehi_Inputs!G$63*G16+Vehi_Inputs!G$56*G28+Vehi_Inputs!G$57*G48+Vehi_Inputs!G$58*G60+Vehi_Inputs!G$61*G77+Vehi_Inputs!G$62*G88</f>
        <v>3.3013092458221469E-2</v>
      </c>
      <c r="H105" s="151">
        <f>Vehi_Inputs!H$63*H16+Vehi_Inputs!H$56*H28+Vehi_Inputs!H$57*H48+Vehi_Inputs!H$58*H60+Vehi_Inputs!H$61*H77+Vehi_Inputs!H$62*H88</f>
        <v>2.4413005859735725E-2</v>
      </c>
      <c r="I105" s="151">
        <f>Vehi_Inputs!I$63*I16+Vehi_Inputs!I$56*I28+Vehi_Inputs!I$57*I48+Vehi_Inputs!I$58*I60+Vehi_Inputs!I$61*I77+Vehi_Inputs!I$62*I88</f>
        <v>3.326978234355725E-2</v>
      </c>
      <c r="J105" s="151">
        <f>Vehi_Inputs!J$63*J16+Vehi_Inputs!J$56*J28+Vehi_Inputs!J$57*J48+Vehi_Inputs!J$58*J60+Vehi_Inputs!J$61*J77+Vehi_Inputs!J$62*J88</f>
        <v>2.5765998916781701E-2</v>
      </c>
      <c r="K105" s="151">
        <f>Vehi_Inputs!K$63*K16+Vehi_Inputs!K$56*K28+Vehi_Inputs!K$57*K48+Vehi_Inputs!K$58*K60+Vehi_Inputs!K$61*K77+Vehi_Inputs!K$62*K88</f>
        <v>3.6557260379277083E-2</v>
      </c>
      <c r="L105" s="152">
        <f>Vehi_Inputs!L$63*L16+Vehi_Inputs!L$56*L28+Vehi_Inputs!L$57*L48+Vehi_Inputs!L$58*L60+Vehi_Inputs!L$61*L77+Vehi_Inputs!L$62*L88</f>
        <v>2.7031391970529801E-2</v>
      </c>
    </row>
    <row r="106" spans="2:12" ht="25.5">
      <c r="B106" s="592" t="s">
        <v>286</v>
      </c>
      <c r="C106" s="151">
        <f>Vehi_Inputs!C$63*C14+Vehi_Inputs!C$56*C29+Vehi_Inputs!C$57*C46</f>
        <v>0</v>
      </c>
      <c r="D106" s="151">
        <f>Vehi_Inputs!D$63*D14+Vehi_Inputs!D$56*D29+Vehi_Inputs!D$57*D46</f>
        <v>0.16084977402533324</v>
      </c>
      <c r="E106" s="151">
        <f>Vehi_Inputs!E$63*E14+Vehi_Inputs!E$56*E29+Vehi_Inputs!E$57*E46</f>
        <v>0</v>
      </c>
      <c r="F106" s="151">
        <f>Vehi_Inputs!F$63*F14+Vehi_Inputs!F$56*F29+Vehi_Inputs!F$57*F46</f>
        <v>0.15458953414865939</v>
      </c>
      <c r="G106" s="151">
        <f>Vehi_Inputs!G$63*G14+Vehi_Inputs!G$56*G29+Vehi_Inputs!G$57*G46</f>
        <v>0</v>
      </c>
      <c r="H106" s="151">
        <f>Vehi_Inputs!H$63*H14+Vehi_Inputs!H$56*H29+Vehi_Inputs!H$57*H46</f>
        <v>0.154857533559984</v>
      </c>
      <c r="I106" s="151">
        <f>Vehi_Inputs!I$63*I14+Vehi_Inputs!I$56*I29+Vehi_Inputs!I$57*I46</f>
        <v>0</v>
      </c>
      <c r="J106" s="151">
        <f>Vehi_Inputs!J$63*J14+Vehi_Inputs!J$56*J29+Vehi_Inputs!J$57*J46</f>
        <v>0.17870694231862566</v>
      </c>
      <c r="K106" s="151">
        <f>Vehi_Inputs!K$63*K14+Vehi_Inputs!K$56*K29+Vehi_Inputs!K$57*K46</f>
        <v>0</v>
      </c>
      <c r="L106" s="152">
        <f>Vehi_Inputs!L$63*L14+Vehi_Inputs!L$56*L29+Vehi_Inputs!L$57*L46</f>
        <v>0.20001799338937001</v>
      </c>
    </row>
    <row r="107" spans="2:12" ht="25.5">
      <c r="B107" s="592" t="s">
        <v>287</v>
      </c>
      <c r="C107" s="151">
        <f>+Vehi_Inputs!C$62*C83</f>
        <v>0</v>
      </c>
      <c r="D107" s="151">
        <f>+Vehi_Inputs!D$62*D83</f>
        <v>0</v>
      </c>
      <c r="E107" s="151">
        <f>+Vehi_Inputs!E$62*E83</f>
        <v>0</v>
      </c>
      <c r="F107" s="151">
        <f>+Vehi_Inputs!F$62*F83</f>
        <v>0</v>
      </c>
      <c r="G107" s="151">
        <f>+Vehi_Inputs!G$62*G83</f>
        <v>0</v>
      </c>
      <c r="H107" s="151">
        <f>+Vehi_Inputs!H$62*H83</f>
        <v>0</v>
      </c>
      <c r="I107" s="151">
        <f>+Vehi_Inputs!I$62*I83</f>
        <v>0</v>
      </c>
      <c r="J107" s="151">
        <f>+Vehi_Inputs!J$62*J83</f>
        <v>0</v>
      </c>
      <c r="K107" s="151">
        <f>+Vehi_Inputs!K$62*K83</f>
        <v>6.6836603823456242E-2</v>
      </c>
      <c r="L107" s="152">
        <f>+Vehi_Inputs!L$62*L83</f>
        <v>4.6500297409572254E-2</v>
      </c>
    </row>
    <row r="108" spans="2:12">
      <c r="B108" s="160" t="s">
        <v>288</v>
      </c>
      <c r="C108" s="151">
        <f>Vehi_Inputs!C$58*C58+Vehi_Inputs!C$63*C12+Vehi_Inputs!C$56*C26+Vehi_Inputs!C$62*C84</f>
        <v>8.6970511755816576E-3</v>
      </c>
      <c r="D108" s="151">
        <f>Vehi_Inputs!D$58*D58+Vehi_Inputs!D$63*D12+Vehi_Inputs!D$56*D26+Vehi_Inputs!D$62*D84</f>
        <v>1.7940000000000001E-2</v>
      </c>
      <c r="E108" s="151">
        <f>Vehi_Inputs!E$58*E58+Vehi_Inputs!E$63*E12+Vehi_Inputs!E$56*E26+Vehi_Inputs!E$62*E84</f>
        <v>4.1456022664972531E-3</v>
      </c>
      <c r="F108" s="151">
        <f>Vehi_Inputs!F$58*F58+Vehi_Inputs!F$63*F12+Vehi_Inputs!F$56*F26+Vehi_Inputs!F$62*F84</f>
        <v>1.9109999999999999E-2</v>
      </c>
      <c r="G108" s="151">
        <f>Vehi_Inputs!G$58*G58+Vehi_Inputs!G$63*G12+Vehi_Inputs!G$56*G26+Vehi_Inputs!G$62*G84</f>
        <v>4.1217618588963254E-3</v>
      </c>
      <c r="H108" s="151">
        <f>Vehi_Inputs!H$58*H58+Vehi_Inputs!H$63*H12+Vehi_Inputs!H$56*H26+Vehi_Inputs!H$62*H84</f>
        <v>2.0480000000000002E-2</v>
      </c>
      <c r="I108" s="151">
        <f>Vehi_Inputs!I$58*I58+Vehi_Inputs!I$63*I12+Vehi_Inputs!I$56*I26+Vehi_Inputs!I$62*I84</f>
        <v>4.6563865663511259E-3</v>
      </c>
      <c r="J108" s="151">
        <f>Vehi_Inputs!J$58*J58+Vehi_Inputs!J$63*J12+Vehi_Inputs!J$56*J26+Vehi_Inputs!J$62*J84</f>
        <v>2.5896000000000002E-2</v>
      </c>
      <c r="K108" s="151">
        <f>Vehi_Inputs!K$58*K58+Vehi_Inputs!K$63*K12+Vehi_Inputs!K$56*K26+Vehi_Inputs!K$62*K84</f>
        <v>1.1087278632719275E-2</v>
      </c>
      <c r="L108" s="152">
        <f>Vehi_Inputs!L$58*L58+Vehi_Inputs!L$63*L12+Vehi_Inputs!L$56*L26+Vehi_Inputs!L$62*L84</f>
        <v>2.7291659058442615E-2</v>
      </c>
    </row>
    <row r="109" spans="2:12">
      <c r="B109" s="160" t="s">
        <v>48</v>
      </c>
      <c r="C109" s="151">
        <f>Vehi_Inputs!C$62*C89+Vehi_Inputs!C56*C36</f>
        <v>0</v>
      </c>
      <c r="D109" s="151">
        <f>Vehi_Inputs!D$62*D89+Vehi_Inputs!D56*D36</f>
        <v>0</v>
      </c>
      <c r="E109" s="151">
        <f>Vehi_Inputs!E$62*E89+Vehi_Inputs!E56*E36</f>
        <v>0</v>
      </c>
      <c r="F109" s="151">
        <f>Vehi_Inputs!F$62*F89+Vehi_Inputs!F56*F36</f>
        <v>0</v>
      </c>
      <c r="G109" s="151">
        <f>Vehi_Inputs!G$62*G89+Vehi_Inputs!G56*G36</f>
        <v>0</v>
      </c>
      <c r="H109" s="151">
        <f>Vehi_Inputs!H$62*H89+Vehi_Inputs!H56*H36</f>
        <v>0</v>
      </c>
      <c r="I109" s="151">
        <f>Vehi_Inputs!I$62*I89+Vehi_Inputs!I56*I36</f>
        <v>0</v>
      </c>
      <c r="J109" s="151">
        <f>Vehi_Inputs!J$62*J89+Vehi_Inputs!J56*J36</f>
        <v>0</v>
      </c>
      <c r="K109" s="151">
        <f>Vehi_Inputs!K$62*K89+Vehi_Inputs!K56*K36</f>
        <v>1.5795321125227461E-6</v>
      </c>
      <c r="L109" s="152">
        <f>Vehi_Inputs!L$62*L89+Vehi_Inputs!L56*L36</f>
        <v>1.2822905304179673E-6</v>
      </c>
    </row>
    <row r="110" spans="2:12">
      <c r="B110" s="160" t="s">
        <v>289</v>
      </c>
      <c r="C110" s="151">
        <f>Vehi_Inputs!C$56*C30</f>
        <v>0</v>
      </c>
      <c r="D110" s="151">
        <f>Vehi_Inputs!D$56*D30</f>
        <v>0</v>
      </c>
      <c r="E110" s="151">
        <f>Vehi_Inputs!E$56*E30</f>
        <v>0</v>
      </c>
      <c r="F110" s="151">
        <f>Vehi_Inputs!F$56*F30</f>
        <v>0</v>
      </c>
      <c r="G110" s="151">
        <f>Vehi_Inputs!G$56*G30</f>
        <v>0</v>
      </c>
      <c r="H110" s="151">
        <f>Vehi_Inputs!H$56*H30</f>
        <v>0</v>
      </c>
      <c r="I110" s="151">
        <f>Vehi_Inputs!I$56*I30</f>
        <v>0</v>
      </c>
      <c r="J110" s="151">
        <f>Vehi_Inputs!J$56*J30</f>
        <v>0</v>
      </c>
      <c r="K110" s="151">
        <f>Vehi_Inputs!K$56*K30</f>
        <v>5.1189797217493645E-4</v>
      </c>
      <c r="L110" s="152">
        <f>Vehi_Inputs!L$56*L30</f>
        <v>4.1556731709095184E-4</v>
      </c>
    </row>
    <row r="111" spans="2:12">
      <c r="B111" s="160" t="s">
        <v>290</v>
      </c>
      <c r="C111" s="151">
        <f>Vehi_Inputs!C$56*C31</f>
        <v>0</v>
      </c>
      <c r="D111" s="151">
        <f>Vehi_Inputs!D$56*D31</f>
        <v>0</v>
      </c>
      <c r="E111" s="151">
        <f>Vehi_Inputs!E$56*E31</f>
        <v>0</v>
      </c>
      <c r="F111" s="151">
        <f>Vehi_Inputs!F$56*F31</f>
        <v>0</v>
      </c>
      <c r="G111" s="151">
        <f>Vehi_Inputs!G$56*G31</f>
        <v>0</v>
      </c>
      <c r="H111" s="151">
        <f>Vehi_Inputs!H$56*H31</f>
        <v>0</v>
      </c>
      <c r="I111" s="151">
        <f>Vehi_Inputs!I$56*I31</f>
        <v>0</v>
      </c>
      <c r="J111" s="151">
        <f>Vehi_Inputs!J$56*J31</f>
        <v>0</v>
      </c>
      <c r="K111" s="151">
        <f>Vehi_Inputs!K$56*K31</f>
        <v>1.7673854813097002E-3</v>
      </c>
      <c r="L111" s="152">
        <f>Vehi_Inputs!L$56*L31</f>
        <v>1.4347930303626503E-3</v>
      </c>
    </row>
    <row r="112" spans="2:12">
      <c r="B112" s="160" t="s">
        <v>291</v>
      </c>
      <c r="C112" s="151">
        <f>Vehi_Inputs!C$56*C32</f>
        <v>0</v>
      </c>
      <c r="D112" s="151">
        <f>Vehi_Inputs!D$56*D32</f>
        <v>0</v>
      </c>
      <c r="E112" s="151">
        <f>Vehi_Inputs!E$56*E32</f>
        <v>0</v>
      </c>
      <c r="F112" s="151">
        <f>Vehi_Inputs!F$56*F32</f>
        <v>0</v>
      </c>
      <c r="G112" s="151">
        <f>Vehi_Inputs!G$56*G32</f>
        <v>0</v>
      </c>
      <c r="H112" s="151">
        <f>Vehi_Inputs!H$56*H32</f>
        <v>0</v>
      </c>
      <c r="I112" s="151">
        <f>Vehi_Inputs!I$56*I32</f>
        <v>0</v>
      </c>
      <c r="J112" s="151">
        <f>Vehi_Inputs!J$56*J32</f>
        <v>0</v>
      </c>
      <c r="K112" s="151">
        <f>Vehi_Inputs!K$56*K32</f>
        <v>2.1183834289943762E-3</v>
      </c>
      <c r="L112" s="152">
        <f>Vehi_Inputs!L$56*L32</f>
        <v>1.7197390222446101E-3</v>
      </c>
    </row>
    <row r="113" spans="1:12">
      <c r="A113" s="1321"/>
      <c r="B113" s="160" t="s">
        <v>292</v>
      </c>
      <c r="C113" s="151">
        <f>Vehi_Inputs!C$56*C33</f>
        <v>0</v>
      </c>
      <c r="D113" s="151">
        <f>Vehi_Inputs!D$56*D33</f>
        <v>0</v>
      </c>
      <c r="E113" s="151">
        <f>Vehi_Inputs!E$56*E33</f>
        <v>0</v>
      </c>
      <c r="F113" s="151">
        <f>Vehi_Inputs!F$56*F33</f>
        <v>0</v>
      </c>
      <c r="G113" s="151">
        <f>Vehi_Inputs!G$56*G33</f>
        <v>0</v>
      </c>
      <c r="H113" s="151">
        <f>Vehi_Inputs!H$56*H33</f>
        <v>0</v>
      </c>
      <c r="I113" s="151">
        <f>Vehi_Inputs!I$56*I33</f>
        <v>0</v>
      </c>
      <c r="J113" s="151">
        <f>Vehi_Inputs!J$56*J33</f>
        <v>0</v>
      </c>
      <c r="K113" s="151">
        <f>Vehi_Inputs!K$56*K33</f>
        <v>0</v>
      </c>
      <c r="L113" s="152">
        <f>Vehi_Inputs!L$56*L33</f>
        <v>0</v>
      </c>
    </row>
    <row r="114" spans="1:12">
      <c r="A114" s="1321"/>
      <c r="B114" s="160" t="s">
        <v>63</v>
      </c>
      <c r="C114" s="151">
        <f>Vehi_Inputs!C$56*C34</f>
        <v>3.0687346446282874E-6</v>
      </c>
      <c r="D114" s="151">
        <f>Vehi_Inputs!D$56*D34</f>
        <v>8.5849215738704534E-6</v>
      </c>
      <c r="E114" s="151">
        <f>Vehi_Inputs!E$56*E34</f>
        <v>4.5026178010471217E-6</v>
      </c>
      <c r="F114" s="151">
        <f>Vehi_Inputs!F$56*F34</f>
        <v>5.1288203291306102E-6</v>
      </c>
      <c r="G114" s="151">
        <f>Vehi_Inputs!G$56*G34</f>
        <v>4.5967963623336555E-6</v>
      </c>
      <c r="H114" s="151">
        <f>Vehi_Inputs!H$56*H34</f>
        <v>5.1747512806836457E-6</v>
      </c>
      <c r="I114" s="151">
        <f>Vehi_Inputs!I$56*I34</f>
        <v>0</v>
      </c>
      <c r="J114" s="151">
        <f>Vehi_Inputs!J$56*J34</f>
        <v>0</v>
      </c>
      <c r="K114" s="151">
        <f>Vehi_Inputs!K$56*K34</f>
        <v>1.4591205717789383E-5</v>
      </c>
      <c r="L114" s="152">
        <f>Vehi_Inputs!L$56*L34</f>
        <v>1.1845384320435833E-5</v>
      </c>
    </row>
    <row r="115" spans="1:12">
      <c r="A115" s="1321"/>
      <c r="B115" s="160" t="s">
        <v>83</v>
      </c>
      <c r="C115" s="151">
        <f>Vehi_Inputs!C56*C37+Vehi_Inputs!C$62*C90</f>
        <v>0</v>
      </c>
      <c r="D115" s="151">
        <f>Vehi_Inputs!D56*D37+Vehi_Inputs!D$62*D90</f>
        <v>0</v>
      </c>
      <c r="E115" s="151">
        <f>Vehi_Inputs!E56*E37+Vehi_Inputs!E$62*E90</f>
        <v>0</v>
      </c>
      <c r="F115" s="151">
        <f>Vehi_Inputs!F56*F37+Vehi_Inputs!F$62*F90</f>
        <v>0</v>
      </c>
      <c r="G115" s="151">
        <f>Vehi_Inputs!G56*G37+Vehi_Inputs!G$62*G90</f>
        <v>0</v>
      </c>
      <c r="H115" s="151">
        <f>Vehi_Inputs!H56*H37+Vehi_Inputs!H$62*H90</f>
        <v>0</v>
      </c>
      <c r="I115" s="151">
        <f>Vehi_Inputs!I56*I37+Vehi_Inputs!I$62*I90</f>
        <v>0</v>
      </c>
      <c r="J115" s="151">
        <f>Vehi_Inputs!J56*J37+Vehi_Inputs!J$62*J90</f>
        <v>0</v>
      </c>
      <c r="K115" s="151">
        <f>Vehi_Inputs!K56*K37+Vehi_Inputs!K$62*K90</f>
        <v>1.036262542295482E-3</v>
      </c>
      <c r="L115" s="152">
        <f>Vehi_Inputs!L56*L37+Vehi_Inputs!L$62*L90</f>
        <v>7.2613989947604117E-4</v>
      </c>
    </row>
    <row r="116" spans="1:12">
      <c r="A116" s="1321"/>
      <c r="B116" s="160" t="s">
        <v>293</v>
      </c>
      <c r="C116" s="151">
        <f>Vehi_Inputs!C56*C35</f>
        <v>0</v>
      </c>
      <c r="D116" s="151">
        <f>Vehi_Inputs!D56*D35</f>
        <v>0</v>
      </c>
      <c r="E116" s="151">
        <f>Vehi_Inputs!E56*E35</f>
        <v>0</v>
      </c>
      <c r="F116" s="151">
        <f>Vehi_Inputs!F56*F35</f>
        <v>0</v>
      </c>
      <c r="G116" s="151">
        <f>Vehi_Inputs!G56*G35</f>
        <v>0</v>
      </c>
      <c r="H116" s="151">
        <f>Vehi_Inputs!H56*H35</f>
        <v>0</v>
      </c>
      <c r="I116" s="151">
        <f>Vehi_Inputs!I56*I35</f>
        <v>0</v>
      </c>
      <c r="J116" s="151">
        <f>Vehi_Inputs!J56*J35</f>
        <v>0</v>
      </c>
      <c r="K116" s="151">
        <f>Vehi_Inputs!K56*K35</f>
        <v>2.252829490998745E-4</v>
      </c>
      <c r="L116" s="152">
        <f>Vehi_Inputs!L56*L35</f>
        <v>1.8288845792063121E-4</v>
      </c>
    </row>
    <row r="117" spans="1:12">
      <c r="A117" s="1321"/>
      <c r="B117" s="161" t="s">
        <v>294</v>
      </c>
      <c r="C117" s="153">
        <f>1-SUM(C95:C116)</f>
        <v>4.556736145467033E-3</v>
      </c>
      <c r="D117" s="153">
        <f t="shared" ref="D117:L117" si="0">1-SUM(D95:D116)</f>
        <v>2.2710309307472643E-2</v>
      </c>
      <c r="E117" s="153">
        <f t="shared" si="0"/>
        <v>6.2704337907880658E-3</v>
      </c>
      <c r="F117" s="153">
        <f t="shared" si="0"/>
        <v>2.3651492889485315E-2</v>
      </c>
      <c r="G117" s="153">
        <f t="shared" si="0"/>
        <v>6.2734140006518446E-3</v>
      </c>
      <c r="H117" s="153">
        <f t="shared" si="0"/>
        <v>2.2807299088950406E-2</v>
      </c>
      <c r="I117" s="153">
        <f t="shared" si="0"/>
        <v>1.1875072356003935E-2</v>
      </c>
      <c r="J117" s="153">
        <f t="shared" si="0"/>
        <v>3.018242033311791E-2</v>
      </c>
      <c r="K117" s="153">
        <f t="shared" si="0"/>
        <v>1.2715258080588598E-2</v>
      </c>
      <c r="L117" s="154">
        <f t="shared" si="0"/>
        <v>3.2424466784274575E-2</v>
      </c>
    </row>
    <row r="119" spans="1:12">
      <c r="A119" s="172" t="s">
        <v>295</v>
      </c>
      <c r="B119" s="1321"/>
      <c r="C119" s="1321"/>
      <c r="D119" s="1321"/>
      <c r="E119" s="1321"/>
      <c r="F119" s="1321"/>
      <c r="G119" s="1321"/>
      <c r="H119" s="1321"/>
      <c r="I119" s="1321"/>
      <c r="J119" s="1321"/>
      <c r="K119" s="1321"/>
      <c r="L119" s="1321"/>
    </row>
    <row r="120" spans="1:12">
      <c r="A120" s="1321"/>
      <c r="B120" s="1625" t="s">
        <v>61</v>
      </c>
      <c r="C120" s="1626" t="s">
        <v>38</v>
      </c>
      <c r="D120" s="1321"/>
      <c r="E120" s="1321"/>
      <c r="F120" s="1321"/>
      <c r="G120" s="1321"/>
      <c r="H120" s="1321"/>
      <c r="I120" s="1321"/>
      <c r="J120" s="1321"/>
      <c r="K120" s="1321"/>
      <c r="L120" s="1321"/>
    </row>
    <row r="121" spans="1:12">
      <c r="A121" s="1321"/>
      <c r="B121" s="166">
        <v>0.66700000000000004</v>
      </c>
      <c r="C121" s="130">
        <f>1-B121</f>
        <v>0.33299999999999996</v>
      </c>
      <c r="D121" s="1321"/>
      <c r="E121" s="1321"/>
      <c r="F121" s="1321"/>
      <c r="G121" s="1321"/>
      <c r="H121" s="1321"/>
      <c r="I121" s="1321"/>
      <c r="J121" s="1321"/>
      <c r="K121" s="1321"/>
      <c r="L121" s="1321"/>
    </row>
    <row r="123" spans="1:12" ht="15">
      <c r="A123" s="120" t="s">
        <v>296</v>
      </c>
      <c r="B123" s="1321"/>
      <c r="C123" s="1321"/>
      <c r="D123" s="1321"/>
      <c r="E123" s="1321"/>
      <c r="F123" s="1321"/>
      <c r="G123" s="1321"/>
      <c r="H123" s="1321"/>
      <c r="I123" s="1321"/>
      <c r="J123" s="1321"/>
      <c r="K123" s="1321"/>
      <c r="L123" s="1321"/>
    </row>
    <row r="124" spans="1:12" ht="38.25">
      <c r="A124" s="1321"/>
      <c r="B124" s="80"/>
      <c r="C124" s="175" t="s">
        <v>141</v>
      </c>
      <c r="D124" s="175" t="s">
        <v>142</v>
      </c>
      <c r="E124" s="175" t="s">
        <v>143</v>
      </c>
      <c r="F124" s="175" t="s">
        <v>144</v>
      </c>
      <c r="G124" s="175" t="s">
        <v>145</v>
      </c>
      <c r="H124" s="175" t="s">
        <v>146</v>
      </c>
      <c r="I124" s="175" t="s">
        <v>147</v>
      </c>
      <c r="J124" s="175" t="s">
        <v>148</v>
      </c>
      <c r="K124" s="175" t="s">
        <v>149</v>
      </c>
      <c r="L124" s="176" t="s">
        <v>150</v>
      </c>
    </row>
    <row r="125" spans="1:12">
      <c r="A125" s="1321"/>
      <c r="B125" s="178" t="s">
        <v>153</v>
      </c>
      <c r="C125" s="181"/>
      <c r="D125" s="181"/>
      <c r="E125" s="181"/>
      <c r="F125" s="181"/>
      <c r="G125" s="181"/>
      <c r="H125" s="181"/>
      <c r="I125" s="181"/>
      <c r="J125" s="181"/>
      <c r="K125" s="181"/>
      <c r="L125" s="182"/>
    </row>
    <row r="126" spans="1:12">
      <c r="A126" s="1321"/>
      <c r="B126" s="173" t="s">
        <v>297</v>
      </c>
      <c r="C126" s="187">
        <v>6.0999999999999999E-2</v>
      </c>
      <c r="D126" s="187">
        <v>6.0999999999999999E-2</v>
      </c>
      <c r="E126" s="187">
        <v>6.0999999999999999E-2</v>
      </c>
      <c r="F126" s="187">
        <v>6.0999999999999999E-2</v>
      </c>
      <c r="G126" s="187">
        <v>6.0999999999999999E-2</v>
      </c>
      <c r="H126" s="187">
        <v>6.0999999999999999E-2</v>
      </c>
      <c r="I126" s="187">
        <v>6.0999999999999999E-2</v>
      </c>
      <c r="J126" s="187">
        <v>6.0999999999999999E-2</v>
      </c>
      <c r="K126" s="187">
        <v>6.0999999999999999E-2</v>
      </c>
      <c r="L126" s="188">
        <v>6.0999999999999999E-2</v>
      </c>
    </row>
    <row r="127" spans="1:12">
      <c r="A127" s="1321"/>
      <c r="B127" s="173" t="s">
        <v>298</v>
      </c>
      <c r="C127" s="187">
        <v>0.69</v>
      </c>
      <c r="D127" s="187">
        <v>0.69</v>
      </c>
      <c r="E127" s="187">
        <v>0.69</v>
      </c>
      <c r="F127" s="187">
        <v>0.69</v>
      </c>
      <c r="G127" s="187">
        <v>0.69</v>
      </c>
      <c r="H127" s="187">
        <v>0.69</v>
      </c>
      <c r="I127" s="187">
        <v>0.69</v>
      </c>
      <c r="J127" s="187">
        <v>0.69</v>
      </c>
      <c r="K127" s="187">
        <v>0.69</v>
      </c>
      <c r="L127" s="188">
        <v>0.69</v>
      </c>
    </row>
    <row r="128" spans="1:12">
      <c r="A128" s="1321"/>
      <c r="B128" s="173" t="s">
        <v>299</v>
      </c>
      <c r="C128" s="187">
        <v>7.9000000000000001E-2</v>
      </c>
      <c r="D128" s="187">
        <v>7.9000000000000001E-2</v>
      </c>
      <c r="E128" s="187">
        <v>7.9000000000000001E-2</v>
      </c>
      <c r="F128" s="187">
        <v>7.9000000000000001E-2</v>
      </c>
      <c r="G128" s="187">
        <v>7.9000000000000001E-2</v>
      </c>
      <c r="H128" s="187">
        <v>7.9000000000000001E-2</v>
      </c>
      <c r="I128" s="187">
        <v>7.9000000000000001E-2</v>
      </c>
      <c r="J128" s="187">
        <v>7.9000000000000001E-2</v>
      </c>
      <c r="K128" s="187">
        <v>7.9000000000000001E-2</v>
      </c>
      <c r="L128" s="188">
        <v>7.9000000000000001E-2</v>
      </c>
    </row>
    <row r="129" spans="2:34">
      <c r="B129" s="173" t="s">
        <v>300</v>
      </c>
      <c r="C129" s="187">
        <v>2.1000000000000001E-2</v>
      </c>
      <c r="D129" s="187">
        <v>2.1000000000000001E-2</v>
      </c>
      <c r="E129" s="187">
        <v>2.1000000000000001E-2</v>
      </c>
      <c r="F129" s="187">
        <v>2.1000000000000001E-2</v>
      </c>
      <c r="G129" s="187">
        <v>2.1000000000000001E-2</v>
      </c>
      <c r="H129" s="187">
        <v>2.1000000000000001E-2</v>
      </c>
      <c r="I129" s="187">
        <v>2.1000000000000001E-2</v>
      </c>
      <c r="J129" s="187">
        <v>2.1000000000000001E-2</v>
      </c>
      <c r="K129" s="187">
        <v>2.1000000000000001E-2</v>
      </c>
      <c r="L129" s="188">
        <v>2.1000000000000001E-2</v>
      </c>
      <c r="M129" s="1321"/>
      <c r="N129" s="1321"/>
      <c r="O129" s="1321"/>
      <c r="P129" s="1321"/>
      <c r="Q129" s="1321"/>
      <c r="R129" s="1321"/>
      <c r="S129" s="1321"/>
      <c r="T129" s="1321"/>
      <c r="U129" s="1321"/>
      <c r="V129" s="1321"/>
      <c r="W129" s="1321"/>
      <c r="X129" s="1321"/>
      <c r="Y129" s="1321"/>
      <c r="Z129" s="1321"/>
      <c r="AA129" s="1321"/>
      <c r="AB129" s="1321"/>
      <c r="AC129" s="1321"/>
      <c r="AD129" s="1321"/>
    </row>
    <row r="130" spans="2:34">
      <c r="B130" s="173" t="s">
        <v>301</v>
      </c>
      <c r="C130" s="187">
        <v>0.14099999999999999</v>
      </c>
      <c r="D130" s="187">
        <v>0.14099999999999999</v>
      </c>
      <c r="E130" s="187">
        <v>0.14099999999999999</v>
      </c>
      <c r="F130" s="187">
        <v>0.14099999999999999</v>
      </c>
      <c r="G130" s="187">
        <v>0.14099999999999999</v>
      </c>
      <c r="H130" s="187">
        <v>0.14099999999999999</v>
      </c>
      <c r="I130" s="187">
        <v>0.14099999999999999</v>
      </c>
      <c r="J130" s="187">
        <v>0.14099999999999999</v>
      </c>
      <c r="K130" s="187">
        <v>0.14099999999999999</v>
      </c>
      <c r="L130" s="188">
        <v>0.14099999999999999</v>
      </c>
      <c r="M130" s="1321"/>
      <c r="N130" s="1321"/>
      <c r="O130" s="1321"/>
      <c r="P130" s="1321"/>
      <c r="Q130" s="1321"/>
      <c r="R130" s="1321"/>
      <c r="S130" s="1321"/>
      <c r="T130" s="1321"/>
      <c r="U130" s="1321"/>
      <c r="V130" s="1321"/>
      <c r="W130" s="1321"/>
      <c r="X130" s="1321"/>
      <c r="Y130" s="1321"/>
      <c r="Z130" s="1321"/>
      <c r="AA130" s="1321"/>
      <c r="AB130" s="1321"/>
      <c r="AC130" s="1321"/>
      <c r="AD130" s="1321"/>
    </row>
    <row r="131" spans="2:34">
      <c r="B131" s="174" t="s">
        <v>262</v>
      </c>
      <c r="C131" s="185">
        <f t="shared" ref="C131:L131" si="1">1-SUM(C126:C130)</f>
        <v>8.0000000000001181E-3</v>
      </c>
      <c r="D131" s="185">
        <f t="shared" si="1"/>
        <v>8.0000000000001181E-3</v>
      </c>
      <c r="E131" s="185">
        <f t="shared" si="1"/>
        <v>8.0000000000001181E-3</v>
      </c>
      <c r="F131" s="185">
        <f t="shared" si="1"/>
        <v>8.0000000000001181E-3</v>
      </c>
      <c r="G131" s="185">
        <f t="shared" si="1"/>
        <v>8.0000000000001181E-3</v>
      </c>
      <c r="H131" s="185">
        <f t="shared" si="1"/>
        <v>8.0000000000001181E-3</v>
      </c>
      <c r="I131" s="185">
        <f t="shared" si="1"/>
        <v>8.0000000000001181E-3</v>
      </c>
      <c r="J131" s="185">
        <f t="shared" si="1"/>
        <v>8.0000000000001181E-3</v>
      </c>
      <c r="K131" s="185">
        <f t="shared" si="1"/>
        <v>8.0000000000001181E-3</v>
      </c>
      <c r="L131" s="186">
        <f t="shared" si="1"/>
        <v>8.0000000000001181E-3</v>
      </c>
      <c r="M131" s="1321"/>
      <c r="N131" s="1321"/>
      <c r="O131" s="1321"/>
      <c r="P131" s="1321"/>
      <c r="Q131" s="1321"/>
      <c r="R131" s="1321"/>
      <c r="S131" s="1321"/>
      <c r="T131" s="1321"/>
      <c r="U131" s="1321"/>
      <c r="V131" s="1321"/>
      <c r="W131" s="1321"/>
      <c r="X131" s="1321"/>
      <c r="Y131" s="1321"/>
      <c r="Z131" s="1321"/>
      <c r="AA131" s="1321"/>
      <c r="AB131" s="1321"/>
      <c r="AC131" s="1321"/>
      <c r="AD131" s="1321"/>
    </row>
    <row r="132" spans="2:34">
      <c r="B132" s="177" t="s">
        <v>154</v>
      </c>
      <c r="C132" s="183"/>
      <c r="D132" s="183"/>
      <c r="E132" s="183"/>
      <c r="F132" s="183"/>
      <c r="G132" s="183"/>
      <c r="H132" s="183"/>
      <c r="I132" s="183"/>
      <c r="J132" s="183"/>
      <c r="K132" s="183"/>
      <c r="L132" s="184"/>
      <c r="M132" s="1321"/>
      <c r="N132" s="1321"/>
      <c r="O132" s="1321"/>
      <c r="P132" s="1321"/>
      <c r="Q132" s="1321"/>
      <c r="R132" s="1321"/>
      <c r="S132" s="1321"/>
      <c r="T132" s="1321"/>
      <c r="U132" s="1321"/>
      <c r="V132" s="1321"/>
      <c r="W132" s="1321"/>
      <c r="X132" s="1321"/>
      <c r="Y132" s="1321"/>
      <c r="Z132" s="1321"/>
      <c r="AA132" s="1321"/>
      <c r="AB132" s="1321"/>
      <c r="AC132" s="1321"/>
      <c r="AD132" s="1321"/>
    </row>
    <row r="133" spans="2:34">
      <c r="B133" s="173" t="s">
        <v>302</v>
      </c>
      <c r="C133" s="183"/>
      <c r="D133" s="183"/>
      <c r="E133" s="187">
        <v>0.12</v>
      </c>
      <c r="F133" s="187">
        <v>0.12</v>
      </c>
      <c r="G133" s="187">
        <v>0.12</v>
      </c>
      <c r="H133" s="187">
        <v>0.12</v>
      </c>
      <c r="I133" s="187">
        <v>0.12</v>
      </c>
      <c r="J133" s="187">
        <v>0.12</v>
      </c>
      <c r="K133" s="187">
        <v>0.12</v>
      </c>
      <c r="L133" s="188">
        <v>0.12</v>
      </c>
      <c r="M133" s="1159"/>
      <c r="N133" s="1321"/>
      <c r="O133" s="1321"/>
      <c r="P133" s="1321"/>
      <c r="Q133" s="1321"/>
      <c r="R133" s="1321"/>
      <c r="S133" s="1321"/>
      <c r="T133" s="1321"/>
      <c r="U133" s="1321"/>
      <c r="V133" s="1321"/>
      <c r="W133" s="1321"/>
      <c r="X133" s="1321"/>
      <c r="Y133" s="1321"/>
      <c r="Z133" s="1321"/>
      <c r="AA133" s="1321"/>
      <c r="AB133" s="1321"/>
      <c r="AC133" s="1321"/>
      <c r="AD133" s="1321"/>
    </row>
    <row r="134" spans="2:34">
      <c r="B134" s="173" t="s">
        <v>251</v>
      </c>
      <c r="C134" s="183"/>
      <c r="D134" s="183"/>
      <c r="E134" s="187">
        <v>0.23699999999999999</v>
      </c>
      <c r="F134" s="187">
        <v>0.23699999999999999</v>
      </c>
      <c r="G134" s="187">
        <v>0.23699999999999999</v>
      </c>
      <c r="H134" s="187">
        <v>0.23699999999999999</v>
      </c>
      <c r="I134" s="187">
        <v>0.23699999999999999</v>
      </c>
      <c r="J134" s="187">
        <v>0.23699999999999999</v>
      </c>
      <c r="K134" s="187">
        <v>0.23699999999999999</v>
      </c>
      <c r="L134" s="188">
        <v>0.23699999999999999</v>
      </c>
      <c r="M134" s="1321"/>
      <c r="N134" s="1321"/>
      <c r="O134" s="1321"/>
      <c r="P134" s="1321"/>
      <c r="Q134" s="1321"/>
      <c r="R134" s="1321"/>
      <c r="S134" s="1321"/>
      <c r="T134" s="1321"/>
      <c r="U134" s="1321"/>
      <c r="V134" s="1321"/>
      <c r="W134" s="1321"/>
      <c r="X134" s="1321"/>
      <c r="Y134" s="1321"/>
      <c r="Z134" s="1321"/>
      <c r="AA134" s="1321"/>
      <c r="AB134" s="1321"/>
      <c r="AC134" s="1321"/>
      <c r="AD134" s="1321"/>
    </row>
    <row r="135" spans="2:34">
      <c r="B135" s="173" t="s">
        <v>303</v>
      </c>
      <c r="C135" s="183"/>
      <c r="D135" s="183"/>
      <c r="E135" s="187">
        <v>5.0000000000000001E-3</v>
      </c>
      <c r="F135" s="187">
        <v>5.0000000000000001E-3</v>
      </c>
      <c r="G135" s="187">
        <v>5.0000000000000001E-3</v>
      </c>
      <c r="H135" s="187">
        <v>5.0000000000000001E-3</v>
      </c>
      <c r="I135" s="187">
        <v>5.0000000000000001E-3</v>
      </c>
      <c r="J135" s="187">
        <v>5.0000000000000001E-3</v>
      </c>
      <c r="K135" s="187">
        <v>5.0000000000000001E-3</v>
      </c>
      <c r="L135" s="188">
        <v>5.0000000000000001E-3</v>
      </c>
      <c r="M135" s="1321"/>
      <c r="N135" s="1321"/>
      <c r="O135" s="1321"/>
      <c r="P135" s="1321"/>
      <c r="Q135" s="1321"/>
      <c r="R135" s="1321"/>
      <c r="S135" s="1321"/>
      <c r="T135" s="1321"/>
      <c r="U135" s="1321"/>
      <c r="V135" s="1321"/>
      <c r="W135" s="1321"/>
      <c r="X135" s="1321"/>
      <c r="Y135" s="1321"/>
      <c r="Z135" s="1321"/>
      <c r="AA135" s="1321"/>
      <c r="AB135" s="1321"/>
      <c r="AC135" s="1321"/>
      <c r="AD135" s="1321"/>
    </row>
    <row r="136" spans="2:34">
      <c r="B136" s="173" t="s">
        <v>275</v>
      </c>
      <c r="C136" s="183"/>
      <c r="D136" s="183"/>
      <c r="E136" s="187">
        <v>3.9E-2</v>
      </c>
      <c r="F136" s="187">
        <v>3.9E-2</v>
      </c>
      <c r="G136" s="187">
        <v>3.9E-2</v>
      </c>
      <c r="H136" s="187">
        <v>3.9E-2</v>
      </c>
      <c r="I136" s="187">
        <v>3.9E-2</v>
      </c>
      <c r="J136" s="187">
        <v>3.9E-2</v>
      </c>
      <c r="K136" s="187">
        <v>3.9E-2</v>
      </c>
      <c r="L136" s="188">
        <v>3.9E-2</v>
      </c>
      <c r="M136" s="1321"/>
      <c r="N136" s="1321"/>
      <c r="O136" s="1321"/>
      <c r="P136" s="1321"/>
      <c r="Q136" s="1321"/>
      <c r="R136" s="1321"/>
      <c r="S136" s="1321"/>
      <c r="T136" s="1321"/>
      <c r="U136" s="1321"/>
      <c r="V136" s="1321"/>
      <c r="W136" s="1321"/>
      <c r="X136" s="1321"/>
      <c r="Y136" s="1321"/>
      <c r="Z136" s="1321"/>
      <c r="AA136" s="1321"/>
      <c r="AB136" s="1321"/>
      <c r="AC136" s="1321"/>
      <c r="AD136" s="1321"/>
    </row>
    <row r="137" spans="2:34">
      <c r="B137" s="173" t="s">
        <v>256</v>
      </c>
      <c r="C137" s="183"/>
      <c r="D137" s="183"/>
      <c r="E137" s="187">
        <v>0.01</v>
      </c>
      <c r="F137" s="187">
        <v>0.01</v>
      </c>
      <c r="G137" s="187">
        <v>0.01</v>
      </c>
      <c r="H137" s="187">
        <v>0.01</v>
      </c>
      <c r="I137" s="187">
        <v>0.01</v>
      </c>
      <c r="J137" s="187">
        <v>0.01</v>
      </c>
      <c r="K137" s="187">
        <v>0.01</v>
      </c>
      <c r="L137" s="188">
        <v>0.01</v>
      </c>
      <c r="M137" s="1321"/>
      <c r="N137" s="1321"/>
      <c r="O137" s="1321"/>
      <c r="P137" s="1321"/>
      <c r="Q137" s="1321"/>
      <c r="R137" s="1321"/>
      <c r="S137" s="1321"/>
      <c r="T137" s="1321"/>
      <c r="U137" s="1321"/>
      <c r="V137" s="1321"/>
      <c r="W137" s="1321"/>
      <c r="X137" s="1321"/>
      <c r="Y137" s="1321"/>
      <c r="Z137" s="1321"/>
      <c r="AA137" s="1321"/>
      <c r="AB137" s="1321"/>
      <c r="AC137" s="1321"/>
      <c r="AD137" s="1321"/>
    </row>
    <row r="138" spans="2:34">
      <c r="B138" s="160" t="s">
        <v>304</v>
      </c>
      <c r="C138" s="183"/>
      <c r="D138" s="183"/>
      <c r="E138" s="187">
        <v>1.7999999999999999E-2</v>
      </c>
      <c r="F138" s="187">
        <v>1.7999999999999999E-2</v>
      </c>
      <c r="G138" s="187">
        <v>1.7999999999999999E-2</v>
      </c>
      <c r="H138" s="187">
        <v>1.7999999999999999E-2</v>
      </c>
      <c r="I138" s="187">
        <v>1.7999999999999999E-2</v>
      </c>
      <c r="J138" s="187">
        <v>1.7999999999999999E-2</v>
      </c>
      <c r="K138" s="187">
        <v>1.7999999999999999E-2</v>
      </c>
      <c r="L138" s="188">
        <v>1.7999999999999999E-2</v>
      </c>
      <c r="M138" s="1321"/>
      <c r="N138" s="1321"/>
      <c r="O138" s="1321"/>
      <c r="P138" s="1321"/>
      <c r="Q138" s="1321"/>
      <c r="R138" s="1321"/>
      <c r="S138" s="1321"/>
      <c r="T138" s="1321"/>
      <c r="U138" s="1321"/>
      <c r="V138" s="1321"/>
      <c r="W138" s="1321"/>
      <c r="X138" s="1321"/>
      <c r="Y138" s="1321"/>
      <c r="Z138" s="1321"/>
      <c r="AA138" s="1321"/>
      <c r="AB138" s="1321"/>
      <c r="AC138" s="1321"/>
      <c r="AD138" s="1321"/>
    </row>
    <row r="139" spans="2:34">
      <c r="B139" s="173" t="s">
        <v>272</v>
      </c>
      <c r="C139" s="183"/>
      <c r="D139" s="183"/>
      <c r="E139" s="187">
        <v>0.28199999999999997</v>
      </c>
      <c r="F139" s="187">
        <v>0.28199999999999997</v>
      </c>
      <c r="G139" s="187">
        <v>0.28199999999999997</v>
      </c>
      <c r="H139" s="187">
        <v>0.28199999999999997</v>
      </c>
      <c r="I139" s="187">
        <v>0.28199999999999997</v>
      </c>
      <c r="J139" s="187">
        <v>0.28199999999999997</v>
      </c>
      <c r="K139" s="187">
        <v>0.28199999999999997</v>
      </c>
      <c r="L139" s="188">
        <v>0.28199999999999997</v>
      </c>
      <c r="M139" s="1321"/>
      <c r="N139" s="1321"/>
      <c r="O139" s="1321"/>
      <c r="P139" s="1321"/>
      <c r="Q139" s="1321"/>
      <c r="R139" s="1321"/>
      <c r="S139" s="1321"/>
      <c r="T139" s="1321"/>
      <c r="U139" s="1321"/>
      <c r="V139" s="1321"/>
      <c r="W139" s="1321"/>
      <c r="X139" s="1321"/>
      <c r="Y139" s="1321"/>
      <c r="Z139" s="1321"/>
      <c r="AA139" s="1321"/>
      <c r="AB139" s="1321"/>
      <c r="AC139" s="1321"/>
      <c r="AD139" s="1321"/>
    </row>
    <row r="140" spans="2:34">
      <c r="B140" s="173" t="s">
        <v>305</v>
      </c>
      <c r="C140" s="183"/>
      <c r="D140" s="183"/>
      <c r="E140" s="187">
        <v>6.3E-2</v>
      </c>
      <c r="F140" s="187">
        <v>6.3E-2</v>
      </c>
      <c r="G140" s="187">
        <v>6.3E-2</v>
      </c>
      <c r="H140" s="187">
        <v>6.3E-2</v>
      </c>
      <c r="I140" s="187">
        <v>6.3E-2</v>
      </c>
      <c r="J140" s="187">
        <v>6.3E-2</v>
      </c>
      <c r="K140" s="187">
        <v>6.3E-2</v>
      </c>
      <c r="L140" s="188">
        <v>6.3E-2</v>
      </c>
      <c r="M140" s="1321"/>
      <c r="N140" s="1321"/>
      <c r="O140" s="1321"/>
      <c r="P140" s="1321"/>
      <c r="Q140" s="1321"/>
      <c r="R140" s="1321"/>
      <c r="S140" s="1321"/>
      <c r="T140" s="1321"/>
      <c r="U140" s="1321"/>
      <c r="V140" s="1321"/>
      <c r="W140" s="1321"/>
      <c r="X140" s="1321"/>
      <c r="Y140" s="1321"/>
      <c r="Z140" s="1321"/>
      <c r="AA140" s="1321"/>
      <c r="AB140" s="1321"/>
      <c r="AC140" s="1321"/>
      <c r="AD140" s="1321"/>
    </row>
    <row r="141" spans="2:34">
      <c r="B141" s="173" t="s">
        <v>306</v>
      </c>
      <c r="C141" s="183"/>
      <c r="D141" s="183"/>
      <c r="E141" s="187">
        <v>0.22500000000000001</v>
      </c>
      <c r="F141" s="187">
        <v>0.22500000000000001</v>
      </c>
      <c r="G141" s="187">
        <v>0.22500000000000001</v>
      </c>
      <c r="H141" s="187">
        <v>0.22500000000000001</v>
      </c>
      <c r="I141" s="187">
        <v>0.22500000000000001</v>
      </c>
      <c r="J141" s="187">
        <v>0.22500000000000001</v>
      </c>
      <c r="K141" s="187">
        <v>0.22500000000000001</v>
      </c>
      <c r="L141" s="188">
        <v>0.22500000000000001</v>
      </c>
      <c r="M141" s="1321"/>
      <c r="N141" s="1321"/>
      <c r="O141" s="1321"/>
      <c r="P141" s="1321"/>
      <c r="Q141" s="1321"/>
      <c r="R141" s="1321"/>
      <c r="S141" s="1321"/>
      <c r="T141" s="1321"/>
      <c r="U141" s="8"/>
      <c r="V141" s="8"/>
      <c r="W141" s="8"/>
      <c r="X141" s="8"/>
      <c r="Y141" s="8"/>
      <c r="Z141" s="8"/>
      <c r="AA141" s="8"/>
      <c r="AB141" s="8"/>
      <c r="AC141" s="8"/>
      <c r="AD141" s="8"/>
      <c r="AE141" s="8"/>
      <c r="AF141" s="8"/>
      <c r="AG141" s="8"/>
    </row>
    <row r="142" spans="2:34">
      <c r="B142" s="173" t="s">
        <v>261</v>
      </c>
      <c r="C142" s="183"/>
      <c r="D142" s="183"/>
      <c r="E142" s="183">
        <f t="shared" ref="E142:L142" si="2">1-SUM(E133:E141)</f>
        <v>1.0000000000000009E-3</v>
      </c>
      <c r="F142" s="183">
        <f t="shared" si="2"/>
        <v>1.0000000000000009E-3</v>
      </c>
      <c r="G142" s="183">
        <f t="shared" si="2"/>
        <v>1.0000000000000009E-3</v>
      </c>
      <c r="H142" s="183">
        <f t="shared" si="2"/>
        <v>1.0000000000000009E-3</v>
      </c>
      <c r="I142" s="183">
        <f t="shared" si="2"/>
        <v>1.0000000000000009E-3</v>
      </c>
      <c r="J142" s="183">
        <f t="shared" si="2"/>
        <v>1.0000000000000009E-3</v>
      </c>
      <c r="K142" s="183">
        <f t="shared" si="2"/>
        <v>1.0000000000000009E-3</v>
      </c>
      <c r="L142" s="184">
        <f t="shared" si="2"/>
        <v>1.0000000000000009E-3</v>
      </c>
      <c r="M142" s="1321"/>
      <c r="N142" s="521"/>
      <c r="O142" s="1321"/>
      <c r="P142" s="1321"/>
      <c r="Q142" s="1321"/>
      <c r="R142" s="1321"/>
      <c r="S142" s="1321"/>
      <c r="T142" s="1321"/>
      <c r="U142" s="8"/>
      <c r="V142" s="8"/>
      <c r="W142" s="8"/>
      <c r="X142" s="8"/>
      <c r="Y142" s="8"/>
      <c r="Z142" s="8"/>
      <c r="AA142" s="8"/>
      <c r="AB142" s="8"/>
      <c r="AC142" s="8"/>
      <c r="AD142" s="8"/>
      <c r="AE142" s="8"/>
      <c r="AF142" s="8"/>
      <c r="AG142" s="8"/>
    </row>
    <row r="143" spans="2:34">
      <c r="B143" s="178" t="s">
        <v>155</v>
      </c>
      <c r="C143" s="181"/>
      <c r="D143" s="181"/>
      <c r="E143" s="181"/>
      <c r="F143" s="181"/>
      <c r="G143" s="181"/>
      <c r="H143" s="181"/>
      <c r="I143" s="181"/>
      <c r="J143" s="181"/>
      <c r="K143" s="181"/>
      <c r="L143" s="182"/>
      <c r="M143" s="1321"/>
      <c r="N143" s="1321"/>
      <c r="O143" s="1321"/>
      <c r="P143" s="1321"/>
      <c r="Q143" s="1321"/>
      <c r="R143" s="1321"/>
      <c r="S143" s="1321"/>
      <c r="T143" s="1321"/>
      <c r="U143" s="8"/>
      <c r="V143" s="8"/>
      <c r="W143" s="8"/>
      <c r="X143" s="8"/>
      <c r="Y143" s="8"/>
      <c r="Z143" s="8"/>
      <c r="AA143" s="8"/>
      <c r="AB143" s="8"/>
      <c r="AC143" s="8"/>
      <c r="AD143" s="8"/>
      <c r="AE143" s="8"/>
      <c r="AF143" s="8"/>
      <c r="AG143" s="8"/>
      <c r="AH143" s="8"/>
    </row>
    <row r="144" spans="2:34">
      <c r="B144" s="177"/>
      <c r="C144" s="183"/>
      <c r="D144" s="183"/>
      <c r="E144" s="183"/>
      <c r="F144" s="183"/>
      <c r="G144" s="183"/>
      <c r="H144" s="183"/>
      <c r="I144" s="183"/>
      <c r="J144" s="183"/>
      <c r="K144" s="183"/>
      <c r="L144" s="184"/>
      <c r="M144" s="135" t="s">
        <v>194</v>
      </c>
      <c r="N144" s="1608"/>
      <c r="O144" s="1608"/>
      <c r="P144" s="135" t="s">
        <v>307</v>
      </c>
      <c r="Q144" s="1608"/>
      <c r="R144" s="525"/>
      <c r="S144" s="1608" t="s">
        <v>308</v>
      </c>
      <c r="T144" s="1608"/>
      <c r="U144" s="1608"/>
      <c r="V144" s="135" t="s">
        <v>167</v>
      </c>
      <c r="W144" s="1608"/>
      <c r="X144" s="1608"/>
      <c r="Y144" s="1608"/>
      <c r="Z144" s="1608"/>
      <c r="AA144" s="1608"/>
      <c r="AB144" s="1608"/>
      <c r="AC144" s="1608"/>
      <c r="AD144" s="525"/>
      <c r="AE144" s="8"/>
      <c r="AF144" s="8"/>
      <c r="AG144" s="8"/>
      <c r="AH144" s="8"/>
    </row>
    <row r="145" spans="2:34">
      <c r="B145" s="177"/>
      <c r="C145" s="183"/>
      <c r="D145" s="183"/>
      <c r="E145" s="183"/>
      <c r="F145" s="183"/>
      <c r="G145" s="183"/>
      <c r="H145" s="302"/>
      <c r="I145" s="302"/>
      <c r="J145" s="302"/>
      <c r="K145" s="302"/>
      <c r="L145" s="184"/>
      <c r="M145" s="161" t="s">
        <v>212</v>
      </c>
      <c r="N145" s="548" t="s">
        <v>213</v>
      </c>
      <c r="O145" s="548" t="s">
        <v>214</v>
      </c>
      <c r="P145" s="161" t="s">
        <v>212</v>
      </c>
      <c r="Q145" s="548" t="s">
        <v>213</v>
      </c>
      <c r="R145" s="136" t="s">
        <v>214</v>
      </c>
      <c r="S145" s="548" t="s">
        <v>212</v>
      </c>
      <c r="T145" s="548" t="s">
        <v>213</v>
      </c>
      <c r="U145" s="548" t="s">
        <v>214</v>
      </c>
      <c r="V145" s="161" t="s">
        <v>212</v>
      </c>
      <c r="W145" s="548" t="s">
        <v>213</v>
      </c>
      <c r="X145" s="548" t="s">
        <v>214</v>
      </c>
      <c r="Y145" s="548" t="s">
        <v>221</v>
      </c>
      <c r="Z145" s="548" t="s">
        <v>222</v>
      </c>
      <c r="AA145" s="548" t="s">
        <v>223</v>
      </c>
      <c r="AB145" s="548" t="s">
        <v>224</v>
      </c>
      <c r="AC145" s="548" t="s">
        <v>225</v>
      </c>
      <c r="AD145" s="136" t="s">
        <v>226</v>
      </c>
      <c r="AE145" s="8"/>
      <c r="AF145" s="8"/>
      <c r="AG145" s="8"/>
      <c r="AH145" s="8"/>
    </row>
    <row r="146" spans="2:34">
      <c r="B146" s="173" t="s">
        <v>309</v>
      </c>
      <c r="C146" s="183"/>
      <c r="D146" s="183"/>
      <c r="E146" s="302">
        <f>IF(Vehi_Inputs!$C$102=2,N146,IF(OR(Vehi_Inputs!$C$102=3,Vehi_Inputs!$C$102=4),O146,M146))</f>
        <v>0.19048312960116398</v>
      </c>
      <c r="F146" s="302">
        <f>IF(Vehi_Inputs!$C$102=2,N146,IF(OR(Vehi_Inputs!$C$102=3,Vehi_Inputs!$C$102=4),O146,M146))</f>
        <v>0.19048312960116398</v>
      </c>
      <c r="G146" s="302">
        <f>IF(GREET1_Import_Export!$D$12&gt;=30,IF(Vehi_Inputs!$C$103=2,T146,IF(OR(Vehi_Inputs!$C$103=3,Vehi_Inputs!$C$103=4),U146,S146)),IF(Vehi_Inputs!$C$103=2,Q146,IF(OR(Vehi_Inputs!$C$103=3,Vehi_Inputs!$C$103=4),R146,P146)))</f>
        <v>0.27381624514093378</v>
      </c>
      <c r="H146" s="302">
        <f>IF(GREET1_Import_Export!$D$12&gt;=30,IF(Vehi_Inputs!$C$103=2,T146,IF(OR(Vehi_Inputs!$C$103=3,Vehi_Inputs!$C$103=4),U146,S146)),IF(Vehi_Inputs!$C$103=2,Q146,IF(OR(Vehi_Inputs!$C$103=3,Vehi_Inputs!$C$103=4),R146,P146)))</f>
        <v>0.27381624514093378</v>
      </c>
      <c r="I146" s="302">
        <f>IF(Vehi_Inputs!$C$104=2,W146,IF(OR(Vehi_Inputs!$C$104=3,Vehi_Inputs!$C$104=4),X146,IF(Vehi_Inputs!$C$104=5,Y146,IF(Vehi_Inputs!$C$104=6,Z146,IF(Vehi_Inputs!$C$104=7,AA146,IF(Vehi_Inputs!$C$104=8,AB146,IF(Vehi_Inputs!$C$104=9,AC146, IF(Vehi_Inputs!$C$104=10, AD146,V146))))))))</f>
        <v>0.38166128739196642</v>
      </c>
      <c r="J146" s="302">
        <f>IF(Vehi_Inputs!$C$104=2,W146,IF(OR(Vehi_Inputs!$C$104=3,Vehi_Inputs!$C$104=4),X146,IF(Vehi_Inputs!$C$104=5,Y146,IF(Vehi_Inputs!$C$104=6,Z146,IF(Vehi_Inputs!$C$104=7,AA146,IF(Vehi_Inputs!$C$104=8,AB146,IF(Vehi_Inputs!$C$104=9,AC146,IF(Vehi_Inputs!$C$104=10, AD146, V146))))))))</f>
        <v>0.38166128739196642</v>
      </c>
      <c r="K146" s="302">
        <f>IF(Vehi_Inputs!$C$105=2,N146,IF(OR(Vehi_Inputs!$C$105=3,Vehi_Inputs!$C$105=4),O146,M146))</f>
        <v>0.19048312960116398</v>
      </c>
      <c r="L146" s="593">
        <f>IF(Vehi_Inputs!$C$105=2,N146,IF(OR(Vehi_Inputs!$C$105=3,Vehi_Inputs!$C$105=4),O146,M146))</f>
        <v>0.19048312960116398</v>
      </c>
      <c r="M146" s="928">
        <v>0.24714058269717448</v>
      </c>
      <c r="N146" s="927">
        <v>0.19048312960116398</v>
      </c>
      <c r="O146" s="927">
        <v>0.14921248154027264</v>
      </c>
      <c r="P146" s="928">
        <v>0.34446204425625582</v>
      </c>
      <c r="Q146" s="927">
        <v>0.27381624514093378</v>
      </c>
      <c r="R146" s="930">
        <v>0.21854587137749909</v>
      </c>
      <c r="S146" s="927">
        <v>0.36190288758755501</v>
      </c>
      <c r="T146" s="927">
        <v>0.30810284651822201</v>
      </c>
      <c r="U146" s="927">
        <v>0.26235786161624053</v>
      </c>
      <c r="V146" s="928">
        <v>0.43460186251013871</v>
      </c>
      <c r="W146" s="927">
        <v>0.38166128739196642</v>
      </c>
      <c r="X146" s="927">
        <v>0.35963976584124535</v>
      </c>
      <c r="Y146" s="927">
        <v>0.36096080492693366</v>
      </c>
      <c r="Z146" s="927">
        <v>0.31538309651365559</v>
      </c>
      <c r="AA146" s="927">
        <v>0.19520000000000001</v>
      </c>
      <c r="AB146" s="927">
        <v>0.23868549869820699</v>
      </c>
      <c r="AC146" s="927">
        <v>0.34579482413318302</v>
      </c>
      <c r="AD146" s="930">
        <v>0.38559200858705189</v>
      </c>
      <c r="AE146" s="8"/>
      <c r="AF146" s="8"/>
      <c r="AG146" s="8"/>
      <c r="AH146" s="8"/>
    </row>
    <row r="147" spans="2:34">
      <c r="B147" s="173" t="s">
        <v>310</v>
      </c>
      <c r="C147" s="183"/>
      <c r="D147" s="183"/>
      <c r="E147" s="302">
        <f>IF(Vehi_Inputs!$C$102=2,N147,IF(OR(Vehi_Inputs!$C$102=3,Vehi_Inputs!$C$102=4),O147,M147))</f>
        <v>0.10148960037342793</v>
      </c>
      <c r="F147" s="302">
        <f>IF(Vehi_Inputs!$C$102=2,N147,IF(OR(Vehi_Inputs!$C$102=3,Vehi_Inputs!$C$102=4),O147,M147))</f>
        <v>0.10148960037342793</v>
      </c>
      <c r="G147" s="302">
        <f>IF(GREET1_Import_Export!$D$12&gt;=30,IF(Vehi_Inputs!$C$103=2,T147,IF(OR(Vehi_Inputs!$C$103=3,Vehi_Inputs!$C$103=4),U147,S147)),IF(Vehi_Inputs!$C$103=2,Q147,IF(OR(Vehi_Inputs!$C$103=3,Vehi_Inputs!$C$103=4),R147,P147)))</f>
        <v>0.14494989886412499</v>
      </c>
      <c r="H147" s="302">
        <f>IF(GREET1_Import_Export!$D$12&gt;=30,IF(Vehi_Inputs!$C$103=2,T147,IF(OR(Vehi_Inputs!$C$103=3,Vehi_Inputs!$C$103=4),U147,S147)),IF(Vehi_Inputs!$C$103=2,Q147,IF(OR(Vehi_Inputs!$C$103=3,Vehi_Inputs!$C$103=4),R147,P147)))</f>
        <v>0.14494989886412499</v>
      </c>
      <c r="I147" s="302">
        <f>IF(Vehi_Inputs!$C$104=2,W147,IF(OR(Vehi_Inputs!$C$104=3,Vehi_Inputs!$C$104=4),X147,IF(Vehi_Inputs!$C$104=5,Y147,IF(Vehi_Inputs!$C$104=6,Z147,IF(Vehi_Inputs!$C$104=7,AA147,IF(Vehi_Inputs!$C$104=8,AB147,IF(Vehi_Inputs!$C$104=9,AC147, IF(Vehi_Inputs!$C$104=10, AD147,V147))))))))</f>
        <v>0.20169156627544349</v>
      </c>
      <c r="J147" s="302">
        <f>IF(Vehi_Inputs!$C$104=2,W147,IF(OR(Vehi_Inputs!$C$104=3,Vehi_Inputs!$C$104=4),X147,IF(Vehi_Inputs!$C$104=5,Y147,IF(Vehi_Inputs!$C$104=6,Z147,IF(Vehi_Inputs!$C$104=7,AA147,IF(Vehi_Inputs!$C$104=8,AB147,IF(Vehi_Inputs!$C$104=9,AC147,IF(Vehi_Inputs!$C$104=10, AD147, V147))))))))</f>
        <v>0.20169156627544349</v>
      </c>
      <c r="K147" s="302">
        <f>IF(Vehi_Inputs!$C$105=2,N147,IF(OR(Vehi_Inputs!$C$105=3,Vehi_Inputs!$C$105=4),O147,M147))</f>
        <v>0.10148960037342793</v>
      </c>
      <c r="L147" s="593">
        <f>IF(Vehi_Inputs!$C$105=2,N147,IF(OR(Vehi_Inputs!$C$105=3,Vehi_Inputs!$C$105=4),O147,M147))</f>
        <v>0.10148960037342793</v>
      </c>
      <c r="M147" s="928">
        <v>8.9421892791843274E-2</v>
      </c>
      <c r="N147" s="927">
        <v>0.10148960037342793</v>
      </c>
      <c r="O147" s="927">
        <v>7.9632341479003665E-2</v>
      </c>
      <c r="P147" s="928">
        <v>0.12382110269960492</v>
      </c>
      <c r="Q147" s="927">
        <v>0.14494989886412499</v>
      </c>
      <c r="R147" s="930">
        <v>0.11615111609664512</v>
      </c>
      <c r="S147" s="927">
        <v>0.12973811488967091</v>
      </c>
      <c r="T147" s="927">
        <v>0.16281596266369452</v>
      </c>
      <c r="U147" s="927">
        <v>0.13929804771068394</v>
      </c>
      <c r="V147" s="928">
        <v>0.15584377585107806</v>
      </c>
      <c r="W147" s="927">
        <v>0.20169156627544349</v>
      </c>
      <c r="X147" s="927">
        <v>0.19113257538735198</v>
      </c>
      <c r="Y147" s="927">
        <v>0.22068730336607609</v>
      </c>
      <c r="Z147" s="927">
        <v>0.24438558696679671</v>
      </c>
      <c r="AA147" s="927">
        <v>0.20219999999999999</v>
      </c>
      <c r="AB147" s="927">
        <v>5.5644789551493899E-2</v>
      </c>
      <c r="AC147" s="927">
        <v>0.23425365316020708</v>
      </c>
      <c r="AD147" s="930">
        <v>0.20565756139358829</v>
      </c>
      <c r="AE147" s="8"/>
      <c r="AF147" s="8"/>
      <c r="AG147" s="8"/>
      <c r="AH147" s="8"/>
    </row>
    <row r="148" spans="2:34">
      <c r="B148" s="173" t="s">
        <v>273</v>
      </c>
      <c r="C148" s="183"/>
      <c r="D148" s="183"/>
      <c r="E148" s="302">
        <f>IF(Vehi_Inputs!$C$102=2,N148,IF(OR(Vehi_Inputs!$C$102=3,Vehi_Inputs!$C$102=4),O148,M148))</f>
        <v>0</v>
      </c>
      <c r="F148" s="302">
        <f>IF(Vehi_Inputs!$C$102=2,N148,IF(OR(Vehi_Inputs!$C$102=3,Vehi_Inputs!$C$102=4),O148,M148))</f>
        <v>0</v>
      </c>
      <c r="G148" s="302">
        <f>IF(GREET1_Import_Export!$D$12&gt;=30,IF(Vehi_Inputs!$C$103=2,T148,IF(OR(Vehi_Inputs!$C$103=3,Vehi_Inputs!$C$103=4),U148,S148)),IF(Vehi_Inputs!$C$103=2,Q148,IF(OR(Vehi_Inputs!$C$103=3,Vehi_Inputs!$C$103=4),R148,P148)))</f>
        <v>0</v>
      </c>
      <c r="H148" s="302">
        <f>IF(GREET1_Import_Export!$D$12&gt;=30,IF(Vehi_Inputs!$C$103=2,T148,IF(OR(Vehi_Inputs!$C$103=3,Vehi_Inputs!$C$103=4),U148,S148)),IF(Vehi_Inputs!$C$103=2,Q148,IF(OR(Vehi_Inputs!$C$103=3,Vehi_Inputs!$C$103=4),R148,P148)))</f>
        <v>0</v>
      </c>
      <c r="I148" s="302">
        <f>IF(Vehi_Inputs!$C$104=2,W148,IF(OR(Vehi_Inputs!$C$104=3,Vehi_Inputs!$C$104=4),X148,IF(Vehi_Inputs!$C$104=5,Y148,IF(Vehi_Inputs!$C$104=6,Z148,IF(Vehi_Inputs!$C$104=7,AA148,IF(Vehi_Inputs!$C$104=8,AB148,IF(Vehi_Inputs!$C$104=9,AC148, IF(Vehi_Inputs!$C$104=10, AD148,V148))))))))</f>
        <v>0</v>
      </c>
      <c r="J148" s="302">
        <f>IF(Vehi_Inputs!$C$104=2,W148,IF(OR(Vehi_Inputs!$C$104=3,Vehi_Inputs!$C$104=4),X148,IF(Vehi_Inputs!$C$104=5,Y148,IF(Vehi_Inputs!$C$104=6,Z148,IF(Vehi_Inputs!$C$104=7,AA148,IF(Vehi_Inputs!$C$104=8,AB148,IF(Vehi_Inputs!$C$104=9,AC148,IF(Vehi_Inputs!$C$104=10, AD148, V148))))))))</f>
        <v>0</v>
      </c>
      <c r="K148" s="302">
        <f>IF(Vehi_Inputs!$C$105=2,N148,IF(OR(Vehi_Inputs!$C$105=3,Vehi_Inputs!$C$105=4),O148,M148))</f>
        <v>0</v>
      </c>
      <c r="L148" s="593">
        <f>IF(Vehi_Inputs!$C$105=2,N148,IF(OR(Vehi_Inputs!$C$105=3,Vehi_Inputs!$C$105=4),O148,M148))</f>
        <v>0</v>
      </c>
      <c r="M148" s="928">
        <v>0</v>
      </c>
      <c r="N148" s="927">
        <v>0</v>
      </c>
      <c r="O148" s="927">
        <v>0</v>
      </c>
      <c r="P148" s="928">
        <v>0</v>
      </c>
      <c r="Q148" s="927">
        <v>0</v>
      </c>
      <c r="R148" s="927">
        <v>0</v>
      </c>
      <c r="S148" s="928">
        <v>0</v>
      </c>
      <c r="T148" s="927">
        <v>0</v>
      </c>
      <c r="U148" s="927">
        <v>0</v>
      </c>
      <c r="V148" s="928">
        <v>0</v>
      </c>
      <c r="W148" s="927">
        <v>0</v>
      </c>
      <c r="X148" s="927">
        <v>0</v>
      </c>
      <c r="Y148" s="927">
        <v>0</v>
      </c>
      <c r="Z148" s="927">
        <v>0</v>
      </c>
      <c r="AA148" s="927">
        <v>0</v>
      </c>
      <c r="AB148" s="927">
        <v>1.6951556715386399E-2</v>
      </c>
      <c r="AC148" s="927">
        <v>0</v>
      </c>
      <c r="AD148" s="930">
        <v>0</v>
      </c>
      <c r="AE148" s="8"/>
      <c r="AF148" s="8"/>
      <c r="AG148" s="8"/>
      <c r="AH148" s="8"/>
    </row>
    <row r="149" spans="2:34">
      <c r="B149" s="173" t="s">
        <v>311</v>
      </c>
      <c r="C149" s="183"/>
      <c r="D149" s="183"/>
      <c r="E149" s="302">
        <f>IF(Vehi_Inputs!$C$102=2,N149,IF(OR(Vehi_Inputs!$C$102=3,Vehi_Inputs!$C$102=4),O149,M149))</f>
        <v>9.1010933670435286E-3</v>
      </c>
      <c r="F149" s="302">
        <f>IF(Vehi_Inputs!$C$102=2,N149,IF(OR(Vehi_Inputs!$C$102=3,Vehi_Inputs!$C$102=4),O149,M149))</f>
        <v>9.1010933670435286E-3</v>
      </c>
      <c r="G149" s="302">
        <f>IF(GREET1_Import_Export!$D$12&gt;=30,IF(Vehi_Inputs!$C$103=2,T149,IF(OR(Vehi_Inputs!$C$103=3,Vehi_Inputs!$C$103=4),U149,S149)),IF(Vehi_Inputs!$C$103=2,Q149,IF(OR(Vehi_Inputs!$C$103=3,Vehi_Inputs!$C$103=4),R149,P149)))</f>
        <v>1.3033210041679611E-2</v>
      </c>
      <c r="H149" s="302">
        <f>IF(GREET1_Import_Export!$D$12&gt;=30,IF(Vehi_Inputs!$C$103=2,T149,IF(OR(Vehi_Inputs!$C$103=3,Vehi_Inputs!$C$103=4),U149,S149)),IF(Vehi_Inputs!$C$103=2,Q149,IF(OR(Vehi_Inputs!$C$103=3,Vehi_Inputs!$C$103=4),R149,P149)))</f>
        <v>1.3033210041679611E-2</v>
      </c>
      <c r="I149" s="302">
        <f>IF(Vehi_Inputs!$C$104=2,W149,IF(OR(Vehi_Inputs!$C$104=3,Vehi_Inputs!$C$104=4),X149,IF(Vehi_Inputs!$C$104=5,Y149,IF(Vehi_Inputs!$C$104=6,Z149,IF(Vehi_Inputs!$C$104=7,AA149,IF(Vehi_Inputs!$C$104=8,AB149,IF(Vehi_Inputs!$C$104=9,AC149, IF(Vehi_Inputs!$C$104=10, AD149,V149))))))))</f>
        <v>1.8148134160390732E-2</v>
      </c>
      <c r="J149" s="302">
        <f>IF(Vehi_Inputs!$C$104=2,W149,IF(OR(Vehi_Inputs!$C$104=3,Vehi_Inputs!$C$104=4),X149,IF(Vehi_Inputs!$C$104=5,Y149,IF(Vehi_Inputs!$C$104=6,Z149,IF(Vehi_Inputs!$C$104=7,AA149,IF(Vehi_Inputs!$C$104=8,AB149,IF(Vehi_Inputs!$C$104=9,AC149,IF(Vehi_Inputs!$C$104=10, AD149, V149))))))))</f>
        <v>1.8148134160390732E-2</v>
      </c>
      <c r="K149" s="302">
        <f>IF(Vehi_Inputs!$C$105=2,N149,IF(OR(Vehi_Inputs!$C$105=3,Vehi_Inputs!$C$105=4),O149,M149))</f>
        <v>9.1010933670435286E-3</v>
      </c>
      <c r="L149" s="593">
        <f>IF(Vehi_Inputs!$C$105=2,N149,IF(OR(Vehi_Inputs!$C$105=3,Vehi_Inputs!$C$105=4),O149,M149))</f>
        <v>9.1010933670435286E-3</v>
      </c>
      <c r="M149" s="928">
        <v>6.8686219490350746E-3</v>
      </c>
      <c r="N149" s="927">
        <v>9.1010933670435286E-3</v>
      </c>
      <c r="O149" s="927">
        <v>4.6703025105923231E-3</v>
      </c>
      <c r="P149" s="928">
        <v>9.5567989174665455E-3</v>
      </c>
      <c r="Q149" s="927">
        <v>1.3033210041679611E-2</v>
      </c>
      <c r="R149" s="930">
        <v>6.8305507646702155E-3</v>
      </c>
      <c r="S149" s="927">
        <v>1.0033489846473996E-2</v>
      </c>
      <c r="T149" s="927">
        <v>1.465023842632366E-2</v>
      </c>
      <c r="U149" s="927">
        <v>8.1970593739914641E-3</v>
      </c>
      <c r="V149" s="928">
        <v>1.2049910986963605E-2</v>
      </c>
      <c r="W149" s="927">
        <v>1.8148134160390732E-2</v>
      </c>
      <c r="X149" s="927">
        <v>1.1240251861808109E-2</v>
      </c>
      <c r="Y149" s="927">
        <v>1.1870369557000202E-2</v>
      </c>
      <c r="Z149" s="927">
        <v>2.2151166891221971E-2</v>
      </c>
      <c r="AA149" s="927">
        <v>2.0899999999999998E-2</v>
      </c>
      <c r="AB149" s="927">
        <v>2.0472446311063801E-2</v>
      </c>
      <c r="AC149" s="927">
        <v>1.1837724026395716E-2</v>
      </c>
      <c r="AD149" s="930">
        <v>1.2066317754706943E-2</v>
      </c>
      <c r="AE149" s="8"/>
      <c r="AF149" s="8"/>
      <c r="AG149" s="8"/>
      <c r="AH149" s="8"/>
    </row>
    <row r="150" spans="2:34">
      <c r="B150" s="173" t="s">
        <v>275</v>
      </c>
      <c r="C150" s="183"/>
      <c r="D150" s="183"/>
      <c r="E150" s="302">
        <f>IF(Vehi_Inputs!$C$102=2,N150,IF(OR(Vehi_Inputs!$C$102=3,Vehi_Inputs!$C$102=4),O150,M150))</f>
        <v>0.17608271903924866</v>
      </c>
      <c r="F150" s="302">
        <f>IF(Vehi_Inputs!$C$102=2,N150,IF(OR(Vehi_Inputs!$C$102=3,Vehi_Inputs!$C$102=4),O150,M150))</f>
        <v>0.17608271903924866</v>
      </c>
      <c r="G150" s="302">
        <f>IF(GREET1_Import_Export!$D$12&gt;=30,IF(Vehi_Inputs!$C$103=2,T150,IF(OR(Vehi_Inputs!$C$103=3,Vehi_Inputs!$C$103=4),U150,S150)),IF(Vehi_Inputs!$C$103=2,Q150,IF(OR(Vehi_Inputs!$C$103=3,Vehi_Inputs!$C$103=4),R150,P150)))</f>
        <v>0.12259377757456562</v>
      </c>
      <c r="H150" s="302">
        <f>IF(GREET1_Import_Export!$D$12&gt;=30,IF(Vehi_Inputs!$C$103=2,T150,IF(OR(Vehi_Inputs!$C$103=3,Vehi_Inputs!$C$103=4),U150,S150)),IF(Vehi_Inputs!$C$103=2,Q150,IF(OR(Vehi_Inputs!$C$103=3,Vehi_Inputs!$C$103=4),R150,P150)))</f>
        <v>0.12259377757456562</v>
      </c>
      <c r="I150" s="302">
        <f>IF(Vehi_Inputs!$C$104=2,W150,IF(OR(Vehi_Inputs!$C$104=3,Vehi_Inputs!$C$104=4),X150,IF(Vehi_Inputs!$C$104=5,Y150,IF(Vehi_Inputs!$C$104=6,Z150,IF(Vehi_Inputs!$C$104=7,AA150,IF(Vehi_Inputs!$C$104=8,AB150,IF(Vehi_Inputs!$C$104=9,AC150, IF(Vehi_Inputs!$C$104=10, AD150,V150))))))))</f>
        <v>7.2103499400766699E-2</v>
      </c>
      <c r="J150" s="302">
        <f>IF(Vehi_Inputs!$C$104=2,W150,IF(OR(Vehi_Inputs!$C$104=3,Vehi_Inputs!$C$104=4),X150,IF(Vehi_Inputs!$C$104=5,Y150,IF(Vehi_Inputs!$C$104=6,Z150,IF(Vehi_Inputs!$C$104=7,AA150,IF(Vehi_Inputs!$C$104=8,AB150,IF(Vehi_Inputs!$C$104=9,AC150,IF(Vehi_Inputs!$C$104=10, AD150, V150))))))))</f>
        <v>7.2103499400766699E-2</v>
      </c>
      <c r="K150" s="302">
        <f>IF(Vehi_Inputs!$C$105=2,N150,IF(OR(Vehi_Inputs!$C$105=3,Vehi_Inputs!$C$105=4),O150,M150))</f>
        <v>0.17608271903924866</v>
      </c>
      <c r="L150" s="593">
        <f>IF(Vehi_Inputs!$C$105=2,N150,IF(OR(Vehi_Inputs!$C$105=3,Vehi_Inputs!$C$105=4),O150,M150))</f>
        <v>0.17608271903924866</v>
      </c>
      <c r="M150" s="928">
        <v>0.15160773323447918</v>
      </c>
      <c r="N150" s="927">
        <v>0.17608271903924866</v>
      </c>
      <c r="O150" s="927">
        <v>0.23862957061259968</v>
      </c>
      <c r="P150" s="928">
        <v>9.8166397110165365E-2</v>
      </c>
      <c r="Q150" s="927">
        <v>0.12259377757456562</v>
      </c>
      <c r="R150" s="930">
        <v>0.16946195280662826</v>
      </c>
      <c r="S150" s="927">
        <v>0.11261505494835425</v>
      </c>
      <c r="T150" s="927">
        <v>0.11520878618179443</v>
      </c>
      <c r="U150" s="927">
        <v>0.13881726069681083</v>
      </c>
      <c r="V150" s="928">
        <v>8.226626902307177E-2</v>
      </c>
      <c r="W150" s="927">
        <v>7.2103499400766699E-2</v>
      </c>
      <c r="X150" s="927">
        <v>8.2590566714795435E-2</v>
      </c>
      <c r="Y150" s="927">
        <v>7.0813626060718213E-2</v>
      </c>
      <c r="Z150" s="927">
        <v>7.2273729804879325E-2</v>
      </c>
      <c r="AA150" s="927">
        <v>0.14779999999999999</v>
      </c>
      <c r="AB150" s="927">
        <v>0.197733143985833</v>
      </c>
      <c r="AC150" s="927">
        <v>6.8239547569154929E-2</v>
      </c>
      <c r="AD150" s="930">
        <v>7.1596418668776099E-2</v>
      </c>
      <c r="AE150" s="8"/>
      <c r="AF150" s="8"/>
      <c r="AG150" s="8"/>
      <c r="AH150" s="8"/>
    </row>
    <row r="151" spans="2:34">
      <c r="B151" s="173" t="s">
        <v>252</v>
      </c>
      <c r="C151" s="183"/>
      <c r="D151" s="183"/>
      <c r="E151" s="302">
        <f>IF(Vehi_Inputs!$C$102=2,N151,IF(OR(Vehi_Inputs!$C$102=3,Vehi_Inputs!$C$102=4),O151,M151))</f>
        <v>0.18192628038563219</v>
      </c>
      <c r="F151" s="302">
        <f>IF(Vehi_Inputs!$C$102=2,N151,IF(OR(Vehi_Inputs!$C$102=3,Vehi_Inputs!$C$102=4),O151,M151))</f>
        <v>0.18192628038563219</v>
      </c>
      <c r="G151" s="302">
        <f>IF(GREET1_Import_Export!$D$12&gt;=30,IF(Vehi_Inputs!$C$103=2,T151,IF(OR(Vehi_Inputs!$C$103=3,Vehi_Inputs!$C$103=4),U151,S151)),IF(Vehi_Inputs!$C$103=2,Q151,IF(OR(Vehi_Inputs!$C$103=3,Vehi_Inputs!$C$103=4),R151,P151)))</f>
        <v>0.16062210786971309</v>
      </c>
      <c r="H151" s="302">
        <f>IF(GREET1_Import_Export!$D$12&gt;=30,IF(Vehi_Inputs!$C$103=2,T151,IF(OR(Vehi_Inputs!$C$103=3,Vehi_Inputs!$C$103=4),U151,S151)),IF(Vehi_Inputs!$C$103=2,Q151,IF(OR(Vehi_Inputs!$C$103=3,Vehi_Inputs!$C$103=4),R151,P151)))</f>
        <v>0.16062210786971309</v>
      </c>
      <c r="I151" s="302">
        <f>IF(Vehi_Inputs!$C$104=2,W151,IF(OR(Vehi_Inputs!$C$104=3,Vehi_Inputs!$C$104=4),X151,IF(Vehi_Inputs!$C$104=5,Y151,IF(Vehi_Inputs!$C$104=6,Z151,IF(Vehi_Inputs!$C$104=7,AA151,IF(Vehi_Inputs!$C$104=8,AB151,IF(Vehi_Inputs!$C$104=9,AC151, IF(Vehi_Inputs!$C$104=10, AD151,V151))))))))</f>
        <v>0.17255488299171634</v>
      </c>
      <c r="J151" s="302">
        <f>IF(Vehi_Inputs!$C$104=2,W151,IF(OR(Vehi_Inputs!$C$104=3,Vehi_Inputs!$C$104=4),X151,IF(Vehi_Inputs!$C$104=5,Y151,IF(Vehi_Inputs!$C$104=6,Z151,IF(Vehi_Inputs!$C$104=7,AA151,IF(Vehi_Inputs!$C$104=8,AB151,IF(Vehi_Inputs!$C$104=9,AC151,IF(Vehi_Inputs!$C$104=10, AD151, V151))))))))</f>
        <v>0.17255488299171634</v>
      </c>
      <c r="K151" s="302">
        <f>IF(Vehi_Inputs!$C$105=2,N151,IF(OR(Vehi_Inputs!$C$105=3,Vehi_Inputs!$C$105=4),O151,M151))</f>
        <v>0.18192628038563219</v>
      </c>
      <c r="L151" s="593">
        <f>IF(Vehi_Inputs!$C$105=2,N151,IF(OR(Vehi_Inputs!$C$105=3,Vehi_Inputs!$C$105=4),O151,M151))</f>
        <v>0.18192628038563219</v>
      </c>
      <c r="M151" s="928">
        <v>0.171170355853309</v>
      </c>
      <c r="N151" s="927">
        <v>0.18192628038563219</v>
      </c>
      <c r="O151" s="927">
        <v>0.20485384448069072</v>
      </c>
      <c r="P151" s="928">
        <v>0.14880177627097863</v>
      </c>
      <c r="Q151" s="927">
        <v>0.16062210786971309</v>
      </c>
      <c r="R151" s="930">
        <v>0.20347903732962824</v>
      </c>
      <c r="S151" s="927">
        <v>0.1610047935261559</v>
      </c>
      <c r="T151" s="927">
        <v>0.16085271228516909</v>
      </c>
      <c r="U151" s="927">
        <v>0.19541132530209543</v>
      </c>
      <c r="V151" s="928">
        <v>0.16829381452884734</v>
      </c>
      <c r="W151" s="927">
        <v>0.17255488299171634</v>
      </c>
      <c r="X151" s="927">
        <v>0.17516529522157706</v>
      </c>
      <c r="Y151" s="927">
        <v>0.17845067465545084</v>
      </c>
      <c r="Z151" s="927">
        <v>0.18412068926802197</v>
      </c>
      <c r="AA151" s="927">
        <v>0.2235</v>
      </c>
      <c r="AB151" s="927">
        <v>0.249827333567544</v>
      </c>
      <c r="AC151" s="927">
        <v>0.1800084821882818</v>
      </c>
      <c r="AD151" s="930">
        <v>0.17332902654363241</v>
      </c>
      <c r="AE151" s="8"/>
      <c r="AF151" s="8"/>
      <c r="AG151" s="8"/>
      <c r="AH151" s="8"/>
    </row>
    <row r="152" spans="2:34">
      <c r="B152" s="173" t="s">
        <v>253</v>
      </c>
      <c r="C152" s="183"/>
      <c r="D152" s="183"/>
      <c r="E152" s="302">
        <f>IF(Vehi_Inputs!$C$102=2,N152,IF(OR(Vehi_Inputs!$C$102=3,Vehi_Inputs!$C$102=4),O152,M152))</f>
        <v>0</v>
      </c>
      <c r="F152" s="302">
        <f>IF(Vehi_Inputs!$C$102=2,N152,IF(OR(Vehi_Inputs!$C$102=3,Vehi_Inputs!$C$102=4),O152,M152))</f>
        <v>0</v>
      </c>
      <c r="G152" s="302">
        <f>IF(GREET1_Import_Export!$D$12&gt;=30,IF(Vehi_Inputs!$C$103=2,T152,IF(OR(Vehi_Inputs!$C$103=3,Vehi_Inputs!$C$103=4),U152,S152)),IF(Vehi_Inputs!$C$103=2,Q152,IF(OR(Vehi_Inputs!$C$103=3,Vehi_Inputs!$C$103=4),R152,P152)))</f>
        <v>0</v>
      </c>
      <c r="H152" s="302">
        <f>IF(GREET1_Import_Export!$D$12&gt;=30,IF(Vehi_Inputs!$C$103=2,T152,IF(OR(Vehi_Inputs!$C$103=3,Vehi_Inputs!$C$103=4),U152,S152)),IF(Vehi_Inputs!$C$103=2,Q152,IF(OR(Vehi_Inputs!$C$103=3,Vehi_Inputs!$C$103=4),R152,P152)))</f>
        <v>0</v>
      </c>
      <c r="I152" s="302">
        <f>IF(Vehi_Inputs!$C$104=2,W152,IF(OR(Vehi_Inputs!$C$104=3,Vehi_Inputs!$C$104=4),X152,IF(Vehi_Inputs!$C$104=5,Y152,IF(Vehi_Inputs!$C$104=6,Z152,IF(Vehi_Inputs!$C$104=7,AA152,IF(Vehi_Inputs!$C$104=8,AB152,IF(Vehi_Inputs!$C$104=9,AC152, IF(Vehi_Inputs!$C$104=10, AD152,V152))))))))</f>
        <v>0</v>
      </c>
      <c r="J152" s="302">
        <f>IF(Vehi_Inputs!$C$104=2,W152,IF(OR(Vehi_Inputs!$C$104=3,Vehi_Inputs!$C$104=4),X152,IF(Vehi_Inputs!$C$104=5,Y152,IF(Vehi_Inputs!$C$104=6,Z152,IF(Vehi_Inputs!$C$104=7,AA152,IF(Vehi_Inputs!$C$104=8,AB152,IF(Vehi_Inputs!$C$104=9,AC152,IF(Vehi_Inputs!$C$104=10, AD152, V152))))))))</f>
        <v>0</v>
      </c>
      <c r="K152" s="302">
        <f>IF(Vehi_Inputs!$C$105=2,N152,IF(OR(Vehi_Inputs!$C$105=3,Vehi_Inputs!$C$105=4),O152,M152))</f>
        <v>0</v>
      </c>
      <c r="L152" s="593">
        <f>IF(Vehi_Inputs!$C$105=2,N152,IF(OR(Vehi_Inputs!$C$105=3,Vehi_Inputs!$C$105=4),O152,M152))</f>
        <v>0</v>
      </c>
      <c r="M152" s="928">
        <v>0</v>
      </c>
      <c r="N152" s="927">
        <v>0</v>
      </c>
      <c r="O152" s="927">
        <v>0</v>
      </c>
      <c r="P152" s="928">
        <v>0</v>
      </c>
      <c r="Q152" s="927">
        <v>0</v>
      </c>
      <c r="R152" s="927">
        <v>0</v>
      </c>
      <c r="S152" s="928">
        <v>0</v>
      </c>
      <c r="T152" s="927">
        <v>0</v>
      </c>
      <c r="U152" s="927">
        <v>0</v>
      </c>
      <c r="V152" s="928">
        <v>0</v>
      </c>
      <c r="W152" s="927">
        <v>0</v>
      </c>
      <c r="X152" s="927">
        <v>0</v>
      </c>
      <c r="Y152" s="927">
        <v>0</v>
      </c>
      <c r="Z152" s="927">
        <v>0</v>
      </c>
      <c r="AA152" s="927">
        <v>0</v>
      </c>
      <c r="AB152" s="927">
        <v>0</v>
      </c>
      <c r="AC152" s="927">
        <v>0</v>
      </c>
      <c r="AD152" s="930">
        <v>0</v>
      </c>
      <c r="AE152" s="8"/>
      <c r="AF152" s="8"/>
      <c r="AG152" s="8"/>
      <c r="AH152" s="8"/>
    </row>
    <row r="153" spans="2:34">
      <c r="B153" s="173" t="s">
        <v>312</v>
      </c>
      <c r="C153" s="183"/>
      <c r="D153" s="183"/>
      <c r="E153" s="302">
        <f>IF(Vehi_Inputs!$C$102=2,N153,IF(OR(Vehi_Inputs!$C$102=3,Vehi_Inputs!$C$102=4),O153,M153))</f>
        <v>1.3976402367395847E-2</v>
      </c>
      <c r="F153" s="302">
        <f>IF(Vehi_Inputs!$C$102=2,N153,IF(OR(Vehi_Inputs!$C$102=3,Vehi_Inputs!$C$102=4),O153,M153))</f>
        <v>1.3976402367395847E-2</v>
      </c>
      <c r="G153" s="302">
        <f>IF(GREET1_Import_Export!$D$12&gt;=30,IF(Vehi_Inputs!$C$103=2,T153,IF(OR(Vehi_Inputs!$C$103=3,Vehi_Inputs!$C$103=4),U153,S153)),IF(Vehi_Inputs!$C$103=2,Q153,IF(OR(Vehi_Inputs!$C$103=3,Vehi_Inputs!$C$103=4),R153,P153)))</f>
        <v>1.6783280357954747E-2</v>
      </c>
      <c r="H153" s="302">
        <f>IF(GREET1_Import_Export!$D$12&gt;=30,IF(Vehi_Inputs!$C$103=2,T153,IF(OR(Vehi_Inputs!$C$103=3,Vehi_Inputs!$C$103=4),U153,S153)),IF(Vehi_Inputs!$C$103=2,Q153,IF(OR(Vehi_Inputs!$C$103=3,Vehi_Inputs!$C$103=4),R153,P153)))</f>
        <v>1.6783280357954747E-2</v>
      </c>
      <c r="I153" s="302">
        <f>IF(Vehi_Inputs!$C$104=2,W153,IF(OR(Vehi_Inputs!$C$104=3,Vehi_Inputs!$C$104=4),X153,IF(Vehi_Inputs!$C$104=5,Y153,IF(Vehi_Inputs!$C$104=6,Z153,IF(Vehi_Inputs!$C$104=7,AA153,IF(Vehi_Inputs!$C$104=8,AB153,IF(Vehi_Inputs!$C$104=9,AC153, IF(Vehi_Inputs!$C$104=10, AD153,V153))))))))</f>
        <v>1.3847745042733589E-2</v>
      </c>
      <c r="J153" s="302">
        <f>IF(Vehi_Inputs!$C$104=2,W153,IF(OR(Vehi_Inputs!$C$104=3,Vehi_Inputs!$C$104=4),X153,IF(Vehi_Inputs!$C$104=5,Y153,IF(Vehi_Inputs!$C$104=6,Z153,IF(Vehi_Inputs!$C$104=7,AA153,IF(Vehi_Inputs!$C$104=8,AB153,IF(Vehi_Inputs!$C$104=9,AC153,IF(Vehi_Inputs!$C$104=10, AD153, V153))))))))</f>
        <v>1.3847745042733589E-2</v>
      </c>
      <c r="K153" s="302">
        <f>IF(Vehi_Inputs!$C$105=2,N153,IF(OR(Vehi_Inputs!$C$105=3,Vehi_Inputs!$C$105=4),O153,M153))</f>
        <v>1.3976402367395847E-2</v>
      </c>
      <c r="L153" s="593">
        <f>IF(Vehi_Inputs!$C$105=2,N153,IF(OR(Vehi_Inputs!$C$105=3,Vehi_Inputs!$C$105=4),O153,M153))</f>
        <v>1.3976402367395847E-2</v>
      </c>
      <c r="M153" s="928">
        <v>1.4259881702588949E-2</v>
      </c>
      <c r="N153" s="927">
        <v>1.3976402367395847E-2</v>
      </c>
      <c r="O153" s="927">
        <v>1.7472230830318704E-2</v>
      </c>
      <c r="P153" s="928">
        <v>1.7078369296386307E-2</v>
      </c>
      <c r="Q153" s="927">
        <v>1.6783280357954747E-2</v>
      </c>
      <c r="R153" s="930">
        <v>2.058332870432026E-2</v>
      </c>
      <c r="S153" s="927">
        <v>1.7539327668723764E-2</v>
      </c>
      <c r="T153" s="927">
        <v>1.7152561388877288E-2</v>
      </c>
      <c r="U153" s="927">
        <v>2.1896589881996654E-2</v>
      </c>
      <c r="V153" s="928">
        <v>1.3852249882046652E-2</v>
      </c>
      <c r="W153" s="927">
        <v>1.3847745042733589E-2</v>
      </c>
      <c r="X153" s="927">
        <v>1.7839262977824281E-2</v>
      </c>
      <c r="Y153" s="927">
        <v>1.3663154127429866E-2</v>
      </c>
      <c r="Z153" s="927">
        <v>1.3895599836990156E-2</v>
      </c>
      <c r="AA153" s="927">
        <v>1.9E-2</v>
      </c>
      <c r="AB153" s="927">
        <v>1.9203797299898798E-2</v>
      </c>
      <c r="AC153" s="927">
        <v>1.3620293134094193E-2</v>
      </c>
      <c r="AD153" s="930">
        <v>1.3146589410353288E-2</v>
      </c>
      <c r="AE153" s="8"/>
      <c r="AF153" s="8"/>
      <c r="AG153" s="8"/>
      <c r="AH153" s="8"/>
    </row>
    <row r="154" spans="2:34">
      <c r="B154" s="173" t="s">
        <v>313</v>
      </c>
      <c r="C154" s="183"/>
      <c r="D154" s="183"/>
      <c r="E154" s="302">
        <f>IF(Vehi_Inputs!$C$102=2,N154,IF(OR(Vehi_Inputs!$C$102=3,Vehi_Inputs!$C$102=4),O154,M154))</f>
        <v>3.9017073231693268E-2</v>
      </c>
      <c r="F154" s="302">
        <f>IF(Vehi_Inputs!$C$102=2,N154,IF(OR(Vehi_Inputs!$C$102=3,Vehi_Inputs!$C$102=4),O154,M154))</f>
        <v>3.9017073231693268E-2</v>
      </c>
      <c r="G154" s="302">
        <f>IF(GREET1_Import_Export!$D$12&gt;=30,IF(Vehi_Inputs!$C$103=2,T154,IF(OR(Vehi_Inputs!$C$103=3,Vehi_Inputs!$C$103=4),U154,S154)),IF(Vehi_Inputs!$C$103=2,Q154,IF(OR(Vehi_Inputs!$C$103=3,Vehi_Inputs!$C$103=4),R154,P154)))</f>
        <v>4.6852863961755822E-2</v>
      </c>
      <c r="H154" s="302">
        <f>IF(GREET1_Import_Export!$D$12&gt;=30,IF(Vehi_Inputs!$C$103=2,T154,IF(OR(Vehi_Inputs!$C$103=3,Vehi_Inputs!$C$103=4),U154,S154)),IF(Vehi_Inputs!$C$103=2,Q154,IF(OR(Vehi_Inputs!$C$103=3,Vehi_Inputs!$C$103=4),R154,P154)))</f>
        <v>4.6852863961755822E-2</v>
      </c>
      <c r="I154" s="302">
        <f>IF(Vehi_Inputs!$C$104=2,W154,IF(OR(Vehi_Inputs!$C$104=3,Vehi_Inputs!$C$104=4),X154,IF(Vehi_Inputs!$C$104=5,Y154,IF(Vehi_Inputs!$C$104=6,Z154,IF(Vehi_Inputs!$C$104=7,AA154,IF(Vehi_Inputs!$C$104=8,AB154,IF(Vehi_Inputs!$C$104=9,AC154, IF(Vehi_Inputs!$C$104=10, AD154,V154))))))))</f>
        <v>3.8657908396123625E-2</v>
      </c>
      <c r="J154" s="302">
        <f>IF(Vehi_Inputs!$C$104=2,W154,IF(OR(Vehi_Inputs!$C$104=3,Vehi_Inputs!$C$104=4),X154,IF(Vehi_Inputs!$C$104=5,Y154,IF(Vehi_Inputs!$C$104=6,Z154,IF(Vehi_Inputs!$C$104=7,AA154,IF(Vehi_Inputs!$C$104=8,AB154,IF(Vehi_Inputs!$C$104=9,AC154,IF(Vehi_Inputs!$C$104=10, AD154, V154))))))))</f>
        <v>3.8657908396123625E-2</v>
      </c>
      <c r="K154" s="302">
        <f>IF(Vehi_Inputs!$C$105=2,N154,IF(OR(Vehi_Inputs!$C$105=3,Vehi_Inputs!$C$105=4),O154,M154))</f>
        <v>3.9017073231693268E-2</v>
      </c>
      <c r="L154" s="593">
        <f>IF(Vehi_Inputs!$C$105=2,N154,IF(OR(Vehi_Inputs!$C$105=3,Vehi_Inputs!$C$105=4),O154,M154))</f>
        <v>3.9017073231693268E-2</v>
      </c>
      <c r="M154" s="928">
        <v>3.9808445266509833E-2</v>
      </c>
      <c r="N154" s="927">
        <v>3.9017073231693268E-2</v>
      </c>
      <c r="O154" s="927">
        <v>4.8776165132301812E-2</v>
      </c>
      <c r="P154" s="928">
        <v>4.7676645820491206E-2</v>
      </c>
      <c r="Q154" s="927">
        <v>4.6852863961755822E-2</v>
      </c>
      <c r="R154" s="930">
        <v>5.7461228025457577E-2</v>
      </c>
      <c r="S154" s="927">
        <v>4.8963475299027732E-2</v>
      </c>
      <c r="T154" s="927">
        <v>4.7883763376915169E-2</v>
      </c>
      <c r="U154" s="927">
        <v>6.1127379456620667E-2</v>
      </c>
      <c r="V154" s="928">
        <v>3.867048428230338E-2</v>
      </c>
      <c r="W154" s="927">
        <v>3.8657908396123625E-2</v>
      </c>
      <c r="X154" s="927">
        <v>4.9800786476276407E-2</v>
      </c>
      <c r="Y154" s="927">
        <v>3.8142597154289901E-2</v>
      </c>
      <c r="Z154" s="927">
        <v>3.8791501717417215E-2</v>
      </c>
      <c r="AA154" s="927">
        <v>5.4800000000000001E-2</v>
      </c>
      <c r="AB154" s="927">
        <v>5.5530453759101803E-2</v>
      </c>
      <c r="AC154" s="927">
        <v>3.8022944723585528E-2</v>
      </c>
      <c r="AD154" s="930">
        <v>3.6700534821990205E-2</v>
      </c>
      <c r="AE154" s="8"/>
      <c r="AF154" s="8"/>
      <c r="AG154" s="8"/>
      <c r="AH154" s="8"/>
    </row>
    <row r="155" spans="2:34">
      <c r="B155" s="173" t="s">
        <v>314</v>
      </c>
      <c r="C155" s="183"/>
      <c r="D155" s="183"/>
      <c r="E155" s="302">
        <f>IF(Vehi_Inputs!$C$102=2,N155,IF(OR(Vehi_Inputs!$C$102=3,Vehi_Inputs!$C$102=4),O155,M155))</f>
        <v>3.9017073231693268E-2</v>
      </c>
      <c r="F155" s="302">
        <f>IF(Vehi_Inputs!$C$102=2,N155,IF(OR(Vehi_Inputs!$C$102=3,Vehi_Inputs!$C$102=4),O155,M155))</f>
        <v>3.9017073231693268E-2</v>
      </c>
      <c r="G155" s="302">
        <f>IF(GREET1_Import_Export!$D$12&gt;=30,IF(Vehi_Inputs!$C$103=2,T155,IF(OR(Vehi_Inputs!$C$103=3,Vehi_Inputs!$C$103=4),U155,S155)),IF(Vehi_Inputs!$C$103=2,Q155,IF(OR(Vehi_Inputs!$C$103=3,Vehi_Inputs!$C$103=4),R155,P155)))</f>
        <v>4.6852863961755822E-2</v>
      </c>
      <c r="H155" s="302">
        <f>IF(GREET1_Import_Export!$D$12&gt;=30,IF(Vehi_Inputs!$C$103=2,T155,IF(OR(Vehi_Inputs!$C$103=3,Vehi_Inputs!$C$103=4),U155,S155)),IF(Vehi_Inputs!$C$103=2,Q155,IF(OR(Vehi_Inputs!$C$103=3,Vehi_Inputs!$C$103=4),R155,P155)))</f>
        <v>4.6852863961755822E-2</v>
      </c>
      <c r="I155" s="302">
        <f>IF(Vehi_Inputs!$C$104=2,W155,IF(OR(Vehi_Inputs!$C$104=3,Vehi_Inputs!$C$104=4),X155,IF(Vehi_Inputs!$C$104=5,Y155,IF(Vehi_Inputs!$C$104=6,Z155,IF(Vehi_Inputs!$C$104=7,AA155,IF(Vehi_Inputs!$C$104=8,AB155,IF(Vehi_Inputs!$C$104=9,AC155, IF(Vehi_Inputs!$C$104=10, AD155,V155))))))))</f>
        <v>3.8657908396123625E-2</v>
      </c>
      <c r="J155" s="302">
        <f>IF(Vehi_Inputs!$C$104=2,W155,IF(OR(Vehi_Inputs!$C$104=3,Vehi_Inputs!$C$104=4),X155,IF(Vehi_Inputs!$C$104=5,Y155,IF(Vehi_Inputs!$C$104=6,Z155,IF(Vehi_Inputs!$C$104=7,AA155,IF(Vehi_Inputs!$C$104=8,AB155,IF(Vehi_Inputs!$C$104=9,AC155,IF(Vehi_Inputs!$C$104=10, AD155, V155))))))))</f>
        <v>3.8657908396123625E-2</v>
      </c>
      <c r="K155" s="302">
        <f>IF(Vehi_Inputs!$C$105=2,N155,IF(OR(Vehi_Inputs!$C$105=3,Vehi_Inputs!$C$105=4),O155,M155))</f>
        <v>3.9017073231693268E-2</v>
      </c>
      <c r="L155" s="593">
        <f>IF(Vehi_Inputs!$C$105=2,N155,IF(OR(Vehi_Inputs!$C$105=3,Vehi_Inputs!$C$105=4),O155,M155))</f>
        <v>3.9017073231693268E-2</v>
      </c>
      <c r="M155" s="928">
        <v>3.9808445266509833E-2</v>
      </c>
      <c r="N155" s="927">
        <v>3.9017073231693268E-2</v>
      </c>
      <c r="O155" s="927">
        <v>4.8776165132301812E-2</v>
      </c>
      <c r="P155" s="928">
        <v>4.7676645820491206E-2</v>
      </c>
      <c r="Q155" s="927">
        <v>4.6852863961755822E-2</v>
      </c>
      <c r="R155" s="930">
        <v>5.7461228025457577E-2</v>
      </c>
      <c r="S155" s="927">
        <v>4.8963475299027732E-2</v>
      </c>
      <c r="T155" s="927">
        <v>4.7883763376915169E-2</v>
      </c>
      <c r="U155" s="927">
        <v>6.1127379456620667E-2</v>
      </c>
      <c r="V155" s="928">
        <v>3.867048428230338E-2</v>
      </c>
      <c r="W155" s="927">
        <v>3.8657908396123625E-2</v>
      </c>
      <c r="X155" s="927">
        <v>4.9800786476276407E-2</v>
      </c>
      <c r="Y155" s="927">
        <v>3.8142597154289901E-2</v>
      </c>
      <c r="Z155" s="927">
        <v>3.8791501717417215E-2</v>
      </c>
      <c r="AA155" s="927">
        <v>5.4800000000000001E-2</v>
      </c>
      <c r="AB155" s="927">
        <v>5.5530453759101803E-2</v>
      </c>
      <c r="AC155" s="927">
        <v>3.8022944723585528E-2</v>
      </c>
      <c r="AD155" s="930">
        <v>3.6700534821990205E-2</v>
      </c>
      <c r="AE155" s="8"/>
      <c r="AF155" s="8"/>
      <c r="AG155" s="8"/>
      <c r="AH155" s="8"/>
    </row>
    <row r="156" spans="2:34">
      <c r="B156" s="173" t="s">
        <v>297</v>
      </c>
      <c r="C156" s="183"/>
      <c r="D156" s="183"/>
      <c r="E156" s="302">
        <f>IF(Vehi_Inputs!$C$102=2,N156,IF(OR(Vehi_Inputs!$C$102=3,Vehi_Inputs!$C$102=4),O156,M156))</f>
        <v>1.6723613038637845E-2</v>
      </c>
      <c r="F156" s="302">
        <f>IF(Vehi_Inputs!$C$102=2,N156,IF(OR(Vehi_Inputs!$C$102=3,Vehi_Inputs!$C$102=4),O156,M156))</f>
        <v>1.6723613038637845E-2</v>
      </c>
      <c r="G156" s="302">
        <f>IF(GREET1_Import_Export!$D$12&gt;=30,IF(Vehi_Inputs!$C$103=2,T156,IF(OR(Vehi_Inputs!$C$103=3,Vehi_Inputs!$C$103=4),U156,S156)),IF(Vehi_Inputs!$C$103=2,Q156,IF(OR(Vehi_Inputs!$C$103=3,Vehi_Inputs!$C$103=4),R156,P156)))</f>
        <v>1.1409690578434958E-2</v>
      </c>
      <c r="H156" s="302">
        <f>IF(GREET1_Import_Export!$D$12&gt;=30,IF(Vehi_Inputs!$C$103=2,T156,IF(OR(Vehi_Inputs!$C$103=3,Vehi_Inputs!$C$103=4),U156,S156)),IF(Vehi_Inputs!$C$103=2,Q156,IF(OR(Vehi_Inputs!$C$103=3,Vehi_Inputs!$C$103=4),R156,P156)))</f>
        <v>1.1409690578434958E-2</v>
      </c>
      <c r="I156" s="302">
        <f>IF(Vehi_Inputs!$C$104=2,W156,IF(OR(Vehi_Inputs!$C$104=3,Vehi_Inputs!$C$104=4),X156,IF(Vehi_Inputs!$C$104=5,Y156,IF(Vehi_Inputs!$C$104=6,Z156,IF(Vehi_Inputs!$C$104=7,AA156,IF(Vehi_Inputs!$C$104=8,AB156,IF(Vehi_Inputs!$C$104=9,AC156, IF(Vehi_Inputs!$C$104=10, AD156,V156))))))))</f>
        <v>6.5969595074415388E-3</v>
      </c>
      <c r="J156" s="302">
        <f>IF(Vehi_Inputs!$C$104=2,W156,IF(OR(Vehi_Inputs!$C$104=3,Vehi_Inputs!$C$104=4),X156,IF(Vehi_Inputs!$C$104=5,Y156,IF(Vehi_Inputs!$C$104=6,Z156,IF(Vehi_Inputs!$C$104=7,AA156,IF(Vehi_Inputs!$C$104=8,AB156,IF(Vehi_Inputs!$C$104=9,AC156,IF(Vehi_Inputs!$C$104=10, AD156, V156))))))))</f>
        <v>6.5969595074415388E-3</v>
      </c>
      <c r="K156" s="302">
        <f>IF(Vehi_Inputs!$C$105=2,N156,IF(OR(Vehi_Inputs!$C$105=3,Vehi_Inputs!$C$105=4),O156,M156))</f>
        <v>1.6723613038637845E-2</v>
      </c>
      <c r="L156" s="593">
        <f>IF(Vehi_Inputs!$C$105=2,N156,IF(OR(Vehi_Inputs!$C$105=3,Vehi_Inputs!$C$105=4),O156,M156))</f>
        <v>1.6723613038637845E-2</v>
      </c>
      <c r="M156" s="928">
        <v>1.402365962501622E-2</v>
      </c>
      <c r="N156" s="927">
        <v>1.6723613038637845E-2</v>
      </c>
      <c r="O156" s="927">
        <v>2.4945489512353713E-2</v>
      </c>
      <c r="P156" s="928">
        <v>8.8072436460212081E-3</v>
      </c>
      <c r="Q156" s="927">
        <v>1.1409690578434958E-2</v>
      </c>
      <c r="R156" s="930">
        <v>1.7519929615676173E-2</v>
      </c>
      <c r="S156" s="927">
        <v>7.7609655996742589E-3</v>
      </c>
      <c r="T156" s="927">
        <v>6.3657745304721066E-3</v>
      </c>
      <c r="U156" s="927">
        <v>1.0530669147563522E-2</v>
      </c>
      <c r="V156" s="928">
        <v>7.9304765306548574E-3</v>
      </c>
      <c r="W156" s="927">
        <v>6.5969595074415388E-3</v>
      </c>
      <c r="X156" s="927">
        <v>7.9694732588119922E-3</v>
      </c>
      <c r="Y156" s="927">
        <v>6.309300694424696E-3</v>
      </c>
      <c r="Z156" s="927">
        <v>7.6484732792485143E-3</v>
      </c>
      <c r="AA156" s="927">
        <v>2.1399999999999999E-2</v>
      </c>
      <c r="AB156" s="927">
        <v>2.7502156161200601E-2</v>
      </c>
      <c r="AC156" s="927">
        <v>5.9609681627276296E-3</v>
      </c>
      <c r="AD156" s="930">
        <v>7.8817831540566527E-3</v>
      </c>
      <c r="AE156" s="8"/>
      <c r="AF156" s="8"/>
      <c r="AG156" s="8"/>
      <c r="AH156" s="8"/>
    </row>
    <row r="157" spans="2:34">
      <c r="B157" s="173" t="s">
        <v>315</v>
      </c>
      <c r="C157" s="183"/>
      <c r="D157" s="183"/>
      <c r="E157" s="302">
        <f>IF(Vehi_Inputs!$C$102=2,N157,IF(OR(Vehi_Inputs!$C$102=3,Vehi_Inputs!$C$102=4),O157,M157))</f>
        <v>4.4680991311398573E-3</v>
      </c>
      <c r="F157" s="302">
        <f>IF(Vehi_Inputs!$C$102=2,N157,IF(OR(Vehi_Inputs!$C$102=3,Vehi_Inputs!$C$102=4),O157,M157))</f>
        <v>4.4680991311398573E-3</v>
      </c>
      <c r="G157" s="302">
        <f>IF(GREET1_Import_Export!$D$12&gt;=30,IF(Vehi_Inputs!$C$103=2,T157,IF(OR(Vehi_Inputs!$C$103=3,Vehi_Inputs!$C$103=4),U157,S157)),IF(Vehi_Inputs!$C$103=2,Q157,IF(OR(Vehi_Inputs!$C$103=3,Vehi_Inputs!$C$103=4),R157,P157)))</f>
        <v>3.0372503117592699E-3</v>
      </c>
      <c r="H157" s="302">
        <f>IF(GREET1_Import_Export!$D$12&gt;=30,IF(Vehi_Inputs!$C$103=2,T157,IF(OR(Vehi_Inputs!$C$103=3,Vehi_Inputs!$C$103=4),U157,S157)),IF(Vehi_Inputs!$C$103=2,Q157,IF(OR(Vehi_Inputs!$C$103=3,Vehi_Inputs!$C$103=4),R157,P157)))</f>
        <v>3.0372503117592699E-3</v>
      </c>
      <c r="I157" s="302">
        <f>IF(Vehi_Inputs!$C$104=2,W157,IF(OR(Vehi_Inputs!$C$104=3,Vehi_Inputs!$C$104=4),X157,IF(Vehi_Inputs!$C$104=5,Y157,IF(Vehi_Inputs!$C$104=6,Z157,IF(Vehi_Inputs!$C$104=7,AA157,IF(Vehi_Inputs!$C$104=8,AB157,IF(Vehi_Inputs!$C$104=9,AC157, IF(Vehi_Inputs!$C$104=10, AD157,V157))))))))</f>
        <v>1.8425849968472382E-3</v>
      </c>
      <c r="J157" s="302">
        <f>IF(Vehi_Inputs!$C$104=2,W157,IF(OR(Vehi_Inputs!$C$104=3,Vehi_Inputs!$C$104=4),X157,IF(Vehi_Inputs!$C$104=5,Y157,IF(Vehi_Inputs!$C$104=6,Z157,IF(Vehi_Inputs!$C$104=7,AA157,IF(Vehi_Inputs!$C$104=8,AB157,IF(Vehi_Inputs!$C$104=9,AC157,IF(Vehi_Inputs!$C$104=10, AD157, V157))))))))</f>
        <v>1.8425849968472382E-3</v>
      </c>
      <c r="K157" s="302">
        <f>IF(Vehi_Inputs!$C$105=2,N157,IF(OR(Vehi_Inputs!$C$105=3,Vehi_Inputs!$C$105=4),O157,M157))</f>
        <v>4.4680991311398573E-3</v>
      </c>
      <c r="L157" s="593">
        <f>IF(Vehi_Inputs!$C$105=2,N157,IF(OR(Vehi_Inputs!$C$105=3,Vehi_Inputs!$C$105=4),O157,M157))</f>
        <v>4.4680991311398573E-3</v>
      </c>
      <c r="M157" s="928">
        <v>3.7766655902565635E-3</v>
      </c>
      <c r="N157" s="927">
        <v>4.4680991311398573E-3</v>
      </c>
      <c r="O157" s="927">
        <v>6.3212312454473205E-3</v>
      </c>
      <c r="P157" s="928">
        <v>2.3641409551121155E-3</v>
      </c>
      <c r="Q157" s="927">
        <v>3.0372503117592699E-3</v>
      </c>
      <c r="R157" s="930">
        <v>4.4287645795887407E-3</v>
      </c>
      <c r="S157" s="927">
        <v>2.0339659635953129E-3</v>
      </c>
      <c r="T157" s="927">
        <v>1.7339907466210295E-3</v>
      </c>
      <c r="U157" s="927">
        <v>2.6622437149555972E-3</v>
      </c>
      <c r="V157" s="928">
        <v>2.130987727760417E-3</v>
      </c>
      <c r="W157" s="927">
        <v>1.8425849968472382E-3</v>
      </c>
      <c r="X157" s="927">
        <v>2.0940767941867171E-3</v>
      </c>
      <c r="Y157" s="927">
        <v>1.8231799974623185E-3</v>
      </c>
      <c r="Z157" s="927">
        <v>2.1605509276218294E-3</v>
      </c>
      <c r="AA157" s="927">
        <v>4.0000000000000001E-3</v>
      </c>
      <c r="AB157" s="927">
        <v>5.6415269064953996E-3</v>
      </c>
      <c r="AC157" s="927">
        <v>1.7563096328220931E-3</v>
      </c>
      <c r="AD157" s="930">
        <v>2.1947424618871604E-3</v>
      </c>
      <c r="AE157" s="8"/>
      <c r="AF157" s="8"/>
      <c r="AG157" s="8"/>
      <c r="AH157" s="8"/>
    </row>
    <row r="158" spans="2:34">
      <c r="B158" s="173" t="s">
        <v>316</v>
      </c>
      <c r="C158" s="183"/>
      <c r="D158" s="183"/>
      <c r="E158" s="302">
        <f>IF(Vehi_Inputs!$C$102=2,N158,IF(OR(Vehi_Inputs!$C$102=3,Vehi_Inputs!$C$102=4),O158,M158))</f>
        <v>2.4539614095971025E-3</v>
      </c>
      <c r="F158" s="302">
        <f>IF(Vehi_Inputs!$C$102=2,N158,IF(OR(Vehi_Inputs!$C$102=3,Vehi_Inputs!$C$102=4),O158,M158))</f>
        <v>2.4539614095971025E-3</v>
      </c>
      <c r="G158" s="302">
        <f>IF(GREET1_Import_Export!$D$12&gt;=30,IF(Vehi_Inputs!$C$103=2,T158,IF(OR(Vehi_Inputs!$C$103=3,Vehi_Inputs!$C$103=4),U158,S158)),IF(Vehi_Inputs!$C$103=2,Q158,IF(OR(Vehi_Inputs!$C$103=3,Vehi_Inputs!$C$103=4),R158,P158)))</f>
        <v>2.1115041631765861E-3</v>
      </c>
      <c r="H158" s="302">
        <f>IF(GREET1_Import_Export!$D$12&gt;=30,IF(Vehi_Inputs!$C$103=2,T158,IF(OR(Vehi_Inputs!$C$103=3,Vehi_Inputs!$C$103=4),U158,S158)),IF(Vehi_Inputs!$C$103=2,Q158,IF(OR(Vehi_Inputs!$C$103=3,Vehi_Inputs!$C$103=4),R158,P158)))</f>
        <v>2.1115041631765861E-3</v>
      </c>
      <c r="I158" s="302">
        <f>IF(Vehi_Inputs!$C$104=2,W158,IF(OR(Vehi_Inputs!$C$104=3,Vehi_Inputs!$C$104=4),X158,IF(Vehi_Inputs!$C$104=5,Y158,IF(Vehi_Inputs!$C$104=6,Z158,IF(Vehi_Inputs!$C$104=7,AA158,IF(Vehi_Inputs!$C$104=8,AB158,IF(Vehi_Inputs!$C$104=9,AC158, IF(Vehi_Inputs!$C$104=10, AD158,V158))))))))</f>
        <v>1.8810116310044498E-3</v>
      </c>
      <c r="J158" s="302">
        <f>IF(Vehi_Inputs!$C$104=2,W158,IF(OR(Vehi_Inputs!$C$104=3,Vehi_Inputs!$C$104=4),X158,IF(Vehi_Inputs!$C$104=5,Y158,IF(Vehi_Inputs!$C$104=6,Z158,IF(Vehi_Inputs!$C$104=7,AA158,IF(Vehi_Inputs!$C$104=8,AB158,IF(Vehi_Inputs!$C$104=9,AC158,IF(Vehi_Inputs!$C$104=10, AD158, V158))))))))</f>
        <v>1.8810116310044498E-3</v>
      </c>
      <c r="K158" s="302">
        <f>IF(Vehi_Inputs!$C$105=2,N158,IF(OR(Vehi_Inputs!$C$105=3,Vehi_Inputs!$C$105=4),O158,M158))</f>
        <v>2.4539614095971025E-3</v>
      </c>
      <c r="L158" s="593">
        <f>IF(Vehi_Inputs!$C$105=2,N158,IF(OR(Vehi_Inputs!$C$105=3,Vehi_Inputs!$C$105=4),O158,M158))</f>
        <v>2.4539614095971025E-3</v>
      </c>
      <c r="M158" s="928">
        <v>2.4681977421207842E-3</v>
      </c>
      <c r="N158" s="927">
        <v>2.4539614095971025E-3</v>
      </c>
      <c r="O158" s="927">
        <v>2.6322117323846787E-3</v>
      </c>
      <c r="P158" s="928">
        <v>2.1085025740854575E-3</v>
      </c>
      <c r="Q158" s="927">
        <v>2.1115041631765861E-3</v>
      </c>
      <c r="R158" s="930">
        <v>2.1731821891279902E-3</v>
      </c>
      <c r="S158" s="927">
        <v>2.0750920333837174E-3</v>
      </c>
      <c r="T158" s="927">
        <v>2.0500359463561713E-3</v>
      </c>
      <c r="U158" s="927">
        <v>2.1797421172844518E-3</v>
      </c>
      <c r="V158" s="928">
        <v>1.8159295946473457E-3</v>
      </c>
      <c r="W158" s="927">
        <v>1.8810116310044498E-3</v>
      </c>
      <c r="X158" s="927">
        <v>2.0173574074183686E-3</v>
      </c>
      <c r="Y158" s="927">
        <v>1.8889024204437903E-3</v>
      </c>
      <c r="Z158" s="927">
        <v>1.9662562251833789E-3</v>
      </c>
      <c r="AA158" s="927">
        <v>1.23E-2</v>
      </c>
      <c r="AB158" s="927">
        <v>1.15174465821776E-2</v>
      </c>
      <c r="AC158" s="927">
        <v>1.8960231521061241E-3</v>
      </c>
      <c r="AD158" s="930">
        <v>1.835558034003893E-3</v>
      </c>
      <c r="AE158" s="8"/>
      <c r="AF158" s="8"/>
      <c r="AG158" s="8"/>
      <c r="AH158" s="8"/>
    </row>
    <row r="159" spans="2:34">
      <c r="B159" s="173" t="s">
        <v>251</v>
      </c>
      <c r="C159" s="183"/>
      <c r="D159" s="183"/>
      <c r="E159" s="302">
        <f>IF(Vehi_Inputs!$C$102=2,N159,IF(OR(Vehi_Inputs!$C$102=3,Vehi_Inputs!$C$102=4),O159,M159))</f>
        <v>2.3560062758860863E-2</v>
      </c>
      <c r="F159" s="302">
        <f>IF(Vehi_Inputs!$C$102=2,N159,IF(OR(Vehi_Inputs!$C$102=3,Vehi_Inputs!$C$102=4),O159,M159))</f>
        <v>2.3560062758860863E-2</v>
      </c>
      <c r="G159" s="302">
        <f>IF(GREET1_Import_Export!$D$12&gt;=30,IF(Vehi_Inputs!$C$103=2,T159,IF(OR(Vehi_Inputs!$C$103=3,Vehi_Inputs!$C$103=4),U159,S159)),IF(Vehi_Inputs!$C$103=2,Q159,IF(OR(Vehi_Inputs!$C$103=3,Vehi_Inputs!$C$103=4),R159,P159)))</f>
        <v>1.9716849536202823E-2</v>
      </c>
      <c r="H159" s="302">
        <f>IF(GREET1_Import_Export!$D$12&gt;=30,IF(Vehi_Inputs!$C$103=2,T159,IF(OR(Vehi_Inputs!$C$103=3,Vehi_Inputs!$C$103=4),U159,S159)),IF(Vehi_Inputs!$C$103=2,Q159,IF(OR(Vehi_Inputs!$C$103=3,Vehi_Inputs!$C$103=4),R159,P159)))</f>
        <v>1.9716849536202823E-2</v>
      </c>
      <c r="I159" s="302">
        <f>IF(Vehi_Inputs!$C$104=2,W159,IF(OR(Vehi_Inputs!$C$104=3,Vehi_Inputs!$C$104=4),X159,IF(Vehi_Inputs!$C$104=5,Y159,IF(Vehi_Inputs!$C$104=6,Z159,IF(Vehi_Inputs!$C$104=7,AA159,IF(Vehi_Inputs!$C$104=8,AB159,IF(Vehi_Inputs!$C$104=9,AC159, IF(Vehi_Inputs!$C$104=10, AD159,V159))))))))</f>
        <v>6.0312326551140221E-3</v>
      </c>
      <c r="J159" s="302">
        <f>IF(Vehi_Inputs!$C$104=2,W159,IF(OR(Vehi_Inputs!$C$104=3,Vehi_Inputs!$C$104=4),X159,IF(Vehi_Inputs!$C$104=5,Y159,IF(Vehi_Inputs!$C$104=6,Z159,IF(Vehi_Inputs!$C$104=7,AA159,IF(Vehi_Inputs!$C$104=8,AB159,IF(Vehi_Inputs!$C$104=9,AC159,IF(Vehi_Inputs!$C$104=10, AD159, V159))))))))</f>
        <v>6.0312326551140221E-3</v>
      </c>
      <c r="K159" s="302">
        <f>IF(Vehi_Inputs!$C$105=2,N159,IF(OR(Vehi_Inputs!$C$105=3,Vehi_Inputs!$C$105=4),O159,M159))</f>
        <v>2.3560062758860863E-2</v>
      </c>
      <c r="L159" s="593">
        <f>IF(Vehi_Inputs!$C$105=2,N159,IF(OR(Vehi_Inputs!$C$105=3,Vehi_Inputs!$C$105=4),O159,M159))</f>
        <v>2.3560062758860863E-2</v>
      </c>
      <c r="M159" s="928">
        <v>2.3713860473662213E-2</v>
      </c>
      <c r="N159" s="927">
        <v>2.3560062758860863E-2</v>
      </c>
      <c r="O159" s="927">
        <v>2.5865693099264325E-2</v>
      </c>
      <c r="P159" s="928">
        <v>1.9719415635036663E-2</v>
      </c>
      <c r="Q159" s="927">
        <v>1.9716849536202823E-2</v>
      </c>
      <c r="R159" s="930">
        <v>2.079797297992517E-2</v>
      </c>
      <c r="S159" s="927">
        <v>1.279644964812135E-2</v>
      </c>
      <c r="T159" s="927">
        <v>1.2738661510510849E-2</v>
      </c>
      <c r="U159" s="927">
        <v>1.3760384297743768E-2</v>
      </c>
      <c r="V159" s="928">
        <v>5.8231771230749406E-3</v>
      </c>
      <c r="W159" s="927">
        <v>6.0312326551140221E-3</v>
      </c>
      <c r="X159" s="927">
        <v>6.6835575633989886E-3</v>
      </c>
      <c r="Y159" s="927">
        <v>5.9890528804338906E-3</v>
      </c>
      <c r="Z159" s="927">
        <v>6.2427730719381101E-3</v>
      </c>
      <c r="AA159" s="927">
        <v>1.4200000000000001E-2</v>
      </c>
      <c r="AB159" s="927">
        <v>1.24071068756486E-2</v>
      </c>
      <c r="AC159" s="927">
        <v>6.0039165421247051E-3</v>
      </c>
      <c r="AD159" s="930">
        <v>5.8174592738230568E-3</v>
      </c>
      <c r="AE159" s="8"/>
      <c r="AF159" s="8"/>
      <c r="AG159" s="8"/>
      <c r="AH159" s="8"/>
    </row>
    <row r="160" spans="2:34">
      <c r="B160" s="173" t="s">
        <v>317</v>
      </c>
      <c r="C160" s="183"/>
      <c r="D160" s="183"/>
      <c r="E160" s="302">
        <f>IF(Vehi_Inputs!$C$102=2,N160,IF(OR(Vehi_Inputs!$C$102=3,Vehi_Inputs!$C$102=4),O160,M160))</f>
        <v>8.3843204901595109E-3</v>
      </c>
      <c r="F160" s="302">
        <f>IF(Vehi_Inputs!$C$102=2,N160,IF(OR(Vehi_Inputs!$C$102=3,Vehi_Inputs!$C$102=4),O160,M160))</f>
        <v>8.3843204901595109E-3</v>
      </c>
      <c r="G160" s="302">
        <f>IF(GREET1_Import_Export!$D$12&gt;=30,IF(Vehi_Inputs!$C$103=2,T160,IF(OR(Vehi_Inputs!$C$103=3,Vehi_Inputs!$C$103=4),U160,S160)),IF(Vehi_Inputs!$C$103=2,Q160,IF(OR(Vehi_Inputs!$C$103=3,Vehi_Inputs!$C$103=4),R160,P160)))</f>
        <v>5.7748881244886908E-3</v>
      </c>
      <c r="H160" s="302">
        <f>IF(GREET1_Import_Export!$D$12&gt;=30,IF(Vehi_Inputs!$C$103=2,T160,IF(OR(Vehi_Inputs!$C$103=3,Vehi_Inputs!$C$103=4),U160,S160)),IF(Vehi_Inputs!$C$103=2,Q160,IF(OR(Vehi_Inputs!$C$103=3,Vehi_Inputs!$C$103=4),R160,P160)))</f>
        <v>5.7748881244886908E-3</v>
      </c>
      <c r="I160" s="302">
        <f>IF(Vehi_Inputs!$C$104=2,W160,IF(OR(Vehi_Inputs!$C$104=3,Vehi_Inputs!$C$104=4),X160,IF(Vehi_Inputs!$C$104=5,Y160,IF(Vehi_Inputs!$C$104=6,Z160,IF(Vehi_Inputs!$C$104=7,AA160,IF(Vehi_Inputs!$C$104=8,AB160,IF(Vehi_Inputs!$C$104=9,AC160, IF(Vehi_Inputs!$C$104=10, AD160,V160))))))))</f>
        <v>3.3462431265472588E-3</v>
      </c>
      <c r="J160" s="302">
        <f>IF(Vehi_Inputs!$C$104=2,W160,IF(OR(Vehi_Inputs!$C$104=3,Vehi_Inputs!$C$104=4),X160,IF(Vehi_Inputs!$C$104=5,Y160,IF(Vehi_Inputs!$C$104=6,Z160,IF(Vehi_Inputs!$C$104=7,AA160,IF(Vehi_Inputs!$C$104=8,AB160,IF(Vehi_Inputs!$C$104=9,AC160,IF(Vehi_Inputs!$C$104=10, AD160, V160))))))))</f>
        <v>3.3462431265472588E-3</v>
      </c>
      <c r="K160" s="302">
        <f>IF(Vehi_Inputs!$C$105=2,N160,IF(OR(Vehi_Inputs!$C$105=3,Vehi_Inputs!$C$105=4),O160,M160))</f>
        <v>8.3843204901595109E-3</v>
      </c>
      <c r="L160" s="593">
        <f>IF(Vehi_Inputs!$C$105=2,N160,IF(OR(Vehi_Inputs!$C$105=3,Vehi_Inputs!$C$105=4),O160,M160))</f>
        <v>8.3843204901595109E-3</v>
      </c>
      <c r="M160" s="928">
        <v>8.02711276885462E-3</v>
      </c>
      <c r="N160" s="927">
        <v>8.3843204901595109E-3</v>
      </c>
      <c r="O160" s="927">
        <v>6.6216121032904264E-3</v>
      </c>
      <c r="P160" s="928">
        <v>5.2261604594480947E-3</v>
      </c>
      <c r="Q160" s="927">
        <v>5.7748881244886908E-3</v>
      </c>
      <c r="R160" s="930">
        <v>5.4141763257341026E-3</v>
      </c>
      <c r="S160" s="927">
        <v>4.9801950227204945E-3</v>
      </c>
      <c r="T160" s="927">
        <v>6.0973896993098036E-3</v>
      </c>
      <c r="U160" s="927">
        <v>5.8882756820210986E-3</v>
      </c>
      <c r="V160" s="928">
        <v>3.0298786415424357E-3</v>
      </c>
      <c r="W160" s="927">
        <v>3.3462431265472588E-3</v>
      </c>
      <c r="X160" s="927">
        <v>3.1551864129688565E-3</v>
      </c>
      <c r="Y160" s="927">
        <v>3.5798497287464516E-3</v>
      </c>
      <c r="Z160" s="927">
        <v>3.6908647171567627E-3</v>
      </c>
      <c r="AA160" s="927">
        <v>3.8999999999999998E-3</v>
      </c>
      <c r="AB160" s="927">
        <v>4.0638386006806798E-3</v>
      </c>
      <c r="AC160" s="927">
        <v>3.6804233527362351E-3</v>
      </c>
      <c r="AD160" s="930">
        <v>3.4171889026856825E-3</v>
      </c>
      <c r="AE160" s="8"/>
      <c r="AF160" s="8"/>
      <c r="AG160" s="8"/>
      <c r="AH160" s="8"/>
    </row>
    <row r="161" spans="1:34">
      <c r="A161" s="1321"/>
      <c r="B161" s="173" t="s">
        <v>318</v>
      </c>
      <c r="C161" s="183"/>
      <c r="D161" s="183"/>
      <c r="E161" s="302">
        <f>IF(Vehi_Inputs!$C$102=2,N161,IF(OR(Vehi_Inputs!$C$102=3,Vehi_Inputs!$C$102=4),O161,M161))</f>
        <v>3.9712609262452327E-2</v>
      </c>
      <c r="F161" s="302">
        <f>IF(Vehi_Inputs!$C$102=2,N161,IF(OR(Vehi_Inputs!$C$102=3,Vehi_Inputs!$C$102=4),O161,M161))</f>
        <v>3.9712609262452327E-2</v>
      </c>
      <c r="G161" s="302">
        <f>IF(GREET1_Import_Export!$D$12&gt;=30,IF(Vehi_Inputs!$C$103=2,T161,IF(OR(Vehi_Inputs!$C$103=3,Vehi_Inputs!$C$103=4),U161,S161)),IF(Vehi_Inputs!$C$103=2,Q161,IF(OR(Vehi_Inputs!$C$103=3,Vehi_Inputs!$C$103=4),R161,P161)))</f>
        <v>4.0357643964422318E-2</v>
      </c>
      <c r="H161" s="302">
        <f>IF(GREET1_Import_Export!$D$12&gt;=30,IF(Vehi_Inputs!$C$103=2,T161,IF(OR(Vehi_Inputs!$C$103=3,Vehi_Inputs!$C$103=4),U161,S161)),IF(Vehi_Inputs!$C$103=2,Q161,IF(OR(Vehi_Inputs!$C$103=3,Vehi_Inputs!$C$103=4),R161,P161)))</f>
        <v>4.0357643964422318E-2</v>
      </c>
      <c r="I161" s="302">
        <f>IF(Vehi_Inputs!$C$104=2,W161,IF(OR(Vehi_Inputs!$C$104=3,Vehi_Inputs!$C$104=4),X161,IF(Vehi_Inputs!$C$104=5,Y161,IF(Vehi_Inputs!$C$104=6,Z161,IF(Vehi_Inputs!$C$104=7,AA161,IF(Vehi_Inputs!$C$104=8,AB161,IF(Vehi_Inputs!$C$104=9,AC161, IF(Vehi_Inputs!$C$104=10, AD161,V161))))))))</f>
        <v>2.6098559501723042E-2</v>
      </c>
      <c r="J161" s="302">
        <f>IF(Vehi_Inputs!$C$104=2,W161,IF(OR(Vehi_Inputs!$C$104=3,Vehi_Inputs!$C$104=4),X161,IF(Vehi_Inputs!$C$104=5,Y161,IF(Vehi_Inputs!$C$104=6,Z161,IF(Vehi_Inputs!$C$104=7,AA161,IF(Vehi_Inputs!$C$104=8,AB161,IF(Vehi_Inputs!$C$104=9,AC161,IF(Vehi_Inputs!$C$104=10, AD161, V161))))))))</f>
        <v>2.6098559501723042E-2</v>
      </c>
      <c r="K161" s="302">
        <f>IF(Vehi_Inputs!$C$105=2,N161,IF(OR(Vehi_Inputs!$C$105=3,Vehi_Inputs!$C$105=4),O161,M161))</f>
        <v>3.9712609262452327E-2</v>
      </c>
      <c r="L161" s="593">
        <f>IF(Vehi_Inputs!$C$105=2,N161,IF(OR(Vehi_Inputs!$C$105=3,Vehi_Inputs!$C$105=4),O161,M161))</f>
        <v>3.9712609262452327E-2</v>
      </c>
      <c r="M161" s="928">
        <v>3.8978267779687339E-2</v>
      </c>
      <c r="N161" s="927">
        <v>3.9712609262452327E-2</v>
      </c>
      <c r="O161" s="927">
        <v>3.5249995892511099E-2</v>
      </c>
      <c r="P161" s="928">
        <v>3.8667111779303855E-2</v>
      </c>
      <c r="Q161" s="927">
        <v>4.0357643964422318E-2</v>
      </c>
      <c r="R161" s="930">
        <v>3.5759668802378609E-2</v>
      </c>
      <c r="S161" s="927">
        <v>3.4983504848442197E-2</v>
      </c>
      <c r="T161" s="927">
        <v>4.4935372200536991E-2</v>
      </c>
      <c r="U161" s="927">
        <v>3.897713794818454E-2</v>
      </c>
      <c r="V161" s="928">
        <v>2.0695033516595625E-2</v>
      </c>
      <c r="W161" s="927">
        <v>2.6098559501723042E-2</v>
      </c>
      <c r="X161" s="927">
        <v>2.7000991777860816E-2</v>
      </c>
      <c r="Y161" s="927">
        <v>2.9461719626560173E-2</v>
      </c>
      <c r="Z161" s="927">
        <v>2.9740316942285523E-2</v>
      </c>
      <c r="AA161" s="927">
        <v>1.12E-2</v>
      </c>
      <c r="AB161" s="927">
        <v>1.2597151762914901E-2</v>
      </c>
      <c r="AC161" s="927">
        <v>3.1884860383727634E-2</v>
      </c>
      <c r="AD161" s="930">
        <v>2.7070120822076615E-2</v>
      </c>
      <c r="AE161" s="8"/>
      <c r="AF161" s="8"/>
      <c r="AG161" s="8"/>
      <c r="AH161" s="8"/>
    </row>
    <row r="162" spans="1:34">
      <c r="A162" s="1321"/>
      <c r="B162" s="174" t="s">
        <v>319</v>
      </c>
      <c r="C162" s="185"/>
      <c r="D162" s="185"/>
      <c r="E162" s="185">
        <f t="shared" ref="E162:Z162" si="3">1-SUM(E146:E161)</f>
        <v>0.15360396231185391</v>
      </c>
      <c r="F162" s="185">
        <f t="shared" si="3"/>
        <v>0.15360396231185391</v>
      </c>
      <c r="G162" s="185">
        <f t="shared" si="3"/>
        <v>9.208792554903189E-2</v>
      </c>
      <c r="H162" s="185">
        <f t="shared" si="3"/>
        <v>9.208792554903189E-2</v>
      </c>
      <c r="I162" s="1020">
        <f>IF(Vehi_Inputs!$C$104=2,W162,IF(OR(Vehi_Inputs!$C$104=3,Vehi_Inputs!$C$104=4),X162,IF(Vehi_Inputs!$C$104=5,Y162,IF(Vehi_Inputs!$C$104=6,Z162,IF(Vehi_Inputs!$C$104=7,AA162,IF(Vehi_Inputs!$C$104=8,AB162,IF(Vehi_Inputs!$C$104=9,AC162, IF(Vehi_Inputs!$C$104=10, AD162,V162))))))))</f>
        <v>1.6880476526058064E-2</v>
      </c>
      <c r="J162" s="1020">
        <f>IF(Vehi_Inputs!$C$104=2,W162,IF(OR(Vehi_Inputs!$C$104=3,Vehi_Inputs!$C$104=4),X162,IF(Vehi_Inputs!$C$104=5,Y162,IF(Vehi_Inputs!$C$104=6,Z162,IF(Vehi_Inputs!$C$104=7,AA162,IF(Vehi_Inputs!$C$104=8,AB162,IF(Vehi_Inputs!$C$104=9,AC162,IF(Vehi_Inputs!$C$104=10, AD162, V162))))))))</f>
        <v>1.6880476526058064E-2</v>
      </c>
      <c r="K162" s="1020">
        <f t="shared" si="3"/>
        <v>0.15360396231185391</v>
      </c>
      <c r="L162" s="186">
        <f t="shared" si="3"/>
        <v>0.15360396231185391</v>
      </c>
      <c r="M162" s="580">
        <f t="shared" si="3"/>
        <v>0.14892627725895258</v>
      </c>
      <c r="N162" s="153">
        <f t="shared" si="3"/>
        <v>0.15360396231185391</v>
      </c>
      <c r="O162" s="153">
        <f t="shared" si="3"/>
        <v>0.10634066469666703</v>
      </c>
      <c r="P162" s="580">
        <f t="shared" si="3"/>
        <v>8.5867644759152428E-2</v>
      </c>
      <c r="Q162" s="153">
        <f t="shared" si="3"/>
        <v>9.208792554903189E-2</v>
      </c>
      <c r="R162" s="154">
        <f t="shared" si="3"/>
        <v>6.3931992377262881E-2</v>
      </c>
      <c r="S162" s="153">
        <f t="shared" si="3"/>
        <v>4.4609207819073404E-2</v>
      </c>
      <c r="T162" s="153">
        <f t="shared" si="3"/>
        <v>5.1528141148281525E-2</v>
      </c>
      <c r="U162" s="153">
        <f t="shared" si="3"/>
        <v>3.7768643597186791E-2</v>
      </c>
      <c r="V162" s="580">
        <f t="shared" si="3"/>
        <v>1.4325665518971409E-2</v>
      </c>
      <c r="W162" s="153">
        <f t="shared" si="3"/>
        <v>1.6880476526058064E-2</v>
      </c>
      <c r="X162" s="153">
        <f t="shared" si="3"/>
        <v>1.3870065828199163E-2</v>
      </c>
      <c r="Y162" s="153">
        <f t="shared" si="3"/>
        <v>1.8216867649739954E-2</v>
      </c>
      <c r="Z162" s="153">
        <f t="shared" si="3"/>
        <v>1.8757892120165764E-2</v>
      </c>
      <c r="AA162" s="153">
        <f>1-SUM(AA146:AA161)</f>
        <v>1.4800000000000146E-2</v>
      </c>
      <c r="AB162" s="153">
        <f>1-SUM(AB146:AB161)</f>
        <v>1.6691299463251652E-2</v>
      </c>
      <c r="AC162" s="153">
        <f>1-SUM(AC146:AC161)</f>
        <v>1.9017085115267673E-2</v>
      </c>
      <c r="AD162" s="154">
        <f>1-SUM(AD146:AD161)</f>
        <v>1.6994155349377649E-2</v>
      </c>
    </row>
    <row r="163" spans="1:34">
      <c r="A163" s="1321"/>
      <c r="B163" s="1321"/>
      <c r="C163" s="1321"/>
      <c r="D163" s="1321"/>
      <c r="E163" s="1321"/>
      <c r="F163" s="1321"/>
      <c r="G163" s="1321"/>
      <c r="H163" s="1321"/>
      <c r="I163" s="1321"/>
      <c r="J163" s="1321"/>
      <c r="K163" s="1321"/>
      <c r="L163" s="1321"/>
      <c r="M163" s="1321"/>
      <c r="N163" s="1321"/>
      <c r="O163" s="1321"/>
      <c r="P163" s="1321"/>
      <c r="Q163" s="1321"/>
      <c r="R163" s="1321"/>
      <c r="S163" s="1321"/>
      <c r="T163" s="1321"/>
      <c r="U163" s="1321"/>
      <c r="V163" s="1321"/>
      <c r="W163" s="1321"/>
      <c r="X163" s="1321"/>
      <c r="Y163" s="1321"/>
      <c r="Z163" s="1321"/>
      <c r="AA163" s="1321"/>
      <c r="AB163" s="1321"/>
      <c r="AC163" s="1321"/>
      <c r="AD163" s="1321"/>
    </row>
    <row r="164" spans="1:34" ht="15">
      <c r="A164" s="120" t="s">
        <v>320</v>
      </c>
      <c r="B164" s="1321"/>
      <c r="C164" s="1321"/>
      <c r="D164" s="1321"/>
      <c r="E164" s="1321"/>
      <c r="F164" s="1321"/>
      <c r="G164" s="1321"/>
      <c r="H164" s="1321"/>
      <c r="I164" s="1321"/>
      <c r="J164" s="1321"/>
      <c r="K164" s="1321"/>
      <c r="L164" s="1321"/>
      <c r="M164" s="1321"/>
      <c r="N164" s="1321"/>
      <c r="O164" s="1321"/>
      <c r="P164" s="1321"/>
      <c r="Q164" s="1321"/>
      <c r="R164" s="1321"/>
      <c r="S164" s="1321"/>
      <c r="T164" s="1321"/>
      <c r="U164" s="1321"/>
      <c r="V164" s="1321"/>
      <c r="W164" s="1321"/>
      <c r="X164" s="1321"/>
      <c r="Y164" s="1321"/>
      <c r="Z164" s="1321"/>
      <c r="AA164" s="1321"/>
      <c r="AB164" s="1321"/>
      <c r="AC164" s="1321"/>
      <c r="AD164" s="1321"/>
    </row>
    <row r="165" spans="1:34">
      <c r="A165" s="1321"/>
      <c r="B165" s="187">
        <v>0.5</v>
      </c>
      <c r="C165" s="1" t="s">
        <v>321</v>
      </c>
      <c r="D165" s="1"/>
      <c r="E165" s="1"/>
      <c r="F165" s="1"/>
      <c r="G165" s="1321"/>
      <c r="H165" s="1321"/>
      <c r="I165" s="1321"/>
      <c r="J165" s="1321"/>
      <c r="K165" s="1321"/>
      <c r="L165" s="1321"/>
      <c r="M165" s="1321"/>
      <c r="N165" s="1321"/>
      <c r="O165" s="1321"/>
      <c r="P165" s="1321"/>
      <c r="Q165" s="1321"/>
      <c r="R165" s="1321"/>
      <c r="S165" s="1321"/>
      <c r="T165" s="1321"/>
      <c r="U165" s="1321"/>
      <c r="V165" s="1321"/>
      <c r="W165" s="1321"/>
      <c r="X165" s="1321"/>
      <c r="Y165" s="1321"/>
      <c r="Z165" s="1321"/>
      <c r="AA165" s="1321"/>
      <c r="AB165" s="1321"/>
      <c r="AC165" s="1321"/>
      <c r="AD165" s="1321"/>
    </row>
    <row r="166" spans="1:34">
      <c r="A166" s="1321"/>
      <c r="B166" s="187">
        <v>0.5</v>
      </c>
      <c r="C166" s="1" t="s">
        <v>322</v>
      </c>
      <c r="D166" s="1"/>
      <c r="E166" s="1"/>
      <c r="F166" s="1"/>
      <c r="G166" s="1321"/>
      <c r="H166" s="1321"/>
      <c r="I166" s="1321"/>
      <c r="J166" s="1321"/>
      <c r="K166" s="1321"/>
      <c r="L166" s="1321"/>
      <c r="M166" s="1321"/>
      <c r="N166" s="1321"/>
      <c r="O166" s="1321"/>
      <c r="P166" s="1321"/>
      <c r="Q166" s="1321"/>
      <c r="R166" s="1321"/>
      <c r="S166" s="1321"/>
      <c r="T166" s="1321"/>
      <c r="U166" s="1321"/>
      <c r="V166" s="1321"/>
      <c r="W166" s="1321"/>
      <c r="X166" s="1321"/>
      <c r="Y166" s="1321"/>
      <c r="Z166" s="1321"/>
      <c r="AA166" s="1321"/>
      <c r="AB166" s="1321"/>
      <c r="AC166" s="1321"/>
      <c r="AD166" s="1321"/>
    </row>
    <row r="167" spans="1:34">
      <c r="A167" s="1321"/>
      <c r="B167" s="1321"/>
      <c r="C167" s="1321"/>
      <c r="D167" s="1321"/>
      <c r="E167" s="1321"/>
      <c r="F167" s="1321"/>
      <c r="G167" s="1321"/>
      <c r="H167" s="1321"/>
      <c r="I167" s="1321"/>
      <c r="J167" s="1321"/>
      <c r="K167" s="1321"/>
      <c r="L167" s="1321"/>
      <c r="M167" s="1321"/>
      <c r="N167" s="1321"/>
      <c r="O167" s="1321"/>
      <c r="P167" s="1321"/>
      <c r="Q167" s="1321"/>
      <c r="R167" s="1321"/>
      <c r="S167" s="1321"/>
      <c r="T167" s="1321"/>
      <c r="U167" s="1321"/>
      <c r="V167" s="1321"/>
      <c r="W167" s="1321"/>
      <c r="X167" s="1321"/>
      <c r="Y167" s="1321"/>
      <c r="Z167" s="1321"/>
      <c r="AA167" s="1321"/>
      <c r="AB167" s="1321"/>
      <c r="AC167" s="1321"/>
      <c r="AD167" s="1321"/>
    </row>
    <row r="168" spans="1:34" ht="15">
      <c r="A168" s="120" t="s">
        <v>323</v>
      </c>
      <c r="B168" s="1321"/>
      <c r="C168" s="1321"/>
      <c r="D168" s="1321"/>
      <c r="E168" s="1321"/>
      <c r="F168" s="1321"/>
      <c r="G168" s="1321"/>
      <c r="H168" s="1321"/>
      <c r="I168" s="1321"/>
      <c r="J168" s="1321"/>
      <c r="K168" s="1321"/>
      <c r="L168" s="1321"/>
      <c r="M168" s="1321"/>
      <c r="N168" s="1321"/>
      <c r="O168" s="1321"/>
      <c r="P168" s="1321"/>
      <c r="Q168" s="1321"/>
      <c r="R168" s="1321"/>
      <c r="S168" s="1321"/>
      <c r="T168" s="1321"/>
      <c r="U168" s="1321"/>
      <c r="V168" s="1321"/>
      <c r="W168" s="1321"/>
      <c r="X168" s="1321"/>
      <c r="Y168" s="1321"/>
      <c r="Z168" s="1321"/>
      <c r="AA168" s="1321"/>
      <c r="AB168" s="1321"/>
      <c r="AC168" s="1321"/>
      <c r="AD168" s="1321"/>
    </row>
    <row r="169" spans="1:34">
      <c r="A169" s="172" t="s">
        <v>324</v>
      </c>
      <c r="B169" s="1321"/>
      <c r="C169" s="1321"/>
      <c r="D169" s="1321"/>
      <c r="E169" s="1321"/>
      <c r="F169" s="1321"/>
      <c r="G169" s="1321"/>
      <c r="H169" s="1321"/>
      <c r="I169" s="1321"/>
      <c r="J169" s="1321"/>
      <c r="K169" s="1321"/>
      <c r="L169" s="1321"/>
      <c r="M169" s="1321"/>
      <c r="N169" s="1321"/>
      <c r="O169" s="1321"/>
      <c r="P169" s="1321"/>
      <c r="Q169" s="1321"/>
      <c r="R169" s="1321"/>
      <c r="S169" s="1321"/>
      <c r="T169" s="1321"/>
      <c r="U169" s="1321"/>
      <c r="V169" s="1321"/>
      <c r="W169" s="1321"/>
      <c r="X169" s="1321"/>
      <c r="Y169" s="1321"/>
      <c r="Z169" s="1321"/>
      <c r="AA169" s="1321"/>
      <c r="AB169" s="1321"/>
      <c r="AC169" s="1321"/>
      <c r="AD169" s="1321"/>
    </row>
    <row r="170" spans="1:34" ht="25.5">
      <c r="A170" s="172"/>
      <c r="B170" s="1627"/>
      <c r="C170" s="1628" t="s">
        <v>325</v>
      </c>
      <c r="D170" s="1629" t="s">
        <v>326</v>
      </c>
      <c r="E170" s="1321"/>
      <c r="F170" s="1321"/>
      <c r="G170" s="1321"/>
      <c r="H170" s="1321"/>
      <c r="I170" s="1321"/>
      <c r="J170" s="1321"/>
      <c r="K170" s="1321"/>
      <c r="L170" s="1321"/>
      <c r="M170" s="1321"/>
      <c r="N170" s="1321"/>
      <c r="O170" s="1321"/>
      <c r="P170" s="1321"/>
      <c r="Q170" s="1321"/>
      <c r="R170" s="1321"/>
      <c r="S170" s="1321"/>
      <c r="T170" s="1321"/>
      <c r="U170" s="1321"/>
      <c r="V170" s="1321"/>
      <c r="W170" s="1321"/>
      <c r="X170" s="1321"/>
      <c r="Y170" s="1321"/>
      <c r="Z170" s="1321"/>
      <c r="AA170" s="1321"/>
      <c r="AB170" s="1321"/>
      <c r="AC170" s="1321"/>
      <c r="AD170" s="1321"/>
    </row>
    <row r="171" spans="1:34">
      <c r="A171" s="172"/>
      <c r="B171" s="191" t="s">
        <v>38</v>
      </c>
      <c r="C171" s="1014">
        <v>0.73599999999999999</v>
      </c>
      <c r="D171" s="184">
        <f t="shared" ref="D171:D176" si="4">1-C171</f>
        <v>0.26400000000000001</v>
      </c>
      <c r="E171" s="1321"/>
      <c r="F171" s="1321"/>
      <c r="G171" s="1321"/>
      <c r="H171" s="1321"/>
      <c r="I171" s="1321"/>
      <c r="J171" s="1321"/>
      <c r="K171" s="1321"/>
      <c r="L171" s="1321"/>
      <c r="M171" s="1321"/>
      <c r="N171" s="1321"/>
      <c r="O171" s="1321"/>
      <c r="P171" s="1321"/>
      <c r="Q171" s="1321"/>
      <c r="R171" s="1321"/>
      <c r="S171" s="1321"/>
      <c r="T171" s="1321"/>
      <c r="U171" s="1321"/>
      <c r="V171" s="1321"/>
      <c r="W171" s="1321"/>
      <c r="X171" s="1321"/>
      <c r="Y171" s="1321"/>
      <c r="Z171" s="1321"/>
      <c r="AA171" s="1321"/>
      <c r="AB171" s="1321"/>
      <c r="AC171" s="1321"/>
      <c r="AD171" s="1321"/>
    </row>
    <row r="172" spans="1:34">
      <c r="A172" s="172"/>
      <c r="B172" s="191" t="s">
        <v>282</v>
      </c>
      <c r="C172" s="1014">
        <v>0.89</v>
      </c>
      <c r="D172" s="184">
        <f t="shared" si="4"/>
        <v>0.10999999999999999</v>
      </c>
      <c r="E172" s="1321"/>
      <c r="F172" s="1321"/>
      <c r="G172" s="1321"/>
      <c r="H172" s="1321"/>
      <c r="I172" s="1321"/>
      <c r="J172" s="1321"/>
      <c r="K172" s="1321"/>
      <c r="L172" s="1321"/>
      <c r="M172" s="1321"/>
      <c r="N172" s="1321"/>
      <c r="O172" s="1321"/>
      <c r="P172" s="1321"/>
      <c r="Q172" s="1321"/>
      <c r="R172" s="1321"/>
      <c r="S172" s="1321"/>
      <c r="T172" s="1321"/>
      <c r="U172" s="1321"/>
      <c r="V172" s="1321"/>
      <c r="W172" s="1321"/>
      <c r="X172" s="1321"/>
      <c r="Y172" s="1321"/>
      <c r="Z172" s="1321"/>
      <c r="AA172" s="1321"/>
      <c r="AB172" s="1321"/>
      <c r="AC172" s="1321"/>
      <c r="AD172" s="1321"/>
    </row>
    <row r="173" spans="1:34">
      <c r="A173" s="172"/>
      <c r="B173" s="191" t="s">
        <v>283</v>
      </c>
      <c r="C173" s="1014">
        <v>0.15</v>
      </c>
      <c r="D173" s="184">
        <f t="shared" si="4"/>
        <v>0.85</v>
      </c>
      <c r="E173" s="1321"/>
      <c r="F173" s="1321"/>
      <c r="G173" s="1321"/>
      <c r="H173" s="1321"/>
      <c r="I173" s="1321"/>
      <c r="J173" s="1321"/>
      <c r="K173" s="1321"/>
      <c r="L173" s="1321"/>
      <c r="M173" s="1321"/>
      <c r="N173" s="1321"/>
      <c r="O173" s="1321"/>
      <c r="P173" s="1321"/>
      <c r="Q173" s="1321"/>
      <c r="R173" s="1321"/>
      <c r="S173" s="1321"/>
      <c r="T173" s="1321"/>
      <c r="U173" s="1321"/>
      <c r="V173" s="1321"/>
      <c r="W173" s="1321"/>
      <c r="X173" s="1321"/>
      <c r="Y173" s="1321"/>
      <c r="Z173" s="1321"/>
      <c r="AA173" s="1321"/>
      <c r="AB173" s="1321"/>
      <c r="AC173" s="1321"/>
      <c r="AD173" s="1321"/>
    </row>
    <row r="174" spans="1:34">
      <c r="A174" s="172"/>
      <c r="B174" s="191" t="s">
        <v>46</v>
      </c>
      <c r="C174" s="187">
        <v>0.27</v>
      </c>
      <c r="D174" s="184">
        <f t="shared" si="4"/>
        <v>0.73</v>
      </c>
      <c r="E174" s="1321"/>
      <c r="F174" s="1321"/>
      <c r="G174" s="1321"/>
      <c r="H174" s="1321"/>
      <c r="I174" s="1321"/>
      <c r="J174" s="1321"/>
      <c r="K174" s="1321"/>
      <c r="L174" s="1321"/>
      <c r="M174" s="1321"/>
      <c r="N174" s="1321"/>
      <c r="O174" s="1321"/>
      <c r="P174" s="1321"/>
      <c r="Q174" s="1321"/>
      <c r="R174" s="1321"/>
      <c r="S174" s="1321"/>
      <c r="T174" s="1321"/>
      <c r="U174" s="1321"/>
      <c r="V174" s="1321"/>
      <c r="W174" s="1321"/>
      <c r="X174" s="1321"/>
      <c r="Y174" s="1321"/>
      <c r="Z174" s="1321"/>
      <c r="AA174" s="1321"/>
      <c r="AB174" s="1321"/>
      <c r="AC174" s="1321"/>
      <c r="AD174" s="1321"/>
    </row>
    <row r="175" spans="1:34">
      <c r="A175" s="172"/>
      <c r="B175" s="191" t="s">
        <v>48</v>
      </c>
      <c r="C175" s="187">
        <v>0.56000000000000005</v>
      </c>
      <c r="D175" s="184">
        <f t="shared" si="4"/>
        <v>0.43999999999999995</v>
      </c>
      <c r="E175" s="1321"/>
      <c r="F175" s="1321"/>
      <c r="G175" s="1321"/>
      <c r="H175" s="1321"/>
      <c r="I175" s="1321"/>
      <c r="J175" s="1321"/>
      <c r="K175" s="1321"/>
      <c r="L175" s="1321"/>
      <c r="M175" s="1321"/>
      <c r="N175" s="1321"/>
      <c r="O175" s="1321"/>
      <c r="P175" s="1321"/>
      <c r="Q175" s="1321"/>
      <c r="R175" s="1321"/>
      <c r="S175" s="1321"/>
      <c r="T175" s="1321"/>
      <c r="U175" s="1321"/>
      <c r="V175" s="1321"/>
      <c r="W175" s="1321"/>
      <c r="X175" s="1321"/>
      <c r="Y175" s="1321"/>
      <c r="Z175" s="1321"/>
      <c r="AA175" s="1321"/>
      <c r="AB175" s="1321"/>
      <c r="AC175" s="1321"/>
      <c r="AD175" s="1321"/>
    </row>
    <row r="176" spans="1:34">
      <c r="A176" s="172"/>
      <c r="B176" s="192" t="s">
        <v>56</v>
      </c>
      <c r="C176" s="190">
        <v>0.47899999999999998</v>
      </c>
      <c r="D176" s="186">
        <f t="shared" si="4"/>
        <v>0.52100000000000002</v>
      </c>
      <c r="E176" s="1321"/>
      <c r="F176" s="1321"/>
      <c r="G176" s="1321"/>
      <c r="H176" s="1321"/>
      <c r="I176" s="1321"/>
      <c r="J176" s="1321"/>
      <c r="K176" s="1321"/>
      <c r="L176" s="1321"/>
      <c r="M176" s="1321"/>
      <c r="N176" s="1321"/>
      <c r="O176" s="1321"/>
      <c r="P176" s="1321"/>
      <c r="Q176" s="1321"/>
      <c r="R176" s="1321"/>
      <c r="S176" s="1321"/>
      <c r="T176" s="1321"/>
      <c r="U176" s="1321"/>
      <c r="V176" s="1321"/>
      <c r="W176" s="1321"/>
      <c r="X176" s="1321"/>
      <c r="Y176" s="1321"/>
      <c r="Z176" s="1321"/>
      <c r="AA176" s="1321"/>
      <c r="AB176" s="1321"/>
      <c r="AC176" s="1321"/>
      <c r="AD176" s="1321"/>
    </row>
    <row r="177" spans="1:30">
      <c r="A177" s="172"/>
      <c r="B177" s="1321"/>
      <c r="C177" s="1321"/>
      <c r="D177" s="1321"/>
      <c r="E177" s="1321"/>
      <c r="F177" s="1321"/>
      <c r="G177" s="1321"/>
      <c r="H177" s="1321"/>
      <c r="I177" s="1321"/>
      <c r="J177" s="1321"/>
      <c r="K177" s="1321"/>
      <c r="L177" s="1321"/>
      <c r="M177" s="1321"/>
      <c r="N177" s="1321"/>
      <c r="O177" s="1321"/>
      <c r="P177" s="1321"/>
      <c r="Q177" s="1321"/>
      <c r="R177" s="1321"/>
      <c r="S177" s="1321"/>
      <c r="T177" s="1321"/>
      <c r="U177" s="1321"/>
      <c r="V177" s="1321"/>
      <c r="W177" s="1321"/>
      <c r="X177" s="1321"/>
      <c r="Y177" s="1321"/>
      <c r="Z177" s="1321"/>
      <c r="AA177" s="1321"/>
      <c r="AB177" s="1321"/>
      <c r="AC177" s="1321"/>
      <c r="AD177" s="1321"/>
    </row>
    <row r="178" spans="1:30">
      <c r="A178" s="172" t="s">
        <v>327</v>
      </c>
      <c r="B178" s="1321"/>
      <c r="C178" s="1321"/>
      <c r="D178" s="1321"/>
      <c r="E178" s="1321"/>
      <c r="F178" s="1321"/>
      <c r="G178" s="1321"/>
      <c r="H178" s="1321"/>
      <c r="I178" s="1321"/>
      <c r="J178" s="1321"/>
      <c r="K178" s="1321"/>
      <c r="L178" s="1321"/>
      <c r="M178" s="1321"/>
      <c r="N178" s="1321"/>
      <c r="O178" s="1321"/>
      <c r="P178" s="1321"/>
      <c r="Q178" s="1321"/>
      <c r="R178" s="1321"/>
      <c r="S178" s="1321"/>
      <c r="T178" s="1321"/>
      <c r="U178" s="1321"/>
      <c r="V178" s="1321"/>
      <c r="W178" s="1321"/>
      <c r="X178" s="1321"/>
      <c r="Y178" s="1321"/>
      <c r="Z178" s="1321"/>
      <c r="AA178" s="1321"/>
      <c r="AB178" s="1321"/>
      <c r="AC178" s="1321"/>
      <c r="AD178" s="1321"/>
    </row>
    <row r="179" spans="1:30">
      <c r="A179" s="172"/>
      <c r="B179" s="1630" t="s">
        <v>328</v>
      </c>
      <c r="C179" s="1628" t="s">
        <v>329</v>
      </c>
      <c r="D179" s="1629" t="s">
        <v>330</v>
      </c>
      <c r="E179" s="1321"/>
      <c r="F179" s="1321"/>
      <c r="G179" s="1321"/>
      <c r="H179" s="1321"/>
      <c r="I179" s="1321"/>
      <c r="J179" s="1321"/>
      <c r="K179" s="1321"/>
      <c r="L179" s="1321"/>
      <c r="M179" s="1321"/>
      <c r="N179" s="1321"/>
      <c r="O179" s="1321"/>
      <c r="P179" s="1321"/>
      <c r="Q179" s="1321"/>
      <c r="R179" s="1321"/>
      <c r="S179" s="1321"/>
      <c r="T179" s="1321"/>
      <c r="U179" s="1321"/>
      <c r="V179" s="1321"/>
      <c r="W179" s="1321"/>
      <c r="X179" s="1321"/>
      <c r="Y179" s="1321"/>
      <c r="Z179" s="1321"/>
      <c r="AA179" s="1321"/>
      <c r="AB179" s="1321"/>
      <c r="AC179" s="1321"/>
      <c r="AD179" s="1321"/>
    </row>
    <row r="180" spans="1:30">
      <c r="A180" s="172"/>
      <c r="B180" s="199">
        <v>0.21099999999999999</v>
      </c>
      <c r="C180" s="190">
        <v>0.191</v>
      </c>
      <c r="D180" s="186">
        <f>1-B180-C180</f>
        <v>0.59800000000000009</v>
      </c>
      <c r="E180" s="1321"/>
      <c r="F180" s="1321"/>
      <c r="G180" s="1321"/>
      <c r="H180" s="1321"/>
      <c r="I180" s="1321"/>
      <c r="J180" s="1321"/>
      <c r="K180" s="1321"/>
      <c r="L180" s="1321"/>
      <c r="M180" s="1321"/>
      <c r="N180" s="1321"/>
      <c r="O180" s="1321"/>
      <c r="P180" s="1321"/>
      <c r="Q180" s="1321"/>
      <c r="R180" s="1321"/>
      <c r="S180" s="1321"/>
      <c r="T180" s="1321"/>
      <c r="U180" s="1321"/>
      <c r="V180" s="1321"/>
      <c r="W180" s="1321"/>
      <c r="X180" s="1321"/>
      <c r="Y180" s="1321"/>
      <c r="Z180" s="1321"/>
      <c r="AA180" s="1321"/>
      <c r="AB180" s="1321"/>
      <c r="AC180" s="1321"/>
      <c r="AD180" s="1321"/>
    </row>
    <row r="181" spans="1:30">
      <c r="A181" s="172"/>
      <c r="B181" s="1321"/>
      <c r="C181" s="1321"/>
      <c r="D181" s="1321"/>
      <c r="E181" s="1321"/>
      <c r="F181" s="1321"/>
      <c r="G181" s="1321"/>
      <c r="H181" s="1321"/>
      <c r="I181" s="1321"/>
      <c r="J181" s="1321"/>
      <c r="K181" s="1321"/>
      <c r="L181" s="1321"/>
      <c r="M181" s="1321"/>
      <c r="N181" s="1321"/>
      <c r="O181" s="1321"/>
      <c r="P181" s="1321"/>
      <c r="Q181" s="1321"/>
      <c r="R181" s="1321"/>
      <c r="S181" s="1321"/>
      <c r="T181" s="1321"/>
      <c r="U181" s="1321"/>
      <c r="V181" s="1321"/>
      <c r="W181" s="1321"/>
      <c r="X181" s="1321"/>
      <c r="Y181" s="1321"/>
      <c r="Z181" s="1321"/>
      <c r="AA181" s="1321"/>
      <c r="AB181" s="1321"/>
      <c r="AC181" s="1321"/>
      <c r="AD181" s="1321"/>
    </row>
    <row r="182" spans="1:30">
      <c r="A182" s="172" t="s">
        <v>331</v>
      </c>
      <c r="B182" s="1321"/>
      <c r="C182" s="1321"/>
      <c r="D182" s="1321"/>
      <c r="E182" s="1321"/>
      <c r="F182" s="1321"/>
      <c r="G182" s="1321"/>
      <c r="H182" s="1321"/>
      <c r="I182" s="1321"/>
      <c r="J182" s="1321"/>
      <c r="K182" s="1321"/>
      <c r="L182" s="1321"/>
      <c r="M182" s="1321"/>
      <c r="N182" s="1321"/>
      <c r="O182" s="1321"/>
      <c r="P182" s="1321"/>
      <c r="Q182" s="1321"/>
      <c r="R182" s="1321"/>
      <c r="S182" s="1321"/>
      <c r="T182" s="1321"/>
      <c r="U182" s="1321"/>
      <c r="V182" s="1321"/>
      <c r="W182" s="1321"/>
      <c r="X182" s="1321"/>
      <c r="Y182" s="1321"/>
      <c r="Z182" s="1321"/>
      <c r="AA182" s="1321"/>
      <c r="AB182" s="1321"/>
      <c r="AC182" s="1321"/>
      <c r="AD182" s="1321"/>
    </row>
    <row r="183" spans="1:30" ht="25.5">
      <c r="A183" s="172"/>
      <c r="B183" s="1627"/>
      <c r="C183" s="1628" t="s">
        <v>332</v>
      </c>
      <c r="D183" s="1628" t="s">
        <v>333</v>
      </c>
      <c r="E183" s="1628" t="s">
        <v>334</v>
      </c>
      <c r="F183" s="1628" t="s">
        <v>335</v>
      </c>
      <c r="G183" s="1628" t="s">
        <v>336</v>
      </c>
      <c r="H183" s="1628" t="s">
        <v>337</v>
      </c>
      <c r="I183" s="1628" t="s">
        <v>338</v>
      </c>
      <c r="J183" s="1629" t="s">
        <v>339</v>
      </c>
      <c r="K183" s="1321"/>
      <c r="L183" s="1321"/>
      <c r="M183" s="1321"/>
      <c r="N183" s="1321"/>
      <c r="O183" s="1321"/>
      <c r="P183" s="1321"/>
      <c r="Q183" s="1321"/>
      <c r="R183" s="1321"/>
      <c r="S183" s="1321"/>
      <c r="T183" s="1321"/>
      <c r="U183" s="1321"/>
      <c r="V183" s="1321"/>
      <c r="W183" s="1321"/>
      <c r="X183" s="1321"/>
      <c r="Y183" s="1321"/>
      <c r="Z183" s="1321"/>
      <c r="AA183" s="1321"/>
      <c r="AB183" s="1321"/>
      <c r="AC183" s="1321"/>
      <c r="AD183" s="1321"/>
    </row>
    <row r="184" spans="1:30">
      <c r="A184" s="172"/>
      <c r="B184" s="173" t="s">
        <v>340</v>
      </c>
      <c r="C184" s="194">
        <v>1.0309999999999999</v>
      </c>
      <c r="D184" s="194">
        <v>1.0149999999999999</v>
      </c>
      <c r="E184" s="194">
        <v>1.054</v>
      </c>
      <c r="F184" s="194">
        <v>1</v>
      </c>
      <c r="G184" s="1117">
        <v>1</v>
      </c>
      <c r="H184" s="122"/>
      <c r="I184" s="122"/>
      <c r="J184" s="195"/>
      <c r="K184" s="1321"/>
      <c r="L184" s="1321"/>
      <c r="M184" s="1321"/>
      <c r="N184" s="1321"/>
      <c r="O184" s="1321"/>
      <c r="P184" s="1321"/>
      <c r="Q184" s="1321"/>
      <c r="R184" s="1321"/>
      <c r="S184" s="1321"/>
      <c r="T184" s="1321"/>
      <c r="U184" s="1321"/>
      <c r="V184" s="1321"/>
      <c r="W184" s="1321"/>
      <c r="X184" s="1321"/>
      <c r="Y184" s="1321"/>
      <c r="Z184" s="1321"/>
      <c r="AA184" s="1321"/>
      <c r="AB184" s="1321"/>
      <c r="AC184" s="1321"/>
      <c r="AD184" s="1321"/>
    </row>
    <row r="185" spans="1:30">
      <c r="A185" s="172"/>
      <c r="B185" s="173" t="s">
        <v>341</v>
      </c>
      <c r="C185" s="122"/>
      <c r="D185" s="122"/>
      <c r="E185" s="122"/>
      <c r="F185" s="122"/>
      <c r="G185" s="122"/>
      <c r="H185" s="194">
        <v>1.0429999999999999</v>
      </c>
      <c r="I185" s="194">
        <v>1</v>
      </c>
      <c r="J185" s="196">
        <v>1</v>
      </c>
      <c r="K185" s="1321"/>
      <c r="L185" s="1321"/>
      <c r="M185" s="1321"/>
      <c r="N185" s="1321"/>
      <c r="O185" s="1321"/>
      <c r="P185" s="1321"/>
      <c r="Q185" s="1321"/>
      <c r="R185" s="1321"/>
      <c r="S185" s="1321"/>
      <c r="T185" s="1321"/>
      <c r="U185" s="1321"/>
      <c r="V185" s="1321"/>
      <c r="W185" s="1321"/>
      <c r="X185" s="1321"/>
      <c r="Y185" s="1321"/>
      <c r="Z185" s="1321"/>
      <c r="AA185" s="1321"/>
      <c r="AB185" s="1321"/>
      <c r="AC185" s="1321"/>
      <c r="AD185" s="1321"/>
    </row>
    <row r="186" spans="1:30">
      <c r="A186" s="172"/>
      <c r="B186" s="173" t="s">
        <v>342</v>
      </c>
      <c r="C186" s="122"/>
      <c r="D186" s="122"/>
      <c r="E186" s="122"/>
      <c r="F186" s="122"/>
      <c r="G186" s="122"/>
      <c r="H186" s="194">
        <v>1.0429999999999999</v>
      </c>
      <c r="I186" s="194">
        <v>1</v>
      </c>
      <c r="J186" s="196">
        <v>1</v>
      </c>
      <c r="K186" s="1321"/>
      <c r="L186" s="1321"/>
      <c r="M186" s="1321"/>
      <c r="N186" s="1321"/>
      <c r="O186" s="1321"/>
      <c r="P186" s="1321"/>
      <c r="Q186" s="1321"/>
      <c r="R186" s="1321"/>
      <c r="S186" s="1321"/>
      <c r="T186" s="1321"/>
      <c r="U186" s="1321"/>
      <c r="V186" s="1321"/>
      <c r="W186" s="1321"/>
      <c r="X186" s="1321"/>
      <c r="Y186" s="1321"/>
      <c r="Z186" s="1321"/>
      <c r="AA186" s="1321"/>
      <c r="AB186" s="1321"/>
      <c r="AC186" s="1321"/>
      <c r="AD186" s="1321"/>
    </row>
    <row r="187" spans="1:30">
      <c r="A187" s="172"/>
      <c r="B187" s="174" t="s">
        <v>280</v>
      </c>
      <c r="C187" s="124"/>
      <c r="D187" s="124"/>
      <c r="E187" s="124"/>
      <c r="F187" s="124"/>
      <c r="G187" s="124"/>
      <c r="H187" s="197">
        <v>1.61</v>
      </c>
      <c r="I187" s="197">
        <v>1</v>
      </c>
      <c r="J187" s="198">
        <v>1</v>
      </c>
      <c r="K187" s="1321"/>
      <c r="L187" s="1321"/>
      <c r="M187" s="1321"/>
      <c r="N187" s="1321"/>
      <c r="O187" s="1321"/>
      <c r="P187" s="1321"/>
      <c r="Q187" s="1321"/>
      <c r="R187" s="1321"/>
      <c r="S187" s="1321"/>
      <c r="T187" s="1321"/>
      <c r="U187" s="1321"/>
      <c r="V187" s="1321"/>
      <c r="W187" s="1321"/>
      <c r="X187" s="1321"/>
      <c r="Y187" s="1321"/>
      <c r="Z187" s="1321"/>
      <c r="AA187" s="1321"/>
      <c r="AB187" s="1321"/>
      <c r="AC187" s="1321"/>
      <c r="AD187" s="1321"/>
    </row>
    <row r="188" spans="1:30">
      <c r="A188" s="172"/>
      <c r="B188" s="1321"/>
      <c r="C188" s="1321"/>
      <c r="D188" s="1321"/>
      <c r="E188" s="1321"/>
      <c r="F188" s="1321"/>
      <c r="G188" s="1321"/>
      <c r="H188" s="1321"/>
      <c r="I188" s="1321"/>
      <c r="J188" s="1321"/>
      <c r="K188" s="1321"/>
      <c r="L188" s="1321"/>
      <c r="M188" s="1321"/>
      <c r="N188" s="1321"/>
      <c r="O188" s="1321"/>
      <c r="P188" s="1321"/>
      <c r="Q188" s="1321"/>
      <c r="R188" s="1321"/>
      <c r="S188" s="1321"/>
      <c r="T188" s="1321"/>
      <c r="U188" s="1321"/>
      <c r="V188" s="1321"/>
      <c r="W188" s="1321"/>
      <c r="X188" s="1321"/>
      <c r="Y188" s="1321"/>
      <c r="Z188" s="1321"/>
      <c r="AA188" s="1321"/>
      <c r="AB188" s="1321"/>
      <c r="AC188" s="1321"/>
      <c r="AD188" s="1321"/>
    </row>
    <row r="189" spans="1:30">
      <c r="A189" s="172" t="s">
        <v>343</v>
      </c>
      <c r="B189" s="1321"/>
      <c r="C189" s="1321"/>
      <c r="D189" s="1321"/>
      <c r="E189" s="1321"/>
      <c r="F189" s="1321"/>
      <c r="G189" s="1321"/>
      <c r="H189" s="1321"/>
      <c r="I189" s="1321"/>
      <c r="J189" s="1321"/>
      <c r="K189" s="1321"/>
      <c r="L189" s="1321"/>
      <c r="M189" s="1321"/>
      <c r="N189" s="1321"/>
      <c r="O189" s="1321"/>
      <c r="P189" s="1321"/>
      <c r="Q189" s="1321"/>
      <c r="R189" s="1321"/>
      <c r="S189" s="1321"/>
      <c r="T189" s="1321"/>
      <c r="U189" s="1321"/>
      <c r="V189" s="1321"/>
      <c r="W189" s="1321"/>
      <c r="X189" s="1321"/>
      <c r="Y189" s="1321"/>
      <c r="Z189" s="1321"/>
      <c r="AA189" s="1321"/>
      <c r="AB189" s="1321"/>
      <c r="AC189" s="1321"/>
      <c r="AD189" s="1321"/>
    </row>
    <row r="190" spans="1:30">
      <c r="A190" s="172"/>
      <c r="B190" s="1630" t="s">
        <v>281</v>
      </c>
      <c r="C190" s="1629" t="s">
        <v>344</v>
      </c>
      <c r="D190" s="1321"/>
      <c r="E190" s="1321"/>
      <c r="F190" s="1321"/>
      <c r="G190" s="1321"/>
      <c r="H190" s="1321"/>
      <c r="I190" s="1321"/>
      <c r="J190" s="1321"/>
      <c r="K190" s="1321"/>
      <c r="L190" s="1321"/>
      <c r="M190" s="1321"/>
      <c r="N190" s="1321"/>
      <c r="O190" s="1321"/>
      <c r="P190" s="1321"/>
      <c r="Q190" s="1321"/>
      <c r="R190" s="1321"/>
      <c r="S190" s="1321"/>
      <c r="T190" s="1321"/>
      <c r="U190" s="1321"/>
      <c r="V190" s="1321"/>
      <c r="W190" s="1321"/>
      <c r="X190" s="1321"/>
      <c r="Y190" s="1321"/>
      <c r="Z190" s="1321"/>
      <c r="AA190" s="1321"/>
      <c r="AB190" s="1321"/>
      <c r="AC190" s="1321"/>
      <c r="AD190" s="1321"/>
    </row>
    <row r="191" spans="1:30">
      <c r="A191" s="172"/>
      <c r="B191" s="199">
        <v>0.85</v>
      </c>
      <c r="C191" s="186">
        <f>1-B191</f>
        <v>0.15000000000000002</v>
      </c>
      <c r="D191" s="1321"/>
      <c r="E191" s="1321"/>
      <c r="F191" s="1321"/>
      <c r="G191" s="1321"/>
      <c r="H191" s="1321"/>
      <c r="I191" s="1321"/>
      <c r="J191" s="1321"/>
      <c r="K191" s="1321"/>
      <c r="L191" s="1321"/>
      <c r="M191" s="1321"/>
      <c r="N191" s="1321"/>
      <c r="O191" s="1321"/>
      <c r="P191" s="1321"/>
      <c r="Q191" s="1321"/>
      <c r="R191" s="1321"/>
      <c r="S191" s="1321"/>
      <c r="T191" s="1321"/>
      <c r="U191" s="1321"/>
      <c r="V191" s="1321"/>
      <c r="W191" s="1321"/>
      <c r="X191" s="1321"/>
      <c r="Y191" s="1321"/>
      <c r="Z191" s="1321"/>
      <c r="AA191" s="1321"/>
      <c r="AB191" s="1321"/>
      <c r="AC191" s="1321"/>
      <c r="AD191" s="1321"/>
    </row>
    <row r="192" spans="1:30">
      <c r="A192" s="172"/>
      <c r="B192" s="1321"/>
      <c r="C192" s="1321"/>
      <c r="D192" s="1321"/>
      <c r="E192" s="1321"/>
      <c r="F192" s="1321"/>
      <c r="G192" s="1321"/>
      <c r="H192" s="1321"/>
      <c r="I192" s="1321"/>
      <c r="J192" s="1321"/>
      <c r="K192" s="1321"/>
      <c r="L192" s="1321"/>
      <c r="M192" s="1321"/>
      <c r="N192" s="1321"/>
      <c r="O192" s="1321"/>
      <c r="P192" s="1321"/>
      <c r="Q192" s="1321"/>
      <c r="R192" s="1321"/>
      <c r="S192" s="1321"/>
      <c r="T192" s="1321"/>
      <c r="U192" s="1321"/>
      <c r="V192" s="1321"/>
      <c r="W192" s="1321"/>
      <c r="X192" s="1321"/>
      <c r="Y192" s="1321"/>
      <c r="Z192" s="1321"/>
      <c r="AA192" s="1321"/>
      <c r="AB192" s="1321"/>
      <c r="AC192" s="1321"/>
      <c r="AD192" s="1321"/>
    </row>
    <row r="193" spans="1:13">
      <c r="A193" s="172" t="s">
        <v>345</v>
      </c>
      <c r="B193" s="1321"/>
      <c r="C193" s="1321"/>
      <c r="D193" s="1321"/>
      <c r="E193" s="1321"/>
      <c r="F193" s="1321"/>
      <c r="G193" s="1321"/>
      <c r="H193" s="1321"/>
      <c r="I193" s="1321"/>
      <c r="J193" s="1321"/>
      <c r="K193" s="1321"/>
      <c r="L193" s="1321"/>
      <c r="M193" s="1321"/>
    </row>
    <row r="194" spans="1:13">
      <c r="A194" s="172"/>
      <c r="B194" s="1630" t="s">
        <v>328</v>
      </c>
      <c r="C194" s="1628" t="s">
        <v>329</v>
      </c>
      <c r="D194" s="1629" t="s">
        <v>346</v>
      </c>
      <c r="E194" s="1321"/>
      <c r="F194" s="1321"/>
      <c r="G194" s="1321"/>
      <c r="H194" s="1321"/>
      <c r="I194" s="1321"/>
      <c r="J194" s="1321"/>
      <c r="K194" s="1321"/>
      <c r="L194" s="1321"/>
      <c r="M194" s="1321"/>
    </row>
    <row r="195" spans="1:13">
      <c r="A195" s="172"/>
      <c r="B195" s="199">
        <v>0</v>
      </c>
      <c r="C195" s="190">
        <v>0.13</v>
      </c>
      <c r="D195" s="186">
        <f>1-B195-C195</f>
        <v>0.87</v>
      </c>
      <c r="E195" s="1321"/>
      <c r="F195" s="1321"/>
      <c r="G195" s="1321"/>
      <c r="H195" s="1321"/>
      <c r="I195" s="1321"/>
      <c r="J195" s="1321"/>
      <c r="K195" s="1321"/>
      <c r="L195" s="1321"/>
      <c r="M195" s="1321"/>
    </row>
    <row r="196" spans="1:13">
      <c r="A196" s="172"/>
      <c r="B196" s="1321"/>
      <c r="C196" s="1321"/>
      <c r="D196" s="1321"/>
      <c r="E196" s="1321" t="s">
        <v>135</v>
      </c>
      <c r="F196" s="1321"/>
      <c r="G196" s="1321"/>
      <c r="H196" s="1321"/>
      <c r="I196" s="1321"/>
      <c r="J196" s="1321"/>
      <c r="K196" s="1321"/>
      <c r="L196" s="1321"/>
      <c r="M196" s="1321"/>
    </row>
    <row r="197" spans="1:13">
      <c r="A197" s="172" t="s">
        <v>347</v>
      </c>
      <c r="B197" s="1321"/>
      <c r="C197" s="1321"/>
      <c r="D197" s="1321"/>
      <c r="E197" s="1321"/>
      <c r="F197" s="1321"/>
      <c r="G197" s="1321"/>
      <c r="H197" s="1321"/>
      <c r="I197" s="1321"/>
      <c r="J197" s="1321"/>
      <c r="K197" s="1321"/>
      <c r="L197" s="1321"/>
      <c r="M197" s="1321"/>
    </row>
    <row r="198" spans="1:13" ht="38.25">
      <c r="A198" s="172"/>
      <c r="B198" s="1627"/>
      <c r="C198" s="1628" t="s">
        <v>348</v>
      </c>
      <c r="D198" s="1628" t="s">
        <v>349</v>
      </c>
      <c r="E198" s="1628" t="s">
        <v>350</v>
      </c>
      <c r="F198" s="1628" t="s">
        <v>351</v>
      </c>
      <c r="G198" s="1628" t="s">
        <v>352</v>
      </c>
      <c r="H198" s="1628" t="s">
        <v>353</v>
      </c>
      <c r="I198" s="1628" t="s">
        <v>354</v>
      </c>
      <c r="J198" s="1628" t="s">
        <v>332</v>
      </c>
      <c r="K198" s="1628" t="s">
        <v>334</v>
      </c>
      <c r="L198" s="1628" t="s">
        <v>336</v>
      </c>
      <c r="M198" s="1629" t="s">
        <v>355</v>
      </c>
    </row>
    <row r="199" spans="1:13">
      <c r="A199" s="172"/>
      <c r="B199" s="201" t="s">
        <v>356</v>
      </c>
      <c r="C199" s="206">
        <v>1</v>
      </c>
      <c r="D199" s="206">
        <v>1</v>
      </c>
      <c r="E199" s="206">
        <v>1</v>
      </c>
      <c r="F199" s="206">
        <v>1</v>
      </c>
      <c r="G199" s="206">
        <v>1.02</v>
      </c>
      <c r="H199" s="203"/>
      <c r="I199" s="203"/>
      <c r="J199" s="206">
        <v>1.0349999999999999</v>
      </c>
      <c r="K199" s="203"/>
      <c r="L199" s="1118">
        <v>1</v>
      </c>
      <c r="M199" s="204"/>
    </row>
    <row r="200" spans="1:13">
      <c r="A200" s="172"/>
      <c r="B200" s="201" t="s">
        <v>357</v>
      </c>
      <c r="C200" s="206">
        <v>1</v>
      </c>
      <c r="D200" s="206">
        <v>1</v>
      </c>
      <c r="E200" s="206">
        <v>1</v>
      </c>
      <c r="F200" s="206">
        <v>1</v>
      </c>
      <c r="G200" s="206">
        <v>1.02</v>
      </c>
      <c r="H200" s="203"/>
      <c r="I200" s="203"/>
      <c r="J200" s="206">
        <v>1.0349999999999999</v>
      </c>
      <c r="K200" s="206">
        <v>1</v>
      </c>
      <c r="L200" s="1118">
        <v>1</v>
      </c>
      <c r="M200" s="204"/>
    </row>
    <row r="201" spans="1:13">
      <c r="A201" s="172"/>
      <c r="B201" s="201" t="s">
        <v>358</v>
      </c>
      <c r="C201" s="206">
        <v>1</v>
      </c>
      <c r="D201" s="206">
        <v>1</v>
      </c>
      <c r="E201" s="206">
        <v>1</v>
      </c>
      <c r="F201" s="206">
        <v>1</v>
      </c>
      <c r="G201" s="206">
        <v>1.02</v>
      </c>
      <c r="H201" s="203"/>
      <c r="I201" s="203"/>
      <c r="J201" s="203"/>
      <c r="K201" s="203"/>
      <c r="L201" s="203"/>
      <c r="M201" s="207">
        <v>1</v>
      </c>
    </row>
    <row r="202" spans="1:13">
      <c r="A202" s="172"/>
      <c r="B202" s="201" t="s">
        <v>359</v>
      </c>
      <c r="C202" s="203"/>
      <c r="D202" s="203"/>
      <c r="E202" s="203"/>
      <c r="F202" s="203"/>
      <c r="G202" s="203"/>
      <c r="H202" s="206">
        <v>0.96799999999999997</v>
      </c>
      <c r="I202" s="206">
        <v>1</v>
      </c>
      <c r="J202" s="206">
        <v>1.0349999999999999</v>
      </c>
      <c r="K202" s="203"/>
      <c r="L202" s="1118">
        <v>1</v>
      </c>
      <c r="M202" s="204"/>
    </row>
    <row r="203" spans="1:13">
      <c r="A203" s="172"/>
      <c r="B203" s="201" t="s">
        <v>360</v>
      </c>
      <c r="C203" s="203"/>
      <c r="D203" s="203"/>
      <c r="E203" s="203"/>
      <c r="F203" s="203"/>
      <c r="G203" s="203"/>
      <c r="H203" s="206">
        <v>0.96799999999999997</v>
      </c>
      <c r="I203" s="206">
        <v>1</v>
      </c>
      <c r="J203" s="206">
        <v>1.0349999999999999</v>
      </c>
      <c r="K203" s="206">
        <v>1</v>
      </c>
      <c r="L203" s="1118">
        <v>1</v>
      </c>
      <c r="M203" s="204"/>
    </row>
    <row r="204" spans="1:13">
      <c r="A204" s="172"/>
      <c r="B204" s="202" t="s">
        <v>361</v>
      </c>
      <c r="C204" s="205"/>
      <c r="D204" s="205"/>
      <c r="E204" s="205"/>
      <c r="F204" s="205"/>
      <c r="G204" s="205"/>
      <c r="H204" s="208">
        <v>0.96799999999999997</v>
      </c>
      <c r="I204" s="208">
        <v>1</v>
      </c>
      <c r="J204" s="205"/>
      <c r="K204" s="205"/>
      <c r="L204" s="205"/>
      <c r="M204" s="209">
        <v>1</v>
      </c>
    </row>
    <row r="205" spans="1:13">
      <c r="A205" s="172"/>
      <c r="B205" s="1321"/>
      <c r="C205" s="1321"/>
      <c r="D205" s="1321"/>
      <c r="E205" s="1321"/>
      <c r="F205" s="1321"/>
      <c r="G205" s="1321"/>
      <c r="H205" s="1321"/>
      <c r="I205" s="1321"/>
      <c r="J205" s="1321"/>
      <c r="K205" s="1321"/>
      <c r="L205" s="1321"/>
      <c r="M205" s="1321"/>
    </row>
    <row r="206" spans="1:13">
      <c r="A206" s="172" t="s">
        <v>362</v>
      </c>
      <c r="B206" s="1321"/>
      <c r="C206" s="1321"/>
      <c r="D206" s="1321"/>
      <c r="E206" s="1321"/>
      <c r="F206" s="1321"/>
      <c r="G206" s="1321"/>
      <c r="H206" s="1321"/>
      <c r="I206" s="1321"/>
      <c r="J206" s="1321"/>
      <c r="K206" s="1321"/>
      <c r="L206" s="1321"/>
      <c r="M206" s="1321"/>
    </row>
    <row r="207" spans="1:13" ht="38.25">
      <c r="A207" s="172"/>
      <c r="B207" s="1627"/>
      <c r="C207" s="1628" t="s">
        <v>348</v>
      </c>
      <c r="D207" s="1628" t="s">
        <v>349</v>
      </c>
      <c r="E207" s="1628" t="s">
        <v>350</v>
      </c>
      <c r="F207" s="1628" t="s">
        <v>351</v>
      </c>
      <c r="G207" s="1628" t="s">
        <v>352</v>
      </c>
      <c r="H207" s="1628" t="s">
        <v>353</v>
      </c>
      <c r="I207" s="1628" t="s">
        <v>354</v>
      </c>
      <c r="J207" s="1628" t="s">
        <v>363</v>
      </c>
      <c r="K207" s="1629" t="s">
        <v>339</v>
      </c>
      <c r="L207" s="1321"/>
      <c r="M207" s="1321"/>
    </row>
    <row r="208" spans="1:13">
      <c r="A208" s="172"/>
      <c r="B208" s="191" t="s">
        <v>364</v>
      </c>
      <c r="C208" s="194">
        <v>1</v>
      </c>
      <c r="D208" s="194">
        <v>1</v>
      </c>
      <c r="E208" s="194">
        <v>1</v>
      </c>
      <c r="F208" s="194">
        <v>1</v>
      </c>
      <c r="G208" s="194">
        <v>1.02</v>
      </c>
      <c r="H208" s="1"/>
      <c r="I208" s="1"/>
      <c r="J208" s="194">
        <v>1.107</v>
      </c>
      <c r="K208" s="196">
        <v>1</v>
      </c>
      <c r="L208" s="1321"/>
      <c r="M208" s="1321"/>
    </row>
    <row r="209" spans="1:17">
      <c r="A209" s="172"/>
      <c r="B209" s="192" t="s">
        <v>365</v>
      </c>
      <c r="C209" s="125"/>
      <c r="D209" s="125"/>
      <c r="E209" s="125"/>
      <c r="F209" s="125"/>
      <c r="G209" s="125"/>
      <c r="H209" s="197">
        <v>0.96799999999999997</v>
      </c>
      <c r="I209" s="208">
        <v>1</v>
      </c>
      <c r="J209" s="197">
        <v>1.107</v>
      </c>
      <c r="K209" s="198">
        <v>1</v>
      </c>
      <c r="L209" s="1321"/>
      <c r="M209" s="1321"/>
      <c r="N209" s="1321"/>
      <c r="O209" s="1321"/>
      <c r="P209" s="1321"/>
      <c r="Q209" s="1321"/>
    </row>
    <row r="210" spans="1:17">
      <c r="A210" s="172"/>
      <c r="B210" s="1321"/>
      <c r="C210" s="1321"/>
      <c r="D210" s="1321"/>
      <c r="E210" s="1321"/>
      <c r="F210" s="1321"/>
      <c r="G210" s="1321"/>
      <c r="H210" s="1321"/>
      <c r="I210" s="1321"/>
      <c r="J210" s="1321"/>
      <c r="K210" s="1321"/>
      <c r="L210" s="1321"/>
      <c r="M210" s="1321"/>
      <c r="N210" s="1321"/>
      <c r="O210" s="1321"/>
      <c r="P210" s="1321"/>
      <c r="Q210" s="1321"/>
    </row>
    <row r="211" spans="1:17">
      <c r="A211" s="172" t="s">
        <v>366</v>
      </c>
      <c r="B211" s="1321"/>
      <c r="C211" s="1321"/>
      <c r="D211" s="1321"/>
      <c r="E211" s="1321"/>
      <c r="F211" s="1321"/>
      <c r="G211" s="1321"/>
      <c r="H211" s="1321"/>
      <c r="I211" s="1321"/>
      <c r="J211" s="1321"/>
      <c r="K211" s="1321"/>
      <c r="L211" s="1321"/>
      <c r="M211" s="1321"/>
      <c r="N211" s="1321"/>
      <c r="O211" s="1321"/>
      <c r="P211" s="1321"/>
      <c r="Q211" s="1321"/>
    </row>
    <row r="212" spans="1:17">
      <c r="A212" s="172"/>
      <c r="B212" s="189">
        <v>0.63300000000000001</v>
      </c>
      <c r="C212" s="1321"/>
      <c r="D212" s="1321"/>
      <c r="E212" s="1321"/>
      <c r="F212" s="1321"/>
      <c r="G212" s="1321"/>
      <c r="H212" s="1321"/>
      <c r="I212" s="1321"/>
      <c r="J212" s="1321"/>
      <c r="K212" s="1321"/>
      <c r="L212" s="1321"/>
      <c r="M212" s="1321"/>
      <c r="N212" s="1321"/>
      <c r="O212" s="1321"/>
      <c r="P212" s="1321"/>
      <c r="Q212" s="1321"/>
    </row>
    <row r="213" spans="1:17">
      <c r="A213" s="172"/>
      <c r="B213" s="1321"/>
      <c r="C213" s="1321"/>
      <c r="D213" s="1321"/>
      <c r="E213" s="1321"/>
      <c r="F213" s="1321"/>
      <c r="G213" s="1321"/>
      <c r="H213" s="1321"/>
      <c r="I213" s="1321"/>
      <c r="J213" s="1321"/>
      <c r="K213" s="1321"/>
      <c r="L213" s="1321"/>
      <c r="M213" s="1321"/>
      <c r="N213" s="1321"/>
      <c r="O213" s="1321"/>
      <c r="P213" s="1321"/>
      <c r="Q213" s="1321"/>
    </row>
    <row r="214" spans="1:17">
      <c r="A214" s="172" t="s">
        <v>367</v>
      </c>
      <c r="B214" s="1321"/>
      <c r="C214" s="1321"/>
      <c r="D214" s="1321"/>
      <c r="E214" s="1321"/>
      <c r="F214" s="1321"/>
      <c r="G214" s="1321"/>
      <c r="H214" s="1321"/>
      <c r="I214" s="1321"/>
      <c r="J214" s="1321"/>
      <c r="K214" s="1321"/>
      <c r="L214" s="1321"/>
      <c r="M214" s="1321"/>
      <c r="N214" s="1321"/>
      <c r="O214" s="1321"/>
      <c r="P214" s="1321"/>
      <c r="Q214" s="1321"/>
    </row>
    <row r="215" spans="1:17">
      <c r="A215" s="172"/>
      <c r="B215" s="1625" t="s">
        <v>58</v>
      </c>
      <c r="C215" s="1626" t="s">
        <v>368</v>
      </c>
      <c r="D215" s="1321"/>
      <c r="E215" s="1321"/>
      <c r="F215" s="1321"/>
      <c r="G215" s="1321"/>
      <c r="H215" s="1321"/>
      <c r="I215" s="1321"/>
      <c r="J215" s="1321"/>
      <c r="K215" s="1321"/>
      <c r="L215" s="1321"/>
      <c r="M215" s="1321"/>
      <c r="N215" s="1321"/>
      <c r="O215" s="1321"/>
      <c r="P215" s="1321"/>
      <c r="Q215" s="1321"/>
    </row>
    <row r="216" spans="1:17">
      <c r="A216" s="172"/>
      <c r="B216" s="199">
        <v>0</v>
      </c>
      <c r="C216" s="186">
        <f>1-B216</f>
        <v>1</v>
      </c>
      <c r="D216" s="1321"/>
      <c r="E216" s="1321"/>
      <c r="F216" s="1321"/>
      <c r="G216" s="1321"/>
      <c r="H216" s="1321"/>
      <c r="I216" s="1321"/>
      <c r="J216" s="1321"/>
      <c r="K216" s="1321"/>
      <c r="L216" s="1321"/>
      <c r="M216" s="1321"/>
      <c r="N216" s="1321"/>
      <c r="O216" s="1321"/>
      <c r="P216" s="1321"/>
      <c r="Q216" s="1321"/>
    </row>
    <row r="217" spans="1:17">
      <c r="A217" s="172"/>
      <c r="B217" s="1321"/>
      <c r="C217" s="1321"/>
      <c r="D217" s="1321"/>
      <c r="E217" s="1321"/>
      <c r="F217" s="1321"/>
      <c r="G217" s="1321"/>
      <c r="H217" s="1321"/>
      <c r="I217" s="1321"/>
      <c r="J217" s="1321"/>
      <c r="K217" s="1321"/>
      <c r="L217" s="1321"/>
      <c r="M217" s="1321"/>
      <c r="N217" s="1321"/>
      <c r="O217" s="1321"/>
      <c r="P217" s="1321"/>
      <c r="Q217" s="1321"/>
    </row>
    <row r="218" spans="1:17">
      <c r="A218" s="172" t="s">
        <v>369</v>
      </c>
      <c r="B218" s="1321"/>
      <c r="C218" s="1321"/>
      <c r="D218" s="1321"/>
      <c r="E218" s="1321"/>
      <c r="F218" s="1321"/>
      <c r="G218" s="1321"/>
      <c r="H218" s="1321"/>
      <c r="I218" s="1321"/>
      <c r="J218" s="1321"/>
      <c r="K218" s="1321"/>
      <c r="L218" s="1321"/>
      <c r="M218" s="1321"/>
      <c r="N218" s="1321"/>
      <c r="O218" s="1321"/>
      <c r="P218" s="1321"/>
      <c r="Q218" s="1321"/>
    </row>
    <row r="219" spans="1:17" ht="27" customHeight="1">
      <c r="A219" s="172"/>
      <c r="B219" s="1630" t="s">
        <v>370</v>
      </c>
      <c r="C219" s="1628" t="s">
        <v>371</v>
      </c>
      <c r="D219" s="1628" t="s">
        <v>372</v>
      </c>
      <c r="E219" s="1628" t="s">
        <v>373</v>
      </c>
      <c r="F219" s="1628" t="s">
        <v>374</v>
      </c>
      <c r="G219" s="1628" t="s">
        <v>375</v>
      </c>
      <c r="H219" s="1628" t="s">
        <v>376</v>
      </c>
      <c r="I219" s="1628" t="s">
        <v>377</v>
      </c>
      <c r="J219" s="1628" t="s">
        <v>378</v>
      </c>
      <c r="K219" s="1628" t="s">
        <v>379</v>
      </c>
      <c r="L219" s="1628" t="s">
        <v>380</v>
      </c>
      <c r="M219" s="1628" t="s">
        <v>381</v>
      </c>
      <c r="N219" s="1628" t="s">
        <v>382</v>
      </c>
      <c r="O219" s="1628" t="s">
        <v>383</v>
      </c>
      <c r="P219" s="1628" t="s">
        <v>384</v>
      </c>
      <c r="Q219" s="1629" t="s">
        <v>385</v>
      </c>
    </row>
    <row r="220" spans="1:17">
      <c r="A220" s="172"/>
      <c r="B220" s="199">
        <v>7.5999999999999998E-2</v>
      </c>
      <c r="C220" s="190">
        <v>7.0999999999999994E-2</v>
      </c>
      <c r="D220" s="190">
        <v>0.107</v>
      </c>
      <c r="E220" s="190">
        <v>7.0000000000000001E-3</v>
      </c>
      <c r="F220" s="190">
        <v>7.0000000000000001E-3</v>
      </c>
      <c r="G220" s="190">
        <v>1.4E-2</v>
      </c>
      <c r="H220" s="190">
        <v>1.4E-2</v>
      </c>
      <c r="I220" s="190">
        <v>1.4E-2</v>
      </c>
      <c r="J220" s="190">
        <v>1.0999999999999999E-2</v>
      </c>
      <c r="K220" s="190">
        <v>7.0000000000000007E-2</v>
      </c>
      <c r="L220" s="190">
        <v>3.5000000000000003E-2</v>
      </c>
      <c r="M220" s="190">
        <v>1.7000000000000001E-2</v>
      </c>
      <c r="N220" s="190">
        <v>0.18099999999999999</v>
      </c>
      <c r="O220" s="190">
        <v>0.122</v>
      </c>
      <c r="P220" s="190">
        <v>0.11600000000000001</v>
      </c>
      <c r="Q220" s="210">
        <f>1-SUM(B220:P220)</f>
        <v>0.1379999999999999</v>
      </c>
    </row>
    <row r="221" spans="1:17">
      <c r="A221" s="172"/>
      <c r="B221" s="1321"/>
      <c r="C221" s="1321"/>
      <c r="D221" s="1321"/>
      <c r="E221" s="1321"/>
      <c r="F221" s="1321"/>
      <c r="G221" s="1321"/>
      <c r="H221" s="1321"/>
      <c r="I221" s="1321"/>
      <c r="J221" s="1321"/>
      <c r="K221" s="1321"/>
      <c r="L221" s="1321"/>
      <c r="M221" s="1321"/>
      <c r="N221" s="1321"/>
      <c r="O221" s="1321"/>
      <c r="P221" s="1321"/>
      <c r="Q221" s="1321"/>
    </row>
    <row r="222" spans="1:17">
      <c r="A222" s="172" t="s">
        <v>386</v>
      </c>
      <c r="B222" s="1321"/>
      <c r="C222" s="1321"/>
      <c r="D222" s="1321"/>
      <c r="E222" s="1321"/>
      <c r="F222" s="1321"/>
      <c r="G222" s="1321"/>
      <c r="H222" s="1321"/>
      <c r="I222" s="1321"/>
      <c r="J222" s="1321"/>
      <c r="K222" s="1321"/>
      <c r="L222" s="1321"/>
      <c r="M222" s="1321"/>
      <c r="N222" s="1321"/>
      <c r="O222" s="1321"/>
      <c r="P222" s="1321"/>
      <c r="Q222" s="1321"/>
    </row>
    <row r="223" spans="1:17">
      <c r="A223" s="172"/>
      <c r="B223" s="80"/>
      <c r="C223" s="131" t="s">
        <v>372</v>
      </c>
      <c r="D223" s="131" t="s">
        <v>368</v>
      </c>
      <c r="E223" s="50" t="s">
        <v>387</v>
      </c>
      <c r="F223" s="1321"/>
      <c r="G223" s="1321"/>
      <c r="H223" s="1321"/>
      <c r="I223" s="1321"/>
      <c r="J223" s="1321"/>
      <c r="K223" s="1321"/>
      <c r="L223" s="1321"/>
      <c r="M223" s="1321"/>
      <c r="N223" s="1321"/>
      <c r="O223" s="1321"/>
      <c r="P223" s="1321"/>
      <c r="Q223" s="1321"/>
    </row>
    <row r="224" spans="1:17">
      <c r="A224" s="172"/>
      <c r="B224" s="173" t="s">
        <v>388</v>
      </c>
      <c r="C224" s="1">
        <v>0.3</v>
      </c>
      <c r="D224" s="1">
        <v>0.3</v>
      </c>
      <c r="E224" s="51">
        <f>1-C224-D224</f>
        <v>0.39999999999999997</v>
      </c>
      <c r="F224" s="1321"/>
      <c r="G224" s="1321"/>
      <c r="H224" s="1321"/>
      <c r="I224" s="1321"/>
      <c r="J224" s="1321"/>
      <c r="K224" s="1321"/>
      <c r="L224" s="1321"/>
      <c r="M224" s="1321"/>
      <c r="N224" s="1321"/>
      <c r="O224" s="1321"/>
      <c r="P224" s="1321"/>
      <c r="Q224" s="1321"/>
    </row>
    <row r="225" spans="1:5">
      <c r="A225" s="1321"/>
      <c r="B225" s="173" t="s">
        <v>389</v>
      </c>
      <c r="C225" s="1">
        <v>0.4</v>
      </c>
      <c r="D225" s="1">
        <v>0.6</v>
      </c>
      <c r="E225" s="51">
        <f>1-C225-D225</f>
        <v>0</v>
      </c>
    </row>
    <row r="226" spans="1:5">
      <c r="A226" s="1321"/>
      <c r="B226" s="174" t="s">
        <v>390</v>
      </c>
      <c r="C226" s="125">
        <v>0.5</v>
      </c>
      <c r="D226" s="125">
        <v>0.5</v>
      </c>
      <c r="E226" s="85">
        <f>1-C226-D226</f>
        <v>0</v>
      </c>
    </row>
    <row r="227" spans="1:5">
      <c r="A227" s="172"/>
      <c r="B227" s="173"/>
      <c r="C227" s="1" t="s">
        <v>372</v>
      </c>
      <c r="D227" s="51" t="s">
        <v>391</v>
      </c>
      <c r="E227" s="1321"/>
    </row>
    <row r="228" spans="1:5" ht="25.5">
      <c r="A228" s="172"/>
      <c r="B228" s="590" t="s">
        <v>286</v>
      </c>
      <c r="C228" s="187">
        <v>0.7</v>
      </c>
      <c r="D228" s="184">
        <f>1-C228</f>
        <v>0.30000000000000004</v>
      </c>
      <c r="E228" s="1321"/>
    </row>
    <row r="229" spans="1:5" ht="25.5">
      <c r="A229" s="172"/>
      <c r="B229" s="200" t="s">
        <v>287</v>
      </c>
      <c r="C229" s="941">
        <v>0.32</v>
      </c>
      <c r="D229" s="428">
        <f>1-C229</f>
        <v>0.67999999999999994</v>
      </c>
      <c r="E229" s="1321"/>
    </row>
    <row r="230" spans="1:5">
      <c r="A230" s="172"/>
      <c r="B230" s="1321"/>
      <c r="C230" s="1321"/>
      <c r="D230" s="1321"/>
      <c r="E230" s="1321"/>
    </row>
    <row r="231" spans="1:5">
      <c r="A231" s="172" t="s">
        <v>392</v>
      </c>
      <c r="B231" s="1321"/>
      <c r="C231" s="1321"/>
      <c r="D231" s="1321"/>
      <c r="E231" s="1321"/>
    </row>
    <row r="232" spans="1:5">
      <c r="A232" s="172"/>
      <c r="B232" s="80" t="s">
        <v>288</v>
      </c>
      <c r="C232" s="211">
        <v>1.1399999999999999</v>
      </c>
      <c r="D232" s="1321"/>
      <c r="E232" s="1321"/>
    </row>
    <row r="233" spans="1:5">
      <c r="A233" s="172"/>
      <c r="B233" s="173" t="s">
        <v>393</v>
      </c>
      <c r="C233" s="196">
        <v>1.1399999999999999</v>
      </c>
      <c r="D233" s="1321"/>
      <c r="E233" s="1321"/>
    </row>
    <row r="234" spans="1:5">
      <c r="A234" s="172"/>
      <c r="B234" s="173" t="s">
        <v>394</v>
      </c>
      <c r="C234" s="196">
        <v>1.0003</v>
      </c>
      <c r="D234" s="1321"/>
      <c r="E234" s="1321"/>
    </row>
    <row r="235" spans="1:5">
      <c r="A235" s="172"/>
      <c r="B235" s="173" t="s">
        <v>395</v>
      </c>
      <c r="C235" s="196">
        <v>1.1554</v>
      </c>
      <c r="D235" s="1321"/>
      <c r="E235" s="1321"/>
    </row>
    <row r="236" spans="1:5">
      <c r="A236" s="172"/>
      <c r="B236" s="173" t="s">
        <v>396</v>
      </c>
      <c r="C236" s="196">
        <v>1</v>
      </c>
      <c r="D236" s="1321"/>
      <c r="E236" s="1321"/>
    </row>
    <row r="237" spans="1:5">
      <c r="A237" s="172"/>
      <c r="B237" s="173" t="s">
        <v>397</v>
      </c>
      <c r="C237" s="196">
        <v>0.94589999999999996</v>
      </c>
      <c r="D237" s="1321"/>
      <c r="E237" s="1321"/>
    </row>
    <row r="238" spans="1:5">
      <c r="A238" s="172"/>
      <c r="B238" s="173" t="s">
        <v>398</v>
      </c>
      <c r="C238" s="196">
        <v>1.0024</v>
      </c>
      <c r="D238" s="1321"/>
      <c r="E238" s="1321"/>
    </row>
    <row r="239" spans="1:5">
      <c r="A239" s="172"/>
      <c r="B239" s="173" t="s">
        <v>399</v>
      </c>
      <c r="C239" s="196">
        <v>1.0018</v>
      </c>
      <c r="D239" s="1321"/>
      <c r="E239" s="1321"/>
    </row>
    <row r="240" spans="1:5">
      <c r="A240" s="172"/>
      <c r="B240" s="173" t="s">
        <v>400</v>
      </c>
      <c r="C240" s="196">
        <v>1.0056</v>
      </c>
      <c r="D240" s="1321"/>
      <c r="E240" s="1321"/>
    </row>
    <row r="241" spans="1:15">
      <c r="A241" s="172"/>
      <c r="B241" s="173" t="s">
        <v>401</v>
      </c>
      <c r="C241" s="196">
        <v>1.0306999999999999</v>
      </c>
      <c r="D241" s="1321"/>
      <c r="E241" s="1321"/>
      <c r="F241" s="1321"/>
      <c r="G241" s="1321"/>
      <c r="H241" s="1321"/>
      <c r="I241" s="1321"/>
      <c r="J241" s="1321"/>
      <c r="K241" s="1321"/>
      <c r="L241" s="1321"/>
      <c r="M241" s="1321"/>
      <c r="N241" s="1321"/>
      <c r="O241" s="1321"/>
    </row>
    <row r="242" spans="1:15">
      <c r="A242" s="172"/>
      <c r="B242" s="174" t="s">
        <v>402</v>
      </c>
      <c r="C242" s="198">
        <v>1.1393</v>
      </c>
      <c r="D242" s="1321"/>
      <c r="E242" s="1321"/>
      <c r="F242" s="1321"/>
      <c r="G242" s="1321"/>
      <c r="H242" s="1321"/>
      <c r="I242" s="1321"/>
      <c r="J242" s="1321"/>
      <c r="K242" s="1321"/>
      <c r="L242" s="1321"/>
      <c r="M242" s="1321"/>
      <c r="N242" s="1321"/>
      <c r="O242" s="1321"/>
    </row>
    <row r="243" spans="1:15">
      <c r="A243" s="172"/>
      <c r="B243" s="1321"/>
      <c r="C243" s="1321"/>
      <c r="D243" s="1321"/>
      <c r="E243" s="1321"/>
      <c r="F243" s="1321"/>
      <c r="G243" s="1321"/>
      <c r="H243" s="1321"/>
      <c r="I243" s="1321"/>
      <c r="J243" s="1321"/>
      <c r="K243" s="1321"/>
      <c r="L243" s="1321"/>
      <c r="M243" s="1321"/>
      <c r="N243" s="1321"/>
      <c r="O243" s="1321"/>
    </row>
    <row r="244" spans="1:15">
      <c r="A244" s="172" t="s">
        <v>403</v>
      </c>
      <c r="B244" s="1321"/>
      <c r="C244" s="1321"/>
      <c r="D244" s="1321"/>
      <c r="E244" s="1321"/>
      <c r="F244" s="1321"/>
      <c r="G244" s="1321"/>
      <c r="H244" s="1321"/>
      <c r="I244" s="1321"/>
      <c r="J244" s="1321"/>
      <c r="K244" s="1321"/>
      <c r="L244" s="1321"/>
      <c r="M244" s="1321"/>
      <c r="N244" s="1321"/>
      <c r="O244" s="1321"/>
    </row>
    <row r="245" spans="1:15">
      <c r="A245" s="172"/>
      <c r="B245" s="1627" t="s">
        <v>404</v>
      </c>
      <c r="C245" s="1467" t="s">
        <v>405</v>
      </c>
      <c r="D245" s="1467" t="s">
        <v>406</v>
      </c>
      <c r="E245" s="1467" t="s">
        <v>370</v>
      </c>
      <c r="F245" s="1467" t="s">
        <v>371</v>
      </c>
      <c r="G245" s="1467" t="s">
        <v>407</v>
      </c>
      <c r="H245" s="1467" t="s">
        <v>376</v>
      </c>
      <c r="I245" s="1467" t="s">
        <v>377</v>
      </c>
      <c r="J245" s="1467" t="s">
        <v>378</v>
      </c>
      <c r="K245" s="1467" t="s">
        <v>379</v>
      </c>
      <c r="L245" s="1467" t="s">
        <v>380</v>
      </c>
      <c r="M245" s="1467" t="s">
        <v>381</v>
      </c>
      <c r="N245" s="1467" t="s">
        <v>382</v>
      </c>
      <c r="O245" s="1626" t="s">
        <v>385</v>
      </c>
    </row>
    <row r="246" spans="1:15">
      <c r="A246" s="172"/>
      <c r="B246" s="173" t="s">
        <v>288</v>
      </c>
      <c r="C246" s="187">
        <v>1</v>
      </c>
      <c r="D246" s="187">
        <v>0</v>
      </c>
      <c r="E246" s="187">
        <v>0</v>
      </c>
      <c r="F246" s="187">
        <v>0</v>
      </c>
      <c r="G246" s="187">
        <v>0</v>
      </c>
      <c r="H246" s="187">
        <v>0</v>
      </c>
      <c r="I246" s="187">
        <v>0</v>
      </c>
      <c r="J246" s="187">
        <v>0</v>
      </c>
      <c r="K246" s="187">
        <v>0</v>
      </c>
      <c r="L246" s="187">
        <v>0</v>
      </c>
      <c r="M246" s="187">
        <v>0</v>
      </c>
      <c r="N246" s="187">
        <v>0</v>
      </c>
      <c r="O246" s="188">
        <f>1-SUM(C246:N246)</f>
        <v>0</v>
      </c>
    </row>
    <row r="247" spans="1:15">
      <c r="A247" s="172"/>
      <c r="B247" s="173" t="s">
        <v>393</v>
      </c>
      <c r="C247" s="187">
        <v>0</v>
      </c>
      <c r="D247" s="187">
        <v>1</v>
      </c>
      <c r="E247" s="187">
        <v>0</v>
      </c>
      <c r="F247" s="187">
        <v>0</v>
      </c>
      <c r="G247" s="187">
        <v>0</v>
      </c>
      <c r="H247" s="187">
        <v>0</v>
      </c>
      <c r="I247" s="187">
        <v>0</v>
      </c>
      <c r="J247" s="187">
        <v>0</v>
      </c>
      <c r="K247" s="187">
        <v>0</v>
      </c>
      <c r="L247" s="187">
        <v>0</v>
      </c>
      <c r="M247" s="187">
        <v>0</v>
      </c>
      <c r="N247" s="187">
        <v>0</v>
      </c>
      <c r="O247" s="188">
        <v>0</v>
      </c>
    </row>
    <row r="248" spans="1:15">
      <c r="A248" s="172"/>
      <c r="B248" s="173" t="s">
        <v>394</v>
      </c>
      <c r="C248" s="187">
        <v>0</v>
      </c>
      <c r="D248" s="187">
        <v>0</v>
      </c>
      <c r="E248" s="187">
        <v>0</v>
      </c>
      <c r="F248" s="187">
        <v>0</v>
      </c>
      <c r="G248" s="187">
        <v>0</v>
      </c>
      <c r="H248" s="187">
        <v>0</v>
      </c>
      <c r="I248" s="187">
        <v>0</v>
      </c>
      <c r="J248" s="187">
        <v>0.36399999999999999</v>
      </c>
      <c r="K248" s="187">
        <v>0</v>
      </c>
      <c r="L248" s="187">
        <v>0</v>
      </c>
      <c r="M248" s="187">
        <v>0</v>
      </c>
      <c r="N248" s="187">
        <v>9.1999999999999998E-2</v>
      </c>
      <c r="O248" s="188">
        <v>0</v>
      </c>
    </row>
    <row r="249" spans="1:15">
      <c r="A249" s="172"/>
      <c r="B249" s="173" t="s">
        <v>395</v>
      </c>
      <c r="C249" s="187">
        <v>0</v>
      </c>
      <c r="D249" s="187">
        <v>0</v>
      </c>
      <c r="E249" s="187">
        <v>0</v>
      </c>
      <c r="F249" s="187">
        <v>0</v>
      </c>
      <c r="G249" s="187">
        <v>0</v>
      </c>
      <c r="H249" s="187">
        <v>0</v>
      </c>
      <c r="I249" s="187">
        <v>0</v>
      </c>
      <c r="J249" s="187">
        <v>0</v>
      </c>
      <c r="K249" s="187">
        <v>0</v>
      </c>
      <c r="L249" s="187">
        <v>0</v>
      </c>
      <c r="M249" s="187">
        <v>0</v>
      </c>
      <c r="N249" s="187">
        <v>0</v>
      </c>
      <c r="O249" s="188">
        <v>0.18099999999999999</v>
      </c>
    </row>
    <row r="250" spans="1:15">
      <c r="A250" s="172"/>
      <c r="B250" s="173" t="s">
        <v>396</v>
      </c>
      <c r="C250" s="187">
        <v>0</v>
      </c>
      <c r="D250" s="187">
        <v>0</v>
      </c>
      <c r="E250" s="187">
        <v>0.23799999999999999</v>
      </c>
      <c r="F250" s="187">
        <v>0.31900000000000001</v>
      </c>
      <c r="G250" s="187">
        <v>0.24249999999999999</v>
      </c>
      <c r="H250" s="187">
        <v>0.24249999999999999</v>
      </c>
      <c r="I250" s="187">
        <v>0.24249999999999999</v>
      </c>
      <c r="J250" s="187">
        <v>0.45400000000000001</v>
      </c>
      <c r="K250" s="187">
        <v>0.34300000000000003</v>
      </c>
      <c r="L250" s="187">
        <v>0.22</v>
      </c>
      <c r="M250" s="187">
        <v>0.5</v>
      </c>
      <c r="N250" s="187">
        <f>12.88%+2.45%</f>
        <v>0.15329999999999999</v>
      </c>
      <c r="O250" s="188">
        <v>1.4999999999999999E-2</v>
      </c>
    </row>
    <row r="251" spans="1:15">
      <c r="A251" s="172"/>
      <c r="B251" s="173" t="s">
        <v>397</v>
      </c>
      <c r="C251" s="187">
        <v>0</v>
      </c>
      <c r="D251" s="187">
        <v>0</v>
      </c>
      <c r="E251" s="187">
        <v>0.17499999999999999</v>
      </c>
      <c r="F251" s="187">
        <v>0.27500000000000002</v>
      </c>
      <c r="G251" s="187">
        <v>9.2499999999999999E-2</v>
      </c>
      <c r="H251" s="187">
        <v>9.2499999999999999E-2</v>
      </c>
      <c r="I251" s="187">
        <v>9.2499999999999999E-2</v>
      </c>
      <c r="J251" s="187">
        <v>0</v>
      </c>
      <c r="K251" s="187">
        <v>0.29899999999999999</v>
      </c>
      <c r="L251" s="187">
        <v>0</v>
      </c>
      <c r="M251" s="187">
        <v>0</v>
      </c>
      <c r="N251" s="187">
        <v>0</v>
      </c>
      <c r="O251" s="188">
        <v>0</v>
      </c>
    </row>
    <row r="252" spans="1:15">
      <c r="A252" s="172"/>
      <c r="B252" s="173" t="s">
        <v>398</v>
      </c>
      <c r="C252" s="187">
        <v>0</v>
      </c>
      <c r="D252" s="187">
        <v>0</v>
      </c>
      <c r="E252" s="187">
        <v>0</v>
      </c>
      <c r="F252" s="187">
        <v>0</v>
      </c>
      <c r="G252" s="187">
        <v>0</v>
      </c>
      <c r="H252" s="187">
        <v>0</v>
      </c>
      <c r="I252" s="187">
        <v>0</v>
      </c>
      <c r="J252" s="187">
        <v>0</v>
      </c>
      <c r="K252" s="187">
        <v>0</v>
      </c>
      <c r="L252" s="187">
        <v>0</v>
      </c>
      <c r="M252" s="187">
        <v>0</v>
      </c>
      <c r="N252" s="187">
        <v>0</v>
      </c>
      <c r="O252" s="188">
        <v>0.51100000000000001</v>
      </c>
    </row>
    <row r="253" spans="1:15">
      <c r="A253" s="172"/>
      <c r="B253" s="173" t="s">
        <v>399</v>
      </c>
      <c r="C253" s="187">
        <v>0</v>
      </c>
      <c r="D253" s="187">
        <v>0</v>
      </c>
      <c r="E253" s="187">
        <v>0</v>
      </c>
      <c r="F253" s="187">
        <v>0</v>
      </c>
      <c r="G253" s="187">
        <v>0</v>
      </c>
      <c r="H253" s="187">
        <v>0</v>
      </c>
      <c r="I253" s="187">
        <v>0</v>
      </c>
      <c r="J253" s="187">
        <v>0</v>
      </c>
      <c r="K253" s="187">
        <v>0</v>
      </c>
      <c r="L253" s="187">
        <v>0</v>
      </c>
      <c r="M253" s="187">
        <v>0</v>
      </c>
      <c r="N253" s="187">
        <v>1.9E-2</v>
      </c>
      <c r="O253" s="188">
        <v>0</v>
      </c>
    </row>
    <row r="254" spans="1:15">
      <c r="A254" s="172"/>
      <c r="B254" s="173" t="s">
        <v>400</v>
      </c>
      <c r="C254" s="187">
        <v>0</v>
      </c>
      <c r="D254" s="187">
        <v>0</v>
      </c>
      <c r="E254" s="187">
        <v>0</v>
      </c>
      <c r="F254" s="187">
        <v>0</v>
      </c>
      <c r="G254" s="187">
        <v>0.66500000000000004</v>
      </c>
      <c r="H254" s="187">
        <v>0.66500000000000004</v>
      </c>
      <c r="I254" s="187">
        <v>0.66500000000000004</v>
      </c>
      <c r="J254" s="187">
        <v>0</v>
      </c>
      <c r="K254" s="187">
        <v>0</v>
      </c>
      <c r="L254" s="187">
        <v>0</v>
      </c>
      <c r="M254" s="187">
        <v>0</v>
      </c>
      <c r="N254" s="187">
        <v>0</v>
      </c>
      <c r="O254" s="188">
        <v>0</v>
      </c>
    </row>
    <row r="255" spans="1:15">
      <c r="A255" s="172"/>
      <c r="B255" s="173" t="s">
        <v>401</v>
      </c>
      <c r="C255" s="187">
        <v>0</v>
      </c>
      <c r="D255" s="187">
        <v>0</v>
      </c>
      <c r="E255" s="187">
        <v>0</v>
      </c>
      <c r="F255" s="187">
        <v>0</v>
      </c>
      <c r="G255" s="187">
        <v>0</v>
      </c>
      <c r="H255" s="187">
        <v>0</v>
      </c>
      <c r="I255" s="187">
        <v>0</v>
      </c>
      <c r="J255" s="187">
        <v>0</v>
      </c>
      <c r="K255" s="187">
        <v>0</v>
      </c>
      <c r="L255" s="187">
        <v>0</v>
      </c>
      <c r="M255" s="187">
        <v>0</v>
      </c>
      <c r="N255" s="187">
        <v>0</v>
      </c>
      <c r="O255" s="188">
        <v>0.29299999999999998</v>
      </c>
    </row>
    <row r="256" spans="1:15">
      <c r="A256" s="172"/>
      <c r="B256" s="174" t="s">
        <v>402</v>
      </c>
      <c r="C256" s="185">
        <f>1-SUM(C246:C255)</f>
        <v>0</v>
      </c>
      <c r="D256" s="185">
        <f t="shared" ref="D256:O256" si="5">1-SUM(D246:D255)</f>
        <v>0</v>
      </c>
      <c r="E256" s="185">
        <f t="shared" si="5"/>
        <v>0.58699999999999997</v>
      </c>
      <c r="F256" s="185">
        <f t="shared" si="5"/>
        <v>0.40599999999999992</v>
      </c>
      <c r="G256" s="185">
        <f t="shared" si="5"/>
        <v>0</v>
      </c>
      <c r="H256" s="185">
        <f t="shared" si="5"/>
        <v>0</v>
      </c>
      <c r="I256" s="185">
        <f t="shared" si="5"/>
        <v>0</v>
      </c>
      <c r="J256" s="185">
        <f>1-SUM(J246:J255)</f>
        <v>0.18199999999999994</v>
      </c>
      <c r="K256" s="185">
        <f t="shared" si="5"/>
        <v>0.35799999999999998</v>
      </c>
      <c r="L256" s="185">
        <f t="shared" si="5"/>
        <v>0.78</v>
      </c>
      <c r="M256" s="185">
        <f t="shared" si="5"/>
        <v>0.5</v>
      </c>
      <c r="N256" s="185">
        <f t="shared" si="5"/>
        <v>0.73570000000000002</v>
      </c>
      <c r="O256" s="186">
        <f t="shared" si="5"/>
        <v>0</v>
      </c>
    </row>
    <row r="257" spans="1:16">
      <c r="A257" s="172"/>
      <c r="B257" s="1321"/>
      <c r="C257" s="1321"/>
      <c r="D257" s="1321"/>
      <c r="E257" s="1321"/>
      <c r="F257" s="1321"/>
      <c r="G257" s="1321"/>
      <c r="H257" s="1321"/>
      <c r="I257" s="1321"/>
      <c r="J257" s="1321"/>
      <c r="K257" s="1321"/>
      <c r="L257" s="1321"/>
      <c r="M257" s="1321"/>
      <c r="N257" s="1321"/>
      <c r="O257" s="1321"/>
      <c r="P257" s="1321"/>
    </row>
    <row r="258" spans="1:16" s="1321" customFormat="1">
      <c r="A258" s="63" t="s">
        <v>2698</v>
      </c>
      <c r="B258" s="8"/>
      <c r="C258" s="2555"/>
      <c r="D258" s="2555"/>
      <c r="E258" s="2555"/>
      <c r="F258" s="8"/>
    </row>
    <row r="259" spans="1:16" s="1321" customFormat="1" ht="25.5">
      <c r="A259" s="172"/>
      <c r="B259" s="1739"/>
      <c r="C259" s="2505" t="s">
        <v>2277</v>
      </c>
      <c r="D259" s="1466" t="s">
        <v>2278</v>
      </c>
      <c r="E259" s="1654" t="s">
        <v>2279</v>
      </c>
      <c r="F259"/>
    </row>
    <row r="260" spans="1:16" s="1321" customFormat="1">
      <c r="A260" s="172"/>
      <c r="B260" s="2556" t="s">
        <v>998</v>
      </c>
      <c r="C260" s="2557">
        <v>0.48</v>
      </c>
      <c r="D260" s="439"/>
      <c r="E260" s="94"/>
      <c r="F260"/>
    </row>
    <row r="261" spans="1:16" s="1321" customFormat="1">
      <c r="A261" s="172"/>
      <c r="B261" s="95" t="s">
        <v>2280</v>
      </c>
      <c r="C261" s="1536">
        <v>1.175</v>
      </c>
      <c r="D261" s="439"/>
      <c r="E261" s="94"/>
      <c r="F261"/>
    </row>
    <row r="262" spans="1:16" s="1321" customFormat="1">
      <c r="A262" s="172"/>
      <c r="B262" s="95" t="s">
        <v>2277</v>
      </c>
      <c r="C262" s="95"/>
      <c r="D262" s="1532">
        <v>0.95199999999999996</v>
      </c>
      <c r="E262" s="94"/>
      <c r="F262"/>
    </row>
    <row r="263" spans="1:16" s="1321" customFormat="1">
      <c r="A263" s="172"/>
      <c r="B263" s="95" t="s">
        <v>2281</v>
      </c>
      <c r="C263" s="95"/>
      <c r="D263" s="1532">
        <v>4.8000000000000001E-2</v>
      </c>
      <c r="E263" s="94"/>
      <c r="F263"/>
    </row>
    <row r="264" spans="1:16" s="1321" customFormat="1">
      <c r="A264" s="172"/>
      <c r="B264" s="539" t="s">
        <v>2278</v>
      </c>
      <c r="C264" s="539"/>
      <c r="D264" s="669"/>
      <c r="E264" s="2558">
        <v>2.08</v>
      </c>
      <c r="F264"/>
    </row>
    <row r="265" spans="1:16" s="1321" customFormat="1">
      <c r="A265" s="172"/>
    </row>
    <row r="266" spans="1:16">
      <c r="A266" s="172" t="s">
        <v>408</v>
      </c>
      <c r="B266" s="1321"/>
      <c r="C266" s="1321"/>
      <c r="D266" s="1321"/>
      <c r="E266" s="1321"/>
      <c r="F266" s="1321"/>
      <c r="G266" s="1321"/>
      <c r="H266" s="1321"/>
      <c r="I266" s="1321"/>
      <c r="J266" s="1321"/>
      <c r="K266" s="1321"/>
      <c r="L266" s="1321"/>
      <c r="M266" s="1321"/>
      <c r="N266" s="1321"/>
      <c r="O266" s="1321"/>
      <c r="P266" s="1321"/>
    </row>
    <row r="267" spans="1:16" ht="38.25">
      <c r="A267" s="172"/>
      <c r="B267" s="1630" t="s">
        <v>396</v>
      </c>
      <c r="C267" s="1629" t="s">
        <v>401</v>
      </c>
      <c r="D267" s="1321"/>
      <c r="E267" s="1321"/>
      <c r="F267" s="1321"/>
      <c r="G267" s="1321"/>
      <c r="H267" s="1321"/>
      <c r="I267" s="1321"/>
      <c r="J267" s="1321"/>
      <c r="K267" s="1321"/>
      <c r="L267" s="1321"/>
      <c r="M267" s="1321"/>
      <c r="N267" s="1321"/>
      <c r="O267" s="1321"/>
      <c r="P267" s="1321"/>
    </row>
    <row r="268" spans="1:16">
      <c r="A268" s="172"/>
      <c r="B268" s="199">
        <v>0.89</v>
      </c>
      <c r="C268" s="186">
        <f>1-B268</f>
        <v>0.10999999999999999</v>
      </c>
      <c r="D268" s="1321"/>
      <c r="E268" s="1321"/>
      <c r="F268" s="1321"/>
      <c r="G268" s="1321"/>
      <c r="H268" s="1321"/>
      <c r="I268" s="1321"/>
      <c r="J268" s="1321"/>
      <c r="K268" s="1321"/>
      <c r="L268" s="1321"/>
      <c r="M268" s="1321"/>
      <c r="N268" s="1321"/>
      <c r="O268" s="1321"/>
      <c r="P268" s="1321"/>
    </row>
    <row r="269" spans="1:16">
      <c r="A269" s="172"/>
      <c r="B269" s="1321"/>
      <c r="C269" s="1321"/>
      <c r="D269" s="1321"/>
      <c r="E269" s="1321"/>
      <c r="F269" s="1321"/>
      <c r="G269" s="1321"/>
      <c r="H269" s="1321"/>
      <c r="I269" s="1321"/>
      <c r="J269" s="1321"/>
      <c r="K269" s="1321"/>
      <c r="L269" s="1321"/>
      <c r="M269" s="1321"/>
      <c r="N269" s="1321"/>
      <c r="O269" s="1321"/>
      <c r="P269" s="1321"/>
    </row>
    <row r="270" spans="1:16">
      <c r="A270" s="63" t="s">
        <v>409</v>
      </c>
      <c r="B270" s="521"/>
      <c r="C270" s="521"/>
      <c r="D270" s="521"/>
      <c r="E270" s="1321"/>
      <c r="F270" s="1321"/>
      <c r="G270" s="1321"/>
      <c r="H270" s="1321"/>
      <c r="I270" s="1321"/>
      <c r="J270" s="1321"/>
      <c r="K270" s="1321"/>
      <c r="L270" s="1321"/>
      <c r="M270" s="1321"/>
      <c r="N270" s="1321"/>
      <c r="O270" s="1321"/>
      <c r="P270" s="1321"/>
    </row>
    <row r="271" spans="1:16">
      <c r="A271" s="172"/>
      <c r="B271" s="1610">
        <v>1</v>
      </c>
      <c r="C271" s="1321" t="s">
        <v>410</v>
      </c>
      <c r="D271" s="1321"/>
      <c r="E271" s="1321"/>
      <c r="F271" s="1610">
        <v>1</v>
      </c>
      <c r="G271" s="1321" t="s">
        <v>411</v>
      </c>
      <c r="H271" s="1321"/>
      <c r="I271" s="1321"/>
      <c r="J271" s="1321"/>
      <c r="K271" s="1321"/>
      <c r="L271" s="1321"/>
      <c r="M271" s="1321"/>
      <c r="N271" s="1321"/>
      <c r="O271" s="1321"/>
      <c r="P271" s="1321"/>
    </row>
    <row r="272" spans="1:16">
      <c r="A272" s="172"/>
      <c r="B272" s="1321"/>
      <c r="C272" s="1321" t="s">
        <v>412</v>
      </c>
      <c r="D272" s="1321"/>
      <c r="E272" s="1321"/>
      <c r="F272" s="1321"/>
      <c r="G272" s="1321" t="s">
        <v>413</v>
      </c>
      <c r="H272" s="1321"/>
      <c r="I272" s="1321"/>
      <c r="J272" s="1321"/>
      <c r="K272" s="1321"/>
      <c r="L272" s="1321"/>
      <c r="M272" s="1321"/>
      <c r="N272" s="1321"/>
      <c r="O272" s="1321"/>
      <c r="P272" s="1321"/>
    </row>
    <row r="273" spans="1:46">
      <c r="A273" s="172"/>
      <c r="B273" s="1321"/>
      <c r="C273" s="1321"/>
      <c r="D273" s="1321"/>
      <c r="E273" s="1321"/>
      <c r="F273" s="1321"/>
      <c r="G273" s="1321"/>
      <c r="H273" s="1321"/>
      <c r="I273" s="1321"/>
      <c r="J273" s="1321"/>
      <c r="K273" s="1321"/>
      <c r="L273" s="1321"/>
      <c r="M273" s="1321"/>
      <c r="N273" s="1321"/>
      <c r="O273" s="1321"/>
      <c r="P273" s="1321"/>
    </row>
    <row r="274" spans="1:46">
      <c r="A274" s="172" t="s">
        <v>414</v>
      </c>
      <c r="B274" s="1321"/>
      <c r="C274" s="1321"/>
      <c r="D274" s="1321"/>
      <c r="E274" s="1321"/>
      <c r="F274" s="1321"/>
      <c r="G274" s="1321"/>
      <c r="H274" s="1321"/>
      <c r="I274" s="1321"/>
      <c r="J274" s="1321"/>
      <c r="K274" s="1321"/>
      <c r="L274" s="1321"/>
      <c r="M274" s="1321"/>
      <c r="N274" s="1321"/>
      <c r="O274" s="1321"/>
      <c r="P274" s="1321"/>
    </row>
    <row r="275" spans="1:46">
      <c r="A275" s="172"/>
      <c r="B275" s="1610">
        <v>2</v>
      </c>
      <c r="C275" s="8" t="s">
        <v>415</v>
      </c>
      <c r="D275" s="8"/>
      <c r="E275" s="1321"/>
      <c r="F275" s="1321"/>
      <c r="G275" s="1321"/>
      <c r="H275" s="1321"/>
      <c r="I275" s="1321"/>
      <c r="J275" s="1321"/>
      <c r="K275" s="1321"/>
      <c r="L275" s="1321"/>
      <c r="M275" s="1321"/>
      <c r="N275" s="1321"/>
      <c r="O275" s="1321"/>
      <c r="P275" s="1321"/>
    </row>
    <row r="276" spans="1:46">
      <c r="A276" s="172"/>
      <c r="B276" s="8"/>
      <c r="C276" s="8" t="s">
        <v>416</v>
      </c>
      <c r="D276" s="8"/>
      <c r="E276" s="1321"/>
      <c r="F276" s="1321"/>
      <c r="G276" s="1321"/>
      <c r="H276" s="1321"/>
      <c r="I276" s="1321"/>
      <c r="J276" s="1321"/>
      <c r="K276" s="1321"/>
      <c r="L276" s="1321"/>
      <c r="M276" s="1321"/>
      <c r="N276" s="1321"/>
      <c r="O276" s="1321"/>
      <c r="P276" s="1321"/>
    </row>
    <row r="277" spans="1:46">
      <c r="A277" s="1321"/>
      <c r="B277" s="8"/>
      <c r="C277" s="8" t="s">
        <v>417</v>
      </c>
      <c r="D277" s="8"/>
      <c r="E277" s="1321"/>
      <c r="F277" s="1321"/>
      <c r="G277" s="1321"/>
      <c r="H277" s="1321"/>
      <c r="I277" s="1321"/>
      <c r="J277" s="1321"/>
      <c r="K277" s="1321"/>
      <c r="L277" s="1321"/>
      <c r="M277" s="1321"/>
      <c r="N277" s="1321"/>
      <c r="O277" s="1321"/>
      <c r="P277" s="1321"/>
    </row>
    <row r="278" spans="1:46">
      <c r="A278" s="1321"/>
      <c r="B278" s="8"/>
      <c r="C278" s="8" t="s">
        <v>418</v>
      </c>
      <c r="D278" s="8"/>
      <c r="E278" s="1321"/>
      <c r="F278" s="1321"/>
      <c r="G278" s="1321"/>
      <c r="H278" s="1321"/>
      <c r="I278" s="1321"/>
      <c r="J278" s="1321"/>
      <c r="K278" s="1321"/>
      <c r="L278" s="1321"/>
      <c r="M278" s="1321"/>
      <c r="N278" s="1321"/>
      <c r="O278" s="1321"/>
      <c r="P278" s="1321"/>
    </row>
    <row r="279" spans="1:46">
      <c r="A279" s="1321"/>
      <c r="B279" s="8"/>
      <c r="C279" s="8" t="s">
        <v>419</v>
      </c>
      <c r="D279" s="8"/>
      <c r="E279" s="1321"/>
      <c r="F279" s="1321"/>
      <c r="G279" s="1321"/>
      <c r="H279" s="1321"/>
      <c r="I279" s="1321"/>
      <c r="J279" s="1321"/>
      <c r="K279" s="1321"/>
      <c r="L279" s="1321"/>
      <c r="M279" s="1321"/>
      <c r="N279" s="1321"/>
      <c r="O279" s="1321"/>
      <c r="P279" s="1321"/>
    </row>
    <row r="280" spans="1:46" s="1321" customFormat="1">
      <c r="B280" s="8"/>
      <c r="C280" s="8" t="s">
        <v>420</v>
      </c>
      <c r="D280" s="8"/>
    </row>
    <row r="281" spans="1:46" s="1321" customFormat="1">
      <c r="B281" s="8"/>
      <c r="C281" s="8" t="s">
        <v>421</v>
      </c>
      <c r="D281" s="8"/>
    </row>
    <row r="282" spans="1:46" s="1321" customFormat="1">
      <c r="B282" s="8"/>
      <c r="C282" s="8" t="s">
        <v>422</v>
      </c>
      <c r="D282" s="8"/>
    </row>
    <row r="283" spans="1:46" s="1321" customFormat="1">
      <c r="B283" s="8"/>
      <c r="C283" s="8" t="s">
        <v>423</v>
      </c>
      <c r="D283" s="8"/>
    </row>
    <row r="284" spans="1:46" s="1321" customFormat="1">
      <c r="B284" s="8"/>
      <c r="C284" s="8" t="s">
        <v>424</v>
      </c>
      <c r="D284" s="8"/>
    </row>
    <row r="285" spans="1:46" s="1321" customFormat="1">
      <c r="B285" s="8"/>
      <c r="C285" s="8" t="s">
        <v>425</v>
      </c>
      <c r="D285" s="8"/>
    </row>
    <row r="286" spans="1:46">
      <c r="A286" s="172"/>
      <c r="B286" s="1321"/>
      <c r="C286" s="1321"/>
      <c r="D286" s="1321"/>
      <c r="E286" s="1321"/>
      <c r="F286" s="1321"/>
      <c r="G286" s="1321"/>
      <c r="H286" s="1321"/>
      <c r="I286" s="1321"/>
      <c r="J286" s="1321"/>
      <c r="K286" s="1321"/>
      <c r="L286" s="1321"/>
      <c r="M286" s="1321"/>
      <c r="N286" s="1321"/>
      <c r="O286" s="1321"/>
      <c r="P286" s="1321"/>
      <c r="Q286" s="1321"/>
      <c r="R286" s="1321"/>
      <c r="S286" s="1321"/>
      <c r="T286" s="1321"/>
      <c r="U286" s="1321"/>
      <c r="V286" s="1321"/>
      <c r="W286" s="1321"/>
      <c r="X286" s="1321"/>
      <c r="Y286" s="1321"/>
      <c r="Z286" s="1321"/>
      <c r="AA286" s="1321"/>
      <c r="AB286" s="1321"/>
      <c r="AC286" s="1321"/>
      <c r="AD286" s="1321"/>
      <c r="AE286" s="1321"/>
      <c r="AF286" s="1321"/>
      <c r="AG286" s="1321"/>
      <c r="AH286" s="1321"/>
      <c r="AI286" s="1321"/>
      <c r="AJ286" s="1321"/>
      <c r="AK286" s="1321"/>
      <c r="AL286" s="1321"/>
      <c r="AM286" s="1321"/>
      <c r="AN286" s="1321"/>
      <c r="AO286" s="1321"/>
      <c r="AP286" s="1321"/>
      <c r="AQ286" s="1321"/>
      <c r="AR286" s="1321"/>
      <c r="AS286" s="1321"/>
      <c r="AT286" s="1321"/>
    </row>
    <row r="287" spans="1:46">
      <c r="A287" s="172" t="s">
        <v>426</v>
      </c>
      <c r="B287" s="1321"/>
      <c r="C287" s="1321"/>
      <c r="D287" s="1321"/>
      <c r="E287" s="1321"/>
      <c r="F287" s="1321"/>
      <c r="G287" s="1321"/>
      <c r="H287" s="1321"/>
      <c r="I287" s="1321"/>
      <c r="J287" s="1321"/>
      <c r="K287" s="1321"/>
      <c r="L287" s="1321"/>
      <c r="M287" s="1321"/>
      <c r="N287" s="1321"/>
      <c r="O287" s="1321"/>
      <c r="P287" s="1321"/>
      <c r="Q287" s="1321"/>
      <c r="R287" s="1321"/>
      <c r="S287" s="1321"/>
      <c r="T287" s="1321"/>
      <c r="U287" s="1321"/>
      <c r="V287" s="1321"/>
      <c r="W287" s="1321"/>
      <c r="X287" s="1321"/>
      <c r="Y287" s="1321"/>
      <c r="Z287" s="1321"/>
      <c r="AA287" s="1321"/>
      <c r="AB287" s="1321"/>
      <c r="AC287" s="1321"/>
      <c r="AD287" s="1321"/>
      <c r="AE287" s="1321"/>
      <c r="AF287" s="1321"/>
      <c r="AG287" s="1321"/>
      <c r="AH287" s="1321"/>
      <c r="AI287" s="1321"/>
      <c r="AJ287" s="1321"/>
      <c r="AK287" s="1321"/>
      <c r="AL287" s="1321"/>
      <c r="AM287" s="1321"/>
      <c r="AN287" s="1321"/>
      <c r="AO287" s="1321"/>
      <c r="AP287" s="1321"/>
      <c r="AQ287" s="1321"/>
      <c r="AR287" s="1321"/>
      <c r="AS287" s="1321"/>
      <c r="AT287" s="1321"/>
    </row>
    <row r="288" spans="1:46">
      <c r="A288" s="172"/>
      <c r="B288" s="1610">
        <v>2</v>
      </c>
      <c r="C288" s="1321" t="s">
        <v>415</v>
      </c>
      <c r="D288" s="1321"/>
      <c r="E288" s="1321"/>
      <c r="F288" s="1321"/>
      <c r="G288" s="1321"/>
      <c r="H288" s="1321"/>
      <c r="I288" s="1321"/>
      <c r="J288" s="1321"/>
      <c r="K288" s="1321"/>
      <c r="L288" s="1321"/>
      <c r="M288" s="1321"/>
      <c r="N288" s="1321"/>
      <c r="O288" s="1321"/>
      <c r="P288" s="1321"/>
      <c r="Q288" s="1321"/>
      <c r="R288" s="1321"/>
      <c r="S288" s="1321"/>
      <c r="T288" s="1321"/>
      <c r="U288" s="1321"/>
      <c r="V288" s="1321"/>
      <c r="W288" s="1321"/>
      <c r="X288" s="1321"/>
      <c r="Y288" s="1321"/>
      <c r="Z288" s="1321"/>
      <c r="AA288" s="1321"/>
      <c r="AB288" s="1321"/>
      <c r="AC288" s="1321"/>
      <c r="AD288" s="1321"/>
      <c r="AE288" s="1321"/>
      <c r="AF288" s="1321"/>
      <c r="AG288" s="1321"/>
      <c r="AH288" s="1321"/>
      <c r="AI288" s="1321"/>
      <c r="AJ288" s="1321"/>
      <c r="AK288" s="1321"/>
      <c r="AL288" s="1321"/>
      <c r="AM288" s="1321"/>
      <c r="AN288" s="1321"/>
      <c r="AO288" s="1321"/>
      <c r="AP288" s="1321"/>
      <c r="AQ288" s="1321"/>
      <c r="AR288" s="1321"/>
      <c r="AS288" s="1321"/>
      <c r="AT288" s="1321"/>
    </row>
    <row r="289" spans="1:46">
      <c r="A289" s="172"/>
      <c r="B289" s="1321"/>
      <c r="C289" s="1321" t="s">
        <v>416</v>
      </c>
      <c r="D289" s="1321"/>
      <c r="E289" s="1321"/>
      <c r="F289" s="1321"/>
      <c r="G289" s="1321"/>
      <c r="H289" s="1321"/>
      <c r="I289" s="1321"/>
      <c r="J289" s="1321"/>
      <c r="K289" s="1321"/>
      <c r="L289" s="1321"/>
      <c r="M289" s="1321"/>
      <c r="N289" s="1321"/>
      <c r="O289" s="1321"/>
      <c r="P289" s="1321"/>
      <c r="Q289" s="1321"/>
      <c r="R289" s="1321"/>
      <c r="S289" s="1321"/>
      <c r="T289" s="1321"/>
      <c r="U289" s="1321"/>
      <c r="V289" s="1321"/>
      <c r="W289" s="1321"/>
      <c r="X289" s="1321"/>
      <c r="Y289" s="1321"/>
      <c r="Z289" s="1321"/>
      <c r="AA289" s="1321"/>
      <c r="AB289" s="1321"/>
      <c r="AC289" s="1321"/>
      <c r="AD289" s="1321"/>
      <c r="AE289" s="1321"/>
      <c r="AF289" s="1321"/>
      <c r="AG289" s="1321"/>
      <c r="AH289" s="1321"/>
      <c r="AI289" s="1321"/>
      <c r="AJ289" s="1321"/>
      <c r="AK289" s="1321"/>
      <c r="AL289" s="1321"/>
      <c r="AM289" s="1321"/>
      <c r="AN289" s="1321"/>
      <c r="AO289" s="1321"/>
      <c r="AP289" s="1321"/>
      <c r="AQ289" s="1321"/>
      <c r="AR289" s="1321"/>
      <c r="AS289" s="1321"/>
      <c r="AT289" s="1321"/>
    </row>
    <row r="290" spans="1:46">
      <c r="A290" s="1321"/>
      <c r="B290" s="1321"/>
      <c r="C290" s="1321" t="s">
        <v>417</v>
      </c>
      <c r="D290" s="1321"/>
      <c r="E290" s="1321"/>
      <c r="F290" s="1321"/>
      <c r="G290" s="1321"/>
      <c r="H290" s="1321"/>
      <c r="I290" s="1321"/>
      <c r="J290" s="1321"/>
      <c r="K290" s="1321"/>
      <c r="L290" s="1321"/>
      <c r="M290" s="1321"/>
      <c r="N290" s="1321"/>
      <c r="O290" s="1321"/>
      <c r="P290" s="1321"/>
      <c r="Q290" s="1321"/>
      <c r="R290" s="1321"/>
      <c r="S290" s="1321"/>
      <c r="T290" s="1321"/>
      <c r="U290" s="1321"/>
      <c r="V290" s="1321"/>
      <c r="W290" s="1321"/>
      <c r="X290" s="1321"/>
      <c r="Y290" s="1321"/>
      <c r="Z290" s="1321"/>
      <c r="AA290" s="1321"/>
      <c r="AB290" s="1321"/>
      <c r="AC290" s="1321"/>
      <c r="AD290" s="1321"/>
      <c r="AE290" s="1321"/>
      <c r="AF290" s="1321"/>
      <c r="AG290" s="1321"/>
      <c r="AH290" s="1321"/>
      <c r="AI290" s="1321"/>
      <c r="AJ290" s="1321"/>
      <c r="AK290" s="1321"/>
      <c r="AL290" s="1321"/>
      <c r="AM290" s="1321"/>
      <c r="AN290" s="1321"/>
      <c r="AO290" s="1321"/>
      <c r="AP290" s="1321"/>
      <c r="AQ290" s="1321"/>
      <c r="AR290" s="1321"/>
      <c r="AS290" s="1321"/>
      <c r="AT290" s="1321"/>
    </row>
    <row r="291" spans="1:46">
      <c r="A291" s="1321"/>
      <c r="B291" s="1321"/>
      <c r="C291" s="1321" t="s">
        <v>418</v>
      </c>
      <c r="D291" s="1321"/>
      <c r="E291" s="1321"/>
      <c r="F291" s="1321"/>
      <c r="G291" s="1321"/>
      <c r="H291" s="1321"/>
      <c r="I291" s="1321"/>
      <c r="J291" s="1321"/>
      <c r="K291" s="1321"/>
      <c r="L291" s="1321"/>
      <c r="M291" s="1321"/>
      <c r="N291" s="1321"/>
      <c r="O291" s="1321"/>
      <c r="P291" s="1321"/>
      <c r="Q291" s="1321"/>
      <c r="R291" s="1321"/>
      <c r="S291" s="1321"/>
      <c r="T291" s="1321"/>
      <c r="U291" s="1321"/>
      <c r="V291" s="1321"/>
      <c r="W291" s="1321"/>
      <c r="X291" s="1321"/>
      <c r="Y291" s="1321"/>
      <c r="Z291" s="1321"/>
      <c r="AA291" s="1321"/>
      <c r="AB291" s="1321"/>
      <c r="AC291" s="1321"/>
      <c r="AD291" s="1321"/>
      <c r="AE291" s="1321"/>
      <c r="AF291" s="1321"/>
      <c r="AG291" s="1321"/>
      <c r="AH291" s="1321"/>
      <c r="AI291" s="1321"/>
      <c r="AJ291" s="1321"/>
      <c r="AK291" s="1321"/>
      <c r="AL291" s="1321"/>
      <c r="AM291" s="1321"/>
      <c r="AN291" s="1321"/>
      <c r="AO291" s="1321"/>
      <c r="AP291" s="1321"/>
      <c r="AQ291" s="1321"/>
      <c r="AR291" s="1321"/>
      <c r="AS291" s="1321"/>
      <c r="AT291" s="1321"/>
    </row>
    <row r="292" spans="1:46">
      <c r="A292" s="1321"/>
      <c r="B292" s="1321"/>
      <c r="C292" s="1321" t="s">
        <v>427</v>
      </c>
      <c r="D292" s="1321"/>
      <c r="E292" s="1321"/>
      <c r="F292" s="1321"/>
      <c r="G292" s="1321"/>
      <c r="H292" s="1321"/>
      <c r="I292" s="1321"/>
      <c r="J292" s="1321"/>
      <c r="K292" s="1321"/>
      <c r="L292" s="1321"/>
      <c r="M292" s="1321"/>
      <c r="N292" s="1321"/>
      <c r="O292" s="1321"/>
      <c r="P292" s="1321"/>
      <c r="Q292" s="1321"/>
      <c r="R292" s="1321"/>
      <c r="S292" s="1321"/>
      <c r="T292" s="1321"/>
      <c r="U292" s="1321"/>
      <c r="V292" s="1321"/>
      <c r="W292" s="1321"/>
      <c r="X292" s="1321"/>
      <c r="Y292" s="1321"/>
      <c r="Z292" s="1321"/>
      <c r="AA292" s="1321"/>
      <c r="AB292" s="1321"/>
      <c r="AC292" s="1321"/>
      <c r="AD292" s="1321"/>
      <c r="AE292" s="1321"/>
      <c r="AF292" s="1321"/>
      <c r="AG292" s="1321"/>
      <c r="AH292" s="1321"/>
      <c r="AI292" s="1321"/>
      <c r="AJ292" s="1321"/>
      <c r="AK292" s="1321"/>
      <c r="AL292" s="1321"/>
      <c r="AM292" s="1321"/>
      <c r="AN292" s="1321"/>
      <c r="AO292" s="1321"/>
      <c r="AP292" s="1321"/>
      <c r="AQ292" s="1321"/>
      <c r="AR292" s="1321"/>
      <c r="AS292" s="1321"/>
      <c r="AT292" s="1321"/>
    </row>
    <row r="293" spans="1:46">
      <c r="A293" s="172"/>
      <c r="B293" s="1321"/>
      <c r="C293" s="1321"/>
      <c r="D293" s="1321"/>
      <c r="E293" s="1321"/>
      <c r="F293" s="1321"/>
      <c r="G293" s="1321"/>
      <c r="H293" s="1321"/>
      <c r="I293" s="1321"/>
      <c r="J293" s="1321"/>
      <c r="K293" s="1321"/>
      <c r="L293" s="1321"/>
      <c r="M293" s="1321"/>
      <c r="N293" s="1321"/>
      <c r="O293" s="1321"/>
      <c r="P293" s="1321"/>
      <c r="Q293" s="1321"/>
      <c r="R293" s="1321"/>
      <c r="S293" s="1321"/>
      <c r="T293" s="1321"/>
      <c r="U293" s="1321"/>
      <c r="V293" s="1321"/>
      <c r="W293" s="1321"/>
      <c r="X293" s="1321"/>
      <c r="Y293" s="1321"/>
      <c r="Z293" s="1321"/>
      <c r="AA293" s="1321"/>
      <c r="AB293" s="1321"/>
      <c r="AC293" s="1321"/>
      <c r="AD293" s="1321"/>
      <c r="AE293" s="1321"/>
      <c r="AF293" s="1321"/>
      <c r="AG293" s="1321"/>
      <c r="AH293" s="1321"/>
      <c r="AI293" s="1321"/>
      <c r="AJ293" s="1321"/>
      <c r="AK293" s="1321"/>
      <c r="AL293" s="1321"/>
      <c r="AM293" s="1321"/>
      <c r="AN293" s="1321"/>
      <c r="AO293" s="1321"/>
      <c r="AP293" s="1321"/>
      <c r="AQ293" s="1321"/>
      <c r="AR293" s="1321"/>
      <c r="AS293" s="1321"/>
      <c r="AT293" s="1321"/>
    </row>
    <row r="294" spans="1:46">
      <c r="A294" s="172" t="s">
        <v>428</v>
      </c>
      <c r="B294" s="1321"/>
      <c r="C294" s="1321"/>
      <c r="D294" s="1321"/>
      <c r="E294" s="1321"/>
      <c r="F294" s="1321"/>
      <c r="G294" s="1321"/>
      <c r="H294" s="1321"/>
      <c r="I294" s="1321"/>
      <c r="J294" s="1321"/>
      <c r="K294" s="1321"/>
      <c r="L294" s="1321"/>
      <c r="M294" s="1321"/>
      <c r="N294" s="1321"/>
      <c r="O294" s="1321"/>
      <c r="P294" s="1321"/>
      <c r="Q294" s="1321"/>
      <c r="R294" s="1321"/>
      <c r="S294" s="1321"/>
      <c r="T294" s="1321"/>
      <c r="U294" s="1321"/>
      <c r="V294" s="1321"/>
      <c r="W294" s="1321"/>
      <c r="X294" s="1321"/>
      <c r="Y294" s="1321"/>
      <c r="Z294" s="1321"/>
      <c r="AA294" s="1321"/>
      <c r="AB294" s="1321"/>
      <c r="AC294" s="1321"/>
      <c r="AD294" s="1321"/>
      <c r="AE294" s="1321"/>
      <c r="AF294" s="1321"/>
      <c r="AG294" s="1321"/>
      <c r="AH294" s="1321"/>
      <c r="AI294" s="1321"/>
      <c r="AJ294" s="1321"/>
      <c r="AK294" s="1321"/>
      <c r="AL294" s="1321"/>
      <c r="AM294" s="1321"/>
      <c r="AN294" s="1321"/>
      <c r="AO294" s="1321"/>
      <c r="AP294" s="1321"/>
      <c r="AQ294" s="1321"/>
      <c r="AR294" s="1321"/>
      <c r="AS294" s="1321"/>
      <c r="AT294" s="1321"/>
    </row>
    <row r="295" spans="1:46">
      <c r="A295" s="1321"/>
      <c r="B295" s="135"/>
      <c r="C295" s="3008" t="s">
        <v>282</v>
      </c>
      <c r="D295" s="3009"/>
      <c r="E295" s="3009"/>
      <c r="F295" s="3009"/>
      <c r="G295" s="3009"/>
      <c r="H295" s="3009"/>
      <c r="I295" s="3009"/>
      <c r="J295" s="3009"/>
      <c r="K295" s="3009"/>
      <c r="L295" s="3009"/>
      <c r="M295" s="3010"/>
      <c r="N295" s="3008" t="s">
        <v>283</v>
      </c>
      <c r="O295" s="3009"/>
      <c r="P295" s="3009"/>
      <c r="Q295" s="3009"/>
      <c r="R295" s="3010"/>
      <c r="S295" s="1321"/>
      <c r="T295" s="1321"/>
      <c r="U295" s="1321"/>
      <c r="V295" s="1321"/>
      <c r="W295" s="1321"/>
      <c r="X295" s="1321"/>
      <c r="Y295" s="1321"/>
      <c r="Z295" s="1321"/>
      <c r="AA295" s="1321"/>
      <c r="AB295" s="1321"/>
      <c r="AC295" s="1321"/>
      <c r="AD295" s="1321"/>
      <c r="AE295" s="1321"/>
      <c r="AF295" s="1321"/>
      <c r="AG295" s="1321"/>
      <c r="AH295" s="1321"/>
      <c r="AI295" s="1321"/>
      <c r="AJ295" s="1321"/>
      <c r="AK295" s="1321"/>
      <c r="AL295" s="1321"/>
      <c r="AM295" s="1321"/>
      <c r="AN295" s="1321"/>
      <c r="AO295" s="1321"/>
      <c r="AP295" s="1321"/>
      <c r="AQ295" s="1321"/>
      <c r="AR295" s="1321"/>
      <c r="AS295" s="1321"/>
      <c r="AT295" s="1321"/>
    </row>
    <row r="296" spans="1:46" ht="51">
      <c r="A296" s="1321"/>
      <c r="B296" s="161"/>
      <c r="C296" s="1173" t="s">
        <v>429</v>
      </c>
      <c r="D296" s="1421" t="s">
        <v>430</v>
      </c>
      <c r="E296" s="1421" t="s">
        <v>431</v>
      </c>
      <c r="F296" s="1421" t="s">
        <v>432</v>
      </c>
      <c r="G296" s="1421" t="s">
        <v>433</v>
      </c>
      <c r="H296" s="1421" t="s">
        <v>434</v>
      </c>
      <c r="I296" s="1421" t="s">
        <v>435</v>
      </c>
      <c r="J296" s="1421" t="s">
        <v>436</v>
      </c>
      <c r="K296" s="1421" t="s">
        <v>437</v>
      </c>
      <c r="L296" s="1421" t="s">
        <v>438</v>
      </c>
      <c r="M296" s="1193" t="s">
        <v>439</v>
      </c>
      <c r="N296" s="982" t="s">
        <v>429</v>
      </c>
      <c r="O296" s="982" t="s">
        <v>430</v>
      </c>
      <c r="P296" s="982" t="s">
        <v>431</v>
      </c>
      <c r="Q296" s="982" t="s">
        <v>432</v>
      </c>
      <c r="R296" s="1418" t="s">
        <v>439</v>
      </c>
      <c r="S296" s="1321"/>
      <c r="T296" s="1321"/>
      <c r="U296" s="1321"/>
      <c r="V296" s="1321"/>
      <c r="W296" s="1321"/>
      <c r="X296" s="1321"/>
      <c r="Y296" s="1321"/>
      <c r="Z296" s="1321"/>
      <c r="AA296" s="1321"/>
      <c r="AB296" s="1321"/>
      <c r="AC296" s="1321"/>
      <c r="AD296" s="1321"/>
      <c r="AE296" s="1321"/>
      <c r="AF296" s="1321"/>
      <c r="AG296" s="1321"/>
      <c r="AH296" s="1321"/>
      <c r="AI296" s="1321"/>
      <c r="AJ296" s="1321"/>
      <c r="AK296" s="1321"/>
      <c r="AL296" s="1321"/>
      <c r="AM296" s="1321"/>
      <c r="AN296" s="1321"/>
      <c r="AO296" s="1321"/>
      <c r="AP296" s="1321"/>
      <c r="AQ296" s="1321"/>
      <c r="AR296" s="1321"/>
      <c r="AS296" s="1321"/>
      <c r="AT296" s="1321"/>
    </row>
    <row r="297" spans="1:46">
      <c r="A297" s="1321"/>
      <c r="B297" s="33" t="s">
        <v>440</v>
      </c>
      <c r="C297" s="1419">
        <f>GREET1_Import_Export!$B$172</f>
        <v>0</v>
      </c>
      <c r="D297" s="1420">
        <v>0</v>
      </c>
      <c r="E297" s="1420">
        <v>0</v>
      </c>
      <c r="F297" s="1420">
        <v>4.0000000000000001E-3</v>
      </c>
      <c r="G297" s="1420">
        <v>1.4199999999999999E-2</v>
      </c>
      <c r="H297" s="1420">
        <v>0</v>
      </c>
      <c r="I297" s="1420">
        <v>1.3444990780577752E-4</v>
      </c>
      <c r="J297" s="1420">
        <v>2.4972682464721691E-4</v>
      </c>
      <c r="K297" s="1420">
        <f>GREET1_Import_Export!P330</f>
        <v>0</v>
      </c>
      <c r="L297" s="1420">
        <f>GREET1_Import_Export!O330</f>
        <v>0</v>
      </c>
      <c r="M297" s="1276">
        <v>0</v>
      </c>
      <c r="N297" s="1419">
        <f>GREET1_Import_Export!$B$172</f>
        <v>0</v>
      </c>
      <c r="O297" s="1420">
        <v>0</v>
      </c>
      <c r="P297" s="1420">
        <v>0</v>
      </c>
      <c r="Q297" s="1420">
        <v>4.0000000000000001E-3</v>
      </c>
      <c r="R297" s="1276">
        <v>0</v>
      </c>
      <c r="S297" s="1321"/>
      <c r="T297" s="1321"/>
      <c r="U297" s="1321"/>
      <c r="V297" s="1321"/>
      <c r="W297" s="1321"/>
      <c r="X297" s="1321"/>
      <c r="Y297" s="1321"/>
      <c r="Z297" s="1321"/>
      <c r="AA297" s="1321"/>
      <c r="AB297" s="1321"/>
      <c r="AC297" s="1321"/>
      <c r="AD297" s="1321"/>
      <c r="AE297" s="1321"/>
      <c r="AF297" s="1321"/>
      <c r="AG297" s="1321"/>
      <c r="AH297" s="1321"/>
      <c r="AI297" s="1321"/>
      <c r="AJ297" s="1321"/>
      <c r="AK297" s="1321"/>
      <c r="AL297" s="1321"/>
      <c r="AM297" s="1321"/>
      <c r="AN297" s="1321"/>
      <c r="AO297" s="1321"/>
      <c r="AP297" s="1321"/>
      <c r="AQ297" s="1321"/>
      <c r="AR297" s="1321"/>
      <c r="AS297" s="1321"/>
      <c r="AT297" s="1321"/>
    </row>
    <row r="298" spans="1:46">
      <c r="A298" s="1321"/>
      <c r="B298" s="30" t="s">
        <v>441</v>
      </c>
      <c r="C298" s="1021">
        <f>GREET1_Import_Export!$C$172</f>
        <v>0</v>
      </c>
      <c r="D298" s="302">
        <v>4.1000000000000002E-2</v>
      </c>
      <c r="E298" s="302">
        <v>0.104</v>
      </c>
      <c r="F298" s="302">
        <v>0.112</v>
      </c>
      <c r="G298" s="302">
        <v>1.7999999999999999E-2</v>
      </c>
      <c r="H298" s="302">
        <v>0</v>
      </c>
      <c r="I298" s="302">
        <v>0</v>
      </c>
      <c r="J298" s="302">
        <v>9.5325301430829207E-2</v>
      </c>
      <c r="K298" s="302">
        <f>GREET1_Import_Export!P331</f>
        <v>0</v>
      </c>
      <c r="L298" s="302">
        <f>GREET1_Import_Export!O331</f>
        <v>0</v>
      </c>
      <c r="M298" s="1015">
        <v>4.1000000000000002E-2</v>
      </c>
      <c r="N298" s="1021">
        <f>GREET1_Import_Export!$C$172</f>
        <v>0</v>
      </c>
      <c r="O298" s="302">
        <v>4.1000000000000002E-2</v>
      </c>
      <c r="P298" s="302">
        <v>0.104</v>
      </c>
      <c r="Q298" s="302">
        <v>0.112</v>
      </c>
      <c r="R298" s="1015">
        <v>4.1000000000000002E-2</v>
      </c>
      <c r="S298" s="1321"/>
      <c r="T298" s="1321"/>
      <c r="U298" s="1321"/>
      <c r="V298" s="1321"/>
      <c r="W298" s="1321"/>
      <c r="X298" s="1321"/>
      <c r="Y298" s="1321"/>
      <c r="Z298" s="1321"/>
      <c r="AA298" s="1321"/>
      <c r="AB298" s="1321"/>
      <c r="AC298" s="1321"/>
      <c r="AD298" s="1321"/>
      <c r="AE298" s="1321"/>
      <c r="AF298" s="1321"/>
      <c r="AG298" s="1321"/>
      <c r="AH298" s="1321"/>
      <c r="AI298" s="1321"/>
      <c r="AJ298" s="1321"/>
      <c r="AK298" s="1321"/>
      <c r="AL298" s="1321"/>
      <c r="AM298" s="1321"/>
      <c r="AN298" s="1321"/>
      <c r="AO298" s="1321"/>
      <c r="AP298" s="1321"/>
      <c r="AQ298" s="1321"/>
      <c r="AR298" s="1321"/>
      <c r="AS298" s="1321"/>
      <c r="AT298" s="1321"/>
    </row>
    <row r="299" spans="1:46">
      <c r="A299" s="1321"/>
      <c r="B299" s="30" t="s">
        <v>442</v>
      </c>
      <c r="C299" s="1021">
        <f>GREET1_Import_Export!$D$172</f>
        <v>0</v>
      </c>
      <c r="D299" s="302">
        <v>0.14299999999999999</v>
      </c>
      <c r="E299" s="302">
        <v>0.35899999999999999</v>
      </c>
      <c r="F299" s="302">
        <v>0.19500000000000001</v>
      </c>
      <c r="G299" s="302">
        <v>0.06</v>
      </c>
      <c r="H299" s="302">
        <v>0.90000041027155875</v>
      </c>
      <c r="I299" s="302">
        <v>0.91748617086662565</v>
      </c>
      <c r="J299" s="302">
        <v>0.619185351235503</v>
      </c>
      <c r="K299" s="302">
        <f>GREET1_Import_Export!P332</f>
        <v>0</v>
      </c>
      <c r="L299" s="302">
        <f>GREET1_Import_Export!O332</f>
        <v>0</v>
      </c>
      <c r="M299" s="1015">
        <v>0.14299999999999999</v>
      </c>
      <c r="N299" s="1021">
        <f>GREET1_Import_Export!$D$172</f>
        <v>0</v>
      </c>
      <c r="O299" s="302">
        <v>0.14299999999999999</v>
      </c>
      <c r="P299" s="302">
        <v>0.35899999999999999</v>
      </c>
      <c r="Q299" s="302">
        <v>0.19500000000000001</v>
      </c>
      <c r="R299" s="1015">
        <v>0.14299999999999999</v>
      </c>
      <c r="S299" s="1321"/>
      <c r="T299" s="1321"/>
      <c r="U299" s="1321"/>
      <c r="V299" s="1321"/>
      <c r="W299" s="1321"/>
      <c r="X299" s="1321"/>
      <c r="Y299" s="1321"/>
      <c r="Z299" s="1321"/>
      <c r="AA299" s="1321"/>
      <c r="AB299" s="1321"/>
      <c r="AC299" s="1321"/>
      <c r="AD299" s="1321"/>
      <c r="AE299" s="1321"/>
      <c r="AF299" s="1321"/>
      <c r="AG299" s="1321"/>
      <c r="AH299" s="1321"/>
      <c r="AI299" s="1321"/>
      <c r="AJ299" s="1321"/>
      <c r="AK299" s="1321"/>
      <c r="AL299" s="1321"/>
      <c r="AM299" s="1321"/>
      <c r="AN299" s="1321"/>
      <c r="AO299" s="1321"/>
      <c r="AP299" s="1321"/>
      <c r="AQ299" s="1321"/>
      <c r="AR299" s="1321"/>
      <c r="AS299" s="1321"/>
      <c r="AT299" s="1321"/>
    </row>
    <row r="300" spans="1:46">
      <c r="A300" s="1321"/>
      <c r="B300" s="30" t="s">
        <v>443</v>
      </c>
      <c r="C300" s="1021">
        <f>GREET1_Import_Export!$F$172</f>
        <v>0</v>
      </c>
      <c r="D300" s="302">
        <v>0</v>
      </c>
      <c r="E300" s="302">
        <v>0</v>
      </c>
      <c r="F300" s="302">
        <v>0</v>
      </c>
      <c r="G300" s="302">
        <v>0</v>
      </c>
      <c r="H300" s="302">
        <v>0</v>
      </c>
      <c r="I300" s="302">
        <v>0</v>
      </c>
      <c r="J300" s="302">
        <v>0</v>
      </c>
      <c r="K300" s="302">
        <f>GREET1_Import_Export!P333</f>
        <v>0</v>
      </c>
      <c r="L300" s="302">
        <f>GREET1_Import_Export!O333</f>
        <v>0</v>
      </c>
      <c r="M300" s="1015">
        <v>0</v>
      </c>
      <c r="N300" s="1021">
        <v>3.0000000000000001E-3</v>
      </c>
      <c r="O300" s="302">
        <v>0</v>
      </c>
      <c r="P300" s="302">
        <v>0</v>
      </c>
      <c r="Q300" s="302">
        <v>0</v>
      </c>
      <c r="R300" s="1015">
        <v>0</v>
      </c>
      <c r="S300" s="1321"/>
      <c r="T300" s="1321"/>
      <c r="U300" s="1321"/>
      <c r="V300" s="1321"/>
      <c r="W300" s="1321"/>
      <c r="X300" s="1321"/>
      <c r="Y300" s="1321"/>
      <c r="Z300" s="1321"/>
      <c r="AA300" s="1321"/>
      <c r="AB300" s="1321"/>
      <c r="AC300" s="1321"/>
      <c r="AD300" s="1321"/>
      <c r="AE300" s="1321"/>
      <c r="AF300" s="1321"/>
      <c r="AG300" s="1321"/>
      <c r="AH300" s="1321"/>
      <c r="AI300" s="1321"/>
      <c r="AJ300" s="1321"/>
      <c r="AK300" s="1321"/>
      <c r="AL300" s="1321"/>
      <c r="AM300" s="1321"/>
      <c r="AN300" s="1321"/>
      <c r="AO300" s="1321"/>
      <c r="AP300" s="1321"/>
      <c r="AQ300" s="1321"/>
      <c r="AR300" s="1321"/>
      <c r="AS300" s="1321"/>
      <c r="AT300" s="1321"/>
    </row>
    <row r="301" spans="1:46">
      <c r="A301" s="1321"/>
      <c r="B301" s="30" t="s">
        <v>444</v>
      </c>
      <c r="C301" s="1021">
        <f>GREET1_Import_Export!$E$172</f>
        <v>2025</v>
      </c>
      <c r="D301" s="302">
        <v>5.0000000000000001E-3</v>
      </c>
      <c r="E301" s="302">
        <v>1.4E-2</v>
      </c>
      <c r="F301" s="302">
        <v>1.2999999999999999E-2</v>
      </c>
      <c r="G301" s="302">
        <v>9.5000000000000001E-2</v>
      </c>
      <c r="H301" s="302">
        <v>0</v>
      </c>
      <c r="I301" s="302">
        <v>0</v>
      </c>
      <c r="J301" s="302">
        <v>1.344773088593229E-3</v>
      </c>
      <c r="K301" s="302">
        <f>GREET1_Import_Export!P334</f>
        <v>0</v>
      </c>
      <c r="L301" s="302">
        <f>GREET1_Import_Export!O334</f>
        <v>0</v>
      </c>
      <c r="M301" s="1015">
        <v>5.0000000000000001E-3</v>
      </c>
      <c r="N301" s="1021">
        <v>0.20300000000000001</v>
      </c>
      <c r="O301" s="302">
        <v>5.0000000000000001E-3</v>
      </c>
      <c r="P301" s="302">
        <v>1.4E-2</v>
      </c>
      <c r="Q301" s="302">
        <v>1.2999999999999999E-2</v>
      </c>
      <c r="R301" s="1015">
        <v>5.0000000000000001E-3</v>
      </c>
      <c r="S301" s="1321"/>
      <c r="T301" s="1321"/>
      <c r="U301" s="1321"/>
      <c r="V301" s="1321"/>
      <c r="W301" s="1321"/>
      <c r="X301" s="1321"/>
      <c r="Y301" s="1321"/>
      <c r="Z301" s="1321"/>
      <c r="AA301" s="1321"/>
      <c r="AB301" s="1321"/>
      <c r="AC301" s="1321"/>
      <c r="AD301" s="1321"/>
      <c r="AE301" s="1321"/>
      <c r="AF301" s="1321"/>
      <c r="AG301" s="1321"/>
      <c r="AH301" s="1321"/>
      <c r="AI301" s="1321"/>
      <c r="AJ301" s="1321"/>
      <c r="AK301" s="1321"/>
      <c r="AL301" s="1321"/>
      <c r="AM301" s="1321"/>
      <c r="AN301" s="1321"/>
      <c r="AO301" s="1321"/>
      <c r="AP301" s="1321"/>
      <c r="AQ301" s="1321"/>
      <c r="AR301" s="1321"/>
      <c r="AS301" s="1321"/>
      <c r="AT301" s="1321"/>
    </row>
    <row r="302" spans="1:46">
      <c r="A302" s="1321"/>
      <c r="B302" s="30" t="s">
        <v>445</v>
      </c>
      <c r="C302" s="1021">
        <f>1-SUM(C297:C301)</f>
        <v>-2024</v>
      </c>
      <c r="D302" s="302">
        <f>1-SUM(D297:D301)</f>
        <v>0.81099999999999994</v>
      </c>
      <c r="E302" s="302">
        <f>1-SUM(E297:E301)</f>
        <v>0.52300000000000002</v>
      </c>
      <c r="F302" s="302">
        <f>1-SUM(F297:F301)</f>
        <v>0.67599999999999993</v>
      </c>
      <c r="G302" s="302">
        <v>0.61699999999999999</v>
      </c>
      <c r="H302" s="302">
        <v>9.9999589728441252E-2</v>
      </c>
      <c r="I302" s="302">
        <v>8.2379379225568525E-2</v>
      </c>
      <c r="J302" s="302">
        <v>0.25310458512519168</v>
      </c>
      <c r="K302" s="302">
        <f>GREET1_Import_Export!P335</f>
        <v>0</v>
      </c>
      <c r="L302" s="302">
        <f>GREET1_Import_Export!O335</f>
        <v>1</v>
      </c>
      <c r="M302" s="1015">
        <f t="shared" ref="M302:R302" si="6">1-SUM(M297:M301)</f>
        <v>0.81099999999999994</v>
      </c>
      <c r="N302" s="1021">
        <f t="shared" si="6"/>
        <v>0.79400000000000004</v>
      </c>
      <c r="O302" s="302">
        <f t="shared" si="6"/>
        <v>0.81099999999999994</v>
      </c>
      <c r="P302" s="302">
        <f t="shared" si="6"/>
        <v>0.52300000000000002</v>
      </c>
      <c r="Q302" s="302">
        <f t="shared" si="6"/>
        <v>0.67599999999999993</v>
      </c>
      <c r="R302" s="1015">
        <f t="shared" si="6"/>
        <v>0.81099999999999994</v>
      </c>
      <c r="S302" s="1321"/>
      <c r="T302" s="1321"/>
      <c r="U302" s="1321"/>
      <c r="V302" s="1321"/>
      <c r="W302" s="1321"/>
      <c r="X302" s="1321"/>
      <c r="Y302" s="1321"/>
      <c r="Z302" s="1321"/>
      <c r="AA302" s="1321"/>
      <c r="AB302" s="1321"/>
      <c r="AC302" s="1321"/>
      <c r="AD302" s="1321"/>
      <c r="AE302" s="1321"/>
      <c r="AF302" s="1321"/>
      <c r="AG302" s="1321"/>
      <c r="AH302" s="1321"/>
      <c r="AI302" s="1321"/>
      <c r="AJ302" s="1321"/>
      <c r="AK302" s="1321"/>
      <c r="AL302" s="1321"/>
      <c r="AM302" s="1321"/>
      <c r="AN302" s="1321"/>
      <c r="AO302" s="1321"/>
      <c r="AP302" s="1321"/>
      <c r="AQ302" s="1321"/>
      <c r="AR302" s="1321"/>
      <c r="AS302" s="1321"/>
      <c r="AT302" s="1321"/>
    </row>
    <row r="303" spans="1:46" s="1128" customFormat="1">
      <c r="A303" s="1321"/>
      <c r="B303" s="31" t="s">
        <v>294</v>
      </c>
      <c r="C303" s="1019">
        <f>1-SUM(C297:C302)</f>
        <v>0</v>
      </c>
      <c r="D303" s="1020">
        <f>1-SUM(D297:D302)</f>
        <v>0</v>
      </c>
      <c r="E303" s="1020">
        <f>1-SUM(E297:E302)</f>
        <v>0</v>
      </c>
      <c r="F303" s="1020">
        <f>1-SUM(F297:F302)</f>
        <v>0</v>
      </c>
      <c r="G303" s="1020">
        <v>0.19579999999999997</v>
      </c>
      <c r="H303" s="1020">
        <v>0</v>
      </c>
      <c r="I303" s="1020">
        <v>0</v>
      </c>
      <c r="J303" s="1020">
        <v>3.0790262295235626E-2</v>
      </c>
      <c r="K303" s="1020">
        <f>GREET1_Import_Export!P336</f>
        <v>1</v>
      </c>
      <c r="L303" s="1020">
        <f>GREET1_Import_Export!O336</f>
        <v>0</v>
      </c>
      <c r="M303" s="210">
        <f t="shared" ref="M303:R303" si="7">1-SUM(M297:M302)</f>
        <v>0</v>
      </c>
      <c r="N303" s="1019">
        <f t="shared" si="7"/>
        <v>0</v>
      </c>
      <c r="O303" s="1020">
        <f t="shared" si="7"/>
        <v>0</v>
      </c>
      <c r="P303" s="1020">
        <f t="shared" si="7"/>
        <v>0</v>
      </c>
      <c r="Q303" s="1020">
        <f t="shared" si="7"/>
        <v>0</v>
      </c>
      <c r="R303" s="210">
        <f t="shared" si="7"/>
        <v>0</v>
      </c>
      <c r="S303" s="1321"/>
      <c r="T303" s="1321"/>
      <c r="U303" s="1321"/>
      <c r="V303" s="1321"/>
      <c r="W303" s="1321"/>
      <c r="X303" s="1321"/>
      <c r="Y303" s="1321"/>
      <c r="Z303" s="1321"/>
      <c r="AA303" s="1321"/>
      <c r="AB303" s="1321"/>
      <c r="AC303" s="1321"/>
      <c r="AD303" s="1321"/>
      <c r="AE303" s="1321"/>
      <c r="AF303" s="1321"/>
      <c r="AG303" s="1321"/>
      <c r="AH303" s="1321"/>
      <c r="AI303" s="1321"/>
      <c r="AJ303" s="1321"/>
      <c r="AK303" s="1321"/>
      <c r="AL303" s="1321"/>
      <c r="AM303" s="1321"/>
      <c r="AN303" s="1321"/>
      <c r="AO303" s="1321"/>
      <c r="AP303" s="1321"/>
      <c r="AQ303" s="1321"/>
      <c r="AR303" s="1321"/>
      <c r="AS303" s="1321"/>
      <c r="AT303" s="1321"/>
    </row>
    <row r="304" spans="1:46" s="1321" customFormat="1">
      <c r="B304" s="25"/>
      <c r="C304" s="302"/>
      <c r="D304" s="302"/>
      <c r="E304" s="302"/>
      <c r="F304" s="302"/>
      <c r="G304" s="302"/>
      <c r="H304" s="302"/>
      <c r="I304" s="302"/>
      <c r="J304" s="302"/>
      <c r="K304" s="302"/>
      <c r="L304" s="302"/>
      <c r="M304" s="302"/>
      <c r="N304" s="302"/>
      <c r="O304" s="302"/>
      <c r="P304" s="302"/>
      <c r="Q304" s="302"/>
      <c r="R304" s="302"/>
    </row>
    <row r="305" spans="1:46" s="1128" customFormat="1">
      <c r="A305" s="172" t="s">
        <v>446</v>
      </c>
      <c r="B305" s="8"/>
      <c r="C305" s="302"/>
      <c r="D305" s="489"/>
      <c r="E305" s="1"/>
      <c r="F305" s="1"/>
      <c r="G305" s="183"/>
      <c r="H305" s="183"/>
      <c r="I305" s="1"/>
      <c r="J305" s="1"/>
      <c r="K305" s="1"/>
      <c r="L305" s="183"/>
      <c r="M305" s="1321"/>
      <c r="N305" s="1321"/>
      <c r="O305" s="1321"/>
      <c r="P305" s="1321"/>
      <c r="Q305" s="1321"/>
      <c r="R305" s="1321"/>
      <c r="S305" s="1321"/>
      <c r="T305" s="1321"/>
      <c r="U305" s="1321"/>
      <c r="V305" s="1321"/>
      <c r="W305" s="1321"/>
      <c r="X305" s="1321"/>
      <c r="Y305" s="1321"/>
      <c r="Z305" s="1321"/>
      <c r="AA305" s="1321"/>
      <c r="AB305" s="1321"/>
      <c r="AC305" s="1321"/>
      <c r="AD305" s="1321"/>
      <c r="AE305" s="1321"/>
      <c r="AF305" s="1321"/>
      <c r="AG305" s="1321"/>
      <c r="AH305" s="1321"/>
      <c r="AI305" s="1321"/>
      <c r="AJ305" s="1321"/>
      <c r="AK305" s="1321"/>
      <c r="AL305" s="1321"/>
      <c r="AM305" s="1321"/>
      <c r="AN305" s="1321"/>
      <c r="AO305" s="1321"/>
      <c r="AP305" s="1321"/>
      <c r="AQ305" s="1321"/>
      <c r="AR305" s="1321"/>
      <c r="AS305" s="1321"/>
      <c r="AT305" s="1321"/>
    </row>
    <row r="306" spans="1:46" s="1128" customFormat="1">
      <c r="A306" s="1321"/>
      <c r="B306" s="1610">
        <v>1</v>
      </c>
      <c r="C306" s="8" t="s">
        <v>447</v>
      </c>
      <c r="D306" s="489"/>
      <c r="E306" s="1"/>
      <c r="F306" s="1"/>
      <c r="G306" s="183"/>
      <c r="H306" s="183"/>
      <c r="I306" s="1"/>
      <c r="J306" s="1"/>
      <c r="K306" s="1"/>
      <c r="L306" s="183"/>
      <c r="M306" s="1321"/>
      <c r="N306" s="1321"/>
      <c r="O306" s="1321"/>
      <c r="P306" s="1321"/>
      <c r="Q306" s="1321"/>
      <c r="R306" s="1321"/>
      <c r="S306" s="1321"/>
      <c r="T306" s="1321"/>
      <c r="U306" s="1321"/>
      <c r="V306" s="1321"/>
      <c r="W306" s="1321"/>
      <c r="X306" s="1321"/>
      <c r="Y306" s="1321"/>
      <c r="Z306" s="1321"/>
      <c r="AA306" s="1321"/>
      <c r="AB306" s="1321"/>
      <c r="AC306" s="1321"/>
      <c r="AD306" s="1321"/>
      <c r="AE306" s="1321"/>
      <c r="AF306" s="1321"/>
      <c r="AG306" s="1321"/>
      <c r="AH306" s="1321"/>
      <c r="AI306" s="1321"/>
      <c r="AJ306" s="1321"/>
      <c r="AK306" s="1321"/>
      <c r="AL306" s="1321"/>
      <c r="AM306" s="1321"/>
      <c r="AN306" s="1321"/>
      <c r="AO306" s="1321"/>
      <c r="AP306" s="1321"/>
      <c r="AQ306" s="1321"/>
      <c r="AR306" s="1321"/>
      <c r="AS306" s="1321"/>
      <c r="AT306" s="1321"/>
    </row>
    <row r="307" spans="1:46" s="1128" customFormat="1">
      <c r="A307" s="1321"/>
      <c r="B307" s="8"/>
      <c r="C307" s="8" t="s">
        <v>448</v>
      </c>
      <c r="D307" s="489"/>
      <c r="E307" s="1"/>
      <c r="F307" s="1"/>
      <c r="G307" s="183"/>
      <c r="H307" s="183"/>
      <c r="I307" s="1"/>
      <c r="J307" s="1"/>
      <c r="K307" s="1"/>
      <c r="L307" s="183"/>
      <c r="M307" s="1321"/>
      <c r="N307" s="1321"/>
      <c r="O307" s="1321"/>
      <c r="P307" s="1321"/>
      <c r="Q307" s="1321"/>
      <c r="R307" s="1321"/>
      <c r="S307" s="1321"/>
      <c r="T307" s="1321"/>
      <c r="U307" s="1321"/>
      <c r="V307" s="1321"/>
      <c r="W307" s="1321"/>
      <c r="X307" s="1321"/>
      <c r="Y307" s="1321"/>
      <c r="Z307" s="1321"/>
      <c r="AA307" s="1321"/>
      <c r="AB307" s="1321"/>
      <c r="AC307" s="1321"/>
      <c r="AD307" s="1321"/>
      <c r="AE307" s="1321"/>
      <c r="AF307" s="1321"/>
      <c r="AG307" s="1321"/>
      <c r="AH307" s="1321"/>
      <c r="AI307" s="1321"/>
      <c r="AJ307" s="1321"/>
      <c r="AK307" s="1321"/>
      <c r="AL307" s="1321"/>
      <c r="AM307" s="1321"/>
      <c r="AN307" s="1321"/>
      <c r="AO307" s="1321"/>
      <c r="AP307" s="1321"/>
      <c r="AQ307" s="1321"/>
      <c r="AR307" s="1321"/>
      <c r="AS307" s="1321"/>
      <c r="AT307" s="1321"/>
    </row>
    <row r="309" spans="1:46" ht="15">
      <c r="A309" s="120" t="s">
        <v>449</v>
      </c>
      <c r="B309" s="1321"/>
      <c r="C309" s="1321"/>
      <c r="D309" s="1321"/>
      <c r="E309" s="1321"/>
      <c r="F309" s="1321"/>
      <c r="G309" s="1321"/>
      <c r="H309" s="1321"/>
      <c r="I309" s="1321"/>
      <c r="J309" s="1321"/>
      <c r="K309" s="1321"/>
      <c r="L309" s="1321"/>
      <c r="M309" s="1321"/>
      <c r="N309" s="1321"/>
      <c r="O309" s="1321"/>
      <c r="P309" s="1321"/>
      <c r="Q309" s="1321"/>
      <c r="R309" s="1321"/>
      <c r="S309" s="1321"/>
      <c r="T309" s="1321"/>
      <c r="U309" s="1321"/>
      <c r="V309" s="1321"/>
      <c r="W309" s="1321"/>
      <c r="X309" s="1321"/>
      <c r="Y309" s="1321"/>
      <c r="Z309" s="1321"/>
      <c r="AA309" s="1321"/>
      <c r="AB309" s="1321"/>
      <c r="AC309" s="1321"/>
      <c r="AD309" s="1321"/>
      <c r="AE309" s="1321"/>
      <c r="AF309" s="1321"/>
      <c r="AG309" s="1321"/>
      <c r="AH309" s="1321"/>
      <c r="AI309" s="1321"/>
      <c r="AJ309" s="1321"/>
      <c r="AK309" s="1321"/>
      <c r="AL309" s="1321"/>
      <c r="AM309" s="1321"/>
      <c r="AN309" s="1321"/>
      <c r="AO309" s="1321"/>
      <c r="AP309" s="1321"/>
      <c r="AQ309" s="1321"/>
      <c r="AR309" s="1321"/>
      <c r="AS309" s="1321"/>
      <c r="AT309" s="1321"/>
    </row>
    <row r="310" spans="1:46">
      <c r="A310" s="172" t="s">
        <v>450</v>
      </c>
      <c r="B310" s="1321"/>
      <c r="C310" s="1321"/>
      <c r="D310" s="1321"/>
      <c r="E310" s="1321"/>
      <c r="F310" s="1321"/>
      <c r="G310" s="1321"/>
      <c r="H310" s="1321"/>
      <c r="I310" s="1321"/>
      <c r="J310" s="1321"/>
      <c r="K310" s="1321"/>
      <c r="L310" s="1321"/>
      <c r="M310" s="1321"/>
      <c r="N310" s="1321"/>
      <c r="O310" s="1321"/>
      <c r="P310" s="1321"/>
      <c r="Q310" s="1321"/>
      <c r="R310" s="1321"/>
      <c r="S310" s="1321"/>
      <c r="T310" s="1321"/>
      <c r="U310" s="1321"/>
      <c r="V310" s="1321"/>
      <c r="W310" s="1321"/>
      <c r="X310" s="1321"/>
      <c r="Y310" s="1321"/>
      <c r="Z310" s="1321"/>
      <c r="AA310" s="1321"/>
      <c r="AB310" s="1321"/>
      <c r="AC310" s="1321"/>
      <c r="AD310" s="1321"/>
      <c r="AE310" s="1321"/>
      <c r="AF310" s="1321"/>
      <c r="AG310" s="1321"/>
      <c r="AH310" s="1321"/>
      <c r="AI310" s="1321"/>
      <c r="AJ310" s="1321"/>
      <c r="AK310" s="1321"/>
      <c r="AL310" s="1321"/>
      <c r="AM310" s="1321"/>
      <c r="AN310" s="1321"/>
      <c r="AO310" s="1321"/>
      <c r="AP310" s="1321"/>
      <c r="AQ310" s="1321"/>
      <c r="AR310" s="1321"/>
      <c r="AS310" s="1321"/>
      <c r="AT310" s="1321"/>
    </row>
    <row r="311" spans="1:46">
      <c r="A311" s="172"/>
      <c r="B311" s="1789">
        <v>0.11689212157686744</v>
      </c>
      <c r="C311" s="8" t="s">
        <v>451</v>
      </c>
      <c r="D311" s="1321"/>
      <c r="E311" s="1321"/>
      <c r="F311" s="1321"/>
      <c r="G311" s="1321"/>
      <c r="H311" s="1321"/>
      <c r="I311" s="1321"/>
      <c r="J311" s="1321"/>
      <c r="K311" s="1321"/>
      <c r="L311" s="1321"/>
      <c r="M311" s="1321"/>
      <c r="N311" s="1321"/>
      <c r="O311" s="1321"/>
      <c r="P311" s="1321"/>
      <c r="Q311" s="1321"/>
      <c r="R311" s="1321"/>
      <c r="S311" s="1321"/>
      <c r="T311" s="1321"/>
      <c r="U311" s="1321"/>
      <c r="V311" s="1321"/>
      <c r="W311" s="1321"/>
      <c r="X311" s="1321"/>
      <c r="Y311" s="1321"/>
      <c r="Z311" s="1321"/>
      <c r="AA311" s="1321"/>
      <c r="AB311" s="1321"/>
      <c r="AC311" s="1321"/>
      <c r="AD311" s="1321"/>
      <c r="AE311" s="1321"/>
      <c r="AF311" s="1321"/>
      <c r="AG311" s="1321"/>
      <c r="AH311" s="1321"/>
      <c r="AI311" s="1321"/>
      <c r="AJ311" s="1321"/>
      <c r="AK311" s="1321"/>
      <c r="AL311" s="1321"/>
      <c r="AM311" s="1321"/>
      <c r="AN311" s="1321"/>
      <c r="AO311" s="1321"/>
      <c r="AP311" s="1321"/>
      <c r="AQ311" s="1321"/>
      <c r="AR311" s="1321"/>
      <c r="AS311" s="1321"/>
      <c r="AT311" s="1321"/>
    </row>
    <row r="312" spans="1:46">
      <c r="A312" s="172"/>
      <c r="B312" s="1789">
        <v>16.002574361161095</v>
      </c>
      <c r="C312" s="8" t="s">
        <v>452</v>
      </c>
      <c r="D312" s="1321"/>
      <c r="E312" s="1321"/>
      <c r="F312" s="1321"/>
      <c r="G312" s="1321"/>
      <c r="H312" s="1321"/>
      <c r="I312" s="1321"/>
      <c r="J312" s="1321"/>
      <c r="K312" s="1321"/>
      <c r="L312" s="1321"/>
      <c r="M312" s="1321"/>
      <c r="N312" s="1321"/>
      <c r="O312" s="1321"/>
      <c r="P312" s="1321"/>
      <c r="Q312" s="1321"/>
      <c r="R312" s="1321"/>
      <c r="S312" s="1321"/>
      <c r="T312" s="1321"/>
      <c r="U312" s="1321"/>
      <c r="V312" s="1321"/>
      <c r="W312" s="1321"/>
      <c r="X312" s="1321"/>
      <c r="Y312" s="1321"/>
      <c r="Z312" s="1321"/>
      <c r="AA312" s="1321"/>
      <c r="AB312" s="1321"/>
      <c r="AC312" s="1321"/>
      <c r="AD312" s="1321"/>
      <c r="AE312" s="1321"/>
      <c r="AF312" s="1321"/>
      <c r="AG312" s="1321"/>
      <c r="AH312" s="1321"/>
      <c r="AI312" s="1321"/>
      <c r="AJ312" s="1321"/>
      <c r="AK312" s="1321"/>
      <c r="AL312" s="1321"/>
      <c r="AM312" s="1321"/>
      <c r="AN312" s="1321"/>
      <c r="AO312" s="1321"/>
      <c r="AP312" s="1321"/>
      <c r="AQ312" s="1321"/>
      <c r="AR312" s="1321"/>
      <c r="AS312" s="1321"/>
      <c r="AT312" s="1321"/>
    </row>
    <row r="313" spans="1:46">
      <c r="A313" s="172"/>
      <c r="B313" s="1789">
        <v>0.15318640955004592</v>
      </c>
      <c r="C313" s="8" t="s">
        <v>453</v>
      </c>
      <c r="I313" s="1321"/>
      <c r="J313" s="1321"/>
      <c r="K313" s="1321"/>
    </row>
    <row r="314" spans="1:46">
      <c r="A314" s="172"/>
      <c r="B314" s="1789">
        <v>3.5762324630993159</v>
      </c>
      <c r="C314" s="8" t="s">
        <v>454</v>
      </c>
      <c r="I314" s="1321"/>
      <c r="J314" s="1321"/>
      <c r="K314" s="1321"/>
    </row>
    <row r="315" spans="1:46">
      <c r="A315" s="172"/>
      <c r="B315" s="1789">
        <v>0.44398530762167121</v>
      </c>
      <c r="C315" s="8" t="s">
        <v>455</v>
      </c>
      <c r="I315" s="1321"/>
      <c r="J315" s="1321"/>
      <c r="K315" s="1321"/>
    </row>
    <row r="316" spans="1:46">
      <c r="A316" s="172"/>
      <c r="B316" s="1789">
        <v>0.14141303948576678</v>
      </c>
      <c r="C316" s="8" t="s">
        <v>456</v>
      </c>
      <c r="I316" s="1321"/>
      <c r="J316" s="1321"/>
      <c r="K316" s="1321"/>
    </row>
    <row r="317" spans="1:46" s="1321" customFormat="1">
      <c r="A317" s="172"/>
      <c r="B317" s="1790">
        <v>1.9400759073377505</v>
      </c>
      <c r="C317" s="521" t="s">
        <v>2618</v>
      </c>
    </row>
    <row r="318" spans="1:46" s="1321" customFormat="1">
      <c r="A318" s="172"/>
      <c r="B318" s="1790">
        <v>2.5509824905404841</v>
      </c>
      <c r="C318" s="521" t="s">
        <v>2619</v>
      </c>
    </row>
    <row r="319" spans="1:46" s="1321" customFormat="1">
      <c r="A319" s="172"/>
      <c r="B319" s="1790">
        <v>11.238140806237645</v>
      </c>
      <c r="C319" s="521" t="s">
        <v>2620</v>
      </c>
    </row>
    <row r="320" spans="1:46" s="1321" customFormat="1">
      <c r="A320" s="172"/>
      <c r="B320" s="1790">
        <v>10.779208253108955</v>
      </c>
      <c r="C320" s="521" t="s">
        <v>2621</v>
      </c>
    </row>
    <row r="321" spans="1:3" s="1321" customFormat="1">
      <c r="A321" s="172"/>
      <c r="B321" s="1790">
        <v>2.538475321230321</v>
      </c>
      <c r="C321" s="521" t="s">
        <v>2622</v>
      </c>
    </row>
    <row r="322" spans="1:3" s="1321" customFormat="1">
      <c r="A322" s="172"/>
      <c r="B322" s="1790">
        <v>2.0183700650504091</v>
      </c>
      <c r="C322" s="521" t="s">
        <v>2623</v>
      </c>
    </row>
    <row r="323" spans="1:3" s="1321" customFormat="1">
      <c r="A323" s="172"/>
      <c r="B323" s="1790">
        <v>12.123484793784035</v>
      </c>
      <c r="C323" s="521" t="s">
        <v>2624</v>
      </c>
    </row>
    <row r="324" spans="1:3" s="1321" customFormat="1">
      <c r="A324" s="172"/>
      <c r="B324" s="1790">
        <v>2.538475321230321</v>
      </c>
      <c r="C324" s="521" t="s">
        <v>2625</v>
      </c>
    </row>
    <row r="325" spans="1:3">
      <c r="A325" s="172"/>
      <c r="B325" s="213">
        <v>1.3340000000000001</v>
      </c>
      <c r="C325" s="8" t="s">
        <v>457</v>
      </c>
    </row>
    <row r="326" spans="1:3">
      <c r="A326" s="172"/>
      <c r="B326" s="213">
        <v>4.1799999999999997E-2</v>
      </c>
      <c r="C326" s="8" t="s">
        <v>458</v>
      </c>
    </row>
    <row r="327" spans="1:3">
      <c r="A327" s="172"/>
      <c r="B327" s="1126">
        <v>1.3998999999999999</v>
      </c>
      <c r="C327" s="8" t="s">
        <v>459</v>
      </c>
    </row>
    <row r="328" spans="1:3">
      <c r="A328" s="172"/>
      <c r="B328" s="1126">
        <v>0.69569999999999999</v>
      </c>
      <c r="C328" s="8" t="s">
        <v>460</v>
      </c>
    </row>
    <row r="329" spans="1:3">
      <c r="A329" s="172"/>
      <c r="B329" s="1126">
        <v>0.85990521327014202</v>
      </c>
      <c r="C329" s="8" t="s">
        <v>336</v>
      </c>
    </row>
    <row r="330" spans="1:3">
      <c r="A330" s="172"/>
      <c r="B330" s="2526">
        <v>1.9993847566574841</v>
      </c>
      <c r="C330" s="8" t="s">
        <v>337</v>
      </c>
    </row>
    <row r="331" spans="1:3">
      <c r="A331" s="172"/>
      <c r="B331" s="1126">
        <f>2.1557+1.0778</f>
        <v>3.2335000000000003</v>
      </c>
      <c r="C331" s="8" t="s">
        <v>338</v>
      </c>
    </row>
    <row r="332" spans="1:3">
      <c r="A332" s="172"/>
      <c r="B332" s="213">
        <v>0.54</v>
      </c>
      <c r="C332" s="8" t="s">
        <v>339</v>
      </c>
    </row>
    <row r="333" spans="1:3">
      <c r="A333" s="172"/>
      <c r="B333" s="1321"/>
      <c r="C333" s="1321"/>
    </row>
    <row r="334" spans="1:3">
      <c r="A334" s="172" t="s">
        <v>461</v>
      </c>
      <c r="B334" s="1321"/>
      <c r="C334" s="1321"/>
    </row>
    <row r="335" spans="1:3">
      <c r="A335" s="172"/>
      <c r="B335" s="213">
        <v>1.339</v>
      </c>
      <c r="C335" s="1321" t="s">
        <v>462</v>
      </c>
    </row>
    <row r="336" spans="1:3">
      <c r="A336" s="172"/>
      <c r="B336" s="213">
        <v>0</v>
      </c>
      <c r="C336" s="1321" t="s">
        <v>463</v>
      </c>
    </row>
    <row r="337" spans="1:3">
      <c r="A337" s="172"/>
      <c r="B337" s="213">
        <v>33.801000000000002</v>
      </c>
      <c r="C337" s="1321" t="s">
        <v>464</v>
      </c>
    </row>
    <row r="338" spans="1:3">
      <c r="A338" s="172"/>
      <c r="B338" s="213">
        <v>0.54</v>
      </c>
      <c r="C338" s="1321" t="s">
        <v>339</v>
      </c>
    </row>
    <row r="339" spans="1:3">
      <c r="A339" s="172"/>
      <c r="B339" s="1321"/>
      <c r="C339" s="1321"/>
    </row>
    <row r="340" spans="1:3">
      <c r="A340" s="172" t="s">
        <v>465</v>
      </c>
      <c r="B340" s="1321"/>
      <c r="C340" s="1321"/>
    </row>
    <row r="341" spans="1:3">
      <c r="A341" s="172"/>
      <c r="B341" s="213">
        <v>0.57699999999999996</v>
      </c>
      <c r="C341" s="1321" t="s">
        <v>348</v>
      </c>
    </row>
    <row r="342" spans="1:3">
      <c r="A342" s="172"/>
      <c r="B342" s="213">
        <v>17.835000000000001</v>
      </c>
      <c r="C342" s="1321" t="s">
        <v>466</v>
      </c>
    </row>
    <row r="343" spans="1:3">
      <c r="A343" s="172"/>
      <c r="B343" s="213">
        <v>1.486</v>
      </c>
      <c r="C343" s="1321" t="s">
        <v>350</v>
      </c>
    </row>
    <row r="344" spans="1:3">
      <c r="A344" s="172"/>
      <c r="B344" s="213">
        <v>46.777999999999999</v>
      </c>
      <c r="C344" s="1321" t="s">
        <v>467</v>
      </c>
    </row>
    <row r="345" spans="1:3">
      <c r="A345" s="172"/>
      <c r="B345" s="1126">
        <v>1.006</v>
      </c>
      <c r="C345" s="1321" t="s">
        <v>352</v>
      </c>
    </row>
    <row r="346" spans="1:3">
      <c r="A346" s="172"/>
      <c r="B346" s="1126">
        <v>1.0920000000000001</v>
      </c>
      <c r="C346" s="1321" t="s">
        <v>468</v>
      </c>
    </row>
    <row r="347" spans="1:3">
      <c r="A347" s="172"/>
      <c r="B347" s="1126">
        <v>4.46</v>
      </c>
      <c r="C347" s="1321" t="s">
        <v>469</v>
      </c>
    </row>
    <row r="348" spans="1:3">
      <c r="A348" s="172"/>
      <c r="B348" s="1126">
        <v>3.629</v>
      </c>
      <c r="C348" s="1321" t="s">
        <v>332</v>
      </c>
    </row>
    <row r="349" spans="1:3">
      <c r="A349" s="172"/>
      <c r="B349" s="1126">
        <v>3.0219999999999998</v>
      </c>
      <c r="C349" s="1321" t="s">
        <v>334</v>
      </c>
    </row>
    <row r="350" spans="1:3">
      <c r="A350" s="172"/>
      <c r="B350" s="1126">
        <v>0.85990521327014224</v>
      </c>
      <c r="C350" s="1321" t="s">
        <v>336</v>
      </c>
    </row>
    <row r="351" spans="1:3">
      <c r="A351" s="172"/>
      <c r="B351" s="1126">
        <v>5.8970000000000002</v>
      </c>
      <c r="C351" s="1321" t="s">
        <v>355</v>
      </c>
    </row>
    <row r="352" spans="1:3">
      <c r="A352" s="172"/>
      <c r="B352" s="1321"/>
      <c r="C352" s="1321"/>
    </row>
    <row r="353" spans="1:3">
      <c r="A353" s="172" t="s">
        <v>470</v>
      </c>
      <c r="B353" s="1321"/>
      <c r="C353" s="1321"/>
    </row>
    <row r="354" spans="1:3">
      <c r="A354" s="172"/>
      <c r="B354" s="213">
        <v>0.57699999999999996</v>
      </c>
      <c r="C354" s="1321" t="s">
        <v>348</v>
      </c>
    </row>
    <row r="355" spans="1:3">
      <c r="A355" s="172"/>
      <c r="B355" s="213">
        <v>17.835000000000001</v>
      </c>
      <c r="C355" s="1321" t="s">
        <v>466</v>
      </c>
    </row>
    <row r="356" spans="1:3">
      <c r="A356" s="172"/>
      <c r="B356" s="213">
        <v>1.486</v>
      </c>
      <c r="C356" s="1321" t="s">
        <v>350</v>
      </c>
    </row>
    <row r="357" spans="1:3">
      <c r="A357" s="172"/>
      <c r="B357" s="213">
        <v>46.777999999999999</v>
      </c>
      <c r="C357" s="1321" t="s">
        <v>467</v>
      </c>
    </row>
    <row r="358" spans="1:3">
      <c r="A358" s="172"/>
      <c r="B358" s="213">
        <v>1.006</v>
      </c>
      <c r="C358" s="1321" t="s">
        <v>352</v>
      </c>
    </row>
    <row r="359" spans="1:3">
      <c r="A359" s="172"/>
      <c r="B359" s="213">
        <v>1.0920000000000001</v>
      </c>
      <c r="C359" s="1321" t="s">
        <v>471</v>
      </c>
    </row>
    <row r="360" spans="1:3">
      <c r="A360" s="172"/>
      <c r="B360" s="213">
        <v>4.46</v>
      </c>
      <c r="C360" s="1321" t="s">
        <v>469</v>
      </c>
    </row>
    <row r="361" spans="1:3">
      <c r="A361" s="172"/>
      <c r="B361" s="213">
        <v>7.569</v>
      </c>
      <c r="C361" s="1321" t="s">
        <v>363</v>
      </c>
    </row>
    <row r="362" spans="1:3">
      <c r="A362" s="172"/>
      <c r="B362" s="213">
        <v>0.54</v>
      </c>
      <c r="C362" s="1321" t="s">
        <v>339</v>
      </c>
    </row>
    <row r="363" spans="1:3">
      <c r="A363" s="172"/>
      <c r="B363" s="1321"/>
      <c r="C363" s="1321"/>
    </row>
    <row r="364" spans="1:3">
      <c r="A364" s="172" t="s">
        <v>472</v>
      </c>
      <c r="B364" s="1321"/>
      <c r="C364" s="1321"/>
    </row>
    <row r="365" spans="1:3">
      <c r="A365" s="172"/>
      <c r="B365" s="213">
        <v>2.59</v>
      </c>
      <c r="C365" s="1321" t="s">
        <v>473</v>
      </c>
    </row>
    <row r="366" spans="1:3">
      <c r="A366" s="172"/>
      <c r="B366" s="213">
        <v>0</v>
      </c>
      <c r="C366" s="1321" t="s">
        <v>474</v>
      </c>
    </row>
    <row r="367" spans="1:3">
      <c r="A367" s="172"/>
      <c r="B367" s="213">
        <v>4.1399999999999997</v>
      </c>
      <c r="C367" s="1321" t="s">
        <v>475</v>
      </c>
    </row>
    <row r="368" spans="1:3">
      <c r="A368" s="172"/>
      <c r="B368" s="1321"/>
      <c r="C368" s="1321"/>
    </row>
    <row r="369" spans="1:4">
      <c r="A369" s="172" t="s">
        <v>476</v>
      </c>
      <c r="B369" s="1321"/>
      <c r="C369" s="1321"/>
      <c r="D369" s="1321"/>
    </row>
    <row r="370" spans="1:4">
      <c r="A370" s="172"/>
      <c r="B370" s="213">
        <v>17.015999999999998</v>
      </c>
      <c r="C370" s="1321" t="s">
        <v>477</v>
      </c>
      <c r="D370" s="1321"/>
    </row>
    <row r="371" spans="1:4">
      <c r="A371" s="172"/>
      <c r="B371" s="213">
        <v>10.744999999999999</v>
      </c>
      <c r="C371" s="1321" t="s">
        <v>478</v>
      </c>
      <c r="D371" s="1321"/>
    </row>
    <row r="372" spans="1:4">
      <c r="A372" s="172"/>
      <c r="B372" s="213">
        <v>15.31</v>
      </c>
      <c r="C372" s="1321" t="s">
        <v>479</v>
      </c>
      <c r="D372" s="1321"/>
    </row>
    <row r="373" spans="1:4">
      <c r="A373" s="172"/>
      <c r="B373" s="213">
        <v>43.506999999999998</v>
      </c>
      <c r="C373" s="1321" t="s">
        <v>480</v>
      </c>
      <c r="D373" s="1321"/>
    </row>
    <row r="374" spans="1:4">
      <c r="A374" s="172"/>
      <c r="B374" s="213">
        <v>15.945</v>
      </c>
      <c r="C374" s="1321" t="s">
        <v>481</v>
      </c>
      <c r="D374" s="1321"/>
    </row>
    <row r="375" spans="1:4">
      <c r="A375" s="172"/>
      <c r="B375" s="213">
        <v>4.9180000000000001</v>
      </c>
      <c r="C375" s="1321" t="s">
        <v>482</v>
      </c>
      <c r="D375" s="1321"/>
    </row>
    <row r="376" spans="1:4">
      <c r="A376" s="172"/>
      <c r="B376" s="213">
        <v>2.4590000000000001</v>
      </c>
      <c r="C376" s="1321" t="s">
        <v>483</v>
      </c>
      <c r="D376" s="1321"/>
    </row>
    <row r="377" spans="1:4">
      <c r="A377" s="172"/>
      <c r="B377" s="1321"/>
      <c r="C377" s="1321"/>
      <c r="D377" s="1321"/>
    </row>
    <row r="378" spans="1:4">
      <c r="A378" s="63" t="s">
        <v>484</v>
      </c>
      <c r="B378" s="8"/>
      <c r="C378" s="8"/>
      <c r="D378" s="1321"/>
    </row>
    <row r="379" spans="1:4">
      <c r="A379" s="172"/>
      <c r="B379" s="1355" t="s">
        <v>485</v>
      </c>
      <c r="C379" s="1427" t="s">
        <v>486</v>
      </c>
      <c r="D379" s="1210" t="s">
        <v>487</v>
      </c>
    </row>
    <row r="380" spans="1:4" s="1128" customFormat="1">
      <c r="A380" s="172"/>
      <c r="B380" s="490" t="s">
        <v>488</v>
      </c>
      <c r="C380" s="1117">
        <v>21.570692097725999</v>
      </c>
      <c r="D380" s="1190">
        <v>70.909337045982895</v>
      </c>
    </row>
    <row r="381" spans="1:4" s="1128" customFormat="1">
      <c r="A381" s="172"/>
      <c r="B381" s="647" t="s">
        <v>489</v>
      </c>
      <c r="C381" s="1120">
        <v>6.7060813649289104</v>
      </c>
      <c r="D381" s="1191">
        <v>29.332886535257298</v>
      </c>
    </row>
    <row r="382" spans="1:4">
      <c r="A382" s="172"/>
      <c r="B382" s="1119">
        <v>37.1776491351633</v>
      </c>
      <c r="C382" s="8" t="s">
        <v>490</v>
      </c>
      <c r="D382" s="1321"/>
    </row>
    <row r="383" spans="1:4" s="1128" customFormat="1">
      <c r="A383" s="172"/>
      <c r="B383" s="1119">
        <v>18.600278503969914</v>
      </c>
      <c r="C383" s="8" t="s">
        <v>491</v>
      </c>
      <c r="D383" s="1321"/>
    </row>
    <row r="384" spans="1:4">
      <c r="A384" s="172"/>
      <c r="B384" s="1119">
        <v>10.525239810426541</v>
      </c>
      <c r="C384" s="489" t="s">
        <v>492</v>
      </c>
      <c r="D384" s="1321"/>
    </row>
    <row r="385" spans="1:3">
      <c r="A385" s="172"/>
      <c r="B385" s="1321"/>
      <c r="C385" s="1321"/>
    </row>
    <row r="386" spans="1:3">
      <c r="A386" s="172" t="s">
        <v>493</v>
      </c>
      <c r="B386" s="1321"/>
      <c r="C386" s="1321"/>
    </row>
    <row r="387" spans="1:3">
      <c r="A387" s="172"/>
      <c r="B387" s="213">
        <v>2.15</v>
      </c>
      <c r="C387" s="1321" t="s">
        <v>494</v>
      </c>
    </row>
    <row r="388" spans="1:3">
      <c r="A388" s="172"/>
      <c r="B388" s="213">
        <v>19.782</v>
      </c>
      <c r="C388" s="1321" t="s">
        <v>495</v>
      </c>
    </row>
    <row r="389" spans="1:3">
      <c r="A389" s="172"/>
      <c r="B389" s="213">
        <v>24.338000000000001</v>
      </c>
      <c r="C389" s="1321" t="s">
        <v>496</v>
      </c>
    </row>
    <row r="390" spans="1:3">
      <c r="A390" s="172"/>
      <c r="B390" s="213">
        <v>2.4820000000000002</v>
      </c>
      <c r="C390" s="1321" t="s">
        <v>497</v>
      </c>
    </row>
    <row r="391" spans="1:3">
      <c r="A391" s="172"/>
      <c r="B391" s="80" t="s">
        <v>498</v>
      </c>
      <c r="C391" s="50"/>
    </row>
    <row r="392" spans="1:3">
      <c r="A392" s="172"/>
      <c r="B392" s="173" t="s">
        <v>499</v>
      </c>
      <c r="C392" s="645">
        <f>1-C393</f>
        <v>0.84199999999999997</v>
      </c>
    </row>
    <row r="393" spans="1:3">
      <c r="A393" s="172"/>
      <c r="B393" s="174" t="s">
        <v>500</v>
      </c>
      <c r="C393" s="646">
        <v>0.158</v>
      </c>
    </row>
    <row r="394" spans="1:3">
      <c r="A394" s="172"/>
      <c r="B394" s="1321"/>
      <c r="C394" s="1321"/>
    </row>
    <row r="395" spans="1:3">
      <c r="A395" s="172" t="s">
        <v>501</v>
      </c>
      <c r="B395" s="1321"/>
      <c r="C395" s="1321"/>
    </row>
    <row r="396" spans="1:3">
      <c r="A396" s="172"/>
      <c r="B396" s="213">
        <f>3.72+0.11</f>
        <v>3.83</v>
      </c>
      <c r="C396" s="1321" t="s">
        <v>502</v>
      </c>
    </row>
    <row r="397" spans="1:3">
      <c r="A397" s="172"/>
      <c r="B397" s="213">
        <v>14.75</v>
      </c>
      <c r="C397" s="1321" t="s">
        <v>503</v>
      </c>
    </row>
    <row r="398" spans="1:3">
      <c r="A398" s="172"/>
      <c r="B398" s="213">
        <v>22.9</v>
      </c>
      <c r="C398" s="1321" t="s">
        <v>504</v>
      </c>
    </row>
    <row r="399" spans="1:3">
      <c r="A399" s="172"/>
      <c r="B399" s="1321"/>
      <c r="C399" s="1321"/>
    </row>
    <row r="400" spans="1:3">
      <c r="A400" s="172" t="s">
        <v>505</v>
      </c>
      <c r="B400" s="1321"/>
      <c r="C400" s="1321"/>
    </row>
    <row r="401" spans="1:3">
      <c r="A401" s="172"/>
      <c r="B401" s="213">
        <v>0</v>
      </c>
      <c r="C401" s="1321" t="s">
        <v>506</v>
      </c>
    </row>
    <row r="402" spans="1:3">
      <c r="A402" s="172"/>
      <c r="B402" s="213">
        <v>146.27500000000001</v>
      </c>
      <c r="C402" s="1321" t="s">
        <v>507</v>
      </c>
    </row>
    <row r="403" spans="1:3">
      <c r="A403" s="172"/>
      <c r="B403" s="213">
        <v>225.26</v>
      </c>
      <c r="C403" s="1321" t="s">
        <v>508</v>
      </c>
    </row>
    <row r="404" spans="1:3">
      <c r="A404" s="172"/>
      <c r="B404" s="213">
        <v>2.496</v>
      </c>
      <c r="C404" s="1321" t="s">
        <v>509</v>
      </c>
    </row>
    <row r="405" spans="1:3">
      <c r="A405" s="172"/>
      <c r="B405" s="213">
        <v>7.1890000000000001</v>
      </c>
      <c r="C405" s="1321" t="s">
        <v>510</v>
      </c>
    </row>
    <row r="406" spans="1:3">
      <c r="A406" s="172"/>
      <c r="B406" s="80" t="s">
        <v>511</v>
      </c>
      <c r="C406" s="50"/>
    </row>
    <row r="407" spans="1:3">
      <c r="A407" s="172"/>
      <c r="B407" s="173" t="s">
        <v>512</v>
      </c>
      <c r="C407" s="226">
        <v>1</v>
      </c>
    </row>
    <row r="408" spans="1:3">
      <c r="A408" s="172"/>
      <c r="B408" s="174" t="s">
        <v>513</v>
      </c>
      <c r="C408" s="130">
        <f>1-C407</f>
        <v>0</v>
      </c>
    </row>
    <row r="409" spans="1:3">
      <c r="A409" s="172"/>
      <c r="B409" s="1321"/>
      <c r="C409" s="1321"/>
    </row>
    <row r="410" spans="1:3">
      <c r="A410" s="172" t="s">
        <v>514</v>
      </c>
      <c r="B410" s="1321"/>
      <c r="C410" s="1321"/>
    </row>
    <row r="411" spans="1:3">
      <c r="A411" s="172"/>
      <c r="B411" s="213">
        <v>0.108</v>
      </c>
      <c r="C411" s="1321" t="s">
        <v>515</v>
      </c>
    </row>
    <row r="412" spans="1:3">
      <c r="A412" s="172"/>
      <c r="B412" s="1321"/>
      <c r="C412" s="1321"/>
    </row>
    <row r="413" spans="1:3">
      <c r="A413" s="172" t="s">
        <v>516</v>
      </c>
      <c r="B413" s="1321"/>
      <c r="C413" s="1321"/>
    </row>
    <row r="414" spans="1:3">
      <c r="A414" s="172"/>
      <c r="B414" s="213">
        <v>0.27</v>
      </c>
      <c r="C414" s="1321" t="s">
        <v>517</v>
      </c>
    </row>
    <row r="415" spans="1:3">
      <c r="A415" s="172"/>
      <c r="B415" s="213">
        <v>6.5</v>
      </c>
      <c r="C415" s="1321" t="s">
        <v>518</v>
      </c>
    </row>
    <row r="416" spans="1:3">
      <c r="A416" s="172"/>
      <c r="B416" s="213">
        <v>1.5</v>
      </c>
      <c r="C416" s="1321" t="s">
        <v>519</v>
      </c>
    </row>
    <row r="417" spans="1:3">
      <c r="A417" s="172"/>
      <c r="B417" s="213">
        <v>0.41</v>
      </c>
      <c r="C417" s="1321" t="s">
        <v>520</v>
      </c>
    </row>
    <row r="418" spans="1:3">
      <c r="A418" s="172"/>
      <c r="B418" s="213">
        <v>4.2</v>
      </c>
      <c r="C418" s="1321" t="s">
        <v>521</v>
      </c>
    </row>
    <row r="419" spans="1:3">
      <c r="A419" s="172"/>
      <c r="B419" s="213">
        <v>1.64</v>
      </c>
      <c r="C419" s="1321" t="s">
        <v>522</v>
      </c>
    </row>
    <row r="420" spans="1:3">
      <c r="A420" s="172"/>
      <c r="B420" s="213">
        <v>1.1499999999999999</v>
      </c>
      <c r="C420" s="1321" t="s">
        <v>523</v>
      </c>
    </row>
    <row r="421" spans="1:3">
      <c r="A421" s="172"/>
      <c r="B421" s="213">
        <v>6.5</v>
      </c>
      <c r="C421" s="1321" t="s">
        <v>524</v>
      </c>
    </row>
    <row r="422" spans="1:3">
      <c r="A422" s="172"/>
      <c r="B422" s="213">
        <v>2</v>
      </c>
      <c r="C422" s="1321" t="s">
        <v>525</v>
      </c>
    </row>
    <row r="423" spans="1:3">
      <c r="A423" s="172"/>
      <c r="B423" s="213">
        <v>3.28</v>
      </c>
      <c r="C423" s="1321" t="s">
        <v>526</v>
      </c>
    </row>
    <row r="424" spans="1:3">
      <c r="A424" s="172"/>
      <c r="B424" s="1321"/>
      <c r="C424" s="1321"/>
    </row>
    <row r="425" spans="1:3">
      <c r="A425" s="172" t="s">
        <v>527</v>
      </c>
      <c r="B425" s="1321"/>
      <c r="C425" s="1321"/>
    </row>
    <row r="426" spans="1:3">
      <c r="A426" s="172"/>
      <c r="B426" s="1789">
        <v>23.907</v>
      </c>
      <c r="C426" s="1288" t="s">
        <v>528</v>
      </c>
    </row>
    <row r="427" spans="1:3">
      <c r="A427" s="172"/>
      <c r="B427" s="1789">
        <f>16.907-2.383-7.141</f>
        <v>7.3830000000000009</v>
      </c>
      <c r="C427" s="1288" t="s">
        <v>529</v>
      </c>
    </row>
    <row r="428" spans="1:3">
      <c r="A428" s="172"/>
      <c r="B428" s="1789">
        <v>58.664999999999999</v>
      </c>
      <c r="C428" s="1288" t="s">
        <v>372</v>
      </c>
    </row>
    <row r="429" spans="1:3">
      <c r="A429" s="172"/>
      <c r="B429" s="1789">
        <f>29.479-2.21-4.538</f>
        <v>22.730999999999998</v>
      </c>
      <c r="C429" s="1288" t="s">
        <v>530</v>
      </c>
    </row>
    <row r="430" spans="1:3">
      <c r="A430" s="172"/>
      <c r="B430" s="1789">
        <f>29.584-2.368-4.78</f>
        <v>22.436</v>
      </c>
      <c r="C430" s="1288" t="s">
        <v>531</v>
      </c>
    </row>
    <row r="431" spans="1:3">
      <c r="A431" s="172"/>
      <c r="B431" s="1789">
        <f>19.953-1.584-7.216</f>
        <v>11.152999999999999</v>
      </c>
      <c r="C431" s="1288" t="s">
        <v>532</v>
      </c>
    </row>
    <row r="432" spans="1:3">
      <c r="A432" s="172"/>
      <c r="B432" s="1789">
        <f>23.513-1.614-7.348</f>
        <v>14.551000000000002</v>
      </c>
      <c r="C432" s="1288" t="s">
        <v>533</v>
      </c>
    </row>
    <row r="433" spans="1:3">
      <c r="A433" s="172"/>
      <c r="B433" s="1789">
        <f>19.669-1.6-7.284</f>
        <v>10.785</v>
      </c>
      <c r="C433" s="1288" t="s">
        <v>534</v>
      </c>
    </row>
    <row r="434" spans="1:3">
      <c r="A434" s="172"/>
      <c r="B434" s="1789">
        <v>52.226999999999997</v>
      </c>
      <c r="C434" s="1288" t="s">
        <v>378</v>
      </c>
    </row>
    <row r="435" spans="1:3">
      <c r="A435" s="172"/>
      <c r="B435" s="1789">
        <v>51.176000000000002</v>
      </c>
      <c r="C435" s="1288" t="s">
        <v>379</v>
      </c>
    </row>
    <row r="436" spans="1:3">
      <c r="A436" s="172"/>
      <c r="B436" s="1789">
        <v>42.561999999999998</v>
      </c>
      <c r="C436" s="1288" t="s">
        <v>535</v>
      </c>
    </row>
    <row r="437" spans="1:3">
      <c r="A437" s="172"/>
      <c r="B437" s="1789">
        <f>19.948-0.32-1.458</f>
        <v>18.170000000000002</v>
      </c>
      <c r="C437" s="1288" t="s">
        <v>536</v>
      </c>
    </row>
    <row r="438" spans="1:3">
      <c r="A438" s="172"/>
      <c r="B438" s="1789">
        <f>19.744-3.754-6.672</f>
        <v>9.3180000000000014</v>
      </c>
      <c r="C438" s="1288" t="s">
        <v>537</v>
      </c>
    </row>
    <row r="439" spans="1:3">
      <c r="A439" s="172"/>
      <c r="B439" s="1789">
        <f>32.655-1.879-3.623</f>
        <v>27.152999999999999</v>
      </c>
      <c r="C439" s="1288" t="s">
        <v>538</v>
      </c>
    </row>
    <row r="440" spans="1:3">
      <c r="A440" s="172"/>
      <c r="B440" s="1789">
        <f>28.525-1.56-2.594</f>
        <v>24.370999999999999</v>
      </c>
      <c r="C440" s="1288" t="s">
        <v>539</v>
      </c>
    </row>
    <row r="441" spans="1:3">
      <c r="A441" s="172"/>
      <c r="B441" s="1789">
        <f>22.378-0.726-3.304</f>
        <v>18.348000000000003</v>
      </c>
      <c r="C441" s="1288" t="s">
        <v>540</v>
      </c>
    </row>
    <row r="442" spans="1:3">
      <c r="A442" s="172"/>
      <c r="B442" s="1789">
        <v>0.64100000000000001</v>
      </c>
      <c r="C442" s="1288" t="s">
        <v>387</v>
      </c>
    </row>
    <row r="443" spans="1:3">
      <c r="A443" s="172"/>
      <c r="B443" s="1789">
        <v>398.512</v>
      </c>
      <c r="C443" s="1288" t="s">
        <v>391</v>
      </c>
    </row>
    <row r="444" spans="1:3">
      <c r="A444" s="172"/>
      <c r="B444" s="1789">
        <v>3.01</v>
      </c>
      <c r="C444" s="1288" t="s">
        <v>541</v>
      </c>
    </row>
    <row r="445" spans="1:3">
      <c r="A445" s="1321"/>
      <c r="B445" s="1288">
        <v>3.698</v>
      </c>
      <c r="C445" s="1288" t="s">
        <v>542</v>
      </c>
    </row>
    <row r="446" spans="1:3">
      <c r="A446" s="1321"/>
      <c r="B446" s="1288">
        <v>11.007</v>
      </c>
      <c r="C446" s="1288" t="s">
        <v>543</v>
      </c>
    </row>
    <row r="447" spans="1:3">
      <c r="A447" s="172"/>
      <c r="B447" s="1789">
        <v>7.8860000000000001</v>
      </c>
      <c r="C447" s="1288" t="s">
        <v>544</v>
      </c>
    </row>
    <row r="448" spans="1:3">
      <c r="A448" s="172"/>
      <c r="B448" s="1789">
        <v>5.3140000000000001</v>
      </c>
      <c r="C448" s="1288" t="s">
        <v>545</v>
      </c>
    </row>
    <row r="449" spans="1:16">
      <c r="A449" s="172"/>
      <c r="B449" s="1789">
        <v>1.798</v>
      </c>
      <c r="C449" s="1288" t="s">
        <v>395</v>
      </c>
      <c r="D449" s="1321"/>
      <c r="E449" s="1321"/>
      <c r="F449" s="1321"/>
      <c r="G449" s="1321"/>
      <c r="H449" s="1321"/>
      <c r="I449" s="1321"/>
    </row>
    <row r="450" spans="1:16">
      <c r="A450" s="172"/>
      <c r="B450" s="1789">
        <v>6.274</v>
      </c>
      <c r="C450" s="1288" t="s">
        <v>396</v>
      </c>
      <c r="D450" s="1321"/>
      <c r="E450" s="1321"/>
      <c r="F450" s="1321"/>
      <c r="G450" s="1321"/>
      <c r="H450" s="1321"/>
      <c r="I450" s="1321"/>
    </row>
    <row r="451" spans="1:16">
      <c r="A451" s="172"/>
      <c r="B451" s="1789">
        <v>1.6950000000000001</v>
      </c>
      <c r="C451" s="1288" t="s">
        <v>397</v>
      </c>
      <c r="D451" s="1321"/>
      <c r="E451" s="1321"/>
      <c r="F451" s="1321"/>
      <c r="G451" s="1321"/>
      <c r="H451" s="1321"/>
      <c r="I451" s="1321"/>
    </row>
    <row r="452" spans="1:16">
      <c r="A452" s="172"/>
      <c r="B452" s="1789">
        <v>1.633</v>
      </c>
      <c r="C452" s="1288" t="s">
        <v>398</v>
      </c>
      <c r="D452" s="1321"/>
      <c r="E452" s="1321"/>
      <c r="F452" s="1321"/>
      <c r="G452" s="1321"/>
      <c r="H452" s="1321"/>
      <c r="I452" s="1321"/>
    </row>
    <row r="453" spans="1:16">
      <c r="A453" s="172"/>
      <c r="B453" s="1789">
        <v>2.1680000000000001</v>
      </c>
      <c r="C453" s="1288" t="s">
        <v>399</v>
      </c>
      <c r="D453" s="1321"/>
      <c r="E453" s="1321"/>
      <c r="F453" s="1321"/>
      <c r="G453" s="1321"/>
      <c r="H453" s="1321"/>
      <c r="I453" s="1321"/>
    </row>
    <row r="454" spans="1:16">
      <c r="A454" s="172"/>
      <c r="B454" s="1789">
        <v>6.1849999999999996</v>
      </c>
      <c r="C454" s="1288" t="s">
        <v>400</v>
      </c>
      <c r="D454" s="1321"/>
      <c r="E454" s="1321"/>
      <c r="F454" s="1321"/>
      <c r="G454" s="1321"/>
      <c r="H454" s="1321"/>
      <c r="I454" s="1321"/>
    </row>
    <row r="455" spans="1:16">
      <c r="A455" s="172"/>
      <c r="B455" s="1789">
        <v>3.8029999999999999</v>
      </c>
      <c r="C455" s="1288" t="s">
        <v>401</v>
      </c>
      <c r="D455" s="1321"/>
      <c r="E455" s="1321"/>
      <c r="F455" s="1321"/>
      <c r="G455" s="1321"/>
      <c r="H455" s="1321"/>
      <c r="I455" s="1321"/>
    </row>
    <row r="456" spans="1:16">
      <c r="A456" s="172"/>
      <c r="B456" s="1789">
        <v>2.4740000000000002</v>
      </c>
      <c r="C456" s="1288" t="s">
        <v>402</v>
      </c>
      <c r="D456" s="1321"/>
      <c r="E456" s="1321"/>
      <c r="F456" s="1321"/>
      <c r="G456" s="1321"/>
      <c r="H456" s="1321"/>
      <c r="I456" s="1321"/>
    </row>
    <row r="457" spans="1:16">
      <c r="A457" s="172"/>
      <c r="B457" s="1288"/>
      <c r="C457" s="1288"/>
      <c r="D457" s="1321"/>
      <c r="E457" s="1321"/>
      <c r="F457" s="1321"/>
      <c r="G457" s="1321"/>
      <c r="H457" s="1321"/>
      <c r="I457" s="1321"/>
    </row>
    <row r="458" spans="1:16">
      <c r="A458" s="172" t="s">
        <v>546</v>
      </c>
      <c r="B458" s="1288"/>
      <c r="C458" s="1288"/>
      <c r="D458" s="1321"/>
      <c r="E458" s="1321"/>
      <c r="F458" s="1321"/>
      <c r="G458" s="1321"/>
      <c r="H458" s="1321"/>
      <c r="I458" s="1321"/>
    </row>
    <row r="459" spans="1:16">
      <c r="A459" s="172"/>
      <c r="B459" s="1789">
        <v>33.854999999999997</v>
      </c>
      <c r="C459" s="1288" t="s">
        <v>547</v>
      </c>
      <c r="D459" s="1321"/>
      <c r="E459" s="1321"/>
      <c r="F459" s="1321"/>
      <c r="G459" s="1321"/>
      <c r="H459" s="1321"/>
      <c r="I459" s="1321"/>
    </row>
    <row r="460" spans="1:16">
      <c r="A460" s="172"/>
      <c r="B460" s="1789">
        <v>6.274</v>
      </c>
      <c r="C460" s="1288" t="s">
        <v>396</v>
      </c>
      <c r="D460" s="1321"/>
      <c r="E460" s="1321"/>
      <c r="F460" s="1321"/>
      <c r="G460" s="1321"/>
      <c r="H460" s="1321"/>
      <c r="I460" s="1321"/>
    </row>
    <row r="461" spans="1:16">
      <c r="A461" s="172"/>
      <c r="B461" s="1789">
        <v>3.8029999999999999</v>
      </c>
      <c r="C461" s="1288" t="s">
        <v>401</v>
      </c>
      <c r="D461" s="1321"/>
      <c r="E461" s="1321"/>
      <c r="F461" s="1321"/>
      <c r="G461" s="1321"/>
      <c r="H461" s="1321"/>
      <c r="I461" s="1321"/>
    </row>
    <row r="462" spans="1:16">
      <c r="A462" s="172"/>
      <c r="B462" s="1321"/>
      <c r="C462" s="1321"/>
      <c r="D462" s="1321"/>
      <c r="E462" s="1321"/>
      <c r="F462" s="1321"/>
      <c r="G462" s="1321"/>
      <c r="H462" s="1321"/>
      <c r="I462" s="1321"/>
    </row>
    <row r="463" spans="1:16">
      <c r="A463" s="172" t="s">
        <v>548</v>
      </c>
      <c r="B463" s="1321"/>
      <c r="C463" s="1321"/>
      <c r="D463" s="1321"/>
      <c r="E463" s="1321"/>
      <c r="F463" s="1321"/>
      <c r="G463" s="1321"/>
      <c r="H463" s="1321"/>
      <c r="I463" s="1321"/>
      <c r="M463" s="1321"/>
      <c r="N463" s="1321"/>
      <c r="O463" s="1321"/>
      <c r="P463" s="1321"/>
    </row>
    <row r="464" spans="1:16">
      <c r="A464" s="172"/>
      <c r="B464" s="523" t="s">
        <v>549</v>
      </c>
      <c r="C464" s="3000" t="s">
        <v>551</v>
      </c>
      <c r="D464" s="3001"/>
      <c r="E464" s="3011" t="s">
        <v>550</v>
      </c>
      <c r="F464" s="3003"/>
      <c r="M464" s="1321"/>
      <c r="N464" s="1321"/>
      <c r="O464" s="1321"/>
      <c r="P464" s="1321"/>
    </row>
    <row r="465" spans="1:16">
      <c r="A465" s="172"/>
      <c r="B465" s="2559" t="s">
        <v>485</v>
      </c>
      <c r="C465" s="2560" t="s">
        <v>486</v>
      </c>
      <c r="D465" s="2561" t="s">
        <v>487</v>
      </c>
      <c r="E465" s="2562" t="s">
        <v>486</v>
      </c>
      <c r="F465" s="2563" t="s">
        <v>487</v>
      </c>
      <c r="J465" s="1321"/>
      <c r="K465" s="1321"/>
      <c r="M465" s="1321"/>
      <c r="N465" s="1321"/>
      <c r="O465" s="1321"/>
      <c r="P465" s="1321"/>
    </row>
    <row r="466" spans="1:16">
      <c r="A466" s="172"/>
      <c r="B466" s="661" t="s">
        <v>63</v>
      </c>
      <c r="C466" s="158">
        <v>2.262</v>
      </c>
      <c r="D466" s="159">
        <v>2.262</v>
      </c>
      <c r="E466" s="1032">
        <v>479.87118868275269</v>
      </c>
      <c r="F466" s="1585">
        <v>127174.86268210143</v>
      </c>
      <c r="J466" s="1321"/>
      <c r="K466" s="1321"/>
      <c r="L466" s="1321"/>
      <c r="M466" s="1321"/>
      <c r="N466" s="1321"/>
      <c r="O466" s="1321"/>
      <c r="P466" s="1321"/>
    </row>
    <row r="467" spans="1:16">
      <c r="A467" s="172"/>
      <c r="B467" s="897" t="s">
        <v>558</v>
      </c>
      <c r="C467" s="138">
        <v>11.72</v>
      </c>
      <c r="D467" s="139">
        <v>56879</v>
      </c>
      <c r="E467" s="1033">
        <v>479.87118868275269</v>
      </c>
      <c r="F467" s="1586">
        <v>169880.628554177</v>
      </c>
      <c r="J467" s="1321"/>
      <c r="K467" s="1321"/>
      <c r="L467" s="1321"/>
      <c r="M467" s="1321"/>
      <c r="N467" s="1321"/>
      <c r="O467" s="1321"/>
      <c r="P467" s="1321"/>
    </row>
    <row r="468" spans="1:16">
      <c r="A468" s="172"/>
      <c r="B468" s="661" t="s">
        <v>554</v>
      </c>
      <c r="C468" s="158"/>
      <c r="D468" s="159"/>
      <c r="E468" s="1032">
        <v>479.87118868275269</v>
      </c>
      <c r="F468" s="1585">
        <v>127524.90994334797</v>
      </c>
      <c r="J468" s="1321"/>
      <c r="K468" s="1321"/>
      <c r="L468" s="1321"/>
      <c r="M468" s="1321"/>
      <c r="N468" s="1321"/>
      <c r="O468" s="1321"/>
      <c r="P468" s="1321"/>
    </row>
    <row r="469" spans="1:16">
      <c r="A469" s="172"/>
      <c r="B469" s="897" t="s">
        <v>556</v>
      </c>
      <c r="C469" s="138"/>
      <c r="D469" s="139"/>
      <c r="E469" s="1033">
        <v>479.87118868275269</v>
      </c>
      <c r="F469" s="1586">
        <v>235447.17325689076</v>
      </c>
      <c r="J469" s="1321"/>
      <c r="K469" s="1321"/>
      <c r="L469" s="1321"/>
      <c r="M469" s="1321"/>
      <c r="N469" s="1321"/>
      <c r="O469" s="1321"/>
      <c r="P469" s="1321"/>
    </row>
    <row r="470" spans="1:16">
      <c r="K470" s="1321"/>
      <c r="L470" s="1321"/>
      <c r="M470" s="1321"/>
      <c r="N470" s="1321"/>
      <c r="O470" s="1321"/>
      <c r="P470" s="1321"/>
    </row>
    <row r="471" spans="1:16">
      <c r="A471" s="172"/>
      <c r="B471" s="1321"/>
      <c r="C471" s="1321"/>
      <c r="D471" s="1321"/>
      <c r="E471" s="1321"/>
      <c r="F471" s="1321"/>
      <c r="G471" s="1321"/>
      <c r="H471" s="1321"/>
      <c r="I471" s="1321"/>
      <c r="J471" s="1321"/>
      <c r="K471" s="1321"/>
    </row>
    <row r="472" spans="1:16" ht="12.75" hidden="1" customHeight="1">
      <c r="A472" s="172" t="s">
        <v>559</v>
      </c>
      <c r="B472" s="1321"/>
      <c r="C472" s="1321"/>
      <c r="D472" s="1321"/>
      <c r="E472" s="1321"/>
      <c r="F472" s="1321" t="s">
        <v>560</v>
      </c>
      <c r="G472" s="1321"/>
      <c r="H472" s="1321"/>
      <c r="I472" s="1321"/>
      <c r="J472" s="1321"/>
      <c r="K472" s="1321"/>
    </row>
    <row r="473" spans="1:16" ht="12.75" hidden="1" customHeight="1">
      <c r="A473" s="172"/>
      <c r="B473" s="1321">
        <v>0</v>
      </c>
      <c r="C473" s="1321" t="s">
        <v>561</v>
      </c>
      <c r="D473" s="1321"/>
      <c r="E473" s="1321"/>
      <c r="F473" s="1321" t="s">
        <v>562</v>
      </c>
      <c r="G473" s="1321"/>
      <c r="H473" s="1321"/>
      <c r="I473" s="1321"/>
      <c r="J473" s="1321"/>
      <c r="K473" s="1321"/>
    </row>
    <row r="474" spans="1:16" ht="12.75" hidden="1" customHeight="1">
      <c r="A474" s="172"/>
      <c r="B474" s="1321">
        <v>0</v>
      </c>
      <c r="C474" s="1321" t="s">
        <v>563</v>
      </c>
      <c r="D474" s="1321"/>
      <c r="E474" s="1321"/>
      <c r="F474" s="1321" t="s">
        <v>564</v>
      </c>
      <c r="G474" s="1321"/>
      <c r="H474" s="1321"/>
      <c r="I474" s="1321"/>
      <c r="J474" s="1321"/>
      <c r="K474" s="1321"/>
    </row>
    <row r="475" spans="1:16" ht="13.5" hidden="1" customHeight="1" thickBot="1">
      <c r="A475" s="172"/>
      <c r="B475" s="1321">
        <v>0</v>
      </c>
      <c r="C475" s="1321" t="s">
        <v>565</v>
      </c>
      <c r="D475" s="1321"/>
      <c r="E475" s="1321"/>
      <c r="F475" s="1321" t="s">
        <v>566</v>
      </c>
      <c r="G475" s="1321"/>
      <c r="H475" s="1321"/>
      <c r="I475" s="1321"/>
      <c r="J475" s="1321"/>
      <c r="K475" s="1321"/>
    </row>
    <row r="476" spans="1:16" ht="12.75" hidden="1" customHeight="1">
      <c r="A476" s="172"/>
      <c r="B476" s="1321"/>
      <c r="C476" s="1321"/>
      <c r="D476" s="1321"/>
      <c r="E476" s="1321"/>
      <c r="F476" s="1321" t="s">
        <v>567</v>
      </c>
      <c r="G476" s="1321"/>
      <c r="H476" s="1321"/>
      <c r="I476" s="1321"/>
      <c r="J476" s="1321"/>
      <c r="K476" s="1321"/>
    </row>
    <row r="477" spans="1:16" ht="12.75" hidden="1" customHeight="1">
      <c r="A477" s="172" t="s">
        <v>568</v>
      </c>
      <c r="B477" s="1321"/>
      <c r="C477" s="1321"/>
      <c r="D477" s="1321"/>
      <c r="E477" s="1321"/>
      <c r="F477" s="1321"/>
      <c r="G477" s="1321"/>
      <c r="H477" s="1321"/>
      <c r="I477" s="1321"/>
      <c r="J477" s="1321"/>
      <c r="K477" s="1321"/>
    </row>
    <row r="478" spans="1:16" ht="12.75" hidden="1" customHeight="1">
      <c r="A478" s="172"/>
      <c r="B478" s="1321">
        <v>34</v>
      </c>
      <c r="C478" s="1321" t="s">
        <v>561</v>
      </c>
      <c r="D478" s="1321"/>
      <c r="E478" s="1321"/>
      <c r="F478" s="1321"/>
      <c r="G478" s="1321"/>
      <c r="H478" s="1321"/>
      <c r="I478" s="1321"/>
      <c r="J478" s="1321"/>
      <c r="K478" s="1321"/>
    </row>
    <row r="479" spans="1:16" ht="12.75" hidden="1" customHeight="1">
      <c r="A479" s="172"/>
      <c r="B479" s="1321">
        <v>100</v>
      </c>
      <c r="C479" s="1321" t="s">
        <v>569</v>
      </c>
      <c r="D479" s="1321"/>
      <c r="E479" s="1321"/>
      <c r="F479" s="1321"/>
      <c r="G479" s="1321"/>
      <c r="H479" s="1321"/>
      <c r="I479" s="1321"/>
      <c r="J479" s="1321"/>
      <c r="K479" s="1321"/>
    </row>
    <row r="480" spans="1:16" ht="13.5" hidden="1" customHeight="1" thickBot="1">
      <c r="A480" s="172"/>
      <c r="B480" s="1321">
        <v>0</v>
      </c>
      <c r="C480" s="1321" t="s">
        <v>570</v>
      </c>
      <c r="D480" s="1321"/>
      <c r="E480" s="1321"/>
      <c r="F480" s="1321"/>
      <c r="G480" s="1321"/>
      <c r="H480" s="1321"/>
      <c r="I480" s="1321"/>
      <c r="J480" s="1321"/>
      <c r="K480" s="1321"/>
    </row>
    <row r="481" spans="1:11" ht="12.75" hidden="1" customHeight="1">
      <c r="A481" s="172"/>
      <c r="B481" s="1321"/>
      <c r="C481" s="1321"/>
      <c r="D481" s="1321"/>
      <c r="E481" s="1321"/>
      <c r="F481" s="1321"/>
      <c r="G481" s="1321"/>
      <c r="H481" s="1321"/>
      <c r="I481" s="1321"/>
      <c r="J481" s="1321"/>
      <c r="K481" s="1321"/>
    </row>
    <row r="482" spans="1:11" ht="12.75" hidden="1" customHeight="1">
      <c r="A482" s="172" t="s">
        <v>571</v>
      </c>
      <c r="B482" s="1321"/>
      <c r="C482" s="1321"/>
    </row>
    <row r="483" spans="1:11" ht="12.75" hidden="1" customHeight="1">
      <c r="A483" s="172"/>
      <c r="B483" s="1321">
        <v>0</v>
      </c>
      <c r="C483" s="1321" t="s">
        <v>561</v>
      </c>
    </row>
    <row r="484" spans="1:11" ht="12.75" hidden="1" customHeight="1">
      <c r="A484" s="172"/>
      <c r="B484" s="1321">
        <v>0</v>
      </c>
      <c r="C484" s="1321" t="s">
        <v>572</v>
      </c>
    </row>
    <row r="485" spans="1:11" ht="13.5" hidden="1" customHeight="1" thickBot="1">
      <c r="A485" s="172"/>
      <c r="B485" s="1321">
        <v>0</v>
      </c>
      <c r="C485" s="1321" t="s">
        <v>573</v>
      </c>
    </row>
    <row r="486" spans="1:11" ht="12.75" hidden="1" customHeight="1">
      <c r="A486" s="172"/>
      <c r="B486" s="1321"/>
      <c r="C486" s="1321"/>
    </row>
    <row r="487" spans="1:11" ht="12.75" hidden="1" customHeight="1">
      <c r="A487" s="172" t="s">
        <v>574</v>
      </c>
      <c r="B487" s="1321"/>
      <c r="C487" s="1321"/>
    </row>
    <row r="488" spans="1:11" ht="12.75" hidden="1" customHeight="1">
      <c r="A488" s="172"/>
      <c r="B488" s="1321">
        <v>0</v>
      </c>
      <c r="C488" s="1321" t="s">
        <v>561</v>
      </c>
    </row>
    <row r="489" spans="1:11" ht="12.75" hidden="1" customHeight="1">
      <c r="A489" s="172"/>
      <c r="B489" s="1321">
        <v>0</v>
      </c>
      <c r="C489" s="1321" t="s">
        <v>575</v>
      </c>
    </row>
    <row r="490" spans="1:11" ht="13.5" hidden="1" customHeight="1" thickBot="1">
      <c r="A490" s="172"/>
      <c r="B490" s="1321">
        <v>0</v>
      </c>
      <c r="C490" s="1321" t="s">
        <v>576</v>
      </c>
    </row>
    <row r="491" spans="1:11" ht="12.75" hidden="1" customHeight="1">
      <c r="A491" s="172"/>
      <c r="B491" s="1321"/>
      <c r="C491" s="1321"/>
    </row>
    <row r="492" spans="1:11">
      <c r="A492" s="172" t="s">
        <v>577</v>
      </c>
      <c r="B492" s="1321"/>
      <c r="C492" s="1321"/>
    </row>
    <row r="493" spans="1:11">
      <c r="A493" s="172"/>
      <c r="B493" s="213">
        <v>4.3330000000000002</v>
      </c>
      <c r="C493" s="1321" t="s">
        <v>578</v>
      </c>
    </row>
    <row r="494" spans="1:11">
      <c r="A494" s="172"/>
      <c r="B494" s="213">
        <v>108.31399999999999</v>
      </c>
      <c r="C494" s="1321" t="s">
        <v>579</v>
      </c>
    </row>
    <row r="495" spans="1:11">
      <c r="A495" s="172"/>
      <c r="B495" s="213">
        <v>0</v>
      </c>
      <c r="C495" s="1321" t="s">
        <v>580</v>
      </c>
    </row>
    <row r="496" spans="1:11">
      <c r="A496" s="172"/>
      <c r="B496" s="1321"/>
      <c r="C496" s="1321"/>
    </row>
    <row r="497" spans="1:4">
      <c r="A497" s="172" t="s">
        <v>581</v>
      </c>
      <c r="B497" s="1321"/>
      <c r="C497" s="1321"/>
    </row>
    <row r="498" spans="1:4">
      <c r="A498" s="172"/>
      <c r="B498" s="213">
        <v>3.72</v>
      </c>
      <c r="C498" s="1321" t="s">
        <v>582</v>
      </c>
    </row>
    <row r="499" spans="1:4">
      <c r="A499" s="172"/>
      <c r="B499" s="213">
        <v>86.4</v>
      </c>
      <c r="C499" s="1321" t="s">
        <v>583</v>
      </c>
    </row>
    <row r="500" spans="1:4">
      <c r="A500" s="172"/>
      <c r="B500" s="1321"/>
      <c r="C500" s="1321"/>
    </row>
    <row r="501" spans="1:4">
      <c r="A501" s="172" t="s">
        <v>584</v>
      </c>
      <c r="B501" s="1321"/>
      <c r="C501" s="1321"/>
    </row>
    <row r="502" spans="1:4">
      <c r="A502" s="172"/>
      <c r="B502" s="213">
        <v>12.295999999999999</v>
      </c>
      <c r="C502" s="1321" t="s">
        <v>585</v>
      </c>
    </row>
    <row r="503" spans="1:4">
      <c r="A503" s="172"/>
      <c r="B503" s="213">
        <v>12.038</v>
      </c>
      <c r="C503" s="1321" t="s">
        <v>586</v>
      </c>
    </row>
    <row r="504" spans="1:4">
      <c r="A504" s="172"/>
      <c r="B504" s="213">
        <v>81.685000000000002</v>
      </c>
      <c r="C504" s="1321" t="s">
        <v>291</v>
      </c>
    </row>
    <row r="505" spans="1:4">
      <c r="A505" s="172"/>
      <c r="B505" s="1321"/>
      <c r="C505" s="1321"/>
    </row>
    <row r="506" spans="1:4">
      <c r="A506" s="172" t="s">
        <v>587</v>
      </c>
      <c r="B506" s="1288"/>
      <c r="C506" s="1288"/>
      <c r="D506" s="1288"/>
    </row>
    <row r="507" spans="1:4">
      <c r="A507" s="1321"/>
      <c r="B507" s="1789">
        <v>29.654</v>
      </c>
      <c r="C507" s="1288" t="s">
        <v>588</v>
      </c>
      <c r="D507" s="1288"/>
    </row>
    <row r="508" spans="1:4">
      <c r="B508" s="1288"/>
      <c r="C508" s="1288"/>
      <c r="D508" s="1288"/>
    </row>
    <row r="509" spans="1:4">
      <c r="A509" s="172" t="s">
        <v>589</v>
      </c>
      <c r="B509" s="1321"/>
      <c r="C509" s="1321"/>
    </row>
    <row r="510" spans="1:4">
      <c r="A510" s="1321"/>
      <c r="B510" s="115">
        <v>260</v>
      </c>
      <c r="C510" s="1321" t="s">
        <v>590</v>
      </c>
    </row>
    <row r="511" spans="1:4">
      <c r="A511" s="1321"/>
      <c r="B511" s="115">
        <v>13.1</v>
      </c>
      <c r="C511" s="1321" t="s">
        <v>591</v>
      </c>
    </row>
    <row r="512" spans="1:4">
      <c r="A512" s="1321"/>
      <c r="B512" s="115">
        <v>9</v>
      </c>
      <c r="C512" s="1321" t="s">
        <v>592</v>
      </c>
    </row>
  </sheetData>
  <mergeCells count="4">
    <mergeCell ref="N295:R295"/>
    <mergeCell ref="C464:D464"/>
    <mergeCell ref="C295:M295"/>
    <mergeCell ref="E464:F464"/>
  </mergeCells>
  <phoneticPr fontId="4" type="noConversion"/>
  <dataValidations disablePrompts="1" count="3">
    <dataValidation type="list" allowBlank="1" showInputMessage="1" showErrorMessage="1" sqref="F271 B271 B306" xr:uid="{00000000-0002-0000-0200-000000000000}">
      <formula1>"1,2"</formula1>
    </dataValidation>
    <dataValidation type="list" allowBlank="1" showInputMessage="1" showErrorMessage="1" sqref="B288" xr:uid="{00000000-0002-0000-0200-000001000000}">
      <formula1>"1,2,3,4,5"</formula1>
    </dataValidation>
    <dataValidation type="list" allowBlank="1" showInputMessage="1" showErrorMessage="1" sqref="B275" xr:uid="{00000000-0002-0000-0200-000002000000}">
      <formula1>"1,2,3,4,5,6,7,8,9,10,11"</formula1>
    </dataValidation>
  </dataValidations>
  <pageMargins left="0.75" right="0.75" top="1" bottom="1" header="0.5" footer="0.5"/>
  <pageSetup paperSize="9"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5"/>
  <dimension ref="A1:BA279"/>
  <sheetViews>
    <sheetView showGridLines="0" topLeftCell="A166" zoomScale="85" zoomScaleNormal="85" workbookViewId="0">
      <selection activeCell="C149" sqref="C149"/>
    </sheetView>
  </sheetViews>
  <sheetFormatPr defaultColWidth="9.140625" defaultRowHeight="12.75"/>
  <cols>
    <col min="1" max="1" width="3.85546875" style="521" customWidth="1"/>
    <col min="2" max="2" width="32.42578125" style="521" bestFit="1" customWidth="1"/>
    <col min="3" max="3" width="14" style="521" customWidth="1"/>
    <col min="4" max="4" width="14.42578125" style="521" customWidth="1"/>
    <col min="5" max="5" width="14.140625" style="521" customWidth="1"/>
    <col min="6" max="9" width="14.42578125" style="521" bestFit="1" customWidth="1"/>
    <col min="10" max="10" width="10.42578125" style="521" bestFit="1" customWidth="1"/>
    <col min="11" max="11" width="13.28515625" style="521" customWidth="1"/>
    <col min="12" max="12" width="11.28515625" style="521" customWidth="1"/>
    <col min="13" max="13" width="14" style="521" customWidth="1"/>
    <col min="14" max="14" width="14.42578125" style="521" customWidth="1"/>
    <col min="15" max="15" width="14.140625" style="521" customWidth="1"/>
    <col min="16" max="16" width="11.85546875" style="521" customWidth="1"/>
    <col min="17" max="17" width="10.28515625" style="521" customWidth="1"/>
    <col min="18" max="18" width="12.28515625" style="521" customWidth="1"/>
    <col min="19" max="19" width="11.42578125" style="521" customWidth="1"/>
    <col min="20" max="20" width="11.85546875" style="521" customWidth="1"/>
    <col min="21" max="21" width="13.28515625" style="521" customWidth="1"/>
    <col min="22" max="22" width="11.28515625" style="521" customWidth="1"/>
    <col min="23" max="23" width="14" style="521" customWidth="1"/>
    <col min="24" max="24" width="14.42578125" style="521" customWidth="1"/>
    <col min="25" max="25" width="14.140625" style="521" customWidth="1"/>
    <col min="26" max="26" width="11.85546875" style="521" customWidth="1"/>
    <col min="27" max="27" width="10.28515625" style="521" customWidth="1"/>
    <col min="28" max="28" width="10.42578125" style="521" customWidth="1"/>
    <col min="29" max="29" width="11.42578125" style="521" customWidth="1"/>
    <col min="30" max="30" width="10.42578125" style="521" customWidth="1"/>
    <col min="31" max="31" width="13.28515625" style="521" customWidth="1"/>
    <col min="32" max="32" width="11.28515625" style="521" customWidth="1"/>
    <col min="33" max="33" width="11.140625" style="521" customWidth="1"/>
    <col min="34" max="34" width="11.85546875" style="521" customWidth="1"/>
    <col min="35" max="35" width="10.7109375" style="521" customWidth="1"/>
    <col min="36" max="36" width="11.85546875" style="521" customWidth="1"/>
    <col min="37" max="41" width="9.140625" style="521" customWidth="1"/>
    <col min="42" max="16384" width="9.140625" style="521"/>
  </cols>
  <sheetData>
    <row r="1" spans="1:53" ht="15.75">
      <c r="A1" s="297" t="s">
        <v>593</v>
      </c>
    </row>
    <row r="2" spans="1:53" ht="15">
      <c r="A2" s="134" t="s">
        <v>594</v>
      </c>
    </row>
    <row r="3" spans="1:53" ht="38.25">
      <c r="B3" s="1426"/>
      <c r="C3" s="1474" t="s">
        <v>141</v>
      </c>
      <c r="D3" s="1474" t="s">
        <v>142</v>
      </c>
      <c r="E3" s="1474" t="s">
        <v>143</v>
      </c>
      <c r="F3" s="1474" t="s">
        <v>144</v>
      </c>
      <c r="G3" s="1474" t="s">
        <v>145</v>
      </c>
      <c r="H3" s="1474" t="s">
        <v>146</v>
      </c>
      <c r="I3" s="1474" t="s">
        <v>147</v>
      </c>
      <c r="J3" s="1474" t="s">
        <v>148</v>
      </c>
      <c r="K3" s="1474" t="s">
        <v>149</v>
      </c>
      <c r="L3" s="1193" t="s">
        <v>150</v>
      </c>
      <c r="N3" s="1816" t="s">
        <v>597</v>
      </c>
      <c r="O3" s="950" t="s">
        <v>598</v>
      </c>
      <c r="P3" s="950" t="s">
        <v>599</v>
      </c>
      <c r="Q3" s="950" t="s">
        <v>600</v>
      </c>
      <c r="R3" s="950" t="s">
        <v>601</v>
      </c>
      <c r="S3" s="950" t="s">
        <v>602</v>
      </c>
      <c r="T3" s="950" t="s">
        <v>2302</v>
      </c>
      <c r="U3" s="1817" t="s">
        <v>2303</v>
      </c>
      <c r="V3" s="950" t="s">
        <v>2304</v>
      </c>
      <c r="W3" s="950" t="s">
        <v>2308</v>
      </c>
      <c r="X3" s="950" t="s">
        <v>605</v>
      </c>
      <c r="Y3" s="1817" t="s">
        <v>606</v>
      </c>
      <c r="Z3" s="950" t="s">
        <v>2305</v>
      </c>
      <c r="AA3" s="950" t="s">
        <v>2309</v>
      </c>
      <c r="AB3" s="950" t="s">
        <v>2306</v>
      </c>
      <c r="AC3" s="1817" t="s">
        <v>2310</v>
      </c>
      <c r="AS3" s="151"/>
      <c r="AT3" s="363"/>
      <c r="AU3" s="363"/>
      <c r="AV3" s="363"/>
      <c r="AW3" s="363"/>
      <c r="AX3" s="363"/>
      <c r="AY3" s="363"/>
      <c r="AZ3" s="363"/>
      <c r="BA3" s="363"/>
    </row>
    <row r="4" spans="1:53">
      <c r="B4" s="549" t="s">
        <v>607</v>
      </c>
      <c r="C4" s="1066">
        <f>C226+C17</f>
        <v>3089.4023312605541</v>
      </c>
      <c r="D4" s="1066">
        <f>2669.06874+D17</f>
        <v>2692.4687400000003</v>
      </c>
      <c r="E4" s="1066">
        <f>D226+(E17+IF(Vehi_Inputs!$C$74=1,E18,E19))</f>
        <v>3301.3663401316394</v>
      </c>
      <c r="F4" s="1066">
        <f>2749.10734+(F17+IF(Vehi_Inputs!$C$74=1,F18,F19))</f>
        <v>2838.7506116</v>
      </c>
      <c r="G4" s="2564">
        <f>IF(GREET1_Import_Export!$D$12=20,N4,IF(GREET1_Import_Export!$D$12=30,P4,IF(GREET1_Import_Export!$D$12=40,R4,T4)))+(G17+IF(Vehi_Inputs!$C$75=1,G18,G19))</f>
        <v>3312.84774246604</v>
      </c>
      <c r="H4" s="2564">
        <f>IF(GREET1_Import_Export!$D$12=20,O4,IF(GREET1_Import_Export!$D$12=30,Q4,IF(GREET1_Import_Export!$D$12=40,S4,U4)))+(H17+IF(Vehi_Inputs!$C$75=1,H18,H19))</f>
        <v>2866.8360539961423</v>
      </c>
      <c r="I4" s="2564">
        <f>IF(GREET1_Import_Export!$G$12=200,V4,IF(GREET1_Import_Export!$G$12=300,X4,IF(GREET1_Import_Export!$G$12=400,Z4,AB4)))+(I17+IF(Vehi_Inputs!$C$76=1,I18,I19))</f>
        <v>3505.3403677472616</v>
      </c>
      <c r="J4" s="2564">
        <f>IF(GREET1_Import_Export!$G$12=200,W4,IF(GREET1_Import_Export!$G$12=300,Y4,IF(GREET1_Import_Export!$G$12=400,AA4,AC4)))+(J17+IF(Vehi_Inputs!$C$76=1,J18,J19))</f>
        <v>3051.8724745647169</v>
      </c>
      <c r="K4" s="1066">
        <f>E226+(K17+IF(Vehi_Inputs!$C$77=1,K18,K19))</f>
        <v>3123.4073298971234</v>
      </c>
      <c r="L4" s="1111">
        <f>2821.8598+(L17+IF(Vehi_Inputs!$C$77=1,L18,L19))</f>
        <v>2930.3226395000002</v>
      </c>
      <c r="N4" s="1272">
        <f>F226</f>
        <v>3174.656575462237</v>
      </c>
      <c r="O4" s="1818">
        <v>2760.1304399999999</v>
      </c>
      <c r="P4" s="1818">
        <v>3465.6088399999999</v>
      </c>
      <c r="Q4" s="1818">
        <v>2835.0875199999996</v>
      </c>
      <c r="R4" s="1818">
        <v>3494.2689</v>
      </c>
      <c r="S4" s="1818">
        <v>2839.4967599999995</v>
      </c>
      <c r="T4" s="1482">
        <f>G226</f>
        <v>3192.2935564370273</v>
      </c>
      <c r="U4" s="1820">
        <v>2839.4967599999995</v>
      </c>
      <c r="V4" s="1272">
        <f>H226</f>
        <v>2718.2996927395402</v>
      </c>
      <c r="W4" s="1818">
        <v>2383.1404199999997</v>
      </c>
      <c r="X4" s="1482">
        <f>I226</f>
        <v>2720.5043153613892</v>
      </c>
      <c r="Y4" s="1818">
        <v>2383.1404199999997</v>
      </c>
      <c r="Z4" s="1482">
        <f>J226</f>
        <v>2722.7089379832382</v>
      </c>
      <c r="AA4" s="1820">
        <v>2383.1404199999997</v>
      </c>
      <c r="AB4" s="1482">
        <f>K226</f>
        <v>2724.9135606050868</v>
      </c>
      <c r="AC4" s="1819">
        <v>2383.1404199999997</v>
      </c>
      <c r="AS4" s="158"/>
      <c r="AT4" s="158"/>
      <c r="AU4" s="158"/>
      <c r="AV4" s="158"/>
      <c r="AW4" s="158"/>
      <c r="AX4" s="158"/>
      <c r="AY4" s="158"/>
      <c r="AZ4" s="158"/>
      <c r="BA4" s="158"/>
    </row>
    <row r="5" spans="1:53">
      <c r="B5" s="549" t="s">
        <v>608</v>
      </c>
      <c r="C5" s="975">
        <v>3169.8820023199996</v>
      </c>
      <c r="D5" s="975">
        <v>2475.5406811739995</v>
      </c>
      <c r="E5" s="976" t="e">
        <f>NA()</f>
        <v>#N/A</v>
      </c>
      <c r="F5" s="976" t="e">
        <f>NA()</f>
        <v>#N/A</v>
      </c>
      <c r="G5" s="976" t="e">
        <f>NA()</f>
        <v>#N/A</v>
      </c>
      <c r="H5" s="976" t="e">
        <f>NA()</f>
        <v>#N/A</v>
      </c>
      <c r="I5" s="976" t="e">
        <f>NA()</f>
        <v>#N/A</v>
      </c>
      <c r="J5" s="976" t="e">
        <f>NA()</f>
        <v>#N/A</v>
      </c>
      <c r="K5" s="976" t="e">
        <f>NA()</f>
        <v>#N/A</v>
      </c>
      <c r="L5" s="969" t="e">
        <f>NA()</f>
        <v>#N/A</v>
      </c>
      <c r="AS5" s="158"/>
      <c r="AT5" s="158"/>
      <c r="AU5" s="158"/>
      <c r="AV5" s="158"/>
      <c r="AW5" s="158"/>
      <c r="AX5" s="158"/>
      <c r="AY5" s="158"/>
      <c r="AZ5" s="158"/>
      <c r="BA5" s="158"/>
    </row>
    <row r="6" spans="1:53">
      <c r="B6" s="559" t="s">
        <v>609</v>
      </c>
      <c r="C6" s="526">
        <f>IF(Vehi_Inputs!$B$8=2,C5,C4)</f>
        <v>3089.4023312605541</v>
      </c>
      <c r="D6" s="526">
        <f>IF(Vehi_Inputs!$B$8=2,D5,D4)</f>
        <v>2692.4687400000003</v>
      </c>
      <c r="E6" s="526">
        <f>IF(Vehi_Inputs!$B$8=2,E5,E4)</f>
        <v>3301.3663401316394</v>
      </c>
      <c r="F6" s="526">
        <f>IF(Vehi_Inputs!$B$8=2,F5,F4)</f>
        <v>2838.7506116</v>
      </c>
      <c r="G6" s="526">
        <f>IF(Vehi_Inputs!$B$8=2,G5,G4)</f>
        <v>3312.84774246604</v>
      </c>
      <c r="H6" s="526">
        <f>IF(Vehi_Inputs!$B$8=2,H5,H4)</f>
        <v>2866.8360539961423</v>
      </c>
      <c r="I6" s="526">
        <f>IF(Vehi_Inputs!$B$8=2,I5,I4)</f>
        <v>3505.3403677472616</v>
      </c>
      <c r="J6" s="526">
        <f>IF(Vehi_Inputs!$B$8=2,J5,J4)</f>
        <v>3051.8724745647169</v>
      </c>
      <c r="K6" s="526">
        <f>IF(Vehi_Inputs!$B$8=2,K5,K4)</f>
        <v>3123.4073298971234</v>
      </c>
      <c r="L6" s="527">
        <f>IF(Vehi_Inputs!$B$8=2,L5,L4)</f>
        <v>2930.3226395000002</v>
      </c>
      <c r="AS6" s="565"/>
      <c r="AT6" s="565"/>
      <c r="AU6" s="565"/>
      <c r="AV6" s="565"/>
      <c r="AW6" s="565"/>
      <c r="AX6" s="565"/>
      <c r="AY6" s="565"/>
      <c r="AZ6" s="565"/>
      <c r="BA6" s="565"/>
    </row>
    <row r="7" spans="1:53" ht="15">
      <c r="D7" s="971"/>
      <c r="F7" s="977"/>
      <c r="G7" s="1182"/>
      <c r="H7" s="977"/>
      <c r="J7" s="977"/>
      <c r="L7" s="977"/>
      <c r="AS7" s="1813"/>
      <c r="AT7" s="1291"/>
      <c r="AU7" s="1291"/>
      <c r="AV7" s="1291"/>
      <c r="AW7" s="1291"/>
      <c r="AX7" s="1291"/>
      <c r="AY7" s="1291"/>
      <c r="AZ7" s="1291"/>
      <c r="BA7" s="1291"/>
    </row>
    <row r="8" spans="1:53" ht="15">
      <c r="A8" s="134" t="s">
        <v>610</v>
      </c>
      <c r="AS8" s="1813"/>
      <c r="AT8" s="1291"/>
      <c r="AU8" s="1291"/>
      <c r="AV8" s="1291"/>
      <c r="AW8" s="1291"/>
      <c r="AX8" s="1291"/>
      <c r="AY8" s="1291"/>
      <c r="AZ8" s="1291"/>
      <c r="BA8" s="1291"/>
    </row>
    <row r="9" spans="1:53" ht="15">
      <c r="A9" s="63" t="s">
        <v>611</v>
      </c>
      <c r="N9" s="521" t="s">
        <v>612</v>
      </c>
      <c r="AS9" s="1813"/>
      <c r="AT9" s="1291"/>
      <c r="AU9" s="1291"/>
      <c r="AV9" s="1291"/>
      <c r="AW9" s="1291"/>
      <c r="AX9" s="1291"/>
      <c r="AY9" s="1291"/>
      <c r="AZ9" s="1291"/>
      <c r="BA9" s="1291"/>
    </row>
    <row r="10" spans="1:53" ht="42" customHeight="1">
      <c r="A10" s="63"/>
      <c r="B10" s="1426"/>
      <c r="C10" s="1474" t="s">
        <v>141</v>
      </c>
      <c r="D10" s="1474" t="s">
        <v>142</v>
      </c>
      <c r="E10" s="1474" t="s">
        <v>143</v>
      </c>
      <c r="F10" s="1474" t="s">
        <v>144</v>
      </c>
      <c r="G10" s="1474" t="s">
        <v>145</v>
      </c>
      <c r="H10" s="1474" t="s">
        <v>146</v>
      </c>
      <c r="I10" s="1474" t="s">
        <v>147</v>
      </c>
      <c r="J10" s="1474" t="s">
        <v>148</v>
      </c>
      <c r="K10" s="1474" t="s">
        <v>149</v>
      </c>
      <c r="L10" s="1193" t="s">
        <v>150</v>
      </c>
      <c r="N10" s="1816" t="s">
        <v>141</v>
      </c>
      <c r="O10" s="950" t="s">
        <v>143</v>
      </c>
      <c r="P10" s="950" t="s">
        <v>145</v>
      </c>
      <c r="Q10" s="950" t="s">
        <v>147</v>
      </c>
      <c r="R10" s="1817" t="s">
        <v>149</v>
      </c>
      <c r="S10" s="8"/>
      <c r="T10" s="1192" t="s">
        <v>597</v>
      </c>
      <c r="U10" s="1474" t="s">
        <v>599</v>
      </c>
      <c r="V10" s="1474" t="s">
        <v>601</v>
      </c>
      <c r="W10" s="1474" t="s">
        <v>2302</v>
      </c>
      <c r="X10" s="1192" t="s">
        <v>2304</v>
      </c>
      <c r="Y10" s="1474" t="s">
        <v>605</v>
      </c>
      <c r="Z10" s="1474" t="s">
        <v>2305</v>
      </c>
      <c r="AA10" s="1193" t="s">
        <v>2306</v>
      </c>
      <c r="AS10" s="1813"/>
      <c r="AT10" s="1291"/>
      <c r="AU10" s="1291"/>
      <c r="AV10" s="1291"/>
      <c r="AW10" s="1291"/>
      <c r="AX10" s="1291"/>
      <c r="AY10" s="1291"/>
      <c r="AZ10" s="1291"/>
      <c r="BA10" s="1291"/>
    </row>
    <row r="11" spans="1:53" ht="15">
      <c r="A11" s="63"/>
      <c r="B11" s="572" t="s">
        <v>613</v>
      </c>
      <c r="C11" s="978">
        <v>36</v>
      </c>
      <c r="D11" s="978">
        <f>36*0.65</f>
        <v>23.400000000000002</v>
      </c>
      <c r="E11" s="978">
        <v>22.1</v>
      </c>
      <c r="F11" s="978">
        <f>22.1*0.65</f>
        <v>14.365000000000002</v>
      </c>
      <c r="G11" s="978">
        <v>22.1</v>
      </c>
      <c r="H11" s="978">
        <f>22.1*0.65</f>
        <v>14.365000000000002</v>
      </c>
      <c r="I11" s="978">
        <v>22.1</v>
      </c>
      <c r="J11" s="978">
        <f>22.1*0.65</f>
        <v>14.365000000000002</v>
      </c>
      <c r="K11" s="978">
        <v>22.1</v>
      </c>
      <c r="L11" s="979">
        <f>22.1*0.65</f>
        <v>14.365000000000002</v>
      </c>
      <c r="N11" s="2565">
        <f>C238</f>
        <v>3093.0855384538327</v>
      </c>
      <c r="O11" s="2566">
        <f>D238</f>
        <v>3234.181386252154</v>
      </c>
      <c r="P11" s="2566">
        <f>IF(GREET1_Import_Export!$D$12=20,T11,IF(GREET1_Import_Export!$D$12=30,U11,IF(GREET1_Import_Export!$D$12=40,V11,W11)))</f>
        <v>3417.1650638656024</v>
      </c>
      <c r="Q11" s="2566">
        <f>IF(GREET1_Import_Export!$G$12=200,X11,IF(GREET1_Import_Export!$G$12=300,Y11,IF(GREET1_Import_Export!$G$12=400,Z11,AA11)))</f>
        <v>3619.9903450756897</v>
      </c>
      <c r="R11" s="2567">
        <f>E238</f>
        <v>3387.1821962084596</v>
      </c>
      <c r="S11" s="1321"/>
      <c r="T11" s="1194">
        <f>F238</f>
        <v>3417.1650638656024</v>
      </c>
      <c r="U11" s="973">
        <v>3836.0387999999998</v>
      </c>
      <c r="V11" s="973">
        <v>3981.5437200000001</v>
      </c>
      <c r="W11" s="526">
        <f>G238</f>
        <v>3635.4227034286309</v>
      </c>
      <c r="X11" s="1272">
        <f>H238</f>
        <v>3302.5246875294656</v>
      </c>
      <c r="Y11" s="1482">
        <f>I238</f>
        <v>3619.9903450756897</v>
      </c>
      <c r="Z11" s="1482">
        <f>J238</f>
        <v>4038.8686432269569</v>
      </c>
      <c r="AA11" s="1483">
        <f>K238</f>
        <v>4559.1595819832683</v>
      </c>
      <c r="AS11" s="1813"/>
      <c r="AT11" s="1291"/>
      <c r="AU11" s="1291"/>
      <c r="AV11" s="1291"/>
      <c r="AW11" s="1291"/>
      <c r="AX11" s="1291"/>
      <c r="AY11" s="1291"/>
      <c r="AZ11" s="1291"/>
      <c r="BA11" s="1291"/>
    </row>
    <row r="12" spans="1:53" ht="15">
      <c r="A12" s="63"/>
      <c r="B12" s="549" t="s">
        <v>614</v>
      </c>
      <c r="C12" s="363"/>
      <c r="D12" s="363"/>
      <c r="E12" s="980">
        <f>C99*1000/Vehi_Inputs!$C$110*2.2046</f>
        <v>109.01900991310001</v>
      </c>
      <c r="F12" s="980">
        <f>C100*1000/Vehi_Inputs!$C$110*2.2046</f>
        <v>75.278271600000011</v>
      </c>
      <c r="G12" s="980">
        <f>C106*1000/Vehi_Inputs!$C$116*2.2046</f>
        <v>339.82612861584903</v>
      </c>
      <c r="H12" s="980">
        <f>C107*1000/Vehi_Inputs!$C$116*2.2046</f>
        <v>270.30267830188683</v>
      </c>
      <c r="I12" s="980">
        <f>C108*1000/Vehi_Inputs!$C$117*2.2046</f>
        <v>2520.4026143187693</v>
      </c>
      <c r="J12" s="980">
        <f>C109*1000/Vehi_Inputs!$C$117*2.2046</f>
        <v>2162.3055969230768</v>
      </c>
      <c r="K12" s="980">
        <f>C101*1000/Vehi_Inputs!$C$111*2.2046</f>
        <v>99.93409251220001</v>
      </c>
      <c r="L12" s="981">
        <f>C102*1000/Vehi_Inputs!$C$111*2.2046</f>
        <v>94.097839500000006</v>
      </c>
      <c r="AS12" s="1813"/>
      <c r="AT12" s="1291"/>
      <c r="AU12" s="1291"/>
      <c r="AV12" s="1291"/>
      <c r="AW12" s="1291"/>
      <c r="AX12" s="1291"/>
      <c r="AY12" s="1291"/>
      <c r="AZ12" s="1291"/>
      <c r="BA12" s="1291"/>
    </row>
    <row r="13" spans="1:53">
      <c r="A13" s="63"/>
      <c r="B13" s="559" t="s">
        <v>615</v>
      </c>
      <c r="C13" s="982"/>
      <c r="D13" s="982"/>
      <c r="E13" s="983">
        <f>D99*1000/Vehi_Inputs!$E$110*2.2046</f>
        <v>37.324386611559092</v>
      </c>
      <c r="F13" s="983">
        <f>D100*1000/Vehi_Inputs!$E$110*2.2046</f>
        <v>25.772709868563272</v>
      </c>
      <c r="G13" s="983">
        <f>D106*1000/Vehi_Inputs!$E$116*2.2046</f>
        <v>116.09116700380299</v>
      </c>
      <c r="H13" s="983">
        <f>D107*1000/Vehi_Inputs!$E$116*2.2046</f>
        <v>92.340613996142451</v>
      </c>
      <c r="I13" s="983">
        <f>D108*1000/Vehi_Inputs!$E$117*2.2046</f>
        <v>762.73605238587254</v>
      </c>
      <c r="J13" s="983">
        <f>D109*1000/Vehi_Inputs!$E$117*2.2046</f>
        <v>654.36705456471691</v>
      </c>
      <c r="K13" s="983">
        <f>D101*1000/Vehi_Inputs!$E$111*2.2046</f>
        <v>34.214021092044995</v>
      </c>
      <c r="L13" s="984">
        <f>D102*1000/Vehi_Inputs!$E$111*2.2046</f>
        <v>32.215887335704089</v>
      </c>
      <c r="AS13" s="363"/>
    </row>
    <row r="14" spans="1:53">
      <c r="A14" s="63"/>
      <c r="B14" s="572" t="s">
        <v>616</v>
      </c>
      <c r="C14" s="985">
        <v>27.337287999999997</v>
      </c>
      <c r="D14" s="985">
        <v>24.912205999999998</v>
      </c>
      <c r="E14" s="986">
        <v>0</v>
      </c>
      <c r="F14" s="986">
        <v>0</v>
      </c>
      <c r="G14" s="986">
        <v>0</v>
      </c>
      <c r="H14" s="986">
        <v>0</v>
      </c>
      <c r="I14" s="986">
        <v>0</v>
      </c>
      <c r="J14" s="986">
        <v>0</v>
      </c>
      <c r="K14" s="986">
        <v>0</v>
      </c>
      <c r="L14" s="987">
        <v>0</v>
      </c>
    </row>
    <row r="15" spans="1:53">
      <c r="A15" s="63"/>
      <c r="B15" s="549" t="s">
        <v>617</v>
      </c>
      <c r="C15" s="565"/>
      <c r="D15" s="565"/>
      <c r="E15" s="988">
        <v>0</v>
      </c>
      <c r="F15" s="988">
        <v>0</v>
      </c>
      <c r="G15" s="988">
        <v>0</v>
      </c>
      <c r="H15" s="988">
        <v>0</v>
      </c>
      <c r="I15" s="988">
        <v>0</v>
      </c>
      <c r="J15" s="988">
        <v>0</v>
      </c>
      <c r="K15" s="988">
        <v>0</v>
      </c>
      <c r="L15" s="989">
        <v>0</v>
      </c>
    </row>
    <row r="16" spans="1:53">
      <c r="A16" s="63"/>
      <c r="B16" s="559" t="s">
        <v>618</v>
      </c>
      <c r="C16" s="982"/>
      <c r="D16" s="982"/>
      <c r="E16" s="990">
        <v>0</v>
      </c>
      <c r="F16" s="990">
        <v>0</v>
      </c>
      <c r="G16" s="990">
        <v>0</v>
      </c>
      <c r="H16" s="990">
        <v>0</v>
      </c>
      <c r="I16" s="990">
        <v>0</v>
      </c>
      <c r="J16" s="990">
        <v>0</v>
      </c>
      <c r="K16" s="990">
        <v>0</v>
      </c>
      <c r="L16" s="991">
        <v>0</v>
      </c>
      <c r="M16" s="564"/>
      <c r="N16" s="565"/>
      <c r="O16" s="565"/>
      <c r="P16" s="565"/>
      <c r="Q16" s="363"/>
    </row>
    <row r="17" spans="1:17">
      <c r="A17" s="63"/>
      <c r="B17" s="572" t="s">
        <v>619</v>
      </c>
      <c r="C17" s="992">
        <f>IF(Vehi_Inputs!$B$8=2,C14,C11)</f>
        <v>36</v>
      </c>
      <c r="D17" s="992">
        <f>IF(Vehi_Inputs!$B$8=2,D14,D11)</f>
        <v>23.400000000000002</v>
      </c>
      <c r="E17" s="992">
        <f>IF(Vehi_Inputs!$B$8=2,E14,E11)</f>
        <v>22.1</v>
      </c>
      <c r="F17" s="992">
        <f>IF(Vehi_Inputs!$B$8=2,F14,F11)</f>
        <v>14.365000000000002</v>
      </c>
      <c r="G17" s="992">
        <f>IF(Vehi_Inputs!$B$8=2,G14,G11)</f>
        <v>22.1</v>
      </c>
      <c r="H17" s="992">
        <f>IF(Vehi_Inputs!$B$8=2,H14,H11)</f>
        <v>14.365000000000002</v>
      </c>
      <c r="I17" s="992">
        <f>IF(Vehi_Inputs!$B$8=2,I14,I11)</f>
        <v>22.1</v>
      </c>
      <c r="J17" s="992">
        <f>IF(Vehi_Inputs!$B$8=2,J14,J11)</f>
        <v>14.365000000000002</v>
      </c>
      <c r="K17" s="992">
        <f>IF(Vehi_Inputs!$B$8=2,K14,K11)</f>
        <v>22.1</v>
      </c>
      <c r="L17" s="993">
        <f>IF(Vehi_Inputs!$B$8=2,L14,L11)</f>
        <v>14.365000000000002</v>
      </c>
      <c r="M17" s="661"/>
      <c r="N17" s="363"/>
      <c r="O17" s="363"/>
      <c r="P17" s="363"/>
      <c r="Q17" s="363"/>
    </row>
    <row r="18" spans="1:17">
      <c r="A18" s="63"/>
      <c r="B18" s="549" t="s">
        <v>620</v>
      </c>
      <c r="C18" s="980"/>
      <c r="D18" s="980"/>
      <c r="E18" s="980">
        <f>IF(Vehi_Inputs!$B$8=2,E15,E12)</f>
        <v>109.01900991310001</v>
      </c>
      <c r="F18" s="980">
        <f>IF(Vehi_Inputs!$B$8=2,F15,F12)</f>
        <v>75.278271600000011</v>
      </c>
      <c r="G18" s="980">
        <f>IF(Vehi_Inputs!$B$8=2,G15,G12)</f>
        <v>339.82612861584903</v>
      </c>
      <c r="H18" s="980">
        <f>IF(Vehi_Inputs!$B$8=2,H15,H12)</f>
        <v>270.30267830188683</v>
      </c>
      <c r="I18" s="980">
        <f>IF(Vehi_Inputs!$B$8=2,I15,I12)</f>
        <v>2520.4026143187693</v>
      </c>
      <c r="J18" s="980">
        <f>IF(Vehi_Inputs!$B$8=2,J15,J12)</f>
        <v>2162.3055969230768</v>
      </c>
      <c r="K18" s="980">
        <f>IF(Vehi_Inputs!$B$8=2,K15,K12)</f>
        <v>99.93409251220001</v>
      </c>
      <c r="L18" s="981">
        <f>IF(Vehi_Inputs!$B$8=2,L15,L12)</f>
        <v>94.097839500000006</v>
      </c>
    </row>
    <row r="19" spans="1:17">
      <c r="A19" s="63"/>
      <c r="B19" s="559" t="s">
        <v>621</v>
      </c>
      <c r="C19" s="983"/>
      <c r="D19" s="983"/>
      <c r="E19" s="983">
        <f>IF(Vehi_Inputs!$B$8=2,E16,E13)</f>
        <v>37.324386611559092</v>
      </c>
      <c r="F19" s="983">
        <f>IF(Vehi_Inputs!$B$8=2,F16,F13)</f>
        <v>25.772709868563272</v>
      </c>
      <c r="G19" s="983">
        <f>IF(Vehi_Inputs!$B$8=2,G16,G13)</f>
        <v>116.09116700380299</v>
      </c>
      <c r="H19" s="983">
        <f>IF(Vehi_Inputs!$B$8=2,H16,H13)</f>
        <v>92.340613996142451</v>
      </c>
      <c r="I19" s="983">
        <f>IF(Vehi_Inputs!$B$8=2,I16,I13)</f>
        <v>762.73605238587254</v>
      </c>
      <c r="J19" s="983">
        <f>IF(Vehi_Inputs!$B$8=2,J16,J13)</f>
        <v>654.36705456471691</v>
      </c>
      <c r="K19" s="983">
        <f>IF(Vehi_Inputs!$B$8=2,K16,K13)</f>
        <v>34.214021092044995</v>
      </c>
      <c r="L19" s="984">
        <f>IF(Vehi_Inputs!$B$8=2,L16,L13)</f>
        <v>32.215887335704089</v>
      </c>
    </row>
    <row r="20" spans="1:17">
      <c r="A20" s="63"/>
      <c r="C20" s="971"/>
      <c r="E20" s="971"/>
      <c r="G20" s="1321"/>
      <c r="H20" s="1321"/>
      <c r="I20" s="1321"/>
      <c r="J20" s="1321"/>
      <c r="K20" s="971"/>
      <c r="L20" s="971"/>
    </row>
    <row r="21" spans="1:17">
      <c r="A21" s="63" t="s">
        <v>622</v>
      </c>
      <c r="C21" s="994"/>
      <c r="D21" s="994"/>
      <c r="E21" s="994"/>
      <c r="F21" s="994"/>
      <c r="G21" s="994"/>
      <c r="H21" s="994"/>
      <c r="I21" s="994"/>
    </row>
    <row r="22" spans="1:17" ht="25.5">
      <c r="A22" s="63"/>
      <c r="B22" s="1426"/>
      <c r="C22" s="1474" t="s">
        <v>157</v>
      </c>
      <c r="D22" s="1474" t="s">
        <v>158</v>
      </c>
      <c r="E22" s="1474" t="s">
        <v>159</v>
      </c>
      <c r="F22" s="1474" t="s">
        <v>160</v>
      </c>
      <c r="G22" s="1474" t="s">
        <v>161</v>
      </c>
      <c r="H22" s="1474" t="s">
        <v>162</v>
      </c>
      <c r="I22" s="1193" t="s">
        <v>163</v>
      </c>
    </row>
    <row r="23" spans="1:17">
      <c r="A23" s="63"/>
      <c r="B23" s="549" t="s">
        <v>623</v>
      </c>
      <c r="C23" s="995">
        <v>8.5</v>
      </c>
      <c r="D23" s="995">
        <v>0</v>
      </c>
      <c r="E23" s="995">
        <v>2</v>
      </c>
      <c r="F23" s="995">
        <f>7*3.4342367</f>
        <v>24.039656900000001</v>
      </c>
      <c r="G23" s="995">
        <v>23</v>
      </c>
      <c r="H23" s="995">
        <v>6</v>
      </c>
      <c r="I23" s="996">
        <v>30</v>
      </c>
    </row>
    <row r="24" spans="1:17">
      <c r="A24" s="63"/>
      <c r="B24" s="549" t="s">
        <v>624</v>
      </c>
      <c r="C24" s="995">
        <v>8.5</v>
      </c>
      <c r="D24" s="995">
        <v>0</v>
      </c>
      <c r="E24" s="995">
        <v>2</v>
      </c>
      <c r="F24" s="995">
        <f>7*3.4342367</f>
        <v>24.039656900000001</v>
      </c>
      <c r="G24" s="995">
        <v>23</v>
      </c>
      <c r="H24" s="995">
        <v>6</v>
      </c>
      <c r="I24" s="996">
        <v>30</v>
      </c>
    </row>
    <row r="25" spans="1:17">
      <c r="A25" s="63"/>
      <c r="B25" s="549" t="s">
        <v>625</v>
      </c>
      <c r="C25" s="995">
        <v>8.5</v>
      </c>
      <c r="D25" s="995">
        <v>0</v>
      </c>
      <c r="E25" s="995">
        <v>2</v>
      </c>
      <c r="F25" s="995">
        <f>0.5283441*7/2</f>
        <v>1.8492043499999999</v>
      </c>
      <c r="G25" s="995">
        <v>23</v>
      </c>
      <c r="H25" s="995">
        <v>6</v>
      </c>
      <c r="I25" s="996">
        <v>30</v>
      </c>
    </row>
    <row r="26" spans="1:17">
      <c r="A26" s="63"/>
      <c r="B26" s="549" t="s">
        <v>626</v>
      </c>
      <c r="C26" s="995">
        <v>8.5</v>
      </c>
      <c r="D26" s="995">
        <v>0</v>
      </c>
      <c r="E26" s="995">
        <v>2</v>
      </c>
      <c r="F26" s="995">
        <f>0.5283441*7/2</f>
        <v>1.8492043499999999</v>
      </c>
      <c r="G26" s="995">
        <v>23</v>
      </c>
      <c r="H26" s="995">
        <v>6</v>
      </c>
      <c r="I26" s="996">
        <v>30</v>
      </c>
    </row>
    <row r="27" spans="1:17">
      <c r="A27" s="63"/>
      <c r="B27" s="549" t="s">
        <v>627</v>
      </c>
      <c r="C27" s="995">
        <v>0</v>
      </c>
      <c r="D27" s="995">
        <v>0</v>
      </c>
      <c r="E27" s="995">
        <v>2</v>
      </c>
      <c r="F27" s="995">
        <f>0.5283441*7/2</f>
        <v>1.8492043499999999</v>
      </c>
      <c r="G27" s="995">
        <f>7.153678*2.2046</f>
        <v>15.770998518800001</v>
      </c>
      <c r="H27" s="995">
        <v>6</v>
      </c>
      <c r="I27" s="996">
        <v>30</v>
      </c>
    </row>
    <row r="28" spans="1:17">
      <c r="A28" s="63"/>
      <c r="B28" s="559" t="s">
        <v>628</v>
      </c>
      <c r="C28" s="997">
        <v>0</v>
      </c>
      <c r="D28" s="997">
        <v>0</v>
      </c>
      <c r="E28" s="997">
        <v>2</v>
      </c>
      <c r="F28" s="997">
        <f>0.5283441*7/2</f>
        <v>1.8492043499999999</v>
      </c>
      <c r="G28" s="997">
        <f>7.153678*2.2046</f>
        <v>15.770998518800001</v>
      </c>
      <c r="H28" s="997">
        <v>6</v>
      </c>
      <c r="I28" s="998">
        <v>30</v>
      </c>
    </row>
    <row r="29" spans="1:17">
      <c r="A29" s="63"/>
      <c r="B29" s="549" t="s">
        <v>629</v>
      </c>
      <c r="C29" s="999">
        <v>9.1712191999999995</v>
      </c>
      <c r="D29" s="999">
        <v>0</v>
      </c>
      <c r="E29" s="999">
        <v>1.1023099999999999</v>
      </c>
      <c r="F29" s="999">
        <v>9.7003280000000007</v>
      </c>
      <c r="G29" s="999">
        <v>30.093063000000001</v>
      </c>
      <c r="H29" s="999">
        <v>10.582175999999999</v>
      </c>
      <c r="I29" s="1000">
        <v>0</v>
      </c>
    </row>
    <row r="30" spans="1:17">
      <c r="A30" s="63"/>
      <c r="B30" s="549" t="s">
        <v>630</v>
      </c>
      <c r="C30" s="999">
        <v>8.4216483999999987</v>
      </c>
      <c r="D30" s="999">
        <v>0</v>
      </c>
      <c r="E30" s="999">
        <v>1.1023099999999999</v>
      </c>
      <c r="F30" s="999">
        <v>7.2752459999999992</v>
      </c>
      <c r="G30" s="999">
        <v>29.343492200000004</v>
      </c>
      <c r="H30" s="999">
        <v>10.582175999999999</v>
      </c>
      <c r="I30" s="1000">
        <v>0</v>
      </c>
    </row>
    <row r="31" spans="1:17">
      <c r="A31" s="63"/>
      <c r="B31" s="549" t="s">
        <v>631</v>
      </c>
      <c r="C31" s="995">
        <v>0</v>
      </c>
      <c r="D31" s="995">
        <v>0</v>
      </c>
      <c r="E31" s="995">
        <v>0</v>
      </c>
      <c r="F31" s="995">
        <v>0</v>
      </c>
      <c r="G31" s="995">
        <v>0</v>
      </c>
      <c r="H31" s="995">
        <v>0</v>
      </c>
      <c r="I31" s="996">
        <v>0</v>
      </c>
    </row>
    <row r="32" spans="1:17">
      <c r="A32" s="63"/>
      <c r="B32" s="549" t="s">
        <v>632</v>
      </c>
      <c r="C32" s="995">
        <v>0</v>
      </c>
      <c r="D32" s="995">
        <v>0</v>
      </c>
      <c r="E32" s="995">
        <v>0</v>
      </c>
      <c r="F32" s="995">
        <v>0</v>
      </c>
      <c r="G32" s="995">
        <v>0</v>
      </c>
      <c r="H32" s="995">
        <v>0</v>
      </c>
      <c r="I32" s="996">
        <v>0</v>
      </c>
    </row>
    <row r="33" spans="1:12">
      <c r="A33" s="63"/>
      <c r="B33" s="549" t="s">
        <v>633</v>
      </c>
      <c r="C33" s="995">
        <v>0</v>
      </c>
      <c r="D33" s="995">
        <v>0</v>
      </c>
      <c r="E33" s="995">
        <v>0</v>
      </c>
      <c r="F33" s="995">
        <v>0</v>
      </c>
      <c r="G33" s="995">
        <v>0</v>
      </c>
      <c r="H33" s="995">
        <v>0</v>
      </c>
      <c r="I33" s="996">
        <v>0</v>
      </c>
    </row>
    <row r="34" spans="1:12">
      <c r="A34" s="63"/>
      <c r="B34" s="559" t="s">
        <v>634</v>
      </c>
      <c r="C34" s="997">
        <v>0</v>
      </c>
      <c r="D34" s="997">
        <v>0</v>
      </c>
      <c r="E34" s="997">
        <v>0</v>
      </c>
      <c r="F34" s="997">
        <v>0</v>
      </c>
      <c r="G34" s="997">
        <v>0</v>
      </c>
      <c r="H34" s="997">
        <v>0</v>
      </c>
      <c r="I34" s="998">
        <v>0</v>
      </c>
    </row>
    <row r="35" spans="1:12">
      <c r="A35" s="63"/>
      <c r="B35" s="549" t="s">
        <v>635</v>
      </c>
      <c r="C35" s="980">
        <f>IF(Vehi_Inputs!$B$8=2,C29,C23)</f>
        <v>8.5</v>
      </c>
      <c r="D35" s="1001">
        <f>IF(Vehi_Inputs!$B$8=2,D29,D23)</f>
        <v>0</v>
      </c>
      <c r="E35" s="1001">
        <f>IF(Vehi_Inputs!$B$8=2,E29,E23)</f>
        <v>2</v>
      </c>
      <c r="F35" s="1001">
        <f>IF(Vehi_Inputs!$B$8=2,F29,F23)</f>
        <v>24.039656900000001</v>
      </c>
      <c r="G35" s="1001">
        <f>IF(Vehi_Inputs!$B$8=2,G29,G23)</f>
        <v>23</v>
      </c>
      <c r="H35" s="1001">
        <f>IF(Vehi_Inputs!$B$8=2,H29,H23)</f>
        <v>6</v>
      </c>
      <c r="I35" s="1002">
        <f>IF(Vehi_Inputs!$B$8=2,I29,I23)</f>
        <v>30</v>
      </c>
    </row>
    <row r="36" spans="1:12">
      <c r="A36" s="63"/>
      <c r="B36" s="549" t="s">
        <v>636</v>
      </c>
      <c r="C36" s="1001">
        <f>IF(Vehi_Inputs!$B$8=2,C30,C24)</f>
        <v>8.5</v>
      </c>
      <c r="D36" s="1001">
        <f>IF(Vehi_Inputs!$B$8=2,D30,D24)</f>
        <v>0</v>
      </c>
      <c r="E36" s="1001">
        <f>IF(Vehi_Inputs!$B$8=2,E30,E24)</f>
        <v>2</v>
      </c>
      <c r="F36" s="1001">
        <f>IF(Vehi_Inputs!$B$8=2,F30,F24)</f>
        <v>24.039656900000001</v>
      </c>
      <c r="G36" s="1001">
        <f>IF(Vehi_Inputs!$B$8=2,G30,G24)</f>
        <v>23</v>
      </c>
      <c r="H36" s="1001">
        <f>IF(Vehi_Inputs!$B$8=2,H30,H24)</f>
        <v>6</v>
      </c>
      <c r="I36" s="1002">
        <f>IF(Vehi_Inputs!$B$8=2,I30,I24)</f>
        <v>30</v>
      </c>
    </row>
    <row r="37" spans="1:12">
      <c r="A37" s="63"/>
      <c r="B37" s="549" t="s">
        <v>637</v>
      </c>
      <c r="C37" s="1001">
        <f>IF(Vehi_Inputs!$B$8=2,C31,C25)</f>
        <v>8.5</v>
      </c>
      <c r="D37" s="1001">
        <f>IF(Vehi_Inputs!$B$8=2,D31,D25)</f>
        <v>0</v>
      </c>
      <c r="E37" s="1001">
        <f>IF(Vehi_Inputs!$B$8=2,E31,E25)</f>
        <v>2</v>
      </c>
      <c r="F37" s="1001">
        <f>IF(Vehi_Inputs!$B$8=2,F31,F25)</f>
        <v>1.8492043499999999</v>
      </c>
      <c r="G37" s="1001">
        <f>IF(Vehi_Inputs!$B$8=2,G31,G25)</f>
        <v>23</v>
      </c>
      <c r="H37" s="1001">
        <f>IF(Vehi_Inputs!$B$8=2,H31,H25)</f>
        <v>6</v>
      </c>
      <c r="I37" s="1002">
        <f>IF(Vehi_Inputs!$B$8=2,I31,I25)</f>
        <v>30</v>
      </c>
    </row>
    <row r="38" spans="1:12">
      <c r="A38" s="63"/>
      <c r="B38" s="549" t="s">
        <v>638</v>
      </c>
      <c r="C38" s="1001">
        <f>IF(Vehi_Inputs!$B$8=2,C32,C26)</f>
        <v>8.5</v>
      </c>
      <c r="D38" s="1001">
        <f>IF(Vehi_Inputs!$B$8=2,D32,D26)</f>
        <v>0</v>
      </c>
      <c r="E38" s="1001">
        <f>IF(Vehi_Inputs!$B$8=2,E32,E26)</f>
        <v>2</v>
      </c>
      <c r="F38" s="1001">
        <f>IF(Vehi_Inputs!$B$8=2,F32,F26)</f>
        <v>1.8492043499999999</v>
      </c>
      <c r="G38" s="1001">
        <f>IF(Vehi_Inputs!$B$8=2,G32,G26)</f>
        <v>23</v>
      </c>
      <c r="H38" s="1001">
        <f>IF(Vehi_Inputs!$B$8=2,H32,H26)</f>
        <v>6</v>
      </c>
      <c r="I38" s="1002">
        <f>IF(Vehi_Inputs!$B$8=2,I32,I26)</f>
        <v>30</v>
      </c>
    </row>
    <row r="39" spans="1:12">
      <c r="A39" s="63"/>
      <c r="B39" s="549" t="s">
        <v>639</v>
      </c>
      <c r="C39" s="1001">
        <f>IF(Vehi_Inputs!$B$8=2,C33,C27)</f>
        <v>0</v>
      </c>
      <c r="D39" s="1001">
        <f>IF(Vehi_Inputs!$B$8=2,D33,D27)</f>
        <v>0</v>
      </c>
      <c r="E39" s="1001">
        <f>IF(Vehi_Inputs!$B$8=2,E33,E27)</f>
        <v>2</v>
      </c>
      <c r="F39" s="1001">
        <f>IF(Vehi_Inputs!$B$8=2,F33,F27)</f>
        <v>1.8492043499999999</v>
      </c>
      <c r="G39" s="1001">
        <f>IF(Vehi_Inputs!$B$8=2,G33,G27)</f>
        <v>15.770998518800001</v>
      </c>
      <c r="H39" s="1001">
        <f>IF(Vehi_Inputs!$B$8=2,H33,H27)</f>
        <v>6</v>
      </c>
      <c r="I39" s="1002">
        <f>IF(Vehi_Inputs!$B$8=2,I33,I27)</f>
        <v>30</v>
      </c>
    </row>
    <row r="40" spans="1:12">
      <c r="A40" s="63"/>
      <c r="B40" s="559" t="s">
        <v>640</v>
      </c>
      <c r="C40" s="1003">
        <f>IF(Vehi_Inputs!$B$8=2,C34,C28)</f>
        <v>0</v>
      </c>
      <c r="D40" s="1003">
        <f>IF(Vehi_Inputs!$B$8=2,D34,D28)</f>
        <v>0</v>
      </c>
      <c r="E40" s="1003">
        <f>IF(Vehi_Inputs!$B$8=2,E34,E28)</f>
        <v>2</v>
      </c>
      <c r="F40" s="1003">
        <f>IF(Vehi_Inputs!$B$8=2,F34,F28)</f>
        <v>1.8492043499999999</v>
      </c>
      <c r="G40" s="1003">
        <f>IF(Vehi_Inputs!$B$8=2,G34,G28)</f>
        <v>15.770998518800001</v>
      </c>
      <c r="H40" s="1003">
        <f>IF(Vehi_Inputs!$B$8=2,H34,H28)</f>
        <v>6</v>
      </c>
      <c r="I40" s="1004">
        <f>IF(Vehi_Inputs!$B$8=2,I34,I28)</f>
        <v>30</v>
      </c>
    </row>
    <row r="41" spans="1:12">
      <c r="A41" s="63"/>
    </row>
    <row r="42" spans="1:12" ht="15">
      <c r="A42" s="134" t="s">
        <v>641</v>
      </c>
    </row>
    <row r="43" spans="1:12">
      <c r="A43" s="63" t="s">
        <v>642</v>
      </c>
    </row>
    <row r="44" spans="1:12" ht="38.25">
      <c r="A44" s="63"/>
      <c r="B44" s="1192"/>
      <c r="C44" s="1474" t="s">
        <v>141</v>
      </c>
      <c r="D44" s="1474" t="s">
        <v>142</v>
      </c>
      <c r="E44" s="1474" t="s">
        <v>143</v>
      </c>
      <c r="F44" s="1474" t="s">
        <v>144</v>
      </c>
      <c r="G44" s="1474" t="s">
        <v>145</v>
      </c>
      <c r="H44" s="1474" t="s">
        <v>146</v>
      </c>
      <c r="I44" s="1474" t="s">
        <v>147</v>
      </c>
      <c r="J44" s="1474" t="s">
        <v>148</v>
      </c>
      <c r="K44" s="1474" t="s">
        <v>149</v>
      </c>
      <c r="L44" s="1193" t="s">
        <v>150</v>
      </c>
    </row>
    <row r="45" spans="1:12">
      <c r="A45" s="63"/>
      <c r="B45" s="1005" t="s">
        <v>643</v>
      </c>
      <c r="C45" s="526">
        <f>C6-C17-SUM(C35:I35)</f>
        <v>2959.8626743605541</v>
      </c>
      <c r="D45" s="526">
        <f>D6-D17-SUM(C36:I36)</f>
        <v>2575.5290831000002</v>
      </c>
      <c r="E45" s="526">
        <f>E6-(E17+IF(Vehi_Inputs!$C$74=1,E18,E19))-SUM(C37:I37)</f>
        <v>3098.8981258685394</v>
      </c>
      <c r="F45" s="526">
        <f>F6-(F17+IF(Vehi_Inputs!$C$74=1,F18,F19))-SUM(C37:I37)</f>
        <v>2677.75813565</v>
      </c>
      <c r="G45" s="526">
        <f>G6-(G17+IF(Vehi_Inputs!$C$75=1,G18,G19))-SUM(C38:I38)</f>
        <v>3103.307371112237</v>
      </c>
      <c r="H45" s="526">
        <f>H6-(H17+IF(Vehi_Inputs!$C$75=1,H18,H19))-SUM(C38:I38)</f>
        <v>2688.7812356499999</v>
      </c>
      <c r="I45" s="526">
        <f>I6-(I17+IF(Vehi_Inputs!$C$76=1,I18,I19))-SUM(C39:I39)</f>
        <v>2664.8841124925889</v>
      </c>
      <c r="J45" s="526">
        <f>J6-(J17+IF(Vehi_Inputs!$C$76=1,J18,J19))-SUM(C39:I39)</f>
        <v>2327.5202171311998</v>
      </c>
      <c r="K45" s="526">
        <f>K6-(K17+IF(Vehi_Inputs!$C$77=1,K18,K19))-SUM(C40:I40)</f>
        <v>2945.7530345161235</v>
      </c>
      <c r="L45" s="527">
        <f>L6-(L17+IF(Vehi_Inputs!$C$77=1,L18,L19))-SUM(C40:I40)</f>
        <v>2766.2395971312003</v>
      </c>
    </row>
    <row r="46" spans="1:12">
      <c r="A46" s="63"/>
    </row>
    <row r="47" spans="1:12">
      <c r="A47" s="63" t="s">
        <v>644</v>
      </c>
    </row>
    <row r="48" spans="1:12">
      <c r="A48" s="63"/>
      <c r="B48" s="2568">
        <f>C271</f>
        <v>86.575000000000003</v>
      </c>
      <c r="C48" s="521" t="s">
        <v>645</v>
      </c>
    </row>
    <row r="49" spans="1:25">
      <c r="A49" s="63"/>
      <c r="B49" s="1006">
        <v>66</v>
      </c>
      <c r="C49" s="521" t="s">
        <v>646</v>
      </c>
    </row>
    <row r="50" spans="1:25">
      <c r="A50" s="63"/>
    </row>
    <row r="51" spans="1:25">
      <c r="A51" s="63" t="s">
        <v>647</v>
      </c>
    </row>
    <row r="52" spans="1:25">
      <c r="A52" s="63"/>
      <c r="B52" s="1007">
        <f>$B$48*Vehi_Inputs!B46</f>
        <v>243.27575000000002</v>
      </c>
      <c r="C52" s="1008" t="s">
        <v>177</v>
      </c>
    </row>
    <row r="53" spans="1:25">
      <c r="A53" s="63"/>
      <c r="B53" s="1009">
        <v>300</v>
      </c>
      <c r="C53" s="1008" t="s">
        <v>178</v>
      </c>
    </row>
    <row r="54" spans="1:25">
      <c r="A54" s="63"/>
      <c r="B54" s="1010">
        <f>$B$49*Vehi_Inputs!B46</f>
        <v>185.46</v>
      </c>
      <c r="C54" s="1008" t="s">
        <v>179</v>
      </c>
    </row>
    <row r="55" spans="1:25">
      <c r="A55" s="63"/>
      <c r="B55" s="1011">
        <v>196</v>
      </c>
      <c r="C55" s="1008" t="s">
        <v>180</v>
      </c>
    </row>
    <row r="56" spans="1:25">
      <c r="A56" s="63"/>
    </row>
    <row r="57" spans="1:25">
      <c r="A57" s="63" t="s">
        <v>648</v>
      </c>
    </row>
    <row r="58" spans="1:25" ht="38.25">
      <c r="A58" s="63"/>
      <c r="B58" s="1426"/>
      <c r="C58" s="1192" t="s">
        <v>141</v>
      </c>
      <c r="D58" s="1474" t="s">
        <v>142</v>
      </c>
      <c r="E58" s="1474" t="s">
        <v>143</v>
      </c>
      <c r="F58" s="1474" t="s">
        <v>144</v>
      </c>
      <c r="G58" s="1474" t="s">
        <v>145</v>
      </c>
      <c r="H58" s="1474" t="s">
        <v>146</v>
      </c>
      <c r="I58" s="1474" t="s">
        <v>147</v>
      </c>
      <c r="J58" s="1474" t="s">
        <v>148</v>
      </c>
      <c r="K58" s="1474" t="s">
        <v>149</v>
      </c>
      <c r="L58" s="1193" t="s">
        <v>150</v>
      </c>
      <c r="N58" s="1192" t="s">
        <v>595</v>
      </c>
      <c r="O58" s="1474" t="s">
        <v>596</v>
      </c>
      <c r="P58" s="1474" t="s">
        <v>597</v>
      </c>
      <c r="Q58" s="1474" t="s">
        <v>598</v>
      </c>
      <c r="R58" s="1474" t="s">
        <v>599</v>
      </c>
      <c r="S58" s="1474" t="s">
        <v>600</v>
      </c>
      <c r="T58" s="1474" t="s">
        <v>601</v>
      </c>
      <c r="U58" s="1193" t="s">
        <v>602</v>
      </c>
      <c r="V58" s="1474" t="s">
        <v>603</v>
      </c>
      <c r="W58" s="1474" t="s">
        <v>604</v>
      </c>
      <c r="X58" s="1474" t="s">
        <v>605</v>
      </c>
      <c r="Y58" s="1193" t="s">
        <v>606</v>
      </c>
    </row>
    <row r="59" spans="1:25">
      <c r="A59" s="63"/>
      <c r="B59" s="571" t="s">
        <v>607</v>
      </c>
      <c r="C59" s="564"/>
      <c r="D59" s="565"/>
      <c r="E59" s="565"/>
      <c r="F59" s="565"/>
      <c r="G59" s="565"/>
      <c r="H59" s="565"/>
      <c r="I59" s="565"/>
      <c r="J59" s="565"/>
      <c r="K59" s="565"/>
      <c r="L59" s="1012"/>
      <c r="N59" s="661"/>
      <c r="O59" s="363"/>
      <c r="P59" s="363"/>
      <c r="Q59" s="363"/>
      <c r="R59" s="363"/>
      <c r="S59" s="363"/>
      <c r="T59" s="363"/>
      <c r="U59" s="1013"/>
      <c r="V59" s="363"/>
      <c r="W59" s="363"/>
      <c r="X59" s="363"/>
      <c r="Y59" s="1013"/>
    </row>
    <row r="60" spans="1:25">
      <c r="A60" s="63"/>
      <c r="B60" s="549" t="s">
        <v>182</v>
      </c>
      <c r="C60" s="1472">
        <v>0.15343673223141435</v>
      </c>
      <c r="D60" s="1014">
        <v>0.28616405246234844</v>
      </c>
      <c r="E60" s="1014">
        <v>0.22513089005235606</v>
      </c>
      <c r="F60" s="1014">
        <v>0.2564410164565305</v>
      </c>
      <c r="G60" s="302">
        <f>IF(GREET1_Import_Export!$D$12=10,N60,IF(GREET1_Import_Export!$D$12=20,P60,IF(GREET1_Import_Export!$D$12=30,R60,T60)))</f>
        <v>0.22983981811668278</v>
      </c>
      <c r="H60" s="302">
        <f>IF(GREET1_Import_Export!$D$12=10,O60,IF(GREET1_Import_Export!$D$12=20,Q60,IF(GREET1_Import_Export!$D$12=30,S60,U60)))</f>
        <v>0.25873756403418224</v>
      </c>
      <c r="I60" s="302">
        <f>IF(GREET1_Import_Export!$G$12=100,V60,X60)</f>
        <v>4.5461302911814605E-2</v>
      </c>
      <c r="J60" s="302">
        <f>IF(GREET1_Import_Export!$G$12=100,W60,Y60)</f>
        <v>6.6029720728820074E-2</v>
      </c>
      <c r="K60" s="302">
        <f>$B$52/$K$45</f>
        <v>8.2585249730536589E-2</v>
      </c>
      <c r="L60" s="593">
        <f>$B$54/$L$45</f>
        <v>6.7044084031020329E-2</v>
      </c>
      <c r="N60" s="1472">
        <v>0.22834543598853488</v>
      </c>
      <c r="O60" s="1014">
        <v>0.25873756403418224</v>
      </c>
      <c r="P60" s="1014">
        <v>0.22983981811668278</v>
      </c>
      <c r="Q60" s="1014">
        <v>0.25873756403418224</v>
      </c>
      <c r="R60" s="1014">
        <v>0.23771363674153134</v>
      </c>
      <c r="S60" s="1014">
        <v>0.26542622546834194</v>
      </c>
      <c r="T60" s="1014">
        <v>0.2387708913300863</v>
      </c>
      <c r="U60" s="1015">
        <v>0.26576316150674006</v>
      </c>
      <c r="V60" s="1014">
        <v>4.7935222516142455E-2</v>
      </c>
      <c r="W60" s="1014">
        <v>6.7881497432028093E-2</v>
      </c>
      <c r="X60" s="1014">
        <v>4.5461302911814605E-2</v>
      </c>
      <c r="Y60" s="1015">
        <v>6.6029720728820074E-2</v>
      </c>
    </row>
    <row r="61" spans="1:25">
      <c r="A61" s="63"/>
      <c r="B61" s="549" t="s">
        <v>183</v>
      </c>
      <c r="C61" s="1472">
        <v>6.3105570480723405E-2</v>
      </c>
      <c r="D61" s="1014">
        <v>6.1658062956724484E-2</v>
      </c>
      <c r="E61" s="1014">
        <v>4.9892208192177392E-2</v>
      </c>
      <c r="F61" s="1014">
        <v>5.9976770379984799E-2</v>
      </c>
      <c r="G61" s="302">
        <f>IF(GREET1_Import_Export!$D$12=10,N61,IF(GREET1_Import_Export!$D$12=20,P61,IF(GREET1_Import_Export!$D$12=30,R61,T61)))</f>
        <v>4.9629508737740163E-2</v>
      </c>
      <c r="H61" s="302">
        <f>IF(GREET1_Import_Export!$D$12=10,O61,IF(GREET1_Import_Export!$D$12=20,Q61,IF(GREET1_Import_Export!$D$12=30,S61,U61)))</f>
        <v>5.9737911247593013E-2</v>
      </c>
      <c r="I61" s="302">
        <f>IF(GREET1_Import_Export!$G$12=100,V61,X61)</f>
        <v>5.5890654199533756E-2</v>
      </c>
      <c r="J61" s="302">
        <f>IF(GREET1_Import_Export!$G$12=100,W61,Y61)</f>
        <v>6.9157304733175939E-2</v>
      </c>
      <c r="K61" s="1014">
        <v>2.8134729281300157E-2</v>
      </c>
      <c r="L61" s="1015">
        <v>3.2245216594726137E-2</v>
      </c>
      <c r="N61" s="1472">
        <v>4.9730271668592646E-2</v>
      </c>
      <c r="O61" s="1014">
        <v>5.9737911247593027E-2</v>
      </c>
      <c r="P61" s="1014">
        <v>4.9629508737740163E-2</v>
      </c>
      <c r="Q61" s="1014">
        <v>5.9737911247593013E-2</v>
      </c>
      <c r="R61" s="1014">
        <v>4.772763942348713E-2</v>
      </c>
      <c r="S61" s="1014">
        <v>5.8162793785663414E-2</v>
      </c>
      <c r="T61" s="1014">
        <v>4.7328016548526357E-2</v>
      </c>
      <c r="U61" s="1015">
        <v>5.8072722538048682E-2</v>
      </c>
      <c r="V61" s="1014">
        <v>5.7240305438866761E-2</v>
      </c>
      <c r="W61" s="1014">
        <v>7.0127267292019763E-2</v>
      </c>
      <c r="X61" s="1014">
        <v>5.5890654199533756E-2</v>
      </c>
      <c r="Y61" s="1015">
        <v>6.9157304733175939E-2</v>
      </c>
    </row>
    <row r="62" spans="1:25">
      <c r="A62" s="63"/>
      <c r="B62" s="549" t="s">
        <v>184</v>
      </c>
      <c r="C62" s="1472">
        <v>0.25420370495753275</v>
      </c>
      <c r="D62" s="1014">
        <v>0.23</v>
      </c>
      <c r="E62" s="1014">
        <v>0.21564305507327783</v>
      </c>
      <c r="F62" s="1014">
        <v>0.245</v>
      </c>
      <c r="G62" s="302">
        <f>IF(GREET1_Import_Export!$D$12=10,N62,IF(GREET1_Import_Export!$D$12=20,P62,IF(GREET1_Import_Export!$D$12=30,R62,T62)))</f>
        <v>0.21440294133376075</v>
      </c>
      <c r="H62" s="302">
        <f>IF(GREET1_Import_Export!$D$12=10,O62,IF(GREET1_Import_Export!$D$12=20,Q62,IF(GREET1_Import_Export!$D$12=30,S62,U62)))</f>
        <v>0.25600000000000001</v>
      </c>
      <c r="I62" s="302">
        <f>IF(GREET1_Import_Export!$G$12=100,V62,X62)</f>
        <v>0.24221267748836323</v>
      </c>
      <c r="J62" s="302">
        <f>IF(GREET1_Import_Export!$G$12=100,W62,Y62)</f>
        <v>0.312</v>
      </c>
      <c r="K62" s="1014">
        <v>0.23470492031846918</v>
      </c>
      <c r="L62" s="1015">
        <v>0.2729327261767891</v>
      </c>
      <c r="N62" s="1472">
        <v>0.21481576658794091</v>
      </c>
      <c r="O62" s="1014">
        <v>0.25600000000000001</v>
      </c>
      <c r="P62" s="1014">
        <v>0.21440294133376075</v>
      </c>
      <c r="Q62" s="1014">
        <v>0.25600000000000001</v>
      </c>
      <c r="R62" s="1014">
        <v>0.20632543105890475</v>
      </c>
      <c r="S62" s="1014">
        <v>0.25600000000000001</v>
      </c>
      <c r="T62" s="1014">
        <v>0.20471430115597239</v>
      </c>
      <c r="U62" s="1015">
        <v>0.25600000000000001</v>
      </c>
      <c r="V62" s="1014">
        <v>0.2479197303488862</v>
      </c>
      <c r="W62" s="1014">
        <v>0.312</v>
      </c>
      <c r="X62" s="1014">
        <v>0.24221267748836323</v>
      </c>
      <c r="Y62" s="1015">
        <v>0.312</v>
      </c>
    </row>
    <row r="63" spans="1:25">
      <c r="A63" s="63"/>
      <c r="B63" s="549" t="s">
        <v>185</v>
      </c>
      <c r="C63" s="1472">
        <v>0</v>
      </c>
      <c r="D63" s="1014">
        <v>0</v>
      </c>
      <c r="E63" s="1014">
        <v>2.125038497074222E-2</v>
      </c>
      <c r="F63" s="1014">
        <v>1.5593960298796047E-2</v>
      </c>
      <c r="G63" s="302">
        <f>IF(GREET1_Import_Export!$D$12=10,N63,IF(GREET1_Import_Export!$D$12=20,P63,IF(GREET1_Import_Export!$D$12=30,R63,T63)))</f>
        <v>2.0832139470162537E-2</v>
      </c>
      <c r="H63" s="302">
        <f>IF(GREET1_Import_Export!$D$12=10,O63,IF(GREET1_Import_Export!$D$12=20,Q63,IF(GREET1_Import_Export!$D$12=30,S63,U63)))</f>
        <v>1.6328362407675424E-2</v>
      </c>
      <c r="I63" s="302">
        <f>IF(GREET1_Import_Export!$G$12=100,V63,X63)</f>
        <v>9.3151090332556238E-2</v>
      </c>
      <c r="J63" s="302">
        <f>IF(GREET1_Import_Export!$G$12=100,W63,Y63)</f>
        <v>6.7313109940291244E-2</v>
      </c>
      <c r="K63" s="1014">
        <v>4.2202093921950262E-2</v>
      </c>
      <c r="L63" s="1015">
        <v>4.4912980256939974E-2</v>
      </c>
      <c r="N63" s="1472">
        <v>2.0874435021384568E-2</v>
      </c>
      <c r="O63" s="1014">
        <v>1.6328362407675424E-2</v>
      </c>
      <c r="P63" s="1014">
        <v>2.0832139470162537E-2</v>
      </c>
      <c r="Q63" s="1014">
        <v>1.6328362407675424E-2</v>
      </c>
      <c r="R63" s="1014">
        <v>3.0345350991476391E-2</v>
      </c>
      <c r="S63" s="1014">
        <v>2.2101861638552097E-2</v>
      </c>
      <c r="T63" s="1014">
        <v>3.2428455783249543E-2</v>
      </c>
      <c r="U63" s="1015">
        <v>2.2454786048045489E-2</v>
      </c>
      <c r="V63" s="1014">
        <v>7.1727049407962665E-2</v>
      </c>
      <c r="W63" s="1014">
        <v>5.4231753372495271E-2</v>
      </c>
      <c r="X63" s="1014">
        <v>9.3151090332556238E-2</v>
      </c>
      <c r="Y63" s="1015">
        <v>6.7313109940291244E-2</v>
      </c>
    </row>
    <row r="64" spans="1:25">
      <c r="A64" s="63"/>
      <c r="B64" s="549" t="s">
        <v>186</v>
      </c>
      <c r="C64" s="1472">
        <v>0</v>
      </c>
      <c r="D64" s="1014">
        <v>0</v>
      </c>
      <c r="E64" s="1014">
        <v>2.125038497074222E-2</v>
      </c>
      <c r="F64" s="1014">
        <v>1.5593960298796047E-2</v>
      </c>
      <c r="G64" s="302">
        <f>IF(GREET1_Import_Export!$D$12=10,N64,IF(GREET1_Import_Export!$D$12=20,P64,IF(GREET1_Import_Export!$D$12=30,R64,T64)))</f>
        <v>2.0832139470162537E-2</v>
      </c>
      <c r="H64" s="302">
        <f>IF(GREET1_Import_Export!$D$12=10,O64,IF(GREET1_Import_Export!$D$12=20,Q64,IF(GREET1_Import_Export!$D$12=30,S64,U64)))</f>
        <v>1.6328362407675424E-2</v>
      </c>
      <c r="I64" s="302">
        <f>IF(GREET1_Import_Export!$G$12=100,V64,X64)</f>
        <v>0</v>
      </c>
      <c r="J64" s="302">
        <f>IF(GREET1_Import_Export!$G$12=100,W64,Y64)</f>
        <v>0</v>
      </c>
      <c r="K64" s="1014">
        <v>0</v>
      </c>
      <c r="L64" s="1015">
        <v>0</v>
      </c>
      <c r="N64" s="1472">
        <v>2.0874435021384568E-2</v>
      </c>
      <c r="O64" s="1014">
        <v>1.6328362407675424E-2</v>
      </c>
      <c r="P64" s="1014">
        <v>2.0832139470162537E-2</v>
      </c>
      <c r="Q64" s="1014">
        <v>1.6328362407675424E-2</v>
      </c>
      <c r="R64" s="1014">
        <v>3.0345350991476391E-2</v>
      </c>
      <c r="S64" s="1014">
        <v>2.2101861638552097E-2</v>
      </c>
      <c r="T64" s="1014">
        <v>3.2428455783249543E-2</v>
      </c>
      <c r="U64" s="1015">
        <v>2.2454786048045489E-2</v>
      </c>
      <c r="V64" s="1014">
        <v>0</v>
      </c>
      <c r="W64" s="1014"/>
      <c r="X64" s="1014">
        <v>0</v>
      </c>
      <c r="Y64" s="1015"/>
    </row>
    <row r="65" spans="1:25">
      <c r="A65" s="63"/>
      <c r="B65" s="549" t="s">
        <v>187</v>
      </c>
      <c r="C65" s="1472">
        <v>0</v>
      </c>
      <c r="D65" s="1014">
        <v>0</v>
      </c>
      <c r="E65" s="1014">
        <v>1.7862642439174622E-2</v>
      </c>
      <c r="F65" s="1014">
        <v>1.7999999999999999E-2</v>
      </c>
      <c r="G65" s="302">
        <f>IF(GREET1_Import_Export!$D$12=10,N65,IF(GREET1_Import_Export!$D$12=20,P65,IF(GREET1_Import_Export!$D$12=30,R65,T65)))</f>
        <v>1.8074944540288088E-2</v>
      </c>
      <c r="H65" s="302">
        <f>IF(GREET1_Import_Export!$D$12=10,O65,IF(GREET1_Import_Export!$D$12=20,Q65,IF(GREET1_Import_Export!$D$12=30,S65,U65)))</f>
        <v>1.7000000000000001E-2</v>
      </c>
      <c r="I65" s="302">
        <f>IF(GREET1_Import_Export!$G$12=100,V65,X65)</f>
        <v>5.8995690543952289E-2</v>
      </c>
      <c r="J65" s="302">
        <f>IF(GREET1_Import_Export!$G$12=100,W65,Y65)</f>
        <v>6.6000000000000003E-2</v>
      </c>
      <c r="K65" s="1014">
        <v>3.6791569060161768E-2</v>
      </c>
      <c r="L65" s="1015">
        <v>3.9154905865024597E-2</v>
      </c>
      <c r="N65" s="1473">
        <v>1.8111642150907201E-2</v>
      </c>
      <c r="O65" s="1016">
        <v>1.7000000000000001E-2</v>
      </c>
      <c r="P65" s="1016">
        <v>1.8074944540288088E-2</v>
      </c>
      <c r="Q65" s="1016">
        <v>1.7000000000000001E-2</v>
      </c>
      <c r="R65" s="1016">
        <v>1.7971518548350093E-2</v>
      </c>
      <c r="S65" s="1016">
        <v>1.7000000000000001E-2</v>
      </c>
      <c r="T65" s="1016">
        <v>1.8113191518571815E-2</v>
      </c>
      <c r="U65" s="1017">
        <v>1.7000000000000001E-2</v>
      </c>
      <c r="V65" s="1016">
        <v>5.9006981532658945E-2</v>
      </c>
      <c r="W65" s="1016">
        <v>6.6000000000000003E-2</v>
      </c>
      <c r="X65" s="1016">
        <v>5.8995690543952289E-2</v>
      </c>
      <c r="Y65" s="1017">
        <v>6.6000000000000003E-2</v>
      </c>
    </row>
    <row r="66" spans="1:25">
      <c r="A66" s="63"/>
      <c r="B66" s="549" t="s">
        <v>188</v>
      </c>
      <c r="C66" s="1472">
        <v>0</v>
      </c>
      <c r="D66" s="1014">
        <v>0</v>
      </c>
      <c r="E66" s="1014">
        <v>0</v>
      </c>
      <c r="F66" s="1014">
        <v>0</v>
      </c>
      <c r="G66" s="187">
        <v>0</v>
      </c>
      <c r="H66" s="187">
        <v>0</v>
      </c>
      <c r="I66" s="187">
        <v>0</v>
      </c>
      <c r="J66" s="187">
        <v>0</v>
      </c>
      <c r="K66" s="302">
        <f>$B$53/$K$45</f>
        <v>0.10184153134523673</v>
      </c>
      <c r="L66" s="593">
        <f>$B$55/$L$45</f>
        <v>7.0854310741291837E-2</v>
      </c>
    </row>
    <row r="67" spans="1:25" ht="25.5">
      <c r="A67" s="63"/>
      <c r="B67" s="1018" t="s">
        <v>189</v>
      </c>
      <c r="C67" s="1019">
        <f t="shared" ref="C67:L67" si="0">1-SUM(C60:C66)</f>
        <v>0.52925399233032944</v>
      </c>
      <c r="D67" s="1020">
        <f t="shared" si="0"/>
        <v>0.42217788458092709</v>
      </c>
      <c r="E67" s="1020">
        <f t="shared" si="0"/>
        <v>0.44897043430152972</v>
      </c>
      <c r="F67" s="1020">
        <f t="shared" si="0"/>
        <v>0.38939429256589264</v>
      </c>
      <c r="G67" s="1020">
        <f t="shared" si="0"/>
        <v>0.44638850833120314</v>
      </c>
      <c r="H67" s="1020">
        <f t="shared" si="0"/>
        <v>0.37586779990287378</v>
      </c>
      <c r="I67" s="1020">
        <f t="shared" si="0"/>
        <v>0.50428858452377989</v>
      </c>
      <c r="J67" s="1020">
        <f t="shared" si="0"/>
        <v>0.41949986459771282</v>
      </c>
      <c r="K67" s="1020">
        <f t="shared" si="0"/>
        <v>0.4737399063423452</v>
      </c>
      <c r="L67" s="210">
        <f t="shared" si="0"/>
        <v>0.47285577633420806</v>
      </c>
    </row>
    <row r="68" spans="1:25">
      <c r="A68" s="63"/>
      <c r="B68" s="571" t="s">
        <v>608</v>
      </c>
      <c r="C68" s="1021"/>
      <c r="D68" s="302"/>
      <c r="E68" s="302"/>
      <c r="F68" s="302"/>
      <c r="G68" s="302"/>
      <c r="H68" s="302"/>
      <c r="I68" s="302"/>
      <c r="J68" s="302"/>
      <c r="K68" s="302"/>
      <c r="L68" s="593"/>
    </row>
    <row r="69" spans="1:25">
      <c r="A69" s="63"/>
      <c r="B69" s="549" t="s">
        <v>182</v>
      </c>
      <c r="C69" s="1022">
        <v>0.16809187324650945</v>
      </c>
      <c r="D69" s="1023">
        <v>0.1945098331024406</v>
      </c>
      <c r="E69" s="1024">
        <v>0</v>
      </c>
      <c r="F69" s="1024">
        <v>0</v>
      </c>
      <c r="G69" s="1024">
        <v>0</v>
      </c>
      <c r="H69" s="1024">
        <v>0</v>
      </c>
      <c r="I69" s="1024">
        <v>0</v>
      </c>
      <c r="J69" s="1024">
        <v>0</v>
      </c>
      <c r="K69" s="1024">
        <v>0</v>
      </c>
      <c r="L69" s="1025">
        <v>0</v>
      </c>
    </row>
    <row r="70" spans="1:25">
      <c r="A70" s="63"/>
      <c r="B70" s="549" t="s">
        <v>183</v>
      </c>
      <c r="C70" s="1022">
        <v>6.6026384801484483E-2</v>
      </c>
      <c r="D70" s="1023">
        <v>6.0413072541641508E-2</v>
      </c>
      <c r="E70" s="1024">
        <v>0</v>
      </c>
      <c r="F70" s="1024">
        <v>0</v>
      </c>
      <c r="G70" s="1024">
        <v>0</v>
      </c>
      <c r="H70" s="1024">
        <v>0</v>
      </c>
      <c r="I70" s="1024">
        <v>0</v>
      </c>
      <c r="J70" s="1024">
        <v>0</v>
      </c>
      <c r="K70" s="1024">
        <v>0</v>
      </c>
      <c r="L70" s="1025">
        <v>0</v>
      </c>
    </row>
    <row r="71" spans="1:25">
      <c r="A71" s="63"/>
      <c r="B71" s="549" t="s">
        <v>184</v>
      </c>
      <c r="C71" s="1022">
        <v>0.24005562526199525</v>
      </c>
      <c r="D71" s="1023">
        <v>0.22306790291214029</v>
      </c>
      <c r="E71" s="1024">
        <v>0</v>
      </c>
      <c r="F71" s="1024">
        <v>0</v>
      </c>
      <c r="G71" s="1024">
        <v>0</v>
      </c>
      <c r="H71" s="1024">
        <v>0</v>
      </c>
      <c r="I71" s="1024">
        <v>0</v>
      </c>
      <c r="J71" s="1024">
        <v>0</v>
      </c>
      <c r="K71" s="1024">
        <v>0</v>
      </c>
      <c r="L71" s="1025">
        <v>0</v>
      </c>
    </row>
    <row r="72" spans="1:25">
      <c r="A72" s="63"/>
      <c r="B72" s="549" t="s">
        <v>185</v>
      </c>
      <c r="C72" s="1026">
        <v>0</v>
      </c>
      <c r="D72" s="1027">
        <v>0</v>
      </c>
      <c r="E72" s="1024">
        <v>0</v>
      </c>
      <c r="F72" s="1024">
        <v>0</v>
      </c>
      <c r="G72" s="1024">
        <v>0</v>
      </c>
      <c r="H72" s="1024">
        <v>0</v>
      </c>
      <c r="I72" s="1024">
        <v>0</v>
      </c>
      <c r="J72" s="1024">
        <v>0</v>
      </c>
      <c r="K72" s="1024">
        <v>0</v>
      </c>
      <c r="L72" s="1025">
        <v>0</v>
      </c>
    </row>
    <row r="73" spans="1:25">
      <c r="A73" s="63"/>
      <c r="B73" s="549" t="s">
        <v>186</v>
      </c>
      <c r="C73" s="1026">
        <v>0</v>
      </c>
      <c r="D73" s="1027">
        <v>0</v>
      </c>
      <c r="E73" s="1024">
        <v>0</v>
      </c>
      <c r="F73" s="1024">
        <v>0</v>
      </c>
      <c r="G73" s="1024">
        <v>0</v>
      </c>
      <c r="H73" s="1024">
        <v>0</v>
      </c>
      <c r="I73" s="1024">
        <v>0</v>
      </c>
      <c r="J73" s="1024">
        <v>0</v>
      </c>
      <c r="K73" s="1024">
        <v>0</v>
      </c>
      <c r="L73" s="1025">
        <v>0</v>
      </c>
    </row>
    <row r="74" spans="1:25">
      <c r="A74" s="63"/>
      <c r="B74" s="549" t="s">
        <v>187</v>
      </c>
      <c r="C74" s="1026">
        <v>0</v>
      </c>
      <c r="D74" s="1027">
        <v>0</v>
      </c>
      <c r="E74" s="1024">
        <v>0</v>
      </c>
      <c r="F74" s="1024">
        <v>0</v>
      </c>
      <c r="G74" s="1024">
        <v>0</v>
      </c>
      <c r="H74" s="1024">
        <v>0</v>
      </c>
      <c r="I74" s="1024">
        <v>0</v>
      </c>
      <c r="J74" s="1024">
        <v>0</v>
      </c>
      <c r="K74" s="1024">
        <v>0</v>
      </c>
      <c r="L74" s="1025">
        <v>0</v>
      </c>
    </row>
    <row r="75" spans="1:25">
      <c r="A75" s="63"/>
      <c r="B75" s="549" t="s">
        <v>188</v>
      </c>
      <c r="C75" s="1026">
        <v>0</v>
      </c>
      <c r="D75" s="1027">
        <v>0</v>
      </c>
      <c r="E75" s="1024">
        <v>0</v>
      </c>
      <c r="F75" s="1024">
        <v>0</v>
      </c>
      <c r="G75" s="1024">
        <v>0</v>
      </c>
      <c r="H75" s="1024">
        <v>0</v>
      </c>
      <c r="I75" s="1024">
        <v>0</v>
      </c>
      <c r="J75" s="1024">
        <v>0</v>
      </c>
      <c r="K75" s="1024">
        <v>0</v>
      </c>
      <c r="L75" s="1025">
        <v>0</v>
      </c>
    </row>
    <row r="76" spans="1:25" ht="25.5">
      <c r="A76" s="63"/>
      <c r="B76" s="1018" t="s">
        <v>189</v>
      </c>
      <c r="C76" s="1019">
        <f t="shared" ref="C76:L76" si="1">1-SUM(C69:C75)</f>
        <v>0.52582611669001078</v>
      </c>
      <c r="D76" s="1020">
        <f t="shared" si="1"/>
        <v>0.52200919144377766</v>
      </c>
      <c r="E76" s="1020">
        <f t="shared" si="1"/>
        <v>1</v>
      </c>
      <c r="F76" s="1020">
        <f t="shared" si="1"/>
        <v>1</v>
      </c>
      <c r="G76" s="1020">
        <f t="shared" si="1"/>
        <v>1</v>
      </c>
      <c r="H76" s="1020">
        <f t="shared" si="1"/>
        <v>1</v>
      </c>
      <c r="I76" s="1020">
        <f t="shared" si="1"/>
        <v>1</v>
      </c>
      <c r="J76" s="1020">
        <f t="shared" si="1"/>
        <v>1</v>
      </c>
      <c r="K76" s="1020">
        <f t="shared" si="1"/>
        <v>1</v>
      </c>
      <c r="L76" s="210">
        <f t="shared" si="1"/>
        <v>1</v>
      </c>
    </row>
    <row r="77" spans="1:25">
      <c r="A77" s="63"/>
      <c r="B77" s="571" t="s">
        <v>609</v>
      </c>
      <c r="C77" s="1021"/>
      <c r="D77" s="302"/>
      <c r="E77" s="302"/>
      <c r="F77" s="302"/>
      <c r="G77" s="302"/>
      <c r="H77" s="302"/>
      <c r="I77" s="302"/>
      <c r="J77" s="302"/>
      <c r="K77" s="302"/>
      <c r="L77" s="593"/>
      <c r="M77" s="565"/>
      <c r="N77" s="565"/>
    </row>
    <row r="78" spans="1:25">
      <c r="A78" s="63"/>
      <c r="B78" s="549" t="s">
        <v>182</v>
      </c>
      <c r="C78" s="1021">
        <f>IF(Vehi_Inputs!$B$8=2,C69,C60)</f>
        <v>0.15343673223141435</v>
      </c>
      <c r="D78" s="302">
        <f>IF(Vehi_Inputs!$B$8=2,D69,D60)</f>
        <v>0.28616405246234844</v>
      </c>
      <c r="E78" s="302">
        <f>IF(Vehi_Inputs!$B$8=2,E69,E60)</f>
        <v>0.22513089005235606</v>
      </c>
      <c r="F78" s="302">
        <f>IF(Vehi_Inputs!$B$8=2,F69,F60)</f>
        <v>0.2564410164565305</v>
      </c>
      <c r="G78" s="302">
        <f>IF(Vehi_Inputs!$B$8=2,G69,G60)</f>
        <v>0.22983981811668278</v>
      </c>
      <c r="H78" s="302">
        <f>IF(Vehi_Inputs!$B$8=2,H69,H60)</f>
        <v>0.25873756403418224</v>
      </c>
      <c r="I78" s="302">
        <f>IF(Vehi_Inputs!$B$8=2,I69,I60)</f>
        <v>4.5461302911814605E-2</v>
      </c>
      <c r="J78" s="302">
        <f>IF(Vehi_Inputs!$B$8=2,J69,J60)</f>
        <v>6.6029720728820074E-2</v>
      </c>
      <c r="K78" s="302">
        <f>IF(Vehi_Inputs!$B$8=2,K69,K60)</f>
        <v>8.2585249730536589E-2</v>
      </c>
      <c r="L78" s="593">
        <f>IF(Vehi_Inputs!$B$8=2,L69,L60)</f>
        <v>6.7044084031020329E-2</v>
      </c>
    </row>
    <row r="79" spans="1:25">
      <c r="A79" s="63"/>
      <c r="B79" s="549" t="s">
        <v>183</v>
      </c>
      <c r="C79" s="1021">
        <f>IF(Vehi_Inputs!$B$8=2,C70,C61)</f>
        <v>6.3105570480723405E-2</v>
      </c>
      <c r="D79" s="302">
        <f>IF(Vehi_Inputs!$B$8=2,D70,D61)</f>
        <v>6.1658062956724484E-2</v>
      </c>
      <c r="E79" s="302">
        <f>IF(Vehi_Inputs!$B$8=2,E70,E61)</f>
        <v>4.9892208192177392E-2</v>
      </c>
      <c r="F79" s="302">
        <f>IF(Vehi_Inputs!$B$8=2,F70,F61)</f>
        <v>5.9976770379984799E-2</v>
      </c>
      <c r="G79" s="302">
        <f>IF(Vehi_Inputs!$B$8=2,G70,G61)</f>
        <v>4.9629508737740163E-2</v>
      </c>
      <c r="H79" s="302">
        <f>IF(Vehi_Inputs!$B$8=2,H70,H61)</f>
        <v>5.9737911247593013E-2</v>
      </c>
      <c r="I79" s="302">
        <f>IF(Vehi_Inputs!$B$8=2,I70,I61)</f>
        <v>5.5890654199533756E-2</v>
      </c>
      <c r="J79" s="302">
        <f>IF(Vehi_Inputs!$B$8=2,J70,J61)</f>
        <v>6.9157304733175939E-2</v>
      </c>
      <c r="K79" s="302">
        <f>IF(Vehi_Inputs!$B$8=2,K70,K61)</f>
        <v>2.8134729281300157E-2</v>
      </c>
      <c r="L79" s="593">
        <f>IF(Vehi_Inputs!$B$8=2,L70,L61)</f>
        <v>3.2245216594726137E-2</v>
      </c>
    </row>
    <row r="80" spans="1:25">
      <c r="A80" s="63"/>
      <c r="B80" s="549" t="s">
        <v>184</v>
      </c>
      <c r="C80" s="1021">
        <f>IF(Vehi_Inputs!$B$8=2,C71,C62)</f>
        <v>0.25420370495753275</v>
      </c>
      <c r="D80" s="302">
        <f>IF(Vehi_Inputs!$B$8=2,D71,D62)</f>
        <v>0.23</v>
      </c>
      <c r="E80" s="302">
        <f>IF(Vehi_Inputs!$B$8=2,E71,E62)</f>
        <v>0.21564305507327783</v>
      </c>
      <c r="F80" s="302">
        <f>IF(Vehi_Inputs!$B$8=2,F71,F62)</f>
        <v>0.245</v>
      </c>
      <c r="G80" s="302">
        <f>IF(Vehi_Inputs!$B$8=2,G71,G62)</f>
        <v>0.21440294133376075</v>
      </c>
      <c r="H80" s="302">
        <f>IF(Vehi_Inputs!$B$8=2,H71,H62)</f>
        <v>0.25600000000000001</v>
      </c>
      <c r="I80" s="302">
        <f>IF(Vehi_Inputs!$B$8=2,I71,I62)</f>
        <v>0.24221267748836323</v>
      </c>
      <c r="J80" s="302">
        <f>IF(Vehi_Inputs!$B$8=2,J71,J62)</f>
        <v>0.312</v>
      </c>
      <c r="K80" s="302">
        <f>IF(Vehi_Inputs!$B$8=2,K71,K62)</f>
        <v>0.23470492031846918</v>
      </c>
      <c r="L80" s="593">
        <f>IF(Vehi_Inputs!$B$8=2,L71,L62)</f>
        <v>0.2729327261767891</v>
      </c>
    </row>
    <row r="81" spans="1:12">
      <c r="A81" s="63"/>
      <c r="B81" s="549" t="s">
        <v>185</v>
      </c>
      <c r="C81" s="1021">
        <f>IF(Vehi_Inputs!$B$8=2,C72,C63)</f>
        <v>0</v>
      </c>
      <c r="D81" s="302">
        <f>IF(Vehi_Inputs!$B$8=2,D72,D63)</f>
        <v>0</v>
      </c>
      <c r="E81" s="302">
        <f>IF(Vehi_Inputs!$B$8=2,E72,E63)</f>
        <v>2.125038497074222E-2</v>
      </c>
      <c r="F81" s="302">
        <f>IF(Vehi_Inputs!$B$8=2,F72,F63)</f>
        <v>1.5593960298796047E-2</v>
      </c>
      <c r="G81" s="302">
        <f>IF(Vehi_Inputs!$B$8=2,G72,G63)</f>
        <v>2.0832139470162537E-2</v>
      </c>
      <c r="H81" s="302">
        <f>IF(Vehi_Inputs!$B$8=2,H72,H63)</f>
        <v>1.6328362407675424E-2</v>
      </c>
      <c r="I81" s="302">
        <f>IF(Vehi_Inputs!$B$8=2,I72,I63)</f>
        <v>9.3151090332556238E-2</v>
      </c>
      <c r="J81" s="302">
        <f>IF(Vehi_Inputs!$B$8=2,J72,J63)</f>
        <v>6.7313109940291244E-2</v>
      </c>
      <c r="K81" s="302">
        <f>IF(Vehi_Inputs!$B$8=2,K72,K63)</f>
        <v>4.2202093921950262E-2</v>
      </c>
      <c r="L81" s="593">
        <f>IF(Vehi_Inputs!$B$8=2,L72,L63)</f>
        <v>4.4912980256939974E-2</v>
      </c>
    </row>
    <row r="82" spans="1:12">
      <c r="A82" s="63"/>
      <c r="B82" s="549" t="s">
        <v>186</v>
      </c>
      <c r="C82" s="1021">
        <f>IF(Vehi_Inputs!$B$8=2,C73,C64)</f>
        <v>0</v>
      </c>
      <c r="D82" s="302">
        <f>IF(Vehi_Inputs!$B$8=2,D73,D64)</f>
        <v>0</v>
      </c>
      <c r="E82" s="302">
        <f>IF(Vehi_Inputs!$B$8=2,E73,E64)</f>
        <v>2.125038497074222E-2</v>
      </c>
      <c r="F82" s="302">
        <f>IF(Vehi_Inputs!$B$8=2,F73,F64)</f>
        <v>1.5593960298796047E-2</v>
      </c>
      <c r="G82" s="302">
        <f>IF(Vehi_Inputs!$B$8=2,G73,G64)</f>
        <v>2.0832139470162537E-2</v>
      </c>
      <c r="H82" s="302">
        <f>IF(Vehi_Inputs!$B$8=2,H73,H64)</f>
        <v>1.6328362407675424E-2</v>
      </c>
      <c r="I82" s="302">
        <f>IF(Vehi_Inputs!$B$8=2,I73,I64)</f>
        <v>0</v>
      </c>
      <c r="J82" s="302">
        <f>IF(Vehi_Inputs!$B$8=2,J73,J64)</f>
        <v>0</v>
      </c>
      <c r="K82" s="302">
        <f>IF(Vehi_Inputs!$B$8=2,K73,K64)</f>
        <v>0</v>
      </c>
      <c r="L82" s="593">
        <f>IF(Vehi_Inputs!$B$8=2,L73,L64)</f>
        <v>0</v>
      </c>
    </row>
    <row r="83" spans="1:12">
      <c r="A83" s="63"/>
      <c r="B83" s="549" t="s">
        <v>187</v>
      </c>
      <c r="C83" s="1021">
        <f>IF(Vehi_Inputs!$B$8=2,C74,C65)</f>
        <v>0</v>
      </c>
      <c r="D83" s="302">
        <f>IF(Vehi_Inputs!$B$8=2,D74,D65)</f>
        <v>0</v>
      </c>
      <c r="E83" s="302">
        <f>IF(Vehi_Inputs!$B$8=2,E74,E65)</f>
        <v>1.7862642439174622E-2</v>
      </c>
      <c r="F83" s="302">
        <f>IF(Vehi_Inputs!$B$8=2,F74,F65)</f>
        <v>1.7999999999999999E-2</v>
      </c>
      <c r="G83" s="302">
        <f>IF(Vehi_Inputs!$B$8=2,G74,G65)</f>
        <v>1.8074944540288088E-2</v>
      </c>
      <c r="H83" s="302">
        <f>IF(Vehi_Inputs!$B$8=2,H74,H65)</f>
        <v>1.7000000000000001E-2</v>
      </c>
      <c r="I83" s="302">
        <f>IF(Vehi_Inputs!$B$8=2,I74,I65)</f>
        <v>5.8995690543952289E-2</v>
      </c>
      <c r="J83" s="302">
        <f>IF(Vehi_Inputs!$B$8=2,J74,J65)</f>
        <v>6.6000000000000003E-2</v>
      </c>
      <c r="K83" s="302">
        <f>IF(Vehi_Inputs!$B$8=2,K74,K65)</f>
        <v>3.6791569060161768E-2</v>
      </c>
      <c r="L83" s="593">
        <f>IF(Vehi_Inputs!$B$8=2,L74,L65)</f>
        <v>3.9154905865024597E-2</v>
      </c>
    </row>
    <row r="84" spans="1:12">
      <c r="A84" s="63"/>
      <c r="B84" s="549" t="s">
        <v>188</v>
      </c>
      <c r="C84" s="1021">
        <f>IF(Vehi_Inputs!$B$8=2,C75,C66)</f>
        <v>0</v>
      </c>
      <c r="D84" s="302">
        <f>IF(Vehi_Inputs!$B$8=2,D75,D66)</f>
        <v>0</v>
      </c>
      <c r="E84" s="302">
        <f>IF(Vehi_Inputs!$B$8=2,E75,E66)</f>
        <v>0</v>
      </c>
      <c r="F84" s="302">
        <f>IF(Vehi_Inputs!$B$8=2,F75,F66)</f>
        <v>0</v>
      </c>
      <c r="G84" s="302">
        <f>IF(Vehi_Inputs!$B$8=2,G75,G66)</f>
        <v>0</v>
      </c>
      <c r="H84" s="302">
        <f>IF(Vehi_Inputs!$B$8=2,H75,H66)</f>
        <v>0</v>
      </c>
      <c r="I84" s="302">
        <f>IF(Vehi_Inputs!$B$8=2,I75,I66)</f>
        <v>0</v>
      </c>
      <c r="J84" s="302">
        <f>IF(Vehi_Inputs!$B$8=2,J75,J66)</f>
        <v>0</v>
      </c>
      <c r="K84" s="302">
        <f>IF(Vehi_Inputs!$B$8=2,K75,K66)</f>
        <v>0.10184153134523673</v>
      </c>
      <c r="L84" s="593">
        <f>IF(Vehi_Inputs!$B$8=2,L75,L66)</f>
        <v>7.0854310741291837E-2</v>
      </c>
    </row>
    <row r="85" spans="1:12" ht="25.5">
      <c r="A85" s="63"/>
      <c r="B85" s="1018" t="s">
        <v>189</v>
      </c>
      <c r="C85" s="1019">
        <f t="shared" ref="C85:L85" si="2">1-SUM(C78:C84)</f>
        <v>0.52925399233032944</v>
      </c>
      <c r="D85" s="1020">
        <f t="shared" si="2"/>
        <v>0.42217788458092709</v>
      </c>
      <c r="E85" s="1020">
        <f t="shared" si="2"/>
        <v>0.44897043430152972</v>
      </c>
      <c r="F85" s="1020">
        <f t="shared" si="2"/>
        <v>0.38939429256589264</v>
      </c>
      <c r="G85" s="1020">
        <f t="shared" si="2"/>
        <v>0.44638850833120314</v>
      </c>
      <c r="H85" s="1020">
        <f t="shared" si="2"/>
        <v>0.37586779990287378</v>
      </c>
      <c r="I85" s="1020">
        <f t="shared" si="2"/>
        <v>0.50428858452377989</v>
      </c>
      <c r="J85" s="1020">
        <f t="shared" si="2"/>
        <v>0.41949986459771282</v>
      </c>
      <c r="K85" s="1020">
        <f t="shared" si="2"/>
        <v>0.4737399063423452</v>
      </c>
      <c r="L85" s="210">
        <f t="shared" si="2"/>
        <v>0.47285577633420806</v>
      </c>
    </row>
    <row r="86" spans="1:12">
      <c r="A86" s="63"/>
    </row>
    <row r="87" spans="1:12">
      <c r="A87" s="300" t="s">
        <v>649</v>
      </c>
      <c r="B87" s="1028"/>
      <c r="C87" s="302"/>
    </row>
    <row r="88" spans="1:12">
      <c r="A88" s="1028"/>
      <c r="B88" s="1631">
        <v>3</v>
      </c>
      <c r="C88" s="303"/>
      <c r="H88" s="302"/>
      <c r="J88" s="302"/>
      <c r="L88" s="302"/>
    </row>
    <row r="89" spans="1:12">
      <c r="A89" s="1028"/>
      <c r="B89" s="303"/>
      <c r="C89" s="303"/>
      <c r="H89" s="302"/>
      <c r="J89" s="302"/>
      <c r="L89" s="302"/>
    </row>
    <row r="90" spans="1:12">
      <c r="A90" s="63" t="s">
        <v>650</v>
      </c>
    </row>
    <row r="91" spans="1:12" ht="38.25">
      <c r="B91" s="1632"/>
      <c r="C91" s="1633" t="s">
        <v>141</v>
      </c>
      <c r="D91" s="1634" t="s">
        <v>142</v>
      </c>
      <c r="E91" s="1634" t="s">
        <v>143</v>
      </c>
      <c r="F91" s="1634" t="s">
        <v>144</v>
      </c>
      <c r="G91" s="1634" t="s">
        <v>145</v>
      </c>
      <c r="H91" s="1634" t="s">
        <v>146</v>
      </c>
      <c r="I91" s="1634" t="s">
        <v>147</v>
      </c>
      <c r="J91" s="1634" t="s">
        <v>148</v>
      </c>
      <c r="K91" s="1634" t="s">
        <v>149</v>
      </c>
      <c r="L91" s="1635" t="s">
        <v>150</v>
      </c>
    </row>
    <row r="92" spans="1:12">
      <c r="B92" s="686" t="s">
        <v>607</v>
      </c>
      <c r="C92" s="524">
        <v>20</v>
      </c>
      <c r="D92" s="524">
        <v>20</v>
      </c>
      <c r="E92" s="524">
        <v>20</v>
      </c>
      <c r="F92" s="524">
        <v>20</v>
      </c>
      <c r="G92" s="524">
        <v>20</v>
      </c>
      <c r="H92" s="524">
        <v>20</v>
      </c>
      <c r="I92" s="524">
        <v>20</v>
      </c>
      <c r="J92" s="524">
        <v>20</v>
      </c>
      <c r="K92" s="524">
        <v>20</v>
      </c>
      <c r="L92" s="1029">
        <v>20</v>
      </c>
    </row>
    <row r="93" spans="1:12">
      <c r="B93" s="483" t="s">
        <v>608</v>
      </c>
      <c r="C93" s="363">
        <v>22.5</v>
      </c>
      <c r="D93" s="363">
        <v>18</v>
      </c>
      <c r="E93" s="363" t="e">
        <v>#N/A</v>
      </c>
      <c r="F93" s="363" t="e">
        <v>#N/A</v>
      </c>
      <c r="G93" s="363" t="e">
        <v>#N/A</v>
      </c>
      <c r="H93" s="363" t="e">
        <v>#N/A</v>
      </c>
      <c r="I93" s="363" t="e">
        <v>#N/A</v>
      </c>
      <c r="J93" s="363" t="e">
        <v>#N/A</v>
      </c>
      <c r="K93" s="363" t="e">
        <v>#N/A</v>
      </c>
      <c r="L93" s="1013" t="e">
        <v>#N/A</v>
      </c>
    </row>
    <row r="94" spans="1:12">
      <c r="B94" s="905" t="s">
        <v>609</v>
      </c>
      <c r="C94" s="1030">
        <f>IF(Vehi_Inputs!$B$8=2,C93,C92)</f>
        <v>20</v>
      </c>
      <c r="D94" s="1030">
        <f>IF(Vehi_Inputs!$B$8=2,D93,D92)</f>
        <v>20</v>
      </c>
      <c r="E94" s="1030">
        <f>IF(Vehi_Inputs!$B$8=2,E93,E92)</f>
        <v>20</v>
      </c>
      <c r="F94" s="1030">
        <f>IF(Vehi_Inputs!$B$8=2,F93,F92)</f>
        <v>20</v>
      </c>
      <c r="G94" s="1030">
        <f>IF(Vehi_Inputs!$B$8=2,G93,G92)</f>
        <v>20</v>
      </c>
      <c r="H94" s="1030">
        <f>IF(Vehi_Inputs!$B$8=2,H93,H92)</f>
        <v>20</v>
      </c>
      <c r="I94" s="1030">
        <f>IF(Vehi_Inputs!$B$8=2,I93,I92)</f>
        <v>20</v>
      </c>
      <c r="J94" s="1030">
        <f>IF(Vehi_Inputs!$B$8=2,J93,J92)</f>
        <v>20</v>
      </c>
      <c r="K94" s="1030">
        <f>IF(Vehi_Inputs!$B$8=2,K93,K92)</f>
        <v>20</v>
      </c>
      <c r="L94" s="1031">
        <f>IF(Vehi_Inputs!$B$8=2,L93,L92)</f>
        <v>20</v>
      </c>
    </row>
    <row r="95" spans="1:12">
      <c r="A95" s="63"/>
    </row>
    <row r="96" spans="1:12" ht="15">
      <c r="A96" s="301" t="s">
        <v>651</v>
      </c>
      <c r="B96" s="303"/>
      <c r="C96" s="303"/>
      <c r="H96" s="302"/>
      <c r="J96" s="302"/>
      <c r="L96" s="302"/>
    </row>
    <row r="97" spans="1:12">
      <c r="A97" s="300" t="s">
        <v>652</v>
      </c>
      <c r="B97" s="1028"/>
      <c r="C97" s="303"/>
      <c r="H97" s="302"/>
      <c r="J97" s="302"/>
      <c r="L97" s="302"/>
    </row>
    <row r="98" spans="1:12">
      <c r="A98" s="63"/>
      <c r="B98" s="1636"/>
      <c r="C98" s="1637" t="s">
        <v>154</v>
      </c>
      <c r="D98" s="1638" t="s">
        <v>155</v>
      </c>
      <c r="H98" s="302"/>
      <c r="J98" s="302"/>
      <c r="L98" s="302"/>
    </row>
    <row r="99" spans="1:12">
      <c r="A99" s="63"/>
      <c r="B99" s="549" t="s">
        <v>143</v>
      </c>
      <c r="C99" s="2569">
        <f>C260</f>
        <v>39.560558799999995</v>
      </c>
      <c r="D99" s="2569">
        <f>C260</f>
        <v>39.560558799999995</v>
      </c>
      <c r="H99" s="302"/>
      <c r="J99" s="302"/>
    </row>
    <row r="100" spans="1:12">
      <c r="A100" s="63"/>
      <c r="B100" s="549" t="s">
        <v>144</v>
      </c>
      <c r="C100" s="2569">
        <v>27.316800000000004</v>
      </c>
      <c r="D100" s="2569">
        <v>27.316800000000004</v>
      </c>
      <c r="H100" s="302"/>
      <c r="J100" s="302"/>
    </row>
    <row r="101" spans="1:12">
      <c r="A101" s="63"/>
      <c r="B101" s="549" t="s">
        <v>149</v>
      </c>
      <c r="C101" s="2569">
        <f>D260</f>
        <v>36.263845600000003</v>
      </c>
      <c r="D101" s="2569">
        <f>D260</f>
        <v>36.263845600000003</v>
      </c>
    </row>
    <row r="102" spans="1:12">
      <c r="A102" s="63"/>
      <c r="B102" s="559" t="s">
        <v>150</v>
      </c>
      <c r="C102" s="2570">
        <v>34.146000000000001</v>
      </c>
      <c r="D102" s="2570">
        <v>34.146000000000001</v>
      </c>
    </row>
    <row r="103" spans="1:12">
      <c r="A103" s="63"/>
    </row>
    <row r="104" spans="1:12">
      <c r="A104" s="300" t="s">
        <v>653</v>
      </c>
    </row>
    <row r="105" spans="1:12">
      <c r="A105" s="63"/>
      <c r="B105" s="1636"/>
      <c r="C105" s="1826" t="s">
        <v>154</v>
      </c>
      <c r="D105" s="1827" t="s">
        <v>155</v>
      </c>
      <c r="F105" s="523" t="s">
        <v>2316</v>
      </c>
      <c r="G105" s="524" t="s">
        <v>2313</v>
      </c>
      <c r="H105" s="524" t="s">
        <v>2315</v>
      </c>
      <c r="I105" s="1029" t="s">
        <v>2314</v>
      </c>
    </row>
    <row r="106" spans="1:12">
      <c r="A106" s="63"/>
      <c r="B106" s="549" t="s">
        <v>145</v>
      </c>
      <c r="C106" s="2571">
        <f>IF(GREET1_Import_Export!$D$12=20,F106,IF(GREET1_Import_Export!$D$12=30,G106,IF(GREET1_Import_Export!$D$12=40,H106,I106)))</f>
        <v>8.1696384000000002</v>
      </c>
      <c r="D106" s="2572">
        <f>IF(GREET1_Import_Export!$D$12=20,F106,IF(GREET1_Import_Export!$D$12=30,G106,IF(GREET1_Import_Export!$D$12=40,H106,I106)))</f>
        <v>8.1696384000000002</v>
      </c>
      <c r="F106" s="2579">
        <f>C249</f>
        <v>8.1696384000000002</v>
      </c>
      <c r="G106" s="2582">
        <v>11.463488666666668</v>
      </c>
      <c r="H106" s="2582">
        <v>15.273377999999999</v>
      </c>
      <c r="I106" s="2583">
        <f>D249</f>
        <v>18.619009900000002</v>
      </c>
    </row>
    <row r="107" spans="1:12">
      <c r="A107" s="63"/>
      <c r="B107" s="549" t="s">
        <v>146</v>
      </c>
      <c r="C107" s="2573">
        <f>IF(GREET1_Import_Export!$D$12=20,F107,IF(GREET1_Import_Export!$D$12=30,G107,IF(GREET1_Import_Export!$D$12=40,H107,I107)))</f>
        <v>6.4982500000000005</v>
      </c>
      <c r="D107" s="2574">
        <f>IF(GREET1_Import_Export!$D$12=20,F107,IF(GREET1_Import_Export!$D$12=30,G107,IF(GREET1_Import_Export!$D$12=40,H107,I107)))</f>
        <v>6.4982500000000005</v>
      </c>
      <c r="F107" s="2580">
        <v>6.4982500000000005</v>
      </c>
      <c r="G107" s="1032">
        <v>8.9012793333333331</v>
      </c>
      <c r="H107" s="1032">
        <v>11.9198445</v>
      </c>
      <c r="I107" s="1821">
        <v>11.9198445</v>
      </c>
    </row>
    <row r="108" spans="1:12">
      <c r="A108" s="63"/>
      <c r="B108" s="549" t="s">
        <v>147</v>
      </c>
      <c r="C108" s="2575">
        <f>IF(GREET1_Import_Export!$G$12=200,F108,IF(GREET1_Import_Export!$G$12=300,G108,IF(GREET1_Import_Export!$G$12=400,H108,I108)))</f>
        <v>74.311063200000007</v>
      </c>
      <c r="D108" s="2576">
        <f>IF(GREET1_Import_Export!$G$12=200,F108,IF(GREET1_Import_Export!$G$12=300,G108,IF(GREET1_Import_Export!$G$12=400,H108,I108)))</f>
        <v>74.311063200000007</v>
      </c>
      <c r="F108" s="2580">
        <f>E249</f>
        <v>47.163772799999997</v>
      </c>
      <c r="G108" s="1032">
        <f>F249</f>
        <v>74.311063200000007</v>
      </c>
      <c r="H108" s="1032">
        <f>G249</f>
        <v>109.87475040000001</v>
      </c>
      <c r="I108" s="2584">
        <f>H249</f>
        <v>154.3368816</v>
      </c>
    </row>
    <row r="109" spans="1:12">
      <c r="A109" s="63"/>
      <c r="B109" s="559" t="s">
        <v>148</v>
      </c>
      <c r="C109" s="2577">
        <f>IF(GREET1_Import_Export!$G$12=200,F109,IF(GREET1_Import_Export!$G$12=300,G109,IF(GREET1_Import_Export!$G$12=400,H109,I109)))</f>
        <v>63.753</v>
      </c>
      <c r="D109" s="2578">
        <f>IF(GREET1_Import_Export!$G$12=200,F109,IF(GREET1_Import_Export!$G$12=300,G109,IF(GREET1_Import_Export!$G$12=400,H109,I109)))</f>
        <v>63.753</v>
      </c>
      <c r="F109" s="2581">
        <v>63.753</v>
      </c>
      <c r="G109" s="1824">
        <v>63.753</v>
      </c>
      <c r="H109" s="1824">
        <v>63.753</v>
      </c>
      <c r="I109" s="1825">
        <v>63.753</v>
      </c>
    </row>
    <row r="110" spans="1:12" s="1028" customFormat="1">
      <c r="A110" s="313"/>
      <c r="B110" s="1034"/>
      <c r="C110" s="1035"/>
      <c r="D110" s="1035"/>
    </row>
    <row r="111" spans="1:12" s="1028" customFormat="1">
      <c r="A111" s="63" t="s">
        <v>658</v>
      </c>
      <c r="B111" s="521"/>
      <c r="C111" s="521"/>
      <c r="D111" s="521"/>
      <c r="E111" s="521"/>
    </row>
    <row r="112" spans="1:12" s="1028" customFormat="1">
      <c r="A112" s="521"/>
      <c r="B112" s="1426"/>
      <c r="C112" s="1639" t="s">
        <v>153</v>
      </c>
      <c r="D112" s="1639" t="s">
        <v>154</v>
      </c>
      <c r="E112" s="1606" t="s">
        <v>200</v>
      </c>
    </row>
    <row r="113" spans="1:32" s="1028" customFormat="1">
      <c r="A113" s="521"/>
      <c r="B113" s="549" t="s">
        <v>203</v>
      </c>
      <c r="C113" s="1036">
        <v>2</v>
      </c>
      <c r="D113" s="303"/>
      <c r="E113" s="1037"/>
    </row>
    <row r="114" spans="1:32" s="1028" customFormat="1">
      <c r="A114" s="521"/>
      <c r="B114" s="549" t="s">
        <v>194</v>
      </c>
      <c r="C114" s="1036">
        <v>2</v>
      </c>
      <c r="D114" s="1036">
        <v>0</v>
      </c>
      <c r="E114" s="1038">
        <v>0</v>
      </c>
    </row>
    <row r="115" spans="1:32" s="1028" customFormat="1">
      <c r="A115" s="521"/>
      <c r="B115" s="549" t="s">
        <v>166</v>
      </c>
      <c r="C115" s="1036">
        <v>2</v>
      </c>
      <c r="D115" s="1036">
        <v>0</v>
      </c>
      <c r="E115" s="1038">
        <v>0</v>
      </c>
    </row>
    <row r="116" spans="1:32" s="1028" customFormat="1">
      <c r="A116" s="521"/>
      <c r="B116" s="549" t="s">
        <v>167</v>
      </c>
      <c r="C116" s="1036">
        <v>2</v>
      </c>
      <c r="D116" s="1036">
        <v>0</v>
      </c>
      <c r="E116" s="1038">
        <v>0</v>
      </c>
    </row>
    <row r="117" spans="1:32">
      <c r="B117" s="559" t="s">
        <v>198</v>
      </c>
      <c r="C117" s="1039">
        <v>2</v>
      </c>
      <c r="D117" s="1039">
        <v>0</v>
      </c>
      <c r="E117" s="1040">
        <v>0</v>
      </c>
    </row>
    <row r="118" spans="1:32">
      <c r="B118" s="1041"/>
      <c r="C118" s="1042"/>
      <c r="D118" s="1042"/>
      <c r="E118" s="1042"/>
    </row>
    <row r="119" spans="1:32" ht="15">
      <c r="A119" s="301" t="s">
        <v>659</v>
      </c>
      <c r="B119" s="303"/>
      <c r="C119" s="303"/>
      <c r="D119" s="303"/>
      <c r="E119" s="303"/>
      <c r="F119" s="1028"/>
      <c r="G119" s="1028"/>
      <c r="H119" s="1028"/>
    </row>
    <row r="120" spans="1:32" ht="25.5">
      <c r="A120" s="1028"/>
      <c r="B120" s="1640" t="s">
        <v>157</v>
      </c>
      <c r="C120" s="1641" t="s">
        <v>158</v>
      </c>
      <c r="D120" s="1641" t="s">
        <v>159</v>
      </c>
      <c r="E120" s="1641" t="s">
        <v>160</v>
      </c>
      <c r="F120" s="1641" t="s">
        <v>161</v>
      </c>
      <c r="G120" s="1641" t="s">
        <v>162</v>
      </c>
      <c r="H120" s="1642" t="s">
        <v>163</v>
      </c>
    </row>
    <row r="121" spans="1:32">
      <c r="A121" s="1028"/>
      <c r="B121" s="305">
        <v>39</v>
      </c>
      <c r="C121" s="306">
        <v>0</v>
      </c>
      <c r="D121" s="306">
        <v>3</v>
      </c>
      <c r="E121" s="306">
        <v>1</v>
      </c>
      <c r="F121" s="306">
        <v>3</v>
      </c>
      <c r="G121" s="306">
        <v>19</v>
      </c>
      <c r="H121" s="307">
        <v>0</v>
      </c>
    </row>
    <row r="122" spans="1:32">
      <c r="A122" s="63"/>
    </row>
    <row r="123" spans="1:32" ht="15">
      <c r="A123" s="134" t="s">
        <v>660</v>
      </c>
    </row>
    <row r="124" spans="1:32" ht="38.25">
      <c r="B124" s="1192"/>
      <c r="C124" s="1474" t="s">
        <v>141</v>
      </c>
      <c r="D124" s="1474" t="s">
        <v>142</v>
      </c>
      <c r="E124" s="1474" t="s">
        <v>143</v>
      </c>
      <c r="F124" s="1474" t="s">
        <v>144</v>
      </c>
      <c r="G124" s="1474" t="s">
        <v>145</v>
      </c>
      <c r="H124" s="1474" t="s">
        <v>146</v>
      </c>
      <c r="I124" s="1474" t="s">
        <v>147</v>
      </c>
      <c r="J124" s="1474" t="s">
        <v>148</v>
      </c>
      <c r="K124" s="1474" t="s">
        <v>149</v>
      </c>
      <c r="L124" s="1193" t="s">
        <v>150</v>
      </c>
    </row>
    <row r="125" spans="1:32">
      <c r="B125" s="1005" t="s">
        <v>643</v>
      </c>
      <c r="C125" s="1043">
        <v>173151</v>
      </c>
      <c r="D125" s="1043">
        <v>173151</v>
      </c>
      <c r="E125" s="1043">
        <v>173151</v>
      </c>
      <c r="F125" s="1043">
        <v>173151</v>
      </c>
      <c r="G125" s="1043">
        <v>173151</v>
      </c>
      <c r="H125" s="1043">
        <v>173151</v>
      </c>
      <c r="I125" s="1043">
        <f>173151*IF(GREET1_Import_Export!G12&lt;=100,0.7,1)</f>
        <v>173151</v>
      </c>
      <c r="J125" s="1043">
        <f>173151*IF(GREET1_Import_Export!G12&lt;=100,0.7,1)</f>
        <v>173151</v>
      </c>
      <c r="K125" s="1043">
        <v>173151</v>
      </c>
      <c r="L125" s="1044">
        <v>173151</v>
      </c>
    </row>
    <row r="127" spans="1:32" ht="15">
      <c r="A127" s="134" t="s">
        <v>661</v>
      </c>
    </row>
    <row r="128" spans="1:32" ht="15">
      <c r="A128" s="134"/>
      <c r="B128" s="686"/>
      <c r="C128" s="3005" t="s">
        <v>662</v>
      </c>
      <c r="D128" s="3005"/>
      <c r="E128" s="3005"/>
      <c r="F128" s="3005"/>
      <c r="G128" s="3005"/>
      <c r="H128" s="3005"/>
      <c r="I128" s="3005"/>
      <c r="J128" s="3005"/>
      <c r="K128" s="3005"/>
      <c r="L128" s="3006"/>
      <c r="M128" s="3007" t="s">
        <v>607</v>
      </c>
      <c r="N128" s="3005"/>
      <c r="O128" s="3005"/>
      <c r="P128" s="3005"/>
      <c r="Q128" s="3005"/>
      <c r="R128" s="3005"/>
      <c r="S128" s="3005"/>
      <c r="T128" s="3005"/>
      <c r="U128" s="3005"/>
      <c r="V128" s="3006"/>
      <c r="W128" s="3007" t="s">
        <v>608</v>
      </c>
      <c r="X128" s="3005"/>
      <c r="Y128" s="3005"/>
      <c r="Z128" s="3005"/>
      <c r="AA128" s="3005"/>
      <c r="AB128" s="3005"/>
      <c r="AC128" s="3005"/>
      <c r="AD128" s="3005"/>
      <c r="AE128" s="3005"/>
      <c r="AF128" s="3006"/>
    </row>
    <row r="129" spans="2:32" ht="38.25">
      <c r="B129" s="355"/>
      <c r="C129" s="1045" t="s">
        <v>141</v>
      </c>
      <c r="D129" s="1045" t="s">
        <v>142</v>
      </c>
      <c r="E129" s="1045" t="s">
        <v>143</v>
      </c>
      <c r="F129" s="1045" t="s">
        <v>144</v>
      </c>
      <c r="G129" s="1045" t="s">
        <v>145</v>
      </c>
      <c r="H129" s="1045" t="s">
        <v>146</v>
      </c>
      <c r="I129" s="1045" t="s">
        <v>147</v>
      </c>
      <c r="J129" s="1045" t="s">
        <v>148</v>
      </c>
      <c r="K129" s="1045" t="s">
        <v>149</v>
      </c>
      <c r="L129" s="1046" t="s">
        <v>150</v>
      </c>
      <c r="M129" s="1640" t="s">
        <v>141</v>
      </c>
      <c r="N129" s="1641" t="s">
        <v>142</v>
      </c>
      <c r="O129" s="1641" t="s">
        <v>143</v>
      </c>
      <c r="P129" s="1641" t="s">
        <v>144</v>
      </c>
      <c r="Q129" s="1641" t="s">
        <v>145</v>
      </c>
      <c r="R129" s="1641" t="s">
        <v>146</v>
      </c>
      <c r="S129" s="1641" t="s">
        <v>147</v>
      </c>
      <c r="T129" s="1641" t="s">
        <v>148</v>
      </c>
      <c r="U129" s="1641" t="s">
        <v>149</v>
      </c>
      <c r="V129" s="1643" t="s">
        <v>150</v>
      </c>
      <c r="W129" s="1640" t="s">
        <v>141</v>
      </c>
      <c r="X129" s="1641" t="s">
        <v>142</v>
      </c>
      <c r="Y129" s="1641" t="s">
        <v>143</v>
      </c>
      <c r="Z129" s="1641" t="s">
        <v>144</v>
      </c>
      <c r="AA129" s="1641" t="s">
        <v>145</v>
      </c>
      <c r="AB129" s="1641" t="s">
        <v>146</v>
      </c>
      <c r="AC129" s="1641" t="s">
        <v>147</v>
      </c>
      <c r="AD129" s="1641" t="s">
        <v>148</v>
      </c>
      <c r="AE129" s="1641" t="s">
        <v>149</v>
      </c>
      <c r="AF129" s="1643" t="s">
        <v>150</v>
      </c>
    </row>
    <row r="130" spans="2:32">
      <c r="B130" s="482" t="s">
        <v>250</v>
      </c>
      <c r="C130" s="1047"/>
      <c r="D130" s="1047"/>
      <c r="E130" s="1047"/>
      <c r="F130" s="1047"/>
      <c r="G130" s="1047"/>
      <c r="H130" s="1047"/>
      <c r="I130" s="1047"/>
      <c r="J130" s="1047"/>
      <c r="K130" s="1047"/>
      <c r="L130" s="1048"/>
      <c r="M130" s="661"/>
      <c r="N130" s="363"/>
      <c r="O130" s="363"/>
      <c r="P130" s="363"/>
      <c r="Q130" s="363"/>
      <c r="R130" s="363"/>
      <c r="S130" s="363"/>
      <c r="T130" s="363"/>
      <c r="U130" s="363"/>
      <c r="V130" s="1013"/>
      <c r="W130" s="661"/>
      <c r="X130" s="363"/>
      <c r="Y130" s="363"/>
      <c r="Z130" s="363"/>
      <c r="AA130" s="363"/>
      <c r="AB130" s="363"/>
      <c r="AC130" s="363"/>
      <c r="AD130" s="363"/>
      <c r="AE130" s="363"/>
      <c r="AF130" s="1013"/>
    </row>
    <row r="131" spans="2:32">
      <c r="B131" s="488" t="s">
        <v>251</v>
      </c>
      <c r="C131" s="1049">
        <f>IF(Vehi_Inputs!$B$8=2,W131,M131)</f>
        <v>0.65277705820941678</v>
      </c>
      <c r="D131" s="1049">
        <f>IF(Vehi_Inputs!$B$8=2,X131,N131)</f>
        <v>0.111</v>
      </c>
      <c r="E131" s="1049">
        <f>IF(Vehi_Inputs!$B$8=2,Y131,O131)</f>
        <v>0.65277705820941678</v>
      </c>
      <c r="F131" s="1049">
        <f>IF(Vehi_Inputs!$B$8=2,Z131,P131)</f>
        <v>0.108</v>
      </c>
      <c r="G131" s="1049">
        <f>IF(Vehi_Inputs!$B$8=2,AA131,Q131)</f>
        <v>0.65277705820941678</v>
      </c>
      <c r="H131" s="1049">
        <f>IF(Vehi_Inputs!$B$8=2,AB131,R131)</f>
        <v>0.105</v>
      </c>
      <c r="I131" s="1049">
        <f>IF(Vehi_Inputs!$B$8=2,AC131,S131)</f>
        <v>0.65277705820941678</v>
      </c>
      <c r="J131" s="1049">
        <f>IF(Vehi_Inputs!$B$8=2,AD131,T131)</f>
        <v>0.10299999999999999</v>
      </c>
      <c r="K131" s="1049">
        <f>IF(Vehi_Inputs!$B$8=2,AE131,U131)</f>
        <v>0.65277705820941678</v>
      </c>
      <c r="L131" s="1049">
        <f>IF(Vehi_Inputs!$B$8=2,AF131,V131)</f>
        <v>0.10299999999999999</v>
      </c>
      <c r="M131" s="1243">
        <v>0.65277705820941678</v>
      </c>
      <c r="N131" s="1058">
        <v>0.111</v>
      </c>
      <c r="O131" s="1058">
        <v>0.65277705820941678</v>
      </c>
      <c r="P131" s="1058">
        <v>0.108</v>
      </c>
      <c r="Q131" s="1058">
        <v>0.65277705820941678</v>
      </c>
      <c r="R131" s="1058">
        <v>0.105</v>
      </c>
      <c r="S131" s="1058">
        <v>0.65277705820941678</v>
      </c>
      <c r="T131" s="1058">
        <v>0.10299999999999999</v>
      </c>
      <c r="U131" s="1058">
        <v>0.65277705820941678</v>
      </c>
      <c r="V131" s="1475">
        <v>0.10299999999999999</v>
      </c>
      <c r="W131" s="1026">
        <v>0.72631219645582856</v>
      </c>
      <c r="X131" s="1027">
        <v>0.55091411552399427</v>
      </c>
      <c r="Y131" s="1027">
        <v>0</v>
      </c>
      <c r="Z131" s="1027">
        <v>0</v>
      </c>
      <c r="AA131" s="1027">
        <v>0</v>
      </c>
      <c r="AB131" s="1027">
        <v>0</v>
      </c>
      <c r="AC131" s="1027">
        <v>0</v>
      </c>
      <c r="AD131" s="1027">
        <v>0</v>
      </c>
      <c r="AE131" s="1027">
        <v>0</v>
      </c>
      <c r="AF131" s="1050">
        <v>0</v>
      </c>
    </row>
    <row r="132" spans="2:32">
      <c r="B132" s="488" t="s">
        <v>252</v>
      </c>
      <c r="C132" s="1049">
        <f>IF(Vehi_Inputs!$B$8=2,W132,M132)</f>
        <v>3.0699147135276265E-2</v>
      </c>
      <c r="D132" s="1049">
        <f>IF(Vehi_Inputs!$B$8=2,X132,N132)</f>
        <v>9.0999999999999998E-2</v>
      </c>
      <c r="E132" s="1049">
        <f>IF(Vehi_Inputs!$B$8=2,Y132,O132)</f>
        <v>3.0699147135276265E-2</v>
      </c>
      <c r="F132" s="1049">
        <f>IF(Vehi_Inputs!$B$8=2,Z132,P132)</f>
        <v>8.8999999999999996E-2</v>
      </c>
      <c r="G132" s="1049">
        <f>IF(Vehi_Inputs!$B$8=2,AA132,Q132)</f>
        <v>3.0699147135276265E-2</v>
      </c>
      <c r="H132" s="1049">
        <f>IF(Vehi_Inputs!$B$8=2,AB132,R132)</f>
        <v>6.7000000000000004E-2</v>
      </c>
      <c r="I132" s="1049">
        <f>IF(Vehi_Inputs!$B$8=2,AC132,S132)</f>
        <v>3.0699147135276265E-2</v>
      </c>
      <c r="J132" s="1049">
        <f>IF(Vehi_Inputs!$B$8=2,AD132,T132)</f>
        <v>6.6000000000000003E-2</v>
      </c>
      <c r="K132" s="1049">
        <f>IF(Vehi_Inputs!$B$8=2,AE132,U132)</f>
        <v>3.0699147135276265E-2</v>
      </c>
      <c r="L132" s="1049">
        <f>IF(Vehi_Inputs!$B$8=2,AF132,V132)</f>
        <v>8.5000000000000006E-2</v>
      </c>
      <c r="M132" s="1243">
        <v>3.0699147135276265E-2</v>
      </c>
      <c r="N132" s="1058">
        <v>9.0999999999999998E-2</v>
      </c>
      <c r="O132" s="1058">
        <v>3.0699147135276265E-2</v>
      </c>
      <c r="P132" s="1058">
        <v>8.8999999999999996E-2</v>
      </c>
      <c r="Q132" s="1058">
        <v>3.0699147135276265E-2</v>
      </c>
      <c r="R132" s="1058">
        <v>6.7000000000000004E-2</v>
      </c>
      <c r="S132" s="1058">
        <v>3.0699147135276265E-2</v>
      </c>
      <c r="T132" s="1058">
        <v>6.6000000000000003E-2</v>
      </c>
      <c r="U132" s="1058">
        <v>3.0699147135276265E-2</v>
      </c>
      <c r="V132" s="1475">
        <v>8.5000000000000006E-2</v>
      </c>
      <c r="W132" s="1026">
        <v>9.0988210582451136E-3</v>
      </c>
      <c r="X132" s="1027">
        <v>8.1950359871262465E-2</v>
      </c>
      <c r="Y132" s="1027">
        <v>0</v>
      </c>
      <c r="Z132" s="1027">
        <v>0</v>
      </c>
      <c r="AA132" s="1027">
        <v>0</v>
      </c>
      <c r="AB132" s="1027">
        <v>0</v>
      </c>
      <c r="AC132" s="1027">
        <v>0</v>
      </c>
      <c r="AD132" s="1027">
        <v>0</v>
      </c>
      <c r="AE132" s="1027">
        <v>0</v>
      </c>
      <c r="AF132" s="1050">
        <v>0</v>
      </c>
    </row>
    <row r="133" spans="2:32">
      <c r="B133" s="488" t="s">
        <v>253</v>
      </c>
      <c r="C133" s="1049">
        <f>IF(Vehi_Inputs!$B$8=2,W133,M133)</f>
        <v>1.6460795893228374E-3</v>
      </c>
      <c r="D133" s="1049">
        <f>IF(Vehi_Inputs!$B$8=2,X133,N133)</f>
        <v>0</v>
      </c>
      <c r="E133" s="1049">
        <f>IF(Vehi_Inputs!$B$8=2,Y133,O133)</f>
        <v>1.6460795893228374E-3</v>
      </c>
      <c r="F133" s="1049">
        <f>IF(Vehi_Inputs!$B$8=2,Z133,P133)</f>
        <v>0</v>
      </c>
      <c r="G133" s="1049">
        <f>IF(Vehi_Inputs!$B$8=2,AA133,Q133)</f>
        <v>1.6460795893228374E-3</v>
      </c>
      <c r="H133" s="1049">
        <f>IF(Vehi_Inputs!$B$8=2,AB133,R133)</f>
        <v>0</v>
      </c>
      <c r="I133" s="1049">
        <f>IF(Vehi_Inputs!$B$8=2,AC133,S133)</f>
        <v>1.6460795893228374E-3</v>
      </c>
      <c r="J133" s="1049">
        <f>IF(Vehi_Inputs!$B$8=2,AD133,T133)</f>
        <v>0</v>
      </c>
      <c r="K133" s="1049">
        <f>IF(Vehi_Inputs!$B$8=2,AE133,U133)</f>
        <v>1.6460795893228374E-3</v>
      </c>
      <c r="L133" s="1049">
        <f>IF(Vehi_Inputs!$B$8=2,AF133,V133)</f>
        <v>0</v>
      </c>
      <c r="M133" s="1243">
        <v>1.6460795893228374E-3</v>
      </c>
      <c r="N133" s="1058">
        <v>0</v>
      </c>
      <c r="O133" s="1058">
        <v>1.6460795893228374E-3</v>
      </c>
      <c r="P133" s="1058">
        <v>0</v>
      </c>
      <c r="Q133" s="1058">
        <v>1.6460795893228374E-3</v>
      </c>
      <c r="R133" s="1058">
        <v>0</v>
      </c>
      <c r="S133" s="1058">
        <v>1.6460795893228374E-3</v>
      </c>
      <c r="T133" s="1058">
        <v>0</v>
      </c>
      <c r="U133" s="1058">
        <v>1.6460795893228374E-3</v>
      </c>
      <c r="V133" s="1475">
        <v>0</v>
      </c>
      <c r="W133" s="1026">
        <v>3.1194477774784857E-3</v>
      </c>
      <c r="X133" s="1027">
        <v>9.1474005240040328E-3</v>
      </c>
      <c r="Y133" s="1027">
        <v>0</v>
      </c>
      <c r="Z133" s="1027">
        <v>0</v>
      </c>
      <c r="AA133" s="1027">
        <v>0</v>
      </c>
      <c r="AB133" s="1027">
        <v>0</v>
      </c>
      <c r="AC133" s="1027">
        <v>0</v>
      </c>
      <c r="AD133" s="1027">
        <v>0</v>
      </c>
      <c r="AE133" s="1027">
        <v>0</v>
      </c>
      <c r="AF133" s="1050">
        <v>0</v>
      </c>
    </row>
    <row r="134" spans="2:32">
      <c r="B134" s="488" t="s">
        <v>254</v>
      </c>
      <c r="C134" s="1049">
        <f>IF(Vehi_Inputs!$B$8=2,W134,M134)</f>
        <v>1.8986305664788112E-2</v>
      </c>
      <c r="D134" s="1049">
        <f>IF(Vehi_Inputs!$B$8=2,X134,N134)</f>
        <v>3.5999999999999997E-2</v>
      </c>
      <c r="E134" s="1049">
        <f>IF(Vehi_Inputs!$B$8=2,Y134,O134)</f>
        <v>1.8986305664788112E-2</v>
      </c>
      <c r="F134" s="1049">
        <f>IF(Vehi_Inputs!$B$8=2,Z134,P134)</f>
        <v>3.5000000000000003E-2</v>
      </c>
      <c r="G134" s="1049">
        <f>IF(Vehi_Inputs!$B$8=2,AA134,Q134)</f>
        <v>1.8986305664788112E-2</v>
      </c>
      <c r="H134" s="1049">
        <f>IF(Vehi_Inputs!$B$8=2,AB134,R134)</f>
        <v>3.4000000000000002E-2</v>
      </c>
      <c r="I134" s="1049">
        <f>IF(Vehi_Inputs!$B$8=2,AC134,S134)</f>
        <v>1.8986305664788112E-2</v>
      </c>
      <c r="J134" s="1049">
        <f>IF(Vehi_Inputs!$B$8=2,AD134,T134)</f>
        <v>3.3000000000000002E-2</v>
      </c>
      <c r="K134" s="1049">
        <f>IF(Vehi_Inputs!$B$8=2,AE134,U134)</f>
        <v>1.8986305664788112E-2</v>
      </c>
      <c r="L134" s="1049">
        <f>IF(Vehi_Inputs!$B$8=2,AF134,V134)</f>
        <v>3.3000000000000002E-2</v>
      </c>
      <c r="M134" s="1243">
        <v>1.8986305664788112E-2</v>
      </c>
      <c r="N134" s="1058">
        <v>3.5999999999999997E-2</v>
      </c>
      <c r="O134" s="1058">
        <v>1.8986305664788112E-2</v>
      </c>
      <c r="P134" s="1058">
        <v>3.5000000000000003E-2</v>
      </c>
      <c r="Q134" s="1058">
        <v>1.8986305664788112E-2</v>
      </c>
      <c r="R134" s="1058">
        <v>3.4000000000000002E-2</v>
      </c>
      <c r="S134" s="1058">
        <v>1.8986305664788112E-2</v>
      </c>
      <c r="T134" s="1058">
        <v>3.3000000000000002E-2</v>
      </c>
      <c r="U134" s="1058">
        <v>1.8986305664788112E-2</v>
      </c>
      <c r="V134" s="1475">
        <v>3.3000000000000002E-2</v>
      </c>
      <c r="W134" s="1026">
        <v>4.6636274837905736E-3</v>
      </c>
      <c r="X134" s="1027">
        <v>3.7718234306474445E-3</v>
      </c>
      <c r="Y134" s="1027">
        <v>0</v>
      </c>
      <c r="Z134" s="1027">
        <v>0</v>
      </c>
      <c r="AA134" s="1027">
        <v>0</v>
      </c>
      <c r="AB134" s="1027">
        <v>0</v>
      </c>
      <c r="AC134" s="1027">
        <v>0</v>
      </c>
      <c r="AD134" s="1027">
        <v>0</v>
      </c>
      <c r="AE134" s="1027">
        <v>0</v>
      </c>
      <c r="AF134" s="1050">
        <v>0</v>
      </c>
    </row>
    <row r="135" spans="2:32">
      <c r="B135" s="488" t="s">
        <v>255</v>
      </c>
      <c r="C135" s="1049">
        <f>IF(Vehi_Inputs!$B$8=2,W135,M135)</f>
        <v>0</v>
      </c>
      <c r="D135" s="1049">
        <f>IF(Vehi_Inputs!$B$8=2,X135,N135)</f>
        <v>0</v>
      </c>
      <c r="E135" s="1049">
        <f>IF(Vehi_Inputs!$B$8=2,Y135,O135)</f>
        <v>0</v>
      </c>
      <c r="F135" s="1049">
        <f>IF(Vehi_Inputs!$B$8=2,Z135,P135)</f>
        <v>0</v>
      </c>
      <c r="G135" s="1049">
        <f>IF(Vehi_Inputs!$B$8=2,AA135,Q135)</f>
        <v>0</v>
      </c>
      <c r="H135" s="1049">
        <f>IF(Vehi_Inputs!$B$8=2,AB135,R135)</f>
        <v>0</v>
      </c>
      <c r="I135" s="1049">
        <f>IF(Vehi_Inputs!$B$8=2,AC135,S135)</f>
        <v>0</v>
      </c>
      <c r="J135" s="1049">
        <f>IF(Vehi_Inputs!$B$8=2,AD135,T135)</f>
        <v>0</v>
      </c>
      <c r="K135" s="1049">
        <f>IF(Vehi_Inputs!$B$8=2,AE135,U135)</f>
        <v>0</v>
      </c>
      <c r="L135" s="1049">
        <f>IF(Vehi_Inputs!$B$8=2,AF135,V135)</f>
        <v>0</v>
      </c>
      <c r="M135" s="1243">
        <v>0</v>
      </c>
      <c r="N135" s="1058">
        <v>0</v>
      </c>
      <c r="O135" s="1058">
        <v>0</v>
      </c>
      <c r="P135" s="1058">
        <v>0</v>
      </c>
      <c r="Q135" s="1058">
        <v>0</v>
      </c>
      <c r="R135" s="1058">
        <v>0</v>
      </c>
      <c r="S135" s="1058">
        <v>0</v>
      </c>
      <c r="T135" s="1058">
        <v>0</v>
      </c>
      <c r="U135" s="1058">
        <v>0</v>
      </c>
      <c r="V135" s="1475">
        <v>0</v>
      </c>
      <c r="W135" s="1026">
        <v>1.866771147080671E-4</v>
      </c>
      <c r="X135" s="1027">
        <v>2.4208414655811639E-4</v>
      </c>
      <c r="Y135" s="1027">
        <v>0</v>
      </c>
      <c r="Z135" s="1027">
        <v>0</v>
      </c>
      <c r="AA135" s="1027">
        <v>0</v>
      </c>
      <c r="AB135" s="1027">
        <v>0</v>
      </c>
      <c r="AC135" s="1027">
        <v>0</v>
      </c>
      <c r="AD135" s="1027">
        <v>0</v>
      </c>
      <c r="AE135" s="1027">
        <v>0</v>
      </c>
      <c r="AF135" s="1050">
        <v>0</v>
      </c>
    </row>
    <row r="136" spans="2:32">
      <c r="B136" s="488" t="s">
        <v>256</v>
      </c>
      <c r="C136" s="1049">
        <f>IF(Vehi_Inputs!$B$8=2,W136,M136)</f>
        <v>0</v>
      </c>
      <c r="D136" s="1049">
        <f>IF(Vehi_Inputs!$B$8=2,X136,N136)</f>
        <v>8.9999999999999993E-3</v>
      </c>
      <c r="E136" s="1049">
        <f>IF(Vehi_Inputs!$B$8=2,Y136,O136)</f>
        <v>0</v>
      </c>
      <c r="F136" s="1049">
        <f>IF(Vehi_Inputs!$B$8=2,Z136,P136)</f>
        <v>8.9999999999999993E-3</v>
      </c>
      <c r="G136" s="1049">
        <f>IF(Vehi_Inputs!$B$8=2,AA136,Q136)</f>
        <v>0</v>
      </c>
      <c r="H136" s="1049">
        <f>IF(Vehi_Inputs!$B$8=2,AB136,R136)</f>
        <v>8.9999999999999993E-3</v>
      </c>
      <c r="I136" s="1049">
        <f>IF(Vehi_Inputs!$B$8=2,AC136,S136)</f>
        <v>0</v>
      </c>
      <c r="J136" s="1049">
        <f>IF(Vehi_Inputs!$B$8=2,AD136,T136)</f>
        <v>8.9999999999999993E-3</v>
      </c>
      <c r="K136" s="1049">
        <f>IF(Vehi_Inputs!$B$8=2,AE136,U136)</f>
        <v>0</v>
      </c>
      <c r="L136" s="1049">
        <f>IF(Vehi_Inputs!$B$8=2,AF136,V136)</f>
        <v>8.9999999999999993E-3</v>
      </c>
      <c r="M136" s="1243">
        <v>0</v>
      </c>
      <c r="N136" s="1058">
        <v>8.9999999999999993E-3</v>
      </c>
      <c r="O136" s="1058">
        <v>0</v>
      </c>
      <c r="P136" s="1058">
        <v>8.9999999999999993E-3</v>
      </c>
      <c r="Q136" s="1058">
        <v>0</v>
      </c>
      <c r="R136" s="1058">
        <v>8.9999999999999993E-3</v>
      </c>
      <c r="S136" s="1058">
        <v>0</v>
      </c>
      <c r="T136" s="1058">
        <v>8.9999999999999993E-3</v>
      </c>
      <c r="U136" s="1058">
        <v>0</v>
      </c>
      <c r="V136" s="1475">
        <v>8.9999999999999993E-3</v>
      </c>
      <c r="W136" s="1026">
        <v>0</v>
      </c>
      <c r="X136" s="1027">
        <v>1.1467329490072557E-2</v>
      </c>
      <c r="Y136" s="1027">
        <v>0</v>
      </c>
      <c r="Z136" s="1027">
        <v>0</v>
      </c>
      <c r="AA136" s="1027">
        <v>0</v>
      </c>
      <c r="AB136" s="1027">
        <v>0</v>
      </c>
      <c r="AC136" s="1027">
        <v>0</v>
      </c>
      <c r="AD136" s="1027">
        <v>0</v>
      </c>
      <c r="AE136" s="1027">
        <v>0</v>
      </c>
      <c r="AF136" s="1050">
        <v>0</v>
      </c>
    </row>
    <row r="137" spans="2:32">
      <c r="B137" s="488" t="s">
        <v>257</v>
      </c>
      <c r="C137" s="1049">
        <f>IF(Vehi_Inputs!$B$8=2,W137,M137)</f>
        <v>8.491106795336963E-3</v>
      </c>
      <c r="D137" s="1049">
        <f>IF(Vehi_Inputs!$B$8=2,X137,N137)</f>
        <v>0</v>
      </c>
      <c r="E137" s="1049">
        <f>IF(Vehi_Inputs!$B$8=2,Y137,O137)</f>
        <v>8.491106795336963E-3</v>
      </c>
      <c r="F137" s="1049">
        <f>IF(Vehi_Inputs!$B$8=2,Z137,P137)</f>
        <v>0</v>
      </c>
      <c r="G137" s="1049">
        <f>IF(Vehi_Inputs!$B$8=2,AA137,Q137)</f>
        <v>8.491106795336963E-3</v>
      </c>
      <c r="H137" s="1049">
        <f>IF(Vehi_Inputs!$B$8=2,AB137,R137)</f>
        <v>0</v>
      </c>
      <c r="I137" s="1049">
        <f>IF(Vehi_Inputs!$B$8=2,AC137,S137)</f>
        <v>8.491106795336963E-3</v>
      </c>
      <c r="J137" s="1049">
        <f>IF(Vehi_Inputs!$B$8=2,AD137,T137)</f>
        <v>0</v>
      </c>
      <c r="K137" s="1049">
        <f>IF(Vehi_Inputs!$B$8=2,AE137,U137)</f>
        <v>8.491106795336963E-3</v>
      </c>
      <c r="L137" s="1049">
        <f>IF(Vehi_Inputs!$B$8=2,AF137,V137)</f>
        <v>0</v>
      </c>
      <c r="M137" s="1243">
        <v>8.491106795336963E-3</v>
      </c>
      <c r="N137" s="1058">
        <v>0</v>
      </c>
      <c r="O137" s="1058">
        <v>8.491106795336963E-3</v>
      </c>
      <c r="P137" s="1058">
        <v>0</v>
      </c>
      <c r="Q137" s="1058">
        <v>8.491106795336963E-3</v>
      </c>
      <c r="R137" s="1058">
        <v>0</v>
      </c>
      <c r="S137" s="1058">
        <v>8.491106795336963E-3</v>
      </c>
      <c r="T137" s="1058">
        <v>0</v>
      </c>
      <c r="U137" s="1058">
        <v>8.491106795336963E-3</v>
      </c>
      <c r="V137" s="1475">
        <v>0</v>
      </c>
      <c r="W137" s="1026">
        <v>0</v>
      </c>
      <c r="X137" s="1027">
        <v>0</v>
      </c>
      <c r="Y137" s="1027">
        <v>0</v>
      </c>
      <c r="Z137" s="1027">
        <v>0</v>
      </c>
      <c r="AA137" s="1027">
        <v>0</v>
      </c>
      <c r="AB137" s="1027">
        <v>0</v>
      </c>
      <c r="AC137" s="1027">
        <v>0</v>
      </c>
      <c r="AD137" s="1027">
        <v>0</v>
      </c>
      <c r="AE137" s="1027">
        <v>0</v>
      </c>
      <c r="AF137" s="1050">
        <v>0</v>
      </c>
    </row>
    <row r="138" spans="2:32">
      <c r="B138" s="488" t="s">
        <v>258</v>
      </c>
      <c r="C138" s="1049">
        <f>IF(Vehi_Inputs!$B$8=2,W138,M138)</f>
        <v>4.4418960145847855E-2</v>
      </c>
      <c r="D138" s="1049">
        <f>IF(Vehi_Inputs!$B$8=2,X138,N138)</f>
        <v>7.6999999999999999E-2</v>
      </c>
      <c r="E138" s="1049">
        <f>IF(Vehi_Inputs!$B$8=2,Y138,O138)</f>
        <v>4.4418960145847855E-2</v>
      </c>
      <c r="F138" s="1049">
        <f>IF(Vehi_Inputs!$B$8=2,Z138,P138)</f>
        <v>7.4999999999999997E-2</v>
      </c>
      <c r="G138" s="1049">
        <f>IF(Vehi_Inputs!$B$8=2,AA138,Q138)</f>
        <v>4.4418960145847855E-2</v>
      </c>
      <c r="H138" s="1049">
        <f>IF(Vehi_Inputs!$B$8=2,AB138,R138)</f>
        <v>7.2999999999999995E-2</v>
      </c>
      <c r="I138" s="1049">
        <f>IF(Vehi_Inputs!$B$8=2,AC138,S138)</f>
        <v>4.4418960145847855E-2</v>
      </c>
      <c r="J138" s="1049">
        <f>IF(Vehi_Inputs!$B$8=2,AD138,T138)</f>
        <v>7.1999999999999995E-2</v>
      </c>
      <c r="K138" s="1049">
        <f>IF(Vehi_Inputs!$B$8=2,AE138,U138)</f>
        <v>4.4418960145847855E-2</v>
      </c>
      <c r="L138" s="1049">
        <f>IF(Vehi_Inputs!$B$8=2,AF138,V138)</f>
        <v>7.1999999999999995E-2</v>
      </c>
      <c r="M138" s="1243">
        <v>4.4418960145847855E-2</v>
      </c>
      <c r="N138" s="1058">
        <v>7.6999999999999999E-2</v>
      </c>
      <c r="O138" s="1058">
        <v>4.4418960145847855E-2</v>
      </c>
      <c r="P138" s="1058">
        <v>7.4999999999999997E-2</v>
      </c>
      <c r="Q138" s="1058">
        <v>4.4418960145847855E-2</v>
      </c>
      <c r="R138" s="1058">
        <v>7.2999999999999995E-2</v>
      </c>
      <c r="S138" s="1058">
        <v>4.4418960145847855E-2</v>
      </c>
      <c r="T138" s="1058">
        <v>7.1999999999999995E-2</v>
      </c>
      <c r="U138" s="1058">
        <v>4.4418960145847855E-2</v>
      </c>
      <c r="V138" s="1475">
        <v>7.1999999999999995E-2</v>
      </c>
      <c r="W138" s="1026">
        <v>4.603858701123438E-2</v>
      </c>
      <c r="X138" s="1027">
        <v>6.004886493726401E-2</v>
      </c>
      <c r="Y138" s="1027">
        <v>0</v>
      </c>
      <c r="Z138" s="1027">
        <v>0</v>
      </c>
      <c r="AA138" s="1027">
        <v>0</v>
      </c>
      <c r="AB138" s="1027">
        <v>0</v>
      </c>
      <c r="AC138" s="1027">
        <v>0</v>
      </c>
      <c r="AD138" s="1027">
        <v>0</v>
      </c>
      <c r="AE138" s="1027">
        <v>0</v>
      </c>
      <c r="AF138" s="1050">
        <v>0</v>
      </c>
    </row>
    <row r="139" spans="2:32">
      <c r="B139" s="488" t="s">
        <v>259</v>
      </c>
      <c r="C139" s="1049">
        <f>IF(Vehi_Inputs!$B$8=2,W139,M139)</f>
        <v>0</v>
      </c>
      <c r="D139" s="1049">
        <f>IF(Vehi_Inputs!$B$8=2,X139,N139)</f>
        <v>0.38100000000000001</v>
      </c>
      <c r="E139" s="1049">
        <f>IF(Vehi_Inputs!$B$8=2,Y139,O139)</f>
        <v>0</v>
      </c>
      <c r="F139" s="1049">
        <f>IF(Vehi_Inputs!$B$8=2,Z139,P139)</f>
        <v>0.39700000000000002</v>
      </c>
      <c r="G139" s="1049">
        <f>IF(Vehi_Inputs!$B$8=2,AA139,Q139)</f>
        <v>0</v>
      </c>
      <c r="H139" s="1049">
        <f>IF(Vehi_Inputs!$B$8=2,AB139,R139)</f>
        <v>0.41199999999999998</v>
      </c>
      <c r="I139" s="1049">
        <f>IF(Vehi_Inputs!$B$8=2,AC139,S139)</f>
        <v>0</v>
      </c>
      <c r="J139" s="1049">
        <f>IF(Vehi_Inputs!$B$8=2,AD139,T139)</f>
        <v>0.42599999999999999</v>
      </c>
      <c r="K139" s="1049">
        <f>IF(Vehi_Inputs!$B$8=2,AE139,U139)</f>
        <v>0</v>
      </c>
      <c r="L139" s="1049">
        <f>IF(Vehi_Inputs!$B$8=2,AF139,V139)</f>
        <v>0.42299999999999999</v>
      </c>
      <c r="M139" s="1243">
        <v>0</v>
      </c>
      <c r="N139" s="1058">
        <v>0.38100000000000001</v>
      </c>
      <c r="O139" s="1058">
        <v>0</v>
      </c>
      <c r="P139" s="1058">
        <v>0.39700000000000002</v>
      </c>
      <c r="Q139" s="1058">
        <v>0</v>
      </c>
      <c r="R139" s="1058">
        <v>0.41199999999999998</v>
      </c>
      <c r="S139" s="1058">
        <v>0</v>
      </c>
      <c r="T139" s="1058">
        <v>0.42599999999999999</v>
      </c>
      <c r="U139" s="1058">
        <v>0</v>
      </c>
      <c r="V139" s="1475">
        <v>0.42299999999999999</v>
      </c>
      <c r="W139" s="1026">
        <v>0</v>
      </c>
      <c r="X139" s="1027">
        <v>4.5811981312839867E-2</v>
      </c>
      <c r="Y139" s="1027">
        <v>0</v>
      </c>
      <c r="Z139" s="1027">
        <v>0</v>
      </c>
      <c r="AA139" s="1027">
        <v>0</v>
      </c>
      <c r="AB139" s="1027">
        <v>0</v>
      </c>
      <c r="AC139" s="1027">
        <v>0</v>
      </c>
      <c r="AD139" s="1027">
        <v>0</v>
      </c>
      <c r="AE139" s="1027">
        <v>0</v>
      </c>
      <c r="AF139" s="1050">
        <v>0</v>
      </c>
    </row>
    <row r="140" spans="2:32">
      <c r="B140" s="488" t="s">
        <v>260</v>
      </c>
      <c r="C140" s="1049">
        <f>IF(Vehi_Inputs!$B$8=2,W140,M140)</f>
        <v>0.21674698939986173</v>
      </c>
      <c r="D140" s="1049">
        <f>IF(Vehi_Inputs!$B$8=2,X140,N140)</f>
        <v>0.23599999999999999</v>
      </c>
      <c r="E140" s="1049">
        <f>IF(Vehi_Inputs!$B$8=2,Y140,O140)</f>
        <v>0.21674698939986173</v>
      </c>
      <c r="F140" s="1049">
        <f>IF(Vehi_Inputs!$B$8=2,Z140,P140)</f>
        <v>0.22900000000000001</v>
      </c>
      <c r="G140" s="1049">
        <f>IF(Vehi_Inputs!$B$8=2,AA140,Q140)</f>
        <v>0.21674698939986173</v>
      </c>
      <c r="H140" s="1049">
        <f>IF(Vehi_Inputs!$B$8=2,AB140,R140)</f>
        <v>0.24299999999999999</v>
      </c>
      <c r="I140" s="1049">
        <f>IF(Vehi_Inputs!$B$8=2,AC140,S140)</f>
        <v>0.21674698939986173</v>
      </c>
      <c r="J140" s="1049">
        <f>IF(Vehi_Inputs!$B$8=2,AD140,T140)</f>
        <v>0.23799999999999999</v>
      </c>
      <c r="K140" s="1049">
        <f>IF(Vehi_Inputs!$B$8=2,AE140,U140)</f>
        <v>0.21674698939986173</v>
      </c>
      <c r="L140" s="1049">
        <f>IF(Vehi_Inputs!$B$8=2,AF140,V140)</f>
        <v>0.22</v>
      </c>
      <c r="M140" s="1243">
        <v>0.21674698939986173</v>
      </c>
      <c r="N140" s="1058">
        <v>0.23599999999999999</v>
      </c>
      <c r="O140" s="1058">
        <v>0.21674698939986173</v>
      </c>
      <c r="P140" s="1058">
        <v>0.22900000000000001</v>
      </c>
      <c r="Q140" s="1058">
        <v>0.21674698939986173</v>
      </c>
      <c r="R140" s="1058">
        <v>0.24299999999999999</v>
      </c>
      <c r="S140" s="1058">
        <v>0.21674698939986173</v>
      </c>
      <c r="T140" s="1058">
        <v>0.23799999999999999</v>
      </c>
      <c r="U140" s="1058">
        <v>0.21674698939986173</v>
      </c>
      <c r="V140" s="1475">
        <v>0.22</v>
      </c>
      <c r="W140" s="1026">
        <v>0.16720719772102099</v>
      </c>
      <c r="X140" s="1027">
        <v>0.19698932497476748</v>
      </c>
      <c r="Y140" s="1027">
        <v>0</v>
      </c>
      <c r="Z140" s="1027">
        <v>0</v>
      </c>
      <c r="AA140" s="1027">
        <v>0</v>
      </c>
      <c r="AB140" s="1027">
        <v>0</v>
      </c>
      <c r="AC140" s="1027">
        <v>0</v>
      </c>
      <c r="AD140" s="1027">
        <v>0</v>
      </c>
      <c r="AE140" s="1027">
        <v>0</v>
      </c>
      <c r="AF140" s="1050">
        <v>0</v>
      </c>
    </row>
    <row r="141" spans="2:32">
      <c r="B141" s="483" t="s">
        <v>261</v>
      </c>
      <c r="C141" s="1049">
        <f>IF(Vehi_Inputs!$B$8=2,W141,M141)</f>
        <v>1.7677867751252862E-2</v>
      </c>
      <c r="D141" s="1049">
        <f>IF(Vehi_Inputs!$B$8=2,X141,N141)</f>
        <v>8.9999999999999993E-3</v>
      </c>
      <c r="E141" s="1049">
        <f>IF(Vehi_Inputs!$B$8=2,Y141,O141)</f>
        <v>1.7677867751252862E-2</v>
      </c>
      <c r="F141" s="1049">
        <f>IF(Vehi_Inputs!$B$8=2,Z141,P141)</f>
        <v>8.0000000000000002E-3</v>
      </c>
      <c r="G141" s="1049">
        <f>IF(Vehi_Inputs!$B$8=2,AA141,Q141)</f>
        <v>1.7677867751252862E-2</v>
      </c>
      <c r="H141" s="1049">
        <f>IF(Vehi_Inputs!$B$8=2,AB141,R141)</f>
        <v>8.0000000000000002E-3</v>
      </c>
      <c r="I141" s="1049">
        <f>IF(Vehi_Inputs!$B$8=2,AC141,S141)</f>
        <v>1.7677867751252862E-2</v>
      </c>
      <c r="J141" s="1049">
        <f>IF(Vehi_Inputs!$B$8=2,AD141,T141)</f>
        <v>8.0000000000000002E-3</v>
      </c>
      <c r="K141" s="1049">
        <f>IF(Vehi_Inputs!$B$8=2,AE141,U141)</f>
        <v>1.7677867751252862E-2</v>
      </c>
      <c r="L141" s="1049">
        <f>IF(Vehi_Inputs!$B$8=2,AF141,V141)</f>
        <v>8.0000000000000002E-3</v>
      </c>
      <c r="M141" s="1243">
        <v>1.7677867751252862E-2</v>
      </c>
      <c r="N141" s="1058">
        <v>8.9999999999999993E-3</v>
      </c>
      <c r="O141" s="1058">
        <v>1.7677867751252862E-2</v>
      </c>
      <c r="P141" s="1058">
        <v>8.0000000000000002E-3</v>
      </c>
      <c r="Q141" s="1058">
        <v>1.7677867751252862E-2</v>
      </c>
      <c r="R141" s="1058">
        <v>8.0000000000000002E-3</v>
      </c>
      <c r="S141" s="1058">
        <v>1.7677867751252862E-2</v>
      </c>
      <c r="T141" s="1058">
        <v>8.0000000000000002E-3</v>
      </c>
      <c r="U141" s="1058">
        <v>1.7677867751252862E-2</v>
      </c>
      <c r="V141" s="1475">
        <v>8.0000000000000002E-3</v>
      </c>
      <c r="W141" s="1026">
        <v>7.5213817534751986E-3</v>
      </c>
      <c r="X141" s="1027">
        <v>9.6588293056249705E-3</v>
      </c>
      <c r="Y141" s="1027">
        <v>0</v>
      </c>
      <c r="Z141" s="1027">
        <v>0</v>
      </c>
      <c r="AA141" s="1027">
        <v>0</v>
      </c>
      <c r="AB141" s="1027">
        <v>0</v>
      </c>
      <c r="AC141" s="1027">
        <v>0</v>
      </c>
      <c r="AD141" s="1027">
        <v>0</v>
      </c>
      <c r="AE141" s="1027">
        <v>0</v>
      </c>
      <c r="AF141" s="1050">
        <v>0</v>
      </c>
    </row>
    <row r="142" spans="2:32">
      <c r="B142" s="905" t="s">
        <v>262</v>
      </c>
      <c r="C142" s="1051">
        <f t="shared" ref="C142:AF142" si="3">1-SUM(C131:C141)</f>
        <v>8.5564853088966331E-3</v>
      </c>
      <c r="D142" s="1051">
        <f t="shared" si="3"/>
        <v>4.9999999999999933E-2</v>
      </c>
      <c r="E142" s="1052">
        <f t="shared" si="3"/>
        <v>8.5564853088966331E-3</v>
      </c>
      <c r="F142" s="1052">
        <f t="shared" si="3"/>
        <v>4.9999999999999933E-2</v>
      </c>
      <c r="G142" s="1052">
        <f t="shared" si="3"/>
        <v>8.5564853088966331E-3</v>
      </c>
      <c r="H142" s="1052">
        <f t="shared" si="3"/>
        <v>4.9000000000000044E-2</v>
      </c>
      <c r="I142" s="1052">
        <f t="shared" si="3"/>
        <v>8.5564853088966331E-3</v>
      </c>
      <c r="J142" s="1052">
        <f t="shared" si="3"/>
        <v>4.500000000000004E-2</v>
      </c>
      <c r="K142" s="1052">
        <f t="shared" si="3"/>
        <v>8.5564853088966331E-3</v>
      </c>
      <c r="L142" s="1053">
        <f t="shared" si="3"/>
        <v>4.7000000000000042E-2</v>
      </c>
      <c r="M142" s="1054">
        <f t="shared" si="3"/>
        <v>8.5564853088966331E-3</v>
      </c>
      <c r="N142" s="1052">
        <f t="shared" si="3"/>
        <v>4.9999999999999933E-2</v>
      </c>
      <c r="O142" s="1052">
        <f t="shared" si="3"/>
        <v>8.5564853088966331E-3</v>
      </c>
      <c r="P142" s="1052">
        <f t="shared" si="3"/>
        <v>4.9999999999999933E-2</v>
      </c>
      <c r="Q142" s="1052">
        <f t="shared" si="3"/>
        <v>8.5564853088966331E-3</v>
      </c>
      <c r="R142" s="1052">
        <f t="shared" si="3"/>
        <v>4.9000000000000044E-2</v>
      </c>
      <c r="S142" s="1052">
        <f t="shared" si="3"/>
        <v>8.5564853088966331E-3</v>
      </c>
      <c r="T142" s="1052">
        <f t="shared" si="3"/>
        <v>4.500000000000004E-2</v>
      </c>
      <c r="U142" s="1052">
        <f t="shared" si="3"/>
        <v>8.5564853088966331E-3</v>
      </c>
      <c r="V142" s="1053">
        <f t="shared" si="3"/>
        <v>4.7000000000000042E-2</v>
      </c>
      <c r="W142" s="1054">
        <f t="shared" si="3"/>
        <v>3.5852063624218555E-2</v>
      </c>
      <c r="X142" s="1052">
        <f t="shared" si="3"/>
        <v>2.9997886482964753E-2</v>
      </c>
      <c r="Y142" s="1052">
        <f t="shared" si="3"/>
        <v>1</v>
      </c>
      <c r="Z142" s="1052">
        <f t="shared" si="3"/>
        <v>1</v>
      </c>
      <c r="AA142" s="1052">
        <f t="shared" si="3"/>
        <v>1</v>
      </c>
      <c r="AB142" s="1052">
        <f t="shared" si="3"/>
        <v>1</v>
      </c>
      <c r="AC142" s="1052">
        <f t="shared" si="3"/>
        <v>1</v>
      </c>
      <c r="AD142" s="1052">
        <f t="shared" si="3"/>
        <v>1</v>
      </c>
      <c r="AE142" s="1052">
        <f t="shared" si="3"/>
        <v>1</v>
      </c>
      <c r="AF142" s="1053">
        <f t="shared" si="3"/>
        <v>1</v>
      </c>
    </row>
    <row r="143" spans="2:32">
      <c r="B143" s="290" t="s">
        <v>182</v>
      </c>
      <c r="C143" s="1049"/>
      <c r="D143" s="1049"/>
      <c r="E143" s="1055"/>
      <c r="F143" s="1055"/>
      <c r="G143" s="1055"/>
      <c r="H143" s="1055"/>
      <c r="I143" s="1055"/>
      <c r="J143" s="1055"/>
      <c r="K143" s="1055"/>
      <c r="L143" s="1056"/>
      <c r="M143" s="1057"/>
      <c r="N143" s="1055"/>
      <c r="O143" s="1055"/>
      <c r="P143" s="1055"/>
      <c r="Q143" s="1055"/>
      <c r="R143" s="1055"/>
      <c r="S143" s="1055"/>
      <c r="T143" s="1055"/>
      <c r="U143" s="1055"/>
      <c r="V143" s="1056"/>
      <c r="W143" s="1057"/>
      <c r="X143" s="1055"/>
      <c r="Y143" s="1055"/>
      <c r="Z143" s="1055"/>
      <c r="AA143" s="1055"/>
      <c r="AB143" s="1055"/>
      <c r="AC143" s="1055"/>
      <c r="AD143" s="1055"/>
      <c r="AE143" s="1055"/>
      <c r="AF143" s="1056"/>
    </row>
    <row r="144" spans="2:32">
      <c r="B144" s="483" t="s">
        <v>251</v>
      </c>
      <c r="C144" s="1049">
        <f>IF(Vehi_Inputs!$B$8=2,W144,M144)</f>
        <v>0.42357724452507295</v>
      </c>
      <c r="D144" s="1049">
        <f>IF(Vehi_Inputs!$B$8=2,X144,N144)</f>
        <v>0.54800000000000004</v>
      </c>
      <c r="E144" s="1049">
        <f>IF(Vehi_Inputs!$B$8=2,Y144,O144)</f>
        <v>0.48399999999999999</v>
      </c>
      <c r="F144" s="1049">
        <f>IF(Vehi_Inputs!$B$8=2,Z144,P144)</f>
        <v>0.59599999999999997</v>
      </c>
      <c r="G144" s="1049">
        <f>IF(Vehi_Inputs!$B$8=2,AA144,Q144)</f>
        <v>0.502</v>
      </c>
      <c r="H144" s="1049">
        <f>IF(Vehi_Inputs!$B$8=2,AB144,R144)</f>
        <v>0.60699999999999998</v>
      </c>
      <c r="I144" s="1049">
        <f>IF(Vehi_Inputs!$B$8=2,AC144,S144)</f>
        <v>0.5</v>
      </c>
      <c r="J144" s="1049">
        <f>IF(Vehi_Inputs!$B$8=2,AD144,T144)</f>
        <v>0</v>
      </c>
      <c r="K144" s="1049">
        <f>IF(Vehi_Inputs!$B$8=2,AE144,U144)</f>
        <v>0.18710919904856269</v>
      </c>
      <c r="L144" s="1049">
        <f>IF(Vehi_Inputs!$B$8=2,AF144,V144)</f>
        <v>0.18710919904856269</v>
      </c>
      <c r="M144" s="1243">
        <v>0.42357724452507295</v>
      </c>
      <c r="N144" s="1058">
        <v>0.54800000000000004</v>
      </c>
      <c r="O144" s="1058">
        <v>0.48399999999999999</v>
      </c>
      <c r="P144" s="1058">
        <v>0.59599999999999997</v>
      </c>
      <c r="Q144" s="1058">
        <v>0.502</v>
      </c>
      <c r="R144" s="1058">
        <v>0.60699999999999998</v>
      </c>
      <c r="S144" s="1058">
        <v>0.5</v>
      </c>
      <c r="T144" s="1058">
        <v>0</v>
      </c>
      <c r="U144" s="1058">
        <v>0.18710919904856269</v>
      </c>
      <c r="V144" s="1058">
        <v>0.18710919904856269</v>
      </c>
      <c r="W144" s="1026">
        <v>0.54430967316367351</v>
      </c>
      <c r="X144" s="1027">
        <v>0.56158302163723317</v>
      </c>
      <c r="Y144" s="1027">
        <v>0</v>
      </c>
      <c r="Z144" s="1027">
        <v>0</v>
      </c>
      <c r="AA144" s="1027">
        <v>0</v>
      </c>
      <c r="AB144" s="1027">
        <v>0</v>
      </c>
      <c r="AC144" s="1027">
        <v>0</v>
      </c>
      <c r="AD144" s="1027">
        <v>0</v>
      </c>
      <c r="AE144" s="1027">
        <v>0</v>
      </c>
      <c r="AF144" s="1050">
        <v>0</v>
      </c>
    </row>
    <row r="145" spans="2:32">
      <c r="B145" s="483" t="s">
        <v>264</v>
      </c>
      <c r="C145" s="1049">
        <f>IF(Vehi_Inputs!$B$8=2,W145,M145)</f>
        <v>0</v>
      </c>
      <c r="D145" s="1049">
        <f>IF(Vehi_Inputs!$B$8=2,X145,N145)</f>
        <v>3.5999999999999997E-2</v>
      </c>
      <c r="E145" s="1049">
        <f>IF(Vehi_Inputs!$B$8=2,Y145,O145)</f>
        <v>0</v>
      </c>
      <c r="F145" s="1049">
        <f>IF(Vehi_Inputs!$B$8=2,Z145,P145)</f>
        <v>3.2000000000000001E-2</v>
      </c>
      <c r="G145" s="1049">
        <f>IF(Vehi_Inputs!$B$8=2,AA145,Q145)</f>
        <v>0</v>
      </c>
      <c r="H145" s="1049">
        <f>IF(Vehi_Inputs!$B$8=2,AB145,R145)</f>
        <v>0.03</v>
      </c>
      <c r="I145" s="1049">
        <f>IF(Vehi_Inputs!$B$8=2,AC145,S145)</f>
        <v>0</v>
      </c>
      <c r="J145" s="1049">
        <f>IF(Vehi_Inputs!$B$8=2,AD145,T145)</f>
        <v>0</v>
      </c>
      <c r="K145" s="1049">
        <f>IF(Vehi_Inputs!$B$8=2,AE145,U145)</f>
        <v>0.31347914244110364</v>
      </c>
      <c r="L145" s="1049">
        <f>IF(Vehi_Inputs!$B$8=2,AF145,V145)</f>
        <v>0.31347914244110364</v>
      </c>
      <c r="M145" s="1243">
        <v>0</v>
      </c>
      <c r="N145" s="1058">
        <v>3.5999999999999997E-2</v>
      </c>
      <c r="O145" s="1058">
        <v>0</v>
      </c>
      <c r="P145" s="1058">
        <v>3.2000000000000001E-2</v>
      </c>
      <c r="Q145" s="1058">
        <v>0</v>
      </c>
      <c r="R145" s="1058">
        <v>0.03</v>
      </c>
      <c r="S145" s="1058">
        <v>0</v>
      </c>
      <c r="T145" s="1058">
        <v>0</v>
      </c>
      <c r="U145" s="1058">
        <v>0.31347914244110364</v>
      </c>
      <c r="V145" s="1058">
        <v>0.31347914244110364</v>
      </c>
      <c r="W145" s="1026">
        <v>0</v>
      </c>
      <c r="X145" s="1027">
        <v>0</v>
      </c>
      <c r="Y145" s="1027">
        <v>0</v>
      </c>
      <c r="Z145" s="1027">
        <v>0</v>
      </c>
      <c r="AA145" s="1027">
        <v>0</v>
      </c>
      <c r="AB145" s="1027">
        <v>0</v>
      </c>
      <c r="AC145" s="1027">
        <v>0</v>
      </c>
      <c r="AD145" s="1027">
        <v>0</v>
      </c>
      <c r="AE145" s="1027">
        <v>0</v>
      </c>
      <c r="AF145" s="1050">
        <v>0</v>
      </c>
    </row>
    <row r="146" spans="2:32">
      <c r="B146" s="483" t="s">
        <v>265</v>
      </c>
      <c r="C146" s="1049">
        <f>IF(Vehi_Inputs!$B$8=2,W146,M146)</f>
        <v>0</v>
      </c>
      <c r="D146" s="1049">
        <f>IF(Vehi_Inputs!$B$8=2,X146,N146)</f>
        <v>5.2999999999999999E-2</v>
      </c>
      <c r="E146" s="1049">
        <f>IF(Vehi_Inputs!$B$8=2,Y146,O146)</f>
        <v>0.24</v>
      </c>
      <c r="F146" s="1049">
        <f>IF(Vehi_Inputs!$B$8=2,Z146,P146)</f>
        <v>4.7E-2</v>
      </c>
      <c r="G146" s="1049">
        <f>IF(Vehi_Inputs!$B$8=2,AA146,Q146)</f>
        <v>0.22800000000000001</v>
      </c>
      <c r="H146" s="1049">
        <f>IF(Vehi_Inputs!$B$8=2,AB146,R146)</f>
        <v>4.3999999999999997E-2</v>
      </c>
      <c r="I146" s="1049">
        <f>IF(Vehi_Inputs!$B$8=2,AC146,S146)</f>
        <v>0</v>
      </c>
      <c r="J146" s="1049">
        <f>IF(Vehi_Inputs!$B$8=2,AD146,T146)</f>
        <v>0</v>
      </c>
      <c r="K146" s="1049">
        <f>IF(Vehi_Inputs!$B$8=2,AE146,U146)</f>
        <v>7.6391227457442282E-4</v>
      </c>
      <c r="L146" s="1049">
        <f>IF(Vehi_Inputs!$B$8=2,AF146,V146)</f>
        <v>7.6391227457442282E-4</v>
      </c>
      <c r="M146" s="1243">
        <v>0</v>
      </c>
      <c r="N146" s="1058">
        <v>5.2999999999999999E-2</v>
      </c>
      <c r="O146" s="1058">
        <v>0.24</v>
      </c>
      <c r="P146" s="1058">
        <v>4.7E-2</v>
      </c>
      <c r="Q146" s="1058">
        <v>0.22800000000000001</v>
      </c>
      <c r="R146" s="1058">
        <v>4.3999999999999997E-2</v>
      </c>
      <c r="S146" s="1058">
        <v>0</v>
      </c>
      <c r="T146" s="1058">
        <v>0</v>
      </c>
      <c r="U146" s="1058">
        <v>7.6391227457442282E-4</v>
      </c>
      <c r="V146" s="1058">
        <v>7.6391227457442282E-4</v>
      </c>
      <c r="W146" s="1026">
        <v>3.2255936675461743E-3</v>
      </c>
      <c r="X146" s="1027">
        <v>3.5886084939160076E-3</v>
      </c>
      <c r="Y146" s="1027">
        <v>0</v>
      </c>
      <c r="Z146" s="1027">
        <v>0</v>
      </c>
      <c r="AA146" s="1027">
        <v>0</v>
      </c>
      <c r="AB146" s="1027">
        <v>0</v>
      </c>
      <c r="AC146" s="1027">
        <v>0</v>
      </c>
      <c r="AD146" s="1027">
        <v>0</v>
      </c>
      <c r="AE146" s="1027">
        <v>0</v>
      </c>
      <c r="AF146" s="1050">
        <v>0</v>
      </c>
    </row>
    <row r="147" spans="2:32">
      <c r="B147" s="483" t="s">
        <v>252</v>
      </c>
      <c r="C147" s="1049">
        <f>IF(Vehi_Inputs!$B$8=2,W147,M147)</f>
        <v>4.8421314571954061E-2</v>
      </c>
      <c r="D147" s="1049">
        <f>IF(Vehi_Inputs!$B$8=2,X147,N147)</f>
        <v>1.7999999999999999E-2</v>
      </c>
      <c r="E147" s="1049">
        <f>IF(Vehi_Inputs!$B$8=2,Y147,O147)</f>
        <v>0</v>
      </c>
      <c r="F147" s="1049">
        <f>IF(Vehi_Inputs!$B$8=2,Z147,P147)</f>
        <v>2.5000000000000001E-2</v>
      </c>
      <c r="G147" s="1049">
        <f>IF(Vehi_Inputs!$B$8=2,AA147,Q147)</f>
        <v>0</v>
      </c>
      <c r="H147" s="1049">
        <f>IF(Vehi_Inputs!$B$8=2,AB147,R147)</f>
        <v>2.7E-2</v>
      </c>
      <c r="I147" s="1049">
        <f>IF(Vehi_Inputs!$B$8=2,AC147,S147)</f>
        <v>0</v>
      </c>
      <c r="J147" s="1049">
        <f>IF(Vehi_Inputs!$B$8=2,AD147,T147)</f>
        <v>0.3</v>
      </c>
      <c r="K147" s="1049">
        <f>IF(Vehi_Inputs!$B$8=2,AE147,U147)</f>
        <v>0.16794927778569879</v>
      </c>
      <c r="L147" s="1049">
        <f>IF(Vehi_Inputs!$B$8=2,AF147,V147)</f>
        <v>0.16794927778569879</v>
      </c>
      <c r="M147" s="1243">
        <v>4.8421314571954061E-2</v>
      </c>
      <c r="N147" s="1058">
        <v>1.7999999999999999E-2</v>
      </c>
      <c r="O147" s="1058">
        <v>0</v>
      </c>
      <c r="P147" s="1058">
        <v>2.5000000000000001E-2</v>
      </c>
      <c r="Q147" s="1058">
        <v>0</v>
      </c>
      <c r="R147" s="1058">
        <v>2.7E-2</v>
      </c>
      <c r="S147" s="1058">
        <v>0</v>
      </c>
      <c r="T147" s="1058">
        <v>0.3</v>
      </c>
      <c r="U147" s="1058">
        <v>0.16794927778569879</v>
      </c>
      <c r="V147" s="1058">
        <v>0.16794927778569879</v>
      </c>
      <c r="W147" s="1026">
        <v>7.6515022555111089E-3</v>
      </c>
      <c r="X147" s="1027">
        <v>6.2061218692296756E-2</v>
      </c>
      <c r="Y147" s="1027">
        <v>0</v>
      </c>
      <c r="Z147" s="1027">
        <v>0</v>
      </c>
      <c r="AA147" s="1027">
        <v>0</v>
      </c>
      <c r="AB147" s="1027">
        <v>0</v>
      </c>
      <c r="AC147" s="1027">
        <v>0</v>
      </c>
      <c r="AD147" s="1027">
        <v>0</v>
      </c>
      <c r="AE147" s="1027">
        <v>0</v>
      </c>
      <c r="AF147" s="1050">
        <v>0</v>
      </c>
    </row>
    <row r="148" spans="2:32">
      <c r="B148" s="483" t="s">
        <v>253</v>
      </c>
      <c r="C148" s="1049">
        <f>IF(Vehi_Inputs!$B$8=2,W148,M148)</f>
        <v>0.22329403991189864</v>
      </c>
      <c r="D148" s="1049">
        <f>IF(Vehi_Inputs!$B$8=2,X148,N148)</f>
        <v>0.17799999999999999</v>
      </c>
      <c r="E148" s="1049">
        <f>IF(Vehi_Inputs!$B$8=2,Y148,O148)</f>
        <v>0.14399999999999999</v>
      </c>
      <c r="F148" s="1049">
        <f>IF(Vehi_Inputs!$B$8=2,Z148,P148)</f>
        <v>0.158</v>
      </c>
      <c r="G148" s="1049">
        <f>IF(Vehi_Inputs!$B$8=2,AA148,Q148)</f>
        <v>0.13700000000000001</v>
      </c>
      <c r="H148" s="1049">
        <f>IF(Vehi_Inputs!$B$8=2,AB148,R148)</f>
        <v>0.14899999999999999</v>
      </c>
      <c r="I148" s="1049">
        <f>IF(Vehi_Inputs!$B$8=2,AC148,S148)</f>
        <v>0</v>
      </c>
      <c r="J148" s="1049">
        <f>IF(Vehi_Inputs!$B$8=2,AD148,T148)</f>
        <v>0</v>
      </c>
      <c r="K148" s="1049">
        <f>IF(Vehi_Inputs!$B$8=2,AE148,U148)</f>
        <v>0</v>
      </c>
      <c r="L148" s="1049">
        <f>IF(Vehi_Inputs!$B$8=2,AF148,V148)</f>
        <v>0</v>
      </c>
      <c r="M148" s="1243">
        <v>0.22329403991189864</v>
      </c>
      <c r="N148" s="1058">
        <v>0.17799999999999999</v>
      </c>
      <c r="O148" s="1058">
        <v>0.14399999999999999</v>
      </c>
      <c r="P148" s="1058">
        <v>0.158</v>
      </c>
      <c r="Q148" s="1058">
        <v>0.13700000000000001</v>
      </c>
      <c r="R148" s="1058">
        <v>0.14899999999999999</v>
      </c>
      <c r="S148" s="1058">
        <v>0</v>
      </c>
      <c r="T148" s="1058">
        <v>0</v>
      </c>
      <c r="U148" s="1058"/>
      <c r="V148" s="1058"/>
      <c r="W148" s="1026">
        <v>0.19377649161630781</v>
      </c>
      <c r="X148" s="1027">
        <v>0.19153259788835755</v>
      </c>
      <c r="Y148" s="1027">
        <v>0</v>
      </c>
      <c r="Z148" s="1027">
        <v>0</v>
      </c>
      <c r="AA148" s="1027">
        <v>0</v>
      </c>
      <c r="AB148" s="1027">
        <v>0</v>
      </c>
      <c r="AC148" s="1027">
        <v>0</v>
      </c>
      <c r="AD148" s="1027">
        <v>0</v>
      </c>
      <c r="AE148" s="1027">
        <v>0</v>
      </c>
      <c r="AF148" s="1050">
        <v>0</v>
      </c>
    </row>
    <row r="149" spans="2:32">
      <c r="B149" s="483" t="s">
        <v>254</v>
      </c>
      <c r="C149" s="1049">
        <f>IF(Vehi_Inputs!$B$8=2,W149,M149)</f>
        <v>6.7621169877134568E-2</v>
      </c>
      <c r="D149" s="1049">
        <f>IF(Vehi_Inputs!$B$8=2,X149,N149)</f>
        <v>3.7999999999999999E-2</v>
      </c>
      <c r="E149" s="1049">
        <f>IF(Vehi_Inputs!$B$8=2,Y149,O149)</f>
        <v>2.5999999999999999E-2</v>
      </c>
      <c r="F149" s="1049">
        <f>IF(Vehi_Inputs!$B$8=2,Z149,P149)</f>
        <v>3.2000000000000001E-2</v>
      </c>
      <c r="G149" s="1049">
        <f>IF(Vehi_Inputs!$B$8=2,AA149,Q149)</f>
        <v>2.8000000000000001E-2</v>
      </c>
      <c r="H149" s="1049">
        <f>IF(Vehi_Inputs!$B$8=2,AB149,R149)</f>
        <v>3.4000000000000002E-2</v>
      </c>
      <c r="I149" s="1049">
        <f>IF(Vehi_Inputs!$B$8=2,AC149,S149)</f>
        <v>0.20499999999999999</v>
      </c>
      <c r="J149" s="1049">
        <f>IF(Vehi_Inputs!$B$8=2,AD149,T149)</f>
        <v>0.28299999999999997</v>
      </c>
      <c r="K149" s="1049">
        <f>IF(Vehi_Inputs!$B$8=2,AE149,U149)</f>
        <v>1.7274919301796213E-2</v>
      </c>
      <c r="L149" s="1049">
        <f>IF(Vehi_Inputs!$B$8=2,AF149,V149)</f>
        <v>1.7274919301796213E-2</v>
      </c>
      <c r="M149" s="1243">
        <v>6.7621169877134568E-2</v>
      </c>
      <c r="N149" s="1058">
        <v>3.7999999999999999E-2</v>
      </c>
      <c r="O149" s="1058">
        <v>2.5999999999999999E-2</v>
      </c>
      <c r="P149" s="1058">
        <v>3.2000000000000001E-2</v>
      </c>
      <c r="Q149" s="1058">
        <v>2.8000000000000001E-2</v>
      </c>
      <c r="R149" s="1058">
        <v>3.4000000000000002E-2</v>
      </c>
      <c r="S149" s="1058">
        <v>0.20499999999999999</v>
      </c>
      <c r="T149" s="1058">
        <v>0.28299999999999997</v>
      </c>
      <c r="U149" s="1058">
        <v>1.7274919301796213E-2</v>
      </c>
      <c r="V149" s="1058">
        <v>1.7274919301796213E-2</v>
      </c>
      <c r="W149" s="1026">
        <v>6.6477572559366774E-2</v>
      </c>
      <c r="X149" s="1027">
        <v>7.1772169878320151E-3</v>
      </c>
      <c r="Y149" s="1027">
        <v>0</v>
      </c>
      <c r="Z149" s="1027">
        <v>0</v>
      </c>
      <c r="AA149" s="1027">
        <v>0</v>
      </c>
      <c r="AB149" s="1027">
        <v>0</v>
      </c>
      <c r="AC149" s="1027">
        <v>0</v>
      </c>
      <c r="AD149" s="1027">
        <v>0</v>
      </c>
      <c r="AE149" s="1027">
        <v>0</v>
      </c>
      <c r="AF149" s="1050">
        <v>0</v>
      </c>
    </row>
    <row r="150" spans="2:32">
      <c r="B150" s="483" t="s">
        <v>256</v>
      </c>
      <c r="C150" s="1049">
        <f>IF(Vehi_Inputs!$B$8=2,W150,M150)</f>
        <v>0</v>
      </c>
      <c r="D150" s="1049">
        <f>IF(Vehi_Inputs!$B$8=2,X150,N150)</f>
        <v>0</v>
      </c>
      <c r="E150" s="1049">
        <f>IF(Vehi_Inputs!$B$8=2,Y150,O150)</f>
        <v>0</v>
      </c>
      <c r="F150" s="1049">
        <f>IF(Vehi_Inputs!$B$8=2,Z150,P150)</f>
        <v>0</v>
      </c>
      <c r="G150" s="1049">
        <f>IF(Vehi_Inputs!$B$8=2,AA150,Q150)</f>
        <v>0</v>
      </c>
      <c r="H150" s="1049">
        <f>IF(Vehi_Inputs!$B$8=2,AB150,R150)</f>
        <v>0</v>
      </c>
      <c r="I150" s="1049">
        <f>IF(Vehi_Inputs!$B$8=2,AC150,S150)</f>
        <v>0</v>
      </c>
      <c r="J150" s="1049">
        <f>IF(Vehi_Inputs!$B$8=2,AD150,T150)</f>
        <v>0</v>
      </c>
      <c r="K150" s="1049">
        <f>IF(Vehi_Inputs!$B$8=2,AE150,U150)</f>
        <v>0</v>
      </c>
      <c r="L150" s="1049">
        <f>IF(Vehi_Inputs!$B$8=2,AF150,V150)</f>
        <v>0</v>
      </c>
      <c r="M150" s="1243">
        <v>0</v>
      </c>
      <c r="N150" s="1058">
        <v>0</v>
      </c>
      <c r="O150" s="1058">
        <v>0</v>
      </c>
      <c r="P150" s="1058">
        <v>0</v>
      </c>
      <c r="Q150" s="1058">
        <v>0</v>
      </c>
      <c r="R150" s="1058">
        <v>0</v>
      </c>
      <c r="S150" s="1058">
        <v>0</v>
      </c>
      <c r="T150" s="1058">
        <v>0</v>
      </c>
      <c r="U150" s="1058"/>
      <c r="V150" s="1058"/>
      <c r="W150" s="1026">
        <v>0</v>
      </c>
      <c r="X150" s="1027">
        <v>0</v>
      </c>
      <c r="Y150" s="1027">
        <v>0</v>
      </c>
      <c r="Z150" s="1027">
        <v>0</v>
      </c>
      <c r="AA150" s="1027">
        <v>0</v>
      </c>
      <c r="AB150" s="1027">
        <v>0</v>
      </c>
      <c r="AC150" s="1027">
        <v>0</v>
      </c>
      <c r="AD150" s="1027">
        <v>0</v>
      </c>
      <c r="AE150" s="1027">
        <v>0</v>
      </c>
      <c r="AF150" s="1050">
        <v>0</v>
      </c>
    </row>
    <row r="151" spans="2:32">
      <c r="B151" s="483" t="s">
        <v>257</v>
      </c>
      <c r="C151" s="1049">
        <f>IF(Vehi_Inputs!$B$8=2,W151,M151)</f>
        <v>2.4832024141197638E-2</v>
      </c>
      <c r="D151" s="1049">
        <f>IF(Vehi_Inputs!$B$8=2,X151,N151)</f>
        <v>0</v>
      </c>
      <c r="E151" s="1049">
        <f>IF(Vehi_Inputs!$B$8=2,Y151,O151)</f>
        <v>0</v>
      </c>
      <c r="F151" s="1049">
        <f>IF(Vehi_Inputs!$B$8=2,Z151,P151)</f>
        <v>0</v>
      </c>
      <c r="G151" s="1049">
        <f>IF(Vehi_Inputs!$B$8=2,AA151,Q151)</f>
        <v>0</v>
      </c>
      <c r="H151" s="1049">
        <f>IF(Vehi_Inputs!$B$8=2,AB151,R151)</f>
        <v>0</v>
      </c>
      <c r="I151" s="1049">
        <f>IF(Vehi_Inputs!$B$8=2,AC151,S151)</f>
        <v>0</v>
      </c>
      <c r="J151" s="1049">
        <f>IF(Vehi_Inputs!$B$8=2,AD151,T151)</f>
        <v>0</v>
      </c>
      <c r="K151" s="1049">
        <f>IF(Vehi_Inputs!$B$8=2,AE151,U151)</f>
        <v>2.5916749175188158E-2</v>
      </c>
      <c r="L151" s="1049">
        <f>IF(Vehi_Inputs!$B$8=2,AF151,V151)</f>
        <v>2.5916749175188158E-2</v>
      </c>
      <c r="M151" s="1243">
        <v>2.4832024141197638E-2</v>
      </c>
      <c r="N151" s="1058">
        <v>0</v>
      </c>
      <c r="O151" s="1058">
        <v>0</v>
      </c>
      <c r="P151" s="1058">
        <v>0</v>
      </c>
      <c r="Q151" s="1058">
        <v>0</v>
      </c>
      <c r="R151" s="1058">
        <v>0</v>
      </c>
      <c r="S151" s="1058">
        <v>0</v>
      </c>
      <c r="T151" s="1058">
        <v>0</v>
      </c>
      <c r="U151" s="1058">
        <v>2.5916749175188158E-2</v>
      </c>
      <c r="V151" s="1058">
        <v>2.5916749175188158E-2</v>
      </c>
      <c r="W151" s="1026">
        <v>0</v>
      </c>
      <c r="X151" s="1027">
        <v>0</v>
      </c>
      <c r="Y151" s="1027">
        <v>0</v>
      </c>
      <c r="Z151" s="1027">
        <v>0</v>
      </c>
      <c r="AA151" s="1027">
        <v>0</v>
      </c>
      <c r="AB151" s="1027">
        <v>0</v>
      </c>
      <c r="AC151" s="1027">
        <v>0</v>
      </c>
      <c r="AD151" s="1027">
        <v>0</v>
      </c>
      <c r="AE151" s="1027">
        <v>0</v>
      </c>
      <c r="AF151" s="1050">
        <v>0</v>
      </c>
    </row>
    <row r="152" spans="2:32">
      <c r="B152" s="483" t="s">
        <v>260</v>
      </c>
      <c r="C152" s="1049">
        <f>IF(Vehi_Inputs!$B$8=2,W152,M152)</f>
        <v>0.19000339344935827</v>
      </c>
      <c r="D152" s="1049">
        <f>IF(Vehi_Inputs!$B$8=2,X152,N152)</f>
        <v>0.111</v>
      </c>
      <c r="E152" s="1049">
        <f>IF(Vehi_Inputs!$B$8=2,Y152,O152)</f>
        <v>8.4000000000000005E-2</v>
      </c>
      <c r="F152" s="1049">
        <f>IF(Vehi_Inputs!$B$8=2,Z152,P152)</f>
        <v>9.4E-2</v>
      </c>
      <c r="G152" s="1049">
        <f>IF(Vehi_Inputs!$B$8=2,AA152,Q152)</f>
        <v>8.4000000000000005E-2</v>
      </c>
      <c r="H152" s="1049">
        <f>IF(Vehi_Inputs!$B$8=2,AB152,R152)</f>
        <v>9.4E-2</v>
      </c>
      <c r="I152" s="1049">
        <f>IF(Vehi_Inputs!$B$8=2,AC152,S152)</f>
        <v>0.29499999999999998</v>
      </c>
      <c r="J152" s="1049">
        <f>IF(Vehi_Inputs!$B$8=2,AD152,T152)</f>
        <v>0.40699999999999997</v>
      </c>
      <c r="K152" s="1049">
        <f>IF(Vehi_Inputs!$B$8=2,AE152,U152)</f>
        <v>0.16617678413030071</v>
      </c>
      <c r="L152" s="1049">
        <f>IF(Vehi_Inputs!$B$8=2,AF152,V152)</f>
        <v>0.16617678413030071</v>
      </c>
      <c r="M152" s="1243">
        <v>0.19000339344935827</v>
      </c>
      <c r="N152" s="1058">
        <v>0.111</v>
      </c>
      <c r="O152" s="1058">
        <v>8.4000000000000005E-2</v>
      </c>
      <c r="P152" s="1058">
        <v>9.4E-2</v>
      </c>
      <c r="Q152" s="1058">
        <v>8.4000000000000005E-2</v>
      </c>
      <c r="R152" s="1058">
        <v>9.4E-2</v>
      </c>
      <c r="S152" s="1058">
        <v>0.29499999999999998</v>
      </c>
      <c r="T152" s="1058">
        <v>0.40699999999999997</v>
      </c>
      <c r="U152" s="1058">
        <v>0.16617678413030071</v>
      </c>
      <c r="V152" s="1058">
        <v>0.16617678413030071</v>
      </c>
      <c r="W152" s="1026">
        <v>0.18455570686866971</v>
      </c>
      <c r="X152" s="1027">
        <v>0.17405378533213389</v>
      </c>
      <c r="Y152" s="1027">
        <v>0</v>
      </c>
      <c r="Z152" s="1027">
        <v>0</v>
      </c>
      <c r="AA152" s="1027">
        <v>0</v>
      </c>
      <c r="AB152" s="1027">
        <v>0</v>
      </c>
      <c r="AC152" s="1027">
        <v>0</v>
      </c>
      <c r="AD152" s="1027">
        <v>0</v>
      </c>
      <c r="AE152" s="1027">
        <v>0</v>
      </c>
      <c r="AF152" s="1050">
        <v>0</v>
      </c>
    </row>
    <row r="153" spans="2:32">
      <c r="B153" s="483" t="s">
        <v>261</v>
      </c>
      <c r="C153" s="1049">
        <f>IF(Vehi_Inputs!$B$8=2,W153,M153)</f>
        <v>2.2191507429110999E-2</v>
      </c>
      <c r="D153" s="1049">
        <f>IF(Vehi_Inputs!$B$8=2,X153,N153)</f>
        <v>1.7999999999999999E-2</v>
      </c>
      <c r="E153" s="1049">
        <f>IF(Vehi_Inputs!$B$8=2,Y153,O153)</f>
        <v>2.1999999999999999E-2</v>
      </c>
      <c r="F153" s="1049">
        <f>IF(Vehi_Inputs!$B$8=2,Z153,P153)</f>
        <v>1.6E-2</v>
      </c>
      <c r="G153" s="1049">
        <f>IF(Vehi_Inputs!$B$8=2,AA153,Q153)</f>
        <v>2.1000000000000001E-2</v>
      </c>
      <c r="H153" s="1049">
        <f>IF(Vehi_Inputs!$B$8=2,AB153,R153)</f>
        <v>1.4999999999999999E-2</v>
      </c>
      <c r="I153" s="1049">
        <f>IF(Vehi_Inputs!$B$8=2,AC153,S153)</f>
        <v>0</v>
      </c>
      <c r="J153" s="1049">
        <f>IF(Vehi_Inputs!$B$8=2,AD153,T153)</f>
        <v>0</v>
      </c>
      <c r="K153" s="1049">
        <f>IF(Vehi_Inputs!$B$8=2,AE153,U153)</f>
        <v>6.4615988571509395E-2</v>
      </c>
      <c r="L153" s="1049">
        <f>IF(Vehi_Inputs!$B$8=2,AF153,V153)</f>
        <v>6.4615988571509395E-2</v>
      </c>
      <c r="M153" s="1243">
        <v>2.2191507429110999E-2</v>
      </c>
      <c r="N153" s="1058">
        <v>1.7999999999999999E-2</v>
      </c>
      <c r="O153" s="1058">
        <v>2.1999999999999999E-2</v>
      </c>
      <c r="P153" s="1058">
        <v>1.6E-2</v>
      </c>
      <c r="Q153" s="1058">
        <v>2.1000000000000001E-2</v>
      </c>
      <c r="R153" s="1058">
        <v>1.4999999999999999E-2</v>
      </c>
      <c r="S153" s="1058">
        <v>0</v>
      </c>
      <c r="T153" s="1058">
        <v>0</v>
      </c>
      <c r="U153" s="1058">
        <v>6.4615988571509395E-2</v>
      </c>
      <c r="V153" s="1058">
        <v>6.4615988571509395E-2</v>
      </c>
      <c r="W153" s="1026">
        <v>0</v>
      </c>
      <c r="X153" s="1027">
        <v>0</v>
      </c>
      <c r="Y153" s="1027">
        <v>0</v>
      </c>
      <c r="Z153" s="1027">
        <v>0</v>
      </c>
      <c r="AA153" s="1027">
        <v>0</v>
      </c>
      <c r="AB153" s="1027">
        <v>0</v>
      </c>
      <c r="AC153" s="1027">
        <v>0</v>
      </c>
      <c r="AD153" s="1027">
        <v>0</v>
      </c>
      <c r="AE153" s="1027">
        <v>0</v>
      </c>
      <c r="AF153" s="1050">
        <v>0</v>
      </c>
    </row>
    <row r="154" spans="2:32">
      <c r="B154" s="483" t="s">
        <v>259</v>
      </c>
      <c r="C154" s="1049">
        <f>IF(Vehi_Inputs!$B$8=2,W154,M154)</f>
        <v>0</v>
      </c>
      <c r="D154" s="1049">
        <f>IF(Vehi_Inputs!$B$8=2,X154,N154)</f>
        <v>0</v>
      </c>
      <c r="E154" s="1049">
        <f>IF(Vehi_Inputs!$B$8=2,Y154,O154)</f>
        <v>0</v>
      </c>
      <c r="F154" s="1049">
        <f>IF(Vehi_Inputs!$B$8=2,Z154,P154)</f>
        <v>0</v>
      </c>
      <c r="G154" s="1049">
        <f>IF(Vehi_Inputs!$B$8=2,AA154,Q154)</f>
        <v>0</v>
      </c>
      <c r="H154" s="1049">
        <f>IF(Vehi_Inputs!$B$8=2,AB154,R154)</f>
        <v>0</v>
      </c>
      <c r="I154" s="1049">
        <f>IF(Vehi_Inputs!$B$8=2,AC154,S154)</f>
        <v>0</v>
      </c>
      <c r="J154" s="1049">
        <f>IF(Vehi_Inputs!$B$8=2,AD154,T154)</f>
        <v>0</v>
      </c>
      <c r="K154" s="1049">
        <f>IF(Vehi_Inputs!$B$8=2,AE154,U154)</f>
        <v>0</v>
      </c>
      <c r="L154" s="1049">
        <f>IF(Vehi_Inputs!$B$8=2,AF154,V154)</f>
        <v>0</v>
      </c>
      <c r="M154" s="1243">
        <v>0</v>
      </c>
      <c r="N154" s="1058">
        <v>0</v>
      </c>
      <c r="O154" s="1058">
        <v>0</v>
      </c>
      <c r="P154" s="1058">
        <v>0</v>
      </c>
      <c r="Q154" s="1058">
        <v>0</v>
      </c>
      <c r="R154" s="1058">
        <v>0</v>
      </c>
      <c r="S154" s="1058">
        <v>0</v>
      </c>
      <c r="T154" s="1058">
        <v>0</v>
      </c>
      <c r="U154" s="1058"/>
      <c r="V154" s="1058"/>
      <c r="W154" s="1026">
        <v>0</v>
      </c>
      <c r="X154" s="1027">
        <v>0</v>
      </c>
      <c r="Y154" s="1027">
        <v>0</v>
      </c>
      <c r="Z154" s="1027">
        <v>0</v>
      </c>
      <c r="AA154" s="1027">
        <v>0</v>
      </c>
      <c r="AB154" s="1027">
        <v>0</v>
      </c>
      <c r="AC154" s="1027">
        <v>0</v>
      </c>
      <c r="AD154" s="1027">
        <v>0</v>
      </c>
      <c r="AE154" s="1027">
        <v>0</v>
      </c>
      <c r="AF154" s="1050">
        <v>0</v>
      </c>
    </row>
    <row r="155" spans="2:32">
      <c r="B155" s="483" t="s">
        <v>266</v>
      </c>
      <c r="C155" s="1049">
        <f>IF(Vehi_Inputs!$B$8=2,W155,M155)</f>
        <v>0</v>
      </c>
      <c r="D155" s="1049">
        <f>IF(Vehi_Inputs!$B$8=2,X155,N155)</f>
        <v>0</v>
      </c>
      <c r="E155" s="1049">
        <f>IF(Vehi_Inputs!$B$8=2,Y155,O155)</f>
        <v>0</v>
      </c>
      <c r="F155" s="1049">
        <f>IF(Vehi_Inputs!$B$8=2,Z155,P155)</f>
        <v>0</v>
      </c>
      <c r="G155" s="1049">
        <f>IF(Vehi_Inputs!$B$8=2,AA155,Q155)</f>
        <v>0</v>
      </c>
      <c r="H155" s="1049">
        <f>IF(Vehi_Inputs!$B$8=2,AB155,R155)</f>
        <v>0</v>
      </c>
      <c r="I155" s="1049">
        <f>IF(Vehi_Inputs!$B$8=2,AC155,S155)</f>
        <v>0</v>
      </c>
      <c r="J155" s="1049">
        <f>IF(Vehi_Inputs!$B$8=2,AD155,T155)</f>
        <v>0</v>
      </c>
      <c r="K155" s="1049">
        <f>IF(Vehi_Inputs!$B$8=2,AE155,U155)</f>
        <v>6.1984188925405387E-3</v>
      </c>
      <c r="L155" s="1049">
        <f>IF(Vehi_Inputs!$B$8=2,AF155,V155)</f>
        <v>6.1984188925405387E-3</v>
      </c>
      <c r="M155" s="1243">
        <v>0</v>
      </c>
      <c r="N155" s="1058">
        <v>0</v>
      </c>
      <c r="O155" s="1058">
        <v>0</v>
      </c>
      <c r="P155" s="1058">
        <v>0</v>
      </c>
      <c r="Q155" s="1058">
        <v>0</v>
      </c>
      <c r="R155" s="1058">
        <v>0</v>
      </c>
      <c r="S155" s="1058">
        <v>0</v>
      </c>
      <c r="T155" s="1058">
        <v>0</v>
      </c>
      <c r="U155" s="1058">
        <v>6.1984188925405387E-3</v>
      </c>
      <c r="V155" s="1058">
        <v>6.1984188925405387E-3</v>
      </c>
      <c r="W155" s="1026">
        <v>0</v>
      </c>
      <c r="X155" s="1027">
        <v>0</v>
      </c>
      <c r="Y155" s="1027">
        <v>0</v>
      </c>
      <c r="Z155" s="1027">
        <v>0</v>
      </c>
      <c r="AA155" s="1027">
        <v>0</v>
      </c>
      <c r="AB155" s="1027">
        <v>0</v>
      </c>
      <c r="AC155" s="1027">
        <v>0</v>
      </c>
      <c r="AD155" s="1027">
        <v>0</v>
      </c>
      <c r="AE155" s="1027">
        <v>0</v>
      </c>
      <c r="AF155" s="1050">
        <v>0</v>
      </c>
    </row>
    <row r="156" spans="2:32">
      <c r="B156" s="483" t="s">
        <v>267</v>
      </c>
      <c r="C156" s="1049">
        <f>IF(Vehi_Inputs!$B$8=2,W156,M156)</f>
        <v>0</v>
      </c>
      <c r="D156" s="1049">
        <f>IF(Vehi_Inputs!$B$8=2,X156,N156)</f>
        <v>0</v>
      </c>
      <c r="E156" s="1049">
        <f>IF(Vehi_Inputs!$B$8=2,Y156,O156)</f>
        <v>0</v>
      </c>
      <c r="F156" s="1049">
        <f>IF(Vehi_Inputs!$B$8=2,Z156,P156)</f>
        <v>0</v>
      </c>
      <c r="G156" s="1049">
        <f>IF(Vehi_Inputs!$B$8=2,AA156,Q156)</f>
        <v>0</v>
      </c>
      <c r="H156" s="1049">
        <f>IF(Vehi_Inputs!$B$8=2,AB156,R156)</f>
        <v>0</v>
      </c>
      <c r="I156" s="1049">
        <f>IF(Vehi_Inputs!$B$8=2,AC156,S156)</f>
        <v>0</v>
      </c>
      <c r="J156" s="1049">
        <f>IF(Vehi_Inputs!$B$8=2,AD156,T156)</f>
        <v>0</v>
      </c>
      <c r="K156" s="1049">
        <f>IF(Vehi_Inputs!$B$8=2,AE156,U156)</f>
        <v>2.1400740290504861E-2</v>
      </c>
      <c r="L156" s="1049">
        <f>IF(Vehi_Inputs!$B$8=2,AF156,V156)</f>
        <v>2.1400740290504861E-2</v>
      </c>
      <c r="M156" s="1243">
        <v>0</v>
      </c>
      <c r="N156" s="1058">
        <v>0</v>
      </c>
      <c r="O156" s="1058">
        <v>0</v>
      </c>
      <c r="P156" s="1058">
        <v>0</v>
      </c>
      <c r="Q156" s="1058">
        <v>0</v>
      </c>
      <c r="R156" s="1058">
        <v>0</v>
      </c>
      <c r="S156" s="1058">
        <v>0</v>
      </c>
      <c r="T156" s="1058">
        <v>0</v>
      </c>
      <c r="U156" s="1058">
        <v>2.1400740290504861E-2</v>
      </c>
      <c r="V156" s="1058">
        <v>2.1400740290504861E-2</v>
      </c>
      <c r="W156" s="1026">
        <v>0</v>
      </c>
      <c r="X156" s="1027">
        <v>0</v>
      </c>
      <c r="Y156" s="1027">
        <v>0</v>
      </c>
      <c r="Z156" s="1027">
        <v>0</v>
      </c>
      <c r="AA156" s="1027">
        <v>0</v>
      </c>
      <c r="AB156" s="1027">
        <v>0</v>
      </c>
      <c r="AC156" s="1027">
        <v>0</v>
      </c>
      <c r="AD156" s="1027">
        <v>0</v>
      </c>
      <c r="AE156" s="1027">
        <v>0</v>
      </c>
      <c r="AF156" s="1050">
        <v>0</v>
      </c>
    </row>
    <row r="157" spans="2:32">
      <c r="B157" s="483" t="s">
        <v>268</v>
      </c>
      <c r="C157" s="1049">
        <f>IF(Vehi_Inputs!$B$8=2,W157,M157)</f>
        <v>0</v>
      </c>
      <c r="D157" s="1049">
        <f>IF(Vehi_Inputs!$B$8=2,X157,N157)</f>
        <v>0</v>
      </c>
      <c r="E157" s="1049">
        <f>IF(Vehi_Inputs!$B$8=2,Y157,O157)</f>
        <v>0</v>
      </c>
      <c r="F157" s="1049">
        <f>IF(Vehi_Inputs!$B$8=2,Z157,P157)</f>
        <v>0</v>
      </c>
      <c r="G157" s="1049">
        <f>IF(Vehi_Inputs!$B$8=2,AA157,Q157)</f>
        <v>0</v>
      </c>
      <c r="H157" s="1049">
        <f>IF(Vehi_Inputs!$B$8=2,AB157,R157)</f>
        <v>0</v>
      </c>
      <c r="I157" s="1049">
        <f>IF(Vehi_Inputs!$B$8=2,AC157,S157)</f>
        <v>0</v>
      </c>
      <c r="J157" s="1049">
        <f>IF(Vehi_Inputs!$B$8=2,AD157,T157)</f>
        <v>0</v>
      </c>
      <c r="K157" s="1049">
        <f>IF(Vehi_Inputs!$B$8=2,AE157,U157)</f>
        <v>2.565086908263094E-2</v>
      </c>
      <c r="L157" s="1049">
        <f>IF(Vehi_Inputs!$B$8=2,AF157,V157)</f>
        <v>2.565086908263094E-2</v>
      </c>
      <c r="M157" s="1243">
        <v>0</v>
      </c>
      <c r="N157" s="1058">
        <v>0</v>
      </c>
      <c r="O157" s="1058">
        <v>0</v>
      </c>
      <c r="P157" s="1058">
        <v>0</v>
      </c>
      <c r="Q157" s="1058">
        <v>0</v>
      </c>
      <c r="R157" s="1058">
        <v>0</v>
      </c>
      <c r="S157" s="1058">
        <v>0</v>
      </c>
      <c r="T157" s="1058">
        <v>0</v>
      </c>
      <c r="U157" s="1058">
        <v>2.565086908263094E-2</v>
      </c>
      <c r="V157" s="1058">
        <v>2.565086908263094E-2</v>
      </c>
      <c r="W157" s="1026">
        <v>0</v>
      </c>
      <c r="X157" s="1027">
        <v>0</v>
      </c>
      <c r="Y157" s="1027">
        <v>0</v>
      </c>
      <c r="Z157" s="1027">
        <v>0</v>
      </c>
      <c r="AA157" s="1027">
        <v>0</v>
      </c>
      <c r="AB157" s="1027">
        <v>0</v>
      </c>
      <c r="AC157" s="1027">
        <v>0</v>
      </c>
      <c r="AD157" s="1027">
        <v>0</v>
      </c>
      <c r="AE157" s="1027">
        <v>0</v>
      </c>
      <c r="AF157" s="1050">
        <v>0</v>
      </c>
    </row>
    <row r="158" spans="2:32">
      <c r="B158" s="483" t="s">
        <v>269</v>
      </c>
      <c r="C158" s="1049">
        <f>IF(Vehi_Inputs!$B$8=2,W158,M158)</f>
        <v>0</v>
      </c>
      <c r="D158" s="1049">
        <f>IF(Vehi_Inputs!$B$8=2,X158,N158)</f>
        <v>0</v>
      </c>
      <c r="E158" s="1049">
        <f>IF(Vehi_Inputs!$B$8=2,Y158,O158)</f>
        <v>0</v>
      </c>
      <c r="F158" s="1049">
        <f>IF(Vehi_Inputs!$B$8=2,Z158,P158)</f>
        <v>0</v>
      </c>
      <c r="G158" s="1049">
        <f>IF(Vehi_Inputs!$B$8=2,AA158,Q158)</f>
        <v>0</v>
      </c>
      <c r="H158" s="1049">
        <f>IF(Vehi_Inputs!$B$8=2,AB158,R158)</f>
        <v>0</v>
      </c>
      <c r="I158" s="1049">
        <f>IF(Vehi_Inputs!$B$8=2,AC158,S158)</f>
        <v>0</v>
      </c>
      <c r="J158" s="1049">
        <f>IF(Vehi_Inputs!$B$8=2,AD158,T158)</f>
        <v>0</v>
      </c>
      <c r="K158" s="1049">
        <f>IF(Vehi_Inputs!$B$8=2,AE158,U158)</f>
        <v>0</v>
      </c>
      <c r="L158" s="1049">
        <f>IF(Vehi_Inputs!$B$8=2,AF158,V158)</f>
        <v>0</v>
      </c>
      <c r="M158" s="1243">
        <v>0</v>
      </c>
      <c r="N158" s="1058">
        <v>0</v>
      </c>
      <c r="O158" s="1058">
        <v>0</v>
      </c>
      <c r="P158" s="1058">
        <v>0</v>
      </c>
      <c r="Q158" s="1058">
        <v>0</v>
      </c>
      <c r="R158" s="1058">
        <v>0</v>
      </c>
      <c r="S158" s="1058">
        <v>0</v>
      </c>
      <c r="T158" s="1058">
        <v>0</v>
      </c>
      <c r="U158" s="1058"/>
      <c r="V158" s="1058"/>
      <c r="W158" s="1026">
        <v>0</v>
      </c>
      <c r="X158" s="1027">
        <v>0</v>
      </c>
      <c r="Y158" s="1027">
        <v>0</v>
      </c>
      <c r="Z158" s="1027">
        <v>0</v>
      </c>
      <c r="AA158" s="1027">
        <v>0</v>
      </c>
      <c r="AB158" s="1027">
        <v>0</v>
      </c>
      <c r="AC158" s="1027">
        <v>0</v>
      </c>
      <c r="AD158" s="1027">
        <v>0</v>
      </c>
      <c r="AE158" s="1027">
        <v>0</v>
      </c>
      <c r="AF158" s="1050">
        <v>0</v>
      </c>
    </row>
    <row r="159" spans="2:32">
      <c r="B159" s="483" t="s">
        <v>270</v>
      </c>
      <c r="C159" s="1049">
        <f>IF(Vehi_Inputs!$B$8=2,W159,M159)</f>
        <v>2.0000000000000002E-5</v>
      </c>
      <c r="D159" s="1049">
        <f>IF(Vehi_Inputs!$B$8=2,X159,N159)</f>
        <v>3.0000000000000001E-5</v>
      </c>
      <c r="E159" s="1049">
        <f>IF(Vehi_Inputs!$B$8=2,Y159,O159)</f>
        <v>2.0000000000000002E-5</v>
      </c>
      <c r="F159" s="1049">
        <f>IF(Vehi_Inputs!$B$8=2,Z159,P159)</f>
        <v>2.0000000000000002E-5</v>
      </c>
      <c r="G159" s="1049">
        <f>IF(Vehi_Inputs!$B$8=2,AA159,Q159)</f>
        <v>2.0000000000000002E-5</v>
      </c>
      <c r="H159" s="1049">
        <f>IF(Vehi_Inputs!$B$8=2,AB159,R159)</f>
        <v>2.0000000000000002E-5</v>
      </c>
      <c r="I159" s="1049">
        <f>IF(Vehi_Inputs!$B$8=2,AC159,S159)</f>
        <v>0</v>
      </c>
      <c r="J159" s="1049">
        <f>IF(Vehi_Inputs!$B$8=2,AD159,T159)</f>
        <v>0</v>
      </c>
      <c r="K159" s="1049">
        <f>IF(Vehi_Inputs!$B$8=2,AE159,U159)</f>
        <v>1.7668053030533081E-4</v>
      </c>
      <c r="L159" s="1049">
        <f>IF(Vehi_Inputs!$B$8=2,AF159,V159)</f>
        <v>1.7668053030533081E-4</v>
      </c>
      <c r="M159" s="1243">
        <v>2.0000000000000002E-5</v>
      </c>
      <c r="N159" s="1058">
        <v>3.0000000000000001E-5</v>
      </c>
      <c r="O159" s="1058">
        <v>2.0000000000000002E-5</v>
      </c>
      <c r="P159" s="1058">
        <v>2.0000000000000002E-5</v>
      </c>
      <c r="Q159" s="1058">
        <v>2.0000000000000002E-5</v>
      </c>
      <c r="R159" s="1058">
        <v>2.0000000000000002E-5</v>
      </c>
      <c r="S159" s="1058">
        <v>0</v>
      </c>
      <c r="T159" s="1058">
        <v>0</v>
      </c>
      <c r="U159" s="1058">
        <v>1.7668053030533081E-4</v>
      </c>
      <c r="V159" s="1058">
        <v>1.7668053030533081E-4</v>
      </c>
      <c r="W159" s="1026">
        <v>3.459868925014895E-6</v>
      </c>
      <c r="X159" s="1027">
        <v>3.5509682306708955E-6</v>
      </c>
      <c r="Y159" s="1027">
        <v>0</v>
      </c>
      <c r="Z159" s="1027">
        <v>0</v>
      </c>
      <c r="AA159" s="1027">
        <v>0</v>
      </c>
      <c r="AB159" s="1027">
        <v>0</v>
      </c>
      <c r="AC159" s="1027">
        <v>0</v>
      </c>
      <c r="AD159" s="1027">
        <v>0</v>
      </c>
      <c r="AE159" s="1027">
        <v>0</v>
      </c>
      <c r="AF159" s="1050">
        <v>0</v>
      </c>
    </row>
    <row r="160" spans="2:32">
      <c r="B160" s="483" t="s">
        <v>271</v>
      </c>
      <c r="C160" s="1049">
        <f>IF(Vehi_Inputs!$B$8=2,W160,M160)</f>
        <v>0</v>
      </c>
      <c r="D160" s="1049">
        <f>IF(Vehi_Inputs!$B$8=2,X160,N160)</f>
        <v>0</v>
      </c>
      <c r="E160" s="1049">
        <f>IF(Vehi_Inputs!$B$8=2,Y160,O160)</f>
        <v>0</v>
      </c>
      <c r="F160" s="1049">
        <f>IF(Vehi_Inputs!$B$8=2,Z160,P160)</f>
        <v>0</v>
      </c>
      <c r="G160" s="1049">
        <f>IF(Vehi_Inputs!$B$8=2,AA160,Q160)</f>
        <v>0</v>
      </c>
      <c r="H160" s="1049">
        <f>IF(Vehi_Inputs!$B$8=2,AB160,R160)</f>
        <v>0</v>
      </c>
      <c r="I160" s="1049">
        <f>IF(Vehi_Inputs!$B$8=2,AC160,S160)</f>
        <v>0</v>
      </c>
      <c r="J160" s="1049">
        <f>IF(Vehi_Inputs!$B$8=2,AD160,T160)</f>
        <v>0</v>
      </c>
      <c r="K160" s="1049">
        <f>IF(Vehi_Inputs!$B$8=2,AE160,U160)</f>
        <v>2.7278836091788705E-3</v>
      </c>
      <c r="L160" s="1049">
        <f>IF(Vehi_Inputs!$B$8=2,AF160,V160)</f>
        <v>2.7278836091788705E-3</v>
      </c>
      <c r="M160" s="1243"/>
      <c r="N160" s="1058"/>
      <c r="O160" s="1058"/>
      <c r="P160" s="1058"/>
      <c r="Q160" s="1058"/>
      <c r="R160" s="1058"/>
      <c r="S160" s="1058"/>
      <c r="T160" s="1058"/>
      <c r="U160" s="1058">
        <v>2.7278836091788705E-3</v>
      </c>
      <c r="V160" s="1058">
        <v>2.7278836091788705E-3</v>
      </c>
      <c r="W160" s="1026"/>
      <c r="X160" s="1027"/>
      <c r="Y160" s="1027"/>
      <c r="Z160" s="1027"/>
      <c r="AA160" s="1027"/>
      <c r="AB160" s="1027"/>
      <c r="AC160" s="1027"/>
      <c r="AD160" s="1027"/>
      <c r="AE160" s="1027"/>
      <c r="AF160" s="1050"/>
    </row>
    <row r="161" spans="2:32">
      <c r="B161" s="483" t="s">
        <v>272</v>
      </c>
      <c r="C161" s="1049">
        <f>IF(Vehi_Inputs!$B$8=2,W161,M161)</f>
        <v>0</v>
      </c>
      <c r="D161" s="1049">
        <f>IF(Vehi_Inputs!$B$8=2,X161,N161)</f>
        <v>0</v>
      </c>
      <c r="E161" s="1049">
        <f>IF(Vehi_Inputs!$B$8=2,Y161,O161)</f>
        <v>0</v>
      </c>
      <c r="F161" s="1049">
        <f>IF(Vehi_Inputs!$B$8=2,Z161,P161)</f>
        <v>0</v>
      </c>
      <c r="G161" s="1049">
        <f>IF(Vehi_Inputs!$B$8=2,AA161,Q161)</f>
        <v>0</v>
      </c>
      <c r="H161" s="1049">
        <f>IF(Vehi_Inputs!$B$8=2,AB161,R161)</f>
        <v>0</v>
      </c>
      <c r="I161" s="1049">
        <f>IF(Vehi_Inputs!$B$8=2,AC161,S161)</f>
        <v>0</v>
      </c>
      <c r="J161" s="1049">
        <f>IF(Vehi_Inputs!$B$8=2,AD161,T161)</f>
        <v>0</v>
      </c>
      <c r="K161" s="1049">
        <f>IF(Vehi_Inputs!$B$8=2,AE161,U161)</f>
        <v>1.912608023438235E-5</v>
      </c>
      <c r="L161" s="1049">
        <f>IF(Vehi_Inputs!$B$8=2,AF161,V161)</f>
        <v>1.912608023438235E-5</v>
      </c>
      <c r="M161" s="1243"/>
      <c r="N161" s="1058"/>
      <c r="O161" s="1058"/>
      <c r="P161" s="1058"/>
      <c r="Q161" s="1058"/>
      <c r="R161" s="1058"/>
      <c r="S161" s="1058"/>
      <c r="T161" s="1058"/>
      <c r="U161" s="1059">
        <v>1.912608023438235E-5</v>
      </c>
      <c r="V161" s="1059">
        <v>1.912608023438235E-5</v>
      </c>
      <c r="W161" s="1026"/>
      <c r="X161" s="1027"/>
      <c r="Y161" s="1027"/>
      <c r="Z161" s="1027"/>
      <c r="AA161" s="1027"/>
      <c r="AB161" s="1027"/>
      <c r="AC161" s="1027"/>
      <c r="AD161" s="1027"/>
      <c r="AE161" s="1027"/>
      <c r="AF161" s="1050"/>
    </row>
    <row r="162" spans="2:32">
      <c r="B162" s="483" t="s">
        <v>273</v>
      </c>
      <c r="C162" s="1049">
        <f>IF(Vehi_Inputs!$B$8=2,W162,M162)</f>
        <v>0</v>
      </c>
      <c r="D162" s="1049">
        <f>IF(Vehi_Inputs!$B$8=2,X162,N162)</f>
        <v>0</v>
      </c>
      <c r="E162" s="1049">
        <f>IF(Vehi_Inputs!$B$8=2,Y162,O162)</f>
        <v>0</v>
      </c>
      <c r="F162" s="1049">
        <f>IF(Vehi_Inputs!$B$8=2,Z162,P162)</f>
        <v>0</v>
      </c>
      <c r="G162" s="1049">
        <f>IF(Vehi_Inputs!$B$8=2,AA162,Q162)</f>
        <v>0</v>
      </c>
      <c r="H162" s="1049">
        <f>IF(Vehi_Inputs!$B$8=2,AB162,R162)</f>
        <v>0</v>
      </c>
      <c r="I162" s="1049">
        <f>IF(Vehi_Inputs!$B$8=2,AC162,S162)</f>
        <v>0</v>
      </c>
      <c r="J162" s="1049">
        <f>IF(Vehi_Inputs!$B$8=2,AD162,T162)</f>
        <v>0</v>
      </c>
      <c r="K162" s="1049">
        <f>IF(Vehi_Inputs!$B$8=2,AE162,U162)</f>
        <v>5.4030878587086771E-4</v>
      </c>
      <c r="L162" s="1049">
        <f>IF(Vehi_Inputs!$B$8=2,AF162,V162)</f>
        <v>5.4030878587086771E-4</v>
      </c>
      <c r="M162" s="1243"/>
      <c r="N162" s="1058"/>
      <c r="O162" s="1058"/>
      <c r="P162" s="1058"/>
      <c r="Q162" s="1058"/>
      <c r="R162" s="1058"/>
      <c r="S162" s="1058"/>
      <c r="T162" s="1058"/>
      <c r="U162" s="1058">
        <v>5.4030878587086771E-4</v>
      </c>
      <c r="V162" s="1058">
        <v>5.4030878587086771E-4</v>
      </c>
      <c r="W162" s="1026"/>
      <c r="X162" s="1027"/>
      <c r="Y162" s="1027"/>
      <c r="Z162" s="1027"/>
      <c r="AA162" s="1027"/>
      <c r="AB162" s="1027"/>
      <c r="AC162" s="1027"/>
      <c r="AD162" s="1027"/>
      <c r="AE162" s="1027"/>
      <c r="AF162" s="1050"/>
    </row>
    <row r="163" spans="2:32">
      <c r="B163" s="483" t="s">
        <v>262</v>
      </c>
      <c r="C163" s="1051">
        <f t="shared" ref="C163:N163" si="4">1-SUM(C144:C162)</f>
        <v>3.9306094272717473E-5</v>
      </c>
      <c r="D163" s="1051">
        <f t="shared" si="4"/>
        <v>-3.0000000000196536E-5</v>
      </c>
      <c r="E163" s="1051">
        <f t="shared" si="4"/>
        <v>-1.9999999999908979E-5</v>
      </c>
      <c r="F163" s="1051">
        <f t="shared" si="4"/>
        <v>-1.9999999999908979E-5</v>
      </c>
      <c r="G163" s="1051">
        <f t="shared" si="4"/>
        <v>-1.9999999999908979E-5</v>
      </c>
      <c r="H163" s="1051">
        <f t="shared" si="4"/>
        <v>-1.9999999999908979E-5</v>
      </c>
      <c r="I163" s="1051">
        <f t="shared" si="4"/>
        <v>0</v>
      </c>
      <c r="J163" s="1051">
        <f t="shared" si="4"/>
        <v>1.0000000000000009E-2</v>
      </c>
      <c r="K163" s="1051">
        <f t="shared" si="4"/>
        <v>0</v>
      </c>
      <c r="L163" s="1051">
        <f t="shared" si="4"/>
        <v>0</v>
      </c>
      <c r="M163" s="1428">
        <f t="shared" si="4"/>
        <v>3.9306094272717473E-5</v>
      </c>
      <c r="N163" s="1049">
        <f t="shared" si="4"/>
        <v>-3.0000000000196536E-5</v>
      </c>
      <c r="O163" s="1049">
        <f t="shared" ref="O163:V163" si="5">1-SUM(O144:O162)</f>
        <v>-1.9999999999908979E-5</v>
      </c>
      <c r="P163" s="1049">
        <f t="shared" si="5"/>
        <v>-1.9999999999908979E-5</v>
      </c>
      <c r="Q163" s="1049">
        <f t="shared" si="5"/>
        <v>-1.9999999999908979E-5</v>
      </c>
      <c r="R163" s="1049">
        <f t="shared" si="5"/>
        <v>-1.9999999999908979E-5</v>
      </c>
      <c r="S163" s="1049">
        <f t="shared" si="5"/>
        <v>0</v>
      </c>
      <c r="T163" s="1049">
        <f t="shared" si="5"/>
        <v>1.0000000000000009E-2</v>
      </c>
      <c r="U163" s="1049">
        <f t="shared" si="5"/>
        <v>0</v>
      </c>
      <c r="V163" s="1049">
        <f t="shared" si="5"/>
        <v>0</v>
      </c>
      <c r="W163" s="1057">
        <f t="shared" ref="W163:AF163" si="6">1-SUM(W144:W159)</f>
        <v>0</v>
      </c>
      <c r="X163" s="1055">
        <f t="shared" si="6"/>
        <v>0</v>
      </c>
      <c r="Y163" s="1055">
        <f t="shared" si="6"/>
        <v>1</v>
      </c>
      <c r="Z163" s="1055">
        <f t="shared" si="6"/>
        <v>1</v>
      </c>
      <c r="AA163" s="1055">
        <f t="shared" si="6"/>
        <v>1</v>
      </c>
      <c r="AB163" s="1055">
        <f t="shared" si="6"/>
        <v>1</v>
      </c>
      <c r="AC163" s="1055">
        <f t="shared" si="6"/>
        <v>1</v>
      </c>
      <c r="AD163" s="1055">
        <f t="shared" si="6"/>
        <v>1</v>
      </c>
      <c r="AE163" s="1055">
        <f t="shared" si="6"/>
        <v>1</v>
      </c>
      <c r="AF163" s="1056">
        <f t="shared" si="6"/>
        <v>1</v>
      </c>
    </row>
    <row r="164" spans="2:32">
      <c r="B164" s="293" t="s">
        <v>274</v>
      </c>
      <c r="C164" s="1062"/>
      <c r="D164" s="1062"/>
      <c r="E164" s="1047"/>
      <c r="F164" s="1047"/>
      <c r="G164" s="1047"/>
      <c r="H164" s="1047"/>
      <c r="I164" s="1047"/>
      <c r="J164" s="1047"/>
      <c r="K164" s="1047"/>
      <c r="L164" s="1048"/>
      <c r="M164" s="1063"/>
      <c r="N164" s="1047"/>
      <c r="O164" s="1047"/>
      <c r="P164" s="1047"/>
      <c r="Q164" s="1047"/>
      <c r="R164" s="1047"/>
      <c r="S164" s="1047"/>
      <c r="T164" s="1047"/>
      <c r="U164" s="1047"/>
      <c r="V164" s="1048"/>
      <c r="W164" s="1063"/>
      <c r="X164" s="1047"/>
      <c r="Y164" s="1047"/>
      <c r="Z164" s="1047"/>
      <c r="AA164" s="1047"/>
      <c r="AB164" s="1047"/>
      <c r="AC164" s="1047"/>
      <c r="AD164" s="1047"/>
      <c r="AE164" s="1047"/>
      <c r="AF164" s="1048"/>
    </row>
    <row r="165" spans="2:32">
      <c r="B165" s="488" t="s">
        <v>251</v>
      </c>
      <c r="C165" s="1049">
        <f>IF(Vehi_Inputs!$B$8=2,W165,M165)</f>
        <v>0.3</v>
      </c>
      <c r="D165" s="1049">
        <f>IF(Vehi_Inputs!$B$8=2,X165,N165)</f>
        <v>0.3</v>
      </c>
      <c r="E165" s="1049">
        <f>IF(Vehi_Inputs!$B$8=2,Y165,O165)</f>
        <v>0.60499999999999998</v>
      </c>
      <c r="F165" s="1049">
        <f>IF(Vehi_Inputs!$B$8=2,Z165,P165)</f>
        <v>0.60499999999999998</v>
      </c>
      <c r="G165" s="1049">
        <f>IF(Vehi_Inputs!$B$8=2,AA165,Q165)</f>
        <v>0.60499999999999998</v>
      </c>
      <c r="H165" s="1049">
        <f>IF(Vehi_Inputs!$B$8=2,AB165,R165)</f>
        <v>0.60499999999999998</v>
      </c>
      <c r="I165" s="1049">
        <f>IF(Vehi_Inputs!$B$8=2,AC165,S165)</f>
        <v>0.60499999999999998</v>
      </c>
      <c r="J165" s="1049">
        <f>IF(Vehi_Inputs!$B$8=2,AD165,T165)</f>
        <v>0.60499999999999998</v>
      </c>
      <c r="K165" s="1049">
        <f>IF(Vehi_Inputs!$B$8=2,AE165,U165)</f>
        <v>0.60499999999999998</v>
      </c>
      <c r="L165" s="1049">
        <f>IF(Vehi_Inputs!$B$8=2,AF165,V165)</f>
        <v>0.60499999999999998</v>
      </c>
      <c r="M165" s="1026">
        <v>0.3</v>
      </c>
      <c r="N165" s="1027">
        <v>0.3</v>
      </c>
      <c r="O165" s="1027">
        <v>0.60499999999999998</v>
      </c>
      <c r="P165" s="1027">
        <v>0.60499999999999998</v>
      </c>
      <c r="Q165" s="1027">
        <v>0.60499999999999998</v>
      </c>
      <c r="R165" s="1027">
        <v>0.60499999999999998</v>
      </c>
      <c r="S165" s="1027">
        <v>0.60499999999999998</v>
      </c>
      <c r="T165" s="1027">
        <v>0.60499999999999998</v>
      </c>
      <c r="U165" s="1027">
        <v>0.60499999999999998</v>
      </c>
      <c r="V165" s="1050">
        <v>0.60499999999999998</v>
      </c>
      <c r="W165" s="1026">
        <v>0.30471289274106178</v>
      </c>
      <c r="X165" s="1027">
        <v>0.31623475609756102</v>
      </c>
      <c r="Y165" s="1027">
        <v>0</v>
      </c>
      <c r="Z165" s="1027">
        <v>0</v>
      </c>
      <c r="AA165" s="1027">
        <v>0</v>
      </c>
      <c r="AB165" s="1027">
        <v>0</v>
      </c>
      <c r="AC165" s="1027">
        <v>0</v>
      </c>
      <c r="AD165" s="1027">
        <v>0</v>
      </c>
      <c r="AE165" s="1027">
        <v>0</v>
      </c>
      <c r="AF165" s="1050">
        <v>0</v>
      </c>
    </row>
    <row r="166" spans="2:32">
      <c r="B166" s="488" t="s">
        <v>275</v>
      </c>
      <c r="C166" s="1049">
        <f>IF(Vehi_Inputs!$B$8=2,W166,M166)</f>
        <v>0</v>
      </c>
      <c r="D166" s="1049">
        <f>IF(Vehi_Inputs!$B$8=2,X166,N166)</f>
        <v>0</v>
      </c>
      <c r="E166" s="1049">
        <f>IF(Vehi_Inputs!$B$8=2,Y166,O166)</f>
        <v>0.189</v>
      </c>
      <c r="F166" s="1049">
        <f>IF(Vehi_Inputs!$B$8=2,Z166,P166)</f>
        <v>0.189</v>
      </c>
      <c r="G166" s="1049">
        <f>IF(Vehi_Inputs!$B$8=2,AA166,Q166)</f>
        <v>0.189</v>
      </c>
      <c r="H166" s="1049">
        <f>IF(Vehi_Inputs!$B$8=2,AB166,R166)</f>
        <v>0.189</v>
      </c>
      <c r="I166" s="1049">
        <f>IF(Vehi_Inputs!$B$8=2,AC166,S166)</f>
        <v>0.189</v>
      </c>
      <c r="J166" s="1049">
        <f>IF(Vehi_Inputs!$B$8=2,AD166,T166)</f>
        <v>0.189</v>
      </c>
      <c r="K166" s="1049">
        <f>IF(Vehi_Inputs!$B$8=2,AE166,U166)</f>
        <v>0.189</v>
      </c>
      <c r="L166" s="1049">
        <f>IF(Vehi_Inputs!$B$8=2,AF166,V166)</f>
        <v>0.189</v>
      </c>
      <c r="M166" s="1026">
        <v>0</v>
      </c>
      <c r="N166" s="1027">
        <v>0</v>
      </c>
      <c r="O166" s="1027">
        <v>0.189</v>
      </c>
      <c r="P166" s="1027">
        <v>0.189</v>
      </c>
      <c r="Q166" s="1027">
        <v>0.189</v>
      </c>
      <c r="R166" s="1027">
        <v>0.189</v>
      </c>
      <c r="S166" s="1027">
        <v>0.189</v>
      </c>
      <c r="T166" s="1027">
        <v>0.189</v>
      </c>
      <c r="U166" s="1027">
        <v>0.189</v>
      </c>
      <c r="V166" s="1050">
        <v>0.189</v>
      </c>
      <c r="W166" s="1026">
        <v>0</v>
      </c>
      <c r="X166" s="1027">
        <v>0</v>
      </c>
      <c r="Y166" s="1027">
        <v>0</v>
      </c>
      <c r="Z166" s="1027">
        <v>0</v>
      </c>
      <c r="AA166" s="1027">
        <v>0</v>
      </c>
      <c r="AB166" s="1027">
        <v>0</v>
      </c>
      <c r="AC166" s="1027">
        <v>0</v>
      </c>
      <c r="AD166" s="1027">
        <v>0</v>
      </c>
      <c r="AE166" s="1027">
        <v>0</v>
      </c>
      <c r="AF166" s="1050">
        <v>0</v>
      </c>
    </row>
    <row r="167" spans="2:32">
      <c r="B167" s="488" t="s">
        <v>276</v>
      </c>
      <c r="C167" s="1049">
        <f>IF(Vehi_Inputs!$B$8=2,W167,M167)</f>
        <v>0.3</v>
      </c>
      <c r="D167" s="1049">
        <f>IF(Vehi_Inputs!$B$8=2,X167,N167)</f>
        <v>0</v>
      </c>
      <c r="E167" s="1049">
        <f>IF(Vehi_Inputs!$B$8=2,Y167,O167)</f>
        <v>0</v>
      </c>
      <c r="F167" s="1049">
        <f>IF(Vehi_Inputs!$B$8=2,Z167,P167)</f>
        <v>0</v>
      </c>
      <c r="G167" s="1049">
        <f>IF(Vehi_Inputs!$B$8=2,AA167,Q167)</f>
        <v>0</v>
      </c>
      <c r="H167" s="1049">
        <f>IF(Vehi_Inputs!$B$8=2,AB167,R167)</f>
        <v>0</v>
      </c>
      <c r="I167" s="1049">
        <f>IF(Vehi_Inputs!$B$8=2,AC167,S167)</f>
        <v>0</v>
      </c>
      <c r="J167" s="1049">
        <f>IF(Vehi_Inputs!$B$8=2,AD167,T167)</f>
        <v>0</v>
      </c>
      <c r="K167" s="1049">
        <f>IF(Vehi_Inputs!$B$8=2,AE167,U167)</f>
        <v>0</v>
      </c>
      <c r="L167" s="1049">
        <f>IF(Vehi_Inputs!$B$8=2,AF167,V167)</f>
        <v>0</v>
      </c>
      <c r="M167" s="1026">
        <v>0.3</v>
      </c>
      <c r="N167" s="1027">
        <v>0</v>
      </c>
      <c r="O167" s="1027">
        <v>0</v>
      </c>
      <c r="P167" s="1027">
        <v>0</v>
      </c>
      <c r="Q167" s="1027">
        <v>0</v>
      </c>
      <c r="R167" s="1027">
        <v>0</v>
      </c>
      <c r="S167" s="1027">
        <v>0</v>
      </c>
      <c r="T167" s="1027">
        <v>0</v>
      </c>
      <c r="U167" s="1027">
        <v>0</v>
      </c>
      <c r="V167" s="1050">
        <v>0</v>
      </c>
      <c r="W167" s="1026">
        <v>0.2713001083423619</v>
      </c>
      <c r="X167" s="1027">
        <v>0.28248475609756096</v>
      </c>
      <c r="Y167" s="1027">
        <v>0</v>
      </c>
      <c r="Z167" s="1027">
        <v>0</v>
      </c>
      <c r="AA167" s="1027">
        <v>0</v>
      </c>
      <c r="AB167" s="1027">
        <v>0</v>
      </c>
      <c r="AC167" s="1027">
        <v>0</v>
      </c>
      <c r="AD167" s="1027">
        <v>0</v>
      </c>
      <c r="AE167" s="1027">
        <v>0</v>
      </c>
      <c r="AF167" s="1050">
        <v>0</v>
      </c>
    </row>
    <row r="168" spans="2:32">
      <c r="B168" s="488" t="s">
        <v>256</v>
      </c>
      <c r="C168" s="1049">
        <f>IF(Vehi_Inputs!$B$8=2,W168,M168)</f>
        <v>0</v>
      </c>
      <c r="D168" s="1049">
        <f>IF(Vehi_Inputs!$B$8=2,X168,N168)</f>
        <v>0</v>
      </c>
      <c r="E168" s="1049">
        <f>IF(Vehi_Inputs!$B$8=2,Y168,O168)</f>
        <v>0</v>
      </c>
      <c r="F168" s="1049">
        <f>IF(Vehi_Inputs!$B$8=2,Z168,P168)</f>
        <v>0</v>
      </c>
      <c r="G168" s="1049">
        <f>IF(Vehi_Inputs!$B$8=2,AA168,Q168)</f>
        <v>0</v>
      </c>
      <c r="H168" s="1049">
        <f>IF(Vehi_Inputs!$B$8=2,AB168,R168)</f>
        <v>0</v>
      </c>
      <c r="I168" s="1049">
        <f>IF(Vehi_Inputs!$B$8=2,AC168,S168)</f>
        <v>0</v>
      </c>
      <c r="J168" s="1049">
        <f>IF(Vehi_Inputs!$B$8=2,AD168,T168)</f>
        <v>0</v>
      </c>
      <c r="K168" s="1049">
        <f>IF(Vehi_Inputs!$B$8=2,AE168,U168)</f>
        <v>0</v>
      </c>
      <c r="L168" s="1049">
        <f>IF(Vehi_Inputs!$B$8=2,AF168,V168)</f>
        <v>0</v>
      </c>
      <c r="M168" s="1026">
        <v>0</v>
      </c>
      <c r="N168" s="1027">
        <v>0</v>
      </c>
      <c r="O168" s="1027">
        <v>0</v>
      </c>
      <c r="P168" s="1027">
        <v>0</v>
      </c>
      <c r="Q168" s="1027">
        <v>0</v>
      </c>
      <c r="R168" s="1027">
        <v>0</v>
      </c>
      <c r="S168" s="1027">
        <v>0</v>
      </c>
      <c r="T168" s="1027">
        <v>0</v>
      </c>
      <c r="U168" s="1027">
        <v>0</v>
      </c>
      <c r="V168" s="1050">
        <v>0</v>
      </c>
      <c r="W168" s="1026">
        <v>0</v>
      </c>
      <c r="X168" s="1027">
        <v>0</v>
      </c>
      <c r="Y168" s="1027">
        <v>0</v>
      </c>
      <c r="Z168" s="1027">
        <v>0</v>
      </c>
      <c r="AA168" s="1027">
        <v>0</v>
      </c>
      <c r="AB168" s="1027">
        <v>0</v>
      </c>
      <c r="AC168" s="1027">
        <v>0</v>
      </c>
      <c r="AD168" s="1027">
        <v>0</v>
      </c>
      <c r="AE168" s="1027">
        <v>0</v>
      </c>
      <c r="AF168" s="1050">
        <v>0</v>
      </c>
    </row>
    <row r="169" spans="2:32">
      <c r="B169" s="488" t="s">
        <v>252</v>
      </c>
      <c r="C169" s="1049">
        <f>IF(Vehi_Inputs!$B$8=2,W169,M169)</f>
        <v>0.3</v>
      </c>
      <c r="D169" s="1049">
        <f>IF(Vehi_Inputs!$B$8=2,X169,N169)</f>
        <v>0.3</v>
      </c>
      <c r="E169" s="1049">
        <f>IF(Vehi_Inputs!$B$8=2,Y169,O169)</f>
        <v>0.2</v>
      </c>
      <c r="F169" s="1049">
        <f>IF(Vehi_Inputs!$B$8=2,Z169,P169)</f>
        <v>0.2</v>
      </c>
      <c r="G169" s="1049">
        <f>IF(Vehi_Inputs!$B$8=2,AA169,Q169)</f>
        <v>0.2</v>
      </c>
      <c r="H169" s="1049">
        <f>IF(Vehi_Inputs!$B$8=2,AB169,R169)</f>
        <v>0.2</v>
      </c>
      <c r="I169" s="1049">
        <f>IF(Vehi_Inputs!$B$8=2,AC169,S169)</f>
        <v>0.2</v>
      </c>
      <c r="J169" s="1049">
        <f>IF(Vehi_Inputs!$B$8=2,AD169,T169)</f>
        <v>0.2</v>
      </c>
      <c r="K169" s="1049">
        <f>IF(Vehi_Inputs!$B$8=2,AE169,U169)</f>
        <v>0.2</v>
      </c>
      <c r="L169" s="1049">
        <f>IF(Vehi_Inputs!$B$8=2,AF169,V169)</f>
        <v>0.2</v>
      </c>
      <c r="M169" s="1026">
        <v>0.3</v>
      </c>
      <c r="N169" s="1027">
        <v>0.3</v>
      </c>
      <c r="O169" s="1027">
        <v>0.2</v>
      </c>
      <c r="P169" s="1027">
        <v>0.2</v>
      </c>
      <c r="Q169" s="1027">
        <v>0.2</v>
      </c>
      <c r="R169" s="1027">
        <v>0.2</v>
      </c>
      <c r="S169" s="1027">
        <v>0.2</v>
      </c>
      <c r="T169" s="1027">
        <v>0.2</v>
      </c>
      <c r="U169" s="1027">
        <v>0.2</v>
      </c>
      <c r="V169" s="1050">
        <v>0.2</v>
      </c>
      <c r="W169" s="1026">
        <v>0</v>
      </c>
      <c r="X169" s="1027">
        <v>0</v>
      </c>
      <c r="Y169" s="1027">
        <v>0</v>
      </c>
      <c r="Z169" s="1027">
        <v>0</v>
      </c>
      <c r="AA169" s="1027">
        <v>0</v>
      </c>
      <c r="AB169" s="1027">
        <v>0</v>
      </c>
      <c r="AC169" s="1027">
        <v>0</v>
      </c>
      <c r="AD169" s="1027">
        <v>0</v>
      </c>
      <c r="AE169" s="1027">
        <v>0</v>
      </c>
      <c r="AF169" s="1050">
        <v>0</v>
      </c>
    </row>
    <row r="170" spans="2:32">
      <c r="B170" s="488" t="s">
        <v>253</v>
      </c>
      <c r="C170" s="1049">
        <f>IF(Vehi_Inputs!$B$8=2,W170,M170)</f>
        <v>0</v>
      </c>
      <c r="D170" s="1049">
        <f>IF(Vehi_Inputs!$B$8=2,X170,N170)</f>
        <v>0.3</v>
      </c>
      <c r="E170" s="1049">
        <f>IF(Vehi_Inputs!$B$8=2,Y170,O170)</f>
        <v>0</v>
      </c>
      <c r="F170" s="1049">
        <f>IF(Vehi_Inputs!$B$8=2,Z170,P170)</f>
        <v>0</v>
      </c>
      <c r="G170" s="1049">
        <f>IF(Vehi_Inputs!$B$8=2,AA170,Q170)</f>
        <v>0</v>
      </c>
      <c r="H170" s="1049">
        <f>IF(Vehi_Inputs!$B$8=2,AB170,R170)</f>
        <v>0</v>
      </c>
      <c r="I170" s="1049">
        <f>IF(Vehi_Inputs!$B$8=2,AC170,S170)</f>
        <v>0</v>
      </c>
      <c r="J170" s="1049">
        <f>IF(Vehi_Inputs!$B$8=2,AD170,T170)</f>
        <v>0</v>
      </c>
      <c r="K170" s="1049">
        <f>IF(Vehi_Inputs!$B$8=2,AE170,U170)</f>
        <v>0</v>
      </c>
      <c r="L170" s="1049">
        <f>IF(Vehi_Inputs!$B$8=2,AF170,V170)</f>
        <v>0</v>
      </c>
      <c r="M170" s="1026">
        <v>0</v>
      </c>
      <c r="N170" s="1027">
        <v>0.3</v>
      </c>
      <c r="O170" s="1027">
        <v>0</v>
      </c>
      <c r="P170" s="1027">
        <v>0</v>
      </c>
      <c r="Q170" s="1027">
        <v>0</v>
      </c>
      <c r="R170" s="1027">
        <v>0</v>
      </c>
      <c r="S170" s="1027">
        <v>0</v>
      </c>
      <c r="T170" s="1027">
        <v>0</v>
      </c>
      <c r="U170" s="1027">
        <v>0</v>
      </c>
      <c r="V170" s="1050">
        <v>0</v>
      </c>
      <c r="W170" s="1026">
        <v>0.32286023835319611</v>
      </c>
      <c r="X170" s="1027">
        <v>0.2972560975609756</v>
      </c>
      <c r="Y170" s="1027">
        <v>0</v>
      </c>
      <c r="Z170" s="1027">
        <v>0</v>
      </c>
      <c r="AA170" s="1027">
        <v>0</v>
      </c>
      <c r="AB170" s="1027">
        <v>0</v>
      </c>
      <c r="AC170" s="1027">
        <v>0</v>
      </c>
      <c r="AD170" s="1027">
        <v>0</v>
      </c>
      <c r="AE170" s="1027">
        <v>0</v>
      </c>
      <c r="AF170" s="1050">
        <v>0</v>
      </c>
    </row>
    <row r="171" spans="2:32">
      <c r="B171" s="488" t="s">
        <v>259</v>
      </c>
      <c r="C171" s="1049">
        <f>IF(Vehi_Inputs!$B$8=2,W171,M171)</f>
        <v>0</v>
      </c>
      <c r="D171" s="1049">
        <f>IF(Vehi_Inputs!$B$8=2,X171,N171)</f>
        <v>0</v>
      </c>
      <c r="E171" s="1049">
        <f>IF(Vehi_Inputs!$B$8=2,Y171,O171)</f>
        <v>0</v>
      </c>
      <c r="F171" s="1049">
        <f>IF(Vehi_Inputs!$B$8=2,Z171,P171)</f>
        <v>0</v>
      </c>
      <c r="G171" s="1049">
        <f>IF(Vehi_Inputs!$B$8=2,AA171,Q171)</f>
        <v>0</v>
      </c>
      <c r="H171" s="1049">
        <f>IF(Vehi_Inputs!$B$8=2,AB171,R171)</f>
        <v>0</v>
      </c>
      <c r="I171" s="1049">
        <f>IF(Vehi_Inputs!$B$8=2,AC171,S171)</f>
        <v>0</v>
      </c>
      <c r="J171" s="1049">
        <f>IF(Vehi_Inputs!$B$8=2,AD171,T171)</f>
        <v>0</v>
      </c>
      <c r="K171" s="1049">
        <f>IF(Vehi_Inputs!$B$8=2,AE171,U171)</f>
        <v>0</v>
      </c>
      <c r="L171" s="1049">
        <f>IF(Vehi_Inputs!$B$8=2,AF171,V171)</f>
        <v>0</v>
      </c>
      <c r="M171" s="1026">
        <v>0</v>
      </c>
      <c r="N171" s="1027">
        <v>0</v>
      </c>
      <c r="O171" s="1027">
        <v>0</v>
      </c>
      <c r="P171" s="1027">
        <v>0</v>
      </c>
      <c r="Q171" s="1027">
        <v>0</v>
      </c>
      <c r="R171" s="1027">
        <v>0</v>
      </c>
      <c r="S171" s="1027">
        <v>0</v>
      </c>
      <c r="T171" s="1027">
        <v>0</v>
      </c>
      <c r="U171" s="1027">
        <v>0</v>
      </c>
      <c r="V171" s="1050">
        <v>0</v>
      </c>
      <c r="W171" s="1026">
        <v>0</v>
      </c>
      <c r="X171" s="1027">
        <v>0</v>
      </c>
      <c r="Y171" s="1027">
        <v>0</v>
      </c>
      <c r="Z171" s="1027">
        <v>0</v>
      </c>
      <c r="AA171" s="1027">
        <v>0</v>
      </c>
      <c r="AB171" s="1027">
        <v>0</v>
      </c>
      <c r="AC171" s="1027">
        <v>0</v>
      </c>
      <c r="AD171" s="1027">
        <v>0</v>
      </c>
      <c r="AE171" s="1027">
        <v>0</v>
      </c>
      <c r="AF171" s="1050">
        <v>0</v>
      </c>
    </row>
    <row r="172" spans="2:32">
      <c r="B172" s="488" t="s">
        <v>260</v>
      </c>
      <c r="C172" s="1049">
        <f>IF(Vehi_Inputs!$B$8=2,W172,M172)</f>
        <v>0.05</v>
      </c>
      <c r="D172" s="1049">
        <f>IF(Vehi_Inputs!$B$8=2,X172,N172)</f>
        <v>0.05</v>
      </c>
      <c r="E172" s="1049">
        <f>IF(Vehi_Inputs!$B$8=2,Y172,O172)</f>
        <v>2E-3</v>
      </c>
      <c r="F172" s="1049">
        <f>IF(Vehi_Inputs!$B$8=2,Z172,P172)</f>
        <v>2E-3</v>
      </c>
      <c r="G172" s="1049">
        <f>IF(Vehi_Inputs!$B$8=2,AA172,Q172)</f>
        <v>2E-3</v>
      </c>
      <c r="H172" s="1049">
        <f>IF(Vehi_Inputs!$B$8=2,AB172,R172)</f>
        <v>2E-3</v>
      </c>
      <c r="I172" s="1049">
        <f>IF(Vehi_Inputs!$B$8=2,AC172,S172)</f>
        <v>2E-3</v>
      </c>
      <c r="J172" s="1049">
        <f>IF(Vehi_Inputs!$B$8=2,AD172,T172)</f>
        <v>2E-3</v>
      </c>
      <c r="K172" s="1049">
        <f>IF(Vehi_Inputs!$B$8=2,AE172,U172)</f>
        <v>2E-3</v>
      </c>
      <c r="L172" s="1049">
        <f>IF(Vehi_Inputs!$B$8=2,AF172,V172)</f>
        <v>2E-3</v>
      </c>
      <c r="M172" s="1026">
        <v>0.05</v>
      </c>
      <c r="N172" s="1027">
        <v>0.05</v>
      </c>
      <c r="O172" s="1027">
        <v>2E-3</v>
      </c>
      <c r="P172" s="1027">
        <v>2E-3</v>
      </c>
      <c r="Q172" s="1027">
        <v>2E-3</v>
      </c>
      <c r="R172" s="1027">
        <v>2E-3</v>
      </c>
      <c r="S172" s="1027">
        <v>2E-3</v>
      </c>
      <c r="T172" s="1027">
        <v>2E-3</v>
      </c>
      <c r="U172" s="1027">
        <v>2E-3</v>
      </c>
      <c r="V172" s="1050">
        <v>2E-3</v>
      </c>
      <c r="W172" s="1026">
        <v>5.0563380281690141E-2</v>
      </c>
      <c r="X172" s="1027">
        <v>5.2012195121951217E-2</v>
      </c>
      <c r="Y172" s="1027">
        <v>0</v>
      </c>
      <c r="Z172" s="1027">
        <v>0</v>
      </c>
      <c r="AA172" s="1027">
        <v>0</v>
      </c>
      <c r="AB172" s="1027">
        <v>0</v>
      </c>
      <c r="AC172" s="1027">
        <v>0</v>
      </c>
      <c r="AD172" s="1027">
        <v>0</v>
      </c>
      <c r="AE172" s="1027">
        <v>0</v>
      </c>
      <c r="AF172" s="1050">
        <v>0</v>
      </c>
    </row>
    <row r="173" spans="2:32">
      <c r="B173" s="488" t="s">
        <v>261</v>
      </c>
      <c r="C173" s="1049">
        <f>IF(Vehi_Inputs!$B$8=2,W173,M173)</f>
        <v>0.05</v>
      </c>
      <c r="D173" s="1049">
        <f>IF(Vehi_Inputs!$B$8=2,X173,N173)</f>
        <v>0.05</v>
      </c>
      <c r="E173" s="1049">
        <f>IF(Vehi_Inputs!$B$8=2,Y173,O173)</f>
        <v>0</v>
      </c>
      <c r="F173" s="1049">
        <f>IF(Vehi_Inputs!$B$8=2,Z173,P173)</f>
        <v>0</v>
      </c>
      <c r="G173" s="1049">
        <f>IF(Vehi_Inputs!$B$8=2,AA173,Q173)</f>
        <v>0</v>
      </c>
      <c r="H173" s="1049">
        <f>IF(Vehi_Inputs!$B$8=2,AB173,R173)</f>
        <v>0</v>
      </c>
      <c r="I173" s="1049">
        <f>IF(Vehi_Inputs!$B$8=2,AC173,S173)</f>
        <v>0</v>
      </c>
      <c r="J173" s="1049">
        <f>IF(Vehi_Inputs!$B$8=2,AD173,T173)</f>
        <v>0</v>
      </c>
      <c r="K173" s="1049">
        <f>IF(Vehi_Inputs!$B$8=2,AE173,U173)</f>
        <v>0</v>
      </c>
      <c r="L173" s="1049">
        <f>IF(Vehi_Inputs!$B$8=2,AF173,V173)</f>
        <v>0</v>
      </c>
      <c r="M173" s="1026">
        <v>0.05</v>
      </c>
      <c r="N173" s="1027">
        <v>0.05</v>
      </c>
      <c r="O173" s="1027">
        <v>0</v>
      </c>
      <c r="P173" s="1027">
        <v>0</v>
      </c>
      <c r="Q173" s="1027">
        <v>0</v>
      </c>
      <c r="R173" s="1027">
        <v>0</v>
      </c>
      <c r="S173" s="1027">
        <v>0</v>
      </c>
      <c r="T173" s="1027">
        <v>0</v>
      </c>
      <c r="U173" s="1027">
        <v>0</v>
      </c>
      <c r="V173" s="1050">
        <v>0</v>
      </c>
      <c r="W173" s="1026">
        <v>5.0563380281690141E-2</v>
      </c>
      <c r="X173" s="1027">
        <v>5.2012195121951217E-2</v>
      </c>
      <c r="Y173" s="1027">
        <v>0</v>
      </c>
      <c r="Z173" s="1027">
        <v>0</v>
      </c>
      <c r="AA173" s="1027">
        <v>0</v>
      </c>
      <c r="AB173" s="1027">
        <v>0</v>
      </c>
      <c r="AC173" s="1027">
        <v>0</v>
      </c>
      <c r="AD173" s="1027">
        <v>0</v>
      </c>
      <c r="AE173" s="1027">
        <v>0</v>
      </c>
      <c r="AF173" s="1050">
        <v>0</v>
      </c>
    </row>
    <row r="174" spans="2:32">
      <c r="B174" s="356" t="s">
        <v>262</v>
      </c>
      <c r="C174" s="1051">
        <f t="shared" ref="C174:AF174" si="7">1-SUM(C165:C173)</f>
        <v>0</v>
      </c>
      <c r="D174" s="1051">
        <f t="shared" si="7"/>
        <v>0</v>
      </c>
      <c r="E174" s="1052">
        <f t="shared" si="7"/>
        <v>4.0000000000000036E-3</v>
      </c>
      <c r="F174" s="1052">
        <f t="shared" si="7"/>
        <v>4.0000000000000036E-3</v>
      </c>
      <c r="G174" s="1052">
        <f t="shared" si="7"/>
        <v>4.0000000000000036E-3</v>
      </c>
      <c r="H174" s="1052">
        <f t="shared" si="7"/>
        <v>4.0000000000000036E-3</v>
      </c>
      <c r="I174" s="1052">
        <f t="shared" si="7"/>
        <v>4.0000000000000036E-3</v>
      </c>
      <c r="J174" s="1052">
        <f t="shared" si="7"/>
        <v>4.0000000000000036E-3</v>
      </c>
      <c r="K174" s="1052">
        <f t="shared" si="7"/>
        <v>4.0000000000000036E-3</v>
      </c>
      <c r="L174" s="1053">
        <f t="shared" si="7"/>
        <v>4.0000000000000036E-3</v>
      </c>
      <c r="M174" s="1054">
        <f t="shared" si="7"/>
        <v>0</v>
      </c>
      <c r="N174" s="1052">
        <f t="shared" si="7"/>
        <v>0</v>
      </c>
      <c r="O174" s="1052">
        <f t="shared" si="7"/>
        <v>4.0000000000000036E-3</v>
      </c>
      <c r="P174" s="1052">
        <f t="shared" si="7"/>
        <v>4.0000000000000036E-3</v>
      </c>
      <c r="Q174" s="1052">
        <f t="shared" si="7"/>
        <v>4.0000000000000036E-3</v>
      </c>
      <c r="R174" s="1052">
        <f t="shared" si="7"/>
        <v>4.0000000000000036E-3</v>
      </c>
      <c r="S174" s="1052">
        <f t="shared" si="7"/>
        <v>4.0000000000000036E-3</v>
      </c>
      <c r="T174" s="1052">
        <f t="shared" si="7"/>
        <v>4.0000000000000036E-3</v>
      </c>
      <c r="U174" s="1052">
        <f t="shared" si="7"/>
        <v>4.0000000000000036E-3</v>
      </c>
      <c r="V174" s="1053">
        <f t="shared" si="7"/>
        <v>4.0000000000000036E-3</v>
      </c>
      <c r="W174" s="1054">
        <f t="shared" si="7"/>
        <v>0</v>
      </c>
      <c r="X174" s="1052">
        <f t="shared" si="7"/>
        <v>0</v>
      </c>
      <c r="Y174" s="1052">
        <f t="shared" si="7"/>
        <v>1</v>
      </c>
      <c r="Z174" s="1052">
        <f t="shared" si="7"/>
        <v>1</v>
      </c>
      <c r="AA174" s="1052">
        <f t="shared" si="7"/>
        <v>1</v>
      </c>
      <c r="AB174" s="1052">
        <f t="shared" si="7"/>
        <v>1</v>
      </c>
      <c r="AC174" s="1052">
        <f t="shared" si="7"/>
        <v>1</v>
      </c>
      <c r="AD174" s="1052">
        <f t="shared" si="7"/>
        <v>1</v>
      </c>
      <c r="AE174" s="1052">
        <f t="shared" si="7"/>
        <v>1</v>
      </c>
      <c r="AF174" s="1053">
        <f t="shared" si="7"/>
        <v>1</v>
      </c>
    </row>
    <row r="175" spans="2:32">
      <c r="B175" s="487" t="s">
        <v>184</v>
      </c>
      <c r="C175" s="1049"/>
      <c r="D175" s="1049"/>
      <c r="E175" s="1055"/>
      <c r="F175" s="1055"/>
      <c r="G175" s="1055"/>
      <c r="H175" s="1055"/>
      <c r="I175" s="1055"/>
      <c r="J175" s="1055"/>
      <c r="K175" s="1055"/>
      <c r="L175" s="1056"/>
      <c r="M175" s="1057"/>
      <c r="N175" s="1055"/>
      <c r="O175" s="1055"/>
      <c r="P175" s="1055"/>
      <c r="Q175" s="1055"/>
      <c r="R175" s="1055"/>
      <c r="S175" s="1055"/>
      <c r="T175" s="1055"/>
      <c r="U175" s="1055"/>
      <c r="V175" s="1056"/>
      <c r="W175" s="1057"/>
      <c r="X175" s="1055"/>
      <c r="Y175" s="1055"/>
      <c r="Z175" s="1055"/>
      <c r="AA175" s="1055"/>
      <c r="AB175" s="1055"/>
      <c r="AC175" s="1055"/>
      <c r="AD175" s="1055"/>
      <c r="AE175" s="1055"/>
      <c r="AF175" s="1056"/>
    </row>
    <row r="176" spans="2:32">
      <c r="B176" s="488" t="s">
        <v>251</v>
      </c>
      <c r="C176" s="1049">
        <f>IF(Vehi_Inputs!$B$8=2,W176,M176)</f>
        <v>0.66803727795805046</v>
      </c>
      <c r="D176" s="1049">
        <f>IF(Vehi_Inputs!$B$8=2,X176,N176)</f>
        <v>0.36899999999999999</v>
      </c>
      <c r="E176" s="1049">
        <f>IF(Vehi_Inputs!$B$8=2,Y176,O176)</f>
        <v>0.66803727795805046</v>
      </c>
      <c r="F176" s="1049">
        <f>IF(Vehi_Inputs!$B$8=2,Z176,P176)</f>
        <v>0.35599999999999998</v>
      </c>
      <c r="G176" s="1049">
        <f>IF(Vehi_Inputs!$B$8=2,AA176,Q176)</f>
        <v>0.66803727795805046</v>
      </c>
      <c r="H176" s="1049">
        <f>IF(Vehi_Inputs!$B$8=2,AB176,R176)</f>
        <v>0.34799999999999998</v>
      </c>
      <c r="I176" s="1049">
        <f>IF(Vehi_Inputs!$B$8=2,AC176,S176)</f>
        <v>0.66803727795805046</v>
      </c>
      <c r="J176" s="1049">
        <f>IF(Vehi_Inputs!$B$8=2,AD176,T176)</f>
        <v>0.34300000000000003</v>
      </c>
      <c r="K176" s="1049">
        <f>IF(Vehi_Inputs!$B$8=2,AE176,U176)</f>
        <v>0.66803727795805046</v>
      </c>
      <c r="L176" s="1049">
        <f>IF(Vehi_Inputs!$B$8=2,AF176,V176)</f>
        <v>0.34399999999999997</v>
      </c>
      <c r="M176" s="1243">
        <v>0.66803727795805046</v>
      </c>
      <c r="N176" s="1058">
        <v>0.36899999999999999</v>
      </c>
      <c r="O176" s="1058">
        <v>0.66803727795805046</v>
      </c>
      <c r="P176" s="1058">
        <v>0.35599999999999998</v>
      </c>
      <c r="Q176" s="1058">
        <v>0.66803727795805046</v>
      </c>
      <c r="R176" s="1058">
        <v>0.34799999999999998</v>
      </c>
      <c r="S176" s="1058">
        <v>0.66803727795805046</v>
      </c>
      <c r="T176" s="1058">
        <v>0.34300000000000003</v>
      </c>
      <c r="U176" s="1058">
        <v>0.66803727795805046</v>
      </c>
      <c r="V176" s="1475">
        <v>0.34399999999999997</v>
      </c>
      <c r="W176" s="1026">
        <v>0.72232330888098983</v>
      </c>
      <c r="X176" s="1027">
        <v>0.59638055986256344</v>
      </c>
      <c r="Y176" s="1027">
        <v>0</v>
      </c>
      <c r="Z176" s="1027">
        <v>0</v>
      </c>
      <c r="AA176" s="1027">
        <v>0</v>
      </c>
      <c r="AB176" s="1027">
        <v>0</v>
      </c>
      <c r="AC176" s="1027">
        <v>0</v>
      </c>
      <c r="AD176" s="1027">
        <v>0</v>
      </c>
      <c r="AE176" s="1027">
        <v>0</v>
      </c>
      <c r="AF176" s="1050">
        <v>0</v>
      </c>
    </row>
    <row r="177" spans="2:32">
      <c r="B177" s="488" t="s">
        <v>276</v>
      </c>
      <c r="C177" s="1049">
        <f>IF(Vehi_Inputs!$B$8=2,W177,M177)</f>
        <v>0</v>
      </c>
      <c r="D177" s="1049">
        <f>IF(Vehi_Inputs!$B$8=2,X177,N177)</f>
        <v>8.6999999999999994E-2</v>
      </c>
      <c r="E177" s="1049">
        <f>IF(Vehi_Inputs!$B$8=2,Y177,O177)</f>
        <v>0</v>
      </c>
      <c r="F177" s="1049">
        <f>IF(Vehi_Inputs!$B$8=2,Z177,P177)</f>
        <v>8.6999999999999994E-2</v>
      </c>
      <c r="G177" s="1049">
        <f>IF(Vehi_Inputs!$B$8=2,AA177,Q177)</f>
        <v>0</v>
      </c>
      <c r="H177" s="1049">
        <f>IF(Vehi_Inputs!$B$8=2,AB177,R177)</f>
        <v>8.8999999999999996E-2</v>
      </c>
      <c r="I177" s="1049">
        <f>IF(Vehi_Inputs!$B$8=2,AC177,S177)</f>
        <v>0</v>
      </c>
      <c r="J177" s="1049">
        <f>IF(Vehi_Inputs!$B$8=2,AD177,T177)</f>
        <v>9.1999999999999998E-2</v>
      </c>
      <c r="K177" s="1049">
        <f>IF(Vehi_Inputs!$B$8=2,AE177,U177)</f>
        <v>0</v>
      </c>
      <c r="L177" s="1049">
        <f>IF(Vehi_Inputs!$B$8=2,AF177,V177)</f>
        <v>9.0999999999999998E-2</v>
      </c>
      <c r="M177" s="1243">
        <v>0</v>
      </c>
      <c r="N177" s="1058">
        <v>8.6999999999999994E-2</v>
      </c>
      <c r="O177" s="1058">
        <v>0</v>
      </c>
      <c r="P177" s="1058">
        <v>8.6999999999999994E-2</v>
      </c>
      <c r="Q177" s="1058">
        <v>0</v>
      </c>
      <c r="R177" s="1058">
        <v>8.8999999999999996E-2</v>
      </c>
      <c r="S177" s="1058">
        <v>0</v>
      </c>
      <c r="T177" s="1058">
        <v>9.1999999999999998E-2</v>
      </c>
      <c r="U177" s="1058">
        <v>0</v>
      </c>
      <c r="V177" s="1475">
        <v>9.0999999999999998E-2</v>
      </c>
      <c r="W177" s="1026">
        <v>8.799690088801479E-2</v>
      </c>
      <c r="X177" s="1027">
        <v>1.8990999917430435E-2</v>
      </c>
      <c r="Y177" s="1027">
        <v>0</v>
      </c>
      <c r="Z177" s="1027">
        <v>0</v>
      </c>
      <c r="AA177" s="1027">
        <v>0</v>
      </c>
      <c r="AB177" s="1027">
        <v>0</v>
      </c>
      <c r="AC177" s="1027">
        <v>0</v>
      </c>
      <c r="AD177" s="1027">
        <v>0</v>
      </c>
      <c r="AE177" s="1027">
        <v>0</v>
      </c>
      <c r="AF177" s="1050">
        <v>0</v>
      </c>
    </row>
    <row r="178" spans="2:32">
      <c r="B178" s="488" t="s">
        <v>252</v>
      </c>
      <c r="C178" s="1049">
        <f>IF(Vehi_Inputs!$B$8=2,W178,M178)</f>
        <v>1.5068145011052537E-2</v>
      </c>
      <c r="D178" s="1049">
        <f>IF(Vehi_Inputs!$B$8=2,X178,N178)</f>
        <v>2.3E-2</v>
      </c>
      <c r="E178" s="1049">
        <f>IF(Vehi_Inputs!$B$8=2,Y178,O178)</f>
        <v>1.5068145011052537E-2</v>
      </c>
      <c r="F178" s="1049">
        <f>IF(Vehi_Inputs!$B$8=2,Z178,P178)</f>
        <v>2.1999999999999999E-2</v>
      </c>
      <c r="G178" s="1049">
        <f>IF(Vehi_Inputs!$B$8=2,AA178,Q178)</f>
        <v>1.5068145011052537E-2</v>
      </c>
      <c r="H178" s="1049">
        <f>IF(Vehi_Inputs!$B$8=2,AB178,R178)</f>
        <v>2.1000000000000001E-2</v>
      </c>
      <c r="I178" s="1049">
        <f>IF(Vehi_Inputs!$B$8=2,AC178,S178)</f>
        <v>1.5068145011052537E-2</v>
      </c>
      <c r="J178" s="1049">
        <f>IF(Vehi_Inputs!$B$8=2,AD178,T178)</f>
        <v>0.02</v>
      </c>
      <c r="K178" s="1049">
        <f>IF(Vehi_Inputs!$B$8=2,AE178,U178)</f>
        <v>1.5068145011052537E-2</v>
      </c>
      <c r="L178" s="1049">
        <f>IF(Vehi_Inputs!$B$8=2,AF178,V178)</f>
        <v>0.02</v>
      </c>
      <c r="M178" s="1243">
        <v>1.5068145011052537E-2</v>
      </c>
      <c r="N178" s="1058">
        <v>2.3E-2</v>
      </c>
      <c r="O178" s="1058">
        <v>1.5068145011052537E-2</v>
      </c>
      <c r="P178" s="1058">
        <v>2.1999999999999999E-2</v>
      </c>
      <c r="Q178" s="1058">
        <v>1.5068145011052537E-2</v>
      </c>
      <c r="R178" s="1058">
        <v>2.1000000000000001E-2</v>
      </c>
      <c r="S178" s="1058">
        <v>1.5068145011052537E-2</v>
      </c>
      <c r="T178" s="1058">
        <v>0.02</v>
      </c>
      <c r="U178" s="1058">
        <v>1.5068145011052537E-2</v>
      </c>
      <c r="V178" s="1475">
        <v>0.02</v>
      </c>
      <c r="W178" s="1026">
        <v>0</v>
      </c>
      <c r="X178" s="1027">
        <v>0.13464229977392322</v>
      </c>
      <c r="Y178" s="1027">
        <v>0</v>
      </c>
      <c r="Z178" s="1027">
        <v>0</v>
      </c>
      <c r="AA178" s="1027">
        <v>0</v>
      </c>
      <c r="AB178" s="1027">
        <v>0</v>
      </c>
      <c r="AC178" s="1027">
        <v>0</v>
      </c>
      <c r="AD178" s="1027">
        <v>0</v>
      </c>
      <c r="AE178" s="1027">
        <v>0</v>
      </c>
      <c r="AF178" s="1050">
        <v>0</v>
      </c>
    </row>
    <row r="179" spans="2:32">
      <c r="B179" s="488" t="s">
        <v>253</v>
      </c>
      <c r="C179" s="1049">
        <f>IF(Vehi_Inputs!$B$8=2,W179,M179)</f>
        <v>0.18599848825412088</v>
      </c>
      <c r="D179" s="1049">
        <f>IF(Vehi_Inputs!$B$8=2,X179,N179)</f>
        <v>0.31</v>
      </c>
      <c r="E179" s="1049">
        <f>IF(Vehi_Inputs!$B$8=2,Y179,O179)</f>
        <v>0.18599848825412088</v>
      </c>
      <c r="F179" s="1049">
        <f>IF(Vehi_Inputs!$B$8=2,Z179,P179)</f>
        <v>0.33200000000000002</v>
      </c>
      <c r="G179" s="1049">
        <f>IF(Vehi_Inputs!$B$8=2,AA179,Q179)</f>
        <v>0.18599848825412088</v>
      </c>
      <c r="H179" s="1049">
        <f>IF(Vehi_Inputs!$B$8=2,AB179,R179)</f>
        <v>0.34200000000000003</v>
      </c>
      <c r="I179" s="1049">
        <f>IF(Vehi_Inputs!$B$8=2,AC179,S179)</f>
        <v>0.18599848825412088</v>
      </c>
      <c r="J179" s="1049">
        <f>IF(Vehi_Inputs!$B$8=2,AD179,T179)</f>
        <v>0.34699999999999998</v>
      </c>
      <c r="K179" s="1049">
        <f>IF(Vehi_Inputs!$B$8=2,AE179,U179)</f>
        <v>0.18599848825412088</v>
      </c>
      <c r="L179" s="1049">
        <f>IF(Vehi_Inputs!$B$8=2,AF179,V179)</f>
        <v>0.34599999999999997</v>
      </c>
      <c r="M179" s="1243">
        <v>0.18599848825412088</v>
      </c>
      <c r="N179" s="1058">
        <v>0.31</v>
      </c>
      <c r="O179" s="1058">
        <v>0.18599848825412088</v>
      </c>
      <c r="P179" s="1058">
        <v>0.33200000000000002</v>
      </c>
      <c r="Q179" s="1058">
        <v>0.18599848825412088</v>
      </c>
      <c r="R179" s="1058">
        <v>0.34200000000000003</v>
      </c>
      <c r="S179" s="1058">
        <v>0.18599848825412088</v>
      </c>
      <c r="T179" s="1058">
        <v>0.34699999999999998</v>
      </c>
      <c r="U179" s="1058">
        <v>0.18599848825412088</v>
      </c>
      <c r="V179" s="1475">
        <v>0.34599999999999997</v>
      </c>
      <c r="W179" s="1026">
        <v>2.7397341915489599E-2</v>
      </c>
      <c r="X179" s="1027">
        <v>4.6444109275701154E-2</v>
      </c>
      <c r="Y179" s="1027">
        <v>0</v>
      </c>
      <c r="Z179" s="1027">
        <v>0</v>
      </c>
      <c r="AA179" s="1027">
        <v>0</v>
      </c>
      <c r="AB179" s="1027">
        <v>0</v>
      </c>
      <c r="AC179" s="1027">
        <v>0</v>
      </c>
      <c r="AD179" s="1027">
        <v>0</v>
      </c>
      <c r="AE179" s="1027">
        <v>0</v>
      </c>
      <c r="AF179" s="1050">
        <v>0</v>
      </c>
    </row>
    <row r="180" spans="2:32">
      <c r="B180" s="488" t="s">
        <v>254</v>
      </c>
      <c r="C180" s="1049">
        <f>IF(Vehi_Inputs!$B$8=2,W180,M180)</f>
        <v>1.3234171660046654E-2</v>
      </c>
      <c r="D180" s="1049">
        <f>IF(Vehi_Inputs!$B$8=2,X180,N180)</f>
        <v>2.1000000000000001E-2</v>
      </c>
      <c r="E180" s="1049">
        <f>IF(Vehi_Inputs!$B$8=2,Y180,O180)</f>
        <v>1.3234171660046654E-2</v>
      </c>
      <c r="F180" s="1049">
        <f>IF(Vehi_Inputs!$B$8=2,Z180,P180)</f>
        <v>0.02</v>
      </c>
      <c r="G180" s="1049">
        <f>IF(Vehi_Inputs!$B$8=2,AA180,Q180)</f>
        <v>1.3234171660046654E-2</v>
      </c>
      <c r="H180" s="1049">
        <f>IF(Vehi_Inputs!$B$8=2,AB180,R180)</f>
        <v>1.9E-2</v>
      </c>
      <c r="I180" s="1049">
        <f>IF(Vehi_Inputs!$B$8=2,AC180,S180)</f>
        <v>1.3234171660046654E-2</v>
      </c>
      <c r="J180" s="1049">
        <f>IF(Vehi_Inputs!$B$8=2,AD180,T180)</f>
        <v>1.7999999999999999E-2</v>
      </c>
      <c r="K180" s="1049">
        <f>IF(Vehi_Inputs!$B$8=2,AE180,U180)</f>
        <v>1.3234171660046654E-2</v>
      </c>
      <c r="L180" s="1049">
        <f>IF(Vehi_Inputs!$B$8=2,AF180,V180)</f>
        <v>1.7999999999999999E-2</v>
      </c>
      <c r="M180" s="1243">
        <v>1.3234171660046654E-2</v>
      </c>
      <c r="N180" s="1058">
        <v>2.1000000000000001E-2</v>
      </c>
      <c r="O180" s="1058">
        <v>1.3234171660046654E-2</v>
      </c>
      <c r="P180" s="1058">
        <v>0.02</v>
      </c>
      <c r="Q180" s="1058">
        <v>1.3234171660046654E-2</v>
      </c>
      <c r="R180" s="1058">
        <v>1.9E-2</v>
      </c>
      <c r="S180" s="1058">
        <v>1.3234171660046654E-2</v>
      </c>
      <c r="T180" s="1058">
        <v>1.7999999999999999E-2</v>
      </c>
      <c r="U180" s="1058">
        <v>1.3234171660046654E-2</v>
      </c>
      <c r="V180" s="1475">
        <v>1.7999999999999999E-2</v>
      </c>
      <c r="W180" s="1026">
        <v>3.3971035222599686E-3</v>
      </c>
      <c r="X180" s="1027">
        <v>5.5862439104945923E-3</v>
      </c>
      <c r="Y180" s="1027">
        <v>0</v>
      </c>
      <c r="Z180" s="1027">
        <v>0</v>
      </c>
      <c r="AA180" s="1027">
        <v>0</v>
      </c>
      <c r="AB180" s="1027">
        <v>0</v>
      </c>
      <c r="AC180" s="1027">
        <v>0</v>
      </c>
      <c r="AD180" s="1027">
        <v>0</v>
      </c>
      <c r="AE180" s="1027">
        <v>0</v>
      </c>
      <c r="AF180" s="1050">
        <v>0</v>
      </c>
    </row>
    <row r="181" spans="2:32">
      <c r="B181" s="488" t="s">
        <v>255</v>
      </c>
      <c r="C181" s="1049">
        <f>IF(Vehi_Inputs!$B$8=2,W181,M181)</f>
        <v>0</v>
      </c>
      <c r="D181" s="1049">
        <f>IF(Vehi_Inputs!$B$8=2,X181,N181)</f>
        <v>0</v>
      </c>
      <c r="E181" s="1049">
        <f>IF(Vehi_Inputs!$B$8=2,Y181,O181)</f>
        <v>0</v>
      </c>
      <c r="F181" s="1049">
        <f>IF(Vehi_Inputs!$B$8=2,Z181,P181)</f>
        <v>0</v>
      </c>
      <c r="G181" s="1049">
        <f>IF(Vehi_Inputs!$B$8=2,AA181,Q181)</f>
        <v>0</v>
      </c>
      <c r="H181" s="1049">
        <f>IF(Vehi_Inputs!$B$8=2,AB181,R181)</f>
        <v>0</v>
      </c>
      <c r="I181" s="1049">
        <f>IF(Vehi_Inputs!$B$8=2,AC181,S181)</f>
        <v>0</v>
      </c>
      <c r="J181" s="1049">
        <f>IF(Vehi_Inputs!$B$8=2,AD181,T181)</f>
        <v>0</v>
      </c>
      <c r="K181" s="1049">
        <f>IF(Vehi_Inputs!$B$8=2,AE181,U181)</f>
        <v>0</v>
      </c>
      <c r="L181" s="1049">
        <f>IF(Vehi_Inputs!$B$8=2,AF181,V181)</f>
        <v>0</v>
      </c>
      <c r="M181" s="1243">
        <v>0</v>
      </c>
      <c r="N181" s="1058">
        <v>0</v>
      </c>
      <c r="O181" s="1058">
        <v>0</v>
      </c>
      <c r="P181" s="1058">
        <v>0</v>
      </c>
      <c r="Q181" s="1058">
        <v>0</v>
      </c>
      <c r="R181" s="1058">
        <v>0</v>
      </c>
      <c r="S181" s="1058">
        <v>0</v>
      </c>
      <c r="T181" s="1058">
        <v>0</v>
      </c>
      <c r="U181" s="1058">
        <v>0</v>
      </c>
      <c r="V181" s="1475">
        <v>0</v>
      </c>
      <c r="W181" s="1026">
        <v>3.1253352404791703E-3</v>
      </c>
      <c r="X181" s="1027">
        <v>3.3329204855090419E-3</v>
      </c>
      <c r="Y181" s="1027">
        <v>0</v>
      </c>
      <c r="Z181" s="1027">
        <v>0</v>
      </c>
      <c r="AA181" s="1027">
        <v>0</v>
      </c>
      <c r="AB181" s="1027">
        <v>0</v>
      </c>
      <c r="AC181" s="1027">
        <v>0</v>
      </c>
      <c r="AD181" s="1027">
        <v>0</v>
      </c>
      <c r="AE181" s="1027">
        <v>0</v>
      </c>
      <c r="AF181" s="1050">
        <v>0</v>
      </c>
    </row>
    <row r="182" spans="2:32">
      <c r="B182" s="488" t="s">
        <v>256</v>
      </c>
      <c r="C182" s="1049">
        <f>IF(Vehi_Inputs!$B$8=2,W182,M182)</f>
        <v>1.0053329268806524E-3</v>
      </c>
      <c r="D182" s="1049">
        <f>IF(Vehi_Inputs!$B$8=2,X182,N182)</f>
        <v>0</v>
      </c>
      <c r="E182" s="1049">
        <f>IF(Vehi_Inputs!$B$8=2,Y182,O182)</f>
        <v>1.0053329268806524E-3</v>
      </c>
      <c r="F182" s="1049">
        <f>IF(Vehi_Inputs!$B$8=2,Z182,P182)</f>
        <v>0</v>
      </c>
      <c r="G182" s="1049">
        <f>IF(Vehi_Inputs!$B$8=2,AA182,Q182)</f>
        <v>1.0053329268806524E-3</v>
      </c>
      <c r="H182" s="1049">
        <f>IF(Vehi_Inputs!$B$8=2,AB182,R182)</f>
        <v>0</v>
      </c>
      <c r="I182" s="1049">
        <f>IF(Vehi_Inputs!$B$8=2,AC182,S182)</f>
        <v>1.0053329268806524E-3</v>
      </c>
      <c r="J182" s="1049">
        <f>IF(Vehi_Inputs!$B$8=2,AD182,T182)</f>
        <v>0</v>
      </c>
      <c r="K182" s="1049">
        <f>IF(Vehi_Inputs!$B$8=2,AE182,U182)</f>
        <v>1.0053329268806524E-3</v>
      </c>
      <c r="L182" s="1049">
        <f>IF(Vehi_Inputs!$B$8=2,AF182,V182)</f>
        <v>0</v>
      </c>
      <c r="M182" s="1243">
        <v>1.0053329268806524E-3</v>
      </c>
      <c r="N182" s="1058">
        <v>0</v>
      </c>
      <c r="O182" s="1058">
        <v>1.0053329268806524E-3</v>
      </c>
      <c r="P182" s="1058">
        <v>0</v>
      </c>
      <c r="Q182" s="1058">
        <v>1.0053329268806524E-3</v>
      </c>
      <c r="R182" s="1058">
        <v>0</v>
      </c>
      <c r="S182" s="1058">
        <v>1.0053329268806524E-3</v>
      </c>
      <c r="T182" s="1058">
        <v>0</v>
      </c>
      <c r="U182" s="1058">
        <v>1.0053329268806524E-3</v>
      </c>
      <c r="V182" s="1475">
        <v>0</v>
      </c>
      <c r="W182" s="1026">
        <v>7.536205971750403E-3</v>
      </c>
      <c r="X182" s="1027">
        <v>1.0440921476343821E-2</v>
      </c>
      <c r="Y182" s="1027">
        <v>0</v>
      </c>
      <c r="Z182" s="1027">
        <v>0</v>
      </c>
      <c r="AA182" s="1027">
        <v>0</v>
      </c>
      <c r="AB182" s="1027">
        <v>0</v>
      </c>
      <c r="AC182" s="1027">
        <v>0</v>
      </c>
      <c r="AD182" s="1027">
        <v>0</v>
      </c>
      <c r="AE182" s="1027">
        <v>0</v>
      </c>
      <c r="AF182" s="1050">
        <v>0</v>
      </c>
    </row>
    <row r="183" spans="2:32">
      <c r="B183" s="488" t="s">
        <v>257</v>
      </c>
      <c r="C183" s="1049">
        <f>IF(Vehi_Inputs!$B$8=2,W183,M183)</f>
        <v>1.5458246998998973E-3</v>
      </c>
      <c r="D183" s="1049">
        <f>IF(Vehi_Inputs!$B$8=2,X183,N183)</f>
        <v>7.8E-2</v>
      </c>
      <c r="E183" s="1049">
        <f>IF(Vehi_Inputs!$B$8=2,Y183,O183)</f>
        <v>1.5458246998998973E-3</v>
      </c>
      <c r="F183" s="1049">
        <f>IF(Vehi_Inputs!$B$8=2,Z183,P183)</f>
        <v>7.8E-2</v>
      </c>
      <c r="G183" s="1049">
        <f>IF(Vehi_Inputs!$B$8=2,AA183,Q183)</f>
        <v>1.5458246998998973E-3</v>
      </c>
      <c r="H183" s="1049">
        <f>IF(Vehi_Inputs!$B$8=2,AB183,R183)</f>
        <v>0.08</v>
      </c>
      <c r="I183" s="1049">
        <f>IF(Vehi_Inputs!$B$8=2,AC183,S183)</f>
        <v>1.5458246998998973E-3</v>
      </c>
      <c r="J183" s="1049">
        <f>IF(Vehi_Inputs!$B$8=2,AD183,T183)</f>
        <v>8.3000000000000004E-2</v>
      </c>
      <c r="K183" s="1049">
        <f>IF(Vehi_Inputs!$B$8=2,AE183,U183)</f>
        <v>1.5458246998998973E-3</v>
      </c>
      <c r="L183" s="1049">
        <f>IF(Vehi_Inputs!$B$8=2,AF183,V183)</f>
        <v>8.2000000000000003E-2</v>
      </c>
      <c r="M183" s="1243">
        <v>1.5458246998998973E-3</v>
      </c>
      <c r="N183" s="1058">
        <v>7.8E-2</v>
      </c>
      <c r="O183" s="1058">
        <v>1.5458246998998973E-3</v>
      </c>
      <c r="P183" s="1058">
        <v>7.8E-2</v>
      </c>
      <c r="Q183" s="1058">
        <v>1.5458246998998973E-3</v>
      </c>
      <c r="R183" s="1058">
        <v>0.08</v>
      </c>
      <c r="S183" s="1058">
        <v>1.5458246998998973E-3</v>
      </c>
      <c r="T183" s="1058">
        <v>8.3000000000000004E-2</v>
      </c>
      <c r="U183" s="1058">
        <v>1.5458246998998973E-3</v>
      </c>
      <c r="V183" s="1475">
        <v>8.2000000000000003E-2</v>
      </c>
      <c r="W183" s="1026">
        <v>0</v>
      </c>
      <c r="X183" s="1027">
        <v>0</v>
      </c>
      <c r="Y183" s="1027">
        <v>0</v>
      </c>
      <c r="Z183" s="1027">
        <v>0</v>
      </c>
      <c r="AA183" s="1027">
        <v>0</v>
      </c>
      <c r="AB183" s="1027">
        <v>0</v>
      </c>
      <c r="AC183" s="1027">
        <v>0</v>
      </c>
      <c r="AD183" s="1027">
        <v>0</v>
      </c>
      <c r="AE183" s="1027">
        <v>0</v>
      </c>
      <c r="AF183" s="1050">
        <v>0</v>
      </c>
    </row>
    <row r="184" spans="2:32">
      <c r="B184" s="488" t="s">
        <v>260</v>
      </c>
      <c r="C184" s="1049">
        <f>IF(Vehi_Inputs!$B$8=2,W184,M184)</f>
        <v>2.3483428646982336E-2</v>
      </c>
      <c r="D184" s="1049">
        <f>IF(Vehi_Inputs!$B$8=2,X184,N184)</f>
        <v>3.1E-2</v>
      </c>
      <c r="E184" s="1049">
        <f>IF(Vehi_Inputs!$B$8=2,Y184,O184)</f>
        <v>2.3483428646982336E-2</v>
      </c>
      <c r="F184" s="1049">
        <f>IF(Vehi_Inputs!$B$8=2,Z184,P184)</f>
        <v>2.9000000000000001E-2</v>
      </c>
      <c r="G184" s="1049">
        <f>IF(Vehi_Inputs!$B$8=2,AA184,Q184)</f>
        <v>2.3483428646982336E-2</v>
      </c>
      <c r="H184" s="1049">
        <f>IF(Vehi_Inputs!$B$8=2,AB184,R184)</f>
        <v>2.7E-2</v>
      </c>
      <c r="I184" s="1049">
        <f>IF(Vehi_Inputs!$B$8=2,AC184,S184)</f>
        <v>2.3483428646982336E-2</v>
      </c>
      <c r="J184" s="1049">
        <f>IF(Vehi_Inputs!$B$8=2,AD184,T184)</f>
        <v>2.5999999999999999E-2</v>
      </c>
      <c r="K184" s="1049">
        <f>IF(Vehi_Inputs!$B$8=2,AE184,U184)</f>
        <v>2.3483428646982336E-2</v>
      </c>
      <c r="L184" s="1049">
        <f>IF(Vehi_Inputs!$B$8=2,AF184,V184)</f>
        <v>2.5999999999999999E-2</v>
      </c>
      <c r="M184" s="1243">
        <v>2.3483428646982336E-2</v>
      </c>
      <c r="N184" s="1058">
        <v>3.1E-2</v>
      </c>
      <c r="O184" s="1058">
        <v>2.3483428646982336E-2</v>
      </c>
      <c r="P184" s="1058">
        <v>2.9000000000000001E-2</v>
      </c>
      <c r="Q184" s="1058">
        <v>2.3483428646982336E-2</v>
      </c>
      <c r="R184" s="1058">
        <v>2.7E-2</v>
      </c>
      <c r="S184" s="1058">
        <v>2.3483428646982336E-2</v>
      </c>
      <c r="T184" s="1058">
        <v>2.5999999999999999E-2</v>
      </c>
      <c r="U184" s="1058">
        <v>2.3483428646982336E-2</v>
      </c>
      <c r="V184" s="1475">
        <v>2.5999999999999999E-2</v>
      </c>
      <c r="W184" s="1026">
        <v>8.75946123130103E-3</v>
      </c>
      <c r="X184" s="1027">
        <v>1.4310956981256711E-2</v>
      </c>
      <c r="Y184" s="1027">
        <v>0</v>
      </c>
      <c r="Z184" s="1027">
        <v>0</v>
      </c>
      <c r="AA184" s="1027">
        <v>0</v>
      </c>
      <c r="AB184" s="1027">
        <v>0</v>
      </c>
      <c r="AC184" s="1027">
        <v>0</v>
      </c>
      <c r="AD184" s="1027">
        <v>0</v>
      </c>
      <c r="AE184" s="1027">
        <v>0</v>
      </c>
      <c r="AF184" s="1050">
        <v>0</v>
      </c>
    </row>
    <row r="185" spans="2:32">
      <c r="B185" s="488" t="s">
        <v>261</v>
      </c>
      <c r="C185" s="1049">
        <f>IF(Vehi_Inputs!$B$8=2,W185,M185)</f>
        <v>9.1540191527829384E-2</v>
      </c>
      <c r="D185" s="1049">
        <f>IF(Vehi_Inputs!$B$8=2,X185,N185)</f>
        <v>7.3999999999999996E-2</v>
      </c>
      <c r="E185" s="1049">
        <f>IF(Vehi_Inputs!$B$8=2,Y185,O185)</f>
        <v>9.1540191527829384E-2</v>
      </c>
      <c r="F185" s="1049">
        <f>IF(Vehi_Inputs!$B$8=2,Z185,P185)</f>
        <v>6.9000000000000006E-2</v>
      </c>
      <c r="G185" s="1049">
        <f>IF(Vehi_Inputs!$B$8=2,AA185,Q185)</f>
        <v>9.1540191527829384E-2</v>
      </c>
      <c r="H185" s="1049">
        <f>IF(Vehi_Inputs!$B$8=2,AB185,R185)</f>
        <v>6.6000000000000003E-2</v>
      </c>
      <c r="I185" s="1049">
        <f>IF(Vehi_Inputs!$B$8=2,AC185,S185)</f>
        <v>9.1540191527829384E-2</v>
      </c>
      <c r="J185" s="1049">
        <f>IF(Vehi_Inputs!$B$8=2,AD185,T185)</f>
        <v>6.4000000000000001E-2</v>
      </c>
      <c r="K185" s="1049">
        <f>IF(Vehi_Inputs!$B$8=2,AE185,U185)</f>
        <v>9.1540191527829384E-2</v>
      </c>
      <c r="L185" s="1049">
        <f>IF(Vehi_Inputs!$B$8=2,AF185,V185)</f>
        <v>6.4000000000000001E-2</v>
      </c>
      <c r="M185" s="1243">
        <v>9.1540191527829384E-2</v>
      </c>
      <c r="N185" s="1058">
        <v>7.3999999999999996E-2</v>
      </c>
      <c r="O185" s="1058">
        <v>9.1540191527829384E-2</v>
      </c>
      <c r="P185" s="1058">
        <v>6.9000000000000006E-2</v>
      </c>
      <c r="Q185" s="1058">
        <v>9.1540191527829384E-2</v>
      </c>
      <c r="R185" s="1058">
        <v>6.6000000000000003E-2</v>
      </c>
      <c r="S185" s="1058">
        <v>9.1540191527829384E-2</v>
      </c>
      <c r="T185" s="1058">
        <v>6.4000000000000001E-2</v>
      </c>
      <c r="U185" s="1058">
        <v>9.1540191527829384E-2</v>
      </c>
      <c r="V185" s="1475">
        <v>6.4000000000000001E-2</v>
      </c>
      <c r="W185" s="1026">
        <v>0.139464342349715</v>
      </c>
      <c r="X185" s="1027">
        <v>0.16987098831677772</v>
      </c>
      <c r="Y185" s="1027">
        <v>0</v>
      </c>
      <c r="Z185" s="1027">
        <v>0</v>
      </c>
      <c r="AA185" s="1027">
        <v>0</v>
      </c>
      <c r="AB185" s="1027">
        <v>0</v>
      </c>
      <c r="AC185" s="1027">
        <v>0</v>
      </c>
      <c r="AD185" s="1027">
        <v>0</v>
      </c>
      <c r="AE185" s="1027">
        <v>0</v>
      </c>
      <c r="AF185" s="1050">
        <v>0</v>
      </c>
    </row>
    <row r="186" spans="2:32">
      <c r="B186" s="488" t="s">
        <v>262</v>
      </c>
      <c r="C186" s="1049">
        <f t="shared" ref="C186:AF186" si="8">1-SUM(C176:C185)</f>
        <v>8.7139315136930406E-5</v>
      </c>
      <c r="D186" s="1049">
        <f t="shared" si="8"/>
        <v>7.0000000000001172E-3</v>
      </c>
      <c r="E186" s="1055">
        <f t="shared" si="8"/>
        <v>8.7139315136930406E-5</v>
      </c>
      <c r="F186" s="1055">
        <f t="shared" si="8"/>
        <v>7.0000000000001172E-3</v>
      </c>
      <c r="G186" s="1055">
        <f t="shared" si="8"/>
        <v>8.7139315136930406E-5</v>
      </c>
      <c r="H186" s="1055">
        <f t="shared" si="8"/>
        <v>8.0000000000000071E-3</v>
      </c>
      <c r="I186" s="1055">
        <f t="shared" si="8"/>
        <v>8.7139315136930406E-5</v>
      </c>
      <c r="J186" s="1055">
        <f t="shared" si="8"/>
        <v>6.9999999999998952E-3</v>
      </c>
      <c r="K186" s="1055">
        <f t="shared" si="8"/>
        <v>8.7139315136930406E-5</v>
      </c>
      <c r="L186" s="1056">
        <f t="shared" si="8"/>
        <v>9.000000000000119E-3</v>
      </c>
      <c r="M186" s="1054">
        <f t="shared" si="8"/>
        <v>8.7139315136930406E-5</v>
      </c>
      <c r="N186" s="1052">
        <f t="shared" si="8"/>
        <v>7.0000000000001172E-3</v>
      </c>
      <c r="O186" s="1055">
        <f t="shared" si="8"/>
        <v>8.7139315136930406E-5</v>
      </c>
      <c r="P186" s="1055">
        <f t="shared" si="8"/>
        <v>7.0000000000001172E-3</v>
      </c>
      <c r="Q186" s="1055">
        <f t="shared" si="8"/>
        <v>8.7139315136930406E-5</v>
      </c>
      <c r="R186" s="1055">
        <f t="shared" si="8"/>
        <v>8.0000000000000071E-3</v>
      </c>
      <c r="S186" s="1055">
        <f t="shared" si="8"/>
        <v>8.7139315136930406E-5</v>
      </c>
      <c r="T186" s="1055">
        <f t="shared" si="8"/>
        <v>6.9999999999998952E-3</v>
      </c>
      <c r="U186" s="1055">
        <f t="shared" si="8"/>
        <v>8.7139315136930406E-5</v>
      </c>
      <c r="V186" s="1056">
        <f t="shared" si="8"/>
        <v>9.000000000000119E-3</v>
      </c>
      <c r="W186" s="1054">
        <f t="shared" si="8"/>
        <v>0</v>
      </c>
      <c r="X186" s="1052">
        <f t="shared" si="8"/>
        <v>0</v>
      </c>
      <c r="Y186" s="1055">
        <f t="shared" si="8"/>
        <v>1</v>
      </c>
      <c r="Z186" s="1055">
        <f t="shared" si="8"/>
        <v>1</v>
      </c>
      <c r="AA186" s="1055">
        <f t="shared" si="8"/>
        <v>1</v>
      </c>
      <c r="AB186" s="1055">
        <f t="shared" si="8"/>
        <v>1</v>
      </c>
      <c r="AC186" s="1055">
        <f t="shared" si="8"/>
        <v>1</v>
      </c>
      <c r="AD186" s="1055">
        <f t="shared" si="8"/>
        <v>1</v>
      </c>
      <c r="AE186" s="1055">
        <f t="shared" si="8"/>
        <v>1</v>
      </c>
      <c r="AF186" s="1056">
        <f t="shared" si="8"/>
        <v>1</v>
      </c>
    </row>
    <row r="187" spans="2:32">
      <c r="B187" s="482" t="s">
        <v>185</v>
      </c>
      <c r="C187" s="1047"/>
      <c r="D187" s="1047"/>
      <c r="E187" s="1047"/>
      <c r="F187" s="1047"/>
      <c r="G187" s="1047"/>
      <c r="H187" s="1047"/>
      <c r="I187" s="1047"/>
      <c r="J187" s="1047"/>
      <c r="K187" s="1047"/>
      <c r="L187" s="1048"/>
      <c r="M187" s="523"/>
      <c r="N187" s="524"/>
      <c r="O187" s="1047"/>
      <c r="P187" s="1047"/>
      <c r="Q187" s="1047"/>
      <c r="R187" s="1047"/>
      <c r="S187" s="1047"/>
      <c r="T187" s="1047"/>
      <c r="U187" s="1047"/>
      <c r="V187" s="1048"/>
      <c r="W187" s="523"/>
      <c r="X187" s="524"/>
      <c r="Y187" s="1047"/>
      <c r="Z187" s="1047"/>
      <c r="AA187" s="1047"/>
      <c r="AB187" s="1047"/>
      <c r="AC187" s="1047"/>
      <c r="AD187" s="1047"/>
      <c r="AE187" s="1047"/>
      <c r="AF187" s="1048"/>
    </row>
    <row r="188" spans="2:32">
      <c r="B188" s="488" t="s">
        <v>251</v>
      </c>
      <c r="C188" s="1055"/>
      <c r="D188" s="1055"/>
      <c r="E188" s="1049">
        <f>IF(Vehi_Inputs!$B$8=2,Y188,O188)</f>
        <v>0.36099999999999999</v>
      </c>
      <c r="F188" s="1049">
        <f>IF(Vehi_Inputs!$B$8=2,Z188,P188)</f>
        <v>0.36099999999999999</v>
      </c>
      <c r="G188" s="1049">
        <f>IF(Vehi_Inputs!$B$8=2,AA188,Q188)</f>
        <v>0.36099999999999999</v>
      </c>
      <c r="H188" s="1049">
        <f>IF(Vehi_Inputs!$B$8=2,AB188,R188)</f>
        <v>0.36099999999999999</v>
      </c>
      <c r="I188" s="1049">
        <f>IF(Vehi_Inputs!$B$8=2,AC188,S188)</f>
        <v>0.36099999999999999</v>
      </c>
      <c r="J188" s="1049">
        <f>IF(Vehi_Inputs!$B$8=2,AD188,T188)</f>
        <v>0.36099999999999999</v>
      </c>
      <c r="K188" s="1049">
        <f>IF(Vehi_Inputs!$B$8=2,AE188,U188)</f>
        <v>0.36099999999999999</v>
      </c>
      <c r="L188" s="1049">
        <f>IF(Vehi_Inputs!$B$8=2,AF188,V188)</f>
        <v>0.36099999999999999</v>
      </c>
      <c r="M188" s="661"/>
      <c r="N188" s="363"/>
      <c r="O188" s="1027">
        <v>0.36099999999999999</v>
      </c>
      <c r="P188" s="1027">
        <v>0.36099999999999999</v>
      </c>
      <c r="Q188" s="1027">
        <v>0.36099999999999999</v>
      </c>
      <c r="R188" s="1027">
        <v>0.36099999999999999</v>
      </c>
      <c r="S188" s="1027">
        <v>0.36099999999999999</v>
      </c>
      <c r="T188" s="1027">
        <v>0.36099999999999999</v>
      </c>
      <c r="U188" s="1027">
        <v>0.36099999999999999</v>
      </c>
      <c r="V188" s="1050">
        <v>0.36099999999999999</v>
      </c>
      <c r="W188" s="661"/>
      <c r="X188" s="363"/>
      <c r="Y188" s="1027">
        <v>0</v>
      </c>
      <c r="Z188" s="1027">
        <v>0</v>
      </c>
      <c r="AA188" s="1027">
        <v>0</v>
      </c>
      <c r="AB188" s="1027">
        <v>0</v>
      </c>
      <c r="AC188" s="1027">
        <v>0</v>
      </c>
      <c r="AD188" s="1027">
        <v>0</v>
      </c>
      <c r="AE188" s="1027">
        <v>0</v>
      </c>
      <c r="AF188" s="1050">
        <v>0</v>
      </c>
    </row>
    <row r="189" spans="2:32">
      <c r="B189" s="488" t="s">
        <v>264</v>
      </c>
      <c r="C189" s="1055"/>
      <c r="D189" s="1055"/>
      <c r="E189" s="1049">
        <f>IF(Vehi_Inputs!$B$8=2,Y189,O189)</f>
        <v>0</v>
      </c>
      <c r="F189" s="1049">
        <f>IF(Vehi_Inputs!$B$8=2,Z189,P189)</f>
        <v>0</v>
      </c>
      <c r="G189" s="1049">
        <f>IF(Vehi_Inputs!$B$8=2,AA189,Q189)</f>
        <v>0</v>
      </c>
      <c r="H189" s="1049">
        <f>IF(Vehi_Inputs!$B$8=2,AB189,R189)</f>
        <v>0</v>
      </c>
      <c r="I189" s="1049">
        <f>IF(Vehi_Inputs!$B$8=2,AC189,S189)</f>
        <v>0</v>
      </c>
      <c r="J189" s="1049">
        <f>IF(Vehi_Inputs!$B$8=2,AD189,T189)</f>
        <v>0</v>
      </c>
      <c r="K189" s="1049">
        <f>IF(Vehi_Inputs!$B$8=2,AE189,U189)</f>
        <v>0</v>
      </c>
      <c r="L189" s="1049">
        <f>IF(Vehi_Inputs!$B$8=2,AF189,V189)</f>
        <v>0</v>
      </c>
      <c r="M189" s="661"/>
      <c r="N189" s="363"/>
      <c r="O189" s="1027">
        <v>0</v>
      </c>
      <c r="P189" s="1027">
        <v>0</v>
      </c>
      <c r="Q189" s="1027">
        <v>0</v>
      </c>
      <c r="R189" s="1027">
        <v>0</v>
      </c>
      <c r="S189" s="1027">
        <v>0</v>
      </c>
      <c r="T189" s="1027">
        <v>0</v>
      </c>
      <c r="U189" s="1027">
        <v>0</v>
      </c>
      <c r="V189" s="1050">
        <v>0</v>
      </c>
      <c r="W189" s="661"/>
      <c r="X189" s="363"/>
      <c r="Y189" s="1027">
        <v>0</v>
      </c>
      <c r="Z189" s="1027">
        <v>0</v>
      </c>
      <c r="AA189" s="1027">
        <v>0</v>
      </c>
      <c r="AB189" s="1027">
        <v>0</v>
      </c>
      <c r="AC189" s="1027">
        <v>0</v>
      </c>
      <c r="AD189" s="1027">
        <v>0</v>
      </c>
      <c r="AE189" s="1027">
        <v>0</v>
      </c>
      <c r="AF189" s="1050">
        <v>0</v>
      </c>
    </row>
    <row r="190" spans="2:32">
      <c r="B190" s="488" t="s">
        <v>253</v>
      </c>
      <c r="C190" s="1055"/>
      <c r="D190" s="1055"/>
      <c r="E190" s="1049">
        <f>IF(Vehi_Inputs!$B$8=2,Y190,O190)</f>
        <v>0.36099999999999999</v>
      </c>
      <c r="F190" s="1049">
        <f>IF(Vehi_Inputs!$B$8=2,Z190,P190)</f>
        <v>0.36099999999999999</v>
      </c>
      <c r="G190" s="1049">
        <f>IF(Vehi_Inputs!$B$8=2,AA190,Q190)</f>
        <v>0.36099999999999999</v>
      </c>
      <c r="H190" s="1049">
        <f>IF(Vehi_Inputs!$B$8=2,AB190,R190)</f>
        <v>0.36099999999999999</v>
      </c>
      <c r="I190" s="1049">
        <f>IF(Vehi_Inputs!$B$8=2,AC190,S190)</f>
        <v>0.36099999999999999</v>
      </c>
      <c r="J190" s="1049">
        <f>IF(Vehi_Inputs!$B$8=2,AD190,T190)</f>
        <v>0.36099999999999999</v>
      </c>
      <c r="K190" s="1049">
        <f>IF(Vehi_Inputs!$B$8=2,AE190,U190)</f>
        <v>0.36099999999999999</v>
      </c>
      <c r="L190" s="1049">
        <f>IF(Vehi_Inputs!$B$8=2,AF190,V190)</f>
        <v>0.36099999999999999</v>
      </c>
      <c r="M190" s="661"/>
      <c r="N190" s="363"/>
      <c r="O190" s="1027">
        <v>0.36099999999999999</v>
      </c>
      <c r="P190" s="1027">
        <v>0.36099999999999999</v>
      </c>
      <c r="Q190" s="1027">
        <v>0.36099999999999999</v>
      </c>
      <c r="R190" s="1027">
        <v>0.36099999999999999</v>
      </c>
      <c r="S190" s="1027">
        <v>0.36099999999999999</v>
      </c>
      <c r="T190" s="1027">
        <v>0.36099999999999999</v>
      </c>
      <c r="U190" s="1027">
        <v>0.36099999999999999</v>
      </c>
      <c r="V190" s="1050">
        <v>0.36099999999999999</v>
      </c>
      <c r="W190" s="661"/>
      <c r="X190" s="363"/>
      <c r="Y190" s="1027">
        <v>0</v>
      </c>
      <c r="Z190" s="1027">
        <v>0</v>
      </c>
      <c r="AA190" s="1027">
        <v>0</v>
      </c>
      <c r="AB190" s="1027">
        <v>0</v>
      </c>
      <c r="AC190" s="1027">
        <v>0</v>
      </c>
      <c r="AD190" s="1027">
        <v>0</v>
      </c>
      <c r="AE190" s="1027">
        <v>0</v>
      </c>
      <c r="AF190" s="1050">
        <v>0</v>
      </c>
    </row>
    <row r="191" spans="2:32">
      <c r="B191" s="488" t="s">
        <v>254</v>
      </c>
      <c r="C191" s="1055"/>
      <c r="D191" s="1055"/>
      <c r="E191" s="1049">
        <f>IF(Vehi_Inputs!$B$8=2,Y191,O191)</f>
        <v>0.27800000000000002</v>
      </c>
      <c r="F191" s="1049">
        <f>IF(Vehi_Inputs!$B$8=2,Z191,P191)</f>
        <v>0.27800000000000002</v>
      </c>
      <c r="G191" s="1049">
        <f>IF(Vehi_Inputs!$B$8=2,AA191,Q191)</f>
        <v>0.27800000000000002</v>
      </c>
      <c r="H191" s="1049">
        <f>IF(Vehi_Inputs!$B$8=2,AB191,R191)</f>
        <v>0.27800000000000002</v>
      </c>
      <c r="I191" s="1049">
        <f>IF(Vehi_Inputs!$B$8=2,AC191,S191)</f>
        <v>0.27800000000000002</v>
      </c>
      <c r="J191" s="1049">
        <f>IF(Vehi_Inputs!$B$8=2,AD191,T191)</f>
        <v>0.27800000000000002</v>
      </c>
      <c r="K191" s="1049">
        <f>IF(Vehi_Inputs!$B$8=2,AE191,U191)</f>
        <v>0.27800000000000002</v>
      </c>
      <c r="L191" s="1049">
        <f>IF(Vehi_Inputs!$B$8=2,AF191,V191)</f>
        <v>0.27800000000000002</v>
      </c>
      <c r="M191" s="661"/>
      <c r="N191" s="363"/>
      <c r="O191" s="1027">
        <v>0.27800000000000002</v>
      </c>
      <c r="P191" s="1027">
        <v>0.27800000000000002</v>
      </c>
      <c r="Q191" s="1027">
        <v>0.27800000000000002</v>
      </c>
      <c r="R191" s="1027">
        <v>0.27800000000000002</v>
      </c>
      <c r="S191" s="1027">
        <v>0.27800000000000002</v>
      </c>
      <c r="T191" s="1027">
        <v>0.27800000000000002</v>
      </c>
      <c r="U191" s="1027">
        <v>0.27800000000000002</v>
      </c>
      <c r="V191" s="1050">
        <v>0.27800000000000002</v>
      </c>
      <c r="W191" s="661"/>
      <c r="X191" s="363"/>
      <c r="Y191" s="1027">
        <v>0</v>
      </c>
      <c r="Z191" s="1027">
        <v>0</v>
      </c>
      <c r="AA191" s="1027">
        <v>0</v>
      </c>
      <c r="AB191" s="1027">
        <v>0</v>
      </c>
      <c r="AC191" s="1027">
        <v>0</v>
      </c>
      <c r="AD191" s="1027">
        <v>0</v>
      </c>
      <c r="AE191" s="1027">
        <v>0</v>
      </c>
      <c r="AF191" s="1050">
        <v>0</v>
      </c>
    </row>
    <row r="192" spans="2:32">
      <c r="B192" s="356" t="s">
        <v>262</v>
      </c>
      <c r="C192" s="1052"/>
      <c r="D192" s="1052"/>
      <c r="E192" s="1052">
        <f t="shared" ref="E192:L192" si="9">1-SUM(E188:E191)</f>
        <v>0</v>
      </c>
      <c r="F192" s="1052">
        <f t="shared" si="9"/>
        <v>0</v>
      </c>
      <c r="G192" s="1052">
        <f t="shared" si="9"/>
        <v>0</v>
      </c>
      <c r="H192" s="1052">
        <f t="shared" si="9"/>
        <v>0</v>
      </c>
      <c r="I192" s="1052">
        <f t="shared" si="9"/>
        <v>0</v>
      </c>
      <c r="J192" s="1052">
        <f t="shared" si="9"/>
        <v>0</v>
      </c>
      <c r="K192" s="1052">
        <f t="shared" si="9"/>
        <v>0</v>
      </c>
      <c r="L192" s="1053">
        <f t="shared" si="9"/>
        <v>0</v>
      </c>
      <c r="M192" s="897"/>
      <c r="N192" s="1030"/>
      <c r="O192" s="1052">
        <f t="shared" ref="O192:V192" si="10">1-SUM(O188:O191)</f>
        <v>0</v>
      </c>
      <c r="P192" s="1052">
        <f t="shared" si="10"/>
        <v>0</v>
      </c>
      <c r="Q192" s="1052">
        <f t="shared" si="10"/>
        <v>0</v>
      </c>
      <c r="R192" s="1052">
        <f t="shared" si="10"/>
        <v>0</v>
      </c>
      <c r="S192" s="1052">
        <f t="shared" si="10"/>
        <v>0</v>
      </c>
      <c r="T192" s="1052">
        <f t="shared" si="10"/>
        <v>0</v>
      </c>
      <c r="U192" s="1052">
        <f t="shared" si="10"/>
        <v>0</v>
      </c>
      <c r="V192" s="1053">
        <f t="shared" si="10"/>
        <v>0</v>
      </c>
      <c r="W192" s="897"/>
      <c r="X192" s="1030"/>
      <c r="Y192" s="1052">
        <f t="shared" ref="Y192:AF192" si="11">1-SUM(Y188:Y191)</f>
        <v>1</v>
      </c>
      <c r="Z192" s="1052">
        <f t="shared" si="11"/>
        <v>1</v>
      </c>
      <c r="AA192" s="1052">
        <f t="shared" si="11"/>
        <v>1</v>
      </c>
      <c r="AB192" s="1052">
        <f t="shared" si="11"/>
        <v>1</v>
      </c>
      <c r="AC192" s="1052">
        <f t="shared" si="11"/>
        <v>1</v>
      </c>
      <c r="AD192" s="1052">
        <f t="shared" si="11"/>
        <v>1</v>
      </c>
      <c r="AE192" s="1052">
        <f t="shared" si="11"/>
        <v>1</v>
      </c>
      <c r="AF192" s="1053">
        <f t="shared" si="11"/>
        <v>1</v>
      </c>
    </row>
    <row r="193" spans="2:32">
      <c r="B193" s="487" t="s">
        <v>186</v>
      </c>
      <c r="C193" s="1055"/>
      <c r="D193" s="1055"/>
      <c r="E193" s="1055"/>
      <c r="F193" s="1055"/>
      <c r="G193" s="1055"/>
      <c r="H193" s="1055"/>
      <c r="I193" s="1055"/>
      <c r="J193" s="1055"/>
      <c r="K193" s="1055"/>
      <c r="L193" s="1056"/>
      <c r="O193" s="1055"/>
      <c r="P193" s="1055"/>
      <c r="Q193" s="1055"/>
      <c r="R193" s="1055"/>
      <c r="S193" s="1055"/>
      <c r="T193" s="1055"/>
      <c r="U193" s="1055"/>
      <c r="V193" s="1056"/>
      <c r="Y193" s="1055"/>
      <c r="Z193" s="1055"/>
      <c r="AA193" s="1055"/>
      <c r="AB193" s="1055"/>
      <c r="AC193" s="1055"/>
      <c r="AD193" s="1055"/>
      <c r="AE193" s="1055"/>
      <c r="AF193" s="1056"/>
    </row>
    <row r="194" spans="2:32">
      <c r="B194" s="488" t="s">
        <v>251</v>
      </c>
      <c r="C194" s="1055"/>
      <c r="D194" s="1055"/>
      <c r="E194" s="1049">
        <f>IF(Vehi_Inputs!$B$8=2,Y194,O194)</f>
        <v>0.36099999999999999</v>
      </c>
      <c r="F194" s="1049">
        <f>IF(Vehi_Inputs!$B$8=2,Z194,P194)</f>
        <v>0.36099999999999999</v>
      </c>
      <c r="G194" s="1049">
        <f>IF(Vehi_Inputs!$B$8=2,AA194,Q194)</f>
        <v>0.36099999999999999</v>
      </c>
      <c r="H194" s="1049">
        <f>IF(Vehi_Inputs!$B$8=2,AB194,R194)</f>
        <v>0.36099999999999999</v>
      </c>
      <c r="I194" s="1055"/>
      <c r="J194" s="1055"/>
      <c r="K194" s="1055"/>
      <c r="L194" s="1056"/>
      <c r="O194" s="1027">
        <v>0.36099999999999999</v>
      </c>
      <c r="P194" s="1027">
        <v>0.36099999999999999</v>
      </c>
      <c r="Q194" s="1027">
        <v>0.36099999999999999</v>
      </c>
      <c r="R194" s="1027">
        <v>0.36099999999999999</v>
      </c>
      <c r="S194" s="1055"/>
      <c r="T194" s="1055"/>
      <c r="U194" s="1055"/>
      <c r="V194" s="1056"/>
      <c r="Y194" s="1027">
        <v>0</v>
      </c>
      <c r="Z194" s="1027">
        <v>0</v>
      </c>
      <c r="AA194" s="1027">
        <v>0</v>
      </c>
      <c r="AB194" s="1027">
        <v>0</v>
      </c>
      <c r="AC194" s="1055"/>
      <c r="AD194" s="1055"/>
      <c r="AE194" s="1055"/>
      <c r="AF194" s="1056"/>
    </row>
    <row r="195" spans="2:32">
      <c r="B195" s="488" t="s">
        <v>253</v>
      </c>
      <c r="C195" s="1055"/>
      <c r="D195" s="1055"/>
      <c r="E195" s="1049">
        <f>IF(Vehi_Inputs!$B$8=2,Y195,O195)</f>
        <v>0.36099999999999999</v>
      </c>
      <c r="F195" s="1049">
        <f>IF(Vehi_Inputs!$B$8=2,Z195,P195)</f>
        <v>0.36099999999999999</v>
      </c>
      <c r="G195" s="1049">
        <f>IF(Vehi_Inputs!$B$8=2,AA195,Q195)</f>
        <v>0.36099999999999999</v>
      </c>
      <c r="H195" s="1049">
        <f>IF(Vehi_Inputs!$B$8=2,AB195,R195)</f>
        <v>0.36099999999999999</v>
      </c>
      <c r="I195" s="1055"/>
      <c r="J195" s="1055"/>
      <c r="K195" s="1055"/>
      <c r="L195" s="1056"/>
      <c r="O195" s="1027">
        <v>0.36099999999999999</v>
      </c>
      <c r="P195" s="1027">
        <v>0.36099999999999999</v>
      </c>
      <c r="Q195" s="1027">
        <v>0.36099999999999999</v>
      </c>
      <c r="R195" s="1027">
        <v>0.36099999999999999</v>
      </c>
      <c r="S195" s="1055"/>
      <c r="T195" s="1055"/>
      <c r="U195" s="1055"/>
      <c r="V195" s="1056"/>
      <c r="Y195" s="1027">
        <v>0</v>
      </c>
      <c r="Z195" s="1027">
        <v>0</v>
      </c>
      <c r="AA195" s="1027">
        <v>0</v>
      </c>
      <c r="AB195" s="1027">
        <v>0</v>
      </c>
      <c r="AC195" s="1055"/>
      <c r="AD195" s="1055"/>
      <c r="AE195" s="1055"/>
      <c r="AF195" s="1056"/>
    </row>
    <row r="196" spans="2:32">
      <c r="B196" s="488" t="s">
        <v>254</v>
      </c>
      <c r="C196" s="1055"/>
      <c r="D196" s="1055"/>
      <c r="E196" s="1049">
        <f>IF(Vehi_Inputs!$B$8=2,Y196,O196)</f>
        <v>0.27800000000000002</v>
      </c>
      <c r="F196" s="1049">
        <f>IF(Vehi_Inputs!$B$8=2,Z196,P196)</f>
        <v>0.27800000000000002</v>
      </c>
      <c r="G196" s="1049">
        <f>IF(Vehi_Inputs!$B$8=2,AA196,Q196)</f>
        <v>0.27800000000000002</v>
      </c>
      <c r="H196" s="1049">
        <f>IF(Vehi_Inputs!$B$8=2,AB196,R196)</f>
        <v>0.27800000000000002</v>
      </c>
      <c r="I196" s="1055"/>
      <c r="J196" s="1055"/>
      <c r="K196" s="1055"/>
      <c r="L196" s="1056"/>
      <c r="O196" s="1027">
        <v>0.27800000000000002</v>
      </c>
      <c r="P196" s="1027">
        <v>0.27800000000000002</v>
      </c>
      <c r="Q196" s="1027">
        <v>0.27800000000000002</v>
      </c>
      <c r="R196" s="1027">
        <v>0.27800000000000002</v>
      </c>
      <c r="S196" s="1055"/>
      <c r="T196" s="1055"/>
      <c r="U196" s="1055"/>
      <c r="V196" s="1056"/>
      <c r="Y196" s="1027">
        <v>0</v>
      </c>
      <c r="Z196" s="1027">
        <v>0</v>
      </c>
      <c r="AA196" s="1027">
        <v>0</v>
      </c>
      <c r="AB196" s="1027">
        <v>0</v>
      </c>
      <c r="AC196" s="1055"/>
      <c r="AD196" s="1055"/>
      <c r="AE196" s="1055"/>
      <c r="AF196" s="1056"/>
    </row>
    <row r="197" spans="2:32">
      <c r="B197" s="488" t="s">
        <v>262</v>
      </c>
      <c r="C197" s="1055"/>
      <c r="D197" s="1055"/>
      <c r="E197" s="1055">
        <f>1-SUM(E194:E196)</f>
        <v>0</v>
      </c>
      <c r="F197" s="1055">
        <f>1-SUM(F194:F196)</f>
        <v>0</v>
      </c>
      <c r="G197" s="1055">
        <f>1-SUM(G194:G196)</f>
        <v>0</v>
      </c>
      <c r="H197" s="1055">
        <f>1-SUM(H194:H196)</f>
        <v>0</v>
      </c>
      <c r="I197" s="1055"/>
      <c r="J197" s="1055"/>
      <c r="K197" s="1055"/>
      <c r="L197" s="1056"/>
      <c r="O197" s="1055">
        <f>1-SUM(O194:O196)</f>
        <v>0</v>
      </c>
      <c r="P197" s="1055">
        <f>1-SUM(P194:P196)</f>
        <v>0</v>
      </c>
      <c r="Q197" s="1055">
        <f>1-SUM(Q194:Q196)</f>
        <v>0</v>
      </c>
      <c r="R197" s="1055">
        <f>1-SUM(R194:R196)</f>
        <v>0</v>
      </c>
      <c r="S197" s="1055"/>
      <c r="T197" s="1055"/>
      <c r="U197" s="1055"/>
      <c r="V197" s="1056"/>
      <c r="Y197" s="1055">
        <f>1-SUM(Y194:Y196)</f>
        <v>1</v>
      </c>
      <c r="Z197" s="1055">
        <f>1-SUM(Z194:Z196)</f>
        <v>1</v>
      </c>
      <c r="AA197" s="1055">
        <f>1-SUM(AA194:AA196)</f>
        <v>1</v>
      </c>
      <c r="AB197" s="1055">
        <f>1-SUM(AB194:AB196)</f>
        <v>1</v>
      </c>
      <c r="AC197" s="1055"/>
      <c r="AD197" s="1055"/>
      <c r="AE197" s="1055"/>
      <c r="AF197" s="1056"/>
    </row>
    <row r="198" spans="2:32">
      <c r="B198" s="482" t="s">
        <v>187</v>
      </c>
      <c r="C198" s="1047"/>
      <c r="D198" s="1047"/>
      <c r="E198" s="1047"/>
      <c r="F198" s="1047"/>
      <c r="G198" s="1047"/>
      <c r="H198" s="1047"/>
      <c r="I198" s="1047"/>
      <c r="J198" s="1047"/>
      <c r="K198" s="1047"/>
      <c r="L198" s="1048"/>
      <c r="M198" s="523"/>
      <c r="N198" s="524"/>
      <c r="O198" s="1047"/>
      <c r="P198" s="1047"/>
      <c r="Q198" s="1047"/>
      <c r="R198" s="1047"/>
      <c r="S198" s="1047"/>
      <c r="T198" s="1047"/>
      <c r="U198" s="1047"/>
      <c r="V198" s="1048"/>
      <c r="W198" s="523"/>
      <c r="X198" s="524"/>
      <c r="Y198" s="1047"/>
      <c r="Z198" s="1047"/>
      <c r="AA198" s="1047"/>
      <c r="AB198" s="1047"/>
      <c r="AC198" s="1047"/>
      <c r="AD198" s="1047"/>
      <c r="AE198" s="1047"/>
      <c r="AF198" s="1048"/>
    </row>
    <row r="199" spans="2:32">
      <c r="B199" s="488" t="s">
        <v>251</v>
      </c>
      <c r="C199" s="1055"/>
      <c r="D199" s="1055"/>
      <c r="E199" s="1049">
        <f>IF(Vehi_Inputs!$B$8=2,Y199,O199)</f>
        <v>0.05</v>
      </c>
      <c r="F199" s="1049">
        <f>IF(Vehi_Inputs!$B$8=2,Z199,P199)</f>
        <v>0.05</v>
      </c>
      <c r="G199" s="1049">
        <f>IF(Vehi_Inputs!$B$8=2,AA199,Q199)</f>
        <v>0.05</v>
      </c>
      <c r="H199" s="1049">
        <f>IF(Vehi_Inputs!$B$8=2,AB199,R199)</f>
        <v>0.05</v>
      </c>
      <c r="I199" s="1049">
        <f>IF(Vehi_Inputs!$B$8=2,AC199,S199)</f>
        <v>0.05</v>
      </c>
      <c r="J199" s="1049">
        <f>IF(Vehi_Inputs!$B$8=2,AD199,T199)</f>
        <v>0.05</v>
      </c>
      <c r="K199" s="1049">
        <f>IF(Vehi_Inputs!$B$8=2,AE199,U199)</f>
        <v>0.05</v>
      </c>
      <c r="L199" s="1049">
        <f>IF(Vehi_Inputs!$B$8=2,AF199,V199)</f>
        <v>0.05</v>
      </c>
      <c r="M199" s="661"/>
      <c r="N199" s="363"/>
      <c r="O199" s="1027">
        <v>0.05</v>
      </c>
      <c r="P199" s="1027">
        <v>0.05</v>
      </c>
      <c r="Q199" s="1027">
        <v>0.05</v>
      </c>
      <c r="R199" s="1027">
        <v>0.05</v>
      </c>
      <c r="S199" s="1027">
        <v>0.05</v>
      </c>
      <c r="T199" s="1027">
        <v>0.05</v>
      </c>
      <c r="U199" s="1027">
        <v>0.05</v>
      </c>
      <c r="V199" s="1050">
        <v>0.05</v>
      </c>
      <c r="W199" s="661"/>
      <c r="X199" s="363"/>
      <c r="Y199" s="1027">
        <v>0</v>
      </c>
      <c r="Z199" s="1027">
        <v>0</v>
      </c>
      <c r="AA199" s="1027">
        <v>0</v>
      </c>
      <c r="AB199" s="1027">
        <v>0</v>
      </c>
      <c r="AC199" s="1027">
        <v>0</v>
      </c>
      <c r="AD199" s="1027">
        <v>0</v>
      </c>
      <c r="AE199" s="1027">
        <v>0</v>
      </c>
      <c r="AF199" s="1050">
        <v>0</v>
      </c>
    </row>
    <row r="200" spans="2:32">
      <c r="B200" s="488" t="s">
        <v>253</v>
      </c>
      <c r="C200" s="1055"/>
      <c r="D200" s="1055"/>
      <c r="E200" s="1049">
        <f>IF(Vehi_Inputs!$B$8=2,Y200,O200)</f>
        <v>0.46899999999999997</v>
      </c>
      <c r="F200" s="1049">
        <f>IF(Vehi_Inputs!$B$8=2,Z200,P200)</f>
        <v>0.46899999999999997</v>
      </c>
      <c r="G200" s="1049">
        <f>IF(Vehi_Inputs!$B$8=2,AA200,Q200)</f>
        <v>0.46899999999999997</v>
      </c>
      <c r="H200" s="1049">
        <f>IF(Vehi_Inputs!$B$8=2,AB200,R200)</f>
        <v>0.46899999999999997</v>
      </c>
      <c r="I200" s="1049">
        <f>IF(Vehi_Inputs!$B$8=2,AC200,S200)</f>
        <v>0.46899999999999997</v>
      </c>
      <c r="J200" s="1049">
        <f>IF(Vehi_Inputs!$B$8=2,AD200,T200)</f>
        <v>0.46899999999999997</v>
      </c>
      <c r="K200" s="1049">
        <f>IF(Vehi_Inputs!$B$8=2,AE200,U200)</f>
        <v>0.46899999999999997</v>
      </c>
      <c r="L200" s="1049">
        <f>IF(Vehi_Inputs!$B$8=2,AF200,V200)</f>
        <v>0.46899999999999997</v>
      </c>
      <c r="M200" s="661"/>
      <c r="N200" s="363"/>
      <c r="O200" s="1027">
        <v>0.46899999999999997</v>
      </c>
      <c r="P200" s="1027">
        <v>0.46899999999999997</v>
      </c>
      <c r="Q200" s="1027">
        <v>0.46899999999999997</v>
      </c>
      <c r="R200" s="1027">
        <v>0.46899999999999997</v>
      </c>
      <c r="S200" s="1027">
        <v>0.46899999999999997</v>
      </c>
      <c r="T200" s="1027">
        <v>0.46899999999999997</v>
      </c>
      <c r="U200" s="1027">
        <v>0.46899999999999997</v>
      </c>
      <c r="V200" s="1050">
        <v>0.46899999999999997</v>
      </c>
      <c r="W200" s="661"/>
      <c r="X200" s="363"/>
      <c r="Y200" s="1027">
        <v>0</v>
      </c>
      <c r="Z200" s="1027">
        <v>0</v>
      </c>
      <c r="AA200" s="1027">
        <v>0</v>
      </c>
      <c r="AB200" s="1027">
        <v>0</v>
      </c>
      <c r="AC200" s="1027">
        <v>0</v>
      </c>
      <c r="AD200" s="1027">
        <v>0</v>
      </c>
      <c r="AE200" s="1027">
        <v>0</v>
      </c>
      <c r="AF200" s="1050">
        <v>0</v>
      </c>
    </row>
    <row r="201" spans="2:32">
      <c r="B201" s="488" t="s">
        <v>254</v>
      </c>
      <c r="C201" s="1055"/>
      <c r="D201" s="1055"/>
      <c r="E201" s="1049">
        <f>IF(Vehi_Inputs!$B$8=2,Y201,O201)</f>
        <v>8.2000000000000003E-2</v>
      </c>
      <c r="F201" s="1049">
        <f>IF(Vehi_Inputs!$B$8=2,Z201,P201)</f>
        <v>8.2000000000000003E-2</v>
      </c>
      <c r="G201" s="1049">
        <f>IF(Vehi_Inputs!$B$8=2,AA201,Q201)</f>
        <v>8.2000000000000003E-2</v>
      </c>
      <c r="H201" s="1049">
        <f>IF(Vehi_Inputs!$B$8=2,AB201,R201)</f>
        <v>8.2000000000000003E-2</v>
      </c>
      <c r="I201" s="1049">
        <f>IF(Vehi_Inputs!$B$8=2,AC201,S201)</f>
        <v>8.2000000000000003E-2</v>
      </c>
      <c r="J201" s="1049">
        <f>IF(Vehi_Inputs!$B$8=2,AD201,T201)</f>
        <v>8.2000000000000003E-2</v>
      </c>
      <c r="K201" s="1049">
        <f>IF(Vehi_Inputs!$B$8=2,AE201,U201)</f>
        <v>8.2000000000000003E-2</v>
      </c>
      <c r="L201" s="1049">
        <f>IF(Vehi_Inputs!$B$8=2,AF201,V201)</f>
        <v>8.2000000000000003E-2</v>
      </c>
      <c r="M201" s="661"/>
      <c r="N201" s="363"/>
      <c r="O201" s="1027">
        <v>8.2000000000000003E-2</v>
      </c>
      <c r="P201" s="1027">
        <v>8.2000000000000003E-2</v>
      </c>
      <c r="Q201" s="1027">
        <v>8.2000000000000003E-2</v>
      </c>
      <c r="R201" s="1027">
        <v>8.2000000000000003E-2</v>
      </c>
      <c r="S201" s="1027">
        <v>8.2000000000000003E-2</v>
      </c>
      <c r="T201" s="1027">
        <v>8.2000000000000003E-2</v>
      </c>
      <c r="U201" s="1027">
        <v>8.2000000000000003E-2</v>
      </c>
      <c r="V201" s="1050">
        <v>8.2000000000000003E-2</v>
      </c>
      <c r="W201" s="661"/>
      <c r="X201" s="363"/>
      <c r="Y201" s="1027">
        <v>0</v>
      </c>
      <c r="Z201" s="1027">
        <v>0</v>
      </c>
      <c r="AA201" s="1027">
        <v>0</v>
      </c>
      <c r="AB201" s="1027">
        <v>0</v>
      </c>
      <c r="AC201" s="1027">
        <v>0</v>
      </c>
      <c r="AD201" s="1027">
        <v>0</v>
      </c>
      <c r="AE201" s="1027">
        <v>0</v>
      </c>
      <c r="AF201" s="1050">
        <v>0</v>
      </c>
    </row>
    <row r="202" spans="2:32">
      <c r="B202" s="488" t="s">
        <v>261</v>
      </c>
      <c r="C202" s="1055"/>
      <c r="D202" s="1055"/>
      <c r="E202" s="1049">
        <f>IF(Vehi_Inputs!$B$8=2,Y202,O202)</f>
        <v>3.6999999999999998E-2</v>
      </c>
      <c r="F202" s="1049">
        <f>IF(Vehi_Inputs!$B$8=2,Z202,P202)</f>
        <v>3.6999999999999998E-2</v>
      </c>
      <c r="G202" s="1049">
        <f>IF(Vehi_Inputs!$B$8=2,AA202,Q202)</f>
        <v>3.6999999999999998E-2</v>
      </c>
      <c r="H202" s="1049">
        <f>IF(Vehi_Inputs!$B$8=2,AB202,R202)</f>
        <v>3.6999999999999998E-2</v>
      </c>
      <c r="I202" s="1049">
        <f>IF(Vehi_Inputs!$B$8=2,AC202,S202)</f>
        <v>3.6999999999999998E-2</v>
      </c>
      <c r="J202" s="1049">
        <f>IF(Vehi_Inputs!$B$8=2,AD202,T202)</f>
        <v>3.6999999999999998E-2</v>
      </c>
      <c r="K202" s="1049">
        <f>IF(Vehi_Inputs!$B$8=2,AE202,U202)</f>
        <v>3.6999999999999998E-2</v>
      </c>
      <c r="L202" s="1049">
        <f>IF(Vehi_Inputs!$B$8=2,AF202,V202)</f>
        <v>3.6999999999999998E-2</v>
      </c>
      <c r="M202" s="661"/>
      <c r="N202" s="363"/>
      <c r="O202" s="1027">
        <v>3.6999999999999998E-2</v>
      </c>
      <c r="P202" s="1027">
        <v>3.6999999999999998E-2</v>
      </c>
      <c r="Q202" s="1027">
        <v>3.6999999999999998E-2</v>
      </c>
      <c r="R202" s="1027">
        <v>3.6999999999999998E-2</v>
      </c>
      <c r="S202" s="1027">
        <v>3.6999999999999998E-2</v>
      </c>
      <c r="T202" s="1027">
        <v>3.6999999999999998E-2</v>
      </c>
      <c r="U202" s="1027">
        <v>3.6999999999999998E-2</v>
      </c>
      <c r="V202" s="1050">
        <v>3.6999999999999998E-2</v>
      </c>
      <c r="W202" s="661"/>
      <c r="X202" s="363"/>
      <c r="Y202" s="1027">
        <v>0</v>
      </c>
      <c r="Z202" s="1027">
        <v>0</v>
      </c>
      <c r="AA202" s="1027">
        <v>0</v>
      </c>
      <c r="AB202" s="1027">
        <v>0</v>
      </c>
      <c r="AC202" s="1027">
        <v>0</v>
      </c>
      <c r="AD202" s="1027">
        <v>0</v>
      </c>
      <c r="AE202" s="1027">
        <v>0</v>
      </c>
      <c r="AF202" s="1050">
        <v>0</v>
      </c>
    </row>
    <row r="203" spans="2:32">
      <c r="B203" s="488" t="s">
        <v>260</v>
      </c>
      <c r="C203" s="1055"/>
      <c r="D203" s="1055"/>
      <c r="E203" s="1049">
        <f>IF(Vehi_Inputs!$B$8=2,Y203,O203)</f>
        <v>0.23799999999999999</v>
      </c>
      <c r="F203" s="1049">
        <f>IF(Vehi_Inputs!$B$8=2,Z203,P203)</f>
        <v>0.23799999999999999</v>
      </c>
      <c r="G203" s="1049">
        <f>IF(Vehi_Inputs!$B$8=2,AA203,Q203)</f>
        <v>0.23799999999999999</v>
      </c>
      <c r="H203" s="1049">
        <f>IF(Vehi_Inputs!$B$8=2,AB203,R203)</f>
        <v>0.23799999999999999</v>
      </c>
      <c r="I203" s="1049">
        <f>IF(Vehi_Inputs!$B$8=2,AC203,S203)</f>
        <v>0.23799999999999999</v>
      </c>
      <c r="J203" s="1049">
        <f>IF(Vehi_Inputs!$B$8=2,AD203,T203)</f>
        <v>0.23799999999999999</v>
      </c>
      <c r="K203" s="1049">
        <f>IF(Vehi_Inputs!$B$8=2,AE203,U203)</f>
        <v>0.23799999999999999</v>
      </c>
      <c r="L203" s="1049">
        <f>IF(Vehi_Inputs!$B$8=2,AF203,V203)</f>
        <v>0.23799999999999999</v>
      </c>
      <c r="M203" s="661"/>
      <c r="N203" s="363"/>
      <c r="O203" s="1027">
        <v>0.23799999999999999</v>
      </c>
      <c r="P203" s="1027">
        <v>0.23799999999999999</v>
      </c>
      <c r="Q203" s="1027">
        <v>0.23799999999999999</v>
      </c>
      <c r="R203" s="1027">
        <v>0.23799999999999999</v>
      </c>
      <c r="S203" s="1027">
        <v>0.23799999999999999</v>
      </c>
      <c r="T203" s="1027">
        <v>0.23799999999999999</v>
      </c>
      <c r="U203" s="1027">
        <v>0.23799999999999999</v>
      </c>
      <c r="V203" s="1050">
        <v>0.23799999999999999</v>
      </c>
      <c r="W203" s="661"/>
      <c r="X203" s="363"/>
      <c r="Y203" s="1027">
        <v>0</v>
      </c>
      <c r="Z203" s="1027">
        <v>0</v>
      </c>
      <c r="AA203" s="1027">
        <v>0</v>
      </c>
      <c r="AB203" s="1027">
        <v>0</v>
      </c>
      <c r="AC203" s="1027">
        <v>0</v>
      </c>
      <c r="AD203" s="1027">
        <v>0</v>
      </c>
      <c r="AE203" s="1027">
        <v>0</v>
      </c>
      <c r="AF203" s="1050">
        <v>0</v>
      </c>
    </row>
    <row r="204" spans="2:32">
      <c r="B204" s="905" t="s">
        <v>262</v>
      </c>
      <c r="C204" s="1051"/>
      <c r="D204" s="1051"/>
      <c r="E204" s="1051">
        <f t="shared" ref="E204:L204" si="12">1-SUM(E199:E203)</f>
        <v>0.124</v>
      </c>
      <c r="F204" s="1051">
        <f t="shared" si="12"/>
        <v>0.124</v>
      </c>
      <c r="G204" s="1051">
        <f t="shared" si="12"/>
        <v>0.124</v>
      </c>
      <c r="H204" s="1051">
        <f t="shared" si="12"/>
        <v>0.124</v>
      </c>
      <c r="I204" s="1051">
        <f t="shared" si="12"/>
        <v>0.124</v>
      </c>
      <c r="J204" s="1051">
        <f t="shared" si="12"/>
        <v>0.124</v>
      </c>
      <c r="K204" s="1051">
        <f t="shared" si="12"/>
        <v>0.124</v>
      </c>
      <c r="L204" s="1060">
        <f t="shared" si="12"/>
        <v>0.124</v>
      </c>
      <c r="M204" s="897"/>
      <c r="N204" s="1030"/>
      <c r="O204" s="1051">
        <f t="shared" ref="O204:V204" si="13">1-SUM(O199:O203)</f>
        <v>0.124</v>
      </c>
      <c r="P204" s="1051">
        <f t="shared" si="13"/>
        <v>0.124</v>
      </c>
      <c r="Q204" s="1051">
        <f t="shared" si="13"/>
        <v>0.124</v>
      </c>
      <c r="R204" s="1051">
        <f t="shared" si="13"/>
        <v>0.124</v>
      </c>
      <c r="S204" s="1051">
        <f t="shared" si="13"/>
        <v>0.124</v>
      </c>
      <c r="T204" s="1051">
        <f t="shared" si="13"/>
        <v>0.124</v>
      </c>
      <c r="U204" s="1052">
        <f t="shared" si="13"/>
        <v>0.124</v>
      </c>
      <c r="V204" s="1053">
        <f t="shared" si="13"/>
        <v>0.124</v>
      </c>
      <c r="W204" s="897"/>
      <c r="X204" s="1030"/>
      <c r="Y204" s="1052">
        <f t="shared" ref="Y204:AF204" si="14">1-SUM(Y199:Y203)</f>
        <v>1</v>
      </c>
      <c r="Z204" s="1052">
        <f t="shared" si="14"/>
        <v>1</v>
      </c>
      <c r="AA204" s="1052">
        <f t="shared" si="14"/>
        <v>1</v>
      </c>
      <c r="AB204" s="1052">
        <f t="shared" si="14"/>
        <v>1</v>
      </c>
      <c r="AC204" s="1052">
        <f t="shared" si="14"/>
        <v>1</v>
      </c>
      <c r="AD204" s="1052">
        <f t="shared" si="14"/>
        <v>1</v>
      </c>
      <c r="AE204" s="1052">
        <f t="shared" si="14"/>
        <v>1</v>
      </c>
      <c r="AF204" s="1053">
        <f t="shared" si="14"/>
        <v>1</v>
      </c>
    </row>
    <row r="205" spans="2:32">
      <c r="B205" s="932" t="s">
        <v>188</v>
      </c>
      <c r="C205" s="1049"/>
      <c r="D205" s="1049"/>
      <c r="E205" s="1049"/>
      <c r="F205" s="1049"/>
      <c r="G205" s="1049"/>
      <c r="H205" s="1049"/>
      <c r="I205" s="1049"/>
      <c r="J205" s="1049"/>
      <c r="K205" s="1049"/>
      <c r="L205" s="1064"/>
      <c r="M205" s="523"/>
      <c r="N205" s="524"/>
      <c r="O205" s="1062"/>
      <c r="P205" s="1062"/>
      <c r="Q205" s="1062"/>
      <c r="R205" s="1062"/>
      <c r="S205" s="1062"/>
      <c r="T205" s="1062"/>
      <c r="U205" s="1047"/>
      <c r="V205" s="1048"/>
      <c r="W205" s="523"/>
      <c r="X205" s="524"/>
      <c r="Y205" s="1047"/>
      <c r="Z205" s="1047"/>
      <c r="AA205" s="1047"/>
      <c r="AB205" s="1047"/>
      <c r="AC205" s="1047"/>
      <c r="AD205" s="1047"/>
      <c r="AE205" s="1047"/>
      <c r="AF205" s="1048"/>
    </row>
    <row r="206" spans="2:32">
      <c r="B206" s="483" t="s">
        <v>251</v>
      </c>
      <c r="C206" s="1049"/>
      <c r="D206" s="1049"/>
      <c r="E206" s="1049"/>
      <c r="F206" s="1049"/>
      <c r="G206" s="1049"/>
      <c r="H206" s="1049"/>
      <c r="I206" s="1049"/>
      <c r="J206" s="1049"/>
      <c r="K206" s="1049">
        <f>IF(Vehi_Inputs!$B$8=2,AE206,U206)</f>
        <v>9.1528724440116851E-2</v>
      </c>
      <c r="L206" s="1049">
        <f>IF(Vehi_Inputs!$B$8=2,AF206,V206)</f>
        <v>9.1528724440116851E-2</v>
      </c>
      <c r="M206" s="661"/>
      <c r="N206" s="363"/>
      <c r="O206" s="1049"/>
      <c r="P206" s="1049"/>
      <c r="Q206" s="1049"/>
      <c r="R206" s="1049"/>
      <c r="S206" s="1049"/>
      <c r="T206" s="1049"/>
      <c r="U206" s="1065">
        <v>9.1528724440116851E-2</v>
      </c>
      <c r="V206" s="1065">
        <v>9.1528724440116851E-2</v>
      </c>
      <c r="W206" s="661"/>
      <c r="X206" s="363"/>
      <c r="Y206" s="1055"/>
      <c r="Z206" s="1055"/>
      <c r="AA206" s="1055"/>
      <c r="AB206" s="1055"/>
      <c r="AC206" s="1055"/>
      <c r="AD206" s="1055"/>
      <c r="AE206" s="1027">
        <v>0</v>
      </c>
      <c r="AF206" s="1050">
        <v>0</v>
      </c>
    </row>
    <row r="207" spans="2:32">
      <c r="B207" s="483" t="s">
        <v>264</v>
      </c>
      <c r="C207" s="1049"/>
      <c r="D207" s="1049"/>
      <c r="E207" s="1049"/>
      <c r="F207" s="1049"/>
      <c r="G207" s="1049"/>
      <c r="H207" s="1049"/>
      <c r="I207" s="1049"/>
      <c r="J207" s="1049"/>
      <c r="K207" s="1049">
        <f>IF(Vehi_Inputs!$B$8=2,AE207,U207)</f>
        <v>8.081791626095422E-2</v>
      </c>
      <c r="L207" s="1049">
        <f>IF(Vehi_Inputs!$B$8=2,AF207,V207)</f>
        <v>8.081791626095422E-2</v>
      </c>
      <c r="M207" s="661"/>
      <c r="N207" s="363"/>
      <c r="O207" s="1049"/>
      <c r="P207" s="1049"/>
      <c r="Q207" s="1049"/>
      <c r="R207" s="1049"/>
      <c r="S207" s="1049"/>
      <c r="T207" s="1049"/>
      <c r="U207" s="1065">
        <v>8.081791626095422E-2</v>
      </c>
      <c r="V207" s="1065">
        <v>8.081791626095422E-2</v>
      </c>
      <c r="W207" s="661"/>
      <c r="X207" s="363"/>
      <c r="Y207" s="1055"/>
      <c r="Z207" s="1055"/>
      <c r="AA207" s="1055"/>
      <c r="AB207" s="1055"/>
      <c r="AC207" s="1055"/>
      <c r="AD207" s="1055"/>
      <c r="AE207" s="1027"/>
      <c r="AF207" s="1050"/>
    </row>
    <row r="208" spans="2:32">
      <c r="B208" s="483" t="s">
        <v>277</v>
      </c>
      <c r="C208" s="1049"/>
      <c r="D208" s="1049"/>
      <c r="E208" s="1049"/>
      <c r="F208" s="1049"/>
      <c r="G208" s="1049"/>
      <c r="H208" s="1049"/>
      <c r="I208" s="1049"/>
      <c r="J208" s="1049"/>
      <c r="K208" s="1049">
        <f>IF(Vehi_Inputs!$B$8=2,AE208,U208)</f>
        <v>0.65628042843232726</v>
      </c>
      <c r="L208" s="1049">
        <f>IF(Vehi_Inputs!$B$8=2,AF208,V208)</f>
        <v>0.65628042843232726</v>
      </c>
      <c r="M208" s="661"/>
      <c r="N208" s="363"/>
      <c r="O208" s="1049"/>
      <c r="P208" s="1049"/>
      <c r="Q208" s="1049"/>
      <c r="R208" s="1049"/>
      <c r="S208" s="1049"/>
      <c r="T208" s="1049"/>
      <c r="U208" s="1065">
        <v>0.65628042843232726</v>
      </c>
      <c r="V208" s="1065">
        <v>0.65628042843232726</v>
      </c>
      <c r="W208" s="661"/>
      <c r="X208" s="363"/>
      <c r="Y208" s="1055"/>
      <c r="Z208" s="1055"/>
      <c r="AA208" s="1055"/>
      <c r="AB208" s="1055"/>
      <c r="AC208" s="1055"/>
      <c r="AD208" s="1055"/>
      <c r="AE208" s="1027">
        <v>0</v>
      </c>
      <c r="AF208" s="1050">
        <v>0</v>
      </c>
    </row>
    <row r="209" spans="1:32">
      <c r="B209" s="483" t="s">
        <v>257</v>
      </c>
      <c r="C209" s="1049"/>
      <c r="D209" s="1049"/>
      <c r="E209" s="1049"/>
      <c r="F209" s="1049"/>
      <c r="G209" s="1049"/>
      <c r="H209" s="1049"/>
      <c r="I209" s="1049"/>
      <c r="J209" s="1049"/>
      <c r="K209" s="1049">
        <f>IF(Vehi_Inputs!$B$8=2,AE209,U209)</f>
        <v>4.4790652385589089E-2</v>
      </c>
      <c r="L209" s="1049">
        <f>IF(Vehi_Inputs!$B$8=2,AF209,V209)</f>
        <v>4.4790652385589089E-2</v>
      </c>
      <c r="M209" s="661"/>
      <c r="N209" s="363"/>
      <c r="O209" s="1049"/>
      <c r="P209" s="1049"/>
      <c r="Q209" s="1049"/>
      <c r="R209" s="1049"/>
      <c r="S209" s="1049"/>
      <c r="T209" s="1049"/>
      <c r="U209" s="1065">
        <v>4.4790652385589089E-2</v>
      </c>
      <c r="V209" s="1065">
        <v>4.4790652385589089E-2</v>
      </c>
      <c r="W209" s="661"/>
      <c r="X209" s="363"/>
      <c r="Y209" s="1055"/>
      <c r="Z209" s="1055"/>
      <c r="AA209" s="1055"/>
      <c r="AB209" s="1055"/>
      <c r="AC209" s="1055"/>
      <c r="AD209" s="1055"/>
      <c r="AE209" s="1027"/>
      <c r="AF209" s="1050"/>
    </row>
    <row r="210" spans="1:32">
      <c r="B210" s="483" t="s">
        <v>252</v>
      </c>
      <c r="C210" s="1049"/>
      <c r="D210" s="1049"/>
      <c r="E210" s="1049"/>
      <c r="F210" s="1049"/>
      <c r="G210" s="1049"/>
      <c r="H210" s="1049"/>
      <c r="I210" s="1049"/>
      <c r="J210" s="1049"/>
      <c r="K210" s="1049">
        <f>IF(Vehi_Inputs!$B$8=2,AE210,U210)</f>
        <v>0</v>
      </c>
      <c r="L210" s="1049">
        <f>IF(Vehi_Inputs!$B$8=2,AF210,V210)</f>
        <v>0</v>
      </c>
      <c r="M210" s="661"/>
      <c r="N210" s="363"/>
      <c r="O210" s="1049"/>
      <c r="P210" s="1049"/>
      <c r="Q210" s="1049"/>
      <c r="R210" s="1049"/>
      <c r="S210" s="1049"/>
      <c r="T210" s="1049"/>
      <c r="U210" s="1065">
        <v>0</v>
      </c>
      <c r="V210" s="1065">
        <v>0</v>
      </c>
      <c r="W210" s="661"/>
      <c r="X210" s="363"/>
      <c r="Y210" s="1055"/>
      <c r="Z210" s="1055"/>
      <c r="AA210" s="1055"/>
      <c r="AB210" s="1055"/>
      <c r="AC210" s="1055"/>
      <c r="AD210" s="1055"/>
      <c r="AE210" s="1027">
        <v>0</v>
      </c>
      <c r="AF210" s="1050">
        <v>0</v>
      </c>
    </row>
    <row r="211" spans="1:32">
      <c r="B211" s="483" t="s">
        <v>275</v>
      </c>
      <c r="C211" s="1049"/>
      <c r="D211" s="1049"/>
      <c r="E211" s="1049"/>
      <c r="F211" s="1049"/>
      <c r="G211" s="1049"/>
      <c r="H211" s="1049"/>
      <c r="I211" s="1049"/>
      <c r="J211" s="1049"/>
      <c r="K211" s="1049">
        <f>IF(Vehi_Inputs!$B$8=2,AE211,U211)</f>
        <v>0</v>
      </c>
      <c r="L211" s="1049">
        <f>IF(Vehi_Inputs!$B$8=2,AF211,V211)</f>
        <v>0</v>
      </c>
      <c r="M211" s="661"/>
      <c r="N211" s="363"/>
      <c r="O211" s="1049"/>
      <c r="P211" s="1049"/>
      <c r="Q211" s="1049"/>
      <c r="R211" s="1049"/>
      <c r="S211" s="1049"/>
      <c r="T211" s="1049"/>
      <c r="U211" s="1065">
        <v>0</v>
      </c>
      <c r="V211" s="1065">
        <v>0</v>
      </c>
      <c r="W211" s="661"/>
      <c r="X211" s="363"/>
      <c r="Y211" s="1055"/>
      <c r="Z211" s="1055"/>
      <c r="AA211" s="1055"/>
      <c r="AB211" s="1055"/>
      <c r="AC211" s="1055"/>
      <c r="AD211" s="1055"/>
      <c r="AE211" s="1027">
        <v>0</v>
      </c>
      <c r="AF211" s="1050">
        <v>0</v>
      </c>
    </row>
    <row r="212" spans="1:32">
      <c r="B212" s="483" t="s">
        <v>278</v>
      </c>
      <c r="C212" s="1049"/>
      <c r="D212" s="1049"/>
      <c r="E212" s="1049"/>
      <c r="F212" s="1049"/>
      <c r="G212" s="1049"/>
      <c r="H212" s="1049"/>
      <c r="I212" s="1049"/>
      <c r="J212" s="1049"/>
      <c r="K212" s="1049">
        <f>IF(Vehi_Inputs!$B$8=2,AE212,U212)</f>
        <v>7.7896786757546244E-2</v>
      </c>
      <c r="L212" s="1049">
        <f>IF(Vehi_Inputs!$B$8=2,AF212,V212)</f>
        <v>7.7896786757546244E-2</v>
      </c>
      <c r="M212" s="661"/>
      <c r="N212" s="363"/>
      <c r="O212" s="1049"/>
      <c r="P212" s="1049"/>
      <c r="Q212" s="1049"/>
      <c r="R212" s="1049"/>
      <c r="S212" s="1049"/>
      <c r="T212" s="1049"/>
      <c r="U212" s="1065">
        <v>7.7896786757546244E-2</v>
      </c>
      <c r="V212" s="1065">
        <v>7.7896786757546244E-2</v>
      </c>
      <c r="W212" s="661"/>
      <c r="X212" s="363"/>
      <c r="Y212" s="1055"/>
      <c r="Z212" s="1055"/>
      <c r="AA212" s="1055"/>
      <c r="AB212" s="1055"/>
      <c r="AC212" s="1055"/>
      <c r="AD212" s="1055"/>
      <c r="AE212" s="1027">
        <v>0</v>
      </c>
      <c r="AF212" s="1050">
        <v>0</v>
      </c>
    </row>
    <row r="213" spans="1:32">
      <c r="B213" s="483" t="s">
        <v>261</v>
      </c>
      <c r="C213" s="1049"/>
      <c r="D213" s="1049"/>
      <c r="E213" s="1049"/>
      <c r="F213" s="1049"/>
      <c r="G213" s="1049"/>
      <c r="H213" s="1049"/>
      <c r="I213" s="1049"/>
      <c r="J213" s="1049"/>
      <c r="K213" s="1049">
        <f>IF(Vehi_Inputs!$B$8=2,AE213,U213)</f>
        <v>0</v>
      </c>
      <c r="L213" s="1049">
        <f>IF(Vehi_Inputs!$B$8=2,AF213,V213)</f>
        <v>0</v>
      </c>
      <c r="M213" s="661"/>
      <c r="N213" s="363"/>
      <c r="O213" s="1049"/>
      <c r="P213" s="1049"/>
      <c r="Q213" s="1049"/>
      <c r="R213" s="1049"/>
      <c r="S213" s="1049"/>
      <c r="T213" s="1049"/>
      <c r="U213" s="1065">
        <v>0</v>
      </c>
      <c r="V213" s="1065">
        <v>0</v>
      </c>
      <c r="W213" s="661"/>
      <c r="X213" s="363"/>
      <c r="Y213" s="1055"/>
      <c r="Z213" s="1055"/>
      <c r="AA213" s="1055"/>
      <c r="AB213" s="1055"/>
      <c r="AC213" s="1055"/>
      <c r="AD213" s="1055"/>
      <c r="AE213" s="1027">
        <v>0</v>
      </c>
      <c r="AF213" s="1050">
        <v>0</v>
      </c>
    </row>
    <row r="214" spans="1:32">
      <c r="B214" s="483" t="s">
        <v>272</v>
      </c>
      <c r="C214" s="1049"/>
      <c r="D214" s="1049"/>
      <c r="E214" s="1049"/>
      <c r="F214" s="1049"/>
      <c r="G214" s="1049"/>
      <c r="H214" s="1049"/>
      <c r="I214" s="1049"/>
      <c r="J214" s="1049"/>
      <c r="K214" s="1049">
        <f>IF(Vehi_Inputs!$B$8=2,AE214,U214)</f>
        <v>0</v>
      </c>
      <c r="L214" s="1049">
        <f>IF(Vehi_Inputs!$B$8=2,AF214,V214)</f>
        <v>0</v>
      </c>
      <c r="M214" s="661"/>
      <c r="N214" s="363"/>
      <c r="O214" s="1049"/>
      <c r="P214" s="1049"/>
      <c r="Q214" s="1049"/>
      <c r="R214" s="1049"/>
      <c r="S214" s="1049"/>
      <c r="T214" s="1049"/>
      <c r="U214" s="1065">
        <v>0</v>
      </c>
      <c r="V214" s="1065">
        <v>0</v>
      </c>
      <c r="W214" s="661"/>
      <c r="X214" s="363"/>
      <c r="Y214" s="1055"/>
      <c r="Z214" s="1055"/>
      <c r="AA214" s="1055"/>
      <c r="AB214" s="1055"/>
      <c r="AC214" s="1055"/>
      <c r="AD214" s="1055"/>
      <c r="AE214" s="1027">
        <v>0</v>
      </c>
      <c r="AF214" s="1050">
        <v>0</v>
      </c>
    </row>
    <row r="215" spans="1:32">
      <c r="B215" s="483" t="s">
        <v>273</v>
      </c>
      <c r="C215" s="1049"/>
      <c r="D215" s="1049"/>
      <c r="E215" s="1049"/>
      <c r="F215" s="1049"/>
      <c r="G215" s="1049"/>
      <c r="H215" s="1049"/>
      <c r="I215" s="1049"/>
      <c r="J215" s="1049"/>
      <c r="K215" s="1049">
        <f>IF(Vehi_Inputs!$B$8=2,AE215,U215)</f>
        <v>9.7370983446932804E-3</v>
      </c>
      <c r="L215" s="1049">
        <f>IF(Vehi_Inputs!$B$8=2,AF215,V215)</f>
        <v>9.7370983446932804E-3</v>
      </c>
      <c r="M215" s="661"/>
      <c r="N215" s="363"/>
      <c r="O215" s="1049"/>
      <c r="P215" s="1049"/>
      <c r="Q215" s="1049"/>
      <c r="R215" s="1049"/>
      <c r="S215" s="1049"/>
      <c r="T215" s="1049"/>
      <c r="U215" s="1065">
        <v>9.7370983446932804E-3</v>
      </c>
      <c r="V215" s="1065">
        <v>9.7370983446932804E-3</v>
      </c>
      <c r="W215" s="661"/>
      <c r="X215" s="363"/>
      <c r="Y215" s="1055"/>
      <c r="Z215" s="1055"/>
      <c r="AA215" s="1055"/>
      <c r="AB215" s="1055"/>
      <c r="AC215" s="1055"/>
      <c r="AD215" s="1055"/>
      <c r="AE215" s="1027"/>
      <c r="AF215" s="1050"/>
    </row>
    <row r="216" spans="1:32">
      <c r="B216" s="905" t="s">
        <v>262</v>
      </c>
      <c r="C216" s="1051"/>
      <c r="D216" s="1051"/>
      <c r="E216" s="1051"/>
      <c r="F216" s="1051"/>
      <c r="G216" s="1051"/>
      <c r="H216" s="1051"/>
      <c r="I216" s="1051"/>
      <c r="J216" s="1051"/>
      <c r="K216" s="1051">
        <f>1-SUM(K206:K215)</f>
        <v>3.8948393378772983E-2</v>
      </c>
      <c r="L216" s="1060">
        <f>1-SUM(L206:L215)</f>
        <v>3.8948393378772983E-2</v>
      </c>
      <c r="M216" s="897"/>
      <c r="N216" s="1030"/>
      <c r="O216" s="1051"/>
      <c r="P216" s="1051"/>
      <c r="Q216" s="1051"/>
      <c r="R216" s="1051"/>
      <c r="S216" s="1051"/>
      <c r="T216" s="1051"/>
      <c r="U216" s="1051">
        <f>1-SUM(U206:U215)</f>
        <v>3.8948393378772983E-2</v>
      </c>
      <c r="V216" s="1051">
        <f>1-SUM(V206:V215)</f>
        <v>3.8948393378772983E-2</v>
      </c>
      <c r="W216" s="897"/>
      <c r="X216" s="1030"/>
      <c r="Y216" s="1052"/>
      <c r="Z216" s="1052"/>
      <c r="AA216" s="1052"/>
      <c r="AB216" s="1052"/>
      <c r="AC216" s="1052"/>
      <c r="AD216" s="1052"/>
      <c r="AE216" s="1051">
        <f>1-SUM(AE206:AE214)</f>
        <v>1</v>
      </c>
      <c r="AF216" s="1060">
        <f>1-SUM(AF206:AF214)</f>
        <v>1</v>
      </c>
    </row>
    <row r="218" spans="1:32" ht="15">
      <c r="A218" s="134" t="s">
        <v>663</v>
      </c>
      <c r="N218" s="1321"/>
      <c r="O218" s="1321"/>
      <c r="P218" s="1321"/>
      <c r="Q218" s="1321"/>
      <c r="R218" s="1321"/>
    </row>
    <row r="219" spans="1:32" ht="38.25">
      <c r="B219" s="1632"/>
      <c r="C219" s="1633" t="s">
        <v>141</v>
      </c>
      <c r="D219" s="1634" t="s">
        <v>142</v>
      </c>
      <c r="E219" s="1634" t="s">
        <v>143</v>
      </c>
      <c r="F219" s="1634" t="s">
        <v>144</v>
      </c>
      <c r="G219" s="1634" t="s">
        <v>145</v>
      </c>
      <c r="H219" s="1634" t="s">
        <v>146</v>
      </c>
      <c r="I219" s="1634" t="s">
        <v>147</v>
      </c>
      <c r="J219" s="1634" t="s">
        <v>148</v>
      </c>
      <c r="K219" s="1634" t="s">
        <v>149</v>
      </c>
      <c r="L219" s="1635" t="s">
        <v>150</v>
      </c>
      <c r="N219" s="1321"/>
      <c r="O219" s="1321"/>
      <c r="P219" s="1321"/>
      <c r="Q219" s="1321"/>
      <c r="R219" s="1321"/>
      <c r="S219" s="1321"/>
      <c r="U219" s="1321"/>
      <c r="W219" s="1321"/>
    </row>
    <row r="220" spans="1:32">
      <c r="B220" s="686" t="s">
        <v>607</v>
      </c>
      <c r="C220" s="1197">
        <f>IF(C4=$N11,1,(1+(-0.0009*((($N11-C4)/$N11*100)^2)+0.8126*(($N11-C4)/$N11*100)+0.3334)/100))*GREET1_Import_Export!$B15</f>
        <v>30.829708392575704</v>
      </c>
      <c r="D220" s="1197">
        <f>IF(D4=$N11,1,(1+(-0.0009*((($N11-D4)/$N11*100)^2)+0.8126*(($N11-D4)/$N11*100)+0.3334)/100))*GREET1_Import_Export!$B15</f>
        <v>33.984530124274698</v>
      </c>
      <c r="E220" s="1197">
        <f>IF(E4=$O11,1,(1+(-0.0089*((($O11-E4)/$O11*100)^2)+0.9051*(($O11-E4)/$O11*100)+0.1356)/100))*GREET1_Import_Export!$B16</f>
        <v>44.909666279498246</v>
      </c>
      <c r="F220" s="1197">
        <f>IF(F4=$O11,1,(1+(-0.0089*((($O11-F4)/$O11*100)^2)+0.9051*(($O11-F4)/$O11*100)+0.1356)/100))*GREET1_Import_Export!$B16</f>
        <v>50.238657948479982</v>
      </c>
      <c r="G220" s="1197">
        <f>IF(G4=$P11,1,(1+(-0.0089*((($P11-G4)/$P11*100)^2)+0.9051*(($P11-G4)/$P11*100)+0.1356)/100))*GREET1_Import_Export!$B17</f>
        <v>68.939025421457131</v>
      </c>
      <c r="H220" s="1197">
        <f>IF(H4=$P11,1,(1+(-0.0089*((($P11-H4)/$P11*100)^2)+0.9051*(($P11-H4)/$P11*100)+0.1356)/100))*GREET1_Import_Export!$B17</f>
        <v>75.367907095063586</v>
      </c>
      <c r="I220" s="1197">
        <f>IF(I4=$Q11,1,(1+(-0.0089*((($Q11-I4)/$Q11*100)^2)+0.9051*(($Q11-I4)/$Q11*100)+0.1356)/100))*GREET1_Import_Export!$B18</f>
        <v>66.901207242689225</v>
      </c>
      <c r="J220" s="1197">
        <f>IF(J4=$Q11,1,(1+(-0.0089*((($Q11-J4)/$Q11*100)^2)+0.9051*(($Q11-J4)/$Q11*100)+0.1356)/100))*GREET1_Import_Export!$B18</f>
        <v>72.904786354980587</v>
      </c>
      <c r="K220" s="1197">
        <f>IF(K4=$R11,1,(1+(0.0012*((($R11-K4)/$R11*100)^2)+0.6877*(($R11-K4)/$R11*100)+0.0351)/100))*GREET1_Import_Export!$B19</f>
        <v>44.137642991583277</v>
      </c>
      <c r="L220" s="1198">
        <f>IF(L4=$R11,1,(1+(0.0012*((($R11-L4)/$R11*100)^2)+0.6877*(($R11-L4)/$R11*100)+0.0351)/100))*GREET1_Import_Export!$B19</f>
        <v>45.839201639702722</v>
      </c>
      <c r="N220" s="1321"/>
      <c r="O220" s="1321"/>
      <c r="P220" s="1321"/>
      <c r="Q220" s="1321"/>
      <c r="R220" s="1321"/>
      <c r="S220" s="1321"/>
      <c r="U220" s="1321"/>
      <c r="W220" s="1321"/>
    </row>
    <row r="221" spans="1:32">
      <c r="B221" s="483" t="s">
        <v>608</v>
      </c>
      <c r="C221" s="1116">
        <v>27</v>
      </c>
      <c r="D221" s="1116">
        <v>31.6</v>
      </c>
      <c r="E221" s="363" t="e">
        <v>#N/A</v>
      </c>
      <c r="F221" s="363" t="e">
        <v>#N/A</v>
      </c>
      <c r="G221" s="363" t="e">
        <v>#N/A</v>
      </c>
      <c r="H221" s="363" t="e">
        <v>#N/A</v>
      </c>
      <c r="I221" s="363" t="e">
        <v>#N/A</v>
      </c>
      <c r="J221" s="363" t="e">
        <v>#N/A</v>
      </c>
      <c r="K221" s="363" t="e">
        <v>#N/A</v>
      </c>
      <c r="L221" s="1013" t="e">
        <v>#N/A</v>
      </c>
    </row>
    <row r="222" spans="1:32">
      <c r="B222" s="905" t="s">
        <v>609</v>
      </c>
      <c r="C222" s="1195">
        <f>IF(Vehi_Inputs!$B$8=2,C221,C220)</f>
        <v>30.829708392575704</v>
      </c>
      <c r="D222" s="1195">
        <f>IF(Vehi_Inputs!$B$8=2,D221,D220)</f>
        <v>33.984530124274698</v>
      </c>
      <c r="E222" s="1195">
        <f>IF(Vehi_Inputs!$B$8=2,E221,E220)</f>
        <v>44.909666279498246</v>
      </c>
      <c r="F222" s="1195">
        <f>IF(Vehi_Inputs!$B$8=2,F221,F220)</f>
        <v>50.238657948479982</v>
      </c>
      <c r="G222" s="1195">
        <f>IF(Vehi_Inputs!$B$8=2,G221,G220)</f>
        <v>68.939025421457131</v>
      </c>
      <c r="H222" s="1195">
        <f>IF(Vehi_Inputs!$B$8=2,H221,H220)</f>
        <v>75.367907095063586</v>
      </c>
      <c r="I222" s="1195">
        <f>IF(Vehi_Inputs!$B$8=2,I221,I220)</f>
        <v>66.901207242689225</v>
      </c>
      <c r="J222" s="1195">
        <f>IF(Vehi_Inputs!$B$8=2,J221,J220)</f>
        <v>72.904786354980587</v>
      </c>
      <c r="K222" s="1195">
        <f>IF(Vehi_Inputs!$B$8=2,K221,K220)</f>
        <v>44.137642991583277</v>
      </c>
      <c r="L222" s="1196">
        <f>IF(Vehi_Inputs!$B$8=2,L221,L220)</f>
        <v>45.839201639702722</v>
      </c>
    </row>
    <row r="224" spans="1:32" ht="15">
      <c r="A224" s="134" t="s">
        <v>2699</v>
      </c>
    </row>
    <row r="225" spans="1:14">
      <c r="B225" s="63" t="s">
        <v>2307</v>
      </c>
      <c r="L225" s="151"/>
      <c r="M225" s="151"/>
      <c r="N225" s="363"/>
    </row>
    <row r="226" spans="1:14">
      <c r="A226" s="1808"/>
      <c r="B226" s="1321"/>
      <c r="C226" s="1812">
        <f t="shared" ref="C226:K226" si="15">C227</f>
        <v>3053.4023312605541</v>
      </c>
      <c r="D226" s="1812">
        <f t="shared" si="15"/>
        <v>3170.2473302185394</v>
      </c>
      <c r="E226" s="1812">
        <f t="shared" si="15"/>
        <v>3001.3732373849234</v>
      </c>
      <c r="F226" s="1812">
        <f t="shared" si="15"/>
        <v>3174.656575462237</v>
      </c>
      <c r="G226" s="1812">
        <f t="shared" si="15"/>
        <v>3192.2935564370273</v>
      </c>
      <c r="H226" s="1812">
        <f t="shared" si="15"/>
        <v>2718.2996927395402</v>
      </c>
      <c r="I226" s="1812">
        <f t="shared" si="15"/>
        <v>2720.5043153613892</v>
      </c>
      <c r="J226" s="1812">
        <f t="shared" si="15"/>
        <v>2722.7089379832382</v>
      </c>
      <c r="K226" s="1812">
        <f t="shared" si="15"/>
        <v>2724.9135606050868</v>
      </c>
      <c r="L226" s="127"/>
      <c r="M226" s="312"/>
      <c r="N226" s="489"/>
    </row>
    <row r="227" spans="1:14">
      <c r="A227" s="1808"/>
      <c r="B227" s="1321"/>
      <c r="C227" s="631">
        <f>GetTSTableValue($B229:$K234,GREET1_Import_Export!$B$20,2)</f>
        <v>3053.4023312605541</v>
      </c>
      <c r="D227" s="631">
        <f>GetTSTableValue($B229:$K234,GREET1_Import_Export!$B$20,3)</f>
        <v>3170.2473302185394</v>
      </c>
      <c r="E227" s="631">
        <f>GetTSTableValue($B229:$K234,GREET1_Import_Export!$B$20,4)</f>
        <v>3001.3732373849234</v>
      </c>
      <c r="F227" s="631">
        <f>GetTSTableValue($B229:$K234,GREET1_Import_Export!$B$20,5)</f>
        <v>3174.656575462237</v>
      </c>
      <c r="G227" s="631">
        <f>GetTSTableValue($B229:$K234,GREET1_Import_Export!$B$20,6)</f>
        <v>3192.2935564370273</v>
      </c>
      <c r="H227" s="631">
        <f>GetTSTableValue($B229:$K234,GREET1_Import_Export!$B$20,7)</f>
        <v>2718.2996927395402</v>
      </c>
      <c r="I227" s="631">
        <f>GetTSTableValue($B229:$K234,GREET1_Import_Export!$B$20,8)</f>
        <v>2720.5043153613892</v>
      </c>
      <c r="J227" s="631">
        <f>GetTSTableValue($B229:$K234,GREET1_Import_Export!$B$20,9)</f>
        <v>2722.7089379832382</v>
      </c>
      <c r="K227" s="631">
        <f>GetTSTableValue($B229:$K234,GREET1_Import_Export!$B$20,10)</f>
        <v>2724.9135606050868</v>
      </c>
      <c r="L227" s="1811"/>
      <c r="M227" s="312"/>
      <c r="N227" s="489"/>
    </row>
    <row r="228" spans="1:14" ht="38.25">
      <c r="A228" s="1808"/>
      <c r="B228" s="1807" t="s">
        <v>2300</v>
      </c>
      <c r="C228" s="1192" t="s">
        <v>141</v>
      </c>
      <c r="D228" s="1474" t="s">
        <v>143</v>
      </c>
      <c r="E228" s="1474" t="s">
        <v>149</v>
      </c>
      <c r="F228" s="1474" t="s">
        <v>597</v>
      </c>
      <c r="G228" s="1474" t="s">
        <v>2302</v>
      </c>
      <c r="H228" s="1474" t="s">
        <v>2304</v>
      </c>
      <c r="I228" s="1474" t="s">
        <v>605</v>
      </c>
      <c r="J228" s="1474" t="s">
        <v>2305</v>
      </c>
      <c r="K228" s="1193" t="s">
        <v>2306</v>
      </c>
      <c r="L228" s="127"/>
      <c r="M228" s="312"/>
      <c r="N228" s="1814"/>
    </row>
    <row r="229" spans="1:14" ht="15">
      <c r="A229" s="1808" t="s">
        <v>2301</v>
      </c>
      <c r="B229" s="1809">
        <v>2015</v>
      </c>
      <c r="C229" s="2587">
        <v>3147.4712800000002</v>
      </c>
      <c r="D229" s="1291">
        <v>3317.8993</v>
      </c>
      <c r="E229" s="1291">
        <v>3516.3150999999998</v>
      </c>
      <c r="F229" s="1291">
        <v>3335.5362599999999</v>
      </c>
      <c r="G229" s="2585">
        <v>3494.2689</v>
      </c>
      <c r="H229" s="1291">
        <v>2954.1370000000002</v>
      </c>
      <c r="I229" s="2585">
        <v>2954.1370000000002</v>
      </c>
      <c r="J229" s="2585">
        <v>2954.1370000000002</v>
      </c>
      <c r="K229" s="2586">
        <v>2954.1370000000002</v>
      </c>
      <c r="L229" s="127"/>
      <c r="M229" s="312"/>
      <c r="N229" s="1815"/>
    </row>
    <row r="230" spans="1:14" ht="15">
      <c r="A230" s="1808" t="s">
        <v>2301</v>
      </c>
      <c r="B230" s="1809">
        <v>2020</v>
      </c>
      <c r="C230" s="2587">
        <v>3053.4023312605541</v>
      </c>
      <c r="D230" s="1291">
        <v>3170.2473302185394</v>
      </c>
      <c r="E230" s="1291">
        <v>3001.3732373849234</v>
      </c>
      <c r="F230" s="1291">
        <v>3174.656575462237</v>
      </c>
      <c r="G230" s="1291">
        <v>3192.2935564370273</v>
      </c>
      <c r="H230" s="1291">
        <v>2718.2996927395402</v>
      </c>
      <c r="I230" s="1291">
        <v>2720.5043153613892</v>
      </c>
      <c r="J230" s="1291">
        <v>2722.7089379832382</v>
      </c>
      <c r="K230" s="1093">
        <v>2724.9135606050868</v>
      </c>
      <c r="L230" s="127"/>
      <c r="M230" s="312"/>
      <c r="N230" s="1815"/>
    </row>
    <row r="231" spans="1:14" ht="15">
      <c r="A231" s="1808" t="s">
        <v>2301</v>
      </c>
      <c r="B231" s="1809">
        <v>2025</v>
      </c>
      <c r="C231" s="2587">
        <v>2894.6695024874425</v>
      </c>
      <c r="D231" s="1291">
        <v>2982.8544073613934</v>
      </c>
      <c r="E231" s="1291">
        <v>2813.9803145277774</v>
      </c>
      <c r="F231" s="1291">
        <v>2985.0590299832425</v>
      </c>
      <c r="G231" s="1291">
        <v>3000.4913883361837</v>
      </c>
      <c r="H231" s="1291">
        <v>2535.3160151260922</v>
      </c>
      <c r="I231" s="1291">
        <v>2537.5206377479408</v>
      </c>
      <c r="J231" s="1291">
        <v>2537.5206377479408</v>
      </c>
      <c r="K231" s="1093">
        <v>2539.7252603697893</v>
      </c>
      <c r="L231" s="127"/>
      <c r="M231" s="312"/>
      <c r="N231" s="1815"/>
    </row>
    <row r="232" spans="1:14" ht="15">
      <c r="A232" s="1808" t="s">
        <v>2301</v>
      </c>
      <c r="B232" s="1809">
        <v>2030</v>
      </c>
      <c r="C232" s="2587">
        <v>2859.395540537862</v>
      </c>
      <c r="D232" s="1291">
        <v>2934.3527096807206</v>
      </c>
      <c r="E232" s="1291">
        <v>2769.8878620908022</v>
      </c>
      <c r="F232" s="1291">
        <v>2936.5573323025692</v>
      </c>
      <c r="G232" s="1291">
        <v>2951.9896906555109</v>
      </c>
      <c r="H232" s="1291">
        <v>2489.018940067268</v>
      </c>
      <c r="I232" s="1291">
        <v>2489.018940067268</v>
      </c>
      <c r="J232" s="1291">
        <v>2491.2235626891165</v>
      </c>
      <c r="K232" s="1093">
        <v>2491.2235626891165</v>
      </c>
      <c r="L232" s="127"/>
      <c r="M232" s="312"/>
      <c r="N232" s="1815"/>
    </row>
    <row r="233" spans="1:14" ht="15">
      <c r="A233" s="1808" t="s">
        <v>2301</v>
      </c>
      <c r="B233" s="1809">
        <v>2035</v>
      </c>
      <c r="C233" s="2587">
        <v>2877.0325215126522</v>
      </c>
      <c r="D233" s="1291">
        <v>2934.3527096807206</v>
      </c>
      <c r="E233" s="1291">
        <v>2769.8878620908022</v>
      </c>
      <c r="F233" s="1291">
        <v>2936.5573323025692</v>
      </c>
      <c r="G233" s="1291">
        <v>2951.9896906555109</v>
      </c>
      <c r="H233" s="1291">
        <v>2489.018940067268</v>
      </c>
      <c r="I233" s="1291">
        <v>2489.018940067268</v>
      </c>
      <c r="J233" s="1291">
        <v>2489.018940067268</v>
      </c>
      <c r="K233" s="1093">
        <v>2491.2235626891165</v>
      </c>
      <c r="L233" s="127"/>
      <c r="M233" s="312"/>
      <c r="N233" s="1815"/>
    </row>
    <row r="234" spans="1:14" ht="15">
      <c r="A234" s="1808" t="s">
        <v>2301</v>
      </c>
      <c r="B234" s="1810">
        <v>2050</v>
      </c>
      <c r="C234" s="2588">
        <v>2788.8476166387013</v>
      </c>
      <c r="D234" s="1292">
        <v>2934.3527096807206</v>
      </c>
      <c r="E234" s="1292">
        <v>2769.8878620908022</v>
      </c>
      <c r="F234" s="1292">
        <v>2934.3527096807206</v>
      </c>
      <c r="G234" s="1292">
        <v>2947.5804454118129</v>
      </c>
      <c r="H234" s="1292">
        <v>2486.814317445419</v>
      </c>
      <c r="I234" s="1292">
        <v>2489.018940067268</v>
      </c>
      <c r="J234" s="1292">
        <v>2489.018940067268</v>
      </c>
      <c r="K234" s="1493">
        <v>2489.018940067268</v>
      </c>
      <c r="L234" s="363"/>
      <c r="M234" s="312"/>
      <c r="N234" s="1815"/>
    </row>
    <row r="235" spans="1:14">
      <c r="L235" s="363"/>
      <c r="M235" s="363"/>
      <c r="N235" s="363"/>
    </row>
    <row r="237" spans="1:14">
      <c r="A237" s="151"/>
      <c r="B237" s="63" t="s">
        <v>612</v>
      </c>
      <c r="C237" s="151"/>
    </row>
    <row r="238" spans="1:14">
      <c r="A238" s="1808"/>
      <c r="B238" s="1321"/>
      <c r="C238" s="1812">
        <f t="shared" ref="C238:K238" si="16">C239</f>
        <v>3093.0855384538327</v>
      </c>
      <c r="D238" s="1812">
        <f t="shared" si="16"/>
        <v>3234.181386252154</v>
      </c>
      <c r="E238" s="1812">
        <f t="shared" si="16"/>
        <v>3387.1821962084596</v>
      </c>
      <c r="F238" s="1812">
        <f t="shared" si="16"/>
        <v>3417.1650638656024</v>
      </c>
      <c r="G238" s="1812">
        <f t="shared" si="16"/>
        <v>3635.4227034286309</v>
      </c>
      <c r="H238" s="1812">
        <f t="shared" si="16"/>
        <v>3302.5246875294656</v>
      </c>
      <c r="I238" s="1812">
        <f t="shared" si="16"/>
        <v>3619.9903450756897</v>
      </c>
      <c r="J238" s="1812">
        <f t="shared" si="16"/>
        <v>4038.8686432269569</v>
      </c>
      <c r="K238" s="1812">
        <f t="shared" si="16"/>
        <v>4559.1595819832683</v>
      </c>
    </row>
    <row r="239" spans="1:14">
      <c r="A239" s="1808"/>
      <c r="B239" s="1321"/>
      <c r="C239" s="631">
        <f>GetTSTableValue($B241:$K246,GREET1_Import_Export!$B$20,2)</f>
        <v>3093.0855384538327</v>
      </c>
      <c r="D239" s="631">
        <f>GetTSTableValue($B241:$K246,GREET1_Import_Export!$B$20,3)</f>
        <v>3234.181386252154</v>
      </c>
      <c r="E239" s="631">
        <f>GetTSTableValue($B241:$K246,GREET1_Import_Export!$B$20,4)</f>
        <v>3387.1821962084596</v>
      </c>
      <c r="F239" s="631">
        <f>GetTSTableValue($B241:$K246,GREET1_Import_Export!$B$20,5)</f>
        <v>3417.1650638656024</v>
      </c>
      <c r="G239" s="631">
        <f>GetTSTableValue($B241:$K246,GREET1_Import_Export!$B$20,6)</f>
        <v>3635.4227034286309</v>
      </c>
      <c r="H239" s="631">
        <f>GetTSTableValue($B241:$K246,GREET1_Import_Export!$B$20,7)</f>
        <v>3302.5246875294656</v>
      </c>
      <c r="I239" s="631">
        <f>GetTSTableValue($B241:$K246,GREET1_Import_Export!$B$20,8)</f>
        <v>3619.9903450756897</v>
      </c>
      <c r="J239" s="631">
        <f>GetTSTableValue($B241:$K246,GREET1_Import_Export!$B$20,9)</f>
        <v>4038.8686432269569</v>
      </c>
      <c r="K239" s="631">
        <f>GetTSTableValue($B241:$K246,GREET1_Import_Export!$B$20,10)</f>
        <v>4559.1595819832683</v>
      </c>
    </row>
    <row r="240" spans="1:14" ht="38.25">
      <c r="A240" s="1808"/>
      <c r="B240" s="2542" t="s">
        <v>2300</v>
      </c>
      <c r="C240" s="1192" t="s">
        <v>141</v>
      </c>
      <c r="D240" s="1474" t="s">
        <v>143</v>
      </c>
      <c r="E240" s="1474" t="s">
        <v>149</v>
      </c>
      <c r="F240" s="1474" t="s">
        <v>597</v>
      </c>
      <c r="G240" s="1474" t="s">
        <v>2302</v>
      </c>
      <c r="H240" s="1474" t="s">
        <v>2304</v>
      </c>
      <c r="I240" s="1474" t="s">
        <v>605</v>
      </c>
      <c r="J240" s="1474" t="s">
        <v>2305</v>
      </c>
      <c r="K240" s="1193" t="s">
        <v>2306</v>
      </c>
    </row>
    <row r="241" spans="1:11" ht="15">
      <c r="A241" s="1808" t="s">
        <v>2301</v>
      </c>
      <c r="B241" s="1809">
        <v>2015</v>
      </c>
      <c r="C241" s="2587">
        <v>3183.4712799999998</v>
      </c>
      <c r="D241" s="1291">
        <v>3379.6824599999995</v>
      </c>
      <c r="E241" s="1291">
        <v>3586.9167399999997</v>
      </c>
      <c r="F241" s="1291">
        <v>3705.9662199999998</v>
      </c>
      <c r="G241" s="2585">
        <v>3981.5437199999997</v>
      </c>
      <c r="H241" s="1291">
        <v>4268.1443200000003</v>
      </c>
      <c r="I241" s="2585">
        <v>4268.1443200000003</v>
      </c>
      <c r="J241" s="2585">
        <v>4268.1443200000003</v>
      </c>
      <c r="K241" s="2586">
        <v>4268.1443200000003</v>
      </c>
    </row>
    <row r="242" spans="1:11" ht="15">
      <c r="A242" s="1808" t="s">
        <v>2301</v>
      </c>
      <c r="B242" s="1809">
        <v>2020</v>
      </c>
      <c r="C242" s="2587">
        <v>3093.0855384538327</v>
      </c>
      <c r="D242" s="1291">
        <v>3234.181386252154</v>
      </c>
      <c r="E242" s="1291">
        <v>3387.1821962084596</v>
      </c>
      <c r="F242" s="1291">
        <v>3417.1650638656024</v>
      </c>
      <c r="G242" s="1291">
        <v>3635.4227034286309</v>
      </c>
      <c r="H242" s="1291">
        <v>3302.5246875294656</v>
      </c>
      <c r="I242" s="1291">
        <v>3619.9903450756897</v>
      </c>
      <c r="J242" s="1291">
        <v>4038.8686432269569</v>
      </c>
      <c r="K242" s="1093">
        <v>4559.1595819832683</v>
      </c>
    </row>
    <row r="243" spans="1:11" ht="15">
      <c r="A243" s="1808" t="s">
        <v>2301</v>
      </c>
      <c r="B243" s="1809">
        <v>2025</v>
      </c>
      <c r="C243" s="2587">
        <v>2934.3527096807206</v>
      </c>
      <c r="D243" s="1291">
        <v>3042.3792181513104</v>
      </c>
      <c r="E243" s="1291">
        <v>3096.1720101244209</v>
      </c>
      <c r="F243" s="1291">
        <v>3165.8380849748419</v>
      </c>
      <c r="G243" s="1291">
        <v>3315.7524232605588</v>
      </c>
      <c r="H243" s="1291">
        <v>3084.2670479664371</v>
      </c>
      <c r="I243" s="1291">
        <v>3379.6864792941733</v>
      </c>
      <c r="J243" s="1291">
        <v>3765.495438117709</v>
      </c>
      <c r="K243" s="1093">
        <v>4252.7170375462883</v>
      </c>
    </row>
    <row r="244" spans="1:11" ht="15">
      <c r="A244" s="1808" t="s">
        <v>2301</v>
      </c>
      <c r="B244" s="1809">
        <v>2030</v>
      </c>
      <c r="C244" s="2587">
        <v>2899.0787477311401</v>
      </c>
      <c r="D244" s="1291">
        <v>2987.2636526050915</v>
      </c>
      <c r="E244" s="1291">
        <v>3043.2610672000501</v>
      </c>
      <c r="F244" s="1291">
        <v>3082.0624253445885</v>
      </c>
      <c r="G244" s="1291">
        <v>3238.5906314958515</v>
      </c>
      <c r="H244" s="1291">
        <v>2894.6695024874425</v>
      </c>
      <c r="I244" s="1291">
        <v>3090.8809158319837</v>
      </c>
      <c r="J244" s="1291">
        <v>3366.4587435630806</v>
      </c>
      <c r="K244" s="1093">
        <v>3697.1521368403969</v>
      </c>
    </row>
    <row r="245" spans="1:11" ht="15">
      <c r="A245" s="1808" t="s">
        <v>2301</v>
      </c>
      <c r="B245" s="1809">
        <v>2035</v>
      </c>
      <c r="C245" s="2587">
        <v>2916.7157287059304</v>
      </c>
      <c r="D245" s="1291">
        <v>2985.0590299832425</v>
      </c>
      <c r="E245" s="1291">
        <v>3036.647199334504</v>
      </c>
      <c r="F245" s="1291">
        <v>3068.8346896134958</v>
      </c>
      <c r="G245" s="1291">
        <v>3207.7259147899686</v>
      </c>
      <c r="H245" s="1291">
        <v>2863.80478578156</v>
      </c>
      <c r="I245" s="1291">
        <v>3101.9040289412274</v>
      </c>
      <c r="J245" s="1291">
        <v>3306.9339327731636</v>
      </c>
      <c r="K245" s="1093">
        <v>3547.23779855468</v>
      </c>
    </row>
    <row r="246" spans="1:11" ht="15">
      <c r="A246" s="1808" t="s">
        <v>2301</v>
      </c>
      <c r="B246" s="1810">
        <v>2050</v>
      </c>
      <c r="C246" s="2588">
        <v>2828.5308238319794</v>
      </c>
      <c r="D246" s="1292">
        <v>2982.8544073613934</v>
      </c>
      <c r="E246" s="1292">
        <v>3032.2379540908064</v>
      </c>
      <c r="F246" s="1292">
        <v>3053.4023312605541</v>
      </c>
      <c r="G246" s="1292">
        <v>3176.8611980840856</v>
      </c>
      <c r="H246" s="1292">
        <v>2786.6429940168523</v>
      </c>
      <c r="I246" s="1292">
        <v>2974.0359168739983</v>
      </c>
      <c r="J246" s="1292">
        <v>3130.5641230252618</v>
      </c>
      <c r="K246" s="1493">
        <v>3306.9339327731636</v>
      </c>
    </row>
    <row r="248" spans="1:11">
      <c r="B248" s="63" t="s">
        <v>2312</v>
      </c>
    </row>
    <row r="249" spans="1:11">
      <c r="A249" s="1808"/>
      <c r="B249" s="1321"/>
      <c r="C249" s="1812">
        <f t="shared" ref="C249:H249" si="17">C250</f>
        <v>8.1696384000000002</v>
      </c>
      <c r="D249" s="1812">
        <f t="shared" si="17"/>
        <v>18.619009900000002</v>
      </c>
      <c r="E249" s="1812">
        <f t="shared" si="17"/>
        <v>47.163772799999997</v>
      </c>
      <c r="F249" s="1812">
        <f t="shared" si="17"/>
        <v>74.311063200000007</v>
      </c>
      <c r="G249" s="1812">
        <f t="shared" si="17"/>
        <v>109.87475040000001</v>
      </c>
      <c r="H249" s="1812">
        <f t="shared" si="17"/>
        <v>154.3368816</v>
      </c>
      <c r="I249" s="522"/>
      <c r="J249" s="522"/>
      <c r="K249" s="522"/>
    </row>
    <row r="250" spans="1:11">
      <c r="A250" s="1808"/>
      <c r="B250" s="1321"/>
      <c r="C250" s="631">
        <f>GetTSTableValue($B252:$H257,GREET1_Import_Export!$B$20,2)</f>
        <v>8.1696384000000002</v>
      </c>
      <c r="D250" s="631">
        <f>GetTSTableValue($B252:$H257,GREET1_Import_Export!$B$20,3)</f>
        <v>18.619009900000002</v>
      </c>
      <c r="E250" s="631">
        <f>GetTSTableValue($B252:$H257,GREET1_Import_Export!$B$20,4)</f>
        <v>47.163772799999997</v>
      </c>
      <c r="F250" s="631">
        <f>GetTSTableValue($B252:$H257,GREET1_Import_Export!$B$20,5)</f>
        <v>74.311063200000007</v>
      </c>
      <c r="G250" s="631">
        <f>GetTSTableValue($B252:$H257,GREET1_Import_Export!$B$20,6)</f>
        <v>109.87475040000001</v>
      </c>
      <c r="H250" s="631">
        <f>GetTSTableValue($B252:$H257,GREET1_Import_Export!$B$20,7)</f>
        <v>154.3368816</v>
      </c>
      <c r="I250" s="631"/>
      <c r="J250" s="631"/>
      <c r="K250" s="631"/>
    </row>
    <row r="251" spans="1:11" ht="38.25">
      <c r="A251" s="1808"/>
      <c r="B251" s="1702" t="s">
        <v>2300</v>
      </c>
      <c r="C251" s="1192" t="s">
        <v>597</v>
      </c>
      <c r="D251" s="1474" t="s">
        <v>2302</v>
      </c>
      <c r="E251" s="1474" t="s">
        <v>2304</v>
      </c>
      <c r="F251" s="1474" t="s">
        <v>605</v>
      </c>
      <c r="G251" s="1474" t="s">
        <v>2305</v>
      </c>
      <c r="H251" s="1193" t="s">
        <v>2306</v>
      </c>
    </row>
    <row r="252" spans="1:11">
      <c r="A252" s="1808" t="s">
        <v>2301</v>
      </c>
      <c r="B252" s="2589">
        <v>2015</v>
      </c>
      <c r="C252" s="1486">
        <v>8.3235019999999995</v>
      </c>
      <c r="D252" s="2591">
        <v>15.273377999999999</v>
      </c>
      <c r="E252" s="2592">
        <v>84.122219999999999</v>
      </c>
      <c r="F252" s="2593">
        <v>84.122219999999999</v>
      </c>
      <c r="G252" s="2593">
        <v>84.122219999999999</v>
      </c>
      <c r="H252" s="2594">
        <v>84.122219999999999</v>
      </c>
    </row>
    <row r="253" spans="1:11">
      <c r="A253" s="1808" t="s">
        <v>2301</v>
      </c>
      <c r="B253" s="2589">
        <v>2020</v>
      </c>
      <c r="C253" s="1506">
        <v>8.1696384000000002</v>
      </c>
      <c r="D253" s="1291">
        <v>18.619009900000002</v>
      </c>
      <c r="E253" s="1291">
        <v>47.163772799999997</v>
      </c>
      <c r="F253" s="1291">
        <v>74.311063200000007</v>
      </c>
      <c r="G253" s="1291">
        <v>109.87475040000001</v>
      </c>
      <c r="H253" s="1093">
        <v>154.3368816</v>
      </c>
    </row>
    <row r="254" spans="1:11">
      <c r="A254" s="1808" t="s">
        <v>2301</v>
      </c>
      <c r="B254" s="2589">
        <v>2025</v>
      </c>
      <c r="C254" s="1506">
        <v>7.610004</v>
      </c>
      <c r="D254" s="1291">
        <v>17.337041299999999</v>
      </c>
      <c r="E254" s="1291">
        <v>44.175849100000001</v>
      </c>
      <c r="F254" s="1291">
        <v>69.327498200000008</v>
      </c>
      <c r="G254" s="1291">
        <v>102.38239299999999</v>
      </c>
      <c r="H254" s="1093">
        <v>143.8999862</v>
      </c>
    </row>
    <row r="255" spans="1:11">
      <c r="A255" s="1808" t="s">
        <v>2301</v>
      </c>
      <c r="B255" s="2589">
        <v>2030</v>
      </c>
      <c r="C255" s="1506">
        <v>7.0847135999999997</v>
      </c>
      <c r="D255" s="1291">
        <v>16.0883626</v>
      </c>
      <c r="E255" s="1291">
        <v>43.114349499999996</v>
      </c>
      <c r="F255" s="1291">
        <v>65.824271999999993</v>
      </c>
      <c r="G255" s="1291">
        <v>97.501222800000008</v>
      </c>
      <c r="H255" s="1093">
        <v>135.95072829999998</v>
      </c>
    </row>
    <row r="256" spans="1:11">
      <c r="A256" s="1808" t="s">
        <v>2301</v>
      </c>
      <c r="B256" s="2589">
        <v>2035</v>
      </c>
      <c r="C256" s="1506">
        <v>6.5735064000000003</v>
      </c>
      <c r="D256" s="1291">
        <v>14.810582200000001</v>
      </c>
      <c r="E256" s="1291">
        <v>39.693144999999994</v>
      </c>
      <c r="F256" s="1291">
        <v>67.202488099999997</v>
      </c>
      <c r="G256" s="1291">
        <v>90.851975999999993</v>
      </c>
      <c r="H256" s="1093">
        <v>118.53533950000001</v>
      </c>
    </row>
    <row r="257" spans="1:11">
      <c r="A257" s="1808" t="s">
        <v>2301</v>
      </c>
      <c r="B257" s="2590">
        <v>2050</v>
      </c>
      <c r="C257" s="1492">
        <v>5.6126519999999998</v>
      </c>
      <c r="D257" s="1292">
        <v>12.7431576</v>
      </c>
      <c r="E257" s="1292">
        <v>35.9502624</v>
      </c>
      <c r="F257" s="1292">
        <v>61.212659000000002</v>
      </c>
      <c r="G257" s="1292">
        <v>82.066495700000004</v>
      </c>
      <c r="H257" s="1493">
        <v>106.00219010000001</v>
      </c>
    </row>
    <row r="259" spans="1:11">
      <c r="A259" s="151"/>
      <c r="B259" s="63" t="s">
        <v>2311</v>
      </c>
      <c r="C259" s="151"/>
    </row>
    <row r="260" spans="1:11">
      <c r="A260" s="1808"/>
      <c r="B260" s="1321"/>
      <c r="C260" s="1812">
        <f>C261</f>
        <v>39.560558799999995</v>
      </c>
      <c r="D260" s="1812">
        <f>D261</f>
        <v>36.263845600000003</v>
      </c>
      <c r="E260" s="522"/>
    </row>
    <row r="261" spans="1:11">
      <c r="A261" s="1808"/>
      <c r="B261" s="1321"/>
      <c r="C261" s="631">
        <f>GetTSTableValue($B263:$D268,GREET1_Import_Export!$B$20,2)</f>
        <v>39.560558799999995</v>
      </c>
      <c r="D261" s="631">
        <f>GetTSTableValue($B263:$D268,GREET1_Import_Export!$B$20,3)</f>
        <v>36.263845600000003</v>
      </c>
      <c r="E261" s="631"/>
    </row>
    <row r="262" spans="1:11" ht="38.25">
      <c r="A262" s="1808"/>
      <c r="B262" s="1807" t="s">
        <v>2300</v>
      </c>
      <c r="C262" s="1192" t="s">
        <v>143</v>
      </c>
      <c r="D262" s="1193" t="s">
        <v>149</v>
      </c>
    </row>
    <row r="263" spans="1:11">
      <c r="A263" s="1808" t="s">
        <v>2301</v>
      </c>
      <c r="B263" s="1809">
        <v>2015</v>
      </c>
      <c r="C263" s="2598">
        <v>32.319000000000003</v>
      </c>
      <c r="D263" s="2599">
        <v>38.304000000000002</v>
      </c>
    </row>
    <row r="264" spans="1:11">
      <c r="A264" s="1808" t="s">
        <v>2301</v>
      </c>
      <c r="B264" s="1809">
        <v>2020</v>
      </c>
      <c r="C264" s="1506">
        <v>39.560558799999995</v>
      </c>
      <c r="D264" s="1093">
        <v>36.263845600000003</v>
      </c>
    </row>
    <row r="265" spans="1:11">
      <c r="A265" s="1808" t="s">
        <v>2301</v>
      </c>
      <c r="B265" s="1809">
        <v>2025</v>
      </c>
      <c r="C265" s="1506">
        <v>36.263845600000003</v>
      </c>
      <c r="D265" s="1093">
        <v>32.967132400000004</v>
      </c>
    </row>
    <row r="266" spans="1:11">
      <c r="A266" s="1808" t="s">
        <v>2301</v>
      </c>
      <c r="B266" s="1809">
        <v>2030</v>
      </c>
      <c r="C266" s="1506">
        <v>36.263845600000003</v>
      </c>
      <c r="D266" s="1093">
        <v>32.967132400000004</v>
      </c>
    </row>
    <row r="267" spans="1:11">
      <c r="A267" s="1808" t="s">
        <v>2301</v>
      </c>
      <c r="B267" s="1809">
        <v>2035</v>
      </c>
      <c r="C267" s="1506">
        <v>34.6913731</v>
      </c>
      <c r="D267" s="1093">
        <v>31.537611899999998</v>
      </c>
    </row>
    <row r="268" spans="1:11">
      <c r="A268" s="1808" t="s">
        <v>2301</v>
      </c>
      <c r="B268" s="1810">
        <v>2050</v>
      </c>
      <c r="C268" s="1492">
        <v>34.6913731</v>
      </c>
      <c r="D268" s="1493">
        <v>31.537611899999998</v>
      </c>
    </row>
    <row r="270" spans="1:11">
      <c r="A270" s="151"/>
      <c r="B270" s="63" t="s">
        <v>2706</v>
      </c>
      <c r="C270" s="151"/>
    </row>
    <row r="271" spans="1:11">
      <c r="A271" s="1808"/>
      <c r="B271" s="1321"/>
      <c r="C271" s="1812">
        <f>C272</f>
        <v>86.575000000000003</v>
      </c>
      <c r="D271" s="158"/>
      <c r="E271" s="363"/>
      <c r="F271" s="158"/>
      <c r="G271" s="158"/>
      <c r="H271" s="158"/>
      <c r="I271" s="158"/>
      <c r="J271" s="158"/>
      <c r="K271" s="158"/>
    </row>
    <row r="272" spans="1:11">
      <c r="A272" s="1808"/>
      <c r="B272" s="1321"/>
      <c r="C272" s="631">
        <f>GetTSTableValue($B274:$C279,GREET1_Import_Export!$B$20,2)</f>
        <v>86.575000000000003</v>
      </c>
      <c r="D272" s="158"/>
      <c r="E272" s="363"/>
      <c r="F272" s="158"/>
      <c r="G272" s="158"/>
      <c r="H272" s="158"/>
      <c r="I272" s="158"/>
      <c r="J272" s="158"/>
      <c r="K272" s="158"/>
    </row>
    <row r="273" spans="1:11" ht="38.25">
      <c r="A273" s="1808"/>
      <c r="B273" s="1807" t="s">
        <v>2300</v>
      </c>
      <c r="C273" s="1823" t="s">
        <v>149</v>
      </c>
      <c r="D273" s="565"/>
      <c r="E273" s="363"/>
      <c r="F273" s="565"/>
      <c r="G273" s="565"/>
      <c r="H273" s="565"/>
      <c r="I273" s="565"/>
      <c r="J273" s="565"/>
      <c r="K273" s="565"/>
    </row>
    <row r="274" spans="1:11">
      <c r="A274" s="1808" t="s">
        <v>2301</v>
      </c>
      <c r="B274" s="1809">
        <v>2015</v>
      </c>
      <c r="C274" s="2600">
        <v>102</v>
      </c>
      <c r="D274" s="1822"/>
      <c r="E274" s="363"/>
      <c r="F274" s="976"/>
      <c r="G274" s="976"/>
      <c r="H274" s="1291"/>
      <c r="I274" s="1291"/>
      <c r="J274" s="1291"/>
      <c r="K274" s="1291"/>
    </row>
    <row r="275" spans="1:11">
      <c r="A275" s="1808" t="s">
        <v>2301</v>
      </c>
      <c r="B275" s="1809">
        <v>2020</v>
      </c>
      <c r="C275" s="1507">
        <v>86.575000000000003</v>
      </c>
      <c r="D275" s="1291"/>
      <c r="E275" s="363"/>
      <c r="F275" s="1291"/>
      <c r="G275" s="1291"/>
      <c r="H275" s="1291"/>
      <c r="I275" s="1291"/>
      <c r="J275" s="1291"/>
      <c r="K275" s="1291"/>
    </row>
    <row r="276" spans="1:11">
      <c r="A276" s="1808" t="s">
        <v>2301</v>
      </c>
      <c r="B276" s="1809">
        <v>2025</v>
      </c>
      <c r="C276" s="1507">
        <v>79.947000000000003</v>
      </c>
      <c r="D276" s="1291"/>
      <c r="E276" s="363"/>
      <c r="F276" s="1291"/>
      <c r="G276" s="1291"/>
      <c r="H276" s="1291"/>
      <c r="I276" s="1291"/>
      <c r="J276" s="1291"/>
      <c r="K276" s="1291"/>
    </row>
    <row r="277" spans="1:11">
      <c r="A277" s="1808" t="s">
        <v>2301</v>
      </c>
      <c r="B277" s="1809">
        <v>2030</v>
      </c>
      <c r="C277" s="1507">
        <v>78.820999999999998</v>
      </c>
      <c r="D277" s="1291"/>
      <c r="E277" s="363"/>
      <c r="F277" s="1291"/>
      <c r="G277" s="1291"/>
      <c r="H277" s="1291"/>
      <c r="I277" s="1291"/>
      <c r="J277" s="1291"/>
      <c r="K277" s="1291"/>
    </row>
    <row r="278" spans="1:11">
      <c r="A278" s="1808" t="s">
        <v>2301</v>
      </c>
      <c r="B278" s="1809">
        <v>2035</v>
      </c>
      <c r="C278" s="1507">
        <v>77.727000000000004</v>
      </c>
      <c r="D278" s="1291"/>
      <c r="E278" s="363"/>
      <c r="F278" s="1291"/>
      <c r="G278" s="1291"/>
      <c r="H278" s="1291"/>
      <c r="I278" s="1291"/>
      <c r="J278" s="1291"/>
      <c r="K278" s="1291"/>
    </row>
    <row r="279" spans="1:11">
      <c r="A279" s="1808" t="s">
        <v>2301</v>
      </c>
      <c r="B279" s="1810">
        <v>2050</v>
      </c>
      <c r="C279" s="1508">
        <v>76.679000000000002</v>
      </c>
      <c r="D279" s="1291"/>
      <c r="E279" s="363"/>
      <c r="F279" s="1291"/>
      <c r="G279" s="1291"/>
      <c r="H279" s="1291"/>
      <c r="I279" s="1291"/>
      <c r="J279" s="1291"/>
      <c r="K279" s="1291"/>
    </row>
  </sheetData>
  <mergeCells count="3">
    <mergeCell ref="M128:V128"/>
    <mergeCell ref="W128:AF128"/>
    <mergeCell ref="C128:L128"/>
  </mergeCells>
  <phoneticPr fontId="4" type="noConversion"/>
  <pageMargins left="0.75" right="0.75" top="1" bottom="1" header="0.5" footer="0.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9"/>
  <dimension ref="A1:FB181"/>
  <sheetViews>
    <sheetView showGridLines="0" topLeftCell="A4" zoomScale="85" zoomScaleNormal="85" workbookViewId="0">
      <pane xSplit="1" topLeftCell="E1" activePane="topRight" state="frozen"/>
      <selection pane="topRight" activeCell="G26" sqref="G26"/>
    </sheetView>
  </sheetViews>
  <sheetFormatPr defaultColWidth="8.85546875" defaultRowHeight="12.75"/>
  <cols>
    <col min="1" max="1" width="31.85546875" customWidth="1"/>
    <col min="2" max="84" width="12" customWidth="1"/>
    <col min="87" max="87" width="20.140625" bestFit="1" customWidth="1"/>
    <col min="88" max="88" width="11.140625" bestFit="1" customWidth="1"/>
  </cols>
  <sheetData>
    <row r="1" spans="1:37" ht="15.75">
      <c r="A1" s="81" t="s">
        <v>1667</v>
      </c>
      <c r="B1" s="1321"/>
      <c r="C1" s="1321"/>
      <c r="D1" s="1321" t="s">
        <v>1668</v>
      </c>
      <c r="E1" s="1321"/>
      <c r="F1" s="1321"/>
      <c r="G1" s="1321"/>
      <c r="H1" s="1321"/>
      <c r="I1" s="1321"/>
      <c r="J1" s="1321"/>
      <c r="K1" s="1321"/>
      <c r="L1" s="1321"/>
      <c r="M1" s="1321"/>
      <c r="N1" s="1321"/>
      <c r="O1" s="1321"/>
      <c r="P1" s="1321"/>
      <c r="Q1" s="1321"/>
      <c r="R1" s="1321"/>
      <c r="S1" s="1321"/>
      <c r="T1" s="1321"/>
      <c r="U1" s="1321"/>
      <c r="V1" s="1321"/>
      <c r="W1" s="1321"/>
      <c r="X1" s="1321"/>
      <c r="Y1" s="1321"/>
      <c r="Z1" s="1321"/>
      <c r="AA1" s="1321"/>
    </row>
    <row r="3" spans="1:37" ht="15">
      <c r="A3" s="120" t="s">
        <v>872</v>
      </c>
      <c r="B3" s="1321"/>
      <c r="C3" s="1321"/>
      <c r="D3" s="1321"/>
      <c r="E3" s="1321"/>
      <c r="F3" s="1321"/>
      <c r="G3" s="1321"/>
      <c r="H3" s="1321"/>
      <c r="I3" s="1321"/>
      <c r="J3" s="1321"/>
      <c r="K3" s="1321"/>
      <c r="L3" s="1321"/>
      <c r="M3" s="1321"/>
      <c r="N3" s="1321"/>
      <c r="O3" s="1321"/>
      <c r="P3" s="1321"/>
      <c r="Q3" s="1321"/>
      <c r="R3" s="1321"/>
      <c r="S3" s="1321"/>
      <c r="T3" s="1321"/>
      <c r="U3" s="1321"/>
      <c r="V3" s="1321"/>
      <c r="W3" s="1321"/>
      <c r="X3" s="1321"/>
      <c r="Y3" s="1321"/>
      <c r="Z3" s="1321"/>
      <c r="AA3" s="1321"/>
    </row>
    <row r="4" spans="1:37">
      <c r="A4" s="111" t="s">
        <v>1527</v>
      </c>
      <c r="B4" s="1321"/>
      <c r="C4" s="1321"/>
      <c r="D4" s="1321"/>
      <c r="E4" s="1321"/>
      <c r="F4" s="1321"/>
      <c r="G4" s="1321"/>
      <c r="H4" s="1321"/>
      <c r="I4" s="1321"/>
      <c r="J4" s="1321"/>
      <c r="K4" s="1321"/>
      <c r="L4" s="1321"/>
      <c r="M4" s="1321"/>
      <c r="N4" s="1321"/>
      <c r="O4" s="1321"/>
      <c r="P4" s="1321"/>
      <c r="Q4" s="1321"/>
      <c r="R4" s="1321"/>
      <c r="S4" s="1321"/>
      <c r="T4" s="1321"/>
      <c r="U4" s="1321"/>
      <c r="V4" s="1321"/>
      <c r="W4" s="1321"/>
      <c r="X4" s="1321"/>
      <c r="Y4" s="1321"/>
      <c r="Z4" s="1321"/>
      <c r="AA4" s="1321"/>
    </row>
    <row r="5" spans="1:37" ht="129">
      <c r="A5" s="1575"/>
      <c r="B5" s="1345" t="s">
        <v>1669</v>
      </c>
      <c r="C5" s="1345" t="s">
        <v>1670</v>
      </c>
      <c r="D5" s="1345" t="s">
        <v>1671</v>
      </c>
      <c r="E5" s="1345" t="s">
        <v>1672</v>
      </c>
      <c r="F5" s="1345" t="s">
        <v>1673</v>
      </c>
      <c r="G5" s="1345" t="s">
        <v>1674</v>
      </c>
      <c r="H5" s="1345" t="s">
        <v>1675</v>
      </c>
      <c r="I5" s="1345" t="s">
        <v>1676</v>
      </c>
      <c r="J5" s="1345" t="s">
        <v>1677</v>
      </c>
      <c r="K5" s="1345" t="s">
        <v>1678</v>
      </c>
      <c r="L5" s="1345" t="s">
        <v>1679</v>
      </c>
      <c r="M5" s="1345" t="s">
        <v>1680</v>
      </c>
      <c r="N5" s="1345" t="s">
        <v>1681</v>
      </c>
      <c r="O5" s="1345" t="s">
        <v>1682</v>
      </c>
      <c r="P5" s="1345" t="s">
        <v>1683</v>
      </c>
      <c r="Q5" s="1345" t="s">
        <v>1684</v>
      </c>
      <c r="R5" s="1345" t="s">
        <v>1685</v>
      </c>
      <c r="S5" s="1345" t="s">
        <v>1686</v>
      </c>
      <c r="T5" s="1345" t="s">
        <v>1687</v>
      </c>
      <c r="U5" s="1345" t="s">
        <v>1688</v>
      </c>
      <c r="V5" s="1345" t="s">
        <v>1689</v>
      </c>
      <c r="W5" s="1345" t="s">
        <v>1690</v>
      </c>
      <c r="X5" s="1345" t="s">
        <v>1691</v>
      </c>
      <c r="Y5" s="1345" t="s">
        <v>1692</v>
      </c>
      <c r="Z5" s="1345" t="s">
        <v>1693</v>
      </c>
      <c r="AA5" s="1343" t="s">
        <v>1694</v>
      </c>
      <c r="AB5" s="8"/>
      <c r="AC5" s="8"/>
      <c r="AD5" s="8"/>
      <c r="AE5" s="8"/>
      <c r="AF5" s="8"/>
      <c r="AG5" s="8"/>
      <c r="AH5" s="8"/>
      <c r="AI5" s="8"/>
      <c r="AJ5" s="8"/>
      <c r="AK5" s="8"/>
    </row>
    <row r="6" spans="1:37">
      <c r="A6" s="490" t="s">
        <v>1695</v>
      </c>
      <c r="B6" s="479">
        <v>0.64952205998855173</v>
      </c>
      <c r="C6" s="489"/>
      <c r="D6" s="489"/>
      <c r="E6" s="489"/>
      <c r="F6" s="489"/>
      <c r="G6" s="489"/>
      <c r="H6" s="489"/>
      <c r="I6" s="489"/>
      <c r="J6" s="489"/>
      <c r="K6" s="489"/>
      <c r="L6" s="489"/>
      <c r="M6" s="489"/>
      <c r="N6" s="480">
        <v>3.7866310762814122</v>
      </c>
      <c r="O6" s="489"/>
      <c r="P6" s="489"/>
      <c r="Q6" s="489"/>
      <c r="R6" s="489"/>
      <c r="S6" s="489"/>
      <c r="T6" s="489"/>
      <c r="U6" s="489"/>
      <c r="V6" s="489"/>
      <c r="W6" s="489"/>
      <c r="X6" s="919"/>
      <c r="Y6" s="363">
        <v>0.86</v>
      </c>
      <c r="Z6" s="919"/>
      <c r="AA6" s="817"/>
      <c r="AB6" s="8"/>
      <c r="AC6" s="8"/>
      <c r="AD6" s="8"/>
      <c r="AE6" s="8"/>
      <c r="AF6" s="8"/>
      <c r="AG6" s="8"/>
      <c r="AH6" s="8"/>
      <c r="AI6" s="8"/>
      <c r="AJ6" s="8"/>
      <c r="AK6" s="8"/>
    </row>
    <row r="7" spans="1:37">
      <c r="A7" s="490" t="s">
        <v>2296</v>
      </c>
      <c r="B7" s="479">
        <v>0.36399999999999999</v>
      </c>
      <c r="C7" s="489"/>
      <c r="D7" s="489"/>
      <c r="E7" s="489"/>
      <c r="F7" s="489"/>
      <c r="G7" s="489"/>
      <c r="H7" s="489"/>
      <c r="I7" s="489"/>
      <c r="J7" s="489"/>
      <c r="K7" s="489"/>
      <c r="L7" s="489"/>
      <c r="M7" s="489"/>
      <c r="N7" s="489"/>
      <c r="O7" s="489"/>
      <c r="P7" s="489"/>
      <c r="Q7" s="489"/>
      <c r="R7" s="489"/>
      <c r="S7" s="489"/>
      <c r="T7" s="489"/>
      <c r="U7" s="489"/>
      <c r="V7" s="489"/>
      <c r="W7" s="489"/>
      <c r="X7" s="919"/>
      <c r="Y7" s="363"/>
      <c r="Z7" s="363"/>
      <c r="AA7" s="1013"/>
      <c r="AB7" s="8"/>
      <c r="AC7" s="8"/>
      <c r="AD7" s="8"/>
      <c r="AE7" s="8"/>
      <c r="AF7" s="8"/>
      <c r="AG7" s="8"/>
      <c r="AH7" s="8"/>
      <c r="AI7" s="8"/>
      <c r="AJ7" s="8"/>
      <c r="AK7" s="8"/>
    </row>
    <row r="8" spans="1:37">
      <c r="A8" s="490" t="s">
        <v>1696</v>
      </c>
      <c r="B8" s="489"/>
      <c r="C8" s="479">
        <v>0.48594851367054998</v>
      </c>
      <c r="D8" s="489"/>
      <c r="E8" s="489"/>
      <c r="F8" s="489"/>
      <c r="G8" s="489"/>
      <c r="H8" s="489"/>
      <c r="I8" s="489"/>
      <c r="J8" s="489"/>
      <c r="K8" s="489"/>
      <c r="L8" s="489"/>
      <c r="M8" s="489"/>
      <c r="N8" s="489"/>
      <c r="O8" s="489"/>
      <c r="P8" s="489"/>
      <c r="Q8" s="489"/>
      <c r="R8" s="489"/>
      <c r="S8" s="489"/>
      <c r="T8" s="489"/>
      <c r="U8" s="489"/>
      <c r="V8" s="489"/>
      <c r="W8" s="489"/>
      <c r="X8" s="919"/>
      <c r="Y8" s="363"/>
      <c r="Z8" s="363">
        <v>0.37</v>
      </c>
      <c r="AA8" s="1013"/>
      <c r="AB8" s="8"/>
      <c r="AC8" s="8"/>
      <c r="AD8" s="8"/>
      <c r="AE8" s="8"/>
      <c r="AF8" s="8"/>
      <c r="AG8" s="8"/>
      <c r="AH8" s="8"/>
      <c r="AI8" s="8"/>
      <c r="AJ8" s="8"/>
      <c r="AK8" s="8"/>
    </row>
    <row r="9" spans="1:37">
      <c r="A9" s="490" t="s">
        <v>1697</v>
      </c>
      <c r="B9" s="489"/>
      <c r="C9" s="489"/>
      <c r="D9" s="479">
        <v>0.67829669727585495</v>
      </c>
      <c r="E9" s="489"/>
      <c r="F9" s="479">
        <v>0.56350593547447403</v>
      </c>
      <c r="G9" s="489"/>
      <c r="H9" s="480">
        <v>0.86843996536316936</v>
      </c>
      <c r="I9" s="489"/>
      <c r="J9" s="479">
        <v>1.00915137814103</v>
      </c>
      <c r="K9" s="489"/>
      <c r="L9" s="479">
        <v>1.340421615651967</v>
      </c>
      <c r="M9" s="489"/>
      <c r="N9" s="489"/>
      <c r="O9" s="489"/>
      <c r="P9" s="489"/>
      <c r="Q9" s="479">
        <v>0.375428662248808</v>
      </c>
      <c r="R9" s="489"/>
      <c r="S9" s="489"/>
      <c r="T9" s="489"/>
      <c r="U9" s="489"/>
      <c r="V9" s="489"/>
      <c r="W9" s="489"/>
      <c r="X9" s="919"/>
      <c r="Y9" s="363"/>
      <c r="Z9" s="363">
        <v>1.36</v>
      </c>
      <c r="AA9" s="1013"/>
      <c r="AB9" s="8"/>
      <c r="AC9" s="8"/>
      <c r="AD9" s="8"/>
      <c r="AE9" s="8"/>
      <c r="AF9" s="8"/>
      <c r="AG9" s="8"/>
      <c r="AH9" s="8"/>
      <c r="AI9" s="8"/>
      <c r="AJ9" s="8"/>
      <c r="AK9" s="8"/>
    </row>
    <row r="10" spans="1:37">
      <c r="A10" s="490" t="s">
        <v>1698</v>
      </c>
      <c r="B10" s="489"/>
      <c r="C10" s="489"/>
      <c r="D10" s="479">
        <v>0.33967432992176</v>
      </c>
      <c r="E10" s="489"/>
      <c r="F10" s="479">
        <v>0.56437987036632398</v>
      </c>
      <c r="G10" s="489"/>
      <c r="H10" s="480">
        <v>0.35013347743583872</v>
      </c>
      <c r="I10" s="489"/>
      <c r="J10" s="479">
        <v>0.33690548647943702</v>
      </c>
      <c r="K10" s="489"/>
      <c r="L10" s="479">
        <v>0.16781255752011201</v>
      </c>
      <c r="M10" s="489"/>
      <c r="N10" s="489"/>
      <c r="O10" s="489"/>
      <c r="P10" s="489"/>
      <c r="Q10" s="479">
        <v>0.42923560543739098</v>
      </c>
      <c r="R10" s="489"/>
      <c r="S10" s="489"/>
      <c r="T10" s="489"/>
      <c r="U10" s="489"/>
      <c r="V10" s="489"/>
      <c r="W10" s="489"/>
      <c r="X10" s="919"/>
      <c r="Y10" s="363"/>
      <c r="Z10" s="363">
        <v>0.26</v>
      </c>
      <c r="AA10" s="1013"/>
      <c r="AB10" s="8"/>
      <c r="AC10" s="8"/>
      <c r="AD10" s="8"/>
      <c r="AE10" s="8"/>
      <c r="AF10" s="8"/>
      <c r="AG10" s="8"/>
      <c r="AH10" s="8"/>
      <c r="AI10" s="8"/>
      <c r="AJ10" s="8"/>
      <c r="AK10" s="8"/>
    </row>
    <row r="11" spans="1:37">
      <c r="A11" s="490" t="s">
        <v>1699</v>
      </c>
      <c r="B11" s="489"/>
      <c r="C11" s="489"/>
      <c r="D11" s="479">
        <v>0.66185978215608499</v>
      </c>
      <c r="E11" s="489"/>
      <c r="F11" s="479">
        <v>0.54985070278930903</v>
      </c>
      <c r="G11" s="489"/>
      <c r="H11" s="480">
        <v>0.49438654735828846</v>
      </c>
      <c r="I11" s="489"/>
      <c r="J11" s="479">
        <v>0.32823232762368498</v>
      </c>
      <c r="K11" s="489"/>
      <c r="L11" s="479">
        <v>0.16349245877499799</v>
      </c>
      <c r="M11" s="489"/>
      <c r="N11" s="489"/>
      <c r="O11" s="489"/>
      <c r="P11" s="489"/>
      <c r="Q11" s="479">
        <v>1.0972825101577901</v>
      </c>
      <c r="R11" s="489"/>
      <c r="S11" s="489"/>
      <c r="T11" s="489"/>
      <c r="U11" s="489"/>
      <c r="V11" s="489"/>
      <c r="W11" s="489"/>
      <c r="X11" s="919"/>
      <c r="Y11" s="363"/>
      <c r="Z11" s="363"/>
      <c r="AA11" s="1013"/>
      <c r="AB11" s="8"/>
      <c r="AC11" s="8"/>
      <c r="AD11" s="8"/>
      <c r="AE11" s="8"/>
      <c r="AF11" s="8"/>
      <c r="AG11" s="8"/>
      <c r="AH11" s="8"/>
      <c r="AI11" s="8"/>
      <c r="AJ11" s="8"/>
      <c r="AK11" s="8"/>
    </row>
    <row r="12" spans="1:37">
      <c r="A12" s="490" t="s">
        <v>1700</v>
      </c>
      <c r="B12" s="489"/>
      <c r="C12" s="489"/>
      <c r="D12" s="479">
        <v>0.88953599999999999</v>
      </c>
      <c r="E12" s="489"/>
      <c r="F12" s="479">
        <v>0.88953599999999999</v>
      </c>
      <c r="G12" s="489"/>
      <c r="H12" s="480">
        <v>0.88953599999999999</v>
      </c>
      <c r="I12" s="489"/>
      <c r="J12" s="479">
        <v>0.88953599999999999</v>
      </c>
      <c r="K12" s="489"/>
      <c r="L12" s="479">
        <v>0.88953599999999999</v>
      </c>
      <c r="M12" s="489"/>
      <c r="N12" s="479">
        <v>1.9705937233709387</v>
      </c>
      <c r="O12" s="489"/>
      <c r="P12" s="489"/>
      <c r="Q12" s="479">
        <v>8.1402624620005706E-2</v>
      </c>
      <c r="R12" s="489"/>
      <c r="S12" s="489"/>
      <c r="T12" s="489"/>
      <c r="U12" s="479">
        <f>18.7*0.1</f>
        <v>1.87</v>
      </c>
      <c r="V12" s="489"/>
      <c r="W12" s="489"/>
      <c r="X12" s="919"/>
      <c r="Y12" s="363"/>
      <c r="Z12" s="363">
        <v>0.88</v>
      </c>
      <c r="AA12" s="1013"/>
      <c r="AB12" s="8"/>
      <c r="AC12" s="8"/>
      <c r="AD12" s="8"/>
      <c r="AE12" s="8"/>
      <c r="AF12" s="8"/>
      <c r="AG12" s="8"/>
      <c r="AH12" s="8"/>
      <c r="AI12" s="8"/>
      <c r="AJ12" s="8"/>
      <c r="AK12" s="8"/>
    </row>
    <row r="13" spans="1:37">
      <c r="A13" s="490" t="s">
        <v>1701</v>
      </c>
      <c r="B13" s="489"/>
      <c r="C13" s="489"/>
      <c r="D13" s="479">
        <v>0.123529411764706</v>
      </c>
      <c r="E13" s="489"/>
      <c r="F13" s="479">
        <v>0.123529411764706</v>
      </c>
      <c r="G13" s="489"/>
      <c r="H13" s="480">
        <v>0.123529411764706</v>
      </c>
      <c r="I13" s="489"/>
      <c r="J13" s="479">
        <v>0.123529411764706</v>
      </c>
      <c r="K13" s="489"/>
      <c r="L13" s="479">
        <v>0.123529411764706</v>
      </c>
      <c r="M13" s="489"/>
      <c r="N13" s="479">
        <v>0.11015654040091383</v>
      </c>
      <c r="O13" s="489"/>
      <c r="P13" s="489"/>
      <c r="Q13" s="479">
        <v>0.38820816708129702</v>
      </c>
      <c r="R13" s="489"/>
      <c r="S13" s="489"/>
      <c r="T13" s="489"/>
      <c r="U13" s="489"/>
      <c r="V13" s="489"/>
      <c r="W13" s="489"/>
      <c r="X13" s="919"/>
      <c r="Y13" s="363"/>
      <c r="Z13" s="363"/>
      <c r="AA13" s="1013"/>
      <c r="AB13" s="8"/>
      <c r="AC13" s="8"/>
      <c r="AD13" s="8"/>
      <c r="AE13" s="8"/>
      <c r="AF13" s="8"/>
      <c r="AG13" s="8"/>
      <c r="AH13" s="8"/>
      <c r="AI13" s="8"/>
      <c r="AJ13" s="8"/>
      <c r="AK13" s="8"/>
    </row>
    <row r="14" spans="1:37" s="1172" customFormat="1">
      <c r="A14" s="490" t="s">
        <v>1702</v>
      </c>
      <c r="B14" s="489"/>
      <c r="C14" s="489"/>
      <c r="D14" s="479"/>
      <c r="E14" s="489"/>
      <c r="F14" s="479"/>
      <c r="G14" s="489"/>
      <c r="H14" s="489"/>
      <c r="I14" s="489"/>
      <c r="J14" s="479"/>
      <c r="K14" s="489"/>
      <c r="L14" s="479"/>
      <c r="M14" s="489"/>
      <c r="N14" s="479"/>
      <c r="O14" s="489"/>
      <c r="P14" s="489"/>
      <c r="Q14" s="479"/>
      <c r="R14" s="479">
        <v>0.84629632240810104</v>
      </c>
      <c r="S14" s="489"/>
      <c r="T14" s="489"/>
      <c r="U14" s="489"/>
      <c r="V14" s="489"/>
      <c r="W14" s="489"/>
      <c r="X14" s="919"/>
      <c r="Y14" s="363"/>
      <c r="Z14" s="363"/>
      <c r="AA14" s="1013"/>
      <c r="AB14" s="8"/>
      <c r="AC14" s="8"/>
      <c r="AD14" s="8"/>
      <c r="AE14" s="8"/>
      <c r="AF14" s="8"/>
      <c r="AG14" s="8"/>
      <c r="AH14" s="8"/>
      <c r="AI14" s="8"/>
      <c r="AJ14" s="8"/>
      <c r="AK14" s="8"/>
    </row>
    <row r="15" spans="1:37">
      <c r="A15" s="490" t="s">
        <v>1703</v>
      </c>
      <c r="B15" s="489"/>
      <c r="C15" s="489"/>
      <c r="D15" s="489"/>
      <c r="E15" s="479">
        <v>0.94884485017363696</v>
      </c>
      <c r="F15" s="489"/>
      <c r="G15" s="489"/>
      <c r="H15" s="489"/>
      <c r="I15" s="489"/>
      <c r="J15" s="489"/>
      <c r="K15" s="489"/>
      <c r="L15" s="489"/>
      <c r="M15" s="489"/>
      <c r="N15" s="489"/>
      <c r="O15" s="489"/>
      <c r="P15" s="489"/>
      <c r="Q15" s="489"/>
      <c r="R15" s="489"/>
      <c r="S15" s="489"/>
      <c r="T15" s="489"/>
      <c r="U15" s="489"/>
      <c r="V15" s="489"/>
      <c r="W15" s="489"/>
      <c r="X15" s="919"/>
      <c r="Y15" s="363"/>
      <c r="Z15" s="363"/>
      <c r="AA15" s="1013"/>
      <c r="AB15" s="8"/>
      <c r="AC15" s="8"/>
      <c r="AD15" s="8"/>
      <c r="AE15" s="8"/>
      <c r="AF15" s="8"/>
      <c r="AG15" s="8"/>
      <c r="AH15" s="8"/>
      <c r="AI15" s="8"/>
      <c r="AJ15" s="8"/>
      <c r="AK15" s="8"/>
    </row>
    <row r="16" spans="1:37" s="1113" customFormat="1">
      <c r="A16" s="490" t="s">
        <v>1704</v>
      </c>
      <c r="B16" s="489"/>
      <c r="C16" s="489"/>
      <c r="D16" s="489"/>
      <c r="E16" s="489"/>
      <c r="F16" s="489"/>
      <c r="G16" s="479">
        <v>0.94899440182459105</v>
      </c>
      <c r="H16" s="489"/>
      <c r="I16" s="489"/>
      <c r="J16" s="489"/>
      <c r="K16" s="489"/>
      <c r="L16" s="489"/>
      <c r="M16" s="489"/>
      <c r="N16" s="489"/>
      <c r="O16" s="489"/>
      <c r="P16" s="489"/>
      <c r="Q16" s="489"/>
      <c r="R16" s="489"/>
      <c r="S16" s="489"/>
      <c r="T16" s="489"/>
      <c r="U16" s="489"/>
      <c r="V16" s="489"/>
      <c r="W16" s="489"/>
      <c r="X16" s="919"/>
      <c r="Y16" s="363"/>
      <c r="Z16" s="363"/>
      <c r="AA16" s="1013"/>
      <c r="AB16" s="8"/>
      <c r="AC16" s="8"/>
      <c r="AD16" s="8"/>
      <c r="AE16" s="8"/>
      <c r="AF16" s="8"/>
      <c r="AG16" s="8"/>
      <c r="AH16" s="8"/>
      <c r="AI16" s="8"/>
      <c r="AJ16" s="8"/>
      <c r="AK16" s="8"/>
    </row>
    <row r="17" spans="1:37" s="8" customFormat="1">
      <c r="A17" s="490" t="s">
        <v>1705</v>
      </c>
      <c r="B17" s="489"/>
      <c r="C17" s="489"/>
      <c r="D17" s="489"/>
      <c r="E17" s="489"/>
      <c r="F17" s="489"/>
      <c r="G17" s="489"/>
      <c r="H17" s="489"/>
      <c r="I17" s="480">
        <v>0.9450775117840603</v>
      </c>
      <c r="J17" s="489"/>
      <c r="K17" s="489"/>
      <c r="L17" s="489"/>
      <c r="M17" s="489"/>
      <c r="N17" s="489"/>
      <c r="O17" s="489"/>
      <c r="P17" s="489"/>
      <c r="Q17" s="489"/>
      <c r="R17" s="489"/>
      <c r="S17" s="489"/>
      <c r="T17" s="489"/>
      <c r="U17" s="489"/>
      <c r="V17" s="489"/>
      <c r="W17" s="489"/>
      <c r="X17" s="489"/>
      <c r="Y17" s="489"/>
      <c r="Z17" s="489"/>
      <c r="AA17" s="140"/>
    </row>
    <row r="18" spans="1:37" s="1113" customFormat="1">
      <c r="A18" s="490" t="s">
        <v>1706</v>
      </c>
      <c r="B18" s="489"/>
      <c r="C18" s="489"/>
      <c r="D18" s="489"/>
      <c r="E18" s="489"/>
      <c r="F18" s="489"/>
      <c r="G18" s="489"/>
      <c r="H18" s="489"/>
      <c r="I18" s="489"/>
      <c r="J18" s="489"/>
      <c r="K18" s="479">
        <v>0.94924067348960095</v>
      </c>
      <c r="L18" s="489"/>
      <c r="M18" s="489"/>
      <c r="N18" s="489"/>
      <c r="O18" s="489"/>
      <c r="P18" s="489"/>
      <c r="Q18" s="489"/>
      <c r="R18" s="489"/>
      <c r="S18" s="489"/>
      <c r="T18" s="489"/>
      <c r="U18" s="489"/>
      <c r="V18" s="489"/>
      <c r="W18" s="489"/>
      <c r="X18" s="919"/>
      <c r="Y18" s="363"/>
      <c r="Z18" s="363"/>
      <c r="AA18" s="1013"/>
      <c r="AB18" s="8"/>
      <c r="AC18" s="8"/>
      <c r="AD18" s="8"/>
      <c r="AE18" s="8"/>
      <c r="AF18" s="8"/>
      <c r="AG18" s="8"/>
      <c r="AH18" s="8"/>
      <c r="AI18" s="8"/>
      <c r="AJ18" s="8"/>
      <c r="AK18" s="8"/>
    </row>
    <row r="19" spans="1:37" s="1113" customFormat="1">
      <c r="A19" s="490" t="s">
        <v>1707</v>
      </c>
      <c r="B19" s="489"/>
      <c r="C19" s="489"/>
      <c r="D19" s="489"/>
      <c r="E19" s="489"/>
      <c r="F19" s="489"/>
      <c r="G19" s="489"/>
      <c r="H19" s="489"/>
      <c r="I19" s="489"/>
      <c r="J19" s="489"/>
      <c r="K19" s="489"/>
      <c r="L19" s="489"/>
      <c r="M19" s="479">
        <v>0.94942382220211996</v>
      </c>
      <c r="N19" s="489"/>
      <c r="O19" s="489"/>
      <c r="P19" s="489"/>
      <c r="Q19" s="489"/>
      <c r="R19" s="489"/>
      <c r="S19" s="489"/>
      <c r="T19" s="489"/>
      <c r="U19" s="489"/>
      <c r="V19" s="489"/>
      <c r="W19" s="489"/>
      <c r="X19" s="919"/>
      <c r="Y19" s="363"/>
      <c r="Z19" s="363"/>
      <c r="AA19" s="1013"/>
      <c r="AB19" s="8"/>
      <c r="AC19" s="8"/>
      <c r="AD19" s="8"/>
      <c r="AE19" s="8"/>
      <c r="AF19" s="8"/>
      <c r="AG19" s="8"/>
      <c r="AH19" s="8"/>
      <c r="AI19" s="8"/>
      <c r="AJ19" s="8"/>
      <c r="AK19" s="8"/>
    </row>
    <row r="20" spans="1:37" s="1113" customFormat="1">
      <c r="A20" s="490" t="s">
        <v>1708</v>
      </c>
      <c r="B20" s="489"/>
      <c r="C20" s="489"/>
      <c r="D20" s="489"/>
      <c r="E20" s="489"/>
      <c r="F20" s="489"/>
      <c r="G20" s="489"/>
      <c r="H20" s="489"/>
      <c r="I20" s="489"/>
      <c r="J20" s="489"/>
      <c r="K20" s="489"/>
      <c r="L20" s="489"/>
      <c r="M20" s="489"/>
      <c r="N20" s="489"/>
      <c r="O20" s="480">
        <v>0.94895258105315505</v>
      </c>
      <c r="P20" s="489"/>
      <c r="Q20" s="489"/>
      <c r="R20" s="489"/>
      <c r="S20" s="489"/>
      <c r="T20" s="489"/>
      <c r="U20" s="489"/>
      <c r="V20" s="489"/>
      <c r="W20" s="489"/>
      <c r="X20" s="919"/>
      <c r="Y20" s="363"/>
      <c r="Z20" s="363"/>
      <c r="AA20" s="1013"/>
      <c r="AB20" s="8"/>
      <c r="AC20" s="8"/>
      <c r="AD20" s="8"/>
      <c r="AE20" s="8"/>
      <c r="AF20" s="8"/>
      <c r="AG20" s="8"/>
      <c r="AH20" s="8"/>
      <c r="AI20" s="8"/>
      <c r="AJ20" s="8"/>
      <c r="AK20" s="8"/>
    </row>
    <row r="21" spans="1:37">
      <c r="A21" s="490" t="s">
        <v>1709</v>
      </c>
      <c r="B21" s="489"/>
      <c r="C21" s="489"/>
      <c r="D21" s="489"/>
      <c r="E21" s="489"/>
      <c r="F21" s="489"/>
      <c r="G21" s="489"/>
      <c r="H21" s="489"/>
      <c r="I21" s="489"/>
      <c r="J21" s="489"/>
      <c r="K21" s="489"/>
      <c r="L21" s="489"/>
      <c r="M21" s="480">
        <v>0.246199076881958</v>
      </c>
      <c r="N21" s="489"/>
      <c r="O21" s="489"/>
      <c r="P21" s="479">
        <v>0.26837560122177961</v>
      </c>
      <c r="Q21" s="489"/>
      <c r="R21" s="479"/>
      <c r="S21" s="489"/>
      <c r="T21" s="489"/>
      <c r="U21" s="479">
        <v>0.244686749393947</v>
      </c>
      <c r="V21" s="489"/>
      <c r="W21" s="489"/>
      <c r="X21" s="919"/>
      <c r="Y21" s="363"/>
      <c r="Z21" s="363"/>
      <c r="AA21" s="1013">
        <v>0.25</v>
      </c>
      <c r="AB21" s="8"/>
      <c r="AC21" s="8"/>
      <c r="AD21" s="8"/>
      <c r="AE21" s="8"/>
      <c r="AF21" s="8"/>
      <c r="AG21" s="8"/>
      <c r="AH21" s="8"/>
      <c r="AI21" s="8"/>
      <c r="AJ21" s="8"/>
      <c r="AK21" s="8"/>
    </row>
    <row r="22" spans="1:37" ht="12.75" customHeight="1">
      <c r="A22" s="490" t="s">
        <v>1710</v>
      </c>
      <c r="B22" s="489"/>
      <c r="C22" s="489"/>
      <c r="D22" s="489"/>
      <c r="E22" s="479"/>
      <c r="F22" s="489"/>
      <c r="G22" s="479"/>
      <c r="H22" s="489"/>
      <c r="I22" s="489"/>
      <c r="J22" s="489"/>
      <c r="K22" s="479"/>
      <c r="L22" s="489"/>
      <c r="M22" s="479"/>
      <c r="N22" s="489"/>
      <c r="O22" s="489"/>
      <c r="P22" s="489"/>
      <c r="Q22" s="489"/>
      <c r="R22" s="479">
        <v>0.374</v>
      </c>
      <c r="S22" s="489"/>
      <c r="T22" s="489"/>
      <c r="U22" s="489"/>
      <c r="V22" s="489"/>
      <c r="W22" s="489"/>
      <c r="X22" s="363"/>
      <c r="Y22" s="363"/>
      <c r="Z22" s="363"/>
      <c r="AA22" s="1013">
        <v>0.04</v>
      </c>
      <c r="AB22" s="8"/>
      <c r="AC22" s="8"/>
      <c r="AD22" s="8"/>
      <c r="AE22" s="8"/>
      <c r="AF22" s="8"/>
      <c r="AG22" s="8"/>
      <c r="AH22" s="8"/>
      <c r="AI22" s="8"/>
      <c r="AJ22" s="8"/>
      <c r="AK22" s="8"/>
    </row>
    <row r="23" spans="1:37">
      <c r="A23" s="490" t="s">
        <v>1711</v>
      </c>
      <c r="B23" s="489"/>
      <c r="C23" s="489"/>
      <c r="D23" s="489"/>
      <c r="E23" s="489"/>
      <c r="F23" s="489"/>
      <c r="G23" s="489"/>
      <c r="H23" s="489"/>
      <c r="I23" s="489"/>
      <c r="J23" s="489"/>
      <c r="K23" s="489"/>
      <c r="L23" s="489"/>
      <c r="M23" s="489"/>
      <c r="N23" s="489"/>
      <c r="O23" s="489"/>
      <c r="P23" s="479">
        <v>0.36605946504045417</v>
      </c>
      <c r="Q23" s="489"/>
      <c r="R23" s="489"/>
      <c r="S23" s="489"/>
      <c r="T23" s="489"/>
      <c r="U23" s="489"/>
      <c r="V23" s="489"/>
      <c r="W23" s="489"/>
      <c r="X23" s="363"/>
      <c r="Y23" s="363"/>
      <c r="Z23" s="363"/>
      <c r="AA23" s="1013"/>
      <c r="AB23" s="8"/>
      <c r="AC23" s="8"/>
      <c r="AD23" s="8"/>
      <c r="AE23" s="8"/>
      <c r="AF23" s="8"/>
      <c r="AG23" s="8"/>
      <c r="AH23" s="8"/>
      <c r="AI23" s="8"/>
      <c r="AJ23" s="8"/>
      <c r="AK23" s="8"/>
    </row>
    <row r="24" spans="1:37">
      <c r="A24" s="490" t="s">
        <v>1712</v>
      </c>
      <c r="B24" s="489"/>
      <c r="C24" s="489"/>
      <c r="D24" s="489"/>
      <c r="E24" s="489"/>
      <c r="F24" s="489"/>
      <c r="G24" s="489"/>
      <c r="H24" s="489"/>
      <c r="I24" s="489"/>
      <c r="J24" s="489"/>
      <c r="K24" s="489"/>
      <c r="L24" s="489"/>
      <c r="M24" s="489"/>
      <c r="N24" s="489"/>
      <c r="O24" s="489"/>
      <c r="P24" s="479">
        <v>0.56745045447220144</v>
      </c>
      <c r="Q24" s="489"/>
      <c r="R24" s="489"/>
      <c r="S24" s="489"/>
      <c r="T24" s="489"/>
      <c r="U24" s="489"/>
      <c r="V24" s="489"/>
      <c r="W24" s="489"/>
      <c r="X24" s="363"/>
      <c r="Y24" s="363"/>
      <c r="Z24" s="363"/>
      <c r="AA24" s="1013"/>
      <c r="AB24" s="8"/>
      <c r="AC24" s="8"/>
      <c r="AD24" s="8"/>
      <c r="AE24" s="8"/>
      <c r="AF24" s="8"/>
      <c r="AG24" s="8"/>
      <c r="AH24" s="8"/>
      <c r="AI24" s="8"/>
      <c r="AJ24" s="8"/>
      <c r="AK24" s="8"/>
    </row>
    <row r="25" spans="1:37">
      <c r="A25" s="490" t="s">
        <v>1713</v>
      </c>
      <c r="B25" s="489"/>
      <c r="C25" s="489"/>
      <c r="D25" s="489"/>
      <c r="E25" s="489"/>
      <c r="F25" s="489"/>
      <c r="G25" s="489"/>
      <c r="H25" s="489"/>
      <c r="I25" s="489"/>
      <c r="J25" s="489"/>
      <c r="K25" s="489"/>
      <c r="L25" s="489"/>
      <c r="M25" s="489"/>
      <c r="N25" s="489"/>
      <c r="O25" s="489"/>
      <c r="P25" s="489"/>
      <c r="Q25" s="489"/>
      <c r="R25" s="489"/>
      <c r="S25" s="479">
        <v>0.82010086983987096</v>
      </c>
      <c r="T25" s="489"/>
      <c r="U25" s="489"/>
      <c r="V25" s="489"/>
      <c r="W25" s="489"/>
      <c r="X25" s="363"/>
      <c r="Y25" s="363"/>
      <c r="Z25" s="363"/>
      <c r="AA25" s="1013"/>
      <c r="AB25" s="8"/>
      <c r="AC25" s="8"/>
      <c r="AD25" s="8"/>
      <c r="AE25" s="8"/>
      <c r="AF25" s="8"/>
      <c r="AG25" s="8"/>
      <c r="AH25" s="8"/>
      <c r="AI25" s="8"/>
      <c r="AJ25" s="8"/>
      <c r="AK25" s="8"/>
    </row>
    <row r="26" spans="1:37" ht="12.75" customHeight="1">
      <c r="A26" s="490" t="s">
        <v>1714</v>
      </c>
      <c r="B26" s="489"/>
      <c r="C26" s="489"/>
      <c r="D26" s="489"/>
      <c r="E26" s="480">
        <v>0.384131506165651</v>
      </c>
      <c r="F26" s="489"/>
      <c r="G26" s="480">
        <v>0.38300850093302902</v>
      </c>
      <c r="H26" s="489"/>
      <c r="I26" s="480">
        <v>0.38106092642826939</v>
      </c>
      <c r="J26" s="489"/>
      <c r="K26" s="480">
        <v>0.38115921096071298</v>
      </c>
      <c r="L26" s="489"/>
      <c r="M26" s="480"/>
      <c r="N26" s="489"/>
      <c r="O26" s="480">
        <v>0.40333333333333299</v>
      </c>
      <c r="P26" s="489"/>
      <c r="Q26" s="489"/>
      <c r="R26" s="479">
        <v>0.51952982991918095</v>
      </c>
      <c r="S26" s="479">
        <v>0.37748359493852202</v>
      </c>
      <c r="T26" s="489"/>
      <c r="U26" s="489"/>
      <c r="V26" s="479">
        <v>0.23419160622120438</v>
      </c>
      <c r="W26" s="489"/>
      <c r="X26" s="363"/>
      <c r="Y26" s="363"/>
      <c r="Z26" s="363"/>
      <c r="AA26" s="1013"/>
      <c r="AB26" s="8"/>
      <c r="AC26" s="8"/>
      <c r="AD26" s="8"/>
      <c r="AE26" s="8"/>
      <c r="AF26" s="8"/>
      <c r="AG26" s="8"/>
      <c r="AH26" s="8"/>
      <c r="AI26" s="8"/>
      <c r="AJ26" s="8"/>
      <c r="AK26" s="8"/>
    </row>
    <row r="27" spans="1:37">
      <c r="A27" s="490" t="s">
        <v>1715</v>
      </c>
      <c r="B27" s="489"/>
      <c r="C27" s="489"/>
      <c r="D27" s="489"/>
      <c r="E27" s="489"/>
      <c r="F27" s="489"/>
      <c r="G27" s="489"/>
      <c r="H27" s="489"/>
      <c r="I27" s="480"/>
      <c r="J27" s="489"/>
      <c r="K27" s="489"/>
      <c r="L27" s="489"/>
      <c r="M27" s="489"/>
      <c r="N27" s="480">
        <v>4.2151737398308853E-2</v>
      </c>
      <c r="O27" s="489"/>
      <c r="P27" s="489"/>
      <c r="Q27" s="489"/>
      <c r="R27" s="489"/>
      <c r="S27" s="489"/>
      <c r="T27" s="489"/>
      <c r="U27" s="479">
        <v>0.122139469072478</v>
      </c>
      <c r="V27" s="489"/>
      <c r="W27" s="489"/>
      <c r="X27" s="363"/>
      <c r="Y27" s="363"/>
      <c r="Z27" s="363"/>
      <c r="AA27" s="1013"/>
      <c r="AB27" s="8"/>
      <c r="AC27" s="8"/>
      <c r="AD27" s="8"/>
      <c r="AE27" s="8"/>
      <c r="AF27" s="8"/>
      <c r="AG27" s="8"/>
      <c r="AH27" s="8"/>
      <c r="AI27" s="8"/>
      <c r="AJ27" s="8"/>
      <c r="AK27" s="8"/>
    </row>
    <row r="28" spans="1:37">
      <c r="A28" s="490" t="s">
        <v>1716</v>
      </c>
      <c r="B28" s="489"/>
      <c r="C28" s="489"/>
      <c r="D28" s="489"/>
      <c r="E28" s="489"/>
      <c r="F28" s="489"/>
      <c r="G28" s="489"/>
      <c r="H28" s="489"/>
      <c r="I28" s="480"/>
      <c r="J28" s="489"/>
      <c r="K28" s="489"/>
      <c r="L28" s="489"/>
      <c r="M28" s="489"/>
      <c r="N28" s="489"/>
      <c r="O28" s="489"/>
      <c r="P28" s="489"/>
      <c r="Q28" s="489"/>
      <c r="R28" s="489"/>
      <c r="S28" s="489"/>
      <c r="T28" s="479">
        <v>0.49</v>
      </c>
      <c r="U28" s="489"/>
      <c r="V28" s="489"/>
      <c r="W28" s="489"/>
      <c r="X28" s="363">
        <v>0.04</v>
      </c>
      <c r="Y28" s="363"/>
      <c r="Z28" s="363"/>
      <c r="AA28" s="1013"/>
      <c r="AB28" s="8"/>
      <c r="AC28" s="8"/>
      <c r="AD28" s="8"/>
      <c r="AE28" s="8"/>
      <c r="AF28" s="8"/>
      <c r="AG28" s="8"/>
      <c r="AH28" s="8"/>
      <c r="AI28" s="8"/>
      <c r="AJ28" s="8"/>
      <c r="AK28" s="8"/>
    </row>
    <row r="29" spans="1:37">
      <c r="A29" s="490" t="s">
        <v>1717</v>
      </c>
      <c r="B29" s="489"/>
      <c r="C29" s="489"/>
      <c r="D29" s="489"/>
      <c r="E29" s="489"/>
      <c r="F29" s="489"/>
      <c r="G29" s="489"/>
      <c r="H29" s="489"/>
      <c r="I29" s="480"/>
      <c r="J29" s="489"/>
      <c r="K29" s="489"/>
      <c r="L29" s="489"/>
      <c r="M29" s="489"/>
      <c r="N29" s="489"/>
      <c r="O29" s="489"/>
      <c r="P29" s="489"/>
      <c r="Q29" s="489"/>
      <c r="R29" s="489"/>
      <c r="S29" s="489"/>
      <c r="T29" s="489"/>
      <c r="U29" s="479">
        <v>0.44700000000000001</v>
      </c>
      <c r="V29" s="489"/>
      <c r="W29" s="489"/>
      <c r="X29" s="363"/>
      <c r="Y29" s="363"/>
      <c r="Z29" s="363"/>
      <c r="AA29" s="1013"/>
      <c r="AB29" s="8"/>
      <c r="AC29" s="8"/>
      <c r="AD29" s="8"/>
      <c r="AE29" s="8"/>
      <c r="AF29" s="8"/>
      <c r="AG29" s="8"/>
      <c r="AH29" s="8"/>
      <c r="AI29" s="8"/>
      <c r="AJ29" s="8"/>
      <c r="AK29" s="8"/>
    </row>
    <row r="30" spans="1:37">
      <c r="A30" s="490" t="s">
        <v>1718</v>
      </c>
      <c r="B30" s="489"/>
      <c r="C30" s="489"/>
      <c r="D30" s="489"/>
      <c r="E30" s="489"/>
      <c r="F30" s="489"/>
      <c r="G30" s="489"/>
      <c r="H30" s="489"/>
      <c r="I30" s="480"/>
      <c r="J30" s="489"/>
      <c r="K30" s="489"/>
      <c r="L30" s="489"/>
      <c r="M30" s="489"/>
      <c r="N30" s="489"/>
      <c r="O30" s="489"/>
      <c r="P30" s="489"/>
      <c r="Q30" s="489"/>
      <c r="R30" s="489"/>
      <c r="S30" s="489"/>
      <c r="T30" s="489"/>
      <c r="U30" s="479">
        <v>1.3266089895379201</v>
      </c>
      <c r="V30" s="489"/>
      <c r="W30" s="489"/>
      <c r="X30" s="363"/>
      <c r="Y30" s="363"/>
      <c r="Z30" s="363"/>
      <c r="AA30" s="1013"/>
      <c r="AB30" s="8"/>
      <c r="AC30" s="8"/>
      <c r="AD30" s="8"/>
      <c r="AE30" s="8"/>
      <c r="AF30" s="8"/>
      <c r="AG30" s="8"/>
      <c r="AH30" s="8"/>
      <c r="AI30" s="8"/>
      <c r="AJ30" s="8"/>
      <c r="AK30" s="8"/>
    </row>
    <row r="31" spans="1:37">
      <c r="A31" s="490" t="s">
        <v>1719</v>
      </c>
      <c r="B31" s="489"/>
      <c r="C31" s="489"/>
      <c r="D31" s="489"/>
      <c r="E31" s="489"/>
      <c r="F31" s="489"/>
      <c r="G31" s="489"/>
      <c r="H31" s="489"/>
      <c r="I31" s="480"/>
      <c r="J31" s="489"/>
      <c r="K31" s="489"/>
      <c r="L31" s="489"/>
      <c r="M31" s="489"/>
      <c r="N31" s="489"/>
      <c r="O31" s="489"/>
      <c r="P31" s="489"/>
      <c r="Q31" s="489"/>
      <c r="R31" s="489"/>
      <c r="S31" s="489"/>
      <c r="T31" s="489"/>
      <c r="U31" s="489"/>
      <c r="V31" s="479">
        <v>0.48921668285333864</v>
      </c>
      <c r="W31" s="489"/>
      <c r="X31" s="363"/>
      <c r="Y31" s="363"/>
      <c r="Z31" s="363"/>
      <c r="AA31" s="1013"/>
      <c r="AB31" s="8"/>
      <c r="AC31" s="8"/>
      <c r="AD31" s="8"/>
      <c r="AE31" s="8"/>
      <c r="AF31" s="8"/>
      <c r="AG31" s="8"/>
      <c r="AH31" s="8"/>
      <c r="AI31" s="8"/>
      <c r="AJ31" s="8"/>
      <c r="AK31" s="8"/>
    </row>
    <row r="32" spans="1:37">
      <c r="A32" s="490" t="s">
        <v>1720</v>
      </c>
      <c r="B32" s="489"/>
      <c r="C32" s="489"/>
      <c r="D32" s="489"/>
      <c r="E32" s="489"/>
      <c r="F32" s="489"/>
      <c r="G32" s="489"/>
      <c r="H32" s="489"/>
      <c r="I32" s="480"/>
      <c r="J32" s="489"/>
      <c r="K32" s="489"/>
      <c r="L32" s="489"/>
      <c r="M32" s="489"/>
      <c r="N32" s="489"/>
      <c r="O32" s="489"/>
      <c r="P32" s="489"/>
      <c r="Q32" s="489"/>
      <c r="R32" s="489"/>
      <c r="S32" s="489"/>
      <c r="T32" s="489"/>
      <c r="U32" s="489"/>
      <c r="V32" s="479">
        <v>0.83707780940201104</v>
      </c>
      <c r="W32" s="489"/>
      <c r="X32" s="363"/>
      <c r="Y32" s="363"/>
      <c r="Z32" s="363"/>
      <c r="AA32" s="1013"/>
      <c r="AB32" s="8"/>
      <c r="AC32" s="8"/>
      <c r="AD32" s="8"/>
      <c r="AE32" s="8"/>
      <c r="AF32" s="8"/>
      <c r="AG32" s="8"/>
      <c r="AH32" s="8"/>
      <c r="AI32" s="8"/>
      <c r="AJ32" s="8"/>
      <c r="AK32" s="8"/>
    </row>
    <row r="33" spans="1:37">
      <c r="A33" s="490" t="s">
        <v>1409</v>
      </c>
      <c r="B33" s="489"/>
      <c r="C33" s="489"/>
      <c r="D33" s="489"/>
      <c r="E33" s="489"/>
      <c r="F33" s="489"/>
      <c r="G33" s="489"/>
      <c r="H33" s="489"/>
      <c r="I33" s="480"/>
      <c r="J33" s="489"/>
      <c r="K33" s="489"/>
      <c r="L33" s="489"/>
      <c r="M33" s="489"/>
      <c r="N33" s="489"/>
      <c r="O33" s="489"/>
      <c r="P33" s="489"/>
      <c r="Q33" s="489"/>
      <c r="R33" s="489"/>
      <c r="S33" s="489"/>
      <c r="T33" s="489"/>
      <c r="U33" s="489"/>
      <c r="V33" s="489"/>
      <c r="W33" s="479">
        <v>0.7</v>
      </c>
      <c r="X33" s="363"/>
      <c r="Y33" s="363"/>
      <c r="Z33" s="363"/>
      <c r="AA33" s="1013"/>
      <c r="AB33" s="8"/>
      <c r="AC33" s="8"/>
      <c r="AD33" s="8"/>
      <c r="AE33" s="8"/>
      <c r="AF33" s="8"/>
      <c r="AG33" s="8"/>
      <c r="AH33" s="8"/>
      <c r="AI33" s="8"/>
      <c r="AJ33" s="8"/>
      <c r="AK33" s="8"/>
    </row>
    <row r="34" spans="1:37">
      <c r="A34" s="490" t="s">
        <v>83</v>
      </c>
      <c r="B34" s="489"/>
      <c r="C34" s="489"/>
      <c r="D34" s="489"/>
      <c r="E34" s="489"/>
      <c r="F34" s="489"/>
      <c r="G34" s="489"/>
      <c r="H34" s="489"/>
      <c r="I34" s="480"/>
      <c r="J34" s="489"/>
      <c r="K34" s="489"/>
      <c r="L34" s="489"/>
      <c r="M34" s="489"/>
      <c r="N34" s="489"/>
      <c r="O34" s="489"/>
      <c r="P34" s="489"/>
      <c r="Q34" s="489"/>
      <c r="R34" s="489"/>
      <c r="S34" s="489"/>
      <c r="T34" s="489"/>
      <c r="U34" s="489"/>
      <c r="V34" s="489"/>
      <c r="W34" s="489">
        <v>0.3</v>
      </c>
      <c r="X34" s="919"/>
      <c r="Y34" s="363"/>
      <c r="Z34" s="919"/>
      <c r="AA34" s="1013"/>
      <c r="AB34" s="8"/>
      <c r="AC34" s="8"/>
      <c r="AD34" s="8"/>
      <c r="AE34" s="8"/>
      <c r="AF34" s="8"/>
      <c r="AG34" s="8"/>
      <c r="AH34" s="8"/>
      <c r="AI34" s="8"/>
      <c r="AJ34" s="8"/>
      <c r="AK34" s="8"/>
    </row>
    <row r="35" spans="1:37" s="8" customFormat="1">
      <c r="A35" s="483" t="s">
        <v>1721</v>
      </c>
      <c r="B35" s="489"/>
      <c r="C35" s="489"/>
      <c r="D35" s="489"/>
      <c r="E35" s="489"/>
      <c r="F35" s="489"/>
      <c r="G35" s="489"/>
      <c r="H35" s="489"/>
      <c r="I35" s="480"/>
      <c r="J35" s="489"/>
      <c r="K35" s="489"/>
      <c r="L35" s="489"/>
      <c r="M35" s="489"/>
      <c r="N35" s="489"/>
      <c r="O35" s="489"/>
      <c r="P35" s="489"/>
      <c r="Q35" s="489"/>
      <c r="R35" s="489"/>
      <c r="S35" s="489"/>
      <c r="T35" s="489"/>
      <c r="U35" s="489"/>
      <c r="V35" s="489"/>
      <c r="W35" s="489"/>
      <c r="X35" s="919"/>
      <c r="Y35" s="363"/>
      <c r="Z35" s="919"/>
      <c r="AA35" s="1013">
        <v>0.95</v>
      </c>
    </row>
    <row r="36" spans="1:37" s="8" customFormat="1">
      <c r="A36" s="483" t="s">
        <v>1722</v>
      </c>
      <c r="B36" s="489"/>
      <c r="C36" s="489"/>
      <c r="D36" s="489"/>
      <c r="E36" s="489"/>
      <c r="F36" s="489"/>
      <c r="G36" s="489"/>
      <c r="H36" s="489"/>
      <c r="I36" s="480"/>
      <c r="J36" s="489"/>
      <c r="K36" s="489"/>
      <c r="L36" s="489"/>
      <c r="M36" s="489"/>
      <c r="N36" s="489"/>
      <c r="O36" s="489"/>
      <c r="P36" s="489"/>
      <c r="Q36" s="489"/>
      <c r="R36" s="489"/>
      <c r="S36" s="489"/>
      <c r="T36" s="489"/>
      <c r="U36" s="489"/>
      <c r="V36" s="489"/>
      <c r="W36" s="489"/>
      <c r="X36" s="919"/>
      <c r="Y36" s="363">
        <v>0.46</v>
      </c>
      <c r="Z36" s="919"/>
      <c r="AA36" s="1013"/>
    </row>
    <row r="37" spans="1:37" s="8" customFormat="1">
      <c r="A37" s="483" t="s">
        <v>1723</v>
      </c>
      <c r="B37" s="489"/>
      <c r="C37" s="489"/>
      <c r="D37" s="489"/>
      <c r="E37" s="489"/>
      <c r="F37" s="489"/>
      <c r="G37" s="489"/>
      <c r="H37" s="489"/>
      <c r="I37" s="480"/>
      <c r="J37" s="489"/>
      <c r="K37" s="489"/>
      <c r="L37" s="489"/>
      <c r="M37" s="489"/>
      <c r="N37" s="489"/>
      <c r="O37" s="489"/>
      <c r="P37" s="489"/>
      <c r="Q37" s="489"/>
      <c r="R37" s="489"/>
      <c r="S37" s="489"/>
      <c r="T37" s="489"/>
      <c r="U37" s="489"/>
      <c r="V37" s="489"/>
      <c r="W37" s="489"/>
      <c r="X37" s="919">
        <v>1.26</v>
      </c>
      <c r="Y37" s="919"/>
      <c r="Z37" s="919"/>
      <c r="AA37" s="1013"/>
    </row>
    <row r="38" spans="1:37" s="8" customFormat="1">
      <c r="A38" s="483" t="s">
        <v>1724</v>
      </c>
      <c r="B38" s="489"/>
      <c r="C38" s="489"/>
      <c r="D38" s="489"/>
      <c r="E38" s="489"/>
      <c r="F38" s="489"/>
      <c r="G38" s="489"/>
      <c r="H38" s="489"/>
      <c r="I38" s="480"/>
      <c r="J38" s="489"/>
      <c r="K38" s="489"/>
      <c r="L38" s="489"/>
      <c r="M38" s="489"/>
      <c r="N38" s="489"/>
      <c r="O38" s="489"/>
      <c r="P38" s="489"/>
      <c r="Q38" s="489"/>
      <c r="R38" s="489"/>
      <c r="S38" s="489"/>
      <c r="T38" s="489"/>
      <c r="U38" s="489"/>
      <c r="V38" s="489"/>
      <c r="W38" s="489"/>
      <c r="X38" s="919">
        <v>0.06</v>
      </c>
      <c r="Y38" s="919"/>
      <c r="Z38" s="919"/>
      <c r="AA38" s="1013"/>
    </row>
    <row r="39" spans="1:37" s="8" customFormat="1" ht="15.75">
      <c r="A39" s="490" t="s">
        <v>1725</v>
      </c>
      <c r="B39" s="489"/>
      <c r="C39" s="489"/>
      <c r="D39" s="489"/>
      <c r="E39" s="489"/>
      <c r="F39" s="489"/>
      <c r="G39" s="489"/>
      <c r="H39" s="489"/>
      <c r="I39" s="480"/>
      <c r="J39" s="489"/>
      <c r="K39" s="489"/>
      <c r="L39" s="489"/>
      <c r="M39" s="489"/>
      <c r="N39" s="489"/>
      <c r="O39" s="489"/>
      <c r="P39" s="489"/>
      <c r="Q39" s="489"/>
      <c r="R39" s="489"/>
      <c r="S39" s="489"/>
      <c r="T39" s="489"/>
      <c r="U39" s="489"/>
      <c r="V39" s="489"/>
      <c r="W39" s="489"/>
      <c r="X39" s="489"/>
      <c r="Y39" s="489"/>
      <c r="Z39" s="489">
        <v>0.09</v>
      </c>
      <c r="AA39" s="140"/>
    </row>
    <row r="40" spans="1:37" s="8" customFormat="1">
      <c r="A40" s="490" t="s">
        <v>1726</v>
      </c>
      <c r="B40" s="489"/>
      <c r="C40" s="489"/>
      <c r="D40" s="489"/>
      <c r="E40" s="489"/>
      <c r="F40" s="489"/>
      <c r="G40" s="489"/>
      <c r="H40" s="489"/>
      <c r="I40" s="480"/>
      <c r="J40" s="489"/>
      <c r="K40" s="489"/>
      <c r="L40" s="489"/>
      <c r="M40" s="489"/>
      <c r="N40" s="480">
        <v>1.28562799064842</v>
      </c>
      <c r="O40" s="489"/>
      <c r="P40" s="489"/>
      <c r="Q40" s="489"/>
      <c r="R40" s="489"/>
      <c r="S40" s="489"/>
      <c r="T40" s="489"/>
      <c r="U40" s="489"/>
      <c r="V40" s="489"/>
      <c r="W40" s="489"/>
      <c r="X40" s="489"/>
      <c r="Y40" s="489"/>
      <c r="Z40" s="489"/>
      <c r="AA40" s="140"/>
    </row>
    <row r="41" spans="1:37" s="8" customFormat="1">
      <c r="A41" s="483" t="s">
        <v>1727</v>
      </c>
      <c r="B41" s="489"/>
      <c r="C41" s="489"/>
      <c r="D41" s="489"/>
      <c r="E41" s="489"/>
      <c r="F41" s="489"/>
      <c r="G41" s="489"/>
      <c r="H41" s="489"/>
      <c r="I41" s="480"/>
      <c r="J41" s="489"/>
      <c r="K41" s="489"/>
      <c r="L41" s="489"/>
      <c r="M41" s="489"/>
      <c r="N41" s="480">
        <v>7.3765540447040506E-2</v>
      </c>
      <c r="O41" s="489"/>
      <c r="P41" s="489"/>
      <c r="Q41" s="489"/>
      <c r="R41" s="489"/>
      <c r="S41" s="489"/>
      <c r="T41" s="489"/>
      <c r="U41" s="489"/>
      <c r="V41" s="489"/>
      <c r="W41" s="489"/>
      <c r="X41" s="919"/>
      <c r="Y41" s="363"/>
      <c r="Z41" s="489"/>
      <c r="AA41" s="1013"/>
    </row>
    <row r="42" spans="1:37">
      <c r="A42" s="647" t="s">
        <v>1728</v>
      </c>
      <c r="B42" s="548"/>
      <c r="C42" s="548"/>
      <c r="D42" s="548"/>
      <c r="E42" s="548"/>
      <c r="F42" s="548"/>
      <c r="G42" s="548"/>
      <c r="H42" s="548"/>
      <c r="I42" s="2709"/>
      <c r="J42" s="548"/>
      <c r="K42" s="548"/>
      <c r="L42" s="548"/>
      <c r="M42" s="548"/>
      <c r="N42" s="548"/>
      <c r="O42" s="548"/>
      <c r="P42" s="548"/>
      <c r="Q42" s="548"/>
      <c r="R42" s="548"/>
      <c r="S42" s="548"/>
      <c r="T42" s="548"/>
      <c r="U42" s="548"/>
      <c r="V42" s="548"/>
      <c r="W42" s="548"/>
      <c r="X42" s="548"/>
      <c r="Y42" s="548"/>
      <c r="Z42" s="548"/>
      <c r="AA42" s="136"/>
      <c r="AB42" s="8"/>
      <c r="AC42" s="8"/>
      <c r="AD42" s="8"/>
      <c r="AE42" s="8"/>
      <c r="AF42" s="8"/>
      <c r="AG42" s="8"/>
      <c r="AH42" s="8"/>
      <c r="AI42" s="8"/>
      <c r="AJ42" s="8"/>
      <c r="AK42" s="8"/>
    </row>
    <row r="43" spans="1:37" s="1321" customFormat="1">
      <c r="A43" s="489"/>
      <c r="B43" s="489"/>
      <c r="C43" s="489"/>
      <c r="D43" s="489"/>
      <c r="E43" s="489"/>
      <c r="F43" s="489"/>
      <c r="G43" s="489"/>
      <c r="H43" s="489"/>
      <c r="I43" s="480"/>
      <c r="J43" s="489"/>
      <c r="K43" s="489"/>
      <c r="L43" s="489"/>
      <c r="M43" s="489"/>
      <c r="N43" s="489"/>
      <c r="O43" s="489"/>
      <c r="P43" s="489"/>
      <c r="Q43" s="489"/>
      <c r="R43" s="489"/>
      <c r="S43" s="489"/>
      <c r="T43" s="489"/>
      <c r="U43" s="489"/>
      <c r="V43" s="489"/>
      <c r="W43" s="489"/>
      <c r="X43" s="489"/>
      <c r="Y43" s="489"/>
      <c r="Z43" s="489"/>
      <c r="AA43" s="489"/>
      <c r="AB43" s="8"/>
      <c r="AC43" s="8"/>
      <c r="AD43" s="8"/>
      <c r="AE43" s="8"/>
      <c r="AF43" s="8"/>
      <c r="AG43" s="8"/>
      <c r="AH43" s="8"/>
      <c r="AI43" s="8"/>
      <c r="AJ43" s="8"/>
      <c r="AK43" s="8"/>
    </row>
    <row r="44" spans="1:37" s="1321" customFormat="1">
      <c r="A44" s="8" t="s">
        <v>2297</v>
      </c>
      <c r="B44" s="64"/>
      <c r="C44" s="64"/>
      <c r="D44" s="64"/>
      <c r="E44" s="363"/>
      <c r="F44" s="363"/>
      <c r="G44" s="363"/>
      <c r="H44" s="363"/>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row>
    <row r="45" spans="1:37" s="1321" customFormat="1">
      <c r="A45" s="393"/>
      <c r="B45" s="1329" t="s">
        <v>1052</v>
      </c>
      <c r="C45" s="1710" t="s">
        <v>953</v>
      </c>
      <c r="D45" s="1710" t="s">
        <v>949</v>
      </c>
      <c r="E45" s="1710" t="s">
        <v>1447</v>
      </c>
      <c r="F45" s="1710" t="s">
        <v>1448</v>
      </c>
      <c r="G45" s="1710" t="s">
        <v>442</v>
      </c>
      <c r="H45" s="1710" t="s">
        <v>445</v>
      </c>
      <c r="I45" s="1330" t="s">
        <v>1053</v>
      </c>
    </row>
    <row r="46" spans="1:37" s="1321" customFormat="1">
      <c r="A46" s="897" t="s">
        <v>1054</v>
      </c>
      <c r="B46" s="1331">
        <v>1</v>
      </c>
      <c r="C46" s="1236">
        <v>0</v>
      </c>
      <c r="D46" s="1236">
        <v>0</v>
      </c>
      <c r="E46" s="1236">
        <v>0</v>
      </c>
      <c r="F46" s="1236">
        <v>0</v>
      </c>
      <c r="G46" s="1236">
        <v>0</v>
      </c>
      <c r="H46" s="1236">
        <v>0</v>
      </c>
      <c r="I46" s="1328">
        <f>1-SUM(B46:H46)</f>
        <v>0</v>
      </c>
    </row>
    <row r="47" spans="1:37" s="1321" customFormat="1"/>
    <row r="48" spans="1:37" ht="15">
      <c r="A48" s="120" t="s">
        <v>762</v>
      </c>
      <c r="B48" s="1321"/>
      <c r="C48" s="1321"/>
      <c r="D48" s="1321"/>
      <c r="E48" s="1321"/>
      <c r="F48" s="1321"/>
      <c r="G48" s="1321"/>
      <c r="H48" s="1321"/>
      <c r="I48" s="1321"/>
      <c r="J48" s="1321"/>
      <c r="K48" s="1321"/>
      <c r="L48" s="1321"/>
      <c r="M48" s="1321"/>
      <c r="N48" s="1321"/>
      <c r="O48" s="1321"/>
      <c r="P48" s="1321"/>
      <c r="Q48" s="1321"/>
      <c r="R48" s="1321"/>
      <c r="S48" s="1321"/>
      <c r="T48" s="1321"/>
      <c r="U48" s="1321"/>
      <c r="V48" s="1321"/>
      <c r="W48" s="1321"/>
      <c r="X48" s="1321"/>
      <c r="Y48" s="1321"/>
      <c r="Z48" s="1321"/>
      <c r="AA48" s="1321"/>
      <c r="AB48" s="1321"/>
      <c r="AC48" s="1321"/>
      <c r="AD48" s="1321"/>
      <c r="AE48" s="1321"/>
    </row>
    <row r="49" spans="1:158" ht="132">
      <c r="A49" s="1299"/>
      <c r="B49" s="1645" t="s">
        <v>1729</v>
      </c>
      <c r="C49" s="1645" t="s">
        <v>1730</v>
      </c>
      <c r="D49" s="1645" t="s">
        <v>1731</v>
      </c>
      <c r="E49" s="1645" t="s">
        <v>1732</v>
      </c>
      <c r="F49" s="1719" t="s">
        <v>1733</v>
      </c>
      <c r="G49" s="1719" t="s">
        <v>1734</v>
      </c>
      <c r="H49" s="1719" t="s">
        <v>1735</v>
      </c>
      <c r="I49" s="1719" t="s">
        <v>1736</v>
      </c>
      <c r="J49" s="1719" t="s">
        <v>1737</v>
      </c>
      <c r="K49" s="1719" t="s">
        <v>1738</v>
      </c>
      <c r="L49" s="1719" t="s">
        <v>1739</v>
      </c>
      <c r="M49" s="1719" t="s">
        <v>1740</v>
      </c>
      <c r="N49" s="1719" t="s">
        <v>1741</v>
      </c>
      <c r="O49" s="1719" t="s">
        <v>1742</v>
      </c>
      <c r="P49" s="1645" t="s">
        <v>1743</v>
      </c>
      <c r="Q49" s="1645" t="s">
        <v>1744</v>
      </c>
      <c r="R49" s="1645" t="s">
        <v>1745</v>
      </c>
      <c r="S49" s="1645" t="s">
        <v>1746</v>
      </c>
      <c r="T49" s="1645" t="s">
        <v>1747</v>
      </c>
      <c r="U49" s="1645" t="s">
        <v>1748</v>
      </c>
      <c r="V49" s="1645" t="s">
        <v>1749</v>
      </c>
      <c r="W49" s="1645" t="s">
        <v>1750</v>
      </c>
      <c r="X49" s="1645" t="s">
        <v>1751</v>
      </c>
      <c r="Y49" s="1645" t="s">
        <v>1752</v>
      </c>
      <c r="Z49" s="1645" t="s">
        <v>1753</v>
      </c>
      <c r="AA49" s="1645" t="s">
        <v>1691</v>
      </c>
      <c r="AB49" s="1338" t="s">
        <v>1692</v>
      </c>
      <c r="AC49" s="1645" t="s">
        <v>1754</v>
      </c>
      <c r="AD49" s="1645" t="s">
        <v>1755</v>
      </c>
      <c r="AE49" s="1645" t="s">
        <v>1723</v>
      </c>
      <c r="AF49" s="1321"/>
      <c r="AG49" s="1321"/>
      <c r="AH49" s="1321"/>
      <c r="AI49" s="1321"/>
      <c r="AJ49" s="1321"/>
      <c r="AK49" s="1321"/>
      <c r="AL49" s="1321"/>
      <c r="AM49" s="1321"/>
      <c r="AN49" s="1321"/>
      <c r="AO49" s="1321"/>
      <c r="AP49" s="1321"/>
      <c r="AQ49" s="1321"/>
      <c r="AR49" s="1321"/>
      <c r="AS49" s="1321"/>
      <c r="AT49" s="1321"/>
      <c r="AU49" s="1321"/>
      <c r="AV49" s="1321"/>
      <c r="AW49" s="1321"/>
      <c r="AX49" s="1321"/>
      <c r="AY49" s="1321"/>
      <c r="AZ49" s="1321"/>
      <c r="BA49" s="1321"/>
      <c r="BB49" s="1321"/>
      <c r="BC49" s="1321"/>
      <c r="BD49" s="1321"/>
      <c r="BE49" s="1321"/>
      <c r="BF49" s="1321"/>
      <c r="BG49" s="1321"/>
      <c r="BH49" s="1321"/>
      <c r="BI49" s="1321"/>
      <c r="BJ49" s="1321"/>
      <c r="BK49" s="1321"/>
      <c r="BL49" s="1321"/>
      <c r="BM49" s="1321"/>
      <c r="BN49" s="1321"/>
      <c r="BO49" s="1321"/>
      <c r="BP49" s="1321"/>
      <c r="BQ49" s="1321"/>
      <c r="BR49" s="1321"/>
      <c r="BS49" s="1321"/>
      <c r="BT49" s="1321"/>
      <c r="BU49" s="1321"/>
      <c r="BV49" s="1321"/>
      <c r="BW49" s="1321"/>
      <c r="BX49" s="1321"/>
      <c r="BY49" s="1321"/>
      <c r="BZ49" s="1321"/>
      <c r="CA49" s="1321"/>
      <c r="CB49" s="1321"/>
      <c r="CC49" s="1321"/>
      <c r="CD49" s="1321"/>
      <c r="CE49" s="1321"/>
      <c r="CF49" s="1321"/>
      <c r="CG49" s="1321"/>
      <c r="CH49" s="1321"/>
      <c r="CI49" s="1321"/>
      <c r="CJ49" s="1321"/>
      <c r="CK49" s="1321"/>
      <c r="CL49" s="1321"/>
      <c r="CM49" s="1321"/>
      <c r="CN49" s="1321"/>
      <c r="CO49" s="1321"/>
      <c r="CP49" s="1321"/>
      <c r="CQ49" s="1321"/>
      <c r="CR49" s="1321"/>
      <c r="CS49" s="1321"/>
      <c r="CT49" s="1321"/>
      <c r="CU49" s="1321"/>
      <c r="CV49" s="1321"/>
      <c r="CW49" s="1321"/>
      <c r="CX49" s="1321"/>
      <c r="CY49" s="1321"/>
      <c r="CZ49" s="1321"/>
      <c r="DA49" s="1321"/>
      <c r="DB49" s="1321"/>
      <c r="DC49" s="1321"/>
      <c r="DD49" s="1321"/>
      <c r="DE49" s="1321"/>
      <c r="DF49" s="1321"/>
      <c r="DG49" s="1321"/>
      <c r="DH49" s="1321"/>
      <c r="DI49" s="1321"/>
      <c r="DJ49" s="1321"/>
      <c r="DK49" s="1321"/>
      <c r="DL49" s="1321"/>
      <c r="DM49" s="1321"/>
      <c r="DN49" s="1321"/>
      <c r="DO49" s="1321"/>
      <c r="DP49" s="1321"/>
      <c r="DQ49" s="1321"/>
      <c r="DR49" s="1321"/>
      <c r="DS49" s="1321"/>
      <c r="DT49" s="1321"/>
      <c r="DU49" s="1321"/>
      <c r="DV49" s="1321"/>
      <c r="DW49" s="1321"/>
      <c r="DX49" s="1321"/>
      <c r="DY49" s="1321"/>
      <c r="DZ49" s="1321"/>
      <c r="EA49" s="1321"/>
      <c r="EB49" s="1321"/>
      <c r="EC49" s="1321"/>
      <c r="ED49" s="1321"/>
      <c r="EE49" s="1321"/>
      <c r="EF49" s="1321"/>
      <c r="EG49" s="1321"/>
      <c r="EH49" s="1321"/>
      <c r="EI49" s="1321"/>
      <c r="EJ49" s="1321"/>
      <c r="EK49" s="1321"/>
      <c r="EL49" s="1321"/>
      <c r="EM49" s="1321"/>
      <c r="EN49" s="1321"/>
      <c r="EO49" s="1321"/>
      <c r="EP49" s="1321"/>
      <c r="EQ49" s="1321"/>
      <c r="ER49" s="1321"/>
      <c r="ES49" s="1321"/>
      <c r="ET49" s="1321"/>
      <c r="EU49" s="1321"/>
      <c r="EV49" s="1321"/>
      <c r="EW49" s="1321"/>
      <c r="EX49" s="1321"/>
      <c r="EY49" s="1321"/>
      <c r="EZ49" s="1321"/>
      <c r="FA49" s="1321"/>
      <c r="FB49" s="1321"/>
    </row>
    <row r="50" spans="1:158">
      <c r="A50" s="59" t="s">
        <v>769</v>
      </c>
      <c r="B50" s="594">
        <v>1</v>
      </c>
      <c r="C50" s="594">
        <v>1</v>
      </c>
      <c r="D50" s="594">
        <v>0</v>
      </c>
      <c r="E50" s="594">
        <v>1</v>
      </c>
      <c r="F50" s="1121">
        <v>0</v>
      </c>
      <c r="G50" s="1121">
        <v>1</v>
      </c>
      <c r="H50" s="1121">
        <v>0</v>
      </c>
      <c r="I50" s="1121">
        <v>1</v>
      </c>
      <c r="J50" s="1121">
        <v>0</v>
      </c>
      <c r="K50" s="1121">
        <v>1</v>
      </c>
      <c r="L50" s="1121">
        <v>0</v>
      </c>
      <c r="M50" s="1121">
        <v>1</v>
      </c>
      <c r="N50" s="1121">
        <v>0</v>
      </c>
      <c r="O50" s="1121">
        <v>1</v>
      </c>
      <c r="P50" s="594">
        <v>1</v>
      </c>
      <c r="Q50" s="594">
        <v>1</v>
      </c>
      <c r="R50" s="594">
        <v>1</v>
      </c>
      <c r="S50" s="594">
        <v>1</v>
      </c>
      <c r="T50" s="594">
        <v>1</v>
      </c>
      <c r="U50" s="594">
        <v>1</v>
      </c>
      <c r="V50" s="594">
        <v>1</v>
      </c>
      <c r="W50" s="594">
        <v>1</v>
      </c>
      <c r="X50" s="594">
        <v>1</v>
      </c>
      <c r="Y50" s="594">
        <v>1</v>
      </c>
      <c r="Z50" s="594">
        <v>1</v>
      </c>
      <c r="AA50" s="1071">
        <v>1</v>
      </c>
      <c r="AB50" s="1071">
        <v>1</v>
      </c>
      <c r="AC50" s="1071">
        <v>0</v>
      </c>
      <c r="AD50" s="1071">
        <v>1</v>
      </c>
      <c r="AE50" s="1071">
        <v>1</v>
      </c>
      <c r="AF50" s="1321"/>
      <c r="AG50" s="1321"/>
      <c r="AH50" s="1321"/>
      <c r="AI50" s="1321"/>
      <c r="AJ50" s="1321"/>
      <c r="AK50" s="1321"/>
      <c r="AL50" s="1321"/>
      <c r="AM50" s="1321"/>
      <c r="AN50" s="1321"/>
      <c r="AO50" s="1321"/>
      <c r="AP50" s="1321"/>
      <c r="AQ50" s="1321"/>
      <c r="AR50" s="1321"/>
      <c r="AS50" s="1321"/>
      <c r="AT50" s="1321"/>
      <c r="AU50" s="1321"/>
      <c r="AV50" s="1321"/>
      <c r="AW50" s="1321"/>
      <c r="AX50" s="1321"/>
      <c r="AY50" s="1321"/>
      <c r="AZ50" s="1321"/>
      <c r="BA50" s="1321"/>
      <c r="BB50" s="1321"/>
      <c r="BC50" s="1321"/>
      <c r="BD50" s="1321"/>
      <c r="BE50" s="1321"/>
      <c r="BF50" s="1321"/>
      <c r="BG50" s="1321"/>
      <c r="BH50" s="1321"/>
      <c r="BI50" s="1321"/>
      <c r="BJ50" s="1321"/>
      <c r="BK50" s="1321"/>
      <c r="BL50" s="1321"/>
      <c r="BM50" s="1321"/>
      <c r="BN50" s="1321"/>
      <c r="BO50" s="1321"/>
      <c r="BP50" s="1321"/>
      <c r="BQ50" s="1321"/>
      <c r="BR50" s="1321"/>
      <c r="BS50" s="1321"/>
      <c r="BT50" s="1321"/>
      <c r="BU50" s="1321"/>
      <c r="BV50" s="1321"/>
      <c r="BW50" s="1321"/>
      <c r="BX50" s="1321"/>
      <c r="BY50" s="1321"/>
      <c r="BZ50" s="1321"/>
      <c r="CA50" s="1321"/>
      <c r="CB50" s="1321"/>
      <c r="CC50" s="1321"/>
      <c r="CD50" s="1321"/>
      <c r="CE50" s="1321"/>
      <c r="CF50" s="1321"/>
      <c r="CG50" s="1321"/>
      <c r="CH50" s="1321"/>
      <c r="CI50" s="1321"/>
      <c r="CJ50" s="1321"/>
      <c r="CK50" s="1321"/>
      <c r="CL50" s="1321"/>
      <c r="CM50" s="1321"/>
      <c r="CN50" s="1321"/>
      <c r="CO50" s="1321"/>
      <c r="CP50" s="1321"/>
      <c r="CQ50" s="1321"/>
      <c r="CR50" s="1321"/>
      <c r="CS50" s="1321"/>
      <c r="CT50" s="1321"/>
      <c r="CU50" s="1321"/>
      <c r="CV50" s="1321"/>
      <c r="CW50" s="1321"/>
      <c r="CX50" s="1321"/>
      <c r="CY50" s="1321"/>
      <c r="CZ50" s="1321"/>
      <c r="DA50" s="1321"/>
      <c r="DB50" s="1321"/>
      <c r="DC50" s="1321"/>
      <c r="DD50" s="1321"/>
      <c r="DE50" s="1321"/>
      <c r="DF50" s="1321"/>
      <c r="DG50" s="1321"/>
      <c r="DH50" s="1321"/>
      <c r="DI50" s="1321"/>
      <c r="DJ50" s="1321"/>
      <c r="DK50" s="1321"/>
      <c r="DL50" s="1321"/>
      <c r="DM50" s="1321"/>
      <c r="DN50" s="1321"/>
      <c r="DO50" s="1321"/>
      <c r="DP50" s="1321"/>
      <c r="DQ50" s="1321"/>
      <c r="DR50" s="1321"/>
      <c r="DS50" s="1321"/>
      <c r="DT50" s="1321"/>
      <c r="DU50" s="1321"/>
      <c r="DV50" s="1321"/>
      <c r="DW50" s="1321"/>
      <c r="DX50" s="1321"/>
      <c r="DY50" s="1321"/>
      <c r="DZ50" s="1321"/>
      <c r="EA50" s="1321"/>
      <c r="EB50" s="1321"/>
      <c r="EC50" s="1321"/>
      <c r="ED50" s="1321"/>
      <c r="EE50" s="1321"/>
      <c r="EF50" s="1321"/>
      <c r="EG50" s="1321"/>
      <c r="EH50" s="1321"/>
      <c r="EI50" s="1321"/>
      <c r="EJ50" s="1321"/>
      <c r="EK50" s="1321"/>
      <c r="EL50" s="1321"/>
      <c r="EM50" s="1321"/>
      <c r="EN50" s="1321"/>
      <c r="EO50" s="1321"/>
      <c r="EP50" s="1321"/>
      <c r="EQ50" s="1321"/>
      <c r="ER50" s="1321"/>
      <c r="ES50" s="1321"/>
      <c r="ET50" s="1321"/>
      <c r="EU50" s="1321"/>
      <c r="EV50" s="1321"/>
      <c r="EW50" s="1321"/>
      <c r="EX50" s="1321"/>
      <c r="EY50" s="1321"/>
      <c r="EZ50" s="1321"/>
      <c r="FA50" s="1321"/>
      <c r="FB50" s="1321"/>
    </row>
    <row r="51" spans="1:158">
      <c r="A51" s="59" t="s">
        <v>1546</v>
      </c>
      <c r="B51" s="594">
        <f t="shared" ref="B51:E51" si="0">1-SUM(B50)</f>
        <v>0</v>
      </c>
      <c r="C51" s="594">
        <f t="shared" si="0"/>
        <v>0</v>
      </c>
      <c r="D51" s="594">
        <f t="shared" si="0"/>
        <v>1</v>
      </c>
      <c r="E51" s="594">
        <f t="shared" si="0"/>
        <v>0</v>
      </c>
      <c r="F51" s="1121">
        <f t="shared" ref="F51:G51" si="1">1-SUM(F50)</f>
        <v>1</v>
      </c>
      <c r="G51" s="1121">
        <f t="shared" si="1"/>
        <v>0</v>
      </c>
      <c r="H51" s="1121">
        <f t="shared" ref="H51:W51" si="2">1-SUM(H50)</f>
        <v>1</v>
      </c>
      <c r="I51" s="1121">
        <f t="shared" si="2"/>
        <v>0</v>
      </c>
      <c r="J51" s="1121">
        <f t="shared" si="2"/>
        <v>1</v>
      </c>
      <c r="K51" s="1121">
        <f t="shared" si="2"/>
        <v>0</v>
      </c>
      <c r="L51" s="1121">
        <f t="shared" si="2"/>
        <v>1</v>
      </c>
      <c r="M51" s="1121">
        <f t="shared" si="2"/>
        <v>0</v>
      </c>
      <c r="N51" s="1121">
        <f t="shared" si="2"/>
        <v>1</v>
      </c>
      <c r="O51" s="1121">
        <f t="shared" si="2"/>
        <v>0</v>
      </c>
      <c r="P51" s="594">
        <f t="shared" si="2"/>
        <v>0</v>
      </c>
      <c r="Q51" s="594">
        <f t="shared" si="2"/>
        <v>0</v>
      </c>
      <c r="R51" s="594">
        <f t="shared" si="2"/>
        <v>0</v>
      </c>
      <c r="S51" s="594">
        <f t="shared" si="2"/>
        <v>0</v>
      </c>
      <c r="T51" s="594">
        <f t="shared" si="2"/>
        <v>0</v>
      </c>
      <c r="U51" s="594">
        <f t="shared" si="2"/>
        <v>0</v>
      </c>
      <c r="V51" s="594">
        <f t="shared" si="2"/>
        <v>0</v>
      </c>
      <c r="W51" s="594">
        <f t="shared" si="2"/>
        <v>0</v>
      </c>
      <c r="X51" s="594">
        <f t="shared" ref="X51:Z51" si="3">1-SUM(X50)</f>
        <v>0</v>
      </c>
      <c r="Y51" s="594">
        <f t="shared" si="3"/>
        <v>0</v>
      </c>
      <c r="Z51" s="594">
        <f t="shared" si="3"/>
        <v>0</v>
      </c>
      <c r="AA51" s="1071">
        <f t="shared" ref="AA51:AE51" si="4">1-SUM(AA50)</f>
        <v>0</v>
      </c>
      <c r="AB51" s="1071">
        <f t="shared" si="4"/>
        <v>0</v>
      </c>
      <c r="AC51" s="1071">
        <f t="shared" si="4"/>
        <v>1</v>
      </c>
      <c r="AD51" s="1071">
        <f t="shared" si="4"/>
        <v>0</v>
      </c>
      <c r="AE51" s="1071">
        <f t="shared" si="4"/>
        <v>0</v>
      </c>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c r="BJ51" s="1321"/>
      <c r="BK51" s="1321"/>
      <c r="BL51" s="1321"/>
      <c r="BM51" s="1321"/>
      <c r="BN51" s="1321"/>
      <c r="BO51" s="1321"/>
      <c r="BP51" s="1321"/>
      <c r="BQ51" s="1321"/>
      <c r="BR51" s="1321"/>
      <c r="BS51" s="1321"/>
      <c r="BT51" s="1321"/>
      <c r="BU51" s="1321"/>
      <c r="BV51" s="1321"/>
      <c r="BW51" s="1321"/>
      <c r="BX51" s="1321"/>
      <c r="BY51" s="1321"/>
      <c r="BZ51" s="1321"/>
      <c r="CA51" s="1321"/>
      <c r="CB51" s="1321"/>
      <c r="CC51" s="1321"/>
      <c r="CD51" s="1321"/>
      <c r="CE51" s="1321"/>
      <c r="CF51" s="1321"/>
      <c r="CG51" s="1321"/>
      <c r="CH51" s="1321"/>
      <c r="CI51" s="1321"/>
      <c r="CJ51" s="1321"/>
      <c r="CK51" s="1321"/>
      <c r="CL51" s="1321"/>
      <c r="CM51" s="1321"/>
      <c r="CN51" s="1321"/>
      <c r="CO51" s="1321"/>
      <c r="CP51" s="1321"/>
      <c r="CQ51" s="1321"/>
      <c r="CR51" s="1321"/>
      <c r="CS51" s="1321"/>
      <c r="CT51" s="1321"/>
      <c r="CU51" s="1321"/>
      <c r="CV51" s="1321"/>
      <c r="CW51" s="1321"/>
      <c r="CX51" s="1321"/>
      <c r="CY51" s="1321"/>
      <c r="CZ51" s="1321"/>
      <c r="DA51" s="1321"/>
      <c r="DB51" s="1321"/>
      <c r="DC51" s="1321"/>
      <c r="DD51" s="1321"/>
      <c r="DE51" s="1321"/>
      <c r="DF51" s="1321"/>
      <c r="DG51" s="1321"/>
      <c r="DH51" s="1321"/>
      <c r="DI51" s="1321"/>
      <c r="DJ51" s="1321"/>
      <c r="DK51" s="1321"/>
      <c r="DL51" s="1321"/>
      <c r="DM51" s="1321"/>
      <c r="DN51" s="1321"/>
      <c r="DO51" s="1321"/>
      <c r="DP51" s="1321"/>
      <c r="DQ51" s="1321"/>
      <c r="DR51" s="1321"/>
      <c r="DS51" s="1321"/>
      <c r="DT51" s="1321"/>
      <c r="DU51" s="1321"/>
      <c r="DV51" s="1321"/>
      <c r="DW51" s="1321"/>
      <c r="DX51" s="1321"/>
      <c r="DY51" s="1321"/>
      <c r="DZ51" s="1321"/>
      <c r="EA51" s="1321"/>
      <c r="EB51" s="1321"/>
      <c r="EC51" s="1321"/>
      <c r="ED51" s="1321"/>
      <c r="EE51" s="1321"/>
      <c r="EF51" s="1321"/>
      <c r="EG51" s="1321"/>
      <c r="EH51" s="1321"/>
      <c r="EI51" s="1321"/>
      <c r="EJ51" s="1321"/>
      <c r="EK51" s="1321"/>
      <c r="EL51" s="1321"/>
      <c r="EM51" s="1321"/>
      <c r="EN51" s="1321"/>
      <c r="EO51" s="1321"/>
      <c r="EP51" s="1321"/>
      <c r="EQ51" s="1321"/>
      <c r="ER51" s="1321"/>
      <c r="ES51" s="1321"/>
      <c r="ET51" s="1321"/>
      <c r="EU51" s="1321"/>
      <c r="EV51" s="1321"/>
      <c r="EW51" s="1321"/>
      <c r="EX51" s="1321"/>
      <c r="EY51" s="1321"/>
      <c r="EZ51" s="1321"/>
      <c r="FA51" s="1321"/>
      <c r="FB51" s="1321"/>
    </row>
    <row r="52" spans="1:158">
      <c r="A52" s="58" t="s">
        <v>1547</v>
      </c>
      <c r="B52" s="595">
        <v>0</v>
      </c>
      <c r="C52" s="595">
        <v>0</v>
      </c>
      <c r="D52" s="595">
        <v>0</v>
      </c>
      <c r="E52" s="595">
        <v>0</v>
      </c>
      <c r="F52" s="1122">
        <v>0</v>
      </c>
      <c r="G52" s="1122">
        <v>0</v>
      </c>
      <c r="H52" s="1122">
        <v>0</v>
      </c>
      <c r="I52" s="1122">
        <v>0</v>
      </c>
      <c r="J52" s="1122">
        <v>0</v>
      </c>
      <c r="K52" s="1122">
        <v>0</v>
      </c>
      <c r="L52" s="1122">
        <v>0</v>
      </c>
      <c r="M52" s="1122">
        <v>0</v>
      </c>
      <c r="N52" s="1122">
        <v>0</v>
      </c>
      <c r="O52" s="1122">
        <v>0</v>
      </c>
      <c r="P52" s="595">
        <v>0</v>
      </c>
      <c r="Q52" s="595">
        <v>0</v>
      </c>
      <c r="R52" s="595">
        <v>0</v>
      </c>
      <c r="S52" s="595">
        <v>0</v>
      </c>
      <c r="T52" s="595">
        <v>0</v>
      </c>
      <c r="U52" s="595">
        <v>0</v>
      </c>
      <c r="V52" s="595">
        <v>0</v>
      </c>
      <c r="W52" s="595">
        <v>1</v>
      </c>
      <c r="X52" s="595">
        <v>0</v>
      </c>
      <c r="Y52" s="595">
        <v>0</v>
      </c>
      <c r="Z52" s="595">
        <v>0</v>
      </c>
      <c r="AA52" s="1072">
        <v>0</v>
      </c>
      <c r="AB52" s="1072">
        <v>0</v>
      </c>
      <c r="AC52" s="1072">
        <v>0</v>
      </c>
      <c r="AD52" s="1072">
        <v>0</v>
      </c>
      <c r="AE52" s="1072">
        <v>0</v>
      </c>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c r="BJ52" s="1321"/>
      <c r="BK52" s="1321"/>
      <c r="BL52" s="1321"/>
      <c r="BM52" s="1321"/>
      <c r="BN52" s="1321"/>
      <c r="BO52" s="1321"/>
      <c r="BP52" s="1321"/>
      <c r="BQ52" s="1321"/>
      <c r="BR52" s="1321"/>
      <c r="BS52" s="1321"/>
      <c r="BT52" s="1321"/>
      <c r="BU52" s="1321"/>
      <c r="BV52" s="1321"/>
      <c r="BW52" s="1321"/>
      <c r="BX52" s="1321"/>
      <c r="BY52" s="1321"/>
      <c r="BZ52" s="1321"/>
      <c r="CA52" s="1321"/>
      <c r="CB52" s="1321"/>
      <c r="CC52" s="1321"/>
      <c r="CD52" s="1321"/>
      <c r="CE52" s="1321"/>
      <c r="CF52" s="1321"/>
      <c r="CG52" s="1321"/>
      <c r="CH52" s="1321"/>
      <c r="CI52" s="1321"/>
      <c r="CJ52" s="1321"/>
      <c r="CK52" s="1321"/>
      <c r="CL52" s="1321"/>
      <c r="CM52" s="1321"/>
      <c r="CN52" s="1321"/>
      <c r="CO52" s="1321"/>
      <c r="CP52" s="1321"/>
      <c r="CQ52" s="1321"/>
      <c r="CR52" s="1321"/>
      <c r="CS52" s="1321"/>
      <c r="CT52" s="1321"/>
      <c r="CU52" s="1321"/>
      <c r="CV52" s="1321"/>
      <c r="CW52" s="1321"/>
      <c r="CX52" s="1321"/>
      <c r="CY52" s="1321"/>
      <c r="CZ52" s="1321"/>
      <c r="DA52" s="1321"/>
      <c r="DB52" s="1321"/>
      <c r="DC52" s="1321"/>
      <c r="DD52" s="1321"/>
      <c r="DE52" s="1321"/>
      <c r="DF52" s="1321"/>
      <c r="DG52" s="1321"/>
      <c r="DH52" s="1321"/>
      <c r="DI52" s="1321"/>
      <c r="DJ52" s="1321"/>
      <c r="DK52" s="1321"/>
      <c r="DL52" s="1321"/>
      <c r="DM52" s="1321"/>
      <c r="DN52" s="1321"/>
      <c r="DO52" s="1321"/>
      <c r="DP52" s="1321"/>
      <c r="DQ52" s="1321"/>
      <c r="DR52" s="1321"/>
      <c r="DS52" s="1321"/>
      <c r="DT52" s="1321"/>
      <c r="DU52" s="1321"/>
      <c r="DV52" s="1321"/>
      <c r="DW52" s="1321"/>
      <c r="DX52" s="1321"/>
      <c r="DY52" s="1321"/>
      <c r="DZ52" s="1321"/>
      <c r="EA52" s="1321"/>
      <c r="EB52" s="1321"/>
      <c r="EC52" s="1321"/>
      <c r="ED52" s="1321"/>
      <c r="EE52" s="1321"/>
      <c r="EF52" s="1321"/>
      <c r="EG52" s="1321"/>
      <c r="EH52" s="1321"/>
      <c r="EI52" s="1321"/>
      <c r="EJ52" s="1321"/>
      <c r="EK52" s="1321"/>
      <c r="EL52" s="1321"/>
      <c r="EM52" s="1321"/>
      <c r="EN52" s="1321"/>
      <c r="EO52" s="1321"/>
      <c r="EP52" s="1321"/>
      <c r="EQ52" s="1321"/>
      <c r="ER52" s="1321"/>
      <c r="ES52" s="1321"/>
      <c r="ET52" s="1321"/>
      <c r="EU52" s="1321"/>
      <c r="EV52" s="1321"/>
      <c r="EW52" s="1321"/>
      <c r="EX52" s="1321"/>
      <c r="EY52" s="1321"/>
      <c r="EZ52" s="1321"/>
      <c r="FA52" s="1321"/>
      <c r="FB52" s="1321"/>
    </row>
    <row r="53" spans="1:158">
      <c r="A53" s="59" t="s">
        <v>1214</v>
      </c>
      <c r="B53" s="594">
        <v>0</v>
      </c>
      <c r="C53" s="594">
        <v>0</v>
      </c>
      <c r="D53" s="594">
        <v>0</v>
      </c>
      <c r="E53" s="594">
        <v>0</v>
      </c>
      <c r="F53" s="1121">
        <v>0</v>
      </c>
      <c r="G53" s="1121">
        <v>0</v>
      </c>
      <c r="H53" s="1121">
        <v>0</v>
      </c>
      <c r="I53" s="1121">
        <v>0</v>
      </c>
      <c r="J53" s="1121">
        <v>0</v>
      </c>
      <c r="K53" s="1121">
        <v>0</v>
      </c>
      <c r="L53" s="1121">
        <v>0</v>
      </c>
      <c r="M53" s="1121">
        <v>0</v>
      </c>
      <c r="N53" s="1121">
        <v>0</v>
      </c>
      <c r="O53" s="1121">
        <v>0</v>
      </c>
      <c r="P53" s="594">
        <v>0</v>
      </c>
      <c r="Q53" s="594">
        <v>0</v>
      </c>
      <c r="R53" s="594">
        <v>0</v>
      </c>
      <c r="S53" s="594">
        <v>0</v>
      </c>
      <c r="T53" s="594">
        <v>0</v>
      </c>
      <c r="U53" s="594">
        <v>0</v>
      </c>
      <c r="V53" s="594">
        <v>0</v>
      </c>
      <c r="W53" s="594">
        <v>0</v>
      </c>
      <c r="X53" s="594">
        <v>0</v>
      </c>
      <c r="Y53" s="594">
        <v>0</v>
      </c>
      <c r="Z53" s="594">
        <v>0</v>
      </c>
      <c r="AA53" s="1071">
        <v>0</v>
      </c>
      <c r="AB53" s="1071">
        <v>0</v>
      </c>
      <c r="AC53" s="1071">
        <v>0</v>
      </c>
      <c r="AD53" s="1071">
        <v>0</v>
      </c>
      <c r="AE53" s="1071">
        <v>0</v>
      </c>
      <c r="AF53" s="1321"/>
      <c r="AG53" s="1321"/>
      <c r="AH53" s="1321"/>
      <c r="AI53" s="1321"/>
      <c r="AJ53" s="1321"/>
      <c r="AK53" s="1321"/>
      <c r="AL53" s="1321"/>
      <c r="AM53" s="1321"/>
      <c r="AN53" s="1321"/>
      <c r="AO53" s="1321"/>
      <c r="AP53" s="1321"/>
      <c r="AQ53" s="1321"/>
      <c r="AR53" s="1321"/>
      <c r="AS53" s="1321"/>
      <c r="AT53" s="1321"/>
      <c r="AU53" s="1321"/>
      <c r="AV53" s="1321"/>
      <c r="AW53" s="1321"/>
      <c r="AX53" s="1321"/>
      <c r="AY53" s="1321"/>
      <c r="AZ53" s="1321"/>
      <c r="BA53" s="1321"/>
      <c r="BB53" s="1321"/>
      <c r="BC53" s="1321"/>
      <c r="BD53" s="1321"/>
      <c r="BE53" s="1321"/>
      <c r="BF53" s="1321"/>
      <c r="BG53" s="1321"/>
      <c r="BH53" s="1321"/>
      <c r="BI53" s="1321"/>
      <c r="BJ53" s="1321"/>
      <c r="BK53" s="1321"/>
      <c r="BL53" s="1321"/>
      <c r="BM53" s="1321"/>
      <c r="BN53" s="1321"/>
      <c r="BO53" s="1321"/>
      <c r="BP53" s="1321"/>
      <c r="BQ53" s="1321"/>
      <c r="BR53" s="1321"/>
      <c r="BS53" s="1321"/>
      <c r="BT53" s="1321"/>
      <c r="BU53" s="1321"/>
      <c r="BV53" s="1321"/>
      <c r="BW53" s="1321"/>
      <c r="BX53" s="1321"/>
      <c r="BY53" s="1321"/>
      <c r="BZ53" s="1321"/>
      <c r="CA53" s="1321"/>
      <c r="CB53" s="1321"/>
      <c r="CC53" s="1321"/>
      <c r="CD53" s="1321"/>
      <c r="CE53" s="1321"/>
      <c r="CF53" s="1321"/>
      <c r="CG53" s="1321"/>
      <c r="CH53" s="1321"/>
      <c r="CI53" s="1321"/>
      <c r="CJ53" s="1321"/>
      <c r="CK53" s="1321"/>
      <c r="CL53" s="1321"/>
      <c r="CM53" s="1321"/>
      <c r="CN53" s="1321"/>
      <c r="CO53" s="1321"/>
      <c r="CP53" s="1321"/>
      <c r="CQ53" s="1321"/>
      <c r="CR53" s="1321"/>
      <c r="CS53" s="1321"/>
      <c r="CT53" s="1321"/>
      <c r="CU53" s="1321"/>
      <c r="CV53" s="1321"/>
      <c r="CW53" s="1321"/>
      <c r="CX53" s="1321"/>
      <c r="CY53" s="1321"/>
      <c r="CZ53" s="1321"/>
      <c r="DA53" s="1321"/>
      <c r="DB53" s="1321"/>
      <c r="DC53" s="1321"/>
      <c r="DD53" s="1321"/>
      <c r="DE53" s="1321"/>
      <c r="DF53" s="1321"/>
      <c r="DG53" s="1321"/>
      <c r="DH53" s="1321"/>
      <c r="DI53" s="1321"/>
      <c r="DJ53" s="1321"/>
      <c r="DK53" s="1321"/>
      <c r="DL53" s="1321"/>
      <c r="DM53" s="1321"/>
      <c r="DN53" s="1321"/>
      <c r="DO53" s="1321"/>
      <c r="DP53" s="1321"/>
      <c r="DQ53" s="1321"/>
      <c r="DR53" s="1321"/>
      <c r="DS53" s="1321"/>
      <c r="DT53" s="1321"/>
      <c r="DU53" s="1321"/>
      <c r="DV53" s="1321"/>
      <c r="DW53" s="1321"/>
      <c r="DX53" s="1321"/>
      <c r="DY53" s="1321"/>
      <c r="DZ53" s="1321"/>
      <c r="EA53" s="1321"/>
      <c r="EB53" s="1321"/>
      <c r="EC53" s="1321"/>
      <c r="ED53" s="1321"/>
      <c r="EE53" s="1321"/>
      <c r="EF53" s="1321"/>
      <c r="EG53" s="1321"/>
      <c r="EH53" s="1321"/>
      <c r="EI53" s="1321"/>
      <c r="EJ53" s="1321"/>
      <c r="EK53" s="1321"/>
      <c r="EL53" s="1321"/>
      <c r="EM53" s="1321"/>
      <c r="EN53" s="1321"/>
      <c r="EO53" s="1321"/>
      <c r="EP53" s="1321"/>
      <c r="EQ53" s="1321"/>
      <c r="ER53" s="1321"/>
      <c r="ES53" s="1321"/>
      <c r="ET53" s="1321"/>
      <c r="EU53" s="1321"/>
      <c r="EV53" s="1321"/>
      <c r="EW53" s="1321"/>
      <c r="EX53" s="1321"/>
      <c r="EY53" s="1321"/>
      <c r="EZ53" s="1321"/>
      <c r="FA53" s="1321"/>
      <c r="FB53" s="1321"/>
    </row>
    <row r="54" spans="1:158">
      <c r="A54" s="118" t="s">
        <v>1548</v>
      </c>
      <c r="B54" s="596">
        <f t="shared" ref="B54:E54" si="5">1-SUM(B52:B53)</f>
        <v>1</v>
      </c>
      <c r="C54" s="596">
        <f t="shared" si="5"/>
        <v>1</v>
      </c>
      <c r="D54" s="596">
        <f t="shared" si="5"/>
        <v>1</v>
      </c>
      <c r="E54" s="596">
        <f t="shared" si="5"/>
        <v>1</v>
      </c>
      <c r="F54" s="1123">
        <f t="shared" ref="F54:G54" si="6">1-SUM(F52:F53)</f>
        <v>1</v>
      </c>
      <c r="G54" s="1123">
        <f t="shared" si="6"/>
        <v>1</v>
      </c>
      <c r="H54" s="1123">
        <f t="shared" ref="H54:I54" si="7">1-SUM(H52:H53)</f>
        <v>1</v>
      </c>
      <c r="I54" s="1123">
        <f t="shared" si="7"/>
        <v>1</v>
      </c>
      <c r="J54" s="1123">
        <f t="shared" ref="J54:W54" si="8">1-SUM(J52:J53)</f>
        <v>1</v>
      </c>
      <c r="K54" s="1123">
        <f t="shared" si="8"/>
        <v>1</v>
      </c>
      <c r="L54" s="1123">
        <f t="shared" si="8"/>
        <v>1</v>
      </c>
      <c r="M54" s="1123">
        <f t="shared" si="8"/>
        <v>1</v>
      </c>
      <c r="N54" s="1123">
        <f t="shared" si="8"/>
        <v>1</v>
      </c>
      <c r="O54" s="1123">
        <f t="shared" si="8"/>
        <v>1</v>
      </c>
      <c r="P54" s="596">
        <f t="shared" si="8"/>
        <v>1</v>
      </c>
      <c r="Q54" s="596">
        <f t="shared" si="8"/>
        <v>1</v>
      </c>
      <c r="R54" s="596">
        <f t="shared" si="8"/>
        <v>1</v>
      </c>
      <c r="S54" s="596">
        <f t="shared" si="8"/>
        <v>1</v>
      </c>
      <c r="T54" s="596">
        <f t="shared" si="8"/>
        <v>1</v>
      </c>
      <c r="U54" s="596">
        <f t="shared" si="8"/>
        <v>1</v>
      </c>
      <c r="V54" s="596">
        <f t="shared" si="8"/>
        <v>1</v>
      </c>
      <c r="W54" s="596">
        <f t="shared" si="8"/>
        <v>0</v>
      </c>
      <c r="X54" s="596">
        <f t="shared" ref="X54:AD54" si="9">1-SUM(X52:X53)</f>
        <v>1</v>
      </c>
      <c r="Y54" s="596">
        <f t="shared" si="9"/>
        <v>1</v>
      </c>
      <c r="Z54" s="596">
        <f t="shared" si="9"/>
        <v>1</v>
      </c>
      <c r="AA54" s="1073">
        <f t="shared" si="9"/>
        <v>1</v>
      </c>
      <c r="AB54" s="1073">
        <f t="shared" si="9"/>
        <v>1</v>
      </c>
      <c r="AC54" s="1073">
        <f t="shared" si="9"/>
        <v>1</v>
      </c>
      <c r="AD54" s="1073">
        <f t="shared" si="9"/>
        <v>1</v>
      </c>
      <c r="AE54" s="1073">
        <v>1</v>
      </c>
      <c r="AF54" s="1321"/>
      <c r="AG54" s="1321"/>
      <c r="AH54" s="1321"/>
      <c r="AI54" s="1321"/>
      <c r="AJ54" s="1321"/>
      <c r="AK54" s="1321"/>
      <c r="AL54" s="1321"/>
      <c r="AM54" s="1321"/>
      <c r="AN54" s="1321"/>
      <c r="AO54" s="1321"/>
      <c r="AP54" s="1321"/>
      <c r="AQ54" s="1321"/>
      <c r="AR54" s="1321"/>
      <c r="AS54" s="1321"/>
      <c r="AT54" s="1321"/>
      <c r="AU54" s="1321"/>
      <c r="AV54" s="1321"/>
      <c r="AW54" s="1321"/>
      <c r="AX54" s="1321"/>
      <c r="AY54" s="1321"/>
      <c r="AZ54" s="1321"/>
      <c r="BA54" s="1321"/>
      <c r="BB54" s="1321"/>
      <c r="BC54" s="1321"/>
      <c r="BD54" s="1321"/>
      <c r="BE54" s="1321"/>
      <c r="BF54" s="1321"/>
      <c r="BG54" s="1321"/>
      <c r="BH54" s="1321"/>
      <c r="BI54" s="1321"/>
      <c r="BJ54" s="1321"/>
      <c r="BK54" s="1321"/>
      <c r="BL54" s="1321"/>
      <c r="BM54" s="1321"/>
      <c r="BN54" s="1321"/>
      <c r="BO54" s="1321"/>
      <c r="BP54" s="1321"/>
      <c r="BQ54" s="1321"/>
      <c r="BR54" s="1321"/>
      <c r="BS54" s="1321"/>
      <c r="BT54" s="1321"/>
      <c r="BU54" s="1321"/>
      <c r="BV54" s="1321"/>
      <c r="BW54" s="1321"/>
      <c r="BX54" s="1321"/>
      <c r="BY54" s="1321"/>
      <c r="BZ54" s="1321"/>
      <c r="CA54" s="1321"/>
      <c r="CB54" s="1321"/>
      <c r="CC54" s="1321"/>
      <c r="CD54" s="1321"/>
      <c r="CE54" s="1321"/>
      <c r="CF54" s="1321"/>
      <c r="CG54" s="1321"/>
      <c r="CH54" s="1321"/>
      <c r="CI54" s="1321"/>
      <c r="CJ54" s="1321"/>
      <c r="CK54" s="1321"/>
      <c r="CL54" s="1321"/>
      <c r="CM54" s="1321"/>
      <c r="CN54" s="1321"/>
      <c r="CO54" s="1321"/>
      <c r="CP54" s="1321"/>
      <c r="CQ54" s="1321"/>
      <c r="CR54" s="1321"/>
      <c r="CS54" s="1321"/>
      <c r="CT54" s="1321"/>
      <c r="CU54" s="1321"/>
      <c r="CV54" s="1321"/>
      <c r="CW54" s="1321"/>
      <c r="CX54" s="1321"/>
      <c r="CY54" s="1321"/>
      <c r="CZ54" s="1321"/>
      <c r="DA54" s="1321"/>
      <c r="DB54" s="1321"/>
      <c r="DC54" s="1321"/>
      <c r="DD54" s="1321"/>
      <c r="DE54" s="1321"/>
      <c r="DF54" s="1321"/>
      <c r="DG54" s="1321"/>
      <c r="DH54" s="1321"/>
      <c r="DI54" s="1321"/>
      <c r="DJ54" s="1321"/>
      <c r="DK54" s="1321"/>
      <c r="DL54" s="1321"/>
      <c r="DM54" s="1321"/>
      <c r="DN54" s="1321"/>
      <c r="DO54" s="1321"/>
      <c r="DP54" s="1321"/>
      <c r="DQ54" s="1321"/>
      <c r="DR54" s="1321"/>
      <c r="DS54" s="1321"/>
      <c r="DT54" s="1321"/>
      <c r="DU54" s="1321"/>
      <c r="DV54" s="1321"/>
      <c r="DW54" s="1321"/>
      <c r="DX54" s="1321"/>
      <c r="DY54" s="1321"/>
      <c r="DZ54" s="1321"/>
      <c r="EA54" s="1321"/>
      <c r="EB54" s="1321"/>
      <c r="EC54" s="1321"/>
      <c r="ED54" s="1321"/>
      <c r="EE54" s="1321"/>
      <c r="EF54" s="1321"/>
      <c r="EG54" s="1321"/>
      <c r="EH54" s="1321"/>
      <c r="EI54" s="1321"/>
      <c r="EJ54" s="1321"/>
      <c r="EK54" s="1321"/>
      <c r="EL54" s="1321"/>
      <c r="EM54" s="1321"/>
      <c r="EN54" s="1321"/>
      <c r="EO54" s="1321"/>
      <c r="EP54" s="1321"/>
      <c r="EQ54" s="1321"/>
      <c r="ER54" s="1321"/>
      <c r="ES54" s="1321"/>
      <c r="ET54" s="1321"/>
      <c r="EU54" s="1321"/>
      <c r="EV54" s="1321"/>
      <c r="EW54" s="1321"/>
      <c r="EX54" s="1321"/>
      <c r="EY54" s="1321"/>
      <c r="EZ54" s="1321"/>
      <c r="FA54" s="1321"/>
      <c r="FB54" s="1321"/>
    </row>
    <row r="55" spans="1:158">
      <c r="A55" s="59" t="s">
        <v>1549</v>
      </c>
      <c r="B55" s="594">
        <v>1</v>
      </c>
      <c r="C55" s="594">
        <v>1</v>
      </c>
      <c r="D55" s="594">
        <v>0</v>
      </c>
      <c r="E55" s="594">
        <v>1</v>
      </c>
      <c r="F55" s="1121">
        <v>0</v>
      </c>
      <c r="G55" s="1121">
        <v>1</v>
      </c>
      <c r="H55" s="1121">
        <v>0</v>
      </c>
      <c r="I55" s="1121">
        <v>1</v>
      </c>
      <c r="J55" s="1121">
        <v>0</v>
      </c>
      <c r="K55" s="1121">
        <v>1</v>
      </c>
      <c r="L55" s="1121">
        <v>0</v>
      </c>
      <c r="M55" s="1121">
        <v>1</v>
      </c>
      <c r="N55" s="1121">
        <v>0</v>
      </c>
      <c r="O55" s="1121">
        <v>1</v>
      </c>
      <c r="P55" s="594">
        <v>1</v>
      </c>
      <c r="Q55" s="594">
        <v>1</v>
      </c>
      <c r="R55" s="594">
        <v>1</v>
      </c>
      <c r="S55" s="594">
        <v>1</v>
      </c>
      <c r="T55" s="594">
        <v>1</v>
      </c>
      <c r="U55" s="594">
        <v>1</v>
      </c>
      <c r="V55" s="594">
        <v>1</v>
      </c>
      <c r="W55" s="594">
        <v>1</v>
      </c>
      <c r="X55" s="594">
        <v>1</v>
      </c>
      <c r="Y55" s="594">
        <v>1</v>
      </c>
      <c r="Z55" s="594">
        <v>1</v>
      </c>
      <c r="AA55" s="1071">
        <v>1</v>
      </c>
      <c r="AB55" s="1071">
        <v>1</v>
      </c>
      <c r="AC55" s="1071">
        <v>0</v>
      </c>
      <c r="AD55" s="1071">
        <v>1</v>
      </c>
      <c r="AE55" s="1071">
        <v>1</v>
      </c>
      <c r="AF55" s="1321"/>
      <c r="AG55" s="1321"/>
      <c r="AH55" s="1321"/>
      <c r="AI55" s="1321"/>
      <c r="AJ55" s="1321"/>
      <c r="AK55" s="1321"/>
      <c r="AL55" s="1321"/>
      <c r="AM55" s="1321"/>
      <c r="AN55" s="1321"/>
      <c r="AO55" s="1321"/>
      <c r="AP55" s="1321"/>
      <c r="AQ55" s="1321"/>
      <c r="AR55" s="1321"/>
      <c r="AS55" s="1321"/>
      <c r="AT55" s="1321"/>
      <c r="AU55" s="1321"/>
      <c r="AV55" s="1321"/>
      <c r="AW55" s="1321"/>
      <c r="AX55" s="1321"/>
      <c r="AY55" s="1321"/>
      <c r="AZ55" s="1321"/>
      <c r="BA55" s="1321"/>
      <c r="BB55" s="1321"/>
      <c r="BC55" s="1321"/>
      <c r="BD55" s="1321"/>
      <c r="BE55" s="1321"/>
      <c r="BF55" s="1321"/>
      <c r="BG55" s="1321"/>
      <c r="BH55" s="1321"/>
      <c r="BI55" s="1321"/>
      <c r="BJ55" s="1321"/>
      <c r="BK55" s="1321"/>
      <c r="BL55" s="1321"/>
      <c r="BM55" s="1321"/>
      <c r="BN55" s="1321"/>
      <c r="BO55" s="1321"/>
      <c r="BP55" s="1321"/>
      <c r="BQ55" s="1321"/>
      <c r="BR55" s="1321"/>
      <c r="BS55" s="1321"/>
      <c r="BT55" s="1321"/>
      <c r="BU55" s="1321"/>
      <c r="BV55" s="1321"/>
      <c r="BW55" s="1321"/>
      <c r="BX55" s="1321"/>
      <c r="BY55" s="1321"/>
      <c r="BZ55" s="1321"/>
      <c r="CA55" s="1321"/>
      <c r="CB55" s="1321"/>
      <c r="CC55" s="1321"/>
      <c r="CD55" s="1321"/>
      <c r="CE55" s="1321"/>
      <c r="CF55" s="1321"/>
      <c r="CG55" s="1321"/>
      <c r="CH55" s="1321"/>
      <c r="CI55" s="1321"/>
      <c r="CJ55" s="1321"/>
      <c r="CK55" s="1321"/>
      <c r="CL55" s="1321"/>
      <c r="CM55" s="1321"/>
      <c r="CN55" s="1321"/>
      <c r="CO55" s="1321"/>
      <c r="CP55" s="1321"/>
      <c r="CQ55" s="1321"/>
      <c r="CR55" s="1321"/>
      <c r="CS55" s="1321"/>
      <c r="CT55" s="1321"/>
      <c r="CU55" s="1321"/>
      <c r="CV55" s="1321"/>
      <c r="CW55" s="1321"/>
      <c r="CX55" s="1321"/>
      <c r="CY55" s="1321"/>
      <c r="CZ55" s="1321"/>
      <c r="DA55" s="1321"/>
      <c r="DB55" s="1321"/>
      <c r="DC55" s="1321"/>
      <c r="DD55" s="1321"/>
      <c r="DE55" s="1321"/>
      <c r="DF55" s="1321"/>
      <c r="DG55" s="1321"/>
      <c r="DH55" s="1321"/>
      <c r="DI55" s="1321"/>
      <c r="DJ55" s="1321"/>
      <c r="DK55" s="1321"/>
      <c r="DL55" s="1321"/>
      <c r="DM55" s="1321"/>
      <c r="DN55" s="1321"/>
      <c r="DO55" s="1321"/>
      <c r="DP55" s="1321"/>
      <c r="DQ55" s="1321"/>
      <c r="DR55" s="1321"/>
      <c r="DS55" s="1321"/>
      <c r="DT55" s="1321"/>
      <c r="DU55" s="1321"/>
      <c r="DV55" s="1321"/>
      <c r="DW55" s="1321"/>
      <c r="DX55" s="1321"/>
      <c r="DY55" s="1321"/>
      <c r="DZ55" s="1321"/>
      <c r="EA55" s="1321"/>
      <c r="EB55" s="1321"/>
      <c r="EC55" s="1321"/>
      <c r="ED55" s="1321"/>
      <c r="EE55" s="1321"/>
      <c r="EF55" s="1321"/>
      <c r="EG55" s="1321"/>
      <c r="EH55" s="1321"/>
      <c r="EI55" s="1321"/>
      <c r="EJ55" s="1321"/>
      <c r="EK55" s="1321"/>
      <c r="EL55" s="1321"/>
      <c r="EM55" s="1321"/>
      <c r="EN55" s="1321"/>
      <c r="EO55" s="1321"/>
      <c r="EP55" s="1321"/>
      <c r="EQ55" s="1321"/>
      <c r="ER55" s="1321"/>
      <c r="ES55" s="1321"/>
      <c r="ET55" s="1321"/>
      <c r="EU55" s="1321"/>
      <c r="EV55" s="1321"/>
      <c r="EW55" s="1321"/>
      <c r="EX55" s="1321"/>
      <c r="EY55" s="1321"/>
      <c r="EZ55" s="1321"/>
      <c r="FA55" s="1321"/>
      <c r="FB55" s="1321"/>
    </row>
    <row r="56" spans="1:158">
      <c r="A56" s="1299" t="s">
        <v>1550</v>
      </c>
      <c r="B56" s="1720">
        <v>1</v>
      </c>
      <c r="C56" s="1720">
        <v>1</v>
      </c>
      <c r="D56" s="1720">
        <v>0</v>
      </c>
      <c r="E56" s="1720">
        <v>1</v>
      </c>
      <c r="F56" s="1721">
        <v>0</v>
      </c>
      <c r="G56" s="1721">
        <v>1</v>
      </c>
      <c r="H56" s="1721">
        <v>0</v>
      </c>
      <c r="I56" s="1721">
        <v>1</v>
      </c>
      <c r="J56" s="1721">
        <v>0</v>
      </c>
      <c r="K56" s="1721">
        <v>1</v>
      </c>
      <c r="L56" s="1721">
        <v>0</v>
      </c>
      <c r="M56" s="1721">
        <v>1</v>
      </c>
      <c r="N56" s="1721">
        <v>0</v>
      </c>
      <c r="O56" s="1721">
        <v>1</v>
      </c>
      <c r="P56" s="1720">
        <v>1</v>
      </c>
      <c r="Q56" s="1720">
        <v>1</v>
      </c>
      <c r="R56" s="1720">
        <v>1</v>
      </c>
      <c r="S56" s="1720">
        <v>1</v>
      </c>
      <c r="T56" s="1720">
        <v>1</v>
      </c>
      <c r="U56" s="1720">
        <v>1</v>
      </c>
      <c r="V56" s="1720">
        <v>1</v>
      </c>
      <c r="W56" s="1720">
        <v>1</v>
      </c>
      <c r="X56" s="1720">
        <v>1</v>
      </c>
      <c r="Y56" s="1720">
        <v>1</v>
      </c>
      <c r="Z56" s="1720">
        <v>1</v>
      </c>
      <c r="AA56" s="1722">
        <v>1</v>
      </c>
      <c r="AB56" s="1722">
        <v>1</v>
      </c>
      <c r="AC56" s="1722">
        <v>0</v>
      </c>
      <c r="AD56" s="1722">
        <v>1</v>
      </c>
      <c r="AE56" s="1722">
        <v>1</v>
      </c>
      <c r="AF56" s="1321"/>
      <c r="AG56" s="1321"/>
      <c r="AH56" s="1321"/>
      <c r="AI56" s="1321"/>
      <c r="AJ56" s="1321"/>
      <c r="AK56" s="1321"/>
      <c r="AL56" s="1321"/>
      <c r="AM56" s="1321"/>
      <c r="AN56" s="1321"/>
      <c r="AO56" s="1321"/>
      <c r="AP56" s="1321"/>
      <c r="AQ56" s="1321"/>
      <c r="AR56" s="1321"/>
      <c r="AS56" s="1321"/>
      <c r="AT56" s="1321"/>
      <c r="AU56" s="1321"/>
      <c r="AV56" s="1321"/>
      <c r="AW56" s="1321"/>
      <c r="AX56" s="1321"/>
      <c r="AY56" s="1321"/>
      <c r="AZ56" s="1321"/>
      <c r="BA56" s="1321"/>
      <c r="BB56" s="1321"/>
      <c r="BC56" s="1321"/>
      <c r="BD56" s="1321"/>
      <c r="BE56" s="1321"/>
      <c r="BF56" s="1321"/>
      <c r="BG56" s="1321"/>
      <c r="BH56" s="1321"/>
      <c r="BI56" s="1321"/>
      <c r="BJ56" s="1321"/>
      <c r="BK56" s="1321"/>
      <c r="BL56" s="1321"/>
      <c r="BM56" s="1321"/>
      <c r="BN56" s="1321"/>
      <c r="BO56" s="1321"/>
      <c r="BP56" s="1321"/>
      <c r="BQ56" s="1321"/>
      <c r="BR56" s="1321"/>
      <c r="BS56" s="1321"/>
      <c r="BT56" s="1321"/>
      <c r="BU56" s="1321"/>
      <c r="BV56" s="1321"/>
      <c r="BW56" s="1321"/>
      <c r="BX56" s="1321"/>
      <c r="BY56" s="1321"/>
      <c r="BZ56" s="1321"/>
      <c r="CA56" s="1321"/>
      <c r="CB56" s="1321"/>
      <c r="CC56" s="1321"/>
      <c r="CD56" s="1321"/>
      <c r="CE56" s="1321"/>
      <c r="CF56" s="1321"/>
      <c r="CG56" s="1321"/>
      <c r="CH56" s="1321"/>
      <c r="CI56" s="1321"/>
      <c r="CJ56" s="1321"/>
      <c r="CK56" s="1321"/>
      <c r="CL56" s="1321"/>
      <c r="CM56" s="1321"/>
      <c r="CN56" s="1321"/>
      <c r="CO56" s="1321"/>
      <c r="CP56" s="1321"/>
      <c r="CQ56" s="1321"/>
      <c r="CR56" s="1321"/>
      <c r="CS56" s="1321"/>
      <c r="CT56" s="1321"/>
      <c r="CU56" s="1321"/>
      <c r="CV56" s="1321"/>
      <c r="CW56" s="1321"/>
      <c r="CX56" s="1321"/>
      <c r="CY56" s="1321"/>
      <c r="CZ56" s="1321"/>
      <c r="DA56" s="1321"/>
      <c r="DB56" s="1321"/>
      <c r="DC56" s="1321"/>
      <c r="DD56" s="1321"/>
      <c r="DE56" s="1321"/>
      <c r="DF56" s="1321"/>
      <c r="DG56" s="1321"/>
      <c r="DH56" s="1321"/>
      <c r="DI56" s="1321"/>
      <c r="DJ56" s="1321"/>
      <c r="DK56" s="1321"/>
      <c r="DL56" s="1321"/>
      <c r="DM56" s="1321"/>
      <c r="DN56" s="1321"/>
      <c r="DO56" s="1321"/>
      <c r="DP56" s="1321"/>
      <c r="DQ56" s="1321"/>
      <c r="DR56" s="1321"/>
      <c r="DS56" s="1321"/>
      <c r="DT56" s="1321"/>
      <c r="DU56" s="1321"/>
      <c r="DV56" s="1321"/>
      <c r="DW56" s="1321"/>
      <c r="DX56" s="1321"/>
      <c r="DY56" s="1321"/>
      <c r="DZ56" s="1321"/>
      <c r="EA56" s="1321"/>
      <c r="EB56" s="1321"/>
      <c r="EC56" s="1321"/>
      <c r="ED56" s="1321"/>
      <c r="EE56" s="1321"/>
      <c r="EF56" s="1321"/>
      <c r="EG56" s="1321"/>
      <c r="EH56" s="1321"/>
      <c r="EI56" s="1321"/>
      <c r="EJ56" s="1321"/>
      <c r="EK56" s="1321"/>
      <c r="EL56" s="1321"/>
      <c r="EM56" s="1321"/>
      <c r="EN56" s="1321"/>
      <c r="EO56" s="1321"/>
      <c r="EP56" s="1321"/>
      <c r="EQ56" s="1321"/>
      <c r="ER56" s="1321"/>
      <c r="ES56" s="1321"/>
      <c r="ET56" s="1321"/>
      <c r="EU56" s="1321"/>
      <c r="EV56" s="1321"/>
      <c r="EW56" s="1321"/>
      <c r="EX56" s="1321"/>
      <c r="EY56" s="1321"/>
      <c r="EZ56" s="1321"/>
      <c r="FA56" s="1321"/>
      <c r="FB56" s="1321"/>
    </row>
    <row r="57" spans="1:158">
      <c r="A57" s="59" t="s">
        <v>1551</v>
      </c>
      <c r="B57" s="594">
        <v>1</v>
      </c>
      <c r="C57" s="594">
        <v>1</v>
      </c>
      <c r="D57" s="1121">
        <v>1</v>
      </c>
      <c r="E57" s="594">
        <v>1</v>
      </c>
      <c r="F57" s="1121">
        <v>1</v>
      </c>
      <c r="G57" s="1121">
        <v>1</v>
      </c>
      <c r="H57" s="1121">
        <v>1</v>
      </c>
      <c r="I57" s="1121">
        <v>1</v>
      </c>
      <c r="J57" s="1121">
        <v>1</v>
      </c>
      <c r="K57" s="1121">
        <v>1</v>
      </c>
      <c r="L57" s="1121">
        <v>1</v>
      </c>
      <c r="M57" s="1121">
        <v>1</v>
      </c>
      <c r="N57" s="1121">
        <v>1</v>
      </c>
      <c r="O57" s="1121">
        <v>1</v>
      </c>
      <c r="P57" s="594">
        <v>1</v>
      </c>
      <c r="Q57" s="594">
        <v>5.9608248474117012E-2</v>
      </c>
      <c r="R57" s="594">
        <v>0</v>
      </c>
      <c r="S57" s="594">
        <v>1</v>
      </c>
      <c r="T57" s="594">
        <v>1</v>
      </c>
      <c r="U57" s="594">
        <v>1</v>
      </c>
      <c r="V57" s="594">
        <v>1</v>
      </c>
      <c r="W57" s="594">
        <v>0</v>
      </c>
      <c r="X57" s="594">
        <v>1</v>
      </c>
      <c r="Y57" s="594">
        <v>1</v>
      </c>
      <c r="Z57" s="594">
        <v>1</v>
      </c>
      <c r="AA57" s="1071">
        <v>1</v>
      </c>
      <c r="AB57" s="1071">
        <v>1</v>
      </c>
      <c r="AC57" s="1121">
        <v>1</v>
      </c>
      <c r="AD57" s="1071">
        <v>1</v>
      </c>
      <c r="AE57" s="1071">
        <v>1</v>
      </c>
      <c r="AF57" s="1321"/>
      <c r="AG57" s="1321"/>
      <c r="AH57" s="1321"/>
      <c r="AI57" s="1321"/>
      <c r="AJ57" s="1321"/>
      <c r="AK57" s="1321"/>
      <c r="AL57" s="1321"/>
      <c r="AM57" s="1321"/>
      <c r="AN57" s="1321"/>
      <c r="AO57" s="1321"/>
      <c r="AP57" s="1321"/>
      <c r="AQ57" s="1321"/>
      <c r="AR57" s="1321"/>
      <c r="AS57" s="1321"/>
      <c r="AT57" s="1321"/>
      <c r="AU57" s="1321"/>
      <c r="AV57" s="1321"/>
      <c r="AW57" s="1321"/>
      <c r="AX57" s="1321"/>
      <c r="AY57" s="1321"/>
      <c r="AZ57" s="1321"/>
      <c r="BA57" s="1321"/>
      <c r="BB57" s="1321"/>
      <c r="BC57" s="1321"/>
      <c r="BD57" s="1321"/>
      <c r="BE57" s="1321"/>
      <c r="BF57" s="1321"/>
      <c r="BG57" s="1321"/>
      <c r="BH57" s="1321"/>
      <c r="BI57" s="1321"/>
      <c r="BJ57" s="1321"/>
      <c r="BK57" s="1321"/>
      <c r="BL57" s="1321"/>
      <c r="BM57" s="1321"/>
      <c r="BN57" s="1321"/>
      <c r="BO57" s="1321"/>
      <c r="BP57" s="1321"/>
      <c r="BQ57" s="1321"/>
      <c r="BR57" s="1321"/>
      <c r="BS57" s="1321"/>
      <c r="BT57" s="1321"/>
      <c r="BU57" s="1321"/>
      <c r="BV57" s="1321"/>
      <c r="BW57" s="1321"/>
      <c r="BX57" s="1321"/>
      <c r="BY57" s="1321"/>
      <c r="BZ57" s="1321"/>
      <c r="CA57" s="1321"/>
      <c r="CB57" s="1321"/>
      <c r="CC57" s="1321"/>
      <c r="CD57" s="1321"/>
      <c r="CE57" s="1321"/>
      <c r="CF57" s="1321"/>
      <c r="CG57" s="1321"/>
      <c r="CH57" s="1321"/>
      <c r="CI57" s="1321"/>
      <c r="CJ57" s="1321"/>
      <c r="CK57" s="1321"/>
      <c r="CL57" s="1321"/>
      <c r="CM57" s="1321"/>
      <c r="CN57" s="1321"/>
      <c r="CO57" s="1321"/>
      <c r="CP57" s="1321"/>
      <c r="CQ57" s="1321"/>
      <c r="CR57" s="1321"/>
      <c r="CS57" s="1321"/>
      <c r="CT57" s="1321"/>
      <c r="CU57" s="1321"/>
      <c r="CV57" s="1321"/>
      <c r="CW57" s="1321"/>
      <c r="CX57" s="1321"/>
      <c r="CY57" s="1321"/>
      <c r="CZ57" s="1321"/>
      <c r="DA57" s="1321"/>
      <c r="DB57" s="1321"/>
      <c r="DC57" s="1321"/>
      <c r="DD57" s="1321"/>
      <c r="DE57" s="1321"/>
      <c r="DF57" s="1321"/>
      <c r="DG57" s="1321"/>
      <c r="DH57" s="1321"/>
      <c r="DI57" s="1321"/>
      <c r="DJ57" s="1321"/>
      <c r="DK57" s="1321"/>
      <c r="DL57" s="1321"/>
      <c r="DM57" s="1321"/>
      <c r="DN57" s="1321"/>
      <c r="DO57" s="1321"/>
      <c r="DP57" s="1321"/>
      <c r="DQ57" s="1321"/>
      <c r="DR57" s="1321"/>
      <c r="DS57" s="1321"/>
      <c r="DT57" s="1321"/>
      <c r="DU57" s="1321"/>
      <c r="DV57" s="1321"/>
      <c r="DW57" s="1321"/>
      <c r="DX57" s="1321"/>
      <c r="DY57" s="1321"/>
      <c r="DZ57" s="1321"/>
      <c r="EA57" s="1321"/>
      <c r="EB57" s="1321"/>
      <c r="EC57" s="1321"/>
      <c r="ED57" s="1321"/>
      <c r="EE57" s="1321"/>
      <c r="EF57" s="1321"/>
      <c r="EG57" s="1321"/>
      <c r="EH57" s="1321"/>
      <c r="EI57" s="1321"/>
      <c r="EJ57" s="1321"/>
      <c r="EK57" s="1321"/>
      <c r="EL57" s="1321"/>
      <c r="EM57" s="1321"/>
      <c r="EN57" s="1321"/>
      <c r="EO57" s="1321"/>
      <c r="EP57" s="1321"/>
      <c r="EQ57" s="1321"/>
      <c r="ER57" s="1321"/>
      <c r="ES57" s="1321"/>
      <c r="ET57" s="1321"/>
      <c r="EU57" s="1321"/>
      <c r="EV57" s="1321"/>
      <c r="EW57" s="1321"/>
      <c r="EX57" s="1321"/>
      <c r="EY57" s="1321"/>
      <c r="EZ57" s="1321"/>
      <c r="FA57" s="1321"/>
      <c r="FB57" s="1321"/>
    </row>
    <row r="58" spans="1:158">
      <c r="A58" s="59" t="s">
        <v>1042</v>
      </c>
      <c r="B58" s="594">
        <v>0</v>
      </c>
      <c r="C58" s="594">
        <v>0</v>
      </c>
      <c r="D58" s="1121">
        <v>0</v>
      </c>
      <c r="E58" s="594">
        <v>0</v>
      </c>
      <c r="F58" s="1121">
        <v>0</v>
      </c>
      <c r="G58" s="1121">
        <v>0</v>
      </c>
      <c r="H58" s="1121">
        <v>0</v>
      </c>
      <c r="I58" s="1121">
        <v>0</v>
      </c>
      <c r="J58" s="1121">
        <v>0</v>
      </c>
      <c r="K58" s="1121">
        <v>0</v>
      </c>
      <c r="L58" s="1121">
        <v>0</v>
      </c>
      <c r="M58" s="1121">
        <v>0</v>
      </c>
      <c r="N58" s="1121">
        <v>0</v>
      </c>
      <c r="O58" s="1121">
        <v>0</v>
      </c>
      <c r="P58" s="594">
        <v>0</v>
      </c>
      <c r="Q58" s="594">
        <v>0</v>
      </c>
      <c r="R58" s="594">
        <v>0</v>
      </c>
      <c r="S58" s="594">
        <v>0</v>
      </c>
      <c r="T58" s="594">
        <v>0</v>
      </c>
      <c r="U58" s="594">
        <v>0</v>
      </c>
      <c r="V58" s="594">
        <v>0</v>
      </c>
      <c r="W58" s="594">
        <v>0</v>
      </c>
      <c r="X58" s="594">
        <v>0</v>
      </c>
      <c r="Y58" s="594">
        <v>0</v>
      </c>
      <c r="Z58" s="594">
        <v>0</v>
      </c>
      <c r="AA58" s="1071">
        <v>0</v>
      </c>
      <c r="AB58" s="1071">
        <v>0</v>
      </c>
      <c r="AC58" s="1121">
        <v>0</v>
      </c>
      <c r="AD58" s="1071">
        <v>0</v>
      </c>
      <c r="AE58" s="1071">
        <v>0</v>
      </c>
      <c r="AF58" s="1321"/>
      <c r="AG58" s="1321"/>
      <c r="AH58" s="1321"/>
      <c r="AI58" s="1321"/>
      <c r="AJ58" s="1321"/>
      <c r="AK58" s="1321"/>
      <c r="AL58" s="1321"/>
      <c r="AM58" s="1321"/>
      <c r="AN58" s="1321"/>
      <c r="AO58" s="1321"/>
      <c r="AP58" s="1321"/>
      <c r="AQ58" s="1321"/>
      <c r="AR58" s="1321"/>
      <c r="AS58" s="1321"/>
      <c r="AT58" s="1321"/>
      <c r="AU58" s="1321"/>
      <c r="AV58" s="1321"/>
      <c r="AW58" s="1321"/>
      <c r="AX58" s="1321"/>
      <c r="AY58" s="1321"/>
      <c r="AZ58" s="1321"/>
      <c r="BA58" s="1321"/>
      <c r="BB58" s="1321"/>
      <c r="BC58" s="1321"/>
      <c r="BD58" s="1321"/>
      <c r="BE58" s="1321"/>
      <c r="BF58" s="1321"/>
      <c r="BG58" s="1321"/>
      <c r="BH58" s="1321"/>
      <c r="BI58" s="1321"/>
      <c r="BJ58" s="1321"/>
      <c r="BK58" s="1321"/>
      <c r="BL58" s="1321"/>
      <c r="BM58" s="1321"/>
      <c r="BN58" s="1321"/>
      <c r="BO58" s="1321"/>
      <c r="BP58" s="1321"/>
      <c r="BQ58" s="1321"/>
      <c r="BR58" s="1321"/>
      <c r="BS58" s="1321"/>
      <c r="BT58" s="1321"/>
      <c r="BU58" s="1321"/>
      <c r="BV58" s="1321"/>
      <c r="BW58" s="1321"/>
      <c r="BX58" s="1321"/>
      <c r="BY58" s="1321"/>
      <c r="BZ58" s="1321"/>
      <c r="CA58" s="1321"/>
      <c r="CB58" s="1321"/>
      <c r="CC58" s="1321"/>
      <c r="CD58" s="1321"/>
      <c r="CE58" s="1321"/>
      <c r="CF58" s="1321"/>
      <c r="CG58" s="1321"/>
      <c r="CH58" s="1321"/>
      <c r="CI58" s="1321"/>
      <c r="CJ58" s="1321"/>
      <c r="CK58" s="1321"/>
      <c r="CL58" s="1321"/>
      <c r="CM58" s="1321"/>
      <c r="CN58" s="1321"/>
      <c r="CO58" s="1321"/>
      <c r="CP58" s="1321"/>
      <c r="CQ58" s="1321"/>
      <c r="CR58" s="1321"/>
      <c r="CS58" s="1321"/>
      <c r="CT58" s="1321"/>
      <c r="CU58" s="1321"/>
      <c r="CV58" s="1321"/>
      <c r="CW58" s="1321"/>
      <c r="CX58" s="1321"/>
      <c r="CY58" s="1321"/>
      <c r="CZ58" s="1321"/>
      <c r="DA58" s="1321"/>
      <c r="DB58" s="1321"/>
      <c r="DC58" s="1321"/>
      <c r="DD58" s="1321"/>
      <c r="DE58" s="1321"/>
      <c r="DF58" s="1321"/>
      <c r="DG58" s="1321"/>
      <c r="DH58" s="1321"/>
      <c r="DI58" s="1321"/>
      <c r="DJ58" s="1321"/>
      <c r="DK58" s="1321"/>
      <c r="DL58" s="1321"/>
      <c r="DM58" s="1321"/>
      <c r="DN58" s="1321"/>
      <c r="DO58" s="1321"/>
      <c r="DP58" s="1321"/>
      <c r="DQ58" s="1321"/>
      <c r="DR58" s="1321"/>
      <c r="DS58" s="1321"/>
      <c r="DT58" s="1321"/>
      <c r="DU58" s="1321"/>
      <c r="DV58" s="1321"/>
      <c r="DW58" s="1321"/>
      <c r="DX58" s="1321"/>
      <c r="DY58" s="1321"/>
      <c r="DZ58" s="1321"/>
      <c r="EA58" s="1321"/>
      <c r="EB58" s="1321"/>
      <c r="EC58" s="1321"/>
      <c r="ED58" s="1321"/>
      <c r="EE58" s="1321"/>
      <c r="EF58" s="1321"/>
      <c r="EG58" s="1321"/>
      <c r="EH58" s="1321"/>
      <c r="EI58" s="1321"/>
      <c r="EJ58" s="1321"/>
      <c r="EK58" s="1321"/>
      <c r="EL58" s="1321"/>
      <c r="EM58" s="1321"/>
      <c r="EN58" s="1321"/>
      <c r="EO58" s="1321"/>
      <c r="EP58" s="1321"/>
      <c r="EQ58" s="1321"/>
      <c r="ER58" s="1321"/>
      <c r="ES58" s="1321"/>
      <c r="ET58" s="1321"/>
      <c r="EU58" s="1321"/>
      <c r="EV58" s="1321"/>
      <c r="EW58" s="1321"/>
      <c r="EX58" s="1321"/>
      <c r="EY58" s="1321"/>
      <c r="EZ58" s="1321"/>
      <c r="FA58" s="1321"/>
      <c r="FB58" s="1321"/>
    </row>
    <row r="59" spans="1:158">
      <c r="A59" s="59" t="s">
        <v>1552</v>
      </c>
      <c r="B59" s="594">
        <v>0</v>
      </c>
      <c r="C59" s="594">
        <v>0</v>
      </c>
      <c r="D59" s="1121">
        <v>0</v>
      </c>
      <c r="E59" s="594">
        <v>0</v>
      </c>
      <c r="F59" s="1121">
        <v>0</v>
      </c>
      <c r="G59" s="1121">
        <v>0</v>
      </c>
      <c r="H59" s="1121">
        <v>0</v>
      </c>
      <c r="I59" s="1121">
        <v>0</v>
      </c>
      <c r="J59" s="1121">
        <v>0</v>
      </c>
      <c r="K59" s="1121">
        <v>0</v>
      </c>
      <c r="L59" s="1121">
        <v>0</v>
      </c>
      <c r="M59" s="1121">
        <v>0</v>
      </c>
      <c r="N59" s="1121">
        <v>0</v>
      </c>
      <c r="O59" s="1121">
        <v>0</v>
      </c>
      <c r="P59" s="594">
        <v>0</v>
      </c>
      <c r="Q59" s="594">
        <v>0</v>
      </c>
      <c r="R59" s="594">
        <v>0</v>
      </c>
      <c r="S59" s="594">
        <v>0</v>
      </c>
      <c r="T59" s="594">
        <v>0</v>
      </c>
      <c r="U59" s="594">
        <v>0</v>
      </c>
      <c r="V59" s="594">
        <v>0</v>
      </c>
      <c r="W59" s="1121">
        <v>0</v>
      </c>
      <c r="X59" s="594">
        <v>0</v>
      </c>
      <c r="Y59" s="594">
        <v>0</v>
      </c>
      <c r="Z59" s="594">
        <v>0</v>
      </c>
      <c r="AA59" s="1071">
        <v>0</v>
      </c>
      <c r="AB59" s="1071">
        <v>0</v>
      </c>
      <c r="AC59" s="1121">
        <v>0</v>
      </c>
      <c r="AD59" s="1071">
        <v>0</v>
      </c>
      <c r="AE59" s="1071">
        <v>0</v>
      </c>
      <c r="AF59" s="1321"/>
      <c r="AG59" s="1321"/>
      <c r="AH59" s="1321"/>
      <c r="AI59" s="1321"/>
      <c r="AJ59" s="1321"/>
      <c r="AK59" s="1321"/>
      <c r="AL59" s="1321"/>
      <c r="AM59" s="1321"/>
      <c r="AN59" s="1321"/>
      <c r="AO59" s="1321"/>
      <c r="AP59" s="1321"/>
      <c r="AQ59" s="1321"/>
      <c r="AR59" s="1321"/>
      <c r="AS59" s="1321"/>
      <c r="AT59" s="1321"/>
      <c r="AU59" s="1321"/>
      <c r="AV59" s="1321"/>
      <c r="AW59" s="1321"/>
      <c r="AX59" s="1321"/>
      <c r="AY59" s="1321"/>
      <c r="AZ59" s="1321"/>
      <c r="BA59" s="1321"/>
      <c r="BB59" s="1321"/>
      <c r="BC59" s="1321"/>
      <c r="BD59" s="1321"/>
      <c r="BE59" s="1321"/>
      <c r="BF59" s="1321"/>
      <c r="BG59" s="1321"/>
      <c r="BH59" s="1321"/>
      <c r="BI59" s="1321"/>
      <c r="BJ59" s="1321"/>
      <c r="BK59" s="1321"/>
      <c r="BL59" s="1321"/>
      <c r="BM59" s="1321"/>
      <c r="BN59" s="1321"/>
      <c r="BO59" s="1321"/>
      <c r="BP59" s="1321"/>
      <c r="BQ59" s="1321"/>
      <c r="BR59" s="1321"/>
      <c r="BS59" s="1321"/>
      <c r="BT59" s="1321"/>
      <c r="BU59" s="1321"/>
      <c r="BV59" s="1321"/>
      <c r="BW59" s="1321"/>
      <c r="BX59" s="1321"/>
      <c r="BY59" s="1321"/>
      <c r="BZ59" s="1321"/>
      <c r="CA59" s="1321"/>
      <c r="CB59" s="1321"/>
      <c r="CC59" s="1321"/>
      <c r="CD59" s="1321"/>
      <c r="CE59" s="1321"/>
      <c r="CF59" s="1321"/>
      <c r="CG59" s="1321"/>
      <c r="CH59" s="1321"/>
      <c r="CI59" s="1321"/>
      <c r="CJ59" s="1321"/>
      <c r="CK59" s="1321"/>
      <c r="CL59" s="1321"/>
      <c r="CM59" s="1321"/>
      <c r="CN59" s="1321"/>
      <c r="CO59" s="1321"/>
      <c r="CP59" s="1321"/>
      <c r="CQ59" s="1321"/>
      <c r="CR59" s="1321"/>
      <c r="CS59" s="1321"/>
      <c r="CT59" s="1321"/>
      <c r="CU59" s="1321"/>
      <c r="CV59" s="1321"/>
      <c r="CW59" s="1321"/>
      <c r="CX59" s="1321"/>
      <c r="CY59" s="1321"/>
      <c r="CZ59" s="1321"/>
      <c r="DA59" s="1321"/>
      <c r="DB59" s="1321"/>
      <c r="DC59" s="1321"/>
      <c r="DD59" s="1321"/>
      <c r="DE59" s="1321"/>
      <c r="DF59" s="1321"/>
      <c r="DG59" s="1321"/>
      <c r="DH59" s="1321"/>
      <c r="DI59" s="1321"/>
      <c r="DJ59" s="1321"/>
      <c r="DK59" s="1321"/>
      <c r="DL59" s="1321"/>
      <c r="DM59" s="1321"/>
      <c r="DN59" s="1321"/>
      <c r="DO59" s="1321"/>
      <c r="DP59" s="1321"/>
      <c r="DQ59" s="1321"/>
      <c r="DR59" s="1321"/>
      <c r="DS59" s="1321"/>
      <c r="DT59" s="1321"/>
      <c r="DU59" s="1321"/>
      <c r="DV59" s="1321"/>
      <c r="DW59" s="1321"/>
      <c r="DX59" s="1321"/>
      <c r="DY59" s="1321"/>
      <c r="DZ59" s="1321"/>
      <c r="EA59" s="1321"/>
      <c r="EB59" s="1321"/>
      <c r="EC59" s="1321"/>
      <c r="ED59" s="1321"/>
      <c r="EE59" s="1321"/>
      <c r="EF59" s="1321"/>
      <c r="EG59" s="1321"/>
      <c r="EH59" s="1321"/>
      <c r="EI59" s="1321"/>
      <c r="EJ59" s="1321"/>
      <c r="EK59" s="1321"/>
      <c r="EL59" s="1321"/>
      <c r="EM59" s="1321"/>
      <c r="EN59" s="1321"/>
      <c r="EO59" s="1321"/>
      <c r="EP59" s="1321"/>
      <c r="EQ59" s="1321"/>
      <c r="ER59" s="1321"/>
      <c r="ES59" s="1321"/>
      <c r="ET59" s="1321"/>
      <c r="EU59" s="1321"/>
      <c r="EV59" s="1321"/>
      <c r="EW59" s="1321"/>
      <c r="EX59" s="1321"/>
      <c r="EY59" s="1321"/>
      <c r="EZ59" s="1321"/>
      <c r="FA59" s="1321"/>
      <c r="FB59" s="1321"/>
    </row>
    <row r="60" spans="1:158">
      <c r="A60" s="59" t="s">
        <v>1553</v>
      </c>
      <c r="B60" s="594">
        <v>0</v>
      </c>
      <c r="C60" s="594">
        <v>0</v>
      </c>
      <c r="D60" s="1121">
        <v>0</v>
      </c>
      <c r="E60" s="594">
        <v>0</v>
      </c>
      <c r="F60" s="1121">
        <v>0</v>
      </c>
      <c r="G60" s="1121">
        <v>0</v>
      </c>
      <c r="H60" s="1121">
        <v>0</v>
      </c>
      <c r="I60" s="1121">
        <v>0</v>
      </c>
      <c r="J60" s="1121">
        <v>0</v>
      </c>
      <c r="K60" s="1121">
        <v>0</v>
      </c>
      <c r="L60" s="1121">
        <v>0</v>
      </c>
      <c r="M60" s="1121">
        <v>0</v>
      </c>
      <c r="N60" s="1121">
        <v>0</v>
      </c>
      <c r="O60" s="1121">
        <v>0</v>
      </c>
      <c r="P60" s="594">
        <v>0</v>
      </c>
      <c r="Q60" s="594">
        <v>0</v>
      </c>
      <c r="R60" s="594">
        <v>0</v>
      </c>
      <c r="S60" s="594">
        <v>0</v>
      </c>
      <c r="T60" s="594">
        <v>0</v>
      </c>
      <c r="U60" s="594">
        <v>0</v>
      </c>
      <c r="V60" s="594">
        <v>0</v>
      </c>
      <c r="W60" s="594">
        <v>0</v>
      </c>
      <c r="X60" s="594">
        <v>0</v>
      </c>
      <c r="Y60" s="594">
        <v>0</v>
      </c>
      <c r="Z60" s="594">
        <v>0</v>
      </c>
      <c r="AA60" s="1071">
        <v>0</v>
      </c>
      <c r="AB60" s="1071">
        <v>0</v>
      </c>
      <c r="AC60" s="1121">
        <v>0</v>
      </c>
      <c r="AD60" s="1071">
        <v>0</v>
      </c>
      <c r="AE60" s="1071">
        <v>0</v>
      </c>
      <c r="AF60" s="1321"/>
      <c r="AG60" s="1321"/>
      <c r="AH60" s="1321"/>
      <c r="AI60" s="1321"/>
      <c r="AJ60" s="1321"/>
      <c r="AK60" s="1321"/>
      <c r="AL60" s="1321"/>
      <c r="AM60" s="1321"/>
      <c r="AN60" s="1321"/>
      <c r="AO60" s="1321"/>
      <c r="AP60" s="1321"/>
      <c r="AQ60" s="1321"/>
      <c r="AR60" s="1321"/>
      <c r="AS60" s="1321"/>
      <c r="AT60" s="1321"/>
      <c r="AU60" s="1321"/>
      <c r="AV60" s="1321"/>
      <c r="AW60" s="1321"/>
      <c r="AX60" s="1321"/>
      <c r="AY60" s="1321"/>
      <c r="AZ60" s="1321"/>
      <c r="BA60" s="1321"/>
      <c r="BB60" s="1321"/>
      <c r="BC60" s="1321"/>
      <c r="BD60" s="1321"/>
      <c r="BE60" s="1321"/>
      <c r="BF60" s="1321"/>
      <c r="BG60" s="1321"/>
      <c r="BH60" s="1321"/>
      <c r="BI60" s="1321"/>
      <c r="BJ60" s="1321"/>
      <c r="BK60" s="1321"/>
      <c r="BL60" s="1321"/>
      <c r="BM60" s="1321"/>
      <c r="BN60" s="1321"/>
      <c r="BO60" s="1321"/>
      <c r="BP60" s="1321"/>
      <c r="BQ60" s="1321"/>
      <c r="BR60" s="1321"/>
      <c r="BS60" s="1321"/>
      <c r="BT60" s="1321"/>
      <c r="BU60" s="1321"/>
      <c r="BV60" s="1321"/>
      <c r="BW60" s="1321"/>
      <c r="BX60" s="1321"/>
      <c r="BY60" s="1321"/>
      <c r="BZ60" s="1321"/>
      <c r="CA60" s="1321"/>
      <c r="CB60" s="1321"/>
      <c r="CC60" s="1321"/>
      <c r="CD60" s="1321"/>
      <c r="CE60" s="1321"/>
      <c r="CF60" s="1321"/>
      <c r="CG60" s="1321"/>
      <c r="CH60" s="1321"/>
      <c r="CI60" s="1321"/>
      <c r="CJ60" s="1321"/>
      <c r="CK60" s="1321"/>
      <c r="CL60" s="1321"/>
      <c r="CM60" s="1321"/>
      <c r="CN60" s="1321"/>
      <c r="CO60" s="1321"/>
      <c r="CP60" s="1321"/>
      <c r="CQ60" s="1321"/>
      <c r="CR60" s="1321"/>
      <c r="CS60" s="1321"/>
      <c r="CT60" s="1321"/>
      <c r="CU60" s="1321"/>
      <c r="CV60" s="1321"/>
      <c r="CW60" s="1321"/>
      <c r="CX60" s="1321"/>
      <c r="CY60" s="1321"/>
      <c r="CZ60" s="1321"/>
      <c r="DA60" s="1321"/>
      <c r="DB60" s="1321"/>
      <c r="DC60" s="1321"/>
      <c r="DD60" s="1321"/>
      <c r="DE60" s="1321"/>
      <c r="DF60" s="1321"/>
      <c r="DG60" s="1321"/>
      <c r="DH60" s="1321"/>
      <c r="DI60" s="1321"/>
      <c r="DJ60" s="1321"/>
      <c r="DK60" s="1321"/>
      <c r="DL60" s="1321"/>
      <c r="DM60" s="1321"/>
      <c r="DN60" s="1321"/>
      <c r="DO60" s="1321"/>
      <c r="DP60" s="1321"/>
      <c r="DQ60" s="1321"/>
      <c r="DR60" s="1321"/>
      <c r="DS60" s="1321"/>
      <c r="DT60" s="1321"/>
      <c r="DU60" s="1321"/>
      <c r="DV60" s="1321"/>
      <c r="DW60" s="1321"/>
      <c r="DX60" s="1321"/>
      <c r="DY60" s="1321"/>
      <c r="DZ60" s="1321"/>
      <c r="EA60" s="1321"/>
      <c r="EB60" s="1321"/>
      <c r="EC60" s="1321"/>
      <c r="ED60" s="1321"/>
      <c r="EE60" s="1321"/>
      <c r="EF60" s="1321"/>
      <c r="EG60" s="1321"/>
      <c r="EH60" s="1321"/>
      <c r="EI60" s="1321"/>
      <c r="EJ60" s="1321"/>
      <c r="EK60" s="1321"/>
      <c r="EL60" s="1321"/>
      <c r="EM60" s="1321"/>
      <c r="EN60" s="1321"/>
      <c r="EO60" s="1321"/>
      <c r="EP60" s="1321"/>
      <c r="EQ60" s="1321"/>
      <c r="ER60" s="1321"/>
      <c r="ES60" s="1321"/>
      <c r="ET60" s="1321"/>
      <c r="EU60" s="1321"/>
      <c r="EV60" s="1321"/>
      <c r="EW60" s="1321"/>
      <c r="EX60" s="1321"/>
      <c r="EY60" s="1321"/>
      <c r="EZ60" s="1321"/>
      <c r="FA60" s="1321"/>
      <c r="FB60" s="1321"/>
    </row>
    <row r="61" spans="1:158">
      <c r="A61" s="59" t="s">
        <v>1554</v>
      </c>
      <c r="B61" s="594">
        <v>0</v>
      </c>
      <c r="C61" s="594">
        <v>0</v>
      </c>
      <c r="D61" s="1121">
        <v>0</v>
      </c>
      <c r="E61" s="594">
        <v>0</v>
      </c>
      <c r="F61" s="1121">
        <v>0</v>
      </c>
      <c r="G61" s="1121">
        <v>0</v>
      </c>
      <c r="H61" s="1121">
        <v>0</v>
      </c>
      <c r="I61" s="1121">
        <v>0</v>
      </c>
      <c r="J61" s="1121">
        <v>0</v>
      </c>
      <c r="K61" s="1121">
        <v>0</v>
      </c>
      <c r="L61" s="1121">
        <v>0</v>
      </c>
      <c r="M61" s="1121">
        <v>0</v>
      </c>
      <c r="N61" s="1121">
        <v>0</v>
      </c>
      <c r="O61" s="1121">
        <v>0</v>
      </c>
      <c r="P61" s="594">
        <v>0</v>
      </c>
      <c r="Q61" s="594">
        <v>0</v>
      </c>
      <c r="R61" s="594">
        <v>1</v>
      </c>
      <c r="S61" s="594">
        <v>0</v>
      </c>
      <c r="T61" s="594">
        <v>0</v>
      </c>
      <c r="U61" s="594">
        <v>0</v>
      </c>
      <c r="V61" s="594">
        <v>0</v>
      </c>
      <c r="W61" s="594">
        <v>0</v>
      </c>
      <c r="X61" s="594">
        <v>0</v>
      </c>
      <c r="Y61" s="594">
        <v>0</v>
      </c>
      <c r="Z61" s="594">
        <v>0</v>
      </c>
      <c r="AA61" s="1071">
        <v>0</v>
      </c>
      <c r="AB61" s="1071">
        <v>0</v>
      </c>
      <c r="AC61" s="1121">
        <v>0</v>
      </c>
      <c r="AD61" s="1071">
        <v>0</v>
      </c>
      <c r="AE61" s="1071">
        <v>0</v>
      </c>
      <c r="AF61" s="1321"/>
      <c r="AG61" s="1321"/>
      <c r="AH61" s="1321"/>
      <c r="AI61" s="1321"/>
      <c r="AJ61" s="1321"/>
      <c r="AK61" s="1321"/>
      <c r="AL61" s="1321"/>
      <c r="AM61" s="1321"/>
      <c r="AN61" s="1321"/>
      <c r="AO61" s="1321"/>
      <c r="AP61" s="1321"/>
      <c r="AQ61" s="1321"/>
      <c r="AR61" s="1321"/>
      <c r="AS61" s="1321"/>
      <c r="AT61" s="1321"/>
      <c r="AU61" s="1321"/>
      <c r="AV61" s="1321"/>
      <c r="AW61" s="1321"/>
      <c r="AX61" s="1321"/>
      <c r="AY61" s="1321"/>
      <c r="AZ61" s="1321"/>
      <c r="BA61" s="1321"/>
      <c r="BB61" s="1321"/>
      <c r="BC61" s="1321"/>
      <c r="BD61" s="1321"/>
      <c r="BE61" s="1321"/>
      <c r="BF61" s="1321"/>
      <c r="BG61" s="1321"/>
      <c r="BH61" s="1321"/>
      <c r="BI61" s="1321"/>
      <c r="BJ61" s="1321"/>
      <c r="BK61" s="1321"/>
      <c r="BL61" s="1321"/>
      <c r="BM61" s="1321"/>
      <c r="BN61" s="1321"/>
      <c r="BO61" s="1321"/>
      <c r="BP61" s="1321"/>
      <c r="BQ61" s="1321"/>
      <c r="BR61" s="1321"/>
      <c r="BS61" s="1321"/>
      <c r="BT61" s="1321"/>
      <c r="BU61" s="1321"/>
      <c r="BV61" s="1321"/>
      <c r="BW61" s="1321"/>
      <c r="BX61" s="1321"/>
      <c r="BY61" s="1321"/>
      <c r="BZ61" s="1321"/>
      <c r="CA61" s="1321"/>
      <c r="CB61" s="1321"/>
      <c r="CC61" s="1321"/>
      <c r="CD61" s="1321"/>
      <c r="CE61" s="1321"/>
      <c r="CF61" s="1321"/>
      <c r="CG61" s="1321"/>
      <c r="CH61" s="1321"/>
      <c r="CI61" s="1321"/>
      <c r="CJ61" s="1321"/>
      <c r="CK61" s="1321"/>
      <c r="CL61" s="1321"/>
      <c r="CM61" s="1321"/>
      <c r="CN61" s="1321"/>
      <c r="CO61" s="1321"/>
      <c r="CP61" s="1321"/>
      <c r="CQ61" s="1321"/>
      <c r="CR61" s="1321"/>
      <c r="CS61" s="1321"/>
      <c r="CT61" s="1321"/>
      <c r="CU61" s="1321"/>
      <c r="CV61" s="1321"/>
      <c r="CW61" s="1321"/>
      <c r="CX61" s="1321"/>
      <c r="CY61" s="1321"/>
      <c r="CZ61" s="1321"/>
      <c r="DA61" s="1321"/>
      <c r="DB61" s="1321"/>
      <c r="DC61" s="1321"/>
      <c r="DD61" s="1321"/>
      <c r="DE61" s="1321"/>
      <c r="DF61" s="1321"/>
      <c r="DG61" s="1321"/>
      <c r="DH61" s="1321"/>
      <c r="DI61" s="1321"/>
      <c r="DJ61" s="1321"/>
      <c r="DK61" s="1321"/>
      <c r="DL61" s="1321"/>
      <c r="DM61" s="1321"/>
      <c r="DN61" s="1321"/>
      <c r="DO61" s="1321"/>
      <c r="DP61" s="1321"/>
      <c r="DQ61" s="1321"/>
      <c r="DR61" s="1321"/>
      <c r="DS61" s="1321"/>
      <c r="DT61" s="1321"/>
      <c r="DU61" s="1321"/>
      <c r="DV61" s="1321"/>
      <c r="DW61" s="1321"/>
      <c r="DX61" s="1321"/>
      <c r="DY61" s="1321"/>
      <c r="DZ61" s="1321"/>
      <c r="EA61" s="1321"/>
      <c r="EB61" s="1321"/>
      <c r="EC61" s="1321"/>
      <c r="ED61" s="1321"/>
      <c r="EE61" s="1321"/>
      <c r="EF61" s="1321"/>
      <c r="EG61" s="1321"/>
      <c r="EH61" s="1321"/>
      <c r="EI61" s="1321"/>
      <c r="EJ61" s="1321"/>
      <c r="EK61" s="1321"/>
      <c r="EL61" s="1321"/>
      <c r="EM61" s="1321"/>
      <c r="EN61" s="1321"/>
      <c r="EO61" s="1321"/>
      <c r="EP61" s="1321"/>
      <c r="EQ61" s="1321"/>
      <c r="ER61" s="1321"/>
      <c r="ES61" s="1321"/>
      <c r="ET61" s="1321"/>
      <c r="EU61" s="1321"/>
      <c r="EV61" s="1321"/>
      <c r="EW61" s="1321"/>
      <c r="EX61" s="1321"/>
      <c r="EY61" s="1321"/>
      <c r="EZ61" s="1321"/>
      <c r="FA61" s="1321"/>
      <c r="FB61" s="1321"/>
    </row>
    <row r="62" spans="1:158">
      <c r="A62" s="59" t="s">
        <v>1555</v>
      </c>
      <c r="B62" s="594">
        <v>0</v>
      </c>
      <c r="C62" s="594">
        <v>0</v>
      </c>
      <c r="D62" s="1121">
        <v>0</v>
      </c>
      <c r="E62" s="594">
        <v>0</v>
      </c>
      <c r="F62" s="1121">
        <v>0</v>
      </c>
      <c r="G62" s="1121">
        <v>0</v>
      </c>
      <c r="H62" s="1121">
        <v>0</v>
      </c>
      <c r="I62" s="1121">
        <v>0</v>
      </c>
      <c r="J62" s="1121">
        <v>0</v>
      </c>
      <c r="K62" s="1121">
        <v>0</v>
      </c>
      <c r="L62" s="1121">
        <v>0</v>
      </c>
      <c r="M62" s="1121">
        <v>0</v>
      </c>
      <c r="N62" s="1121">
        <v>0</v>
      </c>
      <c r="O62" s="1121">
        <v>0</v>
      </c>
      <c r="P62" s="594">
        <v>0</v>
      </c>
      <c r="Q62" s="594">
        <v>0.94039175152588306</v>
      </c>
      <c r="R62" s="594">
        <v>0</v>
      </c>
      <c r="S62" s="594">
        <v>0</v>
      </c>
      <c r="T62" s="594">
        <v>0</v>
      </c>
      <c r="U62" s="594">
        <v>0</v>
      </c>
      <c r="V62" s="594">
        <v>0</v>
      </c>
      <c r="W62" s="594">
        <v>1</v>
      </c>
      <c r="X62" s="594">
        <v>0</v>
      </c>
      <c r="Y62" s="594">
        <v>0</v>
      </c>
      <c r="Z62" s="594">
        <v>0</v>
      </c>
      <c r="AA62" s="1071">
        <v>0</v>
      </c>
      <c r="AB62" s="1071">
        <v>0</v>
      </c>
      <c r="AC62" s="1121">
        <v>0</v>
      </c>
      <c r="AD62" s="1071">
        <v>0</v>
      </c>
      <c r="AE62" s="1071">
        <v>0</v>
      </c>
      <c r="AF62" s="1321"/>
      <c r="AG62" s="1321"/>
      <c r="AH62" s="1321"/>
      <c r="AI62" s="1321"/>
      <c r="AJ62" s="1321"/>
      <c r="AK62" s="1321"/>
      <c r="AL62" s="1321"/>
      <c r="AM62" s="1321"/>
      <c r="AN62" s="1321"/>
      <c r="AO62" s="1321"/>
      <c r="AP62" s="1321"/>
      <c r="AQ62" s="1321"/>
      <c r="AR62" s="1321"/>
      <c r="AS62" s="1321"/>
      <c r="AT62" s="1321"/>
      <c r="AU62" s="1321"/>
      <c r="AV62" s="1321"/>
      <c r="AW62" s="1321"/>
      <c r="AX62" s="1321"/>
      <c r="AY62" s="1321"/>
      <c r="AZ62" s="1321"/>
      <c r="BA62" s="1321"/>
      <c r="BB62" s="1321"/>
      <c r="BC62" s="1321"/>
      <c r="BD62" s="1321"/>
      <c r="BE62" s="1321"/>
      <c r="BF62" s="1321"/>
      <c r="BG62" s="1321"/>
      <c r="BH62" s="1321"/>
      <c r="BI62" s="1321"/>
      <c r="BJ62" s="1321"/>
      <c r="BK62" s="1321"/>
      <c r="BL62" s="1321"/>
      <c r="BM62" s="1321"/>
      <c r="BN62" s="1321"/>
      <c r="BO62" s="1321"/>
      <c r="BP62" s="1321"/>
      <c r="BQ62" s="1321"/>
      <c r="BR62" s="1321"/>
      <c r="BS62" s="1321"/>
      <c r="BT62" s="1321"/>
      <c r="BU62" s="1321"/>
      <c r="BV62" s="1321"/>
      <c r="BW62" s="1321"/>
      <c r="BX62" s="1321"/>
      <c r="BY62" s="1321"/>
      <c r="BZ62" s="1321"/>
      <c r="CA62" s="1321"/>
      <c r="CB62" s="1321"/>
      <c r="CC62" s="1321"/>
      <c r="CD62" s="1321"/>
      <c r="CE62" s="1321"/>
      <c r="CF62" s="1321"/>
      <c r="CG62" s="1321"/>
      <c r="CH62" s="1321"/>
      <c r="CI62" s="1321"/>
      <c r="CJ62" s="1321"/>
      <c r="CK62" s="1321"/>
      <c r="CL62" s="1321"/>
      <c r="CM62" s="1321"/>
      <c r="CN62" s="1321"/>
      <c r="CO62" s="1321"/>
      <c r="CP62" s="1321"/>
      <c r="CQ62" s="1321"/>
      <c r="CR62" s="1321"/>
      <c r="CS62" s="1321"/>
      <c r="CT62" s="1321"/>
      <c r="CU62" s="1321"/>
      <c r="CV62" s="1321"/>
      <c r="CW62" s="1321"/>
      <c r="CX62" s="1321"/>
      <c r="CY62" s="1321"/>
      <c r="CZ62" s="1321"/>
      <c r="DA62" s="1321"/>
      <c r="DB62" s="1321"/>
      <c r="DC62" s="1321"/>
      <c r="DD62" s="1321"/>
      <c r="DE62" s="1321"/>
      <c r="DF62" s="1321"/>
      <c r="DG62" s="1321"/>
      <c r="DH62" s="1321"/>
      <c r="DI62" s="1321"/>
      <c r="DJ62" s="1321"/>
      <c r="DK62" s="1321"/>
      <c r="DL62" s="1321"/>
      <c r="DM62" s="1321"/>
      <c r="DN62" s="1321"/>
      <c r="DO62" s="1321"/>
      <c r="DP62" s="1321"/>
      <c r="DQ62" s="1321"/>
      <c r="DR62" s="1321"/>
      <c r="DS62" s="1321"/>
      <c r="DT62" s="1321"/>
      <c r="DU62" s="1321"/>
      <c r="DV62" s="1321"/>
      <c r="DW62" s="1321"/>
      <c r="DX62" s="1321"/>
      <c r="DY62" s="1321"/>
      <c r="DZ62" s="1321"/>
      <c r="EA62" s="1321"/>
      <c r="EB62" s="1321"/>
      <c r="EC62" s="1321"/>
      <c r="ED62" s="1321"/>
      <c r="EE62" s="1321"/>
      <c r="EF62" s="1321"/>
      <c r="EG62" s="1321"/>
      <c r="EH62" s="1321"/>
      <c r="EI62" s="1321"/>
      <c r="EJ62" s="1321"/>
      <c r="EK62" s="1321"/>
      <c r="EL62" s="1321"/>
      <c r="EM62" s="1321"/>
      <c r="EN62" s="1321"/>
      <c r="EO62" s="1321"/>
      <c r="EP62" s="1321"/>
      <c r="EQ62" s="1321"/>
      <c r="ER62" s="1321"/>
      <c r="ES62" s="1321"/>
      <c r="ET62" s="1321"/>
      <c r="EU62" s="1321"/>
      <c r="EV62" s="1321"/>
      <c r="EW62" s="1321"/>
      <c r="EX62" s="1321"/>
      <c r="EY62" s="1321"/>
      <c r="EZ62" s="1321"/>
      <c r="FA62" s="1321"/>
      <c r="FB62" s="1321"/>
    </row>
    <row r="63" spans="1:158">
      <c r="A63" s="59" t="s">
        <v>1589</v>
      </c>
      <c r="B63" s="594">
        <f t="shared" ref="B63:E63" si="10">1-SUM(B57:B62)</f>
        <v>0</v>
      </c>
      <c r="C63" s="594">
        <f t="shared" si="10"/>
        <v>0</v>
      </c>
      <c r="D63" s="594">
        <f t="shared" si="10"/>
        <v>0</v>
      </c>
      <c r="E63" s="594">
        <f t="shared" si="10"/>
        <v>0</v>
      </c>
      <c r="F63" s="1121">
        <f t="shared" ref="F63:G63" si="11">1-SUM(F57:F62)</f>
        <v>0</v>
      </c>
      <c r="G63" s="1121">
        <f t="shared" si="11"/>
        <v>0</v>
      </c>
      <c r="H63" s="1121">
        <f t="shared" ref="H63:W63" si="12">1-SUM(H57:H62)</f>
        <v>0</v>
      </c>
      <c r="I63" s="1121">
        <f t="shared" si="12"/>
        <v>0</v>
      </c>
      <c r="J63" s="1121">
        <f t="shared" si="12"/>
        <v>0</v>
      </c>
      <c r="K63" s="1121">
        <f t="shared" si="12"/>
        <v>0</v>
      </c>
      <c r="L63" s="1121">
        <f t="shared" si="12"/>
        <v>0</v>
      </c>
      <c r="M63" s="1121">
        <f t="shared" si="12"/>
        <v>0</v>
      </c>
      <c r="N63" s="1121">
        <f t="shared" si="12"/>
        <v>0</v>
      </c>
      <c r="O63" s="1121">
        <f t="shared" si="12"/>
        <v>0</v>
      </c>
      <c r="P63" s="594">
        <f t="shared" si="12"/>
        <v>0</v>
      </c>
      <c r="Q63" s="594">
        <f t="shared" si="12"/>
        <v>0</v>
      </c>
      <c r="R63" s="594">
        <f t="shared" si="12"/>
        <v>0</v>
      </c>
      <c r="S63" s="594">
        <f t="shared" si="12"/>
        <v>0</v>
      </c>
      <c r="T63" s="594">
        <f t="shared" si="12"/>
        <v>0</v>
      </c>
      <c r="U63" s="594">
        <f t="shared" si="12"/>
        <v>0</v>
      </c>
      <c r="V63" s="594">
        <f t="shared" si="12"/>
        <v>0</v>
      </c>
      <c r="W63" s="594">
        <f t="shared" si="12"/>
        <v>0</v>
      </c>
      <c r="X63" s="594">
        <f t="shared" ref="X63:AE63" si="13">1-SUM(X57:X62)</f>
        <v>0</v>
      </c>
      <c r="Y63" s="594">
        <f t="shared" si="13"/>
        <v>0</v>
      </c>
      <c r="Z63" s="594">
        <f t="shared" si="13"/>
        <v>0</v>
      </c>
      <c r="AA63" s="1071">
        <f t="shared" si="13"/>
        <v>0</v>
      </c>
      <c r="AB63" s="1071">
        <f t="shared" si="13"/>
        <v>0</v>
      </c>
      <c r="AC63" s="1071">
        <f t="shared" si="13"/>
        <v>0</v>
      </c>
      <c r="AD63" s="1071">
        <f t="shared" si="13"/>
        <v>0</v>
      </c>
      <c r="AE63" s="1071">
        <f t="shared" si="13"/>
        <v>0</v>
      </c>
      <c r="AF63" s="1321"/>
      <c r="AG63" s="1321"/>
      <c r="AH63" s="1321"/>
      <c r="AI63" s="1321"/>
      <c r="AJ63" s="1321"/>
      <c r="AK63" s="1321"/>
      <c r="AL63" s="1321"/>
      <c r="AM63" s="1321"/>
      <c r="AN63" s="1321"/>
      <c r="AO63" s="1321"/>
      <c r="AP63" s="1321"/>
      <c r="AQ63" s="1321"/>
      <c r="AR63" s="1321"/>
      <c r="AS63" s="1321"/>
      <c r="AT63" s="1321"/>
      <c r="AU63" s="1321"/>
      <c r="AV63" s="1321"/>
      <c r="AW63" s="1321"/>
      <c r="AX63" s="1321"/>
      <c r="AY63" s="1321"/>
      <c r="AZ63" s="1321"/>
      <c r="BA63" s="1321"/>
      <c r="BB63" s="1321"/>
      <c r="BC63" s="1321"/>
      <c r="BD63" s="1321"/>
      <c r="BE63" s="1321"/>
      <c r="BF63" s="1321"/>
      <c r="BG63" s="1321"/>
      <c r="BH63" s="1321"/>
      <c r="BI63" s="1321"/>
      <c r="BJ63" s="1321"/>
      <c r="BK63" s="1321"/>
      <c r="BL63" s="1321"/>
      <c r="BM63" s="1321"/>
      <c r="BN63" s="1321"/>
      <c r="BO63" s="1321"/>
      <c r="BP63" s="1321"/>
      <c r="BQ63" s="1321"/>
      <c r="BR63" s="1321"/>
      <c r="BS63" s="1321"/>
      <c r="BT63" s="1321"/>
      <c r="BU63" s="1321"/>
      <c r="BV63" s="1321"/>
      <c r="BW63" s="1321"/>
      <c r="BX63" s="1321"/>
      <c r="BY63" s="1321"/>
      <c r="BZ63" s="1321"/>
      <c r="CA63" s="1321"/>
      <c r="CB63" s="1321"/>
      <c r="CC63" s="1321"/>
      <c r="CD63" s="1321"/>
      <c r="CE63" s="1321"/>
      <c r="CF63" s="1321"/>
      <c r="CG63" s="1321"/>
      <c r="CH63" s="1321"/>
      <c r="CI63" s="1321"/>
      <c r="CJ63" s="1321"/>
      <c r="CK63" s="1321"/>
      <c r="CL63" s="1321"/>
      <c r="CM63" s="1321"/>
      <c r="CN63" s="1321"/>
      <c r="CO63" s="1321"/>
      <c r="CP63" s="1321"/>
      <c r="CQ63" s="1321"/>
      <c r="CR63" s="1321"/>
      <c r="CS63" s="1321"/>
      <c r="CT63" s="1321"/>
      <c r="CU63" s="1321"/>
      <c r="CV63" s="1321"/>
      <c r="CW63" s="1321"/>
      <c r="CX63" s="1321"/>
      <c r="CY63" s="1321"/>
      <c r="CZ63" s="1321"/>
      <c r="DA63" s="1321"/>
      <c r="DB63" s="1321"/>
      <c r="DC63" s="1321"/>
      <c r="DD63" s="1321"/>
      <c r="DE63" s="1321"/>
      <c r="DF63" s="1321"/>
      <c r="DG63" s="1321"/>
      <c r="DH63" s="1321"/>
      <c r="DI63" s="1321"/>
      <c r="DJ63" s="1321"/>
      <c r="DK63" s="1321"/>
      <c r="DL63" s="1321"/>
      <c r="DM63" s="1321"/>
      <c r="DN63" s="1321"/>
      <c r="DO63" s="1321"/>
      <c r="DP63" s="1321"/>
      <c r="DQ63" s="1321"/>
      <c r="DR63" s="1321"/>
      <c r="DS63" s="1321"/>
      <c r="DT63" s="1321"/>
      <c r="DU63" s="1321"/>
      <c r="DV63" s="1321"/>
      <c r="DW63" s="1321"/>
      <c r="DX63" s="1321"/>
      <c r="DY63" s="1321"/>
      <c r="DZ63" s="1321"/>
      <c r="EA63" s="1321"/>
      <c r="EB63" s="1321"/>
      <c r="EC63" s="1321"/>
      <c r="ED63" s="1321"/>
      <c r="EE63" s="1321"/>
      <c r="EF63" s="1321"/>
      <c r="EG63" s="1321"/>
      <c r="EH63" s="1321"/>
      <c r="EI63" s="1321"/>
      <c r="EJ63" s="1321"/>
      <c r="EK63" s="1321"/>
      <c r="EL63" s="1321"/>
      <c r="EM63" s="1321"/>
      <c r="EN63" s="1321"/>
      <c r="EO63" s="1321"/>
      <c r="EP63" s="1321"/>
      <c r="EQ63" s="1321"/>
      <c r="ER63" s="1321"/>
      <c r="ES63" s="1321"/>
      <c r="ET63" s="1321"/>
      <c r="EU63" s="1321"/>
      <c r="EV63" s="1321"/>
      <c r="EW63" s="1321"/>
      <c r="EX63" s="1321"/>
      <c r="EY63" s="1321"/>
      <c r="EZ63" s="1321"/>
      <c r="FA63" s="1321"/>
      <c r="FB63" s="1321"/>
    </row>
    <row r="64" spans="1:158">
      <c r="A64" s="58" t="s">
        <v>773</v>
      </c>
      <c r="B64" s="595">
        <v>1</v>
      </c>
      <c r="C64" s="595">
        <v>1</v>
      </c>
      <c r="D64" s="595">
        <v>1</v>
      </c>
      <c r="E64" s="595">
        <v>1</v>
      </c>
      <c r="F64" s="1122">
        <v>1</v>
      </c>
      <c r="G64" s="1122">
        <v>1</v>
      </c>
      <c r="H64" s="1122">
        <v>1</v>
      </c>
      <c r="I64" s="1122">
        <v>1</v>
      </c>
      <c r="J64" s="1122">
        <v>1</v>
      </c>
      <c r="K64" s="1122">
        <v>1</v>
      </c>
      <c r="L64" s="1122">
        <v>1</v>
      </c>
      <c r="M64" s="1122">
        <v>1</v>
      </c>
      <c r="N64" s="1122">
        <v>1</v>
      </c>
      <c r="O64" s="1122">
        <v>1</v>
      </c>
      <c r="P64" s="595">
        <v>1</v>
      </c>
      <c r="Q64" s="595">
        <v>1</v>
      </c>
      <c r="R64" s="595">
        <v>1</v>
      </c>
      <c r="S64" s="595">
        <v>1</v>
      </c>
      <c r="T64" s="595">
        <v>1</v>
      </c>
      <c r="U64" s="595">
        <v>1</v>
      </c>
      <c r="V64" s="595">
        <v>1</v>
      </c>
      <c r="W64" s="595">
        <v>0</v>
      </c>
      <c r="X64" s="595">
        <v>0</v>
      </c>
      <c r="Y64" s="595">
        <v>1</v>
      </c>
      <c r="Z64" s="595">
        <v>1</v>
      </c>
      <c r="AA64" s="1072">
        <v>1</v>
      </c>
      <c r="AB64" s="1072">
        <v>1</v>
      </c>
      <c r="AC64" s="1072">
        <v>1</v>
      </c>
      <c r="AD64" s="1072">
        <v>1</v>
      </c>
      <c r="AE64" s="1072">
        <v>1</v>
      </c>
      <c r="AF64" s="1321"/>
      <c r="AG64" s="1321"/>
      <c r="AH64" s="1321"/>
      <c r="AI64" s="1321"/>
      <c r="AJ64" s="1321"/>
      <c r="AK64" s="1321"/>
      <c r="AL64" s="1321"/>
      <c r="AM64" s="1321"/>
      <c r="AN64" s="1321"/>
      <c r="AO64" s="1321"/>
      <c r="AP64" s="1321"/>
      <c r="AQ64" s="1321"/>
      <c r="AR64" s="1321"/>
      <c r="AS64" s="1321"/>
      <c r="AT64" s="1321"/>
      <c r="AU64" s="1321"/>
      <c r="AV64" s="1321"/>
      <c r="AW64" s="1321"/>
      <c r="AX64" s="1321"/>
      <c r="AY64" s="1321"/>
      <c r="AZ64" s="1321"/>
      <c r="BA64" s="1321"/>
      <c r="BB64" s="1321"/>
      <c r="BC64" s="1321"/>
      <c r="BD64" s="1321"/>
      <c r="BE64" s="1321"/>
      <c r="BF64" s="1321"/>
      <c r="BG64" s="1321"/>
      <c r="BH64" s="1321"/>
      <c r="BI64" s="1321"/>
      <c r="BJ64" s="1321"/>
      <c r="BK64" s="1321"/>
      <c r="BL64" s="1321"/>
      <c r="BM64" s="1321"/>
      <c r="BN64" s="1321"/>
      <c r="BO64" s="1321"/>
      <c r="BP64" s="1321"/>
      <c r="BQ64" s="1321"/>
      <c r="BR64" s="1321"/>
      <c r="BS64" s="1321"/>
      <c r="BT64" s="1321"/>
      <c r="BU64" s="1321"/>
      <c r="BV64" s="1321"/>
      <c r="BW64" s="1321"/>
      <c r="BX64" s="1321"/>
      <c r="BY64" s="1321"/>
      <c r="BZ64" s="1321"/>
      <c r="CA64" s="1321"/>
      <c r="CB64" s="1321"/>
      <c r="CC64" s="1321"/>
      <c r="CD64" s="1321"/>
      <c r="CE64" s="1321"/>
      <c r="CF64" s="1321"/>
      <c r="CG64" s="1321"/>
      <c r="CH64" s="1321"/>
      <c r="CI64" s="1321"/>
      <c r="CJ64" s="1321"/>
      <c r="CK64" s="1321"/>
      <c r="CL64" s="1321"/>
      <c r="CM64" s="1321"/>
      <c r="CN64" s="1321"/>
      <c r="CO64" s="1321"/>
      <c r="CP64" s="1321"/>
      <c r="CQ64" s="1321"/>
      <c r="CR64" s="1321"/>
      <c r="CS64" s="1321"/>
      <c r="CT64" s="1321"/>
      <c r="CU64" s="1321"/>
      <c r="CV64" s="1321"/>
      <c r="CW64" s="1321"/>
      <c r="CX64" s="1321"/>
      <c r="CY64" s="1321"/>
      <c r="CZ64" s="1321"/>
      <c r="DA64" s="1321"/>
      <c r="DB64" s="1321"/>
      <c r="DC64" s="1321"/>
      <c r="DD64" s="1321"/>
      <c r="DE64" s="1321"/>
      <c r="DF64" s="1321"/>
      <c r="DG64" s="1321"/>
      <c r="DH64" s="1321"/>
      <c r="DI64" s="1321"/>
      <c r="DJ64" s="1321"/>
      <c r="DK64" s="1321"/>
      <c r="DL64" s="1321"/>
      <c r="DM64" s="1321"/>
      <c r="DN64" s="1321"/>
      <c r="DO64" s="1321"/>
      <c r="DP64" s="1321"/>
      <c r="DQ64" s="1321"/>
      <c r="DR64" s="1321"/>
      <c r="DS64" s="1321"/>
      <c r="DT64" s="1321"/>
      <c r="DU64" s="1321"/>
      <c r="DV64" s="1321"/>
      <c r="DW64" s="1321"/>
      <c r="DX64" s="1321"/>
      <c r="DY64" s="1321"/>
      <c r="DZ64" s="1321"/>
      <c r="EA64" s="1321"/>
      <c r="EB64" s="1321"/>
      <c r="EC64" s="1321"/>
      <c r="ED64" s="1321"/>
      <c r="EE64" s="1321"/>
      <c r="EF64" s="1321"/>
      <c r="EG64" s="1321"/>
      <c r="EH64" s="1321"/>
      <c r="EI64" s="1321"/>
      <c r="EJ64" s="1321"/>
      <c r="EK64" s="1321"/>
      <c r="EL64" s="1321"/>
      <c r="EM64" s="1321"/>
      <c r="EN64" s="1321"/>
      <c r="EO64" s="1321"/>
      <c r="EP64" s="1321"/>
      <c r="EQ64" s="1321"/>
      <c r="ER64" s="1321"/>
      <c r="ES64" s="1321"/>
      <c r="ET64" s="1321"/>
      <c r="EU64" s="1321"/>
      <c r="EV64" s="1321"/>
      <c r="EW64" s="1321"/>
      <c r="EX64" s="1321"/>
      <c r="EY64" s="1321"/>
      <c r="EZ64" s="1321"/>
      <c r="FA64" s="1321"/>
      <c r="FB64" s="1321"/>
    </row>
    <row r="65" spans="1:158">
      <c r="A65" s="118" t="s">
        <v>1556</v>
      </c>
      <c r="B65" s="596">
        <f t="shared" ref="B65:E65" si="14">1-B64</f>
        <v>0</v>
      </c>
      <c r="C65" s="596">
        <f t="shared" si="14"/>
        <v>0</v>
      </c>
      <c r="D65" s="596">
        <f t="shared" si="14"/>
        <v>0</v>
      </c>
      <c r="E65" s="596">
        <f t="shared" si="14"/>
        <v>0</v>
      </c>
      <c r="F65" s="1123">
        <f t="shared" ref="F65:G65" si="15">1-F64</f>
        <v>0</v>
      </c>
      <c r="G65" s="1123">
        <f t="shared" si="15"/>
        <v>0</v>
      </c>
      <c r="H65" s="1123">
        <f t="shared" ref="H65:W65" si="16">1-H64</f>
        <v>0</v>
      </c>
      <c r="I65" s="1123">
        <f t="shared" si="16"/>
        <v>0</v>
      </c>
      <c r="J65" s="1123">
        <f t="shared" si="16"/>
        <v>0</v>
      </c>
      <c r="K65" s="1123">
        <f t="shared" si="16"/>
        <v>0</v>
      </c>
      <c r="L65" s="1123">
        <f t="shared" si="16"/>
        <v>0</v>
      </c>
      <c r="M65" s="1123">
        <f t="shared" si="16"/>
        <v>0</v>
      </c>
      <c r="N65" s="1123">
        <f t="shared" si="16"/>
        <v>0</v>
      </c>
      <c r="O65" s="1123">
        <f t="shared" si="16"/>
        <v>0</v>
      </c>
      <c r="P65" s="596">
        <f t="shared" si="16"/>
        <v>0</v>
      </c>
      <c r="Q65" s="596">
        <f t="shared" si="16"/>
        <v>0</v>
      </c>
      <c r="R65" s="596">
        <f t="shared" si="16"/>
        <v>0</v>
      </c>
      <c r="S65" s="596">
        <f t="shared" si="16"/>
        <v>0</v>
      </c>
      <c r="T65" s="596">
        <f t="shared" si="16"/>
        <v>0</v>
      </c>
      <c r="U65" s="596">
        <f t="shared" si="16"/>
        <v>0</v>
      </c>
      <c r="V65" s="596">
        <f t="shared" si="16"/>
        <v>0</v>
      </c>
      <c r="W65" s="596">
        <f t="shared" si="16"/>
        <v>1</v>
      </c>
      <c r="X65" s="596">
        <f t="shared" ref="X65:AE65" si="17">1-X64</f>
        <v>1</v>
      </c>
      <c r="Y65" s="596">
        <f t="shared" si="17"/>
        <v>0</v>
      </c>
      <c r="Z65" s="596">
        <f t="shared" si="17"/>
        <v>0</v>
      </c>
      <c r="AA65" s="1073">
        <f t="shared" si="17"/>
        <v>0</v>
      </c>
      <c r="AB65" s="1073">
        <f t="shared" si="17"/>
        <v>0</v>
      </c>
      <c r="AC65" s="1073">
        <f t="shared" si="17"/>
        <v>0</v>
      </c>
      <c r="AD65" s="1073">
        <f t="shared" si="17"/>
        <v>0</v>
      </c>
      <c r="AE65" s="1073">
        <f t="shared" si="17"/>
        <v>0</v>
      </c>
      <c r="AF65" s="1321"/>
      <c r="AG65" s="1321"/>
      <c r="AH65" s="1321"/>
      <c r="AI65" s="1321"/>
      <c r="AJ65" s="1321"/>
      <c r="AK65" s="1321"/>
      <c r="AL65" s="1321"/>
      <c r="AM65" s="1321"/>
      <c r="AN65" s="1321"/>
      <c r="AO65" s="1321"/>
      <c r="AP65" s="1321"/>
      <c r="AQ65" s="1321"/>
      <c r="AR65" s="1321"/>
      <c r="AS65" s="1321"/>
      <c r="AT65" s="1321"/>
      <c r="AU65" s="1321"/>
      <c r="AV65" s="1321"/>
      <c r="AW65" s="1321"/>
      <c r="AX65" s="1321"/>
      <c r="AY65" s="1321"/>
      <c r="AZ65" s="1321"/>
      <c r="BA65" s="1321"/>
      <c r="BB65" s="1321"/>
      <c r="BC65" s="1321"/>
      <c r="BD65" s="1321"/>
      <c r="BE65" s="1321"/>
      <c r="BF65" s="1321"/>
      <c r="BG65" s="1321"/>
      <c r="BH65" s="1321"/>
      <c r="BI65" s="1321"/>
      <c r="BJ65" s="1321"/>
      <c r="BK65" s="1321"/>
      <c r="BL65" s="1321"/>
      <c r="BM65" s="1321"/>
      <c r="BN65" s="1321"/>
      <c r="BO65" s="1321"/>
      <c r="BP65" s="1321"/>
      <c r="BQ65" s="1321"/>
      <c r="BR65" s="1321"/>
      <c r="BS65" s="1321"/>
      <c r="BT65" s="1321"/>
      <c r="BU65" s="1321"/>
      <c r="BV65" s="1321"/>
      <c r="BW65" s="1321"/>
      <c r="BX65" s="1321"/>
      <c r="BY65" s="1321"/>
      <c r="BZ65" s="1321"/>
      <c r="CA65" s="1321"/>
      <c r="CB65" s="1321"/>
      <c r="CC65" s="1321"/>
      <c r="CD65" s="1321"/>
      <c r="CE65" s="1321"/>
      <c r="CF65" s="1321"/>
      <c r="CG65" s="1321"/>
      <c r="CH65" s="1321"/>
      <c r="CI65" s="1321"/>
      <c r="CJ65" s="1321"/>
      <c r="CK65" s="1321"/>
      <c r="CL65" s="1321"/>
      <c r="CM65" s="1321"/>
      <c r="CN65" s="1321"/>
      <c r="CO65" s="1321"/>
      <c r="CP65" s="1321"/>
      <c r="CQ65" s="1321"/>
      <c r="CR65" s="1321"/>
      <c r="CS65" s="1321"/>
      <c r="CT65" s="1321"/>
      <c r="CU65" s="1321"/>
      <c r="CV65" s="1321"/>
      <c r="CW65" s="1321"/>
      <c r="CX65" s="1321"/>
      <c r="CY65" s="1321"/>
      <c r="CZ65" s="1321"/>
      <c r="DA65" s="1321"/>
      <c r="DB65" s="1321"/>
      <c r="DC65" s="1321"/>
      <c r="DD65" s="1321"/>
      <c r="DE65" s="1321"/>
      <c r="DF65" s="1321"/>
      <c r="DG65" s="1321"/>
      <c r="DH65" s="1321"/>
      <c r="DI65" s="1321"/>
      <c r="DJ65" s="1321"/>
      <c r="DK65" s="1321"/>
      <c r="DL65" s="1321"/>
      <c r="DM65" s="1321"/>
      <c r="DN65" s="1321"/>
      <c r="DO65" s="1321"/>
      <c r="DP65" s="1321"/>
      <c r="DQ65" s="1321"/>
      <c r="DR65" s="1321"/>
      <c r="DS65" s="1321"/>
      <c r="DT65" s="1321"/>
      <c r="DU65" s="1321"/>
      <c r="DV65" s="1321"/>
      <c r="DW65" s="1321"/>
      <c r="DX65" s="1321"/>
      <c r="DY65" s="1321"/>
      <c r="DZ65" s="1321"/>
      <c r="EA65" s="1321"/>
      <c r="EB65" s="1321"/>
      <c r="EC65" s="1321"/>
      <c r="ED65" s="1321"/>
      <c r="EE65" s="1321"/>
      <c r="EF65" s="1321"/>
      <c r="EG65" s="1321"/>
      <c r="EH65" s="1321"/>
      <c r="EI65" s="1321"/>
      <c r="EJ65" s="1321"/>
      <c r="EK65" s="1321"/>
      <c r="EL65" s="1321"/>
      <c r="EM65" s="1321"/>
      <c r="EN65" s="1321"/>
      <c r="EO65" s="1321"/>
      <c r="EP65" s="1321"/>
      <c r="EQ65" s="1321"/>
      <c r="ER65" s="1321"/>
      <c r="ES65" s="1321"/>
      <c r="ET65" s="1321"/>
      <c r="EU65" s="1321"/>
      <c r="EV65" s="1321"/>
      <c r="EW65" s="1321"/>
      <c r="EX65" s="1321"/>
      <c r="EY65" s="1321"/>
      <c r="EZ65" s="1321"/>
      <c r="FA65" s="1321"/>
      <c r="FB65" s="1321"/>
    </row>
    <row r="66" spans="1:158">
      <c r="A66" s="1321"/>
      <c r="B66" s="1321"/>
      <c r="C66" s="1321"/>
      <c r="D66" s="1321"/>
      <c r="E66" s="1321"/>
      <c r="F66" s="1321"/>
      <c r="G66" s="1321"/>
      <c r="H66" s="1321"/>
      <c r="I66" s="1321"/>
      <c r="J66" s="1321"/>
      <c r="K66" s="1321"/>
      <c r="L66" s="1321"/>
      <c r="M66" s="1321"/>
      <c r="N66" s="1321"/>
      <c r="O66" s="1321"/>
      <c r="P66" s="1321"/>
      <c r="Q66" s="1321"/>
      <c r="R66" s="1321"/>
      <c r="S66" s="1321"/>
      <c r="T66" s="1321"/>
      <c r="U66" s="1321"/>
      <c r="V66" s="1321"/>
      <c r="W66" s="1321"/>
      <c r="X66" s="1321"/>
      <c r="Y66" s="1321"/>
      <c r="Z66" s="1321"/>
      <c r="AA66" s="1321"/>
      <c r="AB66" s="1321"/>
      <c r="AC66" s="1321"/>
      <c r="AD66" s="1321"/>
      <c r="AE66" s="1321"/>
      <c r="AF66" s="1321"/>
      <c r="AG66" s="1321"/>
      <c r="AH66" s="1321"/>
      <c r="AI66" s="1321"/>
      <c r="AJ66" s="1321"/>
      <c r="AK66" s="1321"/>
      <c r="AL66" s="1321"/>
      <c r="AM66" s="1321"/>
      <c r="AN66" s="1321"/>
      <c r="AO66" s="1321"/>
      <c r="AP66" s="1321"/>
      <c r="AQ66" s="1321"/>
      <c r="AR66" s="1321"/>
      <c r="AS66" s="1321"/>
      <c r="AT66" s="1321"/>
      <c r="AU66" s="1321"/>
      <c r="AV66" s="1321"/>
      <c r="AW66" s="1321"/>
      <c r="AX66" s="1321"/>
      <c r="AY66" s="1321"/>
      <c r="AZ66" s="1321"/>
      <c r="BA66" s="1321"/>
      <c r="BB66" s="1321"/>
      <c r="BC66" s="1321"/>
      <c r="BD66" s="1321"/>
      <c r="BE66" s="1321"/>
      <c r="BF66" s="1321"/>
      <c r="BG66" s="1321"/>
      <c r="BH66" s="1321"/>
      <c r="BI66" s="1321"/>
      <c r="BJ66" s="1321"/>
      <c r="BK66" s="1321"/>
      <c r="BL66" s="1321"/>
      <c r="BM66" s="1321"/>
      <c r="BN66" s="1321"/>
      <c r="BO66" s="1321"/>
      <c r="BP66" s="1321"/>
      <c r="BQ66" s="1321"/>
      <c r="BR66" s="1321"/>
      <c r="BS66" s="1321"/>
      <c r="BT66" s="1321"/>
      <c r="BU66" s="1321"/>
      <c r="BV66" s="1321"/>
      <c r="BW66" s="1321"/>
      <c r="BX66" s="1321"/>
      <c r="BY66" s="1321"/>
      <c r="BZ66" s="1321"/>
      <c r="CA66" s="1321"/>
      <c r="CB66" s="1321"/>
      <c r="CC66" s="1321"/>
      <c r="CD66" s="1321"/>
      <c r="CE66" s="1321"/>
      <c r="CF66" s="1321"/>
      <c r="CG66" s="1321"/>
      <c r="CH66" s="1321"/>
      <c r="CI66" s="1321"/>
      <c r="CJ66" s="1321"/>
      <c r="CK66" s="1321"/>
      <c r="CL66" s="1321"/>
      <c r="CM66" s="1321"/>
      <c r="CN66" s="1321"/>
      <c r="CO66" s="1321"/>
      <c r="CP66" s="1321"/>
      <c r="CQ66" s="1321"/>
      <c r="CR66" s="1321"/>
      <c r="CS66" s="1321"/>
      <c r="CT66" s="1321"/>
      <c r="CU66" s="1321"/>
      <c r="CV66" s="1321"/>
      <c r="CW66" s="1321"/>
      <c r="CX66" s="1321"/>
      <c r="CY66" s="1321"/>
      <c r="CZ66" s="1321"/>
      <c r="DA66" s="1321"/>
      <c r="DB66" s="1321"/>
      <c r="DC66" s="1321"/>
      <c r="DD66" s="1321"/>
      <c r="DE66" s="1321"/>
      <c r="DF66" s="1321"/>
      <c r="DG66" s="1321"/>
      <c r="DH66" s="1321"/>
      <c r="DI66" s="1321"/>
      <c r="DJ66" s="1321"/>
      <c r="DK66" s="1321"/>
      <c r="DL66" s="1321"/>
      <c r="DM66" s="1321"/>
      <c r="DN66" s="1321"/>
      <c r="DO66" s="1321"/>
      <c r="DP66" s="1321"/>
      <c r="DQ66" s="1321"/>
      <c r="DR66" s="1321"/>
      <c r="DS66" s="1321"/>
      <c r="DT66" s="1321"/>
      <c r="DU66" s="1321"/>
      <c r="DV66" s="1321"/>
      <c r="DW66" s="1321"/>
      <c r="DX66" s="1321"/>
      <c r="DY66" s="1321"/>
      <c r="DZ66" s="1321"/>
      <c r="EA66" s="1321"/>
      <c r="EB66" s="1321"/>
      <c r="EC66" s="1321"/>
      <c r="ED66" s="1321"/>
      <c r="EE66" s="1321"/>
      <c r="EF66" s="1321"/>
      <c r="EG66" s="1321"/>
      <c r="EH66" s="1321"/>
      <c r="EI66" s="1321"/>
      <c r="EJ66" s="1321"/>
      <c r="EK66" s="1321"/>
      <c r="EL66" s="1321"/>
      <c r="EM66" s="1321"/>
      <c r="EN66" s="1321"/>
      <c r="EO66" s="1321"/>
      <c r="EP66" s="1321"/>
      <c r="EQ66" s="1321"/>
      <c r="ER66" s="1321"/>
      <c r="ES66" s="1321"/>
      <c r="ET66" s="1321"/>
      <c r="EU66" s="1321"/>
      <c r="EV66" s="1321"/>
      <c r="EW66" s="1321"/>
      <c r="EX66" s="1321"/>
      <c r="EY66" s="1321"/>
      <c r="EZ66" s="1321"/>
      <c r="FA66" s="1321"/>
      <c r="FB66" s="1321"/>
    </row>
    <row r="67" spans="1:158" ht="15">
      <c r="A67" s="120" t="s">
        <v>784</v>
      </c>
      <c r="B67" s="1321"/>
      <c r="C67" s="1321"/>
      <c r="D67" s="1321"/>
      <c r="E67" s="1321"/>
      <c r="F67" s="1321"/>
      <c r="G67" s="1321"/>
      <c r="H67" s="1321"/>
      <c r="I67" s="1321"/>
      <c r="J67" s="1321"/>
      <c r="K67" s="1321"/>
      <c r="L67" s="1321"/>
      <c r="M67" s="1321"/>
      <c r="N67" s="1321"/>
      <c r="O67" s="1321"/>
      <c r="P67" s="1321"/>
      <c r="Q67" s="1321"/>
      <c r="R67" s="1321"/>
      <c r="S67" s="1321"/>
      <c r="T67" s="1321"/>
      <c r="U67" s="1321"/>
      <c r="V67" s="1321"/>
      <c r="W67" s="1321"/>
      <c r="X67" s="1321"/>
      <c r="Y67" s="1321"/>
      <c r="Z67" s="1321"/>
      <c r="AA67" s="1321"/>
      <c r="AB67" s="1321"/>
      <c r="AC67" s="1321"/>
      <c r="AD67" s="1321"/>
      <c r="AE67" s="1321"/>
      <c r="AF67" s="1321"/>
      <c r="AG67" s="1321"/>
      <c r="AH67" s="1321"/>
      <c r="AI67" s="1321"/>
      <c r="AJ67" s="1321"/>
      <c r="AK67" s="1321"/>
      <c r="AL67" s="1321"/>
      <c r="AM67" s="1321"/>
      <c r="AN67" s="1321"/>
      <c r="AO67" s="1321"/>
      <c r="AP67" s="1321"/>
      <c r="AQ67" s="1321"/>
      <c r="AR67" s="1321"/>
      <c r="AS67" s="1321"/>
      <c r="AT67" s="1321"/>
      <c r="AU67" s="1321"/>
      <c r="AV67" s="1321"/>
      <c r="AW67" s="1321"/>
      <c r="AX67" s="1321"/>
      <c r="AY67" s="1321"/>
      <c r="AZ67" s="1321"/>
      <c r="BA67" s="1321"/>
      <c r="BB67" s="1321"/>
      <c r="BC67" s="1321"/>
      <c r="BD67" s="1321"/>
      <c r="BE67" s="1321"/>
      <c r="BF67" s="1321"/>
      <c r="BG67" s="1321"/>
      <c r="BH67" s="1321"/>
      <c r="BI67" s="1321"/>
      <c r="BJ67" s="1321"/>
      <c r="BK67" s="1321"/>
      <c r="BL67" s="1321"/>
      <c r="BM67" s="1321"/>
      <c r="BN67" s="1321"/>
      <c r="BO67" s="1321"/>
      <c r="BP67" s="1321"/>
      <c r="BQ67" s="1321"/>
      <c r="BR67" s="1321"/>
      <c r="BS67" s="1321"/>
      <c r="BT67" s="1321"/>
      <c r="BU67" s="1321"/>
      <c r="BV67" s="1321"/>
      <c r="BW67" s="1321"/>
      <c r="BX67" s="1321"/>
      <c r="BY67" s="1321"/>
      <c r="BZ67" s="1321"/>
      <c r="CA67" s="1321"/>
      <c r="CB67" s="1321"/>
      <c r="CC67" s="1321"/>
      <c r="CD67" s="1321"/>
      <c r="CE67" s="1321"/>
      <c r="CF67" s="1321"/>
      <c r="CG67" s="1321"/>
      <c r="CH67" s="1321"/>
      <c r="CI67" s="1321"/>
      <c r="CJ67" s="1321"/>
      <c r="CK67" s="1321"/>
      <c r="CL67" s="1321"/>
      <c r="CM67" s="1321"/>
      <c r="CN67" s="1321"/>
      <c r="CO67" s="1321"/>
      <c r="CP67" s="1321"/>
      <c r="CQ67" s="1321"/>
      <c r="CR67" s="1321"/>
      <c r="CS67" s="1321"/>
      <c r="CT67" s="1321"/>
      <c r="CU67" s="1321"/>
      <c r="CV67" s="1321"/>
      <c r="CW67" s="1321"/>
      <c r="CX67" s="1321"/>
      <c r="CY67" s="1321"/>
      <c r="CZ67" s="1321"/>
      <c r="DA67" s="1321"/>
      <c r="DB67" s="1321"/>
      <c r="DC67" s="1321"/>
      <c r="DD67" s="1321"/>
      <c r="DE67" s="1321"/>
      <c r="DF67" s="1321"/>
      <c r="DG67" s="1321"/>
      <c r="DH67" s="1321"/>
      <c r="DI67" s="1321"/>
      <c r="DJ67" s="1321"/>
      <c r="DK67" s="1321"/>
      <c r="DL67" s="1321"/>
      <c r="DM67" s="1321"/>
      <c r="DN67" s="1321"/>
      <c r="DO67" s="1321"/>
      <c r="DP67" s="1321"/>
      <c r="DQ67" s="1321"/>
      <c r="DR67" s="1321"/>
      <c r="DS67" s="1321"/>
      <c r="DT67" s="1321"/>
      <c r="DU67" s="1321"/>
      <c r="DV67" s="1321"/>
      <c r="DW67" s="1321"/>
      <c r="DX67" s="1321"/>
      <c r="DY67" s="1321"/>
      <c r="DZ67" s="1321"/>
      <c r="EA67" s="1321"/>
      <c r="EB67" s="1321"/>
      <c r="EC67" s="1321"/>
      <c r="ED67" s="1321"/>
      <c r="EE67" s="1321"/>
      <c r="EF67" s="1321"/>
      <c r="EG67" s="1321"/>
      <c r="EH67" s="1321"/>
      <c r="EI67" s="1321"/>
      <c r="EJ67" s="1321"/>
      <c r="EK67" s="1321"/>
      <c r="EL67" s="1321"/>
      <c r="EM67" s="1321"/>
      <c r="EN67" s="1321"/>
      <c r="EO67" s="1321"/>
      <c r="EP67" s="1321"/>
      <c r="EQ67" s="1321"/>
      <c r="ER67" s="1321"/>
      <c r="ES67" s="1321"/>
      <c r="ET67" s="1321"/>
      <c r="EU67" s="1321"/>
      <c r="EV67" s="1321"/>
      <c r="EW67" s="1321"/>
      <c r="EX67" s="1321"/>
      <c r="EY67" s="1321"/>
      <c r="EZ67" s="1321"/>
      <c r="FA67" s="1321"/>
      <c r="FB67" s="1321"/>
    </row>
    <row r="68" spans="1:158" ht="41.25" customHeight="1">
      <c r="A68" s="293"/>
      <c r="B68" s="2998" t="s">
        <v>1729</v>
      </c>
      <c r="C68" s="3012"/>
      <c r="D68" s="2999"/>
      <c r="E68" s="2998" t="s">
        <v>1730</v>
      </c>
      <c r="F68" s="3012"/>
      <c r="G68" s="2999"/>
      <c r="H68" s="2998" t="s">
        <v>1756</v>
      </c>
      <c r="I68" s="3012"/>
      <c r="J68" s="2999"/>
      <c r="K68" s="2998" t="s">
        <v>1732</v>
      </c>
      <c r="L68" s="3012"/>
      <c r="M68" s="2999"/>
      <c r="N68" s="2980" t="s">
        <v>1757</v>
      </c>
      <c r="O68" s="3013"/>
      <c r="P68" s="2981"/>
      <c r="Q68" s="2980" t="s">
        <v>1734</v>
      </c>
      <c r="R68" s="3013"/>
      <c r="S68" s="2981"/>
      <c r="T68" s="2980" t="s">
        <v>1758</v>
      </c>
      <c r="U68" s="3013"/>
      <c r="V68" s="2981"/>
      <c r="W68" s="2980" t="s">
        <v>1736</v>
      </c>
      <c r="X68" s="3013"/>
      <c r="Y68" s="2981"/>
      <c r="Z68" s="2980" t="s">
        <v>1759</v>
      </c>
      <c r="AA68" s="3013"/>
      <c r="AB68" s="2981"/>
      <c r="AC68" s="2980" t="s">
        <v>1738</v>
      </c>
      <c r="AD68" s="3013"/>
      <c r="AE68" s="2981"/>
      <c r="AF68" s="2980" t="s">
        <v>1760</v>
      </c>
      <c r="AG68" s="3013"/>
      <c r="AH68" s="2981"/>
      <c r="AI68" s="2980" t="s">
        <v>1740</v>
      </c>
      <c r="AJ68" s="3013"/>
      <c r="AK68" s="2981"/>
      <c r="AL68" s="2980" t="s">
        <v>1761</v>
      </c>
      <c r="AM68" s="3013"/>
      <c r="AN68" s="2981"/>
      <c r="AO68" s="2980" t="s">
        <v>1742</v>
      </c>
      <c r="AP68" s="3013"/>
      <c r="AQ68" s="2981"/>
      <c r="AR68" s="2998" t="s">
        <v>1762</v>
      </c>
      <c r="AS68" s="3012"/>
      <c r="AT68" s="2999"/>
      <c r="AU68" s="2998" t="s">
        <v>1744</v>
      </c>
      <c r="AV68" s="3012"/>
      <c r="AW68" s="2999"/>
      <c r="AX68" s="2998" t="s">
        <v>1745</v>
      </c>
      <c r="AY68" s="3012"/>
      <c r="AZ68" s="2999"/>
      <c r="BA68" s="2998" t="s">
        <v>1763</v>
      </c>
      <c r="BB68" s="3012"/>
      <c r="BC68" s="2999"/>
      <c r="BD68" s="2998" t="s">
        <v>1747</v>
      </c>
      <c r="BE68" s="3012"/>
      <c r="BF68" s="2999"/>
      <c r="BG68" s="2998" t="s">
        <v>1764</v>
      </c>
      <c r="BH68" s="3012"/>
      <c r="BI68" s="2999"/>
      <c r="BJ68" s="2998" t="s">
        <v>1765</v>
      </c>
      <c r="BK68" s="3012"/>
      <c r="BL68" s="2999"/>
      <c r="BM68" s="2998" t="s">
        <v>1751</v>
      </c>
      <c r="BN68" s="3012"/>
      <c r="BO68" s="2999"/>
      <c r="BP68" s="2998" t="s">
        <v>1766</v>
      </c>
      <c r="BQ68" s="3012"/>
      <c r="BR68" s="2999"/>
      <c r="BS68" s="2998" t="s">
        <v>1767</v>
      </c>
      <c r="BT68" s="3012"/>
      <c r="BU68" s="2999"/>
      <c r="BV68" s="2998" t="s">
        <v>1768</v>
      </c>
      <c r="BW68" s="3012"/>
      <c r="BX68" s="2999"/>
      <c r="BY68" s="2998" t="s">
        <v>1769</v>
      </c>
      <c r="BZ68" s="3012"/>
      <c r="CA68" s="2999"/>
      <c r="CB68" s="2998" t="s">
        <v>1755</v>
      </c>
      <c r="CC68" s="3012"/>
      <c r="CD68" s="2999"/>
      <c r="CE68" s="2998" t="s">
        <v>1770</v>
      </c>
      <c r="CF68" s="2999"/>
      <c r="CG68" s="1321"/>
      <c r="CH68" s="1321"/>
      <c r="CI68" s="1321"/>
      <c r="CJ68" s="1321"/>
      <c r="CK68" s="1321"/>
      <c r="CL68" s="1321"/>
      <c r="CM68" s="1321"/>
      <c r="CN68" s="1321"/>
      <c r="CO68" s="1321"/>
      <c r="CP68" s="1321"/>
      <c r="CQ68" s="1321"/>
      <c r="CR68" s="1321"/>
      <c r="CS68" s="1321"/>
      <c r="CT68" s="1321"/>
      <c r="CU68" s="1321"/>
      <c r="CV68" s="1321"/>
      <c r="CW68" s="1321"/>
      <c r="CX68" s="1321"/>
      <c r="CY68" s="1321"/>
      <c r="CZ68" s="1321"/>
      <c r="DA68" s="1321"/>
      <c r="DB68" s="1321"/>
      <c r="DC68" s="1321"/>
      <c r="DD68" s="1321"/>
      <c r="DE68" s="1321"/>
      <c r="DF68" s="1321"/>
      <c r="DG68" s="1321"/>
      <c r="DH68" s="1321"/>
      <c r="DI68" s="1321"/>
      <c r="DJ68" s="1321"/>
      <c r="DK68" s="1321"/>
      <c r="DL68" s="1321"/>
      <c r="DM68" s="1321"/>
      <c r="DN68" s="1321"/>
      <c r="DO68" s="1321"/>
      <c r="DP68" s="1321"/>
      <c r="DQ68" s="1321"/>
      <c r="DR68" s="1321"/>
      <c r="DS68" s="1321"/>
      <c r="DT68" s="1321"/>
      <c r="DU68" s="1321"/>
      <c r="DV68" s="1321"/>
      <c r="DW68" s="1321"/>
      <c r="DX68" s="1321"/>
      <c r="DY68" s="1321"/>
      <c r="DZ68" s="1321"/>
      <c r="EA68" s="1321"/>
      <c r="EB68" s="1321"/>
      <c r="EC68" s="1321"/>
      <c r="ED68" s="1321"/>
      <c r="EE68" s="1321"/>
      <c r="EF68" s="1321"/>
      <c r="EG68" s="1321"/>
      <c r="EH68" s="1321"/>
      <c r="EI68" s="1321"/>
      <c r="EJ68" s="1321"/>
      <c r="EK68" s="1321"/>
      <c r="EL68" s="1321"/>
      <c r="EM68" s="1321"/>
      <c r="EN68" s="1321"/>
      <c r="EO68" s="1321"/>
      <c r="EP68" s="1321"/>
      <c r="EQ68" s="1321"/>
      <c r="ER68" s="1321"/>
      <c r="ES68" s="1321"/>
      <c r="ET68" s="1321"/>
      <c r="EU68" s="1321"/>
      <c r="EV68" s="1321"/>
      <c r="EW68" s="1321"/>
      <c r="EX68" s="1321"/>
      <c r="EY68" s="1321"/>
      <c r="EZ68" s="1321"/>
      <c r="FA68" s="1321"/>
      <c r="FB68" s="1321"/>
    </row>
    <row r="69" spans="1:158" ht="81.75" customHeight="1">
      <c r="A69" s="336"/>
      <c r="B69" s="1342" t="s">
        <v>785</v>
      </c>
      <c r="C69" s="1338" t="s">
        <v>786</v>
      </c>
      <c r="D69" s="1339" t="s">
        <v>1057</v>
      </c>
      <c r="E69" s="1342" t="s">
        <v>785</v>
      </c>
      <c r="F69" s="1338" t="s">
        <v>786</v>
      </c>
      <c r="G69" s="1339" t="s">
        <v>1057</v>
      </c>
      <c r="H69" s="1342" t="s">
        <v>785</v>
      </c>
      <c r="I69" s="1338" t="s">
        <v>786</v>
      </c>
      <c r="J69" s="1339" t="s">
        <v>1057</v>
      </c>
      <c r="K69" s="1342" t="s">
        <v>785</v>
      </c>
      <c r="L69" s="1338" t="s">
        <v>786</v>
      </c>
      <c r="M69" s="1339" t="s">
        <v>1057</v>
      </c>
      <c r="N69" s="1562" t="s">
        <v>785</v>
      </c>
      <c r="O69" s="1345" t="s">
        <v>786</v>
      </c>
      <c r="P69" s="1343" t="s">
        <v>1057</v>
      </c>
      <c r="Q69" s="1562" t="s">
        <v>785</v>
      </c>
      <c r="R69" s="1345" t="s">
        <v>786</v>
      </c>
      <c r="S69" s="1343" t="s">
        <v>1057</v>
      </c>
      <c r="T69" s="1562" t="s">
        <v>785</v>
      </c>
      <c r="U69" s="1345" t="s">
        <v>786</v>
      </c>
      <c r="V69" s="1343" t="s">
        <v>1057</v>
      </c>
      <c r="W69" s="1562" t="s">
        <v>785</v>
      </c>
      <c r="X69" s="1345" t="s">
        <v>786</v>
      </c>
      <c r="Y69" s="1343" t="s">
        <v>1057</v>
      </c>
      <c r="Z69" s="1562" t="s">
        <v>785</v>
      </c>
      <c r="AA69" s="1345" t="s">
        <v>786</v>
      </c>
      <c r="AB69" s="1343" t="s">
        <v>1057</v>
      </c>
      <c r="AC69" s="1562" t="s">
        <v>785</v>
      </c>
      <c r="AD69" s="1345" t="s">
        <v>786</v>
      </c>
      <c r="AE69" s="1343" t="s">
        <v>1057</v>
      </c>
      <c r="AF69" s="1562" t="s">
        <v>785</v>
      </c>
      <c r="AG69" s="1345" t="s">
        <v>786</v>
      </c>
      <c r="AH69" s="1343" t="s">
        <v>1057</v>
      </c>
      <c r="AI69" s="1562" t="s">
        <v>785</v>
      </c>
      <c r="AJ69" s="1345" t="s">
        <v>786</v>
      </c>
      <c r="AK69" s="1343" t="s">
        <v>1057</v>
      </c>
      <c r="AL69" s="1562" t="s">
        <v>785</v>
      </c>
      <c r="AM69" s="1345" t="s">
        <v>786</v>
      </c>
      <c r="AN69" s="1343" t="s">
        <v>1057</v>
      </c>
      <c r="AO69" s="1562" t="s">
        <v>785</v>
      </c>
      <c r="AP69" s="1345" t="s">
        <v>786</v>
      </c>
      <c r="AQ69" s="1343" t="s">
        <v>1057</v>
      </c>
      <c r="AR69" s="1562" t="s">
        <v>785</v>
      </c>
      <c r="AS69" s="1345" t="s">
        <v>786</v>
      </c>
      <c r="AT69" s="1343" t="s">
        <v>1057</v>
      </c>
      <c r="AU69" s="1562" t="s">
        <v>785</v>
      </c>
      <c r="AV69" s="1345" t="s">
        <v>786</v>
      </c>
      <c r="AW69" s="1343" t="s">
        <v>1057</v>
      </c>
      <c r="AX69" s="1562" t="s">
        <v>785</v>
      </c>
      <c r="AY69" s="1345" t="s">
        <v>786</v>
      </c>
      <c r="AZ69" s="1343" t="s">
        <v>1057</v>
      </c>
      <c r="BA69" s="1562" t="s">
        <v>785</v>
      </c>
      <c r="BB69" s="1345" t="s">
        <v>786</v>
      </c>
      <c r="BC69" s="1343" t="s">
        <v>1057</v>
      </c>
      <c r="BD69" s="1562" t="s">
        <v>785</v>
      </c>
      <c r="BE69" s="1345" t="s">
        <v>786</v>
      </c>
      <c r="BF69" s="1343" t="s">
        <v>1057</v>
      </c>
      <c r="BG69" s="1562" t="s">
        <v>785</v>
      </c>
      <c r="BH69" s="1345" t="s">
        <v>786</v>
      </c>
      <c r="BI69" s="1343" t="s">
        <v>1057</v>
      </c>
      <c r="BJ69" s="1562" t="s">
        <v>785</v>
      </c>
      <c r="BK69" s="1345" t="s">
        <v>786</v>
      </c>
      <c r="BL69" s="1343" t="s">
        <v>1057</v>
      </c>
      <c r="BM69" s="1562" t="s">
        <v>785</v>
      </c>
      <c r="BN69" s="1345" t="s">
        <v>786</v>
      </c>
      <c r="BO69" s="1343" t="s">
        <v>1057</v>
      </c>
      <c r="BP69" s="1562" t="s">
        <v>785</v>
      </c>
      <c r="BQ69" s="1345" t="s">
        <v>786</v>
      </c>
      <c r="BR69" s="1343" t="s">
        <v>1057</v>
      </c>
      <c r="BS69" s="1562" t="s">
        <v>785</v>
      </c>
      <c r="BT69" s="1345" t="s">
        <v>786</v>
      </c>
      <c r="BU69" s="1343" t="s">
        <v>1057</v>
      </c>
      <c r="BV69" s="1562" t="s">
        <v>785</v>
      </c>
      <c r="BW69" s="1345" t="s">
        <v>786</v>
      </c>
      <c r="BX69" s="1343" t="s">
        <v>1057</v>
      </c>
      <c r="BY69" s="1562" t="s">
        <v>785</v>
      </c>
      <c r="BZ69" s="1345" t="s">
        <v>786</v>
      </c>
      <c r="CA69" s="1343" t="s">
        <v>1057</v>
      </c>
      <c r="CB69" s="1562" t="s">
        <v>785</v>
      </c>
      <c r="CC69" s="1345" t="s">
        <v>786</v>
      </c>
      <c r="CD69" s="1343" t="s">
        <v>1057</v>
      </c>
      <c r="CE69" s="70" t="s">
        <v>785</v>
      </c>
      <c r="CF69" s="71" t="s">
        <v>786</v>
      </c>
      <c r="CG69" s="1321"/>
      <c r="CH69" s="1321"/>
      <c r="CI69" s="1321"/>
      <c r="CJ69" s="1321"/>
      <c r="CK69" s="1321"/>
      <c r="CL69" s="1321"/>
      <c r="CM69" s="1321"/>
      <c r="CN69" s="1321"/>
      <c r="CO69" s="1321"/>
      <c r="CP69" s="1321"/>
      <c r="CQ69" s="1321"/>
      <c r="CR69" s="1321"/>
      <c r="CS69" s="1321"/>
      <c r="CT69" s="1321"/>
      <c r="CU69" s="1321"/>
      <c r="CV69" s="1321"/>
      <c r="CW69" s="1321"/>
      <c r="CX69" s="1321"/>
      <c r="CY69" s="1321"/>
      <c r="CZ69" s="1321"/>
      <c r="DA69" s="1321"/>
      <c r="DB69" s="1321"/>
      <c r="DC69" s="1321"/>
      <c r="DD69" s="1321"/>
      <c r="DE69" s="1321"/>
      <c r="DF69" s="1321"/>
      <c r="DG69" s="1321"/>
      <c r="DH69" s="1321"/>
      <c r="DI69" s="1321"/>
      <c r="DJ69" s="1321"/>
      <c r="DK69" s="1321"/>
      <c r="DL69" s="1321"/>
      <c r="DM69" s="1321"/>
      <c r="DN69" s="1321"/>
      <c r="DO69" s="1321"/>
      <c r="DP69" s="1321"/>
      <c r="DQ69" s="1321"/>
      <c r="DR69" s="1321"/>
      <c r="DS69" s="1321"/>
      <c r="DT69" s="1321"/>
      <c r="DU69" s="1321"/>
      <c r="DV69" s="1321"/>
      <c r="DW69" s="1321"/>
      <c r="DX69" s="1321"/>
      <c r="DY69" s="1321"/>
      <c r="DZ69" s="1321"/>
      <c r="EA69" s="1321"/>
      <c r="EB69" s="1321"/>
      <c r="EC69" s="1321"/>
      <c r="ED69" s="1321"/>
      <c r="EE69" s="1321"/>
      <c r="EF69" s="1321"/>
      <c r="EG69" s="1321"/>
      <c r="EH69" s="1321"/>
      <c r="EI69" s="1321"/>
      <c r="EJ69" s="1321"/>
      <c r="EK69" s="1321"/>
      <c r="EL69" s="1321"/>
      <c r="EM69" s="1321"/>
      <c r="EN69" s="1321"/>
      <c r="EO69" s="1321"/>
      <c r="EP69" s="1321"/>
      <c r="EQ69" s="1321"/>
      <c r="ER69" s="1321"/>
      <c r="ES69" s="1321"/>
      <c r="ET69" s="1321"/>
      <c r="EU69" s="1321"/>
      <c r="EV69" s="1321"/>
      <c r="EW69" s="1321"/>
      <c r="EX69" s="1321"/>
      <c r="EY69" s="1321"/>
      <c r="EZ69" s="1321"/>
      <c r="FA69" s="1321"/>
      <c r="FB69" s="1321"/>
    </row>
    <row r="70" spans="1:158">
      <c r="A70" s="337" t="s">
        <v>1559</v>
      </c>
      <c r="B70" s="234">
        <v>0</v>
      </c>
      <c r="C70" s="1"/>
      <c r="D70" s="51"/>
      <c r="E70" s="234">
        <v>0</v>
      </c>
      <c r="F70" s="1"/>
      <c r="G70" s="51"/>
      <c r="H70" s="578">
        <v>38.617765809099502</v>
      </c>
      <c r="I70" s="1"/>
      <c r="J70" s="51"/>
      <c r="K70" s="581">
        <v>21.669611374407602</v>
      </c>
      <c r="L70" s="1"/>
      <c r="M70" s="51"/>
      <c r="N70" s="578">
        <v>38.617765809099502</v>
      </c>
      <c r="O70" s="489"/>
      <c r="P70" s="140"/>
      <c r="Q70" s="581">
        <v>21.669611374407602</v>
      </c>
      <c r="R70" s="489"/>
      <c r="S70" s="140"/>
      <c r="T70" s="581">
        <v>38.617765809099502</v>
      </c>
      <c r="U70" s="489"/>
      <c r="V70" s="140"/>
      <c r="W70" s="581">
        <v>21.669611374407602</v>
      </c>
      <c r="X70" s="489"/>
      <c r="Y70" s="140"/>
      <c r="Z70" s="578">
        <v>38.617765809099502</v>
      </c>
      <c r="AA70" s="489"/>
      <c r="AB70" s="140"/>
      <c r="AC70" s="581">
        <v>21.669611374407602</v>
      </c>
      <c r="AD70" s="489"/>
      <c r="AE70" s="140"/>
      <c r="AF70" s="578">
        <v>38.617765809099502</v>
      </c>
      <c r="AG70" s="489"/>
      <c r="AH70" s="140"/>
      <c r="AI70" s="581">
        <v>24.7652701421801</v>
      </c>
      <c r="AJ70" s="489"/>
      <c r="AK70" s="140"/>
      <c r="AL70" s="1125">
        <v>31.595376279990262</v>
      </c>
      <c r="AM70" s="489"/>
      <c r="AN70" s="140"/>
      <c r="AO70" s="578">
        <v>23.453742710900499</v>
      </c>
      <c r="AP70" s="489"/>
      <c r="AQ70" s="140"/>
      <c r="AR70" s="578">
        <v>31.420908429113201</v>
      </c>
      <c r="AS70" s="489"/>
      <c r="AT70" s="140"/>
      <c r="AU70" s="578">
        <v>8.7739874202673391</v>
      </c>
      <c r="AV70" s="489"/>
      <c r="AW70" s="140"/>
      <c r="AX70" s="578">
        <v>2.73</v>
      </c>
      <c r="AY70" s="489"/>
      <c r="AZ70" s="140"/>
      <c r="BA70" s="581">
        <v>18.5739526066351</v>
      </c>
      <c r="BB70" s="489"/>
      <c r="BC70" s="140"/>
      <c r="BD70" s="578">
        <v>15</v>
      </c>
      <c r="BE70" s="489"/>
      <c r="BF70" s="140"/>
      <c r="BG70" s="578">
        <v>29.138339984232399</v>
      </c>
      <c r="BH70" s="489"/>
      <c r="BI70" s="140"/>
      <c r="BJ70" s="578">
        <v>2.5313202746164101</v>
      </c>
      <c r="BK70" s="489"/>
      <c r="BL70" s="140"/>
      <c r="BM70" s="578">
        <v>0.68</v>
      </c>
      <c r="BN70" s="489"/>
      <c r="BO70" s="140"/>
      <c r="BP70" s="578">
        <v>0</v>
      </c>
      <c r="BQ70" s="489"/>
      <c r="BR70" s="140"/>
      <c r="BS70" s="749">
        <v>0.25</v>
      </c>
      <c r="BT70" s="363"/>
      <c r="BU70" s="1013"/>
      <c r="BV70" s="749">
        <v>0</v>
      </c>
      <c r="BW70" s="363"/>
      <c r="BX70" s="1013"/>
      <c r="BY70" s="749">
        <v>38.617765809099502</v>
      </c>
      <c r="BZ70" s="363"/>
      <c r="CA70" s="1013"/>
      <c r="CB70" s="2615">
        <v>24.7652701421801</v>
      </c>
      <c r="CC70" s="363"/>
      <c r="CD70" s="1013"/>
      <c r="CE70" s="1074">
        <f>Mat_Inputs!B333/5.575</f>
        <v>0</v>
      </c>
      <c r="CF70" s="1029"/>
      <c r="CG70" s="1321"/>
      <c r="CH70" s="1321"/>
      <c r="CI70" s="1321"/>
      <c r="CJ70" s="1321"/>
      <c r="CK70" s="1321"/>
      <c r="CL70" s="1321"/>
      <c r="CM70" s="1321"/>
      <c r="CN70" s="1321"/>
      <c r="CO70" s="1321"/>
      <c r="CP70" s="1321"/>
      <c r="CQ70" s="1321"/>
      <c r="CR70" s="1321"/>
      <c r="CS70" s="1321"/>
      <c r="CT70" s="1321"/>
      <c r="CU70" s="1321"/>
      <c r="CV70" s="1321"/>
      <c r="CW70" s="1321"/>
      <c r="CX70" s="1321"/>
      <c r="CY70" s="1321"/>
      <c r="CZ70" s="1321"/>
      <c r="DA70" s="1321"/>
      <c r="DB70" s="1321"/>
      <c r="DC70" s="1321"/>
      <c r="DD70" s="1321"/>
      <c r="DE70" s="1321"/>
      <c r="DF70" s="1321"/>
      <c r="DG70" s="1321"/>
      <c r="DH70" s="1321"/>
      <c r="DI70" s="1321"/>
      <c r="DJ70" s="1321"/>
      <c r="DK70" s="1321"/>
      <c r="DL70" s="1321"/>
      <c r="DM70" s="1321"/>
      <c r="DN70" s="1321"/>
      <c r="DO70" s="1321"/>
      <c r="DP70" s="1321"/>
      <c r="DQ70" s="1321"/>
      <c r="DR70" s="1321"/>
      <c r="DS70" s="1321"/>
      <c r="DT70" s="1321"/>
      <c r="DU70" s="1321"/>
      <c r="DV70" s="1321"/>
      <c r="DW70" s="1321"/>
      <c r="DX70" s="1321"/>
      <c r="DY70" s="1321"/>
      <c r="DZ70" s="1321"/>
      <c r="EA70" s="1321"/>
      <c r="EB70" s="1321"/>
      <c r="EC70" s="1321"/>
      <c r="ED70" s="1321"/>
      <c r="EE70" s="1321"/>
      <c r="EF70" s="1321"/>
      <c r="EG70" s="1321"/>
      <c r="EH70" s="1321"/>
      <c r="EI70" s="1321"/>
      <c r="EJ70" s="1321"/>
      <c r="EK70" s="1321"/>
      <c r="EL70" s="1321"/>
      <c r="EM70" s="1321"/>
      <c r="EN70" s="1321"/>
      <c r="EO70" s="1321"/>
      <c r="EP70" s="1321"/>
      <c r="EQ70" s="1321"/>
      <c r="ER70" s="1321"/>
      <c r="ES70" s="1321"/>
      <c r="ET70" s="1321"/>
      <c r="EU70" s="1321"/>
      <c r="EV70" s="1321"/>
      <c r="EW70" s="1321"/>
      <c r="EX70" s="1321"/>
      <c r="EY70" s="1321"/>
      <c r="EZ70" s="1321"/>
      <c r="FA70" s="1321"/>
      <c r="FB70" s="1321"/>
    </row>
    <row r="71" spans="1:158">
      <c r="A71" s="290" t="s">
        <v>798</v>
      </c>
      <c r="B71" s="232">
        <v>0</v>
      </c>
      <c r="C71" s="127"/>
      <c r="D71" s="128"/>
      <c r="E71" s="232">
        <v>0</v>
      </c>
      <c r="F71" s="127"/>
      <c r="G71" s="128"/>
      <c r="H71" s="232">
        <v>0</v>
      </c>
      <c r="I71" s="127"/>
      <c r="J71" s="128"/>
      <c r="K71" s="232">
        <v>0</v>
      </c>
      <c r="L71" s="127"/>
      <c r="M71" s="128"/>
      <c r="N71" s="579">
        <v>0</v>
      </c>
      <c r="O71" s="151"/>
      <c r="P71" s="152"/>
      <c r="Q71" s="579">
        <v>0</v>
      </c>
      <c r="R71" s="151"/>
      <c r="S71" s="152"/>
      <c r="T71" s="579">
        <v>0</v>
      </c>
      <c r="U71" s="151"/>
      <c r="V71" s="152"/>
      <c r="W71" s="579">
        <v>0</v>
      </c>
      <c r="X71" s="151"/>
      <c r="Y71" s="152"/>
      <c r="Z71" s="579">
        <v>0</v>
      </c>
      <c r="AA71" s="151"/>
      <c r="AB71" s="152"/>
      <c r="AC71" s="579">
        <v>0</v>
      </c>
      <c r="AD71" s="151"/>
      <c r="AE71" s="152"/>
      <c r="AF71" s="579">
        <v>0</v>
      </c>
      <c r="AG71" s="151"/>
      <c r="AH71" s="152"/>
      <c r="AI71" s="579">
        <v>0</v>
      </c>
      <c r="AJ71" s="151"/>
      <c r="AK71" s="152"/>
      <c r="AL71" s="579">
        <v>0</v>
      </c>
      <c r="AM71" s="151"/>
      <c r="AN71" s="152"/>
      <c r="AO71" s="579">
        <v>0</v>
      </c>
      <c r="AP71" s="151"/>
      <c r="AQ71" s="152"/>
      <c r="AR71" s="579">
        <v>0</v>
      </c>
      <c r="AS71" s="151"/>
      <c r="AT71" s="152"/>
      <c r="AU71" s="579">
        <v>0</v>
      </c>
      <c r="AV71" s="151"/>
      <c r="AW71" s="152"/>
      <c r="AX71" s="579">
        <v>0</v>
      </c>
      <c r="AY71" s="151"/>
      <c r="AZ71" s="152"/>
      <c r="BA71" s="579">
        <v>0</v>
      </c>
      <c r="BB71" s="151"/>
      <c r="BC71" s="152"/>
      <c r="BD71" s="579">
        <v>0</v>
      </c>
      <c r="BE71" s="151"/>
      <c r="BF71" s="152"/>
      <c r="BG71" s="579">
        <v>0</v>
      </c>
      <c r="BH71" s="151"/>
      <c r="BI71" s="152"/>
      <c r="BJ71" s="579">
        <v>0</v>
      </c>
      <c r="BK71" s="151"/>
      <c r="BL71" s="152"/>
      <c r="BM71" s="579">
        <v>0</v>
      </c>
      <c r="BN71" s="151"/>
      <c r="BO71" s="152"/>
      <c r="BP71" s="579">
        <v>0</v>
      </c>
      <c r="BQ71" s="151"/>
      <c r="BR71" s="152"/>
      <c r="BS71" s="1061">
        <v>0</v>
      </c>
      <c r="BT71" s="1049"/>
      <c r="BU71" s="1064"/>
      <c r="BV71" s="1061">
        <v>0</v>
      </c>
      <c r="BW71" s="1049"/>
      <c r="BX71" s="1064"/>
      <c r="BY71" s="1061">
        <v>0</v>
      </c>
      <c r="BZ71" s="1049"/>
      <c r="CA71" s="1064"/>
      <c r="CB71" s="1061">
        <v>0</v>
      </c>
      <c r="CC71" s="1049"/>
      <c r="CD71" s="1064"/>
      <c r="CE71" s="1019">
        <v>0</v>
      </c>
      <c r="CF71" s="1031"/>
      <c r="CG71" s="1321"/>
      <c r="CH71" s="1321"/>
      <c r="CI71" s="1321"/>
      <c r="CJ71" s="1321"/>
      <c r="CK71" s="1321"/>
      <c r="CL71" s="1321"/>
      <c r="CM71" s="1321"/>
      <c r="CN71" s="1321"/>
      <c r="CO71" s="1321"/>
      <c r="CP71" s="1321"/>
      <c r="CQ71" s="1321"/>
      <c r="CR71" s="1321"/>
      <c r="CS71" s="1321"/>
      <c r="CT71" s="1321"/>
      <c r="CU71" s="1321"/>
      <c r="CV71" s="1321"/>
      <c r="CW71" s="1321"/>
      <c r="CX71" s="1321"/>
      <c r="CY71" s="1321"/>
      <c r="CZ71" s="1321"/>
      <c r="DA71" s="1321"/>
      <c r="DB71" s="1321"/>
      <c r="DC71" s="1321"/>
      <c r="DD71" s="1321"/>
      <c r="DE71" s="1321"/>
      <c r="DF71" s="1321"/>
      <c r="DG71" s="1321"/>
      <c r="DH71" s="1321"/>
      <c r="DI71" s="1321"/>
      <c r="DJ71" s="1321"/>
      <c r="DK71" s="1321"/>
      <c r="DL71" s="1321"/>
      <c r="DM71" s="1321"/>
      <c r="DN71" s="1321"/>
      <c r="DO71" s="1321"/>
      <c r="DP71" s="1321"/>
      <c r="DQ71" s="1321"/>
      <c r="DR71" s="1321"/>
      <c r="DS71" s="1321"/>
      <c r="DT71" s="1321"/>
      <c r="DU71" s="1321"/>
      <c r="DV71" s="1321"/>
      <c r="DW71" s="1321"/>
      <c r="DX71" s="1321"/>
      <c r="DY71" s="1321"/>
      <c r="DZ71" s="1321"/>
      <c r="EA71" s="1321"/>
      <c r="EB71" s="1321"/>
      <c r="EC71" s="1321"/>
      <c r="ED71" s="1321"/>
      <c r="EE71" s="1321"/>
      <c r="EF71" s="1321"/>
      <c r="EG71" s="1321"/>
      <c r="EH71" s="1321"/>
      <c r="EI71" s="1321"/>
      <c r="EJ71" s="1321"/>
      <c r="EK71" s="1321"/>
      <c r="EL71" s="1321"/>
      <c r="EM71" s="1321"/>
      <c r="EN71" s="1321"/>
      <c r="EO71" s="1321"/>
      <c r="EP71" s="1321"/>
      <c r="EQ71" s="1321"/>
      <c r="ER71" s="1321"/>
      <c r="ES71" s="1321"/>
      <c r="ET71" s="1321"/>
      <c r="EU71" s="1321"/>
      <c r="EV71" s="1321"/>
      <c r="EW71" s="1321"/>
      <c r="EX71" s="1321"/>
      <c r="EY71" s="1321"/>
      <c r="EZ71" s="1321"/>
      <c r="FA71" s="1321"/>
      <c r="FB71" s="1321"/>
    </row>
    <row r="72" spans="1:158">
      <c r="A72" s="293" t="s">
        <v>799</v>
      </c>
      <c r="B72" s="80"/>
      <c r="C72" s="131"/>
      <c r="D72" s="50"/>
      <c r="E72" s="80"/>
      <c r="F72" s="131"/>
      <c r="G72" s="50"/>
      <c r="H72" s="80"/>
      <c r="I72" s="131"/>
      <c r="J72" s="50"/>
      <c r="K72" s="80"/>
      <c r="L72" s="131"/>
      <c r="M72" s="50"/>
      <c r="N72" s="135"/>
      <c r="O72" s="1608"/>
      <c r="P72" s="525"/>
      <c r="Q72" s="135"/>
      <c r="R72" s="1608"/>
      <c r="S72" s="525"/>
      <c r="T72" s="135"/>
      <c r="U72" s="1608"/>
      <c r="V72" s="525"/>
      <c r="W72" s="135"/>
      <c r="X72" s="1608"/>
      <c r="Y72" s="525"/>
      <c r="Z72" s="135"/>
      <c r="AA72" s="1608"/>
      <c r="AB72" s="525"/>
      <c r="AC72" s="135"/>
      <c r="AD72" s="1608"/>
      <c r="AE72" s="525"/>
      <c r="AF72" s="135"/>
      <c r="AG72" s="1608"/>
      <c r="AH72" s="525"/>
      <c r="AI72" s="135"/>
      <c r="AJ72" s="1608"/>
      <c r="AK72" s="525"/>
      <c r="AL72" s="135"/>
      <c r="AM72" s="1608"/>
      <c r="AN72" s="525"/>
      <c r="AO72" s="135"/>
      <c r="AP72" s="1608"/>
      <c r="AQ72" s="525"/>
      <c r="AR72" s="135"/>
      <c r="AS72" s="1608"/>
      <c r="AT72" s="525"/>
      <c r="AU72" s="135"/>
      <c r="AV72" s="1608"/>
      <c r="AW72" s="525"/>
      <c r="AX72" s="135"/>
      <c r="AY72" s="1608"/>
      <c r="AZ72" s="525"/>
      <c r="BA72" s="135"/>
      <c r="BB72" s="1608"/>
      <c r="BC72" s="525"/>
      <c r="BD72" s="135"/>
      <c r="BE72" s="1608"/>
      <c r="BF72" s="525"/>
      <c r="BG72" s="135"/>
      <c r="BH72" s="1608"/>
      <c r="BI72" s="525"/>
      <c r="BJ72" s="135"/>
      <c r="BK72" s="1608"/>
      <c r="BL72" s="525"/>
      <c r="BM72" s="135"/>
      <c r="BN72" s="1608"/>
      <c r="BO72" s="525"/>
      <c r="BP72" s="135"/>
      <c r="BQ72" s="1608"/>
      <c r="BR72" s="525"/>
      <c r="BS72" s="523"/>
      <c r="BT72" s="524"/>
      <c r="BU72" s="1029"/>
      <c r="BV72" s="523"/>
      <c r="BW72" s="524"/>
      <c r="BX72" s="1029"/>
      <c r="BY72" s="523"/>
      <c r="BZ72" s="524"/>
      <c r="CA72" s="1029"/>
      <c r="CB72" s="523"/>
      <c r="CC72" s="524"/>
      <c r="CD72" s="1029"/>
      <c r="CE72" s="661"/>
      <c r="CF72" s="1013"/>
      <c r="CG72" s="1321"/>
      <c r="CH72" s="1321"/>
      <c r="CI72" s="1321"/>
      <c r="CJ72" s="1321"/>
      <c r="CK72" s="1321"/>
      <c r="CL72" s="1321"/>
      <c r="CM72" s="1321"/>
      <c r="CN72" s="1321"/>
      <c r="CO72" s="1321"/>
      <c r="CP72" s="1321"/>
      <c r="CQ72" s="1321"/>
      <c r="CR72" s="1321"/>
      <c r="CS72" s="1321"/>
      <c r="CT72" s="1321"/>
      <c r="CU72" s="1321"/>
      <c r="CV72" s="1321"/>
      <c r="CW72" s="1321"/>
      <c r="CX72" s="1321"/>
      <c r="CY72" s="1321"/>
      <c r="CZ72" s="1321"/>
      <c r="DA72" s="1321"/>
      <c r="DB72" s="1321"/>
      <c r="DC72" s="1321"/>
      <c r="DD72" s="1321"/>
      <c r="DE72" s="1321"/>
      <c r="DF72" s="1321"/>
      <c r="DG72" s="1321"/>
      <c r="DH72" s="1321"/>
      <c r="DI72" s="1321"/>
      <c r="DJ72" s="1321"/>
      <c r="DK72" s="1321"/>
      <c r="DL72" s="1321"/>
      <c r="DM72" s="1321"/>
      <c r="DN72" s="1321"/>
      <c r="DO72" s="1321"/>
      <c r="DP72" s="1321"/>
      <c r="DQ72" s="1321"/>
      <c r="DR72" s="1321"/>
      <c r="DS72" s="1321"/>
      <c r="DT72" s="1321"/>
      <c r="DU72" s="1321"/>
      <c r="DV72" s="1321"/>
      <c r="DW72" s="1321"/>
      <c r="DX72" s="1321"/>
      <c r="DY72" s="1321"/>
      <c r="DZ72" s="1321"/>
      <c r="EA72" s="1321"/>
      <c r="EB72" s="1321"/>
      <c r="EC72" s="1321"/>
      <c r="ED72" s="1321"/>
      <c r="EE72" s="1321"/>
      <c r="EF72" s="1321"/>
      <c r="EG72" s="1321"/>
      <c r="EH72" s="1321"/>
      <c r="EI72" s="1321"/>
      <c r="EJ72" s="1321"/>
      <c r="EK72" s="1321"/>
      <c r="EL72" s="1321"/>
      <c r="EM72" s="1321"/>
      <c r="EN72" s="1321"/>
      <c r="EO72" s="1321"/>
      <c r="EP72" s="1321"/>
      <c r="EQ72" s="1321"/>
      <c r="ER72" s="1321"/>
      <c r="ES72" s="1321"/>
      <c r="ET72" s="1321"/>
      <c r="EU72" s="1321"/>
      <c r="EV72" s="1321"/>
      <c r="EW72" s="1321"/>
      <c r="EX72" s="1321"/>
      <c r="EY72" s="1321"/>
      <c r="EZ72" s="1321"/>
      <c r="FA72" s="1321"/>
      <c r="FB72" s="1321"/>
    </row>
    <row r="73" spans="1:158">
      <c r="A73" s="291" t="s">
        <v>800</v>
      </c>
      <c r="B73" s="232">
        <v>0</v>
      </c>
      <c r="C73" s="127"/>
      <c r="D73" s="128"/>
      <c r="E73" s="232">
        <v>0</v>
      </c>
      <c r="F73" s="127"/>
      <c r="G73" s="128"/>
      <c r="H73" s="232">
        <v>0</v>
      </c>
      <c r="I73" s="127"/>
      <c r="J73" s="128"/>
      <c r="K73" s="232">
        <v>0</v>
      </c>
      <c r="L73" s="127"/>
      <c r="M73" s="128"/>
      <c r="N73" s="579">
        <v>0</v>
      </c>
      <c r="O73" s="151"/>
      <c r="P73" s="152"/>
      <c r="Q73" s="579">
        <v>0</v>
      </c>
      <c r="R73" s="151"/>
      <c r="S73" s="152"/>
      <c r="T73" s="579">
        <v>0</v>
      </c>
      <c r="U73" s="151"/>
      <c r="V73" s="152"/>
      <c r="W73" s="579">
        <v>0</v>
      </c>
      <c r="X73" s="151"/>
      <c r="Y73" s="152"/>
      <c r="Z73" s="579">
        <v>0</v>
      </c>
      <c r="AA73" s="151"/>
      <c r="AB73" s="152"/>
      <c r="AC73" s="579">
        <v>0</v>
      </c>
      <c r="AD73" s="151"/>
      <c r="AE73" s="152"/>
      <c r="AF73" s="579">
        <v>0</v>
      </c>
      <c r="AG73" s="151"/>
      <c r="AH73" s="152"/>
      <c r="AI73" s="579">
        <v>0</v>
      </c>
      <c r="AJ73" s="151"/>
      <c r="AK73" s="152"/>
      <c r="AL73" s="579">
        <v>0</v>
      </c>
      <c r="AM73" s="151"/>
      <c r="AN73" s="152"/>
      <c r="AO73" s="579">
        <v>0</v>
      </c>
      <c r="AP73" s="151"/>
      <c r="AQ73" s="152"/>
      <c r="AR73" s="579">
        <v>0</v>
      </c>
      <c r="AS73" s="151"/>
      <c r="AT73" s="152"/>
      <c r="AU73" s="579">
        <v>0</v>
      </c>
      <c r="AV73" s="151"/>
      <c r="AW73" s="152"/>
      <c r="AX73" s="579">
        <v>0</v>
      </c>
      <c r="AY73" s="151"/>
      <c r="AZ73" s="152"/>
      <c r="BA73" s="579">
        <v>0</v>
      </c>
      <c r="BB73" s="151"/>
      <c r="BC73" s="152"/>
      <c r="BD73" s="579">
        <v>0</v>
      </c>
      <c r="BE73" s="151"/>
      <c r="BF73" s="152"/>
      <c r="BG73" s="579">
        <v>0</v>
      </c>
      <c r="BH73" s="151"/>
      <c r="BI73" s="152"/>
      <c r="BJ73" s="579">
        <v>0</v>
      </c>
      <c r="BK73" s="151"/>
      <c r="BL73" s="152"/>
      <c r="BM73" s="579">
        <v>0.24</v>
      </c>
      <c r="BN73" s="151"/>
      <c r="BO73" s="152"/>
      <c r="BP73" s="579">
        <v>0</v>
      </c>
      <c r="BQ73" s="151"/>
      <c r="BR73" s="152"/>
      <c r="BS73" s="1061">
        <v>0</v>
      </c>
      <c r="BT73" s="1049"/>
      <c r="BU73" s="1064"/>
      <c r="BV73" s="1061">
        <v>0</v>
      </c>
      <c r="BW73" s="1049"/>
      <c r="BX73" s="1064"/>
      <c r="BY73" s="1061">
        <v>0</v>
      </c>
      <c r="BZ73" s="1049"/>
      <c r="CA73" s="1064"/>
      <c r="CB73" s="1061">
        <v>0</v>
      </c>
      <c r="CC73" s="1049"/>
      <c r="CD73" s="1064"/>
      <c r="CE73" s="1021">
        <v>0.37</v>
      </c>
      <c r="CF73" s="1013"/>
      <c r="CG73" s="1321"/>
      <c r="CH73" s="1321"/>
      <c r="CI73" s="1321"/>
      <c r="CJ73" s="1321"/>
      <c r="CK73" s="1321"/>
      <c r="CL73" s="1321"/>
      <c r="CM73" s="1321"/>
      <c r="CN73" s="1321"/>
      <c r="CO73" s="1321"/>
      <c r="CP73" s="1321"/>
      <c r="CQ73" s="1321"/>
      <c r="CR73" s="1321"/>
      <c r="CS73" s="1321"/>
      <c r="CT73" s="1321"/>
      <c r="CU73" s="1321"/>
      <c r="CV73" s="1321"/>
      <c r="CW73" s="1321"/>
      <c r="CX73" s="1321"/>
      <c r="CY73" s="1321"/>
      <c r="CZ73" s="1321"/>
      <c r="DA73" s="1321"/>
      <c r="DB73" s="1321"/>
      <c r="DC73" s="1321"/>
      <c r="DD73" s="1321"/>
      <c r="DE73" s="1321"/>
      <c r="DF73" s="1321"/>
      <c r="DG73" s="1321"/>
      <c r="DH73" s="1321"/>
      <c r="DI73" s="1321"/>
      <c r="DJ73" s="1321"/>
      <c r="DK73" s="1321"/>
      <c r="DL73" s="1321"/>
      <c r="DM73" s="1321"/>
      <c r="DN73" s="1321"/>
      <c r="DO73" s="1321"/>
      <c r="DP73" s="1321"/>
      <c r="DQ73" s="1321"/>
      <c r="DR73" s="1321"/>
      <c r="DS73" s="1321"/>
      <c r="DT73" s="1321"/>
      <c r="DU73" s="1321"/>
      <c r="DV73" s="1321"/>
      <c r="DW73" s="1321"/>
      <c r="DX73" s="1321"/>
      <c r="DY73" s="1321"/>
      <c r="DZ73" s="1321"/>
      <c r="EA73" s="1321"/>
      <c r="EB73" s="1321"/>
      <c r="EC73" s="1321"/>
      <c r="ED73" s="1321"/>
      <c r="EE73" s="1321"/>
      <c r="EF73" s="1321"/>
      <c r="EG73" s="1321"/>
      <c r="EH73" s="1321"/>
      <c r="EI73" s="1321"/>
      <c r="EJ73" s="1321"/>
      <c r="EK73" s="1321"/>
      <c r="EL73" s="1321"/>
      <c r="EM73" s="1321"/>
      <c r="EN73" s="1321"/>
      <c r="EO73" s="1321"/>
      <c r="EP73" s="1321"/>
      <c r="EQ73" s="1321"/>
      <c r="ER73" s="1321"/>
      <c r="ES73" s="1321"/>
      <c r="ET73" s="1321"/>
      <c r="EU73" s="1321"/>
      <c r="EV73" s="1321"/>
      <c r="EW73" s="1321"/>
      <c r="EX73" s="1321"/>
      <c r="EY73" s="1321"/>
      <c r="EZ73" s="1321"/>
      <c r="FA73" s="1321"/>
      <c r="FB73" s="1321"/>
    </row>
    <row r="74" spans="1:158">
      <c r="A74" s="291" t="s">
        <v>802</v>
      </c>
      <c r="B74" s="232">
        <v>0</v>
      </c>
      <c r="C74" s="127"/>
      <c r="D74" s="128"/>
      <c r="E74" s="232">
        <v>0</v>
      </c>
      <c r="F74" s="127"/>
      <c r="G74" s="128"/>
      <c r="H74" s="232">
        <v>0</v>
      </c>
      <c r="I74" s="127"/>
      <c r="J74" s="128"/>
      <c r="K74" s="232">
        <v>0</v>
      </c>
      <c r="L74" s="127"/>
      <c r="M74" s="128"/>
      <c r="N74" s="579">
        <v>0</v>
      </c>
      <c r="O74" s="151"/>
      <c r="P74" s="152"/>
      <c r="Q74" s="579">
        <v>0</v>
      </c>
      <c r="R74" s="151"/>
      <c r="S74" s="152"/>
      <c r="T74" s="579">
        <v>0</v>
      </c>
      <c r="U74" s="151"/>
      <c r="V74" s="152"/>
      <c r="W74" s="579">
        <v>0</v>
      </c>
      <c r="X74" s="151"/>
      <c r="Y74" s="152"/>
      <c r="Z74" s="579">
        <v>0</v>
      </c>
      <c r="AA74" s="151"/>
      <c r="AB74" s="152"/>
      <c r="AC74" s="579">
        <v>0</v>
      </c>
      <c r="AD74" s="151"/>
      <c r="AE74" s="152"/>
      <c r="AF74" s="579">
        <v>0</v>
      </c>
      <c r="AG74" s="151"/>
      <c r="AH74" s="152"/>
      <c r="AI74" s="579">
        <v>0</v>
      </c>
      <c r="AJ74" s="151"/>
      <c r="AK74" s="152"/>
      <c r="AL74" s="579">
        <v>0</v>
      </c>
      <c r="AM74" s="151"/>
      <c r="AN74" s="152"/>
      <c r="AO74" s="579">
        <v>0</v>
      </c>
      <c r="AP74" s="151"/>
      <c r="AQ74" s="152"/>
      <c r="AR74" s="579">
        <v>0</v>
      </c>
      <c r="AS74" s="151"/>
      <c r="AT74" s="152"/>
      <c r="AU74" s="579">
        <v>0</v>
      </c>
      <c r="AV74" s="151"/>
      <c r="AW74" s="152"/>
      <c r="AX74" s="579">
        <v>0</v>
      </c>
      <c r="AY74" s="151"/>
      <c r="AZ74" s="152"/>
      <c r="BA74" s="579">
        <v>0</v>
      </c>
      <c r="BB74" s="151"/>
      <c r="BC74" s="152"/>
      <c r="BD74" s="579">
        <v>0</v>
      </c>
      <c r="BE74" s="151"/>
      <c r="BF74" s="152"/>
      <c r="BG74" s="579">
        <v>0</v>
      </c>
      <c r="BH74" s="151"/>
      <c r="BI74" s="152"/>
      <c r="BJ74" s="579">
        <v>0</v>
      </c>
      <c r="BK74" s="151"/>
      <c r="BL74" s="152"/>
      <c r="BM74" s="579">
        <v>0.16</v>
      </c>
      <c r="BN74" s="151"/>
      <c r="BO74" s="152"/>
      <c r="BP74" s="579">
        <v>0</v>
      </c>
      <c r="BQ74" s="151"/>
      <c r="BR74" s="152"/>
      <c r="BS74" s="1061">
        <v>0</v>
      </c>
      <c r="BT74" s="1049"/>
      <c r="BU74" s="1064"/>
      <c r="BV74" s="1061">
        <v>0</v>
      </c>
      <c r="BW74" s="1049"/>
      <c r="BX74" s="1064"/>
      <c r="BY74" s="1061">
        <v>0</v>
      </c>
      <c r="BZ74" s="1049"/>
      <c r="CA74" s="1064"/>
      <c r="CB74" s="1061">
        <v>0</v>
      </c>
      <c r="CC74" s="1049"/>
      <c r="CD74" s="1064"/>
      <c r="CE74" s="1021">
        <v>0.60299999999999998</v>
      </c>
      <c r="CF74" s="1013" t="s">
        <v>861</v>
      </c>
      <c r="CG74" s="1321"/>
      <c r="CH74" s="1321"/>
      <c r="CI74" s="1321"/>
      <c r="CJ74" s="1321"/>
      <c r="CK74" s="1321"/>
      <c r="CL74" s="1321"/>
      <c r="CM74" s="1321"/>
      <c r="CN74" s="1321"/>
      <c r="CO74" s="1321"/>
      <c r="CP74" s="1321"/>
      <c r="CQ74" s="1321"/>
      <c r="CR74" s="1321"/>
      <c r="CS74" s="1321"/>
      <c r="CT74" s="1321"/>
      <c r="CU74" s="1321"/>
      <c r="CV74" s="1321"/>
      <c r="CW74" s="1321"/>
      <c r="CX74" s="1321"/>
      <c r="CY74" s="1321"/>
      <c r="CZ74" s="1321"/>
      <c r="DA74" s="1321"/>
      <c r="DB74" s="1321"/>
      <c r="DC74" s="1321"/>
      <c r="DD74" s="1321"/>
      <c r="DE74" s="1321"/>
      <c r="DF74" s="1321"/>
      <c r="DG74" s="1321"/>
      <c r="DH74" s="1321"/>
      <c r="DI74" s="1321"/>
      <c r="DJ74" s="1321"/>
      <c r="DK74" s="1321"/>
      <c r="DL74" s="1321"/>
      <c r="DM74" s="1321"/>
      <c r="DN74" s="1321"/>
      <c r="DO74" s="1321"/>
      <c r="DP74" s="1321"/>
      <c r="DQ74" s="1321"/>
      <c r="DR74" s="1321"/>
      <c r="DS74" s="1321"/>
      <c r="DT74" s="1321"/>
      <c r="DU74" s="1321"/>
      <c r="DV74" s="1321"/>
      <c r="DW74" s="1321"/>
      <c r="DX74" s="1321"/>
      <c r="DY74" s="1321"/>
      <c r="DZ74" s="1321"/>
      <c r="EA74" s="1321"/>
      <c r="EB74" s="1321"/>
      <c r="EC74" s="1321"/>
      <c r="ED74" s="1321"/>
      <c r="EE74" s="1321"/>
      <c r="EF74" s="1321"/>
      <c r="EG74" s="1321"/>
      <c r="EH74" s="1321"/>
      <c r="EI74" s="1321"/>
      <c r="EJ74" s="1321"/>
      <c r="EK74" s="1321"/>
      <c r="EL74" s="1321"/>
      <c r="EM74" s="1321"/>
      <c r="EN74" s="1321"/>
      <c r="EO74" s="1321"/>
      <c r="EP74" s="1321"/>
      <c r="EQ74" s="1321"/>
      <c r="ER74" s="1321"/>
      <c r="ES74" s="1321"/>
      <c r="ET74" s="1321"/>
      <c r="EU74" s="1321"/>
      <c r="EV74" s="1321"/>
      <c r="EW74" s="1321"/>
      <c r="EX74" s="1321"/>
      <c r="EY74" s="1321"/>
      <c r="EZ74" s="1321"/>
      <c r="FA74" s="1321"/>
      <c r="FB74" s="1321"/>
    </row>
    <row r="75" spans="1:158">
      <c r="A75" s="291" t="s">
        <v>801</v>
      </c>
      <c r="B75" s="232">
        <v>0</v>
      </c>
      <c r="C75" s="127"/>
      <c r="D75" s="128"/>
      <c r="E75" s="232">
        <v>0</v>
      </c>
      <c r="F75" s="127"/>
      <c r="G75" s="128"/>
      <c r="H75" s="232">
        <v>0</v>
      </c>
      <c r="I75" s="127"/>
      <c r="J75" s="128"/>
      <c r="K75" s="579">
        <v>0</v>
      </c>
      <c r="L75" s="127"/>
      <c r="M75" s="128"/>
      <c r="N75" s="579">
        <v>0</v>
      </c>
      <c r="O75" s="151"/>
      <c r="P75" s="152"/>
      <c r="Q75" s="579">
        <v>0</v>
      </c>
      <c r="R75" s="151"/>
      <c r="S75" s="152"/>
      <c r="T75" s="579">
        <v>0</v>
      </c>
      <c r="U75" s="151"/>
      <c r="V75" s="152"/>
      <c r="W75" s="579">
        <v>0</v>
      </c>
      <c r="X75" s="151"/>
      <c r="Y75" s="152"/>
      <c r="Z75" s="579">
        <v>0</v>
      </c>
      <c r="AA75" s="151"/>
      <c r="AB75" s="152"/>
      <c r="AC75" s="579">
        <v>0</v>
      </c>
      <c r="AD75" s="151"/>
      <c r="AE75" s="152"/>
      <c r="AF75" s="579">
        <v>0</v>
      </c>
      <c r="AG75" s="151"/>
      <c r="AH75" s="152"/>
      <c r="AI75" s="579">
        <v>0</v>
      </c>
      <c r="AJ75" s="151"/>
      <c r="AK75" s="152"/>
      <c r="AL75" s="579">
        <v>0</v>
      </c>
      <c r="AM75" s="151"/>
      <c r="AN75" s="152"/>
      <c r="AO75" s="579">
        <v>0</v>
      </c>
      <c r="AP75" s="151"/>
      <c r="AQ75" s="152"/>
      <c r="AR75" s="579">
        <v>0</v>
      </c>
      <c r="AS75" s="151"/>
      <c r="AT75" s="152"/>
      <c r="AU75" s="579">
        <v>0</v>
      </c>
      <c r="AV75" s="151"/>
      <c r="AW75" s="152"/>
      <c r="AX75" s="579">
        <v>0</v>
      </c>
      <c r="AY75" s="151"/>
      <c r="AZ75" s="152"/>
      <c r="BA75" s="579">
        <v>0</v>
      </c>
      <c r="BB75" s="151"/>
      <c r="BC75" s="152"/>
      <c r="BD75" s="579">
        <v>0</v>
      </c>
      <c r="BE75" s="151"/>
      <c r="BF75" s="152"/>
      <c r="BG75" s="579">
        <v>0</v>
      </c>
      <c r="BH75" s="151"/>
      <c r="BI75" s="152"/>
      <c r="BJ75" s="579">
        <v>0</v>
      </c>
      <c r="BK75" s="151"/>
      <c r="BL75" s="152"/>
      <c r="BM75" s="579">
        <v>0</v>
      </c>
      <c r="BN75" s="151"/>
      <c r="BO75" s="152"/>
      <c r="BP75" s="579">
        <v>0</v>
      </c>
      <c r="BQ75" s="151"/>
      <c r="BR75" s="152"/>
      <c r="BS75" s="1061">
        <v>0</v>
      </c>
      <c r="BT75" s="1049"/>
      <c r="BU75" s="1064"/>
      <c r="BV75" s="1061">
        <v>0</v>
      </c>
      <c r="BW75" s="1049"/>
      <c r="BX75" s="1064"/>
      <c r="BY75" s="1061">
        <v>0</v>
      </c>
      <c r="BZ75" s="1049"/>
      <c r="CA75" s="1064"/>
      <c r="CB75" s="1061">
        <v>0</v>
      </c>
      <c r="CC75" s="1049"/>
      <c r="CD75" s="1064"/>
      <c r="CE75" s="1021">
        <v>0</v>
      </c>
      <c r="CF75" s="1013"/>
      <c r="CG75" s="1321"/>
      <c r="CH75" s="1321"/>
      <c r="CI75" s="1321"/>
      <c r="CJ75" s="1321"/>
      <c r="CK75" s="1321"/>
      <c r="CL75" s="1321"/>
      <c r="CM75" s="1321"/>
      <c r="CN75" s="1321"/>
      <c r="CO75" s="1321"/>
      <c r="CP75" s="1321"/>
      <c r="CQ75" s="1321"/>
      <c r="CR75" s="1321"/>
      <c r="CS75" s="1321"/>
      <c r="CT75" s="1321"/>
      <c r="CU75" s="1321"/>
      <c r="CV75" s="1321"/>
      <c r="CW75" s="1321"/>
      <c r="CX75" s="1321"/>
      <c r="CY75" s="1321"/>
      <c r="CZ75" s="1321"/>
      <c r="DA75" s="1321"/>
      <c r="DB75" s="1321"/>
      <c r="DC75" s="1321"/>
      <c r="DD75" s="1321"/>
      <c r="DE75" s="1321"/>
      <c r="DF75" s="1321"/>
      <c r="DG75" s="1321"/>
      <c r="DH75" s="1321"/>
      <c r="DI75" s="1321"/>
      <c r="DJ75" s="1321"/>
      <c r="DK75" s="1321"/>
      <c r="DL75" s="1321"/>
      <c r="DM75" s="1321"/>
      <c r="DN75" s="1321"/>
      <c r="DO75" s="1321"/>
      <c r="DP75" s="1321"/>
      <c r="DQ75" s="1321"/>
      <c r="DR75" s="1321"/>
      <c r="DS75" s="1321"/>
      <c r="DT75" s="1321"/>
      <c r="DU75" s="1321"/>
      <c r="DV75" s="1321"/>
      <c r="DW75" s="1321"/>
      <c r="DX75" s="1321"/>
      <c r="DY75" s="1321"/>
      <c r="DZ75" s="1321"/>
      <c r="EA75" s="1321"/>
      <c r="EB75" s="1321"/>
      <c r="EC75" s="1321"/>
      <c r="ED75" s="1321"/>
      <c r="EE75" s="1321"/>
      <c r="EF75" s="1321"/>
      <c r="EG75" s="1321"/>
      <c r="EH75" s="1321"/>
      <c r="EI75" s="1321"/>
      <c r="EJ75" s="1321"/>
      <c r="EK75" s="1321"/>
      <c r="EL75" s="1321"/>
      <c r="EM75" s="1321"/>
      <c r="EN75" s="1321"/>
      <c r="EO75" s="1321"/>
      <c r="EP75" s="1321"/>
      <c r="EQ75" s="1321"/>
      <c r="ER75" s="1321"/>
      <c r="ES75" s="1321"/>
      <c r="ET75" s="1321"/>
      <c r="EU75" s="1321"/>
      <c r="EV75" s="1321"/>
      <c r="EW75" s="1321"/>
      <c r="EX75" s="1321"/>
      <c r="EY75" s="1321"/>
      <c r="EZ75" s="1321"/>
      <c r="FA75" s="1321"/>
      <c r="FB75" s="1321"/>
    </row>
    <row r="76" spans="1:158">
      <c r="A76" s="291" t="s">
        <v>1319</v>
      </c>
      <c r="B76" s="232">
        <v>0</v>
      </c>
      <c r="C76" s="127"/>
      <c r="D76" s="128"/>
      <c r="E76" s="232">
        <v>0</v>
      </c>
      <c r="F76" s="127"/>
      <c r="G76" s="128"/>
      <c r="H76" s="232">
        <v>0</v>
      </c>
      <c r="I76" s="127"/>
      <c r="J76" s="128"/>
      <c r="K76" s="232">
        <v>0</v>
      </c>
      <c r="L76" s="127"/>
      <c r="M76" s="128"/>
      <c r="N76" s="579">
        <v>0</v>
      </c>
      <c r="O76" s="151"/>
      <c r="P76" s="152"/>
      <c r="Q76" s="579">
        <v>0</v>
      </c>
      <c r="R76" s="151"/>
      <c r="S76" s="152"/>
      <c r="T76" s="579">
        <v>0</v>
      </c>
      <c r="U76" s="151"/>
      <c r="V76" s="152"/>
      <c r="W76" s="579">
        <v>0</v>
      </c>
      <c r="X76" s="151"/>
      <c r="Y76" s="152"/>
      <c r="Z76" s="579">
        <v>0</v>
      </c>
      <c r="AA76" s="151"/>
      <c r="AB76" s="152"/>
      <c r="AC76" s="579">
        <v>0</v>
      </c>
      <c r="AD76" s="151"/>
      <c r="AE76" s="152"/>
      <c r="AF76" s="579">
        <v>0</v>
      </c>
      <c r="AG76" s="151"/>
      <c r="AH76" s="152"/>
      <c r="AI76" s="579">
        <v>0</v>
      </c>
      <c r="AJ76" s="151"/>
      <c r="AK76" s="152"/>
      <c r="AL76" s="579">
        <v>0</v>
      </c>
      <c r="AM76" s="151"/>
      <c r="AN76" s="152"/>
      <c r="AO76" s="579">
        <v>0</v>
      </c>
      <c r="AP76" s="151"/>
      <c r="AQ76" s="152"/>
      <c r="AR76" s="579">
        <v>0</v>
      </c>
      <c r="AS76" s="151"/>
      <c r="AT76" s="152"/>
      <c r="AU76" s="579">
        <v>0</v>
      </c>
      <c r="AV76" s="151"/>
      <c r="AW76" s="152"/>
      <c r="AX76" s="579">
        <v>0</v>
      </c>
      <c r="AY76" s="151"/>
      <c r="AZ76" s="152"/>
      <c r="BA76" s="579">
        <v>0</v>
      </c>
      <c r="BB76" s="151"/>
      <c r="BC76" s="152"/>
      <c r="BD76" s="579">
        <v>0</v>
      </c>
      <c r="BE76" s="151"/>
      <c r="BF76" s="152"/>
      <c r="BG76" s="579">
        <v>0</v>
      </c>
      <c r="BH76" s="151"/>
      <c r="BI76" s="152"/>
      <c r="BJ76" s="579">
        <v>0</v>
      </c>
      <c r="BK76" s="151"/>
      <c r="BL76" s="152"/>
      <c r="BM76" s="579">
        <v>0</v>
      </c>
      <c r="BN76" s="151"/>
      <c r="BO76" s="152"/>
      <c r="BP76" s="579">
        <v>0</v>
      </c>
      <c r="BQ76" s="151"/>
      <c r="BR76" s="152"/>
      <c r="BS76" s="1061">
        <v>0</v>
      </c>
      <c r="BT76" s="1049"/>
      <c r="BU76" s="1064"/>
      <c r="BV76" s="1061">
        <v>0</v>
      </c>
      <c r="BW76" s="1049"/>
      <c r="BX76" s="1064"/>
      <c r="BY76" s="1061">
        <v>0</v>
      </c>
      <c r="BZ76" s="1049"/>
      <c r="CA76" s="1064"/>
      <c r="CB76" s="1061">
        <v>0</v>
      </c>
      <c r="CC76" s="1049"/>
      <c r="CD76" s="1064"/>
      <c r="CE76" s="1021">
        <v>0</v>
      </c>
      <c r="CF76" s="1013"/>
      <c r="CG76" s="1321"/>
      <c r="CH76" s="1321"/>
      <c r="CI76" s="1321"/>
      <c r="CJ76" s="1321"/>
      <c r="CK76" s="1321"/>
      <c r="CL76" s="1321"/>
      <c r="CM76" s="1321"/>
      <c r="CN76" s="1321"/>
      <c r="CO76" s="1321"/>
      <c r="CP76" s="1321"/>
      <c r="CQ76" s="1321"/>
      <c r="CR76" s="1321"/>
      <c r="CS76" s="1321"/>
      <c r="CT76" s="1321"/>
      <c r="CU76" s="1321"/>
      <c r="CV76" s="1321"/>
      <c r="CW76" s="1321"/>
      <c r="CX76" s="1321"/>
      <c r="CY76" s="1321"/>
      <c r="CZ76" s="1321"/>
      <c r="DA76" s="1321"/>
      <c r="DB76" s="1321"/>
      <c r="DC76" s="1321"/>
      <c r="DD76" s="1321"/>
      <c r="DE76" s="1321"/>
      <c r="DF76" s="1321"/>
      <c r="DG76" s="1321"/>
      <c r="DH76" s="1321"/>
      <c r="DI76" s="1321"/>
      <c r="DJ76" s="1321"/>
      <c r="DK76" s="1321"/>
      <c r="DL76" s="1321"/>
      <c r="DM76" s="1321"/>
      <c r="DN76" s="1321"/>
      <c r="DO76" s="1321"/>
      <c r="DP76" s="1321"/>
      <c r="DQ76" s="1321"/>
      <c r="DR76" s="1321"/>
      <c r="DS76" s="1321"/>
      <c r="DT76" s="1321"/>
      <c r="DU76" s="1321"/>
      <c r="DV76" s="1321"/>
      <c r="DW76" s="1321"/>
      <c r="DX76" s="1321"/>
      <c r="DY76" s="1321"/>
      <c r="DZ76" s="1321"/>
      <c r="EA76" s="1321"/>
      <c r="EB76" s="1321"/>
      <c r="EC76" s="1321"/>
      <c r="ED76" s="1321"/>
      <c r="EE76" s="1321"/>
      <c r="EF76" s="1321"/>
      <c r="EG76" s="1321"/>
      <c r="EH76" s="1321"/>
      <c r="EI76" s="1321"/>
      <c r="EJ76" s="1321"/>
      <c r="EK76" s="1321"/>
      <c r="EL76" s="1321"/>
      <c r="EM76" s="1321"/>
      <c r="EN76" s="1321"/>
      <c r="EO76" s="1321"/>
      <c r="EP76" s="1321"/>
      <c r="EQ76" s="1321"/>
      <c r="ER76" s="1321"/>
      <c r="ES76" s="1321"/>
      <c r="ET76" s="1321"/>
      <c r="EU76" s="1321"/>
      <c r="EV76" s="1321"/>
      <c r="EW76" s="1321"/>
      <c r="EX76" s="1321"/>
      <c r="EY76" s="1321"/>
      <c r="EZ76" s="1321"/>
      <c r="FA76" s="1321"/>
      <c r="FB76" s="1321"/>
    </row>
    <row r="77" spans="1:158">
      <c r="A77" s="291" t="s">
        <v>804</v>
      </c>
      <c r="B77" s="232">
        <v>1</v>
      </c>
      <c r="C77" s="127"/>
      <c r="D77" s="128"/>
      <c r="E77" s="232">
        <v>1</v>
      </c>
      <c r="F77" s="127"/>
      <c r="G77" s="128"/>
      <c r="H77" s="579">
        <v>1</v>
      </c>
      <c r="I77" s="127"/>
      <c r="J77" s="128"/>
      <c r="K77" s="579">
        <v>0</v>
      </c>
      <c r="L77" s="127"/>
      <c r="M77" s="128"/>
      <c r="N77" s="579">
        <v>1</v>
      </c>
      <c r="O77" s="151"/>
      <c r="P77" s="152"/>
      <c r="Q77" s="579">
        <v>0</v>
      </c>
      <c r="R77" s="151"/>
      <c r="S77" s="152"/>
      <c r="T77" s="579">
        <v>1</v>
      </c>
      <c r="U77" s="151"/>
      <c r="V77" s="152"/>
      <c r="W77" s="579">
        <v>0</v>
      </c>
      <c r="X77" s="151"/>
      <c r="Y77" s="152"/>
      <c r="Z77" s="579">
        <v>1</v>
      </c>
      <c r="AA77" s="151"/>
      <c r="AB77" s="152"/>
      <c r="AC77" s="579">
        <v>0</v>
      </c>
      <c r="AD77" s="151"/>
      <c r="AE77" s="152"/>
      <c r="AF77" s="579">
        <v>1</v>
      </c>
      <c r="AG77" s="151"/>
      <c r="AH77" s="152"/>
      <c r="AI77" s="579">
        <v>0</v>
      </c>
      <c r="AJ77" s="151"/>
      <c r="AK77" s="152"/>
      <c r="AL77" s="1124">
        <v>0.98034831052917515</v>
      </c>
      <c r="AM77" s="151"/>
      <c r="AN77" s="152"/>
      <c r="AO77" s="579">
        <v>0</v>
      </c>
      <c r="AP77" s="151"/>
      <c r="AQ77" s="152"/>
      <c r="AR77" s="579">
        <v>1</v>
      </c>
      <c r="AS77" s="151"/>
      <c r="AT77" s="152"/>
      <c r="AU77" s="579">
        <v>0.98436662496329597</v>
      </c>
      <c r="AV77" s="151"/>
      <c r="AW77" s="152"/>
      <c r="AX77" s="579">
        <v>1</v>
      </c>
      <c r="AY77" s="151"/>
      <c r="AZ77" s="152"/>
      <c r="BA77" s="579">
        <v>0</v>
      </c>
      <c r="BB77" s="151"/>
      <c r="BC77" s="152"/>
      <c r="BD77" s="579">
        <v>0</v>
      </c>
      <c r="BE77" s="151"/>
      <c r="BF77" s="152"/>
      <c r="BG77" s="579">
        <v>1</v>
      </c>
      <c r="BH77" s="151"/>
      <c r="BI77" s="152"/>
      <c r="BJ77" s="579">
        <v>0</v>
      </c>
      <c r="BK77" s="151"/>
      <c r="BL77" s="152"/>
      <c r="BM77" s="579">
        <v>0</v>
      </c>
      <c r="BN77" s="151"/>
      <c r="BO77" s="152"/>
      <c r="BP77" s="579">
        <v>1</v>
      </c>
      <c r="BQ77" s="151"/>
      <c r="BR77" s="152"/>
      <c r="BS77" s="1061">
        <v>0</v>
      </c>
      <c r="BT77" s="1049"/>
      <c r="BU77" s="1064"/>
      <c r="BV77" s="1061">
        <v>0</v>
      </c>
      <c r="BW77" s="1049"/>
      <c r="BX77" s="1064"/>
      <c r="BY77" s="1061">
        <v>1</v>
      </c>
      <c r="BZ77" s="1049"/>
      <c r="CA77" s="1064"/>
      <c r="CB77" s="1061">
        <v>0</v>
      </c>
      <c r="CC77" s="1049"/>
      <c r="CD77" s="1064"/>
      <c r="CE77" s="1021">
        <v>0</v>
      </c>
      <c r="CF77" s="1013"/>
      <c r="CG77" s="1321"/>
      <c r="CH77" s="1321"/>
      <c r="CI77" s="1321"/>
      <c r="CJ77" s="1321"/>
      <c r="CK77" s="1321"/>
      <c r="CL77" s="1321"/>
      <c r="CM77" s="1321"/>
      <c r="CN77" s="1321"/>
      <c r="CO77" s="1321"/>
      <c r="CP77" s="1321"/>
      <c r="CQ77" s="1321"/>
      <c r="CR77" s="1321"/>
      <c r="CS77" s="1321"/>
      <c r="CT77" s="1321"/>
      <c r="CU77" s="1321"/>
      <c r="CV77" s="1321"/>
      <c r="CW77" s="1321"/>
      <c r="CX77" s="1321"/>
      <c r="CY77" s="1321"/>
      <c r="CZ77" s="1321"/>
      <c r="DA77" s="1321"/>
      <c r="DB77" s="1321"/>
      <c r="DC77" s="1321"/>
      <c r="DD77" s="1321"/>
      <c r="DE77" s="1321"/>
      <c r="DF77" s="1321"/>
      <c r="DG77" s="1321"/>
      <c r="DH77" s="1321"/>
      <c r="DI77" s="1321"/>
      <c r="DJ77" s="1321"/>
      <c r="DK77" s="1321"/>
      <c r="DL77" s="1321"/>
      <c r="DM77" s="1321"/>
      <c r="DN77" s="1321"/>
      <c r="DO77" s="1321"/>
      <c r="DP77" s="1321"/>
      <c r="DQ77" s="1321"/>
      <c r="DR77" s="1321"/>
      <c r="DS77" s="1321"/>
      <c r="DT77" s="1321"/>
      <c r="DU77" s="1321"/>
      <c r="DV77" s="1321"/>
      <c r="DW77" s="1321"/>
      <c r="DX77" s="1321"/>
      <c r="DY77" s="1321"/>
      <c r="DZ77" s="1321"/>
      <c r="EA77" s="1321"/>
      <c r="EB77" s="1321"/>
      <c r="EC77" s="1321"/>
      <c r="ED77" s="1321"/>
      <c r="EE77" s="1321"/>
      <c r="EF77" s="1321"/>
      <c r="EG77" s="1321"/>
      <c r="EH77" s="1321"/>
      <c r="EI77" s="1321"/>
      <c r="EJ77" s="1321"/>
      <c r="EK77" s="1321"/>
      <c r="EL77" s="1321"/>
      <c r="EM77" s="1321"/>
      <c r="EN77" s="1321"/>
      <c r="EO77" s="1321"/>
      <c r="EP77" s="1321"/>
      <c r="EQ77" s="1321"/>
      <c r="ER77" s="1321"/>
      <c r="ES77" s="1321"/>
      <c r="ET77" s="1321"/>
      <c r="EU77" s="1321"/>
      <c r="EV77" s="1321"/>
      <c r="EW77" s="1321"/>
      <c r="EX77" s="1321"/>
      <c r="EY77" s="1321"/>
      <c r="EZ77" s="1321"/>
      <c r="FA77" s="1321"/>
      <c r="FB77" s="1321"/>
    </row>
    <row r="78" spans="1:158">
      <c r="A78" s="291" t="s">
        <v>805</v>
      </c>
      <c r="B78" s="232">
        <v>0</v>
      </c>
      <c r="C78" s="127"/>
      <c r="D78" s="128"/>
      <c r="E78" s="232">
        <v>0</v>
      </c>
      <c r="F78" s="127"/>
      <c r="G78" s="128"/>
      <c r="H78" s="232">
        <v>0</v>
      </c>
      <c r="I78" s="127"/>
      <c r="J78" s="128"/>
      <c r="K78" s="232">
        <v>0</v>
      </c>
      <c r="L78" s="127"/>
      <c r="M78" s="128"/>
      <c r="N78" s="579">
        <v>0</v>
      </c>
      <c r="O78" s="151"/>
      <c r="P78" s="152"/>
      <c r="Q78" s="579">
        <v>0</v>
      </c>
      <c r="R78" s="151"/>
      <c r="S78" s="152"/>
      <c r="T78" s="579">
        <v>0</v>
      </c>
      <c r="U78" s="151"/>
      <c r="V78" s="152"/>
      <c r="W78" s="579">
        <v>0</v>
      </c>
      <c r="X78" s="151"/>
      <c r="Y78" s="152"/>
      <c r="Z78" s="579">
        <v>0</v>
      </c>
      <c r="AA78" s="151"/>
      <c r="AB78" s="152"/>
      <c r="AC78" s="579">
        <v>0</v>
      </c>
      <c r="AD78" s="151"/>
      <c r="AE78" s="152"/>
      <c r="AF78" s="579">
        <v>0</v>
      </c>
      <c r="AG78" s="151"/>
      <c r="AH78" s="152"/>
      <c r="AI78" s="579">
        <v>0</v>
      </c>
      <c r="AJ78" s="151"/>
      <c r="AK78" s="152"/>
      <c r="AL78" s="579">
        <v>0</v>
      </c>
      <c r="AM78" s="151"/>
      <c r="AN78" s="152"/>
      <c r="AO78" s="579">
        <v>0</v>
      </c>
      <c r="AP78" s="151"/>
      <c r="AQ78" s="152"/>
      <c r="AR78" s="579">
        <v>0</v>
      </c>
      <c r="AS78" s="151"/>
      <c r="AT78" s="152"/>
      <c r="AU78" s="579">
        <v>0</v>
      </c>
      <c r="AV78" s="151"/>
      <c r="AW78" s="152"/>
      <c r="AX78" s="579">
        <v>0</v>
      </c>
      <c r="AY78" s="151"/>
      <c r="AZ78" s="152"/>
      <c r="BA78" s="579">
        <v>0</v>
      </c>
      <c r="BB78" s="151"/>
      <c r="BC78" s="152"/>
      <c r="BD78" s="579">
        <v>0</v>
      </c>
      <c r="BE78" s="151"/>
      <c r="BF78" s="152"/>
      <c r="BG78" s="579">
        <v>0</v>
      </c>
      <c r="BH78" s="151"/>
      <c r="BI78" s="152"/>
      <c r="BJ78" s="579">
        <v>0</v>
      </c>
      <c r="BK78" s="151"/>
      <c r="BL78" s="152"/>
      <c r="BM78" s="579">
        <v>0</v>
      </c>
      <c r="BN78" s="151"/>
      <c r="BO78" s="152"/>
      <c r="BP78" s="579">
        <v>0</v>
      </c>
      <c r="BQ78" s="151"/>
      <c r="BR78" s="152"/>
      <c r="BS78" s="1061">
        <v>0</v>
      </c>
      <c r="BT78" s="1049"/>
      <c r="BU78" s="1064"/>
      <c r="BV78" s="1061">
        <v>0</v>
      </c>
      <c r="BW78" s="1049"/>
      <c r="BX78" s="1064"/>
      <c r="BY78" s="1061">
        <v>0</v>
      </c>
      <c r="BZ78" s="1049"/>
      <c r="CA78" s="1064"/>
      <c r="CB78" s="1061">
        <v>0</v>
      </c>
      <c r="CC78" s="1049"/>
      <c r="CD78" s="1064"/>
      <c r="CE78" s="1021">
        <v>0</v>
      </c>
      <c r="CF78" s="1013"/>
      <c r="CG78" s="1321"/>
      <c r="CH78" s="1321"/>
      <c r="CI78" s="1321"/>
      <c r="CJ78" s="1321"/>
      <c r="CK78" s="1321"/>
      <c r="CL78" s="1321"/>
      <c r="CM78" s="1321"/>
      <c r="CN78" s="1321"/>
      <c r="CO78" s="1321"/>
      <c r="CP78" s="1321"/>
      <c r="CQ78" s="1321"/>
      <c r="CR78" s="1321"/>
      <c r="CS78" s="1321"/>
      <c r="CT78" s="1321"/>
      <c r="CU78" s="1321"/>
      <c r="CV78" s="1321"/>
      <c r="CW78" s="1321"/>
      <c r="CX78" s="1321"/>
      <c r="CY78" s="1321"/>
      <c r="CZ78" s="1321"/>
      <c r="DA78" s="1321"/>
      <c r="DB78" s="1321"/>
      <c r="DC78" s="1321"/>
      <c r="DD78" s="1321"/>
      <c r="DE78" s="1321"/>
      <c r="DF78" s="1321"/>
      <c r="DG78" s="1321"/>
      <c r="DH78" s="1321"/>
      <c r="DI78" s="1321"/>
      <c r="DJ78" s="1321"/>
      <c r="DK78" s="1321"/>
      <c r="DL78" s="1321"/>
      <c r="DM78" s="1321"/>
      <c r="DN78" s="1321"/>
      <c r="DO78" s="1321"/>
      <c r="DP78" s="1321"/>
      <c r="DQ78" s="1321"/>
      <c r="DR78" s="1321"/>
      <c r="DS78" s="1321"/>
      <c r="DT78" s="1321"/>
      <c r="DU78" s="1321"/>
      <c r="DV78" s="1321"/>
      <c r="DW78" s="1321"/>
      <c r="DX78" s="1321"/>
      <c r="DY78" s="1321"/>
      <c r="DZ78" s="1321"/>
      <c r="EA78" s="1321"/>
      <c r="EB78" s="1321"/>
      <c r="EC78" s="1321"/>
      <c r="ED78" s="1321"/>
      <c r="EE78" s="1321"/>
      <c r="EF78" s="1321"/>
      <c r="EG78" s="1321"/>
      <c r="EH78" s="1321"/>
      <c r="EI78" s="1321"/>
      <c r="EJ78" s="1321"/>
      <c r="EK78" s="1321"/>
      <c r="EL78" s="1321"/>
      <c r="EM78" s="1321"/>
      <c r="EN78" s="1321"/>
      <c r="EO78" s="1321"/>
      <c r="EP78" s="1321"/>
      <c r="EQ78" s="1321"/>
      <c r="ER78" s="1321"/>
      <c r="ES78" s="1321"/>
      <c r="ET78" s="1321"/>
      <c r="EU78" s="1321"/>
      <c r="EV78" s="1321"/>
      <c r="EW78" s="1321"/>
      <c r="EX78" s="1321"/>
      <c r="EY78" s="1321"/>
      <c r="EZ78" s="1321"/>
      <c r="FA78" s="1321"/>
      <c r="FB78" s="1321"/>
    </row>
    <row r="79" spans="1:158">
      <c r="A79" s="292" t="s">
        <v>806</v>
      </c>
      <c r="B79" s="239">
        <f>1-SUM(B73:B78)</f>
        <v>0</v>
      </c>
      <c r="C79" s="129"/>
      <c r="D79" s="130"/>
      <c r="E79" s="239">
        <f>1-SUM(E73:E78)</f>
        <v>0</v>
      </c>
      <c r="F79" s="129"/>
      <c r="G79" s="130"/>
      <c r="H79" s="239">
        <f>1-SUM(H73:H78)</f>
        <v>0</v>
      </c>
      <c r="I79" s="129"/>
      <c r="J79" s="130"/>
      <c r="K79" s="239">
        <f>1-SUM(K73:K78)</f>
        <v>1</v>
      </c>
      <c r="L79" s="129"/>
      <c r="M79" s="130"/>
      <c r="N79" s="580">
        <f>1-SUM(N73:N78)</f>
        <v>0</v>
      </c>
      <c r="O79" s="153"/>
      <c r="P79" s="154"/>
      <c r="Q79" s="580">
        <f>1-SUM(Q73:Q78)</f>
        <v>1</v>
      </c>
      <c r="R79" s="153"/>
      <c r="S79" s="154"/>
      <c r="T79" s="580">
        <v>0</v>
      </c>
      <c r="U79" s="153"/>
      <c r="V79" s="154"/>
      <c r="W79" s="580">
        <f>1-SUM(W73:W78)</f>
        <v>1</v>
      </c>
      <c r="X79" s="153"/>
      <c r="Y79" s="154"/>
      <c r="Z79" s="580">
        <f>1-SUM(Z73:Z78)</f>
        <v>0</v>
      </c>
      <c r="AA79" s="153"/>
      <c r="AB79" s="154"/>
      <c r="AC79" s="580">
        <f>1-SUM(AC73:AC78)</f>
        <v>1</v>
      </c>
      <c r="AD79" s="153"/>
      <c r="AE79" s="154"/>
      <c r="AF79" s="580">
        <f>1-SUM(AF73:AF78)</f>
        <v>0</v>
      </c>
      <c r="AG79" s="153"/>
      <c r="AH79" s="154"/>
      <c r="AI79" s="580">
        <f>1-SUM(AI73:AI78)</f>
        <v>1</v>
      </c>
      <c r="AJ79" s="153"/>
      <c r="AK79" s="154"/>
      <c r="AL79" s="580">
        <f>1-SUM(AL73:AL78)</f>
        <v>1.9651689470824851E-2</v>
      </c>
      <c r="AM79" s="153"/>
      <c r="AN79" s="154"/>
      <c r="AO79" s="580">
        <f>1-SUM(AO73:AO78)</f>
        <v>1</v>
      </c>
      <c r="AP79" s="153"/>
      <c r="AQ79" s="154"/>
      <c r="AR79" s="580">
        <f>1-SUM(AR73:AR78)</f>
        <v>0</v>
      </c>
      <c r="AS79" s="153"/>
      <c r="AT79" s="154"/>
      <c r="AU79" s="580">
        <f>1-SUM(AU73:AU78)</f>
        <v>1.5633375036704034E-2</v>
      </c>
      <c r="AV79" s="153"/>
      <c r="AW79" s="154"/>
      <c r="AX79" s="580">
        <f>1-SUM(AX73:AX78)</f>
        <v>0</v>
      </c>
      <c r="AY79" s="153"/>
      <c r="AZ79" s="154"/>
      <c r="BA79" s="580">
        <f>1-SUM(BA73:BA78)</f>
        <v>1</v>
      </c>
      <c r="BB79" s="153"/>
      <c r="BC79" s="154"/>
      <c r="BD79" s="580">
        <f>1-SUM(BD73:BD78)</f>
        <v>1</v>
      </c>
      <c r="BE79" s="153"/>
      <c r="BF79" s="154"/>
      <c r="BG79" s="580">
        <f>1-SUM(BG73:BG78)</f>
        <v>0</v>
      </c>
      <c r="BH79" s="153"/>
      <c r="BI79" s="154"/>
      <c r="BJ79" s="580">
        <f>1-SUM(BJ73:BJ78)</f>
        <v>1</v>
      </c>
      <c r="BK79" s="153"/>
      <c r="BL79" s="154"/>
      <c r="BM79" s="580">
        <f>1-SUM(BM73:BM78)</f>
        <v>0.6</v>
      </c>
      <c r="BN79" s="153"/>
      <c r="BO79" s="154"/>
      <c r="BP79" s="580">
        <f>1-SUM(BP73:BP78)</f>
        <v>0</v>
      </c>
      <c r="BQ79" s="153"/>
      <c r="BR79" s="154"/>
      <c r="BS79" s="1428">
        <v>1</v>
      </c>
      <c r="BT79" s="1051"/>
      <c r="BU79" s="1060"/>
      <c r="BV79" s="1428">
        <f>1-SUM(BV73:BV78)</f>
        <v>1</v>
      </c>
      <c r="BW79" s="1051"/>
      <c r="BX79" s="1060"/>
      <c r="BY79" s="1428">
        <f>1-SUM(BY73:BY78)</f>
        <v>0</v>
      </c>
      <c r="BZ79" s="1051"/>
      <c r="CA79" s="1060"/>
      <c r="CB79" s="1428">
        <v>1</v>
      </c>
      <c r="CC79" s="1051"/>
      <c r="CD79" s="1060"/>
      <c r="CE79" s="1021">
        <f>1-SUM(CE73:CE78)</f>
        <v>2.7000000000000024E-2</v>
      </c>
      <c r="CF79" s="1013"/>
      <c r="CG79" s="1321"/>
      <c r="CH79" s="1321"/>
      <c r="CI79" s="1321"/>
      <c r="CJ79" s="1321"/>
      <c r="CK79" s="1321"/>
      <c r="CL79" s="1321"/>
      <c r="CM79" s="1321"/>
      <c r="CN79" s="1321"/>
      <c r="CO79" s="1321"/>
      <c r="CP79" s="1321"/>
      <c r="CQ79" s="1321"/>
      <c r="CR79" s="1321"/>
      <c r="CS79" s="1321"/>
      <c r="CT79" s="1321"/>
      <c r="CU79" s="1321"/>
      <c r="CV79" s="1321"/>
      <c r="CW79" s="1321"/>
      <c r="CX79" s="1321"/>
      <c r="CY79" s="1321"/>
      <c r="CZ79" s="1321"/>
      <c r="DA79" s="1321"/>
      <c r="DB79" s="1321"/>
      <c r="DC79" s="1321"/>
      <c r="DD79" s="1321"/>
      <c r="DE79" s="1321"/>
      <c r="DF79" s="1321"/>
      <c r="DG79" s="1321"/>
      <c r="DH79" s="1321"/>
      <c r="DI79" s="1321"/>
      <c r="DJ79" s="1321"/>
      <c r="DK79" s="1321"/>
      <c r="DL79" s="1321"/>
      <c r="DM79" s="1321"/>
      <c r="DN79" s="1321"/>
      <c r="DO79" s="1321"/>
      <c r="DP79" s="1321"/>
      <c r="DQ79" s="1321"/>
      <c r="DR79" s="1321"/>
      <c r="DS79" s="1321"/>
      <c r="DT79" s="1321"/>
      <c r="DU79" s="1321"/>
      <c r="DV79" s="1321"/>
      <c r="DW79" s="1321"/>
      <c r="DX79" s="1321"/>
      <c r="DY79" s="1321"/>
      <c r="DZ79" s="1321"/>
      <c r="EA79" s="1321"/>
      <c r="EB79" s="1321"/>
      <c r="EC79" s="1321"/>
      <c r="ED79" s="1321"/>
      <c r="EE79" s="1321"/>
      <c r="EF79" s="1321"/>
      <c r="EG79" s="1321"/>
      <c r="EH79" s="1321"/>
      <c r="EI79" s="1321"/>
      <c r="EJ79" s="1321"/>
      <c r="EK79" s="1321"/>
      <c r="EL79" s="1321"/>
      <c r="EM79" s="1321"/>
      <c r="EN79" s="1321"/>
      <c r="EO79" s="1321"/>
      <c r="EP79" s="1321"/>
      <c r="EQ79" s="1321"/>
      <c r="ER79" s="1321"/>
      <c r="ES79" s="1321"/>
      <c r="ET79" s="1321"/>
      <c r="EU79" s="1321"/>
      <c r="EV79" s="1321"/>
      <c r="EW79" s="1321"/>
      <c r="EX79" s="1321"/>
      <c r="EY79" s="1321"/>
      <c r="EZ79" s="1321"/>
      <c r="FA79" s="1321"/>
      <c r="FB79" s="1321"/>
    </row>
    <row r="80" spans="1:158">
      <c r="A80" s="290" t="s">
        <v>862</v>
      </c>
      <c r="B80" s="173"/>
      <c r="C80" s="1"/>
      <c r="D80" s="51"/>
      <c r="E80" s="173"/>
      <c r="F80" s="1"/>
      <c r="G80" s="51"/>
      <c r="H80" s="173"/>
      <c r="I80" s="1"/>
      <c r="J80" s="51"/>
      <c r="K80" s="173"/>
      <c r="L80" s="1"/>
      <c r="M80" s="51"/>
      <c r="N80" s="160"/>
      <c r="O80" s="489"/>
      <c r="P80" s="140"/>
      <c r="Q80" s="160"/>
      <c r="R80" s="489"/>
      <c r="S80" s="140"/>
      <c r="T80" s="160"/>
      <c r="U80" s="489"/>
      <c r="V80" s="140"/>
      <c r="W80" s="160"/>
      <c r="X80" s="489"/>
      <c r="Y80" s="140"/>
      <c r="Z80" s="160"/>
      <c r="AA80" s="489"/>
      <c r="AB80" s="140"/>
      <c r="AC80" s="160"/>
      <c r="AD80" s="489"/>
      <c r="AE80" s="140"/>
      <c r="AF80" s="160"/>
      <c r="AG80" s="489"/>
      <c r="AH80" s="140"/>
      <c r="AI80" s="160"/>
      <c r="AJ80" s="489"/>
      <c r="AK80" s="140"/>
      <c r="AL80" s="160"/>
      <c r="AM80" s="489"/>
      <c r="AN80" s="140"/>
      <c r="AO80" s="160"/>
      <c r="AP80" s="489"/>
      <c r="AQ80" s="140"/>
      <c r="AR80" s="160"/>
      <c r="AS80" s="489"/>
      <c r="AT80" s="140"/>
      <c r="AU80" s="160"/>
      <c r="AV80" s="489"/>
      <c r="AW80" s="140"/>
      <c r="AX80" s="160"/>
      <c r="AY80" s="489"/>
      <c r="AZ80" s="140"/>
      <c r="BA80" s="160"/>
      <c r="BB80" s="489"/>
      <c r="BC80" s="140"/>
      <c r="BD80" s="160"/>
      <c r="BE80" s="489"/>
      <c r="BF80" s="140"/>
      <c r="BG80" s="160"/>
      <c r="BH80" s="489"/>
      <c r="BI80" s="140"/>
      <c r="BJ80" s="160"/>
      <c r="BK80" s="489"/>
      <c r="BL80" s="140"/>
      <c r="BM80" s="160"/>
      <c r="BN80" s="489"/>
      <c r="BO80" s="140"/>
      <c r="BP80" s="160"/>
      <c r="BQ80" s="489"/>
      <c r="BR80" s="140"/>
      <c r="BS80" s="661"/>
      <c r="BT80" s="363"/>
      <c r="BU80" s="1013"/>
      <c r="BV80" s="661"/>
      <c r="BW80" s="363"/>
      <c r="BX80" s="1013"/>
      <c r="BY80" s="661"/>
      <c r="BZ80" s="363"/>
      <c r="CA80" s="1013"/>
      <c r="CB80" s="661"/>
      <c r="CC80" s="363"/>
      <c r="CD80" s="1013"/>
      <c r="CE80" s="523"/>
      <c r="CF80" s="1029"/>
      <c r="CG80" s="1321"/>
      <c r="CH80" s="1321"/>
      <c r="CI80" s="1321"/>
      <c r="CJ80" s="1321"/>
      <c r="CK80" s="1321"/>
      <c r="CL80" s="1321"/>
      <c r="CM80" s="1321"/>
      <c r="CN80" s="1321"/>
      <c r="CO80" s="1321"/>
      <c r="CP80" s="1321"/>
      <c r="CQ80" s="1321"/>
      <c r="CR80" s="1321"/>
      <c r="CS80" s="1321"/>
      <c r="CT80" s="1321"/>
      <c r="CU80" s="1321"/>
      <c r="CV80" s="1321"/>
      <c r="CW80" s="1321"/>
      <c r="CX80" s="1321"/>
      <c r="CY80" s="1321"/>
      <c r="CZ80" s="1321"/>
      <c r="DA80" s="1321"/>
      <c r="DB80" s="1321"/>
      <c r="DC80" s="1321"/>
      <c r="DD80" s="1321"/>
      <c r="DE80" s="1321"/>
      <c r="DF80" s="1321"/>
      <c r="DG80" s="1321"/>
      <c r="DH80" s="1321"/>
      <c r="DI80" s="1321"/>
      <c r="DJ80" s="1321"/>
      <c r="DK80" s="1321"/>
      <c r="DL80" s="1321"/>
      <c r="DM80" s="1321"/>
      <c r="DN80" s="1321"/>
      <c r="DO80" s="1321"/>
      <c r="DP80" s="1321"/>
      <c r="DQ80" s="1321"/>
      <c r="DR80" s="1321"/>
      <c r="DS80" s="1321"/>
      <c r="DT80" s="1321"/>
      <c r="DU80" s="1321"/>
      <c r="DV80" s="1321"/>
      <c r="DW80" s="1321"/>
      <c r="DX80" s="1321"/>
      <c r="DY80" s="1321"/>
      <c r="DZ80" s="1321"/>
      <c r="EA80" s="1321"/>
      <c r="EB80" s="1321"/>
      <c r="EC80" s="1321"/>
      <c r="ED80" s="1321"/>
      <c r="EE80" s="1321"/>
      <c r="EF80" s="1321"/>
      <c r="EG80" s="1321"/>
      <c r="EH80" s="1321"/>
      <c r="EI80" s="1321"/>
      <c r="EJ80" s="1321"/>
      <c r="EK80" s="1321"/>
      <c r="EL80" s="1321"/>
      <c r="EM80" s="1321"/>
      <c r="EN80" s="1321"/>
      <c r="EO80" s="1321"/>
      <c r="EP80" s="1321"/>
      <c r="EQ80" s="1321"/>
      <c r="ER80" s="1321"/>
      <c r="ES80" s="1321"/>
      <c r="ET80" s="1321"/>
      <c r="EU80" s="1321"/>
      <c r="EV80" s="1321"/>
      <c r="EW80" s="1321"/>
      <c r="EX80" s="1321"/>
      <c r="EY80" s="1321"/>
      <c r="EZ80" s="1321"/>
      <c r="FA80" s="1321"/>
      <c r="FB80" s="1321"/>
    </row>
    <row r="81" spans="1:158">
      <c r="A81" s="291" t="s">
        <v>800</v>
      </c>
      <c r="B81" s="233">
        <f t="shared" ref="B81:B87" si="18">B$70*B73</f>
        <v>0</v>
      </c>
      <c r="C81" s="1"/>
      <c r="D81" s="51"/>
      <c r="E81" s="233">
        <f t="shared" ref="E81:E87" si="19">E$70*E73</f>
        <v>0</v>
      </c>
      <c r="F81" s="1"/>
      <c r="G81" s="51"/>
      <c r="H81" s="233">
        <f t="shared" ref="H81:H87" si="20">H$70*H73</f>
        <v>0</v>
      </c>
      <c r="I81" s="1"/>
      <c r="J81" s="51"/>
      <c r="K81" s="233">
        <f t="shared" ref="K81:K87" si="21">K$70*K73</f>
        <v>0</v>
      </c>
      <c r="L81" s="1"/>
      <c r="M81" s="51"/>
      <c r="N81" s="233">
        <f t="shared" ref="N81:N87" si="22">N$70*N73</f>
        <v>0</v>
      </c>
      <c r="O81" s="1"/>
      <c r="P81" s="51"/>
      <c r="Q81" s="233">
        <f t="shared" ref="Q81:Q87" si="23">Q$70*Q73</f>
        <v>0</v>
      </c>
      <c r="R81" s="1"/>
      <c r="S81" s="51"/>
      <c r="T81" s="233">
        <f t="shared" ref="T81:T87" si="24">T$70*T73</f>
        <v>0</v>
      </c>
      <c r="U81" s="1"/>
      <c r="V81" s="51"/>
      <c r="W81" s="233">
        <f t="shared" ref="W81:W87" si="25">W$70*W73</f>
        <v>0</v>
      </c>
      <c r="X81" s="1"/>
      <c r="Y81" s="51"/>
      <c r="Z81" s="233">
        <f t="shared" ref="Z81:Z87" si="26">Z$70*Z73</f>
        <v>0</v>
      </c>
      <c r="AA81" s="1"/>
      <c r="AB81" s="51"/>
      <c r="AC81" s="233">
        <f t="shared" ref="AC81:AC87" si="27">AC$70*AC73</f>
        <v>0</v>
      </c>
      <c r="AD81" s="1"/>
      <c r="AE81" s="51"/>
      <c r="AF81" s="233">
        <f t="shared" ref="AF81:AF87" si="28">AF$70*AF73</f>
        <v>0</v>
      </c>
      <c r="AG81" s="1"/>
      <c r="AH81" s="51"/>
      <c r="AI81" s="233">
        <f t="shared" ref="AI81:AI87" si="29">AI$70*AI73</f>
        <v>0</v>
      </c>
      <c r="AJ81" s="1"/>
      <c r="AK81" s="51"/>
      <c r="AL81" s="233">
        <f t="shared" ref="AL81:AL87" si="30">AL$70*AL73</f>
        <v>0</v>
      </c>
      <c r="AM81" s="1"/>
      <c r="AN81" s="51"/>
      <c r="AO81" s="233">
        <f t="shared" ref="AO81:AO87" si="31">AO$70*AO73</f>
        <v>0</v>
      </c>
      <c r="AP81" s="1"/>
      <c r="AQ81" s="51"/>
      <c r="AR81" s="233">
        <f t="shared" ref="AR81:AR87" si="32">AR$70*AR73</f>
        <v>0</v>
      </c>
      <c r="AS81" s="1"/>
      <c r="AT81" s="51"/>
      <c r="AU81" s="233">
        <f t="shared" ref="AU81:AU87" si="33">AU$70*AU73</f>
        <v>0</v>
      </c>
      <c r="AV81" s="1"/>
      <c r="AW81" s="51"/>
      <c r="AX81" s="233">
        <f t="shared" ref="AX81:AX87" si="34">AX$70*AX73</f>
        <v>0</v>
      </c>
      <c r="AY81" s="1"/>
      <c r="AZ81" s="51"/>
      <c r="BA81" s="233">
        <f t="shared" ref="BA81:BA87" si="35">BA$70*BA73</f>
        <v>0</v>
      </c>
      <c r="BB81" s="1"/>
      <c r="BC81" s="51"/>
      <c r="BD81" s="581">
        <f t="shared" ref="BD81:BD87" si="36">BD$70*BD73</f>
        <v>0</v>
      </c>
      <c r="BE81" s="489"/>
      <c r="BF81" s="140"/>
      <c r="BG81" s="581">
        <f t="shared" ref="BG81:BG87" si="37">BG$70*BG73</f>
        <v>0</v>
      </c>
      <c r="BH81" s="489"/>
      <c r="BI81" s="140"/>
      <c r="BJ81" s="581">
        <f t="shared" ref="BJ81:BJ87" si="38">BJ$70*BJ73</f>
        <v>0</v>
      </c>
      <c r="BK81" s="489"/>
      <c r="BL81" s="140"/>
      <c r="BM81" s="581">
        <f t="shared" ref="BM81:BM87" si="39">BM$70*BM73</f>
        <v>0.16320000000000001</v>
      </c>
      <c r="BN81" s="489"/>
      <c r="BO81" s="140"/>
      <c r="BP81" s="233">
        <f t="shared" ref="BP81:BP87" si="40">BP$70*BP73</f>
        <v>0</v>
      </c>
      <c r="BQ81" s="1"/>
      <c r="BR81" s="51"/>
      <c r="BS81" s="1076">
        <f t="shared" ref="BS81:BS87" si="41">BS$70*BS73</f>
        <v>0</v>
      </c>
      <c r="BT81" s="350"/>
      <c r="BU81" s="1067"/>
      <c r="BV81" s="1076">
        <f t="shared" ref="BV81:BV87" si="42">BV$70*BV73</f>
        <v>0</v>
      </c>
      <c r="BW81" s="350"/>
      <c r="BX81" s="1067"/>
      <c r="BY81" s="1076">
        <f t="shared" ref="BY81:BY87" si="43">BY$70*BY73</f>
        <v>0</v>
      </c>
      <c r="BZ81" s="350"/>
      <c r="CA81" s="1067"/>
      <c r="CB81" s="1076">
        <f t="shared" ref="CB81:CB87" si="44">CB$70*CB73</f>
        <v>0</v>
      </c>
      <c r="CC81" s="350"/>
      <c r="CD81" s="1067"/>
      <c r="CE81" s="1077">
        <f t="shared" ref="CE81:CE87" si="45">CE$70*CE73</f>
        <v>0</v>
      </c>
      <c r="CF81" s="817"/>
      <c r="CG81" s="1321"/>
      <c r="CH81" s="1321"/>
      <c r="CI81" s="1321"/>
      <c r="CJ81" s="1321"/>
      <c r="CK81" s="1321"/>
      <c r="CL81" s="1321"/>
      <c r="CM81" s="1321"/>
      <c r="CN81" s="1321"/>
      <c r="CO81" s="1321"/>
      <c r="CP81" s="1321"/>
      <c r="CQ81" s="1321"/>
      <c r="CR81" s="1321"/>
      <c r="CS81" s="1321"/>
      <c r="CT81" s="1321"/>
      <c r="CU81" s="1321"/>
      <c r="CV81" s="1321"/>
      <c r="CW81" s="1321"/>
      <c r="CX81" s="1321"/>
      <c r="CY81" s="1321"/>
      <c r="CZ81" s="1321"/>
      <c r="DA81" s="1321"/>
      <c r="DB81" s="1321"/>
      <c r="DC81" s="1321"/>
      <c r="DD81" s="1321"/>
      <c r="DE81" s="1321"/>
      <c r="DF81" s="1321"/>
      <c r="DG81" s="1321"/>
      <c r="DH81" s="1321"/>
      <c r="DI81" s="1321"/>
      <c r="DJ81" s="1321"/>
      <c r="DK81" s="1321"/>
      <c r="DL81" s="1321"/>
      <c r="DM81" s="1321"/>
      <c r="DN81" s="1321"/>
      <c r="DO81" s="1321"/>
      <c r="DP81" s="1321"/>
      <c r="DQ81" s="1321"/>
      <c r="DR81" s="1321"/>
      <c r="DS81" s="1321"/>
      <c r="DT81" s="1321"/>
      <c r="DU81" s="1321"/>
      <c r="DV81" s="1321"/>
      <c r="DW81" s="1321"/>
      <c r="DX81" s="1321"/>
      <c r="DY81" s="1321"/>
      <c r="DZ81" s="1321"/>
      <c r="EA81" s="1321"/>
      <c r="EB81" s="1321"/>
      <c r="EC81" s="1321"/>
      <c r="ED81" s="1321"/>
      <c r="EE81" s="1321"/>
      <c r="EF81" s="1321"/>
      <c r="EG81" s="1321"/>
      <c r="EH81" s="1321"/>
      <c r="EI81" s="1321"/>
      <c r="EJ81" s="1321"/>
      <c r="EK81" s="1321"/>
      <c r="EL81" s="1321"/>
      <c r="EM81" s="1321"/>
      <c r="EN81" s="1321"/>
      <c r="EO81" s="1321"/>
      <c r="EP81" s="1321"/>
      <c r="EQ81" s="1321"/>
      <c r="ER81" s="1321"/>
      <c r="ES81" s="1321"/>
      <c r="ET81" s="1321"/>
      <c r="EU81" s="1321"/>
      <c r="EV81" s="1321"/>
      <c r="EW81" s="1321"/>
      <c r="EX81" s="1321"/>
      <c r="EY81" s="1321"/>
      <c r="EZ81" s="1321"/>
      <c r="FA81" s="1321"/>
      <c r="FB81" s="1321"/>
    </row>
    <row r="82" spans="1:158">
      <c r="A82" s="291" t="s">
        <v>802</v>
      </c>
      <c r="B82" s="233">
        <f t="shared" si="18"/>
        <v>0</v>
      </c>
      <c r="C82" s="1"/>
      <c r="D82" s="51"/>
      <c r="E82" s="233">
        <f t="shared" si="19"/>
        <v>0</v>
      </c>
      <c r="F82" s="1"/>
      <c r="G82" s="51"/>
      <c r="H82" s="233">
        <f t="shared" si="20"/>
        <v>0</v>
      </c>
      <c r="I82" s="1"/>
      <c r="J82" s="51"/>
      <c r="K82" s="233">
        <f t="shared" si="21"/>
        <v>0</v>
      </c>
      <c r="L82" s="1"/>
      <c r="M82" s="51"/>
      <c r="N82" s="233">
        <f t="shared" si="22"/>
        <v>0</v>
      </c>
      <c r="O82" s="1"/>
      <c r="P82" s="51"/>
      <c r="Q82" s="233">
        <f t="shared" si="23"/>
        <v>0</v>
      </c>
      <c r="R82" s="1"/>
      <c r="S82" s="51"/>
      <c r="T82" s="233">
        <f t="shared" si="24"/>
        <v>0</v>
      </c>
      <c r="U82" s="1"/>
      <c r="V82" s="51"/>
      <c r="W82" s="233">
        <f t="shared" si="25"/>
        <v>0</v>
      </c>
      <c r="X82" s="1"/>
      <c r="Y82" s="51"/>
      <c r="Z82" s="233">
        <f t="shared" si="26"/>
        <v>0</v>
      </c>
      <c r="AA82" s="1"/>
      <c r="AB82" s="51"/>
      <c r="AC82" s="233">
        <f t="shared" si="27"/>
        <v>0</v>
      </c>
      <c r="AD82" s="1"/>
      <c r="AE82" s="51"/>
      <c r="AF82" s="233">
        <f t="shared" si="28"/>
        <v>0</v>
      </c>
      <c r="AG82" s="1"/>
      <c r="AH82" s="51"/>
      <c r="AI82" s="233">
        <f t="shared" si="29"/>
        <v>0</v>
      </c>
      <c r="AJ82" s="1"/>
      <c r="AK82" s="51"/>
      <c r="AL82" s="233">
        <f t="shared" si="30"/>
        <v>0</v>
      </c>
      <c r="AM82" s="1"/>
      <c r="AN82" s="51"/>
      <c r="AO82" s="233">
        <f t="shared" si="31"/>
        <v>0</v>
      </c>
      <c r="AP82" s="1"/>
      <c r="AQ82" s="51"/>
      <c r="AR82" s="233">
        <f t="shared" si="32"/>
        <v>0</v>
      </c>
      <c r="AS82" s="1"/>
      <c r="AT82" s="51"/>
      <c r="AU82" s="233">
        <f t="shared" si="33"/>
        <v>0</v>
      </c>
      <c r="AV82" s="1"/>
      <c r="AW82" s="51"/>
      <c r="AX82" s="233">
        <f t="shared" si="34"/>
        <v>0</v>
      </c>
      <c r="AY82" s="1"/>
      <c r="AZ82" s="51"/>
      <c r="BA82" s="233">
        <f t="shared" si="35"/>
        <v>0</v>
      </c>
      <c r="BB82" s="1"/>
      <c r="BC82" s="51"/>
      <c r="BD82" s="581">
        <f t="shared" si="36"/>
        <v>0</v>
      </c>
      <c r="BE82" s="489"/>
      <c r="BF82" s="140"/>
      <c r="BG82" s="581">
        <f t="shared" si="37"/>
        <v>0</v>
      </c>
      <c r="BH82" s="489"/>
      <c r="BI82" s="140"/>
      <c r="BJ82" s="581">
        <f t="shared" si="38"/>
        <v>0</v>
      </c>
      <c r="BK82" s="489"/>
      <c r="BL82" s="140"/>
      <c r="BM82" s="581">
        <f t="shared" si="39"/>
        <v>0.10880000000000001</v>
      </c>
      <c r="BN82" s="489"/>
      <c r="BO82" s="140"/>
      <c r="BP82" s="233">
        <f t="shared" si="40"/>
        <v>0</v>
      </c>
      <c r="BQ82" s="1"/>
      <c r="BR82" s="51"/>
      <c r="BS82" s="1076">
        <f t="shared" si="41"/>
        <v>0</v>
      </c>
      <c r="BT82" s="350"/>
      <c r="BU82" s="1067"/>
      <c r="BV82" s="1076">
        <f t="shared" si="42"/>
        <v>0</v>
      </c>
      <c r="BW82" s="350"/>
      <c r="BX82" s="1067"/>
      <c r="BY82" s="1076">
        <f t="shared" si="43"/>
        <v>0</v>
      </c>
      <c r="BZ82" s="350"/>
      <c r="CA82" s="1067"/>
      <c r="CB82" s="1076">
        <f t="shared" si="44"/>
        <v>0</v>
      </c>
      <c r="CC82" s="350"/>
      <c r="CD82" s="1067"/>
      <c r="CE82" s="1077">
        <f t="shared" si="45"/>
        <v>0</v>
      </c>
      <c r="CF82" s="817"/>
      <c r="CG82" s="1321"/>
      <c r="CH82" s="1321"/>
      <c r="CI82" s="1321"/>
      <c r="CJ82" s="1321"/>
      <c r="CK82" s="1321"/>
      <c r="CL82" s="1321"/>
      <c r="CM82" s="1321"/>
      <c r="CN82" s="1321"/>
      <c r="CO82" s="1321"/>
      <c r="CP82" s="1321"/>
      <c r="CQ82" s="1321"/>
      <c r="CR82" s="1321"/>
      <c r="CS82" s="1321"/>
      <c r="CT82" s="1321"/>
      <c r="CU82" s="1321"/>
      <c r="CV82" s="1321"/>
      <c r="CW82" s="1321"/>
      <c r="CX82" s="1321"/>
      <c r="CY82" s="1321"/>
      <c r="CZ82" s="1321"/>
      <c r="DA82" s="1321"/>
      <c r="DB82" s="1321"/>
      <c r="DC82" s="1321"/>
      <c r="DD82" s="1321"/>
      <c r="DE82" s="1321"/>
      <c r="DF82" s="1321"/>
      <c r="DG82" s="1321"/>
      <c r="DH82" s="1321"/>
      <c r="DI82" s="1321"/>
      <c r="DJ82" s="1321"/>
      <c r="DK82" s="1321"/>
      <c r="DL82" s="1321"/>
      <c r="DM82" s="1321"/>
      <c r="DN82" s="1321"/>
      <c r="DO82" s="1321"/>
      <c r="DP82" s="1321"/>
      <c r="DQ82" s="1321"/>
      <c r="DR82" s="1321"/>
      <c r="DS82" s="1321"/>
      <c r="DT82" s="1321"/>
      <c r="DU82" s="1321"/>
      <c r="DV82" s="1321"/>
      <c r="DW82" s="1321"/>
      <c r="DX82" s="1321"/>
      <c r="DY82" s="1321"/>
      <c r="DZ82" s="1321"/>
      <c r="EA82" s="1321"/>
      <c r="EB82" s="1321"/>
      <c r="EC82" s="1321"/>
      <c r="ED82" s="1321"/>
      <c r="EE82" s="1321"/>
      <c r="EF82" s="1321"/>
      <c r="EG82" s="1321"/>
      <c r="EH82" s="1321"/>
      <c r="EI82" s="1321"/>
      <c r="EJ82" s="1321"/>
      <c r="EK82" s="1321"/>
      <c r="EL82" s="1321"/>
      <c r="EM82" s="1321"/>
      <c r="EN82" s="1321"/>
      <c r="EO82" s="1321"/>
      <c r="EP82" s="1321"/>
      <c r="EQ82" s="1321"/>
      <c r="ER82" s="1321"/>
      <c r="ES82" s="1321"/>
      <c r="ET82" s="1321"/>
      <c r="EU82" s="1321"/>
      <c r="EV82" s="1321"/>
      <c r="EW82" s="1321"/>
      <c r="EX82" s="1321"/>
      <c r="EY82" s="1321"/>
      <c r="EZ82" s="1321"/>
      <c r="FA82" s="1321"/>
      <c r="FB82" s="1321"/>
    </row>
    <row r="83" spans="1:158">
      <c r="A83" s="291" t="s">
        <v>801</v>
      </c>
      <c r="B83" s="233">
        <f t="shared" si="18"/>
        <v>0</v>
      </c>
      <c r="C83" s="1"/>
      <c r="D83" s="51"/>
      <c r="E83" s="233">
        <f t="shared" si="19"/>
        <v>0</v>
      </c>
      <c r="F83" s="1"/>
      <c r="G83" s="51"/>
      <c r="H83" s="233">
        <f t="shared" si="20"/>
        <v>0</v>
      </c>
      <c r="I83" s="1"/>
      <c r="J83" s="51"/>
      <c r="K83" s="233">
        <f t="shared" si="21"/>
        <v>0</v>
      </c>
      <c r="L83" s="1"/>
      <c r="M83" s="51"/>
      <c r="N83" s="233">
        <f t="shared" si="22"/>
        <v>0</v>
      </c>
      <c r="O83" s="1"/>
      <c r="P83" s="51"/>
      <c r="Q83" s="233">
        <f t="shared" si="23"/>
        <v>0</v>
      </c>
      <c r="R83" s="1"/>
      <c r="S83" s="51"/>
      <c r="T83" s="233">
        <f t="shared" si="24"/>
        <v>0</v>
      </c>
      <c r="U83" s="1"/>
      <c r="V83" s="51"/>
      <c r="W83" s="233">
        <f t="shared" si="25"/>
        <v>0</v>
      </c>
      <c r="X83" s="1"/>
      <c r="Y83" s="51"/>
      <c r="Z83" s="233">
        <f t="shared" si="26"/>
        <v>0</v>
      </c>
      <c r="AA83" s="1"/>
      <c r="AB83" s="51"/>
      <c r="AC83" s="233">
        <f t="shared" si="27"/>
        <v>0</v>
      </c>
      <c r="AD83" s="1"/>
      <c r="AE83" s="51"/>
      <c r="AF83" s="233">
        <f t="shared" si="28"/>
        <v>0</v>
      </c>
      <c r="AG83" s="1"/>
      <c r="AH83" s="51"/>
      <c r="AI83" s="233">
        <f t="shared" si="29"/>
        <v>0</v>
      </c>
      <c r="AJ83" s="1"/>
      <c r="AK83" s="51"/>
      <c r="AL83" s="233">
        <f t="shared" si="30"/>
        <v>0</v>
      </c>
      <c r="AM83" s="1"/>
      <c r="AN83" s="51"/>
      <c r="AO83" s="233">
        <f t="shared" si="31"/>
        <v>0</v>
      </c>
      <c r="AP83" s="1"/>
      <c r="AQ83" s="51"/>
      <c r="AR83" s="233">
        <f t="shared" si="32"/>
        <v>0</v>
      </c>
      <c r="AS83" s="1"/>
      <c r="AT83" s="51"/>
      <c r="AU83" s="233">
        <f t="shared" si="33"/>
        <v>0</v>
      </c>
      <c r="AV83" s="1"/>
      <c r="AW83" s="51"/>
      <c r="AX83" s="233">
        <f t="shared" si="34"/>
        <v>0</v>
      </c>
      <c r="AY83" s="1"/>
      <c r="AZ83" s="51"/>
      <c r="BA83" s="233">
        <f t="shared" si="35"/>
        <v>0</v>
      </c>
      <c r="BB83" s="1"/>
      <c r="BC83" s="51"/>
      <c r="BD83" s="581">
        <f t="shared" si="36"/>
        <v>0</v>
      </c>
      <c r="BE83" s="489"/>
      <c r="BF83" s="140"/>
      <c r="BG83" s="581">
        <f t="shared" si="37"/>
        <v>0</v>
      </c>
      <c r="BH83" s="489"/>
      <c r="BI83" s="140"/>
      <c r="BJ83" s="581">
        <f t="shared" si="38"/>
        <v>0</v>
      </c>
      <c r="BK83" s="489"/>
      <c r="BL83" s="140"/>
      <c r="BM83" s="581">
        <f t="shared" si="39"/>
        <v>0</v>
      </c>
      <c r="BN83" s="489"/>
      <c r="BO83" s="140"/>
      <c r="BP83" s="233">
        <f t="shared" si="40"/>
        <v>0</v>
      </c>
      <c r="BQ83" s="1"/>
      <c r="BR83" s="51"/>
      <c r="BS83" s="1076">
        <f t="shared" si="41"/>
        <v>0</v>
      </c>
      <c r="BT83" s="350"/>
      <c r="BU83" s="1067"/>
      <c r="BV83" s="1076">
        <f t="shared" si="42"/>
        <v>0</v>
      </c>
      <c r="BW83" s="350"/>
      <c r="BX83" s="1067"/>
      <c r="BY83" s="1076">
        <f t="shared" si="43"/>
        <v>0</v>
      </c>
      <c r="BZ83" s="350"/>
      <c r="CA83" s="1067"/>
      <c r="CB83" s="1076">
        <f t="shared" si="44"/>
        <v>0</v>
      </c>
      <c r="CC83" s="350"/>
      <c r="CD83" s="1067"/>
      <c r="CE83" s="1077">
        <f t="shared" si="45"/>
        <v>0</v>
      </c>
      <c r="CF83" s="817"/>
      <c r="CG83" s="1321"/>
      <c r="CH83" s="1321"/>
      <c r="CI83" s="1321"/>
      <c r="CJ83" s="1321"/>
      <c r="CK83" s="1321"/>
      <c r="CL83" s="1321"/>
      <c r="CM83" s="1321"/>
      <c r="CN83" s="1321"/>
      <c r="CO83" s="1321"/>
      <c r="CP83" s="1321"/>
      <c r="CQ83" s="1321"/>
      <c r="CR83" s="1321"/>
      <c r="CS83" s="1321"/>
      <c r="CT83" s="1321"/>
      <c r="CU83" s="1321"/>
      <c r="CV83" s="1321"/>
      <c r="CW83" s="1321"/>
      <c r="CX83" s="1321"/>
      <c r="CY83" s="1321"/>
      <c r="CZ83" s="1321"/>
      <c r="DA83" s="1321"/>
      <c r="DB83" s="1321"/>
      <c r="DC83" s="1321"/>
      <c r="DD83" s="1321"/>
      <c r="DE83" s="1321"/>
      <c r="DF83" s="1321"/>
      <c r="DG83" s="1321"/>
      <c r="DH83" s="1321"/>
      <c r="DI83" s="1321"/>
      <c r="DJ83" s="1321"/>
      <c r="DK83" s="1321"/>
      <c r="DL83" s="1321"/>
      <c r="DM83" s="1321"/>
      <c r="DN83" s="1321"/>
      <c r="DO83" s="1321"/>
      <c r="DP83" s="1321"/>
      <c r="DQ83" s="1321"/>
      <c r="DR83" s="1321"/>
      <c r="DS83" s="1321"/>
      <c r="DT83" s="1321"/>
      <c r="DU83" s="1321"/>
      <c r="DV83" s="1321"/>
      <c r="DW83" s="1321"/>
      <c r="DX83" s="1321"/>
      <c r="DY83" s="1321"/>
      <c r="DZ83" s="1321"/>
      <c r="EA83" s="1321"/>
      <c r="EB83" s="1321"/>
      <c r="EC83" s="1321"/>
      <c r="ED83" s="1321"/>
      <c r="EE83" s="1321"/>
      <c r="EF83" s="1321"/>
      <c r="EG83" s="1321"/>
      <c r="EH83" s="1321"/>
      <c r="EI83" s="1321"/>
      <c r="EJ83" s="1321"/>
      <c r="EK83" s="1321"/>
      <c r="EL83" s="1321"/>
      <c r="EM83" s="1321"/>
      <c r="EN83" s="1321"/>
      <c r="EO83" s="1321"/>
      <c r="EP83" s="1321"/>
      <c r="EQ83" s="1321"/>
      <c r="ER83" s="1321"/>
      <c r="ES83" s="1321"/>
      <c r="ET83" s="1321"/>
      <c r="EU83" s="1321"/>
      <c r="EV83" s="1321"/>
      <c r="EW83" s="1321"/>
      <c r="EX83" s="1321"/>
      <c r="EY83" s="1321"/>
      <c r="EZ83" s="1321"/>
      <c r="FA83" s="1321"/>
      <c r="FB83" s="1321"/>
    </row>
    <row r="84" spans="1:158">
      <c r="A84" s="291" t="s">
        <v>1319</v>
      </c>
      <c r="B84" s="233">
        <f t="shared" si="18"/>
        <v>0</v>
      </c>
      <c r="C84" s="1"/>
      <c r="D84" s="51"/>
      <c r="E84" s="233">
        <f t="shared" si="19"/>
        <v>0</v>
      </c>
      <c r="F84" s="1"/>
      <c r="G84" s="51"/>
      <c r="H84" s="233">
        <f t="shared" si="20"/>
        <v>0</v>
      </c>
      <c r="I84" s="1"/>
      <c r="J84" s="51"/>
      <c r="K84" s="233">
        <f t="shared" si="21"/>
        <v>0</v>
      </c>
      <c r="L84" s="1"/>
      <c r="M84" s="51"/>
      <c r="N84" s="233">
        <f t="shared" si="22"/>
        <v>0</v>
      </c>
      <c r="O84" s="1"/>
      <c r="P84" s="51"/>
      <c r="Q84" s="233">
        <f t="shared" si="23"/>
        <v>0</v>
      </c>
      <c r="R84" s="1"/>
      <c r="S84" s="51"/>
      <c r="T84" s="233">
        <f t="shared" si="24"/>
        <v>0</v>
      </c>
      <c r="U84" s="1"/>
      <c r="V84" s="51"/>
      <c r="W84" s="233">
        <f t="shared" si="25"/>
        <v>0</v>
      </c>
      <c r="X84" s="1"/>
      <c r="Y84" s="51"/>
      <c r="Z84" s="233">
        <f t="shared" si="26"/>
        <v>0</v>
      </c>
      <c r="AA84" s="1"/>
      <c r="AB84" s="51"/>
      <c r="AC84" s="233">
        <f t="shared" si="27"/>
        <v>0</v>
      </c>
      <c r="AD84" s="1"/>
      <c r="AE84" s="51"/>
      <c r="AF84" s="233">
        <f t="shared" si="28"/>
        <v>0</v>
      </c>
      <c r="AG84" s="1"/>
      <c r="AH84" s="51"/>
      <c r="AI84" s="233">
        <f t="shared" si="29"/>
        <v>0</v>
      </c>
      <c r="AJ84" s="1"/>
      <c r="AK84" s="51"/>
      <c r="AL84" s="233">
        <f t="shared" si="30"/>
        <v>0</v>
      </c>
      <c r="AM84" s="1"/>
      <c r="AN84" s="51"/>
      <c r="AO84" s="233">
        <f t="shared" si="31"/>
        <v>0</v>
      </c>
      <c r="AP84" s="1"/>
      <c r="AQ84" s="51"/>
      <c r="AR84" s="233">
        <f t="shared" si="32"/>
        <v>0</v>
      </c>
      <c r="AS84" s="1"/>
      <c r="AT84" s="51"/>
      <c r="AU84" s="233">
        <f t="shared" si="33"/>
        <v>0</v>
      </c>
      <c r="AV84" s="1"/>
      <c r="AW84" s="51"/>
      <c r="AX84" s="233">
        <f t="shared" si="34"/>
        <v>0</v>
      </c>
      <c r="AY84" s="1"/>
      <c r="AZ84" s="51"/>
      <c r="BA84" s="233">
        <f t="shared" si="35"/>
        <v>0</v>
      </c>
      <c r="BB84" s="1"/>
      <c r="BC84" s="51"/>
      <c r="BD84" s="581">
        <f t="shared" si="36"/>
        <v>0</v>
      </c>
      <c r="BE84" s="489"/>
      <c r="BF84" s="140"/>
      <c r="BG84" s="581">
        <f t="shared" si="37"/>
        <v>0</v>
      </c>
      <c r="BH84" s="489"/>
      <c r="BI84" s="140"/>
      <c r="BJ84" s="581">
        <f t="shared" si="38"/>
        <v>0</v>
      </c>
      <c r="BK84" s="489"/>
      <c r="BL84" s="140"/>
      <c r="BM84" s="581">
        <f t="shared" si="39"/>
        <v>0</v>
      </c>
      <c r="BN84" s="489"/>
      <c r="BO84" s="140"/>
      <c r="BP84" s="233">
        <f t="shared" si="40"/>
        <v>0</v>
      </c>
      <c r="BQ84" s="1"/>
      <c r="BR84" s="51"/>
      <c r="BS84" s="1076">
        <f t="shared" si="41"/>
        <v>0</v>
      </c>
      <c r="BT84" s="350"/>
      <c r="BU84" s="1067"/>
      <c r="BV84" s="1076">
        <f t="shared" si="42"/>
        <v>0</v>
      </c>
      <c r="BW84" s="350"/>
      <c r="BX84" s="1067"/>
      <c r="BY84" s="1076">
        <f t="shared" si="43"/>
        <v>0</v>
      </c>
      <c r="BZ84" s="350"/>
      <c r="CA84" s="1067"/>
      <c r="CB84" s="1076">
        <f t="shared" si="44"/>
        <v>0</v>
      </c>
      <c r="CC84" s="350"/>
      <c r="CD84" s="1067"/>
      <c r="CE84" s="1077">
        <f t="shared" si="45"/>
        <v>0</v>
      </c>
      <c r="CF84" s="817"/>
      <c r="CG84" s="1321"/>
      <c r="CH84" s="1321"/>
      <c r="CI84" s="1321"/>
      <c r="CJ84" s="1321"/>
      <c r="CK84" s="1321"/>
      <c r="CL84" s="1321"/>
      <c r="CM84" s="1321"/>
      <c r="CN84" s="1321"/>
      <c r="CO84" s="1321"/>
      <c r="CP84" s="1321"/>
      <c r="CQ84" s="1321"/>
      <c r="CR84" s="1321"/>
      <c r="CS84" s="1321"/>
      <c r="CT84" s="1321"/>
      <c r="CU84" s="1321"/>
      <c r="CV84" s="1321"/>
      <c r="CW84" s="1321"/>
      <c r="CX84" s="1321"/>
      <c r="CY84" s="1321"/>
      <c r="CZ84" s="1321"/>
      <c r="DA84" s="1321"/>
      <c r="DB84" s="1321"/>
      <c r="DC84" s="1321"/>
      <c r="DD84" s="1321"/>
      <c r="DE84" s="1321"/>
      <c r="DF84" s="1321"/>
      <c r="DG84" s="1321"/>
      <c r="DH84" s="1321"/>
      <c r="DI84" s="1321"/>
      <c r="DJ84" s="1321"/>
      <c r="DK84" s="1321"/>
      <c r="DL84" s="1321"/>
      <c r="DM84" s="1321"/>
      <c r="DN84" s="1321"/>
      <c r="DO84" s="1321"/>
      <c r="DP84" s="1321"/>
      <c r="DQ84" s="1321"/>
      <c r="DR84" s="1321"/>
      <c r="DS84" s="1321"/>
      <c r="DT84" s="1321"/>
      <c r="DU84" s="1321"/>
      <c r="DV84" s="1321"/>
      <c r="DW84" s="1321"/>
      <c r="DX84" s="1321"/>
      <c r="DY84" s="1321"/>
      <c r="DZ84" s="1321"/>
      <c r="EA84" s="1321"/>
      <c r="EB84" s="1321"/>
      <c r="EC84" s="1321"/>
      <c r="ED84" s="1321"/>
      <c r="EE84" s="1321"/>
      <c r="EF84" s="1321"/>
      <c r="EG84" s="1321"/>
      <c r="EH84" s="1321"/>
      <c r="EI84" s="1321"/>
      <c r="EJ84" s="1321"/>
      <c r="EK84" s="1321"/>
      <c r="EL84" s="1321"/>
      <c r="EM84" s="1321"/>
      <c r="EN84" s="1321"/>
      <c r="EO84" s="1321"/>
      <c r="EP84" s="1321"/>
      <c r="EQ84" s="1321"/>
      <c r="ER84" s="1321"/>
      <c r="ES84" s="1321"/>
      <c r="ET84" s="1321"/>
      <c r="EU84" s="1321"/>
      <c r="EV84" s="1321"/>
      <c r="EW84" s="1321"/>
      <c r="EX84" s="1321"/>
      <c r="EY84" s="1321"/>
      <c r="EZ84" s="1321"/>
      <c r="FA84" s="1321"/>
      <c r="FB84" s="1321"/>
    </row>
    <row r="85" spans="1:158">
      <c r="A85" s="291" t="s">
        <v>804</v>
      </c>
      <c r="B85" s="233">
        <f t="shared" si="18"/>
        <v>0</v>
      </c>
      <c r="C85" s="1"/>
      <c r="D85" s="51"/>
      <c r="E85" s="233">
        <f t="shared" si="19"/>
        <v>0</v>
      </c>
      <c r="F85" s="1"/>
      <c r="G85" s="51"/>
      <c r="H85" s="233">
        <f t="shared" si="20"/>
        <v>38.617765809099502</v>
      </c>
      <c r="I85" s="1"/>
      <c r="J85" s="51"/>
      <c r="K85" s="233">
        <f t="shared" si="21"/>
        <v>0</v>
      </c>
      <c r="L85" s="1"/>
      <c r="M85" s="51"/>
      <c r="N85" s="233">
        <f t="shared" si="22"/>
        <v>38.617765809099502</v>
      </c>
      <c r="O85" s="1"/>
      <c r="P85" s="51"/>
      <c r="Q85" s="233">
        <f t="shared" si="23"/>
        <v>0</v>
      </c>
      <c r="R85" s="1"/>
      <c r="S85" s="51"/>
      <c r="T85" s="233">
        <f t="shared" si="24"/>
        <v>38.617765809099502</v>
      </c>
      <c r="U85" s="1"/>
      <c r="V85" s="51"/>
      <c r="W85" s="233">
        <f t="shared" si="25"/>
        <v>0</v>
      </c>
      <c r="X85" s="1"/>
      <c r="Y85" s="51"/>
      <c r="Z85" s="233">
        <f t="shared" si="26"/>
        <v>38.617765809099502</v>
      </c>
      <c r="AA85" s="1"/>
      <c r="AB85" s="51"/>
      <c r="AC85" s="233">
        <f t="shared" si="27"/>
        <v>0</v>
      </c>
      <c r="AD85" s="1"/>
      <c r="AE85" s="51"/>
      <c r="AF85" s="233">
        <f t="shared" si="28"/>
        <v>38.617765809099502</v>
      </c>
      <c r="AG85" s="489"/>
      <c r="AH85" s="140"/>
      <c r="AI85" s="581">
        <f t="shared" si="29"/>
        <v>0</v>
      </c>
      <c r="AJ85" s="1"/>
      <c r="AK85" s="51"/>
      <c r="AL85" s="233">
        <f t="shared" si="30"/>
        <v>30.974473756622029</v>
      </c>
      <c r="AM85" s="1"/>
      <c r="AN85" s="51"/>
      <c r="AO85" s="233">
        <f t="shared" si="31"/>
        <v>0</v>
      </c>
      <c r="AP85" s="1"/>
      <c r="AQ85" s="51"/>
      <c r="AR85" s="233">
        <f t="shared" si="32"/>
        <v>31.420908429113201</v>
      </c>
      <c r="AS85" s="1"/>
      <c r="AT85" s="51"/>
      <c r="AU85" s="233">
        <f t="shared" si="33"/>
        <v>8.6368203843589768</v>
      </c>
      <c r="AV85" s="1"/>
      <c r="AW85" s="51"/>
      <c r="AX85" s="233">
        <f t="shared" si="34"/>
        <v>2.73</v>
      </c>
      <c r="AY85" s="1"/>
      <c r="AZ85" s="51"/>
      <c r="BA85" s="233">
        <f t="shared" si="35"/>
        <v>0</v>
      </c>
      <c r="BB85" s="1"/>
      <c r="BC85" s="51"/>
      <c r="BD85" s="581">
        <f t="shared" si="36"/>
        <v>0</v>
      </c>
      <c r="BE85" s="489"/>
      <c r="BF85" s="140"/>
      <c r="BG85" s="581">
        <f t="shared" si="37"/>
        <v>29.138339984232399</v>
      </c>
      <c r="BH85" s="489"/>
      <c r="BI85" s="140"/>
      <c r="BJ85" s="581">
        <f t="shared" si="38"/>
        <v>0</v>
      </c>
      <c r="BK85" s="489"/>
      <c r="BL85" s="140"/>
      <c r="BM85" s="581">
        <f t="shared" si="39"/>
        <v>0</v>
      </c>
      <c r="BN85" s="489"/>
      <c r="BO85" s="140"/>
      <c r="BP85" s="233">
        <f t="shared" si="40"/>
        <v>0</v>
      </c>
      <c r="BQ85" s="1"/>
      <c r="BR85" s="51"/>
      <c r="BS85" s="1076">
        <f t="shared" si="41"/>
        <v>0</v>
      </c>
      <c r="BT85" s="350"/>
      <c r="BU85" s="1067"/>
      <c r="BV85" s="1076">
        <f t="shared" si="42"/>
        <v>0</v>
      </c>
      <c r="BW85" s="350"/>
      <c r="BX85" s="1067"/>
      <c r="BY85" s="1076">
        <f t="shared" si="43"/>
        <v>38.617765809099502</v>
      </c>
      <c r="BZ85" s="350"/>
      <c r="CA85" s="1067"/>
      <c r="CB85" s="1076">
        <f t="shared" si="44"/>
        <v>0</v>
      </c>
      <c r="CC85" s="350"/>
      <c r="CD85" s="1067"/>
      <c r="CE85" s="1077">
        <f t="shared" si="45"/>
        <v>0</v>
      </c>
      <c r="CF85" s="817"/>
      <c r="CG85" s="1321"/>
      <c r="CH85" s="1321"/>
      <c r="CI85" s="1321"/>
      <c r="CJ85" s="1321"/>
      <c r="CK85" s="1321"/>
      <c r="CL85" s="1321"/>
      <c r="CM85" s="1321"/>
      <c r="CN85" s="1321"/>
      <c r="CO85" s="1321"/>
      <c r="CP85" s="1321"/>
      <c r="CQ85" s="1321"/>
      <c r="CR85" s="1321"/>
      <c r="CS85" s="1321"/>
      <c r="CT85" s="1321"/>
      <c r="CU85" s="1321"/>
      <c r="CV85" s="1321"/>
      <c r="CW85" s="1321"/>
      <c r="CX85" s="1321"/>
      <c r="CY85" s="1321"/>
      <c r="CZ85" s="1321"/>
      <c r="DA85" s="1321"/>
      <c r="DB85" s="1321"/>
      <c r="DC85" s="1321"/>
      <c r="DD85" s="1321"/>
      <c r="DE85" s="1321"/>
      <c r="DF85" s="1321"/>
      <c r="DG85" s="1321"/>
      <c r="DH85" s="1321"/>
      <c r="DI85" s="1321"/>
      <c r="DJ85" s="1321"/>
      <c r="DK85" s="1321"/>
      <c r="DL85" s="1321"/>
      <c r="DM85" s="1321"/>
      <c r="DN85" s="1321"/>
      <c r="DO85" s="1321"/>
      <c r="DP85" s="1321"/>
      <c r="DQ85" s="1321"/>
      <c r="DR85" s="1321"/>
      <c r="DS85" s="1321"/>
      <c r="DT85" s="1321"/>
      <c r="DU85" s="1321"/>
      <c r="DV85" s="1321"/>
      <c r="DW85" s="1321"/>
      <c r="DX85" s="1321"/>
      <c r="DY85" s="1321"/>
      <c r="DZ85" s="1321"/>
      <c r="EA85" s="1321"/>
      <c r="EB85" s="1321"/>
      <c r="EC85" s="1321"/>
      <c r="ED85" s="1321"/>
      <c r="EE85" s="1321"/>
      <c r="EF85" s="1321"/>
      <c r="EG85" s="1321"/>
      <c r="EH85" s="1321"/>
      <c r="EI85" s="1321"/>
      <c r="EJ85" s="1321"/>
      <c r="EK85" s="1321"/>
      <c r="EL85" s="1321"/>
      <c r="EM85" s="1321"/>
      <c r="EN85" s="1321"/>
      <c r="EO85" s="1321"/>
      <c r="EP85" s="1321"/>
      <c r="EQ85" s="1321"/>
      <c r="ER85" s="1321"/>
      <c r="ES85" s="1321"/>
      <c r="ET85" s="1321"/>
      <c r="EU85" s="1321"/>
      <c r="EV85" s="1321"/>
      <c r="EW85" s="1321"/>
      <c r="EX85" s="1321"/>
      <c r="EY85" s="1321"/>
      <c r="EZ85" s="1321"/>
      <c r="FA85" s="1321"/>
      <c r="FB85" s="1321"/>
    </row>
    <row r="86" spans="1:158">
      <c r="A86" s="291" t="s">
        <v>805</v>
      </c>
      <c r="B86" s="233">
        <f t="shared" si="18"/>
        <v>0</v>
      </c>
      <c r="C86" s="1"/>
      <c r="D86" s="51"/>
      <c r="E86" s="233">
        <f t="shared" si="19"/>
        <v>0</v>
      </c>
      <c r="F86" s="1"/>
      <c r="G86" s="51"/>
      <c r="H86" s="233">
        <f t="shared" si="20"/>
        <v>0</v>
      </c>
      <c r="I86" s="1"/>
      <c r="J86" s="51"/>
      <c r="K86" s="233">
        <f t="shared" si="21"/>
        <v>0</v>
      </c>
      <c r="L86" s="1"/>
      <c r="M86" s="51"/>
      <c r="N86" s="233">
        <f t="shared" si="22"/>
        <v>0</v>
      </c>
      <c r="O86" s="1"/>
      <c r="P86" s="51"/>
      <c r="Q86" s="233">
        <f t="shared" si="23"/>
        <v>0</v>
      </c>
      <c r="R86" s="1"/>
      <c r="S86" s="51"/>
      <c r="T86" s="233">
        <f t="shared" si="24"/>
        <v>0</v>
      </c>
      <c r="U86" s="1"/>
      <c r="V86" s="51"/>
      <c r="W86" s="233">
        <f t="shared" si="25"/>
        <v>0</v>
      </c>
      <c r="X86" s="1"/>
      <c r="Y86" s="51"/>
      <c r="Z86" s="233">
        <f t="shared" si="26"/>
        <v>0</v>
      </c>
      <c r="AA86" s="1"/>
      <c r="AB86" s="51"/>
      <c r="AC86" s="581">
        <f t="shared" si="27"/>
        <v>0</v>
      </c>
      <c r="AD86" s="1"/>
      <c r="AE86" s="51"/>
      <c r="AF86" s="233">
        <f t="shared" si="28"/>
        <v>0</v>
      </c>
      <c r="AG86" s="489"/>
      <c r="AH86" s="140"/>
      <c r="AI86" s="581">
        <f t="shared" si="29"/>
        <v>0</v>
      </c>
      <c r="AJ86" s="1"/>
      <c r="AK86" s="51"/>
      <c r="AL86" s="233">
        <f t="shared" si="30"/>
        <v>0</v>
      </c>
      <c r="AM86" s="1"/>
      <c r="AN86" s="51"/>
      <c r="AO86" s="233">
        <f t="shared" si="31"/>
        <v>0</v>
      </c>
      <c r="AP86" s="1"/>
      <c r="AQ86" s="51"/>
      <c r="AR86" s="233">
        <f t="shared" si="32"/>
        <v>0</v>
      </c>
      <c r="AS86" s="1"/>
      <c r="AT86" s="51"/>
      <c r="AU86" s="233">
        <f t="shared" si="33"/>
        <v>0</v>
      </c>
      <c r="AV86" s="1"/>
      <c r="AW86" s="51"/>
      <c r="AX86" s="233">
        <f t="shared" si="34"/>
        <v>0</v>
      </c>
      <c r="AY86" s="1"/>
      <c r="AZ86" s="51"/>
      <c r="BA86" s="233">
        <f t="shared" si="35"/>
        <v>0</v>
      </c>
      <c r="BB86" s="1"/>
      <c r="BC86" s="51"/>
      <c r="BD86" s="581">
        <f t="shared" si="36"/>
        <v>0</v>
      </c>
      <c r="BE86" s="489"/>
      <c r="BF86" s="140"/>
      <c r="BG86" s="581">
        <f t="shared" si="37"/>
        <v>0</v>
      </c>
      <c r="BH86" s="489"/>
      <c r="BI86" s="140"/>
      <c r="BJ86" s="581">
        <f t="shared" si="38"/>
        <v>0</v>
      </c>
      <c r="BK86" s="489"/>
      <c r="BL86" s="140"/>
      <c r="BM86" s="581">
        <f t="shared" si="39"/>
        <v>0</v>
      </c>
      <c r="BN86" s="489"/>
      <c r="BO86" s="140"/>
      <c r="BP86" s="233">
        <f t="shared" si="40"/>
        <v>0</v>
      </c>
      <c r="BQ86" s="1"/>
      <c r="BR86" s="51"/>
      <c r="BS86" s="1076">
        <f t="shared" si="41"/>
        <v>0</v>
      </c>
      <c r="BT86" s="350"/>
      <c r="BU86" s="1067"/>
      <c r="BV86" s="1076">
        <f t="shared" si="42"/>
        <v>0</v>
      </c>
      <c r="BW86" s="350"/>
      <c r="BX86" s="1067"/>
      <c r="BY86" s="1076">
        <f t="shared" si="43"/>
        <v>0</v>
      </c>
      <c r="BZ86" s="350"/>
      <c r="CA86" s="1067"/>
      <c r="CB86" s="1076">
        <f t="shared" si="44"/>
        <v>0</v>
      </c>
      <c r="CC86" s="350"/>
      <c r="CD86" s="1067"/>
      <c r="CE86" s="1077">
        <f t="shared" si="45"/>
        <v>0</v>
      </c>
      <c r="CF86" s="817"/>
      <c r="CG86" s="1321"/>
      <c r="CH86" s="1321"/>
      <c r="CI86" s="1321"/>
      <c r="CJ86" s="1321"/>
      <c r="CK86" s="1321"/>
      <c r="CL86" s="1321"/>
      <c r="CM86" s="1321"/>
      <c r="CN86" s="1321"/>
      <c r="CO86" s="1321"/>
      <c r="CP86" s="1321"/>
      <c r="CQ86" s="1321"/>
      <c r="CR86" s="1321"/>
      <c r="CS86" s="1321"/>
      <c r="CT86" s="1321"/>
      <c r="CU86" s="1321"/>
      <c r="CV86" s="1321"/>
      <c r="CW86" s="1321"/>
      <c r="CX86" s="1321"/>
      <c r="CY86" s="1321"/>
      <c r="CZ86" s="1321"/>
      <c r="DA86" s="1321"/>
      <c r="DB86" s="1321"/>
      <c r="DC86" s="1321"/>
      <c r="DD86" s="1321"/>
      <c r="DE86" s="1321"/>
      <c r="DF86" s="1321"/>
      <c r="DG86" s="1321"/>
      <c r="DH86" s="1321"/>
      <c r="DI86" s="1321"/>
      <c r="DJ86" s="1321"/>
      <c r="DK86" s="1321"/>
      <c r="DL86" s="1321"/>
      <c r="DM86" s="1321"/>
      <c r="DN86" s="1321"/>
      <c r="DO86" s="1321"/>
      <c r="DP86" s="1321"/>
      <c r="DQ86" s="1321"/>
      <c r="DR86" s="1321"/>
      <c r="DS86" s="1321"/>
      <c r="DT86" s="1321"/>
      <c r="DU86" s="1321"/>
      <c r="DV86" s="1321"/>
      <c r="DW86" s="1321"/>
      <c r="DX86" s="1321"/>
      <c r="DY86" s="1321"/>
      <c r="DZ86" s="1321"/>
      <c r="EA86" s="1321"/>
      <c r="EB86" s="1321"/>
      <c r="EC86" s="1321"/>
      <c r="ED86" s="1321"/>
      <c r="EE86" s="1321"/>
      <c r="EF86" s="1321"/>
      <c r="EG86" s="1321"/>
      <c r="EH86" s="1321"/>
      <c r="EI86" s="1321"/>
      <c r="EJ86" s="1321"/>
      <c r="EK86" s="1321"/>
      <c r="EL86" s="1321"/>
      <c r="EM86" s="1321"/>
      <c r="EN86" s="1321"/>
      <c r="EO86" s="1321"/>
      <c r="EP86" s="1321"/>
      <c r="EQ86" s="1321"/>
      <c r="ER86" s="1321"/>
      <c r="ES86" s="1321"/>
      <c r="ET86" s="1321"/>
      <c r="EU86" s="1321"/>
      <c r="EV86" s="1321"/>
      <c r="EW86" s="1321"/>
      <c r="EX86" s="1321"/>
      <c r="EY86" s="1321"/>
      <c r="EZ86" s="1321"/>
      <c r="FA86" s="1321"/>
      <c r="FB86" s="1321"/>
    </row>
    <row r="87" spans="1:158">
      <c r="A87" s="291" t="s">
        <v>806</v>
      </c>
      <c r="B87" s="233">
        <f t="shared" si="18"/>
        <v>0</v>
      </c>
      <c r="C87" s="1"/>
      <c r="D87" s="51"/>
      <c r="E87" s="233">
        <f t="shared" si="19"/>
        <v>0</v>
      </c>
      <c r="F87" s="1"/>
      <c r="G87" s="51"/>
      <c r="H87" s="233">
        <f t="shared" si="20"/>
        <v>0</v>
      </c>
      <c r="I87" s="1"/>
      <c r="J87" s="51"/>
      <c r="K87" s="233">
        <f t="shared" si="21"/>
        <v>21.669611374407602</v>
      </c>
      <c r="L87" s="1"/>
      <c r="M87" s="51"/>
      <c r="N87" s="233">
        <f t="shared" si="22"/>
        <v>0</v>
      </c>
      <c r="O87" s="1"/>
      <c r="P87" s="51"/>
      <c r="Q87" s="581">
        <f t="shared" si="23"/>
        <v>21.669611374407602</v>
      </c>
      <c r="R87" s="1"/>
      <c r="S87" s="51"/>
      <c r="T87" s="581">
        <f t="shared" si="24"/>
        <v>0</v>
      </c>
      <c r="U87" s="1"/>
      <c r="V87" s="51"/>
      <c r="W87" s="581">
        <f t="shared" si="25"/>
        <v>21.669611374407602</v>
      </c>
      <c r="X87" s="1"/>
      <c r="Y87" s="51"/>
      <c r="Z87" s="233">
        <f t="shared" si="26"/>
        <v>0</v>
      </c>
      <c r="AA87" s="1"/>
      <c r="AB87" s="51"/>
      <c r="AC87" s="581">
        <f t="shared" si="27"/>
        <v>21.669611374407602</v>
      </c>
      <c r="AD87" s="1"/>
      <c r="AE87" s="51"/>
      <c r="AF87" s="233">
        <f t="shared" si="28"/>
        <v>0</v>
      </c>
      <c r="AG87" s="489"/>
      <c r="AH87" s="140"/>
      <c r="AI87" s="581">
        <f t="shared" si="29"/>
        <v>24.7652701421801</v>
      </c>
      <c r="AJ87" s="1"/>
      <c r="AK87" s="51"/>
      <c r="AL87" s="233">
        <f t="shared" si="30"/>
        <v>0.62090252336823393</v>
      </c>
      <c r="AM87" s="1"/>
      <c r="AN87" s="51"/>
      <c r="AO87" s="233">
        <f t="shared" si="31"/>
        <v>23.453742710900499</v>
      </c>
      <c r="AP87" s="1"/>
      <c r="AQ87" s="51"/>
      <c r="AR87" s="233">
        <f t="shared" si="32"/>
        <v>0</v>
      </c>
      <c r="AS87" s="1"/>
      <c r="AT87" s="51"/>
      <c r="AU87" s="233">
        <f t="shared" si="33"/>
        <v>0.13716703590836266</v>
      </c>
      <c r="AV87" s="1"/>
      <c r="AW87" s="51"/>
      <c r="AX87" s="233">
        <f t="shared" si="34"/>
        <v>0</v>
      </c>
      <c r="AY87" s="1"/>
      <c r="AZ87" s="51"/>
      <c r="BA87" s="233">
        <f t="shared" si="35"/>
        <v>18.5739526066351</v>
      </c>
      <c r="BB87" s="1"/>
      <c r="BC87" s="51"/>
      <c r="BD87" s="581">
        <f t="shared" si="36"/>
        <v>15</v>
      </c>
      <c r="BE87" s="489"/>
      <c r="BF87" s="140"/>
      <c r="BG87" s="581">
        <f t="shared" si="37"/>
        <v>0</v>
      </c>
      <c r="BH87" s="489"/>
      <c r="BI87" s="140"/>
      <c r="BJ87" s="581">
        <f t="shared" si="38"/>
        <v>2.5313202746164101</v>
      </c>
      <c r="BK87" s="489"/>
      <c r="BL87" s="140"/>
      <c r="BM87" s="581">
        <f t="shared" si="39"/>
        <v>0.40800000000000003</v>
      </c>
      <c r="BN87" s="489"/>
      <c r="BO87" s="140"/>
      <c r="BP87" s="233">
        <f t="shared" si="40"/>
        <v>0</v>
      </c>
      <c r="BQ87" s="1"/>
      <c r="BR87" s="51"/>
      <c r="BS87" s="1076">
        <f t="shared" si="41"/>
        <v>0.25</v>
      </c>
      <c r="BT87" s="350"/>
      <c r="BU87" s="1067"/>
      <c r="BV87" s="1076">
        <f t="shared" si="42"/>
        <v>0</v>
      </c>
      <c r="BW87" s="350"/>
      <c r="BX87" s="1067"/>
      <c r="BY87" s="1076">
        <f t="shared" si="43"/>
        <v>0</v>
      </c>
      <c r="BZ87" s="350"/>
      <c r="CA87" s="1067"/>
      <c r="CB87" s="1076">
        <f t="shared" si="44"/>
        <v>24.7652701421801</v>
      </c>
      <c r="CC87" s="350"/>
      <c r="CD87" s="1067"/>
      <c r="CE87" s="1077">
        <f t="shared" si="45"/>
        <v>0</v>
      </c>
      <c r="CF87" s="817"/>
      <c r="CG87" s="1321"/>
      <c r="CH87" s="1321"/>
      <c r="CI87" s="1321"/>
      <c r="CJ87" s="1321"/>
      <c r="CK87" s="1321"/>
      <c r="CL87" s="1321"/>
      <c r="CM87" s="1321"/>
      <c r="CN87" s="1321"/>
      <c r="CO87" s="1321"/>
      <c r="CP87" s="1321"/>
      <c r="CQ87" s="1321"/>
      <c r="CR87" s="1321"/>
      <c r="CS87" s="1321"/>
      <c r="CT87" s="1321"/>
      <c r="CU87" s="1321"/>
      <c r="CV87" s="1321"/>
      <c r="CW87" s="1321"/>
      <c r="CX87" s="1321"/>
      <c r="CY87" s="1321"/>
      <c r="CZ87" s="1321"/>
      <c r="DA87" s="1321"/>
      <c r="DB87" s="1321"/>
      <c r="DC87" s="1321"/>
      <c r="DD87" s="1321"/>
      <c r="DE87" s="1321"/>
      <c r="DF87" s="1321"/>
      <c r="DG87" s="1321"/>
      <c r="DH87" s="1321"/>
      <c r="DI87" s="1321"/>
      <c r="DJ87" s="1321"/>
      <c r="DK87" s="1321"/>
      <c r="DL87" s="1321"/>
      <c r="DM87" s="1321"/>
      <c r="DN87" s="1321"/>
      <c r="DO87" s="1321"/>
      <c r="DP87" s="1321"/>
      <c r="DQ87" s="1321"/>
      <c r="DR87" s="1321"/>
      <c r="DS87" s="1321"/>
      <c r="DT87" s="1321"/>
      <c r="DU87" s="1321"/>
      <c r="DV87" s="1321"/>
      <c r="DW87" s="1321"/>
      <c r="DX87" s="1321"/>
      <c r="DY87" s="1321"/>
      <c r="DZ87" s="1321"/>
      <c r="EA87" s="1321"/>
      <c r="EB87" s="1321"/>
      <c r="EC87" s="1321"/>
      <c r="ED87" s="1321"/>
      <c r="EE87" s="1321"/>
      <c r="EF87" s="1321"/>
      <c r="EG87" s="1321"/>
      <c r="EH87" s="1321"/>
      <c r="EI87" s="1321"/>
      <c r="EJ87" s="1321"/>
      <c r="EK87" s="1321"/>
      <c r="EL87" s="1321"/>
      <c r="EM87" s="1321"/>
      <c r="EN87" s="1321"/>
      <c r="EO87" s="1321"/>
      <c r="EP87" s="1321"/>
      <c r="EQ87" s="1321"/>
      <c r="ER87" s="1321"/>
      <c r="ES87" s="1321"/>
      <c r="ET87" s="1321"/>
      <c r="EU87" s="1321"/>
      <c r="EV87" s="1321"/>
      <c r="EW87" s="1321"/>
      <c r="EX87" s="1321"/>
      <c r="EY87" s="1321"/>
      <c r="EZ87" s="1321"/>
      <c r="FA87" s="1321"/>
      <c r="FB87" s="1321"/>
    </row>
    <row r="88" spans="1:158">
      <c r="A88" s="481" t="s">
        <v>816</v>
      </c>
      <c r="B88" s="240">
        <f>B$81*(1+(GREET1_Import_Export!$B180*GREET1_Import_Export!$F$179+GREET1_Import_Export!$F180)/1000000)+B$82*(1+(GREET1_Import_Export!$B180*GREET1_Import_Export!$G$179+GREET1_Import_Export!$G180)/1000000)+B$83*(1+(GREET1_Import_Export!$B180*GREET1_Import_Export!$C$179+GREET1_Import_Export!$C180)/1000000)+B$84*(1+(GREET1_Import_Export!$E216*GREET1_Import_Export!$F$215+GREET1_Import_Export!$F216)/1000000)+B$85*(1+GREET1_Import_Export!$B216/1000000)+B$86*(1+GREET1_Import_Export!$B284/1000000)+B$87*SUM(GREET1_Import_Export!$B309:$C309)/1000000</f>
        <v>0</v>
      </c>
      <c r="C88" s="131"/>
      <c r="D88" s="248"/>
      <c r="E88" s="240">
        <f>E$81*(1+(GREET1_Import_Export!$B180*GREET1_Import_Export!$F$179+GREET1_Import_Export!$F180)/1000000)+E$82*(1+(GREET1_Import_Export!$B180*GREET1_Import_Export!$G$179+GREET1_Import_Export!$G180)/1000000)+E$83*(1+(GREET1_Import_Export!$B180*GREET1_Import_Export!$C$179+GREET1_Import_Export!$C180)/1000000)+E$84*(1+(GREET1_Import_Export!$E216*GREET1_Import_Export!$F$215+GREET1_Import_Export!$F216)/1000000)+E$85*(1+GREET1_Import_Export!$B216/1000000)+E$86*(1+GREET1_Import_Export!$B284/1000000)+E$87*SUM(GREET1_Import_Export!$B309:$C309)/1000000</f>
        <v>0</v>
      </c>
      <c r="F88" s="131"/>
      <c r="G88" s="248"/>
      <c r="H88" s="240">
        <f>H$81*(1+(GREET1_Import_Export!$B180*GREET1_Import_Export!$F$179+GREET1_Import_Export!$F180)/1000000)+H$82*(1+(GREET1_Import_Export!$B180*GREET1_Import_Export!$G$179+GREET1_Import_Export!$G180)/1000000)+H$83*(1+(GREET1_Import_Export!$B180*GREET1_Import_Export!$C$179+GREET1_Import_Export!$C180)/1000000)+H$84*(1+(GREET1_Import_Export!$E216*GREET1_Import_Export!$F$215+GREET1_Import_Export!$F216)/1000000)+H$85*(1+GREET1_Import_Export!$B216/1000000)+H$86*(1+GREET1_Import_Export!$B284/1000000)+H$87*SUM(GREET1_Import_Export!$B309:$C309)/1000000</f>
        <v>42.643906026461849</v>
      </c>
      <c r="I88" s="131"/>
      <c r="J88" s="248"/>
      <c r="K88" s="240">
        <f>K$81*(1+(GREET1_Import_Export!$B180*GREET1_Import_Export!$F$179+GREET1_Import_Export!$F180)/1000000)+K$82*(1+(GREET1_Import_Export!$B180*GREET1_Import_Export!$G$179+GREET1_Import_Export!$G180)/1000000)+K$83*(1+(GREET1_Import_Export!$B180*GREET1_Import_Export!$C$179+GREET1_Import_Export!$C180)/1000000)+K$84*(1+(GREET1_Import_Export!$E216*GREET1_Import_Export!$F$215+GREET1_Import_Export!$F216)/1000000)+K$85*(1+GREET1_Import_Export!$B216/1000000)+K$86*(1+GREET1_Import_Export!$B284/1000000)+K$87*SUM(GREET1_Import_Export!$B309:$C309)/1000000</f>
        <v>43.947169401101327</v>
      </c>
      <c r="L88" s="131"/>
      <c r="M88" s="248"/>
      <c r="N88" s="240">
        <f>N$81*(1+(GREET1_Import_Export!$B180*GREET1_Import_Export!$F$179+GREET1_Import_Export!$F180)/1000000)+N$82*(1+(GREET1_Import_Export!$B180*GREET1_Import_Export!$G$179+GREET1_Import_Export!$G180)/1000000)+N$83*(1+(GREET1_Import_Export!$B180*GREET1_Import_Export!$C$179+GREET1_Import_Export!$C180)/1000000)+N$84*(1+(GREET1_Import_Export!$E216*GREET1_Import_Export!$F$215+GREET1_Import_Export!$F216)/1000000)+N$85*(1+GREET1_Import_Export!$B216/1000000)+N$86*(1+GREET1_Import_Export!$B284/1000000)+N$87*SUM(GREET1_Import_Export!$B309:$C309)/1000000</f>
        <v>42.643906026461849</v>
      </c>
      <c r="O88" s="131"/>
      <c r="P88" s="248"/>
      <c r="Q88" s="582">
        <f>Q$81*(1+(GREET1_Import_Export!$B180*GREET1_Import_Export!$F$179+GREET1_Import_Export!$F180)/1000000)+Q$82*(1+(GREET1_Import_Export!$B180*GREET1_Import_Export!$G$179+GREET1_Import_Export!$G180)/1000000)+Q$83*(1+(GREET1_Import_Export!$B180*GREET1_Import_Export!$C$179+GREET1_Import_Export!$C180)/1000000)+Q$84*(1+(GREET1_Import_Export!$E216*GREET1_Import_Export!$F$215+GREET1_Import_Export!$F216)/1000000)+Q$85*(1+GREET1_Import_Export!$B216/1000000)+Q$86*(1+GREET1_Import_Export!$B284/1000000)
+Q$87*($B$46*(GREET1_Import_Export!$B309+GREET1_Import_Export!$C309)+$C$46*GREET1_Import_Export!L342+$D$46*GREET1_Import_Export!H342+$E$46*GREET1_Import_Export!Q342+$F$46*GREET1_Import_Export!R342+SUMPRODUCT($G$46:$I$46,GREET1_Import_Export!N342:P342))/1000000</f>
        <v>43.947169401101327</v>
      </c>
      <c r="R88" s="131"/>
      <c r="S88" s="248"/>
      <c r="T88" s="582">
        <f>T$81*(1+(GREET1_Import_Export!$B180*GREET1_Import_Export!$F$179+GREET1_Import_Export!$F180)/1000000)+T$82*(1+(GREET1_Import_Export!$B180*GREET1_Import_Export!$G$179+GREET1_Import_Export!$G180)/1000000)+T$83*(1+(GREET1_Import_Export!$B180*GREET1_Import_Export!$C$179+GREET1_Import_Export!$C180)/1000000)+T$84*(1+(GREET1_Import_Export!$E216*GREET1_Import_Export!$F$215+GREET1_Import_Export!$F216)/1000000)+T$85*(1+GREET1_Import_Export!$B216/1000000)+T$86*(1+GREET1_Import_Export!$B284/1000000)+T$87*SUM(GREET1_Import_Export!$B309:$C309)/1000000</f>
        <v>42.643906026461849</v>
      </c>
      <c r="U88" s="131"/>
      <c r="V88" s="248"/>
      <c r="W88" s="582">
        <f>W$81*(1+(GREET1_Import_Export!$B180*GREET1_Import_Export!$F$179+GREET1_Import_Export!$F180)/1000000)+W$82*(1+(GREET1_Import_Export!$B180*GREET1_Import_Export!$G$179+GREET1_Import_Export!$G180)/1000000)+W$83*(1+(GREET1_Import_Export!$B180*GREET1_Import_Export!$C$179+GREET1_Import_Export!$C180)/1000000)+W$84*(1+(GREET1_Import_Export!$E216*GREET1_Import_Export!$F$215+GREET1_Import_Export!$F216)/1000000)+W$85*(1+GREET1_Import_Export!$B216/1000000)+W$86*(1+GREET1_Import_Export!$B284/1000000)+W$87*($B$46*(GREET1_Import_Export!$B309+GREET1_Import_Export!$C309)+$C$46*GREET1_Import_Export!L342+$D$46*GREET1_Import_Export!H342+$E$46*GREET1_Import_Export!Q342+$F$46*GREET1_Import_Export!R342+SUMPRODUCT($G$46:$I$46,GREET1_Import_Export!N342:P342))/1000000</f>
        <v>43.947169401101327</v>
      </c>
      <c r="X88" s="131"/>
      <c r="Y88" s="248"/>
      <c r="Z88" s="240">
        <f>Z$81*(1+(GREET1_Import_Export!$B180*GREET1_Import_Export!$F$179+GREET1_Import_Export!$F180)/1000000)+Z$82*(1+(GREET1_Import_Export!$B180*GREET1_Import_Export!$G$179+GREET1_Import_Export!$G180)/1000000)+Z$83*(1+(GREET1_Import_Export!$B180*GREET1_Import_Export!$C$179+GREET1_Import_Export!$C180)/1000000)+Z$84*(1+(GREET1_Import_Export!$E216*GREET1_Import_Export!$F$215+GREET1_Import_Export!$F216)/1000000)+Z$85*(1+GREET1_Import_Export!$B216/1000000)+Z$86*(1+GREET1_Import_Export!$B284/1000000)+Z$87*SUM(GREET1_Import_Export!$B309:$C309)/1000000</f>
        <v>42.643906026461849</v>
      </c>
      <c r="AA88" s="131"/>
      <c r="AB88" s="248"/>
      <c r="AC88" s="582">
        <f>AC$81*(1+(GREET1_Import_Export!$B180*GREET1_Import_Export!$F$179+GREET1_Import_Export!$F180)/1000000)+AC$82*(1+(GREET1_Import_Export!$B180*GREET1_Import_Export!$G$179+GREET1_Import_Export!$G180)/1000000)+AC$83*(1+(GREET1_Import_Export!$B180*GREET1_Import_Export!$C$179+GREET1_Import_Export!$C180)/1000000)+AC$84*(1+(GREET1_Import_Export!$E216*GREET1_Import_Export!$F$215+GREET1_Import_Export!$F216)/1000000)+AC$85*(1+GREET1_Import_Export!$B216/1000000)+AC$86*(1+GREET1_Import_Export!$B284/1000000)+AC$87*($B$46*(GREET1_Import_Export!$B309+GREET1_Import_Export!$C309)+$C$46*GREET1_Import_Export!L342+$D$46*GREET1_Import_Export!H342+$E$46*GREET1_Import_Export!Q342+$F$46*GREET1_Import_Export!R342+SUMPRODUCT($G$46:$I$46,GREET1_Import_Export!N342:P342))/1000000</f>
        <v>43.947169401101327</v>
      </c>
      <c r="AD88" s="131"/>
      <c r="AE88" s="248"/>
      <c r="AF88" s="240">
        <f>AF$81*(1+(GREET1_Import_Export!$B180*GREET1_Import_Export!$F$179+GREET1_Import_Export!$F180)/1000000)+AF$82*(1+(GREET1_Import_Export!$B180*GREET1_Import_Export!$G$179+GREET1_Import_Export!$G180)/1000000)+AF$83*(1+(GREET1_Import_Export!$B180*GREET1_Import_Export!$C$179+GREET1_Import_Export!$C180)/1000000)+AF$84*(1+(GREET1_Import_Export!$E216*GREET1_Import_Export!$F$215+GREET1_Import_Export!$F216)/1000000)+AF$85*(1+GREET1_Import_Export!$B216/1000000)+AF$86*(1+GREET1_Import_Export!$B284/1000000)+AF$87*SUM(GREET1_Import_Export!$B309:$C309)/1000000</f>
        <v>42.643906026461849</v>
      </c>
      <c r="AG88" s="1608"/>
      <c r="AH88" s="583"/>
      <c r="AI88" s="582">
        <f>AI$81*(1+(GREET1_Import_Export!$B180*GREET1_Import_Export!$F$179+GREET1_Import_Export!$F180)/1000000)+AI$82*(1+(GREET1_Import_Export!$B180*GREET1_Import_Export!$G$179+GREET1_Import_Export!$G180)/1000000)+AI$83*(1+(GREET1_Import_Export!$B180*GREET1_Import_Export!$C$179+GREET1_Import_Export!$C180)/1000000)+AI$84*(1+(GREET1_Import_Export!$E216*GREET1_Import_Export!$F$215+GREET1_Import_Export!$F216)/1000000)+AI$85*(1+GREET1_Import_Export!$B216/1000000)+AI$86*(1+GREET1_Import_Export!$B284/1000000)+AI$87*($B$46*(GREET1_Import_Export!$B309+GREET1_Import_Export!$C309)+$C$46*GREET1_Import_Export!L342+$D$46*GREET1_Import_Export!H342+$E$46*GREET1_Import_Export!Q342+$F$46*GREET1_Import_Export!R342+SUMPRODUCT($G$46:$I$46,GREET1_Import_Export!N342:P342))/1000000</f>
        <v>50.225336458401486</v>
      </c>
      <c r="AJ88" s="131"/>
      <c r="AK88" s="248"/>
      <c r="AL88" s="240">
        <f>AL$81*(1+(GREET1_Import_Export!$B180*GREET1_Import_Export!$F$179+GREET1_Import_Export!$F180)/1000000)+AL$82*(1+(GREET1_Import_Export!$B180*GREET1_Import_Export!$G$179+GREET1_Import_Export!$G180)/1000000)+AL$83*(1+(GREET1_Import_Export!$B180*GREET1_Import_Export!$C$179+GREET1_Import_Export!$C180)/1000000)+AL$84*(1+(GREET1_Import_Export!$E216*GREET1_Import_Export!$F$215+GREET1_Import_Export!$F216)/1000000)+AL$85*(1+GREET1_Import_Export!$B216/1000000)+AL$86*(1+GREET1_Import_Export!$B284/1000000)+AL$87*SUM(GREET1_Import_Export!$B309:$C309)/1000000</f>
        <v>35.462978276582071</v>
      </c>
      <c r="AM88" s="131"/>
      <c r="AN88" s="248"/>
      <c r="AO88" s="240">
        <f>AO$81*(1+(GREET1_Import_Export!$B180*GREET1_Import_Export!$F$179+GREET1_Import_Export!$F180)/1000000)+AO$82*(1+(GREET1_Import_Export!$B180*GREET1_Import_Export!$G$179+GREET1_Import_Export!$G180)/1000000)+AO$83*(1+(GREET1_Import_Export!$B180*GREET1_Import_Export!$C$179+GREET1_Import_Export!$C180)/1000000)+AO$84*(1+(GREET1_Import_Export!$E216*GREET1_Import_Export!$F$215+GREET1_Import_Export!$F216)/1000000)+AO$85*(1+GREET1_Import_Export!$B216/1000000)+AO$86*(1+GREET1_Import_Export!$B284/1000000)+AO$87*SUM(GREET1_Import_Export!$B309:$C309)/1000000</f>
        <v>47.565486348458684</v>
      </c>
      <c r="AP88" s="131"/>
      <c r="AQ88" s="248"/>
      <c r="AR88" s="240">
        <f>AR$81*(1+(GREET1_Import_Export!$B180*GREET1_Import_Export!$F$179+GREET1_Import_Export!$F180)/1000000)+AR$82*(1+(GREET1_Import_Export!$B180*GREET1_Import_Export!$G$179+GREET1_Import_Export!$G180)/1000000)+AR$83*(1+(GREET1_Import_Export!$B180*GREET1_Import_Export!$C$179+GREET1_Import_Export!$C180)/1000000)+AR$84*(1+(GREET1_Import_Export!$E216*GREET1_Import_Export!$F$215+GREET1_Import_Export!$F216)/1000000)+AR$85*(1+GREET1_Import_Export!$B216/1000000)+AR$86*(1+GREET1_Import_Export!$B284/1000000)+AR$87*SUM(GREET1_Import_Export!$B309:$C309)/1000000</f>
        <v>34.696731886064818</v>
      </c>
      <c r="AS88" s="131"/>
      <c r="AT88" s="248"/>
      <c r="AU88" s="240">
        <f>AU$81*(1+(GREET1_Import_Export!$B180*GREET1_Import_Export!$F$179+GREET1_Import_Export!$F180)/1000000)+AU$82*(1+(GREET1_Import_Export!$B180*GREET1_Import_Export!$G$179+GREET1_Import_Export!$G180)/1000000)+AU$83*(1+(GREET1_Import_Export!$B180*GREET1_Import_Export!$C$179+GREET1_Import_Export!$C180)/1000000)+AU$84*(1+(GREET1_Import_Export!$E216*GREET1_Import_Export!$F$215+GREET1_Import_Export!$F216)/1000000)+AU$85*(1+GREET1_Import_Export!$B216/1000000)+AU$86*(1+GREET1_Import_Export!$B284/1000000)+AU$87*SUM(GREET1_Import_Export!$B309:$C309)/1000000</f>
        <v>9.8154444964550631</v>
      </c>
      <c r="AV88" s="131"/>
      <c r="AW88" s="248"/>
      <c r="AX88" s="240">
        <f>AX$81*(1+(GREET1_Import_Export!$B180*GREET1_Import_Export!$F$179+GREET1_Import_Export!$F180)/1000000)+AX$82*(1+(GREET1_Import_Export!$B180*GREET1_Import_Export!$G$179+GREET1_Import_Export!$G180)/1000000)+AX$83*(1+(GREET1_Import_Export!$B180*GREET1_Import_Export!$C$179+GREET1_Import_Export!$C180)/1000000)+AX$84*(1+(GREET1_Import_Export!$E216*GREET1_Import_Export!$F$215+GREET1_Import_Export!$F216)/1000000)+AX$85*(1+GREET1_Import_Export!$B216/1000000)+AX$86*(1+GREET1_Import_Export!$B284/1000000)+AX$87*SUM(GREET1_Import_Export!$B309:$C309)/1000000</f>
        <v>3.0146193342135117</v>
      </c>
      <c r="AY88" s="131"/>
      <c r="AZ88" s="248"/>
      <c r="BA88" s="240">
        <f>BA$81*(1+(GREET1_Import_Export!$B180*GREET1_Import_Export!$F$179+GREET1_Import_Export!$F180)/1000000)+BA$82*(1+(GREET1_Import_Export!$B180*GREET1_Import_Export!$G$179+GREET1_Import_Export!$G180)/1000000)+BA$83*(1+(GREET1_Import_Export!$B180*GREET1_Import_Export!$C$179+GREET1_Import_Export!$C180)/1000000)+BA$84*(1+(GREET1_Import_Export!$E216*GREET1_Import_Export!$F$215+GREET1_Import_Export!$F216)/1000000)+BA$85*(1+GREET1_Import_Export!$B216/1000000)+BA$86*(1+GREET1_Import_Export!$B284/1000000)+BA$87*SUM(GREET1_Import_Export!$B309:$C309)/1000000</f>
        <v>37.669002343801161</v>
      </c>
      <c r="BB88" s="131"/>
      <c r="BC88" s="248"/>
      <c r="BD88" s="582">
        <f>BD$81*(1+(GREET1_Import_Export!$B180*GREET1_Import_Export!$F$179+GREET1_Import_Export!$F180)/1000000)+BD$82*(1+(GREET1_Import_Export!$B180*GREET1_Import_Export!$G$179+GREET1_Import_Export!$G180)/1000000)+BD$83*(1+(GREET1_Import_Export!$B180*GREET1_Import_Export!$C$179+GREET1_Import_Export!$C180)/1000000)+BD$84*(1+(GREET1_Import_Export!$E216*GREET1_Import_Export!$F$215+GREET1_Import_Export!$F216)/1000000)+BD$85*(1+GREET1_Import_Export!$B216/1000000)+BD$86*(1+GREET1_Import_Export!$B284/1000000)+BD$87*SUM(GREET1_Import_Export!$B309:$C309)/1000000</f>
        <v>30.420828949201272</v>
      </c>
      <c r="BE88" s="1608"/>
      <c r="BF88" s="583"/>
      <c r="BG88" s="582">
        <f>BG$81*(1+(GREET1_Import_Export!$B180*GREET1_Import_Export!$F$179+GREET1_Import_Export!$F180)/1000000)+BG$82*(1+(GREET1_Import_Export!$B180*GREET1_Import_Export!$G$179+GREET1_Import_Export!$G180)/1000000)+BG$83*(1+(GREET1_Import_Export!$B180*GREET1_Import_Export!$C$179+GREET1_Import_Export!$C180)/1000000)+BG$84*(1+(GREET1_Import_Export!$E216*GREET1_Import_Export!$F$215+GREET1_Import_Export!$F216)/1000000)+BG$85*(1+GREET1_Import_Export!$B216/1000000)+BG$86*(1+GREET1_Import_Export!$B284/1000000)+BG$87*SUM(GREET1_Import_Export!$B309:$C309)/1000000</f>
        <v>32.176191605624034</v>
      </c>
      <c r="BH88" s="1608"/>
      <c r="BI88" s="583"/>
      <c r="BJ88" s="582">
        <f>BJ$81*(1+(GREET1_Import_Export!$B180*GREET1_Import_Export!$F$179+GREET1_Import_Export!$F180)/1000000)+BJ$82*(1+(GREET1_Import_Export!$B180*GREET1_Import_Export!$G$179+GREET1_Import_Export!$G180)/1000000)+BJ$83*(1+(GREET1_Import_Export!$B180*GREET1_Import_Export!$C$179+GREET1_Import_Export!$C180)/1000000)+BJ$84*(1+(GREET1_Import_Export!$E216*GREET1_Import_Export!$F$215+GREET1_Import_Export!$F216)/1000000)+BJ$85*(1+GREET1_Import_Export!$B216/1000000)+BJ$86*(1+GREET1_Import_Export!$B284/1000000)+BJ$87*SUM(GREET1_Import_Export!$B309:$C309)/1000000</f>
        <v>5.1336574059834001</v>
      </c>
      <c r="BK88" s="1608"/>
      <c r="BL88" s="583"/>
      <c r="BM88" s="582">
        <f>BM$81*(1+(GREET1_Import_Export!$B180*GREET1_Import_Export!$F$179+GREET1_Import_Export!$F180)/1000000)+BM$82*(1+(GREET1_Import_Export!$B180*GREET1_Import_Export!$G$179+GREET1_Import_Export!$G180)/1000000)+BM$83*(1+(GREET1_Import_Export!$B180*GREET1_Import_Export!$C$179+GREET1_Import_Export!$C180)/1000000)+BM$84*(1+(GREET1_Import_Export!$E216*GREET1_Import_Export!$F$215+GREET1_Import_Export!$F216)/1000000)+BM$85*(1+GREET1_Import_Export!$B216/1000000)+BM$86*(1+GREET1_Import_Export!$B284/1000000)+BM$87*SUM(GREET1_Import_Export!$B309:$C309)/1000000</f>
        <v>1.140703965254573</v>
      </c>
      <c r="BN88" s="1608"/>
      <c r="BO88" s="583"/>
      <c r="BP88" s="240">
        <f>BP$81*(1+(GREET1_Import_Export!$B180*GREET1_Import_Export!$F$179+GREET1_Import_Export!$F180)/1000000)+BP$82*(1+(GREET1_Import_Export!$B180*GREET1_Import_Export!$G$179+GREET1_Import_Export!$G180)/1000000)+BP$83*(1+(GREET1_Import_Export!$B180*GREET1_Import_Export!$C$179+GREET1_Import_Export!$C180)/1000000)+BP$84*(1+(GREET1_Import_Export!$E216*GREET1_Import_Export!$F$215+GREET1_Import_Export!$F216)/1000000)+BP$85*(1+GREET1_Import_Export!$B216/1000000)+BP$86*(1+GREET1_Import_Export!$B284/1000000)+BP$87*SUM(GREET1_Import_Export!$B309:$C309)/1000000</f>
        <v>0</v>
      </c>
      <c r="BQ88" s="131"/>
      <c r="BR88" s="248"/>
      <c r="BS88" s="1078">
        <f>BS$81*(1+(GREET1_Import_Export!$B180*GREET1_Import_Export!$F$179+GREET1_Import_Export!$F180)/1000000)+BS$82*(1+(GREET1_Import_Export!$B180*GREET1_Import_Export!$G$179+GREET1_Import_Export!$G180)/1000000)+BS$83*(1+(GREET1_Import_Export!$B180*GREET1_Import_Export!$C$179+GREET1_Import_Export!$C180)/1000000)+BS$84*(1+(GREET1_Import_Export!$E216*GREET1_Import_Export!$F$215+GREET1_Import_Export!$F216)/1000000)+BS$85*(1+GREET1_Import_Export!$B216/1000000)+BS$86*(1+GREET1_Import_Export!$B284/1000000)+BS$87*(GREET1_Import_Export!$B309+GREET1_Import_Export!$C309)/1000000</f>
        <v>0.50701381582002125</v>
      </c>
      <c r="BT88" s="557"/>
      <c r="BU88" s="1079"/>
      <c r="BV88" s="1078">
        <f>BV$81*(1+(GREET1_Import_Export!$B180*GREET1_Import_Export!$F$179+GREET1_Import_Export!$F180)/1000000)+BV$82*(1+(GREET1_Import_Export!$B180*GREET1_Import_Export!$G$179+GREET1_Import_Export!$G180)/1000000)+BV$83*(1+(GREET1_Import_Export!$B180*GREET1_Import_Export!$C$179+GREET1_Import_Export!$C180)/1000000)+BV$84*(1+(GREET1_Import_Export!$E216*GREET1_Import_Export!$F$215+GREET1_Import_Export!$F216)/1000000)+BV$85*(1+GREET1_Import_Export!$B216/1000000)+BV$86*(1+GREET1_Import_Export!$B284/1000000)+BV$87*(GREET1_Import_Export!$B309+GREET1_Import_Export!$C309)/1000000</f>
        <v>0</v>
      </c>
      <c r="BW88" s="557"/>
      <c r="BX88" s="1079"/>
      <c r="BY88" s="1078">
        <f>BY$81*(1+(GREET1_Import_Export!$B180*GREET1_Import_Export!$F$179+GREET1_Import_Export!$F180)/1000000)+BY$82*(1+(GREET1_Import_Export!$B180*GREET1_Import_Export!$G$179+GREET1_Import_Export!$G180)/1000000)+BY$83*(1+(GREET1_Import_Export!$B180*GREET1_Import_Export!$C$179+GREET1_Import_Export!$C180)/1000000)+BY$84*(1+(GREET1_Import_Export!$E216*GREET1_Import_Export!$F$215+GREET1_Import_Export!$F216)/1000000)+BY$85*(1+GREET1_Import_Export!$B216/1000000)+BY$86*(1+GREET1_Import_Export!$B284/1000000)+BY$87*(GREET1_Import_Export!$B309+GREET1_Import_Export!$C309)/1000000</f>
        <v>42.643906026461849</v>
      </c>
      <c r="BZ88" s="557"/>
      <c r="CA88" s="1079"/>
      <c r="CB88" s="1078">
        <f>CB$81*(1+(GREET1_Import_Export!$B180*GREET1_Import_Export!$F$179+GREET1_Import_Export!$F180)/1000000)+CB$82*(1+(GREET1_Import_Export!$B180*GREET1_Import_Export!$G$179+GREET1_Import_Export!$G180)/1000000)+CB$83*(1+(GREET1_Import_Export!$B180*GREET1_Import_Export!$C$179+GREET1_Import_Export!$C180)/1000000)+CB$84*(1+(GREET1_Import_Export!$E216*GREET1_Import_Export!$F$215+GREET1_Import_Export!$F216)/1000000)+CB$85*(1+GREET1_Import_Export!$B216/1000000)+CB$86*(1+GREET1_Import_Export!$B284/1000000)+CB$87*(GREET1_Import_Export!$B309+GREET1_Import_Export!$C309)/1000000</f>
        <v>50.225336458401486</v>
      </c>
      <c r="CC88" s="557"/>
      <c r="CD88" s="1079"/>
      <c r="CE88" s="1080">
        <f>CE$81*(1+(GREET1_Import_Export!$B180*GREET1_Import_Export!$F$179+GREET1_Import_Export!$F180)/1000000)+CE$82*(1+(GREET1_Import_Export!$B180*GREET1_Import_Export!$G$179+GREET1_Import_Export!$G180)/1000000)+CE$83*(1+(GREET1_Import_Export!$B180*GREET1_Import_Export!$C$179+GREET1_Import_Export!$C180)/1000000)+CE$84*(1+(GREET1_Import_Export!$E216*GREET1_Import_Export!$F$215+GREET1_Import_Export!$F216)/1000000)+CE$85*(1+GREET1_Import_Export!$B216/1000000)+CE$86*(1+GREET1_Import_Export!$B284/1000000)+CE$87*(GREET1_Import_Export!$B309+GREET1_Import_Export!$C309)/1000000</f>
        <v>0</v>
      </c>
      <c r="CF88" s="1081"/>
      <c r="CG88" s="1321"/>
      <c r="CH88" s="1321"/>
      <c r="CI88" s="1321"/>
      <c r="CJ88" s="1321"/>
      <c r="CK88" s="1321"/>
      <c r="CL88" s="1321"/>
      <c r="CM88" s="1321"/>
      <c r="CN88" s="1321"/>
      <c r="CO88" s="1321"/>
      <c r="CP88" s="1321"/>
      <c r="CQ88" s="1321"/>
      <c r="CR88" s="1321"/>
      <c r="CS88" s="1321"/>
      <c r="CT88" s="1321"/>
      <c r="CU88" s="1321"/>
      <c r="CV88" s="1321"/>
      <c r="CW88" s="1321"/>
      <c r="CX88" s="1321"/>
      <c r="CY88" s="1321"/>
      <c r="CZ88" s="1321"/>
      <c r="DA88" s="1321"/>
      <c r="DB88" s="1321"/>
      <c r="DC88" s="1321"/>
      <c r="DD88" s="1321"/>
      <c r="DE88" s="1321"/>
      <c r="DF88" s="1321"/>
      <c r="DG88" s="1321"/>
      <c r="DH88" s="1321"/>
      <c r="DI88" s="1321"/>
      <c r="DJ88" s="1321"/>
      <c r="DK88" s="1321"/>
      <c r="DL88" s="1321"/>
      <c r="DM88" s="1321"/>
      <c r="DN88" s="1321"/>
      <c r="DO88" s="1321"/>
      <c r="DP88" s="1321"/>
      <c r="DQ88" s="1321"/>
      <c r="DR88" s="1321"/>
      <c r="DS88" s="1321"/>
      <c r="DT88" s="1321"/>
      <c r="DU88" s="1321"/>
      <c r="DV88" s="1321"/>
      <c r="DW88" s="1321"/>
      <c r="DX88" s="1321"/>
      <c r="DY88" s="1321"/>
      <c r="DZ88" s="1321"/>
      <c r="EA88" s="1321"/>
      <c r="EB88" s="1321"/>
      <c r="EC88" s="1321"/>
      <c r="ED88" s="1321"/>
      <c r="EE88" s="1321"/>
      <c r="EF88" s="1321"/>
      <c r="EG88" s="1321"/>
      <c r="EH88" s="1321"/>
      <c r="EI88" s="1321"/>
      <c r="EJ88" s="1321"/>
      <c r="EK88" s="1321"/>
      <c r="EL88" s="1321"/>
      <c r="EM88" s="1321"/>
      <c r="EN88" s="1321"/>
      <c r="EO88" s="1321"/>
      <c r="EP88" s="1321"/>
      <c r="EQ88" s="1321"/>
      <c r="ER88" s="1321"/>
      <c r="ES88" s="1321"/>
      <c r="ET88" s="1321"/>
      <c r="EU88" s="1321"/>
      <c r="EV88" s="1321"/>
      <c r="EW88" s="1321"/>
      <c r="EX88" s="1321"/>
      <c r="EY88" s="1321"/>
      <c r="EZ88" s="1321"/>
      <c r="FA88" s="1321"/>
      <c r="FB88" s="1321"/>
    </row>
    <row r="89" spans="1:158">
      <c r="A89" s="100" t="s">
        <v>817</v>
      </c>
      <c r="B89" s="234">
        <f>B$81*(1+(GREET1_Import_Export!$B181*GREET1_Import_Export!$F$179+GREET1_Import_Export!$F181)/1000000)+B$82*(1+(GREET1_Import_Export!$B181*GREET1_Import_Export!$G$179+GREET1_Import_Export!$G181)/1000000)+B$83*(1+(GREET1_Import_Export!$B181*GREET1_Import_Export!$C$179+GREET1_Import_Export!$C181)/1000000)+B$84*(1+(GREET1_Import_Export!$E217*GREET1_Import_Export!$F$215+GREET1_Import_Export!$F217)/1000000)+B$85*(1+GREET1_Import_Export!$B217/1000000)+B$86*(1+GREET1_Import_Export!$B285/1000000)+B$87*SUM(GREET1_Import_Export!$B310:$C310)/1000000</f>
        <v>0</v>
      </c>
      <c r="C89" s="1"/>
      <c r="D89" s="235"/>
      <c r="E89" s="234">
        <f>E$81*(1+(GREET1_Import_Export!$B181*GREET1_Import_Export!$F$179+GREET1_Import_Export!$F181)/1000000)+E$82*(1+(GREET1_Import_Export!$B181*GREET1_Import_Export!$G$179+GREET1_Import_Export!$G181)/1000000)+E$83*(1+(GREET1_Import_Export!$B181*GREET1_Import_Export!$C$179+GREET1_Import_Export!$C181)/1000000)+E$84*(1+(GREET1_Import_Export!$E217*GREET1_Import_Export!$F$215+GREET1_Import_Export!$F217)/1000000)+E$85*(1+GREET1_Import_Export!$B217/1000000)+E$86*(1+GREET1_Import_Export!$B285/1000000)+E$87*SUM(GREET1_Import_Export!$B310:$C310)/1000000</f>
        <v>0</v>
      </c>
      <c r="F89" s="1"/>
      <c r="G89" s="235"/>
      <c r="H89" s="234">
        <f>H$81*(1+(GREET1_Import_Export!$B181*GREET1_Import_Export!$F$179+GREET1_Import_Export!$F181)/1000000)+H$82*(1+(GREET1_Import_Export!$B181*GREET1_Import_Export!$G$179+GREET1_Import_Export!$G181)/1000000)+H$83*(1+(GREET1_Import_Export!$B181*GREET1_Import_Export!$C$179+GREET1_Import_Export!$C181)/1000000)+H$84*(1+(GREET1_Import_Export!$E217*GREET1_Import_Export!$F$215+GREET1_Import_Export!$F217)/1000000)+H$85*(1+GREET1_Import_Export!$B217/1000000)+H$86*(1+GREET1_Import_Export!$B285/1000000)+H$87*SUM(GREET1_Import_Export!$B310:$C310)/1000000</f>
        <v>42.615074939845677</v>
      </c>
      <c r="I89" s="1"/>
      <c r="J89" s="235"/>
      <c r="K89" s="234">
        <f>K$81*(1+(GREET1_Import_Export!$B181*GREET1_Import_Export!$F$179+GREET1_Import_Export!$F181)/1000000)+K$82*(1+(GREET1_Import_Export!$B181*GREET1_Import_Export!$G$179+GREET1_Import_Export!$G181)/1000000)+K$83*(1+(GREET1_Import_Export!$B181*GREET1_Import_Export!$C$179+GREET1_Import_Export!$C181)/1000000)+K$84*(1+(GREET1_Import_Export!$E217*GREET1_Import_Export!$F$215+GREET1_Import_Export!$F217)/1000000)+K$85*(1+GREET1_Import_Export!$B217/1000000)+K$86*(1+GREET1_Import_Export!$B285/1000000)+K$87*SUM(GREET1_Import_Export!$B310:$C310)/1000000</f>
        <v>34.806789747279694</v>
      </c>
      <c r="L89" s="1"/>
      <c r="M89" s="235"/>
      <c r="N89" s="234">
        <f>N$81*(1+(GREET1_Import_Export!$B181*GREET1_Import_Export!$F$179+GREET1_Import_Export!$F181)/1000000)+N$82*(1+(GREET1_Import_Export!$B181*GREET1_Import_Export!$G$179+GREET1_Import_Export!$G181)/1000000)+N$83*(1+(GREET1_Import_Export!$B181*GREET1_Import_Export!$C$179+GREET1_Import_Export!$C181)/1000000)+N$84*(1+(GREET1_Import_Export!$E217*GREET1_Import_Export!$F$215+GREET1_Import_Export!$F217)/1000000)+N$85*(1+GREET1_Import_Export!$B217/1000000)+N$86*(1+GREET1_Import_Export!$B285/1000000)+N$87*SUM(GREET1_Import_Export!$B310:$C310)/1000000</f>
        <v>42.615074939845677</v>
      </c>
      <c r="O89" s="1"/>
      <c r="P89" s="235"/>
      <c r="Q89" s="578">
        <f>Q$81*(1+(GREET1_Import_Export!$B181*GREET1_Import_Export!$F$179+GREET1_Import_Export!$F181)/1000000)+Q$82*(1+(GREET1_Import_Export!$B181*GREET1_Import_Export!$G$179+GREET1_Import_Export!$G181)/1000000)+Q$83*(1+(GREET1_Import_Export!$B181*GREET1_Import_Export!$C$179+GREET1_Import_Export!$C181)/1000000)+Q$84*(1+(GREET1_Import_Export!$E217*GREET1_Import_Export!$F$215+GREET1_Import_Export!$F217)/1000000)+Q$85*(1+GREET1_Import_Export!$B217/1000000)+Q$86*(1+GREET1_Import_Export!$B285/1000000)
+Q$87*($B$46*(GREET1_Import_Export!$B310+GREET1_Import_Export!$C310)+$C$46*GREET1_Import_Export!L343+$D$46*GREET1_Import_Export!H343+$E$46*GREET1_Import_Export!Q343+$F$46*GREET1_Import_Export!R343+SUMPRODUCT($G$46:$I$46,GREET1_Import_Export!N343:P343))/1000000</f>
        <v>34.806789747279694</v>
      </c>
      <c r="R89" s="1"/>
      <c r="S89" s="235"/>
      <c r="T89" s="578">
        <f>T$81*(1+(GREET1_Import_Export!$B181*GREET1_Import_Export!$F$179+GREET1_Import_Export!$F181)/1000000)+T$82*(1+(GREET1_Import_Export!$B181*GREET1_Import_Export!$G$179+GREET1_Import_Export!$G181)/1000000)+T$83*(1+(GREET1_Import_Export!$B181*GREET1_Import_Export!$C$179+GREET1_Import_Export!$C181)/1000000)+T$84*(1+(GREET1_Import_Export!$E217*GREET1_Import_Export!$F$215+GREET1_Import_Export!$F217)/1000000)+T$85*(1+GREET1_Import_Export!$B217/1000000)+T$86*(1+GREET1_Import_Export!$B285/1000000)+T$87*SUM(GREET1_Import_Export!$B310:$C310)/1000000</f>
        <v>42.615074939845677</v>
      </c>
      <c r="U89" s="1"/>
      <c r="V89" s="235"/>
      <c r="W89" s="578">
        <f>W$81*(1+(GREET1_Import_Export!$B181*GREET1_Import_Export!$F$179+GREET1_Import_Export!$F181)/1000000)+W$82*(1+(GREET1_Import_Export!$B181*GREET1_Import_Export!$G$179+GREET1_Import_Export!$G181)/1000000)+W$83*(1+(GREET1_Import_Export!$B181*GREET1_Import_Export!$C$179+GREET1_Import_Export!$C181)/1000000)+W$84*(1+(GREET1_Import_Export!$E217*GREET1_Import_Export!$F$215+GREET1_Import_Export!$F217)/1000000)+W$85*(1+GREET1_Import_Export!$B217/1000000)+W$86*(1+GREET1_Import_Export!$B285/1000000)+W$87*($B$46*(GREET1_Import_Export!$B310+GREET1_Import_Export!$C310)+$C$46*GREET1_Import_Export!L343+$D$46*GREET1_Import_Export!H343+$E$46*GREET1_Import_Export!Q343+$F$46*GREET1_Import_Export!R343+SUMPRODUCT($G$46:$I$46,GREET1_Import_Export!N343:P343))/1000000</f>
        <v>34.806789747279694</v>
      </c>
      <c r="X89" s="1"/>
      <c r="Y89" s="235"/>
      <c r="Z89" s="234">
        <f>Z$81*(1+(GREET1_Import_Export!$B181*GREET1_Import_Export!$F$179+GREET1_Import_Export!$F181)/1000000)+Z$82*(1+(GREET1_Import_Export!$B181*GREET1_Import_Export!$G$179+GREET1_Import_Export!$G181)/1000000)+Z$83*(1+(GREET1_Import_Export!$B181*GREET1_Import_Export!$C$179+GREET1_Import_Export!$C181)/1000000)+Z$84*(1+(GREET1_Import_Export!$E217*GREET1_Import_Export!$F$215+GREET1_Import_Export!$F217)/1000000)+Z$85*(1+GREET1_Import_Export!$B217/1000000)+Z$86*(1+GREET1_Import_Export!$B285/1000000)+Z$87*SUM(GREET1_Import_Export!$B310:$C310)/1000000</f>
        <v>42.615074939845677</v>
      </c>
      <c r="AA89" s="1"/>
      <c r="AB89" s="235"/>
      <c r="AC89" s="578">
        <f>AC$81*(1+(GREET1_Import_Export!$B181*GREET1_Import_Export!$F$179+GREET1_Import_Export!$F181)/1000000)+AC$82*(1+(GREET1_Import_Export!$B181*GREET1_Import_Export!$G$179+GREET1_Import_Export!$G181)/1000000)+AC$83*(1+(GREET1_Import_Export!$B181*GREET1_Import_Export!$C$179+GREET1_Import_Export!$C181)/1000000)+AC$84*(1+(GREET1_Import_Export!$E217*GREET1_Import_Export!$F$215+GREET1_Import_Export!$F217)/1000000)+AC$85*(1+GREET1_Import_Export!$B217/1000000)+AC$86*(1+GREET1_Import_Export!$B285/1000000)+AC$87*($B$46*(GREET1_Import_Export!$B310+GREET1_Import_Export!$C310)+$C$46*GREET1_Import_Export!L343+$D$46*GREET1_Import_Export!H343+$E$46*GREET1_Import_Export!Q343+$F$46*GREET1_Import_Export!R343+SUMPRODUCT($G$46:$I$46,GREET1_Import_Export!N343:P343))/1000000</f>
        <v>34.806789747279694</v>
      </c>
      <c r="AD89" s="1"/>
      <c r="AE89" s="235"/>
      <c r="AF89" s="234">
        <f>AF$81*(1+(GREET1_Import_Export!$B181*GREET1_Import_Export!$F$179+GREET1_Import_Export!$F181)/1000000)+AF$82*(1+(GREET1_Import_Export!$B181*GREET1_Import_Export!$G$179+GREET1_Import_Export!$G181)/1000000)+AF$83*(1+(GREET1_Import_Export!$B181*GREET1_Import_Export!$C$179+GREET1_Import_Export!$C181)/1000000)+AF$84*(1+(GREET1_Import_Export!$E217*GREET1_Import_Export!$F$215+GREET1_Import_Export!$F217)/1000000)+AF$85*(1+GREET1_Import_Export!$B217/1000000)+AF$86*(1+GREET1_Import_Export!$B285/1000000)+AF$87*SUM(GREET1_Import_Export!$B310:$C310)/1000000</f>
        <v>42.615074939845677</v>
      </c>
      <c r="AG89" s="489"/>
      <c r="AH89" s="478"/>
      <c r="AI89" s="578">
        <f>AI$81*(1+(GREET1_Import_Export!$B181*GREET1_Import_Export!$F$179+GREET1_Import_Export!$F181)/1000000)+AI$82*(1+(GREET1_Import_Export!$B181*GREET1_Import_Export!$G$179+GREET1_Import_Export!$G181)/1000000)+AI$83*(1+(GREET1_Import_Export!$B181*GREET1_Import_Export!$C$179+GREET1_Import_Export!$C181)/1000000)+AI$84*(1+(GREET1_Import_Export!$E217*GREET1_Import_Export!$F$215+GREET1_Import_Export!$F217)/1000000)+AI$85*(1+GREET1_Import_Export!$B217/1000000)+AI$86*(1+GREET1_Import_Export!$B285/1000000)+AI$87*($B$46*(GREET1_Import_Export!$B310+GREET1_Import_Export!$C310)+$C$46*GREET1_Import_Export!L343+$D$46*GREET1_Import_Export!H343+$E$46*GREET1_Import_Export!Q343+$F$46*GREET1_Import_Export!R343+SUMPRODUCT($G$46:$I$46,GREET1_Import_Export!N343:P343))/1000000</f>
        <v>39.779188282605332</v>
      </c>
      <c r="AJ89" s="1"/>
      <c r="AK89" s="235"/>
      <c r="AL89" s="234">
        <f>AL$81*(1+(GREET1_Import_Export!$B181*GREET1_Import_Export!$F$179+GREET1_Import_Export!$F181)/1000000)+AL$82*(1+(GREET1_Import_Export!$B181*GREET1_Import_Export!$G$179+GREET1_Import_Export!$G181)/1000000)+AL$83*(1+(GREET1_Import_Export!$B181*GREET1_Import_Export!$C$179+GREET1_Import_Export!$C181)/1000000)+AL$84*(1+(GREET1_Import_Export!$E217*GREET1_Import_Export!$F$215+GREET1_Import_Export!$F217)/1000000)+AL$85*(1+GREET1_Import_Export!$B217/1000000)+AL$86*(1+GREET1_Import_Export!$B285/1000000)+AL$87*SUM(GREET1_Import_Export!$B310:$C310)/1000000</f>
        <v>35.177952859948405</v>
      </c>
      <c r="AM89" s="1"/>
      <c r="AN89" s="235"/>
      <c r="AO89" s="234">
        <f>AO$81*(1+(GREET1_Import_Export!$B181*GREET1_Import_Export!$F$179+GREET1_Import_Export!$F181)/1000000)+AO$82*(1+(GREET1_Import_Export!$B181*GREET1_Import_Export!$G$179+GREET1_Import_Export!$G181)/1000000)+AO$83*(1+(GREET1_Import_Export!$B181*GREET1_Import_Export!$C$179+GREET1_Import_Export!$C181)/1000000)+AO$84*(1+(GREET1_Import_Export!$E217*GREET1_Import_Export!$F$215+GREET1_Import_Export!$F217)/1000000)+AO$85*(1+GREET1_Import_Export!$B217/1000000)+AO$86*(1+GREET1_Import_Export!$B285/1000000)+AO$87*SUM(GREET1_Import_Export!$B310:$C310)/1000000</f>
        <v>37.672548769805729</v>
      </c>
      <c r="AP89" s="1"/>
      <c r="AQ89" s="235"/>
      <c r="AR89" s="234">
        <f>AR$81*(1+(GREET1_Import_Export!$B181*GREET1_Import_Export!$F$179+GREET1_Import_Export!$F181)/1000000)+AR$82*(1+(GREET1_Import_Export!$B181*GREET1_Import_Export!$G$179+GREET1_Import_Export!$G181)/1000000)+AR$83*(1+(GREET1_Import_Export!$B181*GREET1_Import_Export!$C$179+GREET1_Import_Export!$C181)/1000000)+AR$84*(1+(GREET1_Import_Export!$E217*GREET1_Import_Export!$F$215+GREET1_Import_Export!$F217)/1000000)+AR$85*(1+GREET1_Import_Export!$B217/1000000)+AR$86*(1+GREET1_Import_Export!$B285/1000000)+AR$87*SUM(GREET1_Import_Export!$B310:$C310)/1000000</f>
        <v>34.673273798485212</v>
      </c>
      <c r="AS89" s="1"/>
      <c r="AT89" s="235"/>
      <c r="AU89" s="234">
        <f>AU$81*(1+(GREET1_Import_Export!$B181*GREET1_Import_Export!$F$179+GREET1_Import_Export!$F181)/1000000)+AU$82*(1+(GREET1_Import_Export!$B181*GREET1_Import_Export!$G$179+GREET1_Import_Export!$G181)/1000000)+AU$83*(1+(GREET1_Import_Export!$B181*GREET1_Import_Export!$C$179+GREET1_Import_Export!$C181)/1000000)+AU$84*(1+(GREET1_Import_Export!$E217*GREET1_Import_Export!$F$215+GREET1_Import_Export!$F217)/1000000)+AU$85*(1+GREET1_Import_Export!$B217/1000000)+AU$86*(1+GREET1_Import_Export!$B285/1000000)+AU$87*SUM(GREET1_Import_Export!$B310:$C310)/1000000</f>
        <v>9.751138529397803</v>
      </c>
      <c r="AV89" s="1"/>
      <c r="AW89" s="235"/>
      <c r="AX89" s="234">
        <f>AX$81*(1+(GREET1_Import_Export!$B181*GREET1_Import_Export!$F$179+GREET1_Import_Export!$F181)/1000000)+AX$82*(1+(GREET1_Import_Export!$B181*GREET1_Import_Export!$G$179+GREET1_Import_Export!$G181)/1000000)+AX$83*(1+(GREET1_Import_Export!$B181*GREET1_Import_Export!$C$179+GREET1_Import_Export!$C181)/1000000)+AX$84*(1+(GREET1_Import_Export!$E217*GREET1_Import_Export!$F$215+GREET1_Import_Export!$F217)/1000000)+AX$85*(1+GREET1_Import_Export!$B217/1000000)+AX$86*(1+GREET1_Import_Export!$B285/1000000)+AX$87*SUM(GREET1_Import_Export!$B310:$C310)/1000000</f>
        <v>3.0125811824765303</v>
      </c>
      <c r="AY89" s="1"/>
      <c r="AZ89" s="235"/>
      <c r="BA89" s="234">
        <f>BA$81*(1+(GREET1_Import_Export!$B181*GREET1_Import_Export!$F$179+GREET1_Import_Export!$F181)/1000000)+BA$82*(1+(GREET1_Import_Export!$B181*GREET1_Import_Export!$G$179+GREET1_Import_Export!$G181)/1000000)+BA$83*(1+(GREET1_Import_Export!$B181*GREET1_Import_Export!$C$179+GREET1_Import_Export!$C181)/1000000)+BA$84*(1+(GREET1_Import_Export!$E217*GREET1_Import_Export!$F$215+GREET1_Import_Export!$F217)/1000000)+BA$85*(1+GREET1_Import_Export!$B217/1000000)+BA$86*(1+GREET1_Import_Export!$B285/1000000)+BA$87*SUM(GREET1_Import_Export!$B310:$C310)/1000000</f>
        <v>29.834391211954042</v>
      </c>
      <c r="BB89" s="1"/>
      <c r="BC89" s="235"/>
      <c r="BD89" s="578">
        <f>BD$81*(1+(GREET1_Import_Export!$B181*GREET1_Import_Export!$F$179+GREET1_Import_Export!$F181)/1000000)+BD$82*(1+(GREET1_Import_Export!$B181*GREET1_Import_Export!$G$179+GREET1_Import_Export!$G181)/1000000)+BD$83*(1+(GREET1_Import_Export!$B181*GREET1_Import_Export!$C$179+GREET1_Import_Export!$C181)/1000000)+BD$84*(1+(GREET1_Import_Export!$E217*GREET1_Import_Export!$F$215+GREET1_Import_Export!$F217)/1000000)+BD$85*(1+GREET1_Import_Export!$B217/1000000)+BD$86*(1+GREET1_Import_Export!$B285/1000000)+BD$87*SUM(GREET1_Import_Export!$B310:$C310)/1000000</f>
        <v>24.093733717154333</v>
      </c>
      <c r="BE89" s="489"/>
      <c r="BF89" s="478"/>
      <c r="BG89" s="578">
        <f>BG$81*(1+(GREET1_Import_Export!$B181*GREET1_Import_Export!$F$179+GREET1_Import_Export!$F181)/1000000)+BG$82*(1+(GREET1_Import_Export!$B181*GREET1_Import_Export!$G$179+GREET1_Import_Export!$G181)/1000000)+BG$83*(1+(GREET1_Import_Export!$B181*GREET1_Import_Export!$C$179+GREET1_Import_Export!$C181)/1000000)+BG$84*(1+(GREET1_Import_Export!$E217*GREET1_Import_Export!$F$215+GREET1_Import_Export!$F217)/1000000)+BG$85*(1+GREET1_Import_Export!$B217/1000000)+BG$86*(1+GREET1_Import_Export!$B285/1000000)+BG$87*SUM(GREET1_Import_Export!$B310:$C310)/1000000</f>
        <v>32.154437628242491</v>
      </c>
      <c r="BH89" s="489"/>
      <c r="BI89" s="478"/>
      <c r="BJ89" s="578">
        <f>BJ$81*(1+(GREET1_Import_Export!$B181*GREET1_Import_Export!$F$179+GREET1_Import_Export!$F181)/1000000)+BJ$82*(1+(GREET1_Import_Export!$B181*GREET1_Import_Export!$G$179+GREET1_Import_Export!$G181)/1000000)+BJ$83*(1+(GREET1_Import_Export!$B181*GREET1_Import_Export!$C$179+GREET1_Import_Export!$C181)/1000000)+BJ$84*(1+(GREET1_Import_Export!$E217*GREET1_Import_Export!$F$215+GREET1_Import_Export!$F217)/1000000)+BJ$85*(1+GREET1_Import_Export!$B217/1000000)+BJ$86*(1+GREET1_Import_Export!$B285/1000000)+BJ$87*SUM(GREET1_Import_Export!$B310:$C310)/1000000</f>
        <v>4.065930443296117</v>
      </c>
      <c r="BK89" s="489"/>
      <c r="BL89" s="478"/>
      <c r="BM89" s="578">
        <f>BM$81*(1+(GREET1_Import_Export!$B181*GREET1_Import_Export!$F$179+GREET1_Import_Export!$F181)/1000000)+BM$82*(1+(GREET1_Import_Export!$B181*GREET1_Import_Export!$G$179+GREET1_Import_Export!$G181)/1000000)+BM$83*(1+(GREET1_Import_Export!$B181*GREET1_Import_Export!$C$179+GREET1_Import_Export!$C181)/1000000)+BM$84*(1+(GREET1_Import_Export!$E217*GREET1_Import_Export!$F$215+GREET1_Import_Export!$F217)/1000000)+BM$85*(1+GREET1_Import_Export!$B217/1000000)+BM$86*(1+GREET1_Import_Export!$B285/1000000)+BM$87*SUM(GREET1_Import_Export!$B310:$C310)/1000000</f>
        <v>0.96719947073990875</v>
      </c>
      <c r="BN89" s="489"/>
      <c r="BO89" s="478"/>
      <c r="BP89" s="234">
        <f>BP$81*(1+(GREET1_Import_Export!$B181*GREET1_Import_Export!$F$179+GREET1_Import_Export!$F181)/1000000)+BP$82*(1+(GREET1_Import_Export!$B181*GREET1_Import_Export!$G$179+GREET1_Import_Export!$G181)/1000000)+BP$83*(1+(GREET1_Import_Export!$B181*GREET1_Import_Export!$C$179+GREET1_Import_Export!$C181)/1000000)+BP$84*(1+(GREET1_Import_Export!$E217*GREET1_Import_Export!$F$215+GREET1_Import_Export!$F217)/1000000)+BP$85*(1+GREET1_Import_Export!$B217/1000000)+BP$86*(1+GREET1_Import_Export!$B285/1000000)+BP$87*SUM(GREET1_Import_Export!$B310:$C310)/1000000</f>
        <v>0</v>
      </c>
      <c r="BQ89" s="1"/>
      <c r="BR89" s="235"/>
      <c r="BS89" s="753">
        <f>BS$81*(1+(GREET1_Import_Export!$B181*GREET1_Import_Export!$F$179+GREET1_Import_Export!$F181)/1000000)+BS$82*(1+(GREET1_Import_Export!$B181*GREET1_Import_Export!$G$179+GREET1_Import_Export!$G181)/1000000)+BS$83*(1+(GREET1_Import_Export!$B181*GREET1_Import_Export!$C$179+GREET1_Import_Export!$C181)/1000000)+BS$84*(1+(GREET1_Import_Export!$E217*GREET1_Import_Export!$F$215+GREET1_Import_Export!$F217)/1000000)+BS$85*(1+GREET1_Import_Export!$B217/1000000)+BS$86*(1+GREET1_Import_Export!$B285/1000000)+BS$87*(GREET1_Import_Export!$B310+GREET1_Import_Export!$C310)/1000000</f>
        <v>0.40156222861923885</v>
      </c>
      <c r="BT89" s="350"/>
      <c r="BU89" s="1082"/>
      <c r="BV89" s="753">
        <f>BV$81*(1+(GREET1_Import_Export!$B181*GREET1_Import_Export!$F$179+GREET1_Import_Export!$F181)/1000000)+BV$82*(1+(GREET1_Import_Export!$B181*GREET1_Import_Export!$G$179+GREET1_Import_Export!$G181)/1000000)+BV$83*(1+(GREET1_Import_Export!$B181*GREET1_Import_Export!$C$179+GREET1_Import_Export!$C181)/1000000)+BV$84*(1+(GREET1_Import_Export!$E217*GREET1_Import_Export!$F$215+GREET1_Import_Export!$F217)/1000000)+BV$85*(1+GREET1_Import_Export!$B217/1000000)+BV$86*(1+GREET1_Import_Export!$B285/1000000)+BV$87*(GREET1_Import_Export!$B310+GREET1_Import_Export!$C310)/1000000</f>
        <v>0</v>
      </c>
      <c r="BW89" s="350"/>
      <c r="BX89" s="1082"/>
      <c r="BY89" s="749">
        <f>BY$81*(1+(GREET1_Import_Export!$B181*GREET1_Import_Export!$F$179+GREET1_Import_Export!$F181)/1000000)+BY$82*(1+(GREET1_Import_Export!$B181*GREET1_Import_Export!$G$179+GREET1_Import_Export!$G181)/1000000)+BY$83*(1+(GREET1_Import_Export!$B181*GREET1_Import_Export!$C$179+GREET1_Import_Export!$C181)/1000000)+BY$84*(1+(GREET1_Import_Export!$E217*GREET1_Import_Export!$F$215+GREET1_Import_Export!$F217)/1000000)+BY$85*(1+GREET1_Import_Export!$B217/1000000)+BY$86*(1+GREET1_Import_Export!$B285/1000000)+BY$87*(GREET1_Import_Export!$B310+GREET1_Import_Export!$C310)/1000000</f>
        <v>42.615074939845677</v>
      </c>
      <c r="BZ89" s="350"/>
      <c r="CA89" s="1082"/>
      <c r="CB89" s="753">
        <f>CB$81*(1+(GREET1_Import_Export!$B181*GREET1_Import_Export!$F$179+GREET1_Import_Export!$F181)/1000000)+CB$82*(1+(GREET1_Import_Export!$B181*GREET1_Import_Export!$G$179+GREET1_Import_Export!$G181)/1000000)+CB$83*(1+(GREET1_Import_Export!$B181*GREET1_Import_Export!$C$179+GREET1_Import_Export!$C181)/1000000)+CB$84*(1+(GREET1_Import_Export!$E217*GREET1_Import_Export!$F$215+GREET1_Import_Export!$F217)/1000000)+CB$85*(1+GREET1_Import_Export!$B217/1000000)+CB$86*(1+GREET1_Import_Export!$B285/1000000)+CB$87*(GREET1_Import_Export!$B310+GREET1_Import_Export!$C310)/1000000</f>
        <v>39.779188282605332</v>
      </c>
      <c r="CC89" s="350"/>
      <c r="CD89" s="1082"/>
      <c r="CE89" s="749">
        <f>CE$81*(1+(GREET1_Import_Export!$B181*GREET1_Import_Export!$F$179+GREET1_Import_Export!$F181)/1000000)+CE$82*(1+(GREET1_Import_Export!$B181*GREET1_Import_Export!$G$179+GREET1_Import_Export!$G181)/1000000)+CE$83*(1+(GREET1_Import_Export!$B181*GREET1_Import_Export!$C$179+GREET1_Import_Export!$C181)/1000000)+CE$84*(1+(GREET1_Import_Export!$E217*GREET1_Import_Export!$F$215+GREET1_Import_Export!$F217)/1000000)+CE$85*(1+GREET1_Import_Export!$B217/1000000)+CE$86*(1+GREET1_Import_Export!$B285/1000000)+CE$87*(GREET1_Import_Export!$B310+GREET1_Import_Export!$C310)/1000000</f>
        <v>0</v>
      </c>
      <c r="CF89" s="817"/>
      <c r="CG89" s="1321"/>
      <c r="CH89" s="1321"/>
      <c r="CI89" s="1321"/>
      <c r="CJ89" s="1321"/>
      <c r="CK89" s="1321"/>
      <c r="CL89" s="1321"/>
      <c r="CM89" s="1321"/>
      <c r="CN89" s="1321"/>
      <c r="CO89" s="1321"/>
      <c r="CP89" s="1321"/>
      <c r="CQ89" s="1321"/>
      <c r="CR89" s="1321"/>
      <c r="CS89" s="1321"/>
      <c r="CT89" s="1321"/>
      <c r="CU89" s="1321"/>
      <c r="CV89" s="1321"/>
      <c r="CW89" s="1321"/>
      <c r="CX89" s="1321"/>
      <c r="CY89" s="1321"/>
      <c r="CZ89" s="1321"/>
      <c r="DA89" s="1321"/>
      <c r="DB89" s="1321"/>
      <c r="DC89" s="1321"/>
      <c r="DD89" s="1321"/>
      <c r="DE89" s="1321"/>
      <c r="DF89" s="1321"/>
      <c r="DG89" s="1321"/>
      <c r="DH89" s="1321"/>
      <c r="DI89" s="1321"/>
      <c r="DJ89" s="1321"/>
      <c r="DK89" s="1321"/>
      <c r="DL89" s="1321"/>
      <c r="DM89" s="1321"/>
      <c r="DN89" s="1321"/>
      <c r="DO89" s="1321"/>
      <c r="DP89" s="1321"/>
      <c r="DQ89" s="1321"/>
      <c r="DR89" s="1321"/>
      <c r="DS89" s="1321"/>
      <c r="DT89" s="1321"/>
      <c r="DU89" s="1321"/>
      <c r="DV89" s="1321"/>
      <c r="DW89" s="1321"/>
      <c r="DX89" s="1321"/>
      <c r="DY89" s="1321"/>
      <c r="DZ89" s="1321"/>
      <c r="EA89" s="1321"/>
      <c r="EB89" s="1321"/>
      <c r="EC89" s="1321"/>
      <c r="ED89" s="1321"/>
      <c r="EE89" s="1321"/>
      <c r="EF89" s="1321"/>
      <c r="EG89" s="1321"/>
      <c r="EH89" s="1321"/>
      <c r="EI89" s="1321"/>
      <c r="EJ89" s="1321"/>
      <c r="EK89" s="1321"/>
      <c r="EL89" s="1321"/>
      <c r="EM89" s="1321"/>
      <c r="EN89" s="1321"/>
      <c r="EO89" s="1321"/>
      <c r="EP89" s="1321"/>
      <c r="EQ89" s="1321"/>
      <c r="ER89" s="1321"/>
      <c r="ES89" s="1321"/>
      <c r="ET89" s="1321"/>
      <c r="EU89" s="1321"/>
      <c r="EV89" s="1321"/>
      <c r="EW89" s="1321"/>
      <c r="EX89" s="1321"/>
      <c r="EY89" s="1321"/>
      <c r="EZ89" s="1321"/>
      <c r="FA89" s="1321"/>
      <c r="FB89" s="1321"/>
    </row>
    <row r="90" spans="1:158">
      <c r="A90" s="100" t="s">
        <v>805</v>
      </c>
      <c r="B90" s="234">
        <f>B$81*((GREET1_Import_Export!$B182*GREET1_Import_Export!$F$179+GREET1_Import_Export!$F182)/1000000)+B$82*((GREET1_Import_Export!$B182*GREET1_Import_Export!$G$179+GREET1_Import_Export!$G182)/1000000)+B$83*((GREET1_Import_Export!$B182*GREET1_Import_Export!$C$179+GREET1_Import_Export!$C182)/1000000)+B$84*((GREET1_Import_Export!$E218*GREET1_Import_Export!$F$215+GREET1_Import_Export!$F218)/1000000)+B$85*(GREET1_Import_Export!$B218/1000000)+B$86*(1+GREET1_Import_Export!$B286/1000000)+B$87*(SUM(GREET1_Import_Export!$B311:$C311)/1000000)</f>
        <v>0</v>
      </c>
      <c r="C90" s="1"/>
      <c r="D90" s="235"/>
      <c r="E90" s="234">
        <f>E$81*((GREET1_Import_Export!$B182*GREET1_Import_Export!$F$179+GREET1_Import_Export!$F182)/1000000)+E$82*((GREET1_Import_Export!$B182*GREET1_Import_Export!$G$179+GREET1_Import_Export!$G182)/1000000)+E$83*((GREET1_Import_Export!$B182*GREET1_Import_Export!$C$179+GREET1_Import_Export!$C182)/1000000)+E$84*((GREET1_Import_Export!$E218*GREET1_Import_Export!$F$215+GREET1_Import_Export!$F218)/1000000)+E$85*(GREET1_Import_Export!$B218/1000000)+E$86*(1+GREET1_Import_Export!$B286/1000000)+E$87*(SUM(GREET1_Import_Export!$B311:$C311)/1000000)</f>
        <v>0</v>
      </c>
      <c r="F90" s="1"/>
      <c r="G90" s="235"/>
      <c r="H90" s="234">
        <f>H$81*((GREET1_Import_Export!$B182*GREET1_Import_Export!$F$179+GREET1_Import_Export!$F182)/1000000)+H$82*((GREET1_Import_Export!$B182*GREET1_Import_Export!$G$179+GREET1_Import_Export!$G182)/1000000)+H$83*((GREET1_Import_Export!$B182*GREET1_Import_Export!$C$179+GREET1_Import_Export!$C182)/1000000)+H$84*((GREET1_Import_Export!$E218*GREET1_Import_Export!$F$215+GREET1_Import_Export!$F218)/1000000)+H$85*(GREET1_Import_Export!$B218/1000000)+H$86*(1+GREET1_Import_Export!$B286/1000000)+H$87*(SUM(GREET1_Import_Export!$B311:$C311)/1000000)</f>
        <v>3.8068671827594727E-2</v>
      </c>
      <c r="I90" s="1"/>
      <c r="J90" s="235"/>
      <c r="K90" s="234">
        <f>K$81*((GREET1_Import_Export!$B182*GREET1_Import_Export!$F$179+GREET1_Import_Export!$F182)/1000000)+K$82*((GREET1_Import_Export!$B182*GREET1_Import_Export!$G$179+GREET1_Import_Export!$G182)/1000000)+K$83*((GREET1_Import_Export!$B182*GREET1_Import_Export!$C$179+GREET1_Import_Export!$C182)/1000000)+K$84*((GREET1_Import_Export!$E218*GREET1_Import_Export!$F$215+GREET1_Import_Export!$F218)/1000000)+K$85*(GREET1_Import_Export!$B218/1000000)+K$86*(1+GREET1_Import_Export!$B286/1000000)+K$87*(SUM(GREET1_Import_Export!$B311:$C311)/1000000)</f>
        <v>12.08288290487803</v>
      </c>
      <c r="L90" s="1"/>
      <c r="M90" s="235"/>
      <c r="N90" s="234">
        <f>N$81*((GREET1_Import_Export!$B182*GREET1_Import_Export!$F$179+GREET1_Import_Export!$F182)/1000000)+N$82*((GREET1_Import_Export!$B182*GREET1_Import_Export!$G$179+GREET1_Import_Export!$G182)/1000000)+N$83*((GREET1_Import_Export!$B182*GREET1_Import_Export!$C$179+GREET1_Import_Export!$C182)/1000000)+N$84*((GREET1_Import_Export!$E218*GREET1_Import_Export!$F$215+GREET1_Import_Export!$F218)/1000000)+N$85*(GREET1_Import_Export!$B218/1000000)+N$86*(1+GREET1_Import_Export!$B286/1000000)+N$87*(SUM(GREET1_Import_Export!$B311:$C311)/1000000)</f>
        <v>3.8068671827594727E-2</v>
      </c>
      <c r="O90" s="1"/>
      <c r="P90" s="235"/>
      <c r="Q90" s="578">
        <f>Q$81*((GREET1_Import_Export!$B182*GREET1_Import_Export!$F$179+GREET1_Import_Export!$F182)/1000000)+Q$82*((GREET1_Import_Export!$B182*GREET1_Import_Export!$G$179+GREET1_Import_Export!$G182)/1000000)+Q$83*((GREET1_Import_Export!$B182*GREET1_Import_Export!$C$179+GREET1_Import_Export!$C182)/1000000)+Q$84*((GREET1_Import_Export!$E218*GREET1_Import_Export!$F$215+GREET1_Import_Export!$F218)/1000000)+Q$85*(GREET1_Import_Export!$B218/1000000)+Q$86*(1+GREET1_Import_Export!$B286/1000000)
+Q$87*($B$46*(GREET1_Import_Export!$B311+GREET1_Import_Export!$C311)+$C$46*GREET1_Import_Export!L344+$D$46*GREET1_Import_Export!H344+$E$46*GREET1_Import_Export!Q344+$F$46*GREET1_Import_Export!R344+SUMPRODUCT($G$46:$I$46,GREET1_Import_Export!N344:P344))/1000000</f>
        <v>12.08288290487803</v>
      </c>
      <c r="R90" s="1"/>
      <c r="S90" s="235"/>
      <c r="T90" s="578">
        <f>T$81*((GREET1_Import_Export!$B182*GREET1_Import_Export!$F$179+GREET1_Import_Export!$F182)/1000000)+T$82*((GREET1_Import_Export!$B182*GREET1_Import_Export!$G$179+GREET1_Import_Export!$G182)/1000000)+T$83*((GREET1_Import_Export!$B182*GREET1_Import_Export!$C$179+GREET1_Import_Export!$C182)/1000000)+T$84*((GREET1_Import_Export!$E218*GREET1_Import_Export!$F$215+GREET1_Import_Export!$F218)/1000000)+T$85*(GREET1_Import_Export!$B218/1000000)+T$86*(1+GREET1_Import_Export!$B286/1000000)+T$87*(SUM(GREET1_Import_Export!$B311:$C311)/1000000)</f>
        <v>3.8068671827594727E-2</v>
      </c>
      <c r="U90" s="1"/>
      <c r="V90" s="235"/>
      <c r="W90" s="578">
        <f>W$81*(1+(GREET1_Import_Export!$B182*GREET1_Import_Export!$F$179+GREET1_Import_Export!$F182)/1000000)+W$82*(1+(GREET1_Import_Export!$B182*GREET1_Import_Export!$G$179+GREET1_Import_Export!$G182)/1000000)+W$83*(1+(GREET1_Import_Export!$B182*GREET1_Import_Export!$C$179+GREET1_Import_Export!$C182)/1000000)+W$84*(1+(GREET1_Import_Export!$E218*GREET1_Import_Export!$F$215+GREET1_Import_Export!$F218)/1000000)+W$85*(1+GREET1_Import_Export!$B218/1000000)+W$86*(1+GREET1_Import_Export!$B286/1000000)+W$87*($B$46*(GREET1_Import_Export!$B311+GREET1_Import_Export!$C311)+$C$46*GREET1_Import_Export!L344+$D$46*GREET1_Import_Export!H344+$E$46*GREET1_Import_Export!Q344+$F$46*GREET1_Import_Export!R344+SUMPRODUCT($G$46:$I$46,GREET1_Import_Export!N344:P344))/1000000</f>
        <v>12.08288290487803</v>
      </c>
      <c r="X90" s="1"/>
      <c r="Y90" s="235"/>
      <c r="Z90" s="234">
        <f>Z$81*((GREET1_Import_Export!$B182*GREET1_Import_Export!$F$179+GREET1_Import_Export!$F182)/1000000)+Z$82*((GREET1_Import_Export!$B182*GREET1_Import_Export!$G$179+GREET1_Import_Export!$G182)/1000000)+Z$83*((GREET1_Import_Export!$B182*GREET1_Import_Export!$C$179+GREET1_Import_Export!$C182)/1000000)+Z$84*((GREET1_Import_Export!$E218*GREET1_Import_Export!$F$215+GREET1_Import_Export!$F218)/1000000)+Z$85*(GREET1_Import_Export!$B218/1000000)+Z$86*(1+GREET1_Import_Export!$B286/1000000)+Z$87*(SUM(GREET1_Import_Export!$B311:$C311)/1000000)</f>
        <v>3.8068671827594727E-2</v>
      </c>
      <c r="AA90" s="1"/>
      <c r="AB90" s="235"/>
      <c r="AC90" s="578">
        <f>AC$81*(1+(GREET1_Import_Export!$B182*GREET1_Import_Export!$F$179+GREET1_Import_Export!$F182)/1000000)+AC$82*(1+(GREET1_Import_Export!$B182*GREET1_Import_Export!$G$179+GREET1_Import_Export!$G182)/1000000)+AC$83*(1+(GREET1_Import_Export!$B182*GREET1_Import_Export!$C$179+GREET1_Import_Export!$C182)/1000000)+AC$84*(1+(GREET1_Import_Export!$E218*GREET1_Import_Export!$F$215+GREET1_Import_Export!$F218)/1000000)+AC$85*(1+GREET1_Import_Export!$B218/1000000)+AC$86*(1+GREET1_Import_Export!$B286/1000000)+AC$87*($B$46*(GREET1_Import_Export!$B311+GREET1_Import_Export!$C311)+$C$46*GREET1_Import_Export!L344+$D$46*GREET1_Import_Export!H344+$E$46*GREET1_Import_Export!Q344+$F$46*GREET1_Import_Export!R344+SUMPRODUCT($G$46:$I$46,GREET1_Import_Export!N344:P344))/1000000</f>
        <v>12.08288290487803</v>
      </c>
      <c r="AD90" s="1"/>
      <c r="AE90" s="235"/>
      <c r="AF90" s="234">
        <f>AF$81*((GREET1_Import_Export!$B182*GREET1_Import_Export!$F$179+GREET1_Import_Export!$F182)/1000000)+AF$82*((GREET1_Import_Export!$B182*GREET1_Import_Export!$G$179+GREET1_Import_Export!$G182)/1000000)+AF$83*((GREET1_Import_Export!$B182*GREET1_Import_Export!$C$179+GREET1_Import_Export!$C182)/1000000)+AF$84*((GREET1_Import_Export!$E218*GREET1_Import_Export!$F$215+GREET1_Import_Export!$F218)/1000000)+AF$85*(GREET1_Import_Export!$B218/1000000)+AF$86*(1+GREET1_Import_Export!$B286/1000000)+AF$87*(SUM(GREET1_Import_Export!$B311:$C311)/1000000)</f>
        <v>3.8068671827594727E-2</v>
      </c>
      <c r="AG90" s="489"/>
      <c r="AH90" s="478"/>
      <c r="AI90" s="578">
        <f>AI$81*(1+(GREET1_Import_Export!$B182*GREET1_Import_Export!$F$179+GREET1_Import_Export!$F182)/1000000)+AI$82*(1+(GREET1_Import_Export!$B182*GREET1_Import_Export!$G$179+GREET1_Import_Export!$G182)/1000000)+AI$83*(1+(GREET1_Import_Export!$B182*GREET1_Import_Export!$C$179+GREET1_Import_Export!$C182)/1000000)+AI$84*(1+(GREET1_Import_Export!$E218*GREET1_Import_Export!$F$215+GREET1_Import_Export!$F218)/1000000)+AI$85*(1+GREET1_Import_Export!$B218/1000000)+AI$86*(1+GREET1_Import_Export!$B286/1000000)+AI$87*($B$46*(GREET1_Import_Export!$B311+GREET1_Import_Export!$C311)+$C$46*GREET1_Import_Export!L344+$D$46*GREET1_Import_Export!H344+$E$46*GREET1_Import_Export!Q344+$F$46*GREET1_Import_Export!R344+SUMPRODUCT($G$46:$I$46,GREET1_Import_Export!N344:P344))/1000000</f>
        <v>13.80900903414631</v>
      </c>
      <c r="AJ90" s="1"/>
      <c r="AK90" s="235"/>
      <c r="AL90" s="234">
        <f>AL$81*((GREET1_Import_Export!$B182*GREET1_Import_Export!$F$179+GREET1_Import_Export!$F182)/1000000)+AL$82*((GREET1_Import_Export!$B182*GREET1_Import_Export!$G$179+GREET1_Import_Export!$G182)/1000000)+AL$83*((GREET1_Import_Export!$B182*GREET1_Import_Export!$C$179+GREET1_Import_Export!$C182)/1000000)+AL$84*((GREET1_Import_Export!$E218*GREET1_Import_Export!$F$215+GREET1_Import_Export!$F218)/1000000)+AL$85*(GREET1_Import_Export!$B218/1000000)+AL$86*(1+GREET1_Import_Export!$B286/1000000)+AL$87*(SUM(GREET1_Import_Export!$B311:$C311)/1000000)</f>
        <v>0.37674665691508147</v>
      </c>
      <c r="AM90" s="1"/>
      <c r="AN90" s="235"/>
      <c r="AO90" s="234">
        <f>AO$81*((GREET1_Import_Export!$B182*GREET1_Import_Export!$F$179+GREET1_Import_Export!$F182)/1000000)+AO$82*((GREET1_Import_Export!$B182*GREET1_Import_Export!$G$179+GREET1_Import_Export!$G182)/1000000)+AO$83*((GREET1_Import_Export!$B182*GREET1_Import_Export!$C$179+GREET1_Import_Export!$C182)/1000000)+AO$84*((GREET1_Import_Export!$E218*GREET1_Import_Export!$F$215+GREET1_Import_Export!$F218)/1000000)+AO$85*(GREET1_Import_Export!$B218/1000000)+AO$86*(1+GREET1_Import_Export!$B286/1000000)+AO$87*(SUM(GREET1_Import_Export!$B311:$C311)/1000000)</f>
        <v>13.077706930712992</v>
      </c>
      <c r="AP90" s="1"/>
      <c r="AQ90" s="235"/>
      <c r="AR90" s="234">
        <f>AR$81*((GREET1_Import_Export!$B182*GREET1_Import_Export!$F$179+GREET1_Import_Export!$F182)/1000000)+AR$82*((GREET1_Import_Export!$B182*GREET1_Import_Export!$G$179+GREET1_Import_Export!$G182)/1000000)+AR$83*((GREET1_Import_Export!$B182*GREET1_Import_Export!$C$179+GREET1_Import_Export!$C182)/1000000)+AR$84*((GREET1_Import_Export!$E218*GREET1_Import_Export!$F$215+GREET1_Import_Export!$F218)/1000000)+AR$85*(GREET1_Import_Export!$B218/1000000)+AR$86*(1+GREET1_Import_Export!$B286/1000000)+AR$87*(SUM(GREET1_Import_Export!$B311:$C311)/1000000)</f>
        <v>3.0974144320668237E-2</v>
      </c>
      <c r="AS90" s="1"/>
      <c r="AT90" s="235"/>
      <c r="AU90" s="234">
        <f>AU$81*((GREET1_Import_Export!$B182*GREET1_Import_Export!$F$179+GREET1_Import_Export!$F182)/1000000)+AU$82*((GREET1_Import_Export!$B182*GREET1_Import_Export!$G$179+GREET1_Import_Export!$G182)/1000000)+AU$83*((GREET1_Import_Export!$B182*GREET1_Import_Export!$C$179+GREET1_Import_Export!$C182)/1000000)+AU$84*((GREET1_Import_Export!$E218*GREET1_Import_Export!$F$215+GREET1_Import_Export!$F218)/1000000)+AU$85*(GREET1_Import_Export!$B218/1000000)+AU$86*(1+GREET1_Import_Export!$B286/1000000)+AU$87*(SUM(GREET1_Import_Export!$B311:$C311)/1000000)</f>
        <v>8.4997770479150109E-2</v>
      </c>
      <c r="AV90" s="1"/>
      <c r="AW90" s="235"/>
      <c r="AX90" s="234">
        <f>AX$81*((GREET1_Import_Export!$B182*GREET1_Import_Export!$F$179+GREET1_Import_Export!$F182)/1000000)+AX$82*((GREET1_Import_Export!$B182*GREET1_Import_Export!$G$179+GREET1_Import_Export!$G182)/1000000)+AX$83*((GREET1_Import_Export!$B182*GREET1_Import_Export!$C$179+GREET1_Import_Export!$C182)/1000000)+AX$84*((GREET1_Import_Export!$E218*GREET1_Import_Export!$F$215+GREET1_Import_Export!$F218)/1000000)+AX$85*(GREET1_Import_Export!$B218/1000000)+AX$86*(1+GREET1_Import_Export!$B286/1000000)+AX$87*(SUM(GREET1_Import_Export!$B311:$C311)/1000000)</f>
        <v>2.6911829804728156E-3</v>
      </c>
      <c r="AY90" s="1"/>
      <c r="AZ90" s="235"/>
      <c r="BA90" s="234">
        <f>BA$81*((GREET1_Import_Export!$B182*GREET1_Import_Export!$F$179+GREET1_Import_Export!$F182)/1000000)+BA$82*((GREET1_Import_Export!$B182*GREET1_Import_Export!$G$179+GREET1_Import_Export!$G182)/1000000)+BA$83*((GREET1_Import_Export!$B182*GREET1_Import_Export!$C$179+GREET1_Import_Export!$C182)/1000000)+BA$84*((GREET1_Import_Export!$E218*GREET1_Import_Export!$F$215+GREET1_Import_Export!$F218)/1000000)+BA$85*(GREET1_Import_Export!$B218/1000000)+BA$86*(1+GREET1_Import_Export!$B286/1000000)+BA$87*(SUM(GREET1_Import_Export!$B311:$C311)/1000000)</f>
        <v>10.356756775609748</v>
      </c>
      <c r="BB90" s="1"/>
      <c r="BC90" s="235"/>
      <c r="BD90" s="578">
        <f>BD$81*((GREET1_Import_Export!$B182*GREET1_Import_Export!$F$179+GREET1_Import_Export!$F182)/1000000)+BD$82*((GREET1_Import_Export!$B182*GREET1_Import_Export!$G$179+GREET1_Import_Export!$G182)/1000000)+BD$83*((GREET1_Import_Export!$B182*GREET1_Import_Export!$C$179+GREET1_Import_Export!$C182)/1000000)+BD$84*((GREET1_Import_Export!$E218*GREET1_Import_Export!$F$215+GREET1_Import_Export!$F218)/1000000)+BD$85*(GREET1_Import_Export!$B218/1000000)+BD$86*(1+GREET1_Import_Export!$B286/1000000)+BD$87*(SUM(GREET1_Import_Export!$B311:$C311)/1000000)</f>
        <v>8.3639360411983965</v>
      </c>
      <c r="BE90" s="489"/>
      <c r="BF90" s="478"/>
      <c r="BG90" s="578">
        <f>BG$81*((GREET1_Import_Export!$B182*GREET1_Import_Export!$F$179+GREET1_Import_Export!$F182)/1000000)+BG$82*((GREET1_Import_Export!$B182*GREET1_Import_Export!$G$179+GREET1_Import_Export!$G182)/1000000)+BG$83*((GREET1_Import_Export!$B182*GREET1_Import_Export!$C$179+GREET1_Import_Export!$C182)/1000000)+BG$84*((GREET1_Import_Export!$E218*GREET1_Import_Export!$F$215+GREET1_Import_Export!$F218)/1000000)+BG$85*(GREET1_Import_Export!$B218/1000000)+BG$86*(1+GREET1_Import_Export!$B286/1000000)+BG$87*(SUM(GREET1_Import_Export!$B311:$C311)/1000000)</f>
        <v>2.8724031005420061E-2</v>
      </c>
      <c r="BH90" s="489"/>
      <c r="BI90" s="478"/>
      <c r="BJ90" s="578">
        <f>BJ$81*((GREET1_Import_Export!$B182*GREET1_Import_Export!$F$179+GREET1_Import_Export!$F182)/1000000)+BJ$82*((GREET1_Import_Export!$B182*GREET1_Import_Export!$G$179+GREET1_Import_Export!$G182)/1000000)+BJ$83*((GREET1_Import_Export!$B182*GREET1_Import_Export!$C$179+GREET1_Import_Export!$C182)/1000000)+BJ$84*((GREET1_Import_Export!$E218*GREET1_Import_Export!$F$215+GREET1_Import_Export!$F218)/1000000)+BJ$85*(GREET1_Import_Export!$B218/1000000)+BJ$86*(1+GREET1_Import_Export!$B286/1000000)+BJ$87*(SUM(GREET1_Import_Export!$B311:$C311)/1000000)</f>
        <v>1.4114533917786942</v>
      </c>
      <c r="BK90" s="489"/>
      <c r="BL90" s="478"/>
      <c r="BM90" s="578">
        <f>BM$81*((GREET1_Import_Export!$B182*GREET1_Import_Export!$F$179+GREET1_Import_Export!$F182)/1000000)+BM$82*((GREET1_Import_Export!$B182*GREET1_Import_Export!$G$179+GREET1_Import_Export!$G182)/1000000)+BM$83*((GREET1_Import_Export!$B182*GREET1_Import_Export!$C$179+GREET1_Import_Export!$C182)/1000000)+BM$84*((GREET1_Import_Export!$E218*GREET1_Import_Export!$F$215+GREET1_Import_Export!$F218)/1000000)+BM$85*(GREET1_Import_Export!$B218/1000000)+BM$86*(1+GREET1_Import_Export!$B286/1000000)+BM$87*(SUM(GREET1_Import_Export!$B311:$C311)/1000000)</f>
        <v>0.22927884760263523</v>
      </c>
      <c r="BN90" s="489"/>
      <c r="BO90" s="478"/>
      <c r="BP90" s="234">
        <f>BP$81*((GREET1_Import_Export!$B182*GREET1_Import_Export!$F$179+GREET1_Import_Export!$F182)/1000000)+BP$82*((GREET1_Import_Export!$B182*GREET1_Import_Export!$G$179+GREET1_Import_Export!$G182)/1000000)+BP$83*((GREET1_Import_Export!$B182*GREET1_Import_Export!$C$179+GREET1_Import_Export!$C182)/1000000)+BP$84*((GREET1_Import_Export!$E218*GREET1_Import_Export!$F$215+GREET1_Import_Export!$F218)/1000000)+BP$85*(GREET1_Import_Export!$B218/1000000)+BP$86*(1+GREET1_Import_Export!$B286/1000000)+BP$87*(SUM(GREET1_Import_Export!$B311:$C311)/1000000)</f>
        <v>0</v>
      </c>
      <c r="BQ90" s="1"/>
      <c r="BR90" s="235"/>
      <c r="BS90" s="753">
        <f>BS$81*(1+(GREET1_Import_Export!$B182*GREET1_Import_Export!$F$179+GREET1_Import_Export!$F182)/1000000)+BS$82*(1+(GREET1_Import_Export!$B182*GREET1_Import_Export!$G$179+GREET1_Import_Export!$G182)/1000000)+BS$83*(1+(GREET1_Import_Export!$B182*GREET1_Import_Export!$C$179+GREET1_Import_Export!$C182)/1000000)+BS$84*(1+(GREET1_Import_Export!$E218*GREET1_Import_Export!$F$215+GREET1_Import_Export!$F218)/1000000)+BS$85*(1+GREET1_Import_Export!$B218/1000000)+BS$86*(1+GREET1_Import_Export!$B286/1000000)+BS$87*(GREET1_Import_Export!$B311+GREET1_Import_Export!$C311)/1000000</f>
        <v>0.13939893401997328</v>
      </c>
      <c r="BT90" s="350"/>
      <c r="BU90" s="1082"/>
      <c r="BV90" s="753">
        <f>BV$81*((GREET1_Import_Export!$B182*GREET1_Import_Export!$F$179+GREET1_Import_Export!$F182)/1000000)+BV$82*((GREET1_Import_Export!$B182*GREET1_Import_Export!$G$179+GREET1_Import_Export!$G182)/1000000)+BV$83*((GREET1_Import_Export!$B182*GREET1_Import_Export!$C$179+GREET1_Import_Export!$C182)/1000000)+BV$84*((GREET1_Import_Export!$E218*GREET1_Import_Export!$F$215+GREET1_Import_Export!$F218)/1000000)+BV$85*(GREET1_Import_Export!$B218/1000000)+BV$86*(1+GREET1_Import_Export!$B286/1000000)+BV$87*(GREET1_Import_Export!$B311+GREET1_Import_Export!$C311)/1000000</f>
        <v>0</v>
      </c>
      <c r="BW90" s="350"/>
      <c r="BX90" s="1082"/>
      <c r="BY90" s="753">
        <f>BY$81*((GREET1_Import_Export!$B182*GREET1_Import_Export!$F$179+GREET1_Import_Export!$F182)/1000000)+BY$82*((GREET1_Import_Export!$B182*GREET1_Import_Export!$G$179+GREET1_Import_Export!$G182)/1000000)+BY$83*((GREET1_Import_Export!$B182*GREET1_Import_Export!$C$179+GREET1_Import_Export!$C182)/1000000)+BY$84*((GREET1_Import_Export!$E218*GREET1_Import_Export!$F$215+GREET1_Import_Export!$F218)/1000000)+BY$85*(GREET1_Import_Export!$B218/1000000)+BY$86*(1+GREET1_Import_Export!$B286/1000000)+BY$87*(GREET1_Import_Export!$B311+GREET1_Import_Export!$C311)/1000000</f>
        <v>3.8068671827594727E-2</v>
      </c>
      <c r="BZ90" s="350"/>
      <c r="CA90" s="1082"/>
      <c r="CB90" s="753">
        <f>CB$81*((GREET1_Import_Export!$B182*GREET1_Import_Export!$F$179+GREET1_Import_Export!$F182)/1000000)+CB$82*((GREET1_Import_Export!$B182*GREET1_Import_Export!$G$179+GREET1_Import_Export!$G182)/1000000)+CB$83*((GREET1_Import_Export!$B182*GREET1_Import_Export!$C$179+GREET1_Import_Export!$C182)/1000000)+CB$84*((GREET1_Import_Export!$E218*GREET1_Import_Export!$F$215+GREET1_Import_Export!$F218)/1000000)+CB$85*(GREET1_Import_Export!$B218/1000000)+CB$86*(1+GREET1_Import_Export!$B286/1000000)+CB$87*(GREET1_Import_Export!$B311+GREET1_Import_Export!$C311)/1000000</f>
        <v>13.80900903414631</v>
      </c>
      <c r="CC90" s="350"/>
      <c r="CD90" s="1082"/>
      <c r="CE90" s="749">
        <f>CE$81*((GREET1_Import_Export!$B182*GREET1_Import_Export!$F$179+GREET1_Import_Export!$F182)/1000000)+CE$82*((GREET1_Import_Export!$B182*GREET1_Import_Export!$G$179+GREET1_Import_Export!$G182)/1000000)+CE$83*((GREET1_Import_Export!$B182*GREET1_Import_Export!$C$179+GREET1_Import_Export!$C182)/1000000)+CE$84*((GREET1_Import_Export!$E218*GREET1_Import_Export!$F$215+GREET1_Import_Export!$F218)/1000000)+CE$85*(GREET1_Import_Export!$B218/1000000)+CE$86*(1+GREET1_Import_Export!$B286/1000000)+CE$87*(GREET1_Import_Export!$B311+GREET1_Import_Export!$C311)/1000000</f>
        <v>0</v>
      </c>
      <c r="CF90" s="817"/>
      <c r="CG90" s="1321"/>
      <c r="CH90" s="1321"/>
      <c r="CI90" s="1321"/>
      <c r="CJ90" s="1321"/>
      <c r="CK90" s="1321"/>
      <c r="CL90" s="1321"/>
      <c r="CM90" s="1321"/>
      <c r="CN90" s="1321"/>
      <c r="CO90" s="1321"/>
      <c r="CP90" s="1321"/>
      <c r="CQ90" s="1321"/>
      <c r="CR90" s="1321"/>
      <c r="CS90" s="1321"/>
      <c r="CT90" s="1321"/>
      <c r="CU90" s="1321"/>
      <c r="CV90" s="1321"/>
      <c r="CW90" s="1321"/>
      <c r="CX90" s="1321"/>
      <c r="CY90" s="1321"/>
      <c r="CZ90" s="1321"/>
      <c r="DA90" s="1321"/>
      <c r="DB90" s="1321"/>
      <c r="DC90" s="1321"/>
      <c r="DD90" s="1321"/>
      <c r="DE90" s="1321"/>
      <c r="DF90" s="1321"/>
      <c r="DG90" s="1321"/>
      <c r="DH90" s="1321"/>
      <c r="DI90" s="1321"/>
      <c r="DJ90" s="1321"/>
      <c r="DK90" s="1321"/>
      <c r="DL90" s="1321"/>
      <c r="DM90" s="1321"/>
      <c r="DN90" s="1321"/>
      <c r="DO90" s="1321"/>
      <c r="DP90" s="1321"/>
      <c r="DQ90" s="1321"/>
      <c r="DR90" s="1321"/>
      <c r="DS90" s="1321"/>
      <c r="DT90" s="1321"/>
      <c r="DU90" s="1321"/>
      <c r="DV90" s="1321"/>
      <c r="DW90" s="1321"/>
      <c r="DX90" s="1321"/>
      <c r="DY90" s="1321"/>
      <c r="DZ90" s="1321"/>
      <c r="EA90" s="1321"/>
      <c r="EB90" s="1321"/>
      <c r="EC90" s="1321"/>
      <c r="ED90" s="1321"/>
      <c r="EE90" s="1321"/>
      <c r="EF90" s="1321"/>
      <c r="EG90" s="1321"/>
      <c r="EH90" s="1321"/>
      <c r="EI90" s="1321"/>
      <c r="EJ90" s="1321"/>
      <c r="EK90" s="1321"/>
      <c r="EL90" s="1321"/>
      <c r="EM90" s="1321"/>
      <c r="EN90" s="1321"/>
      <c r="EO90" s="1321"/>
      <c r="EP90" s="1321"/>
      <c r="EQ90" s="1321"/>
      <c r="ER90" s="1321"/>
      <c r="ES90" s="1321"/>
      <c r="ET90" s="1321"/>
      <c r="EU90" s="1321"/>
      <c r="EV90" s="1321"/>
      <c r="EW90" s="1321"/>
      <c r="EX90" s="1321"/>
      <c r="EY90" s="1321"/>
      <c r="EZ90" s="1321"/>
      <c r="FA90" s="1321"/>
      <c r="FB90" s="1321"/>
    </row>
    <row r="91" spans="1:158">
      <c r="A91" s="100" t="s">
        <v>804</v>
      </c>
      <c r="B91" s="234">
        <f>B$81*((GREET1_Import_Export!$B183*GREET1_Import_Export!$F$179+GREET1_Import_Export!$F183)/1000000)+B$82*((GREET1_Import_Export!$B183*GREET1_Import_Export!$G$179+GREET1_Import_Export!$G183)/1000000)+B$83*((GREET1_Import_Export!$B183*GREET1_Import_Export!$C$179+GREET1_Import_Export!$C183)/1000000)+B$84*(1+(GREET1_Import_Export!$E219*GREET1_Import_Export!$F$215+GREET1_Import_Export!$F219)/1000000)+B$85*(1+GREET1_Import_Export!$B219/1000000)+B$86*(GREET1_Import_Export!$B287/1000000)+B$87*SUM(GREET1_Import_Export!$B312:$C312)/1000000</f>
        <v>0</v>
      </c>
      <c r="C91" s="1"/>
      <c r="D91" s="235"/>
      <c r="E91" s="234">
        <f>E$81*((GREET1_Import_Export!$B183*GREET1_Import_Export!$F$179+GREET1_Import_Export!$F183)/1000000)+E$82*((GREET1_Import_Export!$B183*GREET1_Import_Export!$G$179+GREET1_Import_Export!$G183)/1000000)+E$83*((GREET1_Import_Export!$B183*GREET1_Import_Export!$C$179+GREET1_Import_Export!$C183)/1000000)+E$84*(1+(GREET1_Import_Export!$E219*GREET1_Import_Export!$F$215+GREET1_Import_Export!$F219)/1000000)+E$85*(1+GREET1_Import_Export!$B219/1000000)+E$86*(GREET1_Import_Export!$B287/1000000)+E$87*SUM(GREET1_Import_Export!$B312:$C312)/1000000</f>
        <v>0</v>
      </c>
      <c r="F91" s="1"/>
      <c r="G91" s="235"/>
      <c r="H91" s="234">
        <f>H$81*((GREET1_Import_Export!$B183*GREET1_Import_Export!$F$179+GREET1_Import_Export!$F183)/1000000)+H$82*((GREET1_Import_Export!$B183*GREET1_Import_Export!$G$179+GREET1_Import_Export!$G183)/1000000)+H$83*((GREET1_Import_Export!$B183*GREET1_Import_Export!$C$179+GREET1_Import_Export!$C183)/1000000)+H$84*(1+(GREET1_Import_Export!$E219*GREET1_Import_Export!$F$215+GREET1_Import_Export!$F219)/1000000)+H$85*(1+GREET1_Import_Export!$B219/1000000)+H$86*(GREET1_Import_Export!$B287/1000000)+H$87*SUM(GREET1_Import_Export!$B312:$C312)/1000000</f>
        <v>42.421984774577538</v>
      </c>
      <c r="I91" s="1"/>
      <c r="J91" s="235"/>
      <c r="K91" s="234">
        <f>K$81*((GREET1_Import_Export!$B183*GREET1_Import_Export!$F$179+GREET1_Import_Export!$F183)/1000000)+K$82*((GREET1_Import_Export!$B183*GREET1_Import_Export!$G$179+GREET1_Import_Export!$G183)/1000000)+K$83*((GREET1_Import_Export!$B183*GREET1_Import_Export!$C$179+GREET1_Import_Export!$C183)/1000000)+K$84*(1+(GREET1_Import_Export!$E219*GREET1_Import_Export!$F$215+GREET1_Import_Export!$F219)/1000000)+K$85*(1+GREET1_Import_Export!$B219/1000000)+K$86*(GREET1_Import_Export!$B287/1000000)+K$87*SUM(GREET1_Import_Export!$B312:$C312)/1000000</f>
        <v>22.345898076263911</v>
      </c>
      <c r="L91" s="1"/>
      <c r="M91" s="235"/>
      <c r="N91" s="234">
        <f>N$81*((GREET1_Import_Export!$B183*GREET1_Import_Export!$F$179+GREET1_Import_Export!$F183)/1000000)+N$82*((GREET1_Import_Export!$B183*GREET1_Import_Export!$G$179+GREET1_Import_Export!$G183)/1000000)+N$83*((GREET1_Import_Export!$B183*GREET1_Import_Export!$C$179+GREET1_Import_Export!$C183)/1000000)+N$84*(1+(GREET1_Import_Export!$E219*GREET1_Import_Export!$F$215+GREET1_Import_Export!$F219)/1000000)+N$85*(1+GREET1_Import_Export!$B219/1000000)+N$86*(GREET1_Import_Export!$B287/1000000)+N$87*SUM(GREET1_Import_Export!$B312:$C312)/1000000</f>
        <v>42.421984774577538</v>
      </c>
      <c r="O91" s="1"/>
      <c r="P91" s="235"/>
      <c r="Q91" s="578">
        <f>Q$81*((GREET1_Import_Export!$B183*GREET1_Import_Export!$F$179+GREET1_Import_Export!$F183)/1000000)+Q$82*((GREET1_Import_Export!$B183*GREET1_Import_Export!$G$179+GREET1_Import_Export!$G183)/1000000)+Q$83*((GREET1_Import_Export!$B183*GREET1_Import_Export!$C$179+GREET1_Import_Export!$C183)/1000000)+Q$84*(1+(GREET1_Import_Export!$E219*GREET1_Import_Export!$F$215+GREET1_Import_Export!$F219)/1000000)+Q$85*(1+GREET1_Import_Export!$B219/1000000)+Q$86*(GREET1_Import_Export!$B287/1000000)
+Q$87*($B$46*(GREET1_Import_Export!$B312+GREET1_Import_Export!$C312)+$C$46*GREET1_Import_Export!L345+$D$46*GREET1_Import_Export!H345+$E$46*GREET1_Import_Export!Q345+$F$46*GREET1_Import_Export!R345+SUMPRODUCT($G$46:$I$46,GREET1_Import_Export!N345:P345))/1000000</f>
        <v>22.345898076263911</v>
      </c>
      <c r="R91" s="1"/>
      <c r="S91" s="235"/>
      <c r="T91" s="578">
        <f>T$81*((GREET1_Import_Export!$B183*GREET1_Import_Export!$F$179+GREET1_Import_Export!$F183)/1000000)+T$82*((GREET1_Import_Export!$B183*GREET1_Import_Export!$G$179+GREET1_Import_Export!$G183)/1000000)+T$83*((GREET1_Import_Export!$B183*GREET1_Import_Export!$C$179+GREET1_Import_Export!$C183)/1000000)+T$84*(1+(GREET1_Import_Export!$E219*GREET1_Import_Export!$F$215+GREET1_Import_Export!$F219)/1000000)+T$85*(1+GREET1_Import_Export!$B219/1000000)+T$86*(GREET1_Import_Export!$B287/1000000)+T$87*SUM(GREET1_Import_Export!$B312:$C312)/1000000</f>
        <v>42.421984774577538</v>
      </c>
      <c r="U91" s="489"/>
      <c r="V91" s="235"/>
      <c r="W91" s="578">
        <f>W$81*(1+(GREET1_Import_Export!$B183*GREET1_Import_Export!$F$179+GREET1_Import_Export!$F183)/1000000)+W$82*(1+(GREET1_Import_Export!$B183*GREET1_Import_Export!$G$179+GREET1_Import_Export!$G183)/1000000)+W$83*(1+(GREET1_Import_Export!$B183*GREET1_Import_Export!$C$179+GREET1_Import_Export!$C183)/1000000)+W$84*(1+(GREET1_Import_Export!$E219*GREET1_Import_Export!$F$215+GREET1_Import_Export!$F219)/1000000)+W$85*(1+GREET1_Import_Export!$B219/1000000)+W$86*(1+GREET1_Import_Export!$B287/1000000)+W$87*($B$46*(GREET1_Import_Export!$B312+GREET1_Import_Export!$C312)+$C$46*GREET1_Import_Export!L345+$D$46*GREET1_Import_Export!H345+$E$46*GREET1_Import_Export!Q345+$F$46*GREET1_Import_Export!R345+SUMPRODUCT($G$46:$I$46,GREET1_Import_Export!N345:P345))/1000000</f>
        <v>22.345898076263911</v>
      </c>
      <c r="X91" s="1"/>
      <c r="Y91" s="235"/>
      <c r="Z91" s="234">
        <f>Z$81*((GREET1_Import_Export!$B183*GREET1_Import_Export!$F$179+GREET1_Import_Export!$F183)/1000000)+Z$82*((GREET1_Import_Export!$B183*GREET1_Import_Export!$G$179+GREET1_Import_Export!$G183)/1000000)+Z$83*((GREET1_Import_Export!$B183*GREET1_Import_Export!$C$179+GREET1_Import_Export!$C183)/1000000)+Z$84*(1+(GREET1_Import_Export!$E219*GREET1_Import_Export!$F$215+GREET1_Import_Export!$F219)/1000000)+Z$85*(1+GREET1_Import_Export!$B219/1000000)+Z$86*(GREET1_Import_Export!$B287/1000000)+Z$87*SUM(GREET1_Import_Export!$B312:$C312)/1000000</f>
        <v>42.421984774577538</v>
      </c>
      <c r="AA91" s="1"/>
      <c r="AB91" s="235"/>
      <c r="AC91" s="578">
        <f>AC$81*(1+(GREET1_Import_Export!$B183*GREET1_Import_Export!$F$179+GREET1_Import_Export!$F183)/1000000)+AC$82*(1+(GREET1_Import_Export!$B183*GREET1_Import_Export!$G$179+GREET1_Import_Export!$G183)/1000000)+AC$83*(1+(GREET1_Import_Export!$B183*GREET1_Import_Export!$C$179+GREET1_Import_Export!$C183)/1000000)+AC$84*(1+(GREET1_Import_Export!$E219*GREET1_Import_Export!$F$215+GREET1_Import_Export!$F219)/1000000)+AC$85*(1+GREET1_Import_Export!$B219/1000000)+AC$86*(1+GREET1_Import_Export!$B287/1000000)+AC$87*($B$46*(GREET1_Import_Export!$B312+GREET1_Import_Export!$C312)+$C$46*GREET1_Import_Export!L345+$D$46*GREET1_Import_Export!H345+$E$46*GREET1_Import_Export!Q345+$F$46*GREET1_Import_Export!R345+SUMPRODUCT($G$46:$I$46,GREET1_Import_Export!N345:P345))/1000000</f>
        <v>22.345898076263911</v>
      </c>
      <c r="AD91" s="1"/>
      <c r="AE91" s="235"/>
      <c r="AF91" s="234">
        <f>AF$81*((GREET1_Import_Export!$B183*GREET1_Import_Export!$F$179+GREET1_Import_Export!$F183)/1000000)+AF$82*((GREET1_Import_Export!$B183*GREET1_Import_Export!$G$179+GREET1_Import_Export!$G183)/1000000)+AF$83*((GREET1_Import_Export!$B183*GREET1_Import_Export!$C$179+GREET1_Import_Export!$C183)/1000000)+AF$84*(1+(GREET1_Import_Export!$E219*GREET1_Import_Export!$F$215+GREET1_Import_Export!$F219)/1000000)+AF$85*(1+GREET1_Import_Export!$B219/1000000)+AF$86*(GREET1_Import_Export!$B287/1000000)+AF$87*SUM(GREET1_Import_Export!$B312:$C312)/1000000</f>
        <v>42.421984774577538</v>
      </c>
      <c r="AG91" s="489"/>
      <c r="AH91" s="478"/>
      <c r="AI91" s="578">
        <f>AI$81*(1+(GREET1_Import_Export!$B183*GREET1_Import_Export!$F$179+GREET1_Import_Export!$F183)/1000000)+AI$82*(1+(GREET1_Import_Export!$B183*GREET1_Import_Export!$G$179+GREET1_Import_Export!$G183)/1000000)+AI$83*(1+(GREET1_Import_Export!$B183*GREET1_Import_Export!$C$179+GREET1_Import_Export!$C183)/1000000)+AI$84*(1+(GREET1_Import_Export!$E219*GREET1_Import_Export!$F$215+GREET1_Import_Export!$F219)/1000000)+AI$85*(1+GREET1_Import_Export!$B219/1000000)+AI$86*(1+GREET1_Import_Export!$B287/1000000)+AI$87*($B$46*(GREET1_Import_Export!$B312+GREET1_Import_Export!$C312)+$C$46*GREET1_Import_Export!L345+$D$46*GREET1_Import_Export!H345+$E$46*GREET1_Import_Export!Q345+$F$46*GREET1_Import_Export!R345+SUMPRODUCT($G$46:$I$46,GREET1_Import_Export!N345:P345))/1000000</f>
        <v>25.538169230015882</v>
      </c>
      <c r="AJ91" s="1"/>
      <c r="AK91" s="235"/>
      <c r="AL91" s="234">
        <f>AL$81*((GREET1_Import_Export!$B183*GREET1_Import_Export!$F$179+GREET1_Import_Export!$F183)/1000000)+AL$82*((GREET1_Import_Export!$B183*GREET1_Import_Export!$G$179+GREET1_Import_Export!$G183)/1000000)+AL$83*((GREET1_Import_Export!$B183*GREET1_Import_Export!$C$179+GREET1_Import_Export!$C183)/1000000)+AL$84*(1+(GREET1_Import_Export!$E219*GREET1_Import_Export!$F$215+GREET1_Import_Export!$F219)/1000000)+AL$85*(1+GREET1_Import_Export!$B219/1000000)+AL$86*(GREET1_Import_Export!$B287/1000000)+AL$87*SUM(GREET1_Import_Export!$B312:$C312)/1000000</f>
        <v>34.66603567975676</v>
      </c>
      <c r="AM91" s="1"/>
      <c r="AN91" s="235"/>
      <c r="AO91" s="234">
        <f>AO$81*((GREET1_Import_Export!$B183*GREET1_Import_Export!$F$179+GREET1_Import_Export!$F183)/1000000)+AO$82*((GREET1_Import_Export!$B183*GREET1_Import_Export!$G$179+GREET1_Import_Export!$G183)/1000000)+AO$83*((GREET1_Import_Export!$B183*GREET1_Import_Export!$C$179+GREET1_Import_Export!$C183)/1000000)+AO$84*(1+(GREET1_Import_Export!$E219*GREET1_Import_Export!$F$215+GREET1_Import_Export!$F219)/1000000)+AO$85*(1+GREET1_Import_Export!$B219/1000000)+AO$86*(GREET1_Import_Export!$B287/1000000)+AO$87*SUM(GREET1_Import_Export!$B312:$C312)/1000000</f>
        <v>24.185710351209647</v>
      </c>
      <c r="AP91" s="1"/>
      <c r="AQ91" s="235"/>
      <c r="AR91" s="234">
        <f>AR$81*((GREET1_Import_Export!$B183*GREET1_Import_Export!$F$179+GREET1_Import_Export!$F183)/1000000)+AR$82*((GREET1_Import_Export!$B183*GREET1_Import_Export!$G$179+GREET1_Import_Export!$G183)/1000000)+AR$83*((GREET1_Import_Export!$B183*GREET1_Import_Export!$C$179+GREET1_Import_Export!$C183)/1000000)+AR$84*(1+(GREET1_Import_Export!$E219*GREET1_Import_Export!$F$215+GREET1_Import_Export!$F219)/1000000)+AR$85*(1+GREET1_Import_Export!$B219/1000000)+AR$86*(GREET1_Import_Export!$B287/1000000)+AR$87*SUM(GREET1_Import_Export!$B312:$C312)/1000000</f>
        <v>34.516168169137202</v>
      </c>
      <c r="AS91" s="1"/>
      <c r="AT91" s="235"/>
      <c r="AU91" s="234">
        <f>AU$81*((GREET1_Import_Export!$B183*GREET1_Import_Export!$F$179+GREET1_Import_Export!$F183)/1000000)+AU$82*((GREET1_Import_Export!$B183*GREET1_Import_Export!$G$179+GREET1_Import_Export!$G183)/1000000)+AU$83*((GREET1_Import_Export!$B183*GREET1_Import_Export!$C$179+GREET1_Import_Export!$C183)/1000000)+AU$84*(1+(GREET1_Import_Export!$E219*GREET1_Import_Export!$F$215+GREET1_Import_Export!$F219)/1000000)+AU$85*(1+GREET1_Import_Export!$B219/1000000)+AU$86*(GREET1_Import_Export!$B287/1000000)+AU$87*SUM(GREET1_Import_Export!$B312:$C312)/1000000</f>
        <v>9.6290776067705028</v>
      </c>
      <c r="AV91" s="1"/>
      <c r="AW91" s="235"/>
      <c r="AX91" s="234">
        <f>AX$81*((GREET1_Import_Export!$B183*GREET1_Import_Export!$F$179+GREET1_Import_Export!$F183)/1000000)+AX$82*((GREET1_Import_Export!$B183*GREET1_Import_Export!$G$179+GREET1_Import_Export!$G183)/1000000)+AX$83*((GREET1_Import_Export!$B183*GREET1_Import_Export!$C$179+GREET1_Import_Export!$C183)/1000000)+AX$84*(1+(GREET1_Import_Export!$E219*GREET1_Import_Export!$F$215+GREET1_Import_Export!$F219)/1000000)+AX$85*(1+GREET1_Import_Export!$B219/1000000)+AX$86*(GREET1_Import_Export!$B287/1000000)+AX$87*SUM(GREET1_Import_Export!$B312:$C312)/1000000</f>
        <v>2.9989310880151407</v>
      </c>
      <c r="AY91" s="1"/>
      <c r="AZ91" s="235"/>
      <c r="BA91" s="234">
        <f>BA$81*((GREET1_Import_Export!$B183*GREET1_Import_Export!$F$179+GREET1_Import_Export!$F183)/1000000)+BA$82*((GREET1_Import_Export!$B183*GREET1_Import_Export!$G$179+GREET1_Import_Export!$G183)/1000000)+BA$83*((GREET1_Import_Export!$B183*GREET1_Import_Export!$C$179+GREET1_Import_Export!$C183)/1000000)+BA$84*(1+(GREET1_Import_Export!$E219*GREET1_Import_Export!$F$215+GREET1_Import_Export!$F219)/1000000)+BA$85*(1+GREET1_Import_Export!$B219/1000000)+BA$86*(GREET1_Import_Export!$B287/1000000)+BA$87*SUM(GREET1_Import_Export!$B312:$C312)/1000000</f>
        <v>19.15362692251194</v>
      </c>
      <c r="BB91" s="1"/>
      <c r="BC91" s="235"/>
      <c r="BD91" s="578">
        <f>BD$81*((GREET1_Import_Export!$B183*GREET1_Import_Export!$F$179+GREET1_Import_Export!$F183)/1000000)+BD$82*((GREET1_Import_Export!$B183*GREET1_Import_Export!$G$179+GREET1_Import_Export!$G183)/1000000)+BD$83*((GREET1_Import_Export!$B183*GREET1_Import_Export!$C$179+GREET1_Import_Export!$C183)/1000000)+BD$84*(1+(GREET1_Import_Export!$E219*GREET1_Import_Export!$F$215+GREET1_Import_Export!$F219)/1000000)+BD$85*(1+GREET1_Import_Export!$B219/1000000)+BD$86*(GREET1_Import_Export!$B287/1000000)+BD$87*SUM(GREET1_Import_Export!$B312:$C312)/1000000</f>
        <v>15.468134861884296</v>
      </c>
      <c r="BE91" s="489"/>
      <c r="BF91" s="478"/>
      <c r="BG91" s="578">
        <f>BG$81*((GREET1_Import_Export!$B183*GREET1_Import_Export!$F$179+GREET1_Import_Export!$F183)/1000000)+BG$82*((GREET1_Import_Export!$B183*GREET1_Import_Export!$G$179+GREET1_Import_Export!$G183)/1000000)+BG$83*((GREET1_Import_Export!$B183*GREET1_Import_Export!$C$179+GREET1_Import_Export!$C183)/1000000)+BG$84*(1+(GREET1_Import_Export!$E219*GREET1_Import_Export!$F$215+GREET1_Import_Export!$F219)/1000000)+BG$85*(1+GREET1_Import_Export!$B219/1000000)+BG$86*(GREET1_Import_Export!$B287/1000000)+BG$87*SUM(GREET1_Import_Export!$B312:$C312)/1000000</f>
        <v>32.008744920098593</v>
      </c>
      <c r="BH91" s="489"/>
      <c r="BI91" s="478"/>
      <c r="BJ91" s="578">
        <f>BJ$81*((GREET1_Import_Export!$B183*GREET1_Import_Export!$F$179+GREET1_Import_Export!$F183)/1000000)+BJ$82*((GREET1_Import_Export!$B183*GREET1_Import_Export!$G$179+GREET1_Import_Export!$G183)/1000000)+BJ$83*((GREET1_Import_Export!$B183*GREET1_Import_Export!$C$179+GREET1_Import_Export!$C183)/1000000)+BJ$84*(1+(GREET1_Import_Export!$E219*GREET1_Import_Export!$F$215+GREET1_Import_Export!$F219)/1000000)+BJ$85*(1+GREET1_Import_Export!$B219/1000000)+BJ$86*(GREET1_Import_Export!$B287/1000000)+BJ$87*SUM(GREET1_Import_Export!$B312:$C312)/1000000</f>
        <v>2.6103202257592413</v>
      </c>
      <c r="BK91" s="489"/>
      <c r="BL91" s="478"/>
      <c r="BM91" s="578">
        <f>BM$81*((GREET1_Import_Export!$B183*GREET1_Import_Export!$F$179+GREET1_Import_Export!$F183)/1000000)+BM$82*((GREET1_Import_Export!$B183*GREET1_Import_Export!$G$179+GREET1_Import_Export!$G183)/1000000)+BM$83*((GREET1_Import_Export!$B183*GREET1_Import_Export!$C$179+GREET1_Import_Export!$C183)/1000000)+BM$84*(1+(GREET1_Import_Export!$E219*GREET1_Import_Export!$F$215+GREET1_Import_Export!$F219)/1000000)+BM$85*(1+GREET1_Import_Export!$B219/1000000)+BM$86*(GREET1_Import_Export!$B287/1000000)+BM$87*SUM(GREET1_Import_Export!$B312:$C312)/1000000</f>
        <v>0.44703795776776739</v>
      </c>
      <c r="BN91" s="489"/>
      <c r="BO91" s="478"/>
      <c r="BP91" s="234">
        <f>BP$81*((GREET1_Import_Export!$B183*GREET1_Import_Export!$F$179+GREET1_Import_Export!$F183)/1000000)+BP$82*((GREET1_Import_Export!$B183*GREET1_Import_Export!$G$179+GREET1_Import_Export!$G183)/1000000)+BP$83*((GREET1_Import_Export!$B183*GREET1_Import_Export!$C$179+GREET1_Import_Export!$C183)/1000000)+BP$84*(1+(GREET1_Import_Export!$E219*GREET1_Import_Export!$F$215+GREET1_Import_Export!$F219)/1000000)+BP$85*(1+GREET1_Import_Export!$B219/1000000)+BP$86*(GREET1_Import_Export!$B287/1000000)+BP$87*SUM(GREET1_Import_Export!$B312:$C312)/1000000</f>
        <v>0</v>
      </c>
      <c r="BQ91" s="1"/>
      <c r="BR91" s="235"/>
      <c r="BS91" s="753">
        <f>BS$81*((GREET1_Import_Export!$B183*GREET1_Import_Export!$F$179+GREET1_Import_Export!$F183)/1000000)+BS$82*((GREET1_Import_Export!$B183*GREET1_Import_Export!$G$179+GREET1_Import_Export!$G183)/1000000)+BS$83*((GREET1_Import_Export!$B183*GREET1_Import_Export!$C$179+GREET1_Import_Export!$C183)/1000000)+BS$84*(1+(GREET1_Import_Export!$E219*GREET1_Import_Export!$F$215+GREET1_Import_Export!$F219)/1000000)+BS$85*(1+GREET1_Import_Export!$B219/1000000)+BS$86*(GREET1_Import_Export!$B287/1000000)+BS$87*(GREET1_Import_Export!$B312+GREET1_Import_Export!$C312)/1000000</f>
        <v>0.25780224769807158</v>
      </c>
      <c r="BT91" s="350"/>
      <c r="BU91" s="1082"/>
      <c r="BV91" s="753">
        <f>BV$81*((GREET1_Import_Export!$B183*GREET1_Import_Export!$F$179+GREET1_Import_Export!$F183)/1000000)+BV$82*((GREET1_Import_Export!$B183*GREET1_Import_Export!$G$179+GREET1_Import_Export!$G183)/1000000)+BV$83*((GREET1_Import_Export!$B183*GREET1_Import_Export!$C$179+GREET1_Import_Export!$C183)/1000000)+BV$84*(1+(GREET1_Import_Export!$E219*GREET1_Import_Export!$F$215+GREET1_Import_Export!$F219)/1000000)+BV$85*(1+GREET1_Import_Export!$B219/1000000)+BV$86*(GREET1_Import_Export!$B287/1000000)+BV$87*(GREET1_Import_Export!$B312+GREET1_Import_Export!$C312)/1000000</f>
        <v>0</v>
      </c>
      <c r="BW91" s="350"/>
      <c r="BX91" s="1082"/>
      <c r="BY91" s="753">
        <f>BY$81*((GREET1_Import_Export!$B183*GREET1_Import_Export!$F$179+GREET1_Import_Export!$F183)/1000000)+BY$82*((GREET1_Import_Export!$B183*GREET1_Import_Export!$G$179+GREET1_Import_Export!$G183)/1000000)+BY$83*((GREET1_Import_Export!$B183*GREET1_Import_Export!$C$179+GREET1_Import_Export!$C183)/1000000)+BY$84*(1+(GREET1_Import_Export!$E219*GREET1_Import_Export!$F$215+GREET1_Import_Export!$F219)/1000000)+BY$85*(1+GREET1_Import_Export!$B219/1000000)+BY$86*(GREET1_Import_Export!$B287/1000000)+BY$87*(GREET1_Import_Export!$B312+GREET1_Import_Export!$C312)/1000000</f>
        <v>42.421984774577538</v>
      </c>
      <c r="BZ91" s="363"/>
      <c r="CA91" s="1082"/>
      <c r="CB91" s="753">
        <f>CB$81*((GREET1_Import_Export!$B183*GREET1_Import_Export!$F$179+GREET1_Import_Export!$F183)/1000000)+CB$82*((GREET1_Import_Export!$B183*GREET1_Import_Export!$G$179+GREET1_Import_Export!$G183)/1000000)+CB$83*((GREET1_Import_Export!$B183*GREET1_Import_Export!$C$179+GREET1_Import_Export!$C183)/1000000)+CB$84*(1+(GREET1_Import_Export!$E219*GREET1_Import_Export!$F$215+GREET1_Import_Export!$F219)/1000000)+CB$85*(1+GREET1_Import_Export!$B219/1000000)+CB$86*(GREET1_Import_Export!$B287/1000000)+CB$87*(GREET1_Import_Export!$B312+GREET1_Import_Export!$C312)/1000000</f>
        <v>25.538169230015882</v>
      </c>
      <c r="CC91" s="350"/>
      <c r="CD91" s="1082"/>
      <c r="CE91" s="749">
        <f>CE$81*((GREET1_Import_Export!$B183*GREET1_Import_Export!$F$179+GREET1_Import_Export!$F183)/1000000)+CE$82*((GREET1_Import_Export!$B183*GREET1_Import_Export!$G$179+GREET1_Import_Export!$G183)/1000000)+CE$83*((GREET1_Import_Export!$B183*GREET1_Import_Export!$C$179+GREET1_Import_Export!$C183)/1000000)+CE$84*((GREET1_Import_Export!$E219*GREET1_Import_Export!$F$215+GREET1_Import_Export!$F219)/1000000)+CE$85*(1+GREET1_Import_Export!$B219/1000000)+CE$86*(GREET1_Import_Export!$B287/1000000)+CE$87*(GREET1_Import_Export!$B312+GREET1_Import_Export!$C312)/1000000</f>
        <v>0</v>
      </c>
      <c r="CF91" s="817"/>
      <c r="CG91" s="1321"/>
      <c r="CH91" s="1321"/>
      <c r="CI91" s="1321"/>
      <c r="CJ91" s="1321"/>
      <c r="CK91" s="1321"/>
      <c r="CL91" s="1321"/>
      <c r="CM91" s="1321"/>
      <c r="CN91" s="1321"/>
      <c r="CO91" s="1321"/>
      <c r="CP91" s="1321"/>
      <c r="CQ91" s="1321"/>
      <c r="CR91" s="1321"/>
      <c r="CS91" s="1321"/>
      <c r="CT91" s="1321"/>
      <c r="CU91" s="1321"/>
      <c r="CV91" s="1321"/>
      <c r="CW91" s="1321"/>
      <c r="CX91" s="1321"/>
      <c r="CY91" s="1321"/>
      <c r="CZ91" s="1321"/>
      <c r="DA91" s="1321"/>
      <c r="DB91" s="1321"/>
      <c r="DC91" s="1321"/>
      <c r="DD91" s="1321"/>
      <c r="DE91" s="1321"/>
      <c r="DF91" s="1321"/>
      <c r="DG91" s="1321"/>
      <c r="DH91" s="1321"/>
      <c r="DI91" s="1321"/>
      <c r="DJ91" s="1321"/>
      <c r="DK91" s="1321"/>
      <c r="DL91" s="1321"/>
      <c r="DM91" s="1321"/>
      <c r="DN91" s="1321"/>
      <c r="DO91" s="1321"/>
      <c r="DP91" s="1321"/>
      <c r="DQ91" s="1321"/>
      <c r="DR91" s="1321"/>
      <c r="DS91" s="1321"/>
      <c r="DT91" s="1321"/>
      <c r="DU91" s="1321"/>
      <c r="DV91" s="1321"/>
      <c r="DW91" s="1321"/>
      <c r="DX91" s="1321"/>
      <c r="DY91" s="1321"/>
      <c r="DZ91" s="1321"/>
      <c r="EA91" s="1321"/>
      <c r="EB91" s="1321"/>
      <c r="EC91" s="1321"/>
      <c r="ED91" s="1321"/>
      <c r="EE91" s="1321"/>
      <c r="EF91" s="1321"/>
      <c r="EG91" s="1321"/>
      <c r="EH91" s="1321"/>
      <c r="EI91" s="1321"/>
      <c r="EJ91" s="1321"/>
      <c r="EK91" s="1321"/>
      <c r="EL91" s="1321"/>
      <c r="EM91" s="1321"/>
      <c r="EN91" s="1321"/>
      <c r="EO91" s="1321"/>
      <c r="EP91" s="1321"/>
      <c r="EQ91" s="1321"/>
      <c r="ER91" s="1321"/>
      <c r="ES91" s="1321"/>
      <c r="ET91" s="1321"/>
      <c r="EU91" s="1321"/>
      <c r="EV91" s="1321"/>
      <c r="EW91" s="1321"/>
      <c r="EX91" s="1321"/>
      <c r="EY91" s="1321"/>
      <c r="EZ91" s="1321"/>
      <c r="FA91" s="1321"/>
      <c r="FB91" s="1321"/>
    </row>
    <row r="92" spans="1:158">
      <c r="A92" s="100" t="s">
        <v>818</v>
      </c>
      <c r="B92" s="249">
        <f>B$81*(1+(GREET1_Import_Export!$B184*GREET1_Import_Export!$F$179+GREET1_Import_Export!$F184)/1000000)+B$82*(1+(GREET1_Import_Export!$B184*GREET1_Import_Export!$G$179+GREET1_Import_Export!$G184)/1000000)+B$83*(1+(GREET1_Import_Export!$B184*GREET1_Import_Export!$C$179+GREET1_Import_Export!$C184)/1000000)+B$84*((GREET1_Import_Export!$E220*GREET1_Import_Export!$F$215+GREET1_Import_Export!$F220)/1000000)+B$85*(GREET1_Import_Export!$B220/1000000)+B$86*(GREET1_Import_Export!$B288/1000000)+B$87*SUM(GREET1_Import_Export!$B313:$C313)/1000000</f>
        <v>0</v>
      </c>
      <c r="C92" s="125"/>
      <c r="D92" s="237"/>
      <c r="E92" s="249">
        <f>E$81*(1+(GREET1_Import_Export!$B184*GREET1_Import_Export!$F$179+GREET1_Import_Export!$F184)/1000000)+E$82*(1+(GREET1_Import_Export!$B184*GREET1_Import_Export!$G$179+GREET1_Import_Export!$G184)/1000000)+E$83*(1+(GREET1_Import_Export!$B184*GREET1_Import_Export!$C$179+GREET1_Import_Export!$C184)/1000000)+E$84*((GREET1_Import_Export!$E220*GREET1_Import_Export!$F$215+GREET1_Import_Export!$F220)/1000000)+E$85*(GREET1_Import_Export!$B220/1000000)+E$86*(GREET1_Import_Export!$B288/1000000)+E$87*SUM(GREET1_Import_Export!$B313:$C313)/1000000</f>
        <v>0</v>
      </c>
      <c r="F92" s="125"/>
      <c r="G92" s="237"/>
      <c r="H92" s="249">
        <f>H$81*(1+(GREET1_Import_Export!$B184*GREET1_Import_Export!$F$179+GREET1_Import_Export!$F184)/1000000)+H$82*(1+(GREET1_Import_Export!$B184*GREET1_Import_Export!$G$179+GREET1_Import_Export!$G184)/1000000)+H$83*(1+(GREET1_Import_Export!$B184*GREET1_Import_Export!$C$179+GREET1_Import_Export!$C184)/1000000)+H$84*((GREET1_Import_Export!$E220*GREET1_Import_Export!$F$215+GREET1_Import_Export!$F220)/1000000)+H$85*(GREET1_Import_Export!$B220/1000000)+H$86*(GREET1_Import_Export!$B288/1000000)+H$87*SUM(GREET1_Import_Export!$B313:$C313)/1000000</f>
        <v>0.15502149344055136</v>
      </c>
      <c r="I92" s="125"/>
      <c r="J92" s="237"/>
      <c r="K92" s="249">
        <f>K$81*(1+(GREET1_Import_Export!$B184*GREET1_Import_Export!$F$179+GREET1_Import_Export!$F184)/1000000)+K$82*(1+(GREET1_Import_Export!$B184*GREET1_Import_Export!$G$179+GREET1_Import_Export!$G184)/1000000)+K$83*(1+(GREET1_Import_Export!$B184*GREET1_Import_Export!$C$179+GREET1_Import_Export!$C184)/1000000)+K$84*((GREET1_Import_Export!$E220*GREET1_Import_Export!$F$215+GREET1_Import_Export!$F220)/1000000)+K$85*(GREET1_Import_Export!$B220/1000000)+K$86*(GREET1_Import_Export!$B288/1000000)+K$87*SUM(GREET1_Import_Export!$B313:$C313)/1000000</f>
        <v>0.37800876613775153</v>
      </c>
      <c r="L92" s="125"/>
      <c r="M92" s="237"/>
      <c r="N92" s="249">
        <f>N$81*(1+(GREET1_Import_Export!$B184*GREET1_Import_Export!$F$179+GREET1_Import_Export!$F184)/1000000)+N$82*(1+(GREET1_Import_Export!$B184*GREET1_Import_Export!$G$179+GREET1_Import_Export!$G184)/1000000)+N$83*(1+(GREET1_Import_Export!$B184*GREET1_Import_Export!$C$179+GREET1_Import_Export!$C184)/1000000)+N$84*((GREET1_Import_Export!$E220*GREET1_Import_Export!$F$215+GREET1_Import_Export!$F220)/1000000)+N$85*(GREET1_Import_Export!$B220/1000000)+N$86*(GREET1_Import_Export!$B288/1000000)+N$87*SUM(GREET1_Import_Export!$B313:$C313)/1000000</f>
        <v>0.15502149344055136</v>
      </c>
      <c r="O92" s="125"/>
      <c r="P92" s="237"/>
      <c r="Q92" s="584">
        <f>Q$81*(1+(GREET1_Import_Export!$B184*GREET1_Import_Export!$F$179+GREET1_Import_Export!$F184)/1000000)+Q$82*(1+(GREET1_Import_Export!$B184*GREET1_Import_Export!$G$179+GREET1_Import_Export!$G184)/1000000)+Q$83*(1+(GREET1_Import_Export!$B184*GREET1_Import_Export!$C$179+GREET1_Import_Export!$C184)/1000000)+Q$84*((GREET1_Import_Export!$E220*GREET1_Import_Export!$F$215+GREET1_Import_Export!$F220)/1000000)+Q$85*(GREET1_Import_Export!$B220/1000000)+Q$86*(GREET1_Import_Export!$B288/1000000)
+Q$87*($B$46*(GREET1_Import_Export!$B313+GREET1_Import_Export!$C313)+$C$46*GREET1_Import_Export!L346+$D$46*GREET1_Import_Export!H346+$E$46*GREET1_Import_Export!Q346+$F$46*GREET1_Import_Export!R346+SUMPRODUCT($G$46:$I$46,GREET1_Import_Export!N346:P346))/1000000</f>
        <v>0.37800876613775153</v>
      </c>
      <c r="R92" s="125"/>
      <c r="S92" s="237"/>
      <c r="T92" s="584">
        <f>T$81*(1+(GREET1_Import_Export!$B184*GREET1_Import_Export!$F$179+GREET1_Import_Export!$F184)/1000000)+T$82*(1+(GREET1_Import_Export!$B184*GREET1_Import_Export!$G$179+GREET1_Import_Export!$G184)/1000000)+T$83*(1+(GREET1_Import_Export!$B184*GREET1_Import_Export!$C$179+GREET1_Import_Export!$C184)/1000000)+T$84*((GREET1_Import_Export!$E220*GREET1_Import_Export!$F$215+GREET1_Import_Export!$F220)/1000000)+T$85*(GREET1_Import_Export!$B220/1000000)+T$86*(GREET1_Import_Export!$B288/1000000)+T$87*SUM(GREET1_Import_Export!$B313:$C313)/1000000</f>
        <v>0.15502149344055136</v>
      </c>
      <c r="U92" s="548"/>
      <c r="V92" s="237"/>
      <c r="W92" s="584">
        <f>W$81*(1+(GREET1_Import_Export!$B184*GREET1_Import_Export!$F$179+GREET1_Import_Export!$F184)/1000000)+W$82*(1+(GREET1_Import_Export!$B184*GREET1_Import_Export!$G$179+GREET1_Import_Export!$G184)/1000000)+W$83*(1+(GREET1_Import_Export!$B184*GREET1_Import_Export!$C$179+GREET1_Import_Export!$C184)/1000000)+W$84*(1+(GREET1_Import_Export!$E220*GREET1_Import_Export!$F$215+GREET1_Import_Export!$F220)/1000000)+W$85*(1+GREET1_Import_Export!$B220/1000000)+W$86*(1+GREET1_Import_Export!$B288/1000000)+W$87*($B$46*(GREET1_Import_Export!$B313+GREET1_Import_Export!$C313)+$C$46*GREET1_Import_Export!L346+$D$46*GREET1_Import_Export!H346+$E$46*GREET1_Import_Export!Q346+$F$46*GREET1_Import_Export!R346+SUMPRODUCT($G$46:$I$46,GREET1_Import_Export!N346:P346))/1000000</f>
        <v>0.37800876613775153</v>
      </c>
      <c r="X92" s="125"/>
      <c r="Y92" s="237"/>
      <c r="Z92" s="249">
        <f>Z$81*(1+(GREET1_Import_Export!$B184*GREET1_Import_Export!$F$179+GREET1_Import_Export!$F184)/1000000)+Z$82*(1+(GREET1_Import_Export!$B184*GREET1_Import_Export!$G$179+GREET1_Import_Export!$G184)/1000000)+Z$83*(1+(GREET1_Import_Export!$B184*GREET1_Import_Export!$C$179+GREET1_Import_Export!$C184)/1000000)+Z$84*((GREET1_Import_Export!$E220*GREET1_Import_Export!$F$215+GREET1_Import_Export!$F220)/1000000)+Z$85*(GREET1_Import_Export!$B220/1000000)+Z$86*(GREET1_Import_Export!$B288/1000000)+Z$87*SUM(GREET1_Import_Export!$B313:$C313)/1000000</f>
        <v>0.15502149344055136</v>
      </c>
      <c r="AA92" s="125"/>
      <c r="AB92" s="237"/>
      <c r="AC92" s="584">
        <f>AC$81*(1+(GREET1_Import_Export!$B184*GREET1_Import_Export!$F$179+GREET1_Import_Export!$F184)/1000000)+AC$82*(1+(GREET1_Import_Export!$B184*GREET1_Import_Export!$G$179+GREET1_Import_Export!$G184)/1000000)+AC$83*(1+(GREET1_Import_Export!$B184*GREET1_Import_Export!$C$179+GREET1_Import_Export!$C184)/1000000)+AC$84*(1+(GREET1_Import_Export!$E220*GREET1_Import_Export!$F$215+GREET1_Import_Export!$F220)/1000000)+AC$85*(1+GREET1_Import_Export!$B220/1000000)+AC$86*(1+GREET1_Import_Export!$B288/1000000)+AC$87*($B$46*(GREET1_Import_Export!$B313+GREET1_Import_Export!$C313)+$C$46*GREET1_Import_Export!L346+$D$46*GREET1_Import_Export!H346+$E$46*GREET1_Import_Export!Q346+$F$46*GREET1_Import_Export!R346+SUMPRODUCT($G$46:$I$46,GREET1_Import_Export!N346:P346))/1000000</f>
        <v>0.37800876613775153</v>
      </c>
      <c r="AD92" s="125"/>
      <c r="AE92" s="237"/>
      <c r="AF92" s="249">
        <f>AF$81*(1+(GREET1_Import_Export!$B184*GREET1_Import_Export!$F$179+GREET1_Import_Export!$F184)/1000000)+AF$82*(1+(GREET1_Import_Export!$B184*GREET1_Import_Export!$G$179+GREET1_Import_Export!$G184)/1000000)+AF$83*(1+(GREET1_Import_Export!$B184*GREET1_Import_Export!$C$179+GREET1_Import_Export!$C184)/1000000)+AF$84*((GREET1_Import_Export!$E220*GREET1_Import_Export!$F$215+GREET1_Import_Export!$F220)/1000000)+AF$85*(GREET1_Import_Export!$B220/1000000)+AF$86*(GREET1_Import_Export!$B288/1000000)+AF$87*SUM(GREET1_Import_Export!$B313:$C313)/1000000</f>
        <v>0.15502149344055136</v>
      </c>
      <c r="AG92" s="548"/>
      <c r="AH92" s="585"/>
      <c r="AI92" s="584">
        <f>AI$81*(1+(GREET1_Import_Export!$B184*GREET1_Import_Export!$F$179+GREET1_Import_Export!$F184)/1000000)+AI$82*(1+(GREET1_Import_Export!$B184*GREET1_Import_Export!$G$179+GREET1_Import_Export!$G184)/1000000)+AI$83*(1+(GREET1_Import_Export!$B184*GREET1_Import_Export!$C$179+GREET1_Import_Export!$C184)/1000000)+AI$84*(1+(GREET1_Import_Export!$E220*GREET1_Import_Export!$F$215+GREET1_Import_Export!$F220)/1000000)+AI$85*(1+GREET1_Import_Export!$B220/1000000)+AI$86*(1+GREET1_Import_Export!$B288/1000000)+AI$87*($B$46*(GREET1_Import_Export!$B313+GREET1_Import_Export!$C313)+$C$46*GREET1_Import_Export!L346+$D$46*GREET1_Import_Export!H346+$E$46*GREET1_Import_Export!Q346+$F$46*GREET1_Import_Export!R346+SUMPRODUCT($G$46:$I$46,GREET1_Import_Export!N346:P346))/1000000</f>
        <v>0.43201001844314435</v>
      </c>
      <c r="AJ92" s="125"/>
      <c r="AK92" s="237"/>
      <c r="AL92" s="249">
        <f>AL$81*(1+(GREET1_Import_Export!$B184*GREET1_Import_Export!$F$179+GREET1_Import_Export!$F184)/1000000)+AL$82*(1+(GREET1_Import_Export!$B184*GREET1_Import_Export!$G$179+GREET1_Import_Export!$G184)/1000000)+AL$83*(1+(GREET1_Import_Export!$B184*GREET1_Import_Export!$C$179+GREET1_Import_Export!$C184)/1000000)+AL$84*((GREET1_Import_Export!$E220*GREET1_Import_Export!$F$215+GREET1_Import_Export!$F220)/1000000)+AL$85*(GREET1_Import_Export!$B220/1000000)+AL$86*(GREET1_Import_Export!$B288/1000000)+AL$87*SUM(GREET1_Import_Export!$B313:$C313)/1000000</f>
        <v>0.13517052327656917</v>
      </c>
      <c r="AM92" s="125"/>
      <c r="AN92" s="237"/>
      <c r="AO92" s="249">
        <f>AO$81*(1+(GREET1_Import_Export!$B184*GREET1_Import_Export!$F$179+GREET1_Import_Export!$F184)/1000000)+AO$82*(1+(GREET1_Import_Export!$B184*GREET1_Import_Export!$G$179+GREET1_Import_Export!$G184)/1000000)+AO$83*(1+(GREET1_Import_Export!$B184*GREET1_Import_Export!$C$179+GREET1_Import_Export!$C184)/1000000)+AO$84*((GREET1_Import_Export!$E220*GREET1_Import_Export!$F$215+GREET1_Import_Export!$F220)/1000000)+AO$85*(GREET1_Import_Export!$B220/1000000)+AO$86*(GREET1_Import_Export!$B288/1000000)+AO$87*SUM(GREET1_Import_Export!$B313:$C313)/1000000</f>
        <v>0.40913148788309317</v>
      </c>
      <c r="AP92" s="125"/>
      <c r="AQ92" s="237"/>
      <c r="AR92" s="249">
        <f>AR$81*(1+(GREET1_Import_Export!$B184*GREET1_Import_Export!$F$179+GREET1_Import_Export!$F184)/1000000)+AR$82*(1+(GREET1_Import_Export!$B184*GREET1_Import_Export!$G$179+GREET1_Import_Export!$G184)/1000000)+AR$83*(1+(GREET1_Import_Export!$B184*GREET1_Import_Export!$C$179+GREET1_Import_Export!$C184)/1000000)+AR$84*((GREET1_Import_Export!$E220*GREET1_Import_Export!$F$215+GREET1_Import_Export!$F220)/1000000)+AR$85*(GREET1_Import_Export!$B220/1000000)+AR$86*(GREET1_Import_Export!$B288/1000000)+AR$87*SUM(GREET1_Import_Export!$B313:$C313)/1000000</f>
        <v>0.12613148502734467</v>
      </c>
      <c r="AS92" s="125"/>
      <c r="AT92" s="237"/>
      <c r="AU92" s="249">
        <f>AU$81*(1+(GREET1_Import_Export!$B184*GREET1_Import_Export!$F$179+GREET1_Import_Export!$F184)/1000000)+AU$82*(1+(GREET1_Import_Export!$B184*GREET1_Import_Export!$G$179+GREET1_Import_Export!$G184)/1000000)+AU$83*(1+(GREET1_Import_Export!$B184*GREET1_Import_Export!$C$179+GREET1_Import_Export!$C184)/1000000)+AU$84*((GREET1_Import_Export!$E220*GREET1_Import_Export!$F$215+GREET1_Import_Export!$F220)/1000000)+AU$85*(GREET1_Import_Export!$B220/1000000)+AU$86*(GREET1_Import_Export!$B288/1000000)+AU$87*SUM(GREET1_Import_Export!$B313:$C313)/1000000</f>
        <v>3.7063152148151493E-2</v>
      </c>
      <c r="AV92" s="125"/>
      <c r="AW92" s="237"/>
      <c r="AX92" s="249">
        <f>AX$81*(1+(GREET1_Import_Export!$B184*GREET1_Import_Export!$F$179+GREET1_Import_Export!$F184)/1000000)+AX$82*(1+(GREET1_Import_Export!$B184*GREET1_Import_Export!$G$179+GREET1_Import_Export!$G184)/1000000)+AX$83*(1+(GREET1_Import_Export!$B184*GREET1_Import_Export!$C$179+GREET1_Import_Export!$C184)/1000000)+AX$84*((GREET1_Import_Export!$E220*GREET1_Import_Export!$F$215+GREET1_Import_Export!$F220)/1000000)+AX$85*(GREET1_Import_Export!$B220/1000000)+AX$86*(GREET1_Import_Export!$B288/1000000)+AX$87*SUM(GREET1_Import_Export!$B313:$C313)/1000000</f>
        <v>1.0958911480917018E-2</v>
      </c>
      <c r="AY92" s="125"/>
      <c r="AZ92" s="237"/>
      <c r="BA92" s="249">
        <f>BA$81*(1+(GREET1_Import_Export!$B184*GREET1_Import_Export!$F$179+GREET1_Import_Export!$F184)/1000000)+BA$82*(1+(GREET1_Import_Export!$B184*GREET1_Import_Export!$G$179+GREET1_Import_Export!$G184)/1000000)+BA$83*(1+(GREET1_Import_Export!$B184*GREET1_Import_Export!$C$179+GREET1_Import_Export!$C184)/1000000)+BA$84*((GREET1_Import_Export!$E220*GREET1_Import_Export!$F$215+GREET1_Import_Export!$F220)/1000000)+BA$85*(GREET1_Import_Export!$B220/1000000)+BA$86*(GREET1_Import_Export!$B288/1000000)+BA$87*SUM(GREET1_Import_Export!$B313:$C313)/1000000</f>
        <v>0.32400751383235871</v>
      </c>
      <c r="BB92" s="125"/>
      <c r="BC92" s="237"/>
      <c r="BD92" s="584">
        <f>BD$81*(1+(GREET1_Import_Export!$B184*GREET1_Import_Export!$F$179+GREET1_Import_Export!$F184)/1000000)+BD$82*(1+(GREET1_Import_Export!$B184*GREET1_Import_Export!$G$179+GREET1_Import_Export!$G184)/1000000)+BD$83*(1+(GREET1_Import_Export!$B184*GREET1_Import_Export!$C$179+GREET1_Import_Export!$C184)/1000000)+BD$84*((GREET1_Import_Export!$E220*GREET1_Import_Export!$F$215+GREET1_Import_Export!$F220)/1000000)+BD$85*(GREET1_Import_Export!$B220/1000000)+BD$86*(GREET1_Import_Export!$B288/1000000)+BD$87*SUM(GREET1_Import_Export!$B313:$C313)/1000000</f>
        <v>0.26166281407163822</v>
      </c>
      <c r="BE92" s="548"/>
      <c r="BF92" s="585"/>
      <c r="BG92" s="584">
        <f>BG$81*(1+(GREET1_Import_Export!$B184*GREET1_Import_Export!$F$179+GREET1_Import_Export!$F184)/1000000)+BG$82*(1+(GREET1_Import_Export!$B184*GREET1_Import_Export!$G$179+GREET1_Import_Export!$G184)/1000000)+BG$83*(1+(GREET1_Import_Export!$B184*GREET1_Import_Export!$C$179+GREET1_Import_Export!$C184)/1000000)+BG$84*((GREET1_Import_Export!$E220*GREET1_Import_Export!$F$215+GREET1_Import_Export!$F220)/1000000)+BG$85*(GREET1_Import_Export!$B220/1000000)+BG$86*(GREET1_Import_Export!$B288/1000000)+BG$87*SUM(GREET1_Import_Export!$B313:$C313)/1000000</f>
        <v>0.11696867713848638</v>
      </c>
      <c r="BH92" s="548"/>
      <c r="BI92" s="585"/>
      <c r="BJ92" s="584">
        <f>BJ$81*(1+(GREET1_Import_Export!$B184*GREET1_Import_Export!$F$179+GREET1_Import_Export!$F184)/1000000)+BJ$82*(1+(GREET1_Import_Export!$B184*GREET1_Import_Export!$G$179+GREET1_Import_Export!$G184)/1000000)+BJ$83*(1+(GREET1_Import_Export!$B184*GREET1_Import_Export!$C$179+GREET1_Import_Export!$C184)/1000000)+BJ$84*((GREET1_Import_Export!$E220*GREET1_Import_Export!$F$215+GREET1_Import_Export!$F220)/1000000)+BJ$85*(GREET1_Import_Export!$B220/1000000)+BJ$86*(GREET1_Import_Export!$B288/1000000)+BJ$87*SUM(GREET1_Import_Export!$B313:$C313)/1000000</f>
        <v>4.4156825758181459E-2</v>
      </c>
      <c r="BK92" s="548"/>
      <c r="BL92" s="585"/>
      <c r="BM92" s="584">
        <f>BM$81*(1+(GREET1_Import_Export!$B184*GREET1_Import_Export!$F$179+GREET1_Import_Export!$F184)/1000000)+BM$82*(1+(GREET1_Import_Export!$B184*GREET1_Import_Export!$G$179+GREET1_Import_Export!$G184)/1000000)+BM$83*(1+(GREET1_Import_Export!$B184*GREET1_Import_Export!$C$179+GREET1_Import_Export!$C184)/1000000)+BM$84*((GREET1_Import_Export!$E220*GREET1_Import_Export!$F$215+GREET1_Import_Export!$F220)/1000000)+BM$85*(GREET1_Import_Export!$B220/1000000)+BM$86*(GREET1_Import_Export!$B288/1000000)+BM$87*SUM(GREET1_Import_Export!$B313:$C313)/1000000</f>
        <v>0.29088266536950613</v>
      </c>
      <c r="BN92" s="548"/>
      <c r="BO92" s="585"/>
      <c r="BP92" s="249">
        <f>BP$81*(1+(GREET1_Import_Export!$B184*GREET1_Import_Export!$F$179+GREET1_Import_Export!$F184)/1000000)+BP$82*(1+(GREET1_Import_Export!$B184*GREET1_Import_Export!$G$179+GREET1_Import_Export!$G184)/1000000)+BP$83*(1+(GREET1_Import_Export!$B184*GREET1_Import_Export!$C$179+GREET1_Import_Export!$C184)/1000000)+BP$84*((GREET1_Import_Export!$E220*GREET1_Import_Export!$F$215+GREET1_Import_Export!$F220)/1000000)+BP$85*(GREET1_Import_Export!$B220/1000000)+BP$86*(GREET1_Import_Export!$B288/1000000)+BP$87*SUM(GREET1_Import_Export!$B313:$C313)/1000000</f>
        <v>0</v>
      </c>
      <c r="BQ92" s="125"/>
      <c r="BR92" s="237"/>
      <c r="BS92" s="748">
        <f>BS$81*(1+(GREET1_Import_Export!$B184*GREET1_Import_Export!$F$179+GREET1_Import_Export!$F184)/1000000)+BS$82*(1+(GREET1_Import_Export!$B184*GREET1_Import_Export!$G$179+GREET1_Import_Export!$G184)/1000000)+BS$83*(1+(GREET1_Import_Export!$B184*GREET1_Import_Export!$C$179+GREET1_Import_Export!$C184)/1000000)+BS$84*(1+(GREET1_Import_Export!$E220*GREET1_Import_Export!$F$215+GREET1_Import_Export!$F220)/1000000)+BS$85*(1+GREET1_Import_Export!$B220/1000000)+BS$86*(1+GREET1_Import_Export!$B288/1000000)+BS$87*(GREET1_Import_Export!$B313+GREET1_Import_Export!$C313)/1000000</f>
        <v>4.3610469011939705E-3</v>
      </c>
      <c r="BT92" s="1070"/>
      <c r="BU92" s="1083"/>
      <c r="BV92" s="748">
        <f>BV$81*(1+(GREET1_Import_Export!$B184*GREET1_Import_Export!$F$179+GREET1_Import_Export!$F184)/1000000)+BV$82*(1+(GREET1_Import_Export!$B184*GREET1_Import_Export!$G$179+GREET1_Import_Export!$G184)/1000000)+BV$83*(1+(GREET1_Import_Export!$B184*GREET1_Import_Export!$C$179+GREET1_Import_Export!$C184)/1000000)+BV$84*((GREET1_Import_Export!$E220*GREET1_Import_Export!$F$215+GREET1_Import_Export!$F220)/1000000)+BV$85*(GREET1_Import_Export!$B220/1000000)+BV$86*(GREET1_Import_Export!$B288/1000000)+BV$87*(GREET1_Import_Export!$B313+GREET1_Import_Export!$C313)/1000000</f>
        <v>0</v>
      </c>
      <c r="BW92" s="1070"/>
      <c r="BX92" s="1083"/>
      <c r="BY92" s="748">
        <f>BY$81*(1+(GREET1_Import_Export!$B184*GREET1_Import_Export!$F$179+GREET1_Import_Export!$F184)/1000000)+BY$82*(1+(GREET1_Import_Export!$B184*GREET1_Import_Export!$G$179+GREET1_Import_Export!$G184)/1000000)+BY$83*(1+(GREET1_Import_Export!$B184*GREET1_Import_Export!$C$179+GREET1_Import_Export!$C184)/1000000)+BY$84*((GREET1_Import_Export!$E220*GREET1_Import_Export!$F$215+GREET1_Import_Export!$F220)/1000000)+BY$85*(GREET1_Import_Export!$B220/1000000)+BY$86*(GREET1_Import_Export!$B288/1000000)+BY$87*(GREET1_Import_Export!$B313+GREET1_Import_Export!$C313)/1000000</f>
        <v>0.15502149344055136</v>
      </c>
      <c r="BZ92" s="1030"/>
      <c r="CA92" s="1083"/>
      <c r="CB92" s="748">
        <f>CB$81*(1+(GREET1_Import_Export!$B184*GREET1_Import_Export!$F$179+GREET1_Import_Export!$F184)/1000000)+CB$82*(1+(GREET1_Import_Export!$B184*GREET1_Import_Export!$G$179+GREET1_Import_Export!$G184)/1000000)+CB$83*(1+(GREET1_Import_Export!$B184*GREET1_Import_Export!$C$179+GREET1_Import_Export!$C184)/1000000)+CB$84*((GREET1_Import_Export!$E220*GREET1_Import_Export!$F$215+GREET1_Import_Export!$F220)/1000000)+CB$85*(GREET1_Import_Export!$B220/1000000)+CB$86*(GREET1_Import_Export!$B288/1000000)+CB$87*(GREET1_Import_Export!$B313+GREET1_Import_Export!$C313)/1000000</f>
        <v>0.43201001844314435</v>
      </c>
      <c r="CC92" s="1070"/>
      <c r="CD92" s="1083"/>
      <c r="CE92" s="771">
        <f>CE$81*(1+(GREET1_Import_Export!$B184*GREET1_Import_Export!$F$179+GREET1_Import_Export!$F184)/1000000)+CE$82*(1+(GREET1_Import_Export!$B184*GREET1_Import_Export!$G$179+GREET1_Import_Export!$G184)/1000000)+CE$83*(1+(GREET1_Import_Export!$B184*GREET1_Import_Export!$C$179+GREET1_Import_Export!$C184)/1000000)+CE$84*((GREET1_Import_Export!$E220*GREET1_Import_Export!$F$215+GREET1_Import_Export!$F220)/1000000)+CE$85*(GREET1_Import_Export!$B220/1000000)+CE$86*(GREET1_Import_Export!$B288/1000000)+CE$87*(GREET1_Import_Export!$B313+GREET1_Import_Export!$C313)/1000000</f>
        <v>0</v>
      </c>
      <c r="CF92" s="1084"/>
      <c r="CG92" s="1321"/>
      <c r="CH92" s="1321"/>
      <c r="CI92" s="1321"/>
      <c r="CJ92" s="1321"/>
      <c r="CK92" s="1321"/>
      <c r="CL92" s="1321"/>
      <c r="CM92" s="1321"/>
      <c r="CN92" s="1321"/>
      <c r="CO92" s="1321"/>
      <c r="CP92" s="1321"/>
      <c r="CQ92" s="1321"/>
      <c r="CR92" s="1321"/>
      <c r="CS92" s="1321"/>
      <c r="CT92" s="1321"/>
      <c r="CU92" s="1321"/>
      <c r="CV92" s="1321"/>
      <c r="CW92" s="1321"/>
      <c r="CX92" s="1321"/>
      <c r="CY92" s="1321"/>
      <c r="CZ92" s="1321"/>
      <c r="DA92" s="1321"/>
      <c r="DB92" s="1321"/>
      <c r="DC92" s="1321"/>
      <c r="DD92" s="1321"/>
      <c r="DE92" s="1321"/>
      <c r="DF92" s="1321"/>
      <c r="DG92" s="1321"/>
      <c r="DH92" s="1321"/>
      <c r="DI92" s="1321"/>
      <c r="DJ92" s="1321"/>
      <c r="DK92" s="1321"/>
      <c r="DL92" s="1321"/>
      <c r="DM92" s="1321"/>
      <c r="DN92" s="1321"/>
      <c r="DO92" s="1321"/>
      <c r="DP92" s="1321"/>
      <c r="DQ92" s="1321"/>
      <c r="DR92" s="1321"/>
      <c r="DS92" s="1321"/>
      <c r="DT92" s="1321"/>
      <c r="DU92" s="1321"/>
      <c r="DV92" s="1321"/>
      <c r="DW92" s="1321"/>
      <c r="DX92" s="1321"/>
      <c r="DY92" s="1321"/>
      <c r="DZ92" s="1321"/>
      <c r="EA92" s="1321"/>
      <c r="EB92" s="1321"/>
      <c r="EC92" s="1321"/>
      <c r="ED92" s="1321"/>
      <c r="EE92" s="1321"/>
      <c r="EF92" s="1321"/>
      <c r="EG92" s="1321"/>
      <c r="EH92" s="1321"/>
      <c r="EI92" s="1321"/>
      <c r="EJ92" s="1321"/>
      <c r="EK92" s="1321"/>
      <c r="EL92" s="1321"/>
      <c r="EM92" s="1321"/>
      <c r="EN92" s="1321"/>
      <c r="EO92" s="1321"/>
      <c r="EP92" s="1321"/>
      <c r="EQ92" s="1321"/>
      <c r="ER92" s="1321"/>
      <c r="ES92" s="1321"/>
      <c r="ET92" s="1321"/>
      <c r="EU92" s="1321"/>
      <c r="EV92" s="1321"/>
      <c r="EW92" s="1321"/>
      <c r="EX92" s="1321"/>
      <c r="EY92" s="1321"/>
      <c r="EZ92" s="1321"/>
      <c r="FA92" s="1321"/>
      <c r="FB92" s="1321"/>
    </row>
    <row r="93" spans="1:158" s="631" customFormat="1">
      <c r="A93" s="1723" t="s">
        <v>819</v>
      </c>
      <c r="B93" s="631">
        <f>B$81*((GREET1_Import_Export!$B185*GREET1_Import_Export!$F$179+GREET1_Import_Export!$F185))+B$82*((GREET1_Import_Export!$B185*GREET1_Import_Export!$G$179+GREET1_Import_Export!$G185))+B$83*((GREET1_Import_Export!$B185*GREET1_Import_Export!$C$179+GREET1_Import_Export!$C185))+B$84*((GREET1_Import_Export!$E221*GREET1_Import_Export!$F$215+GREET1_Import_Export!$F221))+B$85*(GREET1_Import_Export!$B221)+B$86*(GREET1_Import_Export!$B289)+B$87*SUM(GREET1_Import_Export!$B314:$C314)</f>
        <v>0</v>
      </c>
      <c r="C93" s="53"/>
      <c r="D93" s="243"/>
      <c r="E93" s="631">
        <f>E$81*((GREET1_Import_Export!$B185*GREET1_Import_Export!$F$179+GREET1_Import_Export!$F185))+E$82*((GREET1_Import_Export!$B185*GREET1_Import_Export!$G$179+GREET1_Import_Export!$G185))+E$83*((GREET1_Import_Export!$B185*GREET1_Import_Export!$C$179+GREET1_Import_Export!$C185))+E$84*((GREET1_Import_Export!$E221*GREET1_Import_Export!$F$215+GREET1_Import_Export!$F221))+E$85*(GREET1_Import_Export!$B221)+E$86*(GREET1_Import_Export!$B289)+E$87*SUM(GREET1_Import_Export!$B314:$C314)</f>
        <v>0</v>
      </c>
      <c r="F93" s="138">
        <v>123.19297021637</v>
      </c>
      <c r="G93" s="243"/>
      <c r="H93" s="631">
        <f>H$81*((GREET1_Import_Export!$B185*GREET1_Import_Export!$F$179+GREET1_Import_Export!$F185))+H$82*((GREET1_Import_Export!$B185*GREET1_Import_Export!$G$179+GREET1_Import_Export!$G185))+H$83*((GREET1_Import_Export!$B185*GREET1_Import_Export!$C$179+GREET1_Import_Export!$C185))+H$84*((GREET1_Import_Export!$E221*GREET1_Import_Export!$F$215+GREET1_Import_Export!$F221))+H$85*(GREET1_Import_Export!$B221)+H$86*(GREET1_Import_Export!$B289)+H$87*SUM(GREET1_Import_Export!$B314:$C314)</f>
        <v>119.02034651793562</v>
      </c>
      <c r="I93" s="138">
        <v>168.62310984308101</v>
      </c>
      <c r="J93" s="243"/>
      <c r="K93" s="631">
        <f>K$81*((GREET1_Import_Export!$B185*GREET1_Import_Export!$F$179+GREET1_Import_Export!$F185))+K$82*((GREET1_Import_Export!$B185*GREET1_Import_Export!$G$179+GREET1_Import_Export!$G185))+K$83*((GREET1_Import_Export!$B185*GREET1_Import_Export!$C$179+GREET1_Import_Export!$C185))+K$84*((GREET1_Import_Export!$E221*GREET1_Import_Export!$F$215+GREET1_Import_Export!$F221))+K$85*(GREET1_Import_Export!$B221)+K$86*(GREET1_Import_Export!$B289)+K$87*SUM(GREET1_Import_Export!$B314:$C314)</f>
        <v>2355.1697728082127</v>
      </c>
      <c r="L93" s="138"/>
      <c r="M93" s="243"/>
      <c r="N93" s="631">
        <f>N$81*((GREET1_Import_Export!$B185*GREET1_Import_Export!$F$179+GREET1_Import_Export!$F185))+N$82*((GREET1_Import_Export!$B185*GREET1_Import_Export!$G$179+GREET1_Import_Export!$G185))+N$83*((GREET1_Import_Export!$B185*GREET1_Import_Export!$C$179+GREET1_Import_Export!$C185))+N$84*((GREET1_Import_Export!$E221*GREET1_Import_Export!$F$215+GREET1_Import_Export!$F221))+N$85*(GREET1_Import_Export!$B221)+N$86*(GREET1_Import_Export!$B289)+N$87*SUM(GREET1_Import_Export!$B314:$C314)</f>
        <v>119.02034651793562</v>
      </c>
      <c r="O93" s="138">
        <v>168.62310984308101</v>
      </c>
      <c r="P93" s="243"/>
      <c r="Q93" s="522">
        <f>Q$81*((GREET1_Import_Export!$B185*GREET1_Import_Export!$F$179+GREET1_Import_Export!$F185))+Q$82*((GREET1_Import_Export!$B185*GREET1_Import_Export!$G$179+GREET1_Import_Export!$G185))+Q$83*((GREET1_Import_Export!$B185*GREET1_Import_Export!$C$179+GREET1_Import_Export!$C185))+Q$84*((GREET1_Import_Export!$E221*GREET1_Import_Export!$F$215+GREET1_Import_Export!$F221))+Q$85*(GREET1_Import_Export!$B221)+Q$86*(GREET1_Import_Export!$B289)
+Q$87*($B$46*(GREET1_Import_Export!$B314+GREET1_Import_Export!$C314)+$C$46*GREET1_Import_Export!L347+$D$46*GREET1_Import_Export!H347+$E$46*GREET1_Import_Export!Q347+$F$46*GREET1_Import_Export!R347+SUMPRODUCT($G$46:$I$46,GREET1_Import_Export!N347:P347))</f>
        <v>2355.1697728082127</v>
      </c>
      <c r="R93" s="138"/>
      <c r="S93" s="243"/>
      <c r="T93" s="522">
        <f>T$81*((GREET1_Import_Export!$B185*GREET1_Import_Export!$F$179+GREET1_Import_Export!$F185))+T$82*((GREET1_Import_Export!$B185*GREET1_Import_Export!$G$179+GREET1_Import_Export!$G185))+T$83*((GREET1_Import_Export!$B185*GREET1_Import_Export!$C$179+GREET1_Import_Export!$C185))+T$84*((GREET1_Import_Export!$E221*GREET1_Import_Export!$F$215+GREET1_Import_Export!$F221))+T$85*(GREET1_Import_Export!$B221)+T$86*(GREET1_Import_Export!$B289)+T$87*SUM(GREET1_Import_Export!$B314:$C314)</f>
        <v>119.02034651793562</v>
      </c>
      <c r="U93" s="138">
        <v>168.62310984308101</v>
      </c>
      <c r="V93" s="243"/>
      <c r="W93" s="522">
        <f>W$81*((GREET1_Import_Export!$B185*GREET1_Import_Export!$F$179+GREET1_Import_Export!$F185))+W$82*((GREET1_Import_Export!$B185*GREET1_Import_Export!$G$179+GREET1_Import_Export!$G185))+W$83*((GREET1_Import_Export!$B185*GREET1_Import_Export!$C$179+GREET1_Import_Export!$C185))+W$84*((GREET1_Import_Export!$E221*GREET1_Import_Export!$F$215+GREET1_Import_Export!$F221))+W$85*(GREET1_Import_Export!$B221)+W$86*(GREET1_Import_Export!$B289)+W$87*($B$46*(GREET1_Import_Export!$B314+GREET1_Import_Export!$C314)+$C$46*GREET1_Import_Export!L347+$D$46*GREET1_Import_Export!H347+$E$46*GREET1_Import_Export!Q347+$F$46*GREET1_Import_Export!R347+SUMPRODUCT($G$46:$I$46,GREET1_Import_Export!N347:P347))</f>
        <v>2355.1697728082127</v>
      </c>
      <c r="X93" s="138"/>
      <c r="Y93" s="243"/>
      <c r="Z93" s="631">
        <f>Z$81*((GREET1_Import_Export!$B185*GREET1_Import_Export!$F$179+GREET1_Import_Export!$F185))+Z$82*((GREET1_Import_Export!$B185*GREET1_Import_Export!$G$179+GREET1_Import_Export!$G185))+Z$83*((GREET1_Import_Export!$B185*GREET1_Import_Export!$C$179+GREET1_Import_Export!$C185))+Z$84*((GREET1_Import_Export!$E221*GREET1_Import_Export!$F$215+GREET1_Import_Export!$F221))+Z$85*(GREET1_Import_Export!$B221)+Z$86*(GREET1_Import_Export!$B289)+Z$87*SUM(GREET1_Import_Export!$B314:$C314)</f>
        <v>119.02034651793562</v>
      </c>
      <c r="AA93" s="138">
        <v>168.62310984308101</v>
      </c>
      <c r="AB93" s="243"/>
      <c r="AC93" s="522">
        <f>AC$81*((GREET1_Import_Export!$B185*GREET1_Import_Export!$F$179+GREET1_Import_Export!$F185))+AC$82*((GREET1_Import_Export!$B185*GREET1_Import_Export!$G$179+GREET1_Import_Export!$G185))+AC$83*((GREET1_Import_Export!$B185*GREET1_Import_Export!$C$179+GREET1_Import_Export!$C185))+AC$84*((GREET1_Import_Export!$E221*GREET1_Import_Export!$F$215+GREET1_Import_Export!$F221))+AC$85*(GREET1_Import_Export!$B221)+AC$86*(GREET1_Import_Export!$B289)+AC$87*($B$46*(GREET1_Import_Export!$B314+GREET1_Import_Export!$C314)+$C$46*GREET1_Import_Export!L347+$D$46*GREET1_Import_Export!H347+$E$46*GREET1_Import_Export!Q347+$F$46*GREET1_Import_Export!R347+SUMPRODUCT($G$46:$I$46,GREET1_Import_Export!N347:P347))</f>
        <v>2355.1697728082127</v>
      </c>
      <c r="AD93" s="138"/>
      <c r="AE93" s="243"/>
      <c r="AF93" s="631">
        <f>AF$81*((GREET1_Import_Export!$B185*GREET1_Import_Export!$F$179+GREET1_Import_Export!$F185))+AF$82*((GREET1_Import_Export!$B185*GREET1_Import_Export!$G$179+GREET1_Import_Export!$G185))+AF$83*((GREET1_Import_Export!$B185*GREET1_Import_Export!$C$179+GREET1_Import_Export!$C185))+AF$84*((GREET1_Import_Export!$E221*GREET1_Import_Export!$F$215+GREET1_Import_Export!$F221))+AF$85*(GREET1_Import_Export!$B221)+AF$86*(GREET1_Import_Export!$B289)+AF$87*SUM(GREET1_Import_Export!$B314:$C314)</f>
        <v>119.02034651793562</v>
      </c>
      <c r="AG93" s="138">
        <v>168.62310984308101</v>
      </c>
      <c r="AH93" s="139"/>
      <c r="AI93" s="522">
        <f>AI$81*((GREET1_Import_Export!$B185*GREET1_Import_Export!$F$179+GREET1_Import_Export!$F185))+AI$82*((GREET1_Import_Export!$B185*GREET1_Import_Export!$G$179+GREET1_Import_Export!$G185))+AI$83*((GREET1_Import_Export!$B185*GREET1_Import_Export!$C$179+GREET1_Import_Export!$C185))+AI$84*((GREET1_Import_Export!$E221*GREET1_Import_Export!$F$215+GREET1_Import_Export!$F221))+AI$85*(GREET1_Import_Export!$B221)+AI$86*(GREET1_Import_Export!$B289)+AI$87*($B$46*(GREET1_Import_Export!$B314+GREET1_Import_Export!$C314)+$C$46*GREET1_Import_Export!L347+$D$46*GREET1_Import_Export!H347+$E$46*GREET1_Import_Export!Q347+$F$46*GREET1_Import_Export!R347+SUMPRODUCT($G$46:$I$46,GREET1_Import_Export!N347:P347))</f>
        <v>2691.6225974950985</v>
      </c>
      <c r="AJ93" s="138"/>
      <c r="AK93" s="243"/>
      <c r="AL93" s="631">
        <f>AL$81*((GREET1_Import_Export!$B185*GREET1_Import_Export!$F$179+GREET1_Import_Export!$F185))+AL$82*((GREET1_Import_Export!$B185*GREET1_Import_Export!$G$179+GREET1_Import_Export!$G185))+AL$83*((GREET1_Import_Export!$B185*GREET1_Import_Export!$C$179+GREET1_Import_Export!$C185))+AL$84*((GREET1_Import_Export!$E221*GREET1_Import_Export!$F$215+GREET1_Import_Export!$F221))+AL$85*(GREET1_Import_Export!$B221)+AL$86*(GREET1_Import_Export!$B289)+AL$87*SUM(GREET1_Import_Export!$B314:$C314)</f>
        <v>162.9466644819326</v>
      </c>
      <c r="AM93" s="138">
        <v>3367.3285225467844</v>
      </c>
      <c r="AN93" s="243"/>
      <c r="AO93" s="631">
        <f>AO$81*((GREET1_Import_Export!$B185*GREET1_Import_Export!$F$179+GREET1_Import_Export!$F185))+AO$82*((GREET1_Import_Export!$B185*GREET1_Import_Export!$G$179+GREET1_Import_Export!$G185))+AO$83*((GREET1_Import_Export!$B185*GREET1_Import_Export!$C$179+GREET1_Import_Export!$C185))+AO$84*((GREET1_Import_Export!$E221*GREET1_Import_Export!$F$215+GREET1_Import_Export!$F221))+AO$85*(GREET1_Import_Export!$B221)+AO$86*(GREET1_Import_Export!$B289)+AO$87*SUM(GREET1_Import_Export!$B314:$C314)</f>
        <v>2549.0787507694226</v>
      </c>
      <c r="AP93" s="138"/>
      <c r="AQ93" s="243"/>
      <c r="AR93" s="631">
        <f>AR$81*((GREET1_Import_Export!$B185*GREET1_Import_Export!$F$179+GREET1_Import_Export!$F185))+AR$82*((GREET1_Import_Export!$B185*GREET1_Import_Export!$G$179+GREET1_Import_Export!$G185))+AR$83*((GREET1_Import_Export!$B185*GREET1_Import_Export!$C$179+GREET1_Import_Export!$C185))+AR$84*((GREET1_Import_Export!$E221*GREET1_Import_Export!$F$215+GREET1_Import_Export!$F221))+AR$85*(GREET1_Import_Export!$B221)+AR$86*(GREET1_Import_Export!$B289)+AR$87*SUM(GREET1_Import_Export!$B314:$C314)</f>
        <v>96.839558964340327</v>
      </c>
      <c r="AS93" s="53"/>
      <c r="AT93" s="243"/>
      <c r="AU93" s="631">
        <f>AU$81*((GREET1_Import_Export!$B185*GREET1_Import_Export!$F$179+GREET1_Import_Export!$F185))+AU$82*((GREET1_Import_Export!$B185*GREET1_Import_Export!$G$179+GREET1_Import_Export!$G185))+AU$83*((GREET1_Import_Export!$B185*GREET1_Import_Export!$C$179+GREET1_Import_Export!$C185))+AU$84*((GREET1_Import_Export!$E221*GREET1_Import_Export!$F$215+GREET1_Import_Export!$F221))+AU$85*(GREET1_Import_Export!$B221)+AU$86*(GREET1_Import_Export!$B289)+AU$87*SUM(GREET1_Import_Export!$B314:$C314)</f>
        <v>41.526818481356031</v>
      </c>
      <c r="AV93" s="53"/>
      <c r="AW93" s="243"/>
      <c r="AX93" s="631">
        <f>AX$81*((GREET1_Import_Export!$B185*GREET1_Import_Export!$F$179+GREET1_Import_Export!$F185))+AX$82*((GREET1_Import_Export!$B185*GREET1_Import_Export!$G$179+GREET1_Import_Export!$G185))+AX$83*((GREET1_Import_Export!$B185*GREET1_Import_Export!$C$179+GREET1_Import_Export!$C185))+AX$84*((GREET1_Import_Export!$E221*GREET1_Import_Export!$F$215+GREET1_Import_Export!$F221))+AX$85*(GREET1_Import_Export!$B221)+AX$86*(GREET1_Import_Export!$B289)+AX$87*SUM(GREET1_Import_Export!$B314:$C314)</f>
        <v>8.4138877324022214</v>
      </c>
      <c r="AY93" s="53"/>
      <c r="AZ93" s="243"/>
      <c r="BA93" s="631">
        <f>BA$81*((GREET1_Import_Export!$B185*GREET1_Import_Export!$F$179+GREET1_Import_Export!$F185))+BA$82*((GREET1_Import_Export!$B185*GREET1_Import_Export!$G$179+GREET1_Import_Export!$G185))+BA$83*((GREET1_Import_Export!$B185*GREET1_Import_Export!$C$179+GREET1_Import_Export!$C185))+BA$84*((GREET1_Import_Export!$E221*GREET1_Import_Export!$F$215+GREET1_Import_Export!$F221))+BA$85*(GREET1_Import_Export!$B221)+BA$86*(GREET1_Import_Export!$B289)+BA$87*SUM(GREET1_Import_Export!$B314:$C314)</f>
        <v>2018.7169481213266</v>
      </c>
      <c r="BB93" s="53"/>
      <c r="BC93" s="243"/>
      <c r="BD93" s="631">
        <f>BD$81*((GREET1_Import_Export!$B185*GREET1_Import_Export!$F$179+GREET1_Import_Export!$F185))+BD$82*((GREET1_Import_Export!$B185*GREET1_Import_Export!$G$179+GREET1_Import_Export!$G185))+BD$83*((GREET1_Import_Export!$B185*GREET1_Import_Export!$C$179+GREET1_Import_Export!$C185))+BD$84*((GREET1_Import_Export!$E221*GREET1_Import_Export!$F$215+GREET1_Import_Export!$F221))+BD$85*(GREET1_Import_Export!$B221)+BD$86*(GREET1_Import_Export!$B289)+BD$87*SUM(GREET1_Import_Export!$B314:$C314)</f>
        <v>1630.2805796437115</v>
      </c>
      <c r="BE93" s="138"/>
      <c r="BF93" s="139"/>
      <c r="BG93" s="631">
        <f>BG$81*((GREET1_Import_Export!$B185*GREET1_Import_Export!$F$179+GREET1_Import_Export!$F185))+BG$82*((GREET1_Import_Export!$B185*GREET1_Import_Export!$G$179+GREET1_Import_Export!$G185))+BG$83*((GREET1_Import_Export!$B185*GREET1_Import_Export!$C$179+GREET1_Import_Export!$C185))+BG$84*((GREET1_Import_Export!$E221*GREET1_Import_Export!$F$215+GREET1_Import_Export!$F221))+BG$85*(GREET1_Import_Export!$B221)+BG$86*(GREET1_Import_Export!$B289)+BG$87*SUM(GREET1_Import_Export!$B314:$C314)</f>
        <v>89.804659829999309</v>
      </c>
      <c r="BH93" s="138"/>
      <c r="BI93" s="139"/>
      <c r="BJ93" s="631">
        <f>BJ$81*((GREET1_Import_Export!$B185*GREET1_Import_Export!$F$179+GREET1_Import_Export!$F185))+BJ$82*((GREET1_Import_Export!$B185*GREET1_Import_Export!$G$179+GREET1_Import_Export!$G185))+BJ$83*((GREET1_Import_Export!$B185*GREET1_Import_Export!$C$179+GREET1_Import_Export!$C185))+BJ$84*((GREET1_Import_Export!$E221*GREET1_Import_Export!$F$215+GREET1_Import_Export!$F221))+BJ$85*(GREET1_Import_Export!$B221)+BJ$86*(GREET1_Import_Export!$B289)+BJ$87*SUM(GREET1_Import_Export!$B314:$C314)</f>
        <v>275.11748563770135</v>
      </c>
      <c r="BK93" s="138"/>
      <c r="BL93" s="139"/>
      <c r="BM93" s="631">
        <f>BM$81*((GREET1_Import_Export!$B185*GREET1_Import_Export!$F$179+GREET1_Import_Export!$F185))+BM$82*((GREET1_Import_Export!$B185*GREET1_Import_Export!$G$179+GREET1_Import_Export!$G185))+BM$83*((GREET1_Import_Export!$B185*GREET1_Import_Export!$C$179+GREET1_Import_Export!$C185))+BM$84*((GREET1_Import_Export!$E221*GREET1_Import_Export!$F$215+GREET1_Import_Export!$F221))+BM$85*(GREET1_Import_Export!$B221)+BM$86*(GREET1_Import_Export!$B289)+BM$87*SUM(GREET1_Import_Export!$B314:$C314)</f>
        <v>50.015551003478407</v>
      </c>
      <c r="BN93" s="138"/>
      <c r="BO93" s="139"/>
      <c r="BP93" s="631">
        <f>BP$81*((GREET1_Import_Export!$B185*GREET1_Import_Export!$F$179+GREET1_Import_Export!$F185))+BP$82*((GREET1_Import_Export!$B185*GREET1_Import_Export!$G$179+GREET1_Import_Export!$G185))+BP$83*((GREET1_Import_Export!$B185*GREET1_Import_Export!$C$179+GREET1_Import_Export!$C185))+BP$84*((GREET1_Import_Export!$E221*GREET1_Import_Export!$F$215+GREET1_Import_Export!$F221))+BP$85*(GREET1_Import_Export!$B221)+BP$86*(GREET1_Import_Export!$B289)+BP$87*SUM(GREET1_Import_Export!$B314:$C314)</f>
        <v>0</v>
      </c>
      <c r="BQ93" s="53"/>
      <c r="BR93" s="243"/>
      <c r="BS93" s="1085">
        <f>BS$81*((GREET1_Import_Export!$B185*GREET1_Import_Export!$F$179+GREET1_Import_Export!$F185))+BS$82*((GREET1_Import_Export!$B185*GREET1_Import_Export!$G$179+GREET1_Import_Export!$G185))+BS$83*((GREET1_Import_Export!$B185*GREET1_Import_Export!$C$179+GREET1_Import_Export!$C185))+BS$84*((GREET1_Import_Export!$E221*GREET1_Import_Export!$F$215+GREET1_Import_Export!$F221))+BS$85*(GREET1_Import_Export!$B221)+BS$86*(GREET1_Import_Export!$B289)+BS$87*(GREET1_Import_Export!$B314+GREET1_Import_Export!$C314)</f>
        <v>27.17134299406186</v>
      </c>
      <c r="BT93" s="1086"/>
      <c r="BU93" s="1087"/>
      <c r="BV93" s="1085">
        <f>BV$81*((GREET1_Import_Export!$B185*GREET1_Import_Export!$F$179+GREET1_Import_Export!$F185))+BV$82*((GREET1_Import_Export!$B185*GREET1_Import_Export!$G$179+GREET1_Import_Export!$G185))+BV$83*((GREET1_Import_Export!$B185*GREET1_Import_Export!$C$179+GREET1_Import_Export!$C185))+BV$84*((GREET1_Import_Export!$E221*GREET1_Import_Export!$F$215+GREET1_Import_Export!$F221))+BV$85*(GREET1_Import_Export!$B221)+BV$86*(GREET1_Import_Export!$B289)+BV$87*(GREET1_Import_Export!$B314+GREET1_Import_Export!$C314)</f>
        <v>0</v>
      </c>
      <c r="BW93" s="1086"/>
      <c r="BX93" s="1087"/>
      <c r="BY93" s="1085">
        <f>BY$81*((GREET1_Import_Export!$B185*GREET1_Import_Export!$F$179+GREET1_Import_Export!$F185))+BY$82*((GREET1_Import_Export!$B185*GREET1_Import_Export!$G$179+GREET1_Import_Export!$G185))+BY$83*((GREET1_Import_Export!$B185*GREET1_Import_Export!$C$179+GREET1_Import_Export!$C185))+BY$84*((GREET1_Import_Export!$E221*GREET1_Import_Export!$F$215+GREET1_Import_Export!$F221))+BY$85*(GREET1_Import_Export!$B221)+BY$86*(GREET1_Import_Export!$B289)+BY$87*(GREET1_Import_Export!$B314+GREET1_Import_Export!$C314)</f>
        <v>119.02034651793562</v>
      </c>
      <c r="BZ93" s="526">
        <v>168.62310984308101</v>
      </c>
      <c r="CA93" s="1087"/>
      <c r="CB93" s="1085">
        <f>CB$81*((GREET1_Import_Export!$B185*GREET1_Import_Export!$F$179+GREET1_Import_Export!$F185))+CB$82*((GREET1_Import_Export!$B185*GREET1_Import_Export!$G$179+GREET1_Import_Export!$G185))+CB$83*((GREET1_Import_Export!$B185*GREET1_Import_Export!$C$179+GREET1_Import_Export!$C185))+CB$84*((GREET1_Import_Export!$E221*GREET1_Import_Export!$F$215+GREET1_Import_Export!$F221))+CB$85*(GREET1_Import_Export!$B221)+CB$86*(GREET1_Import_Export!$B289)+CB$87*(GREET1_Import_Export!$B314+GREET1_Import_Export!$C314)</f>
        <v>2691.6225974950985</v>
      </c>
      <c r="CC93" s="1086"/>
      <c r="CD93" s="1087"/>
      <c r="CE93" s="1088">
        <f>CE$81*((GREET1_Import_Export!$F$179*GREET1_Import_Export!$B185+GREET1_Import_Export!$F185))+CE$82*((GREET1_Import_Export!$H$179*GREET1_Import_Export!$B185+GREET1_Import_Export!$H185))+CE$83*((GREET1_Import_Export!$C$179*GREET1_Import_Export!$B185+GREET1_Import_Export!$C185))+CE$84*GREET1_Import_Export!$B$10*(GREET1_Import_Export!$F$215*GREET1_Import_Export!$B221+GREET1_Import_Export!$F221)+CE$84*GREET1_Import_Export!$C$10*((GREET1_Import_Export!$E$179*GREET1_Import_Export!$B185+GREET1_Import_Export!$E185))+CE$85*GREET1_Import_Export!$B221+CE$86*GREET1_Import_Export!$B289+CE$87*(GREET1_Import_Export!$B314+GREET1_Import_Export!$C314)</f>
        <v>0</v>
      </c>
      <c r="CF93" s="969">
        <f>W.Al!C94/5.575</f>
        <v>266.54708520179372</v>
      </c>
      <c r="EO93" s="1321"/>
      <c r="EP93" s="1321"/>
      <c r="EQ93" s="1321"/>
      <c r="ER93" s="1321"/>
      <c r="ES93" s="1321"/>
      <c r="ET93" s="1321"/>
      <c r="EU93" s="1321"/>
      <c r="EV93" s="1321"/>
      <c r="EW93" s="1321"/>
      <c r="EX93" s="1321"/>
      <c r="EY93" s="1321"/>
      <c r="EZ93" s="1321"/>
      <c r="FA93" s="1321"/>
      <c r="FB93" s="1321"/>
    </row>
    <row r="94" spans="1:158">
      <c r="A94" s="482" t="s">
        <v>864</v>
      </c>
      <c r="B94" s="240"/>
      <c r="C94" s="131"/>
      <c r="D94" s="50"/>
      <c r="E94" s="240"/>
      <c r="F94" s="131"/>
      <c r="G94" s="50"/>
      <c r="H94" s="240"/>
      <c r="I94" s="131"/>
      <c r="J94" s="50"/>
      <c r="K94" s="240"/>
      <c r="L94" s="131"/>
      <c r="M94" s="50"/>
      <c r="N94" s="240"/>
      <c r="O94" s="131"/>
      <c r="P94" s="50"/>
      <c r="Q94" s="582"/>
      <c r="R94" s="131"/>
      <c r="S94" s="50"/>
      <c r="T94" s="582"/>
      <c r="U94" s="131"/>
      <c r="V94" s="50"/>
      <c r="W94" s="582"/>
      <c r="X94" s="131"/>
      <c r="Y94" s="50"/>
      <c r="Z94" s="240"/>
      <c r="AA94" s="131"/>
      <c r="AB94" s="50"/>
      <c r="AC94" s="582"/>
      <c r="AD94" s="131"/>
      <c r="AE94" s="50"/>
      <c r="AF94" s="240"/>
      <c r="AG94" s="1608"/>
      <c r="AH94" s="525"/>
      <c r="AI94" s="582"/>
      <c r="AJ94" s="131"/>
      <c r="AK94" s="50"/>
      <c r="AL94" s="240"/>
      <c r="AM94" s="131"/>
      <c r="AN94" s="50"/>
      <c r="AO94" s="240"/>
      <c r="AP94" s="131"/>
      <c r="AQ94" s="50"/>
      <c r="AR94" s="240"/>
      <c r="AS94" s="131"/>
      <c r="AT94" s="50"/>
      <c r="AU94" s="240"/>
      <c r="AV94" s="131"/>
      <c r="AW94" s="50"/>
      <c r="AX94" s="240"/>
      <c r="AY94" s="131"/>
      <c r="AZ94" s="50"/>
      <c r="BA94" s="240"/>
      <c r="BB94" s="131"/>
      <c r="BC94" s="50"/>
      <c r="BD94" s="582"/>
      <c r="BE94" s="1608"/>
      <c r="BF94" s="525"/>
      <c r="BG94" s="582"/>
      <c r="BH94" s="1608"/>
      <c r="BI94" s="525"/>
      <c r="BJ94" s="582"/>
      <c r="BK94" s="1608"/>
      <c r="BL94" s="525"/>
      <c r="BM94" s="582"/>
      <c r="BN94" s="1608"/>
      <c r="BO94" s="525"/>
      <c r="BP94" s="240"/>
      <c r="BQ94" s="131"/>
      <c r="BR94" s="50"/>
      <c r="BS94" s="1078"/>
      <c r="BT94" s="557"/>
      <c r="BU94" s="558"/>
      <c r="BV94" s="1078"/>
      <c r="BW94" s="557"/>
      <c r="BX94" s="558"/>
      <c r="BY94" s="1078"/>
      <c r="BZ94" s="524"/>
      <c r="CA94" s="558"/>
      <c r="CB94" s="1078"/>
      <c r="CC94" s="557"/>
      <c r="CD94" s="558"/>
      <c r="CE94" s="1089"/>
      <c r="CF94" s="675"/>
      <c r="CG94" s="1321"/>
      <c r="CH94" s="1321"/>
      <c r="CI94" s="1321"/>
      <c r="CJ94" s="1321"/>
      <c r="CK94" s="1321"/>
      <c r="CL94" s="1321"/>
      <c r="CM94" s="1321"/>
      <c r="CN94" s="1321"/>
      <c r="CO94" s="1321"/>
      <c r="CP94" s="1321"/>
      <c r="CQ94" s="1321"/>
      <c r="CR94" s="1321"/>
      <c r="CS94" s="1321"/>
      <c r="CT94" s="1321"/>
      <c r="CU94" s="1321"/>
      <c r="CV94" s="1321"/>
      <c r="CW94" s="1321"/>
      <c r="CX94" s="1321"/>
      <c r="CY94" s="1321"/>
      <c r="CZ94" s="1321"/>
      <c r="DA94" s="1321"/>
      <c r="DB94" s="1321"/>
      <c r="DC94" s="1321"/>
      <c r="DD94" s="1321"/>
      <c r="DE94" s="1321"/>
      <c r="DF94" s="1321"/>
      <c r="DG94" s="1321"/>
      <c r="DH94" s="1321"/>
      <c r="DI94" s="1321"/>
      <c r="DJ94" s="1321"/>
      <c r="DK94" s="1321"/>
      <c r="DL94" s="1321"/>
      <c r="DM94" s="1321"/>
      <c r="DN94" s="1321"/>
      <c r="DO94" s="1321"/>
      <c r="DP94" s="1321"/>
      <c r="DQ94" s="1321"/>
      <c r="DR94" s="1321"/>
      <c r="DS94" s="1321"/>
      <c r="DT94" s="1321"/>
      <c r="DU94" s="1321"/>
      <c r="DV94" s="1321"/>
      <c r="DW94" s="1321"/>
      <c r="DX94" s="1321"/>
      <c r="DY94" s="1321"/>
      <c r="DZ94" s="1321"/>
      <c r="EA94" s="1321"/>
      <c r="EB94" s="1321"/>
      <c r="EC94" s="1321"/>
      <c r="ED94" s="1321"/>
      <c r="EE94" s="1321"/>
      <c r="EF94" s="1321"/>
      <c r="EG94" s="1321"/>
      <c r="EH94" s="1321"/>
      <c r="EI94" s="1321"/>
      <c r="EJ94" s="1321"/>
      <c r="EK94" s="1321"/>
      <c r="EL94" s="1321"/>
      <c r="EM94" s="1321"/>
      <c r="EN94" s="1321"/>
      <c r="EO94" s="1321"/>
      <c r="EP94" s="1321"/>
      <c r="EQ94" s="1321"/>
      <c r="ER94" s="1321"/>
      <c r="ES94" s="1321"/>
      <c r="ET94" s="1321"/>
      <c r="EU94" s="1321"/>
      <c r="EV94" s="1321"/>
      <c r="EW94" s="1321"/>
      <c r="EX94" s="1321"/>
      <c r="EY94" s="1321"/>
      <c r="EZ94" s="1321"/>
      <c r="FA94" s="1321"/>
      <c r="FB94" s="1321"/>
    </row>
    <row r="95" spans="1:158">
      <c r="A95" s="100" t="s">
        <v>821</v>
      </c>
      <c r="B95" s="234">
        <f>B$81*(B$50*GREET1_Import_Export!$K72+GREET1_Import_Export!$B186*GREET1_Import_Export!$F$179+GREET1_Import_Export!$F186)+B$82*(B$52*GREET1_Import_Export!$Q72+B$53*GREET1_Import_Export!$O72+B$54*GREET1_Import_Export!$M72+GREET1_Import_Export!$B186*GREET1_Import_Export!$G$179+GREET1_Import_Export!$G186)+B$83*(B$55*GREET1_Import_Export!$T72+GREET1_Import_Export!$B186*GREET1_Import_Export!$C$179+GREET1_Import_Export!$C186)+B$84*(B$56*GREET1_Import_Export!$W72+GREET1_Import_Export!$E222*GREET1_Import_Export!$F$215+GREET1_Import_Export!$F222)+B$85*(B$57*GREET1_Import_Export!$B72+B$58*GREET1_Import_Export!$C72+B$59*GREET1_Import_Export!$G72+B$61*'GREET2_Factors_T&amp;D'!$F15+B$62*'GREET2_Factors_T&amp;D'!$G15+GREET1_Import_Export!$B222)+B$86*(B$64*GREET1_Import_Export!$AA72+B$65*GREET1_Import_Export!$AB72+GREET1_Import_Export!$B290)+B$87*SUM(GREET1_Import_Export!$B315:$C315)</f>
        <v>0</v>
      </c>
      <c r="C95" s="1"/>
      <c r="D95" s="235"/>
      <c r="E95" s="234">
        <f>E$81*(C$50*GREET1_Import_Export!$K72+GREET1_Import_Export!$B186*GREET1_Import_Export!$F$179+GREET1_Import_Export!$F186)+E$82*(C$52*GREET1_Import_Export!$Q72+C$53*GREET1_Import_Export!$O72+C$54*GREET1_Import_Export!$M72+GREET1_Import_Export!$B186*GREET1_Import_Export!$G$179+GREET1_Import_Export!$G186)+E$83*(C$55*GREET1_Import_Export!$T72+GREET1_Import_Export!$B186*GREET1_Import_Export!$C$179+GREET1_Import_Export!$C186)+E$84*(C$56*GREET1_Import_Export!$W72+GREET1_Import_Export!$E222*GREET1_Import_Export!$F$215+GREET1_Import_Export!$F222)+E$85*(C$57*GREET1_Import_Export!$B72+C$58*GREET1_Import_Export!$C72+C$59*GREET1_Import_Export!$G72+C$61*'GREET2_Factors_T&amp;D'!$F15+C$62*'GREET2_Factors_T&amp;D'!$G15+GREET1_Import_Export!$B222)+E$86*(C$64*GREET1_Import_Export!$AA72+C$65*GREET1_Import_Export!$AB72+GREET1_Import_Export!$B290)+E$87*SUM(GREET1_Import_Export!$B315:$C315)</f>
        <v>0</v>
      </c>
      <c r="F95" s="1"/>
      <c r="G95" s="235"/>
      <c r="H95" s="234">
        <f>H$81*(D$50*GREET1_Import_Export!$K72+GREET1_Import_Export!$B186*GREET1_Import_Export!$F$179+GREET1_Import_Export!$F186)+H$82*(D$52*GREET1_Import_Export!$Q72+D$53*GREET1_Import_Export!$O72+D$54*GREET1_Import_Export!$M72+GREET1_Import_Export!$B186*GREET1_Import_Export!$G$179+GREET1_Import_Export!$G186)+H$83*(D$55*GREET1_Import_Export!$T72+GREET1_Import_Export!$B186*GREET1_Import_Export!$C$179+GREET1_Import_Export!$C186)+H$84*(D$56*GREET1_Import_Export!$W72+GREET1_Import_Export!$E222*GREET1_Import_Export!$F$215+GREET1_Import_Export!$F222)+H$85*(D$57*GREET1_Import_Export!$B72+D$58*GREET1_Import_Export!$C72+D$59*GREET1_Import_Export!$G72+D$61*'GREET2_Factors_T&amp;D'!$F15+D$62*'GREET2_Factors_T&amp;D'!$G15+GREET1_Import_Export!$B222)+H$86*(D$64*GREET1_Import_Export!$AA72+D$65*GREET1_Import_Export!$AB72+GREET1_Import_Export!$B290)+H$87*SUM(GREET1_Import_Export!$B315:$C315)</f>
        <v>495.34482163689722</v>
      </c>
      <c r="I95" s="1"/>
      <c r="J95" s="235"/>
      <c r="K95" s="234">
        <f>K$81*(E$50*GREET1_Import_Export!$K72+GREET1_Import_Export!$B186*GREET1_Import_Export!$F$179+GREET1_Import_Export!$F186)+K$82*(E$52*GREET1_Import_Export!$Q72+E$53*GREET1_Import_Export!$O72+E$54*GREET1_Import_Export!$M72+GREET1_Import_Export!$B186*GREET1_Import_Export!$G$179+GREET1_Import_Export!$G186)+K$83*(E$55*GREET1_Import_Export!$T72+GREET1_Import_Export!$B186*GREET1_Import_Export!$C$179+GREET1_Import_Export!$C186)+K$84*(E$56*GREET1_Import_Export!$W72+GREET1_Import_Export!$E222*GREET1_Import_Export!$F$215+GREET1_Import_Export!$F222)+K$85*(E$57*GREET1_Import_Export!$B72+E$58*GREET1_Import_Export!$C72+E$59*GREET1_Import_Export!$G72+E$61*'GREET2_Factors_T&amp;D'!$F15+E$62*'GREET2_Factors_T&amp;D'!$G15+GREET1_Import_Export!$B222)+K$86*(E$64*GREET1_Import_Export!$AA72+E$65*GREET1_Import_Export!$AB72+GREET1_Import_Export!$B290)+K$87*SUM(GREET1_Import_Export!$B315:$C315)</f>
        <v>300.27295676329544</v>
      </c>
      <c r="L95" s="1"/>
      <c r="M95" s="235"/>
      <c r="N95" s="234">
        <f>N$81*(F$50*GREET1_Import_Export!$K72+GREET1_Import_Export!$B186*GREET1_Import_Export!$F$179+GREET1_Import_Export!$F186)+N$82*(F$52*GREET1_Import_Export!$Q72+F$53*GREET1_Import_Export!$O72+F$54*GREET1_Import_Export!$M72+GREET1_Import_Export!$B186*GREET1_Import_Export!$G$179+GREET1_Import_Export!$G186)+N$83*(F$55*GREET1_Import_Export!$T72+GREET1_Import_Export!$B186*GREET1_Import_Export!$C$179+GREET1_Import_Export!$C186)+N$84*(F$56*GREET1_Import_Export!$W72+GREET1_Import_Export!$E222*GREET1_Import_Export!$F$215+GREET1_Import_Export!$F222)+N$85*(F$57*GREET1_Import_Export!$B72+F$58*GREET1_Import_Export!$C72+F$59*GREET1_Import_Export!$G72+F$61*'GREET2_Factors_T&amp;D'!$F15+F$62*'GREET2_Factors_T&amp;D'!$G15+GREET1_Import_Export!$B222)+N$86*(F$64*GREET1_Import_Export!$AA72+F$65*GREET1_Import_Export!$AB72+GREET1_Import_Export!$B290)+N$87*SUM(GREET1_Import_Export!$B315:$C315)</f>
        <v>495.34482163689722</v>
      </c>
      <c r="O95" s="1"/>
      <c r="P95" s="235"/>
      <c r="Q95" s="578">
        <f>Q$81*(G$50*GREET1_Import_Export!$K72+GREET1_Import_Export!$B186*GREET1_Import_Export!$F$179+GREET1_Import_Export!$F186)+Q$82*(G$52*GREET1_Import_Export!$Q72+G$53*GREET1_Import_Export!$O72+G$54*GREET1_Import_Export!$M72+GREET1_Import_Export!$B186*GREET1_Import_Export!$G$179+GREET1_Import_Export!$G186)+Q$83*(G$55*GREET1_Import_Export!$T72+GREET1_Import_Export!$B186*GREET1_Import_Export!$C$179+GREET1_Import_Export!$C186)+Q$84*(G$56*GREET1_Import_Export!$W72+GREET1_Import_Export!$E222*GREET1_Import_Export!$F$215+GREET1_Import_Export!$F222)+Q$85*(G$57*GREET1_Import_Export!$B72+G$58*GREET1_Import_Export!$C72+G$59*GREET1_Import_Export!$G72+G$61*'GREET2_Factors_T&amp;D'!$F15+G$62*'GREET2_Factors_T&amp;D'!$G15+GREET1_Import_Export!$B222)+Q$86*(G$64*GREET1_Import_Export!$AA72+G$65*GREET1_Import_Export!$AB72+GREET1_Import_Export!$B290)
+Q$87*($B$46*(GREET1_Import_Export!$B315+GREET1_Import_Export!$C315)+$C$46*GREET1_Import_Export!L348+$D$46*GREET1_Import_Export!H348+$E$46*GREET1_Import_Export!Q348+$F$46*GREET1_Import_Export!R348+SUMPRODUCT($G$46:$I$46,GREET1_Import_Export!N348:P348))</f>
        <v>300.27295676329544</v>
      </c>
      <c r="R95" s="1"/>
      <c r="S95" s="235"/>
      <c r="T95" s="578">
        <f>T$81*(H$50*GREET1_Import_Export!$K72+GREET1_Import_Export!$B186*GREET1_Import_Export!$F$179+GREET1_Import_Export!$F186)+T$82*(H$52*GREET1_Import_Export!$Q72+H$53*GREET1_Import_Export!$O72+H$54*GREET1_Import_Export!$M72+GREET1_Import_Export!$B186*GREET1_Import_Export!$G$179+GREET1_Import_Export!$G186)+T$83*(H$55*GREET1_Import_Export!$T72+GREET1_Import_Export!$B186*GREET1_Import_Export!$C$179+GREET1_Import_Export!$C186)+T$84*(H$56*GREET1_Import_Export!$W72+GREET1_Import_Export!$E222*GREET1_Import_Export!$F$215+GREET1_Import_Export!$F222)+T$85*(H$57*GREET1_Import_Export!$B72+H$58*GREET1_Import_Export!$C72+H$59*GREET1_Import_Export!$G72+H$61*'GREET2_Factors_T&amp;D'!$F15+H$62*'GREET2_Factors_T&amp;D'!$G15+GREET1_Import_Export!$B222)+T$86*(H$64*GREET1_Import_Export!$AA72+H$65*GREET1_Import_Export!$AB72+GREET1_Import_Export!$B290)+T$87*SUM(GREET1_Import_Export!$B315:$C315)</f>
        <v>495.34482163689722</v>
      </c>
      <c r="U95" s="1"/>
      <c r="V95" s="235"/>
      <c r="W95" s="578">
        <f>W$81*(BS$50*GREET1_Import_Export!$K72+GREET1_Import_Export!$B186*GREET1_Import_Export!$F$179+GREET1_Import_Export!$F186)+W$82*(BS$52*GREET1_Import_Export!$Q72+BS$53*GREET1_Import_Export!$O72+BS$54*GREET1_Import_Export!$M72+GREET1_Import_Export!$B186*GREET1_Import_Export!$G$179+GREET1_Import_Export!$G186)+W$83*(BS$55*GREET1_Import_Export!$T72+GREET1_Import_Export!$B186*GREET1_Import_Export!$C$179+GREET1_Import_Export!$C186)+W$84*(BS$56*GREET1_Import_Export!$W72+GREET1_Import_Export!$E222*GREET1_Import_Export!$F$215+GREET1_Import_Export!$F222)+W$85*(BS$57*GREET1_Import_Export!$B72+BS$58*GREET1_Import_Export!$C72+BS$59*GREET1_Import_Export!$G72+BS$61*'GREET2_Factors_T&amp;D'!$F15+BS$62*'GREET2_Factors_T&amp;D'!$G15+GREET1_Import_Export!$B222)+W$86*(BS$64*GREET1_Import_Export!$AA72+BS$65*GREET1_Import_Export!$AB72+GREET1_Import_Export!$B290)+W$87*($B$46*(GREET1_Import_Export!$B315+GREET1_Import_Export!$C315)+$C$46*GREET1_Import_Export!L348+$D$46*GREET1_Import_Export!H348+$E$46*GREET1_Import_Export!Q348+$F$46*GREET1_Import_Export!R348+SUMPRODUCT($G$46:$I$46,GREET1_Import_Export!N348:P348))</f>
        <v>300.27295676329544</v>
      </c>
      <c r="X95" s="1"/>
      <c r="Y95" s="235"/>
      <c r="Z95" s="234">
        <f>Z$81*(J$50*GREET1_Import_Export!$K72+GREET1_Import_Export!$B186*GREET1_Import_Export!$F$179+GREET1_Import_Export!$F186)+Z$82*(J$52*GREET1_Import_Export!$Q72+J$53*GREET1_Import_Export!$O72+J$54*GREET1_Import_Export!$M72+GREET1_Import_Export!$B186*GREET1_Import_Export!$G$179+GREET1_Import_Export!$G186)+Z$83*(J$55*GREET1_Import_Export!$T72+GREET1_Import_Export!$B186*GREET1_Import_Export!$C$179+GREET1_Import_Export!$C186)+Z$84*(J$56*GREET1_Import_Export!$W72+GREET1_Import_Export!$E222*GREET1_Import_Export!$F$215+GREET1_Import_Export!$F222)+Z$85*(J$57*GREET1_Import_Export!$B72+J$58*GREET1_Import_Export!$C72+J$59*GREET1_Import_Export!$G72+J$61*'GREET2_Factors_T&amp;D'!$F15+J$62*'GREET2_Factors_T&amp;D'!$G15+GREET1_Import_Export!$B222)+Z$86*(J$64*GREET1_Import_Export!$AA72+J$65*GREET1_Import_Export!$AB72+GREET1_Import_Export!$B290)+Z$87*SUM(GREET1_Import_Export!$B315:$C315)</f>
        <v>495.34482163689722</v>
      </c>
      <c r="AA95" s="1"/>
      <c r="AB95" s="235"/>
      <c r="AC95" s="578">
        <f>AC$81*(K$50*GREET1_Import_Export!$K72+GREET1_Import_Export!$B186*GREET1_Import_Export!$F$179+GREET1_Import_Export!$F186)+AC$82*(K$52*GREET1_Import_Export!$Q72+K$53*GREET1_Import_Export!$O72+K$54*GREET1_Import_Export!$M72+GREET1_Import_Export!$B186*GREET1_Import_Export!$G$179+GREET1_Import_Export!$G186)+AC$83*(K$55*GREET1_Import_Export!$T72+GREET1_Import_Export!$B186*GREET1_Import_Export!$C$179+GREET1_Import_Export!$C186)+AC$84*(K$56*GREET1_Import_Export!$W72+GREET1_Import_Export!$E222*GREET1_Import_Export!$F$215+GREET1_Import_Export!$F222)+AC$85*(K$57*GREET1_Import_Export!$B72+K$58*GREET1_Import_Export!$C72+K$59*GREET1_Import_Export!$G72+K$61*'GREET2_Factors_T&amp;D'!$F15+K$62*'GREET2_Factors_T&amp;D'!$G15+GREET1_Import_Export!$B222)+AC$86*(K$64*GREET1_Import_Export!$AA72+K$65*GREET1_Import_Export!$AB72+GREET1_Import_Export!$B290)+AC$87*($B$46*(GREET1_Import_Export!$B315+GREET1_Import_Export!$C315)+$C$46*GREET1_Import_Export!L348+$D$46*GREET1_Import_Export!H348+$E$46*GREET1_Import_Export!Q348+$F$46*GREET1_Import_Export!R348+SUMPRODUCT($G$46:$I$46,GREET1_Import_Export!N348:P348))</f>
        <v>300.27295676329544</v>
      </c>
      <c r="AD95" s="1"/>
      <c r="AE95" s="235"/>
      <c r="AF95" s="234">
        <f>AF$81*(L$50*GREET1_Import_Export!$K72+GREET1_Import_Export!$B186*GREET1_Import_Export!$F$179+GREET1_Import_Export!$F186)+AF$82*(L$52*GREET1_Import_Export!$Q72+L$53*GREET1_Import_Export!$O72+L$54*GREET1_Import_Export!$M72+GREET1_Import_Export!$B186*GREET1_Import_Export!$G$179+GREET1_Import_Export!$G186)+AF$83*(L$55*GREET1_Import_Export!$T72+GREET1_Import_Export!$B186*GREET1_Import_Export!$C$179+GREET1_Import_Export!$C186)+AF$84*(L$56*GREET1_Import_Export!$W72+GREET1_Import_Export!$E222*GREET1_Import_Export!$F$215+GREET1_Import_Export!$F222)+AF$85*(L$57*GREET1_Import_Export!$B72+L$58*GREET1_Import_Export!$C72+L$59*GREET1_Import_Export!$G72+L$61*'GREET2_Factors_T&amp;D'!$F15+L$62*'GREET2_Factors_T&amp;D'!$G15+GREET1_Import_Export!$B222)+AF$86*(L$64*GREET1_Import_Export!$AA72+L$65*GREET1_Import_Export!$AB72+GREET1_Import_Export!$B290)+AF$87*SUM(GREET1_Import_Export!$B315:$C315)</f>
        <v>495.34482163689722</v>
      </c>
      <c r="AG95" s="489"/>
      <c r="AH95" s="478"/>
      <c r="AI95" s="578">
        <f>AI$81*(M$50*GREET1_Import_Export!$K72+GREET1_Import_Export!$B186*GREET1_Import_Export!$F$179+GREET1_Import_Export!$F186)+AI$82*(M$52*GREET1_Import_Export!$Q72+M$53*GREET1_Import_Export!$O72+M$54*GREET1_Import_Export!$M72+GREET1_Import_Export!$B186*GREET1_Import_Export!$G$179+GREET1_Import_Export!$G186)+AI$83*(M$55*GREET1_Import_Export!$T72+GREET1_Import_Export!$B186*GREET1_Import_Export!$C$179+GREET1_Import_Export!$C186)+AI$84*(M$56*GREET1_Import_Export!$W72+GREET1_Import_Export!$E222*GREET1_Import_Export!$F$215+GREET1_Import_Export!$F222)+AI$85*(M$57*GREET1_Import_Export!$B72+M$58*GREET1_Import_Export!$C72+M$59*GREET1_Import_Export!$G72+M$61*'GREET2_Factors_T&amp;D'!$F15+M$62*'GREET2_Factors_T&amp;D'!$G15+GREET1_Import_Export!$B222)+AI$86*(M$64*GREET1_Import_Export!$AA72+M$65*GREET1_Import_Export!$AB72+GREET1_Import_Export!$B290)+AI$87*($B$46*(GREET1_Import_Export!$B315+GREET1_Import_Export!$C315)+$C$46*GREET1_Import_Export!L348+$D$46*GREET1_Import_Export!H348+$E$46*GREET1_Import_Export!Q348+$F$46*GREET1_Import_Export!R348+SUMPRODUCT($G$46:$I$46,GREET1_Import_Export!N348:P348))</f>
        <v>343.16909344376603</v>
      </c>
      <c r="AJ95" s="1"/>
      <c r="AK95" s="235"/>
      <c r="AL95" s="234">
        <f>AL$81*(N$50*GREET1_Import_Export!$K72+GREET1_Import_Export!$B186*GREET1_Import_Export!$F$179+GREET1_Import_Export!$F186)+AL$82*(N$52*GREET1_Import_Export!$Q72+N$53*GREET1_Import_Export!$O72+N$54*GREET1_Import_Export!$M72+GREET1_Import_Export!$B186*GREET1_Import_Export!$G$179+GREET1_Import_Export!$G186)+AL$83*(N$55*GREET1_Import_Export!$T72+GREET1_Import_Export!$B186*GREET1_Import_Export!$C$179+GREET1_Import_Export!$C186)+AL$84*(N$56*GREET1_Import_Export!$W72+GREET1_Import_Export!$E222*GREET1_Import_Export!$F$215+GREET1_Import_Export!$F222)+AL$85*(N$57*GREET1_Import_Export!$B72+N$58*GREET1_Import_Export!$C72+N$59*GREET1_Import_Export!$G72+N$61*'GREET2_Factors_T&amp;D'!$F15+N$62*'GREET2_Factors_T&amp;D'!$G15+GREET1_Import_Export!$B222)+AL$86*(N$64*GREET1_Import_Export!$AA72+N$65*GREET1_Import_Export!$AB72+GREET1_Import_Export!$B290)+AL$87*SUM(GREET1_Import_Export!$B315:$C315)</f>
        <v>405.90912028679463</v>
      </c>
      <c r="AM95" s="1"/>
      <c r="AN95" s="235"/>
      <c r="AO95" s="234">
        <f>AO$81*(O$50*GREET1_Import_Export!$K72+GREET1_Import_Export!$B186*GREET1_Import_Export!$F$179+GREET1_Import_Export!$F186)+AO$82*(O$52*GREET1_Import_Export!$Q72+O$53*GREET1_Import_Export!$O72+O$54*GREET1_Import_Export!$M72+GREET1_Import_Export!$B186*GREET1_Import_Export!$G$179+GREET1_Import_Export!$G186)+AO$83*(O$55*GREET1_Import_Export!$T72+GREET1_Import_Export!$B186*GREET1_Import_Export!$C$179+GREET1_Import_Export!$C186)+AO$84*(O$56*GREET1_Import_Export!$W72+GREET1_Import_Export!$E222*GREET1_Import_Export!$F$215+GREET1_Import_Export!$F222)+AO$85*(O$57*GREET1_Import_Export!$B72+O$58*GREET1_Import_Export!$C72+O$59*GREET1_Import_Export!$G72+O$61*'GREET2_Factors_T&amp;D'!$F15+O$62*'GREET2_Factors_T&amp;D'!$G15+GREET1_Import_Export!$B222)+AO$86*(O$64*GREET1_Import_Export!$AA72+O$65*GREET1_Import_Export!$AB72+GREET1_Import_Export!$B290)+AO$87*SUM(GREET1_Import_Export!$B315:$C315)</f>
        <v>324.99543020347352</v>
      </c>
      <c r="AP95" s="1"/>
      <c r="AQ95" s="235"/>
      <c r="AR95" s="234">
        <f>AR$81*(P$50*GREET1_Import_Export!$K72+GREET1_Import_Export!$B186*GREET1_Import_Export!$F$179+GREET1_Import_Export!$F186)+AR$82*(P$52*GREET1_Import_Export!$Q72+P$53*GREET1_Import_Export!$O72+P$54*GREET1_Import_Export!$M72+GREET1_Import_Export!$B186*GREET1_Import_Export!$G$179+GREET1_Import_Export!$G186)+AR$83*(P$55*GREET1_Import_Export!$T72+GREET1_Import_Export!$B186*GREET1_Import_Export!$C$179+GREET1_Import_Export!$C186)+AR$84*(P$56*GREET1_Import_Export!$W72+GREET1_Import_Export!$E222*GREET1_Import_Export!$F$215+GREET1_Import_Export!$F222)+AR$85*(P$57*GREET1_Import_Export!$B72+P$58*GREET1_Import_Export!$C72+P$59*GREET1_Import_Export!$G72+P$61*'GREET2_Factors_T&amp;D'!$F15+P$62*'GREET2_Factors_T&amp;D'!$G15+GREET1_Import_Export!$B222)+AR$86*(P$64*GREET1_Import_Export!$AA72+P$65*GREET1_Import_Export!$AB72+GREET1_Import_Export!$B290)+AR$87*SUM(GREET1_Import_Export!$B315:$C315)</f>
        <v>403.03171235817507</v>
      </c>
      <c r="AS95" s="1"/>
      <c r="AT95" s="235"/>
      <c r="AU95" s="234">
        <f>AU$81*(Q$50*GREET1_Import_Export!$K72+GREET1_Import_Export!$B186*GREET1_Import_Export!$F$179+GREET1_Import_Export!$F186)+AU$82*(Q$52*GREET1_Import_Export!$Q72+Q$53*GREET1_Import_Export!$O72+Q$54*GREET1_Import_Export!$M72+GREET1_Import_Export!$B186*GREET1_Import_Export!$G$179+GREET1_Import_Export!$G186)+AU$83*(Q$55*GREET1_Import_Export!$T72+GREET1_Import_Export!$B186*GREET1_Import_Export!$C$179+GREET1_Import_Export!$C186)+AU$84*(Q$56*GREET1_Import_Export!$W72+GREET1_Import_Export!$E222*GREET1_Import_Export!$F$215+GREET1_Import_Export!$F222)+AU$85*(Q$57*GREET1_Import_Export!$B72+Q$58*GREET1_Import_Export!$C72+Q$59*GREET1_Import_Export!$G72+Q$61*'GREET2_Factors_T&amp;D'!$F15+Q$62*'GREET2_Factors_T&amp;D'!$G15+GREET1_Import_Export!$B222)+AU$86*(Q$64*GREET1_Import_Export!$AA72+Q$65*GREET1_Import_Export!$AB72+GREET1_Import_Export!$B290)+AU$87*SUM(GREET1_Import_Export!$B315:$C315)</f>
        <v>904.25362265505635</v>
      </c>
      <c r="AV95" s="1"/>
      <c r="AW95" s="235"/>
      <c r="AX95" s="234">
        <f>AX$81*(R$50*GREET1_Import_Export!$K72+GREET1_Import_Export!$B186*GREET1_Import_Export!$F$179+GREET1_Import_Export!$F186)+AX$82*(R$52*GREET1_Import_Export!$Q72+R$53*GREET1_Import_Export!$O72+R$54*GREET1_Import_Export!$M72+GREET1_Import_Export!$B186*GREET1_Import_Export!$G$179+GREET1_Import_Export!$G186)+AX$83*(R$55*GREET1_Import_Export!$T72+GREET1_Import_Export!$B186*GREET1_Import_Export!$C$179+GREET1_Import_Export!$C186)+AX$84*(R$56*GREET1_Import_Export!$W72+GREET1_Import_Export!$E222*GREET1_Import_Export!$F$215+GREET1_Import_Export!$F222)+AX$85*(R$57*GREET1_Import_Export!$B72+R$58*GREET1_Import_Export!$C72+R$59*GREET1_Import_Export!$G72+R$61*'GREET2_Factors_T&amp;D'!$F15+R$62*'GREET2_Factors_T&amp;D'!$G15+GREET1_Import_Export!$B222)+AX$86*(R$64*GREET1_Import_Export!$AA72+R$65*GREET1_Import_Export!$AB72+GREET1_Import_Export!$B290)+AX$87*SUM(GREET1_Import_Export!$B315:$C315)</f>
        <v>301.08313812757467</v>
      </c>
      <c r="AY95" s="1"/>
      <c r="AZ95" s="235"/>
      <c r="BA95" s="234">
        <f>BA$81*(S$50*GREET1_Import_Export!$K72+GREET1_Import_Export!$B186*GREET1_Import_Export!$F$179+GREET1_Import_Export!$F186)+BA$82*(S$52*GREET1_Import_Export!$Q72+S$53*GREET1_Import_Export!$O72+S$54*GREET1_Import_Export!$M72+GREET1_Import_Export!$B186*GREET1_Import_Export!$G$179+GREET1_Import_Export!$G186)+BA$83*(S$55*GREET1_Import_Export!$T72+GREET1_Import_Export!$B186*GREET1_Import_Export!$C$179+GREET1_Import_Export!$C186)+BA$84*(S$56*GREET1_Import_Export!$W72+GREET1_Import_Export!$E222*GREET1_Import_Export!$F$215+GREET1_Import_Export!$F222)+BA$85*(S$57*GREET1_Import_Export!$B72+S$58*GREET1_Import_Export!$C72+S$59*GREET1_Import_Export!$G72+S$61*'GREET2_Factors_T&amp;D'!$F15+S$62*'GREET2_Factors_T&amp;D'!$G15+GREET1_Import_Export!$B222)+BA$86*(S$64*GREET1_Import_Export!$AA72+S$65*GREET1_Import_Export!$AB72+GREET1_Import_Export!$B290)+BA$87*SUM(GREET1_Import_Export!$B315:$C315)</f>
        <v>257.37682008282485</v>
      </c>
      <c r="BB95" s="1"/>
      <c r="BC95" s="235"/>
      <c r="BD95" s="578">
        <f>BD$81*(T$50*GREET1_Import_Export!$K72+GREET1_Import_Export!$B186*GREET1_Import_Export!$F$179+GREET1_Import_Export!$F186)+BD$82*(T$52*GREET1_Import_Export!$Q72+T$53*GREET1_Import_Export!$O72+T$54*GREET1_Import_Export!$M72+GREET1_Import_Export!$B186*GREET1_Import_Export!$G$179+GREET1_Import_Export!$G186)+BD$83*(T$55*GREET1_Import_Export!$T72+GREET1_Import_Export!$B186*GREET1_Import_Export!$C$179+GREET1_Import_Export!$C186)+BD$84*(T$56*GREET1_Import_Export!$W72+GREET1_Import_Export!$E222*GREET1_Import_Export!$F$215+GREET1_Import_Export!$F222)+BD$85*(T$57*GREET1_Import_Export!$B72+T$58*GREET1_Import_Export!$C72+T$59*GREET1_Import_Export!$G72+T$61*'GREET2_Factors_T&amp;D'!$F15+T$62*'GREET2_Factors_T&amp;D'!$G15+GREET1_Import_Export!$B222)+BD$86*(T$64*GREET1_Import_Export!$AA72+T$65*GREET1_Import_Export!$AB72+GREET1_Import_Export!$B290)+BD$87*SUM(GREET1_Import_Export!$B315:$C315)</f>
        <v>207.85302853972217</v>
      </c>
      <c r="BE95" s="489"/>
      <c r="BF95" s="478"/>
      <c r="BG95" s="578">
        <f>BG$81*(U$50*GREET1_Import_Export!$K72+GREET1_Import_Export!$B186*GREET1_Import_Export!$F$179+GREET1_Import_Export!$F186)+BG$82*(U$52*GREET1_Import_Export!$Q72+U$53*GREET1_Import_Export!$O72+U$54*GREET1_Import_Export!$M72+GREET1_Import_Export!$B186*GREET1_Import_Export!$G$179+GREET1_Import_Export!$G186)+BG$83*(U$55*GREET1_Import_Export!$T72+GREET1_Import_Export!$B186*GREET1_Import_Export!$C$179+GREET1_Import_Export!$C186)+BG$84*(U$56*GREET1_Import_Export!$W72+GREET1_Import_Export!$E222*GREET1_Import_Export!$F$215+GREET1_Import_Export!$F222)+BG$85*(U$57*GREET1_Import_Export!$B72+U$58*GREET1_Import_Export!$C72+U$59*GREET1_Import_Export!$G72+U$61*'GREET2_Factors_T&amp;D'!$F15+U$62*'GREET2_Factors_T&amp;D'!$G15+GREET1_Import_Export!$B222)+BG$86*(U$64*GREET1_Import_Export!$AA72+U$65*GREET1_Import_Export!$AB72+GREET1_Import_Export!$B290)+BG$87*SUM(GREET1_Import_Export!$B315:$C315)</f>
        <v>373.75351784032767</v>
      </c>
      <c r="BH95" s="489"/>
      <c r="BI95" s="478"/>
      <c r="BJ95" s="578">
        <f>BJ$81*(V$50*GREET1_Import_Export!$K72+GREET1_Import_Export!$B186*GREET1_Import_Export!$F$179+GREET1_Import_Export!$F186)+BJ$82*(V$52*GREET1_Import_Export!$Q72+V$53*GREET1_Import_Export!$O72+V$54*GREET1_Import_Export!$M72+GREET1_Import_Export!$B186*GREET1_Import_Export!$G$179+GREET1_Import_Export!$G186)+BJ$83*(V$55*GREET1_Import_Export!$T72+GREET1_Import_Export!$B186*GREET1_Import_Export!$C$179+GREET1_Import_Export!$C186)+BJ$84*(V$56*GREET1_Import_Export!$W72+GREET1_Import_Export!$E222*GREET1_Import_Export!$F$215+GREET1_Import_Export!$F222)+BJ$85*(V$57*GREET1_Import_Export!$B72+V$58*GREET1_Import_Export!$C72+V$59*GREET1_Import_Export!$G72+V$61*'GREET2_Factors_T&amp;D'!$F15+V$62*'GREET2_Factors_T&amp;D'!$G15+GREET1_Import_Export!$B222)+BJ$86*(V$64*GREET1_Import_Export!$AA72+V$65*GREET1_Import_Export!$AB72+GREET1_Import_Export!$B290)+BJ$87*SUM(GREET1_Import_Export!$B315:$C315)</f>
        <v>35.076172352201475</v>
      </c>
      <c r="BK95" s="489"/>
      <c r="BL95" s="478"/>
      <c r="BM95" s="578">
        <f>BM$81*(X$50*GREET1_Import_Export!$K72+GREET1_Import_Export!$B186*GREET1_Import_Export!$F$179+GREET1_Import_Export!$F186)+BM$82*(X$52*GREET1_Import_Export!$Q72+X$53*GREET1_Import_Export!$O72+X$54*GREET1_Import_Export!$M72+GREET1_Import_Export!$B186*GREET1_Import_Export!$G$179+GREET1_Import_Export!$G186)+BM$83*(X$55*GREET1_Import_Export!$T72+GREET1_Import_Export!$B186*GREET1_Import_Export!$C$179+GREET1_Import_Export!$C186)+BM$84*(X$56*GREET1_Import_Export!$W72+GREET1_Import_Export!$E222*GREET1_Import_Export!$F$215+GREET1_Import_Export!$F222)+BM$85*(X$57*GREET1_Import_Export!$B72+X$58*GREET1_Import_Export!$C72+X$59*GREET1_Import_Export!$G72+X$61*'GREET2_Factors_T&amp;D'!$F15+X$62*'GREET2_Factors_T&amp;D'!$G15+GREET1_Import_Export!$B222)+BM$86*(X$64*GREET1_Import_Export!$AA72+X$65*GREET1_Import_Export!$AB72+GREET1_Import_Export!$B290)+BM$87*SUM(GREET1_Import_Export!$B315:$C315)</f>
        <v>7.7031153668501418</v>
      </c>
      <c r="BN95" s="489"/>
      <c r="BO95" s="478"/>
      <c r="BP95" s="234">
        <f>BP$81*(Z$50*GREET1_Import_Export!$K72+GREET1_Import_Export!$B186*GREET1_Import_Export!$F$179+GREET1_Import_Export!$F186)+BP$82*(Z$52*GREET1_Import_Export!$Q72+Z$53*GREET1_Import_Export!$O72+Z$54*GREET1_Import_Export!$M72+GREET1_Import_Export!$B186*GREET1_Import_Export!$G$179+GREET1_Import_Export!$G186)+BP$83*(Z$55*GREET1_Import_Export!$T72+GREET1_Import_Export!$B186*GREET1_Import_Export!$C$179+GREET1_Import_Export!$C186)+BP$84*(Z$56*GREET1_Import_Export!$W72+GREET1_Import_Export!$E222*GREET1_Import_Export!$F$215+GREET1_Import_Export!$F222)+BP$85*(Z$57*GREET1_Import_Export!$B72+Z$58*GREET1_Import_Export!$C72+Z$59*GREET1_Import_Export!$G72+Z$61*'GREET2_Factors_T&amp;D'!$F15+Z$62*'GREET2_Factors_T&amp;D'!$G15+GREET1_Import_Export!$B222)+BP$86*(Z$64*GREET1_Import_Export!$AA72+Z$65*GREET1_Import_Export!$AB72+GREET1_Import_Export!$B290)+BP$87*SUM(GREET1_Import_Export!$B315:$C315)</f>
        <v>0</v>
      </c>
      <c r="BQ95" s="1"/>
      <c r="BR95" s="235"/>
      <c r="BS95" s="753">
        <f>BS$81*(AA$50*GREET1_Import_Export!$K72+GREET1_Import_Export!$B186*GREET1_Import_Export!$F$179+GREET1_Import_Export!$F186)+BS$82*(AA$52*GREET1_Import_Export!$Q72+AA$53*GREET1_Import_Export!$O72+AA$54*GREET1_Import_Export!$M72+GREET1_Import_Export!$B186*GREET1_Import_Export!$G$179+GREET1_Import_Export!$G186)+BS$83*(AA$55*GREET1_Import_Export!$T72+GREET1_Import_Export!$B186*GREET1_Import_Export!$C$179+GREET1_Import_Export!$C186)+BS$84*(AA$56*GREET1_Import_Export!$W72+GREET1_Import_Export!$E222*GREET1_Import_Export!$F$215+GREET1_Import_Export!$F222)+BS$85*(AA$57*GREET1_Import_Export!$B72+AA$58*GREET1_Import_Export!$C72+AA$59*GREET1_Import_Export!$G72+AA$61*'GREET2_Factors_T&amp;D'!$F15+AA$62*'GREET2_Factors_T&amp;D'!$G15+GREET1_Import_Export!$B222)+BS$86*(AA$64*GREET1_Import_Export!$AA72+AA$65*GREET1_Import_Export!$AB72+GREET1_Import_Export!$B290)+BS$87*(GREET1_Import_Export!$B315+GREET1_Import_Export!$C315)</f>
        <v>3.4642171423287031</v>
      </c>
      <c r="BT95" s="350"/>
      <c r="BU95" s="1082"/>
      <c r="BV95" s="753">
        <f>BV$81*(AB$50*GREET1_Import_Export!$K72+GREET1_Import_Export!$B186*GREET1_Import_Export!$F$179+GREET1_Import_Export!$F186)+BV$82*(AB$52*GREET1_Import_Export!$Q72+AB$53*GREET1_Import_Export!$O72+AB$54*GREET1_Import_Export!$M72+GREET1_Import_Export!$B186*GREET1_Import_Export!$G$179+GREET1_Import_Export!$G186)+BV$83*(AB$55*GREET1_Import_Export!$T72+GREET1_Import_Export!$B186*GREET1_Import_Export!$C$179+GREET1_Import_Export!$C186)+BV$84*(AB$56*GREET1_Import_Export!$W72+GREET1_Import_Export!$E222*GREET1_Import_Export!$F$215+GREET1_Import_Export!$F222)+BV$85*(AB$57*GREET1_Import_Export!$B72+AB$58*GREET1_Import_Export!$C72+AB$59*GREET1_Import_Export!$G72+AB$61*'GREET2_Factors_T&amp;D'!$F15+AB$62*'GREET2_Factors_T&amp;D'!$G15+GREET1_Import_Export!$B222)+BV$86*(AB$64*GREET1_Import_Export!$AA72+AB$65*GREET1_Import_Export!$AB72+GREET1_Import_Export!$B290)+BV$87*(GREET1_Import_Export!$B315+GREET1_Import_Export!$C315)</f>
        <v>0</v>
      </c>
      <c r="BW95" s="350"/>
      <c r="BX95" s="1082"/>
      <c r="BY95" s="753">
        <f>BY$81*(AC$50*GREET1_Import_Export!$K72+GREET1_Import_Export!$B186*GREET1_Import_Export!$F$179+GREET1_Import_Export!$F186)+BY$82*(AC$52*GREET1_Import_Export!$Q72+AC$53*GREET1_Import_Export!$O72+AC$54*GREET1_Import_Export!$M72+GREET1_Import_Export!$B186*GREET1_Import_Export!$G$179+GREET1_Import_Export!$G186)+BY$83*(AC$55*GREET1_Import_Export!$T72+GREET1_Import_Export!$B186*GREET1_Import_Export!$C$179+GREET1_Import_Export!$C186)+BY$84*(AC$56*GREET1_Import_Export!$W72+GREET1_Import_Export!$E222*GREET1_Import_Export!$F$215+GREET1_Import_Export!$F222)+BY$85*(AC$57*GREET1_Import_Export!$B72+AC$58*GREET1_Import_Export!$C72+AC$59*GREET1_Import_Export!$G72+AC$61*'GREET2_Factors_T&amp;D'!$F15+AC$62*'GREET2_Factors_T&amp;D'!$G15+GREET1_Import_Export!$B222)+BY$86*(AC$64*GREET1_Import_Export!$AA72+AC$65*GREET1_Import_Export!$AB72+GREET1_Import_Export!$B290)+BY$87*(GREET1_Import_Export!$B315+GREET1_Import_Export!$C315)</f>
        <v>495.34482163689722</v>
      </c>
      <c r="BZ95" s="363"/>
      <c r="CA95" s="1082"/>
      <c r="CB95" s="753">
        <f>CB$81*(AD$50*GREET1_Import_Export!$K72+GREET1_Import_Export!$B186*GREET1_Import_Export!$F$179+GREET1_Import_Export!$F186)+CB$82*(AD$52*GREET1_Import_Export!$Q72+AD$53*GREET1_Import_Export!$O72+AD$54*GREET1_Import_Export!$M72+GREET1_Import_Export!$B186*GREET1_Import_Export!$G$179+GREET1_Import_Export!$G186)+CB$83*(AD$55*GREET1_Import_Export!$T72+GREET1_Import_Export!$B186*GREET1_Import_Export!$C$179+GREET1_Import_Export!$C186)+CB$84*(AD$56*GREET1_Import_Export!$W72+GREET1_Import_Export!$E222*GREET1_Import_Export!$F$215+GREET1_Import_Export!$F222)+CB$85*(AD$57*GREET1_Import_Export!$B72+AD$58*GREET1_Import_Export!$C72+AD$59*GREET1_Import_Export!$G72+AD$61*'GREET2_Factors_T&amp;D'!$F15+AD$62*'GREET2_Factors_T&amp;D'!$G15+GREET1_Import_Export!$B222)+CB$86*(AD$64*GREET1_Import_Export!$AA72+AD$65*GREET1_Import_Export!$AB72+GREET1_Import_Export!$B290)+CB$87*(GREET1_Import_Export!$B315+GREET1_Import_Export!$C315)</f>
        <v>343.16909344376603</v>
      </c>
      <c r="CC95" s="350"/>
      <c r="CD95" s="1082"/>
      <c r="CE95" s="749">
        <f>CE$81*($AE$50*GREET1_Import_Export!$K72+GREET1_Import_Export!$F$179*GREET1_Import_Export!$B186+GREET1_Import_Export!$F186)+CE$82*(GREET1_Import_Export!$R72+GREET1_Import_Export!$H$179*GREET1_Import_Export!$B186+GREET1_Import_Export!$H186)+CE$83*(GREET1_Import_Export!$T72+GREET1_Import_Export!$C$179*GREET1_Import_Export!$B186+GREET1_Import_Export!$C186)+CE$84*(GREET1_Import_Export!$X72+GREET1_Import_Export!$B$10*(GREET1_Import_Export!$F$215*GREET1_Import_Export!$B222+GREET1_Import_Export!$F222)+GREET1_Import_Export!$C$10*(GREET1_Import_Export!$E$179*GREET1_Import_Export!$B186+GREET1_Import_Export!$E186))+CE$85*($AE$57*GREET1_Import_Export!$B72+GREET1_Import_Export!$B222)+CE$86*($AE$64 *GREET1_Import_Export!$AA72+GREET1_Import_Export!$B290)+CE$87*(GREET1_Import_Export!$B315+GREET1_Import_Export!$C315)</f>
        <v>0</v>
      </c>
      <c r="CF95" s="817"/>
      <c r="CG95" s="1321"/>
      <c r="CH95" s="1321"/>
      <c r="CI95" s="1321"/>
      <c r="CJ95" s="1321"/>
      <c r="CK95" s="1321"/>
      <c r="CL95" s="1321"/>
      <c r="CM95" s="1321"/>
      <c r="CN95" s="1321"/>
      <c r="CO95" s="1321"/>
      <c r="CP95" s="1321"/>
      <c r="CQ95" s="1321"/>
      <c r="CR95" s="1321"/>
      <c r="CS95" s="1321"/>
      <c r="CT95" s="1321"/>
      <c r="CU95" s="1321"/>
      <c r="CV95" s="1321"/>
      <c r="CW95" s="1321"/>
      <c r="CX95" s="1321"/>
      <c r="CY95" s="1321"/>
      <c r="CZ95" s="1321"/>
      <c r="DA95" s="1321"/>
      <c r="DB95" s="1321"/>
      <c r="DC95" s="1321"/>
      <c r="DD95" s="1321"/>
      <c r="DE95" s="1321"/>
      <c r="DF95" s="1321"/>
      <c r="DG95" s="1321"/>
      <c r="DH95" s="1321"/>
      <c r="DI95" s="1321"/>
      <c r="DJ95" s="1321"/>
      <c r="DK95" s="1321"/>
      <c r="DL95" s="1321"/>
      <c r="DM95" s="1321"/>
      <c r="DN95" s="1321"/>
      <c r="DO95" s="1321"/>
      <c r="DP95" s="1321"/>
      <c r="DQ95" s="1321"/>
      <c r="DR95" s="1321"/>
      <c r="DS95" s="1321"/>
      <c r="DT95" s="1321"/>
      <c r="DU95" s="1321"/>
      <c r="DV95" s="1321"/>
      <c r="DW95" s="1321"/>
      <c r="DX95" s="1321"/>
      <c r="DY95" s="1321"/>
      <c r="DZ95" s="1321"/>
      <c r="EA95" s="1321"/>
      <c r="EB95" s="1321"/>
      <c r="EC95" s="1321"/>
      <c r="ED95" s="1321"/>
      <c r="EE95" s="1321"/>
      <c r="EF95" s="1321"/>
      <c r="EG95" s="1321"/>
      <c r="EH95" s="1321"/>
      <c r="EI95" s="1321"/>
      <c r="EJ95" s="1321"/>
      <c r="EK95" s="1321"/>
      <c r="EL95" s="1321"/>
      <c r="EM95" s="1321"/>
      <c r="EN95" s="1321"/>
      <c r="EO95" s="1321"/>
      <c r="EP95" s="1321"/>
      <c r="EQ95" s="1321"/>
      <c r="ER95" s="1321"/>
      <c r="ES95" s="1321"/>
      <c r="ET95" s="1321"/>
      <c r="EU95" s="1321"/>
      <c r="EV95" s="1321"/>
      <c r="EW95" s="1321"/>
      <c r="EX95" s="1321"/>
      <c r="EY95" s="1321"/>
      <c r="EZ95" s="1321"/>
      <c r="FA95" s="1321"/>
      <c r="FB95" s="1321"/>
    </row>
    <row r="96" spans="1:158">
      <c r="A96" s="100" t="s">
        <v>822</v>
      </c>
      <c r="B96" s="234">
        <f>B$81*(B$50*GREET1_Import_Export!$K73+GREET1_Import_Export!$B187*GREET1_Import_Export!$F$179+GREET1_Import_Export!$F187)+B$82*(B$52*GREET1_Import_Export!$Q73+B$53*GREET1_Import_Export!$O73+B$54*GREET1_Import_Export!$M73+GREET1_Import_Export!$B187*GREET1_Import_Export!$G$179+GREET1_Import_Export!$G187)+B$83*(B$55*GREET1_Import_Export!$T73+GREET1_Import_Export!$B187*GREET1_Import_Export!$C$179+GREET1_Import_Export!$C187)+B$84*(B$56*GREET1_Import_Export!$W73+GREET1_Import_Export!$E223*GREET1_Import_Export!$F$215+GREET1_Import_Export!$F223)+B$85*(B$57*GREET1_Import_Export!$B73+B$58*GREET1_Import_Export!$C73+B$59*GREET1_Import_Export!$G73+B$61*'GREET2_Factors_T&amp;D'!$F16+B$62*'GREET2_Factors_T&amp;D'!$G16+GREET1_Import_Export!$B223)+B$86*(B$64*GREET1_Import_Export!$AA73+B$65*GREET1_Import_Export!$AB73+GREET1_Import_Export!$B291)+B$87*SUM(GREET1_Import_Export!$B316:$C316)</f>
        <v>0</v>
      </c>
      <c r="C96" s="1"/>
      <c r="D96" s="235"/>
      <c r="E96" s="234">
        <f>E$81*(C$50*GREET1_Import_Export!$K73+GREET1_Import_Export!$B187*GREET1_Import_Export!$F$179+GREET1_Import_Export!$F187)+E$82*(C$52*GREET1_Import_Export!$Q73+C$53*GREET1_Import_Export!$O73+C$54*GREET1_Import_Export!$M73+GREET1_Import_Export!$B187*GREET1_Import_Export!$G$179+GREET1_Import_Export!$G187)+E$83*(C$55*GREET1_Import_Export!$T73+GREET1_Import_Export!$B187*GREET1_Import_Export!$C$179+GREET1_Import_Export!$C187)+E$84*(C$56*GREET1_Import_Export!$W73+GREET1_Import_Export!$E223*GREET1_Import_Export!$F$215+GREET1_Import_Export!$F223)+E$85*(C$57*GREET1_Import_Export!$B73+C$58*GREET1_Import_Export!$C73+C$59*GREET1_Import_Export!$G73+C$61*'GREET2_Factors_T&amp;D'!$F16+C$62*'GREET2_Factors_T&amp;D'!$G16+GREET1_Import_Export!$B223)+E$86*(C$64*GREET1_Import_Export!$AA73+C$65*GREET1_Import_Export!$AB73+GREET1_Import_Export!$B291)+E$87*SUM(GREET1_Import_Export!$B316:$C316)</f>
        <v>0</v>
      </c>
      <c r="F96" s="1"/>
      <c r="G96" s="235"/>
      <c r="H96" s="234">
        <f>H$81*(D$50*GREET1_Import_Export!$K73+GREET1_Import_Export!$B187*GREET1_Import_Export!$F$179+GREET1_Import_Export!$F187)+H$82*(D$52*GREET1_Import_Export!$Q73+D$53*GREET1_Import_Export!$O73+D$54*GREET1_Import_Export!$M73+GREET1_Import_Export!$B187*GREET1_Import_Export!$G$179+GREET1_Import_Export!$G187)+H$83*(D$55*GREET1_Import_Export!$T73+GREET1_Import_Export!$B187*GREET1_Import_Export!$C$179+GREET1_Import_Export!$C187)+H$84*(D$56*GREET1_Import_Export!$W73+GREET1_Import_Export!$E223*GREET1_Import_Export!$F$215+GREET1_Import_Export!$F223)+H$85*(D$57*GREET1_Import_Export!$B73+D$58*GREET1_Import_Export!$C73+D$59*GREET1_Import_Export!$G73+D$61*'GREET2_Factors_T&amp;D'!$F16+D$62*'GREET2_Factors_T&amp;D'!$G16+GREET1_Import_Export!$B223)+H$86*(D$64*GREET1_Import_Export!$AA73+D$65*GREET1_Import_Export!$AB73+GREET1_Import_Export!$B291)+H$87*SUM(GREET1_Import_Export!$B316:$C316)</f>
        <v>2064.3468005017926</v>
      </c>
      <c r="I96" s="1"/>
      <c r="J96" s="235"/>
      <c r="K96" s="234">
        <f>K$81*(E$50*GREET1_Import_Export!$K73+GREET1_Import_Export!$B187*GREET1_Import_Export!$F$179+GREET1_Import_Export!$F187)+K$82*(E$52*GREET1_Import_Export!$Q73+E$53*GREET1_Import_Export!$O73+E$54*GREET1_Import_Export!$M73+GREET1_Import_Export!$B187*GREET1_Import_Export!$G$179+GREET1_Import_Export!$G187)+K$83*(E$55*GREET1_Import_Export!$T73+GREET1_Import_Export!$B187*GREET1_Import_Export!$C$179+GREET1_Import_Export!$C187)+K$84*(E$56*GREET1_Import_Export!$W73+GREET1_Import_Export!$E223*GREET1_Import_Export!$F$215+GREET1_Import_Export!$F223)+K$85*(E$57*GREET1_Import_Export!$B73+E$58*GREET1_Import_Export!$C73+E$59*GREET1_Import_Export!$G73+E$61*'GREET2_Factors_T&amp;D'!$F16+E$62*'GREET2_Factors_T&amp;D'!$G16+GREET1_Import_Export!$B223)+K$86*(E$64*GREET1_Import_Export!$AA73+E$65*GREET1_Import_Export!$AB73+GREET1_Import_Export!$B291)+K$87*SUM(GREET1_Import_Export!$B316:$C316)</f>
        <v>811.63459256897897</v>
      </c>
      <c r="L96" s="1"/>
      <c r="M96" s="235"/>
      <c r="N96" s="234">
        <f>N$81*(F$50*GREET1_Import_Export!$K73+GREET1_Import_Export!$B187*GREET1_Import_Export!$F$179+GREET1_Import_Export!$F187)+N$82*(F$52*GREET1_Import_Export!$Q73+F$53*GREET1_Import_Export!$O73+F$54*GREET1_Import_Export!$M73+GREET1_Import_Export!$B187*GREET1_Import_Export!$G$179+GREET1_Import_Export!$G187)+N$83*(F$55*GREET1_Import_Export!$T73+GREET1_Import_Export!$B187*GREET1_Import_Export!$C$179+GREET1_Import_Export!$C187)+N$84*(F$56*GREET1_Import_Export!$W73+GREET1_Import_Export!$E223*GREET1_Import_Export!$F$215+GREET1_Import_Export!$F223)+N$85*(F$57*GREET1_Import_Export!$B73+F$58*GREET1_Import_Export!$C73+F$59*GREET1_Import_Export!$G73+F$61*'GREET2_Factors_T&amp;D'!$F16+F$62*'GREET2_Factors_T&amp;D'!$G16+GREET1_Import_Export!$B223)+N$86*(F$64*GREET1_Import_Export!$AA73+F$65*GREET1_Import_Export!$AB73+GREET1_Import_Export!$B291)+N$87*SUM(GREET1_Import_Export!$B316:$C316)</f>
        <v>2064.3468005017926</v>
      </c>
      <c r="O96" s="1"/>
      <c r="P96" s="235"/>
      <c r="Q96" s="578">
        <f>Q$81*(G$50*GREET1_Import_Export!$K73+GREET1_Import_Export!$B187*GREET1_Import_Export!$F$179+GREET1_Import_Export!$F187)+Q$82*(G$52*GREET1_Import_Export!$Q73+G$53*GREET1_Import_Export!$O73+G$54*GREET1_Import_Export!$M73+GREET1_Import_Export!$B187*GREET1_Import_Export!$G$179+GREET1_Import_Export!$G187)+Q$83*(G$55*GREET1_Import_Export!$T73+GREET1_Import_Export!$B187*GREET1_Import_Export!$C$179+GREET1_Import_Export!$C187)+Q$84*(G$56*GREET1_Import_Export!$W73+GREET1_Import_Export!$E223*GREET1_Import_Export!$F$215+GREET1_Import_Export!$F223)+Q$85*(G$57*GREET1_Import_Export!$B73+G$58*GREET1_Import_Export!$C73+G$59*GREET1_Import_Export!$G73+G$61*'GREET2_Factors_T&amp;D'!$F16+G$62*'GREET2_Factors_T&amp;D'!$G16+GREET1_Import_Export!$B223)+Q$86*(G$64*GREET1_Import_Export!$AA73+G$65*GREET1_Import_Export!$AB73+GREET1_Import_Export!$B291)
+Q$87*($B$46*(GREET1_Import_Export!$B316+GREET1_Import_Export!$C316)+$C$46*GREET1_Import_Export!L349+$D$46*GREET1_Import_Export!H349+$E$46*GREET1_Import_Export!Q349+$F$46*GREET1_Import_Export!R349+SUMPRODUCT($G$46:$I$46,GREET1_Import_Export!N349:P349))</f>
        <v>811.63459256897897</v>
      </c>
      <c r="R96" s="1"/>
      <c r="S96" s="235"/>
      <c r="T96" s="578">
        <f>T$81*(H$50*GREET1_Import_Export!$K73+GREET1_Import_Export!$B187*GREET1_Import_Export!$F$179+GREET1_Import_Export!$F187)+T$82*(H$52*GREET1_Import_Export!$Q73+H$53*GREET1_Import_Export!$O73+H$54*GREET1_Import_Export!$M73+GREET1_Import_Export!$B187*GREET1_Import_Export!$G$179+GREET1_Import_Export!$G187)+T$83*(H$55*GREET1_Import_Export!$T73+GREET1_Import_Export!$B187*GREET1_Import_Export!$C$179+GREET1_Import_Export!$C187)+T$84*(H$56*GREET1_Import_Export!$W73+GREET1_Import_Export!$E223*GREET1_Import_Export!$F$215+GREET1_Import_Export!$F223)+T$85*(H$57*GREET1_Import_Export!$B73+H$58*GREET1_Import_Export!$C73+H$59*GREET1_Import_Export!$G73+H$61*'GREET2_Factors_T&amp;D'!$F16+H$62*'GREET2_Factors_T&amp;D'!$G16+GREET1_Import_Export!$B223)+T$86*(H$64*GREET1_Import_Export!$AA73+H$65*GREET1_Import_Export!$AB73+GREET1_Import_Export!$B291)+T$87*SUM(GREET1_Import_Export!$B316:$C316)</f>
        <v>2064.3468005017926</v>
      </c>
      <c r="U96" s="1"/>
      <c r="V96" s="235"/>
      <c r="W96" s="578">
        <f>W$81*(BS$50*GREET1_Import_Export!$K73+GREET1_Import_Export!$B187*GREET1_Import_Export!$F$179+GREET1_Import_Export!$F187)+W$82*(BS$52*GREET1_Import_Export!$Q73+BS$53*GREET1_Import_Export!$O73+BS$54*GREET1_Import_Export!$M73+GREET1_Import_Export!$B187*GREET1_Import_Export!$G$179+GREET1_Import_Export!$G187)+W$83*(BS$55*GREET1_Import_Export!$T73+GREET1_Import_Export!$B187*GREET1_Import_Export!$C$179+GREET1_Import_Export!$C187)+W$84*(BS$56*GREET1_Import_Export!$W73+GREET1_Import_Export!$E223*GREET1_Import_Export!$F$215+GREET1_Import_Export!$F223)+W$85*(BS$57*GREET1_Import_Export!$B73+BS$58*GREET1_Import_Export!$C73+BS$59*GREET1_Import_Export!$G73+BS$61*'GREET2_Factors_T&amp;D'!$F16+BS$62*'GREET2_Factors_T&amp;D'!$G16+GREET1_Import_Export!$B223)+W$86*(BS$64*GREET1_Import_Export!$AA73+BS$65*GREET1_Import_Export!$AB73+GREET1_Import_Export!$B291)+W$87*($B$46*(GREET1_Import_Export!$B316+GREET1_Import_Export!$C316)+$C$46*GREET1_Import_Export!L349+$D$46*GREET1_Import_Export!H349+$E$46*GREET1_Import_Export!Q349+$F$46*GREET1_Import_Export!R349+SUMPRODUCT($G$46:$I$46,GREET1_Import_Export!N349:P349))</f>
        <v>811.63459256897897</v>
      </c>
      <c r="X96" s="1"/>
      <c r="Y96" s="235"/>
      <c r="Z96" s="234">
        <f>Z$81*(J$50*GREET1_Import_Export!$K73+GREET1_Import_Export!$B187*GREET1_Import_Export!$F$179+GREET1_Import_Export!$F187)+Z$82*(J$52*GREET1_Import_Export!$Q73+J$53*GREET1_Import_Export!$O73+J$54*GREET1_Import_Export!$M73+GREET1_Import_Export!$B187*GREET1_Import_Export!$G$179+GREET1_Import_Export!$G187)+Z$83*(J$55*GREET1_Import_Export!$T73+GREET1_Import_Export!$B187*GREET1_Import_Export!$C$179+GREET1_Import_Export!$C187)+Z$84*(J$56*GREET1_Import_Export!$W73+GREET1_Import_Export!$E223*GREET1_Import_Export!$F$215+GREET1_Import_Export!$F223)+Z$85*(J$57*GREET1_Import_Export!$B73+J$58*GREET1_Import_Export!$C73+J$59*GREET1_Import_Export!$G73+J$61*'GREET2_Factors_T&amp;D'!$F16+J$62*'GREET2_Factors_T&amp;D'!$G16+GREET1_Import_Export!$B223)+Z$86*(J$64*GREET1_Import_Export!$AA73+J$65*GREET1_Import_Export!$AB73+GREET1_Import_Export!$B291)+Z$87*SUM(GREET1_Import_Export!$B316:$C316)</f>
        <v>2064.3468005017926</v>
      </c>
      <c r="AA96" s="1"/>
      <c r="AB96" s="235"/>
      <c r="AC96" s="578">
        <f>AC$81*(K$50*GREET1_Import_Export!$K73+GREET1_Import_Export!$B187*GREET1_Import_Export!$F$179+GREET1_Import_Export!$F187)+AC$82*(K$52*GREET1_Import_Export!$Q73+K$53*GREET1_Import_Export!$O73+K$54*GREET1_Import_Export!$M73+GREET1_Import_Export!$B187*GREET1_Import_Export!$G$179+GREET1_Import_Export!$G187)+AC$83*(K$55*GREET1_Import_Export!$T73+GREET1_Import_Export!$B187*GREET1_Import_Export!$C$179+GREET1_Import_Export!$C187)+AC$84*(K$56*GREET1_Import_Export!$W73+GREET1_Import_Export!$E223*GREET1_Import_Export!$F$215+GREET1_Import_Export!$F223)+AC$85*(K$57*GREET1_Import_Export!$B73+K$58*GREET1_Import_Export!$C73+K$59*GREET1_Import_Export!$G73+K$61*'GREET2_Factors_T&amp;D'!$F16+K$62*'GREET2_Factors_T&amp;D'!$G16+GREET1_Import_Export!$B223)+AC$86*(K$64*GREET1_Import_Export!$AA73+K$65*GREET1_Import_Export!$AB73+GREET1_Import_Export!$B291)+AC$87*($B$46*(GREET1_Import_Export!$B316+GREET1_Import_Export!$C316)+$C$46*GREET1_Import_Export!L349+$D$46*GREET1_Import_Export!H349+$E$46*GREET1_Import_Export!Q349+$F$46*GREET1_Import_Export!R349+SUMPRODUCT($G$46:$I$46,GREET1_Import_Export!N349:P349))</f>
        <v>811.63459256897897</v>
      </c>
      <c r="AD96" s="1"/>
      <c r="AE96" s="235"/>
      <c r="AF96" s="234">
        <f>AF$81*(L$50*GREET1_Import_Export!$K73+GREET1_Import_Export!$B187*GREET1_Import_Export!$F$179+GREET1_Import_Export!$F187)+AF$82*(L$52*GREET1_Import_Export!$Q73+L$53*GREET1_Import_Export!$O73+L$54*GREET1_Import_Export!$M73+GREET1_Import_Export!$B187*GREET1_Import_Export!$G$179+GREET1_Import_Export!$G187)+AF$83*(L$55*GREET1_Import_Export!$T73+GREET1_Import_Export!$B187*GREET1_Import_Export!$C$179+GREET1_Import_Export!$C187)+AF$84*(L$56*GREET1_Import_Export!$W73+GREET1_Import_Export!$E223*GREET1_Import_Export!$F$215+GREET1_Import_Export!$F223)+AF$85*(L$57*GREET1_Import_Export!$B73+L$58*GREET1_Import_Export!$C73+L$59*GREET1_Import_Export!$G73+L$61*'GREET2_Factors_T&amp;D'!$F16+L$62*'GREET2_Factors_T&amp;D'!$G16+GREET1_Import_Export!$B223)+AF$86*(L$64*GREET1_Import_Export!$AA73+L$65*GREET1_Import_Export!$AB73+GREET1_Import_Export!$B291)+AF$87*SUM(GREET1_Import_Export!$B316:$C316)</f>
        <v>2064.3468005017926</v>
      </c>
      <c r="AG96" s="489"/>
      <c r="AH96" s="478"/>
      <c r="AI96" s="578">
        <f>AI$81*(M$50*GREET1_Import_Export!$K73+GREET1_Import_Export!$B187*GREET1_Import_Export!$F$179+GREET1_Import_Export!$F187)+AI$82*(M$52*GREET1_Import_Export!$Q73+M$53*GREET1_Import_Export!$O73+M$54*GREET1_Import_Export!$M73+GREET1_Import_Export!$B187*GREET1_Import_Export!$G$179+GREET1_Import_Export!$G187)+AI$83*(M$55*GREET1_Import_Export!$T73+GREET1_Import_Export!$B187*GREET1_Import_Export!$C$179+GREET1_Import_Export!$C187)+AI$84*(M$56*GREET1_Import_Export!$W73+GREET1_Import_Export!$E223*GREET1_Import_Export!$F$215+GREET1_Import_Export!$F223)+AI$85*(M$57*GREET1_Import_Export!$B73+M$58*GREET1_Import_Export!$C73+M$59*GREET1_Import_Export!$G73+M$61*'GREET2_Factors_T&amp;D'!$F16+M$62*'GREET2_Factors_T&amp;D'!$G16+GREET1_Import_Export!$B223)+AI$86*(M$64*GREET1_Import_Export!$AA73+M$65*GREET1_Import_Export!$AB73+GREET1_Import_Export!$B291)+AI$87*($B$46*(GREET1_Import_Export!$B316+GREET1_Import_Export!$C316)+$C$46*GREET1_Import_Export!L349+$D$46*GREET1_Import_Export!H349+$E$46*GREET1_Import_Export!Q349+$F$46*GREET1_Import_Export!R349+SUMPRODUCT($G$46:$I$46,GREET1_Import_Export!N349:P349))</f>
        <v>927.58239150740394</v>
      </c>
      <c r="AJ96" s="1"/>
      <c r="AK96" s="235"/>
      <c r="AL96" s="234">
        <f>AL$81*(N$50*GREET1_Import_Export!$K73+GREET1_Import_Export!$B187*GREET1_Import_Export!$F$179+GREET1_Import_Export!$F187)+AL$82*(N$52*GREET1_Import_Export!$Q73+N$53*GREET1_Import_Export!$O73+N$54*GREET1_Import_Export!$M73+GREET1_Import_Export!$B187*GREET1_Import_Export!$G$179+GREET1_Import_Export!$G187)+AL$83*(N$55*GREET1_Import_Export!$T73+GREET1_Import_Export!$B187*GREET1_Import_Export!$C$179+GREET1_Import_Export!$C187)+AL$84*(N$56*GREET1_Import_Export!$W73+GREET1_Import_Export!$E223*GREET1_Import_Export!$F$215+GREET1_Import_Export!$F223)+AL$85*(N$57*GREET1_Import_Export!$B73+N$58*GREET1_Import_Export!$C73+N$59*GREET1_Import_Export!$G73+N$61*'GREET2_Factors_T&amp;D'!$F16+N$62*'GREET2_Factors_T&amp;D'!$G16+GREET1_Import_Export!$B223)+AL$86*(N$64*GREET1_Import_Export!$AA73+N$65*GREET1_Import_Export!$AB73+GREET1_Import_Export!$B291)+AL$87*SUM(GREET1_Import_Export!$B316:$C316)</f>
        <v>1679.0237528473349</v>
      </c>
      <c r="AM96" s="1"/>
      <c r="AN96" s="235"/>
      <c r="AO96" s="234">
        <f>AO$81*(O$50*GREET1_Import_Export!$K73+GREET1_Import_Export!$B187*GREET1_Import_Export!$F$179+GREET1_Import_Export!$F187)+AO$82*(O$52*GREET1_Import_Export!$Q73+O$53*GREET1_Import_Export!$O73+O$54*GREET1_Import_Export!$M73+GREET1_Import_Export!$B187*GREET1_Import_Export!$G$179+GREET1_Import_Export!$G187)+AO$83*(O$55*GREET1_Import_Export!$T73+GREET1_Import_Export!$B187*GREET1_Import_Export!$C$179+GREET1_Import_Export!$C187)+AO$84*(O$56*GREET1_Import_Export!$W73+GREET1_Import_Export!$E223*GREET1_Import_Export!$F$215+GREET1_Import_Export!$F223)+AO$85*(O$57*GREET1_Import_Export!$B73+O$58*GREET1_Import_Export!$C73+O$59*GREET1_Import_Export!$G73+O$61*'GREET2_Factors_T&amp;D'!$F16+O$62*'GREET2_Factors_T&amp;D'!$G16+GREET1_Import_Export!$B223)+AO$86*(O$64*GREET1_Import_Export!$AA73+O$65*GREET1_Import_Export!$AB73+GREET1_Import_Export!$B291)+AO$87*SUM(GREET1_Import_Export!$B316:$C316)</f>
        <v>878.45917402382508</v>
      </c>
      <c r="AP96" s="1"/>
      <c r="AQ96" s="235"/>
      <c r="AR96" s="234">
        <f>AR$81*(P$50*GREET1_Import_Export!$K73+GREET1_Import_Export!$B187*GREET1_Import_Export!$F$179+GREET1_Import_Export!$F187)+AR$82*(P$52*GREET1_Import_Export!$Q73+P$53*GREET1_Import_Export!$O73+P$54*GREET1_Import_Export!$M73+GREET1_Import_Export!$B187*GREET1_Import_Export!$G$179+GREET1_Import_Export!$G187)+AR$83*(P$55*GREET1_Import_Export!$T73+GREET1_Import_Export!$B187*GREET1_Import_Export!$C$179+GREET1_Import_Export!$C187)+AR$84*(P$56*GREET1_Import_Export!$W73+GREET1_Import_Export!$E223*GREET1_Import_Export!$F$215+GREET1_Import_Export!$F223)+AR$85*(P$57*GREET1_Import_Export!$B73+P$58*GREET1_Import_Export!$C73+P$59*GREET1_Import_Export!$G73+P$61*'GREET2_Factors_T&amp;D'!$F16+P$62*'GREET2_Factors_T&amp;D'!$G16+GREET1_Import_Export!$B223)+AR$86*(P$64*GREET1_Import_Export!$AA73+P$65*GREET1_Import_Export!$AB73+GREET1_Import_Export!$B291)+AR$87*SUM(GREET1_Import_Export!$B316:$C316)</f>
        <v>1679.6324288966457</v>
      </c>
      <c r="AS96" s="1"/>
      <c r="AT96" s="235"/>
      <c r="AU96" s="234">
        <f>AU$81*(Q$50*GREET1_Import_Export!$K73+GREET1_Import_Export!$B187*GREET1_Import_Export!$F$179+GREET1_Import_Export!$F187)+AU$82*(Q$52*GREET1_Import_Export!$Q73+Q$53*GREET1_Import_Export!$O73+Q$54*GREET1_Import_Export!$M73+GREET1_Import_Export!$B187*GREET1_Import_Export!$G$179+GREET1_Import_Export!$G187)+AU$83*(Q$55*GREET1_Import_Export!$T73+GREET1_Import_Export!$B187*GREET1_Import_Export!$C$179+GREET1_Import_Export!$C187)+AU$84*(Q$56*GREET1_Import_Export!$W73+GREET1_Import_Export!$E223*GREET1_Import_Export!$F$215+GREET1_Import_Export!$F223)+AU$85*(Q$57*GREET1_Import_Export!$B73+Q$58*GREET1_Import_Export!$C73+Q$59*GREET1_Import_Export!$G73+Q$61*'GREET2_Factors_T&amp;D'!$F16+Q$62*'GREET2_Factors_T&amp;D'!$G16+GREET1_Import_Export!$B223)+AU$86*(Q$64*GREET1_Import_Export!$AA73+Q$65*GREET1_Import_Export!$AB73+GREET1_Import_Export!$B291)+AU$87*SUM(GREET1_Import_Export!$B316:$C316)</f>
        <v>692.53668477988867</v>
      </c>
      <c r="AV96" s="1"/>
      <c r="AW96" s="235"/>
      <c r="AX96" s="234">
        <f>AX$81*(R$50*GREET1_Import_Export!$K73+GREET1_Import_Export!$B187*GREET1_Import_Export!$F$179+GREET1_Import_Export!$F187)+AX$82*(R$52*GREET1_Import_Export!$Q73+R$53*GREET1_Import_Export!$O73+R$54*GREET1_Import_Export!$M73+GREET1_Import_Export!$B187*GREET1_Import_Export!$G$179+GREET1_Import_Export!$G187)+AX$83*(R$55*GREET1_Import_Export!$T73+GREET1_Import_Export!$B187*GREET1_Import_Export!$C$179+GREET1_Import_Export!$C187)+AX$84*(R$56*GREET1_Import_Export!$W73+GREET1_Import_Export!$E223*GREET1_Import_Export!$F$215+GREET1_Import_Export!$F223)+AX$85*(R$57*GREET1_Import_Export!$B73+R$58*GREET1_Import_Export!$C73+R$59*GREET1_Import_Export!$G73+R$61*'GREET2_Factors_T&amp;D'!$F16+R$62*'GREET2_Factors_T&amp;D'!$G16+GREET1_Import_Export!$B223)+AX$86*(R$64*GREET1_Import_Export!$AA73+R$65*GREET1_Import_Export!$AB73+GREET1_Import_Export!$B291)+AX$87*SUM(GREET1_Import_Export!$B316:$C316)</f>
        <v>221.80126268881205</v>
      </c>
      <c r="AY96" s="1"/>
      <c r="AZ96" s="235"/>
      <c r="BA96" s="234">
        <f>BA$81*(S$50*GREET1_Import_Export!$K73+GREET1_Import_Export!$B187*GREET1_Import_Export!$F$179+GREET1_Import_Export!$F187)+BA$82*(S$52*GREET1_Import_Export!$Q73+S$53*GREET1_Import_Export!$O73+S$54*GREET1_Import_Export!$M73+GREET1_Import_Export!$B187*GREET1_Import_Export!$G$179+GREET1_Import_Export!$G187)+BA$83*(S$55*GREET1_Import_Export!$T73+GREET1_Import_Export!$B187*GREET1_Import_Export!$C$179+GREET1_Import_Export!$C187)+BA$84*(S$56*GREET1_Import_Export!$W73+GREET1_Import_Export!$E223*GREET1_Import_Export!$F$215+GREET1_Import_Export!$F223)+BA$85*(S$57*GREET1_Import_Export!$B73+S$58*GREET1_Import_Export!$C73+S$59*GREET1_Import_Export!$G73+S$61*'GREET2_Factors_T&amp;D'!$F16+S$62*'GREET2_Factors_T&amp;D'!$G16+GREET1_Import_Export!$B223)+BA$86*(S$64*GREET1_Import_Export!$AA73+S$65*GREET1_Import_Export!$AB73+GREET1_Import_Export!$B291)+BA$87*SUM(GREET1_Import_Export!$B316:$C316)</f>
        <v>695.68679363055389</v>
      </c>
      <c r="BB96" s="1"/>
      <c r="BC96" s="235"/>
      <c r="BD96" s="578">
        <f>BD$81*(T$50*GREET1_Import_Export!$K73+GREET1_Import_Export!$B187*GREET1_Import_Export!$F$179+GREET1_Import_Export!$F187)+BD$82*(T$52*GREET1_Import_Export!$Q73+T$53*GREET1_Import_Export!$O73+T$54*GREET1_Import_Export!$M73+GREET1_Import_Export!$B187*GREET1_Import_Export!$G$179+GREET1_Import_Export!$G187)+BD$83*(T$55*GREET1_Import_Export!$T73+GREET1_Import_Export!$B187*GREET1_Import_Export!$C$179+GREET1_Import_Export!$C187)+BD$84*(T$56*GREET1_Import_Export!$W73+GREET1_Import_Export!$E223*GREET1_Import_Export!$F$215+GREET1_Import_Export!$F223)+BD$85*(T$57*GREET1_Import_Export!$B73+T$58*GREET1_Import_Export!$C73+T$59*GREET1_Import_Export!$G73+T$61*'GREET2_Factors_T&amp;D'!$F16+T$62*'GREET2_Factors_T&amp;D'!$G16+GREET1_Import_Export!$B223)+BD$86*(T$64*GREET1_Import_Export!$AA73+T$65*GREET1_Import_Export!$AB73+GREET1_Import_Export!$B291)+BD$87*SUM(GREET1_Import_Export!$B316:$C316)</f>
        <v>561.82451444021376</v>
      </c>
      <c r="BE96" s="489"/>
      <c r="BF96" s="478"/>
      <c r="BG96" s="578">
        <f>BG$81*(U$50*GREET1_Import_Export!$K73+GREET1_Import_Export!$B187*GREET1_Import_Export!$F$179+GREET1_Import_Export!$F187)+BG$82*(U$52*GREET1_Import_Export!$Q73+U$53*GREET1_Import_Export!$O73+U$54*GREET1_Import_Export!$M73+GREET1_Import_Export!$B187*GREET1_Import_Export!$G$179+GREET1_Import_Export!$G187)+BG$83*(U$55*GREET1_Import_Export!$T73+GREET1_Import_Export!$B187*GREET1_Import_Export!$C$179+GREET1_Import_Export!$C187)+BG$84*(U$56*GREET1_Import_Export!$W73+GREET1_Import_Export!$E223*GREET1_Import_Export!$F$215+GREET1_Import_Export!$F223)+BG$85*(U$57*GREET1_Import_Export!$B73+U$58*GREET1_Import_Export!$C73+U$59*GREET1_Import_Export!$G73+U$61*'GREET2_Factors_T&amp;D'!$F16+U$62*'GREET2_Factors_T&amp;D'!$G16+GREET1_Import_Export!$B223)+BG$86*(U$64*GREET1_Import_Export!$AA73+U$65*GREET1_Import_Export!$AB73+GREET1_Import_Export!$B291)+BG$87*SUM(GREET1_Import_Export!$B316:$C316)</f>
        <v>1557.615715412777</v>
      </c>
      <c r="BH96" s="489"/>
      <c r="BI96" s="478"/>
      <c r="BJ96" s="578">
        <f>BJ$81*(V$50*GREET1_Import_Export!$K73+GREET1_Import_Export!$B187*GREET1_Import_Export!$F$179+GREET1_Import_Export!$F187)+BJ$82*(V$52*GREET1_Import_Export!$Q73+V$53*GREET1_Import_Export!$O73+V$54*GREET1_Import_Export!$M73+GREET1_Import_Export!$B187*GREET1_Import_Export!$G$179+GREET1_Import_Export!$G187)+BJ$83*(V$55*GREET1_Import_Export!$T73+GREET1_Import_Export!$B187*GREET1_Import_Export!$C$179+GREET1_Import_Export!$C187)+BJ$84*(V$56*GREET1_Import_Export!$W73+GREET1_Import_Export!$E223*GREET1_Import_Export!$F$215+GREET1_Import_Export!$F223)+BJ$85*(V$57*GREET1_Import_Export!$B73+V$58*GREET1_Import_Export!$C73+V$59*GREET1_Import_Export!$G73+V$61*'GREET2_Factors_T&amp;D'!$F16+V$62*'GREET2_Factors_T&amp;D'!$G16+GREET1_Import_Export!$B223)+BJ$86*(V$64*GREET1_Import_Export!$AA73+V$65*GREET1_Import_Export!$AB73+GREET1_Import_Export!$B291)+BJ$87*SUM(GREET1_Import_Export!$B316:$C316)</f>
        <v>94.810518945268882</v>
      </c>
      <c r="BK96" s="489"/>
      <c r="BL96" s="478"/>
      <c r="BM96" s="578">
        <f>BM$81*(X$50*GREET1_Import_Export!$K73+GREET1_Import_Export!$B187*GREET1_Import_Export!$F$179+GREET1_Import_Export!$F187)+BM$82*(X$52*GREET1_Import_Export!$Q73+X$53*GREET1_Import_Export!$O73+X$54*GREET1_Import_Export!$M73+GREET1_Import_Export!$B187*GREET1_Import_Export!$G$179+GREET1_Import_Export!$G187)+BM$83*(X$55*GREET1_Import_Export!$T73+GREET1_Import_Export!$B187*GREET1_Import_Export!$C$179+GREET1_Import_Export!$C187)+BM$84*(X$56*GREET1_Import_Export!$W73+GREET1_Import_Export!$E223*GREET1_Import_Export!$F$215+GREET1_Import_Export!$F223)+BM$85*(X$57*GREET1_Import_Export!$B73+X$58*GREET1_Import_Export!$C73+X$59*GREET1_Import_Export!$G73+X$61*'GREET2_Factors_T&amp;D'!$F16+X$62*'GREET2_Factors_T&amp;D'!$G16+GREET1_Import_Export!$B223)+BM$86*(X$64*GREET1_Import_Export!$AA73+X$65*GREET1_Import_Export!$AB73+GREET1_Import_Export!$B291)+BM$87*SUM(GREET1_Import_Export!$B316:$C316)</f>
        <v>25.904084695378586</v>
      </c>
      <c r="BN96" s="489"/>
      <c r="BO96" s="478"/>
      <c r="BP96" s="234">
        <f>BP$81*(Z$50*GREET1_Import_Export!$K73+GREET1_Import_Export!$B187*GREET1_Import_Export!$F$179+GREET1_Import_Export!$F187)+BP$82*(Z$52*GREET1_Import_Export!$Q73+Z$53*GREET1_Import_Export!$O73+Z$54*GREET1_Import_Export!$M73+GREET1_Import_Export!$B187*GREET1_Import_Export!$G$179+GREET1_Import_Export!$G187)+BP$83*(Z$55*GREET1_Import_Export!$T73+GREET1_Import_Export!$B187*GREET1_Import_Export!$C$179+GREET1_Import_Export!$C187)+BP$84*(Z$56*GREET1_Import_Export!$W73+GREET1_Import_Export!$E223*GREET1_Import_Export!$F$215+GREET1_Import_Export!$F223)+BP$85*(Z$57*GREET1_Import_Export!$B73+Z$58*GREET1_Import_Export!$C73+Z$59*GREET1_Import_Export!$G73+Z$61*'GREET2_Factors_T&amp;D'!$F16+Z$62*'GREET2_Factors_T&amp;D'!$G16+GREET1_Import_Export!$B223)+BP$86*(Z$64*GREET1_Import_Export!$AA73+Z$65*GREET1_Import_Export!$AB73+GREET1_Import_Export!$B291)+BP$87*SUM(GREET1_Import_Export!$B316:$C316)</f>
        <v>0</v>
      </c>
      <c r="BQ96" s="1"/>
      <c r="BR96" s="235"/>
      <c r="BS96" s="753">
        <f>BS$81*(AA$50*GREET1_Import_Export!$K73+GREET1_Import_Export!$B187*GREET1_Import_Export!$F$179+GREET1_Import_Export!$F187)+BS$82*(AA$52*GREET1_Import_Export!$Q73+AA$53*GREET1_Import_Export!$O73+AA$54*GREET1_Import_Export!$M73+GREET1_Import_Export!$B187*GREET1_Import_Export!$G$179+GREET1_Import_Export!$G187)+BS$83*(AA$55*GREET1_Import_Export!$T73+GREET1_Import_Export!$B187*GREET1_Import_Export!$C$179+GREET1_Import_Export!$C187)+BS$84*(AA$56*GREET1_Import_Export!$W73+GREET1_Import_Export!$E223*GREET1_Import_Export!$F$215+GREET1_Import_Export!$F223)+BS$85*(AA$57*GREET1_Import_Export!$B73+AA$58*GREET1_Import_Export!$C73+AA$59*GREET1_Import_Export!$G73+AA$61*'GREET2_Factors_T&amp;D'!$F16+AA$62*'GREET2_Factors_T&amp;D'!$G16+GREET1_Import_Export!$B223)+BS$86*(AA$64*GREET1_Import_Export!$AA73+AA$65*GREET1_Import_Export!$AB73+GREET1_Import_Export!$B291)+BS$87*(GREET1_Import_Export!$B316+GREET1_Import_Export!$C316)</f>
        <v>9.3637419073368964</v>
      </c>
      <c r="BT96" s="350"/>
      <c r="BU96" s="1082"/>
      <c r="BV96" s="753">
        <f>BV$81*(AB$50*GREET1_Import_Export!$K73+GREET1_Import_Export!$B187*GREET1_Import_Export!$F$179+GREET1_Import_Export!$F187)+BV$82*(AB$52*GREET1_Import_Export!$Q73+AB$53*GREET1_Import_Export!$O73+AB$54*GREET1_Import_Export!$M73+GREET1_Import_Export!$B187*GREET1_Import_Export!$G$179+GREET1_Import_Export!$G187)+BV$83*(AB$55*GREET1_Import_Export!$T73+GREET1_Import_Export!$B187*GREET1_Import_Export!$C$179+GREET1_Import_Export!$C187)+BV$84*(AB$56*GREET1_Import_Export!$W73+GREET1_Import_Export!$E223*GREET1_Import_Export!$F$215+GREET1_Import_Export!$F223)+BV$85*(AB$57*GREET1_Import_Export!$B73+AB$58*GREET1_Import_Export!$C73+AB$59*GREET1_Import_Export!$G73+AB$61*'GREET2_Factors_T&amp;D'!$F16+AB$62*'GREET2_Factors_T&amp;D'!$G16+GREET1_Import_Export!$B223)+BV$86*(AB$64*GREET1_Import_Export!$AA73+AB$65*GREET1_Import_Export!$AB73+GREET1_Import_Export!$B291)+BV$87*(GREET1_Import_Export!$B316+GREET1_Import_Export!$C316)</f>
        <v>0</v>
      </c>
      <c r="BW96" s="350"/>
      <c r="BX96" s="1082"/>
      <c r="BY96" s="753">
        <f>BY$81*(AC$50*GREET1_Import_Export!$K73+GREET1_Import_Export!$B187*GREET1_Import_Export!$F$179+GREET1_Import_Export!$F187)+BY$82*(AC$52*GREET1_Import_Export!$Q73+AC$53*GREET1_Import_Export!$O73+AC$54*GREET1_Import_Export!$M73+GREET1_Import_Export!$B187*GREET1_Import_Export!$G$179+GREET1_Import_Export!$G187)+BY$83*(AC$55*GREET1_Import_Export!$T73+GREET1_Import_Export!$B187*GREET1_Import_Export!$C$179+GREET1_Import_Export!$C187)+BY$84*(AC$56*GREET1_Import_Export!$W73+GREET1_Import_Export!$E223*GREET1_Import_Export!$F$215+GREET1_Import_Export!$F223)+BY$85*(AC$57*GREET1_Import_Export!$B73+AC$58*GREET1_Import_Export!$C73+AC$59*GREET1_Import_Export!$G73+AC$61*'GREET2_Factors_T&amp;D'!$F16+AC$62*'GREET2_Factors_T&amp;D'!$G16+GREET1_Import_Export!$B223)+BY$86*(AC$64*GREET1_Import_Export!$AA73+AC$65*GREET1_Import_Export!$AB73+GREET1_Import_Export!$B291)+BY$87*(GREET1_Import_Export!$B316+GREET1_Import_Export!$C316)</f>
        <v>2064.3468005017926</v>
      </c>
      <c r="BZ96" s="363"/>
      <c r="CA96" s="1082"/>
      <c r="CB96" s="753">
        <f>CB$81*(AD$50*GREET1_Import_Export!$K73+GREET1_Import_Export!$B187*GREET1_Import_Export!$F$179+GREET1_Import_Export!$F187)+CB$82*(AD$52*GREET1_Import_Export!$Q73+AD$53*GREET1_Import_Export!$O73+AD$54*GREET1_Import_Export!$M73+GREET1_Import_Export!$B187*GREET1_Import_Export!$G$179+GREET1_Import_Export!$G187)+CB$83*(AD$55*GREET1_Import_Export!$T73+GREET1_Import_Export!$B187*GREET1_Import_Export!$C$179+GREET1_Import_Export!$C187)+CB$84*(AD$56*GREET1_Import_Export!$W73+GREET1_Import_Export!$E223*GREET1_Import_Export!$F$215+GREET1_Import_Export!$F223)+CB$85*(AD$57*GREET1_Import_Export!$B73+AD$58*GREET1_Import_Export!$C73+AD$59*GREET1_Import_Export!$G73+AD$61*'GREET2_Factors_T&amp;D'!$F16+AD$62*'GREET2_Factors_T&amp;D'!$G16+GREET1_Import_Export!$B223)+CB$86*(AD$64*GREET1_Import_Export!$AA73+AD$65*GREET1_Import_Export!$AB73+GREET1_Import_Export!$B291)+CB$87*(GREET1_Import_Export!$B316+GREET1_Import_Export!$C316)</f>
        <v>927.58239150740394</v>
      </c>
      <c r="CC96" s="350"/>
      <c r="CD96" s="1082"/>
      <c r="CE96" s="749">
        <f>CE$81*($AE$50*GREET1_Import_Export!$K73+GREET1_Import_Export!$F$179*GREET1_Import_Export!$B187+GREET1_Import_Export!$F187)+CE$82*(GREET1_Import_Export!$R73+GREET1_Import_Export!$H$179*GREET1_Import_Export!$B187+GREET1_Import_Export!$H187)+CE$83*(GREET1_Import_Export!$T73+GREET1_Import_Export!$C$179*GREET1_Import_Export!$B187+GREET1_Import_Export!$C187)+CE$84*(GREET1_Import_Export!$X73+GREET1_Import_Export!$B$10*(GREET1_Import_Export!$F$215*GREET1_Import_Export!$B223+GREET1_Import_Export!$F223)+GREET1_Import_Export!$C$10*(GREET1_Import_Export!$E$179*GREET1_Import_Export!$B187+GREET1_Import_Export!$E187))+CE$85*($AE$57*GREET1_Import_Export!$B73+GREET1_Import_Export!$B223)+CE$86*($AE$64 *GREET1_Import_Export!$AA73+GREET1_Import_Export!$B291)+CE$87*(GREET1_Import_Export!$B316+GREET1_Import_Export!$C316)</f>
        <v>0</v>
      </c>
      <c r="CF96" s="817"/>
      <c r="CG96" s="1321"/>
      <c r="CH96" s="1321"/>
      <c r="CI96" s="1321"/>
      <c r="CJ96" s="1321"/>
      <c r="CK96" s="1321"/>
      <c r="CL96" s="1321"/>
      <c r="CM96" s="1321"/>
      <c r="CN96" s="1321"/>
      <c r="CO96" s="1321"/>
      <c r="CP96" s="1321"/>
      <c r="CQ96" s="1321"/>
      <c r="CR96" s="1321"/>
      <c r="CS96" s="1321"/>
      <c r="CT96" s="1321"/>
      <c r="CU96" s="1321"/>
      <c r="CV96" s="1321"/>
      <c r="CW96" s="1321"/>
      <c r="CX96" s="1321"/>
      <c r="CY96" s="1321"/>
      <c r="CZ96" s="1321"/>
      <c r="DA96" s="1321"/>
      <c r="DB96" s="1321"/>
      <c r="DC96" s="1321"/>
      <c r="DD96" s="1321"/>
      <c r="DE96" s="1321"/>
      <c r="DF96" s="1321"/>
      <c r="DG96" s="1321"/>
      <c r="DH96" s="1321"/>
      <c r="DI96" s="1321"/>
      <c r="DJ96" s="1321"/>
      <c r="DK96" s="1321"/>
      <c r="DL96" s="1321"/>
      <c r="DM96" s="1321"/>
      <c r="DN96" s="1321"/>
      <c r="DO96" s="1321"/>
      <c r="DP96" s="1321"/>
      <c r="DQ96" s="1321"/>
      <c r="DR96" s="1321"/>
      <c r="DS96" s="1321"/>
      <c r="DT96" s="1321"/>
      <c r="DU96" s="1321"/>
      <c r="DV96" s="1321"/>
      <c r="DW96" s="1321"/>
      <c r="DX96" s="1321"/>
      <c r="DY96" s="1321"/>
      <c r="DZ96" s="1321"/>
      <c r="EA96" s="1321"/>
      <c r="EB96" s="1321"/>
      <c r="EC96" s="1321"/>
      <c r="ED96" s="1321"/>
      <c r="EE96" s="1321"/>
      <c r="EF96" s="1321"/>
      <c r="EG96" s="1321"/>
      <c r="EH96" s="1321"/>
      <c r="EI96" s="1321"/>
      <c r="EJ96" s="1321"/>
      <c r="EK96" s="1321"/>
      <c r="EL96" s="1321"/>
      <c r="EM96" s="1321"/>
      <c r="EN96" s="1321"/>
      <c r="EO96" s="1321"/>
      <c r="EP96" s="1321"/>
      <c r="EQ96" s="1321"/>
      <c r="ER96" s="1321"/>
      <c r="ES96" s="1321"/>
      <c r="ET96" s="1321"/>
      <c r="EU96" s="1321"/>
      <c r="EV96" s="1321"/>
      <c r="EW96" s="1321"/>
      <c r="EX96" s="1321"/>
      <c r="EY96" s="1321"/>
      <c r="EZ96" s="1321"/>
      <c r="FA96" s="1321"/>
      <c r="FB96" s="1321"/>
    </row>
    <row r="97" spans="1:158">
      <c r="A97" s="100" t="s">
        <v>823</v>
      </c>
      <c r="B97" s="234">
        <f>B$81*(B$50*GREET1_Import_Export!$K74+GREET1_Import_Export!$B188*GREET1_Import_Export!$F$179+GREET1_Import_Export!$F188)+B$82*(B$52*GREET1_Import_Export!$Q74+B$53*GREET1_Import_Export!$O74+B$54*GREET1_Import_Export!$M74+GREET1_Import_Export!$B188*GREET1_Import_Export!$G$179+GREET1_Import_Export!$G188)+B$83*(B$55*GREET1_Import_Export!$T74+GREET1_Import_Export!$B188*GREET1_Import_Export!$C$179+GREET1_Import_Export!$C188)+B$84*(B$56*GREET1_Import_Export!$W74+GREET1_Import_Export!$E224*GREET1_Import_Export!$F$215+GREET1_Import_Export!$F224)+B$85*(B$57*GREET1_Import_Export!$B74+B$58*GREET1_Import_Export!$C74+B$59*GREET1_Import_Export!$G74+B$61*'GREET2_Factors_T&amp;D'!$F17+B$62*'GREET2_Factors_T&amp;D'!$G17+GREET1_Import_Export!$B224)+B$86*(B$64*GREET1_Import_Export!$AA74+B$65*GREET1_Import_Export!$AB74+GREET1_Import_Export!$B292)+B$87*SUM(GREET1_Import_Export!$B317:$C317)</f>
        <v>0</v>
      </c>
      <c r="C97" s="1"/>
      <c r="D97" s="235"/>
      <c r="E97" s="234">
        <f>E$81*(C$50*GREET1_Import_Export!$K74+GREET1_Import_Export!$B188*GREET1_Import_Export!$F$179+GREET1_Import_Export!$F188)+E$82*(C$52*GREET1_Import_Export!$Q74+C$53*GREET1_Import_Export!$O74+C$54*GREET1_Import_Export!$M74+GREET1_Import_Export!$B188*GREET1_Import_Export!$G$179+GREET1_Import_Export!$G188)+E$83*(C$55*GREET1_Import_Export!$T74+GREET1_Import_Export!$B188*GREET1_Import_Export!$C$179+GREET1_Import_Export!$C188)+E$84*(C$56*GREET1_Import_Export!$W74+GREET1_Import_Export!$E224*GREET1_Import_Export!$F$215+GREET1_Import_Export!$F224)+E$85*(C$57*GREET1_Import_Export!$B74+C$58*GREET1_Import_Export!$C74+C$59*GREET1_Import_Export!$G74+C$61*'GREET2_Factors_T&amp;D'!$F17+C$62*'GREET2_Factors_T&amp;D'!$G17+GREET1_Import_Export!$B224)+E$86*(C$64*GREET1_Import_Export!$AA74+C$65*GREET1_Import_Export!$AB74+GREET1_Import_Export!$B292)+E$87*SUM(GREET1_Import_Export!$B317:$C317)</f>
        <v>0</v>
      </c>
      <c r="F97" s="1"/>
      <c r="G97" s="235"/>
      <c r="H97" s="234">
        <f>H$81*(D$50*GREET1_Import_Export!$K74+GREET1_Import_Export!$B188*GREET1_Import_Export!$F$179+GREET1_Import_Export!$F188)+H$82*(D$52*GREET1_Import_Export!$Q74+D$53*GREET1_Import_Export!$O74+D$54*GREET1_Import_Export!$M74+GREET1_Import_Export!$B188*GREET1_Import_Export!$G$179+GREET1_Import_Export!$G188)+H$83*(D$55*GREET1_Import_Export!$T74+GREET1_Import_Export!$B188*GREET1_Import_Export!$C$179+GREET1_Import_Export!$C188)+H$84*(D$56*GREET1_Import_Export!$W74+GREET1_Import_Export!$E224*GREET1_Import_Export!$F$215+GREET1_Import_Export!$F224)+H$85*(D$57*GREET1_Import_Export!$B74+D$58*GREET1_Import_Export!$C74+D$59*GREET1_Import_Export!$G74+D$61*'GREET2_Factors_T&amp;D'!$F17+D$62*'GREET2_Factors_T&amp;D'!$G17+GREET1_Import_Export!$B224)+H$86*(D$64*GREET1_Import_Export!$AA74+D$65*GREET1_Import_Export!$AB74+GREET1_Import_Export!$B292)+H$87*SUM(GREET1_Import_Export!$B317:$C317)</f>
        <v>2806.3524422407017</v>
      </c>
      <c r="I97" s="1"/>
      <c r="J97" s="235"/>
      <c r="K97" s="234">
        <f>K$81*(E$50*GREET1_Import_Export!$K74+GREET1_Import_Export!$B188*GREET1_Import_Export!$F$179+GREET1_Import_Export!$F188)+K$82*(E$52*GREET1_Import_Export!$Q74+E$53*GREET1_Import_Export!$O74+E$54*GREET1_Import_Export!$M74+GREET1_Import_Export!$B188*GREET1_Import_Export!$G$179+GREET1_Import_Export!$G188)+K$83*(E$55*GREET1_Import_Export!$T74+GREET1_Import_Export!$B188*GREET1_Import_Export!$C$179+GREET1_Import_Export!$C188)+K$84*(E$56*GREET1_Import_Export!$W74+GREET1_Import_Export!$E224*GREET1_Import_Export!$F$215+GREET1_Import_Export!$F224)+K$85*(E$57*GREET1_Import_Export!$B74+E$58*GREET1_Import_Export!$C74+E$59*GREET1_Import_Export!$G74+E$61*'GREET2_Factors_T&amp;D'!$F17+E$62*'GREET2_Factors_T&amp;D'!$G17+GREET1_Import_Export!$B224)+K$86*(E$64*GREET1_Import_Export!$AA74+E$65*GREET1_Import_Export!$AB74+GREET1_Import_Export!$B292)+K$87*SUM(GREET1_Import_Export!$B317:$C317)</f>
        <v>1672.0177029887348</v>
      </c>
      <c r="L97" s="1"/>
      <c r="M97" s="235"/>
      <c r="N97" s="234">
        <f>N$81*(F$50*GREET1_Import_Export!$K74+GREET1_Import_Export!$B188*GREET1_Import_Export!$F$179+GREET1_Import_Export!$F188)+N$82*(F$52*GREET1_Import_Export!$Q74+F$53*GREET1_Import_Export!$O74+F$54*GREET1_Import_Export!$M74+GREET1_Import_Export!$B188*GREET1_Import_Export!$G$179+GREET1_Import_Export!$G188)+N$83*(F$55*GREET1_Import_Export!$T74+GREET1_Import_Export!$B188*GREET1_Import_Export!$C$179+GREET1_Import_Export!$C188)+N$84*(F$56*GREET1_Import_Export!$W74+GREET1_Import_Export!$E224*GREET1_Import_Export!$F$215+GREET1_Import_Export!$F224)+N$85*(F$57*GREET1_Import_Export!$B74+F$58*GREET1_Import_Export!$C74+F$59*GREET1_Import_Export!$G74+F$61*'GREET2_Factors_T&amp;D'!$F17+F$62*'GREET2_Factors_T&amp;D'!$G17+GREET1_Import_Export!$B224)+N$86*(F$64*GREET1_Import_Export!$AA74+F$65*GREET1_Import_Export!$AB74+GREET1_Import_Export!$B292)+N$87*SUM(GREET1_Import_Export!$B317:$C317)</f>
        <v>2806.3524422407017</v>
      </c>
      <c r="O97" s="1"/>
      <c r="P97" s="235"/>
      <c r="Q97" s="578">
        <f>Q$81*(G$50*GREET1_Import_Export!$K74+GREET1_Import_Export!$B188*GREET1_Import_Export!$F$179+GREET1_Import_Export!$F188)+Q$82*(G$52*GREET1_Import_Export!$Q74+G$53*GREET1_Import_Export!$O74+G$54*GREET1_Import_Export!$M74+GREET1_Import_Export!$B188*GREET1_Import_Export!$G$179+GREET1_Import_Export!$G188)+Q$83*(G$55*GREET1_Import_Export!$T74+GREET1_Import_Export!$B188*GREET1_Import_Export!$C$179+GREET1_Import_Export!$C188)+Q$84*(G$56*GREET1_Import_Export!$W74+GREET1_Import_Export!$E224*GREET1_Import_Export!$F$215+GREET1_Import_Export!$F224)+Q$85*(G$57*GREET1_Import_Export!$B74+G$58*GREET1_Import_Export!$C74+G$59*GREET1_Import_Export!$G74+G$61*'GREET2_Factors_T&amp;D'!$F17+G$62*'GREET2_Factors_T&amp;D'!$G17+GREET1_Import_Export!$B224)+Q$86*(G$64*GREET1_Import_Export!$AA74+G$65*GREET1_Import_Export!$AB74+GREET1_Import_Export!$B292)
+Q$87*($B$46*(GREET1_Import_Export!$B317+GREET1_Import_Export!$C317)+$C$46*GREET1_Import_Export!L350+$D$46*GREET1_Import_Export!H350+$E$46*GREET1_Import_Export!Q350+$F$46*GREET1_Import_Export!R350+SUMPRODUCT($G$46:$I$46,GREET1_Import_Export!N350:P350))</f>
        <v>1672.0177029887348</v>
      </c>
      <c r="R97" s="1"/>
      <c r="S97" s="235"/>
      <c r="T97" s="578">
        <f>T$81*(H$50*GREET1_Import_Export!$K74+GREET1_Import_Export!$B188*GREET1_Import_Export!$F$179+GREET1_Import_Export!$F188)+T$82*(H$52*GREET1_Import_Export!$Q74+H$53*GREET1_Import_Export!$O74+H$54*GREET1_Import_Export!$M74+GREET1_Import_Export!$B188*GREET1_Import_Export!$G$179+GREET1_Import_Export!$G188)+T$83*(H$55*GREET1_Import_Export!$T74+GREET1_Import_Export!$B188*GREET1_Import_Export!$C$179+GREET1_Import_Export!$C188)+T$84*(H$56*GREET1_Import_Export!$W74+GREET1_Import_Export!$E224*GREET1_Import_Export!$F$215+GREET1_Import_Export!$F224)+T$85*(H$57*GREET1_Import_Export!$B74+H$58*GREET1_Import_Export!$C74+H$59*GREET1_Import_Export!$G74+H$61*'GREET2_Factors_T&amp;D'!$F17+H$62*'GREET2_Factors_T&amp;D'!$G17+GREET1_Import_Export!$B224)+T$86*(H$64*GREET1_Import_Export!$AA74+H$65*GREET1_Import_Export!$AB74+GREET1_Import_Export!$B292)+T$87*SUM(GREET1_Import_Export!$B317:$C317)</f>
        <v>2806.3524422407017</v>
      </c>
      <c r="U97" s="1"/>
      <c r="V97" s="235"/>
      <c r="W97" s="578">
        <f>W$81*(BS$50*GREET1_Import_Export!$K74+GREET1_Import_Export!$B188*GREET1_Import_Export!$F$179+GREET1_Import_Export!$F188)+W$82*(BS$52*GREET1_Import_Export!$Q74+BS$53*GREET1_Import_Export!$O74+BS$54*GREET1_Import_Export!$M74+GREET1_Import_Export!$B188*GREET1_Import_Export!$G$179+GREET1_Import_Export!$G188)+W$83*(BS$55*GREET1_Import_Export!$T74+GREET1_Import_Export!$B188*GREET1_Import_Export!$C$179+GREET1_Import_Export!$C188)+W$84*(BS$56*GREET1_Import_Export!$W74+GREET1_Import_Export!$E224*GREET1_Import_Export!$F$215+GREET1_Import_Export!$F224)+W$85*(BS$57*GREET1_Import_Export!$B74+BS$58*GREET1_Import_Export!$C74+BS$59*GREET1_Import_Export!$G74+BS$61*'GREET2_Factors_T&amp;D'!$F17+BS$62*'GREET2_Factors_T&amp;D'!$G17+GREET1_Import_Export!$B224)+W$86*(BS$64*GREET1_Import_Export!$AA74+BS$65*GREET1_Import_Export!$AB74+GREET1_Import_Export!$B292)+W$87*($B$46*(GREET1_Import_Export!$B317+GREET1_Import_Export!$C317)+$C$46*GREET1_Import_Export!L350+$D$46*GREET1_Import_Export!H350+$E$46*GREET1_Import_Export!Q350+$F$46*GREET1_Import_Export!R350+SUMPRODUCT($G$46:$I$46,GREET1_Import_Export!N350:P350))</f>
        <v>1672.0177029887348</v>
      </c>
      <c r="X97" s="1"/>
      <c r="Y97" s="235"/>
      <c r="Z97" s="234">
        <f>Z$81*(J$50*GREET1_Import_Export!$K74+GREET1_Import_Export!$B188*GREET1_Import_Export!$F$179+GREET1_Import_Export!$F188)+Z$82*(J$52*GREET1_Import_Export!$Q74+J$53*GREET1_Import_Export!$O74+J$54*GREET1_Import_Export!$M74+GREET1_Import_Export!$B188*GREET1_Import_Export!$G$179+GREET1_Import_Export!$G188)+Z$83*(J$55*GREET1_Import_Export!$T74+GREET1_Import_Export!$B188*GREET1_Import_Export!$C$179+GREET1_Import_Export!$C188)+Z$84*(J$56*GREET1_Import_Export!$W74+GREET1_Import_Export!$E224*GREET1_Import_Export!$F$215+GREET1_Import_Export!$F224)+Z$85*(J$57*GREET1_Import_Export!$B74+J$58*GREET1_Import_Export!$C74+J$59*GREET1_Import_Export!$G74+J$61*'GREET2_Factors_T&amp;D'!$F17+J$62*'GREET2_Factors_T&amp;D'!$G17+GREET1_Import_Export!$B224)+Z$86*(J$64*GREET1_Import_Export!$AA74+J$65*GREET1_Import_Export!$AB74+GREET1_Import_Export!$B292)+Z$87*SUM(GREET1_Import_Export!$B317:$C317)</f>
        <v>2806.3524422407017</v>
      </c>
      <c r="AA97" s="1"/>
      <c r="AB97" s="235"/>
      <c r="AC97" s="578">
        <f>AC$81*(K$50*GREET1_Import_Export!$K74+GREET1_Import_Export!$B188*GREET1_Import_Export!$F$179+GREET1_Import_Export!$F188)+AC$82*(K$52*GREET1_Import_Export!$Q74+K$53*GREET1_Import_Export!$O74+K$54*GREET1_Import_Export!$M74+GREET1_Import_Export!$B188*GREET1_Import_Export!$G$179+GREET1_Import_Export!$G188)+AC$83*(K$55*GREET1_Import_Export!$T74+GREET1_Import_Export!$B188*GREET1_Import_Export!$C$179+GREET1_Import_Export!$C188)+AC$84*(K$56*GREET1_Import_Export!$W74+GREET1_Import_Export!$E224*GREET1_Import_Export!$F$215+GREET1_Import_Export!$F224)+AC$85*(K$57*GREET1_Import_Export!$B74+K$58*GREET1_Import_Export!$C74+K$59*GREET1_Import_Export!$G74+K$61*'GREET2_Factors_T&amp;D'!$F17+K$62*'GREET2_Factors_T&amp;D'!$G17+GREET1_Import_Export!$B224)+AC$86*(K$64*GREET1_Import_Export!$AA74+K$65*GREET1_Import_Export!$AB74+GREET1_Import_Export!$B292)+AC$87*($B$46*(GREET1_Import_Export!$B317+GREET1_Import_Export!$C317)+$C$46*GREET1_Import_Export!L350+$D$46*GREET1_Import_Export!H350+$E$46*GREET1_Import_Export!Q350+$F$46*GREET1_Import_Export!R350+SUMPRODUCT($G$46:$I$46,GREET1_Import_Export!N350:P350))</f>
        <v>1672.0177029887348</v>
      </c>
      <c r="AD97" s="1"/>
      <c r="AE97" s="235"/>
      <c r="AF97" s="234">
        <f>AF$81*(L$50*GREET1_Import_Export!$K74+GREET1_Import_Export!$B188*GREET1_Import_Export!$F$179+GREET1_Import_Export!$F188)+AF$82*(L$52*GREET1_Import_Export!$Q74+L$53*GREET1_Import_Export!$O74+L$54*GREET1_Import_Export!$M74+GREET1_Import_Export!$B188*GREET1_Import_Export!$G$179+GREET1_Import_Export!$G188)+AF$83*(L$55*GREET1_Import_Export!$T74+GREET1_Import_Export!$B188*GREET1_Import_Export!$C$179+GREET1_Import_Export!$C188)+AF$84*(L$56*GREET1_Import_Export!$W74+GREET1_Import_Export!$E224*GREET1_Import_Export!$F$215+GREET1_Import_Export!$F224)+AF$85*(L$57*GREET1_Import_Export!$B74+L$58*GREET1_Import_Export!$C74+L$59*GREET1_Import_Export!$G74+L$61*'GREET2_Factors_T&amp;D'!$F17+L$62*'GREET2_Factors_T&amp;D'!$G17+GREET1_Import_Export!$B224)+AF$86*(L$64*GREET1_Import_Export!$AA74+L$65*GREET1_Import_Export!$AB74+GREET1_Import_Export!$B292)+AF$87*SUM(GREET1_Import_Export!$B317:$C317)</f>
        <v>2806.3524422407017</v>
      </c>
      <c r="AG97" s="489"/>
      <c r="AH97" s="478"/>
      <c r="AI97" s="578">
        <f>AI$81*(M$50*GREET1_Import_Export!$K74+GREET1_Import_Export!$B188*GREET1_Import_Export!$F$179+GREET1_Import_Export!$F188)+AI$82*(M$52*GREET1_Import_Export!$Q74+M$53*GREET1_Import_Export!$O74+M$54*GREET1_Import_Export!$M74+GREET1_Import_Export!$B188*GREET1_Import_Export!$G$179+GREET1_Import_Export!$G188)+AI$83*(M$55*GREET1_Import_Export!$T74+GREET1_Import_Export!$B188*GREET1_Import_Export!$C$179+GREET1_Import_Export!$C188)+AI$84*(M$56*GREET1_Import_Export!$W74+GREET1_Import_Export!$E224*GREET1_Import_Export!$F$215+GREET1_Import_Export!$F224)+AI$85*(M$57*GREET1_Import_Export!$B74+M$58*GREET1_Import_Export!$C74+M$59*GREET1_Import_Export!$G74+M$61*'GREET2_Factors_T&amp;D'!$F17+M$62*'GREET2_Factors_T&amp;D'!$G17+GREET1_Import_Export!$B224)+AI$86*(M$64*GREET1_Import_Export!$AA74+M$65*GREET1_Import_Export!$AB74+GREET1_Import_Export!$B292)+AI$87*($B$46*(GREET1_Import_Export!$B317+GREET1_Import_Export!$C317)+$C$46*GREET1_Import_Export!L350+$D$46*GREET1_Import_Export!H350+$E$46*GREET1_Import_Export!Q350+$F$46*GREET1_Import_Export!R350+SUMPRODUCT($G$46:$I$46,GREET1_Import_Export!N350:P350))</f>
        <v>1910.877374844267</v>
      </c>
      <c r="AJ97" s="1"/>
      <c r="AK97" s="235"/>
      <c r="AL97" s="234">
        <f>AL$81*(N$50*GREET1_Import_Export!$K74+GREET1_Import_Export!$B188*GREET1_Import_Export!$F$179+GREET1_Import_Export!$F188)+AL$82*(N$52*GREET1_Import_Export!$Q74+N$53*GREET1_Import_Export!$O74+N$54*GREET1_Import_Export!$M74+GREET1_Import_Export!$B188*GREET1_Import_Export!$G$179+GREET1_Import_Export!$G188)+AL$83*(N$55*GREET1_Import_Export!$T74+GREET1_Import_Export!$B188*GREET1_Import_Export!$C$179+GREET1_Import_Export!$C188)+AL$84*(N$56*GREET1_Import_Export!$W74+GREET1_Import_Export!$E224*GREET1_Import_Export!$F$215+GREET1_Import_Export!$F224)+AL$85*(N$57*GREET1_Import_Export!$B74+N$58*GREET1_Import_Export!$C74+N$59*GREET1_Import_Export!$G74+N$61*'GREET2_Factors_T&amp;D'!$F17+N$62*'GREET2_Factors_T&amp;D'!$G17+GREET1_Import_Export!$B224)+AL$86*(N$64*GREET1_Import_Export!$AA74+N$65*GREET1_Import_Export!$AB74+GREET1_Import_Export!$B292)+AL$87*SUM(GREET1_Import_Export!$B317:$C317)</f>
        <v>2298.8230935560787</v>
      </c>
      <c r="AM97" s="1"/>
      <c r="AN97" s="235"/>
      <c r="AO97" s="234">
        <f>AO$81*(O$50*GREET1_Import_Export!$K74+GREET1_Import_Export!$B188*GREET1_Import_Export!$F$179+GREET1_Import_Export!$F188)+AO$82*(O$52*GREET1_Import_Export!$Q74+O$53*GREET1_Import_Export!$O74+O$54*GREET1_Import_Export!$M74+GREET1_Import_Export!$B188*GREET1_Import_Export!$G$179+GREET1_Import_Export!$G188)+AO$83*(O$55*GREET1_Import_Export!$T74+GREET1_Import_Export!$B188*GREET1_Import_Export!$C$179+GREET1_Import_Export!$C188)+AO$84*(O$56*GREET1_Import_Export!$W74+GREET1_Import_Export!$E224*GREET1_Import_Export!$F$215+GREET1_Import_Export!$F224)+AO$85*(O$57*GREET1_Import_Export!$B74+O$58*GREET1_Import_Export!$C74+O$59*GREET1_Import_Export!$G74+O$61*'GREET2_Factors_T&amp;D'!$F17+O$62*'GREET2_Factors_T&amp;D'!$G17+GREET1_Import_Export!$B224)+AO$86*(O$64*GREET1_Import_Export!$AA74+O$65*GREET1_Import_Export!$AB74+GREET1_Import_Export!$B292)+AO$87*SUM(GREET1_Import_Export!$B317:$C317)</f>
        <v>1809.680493868141</v>
      </c>
      <c r="AP97" s="1"/>
      <c r="AQ97" s="235"/>
      <c r="AR97" s="234">
        <f>AR$81*(P$50*GREET1_Import_Export!$K74+GREET1_Import_Export!$B188*GREET1_Import_Export!$F$179+GREET1_Import_Export!$F188)+AR$82*(P$52*GREET1_Import_Export!$Q74+P$53*GREET1_Import_Export!$O74+P$54*GREET1_Import_Export!$M74+GREET1_Import_Export!$B188*GREET1_Import_Export!$G$179+GREET1_Import_Export!$G188)+AR$83*(P$55*GREET1_Import_Export!$T74+GREET1_Import_Export!$B188*GREET1_Import_Export!$C$179+GREET1_Import_Export!$C188)+AR$84*(P$56*GREET1_Import_Export!$W74+GREET1_Import_Export!$E224*GREET1_Import_Export!$F$215+GREET1_Import_Export!$F224)+AR$85*(P$57*GREET1_Import_Export!$B74+P$58*GREET1_Import_Export!$C74+P$59*GREET1_Import_Export!$G74+P$61*'GREET2_Factors_T&amp;D'!$F17+P$62*'GREET2_Factors_T&amp;D'!$G17+GREET1_Import_Export!$B224)+AR$86*(P$64*GREET1_Import_Export!$AA74+P$65*GREET1_Import_Export!$AB74+GREET1_Import_Export!$B292)+AR$87*SUM(GREET1_Import_Export!$B317:$C317)</f>
        <v>2283.3569280873799</v>
      </c>
      <c r="AS97" s="1"/>
      <c r="AT97" s="235"/>
      <c r="AU97" s="234">
        <f>AU$81*(Q$50*GREET1_Import_Export!$K74+GREET1_Import_Export!$B188*GREET1_Import_Export!$F$179+GREET1_Import_Export!$F188)+AU$82*(Q$52*GREET1_Import_Export!$Q74+Q$53*GREET1_Import_Export!$O74+Q$54*GREET1_Import_Export!$M74+GREET1_Import_Export!$B188*GREET1_Import_Export!$G$179+GREET1_Import_Export!$G188)+AU$83*(Q$55*GREET1_Import_Export!$T74+GREET1_Import_Export!$B188*GREET1_Import_Export!$C$179+GREET1_Import_Export!$C188)+AU$84*(Q$56*GREET1_Import_Export!$W74+GREET1_Import_Export!$E224*GREET1_Import_Export!$F$215+GREET1_Import_Export!$F224)+AU$85*(Q$57*GREET1_Import_Export!$B74+Q$58*GREET1_Import_Export!$C74+Q$59*GREET1_Import_Export!$G74+Q$61*'GREET2_Factors_T&amp;D'!$F17+Q$62*'GREET2_Factors_T&amp;D'!$G17+GREET1_Import_Export!$B224)+AU$86*(Q$64*GREET1_Import_Export!$AA74+Q$65*GREET1_Import_Export!$AB74+GREET1_Import_Export!$B292)+AU$87*SUM(GREET1_Import_Export!$B317:$C317)</f>
        <v>1154.7802112983727</v>
      </c>
      <c r="AV97" s="1"/>
      <c r="AW97" s="235"/>
      <c r="AX97" s="234">
        <f>AX$81*(R$50*GREET1_Import_Export!$K74+GREET1_Import_Export!$B188*GREET1_Import_Export!$F$179+GREET1_Import_Export!$F188)+AX$82*(R$52*GREET1_Import_Export!$Q74+R$53*GREET1_Import_Export!$O74+R$54*GREET1_Import_Export!$M74+GREET1_Import_Export!$B188*GREET1_Import_Export!$G$179+GREET1_Import_Export!$G188)+AX$83*(R$55*GREET1_Import_Export!$T74+GREET1_Import_Export!$B188*GREET1_Import_Export!$C$179+GREET1_Import_Export!$C188)+AX$84*(R$56*GREET1_Import_Export!$W74+GREET1_Import_Export!$E224*GREET1_Import_Export!$F$215+GREET1_Import_Export!$F224)+AX$85*(R$57*GREET1_Import_Export!$B74+R$58*GREET1_Import_Export!$C74+R$59*GREET1_Import_Export!$G74+R$61*'GREET2_Factors_T&amp;D'!$F17+R$62*'GREET2_Factors_T&amp;D'!$G17+GREET1_Import_Export!$B224)+AX$86*(R$64*GREET1_Import_Export!$AA74+R$65*GREET1_Import_Export!$AB74+GREET1_Import_Export!$B292)+AX$87*SUM(GREET1_Import_Export!$B317:$C317)</f>
        <v>372.01705764744878</v>
      </c>
      <c r="AY97" s="1"/>
      <c r="AZ97" s="235"/>
      <c r="BA97" s="234">
        <f>BA$81*(S$50*GREET1_Import_Export!$K74+GREET1_Import_Export!$B188*GREET1_Import_Export!$F$179+GREET1_Import_Export!$F188)+BA$82*(S$52*GREET1_Import_Export!$Q74+S$53*GREET1_Import_Export!$O74+S$54*GREET1_Import_Export!$M74+GREET1_Import_Export!$B188*GREET1_Import_Export!$G$179+GREET1_Import_Export!$G188)+BA$83*(S$55*GREET1_Import_Export!$T74+GREET1_Import_Export!$B188*GREET1_Import_Export!$C$179+GREET1_Import_Export!$C188)+BA$84*(S$56*GREET1_Import_Export!$W74+GREET1_Import_Export!$E224*GREET1_Import_Export!$F$215+GREET1_Import_Export!$F224)+BA$85*(S$57*GREET1_Import_Export!$B74+S$58*GREET1_Import_Export!$C74+S$59*GREET1_Import_Export!$G74+S$61*'GREET2_Factors_T&amp;D'!$F17+S$62*'GREET2_Factors_T&amp;D'!$G17+GREET1_Import_Export!$B224)+BA$86*(S$64*GREET1_Import_Export!$AA74+S$65*GREET1_Import_Export!$AB74+GREET1_Import_Export!$B292)+BA$87*SUM(GREET1_Import_Export!$B317:$C317)</f>
        <v>1433.158031133202</v>
      </c>
      <c r="BB97" s="1"/>
      <c r="BC97" s="235"/>
      <c r="BD97" s="578">
        <f>BD$81*(T$50*GREET1_Import_Export!$K74+GREET1_Import_Export!$B188*GREET1_Import_Export!$F$179+GREET1_Import_Export!$F188)+BD$82*(T$52*GREET1_Import_Export!$Q74+T$53*GREET1_Import_Export!$O74+T$54*GREET1_Import_Export!$M74+GREET1_Import_Export!$B188*GREET1_Import_Export!$G$179+GREET1_Import_Export!$G188)+BD$83*(T$55*GREET1_Import_Export!$T74+GREET1_Import_Export!$B188*GREET1_Import_Export!$C$179+GREET1_Import_Export!$C188)+BD$84*(T$56*GREET1_Import_Export!$W74+GREET1_Import_Export!$E224*GREET1_Import_Export!$F$215+GREET1_Import_Export!$F224)+BD$85*(T$57*GREET1_Import_Export!$B74+T$58*GREET1_Import_Export!$C74+T$59*GREET1_Import_Export!$G74+T$61*'GREET2_Factors_T&amp;D'!$F17+T$62*'GREET2_Factors_T&amp;D'!$G17+GREET1_Import_Export!$B224)+BD$86*(T$64*GREET1_Import_Export!$AA74+T$65*GREET1_Import_Export!$AB74+GREET1_Import_Export!$B292)+BD$87*SUM(GREET1_Import_Export!$B317:$C317)</f>
        <v>1157.3934165912867</v>
      </c>
      <c r="BE97" s="489"/>
      <c r="BF97" s="478"/>
      <c r="BG97" s="578">
        <f>BG$81*(U$50*GREET1_Import_Export!$K74+GREET1_Import_Export!$B188*GREET1_Import_Export!$F$179+GREET1_Import_Export!$F188)+BG$82*(U$52*GREET1_Import_Export!$Q74+U$53*GREET1_Import_Export!$O74+U$54*GREET1_Import_Export!$M74+GREET1_Import_Export!$B188*GREET1_Import_Export!$G$179+GREET1_Import_Export!$G188)+BG$83*(U$55*GREET1_Import_Export!$T74+GREET1_Import_Export!$B188*GREET1_Import_Export!$C$179+GREET1_Import_Export!$C188)+BG$84*(U$56*GREET1_Import_Export!$W74+GREET1_Import_Export!$E224*GREET1_Import_Export!$F$215+GREET1_Import_Export!$F224)+BG$85*(U$57*GREET1_Import_Export!$B74+U$58*GREET1_Import_Export!$C74+U$59*GREET1_Import_Export!$G74+U$61*'GREET2_Factors_T&amp;D'!$F17+U$62*'GREET2_Factors_T&amp;D'!$G17+GREET1_Import_Export!$B224)+BG$86*(U$64*GREET1_Import_Export!$AA74+U$65*GREET1_Import_Export!$AB74+GREET1_Import_Export!$B292)+BG$87*SUM(GREET1_Import_Export!$B317:$C317)</f>
        <v>2117.4827146090997</v>
      </c>
      <c r="BH97" s="489"/>
      <c r="BI97" s="478"/>
      <c r="BJ97" s="578">
        <f>BJ$81*(V$50*GREET1_Import_Export!$K74+GREET1_Import_Export!$B188*GREET1_Import_Export!$F$179+GREET1_Import_Export!$F188)+BJ$82*(V$52*GREET1_Import_Export!$Q74+V$53*GREET1_Import_Export!$O74+V$54*GREET1_Import_Export!$M74+GREET1_Import_Export!$B188*GREET1_Import_Export!$G$179+GREET1_Import_Export!$G188)+BJ$83*(V$55*GREET1_Import_Export!$T74+GREET1_Import_Export!$B188*GREET1_Import_Export!$C$179+GREET1_Import_Export!$C188)+BJ$84*(V$56*GREET1_Import_Export!$W74+GREET1_Import_Export!$E224*GREET1_Import_Export!$F$215+GREET1_Import_Export!$F224)+BJ$85*(V$57*GREET1_Import_Export!$B74+V$58*GREET1_Import_Export!$C74+V$59*GREET1_Import_Export!$G74+V$61*'GREET2_Factors_T&amp;D'!$F17+V$62*'GREET2_Factors_T&amp;D'!$G17+GREET1_Import_Export!$B224)+BJ$86*(V$64*GREET1_Import_Export!$AA74+V$65*GREET1_Import_Export!$AB74+GREET1_Import_Export!$B292)+BJ$87*SUM(GREET1_Import_Export!$B317:$C317)</f>
        <v>195.31556140833871</v>
      </c>
      <c r="BK97" s="489"/>
      <c r="BL97" s="478"/>
      <c r="BM97" s="578">
        <f>BM$81*(X$50*GREET1_Import_Export!$K74+GREET1_Import_Export!$B188*GREET1_Import_Export!$F$179+GREET1_Import_Export!$F188)+BM$82*(X$52*GREET1_Import_Export!$Q74+X$53*GREET1_Import_Export!$O74+X$54*GREET1_Import_Export!$M74+GREET1_Import_Export!$B188*GREET1_Import_Export!$G$179+GREET1_Import_Export!$G188)+BM$83*(X$55*GREET1_Import_Export!$T74+GREET1_Import_Export!$B188*GREET1_Import_Export!$C$179+GREET1_Import_Export!$C188)+BM$84*(X$56*GREET1_Import_Export!$W74+GREET1_Import_Export!$E224*GREET1_Import_Export!$F$215+GREET1_Import_Export!$F224)+BM$85*(X$57*GREET1_Import_Export!$B74+X$58*GREET1_Import_Export!$C74+X$59*GREET1_Import_Export!$G74+X$61*'GREET2_Factors_T&amp;D'!$F17+X$62*'GREET2_Factors_T&amp;D'!$G17+GREET1_Import_Export!$B224)+BM$86*(X$64*GREET1_Import_Export!$AA74+X$65*GREET1_Import_Export!$AB74+GREET1_Import_Export!$B292)+BM$87*SUM(GREET1_Import_Export!$B317:$C317)</f>
        <v>67.798547059953151</v>
      </c>
      <c r="BN97" s="489"/>
      <c r="BO97" s="478"/>
      <c r="BP97" s="234">
        <f>BP$81*(Z$50*GREET1_Import_Export!$K74+GREET1_Import_Export!$B188*GREET1_Import_Export!$F$179+GREET1_Import_Export!$F188)+BP$82*(Z$52*GREET1_Import_Export!$Q74+Z$53*GREET1_Import_Export!$O74+Z$54*GREET1_Import_Export!$M74+GREET1_Import_Export!$B188*GREET1_Import_Export!$G$179+GREET1_Import_Export!$G188)+BP$83*(Z$55*GREET1_Import_Export!$T74+GREET1_Import_Export!$B188*GREET1_Import_Export!$C$179+GREET1_Import_Export!$C188)+BP$84*(Z$56*GREET1_Import_Export!$W74+GREET1_Import_Export!$E224*GREET1_Import_Export!$F$215+GREET1_Import_Export!$F224)+BP$85*(Z$57*GREET1_Import_Export!$B74+Z$58*GREET1_Import_Export!$C74+Z$59*GREET1_Import_Export!$G74+Z$61*'GREET2_Factors_T&amp;D'!$F17+Z$62*'GREET2_Factors_T&amp;D'!$G17+GREET1_Import_Export!$B224)+BP$86*(Z$64*GREET1_Import_Export!$AA74+Z$65*GREET1_Import_Export!$AB74+GREET1_Import_Export!$B292)+BP$87*SUM(GREET1_Import_Export!$B317:$C317)</f>
        <v>0</v>
      </c>
      <c r="BQ97" s="1"/>
      <c r="BR97" s="235"/>
      <c r="BS97" s="753">
        <f>BS$81*(AA$50*GREET1_Import_Export!$K74+GREET1_Import_Export!$B188*GREET1_Import_Export!$F$179+GREET1_Import_Export!$F188)+BS$82*(AA$52*GREET1_Import_Export!$Q74+AA$53*GREET1_Import_Export!$O74+AA$54*GREET1_Import_Export!$M74+GREET1_Import_Export!$B188*GREET1_Import_Export!$G$179+GREET1_Import_Export!$G188)+BS$83*(AA$55*GREET1_Import_Export!$T74+GREET1_Import_Export!$B188*GREET1_Import_Export!$C$179+GREET1_Import_Export!$C188)+BS$84*(AA$56*GREET1_Import_Export!$W74+GREET1_Import_Export!$E224*GREET1_Import_Export!$F$215+GREET1_Import_Export!$F224)+BS$85*(AA$57*GREET1_Import_Export!$B74+AA$58*GREET1_Import_Export!$C74+AA$59*GREET1_Import_Export!$G74+AA$61*'GREET2_Factors_T&amp;D'!$F17+AA$62*'GREET2_Factors_T&amp;D'!$G17+GREET1_Import_Export!$B224)+BS$86*(AA$64*GREET1_Import_Export!$AA74+AA$65*GREET1_Import_Export!$AB74+GREET1_Import_Export!$B292)+BS$87*(GREET1_Import_Export!$B317+GREET1_Import_Export!$C317)</f>
        <v>19.289890276521444</v>
      </c>
      <c r="BT97" s="350"/>
      <c r="BU97" s="1082"/>
      <c r="BV97" s="753">
        <f>BV$81*(AB$50*GREET1_Import_Export!$K74+GREET1_Import_Export!$B188*GREET1_Import_Export!$F$179+GREET1_Import_Export!$F188)+BV$82*(AB$52*GREET1_Import_Export!$Q74+AB$53*GREET1_Import_Export!$O74+AB$54*GREET1_Import_Export!$M74+GREET1_Import_Export!$B188*GREET1_Import_Export!$G$179+GREET1_Import_Export!$G188)+BV$83*(AB$55*GREET1_Import_Export!$T74+GREET1_Import_Export!$B188*GREET1_Import_Export!$C$179+GREET1_Import_Export!$C188)+BV$84*(AB$56*GREET1_Import_Export!$W74+GREET1_Import_Export!$E224*GREET1_Import_Export!$F$215+GREET1_Import_Export!$F224)+BV$85*(AB$57*GREET1_Import_Export!$B74+AB$58*GREET1_Import_Export!$C74+AB$59*GREET1_Import_Export!$G74+AB$61*'GREET2_Factors_T&amp;D'!$F17+AB$62*'GREET2_Factors_T&amp;D'!$G17+GREET1_Import_Export!$B224)+BV$86*(AB$64*GREET1_Import_Export!$AA74+AB$65*GREET1_Import_Export!$AB74+GREET1_Import_Export!$B292)+BV$87*(GREET1_Import_Export!$B317+GREET1_Import_Export!$C317)</f>
        <v>0</v>
      </c>
      <c r="BW97" s="350"/>
      <c r="BX97" s="1082"/>
      <c r="BY97" s="753">
        <f>BY$81*(AC$50*GREET1_Import_Export!$K74+GREET1_Import_Export!$B188*GREET1_Import_Export!$F$179+GREET1_Import_Export!$F188)+BY$82*(AC$52*GREET1_Import_Export!$Q74+AC$53*GREET1_Import_Export!$O74+AC$54*GREET1_Import_Export!$M74+GREET1_Import_Export!$B188*GREET1_Import_Export!$G$179+GREET1_Import_Export!$G188)+BY$83*(AC$55*GREET1_Import_Export!$T74+GREET1_Import_Export!$B188*GREET1_Import_Export!$C$179+GREET1_Import_Export!$C188)+BY$84*(AC$56*GREET1_Import_Export!$W74+GREET1_Import_Export!$E224*GREET1_Import_Export!$F$215+GREET1_Import_Export!$F224)+BY$85*(AC$57*GREET1_Import_Export!$B74+AC$58*GREET1_Import_Export!$C74+AC$59*GREET1_Import_Export!$G74+AC$61*'GREET2_Factors_T&amp;D'!$F17+AC$62*'GREET2_Factors_T&amp;D'!$G17+GREET1_Import_Export!$B224)+BY$86*(AC$64*GREET1_Import_Export!$AA74+AC$65*GREET1_Import_Export!$AB74+GREET1_Import_Export!$B292)+BY$87*(GREET1_Import_Export!$B317+GREET1_Import_Export!$C317)</f>
        <v>2806.3524422407017</v>
      </c>
      <c r="BZ97" s="350"/>
      <c r="CA97" s="1082"/>
      <c r="CB97" s="753">
        <f>CB$81*(AD$50*GREET1_Import_Export!$K74+GREET1_Import_Export!$B188*GREET1_Import_Export!$F$179+GREET1_Import_Export!$F188)+CB$82*(AD$52*GREET1_Import_Export!$Q74+AD$53*GREET1_Import_Export!$O74+AD$54*GREET1_Import_Export!$M74+GREET1_Import_Export!$B188*GREET1_Import_Export!$G$179+GREET1_Import_Export!$G188)+CB$83*(AD$55*GREET1_Import_Export!$T74+GREET1_Import_Export!$B188*GREET1_Import_Export!$C$179+GREET1_Import_Export!$C188)+CB$84*(AD$56*GREET1_Import_Export!$W74+GREET1_Import_Export!$E224*GREET1_Import_Export!$F$215+GREET1_Import_Export!$F224)+CB$85*(AD$57*GREET1_Import_Export!$B74+AD$58*GREET1_Import_Export!$C74+AD$59*GREET1_Import_Export!$G74+AD$61*'GREET2_Factors_T&amp;D'!$F17+AD$62*'GREET2_Factors_T&amp;D'!$G17+GREET1_Import_Export!$B224)+CB$86*(AD$64*GREET1_Import_Export!$AA74+AD$65*GREET1_Import_Export!$AB74+GREET1_Import_Export!$B292)+CB$87*(GREET1_Import_Export!$B317+GREET1_Import_Export!$C317)</f>
        <v>1910.877374844267</v>
      </c>
      <c r="CC97" s="350"/>
      <c r="CD97" s="1082"/>
      <c r="CE97" s="749">
        <f>CE$81*($AE$50*GREET1_Import_Export!$K74+GREET1_Import_Export!$F$179*GREET1_Import_Export!$B188+GREET1_Import_Export!$F188)+CE$82*(GREET1_Import_Export!$R74+GREET1_Import_Export!$H$179*GREET1_Import_Export!$B188+GREET1_Import_Export!$H188)+CE$83*(GREET1_Import_Export!$T74+GREET1_Import_Export!$C$179*GREET1_Import_Export!$B188+GREET1_Import_Export!$C188)+CE$84*(GREET1_Import_Export!$X74+GREET1_Import_Export!$B$10*(GREET1_Import_Export!$F$215*GREET1_Import_Export!$B224+GREET1_Import_Export!$F224)+GREET1_Import_Export!$C$10*(GREET1_Import_Export!$E$179*GREET1_Import_Export!$B188+GREET1_Import_Export!$E188))+CE$85*($AE$57*GREET1_Import_Export!$B74+GREET1_Import_Export!$B224)+CE$86*($AE$64 *GREET1_Import_Export!$AA74+GREET1_Import_Export!$B292)+CE$87*(GREET1_Import_Export!$B317+GREET1_Import_Export!$C317)</f>
        <v>0</v>
      </c>
      <c r="CF97" s="817"/>
      <c r="CG97" s="1321"/>
      <c r="CH97" s="1321"/>
      <c r="CI97" s="1321"/>
      <c r="CJ97" s="1321"/>
      <c r="CK97" s="1321"/>
      <c r="CL97" s="1321"/>
      <c r="CM97" s="1321"/>
      <c r="CN97" s="1321"/>
      <c r="CO97" s="1321"/>
      <c r="CP97" s="1321"/>
      <c r="CQ97" s="1321"/>
      <c r="CR97" s="1321"/>
      <c r="CS97" s="1321"/>
      <c r="CT97" s="1321"/>
      <c r="CU97" s="1321"/>
      <c r="CV97" s="1321"/>
      <c r="CW97" s="1321"/>
      <c r="CX97" s="1321"/>
      <c r="CY97" s="1321"/>
      <c r="CZ97" s="1321"/>
      <c r="DA97" s="1321"/>
      <c r="DB97" s="1321"/>
      <c r="DC97" s="1321"/>
      <c r="DD97" s="1321"/>
      <c r="DE97" s="1321"/>
      <c r="DF97" s="1321"/>
      <c r="DG97" s="1321"/>
      <c r="DH97" s="1321"/>
      <c r="DI97" s="1321"/>
      <c r="DJ97" s="1321"/>
      <c r="DK97" s="1321"/>
      <c r="DL97" s="1321"/>
      <c r="DM97" s="1321"/>
      <c r="DN97" s="1321"/>
      <c r="DO97" s="1321"/>
      <c r="DP97" s="1321"/>
      <c r="DQ97" s="1321"/>
      <c r="DR97" s="1321"/>
      <c r="DS97" s="1321"/>
      <c r="DT97" s="1321"/>
      <c r="DU97" s="1321"/>
      <c r="DV97" s="1321"/>
      <c r="DW97" s="1321"/>
      <c r="DX97" s="1321"/>
      <c r="DY97" s="1321"/>
      <c r="DZ97" s="1321"/>
      <c r="EA97" s="1321"/>
      <c r="EB97" s="1321"/>
      <c r="EC97" s="1321"/>
      <c r="ED97" s="1321"/>
      <c r="EE97" s="1321"/>
      <c r="EF97" s="1321"/>
      <c r="EG97" s="1321"/>
      <c r="EH97" s="1321"/>
      <c r="EI97" s="1321"/>
      <c r="EJ97" s="1321"/>
      <c r="EK97" s="1321"/>
      <c r="EL97" s="1321"/>
      <c r="EM97" s="1321"/>
      <c r="EN97" s="1321"/>
      <c r="EO97" s="1321"/>
      <c r="EP97" s="1321"/>
      <c r="EQ97" s="1321"/>
      <c r="ER97" s="1321"/>
      <c r="ES97" s="1321"/>
      <c r="ET97" s="1321"/>
      <c r="EU97" s="1321"/>
      <c r="EV97" s="1321"/>
      <c r="EW97" s="1321"/>
      <c r="EX97" s="1321"/>
      <c r="EY97" s="1321"/>
      <c r="EZ97" s="1321"/>
      <c r="FA97" s="1321"/>
      <c r="FB97" s="1321"/>
    </row>
    <row r="98" spans="1:158">
      <c r="A98" s="100" t="s">
        <v>824</v>
      </c>
      <c r="B98" s="234">
        <f>B$81*(B$50*GREET1_Import_Export!$K75+GREET1_Import_Export!$B189*GREET1_Import_Export!$F$179+GREET1_Import_Export!$F189)+B$82*(B$52*GREET1_Import_Export!$Q75+B$53*GREET1_Import_Export!$O75+B$54*GREET1_Import_Export!$M75+GREET1_Import_Export!$B189*GREET1_Import_Export!$G$179+GREET1_Import_Export!$G189)+B$83*(B$55*GREET1_Import_Export!$T75+GREET1_Import_Export!$B189*GREET1_Import_Export!$C$179+GREET1_Import_Export!$C189)+B$84*(B$56*GREET1_Import_Export!$W75+GREET1_Import_Export!$E225*GREET1_Import_Export!$F$215+GREET1_Import_Export!$F225)+B$85*(B$57*GREET1_Import_Export!$B75+B$58*GREET1_Import_Export!$C75+B$59*GREET1_Import_Export!$G75+B$61*'GREET2_Factors_T&amp;D'!$F18+B$62*'GREET2_Factors_T&amp;D'!$G18+GREET1_Import_Export!$B225)+B$86*(B$64*GREET1_Import_Export!$AA75+B$65*GREET1_Import_Export!$AB75+GREET1_Import_Export!$B293)+B$87*SUM(GREET1_Import_Export!$B318:$C318)</f>
        <v>0</v>
      </c>
      <c r="C98" s="480"/>
      <c r="D98" s="235"/>
      <c r="E98" s="234">
        <f>E$81*(C$50*GREET1_Import_Export!$K75+GREET1_Import_Export!$B189*GREET1_Import_Export!$F$179+GREET1_Import_Export!$F189)+E$82*(C$52*GREET1_Import_Export!$Q75+C$53*GREET1_Import_Export!$O75+C$54*GREET1_Import_Export!$M75+GREET1_Import_Export!$B189*GREET1_Import_Export!$G$179+GREET1_Import_Export!$G189)+E$83*(C$55*GREET1_Import_Export!$T75+GREET1_Import_Export!$B189*GREET1_Import_Export!$C$179+GREET1_Import_Export!$C189)+E$84*(C$56*GREET1_Import_Export!$W75+GREET1_Import_Export!$E225*GREET1_Import_Export!$F$215+GREET1_Import_Export!$F225)+E$85*(C$57*GREET1_Import_Export!$B75+C$58*GREET1_Import_Export!$C75+C$59*GREET1_Import_Export!$G75+C$61*'GREET2_Factors_T&amp;D'!$F18+C$62*'GREET2_Factors_T&amp;D'!$G18+GREET1_Import_Export!$B225)+E$86*(C$64*GREET1_Import_Export!$AA75+C$65*GREET1_Import_Export!$AB75+GREET1_Import_Export!$B293)+E$87*SUM(GREET1_Import_Export!$B318:$C318)</f>
        <v>0</v>
      </c>
      <c r="F98" s="480"/>
      <c r="G98" s="235"/>
      <c r="H98" s="234">
        <f>H$81*(D$50*GREET1_Import_Export!$K75+GREET1_Import_Export!$B189*GREET1_Import_Export!$F$179+GREET1_Import_Export!$F189)+H$82*(D$52*GREET1_Import_Export!$Q75+D$53*GREET1_Import_Export!$O75+D$54*GREET1_Import_Export!$M75+GREET1_Import_Export!$B189*GREET1_Import_Export!$G$179+GREET1_Import_Export!$G189)+H$83*(D$55*GREET1_Import_Export!$T75+GREET1_Import_Export!$B189*GREET1_Import_Export!$C$179+GREET1_Import_Export!$C189)+H$84*(D$56*GREET1_Import_Export!$W75+GREET1_Import_Export!$E225*GREET1_Import_Export!$F$215+GREET1_Import_Export!$F225)+H$85*(D$57*GREET1_Import_Export!$B75+D$58*GREET1_Import_Export!$C75+D$59*GREET1_Import_Export!$G75+D$61*'GREET2_Factors_T&amp;D'!$F18+D$62*'GREET2_Factors_T&amp;D'!$G18+GREET1_Import_Export!$B225)+H$86*(D$64*GREET1_Import_Export!$AA75+D$65*GREET1_Import_Export!$AB75+GREET1_Import_Export!$B293)+H$87*SUM(GREET1_Import_Export!$B318:$C318)</f>
        <v>151.65380400129757</v>
      </c>
      <c r="I98" s="480"/>
      <c r="J98" s="235"/>
      <c r="K98" s="234">
        <f>K$81*(E$50*GREET1_Import_Export!$K75+GREET1_Import_Export!$B189*GREET1_Import_Export!$F$179+GREET1_Import_Export!$F189)+K$82*(E$52*GREET1_Import_Export!$Q75+E$53*GREET1_Import_Export!$O75+E$54*GREET1_Import_Export!$M75+GREET1_Import_Export!$B189*GREET1_Import_Export!$G$179+GREET1_Import_Export!$G189)+K$83*(E$55*GREET1_Import_Export!$T75+GREET1_Import_Export!$B189*GREET1_Import_Export!$C$179+GREET1_Import_Export!$C189)+K$84*(E$56*GREET1_Import_Export!$W75+GREET1_Import_Export!$E225*GREET1_Import_Export!$F$215+GREET1_Import_Export!$F225)+K$85*(E$57*GREET1_Import_Export!$B75+E$58*GREET1_Import_Export!$C75+E$59*GREET1_Import_Export!$G75+E$61*'GREET2_Factors_T&amp;D'!$F18+E$62*'GREET2_Factors_T&amp;D'!$G18+GREET1_Import_Export!$B225)+K$86*(E$64*GREET1_Import_Export!$AA75+E$65*GREET1_Import_Export!$AB75+GREET1_Import_Export!$B293)+K$87*SUM(GREET1_Import_Export!$B318:$C318)</f>
        <v>267.65035618190132</v>
      </c>
      <c r="L98" s="480"/>
      <c r="M98" s="235"/>
      <c r="N98" s="234">
        <f>N$81*(F$50*GREET1_Import_Export!$K75+GREET1_Import_Export!$B189*GREET1_Import_Export!$F$179+GREET1_Import_Export!$F189)+N$82*(F$52*GREET1_Import_Export!$Q75+F$53*GREET1_Import_Export!$O75+F$54*GREET1_Import_Export!$M75+GREET1_Import_Export!$B189*GREET1_Import_Export!$G$179+GREET1_Import_Export!$G189)+N$83*(F$55*GREET1_Import_Export!$T75+GREET1_Import_Export!$B189*GREET1_Import_Export!$C$179+GREET1_Import_Export!$C189)+N$84*(F$56*GREET1_Import_Export!$W75+GREET1_Import_Export!$E225*GREET1_Import_Export!$F$215+GREET1_Import_Export!$F225)+N$85*(F$57*GREET1_Import_Export!$B75+F$58*GREET1_Import_Export!$C75+F$59*GREET1_Import_Export!$G75+F$61*'GREET2_Factors_T&amp;D'!$F18+F$62*'GREET2_Factors_T&amp;D'!$G18+GREET1_Import_Export!$B225)+N$86*(F$64*GREET1_Import_Export!$AA75+F$65*GREET1_Import_Export!$AB75+GREET1_Import_Export!$B293)+N$87*SUM(GREET1_Import_Export!$B318:$C318)</f>
        <v>151.65380400129757</v>
      </c>
      <c r="O98" s="480"/>
      <c r="P98" s="235"/>
      <c r="Q98" s="578">
        <f>Q$81*(G$50*GREET1_Import_Export!$K75+GREET1_Import_Export!$B189*GREET1_Import_Export!$F$179+GREET1_Import_Export!$F189)+Q$82*(G$52*GREET1_Import_Export!$Q75+G$53*GREET1_Import_Export!$O75+G$54*GREET1_Import_Export!$M75+GREET1_Import_Export!$B189*GREET1_Import_Export!$G$179+GREET1_Import_Export!$G189)+Q$83*(G$55*GREET1_Import_Export!$T75+GREET1_Import_Export!$B189*GREET1_Import_Export!$C$179+GREET1_Import_Export!$C189)+Q$84*(G$56*GREET1_Import_Export!$W75+GREET1_Import_Export!$E225*GREET1_Import_Export!$F$215+GREET1_Import_Export!$F225)+Q$85*(G$57*GREET1_Import_Export!$B75+G$58*GREET1_Import_Export!$C75+G$59*GREET1_Import_Export!$G75+G$61*'GREET2_Factors_T&amp;D'!$F18+G$62*'GREET2_Factors_T&amp;D'!$G18+GREET1_Import_Export!$B225)+Q$86*(G$64*GREET1_Import_Export!$AA75+G$65*GREET1_Import_Export!$AB75+GREET1_Import_Export!$B293)
+Q$87*($B$46*(GREET1_Import_Export!$B318+GREET1_Import_Export!$C318)+$C$46*GREET1_Import_Export!L351+$D$46*GREET1_Import_Export!H351+$E$46*GREET1_Import_Export!Q351+$F$46*GREET1_Import_Export!R351+SUMPRODUCT($G$46:$I$46,GREET1_Import_Export!N351:P351))</f>
        <v>267.65035618190132</v>
      </c>
      <c r="R98" s="480"/>
      <c r="S98" s="235"/>
      <c r="T98" s="578">
        <f>T$81*(H$50*GREET1_Import_Export!$K75+GREET1_Import_Export!$B189*GREET1_Import_Export!$F$179+GREET1_Import_Export!$F189)+T$82*(H$52*GREET1_Import_Export!$Q75+H$53*GREET1_Import_Export!$O75+H$54*GREET1_Import_Export!$M75+GREET1_Import_Export!$B189*GREET1_Import_Export!$G$179+GREET1_Import_Export!$G189)+T$83*(H$55*GREET1_Import_Export!$T75+GREET1_Import_Export!$B189*GREET1_Import_Export!$C$179+GREET1_Import_Export!$C189)+T$84*(H$56*GREET1_Import_Export!$W75+GREET1_Import_Export!$E225*GREET1_Import_Export!$F$215+GREET1_Import_Export!$F225)+T$85*(H$57*GREET1_Import_Export!$B75+H$58*GREET1_Import_Export!$C75+H$59*GREET1_Import_Export!$G75+H$61*'GREET2_Factors_T&amp;D'!$F18+H$62*'GREET2_Factors_T&amp;D'!$G18+GREET1_Import_Export!$B225)+T$86*(H$64*GREET1_Import_Export!$AA75+H$65*GREET1_Import_Export!$AB75+GREET1_Import_Export!$B293)+T$87*SUM(GREET1_Import_Export!$B318:$C318)</f>
        <v>151.65380400129757</v>
      </c>
      <c r="U98" s="480"/>
      <c r="V98" s="235"/>
      <c r="W98" s="578">
        <f>W$81*(BS$50*GREET1_Import_Export!$K75+GREET1_Import_Export!$B189*GREET1_Import_Export!$F$179+GREET1_Import_Export!$F189)+W$82*(BS$52*GREET1_Import_Export!$Q75+BS$53*GREET1_Import_Export!$O75+BS$54*GREET1_Import_Export!$M75+GREET1_Import_Export!$B189*GREET1_Import_Export!$G$179+GREET1_Import_Export!$G189)+W$83*(BS$55*GREET1_Import_Export!$T75+GREET1_Import_Export!$B189*GREET1_Import_Export!$C$179+GREET1_Import_Export!$C189)+W$84*(BS$56*GREET1_Import_Export!$W75+GREET1_Import_Export!$E225*GREET1_Import_Export!$F$215+GREET1_Import_Export!$F225)+W$85*(BS$57*GREET1_Import_Export!$B75+BS$58*GREET1_Import_Export!$C75+BS$59*GREET1_Import_Export!$G75+BS$61*'GREET2_Factors_T&amp;D'!$F18+BS$62*'GREET2_Factors_T&amp;D'!$G18+GREET1_Import_Export!$B225)+W$86*(BS$64*GREET1_Import_Export!$AA75+BS$65*GREET1_Import_Export!$AB75+GREET1_Import_Export!$B293)+W$87*($B$46*(GREET1_Import_Export!$B318+GREET1_Import_Export!$C318)+$C$46*GREET1_Import_Export!L351+$D$46*GREET1_Import_Export!H351+$E$46*GREET1_Import_Export!Q351+$F$46*GREET1_Import_Export!R351+SUMPRODUCT($G$46:$I$46,GREET1_Import_Export!N351:P351))</f>
        <v>267.65035618190132</v>
      </c>
      <c r="X98" s="480"/>
      <c r="Y98" s="235"/>
      <c r="Z98" s="234">
        <f>Z$81*(J$50*GREET1_Import_Export!$K75+GREET1_Import_Export!$B189*GREET1_Import_Export!$F$179+GREET1_Import_Export!$F189)+Z$82*(J$52*GREET1_Import_Export!$Q75+J$53*GREET1_Import_Export!$O75+J$54*GREET1_Import_Export!$M75+GREET1_Import_Export!$B189*GREET1_Import_Export!$G$179+GREET1_Import_Export!$G189)+Z$83*(J$55*GREET1_Import_Export!$T75+GREET1_Import_Export!$B189*GREET1_Import_Export!$C$179+GREET1_Import_Export!$C189)+Z$84*(J$56*GREET1_Import_Export!$W75+GREET1_Import_Export!$E225*GREET1_Import_Export!$F$215+GREET1_Import_Export!$F225)+Z$85*(J$57*GREET1_Import_Export!$B75+J$58*GREET1_Import_Export!$C75+J$59*GREET1_Import_Export!$G75+J$61*'GREET2_Factors_T&amp;D'!$F18+J$62*'GREET2_Factors_T&amp;D'!$G18+GREET1_Import_Export!$B225)+Z$86*(J$64*GREET1_Import_Export!$AA75+J$65*GREET1_Import_Export!$AB75+GREET1_Import_Export!$B293)+Z$87*SUM(GREET1_Import_Export!$B318:$C318)</f>
        <v>151.65380400129757</v>
      </c>
      <c r="AA98" s="480"/>
      <c r="AB98" s="235"/>
      <c r="AC98" s="578">
        <f>AC$81*(K$50*GREET1_Import_Export!$K75+GREET1_Import_Export!$B189*GREET1_Import_Export!$F$179+GREET1_Import_Export!$F189)+AC$82*(K$52*GREET1_Import_Export!$Q75+K$53*GREET1_Import_Export!$O75+K$54*GREET1_Import_Export!$M75+GREET1_Import_Export!$B189*GREET1_Import_Export!$G$179+GREET1_Import_Export!$G189)+AC$83*(K$55*GREET1_Import_Export!$T75+GREET1_Import_Export!$B189*GREET1_Import_Export!$C$179+GREET1_Import_Export!$C189)+AC$84*(K$56*GREET1_Import_Export!$W75+GREET1_Import_Export!$E225*GREET1_Import_Export!$F$215+GREET1_Import_Export!$F225)+AC$85*(K$57*GREET1_Import_Export!$B75+K$58*GREET1_Import_Export!$C75+K$59*GREET1_Import_Export!$G75+K$61*'GREET2_Factors_T&amp;D'!$F18+K$62*'GREET2_Factors_T&amp;D'!$G18+GREET1_Import_Export!$B225)+AC$86*(K$64*GREET1_Import_Export!$AA75+K$65*GREET1_Import_Export!$AB75+GREET1_Import_Export!$B293)+AC$87*($B$46*(GREET1_Import_Export!$B318+GREET1_Import_Export!$C318)+$C$46*GREET1_Import_Export!L351+$D$46*GREET1_Import_Export!H351+$E$46*GREET1_Import_Export!Q351+$F$46*GREET1_Import_Export!R351+SUMPRODUCT($G$46:$I$46,GREET1_Import_Export!N351:P351))</f>
        <v>267.65035618190132</v>
      </c>
      <c r="AD98" s="480"/>
      <c r="AE98" s="235"/>
      <c r="AF98" s="234">
        <f>AF$81*(L$50*GREET1_Import_Export!$K75+GREET1_Import_Export!$B189*GREET1_Import_Export!$F$179+GREET1_Import_Export!$F189)+AF$82*(L$52*GREET1_Import_Export!$Q75+L$53*GREET1_Import_Export!$O75+L$54*GREET1_Import_Export!$M75+GREET1_Import_Export!$B189*GREET1_Import_Export!$G$179+GREET1_Import_Export!$G189)+AF$83*(L$55*GREET1_Import_Export!$T75+GREET1_Import_Export!$B189*GREET1_Import_Export!$C$179+GREET1_Import_Export!$C189)+AF$84*(L$56*GREET1_Import_Export!$W75+GREET1_Import_Export!$E225*GREET1_Import_Export!$F$215+GREET1_Import_Export!$F225)+AF$85*(L$57*GREET1_Import_Export!$B75+L$58*GREET1_Import_Export!$C75+L$59*GREET1_Import_Export!$G75+L$61*'GREET2_Factors_T&amp;D'!$F18+L$62*'GREET2_Factors_T&amp;D'!$G18+GREET1_Import_Export!$B225)+AF$86*(L$64*GREET1_Import_Export!$AA75+L$65*GREET1_Import_Export!$AB75+GREET1_Import_Export!$B293)+AF$87*SUM(GREET1_Import_Export!$B318:$C318)</f>
        <v>151.65380400129757</v>
      </c>
      <c r="AG98" s="480"/>
      <c r="AH98" s="478"/>
      <c r="AI98" s="578">
        <f>AI$81*(M$50*GREET1_Import_Export!$K75+GREET1_Import_Export!$B189*GREET1_Import_Export!$F$179+GREET1_Import_Export!$F189)+AI$82*(M$52*GREET1_Import_Export!$Q75+M$53*GREET1_Import_Export!$O75+M$54*GREET1_Import_Export!$M75+GREET1_Import_Export!$B189*GREET1_Import_Export!$G$179+GREET1_Import_Export!$G189)+AI$83*(M$55*GREET1_Import_Export!$T75+GREET1_Import_Export!$B189*GREET1_Import_Export!$C$179+GREET1_Import_Export!$C189)+AI$84*(M$56*GREET1_Import_Export!$W75+GREET1_Import_Export!$E225*GREET1_Import_Export!$F$215+GREET1_Import_Export!$F225)+AI$85*(M$57*GREET1_Import_Export!$B75+M$58*GREET1_Import_Export!$C75+M$59*GREET1_Import_Export!$G75+M$61*'GREET2_Factors_T&amp;D'!$F18+M$62*'GREET2_Factors_T&amp;D'!$G18+GREET1_Import_Export!$B225)+AI$86*(M$64*GREET1_Import_Export!$AA75+M$65*GREET1_Import_Export!$AB75+GREET1_Import_Export!$B293)+AI$87*($B$46*(GREET1_Import_Export!$B318+GREET1_Import_Export!$C318)+$C$46*GREET1_Import_Export!L351+$D$46*GREET1_Import_Export!H351+$E$46*GREET1_Import_Export!Q351+$F$46*GREET1_Import_Export!R351+SUMPRODUCT($G$46:$I$46,GREET1_Import_Export!N351:P351))</f>
        <v>305.88612135074419</v>
      </c>
      <c r="AJ98" s="480"/>
      <c r="AK98" s="235"/>
      <c r="AL98" s="234">
        <f>AL$81*(N$50*GREET1_Import_Export!$K75+GREET1_Import_Export!$B189*GREET1_Import_Export!$F$179+GREET1_Import_Export!$F189)+AL$82*(N$52*GREET1_Import_Export!$Q75+N$53*GREET1_Import_Export!$O75+N$54*GREET1_Import_Export!$M75+GREET1_Import_Export!$B189*GREET1_Import_Export!$G$179+GREET1_Import_Export!$G189)+AL$83*(N$55*GREET1_Import_Export!$T75+GREET1_Import_Export!$B189*GREET1_Import_Export!$C$179+GREET1_Import_Export!$C189)+AL$84*(N$56*GREET1_Import_Export!$W75+GREET1_Import_Export!$E225*GREET1_Import_Export!$F$215+GREET1_Import_Export!$F225)+AL$85*(N$57*GREET1_Import_Export!$B75+N$58*GREET1_Import_Export!$C75+N$59*GREET1_Import_Export!$G75+N$61*'GREET2_Factors_T&amp;D'!$F18+N$62*'GREET2_Factors_T&amp;D'!$G18+GREET1_Import_Export!$B225)+AL$86*(N$64*GREET1_Import_Export!$AA75+N$65*GREET1_Import_Export!$AB75+GREET1_Import_Export!$B293)+AL$87*SUM(GREET1_Import_Export!$B318:$C318)</f>
        <v>129.30725694279161</v>
      </c>
      <c r="AM98" s="480"/>
      <c r="AN98" s="235"/>
      <c r="AO98" s="234">
        <f>AO$81*(O$50*GREET1_Import_Export!$K75+GREET1_Import_Export!$B189*GREET1_Import_Export!$F$179+GREET1_Import_Export!$F189)+AO$82*(O$52*GREET1_Import_Export!$Q75+O$53*GREET1_Import_Export!$O75+O$54*GREET1_Import_Export!$M75+GREET1_Import_Export!$B189*GREET1_Import_Export!$G$179+GREET1_Import_Export!$G189)+AO$83*(O$55*GREET1_Import_Export!$T75+GREET1_Import_Export!$B189*GREET1_Import_Export!$C$179+GREET1_Import_Export!$C189)+AO$84*(O$56*GREET1_Import_Export!$W75+GREET1_Import_Export!$E225*GREET1_Import_Export!$F$215+GREET1_Import_Export!$F225)+AO$85*(O$57*GREET1_Import_Export!$B75+O$58*GREET1_Import_Export!$C75+O$59*GREET1_Import_Export!$G75+O$61*'GREET2_Factors_T&amp;D'!$F18+O$62*'GREET2_Factors_T&amp;D'!$G18+GREET1_Import_Export!$B225)+AO$86*(O$64*GREET1_Import_Export!$AA75+O$65*GREET1_Import_Export!$AB75+GREET1_Import_Export!$B293)+AO$87*SUM(GREET1_Import_Export!$B318:$C318)</f>
        <v>289.6869021742113</v>
      </c>
      <c r="AP98" s="480"/>
      <c r="AQ98" s="235"/>
      <c r="AR98" s="234">
        <f>AR$81*(P$50*GREET1_Import_Export!$K75+GREET1_Import_Export!$B189*GREET1_Import_Export!$F$179+GREET1_Import_Export!$F189)+AR$82*(P$52*GREET1_Import_Export!$Q75+P$53*GREET1_Import_Export!$O75+P$54*GREET1_Import_Export!$M75+GREET1_Import_Export!$B189*GREET1_Import_Export!$G$179+GREET1_Import_Export!$G189)+AR$83*(P$55*GREET1_Import_Export!$T75+GREET1_Import_Export!$B189*GREET1_Import_Export!$C$179+GREET1_Import_Export!$C189)+AR$84*(P$56*GREET1_Import_Export!$W75+GREET1_Import_Export!$E225*GREET1_Import_Export!$F$215+GREET1_Import_Export!$F225)+AR$85*(P$57*GREET1_Import_Export!$B75+P$58*GREET1_Import_Export!$C75+P$59*GREET1_Import_Export!$G75+P$61*'GREET2_Factors_T&amp;D'!$F18+P$62*'GREET2_Factors_T&amp;D'!$G18+GREET1_Import_Export!$B225)+AR$86*(P$64*GREET1_Import_Export!$AA75+P$65*GREET1_Import_Export!$AB75+GREET1_Import_Export!$B293)+AR$87*SUM(GREET1_Import_Export!$B318:$C318)</f>
        <v>123.3914025996981</v>
      </c>
      <c r="AS98" s="480"/>
      <c r="AT98" s="235"/>
      <c r="AU98" s="234">
        <f>AU$81*(Q$50*GREET1_Import_Export!$K75+GREET1_Import_Export!$B189*GREET1_Import_Export!$F$179+GREET1_Import_Export!$F189)+AU$82*(Q$52*GREET1_Import_Export!$Q75+Q$53*GREET1_Import_Export!$O75+Q$54*GREET1_Import_Export!$M75+GREET1_Import_Export!$B189*GREET1_Import_Export!$G$179+GREET1_Import_Export!$G189)+AU$83*(Q$55*GREET1_Import_Export!$T75+GREET1_Import_Export!$B189*GREET1_Import_Export!$C$179+GREET1_Import_Export!$C189)+AU$84*(Q$56*GREET1_Import_Export!$W75+GREET1_Import_Export!$E225*GREET1_Import_Export!$F$215+GREET1_Import_Export!$F225)+AU$85*(Q$57*GREET1_Import_Export!$B75+Q$58*GREET1_Import_Export!$C75+Q$59*GREET1_Import_Export!$G75+Q$61*'GREET2_Factors_T&amp;D'!$F18+Q$62*'GREET2_Factors_T&amp;D'!$G18+GREET1_Import_Export!$B225)+AU$86*(Q$64*GREET1_Import_Export!$AA75+Q$65*GREET1_Import_Export!$AB75+GREET1_Import_Export!$B293)+AU$87*SUM(GREET1_Import_Export!$B318:$C318)</f>
        <v>738.10709474783118</v>
      </c>
      <c r="AV98" s="480"/>
      <c r="AW98" s="235"/>
      <c r="AX98" s="234">
        <f>AX$81*(R$50*GREET1_Import_Export!$K75+GREET1_Import_Export!$B189*GREET1_Import_Export!$F$179+GREET1_Import_Export!$F189)+AX$82*(R$52*GREET1_Import_Export!$Q75+R$53*GREET1_Import_Export!$O75+R$54*GREET1_Import_Export!$M75+GREET1_Import_Export!$B189*GREET1_Import_Export!$G$179+GREET1_Import_Export!$G189)+AX$83*(R$55*GREET1_Import_Export!$T75+GREET1_Import_Export!$B189*GREET1_Import_Export!$C$179+GREET1_Import_Export!$C189)+AX$84*(R$56*GREET1_Import_Export!$W75+GREET1_Import_Export!$E225*GREET1_Import_Export!$F$215+GREET1_Import_Export!$F225)+AX$85*(R$57*GREET1_Import_Export!$B75+R$58*GREET1_Import_Export!$C75+R$59*GREET1_Import_Export!$G75+R$61*'GREET2_Factors_T&amp;D'!$F18+R$62*'GREET2_Factors_T&amp;D'!$G18+GREET1_Import_Export!$B225)+AX$86*(R$64*GREET1_Import_Export!$AA75+R$65*GREET1_Import_Export!$AB75+GREET1_Import_Export!$B293)+AX$87*SUM(GREET1_Import_Export!$B318:$C318)</f>
        <v>246.84672991005993</v>
      </c>
      <c r="AY98" s="480"/>
      <c r="AZ98" s="235"/>
      <c r="BA98" s="234">
        <f>BA$81*(S$50*GREET1_Import_Export!$K75+GREET1_Import_Export!$B189*GREET1_Import_Export!$F$179+GREET1_Import_Export!$F189)+BA$82*(S$52*GREET1_Import_Export!$Q75+S$53*GREET1_Import_Export!$O75+S$54*GREET1_Import_Export!$M75+GREET1_Import_Export!$B189*GREET1_Import_Export!$G$179+GREET1_Import_Export!$G189)+BA$83*(S$55*GREET1_Import_Export!$T75+GREET1_Import_Export!$B189*GREET1_Import_Export!$C$179+GREET1_Import_Export!$C189)+BA$84*(S$56*GREET1_Import_Export!$W75+GREET1_Import_Export!$E225*GREET1_Import_Export!$F$215+GREET1_Import_Export!$F225)+BA$85*(S$57*GREET1_Import_Export!$B75+S$58*GREET1_Import_Export!$C75+S$59*GREET1_Import_Export!$G75+S$61*'GREET2_Factors_T&amp;D'!$F18+S$62*'GREET2_Factors_T&amp;D'!$G18+GREET1_Import_Export!$B225)+BA$86*(S$64*GREET1_Import_Export!$AA75+S$65*GREET1_Import_Export!$AB75+GREET1_Import_Export!$B293)+BA$87*SUM(GREET1_Import_Export!$B318:$C318)</f>
        <v>229.41459101305844</v>
      </c>
      <c r="BB98" s="480"/>
      <c r="BC98" s="235"/>
      <c r="BD98" s="578">
        <f>BD$81*(T$50*GREET1_Import_Export!$K75+GREET1_Import_Export!$B189*GREET1_Import_Export!$F$179+GREET1_Import_Export!$F189)+BD$82*(T$52*GREET1_Import_Export!$Q75+T$53*GREET1_Import_Export!$O75+T$54*GREET1_Import_Export!$M75+GREET1_Import_Export!$B189*GREET1_Import_Export!$G$179+GREET1_Import_Export!$G189)+BD$83*(T$55*GREET1_Import_Export!$T75+GREET1_Import_Export!$B189*GREET1_Import_Export!$C$179+GREET1_Import_Export!$C189)+BD$84*(T$56*GREET1_Import_Export!$W75+GREET1_Import_Export!$E225*GREET1_Import_Export!$F$215+GREET1_Import_Export!$F225)+BD$85*(T$57*GREET1_Import_Export!$B75+T$58*GREET1_Import_Export!$C75+T$59*GREET1_Import_Export!$G75+T$61*'GREET2_Factors_T&amp;D'!$F18+T$62*'GREET2_Factors_T&amp;D'!$G18+GREET1_Import_Export!$B225)+BD$86*(T$64*GREET1_Import_Export!$AA75+T$65*GREET1_Import_Export!$AB75+GREET1_Import_Export!$B293)+BD$87*SUM(GREET1_Import_Export!$B318:$C318)</f>
        <v>185.271220298397</v>
      </c>
      <c r="BE98" s="480"/>
      <c r="BF98" s="478"/>
      <c r="BG98" s="578">
        <f>BG$81*(U$50*GREET1_Import_Export!$K75+GREET1_Import_Export!$B189*GREET1_Import_Export!$F$179+GREET1_Import_Export!$F189)+BG$82*(U$52*GREET1_Import_Export!$Q75+U$53*GREET1_Import_Export!$O75+U$54*GREET1_Import_Export!$M75+GREET1_Import_Export!$B189*GREET1_Import_Export!$G$179+GREET1_Import_Export!$G189)+BG$83*(U$55*GREET1_Import_Export!$T75+GREET1_Import_Export!$B189*GREET1_Import_Export!$C$179+GREET1_Import_Export!$C189)+BG$84*(U$56*GREET1_Import_Export!$W75+GREET1_Import_Export!$E225*GREET1_Import_Export!$F$215+GREET1_Import_Export!$F225)+BG$85*(U$57*GREET1_Import_Export!$B75+U$58*GREET1_Import_Export!$C75+U$59*GREET1_Import_Export!$G75+U$61*'GREET2_Factors_T&amp;D'!$F18+U$62*'GREET2_Factors_T&amp;D'!$G18+GREET1_Import_Export!$B225)+BG$86*(U$64*GREET1_Import_Export!$AA75+U$65*GREET1_Import_Export!$AB75+GREET1_Import_Export!$B293)+BG$87*SUM(GREET1_Import_Export!$B318:$C318)</f>
        <v>114.42764769811509</v>
      </c>
      <c r="BH98" s="480"/>
      <c r="BI98" s="478"/>
      <c r="BJ98" s="578">
        <f>BJ$81*(V$50*GREET1_Import_Export!$K75+GREET1_Import_Export!$B189*GREET1_Import_Export!$F$179+GREET1_Import_Export!$F189)+BJ$82*(V$52*GREET1_Import_Export!$Q75+V$53*GREET1_Import_Export!$O75+V$54*GREET1_Import_Export!$M75+GREET1_Import_Export!$B189*GREET1_Import_Export!$G$179+GREET1_Import_Export!$G189)+BJ$83*(V$55*GREET1_Import_Export!$T75+GREET1_Import_Export!$B189*GREET1_Import_Export!$C$179+GREET1_Import_Export!$C189)+BJ$84*(V$56*GREET1_Import_Export!$W75+GREET1_Import_Export!$E225*GREET1_Import_Export!$F$215+GREET1_Import_Export!$F225)+BJ$85*(V$57*GREET1_Import_Export!$B75+V$58*GREET1_Import_Export!$C75+V$59*GREET1_Import_Export!$G75+V$61*'GREET2_Factors_T&amp;D'!$F18+V$62*'GREET2_Factors_T&amp;D'!$G18+GREET1_Import_Export!$B225)+BJ$86*(V$64*GREET1_Import_Export!$AA75+V$65*GREET1_Import_Export!$AB75+GREET1_Import_Export!$B293)+BJ$87*SUM(GREET1_Import_Export!$B318:$C318)</f>
        <v>31.265386416283711</v>
      </c>
      <c r="BK98" s="480"/>
      <c r="BL98" s="478"/>
      <c r="BM98" s="578">
        <f>BM$81*(X$50*GREET1_Import_Export!$K75+GREET1_Import_Export!$B189*GREET1_Import_Export!$F$179+GREET1_Import_Export!$F189)+BM$82*(X$52*GREET1_Import_Export!$Q75+X$53*GREET1_Import_Export!$O75+X$54*GREET1_Import_Export!$M75+GREET1_Import_Export!$B189*GREET1_Import_Export!$G$179+GREET1_Import_Export!$G189)+BM$83*(X$55*GREET1_Import_Export!$T75+GREET1_Import_Export!$B189*GREET1_Import_Export!$C$179+GREET1_Import_Export!$C189)+BM$84*(X$56*GREET1_Import_Export!$W75+GREET1_Import_Export!$E225*GREET1_Import_Export!$F$215+GREET1_Import_Export!$F225)+BM$85*(X$57*GREET1_Import_Export!$B75+X$58*GREET1_Import_Export!$C75+X$59*GREET1_Import_Export!$G75+X$61*'GREET2_Factors_T&amp;D'!$F18+X$62*'GREET2_Factors_T&amp;D'!$G18+GREET1_Import_Export!$B225)+BM$86*(X$64*GREET1_Import_Export!$AA75+X$65*GREET1_Import_Export!$AB75+GREET1_Import_Export!$B293)+BM$87*SUM(GREET1_Import_Export!$B318:$C318)</f>
        <v>10.881623794628434</v>
      </c>
      <c r="BN98" s="480"/>
      <c r="BO98" s="478"/>
      <c r="BP98" s="234">
        <f>BP$81*(Z$50*GREET1_Import_Export!$K75+GREET1_Import_Export!$B189*GREET1_Import_Export!$F$179+GREET1_Import_Export!$F189)+BP$82*(Z$52*GREET1_Import_Export!$Q75+Z$53*GREET1_Import_Export!$O75+Z$54*GREET1_Import_Export!$M75+GREET1_Import_Export!$B189*GREET1_Import_Export!$G$179+GREET1_Import_Export!$G189)+BP$83*(Z$55*GREET1_Import_Export!$T75+GREET1_Import_Export!$B189*GREET1_Import_Export!$C$179+GREET1_Import_Export!$C189)+BP$84*(Z$56*GREET1_Import_Export!$W75+GREET1_Import_Export!$E225*GREET1_Import_Export!$F$215+GREET1_Import_Export!$F225)+BP$85*(Z$57*GREET1_Import_Export!$B75+Z$58*GREET1_Import_Export!$C75+Z$59*GREET1_Import_Export!$G75+Z$61*'GREET2_Factors_T&amp;D'!$F18+Z$62*'GREET2_Factors_T&amp;D'!$G18+GREET1_Import_Export!$B225)+BP$86*(Z$64*GREET1_Import_Export!$AA75+Z$65*GREET1_Import_Export!$AB75+GREET1_Import_Export!$B293)+BP$87*SUM(GREET1_Import_Export!$B318:$C318)</f>
        <v>0</v>
      </c>
      <c r="BQ98" s="480"/>
      <c r="BR98" s="235"/>
      <c r="BS98" s="753">
        <f>BS$81*(AA$50*GREET1_Import_Export!$K75+GREET1_Import_Export!$B189*GREET1_Import_Export!$F$179+GREET1_Import_Export!$F189)+BS$82*(AA$52*GREET1_Import_Export!$Q75+AA$53*GREET1_Import_Export!$O75+AA$54*GREET1_Import_Export!$M75+GREET1_Import_Export!$B189*GREET1_Import_Export!$G$179+GREET1_Import_Export!$G189)+BS$83*(AA$55*GREET1_Import_Export!$T75+GREET1_Import_Export!$B189*GREET1_Import_Export!$C$179+GREET1_Import_Export!$C189)+BS$84*(AA$56*GREET1_Import_Export!$W75+GREET1_Import_Export!$E225*GREET1_Import_Export!$F$215+GREET1_Import_Export!$F225)+BS$85*(AA$57*GREET1_Import_Export!$B75+AA$58*GREET1_Import_Export!$C75+AA$59*GREET1_Import_Export!$G75+AA$61*'GREET2_Factors_T&amp;D'!$F18+AA$62*'GREET2_Factors_T&amp;D'!$G18+GREET1_Import_Export!$B225)+BS$86*(AA$64*GREET1_Import_Export!$AA75+AA$65*GREET1_Import_Export!$AB75+GREET1_Import_Export!$B293)+BS$87*(GREET1_Import_Export!$B318+GREET1_Import_Export!$C318)</f>
        <v>3.0878536716399498</v>
      </c>
      <c r="BT98" s="1090"/>
      <c r="BU98" s="1082"/>
      <c r="BV98" s="753">
        <f>BV$81*(AB$50*GREET1_Import_Export!$K75+GREET1_Import_Export!$B189*GREET1_Import_Export!$F$179+GREET1_Import_Export!$F189)+BV$82*(AB$52*GREET1_Import_Export!$Q75+AB$53*GREET1_Import_Export!$O75+AB$54*GREET1_Import_Export!$M75+GREET1_Import_Export!$B189*GREET1_Import_Export!$G$179+GREET1_Import_Export!$G189)+BV$83*(AB$55*GREET1_Import_Export!$T75+GREET1_Import_Export!$B189*GREET1_Import_Export!$C$179+GREET1_Import_Export!$C189)+BV$84*(AB$56*GREET1_Import_Export!$W75+GREET1_Import_Export!$E225*GREET1_Import_Export!$F$215+GREET1_Import_Export!$F225)+BV$85*(AB$57*GREET1_Import_Export!$B75+AB$58*GREET1_Import_Export!$C75+AB$59*GREET1_Import_Export!$G75+AB$61*'GREET2_Factors_T&amp;D'!$F18+AB$62*'GREET2_Factors_T&amp;D'!$G18+GREET1_Import_Export!$B225)+BV$86*(AB$64*GREET1_Import_Export!$AA75+AB$65*GREET1_Import_Export!$AB75+GREET1_Import_Export!$B293)+BV$87*(GREET1_Import_Export!$B318+GREET1_Import_Export!$C318)</f>
        <v>0</v>
      </c>
      <c r="BW98" s="1090"/>
      <c r="BX98" s="1082"/>
      <c r="BY98" s="753">
        <f>BY$81*(AC$50*GREET1_Import_Export!$K75+GREET1_Import_Export!$B189*GREET1_Import_Export!$F$179+GREET1_Import_Export!$F189)+BY$82*(AC$52*GREET1_Import_Export!$Q75+AC$53*GREET1_Import_Export!$O75+AC$54*GREET1_Import_Export!$M75+GREET1_Import_Export!$B189*GREET1_Import_Export!$G$179+GREET1_Import_Export!$G189)+BY$83*(AC$55*GREET1_Import_Export!$T75+GREET1_Import_Export!$B189*GREET1_Import_Export!$C$179+GREET1_Import_Export!$C189)+BY$84*(AC$56*GREET1_Import_Export!$W75+GREET1_Import_Export!$E225*GREET1_Import_Export!$F$215+GREET1_Import_Export!$F225)+BY$85*(AC$57*GREET1_Import_Export!$B75+AC$58*GREET1_Import_Export!$C75+AC$59*GREET1_Import_Export!$G75+AC$61*'GREET2_Factors_T&amp;D'!$F18+AC$62*'GREET2_Factors_T&amp;D'!$G18+GREET1_Import_Export!$B225)+BY$86*(AC$64*GREET1_Import_Export!$AA75+AC$65*GREET1_Import_Export!$AB75+GREET1_Import_Export!$B293)+BY$87*(GREET1_Import_Export!$B318+GREET1_Import_Export!$C318)</f>
        <v>151.65380400129757</v>
      </c>
      <c r="BZ98" s="1090"/>
      <c r="CA98" s="1082"/>
      <c r="CB98" s="753">
        <f>CB$81*(AD$50*GREET1_Import_Export!$K75+GREET1_Import_Export!$B189*GREET1_Import_Export!$F$179+GREET1_Import_Export!$F189)+CB$82*(AD$52*GREET1_Import_Export!$Q75+AD$53*GREET1_Import_Export!$O75+AD$54*GREET1_Import_Export!$M75+GREET1_Import_Export!$B189*GREET1_Import_Export!$G$179+GREET1_Import_Export!$G189)+CB$83*(AD$55*GREET1_Import_Export!$T75+GREET1_Import_Export!$B189*GREET1_Import_Export!$C$179+GREET1_Import_Export!$C189)+CB$84*(AD$56*GREET1_Import_Export!$W75+GREET1_Import_Export!$E225*GREET1_Import_Export!$F$215+GREET1_Import_Export!$F225)+CB$85*(AD$57*GREET1_Import_Export!$B75+AD$58*GREET1_Import_Export!$C75+AD$59*GREET1_Import_Export!$G75+AD$61*'GREET2_Factors_T&amp;D'!$F18+AD$62*'GREET2_Factors_T&amp;D'!$G18+GREET1_Import_Export!$B225)+CB$86*(AD$64*GREET1_Import_Export!$AA75+AD$65*GREET1_Import_Export!$AB75+GREET1_Import_Export!$B293)+CB$87*(GREET1_Import_Export!$B318+GREET1_Import_Export!$C318)</f>
        <v>305.88612135074419</v>
      </c>
      <c r="CC98" s="1090"/>
      <c r="CD98" s="1082"/>
      <c r="CE98" s="749">
        <f>CE$81*($AE$50*GREET1_Import_Export!$K75+GREET1_Import_Export!$F$179*GREET1_Import_Export!$B189+GREET1_Import_Export!$F189)+CE$82*(GREET1_Import_Export!$R75+GREET1_Import_Export!$H$179*GREET1_Import_Export!$B189+GREET1_Import_Export!$H189)+CE$83*(GREET1_Import_Export!$T75+GREET1_Import_Export!$C$179*GREET1_Import_Export!$B189+GREET1_Import_Export!$C189)+CE$84*(GREET1_Import_Export!$X75+GREET1_Import_Export!$B$10*(GREET1_Import_Export!$F$215*GREET1_Import_Export!$B225+GREET1_Import_Export!$F225)+GREET1_Import_Export!$C$10*(GREET1_Import_Export!$E$179*GREET1_Import_Export!$B189+GREET1_Import_Export!$E189))+CE$85*($AE$57*GREET1_Import_Export!$B75+GREET1_Import_Export!$B225)+CE$86*($AE$64 *GREET1_Import_Export!$AA75+GREET1_Import_Export!$B293)+CE$87*(GREET1_Import_Export!$B318+GREET1_Import_Export!$C318)</f>
        <v>0</v>
      </c>
      <c r="CF98" s="817">
        <f>W.Al!C99/5.575</f>
        <v>152.86422939807014</v>
      </c>
      <c r="CG98" s="1321"/>
      <c r="CH98" s="1321"/>
      <c r="CI98" s="1321"/>
      <c r="CJ98" s="1321"/>
      <c r="CK98" s="1321"/>
      <c r="CL98" s="1321"/>
      <c r="CM98" s="1321"/>
      <c r="CN98" s="1321"/>
      <c r="CO98" s="1321"/>
      <c r="CP98" s="1321"/>
      <c r="CQ98" s="1321"/>
      <c r="CR98" s="1321"/>
      <c r="CS98" s="1321"/>
      <c r="CT98" s="1321"/>
      <c r="CU98" s="1321"/>
      <c r="CV98" s="1321"/>
      <c r="CW98" s="1321"/>
      <c r="CX98" s="1321"/>
      <c r="CY98" s="1321"/>
      <c r="CZ98" s="1321"/>
      <c r="DA98" s="1321"/>
      <c r="DB98" s="1321"/>
      <c r="DC98" s="1321"/>
      <c r="DD98" s="1321"/>
      <c r="DE98" s="1321"/>
      <c r="DF98" s="1321"/>
      <c r="DG98" s="1321"/>
      <c r="DH98" s="1321"/>
      <c r="DI98" s="1321"/>
      <c r="DJ98" s="1321"/>
      <c r="DK98" s="1321"/>
      <c r="DL98" s="1321"/>
      <c r="DM98" s="1321"/>
      <c r="DN98" s="1321"/>
      <c r="DO98" s="1321"/>
      <c r="DP98" s="1321"/>
      <c r="DQ98" s="1321"/>
      <c r="DR98" s="1321"/>
      <c r="DS98" s="1321"/>
      <c r="DT98" s="1321"/>
      <c r="DU98" s="1321"/>
      <c r="DV98" s="1321"/>
      <c r="DW98" s="1321"/>
      <c r="DX98" s="1321"/>
      <c r="DY98" s="1321"/>
      <c r="DZ98" s="1321"/>
      <c r="EA98" s="1321"/>
      <c r="EB98" s="1321"/>
      <c r="EC98" s="1321"/>
      <c r="ED98" s="1321"/>
      <c r="EE98" s="1321"/>
      <c r="EF98" s="1321"/>
      <c r="EG98" s="1321"/>
      <c r="EH98" s="1321"/>
      <c r="EI98" s="1321"/>
      <c r="EJ98" s="1321"/>
      <c r="EK98" s="1321"/>
      <c r="EL98" s="1321"/>
      <c r="EM98" s="1321"/>
      <c r="EN98" s="1321"/>
      <c r="EO98" s="1321"/>
      <c r="EP98" s="1321"/>
      <c r="EQ98" s="1321"/>
      <c r="ER98" s="1321"/>
      <c r="ES98" s="1321"/>
      <c r="ET98" s="1321"/>
      <c r="EU98" s="1321"/>
      <c r="EV98" s="1321"/>
      <c r="EW98" s="1321"/>
      <c r="EX98" s="1321"/>
      <c r="EY98" s="1321"/>
      <c r="EZ98" s="1321"/>
      <c r="FA98" s="1321"/>
      <c r="FB98" s="1321"/>
    </row>
    <row r="99" spans="1:158">
      <c r="A99" s="291" t="s">
        <v>825</v>
      </c>
      <c r="B99" s="234">
        <f>B$81*(B$50*GREET1_Import_Export!$K76+GREET1_Import_Export!$B190*GREET1_Import_Export!$F$179+GREET1_Import_Export!$F190)+B$82*(B$52*GREET1_Import_Export!$Q76+B$53*GREET1_Import_Export!$O76+B$54*GREET1_Import_Export!$M76+GREET1_Import_Export!$B190*GREET1_Import_Export!$G$179+GREET1_Import_Export!$G190)+B$83*(B$55*GREET1_Import_Export!$T76+GREET1_Import_Export!$B190*GREET1_Import_Export!$C$179+GREET1_Import_Export!$C190)+B$84*(B$56*GREET1_Import_Export!$W76+GREET1_Import_Export!$E226*GREET1_Import_Export!$F$215+GREET1_Import_Export!$F226)+B$85*(B$57*GREET1_Import_Export!$B76+B$58*GREET1_Import_Export!$C76+B$59*GREET1_Import_Export!$G76+B$61*'GREET2_Factors_T&amp;D'!$F19+B$62*'GREET2_Factors_T&amp;D'!$G19+GREET1_Import_Export!$B226)+B$86*(B$64*GREET1_Import_Export!$AA76+B$65*GREET1_Import_Export!$AB76+GREET1_Import_Export!$B294)+B$87*SUM(GREET1_Import_Export!$B319:$C319)</f>
        <v>0</v>
      </c>
      <c r="C99" s="489"/>
      <c r="D99" s="235"/>
      <c r="E99" s="234">
        <f>E$81*(C$50*GREET1_Import_Export!$K76+GREET1_Import_Export!$B190*GREET1_Import_Export!$F$179+GREET1_Import_Export!$F190)+E$82*(C$52*GREET1_Import_Export!$Q76+C$53*GREET1_Import_Export!$O76+C$54*GREET1_Import_Export!$M76+GREET1_Import_Export!$B190*GREET1_Import_Export!$G$179+GREET1_Import_Export!$G190)+E$83*(C$55*GREET1_Import_Export!$T76+GREET1_Import_Export!$B190*GREET1_Import_Export!$C$179+GREET1_Import_Export!$C190)+E$84*(C$56*GREET1_Import_Export!$W76+GREET1_Import_Export!$E226*GREET1_Import_Export!$F$215+GREET1_Import_Export!$F226)+E$85*(C$57*GREET1_Import_Export!$B76+C$58*GREET1_Import_Export!$C76+C$59*GREET1_Import_Export!$G76+C$61*'GREET2_Factors_T&amp;D'!$F19+C$62*'GREET2_Factors_T&amp;D'!$G19+GREET1_Import_Export!$B226)+E$86*(C$64*GREET1_Import_Export!$AA76+C$65*GREET1_Import_Export!$AB76+GREET1_Import_Export!$B294)+E$87*SUM(GREET1_Import_Export!$B319:$C319)</f>
        <v>0</v>
      </c>
      <c r="F99" s="489"/>
      <c r="G99" s="235"/>
      <c r="H99" s="234">
        <f>H$81*(D$50*GREET1_Import_Export!$K76+GREET1_Import_Export!$B190*GREET1_Import_Export!$F$179+GREET1_Import_Export!$F190)+H$82*(D$52*GREET1_Import_Export!$Q76+D$53*GREET1_Import_Export!$O76+D$54*GREET1_Import_Export!$M76+GREET1_Import_Export!$B190*GREET1_Import_Export!$G$179+GREET1_Import_Export!$G190)+H$83*(D$55*GREET1_Import_Export!$T76+GREET1_Import_Export!$B190*GREET1_Import_Export!$C$179+GREET1_Import_Export!$C190)+H$84*(D$56*GREET1_Import_Export!$W76+GREET1_Import_Export!$E226*GREET1_Import_Export!$F$215+GREET1_Import_Export!$F226)+H$85*(D$57*GREET1_Import_Export!$B76+D$58*GREET1_Import_Export!$C76+D$59*GREET1_Import_Export!$G76+D$61*'GREET2_Factors_T&amp;D'!$F19+D$62*'GREET2_Factors_T&amp;D'!$G19+GREET1_Import_Export!$B226)+H$86*(D$64*GREET1_Import_Export!$AA76+D$65*GREET1_Import_Export!$AB76+GREET1_Import_Export!$B294)+H$87*SUM(GREET1_Import_Export!$B319:$C319)</f>
        <v>150.0569751685841</v>
      </c>
      <c r="I99" s="489"/>
      <c r="J99" s="235"/>
      <c r="K99" s="234">
        <f>K$81*(E$50*GREET1_Import_Export!$K76+GREET1_Import_Export!$B190*GREET1_Import_Export!$F$179+GREET1_Import_Export!$F190)+K$82*(E$52*GREET1_Import_Export!$Q76+E$53*GREET1_Import_Export!$O76+E$54*GREET1_Import_Export!$M76+GREET1_Import_Export!$B190*GREET1_Import_Export!$G$179+GREET1_Import_Export!$G190)+K$83*(E$55*GREET1_Import_Export!$T76+GREET1_Import_Export!$B190*GREET1_Import_Export!$C$179+GREET1_Import_Export!$C190)+K$84*(E$56*GREET1_Import_Export!$W76+GREET1_Import_Export!$E226*GREET1_Import_Export!$F$215+GREET1_Import_Export!$F226)+K$85*(E$57*GREET1_Import_Export!$B76+E$58*GREET1_Import_Export!$C76+E$59*GREET1_Import_Export!$G76+E$61*'GREET2_Factors_T&amp;D'!$F19+E$62*'GREET2_Factors_T&amp;D'!$G19+GREET1_Import_Export!$B226)+K$86*(E$64*GREET1_Import_Export!$AA76+E$65*GREET1_Import_Export!$AB76+GREET1_Import_Export!$B294)+K$87*SUM(GREET1_Import_Export!$B319:$C319)</f>
        <v>160.66235178591128</v>
      </c>
      <c r="L99" s="489"/>
      <c r="M99" s="235"/>
      <c r="N99" s="234">
        <f>N$81*(F$50*GREET1_Import_Export!$K76+GREET1_Import_Export!$B190*GREET1_Import_Export!$F$179+GREET1_Import_Export!$F190)+N$82*(F$52*GREET1_Import_Export!$Q76+F$53*GREET1_Import_Export!$O76+F$54*GREET1_Import_Export!$M76+GREET1_Import_Export!$B190*GREET1_Import_Export!$G$179+GREET1_Import_Export!$G190)+N$83*(F$55*GREET1_Import_Export!$T76+GREET1_Import_Export!$B190*GREET1_Import_Export!$C$179+GREET1_Import_Export!$C190)+N$84*(F$56*GREET1_Import_Export!$W76+GREET1_Import_Export!$E226*GREET1_Import_Export!$F$215+GREET1_Import_Export!$F226)+N$85*(F$57*GREET1_Import_Export!$B76+F$58*GREET1_Import_Export!$C76+F$59*GREET1_Import_Export!$G76+F$61*'GREET2_Factors_T&amp;D'!$F19+F$62*'GREET2_Factors_T&amp;D'!$G19+GREET1_Import_Export!$B226)+N$86*(F$64*GREET1_Import_Export!$AA76+F$65*GREET1_Import_Export!$AB76+GREET1_Import_Export!$B294)+N$87*SUM(GREET1_Import_Export!$B319:$C319)</f>
        <v>150.0569751685841</v>
      </c>
      <c r="O99" s="489"/>
      <c r="P99" s="235"/>
      <c r="Q99" s="578">
        <f>Q$81*(G$50*GREET1_Import_Export!$K76+GREET1_Import_Export!$B190*GREET1_Import_Export!$F$179+GREET1_Import_Export!$F190)+Q$82*(G$52*GREET1_Import_Export!$Q76+G$53*GREET1_Import_Export!$O76+G$54*GREET1_Import_Export!$M76+GREET1_Import_Export!$B190*GREET1_Import_Export!$G$179+GREET1_Import_Export!$G190)+Q$83*(G$55*GREET1_Import_Export!$T76+GREET1_Import_Export!$B190*GREET1_Import_Export!$C$179+GREET1_Import_Export!$C190)+Q$84*(G$56*GREET1_Import_Export!$W76+GREET1_Import_Export!$E226*GREET1_Import_Export!$F$215+GREET1_Import_Export!$F226)+Q$85*(G$57*GREET1_Import_Export!$B76+G$58*GREET1_Import_Export!$C76+G$59*GREET1_Import_Export!$G76+G$61*'GREET2_Factors_T&amp;D'!$F19+G$62*'GREET2_Factors_T&amp;D'!$G19+GREET1_Import_Export!$B226)+Q$86*(G$64*GREET1_Import_Export!$AA76+G$65*GREET1_Import_Export!$AB76+GREET1_Import_Export!$B294)
+Q$87*($B$46*(GREET1_Import_Export!$B319+GREET1_Import_Export!$C319)+$C$46*GREET1_Import_Export!L352+$D$46*GREET1_Import_Export!H352+$E$46*GREET1_Import_Export!Q352+$F$46*GREET1_Import_Export!R352+SUMPRODUCT($G$46:$I$46,GREET1_Import_Export!N352:P352))</f>
        <v>160.66235178591128</v>
      </c>
      <c r="R99" s="489"/>
      <c r="S99" s="235"/>
      <c r="T99" s="578">
        <f>T$81*(H$50*GREET1_Import_Export!$K76+GREET1_Import_Export!$B190*GREET1_Import_Export!$F$179+GREET1_Import_Export!$F190)+T$82*(H$52*GREET1_Import_Export!$Q76+H$53*GREET1_Import_Export!$O76+H$54*GREET1_Import_Export!$M76+GREET1_Import_Export!$B190*GREET1_Import_Export!$G$179+GREET1_Import_Export!$G190)+T$83*(H$55*GREET1_Import_Export!$T76+GREET1_Import_Export!$B190*GREET1_Import_Export!$C$179+GREET1_Import_Export!$C190)+T$84*(H$56*GREET1_Import_Export!$W76+GREET1_Import_Export!$E226*GREET1_Import_Export!$F$215+GREET1_Import_Export!$F226)+T$85*(H$57*GREET1_Import_Export!$B76+H$58*GREET1_Import_Export!$C76+H$59*GREET1_Import_Export!$G76+H$61*'GREET2_Factors_T&amp;D'!$F19+H$62*'GREET2_Factors_T&amp;D'!$G19+GREET1_Import_Export!$B226)+T$86*(H$64*GREET1_Import_Export!$AA76+H$65*GREET1_Import_Export!$AB76+GREET1_Import_Export!$B294)+T$87*SUM(GREET1_Import_Export!$B319:$C319)</f>
        <v>150.0569751685841</v>
      </c>
      <c r="U99" s="489"/>
      <c r="V99" s="235"/>
      <c r="W99" s="578">
        <f>W$81*(BS$50*GREET1_Import_Export!$K76+GREET1_Import_Export!$B190*GREET1_Import_Export!$F$179+GREET1_Import_Export!$F190)+W$82*(BS$52*GREET1_Import_Export!$Q76+BS$53*GREET1_Import_Export!$O76+BS$54*GREET1_Import_Export!$M76+GREET1_Import_Export!$B190*GREET1_Import_Export!$G$179+GREET1_Import_Export!$G190)+W$83*(BS$55*GREET1_Import_Export!$T76+GREET1_Import_Export!$B190*GREET1_Import_Export!$C$179+GREET1_Import_Export!$C190)+W$84*(BS$56*GREET1_Import_Export!$W76+GREET1_Import_Export!$E226*GREET1_Import_Export!$F$215+GREET1_Import_Export!$F226)+W$85*(BS$57*GREET1_Import_Export!$B76+BS$58*GREET1_Import_Export!$C76+BS$59*GREET1_Import_Export!$G76+BS$61*'GREET2_Factors_T&amp;D'!$F19+BS$62*'GREET2_Factors_T&amp;D'!$G19+GREET1_Import_Export!$B226)+W$86*(BS$64*GREET1_Import_Export!$AA76+BS$65*GREET1_Import_Export!$AB76+GREET1_Import_Export!$B294)+W$87*($B$46*(GREET1_Import_Export!$B319+GREET1_Import_Export!$C319)+$C$46*GREET1_Import_Export!L352+$D$46*GREET1_Import_Export!H352+$E$46*GREET1_Import_Export!Q352+$F$46*GREET1_Import_Export!R352+SUMPRODUCT($G$46:$I$46,GREET1_Import_Export!N352:P352))</f>
        <v>160.66235178591128</v>
      </c>
      <c r="X99" s="489"/>
      <c r="Y99" s="235"/>
      <c r="Z99" s="234">
        <f>Z$81*(J$50*GREET1_Import_Export!$K76+GREET1_Import_Export!$B190*GREET1_Import_Export!$F$179+GREET1_Import_Export!$F190)+Z$82*(J$52*GREET1_Import_Export!$Q76+J$53*GREET1_Import_Export!$O76+J$54*GREET1_Import_Export!$M76+GREET1_Import_Export!$B190*GREET1_Import_Export!$G$179+GREET1_Import_Export!$G190)+Z$83*(J$55*GREET1_Import_Export!$T76+GREET1_Import_Export!$B190*GREET1_Import_Export!$C$179+GREET1_Import_Export!$C190)+Z$84*(J$56*GREET1_Import_Export!$W76+GREET1_Import_Export!$E226*GREET1_Import_Export!$F$215+GREET1_Import_Export!$F226)+Z$85*(J$57*GREET1_Import_Export!$B76+J$58*GREET1_Import_Export!$C76+J$59*GREET1_Import_Export!$G76+J$61*'GREET2_Factors_T&amp;D'!$F19+J$62*'GREET2_Factors_T&amp;D'!$G19+GREET1_Import_Export!$B226)+Z$86*(J$64*GREET1_Import_Export!$AA76+J$65*GREET1_Import_Export!$AB76+GREET1_Import_Export!$B294)+Z$87*SUM(GREET1_Import_Export!$B319:$C319)</f>
        <v>150.0569751685841</v>
      </c>
      <c r="AA99" s="489"/>
      <c r="AB99" s="235"/>
      <c r="AC99" s="578">
        <f>AC$81*(K$50*GREET1_Import_Export!$K76+GREET1_Import_Export!$B190*GREET1_Import_Export!$F$179+GREET1_Import_Export!$F190)+AC$82*(K$52*GREET1_Import_Export!$Q76+K$53*GREET1_Import_Export!$O76+K$54*GREET1_Import_Export!$M76+GREET1_Import_Export!$B190*GREET1_Import_Export!$G$179+GREET1_Import_Export!$G190)+AC$83*(K$55*GREET1_Import_Export!$T76+GREET1_Import_Export!$B190*GREET1_Import_Export!$C$179+GREET1_Import_Export!$C190)+AC$84*(K$56*GREET1_Import_Export!$W76+GREET1_Import_Export!$E226*GREET1_Import_Export!$F$215+GREET1_Import_Export!$F226)+AC$85*(K$57*GREET1_Import_Export!$B76+K$58*GREET1_Import_Export!$C76+K$59*GREET1_Import_Export!$G76+K$61*'GREET2_Factors_T&amp;D'!$F19+K$62*'GREET2_Factors_T&amp;D'!$G19+GREET1_Import_Export!$B226)+AC$86*(K$64*GREET1_Import_Export!$AA76+K$65*GREET1_Import_Export!$AB76+GREET1_Import_Export!$B294)+AC$87*($B$46*(GREET1_Import_Export!$B319+GREET1_Import_Export!$C319)+$C$46*GREET1_Import_Export!L352+$D$46*GREET1_Import_Export!H352+$E$46*GREET1_Import_Export!Q352+$F$46*GREET1_Import_Export!R352+SUMPRODUCT($G$46:$I$46,GREET1_Import_Export!N352:P352))</f>
        <v>160.66235178591128</v>
      </c>
      <c r="AD99" s="489"/>
      <c r="AE99" s="235"/>
      <c r="AF99" s="234">
        <f>AF$81*(L$50*GREET1_Import_Export!$K76+GREET1_Import_Export!$B190*GREET1_Import_Export!$F$179+GREET1_Import_Export!$F190)+AF$82*(L$52*GREET1_Import_Export!$Q76+L$53*GREET1_Import_Export!$O76+L$54*GREET1_Import_Export!$M76+GREET1_Import_Export!$B190*GREET1_Import_Export!$G$179+GREET1_Import_Export!$G190)+AF$83*(L$55*GREET1_Import_Export!$T76+GREET1_Import_Export!$B190*GREET1_Import_Export!$C$179+GREET1_Import_Export!$C190)+AF$84*(L$56*GREET1_Import_Export!$W76+GREET1_Import_Export!$E226*GREET1_Import_Export!$F$215+GREET1_Import_Export!$F226)+AF$85*(L$57*GREET1_Import_Export!$B76+L$58*GREET1_Import_Export!$C76+L$59*GREET1_Import_Export!$G76+L$61*'GREET2_Factors_T&amp;D'!$F19+L$62*'GREET2_Factors_T&amp;D'!$G19+GREET1_Import_Export!$B226)+AF$86*(L$64*GREET1_Import_Export!$AA76+L$65*GREET1_Import_Export!$AB76+GREET1_Import_Export!$B294)+AF$87*SUM(GREET1_Import_Export!$B319:$C319)</f>
        <v>150.0569751685841</v>
      </c>
      <c r="AG99" s="489"/>
      <c r="AH99" s="478"/>
      <c r="AI99" s="578">
        <f>AI$81*(M$50*GREET1_Import_Export!$K76+GREET1_Import_Export!$B190*GREET1_Import_Export!$F$179+GREET1_Import_Export!$F190)+AI$82*(M$52*GREET1_Import_Export!$Q76+M$53*GREET1_Import_Export!$O76+M$54*GREET1_Import_Export!$M76+GREET1_Import_Export!$B190*GREET1_Import_Export!$G$179+GREET1_Import_Export!$G190)+AI$83*(M$55*GREET1_Import_Export!$T76+GREET1_Import_Export!$B190*GREET1_Import_Export!$C$179+GREET1_Import_Export!$C190)+AI$84*(M$56*GREET1_Import_Export!$W76+GREET1_Import_Export!$E226*GREET1_Import_Export!$F$215+GREET1_Import_Export!$F226)+AI$85*(M$57*GREET1_Import_Export!$B76+M$58*GREET1_Import_Export!$C76+M$59*GREET1_Import_Export!$G76+M$61*'GREET2_Factors_T&amp;D'!$F19+M$62*'GREET2_Factors_T&amp;D'!$G19+GREET1_Import_Export!$B226)+AI$86*(M$64*GREET1_Import_Export!$AA76+M$65*GREET1_Import_Export!$AB76+GREET1_Import_Export!$B294)+AI$87*($B$46*(GREET1_Import_Export!$B319+GREET1_Import_Export!$C319)+$C$46*GREET1_Import_Export!L352+$D$46*GREET1_Import_Export!H352+$E$46*GREET1_Import_Export!Q352+$F$46*GREET1_Import_Export!R352+SUMPRODUCT($G$46:$I$46,GREET1_Import_Export!N352:P352))</f>
        <v>183.61411632675564</v>
      </c>
      <c r="AJ99" s="489"/>
      <c r="AK99" s="235"/>
      <c r="AL99" s="234">
        <f>AL$81*(N$50*GREET1_Import_Export!$K76+GREET1_Import_Export!$B190*GREET1_Import_Export!$F$179+GREET1_Import_Export!$F190)+AL$82*(N$52*GREET1_Import_Export!$Q76+N$53*GREET1_Import_Export!$O76+N$54*GREET1_Import_Export!$M76+GREET1_Import_Export!$B190*GREET1_Import_Export!$G$179+GREET1_Import_Export!$G190)+AL$83*(N$55*GREET1_Import_Export!$T76+GREET1_Import_Export!$B190*GREET1_Import_Export!$C$179+GREET1_Import_Export!$C190)+AL$84*(N$56*GREET1_Import_Export!$W76+GREET1_Import_Export!$E226*GREET1_Import_Export!$F$215+GREET1_Import_Export!$F226)+AL$85*(N$57*GREET1_Import_Export!$B76+N$58*GREET1_Import_Export!$C76+N$59*GREET1_Import_Export!$G76+N$61*'GREET2_Factors_T&amp;D'!$F19+N$62*'GREET2_Factors_T&amp;D'!$G19+GREET1_Import_Export!$B226)+AL$86*(N$64*GREET1_Import_Export!$AA76+N$65*GREET1_Import_Export!$AB76+GREET1_Import_Export!$B294)+AL$87*SUM(GREET1_Import_Export!$B319:$C319)</f>
        <v>124.96093227692768</v>
      </c>
      <c r="AM99" s="489"/>
      <c r="AN99" s="235"/>
      <c r="AO99" s="234">
        <f>AO$81*(O$50*GREET1_Import_Export!$K76+GREET1_Import_Export!$B190*GREET1_Import_Export!$F$179+GREET1_Import_Export!$F190)+AO$82*(O$52*GREET1_Import_Export!$Q76+O$53*GREET1_Import_Export!$O76+O$54*GREET1_Import_Export!$M76+GREET1_Import_Export!$B190*GREET1_Import_Export!$G$179+GREET1_Import_Export!$G190)+AO$83*(O$55*GREET1_Import_Export!$T76+GREET1_Import_Export!$B190*GREET1_Import_Export!$C$179+GREET1_Import_Export!$C190)+AO$84*(O$56*GREET1_Import_Export!$W76+GREET1_Import_Export!$E226*GREET1_Import_Export!$F$215+GREET1_Import_Export!$F226)+AO$85*(O$57*GREET1_Import_Export!$B76+O$58*GREET1_Import_Export!$C76+O$59*GREET1_Import_Export!$G76+O$61*'GREET2_Factors_T&amp;D'!$F19+O$62*'GREET2_Factors_T&amp;D'!$G19+GREET1_Import_Export!$B226)+AO$86*(O$64*GREET1_Import_Export!$AA76+O$65*GREET1_Import_Export!$AB76+GREET1_Import_Export!$B294)+AO$87*SUM(GREET1_Import_Export!$B319:$C319)</f>
        <v>173.89021874961801</v>
      </c>
      <c r="AP99" s="489"/>
      <c r="AQ99" s="235"/>
      <c r="AR99" s="234">
        <f>AR$81*(P$50*GREET1_Import_Export!$K76+GREET1_Import_Export!$B190*GREET1_Import_Export!$F$179+GREET1_Import_Export!$F190)+AR$82*(P$52*GREET1_Import_Export!$Q76+P$53*GREET1_Import_Export!$O76+P$54*GREET1_Import_Export!$M76+GREET1_Import_Export!$B190*GREET1_Import_Export!$G$179+GREET1_Import_Export!$G190)+AR$83*(P$55*GREET1_Import_Export!$T76+GREET1_Import_Export!$B190*GREET1_Import_Export!$C$179+GREET1_Import_Export!$C190)+AR$84*(P$56*GREET1_Import_Export!$W76+GREET1_Import_Export!$E226*GREET1_Import_Export!$F$215+GREET1_Import_Export!$F226)+AR$85*(P$57*GREET1_Import_Export!$B76+P$58*GREET1_Import_Export!$C76+P$59*GREET1_Import_Export!$G76+P$61*'GREET2_Factors_T&amp;D'!$F19+P$62*'GREET2_Factors_T&amp;D'!$G19+GREET1_Import_Export!$B226)+AR$86*(P$64*GREET1_Import_Export!$AA76+P$65*GREET1_Import_Export!$AB76+GREET1_Import_Export!$B294)+AR$87*SUM(GREET1_Import_Export!$B319:$C319)</f>
        <v>122.09216087821467</v>
      </c>
      <c r="AS99" s="489"/>
      <c r="AT99" s="235"/>
      <c r="AU99" s="234">
        <f>AU$81*(Q$50*GREET1_Import_Export!$K76+GREET1_Import_Export!$B190*GREET1_Import_Export!$F$179+GREET1_Import_Export!$F190)+AU$82*(Q$52*GREET1_Import_Export!$Q76+Q$53*GREET1_Import_Export!$O76+Q$54*GREET1_Import_Export!$M76+GREET1_Import_Export!$B190*GREET1_Import_Export!$G$179+GREET1_Import_Export!$G190)+AU$83*(Q$55*GREET1_Import_Export!$T76+GREET1_Import_Export!$B190*GREET1_Import_Export!$C$179+GREET1_Import_Export!$C190)+AU$84*(Q$56*GREET1_Import_Export!$W76+GREET1_Import_Export!$E226*GREET1_Import_Export!$F$215+GREET1_Import_Export!$F226)+AU$85*(Q$57*GREET1_Import_Export!$B76+Q$58*GREET1_Import_Export!$C76+Q$59*GREET1_Import_Export!$G76+Q$61*'GREET2_Factors_T&amp;D'!$F19+Q$62*'GREET2_Factors_T&amp;D'!$G19+GREET1_Import_Export!$B226)+AU$86*(Q$64*GREET1_Import_Export!$AA76+Q$65*GREET1_Import_Export!$AB76+GREET1_Import_Export!$B294)+AU$87*SUM(GREET1_Import_Export!$B319:$C319)</f>
        <v>737.07273960685234</v>
      </c>
      <c r="AV99" s="489"/>
      <c r="AW99" s="235"/>
      <c r="AX99" s="234">
        <f>AX$81*(R$50*GREET1_Import_Export!$K76+GREET1_Import_Export!$B190*GREET1_Import_Export!$F$179+GREET1_Import_Export!$F190)+AX$82*(R$52*GREET1_Import_Export!$Q76+R$53*GREET1_Import_Export!$O76+R$54*GREET1_Import_Export!$M76+GREET1_Import_Export!$B190*GREET1_Import_Export!$G$179+GREET1_Import_Export!$G190)+AX$83*(R$55*GREET1_Import_Export!$T76+GREET1_Import_Export!$B190*GREET1_Import_Export!$C$179+GREET1_Import_Export!$C190)+AX$84*(R$56*GREET1_Import_Export!$W76+GREET1_Import_Export!$E226*GREET1_Import_Export!$F$215+GREET1_Import_Export!$F226)+AX$85*(R$57*GREET1_Import_Export!$B76+R$58*GREET1_Import_Export!$C76+R$59*GREET1_Import_Export!$G76+R$61*'GREET2_Factors_T&amp;D'!$F19+R$62*'GREET2_Factors_T&amp;D'!$G19+GREET1_Import_Export!$B226)+AX$86*(R$64*GREET1_Import_Export!$AA76+R$65*GREET1_Import_Export!$AB76+GREET1_Import_Export!$B294)+AX$87*SUM(GREET1_Import_Export!$B319:$C319)</f>
        <v>246.73384552584005</v>
      </c>
      <c r="AY99" s="489"/>
      <c r="AZ99" s="235"/>
      <c r="BA99" s="234">
        <f>BA$81*(S$50*GREET1_Import_Export!$K76+GREET1_Import_Export!$B190*GREET1_Import_Export!$F$179+GREET1_Import_Export!$F190)+BA$82*(S$52*GREET1_Import_Export!$Q76+S$53*GREET1_Import_Export!$O76+S$54*GREET1_Import_Export!$M76+GREET1_Import_Export!$B190*GREET1_Import_Export!$G$179+GREET1_Import_Export!$G190)+BA$83*(S$55*GREET1_Import_Export!$T76+GREET1_Import_Export!$B190*GREET1_Import_Export!$C$179+GREET1_Import_Export!$C190)+BA$84*(S$56*GREET1_Import_Export!$W76+GREET1_Import_Export!$E226*GREET1_Import_Export!$F$215+GREET1_Import_Export!$F226)+BA$85*(S$57*GREET1_Import_Export!$B76+S$58*GREET1_Import_Export!$C76+S$59*GREET1_Import_Export!$G76+S$61*'GREET2_Factors_T&amp;D'!$F19+S$62*'GREET2_Factors_T&amp;D'!$G19+GREET1_Import_Export!$B226)+BA$86*(S$64*GREET1_Import_Export!$AA76+S$65*GREET1_Import_Export!$AB76+GREET1_Import_Export!$B294)+BA$87*SUM(GREET1_Import_Export!$B319:$C319)</f>
        <v>137.7105872450669</v>
      </c>
      <c r="BB99" s="489"/>
      <c r="BC99" s="235"/>
      <c r="BD99" s="578">
        <f>BD$81*(T$50*GREET1_Import_Export!$K76+GREET1_Import_Export!$B190*GREET1_Import_Export!$F$179+GREET1_Import_Export!$F190)+BD$82*(T$52*GREET1_Import_Export!$Q76+T$53*GREET1_Import_Export!$O76+T$54*GREET1_Import_Export!$M76+GREET1_Import_Export!$B190*GREET1_Import_Export!$G$179+GREET1_Import_Export!$G190)+BD$83*(T$55*GREET1_Import_Export!$T76+GREET1_Import_Export!$B190*GREET1_Import_Export!$C$179+GREET1_Import_Export!$C190)+BD$84*(T$56*GREET1_Import_Export!$W76+GREET1_Import_Export!$E226*GREET1_Import_Export!$F$215+GREET1_Import_Export!$F226)+BD$85*(T$57*GREET1_Import_Export!$B76+T$58*GREET1_Import_Export!$C76+T$59*GREET1_Import_Export!$G76+T$61*'GREET2_Factors_T&amp;D'!$F19+T$62*'GREET2_Factors_T&amp;D'!$G19+GREET1_Import_Export!$B226)+BD$86*(T$64*GREET1_Import_Export!$AA76+T$65*GREET1_Import_Export!$AB76+GREET1_Import_Export!$B294)+BD$87*SUM(GREET1_Import_Export!$B319:$C319)</f>
        <v>111.21266713785501</v>
      </c>
      <c r="BE99" s="489"/>
      <c r="BF99" s="478"/>
      <c r="BG99" s="578">
        <f>BG$81*(U$50*GREET1_Import_Export!$K76+GREET1_Import_Export!$B190*GREET1_Import_Export!$F$179+GREET1_Import_Export!$F190)+BG$82*(U$52*GREET1_Import_Export!$Q76+U$53*GREET1_Import_Export!$O76+U$54*GREET1_Import_Export!$M76+GREET1_Import_Export!$B190*GREET1_Import_Export!$G$179+GREET1_Import_Export!$G190)+BG$83*(U$55*GREET1_Import_Export!$T76+GREET1_Import_Export!$B190*GREET1_Import_Export!$C$179+GREET1_Import_Export!$C190)+BG$84*(U$56*GREET1_Import_Export!$W76+GREET1_Import_Export!$E226*GREET1_Import_Export!$F$215+GREET1_Import_Export!$F226)+BG$85*(U$57*GREET1_Import_Export!$B76+U$58*GREET1_Import_Export!$C76+U$59*GREET1_Import_Export!$G76+U$61*'GREET2_Factors_T&amp;D'!$F19+U$62*'GREET2_Factors_T&amp;D'!$G19+GREET1_Import_Export!$B226)+BG$86*(U$64*GREET1_Import_Export!$AA76+U$65*GREET1_Import_Export!$AB76+GREET1_Import_Export!$B294)+BG$87*SUM(GREET1_Import_Export!$B319:$C319)</f>
        <v>113.22278924891742</v>
      </c>
      <c r="BH99" s="489"/>
      <c r="BI99" s="478"/>
      <c r="BJ99" s="578">
        <f>BJ$81*(V$50*GREET1_Import_Export!$K76+GREET1_Import_Export!$B190*GREET1_Import_Export!$F$179+GREET1_Import_Export!$F190)+BJ$82*(V$52*GREET1_Import_Export!$Q76+V$53*GREET1_Import_Export!$O76+V$54*GREET1_Import_Export!$M76+GREET1_Import_Export!$B190*GREET1_Import_Export!$G$179+GREET1_Import_Export!$G190)+BJ$83*(V$55*GREET1_Import_Export!$T76+GREET1_Import_Export!$B190*GREET1_Import_Export!$C$179+GREET1_Import_Export!$C190)+BJ$84*(V$56*GREET1_Import_Export!$W76+GREET1_Import_Export!$E226*GREET1_Import_Export!$F$215+GREET1_Import_Export!$F226)+BJ$85*(V$57*GREET1_Import_Export!$B76+V$58*GREET1_Import_Export!$C76+V$59*GREET1_Import_Export!$G76+V$61*'GREET2_Factors_T&amp;D'!$F19+V$62*'GREET2_Factors_T&amp;D'!$G19+GREET1_Import_Export!$B226)+BJ$86*(V$64*GREET1_Import_Export!$AA76+V$65*GREET1_Import_Export!$AB76+GREET1_Import_Export!$B294)+BJ$87*SUM(GREET1_Import_Export!$B319:$C319)</f>
        <v>18.767658608014571</v>
      </c>
      <c r="BK99" s="489"/>
      <c r="BL99" s="478"/>
      <c r="BM99" s="578">
        <f>BM$81*(X$50*GREET1_Import_Export!$K76+GREET1_Import_Export!$B190*GREET1_Import_Export!$F$179+GREET1_Import_Export!$F190)+BM$82*(X$52*GREET1_Import_Export!$Q76+X$53*GREET1_Import_Export!$O76+X$54*GREET1_Import_Export!$M76+GREET1_Import_Export!$B190*GREET1_Import_Export!$G$179+GREET1_Import_Export!$G190)+BM$83*(X$55*GREET1_Import_Export!$T76+GREET1_Import_Export!$B190*GREET1_Import_Export!$C$179+GREET1_Import_Export!$C190)+BM$84*(X$56*GREET1_Import_Export!$W76+GREET1_Import_Export!$E226*GREET1_Import_Export!$F$215+GREET1_Import_Export!$F226)+BM$85*(X$57*GREET1_Import_Export!$B76+X$58*GREET1_Import_Export!$C76+X$59*GREET1_Import_Export!$G76+X$61*'GREET2_Factors_T&amp;D'!$F19+X$62*'GREET2_Factors_T&amp;D'!$G19+GREET1_Import_Export!$B226)+BM$86*(X$64*GREET1_Import_Export!$AA76+X$65*GREET1_Import_Export!$AB76+GREET1_Import_Export!$B294)+BM$87*SUM(GREET1_Import_Export!$B319:$C319)</f>
        <v>6.3200622605734607</v>
      </c>
      <c r="BN99" s="489"/>
      <c r="BO99" s="478"/>
      <c r="BP99" s="234">
        <f>BP$81*(Z$50*GREET1_Import_Export!$K76+GREET1_Import_Export!$B190*GREET1_Import_Export!$F$179+GREET1_Import_Export!$F190)+BP$82*(Z$52*GREET1_Import_Export!$Q76+Z$53*GREET1_Import_Export!$O76+Z$54*GREET1_Import_Export!$M76+GREET1_Import_Export!$B190*GREET1_Import_Export!$G$179+GREET1_Import_Export!$G190)+BP$83*(Z$55*GREET1_Import_Export!$T76+GREET1_Import_Export!$B190*GREET1_Import_Export!$C$179+GREET1_Import_Export!$C190)+BP$84*(Z$56*GREET1_Import_Export!$W76+GREET1_Import_Export!$E226*GREET1_Import_Export!$F$215+GREET1_Import_Export!$F226)+BP$85*(Z$57*GREET1_Import_Export!$B76+Z$58*GREET1_Import_Export!$C76+Z$59*GREET1_Import_Export!$G76+Z$61*'GREET2_Factors_T&amp;D'!$F19+Z$62*'GREET2_Factors_T&amp;D'!$G19+GREET1_Import_Export!$B226)+BP$86*(Z$64*GREET1_Import_Export!$AA76+Z$65*GREET1_Import_Export!$AB76+GREET1_Import_Export!$B294)+BP$87*SUM(GREET1_Import_Export!$B319:$C319)</f>
        <v>0</v>
      </c>
      <c r="BQ99" s="489"/>
      <c r="BR99" s="235"/>
      <c r="BS99" s="753">
        <f>BS$81*(AA$50*GREET1_Import_Export!$K76+GREET1_Import_Export!$B190*GREET1_Import_Export!$F$179+GREET1_Import_Export!$F190)+BS$82*(AA$52*GREET1_Import_Export!$Q76+AA$53*GREET1_Import_Export!$O76+AA$54*GREET1_Import_Export!$M76+GREET1_Import_Export!$B190*GREET1_Import_Export!$G$179+GREET1_Import_Export!$G190)+BS$83*(AA$55*GREET1_Import_Export!$T76+GREET1_Import_Export!$B190*GREET1_Import_Export!$C$179+GREET1_Import_Export!$C190)+BS$84*(AA$56*GREET1_Import_Export!$W76+GREET1_Import_Export!$E226*GREET1_Import_Export!$F$215+GREET1_Import_Export!$F226)+BS$85*(AA$57*GREET1_Import_Export!$B76+AA$58*GREET1_Import_Export!$C76+AA$59*GREET1_Import_Export!$G76+AA$61*'GREET2_Factors_T&amp;D'!$F19+AA$62*'GREET2_Factors_T&amp;D'!$G19+GREET1_Import_Export!$B226)+BS$86*(AA$64*GREET1_Import_Export!$AA76+AA$65*GREET1_Import_Export!$AB76+GREET1_Import_Export!$B294)+BS$87*(GREET1_Import_Export!$B319+GREET1_Import_Export!$C319)</f>
        <v>1.8535444522975835</v>
      </c>
      <c r="BT99" s="363"/>
      <c r="BU99" s="1082"/>
      <c r="BV99" s="753">
        <f>BV$81*(AB$50*GREET1_Import_Export!$K76+GREET1_Import_Export!$B190*GREET1_Import_Export!$F$179+GREET1_Import_Export!$F190)+BV$82*(AB$52*GREET1_Import_Export!$Q76+AB$53*GREET1_Import_Export!$O76+AB$54*GREET1_Import_Export!$M76+GREET1_Import_Export!$B190*GREET1_Import_Export!$G$179+GREET1_Import_Export!$G190)+BV$83*(AB$55*GREET1_Import_Export!$T76+GREET1_Import_Export!$B190*GREET1_Import_Export!$C$179+GREET1_Import_Export!$C190)+BV$84*(AB$56*GREET1_Import_Export!$W76+GREET1_Import_Export!$E226*GREET1_Import_Export!$F$215+GREET1_Import_Export!$F226)+BV$85*(AB$57*GREET1_Import_Export!$B76+AB$58*GREET1_Import_Export!$C76+AB$59*GREET1_Import_Export!$G76+AB$61*'GREET2_Factors_T&amp;D'!$F19+AB$62*'GREET2_Factors_T&amp;D'!$G19+GREET1_Import_Export!$B226)+BV$86*(AB$64*GREET1_Import_Export!$AA76+AB$65*GREET1_Import_Export!$AB76+GREET1_Import_Export!$B294)+BV$87*(GREET1_Import_Export!$B319+GREET1_Import_Export!$C319)</f>
        <v>0</v>
      </c>
      <c r="BW99" s="363"/>
      <c r="BX99" s="1082"/>
      <c r="BY99" s="753">
        <f>BY$81*(AC$50*GREET1_Import_Export!$K76+GREET1_Import_Export!$B190*GREET1_Import_Export!$F$179+GREET1_Import_Export!$F190)+BY$82*(AC$52*GREET1_Import_Export!$Q76+AC$53*GREET1_Import_Export!$O76+AC$54*GREET1_Import_Export!$M76+GREET1_Import_Export!$B190*GREET1_Import_Export!$G$179+GREET1_Import_Export!$G190)+BY$83*(AC$55*GREET1_Import_Export!$T76+GREET1_Import_Export!$B190*GREET1_Import_Export!$C$179+GREET1_Import_Export!$C190)+BY$84*(AC$56*GREET1_Import_Export!$W76+GREET1_Import_Export!$E226*GREET1_Import_Export!$F$215+GREET1_Import_Export!$F226)+BY$85*(AC$57*GREET1_Import_Export!$B76+AC$58*GREET1_Import_Export!$C76+AC$59*GREET1_Import_Export!$G76+AC$61*'GREET2_Factors_T&amp;D'!$F19+AC$62*'GREET2_Factors_T&amp;D'!$G19+GREET1_Import_Export!$B226)+BY$86*(AC$64*GREET1_Import_Export!$AA76+AC$65*GREET1_Import_Export!$AB76+GREET1_Import_Export!$B294)+BY$87*(GREET1_Import_Export!$B319+GREET1_Import_Export!$C319)</f>
        <v>150.0569751685841</v>
      </c>
      <c r="BZ99" s="363"/>
      <c r="CA99" s="1082"/>
      <c r="CB99" s="753">
        <f>CB$81*(AD$50*GREET1_Import_Export!$K76+GREET1_Import_Export!$B190*GREET1_Import_Export!$F$179+GREET1_Import_Export!$F190)+CB$82*(AD$52*GREET1_Import_Export!$Q76+AD$53*GREET1_Import_Export!$O76+AD$54*GREET1_Import_Export!$M76+GREET1_Import_Export!$B190*GREET1_Import_Export!$G$179+GREET1_Import_Export!$G190)+CB$83*(AD$55*GREET1_Import_Export!$T76+GREET1_Import_Export!$B190*GREET1_Import_Export!$C$179+GREET1_Import_Export!$C190)+CB$84*(AD$56*GREET1_Import_Export!$W76+GREET1_Import_Export!$E226*GREET1_Import_Export!$F$215+GREET1_Import_Export!$F226)+CB$85*(AD$57*GREET1_Import_Export!$B76+AD$58*GREET1_Import_Export!$C76+AD$59*GREET1_Import_Export!$G76+AD$61*'GREET2_Factors_T&amp;D'!$F19+AD$62*'GREET2_Factors_T&amp;D'!$G19+GREET1_Import_Export!$B226)+CB$86*(AD$64*GREET1_Import_Export!$AA76+AD$65*GREET1_Import_Export!$AB76+GREET1_Import_Export!$B294)+CB$87*(GREET1_Import_Export!$B319+GREET1_Import_Export!$C319)</f>
        <v>183.61411632675564</v>
      </c>
      <c r="CC99" s="363"/>
      <c r="CD99" s="1082"/>
      <c r="CE99" s="749">
        <f>CE$81*($AE$50*GREET1_Import_Export!$K76+GREET1_Import_Export!$F$179*GREET1_Import_Export!$B190+GREET1_Import_Export!$F190)+CE$82*(GREET1_Import_Export!$R76+GREET1_Import_Export!$H$179*GREET1_Import_Export!$B190+GREET1_Import_Export!$H190)+CE$83*(GREET1_Import_Export!$T76+GREET1_Import_Export!$C$179*GREET1_Import_Export!$B190+GREET1_Import_Export!$C190)+CE$84*(GREET1_Import_Export!$X76+GREET1_Import_Export!$B$10*(GREET1_Import_Export!$F$215*GREET1_Import_Export!$B226+GREET1_Import_Export!$F226)+GREET1_Import_Export!$C$10*(GREET1_Import_Export!$E$179*GREET1_Import_Export!$B190+GREET1_Import_Export!$E190))+CE$85*($AE$57*GREET1_Import_Export!$B76+GREET1_Import_Export!$B226)+CE$86*($AE$64 *GREET1_Import_Export!$AA76+GREET1_Import_Export!$B294)+CE$87*(GREET1_Import_Export!$B319+GREET1_Import_Export!$C319)</f>
        <v>0</v>
      </c>
      <c r="CF99" s="817">
        <f>W.Al!C100/5.575</f>
        <v>77.108334586547087</v>
      </c>
      <c r="CG99" s="1321"/>
      <c r="CH99" s="1321"/>
      <c r="CI99" s="1321"/>
      <c r="CJ99" s="1321"/>
      <c r="CK99" s="1321"/>
      <c r="CL99" s="1321"/>
      <c r="CM99" s="1321"/>
      <c r="CN99" s="1321"/>
      <c r="CO99" s="1321"/>
      <c r="CP99" s="1321"/>
      <c r="CQ99" s="1321"/>
      <c r="CR99" s="1321"/>
      <c r="CS99" s="1321"/>
      <c r="CT99" s="1321"/>
      <c r="CU99" s="1321"/>
      <c r="CV99" s="1321"/>
      <c r="CW99" s="1321"/>
      <c r="CX99" s="1321"/>
      <c r="CY99" s="1321"/>
      <c r="CZ99" s="1321"/>
      <c r="DA99" s="1321"/>
      <c r="DB99" s="1321"/>
      <c r="DC99" s="1321"/>
      <c r="DD99" s="1321"/>
      <c r="DE99" s="1321"/>
      <c r="DF99" s="1321"/>
      <c r="DG99" s="1321"/>
      <c r="DH99" s="1321"/>
      <c r="DI99" s="1321"/>
      <c r="DJ99" s="1321"/>
      <c r="DK99" s="1321"/>
      <c r="DL99" s="1321"/>
      <c r="DM99" s="1321"/>
      <c r="DN99" s="1321"/>
      <c r="DO99" s="1321"/>
      <c r="DP99" s="1321"/>
      <c r="DQ99" s="1321"/>
      <c r="DR99" s="1321"/>
      <c r="DS99" s="1321"/>
      <c r="DT99" s="1321"/>
      <c r="DU99" s="1321"/>
      <c r="DV99" s="1321"/>
      <c r="DW99" s="1321"/>
      <c r="DX99" s="1321"/>
      <c r="DY99" s="1321"/>
      <c r="DZ99" s="1321"/>
      <c r="EA99" s="1321"/>
      <c r="EB99" s="1321"/>
      <c r="EC99" s="1321"/>
      <c r="ED99" s="1321"/>
      <c r="EE99" s="1321"/>
      <c r="EF99" s="1321"/>
      <c r="EG99" s="1321"/>
      <c r="EH99" s="1321"/>
      <c r="EI99" s="1321"/>
      <c r="EJ99" s="1321"/>
      <c r="EK99" s="1321"/>
      <c r="EL99" s="1321"/>
      <c r="EM99" s="1321"/>
      <c r="EN99" s="1321"/>
      <c r="EO99" s="1321"/>
      <c r="EP99" s="1321"/>
      <c r="EQ99" s="1321"/>
      <c r="ER99" s="1321"/>
      <c r="ES99" s="1321"/>
      <c r="ET99" s="1321"/>
      <c r="EU99" s="1321"/>
      <c r="EV99" s="1321"/>
      <c r="EW99" s="1321"/>
      <c r="EX99" s="1321"/>
      <c r="EY99" s="1321"/>
      <c r="EZ99" s="1321"/>
      <c r="FA99" s="1321"/>
      <c r="FB99" s="1321"/>
    </row>
    <row r="100" spans="1:158">
      <c r="A100" s="291" t="s">
        <v>826</v>
      </c>
      <c r="B100" s="234">
        <f>B$81*(B$50*GREET1_Import_Export!$K77+GREET1_Import_Export!$B191*GREET1_Import_Export!$F$179+GREET1_Import_Export!$F191)+B$82*(B$52*GREET1_Import_Export!$Q77+B$53*GREET1_Import_Export!$O77+B$54*GREET1_Import_Export!$M77+GREET1_Import_Export!$B191*GREET1_Import_Export!$G$179+GREET1_Import_Export!$G191)+B$83*(B$55*GREET1_Import_Export!$T77+GREET1_Import_Export!$B191*GREET1_Import_Export!$C$179+GREET1_Import_Export!$C191)+B$84*(B$56*GREET1_Import_Export!$W77+GREET1_Import_Export!$E227*GREET1_Import_Export!$F$215+GREET1_Import_Export!$F227)+B$85*(B$57*GREET1_Import_Export!$B77+B$58*GREET1_Import_Export!$C77+B$59*GREET1_Import_Export!$G77+B$61*'GREET2_Factors_T&amp;D'!$F20+B$62*'GREET2_Factors_T&amp;D'!$G20+GREET1_Import_Export!$B227)+B$86*(B$64*GREET1_Import_Export!$AA77+B$65*GREET1_Import_Export!$AB77+GREET1_Import_Export!$B295)+B$87*SUM(GREET1_Import_Export!$B320:$C320)</f>
        <v>0</v>
      </c>
      <c r="C100" s="489"/>
      <c r="D100" s="235"/>
      <c r="E100" s="234">
        <f>E$81*(C$50*GREET1_Import_Export!$K77+GREET1_Import_Export!$B191*GREET1_Import_Export!$F$179+GREET1_Import_Export!$F191)+E$82*(C$52*GREET1_Import_Export!$Q77+C$53*GREET1_Import_Export!$O77+C$54*GREET1_Import_Export!$M77+GREET1_Import_Export!$B191*GREET1_Import_Export!$G$179+GREET1_Import_Export!$G191)+E$83*(C$55*GREET1_Import_Export!$T77+GREET1_Import_Export!$B191*GREET1_Import_Export!$C$179+GREET1_Import_Export!$C191)+E$84*(C$56*GREET1_Import_Export!$W77+GREET1_Import_Export!$E227*GREET1_Import_Export!$F$215+GREET1_Import_Export!$F227)+E$85*(C$57*GREET1_Import_Export!$B77+C$58*GREET1_Import_Export!$C77+C$59*GREET1_Import_Export!$G77+C$61*'GREET2_Factors_T&amp;D'!$F20+C$62*'GREET2_Factors_T&amp;D'!$G20+GREET1_Import_Export!$B227)+E$86*(C$64*GREET1_Import_Export!$AA77+C$65*GREET1_Import_Export!$AB77+GREET1_Import_Export!$B295)+E$87*SUM(GREET1_Import_Export!$B320:$C320)</f>
        <v>0</v>
      </c>
      <c r="F100" s="489"/>
      <c r="G100" s="235"/>
      <c r="H100" s="234">
        <f>H$81*(D$50*GREET1_Import_Export!$K77+GREET1_Import_Export!$B191*GREET1_Import_Export!$F$179+GREET1_Import_Export!$F191)+H$82*(D$52*GREET1_Import_Export!$Q77+D$53*GREET1_Import_Export!$O77+D$54*GREET1_Import_Export!$M77+GREET1_Import_Export!$B191*GREET1_Import_Export!$G$179+GREET1_Import_Export!$G191)+H$83*(D$55*GREET1_Import_Export!$T77+GREET1_Import_Export!$B191*GREET1_Import_Export!$C$179+GREET1_Import_Export!$C191)+H$84*(D$56*GREET1_Import_Export!$W77+GREET1_Import_Export!$E227*GREET1_Import_Export!$F$215+GREET1_Import_Export!$F227)+H$85*(D$57*GREET1_Import_Export!$B77+D$58*GREET1_Import_Export!$C77+D$59*GREET1_Import_Export!$G77+D$61*'GREET2_Factors_T&amp;D'!$F20+D$62*'GREET2_Factors_T&amp;D'!$G20+GREET1_Import_Export!$B227)+H$86*(D$64*GREET1_Import_Export!$AA77+D$65*GREET1_Import_Export!$AB77+GREET1_Import_Export!$B295)+H$87*SUM(GREET1_Import_Export!$B320:$C320)</f>
        <v>439.04347882464447</v>
      </c>
      <c r="I100" s="489"/>
      <c r="J100" s="235"/>
      <c r="K100" s="234">
        <f>K$81*(E$50*GREET1_Import_Export!$K77+GREET1_Import_Export!$B191*GREET1_Import_Export!$F$179+GREET1_Import_Export!$F191)+K$82*(E$52*GREET1_Import_Export!$Q77+E$53*GREET1_Import_Export!$O77+E$54*GREET1_Import_Export!$M77+GREET1_Import_Export!$B191*GREET1_Import_Export!$G$179+GREET1_Import_Export!$G191)+K$83*(E$55*GREET1_Import_Export!$T77+GREET1_Import_Export!$B191*GREET1_Import_Export!$C$179+GREET1_Import_Export!$C191)+K$84*(E$56*GREET1_Import_Export!$W77+GREET1_Import_Export!$E227*GREET1_Import_Export!$F$215+GREET1_Import_Export!$F227)+K$85*(E$57*GREET1_Import_Export!$B77+E$58*GREET1_Import_Export!$C77+E$59*GREET1_Import_Export!$G77+E$61*'GREET2_Factors_T&amp;D'!$F20+E$62*'GREET2_Factors_T&amp;D'!$G20+GREET1_Import_Export!$B227)+K$86*(E$64*GREET1_Import_Export!$AA77+E$65*GREET1_Import_Export!$AB77+GREET1_Import_Export!$B295)+K$87*SUM(GREET1_Import_Export!$B320:$C320)</f>
        <v>1403.8894713587974</v>
      </c>
      <c r="L100" s="489"/>
      <c r="M100" s="235"/>
      <c r="N100" s="234">
        <f>N$81*(F$50*GREET1_Import_Export!$K77+GREET1_Import_Export!$B191*GREET1_Import_Export!$F$179+GREET1_Import_Export!$F191)+N$82*(F$52*GREET1_Import_Export!$Q77+F$53*GREET1_Import_Export!$O77+F$54*GREET1_Import_Export!$M77+GREET1_Import_Export!$B191*GREET1_Import_Export!$G$179+GREET1_Import_Export!$G191)+N$83*(F$55*GREET1_Import_Export!$T77+GREET1_Import_Export!$B191*GREET1_Import_Export!$C$179+GREET1_Import_Export!$C191)+N$84*(F$56*GREET1_Import_Export!$W77+GREET1_Import_Export!$E227*GREET1_Import_Export!$F$215+GREET1_Import_Export!$F227)+N$85*(F$57*GREET1_Import_Export!$B77+F$58*GREET1_Import_Export!$C77+F$59*GREET1_Import_Export!$G77+F$61*'GREET2_Factors_T&amp;D'!$F20+F$62*'GREET2_Factors_T&amp;D'!$G20+GREET1_Import_Export!$B227)+N$86*(F$64*GREET1_Import_Export!$AA77+F$65*GREET1_Import_Export!$AB77+GREET1_Import_Export!$B295)+N$87*SUM(GREET1_Import_Export!$B320:$C320)</f>
        <v>439.04347882464447</v>
      </c>
      <c r="O100" s="489"/>
      <c r="P100" s="235"/>
      <c r="Q100" s="578">
        <f>Q$81*(G$50*GREET1_Import_Export!$K77+GREET1_Import_Export!$B191*GREET1_Import_Export!$F$179+GREET1_Import_Export!$F191)+Q$82*(G$52*GREET1_Import_Export!$Q77+G$53*GREET1_Import_Export!$O77+G$54*GREET1_Import_Export!$M77+GREET1_Import_Export!$B191*GREET1_Import_Export!$G$179+GREET1_Import_Export!$G191)+Q$83*(G$55*GREET1_Import_Export!$T77+GREET1_Import_Export!$B191*GREET1_Import_Export!$C$179+GREET1_Import_Export!$C191)+Q$84*(G$56*GREET1_Import_Export!$W77+GREET1_Import_Export!$E227*GREET1_Import_Export!$F$215+GREET1_Import_Export!$F227)+Q$85*(G$57*GREET1_Import_Export!$B77+G$58*GREET1_Import_Export!$C77+G$59*GREET1_Import_Export!$G77+G$61*'GREET2_Factors_T&amp;D'!$F20+G$62*'GREET2_Factors_T&amp;D'!$G20+GREET1_Import_Export!$B227)+Q$86*(G$64*GREET1_Import_Export!$AA77+G$65*GREET1_Import_Export!$AB77+GREET1_Import_Export!$B295)
+Q$87*($B$46*(GREET1_Import_Export!$B320+GREET1_Import_Export!$C320)+$C$46*GREET1_Import_Export!L353+$D$46*GREET1_Import_Export!H353+$E$46*GREET1_Import_Export!Q353+$F$46*GREET1_Import_Export!R353+SUMPRODUCT($G$46:$I$46,GREET1_Import_Export!N353:P353))</f>
        <v>1403.8894713587974</v>
      </c>
      <c r="R100" s="489"/>
      <c r="S100" s="235"/>
      <c r="T100" s="578">
        <f>T$81*(H$50*GREET1_Import_Export!$K77+GREET1_Import_Export!$B191*GREET1_Import_Export!$F$179+GREET1_Import_Export!$F191)+T$82*(H$52*GREET1_Import_Export!$Q77+H$53*GREET1_Import_Export!$O77+H$54*GREET1_Import_Export!$M77+GREET1_Import_Export!$B191*GREET1_Import_Export!$G$179+GREET1_Import_Export!$G191)+T$83*(H$55*GREET1_Import_Export!$T77+GREET1_Import_Export!$B191*GREET1_Import_Export!$C$179+GREET1_Import_Export!$C191)+T$84*(H$56*GREET1_Import_Export!$W77+GREET1_Import_Export!$E227*GREET1_Import_Export!$F$215+GREET1_Import_Export!$F227)+T$85*(H$57*GREET1_Import_Export!$B77+H$58*GREET1_Import_Export!$C77+H$59*GREET1_Import_Export!$G77+H$61*'GREET2_Factors_T&amp;D'!$F20+H$62*'GREET2_Factors_T&amp;D'!$G20+GREET1_Import_Export!$B227)+T$86*(H$64*GREET1_Import_Export!$AA77+H$65*GREET1_Import_Export!$AB77+GREET1_Import_Export!$B295)+T$87*SUM(GREET1_Import_Export!$B320:$C320)</f>
        <v>439.04347882464447</v>
      </c>
      <c r="U100" s="489"/>
      <c r="V100" s="235"/>
      <c r="W100" s="578">
        <f>W$81*(BS$50*GREET1_Import_Export!$K77+GREET1_Import_Export!$B191*GREET1_Import_Export!$F$179+GREET1_Import_Export!$F191)+W$82*(BS$52*GREET1_Import_Export!$Q77+BS$53*GREET1_Import_Export!$O77+BS$54*GREET1_Import_Export!$M77+GREET1_Import_Export!$B191*GREET1_Import_Export!$G$179+GREET1_Import_Export!$G191)+W$83*(BS$55*GREET1_Import_Export!$T77+GREET1_Import_Export!$B191*GREET1_Import_Export!$C$179+GREET1_Import_Export!$C191)+W$84*(BS$56*GREET1_Import_Export!$W77+GREET1_Import_Export!$E227*GREET1_Import_Export!$F$215+GREET1_Import_Export!$F227)+W$85*(BS$57*GREET1_Import_Export!$B77+BS$58*GREET1_Import_Export!$C77+BS$59*GREET1_Import_Export!$G77+BS$61*'GREET2_Factors_T&amp;D'!$F20+BS$62*'GREET2_Factors_T&amp;D'!$G20+GREET1_Import_Export!$B227)+W$86*(BS$64*GREET1_Import_Export!$AA77+BS$65*GREET1_Import_Export!$AB77+GREET1_Import_Export!$B295)+W$87*($B$46*(GREET1_Import_Export!$B320+GREET1_Import_Export!$C320)+$C$46*GREET1_Import_Export!L353+$D$46*GREET1_Import_Export!H353+$E$46*GREET1_Import_Export!Q353+$F$46*GREET1_Import_Export!R353+SUMPRODUCT($G$46:$I$46,GREET1_Import_Export!N353:P353))</f>
        <v>1403.8894713587974</v>
      </c>
      <c r="X100" s="489"/>
      <c r="Y100" s="235"/>
      <c r="Z100" s="234">
        <f>Z$81*(J$50*GREET1_Import_Export!$K77+GREET1_Import_Export!$B191*GREET1_Import_Export!$F$179+GREET1_Import_Export!$F191)+Z$82*(J$52*GREET1_Import_Export!$Q77+J$53*GREET1_Import_Export!$O77+J$54*GREET1_Import_Export!$M77+GREET1_Import_Export!$B191*GREET1_Import_Export!$G$179+GREET1_Import_Export!$G191)+Z$83*(J$55*GREET1_Import_Export!$T77+GREET1_Import_Export!$B191*GREET1_Import_Export!$C$179+GREET1_Import_Export!$C191)+Z$84*(J$56*GREET1_Import_Export!$W77+GREET1_Import_Export!$E227*GREET1_Import_Export!$F$215+GREET1_Import_Export!$F227)+Z$85*(J$57*GREET1_Import_Export!$B77+J$58*GREET1_Import_Export!$C77+J$59*GREET1_Import_Export!$G77+J$61*'GREET2_Factors_T&amp;D'!$F20+J$62*'GREET2_Factors_T&amp;D'!$G20+GREET1_Import_Export!$B227)+Z$86*(J$64*GREET1_Import_Export!$AA77+J$65*GREET1_Import_Export!$AB77+GREET1_Import_Export!$B295)+Z$87*SUM(GREET1_Import_Export!$B320:$C320)</f>
        <v>439.04347882464447</v>
      </c>
      <c r="AA100" s="489"/>
      <c r="AB100" s="235"/>
      <c r="AC100" s="578">
        <f>AC$81*(K$50*GREET1_Import_Export!$K77+GREET1_Import_Export!$B191*GREET1_Import_Export!$F$179+GREET1_Import_Export!$F191)+AC$82*(K$52*GREET1_Import_Export!$Q77+K$53*GREET1_Import_Export!$O77+K$54*GREET1_Import_Export!$M77+GREET1_Import_Export!$B191*GREET1_Import_Export!$G$179+GREET1_Import_Export!$G191)+AC$83*(K$55*GREET1_Import_Export!$T77+GREET1_Import_Export!$B191*GREET1_Import_Export!$C$179+GREET1_Import_Export!$C191)+AC$84*(K$56*GREET1_Import_Export!$W77+GREET1_Import_Export!$E227*GREET1_Import_Export!$F$215+GREET1_Import_Export!$F227)+AC$85*(K$57*GREET1_Import_Export!$B77+K$58*GREET1_Import_Export!$C77+K$59*GREET1_Import_Export!$G77+K$61*'GREET2_Factors_T&amp;D'!$F20+K$62*'GREET2_Factors_T&amp;D'!$G20+GREET1_Import_Export!$B227)+AC$86*(K$64*GREET1_Import_Export!$AA77+K$65*GREET1_Import_Export!$AB77+GREET1_Import_Export!$B295)+AC$87*($B$46*(GREET1_Import_Export!$B320+GREET1_Import_Export!$C320)+$C$46*GREET1_Import_Export!L353+$D$46*GREET1_Import_Export!H353+$E$46*GREET1_Import_Export!Q353+$F$46*GREET1_Import_Export!R353+SUMPRODUCT($G$46:$I$46,GREET1_Import_Export!N353:P353))</f>
        <v>1403.8894713587974</v>
      </c>
      <c r="AD100" s="489"/>
      <c r="AE100" s="235"/>
      <c r="AF100" s="234">
        <f>AF$81*(L$50*GREET1_Import_Export!$K77+GREET1_Import_Export!$B191*GREET1_Import_Export!$F$179+GREET1_Import_Export!$F191)+AF$82*(L$52*GREET1_Import_Export!$Q77+L$53*GREET1_Import_Export!$O77+L$54*GREET1_Import_Export!$M77+GREET1_Import_Export!$B191*GREET1_Import_Export!$G$179+GREET1_Import_Export!$G191)+AF$83*(L$55*GREET1_Import_Export!$T77+GREET1_Import_Export!$B191*GREET1_Import_Export!$C$179+GREET1_Import_Export!$C191)+AF$84*(L$56*GREET1_Import_Export!$W77+GREET1_Import_Export!$E227*GREET1_Import_Export!$F$215+GREET1_Import_Export!$F227)+AF$85*(L$57*GREET1_Import_Export!$B77+L$58*GREET1_Import_Export!$C77+L$59*GREET1_Import_Export!$G77+L$61*'GREET2_Factors_T&amp;D'!$F20+L$62*'GREET2_Factors_T&amp;D'!$G20+GREET1_Import_Export!$B227)+AF$86*(L$64*GREET1_Import_Export!$AA77+L$65*GREET1_Import_Export!$AB77+GREET1_Import_Export!$B295)+AF$87*SUM(GREET1_Import_Export!$B320:$C320)</f>
        <v>439.04347882464447</v>
      </c>
      <c r="AG100" s="489"/>
      <c r="AH100" s="478"/>
      <c r="AI100" s="578">
        <f>AI$81*(M$50*GREET1_Import_Export!$K77+GREET1_Import_Export!$B191*GREET1_Import_Export!$F$179+GREET1_Import_Export!$F191)+AI$82*(M$52*GREET1_Import_Export!$Q77+M$53*GREET1_Import_Export!$O77+M$54*GREET1_Import_Export!$M77+GREET1_Import_Export!$B191*GREET1_Import_Export!$G$179+GREET1_Import_Export!$G191)+AI$83*(M$55*GREET1_Import_Export!$T77+GREET1_Import_Export!$B191*GREET1_Import_Export!$C$179+GREET1_Import_Export!$C191)+AI$84*(M$56*GREET1_Import_Export!$W77+GREET1_Import_Export!$E227*GREET1_Import_Export!$F$215+GREET1_Import_Export!$F227)+AI$85*(M$57*GREET1_Import_Export!$B77+M$58*GREET1_Import_Export!$C77+M$59*GREET1_Import_Export!$G77+M$61*'GREET2_Factors_T&amp;D'!$F20+M$62*'GREET2_Factors_T&amp;D'!$G20+GREET1_Import_Export!$B227)+AI$86*(M$64*GREET1_Import_Export!$AA77+M$65*GREET1_Import_Export!$AB77+GREET1_Import_Export!$B295)+AI$87*($B$46*(GREET1_Import_Export!$B320+GREET1_Import_Export!$C320)+$C$46*GREET1_Import_Export!L353+$D$46*GREET1_Import_Export!H353+$E$46*GREET1_Import_Export!Q353+$F$46*GREET1_Import_Export!R353+SUMPRODUCT($G$46:$I$46,GREET1_Import_Export!N353:P353))</f>
        <v>1604.4451101243387</v>
      </c>
      <c r="AJ100" s="489"/>
      <c r="AK100" s="235"/>
      <c r="AL100" s="234">
        <f>AL$81*(N$50*GREET1_Import_Export!$K77+GREET1_Import_Export!$B191*GREET1_Import_Export!$F$179+GREET1_Import_Export!$F191)+AL$82*(N$52*GREET1_Import_Export!$Q77+N$53*GREET1_Import_Export!$O77+N$54*GREET1_Import_Export!$M77+GREET1_Import_Export!$B191*GREET1_Import_Export!$G$179+GREET1_Import_Export!$G191)+AL$83*(N$55*GREET1_Import_Export!$T77+GREET1_Import_Export!$B191*GREET1_Import_Export!$C$179+GREET1_Import_Export!$C191)+AL$84*(N$56*GREET1_Import_Export!$W77+GREET1_Import_Export!$E227*GREET1_Import_Export!$F$215+GREET1_Import_Export!$F227)+AL$85*(N$57*GREET1_Import_Export!$B77+N$58*GREET1_Import_Export!$C77+N$59*GREET1_Import_Export!$G77+N$61*'GREET2_Factors_T&amp;D'!$F20+N$62*'GREET2_Factors_T&amp;D'!$G20+GREET1_Import_Export!$B227)+AL$86*(N$64*GREET1_Import_Export!$AA77+N$65*GREET1_Import_Export!$AB77+GREET1_Import_Export!$B295)+AL$87*SUM(GREET1_Import_Export!$B320:$C320)</f>
        <v>392.37311667365344</v>
      </c>
      <c r="AM100" s="489"/>
      <c r="AN100" s="235"/>
      <c r="AO100" s="234">
        <f>AO$81*(O$50*GREET1_Import_Export!$K77+GREET1_Import_Export!$B191*GREET1_Import_Export!$F$179+GREET1_Import_Export!$F191)+AO$82*(O$52*GREET1_Import_Export!$Q77+O$53*GREET1_Import_Export!$O77+O$54*GREET1_Import_Export!$M77+GREET1_Import_Export!$B191*GREET1_Import_Export!$G$179+GREET1_Import_Export!$G191)+AO$83*(O$55*GREET1_Import_Export!$T77+GREET1_Import_Export!$B191*GREET1_Import_Export!$C$179+GREET1_Import_Export!$C191)+AO$84*(O$56*GREET1_Import_Export!$W77+GREET1_Import_Export!$E227*GREET1_Import_Export!$F$215+GREET1_Import_Export!$F227)+AO$85*(O$57*GREET1_Import_Export!$B77+O$58*GREET1_Import_Export!$C77+O$59*GREET1_Import_Export!$G77+O$61*'GREET2_Factors_T&amp;D'!$F20+O$62*'GREET2_Factors_T&amp;D'!$G20+GREET1_Import_Export!$B227)+AO$86*(O$64*GREET1_Import_Export!$AA77+O$65*GREET1_Import_Export!$AB77+GREET1_Import_Export!$B295)+AO$87*SUM(GREET1_Import_Export!$B320:$C320)</f>
        <v>1519.4763711673388</v>
      </c>
      <c r="AP100" s="489"/>
      <c r="AQ100" s="235"/>
      <c r="AR100" s="234">
        <f>AR$81*(P$50*GREET1_Import_Export!$K77+GREET1_Import_Export!$B191*GREET1_Import_Export!$F$179+GREET1_Import_Export!$F191)+AR$82*(P$52*GREET1_Import_Export!$Q77+P$53*GREET1_Import_Export!$O77+P$54*GREET1_Import_Export!$M77+GREET1_Import_Export!$B191*GREET1_Import_Export!$G$179+GREET1_Import_Export!$G191)+AR$83*(P$55*GREET1_Import_Export!$T77+GREET1_Import_Export!$B191*GREET1_Import_Export!$C$179+GREET1_Import_Export!$C191)+AR$84*(P$56*GREET1_Import_Export!$W77+GREET1_Import_Export!$E227*GREET1_Import_Export!$F$215+GREET1_Import_Export!$F227)+AR$85*(P$57*GREET1_Import_Export!$B77+P$58*GREET1_Import_Export!$C77+P$59*GREET1_Import_Export!$G77+P$61*'GREET2_Factors_T&amp;D'!$F20+P$62*'GREET2_Factors_T&amp;D'!$G20+GREET1_Import_Export!$B227)+AR$86*(P$64*GREET1_Import_Export!$AA77+P$65*GREET1_Import_Export!$AB77+GREET1_Import_Export!$B295)+AR$87*SUM(GREET1_Import_Export!$B320:$C320)</f>
        <v>357.22276148088048</v>
      </c>
      <c r="AS100" s="489"/>
      <c r="AT100" s="235"/>
      <c r="AU100" s="234">
        <f>AU$81*(Q$50*GREET1_Import_Export!$K77+GREET1_Import_Export!$B191*GREET1_Import_Export!$F$179+GREET1_Import_Export!$F191)+AU$82*(Q$52*GREET1_Import_Export!$Q77+Q$53*GREET1_Import_Export!$O77+Q$54*GREET1_Import_Export!$M77+GREET1_Import_Export!$B191*GREET1_Import_Export!$G$179+GREET1_Import_Export!$G191)+AU$83*(Q$55*GREET1_Import_Export!$T77+GREET1_Import_Export!$B191*GREET1_Import_Export!$C$179+GREET1_Import_Export!$C191)+AU$84*(Q$56*GREET1_Import_Export!$W77+GREET1_Import_Export!$E227*GREET1_Import_Export!$F$215+GREET1_Import_Export!$F227)+AU$85*(Q$57*GREET1_Import_Export!$B77+Q$58*GREET1_Import_Export!$C77+Q$59*GREET1_Import_Export!$G77+Q$61*'GREET2_Factors_T&amp;D'!$F20+Q$62*'GREET2_Factors_T&amp;D'!$G20+GREET1_Import_Export!$B227)+AU$86*(Q$64*GREET1_Import_Export!$AA77+Q$65*GREET1_Import_Export!$AB77+GREET1_Import_Export!$B295)+AU$87*SUM(GREET1_Import_Export!$B320:$C320)</f>
        <v>348.55665327456961</v>
      </c>
      <c r="AV100" s="489"/>
      <c r="AW100" s="235"/>
      <c r="AX100" s="234">
        <f>AX$81*(R$50*GREET1_Import_Export!$K77+GREET1_Import_Export!$B191*GREET1_Import_Export!$F$179+GREET1_Import_Export!$F191)+AX$82*(R$52*GREET1_Import_Export!$Q77+R$53*GREET1_Import_Export!$O77+R$54*GREET1_Import_Export!$M77+GREET1_Import_Export!$B191*GREET1_Import_Export!$G$179+GREET1_Import_Export!$G191)+AX$83*(R$55*GREET1_Import_Export!$T77+GREET1_Import_Export!$B191*GREET1_Import_Export!$C$179+GREET1_Import_Export!$C191)+AX$84*(R$56*GREET1_Import_Export!$W77+GREET1_Import_Export!$E227*GREET1_Import_Export!$F$215+GREET1_Import_Export!$F227)+AX$85*(R$57*GREET1_Import_Export!$B77+R$58*GREET1_Import_Export!$C77+R$59*GREET1_Import_Export!$G77+R$61*'GREET2_Factors_T&amp;D'!$F20+R$62*'GREET2_Factors_T&amp;D'!$G20+GREET1_Import_Export!$B227)+AX$86*(R$64*GREET1_Import_Export!$AA77+R$65*GREET1_Import_Export!$AB77+GREET1_Import_Export!$B295)+AX$87*SUM(GREET1_Import_Export!$B320:$C320)</f>
        <v>112.20405150678057</v>
      </c>
      <c r="AY100" s="489"/>
      <c r="AZ100" s="235"/>
      <c r="BA100" s="234">
        <f>BA$81*(S$50*GREET1_Import_Export!$K77+GREET1_Import_Export!$B191*GREET1_Import_Export!$F$179+GREET1_Import_Export!$F191)+BA$82*(S$52*GREET1_Import_Export!$Q77+S$53*GREET1_Import_Export!$O77+S$54*GREET1_Import_Export!$M77+GREET1_Import_Export!$B191*GREET1_Import_Export!$G$179+GREET1_Import_Export!$G191)+BA$83*(S$55*GREET1_Import_Export!$T77+GREET1_Import_Export!$B191*GREET1_Import_Export!$C$179+GREET1_Import_Export!$C191)+BA$84*(S$56*GREET1_Import_Export!$W77+GREET1_Import_Export!$E227*GREET1_Import_Export!$F$215+GREET1_Import_Export!$F227)+BA$85*(S$57*GREET1_Import_Export!$B77+S$58*GREET1_Import_Export!$C77+S$59*GREET1_Import_Export!$G77+S$61*'GREET2_Factors_T&amp;D'!$F20+S$62*'GREET2_Factors_T&amp;D'!$G20+GREET1_Import_Export!$B227)+BA$86*(S$64*GREET1_Import_Export!$AA77+S$65*GREET1_Import_Export!$AB77+GREET1_Import_Export!$B295)+BA$87*SUM(GREET1_Import_Export!$B320:$C320)</f>
        <v>1203.3338325932557</v>
      </c>
      <c r="BB100" s="489"/>
      <c r="BC100" s="235"/>
      <c r="BD100" s="578">
        <f>BD$81*(T$50*GREET1_Import_Export!$K77+GREET1_Import_Export!$B191*GREET1_Import_Export!$F$179+GREET1_Import_Export!$F191)+BD$82*(T$52*GREET1_Import_Export!$Q77+T$53*GREET1_Import_Export!$O77+T$54*GREET1_Import_Export!$M77+GREET1_Import_Export!$B191*GREET1_Import_Export!$G$179+GREET1_Import_Export!$G191)+BD$83*(T$55*GREET1_Import_Export!$T77+GREET1_Import_Export!$B191*GREET1_Import_Export!$C$179+GREET1_Import_Export!$C191)+BD$84*(T$56*GREET1_Import_Export!$W77+GREET1_Import_Export!$E227*GREET1_Import_Export!$F$215+GREET1_Import_Export!$F227)+BD$85*(T$57*GREET1_Import_Export!$B77+T$58*GREET1_Import_Export!$C77+T$59*GREET1_Import_Export!$G77+T$61*'GREET2_Factors_T&amp;D'!$F20+T$62*'GREET2_Factors_T&amp;D'!$G20+GREET1_Import_Export!$B227)+BD$86*(T$64*GREET1_Import_Export!$AA77+T$65*GREET1_Import_Export!$AB77+GREET1_Import_Export!$B295)+BD$87*SUM(GREET1_Import_Export!$B320:$C320)</f>
        <v>971.79140440203901</v>
      </c>
      <c r="BE100" s="489"/>
      <c r="BF100" s="478"/>
      <c r="BG100" s="578">
        <f>BG$81*(U$50*GREET1_Import_Export!$K77+GREET1_Import_Export!$B191*GREET1_Import_Export!$F$179+GREET1_Import_Export!$F191)+BG$82*(U$52*GREET1_Import_Export!$Q77+U$53*GREET1_Import_Export!$O77+U$54*GREET1_Import_Export!$M77+GREET1_Import_Export!$B191*GREET1_Import_Export!$G$179+GREET1_Import_Export!$G191)+BG$83*(U$55*GREET1_Import_Export!$T77+GREET1_Import_Export!$B191*GREET1_Import_Export!$C$179+GREET1_Import_Export!$C191)+BG$84*(U$56*GREET1_Import_Export!$W77+GREET1_Import_Export!$E227*GREET1_Import_Export!$F$215+GREET1_Import_Export!$F227)+BG$85*(U$57*GREET1_Import_Export!$B77+U$58*GREET1_Import_Export!$C77+U$59*GREET1_Import_Export!$G77+U$61*'GREET2_Factors_T&amp;D'!$F20+U$62*'GREET2_Factors_T&amp;D'!$G20+GREET1_Import_Export!$B227)+BG$86*(U$64*GREET1_Import_Export!$AA77+U$65*GREET1_Import_Export!$AB77+GREET1_Import_Export!$B295)+BG$87*SUM(GREET1_Import_Export!$B320:$C320)</f>
        <v>331.27235317269998</v>
      </c>
      <c r="BH100" s="489"/>
      <c r="BI100" s="478"/>
      <c r="BJ100" s="578">
        <f>BJ$81*(V$50*GREET1_Import_Export!$K77+GREET1_Import_Export!$B191*GREET1_Import_Export!$F$179+GREET1_Import_Export!$F191)+BJ$82*(V$52*GREET1_Import_Export!$Q77+V$53*GREET1_Import_Export!$O77+V$54*GREET1_Import_Export!$M77+GREET1_Import_Export!$B191*GREET1_Import_Export!$G$179+GREET1_Import_Export!$G191)+BJ$83*(V$55*GREET1_Import_Export!$T77+GREET1_Import_Export!$B191*GREET1_Import_Export!$C$179+GREET1_Import_Export!$C191)+BJ$84*(V$56*GREET1_Import_Export!$W77+GREET1_Import_Export!$E227*GREET1_Import_Export!$F$215+GREET1_Import_Export!$F227)+BJ$85*(V$57*GREET1_Import_Export!$B77+V$58*GREET1_Import_Export!$C77+V$59*GREET1_Import_Export!$G77+V$61*'GREET2_Factors_T&amp;D'!$F20+V$62*'GREET2_Factors_T&amp;D'!$G20+GREET1_Import_Export!$B227)+BJ$86*(V$64*GREET1_Import_Export!$AA77+V$65*GREET1_Import_Export!$AB77+GREET1_Import_Export!$B295)+BJ$87*SUM(GREET1_Import_Export!$B320:$C320)</f>
        <v>163.99435231072241</v>
      </c>
      <c r="BK100" s="489"/>
      <c r="BL100" s="478"/>
      <c r="BM100" s="578">
        <f>BM$81*(X$50*GREET1_Import_Export!$K77+GREET1_Import_Export!$B191*GREET1_Import_Export!$F$179+GREET1_Import_Export!$F191)+BM$82*(X$52*GREET1_Import_Export!$Q77+X$53*GREET1_Import_Export!$O77+X$54*GREET1_Import_Export!$M77+GREET1_Import_Export!$B191*GREET1_Import_Export!$G$179+GREET1_Import_Export!$G191)+BM$83*(X$55*GREET1_Import_Export!$T77+GREET1_Import_Export!$B191*GREET1_Import_Export!$C$179+GREET1_Import_Export!$C191)+BM$84*(X$56*GREET1_Import_Export!$W77+GREET1_Import_Export!$E227*GREET1_Import_Export!$F$215+GREET1_Import_Export!$F227)+BM$85*(X$57*GREET1_Import_Export!$B77+X$58*GREET1_Import_Export!$C77+X$59*GREET1_Import_Export!$G77+X$61*'GREET2_Factors_T&amp;D'!$F20+X$62*'GREET2_Factors_T&amp;D'!$G20+GREET1_Import_Export!$B227)+BM$86*(X$64*GREET1_Import_Export!$AA77+X$65*GREET1_Import_Export!$AB77+GREET1_Import_Export!$B295)+BM$87*SUM(GREET1_Import_Export!$B320:$C320)</f>
        <v>46.849449633810963</v>
      </c>
      <c r="BN100" s="489"/>
      <c r="BO100" s="478"/>
      <c r="BP100" s="234">
        <f>BP$81*(Z$50*GREET1_Import_Export!$K77+GREET1_Import_Export!$B191*GREET1_Import_Export!$F$179+GREET1_Import_Export!$F191)+BP$82*(Z$52*GREET1_Import_Export!$Q77+Z$53*GREET1_Import_Export!$O77+Z$54*GREET1_Import_Export!$M77+GREET1_Import_Export!$B191*GREET1_Import_Export!$G$179+GREET1_Import_Export!$G191)+BP$83*(Z$55*GREET1_Import_Export!$T77+GREET1_Import_Export!$B191*GREET1_Import_Export!$C$179+GREET1_Import_Export!$C191)+BP$84*(Z$56*GREET1_Import_Export!$W77+GREET1_Import_Export!$E227*GREET1_Import_Export!$F$215+GREET1_Import_Export!$F227)+BP$85*(Z$57*GREET1_Import_Export!$B77+Z$58*GREET1_Import_Export!$C77+Z$59*GREET1_Import_Export!$G77+Z$61*'GREET2_Factors_T&amp;D'!$F20+Z$62*'GREET2_Factors_T&amp;D'!$G20+GREET1_Import_Export!$B227)+BP$86*(Z$64*GREET1_Import_Export!$AA77+Z$65*GREET1_Import_Export!$AB77+GREET1_Import_Export!$B295)+BP$87*SUM(GREET1_Import_Export!$B320:$C320)</f>
        <v>0</v>
      </c>
      <c r="BQ100" s="489"/>
      <c r="BR100" s="235"/>
      <c r="BS100" s="753">
        <f>BS$81*(AA$50*GREET1_Import_Export!$K77+GREET1_Import_Export!$B191*GREET1_Import_Export!$F$179+GREET1_Import_Export!$F191)+BS$82*(AA$52*GREET1_Import_Export!$Q77+AA$53*GREET1_Import_Export!$O77+AA$54*GREET1_Import_Export!$M77+GREET1_Import_Export!$B191*GREET1_Import_Export!$G$179+GREET1_Import_Export!$G191)+BS$83*(AA$55*GREET1_Import_Export!$T77+GREET1_Import_Export!$B191*GREET1_Import_Export!$C$179+GREET1_Import_Export!$C191)+BS$84*(AA$56*GREET1_Import_Export!$W77+GREET1_Import_Export!$E227*GREET1_Import_Export!$F$215+GREET1_Import_Export!$F227)+BS$85*(AA$57*GREET1_Import_Export!$B77+AA$58*GREET1_Import_Export!$C77+AA$59*GREET1_Import_Export!$G77+AA$61*'GREET2_Factors_T&amp;D'!$F20+AA$62*'GREET2_Factors_T&amp;D'!$G20+GREET1_Import_Export!$B227)+BS$86*(AA$64*GREET1_Import_Export!$AA77+AA$65*GREET1_Import_Export!$AB77+GREET1_Import_Export!$B295)+BS$87*(GREET1_Import_Export!$B320+GREET1_Import_Export!$C320)</f>
        <v>16.196523406700649</v>
      </c>
      <c r="BT100" s="363"/>
      <c r="BU100" s="1082"/>
      <c r="BV100" s="753">
        <f>BV$81*(AB$50*GREET1_Import_Export!$K77+GREET1_Import_Export!$B191*GREET1_Import_Export!$F$179+GREET1_Import_Export!$F191)+BV$82*(AB$52*GREET1_Import_Export!$Q77+AB$53*GREET1_Import_Export!$O77+AB$54*GREET1_Import_Export!$M77+GREET1_Import_Export!$B191*GREET1_Import_Export!$G$179+GREET1_Import_Export!$G191)+BV$83*(AB$55*GREET1_Import_Export!$T77+GREET1_Import_Export!$B191*GREET1_Import_Export!$C$179+GREET1_Import_Export!$C191)+BV$84*(AB$56*GREET1_Import_Export!$W77+GREET1_Import_Export!$E227*GREET1_Import_Export!$F$215+GREET1_Import_Export!$F227)+BV$85*(AB$57*GREET1_Import_Export!$B77+AB$58*GREET1_Import_Export!$C77+AB$59*GREET1_Import_Export!$G77+AB$61*'GREET2_Factors_T&amp;D'!$F20+AB$62*'GREET2_Factors_T&amp;D'!$G20+GREET1_Import_Export!$B227)+BV$86*(AB$64*GREET1_Import_Export!$AA77+AB$65*GREET1_Import_Export!$AB77+GREET1_Import_Export!$B295)+BV$87*(GREET1_Import_Export!$B320+GREET1_Import_Export!$C320)</f>
        <v>0</v>
      </c>
      <c r="BW100" s="363"/>
      <c r="BX100" s="1082"/>
      <c r="BY100" s="753">
        <f>BY$81*(AC$50*GREET1_Import_Export!$K77+GREET1_Import_Export!$B191*GREET1_Import_Export!$F$179+GREET1_Import_Export!$F191)+BY$82*(AC$52*GREET1_Import_Export!$Q77+AC$53*GREET1_Import_Export!$O77+AC$54*GREET1_Import_Export!$M77+GREET1_Import_Export!$B191*GREET1_Import_Export!$G$179+GREET1_Import_Export!$G191)+BY$83*(AC$55*GREET1_Import_Export!$T77+GREET1_Import_Export!$B191*GREET1_Import_Export!$C$179+GREET1_Import_Export!$C191)+BY$84*(AC$56*GREET1_Import_Export!$W77+GREET1_Import_Export!$E227*GREET1_Import_Export!$F$215+GREET1_Import_Export!$F227)+BY$85*(AC$57*GREET1_Import_Export!$B77+AC$58*GREET1_Import_Export!$C77+AC$59*GREET1_Import_Export!$G77+AC$61*'GREET2_Factors_T&amp;D'!$F20+AC$62*'GREET2_Factors_T&amp;D'!$G20+GREET1_Import_Export!$B227)+BY$86*(AC$64*GREET1_Import_Export!$AA77+AC$65*GREET1_Import_Export!$AB77+GREET1_Import_Export!$B295)+BY$87*(GREET1_Import_Export!$B320+GREET1_Import_Export!$C320)</f>
        <v>439.04347882464447</v>
      </c>
      <c r="BZ100" s="363"/>
      <c r="CA100" s="1082"/>
      <c r="CB100" s="753">
        <f>CB$81*(AD$50*GREET1_Import_Export!$K77+GREET1_Import_Export!$B191*GREET1_Import_Export!$F$179+GREET1_Import_Export!$F191)+CB$82*(AD$52*GREET1_Import_Export!$Q77+AD$53*GREET1_Import_Export!$O77+AD$54*GREET1_Import_Export!$M77+GREET1_Import_Export!$B191*GREET1_Import_Export!$G$179+GREET1_Import_Export!$G191)+CB$83*(AD$55*GREET1_Import_Export!$T77+GREET1_Import_Export!$B191*GREET1_Import_Export!$C$179+GREET1_Import_Export!$C191)+CB$84*(AD$56*GREET1_Import_Export!$W77+GREET1_Import_Export!$E227*GREET1_Import_Export!$F$215+GREET1_Import_Export!$F227)+CB$85*(AD$57*GREET1_Import_Export!$B77+AD$58*GREET1_Import_Export!$C77+AD$59*GREET1_Import_Export!$G77+AD$61*'GREET2_Factors_T&amp;D'!$F20+AD$62*'GREET2_Factors_T&amp;D'!$G20+GREET1_Import_Export!$B227)+CB$86*(AD$64*GREET1_Import_Export!$AA77+AD$65*GREET1_Import_Export!$AB77+GREET1_Import_Export!$B295)+CB$87*(GREET1_Import_Export!$B320+GREET1_Import_Export!$C320)</f>
        <v>1604.4451101243387</v>
      </c>
      <c r="CC100" s="363"/>
      <c r="CD100" s="1082"/>
      <c r="CE100" s="749">
        <f>CE$81*($AE$50*GREET1_Import_Export!$K77+GREET1_Import_Export!$F$179*GREET1_Import_Export!$B191+GREET1_Import_Export!$F191)+CE$82*(GREET1_Import_Export!$R77+GREET1_Import_Export!$H$179*GREET1_Import_Export!$B191+GREET1_Import_Export!$H191)+CE$83*(GREET1_Import_Export!$T77+GREET1_Import_Export!$C$179*GREET1_Import_Export!$B191+GREET1_Import_Export!$C191)+CE$84*(GREET1_Import_Export!$X77+GREET1_Import_Export!$B$10*(GREET1_Import_Export!$F$215*GREET1_Import_Export!$B227+GREET1_Import_Export!$F227)+GREET1_Import_Export!$C$10*(GREET1_Import_Export!$E$179*GREET1_Import_Export!$B191+GREET1_Import_Export!$E191))+CE$85*($AE$57*GREET1_Import_Export!$B77+GREET1_Import_Export!$B227)+CE$86*($AE$64 *GREET1_Import_Export!$AA77+GREET1_Import_Export!$B295)+CE$87*(GREET1_Import_Export!$B320+GREET1_Import_Export!$C320)</f>
        <v>0</v>
      </c>
      <c r="CF100" s="817"/>
      <c r="CG100" s="1321"/>
      <c r="CH100" s="1321"/>
      <c r="CI100" s="1321"/>
      <c r="CJ100" s="1321"/>
      <c r="CK100" s="1321"/>
      <c r="CL100" s="1321"/>
      <c r="CM100" s="1321"/>
      <c r="CN100" s="1321"/>
      <c r="CO100" s="1321"/>
      <c r="CP100" s="1321"/>
      <c r="CQ100" s="1321"/>
      <c r="CR100" s="1321"/>
      <c r="CS100" s="1321"/>
      <c r="CT100" s="1321"/>
      <c r="CU100" s="1321"/>
      <c r="CV100" s="1321"/>
      <c r="CW100" s="1321"/>
      <c r="CX100" s="1321"/>
      <c r="CY100" s="1321"/>
      <c r="CZ100" s="1321"/>
      <c r="DA100" s="1321"/>
      <c r="DB100" s="1321"/>
      <c r="DC100" s="1321"/>
      <c r="DD100" s="1321"/>
      <c r="DE100" s="1321"/>
      <c r="DF100" s="1321"/>
      <c r="DG100" s="1321"/>
      <c r="DH100" s="1321"/>
      <c r="DI100" s="1321"/>
      <c r="DJ100" s="1321"/>
      <c r="DK100" s="1321"/>
      <c r="DL100" s="1321"/>
      <c r="DM100" s="1321"/>
      <c r="DN100" s="1321"/>
      <c r="DO100" s="1321"/>
      <c r="DP100" s="1321"/>
      <c r="DQ100" s="1321"/>
      <c r="DR100" s="1321"/>
      <c r="DS100" s="1321"/>
      <c r="DT100" s="1321"/>
      <c r="DU100" s="1321"/>
      <c r="DV100" s="1321"/>
      <c r="DW100" s="1321"/>
      <c r="DX100" s="1321"/>
      <c r="DY100" s="1321"/>
      <c r="DZ100" s="1321"/>
      <c r="EA100" s="1321"/>
      <c r="EB100" s="1321"/>
      <c r="EC100" s="1321"/>
      <c r="ED100" s="1321"/>
      <c r="EE100" s="1321"/>
      <c r="EF100" s="1321"/>
      <c r="EG100" s="1321"/>
      <c r="EH100" s="1321"/>
      <c r="EI100" s="1321"/>
      <c r="EJ100" s="1321"/>
      <c r="EK100" s="1321"/>
      <c r="EL100" s="1321"/>
      <c r="EM100" s="1321"/>
      <c r="EN100" s="1321"/>
      <c r="EO100" s="1321"/>
      <c r="EP100" s="1321"/>
      <c r="EQ100" s="1321"/>
      <c r="ER100" s="1321"/>
      <c r="ES100" s="1321"/>
      <c r="ET100" s="1321"/>
      <c r="EU100" s="1321"/>
      <c r="EV100" s="1321"/>
      <c r="EW100" s="1321"/>
      <c r="EX100" s="1321"/>
      <c r="EY100" s="1321"/>
      <c r="EZ100" s="1321"/>
      <c r="FA100" s="1321"/>
      <c r="FB100" s="1321"/>
    </row>
    <row r="101" spans="1:158">
      <c r="A101" s="483" t="s">
        <v>827</v>
      </c>
      <c r="B101" s="234">
        <f>B$81*(B$50*GREET1_Import_Export!$K78+GREET1_Import_Export!$B192*GREET1_Import_Export!$F$179+GREET1_Import_Export!$F192)+B$82*(B$52*GREET1_Import_Export!$Q78+B$53*GREET1_Import_Export!$O78+B$54*GREET1_Import_Export!$M78+GREET1_Import_Export!$B192*GREET1_Import_Export!$G$179+GREET1_Import_Export!$G192)+B$83*(B$55*GREET1_Import_Export!$T78+GREET1_Import_Export!$B192*GREET1_Import_Export!$C$179+GREET1_Import_Export!$C192)+B$84*(B$56*GREET1_Import_Export!$W78+GREET1_Import_Export!$E228*GREET1_Import_Export!$F$215+GREET1_Import_Export!$F228)+B$85*(B$57*GREET1_Import_Export!$B78+B$58*GREET1_Import_Export!$C78+B$59*GREET1_Import_Export!$G78+B$61*'GREET2_Factors_T&amp;D'!$F21+B$62*'GREET2_Factors_T&amp;D'!$G21+GREET1_Import_Export!$B228)+B$86*(B$64*GREET1_Import_Export!$AA78+B$65*GREET1_Import_Export!$AB78+GREET1_Import_Export!$B296)+B$87*SUM(GREET1_Import_Export!$B321:$C321)</f>
        <v>0</v>
      </c>
      <c r="C101" s="489"/>
      <c r="D101" s="235"/>
      <c r="E101" s="234">
        <f>E$81*(C$50*GREET1_Import_Export!$K78+GREET1_Import_Export!$B192*GREET1_Import_Export!$F$179+GREET1_Import_Export!$F192)+E$82*(C$52*GREET1_Import_Export!$Q78+C$53*GREET1_Import_Export!$O78+C$54*GREET1_Import_Export!$M78+GREET1_Import_Export!$B192*GREET1_Import_Export!$G$179+GREET1_Import_Export!$G192)+E$83*(C$55*GREET1_Import_Export!$T78+GREET1_Import_Export!$B192*GREET1_Import_Export!$C$179+GREET1_Import_Export!$C192)+E$84*(C$56*GREET1_Import_Export!$W78+GREET1_Import_Export!$E228*GREET1_Import_Export!$F$215+GREET1_Import_Export!$F228)+E$85*(C$57*GREET1_Import_Export!$B78+C$58*GREET1_Import_Export!$C78+C$59*GREET1_Import_Export!$G78+C$61*'GREET2_Factors_T&amp;D'!$F21+C$62*'GREET2_Factors_T&amp;D'!$G21+GREET1_Import_Export!$B228)+E$86*(C$64*GREET1_Import_Export!$AA78+C$65*GREET1_Import_Export!$AB78+GREET1_Import_Export!$B296)+E$87*SUM(GREET1_Import_Export!$B321:$C321)</f>
        <v>0</v>
      </c>
      <c r="F101" s="489"/>
      <c r="G101" s="235"/>
      <c r="H101" s="234">
        <f>H$81*(D$50*GREET1_Import_Export!$K78+GREET1_Import_Export!$B192*GREET1_Import_Export!$F$179+GREET1_Import_Export!$F192)+H$82*(D$52*GREET1_Import_Export!$Q78+D$53*GREET1_Import_Export!$O78+D$54*GREET1_Import_Export!$M78+GREET1_Import_Export!$B192*GREET1_Import_Export!$G$179+GREET1_Import_Export!$G192)+H$83*(D$55*GREET1_Import_Export!$T78+GREET1_Import_Export!$B192*GREET1_Import_Export!$C$179+GREET1_Import_Export!$C192)+H$84*(D$56*GREET1_Import_Export!$W78+GREET1_Import_Export!$E228*GREET1_Import_Export!$F$215+GREET1_Import_Export!$F228)+H$85*(D$57*GREET1_Import_Export!$B78+D$58*GREET1_Import_Export!$C78+D$59*GREET1_Import_Export!$G78+D$61*'GREET2_Factors_T&amp;D'!$F21+D$62*'GREET2_Factors_T&amp;D'!$G21+GREET1_Import_Export!$B228)+H$86*(D$64*GREET1_Import_Export!$AA78+D$65*GREET1_Import_Export!$AB78+GREET1_Import_Export!$B296)+H$87*SUM(GREET1_Import_Export!$B321:$C321)</f>
        <v>26.178368591607619</v>
      </c>
      <c r="I101" s="489"/>
      <c r="J101" s="235"/>
      <c r="K101" s="234">
        <f>K$81*(E$50*GREET1_Import_Export!$K78+GREET1_Import_Export!$B192*GREET1_Import_Export!$F$179+GREET1_Import_Export!$F192)+K$82*(E$52*GREET1_Import_Export!$Q78+E$53*GREET1_Import_Export!$O78+E$54*GREET1_Import_Export!$M78+GREET1_Import_Export!$B192*GREET1_Import_Export!$G$179+GREET1_Import_Export!$G192)+K$83*(E$55*GREET1_Import_Export!$T78+GREET1_Import_Export!$B192*GREET1_Import_Export!$C$179+GREET1_Import_Export!$C192)+K$84*(E$56*GREET1_Import_Export!$W78+GREET1_Import_Export!$E228*GREET1_Import_Export!$F$215+GREET1_Import_Export!$F228)+K$85*(E$57*GREET1_Import_Export!$B78+E$58*GREET1_Import_Export!$C78+E$59*GREET1_Import_Export!$G78+E$61*'GREET2_Factors_T&amp;D'!$F21+E$62*'GREET2_Factors_T&amp;D'!$G21+GREET1_Import_Export!$B228)+K$86*(E$64*GREET1_Import_Export!$AA78+E$65*GREET1_Import_Export!$AB78+GREET1_Import_Export!$B296)+K$87*SUM(GREET1_Import_Export!$B321:$C321)</f>
        <v>9.8027486333931986</v>
      </c>
      <c r="L101" s="489"/>
      <c r="M101" s="235"/>
      <c r="N101" s="234">
        <f>N$81*(F$50*GREET1_Import_Export!$K78+GREET1_Import_Export!$B192*GREET1_Import_Export!$F$179+GREET1_Import_Export!$F192)+N$82*(F$52*GREET1_Import_Export!$Q78+F$53*GREET1_Import_Export!$O78+F$54*GREET1_Import_Export!$M78+GREET1_Import_Export!$B192*GREET1_Import_Export!$G$179+GREET1_Import_Export!$G192)+N$83*(F$55*GREET1_Import_Export!$T78+GREET1_Import_Export!$B192*GREET1_Import_Export!$C$179+GREET1_Import_Export!$C192)+N$84*(F$56*GREET1_Import_Export!$W78+GREET1_Import_Export!$E228*GREET1_Import_Export!$F$215+GREET1_Import_Export!$F228)+N$85*(F$57*GREET1_Import_Export!$B78+F$58*GREET1_Import_Export!$C78+F$59*GREET1_Import_Export!$G78+F$61*'GREET2_Factors_T&amp;D'!$F21+F$62*'GREET2_Factors_T&amp;D'!$G21+GREET1_Import_Export!$B228)+N$86*(F$64*GREET1_Import_Export!$AA78+F$65*GREET1_Import_Export!$AB78+GREET1_Import_Export!$B296)+N$87*SUM(GREET1_Import_Export!$B321:$C321)</f>
        <v>26.178368591607619</v>
      </c>
      <c r="O101" s="489"/>
      <c r="P101" s="235"/>
      <c r="Q101" s="578">
        <f>Q$81*(G$50*GREET1_Import_Export!$K78+GREET1_Import_Export!$B192*GREET1_Import_Export!$F$179+GREET1_Import_Export!$F192)+Q$82*(G$52*GREET1_Import_Export!$Q78+G$53*GREET1_Import_Export!$O78+G$54*GREET1_Import_Export!$M78+GREET1_Import_Export!$B192*GREET1_Import_Export!$G$179+GREET1_Import_Export!$G192)+Q$83*(G$55*GREET1_Import_Export!$T78+GREET1_Import_Export!$B192*GREET1_Import_Export!$C$179+GREET1_Import_Export!$C192)+Q$84*(G$56*GREET1_Import_Export!$W78+GREET1_Import_Export!$E228*GREET1_Import_Export!$F$215+GREET1_Import_Export!$F228)+Q$85*(G$57*GREET1_Import_Export!$B78+G$58*GREET1_Import_Export!$C78+G$59*GREET1_Import_Export!$G78+G$61*'GREET2_Factors_T&amp;D'!$F21+G$62*'GREET2_Factors_T&amp;D'!$G21+GREET1_Import_Export!$B228)+Q$86*(G$64*GREET1_Import_Export!$AA78+G$65*GREET1_Import_Export!$AB78+GREET1_Import_Export!$B296)
+Q$87*($B$46*(GREET1_Import_Export!$B321+GREET1_Import_Export!$C321)+$C$46*GREET1_Import_Export!L354+$D$46*GREET1_Import_Export!H354+$E$46*GREET1_Import_Export!Q354+$F$46*GREET1_Import_Export!R354+SUMPRODUCT($G$46:$I$46,GREET1_Import_Export!N354:P354))</f>
        <v>9.8027486333931986</v>
      </c>
      <c r="R101" s="489"/>
      <c r="S101" s="235"/>
      <c r="T101" s="578">
        <f>T$81*(H$50*GREET1_Import_Export!$K78+GREET1_Import_Export!$B192*GREET1_Import_Export!$F$179+GREET1_Import_Export!$F192)+T$82*(H$52*GREET1_Import_Export!$Q78+H$53*GREET1_Import_Export!$O78+H$54*GREET1_Import_Export!$M78+GREET1_Import_Export!$B192*GREET1_Import_Export!$G$179+GREET1_Import_Export!$G192)+T$83*(H$55*GREET1_Import_Export!$T78+GREET1_Import_Export!$B192*GREET1_Import_Export!$C$179+GREET1_Import_Export!$C192)+T$84*(H$56*GREET1_Import_Export!$W78+GREET1_Import_Export!$E228*GREET1_Import_Export!$F$215+GREET1_Import_Export!$F228)+T$85*(H$57*GREET1_Import_Export!$B78+H$58*GREET1_Import_Export!$C78+H$59*GREET1_Import_Export!$G78+H$61*'GREET2_Factors_T&amp;D'!$F21+H$62*'GREET2_Factors_T&amp;D'!$G21+GREET1_Import_Export!$B228)+T$86*(H$64*GREET1_Import_Export!$AA78+H$65*GREET1_Import_Export!$AB78+GREET1_Import_Export!$B296)+T$87*SUM(GREET1_Import_Export!$B321:$C321)</f>
        <v>26.178368591607619</v>
      </c>
      <c r="U101" s="489"/>
      <c r="V101" s="235"/>
      <c r="W101" s="578">
        <f>W$81*(BS$50*GREET1_Import_Export!$K78+GREET1_Import_Export!$B192*GREET1_Import_Export!$F$179+GREET1_Import_Export!$F192)+W$82*(BS$52*GREET1_Import_Export!$Q78+BS$53*GREET1_Import_Export!$O78+BS$54*GREET1_Import_Export!$M78+GREET1_Import_Export!$B192*GREET1_Import_Export!$G$179+GREET1_Import_Export!$G192)+W$83*(BS$55*GREET1_Import_Export!$T78+GREET1_Import_Export!$B192*GREET1_Import_Export!$C$179+GREET1_Import_Export!$C192)+W$84*(BS$56*GREET1_Import_Export!$W78+GREET1_Import_Export!$E228*GREET1_Import_Export!$F$215+GREET1_Import_Export!$F228)+W$85*(BS$57*GREET1_Import_Export!$B78+BS$58*GREET1_Import_Export!$C78+BS$59*GREET1_Import_Export!$G78+BS$61*'GREET2_Factors_T&amp;D'!$F21+BS$62*'GREET2_Factors_T&amp;D'!$G21+GREET1_Import_Export!$B228)+W$86*(BS$64*GREET1_Import_Export!$AA78+BS$65*GREET1_Import_Export!$AB78+GREET1_Import_Export!$B296)+W$87*($B$46*(GREET1_Import_Export!$B321+GREET1_Import_Export!$C321)+$C$46*GREET1_Import_Export!L354+$D$46*GREET1_Import_Export!H354+$E$46*GREET1_Import_Export!Q354+$F$46*GREET1_Import_Export!R354+SUMPRODUCT($G$46:$I$46,GREET1_Import_Export!N354:P354))</f>
        <v>9.8027486333931986</v>
      </c>
      <c r="X101" s="489"/>
      <c r="Y101" s="235"/>
      <c r="Z101" s="234">
        <f>Z$81*(J$50*GREET1_Import_Export!$K78+GREET1_Import_Export!$B192*GREET1_Import_Export!$F$179+GREET1_Import_Export!$F192)+Z$82*(J$52*GREET1_Import_Export!$Q78+J$53*GREET1_Import_Export!$O78+J$54*GREET1_Import_Export!$M78+GREET1_Import_Export!$B192*GREET1_Import_Export!$G$179+GREET1_Import_Export!$G192)+Z$83*(J$55*GREET1_Import_Export!$T78+GREET1_Import_Export!$B192*GREET1_Import_Export!$C$179+GREET1_Import_Export!$C192)+Z$84*(J$56*GREET1_Import_Export!$W78+GREET1_Import_Export!$E228*GREET1_Import_Export!$F$215+GREET1_Import_Export!$F228)+Z$85*(J$57*GREET1_Import_Export!$B78+J$58*GREET1_Import_Export!$C78+J$59*GREET1_Import_Export!$G78+J$61*'GREET2_Factors_T&amp;D'!$F21+J$62*'GREET2_Factors_T&amp;D'!$G21+GREET1_Import_Export!$B228)+Z$86*(J$64*GREET1_Import_Export!$AA78+J$65*GREET1_Import_Export!$AB78+GREET1_Import_Export!$B296)+Z$87*SUM(GREET1_Import_Export!$B321:$C321)</f>
        <v>26.178368591607619</v>
      </c>
      <c r="AA101" s="489"/>
      <c r="AB101" s="235"/>
      <c r="AC101" s="578">
        <f>AC$81*(K$50*GREET1_Import_Export!$K78+GREET1_Import_Export!$B192*GREET1_Import_Export!$F$179+GREET1_Import_Export!$F192)+AC$82*(K$52*GREET1_Import_Export!$Q78+K$53*GREET1_Import_Export!$O78+K$54*GREET1_Import_Export!$M78+GREET1_Import_Export!$B192*GREET1_Import_Export!$G$179+GREET1_Import_Export!$G192)+AC$83*(K$55*GREET1_Import_Export!$T78+GREET1_Import_Export!$B192*GREET1_Import_Export!$C$179+GREET1_Import_Export!$C192)+AC$84*(K$56*GREET1_Import_Export!$W78+GREET1_Import_Export!$E228*GREET1_Import_Export!$F$215+GREET1_Import_Export!$F228)+AC$85*(K$57*GREET1_Import_Export!$B78+K$58*GREET1_Import_Export!$C78+K$59*GREET1_Import_Export!$G78+K$61*'GREET2_Factors_T&amp;D'!$F21+K$62*'GREET2_Factors_T&amp;D'!$G21+GREET1_Import_Export!$B228)+AC$86*(K$64*GREET1_Import_Export!$AA78+K$65*GREET1_Import_Export!$AB78+GREET1_Import_Export!$B296)+AC$87*($B$46*(GREET1_Import_Export!$B321+GREET1_Import_Export!$C321)+$C$46*GREET1_Import_Export!L354+$D$46*GREET1_Import_Export!H354+$E$46*GREET1_Import_Export!Q354+$F$46*GREET1_Import_Export!R354+SUMPRODUCT($G$46:$I$46,GREET1_Import_Export!N354:P354))</f>
        <v>9.8027486333931986</v>
      </c>
      <c r="AD101" s="489"/>
      <c r="AE101" s="235"/>
      <c r="AF101" s="234">
        <f>AF$81*(L$50*GREET1_Import_Export!$K78+GREET1_Import_Export!$B192*GREET1_Import_Export!$F$179+GREET1_Import_Export!$F192)+AF$82*(L$52*GREET1_Import_Export!$Q78+L$53*GREET1_Import_Export!$O78+L$54*GREET1_Import_Export!$M78+GREET1_Import_Export!$B192*GREET1_Import_Export!$G$179+GREET1_Import_Export!$G192)+AF$83*(L$55*GREET1_Import_Export!$T78+GREET1_Import_Export!$B192*GREET1_Import_Export!$C$179+GREET1_Import_Export!$C192)+AF$84*(L$56*GREET1_Import_Export!$W78+GREET1_Import_Export!$E228*GREET1_Import_Export!$F$215+GREET1_Import_Export!$F228)+AF$85*(L$57*GREET1_Import_Export!$B78+L$58*GREET1_Import_Export!$C78+L$59*GREET1_Import_Export!$G78+L$61*'GREET2_Factors_T&amp;D'!$F21+L$62*'GREET2_Factors_T&amp;D'!$G21+GREET1_Import_Export!$B228)+AF$86*(L$64*GREET1_Import_Export!$AA78+L$65*GREET1_Import_Export!$AB78+GREET1_Import_Export!$B296)+AF$87*SUM(GREET1_Import_Export!$B321:$C321)</f>
        <v>26.178368591607619</v>
      </c>
      <c r="AG101" s="489"/>
      <c r="AH101" s="478"/>
      <c r="AI101" s="578">
        <f>AI$81*(M$50*GREET1_Import_Export!$K78+GREET1_Import_Export!$B192*GREET1_Import_Export!$F$179+GREET1_Import_Export!$F192)+AI$82*(M$52*GREET1_Import_Export!$Q78+M$53*GREET1_Import_Export!$O78+M$54*GREET1_Import_Export!$M78+GREET1_Import_Export!$B192*GREET1_Import_Export!$G$179+GREET1_Import_Export!$G192)+AI$83*(M$55*GREET1_Import_Export!$T78+GREET1_Import_Export!$B192*GREET1_Import_Export!$C$179+GREET1_Import_Export!$C192)+AI$84*(M$56*GREET1_Import_Export!$W78+GREET1_Import_Export!$E228*GREET1_Import_Export!$F$215+GREET1_Import_Export!$F228)+AI$85*(M$57*GREET1_Import_Export!$B78+M$58*GREET1_Import_Export!$C78+M$59*GREET1_Import_Export!$G78+M$61*'GREET2_Factors_T&amp;D'!$F21+M$62*'GREET2_Factors_T&amp;D'!$G21+GREET1_Import_Export!$B228)+AI$86*(M$64*GREET1_Import_Export!$AA78+M$65*GREET1_Import_Export!$AB78+GREET1_Import_Export!$B296)+AI$87*($B$46*(GREET1_Import_Export!$B321+GREET1_Import_Export!$C321)+$C$46*GREET1_Import_Export!L354+$D$46*GREET1_Import_Export!H354+$E$46*GREET1_Import_Export!Q354+$F$46*GREET1_Import_Export!R354+SUMPRODUCT($G$46:$I$46,GREET1_Import_Export!N354:P354))</f>
        <v>11.203141295306505</v>
      </c>
      <c r="AJ101" s="489"/>
      <c r="AK101" s="235"/>
      <c r="AL101" s="234">
        <f>AL$81*(N$50*GREET1_Import_Export!$K78+GREET1_Import_Export!$B192*GREET1_Import_Export!$F$179+GREET1_Import_Export!$F192)+AL$82*(N$52*GREET1_Import_Export!$Q78+N$53*GREET1_Import_Export!$O78+N$54*GREET1_Import_Export!$M78+GREET1_Import_Export!$B192*GREET1_Import_Export!$G$179+GREET1_Import_Export!$G192)+AL$83*(N$55*GREET1_Import_Export!$T78+GREET1_Import_Export!$B192*GREET1_Import_Export!$C$179+GREET1_Import_Export!$C192)+AL$84*(N$56*GREET1_Import_Export!$W78+GREET1_Import_Export!$E228*GREET1_Import_Export!$F$215+GREET1_Import_Export!$F228)+AL$85*(N$57*GREET1_Import_Export!$B78+N$58*GREET1_Import_Export!$C78+N$59*GREET1_Import_Export!$G78+N$61*'GREET2_Factors_T&amp;D'!$F21+N$62*'GREET2_Factors_T&amp;D'!$G21+GREET1_Import_Export!$B228)+AL$86*(N$64*GREET1_Import_Export!$AA78+N$65*GREET1_Import_Export!$AB78+GREET1_Import_Export!$B296)+AL$87*SUM(GREET1_Import_Export!$B321:$C321)</f>
        <v>21.277982182397416</v>
      </c>
      <c r="AM101" s="489"/>
      <c r="AN101" s="235"/>
      <c r="AO101" s="234">
        <f>AO$81*(O$50*GREET1_Import_Export!$K78+GREET1_Import_Export!$B192*GREET1_Import_Export!$F$179+GREET1_Import_Export!$F192)+AO$82*(O$52*GREET1_Import_Export!$Q78+O$53*GREET1_Import_Export!$O78+O$54*GREET1_Import_Export!$M78+GREET1_Import_Export!$B192*GREET1_Import_Export!$G$179+GREET1_Import_Export!$G192)+AO$83*(O$55*GREET1_Import_Export!$T78+GREET1_Import_Export!$B192*GREET1_Import_Export!$C$179+GREET1_Import_Export!$C192)+AO$84*(O$56*GREET1_Import_Export!$W78+GREET1_Import_Export!$E228*GREET1_Import_Export!$F$215+GREET1_Import_Export!$F228)+AO$85*(O$57*GREET1_Import_Export!$B78+O$58*GREET1_Import_Export!$C78+O$59*GREET1_Import_Export!$G78+O$61*'GREET2_Factors_T&amp;D'!$F21+O$62*'GREET2_Factors_T&amp;D'!$G21+GREET1_Import_Export!$B228)+AO$86*(O$64*GREET1_Import_Export!$AA78+O$65*GREET1_Import_Export!$AB78+GREET1_Import_Export!$B296)+AO$87*SUM(GREET1_Import_Export!$B321:$C321)</f>
        <v>10.60984160420924</v>
      </c>
      <c r="AP101" s="489"/>
      <c r="AQ101" s="235"/>
      <c r="AR101" s="234">
        <f>AR$81*(P$50*GREET1_Import_Export!$K78+GREET1_Import_Export!$B192*GREET1_Import_Export!$F$179+GREET1_Import_Export!$F192)+AR$82*(P$52*GREET1_Import_Export!$Q78+P$53*GREET1_Import_Export!$O78+P$54*GREET1_Import_Export!$M78+GREET1_Import_Export!$B192*GREET1_Import_Export!$G$179+GREET1_Import_Export!$G192)+AR$83*(P$55*GREET1_Import_Export!$T78+GREET1_Import_Export!$B192*GREET1_Import_Export!$C$179+GREET1_Import_Export!$C192)+AR$84*(P$56*GREET1_Import_Export!$W78+GREET1_Import_Export!$E228*GREET1_Import_Export!$F$215+GREET1_Import_Export!$F228)+AR$85*(P$57*GREET1_Import_Export!$B78+P$58*GREET1_Import_Export!$C78+P$59*GREET1_Import_Export!$G78+P$61*'GREET2_Factors_T&amp;D'!$F21+P$62*'GREET2_Factors_T&amp;D'!$G21+GREET1_Import_Export!$B228)+AR$86*(P$64*GREET1_Import_Export!$AA78+P$65*GREET1_Import_Export!$AB78+GREET1_Import_Export!$B296)+AR$87*SUM(GREET1_Import_Export!$B321:$C321)</f>
        <v>21.299733558036625</v>
      </c>
      <c r="AS101" s="489"/>
      <c r="AT101" s="235"/>
      <c r="AU101" s="234">
        <f>AU$81*(Q$50*GREET1_Import_Export!$K78+GREET1_Import_Export!$B192*GREET1_Import_Export!$F$179+GREET1_Import_Export!$F192)+AU$82*(Q$52*GREET1_Import_Export!$Q78+Q$53*GREET1_Import_Export!$O78+Q$54*GREET1_Import_Export!$M78+GREET1_Import_Export!$B192*GREET1_Import_Export!$G$179+GREET1_Import_Export!$G192)+AU$83*(Q$55*GREET1_Import_Export!$T78+GREET1_Import_Export!$B192*GREET1_Import_Export!$C$179+GREET1_Import_Export!$C192)+AU$84*(Q$56*GREET1_Import_Export!$W78+GREET1_Import_Export!$E228*GREET1_Import_Export!$F$215+GREET1_Import_Export!$F228)+AU$85*(Q$57*GREET1_Import_Export!$B78+Q$58*GREET1_Import_Export!$C78+Q$59*GREET1_Import_Export!$G78+Q$61*'GREET2_Factors_T&amp;D'!$F21+Q$62*'GREET2_Factors_T&amp;D'!$G21+GREET1_Import_Export!$B228)+AU$86*(Q$64*GREET1_Import_Export!$AA78+Q$65*GREET1_Import_Export!$AB78+GREET1_Import_Export!$B296)+AU$87*SUM(GREET1_Import_Export!$B321:$C321)</f>
        <v>121.82860142321486</v>
      </c>
      <c r="AV101" s="489"/>
      <c r="AW101" s="235"/>
      <c r="AX101" s="234">
        <f>AX$81*(R$50*GREET1_Import_Export!$K78+GREET1_Import_Export!$B192*GREET1_Import_Export!$F$179+GREET1_Import_Export!$F192)+AX$82*(R$52*GREET1_Import_Export!$Q78+R$53*GREET1_Import_Export!$O78+R$54*GREET1_Import_Export!$M78+GREET1_Import_Export!$B192*GREET1_Import_Export!$G$179+GREET1_Import_Export!$G192)+AX$83*(R$55*GREET1_Import_Export!$T78+GREET1_Import_Export!$B192*GREET1_Import_Export!$C$179+GREET1_Import_Export!$C192)+AX$84*(R$56*GREET1_Import_Export!$W78+GREET1_Import_Export!$E228*GREET1_Import_Export!$F$215+GREET1_Import_Export!$F228)+AX$85*(R$57*GREET1_Import_Export!$B78+R$58*GREET1_Import_Export!$C78+R$59*GREET1_Import_Export!$G78+R$61*'GREET2_Factors_T&amp;D'!$F21+R$62*'GREET2_Factors_T&amp;D'!$G21+GREET1_Import_Export!$B228)+AX$86*(R$64*GREET1_Import_Export!$AA78+R$65*GREET1_Import_Export!$AB78+GREET1_Import_Export!$B296)+AX$87*SUM(GREET1_Import_Export!$B321:$C321)</f>
        <v>40.811395384473066</v>
      </c>
      <c r="AY101" s="489"/>
      <c r="AZ101" s="235"/>
      <c r="BA101" s="234">
        <f>BA$81*(S$50*GREET1_Import_Export!$K78+GREET1_Import_Export!$B192*GREET1_Import_Export!$F$179+GREET1_Import_Export!$F192)+BA$82*(S$52*GREET1_Import_Export!$Q78+S$53*GREET1_Import_Export!$O78+S$54*GREET1_Import_Export!$M78+GREET1_Import_Export!$B192*GREET1_Import_Export!$G$179+GREET1_Import_Export!$G192)+BA$83*(S$55*GREET1_Import_Export!$T78+GREET1_Import_Export!$B192*GREET1_Import_Export!$C$179+GREET1_Import_Export!$C192)+BA$84*(S$56*GREET1_Import_Export!$W78+GREET1_Import_Export!$E228*GREET1_Import_Export!$F$215+GREET1_Import_Export!$F228)+BA$85*(S$57*GREET1_Import_Export!$B78+S$58*GREET1_Import_Export!$C78+S$59*GREET1_Import_Export!$G78+S$61*'GREET2_Factors_T&amp;D'!$F21+S$62*'GREET2_Factors_T&amp;D'!$G21+GREET1_Import_Export!$B228)+BA$86*(S$64*GREET1_Import_Export!$AA78+S$65*GREET1_Import_Export!$AB78+GREET1_Import_Export!$B296)+BA$87*SUM(GREET1_Import_Export!$B321:$C321)</f>
        <v>8.4023559714798903</v>
      </c>
      <c r="BB101" s="489"/>
      <c r="BC101" s="235"/>
      <c r="BD101" s="578">
        <f>BD$81*(T$50*GREET1_Import_Export!$K78+GREET1_Import_Export!$B192*GREET1_Import_Export!$F$179+GREET1_Import_Export!$F192)+BD$82*(T$52*GREET1_Import_Export!$Q78+T$53*GREET1_Import_Export!$O78+T$54*GREET1_Import_Export!$M78+GREET1_Import_Export!$B192*GREET1_Import_Export!$G$179+GREET1_Import_Export!$G192)+BD$83*(T$55*GREET1_Import_Export!$T78+GREET1_Import_Export!$B192*GREET1_Import_Export!$C$179+GREET1_Import_Export!$C192)+BD$84*(T$56*GREET1_Import_Export!$W78+GREET1_Import_Export!$E228*GREET1_Import_Export!$F$215+GREET1_Import_Export!$F228)+BD$85*(T$57*GREET1_Import_Export!$B78+T$58*GREET1_Import_Export!$C78+T$59*GREET1_Import_Export!$G78+T$61*'GREET2_Factors_T&amp;D'!$F21+T$62*'GREET2_Factors_T&amp;D'!$G21+GREET1_Import_Export!$B228)+BD$86*(T$64*GREET1_Import_Export!$AA78+T$65*GREET1_Import_Export!$AB78+GREET1_Import_Export!$B296)+BD$87*SUM(GREET1_Import_Export!$B321:$C321)</f>
        <v>6.7855960570920821</v>
      </c>
      <c r="BE101" s="489"/>
      <c r="BF101" s="478"/>
      <c r="BG101" s="578">
        <f>BG$81*(U$50*GREET1_Import_Export!$K78+GREET1_Import_Export!$B192*GREET1_Import_Export!$F$179+GREET1_Import_Export!$F192)+BG$82*(U$52*GREET1_Import_Export!$Q78+U$53*GREET1_Import_Export!$O78+U$54*GREET1_Import_Export!$M78+GREET1_Import_Export!$B192*GREET1_Import_Export!$G$179+GREET1_Import_Export!$G192)+BG$83*(U$55*GREET1_Import_Export!$T78+GREET1_Import_Export!$B192*GREET1_Import_Export!$C$179+GREET1_Import_Export!$C192)+BG$84*(U$56*GREET1_Import_Export!$W78+GREET1_Import_Export!$E228*GREET1_Import_Export!$F$215+GREET1_Import_Export!$F228)+BG$85*(U$57*GREET1_Import_Export!$B78+U$58*GREET1_Import_Export!$C78+U$59*GREET1_Import_Export!$G78+U$61*'GREET2_Factors_T&amp;D'!$F21+U$62*'GREET2_Factors_T&amp;D'!$G21+GREET1_Import_Export!$B228)+BG$86*(U$64*GREET1_Import_Export!$AA78+U$65*GREET1_Import_Export!$AB78+GREET1_Import_Export!$B296)+BG$87*SUM(GREET1_Import_Export!$B321:$C321)</f>
        <v>19.752416751024903</v>
      </c>
      <c r="BH101" s="489"/>
      <c r="BI101" s="478"/>
      <c r="BJ101" s="578">
        <f>BJ$81*(V$50*GREET1_Import_Export!$K78+GREET1_Import_Export!$B192*GREET1_Import_Export!$F$179+GREET1_Import_Export!$F192)+BJ$82*(V$52*GREET1_Import_Export!$Q78+V$53*GREET1_Import_Export!$O78+V$54*GREET1_Import_Export!$M78+GREET1_Import_Export!$B192*GREET1_Import_Export!$G$179+GREET1_Import_Export!$G192)+BJ$83*(V$55*GREET1_Import_Export!$T78+GREET1_Import_Export!$B192*GREET1_Import_Export!$C$179+GREET1_Import_Export!$C192)+BJ$84*(V$56*GREET1_Import_Export!$W78+GREET1_Import_Export!$E228*GREET1_Import_Export!$F$215+GREET1_Import_Export!$F228)+BJ$85*(V$57*GREET1_Import_Export!$B78+V$58*GREET1_Import_Export!$C78+V$59*GREET1_Import_Export!$G78+V$61*'GREET2_Factors_T&amp;D'!$F21+V$62*'GREET2_Factors_T&amp;D'!$G21+GREET1_Import_Export!$B228)+BJ$86*(V$64*GREET1_Import_Export!$AA78+V$65*GREET1_Import_Export!$AB78+GREET1_Import_Export!$B296)+BJ$87*SUM(GREET1_Import_Export!$B321:$C321)</f>
        <v>1.1451011249782908</v>
      </c>
      <c r="BK101" s="489"/>
      <c r="BL101" s="478"/>
      <c r="BM101" s="578">
        <f>BM$81*(X$50*GREET1_Import_Export!$K78+GREET1_Import_Export!$B192*GREET1_Import_Export!$F$179+GREET1_Import_Export!$F192)+BM$82*(X$52*GREET1_Import_Export!$Q78+X$53*GREET1_Import_Export!$O78+X$54*GREET1_Import_Export!$M78+GREET1_Import_Export!$B192*GREET1_Import_Export!$G$179+GREET1_Import_Export!$G192)+BM$83*(X$55*GREET1_Import_Export!$T78+GREET1_Import_Export!$B192*GREET1_Import_Export!$C$179+GREET1_Import_Export!$C192)+BM$84*(X$56*GREET1_Import_Export!$W78+GREET1_Import_Export!$E228*GREET1_Import_Export!$F$215+GREET1_Import_Export!$F228)+BM$85*(X$57*GREET1_Import_Export!$B78+X$58*GREET1_Import_Export!$C78+X$59*GREET1_Import_Export!$G78+X$61*'GREET2_Factors_T&amp;D'!$F21+X$62*'GREET2_Factors_T&amp;D'!$G21+GREET1_Import_Export!$B228)+BM$86*(X$64*GREET1_Import_Export!$AA78+X$65*GREET1_Import_Export!$AB78+GREET1_Import_Export!$B296)+BM$87*SUM(GREET1_Import_Export!$B321:$C321)</f>
        <v>0.44134861013684146</v>
      </c>
      <c r="BN101" s="489"/>
      <c r="BO101" s="478"/>
      <c r="BP101" s="234">
        <f>BP$81*(Z$50*GREET1_Import_Export!$K78+GREET1_Import_Export!$B192*GREET1_Import_Export!$F$179+GREET1_Import_Export!$F192)+BP$82*(Z$52*GREET1_Import_Export!$Q78+Z$53*GREET1_Import_Export!$O78+Z$54*GREET1_Import_Export!$M78+GREET1_Import_Export!$B192*GREET1_Import_Export!$G$179+GREET1_Import_Export!$G192)+BP$83*(Z$55*GREET1_Import_Export!$T78+GREET1_Import_Export!$B192*GREET1_Import_Export!$C$179+GREET1_Import_Export!$C192)+BP$84*(Z$56*GREET1_Import_Export!$W78+GREET1_Import_Export!$E228*GREET1_Import_Export!$F$215+GREET1_Import_Export!$F228)+BP$85*(Z$57*GREET1_Import_Export!$B78+Z$58*GREET1_Import_Export!$C78+Z$59*GREET1_Import_Export!$G78+Z$61*'GREET2_Factors_T&amp;D'!$F21+Z$62*'GREET2_Factors_T&amp;D'!$G21+GREET1_Import_Export!$B228)+BP$86*(Z$64*GREET1_Import_Export!$AA78+Z$65*GREET1_Import_Export!$AB78+GREET1_Import_Export!$B296)+BP$87*SUM(GREET1_Import_Export!$B321:$C321)</f>
        <v>0</v>
      </c>
      <c r="BQ101" s="489"/>
      <c r="BR101" s="235"/>
      <c r="BS101" s="753">
        <f>BS$81*(AA$50*GREET1_Import_Export!$K78+GREET1_Import_Export!$B192*GREET1_Import_Export!$F$179+GREET1_Import_Export!$F192)+BS$82*(AA$52*GREET1_Import_Export!$Q78+AA$53*GREET1_Import_Export!$O78+AA$54*GREET1_Import_Export!$M78+GREET1_Import_Export!$B192*GREET1_Import_Export!$G$179+GREET1_Import_Export!$G192)+BS$83*(AA$55*GREET1_Import_Export!$T78+GREET1_Import_Export!$B192*GREET1_Import_Export!$C$179+GREET1_Import_Export!$C192)+BS$84*(AA$56*GREET1_Import_Export!$W78+GREET1_Import_Export!$E228*GREET1_Import_Export!$F$215+GREET1_Import_Export!$F228)+BS$85*(AA$57*GREET1_Import_Export!$B78+AA$58*GREET1_Import_Export!$C78+AA$59*GREET1_Import_Export!$G78+AA$61*'GREET2_Factors_T&amp;D'!$F21+AA$62*'GREET2_Factors_T&amp;D'!$G21+GREET1_Import_Export!$B228)+BS$86*(AA$64*GREET1_Import_Export!$AA78+AA$65*GREET1_Import_Export!$AB78+GREET1_Import_Export!$B296)+BS$87*(GREET1_Import_Export!$B321+GREET1_Import_Export!$C321)</f>
        <v>0.11309326761820138</v>
      </c>
      <c r="BT101" s="363"/>
      <c r="BU101" s="1082"/>
      <c r="BV101" s="753">
        <f>BV$81*(AB$50*GREET1_Import_Export!$K78+GREET1_Import_Export!$B192*GREET1_Import_Export!$F$179+GREET1_Import_Export!$F192)+BV$82*(AB$52*GREET1_Import_Export!$Q78+AB$53*GREET1_Import_Export!$O78+AB$54*GREET1_Import_Export!$M78+GREET1_Import_Export!$B192*GREET1_Import_Export!$G$179+GREET1_Import_Export!$G192)+BV$83*(AB$55*GREET1_Import_Export!$T78+GREET1_Import_Export!$B192*GREET1_Import_Export!$C$179+GREET1_Import_Export!$C192)+BV$84*(AB$56*GREET1_Import_Export!$W78+GREET1_Import_Export!$E228*GREET1_Import_Export!$F$215+GREET1_Import_Export!$F228)+BV$85*(AB$57*GREET1_Import_Export!$B78+AB$58*GREET1_Import_Export!$C78+AB$59*GREET1_Import_Export!$G78+AB$61*'GREET2_Factors_T&amp;D'!$F21+AB$62*'GREET2_Factors_T&amp;D'!$G21+GREET1_Import_Export!$B228)+BV$86*(AB$64*GREET1_Import_Export!$AA78+AB$65*GREET1_Import_Export!$AB78+GREET1_Import_Export!$B296)+BV$87*(GREET1_Import_Export!$B321+GREET1_Import_Export!$C321)</f>
        <v>0</v>
      </c>
      <c r="BW101" s="363"/>
      <c r="BX101" s="1082"/>
      <c r="BY101" s="753">
        <f>BY$81*(AC$50*GREET1_Import_Export!$K78+GREET1_Import_Export!$B192*GREET1_Import_Export!$F$179+GREET1_Import_Export!$F192)+BY$82*(AC$52*GREET1_Import_Export!$Q78+AC$53*GREET1_Import_Export!$O78+AC$54*GREET1_Import_Export!$M78+GREET1_Import_Export!$B192*GREET1_Import_Export!$G$179+GREET1_Import_Export!$G192)+BY$83*(AC$55*GREET1_Import_Export!$T78+GREET1_Import_Export!$B192*GREET1_Import_Export!$C$179+GREET1_Import_Export!$C192)+BY$84*(AC$56*GREET1_Import_Export!$W78+GREET1_Import_Export!$E228*GREET1_Import_Export!$F$215+GREET1_Import_Export!$F228)+BY$85*(AC$57*GREET1_Import_Export!$B78+AC$58*GREET1_Import_Export!$C78+AC$59*GREET1_Import_Export!$G78+AC$61*'GREET2_Factors_T&amp;D'!$F21+AC$62*'GREET2_Factors_T&amp;D'!$G21+GREET1_Import_Export!$B228)+BY$86*(AC$64*GREET1_Import_Export!$AA78+AC$65*GREET1_Import_Export!$AB78+GREET1_Import_Export!$B296)+BY$87*(GREET1_Import_Export!$B321+GREET1_Import_Export!$C321)</f>
        <v>26.178368591607619</v>
      </c>
      <c r="BZ101" s="363"/>
      <c r="CA101" s="1082"/>
      <c r="CB101" s="753">
        <f>CB$81*(AD$50*GREET1_Import_Export!$K78+GREET1_Import_Export!$B192*GREET1_Import_Export!$F$179+GREET1_Import_Export!$F192)+CB$82*(AD$52*GREET1_Import_Export!$Q78+AD$53*GREET1_Import_Export!$O78+AD$54*GREET1_Import_Export!$M78+GREET1_Import_Export!$B192*GREET1_Import_Export!$G$179+GREET1_Import_Export!$G192)+CB$83*(AD$55*GREET1_Import_Export!$T78+GREET1_Import_Export!$B192*GREET1_Import_Export!$C$179+GREET1_Import_Export!$C192)+CB$84*(AD$56*GREET1_Import_Export!$W78+GREET1_Import_Export!$E228*GREET1_Import_Export!$F$215+GREET1_Import_Export!$F228)+CB$85*(AD$57*GREET1_Import_Export!$B78+AD$58*GREET1_Import_Export!$C78+AD$59*GREET1_Import_Export!$G78+AD$61*'GREET2_Factors_T&amp;D'!$F21+AD$62*'GREET2_Factors_T&amp;D'!$G21+GREET1_Import_Export!$B228)+CB$86*(AD$64*GREET1_Import_Export!$AA78+AD$65*GREET1_Import_Export!$AB78+GREET1_Import_Export!$B296)+CB$87*(GREET1_Import_Export!$B321+GREET1_Import_Export!$C321)</f>
        <v>11.203141295306505</v>
      </c>
      <c r="CC101" s="363"/>
      <c r="CD101" s="1082"/>
      <c r="CE101" s="749">
        <f>CE$81*($AE$50*GREET1_Import_Export!$K78+GREET1_Import_Export!$F$179*GREET1_Import_Export!$B192+GREET1_Import_Export!$F192)+CE$82*(GREET1_Import_Export!$R78+GREET1_Import_Export!$H$179*GREET1_Import_Export!$B192+GREET1_Import_Export!$H192)+CE$83*(GREET1_Import_Export!$T78+GREET1_Import_Export!$C$179*GREET1_Import_Export!$B192+GREET1_Import_Export!$C192)+CE$84*(GREET1_Import_Export!$X78+GREET1_Import_Export!$B$10*(GREET1_Import_Export!$F$215*GREET1_Import_Export!$B228+GREET1_Import_Export!$F228)+GREET1_Import_Export!$C$10*(GREET1_Import_Export!$E$179*GREET1_Import_Export!$B192+GREET1_Import_Export!$E192))+CE$85*($AE$57*GREET1_Import_Export!$B78+GREET1_Import_Export!$B228)+CE$86*($AE$64 *GREET1_Import_Export!$AA78+GREET1_Import_Export!$B296)+CE$87*(GREET1_Import_Export!$B321+GREET1_Import_Export!$C321)</f>
        <v>0</v>
      </c>
      <c r="CF101" s="817"/>
      <c r="CG101" s="1321"/>
      <c r="CH101" s="1321"/>
      <c r="CI101" s="1321"/>
      <c r="CJ101" s="1321"/>
      <c r="CK101" s="1321"/>
      <c r="CL101" s="1321"/>
      <c r="CM101" s="1321"/>
      <c r="CN101" s="1321"/>
      <c r="CO101" s="1321"/>
      <c r="CP101" s="1321"/>
      <c r="CQ101" s="1321"/>
      <c r="CR101" s="1321"/>
      <c r="CS101" s="1321"/>
      <c r="CT101" s="1321"/>
      <c r="CU101" s="1321"/>
      <c r="CV101" s="1321"/>
      <c r="CW101" s="1321"/>
      <c r="CX101" s="1321"/>
      <c r="CY101" s="1321"/>
      <c r="CZ101" s="1321"/>
      <c r="DA101" s="1321"/>
      <c r="DB101" s="1321"/>
      <c r="DC101" s="1321"/>
      <c r="DD101" s="1321"/>
      <c r="DE101" s="1321"/>
      <c r="DF101" s="1321"/>
      <c r="DG101" s="1321"/>
      <c r="DH101" s="1321"/>
      <c r="DI101" s="1321"/>
      <c r="DJ101" s="1321"/>
      <c r="DK101" s="1321"/>
      <c r="DL101" s="1321"/>
      <c r="DM101" s="1321"/>
      <c r="DN101" s="1321"/>
      <c r="DO101" s="1321"/>
      <c r="DP101" s="1321"/>
      <c r="DQ101" s="1321"/>
      <c r="DR101" s="1321"/>
      <c r="DS101" s="1321"/>
      <c r="DT101" s="1321"/>
      <c r="DU101" s="1321"/>
      <c r="DV101" s="1321"/>
      <c r="DW101" s="1321"/>
      <c r="DX101" s="1321"/>
      <c r="DY101" s="1321"/>
      <c r="DZ101" s="1321"/>
      <c r="EA101" s="1321"/>
      <c r="EB101" s="1321"/>
      <c r="EC101" s="1321"/>
      <c r="ED101" s="1321"/>
      <c r="EE101" s="1321"/>
      <c r="EF101" s="1321"/>
      <c r="EG101" s="1321"/>
      <c r="EH101" s="1321"/>
      <c r="EI101" s="1321"/>
      <c r="EJ101" s="1321"/>
      <c r="EK101" s="1321"/>
      <c r="EL101" s="1321"/>
      <c r="EM101" s="1321"/>
      <c r="EN101" s="1321"/>
      <c r="EO101" s="1321"/>
      <c r="EP101" s="1321"/>
      <c r="EQ101" s="1321"/>
      <c r="ER101" s="1321"/>
      <c r="ES101" s="1321"/>
      <c r="ET101" s="1321"/>
      <c r="EU101" s="1321"/>
      <c r="EV101" s="1321"/>
      <c r="EW101" s="1321"/>
      <c r="EX101" s="1321"/>
      <c r="EY101" s="1321"/>
      <c r="EZ101" s="1321"/>
      <c r="FA101" s="1321"/>
      <c r="FB101" s="1321"/>
    </row>
    <row r="102" spans="1:158">
      <c r="A102" s="483" t="s">
        <v>828</v>
      </c>
      <c r="B102" s="234">
        <f>B$81*(B$50*GREET1_Import_Export!$K79+GREET1_Import_Export!$B193*GREET1_Import_Export!$F$179+GREET1_Import_Export!$F193)+B$82*(B$52*GREET1_Import_Export!$Q79+B$53*GREET1_Import_Export!$O79+B$54*GREET1_Import_Export!$M79+GREET1_Import_Export!$B193*GREET1_Import_Export!$G$179+GREET1_Import_Export!$G193)+B$83*(B$55*GREET1_Import_Export!$T79+GREET1_Import_Export!$B193*GREET1_Import_Export!$C$179+GREET1_Import_Export!$C193)+B$84*(B$56*GREET1_Import_Export!$W79+GREET1_Import_Export!$E229*GREET1_Import_Export!$F$215+GREET1_Import_Export!$F229)+B$85*(B$57*GREET1_Import_Export!$B79+B$58*GREET1_Import_Export!$C79+B$59*GREET1_Import_Export!$G79+B$61*'GREET2_Factors_T&amp;D'!$F22+B$62*'GREET2_Factors_T&amp;D'!$G22+GREET1_Import_Export!$B229)+B$86*(B$64*GREET1_Import_Export!$AA79+B$65*GREET1_Import_Export!$AB79+GREET1_Import_Export!$B297)+B$87*SUM(GREET1_Import_Export!$B322:$C322)</f>
        <v>0</v>
      </c>
      <c r="C102" s="489"/>
      <c r="D102" s="235"/>
      <c r="E102" s="234">
        <f>E$81*(C$50*GREET1_Import_Export!$K79+GREET1_Import_Export!$B193*GREET1_Import_Export!$F$179+GREET1_Import_Export!$F193)+E$82*(C$52*GREET1_Import_Export!$Q79+C$53*GREET1_Import_Export!$O79+C$54*GREET1_Import_Export!$M79+GREET1_Import_Export!$B193*GREET1_Import_Export!$G$179+GREET1_Import_Export!$G193)+E$83*(C$55*GREET1_Import_Export!$T79+GREET1_Import_Export!$B193*GREET1_Import_Export!$C$179+GREET1_Import_Export!$C193)+E$84*(C$56*GREET1_Import_Export!$W79+GREET1_Import_Export!$E229*GREET1_Import_Export!$F$215+GREET1_Import_Export!$F229)+E$85*(C$57*GREET1_Import_Export!$B79+C$58*GREET1_Import_Export!$C79+C$59*GREET1_Import_Export!$G79+C$61*'GREET2_Factors_T&amp;D'!$F22+C$62*'GREET2_Factors_T&amp;D'!$G22+GREET1_Import_Export!$B229)+E$86*(C$64*GREET1_Import_Export!$AA79+C$65*GREET1_Import_Export!$AB79+GREET1_Import_Export!$B297)+E$87*SUM(GREET1_Import_Export!$B322:$C322)</f>
        <v>0</v>
      </c>
      <c r="F102" s="489"/>
      <c r="G102" s="235"/>
      <c r="H102" s="234">
        <f>H$81*(D$50*GREET1_Import_Export!$K79+GREET1_Import_Export!$B193*GREET1_Import_Export!$F$179+GREET1_Import_Export!$F193)+H$82*(D$52*GREET1_Import_Export!$Q79+D$53*GREET1_Import_Export!$O79+D$54*GREET1_Import_Export!$M79+GREET1_Import_Export!$B193*GREET1_Import_Export!$G$179+GREET1_Import_Export!$G193)+H$83*(D$55*GREET1_Import_Export!$T79+GREET1_Import_Export!$B193*GREET1_Import_Export!$C$179+GREET1_Import_Export!$C193)+H$84*(D$56*GREET1_Import_Export!$W79+GREET1_Import_Export!$E229*GREET1_Import_Export!$F$215+GREET1_Import_Export!$F229)+H$85*(D$57*GREET1_Import_Export!$B79+D$58*GREET1_Import_Export!$C79+D$59*GREET1_Import_Export!$G79+D$61*'GREET2_Factors_T&amp;D'!$F22+D$62*'GREET2_Factors_T&amp;D'!$G22+GREET1_Import_Export!$B229)+H$86*(D$64*GREET1_Import_Export!$AA79+D$65*GREET1_Import_Export!$AB79+GREET1_Import_Export!$B297)+H$87*SUM(GREET1_Import_Export!$B322:$C322)</f>
        <v>63.498253819637384</v>
      </c>
      <c r="I102" s="489"/>
      <c r="J102" s="235"/>
      <c r="K102" s="234">
        <f>K$81*(E$50*GREET1_Import_Export!$K79+GREET1_Import_Export!$B193*GREET1_Import_Export!$F$179+GREET1_Import_Export!$F193)+K$82*(E$52*GREET1_Import_Export!$Q79+E$53*GREET1_Import_Export!$O79+E$54*GREET1_Import_Export!$M79+GREET1_Import_Export!$B193*GREET1_Import_Export!$G$179+GREET1_Import_Export!$G193)+K$83*(E$55*GREET1_Import_Export!$T79+GREET1_Import_Export!$B193*GREET1_Import_Export!$C$179+GREET1_Import_Export!$C193)+K$84*(E$56*GREET1_Import_Export!$W79+GREET1_Import_Export!$E229*GREET1_Import_Export!$F$215+GREET1_Import_Export!$F229)+K$85*(E$57*GREET1_Import_Export!$B79+E$58*GREET1_Import_Export!$C79+E$59*GREET1_Import_Export!$G79+E$61*'GREET2_Factors_T&amp;D'!$F22+E$62*'GREET2_Factors_T&amp;D'!$G22+GREET1_Import_Export!$B229)+K$86*(E$64*GREET1_Import_Export!$AA79+E$65*GREET1_Import_Export!$AB79+GREET1_Import_Export!$B297)+K$87*SUM(GREET1_Import_Export!$B322:$C322)</f>
        <v>46.658708581479694</v>
      </c>
      <c r="L102" s="489"/>
      <c r="M102" s="235"/>
      <c r="N102" s="234">
        <f>N$81*(F$50*GREET1_Import_Export!$K79+GREET1_Import_Export!$B193*GREET1_Import_Export!$F$179+GREET1_Import_Export!$F193)+N$82*(F$52*GREET1_Import_Export!$Q79+F$53*GREET1_Import_Export!$O79+F$54*GREET1_Import_Export!$M79+GREET1_Import_Export!$B193*GREET1_Import_Export!$G$179+GREET1_Import_Export!$G193)+N$83*(F$55*GREET1_Import_Export!$T79+GREET1_Import_Export!$B193*GREET1_Import_Export!$C$179+GREET1_Import_Export!$C193)+N$84*(F$56*GREET1_Import_Export!$W79+GREET1_Import_Export!$E229*GREET1_Import_Export!$F$215+GREET1_Import_Export!$F229)+N$85*(F$57*GREET1_Import_Export!$B79+F$58*GREET1_Import_Export!$C79+F$59*GREET1_Import_Export!$G79+F$61*'GREET2_Factors_T&amp;D'!$F22+F$62*'GREET2_Factors_T&amp;D'!$G22+GREET1_Import_Export!$B229)+N$86*(F$64*GREET1_Import_Export!$AA79+F$65*GREET1_Import_Export!$AB79+GREET1_Import_Export!$B297)+N$87*SUM(GREET1_Import_Export!$B322:$C322)</f>
        <v>63.498253819637384</v>
      </c>
      <c r="O102" s="489"/>
      <c r="P102" s="235"/>
      <c r="Q102" s="578">
        <f>Q$81*(G$50*GREET1_Import_Export!$K79+GREET1_Import_Export!$B193*GREET1_Import_Export!$F$179+GREET1_Import_Export!$F193)+Q$82*(G$52*GREET1_Import_Export!$Q79+G$53*GREET1_Import_Export!$O79+G$54*GREET1_Import_Export!$M79+GREET1_Import_Export!$B193*GREET1_Import_Export!$G$179+GREET1_Import_Export!$G193)+Q$83*(G$55*GREET1_Import_Export!$T79+GREET1_Import_Export!$B193*GREET1_Import_Export!$C$179+GREET1_Import_Export!$C193)+Q$84*(G$56*GREET1_Import_Export!$W79+GREET1_Import_Export!$E229*GREET1_Import_Export!$F$215+GREET1_Import_Export!$F229)+Q$85*(G$57*GREET1_Import_Export!$B79+G$58*GREET1_Import_Export!$C79+G$59*GREET1_Import_Export!$G79+G$61*'GREET2_Factors_T&amp;D'!$F22+G$62*'GREET2_Factors_T&amp;D'!$G22+GREET1_Import_Export!$B229)+Q$86*(G$64*GREET1_Import_Export!$AA79+G$65*GREET1_Import_Export!$AB79+GREET1_Import_Export!$B297)
+Q$87*($B$46*(GREET1_Import_Export!$B322+GREET1_Import_Export!$C322)+$C$46*GREET1_Import_Export!L355+$D$46*GREET1_Import_Export!H355+$E$46*GREET1_Import_Export!Q355+$F$46*GREET1_Import_Export!R355+SUMPRODUCT($G$46:$I$46,GREET1_Import_Export!N355:P355))</f>
        <v>46.658708581479694</v>
      </c>
      <c r="R102" s="489"/>
      <c r="S102" s="235"/>
      <c r="T102" s="578">
        <f>T$81*(H$50*GREET1_Import_Export!$K79+GREET1_Import_Export!$B193*GREET1_Import_Export!$F$179+GREET1_Import_Export!$F193)+T$82*(H$52*GREET1_Import_Export!$Q79+H$53*GREET1_Import_Export!$O79+H$54*GREET1_Import_Export!$M79+GREET1_Import_Export!$B193*GREET1_Import_Export!$G$179+GREET1_Import_Export!$G193)+T$83*(H$55*GREET1_Import_Export!$T79+GREET1_Import_Export!$B193*GREET1_Import_Export!$C$179+GREET1_Import_Export!$C193)+T$84*(H$56*GREET1_Import_Export!$W79+GREET1_Import_Export!$E229*GREET1_Import_Export!$F$215+GREET1_Import_Export!$F229)+T$85*(H$57*GREET1_Import_Export!$B79+H$58*GREET1_Import_Export!$C79+H$59*GREET1_Import_Export!$G79+H$61*'GREET2_Factors_T&amp;D'!$F22+H$62*'GREET2_Factors_T&amp;D'!$G22+GREET1_Import_Export!$B229)+T$86*(H$64*GREET1_Import_Export!$AA79+H$65*GREET1_Import_Export!$AB79+GREET1_Import_Export!$B297)+T$87*SUM(GREET1_Import_Export!$B322:$C322)</f>
        <v>63.498253819637384</v>
      </c>
      <c r="U102" s="489"/>
      <c r="V102" s="235"/>
      <c r="W102" s="578">
        <f>W$81*(BS$50*GREET1_Import_Export!$K79+GREET1_Import_Export!$B193*GREET1_Import_Export!$F$179+GREET1_Import_Export!$F193)+W$82*(BS$52*GREET1_Import_Export!$Q79+BS$53*GREET1_Import_Export!$O79+BS$54*GREET1_Import_Export!$M79+GREET1_Import_Export!$B193*GREET1_Import_Export!$G$179+GREET1_Import_Export!$G193)+W$83*(BS$55*GREET1_Import_Export!$T79+GREET1_Import_Export!$B193*GREET1_Import_Export!$C$179+GREET1_Import_Export!$C193)+W$84*(BS$56*GREET1_Import_Export!$W79+GREET1_Import_Export!$E229*GREET1_Import_Export!$F$215+GREET1_Import_Export!$F229)+W$85*(BS$57*GREET1_Import_Export!$B79+BS$58*GREET1_Import_Export!$C79+BS$59*GREET1_Import_Export!$G79+BS$61*'GREET2_Factors_T&amp;D'!$F22+BS$62*'GREET2_Factors_T&amp;D'!$G22+GREET1_Import_Export!$B229)+W$86*(BS$64*GREET1_Import_Export!$AA79+BS$65*GREET1_Import_Export!$AB79+GREET1_Import_Export!$B297)+W$87*($B$46*(GREET1_Import_Export!$B322+GREET1_Import_Export!$C322)+$C$46*GREET1_Import_Export!L355+$D$46*GREET1_Import_Export!H355+$E$46*GREET1_Import_Export!Q355+$F$46*GREET1_Import_Export!R355+SUMPRODUCT($G$46:$I$46,GREET1_Import_Export!N355:P355))</f>
        <v>46.658708581479694</v>
      </c>
      <c r="X102" s="489"/>
      <c r="Y102" s="235"/>
      <c r="Z102" s="234">
        <f>Z$81*(J$50*GREET1_Import_Export!$K79+GREET1_Import_Export!$B193*GREET1_Import_Export!$F$179+GREET1_Import_Export!$F193)+Z$82*(J$52*GREET1_Import_Export!$Q79+J$53*GREET1_Import_Export!$O79+J$54*GREET1_Import_Export!$M79+GREET1_Import_Export!$B193*GREET1_Import_Export!$G$179+GREET1_Import_Export!$G193)+Z$83*(J$55*GREET1_Import_Export!$T79+GREET1_Import_Export!$B193*GREET1_Import_Export!$C$179+GREET1_Import_Export!$C193)+Z$84*(J$56*GREET1_Import_Export!$W79+GREET1_Import_Export!$E229*GREET1_Import_Export!$F$215+GREET1_Import_Export!$F229)+Z$85*(J$57*GREET1_Import_Export!$B79+J$58*GREET1_Import_Export!$C79+J$59*GREET1_Import_Export!$G79+J$61*'GREET2_Factors_T&amp;D'!$F22+J$62*'GREET2_Factors_T&amp;D'!$G22+GREET1_Import_Export!$B229)+Z$86*(J$64*GREET1_Import_Export!$AA79+J$65*GREET1_Import_Export!$AB79+GREET1_Import_Export!$B297)+Z$87*SUM(GREET1_Import_Export!$B322:$C322)</f>
        <v>63.498253819637384</v>
      </c>
      <c r="AA102" s="489"/>
      <c r="AB102" s="235"/>
      <c r="AC102" s="578">
        <f>AC$81*(K$50*GREET1_Import_Export!$K79+GREET1_Import_Export!$B193*GREET1_Import_Export!$F$179+GREET1_Import_Export!$F193)+AC$82*(K$52*GREET1_Import_Export!$Q79+K$53*GREET1_Import_Export!$O79+K$54*GREET1_Import_Export!$M79+GREET1_Import_Export!$B193*GREET1_Import_Export!$G$179+GREET1_Import_Export!$G193)+AC$83*(K$55*GREET1_Import_Export!$T79+GREET1_Import_Export!$B193*GREET1_Import_Export!$C$179+GREET1_Import_Export!$C193)+AC$84*(K$56*GREET1_Import_Export!$W79+GREET1_Import_Export!$E229*GREET1_Import_Export!$F$215+GREET1_Import_Export!$F229)+AC$85*(K$57*GREET1_Import_Export!$B79+K$58*GREET1_Import_Export!$C79+K$59*GREET1_Import_Export!$G79+K$61*'GREET2_Factors_T&amp;D'!$F22+K$62*'GREET2_Factors_T&amp;D'!$G22+GREET1_Import_Export!$B229)+AC$86*(K$64*GREET1_Import_Export!$AA79+K$65*GREET1_Import_Export!$AB79+GREET1_Import_Export!$B297)+AC$87*($B$46*(GREET1_Import_Export!$B322+GREET1_Import_Export!$C322)+$C$46*GREET1_Import_Export!L355+$D$46*GREET1_Import_Export!H355+$E$46*GREET1_Import_Export!Q355+$F$46*GREET1_Import_Export!R355+SUMPRODUCT($G$46:$I$46,GREET1_Import_Export!N355:P355))</f>
        <v>46.658708581479694</v>
      </c>
      <c r="AD102" s="489"/>
      <c r="AE102" s="235"/>
      <c r="AF102" s="234">
        <f>AF$81*(L$50*GREET1_Import_Export!$K79+GREET1_Import_Export!$B193*GREET1_Import_Export!$F$179+GREET1_Import_Export!$F193)+AF$82*(L$52*GREET1_Import_Export!$Q79+L$53*GREET1_Import_Export!$O79+L$54*GREET1_Import_Export!$M79+GREET1_Import_Export!$B193*GREET1_Import_Export!$G$179+GREET1_Import_Export!$G193)+AF$83*(L$55*GREET1_Import_Export!$T79+GREET1_Import_Export!$B193*GREET1_Import_Export!$C$179+GREET1_Import_Export!$C193)+AF$84*(L$56*GREET1_Import_Export!$W79+GREET1_Import_Export!$E229*GREET1_Import_Export!$F$215+GREET1_Import_Export!$F229)+AF$85*(L$57*GREET1_Import_Export!$B79+L$58*GREET1_Import_Export!$C79+L$59*GREET1_Import_Export!$G79+L$61*'GREET2_Factors_T&amp;D'!$F22+L$62*'GREET2_Factors_T&amp;D'!$G22+GREET1_Import_Export!$B229)+AF$86*(L$64*GREET1_Import_Export!$AA79+L$65*GREET1_Import_Export!$AB79+GREET1_Import_Export!$B297)+AF$87*SUM(GREET1_Import_Export!$B322:$C322)</f>
        <v>63.498253819637384</v>
      </c>
      <c r="AG102" s="489"/>
      <c r="AH102" s="478"/>
      <c r="AI102" s="578">
        <f>AI$81*(M$50*GREET1_Import_Export!$K79+GREET1_Import_Export!$B193*GREET1_Import_Export!$F$179+GREET1_Import_Export!$F193)+AI$82*(M$52*GREET1_Import_Export!$Q79+M$53*GREET1_Import_Export!$O79+M$54*GREET1_Import_Export!$M79+GREET1_Import_Export!$B193*GREET1_Import_Export!$G$179+GREET1_Import_Export!$G193)+AI$83*(M$55*GREET1_Import_Export!$T79+GREET1_Import_Export!$B193*GREET1_Import_Export!$C$179+GREET1_Import_Export!$C193)+AI$84*(M$56*GREET1_Import_Export!$W79+GREET1_Import_Export!$E229*GREET1_Import_Export!$F$215+GREET1_Import_Export!$F229)+AI$85*(M$57*GREET1_Import_Export!$B79+M$58*GREET1_Import_Export!$C79+M$59*GREET1_Import_Export!$G79+M$61*'GREET2_Factors_T&amp;D'!$F22+M$62*'GREET2_Factors_T&amp;D'!$G22+GREET1_Import_Export!$B229)+AI$86*(M$64*GREET1_Import_Export!$AA79+M$65*GREET1_Import_Export!$AB79+GREET1_Import_Export!$B297)+AI$87*($B$46*(GREET1_Import_Export!$B322+GREET1_Import_Export!$C322)+$C$46*GREET1_Import_Export!L355+$D$46*GREET1_Import_Export!H355+$E$46*GREET1_Import_Export!Q355+$F$46*GREET1_Import_Export!R355+SUMPRODUCT($G$46:$I$46,GREET1_Import_Export!N355:P355))</f>
        <v>53.324238378833904</v>
      </c>
      <c r="AJ102" s="489"/>
      <c r="AK102" s="235"/>
      <c r="AL102" s="234">
        <f>AL$81*(N$50*GREET1_Import_Export!$K79+GREET1_Import_Export!$B193*GREET1_Import_Export!$F$179+GREET1_Import_Export!$F193)+AL$82*(N$52*GREET1_Import_Export!$Q79+N$53*GREET1_Import_Export!$O79+N$54*GREET1_Import_Export!$M79+GREET1_Import_Export!$B193*GREET1_Import_Export!$G$179+GREET1_Import_Export!$G193)+AL$83*(N$55*GREET1_Import_Export!$T79+GREET1_Import_Export!$B193*GREET1_Import_Export!$C$179+GREET1_Import_Export!$C193)+AL$84*(N$56*GREET1_Import_Export!$W79+GREET1_Import_Export!$E229*GREET1_Import_Export!$F$215+GREET1_Import_Export!$F229)+AL$85*(N$57*GREET1_Import_Export!$B79+N$58*GREET1_Import_Export!$C79+N$59*GREET1_Import_Export!$G79+N$61*'GREET2_Factors_T&amp;D'!$F22+N$62*'GREET2_Factors_T&amp;D'!$G22+GREET1_Import_Export!$B229)+AL$86*(N$64*GREET1_Import_Export!$AA79+N$65*GREET1_Import_Export!$AB79+GREET1_Import_Export!$B297)+AL$87*SUM(GREET1_Import_Export!$B322:$C322)</f>
        <v>52.267493203903371</v>
      </c>
      <c r="AM102" s="489"/>
      <c r="AN102" s="235"/>
      <c r="AO102" s="234">
        <f>AO$81*(O$50*GREET1_Import_Export!$K79+GREET1_Import_Export!$B193*GREET1_Import_Export!$F$179+GREET1_Import_Export!$F193)+AO$82*(O$52*GREET1_Import_Export!$Q79+O$53*GREET1_Import_Export!$O79+O$54*GREET1_Import_Export!$M79+GREET1_Import_Export!$B193*GREET1_Import_Export!$G$179+GREET1_Import_Export!$G193)+AO$83*(O$55*GREET1_Import_Export!$T79+GREET1_Import_Export!$B193*GREET1_Import_Export!$C$179+GREET1_Import_Export!$C193)+AO$84*(O$56*GREET1_Import_Export!$W79+GREET1_Import_Export!$E229*GREET1_Import_Export!$F$215+GREET1_Import_Export!$F229)+AO$85*(O$57*GREET1_Import_Export!$B79+O$58*GREET1_Import_Export!$C79+O$59*GREET1_Import_Export!$G79+O$61*'GREET2_Factors_T&amp;D'!$F22+O$62*'GREET2_Factors_T&amp;D'!$G22+GREET1_Import_Export!$B229)+AO$86*(O$64*GREET1_Import_Export!$AA79+O$65*GREET1_Import_Export!$AB79+GREET1_Import_Export!$B297)+AO$87*SUM(GREET1_Import_Export!$B322:$C322)</f>
        <v>50.500275588021537</v>
      </c>
      <c r="AP102" s="489"/>
      <c r="AQ102" s="235"/>
      <c r="AR102" s="234">
        <f>AR$81*(P$50*GREET1_Import_Export!$K79+GREET1_Import_Export!$B193*GREET1_Import_Export!$F$179+GREET1_Import_Export!$F193)+AR$82*(P$52*GREET1_Import_Export!$Q79+P$53*GREET1_Import_Export!$O79+P$54*GREET1_Import_Export!$M79+GREET1_Import_Export!$B193*GREET1_Import_Export!$G$179+GREET1_Import_Export!$G193)+AR$83*(P$55*GREET1_Import_Export!$T79+GREET1_Import_Export!$B193*GREET1_Import_Export!$C$179+GREET1_Import_Export!$C193)+AR$84*(P$56*GREET1_Import_Export!$W79+GREET1_Import_Export!$E229*GREET1_Import_Export!$F$215+GREET1_Import_Export!$F229)+AR$85*(P$57*GREET1_Import_Export!$B79+P$58*GREET1_Import_Export!$C79+P$59*GREET1_Import_Export!$G79+P$61*'GREET2_Factors_T&amp;D'!$F22+P$62*'GREET2_Factors_T&amp;D'!$G22+GREET1_Import_Export!$B229)+AR$86*(P$64*GREET1_Import_Export!$AA79+P$65*GREET1_Import_Export!$AB79+GREET1_Import_Export!$B297)+AR$87*SUM(GREET1_Import_Export!$B322:$C322)</f>
        <v>51.664636129863617</v>
      </c>
      <c r="AS102" s="489"/>
      <c r="AT102" s="235"/>
      <c r="AU102" s="234">
        <f>AU$81*(Q$50*GREET1_Import_Export!$K79+GREET1_Import_Export!$B193*GREET1_Import_Export!$F$179+GREET1_Import_Export!$F193)+AU$82*(Q$52*GREET1_Import_Export!$Q79+Q$53*GREET1_Import_Export!$O79+Q$54*GREET1_Import_Export!$M79+GREET1_Import_Export!$B193*GREET1_Import_Export!$G$179+GREET1_Import_Export!$G193)+AU$83*(Q$55*GREET1_Import_Export!$T79+GREET1_Import_Export!$B193*GREET1_Import_Export!$C$179+GREET1_Import_Export!$C193)+AU$84*(Q$56*GREET1_Import_Export!$W79+GREET1_Import_Export!$E229*GREET1_Import_Export!$F$215+GREET1_Import_Export!$F229)+AU$85*(Q$57*GREET1_Import_Export!$B79+Q$58*GREET1_Import_Export!$C79+Q$59*GREET1_Import_Export!$G79+Q$61*'GREET2_Factors_T&amp;D'!$F22+Q$62*'GREET2_Factors_T&amp;D'!$G22+GREET1_Import_Export!$B229)+AU$86*(Q$64*GREET1_Import_Export!$AA79+Q$65*GREET1_Import_Export!$AB79+GREET1_Import_Export!$B297)+AU$87*SUM(GREET1_Import_Export!$B322:$C322)</f>
        <v>315.16481242906661</v>
      </c>
      <c r="AV102" s="489"/>
      <c r="AW102" s="235"/>
      <c r="AX102" s="234">
        <f>AX$81*(R$50*GREET1_Import_Export!$K79+GREET1_Import_Export!$B193*GREET1_Import_Export!$F$179+GREET1_Import_Export!$F193)+AX$82*(R$52*GREET1_Import_Export!$Q79+R$53*GREET1_Import_Export!$O79+R$54*GREET1_Import_Export!$M79+GREET1_Import_Export!$B193*GREET1_Import_Export!$G$179+GREET1_Import_Export!$G193)+AX$83*(R$55*GREET1_Import_Export!$T79+GREET1_Import_Export!$B193*GREET1_Import_Export!$C$179+GREET1_Import_Export!$C193)+AX$84*(R$56*GREET1_Import_Export!$W79+GREET1_Import_Export!$E229*GREET1_Import_Export!$F$215+GREET1_Import_Export!$F229)+AX$85*(R$57*GREET1_Import_Export!$B79+R$58*GREET1_Import_Export!$C79+R$59*GREET1_Import_Export!$G79+R$61*'GREET2_Factors_T&amp;D'!$F22+R$62*'GREET2_Factors_T&amp;D'!$G22+GREET1_Import_Export!$B229)+AX$86*(R$64*GREET1_Import_Export!$AA79+R$65*GREET1_Import_Export!$AB79+GREET1_Import_Export!$B297)+AX$87*SUM(GREET1_Import_Export!$B322:$C322)</f>
        <v>105.55075357473973</v>
      </c>
      <c r="AY102" s="489"/>
      <c r="AZ102" s="235"/>
      <c r="BA102" s="234">
        <f>BA$81*(S$50*GREET1_Import_Export!$K79+GREET1_Import_Export!$B193*GREET1_Import_Export!$F$179+GREET1_Import_Export!$F193)+BA$82*(S$52*GREET1_Import_Export!$Q79+S$53*GREET1_Import_Export!$O79+S$54*GREET1_Import_Export!$M79+GREET1_Import_Export!$B193*GREET1_Import_Export!$G$179+GREET1_Import_Export!$G193)+BA$83*(S$55*GREET1_Import_Export!$T79+GREET1_Import_Export!$B193*GREET1_Import_Export!$C$179+GREET1_Import_Export!$C193)+BA$84*(S$56*GREET1_Import_Export!$W79+GREET1_Import_Export!$E229*GREET1_Import_Export!$F$215+GREET1_Import_Export!$F229)+BA$85*(S$57*GREET1_Import_Export!$B79+S$58*GREET1_Import_Export!$C79+S$59*GREET1_Import_Export!$G79+S$61*'GREET2_Factors_T&amp;D'!$F22+S$62*'GREET2_Factors_T&amp;D'!$G22+GREET1_Import_Export!$B229)+BA$86*(S$64*GREET1_Import_Export!$AA79+S$65*GREET1_Import_Export!$AB79+GREET1_Import_Export!$B297)+BA$87*SUM(GREET1_Import_Export!$B322:$C322)</f>
        <v>39.993178784125483</v>
      </c>
      <c r="BB102" s="489"/>
      <c r="BC102" s="235"/>
      <c r="BD102" s="578">
        <f>BD$81*(T$50*GREET1_Import_Export!$K79+GREET1_Import_Export!$B193*GREET1_Import_Export!$F$179+GREET1_Import_Export!$F193)+BD$82*(T$52*GREET1_Import_Export!$Q79+T$53*GREET1_Import_Export!$O79+T$54*GREET1_Import_Export!$M79+GREET1_Import_Export!$B193*GREET1_Import_Export!$G$179+GREET1_Import_Export!$G193)+BD$83*(T$55*GREET1_Import_Export!$T79+GREET1_Import_Export!$B193*GREET1_Import_Export!$C$179+GREET1_Import_Export!$C193)+BD$84*(T$56*GREET1_Import_Export!$W79+GREET1_Import_Export!$E229*GREET1_Import_Export!$F$215+GREET1_Import_Export!$F229)+BD$85*(T$57*GREET1_Import_Export!$B79+T$58*GREET1_Import_Export!$C79+T$59*GREET1_Import_Export!$G79+T$61*'GREET2_Factors_T&amp;D'!$F22+T$62*'GREET2_Factors_T&amp;D'!$G22+GREET1_Import_Export!$B229)+BD$86*(T$64*GREET1_Import_Export!$AA79+T$65*GREET1_Import_Export!$AB79+GREET1_Import_Export!$B297)+BD$87*SUM(GREET1_Import_Export!$B322:$C322)</f>
        <v>32.297793284321351</v>
      </c>
      <c r="BE102" s="489"/>
      <c r="BF102" s="478"/>
      <c r="BG102" s="578">
        <f>BG$81*(U$50*GREET1_Import_Export!$K79+GREET1_Import_Export!$B193*GREET1_Import_Export!$F$179+GREET1_Import_Export!$F193)+BG$82*(U$52*GREET1_Import_Export!$Q79+U$53*GREET1_Import_Export!$O79+U$54*GREET1_Import_Export!$M79+GREET1_Import_Export!$B193*GREET1_Import_Export!$G$179+GREET1_Import_Export!$G193)+BG$83*(U$55*GREET1_Import_Export!$T79+GREET1_Import_Export!$B193*GREET1_Import_Export!$C$179+GREET1_Import_Export!$C193)+BG$84*(U$56*GREET1_Import_Export!$W79+GREET1_Import_Export!$E229*GREET1_Import_Export!$F$215+GREET1_Import_Export!$F229)+BG$85*(U$57*GREET1_Import_Export!$B79+U$58*GREET1_Import_Export!$C79+U$59*GREET1_Import_Export!$G79+U$61*'GREET2_Factors_T&amp;D'!$F22+U$62*'GREET2_Factors_T&amp;D'!$G22+GREET1_Import_Export!$B229)+BG$86*(U$64*GREET1_Import_Export!$AA79+U$65*GREET1_Import_Export!$AB79+GREET1_Import_Export!$B297)+BG$87*SUM(GREET1_Import_Export!$B322:$C322)</f>
        <v>47.911464307593562</v>
      </c>
      <c r="BH102" s="489"/>
      <c r="BI102" s="478"/>
      <c r="BJ102" s="578">
        <f>BJ$81*(V$50*GREET1_Import_Export!$K79+GREET1_Import_Export!$B193*GREET1_Import_Export!$F$179+GREET1_Import_Export!$F193)+BJ$82*(V$52*GREET1_Import_Export!$Q79+V$53*GREET1_Import_Export!$O79+V$54*GREET1_Import_Export!$M79+GREET1_Import_Export!$B193*GREET1_Import_Export!$G$179+GREET1_Import_Export!$G193)+BJ$83*(V$55*GREET1_Import_Export!$T79+GREET1_Import_Export!$B193*GREET1_Import_Export!$C$179+GREET1_Import_Export!$C193)+BJ$84*(V$56*GREET1_Import_Export!$W79+GREET1_Import_Export!$E229*GREET1_Import_Export!$F$215+GREET1_Import_Export!$F229)+BJ$85*(V$57*GREET1_Import_Export!$B79+V$58*GREET1_Import_Export!$C79+V$59*GREET1_Import_Export!$G79+V$61*'GREET2_Factors_T&amp;D'!$F22+V$62*'GREET2_Factors_T&amp;D'!$G22+GREET1_Import_Export!$B229)+BJ$86*(V$64*GREET1_Import_Export!$AA79+V$65*GREET1_Import_Export!$AB79+GREET1_Import_Export!$B297)+BJ$87*SUM(GREET1_Import_Export!$B322:$C322)</f>
        <v>5.4504039310648249</v>
      </c>
      <c r="BK102" s="489"/>
      <c r="BL102" s="478"/>
      <c r="BM102" s="578">
        <f>BM$81*(X$50*GREET1_Import_Export!$K79+GREET1_Import_Export!$B193*GREET1_Import_Export!$F$179+GREET1_Import_Export!$F193)+BM$82*(X$52*GREET1_Import_Export!$Q79+X$53*GREET1_Import_Export!$O79+X$54*GREET1_Import_Export!$M79+GREET1_Import_Export!$B193*GREET1_Import_Export!$G$179+GREET1_Import_Export!$G193)+BM$83*(X$55*GREET1_Import_Export!$T79+GREET1_Import_Export!$B193*GREET1_Import_Export!$C$179+GREET1_Import_Export!$C193)+BM$84*(X$56*GREET1_Import_Export!$W79+GREET1_Import_Export!$E229*GREET1_Import_Export!$F$215+GREET1_Import_Export!$F229)+BM$85*(X$57*GREET1_Import_Export!$B79+X$58*GREET1_Import_Export!$C79+X$59*GREET1_Import_Export!$G79+X$61*'GREET2_Factors_T&amp;D'!$F22+X$62*'GREET2_Factors_T&amp;D'!$G22+GREET1_Import_Export!$B229)+BM$86*(X$64*GREET1_Import_Export!$AA79+X$65*GREET1_Import_Export!$AB79+GREET1_Import_Export!$B297)+BM$87*SUM(GREET1_Import_Export!$B322:$C322)</f>
        <v>1.2135657908202684</v>
      </c>
      <c r="BN102" s="489"/>
      <c r="BO102" s="478"/>
      <c r="BP102" s="234">
        <f>BP$81*(Z$50*GREET1_Import_Export!$K79+GREET1_Import_Export!$B193*GREET1_Import_Export!$F$179+GREET1_Import_Export!$F193)+BP$82*(Z$52*GREET1_Import_Export!$Q79+Z$53*GREET1_Import_Export!$O79+Z$54*GREET1_Import_Export!$M79+GREET1_Import_Export!$B193*GREET1_Import_Export!$G$179+GREET1_Import_Export!$G193)+BP$83*(Z$55*GREET1_Import_Export!$T79+GREET1_Import_Export!$B193*GREET1_Import_Export!$C$179+GREET1_Import_Export!$C193)+BP$84*(Z$56*GREET1_Import_Export!$W79+GREET1_Import_Export!$E229*GREET1_Import_Export!$F$215+GREET1_Import_Export!$F229)+BP$85*(Z$57*GREET1_Import_Export!$B79+Z$58*GREET1_Import_Export!$C79+Z$59*GREET1_Import_Export!$G79+Z$61*'GREET2_Factors_T&amp;D'!$F22+Z$62*'GREET2_Factors_T&amp;D'!$G22+GREET1_Import_Export!$B229)+BP$86*(Z$64*GREET1_Import_Export!$AA79+Z$65*GREET1_Import_Export!$AB79+GREET1_Import_Export!$B297)+BP$87*SUM(GREET1_Import_Export!$B322:$C322)</f>
        <v>0</v>
      </c>
      <c r="BQ102" s="489"/>
      <c r="BR102" s="235"/>
      <c r="BS102" s="753">
        <f>BS$81*(AA$50*GREET1_Import_Export!$K79+GREET1_Import_Export!$B193*GREET1_Import_Export!$F$179+GREET1_Import_Export!$F193)+BS$82*(AA$52*GREET1_Import_Export!$Q79+AA$53*GREET1_Import_Export!$O79+AA$54*GREET1_Import_Export!$M79+GREET1_Import_Export!$B193*GREET1_Import_Export!$G$179+GREET1_Import_Export!$G193)+BS$83*(AA$55*GREET1_Import_Export!$T79+GREET1_Import_Export!$B193*GREET1_Import_Export!$C$179+GREET1_Import_Export!$C193)+BS$84*(AA$56*GREET1_Import_Export!$W79+GREET1_Import_Export!$E229*GREET1_Import_Export!$F$215+GREET1_Import_Export!$F229)+BS$85*(AA$57*GREET1_Import_Export!$B79+AA$58*GREET1_Import_Export!$C79+AA$59*GREET1_Import_Export!$G79+AA$61*'GREET2_Factors_T&amp;D'!$F22+AA$62*'GREET2_Factors_T&amp;D'!$G22+GREET1_Import_Export!$B229)+BS$86*(AA$64*GREET1_Import_Export!$AA79+AA$65*GREET1_Import_Export!$AB79+GREET1_Import_Export!$B297)+BS$87*(GREET1_Import_Export!$B322+GREET1_Import_Export!$C322)</f>
        <v>0.5382965547386892</v>
      </c>
      <c r="BT102" s="363"/>
      <c r="BU102" s="1082"/>
      <c r="BV102" s="753">
        <f>BV$81*(AB$50*GREET1_Import_Export!$K79+GREET1_Import_Export!$B193*GREET1_Import_Export!$F$179+GREET1_Import_Export!$F193)+BV$82*(AB$52*GREET1_Import_Export!$Q79+AB$53*GREET1_Import_Export!$O79+AB$54*GREET1_Import_Export!$M79+GREET1_Import_Export!$B193*GREET1_Import_Export!$G$179+GREET1_Import_Export!$G193)+BV$83*(AB$55*GREET1_Import_Export!$T79+GREET1_Import_Export!$B193*GREET1_Import_Export!$C$179+GREET1_Import_Export!$C193)+BV$84*(AB$56*GREET1_Import_Export!$W79+GREET1_Import_Export!$E229*GREET1_Import_Export!$F$215+GREET1_Import_Export!$F229)+BV$85*(AB$57*GREET1_Import_Export!$B79+AB$58*GREET1_Import_Export!$C79+AB$59*GREET1_Import_Export!$G79+AB$61*'GREET2_Factors_T&amp;D'!$F22+AB$62*'GREET2_Factors_T&amp;D'!$G22+GREET1_Import_Export!$B229)+BV$86*(AB$64*GREET1_Import_Export!$AA79+AB$65*GREET1_Import_Export!$AB79+GREET1_Import_Export!$B297)+BV$87*(GREET1_Import_Export!$B322+GREET1_Import_Export!$C322)</f>
        <v>0</v>
      </c>
      <c r="BW102" s="363"/>
      <c r="BX102" s="1082"/>
      <c r="BY102" s="753">
        <f>BY$81*(AC$50*GREET1_Import_Export!$K79+GREET1_Import_Export!$B193*GREET1_Import_Export!$F$179+GREET1_Import_Export!$F193)+BY$82*(AC$52*GREET1_Import_Export!$Q79+AC$53*GREET1_Import_Export!$O79+AC$54*GREET1_Import_Export!$M79+GREET1_Import_Export!$B193*GREET1_Import_Export!$G$179+GREET1_Import_Export!$G193)+BY$83*(AC$55*GREET1_Import_Export!$T79+GREET1_Import_Export!$B193*GREET1_Import_Export!$C$179+GREET1_Import_Export!$C193)+BY$84*(AC$56*GREET1_Import_Export!$W79+GREET1_Import_Export!$E229*GREET1_Import_Export!$F$215+GREET1_Import_Export!$F229)+BY$85*(AC$57*GREET1_Import_Export!$B79+AC$58*GREET1_Import_Export!$C79+AC$59*GREET1_Import_Export!$G79+AC$61*'GREET2_Factors_T&amp;D'!$F22+AC$62*'GREET2_Factors_T&amp;D'!$G22+GREET1_Import_Export!$B229)+BY$86*(AC$64*GREET1_Import_Export!$AA79+AC$65*GREET1_Import_Export!$AB79+GREET1_Import_Export!$B297)+BY$87*(GREET1_Import_Export!$B322+GREET1_Import_Export!$C322)</f>
        <v>63.498253819637384</v>
      </c>
      <c r="BZ102" s="363"/>
      <c r="CA102" s="1082"/>
      <c r="CB102" s="753">
        <f>CB$81*(AD$50*GREET1_Import_Export!$K79+GREET1_Import_Export!$B193*GREET1_Import_Export!$F$179+GREET1_Import_Export!$F193)+CB$82*(AD$52*GREET1_Import_Export!$Q79+AD$53*GREET1_Import_Export!$O79+AD$54*GREET1_Import_Export!$M79+GREET1_Import_Export!$B193*GREET1_Import_Export!$G$179+GREET1_Import_Export!$G193)+CB$83*(AD$55*GREET1_Import_Export!$T79+GREET1_Import_Export!$B193*GREET1_Import_Export!$C$179+GREET1_Import_Export!$C193)+CB$84*(AD$56*GREET1_Import_Export!$W79+GREET1_Import_Export!$E229*GREET1_Import_Export!$F$215+GREET1_Import_Export!$F229)+CB$85*(AD$57*GREET1_Import_Export!$B79+AD$58*GREET1_Import_Export!$C79+AD$59*GREET1_Import_Export!$G79+AD$61*'GREET2_Factors_T&amp;D'!$F22+AD$62*'GREET2_Factors_T&amp;D'!$G22+GREET1_Import_Export!$B229)+CB$86*(AD$64*GREET1_Import_Export!$AA79+AD$65*GREET1_Import_Export!$AB79+GREET1_Import_Export!$B297)+CB$87*(GREET1_Import_Export!$B322+GREET1_Import_Export!$C322)</f>
        <v>53.324238378833904</v>
      </c>
      <c r="CC102" s="363"/>
      <c r="CD102" s="1082"/>
      <c r="CE102" s="749">
        <f>CE$81*($AE$50*GREET1_Import_Export!$K79+GREET1_Import_Export!$F$179*GREET1_Import_Export!$B193+GREET1_Import_Export!$F193)+CE$82*(GREET1_Import_Export!$R79+GREET1_Import_Export!$H$179*GREET1_Import_Export!$B193+GREET1_Import_Export!$H193)+CE$83*(GREET1_Import_Export!$T79+GREET1_Import_Export!$C$179*GREET1_Import_Export!$B193+GREET1_Import_Export!$C193)+CE$84*(GREET1_Import_Export!$X79+GREET1_Import_Export!$B$10*(GREET1_Import_Export!$F$215*GREET1_Import_Export!$B229+GREET1_Import_Export!$F229)+GREET1_Import_Export!$C$10*(GREET1_Import_Export!$E$179*GREET1_Import_Export!$B193+GREET1_Import_Export!$E193))+CE$85*($AE$57*GREET1_Import_Export!$B79+GREET1_Import_Export!$B229)+CE$86*($AE$64 *GREET1_Import_Export!$AA79+GREET1_Import_Export!$B297)+CE$87*(GREET1_Import_Export!$B322+GREET1_Import_Export!$C322)</f>
        <v>0</v>
      </c>
      <c r="CF102" s="817"/>
      <c r="CG102" s="1321"/>
      <c r="CH102" s="1321"/>
      <c r="CI102" s="1321"/>
      <c r="CJ102" s="1321"/>
      <c r="CK102" s="1321"/>
      <c r="CL102" s="1321"/>
      <c r="CM102" s="1321"/>
      <c r="CN102" s="1321"/>
      <c r="CO102" s="1321"/>
      <c r="CP102" s="1321"/>
      <c r="CQ102" s="1321"/>
      <c r="CR102" s="1321"/>
      <c r="CS102" s="1321"/>
      <c r="CT102" s="1321"/>
      <c r="CU102" s="1321"/>
      <c r="CV102" s="1321"/>
      <c r="CW102" s="1321"/>
      <c r="CX102" s="1321"/>
      <c r="CY102" s="1321"/>
      <c r="CZ102" s="1321"/>
      <c r="DA102" s="1321"/>
      <c r="DB102" s="1321"/>
      <c r="DC102" s="1321"/>
      <c r="DD102" s="1321"/>
      <c r="DE102" s="1321"/>
      <c r="DF102" s="1321"/>
      <c r="DG102" s="1321"/>
      <c r="DH102" s="1321"/>
      <c r="DI102" s="1321"/>
      <c r="DJ102" s="1321"/>
      <c r="DK102" s="1321"/>
      <c r="DL102" s="1321"/>
      <c r="DM102" s="1321"/>
      <c r="DN102" s="1321"/>
      <c r="DO102" s="1321"/>
      <c r="DP102" s="1321"/>
      <c r="DQ102" s="1321"/>
      <c r="DR102" s="1321"/>
      <c r="DS102" s="1321"/>
      <c r="DT102" s="1321"/>
      <c r="DU102" s="1321"/>
      <c r="DV102" s="1321"/>
      <c r="DW102" s="1321"/>
      <c r="DX102" s="1321"/>
      <c r="DY102" s="1321"/>
      <c r="DZ102" s="1321"/>
      <c r="EA102" s="1321"/>
      <c r="EB102" s="1321"/>
      <c r="EC102" s="1321"/>
      <c r="ED102" s="1321"/>
      <c r="EE102" s="1321"/>
      <c r="EF102" s="1321"/>
      <c r="EG102" s="1321"/>
      <c r="EH102" s="1321"/>
      <c r="EI102" s="1321"/>
      <c r="EJ102" s="1321"/>
      <c r="EK102" s="1321"/>
      <c r="EL102" s="1321"/>
      <c r="EM102" s="1321"/>
      <c r="EN102" s="1321"/>
      <c r="EO102" s="1321"/>
      <c r="EP102" s="1321"/>
      <c r="EQ102" s="1321"/>
      <c r="ER102" s="1321"/>
      <c r="ES102" s="1321"/>
      <c r="ET102" s="1321"/>
      <c r="EU102" s="1321"/>
      <c r="EV102" s="1321"/>
      <c r="EW102" s="1321"/>
      <c r="EX102" s="1321"/>
      <c r="EY102" s="1321"/>
      <c r="EZ102" s="1321"/>
      <c r="FA102" s="1321"/>
      <c r="FB102" s="1321"/>
    </row>
    <row r="103" spans="1:158">
      <c r="A103" s="291" t="s">
        <v>829</v>
      </c>
      <c r="B103" s="234">
        <f>B$81*(B$50*GREET1_Import_Export!$K80+GREET1_Import_Export!$B194*GREET1_Import_Export!$F$179+GREET1_Import_Export!$F194)+B$82*(B$52*GREET1_Import_Export!$Q80+B$53*GREET1_Import_Export!$O80+B$54*GREET1_Import_Export!$M80+GREET1_Import_Export!$B194*GREET1_Import_Export!$G$179+GREET1_Import_Export!$G194)+B$83*(B$55*GREET1_Import_Export!$T80+GREET1_Import_Export!$B194*GREET1_Import_Export!$C$179+GREET1_Import_Export!$C194)+B$84*(B$56*GREET1_Import_Export!$W80+GREET1_Import_Export!$E230*GREET1_Import_Export!$F$215+GREET1_Import_Export!$F230)+B$85*(B$57*GREET1_Import_Export!$B80+B$58*GREET1_Import_Export!$C80+B$59*GREET1_Import_Export!$G80+B$61*'GREET2_Factors_T&amp;D'!$F23+B$62*'GREET2_Factors_T&amp;D'!$G23+GREET1_Import_Export!$B230)+B$86*(B$64*GREET1_Import_Export!$AA80+B$65*GREET1_Import_Export!$AB80+GREET1_Import_Export!$B298)+B$87*SUM(GREET1_Import_Export!$B323:$C323)</f>
        <v>0</v>
      </c>
      <c r="C103" s="489"/>
      <c r="D103" s="235"/>
      <c r="E103" s="234">
        <f>E$81*(C$50*GREET1_Import_Export!$K80+GREET1_Import_Export!$B194*GREET1_Import_Export!$F$179+GREET1_Import_Export!$F194)+E$82*(C$52*GREET1_Import_Export!$Q80+C$53*GREET1_Import_Export!$O80+C$54*GREET1_Import_Export!$M80+GREET1_Import_Export!$B194*GREET1_Import_Export!$G$179+GREET1_Import_Export!$G194)+E$83*(C$55*GREET1_Import_Export!$T80+GREET1_Import_Export!$B194*GREET1_Import_Export!$C$179+GREET1_Import_Export!$C194)+E$84*(C$56*GREET1_Import_Export!$W80+GREET1_Import_Export!$E230*GREET1_Import_Export!$F$215+GREET1_Import_Export!$F230)+E$85*(C$57*GREET1_Import_Export!$B80+C$58*GREET1_Import_Export!$C80+C$59*GREET1_Import_Export!$G80+C$61*'GREET2_Factors_T&amp;D'!$F23+C$62*'GREET2_Factors_T&amp;D'!$G23+GREET1_Import_Export!$B230)+E$86*(C$64*GREET1_Import_Export!$AA80+C$65*GREET1_Import_Export!$AB80+GREET1_Import_Export!$B298)+E$87*SUM(GREET1_Import_Export!$B323:$C323)</f>
        <v>0</v>
      </c>
      <c r="F103" s="489"/>
      <c r="G103" s="235"/>
      <c r="H103" s="234">
        <f>H$81*(D$50*GREET1_Import_Export!$K80+GREET1_Import_Export!$B194*GREET1_Import_Export!$F$179+GREET1_Import_Export!$F194)+H$82*(D$52*GREET1_Import_Export!$Q80+D$53*GREET1_Import_Export!$O80+D$54*GREET1_Import_Export!$M80+GREET1_Import_Export!$B194*GREET1_Import_Export!$G$179+GREET1_Import_Export!$G194)+H$83*(D$55*GREET1_Import_Export!$T80+GREET1_Import_Export!$B194*GREET1_Import_Export!$C$179+GREET1_Import_Export!$C194)+H$84*(D$56*GREET1_Import_Export!$W80+GREET1_Import_Export!$E230*GREET1_Import_Export!$F$215+GREET1_Import_Export!$F230)+H$85*(D$57*GREET1_Import_Export!$B80+D$58*GREET1_Import_Export!$C80+D$59*GREET1_Import_Export!$G80+D$61*'GREET2_Factors_T&amp;D'!$F23+D$62*'GREET2_Factors_T&amp;D'!$G23+GREET1_Import_Export!$B230)+H$86*(D$64*GREET1_Import_Export!$AA80+D$65*GREET1_Import_Export!$AB80+GREET1_Import_Export!$B298)+H$87*SUM(GREET1_Import_Export!$B323:$C323)</f>
        <v>8396.4273420546688</v>
      </c>
      <c r="I103" s="489"/>
      <c r="J103" s="235"/>
      <c r="K103" s="234">
        <f>K$81*(E$50*GREET1_Import_Export!$K80+GREET1_Import_Export!$B194*GREET1_Import_Export!$F$179+GREET1_Import_Export!$F194)+K$82*(E$52*GREET1_Import_Export!$Q80+E$53*GREET1_Import_Export!$O80+E$54*GREET1_Import_Export!$M80+GREET1_Import_Export!$B194*GREET1_Import_Export!$G$179+GREET1_Import_Export!$G194)+K$83*(E$55*GREET1_Import_Export!$T80+GREET1_Import_Export!$B194*GREET1_Import_Export!$C$179+GREET1_Import_Export!$C194)+K$84*(E$56*GREET1_Import_Export!$W80+GREET1_Import_Export!$E230*GREET1_Import_Export!$F$215+GREET1_Import_Export!$F230)+K$85*(E$57*GREET1_Import_Export!$B80+E$58*GREET1_Import_Export!$C80+E$59*GREET1_Import_Export!$G80+E$61*'GREET2_Factors_T&amp;D'!$F23+E$62*'GREET2_Factors_T&amp;D'!$G23+GREET1_Import_Export!$B230)+K$86*(E$64*GREET1_Import_Export!$AA80+E$65*GREET1_Import_Export!$AB80+GREET1_Import_Export!$B298)+K$87*SUM(GREET1_Import_Export!$B323:$C323)</f>
        <v>5805.2929003313102</v>
      </c>
      <c r="L103" s="489"/>
      <c r="M103" s="235"/>
      <c r="N103" s="234">
        <f>N$81*(F$50*GREET1_Import_Export!$K80+GREET1_Import_Export!$B194*GREET1_Import_Export!$F$179+GREET1_Import_Export!$F194)+N$82*(F$52*GREET1_Import_Export!$Q80+F$53*GREET1_Import_Export!$O80+F$54*GREET1_Import_Export!$M80+GREET1_Import_Export!$B194*GREET1_Import_Export!$G$179+GREET1_Import_Export!$G194)+N$83*(F$55*GREET1_Import_Export!$T80+GREET1_Import_Export!$B194*GREET1_Import_Export!$C$179+GREET1_Import_Export!$C194)+N$84*(F$56*GREET1_Import_Export!$W80+GREET1_Import_Export!$E230*GREET1_Import_Export!$F$215+GREET1_Import_Export!$F230)+N$85*(F$57*GREET1_Import_Export!$B80+F$58*GREET1_Import_Export!$C80+F$59*GREET1_Import_Export!$G80+F$61*'GREET2_Factors_T&amp;D'!$F23+F$62*'GREET2_Factors_T&amp;D'!$G23+GREET1_Import_Export!$B230)+N$86*(F$64*GREET1_Import_Export!$AA80+F$65*GREET1_Import_Export!$AB80+GREET1_Import_Export!$B298)+N$87*SUM(GREET1_Import_Export!$B323:$C323)</f>
        <v>8396.4273420546688</v>
      </c>
      <c r="O103" s="489"/>
      <c r="P103" s="235"/>
      <c r="Q103" s="578">
        <f>Q$81*(G$50*GREET1_Import_Export!$K80+GREET1_Import_Export!$B194*GREET1_Import_Export!$F$179+GREET1_Import_Export!$F194)+Q$82*(G$52*GREET1_Import_Export!$Q80+G$53*GREET1_Import_Export!$O80+G$54*GREET1_Import_Export!$M80+GREET1_Import_Export!$B194*GREET1_Import_Export!$G$179+GREET1_Import_Export!$G194)+Q$83*(G$55*GREET1_Import_Export!$T80+GREET1_Import_Export!$B194*GREET1_Import_Export!$C$179+GREET1_Import_Export!$C194)+Q$84*(G$56*GREET1_Import_Export!$W80+GREET1_Import_Export!$E230*GREET1_Import_Export!$F$215+GREET1_Import_Export!$F230)+Q$85*(G$57*GREET1_Import_Export!$B80+G$58*GREET1_Import_Export!$C80+G$59*GREET1_Import_Export!$G80+G$61*'GREET2_Factors_T&amp;D'!$F23+G$62*'GREET2_Factors_T&amp;D'!$G23+GREET1_Import_Export!$B230)+Q$86*(G$64*GREET1_Import_Export!$AA80+G$65*GREET1_Import_Export!$AB80+GREET1_Import_Export!$B298)
+Q$87*($B$46*(GREET1_Import_Export!$B323+GREET1_Import_Export!$C323)+$C$46*GREET1_Import_Export!L356+$D$46*GREET1_Import_Export!H356+$E$46*GREET1_Import_Export!Q356+$F$46*GREET1_Import_Export!R356+SUMPRODUCT($G$46:$I$46,GREET1_Import_Export!N356:P356))</f>
        <v>5805.2929003313102</v>
      </c>
      <c r="R103" s="489"/>
      <c r="S103" s="235"/>
      <c r="T103" s="578">
        <f>T$81*(H$50*GREET1_Import_Export!$K80+GREET1_Import_Export!$B194*GREET1_Import_Export!$F$179+GREET1_Import_Export!$F194)+T$82*(H$52*GREET1_Import_Export!$Q80+H$53*GREET1_Import_Export!$O80+H$54*GREET1_Import_Export!$M80+GREET1_Import_Export!$B194*GREET1_Import_Export!$G$179+GREET1_Import_Export!$G194)+T$83*(H$55*GREET1_Import_Export!$T80+GREET1_Import_Export!$B194*GREET1_Import_Export!$C$179+GREET1_Import_Export!$C194)+T$84*(H$56*GREET1_Import_Export!$W80+GREET1_Import_Export!$E230*GREET1_Import_Export!$F$215+GREET1_Import_Export!$F230)+T$85*(H$57*GREET1_Import_Export!$B80+H$58*GREET1_Import_Export!$C80+H$59*GREET1_Import_Export!$G80+H$61*'GREET2_Factors_T&amp;D'!$F23+H$62*'GREET2_Factors_T&amp;D'!$G23+GREET1_Import_Export!$B230)+T$86*(H$64*GREET1_Import_Export!$AA80+H$65*GREET1_Import_Export!$AB80+GREET1_Import_Export!$B298)+T$87*SUM(GREET1_Import_Export!$B323:$C323)</f>
        <v>8396.4273420546688</v>
      </c>
      <c r="U103" s="489"/>
      <c r="V103" s="235"/>
      <c r="W103" s="578">
        <f>W$81*(BS$50*GREET1_Import_Export!$K80+GREET1_Import_Export!$B194*GREET1_Import_Export!$F$179+GREET1_Import_Export!$F194)+W$82*(BS$52*GREET1_Import_Export!$Q80+BS$53*GREET1_Import_Export!$O80+BS$54*GREET1_Import_Export!$M80+GREET1_Import_Export!$B194*GREET1_Import_Export!$G$179+GREET1_Import_Export!$G194)+W$83*(BS$55*GREET1_Import_Export!$T80+GREET1_Import_Export!$B194*GREET1_Import_Export!$C$179+GREET1_Import_Export!$C194)+W$84*(BS$56*GREET1_Import_Export!$W80+GREET1_Import_Export!$E230*GREET1_Import_Export!$F$215+GREET1_Import_Export!$F230)+W$85*(BS$57*GREET1_Import_Export!$B80+BS$58*GREET1_Import_Export!$C80+BS$59*GREET1_Import_Export!$G80+BS$61*'GREET2_Factors_T&amp;D'!$F23+BS$62*'GREET2_Factors_T&amp;D'!$G23+GREET1_Import_Export!$B230)+W$86*(BS$64*GREET1_Import_Export!$AA80+BS$65*GREET1_Import_Export!$AB80+GREET1_Import_Export!$B298)+W$87*($B$46*(GREET1_Import_Export!$B323+GREET1_Import_Export!$C323)+$C$46*GREET1_Import_Export!L356+$D$46*GREET1_Import_Export!H356+$E$46*GREET1_Import_Export!Q356+$F$46*GREET1_Import_Export!R356+SUMPRODUCT($G$46:$I$46,GREET1_Import_Export!N356:P356))</f>
        <v>5805.2929003313102</v>
      </c>
      <c r="X103" s="489"/>
      <c r="Y103" s="235"/>
      <c r="Z103" s="234">
        <f>Z$81*(J$50*GREET1_Import_Export!$K80+GREET1_Import_Export!$B194*GREET1_Import_Export!$F$179+GREET1_Import_Export!$F194)+Z$82*(J$52*GREET1_Import_Export!$Q80+J$53*GREET1_Import_Export!$O80+J$54*GREET1_Import_Export!$M80+GREET1_Import_Export!$B194*GREET1_Import_Export!$G$179+GREET1_Import_Export!$G194)+Z$83*(J$55*GREET1_Import_Export!$T80+GREET1_Import_Export!$B194*GREET1_Import_Export!$C$179+GREET1_Import_Export!$C194)+Z$84*(J$56*GREET1_Import_Export!$W80+GREET1_Import_Export!$E230*GREET1_Import_Export!$F$215+GREET1_Import_Export!$F230)+Z$85*(J$57*GREET1_Import_Export!$B80+J$58*GREET1_Import_Export!$C80+J$59*GREET1_Import_Export!$G80+J$61*'GREET2_Factors_T&amp;D'!$F23+J$62*'GREET2_Factors_T&amp;D'!$G23+GREET1_Import_Export!$B230)+Z$86*(J$64*GREET1_Import_Export!$AA80+J$65*GREET1_Import_Export!$AB80+GREET1_Import_Export!$B298)+Z$87*SUM(GREET1_Import_Export!$B323:$C323)</f>
        <v>8396.4273420546688</v>
      </c>
      <c r="AA103" s="489"/>
      <c r="AB103" s="235"/>
      <c r="AC103" s="578">
        <f>AC$81*(K$50*GREET1_Import_Export!$K80+GREET1_Import_Export!$B194*GREET1_Import_Export!$F$179+GREET1_Import_Export!$F194)+AC$82*(K$52*GREET1_Import_Export!$Q80+K$53*GREET1_Import_Export!$O80+K$54*GREET1_Import_Export!$M80+GREET1_Import_Export!$B194*GREET1_Import_Export!$G$179+GREET1_Import_Export!$G194)+AC$83*(K$55*GREET1_Import_Export!$T80+GREET1_Import_Export!$B194*GREET1_Import_Export!$C$179+GREET1_Import_Export!$C194)+AC$84*(K$56*GREET1_Import_Export!$W80+GREET1_Import_Export!$E230*GREET1_Import_Export!$F$215+GREET1_Import_Export!$F230)+AC$85*(K$57*GREET1_Import_Export!$B80+K$58*GREET1_Import_Export!$C80+K$59*GREET1_Import_Export!$G80+K$61*'GREET2_Factors_T&amp;D'!$F23+K$62*'GREET2_Factors_T&amp;D'!$G23+GREET1_Import_Export!$B230)+AC$86*(K$64*GREET1_Import_Export!$AA80+K$65*GREET1_Import_Export!$AB80+GREET1_Import_Export!$B298)+AC$87*($B$46*(GREET1_Import_Export!$B323+GREET1_Import_Export!$C323)+$C$46*GREET1_Import_Export!L356+$D$46*GREET1_Import_Export!H356+$E$46*GREET1_Import_Export!Q356+$F$46*GREET1_Import_Export!R356+SUMPRODUCT($G$46:$I$46,GREET1_Import_Export!N356:P356))</f>
        <v>5805.2929003313102</v>
      </c>
      <c r="AD103" s="489"/>
      <c r="AE103" s="235"/>
      <c r="AF103" s="234">
        <f>AF$81*(L$50*GREET1_Import_Export!$K80+GREET1_Import_Export!$B194*GREET1_Import_Export!$F$179+GREET1_Import_Export!$F194)+AF$82*(L$52*GREET1_Import_Export!$Q80+L$53*GREET1_Import_Export!$O80+L$54*GREET1_Import_Export!$M80+GREET1_Import_Export!$B194*GREET1_Import_Export!$G$179+GREET1_Import_Export!$G194)+AF$83*(L$55*GREET1_Import_Export!$T80+GREET1_Import_Export!$B194*GREET1_Import_Export!$C$179+GREET1_Import_Export!$C194)+AF$84*(L$56*GREET1_Import_Export!$W80+GREET1_Import_Export!$E230*GREET1_Import_Export!$F$215+GREET1_Import_Export!$F230)+AF$85*(L$57*GREET1_Import_Export!$B80+L$58*GREET1_Import_Export!$C80+L$59*GREET1_Import_Export!$G80+L$61*'GREET2_Factors_T&amp;D'!$F23+L$62*'GREET2_Factors_T&amp;D'!$G23+GREET1_Import_Export!$B230)+AF$86*(L$64*GREET1_Import_Export!$AA80+L$65*GREET1_Import_Export!$AB80+GREET1_Import_Export!$B298)+AF$87*SUM(GREET1_Import_Export!$B323:$C323)</f>
        <v>8396.4273420546688</v>
      </c>
      <c r="AG103" s="489"/>
      <c r="AH103" s="478"/>
      <c r="AI103" s="578">
        <f>AI$81*(M$50*GREET1_Import_Export!$K80+GREET1_Import_Export!$B194*GREET1_Import_Export!$F$179+GREET1_Import_Export!$F194)+AI$82*(M$52*GREET1_Import_Export!$Q80+M$53*GREET1_Import_Export!$O80+M$54*GREET1_Import_Export!$M80+GREET1_Import_Export!$B194*GREET1_Import_Export!$G$179+GREET1_Import_Export!$G194)+AI$83*(M$55*GREET1_Import_Export!$T80+GREET1_Import_Export!$B194*GREET1_Import_Export!$C$179+GREET1_Import_Export!$C194)+AI$84*(M$56*GREET1_Import_Export!$W80+GREET1_Import_Export!$E230*GREET1_Import_Export!$F$215+GREET1_Import_Export!$F230)+AI$85*(M$57*GREET1_Import_Export!$B80+M$58*GREET1_Import_Export!$C80+M$59*GREET1_Import_Export!$G80+M$61*'GREET2_Factors_T&amp;D'!$F23+M$62*'GREET2_Factors_T&amp;D'!$G23+GREET1_Import_Export!$B230)+AI$86*(M$64*GREET1_Import_Export!$AA80+M$65*GREET1_Import_Export!$AB80+GREET1_Import_Export!$B298)+AI$87*($B$46*(GREET1_Import_Export!$B323+GREET1_Import_Export!$C323)+$C$46*GREET1_Import_Export!L356+$D$46*GREET1_Import_Export!H356+$E$46*GREET1_Import_Export!Q356+$F$46*GREET1_Import_Export!R356+SUMPRODUCT($G$46:$I$46,GREET1_Import_Export!N356:P356))</f>
        <v>6634.6204575214924</v>
      </c>
      <c r="AJ103" s="489"/>
      <c r="AK103" s="235"/>
      <c r="AL103" s="234">
        <f>AL$81*(N$50*GREET1_Import_Export!$K80+GREET1_Import_Export!$B194*GREET1_Import_Export!$F$179+GREET1_Import_Export!$F194)+AL$82*(N$52*GREET1_Import_Export!$Q80+N$53*GREET1_Import_Export!$O80+N$54*GREET1_Import_Export!$M80+GREET1_Import_Export!$B194*GREET1_Import_Export!$G$179+GREET1_Import_Export!$G194)+AL$83*(N$55*GREET1_Import_Export!$T80+GREET1_Import_Export!$B194*GREET1_Import_Export!$C$179+GREET1_Import_Export!$C194)+AL$84*(N$56*GREET1_Import_Export!$W80+GREET1_Import_Export!$E230*GREET1_Import_Export!$F$215+GREET1_Import_Export!$F230)+AL$85*(N$57*GREET1_Import_Export!$B80+N$58*GREET1_Import_Export!$C80+N$59*GREET1_Import_Export!$G80+N$61*'GREET2_Factors_T&amp;D'!$F23+N$62*'GREET2_Factors_T&amp;D'!$G23+GREET1_Import_Export!$B230)+AL$86*(N$64*GREET1_Import_Export!$AA80+N$65*GREET1_Import_Export!$AB80+GREET1_Import_Export!$B298)+AL$87*SUM(GREET1_Import_Export!$B323:$C323)</f>
        <v>6900.9324623992625</v>
      </c>
      <c r="AM103" s="489"/>
      <c r="AN103" s="235"/>
      <c r="AO103" s="234">
        <f>AO$81*(O$50*GREET1_Import_Export!$K80+GREET1_Import_Export!$B194*GREET1_Import_Export!$F$179+GREET1_Import_Export!$F194)+AO$82*(O$52*GREET1_Import_Export!$Q80+O$53*GREET1_Import_Export!$O80+O$54*GREET1_Import_Export!$M80+GREET1_Import_Export!$B194*GREET1_Import_Export!$G$179+GREET1_Import_Export!$G194)+AO$83*(O$55*GREET1_Import_Export!$T80+GREET1_Import_Export!$B194*GREET1_Import_Export!$C$179+GREET1_Import_Export!$C194)+AO$84*(O$56*GREET1_Import_Export!$W80+GREET1_Import_Export!$E230*GREET1_Import_Export!$F$215+GREET1_Import_Export!$F230)+AO$85*(O$57*GREET1_Import_Export!$B80+O$58*GREET1_Import_Export!$C80+O$59*GREET1_Import_Export!$G80+O$61*'GREET2_Factors_T&amp;D'!$F23+O$62*'GREET2_Factors_T&amp;D'!$G23+GREET1_Import_Export!$B230)+AO$86*(O$64*GREET1_Import_Export!$AA80+O$65*GREET1_Import_Export!$AB80+GREET1_Import_Export!$B298)+AO$87*SUM(GREET1_Import_Export!$B323:$C323)</f>
        <v>6283.2620157919227</v>
      </c>
      <c r="AP103" s="489"/>
      <c r="AQ103" s="235"/>
      <c r="AR103" s="234">
        <f>AR$81*(P$50*GREET1_Import_Export!$K80+GREET1_Import_Export!$B194*GREET1_Import_Export!$F$179+GREET1_Import_Export!$F194)+AR$82*(P$52*GREET1_Import_Export!$Q80+P$53*GREET1_Import_Export!$O80+P$54*GREET1_Import_Export!$M80+GREET1_Import_Export!$B194*GREET1_Import_Export!$G$179+GREET1_Import_Export!$G194)+AR$83*(P$55*GREET1_Import_Export!$T80+GREET1_Import_Export!$B194*GREET1_Import_Export!$C$179+GREET1_Import_Export!$C194)+AR$84*(P$56*GREET1_Import_Export!$W80+GREET1_Import_Export!$E230*GREET1_Import_Export!$F$215+GREET1_Import_Export!$F230)+AR$85*(P$57*GREET1_Import_Export!$B80+P$58*GREET1_Import_Export!$C80+P$59*GREET1_Import_Export!$G80+P$61*'GREET2_Factors_T&amp;D'!$F23+P$62*'GREET2_Factors_T&amp;D'!$G23+GREET1_Import_Export!$B230)+AR$86*(P$64*GREET1_Import_Export!$AA80+P$65*GREET1_Import_Export!$AB80+GREET1_Import_Export!$B298)+AR$87*SUM(GREET1_Import_Export!$B323:$C323)</f>
        <v>6831.6581531559605</v>
      </c>
      <c r="AS103" s="489"/>
      <c r="AT103" s="235"/>
      <c r="AU103" s="234">
        <f>AU$81*(Q$50*GREET1_Import_Export!$K80+GREET1_Import_Export!$B194*GREET1_Import_Export!$F$179+GREET1_Import_Export!$F194)+AU$82*(Q$52*GREET1_Import_Export!$Q80+Q$53*GREET1_Import_Export!$O80+Q$54*GREET1_Import_Export!$M80+GREET1_Import_Export!$B194*GREET1_Import_Export!$G$179+GREET1_Import_Export!$G194)+AU$83*(Q$55*GREET1_Import_Export!$T80+GREET1_Import_Export!$B194*GREET1_Import_Export!$C$179+GREET1_Import_Export!$C194)+AU$84*(Q$56*GREET1_Import_Export!$W80+GREET1_Import_Export!$E230*GREET1_Import_Export!$F$215+GREET1_Import_Export!$F230)+AU$85*(Q$57*GREET1_Import_Export!$B80+Q$58*GREET1_Import_Export!$C80+Q$59*GREET1_Import_Export!$G80+Q$61*'GREET2_Factors_T&amp;D'!$F23+Q$62*'GREET2_Factors_T&amp;D'!$G23+GREET1_Import_Export!$B230)+AU$86*(Q$64*GREET1_Import_Export!$AA80+Q$65*GREET1_Import_Export!$AB80+GREET1_Import_Export!$B298)+AU$87*SUM(GREET1_Import_Export!$B323:$C323)</f>
        <v>1929.1370838609289</v>
      </c>
      <c r="AV103" s="489"/>
      <c r="AW103" s="235"/>
      <c r="AX103" s="234">
        <f>AX$81*(R$50*GREET1_Import_Export!$K80+GREET1_Import_Export!$B194*GREET1_Import_Export!$F$179+GREET1_Import_Export!$F194)+AX$82*(R$52*GREET1_Import_Export!$Q80+R$53*GREET1_Import_Export!$O80+R$54*GREET1_Import_Export!$M80+GREET1_Import_Export!$B194*GREET1_Import_Export!$G$179+GREET1_Import_Export!$G194)+AX$83*(R$55*GREET1_Import_Export!$T80+GREET1_Import_Export!$B194*GREET1_Import_Export!$C$179+GREET1_Import_Export!$C194)+AX$84*(R$56*GREET1_Import_Export!$W80+GREET1_Import_Export!$E230*GREET1_Import_Export!$F$215+GREET1_Import_Export!$F230)+AX$85*(R$57*GREET1_Import_Export!$B80+R$58*GREET1_Import_Export!$C80+R$59*GREET1_Import_Export!$G80+R$61*'GREET2_Factors_T&amp;D'!$F23+R$62*'GREET2_Factors_T&amp;D'!$G23+GREET1_Import_Export!$B230)+AX$86*(R$64*GREET1_Import_Export!$AA80+R$65*GREET1_Import_Export!$AB80+GREET1_Import_Export!$B298)+AX$87*SUM(GREET1_Import_Export!$B323:$C323)</f>
        <v>598.45409478719603</v>
      </c>
      <c r="AY103" s="489"/>
      <c r="AZ103" s="235"/>
      <c r="BA103" s="234">
        <f>BA$81*(S$50*GREET1_Import_Export!$K80+GREET1_Import_Export!$B194*GREET1_Import_Export!$F$179+GREET1_Import_Export!$F194)+BA$82*(S$52*GREET1_Import_Export!$Q80+S$53*GREET1_Import_Export!$O80+S$54*GREET1_Import_Export!$M80+GREET1_Import_Export!$B194*GREET1_Import_Export!$G$179+GREET1_Import_Export!$G194)+BA$83*(S$55*GREET1_Import_Export!$T80+GREET1_Import_Export!$B194*GREET1_Import_Export!$C$179+GREET1_Import_Export!$C194)+BA$84*(S$56*GREET1_Import_Export!$W80+GREET1_Import_Export!$E230*GREET1_Import_Export!$F$215+GREET1_Import_Export!$F230)+BA$85*(S$57*GREET1_Import_Export!$B80+S$58*GREET1_Import_Export!$C80+S$59*GREET1_Import_Export!$G80+S$61*'GREET2_Factors_T&amp;D'!$F23+S$62*'GREET2_Factors_T&amp;D'!$G23+GREET1_Import_Export!$B230)+BA$86*(S$64*GREET1_Import_Export!$AA80+S$65*GREET1_Import_Export!$AB80+GREET1_Import_Export!$B298)+BA$87*SUM(GREET1_Import_Export!$B323:$C323)</f>
        <v>4975.9653431411261</v>
      </c>
      <c r="BB103" s="489"/>
      <c r="BC103" s="235"/>
      <c r="BD103" s="578">
        <f>BD$81*(T$50*GREET1_Import_Export!$K80+GREET1_Import_Export!$B194*GREET1_Import_Export!$F$179+GREET1_Import_Export!$F194)+BD$82*(T$52*GREET1_Import_Export!$Q80+T$53*GREET1_Import_Export!$O80+T$54*GREET1_Import_Export!$M80+GREET1_Import_Export!$B194*GREET1_Import_Export!$G$179+GREET1_Import_Export!$G194)+BD$83*(T$55*GREET1_Import_Export!$T80+GREET1_Import_Export!$B194*GREET1_Import_Export!$C$179+GREET1_Import_Export!$C194)+BD$84*(T$56*GREET1_Import_Export!$W80+GREET1_Import_Export!$E230*GREET1_Import_Export!$F$215+GREET1_Import_Export!$F230)+BD$85*(T$57*GREET1_Import_Export!$B80+T$58*GREET1_Import_Export!$C80+T$59*GREET1_Import_Export!$G80+T$61*'GREET2_Factors_T&amp;D'!$F23+T$62*'GREET2_Factors_T&amp;D'!$G23+GREET1_Import_Export!$B230)+BD$86*(T$64*GREET1_Import_Export!$AA80+T$65*GREET1_Import_Export!$AB80+GREET1_Import_Export!$B298)+BD$87*SUM(GREET1_Import_Export!$B323:$C323)</f>
        <v>4018.5027779414991</v>
      </c>
      <c r="BE103" s="489"/>
      <c r="BF103" s="478"/>
      <c r="BG103" s="578">
        <f>BG$81*(U$50*GREET1_Import_Export!$K80+GREET1_Import_Export!$B194*GREET1_Import_Export!$F$179+GREET1_Import_Export!$F194)+BG$82*(U$52*GREET1_Import_Export!$Q80+U$53*GREET1_Import_Export!$O80+U$54*GREET1_Import_Export!$M80+GREET1_Import_Export!$B194*GREET1_Import_Export!$G$179+GREET1_Import_Export!$G194)+BG$83*(U$55*GREET1_Import_Export!$T80+GREET1_Import_Export!$B194*GREET1_Import_Export!$C$179+GREET1_Import_Export!$C194)+BG$84*(U$56*GREET1_Import_Export!$W80+GREET1_Import_Export!$E230*GREET1_Import_Export!$F$215+GREET1_Import_Export!$F230)+BG$85*(U$57*GREET1_Import_Export!$B80+U$58*GREET1_Import_Export!$C80+U$59*GREET1_Import_Export!$G80+U$61*'GREET2_Factors_T&amp;D'!$F23+U$62*'GREET2_Factors_T&amp;D'!$G23+GREET1_Import_Export!$B230)+BG$86*(U$64*GREET1_Import_Export!$AA80+U$65*GREET1_Import_Export!$AB80+GREET1_Import_Export!$B298)+BG$87*SUM(GREET1_Import_Export!$B323:$C323)</f>
        <v>6335.3730962873306</v>
      </c>
      <c r="BH103" s="489"/>
      <c r="BI103" s="478"/>
      <c r="BJ103" s="578">
        <f>BJ$81*(V$50*GREET1_Import_Export!$K80+GREET1_Import_Export!$B194*GREET1_Import_Export!$F$179+GREET1_Import_Export!$F194)+BJ$82*(V$52*GREET1_Import_Export!$Q80+V$53*GREET1_Import_Export!$O80+V$54*GREET1_Import_Export!$M80+GREET1_Import_Export!$B194*GREET1_Import_Export!$G$179+GREET1_Import_Export!$G194)+BJ$83*(V$55*GREET1_Import_Export!$T80+GREET1_Import_Export!$B194*GREET1_Import_Export!$C$179+GREET1_Import_Export!$C194)+BJ$84*(V$56*GREET1_Import_Export!$W80+GREET1_Import_Export!$E230*GREET1_Import_Export!$F$215+GREET1_Import_Export!$F230)+BJ$85*(V$57*GREET1_Import_Export!$B80+V$58*GREET1_Import_Export!$C80+V$59*GREET1_Import_Export!$G80+V$61*'GREET2_Factors_T&amp;D'!$F23+V$62*'GREET2_Factors_T&amp;D'!$G23+GREET1_Import_Export!$B230)+BJ$86*(V$64*GREET1_Import_Export!$AA80+V$65*GREET1_Import_Export!$AB80+GREET1_Import_Export!$B298)+BJ$87*SUM(GREET1_Import_Export!$B323:$C323)</f>
        <v>678.14117036037874</v>
      </c>
      <c r="BK103" s="489"/>
      <c r="BL103" s="478"/>
      <c r="BM103" s="578">
        <f>BM$81*(X$50*GREET1_Import_Export!$K80+GREET1_Import_Export!$B194*GREET1_Import_Export!$F$179+GREET1_Import_Export!$F194)+BM$82*(X$52*GREET1_Import_Export!$Q80+X$53*GREET1_Import_Export!$O80+X$54*GREET1_Import_Export!$M80+GREET1_Import_Export!$B194*GREET1_Import_Export!$G$179+GREET1_Import_Export!$G194)+BM$83*(X$55*GREET1_Import_Export!$T80+GREET1_Import_Export!$B194*GREET1_Import_Export!$C$179+GREET1_Import_Export!$C194)+BM$84*(X$56*GREET1_Import_Export!$W80+GREET1_Import_Export!$E230*GREET1_Import_Export!$F$215+GREET1_Import_Export!$F230)+BM$85*(X$57*GREET1_Import_Export!$B80+X$58*GREET1_Import_Export!$C80+X$59*GREET1_Import_Export!$G80+X$61*'GREET2_Factors_T&amp;D'!$F23+X$62*'GREET2_Factors_T&amp;D'!$G23+GREET1_Import_Export!$B230)+BM$86*(X$64*GREET1_Import_Export!$AA80+X$65*GREET1_Import_Export!$AB80+GREET1_Import_Export!$B298)+BM$87*SUM(GREET1_Import_Export!$B323:$C323)</f>
        <v>138.22840849595005</v>
      </c>
      <c r="BN103" s="489"/>
      <c r="BO103" s="478"/>
      <c r="BP103" s="234">
        <f>BP$81*(Z$50*GREET1_Import_Export!$K80+GREET1_Import_Export!$B194*GREET1_Import_Export!$F$179+GREET1_Import_Export!$F194)+BP$82*(Z$52*GREET1_Import_Export!$Q80+Z$53*GREET1_Import_Export!$O80+Z$54*GREET1_Import_Export!$M80+GREET1_Import_Export!$B194*GREET1_Import_Export!$G$179+GREET1_Import_Export!$G194)+BP$83*(Z$55*GREET1_Import_Export!$T80+GREET1_Import_Export!$B194*GREET1_Import_Export!$C$179+GREET1_Import_Export!$C194)+BP$84*(Z$56*GREET1_Import_Export!$W80+GREET1_Import_Export!$E230*GREET1_Import_Export!$F$215+GREET1_Import_Export!$F230)+BP$85*(Z$57*GREET1_Import_Export!$B80+Z$58*GREET1_Import_Export!$C80+Z$59*GREET1_Import_Export!$G80+Z$61*'GREET2_Factors_T&amp;D'!$F23+Z$62*'GREET2_Factors_T&amp;D'!$G23+GREET1_Import_Export!$B230)+BP$86*(Z$64*GREET1_Import_Export!$AA80+Z$65*GREET1_Import_Export!$AB80+GREET1_Import_Export!$B298)+BP$87*SUM(GREET1_Import_Export!$B323:$C323)</f>
        <v>0</v>
      </c>
      <c r="BQ103" s="489"/>
      <c r="BR103" s="235"/>
      <c r="BS103" s="753">
        <f>BS$81*(AA$50*GREET1_Import_Export!$K80+GREET1_Import_Export!$B194*GREET1_Import_Export!$F$179+GREET1_Import_Export!$F194)+BS$82*(AA$52*GREET1_Import_Export!$Q80+AA$53*GREET1_Import_Export!$O80+AA$54*GREET1_Import_Export!$M80+GREET1_Import_Export!$B194*GREET1_Import_Export!$G$179+GREET1_Import_Export!$G194)+BS$83*(AA$55*GREET1_Import_Export!$T80+GREET1_Import_Export!$B194*GREET1_Import_Export!$C$179+GREET1_Import_Export!$C194)+BS$84*(AA$56*GREET1_Import_Export!$W80+GREET1_Import_Export!$E230*GREET1_Import_Export!$F$215+GREET1_Import_Export!$F230)+BS$85*(AA$57*GREET1_Import_Export!$B80+AA$58*GREET1_Import_Export!$C80+AA$59*GREET1_Import_Export!$G80+AA$61*'GREET2_Factors_T&amp;D'!$F23+AA$62*'GREET2_Factors_T&amp;D'!$G23+GREET1_Import_Export!$B230)+BS$86*(AA$64*GREET1_Import_Export!$AA80+AA$65*GREET1_Import_Export!$AB80+GREET1_Import_Export!$B298)+BS$87*(GREET1_Import_Export!$B323+GREET1_Import_Export!$C323)</f>
        <v>66.975046299024982</v>
      </c>
      <c r="BT103" s="363"/>
      <c r="BU103" s="1082"/>
      <c r="BV103" s="753">
        <f>BV$81*(AB$50*GREET1_Import_Export!$K80+GREET1_Import_Export!$B194*GREET1_Import_Export!$F$179+GREET1_Import_Export!$F194)+BV$82*(AB$52*GREET1_Import_Export!$Q80+AB$53*GREET1_Import_Export!$O80+AB$54*GREET1_Import_Export!$M80+GREET1_Import_Export!$B194*GREET1_Import_Export!$G$179+GREET1_Import_Export!$G194)+BV$83*(AB$55*GREET1_Import_Export!$T80+GREET1_Import_Export!$B194*GREET1_Import_Export!$C$179+GREET1_Import_Export!$C194)+BV$84*(AB$56*GREET1_Import_Export!$W80+GREET1_Import_Export!$E230*GREET1_Import_Export!$F$215+GREET1_Import_Export!$F230)+BV$85*(AB$57*GREET1_Import_Export!$B80+AB$58*GREET1_Import_Export!$C80+AB$59*GREET1_Import_Export!$G80+AB$61*'GREET2_Factors_T&amp;D'!$F23+AB$62*'GREET2_Factors_T&amp;D'!$G23+GREET1_Import_Export!$B230)+BV$86*(AB$64*GREET1_Import_Export!$AA80+AB$65*GREET1_Import_Export!$AB80+GREET1_Import_Export!$B298)+BV$87*(GREET1_Import_Export!$B323+GREET1_Import_Export!$C323)</f>
        <v>0</v>
      </c>
      <c r="BW103" s="363"/>
      <c r="BX103" s="1082"/>
      <c r="BY103" s="753">
        <f>BY$81*(AC$50*GREET1_Import_Export!$K80+GREET1_Import_Export!$B194*GREET1_Import_Export!$F$179+GREET1_Import_Export!$F194)+BY$82*(AC$52*GREET1_Import_Export!$Q80+AC$53*GREET1_Import_Export!$O80+AC$54*GREET1_Import_Export!$M80+GREET1_Import_Export!$B194*GREET1_Import_Export!$G$179+GREET1_Import_Export!$G194)+BY$83*(AC$55*GREET1_Import_Export!$T80+GREET1_Import_Export!$B194*GREET1_Import_Export!$C$179+GREET1_Import_Export!$C194)+BY$84*(AC$56*GREET1_Import_Export!$W80+GREET1_Import_Export!$E230*GREET1_Import_Export!$F$215+GREET1_Import_Export!$F230)+BY$85*(AC$57*GREET1_Import_Export!$B80+AC$58*GREET1_Import_Export!$C80+AC$59*GREET1_Import_Export!$G80+AC$61*'GREET2_Factors_T&amp;D'!$F23+AC$62*'GREET2_Factors_T&amp;D'!$G23+GREET1_Import_Export!$B230)+BY$86*(AC$64*GREET1_Import_Export!$AA80+AC$65*GREET1_Import_Export!$AB80+GREET1_Import_Export!$B298)+BY$87*(GREET1_Import_Export!$B323+GREET1_Import_Export!$C323)</f>
        <v>8396.4273420546688</v>
      </c>
      <c r="BZ103" s="363"/>
      <c r="CA103" s="1082"/>
      <c r="CB103" s="753">
        <f>CB$81*(AD$50*GREET1_Import_Export!$K80+GREET1_Import_Export!$B194*GREET1_Import_Export!$F$179+GREET1_Import_Export!$F194)+CB$82*(AD$52*GREET1_Import_Export!$Q80+AD$53*GREET1_Import_Export!$O80+AD$54*GREET1_Import_Export!$M80+GREET1_Import_Export!$B194*GREET1_Import_Export!$G$179+GREET1_Import_Export!$G194)+CB$83*(AD$55*GREET1_Import_Export!$T80+GREET1_Import_Export!$B194*GREET1_Import_Export!$C$179+GREET1_Import_Export!$C194)+CB$84*(AD$56*GREET1_Import_Export!$W80+GREET1_Import_Export!$E230*GREET1_Import_Export!$F$215+GREET1_Import_Export!$F230)+CB$85*(AD$57*GREET1_Import_Export!$B80+AD$58*GREET1_Import_Export!$C80+AD$59*GREET1_Import_Export!$G80+AD$61*'GREET2_Factors_T&amp;D'!$F23+AD$62*'GREET2_Factors_T&amp;D'!$G23+GREET1_Import_Export!$B230)+CB$86*(AD$64*GREET1_Import_Export!$AA80+AD$65*GREET1_Import_Export!$AB80+GREET1_Import_Export!$B298)+CB$87*(GREET1_Import_Export!$B323+GREET1_Import_Export!$C323)</f>
        <v>6634.6204575214924</v>
      </c>
      <c r="CC103" s="363"/>
      <c r="CD103" s="1082"/>
      <c r="CE103" s="749">
        <f>CE$81*($AE$50*GREET1_Import_Export!$K80+GREET1_Import_Export!$F$179*GREET1_Import_Export!$B194+GREET1_Import_Export!$F194)+CE$82*(GREET1_Import_Export!$R80+GREET1_Import_Export!$H$179*GREET1_Import_Export!$B194+GREET1_Import_Export!$H194)+CE$83*(GREET1_Import_Export!$T80+GREET1_Import_Export!$C$179*GREET1_Import_Export!$B194+GREET1_Import_Export!$C194)+CE$84*(GREET1_Import_Export!$X80+GREET1_Import_Export!$B$10*(GREET1_Import_Export!$F$215*GREET1_Import_Export!$B230+GREET1_Import_Export!$F230)+GREET1_Import_Export!$C$10*(GREET1_Import_Export!$E$179*GREET1_Import_Export!$B194+GREET1_Import_Export!$E194))+CE$85*($AE$57*GREET1_Import_Export!$B80+GREET1_Import_Export!$B230)+CE$86*($AE$64 *GREET1_Import_Export!$AA80+GREET1_Import_Export!$B298)+CE$87*(GREET1_Import_Export!$B323+GREET1_Import_Export!$C323)</f>
        <v>0</v>
      </c>
      <c r="CF103" s="817"/>
      <c r="CG103" s="1321"/>
      <c r="CH103" s="1321"/>
      <c r="CI103" s="1321"/>
      <c r="CJ103" s="1321"/>
      <c r="CK103" s="1321"/>
      <c r="CL103" s="1321"/>
      <c r="CM103" s="1321"/>
      <c r="CN103" s="1321"/>
      <c r="CO103" s="1321"/>
      <c r="CP103" s="1321"/>
      <c r="CQ103" s="1321"/>
      <c r="CR103" s="1321"/>
      <c r="CS103" s="1321"/>
      <c r="CT103" s="1321"/>
      <c r="CU103" s="1321"/>
      <c r="CV103" s="1321"/>
      <c r="CW103" s="1321"/>
      <c r="CX103" s="1321"/>
      <c r="CY103" s="1321"/>
      <c r="CZ103" s="1321"/>
      <c r="DA103" s="1321"/>
      <c r="DB103" s="1321"/>
      <c r="DC103" s="1321"/>
      <c r="DD103" s="1321"/>
      <c r="DE103" s="1321"/>
      <c r="DF103" s="1321"/>
      <c r="DG103" s="1321"/>
      <c r="DH103" s="1321"/>
      <c r="DI103" s="1321"/>
      <c r="DJ103" s="1321"/>
      <c r="DK103" s="1321"/>
      <c r="DL103" s="1321"/>
      <c r="DM103" s="1321"/>
      <c r="DN103" s="1321"/>
      <c r="DO103" s="1321"/>
      <c r="DP103" s="1321"/>
      <c r="DQ103" s="1321"/>
      <c r="DR103" s="1321"/>
      <c r="DS103" s="1321"/>
      <c r="DT103" s="1321"/>
      <c r="DU103" s="1321"/>
      <c r="DV103" s="1321"/>
      <c r="DW103" s="1321"/>
      <c r="DX103" s="1321"/>
      <c r="DY103" s="1321"/>
      <c r="DZ103" s="1321"/>
      <c r="EA103" s="1321"/>
      <c r="EB103" s="1321"/>
      <c r="EC103" s="1321"/>
      <c r="ED103" s="1321"/>
      <c r="EE103" s="1321"/>
      <c r="EF103" s="1321"/>
      <c r="EG103" s="1321"/>
      <c r="EH103" s="1321"/>
      <c r="EI103" s="1321"/>
      <c r="EJ103" s="1321"/>
      <c r="EK103" s="1321"/>
      <c r="EL103" s="1321"/>
      <c r="EM103" s="1321"/>
      <c r="EN103" s="1321"/>
      <c r="EO103" s="1321"/>
      <c r="EP103" s="1321"/>
      <c r="EQ103" s="1321"/>
      <c r="ER103" s="1321"/>
      <c r="ES103" s="1321"/>
      <c r="ET103" s="1321"/>
      <c r="EU103" s="1321"/>
      <c r="EV103" s="1321"/>
      <c r="EW103" s="1321"/>
      <c r="EX103" s="1321"/>
      <c r="EY103" s="1321"/>
      <c r="EZ103" s="1321"/>
      <c r="FA103" s="1321"/>
      <c r="FB103" s="1321"/>
    </row>
    <row r="104" spans="1:158">
      <c r="A104" s="291" t="s">
        <v>830</v>
      </c>
      <c r="B104" s="234">
        <f>B$81*(B$50*GREET1_Import_Export!$K81+GREET1_Import_Export!$B195*GREET1_Import_Export!$F$179+GREET1_Import_Export!$F195)+B$82*(B$52*GREET1_Import_Export!$Q81+B$53*GREET1_Import_Export!$O81+B$54*GREET1_Import_Export!$M81+GREET1_Import_Export!$B195*GREET1_Import_Export!$G$179+GREET1_Import_Export!$G195)+B$83*(B$55*GREET1_Import_Export!$T81+GREET1_Import_Export!$B195*GREET1_Import_Export!$C$179+GREET1_Import_Export!$C195)+B$84*(B$56*GREET1_Import_Export!$W81+GREET1_Import_Export!$E231*GREET1_Import_Export!$F$215+GREET1_Import_Export!$F231)+B$85*(B$57*GREET1_Import_Export!$B81+B$58*GREET1_Import_Export!$C81+B$59*GREET1_Import_Export!$G81+B$61*'GREET2_Factors_T&amp;D'!$F24+B$62*'GREET2_Factors_T&amp;D'!$G24+GREET1_Import_Export!$B231)+B$86*(B$64*GREET1_Import_Export!$AA81+B$65*GREET1_Import_Export!$AB81+GREET1_Import_Export!$B299)+B$87*SUM(GREET1_Import_Export!$B324:$C324)</f>
        <v>0</v>
      </c>
      <c r="C104" s="489"/>
      <c r="D104" s="235"/>
      <c r="E104" s="234">
        <f>E$81*(C$50*GREET1_Import_Export!$K81+GREET1_Import_Export!$B195*GREET1_Import_Export!$F$179+GREET1_Import_Export!$F195)+E$82*(C$52*GREET1_Import_Export!$Q81+C$53*GREET1_Import_Export!$O81+C$54*GREET1_Import_Export!$M81+GREET1_Import_Export!$B195*GREET1_Import_Export!$G$179+GREET1_Import_Export!$G195)+E$83*(C$55*GREET1_Import_Export!$T81+GREET1_Import_Export!$B195*GREET1_Import_Export!$C$179+GREET1_Import_Export!$C195)+E$84*(C$56*GREET1_Import_Export!$W81+GREET1_Import_Export!$E231*GREET1_Import_Export!$F$215+GREET1_Import_Export!$F231)+E$85*(C$57*GREET1_Import_Export!$B81+C$58*GREET1_Import_Export!$C81+C$59*GREET1_Import_Export!$G81+C$61*'GREET2_Factors_T&amp;D'!$F24+C$62*'GREET2_Factors_T&amp;D'!$G24+GREET1_Import_Export!$B231)+E$86*(C$64*GREET1_Import_Export!$AA81+C$65*GREET1_Import_Export!$AB81+GREET1_Import_Export!$B299)+E$87*SUM(GREET1_Import_Export!$B324:$C324)</f>
        <v>0</v>
      </c>
      <c r="F104" s="489"/>
      <c r="G104" s="235"/>
      <c r="H104" s="234">
        <f>H$81*(D$50*GREET1_Import_Export!$K81+GREET1_Import_Export!$B195*GREET1_Import_Export!$F$179+GREET1_Import_Export!$F195)+H$82*(D$52*GREET1_Import_Export!$Q81+D$53*GREET1_Import_Export!$O81+D$54*GREET1_Import_Export!$M81+GREET1_Import_Export!$B195*GREET1_Import_Export!$G$179+GREET1_Import_Export!$G195)+H$83*(D$55*GREET1_Import_Export!$T81+GREET1_Import_Export!$B195*GREET1_Import_Export!$C$179+GREET1_Import_Export!$C195)+H$84*(D$56*GREET1_Import_Export!$W81+GREET1_Import_Export!$E231*GREET1_Import_Export!$F$215+GREET1_Import_Export!$F231)+H$85*(D$57*GREET1_Import_Export!$B81+D$58*GREET1_Import_Export!$C81+D$59*GREET1_Import_Export!$G81+D$61*'GREET2_Factors_T&amp;D'!$F24+D$62*'GREET2_Factors_T&amp;D'!$G24+GREET1_Import_Export!$B231)+H$86*(D$64*GREET1_Import_Export!$AA81+D$65*GREET1_Import_Export!$AB81+GREET1_Import_Export!$B299)+H$87*SUM(GREET1_Import_Export!$B324:$C324)</f>
        <v>83.790187720186822</v>
      </c>
      <c r="I104" s="489"/>
      <c r="J104" s="235"/>
      <c r="K104" s="234">
        <f>K$81*(E$50*GREET1_Import_Export!$K81+GREET1_Import_Export!$B195*GREET1_Import_Export!$F$179+GREET1_Import_Export!$F195)+K$82*(E$52*GREET1_Import_Export!$Q81+E$53*GREET1_Import_Export!$O81+E$54*GREET1_Import_Export!$M81+GREET1_Import_Export!$B195*GREET1_Import_Export!$G$179+GREET1_Import_Export!$G195)+K$83*(E$55*GREET1_Import_Export!$T81+GREET1_Import_Export!$B195*GREET1_Import_Export!$C$179+GREET1_Import_Export!$C195)+K$84*(E$56*GREET1_Import_Export!$W81+GREET1_Import_Export!$E231*GREET1_Import_Export!$F$215+GREET1_Import_Export!$F231)+K$85*(E$57*GREET1_Import_Export!$B81+E$58*GREET1_Import_Export!$C81+E$59*GREET1_Import_Export!$G81+E$61*'GREET2_Factors_T&amp;D'!$F24+E$62*'GREET2_Factors_T&amp;D'!$G24+GREET1_Import_Export!$B231)+K$86*(E$64*GREET1_Import_Export!$AA81+E$65*GREET1_Import_Export!$AB81+GREET1_Import_Export!$B299)+K$87*SUM(GREET1_Import_Export!$B324:$C324)</f>
        <v>52.670293306006187</v>
      </c>
      <c r="L104" s="489"/>
      <c r="M104" s="235"/>
      <c r="N104" s="234">
        <f>N$81*(F$50*GREET1_Import_Export!$K81+GREET1_Import_Export!$B195*GREET1_Import_Export!$F$179+GREET1_Import_Export!$F195)+N$82*(F$52*GREET1_Import_Export!$Q81+F$53*GREET1_Import_Export!$O81+F$54*GREET1_Import_Export!$M81+GREET1_Import_Export!$B195*GREET1_Import_Export!$G$179+GREET1_Import_Export!$G195)+N$83*(F$55*GREET1_Import_Export!$T81+GREET1_Import_Export!$B195*GREET1_Import_Export!$C$179+GREET1_Import_Export!$C195)+N$84*(F$56*GREET1_Import_Export!$W81+GREET1_Import_Export!$E231*GREET1_Import_Export!$F$215+GREET1_Import_Export!$F231)+N$85*(F$57*GREET1_Import_Export!$B81+F$58*GREET1_Import_Export!$C81+F$59*GREET1_Import_Export!$G81+F$61*'GREET2_Factors_T&amp;D'!$F24+F$62*'GREET2_Factors_T&amp;D'!$G24+GREET1_Import_Export!$B231)+N$86*(F$64*GREET1_Import_Export!$AA81+F$65*GREET1_Import_Export!$AB81+GREET1_Import_Export!$B299)+N$87*SUM(GREET1_Import_Export!$B324:$C324)</f>
        <v>83.790187720186822</v>
      </c>
      <c r="O104" s="489"/>
      <c r="P104" s="235"/>
      <c r="Q104" s="578">
        <f>Q$81*(G$50*GREET1_Import_Export!$K81+GREET1_Import_Export!$B195*GREET1_Import_Export!$F$179+GREET1_Import_Export!$F195)+Q$82*(G$52*GREET1_Import_Export!$Q81+G$53*GREET1_Import_Export!$O81+G$54*GREET1_Import_Export!$M81+GREET1_Import_Export!$B195*GREET1_Import_Export!$G$179+GREET1_Import_Export!$G195)+Q$83*(G$55*GREET1_Import_Export!$T81+GREET1_Import_Export!$B195*GREET1_Import_Export!$C$179+GREET1_Import_Export!$C195)+Q$84*(G$56*GREET1_Import_Export!$W81+GREET1_Import_Export!$E231*GREET1_Import_Export!$F$215+GREET1_Import_Export!$F231)+Q$85*(G$57*GREET1_Import_Export!$B81+G$58*GREET1_Import_Export!$C81+G$59*GREET1_Import_Export!$G81+G$61*'GREET2_Factors_T&amp;D'!$F24+G$62*'GREET2_Factors_T&amp;D'!$G24+GREET1_Import_Export!$B231)+Q$86*(G$64*GREET1_Import_Export!$AA81+G$65*GREET1_Import_Export!$AB81+GREET1_Import_Export!$B299)
+Q$87*($B$46*(GREET1_Import_Export!$B324+GREET1_Import_Export!$C324)+$C$46*GREET1_Import_Export!L357+$D$46*GREET1_Import_Export!H357+$E$46*GREET1_Import_Export!Q357+$F$46*GREET1_Import_Export!R357+SUMPRODUCT($G$46:$I$46,GREET1_Import_Export!N357:P357))</f>
        <v>52.670293306006187</v>
      </c>
      <c r="R104" s="489"/>
      <c r="S104" s="235"/>
      <c r="T104" s="578">
        <f>T$81*(H$50*GREET1_Import_Export!$K81+GREET1_Import_Export!$B195*GREET1_Import_Export!$F$179+GREET1_Import_Export!$F195)+T$82*(H$52*GREET1_Import_Export!$Q81+H$53*GREET1_Import_Export!$O81+H$54*GREET1_Import_Export!$M81+GREET1_Import_Export!$B195*GREET1_Import_Export!$G$179+GREET1_Import_Export!$G195)+T$83*(H$55*GREET1_Import_Export!$T81+GREET1_Import_Export!$B195*GREET1_Import_Export!$C$179+GREET1_Import_Export!$C195)+T$84*(H$56*GREET1_Import_Export!$W81+GREET1_Import_Export!$E231*GREET1_Import_Export!$F$215+GREET1_Import_Export!$F231)+T$85*(H$57*GREET1_Import_Export!$B81+H$58*GREET1_Import_Export!$C81+H$59*GREET1_Import_Export!$G81+H$61*'GREET2_Factors_T&amp;D'!$F24+H$62*'GREET2_Factors_T&amp;D'!$G24+GREET1_Import_Export!$B231)+T$86*(H$64*GREET1_Import_Export!$AA81+H$65*GREET1_Import_Export!$AB81+GREET1_Import_Export!$B299)+T$87*SUM(GREET1_Import_Export!$B324:$C324)</f>
        <v>83.790187720186822</v>
      </c>
      <c r="U104" s="489"/>
      <c r="V104" s="235"/>
      <c r="W104" s="578">
        <f>W$81*(BS$50*GREET1_Import_Export!$K81+GREET1_Import_Export!$B195*GREET1_Import_Export!$F$179+GREET1_Import_Export!$F195)+W$82*(BS$52*GREET1_Import_Export!$Q81+BS$53*GREET1_Import_Export!$O81+BS$54*GREET1_Import_Export!$M81+GREET1_Import_Export!$B195*GREET1_Import_Export!$G$179+GREET1_Import_Export!$G195)+W$83*(BS$55*GREET1_Import_Export!$T81+GREET1_Import_Export!$B195*GREET1_Import_Export!$C$179+GREET1_Import_Export!$C195)+W$84*(BS$56*GREET1_Import_Export!$W81+GREET1_Import_Export!$E231*GREET1_Import_Export!$F$215+GREET1_Import_Export!$F231)+W$85*(BS$57*GREET1_Import_Export!$B81+BS$58*GREET1_Import_Export!$C81+BS$59*GREET1_Import_Export!$G81+BS$61*'GREET2_Factors_T&amp;D'!$F24+BS$62*'GREET2_Factors_T&amp;D'!$G24+GREET1_Import_Export!$B231)+W$86*(BS$64*GREET1_Import_Export!$AA81+BS$65*GREET1_Import_Export!$AB81+GREET1_Import_Export!$B299)+W$87*($B$46*(GREET1_Import_Export!$B324+GREET1_Import_Export!$C324)+$C$46*GREET1_Import_Export!L357+$D$46*GREET1_Import_Export!H357+$E$46*GREET1_Import_Export!Q357+$F$46*GREET1_Import_Export!R357+SUMPRODUCT($G$46:$I$46,GREET1_Import_Export!N357:P357))</f>
        <v>52.670293306006187</v>
      </c>
      <c r="X104" s="489"/>
      <c r="Y104" s="235"/>
      <c r="Z104" s="234">
        <f>Z$81*(J$50*GREET1_Import_Export!$K81+GREET1_Import_Export!$B195*GREET1_Import_Export!$F$179+GREET1_Import_Export!$F195)+Z$82*(J$52*GREET1_Import_Export!$Q81+J$53*GREET1_Import_Export!$O81+J$54*GREET1_Import_Export!$M81+GREET1_Import_Export!$B195*GREET1_Import_Export!$G$179+GREET1_Import_Export!$G195)+Z$83*(J$55*GREET1_Import_Export!$T81+GREET1_Import_Export!$B195*GREET1_Import_Export!$C$179+GREET1_Import_Export!$C195)+Z$84*(J$56*GREET1_Import_Export!$W81+GREET1_Import_Export!$E231*GREET1_Import_Export!$F$215+GREET1_Import_Export!$F231)+Z$85*(J$57*GREET1_Import_Export!$B81+J$58*GREET1_Import_Export!$C81+J$59*GREET1_Import_Export!$G81+J$61*'GREET2_Factors_T&amp;D'!$F24+J$62*'GREET2_Factors_T&amp;D'!$G24+GREET1_Import_Export!$B231)+Z$86*(J$64*GREET1_Import_Export!$AA81+J$65*GREET1_Import_Export!$AB81+GREET1_Import_Export!$B299)+Z$87*SUM(GREET1_Import_Export!$B324:$C324)</f>
        <v>83.790187720186822</v>
      </c>
      <c r="AA104" s="489"/>
      <c r="AB104" s="235"/>
      <c r="AC104" s="578">
        <f>AC$81*(K$50*GREET1_Import_Export!$K81+GREET1_Import_Export!$B195*GREET1_Import_Export!$F$179+GREET1_Import_Export!$F195)+AC$82*(K$52*GREET1_Import_Export!$Q81+K$53*GREET1_Import_Export!$O81+K$54*GREET1_Import_Export!$M81+GREET1_Import_Export!$B195*GREET1_Import_Export!$G$179+GREET1_Import_Export!$G195)+AC$83*(K$55*GREET1_Import_Export!$T81+GREET1_Import_Export!$B195*GREET1_Import_Export!$C$179+GREET1_Import_Export!$C195)+AC$84*(K$56*GREET1_Import_Export!$W81+GREET1_Import_Export!$E231*GREET1_Import_Export!$F$215+GREET1_Import_Export!$F231)+AC$85*(K$57*GREET1_Import_Export!$B81+K$58*GREET1_Import_Export!$C81+K$59*GREET1_Import_Export!$G81+K$61*'GREET2_Factors_T&amp;D'!$F24+K$62*'GREET2_Factors_T&amp;D'!$G24+GREET1_Import_Export!$B231)+AC$86*(K$64*GREET1_Import_Export!$AA81+K$65*GREET1_Import_Export!$AB81+GREET1_Import_Export!$B299)+AC$87*($B$46*(GREET1_Import_Export!$B324+GREET1_Import_Export!$C324)+$C$46*GREET1_Import_Export!L357+$D$46*GREET1_Import_Export!H357+$E$46*GREET1_Import_Export!Q357+$F$46*GREET1_Import_Export!R357+SUMPRODUCT($G$46:$I$46,GREET1_Import_Export!N357:P357))</f>
        <v>52.670293306006187</v>
      </c>
      <c r="AD104" s="489"/>
      <c r="AE104" s="235"/>
      <c r="AF104" s="234">
        <f>AF$81*(L$50*GREET1_Import_Export!$K81+GREET1_Import_Export!$B195*GREET1_Import_Export!$F$179+GREET1_Import_Export!$F195)+AF$82*(L$52*GREET1_Import_Export!$Q81+L$53*GREET1_Import_Export!$O81+L$54*GREET1_Import_Export!$M81+GREET1_Import_Export!$B195*GREET1_Import_Export!$G$179+GREET1_Import_Export!$G195)+AF$83*(L$55*GREET1_Import_Export!$T81+GREET1_Import_Export!$B195*GREET1_Import_Export!$C$179+GREET1_Import_Export!$C195)+AF$84*(L$56*GREET1_Import_Export!$W81+GREET1_Import_Export!$E231*GREET1_Import_Export!$F$215+GREET1_Import_Export!$F231)+AF$85*(L$57*GREET1_Import_Export!$B81+L$58*GREET1_Import_Export!$C81+L$59*GREET1_Import_Export!$G81+L$61*'GREET2_Factors_T&amp;D'!$F24+L$62*'GREET2_Factors_T&amp;D'!$G24+GREET1_Import_Export!$B231)+AF$86*(L$64*GREET1_Import_Export!$AA81+L$65*GREET1_Import_Export!$AB81+GREET1_Import_Export!$B299)+AF$87*SUM(GREET1_Import_Export!$B324:$C324)</f>
        <v>83.790187720186822</v>
      </c>
      <c r="AG104" s="489"/>
      <c r="AH104" s="478"/>
      <c r="AI104" s="578">
        <f>AI$81*(M$50*GREET1_Import_Export!$K81+GREET1_Import_Export!$B195*GREET1_Import_Export!$F$179+GREET1_Import_Export!$F195)+AI$82*(M$52*GREET1_Import_Export!$Q81+M$53*GREET1_Import_Export!$O81+M$54*GREET1_Import_Export!$M81+GREET1_Import_Export!$B195*GREET1_Import_Export!$G$179+GREET1_Import_Export!$G195)+AI$83*(M$55*GREET1_Import_Export!$T81+GREET1_Import_Export!$B195*GREET1_Import_Export!$C$179+GREET1_Import_Export!$C195)+AI$84*(M$56*GREET1_Import_Export!$W81+GREET1_Import_Export!$E231*GREET1_Import_Export!$F$215+GREET1_Import_Export!$F231)+AI$85*(M$57*GREET1_Import_Export!$B81+M$58*GREET1_Import_Export!$C81+M$59*GREET1_Import_Export!$G81+M$61*'GREET2_Factors_T&amp;D'!$F24+M$62*'GREET2_Factors_T&amp;D'!$G24+GREET1_Import_Export!$B231)+AI$86*(M$64*GREET1_Import_Export!$AA81+M$65*GREET1_Import_Export!$AB81+GREET1_Import_Export!$B299)+AI$87*($B$46*(GREET1_Import_Export!$B324+GREET1_Import_Export!$C324)+$C$46*GREET1_Import_Export!L357+$D$46*GREET1_Import_Export!H357+$E$46*GREET1_Import_Export!Q357+$F$46*GREET1_Import_Export!R357+SUMPRODUCT($G$46:$I$46,GREET1_Import_Export!N357:P357))</f>
        <v>60.194620921149891</v>
      </c>
      <c r="AJ104" s="489"/>
      <c r="AK104" s="235"/>
      <c r="AL104" s="234">
        <f>AL$81*(N$50*GREET1_Import_Export!$K81+GREET1_Import_Export!$B195*GREET1_Import_Export!$F$179+GREET1_Import_Export!$F195)+AL$82*(N$52*GREET1_Import_Export!$Q81+N$53*GREET1_Import_Export!$O81+N$54*GREET1_Import_Export!$M81+GREET1_Import_Export!$B195*GREET1_Import_Export!$G$179+GREET1_Import_Export!$G195)+AL$83*(N$55*GREET1_Import_Export!$T81+GREET1_Import_Export!$B195*GREET1_Import_Export!$C$179+GREET1_Import_Export!$C195)+AL$84*(N$56*GREET1_Import_Export!$W81+GREET1_Import_Export!$E231*GREET1_Import_Export!$F$215+GREET1_Import_Export!$F231)+AL$85*(N$57*GREET1_Import_Export!$B81+N$58*GREET1_Import_Export!$C81+N$59*GREET1_Import_Export!$G81+N$61*'GREET2_Factors_T&amp;D'!$F24+N$62*'GREET2_Factors_T&amp;D'!$G24+GREET1_Import_Export!$B231)+AL$86*(N$64*GREET1_Import_Export!$AA81+N$65*GREET1_Import_Export!$AB81+GREET1_Import_Export!$B299)+AL$87*SUM(GREET1_Import_Export!$B324:$C324)</f>
        <v>68.715464810501899</v>
      </c>
      <c r="AM104" s="489"/>
      <c r="AN104" s="235"/>
      <c r="AO104" s="234">
        <f>AO$81*(O$50*GREET1_Import_Export!$K81+GREET1_Import_Export!$B195*GREET1_Import_Export!$F$179+GREET1_Import_Export!$F195)+AO$82*(O$52*GREET1_Import_Export!$Q81+O$53*GREET1_Import_Export!$O81+O$54*GREET1_Import_Export!$M81+GREET1_Import_Export!$B195*GREET1_Import_Export!$G$179+GREET1_Import_Export!$G195)+AO$83*(O$55*GREET1_Import_Export!$T81+GREET1_Import_Export!$B195*GREET1_Import_Export!$C$179+GREET1_Import_Export!$C195)+AO$84*(O$56*GREET1_Import_Export!$W81+GREET1_Import_Export!$E231*GREET1_Import_Export!$F$215+GREET1_Import_Export!$F231)+AO$85*(O$57*GREET1_Import_Export!$B81+O$58*GREET1_Import_Export!$C81+O$59*GREET1_Import_Export!$G81+O$61*'GREET2_Factors_T&amp;D'!$F24+O$62*'GREET2_Factors_T&amp;D'!$G24+GREET1_Import_Export!$B231)+AO$86*(O$64*GREET1_Import_Export!$AA81+O$65*GREET1_Import_Export!$AB81+GREET1_Import_Export!$B299)+AO$87*SUM(GREET1_Import_Export!$B324:$C324)</f>
        <v>57.006814121534042</v>
      </c>
      <c r="AP104" s="489"/>
      <c r="AQ104" s="235"/>
      <c r="AR104" s="234">
        <f>AR$81*(P$50*GREET1_Import_Export!$K81+GREET1_Import_Export!$B195*GREET1_Import_Export!$F$179+GREET1_Import_Export!$F195)+AR$82*(P$52*GREET1_Import_Export!$Q81+P$53*GREET1_Import_Export!$O81+P$54*GREET1_Import_Export!$M81+GREET1_Import_Export!$B195*GREET1_Import_Export!$G$179+GREET1_Import_Export!$G195)+AR$83*(P$55*GREET1_Import_Export!$T81+GREET1_Import_Export!$B195*GREET1_Import_Export!$C$179+GREET1_Import_Export!$C195)+AR$84*(P$56*GREET1_Import_Export!$W81+GREET1_Import_Export!$E231*GREET1_Import_Export!$F$215+GREET1_Import_Export!$F231)+AR$85*(P$57*GREET1_Import_Export!$B81+P$58*GREET1_Import_Export!$C81+P$59*GREET1_Import_Export!$G81+P$61*'GREET2_Factors_T&amp;D'!$F24+P$62*'GREET2_Factors_T&amp;D'!$G24+GREET1_Import_Export!$B231)+AR$86*(P$64*GREET1_Import_Export!$AA81+P$65*GREET1_Import_Export!$AB81+GREET1_Import_Export!$B299)+AR$87*SUM(GREET1_Import_Export!$B324:$C324)</f>
        <v>68.174938670166085</v>
      </c>
      <c r="AS104" s="489"/>
      <c r="AT104" s="235"/>
      <c r="AU104" s="234">
        <f>AU$81*(Q$50*GREET1_Import_Export!$K81+GREET1_Import_Export!$B195*GREET1_Import_Export!$F$179+GREET1_Import_Export!$F195)+AU$82*(Q$52*GREET1_Import_Export!$Q81+Q$53*GREET1_Import_Export!$O81+Q$54*GREET1_Import_Export!$M81+GREET1_Import_Export!$B195*GREET1_Import_Export!$G$179+GREET1_Import_Export!$G195)+AU$83*(Q$55*GREET1_Import_Export!$T81+GREET1_Import_Export!$B195*GREET1_Import_Export!$C$179+GREET1_Import_Export!$C195)+AU$84*(Q$56*GREET1_Import_Export!$W81+GREET1_Import_Export!$E231*GREET1_Import_Export!$F$215+GREET1_Import_Export!$F231)+AU$85*(Q$57*GREET1_Import_Export!$B81+Q$58*GREET1_Import_Export!$C81+Q$59*GREET1_Import_Export!$G81+Q$61*'GREET2_Factors_T&amp;D'!$F24+Q$62*'GREET2_Factors_T&amp;D'!$G24+GREET1_Import_Export!$B231)+AU$86*(Q$64*GREET1_Import_Export!$AA81+Q$65*GREET1_Import_Export!$AB81+GREET1_Import_Export!$B299)+AU$87*SUM(GREET1_Import_Export!$B324:$C324)</f>
        <v>12.98148538891293</v>
      </c>
      <c r="AV104" s="489"/>
      <c r="AW104" s="235"/>
      <c r="AX104" s="234">
        <f>AX$81*(R$50*GREET1_Import_Export!$K81+GREET1_Import_Export!$B195*GREET1_Import_Export!$F$179+GREET1_Import_Export!$F195)+AX$82*(R$52*GREET1_Import_Export!$Q81+R$53*GREET1_Import_Export!$O81+R$54*GREET1_Import_Export!$M81+GREET1_Import_Export!$B195*GREET1_Import_Export!$G$179+GREET1_Import_Export!$G195)+AX$83*(R$55*GREET1_Import_Export!$T81+GREET1_Import_Export!$B195*GREET1_Import_Export!$C$179+GREET1_Import_Export!$C195)+AX$84*(R$56*GREET1_Import_Export!$W81+GREET1_Import_Export!$E231*GREET1_Import_Export!$F$215+GREET1_Import_Export!$F231)+AX$85*(R$57*GREET1_Import_Export!$B81+R$58*GREET1_Import_Export!$C81+R$59*GREET1_Import_Export!$G81+R$61*'GREET2_Factors_T&amp;D'!$F24+R$62*'GREET2_Factors_T&amp;D'!$G24+GREET1_Import_Export!$B231)+AX$86*(R$64*GREET1_Import_Export!$AA81+R$65*GREET1_Import_Export!$AB81+GREET1_Import_Export!$B299)+AX$87*SUM(GREET1_Import_Export!$B324:$C324)</f>
        <v>3.8758673332342366</v>
      </c>
      <c r="AY104" s="489"/>
      <c r="AZ104" s="235"/>
      <c r="BA104" s="234">
        <f>BA$81*(S$50*GREET1_Import_Export!$K81+GREET1_Import_Export!$B195*GREET1_Import_Export!$F$179+GREET1_Import_Export!$F195)+BA$82*(S$52*GREET1_Import_Export!$Q81+S$53*GREET1_Import_Export!$O81+S$54*GREET1_Import_Export!$M81+GREET1_Import_Export!$B195*GREET1_Import_Export!$G$179+GREET1_Import_Export!$G195)+BA$83*(S$55*GREET1_Import_Export!$T81+GREET1_Import_Export!$B195*GREET1_Import_Export!$C$179+GREET1_Import_Export!$C195)+BA$84*(S$56*GREET1_Import_Export!$W81+GREET1_Import_Export!$E231*GREET1_Import_Export!$F$215+GREET1_Import_Export!$F231)+BA$85*(S$57*GREET1_Import_Export!$B81+S$58*GREET1_Import_Export!$C81+S$59*GREET1_Import_Export!$G81+S$61*'GREET2_Factors_T&amp;D'!$F24+S$62*'GREET2_Factors_T&amp;D'!$G24+GREET1_Import_Export!$B231)+BA$86*(S$64*GREET1_Import_Export!$AA81+S$65*GREET1_Import_Export!$AB81+GREET1_Import_Export!$B299)+BA$87*SUM(GREET1_Import_Export!$B324:$C324)</f>
        <v>45.145965690862475</v>
      </c>
      <c r="BB104" s="489"/>
      <c r="BC104" s="235"/>
      <c r="BD104" s="578">
        <f>BD$81*(T$50*GREET1_Import_Export!$K81+GREET1_Import_Export!$B195*GREET1_Import_Export!$F$179+GREET1_Import_Export!$F195)+BD$82*(T$52*GREET1_Import_Export!$Q81+T$53*GREET1_Import_Export!$O81+T$54*GREET1_Import_Export!$M81+GREET1_Import_Export!$B195*GREET1_Import_Export!$G$179+GREET1_Import_Export!$G195)+BD$83*(T$55*GREET1_Import_Export!$T81+GREET1_Import_Export!$B195*GREET1_Import_Export!$C$179+GREET1_Import_Export!$C195)+BD$84*(T$56*GREET1_Import_Export!$W81+GREET1_Import_Export!$E231*GREET1_Import_Export!$F$215+GREET1_Import_Export!$F231)+BD$85*(T$57*GREET1_Import_Export!$B81+T$58*GREET1_Import_Export!$C81+T$59*GREET1_Import_Export!$G81+T$61*'GREET2_Factors_T&amp;D'!$F24+T$62*'GREET2_Factors_T&amp;D'!$G24+GREET1_Import_Export!$B231)+BD$86*(T$64*GREET1_Import_Export!$AA81+T$65*GREET1_Import_Export!$AB81+GREET1_Import_Export!$B299)+BD$87*SUM(GREET1_Import_Export!$B324:$C324)</f>
        <v>36.459094071394766</v>
      </c>
      <c r="BE104" s="489"/>
      <c r="BF104" s="478"/>
      <c r="BG104" s="578">
        <f>BG$81*(U$50*GREET1_Import_Export!$K81+GREET1_Import_Export!$B195*GREET1_Import_Export!$F$179+GREET1_Import_Export!$F195)+BG$82*(U$52*GREET1_Import_Export!$Q81+U$53*GREET1_Import_Export!$O81+U$54*GREET1_Import_Export!$M81+GREET1_Import_Export!$B195*GREET1_Import_Export!$G$179+GREET1_Import_Export!$G195)+BG$83*(U$55*GREET1_Import_Export!$T81+GREET1_Import_Export!$B195*GREET1_Import_Export!$C$179+GREET1_Import_Export!$C195)+BG$84*(U$56*GREET1_Import_Export!$W81+GREET1_Import_Export!$E231*GREET1_Import_Export!$F$215+GREET1_Import_Export!$F231)+BG$85*(U$57*GREET1_Import_Export!$B81+U$58*GREET1_Import_Export!$C81+U$59*GREET1_Import_Export!$G81+U$61*'GREET2_Factors_T&amp;D'!$F24+U$62*'GREET2_Factors_T&amp;D'!$G24+GREET1_Import_Export!$B231)+BG$86*(U$64*GREET1_Import_Export!$AA81+U$65*GREET1_Import_Export!$AB81+GREET1_Import_Export!$B299)+BG$87*SUM(GREET1_Import_Export!$B324:$C324)</f>
        <v>63.222377731602634</v>
      </c>
      <c r="BH104" s="489"/>
      <c r="BI104" s="478"/>
      <c r="BJ104" s="578">
        <f>BJ$81*(V$50*GREET1_Import_Export!$K81+GREET1_Import_Export!$B195*GREET1_Import_Export!$F$179+GREET1_Import_Export!$F195)+BJ$82*(V$52*GREET1_Import_Export!$Q81+V$53*GREET1_Import_Export!$O81+V$54*GREET1_Import_Export!$M81+GREET1_Import_Export!$B195*GREET1_Import_Export!$G$179+GREET1_Import_Export!$G195)+BJ$83*(V$55*GREET1_Import_Export!$T81+GREET1_Import_Export!$B195*GREET1_Import_Export!$C$179+GREET1_Import_Export!$C195)+BJ$84*(V$56*GREET1_Import_Export!$W81+GREET1_Import_Export!$E231*GREET1_Import_Export!$F$215+GREET1_Import_Export!$F231)+BJ$85*(V$57*GREET1_Import_Export!$B81+V$58*GREET1_Import_Export!$C81+V$59*GREET1_Import_Export!$G81+V$61*'GREET2_Factors_T&amp;D'!$F24+V$62*'GREET2_Factors_T&amp;D'!$G24+GREET1_Import_Export!$B231)+BJ$86*(V$64*GREET1_Import_Export!$AA81+V$65*GREET1_Import_Export!$AB81+GREET1_Import_Export!$B299)+BJ$87*SUM(GREET1_Import_Export!$B324:$C324)</f>
        <v>6.1526429344712357</v>
      </c>
      <c r="BK104" s="489"/>
      <c r="BL104" s="478"/>
      <c r="BM104" s="578">
        <f>BM$81*(X$50*GREET1_Import_Export!$K81+GREET1_Import_Export!$B195*GREET1_Import_Export!$F$179+GREET1_Import_Export!$F195)+BM$82*(X$52*GREET1_Import_Export!$Q81+X$53*GREET1_Import_Export!$O81+X$54*GREET1_Import_Export!$M81+GREET1_Import_Export!$B195*GREET1_Import_Export!$G$179+GREET1_Import_Export!$G195)+BM$83*(X$55*GREET1_Import_Export!$T81+GREET1_Import_Export!$B195*GREET1_Import_Export!$C$179+GREET1_Import_Export!$C195)+BM$84*(X$56*GREET1_Import_Export!$W81+GREET1_Import_Export!$E231*GREET1_Import_Export!$F$215+GREET1_Import_Export!$F231)+BM$85*(X$57*GREET1_Import_Export!$B81+X$58*GREET1_Import_Export!$C81+X$59*GREET1_Import_Export!$G81+X$61*'GREET2_Factors_T&amp;D'!$F24+X$62*'GREET2_Factors_T&amp;D'!$G24+GREET1_Import_Export!$B231)+BM$86*(X$64*GREET1_Import_Export!$AA81+X$65*GREET1_Import_Export!$AB81+GREET1_Import_Export!$B299)+BM$87*SUM(GREET1_Import_Export!$B324:$C324)</f>
        <v>1.3644903874242629</v>
      </c>
      <c r="BN104" s="489"/>
      <c r="BO104" s="478"/>
      <c r="BP104" s="234">
        <f>BP$81*(Z$50*GREET1_Import_Export!$K81+GREET1_Import_Export!$B195*GREET1_Import_Export!$F$179+GREET1_Import_Export!$F195)+BP$82*(Z$52*GREET1_Import_Export!$Q81+Z$53*GREET1_Import_Export!$O81+Z$54*GREET1_Import_Export!$M81+GREET1_Import_Export!$B195*GREET1_Import_Export!$G$179+GREET1_Import_Export!$G195)+BP$83*(Z$55*GREET1_Import_Export!$T81+GREET1_Import_Export!$B195*GREET1_Import_Export!$C$179+GREET1_Import_Export!$C195)+BP$84*(Z$56*GREET1_Import_Export!$W81+GREET1_Import_Export!$E231*GREET1_Import_Export!$F$215+GREET1_Import_Export!$F231)+BP$85*(Z$57*GREET1_Import_Export!$B81+Z$58*GREET1_Import_Export!$C81+Z$59*GREET1_Import_Export!$G81+Z$61*'GREET2_Factors_T&amp;D'!$F24+Z$62*'GREET2_Factors_T&amp;D'!$G24+GREET1_Import_Export!$B231)+BP$86*(Z$64*GREET1_Import_Export!$AA81+Z$65*GREET1_Import_Export!$AB81+GREET1_Import_Export!$B299)+BP$87*SUM(GREET1_Import_Export!$B324:$C324)</f>
        <v>0</v>
      </c>
      <c r="BQ104" s="489"/>
      <c r="BR104" s="235"/>
      <c r="BS104" s="753">
        <f>BS$81*(AA$50*GREET1_Import_Export!$K81+GREET1_Import_Export!$B195*GREET1_Import_Export!$F$179+GREET1_Import_Export!$F195)+BS$82*(AA$52*GREET1_Import_Export!$Q81+AA$53*GREET1_Import_Export!$O81+AA$54*GREET1_Import_Export!$M81+GREET1_Import_Export!$B195*GREET1_Import_Export!$G$179+GREET1_Import_Export!$G195)+BS$83*(AA$55*GREET1_Import_Export!$T81+GREET1_Import_Export!$B195*GREET1_Import_Export!$C$179+GREET1_Import_Export!$C195)+BS$84*(AA$56*GREET1_Import_Export!$W81+GREET1_Import_Export!$E231*GREET1_Import_Export!$F$215+GREET1_Import_Export!$F231)+BS$85*(AA$57*GREET1_Import_Export!$B81+AA$58*GREET1_Import_Export!$C81+AA$59*GREET1_Import_Export!$G81+AA$61*'GREET2_Factors_T&amp;D'!$F24+AA$62*'GREET2_Factors_T&amp;D'!$G24+GREET1_Import_Export!$B231)+BS$86*(AA$64*GREET1_Import_Export!$AA81+AA$65*GREET1_Import_Export!$AB81+GREET1_Import_Export!$B299)+BS$87*(GREET1_Import_Export!$B324+GREET1_Import_Export!$C324)</f>
        <v>0.60765156785657948</v>
      </c>
      <c r="BT104" s="363"/>
      <c r="BU104" s="1082"/>
      <c r="BV104" s="753">
        <f>BV$81*(AB$50*GREET1_Import_Export!$K81+GREET1_Import_Export!$B195*GREET1_Import_Export!$F$179+GREET1_Import_Export!$F195)+BV$82*(AB$52*GREET1_Import_Export!$Q81+AB$53*GREET1_Import_Export!$O81+AB$54*GREET1_Import_Export!$M81+GREET1_Import_Export!$B195*GREET1_Import_Export!$G$179+GREET1_Import_Export!$G195)+BV$83*(AB$55*GREET1_Import_Export!$T81+GREET1_Import_Export!$B195*GREET1_Import_Export!$C$179+GREET1_Import_Export!$C195)+BV$84*(AB$56*GREET1_Import_Export!$W81+GREET1_Import_Export!$E231*GREET1_Import_Export!$F$215+GREET1_Import_Export!$F231)+BV$85*(AB$57*GREET1_Import_Export!$B81+AB$58*GREET1_Import_Export!$C81+AB$59*GREET1_Import_Export!$G81+AB$61*'GREET2_Factors_T&amp;D'!$F24+AB$62*'GREET2_Factors_T&amp;D'!$G24+GREET1_Import_Export!$B231)+BV$86*(AB$64*GREET1_Import_Export!$AA81+AB$65*GREET1_Import_Export!$AB81+GREET1_Import_Export!$B299)+BV$87*(GREET1_Import_Export!$B324+GREET1_Import_Export!$C324)</f>
        <v>0</v>
      </c>
      <c r="BW104" s="363"/>
      <c r="BX104" s="1082"/>
      <c r="BY104" s="753">
        <f>BY$81*(AC$50*GREET1_Import_Export!$K81+GREET1_Import_Export!$B195*GREET1_Import_Export!$F$179+GREET1_Import_Export!$F195)+BY$82*(AC$52*GREET1_Import_Export!$Q81+AC$53*GREET1_Import_Export!$O81+AC$54*GREET1_Import_Export!$M81+GREET1_Import_Export!$B195*GREET1_Import_Export!$G$179+GREET1_Import_Export!$G195)+BY$83*(AC$55*GREET1_Import_Export!$T81+GREET1_Import_Export!$B195*GREET1_Import_Export!$C$179+GREET1_Import_Export!$C195)+BY$84*(AC$56*GREET1_Import_Export!$W81+GREET1_Import_Export!$E231*GREET1_Import_Export!$F$215+GREET1_Import_Export!$F231)+BY$85*(AC$57*GREET1_Import_Export!$B81+AC$58*GREET1_Import_Export!$C81+AC$59*GREET1_Import_Export!$G81+AC$61*'GREET2_Factors_T&amp;D'!$F24+AC$62*'GREET2_Factors_T&amp;D'!$G24+GREET1_Import_Export!$B231)+BY$86*(AC$64*GREET1_Import_Export!$AA81+AC$65*GREET1_Import_Export!$AB81+GREET1_Import_Export!$B299)+BY$87*(GREET1_Import_Export!$B324+GREET1_Import_Export!$C324)</f>
        <v>83.790187720186822</v>
      </c>
      <c r="BZ104" s="363"/>
      <c r="CA104" s="1082"/>
      <c r="CB104" s="753">
        <f>CB$81*(AD$50*GREET1_Import_Export!$K81+GREET1_Import_Export!$B195*GREET1_Import_Export!$F$179+GREET1_Import_Export!$F195)+CB$82*(AD$52*GREET1_Import_Export!$Q81+AD$53*GREET1_Import_Export!$O81+AD$54*GREET1_Import_Export!$M81+GREET1_Import_Export!$B195*GREET1_Import_Export!$G$179+GREET1_Import_Export!$G195)+CB$83*(AD$55*GREET1_Import_Export!$T81+GREET1_Import_Export!$B195*GREET1_Import_Export!$C$179+GREET1_Import_Export!$C195)+CB$84*(AD$56*GREET1_Import_Export!$W81+GREET1_Import_Export!$E231*GREET1_Import_Export!$F$215+GREET1_Import_Export!$F231)+CB$85*(AD$57*GREET1_Import_Export!$B81+AD$58*GREET1_Import_Export!$C81+AD$59*GREET1_Import_Export!$G81+AD$61*'GREET2_Factors_T&amp;D'!$F24+AD$62*'GREET2_Factors_T&amp;D'!$G24+GREET1_Import_Export!$B231)+CB$86*(AD$64*GREET1_Import_Export!$AA81+AD$65*GREET1_Import_Export!$AB81+GREET1_Import_Export!$B299)+CB$87*(GREET1_Import_Export!$B324+GREET1_Import_Export!$C324)</f>
        <v>60.194620921149891</v>
      </c>
      <c r="CC104" s="363"/>
      <c r="CD104" s="1082"/>
      <c r="CE104" s="749">
        <f>CE$81*($AE$50*GREET1_Import_Export!$K81+GREET1_Import_Export!$F$179*GREET1_Import_Export!$B195+GREET1_Import_Export!$F195)+CE$82*(GREET1_Import_Export!$R81+GREET1_Import_Export!$H$179*GREET1_Import_Export!$B195+GREET1_Import_Export!$H195)+CE$83*(GREET1_Import_Export!$T81+GREET1_Import_Export!$C$179*GREET1_Import_Export!$B195+GREET1_Import_Export!$C195)+CE$84*(GREET1_Import_Export!$X81+GREET1_Import_Export!$B$10*(GREET1_Import_Export!$F$215*GREET1_Import_Export!$B231+GREET1_Import_Export!$F231)+GREET1_Import_Export!$C$10*(GREET1_Import_Export!$E$179*GREET1_Import_Export!$B195+GREET1_Import_Export!$E195))+CE$85*($AE$57*GREET1_Import_Export!$B81+GREET1_Import_Export!$B231)+CE$86*($AE$64 *GREET1_Import_Export!$AA81+GREET1_Import_Export!$B299)+CE$87*(GREET1_Import_Export!$B324+GREET1_Import_Export!$C324)</f>
        <v>0</v>
      </c>
      <c r="CF104" s="817"/>
      <c r="CG104" s="1321"/>
      <c r="CH104" s="1321"/>
      <c r="CI104" s="1321"/>
      <c r="CJ104" s="1321"/>
      <c r="CK104" s="1321"/>
      <c r="CL104" s="1321"/>
      <c r="CM104" s="1321"/>
      <c r="CN104" s="1321"/>
      <c r="CO104" s="1321"/>
      <c r="CP104" s="1321"/>
      <c r="CQ104" s="1321"/>
      <c r="CR104" s="1321"/>
      <c r="CS104" s="1321"/>
      <c r="CT104" s="1321"/>
      <c r="CU104" s="1321"/>
      <c r="CV104" s="1321"/>
      <c r="CW104" s="1321"/>
      <c r="CX104" s="1321"/>
      <c r="CY104" s="1321"/>
      <c r="CZ104" s="1321"/>
      <c r="DA104" s="1321"/>
      <c r="DB104" s="1321"/>
      <c r="DC104" s="1321"/>
      <c r="DD104" s="1321"/>
      <c r="DE104" s="1321"/>
      <c r="DF104" s="1321"/>
      <c r="DG104" s="1321"/>
      <c r="DH104" s="1321"/>
      <c r="DI104" s="1321"/>
      <c r="DJ104" s="1321"/>
      <c r="DK104" s="1321"/>
      <c r="DL104" s="1321"/>
      <c r="DM104" s="1321"/>
      <c r="DN104" s="1321"/>
      <c r="DO104" s="1321"/>
      <c r="DP104" s="1321"/>
      <c r="DQ104" s="1321"/>
      <c r="DR104" s="1321"/>
      <c r="DS104" s="1321"/>
      <c r="DT104" s="1321"/>
      <c r="DU104" s="1321"/>
      <c r="DV104" s="1321"/>
      <c r="DW104" s="1321"/>
      <c r="DX104" s="1321"/>
      <c r="DY104" s="1321"/>
      <c r="DZ104" s="1321"/>
      <c r="EA104" s="1321"/>
      <c r="EB104" s="1321"/>
      <c r="EC104" s="1321"/>
      <c r="ED104" s="1321"/>
      <c r="EE104" s="1321"/>
      <c r="EF104" s="1321"/>
      <c r="EG104" s="1321"/>
      <c r="EH104" s="1321"/>
      <c r="EI104" s="1321"/>
      <c r="EJ104" s="1321"/>
      <c r="EK104" s="1321"/>
      <c r="EL104" s="1321"/>
      <c r="EM104" s="1321"/>
      <c r="EN104" s="1321"/>
      <c r="EO104" s="1321"/>
      <c r="EP104" s="1321"/>
      <c r="EQ104" s="1321"/>
      <c r="ER104" s="1321"/>
      <c r="ES104" s="1321"/>
      <c r="ET104" s="1321"/>
      <c r="EU104" s="1321"/>
      <c r="EV104" s="1321"/>
      <c r="EW104" s="1321"/>
      <c r="EX104" s="1321"/>
      <c r="EY104" s="1321"/>
      <c r="EZ104" s="1321"/>
      <c r="FA104" s="1321"/>
      <c r="FB104" s="1321"/>
    </row>
    <row r="105" spans="1:158">
      <c r="A105" s="292" t="s">
        <v>831</v>
      </c>
      <c r="B105" s="242">
        <f>B$81*(B$50*GREET1_Import_Export!$K82+GREET1_Import_Export!$B196*GREET1_Import_Export!$F$179+GREET1_Import_Export!$F196)+B$82*(B$52*GREET1_Import_Export!$Q82+B$53*GREET1_Import_Export!$O82+B$54*GREET1_Import_Export!$M82+GREET1_Import_Export!$B196*GREET1_Import_Export!$G$179+GREET1_Import_Export!$G196)+B$83*(B$55*GREET1_Import_Export!$T82+GREET1_Import_Export!$B196*GREET1_Import_Export!$C$179+GREET1_Import_Export!$C196)+B$84*(B$56*GREET1_Import_Export!$W82+GREET1_Import_Export!$E232*GREET1_Import_Export!$F$215+GREET1_Import_Export!$F232)+B$85*(B$57*GREET1_Import_Export!$B82+B$58*GREET1_Import_Export!$C82+B$59*GREET1_Import_Export!$G82+B$61*'GREET2_Factors_T&amp;D'!$F25+B$62*'GREET2_Factors_T&amp;D'!$G25+GREET1_Import_Export!$B232)+B$86*(B$64*GREET1_Import_Export!$AA82+B$65*GREET1_Import_Export!$AB82+GREET1_Import_Export!$B300)+B$87*SUM(GREET1_Import_Export!$B325:$C325)</f>
        <v>0</v>
      </c>
      <c r="C105" s="162">
        <v>264401.48183218401</v>
      </c>
      <c r="D105" s="243"/>
      <c r="E105" s="242">
        <f>E$81*(C$50*GREET1_Import_Export!$K82+GREET1_Import_Export!$B196*GREET1_Import_Export!$F$179+GREET1_Import_Export!$F196)+E$82*(C$52*GREET1_Import_Export!$Q82+C$53*GREET1_Import_Export!$O82+C$54*GREET1_Import_Export!$M82+GREET1_Import_Export!$B196*GREET1_Import_Export!$G$179+GREET1_Import_Export!$G196)+E$83*(C$55*GREET1_Import_Export!$T82+GREET1_Import_Export!$B196*GREET1_Import_Export!$C$179+GREET1_Import_Export!$C196)+E$84*(C$56*GREET1_Import_Export!$W82+GREET1_Import_Export!$E232*GREET1_Import_Export!$F$215+GREET1_Import_Export!$F232)+E$85*(C$57*GREET1_Import_Export!$B82+C$58*GREET1_Import_Export!$C82+C$59*GREET1_Import_Export!$G82+C$61*'GREET2_Factors_T&amp;D'!$F25+C$62*'GREET2_Factors_T&amp;D'!$G25+GREET1_Import_Export!$B232)+E$86*(C$64*GREET1_Import_Export!$AA82+C$65*GREET1_Import_Export!$AB82+GREET1_Import_Export!$B300)+E$87*SUM(GREET1_Import_Export!$B325:$C325)</f>
        <v>0</v>
      </c>
      <c r="F105" s="138"/>
      <c r="G105" s="243"/>
      <c r="H105" s="242">
        <f>H$81*(D$50*GREET1_Import_Export!$K82+GREET1_Import_Export!$B196*GREET1_Import_Export!$F$179+GREET1_Import_Export!$F196)+H$82*(D$52*GREET1_Import_Export!$Q82+D$53*GREET1_Import_Export!$O82+D$54*GREET1_Import_Export!$M82+GREET1_Import_Export!$B196*GREET1_Import_Export!$G$179+GREET1_Import_Export!$G196)+H$83*(D$55*GREET1_Import_Export!$T82+GREET1_Import_Export!$B196*GREET1_Import_Export!$C$179+GREET1_Import_Export!$C196)+H$84*(D$56*GREET1_Import_Export!$W82+GREET1_Import_Export!$E232*GREET1_Import_Export!$F$215+GREET1_Import_Export!$F232)+H$85*(D$57*GREET1_Import_Export!$B82+D$58*GREET1_Import_Export!$C82+D$59*GREET1_Import_Export!$G82+D$61*'GREET2_Factors_T&amp;D'!$F25+D$62*'GREET2_Factors_T&amp;D'!$G25+GREET1_Import_Export!$B232)+H$86*(D$64*GREET1_Import_Export!$AA82+D$65*GREET1_Import_Export!$AB82+GREET1_Import_Export!$B300)+H$87*SUM(GREET1_Import_Export!$B325:$C325)</f>
        <v>2529450.3305795798</v>
      </c>
      <c r="I105" s="138"/>
      <c r="J105" s="243"/>
      <c r="K105" s="242">
        <f>K$81*(E$50*GREET1_Import_Export!$K82+GREET1_Import_Export!$B196*GREET1_Import_Export!$F$179+GREET1_Import_Export!$F196)+K$82*(E$52*GREET1_Import_Export!$Q82+E$53*GREET1_Import_Export!$O82+E$54*GREET1_Import_Export!$M82+GREET1_Import_Export!$B196*GREET1_Import_Export!$G$179+GREET1_Import_Export!$G196)+K$83*(E$55*GREET1_Import_Export!$T82+GREET1_Import_Export!$B196*GREET1_Import_Export!$C$179+GREET1_Import_Export!$C196)+K$84*(E$56*GREET1_Import_Export!$W82+GREET1_Import_Export!$E232*GREET1_Import_Export!$F$215+GREET1_Import_Export!$F232)+K$85*(E$57*GREET1_Import_Export!$B82+E$58*GREET1_Import_Export!$C82+E$59*GREET1_Import_Export!$G82+E$61*'GREET2_Factors_T&amp;D'!$F25+E$62*'GREET2_Factors_T&amp;D'!$G25+GREET1_Import_Export!$B232)+K$86*(E$64*GREET1_Import_Export!$AA82+E$65*GREET1_Import_Export!$AB82+GREET1_Import_Export!$B300)+K$87*SUM(GREET1_Import_Export!$B325:$C325)</f>
        <v>2565097.5831102007</v>
      </c>
      <c r="L105" s="1114">
        <v>207562.394726445</v>
      </c>
      <c r="M105" s="243"/>
      <c r="N105" s="242">
        <f>N$81*(F$50*GREET1_Import_Export!$K82+GREET1_Import_Export!$B196*GREET1_Import_Export!$F$179+GREET1_Import_Export!$F196)+N$82*(F$52*GREET1_Import_Export!$Q82+F$53*GREET1_Import_Export!$O82+F$54*GREET1_Import_Export!$M82+GREET1_Import_Export!$B196*GREET1_Import_Export!$G$179+GREET1_Import_Export!$G196)+N$83*(F$55*GREET1_Import_Export!$T82+GREET1_Import_Export!$B196*GREET1_Import_Export!$C$179+GREET1_Import_Export!$C196)+N$84*(F$56*GREET1_Import_Export!$W82+GREET1_Import_Export!$E232*GREET1_Import_Export!$F$215+GREET1_Import_Export!$F232)+N$85*(F$57*GREET1_Import_Export!$B82+F$58*GREET1_Import_Export!$C82+F$59*GREET1_Import_Export!$G82+F$61*'GREET2_Factors_T&amp;D'!$F25+F$62*'GREET2_Factors_T&amp;D'!$G25+GREET1_Import_Export!$B232)+N$86*(F$64*GREET1_Import_Export!$AA82+F$65*GREET1_Import_Export!$AB82+GREET1_Import_Export!$B300)+N$87*SUM(GREET1_Import_Export!$B325:$C325)</f>
        <v>2529450.3305795798</v>
      </c>
      <c r="O105" s="138"/>
      <c r="P105" s="243"/>
      <c r="Q105" s="137">
        <f>Q$81*(G$50*GREET1_Import_Export!$K82+GREET1_Import_Export!$B196*GREET1_Import_Export!$F$179+GREET1_Import_Export!$F196)+Q$82*(G$52*GREET1_Import_Export!$Q82+G$53*GREET1_Import_Export!$O82+G$54*GREET1_Import_Export!$M82+GREET1_Import_Export!$B196*GREET1_Import_Export!$G$179+GREET1_Import_Export!$G196)+Q$83*(G$55*GREET1_Import_Export!$T82+GREET1_Import_Export!$B196*GREET1_Import_Export!$C$179+GREET1_Import_Export!$C196)+Q$84*(G$56*GREET1_Import_Export!$W82+GREET1_Import_Export!$E232*GREET1_Import_Export!$F$215+GREET1_Import_Export!$F232)+Q$85*(G$57*GREET1_Import_Export!$B82+G$58*GREET1_Import_Export!$C82+G$59*GREET1_Import_Export!$G82+G$61*'GREET2_Factors_T&amp;D'!$F25+G$62*'GREET2_Factors_T&amp;D'!$G25+GREET1_Import_Export!$B232)+Q$86*(G$64*GREET1_Import_Export!$AA82+G$65*GREET1_Import_Export!$AB82+GREET1_Import_Export!$B300)
+Q$87*($B$46*(GREET1_Import_Export!$B325+GREET1_Import_Export!$C325)+$C$46*GREET1_Import_Export!L358+$D$46*GREET1_Import_Export!H358+$E$46*GREET1_Import_Export!Q358+$F$46*GREET1_Import_Export!R358+SUMPRODUCT($G$46:$I$46,GREET1_Import_Export!N358:P358))</f>
        <v>2565097.5831102007</v>
      </c>
      <c r="R105" s="1114">
        <v>206955.587808418</v>
      </c>
      <c r="S105" s="243"/>
      <c r="T105" s="137">
        <f>T$81*(H$50*GREET1_Import_Export!$K82+GREET1_Import_Export!$B196*GREET1_Import_Export!$F$179+GREET1_Import_Export!$F196)+T$82*(H$52*GREET1_Import_Export!$Q82+H$53*GREET1_Import_Export!$O82+H$54*GREET1_Import_Export!$M82+GREET1_Import_Export!$B196*GREET1_Import_Export!$G$179+GREET1_Import_Export!$G196)+T$83*(H$55*GREET1_Import_Export!$T82+GREET1_Import_Export!$B196*GREET1_Import_Export!$C$179+GREET1_Import_Export!$C196)+T$84*(H$56*GREET1_Import_Export!$W82+GREET1_Import_Export!$E232*GREET1_Import_Export!$F$215+GREET1_Import_Export!$F232)+T$85*(H$57*GREET1_Import_Export!$B82+H$58*GREET1_Import_Export!$C82+H$59*GREET1_Import_Export!$G82+H$61*'GREET2_Factors_T&amp;D'!$F25+H$62*'GREET2_Factors_T&amp;D'!$G25+GREET1_Import_Export!$B232)+T$86*(H$64*GREET1_Import_Export!$AA82+H$65*GREET1_Import_Export!$AB82+GREET1_Import_Export!$B300)+T$87*SUM(GREET1_Import_Export!$B325:$C325)</f>
        <v>2529450.3305795798</v>
      </c>
      <c r="U105" s="1114"/>
      <c r="V105" s="243"/>
      <c r="W105" s="137">
        <f>W$81*(BS$50*GREET1_Import_Export!$K82+GREET1_Import_Export!$B196*GREET1_Import_Export!$F$179+GREET1_Import_Export!$F196)+W$82*(BS$52*GREET1_Import_Export!$Q82+BS$53*GREET1_Import_Export!$O82+BS$54*GREET1_Import_Export!$M82+GREET1_Import_Export!$B196*GREET1_Import_Export!$G$179+GREET1_Import_Export!$G196)+W$83*(BS$55*GREET1_Import_Export!$T82+GREET1_Import_Export!$B196*GREET1_Import_Export!$C$179+GREET1_Import_Export!$C196)+W$84*(BS$56*GREET1_Import_Export!$W82+GREET1_Import_Export!$E232*GREET1_Import_Export!$F$215+GREET1_Import_Export!$F232)+W$85*(BS$57*GREET1_Import_Export!$B82+BS$58*GREET1_Import_Export!$C82+BS$59*GREET1_Import_Export!$G82+BS$61*'GREET2_Factors_T&amp;D'!$F25+BS$62*'GREET2_Factors_T&amp;D'!$G25+GREET1_Import_Export!$B232)+W$86*(BS$64*GREET1_Import_Export!$AA82+BS$65*GREET1_Import_Export!$AB82+GREET1_Import_Export!$B300)+W$87*($B$46*(GREET1_Import_Export!$B325+GREET1_Import_Export!$C325)+$C$46*GREET1_Import_Export!L358+$D$46*GREET1_Import_Export!H358+$E$46*GREET1_Import_Export!Q358+$F$46*GREET1_Import_Export!R358+SUMPRODUCT($G$46:$I$46,GREET1_Import_Export!N358:P358))</f>
        <v>2565097.5831102007</v>
      </c>
      <c r="X105" s="1114">
        <v>205895.14849978857</v>
      </c>
      <c r="Y105" s="243"/>
      <c r="Z105" s="242">
        <f>Z$81*(J$50*GREET1_Import_Export!$K82+GREET1_Import_Export!$B196*GREET1_Import_Export!$F$179+GREET1_Import_Export!$F196)+Z$82*(J$52*GREET1_Import_Export!$Q82+J$53*GREET1_Import_Export!$O82+J$54*GREET1_Import_Export!$M82+GREET1_Import_Export!$B196*GREET1_Import_Export!$G$179+GREET1_Import_Export!$G196)+Z$83*(J$55*GREET1_Import_Export!$T82+GREET1_Import_Export!$B196*GREET1_Import_Export!$C$179+GREET1_Import_Export!$C196)+Z$84*(J$56*GREET1_Import_Export!$W82+GREET1_Import_Export!$E232*GREET1_Import_Export!$F$215+GREET1_Import_Export!$F232)+Z$85*(J$57*GREET1_Import_Export!$B82+J$58*GREET1_Import_Export!$C82+J$59*GREET1_Import_Export!$G82+J$61*'GREET2_Factors_T&amp;D'!$F25+J$62*'GREET2_Factors_T&amp;D'!$G25+GREET1_Import_Export!$B232)+Z$86*(J$64*GREET1_Import_Export!$AA82+J$65*GREET1_Import_Export!$AB82+GREET1_Import_Export!$B300)+Z$87*SUM(GREET1_Import_Export!$B325:$C325)</f>
        <v>2529450.3305795798</v>
      </c>
      <c r="AA105" s="138"/>
      <c r="AB105" s="243"/>
      <c r="AC105" s="137">
        <f>AC$81*(K$50*GREET1_Import_Export!$K82+GREET1_Import_Export!$B196*GREET1_Import_Export!$F$179+GREET1_Import_Export!$F196)+AC$82*(K$52*GREET1_Import_Export!$Q82+K$53*GREET1_Import_Export!$O82+K$54*GREET1_Import_Export!$M82+GREET1_Import_Export!$B196*GREET1_Import_Export!$G$179+GREET1_Import_Export!$G196)+AC$83*(K$55*GREET1_Import_Export!$T82+GREET1_Import_Export!$B196*GREET1_Import_Export!$C$179+GREET1_Import_Export!$C196)+AC$84*(K$56*GREET1_Import_Export!$W82+GREET1_Import_Export!$E232*GREET1_Import_Export!$F$215+GREET1_Import_Export!$F232)+AC$85*(K$57*GREET1_Import_Export!$B82+K$58*GREET1_Import_Export!$C82+K$59*GREET1_Import_Export!$G82+K$61*'GREET2_Factors_T&amp;D'!$F25+K$62*'GREET2_Factors_T&amp;D'!$G25+GREET1_Import_Export!$B232)+AC$86*(K$64*GREET1_Import_Export!$AA82+K$65*GREET1_Import_Export!$AB82+GREET1_Import_Export!$B300)+AC$87*($B$46*(GREET1_Import_Export!$B325+GREET1_Import_Export!$C325)+$C$46*GREET1_Import_Export!L358+$D$46*GREET1_Import_Export!H358+$E$46*GREET1_Import_Export!Q358+$F$46*GREET1_Import_Export!R358+SUMPRODUCT($G$46:$I$46,GREET1_Import_Export!N358:P358))</f>
        <v>2565097.5831102007</v>
      </c>
      <c r="AD105" s="1114">
        <v>205956.33872565199</v>
      </c>
      <c r="AE105" s="243"/>
      <c r="AF105" s="242">
        <f>AF$81*(L$50*GREET1_Import_Export!$K82+GREET1_Import_Export!$B196*GREET1_Import_Export!$F$179+GREET1_Import_Export!$F196)+AF$82*(L$52*GREET1_Import_Export!$Q82+L$53*GREET1_Import_Export!$O82+L$54*GREET1_Import_Export!$M82+GREET1_Import_Export!$B196*GREET1_Import_Export!$G$179+GREET1_Import_Export!$G196)+AF$83*(L$55*GREET1_Import_Export!$T82+GREET1_Import_Export!$B196*GREET1_Import_Export!$C$179+GREET1_Import_Export!$C196)+AF$84*(L$56*GREET1_Import_Export!$W82+GREET1_Import_Export!$E232*GREET1_Import_Export!$F$215+GREET1_Import_Export!$F232)+AF$85*(L$57*GREET1_Import_Export!$B82+L$58*GREET1_Import_Export!$C82+L$59*GREET1_Import_Export!$G82+L$61*'GREET2_Factors_T&amp;D'!$F25+L$62*'GREET2_Factors_T&amp;D'!$G25+GREET1_Import_Export!$B232)+AF$86*(L$64*GREET1_Import_Export!$AA82+L$65*GREET1_Import_Export!$AB82+GREET1_Import_Export!$B300)+AF$87*SUM(GREET1_Import_Export!$B325:$C325)</f>
        <v>2529450.3305795798</v>
      </c>
      <c r="AG105" s="138"/>
      <c r="AH105" s="139"/>
      <c r="AI105" s="137">
        <f>AI$81*(M$50*GREET1_Import_Export!$K82+GREET1_Import_Export!$B196*GREET1_Import_Export!$F$179+GREET1_Import_Export!$F196)+AI$82*(M$52*GREET1_Import_Export!$Q82+M$53*GREET1_Import_Export!$O82+M$54*GREET1_Import_Export!$M82+GREET1_Import_Export!$B196*GREET1_Import_Export!$G$179+GREET1_Import_Export!$G196)+AI$83*(M$55*GREET1_Import_Export!$T82+GREET1_Import_Export!$B196*GREET1_Import_Export!$C$179+GREET1_Import_Export!$C196)+AI$84*(M$56*GREET1_Import_Export!$W82+GREET1_Import_Export!$E232*GREET1_Import_Export!$F$215+GREET1_Import_Export!$F232)+AI$85*(M$57*GREET1_Import_Export!$B82+M$58*GREET1_Import_Export!$C82+M$59*GREET1_Import_Export!$G82+M$61*'GREET2_Factors_T&amp;D'!$F25+M$62*'GREET2_Factors_T&amp;D'!$G25+GREET1_Import_Export!$B232)+AI$86*(M$64*GREET1_Import_Export!$AA82+M$65*GREET1_Import_Export!$AB82+GREET1_Import_Export!$B300)+AI$87*($B$46*(GREET1_Import_Export!$B325+GREET1_Import_Export!$C325)+$C$46*GREET1_Import_Export!L358+$D$46*GREET1_Import_Export!H358+$E$46*GREET1_Import_Export!Q358+$F$46*GREET1_Import_Export!R358+SUMPRODUCT($G$46:$I$46,GREET1_Import_Export!N358:P358))</f>
        <v>2931540.0949830846</v>
      </c>
      <c r="AJ105" s="138"/>
      <c r="AK105" s="243"/>
      <c r="AL105" s="242">
        <f>AL$81*(N$50*GREET1_Import_Export!$K82+GREET1_Import_Export!$B196*GREET1_Import_Export!$F$179+GREET1_Import_Export!$F196)+AL$82*(N$52*GREET1_Import_Export!$Q82+N$53*GREET1_Import_Export!$O82+N$54*GREET1_Import_Export!$M82+GREET1_Import_Export!$B196*GREET1_Import_Export!$G$179+GREET1_Import_Export!$G196)+AL$83*(N$55*GREET1_Import_Export!$T82+GREET1_Import_Export!$B196*GREET1_Import_Export!$C$179+GREET1_Import_Export!$C196)+AL$84*(N$56*GREET1_Import_Export!$W82+GREET1_Import_Export!$E232*GREET1_Import_Export!$F$215+GREET1_Import_Export!$F232)+AL$85*(N$57*GREET1_Import_Export!$B82+N$58*GREET1_Import_Export!$C82+N$59*GREET1_Import_Export!$G82+N$61*'GREET2_Factors_T&amp;D'!$F25+N$62*'GREET2_Factors_T&amp;D'!$G25+GREET1_Import_Export!$B232)+AL$86*(N$64*GREET1_Import_Export!$AA82+N$65*GREET1_Import_Export!$AB82+GREET1_Import_Export!$B300)+AL$87*SUM(GREET1_Import_Export!$B325:$C325)</f>
        <v>2102315.4531863732</v>
      </c>
      <c r="AM105" s="138"/>
      <c r="AN105" s="243"/>
      <c r="AO105" s="242">
        <f>AO$81*(O$50*GREET1_Import_Export!$K82+GREET1_Import_Export!$B196*GREET1_Import_Export!$F$179+GREET1_Import_Export!$F196)+AO$82*(O$52*GREET1_Import_Export!$Q82+O$53*GREET1_Import_Export!$O82+O$54*GREET1_Import_Export!$M82+GREET1_Import_Export!$B196*GREET1_Import_Export!$G$179+GREET1_Import_Export!$G196)+AO$83*(O$55*GREET1_Import_Export!$T82+GREET1_Import_Export!$B196*GREET1_Import_Export!$C$179+GREET1_Import_Export!$C196)+AO$84*(O$56*GREET1_Import_Export!$W82+GREET1_Import_Export!$E232*GREET1_Import_Export!$F$215+GREET1_Import_Export!$F232)+AO$85*(O$57*GREET1_Import_Export!$B82+O$58*GREET1_Import_Export!$C82+O$59*GREET1_Import_Export!$G82+O$61*'GREET2_Factors_T&amp;D'!$F25+O$62*'GREET2_Factors_T&amp;D'!$G25+GREET1_Import_Export!$B232)+AO$86*(O$64*GREET1_Import_Export!$AA82+O$65*GREET1_Import_Export!$AB82+GREET1_Import_Export!$B300)+AO$87*SUM(GREET1_Import_Export!$B325:$C325)</f>
        <v>2776290.6174529414</v>
      </c>
      <c r="AP105" s="1114">
        <v>202608</v>
      </c>
      <c r="AQ105" s="243"/>
      <c r="AR105" s="242">
        <f>AR$81*(P$50*GREET1_Import_Export!$K82+GREET1_Import_Export!$B196*GREET1_Import_Export!$F$179+GREET1_Import_Export!$F196)+AR$82*(P$52*GREET1_Import_Export!$Q82+P$53*GREET1_Import_Export!$O82+P$54*GREET1_Import_Export!$M82+GREET1_Import_Export!$B196*GREET1_Import_Export!$G$179+GREET1_Import_Export!$G196)+AR$83*(P$55*GREET1_Import_Export!$T82+GREET1_Import_Export!$B196*GREET1_Import_Export!$C$179+GREET1_Import_Export!$C196)+AR$84*(P$56*GREET1_Import_Export!$W82+GREET1_Import_Export!$E232*GREET1_Import_Export!$F$215+GREET1_Import_Export!$F232)+AR$85*(P$57*GREET1_Import_Export!$B82+P$58*GREET1_Import_Export!$C82+P$59*GREET1_Import_Export!$G82+P$61*'GREET2_Factors_T&amp;D'!$F25+P$62*'GREET2_Factors_T&amp;D'!$G25+GREET1_Import_Export!$B232)+AR$86*(P$64*GREET1_Import_Export!$AA82+P$65*GREET1_Import_Export!$AB82+GREET1_Import_Export!$B300)+AR$87*SUM(GREET1_Import_Export!$B325:$C325)</f>
        <v>2058058.6563711509</v>
      </c>
      <c r="AS105" s="138"/>
      <c r="AT105" s="243"/>
      <c r="AU105" s="242">
        <f>AU$81*(Q$50*GREET1_Import_Export!$K82+GREET1_Import_Export!$B196*GREET1_Import_Export!$F$179+GREET1_Import_Export!$F196)+AU$82*(Q$52*GREET1_Import_Export!$Q82+Q$53*GREET1_Import_Export!$O82+Q$54*GREET1_Import_Export!$M82+GREET1_Import_Export!$B196*GREET1_Import_Export!$G$179+GREET1_Import_Export!$G196)+AU$83*(Q$55*GREET1_Import_Export!$T82+GREET1_Import_Export!$B196*GREET1_Import_Export!$C$179+GREET1_Import_Export!$C196)+AU$84*(Q$56*GREET1_Import_Export!$W82+GREET1_Import_Export!$E232*GREET1_Import_Export!$F$215+GREET1_Import_Export!$F232)+AU$85*(Q$57*GREET1_Import_Export!$B82+Q$58*GREET1_Import_Export!$C82+Q$59*GREET1_Import_Export!$G82+Q$61*'GREET2_Factors_T&amp;D'!$F25+Q$62*'GREET2_Factors_T&amp;D'!$G25+GREET1_Import_Export!$B232)+AU$86*(Q$64*GREET1_Import_Export!$AA82+Q$65*GREET1_Import_Export!$AB82+GREET1_Import_Export!$B300)+AU$87*SUM(GREET1_Import_Export!$B325:$C325)</f>
        <v>579083.90516752331</v>
      </c>
      <c r="AV105" s="138"/>
      <c r="AW105" s="243"/>
      <c r="AX105" s="242">
        <f>AX$81*(R$50*GREET1_Import_Export!$K82+GREET1_Import_Export!$B196*GREET1_Import_Export!$F$179+GREET1_Import_Export!$F196)+AX$82*(R$52*GREET1_Import_Export!$Q82+R$53*GREET1_Import_Export!$O82+R$54*GREET1_Import_Export!$M82+GREET1_Import_Export!$B196*GREET1_Import_Export!$G$179+GREET1_Import_Export!$G196)+AX$83*(R$55*GREET1_Import_Export!$T82+GREET1_Import_Export!$B196*GREET1_Import_Export!$C$179+GREET1_Import_Export!$C196)+AX$84*(R$56*GREET1_Import_Export!$W82+GREET1_Import_Export!$E232*GREET1_Import_Export!$F$215+GREET1_Import_Export!$F232)+AX$85*(R$57*GREET1_Import_Export!$B82+R$58*GREET1_Import_Export!$C82+R$59*GREET1_Import_Export!$G82+R$61*'GREET2_Factors_T&amp;D'!$F25+R$62*'GREET2_Factors_T&amp;D'!$G25+GREET1_Import_Export!$B232)+AX$86*(R$64*GREET1_Import_Export!$AA82+R$65*GREET1_Import_Export!$AB82+GREET1_Import_Export!$B300)+AX$87*SUM(GREET1_Import_Export!$B325:$C325)</f>
        <v>177852.16173519113</v>
      </c>
      <c r="AY105" s="1114">
        <v>362478</v>
      </c>
      <c r="AZ105" s="243"/>
      <c r="BA105" s="242">
        <f>BA$81*(S$50*GREET1_Import_Export!$K82+GREET1_Import_Export!$B196*GREET1_Import_Export!$F$179+GREET1_Import_Export!$F196)+BA$82*(S$52*GREET1_Import_Export!$Q82+S$53*GREET1_Import_Export!$O82+S$54*GREET1_Import_Export!$M82+GREET1_Import_Export!$B196*GREET1_Import_Export!$G$179+GREET1_Import_Export!$G196)+BA$83*(S$55*GREET1_Import_Export!$T82+GREET1_Import_Export!$B196*GREET1_Import_Export!$C$179+GREET1_Import_Export!$C196)+BA$84*(S$56*GREET1_Import_Export!$W82+GREET1_Import_Export!$E232*GREET1_Import_Export!$F$215+GREET1_Import_Export!$F232)+BA$85*(S$57*GREET1_Import_Export!$B82+S$58*GREET1_Import_Export!$C82+S$59*GREET1_Import_Export!$G82+S$61*'GREET2_Factors_T&amp;D'!$F25+S$62*'GREET2_Factors_T&amp;D'!$G25+GREET1_Import_Export!$B232)+BA$86*(S$64*GREET1_Import_Export!$AA82+S$65*GREET1_Import_Export!$AB82+GREET1_Import_Export!$B300)+BA$87*SUM(GREET1_Import_Export!$B325:$C325)</f>
        <v>2198655.0712373164</v>
      </c>
      <c r="BB105" s="1114">
        <v>203974.00633493406</v>
      </c>
      <c r="BC105" s="243"/>
      <c r="BD105" s="137">
        <f>BD$81*(T$50*GREET1_Import_Export!$K82+GREET1_Import_Export!$B196*GREET1_Import_Export!$F$179+GREET1_Import_Export!$F196)+BD$82*(T$52*GREET1_Import_Export!$Q82+T$53*GREET1_Import_Export!$O82+T$54*GREET1_Import_Export!$M82+GREET1_Import_Export!$B196*GREET1_Import_Export!$G$179+GREET1_Import_Export!$G196)+BD$83*(T$55*GREET1_Import_Export!$T82+GREET1_Import_Export!$B196*GREET1_Import_Export!$C$179+GREET1_Import_Export!$C196)+BD$84*(T$56*GREET1_Import_Export!$W82+GREET1_Import_Export!$E232*GREET1_Import_Export!$F$215+GREET1_Import_Export!$F232)+BD$85*(T$57*GREET1_Import_Export!$B82+T$58*GREET1_Import_Export!$C82+T$59*GREET1_Import_Export!$G82+T$61*'GREET2_Factors_T&amp;D'!$F25+T$62*'GREET2_Factors_T&amp;D'!$G25+GREET1_Import_Export!$B232)+BD$86*(T$64*GREET1_Import_Export!$AA82+T$65*GREET1_Import_Export!$AB82+GREET1_Import_Export!$B300)+BD$87*SUM(GREET1_Import_Export!$B325:$C325)</f>
        <v>1775595.4678584943</v>
      </c>
      <c r="BE105" s="138"/>
      <c r="BF105" s="139"/>
      <c r="BG105" s="137">
        <f>BG$81*(U$50*GREET1_Import_Export!$K82+GREET1_Import_Export!$B196*GREET1_Import_Export!$F$179+GREET1_Import_Export!$F196)+BG$82*(U$52*GREET1_Import_Export!$Q82+U$53*GREET1_Import_Export!$O82+U$54*GREET1_Import_Export!$M82+GREET1_Import_Export!$B196*GREET1_Import_Export!$G$179+GREET1_Import_Export!$G196)+BG$83*(U$55*GREET1_Import_Export!$T82+GREET1_Import_Export!$B196*GREET1_Import_Export!$C$179+GREET1_Import_Export!$C196)+BG$84*(U$56*GREET1_Import_Export!$W82+GREET1_Import_Export!$E232*GREET1_Import_Export!$F$215+GREET1_Import_Export!$F232)+BG$85*(U$57*GREET1_Import_Export!$B82+U$58*GREET1_Import_Export!$C82+U$59*GREET1_Import_Export!$G82+U$61*'GREET2_Factors_T&amp;D'!$F25+U$62*'GREET2_Factors_T&amp;D'!$G25+GREET1_Import_Export!$B232)+BG$86*(U$64*GREET1_Import_Export!$AA82+U$65*GREET1_Import_Export!$AB82+GREET1_Import_Export!$B300)+BG$87*SUM(GREET1_Import_Export!$B325:$C325)</f>
        <v>1908551.2111187428</v>
      </c>
      <c r="BH105" s="138"/>
      <c r="BI105" s="139"/>
      <c r="BJ105" s="137">
        <f>BJ$81*(V$50*GREET1_Import_Export!$K82+GREET1_Import_Export!$B196*GREET1_Import_Export!$F$179+GREET1_Import_Export!$F196)+BJ$82*(V$52*GREET1_Import_Export!$Q82+V$53*GREET1_Import_Export!$O82+V$54*GREET1_Import_Export!$M82+GREET1_Import_Export!$B196*GREET1_Import_Export!$G$179+GREET1_Import_Export!$G196)+BJ$83*(V$55*GREET1_Import_Export!$T82+GREET1_Import_Export!$B196*GREET1_Import_Export!$C$179+GREET1_Import_Export!$C196)+BJ$84*(V$56*GREET1_Import_Export!$W82+GREET1_Import_Export!$E232*GREET1_Import_Export!$F$215+GREET1_Import_Export!$F232)+BJ$85*(V$57*GREET1_Import_Export!$B82+V$58*GREET1_Import_Export!$C82+V$59*GREET1_Import_Export!$G82+V$61*'GREET2_Factors_T&amp;D'!$F25+V$62*'GREET2_Factors_T&amp;D'!$G25+GREET1_Import_Export!$B232)+BJ$86*(V$64*GREET1_Import_Export!$AA82+V$65*GREET1_Import_Export!$AB82+GREET1_Import_Export!$B300)+BJ$87*SUM(GREET1_Import_Export!$B325:$C325)</f>
        <v>299640.05382048112</v>
      </c>
      <c r="BK105" s="1114"/>
      <c r="BL105" s="139"/>
      <c r="BM105" s="137">
        <f>BM$81*(X$50*GREET1_Import_Export!$K82+GREET1_Import_Export!$B196*GREET1_Import_Export!$F$179+GREET1_Import_Export!$F196)+BM$82*(X$52*GREET1_Import_Export!$Q82+X$53*GREET1_Import_Export!$O82+X$54*GREET1_Import_Export!$M82+GREET1_Import_Export!$B196*GREET1_Import_Export!$G$179+GREET1_Import_Export!$G196)+BM$83*(X$55*GREET1_Import_Export!$T82+GREET1_Import_Export!$B196*GREET1_Import_Export!$C$179+GREET1_Import_Export!$C196)+BM$84*(X$56*GREET1_Import_Export!$W82+GREET1_Import_Export!$E232*GREET1_Import_Export!$F$215+GREET1_Import_Export!$F232)+BM$85*(X$57*GREET1_Import_Export!$B82+X$58*GREET1_Import_Export!$C82+X$59*GREET1_Import_Export!$G82+X$61*'GREET2_Factors_T&amp;D'!$F25+X$62*'GREET2_Factors_T&amp;D'!$G25+GREET1_Import_Export!$B232)+BM$86*(X$64*GREET1_Import_Export!$AA82+X$65*GREET1_Import_Export!$AB82+GREET1_Import_Export!$B300)+BM$87*SUM(GREET1_Import_Export!$B325:$C325)</f>
        <v>73683.455925022688</v>
      </c>
      <c r="BN105" s="138"/>
      <c r="BO105" s="139"/>
      <c r="BP105" s="242">
        <f>BP$81*(Z$50*GREET1_Import_Export!$K82+GREET1_Import_Export!$B196*GREET1_Import_Export!$F$179+GREET1_Import_Export!$F196)+BP$82*(Z$52*GREET1_Import_Export!$Q82+Z$53*GREET1_Import_Export!$O82+Z$54*GREET1_Import_Export!$M82+GREET1_Import_Export!$B196*GREET1_Import_Export!$G$179+GREET1_Import_Export!$G196)+BP$83*(Z$55*GREET1_Import_Export!$T82+GREET1_Import_Export!$B196*GREET1_Import_Export!$C$179+GREET1_Import_Export!$C196)+BP$84*(Z$56*GREET1_Import_Export!$W82+GREET1_Import_Export!$E232*GREET1_Import_Export!$F$215+GREET1_Import_Export!$F232)+BP$85*(Z$57*GREET1_Import_Export!$B82+Z$58*GREET1_Import_Export!$C82+Z$59*GREET1_Import_Export!$G82+Z$61*'GREET2_Factors_T&amp;D'!$F25+Z$62*'GREET2_Factors_T&amp;D'!$G25+GREET1_Import_Export!$B232)+BP$86*(Z$64*GREET1_Import_Export!$AA82+Z$65*GREET1_Import_Export!$AB82+GREET1_Import_Export!$B300)+BP$87*SUM(GREET1_Import_Export!$B325:$C325)</f>
        <v>0</v>
      </c>
      <c r="BQ105" s="138"/>
      <c r="BR105" s="243"/>
      <c r="BS105" s="1091">
        <f>BS$81*(AA$50*GREET1_Import_Export!$K82+GREET1_Import_Export!$B196*GREET1_Import_Export!$F$179+GREET1_Import_Export!$F196)+BS$82*(AA$52*GREET1_Import_Export!$Q82+AA$53*GREET1_Import_Export!$O82+AA$54*GREET1_Import_Export!$M82+GREET1_Import_Export!$B196*GREET1_Import_Export!$G$179+GREET1_Import_Export!$G196)+BS$83*(AA$55*GREET1_Import_Export!$T82+GREET1_Import_Export!$B196*GREET1_Import_Export!$C$179+GREET1_Import_Export!$C196)+BS$84*(AA$56*GREET1_Import_Export!$W82+GREET1_Import_Export!$E232*GREET1_Import_Export!$F$215+GREET1_Import_Export!$F232)+BS$85*(AA$57*GREET1_Import_Export!$B82+AA$58*GREET1_Import_Export!$C82+AA$59*GREET1_Import_Export!$G82+AA$61*'GREET2_Factors_T&amp;D'!$F25+AA$62*'GREET2_Factors_T&amp;D'!$G25+GREET1_Import_Export!$B232)+BS$86*(AA$64*GREET1_Import_Export!$AA82+AA$65*GREET1_Import_Export!$AB82+GREET1_Import_Export!$B300)+BS$87*(GREET1_Import_Export!$B325+GREET1_Import_Export!$C325)</f>
        <v>29593.257797641571</v>
      </c>
      <c r="BT105" s="526"/>
      <c r="BU105" s="1087"/>
      <c r="BV105" s="748">
        <f>BV$81*(AB$50*GREET1_Import_Export!$K82+GREET1_Import_Export!$B196*GREET1_Import_Export!$F$179+GREET1_Import_Export!$F196)+BV$82*(AB$52*GREET1_Import_Export!$Q82+AB$53*GREET1_Import_Export!$O82+AB$54*GREET1_Import_Export!$M82+GREET1_Import_Export!$B196*GREET1_Import_Export!$G$179+GREET1_Import_Export!$G196)+BV$83*(AB$55*GREET1_Import_Export!$T82+GREET1_Import_Export!$B196*GREET1_Import_Export!$C$179+GREET1_Import_Export!$C196)+BV$84*(AB$56*GREET1_Import_Export!$W82+GREET1_Import_Export!$E232*GREET1_Import_Export!$F$215+GREET1_Import_Export!$F232)+BV$85*(AB$57*GREET1_Import_Export!$B82+AB$58*GREET1_Import_Export!$C82+AB$59*GREET1_Import_Export!$G82+AB$61*'GREET2_Factors_T&amp;D'!$F25+AB$62*'GREET2_Factors_T&amp;D'!$G25+GREET1_Import_Export!$B232)+BV$86*(AB$64*GREET1_Import_Export!$AA82+AB$65*GREET1_Import_Export!$AB82+GREET1_Import_Export!$B300)+BV$87*(GREET1_Import_Export!$B325+GREET1_Import_Export!$C325)</f>
        <v>0</v>
      </c>
      <c r="BW105" s="526"/>
      <c r="BX105" s="1087"/>
      <c r="BY105" s="1091">
        <f>BY$81*(AC$50*GREET1_Import_Export!$K82+GREET1_Import_Export!$B196*GREET1_Import_Export!$F$179+GREET1_Import_Export!$F196)+BY$82*(AC$52*GREET1_Import_Export!$Q82+AC$53*GREET1_Import_Export!$O82+AC$54*GREET1_Import_Export!$M82+GREET1_Import_Export!$B196*GREET1_Import_Export!$G$179+GREET1_Import_Export!$G196)+BY$83*(AC$55*GREET1_Import_Export!$T82+GREET1_Import_Export!$B196*GREET1_Import_Export!$C$179+GREET1_Import_Export!$C196)+BY$84*(AC$56*GREET1_Import_Export!$W82+GREET1_Import_Export!$E232*GREET1_Import_Export!$F$215+GREET1_Import_Export!$F232)+BY$85*(AC$57*GREET1_Import_Export!$B82+AC$58*GREET1_Import_Export!$C82+AC$59*GREET1_Import_Export!$G82+AC$61*'GREET2_Factors_T&amp;D'!$F25+AC$62*'GREET2_Factors_T&amp;D'!$G25+GREET1_Import_Export!$B232)+BY$86*(AC$64*GREET1_Import_Export!$AA82+AC$65*GREET1_Import_Export!$AB82+GREET1_Import_Export!$B300)+BY$87*(GREET1_Import_Export!$B325+GREET1_Import_Export!$C325)</f>
        <v>2529450.3305795798</v>
      </c>
      <c r="BZ105" s="526"/>
      <c r="CA105" s="1087"/>
      <c r="CB105" s="1091">
        <f>CB$81*(AD$50*GREET1_Import_Export!$K82+GREET1_Import_Export!$B196*GREET1_Import_Export!$F$179+GREET1_Import_Export!$F196)+CB$82*(AD$52*GREET1_Import_Export!$Q82+AD$53*GREET1_Import_Export!$O82+AD$54*GREET1_Import_Export!$M82+GREET1_Import_Export!$B196*GREET1_Import_Export!$G$179+GREET1_Import_Export!$G196)+CB$83*(AD$55*GREET1_Import_Export!$T82+GREET1_Import_Export!$B196*GREET1_Import_Export!$C$179+GREET1_Import_Export!$C196)+CB$84*(AD$56*GREET1_Import_Export!$W82+GREET1_Import_Export!$E232*GREET1_Import_Export!$F$215+GREET1_Import_Export!$F232)+CB$85*(AD$57*GREET1_Import_Export!$B82+AD$58*GREET1_Import_Export!$C82+AD$59*GREET1_Import_Export!$G82+AD$61*'GREET2_Factors_T&amp;D'!$F25+AD$62*'GREET2_Factors_T&amp;D'!$G25+GREET1_Import_Export!$B232)+CB$86*(AD$64*GREET1_Import_Export!$AA82+AD$65*GREET1_Import_Export!$AB82+GREET1_Import_Export!$B300)+CB$87*(GREET1_Import_Export!$B325+GREET1_Import_Export!$C325)</f>
        <v>2931540.0949830846</v>
      </c>
      <c r="CC105" s="526"/>
      <c r="CD105" s="1087"/>
      <c r="CE105" s="1092">
        <f>CE$81*($AE$50*GREET1_Import_Export!$K82+GREET1_Import_Export!$F$179*GREET1_Import_Export!$B196+GREET1_Import_Export!$F196)+CE$82*(GREET1_Import_Export!$R82+GREET1_Import_Export!$H$179*GREET1_Import_Export!$B196+GREET1_Import_Export!$H196)+CE$83*(GREET1_Import_Export!$T82+GREET1_Import_Export!$C$179*GREET1_Import_Export!$B196+GREET1_Import_Export!$C196)+CE$84*(GREET1_Import_Export!$X82+GREET1_Import_Export!$B$10*(GREET1_Import_Export!$F$215*GREET1_Import_Export!$B232+GREET1_Import_Export!$F232)+GREET1_Import_Export!$C$10*(GREET1_Import_Export!$E$179*GREET1_Import_Export!$B196+GREET1_Import_Export!$E196))+CE$85*($AE$57*GREET1_Import_Export!$B82+GREET1_Import_Export!$B232)+CE$86*($AE$64 *GREET1_Import_Export!$AA82+GREET1_Import_Export!$B300)+CE$87*(GREET1_Import_Export!$B325+GREET1_Import_Export!$C325)</f>
        <v>0</v>
      </c>
      <c r="CF105" s="1093"/>
      <c r="CG105" s="1321"/>
      <c r="CH105" s="1321"/>
      <c r="CI105" s="1321"/>
      <c r="CJ105" s="1321"/>
      <c r="CK105" s="1321"/>
      <c r="CL105" s="1321"/>
      <c r="CM105" s="1321"/>
      <c r="CN105" s="1321"/>
      <c r="CO105" s="1321"/>
      <c r="CP105" s="1321"/>
      <c r="CQ105" s="1321"/>
      <c r="CR105" s="1321"/>
      <c r="CS105" s="1321"/>
      <c r="CT105" s="1321"/>
      <c r="CU105" s="1321"/>
      <c r="CV105" s="1321"/>
      <c r="CW105" s="1321"/>
      <c r="CX105" s="1321"/>
      <c r="CY105" s="1321"/>
      <c r="CZ105" s="1321"/>
      <c r="DA105" s="1321"/>
      <c r="DB105" s="1321"/>
      <c r="DC105" s="1321"/>
      <c r="DD105" s="1321"/>
      <c r="DE105" s="1321"/>
      <c r="DF105" s="1321"/>
      <c r="DG105" s="1321"/>
      <c r="DH105" s="1321"/>
      <c r="DI105" s="1321"/>
      <c r="DJ105" s="1321"/>
      <c r="DK105" s="1321"/>
      <c r="DL105" s="1321"/>
      <c r="DM105" s="1321"/>
      <c r="DN105" s="1321"/>
      <c r="DO105" s="1321"/>
      <c r="DP105" s="1321"/>
      <c r="DQ105" s="1321"/>
      <c r="DR105" s="1321"/>
      <c r="DS105" s="1321"/>
      <c r="DT105" s="1321"/>
      <c r="DU105" s="1321"/>
      <c r="DV105" s="1321"/>
      <c r="DW105" s="1321"/>
      <c r="DX105" s="1321"/>
      <c r="DY105" s="1321"/>
      <c r="DZ105" s="1321"/>
      <c r="EA105" s="1321"/>
      <c r="EB105" s="1321"/>
      <c r="EC105" s="1321"/>
      <c r="ED105" s="1321"/>
      <c r="EE105" s="1321"/>
      <c r="EF105" s="1321"/>
      <c r="EG105" s="1321"/>
      <c r="EH105" s="1321"/>
      <c r="EI105" s="1321"/>
      <c r="EJ105" s="1321"/>
      <c r="EK105" s="1321"/>
      <c r="EL105" s="1321"/>
      <c r="EM105" s="1321"/>
      <c r="EN105" s="1321"/>
      <c r="EO105" s="1321"/>
      <c r="EP105" s="1321"/>
      <c r="EQ105" s="1321"/>
      <c r="ER105" s="1321"/>
      <c r="ES105" s="1321"/>
      <c r="ET105" s="1321"/>
      <c r="EU105" s="1321"/>
      <c r="EV105" s="1321"/>
      <c r="EW105" s="1321"/>
      <c r="EX105" s="1321"/>
      <c r="EY105" s="1321"/>
      <c r="EZ105" s="1321"/>
      <c r="FA105" s="1321"/>
      <c r="FB105" s="1321"/>
    </row>
    <row r="106" spans="1:158">
      <c r="A106" s="290" t="s">
        <v>865</v>
      </c>
      <c r="B106" s="173"/>
      <c r="C106" s="1"/>
      <c r="D106" s="51"/>
      <c r="E106" s="173"/>
      <c r="F106" s="1"/>
      <c r="G106" s="51"/>
      <c r="H106" s="173"/>
      <c r="I106" s="1"/>
      <c r="J106" s="51"/>
      <c r="K106" s="173"/>
      <c r="L106" s="1"/>
      <c r="M106" s="51"/>
      <c r="N106" s="173"/>
      <c r="O106" s="1"/>
      <c r="P106" s="51"/>
      <c r="Q106" s="160"/>
      <c r="R106" s="489"/>
      <c r="S106" s="51"/>
      <c r="T106" s="160"/>
      <c r="U106" s="1"/>
      <c r="V106" s="51"/>
      <c r="W106" s="160"/>
      <c r="X106" s="1"/>
      <c r="Y106" s="51"/>
      <c r="Z106" s="173"/>
      <c r="AA106" s="1"/>
      <c r="AB106" s="51"/>
      <c r="AC106" s="160"/>
      <c r="AD106" s="1"/>
      <c r="AE106" s="51"/>
      <c r="AF106" s="173"/>
      <c r="AG106" s="489"/>
      <c r="AH106" s="140"/>
      <c r="AI106" s="160"/>
      <c r="AJ106" s="1"/>
      <c r="AK106" s="51"/>
      <c r="AL106" s="173"/>
      <c r="AM106" s="1"/>
      <c r="AN106" s="51"/>
      <c r="AO106" s="173"/>
      <c r="AP106" s="1"/>
      <c r="AQ106" s="51"/>
      <c r="AR106" s="173"/>
      <c r="AS106" s="1"/>
      <c r="AT106" s="51"/>
      <c r="AU106" s="173"/>
      <c r="AV106" s="1"/>
      <c r="AW106" s="51"/>
      <c r="AX106" s="173"/>
      <c r="AY106" s="1"/>
      <c r="AZ106" s="51"/>
      <c r="BA106" s="173"/>
      <c r="BB106" s="1"/>
      <c r="BC106" s="51"/>
      <c r="BD106" s="160"/>
      <c r="BE106" s="489"/>
      <c r="BF106" s="140"/>
      <c r="BG106" s="160"/>
      <c r="BH106" s="489"/>
      <c r="BI106" s="140"/>
      <c r="BJ106" s="160"/>
      <c r="BK106" s="489"/>
      <c r="BL106" s="140"/>
      <c r="BM106" s="160"/>
      <c r="BN106" s="489"/>
      <c r="BO106" s="140"/>
      <c r="BP106" s="173"/>
      <c r="BQ106" s="1"/>
      <c r="BR106" s="51"/>
      <c r="BS106" s="477"/>
      <c r="BT106" s="350"/>
      <c r="BU106" s="1067"/>
      <c r="BV106" s="477"/>
      <c r="BW106" s="350"/>
      <c r="BX106" s="1067"/>
      <c r="BY106" s="477"/>
      <c r="BZ106" s="350"/>
      <c r="CA106" s="1067"/>
      <c r="CB106" s="477"/>
      <c r="CC106" s="350"/>
      <c r="CD106" s="1067"/>
      <c r="CE106" s="1094"/>
      <c r="CF106" s="1095"/>
      <c r="CG106" s="1321"/>
      <c r="CH106" s="1321"/>
      <c r="CI106" s="1321"/>
      <c r="CJ106" s="1321"/>
      <c r="CK106" s="1321"/>
      <c r="CL106" s="1321"/>
      <c r="CM106" s="1321"/>
      <c r="CN106" s="1321"/>
      <c r="CO106" s="1321"/>
      <c r="CP106" s="1321"/>
      <c r="CQ106" s="1321"/>
      <c r="CR106" s="1321"/>
      <c r="CS106" s="1321"/>
      <c r="CT106" s="1321"/>
      <c r="CU106" s="1321"/>
      <c r="CV106" s="1321"/>
      <c r="CW106" s="1321"/>
      <c r="CX106" s="1321"/>
      <c r="CY106" s="1321"/>
      <c r="CZ106" s="1321"/>
      <c r="DA106" s="1321"/>
      <c r="DB106" s="1321"/>
      <c r="DC106" s="1321"/>
      <c r="DD106" s="1321"/>
      <c r="DE106" s="1321"/>
      <c r="DF106" s="1321"/>
      <c r="DG106" s="1321"/>
      <c r="DH106" s="1321"/>
      <c r="DI106" s="1321"/>
      <c r="DJ106" s="1321"/>
      <c r="DK106" s="1321"/>
      <c r="DL106" s="1321"/>
      <c r="DM106" s="1321"/>
      <c r="DN106" s="1321"/>
      <c r="DO106" s="1321"/>
      <c r="DP106" s="1321"/>
      <c r="DQ106" s="1321"/>
      <c r="DR106" s="1321"/>
      <c r="DS106" s="1321"/>
      <c r="DT106" s="1321"/>
      <c r="DU106" s="1321"/>
      <c r="DV106" s="1321"/>
      <c r="DW106" s="1321"/>
      <c r="DX106" s="1321"/>
      <c r="DY106" s="1321"/>
      <c r="DZ106" s="1321"/>
      <c r="EA106" s="1321"/>
      <c r="EB106" s="1321"/>
      <c r="EC106" s="1321"/>
      <c r="ED106" s="1321"/>
      <c r="EE106" s="1321"/>
      <c r="EF106" s="1321"/>
      <c r="EG106" s="1321"/>
      <c r="EH106" s="1321"/>
      <c r="EI106" s="1321"/>
      <c r="EJ106" s="1321"/>
      <c r="EK106" s="1321"/>
      <c r="EL106" s="1321"/>
      <c r="EM106" s="1321"/>
      <c r="EN106" s="1321"/>
      <c r="EO106" s="1321"/>
      <c r="EP106" s="1321"/>
      <c r="EQ106" s="1321"/>
      <c r="ER106" s="1321"/>
      <c r="ES106" s="1321"/>
      <c r="ET106" s="1321"/>
      <c r="EU106" s="1321"/>
      <c r="EV106" s="1321"/>
      <c r="EW106" s="1321"/>
      <c r="EX106" s="1321"/>
      <c r="EY106" s="1321"/>
      <c r="EZ106" s="1321"/>
      <c r="FA106" s="1321"/>
      <c r="FB106" s="1321"/>
    </row>
    <row r="107" spans="1:158">
      <c r="A107" s="291" t="s">
        <v>821</v>
      </c>
      <c r="B107" s="233">
        <f>B$81*(B$71*B$50*GREET1_Import_Export!$K72+GREET1_Import_Export!$B201*GREET1_Import_Export!$F$179+GREET1_Import_Export!$F201)+B$82*(B$71*(B$52*GREET1_Import_Export!$Q72+B$53*GREET1_Import_Export!$O72+B$54*GREET1_Import_Export!$M72)+GREET1_Import_Export!$B201*GREET1_Import_Export!$G$179+GREET1_Import_Export!$G201)+B$83*(B$71*B$55*GREET1_Import_Export!$T72+GREET1_Import_Export!$B201*GREET1_Import_Export!$C$179+GREET1_Import_Export!$C201)+B$84*(B$71*B$56*GREET1_Import_Export!$W72+GREET1_Import_Export!$E237*GREET1_Import_Export!$F$215+GREET1_Import_Export!$F237)+B$85*(B$71*(B$57*GREET1_Import_Export!$B72+B$58*GREET1_Import_Export!$C72+B$59*GREET1_Import_Export!$G72+B$61*'GREET2_Factors_T&amp;D'!$F15+B$62*'GREET2_Factors_T&amp;D'!$G15)+GREET1_Import_Export!$B237)+B$86*(B$71*(B$64*GREET1_Import_Export!$AA72+B$65*GREET1_Import_Export!$AB72)+GREET1_Import_Export!$C290)+B$87*SUM(GREET1_Import_Export!$D315:$E315)</f>
        <v>0</v>
      </c>
      <c r="C107" s="1"/>
      <c r="D107" s="235"/>
      <c r="E107" s="233">
        <f>E$81*(E$71*C$50*GREET1_Import_Export!$K72+GREET1_Import_Export!$B201*GREET1_Import_Export!$F$179+GREET1_Import_Export!$F201)+E$82*(E$71*(C$52*GREET1_Import_Export!$Q72+C$53*GREET1_Import_Export!$O72+C$54*GREET1_Import_Export!$M72)+GREET1_Import_Export!$B201*GREET1_Import_Export!$G$179+GREET1_Import_Export!$G201)+E$83*(E$71*C$55*GREET1_Import_Export!$T72+GREET1_Import_Export!$B201*GREET1_Import_Export!$C$179+GREET1_Import_Export!$C201)+E$84*(E$71*C$56*GREET1_Import_Export!$W72+GREET1_Import_Export!$E237*GREET1_Import_Export!$F$215+GREET1_Import_Export!$F237)+E$85*(E$71*(C$57*GREET1_Import_Export!$B72+C$58*GREET1_Import_Export!$C72+C$59*GREET1_Import_Export!$G72+C$61*'GREET2_Factors_T&amp;D'!$F15+C$62*'GREET2_Factors_T&amp;D'!$G15)+GREET1_Import_Export!$B237)+E$86*(E$71*(C$64*GREET1_Import_Export!$AA72+C$65*GREET1_Import_Export!$AB72)+GREET1_Import_Export!$C290)+E$87*SUM(GREET1_Import_Export!$D315:$E315)</f>
        <v>0</v>
      </c>
      <c r="F107" s="1"/>
      <c r="G107" s="235"/>
      <c r="H107" s="233">
        <f>H$81*(H$71*D$50*GREET1_Import_Export!$K72+GREET1_Import_Export!$B201*GREET1_Import_Export!$F$179+GREET1_Import_Export!$F201)+H$82*(H$71*(D$52*GREET1_Import_Export!$Q72+D$53*GREET1_Import_Export!$O72+D$54*GREET1_Import_Export!$M72)+GREET1_Import_Export!$B201*GREET1_Import_Export!$G$179+GREET1_Import_Export!$G201)+H$83*(H$71*D$55*GREET1_Import_Export!$T72+GREET1_Import_Export!$B201*GREET1_Import_Export!$C$179+GREET1_Import_Export!$C201)+H$84*(H$71*D$56*GREET1_Import_Export!$W72+GREET1_Import_Export!$E237*GREET1_Import_Export!$F$215+GREET1_Import_Export!$F237)+H$85*(H$71*(D$57*GREET1_Import_Export!$B72+D$58*GREET1_Import_Export!$C72+D$59*GREET1_Import_Export!$G72+D$61*'GREET2_Factors_T&amp;D'!$F15+D$62*'GREET2_Factors_T&amp;D'!$G15)+GREET1_Import_Export!$B237)+H$86*(H$71*(D$64*GREET1_Import_Export!$AA72+D$65*GREET1_Import_Export!$AB72)+GREET1_Import_Export!$C290)+H$87*SUM(GREET1_Import_Export!$D315:$E315)</f>
        <v>23.098185534462591</v>
      </c>
      <c r="I107" s="1"/>
      <c r="J107" s="235"/>
      <c r="K107" s="233">
        <f>K$81*(K$71*E$50*GREET1_Import_Export!$K72+GREET1_Import_Export!$B201*GREET1_Import_Export!$F$179+GREET1_Import_Export!$F201)+K$82*(K$71*(E$52*GREET1_Import_Export!$Q72+E$53*GREET1_Import_Export!$O72+E$54*GREET1_Import_Export!$M72)+GREET1_Import_Export!$B201*GREET1_Import_Export!$G$179+GREET1_Import_Export!$G201)+K$83*(K$71*E$55*GREET1_Import_Export!$T72+GREET1_Import_Export!$B201*GREET1_Import_Export!$C$179+GREET1_Import_Export!$C201)+K$84*(K$71*E$56*GREET1_Import_Export!$W72+GREET1_Import_Export!$E237*GREET1_Import_Export!$F$215+GREET1_Import_Export!$F237)+K$85*(K$71*(E$57*GREET1_Import_Export!$B72+E$58*GREET1_Import_Export!$C72+E$59*GREET1_Import_Export!$G72+E$61*'GREET2_Factors_T&amp;D'!$F15+E$62*'GREET2_Factors_T&amp;D'!$G15)+GREET1_Import_Export!$B237)+K$86*(K$71*(E$64*GREET1_Import_Export!$AA72+E$65*GREET1_Import_Export!$AB72)+GREET1_Import_Export!$C290)+K$87*SUM(GREET1_Import_Export!$D315:$E315)</f>
        <v>18.724880634844109</v>
      </c>
      <c r="L107" s="1"/>
      <c r="M107" s="235"/>
      <c r="N107" s="233">
        <f>N$81*(N$71*F$50*GREET1_Import_Export!$K72+GREET1_Import_Export!$B201*GREET1_Import_Export!$F$179+GREET1_Import_Export!$F201)+N$82*(N$71*(F$52*GREET1_Import_Export!$Q72+F$53*GREET1_Import_Export!$O72+F$54*GREET1_Import_Export!$M72)+GREET1_Import_Export!$B201*GREET1_Import_Export!$G$179+GREET1_Import_Export!$G201)+N$83*(N$71*F$55*GREET1_Import_Export!$T72+GREET1_Import_Export!$B201*GREET1_Import_Export!$C$179+GREET1_Import_Export!$C201)+N$84*(N$71*F$56*GREET1_Import_Export!$W72+GREET1_Import_Export!$E237*GREET1_Import_Export!$F$215+GREET1_Import_Export!$F237)+N$85*(N$71*(F$57*GREET1_Import_Export!$B72+F$58*GREET1_Import_Export!$C72+F$59*GREET1_Import_Export!$G72+F$61*'GREET2_Factors_T&amp;D'!$F15+F$62*'GREET2_Factors_T&amp;D'!$G15)+GREET1_Import_Export!$B237)+N$86*(N$71*(F$64*GREET1_Import_Export!$AA72+F$65*GREET1_Import_Export!$AB72)+GREET1_Import_Export!$C290)+N$87*SUM(GREET1_Import_Export!$D315:$E315)</f>
        <v>23.098185534462591</v>
      </c>
      <c r="O107" s="1"/>
      <c r="P107" s="235"/>
      <c r="Q107" s="581">
        <f>Q$81*(Q$71*G$50*GREET1_Import_Export!$K72+GREET1_Import_Export!$B201*GREET1_Import_Export!$F$179+GREET1_Import_Export!$F201)+Q$82*(Q$71*(G$52*GREET1_Import_Export!$Q72+G$53*GREET1_Import_Export!$O72+G$54*GREET1_Import_Export!$M72)+GREET1_Import_Export!$B201*GREET1_Import_Export!$G$179+GREET1_Import_Export!$G201)+Q$83*(Q$71*G$55*GREET1_Import_Export!$T72+GREET1_Import_Export!$B201*GREET1_Import_Export!$C$179+GREET1_Import_Export!$C201)+Q$84*(Q$71*G$56*GREET1_Import_Export!$W72+GREET1_Import_Export!$E237*GREET1_Import_Export!$F$215+GREET1_Import_Export!$F237)+Q$85*(Q$71*(G$57*GREET1_Import_Export!$B72+G$58*GREET1_Import_Export!$C72+G$59*GREET1_Import_Export!$G72+G$61*'GREET2_Factors_T&amp;D'!$F15+G$62*'GREET2_Factors_T&amp;D'!$G15)+GREET1_Import_Export!$B237)+Q$86*(Q$71*(G$64*GREET1_Import_Export!$AA72+G$65*GREET1_Import_Export!$AB72)+GREET1_Import_Export!$C290)
+Q$87*($B$46*(GREET1_Import_Export!$D315+GREET1_Import_Export!E315)+$C$46*GREET1_Import_Export!L363+$D$46*GREET1_Import_Export!H363+$E$46*GREET1_Import_Export!Q363+$F$46*GREET1_Import_Export!R363+SUMPRODUCT($G$46:$I$46,GREET1_Import_Export!N363:P363))</f>
        <v>18.724880634844109</v>
      </c>
      <c r="R107" s="489"/>
      <c r="S107" s="235"/>
      <c r="T107" s="581">
        <f>T$81*(T$71*BZ$50*GREET1_Import_Export!$K72+GREET1_Import_Export!$B201*GREET1_Import_Export!$F$179+GREET1_Import_Export!$F201)+T$82*(T$71*(BZ$52*GREET1_Import_Export!$Q72+BZ$53*GREET1_Import_Export!$O72+BZ$54*GREET1_Import_Export!$M72)+GREET1_Import_Export!$B201*GREET1_Import_Export!$G$179+GREET1_Import_Export!$G201)+T$83*(T$71*BZ$55*GREET1_Import_Export!$T72+GREET1_Import_Export!$B201*GREET1_Import_Export!$C$179+GREET1_Import_Export!$C201)+T$84*(T$71*BZ$56*GREET1_Import_Export!$W72+GREET1_Import_Export!$E237*GREET1_Import_Export!$F$215+GREET1_Import_Export!$F237)+T$85*(T$71*(BZ$57*GREET1_Import_Export!$B72+BZ$58*GREET1_Import_Export!$C72+BZ$59*GREET1_Import_Export!$G72+BZ$61*'GREET2_Factors_T&amp;D'!$F15+BZ$62*'GREET2_Factors_T&amp;D'!$G15)+GREET1_Import_Export!$B237)+T$86*(T$71*(BZ$64*GREET1_Import_Export!$AA72+BZ$65*GREET1_Import_Export!$AB72)+GREET1_Import_Export!$C290)+T$87*SUM(GREET1_Import_Export!$D315:$E315)</f>
        <v>23.098185534462591</v>
      </c>
      <c r="U107" s="1"/>
      <c r="V107" s="235"/>
      <c r="W107" s="581">
        <f>W$81*(W$71*I$50*GREET1_Import_Export!$K72+GREET1_Import_Export!$B201*GREET1_Import_Export!$F$179+GREET1_Import_Export!$F201)+W$82*(W$71*(I$52*GREET1_Import_Export!$Q72+I$53*GREET1_Import_Export!$O72+I$54*GREET1_Import_Export!$M72)+GREET1_Import_Export!$B201*GREET1_Import_Export!$G$179+GREET1_Import_Export!$G201)+W$83*(W$71*I$55*GREET1_Import_Export!$T72+GREET1_Import_Export!$B201*GREET1_Import_Export!$C$179+GREET1_Import_Export!$C201)+W$84*(W$71*I$56*GREET1_Import_Export!$W72+GREET1_Import_Export!$E237*GREET1_Import_Export!$F$215+GREET1_Import_Export!$F237)+W$85*(W$71*(I$57*GREET1_Import_Export!$B72+I$58*GREET1_Import_Export!$C72+I$59*GREET1_Import_Export!$G72+I$61*'GREET2_Factors_T&amp;D'!$F15+I$62*'GREET2_Factors_T&amp;D'!$G15)+GREET1_Import_Export!$B237)+W$86*(W$71*(I$64*GREET1_Import_Export!$AA72+I$65*GREET1_Import_Export!$AB72)+GREET1_Import_Export!$C290)+W$87*($B$46*(GREET1_Import_Export!$D315+GREET1_Import_Export!E315)+$C$46*GREET1_Import_Export!L363+$D$46*GREET1_Import_Export!H363+$E$46*GREET1_Import_Export!Q363+$F$46*GREET1_Import_Export!R363+SUMPRODUCT($G$46:$I$46,GREET1_Import_Export!N363:P363))</f>
        <v>18.724880634844109</v>
      </c>
      <c r="X107" s="1"/>
      <c r="Y107" s="235"/>
      <c r="Z107" s="233">
        <f>Z$81*(Z$71*J$50*GREET1_Import_Export!$K72+GREET1_Import_Export!$B201*GREET1_Import_Export!$F$179+GREET1_Import_Export!$F201)+Z$82*(Z$71*(J$52*GREET1_Import_Export!$Q72+J$53*GREET1_Import_Export!$O72+J$54*GREET1_Import_Export!$M72)+GREET1_Import_Export!$B201*GREET1_Import_Export!$G$179+GREET1_Import_Export!$G201)+Z$83*(Z$71*J$55*GREET1_Import_Export!$T72+GREET1_Import_Export!$B201*GREET1_Import_Export!$C$179+GREET1_Import_Export!$C201)+Z$84*(Z$71*J$56*GREET1_Import_Export!$W72+GREET1_Import_Export!$E237*GREET1_Import_Export!$F$215+GREET1_Import_Export!$F237)+Z$85*(Z$71*(J$57*GREET1_Import_Export!$B72+J$58*GREET1_Import_Export!$C72+J$59*GREET1_Import_Export!$G72+J$61*'GREET2_Factors_T&amp;D'!$F15+J$62*'GREET2_Factors_T&amp;D'!$G15)+GREET1_Import_Export!$B237)+Z$86*(Z$71*(J$64*GREET1_Import_Export!$AA72+J$65*GREET1_Import_Export!$AB72)+GREET1_Import_Export!$C290)+Z$87*SUM(GREET1_Import_Export!$D315:$E315)</f>
        <v>23.098185534462591</v>
      </c>
      <c r="AA107" s="1"/>
      <c r="AB107" s="235"/>
      <c r="AC107" s="581">
        <f>AC$81*(AC$71*K$50*GREET1_Import_Export!$K72+GREET1_Import_Export!$B201*GREET1_Import_Export!$F$179+GREET1_Import_Export!$F201)+AC$82*(AC$71*(K$52*GREET1_Import_Export!$Q72+K$53*GREET1_Import_Export!$O72+K$54*GREET1_Import_Export!$M72)+GREET1_Import_Export!$B201*GREET1_Import_Export!$G$179+GREET1_Import_Export!$G201)+AC$83*(AC$71*K$55*GREET1_Import_Export!$T72+GREET1_Import_Export!$B201*GREET1_Import_Export!$C$179+GREET1_Import_Export!$C201)+AC$84*(AC$71*K$56*GREET1_Import_Export!$W72+GREET1_Import_Export!$E237*GREET1_Import_Export!$F$215+GREET1_Import_Export!$F237)+AC$85*(AC$71*(K$57*GREET1_Import_Export!$B72+K$58*GREET1_Import_Export!$C72+K$59*GREET1_Import_Export!$G72+K$61*'GREET2_Factors_T&amp;D'!$F15+K$62*'GREET2_Factors_T&amp;D'!$G15)+GREET1_Import_Export!$B237)+AC$86*(AC$71*(K$64*GREET1_Import_Export!$AA72+K$65*GREET1_Import_Export!$AB72)+GREET1_Import_Export!$C290)+AC$87*($B$46*(GREET1_Import_Export!$D315+GREET1_Import_Export!E315)+$C$46*GREET1_Import_Export!L363+$D$46*GREET1_Import_Export!H363+$E$46*GREET1_Import_Export!Q363+$F$46*GREET1_Import_Export!R363+SUMPRODUCT($G$46:$I$46,GREET1_Import_Export!N363:P363))</f>
        <v>18.724880634844109</v>
      </c>
      <c r="AD107" s="1"/>
      <c r="AE107" s="235"/>
      <c r="AF107" s="233">
        <f>AF$81*(AF$71*L$50*GREET1_Import_Export!$K72+GREET1_Import_Export!$B201*GREET1_Import_Export!$F$179+GREET1_Import_Export!$F201)+AF$82*(AF$71*(L$52*GREET1_Import_Export!$Q72+L$53*GREET1_Import_Export!$O72+L$54*GREET1_Import_Export!$M72)+GREET1_Import_Export!$B201*GREET1_Import_Export!$G$179+GREET1_Import_Export!$G201)+AF$83*(AF$71*L$55*GREET1_Import_Export!$T72+GREET1_Import_Export!$B201*GREET1_Import_Export!$C$179+GREET1_Import_Export!$C201)+AF$84*(AF$71*L$56*GREET1_Import_Export!$W72+GREET1_Import_Export!$E237*GREET1_Import_Export!$F$215+GREET1_Import_Export!$F237)+AF$85*(AF$71*(L$57*GREET1_Import_Export!$B72+L$58*GREET1_Import_Export!$C72+L$59*GREET1_Import_Export!$G72+L$61*'GREET2_Factors_T&amp;D'!$F15+L$62*'GREET2_Factors_T&amp;D'!$G15)+GREET1_Import_Export!$B237)+AF$86*(AF$71*(L$64*GREET1_Import_Export!$AA72+L$65*GREET1_Import_Export!$AB72)+GREET1_Import_Export!$C290)+AF$87*SUM(GREET1_Import_Export!$D315:$E315)</f>
        <v>23.098185534462591</v>
      </c>
      <c r="AG107" s="489"/>
      <c r="AH107" s="478"/>
      <c r="AI107" s="581">
        <f>AI$81*(AI$71*M$50*GREET1_Import_Export!$K72+GREET1_Import_Export!$B201*GREET1_Import_Export!$F$179+GREET1_Import_Export!$F201)+AI$82*(AI$71*(M$52*GREET1_Import_Export!$Q72+M$53*GREET1_Import_Export!$O72+M$54*GREET1_Import_Export!$M72)+GREET1_Import_Export!$B201*GREET1_Import_Export!$G$179+GREET1_Import_Export!$G201)+AI$83*(AI$71*M$55*GREET1_Import_Export!$T72+GREET1_Import_Export!$B201*GREET1_Import_Export!$C$179+GREET1_Import_Export!$C201)+AI$84*(AI$71*M$56*GREET1_Import_Export!$W72+GREET1_Import_Export!$E237*GREET1_Import_Export!$F$215+GREET1_Import_Export!$F237)+AI$85*(AI$71*(M$57*GREET1_Import_Export!$B72+M$58*GREET1_Import_Export!$C72+M$59*GREET1_Import_Export!$G72+M$61*'GREET2_Factors_T&amp;D'!$F15+M$62*'GREET2_Factors_T&amp;D'!$G15)+GREET1_Import_Export!$B237)+AI$86*(AI$71*(M$64*GREET1_Import_Export!$AA72+M$65*GREET1_Import_Export!$AB72)+GREET1_Import_Export!$C290)+AI$87*($B$46*(GREET1_Import_Export!$D315+GREET1_Import_Export!E315)+$C$46*GREET1_Import_Export!L363+$D$46*GREET1_Import_Export!H363+$E$46*GREET1_Import_Export!Q363+$F$46*GREET1_Import_Export!R363+SUMPRODUCT($G$46:$I$46,GREET1_Import_Export!N363:P363))</f>
        <v>21.399863582678968</v>
      </c>
      <c r="AJ107" s="1"/>
      <c r="AK107" s="235"/>
      <c r="AL107" s="233">
        <f>AL$81*(AL$71*N$50*GREET1_Import_Export!$K72+GREET1_Import_Export!$B201*GREET1_Import_Export!$F$179+GREET1_Import_Export!$F201)+AL$82*(AL$71*(N$52*GREET1_Import_Export!$Q72+N$53*GREET1_Import_Export!$O72+N$54*GREET1_Import_Export!$M72)+GREET1_Import_Export!$B201*GREET1_Import_Export!$G$179+GREET1_Import_Export!$G201)+AL$83*(AL$71*N$55*GREET1_Import_Export!$T72+GREET1_Import_Export!$B201*GREET1_Import_Export!$C$179+GREET1_Import_Export!$C201)+AL$84*(AL$71*N$56*GREET1_Import_Export!$W72+GREET1_Import_Export!$E237*GREET1_Import_Export!$F$215+GREET1_Import_Export!$F237)+AL$85*(AL$71*(N$57*GREET1_Import_Export!$B72+N$58*GREET1_Import_Export!$C72+N$59*GREET1_Import_Export!$G72+N$61*'GREET2_Factors_T&amp;D'!$F15+N$62*'GREET2_Factors_T&amp;D'!$G15)+GREET1_Import_Export!$B237)+AL$86*(AL$71*(N$64*GREET1_Import_Export!$AA72+N$65*GREET1_Import_Export!$AB72)+GREET1_Import_Export!$C290)+AL$87*SUM(GREET1_Import_Export!$D315:$E315)</f>
        <v>19.063081192782221</v>
      </c>
      <c r="AM107" s="1"/>
      <c r="AN107" s="235"/>
      <c r="AO107" s="233">
        <f>AO$81*(AO$71*O$50*GREET1_Import_Export!$K72+GREET1_Import_Export!$B201*GREET1_Import_Export!$F$179+GREET1_Import_Export!$F201)+AO$82*(AO$71*(O$52*GREET1_Import_Export!$Q72+O$53*GREET1_Import_Export!$O72+O$54*GREET1_Import_Export!$M72)+GREET1_Import_Export!$B201*GREET1_Import_Export!$G$179+GREET1_Import_Export!$G201)+AO$83*(AO$71*O$55*GREET1_Import_Export!$T72+GREET1_Import_Export!$B201*GREET1_Import_Export!$C$179+GREET1_Import_Export!$C201)+AO$84*(AO$71*O$56*GREET1_Import_Export!$W72+GREET1_Import_Export!$E237*GREET1_Import_Export!$F$215+GREET1_Import_Export!$F237)+AO$85*(AO$71*(O$57*GREET1_Import_Export!$B72+O$58*GREET1_Import_Export!$C72+O$59*GREET1_Import_Export!$G72+O$61*'GREET2_Factors_T&amp;D'!$F15+O$62*'GREET2_Factors_T&amp;D'!$G15)+GREET1_Import_Export!$B237)+AO$86*(AO$71*(O$64*GREET1_Import_Export!$AA72+O$65*GREET1_Import_Export!$AB72)+GREET1_Import_Export!$C290)+AO$87*SUM(GREET1_Import_Export!$D315:$E315)</f>
        <v>20.266562473779612</v>
      </c>
      <c r="AP107" s="1"/>
      <c r="AQ107" s="235"/>
      <c r="AR107" s="233">
        <f>AR$81*(AR$71*P$50*GREET1_Import_Export!$K72+GREET1_Import_Export!$B201*GREET1_Import_Export!$F$179+GREET1_Import_Export!$F201)+AR$82*(AR$71*(P$52*GREET1_Import_Export!$Q72+P$53*GREET1_Import_Export!$O72+P$54*GREET1_Import_Export!$M72)+GREET1_Import_Export!$B201*GREET1_Import_Export!$G$179+GREET1_Import_Export!$G201)+AR$83*(AR$71*P$55*GREET1_Import_Export!$T72+GREET1_Import_Export!$B201*GREET1_Import_Export!$C$179+GREET1_Import_Export!$C201)+AR$84*(AR$71*P$56*GREET1_Import_Export!$W72+GREET1_Import_Export!$E237*GREET1_Import_Export!$F$215+GREET1_Import_Export!$F237)+AR$85*(AR$71*(P$57*GREET1_Import_Export!$B72+P$58*GREET1_Import_Export!$C72+P$59*GREET1_Import_Export!$G72+P$61*'GREET2_Factors_T&amp;D'!$F15+P$62*'GREET2_Factors_T&amp;D'!$G15)+GREET1_Import_Export!$B237)+AR$86*(AR$71*(P$64*GREET1_Import_Export!$AA72+P$65*GREET1_Import_Export!$AB72)+GREET1_Import_Export!$C290)+AR$87*SUM(GREET1_Import_Export!$D315:$E315)</f>
        <v>18.793577446834171</v>
      </c>
      <c r="AS107" s="1"/>
      <c r="AT107" s="235"/>
      <c r="AU107" s="233">
        <f>AU$81*(AU$71*Q$50*GREET1_Import_Export!$K72+GREET1_Import_Export!$B201*GREET1_Import_Export!$F$179+GREET1_Import_Export!$F201)+AU$82*(AU$71*(Q$52*GREET1_Import_Export!$Q72+Q$53*GREET1_Import_Export!$O72+Q$54*GREET1_Import_Export!$M72)+GREET1_Import_Export!$B201*GREET1_Import_Export!$G$179+GREET1_Import_Export!$G201)+AU$83*(AU$71*Q$55*GREET1_Import_Export!$T72+GREET1_Import_Export!$B201*GREET1_Import_Export!$C$179+GREET1_Import_Export!$C201)+AU$84*(AU$71*Q$56*GREET1_Import_Export!$W72+GREET1_Import_Export!$E237*GREET1_Import_Export!$F$215+GREET1_Import_Export!$F237)+AU$85*(AU$71*(Q$57*GREET1_Import_Export!$B72+Q$58*GREET1_Import_Export!$C72+Q$59*GREET1_Import_Export!$G72+Q$61*'GREET2_Factors_T&amp;D'!$F15+Q$62*'GREET2_Factors_T&amp;D'!$G15)+GREET1_Import_Export!$B237)+AU$86*(AU$71*(Q$64*GREET1_Import_Export!$AA72+Q$65*GREET1_Import_Export!$AB72)+GREET1_Import_Export!$C290)+AU$87*SUM(GREET1_Import_Export!$D315:$E315)</f>
        <v>5.2844106203686394</v>
      </c>
      <c r="AV107" s="1"/>
      <c r="AW107" s="235"/>
      <c r="AX107" s="233">
        <f>AX$81*(AX$71*R$50*GREET1_Import_Export!$K72+GREET1_Import_Export!$B201*GREET1_Import_Export!$F$179+GREET1_Import_Export!$F201)+AX$82*(AX$71*(R$52*GREET1_Import_Export!$Q72+R$53*GREET1_Import_Export!$O72+R$54*GREET1_Import_Export!$M72)+GREET1_Import_Export!$B201*GREET1_Import_Export!$G$179+GREET1_Import_Export!$G201)+AX$83*(AX$71*R$55*GREET1_Import_Export!$T72+GREET1_Import_Export!$B201*GREET1_Import_Export!$C$179+GREET1_Import_Export!$C201)+AX$84*(AX$71*R$56*GREET1_Import_Export!$W72+GREET1_Import_Export!$E237*GREET1_Import_Export!$F$215+GREET1_Import_Export!$F237)+AX$85*(AX$71*(R$57*GREET1_Import_Export!$B72+R$58*GREET1_Import_Export!$C72+R$59*GREET1_Import_Export!$G72+R$61*'GREET2_Factors_T&amp;D'!$F15+R$62*'GREET2_Factors_T&amp;D'!$G15)+GREET1_Import_Export!$B237)+AX$86*(AX$71*(R$64*GREET1_Import_Export!$AA72+R$65*GREET1_Import_Export!$AB72)+GREET1_Import_Export!$C290)+AX$87*SUM(GREET1_Import_Export!$D315:$E315)</f>
        <v>1.6328766097137732</v>
      </c>
      <c r="AY107" s="1"/>
      <c r="AZ107" s="235"/>
      <c r="BA107" s="233">
        <f>BA$81*(BA$71*S$50*GREET1_Import_Export!$K72+GREET1_Import_Export!$B201*GREET1_Import_Export!$F$179+GREET1_Import_Export!$F201)+BA$82*(BA$71*(S$52*GREET1_Import_Export!$Q72+S$53*GREET1_Import_Export!$O72+S$54*GREET1_Import_Export!$M72)+GREET1_Import_Export!$B201*GREET1_Import_Export!$G$179+GREET1_Import_Export!$G201)+BA$83*(BA$71*S$55*GREET1_Import_Export!$T72+GREET1_Import_Export!$B201*GREET1_Import_Export!$C$179+GREET1_Import_Export!$C201)+BA$84*(BA$71*S$56*GREET1_Import_Export!$W72+GREET1_Import_Export!$E237*GREET1_Import_Export!$F$215+GREET1_Import_Export!$F237)+BA$85*(BA$71*(S$57*GREET1_Import_Export!$B72+S$58*GREET1_Import_Export!$C72+S$59*GREET1_Import_Export!$G72+S$61*'GREET2_Factors_T&amp;D'!$F15+S$62*'GREET2_Factors_T&amp;D'!$G15)+GREET1_Import_Export!$B237)+BA$86*(BA$71*(S$64*GREET1_Import_Export!$AA72+S$65*GREET1_Import_Export!$AB72)+GREET1_Import_Export!$C290)+BA$87*SUM(GREET1_Import_Export!$D315:$E315)</f>
        <v>16.049897687009249</v>
      </c>
      <c r="BB107" s="1"/>
      <c r="BC107" s="235"/>
      <c r="BD107" s="581">
        <f>BD$81*(BD$71*T$50*GREET1_Import_Export!$K72+GREET1_Import_Export!$B201*GREET1_Import_Export!$F$179+GREET1_Import_Export!$F201)+BD$82*(BD$71*(T$52*GREET1_Import_Export!$Q72+T$53*GREET1_Import_Export!$O72+T$54*GREET1_Import_Export!$M72)+GREET1_Import_Export!$B201*GREET1_Import_Export!$G$179+GREET1_Import_Export!$G201)+BD$83*(BD$71*T$55*GREET1_Import_Export!$T72+GREET1_Import_Export!$B201*GREET1_Import_Export!$C$179+GREET1_Import_Export!$C201)+BD$84*(BD$71*T$56*GREET1_Import_Export!$W72+GREET1_Import_Export!$E237*GREET1_Import_Export!$F$215+GREET1_Import_Export!$F237)+BD$85*(BD$71*(T$57*GREET1_Import_Export!$B72+T$58*GREET1_Import_Export!$C72+T$59*GREET1_Import_Export!$G72+T$61*'GREET2_Factors_T&amp;D'!$F15+T$62*'GREET2_Factors_T&amp;D'!$G15)+GREET1_Import_Export!$B237)+BD$86*(BD$71*(T$64*GREET1_Import_Export!$AA72+T$65*GREET1_Import_Export!$AB72)+GREET1_Import_Export!$C290)+BD$87*SUM(GREET1_Import_Export!$D315:$E315)</f>
        <v>12.961617292979261</v>
      </c>
      <c r="BE107" s="489"/>
      <c r="BF107" s="478"/>
      <c r="BG107" s="581">
        <f>BG$81*(BG$71*U$50*GREET1_Import_Export!$K72+GREET1_Import_Export!$B201*GREET1_Import_Export!$F$179+GREET1_Import_Export!$F201)+BG$82*(BG$71*(U$52*GREET1_Import_Export!$Q72+U$53*GREET1_Import_Export!$O72+U$54*GREET1_Import_Export!$M72)+GREET1_Import_Export!$B201*GREET1_Import_Export!$G$179+GREET1_Import_Export!$G201)+BG$83*(BG$71*U$55*GREET1_Import_Export!$T72+GREET1_Import_Export!$B201*GREET1_Import_Export!$C$179+GREET1_Import_Export!$C201)+BG$84*(BG$71*U$56*GREET1_Import_Export!$W72+GREET1_Import_Export!$E237*GREET1_Import_Export!$F$215+GREET1_Import_Export!$F237)+BG$85*(BG$71*(U$57*GREET1_Import_Export!$B72+U$58*GREET1_Import_Export!$C72+U$59*GREET1_Import_Export!$G72+U$61*'GREET2_Factors_T&amp;D'!$F15+U$62*'GREET2_Factors_T&amp;D'!$G15)+GREET1_Import_Export!$B237)+BG$86*(BG$71*(U$64*GREET1_Import_Export!$AA72+U$65*GREET1_Import_Export!$AB72)+GREET1_Import_Export!$C290)+BG$87*SUM(GREET1_Import_Export!$D315:$E315)</f>
        <v>17.428320075509408</v>
      </c>
      <c r="BH107" s="489"/>
      <c r="BI107" s="478"/>
      <c r="BJ107" s="581">
        <f>BJ$81*(BJ$71*V$50*GREET1_Import_Export!$K72+GREET1_Import_Export!$B201*GREET1_Import_Export!$F$179+GREET1_Import_Export!$F201)+BJ$82*(BJ$71*(V$52*GREET1_Import_Export!$Q72+V$53*GREET1_Import_Export!$O72+V$54*GREET1_Import_Export!$M72)+GREET1_Import_Export!$B201*GREET1_Import_Export!$G$179+GREET1_Import_Export!$G201)+BJ$83*(BJ$71*V$55*GREET1_Import_Export!$T72+GREET1_Import_Export!$B201*GREET1_Import_Export!$C$179+GREET1_Import_Export!$C201)+BJ$84*(BJ$71*V$56*GREET1_Import_Export!$W72+GREET1_Import_Export!$E237*GREET1_Import_Export!$F$215+GREET1_Import_Export!$F237)+BJ$85*(BJ$71*(V$57*GREET1_Import_Export!$B72+V$58*GREET1_Import_Export!$C72+V$59*GREET1_Import_Export!$G72+V$61*'GREET2_Factors_T&amp;D'!$F15+V$62*'GREET2_Factors_T&amp;D'!$G15)+GREET1_Import_Export!$B237)+BJ$86*(BJ$71*(V$64*GREET1_Import_Export!$AA72+V$65*GREET1_Import_Export!$AB72)+GREET1_Import_Export!$C290)+BJ$87*SUM(GREET1_Import_Export!$D315:$E315)</f>
        <v>2.1873336430358048</v>
      </c>
      <c r="BK107" s="489"/>
      <c r="BL107" s="478"/>
      <c r="BM107" s="581">
        <f>BM$81*(BM$71*X$50*GREET1_Import_Export!$K72+GREET1_Import_Export!$B201*GREET1_Import_Export!$F$179+GREET1_Import_Export!$F201)+BM$82*(BM$71*(X$52*GREET1_Import_Export!$Q72+X$53*GREET1_Import_Export!$O72+X$54*GREET1_Import_Export!$M72)+GREET1_Import_Export!$B201*GREET1_Import_Export!$G$179+GREET1_Import_Export!$G201)+BM$83*(BM$71*X$55*GREET1_Import_Export!$T72+GREET1_Import_Export!$B201*GREET1_Import_Export!$C$179+GREET1_Import_Export!$C201)+BM$84*(BM$71*X$56*GREET1_Import_Export!$W72+GREET1_Import_Export!$E237*GREET1_Import_Export!$F$215+GREET1_Import_Export!$F237)+BM$85*(BM$71*(X$57*GREET1_Import_Export!$B72+X$58*GREET1_Import_Export!$C72+X$59*GREET1_Import_Export!$G72+X$61*'GREET2_Factors_T&amp;D'!$F15+X$62*'GREET2_Factors_T&amp;D'!$G15)+GREET1_Import_Export!$B237)+BM$86*(BM$71*(X$64*GREET1_Import_Export!$AA72+X$65*GREET1_Import_Export!$AB72)+GREET1_Import_Export!$C290)+BM$87*SUM(GREET1_Import_Export!$D315:$E315)</f>
        <v>0.97899666678974362</v>
      </c>
      <c r="BN107" s="489"/>
      <c r="BO107" s="478"/>
      <c r="BP107" s="233">
        <f>BP$81*(BP$71*Z$50*GREET1_Import_Export!$K72+GREET1_Import_Export!$B201*GREET1_Import_Export!$F$179+GREET1_Import_Export!$F201)+BP$82*(BP$71*(Z$52*GREET1_Import_Export!$Q72+Z$53*GREET1_Import_Export!$O72+Z$54*GREET1_Import_Export!$M72)+GREET1_Import_Export!$B201*GREET1_Import_Export!$G$179+GREET1_Import_Export!$G201)+BP$83*(BP$71*Z$55*GREET1_Import_Export!$T72+GREET1_Import_Export!$B201*GREET1_Import_Export!$C$179+GREET1_Import_Export!$C201)+BP$84*(BP$71*Z$56*GREET1_Import_Export!$W72+GREET1_Import_Export!$E237*GREET1_Import_Export!$F$215+GREET1_Import_Export!$F237)+BP$85*(BP$71*(Z$57*GREET1_Import_Export!$B72+Z$58*GREET1_Import_Export!$C72+Z$59*GREET1_Import_Export!$G72+Z$61*'GREET2_Factors_T&amp;D'!$F15+Z$62*'GREET2_Factors_T&amp;D'!$G15)+GREET1_Import_Export!$B237)+BP$86*(BP$71*(Z$64*GREET1_Import_Export!$AA72+Z$65*GREET1_Import_Export!$AB72)+GREET1_Import_Export!$C290)+BP$87*SUM(GREET1_Import_Export!$D315:$E315)</f>
        <v>0</v>
      </c>
      <c r="BQ107" s="1"/>
      <c r="BR107" s="235"/>
      <c r="BS107" s="1076">
        <f>BS$81*(BS$71*AA$50*GREET1_Import_Export!$K72+GREET1_Import_Export!$B201*GREET1_Import_Export!$F$179+GREET1_Import_Export!$F201)+BS$82*(BS$71*(AA$52*GREET1_Import_Export!$Q72+AA$53*GREET1_Import_Export!$O72+AA$54*GREET1_Import_Export!$M72)+GREET1_Import_Export!$B201*GREET1_Import_Export!$G$179+GREET1_Import_Export!$G201)+BS$83*(BS$71*AA$55*GREET1_Import_Export!$T72+GREET1_Import_Export!$B201*GREET1_Import_Export!$C$179+GREET1_Import_Export!$C201)+BS$84*(BS$71*AA$56*GREET1_Import_Export!$W72+GREET1_Import_Export!$E237*GREET1_Import_Export!$F$215+GREET1_Import_Export!$F237)+BS$85*(BS$71*(AA$57*GREET1_Import_Export!$B72+AA$58*GREET1_Import_Export!$C72+AA$59*GREET1_Import_Export!$G72+AA$61*'GREET2_Factors_T&amp;D'!$F15+AA$62*'GREET2_Factors_T&amp;D'!$G15)+GREET1_Import_Export!$B237)+BS$86*(BS$71*(AA$64*GREET1_Import_Export!$AA72+AA$65*GREET1_Import_Export!$AB72)+GREET1_Import_Export!$C290)+BS$87*(GREET1_Import_Export!$D315+GREET1_Import_Export!$E315)</f>
        <v>0.21602695488298768</v>
      </c>
      <c r="BT107" s="350"/>
      <c r="BU107" s="1082"/>
      <c r="BV107" s="1076">
        <f>BV$81*(BV$71*AB$50*GREET1_Import_Export!$K72+GREET1_Import_Export!$B201*GREET1_Import_Export!$F$179+GREET1_Import_Export!$F201)+BV$82*(BV$71*(AB$52*GREET1_Import_Export!$Q72+AB$53*GREET1_Import_Export!$O72+AB$54*GREET1_Import_Export!$M72)+GREET1_Import_Export!$B201*GREET1_Import_Export!$G$179+GREET1_Import_Export!$G201)+BV$83*(BV$71*AB$55*GREET1_Import_Export!$T72+GREET1_Import_Export!$B201*GREET1_Import_Export!$C$179+GREET1_Import_Export!$C201)+BV$84*(BV$71*AB$56*GREET1_Import_Export!$W72+GREET1_Import_Export!$E237*GREET1_Import_Export!$F$215+GREET1_Import_Export!$F237)+BV$85*(BV$71*(AB$57*GREET1_Import_Export!$B72+AB$58*GREET1_Import_Export!$C72+AB$59*GREET1_Import_Export!$G72+AB$61*'GREET2_Factors_T&amp;D'!$F15+AB$62*'GREET2_Factors_T&amp;D'!$G15)+GREET1_Import_Export!$B237)+BV$86*(BV$71*(AB$64*GREET1_Import_Export!$AA72+AB$65*GREET1_Import_Export!$AB72)+GREET1_Import_Export!$C290)+BV$87*(GREET1_Import_Export!$D315+GREET1_Import_Export!$E315)</f>
        <v>0</v>
      </c>
      <c r="BW107" s="350"/>
      <c r="BX107" s="1082"/>
      <c r="BY107" s="1076">
        <f>BY$81*(BY$71*AC$50*GREET1_Import_Export!$K72+GREET1_Import_Export!$B201*GREET1_Import_Export!$F$179+GREET1_Import_Export!$F201)+BY$82*(BY$71*(AC$52*GREET1_Import_Export!$Q72+AC$53*GREET1_Import_Export!$O72+AC$54*GREET1_Import_Export!$M72)+GREET1_Import_Export!$B201*GREET1_Import_Export!$G$179+GREET1_Import_Export!$G201)+BY$83*(BY$71*AC$55*GREET1_Import_Export!$T72+GREET1_Import_Export!$B201*GREET1_Import_Export!$C$179+GREET1_Import_Export!$C201)+BY$84*(BY$71*AC$56*GREET1_Import_Export!$W72+GREET1_Import_Export!$E237*GREET1_Import_Export!$F$215+GREET1_Import_Export!$F237)+BY$85*(BY$71*(AC$57*GREET1_Import_Export!$B72+AC$58*GREET1_Import_Export!$C72+AC$59*GREET1_Import_Export!$G72+AC$61*'GREET2_Factors_T&amp;D'!$F15+AC$62*'GREET2_Factors_T&amp;D'!$G15)+GREET1_Import_Export!$B237)+BY$86*(BY$71*(AC$64*GREET1_Import_Export!$AA72+AC$65*GREET1_Import_Export!$AB72)+GREET1_Import_Export!$C290)+BY$87*(GREET1_Import_Export!$D315+GREET1_Import_Export!$E315)</f>
        <v>23.098185534462591</v>
      </c>
      <c r="BZ107" s="350"/>
      <c r="CA107" s="1082"/>
      <c r="CB107" s="1076">
        <f>CB$81*(CB$71*AD$50*GREET1_Import_Export!$K72+GREET1_Import_Export!$B201*GREET1_Import_Export!$F$179+GREET1_Import_Export!$F201)+CB$82*(CB$71*(AD$52*GREET1_Import_Export!$Q72+AD$53*GREET1_Import_Export!$O72+AD$54*GREET1_Import_Export!$M72)+GREET1_Import_Export!$B201*GREET1_Import_Export!$G$179+GREET1_Import_Export!$G201)+CB$83*(CB$71*AD$55*GREET1_Import_Export!$T72+GREET1_Import_Export!$B201*GREET1_Import_Export!$C$179+GREET1_Import_Export!$C201)+CB$84*(CB$71*AD$56*GREET1_Import_Export!$W72+GREET1_Import_Export!$E237*GREET1_Import_Export!$F$215+GREET1_Import_Export!$F237)+CB$85*(CB$71*(AD$57*GREET1_Import_Export!$B72+AD$58*GREET1_Import_Export!$C72+AD$59*GREET1_Import_Export!$G72+AD$61*'GREET2_Factors_T&amp;D'!$F15+AD$62*'GREET2_Factors_T&amp;D'!$G15)+GREET1_Import_Export!$B237)+CB$86*(CB$71*(AD$64*GREET1_Import_Export!$AA72+AD$65*GREET1_Import_Export!$AB72)+GREET1_Import_Export!$C290)+CB$87*(GREET1_Import_Export!$D315+GREET1_Import_Export!$E315)</f>
        <v>21.399863582678968</v>
      </c>
      <c r="CC107" s="350"/>
      <c r="CD107" s="1082"/>
      <c r="CE107" s="749">
        <f>CE$81*(CE$71*($AE$50*GREET1_Import_Export!$K72)+GREET1_Import_Export!$F$200*GREET1_Import_Export!$B201+GREET1_Import_Export!$F201)+CE$82*(CE$71*(GREET1_Import_Export!$R72)+GREET1_Import_Export!$H$200*GREET1_Import_Export!$B201+GREET1_Import_Export!$H201)+CE$83*(CE$71*(GREET1_Import_Export!$T72)+GREET1_Import_Export!$C$200*GREET1_Import_Export!$B201+GREET1_Import_Export!$C201)+CE$84*(CE$71*(GREET1_Import_Export!$X72)+GREET1_Import_Export!$B$10*(GREET1_Import_Export!$F$215*GREET1_Import_Export!$B237+GREET1_Import_Export!$F237)+GREET1_Import_Export!$C$10*(GREET1_Import_Export!$E$200*GREET1_Import_Export!$B201+GREET1_Import_Export!$E201))+CE$85*(CE$71*($AE$57*GREET1_Import_Export!$B72)+GREET1_Import_Export!$B237)+CE$86*(CE$71*($AE$64*GREET1_Import_Export!$AA72)+GREET1_Import_Export!$C290)+CE$87*(GREET1_Import_Export!$D315+GREET1_Import_Export!$E315)</f>
        <v>0</v>
      </c>
      <c r="CF107" s="1096"/>
      <c r="CG107" s="1321"/>
      <c r="CH107" s="1321"/>
      <c r="CI107" s="1321"/>
      <c r="CJ107" s="1321"/>
      <c r="CK107" s="1321"/>
      <c r="CL107" s="1321"/>
      <c r="CM107" s="1321"/>
      <c r="CN107" s="1321"/>
      <c r="CO107" s="1321"/>
      <c r="CP107" s="1321"/>
      <c r="CQ107" s="1321"/>
      <c r="CR107" s="1321"/>
      <c r="CS107" s="1321"/>
      <c r="CT107" s="1321"/>
      <c r="CU107" s="1321"/>
      <c r="CV107" s="1321"/>
      <c r="CW107" s="1321"/>
      <c r="CX107" s="1321"/>
      <c r="CY107" s="1321"/>
      <c r="CZ107" s="1321"/>
      <c r="DA107" s="1321"/>
      <c r="DB107" s="1321"/>
      <c r="DC107" s="1321"/>
      <c r="DD107" s="1321"/>
      <c r="DE107" s="1321"/>
      <c r="DF107" s="1321"/>
      <c r="DG107" s="1321"/>
      <c r="DH107" s="1321"/>
      <c r="DI107" s="1321"/>
      <c r="DJ107" s="1321"/>
      <c r="DK107" s="1321"/>
      <c r="DL107" s="1321"/>
      <c r="DM107" s="1321"/>
      <c r="DN107" s="1321"/>
      <c r="DO107" s="1321"/>
      <c r="DP107" s="1321"/>
      <c r="DQ107" s="1321"/>
      <c r="DR107" s="1321"/>
      <c r="DS107" s="1321"/>
      <c r="DT107" s="1321"/>
      <c r="DU107" s="1321"/>
      <c r="DV107" s="1321"/>
      <c r="DW107" s="1321"/>
      <c r="DX107" s="1321"/>
      <c r="DY107" s="1321"/>
      <c r="DZ107" s="1321"/>
      <c r="EA107" s="1321"/>
      <c r="EB107" s="1321"/>
      <c r="EC107" s="1321"/>
      <c r="ED107" s="1321"/>
      <c r="EE107" s="1321"/>
      <c r="EF107" s="1321"/>
      <c r="EG107" s="1321"/>
      <c r="EH107" s="1321"/>
      <c r="EI107" s="1321"/>
      <c r="EJ107" s="1321"/>
      <c r="EK107" s="1321"/>
      <c r="EL107" s="1321"/>
      <c r="EM107" s="1321"/>
      <c r="EN107" s="1321"/>
      <c r="EO107" s="1321"/>
      <c r="EP107" s="1321"/>
      <c r="EQ107" s="1321"/>
      <c r="ER107" s="1321"/>
      <c r="ES107" s="1321"/>
      <c r="ET107" s="1321"/>
      <c r="EU107" s="1321"/>
      <c r="EV107" s="1321"/>
      <c r="EW107" s="1321"/>
      <c r="EX107" s="1321"/>
      <c r="EY107" s="1321"/>
      <c r="EZ107" s="1321"/>
      <c r="FA107" s="1321"/>
      <c r="FB107" s="1321"/>
    </row>
    <row r="108" spans="1:158">
      <c r="A108" s="291" t="s">
        <v>822</v>
      </c>
      <c r="B108" s="233">
        <f>B$81*(B$71*B$50*GREET1_Import_Export!$K73+GREET1_Import_Export!$B202*GREET1_Import_Export!$F$179+GREET1_Import_Export!$F202)+B$82*(B$71*(B$52*GREET1_Import_Export!$Q73+B$53*GREET1_Import_Export!$O73+B$54*GREET1_Import_Export!$M73)+GREET1_Import_Export!$B202*GREET1_Import_Export!$G$179+GREET1_Import_Export!$G202)+B$83*(B$71*B$55*GREET1_Import_Export!$T73+GREET1_Import_Export!$B202*GREET1_Import_Export!$C$179+GREET1_Import_Export!$C202)+B$84*(B$71*B$56*GREET1_Import_Export!$W73+GREET1_Import_Export!$E238*GREET1_Import_Export!$F$215+GREET1_Import_Export!$F238)+B$85*(B$71*(B$57*GREET1_Import_Export!$B73+B$58*GREET1_Import_Export!$C73+B$59*GREET1_Import_Export!$G73+B$61*'GREET2_Factors_T&amp;D'!$F16+B$62*'GREET2_Factors_T&amp;D'!$G16)+GREET1_Import_Export!$B238)+B$86*(B$71*(B$64*GREET1_Import_Export!$AA73+B$65*GREET1_Import_Export!$AB73)+GREET1_Import_Export!$C291)+B$87*SUM(GREET1_Import_Export!$D316:$E316)</f>
        <v>0</v>
      </c>
      <c r="C108" s="1"/>
      <c r="D108" s="235"/>
      <c r="E108" s="233">
        <f>E$81*(E$71*C$50*GREET1_Import_Export!$K73+GREET1_Import_Export!$B202*GREET1_Import_Export!$F$179+GREET1_Import_Export!$F202)+E$82*(E$71*(C$52*GREET1_Import_Export!$Q73+C$53*GREET1_Import_Export!$O73+C$54*GREET1_Import_Export!$M73)+GREET1_Import_Export!$B202*GREET1_Import_Export!$G$179+GREET1_Import_Export!$G202)+E$83*(E$71*C$55*GREET1_Import_Export!$T73+GREET1_Import_Export!$B202*GREET1_Import_Export!$C$179+GREET1_Import_Export!$C202)+E$84*(E$71*C$56*GREET1_Import_Export!$W73+GREET1_Import_Export!$E238*GREET1_Import_Export!$F$215+GREET1_Import_Export!$F238)+E$85*(E$71*(C$57*GREET1_Import_Export!$B73+C$58*GREET1_Import_Export!$C73+C$59*GREET1_Import_Export!$G73+C$61*'GREET2_Factors_T&amp;D'!$F16+C$62*'GREET2_Factors_T&amp;D'!$G16)+GREET1_Import_Export!$B238)+E$86*(E$71*(C$64*GREET1_Import_Export!$AA73+C$65*GREET1_Import_Export!$AB73)+GREET1_Import_Export!$C291)+E$87*SUM(GREET1_Import_Export!$D316:$E316)</f>
        <v>0</v>
      </c>
      <c r="F108" s="1"/>
      <c r="G108" s="235"/>
      <c r="H108" s="233">
        <f>H$81*(H$71*D$50*GREET1_Import_Export!$K73+GREET1_Import_Export!$B202*GREET1_Import_Export!$F$179+GREET1_Import_Export!$F202)+H$82*(H$71*(D$52*GREET1_Import_Export!$Q73+D$53*GREET1_Import_Export!$O73+D$54*GREET1_Import_Export!$M73)+GREET1_Import_Export!$B202*GREET1_Import_Export!$G$179+GREET1_Import_Export!$G202)+H$83*(H$71*D$55*GREET1_Import_Export!$T73+GREET1_Import_Export!$B202*GREET1_Import_Export!$C$179+GREET1_Import_Export!$C202)+H$84*(H$71*D$56*GREET1_Import_Export!$W73+GREET1_Import_Export!$E238*GREET1_Import_Export!$F$215+GREET1_Import_Export!$F238)+H$85*(H$71*(D$57*GREET1_Import_Export!$B73+D$58*GREET1_Import_Export!$C73+D$59*GREET1_Import_Export!$G73+D$61*'GREET2_Factors_T&amp;D'!$F16+D$62*'GREET2_Factors_T&amp;D'!$G16)+GREET1_Import_Export!$B238)+H$86*(H$71*(D$64*GREET1_Import_Export!$AA73+D$65*GREET1_Import_Export!$AB73)+GREET1_Import_Export!$C291)+H$87*SUM(GREET1_Import_Export!$D316:$E316)</f>
        <v>110.97658441011755</v>
      </c>
      <c r="I108" s="1"/>
      <c r="J108" s="235"/>
      <c r="K108" s="233">
        <f>K$81*(K$71*E$50*GREET1_Import_Export!$K73+GREET1_Import_Export!$B202*GREET1_Import_Export!$F$179+GREET1_Import_Export!$F202)+K$82*(K$71*(E$52*GREET1_Import_Export!$Q73+E$53*GREET1_Import_Export!$O73+E$54*GREET1_Import_Export!$M73)+GREET1_Import_Export!$B202*GREET1_Import_Export!$G$179+GREET1_Import_Export!$G202)+K$83*(K$71*E$55*GREET1_Import_Export!$T73+GREET1_Import_Export!$B202*GREET1_Import_Export!$C$179+GREET1_Import_Export!$C202)+K$84*(K$71*E$56*GREET1_Import_Export!$W73+GREET1_Import_Export!$E238*GREET1_Import_Export!$F$215+GREET1_Import_Export!$F238)+K$85*(K$71*(E$57*GREET1_Import_Export!$B73+E$58*GREET1_Import_Export!$C73+E$59*GREET1_Import_Export!$G73+E$61*'GREET2_Factors_T&amp;D'!$F16+E$62*'GREET2_Factors_T&amp;D'!$G16)+GREET1_Import_Export!$B238)+K$86*(K$71*(E$64*GREET1_Import_Export!$AA73+E$65*GREET1_Import_Export!$AB73)+GREET1_Import_Export!$C291)+K$87*SUM(GREET1_Import_Export!$D316:$E316)</f>
        <v>138.23779622182624</v>
      </c>
      <c r="L108" s="1"/>
      <c r="M108" s="235"/>
      <c r="N108" s="233">
        <f>N$81*(N$71*F$50*GREET1_Import_Export!$K73+GREET1_Import_Export!$B202*GREET1_Import_Export!$F$179+GREET1_Import_Export!$F202)+N$82*(N$71*(F$52*GREET1_Import_Export!$Q73+F$53*GREET1_Import_Export!$O73+F$54*GREET1_Import_Export!$M73)+GREET1_Import_Export!$B202*GREET1_Import_Export!$G$179+GREET1_Import_Export!$G202)+N$83*(N$71*F$55*GREET1_Import_Export!$T73+GREET1_Import_Export!$B202*GREET1_Import_Export!$C$179+GREET1_Import_Export!$C202)+N$84*(N$71*F$56*GREET1_Import_Export!$W73+GREET1_Import_Export!$E238*GREET1_Import_Export!$F$215+GREET1_Import_Export!$F238)+N$85*(N$71*(F$57*GREET1_Import_Export!$B73+F$58*GREET1_Import_Export!$C73+F$59*GREET1_Import_Export!$G73+F$61*'GREET2_Factors_T&amp;D'!$F16+F$62*'GREET2_Factors_T&amp;D'!$G16)+GREET1_Import_Export!$B238)+N$86*(N$71*(F$64*GREET1_Import_Export!$AA73+F$65*GREET1_Import_Export!$AB73)+GREET1_Import_Export!$C291)+N$87*SUM(GREET1_Import_Export!$D316:$E316)</f>
        <v>110.97658441011755</v>
      </c>
      <c r="O108" s="1"/>
      <c r="P108" s="235"/>
      <c r="Q108" s="581">
        <f>Q$81*(Q$71*G$50*GREET1_Import_Export!$K73+GREET1_Import_Export!$B202*GREET1_Import_Export!$F$179+GREET1_Import_Export!$F202)+Q$82*(Q$71*(G$52*GREET1_Import_Export!$Q73+G$53*GREET1_Import_Export!$O73+G$54*GREET1_Import_Export!$M73)+GREET1_Import_Export!$B202*GREET1_Import_Export!$G$179+GREET1_Import_Export!$G202)+Q$83*(Q$71*G$55*GREET1_Import_Export!$T73+GREET1_Import_Export!$B202*GREET1_Import_Export!$C$179+GREET1_Import_Export!$C202)+Q$84*(Q$71*G$56*GREET1_Import_Export!$W73+GREET1_Import_Export!$E238*GREET1_Import_Export!$F$215+GREET1_Import_Export!$F238)+Q$85*(Q$71*(G$57*GREET1_Import_Export!$B73+G$58*GREET1_Import_Export!$C73+G$59*GREET1_Import_Export!$G73+G$61*'GREET2_Factors_T&amp;D'!$F16+G$62*'GREET2_Factors_T&amp;D'!$G16)+GREET1_Import_Export!$B238)+Q$86*(Q$71*(G$64*GREET1_Import_Export!$AA73+G$65*GREET1_Import_Export!$AB73)+GREET1_Import_Export!$C291)
+Q$87*($B$46*(GREET1_Import_Export!$D316+GREET1_Import_Export!E316)+$C$46*GREET1_Import_Export!L364+$D$46*GREET1_Import_Export!H364+$E$46*GREET1_Import_Export!Q364+$F$46*GREET1_Import_Export!R364+SUMPRODUCT($G$46:$I$46,GREET1_Import_Export!N364:P364))</f>
        <v>138.23779622182624</v>
      </c>
      <c r="R108" s="489"/>
      <c r="S108" s="235"/>
      <c r="T108" s="581">
        <f>T$81*(T$71*BZ$50*GREET1_Import_Export!$K73+GREET1_Import_Export!$B202*GREET1_Import_Export!$F$179+GREET1_Import_Export!$F202)+T$82*(T$71*(BZ$52*GREET1_Import_Export!$Q73+BZ$53*GREET1_Import_Export!$O73+BZ$54*GREET1_Import_Export!$M73)+GREET1_Import_Export!$B202*GREET1_Import_Export!$G$179+GREET1_Import_Export!$G202)+T$83*(T$71*BZ$55*GREET1_Import_Export!$T73+GREET1_Import_Export!$B202*GREET1_Import_Export!$C$179+GREET1_Import_Export!$C202)+T$84*(T$71*BZ$56*GREET1_Import_Export!$W73+GREET1_Import_Export!$E238*GREET1_Import_Export!$F$215+GREET1_Import_Export!$F238)+T$85*(T$71*(BZ$57*GREET1_Import_Export!$B73+BZ$58*GREET1_Import_Export!$C73+BZ$59*GREET1_Import_Export!$G73+BZ$61*'GREET2_Factors_T&amp;D'!$F16+BZ$62*'GREET2_Factors_T&amp;D'!$G16)+GREET1_Import_Export!$B238)+T$86*(T$71*(BZ$64*GREET1_Import_Export!$AA73+BZ$65*GREET1_Import_Export!$AB73)+GREET1_Import_Export!$C291)+T$87*SUM(GREET1_Import_Export!$D316:$E316)</f>
        <v>110.97658441011755</v>
      </c>
      <c r="U108" s="1"/>
      <c r="V108" s="235"/>
      <c r="W108" s="581">
        <f>W$81*(W$71*I$50*GREET1_Import_Export!$K73+GREET1_Import_Export!$B202*GREET1_Import_Export!$F$179+GREET1_Import_Export!$F202)+W$82*(W$71*(I$52*GREET1_Import_Export!$Q73+I$53*GREET1_Import_Export!$O73+I$54*GREET1_Import_Export!$M73)+GREET1_Import_Export!$B202*GREET1_Import_Export!$G$179+GREET1_Import_Export!$G202)+W$83*(W$71*I$55*GREET1_Import_Export!$T73+GREET1_Import_Export!$B202*GREET1_Import_Export!$C$179+GREET1_Import_Export!$C202)+W$84*(W$71*I$56*GREET1_Import_Export!$W73+GREET1_Import_Export!$E238*GREET1_Import_Export!$F$215+GREET1_Import_Export!$F238)+W$85*(W$71*(I$57*GREET1_Import_Export!$B73+I$58*GREET1_Import_Export!$C73+I$59*GREET1_Import_Export!$G73+I$61*'GREET2_Factors_T&amp;D'!$F16+I$62*'GREET2_Factors_T&amp;D'!$G16)+GREET1_Import_Export!$B238)+W$86*(W$71*(I$64*GREET1_Import_Export!$AA73+I$65*GREET1_Import_Export!$AB73)+GREET1_Import_Export!$C291)+W$87*($B$46*(GREET1_Import_Export!$D316+GREET1_Import_Export!E316)+$C$46*GREET1_Import_Export!L364+$D$46*GREET1_Import_Export!H364+$E$46*GREET1_Import_Export!Q364+$F$46*GREET1_Import_Export!R364+SUMPRODUCT($G$46:$I$46,GREET1_Import_Export!N364:P364))</f>
        <v>138.23779622182624</v>
      </c>
      <c r="X108" s="1"/>
      <c r="Y108" s="235"/>
      <c r="Z108" s="233">
        <f>Z$81*(Z$71*J$50*GREET1_Import_Export!$K73+GREET1_Import_Export!$B202*GREET1_Import_Export!$F$179+GREET1_Import_Export!$F202)+Z$82*(Z$71*(J$52*GREET1_Import_Export!$Q73+J$53*GREET1_Import_Export!$O73+J$54*GREET1_Import_Export!$M73)+GREET1_Import_Export!$B202*GREET1_Import_Export!$G$179+GREET1_Import_Export!$G202)+Z$83*(Z$71*J$55*GREET1_Import_Export!$T73+GREET1_Import_Export!$B202*GREET1_Import_Export!$C$179+GREET1_Import_Export!$C202)+Z$84*(Z$71*J$56*GREET1_Import_Export!$W73+GREET1_Import_Export!$E238*GREET1_Import_Export!$F$215+GREET1_Import_Export!$F238)+Z$85*(Z$71*(J$57*GREET1_Import_Export!$B73+J$58*GREET1_Import_Export!$C73+J$59*GREET1_Import_Export!$G73+J$61*'GREET2_Factors_T&amp;D'!$F16+J$62*'GREET2_Factors_T&amp;D'!$G16)+GREET1_Import_Export!$B238)+Z$86*(Z$71*(J$64*GREET1_Import_Export!$AA73+J$65*GREET1_Import_Export!$AB73)+GREET1_Import_Export!$C291)+Z$87*SUM(GREET1_Import_Export!$D316:$E316)</f>
        <v>110.97658441011755</v>
      </c>
      <c r="AA108" s="1"/>
      <c r="AB108" s="235"/>
      <c r="AC108" s="581">
        <f>AC$81*(AC$71*K$50*GREET1_Import_Export!$K73+GREET1_Import_Export!$B202*GREET1_Import_Export!$F$179+GREET1_Import_Export!$F202)+AC$82*(AC$71*(K$52*GREET1_Import_Export!$Q73+K$53*GREET1_Import_Export!$O73+K$54*GREET1_Import_Export!$M73)+GREET1_Import_Export!$B202*GREET1_Import_Export!$G$179+GREET1_Import_Export!$G202)+AC$83*(AC$71*K$55*GREET1_Import_Export!$T73+GREET1_Import_Export!$B202*GREET1_Import_Export!$C$179+GREET1_Import_Export!$C202)+AC$84*(AC$71*K$56*GREET1_Import_Export!$W73+GREET1_Import_Export!$E238*GREET1_Import_Export!$F$215+GREET1_Import_Export!$F238)+AC$85*(AC$71*(K$57*GREET1_Import_Export!$B73+K$58*GREET1_Import_Export!$C73+K$59*GREET1_Import_Export!$G73+K$61*'GREET2_Factors_T&amp;D'!$F16+K$62*'GREET2_Factors_T&amp;D'!$G16)+GREET1_Import_Export!$B238)+AC$86*(AC$71*(K$64*GREET1_Import_Export!$AA73+K$65*GREET1_Import_Export!$AB73)+GREET1_Import_Export!$C291)+AC$87*($B$46*(GREET1_Import_Export!$D316+GREET1_Import_Export!E316)+$C$46*GREET1_Import_Export!L364+$D$46*GREET1_Import_Export!H364+$E$46*GREET1_Import_Export!Q364+$F$46*GREET1_Import_Export!R364+SUMPRODUCT($G$46:$I$46,GREET1_Import_Export!N364:P364))</f>
        <v>138.23779622182624</v>
      </c>
      <c r="AD108" s="1"/>
      <c r="AE108" s="235"/>
      <c r="AF108" s="233">
        <f>AF$81*(AF$71*L$50*GREET1_Import_Export!$K73+GREET1_Import_Export!$B202*GREET1_Import_Export!$F$179+GREET1_Import_Export!$F202)+AF$82*(AF$71*(L$52*GREET1_Import_Export!$Q73+L$53*GREET1_Import_Export!$O73+L$54*GREET1_Import_Export!$M73)+GREET1_Import_Export!$B202*GREET1_Import_Export!$G$179+GREET1_Import_Export!$G202)+AF$83*(AF$71*L$55*GREET1_Import_Export!$T73+GREET1_Import_Export!$B202*GREET1_Import_Export!$C$179+GREET1_Import_Export!$C202)+AF$84*(AF$71*L$56*GREET1_Import_Export!$W73+GREET1_Import_Export!$E238*GREET1_Import_Export!$F$215+GREET1_Import_Export!$F238)+AF$85*(AF$71*(L$57*GREET1_Import_Export!$B73+L$58*GREET1_Import_Export!$C73+L$59*GREET1_Import_Export!$G73+L$61*'GREET2_Factors_T&amp;D'!$F16+L$62*'GREET2_Factors_T&amp;D'!$G16)+GREET1_Import_Export!$B238)+AF$86*(AF$71*(L$64*GREET1_Import_Export!$AA73+L$65*GREET1_Import_Export!$AB73)+GREET1_Import_Export!$C291)+AF$87*SUM(GREET1_Import_Export!$D316:$E316)</f>
        <v>110.97658441011755</v>
      </c>
      <c r="AG108" s="489"/>
      <c r="AH108" s="478"/>
      <c r="AI108" s="581">
        <f>AI$81*(AI$71*M$50*GREET1_Import_Export!$K73+GREET1_Import_Export!$B202*GREET1_Import_Export!$F$179+GREET1_Import_Export!$F202)+AI$82*(AI$71*(M$52*GREET1_Import_Export!$Q73+M$53*GREET1_Import_Export!$O73+M$54*GREET1_Import_Export!$M73)+GREET1_Import_Export!$B202*GREET1_Import_Export!$G$179+GREET1_Import_Export!$G202)+AI$83*(AI$71*M$55*GREET1_Import_Export!$T73+GREET1_Import_Export!$B202*GREET1_Import_Export!$C$179+GREET1_Import_Export!$C202)+AI$84*(AI$71*M$56*GREET1_Import_Export!$W73+GREET1_Import_Export!$E238*GREET1_Import_Export!$F$215+GREET1_Import_Export!$F238)+AI$85*(AI$71*(M$57*GREET1_Import_Export!$B73+M$58*GREET1_Import_Export!$C73+M$59*GREET1_Import_Export!$G73+M$61*'GREET2_Factors_T&amp;D'!$F16+M$62*'GREET2_Factors_T&amp;D'!$G16)+GREET1_Import_Export!$B238)+AI$86*(AI$71*(M$64*GREET1_Import_Export!$AA73+M$65*GREET1_Import_Export!$AB73)+GREET1_Import_Export!$C291)+AI$87*($B$46*(GREET1_Import_Export!$D316+GREET1_Import_Export!E316)+$C$46*GREET1_Import_Export!L364+$D$46*GREET1_Import_Export!H364+$E$46*GREET1_Import_Export!Q364+$F$46*GREET1_Import_Export!R364+SUMPRODUCT($G$46:$I$46,GREET1_Import_Export!N364:P364))</f>
        <v>157.98605282494418</v>
      </c>
      <c r="AJ108" s="1"/>
      <c r="AK108" s="235"/>
      <c r="AL108" s="233">
        <f>AL$81*(AL$71*N$50*GREET1_Import_Export!$K73+GREET1_Import_Export!$B202*GREET1_Import_Export!$F$179+GREET1_Import_Export!$F202)+AL$82*(AL$71*(N$52*GREET1_Import_Export!$Q73+N$53*GREET1_Import_Export!$O73+N$54*GREET1_Import_Export!$M73)+GREET1_Import_Export!$B202*GREET1_Import_Export!$G$179+GREET1_Import_Export!$G202)+AL$83*(AL$71*N$55*GREET1_Import_Export!$T73+GREET1_Import_Export!$B202*GREET1_Import_Export!$C$179+GREET1_Import_Export!$C202)+AL$84*(AL$71*N$56*GREET1_Import_Export!$W73+GREET1_Import_Export!$E238*GREET1_Import_Export!$F$215+GREET1_Import_Export!$F238)+AL$85*(AL$71*(N$57*GREET1_Import_Export!$B73+N$58*GREET1_Import_Export!$C73+N$59*GREET1_Import_Export!$G73+N$61*'GREET2_Factors_T&amp;D'!$F16+N$62*'GREET2_Factors_T&amp;D'!$G16)+GREET1_Import_Export!$B238)+AL$86*(AL$71*(N$64*GREET1_Import_Export!$AA73+N$65*GREET1_Import_Export!$AB73)+GREET1_Import_Export!$C291)+AL$87*SUM(GREET1_Import_Export!$D316:$E316)</f>
        <v>92.972863016806045</v>
      </c>
      <c r="AM108" s="1"/>
      <c r="AN108" s="235"/>
      <c r="AO108" s="233">
        <f>AO$81*(AO$71*O$50*GREET1_Import_Export!$K73+GREET1_Import_Export!$B202*GREET1_Import_Export!$F$179+GREET1_Import_Export!$F202)+AO$82*(AO$71*(O$52*GREET1_Import_Export!$Q73+O$53*GREET1_Import_Export!$O73+O$54*GREET1_Import_Export!$M73)+GREET1_Import_Export!$B202*GREET1_Import_Export!$G$179+GREET1_Import_Export!$G202)+AO$83*(AO$71*O$55*GREET1_Import_Export!$T73+GREET1_Import_Export!$B202*GREET1_Import_Export!$C$179+GREET1_Import_Export!$C202)+AO$84*(AO$71*O$56*GREET1_Import_Export!$W73+GREET1_Import_Export!$E238*GREET1_Import_Export!$F$215+GREET1_Import_Export!$F238)+AO$85*(AO$71*(O$57*GREET1_Import_Export!$B73+O$58*GREET1_Import_Export!$C73+O$59*GREET1_Import_Export!$G73+O$61*'GREET2_Factors_T&amp;D'!$F16+O$62*'GREET2_Factors_T&amp;D'!$G16)+GREET1_Import_Export!$B238)+AO$86*(AO$71*(O$64*GREET1_Import_Export!$AA73+O$65*GREET1_Import_Export!$AB73)+GREET1_Import_Export!$C291)+AO$87*SUM(GREET1_Import_Export!$D316:$E316)</f>
        <v>149.6193747774233</v>
      </c>
      <c r="AP108" s="1"/>
      <c r="AQ108" s="235"/>
      <c r="AR108" s="233">
        <f>AR$81*(AR$71*P$50*GREET1_Import_Export!$K73+GREET1_Import_Export!$B202*GREET1_Import_Export!$F$179+GREET1_Import_Export!$F202)+AR$82*(AR$71*(P$52*GREET1_Import_Export!$Q73+P$53*GREET1_Import_Export!$O73+P$54*GREET1_Import_Export!$M73)+GREET1_Import_Export!$B202*GREET1_Import_Export!$G$179+GREET1_Import_Export!$G202)+AR$83*(AR$71*P$55*GREET1_Import_Export!$T73+GREET1_Import_Export!$B202*GREET1_Import_Export!$C$179+GREET1_Import_Export!$C202)+AR$84*(AR$71*P$56*GREET1_Import_Export!$W73+GREET1_Import_Export!$E238*GREET1_Import_Export!$F$215+GREET1_Import_Export!$F238)+AR$85*(AR$71*(P$57*GREET1_Import_Export!$B73+P$58*GREET1_Import_Export!$C73+P$59*GREET1_Import_Export!$G73+P$61*'GREET2_Factors_T&amp;D'!$F16+P$62*'GREET2_Factors_T&amp;D'!$G16)+GREET1_Import_Export!$B238)+AR$86*(AR$71*(P$64*GREET1_Import_Export!$AA73+P$65*GREET1_Import_Export!$AB73)+GREET1_Import_Export!$C291)+AR$87*SUM(GREET1_Import_Export!$D316:$E316)</f>
        <v>90.294842890792424</v>
      </c>
      <c r="AS108" s="1"/>
      <c r="AT108" s="235"/>
      <c r="AU108" s="233">
        <f>AU$81*(AU$71*Q$50*GREET1_Import_Export!$K73+GREET1_Import_Export!$B202*GREET1_Import_Export!$F$179+GREET1_Import_Export!$F202)+AU$82*(AU$71*(Q$52*GREET1_Import_Export!$Q73+Q$53*GREET1_Import_Export!$O73+Q$54*GREET1_Import_Export!$M73)+GREET1_Import_Export!$B202*GREET1_Import_Export!$G$179+GREET1_Import_Export!$G202)+AU$83*(AU$71*Q$55*GREET1_Import_Export!$T73+GREET1_Import_Export!$B202*GREET1_Import_Export!$C$179+GREET1_Import_Export!$C202)+AU$84*(AU$71*Q$56*GREET1_Import_Export!$W73+GREET1_Import_Export!$E238*GREET1_Import_Export!$F$215+GREET1_Import_Export!$F238)+AU$85*(AU$71*(Q$57*GREET1_Import_Export!$B73+Q$58*GREET1_Import_Export!$C73+Q$59*GREET1_Import_Export!$G73+Q$61*'GREET2_Factors_T&amp;D'!$F16+Q$62*'GREET2_Factors_T&amp;D'!$G16)+GREET1_Import_Export!$B238)+AU$86*(AU$71*(Q$64*GREET1_Import_Export!$AA73+Q$65*GREET1_Import_Export!$AB73)+GREET1_Import_Export!$C291)+AU$87*SUM(GREET1_Import_Export!$D316:$E316)</f>
        <v>25.694824726210207</v>
      </c>
      <c r="AV108" s="1"/>
      <c r="AW108" s="235"/>
      <c r="AX108" s="233">
        <f>AX$81*(AX$71*R$50*GREET1_Import_Export!$K73+GREET1_Import_Export!$B202*GREET1_Import_Export!$F$179+GREET1_Import_Export!$F202)+AX$82*(AX$71*(R$52*GREET1_Import_Export!$Q73+R$53*GREET1_Import_Export!$O73+R$54*GREET1_Import_Export!$M73)+GREET1_Import_Export!$B202*GREET1_Import_Export!$G$179+GREET1_Import_Export!$G202)+AX$83*(AX$71*R$55*GREET1_Import_Export!$T73+GREET1_Import_Export!$B202*GREET1_Import_Export!$C$179+GREET1_Import_Export!$C202)+AX$84*(AX$71*R$56*GREET1_Import_Export!$W73+GREET1_Import_Export!$E238*GREET1_Import_Export!$F$215+GREET1_Import_Export!$F238)+AX$85*(AX$71*(R$57*GREET1_Import_Export!$B73+R$58*GREET1_Import_Export!$C73+R$59*GREET1_Import_Export!$G73+R$61*'GREET2_Factors_T&amp;D'!$F16+R$62*'GREET2_Factors_T&amp;D'!$G16)+GREET1_Import_Export!$B238)+AX$86*(AX$71*(R$64*GREET1_Import_Export!$AA73+R$65*GREET1_Import_Export!$AB73)+GREET1_Import_Export!$C291)+AX$87*SUM(GREET1_Import_Export!$D316:$E316)</f>
        <v>7.8452512487978536</v>
      </c>
      <c r="AY108" s="1"/>
      <c r="AZ108" s="235"/>
      <c r="BA108" s="233">
        <f>BA$81*(BA$71*S$50*GREET1_Import_Export!$K73+GREET1_Import_Export!$B202*GREET1_Import_Export!$F$179+GREET1_Import_Export!$F202)+BA$82*(BA$71*(S$52*GREET1_Import_Export!$Q73+S$53*GREET1_Import_Export!$O73+S$54*GREET1_Import_Export!$M73)+GREET1_Import_Export!$B202*GREET1_Import_Export!$G$179+GREET1_Import_Export!$G202)+BA$83*(BA$71*S$55*GREET1_Import_Export!$T73+GREET1_Import_Export!$B202*GREET1_Import_Export!$C$179+GREET1_Import_Export!$C202)+BA$84*(BA$71*S$56*GREET1_Import_Export!$W73+GREET1_Import_Export!$E238*GREET1_Import_Export!$F$215+GREET1_Import_Export!$F238)+BA$85*(BA$71*(S$57*GREET1_Import_Export!$B73+S$58*GREET1_Import_Export!$C73+S$59*GREET1_Import_Export!$G73+S$61*'GREET2_Factors_T&amp;D'!$F16+S$62*'GREET2_Factors_T&amp;D'!$G16)+GREET1_Import_Export!$B238)+BA$86*(BA$71*(S$64*GREET1_Import_Export!$AA73+S$65*GREET1_Import_Export!$AB73)+GREET1_Import_Export!$C291)+BA$87*SUM(GREET1_Import_Export!$D316:$E316)</f>
        <v>118.48953961870829</v>
      </c>
      <c r="BB108" s="1"/>
      <c r="BC108" s="235"/>
      <c r="BD108" s="581">
        <f>BD$81*(BD$71*T$50*GREET1_Import_Export!$K73+GREET1_Import_Export!$B202*GREET1_Import_Export!$F$179+GREET1_Import_Export!$F202)+BD$82*(BD$71*(T$52*GREET1_Import_Export!$Q73+T$53*GREET1_Import_Export!$O73+T$54*GREET1_Import_Export!$M73)+GREET1_Import_Export!$B202*GREET1_Import_Export!$G$179+GREET1_Import_Export!$G202)+BD$83*(BD$71*T$55*GREET1_Import_Export!$T73+GREET1_Import_Export!$B202*GREET1_Import_Export!$C$179+GREET1_Import_Export!$C202)+BD$84*(BD$71*T$56*GREET1_Import_Export!$W73+GREET1_Import_Export!$E238*GREET1_Import_Export!$F$215+GREET1_Import_Export!$F238)+BD$85*(BD$71*(T$57*GREET1_Import_Export!$B73+T$58*GREET1_Import_Export!$C73+T$59*GREET1_Import_Export!$G73+T$61*'GREET2_Factors_T&amp;D'!$F16+T$62*'GREET2_Factors_T&amp;D'!$G16)+GREET1_Import_Export!$B238)+BD$86*(BD$71*(T$64*GREET1_Import_Export!$AA73+T$65*GREET1_Import_Export!$AB73)+GREET1_Import_Export!$C291)+BD$87*SUM(GREET1_Import_Export!$D316:$E316)</f>
        <v>95.690084492070426</v>
      </c>
      <c r="BE108" s="489"/>
      <c r="BF108" s="478"/>
      <c r="BG108" s="581">
        <f>BG$81*(BG$71*U$50*GREET1_Import_Export!$K73+GREET1_Import_Export!$B202*GREET1_Import_Export!$F$179+GREET1_Import_Export!$F202)+BG$82*(BG$71*(U$52*GREET1_Import_Export!$Q73+U$53*GREET1_Import_Export!$O73+U$54*GREET1_Import_Export!$M73)+GREET1_Import_Export!$B202*GREET1_Import_Export!$G$179+GREET1_Import_Export!$G202)+BG$83*(BG$71*U$55*GREET1_Import_Export!$T73+GREET1_Import_Export!$B202*GREET1_Import_Export!$C$179+GREET1_Import_Export!$C202)+BG$84*(BG$71*U$56*GREET1_Import_Export!$W73+GREET1_Import_Export!$E238*GREET1_Import_Export!$F$215+GREET1_Import_Export!$F238)+BG$85*(BG$71*(U$57*GREET1_Import_Export!$B73+U$58*GREET1_Import_Export!$C73+U$59*GREET1_Import_Export!$G73+U$61*'GREET2_Factors_T&amp;D'!$F16+U$62*'GREET2_Factors_T&amp;D'!$G16)+GREET1_Import_Export!$B238)+BG$86*(BG$71*(U$64*GREET1_Import_Export!$AA73+U$65*GREET1_Import_Export!$AB73)+GREET1_Import_Export!$C291)+BG$87*SUM(GREET1_Import_Export!$D316:$E316)</f>
        <v>83.735383937434307</v>
      </c>
      <c r="BH108" s="489"/>
      <c r="BI108" s="478"/>
      <c r="BJ108" s="581">
        <f>BJ$81*(BJ$71*V$50*GREET1_Import_Export!$K73+GREET1_Import_Export!$B202*GREET1_Import_Export!$F$179+GREET1_Import_Export!$F202)+BJ$82*(BJ$71*(V$52*GREET1_Import_Export!$Q73+V$53*GREET1_Import_Export!$O73+V$54*GREET1_Import_Export!$M73)+GREET1_Import_Export!$B202*GREET1_Import_Export!$G$179+GREET1_Import_Export!$G202)+BJ$83*(BJ$71*V$55*GREET1_Import_Export!$T73+GREET1_Import_Export!$B202*GREET1_Import_Export!$C$179+GREET1_Import_Export!$C202)+BJ$84*(BJ$71*V$56*GREET1_Import_Export!$W73+GREET1_Import_Export!$E238*GREET1_Import_Export!$F$215+GREET1_Import_Export!$F238)+BJ$85*(BJ$71*(V$57*GREET1_Import_Export!$B73+V$58*GREET1_Import_Export!$C73+V$59*GREET1_Import_Export!$G73+V$61*'GREET2_Factors_T&amp;D'!$F16+V$62*'GREET2_Factors_T&amp;D'!$G16)+GREET1_Import_Export!$B238)+BJ$86*(BJ$71*(V$64*GREET1_Import_Export!$AA73+V$65*GREET1_Import_Export!$AB73)+GREET1_Import_Export!$C291)+BJ$87*SUM(GREET1_Import_Export!$D316:$E316)</f>
        <v>16.148150063635679</v>
      </c>
      <c r="BK108" s="489"/>
      <c r="BL108" s="478"/>
      <c r="BM108" s="581">
        <f>BM$81*(BM$71*X$50*GREET1_Import_Export!$K73+GREET1_Import_Export!$B202*GREET1_Import_Export!$F$179+GREET1_Import_Export!$F202)+BM$82*(BM$71*(X$52*GREET1_Import_Export!$Q73+X$53*GREET1_Import_Export!$O73+X$54*GREET1_Import_Export!$M73)+GREET1_Import_Export!$B202*GREET1_Import_Export!$G$179+GREET1_Import_Export!$G202)+BM$83*(BM$71*X$55*GREET1_Import_Export!$T73+GREET1_Import_Export!$B202*GREET1_Import_Export!$C$179+GREET1_Import_Export!$C202)+BM$84*(BM$71*X$56*GREET1_Import_Export!$W73+GREET1_Import_Export!$E238*GREET1_Import_Export!$F$215+GREET1_Import_Export!$F238)+BM$85*(BM$71*(X$57*GREET1_Import_Export!$B73+X$58*GREET1_Import_Export!$C73+X$59*GREET1_Import_Export!$G73+X$61*'GREET2_Factors_T&amp;D'!$F16+X$62*'GREET2_Factors_T&amp;D'!$G16)+GREET1_Import_Export!$B238)+BM$86*(BM$71*(X$64*GREET1_Import_Export!$AA73+X$65*GREET1_Import_Export!$AB73)+GREET1_Import_Export!$C291)+BM$87*SUM(GREET1_Import_Export!$D316:$E316)</f>
        <v>3.0091696414866589</v>
      </c>
      <c r="BN108" s="489"/>
      <c r="BO108" s="478"/>
      <c r="BP108" s="233">
        <f>BP$81*(BP$71*Z$50*GREET1_Import_Export!$K73+GREET1_Import_Export!$B202*GREET1_Import_Export!$F$179+GREET1_Import_Export!$F202)+BP$82*(BP$71*(Z$52*GREET1_Import_Export!$Q73+Z$53*GREET1_Import_Export!$O73+Z$54*GREET1_Import_Export!$M73)+GREET1_Import_Export!$B202*GREET1_Import_Export!$G$179+GREET1_Import_Export!$G202)+BP$83*(BP$71*Z$55*GREET1_Import_Export!$T73+GREET1_Import_Export!$B202*GREET1_Import_Export!$C$179+GREET1_Import_Export!$C202)+BP$84*(BP$71*Z$56*GREET1_Import_Export!$W73+GREET1_Import_Export!$E238*GREET1_Import_Export!$F$215+GREET1_Import_Export!$F238)+BP$85*(BP$71*(Z$57*GREET1_Import_Export!$B73+Z$58*GREET1_Import_Export!$C73+Z$59*GREET1_Import_Export!$G73+Z$61*'GREET2_Factors_T&amp;D'!$F16+Z$62*'GREET2_Factors_T&amp;D'!$G16)+GREET1_Import_Export!$B238)+BP$86*(BP$71*(Z$64*GREET1_Import_Export!$AA73+Z$65*GREET1_Import_Export!$AB73)+GREET1_Import_Export!$C291)+BP$87*SUM(GREET1_Import_Export!$D316:$E316)</f>
        <v>0</v>
      </c>
      <c r="BQ108" s="1"/>
      <c r="BR108" s="235"/>
      <c r="BS108" s="1076">
        <f>BS$81*(BS$71*AA$50*GREET1_Import_Export!$K73+GREET1_Import_Export!$B202*GREET1_Import_Export!$F$179+GREET1_Import_Export!$F202)+BS$82*(BS$71*(AA$52*GREET1_Import_Export!$Q73+AA$53*GREET1_Import_Export!$O73+AA$54*GREET1_Import_Export!$M73)+GREET1_Import_Export!$B202*GREET1_Import_Export!$G$179+GREET1_Import_Export!$G202)+BS$83*(BS$71*AA$55*GREET1_Import_Export!$T73+GREET1_Import_Export!$B202*GREET1_Import_Export!$C$179+GREET1_Import_Export!$C202)+BS$84*(BS$71*AA$56*GREET1_Import_Export!$W73+GREET1_Import_Export!$E238*GREET1_Import_Export!$F$215+GREET1_Import_Export!$F238)+BS$85*(BS$71*(AA$57*GREET1_Import_Export!$B73+AA$58*GREET1_Import_Export!$C73+AA$59*GREET1_Import_Export!$G73+AA$61*'GREET2_Factors_T&amp;D'!$F16+AA$62*'GREET2_Factors_T&amp;D'!$G16)+GREET1_Import_Export!$B238)+BS$86*(BS$71*(AA$64*GREET1_Import_Export!$AA73+AA$65*GREET1_Import_Export!$AB73)+GREET1_Import_Export!$C291)+BS$87*(GREET1_Import_Export!$D316+GREET1_Import_Export!$E316)</f>
        <v>1.594834741534507</v>
      </c>
      <c r="BT108" s="350"/>
      <c r="BU108" s="1082"/>
      <c r="BV108" s="1076">
        <f>BV$81*(BV$71*AB$50*GREET1_Import_Export!$K73+GREET1_Import_Export!$B202*GREET1_Import_Export!$F$179+GREET1_Import_Export!$F202)+BV$82*(BV$71*(AB$52*GREET1_Import_Export!$Q73+AB$53*GREET1_Import_Export!$O73+AB$54*GREET1_Import_Export!$M73)+GREET1_Import_Export!$B202*GREET1_Import_Export!$G$179+GREET1_Import_Export!$G202)+BV$83*(BV$71*AB$55*GREET1_Import_Export!$T73+GREET1_Import_Export!$B202*GREET1_Import_Export!$C$179+GREET1_Import_Export!$C202)+BV$84*(BV$71*AB$56*GREET1_Import_Export!$W73+GREET1_Import_Export!$E238*GREET1_Import_Export!$F$215+GREET1_Import_Export!$F238)+BV$85*(BV$71*(AB$57*GREET1_Import_Export!$B73+AB$58*GREET1_Import_Export!$C73+AB$59*GREET1_Import_Export!$G73+AB$61*'GREET2_Factors_T&amp;D'!$F16+AB$62*'GREET2_Factors_T&amp;D'!$G16)+GREET1_Import_Export!$B238)+BV$86*(BV$71*(AB$64*GREET1_Import_Export!$AA73+AB$65*GREET1_Import_Export!$AB73)+GREET1_Import_Export!$C291)+BV$87*(GREET1_Import_Export!$D316+GREET1_Import_Export!$E316)</f>
        <v>0</v>
      </c>
      <c r="BW108" s="350"/>
      <c r="BX108" s="1082"/>
      <c r="BY108" s="1076">
        <f>BY$81*(BY$71*AC$50*GREET1_Import_Export!$K73+GREET1_Import_Export!$B202*GREET1_Import_Export!$F$179+GREET1_Import_Export!$F202)+BY$82*(BY$71*(AC$52*GREET1_Import_Export!$Q73+AC$53*GREET1_Import_Export!$O73+AC$54*GREET1_Import_Export!$M73)+GREET1_Import_Export!$B202*GREET1_Import_Export!$G$179+GREET1_Import_Export!$G202)+BY$83*(BY$71*AC$55*GREET1_Import_Export!$T73+GREET1_Import_Export!$B202*GREET1_Import_Export!$C$179+GREET1_Import_Export!$C202)+BY$84*(BY$71*AC$56*GREET1_Import_Export!$W73+GREET1_Import_Export!$E238*GREET1_Import_Export!$F$215+GREET1_Import_Export!$F238)+BY$85*(BY$71*(AC$57*GREET1_Import_Export!$B73+AC$58*GREET1_Import_Export!$C73+AC$59*GREET1_Import_Export!$G73+AC$61*'GREET2_Factors_T&amp;D'!$F16+AC$62*'GREET2_Factors_T&amp;D'!$G16)+GREET1_Import_Export!$B238)+BY$86*(BY$71*(AC$64*GREET1_Import_Export!$AA73+AC$65*GREET1_Import_Export!$AB73)+GREET1_Import_Export!$C291)+BY$87*(GREET1_Import_Export!$D316+GREET1_Import_Export!$E316)</f>
        <v>110.97658441011755</v>
      </c>
      <c r="BZ108" s="350"/>
      <c r="CA108" s="1082"/>
      <c r="CB108" s="1076">
        <f>CB$81*(CB$71*AD$50*GREET1_Import_Export!$K73+GREET1_Import_Export!$B202*GREET1_Import_Export!$F$179+GREET1_Import_Export!$F202)+CB$82*(CB$71*(AD$52*GREET1_Import_Export!$Q73+AD$53*GREET1_Import_Export!$O73+AD$54*GREET1_Import_Export!$M73)+GREET1_Import_Export!$B202*GREET1_Import_Export!$G$179+GREET1_Import_Export!$G202)+CB$83*(CB$71*AD$55*GREET1_Import_Export!$T73+GREET1_Import_Export!$B202*GREET1_Import_Export!$C$179+GREET1_Import_Export!$C202)+CB$84*(CB$71*AD$56*GREET1_Import_Export!$W73+GREET1_Import_Export!$E238*GREET1_Import_Export!$F$215+GREET1_Import_Export!$F238)+CB$85*(CB$71*(AD$57*GREET1_Import_Export!$B73+AD$58*GREET1_Import_Export!$C73+AD$59*GREET1_Import_Export!$G73+AD$61*'GREET2_Factors_T&amp;D'!$F16+AD$62*'GREET2_Factors_T&amp;D'!$G16)+GREET1_Import_Export!$B238)+CB$86*(CB$71*(AD$64*GREET1_Import_Export!$AA73+AD$65*GREET1_Import_Export!$AB73)+GREET1_Import_Export!$C291)+CB$87*(GREET1_Import_Export!$D316+GREET1_Import_Export!$E316)</f>
        <v>157.98605282494418</v>
      </c>
      <c r="CC108" s="350"/>
      <c r="CD108" s="1082"/>
      <c r="CE108" s="749">
        <f>CE$81*(CE$71*($AE$50*GREET1_Import_Export!$K73)+GREET1_Import_Export!$F$200*GREET1_Import_Export!$B202+GREET1_Import_Export!$F202)+CE$82*(CE$71*(GREET1_Import_Export!$R73)+GREET1_Import_Export!$H$200*GREET1_Import_Export!$B202+GREET1_Import_Export!$H202)+CE$83*(CE$71*(GREET1_Import_Export!$T73)+GREET1_Import_Export!$C$200*GREET1_Import_Export!$B202+GREET1_Import_Export!$C202)+CE$84*(CE$71*(GREET1_Import_Export!$X73)+GREET1_Import_Export!$B$10*(GREET1_Import_Export!$F$215*GREET1_Import_Export!$B238+GREET1_Import_Export!$F238)+GREET1_Import_Export!$C$10*(GREET1_Import_Export!$E$200*GREET1_Import_Export!$B202+GREET1_Import_Export!$E202))+CE$85*(CE$71*($AE$57*GREET1_Import_Export!$B73)+GREET1_Import_Export!$B238)+CE$86*(CE$71*($AE$64*GREET1_Import_Export!$AA73)+GREET1_Import_Export!$C291)+CE$87*(GREET1_Import_Export!$D316+GREET1_Import_Export!$E316)</f>
        <v>0</v>
      </c>
      <c r="CF108" s="1096"/>
      <c r="CG108" s="1321"/>
      <c r="CH108" s="1321"/>
      <c r="CI108" s="1321"/>
      <c r="CJ108" s="1321"/>
      <c r="CK108" s="1321"/>
      <c r="CL108" s="1321"/>
      <c r="CM108" s="1321"/>
      <c r="CN108" s="1321"/>
      <c r="CO108" s="1321"/>
      <c r="CP108" s="1321"/>
      <c r="CQ108" s="1321"/>
      <c r="CR108" s="1321"/>
      <c r="CS108" s="1321"/>
      <c r="CT108" s="1321"/>
      <c r="CU108" s="1321"/>
      <c r="CV108" s="1321"/>
      <c r="CW108" s="1321"/>
      <c r="CX108" s="1321"/>
      <c r="CY108" s="1321"/>
      <c r="CZ108" s="1321"/>
      <c r="DA108" s="1321"/>
      <c r="DB108" s="1321"/>
      <c r="DC108" s="1321"/>
      <c r="DD108" s="1321"/>
      <c r="DE108" s="1321"/>
      <c r="DF108" s="1321"/>
      <c r="DG108" s="1321"/>
      <c r="DH108" s="1321"/>
      <c r="DI108" s="1321"/>
      <c r="DJ108" s="1321"/>
      <c r="DK108" s="1321"/>
      <c r="DL108" s="1321"/>
      <c r="DM108" s="1321"/>
      <c r="DN108" s="1321"/>
      <c r="DO108" s="1321"/>
      <c r="DP108" s="1321"/>
      <c r="DQ108" s="1321"/>
      <c r="DR108" s="1321"/>
      <c r="DS108" s="1321"/>
      <c r="DT108" s="1321"/>
      <c r="DU108" s="1321"/>
      <c r="DV108" s="1321"/>
      <c r="DW108" s="1321"/>
      <c r="DX108" s="1321"/>
      <c r="DY108" s="1321"/>
      <c r="DZ108" s="1321"/>
      <c r="EA108" s="1321"/>
      <c r="EB108" s="1321"/>
      <c r="EC108" s="1321"/>
      <c r="ED108" s="1321"/>
      <c r="EE108" s="1321"/>
      <c r="EF108" s="1321"/>
      <c r="EG108" s="1321"/>
      <c r="EH108" s="1321"/>
      <c r="EI108" s="1321"/>
      <c r="EJ108" s="1321"/>
      <c r="EK108" s="1321"/>
      <c r="EL108" s="1321"/>
      <c r="EM108" s="1321"/>
      <c r="EN108" s="1321"/>
      <c r="EO108" s="1321"/>
      <c r="EP108" s="1321"/>
      <c r="EQ108" s="1321"/>
      <c r="ER108" s="1321"/>
      <c r="ES108" s="1321"/>
      <c r="ET108" s="1321"/>
      <c r="EU108" s="1321"/>
      <c r="EV108" s="1321"/>
      <c r="EW108" s="1321"/>
      <c r="EX108" s="1321"/>
      <c r="EY108" s="1321"/>
      <c r="EZ108" s="1321"/>
      <c r="FA108" s="1321"/>
      <c r="FB108" s="1321"/>
    </row>
    <row r="109" spans="1:158">
      <c r="A109" s="291" t="s">
        <v>823</v>
      </c>
      <c r="B109" s="233">
        <f>B$81*(B$71*B$50*GREET1_Import_Export!$K74+GREET1_Import_Export!$B203*GREET1_Import_Export!$F$179+GREET1_Import_Export!$F203)+B$82*(B$71*(B$52*GREET1_Import_Export!$Q74+B$53*GREET1_Import_Export!$O74+B$54*GREET1_Import_Export!$M74)+GREET1_Import_Export!$B203*GREET1_Import_Export!$G$179+GREET1_Import_Export!$G203)+B$83*(B$71*B$55*GREET1_Import_Export!$T74+GREET1_Import_Export!$B203*GREET1_Import_Export!$C$179+GREET1_Import_Export!$C203)+B$84*(B$71*B$56*GREET1_Import_Export!$W74+GREET1_Import_Export!$E239*GREET1_Import_Export!$F$215+GREET1_Import_Export!$F239)+B$85*(B$71*(B$57*GREET1_Import_Export!$B74+B$58*GREET1_Import_Export!$C74+B$59*GREET1_Import_Export!$G74+B$61*'GREET2_Factors_T&amp;D'!$F17+B$62*'GREET2_Factors_T&amp;D'!$G17)+GREET1_Import_Export!$B239)+B$86*(B$71*(B$64*GREET1_Import_Export!$AA74+B$65*GREET1_Import_Export!$AB74)+GREET1_Import_Export!$C292)+B$87*SUM(GREET1_Import_Export!$D317:$E317)</f>
        <v>0</v>
      </c>
      <c r="C109" s="1"/>
      <c r="D109" s="235"/>
      <c r="E109" s="233">
        <f>E$81*(E$71*C$50*GREET1_Import_Export!$K74+GREET1_Import_Export!$B203*GREET1_Import_Export!$F$179+GREET1_Import_Export!$F203)+E$82*(E$71*(C$52*GREET1_Import_Export!$Q74+C$53*GREET1_Import_Export!$O74+C$54*GREET1_Import_Export!$M74)+GREET1_Import_Export!$B203*GREET1_Import_Export!$G$179+GREET1_Import_Export!$G203)+E$83*(E$71*C$55*GREET1_Import_Export!$T74+GREET1_Import_Export!$B203*GREET1_Import_Export!$C$179+GREET1_Import_Export!$C203)+E$84*(E$71*C$56*GREET1_Import_Export!$W74+GREET1_Import_Export!$E239*GREET1_Import_Export!$F$215+GREET1_Import_Export!$F239)+E$85*(E$71*(C$57*GREET1_Import_Export!$B74+C$58*GREET1_Import_Export!$C74+C$59*GREET1_Import_Export!$G74+C$61*'GREET2_Factors_T&amp;D'!$F17+C$62*'GREET2_Factors_T&amp;D'!$G17)+GREET1_Import_Export!$B239)+E$86*(E$71*(C$64*GREET1_Import_Export!$AA74+C$65*GREET1_Import_Export!$AB74)+GREET1_Import_Export!$C292)+E$87*SUM(GREET1_Import_Export!$D317:$E317)</f>
        <v>0</v>
      </c>
      <c r="F109" s="1"/>
      <c r="G109" s="235"/>
      <c r="H109" s="233">
        <f>H$81*(H$71*D$50*GREET1_Import_Export!$K74+GREET1_Import_Export!$B203*GREET1_Import_Export!$F$179+GREET1_Import_Export!$F203)+H$82*(H$71*(D$52*GREET1_Import_Export!$Q74+D$53*GREET1_Import_Export!$O74+D$54*GREET1_Import_Export!$M74)+GREET1_Import_Export!$B203*GREET1_Import_Export!$G$179+GREET1_Import_Export!$G203)+H$83*(H$71*D$55*GREET1_Import_Export!$T74+GREET1_Import_Export!$B203*GREET1_Import_Export!$C$179+GREET1_Import_Export!$C203)+H$84*(H$71*D$56*GREET1_Import_Export!$W74+GREET1_Import_Export!$E239*GREET1_Import_Export!$F$215+GREET1_Import_Export!$F239)+H$85*(H$71*(D$57*GREET1_Import_Export!$B74+D$58*GREET1_Import_Export!$C74+D$59*GREET1_Import_Export!$G74+D$61*'GREET2_Factors_T&amp;D'!$F17+D$62*'GREET2_Factors_T&amp;D'!$G17)+GREET1_Import_Export!$B239)+H$86*(H$71*(D$64*GREET1_Import_Export!$AA74+D$65*GREET1_Import_Export!$AB74)+GREET1_Import_Export!$C292)+H$87*SUM(GREET1_Import_Export!$D317:$E317)</f>
        <v>131.54251887804853</v>
      </c>
      <c r="I109" s="1"/>
      <c r="J109" s="235"/>
      <c r="K109" s="233">
        <f>K$81*(K$71*E$50*GREET1_Import_Export!$K74+GREET1_Import_Export!$B203*GREET1_Import_Export!$F$179+GREET1_Import_Export!$F203)+K$82*(K$71*(E$52*GREET1_Import_Export!$Q74+E$53*GREET1_Import_Export!$O74+E$54*GREET1_Import_Export!$M74)+GREET1_Import_Export!$B203*GREET1_Import_Export!$G$179+GREET1_Import_Export!$G203)+K$83*(K$71*E$55*GREET1_Import_Export!$T74+GREET1_Import_Export!$B203*GREET1_Import_Export!$C$179+GREET1_Import_Export!$C203)+K$84*(K$71*E$56*GREET1_Import_Export!$W74+GREET1_Import_Export!$E239*GREET1_Import_Export!$F$215+GREET1_Import_Export!$F239)+K$85*(K$71*(E$57*GREET1_Import_Export!$B74+E$58*GREET1_Import_Export!$C74+E$59*GREET1_Import_Export!$G74+E$61*'GREET2_Factors_T&amp;D'!$F17+E$62*'GREET2_Factors_T&amp;D'!$G17)+GREET1_Import_Export!$B239)+K$86*(K$71*(E$64*GREET1_Import_Export!$AA74+E$65*GREET1_Import_Export!$AB74)+GREET1_Import_Export!$C292)+K$87*SUM(GREET1_Import_Export!$D317:$E317)</f>
        <v>412.88448199418042</v>
      </c>
      <c r="L109" s="1"/>
      <c r="M109" s="235"/>
      <c r="N109" s="233">
        <f>N$81*(N$71*F$50*GREET1_Import_Export!$K74+GREET1_Import_Export!$B203*GREET1_Import_Export!$F$179+GREET1_Import_Export!$F203)+N$82*(N$71*(F$52*GREET1_Import_Export!$Q74+F$53*GREET1_Import_Export!$O74+F$54*GREET1_Import_Export!$M74)+GREET1_Import_Export!$B203*GREET1_Import_Export!$G$179+GREET1_Import_Export!$G203)+N$83*(N$71*F$55*GREET1_Import_Export!$T74+GREET1_Import_Export!$B203*GREET1_Import_Export!$C$179+GREET1_Import_Export!$C203)+N$84*(N$71*F$56*GREET1_Import_Export!$W74+GREET1_Import_Export!$E239*GREET1_Import_Export!$F$215+GREET1_Import_Export!$F239)+N$85*(N$71*(F$57*GREET1_Import_Export!$B74+F$58*GREET1_Import_Export!$C74+F$59*GREET1_Import_Export!$G74+F$61*'GREET2_Factors_T&amp;D'!$F17+F$62*'GREET2_Factors_T&amp;D'!$G17)+GREET1_Import_Export!$B239)+N$86*(N$71*(F$64*GREET1_Import_Export!$AA74+F$65*GREET1_Import_Export!$AB74)+GREET1_Import_Export!$C292)+N$87*SUM(GREET1_Import_Export!$D317:$E317)</f>
        <v>131.54251887804853</v>
      </c>
      <c r="O109" s="1"/>
      <c r="P109" s="235"/>
      <c r="Q109" s="581">
        <f>Q$81*(Q$71*G$50*GREET1_Import_Export!$K74+GREET1_Import_Export!$B203*GREET1_Import_Export!$F$179+GREET1_Import_Export!$F203)+Q$82*(Q$71*(G$52*GREET1_Import_Export!$Q74+G$53*GREET1_Import_Export!$O74+G$54*GREET1_Import_Export!$M74)+GREET1_Import_Export!$B203*GREET1_Import_Export!$G$179+GREET1_Import_Export!$G203)+Q$83*(Q$71*G$55*GREET1_Import_Export!$T74+GREET1_Import_Export!$B203*GREET1_Import_Export!$C$179+GREET1_Import_Export!$C203)+Q$84*(Q$71*G$56*GREET1_Import_Export!$W74+GREET1_Import_Export!$E239*GREET1_Import_Export!$F$215+GREET1_Import_Export!$F239)+Q$85*(Q$71*(G$57*GREET1_Import_Export!$B74+G$58*GREET1_Import_Export!$C74+G$59*GREET1_Import_Export!$G74+G$61*'GREET2_Factors_T&amp;D'!$F17+G$62*'GREET2_Factors_T&amp;D'!$G17)+GREET1_Import_Export!$B239)+Q$86*(Q$71*(G$64*GREET1_Import_Export!$AA74+G$65*GREET1_Import_Export!$AB74)+GREET1_Import_Export!$C292)
+Q$87*($B$46*(GREET1_Import_Export!$D317+GREET1_Import_Export!E317)+$C$46*GREET1_Import_Export!L365+$D$46*GREET1_Import_Export!H365+$E$46*GREET1_Import_Export!Q365+$F$46*GREET1_Import_Export!R365+SUMPRODUCT($G$46:$I$46,GREET1_Import_Export!N365:P365))</f>
        <v>412.88448199418042</v>
      </c>
      <c r="R109" s="489"/>
      <c r="S109" s="235"/>
      <c r="T109" s="581">
        <f>T$81*(T$71*BZ$50*GREET1_Import_Export!$K74+GREET1_Import_Export!$B203*GREET1_Import_Export!$F$179+GREET1_Import_Export!$F203)+T$82*(T$71*(BZ$52*GREET1_Import_Export!$Q74+BZ$53*GREET1_Import_Export!$O74+BZ$54*GREET1_Import_Export!$M74)+GREET1_Import_Export!$B203*GREET1_Import_Export!$G$179+GREET1_Import_Export!$G203)+T$83*(T$71*BZ$55*GREET1_Import_Export!$T74+GREET1_Import_Export!$B203*GREET1_Import_Export!$C$179+GREET1_Import_Export!$C203)+T$84*(T$71*BZ$56*GREET1_Import_Export!$W74+GREET1_Import_Export!$E239*GREET1_Import_Export!$F$215+GREET1_Import_Export!$F239)+T$85*(T$71*(BZ$57*GREET1_Import_Export!$B74+BZ$58*GREET1_Import_Export!$C74+BZ$59*GREET1_Import_Export!$G74+BZ$61*'GREET2_Factors_T&amp;D'!$F17+BZ$62*'GREET2_Factors_T&amp;D'!$G17)+GREET1_Import_Export!$B239)+T$86*(T$71*(BZ$64*GREET1_Import_Export!$AA74+BZ$65*GREET1_Import_Export!$AB74)+GREET1_Import_Export!$C292)+T$87*SUM(GREET1_Import_Export!$D317:$E317)</f>
        <v>131.54251887804853</v>
      </c>
      <c r="U109" s="1"/>
      <c r="V109" s="235"/>
      <c r="W109" s="581">
        <f>W$81*(W$71*I$50*GREET1_Import_Export!$K74+GREET1_Import_Export!$B203*GREET1_Import_Export!$F$179+GREET1_Import_Export!$F203)+W$82*(W$71*(I$52*GREET1_Import_Export!$Q74+I$53*GREET1_Import_Export!$O74+I$54*GREET1_Import_Export!$M74)+GREET1_Import_Export!$B203*GREET1_Import_Export!$G$179+GREET1_Import_Export!$G203)+W$83*(W$71*I$55*GREET1_Import_Export!$T74+GREET1_Import_Export!$B203*GREET1_Import_Export!$C$179+GREET1_Import_Export!$C203)+W$84*(W$71*I$56*GREET1_Import_Export!$W74+GREET1_Import_Export!$E239*GREET1_Import_Export!$F$215+GREET1_Import_Export!$F239)+W$85*(W$71*(I$57*GREET1_Import_Export!$B74+I$58*GREET1_Import_Export!$C74+I$59*GREET1_Import_Export!$G74+I$61*'GREET2_Factors_T&amp;D'!$F17+I$62*'GREET2_Factors_T&amp;D'!$G17)+GREET1_Import_Export!$B239)+W$86*(W$71*(I$64*GREET1_Import_Export!$AA74+I$65*GREET1_Import_Export!$AB74)+GREET1_Import_Export!$C292)+W$87*($B$46*(GREET1_Import_Export!$D317+GREET1_Import_Export!E317)+$C$46*GREET1_Import_Export!L365+$D$46*GREET1_Import_Export!H365+$E$46*GREET1_Import_Export!Q365+$F$46*GREET1_Import_Export!R365+SUMPRODUCT($G$46:$I$46,GREET1_Import_Export!N365:P365))</f>
        <v>412.88448199418042</v>
      </c>
      <c r="X109" s="1"/>
      <c r="Y109" s="235"/>
      <c r="Z109" s="233">
        <f>Z$81*(Z$71*J$50*GREET1_Import_Export!$K74+GREET1_Import_Export!$B203*GREET1_Import_Export!$F$179+GREET1_Import_Export!$F203)+Z$82*(Z$71*(J$52*GREET1_Import_Export!$Q74+J$53*GREET1_Import_Export!$O74+J$54*GREET1_Import_Export!$M74)+GREET1_Import_Export!$B203*GREET1_Import_Export!$G$179+GREET1_Import_Export!$G203)+Z$83*(Z$71*J$55*GREET1_Import_Export!$T74+GREET1_Import_Export!$B203*GREET1_Import_Export!$C$179+GREET1_Import_Export!$C203)+Z$84*(Z$71*J$56*GREET1_Import_Export!$W74+GREET1_Import_Export!$E239*GREET1_Import_Export!$F$215+GREET1_Import_Export!$F239)+Z$85*(Z$71*(J$57*GREET1_Import_Export!$B74+J$58*GREET1_Import_Export!$C74+J$59*GREET1_Import_Export!$G74+J$61*'GREET2_Factors_T&amp;D'!$F17+J$62*'GREET2_Factors_T&amp;D'!$G17)+GREET1_Import_Export!$B239)+Z$86*(Z$71*(J$64*GREET1_Import_Export!$AA74+J$65*GREET1_Import_Export!$AB74)+GREET1_Import_Export!$C292)+Z$87*SUM(GREET1_Import_Export!$D317:$E317)</f>
        <v>131.54251887804853</v>
      </c>
      <c r="AA109" s="1"/>
      <c r="AB109" s="235"/>
      <c r="AC109" s="581">
        <f>AC$81*(AC$71*K$50*GREET1_Import_Export!$K74+GREET1_Import_Export!$B203*GREET1_Import_Export!$F$179+GREET1_Import_Export!$F203)+AC$82*(AC$71*(K$52*GREET1_Import_Export!$Q74+K$53*GREET1_Import_Export!$O74+K$54*GREET1_Import_Export!$M74)+GREET1_Import_Export!$B203*GREET1_Import_Export!$G$179+GREET1_Import_Export!$G203)+AC$83*(AC$71*K$55*GREET1_Import_Export!$T74+GREET1_Import_Export!$B203*GREET1_Import_Export!$C$179+GREET1_Import_Export!$C203)+AC$84*(AC$71*K$56*GREET1_Import_Export!$W74+GREET1_Import_Export!$E239*GREET1_Import_Export!$F$215+GREET1_Import_Export!$F239)+AC$85*(AC$71*(K$57*GREET1_Import_Export!$B74+K$58*GREET1_Import_Export!$C74+K$59*GREET1_Import_Export!$G74+K$61*'GREET2_Factors_T&amp;D'!$F17+K$62*'GREET2_Factors_T&amp;D'!$G17)+GREET1_Import_Export!$B239)+AC$86*(AC$71*(K$64*GREET1_Import_Export!$AA74+K$65*GREET1_Import_Export!$AB74)+GREET1_Import_Export!$C292)+AC$87*($B$46*(GREET1_Import_Export!$D317+GREET1_Import_Export!E317)+$C$46*GREET1_Import_Export!L365+$D$46*GREET1_Import_Export!H365+$E$46*GREET1_Import_Export!Q365+$F$46*GREET1_Import_Export!R365+SUMPRODUCT($G$46:$I$46,GREET1_Import_Export!N365:P365))</f>
        <v>412.88448199418042</v>
      </c>
      <c r="AD109" s="1"/>
      <c r="AE109" s="235"/>
      <c r="AF109" s="233">
        <f>AF$81*(AF$71*L$50*GREET1_Import_Export!$K74+GREET1_Import_Export!$B203*GREET1_Import_Export!$F$179+GREET1_Import_Export!$F203)+AF$82*(AF$71*(L$52*GREET1_Import_Export!$Q74+L$53*GREET1_Import_Export!$O74+L$54*GREET1_Import_Export!$M74)+GREET1_Import_Export!$B203*GREET1_Import_Export!$G$179+GREET1_Import_Export!$G203)+AF$83*(AF$71*L$55*GREET1_Import_Export!$T74+GREET1_Import_Export!$B203*GREET1_Import_Export!$C$179+GREET1_Import_Export!$C203)+AF$84*(AF$71*L$56*GREET1_Import_Export!$W74+GREET1_Import_Export!$E239*GREET1_Import_Export!$F$215+GREET1_Import_Export!$F239)+AF$85*(AF$71*(L$57*GREET1_Import_Export!$B74+L$58*GREET1_Import_Export!$C74+L$59*GREET1_Import_Export!$G74+L$61*'GREET2_Factors_T&amp;D'!$F17+L$62*'GREET2_Factors_T&amp;D'!$G17)+GREET1_Import_Export!$B239)+AF$86*(AF$71*(L$64*GREET1_Import_Export!$AA74+L$65*GREET1_Import_Export!$AB74)+GREET1_Import_Export!$C292)+AF$87*SUM(GREET1_Import_Export!$D317:$E317)</f>
        <v>131.54251887804853</v>
      </c>
      <c r="AG109" s="489"/>
      <c r="AH109" s="478"/>
      <c r="AI109" s="581">
        <f>AI$81*(AI$71*M$50*GREET1_Import_Export!$K74+GREET1_Import_Export!$B203*GREET1_Import_Export!$F$179+GREET1_Import_Export!$F203)+AI$82*(AI$71*(M$52*GREET1_Import_Export!$Q74+M$53*GREET1_Import_Export!$O74+M$54*GREET1_Import_Export!$M74)+GREET1_Import_Export!$B203*GREET1_Import_Export!$G$179+GREET1_Import_Export!$G203)+AI$83*(AI$71*M$55*GREET1_Import_Export!$T74+GREET1_Import_Export!$B203*GREET1_Import_Export!$C$179+GREET1_Import_Export!$C203)+AI$84*(AI$71*M$56*GREET1_Import_Export!$W74+GREET1_Import_Export!$E239*GREET1_Import_Export!$F$215+GREET1_Import_Export!$F239)+AI$85*(AI$71*(M$57*GREET1_Import_Export!$B74+M$58*GREET1_Import_Export!$C74+M$59*GREET1_Import_Export!$G74+M$61*'GREET2_Factors_T&amp;D'!$F17+M$62*'GREET2_Factors_T&amp;D'!$G17)+GREET1_Import_Export!$B239)+AI$86*(AI$71*(M$64*GREET1_Import_Export!$AA74+M$65*GREET1_Import_Export!$AB74)+GREET1_Import_Export!$C292)+AI$87*($B$46*(GREET1_Import_Export!$D317+GREET1_Import_Export!E317)+$C$46*GREET1_Import_Export!L365+$D$46*GREET1_Import_Export!H365+$E$46*GREET1_Import_Export!Q365+$F$46*GREET1_Import_Export!R365+SUMPRODUCT($G$46:$I$46,GREET1_Import_Export!N365:P365))</f>
        <v>471.86797942192015</v>
      </c>
      <c r="AJ109" s="1"/>
      <c r="AK109" s="235"/>
      <c r="AL109" s="233">
        <f>AL$81*(AL$71*N$50*GREET1_Import_Export!$K74+GREET1_Import_Export!$B203*GREET1_Import_Export!$F$179+GREET1_Import_Export!$F203)+AL$82*(AL$71*(N$52*GREET1_Import_Export!$Q74+N$53*GREET1_Import_Export!$O74+N$54*GREET1_Import_Export!$M74)+GREET1_Import_Export!$B203*GREET1_Import_Export!$G$179+GREET1_Import_Export!$G203)+AL$83*(AL$71*N$55*GREET1_Import_Export!$T74+GREET1_Import_Export!$B203*GREET1_Import_Export!$C$179+GREET1_Import_Export!$C203)+AL$84*(AL$71*N$56*GREET1_Import_Export!$W74+GREET1_Import_Export!$E239*GREET1_Import_Export!$F$215+GREET1_Import_Export!$F239)+AL$85*(AL$71*(N$57*GREET1_Import_Export!$B74+N$58*GREET1_Import_Export!$C74+N$59*GREET1_Import_Export!$G74+N$61*'GREET2_Factors_T&amp;D'!$F17+N$62*'GREET2_Factors_T&amp;D'!$G17)+GREET1_Import_Export!$B239)+AL$86*(AL$71*(N$64*GREET1_Import_Export!$AA74+N$65*GREET1_Import_Export!$AB74)+GREET1_Import_Export!$C292)+AL$87*SUM(GREET1_Import_Export!$D317:$E317)</f>
        <v>117.33784512928972</v>
      </c>
      <c r="AM109" s="1"/>
      <c r="AN109" s="235"/>
      <c r="AO109" s="233">
        <f>AO$81*(AO$71*O$50*GREET1_Import_Export!$K74+GREET1_Import_Export!$B203*GREET1_Import_Export!$F$179+GREET1_Import_Export!$F203)+AO$82*(AO$71*(O$52*GREET1_Import_Export!$Q74+O$53*GREET1_Import_Export!$O74+O$54*GREET1_Import_Export!$M74)+GREET1_Import_Export!$B203*GREET1_Import_Export!$G$179+GREET1_Import_Export!$G203)+AO$83*(AO$71*O$55*GREET1_Import_Export!$T74+GREET1_Import_Export!$B203*GREET1_Import_Export!$C$179+GREET1_Import_Export!$C203)+AO$84*(AO$71*O$56*GREET1_Import_Export!$W74+GREET1_Import_Export!$E239*GREET1_Import_Export!$F$215+GREET1_Import_Export!$F239)+AO$85*(AO$71*(O$57*GREET1_Import_Export!$B74+O$58*GREET1_Import_Export!$C74+O$59*GREET1_Import_Export!$G74+O$61*'GREET2_Factors_T&amp;D'!$F17+O$62*'GREET2_Factors_T&amp;D'!$G17)+GREET1_Import_Export!$B239)+AO$86*(AO$71*(O$64*GREET1_Import_Export!$AA74+O$65*GREET1_Import_Export!$AB74)+GREET1_Import_Export!$C292)+AO$87*SUM(GREET1_Import_Export!$D317:$E317)</f>
        <v>446.87863767836802</v>
      </c>
      <c r="AP109" s="1"/>
      <c r="AQ109" s="235"/>
      <c r="AR109" s="233">
        <f>AR$81*(AR$71*P$50*GREET1_Import_Export!$K74+GREET1_Import_Export!$B203*GREET1_Import_Export!$F$179+GREET1_Import_Export!$F203)+AR$82*(AR$71*(P$52*GREET1_Import_Export!$Q74+P$53*GREET1_Import_Export!$O74+P$54*GREET1_Import_Export!$M74)+GREET1_Import_Export!$B203*GREET1_Import_Export!$G$179+GREET1_Import_Export!$G203)+AR$83*(AR$71*P$55*GREET1_Import_Export!$T74+GREET1_Import_Export!$B203*GREET1_Import_Export!$C$179+GREET1_Import_Export!$C203)+AR$84*(AR$71*P$56*GREET1_Import_Export!$W74+GREET1_Import_Export!$E239*GREET1_Import_Export!$F$215+GREET1_Import_Export!$F239)+AR$85*(AR$71*(P$57*GREET1_Import_Export!$B74+P$58*GREET1_Import_Export!$C74+P$59*GREET1_Import_Export!$G74+P$61*'GREET2_Factors_T&amp;D'!$F17+P$62*'GREET2_Factors_T&amp;D'!$G17)+GREET1_Import_Export!$B239)+AR$86*(AR$71*(P$64*GREET1_Import_Export!$AA74+P$65*GREET1_Import_Export!$AB74)+GREET1_Import_Export!$C292)+AR$87*SUM(GREET1_Import_Export!$D317:$E317)</f>
        <v>107.02808289412111</v>
      </c>
      <c r="AS109" s="1"/>
      <c r="AT109" s="235"/>
      <c r="AU109" s="233">
        <f>AU$81*(AU$71*Q$50*GREET1_Import_Export!$K74+GREET1_Import_Export!$B203*GREET1_Import_Export!$F$179+GREET1_Import_Export!$F203)+AU$82*(AU$71*(Q$52*GREET1_Import_Export!$Q74+Q$53*GREET1_Import_Export!$O74+Q$54*GREET1_Import_Export!$M74)+GREET1_Import_Export!$B203*GREET1_Import_Export!$G$179+GREET1_Import_Export!$G203)+AU$83*(AU$71*Q$55*GREET1_Import_Export!$T74+GREET1_Import_Export!$B203*GREET1_Import_Export!$C$179+GREET1_Import_Export!$C203)+AU$84*(AU$71*Q$56*GREET1_Import_Export!$W74+GREET1_Import_Export!$E239*GREET1_Import_Export!$F$215+GREET1_Import_Export!$F239)+AU$85*(AU$71*(Q$57*GREET1_Import_Export!$B74+Q$58*GREET1_Import_Export!$C74+Q$59*GREET1_Import_Export!$G74+Q$61*'GREET2_Factors_T&amp;D'!$F17+Q$62*'GREET2_Factors_T&amp;D'!$G17)+GREET1_Import_Export!$B239)+AU$86*(AU$71*(Q$64*GREET1_Import_Export!$AA74+Q$65*GREET1_Import_Export!$AB74)+GREET1_Import_Export!$C292)+AU$87*SUM(GREET1_Import_Export!$D317:$E317)</f>
        <v>32.032866293067471</v>
      </c>
      <c r="AV109" s="1"/>
      <c r="AW109" s="235"/>
      <c r="AX109" s="233">
        <f>AX$81*(AX$71*R$50*GREET1_Import_Export!$K74+GREET1_Import_Export!$B203*GREET1_Import_Export!$F$179+GREET1_Import_Export!$F203)+AX$82*(AX$71*(R$52*GREET1_Import_Export!$Q74+R$53*GREET1_Import_Export!$O74+R$54*GREET1_Import_Export!$M74)+GREET1_Import_Export!$B203*GREET1_Import_Export!$G$179+GREET1_Import_Export!$G203)+AX$83*(AX$71*R$55*GREET1_Import_Export!$T74+GREET1_Import_Export!$B203*GREET1_Import_Export!$C$179+GREET1_Import_Export!$C203)+AX$84*(AX$71*R$56*GREET1_Import_Export!$W74+GREET1_Import_Export!$E239*GREET1_Import_Export!$F$215+GREET1_Import_Export!$F239)+AX$85*(AX$71*(R$57*GREET1_Import_Export!$B74+R$58*GREET1_Import_Export!$C74+R$59*GREET1_Import_Export!$G74+R$61*'GREET2_Factors_T&amp;D'!$F17+R$62*'GREET2_Factors_T&amp;D'!$G17)+GREET1_Import_Export!$B239)+AX$86*(AX$71*(R$64*GREET1_Import_Export!$AA74+R$65*GREET1_Import_Export!$AB74)+GREET1_Import_Export!$C292)+AX$87*SUM(GREET1_Import_Export!$D317:$E317)</f>
        <v>9.2991158088294998</v>
      </c>
      <c r="AY109" s="1"/>
      <c r="AZ109" s="235"/>
      <c r="BA109" s="233">
        <f>BA$81*(BA$71*S$50*GREET1_Import_Export!$K74+GREET1_Import_Export!$B203*GREET1_Import_Export!$F$179+GREET1_Import_Export!$F203)+BA$82*(BA$71*(S$52*GREET1_Import_Export!$Q74+S$53*GREET1_Import_Export!$O74+S$54*GREET1_Import_Export!$M74)+GREET1_Import_Export!$B203*GREET1_Import_Export!$G$179+GREET1_Import_Export!$G203)+BA$83*(BA$71*S$55*GREET1_Import_Export!$T74+GREET1_Import_Export!$B203*GREET1_Import_Export!$C$179+GREET1_Import_Export!$C203)+BA$84*(BA$71*S$56*GREET1_Import_Export!$W74+GREET1_Import_Export!$E239*GREET1_Import_Export!$F$215+GREET1_Import_Export!$F239)+BA$85*(BA$71*(S$57*GREET1_Import_Export!$B74+S$58*GREET1_Import_Export!$C74+S$59*GREET1_Import_Export!$G74+S$61*'GREET2_Factors_T&amp;D'!$F17+S$62*'GREET2_Factors_T&amp;D'!$G17)+GREET1_Import_Export!$B239)+BA$86*(BA$71*(S$64*GREET1_Import_Export!$AA74+S$65*GREET1_Import_Export!$AB74)+GREET1_Import_Export!$C292)+BA$87*SUM(GREET1_Import_Export!$D317:$E317)</f>
        <v>353.90098456644057</v>
      </c>
      <c r="BB109" s="1"/>
      <c r="BC109" s="235"/>
      <c r="BD109" s="581">
        <f>BD$81*(BD$71*T$50*GREET1_Import_Export!$K74+GREET1_Import_Export!$B203*GREET1_Import_Export!$F$179+GREET1_Import_Export!$F203)+BD$82*(BD$71*(T$52*GREET1_Import_Export!$Q74+T$53*GREET1_Import_Export!$O74+T$54*GREET1_Import_Export!$M74)+GREET1_Import_Export!$B203*GREET1_Import_Export!$G$179+GREET1_Import_Export!$G203)+BD$83*(BD$71*T$55*GREET1_Import_Export!$T74+GREET1_Import_Export!$B203*GREET1_Import_Export!$C$179+GREET1_Import_Export!$C203)+BD$84*(BD$71*T$56*GREET1_Import_Export!$W74+GREET1_Import_Export!$E239*GREET1_Import_Export!$F$215+GREET1_Import_Export!$F239)+BD$85*(BD$71*(T$57*GREET1_Import_Export!$B74+T$58*GREET1_Import_Export!$C74+T$59*GREET1_Import_Export!$G74+T$61*'GREET2_Factors_T&amp;D'!$F17+T$62*'GREET2_Factors_T&amp;D'!$G17)+GREET1_Import_Export!$B239)+BD$86*(BD$71*(T$64*GREET1_Import_Export!$AA74+T$65*GREET1_Import_Export!$AB74)+GREET1_Import_Export!$C292)+BD$87*SUM(GREET1_Import_Export!$D317:$E317)</f>
        <v>285.80425937989469</v>
      </c>
      <c r="BE109" s="489"/>
      <c r="BF109" s="478"/>
      <c r="BG109" s="581">
        <f>BG$81*(BG$71*U$50*GREET1_Import_Export!$K74+GREET1_Import_Export!$B203*GREET1_Import_Export!$F$179+GREET1_Import_Export!$F203)+BG$82*(BG$71*(U$52*GREET1_Import_Export!$Q74+U$53*GREET1_Import_Export!$O74+U$54*GREET1_Import_Export!$M74)+GREET1_Import_Export!$B203*GREET1_Import_Export!$G$179+GREET1_Import_Export!$G203)+BG$83*(BG$71*U$55*GREET1_Import_Export!$T74+GREET1_Import_Export!$B203*GREET1_Import_Export!$C$179+GREET1_Import_Export!$C203)+BG$84*(BG$71*U$56*GREET1_Import_Export!$W74+GREET1_Import_Export!$E239*GREET1_Import_Export!$F$215+GREET1_Import_Export!$F239)+BG$85*(BG$71*(U$57*GREET1_Import_Export!$B74+U$58*GREET1_Import_Export!$C74+U$59*GREET1_Import_Export!$G74+U$61*'GREET2_Factors_T&amp;D'!$F17+U$62*'GREET2_Factors_T&amp;D'!$G17)+GREET1_Import_Export!$B239)+BG$86*(BG$71*(U$64*GREET1_Import_Export!$AA74+U$65*GREET1_Import_Export!$AB74)+GREET1_Import_Export!$C292)+BG$87*SUM(GREET1_Import_Export!$D317:$E317)</f>
        <v>99.253039556931938</v>
      </c>
      <c r="BH109" s="489"/>
      <c r="BI109" s="478"/>
      <c r="BJ109" s="581">
        <f>BJ$81*(BJ$71*V$50*GREET1_Import_Export!$K74+GREET1_Import_Export!$B203*GREET1_Import_Export!$F$179+GREET1_Import_Export!$F203)+BJ$82*(BJ$71*(V$52*GREET1_Import_Export!$Q74+V$53*GREET1_Import_Export!$O74+V$54*GREET1_Import_Export!$M74)+GREET1_Import_Export!$B203*GREET1_Import_Export!$G$179+GREET1_Import_Export!$G203)+BJ$83*(BJ$71*V$55*GREET1_Import_Export!$T74+GREET1_Import_Export!$B203*GREET1_Import_Export!$C$179+GREET1_Import_Export!$C203)+BJ$84*(BJ$71*V$56*GREET1_Import_Export!$W74+GREET1_Import_Export!$E239*GREET1_Import_Export!$F$215+GREET1_Import_Export!$F239)+BJ$85*(BJ$71*(V$57*GREET1_Import_Export!$B74+V$58*GREET1_Import_Export!$C74+V$59*GREET1_Import_Export!$G74+V$61*'GREET2_Factors_T&amp;D'!$F17+V$62*'GREET2_Factors_T&amp;D'!$G17)+GREET1_Import_Export!$B239)+BJ$86*(BJ$71*(V$64*GREET1_Import_Export!$AA74+V$65*GREET1_Import_Export!$AB74)+GREET1_Import_Export!$C292)+BJ$87*SUM(GREET1_Import_Export!$D317:$E317)</f>
        <v>48.230807756003642</v>
      </c>
      <c r="BK109" s="489"/>
      <c r="BL109" s="478"/>
      <c r="BM109" s="581">
        <f>BM$81*(BM$71*X$50*GREET1_Import_Export!$K74+GREET1_Import_Export!$B203*GREET1_Import_Export!$F$179+GREET1_Import_Export!$F203)+BM$82*(BM$71*(X$52*GREET1_Import_Export!$Q74+X$53*GREET1_Import_Export!$O74+X$54*GREET1_Import_Export!$M74)+GREET1_Import_Export!$B203*GREET1_Import_Export!$G$179+GREET1_Import_Export!$G203)+BM$83*(BM$71*X$55*GREET1_Import_Export!$T74+GREET1_Import_Export!$B203*GREET1_Import_Export!$C$179+GREET1_Import_Export!$C203)+BM$84*(BM$71*X$56*GREET1_Import_Export!$W74+GREET1_Import_Export!$E239*GREET1_Import_Export!$F$215+GREET1_Import_Export!$F239)+BM$85*(BM$71*(X$57*GREET1_Import_Export!$B74+X$58*GREET1_Import_Export!$C74+X$59*GREET1_Import_Export!$G74+X$61*'GREET2_Factors_T&amp;D'!$F17+X$62*'GREET2_Factors_T&amp;D'!$G17)+GREET1_Import_Export!$B239)+BM$86*(BM$71*(X$64*GREET1_Import_Export!$AA74+X$65*GREET1_Import_Export!$AB74)+GREET1_Import_Export!$C292)+BM$87*SUM(GREET1_Import_Export!$D317:$E317)</f>
        <v>8.4308981935878116</v>
      </c>
      <c r="BN109" s="489"/>
      <c r="BO109" s="478"/>
      <c r="BP109" s="233">
        <f>BP$81*(BP$71*Z$50*GREET1_Import_Export!$K74+GREET1_Import_Export!$B203*GREET1_Import_Export!$F$179+GREET1_Import_Export!$F203)+BP$82*(BP$71*(Z$52*GREET1_Import_Export!$Q74+Z$53*GREET1_Import_Export!$O74+Z$54*GREET1_Import_Export!$M74)+GREET1_Import_Export!$B203*GREET1_Import_Export!$G$179+GREET1_Import_Export!$G203)+BP$83*(BP$71*Z$55*GREET1_Import_Export!$T74+GREET1_Import_Export!$B203*GREET1_Import_Export!$C$179+GREET1_Import_Export!$C203)+BP$84*(BP$71*Z$56*GREET1_Import_Export!$W74+GREET1_Import_Export!$E239*GREET1_Import_Export!$F$215+GREET1_Import_Export!$F239)+BP$85*(BP$71*(Z$57*GREET1_Import_Export!$B74+Z$58*GREET1_Import_Export!$C74+Z$59*GREET1_Import_Export!$G74+Z$61*'GREET2_Factors_T&amp;D'!$F17+Z$62*'GREET2_Factors_T&amp;D'!$G17)+GREET1_Import_Export!$B239)+BP$86*(BP$71*(Z$64*GREET1_Import_Export!$AA74+Z$65*GREET1_Import_Export!$AB74)+GREET1_Import_Export!$C292)+BP$87*SUM(GREET1_Import_Export!$D317:$E317)</f>
        <v>0</v>
      </c>
      <c r="BQ109" s="1"/>
      <c r="BR109" s="235"/>
      <c r="BS109" s="1076">
        <f>BS$81*(BS$71*AA$50*GREET1_Import_Export!$K74+GREET1_Import_Export!$B203*GREET1_Import_Export!$F$179+GREET1_Import_Export!$F203)+BS$82*(BS$71*(AA$52*GREET1_Import_Export!$Q74+AA$53*GREET1_Import_Export!$O74+AA$54*GREET1_Import_Export!$M74)+GREET1_Import_Export!$B203*GREET1_Import_Export!$G$179+GREET1_Import_Export!$G203)+BS$83*(BS$71*AA$55*GREET1_Import_Export!$T74+GREET1_Import_Export!$B203*GREET1_Import_Export!$C$179+GREET1_Import_Export!$C203)+BS$84*(BS$71*AA$56*GREET1_Import_Export!$W74+GREET1_Import_Export!$E239*GREET1_Import_Export!$F$215+GREET1_Import_Export!$F239)+BS$85*(BS$71*(AA$57*GREET1_Import_Export!$B74+AA$58*GREET1_Import_Export!$C74+AA$59*GREET1_Import_Export!$G74+AA$61*'GREET2_Factors_T&amp;D'!$F17+AA$62*'GREET2_Factors_T&amp;D'!$G17)+GREET1_Import_Export!$B239)+BS$86*(BS$71*(AA$64*GREET1_Import_Export!$AA74+AA$65*GREET1_Import_Export!$AB74)+GREET1_Import_Export!$C292)+BS$87*(GREET1_Import_Export!$D317+GREET1_Import_Export!$E317)</f>
        <v>4.7634043229982446</v>
      </c>
      <c r="BT109" s="350"/>
      <c r="BU109" s="1082"/>
      <c r="BV109" s="1076">
        <f>BV$81*(BV$71*AB$50*GREET1_Import_Export!$K74+GREET1_Import_Export!$B203*GREET1_Import_Export!$F$179+GREET1_Import_Export!$F203)+BV$82*(BV$71*(AB$52*GREET1_Import_Export!$Q74+AB$53*GREET1_Import_Export!$O74+AB$54*GREET1_Import_Export!$M74)+GREET1_Import_Export!$B203*GREET1_Import_Export!$G$179+GREET1_Import_Export!$G203)+BV$83*(BV$71*AB$55*GREET1_Import_Export!$T74+GREET1_Import_Export!$B203*GREET1_Import_Export!$C$179+GREET1_Import_Export!$C203)+BV$84*(BV$71*AB$56*GREET1_Import_Export!$W74+GREET1_Import_Export!$E239*GREET1_Import_Export!$F$215+GREET1_Import_Export!$F239)+BV$85*(BV$71*(AB$57*GREET1_Import_Export!$B74+AB$58*GREET1_Import_Export!$C74+AB$59*GREET1_Import_Export!$G74+AB$61*'GREET2_Factors_T&amp;D'!$F17+AB$62*'GREET2_Factors_T&amp;D'!$G17)+GREET1_Import_Export!$B239)+BV$86*(BV$71*(AB$64*GREET1_Import_Export!$AA74+AB$65*GREET1_Import_Export!$AB74)+GREET1_Import_Export!$C292)+BV$87*(GREET1_Import_Export!$D317+GREET1_Import_Export!$E317)</f>
        <v>0</v>
      </c>
      <c r="BW109" s="350"/>
      <c r="BX109" s="1082"/>
      <c r="BY109" s="1076">
        <f>BY$81*(BY$71*AC$50*GREET1_Import_Export!$K74+GREET1_Import_Export!$B203*GREET1_Import_Export!$F$179+GREET1_Import_Export!$F203)+BY$82*(BY$71*(AC$52*GREET1_Import_Export!$Q74+AC$53*GREET1_Import_Export!$O74+AC$54*GREET1_Import_Export!$M74)+GREET1_Import_Export!$B203*GREET1_Import_Export!$G$179+GREET1_Import_Export!$G203)+BY$83*(BY$71*AC$55*GREET1_Import_Export!$T74+GREET1_Import_Export!$B203*GREET1_Import_Export!$C$179+GREET1_Import_Export!$C203)+BY$84*(BY$71*AC$56*GREET1_Import_Export!$W74+GREET1_Import_Export!$E239*GREET1_Import_Export!$F$215+GREET1_Import_Export!$F239)+BY$85*(BY$71*(AC$57*GREET1_Import_Export!$B74+AC$58*GREET1_Import_Export!$C74+AC$59*GREET1_Import_Export!$G74+AC$61*'GREET2_Factors_T&amp;D'!$F17+AC$62*'GREET2_Factors_T&amp;D'!$G17)+GREET1_Import_Export!$B239)+BY$86*(BY$71*(AC$64*GREET1_Import_Export!$AA74+AC$65*GREET1_Import_Export!$AB74)+GREET1_Import_Export!$C292)+BY$87*(GREET1_Import_Export!$D317+GREET1_Import_Export!$E317)</f>
        <v>131.54251887804853</v>
      </c>
      <c r="BZ109" s="350"/>
      <c r="CA109" s="1082"/>
      <c r="CB109" s="1076">
        <f>CB$81*(CB$71*AD$50*GREET1_Import_Export!$K74+GREET1_Import_Export!$B203*GREET1_Import_Export!$F$179+GREET1_Import_Export!$F203)+CB$82*(CB$71*(AD$52*GREET1_Import_Export!$Q74+AD$53*GREET1_Import_Export!$O74+AD$54*GREET1_Import_Export!$M74)+GREET1_Import_Export!$B203*GREET1_Import_Export!$G$179+GREET1_Import_Export!$G203)+CB$83*(CB$71*AD$55*GREET1_Import_Export!$T74+GREET1_Import_Export!$B203*GREET1_Import_Export!$C$179+GREET1_Import_Export!$C203)+CB$84*(CB$71*AD$56*GREET1_Import_Export!$W74+GREET1_Import_Export!$E239*GREET1_Import_Export!$F$215+GREET1_Import_Export!$F239)+CB$85*(CB$71*(AD$57*GREET1_Import_Export!$B74+AD$58*GREET1_Import_Export!$C74+AD$59*GREET1_Import_Export!$G74+AD$61*'GREET2_Factors_T&amp;D'!$F17+AD$62*'GREET2_Factors_T&amp;D'!$G17)+GREET1_Import_Export!$B239)+CB$86*(CB$71*(AD$64*GREET1_Import_Export!$AA74+AD$65*GREET1_Import_Export!$AB74)+GREET1_Import_Export!$C292)+CB$87*(GREET1_Import_Export!$D317+GREET1_Import_Export!$E317)</f>
        <v>471.86797942192015</v>
      </c>
      <c r="CC109" s="350"/>
      <c r="CD109" s="1082"/>
      <c r="CE109" s="749">
        <f>CE$81*(CE$71*($AE$50*GREET1_Import_Export!$K74)+GREET1_Import_Export!$F$200*GREET1_Import_Export!$B203+GREET1_Import_Export!$F203)+CE$82*(CE$71*(GREET1_Import_Export!$R74)+GREET1_Import_Export!$H$200*GREET1_Import_Export!$B203+GREET1_Import_Export!$H203)+CE$83*(CE$71*(GREET1_Import_Export!$T74)+GREET1_Import_Export!$C$200*GREET1_Import_Export!$B203+GREET1_Import_Export!$C203)+CE$84*(CE$71*(GREET1_Import_Export!$X74)+GREET1_Import_Export!$B$10*(GREET1_Import_Export!$F$215*GREET1_Import_Export!$B239+GREET1_Import_Export!$F239)+GREET1_Import_Export!$C$10*(GREET1_Import_Export!$E$200*GREET1_Import_Export!$B203+GREET1_Import_Export!$E203))+CE$85*(CE$71*($AE$57*GREET1_Import_Export!$B74)+GREET1_Import_Export!$B239)+CE$86*(CE$71*($AE$64*GREET1_Import_Export!$AA74)+GREET1_Import_Export!$C292)+CE$87*(GREET1_Import_Export!$D317+GREET1_Import_Export!$E317)</f>
        <v>0</v>
      </c>
      <c r="CF109" s="1096"/>
      <c r="CG109" s="1321"/>
      <c r="CH109" s="1321"/>
      <c r="CI109" s="1321"/>
      <c r="CJ109" s="1321"/>
      <c r="CK109" s="1321"/>
      <c r="CL109" s="1321"/>
      <c r="CM109" s="1321"/>
      <c r="CN109" s="1321"/>
      <c r="CO109" s="1321"/>
      <c r="CP109" s="1321"/>
      <c r="CQ109" s="1321"/>
      <c r="CR109" s="1321"/>
      <c r="CS109" s="1321"/>
      <c r="CT109" s="1321"/>
      <c r="CU109" s="1321"/>
      <c r="CV109" s="1321"/>
      <c r="CW109" s="1321"/>
      <c r="CX109" s="1321"/>
      <c r="CY109" s="1321"/>
      <c r="CZ109" s="1321"/>
      <c r="DA109" s="1321"/>
      <c r="DB109" s="1321"/>
      <c r="DC109" s="1321"/>
      <c r="DD109" s="1321"/>
      <c r="DE109" s="1321"/>
      <c r="DF109" s="1321"/>
      <c r="DG109" s="1321"/>
      <c r="DH109" s="1321"/>
      <c r="DI109" s="1321"/>
      <c r="DJ109" s="1321"/>
      <c r="DK109" s="1321"/>
      <c r="DL109" s="1321"/>
      <c r="DM109" s="1321"/>
      <c r="DN109" s="1321"/>
      <c r="DO109" s="1321"/>
      <c r="DP109" s="1321"/>
      <c r="DQ109" s="1321"/>
      <c r="DR109" s="1321"/>
      <c r="DS109" s="1321"/>
      <c r="DT109" s="1321"/>
      <c r="DU109" s="1321"/>
      <c r="DV109" s="1321"/>
      <c r="DW109" s="1321"/>
      <c r="DX109" s="1321"/>
      <c r="DY109" s="1321"/>
      <c r="DZ109" s="1321"/>
      <c r="EA109" s="1321"/>
      <c r="EB109" s="1321"/>
      <c r="EC109" s="1321"/>
      <c r="ED109" s="1321"/>
      <c r="EE109" s="1321"/>
      <c r="EF109" s="1321"/>
      <c r="EG109" s="1321"/>
      <c r="EH109" s="1321"/>
      <c r="EI109" s="1321"/>
      <c r="EJ109" s="1321"/>
      <c r="EK109" s="1321"/>
      <c r="EL109" s="1321"/>
      <c r="EM109" s="1321"/>
      <c r="EN109" s="1321"/>
      <c r="EO109" s="1321"/>
      <c r="EP109" s="1321"/>
      <c r="EQ109" s="1321"/>
      <c r="ER109" s="1321"/>
      <c r="ES109" s="1321"/>
      <c r="ET109" s="1321"/>
      <c r="EU109" s="1321"/>
      <c r="EV109" s="1321"/>
      <c r="EW109" s="1321"/>
      <c r="EX109" s="1321"/>
      <c r="EY109" s="1321"/>
      <c r="EZ109" s="1321"/>
      <c r="FA109" s="1321"/>
      <c r="FB109" s="1321"/>
    </row>
    <row r="110" spans="1:158">
      <c r="A110" s="291" t="s">
        <v>824</v>
      </c>
      <c r="B110" s="233">
        <f>B$81*(B$71*B$50*GREET1_Import_Export!$K75+GREET1_Import_Export!$B204*GREET1_Import_Export!$F$179+GREET1_Import_Export!$F204)+B$82*(B$71*(B$52*GREET1_Import_Export!$Q75+B$53*GREET1_Import_Export!$O75+B$54*GREET1_Import_Export!$M75)+GREET1_Import_Export!$B204*GREET1_Import_Export!$G$179+GREET1_Import_Export!$G204)+B$83*(B$71*B$55*GREET1_Import_Export!$T75+GREET1_Import_Export!$B204*GREET1_Import_Export!$C$179+GREET1_Import_Export!$C204)+B$84*(B$71*B$56*GREET1_Import_Export!$W75+GREET1_Import_Export!$E240*GREET1_Import_Export!$F$215+GREET1_Import_Export!$F240)+B$85*(B$71*(B$57*GREET1_Import_Export!$B75+B$58*GREET1_Import_Export!$C75+B$59*GREET1_Import_Export!$G75+B$61*'GREET2_Factors_T&amp;D'!$F18+B$62*'GREET2_Factors_T&amp;D'!$G18)+GREET1_Import_Export!$B240)+B$86*(B$71*(B$64*GREET1_Import_Export!$AA75+B$65*GREET1_Import_Export!$AB75)+GREET1_Import_Export!$C293)+B$87*SUM(GREET1_Import_Export!$D318:$E318)</f>
        <v>0</v>
      </c>
      <c r="C110" s="1"/>
      <c r="D110" s="235"/>
      <c r="E110" s="233">
        <f>E$81*(E$71*C$50*GREET1_Import_Export!$K75+GREET1_Import_Export!$B204*GREET1_Import_Export!$F$179+GREET1_Import_Export!$F204)+E$82*(E$71*(C$52*GREET1_Import_Export!$Q75+C$53*GREET1_Import_Export!$O75+C$54*GREET1_Import_Export!$M75)+GREET1_Import_Export!$B204*GREET1_Import_Export!$G$179+GREET1_Import_Export!$G204)+E$83*(E$71*C$55*GREET1_Import_Export!$T75+GREET1_Import_Export!$B204*GREET1_Import_Export!$C$179+GREET1_Import_Export!$C204)+E$84*(E$71*C$56*GREET1_Import_Export!$W75+GREET1_Import_Export!$E240*GREET1_Import_Export!$F$215+GREET1_Import_Export!$F240)+E$85*(E$71*(C$57*GREET1_Import_Export!$B75+C$58*GREET1_Import_Export!$C75+C$59*GREET1_Import_Export!$G75+C$61*'GREET2_Factors_T&amp;D'!$F18+C$62*'GREET2_Factors_T&amp;D'!$G18)+GREET1_Import_Export!$B240)+E$86*(E$71*(C$64*GREET1_Import_Export!$AA75+C$65*GREET1_Import_Export!$AB75)+GREET1_Import_Export!$C293)+E$87*SUM(GREET1_Import_Export!$D318:$E318)</f>
        <v>0</v>
      </c>
      <c r="F110" s="1"/>
      <c r="G110" s="235"/>
      <c r="H110" s="233">
        <f>H$81*(H$71*D$50*GREET1_Import_Export!$K75+GREET1_Import_Export!$B204*GREET1_Import_Export!$F$179+GREET1_Import_Export!$F204)+H$82*(H$71*(D$52*GREET1_Import_Export!$Q75+D$53*GREET1_Import_Export!$O75+D$54*GREET1_Import_Export!$M75)+GREET1_Import_Export!$B204*GREET1_Import_Export!$G$179+GREET1_Import_Export!$G204)+H$83*(H$71*D$55*GREET1_Import_Export!$T75+GREET1_Import_Export!$B204*GREET1_Import_Export!$C$179+GREET1_Import_Export!$C204)+H$84*(H$71*D$56*GREET1_Import_Export!$W75+GREET1_Import_Export!$E240*GREET1_Import_Export!$F$215+GREET1_Import_Export!$F240)+H$85*(H$71*(D$57*GREET1_Import_Export!$B75+D$58*GREET1_Import_Export!$C75+D$59*GREET1_Import_Export!$G75+D$61*'GREET2_Factors_T&amp;D'!$F18+D$62*'GREET2_Factors_T&amp;D'!$G18)+GREET1_Import_Export!$B240)+H$86*(H$71*(D$64*GREET1_Import_Export!$AA75+D$65*GREET1_Import_Export!$AB75)+GREET1_Import_Export!$C293)+H$87*SUM(GREET1_Import_Export!$D318:$E318)</f>
        <v>0.56429780675102181</v>
      </c>
      <c r="I110" s="1"/>
      <c r="J110" s="235"/>
      <c r="K110" s="233">
        <f>K$81*(K$71*E$50*GREET1_Import_Export!$K75+GREET1_Import_Export!$B204*GREET1_Import_Export!$F$179+GREET1_Import_Export!$F204)+K$82*(K$71*(E$52*GREET1_Import_Export!$Q75+E$53*GREET1_Import_Export!$O75+E$54*GREET1_Import_Export!$M75)+GREET1_Import_Export!$B204*GREET1_Import_Export!$G$179+GREET1_Import_Export!$G204)+K$83*(K$71*E$55*GREET1_Import_Export!$T75+GREET1_Import_Export!$B204*GREET1_Import_Export!$C$179+GREET1_Import_Export!$C204)+K$84*(K$71*E$56*GREET1_Import_Export!$W75+GREET1_Import_Export!$E240*GREET1_Import_Export!$F$215+GREET1_Import_Export!$F240)+K$85*(K$71*(E$57*GREET1_Import_Export!$B75+E$58*GREET1_Import_Export!$C75+E$59*GREET1_Import_Export!$G75+E$61*'GREET2_Factors_T&amp;D'!$F18+E$62*'GREET2_Factors_T&amp;D'!$G18)+GREET1_Import_Export!$B240)+K$86*(K$71*(E$64*GREET1_Import_Export!$AA75+E$65*GREET1_Import_Export!$AB75)+GREET1_Import_Export!$C293)+K$87*SUM(GREET1_Import_Export!$D318:$E318)</f>
        <v>55.124734294675285</v>
      </c>
      <c r="L110" s="1"/>
      <c r="M110" s="235"/>
      <c r="N110" s="233">
        <f>N$81*(N$71*F$50*GREET1_Import_Export!$K75+GREET1_Import_Export!$B204*GREET1_Import_Export!$F$179+GREET1_Import_Export!$F204)+N$82*(N$71*(F$52*GREET1_Import_Export!$Q75+F$53*GREET1_Import_Export!$O75+F$54*GREET1_Import_Export!$M75)+GREET1_Import_Export!$B204*GREET1_Import_Export!$G$179+GREET1_Import_Export!$G204)+N$83*(N$71*F$55*GREET1_Import_Export!$T75+GREET1_Import_Export!$B204*GREET1_Import_Export!$C$179+GREET1_Import_Export!$C204)+N$84*(N$71*F$56*GREET1_Import_Export!$W75+GREET1_Import_Export!$E240*GREET1_Import_Export!$F$215+GREET1_Import_Export!$F240)+N$85*(N$71*(F$57*GREET1_Import_Export!$B75+F$58*GREET1_Import_Export!$C75+F$59*GREET1_Import_Export!$G75+F$61*'GREET2_Factors_T&amp;D'!$F18+F$62*'GREET2_Factors_T&amp;D'!$G18)+GREET1_Import_Export!$B240)+N$86*(N$71*(F$64*GREET1_Import_Export!$AA75+F$65*GREET1_Import_Export!$AB75)+GREET1_Import_Export!$C293)+N$87*SUM(GREET1_Import_Export!$D318:$E318)</f>
        <v>0.56429780675102181</v>
      </c>
      <c r="O110" s="1"/>
      <c r="P110" s="235"/>
      <c r="Q110" s="581">
        <f>Q$81*(Q$71*G$50*GREET1_Import_Export!$K75+GREET1_Import_Export!$B204*GREET1_Import_Export!$F$179+GREET1_Import_Export!$F204)+Q$82*(Q$71*(G$52*GREET1_Import_Export!$Q75+G$53*GREET1_Import_Export!$O75+G$54*GREET1_Import_Export!$M75)+GREET1_Import_Export!$B204*GREET1_Import_Export!$G$179+GREET1_Import_Export!$G204)+Q$83*(Q$71*G$55*GREET1_Import_Export!$T75+GREET1_Import_Export!$B204*GREET1_Import_Export!$C$179+GREET1_Import_Export!$C204)+Q$84*(Q$71*G$56*GREET1_Import_Export!$W75+GREET1_Import_Export!$E240*GREET1_Import_Export!$F$215+GREET1_Import_Export!$F240)+Q$85*(Q$71*(G$57*GREET1_Import_Export!$B75+G$58*GREET1_Import_Export!$C75+G$59*GREET1_Import_Export!$G75+G$61*'GREET2_Factors_T&amp;D'!$F18+G$62*'GREET2_Factors_T&amp;D'!$G18)+GREET1_Import_Export!$B240)+Q$86*(Q$71*(G$64*GREET1_Import_Export!$AA75+G$65*GREET1_Import_Export!$AB75)+GREET1_Import_Export!$C293)
+Q$87*($B$46*(GREET1_Import_Export!$D318+GREET1_Import_Export!E318)+$C$46*GREET1_Import_Export!L366+$D$46*GREET1_Import_Export!H366+$E$46*GREET1_Import_Export!Q366+$F$46*GREET1_Import_Export!R366+SUMPRODUCT($G$46:$I$46,GREET1_Import_Export!N366:P366))</f>
        <v>55.124734294675285</v>
      </c>
      <c r="R110" s="1"/>
      <c r="S110" s="235"/>
      <c r="T110" s="581">
        <f>T$81*(T$71*BZ$50*GREET1_Import_Export!$K75+GREET1_Import_Export!$B204*GREET1_Import_Export!$F$179+GREET1_Import_Export!$F204)+T$82*(T$71*(BZ$52*GREET1_Import_Export!$Q75+BZ$53*GREET1_Import_Export!$O75+BZ$54*GREET1_Import_Export!$M75)+GREET1_Import_Export!$B204*GREET1_Import_Export!$G$179+GREET1_Import_Export!$G204)+T$83*(T$71*BZ$55*GREET1_Import_Export!$T75+GREET1_Import_Export!$B204*GREET1_Import_Export!$C$179+GREET1_Import_Export!$C204)+T$84*(T$71*BZ$56*GREET1_Import_Export!$W75+GREET1_Import_Export!$E240*GREET1_Import_Export!$F$215+GREET1_Import_Export!$F240)+T$85*(T$71*(BZ$57*GREET1_Import_Export!$B75+BZ$58*GREET1_Import_Export!$C75+BZ$59*GREET1_Import_Export!$G75+BZ$61*'GREET2_Factors_T&amp;D'!$F18+BZ$62*'GREET2_Factors_T&amp;D'!$G18)+GREET1_Import_Export!$B240)+T$86*(T$71*(BZ$64*GREET1_Import_Export!$AA75+BZ$65*GREET1_Import_Export!$AB75)+GREET1_Import_Export!$C293)+T$87*SUM(GREET1_Import_Export!$D318:$E318)</f>
        <v>0.56429780675102181</v>
      </c>
      <c r="U110" s="1"/>
      <c r="V110" s="235"/>
      <c r="W110" s="581">
        <f>W$81*(W$71*I$50*GREET1_Import_Export!$K75+GREET1_Import_Export!$B204*GREET1_Import_Export!$F$179+GREET1_Import_Export!$F204)+W$82*(W$71*(I$52*GREET1_Import_Export!$Q75+I$53*GREET1_Import_Export!$O75+I$54*GREET1_Import_Export!$M75)+GREET1_Import_Export!$B204*GREET1_Import_Export!$G$179+GREET1_Import_Export!$G204)+W$83*(W$71*I$55*GREET1_Import_Export!$T75+GREET1_Import_Export!$B204*GREET1_Import_Export!$C$179+GREET1_Import_Export!$C204)+W$84*(W$71*I$56*GREET1_Import_Export!$W75+GREET1_Import_Export!$E240*GREET1_Import_Export!$F$215+GREET1_Import_Export!$F240)+W$85*(W$71*(I$57*GREET1_Import_Export!$B75+I$58*GREET1_Import_Export!$C75+I$59*GREET1_Import_Export!$G75+I$61*'GREET2_Factors_T&amp;D'!$F18+I$62*'GREET2_Factors_T&amp;D'!$G18)+GREET1_Import_Export!$B240)+W$86*(W$71*(I$64*GREET1_Import_Export!$AA75+I$65*GREET1_Import_Export!$AB75)+GREET1_Import_Export!$C293)+W$87*($B$46*(GREET1_Import_Export!$D318+GREET1_Import_Export!E318)+$C$46*GREET1_Import_Export!L366+$D$46*GREET1_Import_Export!H366+$E$46*GREET1_Import_Export!Q366+$F$46*GREET1_Import_Export!R366+SUMPRODUCT($G$46:$I$46,GREET1_Import_Export!N366:P366))</f>
        <v>55.124734294675285</v>
      </c>
      <c r="X110" s="1"/>
      <c r="Y110" s="235"/>
      <c r="Z110" s="233">
        <f>Z$81*(Z$71*J$50*GREET1_Import_Export!$K75+GREET1_Import_Export!$B204*GREET1_Import_Export!$F$179+GREET1_Import_Export!$F204)+Z$82*(Z$71*(J$52*GREET1_Import_Export!$Q75+J$53*GREET1_Import_Export!$O75+J$54*GREET1_Import_Export!$M75)+GREET1_Import_Export!$B204*GREET1_Import_Export!$G$179+GREET1_Import_Export!$G204)+Z$83*(Z$71*J$55*GREET1_Import_Export!$T75+GREET1_Import_Export!$B204*GREET1_Import_Export!$C$179+GREET1_Import_Export!$C204)+Z$84*(Z$71*J$56*GREET1_Import_Export!$W75+GREET1_Import_Export!$E240*GREET1_Import_Export!$F$215+GREET1_Import_Export!$F240)+Z$85*(Z$71*(J$57*GREET1_Import_Export!$B75+J$58*GREET1_Import_Export!$C75+J$59*GREET1_Import_Export!$G75+J$61*'GREET2_Factors_T&amp;D'!$F18+J$62*'GREET2_Factors_T&amp;D'!$G18)+GREET1_Import_Export!$B240)+Z$86*(Z$71*(J$64*GREET1_Import_Export!$AA75+J$65*GREET1_Import_Export!$AB75)+GREET1_Import_Export!$C293)+Z$87*SUM(GREET1_Import_Export!$D318:$E318)</f>
        <v>0.56429780675102181</v>
      </c>
      <c r="AA110" s="1"/>
      <c r="AB110" s="235"/>
      <c r="AC110" s="581">
        <f>AC$81*(AC$71*K$50*GREET1_Import_Export!$K75+GREET1_Import_Export!$B204*GREET1_Import_Export!$F$179+GREET1_Import_Export!$F204)+AC$82*(AC$71*(K$52*GREET1_Import_Export!$Q75+K$53*GREET1_Import_Export!$O75+K$54*GREET1_Import_Export!$M75)+GREET1_Import_Export!$B204*GREET1_Import_Export!$G$179+GREET1_Import_Export!$G204)+AC$83*(AC$71*K$55*GREET1_Import_Export!$T75+GREET1_Import_Export!$B204*GREET1_Import_Export!$C$179+GREET1_Import_Export!$C204)+AC$84*(AC$71*K$56*GREET1_Import_Export!$W75+GREET1_Import_Export!$E240*GREET1_Import_Export!$F$215+GREET1_Import_Export!$F240)+AC$85*(AC$71*(K$57*GREET1_Import_Export!$B75+K$58*GREET1_Import_Export!$C75+K$59*GREET1_Import_Export!$G75+K$61*'GREET2_Factors_T&amp;D'!$F18+K$62*'GREET2_Factors_T&amp;D'!$G18)+GREET1_Import_Export!$B240)+AC$86*(AC$71*(K$64*GREET1_Import_Export!$AA75+K$65*GREET1_Import_Export!$AB75)+GREET1_Import_Export!$C293)+AC$87*($B$46*(GREET1_Import_Export!$D318+GREET1_Import_Export!E318)+$C$46*GREET1_Import_Export!L366+$D$46*GREET1_Import_Export!H366+$E$46*GREET1_Import_Export!Q366+$F$46*GREET1_Import_Export!R366+SUMPRODUCT($G$46:$I$46,GREET1_Import_Export!N366:P366))</f>
        <v>55.124734294675285</v>
      </c>
      <c r="AD110" s="1"/>
      <c r="AE110" s="235"/>
      <c r="AF110" s="233">
        <f>AF$81*(AF$71*L$50*GREET1_Import_Export!$K75+GREET1_Import_Export!$B204*GREET1_Import_Export!$F$179+GREET1_Import_Export!$F204)+AF$82*(AF$71*(L$52*GREET1_Import_Export!$Q75+L$53*GREET1_Import_Export!$O75+L$54*GREET1_Import_Export!$M75)+GREET1_Import_Export!$B204*GREET1_Import_Export!$G$179+GREET1_Import_Export!$G204)+AF$83*(AF$71*L$55*GREET1_Import_Export!$T75+GREET1_Import_Export!$B204*GREET1_Import_Export!$C$179+GREET1_Import_Export!$C204)+AF$84*(AF$71*L$56*GREET1_Import_Export!$W75+GREET1_Import_Export!$E240*GREET1_Import_Export!$F$215+GREET1_Import_Export!$F240)+AF$85*(AF$71*(L$57*GREET1_Import_Export!$B75+L$58*GREET1_Import_Export!$C75+L$59*GREET1_Import_Export!$G75+L$61*'GREET2_Factors_T&amp;D'!$F18+L$62*'GREET2_Factors_T&amp;D'!$G18)+GREET1_Import_Export!$B240)+AF$86*(AF$71*(L$64*GREET1_Import_Export!$AA75+L$65*GREET1_Import_Export!$AB75)+GREET1_Import_Export!$C293)+AF$87*SUM(GREET1_Import_Export!$D318:$E318)</f>
        <v>0.56429780675102181</v>
      </c>
      <c r="AG110" s="489"/>
      <c r="AH110" s="478"/>
      <c r="AI110" s="581">
        <f>AI$81*(AI$71*M$50*GREET1_Import_Export!$K75+GREET1_Import_Export!$B204*GREET1_Import_Export!$F$179+GREET1_Import_Export!$F204)+AI$82*(AI$71*(M$52*GREET1_Import_Export!$Q75+M$53*GREET1_Import_Export!$O75+M$54*GREET1_Import_Export!$M75)+GREET1_Import_Export!$B204*GREET1_Import_Export!$G$179+GREET1_Import_Export!$G204)+AI$83*(AI$71*M$55*GREET1_Import_Export!$T75+GREET1_Import_Export!$B204*GREET1_Import_Export!$C$179+GREET1_Import_Export!$C204)+AI$84*(AI$71*M$56*GREET1_Import_Export!$W75+GREET1_Import_Export!$E240*GREET1_Import_Export!$F$215+GREET1_Import_Export!$F240)+AI$85*(AI$71*(M$57*GREET1_Import_Export!$B75+M$58*GREET1_Import_Export!$C75+M$59*GREET1_Import_Export!$G75+M$61*'GREET2_Factors_T&amp;D'!$F18+M$62*'GREET2_Factors_T&amp;D'!$G18)+GREET1_Import_Export!$B240)+AI$86*(AI$71*(M$64*GREET1_Import_Export!$AA75+M$65*GREET1_Import_Export!$AB75)+GREET1_Import_Export!$C293)+AI$87*($B$46*(GREET1_Import_Export!$D318+GREET1_Import_Export!E318)+$C$46*GREET1_Import_Export!L366+$D$46*GREET1_Import_Export!H366+$E$46*GREET1_Import_Export!Q366+$F$46*GREET1_Import_Export!R366+SUMPRODUCT($G$46:$I$46,GREET1_Import_Export!N366:P366))</f>
        <v>62.999696336771713</v>
      </c>
      <c r="AJ110" s="1"/>
      <c r="AK110" s="235"/>
      <c r="AL110" s="233">
        <f>AL$81*(AL$71*N$50*GREET1_Import_Export!$K75+GREET1_Import_Export!$B204*GREET1_Import_Export!$F$179+GREET1_Import_Export!$F204)+AL$82*(AL$71*(N$52*GREET1_Import_Export!$Q75+N$53*GREET1_Import_Export!$O75+N$54*GREET1_Import_Export!$M75)+GREET1_Import_Export!$B204*GREET1_Import_Export!$G$179+GREET1_Import_Export!$G204)+AL$83*(AL$71*N$55*GREET1_Import_Export!$T75+GREET1_Import_Export!$B204*GREET1_Import_Export!$C$179+GREET1_Import_Export!$C204)+AL$84*(AL$71*N$56*GREET1_Import_Export!$W75+GREET1_Import_Export!$E240*GREET1_Import_Export!$F$215+GREET1_Import_Export!$F240)+AL$85*(AL$71*(N$57*GREET1_Import_Export!$B75+N$58*GREET1_Import_Export!$C75+N$59*GREET1_Import_Export!$G75+N$61*'GREET2_Factors_T&amp;D'!$F18+N$62*'GREET2_Factors_T&amp;D'!$G18)+GREET1_Import_Export!$B240)+AL$86*(AL$71*(N$64*GREET1_Import_Export!$AA75+N$65*GREET1_Import_Export!$AB75)+GREET1_Import_Export!$C293)+AL$87*SUM(GREET1_Import_Export!$D318:$E318)</f>
        <v>2.032108073461206</v>
      </c>
      <c r="AM110" s="1"/>
      <c r="AN110" s="235"/>
      <c r="AO110" s="233">
        <f>AO$81*(AO$71*O$50*GREET1_Import_Export!$K75+GREET1_Import_Export!$B204*GREET1_Import_Export!$F$179+GREET1_Import_Export!$F204)+AO$82*(AO$71*(O$52*GREET1_Import_Export!$Q75+O$53*GREET1_Import_Export!$O75+O$54*GREET1_Import_Export!$M75)+GREET1_Import_Export!$B204*GREET1_Import_Export!$G$179+GREET1_Import_Export!$G204)+AO$83*(AO$71*O$55*GREET1_Import_Export!$T75+GREET1_Import_Export!$B204*GREET1_Import_Export!$C$179+GREET1_Import_Export!$C204)+AO$84*(AO$71*O$56*GREET1_Import_Export!$W75+GREET1_Import_Export!$E240*GREET1_Import_Export!$F$215+GREET1_Import_Export!$F240)+AO$85*(AO$71*(O$57*GREET1_Import_Export!$B75+O$58*GREET1_Import_Export!$C75+O$59*GREET1_Import_Export!$G75+O$61*'GREET2_Factors_T&amp;D'!$F18+O$62*'GREET2_Factors_T&amp;D'!$G18)+GREET1_Import_Export!$B240)+AO$86*(AO$71*(O$64*GREET1_Import_Export!$AA75+O$65*GREET1_Import_Export!$AB75)+GREET1_Import_Export!$C293)+AO$87*SUM(GREET1_Import_Export!$D318:$E318)</f>
        <v>59.663337418270231</v>
      </c>
      <c r="AP110" s="1"/>
      <c r="AQ110" s="235"/>
      <c r="AR110" s="233">
        <f>AR$81*(AR$71*P$50*GREET1_Import_Export!$K75+GREET1_Import_Export!$B204*GREET1_Import_Export!$F$179+GREET1_Import_Export!$F204)+AR$82*(AR$71*(P$52*GREET1_Import_Export!$Q75+P$53*GREET1_Import_Export!$O75+P$54*GREET1_Import_Export!$M75)+GREET1_Import_Export!$B204*GREET1_Import_Export!$G$179+GREET1_Import_Export!$G204)+AR$83*(AR$71*P$55*GREET1_Import_Export!$T75+GREET1_Import_Export!$B204*GREET1_Import_Export!$C$179+GREET1_Import_Export!$C204)+AR$84*(AR$71*P$56*GREET1_Import_Export!$W75+GREET1_Import_Export!$E240*GREET1_Import_Export!$F$215+GREET1_Import_Export!$F240)+AR$85*(AR$71*(P$57*GREET1_Import_Export!$B75+P$58*GREET1_Import_Export!$C75+P$59*GREET1_Import_Export!$G75+P$61*'GREET2_Factors_T&amp;D'!$F18+P$62*'GREET2_Factors_T&amp;D'!$G18)+GREET1_Import_Export!$B240)+AR$86*(AR$71*(P$64*GREET1_Import_Export!$AA75+P$65*GREET1_Import_Export!$AB75)+GREET1_Import_Export!$C293)+AR$87*SUM(GREET1_Import_Export!$D318:$E318)</f>
        <v>0.45913452891920997</v>
      </c>
      <c r="AS110" s="1"/>
      <c r="AT110" s="235"/>
      <c r="AU110" s="233">
        <f>AU$81*(AU$71*Q$50*GREET1_Import_Export!$K75+GREET1_Import_Export!$B204*GREET1_Import_Export!$F$179+GREET1_Import_Export!$F204)+AU$82*(AU$71*(Q$52*GREET1_Import_Export!$Q75+Q$53*GREET1_Import_Export!$O75+Q$54*GREET1_Import_Export!$M75)+GREET1_Import_Export!$B204*GREET1_Import_Export!$G$179+GREET1_Import_Export!$G204)+AU$83*(AU$71*Q$55*GREET1_Import_Export!$T75+GREET1_Import_Export!$B204*GREET1_Import_Export!$C$179+GREET1_Import_Export!$C204)+AU$84*(AU$71*Q$56*GREET1_Import_Export!$W75+GREET1_Import_Export!$E240*GREET1_Import_Export!$F$215+GREET1_Import_Export!$F240)+AU$85*(AU$71*(Q$57*GREET1_Import_Export!$B75+Q$58*GREET1_Import_Export!$C75+Q$59*GREET1_Import_Export!$G75+Q$61*'GREET2_Factors_T&amp;D'!$F18+Q$62*'GREET2_Factors_T&amp;D'!$G18)+GREET1_Import_Export!$B240)+AU$86*(AU$71*(Q$64*GREET1_Import_Export!$AA75+Q$65*GREET1_Import_Export!$AB75)+GREET1_Import_Export!$C293)+AU$87*SUM(GREET1_Import_Export!$D318:$E318)</f>
        <v>0.47514006452101254</v>
      </c>
      <c r="AV110" s="1"/>
      <c r="AW110" s="235"/>
      <c r="AX110" s="233">
        <f>AX$81*(AX$71*R$50*GREET1_Import_Export!$K75+GREET1_Import_Export!$B204*GREET1_Import_Export!$F$179+GREET1_Import_Export!$F204)+AX$82*(AX$71*(R$52*GREET1_Import_Export!$Q75+R$53*GREET1_Import_Export!$O75+R$54*GREET1_Import_Export!$M75)+GREET1_Import_Export!$B204*GREET1_Import_Export!$G$179+GREET1_Import_Export!$G204)+AX$83*(AX$71*R$55*GREET1_Import_Export!$T75+GREET1_Import_Export!$B204*GREET1_Import_Export!$C$179+GREET1_Import_Export!$C204)+AX$84*(AX$71*R$56*GREET1_Import_Export!$W75+GREET1_Import_Export!$E240*GREET1_Import_Export!$F$215+GREET1_Import_Export!$F240)+AX$85*(AX$71*(R$57*GREET1_Import_Export!$B75+R$58*GREET1_Import_Export!$C75+R$59*GREET1_Import_Export!$G75+R$61*'GREET2_Factors_T&amp;D'!$F18+R$62*'GREET2_Factors_T&amp;D'!$G18)+GREET1_Import_Export!$B240)+AX$86*(AX$71*(R$64*GREET1_Import_Export!$AA75+R$65*GREET1_Import_Export!$AB75)+GREET1_Import_Export!$C293)+AX$87*SUM(GREET1_Import_Export!$D318:$E318)</f>
        <v>3.9891821294003857E-2</v>
      </c>
      <c r="AY110" s="1"/>
      <c r="AZ110" s="235"/>
      <c r="BA110" s="233">
        <f>BA$81*(BA$71*S$50*GREET1_Import_Export!$K75+GREET1_Import_Export!$B204*GREET1_Import_Export!$F$179+GREET1_Import_Export!$F204)+BA$82*(BA$71*(S$52*GREET1_Import_Export!$Q75+S$53*GREET1_Import_Export!$O75+S$54*GREET1_Import_Export!$M75)+GREET1_Import_Export!$B204*GREET1_Import_Export!$G$179+GREET1_Import_Export!$G204)+BA$83*(BA$71*S$55*GREET1_Import_Export!$T75+GREET1_Import_Export!$B204*GREET1_Import_Export!$C$179+GREET1_Import_Export!$C204)+BA$84*(BA$71*S$56*GREET1_Import_Export!$W75+GREET1_Import_Export!$E240*GREET1_Import_Export!$F$215+GREET1_Import_Export!$F240)+BA$85*(BA$71*(S$57*GREET1_Import_Export!$B75+S$58*GREET1_Import_Export!$C75+S$59*GREET1_Import_Export!$G75+S$61*'GREET2_Factors_T&amp;D'!$F18+S$62*'GREET2_Factors_T&amp;D'!$G18)+GREET1_Import_Export!$B240)+BA$86*(BA$71*(S$64*GREET1_Import_Export!$AA75+S$65*GREET1_Import_Export!$AB75)+GREET1_Import_Export!$C293)+BA$87*SUM(GREET1_Import_Export!$D318:$E318)</f>
        <v>47.249772252578843</v>
      </c>
      <c r="BB110" s="1"/>
      <c r="BC110" s="235"/>
      <c r="BD110" s="581">
        <f>BD$81*(BD$71*T$50*GREET1_Import_Export!$K75+GREET1_Import_Export!$B204*GREET1_Import_Export!$F$179+GREET1_Import_Export!$F204)+BD$82*(BD$71*(T$52*GREET1_Import_Export!$Q75+T$53*GREET1_Import_Export!$O75+T$54*GREET1_Import_Export!$M75)+GREET1_Import_Export!$B204*GREET1_Import_Export!$G$179+GREET1_Import_Export!$G204)+BD$83*(BD$71*T$55*GREET1_Import_Export!$T75+GREET1_Import_Export!$B204*GREET1_Import_Export!$C$179+GREET1_Import_Export!$C204)+BD$84*(BD$71*T$56*GREET1_Import_Export!$W75+GREET1_Import_Export!$E240*GREET1_Import_Export!$F$215+GREET1_Import_Export!$F240)+BD$85*(BD$71*(T$57*GREET1_Import_Export!$B75+T$58*GREET1_Import_Export!$C75+T$59*GREET1_Import_Export!$G75+T$61*'GREET2_Factors_T&amp;D'!$F18+T$62*'GREET2_Factors_T&amp;D'!$G18)+GREET1_Import_Export!$B240)+BD$86*(BD$71*(T$64*GREET1_Import_Export!$AA75+T$65*GREET1_Import_Export!$AB75)+GREET1_Import_Export!$C293)+BD$87*SUM(GREET1_Import_Export!$D318:$E318)</f>
        <v>38.158091538119891</v>
      </c>
      <c r="BE110" s="489"/>
      <c r="BF110" s="478"/>
      <c r="BG110" s="581">
        <f>BG$81*(BG$71*U$50*GREET1_Import_Export!$K75+GREET1_Import_Export!$B204*GREET1_Import_Export!$F$179+GREET1_Import_Export!$F204)+BG$82*(BG$71*(U$52*GREET1_Import_Export!$Q75+U$53*GREET1_Import_Export!$O75+U$54*GREET1_Import_Export!$M75)+GREET1_Import_Export!$B204*GREET1_Import_Export!$G$179+GREET1_Import_Export!$G204)+BG$83*(BG$71*U$55*GREET1_Import_Export!$T75+GREET1_Import_Export!$B204*GREET1_Import_Export!$C$179+GREET1_Import_Export!$C204)+BG$84*(BG$71*U$56*GREET1_Import_Export!$W75+GREET1_Import_Export!$E240*GREET1_Import_Export!$F$215+GREET1_Import_Export!$F240)+BG$85*(BG$71*(U$57*GREET1_Import_Export!$B75+U$58*GREET1_Import_Export!$C75+U$59*GREET1_Import_Export!$G75+U$61*'GREET2_Factors_T&amp;D'!$F18+U$62*'GREET2_Factors_T&amp;D'!$G18)+GREET1_Import_Export!$B240)+BG$86*(BG$71*(U$64*GREET1_Import_Export!$AA75+U$65*GREET1_Import_Export!$AB75)+GREET1_Import_Export!$C293)+BG$87*SUM(GREET1_Import_Export!$D318:$E318)</f>
        <v>0.42578075144869088</v>
      </c>
      <c r="BH110" s="489"/>
      <c r="BI110" s="478"/>
      <c r="BJ110" s="581">
        <f>BJ$81*(BJ$71*V$50*GREET1_Import_Export!$K75+GREET1_Import_Export!$B204*GREET1_Import_Export!$F$179+GREET1_Import_Export!$F204)+BJ$82*(BJ$71*(V$52*GREET1_Import_Export!$Q75+V$53*GREET1_Import_Export!$O75+V$54*GREET1_Import_Export!$M75)+GREET1_Import_Export!$B204*GREET1_Import_Export!$G$179+GREET1_Import_Export!$G204)+BJ$83*(BJ$71*V$55*GREET1_Import_Export!$T75+GREET1_Import_Export!$B204*GREET1_Import_Export!$C$179+GREET1_Import_Export!$C204)+BJ$84*(BJ$71*V$56*GREET1_Import_Export!$W75+GREET1_Import_Export!$E240*GREET1_Import_Export!$F$215+GREET1_Import_Export!$F240)+BJ$85*(BJ$71*(V$57*GREET1_Import_Export!$B75+V$58*GREET1_Import_Export!$C75+V$59*GREET1_Import_Export!$G75+V$61*'GREET2_Factors_T&amp;D'!$F18+V$62*'GREET2_Factors_T&amp;D'!$G18)+GREET1_Import_Export!$B240)+BJ$86*(BJ$71*(V$64*GREET1_Import_Export!$AA75+V$65*GREET1_Import_Export!$AB75)+GREET1_Import_Export!$C293)+BJ$87*SUM(GREET1_Import_Export!$D318:$E318)</f>
        <v>6.4393567167407841</v>
      </c>
      <c r="BK110" s="489"/>
      <c r="BL110" s="478"/>
      <c r="BM110" s="581">
        <f>BM$81*(BM$71*X$50*GREET1_Import_Export!$K75+GREET1_Import_Export!$B204*GREET1_Import_Export!$F$179+GREET1_Import_Export!$F204)+BM$82*(BM$71*(X$52*GREET1_Import_Export!$Q75+X$53*GREET1_Import_Export!$O75+X$54*GREET1_Import_Export!$M75)+GREET1_Import_Export!$B204*GREET1_Import_Export!$G$179+GREET1_Import_Export!$G204)+BM$83*(BM$71*X$55*GREET1_Import_Export!$T75+GREET1_Import_Export!$B204*GREET1_Import_Export!$C$179+GREET1_Import_Export!$C204)+BM$84*(BM$71*X$56*GREET1_Import_Export!$W75+GREET1_Import_Export!$E240*GREET1_Import_Export!$F$215+GREET1_Import_Export!$F240)+BM$85*(BM$71*(X$57*GREET1_Import_Export!$B75+X$58*GREET1_Import_Export!$C75+X$59*GREET1_Import_Export!$G75+X$61*'GREET2_Factors_T&amp;D'!$F18+X$62*'GREET2_Factors_T&amp;D'!$G18)+GREET1_Import_Export!$B240)+BM$86*(BM$71*(X$64*GREET1_Import_Export!$AA75+X$65*GREET1_Import_Export!$AB75)+GREET1_Import_Export!$C293)+BM$87*SUM(GREET1_Import_Export!$D318:$E318)</f>
        <v>1.1580805238013885</v>
      </c>
      <c r="BN110" s="489"/>
      <c r="BO110" s="478"/>
      <c r="BP110" s="233">
        <f>BP$81*(BP$71*Z$50*GREET1_Import_Export!$K75+GREET1_Import_Export!$B204*GREET1_Import_Export!$F$179+GREET1_Import_Export!$F204)+BP$82*(BP$71*(Z$52*GREET1_Import_Export!$Q75+Z$53*GREET1_Import_Export!$O75+Z$54*GREET1_Import_Export!$M75)+GREET1_Import_Export!$B204*GREET1_Import_Export!$G$179+GREET1_Import_Export!$G204)+BP$83*(BP$71*Z$55*GREET1_Import_Export!$T75+GREET1_Import_Export!$B204*GREET1_Import_Export!$C$179+GREET1_Import_Export!$C204)+BP$84*(BP$71*Z$56*GREET1_Import_Export!$W75+GREET1_Import_Export!$E240*GREET1_Import_Export!$F$215+GREET1_Import_Export!$F240)+BP$85*(BP$71*(Z$57*GREET1_Import_Export!$B75+Z$58*GREET1_Import_Export!$C75+Z$59*GREET1_Import_Export!$G75+Z$61*'GREET2_Factors_T&amp;D'!$F18+Z$62*'GREET2_Factors_T&amp;D'!$G18)+GREET1_Import_Export!$B240)+BP$86*(BP$71*(Z$64*GREET1_Import_Export!$AA75+Z$65*GREET1_Import_Export!$AB75)+GREET1_Import_Export!$C293)+BP$87*SUM(GREET1_Import_Export!$D318:$E318)</f>
        <v>0</v>
      </c>
      <c r="BQ110" s="1"/>
      <c r="BR110" s="235"/>
      <c r="BS110" s="1076">
        <f>BS$81*(BS$71*AA$50*GREET1_Import_Export!$K75+GREET1_Import_Export!$B204*GREET1_Import_Export!$F$179+GREET1_Import_Export!$F204)+BS$82*(BS$71*(AA$52*GREET1_Import_Export!$Q75+AA$53*GREET1_Import_Export!$O75+AA$54*GREET1_Import_Export!$M75)+GREET1_Import_Export!$B204*GREET1_Import_Export!$G$179+GREET1_Import_Export!$G204)+BS$83*(BS$71*AA$55*GREET1_Import_Export!$T75+GREET1_Import_Export!$B204*GREET1_Import_Export!$C$179+GREET1_Import_Export!$C204)+BS$84*(BS$71*AA$56*GREET1_Import_Export!$W75+GREET1_Import_Export!$E240*GREET1_Import_Export!$F$215+GREET1_Import_Export!$F240)+BS$85*(BS$71*(AA$57*GREET1_Import_Export!$B75+AA$58*GREET1_Import_Export!$C75+AA$59*GREET1_Import_Export!$G75+AA$61*'GREET2_Factors_T&amp;D'!$F18+AA$62*'GREET2_Factors_T&amp;D'!$G18)+GREET1_Import_Export!$B240)+BS$86*(BS$71*(AA$64*GREET1_Import_Export!$AA75+AA$65*GREET1_Import_Export!$AB75)+GREET1_Import_Export!$C293)+BS$87*(GREET1_Import_Export!$D318+GREET1_Import_Export!$E318)</f>
        <v>0.63596819230199819</v>
      </c>
      <c r="BT110" s="350"/>
      <c r="BU110" s="1082"/>
      <c r="BV110" s="1076">
        <f>BV$81*(BV$71*AB$50*GREET1_Import_Export!$K75+GREET1_Import_Export!$B204*GREET1_Import_Export!$F$179+GREET1_Import_Export!$F204)+BV$82*(BV$71*(AB$52*GREET1_Import_Export!$Q75+AB$53*GREET1_Import_Export!$O75+AB$54*GREET1_Import_Export!$M75)+GREET1_Import_Export!$B204*GREET1_Import_Export!$G$179+GREET1_Import_Export!$G204)+BV$83*(BV$71*AB$55*GREET1_Import_Export!$T75+GREET1_Import_Export!$B204*GREET1_Import_Export!$C$179+GREET1_Import_Export!$C204)+BV$84*(BV$71*AB$56*GREET1_Import_Export!$W75+GREET1_Import_Export!$E240*GREET1_Import_Export!$F$215+GREET1_Import_Export!$F240)+BV$85*(BV$71*(AB$57*GREET1_Import_Export!$B75+AB$58*GREET1_Import_Export!$C75+AB$59*GREET1_Import_Export!$G75+AB$61*'GREET2_Factors_T&amp;D'!$F18+AB$62*'GREET2_Factors_T&amp;D'!$G18)+GREET1_Import_Export!$B240)+BV$86*(BV$71*(AB$64*GREET1_Import_Export!$AA75+AB$65*GREET1_Import_Export!$AB75)+GREET1_Import_Export!$C293)+BV$87*(GREET1_Import_Export!$D318+GREET1_Import_Export!$E318)</f>
        <v>0</v>
      </c>
      <c r="BW110" s="350"/>
      <c r="BX110" s="1082"/>
      <c r="BY110" s="1076">
        <f>BY$81*(BY$71*AC$50*GREET1_Import_Export!$K75+GREET1_Import_Export!$B204*GREET1_Import_Export!$F$179+GREET1_Import_Export!$F204)+BY$82*(BY$71*(AC$52*GREET1_Import_Export!$Q75+AC$53*GREET1_Import_Export!$O75+AC$54*GREET1_Import_Export!$M75)+GREET1_Import_Export!$B204*GREET1_Import_Export!$G$179+GREET1_Import_Export!$G204)+BY$83*(BY$71*AC$55*GREET1_Import_Export!$T75+GREET1_Import_Export!$B204*GREET1_Import_Export!$C$179+GREET1_Import_Export!$C204)+BY$84*(BY$71*AC$56*GREET1_Import_Export!$W75+GREET1_Import_Export!$E240*GREET1_Import_Export!$F$215+GREET1_Import_Export!$F240)+BY$85*(BY$71*(AC$57*GREET1_Import_Export!$B75+AC$58*GREET1_Import_Export!$C75+AC$59*GREET1_Import_Export!$G75+AC$61*'GREET2_Factors_T&amp;D'!$F18+AC$62*'GREET2_Factors_T&amp;D'!$G18)+GREET1_Import_Export!$B240)+BY$86*(BY$71*(AC$64*GREET1_Import_Export!$AA75+AC$65*GREET1_Import_Export!$AB75)+GREET1_Import_Export!$C293)+BY$87*(GREET1_Import_Export!$D318+GREET1_Import_Export!$E318)</f>
        <v>0.56429780675102181</v>
      </c>
      <c r="BZ110" s="350"/>
      <c r="CA110" s="1082"/>
      <c r="CB110" s="1076">
        <f>CB$81*(CB$71*AD$50*GREET1_Import_Export!$K75+GREET1_Import_Export!$B204*GREET1_Import_Export!$F$179+GREET1_Import_Export!$F204)+CB$82*(CB$71*(AD$52*GREET1_Import_Export!$Q75+AD$53*GREET1_Import_Export!$O75+AD$54*GREET1_Import_Export!$M75)+GREET1_Import_Export!$B204*GREET1_Import_Export!$G$179+GREET1_Import_Export!$G204)+CB$83*(CB$71*AD$55*GREET1_Import_Export!$T75+GREET1_Import_Export!$B204*GREET1_Import_Export!$C$179+GREET1_Import_Export!$C204)+CB$84*(CB$71*AD$56*GREET1_Import_Export!$W75+GREET1_Import_Export!$E240*GREET1_Import_Export!$F$215+GREET1_Import_Export!$F240)+CB$85*(CB$71*(AD$57*GREET1_Import_Export!$B75+AD$58*GREET1_Import_Export!$C75+AD$59*GREET1_Import_Export!$G75+AD$61*'GREET2_Factors_T&amp;D'!$F18+AD$62*'GREET2_Factors_T&amp;D'!$G18)+GREET1_Import_Export!$B240)+CB$86*(CB$71*(AD$64*GREET1_Import_Export!$AA75+AD$65*GREET1_Import_Export!$AB75)+GREET1_Import_Export!$C293)+CB$87*(GREET1_Import_Export!$D318+GREET1_Import_Export!$E318)</f>
        <v>62.999696336771713</v>
      </c>
      <c r="CC110" s="350"/>
      <c r="CD110" s="1082"/>
      <c r="CE110" s="749">
        <f>CE$81*(CE$71*($AE$50*GREET1_Import_Export!$K75)+GREET1_Import_Export!$F$200*GREET1_Import_Export!$B204+GREET1_Import_Export!$F204)+CE$82*(CE$71*(GREET1_Import_Export!$R75)+GREET1_Import_Export!$H$200*GREET1_Import_Export!$B204+GREET1_Import_Export!$H204)+CE$83*(CE$71*(GREET1_Import_Export!$T75)+GREET1_Import_Export!$C$200*GREET1_Import_Export!$B204+GREET1_Import_Export!$C204)+CE$84*(CE$71*(GREET1_Import_Export!$X75)+GREET1_Import_Export!$B$10*(GREET1_Import_Export!$F$215*GREET1_Import_Export!$B240+GREET1_Import_Export!$F240)+GREET1_Import_Export!$C$10*(GREET1_Import_Export!$E$200*GREET1_Import_Export!$B204+GREET1_Import_Export!$E204))+CE$85*(CE$71*($AE$57*GREET1_Import_Export!$B75)+GREET1_Import_Export!$B240)+CE$86*(CE$71*($AE$64*GREET1_Import_Export!$AA75)+GREET1_Import_Export!$C293)+CE$87*(GREET1_Import_Export!$D318+GREET1_Import_Export!$E318)</f>
        <v>0</v>
      </c>
      <c r="CF110" s="1096"/>
      <c r="CG110" s="1321"/>
      <c r="CH110" s="1321"/>
      <c r="CI110" s="1321"/>
      <c r="CJ110" s="1321"/>
      <c r="CK110" s="1321"/>
      <c r="CL110" s="1321"/>
      <c r="CM110" s="1321"/>
      <c r="CN110" s="1321"/>
      <c r="CO110" s="1321"/>
      <c r="CP110" s="1321"/>
      <c r="CQ110" s="1321"/>
      <c r="CR110" s="1321"/>
      <c r="CS110" s="1321"/>
      <c r="CT110" s="1321"/>
      <c r="CU110" s="1321"/>
      <c r="CV110" s="1321"/>
      <c r="CW110" s="1321"/>
      <c r="CX110" s="1321"/>
      <c r="CY110" s="1321"/>
      <c r="CZ110" s="1321"/>
      <c r="DA110" s="1321"/>
      <c r="DB110" s="1321"/>
      <c r="DC110" s="1321"/>
      <c r="DD110" s="1321"/>
      <c r="DE110" s="1321"/>
      <c r="DF110" s="1321"/>
      <c r="DG110" s="1321"/>
      <c r="DH110" s="1321"/>
      <c r="DI110" s="1321"/>
      <c r="DJ110" s="1321"/>
      <c r="DK110" s="1321"/>
      <c r="DL110" s="1321"/>
      <c r="DM110" s="1321"/>
      <c r="DN110" s="1321"/>
      <c r="DO110" s="1321"/>
      <c r="DP110" s="1321"/>
      <c r="DQ110" s="1321"/>
      <c r="DR110" s="1321"/>
      <c r="DS110" s="1321"/>
      <c r="DT110" s="1321"/>
      <c r="DU110" s="1321"/>
      <c r="DV110" s="1321"/>
      <c r="DW110" s="1321"/>
      <c r="DX110" s="1321"/>
      <c r="DY110" s="1321"/>
      <c r="DZ110" s="1321"/>
      <c r="EA110" s="1321"/>
      <c r="EB110" s="1321"/>
      <c r="EC110" s="1321"/>
      <c r="ED110" s="1321"/>
      <c r="EE110" s="1321"/>
      <c r="EF110" s="1321"/>
      <c r="EG110" s="1321"/>
      <c r="EH110" s="1321"/>
      <c r="EI110" s="1321"/>
      <c r="EJ110" s="1321"/>
      <c r="EK110" s="1321"/>
      <c r="EL110" s="1321"/>
      <c r="EM110" s="1321"/>
      <c r="EN110" s="1321"/>
      <c r="EO110" s="1321"/>
      <c r="EP110" s="1321"/>
      <c r="EQ110" s="1321"/>
      <c r="ER110" s="1321"/>
      <c r="ES110" s="1321"/>
      <c r="ET110" s="1321"/>
      <c r="EU110" s="1321"/>
      <c r="EV110" s="1321"/>
      <c r="EW110" s="1321"/>
      <c r="EX110" s="1321"/>
      <c r="EY110" s="1321"/>
      <c r="EZ110" s="1321"/>
      <c r="FA110" s="1321"/>
      <c r="FB110" s="1321"/>
    </row>
    <row r="111" spans="1:158">
      <c r="A111" s="291" t="s">
        <v>825</v>
      </c>
      <c r="B111" s="233">
        <f>B$81*(B$71*B$50*GREET1_Import_Export!$K76+GREET1_Import_Export!$B205*GREET1_Import_Export!$F$179+GREET1_Import_Export!$F205)+B$82*(B$71*(B$52*GREET1_Import_Export!$Q76+B$53*GREET1_Import_Export!$O76+B$54*GREET1_Import_Export!$M76)+GREET1_Import_Export!$B205*GREET1_Import_Export!$G$179+GREET1_Import_Export!$G205)+B$83*(B$71*B$55*GREET1_Import_Export!$T76+GREET1_Import_Export!$B205*GREET1_Import_Export!$C$179+GREET1_Import_Export!$C205)+B$84*(B$71*B$56*GREET1_Import_Export!$W76+GREET1_Import_Export!$E241*GREET1_Import_Export!$F$215+GREET1_Import_Export!$F241)+B$85*(B$71*(B$57*GREET1_Import_Export!$B76+B$58*GREET1_Import_Export!$C76+B$59*GREET1_Import_Export!$G76+B$61*'GREET2_Factors_T&amp;D'!$F19+B$62*'GREET2_Factors_T&amp;D'!$G19)+GREET1_Import_Export!$B241)+B$86*(B$71*(B$64*GREET1_Import_Export!$AA76+B$65*GREET1_Import_Export!$AB76)+GREET1_Import_Export!$C294)+B$87*SUM(GREET1_Import_Export!$D319:$E319)</f>
        <v>0</v>
      </c>
      <c r="C111" s="1"/>
      <c r="D111" s="235"/>
      <c r="E111" s="233">
        <f>E$81*(E$71*C$50*GREET1_Import_Export!$K76+GREET1_Import_Export!$B205*GREET1_Import_Export!$F$179+GREET1_Import_Export!$F205)+E$82*(E$71*(C$52*GREET1_Import_Export!$Q76+C$53*GREET1_Import_Export!$O76+C$54*GREET1_Import_Export!$M76)+GREET1_Import_Export!$B205*GREET1_Import_Export!$G$179+GREET1_Import_Export!$G205)+E$83*(E$71*C$55*GREET1_Import_Export!$T76+GREET1_Import_Export!$B205*GREET1_Import_Export!$C$179+GREET1_Import_Export!$C205)+E$84*(E$71*C$56*GREET1_Import_Export!$W76+GREET1_Import_Export!$E241*GREET1_Import_Export!$F$215+GREET1_Import_Export!$F241)+E$85*(E$71*(C$57*GREET1_Import_Export!$B76+C$58*GREET1_Import_Export!$C76+C$59*GREET1_Import_Export!$G76+C$61*'GREET2_Factors_T&amp;D'!$F19+C$62*'GREET2_Factors_T&amp;D'!$G19)+GREET1_Import_Export!$B241)+E$86*(E$71*(C$64*GREET1_Import_Export!$AA76+C$65*GREET1_Import_Export!$AB76)+GREET1_Import_Export!$C294)+E$87*SUM(GREET1_Import_Export!$D319:$E319)</f>
        <v>0</v>
      </c>
      <c r="F111" s="1"/>
      <c r="G111" s="235"/>
      <c r="H111" s="233">
        <f>H$81*(H$71*D$50*GREET1_Import_Export!$K76+GREET1_Import_Export!$B205*GREET1_Import_Export!$F$179+GREET1_Import_Export!$F205)+H$82*(H$71*(D$52*GREET1_Import_Export!$Q76+D$53*GREET1_Import_Export!$O76+D$54*GREET1_Import_Export!$M76)+GREET1_Import_Export!$B205*GREET1_Import_Export!$G$179+GREET1_Import_Export!$G205)+H$83*(H$71*D$55*GREET1_Import_Export!$T76+GREET1_Import_Export!$B205*GREET1_Import_Export!$C$179+GREET1_Import_Export!$C205)+H$84*(H$71*D$56*GREET1_Import_Export!$W76+GREET1_Import_Export!$E241*GREET1_Import_Export!$F$215+GREET1_Import_Export!$F241)+H$85*(H$71*(D$57*GREET1_Import_Export!$B76+D$58*GREET1_Import_Export!$C76+D$59*GREET1_Import_Export!$G76+D$61*'GREET2_Factors_T&amp;D'!$F19+D$62*'GREET2_Factors_T&amp;D'!$G19)+GREET1_Import_Export!$B241)+H$86*(H$71*(D$64*GREET1_Import_Export!$AA76+D$65*GREET1_Import_Export!$AB76)+GREET1_Import_Export!$C294)+H$87*SUM(GREET1_Import_Export!$D319:$E319)</f>
        <v>0.52122010521591633</v>
      </c>
      <c r="I111" s="1"/>
      <c r="J111" s="235"/>
      <c r="K111" s="233">
        <f>K$81*(K$71*E$50*GREET1_Import_Export!$K76+GREET1_Import_Export!$B205*GREET1_Import_Export!$F$179+GREET1_Import_Export!$F205)+K$82*(K$71*(E$52*GREET1_Import_Export!$Q76+E$53*GREET1_Import_Export!$O76+E$54*GREET1_Import_Export!$M76)+GREET1_Import_Export!$B205*GREET1_Import_Export!$G$179+GREET1_Import_Export!$G205)+K$83*(K$71*E$55*GREET1_Import_Export!$T76+GREET1_Import_Export!$B205*GREET1_Import_Export!$C$179+GREET1_Import_Export!$C205)+K$84*(K$71*E$56*GREET1_Import_Export!$W76+GREET1_Import_Export!$E241*GREET1_Import_Export!$F$215+GREET1_Import_Export!$F241)+K$85*(K$71*(E$57*GREET1_Import_Export!$B76+E$58*GREET1_Import_Export!$C76+E$59*GREET1_Import_Export!$G76+E$61*'GREET2_Factors_T&amp;D'!$F19+E$62*'GREET2_Factors_T&amp;D'!$G19)+GREET1_Import_Export!$B241)+K$86*(K$71*(E$64*GREET1_Import_Export!$AA76+E$65*GREET1_Import_Export!$AB76)+GREET1_Import_Export!$C294)+K$87*SUM(GREET1_Import_Export!$D319:$E319)</f>
        <v>48.472835050733877</v>
      </c>
      <c r="L111" s="1"/>
      <c r="M111" s="235"/>
      <c r="N111" s="233">
        <f>N$81*(N$71*F$50*GREET1_Import_Export!$K76+GREET1_Import_Export!$B205*GREET1_Import_Export!$F$179+GREET1_Import_Export!$F205)+N$82*(N$71*(F$52*GREET1_Import_Export!$Q76+F$53*GREET1_Import_Export!$O76+F$54*GREET1_Import_Export!$M76)+GREET1_Import_Export!$B205*GREET1_Import_Export!$G$179+GREET1_Import_Export!$G205)+N$83*(N$71*F$55*GREET1_Import_Export!$T76+GREET1_Import_Export!$B205*GREET1_Import_Export!$C$179+GREET1_Import_Export!$C205)+N$84*(N$71*F$56*GREET1_Import_Export!$W76+GREET1_Import_Export!$E241*GREET1_Import_Export!$F$215+GREET1_Import_Export!$F241)+N$85*(N$71*(F$57*GREET1_Import_Export!$B76+F$58*GREET1_Import_Export!$C76+F$59*GREET1_Import_Export!$G76+F$61*'GREET2_Factors_T&amp;D'!$F19+F$62*'GREET2_Factors_T&amp;D'!$G19)+GREET1_Import_Export!$B241)+N$86*(N$71*(F$64*GREET1_Import_Export!$AA76+F$65*GREET1_Import_Export!$AB76)+GREET1_Import_Export!$C294)+N$87*SUM(GREET1_Import_Export!$D319:$E319)</f>
        <v>0.52122010521591633</v>
      </c>
      <c r="O111" s="1"/>
      <c r="P111" s="235"/>
      <c r="Q111" s="581">
        <f>Q$81*(Q$71*G$50*GREET1_Import_Export!$K76+GREET1_Import_Export!$B205*GREET1_Import_Export!$F$179+GREET1_Import_Export!$F205)+Q$82*(Q$71*(G$52*GREET1_Import_Export!$Q76+G$53*GREET1_Import_Export!$O76+G$54*GREET1_Import_Export!$M76)+GREET1_Import_Export!$B205*GREET1_Import_Export!$G$179+GREET1_Import_Export!$G205)+Q$83*(Q$71*G$55*GREET1_Import_Export!$T76+GREET1_Import_Export!$B205*GREET1_Import_Export!$C$179+GREET1_Import_Export!$C205)+Q$84*(Q$71*G$56*GREET1_Import_Export!$W76+GREET1_Import_Export!$E241*GREET1_Import_Export!$F$215+GREET1_Import_Export!$F241)+Q$85*(Q$71*(G$57*GREET1_Import_Export!$B76+G$58*GREET1_Import_Export!$C76+G$59*GREET1_Import_Export!$G76+G$61*'GREET2_Factors_T&amp;D'!$F19+G$62*'GREET2_Factors_T&amp;D'!$G19)+GREET1_Import_Export!$B241)+Q$86*(Q$71*(G$64*GREET1_Import_Export!$AA76+G$65*GREET1_Import_Export!$AB76)+GREET1_Import_Export!$C294)
+Q$87*($B$46*(GREET1_Import_Export!$D319+GREET1_Import_Export!E319)+$C$46*GREET1_Import_Export!L367+$D$46*GREET1_Import_Export!H367+$E$46*GREET1_Import_Export!Q367+$F$46*GREET1_Import_Export!R367+SUMPRODUCT($G$46:$I$46,GREET1_Import_Export!N367:P367))</f>
        <v>48.472835050733877</v>
      </c>
      <c r="R111" s="1"/>
      <c r="S111" s="235"/>
      <c r="T111" s="581">
        <f>T$81*(T$71*BZ$50*GREET1_Import_Export!$K76+GREET1_Import_Export!$B205*GREET1_Import_Export!$F$179+GREET1_Import_Export!$F205)+T$82*(T$71*(BZ$52*GREET1_Import_Export!$Q76+BZ$53*GREET1_Import_Export!$O76+BZ$54*GREET1_Import_Export!$M76)+GREET1_Import_Export!$B205*GREET1_Import_Export!$G$179+GREET1_Import_Export!$G205)+T$83*(T$71*BZ$55*GREET1_Import_Export!$T76+GREET1_Import_Export!$B205*GREET1_Import_Export!$C$179+GREET1_Import_Export!$C205)+T$84*(T$71*BZ$56*GREET1_Import_Export!$W76+GREET1_Import_Export!$E241*GREET1_Import_Export!$F$215+GREET1_Import_Export!$F241)+T$85*(T$71*(BZ$57*GREET1_Import_Export!$B76+BZ$58*GREET1_Import_Export!$C76+BZ$59*GREET1_Import_Export!$G76+BZ$61*'GREET2_Factors_T&amp;D'!$F19+BZ$62*'GREET2_Factors_T&amp;D'!$G19)+GREET1_Import_Export!$B241)+T$86*(T$71*(BZ$64*GREET1_Import_Export!$AA76+BZ$65*GREET1_Import_Export!$AB76)+GREET1_Import_Export!$C294)+T$87*SUM(GREET1_Import_Export!$D319:$E319)</f>
        <v>0.52122010521591633</v>
      </c>
      <c r="U111" s="1"/>
      <c r="V111" s="235"/>
      <c r="W111" s="581">
        <f>W$81*(W$71*I$50*GREET1_Import_Export!$K76+GREET1_Import_Export!$B205*GREET1_Import_Export!$F$179+GREET1_Import_Export!$F205)+W$82*(W$71*(I$52*GREET1_Import_Export!$Q76+I$53*GREET1_Import_Export!$O76+I$54*GREET1_Import_Export!$M76)+GREET1_Import_Export!$B205*GREET1_Import_Export!$G$179+GREET1_Import_Export!$G205)+W$83*(W$71*I$55*GREET1_Import_Export!$T76+GREET1_Import_Export!$B205*GREET1_Import_Export!$C$179+GREET1_Import_Export!$C205)+W$84*(W$71*I$56*GREET1_Import_Export!$W76+GREET1_Import_Export!$E241*GREET1_Import_Export!$F$215+GREET1_Import_Export!$F241)+W$85*(W$71*(I$57*GREET1_Import_Export!$B76+I$58*GREET1_Import_Export!$C76+I$59*GREET1_Import_Export!$G76+I$61*'GREET2_Factors_T&amp;D'!$F19+I$62*'GREET2_Factors_T&amp;D'!$G19)+GREET1_Import_Export!$B241)+W$86*(W$71*(I$64*GREET1_Import_Export!$AA76+I$65*GREET1_Import_Export!$AB76)+GREET1_Import_Export!$C294)+W$87*($B$46*(GREET1_Import_Export!$D319+GREET1_Import_Export!E319)+$C$46*GREET1_Import_Export!L367+$D$46*GREET1_Import_Export!H367+$E$46*GREET1_Import_Export!Q367+$F$46*GREET1_Import_Export!R367+SUMPRODUCT($G$46:$I$46,GREET1_Import_Export!N367:P367))</f>
        <v>48.472835050733877</v>
      </c>
      <c r="X111" s="1"/>
      <c r="Y111" s="235"/>
      <c r="Z111" s="233">
        <f>Z$81*(Z$71*J$50*GREET1_Import_Export!$K76+GREET1_Import_Export!$B205*GREET1_Import_Export!$F$179+GREET1_Import_Export!$F205)+Z$82*(Z$71*(J$52*GREET1_Import_Export!$Q76+J$53*GREET1_Import_Export!$O76+J$54*GREET1_Import_Export!$M76)+GREET1_Import_Export!$B205*GREET1_Import_Export!$G$179+GREET1_Import_Export!$G205)+Z$83*(Z$71*J$55*GREET1_Import_Export!$T76+GREET1_Import_Export!$B205*GREET1_Import_Export!$C$179+GREET1_Import_Export!$C205)+Z$84*(Z$71*J$56*GREET1_Import_Export!$W76+GREET1_Import_Export!$E241*GREET1_Import_Export!$F$215+GREET1_Import_Export!$F241)+Z$85*(Z$71*(J$57*GREET1_Import_Export!$B76+J$58*GREET1_Import_Export!$C76+J$59*GREET1_Import_Export!$G76+J$61*'GREET2_Factors_T&amp;D'!$F19+J$62*'GREET2_Factors_T&amp;D'!$G19)+GREET1_Import_Export!$B241)+Z$86*(Z$71*(J$64*GREET1_Import_Export!$AA76+J$65*GREET1_Import_Export!$AB76)+GREET1_Import_Export!$C294)+Z$87*SUM(GREET1_Import_Export!$D319:$E319)</f>
        <v>0.52122010521591633</v>
      </c>
      <c r="AA111" s="1"/>
      <c r="AB111" s="235"/>
      <c r="AC111" s="581">
        <f>AC$81*(AC$71*K$50*GREET1_Import_Export!$K76+GREET1_Import_Export!$B205*GREET1_Import_Export!$F$179+GREET1_Import_Export!$F205)+AC$82*(AC$71*(K$52*GREET1_Import_Export!$Q76+K$53*GREET1_Import_Export!$O76+K$54*GREET1_Import_Export!$M76)+GREET1_Import_Export!$B205*GREET1_Import_Export!$G$179+GREET1_Import_Export!$G205)+AC$83*(AC$71*K$55*GREET1_Import_Export!$T76+GREET1_Import_Export!$B205*GREET1_Import_Export!$C$179+GREET1_Import_Export!$C205)+AC$84*(AC$71*K$56*GREET1_Import_Export!$W76+GREET1_Import_Export!$E241*GREET1_Import_Export!$F$215+GREET1_Import_Export!$F241)+AC$85*(AC$71*(K$57*GREET1_Import_Export!$B76+K$58*GREET1_Import_Export!$C76+K$59*GREET1_Import_Export!$G76+K$61*'GREET2_Factors_T&amp;D'!$F19+K$62*'GREET2_Factors_T&amp;D'!$G19)+GREET1_Import_Export!$B241)+AC$86*(AC$71*(K$64*GREET1_Import_Export!$AA76+K$65*GREET1_Import_Export!$AB76)+GREET1_Import_Export!$C294)+AC$87*($B$46*(GREET1_Import_Export!$D319+GREET1_Import_Export!E319)+$C$46*GREET1_Import_Export!L367+$D$46*GREET1_Import_Export!H367+$E$46*GREET1_Import_Export!Q367+$F$46*GREET1_Import_Export!R367+SUMPRODUCT($G$46:$I$46,GREET1_Import_Export!N367:P367))</f>
        <v>48.472835050733877</v>
      </c>
      <c r="AD111" s="1"/>
      <c r="AE111" s="235"/>
      <c r="AF111" s="233">
        <f>AF$81*(AF$71*L$50*GREET1_Import_Export!$K76+GREET1_Import_Export!$B205*GREET1_Import_Export!$F$179+GREET1_Import_Export!$F205)+AF$82*(AF$71*(L$52*GREET1_Import_Export!$Q76+L$53*GREET1_Import_Export!$O76+L$54*GREET1_Import_Export!$M76)+GREET1_Import_Export!$B205*GREET1_Import_Export!$G$179+GREET1_Import_Export!$G205)+AF$83*(AF$71*L$55*GREET1_Import_Export!$T76+GREET1_Import_Export!$B205*GREET1_Import_Export!$C$179+GREET1_Import_Export!$C205)+AF$84*(AF$71*L$56*GREET1_Import_Export!$W76+GREET1_Import_Export!$E241*GREET1_Import_Export!$F$215+GREET1_Import_Export!$F241)+AF$85*(AF$71*(L$57*GREET1_Import_Export!$B76+L$58*GREET1_Import_Export!$C76+L$59*GREET1_Import_Export!$G76+L$61*'GREET2_Factors_T&amp;D'!$F19+L$62*'GREET2_Factors_T&amp;D'!$G19)+GREET1_Import_Export!$B241)+AF$86*(AF$71*(L$64*GREET1_Import_Export!$AA76+L$65*GREET1_Import_Export!$AB76)+GREET1_Import_Export!$C294)+AF$87*SUM(GREET1_Import_Export!$D319:$E319)</f>
        <v>0.52122010521591633</v>
      </c>
      <c r="AG111" s="489"/>
      <c r="AH111" s="478"/>
      <c r="AI111" s="581">
        <f>AI$81*(AI$71*M$50*GREET1_Import_Export!$K76+GREET1_Import_Export!$B205*GREET1_Import_Export!$F$179+GREET1_Import_Export!$F205)+AI$82*(AI$71*(M$52*GREET1_Import_Export!$Q76+M$53*GREET1_Import_Export!$O76+M$54*GREET1_Import_Export!$M76)+GREET1_Import_Export!$B205*GREET1_Import_Export!$G$179+GREET1_Import_Export!$G205)+AI$83*(AI$71*M$55*GREET1_Import_Export!$T76+GREET1_Import_Export!$B205*GREET1_Import_Export!$C$179+GREET1_Import_Export!$C205)+AI$84*(AI$71*M$56*GREET1_Import_Export!$W76+GREET1_Import_Export!$E241*GREET1_Import_Export!$F$215+GREET1_Import_Export!$F241)+AI$85*(AI$71*(M$57*GREET1_Import_Export!$B76+M$58*GREET1_Import_Export!$C76+M$59*GREET1_Import_Export!$G76+M$61*'GREET2_Factors_T&amp;D'!$F19+M$62*'GREET2_Factors_T&amp;D'!$G19)+GREET1_Import_Export!$B241)+AI$86*(AI$71*(M$64*GREET1_Import_Export!$AA76+M$65*GREET1_Import_Export!$AB76)+GREET1_Import_Export!$C294)+AI$87*($B$46*(GREET1_Import_Export!$D319+GREET1_Import_Export!E319)+$C$46*GREET1_Import_Export!L367+$D$46*GREET1_Import_Export!H367+$E$46*GREET1_Import_Export!Q367+$F$46*GREET1_Import_Export!R367+SUMPRODUCT($G$46:$I$46,GREET1_Import_Export!N367:P367))</f>
        <v>55.397525772267251</v>
      </c>
      <c r="AJ111" s="1"/>
      <c r="AK111" s="235"/>
      <c r="AL111" s="233">
        <f>AL$81*(AL$71*N$50*GREET1_Import_Export!$K76+GREET1_Import_Export!$B205*GREET1_Import_Export!$F$179+GREET1_Import_Export!$F205)+AL$82*(AL$71*(N$52*GREET1_Import_Export!$Q76+N$53*GREET1_Import_Export!$O76+N$54*GREET1_Import_Export!$M76)+GREET1_Import_Export!$B205*GREET1_Import_Export!$G$179+GREET1_Import_Export!$G205)+AL$83*(AL$71*N$55*GREET1_Import_Export!$T76+GREET1_Import_Export!$B205*GREET1_Import_Export!$C$179+GREET1_Import_Export!$C205)+AL$84*(AL$71*N$56*GREET1_Import_Export!$W76+GREET1_Import_Export!$E241*GREET1_Import_Export!$F$215+GREET1_Import_Export!$F241)+AL$85*(AL$71*(N$57*GREET1_Import_Export!$B76+N$58*GREET1_Import_Export!$C76+N$59*GREET1_Import_Export!$G76+N$61*'GREET2_Factors_T&amp;D'!$F19+N$62*'GREET2_Factors_T&amp;D'!$G19)+GREET1_Import_Export!$B241)+AL$86*(AL$71*(N$64*GREET1_Import_Export!$AA76+N$65*GREET1_Import_Export!$AB76)+GREET1_Import_Export!$C294)+AL$87*SUM(GREET1_Import_Export!$D319:$E319)</f>
        <v>1.8069585462538191</v>
      </c>
      <c r="AM111" s="1"/>
      <c r="AN111" s="235"/>
      <c r="AO111" s="233">
        <f>AO$81*(AO$71*O$50*GREET1_Import_Export!$K76+GREET1_Import_Export!$B205*GREET1_Import_Export!$F$179+GREET1_Import_Export!$F205)+AO$82*(AO$71*(O$52*GREET1_Import_Export!$Q76+O$53*GREET1_Import_Export!$O76+O$54*GREET1_Import_Export!$M76)+GREET1_Import_Export!$B205*GREET1_Import_Export!$G$179+GREET1_Import_Export!$G205)+AO$83*(AO$71*O$55*GREET1_Import_Export!$T76+GREET1_Import_Export!$B205*GREET1_Import_Export!$C$179+GREET1_Import_Export!$C205)+AO$84*(AO$71*O$56*GREET1_Import_Export!$W76+GREET1_Import_Export!$E241*GREET1_Import_Export!$F$215+GREET1_Import_Export!$F241)+AO$85*(AO$71*(O$57*GREET1_Import_Export!$B76+O$58*GREET1_Import_Export!$C76+O$59*GREET1_Import_Export!$G76+O$61*'GREET2_Factors_T&amp;D'!$F19+O$62*'GREET2_Factors_T&amp;D'!$G19)+GREET1_Import_Export!$B241)+AO$86*(AO$71*(O$64*GREET1_Import_Export!$AA76+O$65*GREET1_Import_Export!$AB76)+GREET1_Import_Export!$C294)+AO$87*SUM(GREET1_Import_Export!$D319:$E319)</f>
        <v>52.463765136577649</v>
      </c>
      <c r="AP111" s="1"/>
      <c r="AQ111" s="235"/>
      <c r="AR111" s="233">
        <f>AR$81*(AR$71*P$50*GREET1_Import_Export!$K76+GREET1_Import_Export!$B205*GREET1_Import_Export!$F$179+GREET1_Import_Export!$F205)+AR$82*(AR$71*(P$52*GREET1_Import_Export!$Q76+P$53*GREET1_Import_Export!$O76+P$54*GREET1_Import_Export!$M76)+GREET1_Import_Export!$B205*GREET1_Import_Export!$G$179+GREET1_Import_Export!$G205)+AR$83*(AR$71*P$55*GREET1_Import_Export!$T76+GREET1_Import_Export!$B205*GREET1_Import_Export!$C$179+GREET1_Import_Export!$C205)+AR$84*(AR$71*P$56*GREET1_Import_Export!$W76+GREET1_Import_Export!$E241*GREET1_Import_Export!$F$215+GREET1_Import_Export!$F241)+AR$85*(AR$71*(P$57*GREET1_Import_Export!$B76+P$58*GREET1_Import_Export!$C76+P$59*GREET1_Import_Export!$G76+P$61*'GREET2_Factors_T&amp;D'!$F19+P$62*'GREET2_Factors_T&amp;D'!$G19)+GREET1_Import_Export!$B241)+AR$86*(AR$71*(P$64*GREET1_Import_Export!$AA76+P$65*GREET1_Import_Export!$AB76)+GREET1_Import_Export!$C294)+AR$87*SUM(GREET1_Import_Export!$D319:$E319)</f>
        <v>0.42408484422325365</v>
      </c>
      <c r="AS111" s="1"/>
      <c r="AT111" s="235"/>
      <c r="AU111" s="233">
        <f>AU$81*(AU$71*Q$50*GREET1_Import_Export!$K76+GREET1_Import_Export!$B205*GREET1_Import_Export!$F$179+GREET1_Import_Export!$F205)+AU$82*(AU$71*(Q$52*GREET1_Import_Export!$Q76+Q$53*GREET1_Import_Export!$O76+Q$54*GREET1_Import_Export!$M76)+GREET1_Import_Export!$B205*GREET1_Import_Export!$G$179+GREET1_Import_Export!$G205)+AU$83*(AU$71*Q$55*GREET1_Import_Export!$T76+GREET1_Import_Export!$B205*GREET1_Import_Export!$C$179+GREET1_Import_Export!$C205)+AU$84*(AU$71*Q$56*GREET1_Import_Export!$W76+GREET1_Import_Export!$E241*GREET1_Import_Export!$F$215+GREET1_Import_Export!$F241)+AU$85*(AU$71*(Q$57*GREET1_Import_Export!$B76+Q$58*GREET1_Import_Export!$C76+Q$59*GREET1_Import_Export!$G76+Q$61*'GREET2_Factors_T&amp;D'!$F19+Q$62*'GREET2_Factors_T&amp;D'!$G19)+GREET1_Import_Export!$B241)+AU$86*(AU$71*(Q$64*GREET1_Import_Export!$AA76+Q$65*GREET1_Import_Export!$AB76)+GREET1_Import_Export!$C294)+AU$87*SUM(GREET1_Import_Export!$D319:$E319)</f>
        <v>0.42339975466278595</v>
      </c>
      <c r="AV111" s="1"/>
      <c r="AW111" s="235"/>
      <c r="AX111" s="233">
        <f>AX$81*(AX$71*R$50*GREET1_Import_Export!$K76+GREET1_Import_Export!$B205*GREET1_Import_Export!$F$179+GREET1_Import_Export!$F205)+AX$82*(AX$71*(R$52*GREET1_Import_Export!$Q76+R$53*GREET1_Import_Export!$O76+R$54*GREET1_Import_Export!$M76)+GREET1_Import_Export!$B205*GREET1_Import_Export!$G$179+GREET1_Import_Export!$G205)+AX$83*(AX$71*R$55*GREET1_Import_Export!$T76+GREET1_Import_Export!$B205*GREET1_Import_Export!$C$179+GREET1_Import_Export!$C205)+AX$84*(AX$71*R$56*GREET1_Import_Export!$W76+GREET1_Import_Export!$E241*GREET1_Import_Export!$F$215+GREET1_Import_Export!$F241)+AX$85*(AX$71*(R$57*GREET1_Import_Export!$B76+R$58*GREET1_Import_Export!$C76+R$59*GREET1_Import_Export!$G76+R$61*'GREET2_Factors_T&amp;D'!$F19+R$62*'GREET2_Factors_T&amp;D'!$G19)+GREET1_Import_Export!$B241)+AX$86*(AX$71*(R$64*GREET1_Import_Export!$AA76+R$65*GREET1_Import_Export!$AB76)+GREET1_Import_Export!$C294)+AX$87*SUM(GREET1_Import_Export!$D319:$E319)</f>
        <v>3.6846535718132262E-2</v>
      </c>
      <c r="AY111" s="1"/>
      <c r="AZ111" s="235"/>
      <c r="BA111" s="233">
        <f>BA$81*(BA$71*S$50*GREET1_Import_Export!$K76+GREET1_Import_Export!$B205*GREET1_Import_Export!$F$179+GREET1_Import_Export!$F205)+BA$82*(BA$71*(S$52*GREET1_Import_Export!$Q76+S$53*GREET1_Import_Export!$O76+S$54*GREET1_Import_Export!$M76)+GREET1_Import_Export!$B205*GREET1_Import_Export!$G$179+GREET1_Import_Export!$G205)+BA$83*(BA$71*S$55*GREET1_Import_Export!$T76+GREET1_Import_Export!$B205*GREET1_Import_Export!$C$179+GREET1_Import_Export!$C205)+BA$84*(BA$71*S$56*GREET1_Import_Export!$W76+GREET1_Import_Export!$E241*GREET1_Import_Export!$F$215+GREET1_Import_Export!$F241)+BA$85*(BA$71*(S$57*GREET1_Import_Export!$B76+S$58*GREET1_Import_Export!$C76+S$59*GREET1_Import_Export!$G76+S$61*'GREET2_Factors_T&amp;D'!$F19+S$62*'GREET2_Factors_T&amp;D'!$G19)+GREET1_Import_Export!$B241)+BA$86*(BA$71*(S$64*GREET1_Import_Export!$AA76+S$65*GREET1_Import_Export!$AB76)+GREET1_Import_Export!$C294)+BA$87*SUM(GREET1_Import_Export!$D319:$E319)</f>
        <v>41.548144329200497</v>
      </c>
      <c r="BB111" s="1"/>
      <c r="BC111" s="235"/>
      <c r="BD111" s="581">
        <f>BD$81*(BD$71*T$50*GREET1_Import_Export!$K76+GREET1_Import_Export!$B205*GREET1_Import_Export!$F$179+GREET1_Import_Export!$F205)+BD$82*(BD$71*(T$52*GREET1_Import_Export!$Q76+T$53*GREET1_Import_Export!$O76+T$54*GREET1_Import_Export!$M76)+GREET1_Import_Export!$B205*GREET1_Import_Export!$G$179+GREET1_Import_Export!$G205)+BD$83*(BD$71*T$55*GREET1_Import_Export!$T76+GREET1_Import_Export!$B205*GREET1_Import_Export!$C$179+GREET1_Import_Export!$C205)+BD$84*(BD$71*T$56*GREET1_Import_Export!$W76+GREET1_Import_Export!$E241*GREET1_Import_Export!$F$215+GREET1_Import_Export!$F241)+BD$85*(BD$71*(T$57*GREET1_Import_Export!$B76+T$58*GREET1_Import_Export!$C76+T$59*GREET1_Import_Export!$G76+T$61*'GREET2_Factors_T&amp;D'!$F19+T$62*'GREET2_Factors_T&amp;D'!$G19)+GREET1_Import_Export!$B241)+BD$86*(BD$71*(T$64*GREET1_Import_Export!$AA76+T$65*GREET1_Import_Export!$AB76)+GREET1_Import_Export!$C294)+BD$87*SUM(GREET1_Import_Export!$D319:$E319)</f>
        <v>33.553556323567676</v>
      </c>
      <c r="BE111" s="489"/>
      <c r="BF111" s="478"/>
      <c r="BG111" s="581">
        <f>BG$81*(BG$71*U$50*GREET1_Import_Export!$K76+GREET1_Import_Export!$B205*GREET1_Import_Export!$F$179+GREET1_Import_Export!$F205)+BG$82*(BG$71*(U$52*GREET1_Import_Export!$Q76+U$53*GREET1_Import_Export!$O76+U$54*GREET1_Import_Export!$M76)+GREET1_Import_Export!$B205*GREET1_Import_Export!$G$179+GREET1_Import_Export!$G205)+BG$83*(BG$71*U$55*GREET1_Import_Export!$T76+GREET1_Import_Export!$B205*GREET1_Import_Export!$C$179+GREET1_Import_Export!$C205)+BG$84*(BG$71*U$56*GREET1_Import_Export!$W76+GREET1_Import_Export!$E241*GREET1_Import_Export!$F$215+GREET1_Import_Export!$F241)+BG$85*(BG$71*(U$57*GREET1_Import_Export!$B76+U$58*GREET1_Import_Export!$C76+U$59*GREET1_Import_Export!$G76+U$61*'GREET2_Factors_T&amp;D'!$F19+U$62*'GREET2_Factors_T&amp;D'!$G19)+GREET1_Import_Export!$B241)+BG$86*(BG$71*(U$64*GREET1_Import_Export!$AA76+U$65*GREET1_Import_Export!$AB76)+GREET1_Import_Export!$C294)+BG$87*SUM(GREET1_Import_Export!$D319:$E319)</f>
        <v>0.39327724725131885</v>
      </c>
      <c r="BH111" s="489"/>
      <c r="BI111" s="478"/>
      <c r="BJ111" s="581">
        <f>BJ$81*(BJ$71*V$50*GREET1_Import_Export!$K76+GREET1_Import_Export!$B205*GREET1_Import_Export!$F$179+GREET1_Import_Export!$F205)+BJ$82*(BJ$71*(V$52*GREET1_Import_Export!$Q76+V$53*GREET1_Import_Export!$O76+V$54*GREET1_Import_Export!$M76)+GREET1_Import_Export!$B205*GREET1_Import_Export!$G$179+GREET1_Import_Export!$G205)+BJ$83*(BJ$71*V$55*GREET1_Import_Export!$T76+GREET1_Import_Export!$B205*GREET1_Import_Export!$C$179+GREET1_Import_Export!$C205)+BJ$84*(BJ$71*V$56*GREET1_Import_Export!$W76+GREET1_Import_Export!$E241*GREET1_Import_Export!$F$215+GREET1_Import_Export!$F241)+BJ$85*(BJ$71*(V$57*GREET1_Import_Export!$B76+V$58*GREET1_Import_Export!$C76+V$59*GREET1_Import_Export!$G76+V$61*'GREET2_Factors_T&amp;D'!$F19+V$62*'GREET2_Factors_T&amp;D'!$G19)+GREET1_Import_Export!$B241)+BJ$86*(BJ$71*(V$64*GREET1_Import_Export!$AA76+V$65*GREET1_Import_Export!$AB76)+GREET1_Import_Export!$C294)+BJ$87*SUM(GREET1_Import_Export!$D319:$E319)</f>
        <v>5.6623198271553674</v>
      </c>
      <c r="BK111" s="489"/>
      <c r="BL111" s="478"/>
      <c r="BM111" s="581">
        <f>BM$81*(BM$71*X$50*GREET1_Import_Export!$K76+GREET1_Import_Export!$B205*GREET1_Import_Export!$F$179+GREET1_Import_Export!$F205)+BM$82*(BM$71*(X$52*GREET1_Import_Export!$Q76+X$53*GREET1_Import_Export!$O76+X$54*GREET1_Import_Export!$M76)+GREET1_Import_Export!$B205*GREET1_Import_Export!$G$179+GREET1_Import_Export!$G205)+BM$83*(BM$71*X$55*GREET1_Import_Export!$T76+GREET1_Import_Export!$B205*GREET1_Import_Export!$C$179+GREET1_Import_Export!$C205)+BM$84*(BM$71*X$56*GREET1_Import_Export!$W76+GREET1_Import_Export!$E241*GREET1_Import_Export!$F$215+GREET1_Import_Export!$F241)+BM$85*(BM$71*(X$57*GREET1_Import_Export!$B76+X$58*GREET1_Import_Export!$C76+X$59*GREET1_Import_Export!$G76+X$61*'GREET2_Factors_T&amp;D'!$F19+X$62*'GREET2_Factors_T&amp;D'!$G19)+GREET1_Import_Export!$B241)+BM$86*(BM$71*(X$64*GREET1_Import_Export!$AA76+X$65*GREET1_Import_Export!$AB76)+GREET1_Import_Export!$C294)+BM$87*SUM(GREET1_Import_Export!$D319:$E319)</f>
        <v>1.0175910451937362</v>
      </c>
      <c r="BN111" s="489"/>
      <c r="BO111" s="478"/>
      <c r="BP111" s="233">
        <f>BP$81*(BP$71*Z$50*GREET1_Import_Export!$K76+GREET1_Import_Export!$B205*GREET1_Import_Export!$F$179+GREET1_Import_Export!$F205)+BP$82*(BP$71*(Z$52*GREET1_Import_Export!$Q76+Z$53*GREET1_Import_Export!$O76+Z$54*GREET1_Import_Export!$M76)+GREET1_Import_Export!$B205*GREET1_Import_Export!$G$179+GREET1_Import_Export!$G205)+BP$83*(BP$71*Z$55*GREET1_Import_Export!$T76+GREET1_Import_Export!$B205*GREET1_Import_Export!$C$179+GREET1_Import_Export!$C205)+BP$84*(BP$71*Z$56*GREET1_Import_Export!$W76+GREET1_Import_Export!$E241*GREET1_Import_Export!$F$215+GREET1_Import_Export!$F241)+BP$85*(BP$71*(Z$57*GREET1_Import_Export!$B76+Z$58*GREET1_Import_Export!$C76+Z$59*GREET1_Import_Export!$G76+Z$61*'GREET2_Factors_T&amp;D'!$F19+Z$62*'GREET2_Factors_T&amp;D'!$G19)+GREET1_Import_Export!$B241)+BP$86*(BP$71*(Z$64*GREET1_Import_Export!$AA76+Z$65*GREET1_Import_Export!$AB76)+GREET1_Import_Export!$C294)+BP$87*SUM(GREET1_Import_Export!$D319:$E319)</f>
        <v>0</v>
      </c>
      <c r="BQ111" s="1"/>
      <c r="BR111" s="235"/>
      <c r="BS111" s="1076">
        <f>BS$81*(BS$71*AA$50*GREET1_Import_Export!$K76+GREET1_Import_Export!$B205*GREET1_Import_Export!$F$179+GREET1_Import_Export!$F205)+BS$82*(BS$71*(AA$52*GREET1_Import_Export!$Q76+AA$53*GREET1_Import_Export!$O76+AA$54*GREET1_Import_Export!$M76)+GREET1_Import_Export!$B205*GREET1_Import_Export!$G$179+GREET1_Import_Export!$G205)+BS$83*(BS$71*AA$55*GREET1_Import_Export!$T76+GREET1_Import_Export!$B205*GREET1_Import_Export!$C$179+GREET1_Import_Export!$C205)+BS$84*(BS$71*AA$56*GREET1_Import_Export!$W76+GREET1_Import_Export!$E241*GREET1_Import_Export!$F$215+GREET1_Import_Export!$F241)+BS$85*(BS$71*(AA$57*GREET1_Import_Export!$B76+AA$58*GREET1_Import_Export!$C76+AA$59*GREET1_Import_Export!$G76+AA$61*'GREET2_Factors_T&amp;D'!$F19+AA$62*'GREET2_Factors_T&amp;D'!$G19)+GREET1_Import_Export!$B241)+BS$86*(BS$71*(AA$64*GREET1_Import_Export!$AA76+AA$65*GREET1_Import_Export!$AB76)+GREET1_Import_Export!$C294)+BS$87*(GREET1_Import_Export!$D319+GREET1_Import_Export!$E319)</f>
        <v>0.55922593872612791</v>
      </c>
      <c r="BT111" s="350"/>
      <c r="BU111" s="1082"/>
      <c r="BV111" s="1076">
        <f>BV$81*(BV$71*AB$50*GREET1_Import_Export!$K76+GREET1_Import_Export!$B205*GREET1_Import_Export!$F$179+GREET1_Import_Export!$F205)+BV$82*(BV$71*(AB$52*GREET1_Import_Export!$Q76+AB$53*GREET1_Import_Export!$O76+AB$54*GREET1_Import_Export!$M76)+GREET1_Import_Export!$B205*GREET1_Import_Export!$G$179+GREET1_Import_Export!$G205)+BV$83*(BV$71*AB$55*GREET1_Import_Export!$T76+GREET1_Import_Export!$B205*GREET1_Import_Export!$C$179+GREET1_Import_Export!$C205)+BV$84*(BV$71*AB$56*GREET1_Import_Export!$W76+GREET1_Import_Export!$E241*GREET1_Import_Export!$F$215+GREET1_Import_Export!$F241)+BV$85*(BV$71*(AB$57*GREET1_Import_Export!$B76+AB$58*GREET1_Import_Export!$C76+AB$59*GREET1_Import_Export!$G76+AB$61*'GREET2_Factors_T&amp;D'!$F19+AB$62*'GREET2_Factors_T&amp;D'!$G19)+GREET1_Import_Export!$B241)+BV$86*(BV$71*(AB$64*GREET1_Import_Export!$AA76+AB$65*GREET1_Import_Export!$AB76)+GREET1_Import_Export!$C294)+BV$87*(GREET1_Import_Export!$D319+GREET1_Import_Export!$E319)</f>
        <v>0</v>
      </c>
      <c r="BW111" s="350"/>
      <c r="BX111" s="1082"/>
      <c r="BY111" s="1076">
        <f>BY$81*(BY$71*AC$50*GREET1_Import_Export!$K76+GREET1_Import_Export!$B205*GREET1_Import_Export!$F$179+GREET1_Import_Export!$F205)+BY$82*(BY$71*(AC$52*GREET1_Import_Export!$Q76+AC$53*GREET1_Import_Export!$O76+AC$54*GREET1_Import_Export!$M76)+GREET1_Import_Export!$B205*GREET1_Import_Export!$G$179+GREET1_Import_Export!$G205)+BY$83*(BY$71*AC$55*GREET1_Import_Export!$T76+GREET1_Import_Export!$B205*GREET1_Import_Export!$C$179+GREET1_Import_Export!$C205)+BY$84*(BY$71*AC$56*GREET1_Import_Export!$W76+GREET1_Import_Export!$E241*GREET1_Import_Export!$F$215+GREET1_Import_Export!$F241)+BY$85*(BY$71*(AC$57*GREET1_Import_Export!$B76+AC$58*GREET1_Import_Export!$C76+AC$59*GREET1_Import_Export!$G76+AC$61*'GREET2_Factors_T&amp;D'!$F19+AC$62*'GREET2_Factors_T&amp;D'!$G19)+GREET1_Import_Export!$B241)+BY$86*(BY$71*(AC$64*GREET1_Import_Export!$AA76+AC$65*GREET1_Import_Export!$AB76)+GREET1_Import_Export!$C294)+BY$87*(GREET1_Import_Export!$D319+GREET1_Import_Export!$E319)</f>
        <v>0.52122010521591633</v>
      </c>
      <c r="BZ111" s="350"/>
      <c r="CA111" s="1082"/>
      <c r="CB111" s="1076">
        <f>CB$81*(CB$71*AD$50*GREET1_Import_Export!$K76+GREET1_Import_Export!$B205*GREET1_Import_Export!$F$179+GREET1_Import_Export!$F205)+CB$82*(CB$71*(AD$52*GREET1_Import_Export!$Q76+AD$53*GREET1_Import_Export!$O76+AD$54*GREET1_Import_Export!$M76)+GREET1_Import_Export!$B205*GREET1_Import_Export!$G$179+GREET1_Import_Export!$G205)+CB$83*(CB$71*AD$55*GREET1_Import_Export!$T76+GREET1_Import_Export!$B205*GREET1_Import_Export!$C$179+GREET1_Import_Export!$C205)+CB$84*(CB$71*AD$56*GREET1_Import_Export!$W76+GREET1_Import_Export!$E241*GREET1_Import_Export!$F$215+GREET1_Import_Export!$F241)+CB$85*(CB$71*(AD$57*GREET1_Import_Export!$B76+AD$58*GREET1_Import_Export!$C76+AD$59*GREET1_Import_Export!$G76+AD$61*'GREET2_Factors_T&amp;D'!$F19+AD$62*'GREET2_Factors_T&amp;D'!$G19)+GREET1_Import_Export!$B241)+CB$86*(CB$71*(AD$64*GREET1_Import_Export!$AA76+AD$65*GREET1_Import_Export!$AB76)+GREET1_Import_Export!$C294)+CB$87*(GREET1_Import_Export!$D319+GREET1_Import_Export!$E319)</f>
        <v>55.397525772267251</v>
      </c>
      <c r="CC111" s="350"/>
      <c r="CD111" s="1082"/>
      <c r="CE111" s="749">
        <f>CE$81*(CE$71*($AE$50*GREET1_Import_Export!$K76)+GREET1_Import_Export!$F$200*GREET1_Import_Export!$B205+GREET1_Import_Export!$F205)+CE$82*(CE$71*(GREET1_Import_Export!$R76)+GREET1_Import_Export!$H$200*GREET1_Import_Export!$B205+GREET1_Import_Export!$H205)+CE$83*(CE$71*(GREET1_Import_Export!$T76)+GREET1_Import_Export!$C$200*GREET1_Import_Export!$B205+GREET1_Import_Export!$C205)+CE$84*(CE$71*(GREET1_Import_Export!$X76)+GREET1_Import_Export!$B$10*(GREET1_Import_Export!$F$215*GREET1_Import_Export!$B241+GREET1_Import_Export!$F241)+GREET1_Import_Export!$C$10*(GREET1_Import_Export!$E$200*GREET1_Import_Export!$B205+GREET1_Import_Export!$E205))+CE$85*(CE$71*($AE$57*GREET1_Import_Export!$B76)+GREET1_Import_Export!$B241)+CE$86*(CE$71*($AE$64*GREET1_Import_Export!$AA76)+GREET1_Import_Export!$C294)+CE$87*(GREET1_Import_Export!$D319+GREET1_Import_Export!$E319)</f>
        <v>0</v>
      </c>
      <c r="CF111" s="1096"/>
      <c r="CG111" s="1321"/>
      <c r="CH111" s="1321"/>
      <c r="CI111" s="1321"/>
      <c r="CJ111" s="1321"/>
      <c r="CK111" s="1321"/>
      <c r="CL111" s="1321"/>
      <c r="CM111" s="1321"/>
      <c r="CN111" s="1321"/>
      <c r="CO111" s="1321"/>
      <c r="CP111" s="1321"/>
      <c r="CQ111" s="1321"/>
      <c r="CR111" s="1321"/>
      <c r="CS111" s="1321"/>
      <c r="CT111" s="1321"/>
      <c r="CU111" s="1321"/>
      <c r="CV111" s="1321"/>
      <c r="CW111" s="1321"/>
      <c r="CX111" s="1321"/>
      <c r="CY111" s="1321"/>
      <c r="CZ111" s="1321"/>
      <c r="DA111" s="1321"/>
      <c r="DB111" s="1321"/>
      <c r="DC111" s="1321"/>
      <c r="DD111" s="1321"/>
      <c r="DE111" s="1321"/>
      <c r="DF111" s="1321"/>
      <c r="DG111" s="1321"/>
      <c r="DH111" s="1321"/>
      <c r="DI111" s="1321"/>
      <c r="DJ111" s="1321"/>
      <c r="DK111" s="1321"/>
      <c r="DL111" s="1321"/>
      <c r="DM111" s="1321"/>
      <c r="DN111" s="1321"/>
      <c r="DO111" s="1321"/>
      <c r="DP111" s="1321"/>
      <c r="DQ111" s="1321"/>
      <c r="DR111" s="1321"/>
      <c r="DS111" s="1321"/>
      <c r="DT111" s="1321"/>
      <c r="DU111" s="1321"/>
      <c r="DV111" s="1321"/>
      <c r="DW111" s="1321"/>
      <c r="DX111" s="1321"/>
      <c r="DY111" s="1321"/>
      <c r="DZ111" s="1321"/>
      <c r="EA111" s="1321"/>
      <c r="EB111" s="1321"/>
      <c r="EC111" s="1321"/>
      <c r="ED111" s="1321"/>
      <c r="EE111" s="1321"/>
      <c r="EF111" s="1321"/>
      <c r="EG111" s="1321"/>
      <c r="EH111" s="1321"/>
      <c r="EI111" s="1321"/>
      <c r="EJ111" s="1321"/>
      <c r="EK111" s="1321"/>
      <c r="EL111" s="1321"/>
      <c r="EM111" s="1321"/>
      <c r="EN111" s="1321"/>
      <c r="EO111" s="1321"/>
      <c r="EP111" s="1321"/>
      <c r="EQ111" s="1321"/>
      <c r="ER111" s="1321"/>
      <c r="ES111" s="1321"/>
      <c r="ET111" s="1321"/>
      <c r="EU111" s="1321"/>
      <c r="EV111" s="1321"/>
      <c r="EW111" s="1321"/>
      <c r="EX111" s="1321"/>
      <c r="EY111" s="1321"/>
      <c r="EZ111" s="1321"/>
      <c r="FA111" s="1321"/>
      <c r="FB111" s="1321"/>
    </row>
    <row r="112" spans="1:158">
      <c r="A112" s="291" t="s">
        <v>826</v>
      </c>
      <c r="B112" s="233">
        <f>B$81*(B$71*B$50*GREET1_Import_Export!$K77+GREET1_Import_Export!$B206*GREET1_Import_Export!$F$179+GREET1_Import_Export!$F206)+B$82*(B$71*(B$52*GREET1_Import_Export!$Q77+B$53*GREET1_Import_Export!$O77+B$54*GREET1_Import_Export!$M77)+GREET1_Import_Export!$B206*GREET1_Import_Export!$G$179+GREET1_Import_Export!$G206)+B$83*(B$71*B$55*GREET1_Import_Export!$T77+GREET1_Import_Export!$B206*GREET1_Import_Export!$C$179+GREET1_Import_Export!$C206)+B$84*(B$71*B$56*GREET1_Import_Export!$W77+GREET1_Import_Export!$E242*GREET1_Import_Export!$F$215+GREET1_Import_Export!$F242)+B$85*(B$71*(B$57*GREET1_Import_Export!$B77+B$58*GREET1_Import_Export!$C77+B$59*GREET1_Import_Export!$G77+B$61*'GREET2_Factors_T&amp;D'!$F20+B$62*'GREET2_Factors_T&amp;D'!$G20)+GREET1_Import_Export!$B242)+B$86*(B$71*(B$64*GREET1_Import_Export!$AA77+B$65*GREET1_Import_Export!$AB77)+GREET1_Import_Export!$C295)+B$87*SUM(GREET1_Import_Export!$D320:$E320)</f>
        <v>0</v>
      </c>
      <c r="C112" s="1"/>
      <c r="D112" s="235"/>
      <c r="E112" s="233">
        <f>E$81*(E$71*C$50*GREET1_Import_Export!$K77+GREET1_Import_Export!$B206*GREET1_Import_Export!$F$179+GREET1_Import_Export!$F206)+E$82*(E$71*(C$52*GREET1_Import_Export!$Q77+C$53*GREET1_Import_Export!$O77+C$54*GREET1_Import_Export!$M77)+GREET1_Import_Export!$B206*GREET1_Import_Export!$G$179+GREET1_Import_Export!$G206)+E$83*(E$71*C$55*GREET1_Import_Export!$T77+GREET1_Import_Export!$B206*GREET1_Import_Export!$C$179+GREET1_Import_Export!$C206)+E$84*(E$71*C$56*GREET1_Import_Export!$W77+GREET1_Import_Export!$E242*GREET1_Import_Export!$F$215+GREET1_Import_Export!$F242)+E$85*(E$71*(C$57*GREET1_Import_Export!$B77+C$58*GREET1_Import_Export!$C77+C$59*GREET1_Import_Export!$G77+C$61*'GREET2_Factors_T&amp;D'!$F20+C$62*'GREET2_Factors_T&amp;D'!$G20)+GREET1_Import_Export!$B242)+E$86*(E$71*(C$64*GREET1_Import_Export!$AA77+C$65*GREET1_Import_Export!$AB77)+GREET1_Import_Export!$C295)+E$87*SUM(GREET1_Import_Export!$D320:$E320)</f>
        <v>0</v>
      </c>
      <c r="F112" s="1"/>
      <c r="G112" s="235"/>
      <c r="H112" s="233">
        <f>H$81*(H$71*D$50*GREET1_Import_Export!$K77+GREET1_Import_Export!$B206*GREET1_Import_Export!$F$179+GREET1_Import_Export!$F206)+H$82*(H$71*(D$52*GREET1_Import_Export!$Q77+D$53*GREET1_Import_Export!$O77+D$54*GREET1_Import_Export!$M77)+GREET1_Import_Export!$B206*GREET1_Import_Export!$G$179+GREET1_Import_Export!$G206)+H$83*(H$71*D$55*GREET1_Import_Export!$T77+GREET1_Import_Export!$B206*GREET1_Import_Export!$C$179+GREET1_Import_Export!$C206)+H$84*(H$71*D$56*GREET1_Import_Export!$W77+GREET1_Import_Export!$E242*GREET1_Import_Export!$F$215+GREET1_Import_Export!$F242)+H$85*(H$71*(D$57*GREET1_Import_Export!$B77+D$58*GREET1_Import_Export!$C77+D$59*GREET1_Import_Export!$G77+D$61*'GREET2_Factors_T&amp;D'!$F20+D$62*'GREET2_Factors_T&amp;D'!$G20)+GREET1_Import_Export!$B242)+H$86*(H$71*(D$64*GREET1_Import_Export!$AA77+D$65*GREET1_Import_Export!$AB77)+GREET1_Import_Export!$C295)+H$87*SUM(GREET1_Import_Export!$D320:$E320)</f>
        <v>5.6787817380448065</v>
      </c>
      <c r="I112" s="1"/>
      <c r="J112" s="235"/>
      <c r="K112" s="233">
        <f>K$81*(K$71*E$50*GREET1_Import_Export!$K77+GREET1_Import_Export!$B206*GREET1_Import_Export!$F$179+GREET1_Import_Export!$F206)+K$82*(K$71*(E$52*GREET1_Import_Export!$Q77+E$53*GREET1_Import_Export!$O77+E$54*GREET1_Import_Export!$M77)+GREET1_Import_Export!$B206*GREET1_Import_Export!$G$179+GREET1_Import_Export!$G206)+K$83*(K$71*E$55*GREET1_Import_Export!$T77+GREET1_Import_Export!$B206*GREET1_Import_Export!$C$179+GREET1_Import_Export!$C206)+K$84*(K$71*E$56*GREET1_Import_Export!$W77+GREET1_Import_Export!$E242*GREET1_Import_Export!$F$215+GREET1_Import_Export!$F242)+K$85*(K$71*(E$57*GREET1_Import_Export!$B77+E$58*GREET1_Import_Export!$C77+E$59*GREET1_Import_Export!$G77+E$61*'GREET2_Factors_T&amp;D'!$F20+E$62*'GREET2_Factors_T&amp;D'!$G20)+GREET1_Import_Export!$B242)+K$86*(K$71*(E$64*GREET1_Import_Export!$AA77+E$65*GREET1_Import_Export!$AB77)+GREET1_Import_Export!$C295)+K$87*SUM(GREET1_Import_Export!$D320:$E320)</f>
        <v>410.23787296125454</v>
      </c>
      <c r="L112" s="1"/>
      <c r="M112" s="235"/>
      <c r="N112" s="233">
        <f>N$81*(N$71*F$50*GREET1_Import_Export!$K77+GREET1_Import_Export!$B206*GREET1_Import_Export!$F$179+GREET1_Import_Export!$F206)+N$82*(N$71*(F$52*GREET1_Import_Export!$Q77+F$53*GREET1_Import_Export!$O77+F$54*GREET1_Import_Export!$M77)+GREET1_Import_Export!$B206*GREET1_Import_Export!$G$179+GREET1_Import_Export!$G206)+N$83*(N$71*F$55*GREET1_Import_Export!$T77+GREET1_Import_Export!$B206*GREET1_Import_Export!$C$179+GREET1_Import_Export!$C206)+N$84*(N$71*F$56*GREET1_Import_Export!$W77+GREET1_Import_Export!$E242*GREET1_Import_Export!$F$215+GREET1_Import_Export!$F242)+N$85*(N$71*(F$57*GREET1_Import_Export!$B77+F$58*GREET1_Import_Export!$C77+F$59*GREET1_Import_Export!$G77+F$61*'GREET2_Factors_T&amp;D'!$F20+F$62*'GREET2_Factors_T&amp;D'!$G20)+GREET1_Import_Export!$B242)+N$86*(N$71*(F$64*GREET1_Import_Export!$AA77+F$65*GREET1_Import_Export!$AB77)+GREET1_Import_Export!$C295)+N$87*SUM(GREET1_Import_Export!$D320:$E320)</f>
        <v>5.6787817380448065</v>
      </c>
      <c r="O112" s="1"/>
      <c r="P112" s="235"/>
      <c r="Q112" s="581">
        <f>Q$81*(Q$71*G$50*GREET1_Import_Export!$K77+GREET1_Import_Export!$B206*GREET1_Import_Export!$F$179+GREET1_Import_Export!$F206)+Q$82*(Q$71*(G$52*GREET1_Import_Export!$Q77+G$53*GREET1_Import_Export!$O77+G$54*GREET1_Import_Export!$M77)+GREET1_Import_Export!$B206*GREET1_Import_Export!$G$179+GREET1_Import_Export!$G206)+Q$83*(Q$71*G$55*GREET1_Import_Export!$T77+GREET1_Import_Export!$B206*GREET1_Import_Export!$C$179+GREET1_Import_Export!$C206)+Q$84*(Q$71*G$56*GREET1_Import_Export!$W77+GREET1_Import_Export!$E242*GREET1_Import_Export!$F$215+GREET1_Import_Export!$F242)+Q$85*(Q$71*(G$57*GREET1_Import_Export!$B77+G$58*GREET1_Import_Export!$C77+G$59*GREET1_Import_Export!$G77+G$61*'GREET2_Factors_T&amp;D'!$F20+G$62*'GREET2_Factors_T&amp;D'!$G20)+GREET1_Import_Export!$B242)+Q$86*(Q$71*(G$64*GREET1_Import_Export!$AA77+G$65*GREET1_Import_Export!$AB77)+GREET1_Import_Export!$C295)
+Q$87*($B$46*(GREET1_Import_Export!$D320+GREET1_Import_Export!E320)+$C$46*GREET1_Import_Export!L368+$D$46*GREET1_Import_Export!H368+$E$46*GREET1_Import_Export!Q368+$F$46*GREET1_Import_Export!R368+SUMPRODUCT($G$46:$I$46,GREET1_Import_Export!N368:P368))</f>
        <v>410.23787296125454</v>
      </c>
      <c r="R112" s="1"/>
      <c r="S112" s="235"/>
      <c r="T112" s="581">
        <f>T$81*(T$71*BZ$50*GREET1_Import_Export!$K77+GREET1_Import_Export!$B206*GREET1_Import_Export!$F$179+GREET1_Import_Export!$F206)+T$82*(T$71*(BZ$52*GREET1_Import_Export!$Q77+BZ$53*GREET1_Import_Export!$O77+BZ$54*GREET1_Import_Export!$M77)+GREET1_Import_Export!$B206*GREET1_Import_Export!$G$179+GREET1_Import_Export!$G206)+T$83*(T$71*BZ$55*GREET1_Import_Export!$T77+GREET1_Import_Export!$B206*GREET1_Import_Export!$C$179+GREET1_Import_Export!$C206)+T$84*(T$71*BZ$56*GREET1_Import_Export!$W77+GREET1_Import_Export!$E242*GREET1_Import_Export!$F$215+GREET1_Import_Export!$F242)+T$85*(T$71*(BZ$57*GREET1_Import_Export!$B77+BZ$58*GREET1_Import_Export!$C77+BZ$59*GREET1_Import_Export!$G77+BZ$61*'GREET2_Factors_T&amp;D'!$F20+BZ$62*'GREET2_Factors_T&amp;D'!$G20)+GREET1_Import_Export!$B242)+T$86*(T$71*(BZ$64*GREET1_Import_Export!$AA77+BZ$65*GREET1_Import_Export!$AB77)+GREET1_Import_Export!$C295)+T$87*SUM(GREET1_Import_Export!$D320:$E320)</f>
        <v>5.6787817380448065</v>
      </c>
      <c r="U112" s="1"/>
      <c r="V112" s="235"/>
      <c r="W112" s="581">
        <f>W$81*(W$71*I$50*GREET1_Import_Export!$K77+GREET1_Import_Export!$B206*GREET1_Import_Export!$F$179+GREET1_Import_Export!$F206)+W$82*(W$71*(I$52*GREET1_Import_Export!$Q77+I$53*GREET1_Import_Export!$O77+I$54*GREET1_Import_Export!$M77)+GREET1_Import_Export!$B206*GREET1_Import_Export!$G$179+GREET1_Import_Export!$G206)+W$83*(W$71*I$55*GREET1_Import_Export!$T77+GREET1_Import_Export!$B206*GREET1_Import_Export!$C$179+GREET1_Import_Export!$C206)+W$84*(W$71*I$56*GREET1_Import_Export!$W77+GREET1_Import_Export!$E242*GREET1_Import_Export!$F$215+GREET1_Import_Export!$F242)+W$85*(W$71*(I$57*GREET1_Import_Export!$B77+I$58*GREET1_Import_Export!$C77+I$59*GREET1_Import_Export!$G77+I$61*'GREET2_Factors_T&amp;D'!$F20+I$62*'GREET2_Factors_T&amp;D'!$G20)+GREET1_Import_Export!$B242)+W$86*(W$71*(I$64*GREET1_Import_Export!$AA77+I$65*GREET1_Import_Export!$AB77)+GREET1_Import_Export!$C295)+W$87*($B$46*(GREET1_Import_Export!$D320+GREET1_Import_Export!E320)+$C$46*GREET1_Import_Export!L368+$D$46*GREET1_Import_Export!H368+$E$46*GREET1_Import_Export!Q368+$F$46*GREET1_Import_Export!R368+SUMPRODUCT($G$46:$I$46,GREET1_Import_Export!N368:P368))</f>
        <v>410.23787296125454</v>
      </c>
      <c r="X112" s="1"/>
      <c r="Y112" s="235"/>
      <c r="Z112" s="233">
        <f>Z$81*(Z$71*J$50*GREET1_Import_Export!$K77+GREET1_Import_Export!$B206*GREET1_Import_Export!$F$179+GREET1_Import_Export!$F206)+Z$82*(Z$71*(J$52*GREET1_Import_Export!$Q77+J$53*GREET1_Import_Export!$O77+J$54*GREET1_Import_Export!$M77)+GREET1_Import_Export!$B206*GREET1_Import_Export!$G$179+GREET1_Import_Export!$G206)+Z$83*(Z$71*J$55*GREET1_Import_Export!$T77+GREET1_Import_Export!$B206*GREET1_Import_Export!$C$179+GREET1_Import_Export!$C206)+Z$84*(Z$71*J$56*GREET1_Import_Export!$W77+GREET1_Import_Export!$E242*GREET1_Import_Export!$F$215+GREET1_Import_Export!$F242)+Z$85*(Z$71*(J$57*GREET1_Import_Export!$B77+J$58*GREET1_Import_Export!$C77+J$59*GREET1_Import_Export!$G77+J$61*'GREET2_Factors_T&amp;D'!$F20+J$62*'GREET2_Factors_T&amp;D'!$G20)+GREET1_Import_Export!$B242)+Z$86*(Z$71*(J$64*GREET1_Import_Export!$AA77+J$65*GREET1_Import_Export!$AB77)+GREET1_Import_Export!$C295)+Z$87*SUM(GREET1_Import_Export!$D320:$E320)</f>
        <v>5.6787817380448065</v>
      </c>
      <c r="AA112" s="1"/>
      <c r="AB112" s="235"/>
      <c r="AC112" s="581">
        <f>AC$81*(AC$71*K$50*GREET1_Import_Export!$K77+GREET1_Import_Export!$B206*GREET1_Import_Export!$F$179+GREET1_Import_Export!$F206)+AC$82*(AC$71*(K$52*GREET1_Import_Export!$Q77+K$53*GREET1_Import_Export!$O77+K$54*GREET1_Import_Export!$M77)+GREET1_Import_Export!$B206*GREET1_Import_Export!$G$179+GREET1_Import_Export!$G206)+AC$83*(AC$71*K$55*GREET1_Import_Export!$T77+GREET1_Import_Export!$B206*GREET1_Import_Export!$C$179+GREET1_Import_Export!$C206)+AC$84*(AC$71*K$56*GREET1_Import_Export!$W77+GREET1_Import_Export!$E242*GREET1_Import_Export!$F$215+GREET1_Import_Export!$F242)+AC$85*(AC$71*(K$57*GREET1_Import_Export!$B77+K$58*GREET1_Import_Export!$C77+K$59*GREET1_Import_Export!$G77+K$61*'GREET2_Factors_T&amp;D'!$F20+K$62*'GREET2_Factors_T&amp;D'!$G20)+GREET1_Import_Export!$B242)+AC$86*(AC$71*(K$64*GREET1_Import_Export!$AA77+K$65*GREET1_Import_Export!$AB77)+GREET1_Import_Export!$C295)+AC$87*($B$46*(GREET1_Import_Export!$D320+GREET1_Import_Export!E320)+$C$46*GREET1_Import_Export!L368+$D$46*GREET1_Import_Export!H368+$E$46*GREET1_Import_Export!Q368+$F$46*GREET1_Import_Export!R368+SUMPRODUCT($G$46:$I$46,GREET1_Import_Export!N368:P368))</f>
        <v>410.23787296125454</v>
      </c>
      <c r="AD112" s="1"/>
      <c r="AE112" s="235"/>
      <c r="AF112" s="233">
        <f>AF$81*(AF$71*L$50*GREET1_Import_Export!$K77+GREET1_Import_Export!$B206*GREET1_Import_Export!$F$179+GREET1_Import_Export!$F206)+AF$82*(AF$71*(L$52*GREET1_Import_Export!$Q77+L$53*GREET1_Import_Export!$O77+L$54*GREET1_Import_Export!$M77)+GREET1_Import_Export!$B206*GREET1_Import_Export!$G$179+GREET1_Import_Export!$G206)+AF$83*(AF$71*L$55*GREET1_Import_Export!$T77+GREET1_Import_Export!$B206*GREET1_Import_Export!$C$179+GREET1_Import_Export!$C206)+AF$84*(AF$71*L$56*GREET1_Import_Export!$W77+GREET1_Import_Export!$E242*GREET1_Import_Export!$F$215+GREET1_Import_Export!$F242)+AF$85*(AF$71*(L$57*GREET1_Import_Export!$B77+L$58*GREET1_Import_Export!$C77+L$59*GREET1_Import_Export!$G77+L$61*'GREET2_Factors_T&amp;D'!$F20+L$62*'GREET2_Factors_T&amp;D'!$G20)+GREET1_Import_Export!$B242)+AF$86*(AF$71*(L$64*GREET1_Import_Export!$AA77+L$65*GREET1_Import_Export!$AB77)+GREET1_Import_Export!$C295)+AF$87*SUM(GREET1_Import_Export!$D320:$E320)</f>
        <v>5.6787817380448065</v>
      </c>
      <c r="AG112" s="489"/>
      <c r="AH112" s="478"/>
      <c r="AI112" s="581">
        <f>AI$81*(AI$71*M$50*GREET1_Import_Export!$K77+GREET1_Import_Export!$B206*GREET1_Import_Export!$F$179+GREET1_Import_Export!$F206)+AI$82*(AI$71*(M$52*GREET1_Import_Export!$Q77+M$53*GREET1_Import_Export!$O77+M$54*GREET1_Import_Export!$M77)+GREET1_Import_Export!$B206*GREET1_Import_Export!$G$179+GREET1_Import_Export!$G206)+AI$83*(AI$71*M$55*GREET1_Import_Export!$T77+GREET1_Import_Export!$B206*GREET1_Import_Export!$C$179+GREET1_Import_Export!$C206)+AI$84*(AI$71*M$56*GREET1_Import_Export!$W77+GREET1_Import_Export!$E242*GREET1_Import_Export!$F$215+GREET1_Import_Export!$F242)+AI$85*(AI$71*(M$57*GREET1_Import_Export!$B77+M$58*GREET1_Import_Export!$C77+M$59*GREET1_Import_Export!$G77+M$61*'GREET2_Factors_T&amp;D'!$F20+M$62*'GREET2_Factors_T&amp;D'!$G20)+GREET1_Import_Export!$B242)+AI$86*(AI$71*(M$64*GREET1_Import_Export!$AA77+M$65*GREET1_Import_Export!$AB77)+GREET1_Import_Export!$C295)+AI$87*($B$46*(GREET1_Import_Export!$D320+GREET1_Import_Export!E320)+$C$46*GREET1_Import_Export!L368+$D$46*GREET1_Import_Export!H368+$E$46*GREET1_Import_Export!Q368+$F$46*GREET1_Import_Export!R368+SUMPRODUCT($G$46:$I$46,GREET1_Import_Export!N368:P368))</f>
        <v>468.8432833842906</v>
      </c>
      <c r="AJ112" s="1"/>
      <c r="AK112" s="235"/>
      <c r="AL112" s="233">
        <f>AL$81*(AL$71*N$50*GREET1_Import_Export!$K77+GREET1_Import_Export!$B206*GREET1_Import_Export!$F$179+GREET1_Import_Export!$F206)+AL$82*(AL$71*(N$52*GREET1_Import_Export!$Q77+N$53*GREET1_Import_Export!$O77+N$54*GREET1_Import_Export!$M77)+GREET1_Import_Export!$B206*GREET1_Import_Export!$G$179+GREET1_Import_Export!$G206)+AL$83*(AL$71*N$55*GREET1_Import_Export!$T77+GREET1_Import_Export!$B206*GREET1_Import_Export!$C$179+GREET1_Import_Export!$C206)+AL$84*(AL$71*N$56*GREET1_Import_Export!$W77+GREET1_Import_Export!$E242*GREET1_Import_Export!$F$215+GREET1_Import_Export!$F242)+AL$85*(AL$71*(N$57*GREET1_Import_Export!$B77+N$58*GREET1_Import_Export!$C77+N$59*GREET1_Import_Export!$G77+N$61*'GREET2_Factors_T&amp;D'!$F20+N$62*'GREET2_Factors_T&amp;D'!$G20)+GREET1_Import_Export!$B242)+AL$86*(AL$71*(N$64*GREET1_Import_Export!$AA77+N$65*GREET1_Import_Export!$AB77)+GREET1_Import_Export!$C295)+AL$87*SUM(GREET1_Import_Export!$D320:$E320)</f>
        <v>16.309433250904085</v>
      </c>
      <c r="AM112" s="1"/>
      <c r="AN112" s="235"/>
      <c r="AO112" s="233">
        <f>AO$81*(AO$71*O$50*GREET1_Import_Export!$K77+GREET1_Import_Export!$B206*GREET1_Import_Export!$F$179+GREET1_Import_Export!$F206)+AO$82*(AO$71*(O$52*GREET1_Import_Export!$Q77+O$53*GREET1_Import_Export!$O77+O$54*GREET1_Import_Export!$M77)+GREET1_Import_Export!$B206*GREET1_Import_Export!$G$179+GREET1_Import_Export!$G206)+AO$83*(AO$71*O$55*GREET1_Import_Export!$T77+GREET1_Import_Export!$B206*GREET1_Import_Export!$C$179+GREET1_Import_Export!$C206)+AO$84*(AO$71*O$56*GREET1_Import_Export!$W77+GREET1_Import_Export!$E242*GREET1_Import_Export!$F$215+GREET1_Import_Export!$F242)+AO$85*(AO$71*(O$57*GREET1_Import_Export!$B77+O$58*GREET1_Import_Export!$C77+O$59*GREET1_Import_Export!$G77+O$61*'GREET2_Factors_T&amp;D'!$F20+O$62*'GREET2_Factors_T&amp;D'!$G20)+GREET1_Import_Export!$B242)+AO$86*(AO$71*(O$64*GREET1_Import_Export!$AA77+O$65*GREET1_Import_Export!$AB77)+GREET1_Import_Export!$C295)+AO$87*SUM(GREET1_Import_Export!$D320:$E320)</f>
        <v>444.01412450173126</v>
      </c>
      <c r="AP112" s="1"/>
      <c r="AQ112" s="235"/>
      <c r="AR112" s="233">
        <f>AR$81*(AR$71*P$50*GREET1_Import_Export!$K77+GREET1_Import_Export!$B206*GREET1_Import_Export!$F$179+GREET1_Import_Export!$F206)+AR$82*(AR$71*(P$52*GREET1_Import_Export!$Q77+P$53*GREET1_Import_Export!$O77+P$54*GREET1_Import_Export!$M77)+GREET1_Import_Export!$B206*GREET1_Import_Export!$G$179+GREET1_Import_Export!$G206)+AR$83*(AR$71*P$55*GREET1_Import_Export!$T77+GREET1_Import_Export!$B206*GREET1_Import_Export!$C$179+GREET1_Import_Export!$C206)+AR$84*(AR$71*P$56*GREET1_Import_Export!$W77+GREET1_Import_Export!$E242*GREET1_Import_Export!$F$215+GREET1_Import_Export!$F242)+AR$85*(AR$71*(P$57*GREET1_Import_Export!$B77+P$58*GREET1_Import_Export!$C77+P$59*GREET1_Import_Export!$G77+P$61*'GREET2_Factors_T&amp;D'!$F20+P$62*'GREET2_Factors_T&amp;D'!$G20)+GREET1_Import_Export!$B242)+AR$86*(AR$71*(P$64*GREET1_Import_Export!$AA77+P$65*GREET1_Import_Export!$AB77)+GREET1_Import_Export!$C295)+AR$87*SUM(GREET1_Import_Export!$D320:$E320)</f>
        <v>4.6204765408252104</v>
      </c>
      <c r="AS112" s="1"/>
      <c r="AT112" s="235"/>
      <c r="AU112" s="233">
        <f>AU$81*(AU$71*Q$50*GREET1_Import_Export!$K77+GREET1_Import_Export!$B206*GREET1_Import_Export!$F$179+GREET1_Import_Export!$F206)+AU$82*(AU$71*(Q$52*GREET1_Import_Export!$Q77+Q$53*GREET1_Import_Export!$O77+Q$54*GREET1_Import_Export!$M77)+GREET1_Import_Export!$B206*GREET1_Import_Export!$G$179+GREET1_Import_Export!$G206)+AU$83*(AU$71*Q$55*GREET1_Import_Export!$T77+GREET1_Import_Export!$B206*GREET1_Import_Export!$C$179+GREET1_Import_Export!$C206)+AU$84*(AU$71*Q$56*GREET1_Import_Export!$W77+GREET1_Import_Export!$E242*GREET1_Import_Export!$F$215+GREET1_Import_Export!$F242)+AU$85*(AU$71*(Q$57*GREET1_Import_Export!$B77+Q$58*GREET1_Import_Export!$C77+Q$59*GREET1_Import_Export!$G77+Q$61*'GREET2_Factors_T&amp;D'!$F20+Q$62*'GREET2_Factors_T&amp;D'!$G20)+GREET1_Import_Export!$B242)+AU$86*(AU$71*(Q$64*GREET1_Import_Export!$AA77+Q$65*GREET1_Import_Export!$AB77)+GREET1_Import_Export!$C295)+AU$87*SUM(GREET1_Import_Export!$D320:$E320)</f>
        <v>3.8668285895243768</v>
      </c>
      <c r="AV112" s="1"/>
      <c r="AW112" s="235"/>
      <c r="AX112" s="233">
        <f>AX$81*(AX$71*R$50*GREET1_Import_Export!$K77+GREET1_Import_Export!$B206*GREET1_Import_Export!$F$179+GREET1_Import_Export!$F206)+AX$82*(AX$71*(R$52*GREET1_Import_Export!$Q77+R$53*GREET1_Import_Export!$O77+R$54*GREET1_Import_Export!$M77)+GREET1_Import_Export!$B206*GREET1_Import_Export!$G$179+GREET1_Import_Export!$G206)+AX$83*(AX$71*R$55*GREET1_Import_Export!$T77+GREET1_Import_Export!$B206*GREET1_Import_Export!$C$179+GREET1_Import_Export!$C206)+AX$84*(AX$71*R$56*GREET1_Import_Export!$W77+GREET1_Import_Export!$E242*GREET1_Import_Export!$F$215+GREET1_Import_Export!$F242)+AX$85*(AX$71*(R$57*GREET1_Import_Export!$B77+R$58*GREET1_Import_Export!$C77+R$59*GREET1_Import_Export!$G77+R$61*'GREET2_Factors_T&amp;D'!$F20+R$62*'GREET2_Factors_T&amp;D'!$G20)+GREET1_Import_Export!$B242)+AX$86*(AX$71*(R$64*GREET1_Import_Export!$AA77+R$65*GREET1_Import_Export!$AB77)+GREET1_Import_Export!$C295)+AX$87*SUM(GREET1_Import_Export!$D320:$E320)</f>
        <v>0.40144927651949591</v>
      </c>
      <c r="AY112" s="1"/>
      <c r="AZ112" s="235"/>
      <c r="BA112" s="233">
        <f>BA$81*(BA$71*S$50*GREET1_Import_Export!$K77+GREET1_Import_Export!$B206*GREET1_Import_Export!$F$179+GREET1_Import_Export!$F206)+BA$82*(BA$71*(S$52*GREET1_Import_Export!$Q77+S$53*GREET1_Import_Export!$O77+S$54*GREET1_Import_Export!$M77)+GREET1_Import_Export!$B206*GREET1_Import_Export!$G$179+GREET1_Import_Export!$G206)+BA$83*(BA$71*S$55*GREET1_Import_Export!$T77+GREET1_Import_Export!$B206*GREET1_Import_Export!$C$179+GREET1_Import_Export!$C206)+BA$84*(BA$71*S$56*GREET1_Import_Export!$W77+GREET1_Import_Export!$E242*GREET1_Import_Export!$F$215+GREET1_Import_Export!$F242)+BA$85*(BA$71*(S$57*GREET1_Import_Export!$B77+S$58*GREET1_Import_Export!$C77+S$59*GREET1_Import_Export!$G77+S$61*'GREET2_Factors_T&amp;D'!$F20+S$62*'GREET2_Factors_T&amp;D'!$G20)+GREET1_Import_Export!$B242)+BA$86*(BA$71*(S$64*GREET1_Import_Export!$AA77+S$65*GREET1_Import_Export!$AB77)+GREET1_Import_Export!$C295)+BA$87*SUM(GREET1_Import_Export!$D320:$E320)</f>
        <v>351.63246253821842</v>
      </c>
      <c r="BB112" s="1"/>
      <c r="BC112" s="235"/>
      <c r="BD112" s="581">
        <f>BD$81*(BD$71*T$50*GREET1_Import_Export!$K77+GREET1_Import_Export!$B206*GREET1_Import_Export!$F$179+GREET1_Import_Export!$F206)+BD$82*(BD$71*(T$52*GREET1_Import_Export!$Q77+T$53*GREET1_Import_Export!$O77+T$54*GREET1_Import_Export!$M77)+GREET1_Import_Export!$B206*GREET1_Import_Export!$G$179+GREET1_Import_Export!$G206)+BD$83*(BD$71*T$55*GREET1_Import_Export!$T77+GREET1_Import_Export!$B206*GREET1_Import_Export!$C$179+GREET1_Import_Export!$C206)+BD$84*(BD$71*T$56*GREET1_Import_Export!$W77+GREET1_Import_Export!$E242*GREET1_Import_Export!$F$215+GREET1_Import_Export!$F242)+BD$85*(BD$71*(T$57*GREET1_Import_Export!$B77+T$58*GREET1_Import_Export!$C77+T$59*GREET1_Import_Export!$G77+T$61*'GREET2_Factors_T&amp;D'!$F20+T$62*'GREET2_Factors_T&amp;D'!$G20)+GREET1_Import_Export!$B242)+BD$86*(BD$71*(T$64*GREET1_Import_Export!$AA77+T$65*GREET1_Import_Export!$AB77)+GREET1_Import_Export!$C295)+BD$87*SUM(GREET1_Import_Export!$D320:$E320)</f>
        <v>283.97224057678989</v>
      </c>
      <c r="BE112" s="489"/>
      <c r="BF112" s="478"/>
      <c r="BG112" s="581">
        <f>BG$81*(BG$71*U$50*GREET1_Import_Export!$K77+GREET1_Import_Export!$B206*GREET1_Import_Export!$F$179+GREET1_Import_Export!$F206)+BG$82*(BG$71*(U$52*GREET1_Import_Export!$Q77+U$53*GREET1_Import_Export!$O77+U$54*GREET1_Import_Export!$M77)+GREET1_Import_Export!$B206*GREET1_Import_Export!$G$179+GREET1_Import_Export!$G206)+BG$83*(BG$71*U$55*GREET1_Import_Export!$T77+GREET1_Import_Export!$B206*GREET1_Import_Export!$C$179+GREET1_Import_Export!$C206)+BG$84*(BG$71*U$56*GREET1_Import_Export!$W77+GREET1_Import_Export!$E242*GREET1_Import_Export!$F$215+GREET1_Import_Export!$F242)+BG$85*(BG$71*(U$57*GREET1_Import_Export!$B77+U$58*GREET1_Import_Export!$C77+U$59*GREET1_Import_Export!$G77+U$61*'GREET2_Factors_T&amp;D'!$F20+U$62*'GREET2_Factors_T&amp;D'!$G20)+GREET1_Import_Export!$B242)+BG$86*(BG$71*(U$64*GREET1_Import_Export!$AA77+U$65*GREET1_Import_Export!$AB77)+GREET1_Import_Export!$C295)+BG$87*SUM(GREET1_Import_Export!$D320:$E320)</f>
        <v>4.2848225295418301</v>
      </c>
      <c r="BH112" s="489"/>
      <c r="BI112" s="478"/>
      <c r="BJ112" s="581">
        <f>BJ$81*(BJ$71*V$50*GREET1_Import_Export!$K77+GREET1_Import_Export!$B206*GREET1_Import_Export!$F$179+GREET1_Import_Export!$F206)+BJ$82*(BJ$71*(V$52*GREET1_Import_Export!$Q77+V$53*GREET1_Import_Export!$O77+V$54*GREET1_Import_Export!$M77)+GREET1_Import_Export!$B206*GREET1_Import_Export!$G$179+GREET1_Import_Export!$G206)+BJ$83*(BJ$71*V$55*GREET1_Import_Export!$T77+GREET1_Import_Export!$B206*GREET1_Import_Export!$C$179+GREET1_Import_Export!$C206)+BJ$84*(BJ$71*V$56*GREET1_Import_Export!$W77+GREET1_Import_Export!$E242*GREET1_Import_Export!$F$215+GREET1_Import_Export!$F242)+BJ$85*(BJ$71*(V$57*GREET1_Import_Export!$B77+V$58*GREET1_Import_Export!$C77+V$59*GREET1_Import_Export!$G77+V$61*'GREET2_Factors_T&amp;D'!$F20+V$62*'GREET2_Factors_T&amp;D'!$G20)+GREET1_Import_Export!$B242)+BJ$86*(BJ$71*(V$64*GREET1_Import_Export!$AA77+V$65*GREET1_Import_Export!$AB77)+GREET1_Import_Export!$C295)+BJ$87*SUM(GREET1_Import_Export!$D320:$E320)</f>
        <v>47.92164600001847</v>
      </c>
      <c r="BK112" s="489"/>
      <c r="BL112" s="478"/>
      <c r="BM112" s="581">
        <f>BM$81*(BM$71*X$50*GREET1_Import_Export!$K77+GREET1_Import_Export!$B206*GREET1_Import_Export!$F$179+GREET1_Import_Export!$F206)+BM$82*(BM$71*(X$52*GREET1_Import_Export!$Q77+X$53*GREET1_Import_Export!$O77+X$54*GREET1_Import_Export!$M77)+GREET1_Import_Export!$B206*GREET1_Import_Export!$G$179+GREET1_Import_Export!$G206)+BM$83*(BM$71*X$55*GREET1_Import_Export!$T77+GREET1_Import_Export!$B206*GREET1_Import_Export!$C$179+GREET1_Import_Export!$C206)+BM$84*(BM$71*X$56*GREET1_Import_Export!$W77+GREET1_Import_Export!$E242*GREET1_Import_Export!$F$215+GREET1_Import_Export!$F242)+BM$85*(BM$71*(X$57*GREET1_Import_Export!$B77+X$58*GREET1_Import_Export!$C77+X$59*GREET1_Import_Export!$G77+X$61*'GREET2_Factors_T&amp;D'!$F20+X$62*'GREET2_Factors_T&amp;D'!$G20)+GREET1_Import_Export!$B242)+BM$86*(BM$71*(X$64*GREET1_Import_Export!$AA77+X$65*GREET1_Import_Export!$AB77)+GREET1_Import_Export!$C295)+BM$87*SUM(GREET1_Import_Export!$D320:$E320)</f>
        <v>7.9787030904717344</v>
      </c>
      <c r="BN112" s="489"/>
      <c r="BO112" s="478"/>
      <c r="BP112" s="233">
        <f>BP$81*(BP$71*Z$50*GREET1_Import_Export!$K77+GREET1_Import_Export!$B206*GREET1_Import_Export!$F$179+GREET1_Import_Export!$F206)+BP$82*(BP$71*(Z$52*GREET1_Import_Export!$Q77+Z$53*GREET1_Import_Export!$O77+Z$54*GREET1_Import_Export!$M77)+GREET1_Import_Export!$B206*GREET1_Import_Export!$G$179+GREET1_Import_Export!$G206)+BP$83*(BP$71*Z$55*GREET1_Import_Export!$T77+GREET1_Import_Export!$B206*GREET1_Import_Export!$C$179+GREET1_Import_Export!$C206)+BP$84*(BP$71*Z$56*GREET1_Import_Export!$W77+GREET1_Import_Export!$E242*GREET1_Import_Export!$F$215+GREET1_Import_Export!$F242)+BP$85*(BP$71*(Z$57*GREET1_Import_Export!$B77+Z$58*GREET1_Import_Export!$C77+Z$59*GREET1_Import_Export!$G77+Z$61*'GREET2_Factors_T&amp;D'!$F20+Z$62*'GREET2_Factors_T&amp;D'!$G20)+GREET1_Import_Export!$B242)+BP$86*(BP$71*(Z$64*GREET1_Import_Export!$AA77+Z$65*GREET1_Import_Export!$AB77)+GREET1_Import_Export!$C295)+BP$87*SUM(GREET1_Import_Export!$D320:$E320)</f>
        <v>0</v>
      </c>
      <c r="BQ112" s="1"/>
      <c r="BR112" s="235"/>
      <c r="BS112" s="1076">
        <f>BS$81*(BS$71*AA$50*GREET1_Import_Export!$K77+GREET1_Import_Export!$B206*GREET1_Import_Export!$F$179+GREET1_Import_Export!$F206)+BS$82*(BS$71*(AA$52*GREET1_Import_Export!$Q77+AA$53*GREET1_Import_Export!$O77+AA$54*GREET1_Import_Export!$M77)+GREET1_Import_Export!$B206*GREET1_Import_Export!$G$179+GREET1_Import_Export!$G206)+BS$83*(BS$71*AA$55*GREET1_Import_Export!$T77+GREET1_Import_Export!$B206*GREET1_Import_Export!$C$179+GREET1_Import_Export!$C206)+BS$84*(BS$71*AA$56*GREET1_Import_Export!$W77+GREET1_Import_Export!$E242*GREET1_Import_Export!$F$215+GREET1_Import_Export!$F242)+BS$85*(BS$71*(AA$57*GREET1_Import_Export!$B77+AA$58*GREET1_Import_Export!$C77+AA$59*GREET1_Import_Export!$G77+AA$61*'GREET2_Factors_T&amp;D'!$F20+AA$62*'GREET2_Factors_T&amp;D'!$G20)+GREET1_Import_Export!$B242)+BS$86*(BS$71*(AA$64*GREET1_Import_Export!$AA77+AA$65*GREET1_Import_Export!$AB77)+GREET1_Import_Export!$C295)+BS$87*(GREET1_Import_Export!$D320+GREET1_Import_Export!$E320)</f>
        <v>4.7328706762798314</v>
      </c>
      <c r="BT112" s="350"/>
      <c r="BU112" s="1082"/>
      <c r="BV112" s="1076">
        <f>BV$81*(BV$71*AB$50*GREET1_Import_Export!$K77+GREET1_Import_Export!$B206*GREET1_Import_Export!$F$179+GREET1_Import_Export!$F206)+BV$82*(BV$71*(AB$52*GREET1_Import_Export!$Q77+AB$53*GREET1_Import_Export!$O77+AB$54*GREET1_Import_Export!$M77)+GREET1_Import_Export!$B206*GREET1_Import_Export!$G$179+GREET1_Import_Export!$G206)+BV$83*(BV$71*AB$55*GREET1_Import_Export!$T77+GREET1_Import_Export!$B206*GREET1_Import_Export!$C$179+GREET1_Import_Export!$C206)+BV$84*(BV$71*AB$56*GREET1_Import_Export!$W77+GREET1_Import_Export!$E242*GREET1_Import_Export!$F$215+GREET1_Import_Export!$F242)+BV$85*(BV$71*(AB$57*GREET1_Import_Export!$B77+AB$58*GREET1_Import_Export!$C77+AB$59*GREET1_Import_Export!$G77+AB$61*'GREET2_Factors_T&amp;D'!$F20+AB$62*'GREET2_Factors_T&amp;D'!$G20)+GREET1_Import_Export!$B242)+BV$86*(BV$71*(AB$64*GREET1_Import_Export!$AA77+AB$65*GREET1_Import_Export!$AB77)+GREET1_Import_Export!$C295)+BV$87*(GREET1_Import_Export!$D320+GREET1_Import_Export!$E320)</f>
        <v>0</v>
      </c>
      <c r="BW112" s="350"/>
      <c r="BX112" s="1082"/>
      <c r="BY112" s="1076">
        <f>BY$81*(BY$71*AC$50*GREET1_Import_Export!$K77+GREET1_Import_Export!$B206*GREET1_Import_Export!$F$179+GREET1_Import_Export!$F206)+BY$82*(BY$71*(AC$52*GREET1_Import_Export!$Q77+AC$53*GREET1_Import_Export!$O77+AC$54*GREET1_Import_Export!$M77)+GREET1_Import_Export!$B206*GREET1_Import_Export!$G$179+GREET1_Import_Export!$G206)+BY$83*(BY$71*AC$55*GREET1_Import_Export!$T77+GREET1_Import_Export!$B206*GREET1_Import_Export!$C$179+GREET1_Import_Export!$C206)+BY$84*(BY$71*AC$56*GREET1_Import_Export!$W77+GREET1_Import_Export!$E242*GREET1_Import_Export!$F$215+GREET1_Import_Export!$F242)+BY$85*(BY$71*(AC$57*GREET1_Import_Export!$B77+AC$58*GREET1_Import_Export!$C77+AC$59*GREET1_Import_Export!$G77+AC$61*'GREET2_Factors_T&amp;D'!$F20+AC$62*'GREET2_Factors_T&amp;D'!$G20)+GREET1_Import_Export!$B242)+BY$86*(BY$71*(AC$64*GREET1_Import_Export!$AA77+AC$65*GREET1_Import_Export!$AB77)+GREET1_Import_Export!$C295)+BY$87*(GREET1_Import_Export!$D320+GREET1_Import_Export!$E320)</f>
        <v>5.6787817380448065</v>
      </c>
      <c r="BZ112" s="350"/>
      <c r="CA112" s="1082"/>
      <c r="CB112" s="1076">
        <f>CB$81*(CB$71*AD$50*GREET1_Import_Export!$K77+GREET1_Import_Export!$B206*GREET1_Import_Export!$F$179+GREET1_Import_Export!$F206)+CB$82*(CB$71*(AD$52*GREET1_Import_Export!$Q77+AD$53*GREET1_Import_Export!$O77+AD$54*GREET1_Import_Export!$M77)+GREET1_Import_Export!$B206*GREET1_Import_Export!$G$179+GREET1_Import_Export!$G206)+CB$83*(CB$71*AD$55*GREET1_Import_Export!$T77+GREET1_Import_Export!$B206*GREET1_Import_Export!$C$179+GREET1_Import_Export!$C206)+CB$84*(CB$71*AD$56*GREET1_Import_Export!$W77+GREET1_Import_Export!$E242*GREET1_Import_Export!$F$215+GREET1_Import_Export!$F242)+CB$85*(CB$71*(AD$57*GREET1_Import_Export!$B77+AD$58*GREET1_Import_Export!$C77+AD$59*GREET1_Import_Export!$G77+AD$61*'GREET2_Factors_T&amp;D'!$F20+AD$62*'GREET2_Factors_T&amp;D'!$G20)+GREET1_Import_Export!$B242)+CB$86*(CB$71*(AD$64*GREET1_Import_Export!$AA77+AD$65*GREET1_Import_Export!$AB77)+GREET1_Import_Export!$C295)+CB$87*(GREET1_Import_Export!$D320+GREET1_Import_Export!$E320)</f>
        <v>468.8432833842906</v>
      </c>
      <c r="CC112" s="350"/>
      <c r="CD112" s="1082"/>
      <c r="CE112" s="749">
        <f>CE$81*(CE$71*($AE$50*GREET1_Import_Export!$K77)+GREET1_Import_Export!$F$200*GREET1_Import_Export!$B206+GREET1_Import_Export!$F206)+CE$82*(CE$71*(GREET1_Import_Export!$R77)+GREET1_Import_Export!$H$200*GREET1_Import_Export!$B206+GREET1_Import_Export!$H206)+CE$83*(CE$71*(GREET1_Import_Export!$T77)+GREET1_Import_Export!$C$200*GREET1_Import_Export!$B206+GREET1_Import_Export!$C206)+CE$84*(CE$71*(GREET1_Import_Export!$X77)+GREET1_Import_Export!$B$10*(GREET1_Import_Export!$F$215*GREET1_Import_Export!$B242+GREET1_Import_Export!$F242)+GREET1_Import_Export!$C$10*(GREET1_Import_Export!$E$200*GREET1_Import_Export!$B206+GREET1_Import_Export!$E206))+CE$85*(CE$71*($AE$57*GREET1_Import_Export!$B77)+GREET1_Import_Export!$B242)+CE$86*(CE$71*($AE$64*GREET1_Import_Export!$AA77)+GREET1_Import_Export!$C295)+CE$87*(GREET1_Import_Export!$D320+GREET1_Import_Export!$E320)</f>
        <v>0</v>
      </c>
      <c r="CF112" s="1096"/>
      <c r="CG112" s="1321"/>
      <c r="CH112" s="1321"/>
      <c r="CI112" s="1321"/>
      <c r="CJ112" s="1321"/>
      <c r="CK112" s="1321"/>
      <c r="CL112" s="1321"/>
      <c r="CM112" s="1321"/>
      <c r="CN112" s="1321"/>
      <c r="CO112" s="1321"/>
      <c r="CP112" s="1321"/>
      <c r="CQ112" s="1321"/>
      <c r="CR112" s="1321"/>
      <c r="CS112" s="1321"/>
      <c r="CT112" s="1321"/>
      <c r="CU112" s="1321"/>
      <c r="CV112" s="1321"/>
      <c r="CW112" s="1321"/>
      <c r="CX112" s="1321"/>
      <c r="CY112" s="1321"/>
      <c r="CZ112" s="1321"/>
      <c r="DA112" s="1321"/>
      <c r="DB112" s="1321"/>
      <c r="DC112" s="1321"/>
      <c r="DD112" s="1321"/>
      <c r="DE112" s="1321"/>
      <c r="DF112" s="1321"/>
      <c r="DG112" s="1321"/>
      <c r="DH112" s="1321"/>
      <c r="DI112" s="1321"/>
      <c r="DJ112" s="1321"/>
      <c r="DK112" s="1321"/>
      <c r="DL112" s="1321"/>
      <c r="DM112" s="1321"/>
      <c r="DN112" s="1321"/>
      <c r="DO112" s="1321"/>
      <c r="DP112" s="1321"/>
      <c r="DQ112" s="1321"/>
      <c r="DR112" s="1321"/>
      <c r="DS112" s="1321"/>
      <c r="DT112" s="1321"/>
      <c r="DU112" s="1321"/>
      <c r="DV112" s="1321"/>
      <c r="DW112" s="1321"/>
      <c r="DX112" s="1321"/>
      <c r="DY112" s="1321"/>
      <c r="DZ112" s="1321"/>
      <c r="EA112" s="1321"/>
      <c r="EB112" s="1321"/>
      <c r="EC112" s="1321"/>
      <c r="ED112" s="1321"/>
      <c r="EE112" s="1321"/>
      <c r="EF112" s="1321"/>
      <c r="EG112" s="1321"/>
      <c r="EH112" s="1321"/>
      <c r="EI112" s="1321"/>
      <c r="EJ112" s="1321"/>
      <c r="EK112" s="1321"/>
      <c r="EL112" s="1321"/>
      <c r="EM112" s="1321"/>
      <c r="EN112" s="1321"/>
      <c r="EO112" s="1321"/>
      <c r="EP112" s="1321"/>
      <c r="EQ112" s="1321"/>
      <c r="ER112" s="1321"/>
      <c r="ES112" s="1321"/>
      <c r="ET112" s="1321"/>
      <c r="EU112" s="1321"/>
      <c r="EV112" s="1321"/>
      <c r="EW112" s="1321"/>
      <c r="EX112" s="1321"/>
      <c r="EY112" s="1321"/>
      <c r="EZ112" s="1321"/>
      <c r="FA112" s="1321"/>
      <c r="FB112" s="1321"/>
    </row>
    <row r="113" spans="1:158">
      <c r="A113" s="291" t="s">
        <v>827</v>
      </c>
      <c r="B113" s="233">
        <f>B$81*(B$71*B$50*GREET1_Import_Export!$K78+GREET1_Import_Export!$B207*GREET1_Import_Export!$F$179+GREET1_Import_Export!$F207)+B$82*(B$71*(B$52*GREET1_Import_Export!$Q78+B$53*GREET1_Import_Export!$O78+B$54*GREET1_Import_Export!$M78)+GREET1_Import_Export!$B207*GREET1_Import_Export!$G$179+GREET1_Import_Export!$G207)+B$83*(B$71*B$55*GREET1_Import_Export!$T78+GREET1_Import_Export!$B207*GREET1_Import_Export!$C$179+GREET1_Import_Export!$C207)+B$84*(B$71*B$56*GREET1_Import_Export!$W78+GREET1_Import_Export!$E243*GREET1_Import_Export!$F$215+GREET1_Import_Export!$F243)+B$85*(B$71*(B$57*GREET1_Import_Export!$B78+B$58*GREET1_Import_Export!$C78+B$59*GREET1_Import_Export!$G78+B$61*'GREET2_Factors_T&amp;D'!$F21+B$62*'GREET2_Factors_T&amp;D'!$G21)+GREET1_Import_Export!$B243)+B$86*(B$71*(B$64*GREET1_Import_Export!$AA78+B$65*GREET1_Import_Export!$AB78)+GREET1_Import_Export!$C296)+B$87*SUM(GREET1_Import_Export!$D321:$E321)</f>
        <v>0</v>
      </c>
      <c r="C113" s="1"/>
      <c r="D113" s="235"/>
      <c r="E113" s="233">
        <f>E$81*(E$71*C$50*GREET1_Import_Export!$K78+GREET1_Import_Export!$B207*GREET1_Import_Export!$F$179+GREET1_Import_Export!$F207)+E$82*(E$71*(C$52*GREET1_Import_Export!$Q78+C$53*GREET1_Import_Export!$O78+C$54*GREET1_Import_Export!$M78)+GREET1_Import_Export!$B207*GREET1_Import_Export!$G$179+GREET1_Import_Export!$G207)+E$83*(E$71*C$55*GREET1_Import_Export!$T78+GREET1_Import_Export!$B207*GREET1_Import_Export!$C$179+GREET1_Import_Export!$C207)+E$84*(E$71*C$56*GREET1_Import_Export!$W78+GREET1_Import_Export!$E243*GREET1_Import_Export!$F$215+GREET1_Import_Export!$F243)+E$85*(E$71*(C$57*GREET1_Import_Export!$B78+C$58*GREET1_Import_Export!$C78+C$59*GREET1_Import_Export!$G78+C$61*'GREET2_Factors_T&amp;D'!$F21+C$62*'GREET2_Factors_T&amp;D'!$G21)+GREET1_Import_Export!$B243)+E$86*(E$71*(C$64*GREET1_Import_Export!$AA78+C$65*GREET1_Import_Export!$AB78)+GREET1_Import_Export!$C296)+E$87*SUM(GREET1_Import_Export!$D321:$E321)</f>
        <v>0</v>
      </c>
      <c r="F113" s="1"/>
      <c r="G113" s="235"/>
      <c r="H113" s="233">
        <f>H$81*(H$71*D$50*GREET1_Import_Export!$K78+GREET1_Import_Export!$B207*GREET1_Import_Export!$F$179+GREET1_Import_Export!$F207)+H$82*(H$71*(D$52*GREET1_Import_Export!$Q78+D$53*GREET1_Import_Export!$O78+D$54*GREET1_Import_Export!$M78)+GREET1_Import_Export!$B207*GREET1_Import_Export!$G$179+GREET1_Import_Export!$G207)+H$83*(H$71*D$55*GREET1_Import_Export!$T78+GREET1_Import_Export!$B207*GREET1_Import_Export!$C$179+GREET1_Import_Export!$C207)+H$84*(H$71*D$56*GREET1_Import_Export!$W78+GREET1_Import_Export!$E243*GREET1_Import_Export!$F$215+GREET1_Import_Export!$F243)+H$85*(H$71*(D$57*GREET1_Import_Export!$B78+D$58*GREET1_Import_Export!$C78+D$59*GREET1_Import_Export!$G78+D$61*'GREET2_Factors_T&amp;D'!$F21+D$62*'GREET2_Factors_T&amp;D'!$G21)+GREET1_Import_Export!$B243)+H$86*(H$71*(D$64*GREET1_Import_Export!$AA78+D$65*GREET1_Import_Export!$AB78)+GREET1_Import_Export!$C296)+H$87*SUM(GREET1_Import_Export!$D321:$E321)</f>
        <v>8.7046744954945354E-2</v>
      </c>
      <c r="I113" s="1"/>
      <c r="J113" s="235"/>
      <c r="K113" s="233">
        <f>K$81*(K$71*E$50*GREET1_Import_Export!$K78+GREET1_Import_Export!$B207*GREET1_Import_Export!$F$179+GREET1_Import_Export!$F207)+K$82*(K$71*(E$52*GREET1_Import_Export!$Q78+E$53*GREET1_Import_Export!$O78+E$54*GREET1_Import_Export!$M78)+GREET1_Import_Export!$B207*GREET1_Import_Export!$G$179+GREET1_Import_Export!$G207)+K$83*(K$71*E$55*GREET1_Import_Export!$T78+GREET1_Import_Export!$B207*GREET1_Import_Export!$C$179+GREET1_Import_Export!$C207)+K$84*(K$71*E$56*GREET1_Import_Export!$W78+GREET1_Import_Export!$E243*GREET1_Import_Export!$F$215+GREET1_Import_Export!$F243)+K$85*(K$71*(E$57*GREET1_Import_Export!$B78+E$58*GREET1_Import_Export!$C78+E$59*GREET1_Import_Export!$G78+E$61*'GREET2_Factors_T&amp;D'!$F21+E$62*'GREET2_Factors_T&amp;D'!$G21)+GREET1_Import_Export!$B243)+K$86*(K$71*(E$64*GREET1_Import_Export!$AA78+E$65*GREET1_Import_Export!$AB78)+GREET1_Import_Export!$C296)+K$87*SUM(GREET1_Import_Export!$D321:$E321)</f>
        <v>2.4980921789016794</v>
      </c>
      <c r="L113" s="1"/>
      <c r="M113" s="235"/>
      <c r="N113" s="233">
        <f>N$81*(N$71*F$50*GREET1_Import_Export!$K78+GREET1_Import_Export!$B207*GREET1_Import_Export!$F$179+GREET1_Import_Export!$F207)+N$82*(N$71*(F$52*GREET1_Import_Export!$Q78+F$53*GREET1_Import_Export!$O78+F$54*GREET1_Import_Export!$M78)+GREET1_Import_Export!$B207*GREET1_Import_Export!$G$179+GREET1_Import_Export!$G207)+N$83*(N$71*F$55*GREET1_Import_Export!$T78+GREET1_Import_Export!$B207*GREET1_Import_Export!$C$179+GREET1_Import_Export!$C207)+N$84*(N$71*F$56*GREET1_Import_Export!$W78+GREET1_Import_Export!$E243*GREET1_Import_Export!$F$215+GREET1_Import_Export!$F243)+N$85*(N$71*(F$57*GREET1_Import_Export!$B78+F$58*GREET1_Import_Export!$C78+F$59*GREET1_Import_Export!$G78+F$61*'GREET2_Factors_T&amp;D'!$F21+F$62*'GREET2_Factors_T&amp;D'!$G21)+GREET1_Import_Export!$B243)+N$86*(N$71*(F$64*GREET1_Import_Export!$AA78+F$65*GREET1_Import_Export!$AB78)+GREET1_Import_Export!$C296)+N$87*SUM(GREET1_Import_Export!$D321:$E321)</f>
        <v>8.7046744954945354E-2</v>
      </c>
      <c r="O113" s="1"/>
      <c r="P113" s="235"/>
      <c r="Q113" s="581">
        <f>Q$81*(Q$71*G$50*GREET1_Import_Export!$K78+GREET1_Import_Export!$B207*GREET1_Import_Export!$F$179+GREET1_Import_Export!$F207)+Q$82*(Q$71*(G$52*GREET1_Import_Export!$Q78+G$53*GREET1_Import_Export!$O78+G$54*GREET1_Import_Export!$M78)+GREET1_Import_Export!$B207*GREET1_Import_Export!$G$179+GREET1_Import_Export!$G207)+Q$83*(Q$71*G$55*GREET1_Import_Export!$T78+GREET1_Import_Export!$B207*GREET1_Import_Export!$C$179+GREET1_Import_Export!$C207)+Q$84*(Q$71*G$56*GREET1_Import_Export!$W78+GREET1_Import_Export!$E243*GREET1_Import_Export!$F$215+GREET1_Import_Export!$F243)+Q$85*(Q$71*(G$57*GREET1_Import_Export!$B78+G$58*GREET1_Import_Export!$C78+G$59*GREET1_Import_Export!$G78+G$61*'GREET2_Factors_T&amp;D'!$F21+G$62*'GREET2_Factors_T&amp;D'!$G21)+GREET1_Import_Export!$B243)+Q$86*(Q$71*(G$64*GREET1_Import_Export!$AA78+G$65*GREET1_Import_Export!$AB78)+GREET1_Import_Export!$C296)
+Q$87*($B$46*(GREET1_Import_Export!$D321+GREET1_Import_Export!E321)+$C$46*GREET1_Import_Export!L369+$D$46*GREET1_Import_Export!H369+$E$46*GREET1_Import_Export!Q369+$F$46*GREET1_Import_Export!R369+SUMPRODUCT($G$46:$I$46,GREET1_Import_Export!N369:P369))</f>
        <v>2.4980921789016794</v>
      </c>
      <c r="R113" s="1"/>
      <c r="S113" s="235"/>
      <c r="T113" s="581">
        <f>T$81*(T$71*BZ$50*GREET1_Import_Export!$K78+GREET1_Import_Export!$B207*GREET1_Import_Export!$F$179+GREET1_Import_Export!$F207)+T$82*(T$71*(BZ$52*GREET1_Import_Export!$Q78+BZ$53*GREET1_Import_Export!$O78+BZ$54*GREET1_Import_Export!$M78)+GREET1_Import_Export!$B207*GREET1_Import_Export!$G$179+GREET1_Import_Export!$G207)+T$83*(T$71*BZ$55*GREET1_Import_Export!$T78+GREET1_Import_Export!$B207*GREET1_Import_Export!$C$179+GREET1_Import_Export!$C207)+T$84*(T$71*BZ$56*GREET1_Import_Export!$W78+GREET1_Import_Export!$E243*GREET1_Import_Export!$F$215+GREET1_Import_Export!$F243)+T$85*(T$71*(BZ$57*GREET1_Import_Export!$B78+BZ$58*GREET1_Import_Export!$C78+BZ$59*GREET1_Import_Export!$G78+BZ$61*'GREET2_Factors_T&amp;D'!$F21+BZ$62*'GREET2_Factors_T&amp;D'!$G21)+GREET1_Import_Export!$B243)+T$86*(T$71*(BZ$64*GREET1_Import_Export!$AA78+BZ$65*GREET1_Import_Export!$AB78)+GREET1_Import_Export!$C296)+T$87*SUM(GREET1_Import_Export!$D321:$E321)</f>
        <v>8.7046744954945354E-2</v>
      </c>
      <c r="U113" s="1"/>
      <c r="V113" s="235"/>
      <c r="W113" s="581">
        <f>W$81*(W$71*I$50*GREET1_Import_Export!$K78+GREET1_Import_Export!$B207*GREET1_Import_Export!$F$179+GREET1_Import_Export!$F207)+W$82*(W$71*(I$52*GREET1_Import_Export!$Q78+I$53*GREET1_Import_Export!$O78+I$54*GREET1_Import_Export!$M78)+GREET1_Import_Export!$B207*GREET1_Import_Export!$G$179+GREET1_Import_Export!$G207)+W$83*(W$71*I$55*GREET1_Import_Export!$T78+GREET1_Import_Export!$B207*GREET1_Import_Export!$C$179+GREET1_Import_Export!$C207)+W$84*(W$71*I$56*GREET1_Import_Export!$W78+GREET1_Import_Export!$E243*GREET1_Import_Export!$F$215+GREET1_Import_Export!$F243)+W$85*(W$71*(I$57*GREET1_Import_Export!$B78+I$58*GREET1_Import_Export!$C78+I$59*GREET1_Import_Export!$G78+I$61*'GREET2_Factors_T&amp;D'!$F21+I$62*'GREET2_Factors_T&amp;D'!$G21)+GREET1_Import_Export!$B243)+W$86*(W$71*(I$64*GREET1_Import_Export!$AA78+I$65*GREET1_Import_Export!$AB78)+GREET1_Import_Export!$C296)+W$87*($B$46*(GREET1_Import_Export!$D321+GREET1_Import_Export!E321)+$C$46*GREET1_Import_Export!L369+$D$46*GREET1_Import_Export!H369+$E$46*GREET1_Import_Export!Q369+$F$46*GREET1_Import_Export!R369+SUMPRODUCT($G$46:$I$46,GREET1_Import_Export!N369:P369))</f>
        <v>2.4980921789016794</v>
      </c>
      <c r="X113" s="1"/>
      <c r="Y113" s="235"/>
      <c r="Z113" s="233">
        <f>Z$81*(Z$71*J$50*GREET1_Import_Export!$K78+GREET1_Import_Export!$B207*GREET1_Import_Export!$F$179+GREET1_Import_Export!$F207)+Z$82*(Z$71*(J$52*GREET1_Import_Export!$Q78+J$53*GREET1_Import_Export!$O78+J$54*GREET1_Import_Export!$M78)+GREET1_Import_Export!$B207*GREET1_Import_Export!$G$179+GREET1_Import_Export!$G207)+Z$83*(Z$71*J$55*GREET1_Import_Export!$T78+GREET1_Import_Export!$B207*GREET1_Import_Export!$C$179+GREET1_Import_Export!$C207)+Z$84*(Z$71*J$56*GREET1_Import_Export!$W78+GREET1_Import_Export!$E243*GREET1_Import_Export!$F$215+GREET1_Import_Export!$F243)+Z$85*(Z$71*(J$57*GREET1_Import_Export!$B78+J$58*GREET1_Import_Export!$C78+J$59*GREET1_Import_Export!$G78+J$61*'GREET2_Factors_T&amp;D'!$F21+J$62*'GREET2_Factors_T&amp;D'!$G21)+GREET1_Import_Export!$B243)+Z$86*(Z$71*(J$64*GREET1_Import_Export!$AA78+J$65*GREET1_Import_Export!$AB78)+GREET1_Import_Export!$C296)+Z$87*SUM(GREET1_Import_Export!$D321:$E321)</f>
        <v>8.7046744954945354E-2</v>
      </c>
      <c r="AA113" s="1"/>
      <c r="AB113" s="235"/>
      <c r="AC113" s="581">
        <f>AC$81*(AC$71*K$50*GREET1_Import_Export!$K78+GREET1_Import_Export!$B207*GREET1_Import_Export!$F$179+GREET1_Import_Export!$F207)+AC$82*(AC$71*(K$52*GREET1_Import_Export!$Q78+K$53*GREET1_Import_Export!$O78+K$54*GREET1_Import_Export!$M78)+GREET1_Import_Export!$B207*GREET1_Import_Export!$G$179+GREET1_Import_Export!$G207)+AC$83*(AC$71*K$55*GREET1_Import_Export!$T78+GREET1_Import_Export!$B207*GREET1_Import_Export!$C$179+GREET1_Import_Export!$C207)+AC$84*(AC$71*K$56*GREET1_Import_Export!$W78+GREET1_Import_Export!$E243*GREET1_Import_Export!$F$215+GREET1_Import_Export!$F243)+AC$85*(AC$71*(K$57*GREET1_Import_Export!$B78+K$58*GREET1_Import_Export!$C78+K$59*GREET1_Import_Export!$G78+K$61*'GREET2_Factors_T&amp;D'!$F21+K$62*'GREET2_Factors_T&amp;D'!$G21)+GREET1_Import_Export!$B243)+AC$86*(AC$71*(K$64*GREET1_Import_Export!$AA78+K$65*GREET1_Import_Export!$AB78)+GREET1_Import_Export!$C296)+AC$87*($B$46*(GREET1_Import_Export!$D321+GREET1_Import_Export!E321)+$C$46*GREET1_Import_Export!L369+$D$46*GREET1_Import_Export!H369+$E$46*GREET1_Import_Export!Q369+$F$46*GREET1_Import_Export!R369+SUMPRODUCT($G$46:$I$46,GREET1_Import_Export!N369:P369))</f>
        <v>2.4980921789016794</v>
      </c>
      <c r="AD113" s="1"/>
      <c r="AE113" s="235"/>
      <c r="AF113" s="233">
        <f>AF$81*(AF$71*L$50*GREET1_Import_Export!$K78+GREET1_Import_Export!$B207*GREET1_Import_Export!$F$179+GREET1_Import_Export!$F207)+AF$82*(AF$71*(L$52*GREET1_Import_Export!$Q78+L$53*GREET1_Import_Export!$O78+L$54*GREET1_Import_Export!$M78)+GREET1_Import_Export!$B207*GREET1_Import_Export!$G$179+GREET1_Import_Export!$G207)+AF$83*(AF$71*L$55*GREET1_Import_Export!$T78+GREET1_Import_Export!$B207*GREET1_Import_Export!$C$179+GREET1_Import_Export!$C207)+AF$84*(AF$71*L$56*GREET1_Import_Export!$W78+GREET1_Import_Export!$E243*GREET1_Import_Export!$F$215+GREET1_Import_Export!$F243)+AF$85*(AF$71*(L$57*GREET1_Import_Export!$B78+L$58*GREET1_Import_Export!$C78+L$59*GREET1_Import_Export!$G78+L$61*'GREET2_Factors_T&amp;D'!$F21+L$62*'GREET2_Factors_T&amp;D'!$G21)+GREET1_Import_Export!$B243)+AF$86*(AF$71*(L$64*GREET1_Import_Export!$AA78+L$65*GREET1_Import_Export!$AB78)+GREET1_Import_Export!$C296)+AF$87*SUM(GREET1_Import_Export!$D321:$E321)</f>
        <v>8.7046744954945354E-2</v>
      </c>
      <c r="AG113" s="489"/>
      <c r="AH113" s="478"/>
      <c r="AI113" s="581">
        <f>AI$81*(AI$71*M$50*GREET1_Import_Export!$K78+GREET1_Import_Export!$B207*GREET1_Import_Export!$F$179+GREET1_Import_Export!$F207)+AI$82*(AI$71*(M$52*GREET1_Import_Export!$Q78+M$53*GREET1_Import_Export!$O78+M$54*GREET1_Import_Export!$M78)+GREET1_Import_Export!$B207*GREET1_Import_Export!$G$179+GREET1_Import_Export!$G207)+AI$83*(AI$71*M$55*GREET1_Import_Export!$T78+GREET1_Import_Export!$B207*GREET1_Import_Export!$C$179+GREET1_Import_Export!$C207)+AI$84*(AI$71*M$56*GREET1_Import_Export!$W78+GREET1_Import_Export!$E243*GREET1_Import_Export!$F$215+GREET1_Import_Export!$F243)+AI$85*(AI$71*(M$57*GREET1_Import_Export!$B78+M$58*GREET1_Import_Export!$C78+M$59*GREET1_Import_Export!$G78+M$61*'GREET2_Factors_T&amp;D'!$F21+M$62*'GREET2_Factors_T&amp;D'!$G21)+GREET1_Import_Export!$B243)+AI$86*(AI$71*(M$64*GREET1_Import_Export!$AA78+M$65*GREET1_Import_Export!$AB78)+GREET1_Import_Export!$C296)+AI$87*($B$46*(GREET1_Import_Export!$D321+GREET1_Import_Export!E321)+$C$46*GREET1_Import_Export!L369+$D$46*GREET1_Import_Export!H369+$E$46*GREET1_Import_Export!Q369+$F$46*GREET1_Import_Export!R369+SUMPRODUCT($G$46:$I$46,GREET1_Import_Export!N369:P369))</f>
        <v>2.8549624901733459</v>
      </c>
      <c r="AJ113" s="1"/>
      <c r="AK113" s="235"/>
      <c r="AL113" s="233">
        <f>AL$81*(AL$71*N$50*GREET1_Import_Export!$K78+GREET1_Import_Export!$B207*GREET1_Import_Export!$F$179+GREET1_Import_Export!$F207)+AL$82*(AL$71*(N$52*GREET1_Import_Export!$Q78+N$53*GREET1_Import_Export!$O78+N$54*GREET1_Import_Export!$M78)+GREET1_Import_Export!$B207*GREET1_Import_Export!$G$179+GREET1_Import_Export!$G207)+AL$83*(AL$71*N$55*GREET1_Import_Export!$T78+GREET1_Import_Export!$B207*GREET1_Import_Export!$C$179+GREET1_Import_Export!$C207)+AL$84*(AL$71*N$56*GREET1_Import_Export!$W78+GREET1_Import_Export!$E243*GREET1_Import_Export!$F$215+GREET1_Import_Export!$F243)+AL$85*(AL$71*(N$57*GREET1_Import_Export!$B78+N$58*GREET1_Import_Export!$C78+N$59*GREET1_Import_Export!$G78+N$61*'GREET2_Factors_T&amp;D'!$F21+N$62*'GREET2_Factors_T&amp;D'!$G21)+GREET1_Import_Export!$B243)+AL$86*(AL$71*(N$64*GREET1_Import_Export!$AA78+N$65*GREET1_Import_Export!$AB78)+GREET1_Import_Export!$C296)+AL$87*SUM(GREET1_Import_Export!$D321:$E321)</f>
        <v>0.14139650746842161</v>
      </c>
      <c r="AM113" s="1"/>
      <c r="AN113" s="235"/>
      <c r="AO113" s="233">
        <f>AO$81*(AO$71*O$50*GREET1_Import_Export!$K78+GREET1_Import_Export!$B207*GREET1_Import_Export!$F$179+GREET1_Import_Export!$F207)+AO$82*(AO$71*(O$52*GREET1_Import_Export!$Q78+O$53*GREET1_Import_Export!$O78+O$54*GREET1_Import_Export!$M78)+GREET1_Import_Export!$B207*GREET1_Import_Export!$G$179+GREET1_Import_Export!$G207)+AO$83*(AO$71*O$55*GREET1_Import_Export!$T78+GREET1_Import_Export!$B207*GREET1_Import_Export!$C$179+GREET1_Import_Export!$C207)+AO$84*(AO$71*O$56*GREET1_Import_Export!$W78+GREET1_Import_Export!$E243*GREET1_Import_Export!$F$215+GREET1_Import_Export!$F243)+AO$85*(AO$71*(O$57*GREET1_Import_Export!$B78+O$58*GREET1_Import_Export!$C78+O$59*GREET1_Import_Export!$G78+O$61*'GREET2_Factors_T&amp;D'!$F21+O$62*'GREET2_Factors_T&amp;D'!$G21)+GREET1_Import_Export!$B243)+AO$86*(AO$71*(O$64*GREET1_Import_Export!$AA78+O$65*GREET1_Import_Export!$AB78)+GREET1_Import_Export!$C296)+AO$87*SUM(GREET1_Import_Export!$D321:$E321)</f>
        <v>2.703768434964585</v>
      </c>
      <c r="AP113" s="1"/>
      <c r="AQ113" s="235"/>
      <c r="AR113" s="233">
        <f>AR$81*(AR$71*P$50*GREET1_Import_Export!$K78+GREET1_Import_Export!$B207*GREET1_Import_Export!$F$179+GREET1_Import_Export!$F207)+AR$82*(AR$71*(P$52*GREET1_Import_Export!$Q78+P$53*GREET1_Import_Export!$O78+P$54*GREET1_Import_Export!$M78)+GREET1_Import_Export!$B207*GREET1_Import_Export!$G$179+GREET1_Import_Export!$G207)+AR$83*(AR$71*P$55*GREET1_Import_Export!$T78+GREET1_Import_Export!$B207*GREET1_Import_Export!$C$179+GREET1_Import_Export!$C207)+AR$84*(AR$71*P$56*GREET1_Import_Export!$W78+GREET1_Import_Export!$E243*GREET1_Import_Export!$F$215+GREET1_Import_Export!$F243)+AR$85*(AR$71*(P$57*GREET1_Import_Export!$B78+P$58*GREET1_Import_Export!$C78+P$59*GREET1_Import_Export!$G78+P$61*'GREET2_Factors_T&amp;D'!$F21+P$62*'GREET2_Factors_T&amp;D'!$G21)+GREET1_Import_Export!$B243)+AR$86*(AR$71*(P$64*GREET1_Import_Export!$AA78+P$65*GREET1_Import_Export!$AB78)+GREET1_Import_Export!$C296)+AR$87*SUM(GREET1_Import_Export!$D321:$E321)</f>
        <v>7.0824599636399491E-2</v>
      </c>
      <c r="AS113" s="1"/>
      <c r="AT113" s="235"/>
      <c r="AU113" s="233">
        <f>AU$81*(AU$71*Q$50*GREET1_Import_Export!$K78+GREET1_Import_Export!$B207*GREET1_Import_Export!$F$179+GREET1_Import_Export!$F207)+AU$82*(AU$71*(Q$52*GREET1_Import_Export!$Q78+Q$53*GREET1_Import_Export!$O78+Q$54*GREET1_Import_Export!$M78)+GREET1_Import_Export!$B207*GREET1_Import_Export!$G$179+GREET1_Import_Export!$G207)+AU$83*(AU$71*Q$55*GREET1_Import_Export!$T78+GREET1_Import_Export!$B207*GREET1_Import_Export!$C$179+GREET1_Import_Export!$C207)+AU$84*(AU$71*Q$56*GREET1_Import_Export!$W78+GREET1_Import_Export!$E243*GREET1_Import_Export!$F$215+GREET1_Import_Export!$F243)+AU$85*(AU$71*(Q$57*GREET1_Import_Export!$B78+Q$58*GREET1_Import_Export!$C78+Q$59*GREET1_Import_Export!$G78+Q$61*'GREET2_Factors_T&amp;D'!$F21+Q$62*'GREET2_Factors_T&amp;D'!$G21)+GREET1_Import_Export!$B243)+AU$86*(AU$71*(Q$64*GREET1_Import_Export!$AA78+Q$65*GREET1_Import_Export!$AB78)+GREET1_Import_Export!$C296)+AU$87*SUM(GREET1_Import_Export!$D321:$E321)</f>
        <v>3.5280646293785176E-2</v>
      </c>
      <c r="AV113" s="1"/>
      <c r="AW113" s="235"/>
      <c r="AX113" s="233">
        <f>AX$81*(AX$71*R$50*GREET1_Import_Export!$K78+GREET1_Import_Export!$B207*GREET1_Import_Export!$F$179+GREET1_Import_Export!$F207)+AX$82*(AX$71*(R$52*GREET1_Import_Export!$Q78+R$53*GREET1_Import_Export!$O78+R$54*GREET1_Import_Export!$M78)+GREET1_Import_Export!$B207*GREET1_Import_Export!$G$179+GREET1_Import_Export!$G207)+AX$83*(AX$71*R$55*GREET1_Import_Export!$T78+GREET1_Import_Export!$B207*GREET1_Import_Export!$C$179+GREET1_Import_Export!$C207)+AX$84*(AX$71*R$56*GREET1_Import_Export!$W78+GREET1_Import_Export!$E243*GREET1_Import_Export!$F$215+GREET1_Import_Export!$F243)+AX$85*(AX$71*(R$57*GREET1_Import_Export!$B78+R$58*GREET1_Import_Export!$C78+R$59*GREET1_Import_Export!$G78+R$61*'GREET2_Factors_T&amp;D'!$F21+R$62*'GREET2_Factors_T&amp;D'!$G21)+GREET1_Import_Export!$B243)+AX$86*(AX$71*(R$64*GREET1_Import_Export!$AA78+R$65*GREET1_Import_Export!$AB78)+GREET1_Import_Export!$C296)+AX$87*SUM(GREET1_Import_Export!$D321:$E321)</f>
        <v>6.1535826516148761E-3</v>
      </c>
      <c r="AY113" s="1"/>
      <c r="AZ113" s="235"/>
      <c r="BA113" s="233">
        <f>BA$81*(BA$71*S$50*GREET1_Import_Export!$K78+GREET1_Import_Export!$B207*GREET1_Import_Export!$F$179+GREET1_Import_Export!$F207)+BA$82*(BA$71*(S$52*GREET1_Import_Export!$Q78+S$53*GREET1_Import_Export!$O78+S$54*GREET1_Import_Export!$M78)+GREET1_Import_Export!$B207*GREET1_Import_Export!$G$179+GREET1_Import_Export!$G207)+BA$83*(BA$71*S$55*GREET1_Import_Export!$T78+GREET1_Import_Export!$B207*GREET1_Import_Export!$C$179+GREET1_Import_Export!$C207)+BA$84*(BA$71*S$56*GREET1_Import_Export!$W78+GREET1_Import_Export!$E243*GREET1_Import_Export!$F$215+GREET1_Import_Export!$F243)+BA$85*(BA$71*(S$57*GREET1_Import_Export!$B78+S$58*GREET1_Import_Export!$C78+S$59*GREET1_Import_Export!$G78+S$61*'GREET2_Factors_T&amp;D'!$F21+S$62*'GREET2_Factors_T&amp;D'!$G21)+GREET1_Import_Export!$B243)+BA$86*(BA$71*(S$64*GREET1_Import_Export!$AA78+S$65*GREET1_Import_Export!$AB78)+GREET1_Import_Export!$C296)+BA$87*SUM(GREET1_Import_Export!$D321:$E321)</f>
        <v>2.1412218676300121</v>
      </c>
      <c r="BB113" s="1"/>
      <c r="BC113" s="235"/>
      <c r="BD113" s="581">
        <f>BD$81*(BD$71*T$50*GREET1_Import_Export!$K78+GREET1_Import_Export!$B207*GREET1_Import_Export!$F$179+GREET1_Import_Export!$F207)+BD$82*(BD$71*(T$52*GREET1_Import_Export!$Q78+T$53*GREET1_Import_Export!$O78+T$54*GREET1_Import_Export!$M78)+GREET1_Import_Export!$B207*GREET1_Import_Export!$G$179+GREET1_Import_Export!$G207)+BD$83*(BD$71*T$55*GREET1_Import_Export!$T78+GREET1_Import_Export!$B207*GREET1_Import_Export!$C$179+GREET1_Import_Export!$C207)+BD$84*(BD$71*T$56*GREET1_Import_Export!$W78+GREET1_Import_Export!$E243*GREET1_Import_Export!$F$215+GREET1_Import_Export!$F243)+BD$85*(BD$71*(T$57*GREET1_Import_Export!$B78+T$58*GREET1_Import_Export!$C78+T$59*GREET1_Import_Export!$G78+T$61*'GREET2_Factors_T&amp;D'!$F21+T$62*'GREET2_Factors_T&amp;D'!$G21)+GREET1_Import_Export!$B243)+BD$86*(BD$71*(T$64*GREET1_Import_Export!$AA78+T$65*GREET1_Import_Export!$AB78)+GREET1_Import_Export!$C296)+BD$87*SUM(GREET1_Import_Export!$D321:$E321)</f>
        <v>1.7292134148644636</v>
      </c>
      <c r="BE113" s="489"/>
      <c r="BF113" s="478"/>
      <c r="BG113" s="581">
        <f>BG$81*(BG$71*U$50*GREET1_Import_Export!$K78+GREET1_Import_Export!$B207*GREET1_Import_Export!$F$179+GREET1_Import_Export!$F207)+BG$82*(BG$71*(U$52*GREET1_Import_Export!$Q78+U$53*GREET1_Import_Export!$O78+U$54*GREET1_Import_Export!$M78)+GREET1_Import_Export!$B207*GREET1_Import_Export!$G$179+GREET1_Import_Export!$G207)+BG$83*(BG$71*U$55*GREET1_Import_Export!$T78+GREET1_Import_Export!$B207*GREET1_Import_Export!$C$179+GREET1_Import_Export!$C207)+BG$84*(BG$71*U$56*GREET1_Import_Export!$W78+GREET1_Import_Export!$E243*GREET1_Import_Export!$F$215+GREET1_Import_Export!$F243)+BG$85*(BG$71*(U$57*GREET1_Import_Export!$B78+U$58*GREET1_Import_Export!$C78+U$59*GREET1_Import_Export!$G78+U$61*'GREET2_Factors_T&amp;D'!$F21+U$62*'GREET2_Factors_T&amp;D'!$G21)+GREET1_Import_Export!$B243)+BG$86*(BG$71*(U$64*GREET1_Import_Export!$AA78+U$65*GREET1_Import_Export!$AB78)+GREET1_Import_Export!$C296)+BG$87*SUM(GREET1_Import_Export!$D321:$E321)</f>
        <v>6.5679554367702772E-2</v>
      </c>
      <c r="BH113" s="489"/>
      <c r="BI113" s="478"/>
      <c r="BJ113" s="581">
        <f>BJ$81*(BJ$71*V$50*GREET1_Import_Export!$K78+GREET1_Import_Export!$B207*GREET1_Import_Export!$F$179+GREET1_Import_Export!$F207)+BJ$82*(BJ$71*(V$52*GREET1_Import_Export!$Q78+V$53*GREET1_Import_Export!$O78+V$54*GREET1_Import_Export!$M78)+GREET1_Import_Export!$B207*GREET1_Import_Export!$G$179+GREET1_Import_Export!$G207)+BJ$83*(BJ$71*V$55*GREET1_Import_Export!$T78+GREET1_Import_Export!$B207*GREET1_Import_Export!$C$179+GREET1_Import_Export!$C207)+BJ$84*(BJ$71*V$56*GREET1_Import_Export!$W78+GREET1_Import_Export!$E243*GREET1_Import_Export!$F$215+GREET1_Import_Export!$F243)+BJ$85*(BJ$71*(V$57*GREET1_Import_Export!$B78+V$58*GREET1_Import_Export!$C78+V$59*GREET1_Import_Export!$G78+V$61*'GREET2_Factors_T&amp;D'!$F21+V$62*'GREET2_Factors_T&amp;D'!$G21)+GREET1_Import_Export!$B243)+BJ$86*(BJ$71*(V$64*GREET1_Import_Export!$AA78+V$65*GREET1_Import_Export!$AB78)+GREET1_Import_Export!$C296)+BJ$87*SUM(GREET1_Import_Export!$D321:$E321)</f>
        <v>0.29181286507900628</v>
      </c>
      <c r="BK113" s="489"/>
      <c r="BL113" s="478"/>
      <c r="BM113" s="581">
        <f>BM$81*(BM$71*X$50*GREET1_Import_Export!$K78+GREET1_Import_Export!$B207*GREET1_Import_Export!$F$179+GREET1_Import_Export!$F207)+BM$82*(BM$71*(X$52*GREET1_Import_Export!$Q78+X$53*GREET1_Import_Export!$O78+X$54*GREET1_Import_Export!$M78)+GREET1_Import_Export!$B207*GREET1_Import_Export!$G$179+GREET1_Import_Export!$G207)+BM$83*(BM$71*X$55*GREET1_Import_Export!$T78+GREET1_Import_Export!$B207*GREET1_Import_Export!$C$179+GREET1_Import_Export!$C207)+BM$84*(BM$71*X$56*GREET1_Import_Export!$W78+GREET1_Import_Export!$E243*GREET1_Import_Export!$F$215+GREET1_Import_Export!$F243)+BM$85*(BM$71*(X$57*GREET1_Import_Export!$B78+X$58*GREET1_Import_Export!$C78+X$59*GREET1_Import_Export!$G78+X$61*'GREET2_Factors_T&amp;D'!$F21+X$62*'GREET2_Factors_T&amp;D'!$G21)+GREET1_Import_Export!$B243)+BM$86*(BM$71*(X$64*GREET1_Import_Export!$AA78+X$65*GREET1_Import_Export!$AB78)+GREET1_Import_Export!$C296)+BM$87*SUM(GREET1_Import_Export!$D321:$E321)</f>
        <v>5.9226844028981228E-2</v>
      </c>
      <c r="BN113" s="489"/>
      <c r="BO113" s="478"/>
      <c r="BP113" s="233">
        <f>BP$81*(BP$71*Z$50*GREET1_Import_Export!$K78+GREET1_Import_Export!$B207*GREET1_Import_Export!$F$179+GREET1_Import_Export!$F207)+BP$82*(BP$71*(Z$52*GREET1_Import_Export!$Q78+Z$53*GREET1_Import_Export!$O78+Z$54*GREET1_Import_Export!$M78)+GREET1_Import_Export!$B207*GREET1_Import_Export!$G$179+GREET1_Import_Export!$G207)+BP$83*(BP$71*Z$55*GREET1_Import_Export!$T78+GREET1_Import_Export!$B207*GREET1_Import_Export!$C$179+GREET1_Import_Export!$C207)+BP$84*(BP$71*Z$56*GREET1_Import_Export!$W78+GREET1_Import_Export!$E243*GREET1_Import_Export!$F$215+GREET1_Import_Export!$F243)+BP$85*(BP$71*(Z$57*GREET1_Import_Export!$B78+Z$58*GREET1_Import_Export!$C78+Z$59*GREET1_Import_Export!$G78+Z$61*'GREET2_Factors_T&amp;D'!$F21+Z$62*'GREET2_Factors_T&amp;D'!$G21)+GREET1_Import_Export!$B243)+BP$86*(BP$71*(Z$64*GREET1_Import_Export!$AA78+Z$65*GREET1_Import_Export!$AB78)+GREET1_Import_Export!$C296)+BP$87*SUM(GREET1_Import_Export!$D321:$E321)</f>
        <v>0</v>
      </c>
      <c r="BQ113" s="1"/>
      <c r="BR113" s="235"/>
      <c r="BS113" s="1076">
        <f>BS$81*(BS$71*AA$50*GREET1_Import_Export!$K78+GREET1_Import_Export!$B207*GREET1_Import_Export!$F$179+GREET1_Import_Export!$F207)+BS$82*(BS$71*(AA$52*GREET1_Import_Export!$Q78+AA$53*GREET1_Import_Export!$O78+AA$54*GREET1_Import_Export!$M78)+GREET1_Import_Export!$B207*GREET1_Import_Export!$G$179+GREET1_Import_Export!$G207)+BS$83*(BS$71*AA$55*GREET1_Import_Export!$T78+GREET1_Import_Export!$B207*GREET1_Import_Export!$C$179+GREET1_Import_Export!$C207)+BS$84*(BS$71*AA$56*GREET1_Import_Export!$W78+GREET1_Import_Export!$E243*GREET1_Import_Export!$F$215+GREET1_Import_Export!$F243)+BS$85*(BS$71*(AA$57*GREET1_Import_Export!$B78+AA$58*GREET1_Import_Export!$C78+AA$59*GREET1_Import_Export!$G78+AA$61*'GREET2_Factors_T&amp;D'!$F21+AA$62*'GREET2_Factors_T&amp;D'!$G21)+GREET1_Import_Export!$B243)+BS$86*(BS$71*(AA$64*GREET1_Import_Export!$AA78+AA$65*GREET1_Import_Export!$AB78)+GREET1_Import_Export!$C296)+BS$87*(GREET1_Import_Export!$D321+GREET1_Import_Export!$E321)</f>
        <v>2.8820223581074392E-2</v>
      </c>
      <c r="BT113" s="350"/>
      <c r="BU113" s="1082"/>
      <c r="BV113" s="1076">
        <f>BV$81*(BV$71*AB$50*GREET1_Import_Export!$K78+GREET1_Import_Export!$B207*GREET1_Import_Export!$F$179+GREET1_Import_Export!$F207)+BV$82*(BV$71*(AB$52*GREET1_Import_Export!$Q78+AB$53*GREET1_Import_Export!$O78+AB$54*GREET1_Import_Export!$M78)+GREET1_Import_Export!$B207*GREET1_Import_Export!$G$179+GREET1_Import_Export!$G207)+BV$83*(BV$71*AB$55*GREET1_Import_Export!$T78+GREET1_Import_Export!$B207*GREET1_Import_Export!$C$179+GREET1_Import_Export!$C207)+BV$84*(BV$71*AB$56*GREET1_Import_Export!$W78+GREET1_Import_Export!$E243*GREET1_Import_Export!$F$215+GREET1_Import_Export!$F243)+BV$85*(BV$71*(AB$57*GREET1_Import_Export!$B78+AB$58*GREET1_Import_Export!$C78+AB$59*GREET1_Import_Export!$G78+AB$61*'GREET2_Factors_T&amp;D'!$F21+AB$62*'GREET2_Factors_T&amp;D'!$G21)+GREET1_Import_Export!$B243)+BV$86*(BV$71*(AB$64*GREET1_Import_Export!$AA78+AB$65*GREET1_Import_Export!$AB78)+GREET1_Import_Export!$C296)+BV$87*(GREET1_Import_Export!$D321+GREET1_Import_Export!$E321)</f>
        <v>0</v>
      </c>
      <c r="BW113" s="350"/>
      <c r="BX113" s="1082"/>
      <c r="BY113" s="1076">
        <f>BY$81*(BY$71*AC$50*GREET1_Import_Export!$K78+GREET1_Import_Export!$B207*GREET1_Import_Export!$F$179+GREET1_Import_Export!$F207)+BY$82*(BY$71*(AC$52*GREET1_Import_Export!$Q78+AC$53*GREET1_Import_Export!$O78+AC$54*GREET1_Import_Export!$M78)+GREET1_Import_Export!$B207*GREET1_Import_Export!$G$179+GREET1_Import_Export!$G207)+BY$83*(BY$71*AC$55*GREET1_Import_Export!$T78+GREET1_Import_Export!$B207*GREET1_Import_Export!$C$179+GREET1_Import_Export!$C207)+BY$84*(BY$71*AC$56*GREET1_Import_Export!$W78+GREET1_Import_Export!$E243*GREET1_Import_Export!$F$215+GREET1_Import_Export!$F243)+BY$85*(BY$71*(AC$57*GREET1_Import_Export!$B78+AC$58*GREET1_Import_Export!$C78+AC$59*GREET1_Import_Export!$G78+AC$61*'GREET2_Factors_T&amp;D'!$F21+AC$62*'GREET2_Factors_T&amp;D'!$G21)+GREET1_Import_Export!$B243)+BY$86*(BY$71*(AC$64*GREET1_Import_Export!$AA78+AC$65*GREET1_Import_Export!$AB78)+GREET1_Import_Export!$C296)+BY$87*(GREET1_Import_Export!$D321+GREET1_Import_Export!$E321)</f>
        <v>8.7046744954945354E-2</v>
      </c>
      <c r="BZ113" s="350"/>
      <c r="CA113" s="1082"/>
      <c r="CB113" s="1076">
        <f>CB$81*(CB$71*AD$50*GREET1_Import_Export!$K78+GREET1_Import_Export!$B207*GREET1_Import_Export!$F$179+GREET1_Import_Export!$F207)+CB$82*(CB$71*(AD$52*GREET1_Import_Export!$Q78+AD$53*GREET1_Import_Export!$O78+AD$54*GREET1_Import_Export!$M78)+GREET1_Import_Export!$B207*GREET1_Import_Export!$G$179+GREET1_Import_Export!$G207)+CB$83*(CB$71*AD$55*GREET1_Import_Export!$T78+GREET1_Import_Export!$B207*GREET1_Import_Export!$C$179+GREET1_Import_Export!$C207)+CB$84*(CB$71*AD$56*GREET1_Import_Export!$W78+GREET1_Import_Export!$E243*GREET1_Import_Export!$F$215+GREET1_Import_Export!$F243)+CB$85*(CB$71*(AD$57*GREET1_Import_Export!$B78+AD$58*GREET1_Import_Export!$C78+AD$59*GREET1_Import_Export!$G78+AD$61*'GREET2_Factors_T&amp;D'!$F21+AD$62*'GREET2_Factors_T&amp;D'!$G21)+GREET1_Import_Export!$B243)+CB$86*(CB$71*(AD$64*GREET1_Import_Export!$AA78+AD$65*GREET1_Import_Export!$AB78)+GREET1_Import_Export!$C296)+CB$87*(GREET1_Import_Export!$D321+GREET1_Import_Export!$E321)</f>
        <v>2.8549624901733459</v>
      </c>
      <c r="CC113" s="350"/>
      <c r="CD113" s="1082"/>
      <c r="CE113" s="749">
        <f>CE$81*(CE$71*($AE$50*GREET1_Import_Export!$K78)+GREET1_Import_Export!$F$200*GREET1_Import_Export!$B207+GREET1_Import_Export!$F207)+CE$82*(CE$71*(GREET1_Import_Export!$R78)+GREET1_Import_Export!$H$200*GREET1_Import_Export!$B207+GREET1_Import_Export!$H207)+CE$83*(CE$71*(GREET1_Import_Export!$T78)+GREET1_Import_Export!$C$200*GREET1_Import_Export!$B207+GREET1_Import_Export!$C207)+CE$84*(CE$71*(GREET1_Import_Export!$X78)+GREET1_Import_Export!$B$10*(GREET1_Import_Export!$F$215*GREET1_Import_Export!$B243+GREET1_Import_Export!$F243)+GREET1_Import_Export!$C$10*(GREET1_Import_Export!$E$200*GREET1_Import_Export!$B207+GREET1_Import_Export!$E207))+CE$85*(CE$71*($AE$57*GREET1_Import_Export!$B78)+GREET1_Import_Export!$B243)+CE$86*(CE$71*($AE$64*GREET1_Import_Export!$AA78)+GREET1_Import_Export!$C296)+CE$87*(GREET1_Import_Export!$D321+GREET1_Import_Export!$E321)</f>
        <v>0</v>
      </c>
      <c r="CF113" s="1096"/>
      <c r="CG113" s="1321"/>
      <c r="CH113" s="1321"/>
      <c r="CI113" s="1321"/>
      <c r="CJ113" s="1321"/>
      <c r="CK113" s="1321"/>
      <c r="CL113" s="1321"/>
      <c r="CM113" s="1321"/>
      <c r="CN113" s="1321"/>
      <c r="CO113" s="1321"/>
      <c r="CP113" s="1321"/>
      <c r="CQ113" s="1321"/>
      <c r="CR113" s="1321"/>
      <c r="CS113" s="1321"/>
      <c r="CT113" s="1321"/>
      <c r="CU113" s="1321"/>
      <c r="CV113" s="1321"/>
      <c r="CW113" s="1321"/>
      <c r="CX113" s="1321"/>
      <c r="CY113" s="1321"/>
      <c r="CZ113" s="1321"/>
      <c r="DA113" s="1321"/>
      <c r="DB113" s="1321"/>
      <c r="DC113" s="1321"/>
      <c r="DD113" s="1321"/>
      <c r="DE113" s="1321"/>
      <c r="DF113" s="1321"/>
      <c r="DG113" s="1321"/>
      <c r="DH113" s="1321"/>
      <c r="DI113" s="1321"/>
      <c r="DJ113" s="1321"/>
      <c r="DK113" s="1321"/>
      <c r="DL113" s="1321"/>
      <c r="DM113" s="1321"/>
      <c r="DN113" s="1321"/>
      <c r="DO113" s="1321"/>
      <c r="DP113" s="1321"/>
      <c r="DQ113" s="1321"/>
      <c r="DR113" s="1321"/>
      <c r="DS113" s="1321"/>
      <c r="DT113" s="1321"/>
      <c r="DU113" s="1321"/>
      <c r="DV113" s="1321"/>
      <c r="DW113" s="1321"/>
      <c r="DX113" s="1321"/>
      <c r="DY113" s="1321"/>
      <c r="DZ113" s="1321"/>
      <c r="EA113" s="1321"/>
      <c r="EB113" s="1321"/>
      <c r="EC113" s="1321"/>
      <c r="ED113" s="1321"/>
      <c r="EE113" s="1321"/>
      <c r="EF113" s="1321"/>
      <c r="EG113" s="1321"/>
      <c r="EH113" s="1321"/>
      <c r="EI113" s="1321"/>
      <c r="EJ113" s="1321"/>
      <c r="EK113" s="1321"/>
      <c r="EL113" s="1321"/>
      <c r="EM113" s="1321"/>
      <c r="EN113" s="1321"/>
      <c r="EO113" s="1321"/>
      <c r="EP113" s="1321"/>
      <c r="EQ113" s="1321"/>
      <c r="ER113" s="1321"/>
      <c r="ES113" s="1321"/>
      <c r="ET113" s="1321"/>
      <c r="EU113" s="1321"/>
      <c r="EV113" s="1321"/>
      <c r="EW113" s="1321"/>
      <c r="EX113" s="1321"/>
      <c r="EY113" s="1321"/>
      <c r="EZ113" s="1321"/>
      <c r="FA113" s="1321"/>
      <c r="FB113" s="1321"/>
    </row>
    <row r="114" spans="1:158">
      <c r="A114" s="292" t="s">
        <v>828</v>
      </c>
      <c r="B114" s="236">
        <f>B$81*(B$71*B$50*GREET1_Import_Export!$K79+GREET1_Import_Export!$B208*GREET1_Import_Export!$F$179+GREET1_Import_Export!$F208)+B$82*(B$71*(B$52*GREET1_Import_Export!$Q79+B$53*GREET1_Import_Export!$O79+B$54*GREET1_Import_Export!$M79)+GREET1_Import_Export!$B208*GREET1_Import_Export!$G$179+GREET1_Import_Export!$G208)+B$83*(B$71*B$55*GREET1_Import_Export!$T79+GREET1_Import_Export!$B208*GREET1_Import_Export!$C$179+GREET1_Import_Export!$C208)+B$84*(B$71*B$56*GREET1_Import_Export!$W79+GREET1_Import_Export!$E244*GREET1_Import_Export!$F$215+GREET1_Import_Export!$F244)+B$85*(B$71*(B$57*GREET1_Import_Export!$B79+B$58*GREET1_Import_Export!$C79+B$59*GREET1_Import_Export!$G79+B$61*'GREET2_Factors_T&amp;D'!$F22+B$62*'GREET2_Factors_T&amp;D'!$G22)+GREET1_Import_Export!$B244)+B$86*(B$71*(B$64*GREET1_Import_Export!$AA79+B$65*GREET1_Import_Export!$AB79)+GREET1_Import_Export!$C297)+B$87*SUM(GREET1_Import_Export!$D322:$E322)</f>
        <v>0</v>
      </c>
      <c r="C114" s="125"/>
      <c r="D114" s="237"/>
      <c r="E114" s="236">
        <f>E$81*(E$71*C$50*GREET1_Import_Export!$K79+GREET1_Import_Export!$B208*GREET1_Import_Export!$F$179+GREET1_Import_Export!$F208)+E$82*(E$71*(C$52*GREET1_Import_Export!$Q79+C$53*GREET1_Import_Export!$O79+C$54*GREET1_Import_Export!$M79)+GREET1_Import_Export!$B208*GREET1_Import_Export!$G$179+GREET1_Import_Export!$G208)+E$83*(E$71*C$55*GREET1_Import_Export!$T79+GREET1_Import_Export!$B208*GREET1_Import_Export!$C$179+GREET1_Import_Export!$C208)+E$84*(E$71*C$56*GREET1_Import_Export!$W79+GREET1_Import_Export!$E244*GREET1_Import_Export!$F$215+GREET1_Import_Export!$F244)+E$85*(E$71*(C$57*GREET1_Import_Export!$B79+C$58*GREET1_Import_Export!$C79+C$59*GREET1_Import_Export!$G79+C$61*'GREET2_Factors_T&amp;D'!$F22+C$62*'GREET2_Factors_T&amp;D'!$G22)+GREET1_Import_Export!$B244)+E$86*(E$71*(C$64*GREET1_Import_Export!$AA79+C$65*GREET1_Import_Export!$AB79)+GREET1_Import_Export!$C297)+E$87*SUM(GREET1_Import_Export!$D322:$E322)</f>
        <v>0</v>
      </c>
      <c r="F114" s="125"/>
      <c r="G114" s="237"/>
      <c r="H114" s="236">
        <f>H$81*(H$71*D$50*GREET1_Import_Export!$K79+GREET1_Import_Export!$B208*GREET1_Import_Export!$F$179+GREET1_Import_Export!$F208)+H$82*(H$71*(D$52*GREET1_Import_Export!$Q79+D$53*GREET1_Import_Export!$O79+D$54*GREET1_Import_Export!$M79)+GREET1_Import_Export!$B208*GREET1_Import_Export!$G$179+GREET1_Import_Export!$G208)+H$83*(H$71*D$55*GREET1_Import_Export!$T79+GREET1_Import_Export!$B208*GREET1_Import_Export!$C$179+GREET1_Import_Export!$C208)+H$84*(H$71*D$56*GREET1_Import_Export!$W79+GREET1_Import_Export!$E244*GREET1_Import_Export!$F$215+GREET1_Import_Export!$F244)+H$85*(H$71*(D$57*GREET1_Import_Export!$B79+D$58*GREET1_Import_Export!$C79+D$59*GREET1_Import_Export!$G79+D$61*'GREET2_Factors_T&amp;D'!$F22+D$62*'GREET2_Factors_T&amp;D'!$G22)+GREET1_Import_Export!$B244)+H$86*(H$71*(D$64*GREET1_Import_Export!$AA79+D$65*GREET1_Import_Export!$AB79)+GREET1_Import_Export!$C297)+H$87*SUM(GREET1_Import_Export!$D322:$E322)</f>
        <v>0.17900783714139273</v>
      </c>
      <c r="I114" s="125"/>
      <c r="J114" s="237"/>
      <c r="K114" s="236">
        <f>K$81*(K$71*E$50*GREET1_Import_Export!$K79+GREET1_Import_Export!$B208*GREET1_Import_Export!$F$179+GREET1_Import_Export!$F208)+K$82*(K$71*(E$52*GREET1_Import_Export!$Q79+E$53*GREET1_Import_Export!$O79+E$54*GREET1_Import_Export!$M79)+GREET1_Import_Export!$B208*GREET1_Import_Export!$G$179+GREET1_Import_Export!$G208)+K$83*(K$71*E$55*GREET1_Import_Export!$T79+GREET1_Import_Export!$B208*GREET1_Import_Export!$C$179+GREET1_Import_Export!$C208)+K$84*(K$71*E$56*GREET1_Import_Export!$W79+GREET1_Import_Export!$E244*GREET1_Import_Export!$F$215+GREET1_Import_Export!$F244)+K$85*(K$71*(E$57*GREET1_Import_Export!$B79+E$58*GREET1_Import_Export!$C79+E$59*GREET1_Import_Export!$G79+E$61*'GREET2_Factors_T&amp;D'!$F22+E$62*'GREET2_Factors_T&amp;D'!$G22)+GREET1_Import_Export!$B244)+K$86*(K$71*(E$64*GREET1_Import_Export!$AA79+E$65*GREET1_Import_Export!$AB79)+GREET1_Import_Export!$C297)+K$87*SUM(GREET1_Import_Export!$D322:$E322)</f>
        <v>13.863458185847797</v>
      </c>
      <c r="L114" s="125"/>
      <c r="M114" s="237"/>
      <c r="N114" s="236">
        <f>N$81*(N$71*F$50*GREET1_Import_Export!$K79+GREET1_Import_Export!$B208*GREET1_Import_Export!$F$179+GREET1_Import_Export!$F208)+N$82*(N$71*(F$52*GREET1_Import_Export!$Q79+F$53*GREET1_Import_Export!$O79+F$54*GREET1_Import_Export!$M79)+GREET1_Import_Export!$B208*GREET1_Import_Export!$G$179+GREET1_Import_Export!$G208)+N$83*(N$71*F$55*GREET1_Import_Export!$T79+GREET1_Import_Export!$B208*GREET1_Import_Export!$C$179+GREET1_Import_Export!$C208)+N$84*(N$71*F$56*GREET1_Import_Export!$W79+GREET1_Import_Export!$E244*GREET1_Import_Export!$F$215+GREET1_Import_Export!$F244)+N$85*(N$71*(F$57*GREET1_Import_Export!$B79+F$58*GREET1_Import_Export!$C79+F$59*GREET1_Import_Export!$G79+F$61*'GREET2_Factors_T&amp;D'!$F22+F$62*'GREET2_Factors_T&amp;D'!$G22)+GREET1_Import_Export!$B244)+N$86*(N$71*(F$64*GREET1_Import_Export!$AA79+F$65*GREET1_Import_Export!$AB79)+GREET1_Import_Export!$C297)+N$87*SUM(GREET1_Import_Export!$D322:$E322)</f>
        <v>0.17900783714139273</v>
      </c>
      <c r="O114" s="125"/>
      <c r="P114" s="237"/>
      <c r="Q114" s="586">
        <f>Q$81*(Q$71*G$50*GREET1_Import_Export!$K79+GREET1_Import_Export!$B208*GREET1_Import_Export!$F$179+GREET1_Import_Export!$F208)+Q$82*(Q$71*(G$52*GREET1_Import_Export!$Q79+G$53*GREET1_Import_Export!$O79+G$54*GREET1_Import_Export!$M79)+GREET1_Import_Export!$B208*GREET1_Import_Export!$G$179+GREET1_Import_Export!$G208)+Q$83*(Q$71*G$55*GREET1_Import_Export!$T79+GREET1_Import_Export!$B208*GREET1_Import_Export!$C$179+GREET1_Import_Export!$C208)+Q$84*(Q$71*G$56*GREET1_Import_Export!$W79+GREET1_Import_Export!$E244*GREET1_Import_Export!$F$215+GREET1_Import_Export!$F244)+Q$85*(Q$71*(G$57*GREET1_Import_Export!$B79+G$58*GREET1_Import_Export!$C79+G$59*GREET1_Import_Export!$G79+G$61*'GREET2_Factors_T&amp;D'!$F22+G$62*'GREET2_Factors_T&amp;D'!$G22)+GREET1_Import_Export!$B244)+Q$86*(Q$71*(G$64*GREET1_Import_Export!$AA79+G$65*GREET1_Import_Export!$AB79)+GREET1_Import_Export!$C297)
+Q$87*($B$46*(GREET1_Import_Export!$D322+GREET1_Import_Export!E322)+$C$46*GREET1_Import_Export!L370+$D$46*GREET1_Import_Export!H370+$E$46*GREET1_Import_Export!Q370+$F$46*GREET1_Import_Export!R370+SUMPRODUCT($G$46:$I$46,GREET1_Import_Export!N370:P370))</f>
        <v>13.863458185847797</v>
      </c>
      <c r="R114" s="125"/>
      <c r="S114" s="237"/>
      <c r="T114" s="586">
        <f>T$81*(T$71*BZ$50*GREET1_Import_Export!$K79+GREET1_Import_Export!$B208*GREET1_Import_Export!$F$179+GREET1_Import_Export!$F208)+T$82*(T$71*(BZ$52*GREET1_Import_Export!$Q79+BZ$53*GREET1_Import_Export!$O79+BZ$54*GREET1_Import_Export!$M79)+GREET1_Import_Export!$B208*GREET1_Import_Export!$G$179+GREET1_Import_Export!$G208)+T$83*(T$71*BZ$55*GREET1_Import_Export!$T79+GREET1_Import_Export!$B208*GREET1_Import_Export!$C$179+GREET1_Import_Export!$C208)+T$84*(T$71*BZ$56*GREET1_Import_Export!$W79+GREET1_Import_Export!$E244*GREET1_Import_Export!$F$215+GREET1_Import_Export!$F244)+T$85*(T$71*(BZ$57*GREET1_Import_Export!$B79+BZ$58*GREET1_Import_Export!$C79+BZ$59*GREET1_Import_Export!$G79+BZ$61*'GREET2_Factors_T&amp;D'!$F22+BZ$62*'GREET2_Factors_T&amp;D'!$G22)+GREET1_Import_Export!$B244)+T$86*(T$71*(BZ$64*GREET1_Import_Export!$AA79+BZ$65*GREET1_Import_Export!$AB79)+GREET1_Import_Export!$C297)+T$87*SUM(GREET1_Import_Export!$D322:$E322)</f>
        <v>0.17900783714139273</v>
      </c>
      <c r="U114" s="125"/>
      <c r="V114" s="237"/>
      <c r="W114" s="586">
        <f>W$81*(W$71*I$50*GREET1_Import_Export!$K79+GREET1_Import_Export!$B208*GREET1_Import_Export!$F$179+GREET1_Import_Export!$F208)+W$82*(W$71*(I$52*GREET1_Import_Export!$Q79+I$53*GREET1_Import_Export!$O79+I$54*GREET1_Import_Export!$M79)+GREET1_Import_Export!$B208*GREET1_Import_Export!$G$179+GREET1_Import_Export!$G208)+W$83*(W$71*I$55*GREET1_Import_Export!$T79+GREET1_Import_Export!$B208*GREET1_Import_Export!$C$179+GREET1_Import_Export!$C208)+W$84*(W$71*I$56*GREET1_Import_Export!$W79+GREET1_Import_Export!$E244*GREET1_Import_Export!$F$215+GREET1_Import_Export!$F244)+W$85*(W$71*(I$57*GREET1_Import_Export!$B79+I$58*GREET1_Import_Export!$C79+I$59*GREET1_Import_Export!$G79+I$61*'GREET2_Factors_T&amp;D'!$F22+I$62*'GREET2_Factors_T&amp;D'!$G22)+GREET1_Import_Export!$B244)+W$86*(W$71*(I$64*GREET1_Import_Export!$AA79+I$65*GREET1_Import_Export!$AB79)+GREET1_Import_Export!$C297)+W$87*($B$46*(GREET1_Import_Export!$D322+GREET1_Import_Export!E322)+$C$46*GREET1_Import_Export!L370+$D$46*GREET1_Import_Export!H370+$E$46*GREET1_Import_Export!Q370+$F$46*GREET1_Import_Export!R370+SUMPRODUCT($G$46:$I$46,GREET1_Import_Export!N370:P370))</f>
        <v>13.863458185847797</v>
      </c>
      <c r="X114" s="125"/>
      <c r="Y114" s="237"/>
      <c r="Z114" s="236">
        <f>Z$81*(Z$71*J$50*GREET1_Import_Export!$K79+GREET1_Import_Export!$B208*GREET1_Import_Export!$F$179+GREET1_Import_Export!$F208)+Z$82*(Z$71*(J$52*GREET1_Import_Export!$Q79+J$53*GREET1_Import_Export!$O79+J$54*GREET1_Import_Export!$M79)+GREET1_Import_Export!$B208*GREET1_Import_Export!$G$179+GREET1_Import_Export!$G208)+Z$83*(Z$71*J$55*GREET1_Import_Export!$T79+GREET1_Import_Export!$B208*GREET1_Import_Export!$C$179+GREET1_Import_Export!$C208)+Z$84*(Z$71*J$56*GREET1_Import_Export!$W79+GREET1_Import_Export!$E244*GREET1_Import_Export!$F$215+GREET1_Import_Export!$F244)+Z$85*(Z$71*(J$57*GREET1_Import_Export!$B79+J$58*GREET1_Import_Export!$C79+J$59*GREET1_Import_Export!$G79+J$61*'GREET2_Factors_T&amp;D'!$F22+J$62*'GREET2_Factors_T&amp;D'!$G22)+GREET1_Import_Export!$B244)+Z$86*(Z$71*(J$64*GREET1_Import_Export!$AA79+J$65*GREET1_Import_Export!$AB79)+GREET1_Import_Export!$C297)+Z$87*SUM(GREET1_Import_Export!$D322:$E322)</f>
        <v>0.17900783714139273</v>
      </c>
      <c r="AA114" s="125"/>
      <c r="AB114" s="237"/>
      <c r="AC114" s="586">
        <f>AC$81*(AC$71*K$50*GREET1_Import_Export!$K79+GREET1_Import_Export!$B208*GREET1_Import_Export!$F$179+GREET1_Import_Export!$F208)+AC$82*(AC$71*(K$52*GREET1_Import_Export!$Q79+K$53*GREET1_Import_Export!$O79+K$54*GREET1_Import_Export!$M79)+GREET1_Import_Export!$B208*GREET1_Import_Export!$G$179+GREET1_Import_Export!$G208)+AC$83*(AC$71*K$55*GREET1_Import_Export!$T79+GREET1_Import_Export!$B208*GREET1_Import_Export!$C$179+GREET1_Import_Export!$C208)+AC$84*(AC$71*K$56*GREET1_Import_Export!$W79+GREET1_Import_Export!$E244*GREET1_Import_Export!$F$215+GREET1_Import_Export!$F244)+AC$85*(AC$71*(K$57*GREET1_Import_Export!$B79+K$58*GREET1_Import_Export!$C79+K$59*GREET1_Import_Export!$G79+K$61*'GREET2_Factors_T&amp;D'!$F22+K$62*'GREET2_Factors_T&amp;D'!$G22)+GREET1_Import_Export!$B244)+AC$86*(AC$71*(K$64*GREET1_Import_Export!$AA79+K$65*GREET1_Import_Export!$AB79)+GREET1_Import_Export!$C297)+AC$87*($B$46*(GREET1_Import_Export!$D322+GREET1_Import_Export!E322)+$C$46*GREET1_Import_Export!L370+$D$46*GREET1_Import_Export!H370+$E$46*GREET1_Import_Export!Q370+$F$46*GREET1_Import_Export!R370+SUMPRODUCT($G$46:$I$46,GREET1_Import_Export!N370:P370))</f>
        <v>13.863458185847797</v>
      </c>
      <c r="AD114" s="125"/>
      <c r="AE114" s="237"/>
      <c r="AF114" s="236">
        <f>AF$81*(AF$71*L$50*GREET1_Import_Export!$K79+GREET1_Import_Export!$B208*GREET1_Import_Export!$F$179+GREET1_Import_Export!$F208)+AF$82*(AF$71*(L$52*GREET1_Import_Export!$Q79+L$53*GREET1_Import_Export!$O79+L$54*GREET1_Import_Export!$M79)+GREET1_Import_Export!$B208*GREET1_Import_Export!$G$179+GREET1_Import_Export!$G208)+AF$83*(AF$71*L$55*GREET1_Import_Export!$T79+GREET1_Import_Export!$B208*GREET1_Import_Export!$C$179+GREET1_Import_Export!$C208)+AF$84*(AF$71*L$56*GREET1_Import_Export!$W79+GREET1_Import_Export!$E244*GREET1_Import_Export!$F$215+GREET1_Import_Export!$F244)+AF$85*(AF$71*(L$57*GREET1_Import_Export!$B79+L$58*GREET1_Import_Export!$C79+L$59*GREET1_Import_Export!$G79+L$61*'GREET2_Factors_T&amp;D'!$F22+L$62*'GREET2_Factors_T&amp;D'!$G22)+GREET1_Import_Export!$B244)+AF$86*(AF$71*(L$64*GREET1_Import_Export!$AA79+L$65*GREET1_Import_Export!$AB79)+GREET1_Import_Export!$C297)+AF$87*SUM(GREET1_Import_Export!$D322:$E322)</f>
        <v>0.17900783714139273</v>
      </c>
      <c r="AG114" s="548"/>
      <c r="AH114" s="585"/>
      <c r="AI114" s="586">
        <f>AI$81*(AI$71*M$50*GREET1_Import_Export!$K79+GREET1_Import_Export!$B208*GREET1_Import_Export!$F$179+GREET1_Import_Export!$F208)+AI$82*(AI$71*(M$52*GREET1_Import_Export!$Q79+M$53*GREET1_Import_Export!$O79+M$54*GREET1_Import_Export!$M79)+GREET1_Import_Export!$B208*GREET1_Import_Export!$G$179+GREET1_Import_Export!$G208)+AI$83*(AI$71*M$55*GREET1_Import_Export!$T79+GREET1_Import_Export!$B208*GREET1_Import_Export!$C$179+GREET1_Import_Export!$C208)+AI$84*(AI$71*M$56*GREET1_Import_Export!$W79+GREET1_Import_Export!$E244*GREET1_Import_Export!$F$215+GREET1_Import_Export!$F244)+AI$85*(AI$71*(M$57*GREET1_Import_Export!$B79+M$58*GREET1_Import_Export!$C79+M$59*GREET1_Import_Export!$G79+M$61*'GREET2_Factors_T&amp;D'!$F22+M$62*'GREET2_Factors_T&amp;D'!$G22)+GREET1_Import_Export!$B244)+AI$86*(AI$71*(M$64*GREET1_Import_Export!$AA79+M$65*GREET1_Import_Export!$AB79)+GREET1_Import_Export!$C297)+AI$87*($B$46*(GREET1_Import_Export!$D322+GREET1_Import_Export!E322)+$C$46*GREET1_Import_Export!L370+$D$46*GREET1_Import_Export!H370+$E$46*GREET1_Import_Export!Q370+$F$46*GREET1_Import_Export!R370+SUMPRODUCT($G$46:$I$46,GREET1_Import_Export!N370:P370))</f>
        <v>15.843952212397472</v>
      </c>
      <c r="AJ114" s="125"/>
      <c r="AK114" s="237"/>
      <c r="AL114" s="236">
        <f>AL$81*(AL$71*N$50*GREET1_Import_Export!$K79+GREET1_Import_Export!$B208*GREET1_Import_Export!$F$179+GREET1_Import_Export!$F208)+AL$82*(AL$71*(N$52*GREET1_Import_Export!$Q79+N$53*GREET1_Import_Export!$O79+N$54*GREET1_Import_Export!$M79)+GREET1_Import_Export!$B208*GREET1_Import_Export!$G$179+GREET1_Import_Export!$G208)+AL$83*(AL$71*N$55*GREET1_Import_Export!$T79+GREET1_Import_Export!$B208*GREET1_Import_Export!$C$179+GREET1_Import_Export!$C208)+AL$84*(AL$71*N$56*GREET1_Import_Export!$W79+GREET1_Import_Export!$E244*GREET1_Import_Export!$F$215+GREET1_Import_Export!$F244)+AL$85*(AL$71*(N$57*GREET1_Import_Export!$B79+N$58*GREET1_Import_Export!$C79+N$59*GREET1_Import_Export!$G79+N$61*'GREET2_Factors_T&amp;D'!$F22+N$62*'GREET2_Factors_T&amp;D'!$G22)+GREET1_Import_Export!$B244)+AL$86*(AL$71*(N$64*GREET1_Import_Export!$AA79+N$65*GREET1_Import_Export!$AB79)+GREET1_Import_Export!$C297)+AL$87*SUM(GREET1_Import_Export!$D322:$E322)</f>
        <v>0.54080999187534728</v>
      </c>
      <c r="AM114" s="125"/>
      <c r="AN114" s="237"/>
      <c r="AO114" s="236">
        <f>AO$81*(AO$71*O$50*GREET1_Import_Export!$K79+GREET1_Import_Export!$B208*GREET1_Import_Export!$F$179+GREET1_Import_Export!$F208)+AO$82*(AO$71*(O$52*GREET1_Import_Export!$Q79+O$53*GREET1_Import_Export!$O79+O$54*GREET1_Import_Export!$M79)+GREET1_Import_Export!$B208*GREET1_Import_Export!$G$179+GREET1_Import_Export!$G208)+AO$83*(AO$71*O$55*GREET1_Import_Export!$T79+GREET1_Import_Export!$B208*GREET1_Import_Export!$C$179+GREET1_Import_Export!$C208)+AO$84*(AO$71*O$56*GREET1_Import_Export!$W79+GREET1_Import_Export!$E244*GREET1_Import_Export!$F$215+GREET1_Import_Export!$F244)+AO$85*(AO$71*(O$57*GREET1_Import_Export!$B79+O$58*GREET1_Import_Export!$C79+O$59*GREET1_Import_Export!$G79+O$61*'GREET2_Factors_T&amp;D'!$F22+O$62*'GREET2_Factors_T&amp;D'!$G22)+GREET1_Import_Export!$B244)+AO$86*(AO$71*(O$64*GREET1_Import_Export!$AA79+O$65*GREET1_Import_Export!$AB79)+GREET1_Import_Export!$C297)+AO$87*SUM(GREET1_Import_Export!$D322:$E322)</f>
        <v>15.004882909815935</v>
      </c>
      <c r="AP114" s="125"/>
      <c r="AQ114" s="237"/>
      <c r="AR114" s="236">
        <f>AR$81*(AR$71*P$50*GREET1_Import_Export!$K79+GREET1_Import_Export!$B208*GREET1_Import_Export!$F$179+GREET1_Import_Export!$F208)+AR$82*(AR$71*(P$52*GREET1_Import_Export!$Q79+P$53*GREET1_Import_Export!$O79+P$54*GREET1_Import_Export!$M79)+GREET1_Import_Export!$B208*GREET1_Import_Export!$G$179+GREET1_Import_Export!$G208)+AR$83*(AR$71*P$55*GREET1_Import_Export!$T79+GREET1_Import_Export!$B208*GREET1_Import_Export!$C$179+GREET1_Import_Export!$C208)+AR$84*(AR$71*P$56*GREET1_Import_Export!$W79+GREET1_Import_Export!$E244*GREET1_Import_Export!$F$215+GREET1_Import_Export!$F244)+AR$85*(AR$71*(P$57*GREET1_Import_Export!$B79+P$58*GREET1_Import_Export!$C79+P$59*GREET1_Import_Export!$G79+P$61*'GREET2_Factors_T&amp;D'!$F22+P$62*'GREET2_Factors_T&amp;D'!$G22)+GREET1_Import_Export!$B244)+AR$86*(AR$71*(P$64*GREET1_Import_Export!$AA79+P$65*GREET1_Import_Export!$AB79)+GREET1_Import_Export!$C297)+AR$87*SUM(GREET1_Import_Export!$D322:$E322)</f>
        <v>0.14564770232222984</v>
      </c>
      <c r="AS114" s="125"/>
      <c r="AT114" s="237"/>
      <c r="AU114" s="236">
        <f>AU$81*(AU$71*Q$50*GREET1_Import_Export!$K79+GREET1_Import_Export!$B208*GREET1_Import_Export!$F$179+GREET1_Import_Export!$F208)+AU$82*(AU$71*(Q$52*GREET1_Import_Export!$Q79+Q$53*GREET1_Import_Export!$O79+Q$54*GREET1_Import_Export!$M79)+GREET1_Import_Export!$B208*GREET1_Import_Export!$G$179+GREET1_Import_Export!$G208)+AU$83*(AU$71*Q$55*GREET1_Import_Export!$T79+GREET1_Import_Export!$B208*GREET1_Import_Export!$C$179+GREET1_Import_Export!$C208)+AU$84*(AU$71*Q$56*GREET1_Import_Export!$W79+GREET1_Import_Export!$E244*GREET1_Import_Export!$F$215+GREET1_Import_Export!$F244)+AU$85*(AU$71*(Q$57*GREET1_Import_Export!$B79+Q$58*GREET1_Import_Export!$C79+Q$59*GREET1_Import_Export!$G79+Q$61*'GREET2_Factors_T&amp;D'!$F22+Q$62*'GREET2_Factors_T&amp;D'!$G22)+GREET1_Import_Export!$B244)+AU$86*(AU$71*(Q$64*GREET1_Import_Export!$AA79+Q$65*GREET1_Import_Export!$AB79)+GREET1_Import_Export!$C297)+AU$87*SUM(GREET1_Import_Export!$D322:$E322)</f>
        <v>0.12778956781379097</v>
      </c>
      <c r="AV114" s="125"/>
      <c r="AW114" s="237"/>
      <c r="AX114" s="236">
        <f>AX$81*(AX$71*R$50*GREET1_Import_Export!$K79+GREET1_Import_Export!$B208*GREET1_Import_Export!$F$179+GREET1_Import_Export!$F208)+AX$82*(AX$71*(R$52*GREET1_Import_Export!$Q79+R$53*GREET1_Import_Export!$O79+R$54*GREET1_Import_Export!$M79)+GREET1_Import_Export!$B208*GREET1_Import_Export!$G$179+GREET1_Import_Export!$G208)+AX$83*(AX$71*R$55*GREET1_Import_Export!$T79+GREET1_Import_Export!$B208*GREET1_Import_Export!$C$179+GREET1_Import_Export!$C208)+AX$84*(AX$71*R$56*GREET1_Import_Export!$W79+GREET1_Import_Export!$E244*GREET1_Import_Export!$F$215+GREET1_Import_Export!$F244)+AX$85*(AX$71*(R$57*GREET1_Import_Export!$B79+R$58*GREET1_Import_Export!$C79+R$59*GREET1_Import_Export!$G79+R$61*'GREET2_Factors_T&amp;D'!$F22+R$62*'GREET2_Factors_T&amp;D'!$G22)+GREET1_Import_Export!$B244)+AX$86*(AX$71*(R$64*GREET1_Import_Export!$AA79+R$65*GREET1_Import_Export!$AB79)+GREET1_Import_Export!$C297)+AX$87*SUM(GREET1_Import_Export!$D322:$E322)</f>
        <v>1.2654574524372195E-2</v>
      </c>
      <c r="AY114" s="125"/>
      <c r="AZ114" s="237"/>
      <c r="BA114" s="236">
        <f>BA$81*(BA$71*S$50*GREET1_Import_Export!$K79+GREET1_Import_Export!$B208*GREET1_Import_Export!$F$179+GREET1_Import_Export!$F208)+BA$82*(BA$71*(S$52*GREET1_Import_Export!$Q79+S$53*GREET1_Import_Export!$O79+S$54*GREET1_Import_Export!$M79)+GREET1_Import_Export!$B208*GREET1_Import_Export!$G$179+GREET1_Import_Export!$G208)+BA$83*(BA$71*S$55*GREET1_Import_Export!$T79+GREET1_Import_Export!$B208*GREET1_Import_Export!$C$179+GREET1_Import_Export!$C208)+BA$84*(BA$71*S$56*GREET1_Import_Export!$W79+GREET1_Import_Export!$E244*GREET1_Import_Export!$F$215+GREET1_Import_Export!$F244)+BA$85*(BA$71*(S$57*GREET1_Import_Export!$B79+S$58*GREET1_Import_Export!$C79+S$59*GREET1_Import_Export!$G79+S$61*'GREET2_Factors_T&amp;D'!$F22+S$62*'GREET2_Factors_T&amp;D'!$G22)+GREET1_Import_Export!$B244)+BA$86*(BA$71*(S$64*GREET1_Import_Export!$AA79+S$65*GREET1_Import_Export!$AB79)+GREET1_Import_Export!$C297)+BA$87*SUM(GREET1_Import_Export!$D322:$E322)</f>
        <v>11.882964159298119</v>
      </c>
      <c r="BB114" s="125"/>
      <c r="BC114" s="237"/>
      <c r="BD114" s="586">
        <f>BD$81*(BD$71*T$50*GREET1_Import_Export!$K79+GREET1_Import_Export!$B208*GREET1_Import_Export!$F$179+GREET1_Import_Export!$F208)+BD$82*(BD$71*(T$52*GREET1_Import_Export!$Q79+T$53*GREET1_Import_Export!$O79+T$54*GREET1_Import_Export!$M79)+GREET1_Import_Export!$B208*GREET1_Import_Export!$G$179+GREET1_Import_Export!$G208)+BD$83*(BD$71*T$55*GREET1_Import_Export!$T79+GREET1_Import_Export!$B208*GREET1_Import_Export!$C$179+GREET1_Import_Export!$C208)+BD$84*(BD$71*T$56*GREET1_Import_Export!$W79+GREET1_Import_Export!$E244*GREET1_Import_Export!$F$215+GREET1_Import_Export!$F244)+BD$85*(BD$71*(T$57*GREET1_Import_Export!$B79+T$58*GREET1_Import_Export!$C79+T$59*GREET1_Import_Export!$G79+T$61*'GREET2_Factors_T&amp;D'!$F22+T$62*'GREET2_Factors_T&amp;D'!$G22)+GREET1_Import_Export!$B244)+BD$86*(BD$71*(T$64*GREET1_Import_Export!$AA79+T$65*GREET1_Import_Export!$AB79)+GREET1_Import_Export!$C297)+BD$87*SUM(GREET1_Import_Export!$D322:$E322)</f>
        <v>9.5964744911537156</v>
      </c>
      <c r="BE114" s="548"/>
      <c r="BF114" s="585"/>
      <c r="BG114" s="586">
        <f>BG$81*(BG$71*U$50*GREET1_Import_Export!$K79+GREET1_Import_Export!$B208*GREET1_Import_Export!$F$179+GREET1_Import_Export!$F208)+BG$82*(BG$71*(U$52*GREET1_Import_Export!$Q79+U$53*GREET1_Import_Export!$O79+U$54*GREET1_Import_Export!$M79)+GREET1_Import_Export!$B208*GREET1_Import_Export!$G$179+GREET1_Import_Export!$G208)+BG$83*(BG$71*U$55*GREET1_Import_Export!$T79+GREET1_Import_Export!$B208*GREET1_Import_Export!$C$179+GREET1_Import_Export!$C208)+BG$84*(BG$71*U$56*GREET1_Import_Export!$W79+GREET1_Import_Export!$E244*GREET1_Import_Export!$F$215+GREET1_Import_Export!$F244)+BG$85*(BG$71*(U$57*GREET1_Import_Export!$B79+U$58*GREET1_Import_Export!$C79+U$59*GREET1_Import_Export!$G79+U$61*'GREET2_Factors_T&amp;D'!$F22+U$62*'GREET2_Factors_T&amp;D'!$G22)+GREET1_Import_Export!$B244)+BG$86*(BG$71*(U$64*GREET1_Import_Export!$AA79+U$65*GREET1_Import_Export!$AB79)+GREET1_Import_Export!$C297)+BG$87*SUM(GREET1_Import_Export!$D322:$E322)</f>
        <v>0.13506714096958353</v>
      </c>
      <c r="BH114" s="548"/>
      <c r="BI114" s="585"/>
      <c r="BJ114" s="586">
        <f>BJ$81*(BJ$71*V$50*GREET1_Import_Export!$K79+GREET1_Import_Export!$B208*GREET1_Import_Export!$F$179+GREET1_Import_Export!$F208)+BJ$82*(BJ$71*(V$52*GREET1_Import_Export!$Q79+V$53*GREET1_Import_Export!$O79+V$54*GREET1_Import_Export!$M79)+GREET1_Import_Export!$B208*GREET1_Import_Export!$G$179+GREET1_Import_Export!$G208)+BJ$83*(BJ$71*V$55*GREET1_Import_Export!$T79+GREET1_Import_Export!$B208*GREET1_Import_Export!$C$179+GREET1_Import_Export!$C208)+BJ$84*(BJ$71*V$56*GREET1_Import_Export!$W79+GREET1_Import_Export!$E244*GREET1_Import_Export!$F$215+GREET1_Import_Export!$F244)+BJ$85*(BJ$71*(V$57*GREET1_Import_Export!$B79+V$58*GREET1_Import_Export!$C79+V$59*GREET1_Import_Export!$G79+V$61*'GREET2_Factors_T&amp;D'!$F22+V$62*'GREET2_Factors_T&amp;D'!$G22)+GREET1_Import_Export!$B244)+BJ$86*(BJ$71*(V$64*GREET1_Import_Export!$AA79+V$65*GREET1_Import_Export!$AB79)+GREET1_Import_Export!$C297)+BJ$87*SUM(GREET1_Import_Export!$D322:$E322)</f>
        <v>1.6194500296197731</v>
      </c>
      <c r="BK114" s="548"/>
      <c r="BL114" s="585"/>
      <c r="BM114" s="586">
        <f>BM$81*(BM$71*X$50*GREET1_Import_Export!$K79+GREET1_Import_Export!$B208*GREET1_Import_Export!$F$179+GREET1_Import_Export!$F208)+BM$82*(BM$71*(X$52*GREET1_Import_Export!$Q79+X$53*GREET1_Import_Export!$O79+X$54*GREET1_Import_Export!$M79)+GREET1_Import_Export!$B208*GREET1_Import_Export!$G$179+GREET1_Import_Export!$G208)+BM$83*(BM$71*X$55*GREET1_Import_Export!$T79+GREET1_Import_Export!$B208*GREET1_Import_Export!$C$179+GREET1_Import_Export!$C208)+BM$84*(BM$71*X$56*GREET1_Import_Export!$W79+GREET1_Import_Export!$E244*GREET1_Import_Export!$F$215+GREET1_Import_Export!$F244)+BM$85*(BM$71*(X$57*GREET1_Import_Export!$B79+X$58*GREET1_Import_Export!$C79+X$59*GREET1_Import_Export!$G79+X$61*'GREET2_Factors_T&amp;D'!$F22+X$62*'GREET2_Factors_T&amp;D'!$G22)+GREET1_Import_Export!$B244)+BM$86*(BM$71*(X$64*GREET1_Import_Export!$AA79+X$65*GREET1_Import_Export!$AB79)+GREET1_Import_Export!$C297)+BM$87*SUM(GREET1_Import_Export!$D322:$E322)</f>
        <v>0.27890095930800857</v>
      </c>
      <c r="BN114" s="548"/>
      <c r="BO114" s="585"/>
      <c r="BP114" s="236">
        <f>BP$81*(BP$71*Z$50*GREET1_Import_Export!$K79+GREET1_Import_Export!$B208*GREET1_Import_Export!$F$179+GREET1_Import_Export!$F208)+BP$82*(BP$71*(Z$52*GREET1_Import_Export!$Q79+Z$53*GREET1_Import_Export!$O79+Z$54*GREET1_Import_Export!$M79)+GREET1_Import_Export!$B208*GREET1_Import_Export!$G$179+GREET1_Import_Export!$G208)+BP$83*(BP$71*Z$55*GREET1_Import_Export!$T79+GREET1_Import_Export!$B208*GREET1_Import_Export!$C$179+GREET1_Import_Export!$C208)+BP$84*(BP$71*Z$56*GREET1_Import_Export!$W79+GREET1_Import_Export!$E244*GREET1_Import_Export!$F$215+GREET1_Import_Export!$F244)+BP$85*(BP$71*(Z$57*GREET1_Import_Export!$B79+Z$58*GREET1_Import_Export!$C79+Z$59*GREET1_Import_Export!$G79+Z$61*'GREET2_Factors_T&amp;D'!$F22+Z$62*'GREET2_Factors_T&amp;D'!$G22)+GREET1_Import_Export!$B244)+BP$86*(BP$71*(Z$64*GREET1_Import_Export!$AA79+Z$65*GREET1_Import_Export!$AB79)+GREET1_Import_Export!$C297)+BP$87*SUM(GREET1_Import_Export!$D322:$E322)</f>
        <v>0</v>
      </c>
      <c r="BQ114" s="125"/>
      <c r="BR114" s="237"/>
      <c r="BS114" s="1097">
        <f>BS$81*(BS$71*AA$50*GREET1_Import_Export!$K79+GREET1_Import_Export!$B208*GREET1_Import_Export!$F$179+GREET1_Import_Export!$F208)+BS$82*(BS$71*(AA$52*GREET1_Import_Export!$Q79+AA$53*GREET1_Import_Export!$O79+AA$54*GREET1_Import_Export!$M79)+GREET1_Import_Export!$B208*GREET1_Import_Export!$G$179+GREET1_Import_Export!$G208)+BS$83*(BS$71*AA$55*GREET1_Import_Export!$T79+GREET1_Import_Export!$B208*GREET1_Import_Export!$C$179+GREET1_Import_Export!$C208)+BS$84*(BS$71*AA$56*GREET1_Import_Export!$W79+GREET1_Import_Export!$E244*GREET1_Import_Export!$F$215+GREET1_Import_Export!$F244)+BS$85*(BS$71*(AA$57*GREET1_Import_Export!$B79+AA$58*GREET1_Import_Export!$C79+AA$59*GREET1_Import_Export!$G79+AA$61*'GREET2_Factors_T&amp;D'!$F22+AA$62*'GREET2_Factors_T&amp;D'!$G22)+GREET1_Import_Export!$B244)+BS$86*(BS$71*(AA$64*GREET1_Import_Export!$AA79+AA$65*GREET1_Import_Export!$AB79)+GREET1_Import_Export!$C297)+BS$87*(GREET1_Import_Export!$D322+GREET1_Import_Export!$E322)</f>
        <v>0.15994124151922859</v>
      </c>
      <c r="BT114" s="1070"/>
      <c r="BU114" s="1083"/>
      <c r="BV114" s="1097">
        <f>BV$81*(BV$71*AB$50*GREET1_Import_Export!$K79+GREET1_Import_Export!$B208*GREET1_Import_Export!$F$179+GREET1_Import_Export!$F208)+BV$82*(BV$71*(AB$52*GREET1_Import_Export!$Q79+AB$53*GREET1_Import_Export!$O79+AB$54*GREET1_Import_Export!$M79)+GREET1_Import_Export!$B208*GREET1_Import_Export!$G$179+GREET1_Import_Export!$G208)+BV$83*(BV$71*AB$55*GREET1_Import_Export!$T79+GREET1_Import_Export!$B208*GREET1_Import_Export!$C$179+GREET1_Import_Export!$C208)+BV$84*(BV$71*AB$56*GREET1_Import_Export!$W79+GREET1_Import_Export!$E244*GREET1_Import_Export!$F$215+GREET1_Import_Export!$F244)+BV$85*(BV$71*(AB$57*GREET1_Import_Export!$B79+AB$58*GREET1_Import_Export!$C79+AB$59*GREET1_Import_Export!$G79+AB$61*'GREET2_Factors_T&amp;D'!$F22+AB$62*'GREET2_Factors_T&amp;D'!$G22)+GREET1_Import_Export!$B244)+BV$86*(BV$71*(AB$64*GREET1_Import_Export!$AA79+AB$65*GREET1_Import_Export!$AB79)+GREET1_Import_Export!$C297)+BV$87*(GREET1_Import_Export!$D322+GREET1_Import_Export!$E322)</f>
        <v>0</v>
      </c>
      <c r="BW114" s="1070"/>
      <c r="BX114" s="1083"/>
      <c r="BY114" s="1097">
        <f>BY$81*(BY$71*AC$50*GREET1_Import_Export!$K79+GREET1_Import_Export!$B208*GREET1_Import_Export!$F$179+GREET1_Import_Export!$F208)+BY$82*(BY$71*(AC$52*GREET1_Import_Export!$Q79+AC$53*GREET1_Import_Export!$O79+AC$54*GREET1_Import_Export!$M79)+GREET1_Import_Export!$B208*GREET1_Import_Export!$G$179+GREET1_Import_Export!$G208)+BY$83*(BY$71*AC$55*GREET1_Import_Export!$T79+GREET1_Import_Export!$B208*GREET1_Import_Export!$C$179+GREET1_Import_Export!$C208)+BY$84*(BY$71*AC$56*GREET1_Import_Export!$W79+GREET1_Import_Export!$E244*GREET1_Import_Export!$F$215+GREET1_Import_Export!$F244)+BY$85*(BY$71*(AC$57*GREET1_Import_Export!$B79+AC$58*GREET1_Import_Export!$C79+AC$59*GREET1_Import_Export!$G79+AC$61*'GREET2_Factors_T&amp;D'!$F22+AC$62*'GREET2_Factors_T&amp;D'!$G22)+GREET1_Import_Export!$B244)+BY$86*(BY$71*(AC$64*GREET1_Import_Export!$AA79+AC$65*GREET1_Import_Export!$AB79)+GREET1_Import_Export!$C297)+BY$87*(GREET1_Import_Export!$D322+GREET1_Import_Export!$E322)</f>
        <v>0.17900783714139273</v>
      </c>
      <c r="BZ114" s="1070"/>
      <c r="CA114" s="1083"/>
      <c r="CB114" s="1097">
        <f>CB$81*(CB$71*AD$50*GREET1_Import_Export!$K79+GREET1_Import_Export!$B208*GREET1_Import_Export!$F$179+GREET1_Import_Export!$F208)+CB$82*(CB$71*(AD$52*GREET1_Import_Export!$Q79+AD$53*GREET1_Import_Export!$O79+AD$54*GREET1_Import_Export!$M79)+GREET1_Import_Export!$B208*GREET1_Import_Export!$G$179+GREET1_Import_Export!$G208)+CB$83*(CB$71*AD$55*GREET1_Import_Export!$T79+GREET1_Import_Export!$B208*GREET1_Import_Export!$C$179+GREET1_Import_Export!$C208)+CB$84*(CB$71*AD$56*GREET1_Import_Export!$W79+GREET1_Import_Export!$E244*GREET1_Import_Export!$F$215+GREET1_Import_Export!$F244)+CB$85*(CB$71*(AD$57*GREET1_Import_Export!$B79+AD$58*GREET1_Import_Export!$C79+AD$59*GREET1_Import_Export!$G79+AD$61*'GREET2_Factors_T&amp;D'!$F22+AD$62*'GREET2_Factors_T&amp;D'!$G22)+GREET1_Import_Export!$B244)+CB$86*(CB$71*(AD$64*GREET1_Import_Export!$AA79+AD$65*GREET1_Import_Export!$AB79)+GREET1_Import_Export!$C297)+CB$87*(GREET1_Import_Export!$D322+GREET1_Import_Export!$E322)</f>
        <v>15.843952212397472</v>
      </c>
      <c r="CC114" s="1070"/>
      <c r="CD114" s="1083"/>
      <c r="CE114" s="771">
        <f>CE$81*(CE$71*($AE$50*GREET1_Import_Export!$K79)+GREET1_Import_Export!$F$200*GREET1_Import_Export!$B208+GREET1_Import_Export!$F208)+CE$82*(CE$71*(GREET1_Import_Export!$R79)+GREET1_Import_Export!$H$200*GREET1_Import_Export!$B208+GREET1_Import_Export!$H208)+CE$83*(CE$71*(GREET1_Import_Export!$T79)+GREET1_Import_Export!$C$200*GREET1_Import_Export!$B208+GREET1_Import_Export!$C208)+CE$84*(CE$71*(GREET1_Import_Export!$X79)+GREET1_Import_Export!$B$10*(GREET1_Import_Export!$F$215*GREET1_Import_Export!$B244+GREET1_Import_Export!$F244)+GREET1_Import_Export!$C$10*(GREET1_Import_Export!$E$200*GREET1_Import_Export!$B208+GREET1_Import_Export!$E208))+CE$85*(CE$71*($AE$57*GREET1_Import_Export!$B79)+GREET1_Import_Export!$B244)+CE$86*(CE$71*($AE$64*GREET1_Import_Export!$AA79)+GREET1_Import_Export!$C297)+CE$87*(GREET1_Import_Export!$D322+GREET1_Import_Export!$E322)</f>
        <v>0</v>
      </c>
      <c r="CF114" s="1098"/>
      <c r="CG114" s="1321"/>
      <c r="CH114" s="1321"/>
      <c r="CI114" s="1321"/>
      <c r="CJ114" s="1321"/>
      <c r="CK114" s="1321"/>
      <c r="CL114" s="1321"/>
      <c r="CM114" s="1321"/>
      <c r="CN114" s="1321"/>
      <c r="CO114" s="1321"/>
      <c r="CP114" s="1321"/>
      <c r="CQ114" s="1321"/>
      <c r="CR114" s="1321"/>
      <c r="CS114" s="1321"/>
      <c r="CT114" s="1321"/>
      <c r="CU114" s="1321"/>
      <c r="CV114" s="1321"/>
      <c r="CW114" s="1321"/>
      <c r="CX114" s="1321"/>
      <c r="CY114" s="1321"/>
      <c r="CZ114" s="1321"/>
      <c r="DA114" s="1321"/>
      <c r="DB114" s="1321"/>
      <c r="DC114" s="1321"/>
      <c r="DD114" s="1321"/>
      <c r="DE114" s="1321"/>
      <c r="DF114" s="1321"/>
      <c r="DG114" s="1321"/>
      <c r="DH114" s="1321"/>
      <c r="DI114" s="1321"/>
      <c r="DJ114" s="1321"/>
      <c r="DK114" s="1321"/>
      <c r="DL114" s="1321"/>
      <c r="DM114" s="1321"/>
      <c r="DN114" s="1321"/>
      <c r="DO114" s="1321"/>
      <c r="DP114" s="1321"/>
      <c r="DQ114" s="1321"/>
      <c r="DR114" s="1321"/>
      <c r="DS114" s="1321"/>
      <c r="DT114" s="1321"/>
      <c r="DU114" s="1321"/>
      <c r="DV114" s="1321"/>
      <c r="DW114" s="1321"/>
      <c r="DX114" s="1321"/>
      <c r="DY114" s="1321"/>
      <c r="DZ114" s="1321"/>
      <c r="EA114" s="1321"/>
      <c r="EB114" s="1321"/>
      <c r="EC114" s="1321"/>
      <c r="ED114" s="1321"/>
      <c r="EE114" s="1321"/>
      <c r="EF114" s="1321"/>
      <c r="EG114" s="1321"/>
      <c r="EH114" s="1321"/>
      <c r="EI114" s="1321"/>
      <c r="EJ114" s="1321"/>
      <c r="EK114" s="1321"/>
      <c r="EL114" s="1321"/>
      <c r="EM114" s="1321"/>
      <c r="EN114" s="1321"/>
      <c r="EO114" s="1321"/>
      <c r="EP114" s="1321"/>
      <c r="EQ114" s="1321"/>
      <c r="ER114" s="1321"/>
      <c r="ES114" s="1321"/>
      <c r="ET114" s="1321"/>
      <c r="EU114" s="1321"/>
      <c r="EV114" s="1321"/>
      <c r="EW114" s="1321"/>
      <c r="EX114" s="1321"/>
      <c r="EY114" s="1321"/>
      <c r="EZ114" s="1321"/>
      <c r="FA114" s="1321"/>
      <c r="FB114" s="1321"/>
    </row>
    <row r="115" spans="1:158" s="8" customFormat="1">
      <c r="A115" s="489"/>
      <c r="B115" s="489"/>
      <c r="C115" s="479"/>
      <c r="D115" s="480"/>
      <c r="E115" s="489"/>
      <c r="F115" s="479"/>
      <c r="G115" s="480"/>
      <c r="H115" s="489"/>
      <c r="I115" s="479"/>
      <c r="J115" s="480"/>
      <c r="K115" s="489"/>
      <c r="L115" s="479"/>
      <c r="M115" s="480"/>
      <c r="N115" s="489"/>
      <c r="O115" s="479"/>
      <c r="P115" s="480"/>
      <c r="Q115" s="489"/>
      <c r="R115" s="480"/>
      <c r="S115" s="489"/>
      <c r="T115" s="480"/>
      <c r="U115" s="489"/>
      <c r="V115" s="480"/>
      <c r="W115" s="489"/>
      <c r="X115" s="480"/>
      <c r="Y115" s="489"/>
      <c r="Z115" s="480"/>
      <c r="AA115" s="489"/>
      <c r="AB115" s="480"/>
      <c r="AC115" s="489"/>
      <c r="AD115" s="479"/>
      <c r="AE115" s="480"/>
      <c r="AF115" s="489"/>
      <c r="AG115" s="479"/>
      <c r="AH115" s="480"/>
      <c r="AI115" s="489"/>
      <c r="AJ115" s="480"/>
      <c r="AK115" s="489"/>
      <c r="AL115" s="480"/>
      <c r="AM115" s="489"/>
      <c r="AN115" s="480"/>
      <c r="AO115" s="489"/>
      <c r="AP115" s="480"/>
      <c r="AQ115" s="489"/>
      <c r="AR115" s="480"/>
      <c r="AY115" s="1321"/>
      <c r="AZ115" s="1321"/>
      <c r="EO115" s="1321"/>
      <c r="EP115" s="1321"/>
      <c r="EQ115" s="1321"/>
      <c r="ER115" s="1321"/>
      <c r="ES115" s="1321"/>
      <c r="ET115" s="1321"/>
      <c r="EU115" s="1321"/>
      <c r="EV115" s="1321"/>
      <c r="EW115" s="1321"/>
      <c r="EX115" s="1321"/>
      <c r="EY115" s="1321"/>
      <c r="EZ115" s="1321"/>
      <c r="FA115" s="1321"/>
      <c r="FB115" s="1321"/>
    </row>
    <row r="116" spans="1:158" ht="15">
      <c r="A116" s="120" t="s">
        <v>1771</v>
      </c>
      <c r="B116" s="1321"/>
      <c r="C116" s="1321"/>
      <c r="D116" s="1321"/>
      <c r="E116" s="1321"/>
      <c r="F116" s="1321"/>
      <c r="G116" s="1321"/>
      <c r="H116" s="1321"/>
      <c r="I116" s="1321"/>
      <c r="J116" s="1321"/>
      <c r="K116" s="1321"/>
      <c r="L116" s="1321"/>
      <c r="M116" s="1321"/>
      <c r="N116" s="1321"/>
      <c r="O116" s="1321"/>
      <c r="P116" s="1321"/>
      <c r="Q116" s="1321"/>
      <c r="R116" s="1321"/>
      <c r="S116" s="1321"/>
      <c r="T116" s="1321"/>
      <c r="U116" s="1321"/>
      <c r="V116" s="1321"/>
      <c r="W116" s="1321"/>
      <c r="X116" s="1321"/>
      <c r="Y116" s="1321"/>
      <c r="Z116" s="1321"/>
      <c r="AA116" s="1321"/>
      <c r="AB116" s="1321"/>
      <c r="AC116" s="1321"/>
      <c r="AD116" s="1321"/>
      <c r="AE116" s="1321"/>
      <c r="AF116" s="1321"/>
      <c r="AG116" s="1321"/>
      <c r="AH116" s="1321"/>
      <c r="AI116" s="1321"/>
      <c r="AJ116" s="1321"/>
      <c r="AK116" s="1321"/>
      <c r="AL116" s="1321"/>
      <c r="AM116" s="1321"/>
      <c r="AN116" s="1321"/>
      <c r="AO116" s="1321"/>
      <c r="AP116" s="1321"/>
      <c r="AQ116" s="1321"/>
      <c r="AR116" s="1321"/>
      <c r="AS116" s="1321"/>
      <c r="AT116" s="1321"/>
      <c r="AU116" s="1321"/>
      <c r="AV116" s="1321"/>
      <c r="AW116" s="1321"/>
      <c r="AX116" s="1321"/>
      <c r="AY116" s="1321"/>
      <c r="AZ116" s="1321"/>
      <c r="BA116" s="1321"/>
      <c r="BB116" s="1321"/>
      <c r="BC116" s="1321"/>
      <c r="BD116" s="1321"/>
      <c r="BE116" s="1321"/>
      <c r="BF116" s="1321"/>
      <c r="BG116" s="1321"/>
      <c r="BH116" s="1321"/>
      <c r="BI116" s="1321"/>
      <c r="BJ116" s="1321"/>
      <c r="BK116" s="1321"/>
      <c r="BL116" s="1321"/>
      <c r="BM116" s="1321"/>
      <c r="BN116" s="1321"/>
      <c r="BO116" s="1321"/>
      <c r="BP116" s="1321"/>
      <c r="BQ116" s="1321"/>
      <c r="BR116" s="1321"/>
      <c r="BS116" s="1321"/>
      <c r="BT116" s="1321"/>
      <c r="BU116" s="1321"/>
      <c r="BV116" s="1321"/>
      <c r="BW116" s="1321"/>
      <c r="BX116" s="1321"/>
      <c r="BY116" s="1321"/>
      <c r="BZ116" s="1321"/>
      <c r="CA116" s="1321"/>
      <c r="CB116" s="1321"/>
      <c r="CC116" s="1321"/>
      <c r="CD116" s="1321"/>
      <c r="CE116" s="1321"/>
      <c r="CF116" s="1321"/>
      <c r="CG116" s="1321"/>
      <c r="CH116" s="1321"/>
      <c r="CI116" s="1321"/>
      <c r="CJ116" s="1321"/>
      <c r="CK116" s="1321"/>
      <c r="CL116" s="1321"/>
      <c r="CM116" s="1321"/>
      <c r="CN116" s="1321"/>
      <c r="CO116" s="1321"/>
      <c r="CP116" s="1321"/>
      <c r="CQ116" s="1321"/>
      <c r="CR116" s="1321"/>
      <c r="CS116" s="1321"/>
      <c r="CT116" s="1321"/>
      <c r="CU116" s="1321"/>
      <c r="CV116" s="1321"/>
      <c r="CW116" s="1321"/>
      <c r="CX116" s="1321"/>
      <c r="CY116" s="1321"/>
      <c r="CZ116" s="1321"/>
      <c r="DA116" s="1321"/>
      <c r="DB116" s="1321"/>
      <c r="DC116" s="1321"/>
      <c r="DD116" s="1321"/>
      <c r="DE116" s="1321"/>
      <c r="DF116" s="1321"/>
      <c r="DG116" s="1321"/>
      <c r="DH116" s="1321"/>
      <c r="DI116" s="1321"/>
      <c r="DJ116" s="1321"/>
      <c r="DK116" s="1321"/>
      <c r="DL116" s="1321"/>
      <c r="DM116" s="1321"/>
      <c r="DN116" s="1321"/>
      <c r="DO116" s="1321"/>
      <c r="DP116" s="1321"/>
      <c r="DQ116" s="1321"/>
      <c r="DR116" s="1321"/>
      <c r="DS116" s="1321"/>
      <c r="DT116" s="1321"/>
      <c r="DU116" s="1321"/>
      <c r="DV116" s="1321"/>
      <c r="DW116" s="1321"/>
      <c r="DX116" s="1321"/>
      <c r="DY116" s="1321"/>
      <c r="DZ116" s="1321"/>
      <c r="EA116" s="1321"/>
      <c r="EB116" s="1321"/>
      <c r="EC116" s="1321"/>
      <c r="ED116" s="1321"/>
      <c r="EE116" s="1321"/>
      <c r="EF116" s="1321"/>
      <c r="EG116" s="1321"/>
      <c r="EH116" s="1321"/>
      <c r="EI116" s="1321"/>
      <c r="EJ116" s="1321"/>
      <c r="EK116" s="1321"/>
      <c r="EL116" s="1321"/>
      <c r="EM116" s="1321"/>
      <c r="EN116" s="1321"/>
      <c r="EO116" s="1321"/>
      <c r="EP116" s="1321"/>
      <c r="EQ116" s="1321"/>
      <c r="ER116" s="1321"/>
      <c r="ES116" s="1321"/>
      <c r="ET116" s="1321"/>
      <c r="EU116" s="1321"/>
      <c r="EV116" s="1321"/>
      <c r="EW116" s="1321"/>
      <c r="EX116" s="1321"/>
      <c r="EY116" s="1321"/>
      <c r="EZ116" s="1321"/>
      <c r="FA116" s="1321"/>
      <c r="FB116" s="1321"/>
    </row>
    <row r="117" spans="1:158" ht="136.5" customHeight="1">
      <c r="A117" s="1299"/>
      <c r="B117" s="1562" t="s">
        <v>1772</v>
      </c>
      <c r="C117" s="1345" t="s">
        <v>1773</v>
      </c>
      <c r="D117" s="1345" t="s">
        <v>1774</v>
      </c>
      <c r="E117" s="1345" t="s">
        <v>1775</v>
      </c>
      <c r="F117" s="1345" t="s">
        <v>1776</v>
      </c>
      <c r="G117" s="1345" t="s">
        <v>1777</v>
      </c>
      <c r="H117" s="1345" t="s">
        <v>1778</v>
      </c>
      <c r="I117" s="1345" t="s">
        <v>1779</v>
      </c>
      <c r="J117" s="1345" t="s">
        <v>1780</v>
      </c>
      <c r="K117" s="1345" t="s">
        <v>1781</v>
      </c>
      <c r="L117" s="1345" t="s">
        <v>1782</v>
      </c>
      <c r="M117" s="1345" t="s">
        <v>1783</v>
      </c>
      <c r="N117" s="1345" t="s">
        <v>1784</v>
      </c>
      <c r="O117" s="1345" t="s">
        <v>1785</v>
      </c>
      <c r="P117" s="1345" t="s">
        <v>1786</v>
      </c>
      <c r="Q117" s="1345" t="s">
        <v>1787</v>
      </c>
      <c r="R117" s="1345" t="s">
        <v>1788</v>
      </c>
      <c r="S117" s="1345" t="s">
        <v>1789</v>
      </c>
      <c r="T117" s="1345" t="s">
        <v>1790</v>
      </c>
      <c r="U117" s="1345" t="s">
        <v>1791</v>
      </c>
      <c r="V117" s="1345" t="s">
        <v>1792</v>
      </c>
      <c r="W117" s="1345" t="s">
        <v>1793</v>
      </c>
      <c r="X117" s="1345" t="s">
        <v>1794</v>
      </c>
      <c r="Y117" s="1345" t="s">
        <v>1767</v>
      </c>
      <c r="Z117" s="1345" t="s">
        <v>1768</v>
      </c>
      <c r="AA117" s="1345" t="s">
        <v>1795</v>
      </c>
      <c r="AB117" s="1343" t="s">
        <v>1796</v>
      </c>
      <c r="AC117" s="1321"/>
      <c r="AD117" s="1321"/>
      <c r="AE117" s="1321"/>
      <c r="AF117" s="1321"/>
      <c r="AG117" s="1321"/>
      <c r="AH117" s="1321"/>
      <c r="AI117" s="1321"/>
      <c r="AJ117" s="1321"/>
      <c r="AK117" s="1321"/>
      <c r="AL117" s="1321"/>
      <c r="AM117" s="1321"/>
      <c r="AN117" s="1321"/>
      <c r="AO117" s="1321"/>
      <c r="AP117" s="1321"/>
      <c r="AQ117" s="1321"/>
      <c r="AR117" s="1321"/>
      <c r="AS117" s="1321"/>
      <c r="AT117" s="1321"/>
      <c r="AU117" s="1321"/>
      <c r="AV117" s="1321"/>
      <c r="AW117" s="1321"/>
      <c r="AX117" s="1321"/>
      <c r="AY117" s="1321"/>
      <c r="AZ117" s="1321"/>
      <c r="BA117" s="1321"/>
      <c r="BB117" s="1321"/>
      <c r="BC117" s="1321"/>
      <c r="BD117" s="1321"/>
      <c r="BE117" s="1321"/>
      <c r="BF117" s="1321"/>
      <c r="BG117" s="1321"/>
      <c r="BH117" s="1321"/>
      <c r="BI117" s="1321"/>
      <c r="BJ117" s="1321"/>
      <c r="BK117" s="1321"/>
      <c r="BL117" s="1321"/>
      <c r="BM117" s="1321"/>
      <c r="BN117" s="1321"/>
      <c r="BO117" s="1321"/>
      <c r="BP117" s="1321"/>
      <c r="BQ117" s="1321"/>
      <c r="BR117" s="1321"/>
      <c r="BS117" s="1321"/>
      <c r="BT117" s="1321"/>
      <c r="BU117" s="1321"/>
      <c r="BV117" s="1321"/>
      <c r="BW117" s="1321"/>
      <c r="BX117" s="1321"/>
      <c r="BY117" s="1321"/>
      <c r="BZ117" s="1321"/>
      <c r="CA117" s="1321"/>
      <c r="CB117" s="1321"/>
      <c r="CC117" s="1321"/>
      <c r="CD117" s="1321"/>
      <c r="CE117" s="1321"/>
      <c r="CF117" s="1321"/>
      <c r="CG117" s="1321"/>
      <c r="CH117" s="1321"/>
      <c r="CI117" s="1321"/>
      <c r="CJ117" s="1321"/>
      <c r="CK117" s="1321"/>
      <c r="CL117" s="1321"/>
      <c r="CM117" s="1321"/>
      <c r="CN117" s="1321"/>
      <c r="CO117" s="1321"/>
      <c r="CP117" s="1321"/>
      <c r="CQ117" s="1321"/>
      <c r="CR117" s="1321"/>
      <c r="CS117" s="1321"/>
      <c r="CT117" s="1321"/>
      <c r="CU117" s="1321"/>
      <c r="CV117" s="1321"/>
      <c r="CW117" s="1321"/>
      <c r="CX117" s="1321"/>
      <c r="CY117" s="1321"/>
      <c r="CZ117" s="1321"/>
      <c r="DA117" s="1321"/>
      <c r="DB117" s="1321"/>
      <c r="DC117" s="1321"/>
      <c r="DD117" s="1321"/>
      <c r="DE117" s="1321"/>
      <c r="DF117" s="1321"/>
      <c r="DG117" s="1321"/>
      <c r="DH117" s="1321"/>
      <c r="DI117" s="1321"/>
      <c r="DJ117" s="1321"/>
      <c r="DK117" s="1321"/>
      <c r="DL117" s="1321"/>
      <c r="DM117" s="1321"/>
      <c r="DN117" s="1321"/>
      <c r="DO117" s="1321"/>
      <c r="DP117" s="1321"/>
      <c r="DQ117" s="1321"/>
      <c r="DR117" s="1321"/>
      <c r="DS117" s="1321"/>
      <c r="DT117" s="1321"/>
      <c r="DU117" s="1321"/>
      <c r="DV117" s="1321"/>
      <c r="DW117" s="1321"/>
      <c r="DX117" s="1321"/>
      <c r="DY117" s="1321"/>
      <c r="DZ117" s="1321"/>
      <c r="EA117" s="1321"/>
      <c r="EB117" s="1321"/>
      <c r="EC117" s="1321"/>
      <c r="ED117" s="1321"/>
      <c r="EE117" s="1321"/>
      <c r="EF117" s="1321"/>
      <c r="EG117" s="1321"/>
      <c r="EH117" s="1321"/>
      <c r="EI117" s="1321"/>
      <c r="EJ117" s="1321"/>
      <c r="EK117" s="1321"/>
      <c r="EL117" s="1321"/>
      <c r="EM117" s="1321"/>
      <c r="EN117" s="1321"/>
      <c r="EO117" s="1321"/>
      <c r="EP117" s="1321"/>
      <c r="EQ117" s="1321"/>
      <c r="ER117" s="1321"/>
      <c r="ES117" s="1321"/>
      <c r="ET117" s="1321"/>
      <c r="EU117" s="1321"/>
      <c r="EV117" s="1321"/>
      <c r="EW117" s="1321"/>
      <c r="EX117" s="1321"/>
      <c r="EY117" s="1321"/>
      <c r="EZ117" s="1321"/>
      <c r="FA117" s="1321"/>
      <c r="FB117" s="1321"/>
    </row>
    <row r="118" spans="1:158">
      <c r="A118" s="293" t="s">
        <v>870</v>
      </c>
      <c r="B118" s="135"/>
      <c r="C118" s="1608"/>
      <c r="D118" s="1608"/>
      <c r="E118" s="1608"/>
      <c r="F118" s="1608"/>
      <c r="G118" s="1608"/>
      <c r="H118" s="1608"/>
      <c r="I118" s="1608"/>
      <c r="J118" s="1608"/>
      <c r="K118" s="1608"/>
      <c r="L118" s="1608"/>
      <c r="M118" s="1608"/>
      <c r="N118" s="1608"/>
      <c r="O118" s="1608"/>
      <c r="P118" s="1608"/>
      <c r="Q118" s="1608"/>
      <c r="R118" s="1608"/>
      <c r="S118" s="1608"/>
      <c r="T118" s="1608"/>
      <c r="U118" s="1608"/>
      <c r="V118" s="1608"/>
      <c r="W118" s="1608"/>
      <c r="X118" s="1608"/>
      <c r="Y118" s="1608"/>
      <c r="Z118" s="1608"/>
      <c r="AA118" s="1608"/>
      <c r="AB118" s="525"/>
      <c r="AC118" s="1321"/>
      <c r="AD118" s="1321"/>
      <c r="AE118" s="1321"/>
      <c r="AF118" s="1321"/>
      <c r="AG118" s="1321"/>
      <c r="AH118" s="1321"/>
      <c r="AI118" s="1321"/>
      <c r="AJ118" s="1321"/>
      <c r="AK118" s="1321"/>
      <c r="AL118" s="1321"/>
      <c r="AM118" s="1321"/>
      <c r="AN118" s="1321"/>
      <c r="AO118" s="1321"/>
      <c r="AP118" s="1321"/>
      <c r="AQ118" s="1321"/>
      <c r="AR118" s="1321"/>
      <c r="AS118" s="1321"/>
      <c r="AT118" s="1321"/>
      <c r="AU118" s="1321"/>
      <c r="AV118" s="1321"/>
      <c r="AW118" s="1321"/>
      <c r="AX118" s="1321"/>
      <c r="AY118" s="1321"/>
      <c r="AZ118" s="1321"/>
      <c r="BA118" s="1321"/>
      <c r="BB118" s="1321"/>
      <c r="BC118" s="1321"/>
      <c r="BD118" s="1321"/>
      <c r="BE118" s="1321"/>
      <c r="BF118" s="1321"/>
      <c r="BG118" s="1321"/>
      <c r="BH118" s="1321"/>
      <c r="BI118" s="1321"/>
      <c r="BJ118" s="1321"/>
      <c r="BK118" s="1321"/>
      <c r="BL118" s="1321"/>
      <c r="BM118" s="1321"/>
      <c r="BN118" s="1321"/>
      <c r="BO118" s="1321"/>
      <c r="BP118" s="1321"/>
      <c r="BQ118" s="1321"/>
      <c r="BR118" s="1321"/>
      <c r="BS118" s="1321"/>
      <c r="BT118" s="1321"/>
      <c r="BU118" s="1321"/>
      <c r="BV118" s="1321"/>
      <c r="BW118" s="1321"/>
      <c r="BX118" s="1321"/>
      <c r="BY118" s="1321"/>
      <c r="BZ118" s="1321"/>
      <c r="CA118" s="1321"/>
      <c r="CB118" s="1321"/>
      <c r="CC118" s="1321"/>
      <c r="CD118" s="1321"/>
      <c r="CE118" s="1321"/>
      <c r="CF118" s="1321"/>
      <c r="CG118" s="1321"/>
      <c r="CH118" s="1321"/>
      <c r="CI118" s="1321"/>
      <c r="CJ118" s="1321"/>
      <c r="CK118" s="1321"/>
      <c r="CL118" s="1321"/>
      <c r="CM118" s="1321"/>
      <c r="CN118" s="1321"/>
      <c r="CO118" s="1321"/>
      <c r="CP118" s="1321"/>
      <c r="CQ118" s="1321"/>
      <c r="CR118" s="1321"/>
      <c r="CS118" s="1321"/>
      <c r="CT118" s="1321"/>
      <c r="CU118" s="1321"/>
      <c r="CV118" s="1321"/>
      <c r="CW118" s="1321"/>
      <c r="CX118" s="1321"/>
      <c r="CY118" s="1321"/>
      <c r="CZ118" s="1321"/>
      <c r="DA118" s="1321"/>
      <c r="DB118" s="1321"/>
      <c r="DC118" s="1321"/>
      <c r="DD118" s="1321"/>
      <c r="DE118" s="1321"/>
      <c r="DF118" s="1321"/>
      <c r="DG118" s="1321"/>
      <c r="DH118" s="1321"/>
      <c r="DI118" s="1321"/>
      <c r="DJ118" s="1321"/>
      <c r="DK118" s="1321"/>
      <c r="DL118" s="1321"/>
      <c r="DM118" s="1321"/>
      <c r="DN118" s="1321"/>
      <c r="DO118" s="1321"/>
      <c r="DP118" s="1321"/>
      <c r="DQ118" s="1321"/>
      <c r="DR118" s="1321"/>
      <c r="DS118" s="1321"/>
      <c r="DT118" s="1321"/>
      <c r="DU118" s="1321"/>
      <c r="DV118" s="1321"/>
      <c r="DW118" s="1321"/>
      <c r="DX118" s="1321"/>
      <c r="DY118" s="1321"/>
      <c r="DZ118" s="1321"/>
      <c r="EA118" s="1321"/>
      <c r="EB118" s="1321"/>
      <c r="EC118" s="1321"/>
      <c r="ED118" s="1321"/>
      <c r="EE118" s="1321"/>
      <c r="EF118" s="1321"/>
      <c r="EG118" s="1321"/>
      <c r="EH118" s="1321"/>
      <c r="EI118" s="1321"/>
      <c r="EJ118" s="1321"/>
      <c r="EK118" s="1321"/>
      <c r="EL118" s="1321"/>
      <c r="EM118" s="1321"/>
      <c r="EN118" s="1321"/>
      <c r="EO118" s="1321"/>
      <c r="EP118" s="1321"/>
      <c r="EQ118" s="1321"/>
      <c r="ER118" s="1321"/>
      <c r="ES118" s="1321"/>
      <c r="ET118" s="1321"/>
      <c r="EU118" s="1321"/>
      <c r="EV118" s="1321"/>
      <c r="EW118" s="1321"/>
      <c r="EX118" s="1321"/>
      <c r="EY118" s="1321"/>
      <c r="EZ118" s="1321"/>
      <c r="FA118" s="1321"/>
      <c r="FB118" s="1321"/>
    </row>
    <row r="119" spans="1:158">
      <c r="A119" s="291" t="s">
        <v>816</v>
      </c>
      <c r="B119" s="347">
        <f t="array" aca="1" ref="B119" ca="1">SUM(B88:D88)+(MMULT($B152:$AL152+0,B$6:B$42+0))</f>
        <v>7.558463442424566</v>
      </c>
      <c r="C119" s="349">
        <f t="array" aca="1" ref="C119" ca="1">SUM(E88:G88)+(MMULT($B152:$AL152+0,C$6:C$42+0))</f>
        <v>17.655552427004356</v>
      </c>
      <c r="D119" s="349">
        <f t="array" aca="1" ref="D119" ca="1">SUM(H88:J88)+(MMULT($B152:$AL152+0,D$6:D$42+0))</f>
        <v>174.84278554971118</v>
      </c>
      <c r="E119" s="349">
        <f t="array" aca="1" ref="E119" ca="1">SUM(K88:M88)+(MMULT($B152:$AL152+0,E$6:E$42+0))</f>
        <v>254.36482246583989</v>
      </c>
      <c r="F119" s="349">
        <f t="array" aca="1" ref="F119" ca="1">SUM(N88:P88)+(MMULT($B152:$AL152+0,F$6:F$42+0))</f>
        <v>182.19271435701759</v>
      </c>
      <c r="G119" s="349">
        <f t="array" aca="1" ref="G119" ca="1">SUM(Q88:S88)+(MMULT($B152:$AL152+0,G$6:G$42+0))</f>
        <v>261.23586093133434</v>
      </c>
      <c r="H119" s="1256">
        <f t="array" aca="1" ref="H119" ca="1">SUM(T88:V88)+(MMULT($B152:$AL152+0,H$6:H$42+0))</f>
        <v>194.17445444648715</v>
      </c>
      <c r="I119" s="1256">
        <f t="array" aca="1" ref="I119" ca="1">SUM(W88:Y88)+(MMULT($B152:$AL152+0,I$6:I$42+0))</f>
        <v>271.62019078499918</v>
      </c>
      <c r="J119" s="349">
        <f t="array" aca="1" ref="J119" ca="1">SUM(Z88:AB88)+(MMULT($B152:$AL152+0,J$6:J$42+0))</f>
        <v>206.2887567108348</v>
      </c>
      <c r="K119" s="349">
        <f t="array" aca="1" ref="K119" ca="1">SUM(AC88:AE88)+(MMULT($B152:$AL152+0,K$6:K$42+0))</f>
        <v>283.93934957829856</v>
      </c>
      <c r="L119" s="349">
        <f t="array" aca="1" ref="L119" ca="1">SUM(AF88:AH88)+(MMULT($B152:$AL152+0,L$6:L$42+0))</f>
        <v>224.20053344944543</v>
      </c>
      <c r="M119" s="349">
        <f t="array" aca="1" ref="M119" ca="1">SUM(AI88:AK88)+(MMULT($B152:$AL152+0,M$6:M$42+0))</f>
        <v>324.94914315683388</v>
      </c>
      <c r="N119" s="349">
        <f t="array" aca="1" ref="N119" ca="1">SUM(AL88:AN88)+(MMULT($B152:$AL152+0,N$6:N$42+0))</f>
        <v>114.54989122800484</v>
      </c>
      <c r="O119" s="349">
        <f t="array" aca="1" ref="O119" ca="1">SUM(AO88:AQ88)+(MMULT($B152:$AL152+0,O$6:O$42+0))</f>
        <v>203.01227622836674</v>
      </c>
      <c r="P119" s="349">
        <f t="array" aca="1" ref="P119" ca="1">SUM(AR88:AT88)+(MMULT($B152:$AL152+0,P$6:P$42+0))</f>
        <v>107.1188828478611</v>
      </c>
      <c r="Q119" s="349">
        <f t="array" aca="1" ref="Q119" ca="1">SUM(AU88:AW88)+(MMULT($B152:$AL152+0,Q$6:Q$42+0))</f>
        <v>104.36622044304893</v>
      </c>
      <c r="R119" s="349">
        <f t="array" aca="1" ref="R119" ca="1">SUM(AX88:AZ88)+(MMULT($B152:$AL152+0,R$6:R$42+0))</f>
        <v>152.53639304727392</v>
      </c>
      <c r="S119" s="349">
        <f t="array" aca="1" ref="S119" ca="1">SUM(BA88:BC88)+(MMULT($B152:$AL152+0,S$6:S$42+0))</f>
        <v>254.64101144658778</v>
      </c>
      <c r="T119" s="349">
        <f t="array" aca="1" ref="T119" ca="1">SUM(BD88:BF88)+(MMULT($B152:$AL152+0,T$6:T$42+0))</f>
        <v>31.855433653806809</v>
      </c>
      <c r="U119" s="349">
        <f t="array" aca="1" ref="U119" ca="1">SUM(BG88:BI88)+(MMULT($B152:$AL152+0,U$6:U$42+0))</f>
        <v>304.22380274026943</v>
      </c>
      <c r="V119" s="349">
        <f t="array" aca="1" ref="V119" ca="1">SUM(BJ88:BL88)+(MMULT($B152:$AL152+0,V$6:V$42+0))</f>
        <v>51.274847653443167</v>
      </c>
      <c r="W119" s="349">
        <f t="shared" ref="W119:W124" si="46">SUM(BM88:BO88)</f>
        <v>1.140703965254573</v>
      </c>
      <c r="X119" s="349">
        <f t="shared" ref="X119:X124" si="47">SUM(BP88:BR88)</f>
        <v>0</v>
      </c>
      <c r="Y119" s="349">
        <f t="array" aca="1" ref="Y119" ca="1">SUM(BS88:BU88)+(MMULT($B152:$AL152+0,X$6:X$42+0))</f>
        <v>0.63059244749464671</v>
      </c>
      <c r="Z119" s="349">
        <f t="array" aca="1" ref="Z119" ca="1">SUM(BV88:BX88)+(MMULT($B152:$AL152+0,Y$6:Y$42+0))</f>
        <v>0.73197719593784139</v>
      </c>
      <c r="AA119" s="349">
        <f t="array" aca="1" ref="AA119" ca="1">SUM(BY88:CA88)+(MMULT($B152:$AL152+0,Z$6:Z$42+0))</f>
        <v>244.28709848836198</v>
      </c>
      <c r="AB119" s="348">
        <f t="array" aca="1" ref="AB119" ca="1">SUM(CB88:CD88)+(MMULT($B152:$AL152+0,AA$6:AA$42+0))</f>
        <v>345.22107671398447</v>
      </c>
      <c r="AC119" s="1321"/>
      <c r="AD119" s="1321"/>
      <c r="AE119" s="1321"/>
      <c r="AF119" s="1321"/>
      <c r="AG119" s="1321"/>
      <c r="AH119" s="1321"/>
      <c r="AI119" s="1321"/>
      <c r="AJ119" s="1321"/>
      <c r="AK119" s="1321"/>
      <c r="AL119" s="1321"/>
      <c r="AM119" s="1321"/>
      <c r="AN119" s="1321"/>
      <c r="AO119" s="1321"/>
      <c r="AP119" s="1321"/>
      <c r="AQ119" s="1321"/>
      <c r="AR119" s="1321"/>
      <c r="AS119" s="1321"/>
      <c r="AT119" s="1321"/>
      <c r="AU119" s="1321"/>
      <c r="AV119" s="1321"/>
      <c r="AW119" s="1321"/>
      <c r="AX119" s="1321"/>
      <c r="AY119" s="1321"/>
      <c r="AZ119" s="1321"/>
      <c r="BA119" s="1321"/>
      <c r="BB119" s="1321"/>
      <c r="BC119" s="1321"/>
      <c r="BD119" s="1321"/>
      <c r="BE119" s="1321"/>
      <c r="BF119" s="1321"/>
      <c r="BG119" s="1321"/>
      <c r="BH119" s="1321"/>
      <c r="BI119" s="1321"/>
      <c r="BJ119" s="1321"/>
      <c r="BK119" s="1321"/>
      <c r="BL119" s="1321"/>
      <c r="BM119" s="1321"/>
      <c r="BN119" s="1321"/>
      <c r="BO119" s="1321"/>
      <c r="BP119" s="1321"/>
      <c r="BQ119" s="1321"/>
      <c r="BR119" s="1321"/>
      <c r="BS119" s="1321"/>
      <c r="BT119" s="1321"/>
      <c r="BU119" s="1321"/>
      <c r="BV119" s="1321"/>
      <c r="BW119" s="1321"/>
      <c r="BX119" s="1321"/>
      <c r="BY119" s="1321"/>
      <c r="BZ119" s="1321"/>
      <c r="CA119" s="1321"/>
      <c r="CB119" s="1321"/>
      <c r="CC119" s="1321"/>
      <c r="CD119" s="1321"/>
      <c r="CE119" s="1321"/>
      <c r="CF119" s="1321"/>
      <c r="CG119" s="1321"/>
      <c r="CH119" s="1321"/>
      <c r="CI119" s="1321"/>
      <c r="CJ119" s="1321"/>
      <c r="CK119" s="1321"/>
      <c r="CL119" s="1321"/>
      <c r="CM119" s="1321"/>
      <c r="CN119" s="1321"/>
      <c r="CO119" s="1321"/>
      <c r="CP119" s="1321"/>
      <c r="CQ119" s="1321"/>
      <c r="CR119" s="1321"/>
      <c r="CS119" s="1321"/>
      <c r="CT119" s="1321"/>
      <c r="CU119" s="1321"/>
      <c r="CV119" s="1321"/>
      <c r="CW119" s="1321"/>
      <c r="CX119" s="1321"/>
      <c r="CY119" s="1321"/>
      <c r="CZ119" s="1321"/>
      <c r="DA119" s="1321"/>
      <c r="DB119" s="1321"/>
      <c r="DC119" s="1321"/>
      <c r="DD119" s="1321"/>
      <c r="DE119" s="1321"/>
      <c r="DF119" s="1321"/>
      <c r="DG119" s="1321"/>
      <c r="DH119" s="1321"/>
      <c r="DI119" s="1321"/>
      <c r="DJ119" s="1321"/>
      <c r="DK119" s="1321"/>
      <c r="DL119" s="1321"/>
      <c r="DM119" s="1321"/>
      <c r="DN119" s="1321"/>
      <c r="DO119" s="1321"/>
      <c r="DP119" s="1321"/>
      <c r="DQ119" s="1321"/>
      <c r="DR119" s="1321"/>
      <c r="DS119" s="1321"/>
      <c r="DT119" s="1321"/>
      <c r="DU119" s="1321"/>
      <c r="DV119" s="1321"/>
      <c r="DW119" s="1321"/>
      <c r="DX119" s="1321"/>
      <c r="DY119" s="1321"/>
      <c r="DZ119" s="1321"/>
      <c r="EA119" s="1321"/>
      <c r="EB119" s="1321"/>
      <c r="EC119" s="1321"/>
      <c r="ED119" s="1321"/>
      <c r="EE119" s="1321"/>
      <c r="EF119" s="1321"/>
      <c r="EG119" s="1321"/>
      <c r="EH119" s="1321"/>
      <c r="EI119" s="1321"/>
      <c r="EJ119" s="1321"/>
      <c r="EK119" s="1321"/>
      <c r="EL119" s="1321"/>
      <c r="EM119" s="1321"/>
      <c r="EN119" s="1321"/>
      <c r="EO119" s="1321"/>
      <c r="EP119" s="1321"/>
      <c r="EQ119" s="1321"/>
      <c r="ER119" s="1321"/>
      <c r="ES119" s="1321"/>
      <c r="ET119" s="1321"/>
      <c r="EU119" s="1321"/>
      <c r="EV119" s="1321"/>
      <c r="EW119" s="1321"/>
      <c r="EX119" s="1321"/>
      <c r="EY119" s="1321"/>
      <c r="EZ119" s="1321"/>
      <c r="FA119" s="1321"/>
      <c r="FB119" s="1321"/>
    </row>
    <row r="120" spans="1:158">
      <c r="A120" s="291" t="s">
        <v>817</v>
      </c>
      <c r="B120" s="347">
        <f t="array" aca="1" ref="B120" ca="1">SUM(B89:D89)+(MMULT($B153:$AL153+0,B$6:B$42+0))</f>
        <v>6.2134755697616733</v>
      </c>
      <c r="C120" s="349">
        <f t="array" aca="1" ref="C120" ca="1">SUM(E89:G89)+(MMULT($B153:$AL153+0,C$6:C$42+0))</f>
        <v>17.559596575231108</v>
      </c>
      <c r="D120" s="349">
        <f t="array" aca="1" ref="D120" ca="1">SUM(H89:J89)+(MMULT($B153:$AL153+0,D$6:D$42+0))</f>
        <v>162.97126730865443</v>
      </c>
      <c r="E120" s="349">
        <f t="array" aca="1" ref="E120" ca="1">SUM(K89:M89)+(MMULT($B153:$AL153+0,E$6:E$42+0))</f>
        <v>233.04012468811095</v>
      </c>
      <c r="F120" s="349">
        <f t="array" aca="1" ref="F120" ca="1">SUM(N89:P89)+(MMULT($B153:$AL153+0,F$6:F$42+0))</f>
        <v>169.27334881101183</v>
      </c>
      <c r="G120" s="349">
        <f t="array" aca="1" ref="G120" ca="1">SUM(Q89:S89)+(MMULT($B153:$AL153+0,G$6:G$42+0))</f>
        <v>238.91767639507265</v>
      </c>
      <c r="H120" s="1256">
        <f t="array" aca="1" ref="H120" ca="1">SUM(T89:V89)+(MMULT($B153:$AL153+0,H$6:H$42+0))</f>
        <v>180.98212430837782</v>
      </c>
      <c r="I120" s="1256">
        <f t="array" aca="1" ref="I120" ca="1">SUM(W89:Y89)+(MMULT($B153:$AL153+0,I$6:I$42+0))</f>
        <v>249.09930220410467</v>
      </c>
      <c r="J120" s="349">
        <f t="array" aca="1" ref="J120" ca="1">SUM(Z89:AB89)+(MMULT($B153:$AL153+0,J$6:J$42+0))</f>
        <v>192.36926730394563</v>
      </c>
      <c r="K120" s="349">
        <f t="array" aca="1" ref="K120" ca="1">SUM(AC89:AE89)+(MMULT($B153:$AL153+0,K$6:K$42+0))</f>
        <v>260.67305462417295</v>
      </c>
      <c r="L120" s="349">
        <f t="array" aca="1" ref="L120" ca="1">SUM(AF89:AH89)+(MMULT($B153:$AL153+0,L$6:L$42+0))</f>
        <v>209.53760264898389</v>
      </c>
      <c r="M120" s="349">
        <f t="array" aca="1" ref="M120" ca="1">SUM(AI89:AK89)+(MMULT($B153:$AL153+0,M$6:M$42+0))</f>
        <v>297.49191660335089</v>
      </c>
      <c r="N120" s="349">
        <f t="array" aca="1" ref="N120" ca="1">SUM(AL89:AN89)+(MMULT($B153:$AL153+0,N$6:N$42+0))</f>
        <v>107.22035727983072</v>
      </c>
      <c r="O120" s="349">
        <f t="array" aca="1" ref="O120" ca="1">SUM(AO89:AQ89)+(MMULT($B153:$AL153+0,O$6:O$42+0))</f>
        <v>185.19787622864348</v>
      </c>
      <c r="P120" s="349">
        <f t="array" aca="1" ref="P120" ca="1">SUM(AR89:AT89)+(MMULT($B153:$AL153+0,P$6:P$42+0))</f>
        <v>103.37795318733876</v>
      </c>
      <c r="Q120" s="349">
        <f t="array" aca="1" ref="Q120" ca="1">SUM(AU89:AW89)+(MMULT($B153:$AL153+0,Q$6:Q$42+0))</f>
        <v>95.724617425901229</v>
      </c>
      <c r="R120" s="349">
        <f t="array" aca="1" ref="R120" ca="1">SUM(AX89:AZ89)+(MMULT($B153:$AL153+0,R$6:R$42+0))</f>
        <v>143.77151442256351</v>
      </c>
      <c r="S120" s="349">
        <f t="array" aca="1" ref="S120" ca="1">SUM(BA89:BC89)+(MMULT($B153:$AL153+0,S$6:S$42+0))</f>
        <v>230.07086447616393</v>
      </c>
      <c r="T120" s="349">
        <f t="array" aca="1" ref="T120" ca="1">SUM(BD89:BF89)+(MMULT($B153:$AL153+0,T$6:T$42+0))</f>
        <v>25.461454642713843</v>
      </c>
      <c r="U120" s="349">
        <f t="array" aca="1" ref="U120" ca="1">SUM(BG89:BI89)+(MMULT($B153:$AL153+0,U$6:U$42+0))</f>
        <v>277.79688375486967</v>
      </c>
      <c r="V120" s="349">
        <f t="array" aca="1" ref="V120" ca="1">SUM(BJ89:BL89)+(MMULT($B153:$AL153+0,V$6:V$42+0))</f>
        <v>48.69426389819683</v>
      </c>
      <c r="W120" s="349">
        <f t="shared" si="46"/>
        <v>0.96719947073990875</v>
      </c>
      <c r="X120" s="349">
        <f t="shared" si="47"/>
        <v>0</v>
      </c>
      <c r="Y120" s="349">
        <f t="array" aca="1" ref="Y120" ca="1">SUM(BS89:BU89)+(MMULT($B153:$AL153+0,X$6:X$42+0))</f>
        <v>0.5196446324747368</v>
      </c>
      <c r="Z120" s="349">
        <f t="array" aca="1" ref="Z120" ca="1">SUM(BV89:BX89)+(MMULT($B153:$AL153+0,Y$6:Y$42+0))</f>
        <v>0.65581644756543389</v>
      </c>
      <c r="AA120" s="349">
        <f t="array" aca="1" ref="AA120" ca="1">SUM(BY89:CA89)+(MMULT($B153:$AL153+0,Z$6:Z$42+0))</f>
        <v>228.80428467138429</v>
      </c>
      <c r="AB120" s="348">
        <f t="array" aca="1" ref="AB120" ca="1">SUM(CB89:CD89)+(MMULT($B153:$AL153+0,AA$6:AA$42+0))</f>
        <v>316.90687818648155</v>
      </c>
      <c r="AC120" s="1321"/>
      <c r="AD120" s="1321"/>
      <c r="AE120" s="1321"/>
      <c r="AF120" s="1321"/>
      <c r="AG120" s="1321"/>
      <c r="AH120" s="1321"/>
      <c r="AI120" s="1321"/>
      <c r="AJ120" s="1321"/>
      <c r="AK120" s="1321"/>
      <c r="AL120" s="1321"/>
      <c r="AM120" s="1321"/>
      <c r="AN120" s="1321"/>
      <c r="AO120" s="1321"/>
      <c r="AP120" s="1321"/>
      <c r="AQ120" s="1321"/>
      <c r="AR120" s="1321"/>
      <c r="AS120" s="1321"/>
      <c r="AT120" s="1321"/>
      <c r="AU120" s="1321"/>
      <c r="AV120" s="1321"/>
      <c r="AW120" s="1321"/>
      <c r="AX120" s="1321"/>
      <c r="AY120" s="1321"/>
      <c r="AZ120" s="1321"/>
      <c r="BA120" s="1321"/>
      <c r="BB120" s="1321"/>
      <c r="BC120" s="1321"/>
      <c r="BD120" s="1321"/>
      <c r="BE120" s="1321"/>
      <c r="BF120" s="1321"/>
      <c r="BG120" s="1321"/>
      <c r="BH120" s="1321"/>
      <c r="BI120" s="1321"/>
      <c r="BJ120" s="1321"/>
      <c r="BK120" s="1321"/>
      <c r="BL120" s="1321"/>
      <c r="BM120" s="1321"/>
      <c r="BN120" s="1321"/>
      <c r="BO120" s="1321"/>
      <c r="BP120" s="1321"/>
      <c r="BQ120" s="1321"/>
      <c r="BR120" s="1321"/>
      <c r="BS120" s="1321"/>
      <c r="BT120" s="1321"/>
      <c r="BU120" s="1321"/>
      <c r="BV120" s="1321"/>
      <c r="BW120" s="1321"/>
      <c r="BX120" s="1321"/>
      <c r="BY120" s="1321"/>
      <c r="BZ120" s="1321"/>
      <c r="CA120" s="1321"/>
      <c r="CB120" s="1321"/>
      <c r="CC120" s="1321"/>
      <c r="CD120" s="1321"/>
      <c r="CE120" s="1321"/>
      <c r="CF120" s="1321"/>
      <c r="CG120" s="1321"/>
      <c r="CH120" s="1321"/>
      <c r="CI120" s="1321"/>
      <c r="CJ120" s="1321"/>
      <c r="CK120" s="1321"/>
      <c r="CL120" s="1321"/>
      <c r="CM120" s="1321"/>
      <c r="CN120" s="1321"/>
      <c r="CO120" s="1321"/>
      <c r="CP120" s="1321"/>
      <c r="CQ120" s="1321"/>
      <c r="CR120" s="1321"/>
      <c r="CS120" s="1321"/>
      <c r="CT120" s="1321"/>
      <c r="CU120" s="1321"/>
      <c r="CV120" s="1321"/>
      <c r="CW120" s="1321"/>
      <c r="CX120" s="1321"/>
      <c r="CY120" s="1321"/>
      <c r="CZ120" s="1321"/>
      <c r="DA120" s="1321"/>
      <c r="DB120" s="1321"/>
      <c r="DC120" s="1321"/>
      <c r="DD120" s="1321"/>
      <c r="DE120" s="1321"/>
      <c r="DF120" s="1321"/>
      <c r="DG120" s="1321"/>
      <c r="DH120" s="1321"/>
      <c r="DI120" s="1321"/>
      <c r="DJ120" s="1321"/>
      <c r="DK120" s="1321"/>
      <c r="DL120" s="1321"/>
      <c r="DM120" s="1321"/>
      <c r="DN120" s="1321"/>
      <c r="DO120" s="1321"/>
      <c r="DP120" s="1321"/>
      <c r="DQ120" s="1321"/>
      <c r="DR120" s="1321"/>
      <c r="DS120" s="1321"/>
      <c r="DT120" s="1321"/>
      <c r="DU120" s="1321"/>
      <c r="DV120" s="1321"/>
      <c r="DW120" s="1321"/>
      <c r="DX120" s="1321"/>
      <c r="DY120" s="1321"/>
      <c r="DZ120" s="1321"/>
      <c r="EA120" s="1321"/>
      <c r="EB120" s="1321"/>
      <c r="EC120" s="1321"/>
      <c r="ED120" s="1321"/>
      <c r="EE120" s="1321"/>
      <c r="EF120" s="1321"/>
      <c r="EG120" s="1321"/>
      <c r="EH120" s="1321"/>
      <c r="EI120" s="1321"/>
      <c r="EJ120" s="1321"/>
      <c r="EK120" s="1321"/>
      <c r="EL120" s="1321"/>
      <c r="EM120" s="1321"/>
      <c r="EN120" s="1321"/>
      <c r="EO120" s="1321"/>
      <c r="EP120" s="1321"/>
      <c r="EQ120" s="1321"/>
      <c r="ER120" s="1321"/>
      <c r="ES120" s="1321"/>
      <c r="ET120" s="1321"/>
      <c r="EU120" s="1321"/>
      <c r="EV120" s="1321"/>
      <c r="EW120" s="1321"/>
      <c r="EX120" s="1321"/>
      <c r="EY120" s="1321"/>
      <c r="EZ120" s="1321"/>
      <c r="FA120" s="1321"/>
      <c r="FB120" s="1321"/>
    </row>
    <row r="121" spans="1:158">
      <c r="A121" s="291" t="s">
        <v>805</v>
      </c>
      <c r="B121" s="347">
        <f t="array" aca="1" ref="B121" ca="1">SUM(B90:D90)+(MMULT($B154:$AL154+0,B$6:B$42+0))</f>
        <v>1.7776940313465504</v>
      </c>
      <c r="C121" s="349">
        <f t="array" aca="1" ref="C121" ca="1">SUM(E90:G90)+(MMULT($B154:$AL154+0,C$6:C$42+0))</f>
        <v>0.12670323615731649</v>
      </c>
      <c r="D121" s="349">
        <f t="array" aca="1" ref="D121" ca="1">SUM(H90:J90)+(MMULT($B154:$AL154+0,D$6:D$42+0))</f>
        <v>22.825194056571871</v>
      </c>
      <c r="E121" s="349">
        <f t="array" aca="1" ref="E121" ca="1">SUM(K90:M90)+(MMULT($B154:$AL154+0,E$6:E$42+0))</f>
        <v>65.107705760026263</v>
      </c>
      <c r="F121" s="349">
        <f t="array" aca="1" ref="F121" ca="1">SUM(N90:P90)+(MMULT($B154:$AL154+0,F$6:F$42+0))</f>
        <v>24.212040805012357</v>
      </c>
      <c r="G121" s="349">
        <f t="array" aca="1" ref="G121" ca="1">SUM(Q90:S90)+(MMULT($B154:$AL154+0,G$6:G$42+0))</f>
        <v>66.335527199286503</v>
      </c>
      <c r="H121" s="1256">
        <f t="array" aca="1" ref="H121" ca="1">SUM(T90:V90)+(MMULT($B154:$AL154+0,H$6:H$42+0))</f>
        <v>26.09116046249197</v>
      </c>
      <c r="I121" s="1256">
        <f t="array" aca="1" ref="I121" ca="1">SUM(W90:Y90)+(MMULT($B154:$AL154+0,I$6:I$42+0))</f>
        <v>67.857570777569663</v>
      </c>
      <c r="J121" s="349">
        <f t="array" aca="1" ref="J121" ca="1">SUM(Z90:AB90)+(MMULT($B154:$AL154+0,J$6:J$42+0))</f>
        <v>28.093799045174347</v>
      </c>
      <c r="K121" s="349">
        <f t="array" aca="1" ref="K121" ca="1">SUM(AC90:AE90)+(MMULT($B154:$AL154+0,K$6:K$42+0))</f>
        <v>69.875204173203102</v>
      </c>
      <c r="L121" s="349">
        <f t="array" aca="1" ref="L121" ca="1">SUM(AF90:AH90)+(MMULT($B154:$AL154+0,L$6:L$42+0))</f>
        <v>30.979301399880711</v>
      </c>
      <c r="M121" s="349">
        <f t="array" aca="1" ref="M121" ca="1">SUM(AI90:AK90)+(MMULT($B154:$AL154+0,M$6:M$42+0))</f>
        <v>76.412839547235691</v>
      </c>
      <c r="N121" s="349">
        <f t="array" aca="1" ref="N121" ca="1">SUM(AL90:AN90)+(MMULT($B154:$AL154+0,N$6:N$42+0))</f>
        <v>11.147439948092261</v>
      </c>
      <c r="O121" s="349">
        <f t="array" aca="1" ref="O121" ca="1">SUM(AO90:AQ90)+(MMULT($B154:$AL154+0,O$6:O$42+0))</f>
        <v>56.591328891221153</v>
      </c>
      <c r="P121" s="349">
        <f t="array" aca="1" ref="P121" ca="1">SUM(AR90:AT90)+(MMULT($B154:$AL154+0,P$6:P$42+0))</f>
        <v>36.673512099586489</v>
      </c>
      <c r="Q121" s="349">
        <f t="array" aca="1" ref="Q121" ca="1">SUM(AU90:AW90)+(MMULT($B154:$AL154+0,Q$6:Q$42+0))</f>
        <v>16.096307237326435</v>
      </c>
      <c r="R121" s="349">
        <f t="array" aca="1" ref="R121" ca="1">SUM(AX90:AZ90)+(MMULT($B154:$AL154+0,R$6:R$42+0))</f>
        <v>56.31959637651952</v>
      </c>
      <c r="S121" s="349">
        <f t="array" aca="1" ref="S121" ca="1">SUM(BA90:BC90)+(MMULT($B154:$AL154+0,S$6:S$42+0))</f>
        <v>68.739099225493149</v>
      </c>
      <c r="T121" s="349">
        <f t="array" aca="1" ref="T121" ca="1">SUM(BD90:BF90)+(MMULT($B154:$AL154+0,T$6:T$42+0))</f>
        <v>8.5796995962881439</v>
      </c>
      <c r="U121" s="349">
        <f t="array" aca="1" ref="U121" ca="1">SUM(BG90:BI90)+(MMULT($B154:$AL154+0,U$6:U$42+0))</f>
        <v>71.354544663935584</v>
      </c>
      <c r="V121" s="349">
        <f t="array" aca="1" ref="V121" ca="1">SUM(BJ90:BL90)+(MMULT($B154:$AL154+0,V$6:V$42+0))</f>
        <v>21.79222853608254</v>
      </c>
      <c r="W121" s="349">
        <f t="shared" si="46"/>
        <v>0.22927884760263523</v>
      </c>
      <c r="X121" s="349">
        <f t="shared" si="47"/>
        <v>0</v>
      </c>
      <c r="Y121" s="349">
        <f t="array" aca="1" ref="Y121" ca="1">SUM(BS90:BU90)+(MMULT($B154:$AL154+0,X$6:X$42+0))</f>
        <v>0.1572673096598757</v>
      </c>
      <c r="Z121" s="349">
        <f t="array" aca="1" ref="Z121" ca="1">SUM(BV90:BX90)+(MMULT($B154:$AL154+0,Y$6:Y$42+0))</f>
        <v>0.10547919099521202</v>
      </c>
      <c r="AA121" s="349">
        <f t="array" aca="1" ref="AA121" ca="1">SUM(BY90:CA90)+(MMULT($B154:$AL154+0,Z$6:Z$42+0))</f>
        <v>32.577098619342529</v>
      </c>
      <c r="AB121" s="348">
        <f t="array" aca="1" ref="AB121" ca="1">SUM(CB90:CD90)+(MMULT($B154:$AL154+0,AA$6:AA$42+0))</f>
        <v>78.490013154777401</v>
      </c>
      <c r="AC121" s="1321"/>
      <c r="AD121" s="1321"/>
      <c r="AE121" s="1321"/>
      <c r="AF121" s="1321"/>
      <c r="AG121" s="1321"/>
      <c r="AH121" s="1321"/>
      <c r="AI121" s="1321"/>
      <c r="AJ121" s="1321"/>
      <c r="AK121" s="1321"/>
      <c r="AL121" s="1321"/>
      <c r="AM121" s="1321"/>
      <c r="AN121" s="1321"/>
      <c r="AO121" s="1321"/>
      <c r="AP121" s="1321"/>
      <c r="AQ121" s="1321"/>
      <c r="AR121" s="1321"/>
      <c r="AS121" s="1321"/>
      <c r="AT121" s="1321"/>
      <c r="AU121" s="1321"/>
      <c r="AV121" s="1321"/>
      <c r="AW121" s="1321"/>
      <c r="AX121" s="1321"/>
      <c r="AY121" s="1321"/>
      <c r="AZ121" s="1321"/>
      <c r="BA121" s="1321"/>
      <c r="BB121" s="1321"/>
      <c r="BC121" s="1321"/>
      <c r="BD121" s="1321"/>
      <c r="BE121" s="1321"/>
      <c r="BF121" s="1321"/>
      <c r="BG121" s="1321"/>
      <c r="BH121" s="1321"/>
      <c r="BI121" s="1321"/>
      <c r="BJ121" s="1321"/>
      <c r="BK121" s="1321"/>
      <c r="BL121" s="1321"/>
      <c r="BM121" s="1321"/>
      <c r="BN121" s="1321"/>
      <c r="BO121" s="1321"/>
      <c r="BP121" s="1321"/>
      <c r="BQ121" s="1321"/>
      <c r="BR121" s="1321"/>
      <c r="BS121" s="1321"/>
      <c r="BT121" s="1321"/>
      <c r="BU121" s="1321"/>
      <c r="BV121" s="1321"/>
      <c r="BW121" s="1321"/>
      <c r="BX121" s="1321"/>
      <c r="BY121" s="1321"/>
      <c r="BZ121" s="1321"/>
      <c r="CA121" s="1321"/>
      <c r="CB121" s="1321"/>
      <c r="CC121" s="1321"/>
      <c r="CD121" s="1321"/>
      <c r="CE121" s="1321"/>
      <c r="CF121" s="1321"/>
      <c r="CG121" s="1321"/>
      <c r="CH121" s="1321"/>
      <c r="CI121" s="1321"/>
      <c r="CJ121" s="1321"/>
      <c r="CK121" s="1321"/>
      <c r="CL121" s="1321"/>
      <c r="CM121" s="1321"/>
      <c r="CN121" s="1321"/>
      <c r="CO121" s="1321"/>
      <c r="CP121" s="1321"/>
      <c r="CQ121" s="1321"/>
      <c r="CR121" s="1321"/>
      <c r="CS121" s="1321"/>
      <c r="CT121" s="1321"/>
      <c r="CU121" s="1321"/>
      <c r="CV121" s="1321"/>
      <c r="CW121" s="1321"/>
      <c r="CX121" s="1321"/>
      <c r="CY121" s="1321"/>
      <c r="CZ121" s="1321"/>
      <c r="DA121" s="1321"/>
      <c r="DB121" s="1321"/>
      <c r="DC121" s="1321"/>
      <c r="DD121" s="1321"/>
      <c r="DE121" s="1321"/>
      <c r="DF121" s="1321"/>
      <c r="DG121" s="1321"/>
      <c r="DH121" s="1321"/>
      <c r="DI121" s="1321"/>
      <c r="DJ121" s="1321"/>
      <c r="DK121" s="1321"/>
      <c r="DL121" s="1321"/>
      <c r="DM121" s="1321"/>
      <c r="DN121" s="1321"/>
      <c r="DO121" s="1321"/>
      <c r="DP121" s="1321"/>
      <c r="DQ121" s="1321"/>
      <c r="DR121" s="1321"/>
      <c r="DS121" s="1321"/>
      <c r="DT121" s="1321"/>
      <c r="DU121" s="1321"/>
      <c r="DV121" s="1321"/>
      <c r="DW121" s="1321"/>
      <c r="DX121" s="1321"/>
      <c r="DY121" s="1321"/>
      <c r="DZ121" s="1321"/>
      <c r="EA121" s="1321"/>
      <c r="EB121" s="1321"/>
      <c r="EC121" s="1321"/>
      <c r="ED121" s="1321"/>
      <c r="EE121" s="1321"/>
      <c r="EF121" s="1321"/>
      <c r="EG121" s="1321"/>
      <c r="EH121" s="1321"/>
      <c r="EI121" s="1321"/>
      <c r="EJ121" s="1321"/>
      <c r="EK121" s="1321"/>
      <c r="EL121" s="1321"/>
      <c r="EM121" s="1321"/>
      <c r="EN121" s="1321"/>
      <c r="EO121" s="1321"/>
      <c r="EP121" s="1321"/>
      <c r="EQ121" s="1321"/>
      <c r="ER121" s="1321"/>
      <c r="ES121" s="1321"/>
      <c r="ET121" s="1321"/>
      <c r="EU121" s="1321"/>
      <c r="EV121" s="1321"/>
      <c r="EW121" s="1321"/>
      <c r="EX121" s="1321"/>
      <c r="EY121" s="1321"/>
      <c r="EZ121" s="1321"/>
      <c r="FA121" s="1321"/>
      <c r="FB121" s="1321"/>
    </row>
    <row r="122" spans="1:158">
      <c r="A122" s="291" t="s">
        <v>804</v>
      </c>
      <c r="B122" s="347">
        <f t="array" aca="1" ref="B122" ca="1">SUM(B91:D91)+(MMULT($B155:$AL155+0,B$6:B$42+0))</f>
        <v>3.407574828703738</v>
      </c>
      <c r="C122" s="349">
        <f t="array" aca="1" ref="C122" ca="1">SUM(E91:G91)+(MMULT($B155:$AL155+0,C$6:C$42+0))</f>
        <v>16.926755260427921</v>
      </c>
      <c r="D122" s="349">
        <f t="array" aca="1" ref="D122" ca="1">SUM(H91:J91)+(MMULT($B155:$AL155+0,D$6:D$42+0))</f>
        <v>107.89579383223935</v>
      </c>
      <c r="E122" s="349">
        <f t="array" aca="1" ref="E122" ca="1">SUM(K91:M91)+(MMULT($B155:$AL155+0,E$6:E$42+0))</f>
        <v>126.91756652469493</v>
      </c>
      <c r="F122" s="349">
        <f t="array" aca="1" ref="F122" ca="1">SUM(N91:P91)+(MMULT($B155:$AL155+0,F$6:F$42+0))</f>
        <v>114.08222875771654</v>
      </c>
      <c r="G122" s="349">
        <f t="array" aca="1" ref="G122" ca="1">SUM(Q91:S91)+(MMULT($B155:$AL155+0,G$6:G$42+0))</f>
        <v>132.79817668887091</v>
      </c>
      <c r="H122" s="1256">
        <f t="array" aca="1" ref="H122" ca="1">SUM(T91:V91)+(MMULT($B155:$AL155+0,H$6:H$42+0))</f>
        <v>115.4628450759661</v>
      </c>
      <c r="I122" s="1256">
        <f t="array" aca="1" ref="I122" ca="1">SUM(W91:Y91)+(MMULT($B155:$AL155+0,I$6:I$42+0))</f>
        <v>133.64498824774725</v>
      </c>
      <c r="J122" s="349">
        <f t="array" aca="1" ref="J122" ca="1">SUM(Z91:AB91)+(MMULT($B155:$AL155+0,J$6:J$42+0))</f>
        <v>119.87676965581528</v>
      </c>
      <c r="K122" s="349">
        <f t="array" aca="1" ref="K122" ca="1">SUM(AC91:AE91)+(MMULT($B155:$AL155+0,K$6:K$42+0))</f>
        <v>138.31611717686386</v>
      </c>
      <c r="L122" s="349">
        <f t="array" aca="1" ref="L122" ca="1">SUM(AF91:AH91)+(MMULT($B155:$AL155+0,L$6:L$42+0))</f>
        <v>124.1841377017986</v>
      </c>
      <c r="M122" s="349">
        <f t="array" aca="1" ref="M122" ca="1">SUM(AI91:AK91)+(MMULT($B155:$AL155+0,M$6:M$42+0))</f>
        <v>155.66242973403496</v>
      </c>
      <c r="N122" s="349">
        <f t="array" aca="1" ref="N122" ca="1">SUM(AL91:AN91)+(MMULT($B155:$AL155+0,N$6:N$42+0))</f>
        <v>92.379387246197467</v>
      </c>
      <c r="O122" s="349">
        <f t="array" aca="1" ref="O122" ca="1">SUM(AO91:AQ91)+(MMULT($B155:$AL155+0,O$6:O$42+0))</f>
        <v>114.15440630019553</v>
      </c>
      <c r="P122" s="349">
        <f t="array" aca="1" ref="P122" ca="1">SUM(AR91:AT91)+(MMULT($B155:$AL155+0,P$6:P$42+0))</f>
        <v>50.455274650453816</v>
      </c>
      <c r="Q122" s="349">
        <f t="array" aca="1" ref="Q122" ca="1">SUM(AU91:AW91)+(MMULT($B155:$AL155+0,Q$6:Q$42+0))</f>
        <v>57.87432387084921</v>
      </c>
      <c r="R122" s="349">
        <f t="array" aca="1" ref="R122" ca="1">SUM(AX91:AZ91)+(MMULT($B155:$AL155+0,R$6:R$42+0))</f>
        <v>55.448229855444445</v>
      </c>
      <c r="S122" s="349">
        <f t="array" aca="1" ref="S122" ca="1">SUM(BA91:BC91)+(MMULT($B155:$AL155+0,S$6:S$42+0))</f>
        <v>127.99308043823967</v>
      </c>
      <c r="T122" s="349">
        <f t="array" aca="1" ref="T122" ca="1">SUM(BD91:BF91)+(MMULT($B155:$AL155+0,T$6:T$42+0))</f>
        <v>16.152007392290862</v>
      </c>
      <c r="U122" s="349">
        <f t="array" aca="1" ref="U122" ca="1">SUM(BG91:BI91)+(MMULT($B155:$AL155+0,U$6:U$42+0))</f>
        <v>168.38256619086829</v>
      </c>
      <c r="V122" s="349">
        <f t="array" aca="1" ref="V122" ca="1">SUM(BJ91:BL91)+(MMULT($B155:$AL155+0,V$6:V$42+0))</f>
        <v>16.83489241728493</v>
      </c>
      <c r="W122" s="349">
        <f t="shared" si="46"/>
        <v>0.44703795776776739</v>
      </c>
      <c r="X122" s="349">
        <f t="shared" si="47"/>
        <v>0</v>
      </c>
      <c r="Y122" s="349">
        <f t="array" aca="1" ref="Y122" ca="1">SUM(BS91:BU91)+(MMULT($B155:$AL155+0,X$6:X$42+0))</f>
        <v>0.31429165650485502</v>
      </c>
      <c r="Z122" s="349">
        <f t="array" aca="1" ref="Z122" ca="1">SUM(BV91:BX91)+(MMULT($B155:$AL155+0,Y$6:Y$42+0))</f>
        <v>0.25769274726851765</v>
      </c>
      <c r="AA122" s="349">
        <f t="array" aca="1" ref="AA122" ca="1">SUM(BY91:CA91)+(MMULT($B155:$AL155+0,Z$6:Z$42+0))</f>
        <v>139.63004829790941</v>
      </c>
      <c r="AB122" s="348">
        <f t="array" aca="1" ref="AB122" ca="1">SUM(CB91:CD91)+(MMULT($B155:$AL155+0,AA$6:AA$42+0))</f>
        <v>170.64989083618829</v>
      </c>
      <c r="AC122" s="1321"/>
      <c r="AD122" s="1321"/>
      <c r="AE122" s="1321"/>
      <c r="AF122" s="1321"/>
      <c r="AG122" s="1321"/>
      <c r="AH122" s="1321"/>
      <c r="AI122" s="1321"/>
      <c r="AJ122" s="1321"/>
      <c r="AK122" s="1321"/>
      <c r="AL122" s="1321"/>
      <c r="AM122" s="1321"/>
      <c r="AN122" s="1321"/>
      <c r="AO122" s="1321"/>
      <c r="AP122" s="1321"/>
      <c r="AQ122" s="1321"/>
      <c r="AR122" s="1321"/>
      <c r="AS122" s="1321"/>
      <c r="AT122" s="1321"/>
      <c r="AU122" s="1321"/>
      <c r="AV122" s="1321"/>
      <c r="AW122" s="1321"/>
      <c r="AX122" s="1321"/>
      <c r="AY122" s="1321"/>
      <c r="AZ122" s="1321"/>
      <c r="BA122" s="1321"/>
      <c r="BB122" s="1321"/>
      <c r="BC122" s="1321"/>
      <c r="BD122" s="1321"/>
      <c r="BE122" s="1321"/>
      <c r="BF122" s="1321"/>
      <c r="BG122" s="1321"/>
      <c r="BH122" s="1321"/>
      <c r="BI122" s="1321"/>
      <c r="BJ122" s="1321"/>
      <c r="BK122" s="1321"/>
      <c r="BL122" s="1321"/>
      <c r="BM122" s="1321"/>
      <c r="BN122" s="1321"/>
      <c r="BO122" s="1321"/>
      <c r="BP122" s="1321"/>
      <c r="BQ122" s="1321"/>
      <c r="BR122" s="1321"/>
      <c r="BS122" s="1321"/>
      <c r="BT122" s="1321"/>
      <c r="BU122" s="1321"/>
      <c r="BV122" s="1321"/>
      <c r="BW122" s="1321"/>
      <c r="BX122" s="1321"/>
      <c r="BY122" s="1321"/>
      <c r="BZ122" s="1321"/>
      <c r="CA122" s="1321"/>
      <c r="CB122" s="1321"/>
      <c r="CC122" s="1321"/>
      <c r="CD122" s="1321"/>
      <c r="CE122" s="1321"/>
      <c r="CF122" s="1321"/>
      <c r="CG122" s="1321"/>
      <c r="CH122" s="1321"/>
      <c r="CI122" s="1321"/>
      <c r="CJ122" s="1321"/>
      <c r="CK122" s="1321"/>
      <c r="CL122" s="1321"/>
      <c r="CM122" s="1321"/>
      <c r="CN122" s="1321"/>
      <c r="CO122" s="1321"/>
      <c r="CP122" s="1321"/>
      <c r="CQ122" s="1321"/>
      <c r="CR122" s="1321"/>
      <c r="CS122" s="1321"/>
      <c r="CT122" s="1321"/>
      <c r="CU122" s="1321"/>
      <c r="CV122" s="1321"/>
      <c r="CW122" s="1321"/>
      <c r="CX122" s="1321"/>
      <c r="CY122" s="1321"/>
      <c r="CZ122" s="1321"/>
      <c r="DA122" s="1321"/>
      <c r="DB122" s="1321"/>
      <c r="DC122" s="1321"/>
      <c r="DD122" s="1321"/>
      <c r="DE122" s="1321"/>
      <c r="DF122" s="1321"/>
      <c r="DG122" s="1321"/>
      <c r="DH122" s="1321"/>
      <c r="DI122" s="1321"/>
      <c r="DJ122" s="1321"/>
      <c r="DK122" s="1321"/>
      <c r="DL122" s="1321"/>
      <c r="DM122" s="1321"/>
      <c r="DN122" s="1321"/>
      <c r="DO122" s="1321"/>
      <c r="DP122" s="1321"/>
      <c r="DQ122" s="1321"/>
      <c r="DR122" s="1321"/>
      <c r="DS122" s="1321"/>
      <c r="DT122" s="1321"/>
      <c r="DU122" s="1321"/>
      <c r="DV122" s="1321"/>
      <c r="DW122" s="1321"/>
      <c r="DX122" s="1321"/>
      <c r="DY122" s="1321"/>
      <c r="DZ122" s="1321"/>
      <c r="EA122" s="1321"/>
      <c r="EB122" s="1321"/>
      <c r="EC122" s="1321"/>
      <c r="ED122" s="1321"/>
      <c r="EE122" s="1321"/>
      <c r="EF122" s="1321"/>
      <c r="EG122" s="1321"/>
      <c r="EH122" s="1321"/>
      <c r="EI122" s="1321"/>
      <c r="EJ122" s="1321"/>
      <c r="EK122" s="1321"/>
      <c r="EL122" s="1321"/>
      <c r="EM122" s="1321"/>
      <c r="EN122" s="1321"/>
      <c r="EO122" s="1321"/>
      <c r="EP122" s="1321"/>
      <c r="EQ122" s="1321"/>
      <c r="ER122" s="1321"/>
      <c r="ES122" s="1321"/>
      <c r="ET122" s="1321"/>
      <c r="EU122" s="1321"/>
      <c r="EV122" s="1321"/>
      <c r="EW122" s="1321"/>
      <c r="EX122" s="1321"/>
      <c r="EY122" s="1321"/>
      <c r="EZ122" s="1321"/>
      <c r="FA122" s="1321"/>
      <c r="FB122" s="1321"/>
    </row>
    <row r="123" spans="1:158">
      <c r="A123" s="291" t="s">
        <v>818</v>
      </c>
      <c r="B123" s="347">
        <f t="array" aca="1" ref="B123" ca="1">SUM(B92:D92)+(MMULT($B156:$AL156+0,B$6:B$42+0))</f>
        <v>1.0282067097113847</v>
      </c>
      <c r="C123" s="349">
        <f t="array" aca="1" ref="C123" ca="1">SUM(E92:G92)+(MMULT($B156:$AL156+0,C$6:C$42+0))</f>
        <v>0.50613807864587279</v>
      </c>
      <c r="D123" s="349">
        <f t="array" aca="1" ref="D123" ca="1">SUM(H92:J92)+(MMULT($B156:$AL156+0,D$6:D$42+0))</f>
        <v>32.250279419843203</v>
      </c>
      <c r="E123" s="349">
        <f t="array" aca="1" ref="E123" ca="1">SUM(K92:M92)+(MMULT($B156:$AL156+0,E$6:E$42+0))</f>
        <v>41.014852403389753</v>
      </c>
      <c r="F123" s="349">
        <f t="array" aca="1" ref="F123" ca="1">SUM(N92:P92)+(MMULT($B156:$AL156+0,F$6:F$42+0))</f>
        <v>30.979079248282943</v>
      </c>
      <c r="G123" s="349">
        <f t="array" aca="1" ref="G123" ca="1">SUM(Q92:S92)+(MMULT($B156:$AL156+0,G$6:G$42+0))</f>
        <v>39.783972506915198</v>
      </c>
      <c r="H123" s="1256">
        <f t="array" aca="1" ref="H123" ca="1">SUM(T92:V92)+(MMULT($B156:$AL156+0,H$6:H$42+0))</f>
        <v>39.42811876991977</v>
      </c>
      <c r="I123" s="1256">
        <f t="array" aca="1" ref="I123" ca="1">SUM(W92:Y92)+(MMULT($B156:$AL156+0,I$6:I$42+0))</f>
        <v>47.596743178787762</v>
      </c>
      <c r="J123" s="349">
        <f t="array" aca="1" ref="J123" ca="1">SUM(Z92:AB92)+(MMULT($B156:$AL156+0,J$6:J$42+0))</f>
        <v>44.398698602956024</v>
      </c>
      <c r="K123" s="349">
        <f t="array" aca="1" ref="K123" ca="1">SUM(AC92:AE92)+(MMULT($B156:$AL156+0,K$6:K$42+0))</f>
        <v>52.481733274106041</v>
      </c>
      <c r="L123" s="349">
        <f t="array" aca="1" ref="L123" ca="1">SUM(AF92:AH92)+(MMULT($B156:$AL156+0,L$6:L$42+0))</f>
        <v>54.37416354730459</v>
      </c>
      <c r="M123" s="349">
        <f t="array" aca="1" ref="M123" ca="1">SUM(AI92:AK92)+(MMULT($B156:$AL156+0,M$6:M$42+0))</f>
        <v>65.416647322080266</v>
      </c>
      <c r="N123" s="349">
        <f t="array" aca="1" ref="N123" ca="1">SUM(AL92:AN92)+(MMULT($B156:$AL156+0,N$6:N$42+0))</f>
        <v>3.6935300855409925</v>
      </c>
      <c r="O123" s="349">
        <f t="array" aca="1" ref="O123" ca="1">SUM(AO92:AQ92)+(MMULT($B156:$AL156+0,O$6:O$42+0))</f>
        <v>14.452141037226793</v>
      </c>
      <c r="P123" s="349">
        <f t="array" aca="1" ref="P123" ca="1">SUM(AR92:AT92)+(MMULT($B156:$AL156+0,P$6:P$42+0))</f>
        <v>16.249166437298452</v>
      </c>
      <c r="Q123" s="349">
        <f t="array" aca="1" ref="Q123" ca="1">SUM(AU92:AW92)+(MMULT($B156:$AL156+0,Q$6:Q$42+0))</f>
        <v>21.753986317725587</v>
      </c>
      <c r="R123" s="349">
        <f t="array" aca="1" ref="R123" ca="1">SUM(AX92:AZ92)+(MMULT($B156:$AL156+0,R$6:R$42+0))</f>
        <v>32.00368819059954</v>
      </c>
      <c r="S123" s="349">
        <f t="array" aca="1" ref="S123" ca="1">SUM(BA92:BC92)+(MMULT($B156:$AL156+0,S$6:S$42+0))</f>
        <v>33.338684812431154</v>
      </c>
      <c r="T123" s="349">
        <f t="array" aca="1" ref="T123" ca="1">SUM(BD92:BF92)+(MMULT($B156:$AL156+0,T$6:T$42+0))</f>
        <v>0.72974765413483555</v>
      </c>
      <c r="U123" s="349">
        <f t="array" aca="1" ref="U123" ca="1">SUM(BG92:BI92)+(MMULT($B156:$AL156+0,U$6:U$42+0))</f>
        <v>38.059772900065781</v>
      </c>
      <c r="V123" s="349">
        <f t="array" aca="1" ref="V123" ca="1">SUM(BJ92:BL92)+(MMULT($B156:$AL156+0,V$6:V$42+0))</f>
        <v>10.067142944829367</v>
      </c>
      <c r="W123" s="349">
        <f t="shared" si="46"/>
        <v>0.29088266536950613</v>
      </c>
      <c r="X123" s="349">
        <f t="shared" si="47"/>
        <v>0</v>
      </c>
      <c r="Y123" s="349">
        <f t="array" aca="1" ref="Y123" ca="1">SUM(BS92:BU92)+(MMULT($B156:$AL156+0,X$6:X$42+0))</f>
        <v>4.8085666310006089E-2</v>
      </c>
      <c r="Z123" s="349">
        <f t="array" aca="1" ref="Z123" ca="1">SUM(BV92:BX92)+(MMULT($B156:$AL156+0,Y$6:Y$42+0))</f>
        <v>0.29264450930170421</v>
      </c>
      <c r="AA123" s="349">
        <f t="array" aca="1" ref="AA123" ca="1">SUM(BY92:CA92)+(MMULT($B156:$AL156+0,Z$6:Z$42+0))</f>
        <v>56.597137754132362</v>
      </c>
      <c r="AB123" s="348">
        <f t="array" aca="1" ref="AB123" ca="1">SUM(CB92:CD92)+(MMULT($B156:$AL156+0,AA$6:AA$42+0))</f>
        <v>67.766974195515871</v>
      </c>
      <c r="AC123" s="1321"/>
      <c r="AD123" s="1321"/>
      <c r="AE123" s="1321"/>
      <c r="AF123" s="1321"/>
      <c r="AG123" s="1321"/>
      <c r="AH123" s="1321"/>
      <c r="AI123" s="1321"/>
      <c r="AJ123" s="1321"/>
      <c r="AK123" s="1321"/>
      <c r="AL123" s="1321"/>
      <c r="AM123" s="1321"/>
      <c r="AN123" s="1321"/>
      <c r="AO123" s="1321"/>
      <c r="AP123" s="1321"/>
      <c r="AQ123" s="1321"/>
      <c r="AR123" s="1321"/>
      <c r="AS123" s="1321"/>
      <c r="AT123" s="1321"/>
      <c r="AU123" s="1321"/>
      <c r="AV123" s="1321"/>
      <c r="AW123" s="1321"/>
      <c r="AX123" s="1321"/>
      <c r="AY123" s="1321"/>
      <c r="AZ123" s="1321"/>
      <c r="BA123" s="1321"/>
      <c r="BB123" s="1321"/>
      <c r="BC123" s="1321"/>
      <c r="BD123" s="1321"/>
      <c r="BE123" s="1321"/>
      <c r="BF123" s="1321"/>
      <c r="BG123" s="1321"/>
      <c r="BH123" s="1321"/>
      <c r="BI123" s="1321"/>
      <c r="BJ123" s="1321"/>
      <c r="BK123" s="1321"/>
      <c r="BL123" s="1321"/>
      <c r="BM123" s="1321"/>
      <c r="BN123" s="1321"/>
      <c r="BO123" s="1321"/>
      <c r="BP123" s="1321"/>
      <c r="BQ123" s="1321"/>
      <c r="BR123" s="1321"/>
      <c r="BS123" s="1321"/>
      <c r="BT123" s="1321"/>
      <c r="BU123" s="1321"/>
      <c r="BV123" s="1321"/>
      <c r="BW123" s="1321"/>
      <c r="BX123" s="1321"/>
      <c r="BY123" s="1321"/>
      <c r="BZ123" s="1321"/>
      <c r="CA123" s="1321"/>
      <c r="CB123" s="1321"/>
      <c r="CC123" s="1321"/>
      <c r="CD123" s="1321"/>
      <c r="CE123" s="1321"/>
      <c r="CF123" s="1321"/>
      <c r="CG123" s="1321"/>
      <c r="CH123" s="1321"/>
      <c r="CI123" s="1321"/>
      <c r="CJ123" s="1321"/>
      <c r="CK123" s="1321"/>
      <c r="CL123" s="1321"/>
      <c r="CM123" s="1321"/>
      <c r="CN123" s="1321"/>
      <c r="CO123" s="1321"/>
      <c r="CP123" s="1321"/>
      <c r="CQ123" s="1321"/>
      <c r="CR123" s="1321"/>
      <c r="CS123" s="1321"/>
      <c r="CT123" s="1321"/>
      <c r="CU123" s="1321"/>
      <c r="CV123" s="1321"/>
      <c r="CW123" s="1321"/>
      <c r="CX123" s="1321"/>
      <c r="CY123" s="1321"/>
      <c r="CZ123" s="1321"/>
      <c r="DA123" s="1321"/>
      <c r="DB123" s="1321"/>
      <c r="DC123" s="1321"/>
      <c r="DD123" s="1321"/>
      <c r="DE123" s="1321"/>
      <c r="DF123" s="1321"/>
      <c r="DG123" s="1321"/>
      <c r="DH123" s="1321"/>
      <c r="DI123" s="1321"/>
      <c r="DJ123" s="1321"/>
      <c r="DK123" s="1321"/>
      <c r="DL123" s="1321"/>
      <c r="DM123" s="1321"/>
      <c r="DN123" s="1321"/>
      <c r="DO123" s="1321"/>
      <c r="DP123" s="1321"/>
      <c r="DQ123" s="1321"/>
      <c r="DR123" s="1321"/>
      <c r="DS123" s="1321"/>
      <c r="DT123" s="1321"/>
      <c r="DU123" s="1321"/>
      <c r="DV123" s="1321"/>
      <c r="DW123" s="1321"/>
      <c r="DX123" s="1321"/>
      <c r="DY123" s="1321"/>
      <c r="DZ123" s="1321"/>
      <c r="EA123" s="1321"/>
      <c r="EB123" s="1321"/>
      <c r="EC123" s="1321"/>
      <c r="ED123" s="1321"/>
      <c r="EE123" s="1321"/>
      <c r="EF123" s="1321"/>
      <c r="EG123" s="1321"/>
      <c r="EH123" s="1321"/>
      <c r="EI123" s="1321"/>
      <c r="EJ123" s="1321"/>
      <c r="EK123" s="1321"/>
      <c r="EL123" s="1321"/>
      <c r="EM123" s="1321"/>
      <c r="EN123" s="1321"/>
      <c r="EO123" s="1321"/>
      <c r="EP123" s="1321"/>
      <c r="EQ123" s="1321"/>
      <c r="ER123" s="1321"/>
      <c r="ES123" s="1321"/>
      <c r="ET123" s="1321"/>
      <c r="EU123" s="1321"/>
      <c r="EV123" s="1321"/>
      <c r="EW123" s="1321"/>
      <c r="EX123" s="1321"/>
      <c r="EY123" s="1321"/>
      <c r="EZ123" s="1321"/>
      <c r="FA123" s="1321"/>
      <c r="FB123" s="1321"/>
    </row>
    <row r="124" spans="1:158" s="631" customFormat="1">
      <c r="A124" s="1568" t="s">
        <v>1797</v>
      </c>
      <c r="B124" s="1570">
        <f t="array" aca="1" ref="B124" ca="1">SUM(B93:D93)+(MMULT($B157:$AL157+0,B$6:B$42+0))</f>
        <v>403.11835829127506</v>
      </c>
      <c r="C124" s="1571">
        <f t="array" aca="1" ref="C124" ca="1">SUM(E93:G93)+(MMULT($B157:$AL157+0,C$6:C$42+0))</f>
        <v>328.36937284515238</v>
      </c>
      <c r="D124" s="1571">
        <f t="array" aca="1" ref="D124" ca="1">SUM(H93:J93)+(MMULT($B157:$AL157+0,D$6:D$42+0))</f>
        <v>12983.556586274713</v>
      </c>
      <c r="E124" s="1571">
        <f t="array" aca="1" ref="E124" ca="1">SUM(K93:M93)+(MMULT($B157:$AL157+0,E$6:E$42+0))</f>
        <v>18943.774059678835</v>
      </c>
      <c r="F124" s="1571">
        <f t="array" aca="1" ref="F124" ca="1">SUM(N93:P93)+(MMULT($B157:$AL157+0,F$6:F$42+0))</f>
        <v>15673.670097088971</v>
      </c>
      <c r="G124" s="1571">
        <f t="array" aca="1" ref="G124" ca="1">SUM(Q93:S93)+(MMULT($B157:$AL157+0,G$6:G$42+0))</f>
        <v>21486.1373950341</v>
      </c>
      <c r="H124" s="1572">
        <f t="array" aca="1" ref="H124" ca="1">SUM(T93:V93)+(MMULT($B157:$AL157+0,H$6:H$42+0))</f>
        <v>14363.348092475688</v>
      </c>
      <c r="I124" s="1572">
        <f t="array" aca="1" ref="I124" ca="1">SUM(W93:Y93)+(MMULT($B157:$AL157+0,I$6:I$42+0))</f>
        <v>20164.744221299297</v>
      </c>
      <c r="J124" s="1571">
        <f t="array" aca="1" ref="J124" ca="1">SUM(Z93:AB93)+(MMULT($B157:$AL157+0,J$6:J$42+0))</f>
        <v>15039.848636664321</v>
      </c>
      <c r="K124" s="1571">
        <f t="array" aca="1" ref="K124" ca="1">SUM(AC93:AE93)+(MMULT($B157:$AL157+0,K$6:K$42+0))</f>
        <v>20867.795324914885</v>
      </c>
      <c r="L124" s="1571">
        <f t="array" aca="1" ref="L124" ca="1">SUM(AF93:AH93)+(MMULT($B157:$AL157+0,L$6:L$42+0))</f>
        <v>14568.697883998595</v>
      </c>
      <c r="M124" s="1571">
        <f t="array" aca="1" ref="M124" ca="1">SUM(AI93:AK93)+(MMULT($B157:$AL157+0,M$6:M$42+0))</f>
        <v>21904.172933379927</v>
      </c>
      <c r="N124" s="1571">
        <f t="array" aca="1" ref="N124" ca="1">SUM(AL93:AN93)+(MMULT($B157:$AL157+0,N$6:N$42+0))</f>
        <v>9893.4272303485086</v>
      </c>
      <c r="O124" s="1571">
        <f t="array" aca="1" ref="O124" ca="1">SUM(AO93:AQ93)+(MMULT($B157:$AL157+0,O$6:O$42+0))</f>
        <v>16420.103943007714</v>
      </c>
      <c r="P124" s="1571">
        <f t="array" aca="1" ref="P124" ca="1">SUM(AR93:AT93)+(MMULT($B157:$AL157+0,P$6:P$42+0))</f>
        <v>9115.1173390708263</v>
      </c>
      <c r="Q124" s="1571">
        <f t="array" aca="1" ref="Q124" ca="1">SUM(AU93:AW93)+(MMULT($B157:$AL157+0,Q$6:Q$42+0))</f>
        <v>10080.877467265806</v>
      </c>
      <c r="R124" s="1571">
        <f t="array" aca="1" ref="R124" ca="1">SUM(AX93:AZ93)+(MMULT($B157:$AL157+0,R$6:R$42+0))</f>
        <v>14366.701734359005</v>
      </c>
      <c r="S124" s="1571">
        <f t="array" aca="1" ref="S124" ca="1">SUM(BA93:BC93)+(MMULT($B157:$AL157+0,S$6:S$42+0))</f>
        <v>34226.051463344767</v>
      </c>
      <c r="T124" s="1571">
        <f t="array" aca="1" ref="T124" ca="1">SUM(BD93:BF93)+(MMULT($B157:$AL157+0,T$6:T$42+0))</f>
        <v>1868.2056137627287</v>
      </c>
      <c r="U124" s="1571">
        <f t="array" aca="1" ref="U124" ca="1">SUM(BG93:BI93)+(MMULT($B157:$AL157+0,U$6:U$42+0))</f>
        <v>36368.435619902171</v>
      </c>
      <c r="V124" s="1571">
        <f t="array" aca="1" ref="V124" ca="1">SUM(BJ93:BL93)+(MMULT($B157:$AL157+0,V$6:V$42+0))</f>
        <v>10166.787785385644</v>
      </c>
      <c r="W124" s="1571">
        <f t="shared" si="46"/>
        <v>50.015551003478407</v>
      </c>
      <c r="X124" s="1571">
        <f t="shared" si="47"/>
        <v>0</v>
      </c>
      <c r="Y124" s="1571">
        <f t="array" aca="1" ref="Y124" ca="1">SUM(BS93:BU93)+(MMULT($B157:$AL157+0,X$6:X$42+0))</f>
        <v>384.02769625785436</v>
      </c>
      <c r="Z124" s="1571">
        <f t="array" aca="1" ref="Z124" ca="1">SUM(BV93:BX93)+(MMULT($B157:$AL157+0,Y$6:Y$42+0))</f>
        <v>238.21661012253605</v>
      </c>
      <c r="AA124" s="1571">
        <f t="array" aca="1" ref="AA124" ca="1">SUM(BY93:CA93)+(MMULT($B157:$AL157+0,Z$6:Z$42+0))</f>
        <v>16185.426264338952</v>
      </c>
      <c r="AB124" s="1573">
        <f t="array" aca="1" ref="AB124" ca="1">SUM(CB93:CD93)+(MMULT($B157:$AL157+0,AA$6:AA$42+0))</f>
        <v>23537.17987957066</v>
      </c>
      <c r="AY124" s="1321"/>
      <c r="AZ124" s="1321"/>
    </row>
    <row r="125" spans="1:158">
      <c r="A125" s="290" t="s">
        <v>864</v>
      </c>
      <c r="B125" s="160"/>
      <c r="C125" s="489"/>
      <c r="D125" s="489"/>
      <c r="E125" s="489"/>
      <c r="F125" s="489"/>
      <c r="G125" s="489"/>
      <c r="H125" s="489"/>
      <c r="I125" s="1563"/>
      <c r="J125" s="489"/>
      <c r="K125" s="489"/>
      <c r="L125" s="489"/>
      <c r="M125" s="489"/>
      <c r="N125" s="489"/>
      <c r="O125" s="489"/>
      <c r="P125" s="489"/>
      <c r="Q125" s="489"/>
      <c r="R125" s="489"/>
      <c r="S125" s="489"/>
      <c r="T125" s="489"/>
      <c r="U125" s="489"/>
      <c r="V125" s="489"/>
      <c r="W125" s="349"/>
      <c r="X125" s="349"/>
      <c r="Y125" s="489"/>
      <c r="Z125" s="489"/>
      <c r="AA125" s="489"/>
      <c r="AB125" s="140"/>
      <c r="AC125" s="1321"/>
      <c r="AD125" s="1321"/>
      <c r="AE125" s="1321"/>
      <c r="AF125" s="1321"/>
      <c r="AG125" s="1321"/>
      <c r="AH125" s="1321"/>
      <c r="AI125" s="1321"/>
      <c r="AJ125" s="1321"/>
      <c r="AK125" s="1321"/>
      <c r="AL125" s="1321"/>
      <c r="AM125" s="1321"/>
      <c r="AN125" s="1321"/>
      <c r="AO125" s="1321"/>
      <c r="AP125" s="1321"/>
      <c r="AQ125" s="1321"/>
      <c r="AR125" s="1321"/>
      <c r="AS125" s="1321"/>
      <c r="AT125" s="1321"/>
      <c r="AU125" s="1321"/>
      <c r="AV125" s="1321"/>
      <c r="AW125" s="1321"/>
      <c r="AX125" s="1321"/>
      <c r="AY125" s="1321"/>
      <c r="AZ125" s="1321"/>
      <c r="BA125" s="1321"/>
      <c r="BB125" s="1321"/>
      <c r="BC125" s="1321"/>
      <c r="BD125" s="1321"/>
      <c r="BE125" s="1321"/>
      <c r="BF125" s="1321"/>
      <c r="BG125" s="1321"/>
      <c r="BH125" s="1321"/>
      <c r="BI125" s="1321"/>
      <c r="BJ125" s="1321"/>
      <c r="BK125" s="1321"/>
      <c r="BL125" s="1321"/>
      <c r="BM125" s="1321"/>
      <c r="BN125" s="1321"/>
      <c r="BO125" s="1321"/>
      <c r="BP125" s="1321"/>
      <c r="BQ125" s="1321"/>
      <c r="BR125" s="1321"/>
      <c r="BS125" s="1321"/>
      <c r="BT125" s="1321"/>
      <c r="BU125" s="1321"/>
      <c r="BV125" s="1321"/>
      <c r="BW125" s="1321"/>
      <c r="BX125" s="1321"/>
      <c r="BY125" s="1321"/>
      <c r="BZ125" s="1321"/>
      <c r="CA125" s="1321"/>
      <c r="CB125" s="1321"/>
      <c r="CC125" s="1321"/>
      <c r="CD125" s="1321"/>
      <c r="CE125" s="1321"/>
      <c r="CF125" s="1321"/>
      <c r="CG125" s="1321"/>
      <c r="CH125" s="1321"/>
      <c r="CI125" s="1321"/>
      <c r="CJ125" s="1321"/>
      <c r="CK125" s="1321"/>
      <c r="CL125" s="1321"/>
      <c r="CM125" s="1321"/>
      <c r="CN125" s="1321"/>
      <c r="CO125" s="1321"/>
      <c r="CP125" s="1321"/>
      <c r="CQ125" s="1321"/>
      <c r="CR125" s="1321"/>
      <c r="CS125" s="1321"/>
      <c r="CT125" s="1321"/>
      <c r="CU125" s="1321"/>
      <c r="CV125" s="1321"/>
      <c r="CW125" s="1321"/>
      <c r="CX125" s="1321"/>
      <c r="CY125" s="1321"/>
      <c r="CZ125" s="1321"/>
      <c r="DA125" s="1321"/>
      <c r="DB125" s="1321"/>
      <c r="DC125" s="1321"/>
      <c r="DD125" s="1321"/>
      <c r="DE125" s="1321"/>
      <c r="DF125" s="1321"/>
      <c r="DG125" s="1321"/>
      <c r="DH125" s="1321"/>
      <c r="DI125" s="1321"/>
      <c r="DJ125" s="1321"/>
      <c r="DK125" s="1321"/>
      <c r="DL125" s="1321"/>
      <c r="DM125" s="1321"/>
      <c r="DN125" s="1321"/>
      <c r="DO125" s="1321"/>
      <c r="DP125" s="1321"/>
      <c r="DQ125" s="1321"/>
      <c r="DR125" s="1321"/>
      <c r="DS125" s="1321"/>
      <c r="DT125" s="1321"/>
      <c r="DU125" s="1321"/>
      <c r="DV125" s="1321"/>
      <c r="DW125" s="1321"/>
      <c r="DX125" s="1321"/>
      <c r="DY125" s="1321"/>
      <c r="DZ125" s="1321"/>
      <c r="EA125" s="1321"/>
      <c r="EB125" s="1321"/>
      <c r="EC125" s="1321"/>
      <c r="ED125" s="1321"/>
      <c r="EE125" s="1321"/>
      <c r="EF125" s="1321"/>
      <c r="EG125" s="1321"/>
      <c r="EH125" s="1321"/>
      <c r="EI125" s="1321"/>
      <c r="EJ125" s="1321"/>
      <c r="EK125" s="1321"/>
      <c r="EL125" s="1321"/>
      <c r="EM125" s="1321"/>
      <c r="EN125" s="1321"/>
      <c r="EO125" s="1321"/>
      <c r="EP125" s="1321"/>
      <c r="EQ125" s="1321"/>
      <c r="ER125" s="1321"/>
      <c r="ES125" s="1321"/>
      <c r="ET125" s="1321"/>
      <c r="EU125" s="1321"/>
      <c r="EV125" s="1321"/>
      <c r="EW125" s="1321"/>
      <c r="EX125" s="1321"/>
      <c r="EY125" s="1321"/>
      <c r="EZ125" s="1321"/>
      <c r="FA125" s="1321"/>
      <c r="FB125" s="1321"/>
    </row>
    <row r="126" spans="1:158">
      <c r="A126" s="291" t="s">
        <v>821</v>
      </c>
      <c r="B126" s="347">
        <f t="array" aca="1" ref="B126" ca="1">SUM(B95:D95)+(MMULT($B159:$AL159+0,B$6:B$42+0))</f>
        <v>63.752118892452273</v>
      </c>
      <c r="C126" s="349">
        <f t="array" aca="1" ref="C126" ca="1">SUM(E95:G95)+(MMULT($B159:$AL159+0,C$6:C$42+0))</f>
        <v>2258.7574644046081</v>
      </c>
      <c r="D126" s="349">
        <f t="array" aca="1" ref="D126" ca="1">SUM(H95:J95)+(MMULT($B159:$AL159+0,D$6:D$42+0))</f>
        <v>2564.171186265974</v>
      </c>
      <c r="E126" s="349">
        <f t="array" aca="1" ref="E126" ca="1">SUM(K95:M95)+(MMULT($B159:$AL159+0,E$6:E$42+0))</f>
        <v>3442.3459983732537</v>
      </c>
      <c r="F126" s="349">
        <f t="array" aca="1" ref="F126" ca="1">SUM(N95:P95)+(MMULT($B159:$AL159+0,F$6:F$42+0))</f>
        <v>2644.9075645388475</v>
      </c>
      <c r="G126" s="349">
        <f t="array" aca="1" ref="G126" ca="1">SUM(Q95:S95)+(MMULT($B159:$AL159+0,G$6:G$42+0))</f>
        <v>3517.2748781564987</v>
      </c>
      <c r="H126" s="479">
        <f t="array" aca="1" ref="H126" ca="1">SUM(T95:V95)+(MMULT($B159:$AL159+0,H$6:H$42+0))</f>
        <v>2877.929736121564</v>
      </c>
      <c r="I126" s="1256">
        <f t="array" aca="1" ref="I126" ca="1">SUM(W95:Y95)+(MMULT($B159:$AL159+0,I$6:I$42+0))</f>
        <v>3723.5440317586276</v>
      </c>
      <c r="J126" s="349">
        <f t="array" aca="1" ref="J126" ca="1">SUM(Z95:AB95)+(MMULT($B159:$AL159+0,J$6:J$42+0))</f>
        <v>3081.67520619691</v>
      </c>
      <c r="K126" s="349">
        <f t="array" aca="1" ref="K126" ca="1">SUM(AC95:AE95)+(MMULT($B159:$AL159+0,K$6:K$42+0))</f>
        <v>3929.1102303216853</v>
      </c>
      <c r="L126" s="349">
        <f t="array" aca="1" ref="L126" ca="1">SUM(AF95:AH95)+(MMULT($B159:$AL159+0,L$6:L$42+0))</f>
        <v>3406.3461363502738</v>
      </c>
      <c r="M126" s="349">
        <f t="array" aca="1" ref="M126" ca="1">SUM(AI95:AK95)+(MMULT($B159:$AL159+0,M$6:M$42+0))</f>
        <v>4552.6451980231377</v>
      </c>
      <c r="N126" s="349">
        <f t="array" aca="1" ref="N126" ca="1">SUM(AL95:AN95)+(MMULT($B159:$AL159+0,N$6:N$42+0))</f>
        <v>1375.1290454525679</v>
      </c>
      <c r="O126" s="349">
        <f t="array" aca="1" ref="O126" ca="1">SUM(AO95:AQ95)+(MMULT($B159:$AL159+0,O$6:O$42+0))</f>
        <v>2374.444959909571</v>
      </c>
      <c r="P126" s="349">
        <f t="array" aca="1" ref="P126" ca="1">SUM(AR95:AT95)+(MMULT($B159:$AL159+0,P$6:P$42+0))</f>
        <v>1572.7454913386789</v>
      </c>
      <c r="Q126" s="349">
        <f t="array" aca="1" ref="Q126" ca="1">SUM(AU95:AW95)+(MMULT($B159:$AL159+0,Q$6:Q$42+0))</f>
        <v>3013.5160723574872</v>
      </c>
      <c r="R126" s="349">
        <f t="array" aca="1" ref="R126" ca="1">SUM(AX95:AZ95)+(MMULT($B159:$AL159+0,R$6:R$42+0))</f>
        <v>3817.1535339068942</v>
      </c>
      <c r="S126" s="349">
        <f t="array" aca="1" ref="S126" ca="1">SUM(BA95:BC95)+(MMULT($B159:$AL159+0,S$6:S$42+0))</f>
        <v>4252.2535906478279</v>
      </c>
      <c r="T126" s="349">
        <f t="array" aca="1" ref="T126" ca="1">SUM(BD95:BF95)+(MMULT($B159:$AL159+0,T$6:T$42+0))</f>
        <v>234.91455084840914</v>
      </c>
      <c r="U126" s="349">
        <f t="array" aca="1" ref="U126" ca="1">SUM(BG95:BI95)+(MMULT($B159:$AL159+0,U$6:U$42+0))</f>
        <v>3882.3196320524166</v>
      </c>
      <c r="V126" s="349">
        <f t="array" aca="1" ref="V126" ca="1">SUM(BJ95:BL95)+(MMULT($B159:$AL159+0,V$6:V$42+0))</f>
        <v>1573.0411510857211</v>
      </c>
      <c r="W126" s="349">
        <f t="shared" ref="W126:W136" si="48">SUM(BM95:BO95)</f>
        <v>7.7031153668501418</v>
      </c>
      <c r="X126" s="349">
        <f t="shared" ref="X126:X136" si="49">SUM(BP95:BR95)</f>
        <v>0</v>
      </c>
      <c r="Y126" s="349">
        <f t="array" aca="1" ref="Y126" ca="1">SUM(BS95:BU95)+(MMULT($B159:$AL159+0,X$6:X$42+0))</f>
        <v>5.8533676760296647</v>
      </c>
      <c r="Z126" s="349">
        <f t="array" aca="1" ref="Z126" ca="1">SUM(BV95:BX95)+(MMULT($B159:$AL159+0,Y$6:Y$42+0))</f>
        <v>16.784803865827691</v>
      </c>
      <c r="AA126" s="349">
        <f t="array" aca="1" ref="AA126" ca="1">SUM(BY95:CA95)+(MMULT($B159:$AL159+0,Z$6:Z$42+0))</f>
        <v>4981.18550304985</v>
      </c>
      <c r="AB126" s="348">
        <f t="array" aca="1" ref="AB126" ca="1">SUM(CB95:CD95)+(MMULT($B159:$AL159+0,AA$6:AA$42+0))</f>
        <v>6066.4845963585203</v>
      </c>
      <c r="AC126" s="1321"/>
      <c r="AD126" s="1321"/>
      <c r="AE126" s="1321"/>
      <c r="AF126" s="1321"/>
      <c r="AG126" s="1321"/>
      <c r="AH126" s="1321"/>
      <c r="AI126" s="1321"/>
      <c r="AJ126" s="1321"/>
      <c r="AK126" s="1321"/>
      <c r="AL126" s="1321"/>
      <c r="AM126" s="1321"/>
      <c r="AN126" s="1321"/>
      <c r="AO126" s="1321"/>
      <c r="AP126" s="1321"/>
      <c r="AQ126" s="1321"/>
      <c r="AR126" s="1321"/>
      <c r="AS126" s="1321"/>
      <c r="AT126" s="1321"/>
      <c r="AU126" s="1321"/>
      <c r="AV126" s="1321"/>
      <c r="AW126" s="1321"/>
      <c r="AX126" s="1321"/>
      <c r="AY126" s="1321"/>
      <c r="AZ126" s="1321"/>
      <c r="BA126" s="1321"/>
      <c r="BB126" s="1321"/>
      <c r="BC126" s="1321"/>
      <c r="BD126" s="1321"/>
      <c r="BE126" s="1321"/>
      <c r="BF126" s="1321"/>
      <c r="BG126" s="1321"/>
      <c r="BH126" s="1321"/>
      <c r="BI126" s="1321"/>
      <c r="BJ126" s="1321"/>
      <c r="BK126" s="1321"/>
      <c r="BL126" s="1321"/>
      <c r="BM126" s="1321"/>
      <c r="BN126" s="1321"/>
      <c r="BO126" s="1321"/>
      <c r="BP126" s="1321"/>
      <c r="BQ126" s="1321"/>
      <c r="BR126" s="1321"/>
      <c r="BS126" s="1321"/>
      <c r="BT126" s="1321"/>
      <c r="BU126" s="1321"/>
      <c r="BV126" s="1321"/>
      <c r="BW126" s="1321"/>
      <c r="BX126" s="1321"/>
      <c r="BY126" s="1321"/>
      <c r="BZ126" s="1321"/>
      <c r="CA126" s="1321"/>
      <c r="CB126" s="1321"/>
      <c r="CC126" s="1321"/>
      <c r="CD126" s="1321"/>
      <c r="CE126" s="1321"/>
      <c r="CF126" s="1321"/>
      <c r="CG126" s="1321"/>
      <c r="CH126" s="1321"/>
      <c r="CI126" s="1321"/>
      <c r="CJ126" s="1321"/>
      <c r="CK126" s="1321"/>
      <c r="CL126" s="1321"/>
      <c r="CM126" s="1321"/>
      <c r="CN126" s="1321"/>
      <c r="CO126" s="1321"/>
      <c r="CP126" s="1321"/>
      <c r="CQ126" s="1321"/>
      <c r="CR126" s="1321"/>
      <c r="CS126" s="1321"/>
      <c r="CT126" s="1321"/>
      <c r="CU126" s="1321"/>
      <c r="CV126" s="1321"/>
      <c r="CW126" s="1321"/>
      <c r="CX126" s="1321"/>
      <c r="CY126" s="1321"/>
      <c r="CZ126" s="1321"/>
      <c r="DA126" s="1321"/>
      <c r="DB126" s="1321"/>
      <c r="DC126" s="1321"/>
      <c r="DD126" s="1321"/>
      <c r="DE126" s="1321"/>
      <c r="DF126" s="1321"/>
      <c r="DG126" s="1321"/>
      <c r="DH126" s="1321"/>
      <c r="DI126" s="1321"/>
      <c r="DJ126" s="1321"/>
      <c r="DK126" s="1321"/>
      <c r="DL126" s="1321"/>
      <c r="DM126" s="1321"/>
      <c r="DN126" s="1321"/>
      <c r="DO126" s="1321"/>
      <c r="DP126" s="1321"/>
      <c r="DQ126" s="1321"/>
      <c r="DR126" s="1321"/>
      <c r="DS126" s="1321"/>
      <c r="DT126" s="1321"/>
      <c r="DU126" s="1321"/>
      <c r="DV126" s="1321"/>
      <c r="DW126" s="1321"/>
      <c r="DX126" s="1321"/>
      <c r="DY126" s="1321"/>
      <c r="DZ126" s="1321"/>
      <c r="EA126" s="1321"/>
      <c r="EB126" s="1321"/>
      <c r="EC126" s="1321"/>
      <c r="ED126" s="1321"/>
      <c r="EE126" s="1321"/>
      <c r="EF126" s="1321"/>
      <c r="EG126" s="1321"/>
      <c r="EH126" s="1321"/>
      <c r="EI126" s="1321"/>
      <c r="EJ126" s="1321"/>
      <c r="EK126" s="1321"/>
      <c r="EL126" s="1321"/>
      <c r="EM126" s="1321"/>
      <c r="EN126" s="1321"/>
      <c r="EO126" s="1321"/>
      <c r="EP126" s="1321"/>
      <c r="EQ126" s="1321"/>
      <c r="ER126" s="1321"/>
      <c r="ES126" s="1321"/>
      <c r="ET126" s="1321"/>
      <c r="EU126" s="1321"/>
      <c r="EV126" s="1321"/>
      <c r="EW126" s="1321"/>
      <c r="EX126" s="1321"/>
      <c r="EY126" s="1321"/>
      <c r="EZ126" s="1321"/>
      <c r="FA126" s="1321"/>
      <c r="FB126" s="1321"/>
    </row>
    <row r="127" spans="1:158">
      <c r="A127" s="291" t="s">
        <v>822</v>
      </c>
      <c r="B127" s="347">
        <f t="array" aca="1" ref="B127" ca="1">SUM(B96:D96)+(MMULT($B160:$AL160+0,B$6:B$42+0))</f>
        <v>268.31961768815955</v>
      </c>
      <c r="C127" s="349">
        <f t="array" aca="1" ref="C127" ca="1">SUM(E96:G96)+(MMULT($B160:$AL160+0,C$6:C$42+0))</f>
        <v>2350.3541541637055</v>
      </c>
      <c r="D127" s="349">
        <f t="array" aca="1" ref="D127" ca="1">SUM(H96:J96)+(MMULT($B160:$AL160+0,D$6:D$42+0))</f>
        <v>10847.595418291075</v>
      </c>
      <c r="E127" s="349">
        <f t="array" aca="1" ref="E127" ca="1">SUM(K96:M96)+(MMULT($B160:$AL160+0,E$6:E$42+0))</f>
        <v>14165.838917596211</v>
      </c>
      <c r="F127" s="349">
        <f t="array" aca="1" ref="F127" ca="1">SUM(N96:P96)+(MMULT($B160:$AL160+0,F$6:F$42+0))</f>
        <v>10653.119666593968</v>
      </c>
      <c r="G127" s="349">
        <f t="array" aca="1" ref="G127" ca="1">SUM(Q96:S96)+(MMULT($B160:$AL160+0,G$6:G$42+0))</f>
        <v>13973.954467854837</v>
      </c>
      <c r="H127" s="479">
        <f t="array" aca="1" ref="H127" ca="1">SUM(T96:V96)+(MMULT($B160:$AL160+0,H$6:H$42+0))</f>
        <v>12573.414187281543</v>
      </c>
      <c r="I127" s="1256">
        <f t="array" aca="1" ref="I127" ca="1">SUM(W96:Y96)+(MMULT($B160:$AL160+0,I$6:I$42+0))</f>
        <v>15731.532412994482</v>
      </c>
      <c r="J127" s="349">
        <f t="array" aca="1" ref="J127" ca="1">SUM(Z96:AB96)+(MMULT($B160:$AL160+0,J$6:J$42+0))</f>
        <v>13757.136978464527</v>
      </c>
      <c r="K127" s="349">
        <f t="array" aca="1" ref="K127" ca="1">SUM(AC96:AE96)+(MMULT($B160:$AL160+0,K$6:K$42+0))</f>
        <v>16908.298714439094</v>
      </c>
      <c r="L127" s="349">
        <f t="array" aca="1" ref="L127" ca="1">SUM(AF96:AH96)+(MMULT($B160:$AL160+0,L$6:L$42+0))</f>
        <v>16064.506141691447</v>
      </c>
      <c r="M127" s="349">
        <f t="array" aca="1" ref="M127" ca="1">SUM(AI96:AK96)+(MMULT($B160:$AL160+0,M$6:M$42+0))</f>
        <v>19268.705436385524</v>
      </c>
      <c r="N127" s="349">
        <f t="array" aca="1" ref="N127" ca="1">SUM(AL96:AN96)+(MMULT($B160:$AL160+0,N$6:N$42+0))</f>
        <v>4332.4235815502107</v>
      </c>
      <c r="O127" s="349">
        <f t="array" aca="1" ref="O127" ca="1">SUM(AO96:AQ96)+(MMULT($B160:$AL160+0,O$6:O$42+0))</f>
        <v>8204.2811107753278</v>
      </c>
      <c r="P127" s="349">
        <f t="array" aca="1" ref="P127" ca="1">SUM(AR96:AT96)+(MMULT($B160:$AL160+0,P$6:P$42+0))</f>
        <v>5336.1409672874706</v>
      </c>
      <c r="Q127" s="349">
        <f t="array" aca="1" ref="Q127" ca="1">SUM(AU96:AW96)+(MMULT($B160:$AL160+0,Q$6:Q$42+0))</f>
        <v>7070.0763761509916</v>
      </c>
      <c r="R127" s="349">
        <f t="array" aca="1" ref="R127" ca="1">SUM(AX96:AZ96)+(MMULT($B160:$AL160+0,R$6:R$42+0))</f>
        <v>10364.032308290738</v>
      </c>
      <c r="S127" s="349">
        <f t="array" aca="1" ref="S127" ca="1">SUM(BA96:BC96)+(MMULT($B160:$AL160+0,S$6:S$42+0))</f>
        <v>12015.065909574481</v>
      </c>
      <c r="T127" s="349">
        <f t="array" aca="1" ref="T127" ca="1">SUM(BD96:BF96)+(MMULT($B160:$AL160+0,T$6:T$42+0))</f>
        <v>651.97162025916805</v>
      </c>
      <c r="U127" s="349">
        <f t="array" aca="1" ref="U127" ca="1">SUM(BG96:BI96)+(MMULT($B160:$AL160+0,U$6:U$42+0))</f>
        <v>12932.106777174018</v>
      </c>
      <c r="V127" s="349">
        <f t="array" aca="1" ref="V127" ca="1">SUM(BJ96:BL96)+(MMULT($B160:$AL160+0,V$6:V$42+0))</f>
        <v>3539.5427746755176</v>
      </c>
      <c r="W127" s="349">
        <f t="shared" si="48"/>
        <v>25.904084695378586</v>
      </c>
      <c r="X127" s="349">
        <f t="shared" si="49"/>
        <v>0</v>
      </c>
      <c r="Y127" s="349">
        <f t="array" aca="1" ref="Y127" ca="1">SUM(BS96:BU96)+(MMULT($B160:$AL160+0,X$6:X$42+0))</f>
        <v>17.806670804746503</v>
      </c>
      <c r="Z127" s="349">
        <f t="array" aca="1" ref="Z127" ca="1">SUM(BV96:BX96)+(MMULT($B160:$AL160+0,Y$6:Y$42+0))</f>
        <v>39.31717430355102</v>
      </c>
      <c r="AA127" s="349">
        <f t="array" aca="1" ref="AA127" ca="1">SUM(BY96:CA96)+(MMULT($B160:$AL160+0,Z$6:Z$42+0))</f>
        <v>18053.746395550843</v>
      </c>
      <c r="AB127" s="348">
        <f t="array" aca="1" ref="AB127" ca="1">SUM(CB96:CD96)+(MMULT($B160:$AL160+0,AA$6:AA$42+0))</f>
        <v>21217.378122906593</v>
      </c>
      <c r="AC127" s="1321"/>
      <c r="AD127" s="1321"/>
      <c r="AE127" s="1321"/>
      <c r="AF127" s="1321"/>
      <c r="AG127" s="1321"/>
      <c r="AH127" s="1321"/>
      <c r="AI127" s="1321"/>
      <c r="AJ127" s="1321"/>
      <c r="AK127" s="1321"/>
      <c r="AL127" s="1321"/>
      <c r="AM127" s="1321"/>
      <c r="AN127" s="1321"/>
      <c r="AO127" s="1321"/>
      <c r="AP127" s="1321"/>
      <c r="AQ127" s="1321"/>
      <c r="AR127" s="1321"/>
      <c r="AS127" s="1321"/>
      <c r="AT127" s="1321"/>
      <c r="AU127" s="1321"/>
      <c r="AV127" s="1321"/>
      <c r="AW127" s="1321"/>
      <c r="AX127" s="1321"/>
      <c r="AY127" s="1321"/>
      <c r="AZ127" s="1321"/>
      <c r="BA127" s="1321"/>
      <c r="BB127" s="1321"/>
      <c r="BC127" s="1321"/>
      <c r="BD127" s="1321"/>
      <c r="BE127" s="1321"/>
      <c r="BF127" s="1321"/>
      <c r="BG127" s="1321"/>
      <c r="BH127" s="1321"/>
      <c r="BI127" s="1321"/>
      <c r="BJ127" s="1321"/>
      <c r="BK127" s="1321"/>
      <c r="BL127" s="1321"/>
      <c r="BM127" s="1321"/>
      <c r="BN127" s="1321"/>
      <c r="BO127" s="1321"/>
      <c r="BP127" s="1321"/>
      <c r="BQ127" s="1321"/>
      <c r="BR127" s="1321"/>
      <c r="BS127" s="1321"/>
      <c r="BT127" s="1321"/>
      <c r="BU127" s="1321"/>
      <c r="BV127" s="1321"/>
      <c r="BW127" s="1321"/>
      <c r="BX127" s="1321"/>
      <c r="BY127" s="1321"/>
      <c r="BZ127" s="1321"/>
      <c r="CA127" s="1321"/>
      <c r="CB127" s="1321"/>
      <c r="CC127" s="1321"/>
      <c r="CD127" s="1321"/>
      <c r="CE127" s="1321"/>
      <c r="CF127" s="1321"/>
      <c r="CG127" s="1321"/>
      <c r="CH127" s="1321"/>
      <c r="CI127" s="1321"/>
      <c r="CJ127" s="1321"/>
      <c r="CK127" s="1321"/>
      <c r="CL127" s="1321"/>
      <c r="CM127" s="1321"/>
      <c r="CN127" s="1321"/>
      <c r="CO127" s="1321"/>
      <c r="CP127" s="1321"/>
      <c r="CQ127" s="1321"/>
      <c r="CR127" s="1321"/>
      <c r="CS127" s="1321"/>
      <c r="CT127" s="1321"/>
      <c r="CU127" s="1321"/>
      <c r="CV127" s="1321"/>
      <c r="CW127" s="1321"/>
      <c r="CX127" s="1321"/>
      <c r="CY127" s="1321"/>
      <c r="CZ127" s="1321"/>
      <c r="DA127" s="1321"/>
      <c r="DB127" s="1321"/>
      <c r="DC127" s="1321"/>
      <c r="DD127" s="1321"/>
      <c r="DE127" s="1321"/>
      <c r="DF127" s="1321"/>
      <c r="DG127" s="1321"/>
      <c r="DH127" s="1321"/>
      <c r="DI127" s="1321"/>
      <c r="DJ127" s="1321"/>
      <c r="DK127" s="1321"/>
      <c r="DL127" s="1321"/>
      <c r="DM127" s="1321"/>
      <c r="DN127" s="1321"/>
      <c r="DO127" s="1321"/>
      <c r="DP127" s="1321"/>
      <c r="DQ127" s="1321"/>
      <c r="DR127" s="1321"/>
      <c r="DS127" s="1321"/>
      <c r="DT127" s="1321"/>
      <c r="DU127" s="1321"/>
      <c r="DV127" s="1321"/>
      <c r="DW127" s="1321"/>
      <c r="DX127" s="1321"/>
      <c r="DY127" s="1321"/>
      <c r="DZ127" s="1321"/>
      <c r="EA127" s="1321"/>
      <c r="EB127" s="1321"/>
      <c r="EC127" s="1321"/>
      <c r="ED127" s="1321"/>
      <c r="EE127" s="1321"/>
      <c r="EF127" s="1321"/>
      <c r="EG127" s="1321"/>
      <c r="EH127" s="1321"/>
      <c r="EI127" s="1321"/>
      <c r="EJ127" s="1321"/>
      <c r="EK127" s="1321"/>
      <c r="EL127" s="1321"/>
      <c r="EM127" s="1321"/>
      <c r="EN127" s="1321"/>
      <c r="EO127" s="1321"/>
      <c r="EP127" s="1321"/>
      <c r="EQ127" s="1321"/>
      <c r="ER127" s="1321"/>
      <c r="ES127" s="1321"/>
      <c r="ET127" s="1321"/>
      <c r="EU127" s="1321"/>
      <c r="EV127" s="1321"/>
      <c r="EW127" s="1321"/>
      <c r="EX127" s="1321"/>
      <c r="EY127" s="1321"/>
      <c r="EZ127" s="1321"/>
      <c r="FA127" s="1321"/>
      <c r="FB127" s="1321"/>
    </row>
    <row r="128" spans="1:158">
      <c r="A128" s="291" t="s">
        <v>849</v>
      </c>
      <c r="B128" s="347">
        <f t="array" aca="1" ref="B128" ca="1">SUM(B97:D97)+(MMULT($B161:$AL161+0,B$6:B$42+0))</f>
        <v>517.15459940182564</v>
      </c>
      <c r="C128" s="349">
        <f t="array" aca="1" ref="C128" ca="1">SUM(E97:G97)+(MMULT($B161:$AL161+0,C$6:C$42+0))</f>
        <v>934.41032879948182</v>
      </c>
      <c r="D128" s="349">
        <f t="array" aca="1" ref="D128" ca="1">SUM(H97:J97)+(MMULT($B161:$AL161+0,D$6:D$42+0))</f>
        <v>17683.435150833036</v>
      </c>
      <c r="E128" s="349">
        <f t="array" aca="1" ref="E128" ca="1">SUM(K97:M97)+(MMULT($B161:$AL161+0,E$6:E$42+0))</f>
        <v>24612.482136406958</v>
      </c>
      <c r="F128" s="349">
        <f t="array" aca="1" ref="F128" ca="1">SUM(N97:P97)+(MMULT($B161:$AL161+0,F$6:F$42+0))</f>
        <v>17529.483379450558</v>
      </c>
      <c r="G128" s="349">
        <f t="array" aca="1" ref="G128" ca="1">SUM(Q97:S97)+(MMULT($B161:$AL161+0,G$6:G$42+0))</f>
        <v>24451.013886251025</v>
      </c>
      <c r="H128" s="479">
        <f t="array" aca="1" ref="H128" ca="1">SUM(T97:V97)+(MMULT($B161:$AL161+0,H$6:H$42+0))</f>
        <v>20620.689413300472</v>
      </c>
      <c r="I128" s="1256">
        <f t="array" aca="1" ref="I128" ca="1">SUM(W97:Y97)+(MMULT($B161:$AL161+0,I$6:I$42+0))</f>
        <v>27272.542234601089</v>
      </c>
      <c r="J128" s="349">
        <f t="array" aca="1" ref="J128" ca="1">SUM(Z97:AB97)+(MMULT($B161:$AL161+0,J$6:J$42+0))</f>
        <v>22615.53225127409</v>
      </c>
      <c r="K128" s="349">
        <f t="array" aca="1" ref="K128" ca="1">SUM(AC97:AE97)+(MMULT($B161:$AL161+0,K$6:K$42+0))</f>
        <v>29253.551982637575</v>
      </c>
      <c r="L128" s="349">
        <f t="array" aca="1" ref="L128" ca="1">SUM(AF97:AH97)+(MMULT($B161:$AL161+0,L$6:L$42+0))</f>
        <v>26396.243230118038</v>
      </c>
      <c r="M128" s="349">
        <f t="array" aca="1" ref="M128" ca="1">SUM(AI97:AK97)+(MMULT($B161:$AL161+0,M$6:M$42+0))</f>
        <v>35324.422089856402</v>
      </c>
      <c r="N128" s="349">
        <f t="array" aca="1" ref="N128" ca="1">SUM(AL97:AN97)+(MMULT($B161:$AL161+0,N$6:N$42+0))</f>
        <v>7201.9245790539962</v>
      </c>
      <c r="O128" s="349">
        <f t="array" aca="1" ref="O128" ca="1">SUM(AO97:AQ97)+(MMULT($B161:$AL161+0,O$6:O$42+0))</f>
        <v>15113.598709604099</v>
      </c>
      <c r="P128" s="349">
        <f t="array" aca="1" ref="P128" ca="1">SUM(AR97:AT97)+(MMULT($B161:$AL161+0,P$6:P$42+0))</f>
        <v>12846.628064218788</v>
      </c>
      <c r="Q128" s="349">
        <f t="array" aca="1" ref="Q128" ca="1">SUM(AU97:AW97)+(MMULT($B161:$AL161+0,Q$6:Q$42+0))</f>
        <v>11239.537259154393</v>
      </c>
      <c r="R128" s="349">
        <f t="array" aca="1" ref="R128" ca="1">SUM(AX97:AZ97)+(MMULT($B161:$AL161+0,R$6:R$42+0))</f>
        <v>18254.984192249001</v>
      </c>
      <c r="S128" s="349">
        <f t="array" aca="1" ref="S128" ca="1">SUM(BA97:BC97)+(MMULT($B161:$AL161+0,S$6:S$42+0))</f>
        <v>21216.146242587212</v>
      </c>
      <c r="T128" s="349">
        <f t="array" aca="1" ref="T128" ca="1">SUM(BD97:BF97)+(MMULT($B161:$AL161+0,T$6:T$42+0))</f>
        <v>1604.9594095726895</v>
      </c>
      <c r="U128" s="349">
        <f t="array" aca="1" ref="U128" ca="1">SUM(BG97:BI97)+(MMULT($B161:$AL161+0,U$6:U$42+0))</f>
        <v>26033.355046058652</v>
      </c>
      <c r="V128" s="349">
        <f t="array" aca="1" ref="V128" ca="1">SUM(BJ97:BL97)+(MMULT($B161:$AL161+0,V$6:V$42+0))</f>
        <v>7677.3751410419227</v>
      </c>
      <c r="W128" s="349">
        <f t="shared" si="48"/>
        <v>67.798547059953151</v>
      </c>
      <c r="X128" s="349">
        <f t="shared" si="49"/>
        <v>0</v>
      </c>
      <c r="Y128" s="349">
        <f t="array" aca="1" ref="Y128" ca="1">SUM(BS97:BU97)+(MMULT($B161:$AL161+0,X$6:X$42+0))</f>
        <v>56.724052845960216</v>
      </c>
      <c r="Z128" s="349">
        <f t="array" aca="1" ref="Z128" ca="1">SUM(BV97:BX97)+(MMULT($B161:$AL161+0,Y$6:Y$42+0))</f>
        <v>274.62679912781471</v>
      </c>
      <c r="AA128" s="349">
        <f t="array" aca="1" ref="AA128" ca="1">SUM(BY97:CA97)+(MMULT($B161:$AL161+0,Z$6:Z$42+0))</f>
        <v>27911.210065354306</v>
      </c>
      <c r="AB128" s="348">
        <f t="array" aca="1" ref="AB128" ca="1">SUM(CB97:CD97)+(MMULT($B161:$AL161+0,AA$6:AA$42+0))</f>
        <v>36911.808418254441</v>
      </c>
      <c r="AC128" s="1321"/>
      <c r="AD128" s="1321"/>
      <c r="AE128" s="1321"/>
      <c r="AF128" s="1321"/>
      <c r="AG128" s="1321"/>
      <c r="AH128" s="1321"/>
      <c r="AI128" s="1321"/>
      <c r="AJ128" s="1321"/>
      <c r="AK128" s="1321"/>
      <c r="AL128" s="1321"/>
      <c r="AM128" s="1321"/>
      <c r="AN128" s="1321"/>
      <c r="AO128" s="1321"/>
      <c r="AP128" s="1321"/>
      <c r="AQ128" s="1321"/>
      <c r="AR128" s="1321"/>
      <c r="AS128" s="1321"/>
      <c r="AT128" s="1321"/>
      <c r="AU128" s="1321"/>
      <c r="AV128" s="1321"/>
      <c r="AW128" s="1321"/>
      <c r="AX128" s="1321"/>
      <c r="AY128" s="1321"/>
      <c r="AZ128" s="1321"/>
      <c r="BA128" s="1321"/>
      <c r="BB128" s="1321"/>
      <c r="BC128" s="1321"/>
      <c r="BD128" s="1321"/>
      <c r="BE128" s="1321"/>
      <c r="BF128" s="1321"/>
      <c r="BG128" s="1321"/>
      <c r="BH128" s="1321"/>
      <c r="BI128" s="1321"/>
      <c r="BJ128" s="1321"/>
      <c r="BK128" s="1321"/>
      <c r="BL128" s="1321"/>
      <c r="BM128" s="1321"/>
      <c r="BN128" s="1321"/>
      <c r="BO128" s="1321"/>
      <c r="BP128" s="1321"/>
      <c r="BQ128" s="1321"/>
      <c r="BR128" s="1321"/>
      <c r="BS128" s="1321"/>
      <c r="BT128" s="1321"/>
      <c r="BU128" s="1321"/>
      <c r="BV128" s="1321"/>
      <c r="BW128" s="1321"/>
      <c r="BX128" s="1321"/>
      <c r="BY128" s="1321"/>
      <c r="BZ128" s="1321"/>
      <c r="CA128" s="1321"/>
      <c r="CB128" s="1321"/>
      <c r="CC128" s="1321"/>
      <c r="CD128" s="1321"/>
      <c r="CE128" s="1321"/>
      <c r="CF128" s="1321"/>
      <c r="CG128" s="1321"/>
      <c r="CH128" s="1321"/>
      <c r="CI128" s="1321"/>
      <c r="CJ128" s="1321"/>
      <c r="CK128" s="1321"/>
      <c r="CL128" s="1321"/>
      <c r="CM128" s="1321"/>
      <c r="CN128" s="1321"/>
      <c r="CO128" s="1321"/>
      <c r="CP128" s="1321"/>
      <c r="CQ128" s="1321"/>
      <c r="CR128" s="1321"/>
      <c r="CS128" s="1321"/>
      <c r="CT128" s="1321"/>
      <c r="CU128" s="1321"/>
      <c r="CV128" s="1321"/>
      <c r="CW128" s="1321"/>
      <c r="CX128" s="1321"/>
      <c r="CY128" s="1321"/>
      <c r="CZ128" s="1321"/>
      <c r="DA128" s="1321"/>
      <c r="DB128" s="1321"/>
      <c r="DC128" s="1321"/>
      <c r="DD128" s="1321"/>
      <c r="DE128" s="1321"/>
      <c r="DF128" s="1321"/>
      <c r="DG128" s="1321"/>
      <c r="DH128" s="1321"/>
      <c r="DI128" s="1321"/>
      <c r="DJ128" s="1321"/>
      <c r="DK128" s="1321"/>
      <c r="DL128" s="1321"/>
      <c r="DM128" s="1321"/>
      <c r="DN128" s="1321"/>
      <c r="DO128" s="1321"/>
      <c r="DP128" s="1321"/>
      <c r="DQ128" s="1321"/>
      <c r="DR128" s="1321"/>
      <c r="DS128" s="1321"/>
      <c r="DT128" s="1321"/>
      <c r="DU128" s="1321"/>
      <c r="DV128" s="1321"/>
      <c r="DW128" s="1321"/>
      <c r="DX128" s="1321"/>
      <c r="DY128" s="1321"/>
      <c r="DZ128" s="1321"/>
      <c r="EA128" s="1321"/>
      <c r="EB128" s="1321"/>
      <c r="EC128" s="1321"/>
      <c r="ED128" s="1321"/>
      <c r="EE128" s="1321"/>
      <c r="EF128" s="1321"/>
      <c r="EG128" s="1321"/>
      <c r="EH128" s="1321"/>
      <c r="EI128" s="1321"/>
      <c r="EJ128" s="1321"/>
      <c r="EK128" s="1321"/>
      <c r="EL128" s="1321"/>
      <c r="EM128" s="1321"/>
      <c r="EN128" s="1321"/>
      <c r="EO128" s="1321"/>
      <c r="EP128" s="1321"/>
      <c r="EQ128" s="1321"/>
      <c r="ER128" s="1321"/>
      <c r="ES128" s="1321"/>
      <c r="ET128" s="1321"/>
      <c r="EU128" s="1321"/>
      <c r="EV128" s="1321"/>
      <c r="EW128" s="1321"/>
      <c r="EX128" s="1321"/>
      <c r="EY128" s="1321"/>
      <c r="EZ128" s="1321"/>
      <c r="FA128" s="1321"/>
      <c r="FB128" s="1321"/>
    </row>
    <row r="129" spans="1:52">
      <c r="A129" s="291" t="s">
        <v>824</v>
      </c>
      <c r="B129" s="347">
        <f t="array" aca="1" ref="B129" ca="1">SUM(B98:D98)+(MMULT($B162:$AL162+0,B$6:B$42+0))</f>
        <v>1755.9681674569879</v>
      </c>
      <c r="C129" s="349">
        <f t="array" aca="1" ref="C129" ca="1">SUM(E98:G98)+(MMULT($B162:$AL162+0,C$6:C$42+0))</f>
        <v>42.512087430996637</v>
      </c>
      <c r="D129" s="349">
        <f t="array" aca="1" ref="D129" ca="1">SUM(H98:J98)+(MMULT($B162:$AL162+0,D$6:D$42+0))</f>
        <v>12022.193622388633</v>
      </c>
      <c r="E129" s="349">
        <f t="array" aca="1" ref="E129" ca="1">SUM(K98:M98)+(MMULT($B162:$AL162+0,E$6:E$42+0))</f>
        <v>12811.421198748985</v>
      </c>
      <c r="F129" s="349">
        <f t="array" aca="1" ref="F129" ca="1">SUM(N98:P98)+(MMULT($B162:$AL162+0,F$6:F$42+0))</f>
        <v>16226.385946172095</v>
      </c>
      <c r="G129" s="349">
        <f t="array" aca="1" ref="G129" ca="1">SUM(Q98:S98)+(MMULT($B162:$AL162+0,G$6:G$42+0))</f>
        <v>16799.651351590037</v>
      </c>
      <c r="H129" s="479">
        <f t="array" aca="1" ref="H129" ca="1">SUM(T98:V98)+(MMULT($B162:$AL162+0,H$6:H$42+0))</f>
        <v>12830.614708692801</v>
      </c>
      <c r="I129" s="1256">
        <f t="array" aca="1" ref="I129" ca="1">SUM(W98:Y98)+(MMULT($B162:$AL162+0,I$6:I$42+0))</f>
        <v>13521.064836332585</v>
      </c>
      <c r="J129" s="349">
        <f t="array" aca="1" ref="J129" ca="1">SUM(Z98:AB98)+(MMULT($B162:$AL162+0,J$6:J$42+0))</f>
        <v>12894.886050609595</v>
      </c>
      <c r="K129" s="349">
        <f t="array" aca="1" ref="K129" ca="1">SUM(AC98:AE98)+(MMULT($B162:$AL162+0,K$6:K$42+0))</f>
        <v>13635.780537852446</v>
      </c>
      <c r="L129" s="349">
        <f t="array" aca="1" ref="L129" ca="1">SUM(AF98:AH98)+(MMULT($B162:$AL162+0,L$6:L$42+0))</f>
        <v>10418.417863103845</v>
      </c>
      <c r="M129" s="349">
        <f t="array" aca="1" ref="M129" ca="1">SUM(AI98:AK98)+(MMULT($B162:$AL162+0,M$6:M$42+0))</f>
        <v>11424.74696196422</v>
      </c>
      <c r="N129" s="349">
        <f t="array" aca="1" ref="N129" ca="1">SUM(AL98:AN98)+(MMULT($B162:$AL162+0,N$6:N$42+0))</f>
        <v>603.38043866459634</v>
      </c>
      <c r="O129" s="349">
        <f t="array" aca="1" ref="O129" ca="1">SUM(AO98:AQ98)+(MMULT($B162:$AL162+0,O$6:O$42+0))</f>
        <v>2055.6553309109017</v>
      </c>
      <c r="P129" s="349">
        <f t="array" aca="1" ref="P129" ca="1">SUM(AR98:AT98)+(MMULT($B162:$AL162+0,P$6:P$42+0))</f>
        <v>1806.2641842994187</v>
      </c>
      <c r="Q129" s="349">
        <f t="array" aca="1" ref="Q129" ca="1">SUM(AU98:AW98)+(MMULT($B162:$AL162+0,Q$6:Q$42+0))</f>
        <v>13831.568952820069</v>
      </c>
      <c r="R129" s="349">
        <f t="array" aca="1" ref="R129" ca="1">SUM(AX98:AZ98)+(MMULT($B162:$AL162+0,R$6:R$42+0))</f>
        <v>13495.650949600335</v>
      </c>
      <c r="S129" s="349">
        <f t="array" aca="1" ref="S129" ca="1">SUM(BA98:BC98)+(MMULT($B162:$AL162+0,S$6:S$42+0))</f>
        <v>36202.950609627274</v>
      </c>
      <c r="T129" s="349">
        <f t="array" aca="1" ref="T129" ca="1">SUM(BD98:BF98)+(MMULT($B162:$AL162+0,T$6:T$42+0))</f>
        <v>221.52699596812678</v>
      </c>
      <c r="U129" s="349">
        <f t="array" aca="1" ref="U129" ca="1">SUM(BG98:BI98)+(MMULT($B162:$AL162+0,U$6:U$42+0))</f>
        <v>36473.137151494062</v>
      </c>
      <c r="V129" s="349">
        <f t="array" aca="1" ref="V129" ca="1">SUM(BJ98:BL98)+(MMULT($B162:$AL162+0,V$6:V$42+0))</f>
        <v>1531.4375963404166</v>
      </c>
      <c r="W129" s="349">
        <f t="shared" si="48"/>
        <v>10.881623794628434</v>
      </c>
      <c r="X129" s="349">
        <f t="shared" si="49"/>
        <v>0</v>
      </c>
      <c r="Y129" s="349">
        <f t="array" aca="1" ref="Y129" ca="1">SUM(BS98:BU98)+(MMULT($B162:$AL162+0,X$6:X$42+0))</f>
        <v>198.84141172484306</v>
      </c>
      <c r="Z129" s="349">
        <f t="array" aca="1" ref="Z129" ca="1">SUM(BV98:BX98)+(MMULT($B162:$AL162+0,Y$6:Y$42+0))</f>
        <v>108.06532224366451</v>
      </c>
      <c r="AA129" s="349">
        <f t="array" aca="1" ref="AA129" ca="1">SUM(BY98:CA98)+(MMULT($B162:$AL162+0,Z$6:Z$42+0))</f>
        <v>12278.334532140714</v>
      </c>
      <c r="AB129" s="348">
        <f t="array" aca="1" ref="AB129" ca="1">SUM(CB98:CD98)+(MMULT($B162:$AL162+0,AA$6:AA$42+0))</f>
        <v>13217.261527124847</v>
      </c>
      <c r="AC129" s="1321"/>
      <c r="AD129" s="1321"/>
      <c r="AE129" s="1321"/>
      <c r="AF129" s="1321"/>
      <c r="AG129" s="1321"/>
      <c r="AH129" s="1321"/>
      <c r="AI129" s="1321"/>
      <c r="AJ129" s="1321"/>
      <c r="AK129" s="1321"/>
      <c r="AL129" s="1321"/>
      <c r="AM129" s="1321"/>
      <c r="AN129" s="1321"/>
      <c r="AO129" s="1321"/>
      <c r="AP129" s="1321"/>
      <c r="AQ129" s="1321"/>
      <c r="AR129" s="1321"/>
      <c r="AS129" s="1321"/>
      <c r="AT129" s="1321"/>
      <c r="AU129" s="1321"/>
      <c r="AV129" s="1321"/>
      <c r="AW129" s="1321"/>
      <c r="AX129" s="1321"/>
      <c r="AY129" s="1321"/>
      <c r="AZ129" s="1321"/>
    </row>
    <row r="130" spans="1:52">
      <c r="A130" s="291" t="s">
        <v>825</v>
      </c>
      <c r="B130" s="347">
        <f t="array" aca="1" ref="B130" ca="1">SUM(B99:D99)+(MMULT($B163:$AL163+0,B$6:B$42+0))</f>
        <v>886.02698726425149</v>
      </c>
      <c r="C130" s="349">
        <f t="array" aca="1" ref="C130" ca="1">SUM(E99:G99)+(MMULT($B163:$AL163+0,C$6:C$42+0))</f>
        <v>38.369692747273682</v>
      </c>
      <c r="D130" s="349">
        <f t="array" aca="1" ref="D130" ca="1">SUM(H99:J99)+(MMULT($B163:$AL163+0,D$6:D$42+0))</f>
        <v>3495.8248155357464</v>
      </c>
      <c r="E130" s="349">
        <f t="array" aca="1" ref="E130" ca="1">SUM(K99:M99)+(MMULT($B163:$AL163+0,E$6:E$42+0))</f>
        <v>4279.8192071254216</v>
      </c>
      <c r="F130" s="349">
        <f t="array" aca="1" ref="F130" ca="1">SUM(N99:P99)+(MMULT($B163:$AL163+0,F$6:F$42+0))</f>
        <v>3710.3815770307315</v>
      </c>
      <c r="G130" s="349">
        <f t="array" aca="1" ref="G130" ca="1">SUM(Q99:S99)+(MMULT($B163:$AL163+0,G$6:G$42+0))</f>
        <v>4481.6100666736929</v>
      </c>
      <c r="H130" s="479">
        <f t="array" aca="1" ref="H130" ca="1">SUM(T99:V99)+(MMULT($B163:$AL163+0,H$6:H$42+0))</f>
        <v>3863.4997210983734</v>
      </c>
      <c r="I130" s="1256">
        <f t="array" aca="1" ref="I130" ca="1">SUM(W99:Y99)+(MMULT($B163:$AL163+0,I$6:I$42+0))</f>
        <v>4607.7184079312192</v>
      </c>
      <c r="J130" s="349">
        <f t="array" aca="1" ref="J130" ca="1">SUM(Z99:AB99)+(MMULT($B163:$AL163+0,J$6:J$42+0))</f>
        <v>4041.4235835887407</v>
      </c>
      <c r="K130" s="349">
        <f t="array" aca="1" ref="K130" ca="1">SUM(AC99:AE99)+(MMULT($B163:$AL163+0,K$6:K$42+0))</f>
        <v>4792.900591463972</v>
      </c>
      <c r="L130" s="349">
        <f t="array" aca="1" ref="L130" ca="1">SUM(AF99:AH99)+(MMULT($B163:$AL163+0,L$6:L$42+0))</f>
        <v>4287.503434607489</v>
      </c>
      <c r="M130" s="349">
        <f t="array" aca="1" ref="M130" ca="1">SUM(AI99:AK99)+(MMULT($B163:$AL163+0,M$6:M$42+0))</f>
        <v>5148.5935042342253</v>
      </c>
      <c r="N130" s="349">
        <f t="array" aca="1" ref="N130" ca="1">SUM(AL99:AN99)+(MMULT($B163:$AL163+0,N$6:N$42+0))</f>
        <v>472.92223109657789</v>
      </c>
      <c r="O130" s="349">
        <f t="array" aca="1" ref="O130" ca="1">SUM(AO99:AQ99)+(MMULT($B163:$AL163+0,O$6:O$42+0))</f>
        <v>1464.9306314052349</v>
      </c>
      <c r="P130" s="349">
        <f t="array" aca="1" ref="P130" ca="1">SUM(AR99:AT99)+(MMULT($B163:$AL163+0,P$6:P$42+0))</f>
        <v>1368.7783372335653</v>
      </c>
      <c r="Q130" s="349">
        <f t="array" aca="1" ref="Q130" ca="1">SUM(AU99:AW99)+(MMULT($B163:$AL163+0,Q$6:Q$42+0))</f>
        <v>3857.8385168191985</v>
      </c>
      <c r="R130" s="349">
        <f t="array" aca="1" ref="R130" ca="1">SUM(AX99:AZ99)+(MMULT($B163:$AL163+0,R$6:R$42+0))</f>
        <v>4600.1197992675734</v>
      </c>
      <c r="S130" s="349">
        <f t="array" aca="1" ref="S130" ca="1">SUM(BA99:BC99)+(MMULT($B163:$AL163+0,S$6:S$42+0))</f>
        <v>5317.1267755045583</v>
      </c>
      <c r="T130" s="349">
        <f t="array" aca="1" ref="T130" ca="1">SUM(BD99:BF99)+(MMULT($B163:$AL163+0,T$6:T$42+0))</f>
        <v>143.11378392076614</v>
      </c>
      <c r="U130" s="349">
        <f t="array" aca="1" ref="U130" ca="1">SUM(BG99:BI99)+(MMULT($B163:$AL163+0,U$6:U$42+0))</f>
        <v>5564.6477974817817</v>
      </c>
      <c r="V130" s="349">
        <f t="array" aca="1" ref="V130" ca="1">SUM(BJ99:BL99)+(MMULT($B163:$AL163+0,V$6:V$42+0))</f>
        <v>1144.5031037215483</v>
      </c>
      <c r="W130" s="349">
        <f t="shared" si="48"/>
        <v>6.3200622605734607</v>
      </c>
      <c r="X130" s="349">
        <f t="shared" si="49"/>
        <v>0</v>
      </c>
      <c r="Y130" s="349">
        <f t="array" aca="1" ref="Y130" ca="1">SUM(BS99:BU99)+(MMULT($B163:$AL163+0,X$6:X$42+0))</f>
        <v>101.64669595524998</v>
      </c>
      <c r="Z130" s="349">
        <f t="array" aca="1" ref="Z130" ca="1">SUM(BV99:BX99)+(MMULT($B163:$AL163+0,Y$6:Y$42+0))</f>
        <v>61.866898591876812</v>
      </c>
      <c r="AA130" s="349">
        <f t="array" aca="1" ref="AA130" ca="1">SUM(BY99:CA99)+(MMULT($B163:$AL163+0,Z$6:Z$42+0))</f>
        <v>4471.4316612776083</v>
      </c>
      <c r="AB130" s="348">
        <f t="array" aca="1" ref="AB130" ca="1">SUM(CB99:CD99)+(MMULT($B163:$AL163+0,AA$6:AA$42+0))</f>
        <v>5339.9881259341346</v>
      </c>
      <c r="AC130" s="1321"/>
      <c r="AD130" s="1321"/>
      <c r="AE130" s="1321"/>
      <c r="AF130" s="1321"/>
      <c r="AG130" s="1321"/>
      <c r="AH130" s="1321"/>
      <c r="AI130" s="1321"/>
      <c r="AJ130" s="1321"/>
      <c r="AK130" s="1321"/>
      <c r="AL130" s="1321"/>
      <c r="AM130" s="1321"/>
      <c r="AN130" s="1321"/>
      <c r="AO130" s="1321"/>
      <c r="AP130" s="1321"/>
      <c r="AQ130" s="1321"/>
      <c r="AR130" s="1321"/>
      <c r="AS130" s="1321"/>
      <c r="AT130" s="1321"/>
      <c r="AU130" s="1321"/>
      <c r="AV130" s="1321"/>
      <c r="AW130" s="1321"/>
      <c r="AX130" s="1321"/>
      <c r="AY130" s="1321"/>
      <c r="AZ130" s="1321"/>
    </row>
    <row r="131" spans="1:52">
      <c r="A131" s="291" t="s">
        <v>826</v>
      </c>
      <c r="B131" s="347">
        <f t="array" aca="1" ref="B131" ca="1">SUM(B100:D100)+(MMULT($B164:$AL164+0,B$6:B$42+0))</f>
        <v>1473.7650230931708</v>
      </c>
      <c r="C131" s="349">
        <f t="array" aca="1" ref="C131" ca="1">SUM(E100:G100)+(MMULT($B164:$AL164+0,C$6:C$42+0))</f>
        <v>323.75248562089541</v>
      </c>
      <c r="D131" s="349">
        <f t="array" aca="1" ref="D131" ca="1">SUM(H100:J100)+(MMULT($B164:$AL164+0,D$6:D$42+0))</f>
        <v>342041.27191631572</v>
      </c>
      <c r="E131" s="349">
        <f t="array" aca="1" ref="E131" ca="1">SUM(K100:M100)+(MMULT($B164:$AL164+0,E$6:E$42+0))</f>
        <v>331266.83784727351</v>
      </c>
      <c r="F131" s="349">
        <f t="array" aca="1" ref="F131" ca="1">SUM(N100:P100)+(MMULT($B164:$AL164+0,F$6:F$42+0))</f>
        <v>290743.67495252984</v>
      </c>
      <c r="G131" s="349">
        <f t="array" aca="1" ref="G131" ca="1">SUM(Q100:S100)+(MMULT($B164:$AL164+0,G$6:G$42+0))</f>
        <v>282621.30872819235</v>
      </c>
      <c r="H131" s="479">
        <f t="array" aca="1" ref="H131" ca="1">SUM(T100:V100)+(MMULT($B164:$AL164+0,H$6:H$42+0))</f>
        <v>435154.62145602447</v>
      </c>
      <c r="I131" s="1256">
        <f t="array" aca="1" ref="I131" ca="1">SUM(W100:Y100)+(MMULT($B164:$AL164+0,I$6:I$42+0))</f>
        <v>417935.06877054833</v>
      </c>
      <c r="J131" s="349">
        <f t="array" aca="1" ref="J131" ca="1">SUM(Z100:AB100)+(MMULT($B164:$AL164+0,J$6:J$42+0))</f>
        <v>503524.26302377362</v>
      </c>
      <c r="K131" s="349">
        <f t="array" aca="1" ref="K131" ca="1">SUM(AC100:AE100)+(MMULT($B164:$AL164+0,K$6:K$42+0))</f>
        <v>484647.29332422843</v>
      </c>
      <c r="L131" s="349">
        <f t="array" aca="1" ref="L131" ca="1">SUM(AF100:AH100)+(MMULT($B164:$AL164+0,L$6:L$42+0))</f>
        <v>661694.56883080222</v>
      </c>
      <c r="M131" s="349">
        <f t="array" aca="1" ref="M131" ca="1">SUM(AI100:AK100)+(MMULT($B164:$AL164+0,M$6:M$42+0))</f>
        <v>636933.1685998484</v>
      </c>
      <c r="N131" s="349">
        <f t="array" aca="1" ref="N131" ca="1">SUM(AL100:AN100)+(MMULT($B164:$AL164+0,N$6:N$42+0))</f>
        <v>9731.1503174352802</v>
      </c>
      <c r="O131" s="349">
        <f t="array" aca="1" ref="O131" ca="1">SUM(AO100:AQ100)+(MMULT($B164:$AL164+0,O$6:O$42+0))</f>
        <v>16338.602256571965</v>
      </c>
      <c r="P131" s="349">
        <f t="array" aca="1" ref="P131" ca="1">SUM(AR100:AT100)+(MMULT($B164:$AL164+0,P$6:P$42+0))</f>
        <v>11722.050150263116</v>
      </c>
      <c r="Q131" s="349">
        <f t="array" aca="1" ref="Q131" ca="1">SUM(AU100:AW100)+(MMULT($B164:$AL164+0,Q$6:Q$42+0))</f>
        <v>195739.6704505962</v>
      </c>
      <c r="R131" s="349">
        <f t="array" aca="1" ref="R131" ca="1">SUM(AX100:AZ100)+(MMULT($B164:$AL164+0,R$6:R$42+0))</f>
        <v>172991.09831873872</v>
      </c>
      <c r="S131" s="349">
        <f t="array" aca="1" ref="S131" ca="1">SUM(BA100:BC100)+(MMULT($B164:$AL164+0,S$6:S$42+0))</f>
        <v>42880.384571794733</v>
      </c>
      <c r="T131" s="349">
        <f t="array" aca="1" ref="T131" ca="1">SUM(BD100:BF100)+(MMULT($B164:$AL164+0,T$6:T$42+0))</f>
        <v>1238.5158509454568</v>
      </c>
      <c r="U131" s="349">
        <f t="array" aca="1" ref="U131" ca="1">SUM(BG100:BI100)+(MMULT($B164:$AL164+0,U$6:U$42+0))</f>
        <v>45347.397690829741</v>
      </c>
      <c r="V131" s="349">
        <f t="array" aca="1" ref="V131" ca="1">SUM(BJ100:BL100)+(MMULT($B164:$AL164+0,V$6:V$42+0))</f>
        <v>11797.317935109046</v>
      </c>
      <c r="W131" s="349">
        <f t="shared" si="48"/>
        <v>46.849449633810963</v>
      </c>
      <c r="X131" s="349">
        <f t="shared" si="49"/>
        <v>0</v>
      </c>
      <c r="Y131" s="349">
        <f t="array" aca="1" ref="Y131" ca="1">SUM(BS100:BU100)+(MMULT($B164:$AL164+0,X$6:X$42+0))</f>
        <v>38.068851320932851</v>
      </c>
      <c r="Z131" s="349">
        <f t="array" aca="1" ref="Z131" ca="1">SUM(BV100:BX100)+(MMULT($B164:$AL164+0,Y$6:Y$42+0))</f>
        <v>1695.0289281758369</v>
      </c>
      <c r="AA131" s="349">
        <f t="array" aca="1" ref="AA131" ca="1">SUM(BY100:CA100)+(MMULT($B164:$AL164+0,Z$6:Z$42+0))</f>
        <v>673480.64077062823</v>
      </c>
      <c r="AB131" s="348">
        <f t="array" aca="1" ref="AB131" ca="1">SUM(CB100:CD100)+(MMULT($B164:$AL164+0,AA$6:AA$42+0))</f>
        <v>648624.17438623786</v>
      </c>
      <c r="AC131" s="1321"/>
      <c r="AD131" s="1321"/>
      <c r="AE131" s="1321"/>
      <c r="AF131" s="1321"/>
      <c r="AG131" s="1321"/>
      <c r="AH131" s="1321"/>
      <c r="AI131" s="1321"/>
      <c r="AJ131" s="1321"/>
      <c r="AK131" s="1321"/>
      <c r="AL131" s="1321"/>
      <c r="AM131" s="1321"/>
      <c r="AN131" s="1321"/>
      <c r="AO131" s="1321"/>
      <c r="AP131" s="1321"/>
      <c r="AQ131" s="1321"/>
      <c r="AR131" s="1321"/>
      <c r="AS131" s="1321"/>
      <c r="AT131" s="1321"/>
      <c r="AU131" s="1321"/>
      <c r="AV131" s="1321"/>
      <c r="AW131" s="1321"/>
      <c r="AX131" s="1321"/>
      <c r="AY131" s="1321"/>
      <c r="AZ131" s="1321"/>
    </row>
    <row r="132" spans="1:52">
      <c r="A132" s="483" t="s">
        <v>827</v>
      </c>
      <c r="B132" s="347">
        <f t="array" aca="1" ref="B132" ca="1">SUM(B101:D101)+(MMULT($B165:$AL165+0,B$6:B$42+0))</f>
        <v>3.1968775581914048</v>
      </c>
      <c r="C132" s="349">
        <f t="array" aca="1" ref="C132" ca="1">SUM(E101:G101)+(MMULT($B165:$AL165+0,C$6:C$42+0))</f>
        <v>6.425570767753598</v>
      </c>
      <c r="D132" s="349">
        <f t="array" aca="1" ref="D132" ca="1">SUM(H101:J101)+(MMULT($B165:$AL165+0,D$6:D$42+0))</f>
        <v>134.72365258020119</v>
      </c>
      <c r="E132" s="349">
        <f t="array" aca="1" ref="E132" ca="1">SUM(K101:M101)+(MMULT($B165:$AL165+0,E$6:E$42+0))</f>
        <v>211.52807642431557</v>
      </c>
      <c r="F132" s="349">
        <f t="array" aca="1" ref="F132" ca="1">SUM(N101:P101)+(MMULT($B165:$AL165+0,F$6:F$42+0))</f>
        <v>152.96841183398945</v>
      </c>
      <c r="G132" s="349">
        <f t="array" aca="1" ref="G132" ca="1">SUM(Q101:S101)+(MMULT($B165:$AL165+0,G$6:G$42+0))</f>
        <v>228.64637198395016</v>
      </c>
      <c r="H132" s="479">
        <f t="array" aca="1" ref="H132" ca="1">SUM(T101:V101)+(MMULT($B165:$AL165+0,H$6:H$42+0))</f>
        <v>150.52343149675011</v>
      </c>
      <c r="I132" s="1256">
        <f t="array" aca="1" ref="I132" ca="1">SUM(W101:Y101)+(MMULT($B165:$AL165+0,I$6:I$42+0))</f>
        <v>225.36187029686619</v>
      </c>
      <c r="J132" s="349">
        <f t="array" aca="1" ref="J132" ca="1">SUM(Z101:AB101)+(MMULT($B165:$AL165+0,J$6:J$42+0))</f>
        <v>159.49722291620685</v>
      </c>
      <c r="K132" s="349">
        <f t="array" aca="1" ref="K132" ca="1">SUM(AC101:AE101)+(MMULT($B165:$AL165+0,K$6:K$42+0))</f>
        <v>234.52571800432514</v>
      </c>
      <c r="L132" s="349">
        <f t="array" aca="1" ref="L132" ca="1">SUM(AF101:AH101)+(MMULT($B165:$AL165+0,L$6:L$42+0))</f>
        <v>164.35041020547641</v>
      </c>
      <c r="M132" s="349">
        <f t="array" aca="1" ref="M132" ca="1">SUM(AI101:AK101)+(MMULT($B165:$AL165+0,M$6:M$42+0))</f>
        <v>276.59550888597158</v>
      </c>
      <c r="N132" s="349">
        <f t="array" aca="1" ref="N132" ca="1">SUM(AL101:AN101)+(MMULT($B165:$AL165+0,N$6:N$42+0))</f>
        <v>60.727843076711785</v>
      </c>
      <c r="O132" s="349">
        <f t="array" aca="1" ref="O132" ca="1">SUM(AO101:AQ101)+(MMULT($B165:$AL165+0,O$6:O$42+0))</f>
        <v>145.82492969304676</v>
      </c>
      <c r="P132" s="349">
        <f t="array" aca="1" ref="P132" ca="1">SUM(AR101:AT101)+(MMULT($B165:$AL165+0,P$6:P$42+0))</f>
        <v>155.45311306000795</v>
      </c>
      <c r="Q132" s="349">
        <f t="array" aca="1" ref="Q132" ca="1">SUM(AU101:AW101)+(MMULT($B165:$AL165+0,Q$6:Q$42+0))</f>
        <v>211.35162949496313</v>
      </c>
      <c r="R132" s="349">
        <f t="array" aca="1" ref="R132" ca="1">SUM(AX101:AZ101)+(MMULT($B165:$AL165+0,R$6:R$42+0))</f>
        <v>319.83683773746179</v>
      </c>
      <c r="S132" s="349">
        <f t="array" aca="1" ref="S132" ca="1">SUM(BA101:BC101)+(MMULT($B165:$AL165+0,S$6:S$42+0))</f>
        <v>291.27825898945633</v>
      </c>
      <c r="T132" s="349">
        <f t="array" aca="1" ref="T132" ca="1">SUM(BD101:BF101)+(MMULT($B165:$AL165+0,T$6:T$42+0))</f>
        <v>11.772502511975077</v>
      </c>
      <c r="U132" s="349">
        <f t="array" aca="1" ref="U132" ca="1">SUM(BG101:BI101)+(MMULT($B165:$AL165+0,U$6:U$42+0))</f>
        <v>351.32049564946607</v>
      </c>
      <c r="V132" s="349">
        <f t="array" aca="1" ref="V132" ca="1">SUM(BJ101:BL101)+(MMULT($B165:$AL165+0,V$6:V$42+0))</f>
        <v>82.989703500364669</v>
      </c>
      <c r="W132" s="349">
        <f t="shared" si="48"/>
        <v>0.44134861013684146</v>
      </c>
      <c r="X132" s="349">
        <f t="shared" si="49"/>
        <v>0</v>
      </c>
      <c r="Y132" s="349">
        <f t="array" aca="1" ref="Y132" ca="1">SUM(BS101:BU101)+(MMULT($B165:$AL165+0,X$6:X$42+0))</f>
        <v>0.52675470526465362</v>
      </c>
      <c r="Z132" s="349">
        <f t="array" aca="1" ref="Z132" ca="1">SUM(BV101:BX101)+(MMULT($B165:$AL165+0,Y$6:Y$42+0))</f>
        <v>2.4011972193894664</v>
      </c>
      <c r="AA132" s="349">
        <f t="array" aca="1" ref="AA132" ca="1">SUM(BY101:CA101)+(MMULT($B165:$AL165+0,Z$6:Z$42+0))</f>
        <v>180.94206846127469</v>
      </c>
      <c r="AB132" s="348">
        <f t="array" aca="1" ref="AB132" ca="1">SUM(CB101:CD101)+(MMULT($B165:$AL165+0,AA$6:AA$42+0))</f>
        <v>294.164057610893</v>
      </c>
      <c r="AC132" s="1321"/>
      <c r="AD132" s="1321"/>
      <c r="AE132" s="1321"/>
      <c r="AF132" s="1321"/>
      <c r="AG132" s="1321"/>
      <c r="AH132" s="1321"/>
      <c r="AI132" s="1321"/>
      <c r="AJ132" s="1321"/>
      <c r="AK132" s="1321"/>
      <c r="AL132" s="1321"/>
      <c r="AM132" s="1321"/>
      <c r="AN132" s="1321"/>
      <c r="AO132" s="1321"/>
      <c r="AP132" s="1321"/>
      <c r="AQ132" s="1321"/>
      <c r="AR132" s="1321"/>
      <c r="AS132" s="1321"/>
      <c r="AT132" s="1321"/>
      <c r="AU132" s="1321"/>
      <c r="AV132" s="1321"/>
      <c r="AW132" s="1321"/>
      <c r="AX132" s="1321"/>
      <c r="AY132" s="1321"/>
      <c r="AZ132" s="1321"/>
    </row>
    <row r="133" spans="1:52">
      <c r="A133" s="483" t="s">
        <v>828</v>
      </c>
      <c r="B133" s="347">
        <f t="array" aca="1" ref="B133" ca="1">SUM(B102:D102)+(MMULT($B166:$AL166+0,B$6:B$42+0))</f>
        <v>11.825624287762412</v>
      </c>
      <c r="C133" s="349">
        <f t="array" aca="1" ref="C133" ca="1">SUM(E102:G102)+(MMULT($B166:$AL166+0,C$6:C$42+0))</f>
        <v>15.501705738384089</v>
      </c>
      <c r="D133" s="349">
        <f t="array" aca="1" ref="D133" ca="1">SUM(H102:J102)+(MMULT($B166:$AL166+0,D$6:D$42+0))</f>
        <v>262.99442368519715</v>
      </c>
      <c r="E133" s="349">
        <f t="array" aca="1" ref="E133" ca="1">SUM(K102:M102)+(MMULT($B166:$AL166+0,E$6:E$42+0))</f>
        <v>434.2912108897504</v>
      </c>
      <c r="F133" s="349">
        <f t="array" aca="1" ref="F133" ca="1">SUM(N102:P102)+(MMULT($B166:$AL166+0,F$6:F$42+0))</f>
        <v>276.24886308079681</v>
      </c>
      <c r="G133" s="349">
        <f t="array" aca="1" ref="G133" ca="1">SUM(Q102:S102)+(MMULT($B166:$AL166+0,G$6:G$42+0))</f>
        <v>446.50522129926196</v>
      </c>
      <c r="H133" s="479">
        <f t="array" aca="1" ref="H133" ca="1">SUM(T102:V102)+(MMULT($B166:$AL166+0,H$6:H$42+0))</f>
        <v>293.29044775343772</v>
      </c>
      <c r="I133" s="1256">
        <f t="array" aca="1" ref="I133" ca="1">SUM(W102:Y102)+(MMULT($B166:$AL166+0,I$6:I$42+0))</f>
        <v>460.82866893482509</v>
      </c>
      <c r="J133" s="349">
        <f t="array" aca="1" ref="J133" ca="1">SUM(Z102:AB102)+(MMULT($B166:$AL166+0,J$6:J$42+0))</f>
        <v>312.11929353524698</v>
      </c>
      <c r="K133" s="349">
        <f t="array" aca="1" ref="K133" ca="1">SUM(AC102:AE102)+(MMULT($B166:$AL166+0,K$6:K$42+0))</f>
        <v>479.95812309464554</v>
      </c>
      <c r="L133" s="349">
        <f t="array" aca="1" ref="L133" ca="1">SUM(AF102:AH102)+(MMULT($B166:$AL166+0,L$6:L$42+0))</f>
        <v>338.78355368152739</v>
      </c>
      <c r="M133" s="349">
        <f t="array" aca="1" ref="M133" ca="1">SUM(AI102:AK102)+(MMULT($B166:$AL166+0,M$6:M$42+0))</f>
        <v>594.64368808420397</v>
      </c>
      <c r="N133" s="349">
        <f t="array" aca="1" ref="N133" ca="1">SUM(AL102:AN102)+(MMULT($B166:$AL166+0,N$6:N$42+0))</f>
        <v>166.50229224658688</v>
      </c>
      <c r="O133" s="349">
        <f t="array" aca="1" ref="O133" ca="1">SUM(AO102:AQ102)+(MMULT($B166:$AL166+0,O$6:O$42+0))</f>
        <v>353.49752631430954</v>
      </c>
      <c r="P133" s="349">
        <f t="array" aca="1" ref="P133" ca="1">SUM(AR102:AT102)+(MMULT($B166:$AL166+0,P$6:P$42+0))</f>
        <v>323.82301781580605</v>
      </c>
      <c r="Q133" s="349">
        <f t="array" aca="1" ref="Q133" ca="1">SUM(AU102:AW102)+(MMULT($B166:$AL166+0,Q$6:Q$42+0))</f>
        <v>460.8822434312425</v>
      </c>
      <c r="R133" s="349">
        <f t="array" aca="1" ref="R133" ca="1">SUM(AX102:AZ102)+(MMULT($B166:$AL166+0,R$6:R$42+0))</f>
        <v>683.40657888948613</v>
      </c>
      <c r="S133" s="349">
        <f t="array" aca="1" ref="S133" ca="1">SUM(BA102:BC102)+(MMULT($B166:$AL166+0,S$6:S$42+0))</f>
        <v>448.25940772373576</v>
      </c>
      <c r="T133" s="349">
        <f t="array" aca="1" ref="T133" ca="1">SUM(BD102:BF102)+(MMULT($B166:$AL166+0,T$6:T$42+0))</f>
        <v>44.498678797345136</v>
      </c>
      <c r="U133" s="349">
        <f t="array" aca="1" ref="U133" ca="1">SUM(BG102:BI102)+(MMULT($B166:$AL166+0,U$6:U$42+0))</f>
        <v>586.4995058614353</v>
      </c>
      <c r="V133" s="349">
        <f t="array" aca="1" ref="V133" ca="1">SUM(BJ102:BL102)+(MMULT($B166:$AL166+0,V$6:V$42+0))</f>
        <v>170.92680709716493</v>
      </c>
      <c r="W133" s="349">
        <f t="shared" si="48"/>
        <v>1.2135657908202684</v>
      </c>
      <c r="X133" s="349">
        <f t="shared" si="49"/>
        <v>0</v>
      </c>
      <c r="Y133" s="349">
        <f t="array" aca="1" ref="Y133" ca="1">SUM(BS102:BU102)+(MMULT($B166:$AL166+0,X$6:X$42+0))</f>
        <v>1.5400151535578472</v>
      </c>
      <c r="Z133" s="349">
        <f t="array" aca="1" ref="Z133" ca="1">SUM(BV102:BX102)+(MMULT($B166:$AL166+0,Y$6:Y$42+0))</f>
        <v>7.0829336527501567</v>
      </c>
      <c r="AA133" s="349">
        <f t="array" aca="1" ref="AA133" ca="1">SUM(BY102:CA102)+(MMULT($B166:$AL166+0,Z$6:Z$42+0))</f>
        <v>363.81164298773564</v>
      </c>
      <c r="AB133" s="348">
        <f t="array" aca="1" ref="AB133" ca="1">SUM(CB102:CD102)+(MMULT($B166:$AL166+0,AA$6:AA$42+0))</f>
        <v>622.11889865230648</v>
      </c>
      <c r="AC133" s="1321"/>
      <c r="AD133" s="1321"/>
      <c r="AE133" s="1321"/>
      <c r="AF133" s="1321"/>
      <c r="AG133" s="1321"/>
      <c r="AH133" s="1321"/>
      <c r="AI133" s="1321"/>
      <c r="AJ133" s="1321"/>
      <c r="AK133" s="1321"/>
      <c r="AL133" s="1321"/>
      <c r="AM133" s="1321"/>
      <c r="AN133" s="1321"/>
      <c r="AO133" s="1321"/>
      <c r="AP133" s="1321"/>
      <c r="AQ133" s="1321"/>
      <c r="AR133" s="1321"/>
      <c r="AS133" s="1321"/>
      <c r="AT133" s="1321"/>
      <c r="AU133" s="1321"/>
      <c r="AV133" s="1321"/>
      <c r="AW133" s="1321"/>
      <c r="AX133" s="1321"/>
      <c r="AY133" s="1321"/>
      <c r="AZ133" s="1321"/>
    </row>
    <row r="134" spans="1:52">
      <c r="A134" s="291" t="s">
        <v>829</v>
      </c>
      <c r="B134" s="347">
        <f t="array" aca="1" ref="B134" ca="1">SUM(B103:D103)+(MMULT($B167:$AL167+0,B$6:B$42+0))</f>
        <v>957.98000045708648</v>
      </c>
      <c r="C134" s="349">
        <f t="array" aca="1" ref="C134" ca="1">SUM(E103:G103)+(MMULT($B167:$AL167+0,C$6:C$42+0))</f>
        <v>3232.8095469897953</v>
      </c>
      <c r="D134" s="349">
        <f t="array" aca="1" ref="D134" ca="1">SUM(H103:J103)+(MMULT($B167:$AL167+0,D$6:D$42+0))</f>
        <v>27113.284415516791</v>
      </c>
      <c r="E134" s="349">
        <f t="array" aca="1" ref="E134" ca="1">SUM(K103:M103)+(MMULT($B167:$AL167+0,E$6:E$42+0))</f>
        <v>37452.413221064649</v>
      </c>
      <c r="F134" s="349">
        <f t="array" aca="1" ref="F134" ca="1">SUM(N103:P103)+(MMULT($B167:$AL167+0,F$6:F$42+0))</f>
        <v>28385.072393292954</v>
      </c>
      <c r="G134" s="349">
        <f t="array" aca="1" ref="G134" ca="1">SUM(Q103:S103)+(MMULT($B167:$AL167+0,G$6:G$42+0))</f>
        <v>38646.078261084964</v>
      </c>
      <c r="H134" s="479">
        <f t="array" aca="1" ref="H134" ca="1">SUM(T103:V103)+(MMULT($B167:$AL167+0,H$6:H$42+0))</f>
        <v>29699.791338731789</v>
      </c>
      <c r="I134" s="1256">
        <f t="array" aca="1" ref="I134" ca="1">SUM(W103:Y103)+(MMULT($B167:$AL167+0,I$6:I$42+0))</f>
        <v>39747.389377807092</v>
      </c>
      <c r="J134" s="349">
        <f t="array" aca="1" ref="J134" ca="1">SUM(Z103:AB103)+(MMULT($B167:$AL167+0,J$6:J$42+0))</f>
        <v>31297.747522018595</v>
      </c>
      <c r="K134" s="349">
        <f t="array" aca="1" ref="K134" ca="1">SUM(AC103:AE103)+(MMULT($B167:$AL167+0,K$6:K$42+0))</f>
        <v>41389.394326360394</v>
      </c>
      <c r="L134" s="349">
        <f t="array" aca="1" ref="L134" ca="1">SUM(AF103:AH103)+(MMULT($B167:$AL167+0,L$6:L$42+0))</f>
        <v>33462.882603198144</v>
      </c>
      <c r="M134" s="349">
        <f t="array" aca="1" ref="M134" ca="1">SUM(AI103:AK103)+(MMULT($B167:$AL167+0,M$6:M$42+0))</f>
        <v>47009.943049741902</v>
      </c>
      <c r="N134" s="349">
        <f t="array" aca="1" ref="N134" ca="1">SUM(AL103:AN103)+(MMULT($B167:$AL167+0,N$6:N$42+0))</f>
        <v>19235.006068033537</v>
      </c>
      <c r="O134" s="349">
        <f t="array" aca="1" ref="O134" ca="1">SUM(AO103:AQ103)+(MMULT($B167:$AL167+0,O$6:O$42+0))</f>
        <v>30753.15851841426</v>
      </c>
      <c r="P134" s="349">
        <f t="array" aca="1" ref="P134" ca="1">SUM(AR103:AT103)+(MMULT($B167:$AL167+0,P$6:P$42+0))</f>
        <v>16912.373925687993</v>
      </c>
      <c r="Q134" s="349">
        <f t="array" aca="1" ref="Q134" ca="1">SUM(AU103:AW103)+(MMULT($B167:$AL167+0,Q$6:Q$42+0))</f>
        <v>15388.77610168096</v>
      </c>
      <c r="R134" s="349">
        <f t="array" aca="1" ref="R134" ca="1">SUM(AX103:AZ103)+(MMULT($B167:$AL167+0,R$6:R$42+0))</f>
        <v>21759.957074982707</v>
      </c>
      <c r="S134" s="349">
        <f t="array" aca="1" ref="S134" ca="1">SUM(BA103:BC103)+(MMULT($B167:$AL167+0,S$6:S$42+0))</f>
        <v>37347.738370816085</v>
      </c>
      <c r="T134" s="349">
        <f t="array" aca="1" ref="T134" ca="1">SUM(BD103:BF103)+(MMULT($B167:$AL167+0,T$6:T$42+0))</f>
        <v>4221.7122987434068</v>
      </c>
      <c r="U134" s="349">
        <f t="array" aca="1" ref="U134" ca="1">SUM(BG103:BI103)+(MMULT($B167:$AL167+0,U$6:U$42+0))</f>
        <v>46331.991887855103</v>
      </c>
      <c r="V134" s="349">
        <f t="array" aca="1" ref="V134" ca="1">SUM(BJ103:BL103)+(MMULT($B167:$AL167+0,V$6:V$42+0))</f>
        <v>7240.946409343248</v>
      </c>
      <c r="W134" s="349">
        <f t="shared" si="48"/>
        <v>138.22840849595005</v>
      </c>
      <c r="X134" s="349">
        <f t="shared" si="49"/>
        <v>0</v>
      </c>
      <c r="Y134" s="349">
        <f t="array" aca="1" ref="Y134" ca="1">SUM(BS103:BU103)+(MMULT($B167:$AL167+0,X$6:X$42+0))</f>
        <v>84.181318331006509</v>
      </c>
      <c r="Z134" s="349">
        <f t="array" aca="1" ref="Z134" ca="1">SUM(BV103:BX103)+(MMULT($B167:$AL167+0,Y$6:Y$42+0))</f>
        <v>88.168328879056929</v>
      </c>
      <c r="AA134" s="349">
        <f t="array" aca="1" ref="AA134" ca="1">SUM(BY103:CA103)+(MMULT($B167:$AL167+0,Z$6:Z$42+0))</f>
        <v>36815.1577275987</v>
      </c>
      <c r="AB134" s="348">
        <f t="array" aca="1" ref="AB134" ca="1">SUM(CB103:CD103)+(MMULT($B167:$AL167+0,AA$6:AA$42+0))</f>
        <v>50360.661255550316</v>
      </c>
      <c r="AC134" s="1321"/>
      <c r="AD134" s="1321"/>
      <c r="AE134" s="1321"/>
      <c r="AF134" s="1321"/>
      <c r="AG134" s="1321"/>
      <c r="AH134" s="1321"/>
      <c r="AI134" s="1321"/>
      <c r="AJ134" s="1321"/>
      <c r="AK134" s="1321"/>
      <c r="AL134" s="1321"/>
      <c r="AM134" s="1321"/>
      <c r="AN134" s="1321"/>
      <c r="AO134" s="1321"/>
      <c r="AP134" s="1321"/>
      <c r="AQ134" s="1321"/>
      <c r="AR134" s="1321"/>
      <c r="AS134" s="1321"/>
      <c r="AT134" s="1321"/>
      <c r="AU134" s="1321"/>
      <c r="AV134" s="1321"/>
      <c r="AW134" s="1321"/>
      <c r="AX134" s="1321"/>
      <c r="AY134" s="1321"/>
      <c r="AZ134" s="1321"/>
    </row>
    <row r="135" spans="1:52">
      <c r="A135" s="291" t="s">
        <v>830</v>
      </c>
      <c r="B135" s="347">
        <f t="array" aca="1" ref="B135" ca="1">SUM(B104:D104)+(MMULT($B168:$AL168+0,B$6:B$42+0))</f>
        <v>8.4446937027370943</v>
      </c>
      <c r="C135" s="349">
        <f t="array" aca="1" ref="C135" ca="1">SUM(E104:G104)+(MMULT($B168:$AL168+0,C$6:C$42+0))</f>
        <v>21.753200150026949</v>
      </c>
      <c r="D135" s="349">
        <f t="array" aca="1" ref="D135" ca="1">SUM(H104:J104)+(MMULT($B168:$AL168+0,D$6:D$42+0))</f>
        <v>712.353835776869</v>
      </c>
      <c r="E135" s="349">
        <f t="array" aca="1" ref="E135" ca="1">SUM(K104:M104)+(MMULT($B168:$AL168+0,E$6:E$42+0))</f>
        <v>760.23265129630613</v>
      </c>
      <c r="F135" s="349">
        <f t="array" aca="1" ref="F135" ca="1">SUM(N104:P104)+(MMULT($B168:$AL168+0,F$6:F$42+0))</f>
        <v>650.93042900361479</v>
      </c>
      <c r="G135" s="349">
        <f t="array" aca="1" ref="G135" ca="1">SUM(Q104:S104)+(MMULT($B168:$AL168+0,G$6:G$42+0))</f>
        <v>701.9561899725669</v>
      </c>
      <c r="H135" s="479">
        <f t="array" aca="1" ref="H135" ca="1">SUM(T104:V104)+(MMULT($B168:$AL168+0,H$6:H$42+0))</f>
        <v>863.26038729645313</v>
      </c>
      <c r="I135" s="1256">
        <f t="array" aca="1" ref="I135" ca="1">SUM(W104:Y104)+(MMULT($B168:$AL168+0,I$6:I$42+0))</f>
        <v>899.91437254753191</v>
      </c>
      <c r="J135" s="349">
        <f t="array" aca="1" ref="J135" ca="1">SUM(Z104:AB104)+(MMULT($B168:$AL168+0,J$6:J$42+0))</f>
        <v>971.72180687172465</v>
      </c>
      <c r="K135" s="349">
        <f t="array" aca="1" ref="K135" ca="1">SUM(AC104:AE104)+(MMULT($B168:$AL168+0,K$6:K$42+0))</f>
        <v>1006.4723538882857</v>
      </c>
      <c r="L135" s="349">
        <f t="array" aca="1" ref="L135" ca="1">SUM(AF104:AH104)+(MMULT($B168:$AL168+0,L$6:L$42+0))</f>
        <v>1210.1818600071556</v>
      </c>
      <c r="M135" s="349">
        <f t="array" aca="1" ref="M135" ca="1">SUM(AI104:AK104)+(MMULT($B168:$AL168+0,M$6:M$42+0))</f>
        <v>1279.750919144805</v>
      </c>
      <c r="N135" s="349">
        <f t="array" aca="1" ref="N135" ca="1">SUM(AL104:AN104)+(MMULT($B168:$AL168+0,N$6:N$42+0))</f>
        <v>172.21966773230017</v>
      </c>
      <c r="O135" s="349">
        <f t="array" aca="1" ref="O135" ca="1">SUM(AO104:AQ104)+(MMULT($B168:$AL168+0,O$6:O$42+0))</f>
        <v>253.6662650013792</v>
      </c>
      <c r="P135" s="349">
        <f t="array" aca="1" ref="P135" ca="1">SUM(AR104:AT104)+(MMULT($B168:$AL168+0,P$6:P$42+0))</f>
        <v>153.05871492909819</v>
      </c>
      <c r="Q135" s="349">
        <f t="array" aca="1" ref="Q135" ca="1">SUM(AU104:AW104)+(MMULT($B168:$AL168+0,Q$6:Q$42+0))</f>
        <v>390.3858536838477</v>
      </c>
      <c r="R135" s="349">
        <f t="array" aca="1" ref="R135" ca="1">SUM(AX104:AZ104)+(MMULT($B168:$AL168+0,R$6:R$42+0))</f>
        <v>378.24447204407596</v>
      </c>
      <c r="S135" s="349">
        <f t="array" aca="1" ref="S135" ca="1">SUM(BA104:BC104)+(MMULT($B168:$AL168+0,S$6:S$42+0))</f>
        <v>342.74959924574125</v>
      </c>
      <c r="T135" s="349">
        <f t="array" aca="1" ref="T135" ca="1">SUM(BD104:BF104)+(MMULT($B168:$AL168+0,T$6:T$42+0))</f>
        <v>38.573364226581234</v>
      </c>
      <c r="U135" s="349">
        <f t="array" aca="1" ref="U135" ca="1">SUM(BG104:BI104)+(MMULT($B168:$AL168+0,U$6:U$42+0))</f>
        <v>445.79224978429039</v>
      </c>
      <c r="V135" s="349">
        <f t="array" aca="1" ref="V135" ca="1">SUM(BJ104:BL104)+(MMULT($B168:$AL168+0,V$6:V$42+0))</f>
        <v>53.014809430317634</v>
      </c>
      <c r="W135" s="349">
        <f t="shared" si="48"/>
        <v>1.3644903874242629</v>
      </c>
      <c r="X135" s="349">
        <f t="shared" si="49"/>
        <v>0</v>
      </c>
      <c r="Y135" s="349">
        <f t="array" aca="1" ref="Y135" ca="1">SUM(BS104:BU104)+(MMULT($B168:$AL168+0,X$6:X$42+0))</f>
        <v>0.7838897711728563</v>
      </c>
      <c r="Z135" s="349">
        <f t="array" aca="1" ref="Z135" ca="1">SUM(BV104:BX104)+(MMULT($B168:$AL168+0,Y$6:Y$42+0))</f>
        <v>1.1359829113783921</v>
      </c>
      <c r="AA135" s="349">
        <f t="array" aca="1" ref="AA135" ca="1">SUM(BY104:CA104)+(MMULT($B168:$AL168+0,Z$6:Z$42+0))</f>
        <v>1250.4952498038156</v>
      </c>
      <c r="AB135" s="348">
        <f t="array" aca="1" ref="AB135" ca="1">SUM(CB104:CD104)+(MMULT($B168:$AL168+0,AA$6:AA$42+0))</f>
        <v>1319.9619666345634</v>
      </c>
      <c r="AC135" s="1321"/>
      <c r="AD135" s="1321"/>
      <c r="AE135" s="1321"/>
      <c r="AF135" s="1321"/>
      <c r="AG135" s="1321"/>
      <c r="AH135" s="1321"/>
      <c r="AI135" s="1321"/>
      <c r="AJ135" s="1321"/>
      <c r="AK135" s="1321"/>
      <c r="AL135" s="1321"/>
      <c r="AM135" s="1321"/>
      <c r="AN135" s="1321"/>
      <c r="AO135" s="1321"/>
      <c r="AP135" s="1321"/>
      <c r="AQ135" s="1321"/>
      <c r="AR135" s="1321"/>
      <c r="AS135" s="1321"/>
      <c r="AT135" s="1321"/>
      <c r="AU135" s="1321"/>
      <c r="AV135" s="1321"/>
      <c r="AW135" s="1321"/>
      <c r="AX135" s="1321"/>
      <c r="AY135" s="1321"/>
      <c r="AZ135" s="1321"/>
    </row>
    <row r="136" spans="1:52">
      <c r="A136" s="291" t="s">
        <v>831</v>
      </c>
      <c r="B136" s="1565">
        <f t="array" aca="1" ref="B136" ca="1">SUM(B105:D105)+(MMULT($B169:$AL169+0,B$6:B$42+0))</f>
        <v>726269.1462451407</v>
      </c>
      <c r="C136" s="1566">
        <f t="array" aca="1" ref="C136" ca="1">SUM(E105:G105)+(MMULT($B169:$AL169+0,C$6:C$42+0))</f>
        <v>1047994.9020828791</v>
      </c>
      <c r="D136" s="1566">
        <f t="array" aca="1" ref="D136" ca="1">SUM(H105:J105)+(MMULT($B169:$AL169+0,D$6:D$42+0))</f>
        <v>11575711.882295903</v>
      </c>
      <c r="E136" s="1566">
        <f t="array" aca="1" ref="E136" ca="1">SUM(K105:M105)+(MMULT($B169:$AL169+0,E$6:E$42+0))</f>
        <v>17910977.499665935</v>
      </c>
      <c r="F136" s="1566">
        <f t="array" aca="1" ref="F136" ca="1">SUM(N105:P105)+(MMULT($B169:$AL169+0,F$6:F$42+0))</f>
        <v>11941207.806236908</v>
      </c>
      <c r="G136" s="1566">
        <f t="array" aca="1" ref="G136" ca="1">SUM(Q105:S105)+(MMULT($B169:$AL169+0,G$6:G$42+0))</f>
        <v>18246809.030786589</v>
      </c>
      <c r="H136" s="158">
        <f t="array" aca="1" ref="H136" ca="1">SUM(T105:V105)+(MMULT($B169:$AL169+0,H$6:H$42+0))</f>
        <v>12915811.277582884</v>
      </c>
      <c r="I136" s="1291">
        <f t="array" aca="1" ref="I136" ca="1">SUM(W105:Y105)+(MMULT($B169:$AL169+0,I$6:I$42+0))</f>
        <v>19098987.068901561</v>
      </c>
      <c r="J136" s="1566">
        <f t="array" aca="1" ref="J136" ca="1">SUM(Z105:AB105)+(MMULT($B169:$AL169+0,J$6:J$42+0))</f>
        <v>13756208.918702088</v>
      </c>
      <c r="K136" s="1566">
        <f t="array" aca="1" ref="K136" ca="1">SUM(AC105:AE105)+(MMULT($B169:$AL169+0,K$6:K$42+0))</f>
        <v>19951621.5375081</v>
      </c>
      <c r="L136" s="1566">
        <f t="array" aca="1" ref="L136" ca="1">SUM(AF105:AH105)+(MMULT($B169:$AL169+0,L$6:L$42+0))</f>
        <v>15105388.764481042</v>
      </c>
      <c r="M136" s="1566">
        <f t="array" aca="1" ref="M136" ca="1">SUM(AI105:AK105)+(MMULT($B169:$AL169+0,M$6:M$42+0))</f>
        <v>22457115.100377455</v>
      </c>
      <c r="N136" s="1566">
        <f t="array" aca="1" ref="N136" ca="1">SUM(AL105:AN105)+(MMULT($B169:$AL169+0,N$6:N$42+0))</f>
        <v>6907573.340273791</v>
      </c>
      <c r="O136" s="1566">
        <f t="array" aca="1" ref="O136" ca="1">SUM(AO105:AQ105)+(MMULT($B169:$AL169+0,O$6:O$42+0))</f>
        <v>13896307.872653693</v>
      </c>
      <c r="P136" s="1566">
        <f t="array" aca="1" ref="P136" ca="1">SUM(AR105:AT105)+(MMULT($B169:$AL169+0,P$6:P$42+0))</f>
        <v>8036497.5310169151</v>
      </c>
      <c r="Q136" s="1566">
        <f t="array" aca="1" ref="Q136" ca="1">SUM(AU105:AW105)+(MMULT($B169:$AL169+0,Q$6:Q$42+0))</f>
        <v>7155588.6226736698</v>
      </c>
      <c r="R136" s="1566">
        <f t="array" aca="1" ref="R136" ca="1">SUM(AX105:AZ105)+(MMULT($B169:$AL169+0,R$6:R$42+0))</f>
        <v>12272861.432490807</v>
      </c>
      <c r="S136" s="1566">
        <f t="array" aca="1" ref="S136" ca="1">SUM(BA105:BC105)+(MMULT($B169:$AL169+0,S$6:S$42+0))</f>
        <v>17909737.110830218</v>
      </c>
      <c r="T136" s="1566">
        <f t="array" aca="1" ref="T136" ca="1">SUM(BD105:BF105)+(MMULT($B169:$AL169+0,T$6:T$42+0))</f>
        <v>1875803.9403393925</v>
      </c>
      <c r="U136" s="1566">
        <f t="array" aca="1" ref="U136" ca="1">SUM(BG105:BI105)+(MMULT($B169:$AL169+0,U$6:U$42+0))</f>
        <v>20326810.844807137</v>
      </c>
      <c r="V136" s="1566">
        <f t="array" aca="1" ref="V136" ca="1">SUM(BJ105:BL105)+(MMULT($B169:$AL169+0,V$6:V$42+0))</f>
        <v>4034723.6921157348</v>
      </c>
      <c r="W136" s="246">
        <f t="shared" si="48"/>
        <v>73683.455925022688</v>
      </c>
      <c r="X136" s="246">
        <f t="shared" si="49"/>
        <v>0</v>
      </c>
      <c r="Y136" s="1566">
        <f t="array" aca="1" ref="Y136" ca="1">SUM(BS105:BU105)+(MMULT($B169:$AL169+0,X$6:X$42+0))</f>
        <v>38274.65533356063</v>
      </c>
      <c r="Z136" s="1566">
        <f t="array" aca="1" ref="Z136" ca="1">SUM(BV105:BX105)+(MMULT($B169:$AL169+0,Y$6:Y$42+0))</f>
        <v>49569.939011101858</v>
      </c>
      <c r="AA136" s="1566">
        <f t="array" aca="1" ref="AA136" ca="1">SUM(BY105:CA105)+(MMULT($B169:$AL169+0,Z$6:Z$42+0))</f>
        <v>16318471.163448509</v>
      </c>
      <c r="AB136" s="1560">
        <f t="array" aca="1" ref="AB136" ca="1">SUM(CB105:CD105)+(MMULT($B169:$AL169+0,AA$6:AA$42+0))</f>
        <v>23704437.357286651</v>
      </c>
      <c r="AC136" s="1321"/>
      <c r="AD136" s="1321"/>
      <c r="AE136" s="1321"/>
      <c r="AF136" s="1321"/>
      <c r="AG136" s="1321"/>
      <c r="AH136" s="1321"/>
      <c r="AI136" s="1321"/>
      <c r="AJ136" s="1321"/>
      <c r="AK136" s="1321"/>
      <c r="AL136" s="1321"/>
      <c r="AM136" s="1321"/>
      <c r="AN136" s="1321"/>
      <c r="AO136" s="1321"/>
      <c r="AP136" s="1321"/>
      <c r="AQ136" s="1321"/>
      <c r="AR136" s="1321"/>
      <c r="AS136" s="1321"/>
      <c r="AT136" s="1321"/>
      <c r="AU136" s="1321"/>
      <c r="AV136" s="1321"/>
      <c r="AW136" s="1321"/>
      <c r="AX136" s="1321"/>
      <c r="AY136" s="1321"/>
      <c r="AZ136" s="1321"/>
    </row>
    <row r="137" spans="1:52">
      <c r="A137" s="291" t="s">
        <v>850</v>
      </c>
      <c r="B137" s="1565">
        <f ca="1">B136+B126*GREET1_Import_Export!$B$62/GREET1_Import_Export!$B$65+B127*GREET1_Import_Export!$B$63/GREET1_Import_Export!$B$65</f>
        <v>726889.48546253215</v>
      </c>
      <c r="C137" s="1566">
        <f ca="1">C136+C126*GREET1_Import_Export!$B$62/GREET1_Import_Export!$B$65+C127*GREET1_Import_Export!$B$63/GREET1_Import_Export!$B$65</f>
        <v>1058728.1098511021</v>
      </c>
      <c r="D137" s="1566">
        <f ca="1">D136+D126*GREET1_Import_Export!$B$62/GREET1_Import_Export!$B$65+D127*GREET1_Import_Export!$B$63/GREET1_Import_Export!$B$65</f>
        <v>11600749.770531366</v>
      </c>
      <c r="E137" s="1566">
        <f ca="1">E136+E126*GREET1_Import_Export!$B$62/GREET1_Import_Export!$B$65+E127*GREET1_Import_Export!$B$63/GREET1_Import_Export!$B$65</f>
        <v>17943966.748707563</v>
      </c>
      <c r="F137" s="1566">
        <f ca="1">F136+F126*GREET1_Import_Export!$B$62/GREET1_Import_Export!$B$65+F127*GREET1_Import_Export!$B$63/GREET1_Import_Export!$B$65</f>
        <v>11966191.718098653</v>
      </c>
      <c r="G137" s="1566">
        <f ca="1">G136+G126*GREET1_Import_Export!$B$62/GREET1_Import_Export!$B$65+G127*GREET1_Import_Export!$B$63/GREET1_Import_Export!$B$65</f>
        <v>18279730.275463469</v>
      </c>
      <c r="H137" s="158">
        <f ca="1">H136+H126*GREET1_Import_Export!$B$62/GREET1_Import_Export!$B$65+H127*GREET1_Import_Export!$B$63/GREET1_Import_Export!$B$65</f>
        <v>12944539.047554761</v>
      </c>
      <c r="I137" s="1291">
        <f ca="1">I136+I126*GREET1_Import_Export!$B$62/GREET1_Import_Export!$B$65+I127*GREET1_Import_Export!$B$63/GREET1_Import_Export!$B$65</f>
        <v>19135313.093973342</v>
      </c>
      <c r="J137" s="1566">
        <f ca="1">J136+J126*GREET1_Import_Export!$B$62/GREET1_Import_Export!$B$65+J127*GREET1_Import_Export!$B$63/GREET1_Import_Export!$B$65</f>
        <v>13787431.831203751</v>
      </c>
      <c r="K137" s="1566">
        <f ca="1">K136+K126*GREET1_Import_Export!$B$62/GREET1_Import_Export!$B$65+K127*GREET1_Import_Export!$B$63/GREET1_Import_Export!$B$65</f>
        <v>19990437.44808672</v>
      </c>
      <c r="L137" s="1566">
        <f ca="1">L136+L126*GREET1_Import_Export!$B$62/GREET1_Import_Export!$B$65+L127*GREET1_Import_Export!$B$63/GREET1_Import_Export!$B$65</f>
        <v>15141249.433876276</v>
      </c>
      <c r="M137" s="1566">
        <f ca="1">M136+M126*GREET1_Import_Export!$B$62/GREET1_Import_Export!$B$65+M127*GREET1_Import_Export!$B$63/GREET1_Import_Export!$B$65</f>
        <v>22501583.572168469</v>
      </c>
      <c r="N137" s="1566">
        <f ca="1">N136+N126*GREET1_Import_Export!$B$62/GREET1_Import_Export!$B$65+N127*GREET1_Import_Export!$B$63/GREET1_Import_Export!$B$65</f>
        <v>6918667.2533316975</v>
      </c>
      <c r="O137" s="1566">
        <f ca="1">O136+O126*GREET1_Import_Export!$B$62/GREET1_Import_Export!$B$65+O127*GREET1_Import_Export!$B$63/GREET1_Import_Export!$B$65</f>
        <v>13916600.667857582</v>
      </c>
      <c r="P137" s="1566">
        <f ca="1">P136+P126*GREET1_Import_Export!$B$62/GREET1_Import_Export!$B$65+P127*GREET1_Import_Export!$B$63/GREET1_Import_Export!$B$65</f>
        <v>8049784.6188420868</v>
      </c>
      <c r="Q137" s="1566">
        <f ca="1">Q136+Q126*GREET1_Import_Export!$B$62/GREET1_Import_Export!$B$65+Q127*GREET1_Import_Export!$B$63/GREET1_Import_Export!$B$65</f>
        <v>7176090.8677855162</v>
      </c>
      <c r="R137" s="1566">
        <f ca="1">R136+R126*GREET1_Import_Export!$B$62/GREET1_Import_Export!$B$65+R127*GREET1_Import_Export!$B$63/GREET1_Import_Export!$B$65</f>
        <v>12301044.56415594</v>
      </c>
      <c r="S137" s="1566">
        <f ca="1">S136+S126*GREET1_Import_Export!$B$62/GREET1_Import_Export!$B$65+S127*GREET1_Import_Export!$B$63/GREET1_Import_Export!$B$65</f>
        <v>17941870.785712305</v>
      </c>
      <c r="T137" s="1566">
        <f ca="1">T136+T126*GREET1_Import_Export!$B$62/GREET1_Import_Export!$B$65+T127*GREET1_Import_Export!$B$63/GREET1_Import_Export!$B$65</f>
        <v>1877560.6175213724</v>
      </c>
      <c r="U137" s="1566">
        <f ca="1">U136+U126*GREET1_Import_Export!$B$62/GREET1_Import_Export!$B$65+U127*GREET1_Import_Export!$B$63/GREET1_Import_Export!$B$65</f>
        <v>20359232.623072118</v>
      </c>
      <c r="V137" s="1566">
        <f ca="1">V136+V126*GREET1_Import_Export!$B$62/GREET1_Import_Export!$B$65+V127*GREET1_Import_Export!$B$63/GREET1_Import_Export!$B$65</f>
        <v>4045188.4756825371</v>
      </c>
      <c r="W137" s="246">
        <f>W136+W126*GREET1_Import_Export!$B$62/GREET1_Import_Export!$B$65+W127*GREET1_Import_Export!$B$63/GREET1_Import_Export!$B$65</f>
        <v>73748.170386723054</v>
      </c>
      <c r="X137" s="246">
        <f>X136+X126*GREET1_Import_Export!$B$62/GREET1_Import_Export!$B$65+X127*GREET1_Import_Export!$B$63/GREET1_Import_Export!$B$65</f>
        <v>0</v>
      </c>
      <c r="Y137" s="1566">
        <f ca="1">Y136+Y126*GREET1_Import_Export!$B$62/GREET1_Import_Export!$B$65+Y127*GREET1_Import_Export!$B$63/GREET1_Import_Export!$B$65</f>
        <v>38320.880240748855</v>
      </c>
      <c r="Z137" s="1566">
        <f ca="1">Z136+Z126*GREET1_Import_Export!$B$62/GREET1_Import_Export!$B$65+Z127*GREET1_Import_Export!$B$63/GREET1_Import_Export!$B$65</f>
        <v>49684.035780865459</v>
      </c>
      <c r="AA137" s="1566">
        <f ca="1">AA136+AA126*GREET1_Import_Export!$B$62/GREET1_Import_Export!$B$65+AA127*GREET1_Import_Export!$B$63/GREET1_Import_Export!$B$65</f>
        <v>16362366.031173643</v>
      </c>
      <c r="AB137" s="1560">
        <f ca="1">AB136+AB126*GREET1_Import_Export!$B$62/GREET1_Import_Export!$B$65+AB127*GREET1_Import_Export!$B$63/GREET1_Import_Export!$B$65</f>
        <v>23756686.161805104</v>
      </c>
      <c r="AC137" s="1321"/>
      <c r="AD137" s="1321"/>
      <c r="AE137" s="1321"/>
      <c r="AF137" s="1321"/>
      <c r="AG137" s="1321"/>
      <c r="AH137" s="1321"/>
      <c r="AI137" s="1321"/>
      <c r="AJ137" s="1321"/>
      <c r="AK137" s="1321"/>
      <c r="AL137" s="1321"/>
      <c r="AM137" s="1321"/>
      <c r="AN137" s="1321"/>
      <c r="AO137" s="1321"/>
      <c r="AP137" s="1321"/>
      <c r="AQ137" s="1321"/>
      <c r="AR137" s="1321"/>
      <c r="AS137" s="1321"/>
      <c r="AT137" s="1321"/>
      <c r="AU137" s="1321"/>
      <c r="AV137" s="1321"/>
      <c r="AW137" s="1321"/>
      <c r="AX137" s="1321"/>
      <c r="AY137" s="1321"/>
      <c r="AZ137" s="1321"/>
    </row>
    <row r="138" spans="1:52">
      <c r="A138" s="292" t="s">
        <v>851</v>
      </c>
      <c r="B138" s="1567">
        <f ca="1">B137+SUMPRODUCT(B134:B135,GREET1_Import_Export!$B$51:$B$52)+SUMPRODUCT(B126:B128,GREET1_Import_Export!$B$55:$B$57)+SUMPRODUCT(B132:B133,GREET1_Import_Export!$B$58:$B$59)</f>
        <v>757866.72930747003</v>
      </c>
      <c r="C138" s="1344">
        <f ca="1">C137+SUMPRODUCT(C134:C135,GREET1_Import_Export!$B$51:$B$52)+SUMPRODUCT(C126:C128,GREET1_Import_Export!$B$55:$B$57)+SUMPRODUCT(C132:C133,GREET1_Import_Export!$B$58:$B$59)</f>
        <v>1161476.9943005531</v>
      </c>
      <c r="D138" s="1344">
        <f ca="1">D137+SUMPRODUCT(D134:D135,GREET1_Import_Export!$B$51:$B$52)+SUMPRODUCT(D126:D128,GREET1_Import_Export!$B$55:$B$57)+SUMPRODUCT(D132:D133,GREET1_Import_Export!$B$58:$B$59)</f>
        <v>12602922.069477741</v>
      </c>
      <c r="E138" s="1344">
        <f ca="1">E137+SUMPRODUCT(E134:E135,GREET1_Import_Export!$B$51:$B$52)+SUMPRODUCT(E126:E128,GREET1_Import_Export!$B$55:$B$57)+SUMPRODUCT(E132:E133,GREET1_Import_Export!$B$58:$B$59)</f>
        <v>19269000.797933023</v>
      </c>
      <c r="F138" s="1344">
        <f ca="1">F137+SUMPRODUCT(F134:F135,GREET1_Import_Export!$B$51:$B$52)+SUMPRODUCT(F126:F128,GREET1_Import_Export!$B$55:$B$57)+SUMPRODUCT(F132:F133,GREET1_Import_Export!$B$58:$B$59)</f>
        <v>12990240.453583401</v>
      </c>
      <c r="G138" s="1344">
        <f ca="1">G137+SUMPRODUCT(G134:G135,GREET1_Import_Export!$B$51:$B$52)+SUMPRODUCT(G126:G128,GREET1_Import_Export!$B$55:$B$57)+SUMPRODUCT(G132:G133,GREET1_Import_Export!$B$58:$B$59)</f>
        <v>19625131.01363875</v>
      </c>
      <c r="H138" s="138">
        <f ca="1">H137+SUMPRODUCT(H134:H135,GREET1_Import_Export!$B$51:$B$52)+SUMPRODUCT(H126:H128,GREET1_Import_Export!$B$55:$B$57)+SUMPRODUCT(H132:H133,GREET1_Import_Export!$B$58:$B$59)</f>
        <v>14064296.790350275</v>
      </c>
      <c r="I138" s="1292">
        <f ca="1">I137+SUMPRODUCT(I134:I135,GREET1_Import_Export!$B$51:$B$52)+SUMPRODUCT(I126:I128,GREET1_Import_Export!$B$55:$B$57)+SUMPRODUCT(I132:I133,GREET1_Import_Export!$B$58:$B$59)</f>
        <v>20566212.084032651</v>
      </c>
      <c r="J138" s="1344">
        <f ca="1">J137+SUMPRODUCT(J134:J135,GREET1_Import_Export!$B$51:$B$52)+SUMPRODUCT(J126:J128,GREET1_Import_Export!$B$55:$B$57)+SUMPRODUCT(J132:J133,GREET1_Import_Export!$B$58:$B$59)</f>
        <v>14983870.535685316</v>
      </c>
      <c r="K138" s="1344">
        <f ca="1">K137+SUMPRODUCT(K134:K135,GREET1_Import_Export!$B$51:$B$52)+SUMPRODUCT(K126:K128,GREET1_Import_Export!$B$55:$B$57)+SUMPRODUCT(K132:K133,GREET1_Import_Export!$B$58:$B$59)</f>
        <v>21498834.451657929</v>
      </c>
      <c r="L138" s="1344">
        <f ca="1">L137+SUMPRODUCT(L134:L135,GREET1_Import_Export!$B$51:$B$52)+SUMPRODUCT(L126:L128,GREET1_Import_Export!$B$55:$B$57)+SUMPRODUCT(L132:L133,GREET1_Import_Export!$B$58:$B$59)</f>
        <v>16465834.104874117</v>
      </c>
      <c r="M138" s="1344">
        <f ca="1">M137+SUMPRODUCT(M134:M135,GREET1_Import_Export!$B$51:$B$52)+SUMPRODUCT(M126:M128,GREET1_Import_Export!$B$55:$B$57)+SUMPRODUCT(M132:M133,GREET1_Import_Export!$B$58:$B$59)</f>
        <v>24251015.857234098</v>
      </c>
      <c r="N138" s="1344">
        <f ca="1">N137+SUMPRODUCT(N134:N135,GREET1_Import_Export!$B$51:$B$52)+SUMPRODUCT(N126:N128,GREET1_Import_Export!$B$55:$B$57)+SUMPRODUCT(N132:N133,GREET1_Import_Export!$B$58:$B$59)</f>
        <v>7541355.6473217634</v>
      </c>
      <c r="O138" s="1344">
        <f ca="1">O137+SUMPRODUCT(O134:O135,GREET1_Import_Export!$B$51:$B$52)+SUMPRODUCT(O126:O128,GREET1_Import_Export!$B$55:$B$57)+SUMPRODUCT(O132:O133,GREET1_Import_Export!$B$58:$B$59)</f>
        <v>14906416.983635375</v>
      </c>
      <c r="P138" s="1344">
        <f ca="1">P137+SUMPRODUCT(P134:P135,GREET1_Import_Export!$B$51:$B$52)+SUMPRODUCT(P126:P128,GREET1_Import_Export!$B$55:$B$57)+SUMPRODUCT(P132:P133,GREET1_Import_Export!$B$58:$B$59)</f>
        <v>8597716.3960689381</v>
      </c>
      <c r="Q138" s="1344">
        <f ca="1">Q137+SUMPRODUCT(Q134:Q135,GREET1_Import_Export!$B$51:$B$52)+SUMPRODUCT(Q126:Q128,GREET1_Import_Export!$B$55:$B$57)+SUMPRODUCT(Q132:Q133,GREET1_Import_Export!$B$58:$B$59)</f>
        <v>7741206.4020621646</v>
      </c>
      <c r="R138" s="1344">
        <f ca="1">R137+SUMPRODUCT(R134:R135,GREET1_Import_Export!$B$51:$B$52)+SUMPRODUCT(R126:R128,GREET1_Import_Export!$B$55:$B$57)+SUMPRODUCT(R132:R133,GREET1_Import_Export!$B$58:$B$59)</f>
        <v>13054078.061497102</v>
      </c>
      <c r="S138" s="1344">
        <f ca="1">S137+SUMPRODUCT(S134:S135,GREET1_Import_Export!$B$51:$B$52)+SUMPRODUCT(S126:S128,GREET1_Import_Export!$B$55:$B$57)+SUMPRODUCT(S132:S133,GREET1_Import_Export!$B$58:$B$59)</f>
        <v>19153131.580636911</v>
      </c>
      <c r="T138" s="1344">
        <f ca="1">T137+SUMPRODUCT(T134:T135,GREET1_Import_Export!$B$51:$B$52)+SUMPRODUCT(T126:T128,GREET1_Import_Export!$B$55:$B$57)+SUMPRODUCT(T132:T133,GREET1_Import_Export!$B$58:$B$59)</f>
        <v>2014433.9280037186</v>
      </c>
      <c r="U138" s="1344">
        <f ca="1">U137+SUMPRODUCT(U134:U135,GREET1_Import_Export!$B$51:$B$52)+SUMPRODUCT(U126:U128,GREET1_Import_Export!$B$55:$B$57)+SUMPRODUCT(U132:U133,GREET1_Import_Export!$B$58:$B$59)</f>
        <v>21867327.325900607</v>
      </c>
      <c r="V138" s="1344">
        <f ca="1">V137+SUMPRODUCT(V134:V135,GREET1_Import_Export!$B$51:$B$52)+SUMPRODUCT(V126:V128,GREET1_Import_Export!$B$55:$B$57)+SUMPRODUCT(V132:V133,GREET1_Import_Export!$B$58:$B$59)</f>
        <v>4276465.7924618684</v>
      </c>
      <c r="W138" s="294">
        <f>W137+SUMPRODUCT(W134:W135,GREET1_Import_Export!$B$51:$B$52)+SUMPRODUCT(W126:W128,GREET1_Import_Export!$B$55:$B$57)+SUMPRODUCT(W132:W133,GREET1_Import_Export!$B$58:$B$59)</f>
        <v>78256.612594268983</v>
      </c>
      <c r="X138" s="294">
        <f>X137+SUMPRODUCT(X134:X135,GREET1_Import_Export!$B$51:$B$52)+SUMPRODUCT(X126:X128,GREET1_Import_Export!$B$55:$B$57)+SUMPRODUCT(X132:X133,GREET1_Import_Export!$B$58:$B$59)</f>
        <v>0</v>
      </c>
      <c r="Y138" s="1344">
        <f ca="1">Y137+SUMPRODUCT(Y134:Y135,GREET1_Import_Export!$B$51:$B$52)+SUMPRODUCT(Y126:Y128,GREET1_Import_Export!$B$55:$B$57)+SUMPRODUCT(Y132:Y133,GREET1_Import_Export!$B$58:$B$59)</f>
        <v>41054.050580039853</v>
      </c>
      <c r="Z138" s="1344">
        <f ca="1">Z137+SUMPRODUCT(Z134:Z135,GREET1_Import_Export!$B$51:$B$52)+SUMPRODUCT(Z126:Z128,GREET1_Import_Export!$B$55:$B$57)+SUMPRODUCT(Z132:Z133,GREET1_Import_Export!$B$58:$B$59)</f>
        <v>52630.121118752439</v>
      </c>
      <c r="AA138" s="1344">
        <f ca="1">AA137+SUMPRODUCT(AA134:AA135,GREET1_Import_Export!$B$51:$B$52)+SUMPRODUCT(AA126:AA128,GREET1_Import_Export!$B$55:$B$57)+SUMPRODUCT(AA132:AA133,GREET1_Import_Export!$B$58:$B$59)</f>
        <v>17798202.004199617</v>
      </c>
      <c r="AB138" s="1561">
        <f ca="1">AB137+SUMPRODUCT(AB134:AB135,GREET1_Import_Export!$B$51:$B$52)+SUMPRODUCT(AB126:AB128,GREET1_Import_Export!$B$55:$B$57)+SUMPRODUCT(AB132:AB133,GREET1_Import_Export!$B$58:$B$59)</f>
        <v>25617295.920629773</v>
      </c>
      <c r="AC138" s="1321"/>
      <c r="AD138" s="1321"/>
      <c r="AE138" s="1321"/>
      <c r="AF138" s="1321"/>
      <c r="AG138" s="1321"/>
      <c r="AH138" s="1321"/>
      <c r="AI138" s="1321"/>
      <c r="AJ138" s="1321"/>
      <c r="AK138" s="1321"/>
      <c r="AL138" s="1321"/>
      <c r="AM138" s="1321"/>
      <c r="AN138" s="1321"/>
      <c r="AO138" s="1321"/>
      <c r="AP138" s="1321"/>
      <c r="AQ138" s="1321"/>
      <c r="AR138" s="1321"/>
      <c r="AS138" s="1321"/>
      <c r="AT138" s="1321"/>
      <c r="AU138" s="1321"/>
      <c r="AV138" s="1321"/>
      <c r="AW138" s="1321"/>
      <c r="AX138" s="1321"/>
      <c r="AY138" s="1321"/>
      <c r="AZ138" s="1321"/>
    </row>
    <row r="139" spans="1:52">
      <c r="A139" s="290" t="s">
        <v>865</v>
      </c>
      <c r="B139" s="578"/>
      <c r="C139" s="479"/>
      <c r="D139" s="479"/>
      <c r="E139" s="479"/>
      <c r="F139" s="479"/>
      <c r="G139" s="479"/>
      <c r="H139" s="479"/>
      <c r="I139" s="479"/>
      <c r="J139" s="479"/>
      <c r="K139" s="479"/>
      <c r="L139" s="479"/>
      <c r="M139" s="479"/>
      <c r="N139" s="479"/>
      <c r="O139" s="479"/>
      <c r="P139" s="479"/>
      <c r="Q139" s="479"/>
      <c r="R139" s="479"/>
      <c r="S139" s="479"/>
      <c r="T139" s="479"/>
      <c r="U139" s="479"/>
      <c r="V139" s="479"/>
      <c r="W139" s="389"/>
      <c r="X139" s="389"/>
      <c r="Y139" s="479"/>
      <c r="Z139" s="479"/>
      <c r="AA139" s="479"/>
      <c r="AB139" s="478"/>
      <c r="AC139" s="1321"/>
      <c r="AD139" s="1321"/>
      <c r="AE139" s="1321"/>
      <c r="AF139" s="1321"/>
      <c r="AG139" s="1321"/>
      <c r="AH139" s="1321"/>
      <c r="AI139" s="1321"/>
      <c r="AJ139" s="1321"/>
      <c r="AK139" s="1321"/>
      <c r="AL139" s="1321"/>
      <c r="AM139" s="1321"/>
      <c r="AN139" s="1321"/>
      <c r="AO139" s="1321"/>
      <c r="AP139" s="1321"/>
      <c r="AQ139" s="1321"/>
      <c r="AR139" s="1321"/>
      <c r="AS139" s="1321"/>
      <c r="AT139" s="1321"/>
      <c r="AU139" s="1321"/>
      <c r="AV139" s="1321"/>
      <c r="AW139" s="1321"/>
      <c r="AX139" s="1321"/>
      <c r="AY139" s="1321"/>
      <c r="AZ139" s="1321"/>
    </row>
    <row r="140" spans="1:52">
      <c r="A140" s="291" t="s">
        <v>821</v>
      </c>
      <c r="B140" s="347">
        <f t="array" aca="1" ref="B140" ca="1">SUM(B107:D107)+(MMULT($B171:$AL171+0,B$6:B$42+0))</f>
        <v>5.7038094390006178</v>
      </c>
      <c r="C140" s="349">
        <f t="array" aca="1" ref="C140" ca="1">SUM(E107:G107)+(MMULT($B171:$AL171+0,C$6:C$42+0))</f>
        <v>9.7473747060367213</v>
      </c>
      <c r="D140" s="349">
        <f t="array" aca="1" ref="D140" ca="1">SUM(H107:J107)+(MMULT($B171:$AL171+0,D$6:D$42+0))</f>
        <v>133.79237665805539</v>
      </c>
      <c r="E140" s="349">
        <f t="array" aca="1" ref="E140" ca="1">SUM(K107:M107)+(MMULT($B171:$AL171+0,E$6:E$42+0))</f>
        <v>173.80121442278059</v>
      </c>
      <c r="F140" s="349">
        <f t="array" aca="1" ref="F140" ca="1">SUM(N107:P107)+(MMULT($B171:$AL171+0,F$6:F$42+0))</f>
        <v>136.96075223822811</v>
      </c>
      <c r="G140" s="349">
        <f t="array" aca="1" ref="G140" ca="1">SUM(Q107:S107)+(MMULT($B171:$AL171+0,G$6:G$42+0))</f>
        <v>176.74576164130005</v>
      </c>
      <c r="H140" s="479">
        <f t="array" aca="1" ref="H140" ca="1">SUM(T107:V107)+(MMULT($B171:$AL171+0,H$6:H$42+0))</f>
        <v>153.07747439315071</v>
      </c>
      <c r="I140" s="479">
        <f t="array" aca="1" ref="I140" ca="1">SUM(W107:Y107)+(MMULT($B171:$AL171+0,I$6:I$42+0))</f>
        <v>191.29824147399694</v>
      </c>
      <c r="J140" s="349">
        <f t="array" aca="1" ref="J140" ca="1">SUM(Z107:AB107)+(MMULT($B171:$AL171+0,J$6:J$42+0))</f>
        <v>165.65357139705046</v>
      </c>
      <c r="K140" s="349">
        <f t="array" aca="1" ref="K140" ca="1">SUM(AC107:AE107)+(MMULT($B171:$AL171+0,K$6:K$42+0))</f>
        <v>203.88046745284464</v>
      </c>
      <c r="L140" s="349">
        <f t="array" aca="1" ref="L140" ca="1">SUM(AF107:AH107)+(MMULT($B171:$AL171+0,L$6:L$42+0))</f>
        <v>186.98235905552409</v>
      </c>
      <c r="M140" s="349">
        <f t="array" aca="1" ref="M140" ca="1">SUM(AI107:AK107)+(MMULT($B171:$AL171+0,M$6:M$42+0))</f>
        <v>243.41477782150238</v>
      </c>
      <c r="N140" s="349">
        <f t="array" aca="1" ref="N140" ca="1">SUM(AL107:AN107)+(MMULT($B171:$AL171+0,N$6:N$42+0))</f>
        <v>63.839126577939581</v>
      </c>
      <c r="O140" s="349">
        <f t="array" aca="1" ref="O140" ca="1">SUM(AO107:AQ107)+(MMULT($B171:$AL171+0,O$6:O$42+0))</f>
        <v>110.3810512419257</v>
      </c>
      <c r="P140" s="349">
        <f t="array" aca="1" ref="P140" ca="1">SUM(AR107:AT107)+(MMULT($B171:$AL171+0,P$6:P$42+0))</f>
        <v>74.773388631126863</v>
      </c>
      <c r="Q140" s="349">
        <f t="array" aca="1" ref="Q140" ca="1">SUM(AU107:AW107)+(MMULT($B171:$AL171+0,Q$6:Q$42+0))</f>
        <v>84.782485703004397</v>
      </c>
      <c r="R140" s="349">
        <f t="array" aca="1" ref="R140" ca="1">SUM(AX107:AZ107)+(MMULT($B171:$AL171+0,R$6:R$42+0))</f>
        <v>111.84681421914576</v>
      </c>
      <c r="S140" s="349">
        <f t="array" aca="1" ref="S140" ca="1">SUM(BA107:BC107)+(MMULT($B171:$AL171+0,S$6:S$42+0))</f>
        <v>170.52039198468844</v>
      </c>
      <c r="T140" s="349">
        <f t="array" aca="1" ref="T140" ca="1">SUM(BD107:BF107)+(MMULT($B171:$AL171+0,T$6:T$42+0))</f>
        <v>15.220262957414112</v>
      </c>
      <c r="U140" s="349">
        <f t="array" aca="1" ref="U140" ca="1">SUM(BG107:BI107)+(MMULT($B171:$AL171+0,U$6:U$42+0))</f>
        <v>206.31844547454381</v>
      </c>
      <c r="V140" s="349">
        <f t="array" aca="1" ref="V140" ca="1">SUM(BJ107:BL107)+(MMULT($B171:$AL171+0,V$6:V$42+0))</f>
        <v>40.778565065821269</v>
      </c>
      <c r="W140" s="349">
        <f t="shared" ref="W140:W147" si="50">SUM(BM107:BO107)</f>
        <v>0.97899666678974362</v>
      </c>
      <c r="X140" s="349">
        <f t="shared" ref="X140:X147" si="51">SUM(BP107:BR107)</f>
        <v>0</v>
      </c>
      <c r="Y140" s="349">
        <f t="array" aca="1" ref="Y140" ca="1">SUM(BS107:BU107)+(MMULT($B171:$AL171+0,X$6:X$42+0))</f>
        <v>0.41682891509925407</v>
      </c>
      <c r="Z140" s="349">
        <f t="array" aca="1" ref="Z140" ca="1">SUM(BV107:BX107)+(MMULT($B171:$AL171+0,Y$6:Y$42+0))</f>
        <v>1.4686360900776307</v>
      </c>
      <c r="AA140" s="349">
        <f t="array" aca="1" ref="AA140" ca="1">SUM(BY107:CA107)+(MMULT($B171:$AL171+0,Z$6:Z$42+0))</f>
        <v>200.66981958134505</v>
      </c>
      <c r="AB140" s="348">
        <f t="array" aca="1" ref="AB140" ca="1">SUM(CB107:CD107)+(MMULT($B171:$AL171+0,AA$6:AA$42+0))</f>
        <v>257.25737988582449</v>
      </c>
      <c r="AC140" s="1321"/>
      <c r="AD140" s="1321"/>
      <c r="AE140" s="1321"/>
      <c r="AF140" s="1321"/>
      <c r="AG140" s="1321"/>
      <c r="AH140" s="1321"/>
      <c r="AI140" s="1321"/>
      <c r="AJ140" s="1321"/>
      <c r="AK140" s="1321"/>
      <c r="AL140" s="1321"/>
      <c r="AM140" s="1321"/>
      <c r="AN140" s="1321"/>
      <c r="AO140" s="1321"/>
      <c r="AP140" s="1321"/>
      <c r="AQ140" s="1321"/>
      <c r="AR140" s="1321"/>
      <c r="AS140" s="1321"/>
      <c r="AT140" s="1321"/>
      <c r="AU140" s="1321"/>
      <c r="AV140" s="1321"/>
      <c r="AW140" s="1321"/>
      <c r="AX140" s="1321"/>
      <c r="AY140" s="1321"/>
      <c r="AZ140" s="1321"/>
    </row>
    <row r="141" spans="1:52">
      <c r="A141" s="291" t="s">
        <v>822</v>
      </c>
      <c r="B141" s="347">
        <f t="array" aca="1" ref="B141" ca="1">SUM(B108:D108)+(MMULT($B172:$AL172+0,B$6:B$42+0))</f>
        <v>22.896775928662052</v>
      </c>
      <c r="C141" s="349">
        <f t="array" aca="1" ref="C141" ca="1">SUM(E108:G108)+(MMULT($B172:$AL172+0,C$6:C$42+0))</f>
        <v>42.19171011599709</v>
      </c>
      <c r="D141" s="349">
        <f t="array" aca="1" ref="D141" ca="1">SUM(H108:J108)+(MMULT($B172:$AL172+0,D$6:D$42+0))</f>
        <v>437.57999328066802</v>
      </c>
      <c r="E141" s="349">
        <f t="array" aca="1" ref="E141" ca="1">SUM(K108:M108)+(MMULT($B172:$AL172+0,E$6:E$42+0))</f>
        <v>590.78619412817386</v>
      </c>
      <c r="F141" s="349">
        <f t="array" aca="1" ref="F141" ca="1">SUM(N108:P108)+(MMULT($B172:$AL172+0,F$6:F$42+0))</f>
        <v>459.845191555084</v>
      </c>
      <c r="G141" s="349">
        <f t="array" aca="1" ref="G141" ca="1">SUM(Q108:S108)+(MMULT($B172:$AL172+0,G$6:G$42+0))</f>
        <v>611.87198264087965</v>
      </c>
      <c r="H141" s="479">
        <f t="array" aca="1" ref="H141" ca="1">SUM(T108:V108)+(MMULT($B172:$AL172+0,H$6:H$42+0))</f>
        <v>480.88468096013224</v>
      </c>
      <c r="I141" s="479">
        <f t="array" aca="1" ref="I141" ca="1">SUM(W108:Y108)+(MMULT($B172:$AL172+0,I$6:I$42+0))</f>
        <v>629.76538611087119</v>
      </c>
      <c r="J141" s="349">
        <f t="array" aca="1" ref="J141" ca="1">SUM(Z108:AB108)+(MMULT($B172:$AL172+0,J$6:J$42+0))</f>
        <v>507.12809949869376</v>
      </c>
      <c r="K141" s="349">
        <f t="array" aca="1" ref="K141" ca="1">SUM(AC108:AE108)+(MMULT($B172:$AL172+0,K$6:K$42+0))</f>
        <v>656.68826425691736</v>
      </c>
      <c r="L141" s="349">
        <f t="array" aca="1" ref="L141" ca="1">SUM(AF108:AH108)+(MMULT($B172:$AL172+0,L$6:L$42+0))</f>
        <v>542.27581704510044</v>
      </c>
      <c r="M141" s="349">
        <f t="array" aca="1" ref="M141" ca="1">SUM(AI108:AK108)+(MMULT($B172:$AL172+0,M$6:M$42+0))</f>
        <v>778.16513433706064</v>
      </c>
      <c r="N141" s="349">
        <f t="array" aca="1" ref="N141" ca="1">SUM(AL108:AN108)+(MMULT($B172:$AL172+0,N$6:N$42+0))</f>
        <v>286.22025404978388</v>
      </c>
      <c r="O141" s="349">
        <f t="array" aca="1" ref="O141" ca="1">SUM(AO108:AQ108)+(MMULT($B172:$AL172+0,O$6:O$42+0))</f>
        <v>460.44888037948442</v>
      </c>
      <c r="P141" s="349">
        <f t="array" aca="1" ref="P141" ca="1">SUM(AR108:AT108)+(MMULT($B172:$AL172+0,P$6:P$42+0))</f>
        <v>222.56350931372759</v>
      </c>
      <c r="Q141" s="349">
        <f t="array" aca="1" ref="Q141" ca="1">SUM(AU108:AW108)+(MMULT($B172:$AL172+0,Q$6:Q$42+0))</f>
        <v>260.77176598085771</v>
      </c>
      <c r="R141" s="349">
        <f t="array" aca="1" ref="R141" ca="1">SUM(AX108:AZ108)+(MMULT($B172:$AL172+0,R$6:R$42+0))</f>
        <v>282.15605443479569</v>
      </c>
      <c r="S141" s="349">
        <f t="array" aca="1" ref="S141" ca="1">SUM(BA108:BC108)+(MMULT($B172:$AL172+0,S$6:S$42+0))</f>
        <v>603.64101589650363</v>
      </c>
      <c r="T141" s="349">
        <f t="array" aca="1" ref="T141" ca="1">SUM(BD108:BF108)+(MMULT($B172:$AL172+0,T$6:T$42+0))</f>
        <v>100.33446700273286</v>
      </c>
      <c r="U141" s="349">
        <f t="array" aca="1" ref="U141" ca="1">SUM(BG108:BI108)+(MMULT($B172:$AL172+0,U$6:U$42+0))</f>
        <v>750.32687967257141</v>
      </c>
      <c r="V141" s="349">
        <f t="array" aca="1" ref="V141" ca="1">SUM(BJ108:BL108)+(MMULT($B172:$AL172+0,V$6:V$42+0))</f>
        <v>97.371614788518286</v>
      </c>
      <c r="W141" s="349">
        <f t="shared" si="50"/>
        <v>3.0091696414866589</v>
      </c>
      <c r="X141" s="349">
        <f t="shared" si="51"/>
        <v>0</v>
      </c>
      <c r="Y141" s="349">
        <f t="array" aca="1" ref="Y141" ca="1">SUM(BS108:BU108)+(MMULT($B172:$AL172+0,X$6:X$42+0))</f>
        <v>1.9836514471055289</v>
      </c>
      <c r="Z141" s="349">
        <f t="array" aca="1" ref="Z141" ca="1">SUM(BV108:BX108)+(MMULT($B172:$AL172+0,Y$6:Y$42+0))</f>
        <v>3.0059828329361897</v>
      </c>
      <c r="AA141" s="349">
        <f t="array" aca="1" ref="AA141" ca="1">SUM(BY108:CA108)+(MMULT($B172:$AL172+0,Z$6:Z$42+0))</f>
        <v>590.85286775006716</v>
      </c>
      <c r="AB141" s="348">
        <f t="array" aca="1" ref="AB141" ca="1">SUM(CB108:CD108)+(MMULT($B172:$AL172+0,AA$6:AA$42+0))</f>
        <v>826.58362581947506</v>
      </c>
      <c r="AC141" s="1321"/>
      <c r="AD141" s="1321"/>
      <c r="AE141" s="1321"/>
      <c r="AF141" s="1321"/>
      <c r="AG141" s="1321"/>
      <c r="AH141" s="1321"/>
      <c r="AI141" s="1321"/>
      <c r="AJ141" s="1321"/>
      <c r="AK141" s="1321"/>
      <c r="AL141" s="1321"/>
      <c r="AM141" s="1321"/>
      <c r="AN141" s="1321"/>
      <c r="AO141" s="1321"/>
      <c r="AP141" s="1321"/>
      <c r="AQ141" s="1321"/>
      <c r="AR141" s="1321"/>
      <c r="AS141" s="1321"/>
      <c r="AT141" s="1321"/>
      <c r="AU141" s="1321"/>
      <c r="AV141" s="1321"/>
      <c r="AW141" s="1321"/>
      <c r="AX141" s="1321"/>
      <c r="AY141" s="1321"/>
      <c r="AZ141" s="1321"/>
    </row>
    <row r="142" spans="1:52">
      <c r="A142" s="291" t="s">
        <v>823</v>
      </c>
      <c r="B142" s="347">
        <f t="array" aca="1" ref="B142" ca="1">SUM(B109:D109)+(MMULT($B173:$AL173+0,B$6:B$42+0))</f>
        <v>72.120943240393856</v>
      </c>
      <c r="C142" s="349">
        <f t="array" aca="1" ref="C142" ca="1">SUM(E109:G109)+(MMULT($B173:$AL173+0,C$6:C$42+0))</f>
        <v>61.506339411818402</v>
      </c>
      <c r="D142" s="349">
        <f t="array" aca="1" ref="D142" ca="1">SUM(H109:J109)+(MMULT($B173:$AL173+0,D$6:D$42+0))</f>
        <v>948.30452276074368</v>
      </c>
      <c r="E142" s="349">
        <f t="array" aca="1" ref="E142" ca="1">SUM(K109:M109)+(MMULT($B173:$AL173+0,E$6:E$42+0))</f>
        <v>1429.4867659062322</v>
      </c>
      <c r="F142" s="349">
        <f t="array" aca="1" ref="F142" ca="1">SUM(N109:P109)+(MMULT($B173:$AL173+0,F$6:F$42+0))</f>
        <v>996.8042160896706</v>
      </c>
      <c r="G142" s="349">
        <f t="array" aca="1" ref="G142" ca="1">SUM(Q109:S109)+(MMULT($B173:$AL173+0,G$6:G$42+0))</f>
        <v>1475.3130354343816</v>
      </c>
      <c r="H142" s="479">
        <f t="array" aca="1" ref="H142" ca="1">SUM(T109:V109)+(MMULT($B173:$AL173+0,H$6:H$42+0))</f>
        <v>1058.851088540159</v>
      </c>
      <c r="I142" s="479">
        <f t="array" aca="1" ref="I142" ca="1">SUM(W109:Y109)+(MMULT($B173:$AL173+0,I$6:I$42+0))</f>
        <v>1529.4555396185951</v>
      </c>
      <c r="J142" s="349">
        <f t="array" aca="1" ref="J142" ca="1">SUM(Z109:AB109)+(MMULT($B173:$AL173+0,J$6:J$42+0))</f>
        <v>1125.75946964025</v>
      </c>
      <c r="K142" s="349">
        <f t="array" aca="1" ref="K142" ca="1">SUM(AC109:AE109)+(MMULT($B173:$AL173+0,K$6:K$42+0))</f>
        <v>1597.4057514586643</v>
      </c>
      <c r="L142" s="349">
        <f t="array" aca="1" ref="L142" ca="1">SUM(AF109:AH109)+(MMULT($B173:$AL173+0,L$6:L$42+0))</f>
        <v>1221.6182698926905</v>
      </c>
      <c r="M142" s="349">
        <f t="array" aca="1" ref="M142" ca="1">SUM(AI109:AK109)+(MMULT($B173:$AL173+0,M$6:M$42+0))</f>
        <v>1960.9147805939213</v>
      </c>
      <c r="N142" s="349">
        <f t="array" aca="1" ref="N142" ca="1">SUM(AL109:AN109)+(MMULT($B173:$AL173+0,N$6:N$42+0))</f>
        <v>592.13377411625106</v>
      </c>
      <c r="O142" s="349">
        <f t="array" aca="1" ref="O142" ca="1">SUM(AO109:AQ109)+(MMULT($B173:$AL173+0,O$6:O$42+0))</f>
        <v>1131.4329092678256</v>
      </c>
      <c r="P142" s="349">
        <f t="array" aca="1" ref="P142" ca="1">SUM(AR109:AT109)+(MMULT($B173:$AL173+0,P$6:P$42+0))</f>
        <v>538.52072578639047</v>
      </c>
      <c r="Q142" s="349">
        <f t="array" aca="1" ref="Q142" ca="1">SUM(AU109:AW109)+(MMULT($B173:$AL173+0,Q$6:Q$42+0))</f>
        <v>622.16369292475576</v>
      </c>
      <c r="R142" s="349">
        <f t="array" aca="1" ref="R142" ca="1">SUM(AX109:AZ109)+(MMULT($B173:$AL173+0,R$6:R$42+0))</f>
        <v>703.07877686607628</v>
      </c>
      <c r="S142" s="349">
        <f t="array" aca="1" ref="S142" ca="1">SUM(BA109:BC109)+(MMULT($B173:$AL173+0,S$6:S$42+0))</f>
        <v>1501.7645910992856</v>
      </c>
      <c r="T142" s="349">
        <f t="array" aca="1" ref="T142" ca="1">SUM(BD109:BF109)+(MMULT($B173:$AL173+0,T$6:T$42+0))</f>
        <v>309.32727492076043</v>
      </c>
      <c r="U142" s="349">
        <f t="array" aca="1" ref="U142" ca="1">SUM(BG109:BI109)+(MMULT($B173:$AL173+0,U$6:U$42+0))</f>
        <v>1800.4335668065119</v>
      </c>
      <c r="V142" s="349">
        <f t="array" aca="1" ref="V142" ca="1">SUM(BJ109:BL109)+(MMULT($B173:$AL173+0,V$6:V$42+0))</f>
        <v>314.38918976353295</v>
      </c>
      <c r="W142" s="349">
        <f t="shared" si="50"/>
        <v>8.4308981935878116</v>
      </c>
      <c r="X142" s="349">
        <f t="shared" si="51"/>
        <v>0</v>
      </c>
      <c r="Y142" s="349">
        <f t="array" aca="1" ref="Y142" ca="1">SUM(BS109:BU109)+(MMULT($B173:$AL173+0,X$6:X$42+0))</f>
        <v>6.6988793385820573</v>
      </c>
      <c r="Z142" s="349">
        <f t="array" aca="1" ref="Z142" ca="1">SUM(BV109:BX109)+(MMULT($B173:$AL173+0,Y$6:Y$42+0))</f>
        <v>16.793115584070549</v>
      </c>
      <c r="AA142" s="349">
        <f t="array" aca="1" ref="AA142" ca="1">SUM(BY109:CA109)+(MMULT($B173:$AL173+0,Z$6:Z$42+0))</f>
        <v>1313.0663323128886</v>
      </c>
      <c r="AB142" s="348">
        <f t="array" aca="1" ref="AB142" ca="1">SUM(CB109:CD109)+(MMULT($B173:$AL173+0,AA$6:AA$42+0))</f>
        <v>2054.5676285439436</v>
      </c>
      <c r="AC142" s="1321"/>
      <c r="AD142" s="1321"/>
      <c r="AE142" s="1321"/>
      <c r="AF142" s="1321"/>
      <c r="AG142" s="1321"/>
      <c r="AH142" s="1321"/>
      <c r="AI142" s="1321"/>
      <c r="AJ142" s="1321"/>
      <c r="AK142" s="1321"/>
      <c r="AL142" s="1321"/>
      <c r="AM142" s="1321"/>
      <c r="AN142" s="1321"/>
      <c r="AO142" s="1321"/>
      <c r="AP142" s="1321"/>
      <c r="AQ142" s="1321"/>
      <c r="AR142" s="1321"/>
      <c r="AS142" s="1321"/>
      <c r="AT142" s="1321"/>
      <c r="AU142" s="1321"/>
      <c r="AV142" s="1321"/>
      <c r="AW142" s="1321"/>
      <c r="AX142" s="1321"/>
      <c r="AY142" s="1321"/>
      <c r="AZ142" s="1321"/>
    </row>
    <row r="143" spans="1:52">
      <c r="A143" s="483" t="s">
        <v>824</v>
      </c>
      <c r="B143" s="347">
        <f t="array" aca="1" ref="B143" ca="1">SUM(B110:D110)+(MMULT($B174:$AL174+0,B$6:B$42+0))</f>
        <v>9.1213664023828134</v>
      </c>
      <c r="C143" s="349">
        <f t="array" aca="1" ref="C143" ca="1">SUM(E110:G110)+(MMULT($B174:$AL174+0,C$6:C$42+0))</f>
        <v>1.8151129329160509</v>
      </c>
      <c r="D143" s="349">
        <f t="array" aca="1" ref="D143" ca="1">SUM(H110:J110)+(MMULT($B174:$AL174+0,D$6:D$42+0))</f>
        <v>88.639791306484383</v>
      </c>
      <c r="E143" s="349">
        <f t="array" aca="1" ref="E143" ca="1">SUM(K110:M110)+(MMULT($B174:$AL174+0,E$6:E$42+0))</f>
        <v>154.25740326496637</v>
      </c>
      <c r="F143" s="349">
        <f t="array" aca="1" ref="F143" ca="1">SUM(N110:P110)+(MMULT($B174:$AL174+0,F$6:F$42+0))</f>
        <v>94.015017730701857</v>
      </c>
      <c r="G143" s="349">
        <f t="array" aca="1" ref="G143" ca="1">SUM(Q110:S110)+(MMULT($B174:$AL174+0,G$6:G$42+0))</f>
        <v>159.32778721034967</v>
      </c>
      <c r="H143" s="479">
        <f t="array" aca="1" ref="H143" ca="1">SUM(T110:V110)+(MMULT($B174:$AL174+0,H$6:H$42+0))</f>
        <v>100.23788185169032</v>
      </c>
      <c r="I143" s="479">
        <f t="array" aca="1" ref="I143" ca="1">SUM(W110:Y110)+(MMULT($B174:$AL174+0,I$6:I$42+0))</f>
        <v>164.76444037156168</v>
      </c>
      <c r="J143" s="349">
        <f t="array" aca="1" ref="J143" ca="1">SUM(Z110:AB110)+(MMULT($B174:$AL174+0,J$6:J$42+0))</f>
        <v>107.13588668179146</v>
      </c>
      <c r="K143" s="349">
        <f t="array" aca="1" ref="K143" ca="1">SUM(AC110:AE110)+(MMULT($B174:$AL174+0,K$6:K$42+0))</f>
        <v>171.73345853324179</v>
      </c>
      <c r="L143" s="349">
        <f t="array" aca="1" ref="L143" ca="1">SUM(AF110:AH110)+(MMULT($B174:$AL174+0,L$6:L$42+0))</f>
        <v>116.88927571628801</v>
      </c>
      <c r="M143" s="349">
        <f t="array" aca="1" ref="M143" ca="1">SUM(AI110:AK110)+(MMULT($B174:$AL174+0,M$6:M$42+0))</f>
        <v>215.12083891545504</v>
      </c>
      <c r="N143" s="349">
        <f t="array" aca="1" ref="N143" ca="1">SUM(AL110:AN110)+(MMULT($B174:$AL174+0,N$6:N$42+0))</f>
        <v>54.641782446805379</v>
      </c>
      <c r="O143" s="349">
        <f t="array" aca="1" ref="O143" ca="1">SUM(AO110:AQ110)+(MMULT($B174:$AL174+0,O$6:O$42+0))</f>
        <v>127.29423459891976</v>
      </c>
      <c r="P143" s="349">
        <f t="array" aca="1" ref="P143" ca="1">SUM(AR110:AT110)+(MMULT($B174:$AL174+0,P$6:P$42+0))</f>
        <v>51.713429303621353</v>
      </c>
      <c r="Q143" s="349">
        <f t="array" aca="1" ref="Q143" ca="1">SUM(AU110:AW110)+(MMULT($B174:$AL174+0,Q$6:Q$42+0))</f>
        <v>63.919569138796412</v>
      </c>
      <c r="R143" s="349">
        <f t="array" aca="1" ref="R143" ca="1">SUM(AX110:AZ110)+(MMULT($B174:$AL174+0,R$6:R$42+0))</f>
        <v>75.695673265913683</v>
      </c>
      <c r="S143" s="349">
        <f t="array" aca="1" ref="S143" ca="1">SUM(BA110:BC110)+(MMULT($B174:$AL174+0,S$6:S$42+0))</f>
        <v>168.69480384531852</v>
      </c>
      <c r="T143" s="349">
        <f t="array" aca="1" ref="T143" ca="1">SUM(BD110:BF110)+(MMULT($B174:$AL174+0,T$6:T$42+0))</f>
        <v>40.18533529996072</v>
      </c>
      <c r="U143" s="349">
        <f t="array" aca="1" ref="U143" ca="1">SUM(BG110:BI110)+(MMULT($B174:$AL174+0,U$6:U$42+0))</f>
        <v>193.79007839407626</v>
      </c>
      <c r="V143" s="349">
        <f t="array" aca="1" ref="V143" ca="1">SUM(BJ110:BL110)+(MMULT($B174:$AL174+0,V$6:V$42+0))</f>
        <v>31.649906936722374</v>
      </c>
      <c r="W143" s="349">
        <f t="shared" si="50"/>
        <v>1.1580805238013885</v>
      </c>
      <c r="X143" s="349">
        <f t="shared" si="51"/>
        <v>0</v>
      </c>
      <c r="Y143" s="349">
        <f t="array" aca="1" ref="Y143" ca="1">SUM(BS110:BU110)+(MMULT($B174:$AL174+0,X$6:X$42+0))</f>
        <v>0.80416797045503796</v>
      </c>
      <c r="Z143" s="349">
        <f t="array" aca="1" ref="Z143" ca="1">SUM(BV110:BX110)+(MMULT($B174:$AL174+0,Y$6:Y$42+0))</f>
        <v>1.4077065260955957</v>
      </c>
      <c r="AA143" s="349">
        <f t="array" aca="1" ref="AA143" ca="1">SUM(BY110:CA110)+(MMULT($B174:$AL174+0,Z$6:Z$42+0))</f>
        <v>123.50778238262902</v>
      </c>
      <c r="AB143" s="348">
        <f t="array" aca="1" ref="AB143" ca="1">SUM(CB110:CD110)+(MMULT($B174:$AL174+0,AA$6:AA$42+0))</f>
        <v>222.24324377164899</v>
      </c>
      <c r="AC143" s="1321"/>
      <c r="AD143" s="1321"/>
      <c r="AE143" s="1321"/>
      <c r="AF143" s="1321"/>
      <c r="AG143" s="1321"/>
      <c r="AH143" s="1321"/>
      <c r="AI143" s="1321"/>
      <c r="AJ143" s="1321"/>
      <c r="AK143" s="1321"/>
      <c r="AL143" s="1321"/>
      <c r="AM143" s="1321"/>
      <c r="AN143" s="1321"/>
      <c r="AO143" s="1321"/>
      <c r="AP143" s="1321"/>
      <c r="AQ143" s="1321"/>
      <c r="AR143" s="1321"/>
      <c r="AS143" s="1321"/>
      <c r="AT143" s="1321"/>
      <c r="AU143" s="1321"/>
      <c r="AV143" s="1321"/>
      <c r="AW143" s="1321"/>
      <c r="AX143" s="1321"/>
      <c r="AY143" s="1321"/>
      <c r="AZ143" s="1321"/>
    </row>
    <row r="144" spans="1:52">
      <c r="A144" s="291" t="s">
        <v>825</v>
      </c>
      <c r="B144" s="347">
        <f t="array" aca="1" ref="B144" ca="1">SUM(B111:D111)+(MMULT($B175:$AL175+0,B$6:B$42+0))</f>
        <v>8.0402312475820814</v>
      </c>
      <c r="C144" s="349">
        <f t="array" aca="1" ref="C144" ca="1">SUM(E111:G111)+(MMULT($B175:$AL175+0,C$6:C$42+0))</f>
        <v>1.5876159114604076</v>
      </c>
      <c r="D144" s="349">
        <f t="array" aca="1" ref="D144" ca="1">SUM(H111:J111)+(MMULT($B175:$AL175+0,D$6:D$42+0))</f>
        <v>76.858528197832072</v>
      </c>
      <c r="E144" s="349">
        <f t="array" aca="1" ref="E144" ca="1">SUM(K111:M111)+(MMULT($B175:$AL175+0,E$6:E$42+0))</f>
        <v>134.11841144265117</v>
      </c>
      <c r="F144" s="349">
        <f t="array" aca="1" ref="F144" ca="1">SUM(N111:P111)+(MMULT($B175:$AL175+0,F$6:F$42+0))</f>
        <v>81.4296829666348</v>
      </c>
      <c r="G144" s="349">
        <f t="array" aca="1" ref="G144" ca="1">SUM(Q111:S111)+(MMULT($B175:$AL175+0,G$6:G$42+0))</f>
        <v>138.43072286651045</v>
      </c>
      <c r="H144" s="479">
        <f t="array" aca="1" ref="H144" ca="1">SUM(T111:V111)+(MMULT($B175:$AL175+0,H$6:H$42+0))</f>
        <v>86.840881700269733</v>
      </c>
      <c r="I144" s="479">
        <f t="array" aca="1" ref="I144" ca="1">SUM(W111:Y111)+(MMULT($B175:$AL175+0,I$6:I$42+0))</f>
        <v>143.16128896618304</v>
      </c>
      <c r="J144" s="349">
        <f t="array" aca="1" ref="J144" ca="1">SUM(Z111:AB111)+(MMULT($B175:$AL175+0,J$6:J$42+0))</f>
        <v>92.77126533680115</v>
      </c>
      <c r="K144" s="349">
        <f t="array" aca="1" ref="K144" ca="1">SUM(AC111:AE111)+(MMULT($B175:$AL175+0,K$6:K$42+0))</f>
        <v>149.15543719926126</v>
      </c>
      <c r="L144" s="349">
        <f t="array" aca="1" ref="L144" ca="1">SUM(AF111:AH111)+(MMULT($B175:$AL175+0,L$6:L$42+0))</f>
        <v>101.20202289831415</v>
      </c>
      <c r="M144" s="349">
        <f t="array" aca="1" ref="M144" ca="1">SUM(AI111:AK111)+(MMULT($B175:$AL175+0,M$6:M$42+0))</f>
        <v>186.30142489013335</v>
      </c>
      <c r="N144" s="349">
        <f t="array" aca="1" ref="N144" ca="1">SUM(AL111:AN111)+(MMULT($B175:$AL175+0,N$6:N$42+0))</f>
        <v>48.749123282830759</v>
      </c>
      <c r="O144" s="349">
        <f t="array" aca="1" ref="O144" ca="1">SUM(AO111:AQ111)+(MMULT($B175:$AL175+0,O$6:O$42+0))</f>
        <v>112.07890989239448</v>
      </c>
      <c r="P144" s="349">
        <f t="array" aca="1" ref="P144" ca="1">SUM(AR111:AT111)+(MMULT($B175:$AL175+0,P$6:P$42+0))</f>
        <v>44.132326752227549</v>
      </c>
      <c r="Q144" s="349">
        <f t="array" aca="1" ref="Q144" ca="1">SUM(AU111:AW111)+(MMULT($B175:$AL175+0,Q$6:Q$42+0))</f>
        <v>55.311930550521438</v>
      </c>
      <c r="R144" s="349">
        <f t="array" aca="1" ref="R144" ca="1">SUM(AX111:AZ111)+(MMULT($B175:$AL175+0,R$6:R$42+0))</f>
        <v>65.136566418582731</v>
      </c>
      <c r="S144" s="349">
        <f t="array" aca="1" ref="S144" ca="1">SUM(BA111:BC111)+(MMULT($B175:$AL175+0,S$6:S$42+0))</f>
        <v>145.90517904545436</v>
      </c>
      <c r="T144" s="349">
        <f t="array" aca="1" ref="T144" ca="1">SUM(BD111:BF111)+(MMULT($B175:$AL175+0,T$6:T$42+0))</f>
        <v>35.39461925340202</v>
      </c>
      <c r="U144" s="349">
        <f t="array" aca="1" ref="U144" ca="1">SUM(BG111:BI111)+(MMULT($B175:$AL175+0,U$6:U$42+0))</f>
        <v>167.20284623199996</v>
      </c>
      <c r="V144" s="349">
        <f t="array" aca="1" ref="V144" ca="1">SUM(BJ111:BL111)+(MMULT($B175:$AL175+0,V$6:V$42+0))</f>
        <v>27.792086660628975</v>
      </c>
      <c r="W144" s="349">
        <f t="shared" si="50"/>
        <v>1.0175910451937362</v>
      </c>
      <c r="X144" s="349">
        <f t="shared" si="51"/>
        <v>0</v>
      </c>
      <c r="Y144" s="349">
        <f t="array" aca="1" ref="Y144" ca="1">SUM(BS111:BU111)+(MMULT($B175:$AL175+0,X$6:X$42+0))</f>
        <v>0.71185859772049176</v>
      </c>
      <c r="Z144" s="349">
        <f t="array" aca="1" ref="Z144" ca="1">SUM(BV111:BX111)+(MMULT($B175:$AL175+0,Y$6:Y$42+0))</f>
        <v>1.2738152878503746</v>
      </c>
      <c r="AA144" s="349">
        <f t="array" aca="1" ref="AA144" ca="1">SUM(BY111:CA111)+(MMULT($B175:$AL175+0,Z$6:Z$42+0))</f>
        <v>106.88338784930203</v>
      </c>
      <c r="AB144" s="348">
        <f t="array" aca="1" ref="AB144" ca="1">SUM(CB111:CD111)+(MMULT($B175:$AL175+0,AA$6:AA$42+0))</f>
        <v>192.41092094274646</v>
      </c>
      <c r="AC144" s="1321"/>
      <c r="AD144" s="1321"/>
      <c r="AE144" s="1321"/>
      <c r="AF144" s="1321"/>
      <c r="AG144" s="1321"/>
      <c r="AH144" s="1321"/>
      <c r="AI144" s="1321"/>
      <c r="AJ144" s="1321"/>
      <c r="AK144" s="1321"/>
      <c r="AL144" s="1321"/>
      <c r="AM144" s="1321"/>
      <c r="AN144" s="1321"/>
      <c r="AO144" s="1321"/>
      <c r="AP144" s="1321"/>
      <c r="AQ144" s="1321"/>
      <c r="AR144" s="1321"/>
      <c r="AS144" s="1321"/>
      <c r="AT144" s="1321"/>
      <c r="AU144" s="1321"/>
      <c r="AV144" s="1321"/>
      <c r="AW144" s="1321"/>
      <c r="AX144" s="1321"/>
      <c r="AY144" s="1321"/>
      <c r="AZ144" s="1321"/>
    </row>
    <row r="145" spans="1:52">
      <c r="A145" s="483" t="s">
        <v>826</v>
      </c>
      <c r="B145" s="347">
        <f t="array" aca="1" ref="B145" ca="1">SUM(B112:D112)+(MMULT($B176:$AL176+0,B$6:B$42+0))</f>
        <v>65.259786444342751</v>
      </c>
      <c r="C145" s="349">
        <f t="array" aca="1" ref="C145" ca="1">SUM(E112:G112)+(MMULT($B176:$AL176+0,C$6:C$42+0))</f>
        <v>12.657542206820134</v>
      </c>
      <c r="D145" s="349">
        <f t="array" aca="1" ref="D145" ca="1">SUM(H112:J112)+(MMULT($B176:$AL176+0,D$6:D$42+0))</f>
        <v>685.42793732204973</v>
      </c>
      <c r="E145" s="349">
        <f t="array" aca="1" ref="E145" ca="1">SUM(K112:M112)+(MMULT($B176:$AL176+0,E$6:E$42+0))</f>
        <v>1178.6539761528504</v>
      </c>
      <c r="F145" s="349">
        <f t="array" aca="1" ref="F145" ca="1">SUM(N112:P112)+(MMULT($B176:$AL176+0,F$6:F$42+0))</f>
        <v>735.65374459525628</v>
      </c>
      <c r="G145" s="349">
        <f t="array" aca="1" ref="G145" ca="1">SUM(Q112:S112)+(MMULT($B176:$AL176+0,G$6:G$42+0))</f>
        <v>1226.0753708761981</v>
      </c>
      <c r="H145" s="479">
        <f t="array" aca="1" ref="H145" ca="1">SUM(T112:V112)+(MMULT($B176:$AL176+0,H$6:H$42+0))</f>
        <v>775.44327696086998</v>
      </c>
      <c r="I145" s="479">
        <f t="array" aca="1" ref="I145" ca="1">SUM(W112:Y112)+(MMULT($B176:$AL176+0,I$6:I$42+0))</f>
        <v>1260.19955949312</v>
      </c>
      <c r="J145" s="349">
        <f t="array" aca="1" ref="J145" ca="1">SUM(Z112:AB112)+(MMULT($B176:$AL176+0,J$6:J$42+0))</f>
        <v>828.54868141930342</v>
      </c>
      <c r="K145" s="349">
        <f t="array" aca="1" ref="K145" ca="1">SUM(AC112:AE112)+(MMULT($B176:$AL176+0,K$6:K$42+0))</f>
        <v>1313.8678699554457</v>
      </c>
      <c r="L145" s="349">
        <f t="array" aca="1" ref="L145" ca="1">SUM(AF112:AH112)+(MMULT($B176:$AL176+0,L$6:L$42+0))</f>
        <v>897.6020696939172</v>
      </c>
      <c r="M145" s="349">
        <f t="array" aca="1" ref="M145" ca="1">SUM(AI112:AK112)+(MMULT($B176:$AL176+0,M$6:M$42+0))</f>
        <v>1686.5168192927331</v>
      </c>
      <c r="N145" s="349">
        <f t="array" aca="1" ref="N145" ca="1">SUM(AL112:AN112)+(MMULT($B176:$AL176+0,N$6:N$42+0))</f>
        <v>364.15251882140115</v>
      </c>
      <c r="O145" s="349">
        <f t="array" aca="1" ref="O145" ca="1">SUM(AO112:AQ112)+(MMULT($B176:$AL176+0,O$6:O$42+0))</f>
        <v>913.53003936859295</v>
      </c>
      <c r="P145" s="349">
        <f t="array" aca="1" ref="P145" ca="1">SUM(AR112:AT112)+(MMULT($B176:$AL176+0,P$6:P$42+0))</f>
        <v>447.28691345738457</v>
      </c>
      <c r="Q145" s="349">
        <f t="array" aca="1" ref="Q145" ca="1">SUM(AU112:AW112)+(MMULT($B176:$AL176+0,Q$6:Q$42+0))</f>
        <v>500.20389765864718</v>
      </c>
      <c r="R145" s="349">
        <f t="array" aca="1" ref="R145" ca="1">SUM(AX112:AZ112)+(MMULT($B176:$AL176+0,R$6:R$42+0))</f>
        <v>592.58861694280404</v>
      </c>
      <c r="S145" s="349">
        <f t="array" aca="1" ref="S145" ca="1">SUM(BA112:BC112)+(MMULT($B176:$AL176+0,S$6:S$42+0))</f>
        <v>1344.1252116437497</v>
      </c>
      <c r="T145" s="349">
        <f t="array" aca="1" ref="T145" ca="1">SUM(BD112:BF112)+(MMULT($B176:$AL176+0,T$6:T$42+0))</f>
        <v>298.3861714308681</v>
      </c>
      <c r="U145" s="349">
        <f t="array" aca="1" ref="U145" ca="1">SUM(BG112:BI112)+(MMULT($B176:$AL176+0,U$6:U$42+0))</f>
        <v>1579.6478943702461</v>
      </c>
      <c r="V145" s="349">
        <f t="array" aca="1" ref="V145" ca="1">SUM(BJ112:BL112)+(MMULT($B176:$AL176+0,V$6:V$42+0))</f>
        <v>230.88978145364092</v>
      </c>
      <c r="W145" s="349">
        <f t="shared" si="50"/>
        <v>7.9787030904717344</v>
      </c>
      <c r="X145" s="349">
        <f t="shared" si="51"/>
        <v>0</v>
      </c>
      <c r="Y145" s="349">
        <f t="array" aca="1" ref="Y145" ca="1">SUM(BS112:BU112)+(MMULT($B176:$AL176+0,X$6:X$42+0))</f>
        <v>5.9149998563752639</v>
      </c>
      <c r="Z145" s="349">
        <f t="array" aca="1" ref="Z145" ca="1">SUM(BV112:BX112)+(MMULT($B176:$AL176+0,Y$6:Y$42+0))</f>
        <v>9.6311463783583413</v>
      </c>
      <c r="AA145" s="349">
        <f t="array" aca="1" ref="AA145" ca="1">SUM(BY112:CA112)+(MMULT($B176:$AL176+0,Z$6:Z$42+0))</f>
        <v>951.70775238435863</v>
      </c>
      <c r="AB145" s="348">
        <f t="array" aca="1" ref="AB145" ca="1">SUM(CB112:CD112)+(MMULT($B176:$AL176+0,AA$6:AA$42+0))</f>
        <v>1745.0610909367035</v>
      </c>
      <c r="AC145" s="1321"/>
      <c r="AD145" s="1321"/>
      <c r="AE145" s="1321"/>
      <c r="AF145" s="1321"/>
      <c r="AG145" s="1321"/>
      <c r="AH145" s="1321"/>
      <c r="AI145" s="1321"/>
      <c r="AJ145" s="1321"/>
      <c r="AK145" s="1321"/>
      <c r="AL145" s="1321"/>
      <c r="AM145" s="1321"/>
      <c r="AN145" s="1321"/>
      <c r="AO145" s="1321"/>
      <c r="AP145" s="1321"/>
      <c r="AQ145" s="1321"/>
      <c r="AR145" s="1321"/>
      <c r="AS145" s="1321"/>
      <c r="AT145" s="1321"/>
      <c r="AU145" s="1321"/>
      <c r="AV145" s="1321"/>
      <c r="AW145" s="1321"/>
      <c r="AX145" s="1321"/>
      <c r="AY145" s="1321"/>
      <c r="AZ145" s="1321"/>
    </row>
    <row r="146" spans="1:52">
      <c r="A146" s="291" t="s">
        <v>827</v>
      </c>
      <c r="B146" s="347">
        <f t="array" aca="1" ref="B146" ca="1">SUM(B113:D113)+(MMULT($B177:$AL177+0,B$6:B$42+0))</f>
        <v>0.49428851714751615</v>
      </c>
      <c r="C146" s="349">
        <f t="array" aca="1" ref="C146" ca="1">SUM(E113:G113)+(MMULT($B177:$AL177+0,C$6:C$42+0))</f>
        <v>0.19001436355953366</v>
      </c>
      <c r="D146" s="349">
        <f t="array" aca="1" ref="D146" ca="1">SUM(H113:J113)+(MMULT($B177:$AL177+0,D$6:D$42+0))</f>
        <v>4.8719870966117975</v>
      </c>
      <c r="E146" s="349">
        <f t="array" aca="1" ref="E146" ca="1">SUM(K113:M113)+(MMULT($B177:$AL177+0,E$6:E$42+0))</f>
        <v>8.043035658625044</v>
      </c>
      <c r="F146" s="349">
        <f t="array" aca="1" ref="F146" ca="1">SUM(N113:P113)+(MMULT($B177:$AL177+0,F$6:F$42+0))</f>
        <v>5.0848822950922745</v>
      </c>
      <c r="G146" s="349">
        <f t="array" aca="1" ref="G146" ca="1">SUM(Q113:S113)+(MMULT($B177:$AL177+0,G$6:G$42+0))</f>
        <v>8.2431046278233175</v>
      </c>
      <c r="H146" s="479">
        <f t="array" aca="1" ref="H146" ca="1">SUM(T113:V113)+(MMULT($B177:$AL177+0,H$6:H$42+0))</f>
        <v>5.5505281452351332</v>
      </c>
      <c r="I146" s="479">
        <f t="array" aca="1" ref="I146" ca="1">SUM(W113:Y113)+(MMULT($B177:$AL177+0,I$6:I$42+0))</f>
        <v>8.6585835868483496</v>
      </c>
      <c r="J146" s="349">
        <f t="array" aca="1" ref="J146" ca="1">SUM(Z113:AB113)+(MMULT($B177:$AL177+0,J$6:J$42+0))</f>
        <v>5.9657351587908076</v>
      </c>
      <c r="K146" s="349">
        <f t="array" aca="1" ref="K146" ca="1">SUM(AC113:AE113)+(MMULT($B177:$AL177+0,K$6:K$42+0))</f>
        <v>9.076058669701645</v>
      </c>
      <c r="L146" s="349">
        <f t="array" aca="1" ref="L146" ca="1">SUM(AF113:AH113)+(MMULT($B177:$AL177+0,L$6:L$42+0))</f>
        <v>6.6205165375110555</v>
      </c>
      <c r="M146" s="349">
        <f t="array" aca="1" ref="M146" ca="1">SUM(AI113:AK113)+(MMULT($B177:$AL177+0,M$6:M$42+0))</f>
        <v>11.203807034035512</v>
      </c>
      <c r="N146" s="349">
        <f t="array" aca="1" ref="N146" ca="1">SUM(AL113:AN113)+(MMULT($B177:$AL177+0,N$6:N$42+0))</f>
        <v>3.2202570682037805</v>
      </c>
      <c r="O146" s="349">
        <f t="array" aca="1" ref="O146" ca="1">SUM(AO113:AQ113)+(MMULT($B177:$AL177+0,O$6:O$42+0))</f>
        <v>6.7279210862815315</v>
      </c>
      <c r="P146" s="349">
        <f t="array" aca="1" ref="P146" ca="1">SUM(AR113:AT113)+(MMULT($B177:$AL177+0,P$6:P$42+0))</f>
        <v>2.9797603257864456</v>
      </c>
      <c r="Q146" s="349">
        <f t="array" aca="1" ref="Q146" ca="1">SUM(AU113:AW113)+(MMULT($B177:$AL177+0,Q$6:Q$42+0))</f>
        <v>3.512019788619658</v>
      </c>
      <c r="R146" s="349">
        <f t="array" aca="1" ref="R146" ca="1">SUM(AX113:AZ113)+(MMULT($B177:$AL177+0,R$6:R$42+0))</f>
        <v>4.2816466385640108</v>
      </c>
      <c r="S146" s="349">
        <f t="array" aca="1" ref="S146" ca="1">SUM(BA113:BC113)+(MMULT($B177:$AL177+0,S$6:S$42+0))</f>
        <v>8.5024117881646575</v>
      </c>
      <c r="T146" s="349">
        <f t="array" aca="1" ref="T146" ca="1">SUM(BD113:BF113)+(MMULT($B177:$AL177+0,T$6:T$42+0))</f>
        <v>1.9646629322818088</v>
      </c>
      <c r="U146" s="349">
        <f t="array" aca="1" ref="U146" ca="1">SUM(BG113:BI113)+(MMULT($B177:$AL177+0,U$6:U$42+0))</f>
        <v>9.7066996042777269</v>
      </c>
      <c r="V146" s="349">
        <f t="array" aca="1" ref="V146" ca="1">SUM(BJ113:BL113)+(MMULT($B177:$AL177+0,V$6:V$42+0))</f>
        <v>2.4662742787790508</v>
      </c>
      <c r="W146" s="349">
        <f t="shared" si="50"/>
        <v>5.9226844028981228E-2</v>
      </c>
      <c r="X146" s="349">
        <f t="shared" si="51"/>
        <v>0</v>
      </c>
      <c r="Y146" s="349">
        <f t="array" aca="1" ref="Y146" ca="1">SUM(BS113:BU113)+(MMULT($B177:$AL177+0,X$6:X$42+0))</f>
        <v>4.8333833866252451E-2</v>
      </c>
      <c r="Z146" s="349">
        <f t="array" aca="1" ref="Z146" ca="1">SUM(BV113:BX113)+(MMULT($B177:$AL177+0,Y$6:Y$42+0))</f>
        <v>0.14519550562689323</v>
      </c>
      <c r="AA146" s="349">
        <f t="array" aca="1" ref="AA146" ca="1">SUM(BY113:CA113)+(MMULT($B177:$AL177+0,Z$6:Z$42+0))</f>
        <v>7.0312188589467777</v>
      </c>
      <c r="AB146" s="348">
        <f t="array" aca="1" ref="AB146" ca="1">SUM(CB113:CD113)+(MMULT($B177:$AL177+0,AA$6:AA$42+0))</f>
        <v>11.635635487566834</v>
      </c>
      <c r="AC146" s="1321"/>
      <c r="AD146" s="1321"/>
      <c r="AE146" s="1321"/>
      <c r="AF146" s="1321"/>
      <c r="AG146" s="1321"/>
      <c r="AH146" s="1321"/>
      <c r="AI146" s="1321"/>
      <c r="AJ146" s="1321"/>
      <c r="AK146" s="1321"/>
      <c r="AL146" s="1321"/>
      <c r="AM146" s="1321"/>
      <c r="AN146" s="1321"/>
      <c r="AO146" s="1321"/>
      <c r="AP146" s="1321"/>
      <c r="AQ146" s="1321"/>
      <c r="AR146" s="1321"/>
      <c r="AS146" s="1321"/>
      <c r="AT146" s="1321"/>
      <c r="AU146" s="1321"/>
      <c r="AV146" s="1321"/>
      <c r="AW146" s="1321"/>
      <c r="AX146" s="1321"/>
      <c r="AY146" s="1321"/>
      <c r="AZ146" s="1321"/>
    </row>
    <row r="147" spans="1:52">
      <c r="A147" s="484" t="s">
        <v>828</v>
      </c>
      <c r="B147" s="503">
        <f t="array" aca="1" ref="B147" ca="1">SUM(B114:D114)+(MMULT($B178:$AL178+0,B$6:B$42+0))</f>
        <v>2.3344081464352526</v>
      </c>
      <c r="C147" s="505">
        <f t="array" aca="1" ref="C147" ca="1">SUM(E114:G114)+(MMULT($B178:$AL178+0,C$6:C$42+0))</f>
        <v>0.53804179410812902</v>
      </c>
      <c r="D147" s="505">
        <f t="array" aca="1" ref="D147" ca="1">SUM(H114:J114)+(MMULT($B178:$AL178+0,D$6:D$42+0))</f>
        <v>16.952202689242998</v>
      </c>
      <c r="E147" s="505">
        <f t="array" aca="1" ref="E147" ca="1">SUM(K114:M114)+(MMULT($B178:$AL178+0,E$6:E$42+0))</f>
        <v>31.785484725837833</v>
      </c>
      <c r="F147" s="505">
        <f t="array" aca="1" ref="F147" ca="1">SUM(N114:P114)+(MMULT($B178:$AL178+0,F$6:F$42+0))</f>
        <v>17.80665504290052</v>
      </c>
      <c r="G147" s="505">
        <f t="array" aca="1" ref="G147" ca="1">SUM(Q114:S114)+(MMULT($B178:$AL178+0,G$6:G$42+0))</f>
        <v>32.593519954200872</v>
      </c>
      <c r="H147" s="637">
        <f t="array" aca="1" ref="H147" ca="1">SUM(T114:V114)+(MMULT($B178:$AL178+0,H$6:H$42+0))</f>
        <v>18.772102017213047</v>
      </c>
      <c r="I147" s="637">
        <f t="array" aca="1" ref="I147" ca="1">SUM(W114:Y114)+(MMULT($B178:$AL178+0,I$6:I$42+0))</f>
        <v>33.42688166311639</v>
      </c>
      <c r="J147" s="505">
        <f t="array" aca="1" ref="J147" ca="1">SUM(Z114:AB114)+(MMULT($B178:$AL178+0,J$6:J$42+0))</f>
        <v>19.797895317771399</v>
      </c>
      <c r="K147" s="505">
        <f t="array" aca="1" ref="K147" ca="1">SUM(AC114:AE114)+(MMULT($B178:$AL178+0,K$6:K$42+0))</f>
        <v>34.479227704931397</v>
      </c>
      <c r="L147" s="505">
        <f t="array" aca="1" ref="L147" ca="1">SUM(AF114:AH114)+(MMULT($B178:$AL178+0,L$6:L$42+0))</f>
        <v>21.278082425376095</v>
      </c>
      <c r="M147" s="505">
        <f t="array" aca="1" ref="M147" ca="1">SUM(AI114:AK114)+(MMULT($B178:$AL178+0,M$6:M$42+0))</f>
        <v>41.296017617406889</v>
      </c>
      <c r="N147" s="505">
        <f t="array" aca="1" ref="N147" ca="1">SUM(AL114:AN114)+(MMULT($B178:$AL178+0,N$6:N$42+0))</f>
        <v>14.168724678321984</v>
      </c>
      <c r="O147" s="505">
        <f t="array" aca="1" ref="O147" ca="1">SUM(AO114:AQ114)+(MMULT($B178:$AL178+0,O$6:O$42+0))</f>
        <v>30.379175191865649</v>
      </c>
      <c r="P147" s="505">
        <f t="array" aca="1" ref="P147" ca="1">SUM(AR114:AT114)+(MMULT($B178:$AL178+0,P$6:P$42+0))</f>
        <v>7.8534695750543859</v>
      </c>
      <c r="Q147" s="505">
        <f t="array" aca="1" ref="Q147" ca="1">SUM(AU114:AW114)+(MMULT($B178:$AL178+0,Q$6:Q$42+0))</f>
        <v>11.969824340631444</v>
      </c>
      <c r="R147" s="505">
        <f t="array" aca="1" ref="R147" ca="1">SUM(AX114:AZ114)+(MMULT($B178:$AL178+0,R$6:R$42+0))</f>
        <v>12.938252780183308</v>
      </c>
      <c r="S147" s="505">
        <f t="array" aca="1" ref="S147" ca="1">SUM(BA114:BC114)+(MMULT($B178:$AL178+0,S$6:S$42+0))</f>
        <v>32.596119286295952</v>
      </c>
      <c r="T147" s="505">
        <f t="array" aca="1" ref="T147" ca="1">SUM(BD114:BF114)+(MMULT($B178:$AL178+0,T$6:T$42+0))</f>
        <v>10.256224359173096</v>
      </c>
      <c r="U147" s="505">
        <f t="array" aca="1" ref="U147" ca="1">SUM(BG114:BI114)+(MMULT($B178:$AL178+0,U$6:U$42+0))</f>
        <v>35.83511311026848</v>
      </c>
      <c r="V147" s="505">
        <f t="array" aca="1" ref="V147" ca="1">SUM(BJ114:BL114)+(MMULT($B178:$AL178+0,V$6:V$42+0))</f>
        <v>7.6476704051929802</v>
      </c>
      <c r="W147" s="505">
        <f t="shared" si="50"/>
        <v>0.27890095930800857</v>
      </c>
      <c r="X147" s="505">
        <f t="shared" si="51"/>
        <v>0</v>
      </c>
      <c r="Y147" s="505">
        <f t="array" aca="1" ref="Y147" ca="1">SUM(BS114:BU114)+(MMULT($B178:$AL178+0,X$6:X$42+0))</f>
        <v>0.21422062047970142</v>
      </c>
      <c r="Z147" s="505">
        <f t="array" aca="1" ref="Z147" ca="1">SUM(BV114:BX114)+(MMULT($B178:$AL178+0,Y$6:Y$42+0))</f>
        <v>0.4596215134698548</v>
      </c>
      <c r="AA147" s="505">
        <f t="array" aca="1" ref="AA147" ca="1">SUM(BY114:CA114)+(MMULT($B178:$AL178+0,Z$6:Z$42+0))</f>
        <v>22.431519169094603</v>
      </c>
      <c r="AB147" s="502">
        <f t="array" aca="1" ref="AB147" ca="1">SUM(CB114:CD114)+(MMULT($B178:$AL178+0,AA$6:AA$42+0))</f>
        <v>42.51836420136312</v>
      </c>
      <c r="AC147" s="1321"/>
      <c r="AD147" s="1321"/>
      <c r="AE147" s="1321"/>
      <c r="AF147" s="1321"/>
      <c r="AG147" s="1321"/>
      <c r="AH147" s="1321"/>
      <c r="AI147" s="1321"/>
      <c r="AJ147" s="1321"/>
      <c r="AK147" s="1321"/>
      <c r="AL147" s="1321"/>
      <c r="AM147" s="1321"/>
      <c r="AN147" s="1321"/>
      <c r="AO147" s="1321"/>
      <c r="AP147" s="1321"/>
      <c r="AQ147" s="1321"/>
      <c r="AR147" s="1321"/>
      <c r="AS147" s="1321"/>
      <c r="AT147" s="1321"/>
      <c r="AU147" s="1321"/>
      <c r="AV147" s="1321"/>
      <c r="AW147" s="1321"/>
      <c r="AX147" s="1321"/>
      <c r="AY147" s="1321"/>
      <c r="AZ147" s="1321"/>
    </row>
    <row r="148" spans="1:52">
      <c r="A148" s="1321"/>
      <c r="B148" s="1321"/>
      <c r="C148" s="1321"/>
      <c r="D148" s="1321"/>
      <c r="E148" s="1321"/>
      <c r="F148" s="1321"/>
      <c r="G148" s="1321"/>
      <c r="H148" s="1321"/>
      <c r="I148" s="1321"/>
      <c r="J148" s="1321"/>
      <c r="K148" s="1321"/>
      <c r="L148" s="1321"/>
      <c r="M148" s="1321"/>
      <c r="N148" s="1321"/>
      <c r="O148" s="1321"/>
      <c r="P148" s="1321"/>
      <c r="Q148" s="1321"/>
      <c r="R148" s="1321"/>
      <c r="S148" s="1321"/>
      <c r="T148" s="1321"/>
      <c r="U148" s="8"/>
      <c r="V148" s="1321"/>
      <c r="W148" s="1321"/>
      <c r="X148" s="1321"/>
      <c r="Y148" s="1321"/>
      <c r="Z148" s="1321"/>
      <c r="AA148" s="1321"/>
      <c r="AB148" s="1321"/>
      <c r="AC148" s="1321"/>
      <c r="AD148" s="1321"/>
      <c r="AE148" s="1321"/>
      <c r="AF148" s="1321"/>
      <c r="AG148" s="1321"/>
      <c r="AH148" s="1321"/>
      <c r="AI148" s="1321"/>
      <c r="AJ148" s="1321"/>
      <c r="AK148" s="1321"/>
      <c r="AL148" s="1321"/>
      <c r="AM148" s="1321"/>
      <c r="AN148" s="1321"/>
      <c r="AO148" s="1321"/>
      <c r="AP148" s="1321"/>
      <c r="AQ148" s="1321"/>
      <c r="AR148" s="1321"/>
      <c r="AS148" s="1321"/>
      <c r="AT148" s="1321"/>
      <c r="AU148" s="1321"/>
      <c r="AV148" s="1321"/>
      <c r="AW148" s="1321"/>
      <c r="AX148" s="1321"/>
      <c r="AY148" s="1321"/>
      <c r="AZ148" s="1321"/>
    </row>
    <row r="149" spans="1:52" ht="15">
      <c r="A149" s="120" t="s">
        <v>1798</v>
      </c>
      <c r="B149" s="1321"/>
      <c r="C149" s="1321"/>
      <c r="D149" s="1321"/>
      <c r="E149" s="1321"/>
      <c r="F149" s="1321"/>
      <c r="G149" s="1321"/>
      <c r="H149" s="1321"/>
      <c r="I149" s="1321"/>
      <c r="J149" s="1321"/>
      <c r="K149" s="1321"/>
      <c r="L149" s="1321"/>
      <c r="M149" s="1321"/>
      <c r="N149" s="1321"/>
      <c r="O149" s="1321"/>
      <c r="P149" s="1321"/>
      <c r="Q149" s="1321"/>
      <c r="R149" s="1321"/>
      <c r="S149" s="1321"/>
      <c r="T149" s="1321"/>
      <c r="U149" s="8"/>
      <c r="V149" s="1321"/>
      <c r="W149" s="1321"/>
      <c r="X149" s="1321"/>
      <c r="Y149" s="1321"/>
      <c r="Z149" s="1321"/>
      <c r="AA149" s="1321"/>
      <c r="AB149" s="1321"/>
      <c r="AC149" s="1321"/>
      <c r="AD149" s="1321"/>
      <c r="AE149" s="1321"/>
      <c r="AF149" s="1321"/>
      <c r="AG149" s="1321"/>
      <c r="AH149" s="1321"/>
      <c r="AI149" s="1321"/>
      <c r="AJ149" s="1321"/>
      <c r="AK149" s="1321"/>
      <c r="AL149" s="1321"/>
      <c r="AM149" s="1321"/>
      <c r="AN149" s="1321"/>
      <c r="AO149" s="1321"/>
      <c r="AP149" s="1321"/>
      <c r="AQ149" s="1321"/>
      <c r="AR149" s="1321"/>
      <c r="AS149" s="1321"/>
      <c r="AT149" s="1321"/>
      <c r="AU149" s="1321"/>
      <c r="AV149" s="1321"/>
      <c r="AW149" s="1321"/>
      <c r="AX149" s="1321"/>
      <c r="AY149" s="1321"/>
      <c r="AZ149" s="1321"/>
    </row>
    <row r="150" spans="1:52" ht="75.75" customHeight="1">
      <c r="A150" s="1355"/>
      <c r="B150" s="1345" t="s">
        <v>1799</v>
      </c>
      <c r="C150" s="1345" t="s">
        <v>2296</v>
      </c>
      <c r="D150" s="1345" t="s">
        <v>1696</v>
      </c>
      <c r="E150" s="1345" t="s">
        <v>1697</v>
      </c>
      <c r="F150" s="1345" t="s">
        <v>1698</v>
      </c>
      <c r="G150" s="1345" t="s">
        <v>1699</v>
      </c>
      <c r="H150" s="1345" t="s">
        <v>1700</v>
      </c>
      <c r="I150" s="1345" t="s">
        <v>1701</v>
      </c>
      <c r="J150" s="1345" t="s">
        <v>1702</v>
      </c>
      <c r="K150" s="1345" t="s">
        <v>1703</v>
      </c>
      <c r="L150" s="1345" t="s">
        <v>1704</v>
      </c>
      <c r="M150" s="1345" t="s">
        <v>1705</v>
      </c>
      <c r="N150" s="1345" t="s">
        <v>1706</v>
      </c>
      <c r="O150" s="1345" t="s">
        <v>1707</v>
      </c>
      <c r="P150" s="1345" t="s">
        <v>1708</v>
      </c>
      <c r="Q150" s="1345" t="s">
        <v>1709</v>
      </c>
      <c r="R150" s="1345" t="s">
        <v>1710</v>
      </c>
      <c r="S150" s="1345" t="s">
        <v>1711</v>
      </c>
      <c r="T150" s="1345" t="s">
        <v>1712</v>
      </c>
      <c r="U150" s="1345" t="s">
        <v>1713</v>
      </c>
      <c r="V150" s="1345" t="s">
        <v>1714</v>
      </c>
      <c r="W150" s="1345" t="s">
        <v>1715</v>
      </c>
      <c r="X150" s="1345" t="s">
        <v>1716</v>
      </c>
      <c r="Y150" s="1345" t="s">
        <v>1717</v>
      </c>
      <c r="Z150" s="1345" t="s">
        <v>1800</v>
      </c>
      <c r="AA150" s="1345" t="s">
        <v>1719</v>
      </c>
      <c r="AB150" s="1345" t="s">
        <v>1720</v>
      </c>
      <c r="AC150" s="1345" t="s">
        <v>1409</v>
      </c>
      <c r="AD150" s="1345" t="s">
        <v>83</v>
      </c>
      <c r="AE150" s="1345" t="s">
        <v>1721</v>
      </c>
      <c r="AF150" s="1345" t="s">
        <v>1722</v>
      </c>
      <c r="AG150" s="1345" t="s">
        <v>1723</v>
      </c>
      <c r="AH150" s="1345" t="s">
        <v>1724</v>
      </c>
      <c r="AI150" s="1345" t="s">
        <v>1801</v>
      </c>
      <c r="AJ150" s="1345" t="s">
        <v>1726</v>
      </c>
      <c r="AK150" s="1345" t="s">
        <v>1727</v>
      </c>
      <c r="AL150" s="1343" t="s">
        <v>1728</v>
      </c>
      <c r="AM150" s="8"/>
      <c r="AN150" s="8"/>
      <c r="AO150" s="8"/>
      <c r="AP150" s="8"/>
      <c r="AQ150" s="8"/>
      <c r="AR150" s="8"/>
      <c r="AS150" s="8"/>
      <c r="AT150" s="8"/>
      <c r="AU150" s="8"/>
      <c r="AV150" s="8"/>
      <c r="AW150" s="1321"/>
      <c r="AX150" s="1321"/>
      <c r="AY150" s="1321"/>
      <c r="AZ150" s="1321"/>
    </row>
    <row r="151" spans="1:52">
      <c r="A151" s="290" t="s">
        <v>1802</v>
      </c>
      <c r="B151" s="489"/>
      <c r="C151" s="489"/>
      <c r="D151" s="489"/>
      <c r="E151" s="363"/>
      <c r="F151" s="489"/>
      <c r="G151" s="489"/>
      <c r="H151" s="489"/>
      <c r="I151" s="489"/>
      <c r="J151" s="489"/>
      <c r="K151" s="489"/>
      <c r="L151" s="489"/>
      <c r="M151" s="489"/>
      <c r="N151" s="489"/>
      <c r="O151" s="489"/>
      <c r="P151" s="489"/>
      <c r="Q151" s="489"/>
      <c r="R151" s="489"/>
      <c r="S151" s="489"/>
      <c r="T151" s="489"/>
      <c r="U151" s="489"/>
      <c r="V151" s="489"/>
      <c r="W151" s="489"/>
      <c r="X151" s="489"/>
      <c r="Y151" s="489"/>
      <c r="Z151" s="489"/>
      <c r="AA151" s="489"/>
      <c r="AB151" s="489"/>
      <c r="AC151" s="489"/>
      <c r="AD151" s="489"/>
      <c r="AE151" s="489"/>
      <c r="AF151" s="489"/>
      <c r="AG151" s="489"/>
      <c r="AH151" s="489"/>
      <c r="AI151" s="489"/>
      <c r="AJ151" s="489"/>
      <c r="AK151" s="1608"/>
      <c r="AL151" s="525"/>
      <c r="AM151" s="8"/>
      <c r="AN151" s="8"/>
      <c r="AO151" s="8"/>
      <c r="AP151" s="8"/>
      <c r="AQ151" s="8"/>
      <c r="AR151" s="8"/>
      <c r="AS151" s="8"/>
      <c r="AT151" s="8"/>
      <c r="AU151" s="8"/>
      <c r="AV151" s="8"/>
      <c r="AW151" s="1321"/>
      <c r="AX151" s="1321"/>
      <c r="AY151" s="1321"/>
      <c r="AZ151" s="1321"/>
    </row>
    <row r="152" spans="1:52">
      <c r="A152" s="291" t="s">
        <v>816</v>
      </c>
      <c r="B152" s="349">
        <f>GREET1_Import_Export!G494</f>
        <v>0.5138426396398883</v>
      </c>
      <c r="C152" s="349">
        <f>Mat_Sum!BC15*2000</f>
        <v>19.848108001691514</v>
      </c>
      <c r="D152" s="349">
        <f>GREET1_Import_Export!J494</f>
        <v>36.332146164303289</v>
      </c>
      <c r="E152" s="919" cm="1">
        <f t="array" aca="1" ref="E152" ca="1">Nickel!AC138*'Battery Recycling'!$F$36+SUMPRODUCT('Battery Recycling'!$B$36:$D$36+0,'Battery Recycling'!E134:G134+0)</f>
        <v>103.41384823877135</v>
      </c>
      <c r="F152" s="349">
        <f ca="1">Cobalt!G86*'Battery Recycling'!$F$35+SUMPRODUCT('Battery Recycling'!$B$35:$D$35+0,'Battery Recycling'!B134:D134+0)</f>
        <v>89.305763086031021</v>
      </c>
      <c r="G152" s="349">
        <f ca="1">B119</f>
        <v>7.558463442424566</v>
      </c>
      <c r="H152" s="349">
        <f>GREET1_Import_Export!B525</f>
        <v>27.581918666336783</v>
      </c>
      <c r="I152" s="349">
        <f ca="1">C119</f>
        <v>17.655552427004356</v>
      </c>
      <c r="J152" s="349">
        <f t="shared" ref="J152:J157" ca="1" si="52">Q119</f>
        <v>104.36622044304893</v>
      </c>
      <c r="K152" s="349">
        <f t="shared" ref="K152:K156" ca="1" si="53">D119</f>
        <v>174.84278554971118</v>
      </c>
      <c r="L152" s="349">
        <f t="shared" ref="L152:L156" ca="1" si="54">F119</f>
        <v>182.19271435701759</v>
      </c>
      <c r="M152" s="1564">
        <f t="shared" ref="M152:M157" ca="1" si="55">H119</f>
        <v>194.17445444648715</v>
      </c>
      <c r="N152" s="349">
        <f t="shared" ref="N152:N157" ca="1" si="56">J119</f>
        <v>206.2887567108348</v>
      </c>
      <c r="O152" s="349">
        <f t="shared" ref="O152:O157" ca="1" si="57">L119</f>
        <v>224.20053344944543</v>
      </c>
      <c r="P152" s="349">
        <f t="shared" ref="P152:P157" ca="1" si="58">N119</f>
        <v>114.54989122800484</v>
      </c>
      <c r="Q152" s="349">
        <f>Li_Chemicals!W107</f>
        <v>251.27015127179408</v>
      </c>
      <c r="R152" s="349">
        <f>GREET1_Import_Export!F525</f>
        <v>2.6364718422641102</v>
      </c>
      <c r="S152" s="349">
        <f>GREET1_Import_Export!G525</f>
        <v>13.62448870046255</v>
      </c>
      <c r="T152" s="349">
        <f t="shared" ref="T152:T157" si="59">X119</f>
        <v>0</v>
      </c>
      <c r="U152" s="349">
        <f ca="1">Cobalt!K86</f>
        <v>211.22217973366793</v>
      </c>
      <c r="V152" s="349" cm="1">
        <f t="array" aca="1" ref="V152" ca="1">Li_Chemicals!V107*'Battery Recycling'!$F$37+SUMPRODUCT('Battery Recycling'!$B$37:$D$37+0,'Battery Recycling'!H134:J134+0)</f>
        <v>115.8951444786812</v>
      </c>
      <c r="W152" s="349">
        <f>GREET1_Import_Export!E494</f>
        <v>27.171021888442034</v>
      </c>
      <c r="X152" s="349">
        <f>GREET1_Import_Export!K494</f>
        <v>2.9277647032766043</v>
      </c>
      <c r="Y152" s="349">
        <f t="shared" ref="Y152:Y157" ca="1" si="60">T119</f>
        <v>31.855433653806809</v>
      </c>
      <c r="Z152" s="349">
        <f ca="1">Cobalt!I86</f>
        <v>106.60934365639599</v>
      </c>
      <c r="AA152" s="349">
        <f t="shared" ref="AA152:AA157" si="61">W119</f>
        <v>1.140703965254573</v>
      </c>
      <c r="AB152" s="349">
        <f>GREET1_Import_Export!L494</f>
        <v>22.030770128685567</v>
      </c>
      <c r="AC152" s="349">
        <f ca="1">Mat_Sum!CF15*2000</f>
        <v>77.387723011245058</v>
      </c>
      <c r="AD152" s="349">
        <f ca="1">Mat_Sum!CN15*2000</f>
        <v>3145.0189281615067</v>
      </c>
      <c r="AE152" s="349">
        <f t="shared" ref="AE152:AE157" ca="1" si="62">AA119</f>
        <v>244.28709848836198</v>
      </c>
      <c r="AF152" s="349">
        <f t="shared" ref="AF152:AF157" ca="1" si="63">Y119</f>
        <v>0.63059244749464671</v>
      </c>
      <c r="AG152" s="349">
        <f t="shared" ref="AG152:AG157" si="64">SUM(CE88:CF88)</f>
        <v>0</v>
      </c>
      <c r="AH152" s="349">
        <f>GREET1_Import_Export!B494</f>
        <v>0.10780072572602144</v>
      </c>
      <c r="AI152" s="349">
        <f t="shared" ref="AI152:AI157" ca="1" si="65">Z119</f>
        <v>0.73197719593784139</v>
      </c>
      <c r="AJ152" s="349">
        <f>LiMn2O4!K90</f>
        <v>15.030487346981841</v>
      </c>
      <c r="AK152" s="349">
        <f>LiMn2O4!C90</f>
        <v>5.0786456533048154</v>
      </c>
      <c r="AL152" s="348">
        <f>GREET1_Import_Export!D494</f>
        <v>4.3841375780629379</v>
      </c>
      <c r="AM152" s="8"/>
      <c r="AN152" s="8"/>
      <c r="AO152" s="8"/>
      <c r="AP152" s="8"/>
      <c r="AQ152" s="8"/>
      <c r="AR152" s="8"/>
      <c r="AS152" s="8"/>
      <c r="AT152" s="8"/>
      <c r="AU152" s="8"/>
      <c r="AV152" s="8"/>
      <c r="AW152" s="1321"/>
      <c r="AX152" s="1321"/>
      <c r="AY152" s="1321"/>
      <c r="AZ152" s="1321"/>
    </row>
    <row r="153" spans="1:52">
      <c r="A153" s="291" t="s">
        <v>817</v>
      </c>
      <c r="B153" s="349">
        <f>GREET1_Import_Export!G495</f>
        <v>0.48462781003145922</v>
      </c>
      <c r="C153" s="349">
        <f>Mat_Sum!BC16*2000</f>
        <v>16.205217352368955</v>
      </c>
      <c r="D153" s="349">
        <f>GREET1_Import_Export!J495</f>
        <v>36.134685221273628</v>
      </c>
      <c r="E153" s="919" cm="1">
        <f t="array" aca="1" ref="E153" ca="1">Nickel!AC139*'Battery Recycling'!$F$36+SUMPRODUCT('Battery Recycling'!$B$36:$D$36+0,'Battery Recycling'!E135:G135+0)</f>
        <v>95.790419405354584</v>
      </c>
      <c r="F153" s="349">
        <f ca="1">Cobalt!G87*'Battery Recycling'!$F$35+SUMPRODUCT('Battery Recycling'!$B$35:$D$35+0,'Battery Recycling'!B135:D135+0)</f>
        <v>80.077697958889431</v>
      </c>
      <c r="G153" s="349">
        <f t="shared" ref="G153:G169" ca="1" si="66">B120</f>
        <v>6.2134755697616733</v>
      </c>
      <c r="H153" s="349">
        <f>GREET1_Import_Export!B526</f>
        <v>24.61952370317384</v>
      </c>
      <c r="I153" s="349">
        <f t="shared" ref="I153:I169" ca="1" si="67">C120</f>
        <v>17.559596575231108</v>
      </c>
      <c r="J153" s="349">
        <f t="shared" ca="1" si="52"/>
        <v>95.724617425901229</v>
      </c>
      <c r="K153" s="349">
        <f t="shared" ca="1" si="53"/>
        <v>162.97126730865443</v>
      </c>
      <c r="L153" s="349">
        <f t="shared" ca="1" si="54"/>
        <v>169.27334881101183</v>
      </c>
      <c r="M153" s="1564">
        <f t="shared" ca="1" si="55"/>
        <v>180.98212430837782</v>
      </c>
      <c r="N153" s="349">
        <f t="shared" ca="1" si="56"/>
        <v>192.36926730394563</v>
      </c>
      <c r="O153" s="349">
        <f t="shared" ca="1" si="57"/>
        <v>209.53760264898389</v>
      </c>
      <c r="P153" s="349">
        <f t="shared" ca="1" si="58"/>
        <v>107.22035727983072</v>
      </c>
      <c r="Q153" s="349">
        <f>Li_Chemicals!W108</f>
        <v>238.72037809003345</v>
      </c>
      <c r="R153" s="349">
        <f>GREET1_Import_Export!F526</f>
        <v>2.088123588820042</v>
      </c>
      <c r="S153" s="349">
        <f>GREET1_Import_Export!G526</f>
        <v>12.669948022072647</v>
      </c>
      <c r="T153" s="349">
        <f t="shared" si="59"/>
        <v>0</v>
      </c>
      <c r="U153" s="349">
        <f ca="1">Cobalt!K87</f>
        <v>191.91800555016786</v>
      </c>
      <c r="V153" s="349" cm="1">
        <f t="array" aca="1" ref="V153" ca="1">Li_Chemicals!V108*'Battery Recycling'!$F$37+SUMPRODUCT('Battery Recycling'!$B$37:$D$37+0,'Battery Recycling'!H135:J135+0)</f>
        <v>113.49989919843215</v>
      </c>
      <c r="W153" s="349">
        <f>GREET1_Import_Export!E495</f>
        <v>24.52973321585894</v>
      </c>
      <c r="X153" s="349">
        <f>GREET1_Import_Export!K495</f>
        <v>2.791267195019409</v>
      </c>
      <c r="Y153" s="349">
        <f t="shared" ca="1" si="60"/>
        <v>25.461454642713843</v>
      </c>
      <c r="Z153" s="349">
        <f ca="1">Cobalt!I87</f>
        <v>95.593280051684189</v>
      </c>
      <c r="AA153" s="349">
        <f t="shared" si="61"/>
        <v>0.96719947073990875</v>
      </c>
      <c r="AB153" s="349">
        <f>GREET1_Import_Export!L495</f>
        <v>20.994989284803754</v>
      </c>
      <c r="AC153" s="349">
        <f ca="1">Mat_Sum!CF16*2000</f>
        <v>72.734333384403783</v>
      </c>
      <c r="AD153" s="349">
        <f ca="1">Mat_Sum!CN16*2000</f>
        <v>2260.4633948052051</v>
      </c>
      <c r="AE153" s="349">
        <f t="shared" ca="1" si="62"/>
        <v>228.80428467138429</v>
      </c>
      <c r="AF153" s="349">
        <f t="shared" ca="1" si="63"/>
        <v>0.5196446324747368</v>
      </c>
      <c r="AG153" s="349">
        <f t="shared" si="64"/>
        <v>0</v>
      </c>
      <c r="AH153" s="349">
        <f>GREET1_Import_Export!B495</f>
        <v>0.10719526757869353</v>
      </c>
      <c r="AI153" s="349">
        <f t="shared" ca="1" si="65"/>
        <v>0.65581644756543389</v>
      </c>
      <c r="AJ153" s="349">
        <f>LiMn2O4!K91</f>
        <v>14.273036331988768</v>
      </c>
      <c r="AK153" s="349">
        <f>LiMn2O4!C91</f>
        <v>5.0718602126136769</v>
      </c>
      <c r="AL153" s="348">
        <f>GREET1_Import_Export!D495</f>
        <v>4.225931713588742</v>
      </c>
      <c r="AM153" s="8"/>
      <c r="AN153" s="8"/>
      <c r="AO153" s="8"/>
      <c r="AP153" s="8"/>
      <c r="AQ153" s="8"/>
      <c r="AR153" s="8"/>
      <c r="AS153" s="8"/>
      <c r="AT153" s="8"/>
      <c r="AU153" s="8"/>
      <c r="AV153" s="8"/>
      <c r="AW153" s="1321"/>
      <c r="AX153" s="1321"/>
      <c r="AY153" s="1321"/>
      <c r="AZ153" s="1321"/>
    </row>
    <row r="154" spans="1:52">
      <c r="A154" s="291" t="s">
        <v>805</v>
      </c>
      <c r="B154" s="349">
        <f>GREET1_Import_Export!G496</f>
        <v>3.8530498315894418E-2</v>
      </c>
      <c r="C154" s="349">
        <f>Mat_Sum!BC17*2000</f>
        <v>4.8150209415055638</v>
      </c>
      <c r="D154" s="349">
        <f>GREET1_Import_Export!J496</f>
        <v>0.2607338691094655</v>
      </c>
      <c r="E154" s="919" cm="1">
        <f t="array" aca="1" ref="E154" ca="1">Nickel!AC140*'Battery Recycling'!$F$36+SUMPRODUCT('Battery Recycling'!$B$36:$D$36+0,'Battery Recycling'!E136:G136+0)</f>
        <v>17.852206901401214</v>
      </c>
      <c r="F154" s="349">
        <f ca="1">Cobalt!G88*'Battery Recycling'!$F$35+SUMPRODUCT('Battery Recycling'!$B$35:$D$35+0,'Battery Recycling'!B136:D136+0)</f>
        <v>16.177763321469907</v>
      </c>
      <c r="G154" s="349">
        <f t="shared" ca="1" si="66"/>
        <v>1.7776940313465504</v>
      </c>
      <c r="H154" s="349">
        <f>GREET1_Import_Export!B527</f>
        <v>4.486187999167087</v>
      </c>
      <c r="I154" s="349">
        <f t="shared" ca="1" si="67"/>
        <v>0.12670323615731649</v>
      </c>
      <c r="J154" s="349">
        <f t="shared" ca="1" si="52"/>
        <v>16.096307237326435</v>
      </c>
      <c r="K154" s="349">
        <f t="shared" ca="1" si="53"/>
        <v>22.825194056571871</v>
      </c>
      <c r="L154" s="349">
        <f t="shared" ca="1" si="54"/>
        <v>24.212040805012357</v>
      </c>
      <c r="M154" s="1564">
        <f t="shared" ca="1" si="55"/>
        <v>26.09116046249197</v>
      </c>
      <c r="N154" s="349">
        <f t="shared" ca="1" si="56"/>
        <v>28.093799045174347</v>
      </c>
      <c r="O154" s="349">
        <f t="shared" ca="1" si="57"/>
        <v>30.979301399880711</v>
      </c>
      <c r="P154" s="349">
        <f t="shared" ca="1" si="58"/>
        <v>11.147439948092261</v>
      </c>
      <c r="Q154" s="349">
        <f>Li_Chemicals!W109</f>
        <v>134.81506181591814</v>
      </c>
      <c r="R154" s="349">
        <f>GREET1_Import_Export!F527</f>
        <v>0.72487445690386099</v>
      </c>
      <c r="S154" s="349">
        <f>GREET1_Import_Export!G527</f>
        <v>1.2606276595427097</v>
      </c>
      <c r="T154" s="349">
        <f t="shared" si="59"/>
        <v>0</v>
      </c>
      <c r="U154" s="349">
        <f ca="1">Cobalt!K88</f>
        <v>33.603110162024002</v>
      </c>
      <c r="V154" s="349" cm="1">
        <f t="array" aca="1" ref="V154" ca="1">Li_Chemicals!V109*'Battery Recycling'!$F$37+SUMPRODUCT('Battery Recycling'!$B$37:$D$37+0,'Battery Recycling'!H136:J136+0)</f>
        <v>81.657595164374357</v>
      </c>
      <c r="W154" s="349">
        <f>GREET1_Import_Export!E496</f>
        <v>4.0460128080585509</v>
      </c>
      <c r="X154" s="349">
        <f>GREET1_Import_Export!K496</f>
        <v>0.44033378589744537</v>
      </c>
      <c r="Y154" s="349">
        <f t="shared" ca="1" si="60"/>
        <v>8.5796995962881439</v>
      </c>
      <c r="Z154" s="349">
        <f ca="1">Cobalt!I88</f>
        <v>19.312311657523892</v>
      </c>
      <c r="AA154" s="349">
        <f t="shared" si="61"/>
        <v>0.22927884760263523</v>
      </c>
      <c r="AB154" s="349">
        <f>GREET1_Import_Export!L496</f>
        <v>1.3679549528897281</v>
      </c>
      <c r="AC154" s="349">
        <f ca="1">Mat_Sum!CF17*2000</f>
        <v>36.076753424582677</v>
      </c>
      <c r="AD154" s="349">
        <f ca="1">Mat_Sum!CN17*2000</f>
        <v>644.15492176432224</v>
      </c>
      <c r="AE154" s="349">
        <f t="shared" ca="1" si="62"/>
        <v>32.577098619342529</v>
      </c>
      <c r="AF154" s="349">
        <f t="shared" ca="1" si="63"/>
        <v>0.1572673096598757</v>
      </c>
      <c r="AG154" s="349">
        <f t="shared" si="64"/>
        <v>0</v>
      </c>
      <c r="AH154" s="349">
        <f>GREET1_Import_Export!B496</f>
        <v>4.2504034000769506E-3</v>
      </c>
      <c r="AI154" s="349">
        <f t="shared" ca="1" si="65"/>
        <v>0.10547919099521202</v>
      </c>
      <c r="AJ154" s="349">
        <f>LiMn2O4!K92</f>
        <v>1.0012191074650729</v>
      </c>
      <c r="AK154" s="349">
        <f>LiMn2O4!C92</f>
        <v>4.2382882993459088</v>
      </c>
      <c r="AL154" s="348">
        <f>GREET1_Import_Export!D496</f>
        <v>3.6101644650946731</v>
      </c>
      <c r="AM154" s="8"/>
      <c r="AN154" s="8"/>
      <c r="AO154" s="8"/>
      <c r="AP154" s="8"/>
      <c r="AQ154" s="8"/>
      <c r="AR154" s="8"/>
      <c r="AS154" s="8"/>
      <c r="AT154" s="8"/>
      <c r="AU154" s="8"/>
      <c r="AV154" s="8"/>
      <c r="AW154" s="1321"/>
      <c r="AX154" s="1321"/>
      <c r="AY154" s="1321"/>
      <c r="AZ154" s="1321"/>
    </row>
    <row r="155" spans="1:52">
      <c r="A155" s="291" t="s">
        <v>804</v>
      </c>
      <c r="B155" s="349">
        <f>GREET1_Import_Export!G497</f>
        <v>0.13153323869335384</v>
      </c>
      <c r="C155" s="349">
        <f>Mat_Sum!BC18*2000</f>
        <v>9.1267612322820462</v>
      </c>
      <c r="D155" s="349">
        <f>GREET1_Import_Export!J497</f>
        <v>34.832404635984659</v>
      </c>
      <c r="E155" s="919" cm="1">
        <f t="array" aca="1" ref="E155" ca="1">Nickel!AC141*'Battery Recycling'!$F$36+SUMPRODUCT('Battery Recycling'!$B$36:$D$36+0,'Battery Recycling'!E137:G137+0)</f>
        <v>40.064231869017277</v>
      </c>
      <c r="F155" s="349">
        <f ca="1">Cobalt!G89*'Battery Recycling'!$F$35+SUMPRODUCT('Battery Recycling'!$B$35:$D$35+0,'Battery Recycling'!B137:D137+0)</f>
        <v>49.696673789404535</v>
      </c>
      <c r="G155" s="349">
        <f t="shared" ca="1" si="66"/>
        <v>3.407574828703738</v>
      </c>
      <c r="H155" s="349">
        <f>GREET1_Import_Export!B528</f>
        <v>19.191353333698519</v>
      </c>
      <c r="I155" s="349">
        <f t="shared" ca="1" si="67"/>
        <v>16.926755260427921</v>
      </c>
      <c r="J155" s="349">
        <f t="shared" ca="1" si="52"/>
        <v>57.87432387084921</v>
      </c>
      <c r="K155" s="349">
        <f t="shared" ca="1" si="53"/>
        <v>107.89579383223935</v>
      </c>
      <c r="L155" s="349">
        <f t="shared" ca="1" si="54"/>
        <v>114.08222875771654</v>
      </c>
      <c r="M155" s="1564">
        <f t="shared" ca="1" si="55"/>
        <v>115.4628450759661</v>
      </c>
      <c r="N155" s="349">
        <f t="shared" ca="1" si="56"/>
        <v>119.87676965581528</v>
      </c>
      <c r="O155" s="349">
        <f t="shared" ca="1" si="57"/>
        <v>124.1841377017986</v>
      </c>
      <c r="P155" s="349">
        <f t="shared" ca="1" si="58"/>
        <v>92.379387246197467</v>
      </c>
      <c r="Q155" s="349">
        <f>Li_Chemicals!W110</f>
        <v>49.638211422549162</v>
      </c>
      <c r="R155" s="349">
        <f>GREET1_Import_Export!F528</f>
        <v>1.3405716880299723</v>
      </c>
      <c r="S155" s="349">
        <f>GREET1_Import_Export!G528</f>
        <v>7.1502635423644056</v>
      </c>
      <c r="T155" s="349">
        <f t="shared" si="59"/>
        <v>0</v>
      </c>
      <c r="U155" s="349">
        <f ca="1">Cobalt!K89</f>
        <v>130.0841761524778</v>
      </c>
      <c r="V155" s="349" cm="1">
        <f t="array" aca="1" ref="V155" ca="1">Li_Chemicals!V110*'Battery Recycling'!$F$37+SUMPRODUCT('Battery Recycling'!$B$37:$D$37+0,'Battery Recycling'!H137:J137+0)</f>
        <v>5.7149702122261399</v>
      </c>
      <c r="W155" s="349">
        <f>GREET1_Import_Export!E497</f>
        <v>19.798523406029425</v>
      </c>
      <c r="X155" s="349">
        <f>GREET1_Import_Export!K497</f>
        <v>1.3956582253195202</v>
      </c>
      <c r="Y155" s="349">
        <f t="shared" ca="1" si="60"/>
        <v>16.152007392290862</v>
      </c>
      <c r="Z155" s="349">
        <f ca="1">Cobalt!I89</f>
        <v>59.325732086187791</v>
      </c>
      <c r="AA155" s="349">
        <f t="shared" si="61"/>
        <v>0.44703795776776739</v>
      </c>
      <c r="AB155" s="349">
        <f>GREET1_Import_Export!L497</f>
        <v>15.132972788107695</v>
      </c>
      <c r="AC155" s="349">
        <f ca="1">Mat_Sum!CF18*2000</f>
        <v>9.0424406379106266</v>
      </c>
      <c r="AD155" s="349">
        <f ca="1">Mat_Sum!CN18*2000</f>
        <v>1547.0530121174734</v>
      </c>
      <c r="AE155" s="349">
        <f t="shared" ca="1" si="62"/>
        <v>139.63004829790941</v>
      </c>
      <c r="AF155" s="349">
        <f t="shared" ca="1" si="63"/>
        <v>0.31429165650485502</v>
      </c>
      <c r="AG155" s="349">
        <f t="shared" si="64"/>
        <v>0</v>
      </c>
      <c r="AH155" s="349">
        <f>GREET1_Import_Export!B497</f>
        <v>1.1051329900043733E-2</v>
      </c>
      <c r="AI155" s="349">
        <f t="shared" ca="1" si="65"/>
        <v>0.25769274726851765</v>
      </c>
      <c r="AJ155" s="349">
        <f>LiMn2O4!K93</f>
        <v>12.983514568594668</v>
      </c>
      <c r="AK155" s="349">
        <f>LiMn2O4!C93</f>
        <v>7.8879504728451053E-2</v>
      </c>
      <c r="AL155" s="348">
        <f>GREET1_Import_Export!D497</f>
        <v>0.34701301100333681</v>
      </c>
      <c r="AM155" s="8"/>
      <c r="AN155" s="8"/>
      <c r="AO155" s="8"/>
      <c r="AP155" s="8"/>
      <c r="AQ155" s="8"/>
      <c r="AR155" s="8"/>
      <c r="AS155" s="8"/>
      <c r="AT155" s="8"/>
      <c r="AU155" s="8"/>
      <c r="AV155" s="8"/>
      <c r="AW155" s="1321"/>
      <c r="AX155" s="1321"/>
      <c r="AY155" s="1321"/>
      <c r="AZ155" s="1321"/>
    </row>
    <row r="156" spans="1:52">
      <c r="A156" s="291" t="s">
        <v>818</v>
      </c>
      <c r="B156" s="349">
        <f>GREET1_Import_Export!G498</f>
        <v>0.31456407302221095</v>
      </c>
      <c r="C156" s="349">
        <f>Mat_Sum!BC19*2000</f>
        <v>2.2634351785813438</v>
      </c>
      <c r="D156" s="349">
        <f>GREET1_Import_Export!J498</f>
        <v>1.0415467161795053</v>
      </c>
      <c r="E156" s="919" cm="1">
        <f t="array" aca="1" ref="E156" ca="1">Nickel!AC142*'Battery Recycling'!$F$36+SUMPRODUCT('Battery Recycling'!$B$36:$D$36+0,'Battery Recycling'!E138:G138+0)</f>
        <v>37.873980634936096</v>
      </c>
      <c r="F156" s="349">
        <f ca="1">Cobalt!G90*'Battery Recycling'!$F$35+SUMPRODUCT('Battery Recycling'!$B$35:$D$35+0,'Battery Recycling'!B138:D138+0)</f>
        <v>14.203260848014979</v>
      </c>
      <c r="G156" s="349">
        <f t="shared" ca="1" si="66"/>
        <v>1.0282067097113847</v>
      </c>
      <c r="H156" s="349">
        <f>GREET1_Import_Export!B529</f>
        <v>0.94198237030823551</v>
      </c>
      <c r="I156" s="349">
        <f t="shared" ca="1" si="67"/>
        <v>0.50613807864587279</v>
      </c>
      <c r="J156" s="349">
        <f t="shared" ca="1" si="52"/>
        <v>21.753986317725587</v>
      </c>
      <c r="K156" s="349">
        <f t="shared" ca="1" si="53"/>
        <v>32.250279419843203</v>
      </c>
      <c r="L156" s="349">
        <f t="shared" ca="1" si="54"/>
        <v>30.979079248282943</v>
      </c>
      <c r="M156" s="1564">
        <f t="shared" ca="1" si="55"/>
        <v>39.42811876991977</v>
      </c>
      <c r="N156" s="349">
        <f t="shared" ca="1" si="56"/>
        <v>44.398698602956024</v>
      </c>
      <c r="O156" s="349">
        <f t="shared" ca="1" si="57"/>
        <v>54.37416354730459</v>
      </c>
      <c r="P156" s="349">
        <f t="shared" ca="1" si="58"/>
        <v>3.6935300855409925</v>
      </c>
      <c r="Q156" s="349">
        <f>Li_Chemicals!W111</f>
        <v>54.267104851566145</v>
      </c>
      <c r="R156" s="349">
        <f>GREET1_Import_Export!F529</f>
        <v>2.2677443886208647E-2</v>
      </c>
      <c r="S156" s="349">
        <f>GREET1_Import_Export!G529</f>
        <v>4.2590568201655321</v>
      </c>
      <c r="T156" s="349">
        <f t="shared" si="59"/>
        <v>0</v>
      </c>
      <c r="U156" s="349">
        <f ca="1">Cobalt!K90</f>
        <v>28.230719235666097</v>
      </c>
      <c r="V156" s="349" cm="1">
        <f t="array" aca="1" ref="V156" ca="1">Li_Chemicals!V111*'Battery Recycling'!$F$37+SUMPRODUCT('Battery Recycling'!$B$37:$D$37+0,'Battery Recycling'!H138:J138+0)</f>
        <v>26.127333821831662</v>
      </c>
      <c r="W156" s="349">
        <f>GREET1_Import_Export!E498</f>
        <v>0.68519700177096265</v>
      </c>
      <c r="X156" s="349">
        <f>GREET1_Import_Export!K498</f>
        <v>0.95527518380244358</v>
      </c>
      <c r="Y156" s="349">
        <f t="shared" ca="1" si="60"/>
        <v>0.72974765413483555</v>
      </c>
      <c r="Z156" s="349">
        <f ca="1">Cobalt!I90</f>
        <v>16.955236307972502</v>
      </c>
      <c r="AA156" s="349">
        <f t="shared" si="61"/>
        <v>0.29088266536950613</v>
      </c>
      <c r="AB156" s="349">
        <f>GREET1_Import_Export!L498</f>
        <v>4.4940615438063301</v>
      </c>
      <c r="AC156" s="349">
        <f ca="1">Mat_Sum!CF19*2000</f>
        <v>27.615139321910476</v>
      </c>
      <c r="AD156" s="349">
        <f ca="1">Mat_Sum!CN19*2000</f>
        <v>69.255460923409814</v>
      </c>
      <c r="AE156" s="349">
        <f t="shared" ca="1" si="62"/>
        <v>56.597137754132362</v>
      </c>
      <c r="AF156" s="349">
        <f t="shared" ca="1" si="63"/>
        <v>4.8085666310006089E-2</v>
      </c>
      <c r="AG156" s="349">
        <f t="shared" si="64"/>
        <v>0</v>
      </c>
      <c r="AH156" s="349">
        <f>GREET1_Import_Export!B498</f>
        <v>9.1893534278572858E-2</v>
      </c>
      <c r="AI156" s="349">
        <f t="shared" ca="1" si="65"/>
        <v>0.29264450930170421</v>
      </c>
      <c r="AJ156" s="349">
        <f>LiMn2O4!K94</f>
        <v>0.28830265592902937</v>
      </c>
      <c r="AK156" s="349">
        <f>LiMn2O4!C94</f>
        <v>0.75469240853931707</v>
      </c>
      <c r="AL156" s="348">
        <f>GREET1_Import_Export!D498</f>
        <v>0.26875423749073213</v>
      </c>
      <c r="AM156" s="8"/>
      <c r="AN156" s="8"/>
      <c r="AO156" s="8"/>
      <c r="AP156" s="8"/>
      <c r="AQ156" s="8"/>
      <c r="AR156" s="8"/>
      <c r="AS156" s="8"/>
      <c r="AT156" s="8"/>
      <c r="AU156" s="8"/>
      <c r="AV156" s="8"/>
      <c r="AW156" s="1321"/>
      <c r="AX156" s="1321"/>
      <c r="AY156" s="1321"/>
      <c r="AZ156" s="1321"/>
    </row>
    <row r="157" spans="1:52" s="631" customFormat="1">
      <c r="A157" s="880" t="s">
        <v>1797</v>
      </c>
      <c r="B157" s="419">
        <f>GREET1_Import_Export!G499</f>
        <v>71.585895167352376</v>
      </c>
      <c r="C157" s="419">
        <f>Mat_Sum!BC20*2000</f>
        <v>979.73005548365904</v>
      </c>
      <c r="D157" s="419">
        <f>GREET1_Import_Export!J499</f>
        <v>422.2183973339246</v>
      </c>
      <c r="E157" s="976" cm="1">
        <f t="array" aca="1" ref="E157" ca="1">Nickel!AC143*'Battery Recycling'!$F$36+SUMPRODUCT('Battery Recycling'!$B$36:$D$36+0,'Battery Recycling'!E139:G139+0)</f>
        <v>6752.3256078448094</v>
      </c>
      <c r="F157" s="419">
        <f ca="1">Cobalt!G91*'Battery Recycling'!$F$35+SUMPRODUCT('Battery Recycling'!$B$35:$D$35+0,'Battery Recycling'!B139:D139+0)</f>
        <v>15622.093787775619</v>
      </c>
      <c r="G157" s="419">
        <f ca="1">B124</f>
        <v>403.11835829127506</v>
      </c>
      <c r="H157" s="419">
        <f>GREET1_Import_Export!B530</f>
        <v>2812.7446529122171</v>
      </c>
      <c r="I157" s="419">
        <f ca="1">C124</f>
        <v>328.36937284515238</v>
      </c>
      <c r="J157" s="419">
        <f t="shared" ca="1" si="52"/>
        <v>10080.877467265806</v>
      </c>
      <c r="K157" s="419">
        <f ca="1">D124</f>
        <v>12983.556586274713</v>
      </c>
      <c r="L157" s="419">
        <f ca="1">F124</f>
        <v>15673.670097088971</v>
      </c>
      <c r="M157" s="1564">
        <f t="shared" ca="1" si="55"/>
        <v>14363.348092475688</v>
      </c>
      <c r="N157" s="419">
        <f t="shared" ca="1" si="56"/>
        <v>15039.848636664321</v>
      </c>
      <c r="O157" s="419">
        <f t="shared" ca="1" si="57"/>
        <v>14568.697883998595</v>
      </c>
      <c r="P157" s="419">
        <f t="shared" ca="1" si="58"/>
        <v>9893.4272303485086</v>
      </c>
      <c r="Q157" s="419">
        <f>Li_Chemicals!W112</f>
        <v>21855.002766443169</v>
      </c>
      <c r="R157" s="419">
        <f>GREET1_Import_Export!F530</f>
        <v>141.29098356912166</v>
      </c>
      <c r="S157" s="419">
        <f>GREET1_Import_Export!G530</f>
        <v>8613.1587189261863</v>
      </c>
      <c r="T157" s="419">
        <f t="shared" si="59"/>
        <v>0</v>
      </c>
      <c r="U157" s="419">
        <f ca="1">Cobalt!K91</f>
        <v>34156.768641658709</v>
      </c>
      <c r="V157" s="419" cm="1">
        <f t="array" aca="1" ref="V157" ca="1">Li_Chemicals!V112*'Battery Recycling'!$F$37+SUMPRODUCT('Battery Recycling'!$B$37:$D$37+0,'Battery Recycling'!H139:J139+0)</f>
        <v>11113.963355051677</v>
      </c>
      <c r="W157" s="419">
        <f>GREET1_Import_Export!E499</f>
        <v>787.45867821343597</v>
      </c>
      <c r="X157" s="419">
        <f>GREET1_Import_Export!K499</f>
        <v>485.56129412044334</v>
      </c>
      <c r="Y157" s="419">
        <f t="shared" ca="1" si="60"/>
        <v>1868.2056137627287</v>
      </c>
      <c r="Z157" s="419">
        <f ca="1">Cobalt!I91</f>
        <v>18648.977487029919</v>
      </c>
      <c r="AA157" s="419">
        <f t="shared" si="61"/>
        <v>50.015551003478407</v>
      </c>
      <c r="AB157" s="419">
        <f>GREET1_Import_Export!L499</f>
        <v>8678.2911296875773</v>
      </c>
      <c r="AC157" s="419">
        <f ca="1">Mat_Sum!CF20*2000</f>
        <v>3545.8288301402577</v>
      </c>
      <c r="AD157" s="419">
        <f ca="1">Mat_Sum!CN20*2000</f>
        <v>313939.77516951179</v>
      </c>
      <c r="AE157" s="419">
        <f t="shared" ca="1" si="62"/>
        <v>16185.426264338952</v>
      </c>
      <c r="AF157" s="419">
        <f t="shared" ca="1" si="63"/>
        <v>384.02769625785436</v>
      </c>
      <c r="AG157" s="419">
        <f t="shared" si="64"/>
        <v>266.54708520179372</v>
      </c>
      <c r="AH157" s="419">
        <f>GREET1_Import_Export!B499</f>
        <v>26.409569078578205</v>
      </c>
      <c r="AI157" s="419">
        <f t="shared" ca="1" si="65"/>
        <v>238.21661012253605</v>
      </c>
      <c r="AJ157" s="419">
        <f>LiMn2O4!K95</f>
        <v>371.61517250643328</v>
      </c>
      <c r="AK157" s="419">
        <f>LiMn2O4!C95</f>
        <v>29.580974290163297</v>
      </c>
      <c r="AL157" s="516">
        <f>GREET1_Import_Export!D499</f>
        <v>1127.9542181900342</v>
      </c>
      <c r="AM157" s="522"/>
      <c r="AN157" s="522"/>
      <c r="AO157" s="522"/>
      <c r="AP157" s="522"/>
      <c r="AQ157" s="522"/>
      <c r="AR157" s="522"/>
      <c r="AS157" s="522"/>
      <c r="AT157" s="522"/>
      <c r="AU157" s="522"/>
      <c r="AV157" s="522"/>
    </row>
    <row r="158" spans="1:52">
      <c r="A158" s="293" t="s">
        <v>1803</v>
      </c>
      <c r="B158" s="512"/>
      <c r="C158" s="512"/>
      <c r="D158" s="512"/>
      <c r="E158" s="1141"/>
      <c r="F158" s="512"/>
      <c r="G158" s="512"/>
      <c r="H158" s="512"/>
      <c r="I158" s="512"/>
      <c r="J158" s="512"/>
      <c r="K158" s="512"/>
      <c r="L158" s="512"/>
      <c r="M158" s="2710"/>
      <c r="N158" s="512"/>
      <c r="O158" s="512"/>
      <c r="P158" s="512"/>
      <c r="Q158" s="512"/>
      <c r="R158" s="512"/>
      <c r="S158" s="512"/>
      <c r="T158" s="512"/>
      <c r="U158" s="512"/>
      <c r="V158" s="512"/>
      <c r="W158" s="512"/>
      <c r="X158" s="512"/>
      <c r="Y158" s="512"/>
      <c r="Z158" s="512"/>
      <c r="AA158" s="512"/>
      <c r="AB158" s="512"/>
      <c r="AC158" s="512"/>
      <c r="AD158" s="512"/>
      <c r="AE158" s="512"/>
      <c r="AF158" s="512"/>
      <c r="AG158" s="1608"/>
      <c r="AH158" s="1608"/>
      <c r="AI158" s="512"/>
      <c r="AJ158" s="512"/>
      <c r="AK158" s="512"/>
      <c r="AL158" s="509"/>
      <c r="AM158" s="8"/>
      <c r="AN158" s="8"/>
      <c r="AO158" s="8"/>
      <c r="AP158" s="8"/>
      <c r="AQ158" s="8"/>
      <c r="AR158" s="8"/>
      <c r="AS158" s="8"/>
      <c r="AT158" s="8"/>
      <c r="AU158" s="8"/>
      <c r="AV158" s="8"/>
      <c r="AW158" s="1321"/>
      <c r="AX158" s="1321"/>
      <c r="AY158" s="1321"/>
      <c r="AZ158" s="1321"/>
    </row>
    <row r="159" spans="1:52">
      <c r="A159" s="291" t="s">
        <v>821</v>
      </c>
      <c r="B159" s="349">
        <f>GREET1_Import_Export!G501</f>
        <v>16.386342714946565</v>
      </c>
      <c r="C159" s="349">
        <f>Mat_Sum!BC22*2000</f>
        <v>145.90337312242249</v>
      </c>
      <c r="D159" s="349">
        <f>GREET1_Import_Export!J501</f>
        <v>4648.1415229431868</v>
      </c>
      <c r="E159" s="919" cm="1">
        <f t="array" aca="1" ref="E159" ca="1">Nickel!AC145*'Battery Recycling'!$F$36+SUMPRODUCT('Battery Recycling'!$B$36:$D$36+0,'Battery Recycling'!E141:G141+0)</f>
        <v>1638.7079625556491</v>
      </c>
      <c r="F159" s="349">
        <f ca="1">Cobalt!G93*'Battery Recycling'!$F$35+SUMPRODUCT('Battery Recycling'!$B$35:$D$35+0,'Battery Recycling'!B141:D141+0)</f>
        <v>1228.2106140481999</v>
      </c>
      <c r="G159" s="349">
        <f t="shared" ca="1" si="66"/>
        <v>63.752118892452273</v>
      </c>
      <c r="H159" s="349">
        <f>GREET1_Import_Export!B532</f>
        <v>246.06829187253942</v>
      </c>
      <c r="I159" s="349">
        <f t="shared" ca="1" si="67"/>
        <v>2258.7574644046081</v>
      </c>
      <c r="J159" s="349">
        <f t="shared" ref="J159:J169" ca="1" si="68">Q126</f>
        <v>3013.5160723574872</v>
      </c>
      <c r="K159" s="349">
        <f t="shared" ref="K159:K169" ca="1" si="69">D126</f>
        <v>2564.171186265974</v>
      </c>
      <c r="L159" s="349">
        <f t="shared" ref="L159:L169" ca="1" si="70">F126</f>
        <v>2644.9075645388475</v>
      </c>
      <c r="M159" s="1564">
        <f t="shared" ref="M159:M169" ca="1" si="71">H126</f>
        <v>2877.929736121564</v>
      </c>
      <c r="N159" s="349">
        <f t="shared" ref="N159:N169" ca="1" si="72">J126</f>
        <v>3081.67520619691</v>
      </c>
      <c r="O159" s="349">
        <f t="shared" ref="O159:O169" ca="1" si="73">L126</f>
        <v>3406.3461363502738</v>
      </c>
      <c r="P159" s="349">
        <f t="shared" ref="P159:P169" ca="1" si="74">N126</f>
        <v>1375.1290454525679</v>
      </c>
      <c r="Q159" s="349">
        <f>Li_Chemicals!W114</f>
        <v>3961.8748714071708</v>
      </c>
      <c r="R159" s="349">
        <f>GREET1_Import_Export!F532</f>
        <v>18.013929140109258</v>
      </c>
      <c r="S159" s="349">
        <f>GREET1_Import_Export!G532</f>
        <v>290.78124885906186</v>
      </c>
      <c r="T159" s="349">
        <f t="shared" ref="T159:T169" si="75">X126</f>
        <v>0</v>
      </c>
      <c r="U159" s="349">
        <f ca="1">Cobalt!K93</f>
        <v>4021.5489643492556</v>
      </c>
      <c r="V159" s="349" cm="1">
        <f t="array" aca="1" ref="V159" ca="1">Li_Chemicals!V114*'Battery Recycling'!$F$37+SUMPRODUCT('Battery Recycling'!$B$37:$D$37+0,'Battery Recycling'!H141:J141+0)</f>
        <v>1845.9105935769981</v>
      </c>
      <c r="W159" s="349">
        <f>GREET1_Import_Export!E501</f>
        <v>236.94023959186924</v>
      </c>
      <c r="X159" s="349">
        <f>GREET1_Import_Export!K501</f>
        <v>55.227596548340742</v>
      </c>
      <c r="Y159" s="349">
        <f t="shared" ref="Y159:Y169" ca="1" si="76">T126</f>
        <v>234.91455084840914</v>
      </c>
      <c r="Z159" s="349">
        <f ca="1">Cobalt!I93</f>
        <v>1466.1845205819511</v>
      </c>
      <c r="AA159" s="349">
        <f t="shared" ref="AA159:AA169" si="77">W126</f>
        <v>7.7031153668501418</v>
      </c>
      <c r="AB159" s="349">
        <f>GREET1_Import_Export!L501</f>
        <v>1316.36474764843</v>
      </c>
      <c r="AC159" s="349">
        <f ca="1">Mat_Sum!CF22*2000</f>
        <v>1025.4010351507518</v>
      </c>
      <c r="AD159" s="349">
        <f ca="1">Mat_Sum!CN22*2000</f>
        <v>20891.776708474361</v>
      </c>
      <c r="AE159" s="349">
        <f t="shared" ref="AE159:AE169" ca="1" si="78">AA126</f>
        <v>4981.18550304985</v>
      </c>
      <c r="AF159" s="349">
        <f t="shared" ref="AF159:AF169" ca="1" si="79">Y126</f>
        <v>5.8533676760296647</v>
      </c>
      <c r="AG159" s="349">
        <f t="shared" ref="AG159:AG169" si="80">SUM(CE95:CF95)</f>
        <v>0</v>
      </c>
      <c r="AH159" s="349">
        <f>GREET1_Import_Export!B501</f>
        <v>3.0007778627888633</v>
      </c>
      <c r="AI159" s="349">
        <f t="shared" ref="AI159:AI169" ca="1" si="81">Z126</f>
        <v>16.784803865827691</v>
      </c>
      <c r="AJ159" s="349">
        <f>LiMn2O4!K97</f>
        <v>122.52928253697699</v>
      </c>
      <c r="AK159" s="349">
        <f>LiMn2O4!C97</f>
        <v>80.509586842403678</v>
      </c>
      <c r="AL159" s="348">
        <f>GREET1_Import_Export!D501</f>
        <v>90.983630423164499</v>
      </c>
      <c r="AM159" s="8"/>
      <c r="AN159" s="8"/>
      <c r="AO159" s="8"/>
      <c r="AP159" s="8"/>
      <c r="AQ159" s="8"/>
      <c r="AR159" s="8"/>
      <c r="AS159" s="8"/>
      <c r="AT159" s="8"/>
      <c r="AU159" s="8"/>
      <c r="AV159" s="8"/>
      <c r="AW159" s="1321"/>
      <c r="AX159" s="1321"/>
      <c r="AY159" s="1321"/>
      <c r="AZ159" s="1321"/>
    </row>
    <row r="160" spans="1:52">
      <c r="A160" s="291" t="s">
        <v>822</v>
      </c>
      <c r="B160" s="349">
        <f>GREET1_Import_Export!G502</f>
        <v>36.193146201590267</v>
      </c>
      <c r="C160" s="349">
        <f>Mat_Sum!BC23*2000</f>
        <v>672.55871101603248</v>
      </c>
      <c r="D160" s="349">
        <f>GREET1_Import_Export!J502</f>
        <v>4836.6320464911105</v>
      </c>
      <c r="E160" s="919" cm="1">
        <f t="array" aca="1" ref="E160" ca="1">Nickel!AC146*'Battery Recycling'!$F$36+SUMPRODUCT('Battery Recycling'!$B$36:$D$36+0,'Battery Recycling'!E142:G142+0)</f>
        <v>9097.3541474695921</v>
      </c>
      <c r="F160" s="349">
        <f ca="1">Cobalt!G94*'Battery Recycling'!$F$35+SUMPRODUCT('Battery Recycling'!$B$35:$D$35+0,'Battery Recycling'!B142:D142+0)</f>
        <v>3915.6608817050724</v>
      </c>
      <c r="G160" s="349">
        <f t="shared" ca="1" si="66"/>
        <v>268.31961768815955</v>
      </c>
      <c r="H160" s="349">
        <f>GREET1_Import_Export!B533</f>
        <v>915.72013904324626</v>
      </c>
      <c r="I160" s="349">
        <f t="shared" ca="1" si="67"/>
        <v>2350.3541541637055</v>
      </c>
      <c r="J160" s="349">
        <f t="shared" ca="1" si="68"/>
        <v>7070.0763761509916</v>
      </c>
      <c r="K160" s="349">
        <f t="shared" ca="1" si="69"/>
        <v>10847.595418291075</v>
      </c>
      <c r="L160" s="349">
        <f t="shared" ca="1" si="70"/>
        <v>10653.119666593968</v>
      </c>
      <c r="M160" s="1564">
        <f t="shared" ca="1" si="71"/>
        <v>12573.414187281543</v>
      </c>
      <c r="N160" s="349">
        <f t="shared" ca="1" si="72"/>
        <v>13757.136978464527</v>
      </c>
      <c r="O160" s="349">
        <f t="shared" ca="1" si="73"/>
        <v>16064.506141691447</v>
      </c>
      <c r="P160" s="349">
        <f t="shared" ca="1" si="74"/>
        <v>4332.4235815502107</v>
      </c>
      <c r="Q160" s="349">
        <f>Li_Chemicals!W115</f>
        <v>12547.155989236653</v>
      </c>
      <c r="R160" s="349">
        <f>GREET1_Import_Export!F533</f>
        <v>48.691457918151862</v>
      </c>
      <c r="S160" s="349">
        <f>GREET1_Import_Export!G533</f>
        <v>789.92085650354727</v>
      </c>
      <c r="T160" s="349">
        <f t="shared" si="75"/>
        <v>0</v>
      </c>
      <c r="U160" s="349">
        <f ca="1">Cobalt!K94</f>
        <v>10133.928453999559</v>
      </c>
      <c r="V160" s="349" cm="1">
        <f t="array" aca="1" ref="V160" ca="1">Li_Chemicals!V115*'Battery Recycling'!$F$37+SUMPRODUCT('Battery Recycling'!$B$37:$D$37+0,'Battery Recycling'!H142:J142+0)</f>
        <v>7969.9770169187113</v>
      </c>
      <c r="W160" s="349">
        <f>GREET1_Import_Export!E502</f>
        <v>814.73130258495576</v>
      </c>
      <c r="X160" s="349">
        <f>GREET1_Import_Export!K502</f>
        <v>183.97368534480478</v>
      </c>
      <c r="Y160" s="349">
        <f t="shared" ca="1" si="76"/>
        <v>651.97162025916805</v>
      </c>
      <c r="Z160" s="349">
        <f ca="1">Cobalt!I94</f>
        <v>4674.3460013601125</v>
      </c>
      <c r="AA160" s="349">
        <f t="shared" si="77"/>
        <v>25.904084695378586</v>
      </c>
      <c r="AB160" s="349">
        <f>GREET1_Import_Export!L502</f>
        <v>1870.2655937365553</v>
      </c>
      <c r="AC160" s="349">
        <f ca="1">Mat_Sum!CF23*2000</f>
        <v>1238.6200548703032</v>
      </c>
      <c r="AD160" s="349">
        <f ca="1">Mat_Sum!CN23*2000</f>
        <v>66052.015038429294</v>
      </c>
      <c r="AE160" s="349">
        <f t="shared" ca="1" si="78"/>
        <v>18053.746395550843</v>
      </c>
      <c r="AF160" s="349">
        <f t="shared" ca="1" si="79"/>
        <v>17.806670804746503</v>
      </c>
      <c r="AG160" s="349">
        <f t="shared" si="80"/>
        <v>0</v>
      </c>
      <c r="AH160" s="349">
        <f>GREET1_Import_Export!B502</f>
        <v>18.066358060290298</v>
      </c>
      <c r="AI160" s="349">
        <f t="shared" ca="1" si="81"/>
        <v>39.31717430355102</v>
      </c>
      <c r="AJ160" s="349">
        <f>LiMn2O4!K98</f>
        <v>297.06842421092284</v>
      </c>
      <c r="AK160" s="349">
        <f>LiMn2O4!C98</f>
        <v>497.09762041485817</v>
      </c>
      <c r="AL160" s="348">
        <f>GREET1_Import_Export!D502</f>
        <v>431.10980413081552</v>
      </c>
      <c r="AM160" s="8"/>
      <c r="AN160" s="8"/>
      <c r="AO160" s="8"/>
      <c r="AP160" s="8"/>
      <c r="AQ160" s="8"/>
      <c r="AR160" s="8"/>
      <c r="AS160" s="8"/>
      <c r="AT160" s="8"/>
      <c r="AU160" s="8"/>
      <c r="AV160" s="8"/>
      <c r="AW160" s="1321"/>
      <c r="AX160" s="1321"/>
      <c r="AY160" s="1321"/>
      <c r="AZ160" s="1321"/>
    </row>
    <row r="161" spans="1:48">
      <c r="A161" s="291" t="s">
        <v>849</v>
      </c>
      <c r="B161" s="349">
        <f>GREET1_Import_Export!G503</f>
        <v>288.99271490543373</v>
      </c>
      <c r="C161" s="349">
        <f>Mat_Sum!BC24*2000</f>
        <v>905.07542828231897</v>
      </c>
      <c r="D161" s="349">
        <f>GREET1_Import_Export!J503</f>
        <v>1922.8587031608201</v>
      </c>
      <c r="E161" s="919" cm="1">
        <f t="array" aca="1" ref="E161" ca="1">Nickel!AC147*'Battery Recycling'!$F$36+SUMPRODUCT('Battery Recycling'!$B$36:$D$36+0,'Battery Recycling'!E143:G143+0)</f>
        <v>15491.280529351869</v>
      </c>
      <c r="F161" s="349">
        <f ca="1">Cobalt!G95*'Battery Recycling'!$F$35+SUMPRODUCT('Battery Recycling'!$B$35:$D$35+0,'Battery Recycling'!B143:D143+0)</f>
        <v>7486.3758548268988</v>
      </c>
      <c r="G161" s="349">
        <f t="shared" ca="1" si="66"/>
        <v>517.15459940182564</v>
      </c>
      <c r="H161" s="349">
        <f>GREET1_Import_Export!B534</f>
        <v>1538.7321009648394</v>
      </c>
      <c r="I161" s="349">
        <f t="shared" ca="1" si="67"/>
        <v>934.41032879948182</v>
      </c>
      <c r="J161" s="349">
        <f t="shared" ca="1" si="68"/>
        <v>11239.537259154393</v>
      </c>
      <c r="K161" s="349">
        <f t="shared" ca="1" si="69"/>
        <v>17683.435150833036</v>
      </c>
      <c r="L161" s="349">
        <f t="shared" ca="1" si="70"/>
        <v>17529.483379450558</v>
      </c>
      <c r="M161" s="1564">
        <f t="shared" ca="1" si="71"/>
        <v>20620.689413300472</v>
      </c>
      <c r="N161" s="349">
        <f t="shared" ca="1" si="72"/>
        <v>22615.53225127409</v>
      </c>
      <c r="O161" s="349">
        <f t="shared" ca="1" si="73"/>
        <v>26396.243230118038</v>
      </c>
      <c r="P161" s="349">
        <f t="shared" ca="1" si="74"/>
        <v>7201.9245790539962</v>
      </c>
      <c r="Q161" s="349">
        <f>Li_Chemicals!W116</f>
        <v>33925.076736584262</v>
      </c>
      <c r="R161" s="349">
        <f>GREET1_Import_Export!F534</f>
        <v>100.30742943791151</v>
      </c>
      <c r="S161" s="349">
        <f>GREET1_Import_Export!G534</f>
        <v>3984.621106011843</v>
      </c>
      <c r="T161" s="349">
        <f t="shared" si="75"/>
        <v>0</v>
      </c>
      <c r="U161" s="349">
        <f ca="1">Cobalt!K95</f>
        <v>16739.398654135559</v>
      </c>
      <c r="V161" s="349" cm="1">
        <f t="array" aca="1" ref="V161" ca="1">Li_Chemicals!V116*'Battery Recycling'!$F$37+SUMPRODUCT('Battery Recycling'!$B$37:$D$37+0,'Battery Recycling'!H143:J143+0)</f>
        <v>16040.413135270697</v>
      </c>
      <c r="W161" s="349">
        <f>GREET1_Import_Export!E503</f>
        <v>1344.5598268288322</v>
      </c>
      <c r="X161" s="349">
        <f>GREET1_Import_Export!K503</f>
        <v>913.39998567633234</v>
      </c>
      <c r="Y161" s="349">
        <f t="shared" ca="1" si="76"/>
        <v>1604.9594095726895</v>
      </c>
      <c r="Z161" s="349">
        <f ca="1">Cobalt!I95</f>
        <v>8936.9105494270807</v>
      </c>
      <c r="AA161" s="349">
        <f t="shared" si="77"/>
        <v>67.798547059953151</v>
      </c>
      <c r="AB161" s="349">
        <f>GREET1_Import_Export!L503</f>
        <v>4411.0132191601469</v>
      </c>
      <c r="AC161" s="349">
        <f ca="1">Mat_Sum!CF24*2000</f>
        <v>12388.909524732282</v>
      </c>
      <c r="AD161" s="349">
        <f ca="1">Mat_Sum!CN24*2000</f>
        <v>130646.24135098234</v>
      </c>
      <c r="AE161" s="349">
        <f t="shared" ca="1" si="78"/>
        <v>27911.210065354306</v>
      </c>
      <c r="AF161" s="349">
        <f t="shared" ca="1" si="79"/>
        <v>56.724052845960216</v>
      </c>
      <c r="AG161" s="349">
        <f t="shared" si="80"/>
        <v>0</v>
      </c>
      <c r="AH161" s="349">
        <f>GREET1_Import_Export!B503</f>
        <v>14.969385706424767</v>
      </c>
      <c r="AI161" s="349">
        <f t="shared" ca="1" si="81"/>
        <v>274.62679912781471</v>
      </c>
      <c r="AJ161" s="349">
        <f>LiMn2O4!K99</f>
        <v>463.36192216279449</v>
      </c>
      <c r="AK161" s="349">
        <f>LiMn2O4!C99</f>
        <v>288.19515688712204</v>
      </c>
      <c r="AL161" s="348">
        <f>GREET1_Import_Export!D503</f>
        <v>261.58086565886384</v>
      </c>
      <c r="AM161" s="8"/>
      <c r="AN161" s="8"/>
      <c r="AO161" s="8"/>
      <c r="AP161" s="8"/>
      <c r="AQ161" s="8"/>
      <c r="AR161" s="8"/>
      <c r="AS161" s="8"/>
      <c r="AT161" s="8"/>
      <c r="AU161" s="8"/>
      <c r="AV161" s="8"/>
    </row>
    <row r="162" spans="1:48">
      <c r="A162" s="291" t="s">
        <v>824</v>
      </c>
      <c r="B162" s="349">
        <f>GREET1_Import_Export!G504</f>
        <v>19.300317267717091</v>
      </c>
      <c r="C162" s="349">
        <f>Mat_Sum!BC25*2000</f>
        <v>4789.6488616121642</v>
      </c>
      <c r="D162" s="349">
        <f>GREET1_Import_Export!J504</f>
        <v>87.482698753180699</v>
      </c>
      <c r="E162" s="919" cm="1">
        <f t="array" aca="1" ref="E162" ca="1">Nickel!AC148*'Battery Recycling'!$F$36+SUMPRODUCT('Battery Recycling'!$B$36:$D$36+0,'Battery Recycling'!E144:G144+0)</f>
        <v>4591.9094414408091</v>
      </c>
      <c r="F162" s="349">
        <f ca="1">Cobalt!G96*'Battery Recycling'!$F$35+SUMPRODUCT('Battery Recycling'!$B$35:$D$35+0,'Battery Recycling'!B144:D144+0)</f>
        <v>21930.858824281568</v>
      </c>
      <c r="G162" s="349">
        <f t="shared" ca="1" si="66"/>
        <v>1755.9681674569879</v>
      </c>
      <c r="H162" s="349">
        <f>GREET1_Import_Export!B535</f>
        <v>156.32513173420713</v>
      </c>
      <c r="I162" s="349">
        <f t="shared" ca="1" si="67"/>
        <v>42.512087430996637</v>
      </c>
      <c r="J162" s="349">
        <f t="shared" ca="1" si="68"/>
        <v>13831.568952820069</v>
      </c>
      <c r="K162" s="349">
        <f t="shared" ca="1" si="69"/>
        <v>12022.193622388633</v>
      </c>
      <c r="L162" s="349">
        <f t="shared" ca="1" si="70"/>
        <v>16226.385946172095</v>
      </c>
      <c r="M162" s="1564">
        <f t="shared" ca="1" si="71"/>
        <v>12830.614708692801</v>
      </c>
      <c r="N162" s="349">
        <f t="shared" ca="1" si="72"/>
        <v>12894.886050609595</v>
      </c>
      <c r="O162" s="349">
        <f t="shared" ca="1" si="73"/>
        <v>10418.417863103845</v>
      </c>
      <c r="P162" s="349">
        <f t="shared" ca="1" si="74"/>
        <v>603.38043866459634</v>
      </c>
      <c r="Q162" s="349">
        <f>Li_Chemicals!W117</f>
        <v>4985.261306706896</v>
      </c>
      <c r="R162" s="349">
        <f>GREET1_Import_Export!F535</f>
        <v>16.056839092527738</v>
      </c>
      <c r="S162" s="349">
        <f>GREET1_Import_Export!G535</f>
        <v>942.33400364736212</v>
      </c>
      <c r="T162" s="349">
        <f t="shared" si="75"/>
        <v>0</v>
      </c>
      <c r="U162" s="349">
        <f ca="1">Cobalt!K96</f>
        <v>42502.858987873173</v>
      </c>
      <c r="V162" s="349" cm="1">
        <f t="array" aca="1" ref="V162" ca="1">Li_Chemicals!V117*'Battery Recycling'!$F$37+SUMPRODUCT('Battery Recycling'!$B$37:$D$37+0,'Battery Recycling'!H144:J144+0)</f>
        <v>2958.8157126667875</v>
      </c>
      <c r="W162" s="349">
        <f>GREET1_Import_Export!E504</f>
        <v>137.26759404572465</v>
      </c>
      <c r="X162" s="349">
        <f>GREET1_Import_Export!K504</f>
        <v>73.991378917815894</v>
      </c>
      <c r="Y162" s="349">
        <f t="shared" ca="1" si="76"/>
        <v>221.52699596812678</v>
      </c>
      <c r="Z162" s="349">
        <f ca="1">Cobalt!I96</f>
        <v>26180.107355730637</v>
      </c>
      <c r="AA162" s="349">
        <f t="shared" si="77"/>
        <v>10.881623794628434</v>
      </c>
      <c r="AB162" s="349">
        <f>GREET1_Import_Export!L504</f>
        <v>957.99807945950272</v>
      </c>
      <c r="AC162" s="349">
        <f ca="1">Mat_Sum!CF25*2000</f>
        <v>4914.8016442303751</v>
      </c>
      <c r="AD162" s="349">
        <f ca="1">Mat_Sum!CN25*2000</f>
        <v>17023.896614787485</v>
      </c>
      <c r="AE162" s="349">
        <f t="shared" ca="1" si="78"/>
        <v>12278.334532140714</v>
      </c>
      <c r="AF162" s="349">
        <f t="shared" ca="1" si="79"/>
        <v>198.84141172484306</v>
      </c>
      <c r="AG162" s="349">
        <f t="shared" si="80"/>
        <v>152.86422939807014</v>
      </c>
      <c r="AH162" s="349">
        <f>GREET1_Import_Export!B504</f>
        <v>3.0828975820344748</v>
      </c>
      <c r="AI162" s="349">
        <f t="shared" ca="1" si="81"/>
        <v>108.06532224366451</v>
      </c>
      <c r="AJ162" s="349">
        <f>LiMn2O4!K100</f>
        <v>55.401576865011492</v>
      </c>
      <c r="AK162" s="349">
        <f>LiMn2O4!C100</f>
        <v>152.39917049658362</v>
      </c>
      <c r="AL162" s="348">
        <f>GREET1_Import_Export!D504</f>
        <v>127.70743662190986</v>
      </c>
      <c r="AM162" s="8"/>
      <c r="AN162" s="8"/>
      <c r="AO162" s="8"/>
      <c r="AP162" s="8"/>
      <c r="AQ162" s="8"/>
      <c r="AR162" s="8"/>
      <c r="AS162" s="8"/>
      <c r="AT162" s="8"/>
      <c r="AU162" s="8"/>
      <c r="AV162" s="8"/>
    </row>
    <row r="163" spans="1:48">
      <c r="A163" s="291" t="s">
        <v>825</v>
      </c>
      <c r="B163" s="349">
        <f>GREET1_Import_Export!G505</f>
        <v>17.569091223792814</v>
      </c>
      <c r="C163" s="349">
        <f>Mat_Sum!BC26*2000</f>
        <v>2402.7897663199087</v>
      </c>
      <c r="D163" s="349">
        <f>GREET1_Import_Export!J505</f>
        <v>78.958349841330133</v>
      </c>
      <c r="E163" s="919" cm="1">
        <f t="array" aca="1" ref="E163" ca="1">Nickel!AC149*'Battery Recycling'!$F$36+SUMPRODUCT('Battery Recycling'!$B$36:$D$36+0,'Battery Recycling'!E145:G145+0)</f>
        <v>2565.1645495751927</v>
      </c>
      <c r="F163" s="349">
        <f ca="1">Cobalt!G97*'Battery Recycling'!$F$35+SUMPRODUCT('Battery Recycling'!$B$35:$D$35+0,'Battery Recycling'!B145:D145+0)</f>
        <v>2706.9070937049978</v>
      </c>
      <c r="G163" s="349">
        <f t="shared" ca="1" si="66"/>
        <v>886.02698726425149</v>
      </c>
      <c r="H163" s="349">
        <f>GREET1_Import_Export!B536</f>
        <v>107.01414091920527</v>
      </c>
      <c r="I163" s="349">
        <f t="shared" ca="1" si="67"/>
        <v>38.369692747273682</v>
      </c>
      <c r="J163" s="349">
        <f t="shared" ca="1" si="68"/>
        <v>3857.8385168191985</v>
      </c>
      <c r="K163" s="349">
        <f t="shared" ca="1" si="69"/>
        <v>3495.8248155357464</v>
      </c>
      <c r="L163" s="349">
        <f t="shared" ca="1" si="70"/>
        <v>3710.3815770307315</v>
      </c>
      <c r="M163" s="1564">
        <f t="shared" ca="1" si="71"/>
        <v>3863.4997210983734</v>
      </c>
      <c r="N163" s="349">
        <f t="shared" ca="1" si="72"/>
        <v>4041.4235835887407</v>
      </c>
      <c r="O163" s="349">
        <f t="shared" ca="1" si="73"/>
        <v>4287.503434607489</v>
      </c>
      <c r="P163" s="349">
        <f t="shared" ca="1" si="74"/>
        <v>472.92223109657789</v>
      </c>
      <c r="Q163" s="349">
        <f>Li_Chemicals!W118</f>
        <v>3632.5135765902946</v>
      </c>
      <c r="R163" s="349">
        <f>GREET1_Import_Export!F536</f>
        <v>9.6384311519474348</v>
      </c>
      <c r="S163" s="349">
        <f>GREET1_Import_Export!G536</f>
        <v>742.52460938720776</v>
      </c>
      <c r="T163" s="349">
        <f t="shared" si="75"/>
        <v>0</v>
      </c>
      <c r="U163" s="349">
        <f ca="1">Cobalt!K97</f>
        <v>5354.3866964464969</v>
      </c>
      <c r="V163" s="349" cm="1">
        <f t="array" aca="1" ref="V163" ca="1">Li_Chemicals!V118*'Battery Recycling'!$F$37+SUMPRODUCT('Battery Recycling'!$B$37:$D$37+0,'Battery Recycling'!H145:J145+0)</f>
        <v>2088.2470433531489</v>
      </c>
      <c r="W163" s="349">
        <f>GREET1_Import_Export!E505</f>
        <v>95.956988988933361</v>
      </c>
      <c r="X163" s="349">
        <f>GREET1_Import_Export!K505</f>
        <v>65.104319965124773</v>
      </c>
      <c r="Y163" s="349">
        <f t="shared" ca="1" si="76"/>
        <v>143.11378392076614</v>
      </c>
      <c r="Z163" s="349">
        <f ca="1">Cobalt!I97</f>
        <v>3231.388195191083</v>
      </c>
      <c r="AA163" s="349">
        <f t="shared" si="77"/>
        <v>6.3200622605734607</v>
      </c>
      <c r="AB163" s="349">
        <f>GREET1_Import_Export!L505</f>
        <v>756.91127973164043</v>
      </c>
      <c r="AC163" s="349">
        <f ca="1">Mat_Sum!CF26*2000</f>
        <v>2450.8306257840068</v>
      </c>
      <c r="AD163" s="349">
        <f ca="1">Mat_Sum!CN26*2000</f>
        <v>10684.878884853144</v>
      </c>
      <c r="AE163" s="349">
        <f t="shared" ca="1" si="78"/>
        <v>4471.4316612776083</v>
      </c>
      <c r="AF163" s="349">
        <f t="shared" ca="1" si="79"/>
        <v>101.64669595524998</v>
      </c>
      <c r="AG163" s="349">
        <f t="shared" si="80"/>
        <v>77.108334586547087</v>
      </c>
      <c r="AH163" s="349">
        <f>GREET1_Import_Export!B505</f>
        <v>0.5412854216344879</v>
      </c>
      <c r="AI163" s="349">
        <f t="shared" ca="1" si="81"/>
        <v>61.866898591876812</v>
      </c>
      <c r="AJ163" s="349">
        <f>LiMn2O4!K101</f>
        <v>42.890147893721519</v>
      </c>
      <c r="AK163" s="349">
        <f>LiMn2O4!C101</f>
        <v>96.793658571809999</v>
      </c>
      <c r="AL163" s="348">
        <f>GREET1_Import_Export!D505</f>
        <v>96.37911509869511</v>
      </c>
      <c r="AM163" s="8"/>
      <c r="AN163" s="8"/>
      <c r="AO163" s="8"/>
      <c r="AP163" s="8"/>
      <c r="AQ163" s="8"/>
      <c r="AR163" s="8"/>
      <c r="AS163" s="8"/>
      <c r="AT163" s="8"/>
      <c r="AU163" s="8"/>
      <c r="AV163" s="8"/>
    </row>
    <row r="164" spans="1:48">
      <c r="A164" s="291" t="s">
        <v>826</v>
      </c>
      <c r="B164" s="2665">
        <f>GREET1_Import_Export!G506</f>
        <v>1950.6014611258231</v>
      </c>
      <c r="C164" s="2665">
        <f>Mat_Sum!BC27*2000</f>
        <v>568.14929628034997</v>
      </c>
      <c r="D164" s="2665">
        <f>GREET1_Import_Export!J506</f>
        <v>666.22795731068788</v>
      </c>
      <c r="E164" s="1409" cm="1">
        <f t="array" aca="1" ref="E164" ca="1">Nickel!AC150*'Battery Recycling'!$F$36+SUMPRODUCT('Battery Recycling'!$B$36:$D$36+0,'Battery Recycling'!E146:G146+0)</f>
        <v>489753.86394170811</v>
      </c>
      <c r="F164" s="2665">
        <f ca="1">Cobalt!G98*'Battery Recycling'!$F$35+SUMPRODUCT('Battery Recycling'!$B$35:$D$35+0,'Battery Recycling'!B146:D146+0)</f>
        <v>22637.168743719238</v>
      </c>
      <c r="G164" s="2665">
        <f t="shared" ca="1" si="66"/>
        <v>1473.7650230931708</v>
      </c>
      <c r="H164" s="2665">
        <f>GREET1_Import_Export!B537</f>
        <v>785.933534059934</v>
      </c>
      <c r="I164" s="2665">
        <f t="shared" ca="1" si="67"/>
        <v>323.75248562089541</v>
      </c>
      <c r="J164" s="2665">
        <f t="shared" ca="1" si="68"/>
        <v>195739.6704505962</v>
      </c>
      <c r="K164" s="2665">
        <f t="shared" ca="1" si="69"/>
        <v>342041.27191631572</v>
      </c>
      <c r="L164" s="2665">
        <f t="shared" ca="1" si="70"/>
        <v>290743.67495252984</v>
      </c>
      <c r="M164" s="2711">
        <f t="shared" ca="1" si="71"/>
        <v>435154.62145602447</v>
      </c>
      <c r="N164" s="2665">
        <f t="shared" ca="1" si="72"/>
        <v>503524.26302377362</v>
      </c>
      <c r="O164" s="2665">
        <f t="shared" ca="1" si="73"/>
        <v>661694.56883080222</v>
      </c>
      <c r="P164" s="2665">
        <f t="shared" ca="1" si="74"/>
        <v>9731.1503174352802</v>
      </c>
      <c r="Q164" s="2665">
        <f>Li_Chemicals!W119</f>
        <v>28839.006668592767</v>
      </c>
      <c r="R164" s="2665">
        <f>GREET1_Import_Export!F537</f>
        <v>84.221921714843376</v>
      </c>
      <c r="S164" s="2665">
        <f>GREET1_Import_Export!G537</f>
        <v>9903.1495745072934</v>
      </c>
      <c r="T164" s="2665">
        <f t="shared" si="75"/>
        <v>0</v>
      </c>
      <c r="U164" s="2665">
        <f ca="1">Cobalt!K98</f>
        <v>44446.058927484104</v>
      </c>
      <c r="V164" s="2665" cm="1">
        <f t="array" aca="1" ref="V164" ca="1">Li_Chemicals!V119*'Battery Recycling'!$F$37+SUMPRODUCT('Battery Recycling'!$B$37:$D$37+0,'Battery Recycling'!H146:J146+0)</f>
        <v>13846.427293532708</v>
      </c>
      <c r="W164" s="2665">
        <f>GREET1_Import_Export!E506</f>
        <v>712.12055898957874</v>
      </c>
      <c r="X164" s="2665">
        <f>GREET1_Import_Export!K506</f>
        <v>544.33560519064861</v>
      </c>
      <c r="Y164" s="2665">
        <f t="shared" ca="1" si="76"/>
        <v>1238.5158509454568</v>
      </c>
      <c r="Z164" s="2665">
        <f ca="1">Cobalt!I98</f>
        <v>27023.269480180697</v>
      </c>
      <c r="AA164" s="2665">
        <f t="shared" si="77"/>
        <v>46.849449633810963</v>
      </c>
      <c r="AB164" s="2665">
        <f>GREET1_Import_Export!L506</f>
        <v>9996.307282515465</v>
      </c>
      <c r="AC164" s="2665">
        <f ca="1">Mat_Sum!CF27*2000</f>
        <v>67776.625713044021</v>
      </c>
      <c r="AD164" s="2665">
        <f ca="1">Mat_Sum!CN27*2000</f>
        <v>113943.34913509723</v>
      </c>
      <c r="AE164" s="2665">
        <f t="shared" ca="1" si="78"/>
        <v>673480.64077062823</v>
      </c>
      <c r="AF164" s="2665">
        <f t="shared" ca="1" si="79"/>
        <v>38.068851320932851</v>
      </c>
      <c r="AG164" s="2665">
        <f t="shared" si="80"/>
        <v>0</v>
      </c>
      <c r="AH164" s="2665">
        <f>GREET1_Import_Export!B506</f>
        <v>1.6483951101043521</v>
      </c>
      <c r="AI164" s="2665">
        <f t="shared" ca="1" si="81"/>
        <v>1695.0289281758369</v>
      </c>
      <c r="AJ164" s="2665">
        <f>LiMn2O4!K102</f>
        <v>253.61192778069025</v>
      </c>
      <c r="AK164" s="2665">
        <f>LiMn2O4!C102</f>
        <v>163.79241128538894</v>
      </c>
      <c r="AL164" s="2712">
        <f>GREET1_Import_Export!D506</f>
        <v>138.00471185010412</v>
      </c>
      <c r="AM164" s="8"/>
      <c r="AN164" s="8"/>
      <c r="AO164" s="8"/>
      <c r="AP164" s="8"/>
      <c r="AQ164" s="8"/>
      <c r="AR164" s="8"/>
      <c r="AS164" s="8"/>
      <c r="AT164" s="8"/>
      <c r="AU164" s="8"/>
      <c r="AV164" s="8"/>
    </row>
    <row r="165" spans="1:48">
      <c r="A165" s="483" t="s">
        <v>827</v>
      </c>
      <c r="B165" s="349">
        <f>GREET1_Import_Export!G507</f>
        <v>2.510337273218286</v>
      </c>
      <c r="C165" s="349">
        <f>Mat_Sum!BC28*2000</f>
        <v>4.3031816517159891</v>
      </c>
      <c r="D165" s="349">
        <f>GREET1_Import_Export!J507</f>
        <v>13.222739831466653</v>
      </c>
      <c r="E165" s="919" cm="1">
        <f t="array" aca="1" ref="E165" ca="1">Nickel!AC151*'Battery Recycling'!$F$36+SUMPRODUCT('Battery Recycling'!$B$36:$D$36+0,'Battery Recycling'!E147:G147+0)</f>
        <v>79.132300839703518</v>
      </c>
      <c r="F165" s="349">
        <f ca="1">Cobalt!G99*'Battery Recycling'!$F$35+SUMPRODUCT('Battery Recycling'!$B$35:$D$35+0,'Battery Recycling'!B147:D147+0)</f>
        <v>123.21234094913486</v>
      </c>
      <c r="G165" s="349">
        <f t="shared" ca="1" si="66"/>
        <v>3.1968775581914048</v>
      </c>
      <c r="H165" s="349">
        <f>GREET1_Import_Export!B538</f>
        <v>11.363682492622178</v>
      </c>
      <c r="I165" s="349">
        <f t="shared" ca="1" si="67"/>
        <v>6.425570767753598</v>
      </c>
      <c r="J165" s="349">
        <f t="shared" ca="1" si="68"/>
        <v>211.35162949496313</v>
      </c>
      <c r="K165" s="349">
        <f t="shared" ca="1" si="69"/>
        <v>134.72365258020119</v>
      </c>
      <c r="L165" s="349">
        <f t="shared" ca="1" si="70"/>
        <v>152.96841183398945</v>
      </c>
      <c r="M165" s="1564">
        <f t="shared" ca="1" si="71"/>
        <v>150.52343149675011</v>
      </c>
      <c r="N165" s="349">
        <f t="shared" ca="1" si="72"/>
        <v>159.49722291620685</v>
      </c>
      <c r="O165" s="349">
        <f t="shared" ca="1" si="73"/>
        <v>164.35041020547641</v>
      </c>
      <c r="P165" s="349">
        <f t="shared" ca="1" si="74"/>
        <v>60.727843076711785</v>
      </c>
      <c r="Q165" s="349">
        <f>Li_Chemicals!W120</f>
        <v>444.16971151084385</v>
      </c>
      <c r="R165" s="349">
        <f>GREET1_Import_Export!F538</f>
        <v>0.58808499161464722</v>
      </c>
      <c r="S165" s="349">
        <f>GREET1_Import_Export!G538</f>
        <v>40.837807947657211</v>
      </c>
      <c r="T165" s="349">
        <f t="shared" si="75"/>
        <v>0</v>
      </c>
      <c r="U165" s="349">
        <f ca="1">Cobalt!K99</f>
        <v>256.38461415119536</v>
      </c>
      <c r="V165" s="349" cm="1">
        <f t="array" aca="1" ref="V165" ca="1">Li_Chemicals!V120*'Battery Recycling'!$F$37+SUMPRODUCT('Battery Recycling'!$B$37:$D$37+0,'Battery Recycling'!H147:J147+0)</f>
        <v>192.36506940347346</v>
      </c>
      <c r="W165" s="349">
        <f>GREET1_Import_Export!E507</f>
        <v>10.21975488022491</v>
      </c>
      <c r="X165" s="349">
        <f>GREET1_Import_Export!K507</f>
        <v>10.177360112006111</v>
      </c>
      <c r="Y165" s="349">
        <f t="shared" ca="1" si="76"/>
        <v>11.772502511975077</v>
      </c>
      <c r="Z165" s="349">
        <f ca="1">Cobalt!I99</f>
        <v>147.08554459471367</v>
      </c>
      <c r="AA165" s="349">
        <f t="shared" si="77"/>
        <v>0.44134861013684146</v>
      </c>
      <c r="AB165" s="349">
        <f>GREET1_Import_Export!L507</f>
        <v>43.697733086522923</v>
      </c>
      <c r="AC165" s="349">
        <f ca="1">Mat_Sum!CF28*2000</f>
        <v>18.171181887172942</v>
      </c>
      <c r="AD165" s="349">
        <f ca="1">Mat_Sum!CN28*2000</f>
        <v>845.97781123991626</v>
      </c>
      <c r="AE165" s="349">
        <f t="shared" ca="1" si="78"/>
        <v>180.94206846127469</v>
      </c>
      <c r="AF165" s="349">
        <f t="shared" ca="1" si="79"/>
        <v>0.52675470526465362</v>
      </c>
      <c r="AG165" s="349">
        <f t="shared" si="80"/>
        <v>0</v>
      </c>
      <c r="AH165" s="349">
        <f>GREET1_Import_Export!B507</f>
        <v>0.1094505527701294</v>
      </c>
      <c r="AI165" s="349">
        <f t="shared" ca="1" si="81"/>
        <v>2.4011972193894664</v>
      </c>
      <c r="AJ165" s="349">
        <f>LiMn2O4!K103</f>
        <v>4.7403961589104213</v>
      </c>
      <c r="AK165" s="349">
        <f>LiMn2O4!C103</f>
        <v>4.3103230696784021</v>
      </c>
      <c r="AL165" s="348">
        <f>GREET1_Import_Export!D507</f>
        <v>7.9155082301471706</v>
      </c>
      <c r="AM165" s="8"/>
      <c r="AN165" s="8"/>
      <c r="AO165" s="8"/>
      <c r="AP165" s="8"/>
      <c r="AQ165" s="8"/>
      <c r="AR165" s="8"/>
      <c r="AS165" s="8"/>
      <c r="AT165" s="8"/>
      <c r="AU165" s="8"/>
      <c r="AV165" s="8"/>
    </row>
    <row r="166" spans="1:48">
      <c r="A166" s="483" t="s">
        <v>828</v>
      </c>
      <c r="B166" s="349">
        <f>GREET1_Import_Export!G508</f>
        <v>7.412240328039009</v>
      </c>
      <c r="C166" s="349">
        <f>Mat_Sum!BC29*2000</f>
        <v>19.26156780429752</v>
      </c>
      <c r="D166" s="349">
        <f>GREET1_Import_Export!J508</f>
        <v>31.899893306173396</v>
      </c>
      <c r="E166" s="919" cm="1">
        <f t="array" aca="1" ref="E166" ca="1">Nickel!AC152*'Battery Recycling'!$F$36+SUMPRODUCT('Battery Recycling'!$B$36:$D$36+0,'Battery Recycling'!E148:G148+0)</f>
        <v>161.63741987209281</v>
      </c>
      <c r="F166" s="349">
        <f ca="1">Cobalt!G100*'Battery Recycling'!$F$35+SUMPRODUCT('Battery Recycling'!$B$35:$D$35+0,'Battery Recycling'!B148:D148+0)</f>
        <v>147.45296970508269</v>
      </c>
      <c r="G166" s="349">
        <f t="shared" ca="1" si="66"/>
        <v>11.825624287762412</v>
      </c>
      <c r="H166" s="349">
        <f>GREET1_Import_Export!B539</f>
        <v>33.759433484885044</v>
      </c>
      <c r="I166" s="349">
        <f t="shared" ca="1" si="67"/>
        <v>15.501705738384089</v>
      </c>
      <c r="J166" s="349">
        <f t="shared" ca="1" si="68"/>
        <v>460.8822434312425</v>
      </c>
      <c r="K166" s="349">
        <f t="shared" ca="1" si="69"/>
        <v>262.99442368519715</v>
      </c>
      <c r="L166" s="349">
        <f t="shared" ca="1" si="70"/>
        <v>276.24886308079681</v>
      </c>
      <c r="M166" s="1564">
        <f t="shared" ca="1" si="71"/>
        <v>293.29044775343772</v>
      </c>
      <c r="N166" s="349">
        <f t="shared" ca="1" si="72"/>
        <v>312.11929353524698</v>
      </c>
      <c r="O166" s="349">
        <f t="shared" ca="1" si="73"/>
        <v>338.78355368152739</v>
      </c>
      <c r="P166" s="349">
        <f t="shared" ca="1" si="74"/>
        <v>166.50229224658688</v>
      </c>
      <c r="Q166" s="349">
        <f>Li_Chemicals!W121</f>
        <v>892.24653500695217</v>
      </c>
      <c r="R166" s="349">
        <f>GREET1_Import_Export!F539</f>
        <v>2.7991420846411841</v>
      </c>
      <c r="S166" s="349">
        <f>GREET1_Import_Export!G539</f>
        <v>89.332976028329611</v>
      </c>
      <c r="T166" s="349">
        <f t="shared" si="75"/>
        <v>0</v>
      </c>
      <c r="U166" s="349">
        <f ca="1">Cobalt!K100</f>
        <v>332.3548378189351</v>
      </c>
      <c r="V166" s="349" cm="1">
        <f t="array" aca="1" ref="V166" ca="1">Li_Chemicals!V121*'Battery Recycling'!$F$37+SUMPRODUCT('Battery Recycling'!$B$37:$D$37+0,'Battery Recycling'!H148:J148+0)</f>
        <v>359.49042334121344</v>
      </c>
      <c r="W166" s="349">
        <f>GREET1_Import_Export!E508</f>
        <v>30.558939824876735</v>
      </c>
      <c r="X166" s="349">
        <f>GREET1_Import_Export!K508</f>
        <v>24.899766353109769</v>
      </c>
      <c r="Y166" s="349">
        <f t="shared" ca="1" si="76"/>
        <v>44.498678797345136</v>
      </c>
      <c r="Z166" s="349">
        <f ca="1">Cobalt!I100</f>
        <v>176.02295503932791</v>
      </c>
      <c r="AA166" s="349">
        <f t="shared" si="77"/>
        <v>1.2135657908202684</v>
      </c>
      <c r="AB166" s="349">
        <f>GREET1_Import_Export!L508</f>
        <v>96.398525878635397</v>
      </c>
      <c r="AC166" s="349">
        <f ca="1">Mat_Sum!CF29*2000</f>
        <v>36.991477954907324</v>
      </c>
      <c r="AD166" s="349">
        <f ca="1">Mat_Sum!CN29*2000</f>
        <v>3024.423565663426</v>
      </c>
      <c r="AE166" s="349">
        <f t="shared" ca="1" si="78"/>
        <v>363.81164298773564</v>
      </c>
      <c r="AF166" s="349">
        <f t="shared" ca="1" si="79"/>
        <v>1.5400151535578472</v>
      </c>
      <c r="AG166" s="349">
        <f t="shared" si="80"/>
        <v>0</v>
      </c>
      <c r="AH166" s="349">
        <f>GREET1_Import_Export!B508</f>
        <v>9.5465744912783562E-2</v>
      </c>
      <c r="AI166" s="349">
        <f t="shared" ca="1" si="81"/>
        <v>7.0829336527501567</v>
      </c>
      <c r="AJ166" s="349">
        <f>LiMn2O4!K104</f>
        <v>12.503781785292189</v>
      </c>
      <c r="AK166" s="349">
        <f>LiMn2O4!C104</f>
        <v>7.7314313035790949</v>
      </c>
      <c r="AL166" s="348">
        <f>GREET1_Import_Export!D508</f>
        <v>14.972158095275681</v>
      </c>
      <c r="AM166" s="8"/>
      <c r="AN166" s="8"/>
      <c r="AO166" s="8"/>
      <c r="AP166" s="8"/>
      <c r="AQ166" s="8"/>
      <c r="AR166" s="8"/>
      <c r="AS166" s="8"/>
      <c r="AT166" s="8"/>
      <c r="AU166" s="8"/>
      <c r="AV166" s="8"/>
    </row>
    <row r="167" spans="1:48">
      <c r="A167" s="291" t="s">
        <v>829</v>
      </c>
      <c r="B167" s="349">
        <f>GREET1_Import_Export!G509</f>
        <v>57.494095868365036</v>
      </c>
      <c r="C167" s="349">
        <f>Mat_Sum!BC30*2000</f>
        <v>2529.2206507458427</v>
      </c>
      <c r="D167" s="349">
        <f>GREET1_Import_Export!J509</f>
        <v>6652.5762628044313</v>
      </c>
      <c r="E167" s="919" cm="1">
        <f t="array" aca="1" ref="E167" ca="1">Nickel!AC153*'Battery Recycling'!$F$36+SUMPRODUCT('Battery Recycling'!$B$36:$D$36+0,'Battery Recycling'!E149:G149+0)</f>
        <v>13723.475686441569</v>
      </c>
      <c r="F167" s="349">
        <f ca="1">Cobalt!G101*'Battery Recycling'!$F$35+SUMPRODUCT('Battery Recycling'!$B$35:$D$35+0,'Battery Recycling'!B149:D149+0)</f>
        <v>13147.956469802184</v>
      </c>
      <c r="G167" s="349">
        <f t="shared" ca="1" si="66"/>
        <v>957.98000045708648</v>
      </c>
      <c r="H167" s="349">
        <f>GREET1_Import_Export!B540</f>
        <v>4394.2572761342935</v>
      </c>
      <c r="I167" s="349">
        <f t="shared" ca="1" si="67"/>
        <v>3232.8095469897953</v>
      </c>
      <c r="J167" s="349">
        <f t="shared" ca="1" si="68"/>
        <v>15388.77610168096</v>
      </c>
      <c r="K167" s="349">
        <f t="shared" ca="1" si="69"/>
        <v>27113.284415516791</v>
      </c>
      <c r="L167" s="349">
        <f t="shared" ca="1" si="70"/>
        <v>28385.072393292954</v>
      </c>
      <c r="M167" s="1564">
        <f t="shared" ca="1" si="71"/>
        <v>29699.791338731789</v>
      </c>
      <c r="N167" s="349">
        <f t="shared" ca="1" si="72"/>
        <v>31297.747522018595</v>
      </c>
      <c r="O167" s="349">
        <f t="shared" ca="1" si="73"/>
        <v>33462.882603198144</v>
      </c>
      <c r="P167" s="349">
        <f t="shared" ca="1" si="74"/>
        <v>19235.006068033537</v>
      </c>
      <c r="Q167" s="349">
        <f>Li_Chemicals!W122</f>
        <v>34950.840588719446</v>
      </c>
      <c r="R167" s="349">
        <f>GREET1_Import_Export!F540</f>
        <v>348.27024075492994</v>
      </c>
      <c r="S167" s="349">
        <f>GREET1_Import_Export!G540</f>
        <v>1914.3417484108154</v>
      </c>
      <c r="T167" s="349">
        <f t="shared" si="75"/>
        <v>0</v>
      </c>
      <c r="U167" s="349">
        <f ca="1">Cobalt!K101</f>
        <v>32378.237493642941</v>
      </c>
      <c r="V167" s="349" cm="1">
        <f t="array" aca="1" ref="V167" ca="1">Li_Chemicals!V122*'Battery Recycling'!$F$37+SUMPRODUCT('Battery Recycling'!$B$37:$D$37+0,'Battery Recycling'!H149:J149+0)</f>
        <v>15413.523589559047</v>
      </c>
      <c r="W167" s="349">
        <f>GREET1_Import_Export!E509</f>
        <v>4245.2020170345586</v>
      </c>
      <c r="X167" s="349">
        <f>GREET1_Import_Export!K509</f>
        <v>414.71330775899582</v>
      </c>
      <c r="Y167" s="349">
        <f t="shared" ca="1" si="76"/>
        <v>4221.7122987434068</v>
      </c>
      <c r="Z167" s="349">
        <f ca="1">Cobalt!I101</f>
        <v>15695.459746737506</v>
      </c>
      <c r="AA167" s="349">
        <f t="shared" si="77"/>
        <v>138.22840849595005</v>
      </c>
      <c r="AB167" s="349">
        <f>GREET1_Import_Export!L509</f>
        <v>3447.0675439317106</v>
      </c>
      <c r="AC167" s="349">
        <f ca="1">Mat_Sum!CF30*2000</f>
        <v>9619.8216112763112</v>
      </c>
      <c r="AD167" s="349">
        <f ca="1">Mat_Sum!CN30*2000</f>
        <v>385737.45874626504</v>
      </c>
      <c r="AE167" s="349">
        <f t="shared" ca="1" si="78"/>
        <v>36815.1577275987</v>
      </c>
      <c r="AF167" s="349">
        <f t="shared" ca="1" si="79"/>
        <v>84.181318331006509</v>
      </c>
      <c r="AG167" s="349">
        <f t="shared" si="80"/>
        <v>0</v>
      </c>
      <c r="AH167" s="349">
        <f>GREET1_Import_Export!B509</f>
        <v>10.295662027028325</v>
      </c>
      <c r="AI167" s="349">
        <f t="shared" ca="1" si="81"/>
        <v>88.168328879056929</v>
      </c>
      <c r="AJ167" s="349">
        <f>LiMn2O4!K105</f>
        <v>2232.9390294617247</v>
      </c>
      <c r="AK167" s="349">
        <f>LiMn2O4!C105</f>
        <v>695.20529768723293</v>
      </c>
      <c r="AL167" s="348">
        <f>GREET1_Import_Export!D509</f>
        <v>639.46440304470275</v>
      </c>
      <c r="AM167" s="8"/>
      <c r="AN167" s="8"/>
      <c r="AO167" s="8"/>
      <c r="AP167" s="8"/>
      <c r="AQ167" s="8"/>
      <c r="AR167" s="8"/>
      <c r="AS167" s="8"/>
      <c r="AT167" s="8"/>
      <c r="AU167" s="8"/>
      <c r="AV167" s="8"/>
    </row>
    <row r="168" spans="1:48">
      <c r="A168" s="291" t="s">
        <v>830</v>
      </c>
      <c r="B168" s="349">
        <f>GREET1_Import_Export!G510</f>
        <v>0.90162048446381204</v>
      </c>
      <c r="C168" s="349">
        <f>Mat_Sum!BC31*2000</f>
        <v>21.590855242693085</v>
      </c>
      <c r="D168" s="349">
        <f>GREET1_Import_Export!J510</f>
        <v>44.764413385518836</v>
      </c>
      <c r="E168" s="919" cm="1">
        <f t="array" aca="1" ref="E168" ca="1">Nickel!AC154*'Battery Recycling'!$F$36+SUMPRODUCT('Battery Recycling'!$B$36:$D$36+0,'Battery Recycling'!E150:G150+0)</f>
        <v>793.58902944533168</v>
      </c>
      <c r="F168" s="349">
        <f ca="1">Cobalt!G102*'Battery Recycling'!$F$35+SUMPRODUCT('Battery Recycling'!$B$35:$D$35+0,'Battery Recycling'!B150:D150+0)</f>
        <v>136.26350636746247</v>
      </c>
      <c r="G168" s="349">
        <f t="shared" ca="1" si="66"/>
        <v>8.4446937027370943</v>
      </c>
      <c r="H168" s="349">
        <f>GREET1_Import_Export!B541</f>
        <v>40.148180645194728</v>
      </c>
      <c r="I168" s="349">
        <f t="shared" ca="1" si="67"/>
        <v>21.753200150026949</v>
      </c>
      <c r="J168" s="349">
        <f t="shared" ca="1" si="68"/>
        <v>390.3858536838477</v>
      </c>
      <c r="K168" s="349">
        <f t="shared" ca="1" si="69"/>
        <v>712.353835776869</v>
      </c>
      <c r="L168" s="349">
        <f t="shared" ca="1" si="70"/>
        <v>650.93042900361479</v>
      </c>
      <c r="M168" s="1564">
        <f t="shared" ca="1" si="71"/>
        <v>863.26038729645313</v>
      </c>
      <c r="N168" s="349">
        <f t="shared" ca="1" si="72"/>
        <v>971.72180687172465</v>
      </c>
      <c r="O168" s="349">
        <f t="shared" ca="1" si="73"/>
        <v>1210.1818600071556</v>
      </c>
      <c r="P168" s="349">
        <f t="shared" ca="1" si="74"/>
        <v>172.21966773230017</v>
      </c>
      <c r="Q168" s="349">
        <f>Li_Chemicals!W123</f>
        <v>286.68186749469885</v>
      </c>
      <c r="R168" s="349">
        <f>GREET1_Import_Export!F541</f>
        <v>3.1597881528542135</v>
      </c>
      <c r="S168" s="349">
        <f>GREET1_Import_Export!G541</f>
        <v>21.705101136455198</v>
      </c>
      <c r="T168" s="349">
        <f t="shared" si="75"/>
        <v>0</v>
      </c>
      <c r="U168" s="349">
        <f ca="1">Cobalt!K102</f>
        <v>324.96279897981617</v>
      </c>
      <c r="V168" s="349" cm="1">
        <f t="array" aca="1" ref="V168" ca="1">Li_Chemicals!V123*'Battery Recycling'!$F$37+SUMPRODUCT('Battery Recycling'!$B$37:$D$37+0,'Battery Recycling'!H150:J150+0)</f>
        <v>82.391287629327749</v>
      </c>
      <c r="W168" s="349">
        <f>GREET1_Import_Export!E510</f>
        <v>35.285608281649488</v>
      </c>
      <c r="X168" s="349">
        <f>GREET1_Import_Export!K510</f>
        <v>4.3148370514009589</v>
      </c>
      <c r="Y168" s="349">
        <f t="shared" ca="1" si="76"/>
        <v>38.573364226581234</v>
      </c>
      <c r="Z168" s="349">
        <f ca="1">Cobalt!I102</f>
        <v>162.66545938541543</v>
      </c>
      <c r="AA168" s="349">
        <f t="shared" si="77"/>
        <v>1.3644903874242629</v>
      </c>
      <c r="AB168" s="349">
        <f>GREET1_Import_Export!L510</f>
        <v>32.134751087710882</v>
      </c>
      <c r="AC168" s="349">
        <f ca="1">Mat_Sum!CF31*2000</f>
        <v>91.450794466211192</v>
      </c>
      <c r="AD168" s="349">
        <f ca="1">Mat_Sum!CN31*2000</f>
        <v>4032.3777488849919</v>
      </c>
      <c r="AE168" s="349">
        <f t="shared" ca="1" si="78"/>
        <v>1250.4952498038156</v>
      </c>
      <c r="AF168" s="349">
        <f t="shared" ca="1" si="79"/>
        <v>0.7838897711728563</v>
      </c>
      <c r="AG168" s="349">
        <f t="shared" si="80"/>
        <v>0</v>
      </c>
      <c r="AH168" s="349">
        <f>GREET1_Import_Export!B510</f>
        <v>6.0745354337307655E-2</v>
      </c>
      <c r="AI168" s="349">
        <f t="shared" ca="1" si="81"/>
        <v>1.1359829113783921</v>
      </c>
      <c r="AJ168" s="349">
        <f>LiMn2O4!K106</f>
        <v>13.236930930378509</v>
      </c>
      <c r="AK168" s="349">
        <f>LiMn2O4!C106</f>
        <v>0.98921680655236355</v>
      </c>
      <c r="AL168" s="348">
        <f>GREET1_Import_Export!D510</f>
        <v>2.0458742399181418</v>
      </c>
      <c r="AM168" s="8"/>
      <c r="AN168" s="8"/>
      <c r="AO168" s="8"/>
      <c r="AP168" s="8"/>
      <c r="AQ168" s="8"/>
      <c r="AR168" s="8"/>
      <c r="AS168" s="8"/>
      <c r="AT168" s="8"/>
      <c r="AU168" s="8"/>
      <c r="AV168" s="8"/>
    </row>
    <row r="169" spans="1:48">
      <c r="A169" s="292" t="s">
        <v>831</v>
      </c>
      <c r="B169" s="1344">
        <f>GREET1_Import_Export!G511</f>
        <v>37166.973904260427</v>
      </c>
      <c r="C169" s="1344">
        <f>Mat_Sum!BC32*2000</f>
        <v>1202546.4147228592</v>
      </c>
      <c r="D169" s="1344">
        <f>GREET1_Import_Export!J511</f>
        <v>2156596.5788576729</v>
      </c>
      <c r="E169" s="1292" cm="1">
        <f t="array" aca="1" ref="E169" ca="1">Nickel!AC155*'Battery Recycling'!$F$36+SUMPRODUCT('Battery Recycling'!$B$36:$D$36+0,'Battery Recycling'!E151:G151+0)</f>
        <v>7371007.8299571238</v>
      </c>
      <c r="F169" s="1344">
        <f ca="1">Cobalt!G103*'Battery Recycling'!$F$35+SUMPRODUCT('Battery Recycling'!$B$35:$D$35+0,'Battery Recycling'!B151:D151+0)</f>
        <v>5754056.0142446514</v>
      </c>
      <c r="G169" s="1344">
        <f t="shared" ca="1" si="66"/>
        <v>726269.1462451407</v>
      </c>
      <c r="H169" s="1344">
        <f>GREET1_Import_Export!B542</f>
        <v>1665901.8087901033</v>
      </c>
      <c r="I169" s="1344">
        <f t="shared" ca="1" si="67"/>
        <v>1047994.9020828791</v>
      </c>
      <c r="J169" s="1344">
        <f t="shared" ca="1" si="68"/>
        <v>7155588.6226736698</v>
      </c>
      <c r="K169" s="1344">
        <f t="shared" ca="1" si="69"/>
        <v>11575711.882295903</v>
      </c>
      <c r="L169" s="1344">
        <f t="shared" ca="1" si="70"/>
        <v>11941207.806236908</v>
      </c>
      <c r="M169" s="138">
        <f t="shared" ca="1" si="71"/>
        <v>12915811.277582884</v>
      </c>
      <c r="N169" s="1344">
        <f t="shared" ca="1" si="72"/>
        <v>13756208.918702088</v>
      </c>
      <c r="O169" s="1344">
        <f t="shared" ca="1" si="73"/>
        <v>15105388.764481042</v>
      </c>
      <c r="P169" s="1344">
        <f t="shared" ca="1" si="74"/>
        <v>6907573.340273791</v>
      </c>
      <c r="Q169" s="1344">
        <f>Li_Chemicals!W124</f>
        <v>21056777.037622292</v>
      </c>
      <c r="R169" s="1344">
        <f>GREET1_Import_Export!F542</f>
        <v>153884.94054773616</v>
      </c>
      <c r="S169" s="1344">
        <f>GREET1_Import_Export!G542</f>
        <v>894154.38921855192</v>
      </c>
      <c r="T169" s="1344">
        <f t="shared" si="75"/>
        <v>0</v>
      </c>
      <c r="U169" s="1344">
        <f ca="1">Cobalt!K103</f>
        <v>13930297.218561264</v>
      </c>
      <c r="V169" s="1344" cm="1">
        <f t="array" aca="1" ref="V169" ca="1">Li_Chemicals!V124*'Battery Recycling'!$F$37+SUMPRODUCT('Battery Recycling'!$B$37:$D$37+0,'Battery Recycling'!H151:J151+0)</f>
        <v>10815991.004464408</v>
      </c>
      <c r="W169" s="1344">
        <f>GREET1_Import_Export!E511</f>
        <v>1636030.8555933388</v>
      </c>
      <c r="X169" s="1344">
        <f>GREET1_Import_Export!K511</f>
        <v>204507.08669571063</v>
      </c>
      <c r="Y169" s="1344">
        <f t="shared" ca="1" si="76"/>
        <v>1875803.9403393925</v>
      </c>
      <c r="Z169" s="1344">
        <f ca="1">Cobalt!I103</f>
        <v>6868942.3150644619</v>
      </c>
      <c r="AA169" s="1344">
        <f t="shared" si="77"/>
        <v>73683.455925022688</v>
      </c>
      <c r="AB169" s="1344">
        <f>GREET1_Import_Export!L511</f>
        <v>1392967.4674207468</v>
      </c>
      <c r="AC169" s="1344">
        <f ca="1">Mat_Sum!CF32*2000</f>
        <v>4180566.6486614845</v>
      </c>
      <c r="AD169" s="1344">
        <f ca="1">Mat_Sum!CN32*2000</f>
        <v>162066582.21937898</v>
      </c>
      <c r="AE169" s="1344">
        <f t="shared" ca="1" si="78"/>
        <v>16318471.163448509</v>
      </c>
      <c r="AF169" s="1344">
        <f t="shared" ca="1" si="79"/>
        <v>38274.65533356063</v>
      </c>
      <c r="AG169" s="1344">
        <f t="shared" si="80"/>
        <v>0</v>
      </c>
      <c r="AH169" s="1344">
        <f>GREET1_Import_Export!B511</f>
        <v>8351.9011348439562</v>
      </c>
      <c r="AI169" s="1344">
        <f t="shared" ca="1" si="81"/>
        <v>49569.939011101858</v>
      </c>
      <c r="AJ169" s="1344">
        <f>LiMn2O4!K107</f>
        <v>895848.49329510448</v>
      </c>
      <c r="AK169" s="1344">
        <f>LiMn2O4!C107</f>
        <v>617790.99194299034</v>
      </c>
      <c r="AL169" s="296">
        <f>GREET1_Import_Export!D511</f>
        <v>1150868.7874685032</v>
      </c>
      <c r="AM169" s="8"/>
      <c r="AN169" s="8"/>
      <c r="AO169" s="8"/>
      <c r="AP169" s="8"/>
      <c r="AQ169" s="8"/>
      <c r="AR169" s="8"/>
      <c r="AS169" s="8"/>
      <c r="AT169" s="8"/>
      <c r="AU169" s="8"/>
      <c r="AV169" s="8"/>
    </row>
    <row r="170" spans="1:48">
      <c r="A170" s="290" t="s">
        <v>1804</v>
      </c>
      <c r="B170" s="1569"/>
      <c r="C170" s="1569"/>
      <c r="D170" s="1569"/>
      <c r="E170" s="1256"/>
      <c r="F170" s="1569"/>
      <c r="G170" s="1569"/>
      <c r="H170" s="1569"/>
      <c r="I170" s="1569"/>
      <c r="J170" s="1569"/>
      <c r="K170" s="1569"/>
      <c r="L170" s="1569"/>
      <c r="M170" s="1564"/>
      <c r="N170" s="1569"/>
      <c r="O170" s="1569"/>
      <c r="P170" s="1569"/>
      <c r="Q170" s="1569"/>
      <c r="R170" s="1569"/>
      <c r="S170" s="1569"/>
      <c r="T170" s="1569"/>
      <c r="U170" s="1569"/>
      <c r="V170" s="1569"/>
      <c r="W170" s="1569"/>
      <c r="X170" s="1569"/>
      <c r="Y170" s="1569"/>
      <c r="Z170" s="1569"/>
      <c r="AA170" s="1569"/>
      <c r="AB170" s="1569"/>
      <c r="AC170" s="1569"/>
      <c r="AD170" s="1569"/>
      <c r="AE170" s="1569"/>
      <c r="AF170" s="1569"/>
      <c r="AG170" s="1569"/>
      <c r="AH170" s="1569"/>
      <c r="AI170" s="1569"/>
      <c r="AJ170" s="1569"/>
      <c r="AK170" s="1569"/>
      <c r="AL170" s="391"/>
      <c r="AM170" s="8"/>
      <c r="AN170" s="8"/>
      <c r="AO170" s="8"/>
      <c r="AP170" s="8"/>
      <c r="AQ170" s="8"/>
      <c r="AR170" s="8"/>
      <c r="AS170" s="8"/>
      <c r="AT170" s="8"/>
      <c r="AU170" s="8"/>
      <c r="AV170" s="8"/>
    </row>
    <row r="171" spans="1:48">
      <c r="A171" s="291" t="s">
        <v>821</v>
      </c>
      <c r="B171" s="349">
        <f>GREET1_Import_Export!G513</f>
        <v>1.4847613827115975</v>
      </c>
      <c r="C171" s="349">
        <f>Mat_Sum!BC36*2000</f>
        <v>13.020396063489919</v>
      </c>
      <c r="D171" s="349">
        <f>GREET1_Import_Export!J513</f>
        <v>20.058451526914183</v>
      </c>
      <c r="E171" s="919" cm="1">
        <f t="array" aca="1" ref="E171" ca="1">Nickel!AC159*'Battery Recycling'!$F$36+SUMPRODUCT('Battery Recycling'!$B$36:$D$36+0,'Battery Recycling'!E155:G155+0)</f>
        <v>102.63183931832543</v>
      </c>
      <c r="F171" s="349">
        <f ca="1">Cobalt!G107*'Battery Recycling'!$F$35+SUMPRODUCT('Battery Recycling'!$B$35:$D$35+0,'Battery Recycling'!B155:D155+0)</f>
        <v>69.372748949160581</v>
      </c>
      <c r="G171" s="349">
        <f ca="1">B140</f>
        <v>5.7038094390006178</v>
      </c>
      <c r="H171" s="349">
        <f>GREET1_Import_Export!B544</f>
        <v>14.092742652400997</v>
      </c>
      <c r="I171" s="349">
        <f ca="1">C140</f>
        <v>9.7473747060367213</v>
      </c>
      <c r="J171" s="349">
        <f t="shared" ref="J171:J178" ca="1" si="82">Q140</f>
        <v>84.782485703004397</v>
      </c>
      <c r="K171" s="349">
        <f t="shared" ref="K171:K178" ca="1" si="83">D140</f>
        <v>133.79237665805539</v>
      </c>
      <c r="L171" s="349">
        <f t="shared" ref="L171:L178" ca="1" si="84">F140</f>
        <v>136.96075223822811</v>
      </c>
      <c r="M171" s="1564">
        <f t="shared" ref="M171:M178" ca="1" si="85">H140</f>
        <v>153.07747439315071</v>
      </c>
      <c r="N171" s="349">
        <f t="shared" ref="N171:N178" ca="1" si="86">J140</f>
        <v>165.65357139705046</v>
      </c>
      <c r="O171" s="349">
        <f t="shared" ref="O171:O178" ca="1" si="87">L140</f>
        <v>186.98235905552409</v>
      </c>
      <c r="P171" s="349">
        <f t="shared" ref="P171:P178" ca="1" si="88">N140</f>
        <v>63.839126577939581</v>
      </c>
      <c r="Q171" s="349">
        <f>Li_Chemicals!W128</f>
        <v>180.70501637700835</v>
      </c>
      <c r="R171" s="349">
        <f>GREET1_Import_Export!F544</f>
        <v>1.123340165391536</v>
      </c>
      <c r="S171" s="349">
        <f>GREET1_Import_Export!G544</f>
        <v>20.442016898797</v>
      </c>
      <c r="T171" s="349">
        <f t="shared" ref="T171:T178" si="89">X140</f>
        <v>0</v>
      </c>
      <c r="U171" s="349">
        <f ca="1">Cobalt!K107</f>
        <v>154.65068716670061</v>
      </c>
      <c r="V171" s="349" cm="1">
        <f t="array" aca="1" ref="V171" ca="1">Li_Chemicals!V128*'Battery Recycling'!$F$37+SUMPRODUCT('Battery Recycling'!$B$37:$D$37+0,'Battery Recycling'!H155:J155+0)</f>
        <v>73.225251644209791</v>
      </c>
      <c r="W171" s="349">
        <f>GREET1_Import_Export!E513</f>
        <v>13.550778888195858</v>
      </c>
      <c r="X171" s="349">
        <f>GREET1_Import_Export!K513</f>
        <v>4.6094809478262286</v>
      </c>
      <c r="Y171" s="349">
        <f t="shared" ref="Y171:Y178" ca="1" si="90">T140</f>
        <v>15.220262957414112</v>
      </c>
      <c r="Z171" s="349">
        <f ca="1">Cobalt!I107</f>
        <v>82.814176572069115</v>
      </c>
      <c r="AA171" s="349">
        <f t="shared" ref="AA171:AA178" si="91">W140</f>
        <v>0.97899666678974362</v>
      </c>
      <c r="AB171" s="349">
        <f>GREET1_Import_Export!L513</f>
        <v>25.0437299698586</v>
      </c>
      <c r="AC171" s="349">
        <f ca="1">Mat_Sum!CF36*2000</f>
        <v>76.895898919495707</v>
      </c>
      <c r="AD171" s="349">
        <f ca="1">Mat_Sum!CN36*2000</f>
        <v>1270.3398206836719</v>
      </c>
      <c r="AE171" s="349">
        <f t="shared" ref="AE171:AE178" ca="1" si="92">AA140</f>
        <v>200.66981958134505</v>
      </c>
      <c r="AF171" s="349">
        <f t="shared" ref="AF171:AF178" ca="1" si="93">Y140</f>
        <v>0.41682891509925407</v>
      </c>
      <c r="AG171" s="349">
        <f t="shared" ref="AG171:AG178" si="94">SUM(CE107:CF107)</f>
        <v>0</v>
      </c>
      <c r="AH171" s="349">
        <f>GREET1_Import_Export!B513</f>
        <v>0.27371203838695446</v>
      </c>
      <c r="AI171" s="349">
        <f t="shared" ref="AI171:AI178" ca="1" si="95">Z140</f>
        <v>1.4686360900776307</v>
      </c>
      <c r="AJ171" s="349">
        <f>LiMn2O4!K111</f>
        <v>7.470762412753249</v>
      </c>
      <c r="AK171" s="349">
        <f>LiMn2O4!C111</f>
        <v>1.8055091529561156</v>
      </c>
      <c r="AL171" s="348">
        <f>GREET1_Import_Export!D513</f>
        <v>1.0021134701406591</v>
      </c>
      <c r="AM171" s="8"/>
      <c r="AN171" s="8"/>
      <c r="AO171" s="8"/>
      <c r="AP171" s="8"/>
      <c r="AQ171" s="8"/>
      <c r="AR171" s="8"/>
      <c r="AS171" s="8"/>
      <c r="AT171" s="8"/>
      <c r="AU171" s="8"/>
      <c r="AV171" s="8"/>
    </row>
    <row r="172" spans="1:48">
      <c r="A172" s="291" t="s">
        <v>822</v>
      </c>
      <c r="B172" s="349">
        <f>GREET1_Import_Export!G514</f>
        <v>2.434306008450752</v>
      </c>
      <c r="C172" s="349">
        <f>Mat_Sum!BC37*2000</f>
        <v>58.559451855523655</v>
      </c>
      <c r="D172" s="349">
        <f>GREET1_Import_Export!J514</f>
        <v>86.823416327189477</v>
      </c>
      <c r="E172" s="919" cm="1">
        <f t="array" aca="1" ref="E172" ca="1">Nickel!AC160*'Battery Recycling'!$F$36+SUMPRODUCT('Battery Recycling'!$B$36:$D$36+0,'Battery Recycling'!E156:G156+0)</f>
        <v>235.22645632376617</v>
      </c>
      <c r="F172" s="349">
        <f ca="1">Cobalt!G108*'Battery Recycling'!$F$35+SUMPRODUCT('Battery Recycling'!$B$35:$D$35+0,'Battery Recycling'!B156:D156+0)</f>
        <v>230.66484734355876</v>
      </c>
      <c r="G172" s="349">
        <f t="shared" ref="G172:G178" ca="1" si="96">B141</f>
        <v>22.896775928662052</v>
      </c>
      <c r="H172" s="349">
        <f>GREET1_Import_Export!B545</f>
        <v>76.818454470770462</v>
      </c>
      <c r="I172" s="349">
        <f t="shared" ref="I172:I178" ca="1" si="97">C141</f>
        <v>42.19171011599709</v>
      </c>
      <c r="J172" s="349">
        <f t="shared" ca="1" si="82"/>
        <v>260.77176598085771</v>
      </c>
      <c r="K172" s="349">
        <f t="shared" ca="1" si="83"/>
        <v>437.57999328066802</v>
      </c>
      <c r="L172" s="349">
        <f t="shared" ca="1" si="84"/>
        <v>459.845191555084</v>
      </c>
      <c r="M172" s="1564">
        <f t="shared" ca="1" si="85"/>
        <v>480.88468096013224</v>
      </c>
      <c r="N172" s="349">
        <f t="shared" ca="1" si="86"/>
        <v>507.12809949869376</v>
      </c>
      <c r="O172" s="349">
        <f t="shared" ca="1" si="87"/>
        <v>542.27581704510044</v>
      </c>
      <c r="P172" s="349">
        <f t="shared" ca="1" si="88"/>
        <v>286.22025404978388</v>
      </c>
      <c r="Q172" s="349">
        <f>Li_Chemicals!W129</f>
        <v>427.82249202291172</v>
      </c>
      <c r="R172" s="349">
        <f>GREET1_Import_Export!F545</f>
        <v>8.2931406559794372</v>
      </c>
      <c r="S172" s="349">
        <f>GREET1_Import_Export!G545</f>
        <v>47.674079150385076</v>
      </c>
      <c r="T172" s="349">
        <f t="shared" si="89"/>
        <v>0</v>
      </c>
      <c r="U172" s="349">
        <f ca="1">Cobalt!K108</f>
        <v>546.81693393178853</v>
      </c>
      <c r="V172" s="349" cm="1">
        <f t="array" aca="1" ref="V172" ca="1">Li_Chemicals!V129*'Battery Recycling'!$F$37+SUMPRODUCT('Battery Recycling'!$B$37:$D$37+0,'Battery Recycling'!H156:J156+0)</f>
        <v>97.239810178088419</v>
      </c>
      <c r="W172" s="349">
        <f>GREET1_Import_Export!E514</f>
        <v>66.456871119805129</v>
      </c>
      <c r="X172" s="349">
        <f>GREET1_Import_Export!K514</f>
        <v>9.4783316544131502</v>
      </c>
      <c r="Y172" s="349">
        <f t="shared" ca="1" si="90"/>
        <v>100.33446700273286</v>
      </c>
      <c r="Z172" s="349">
        <f ca="1">Cobalt!I108</f>
        <v>275.35768275346658</v>
      </c>
      <c r="AA172" s="349">
        <f t="shared" si="91"/>
        <v>3.0091696414866589</v>
      </c>
      <c r="AB172" s="349">
        <f>GREET1_Import_Export!L514</f>
        <v>68.068440902983866</v>
      </c>
      <c r="AC172" s="349">
        <f ca="1">Mat_Sum!CF37*2000</f>
        <v>222.10330712641553</v>
      </c>
      <c r="AD172" s="349">
        <f ca="1">Mat_Sum!CN37*2000</f>
        <v>8006.3756489710759</v>
      </c>
      <c r="AE172" s="349">
        <f t="shared" ca="1" si="92"/>
        <v>590.85286775006716</v>
      </c>
      <c r="AF172" s="349">
        <f t="shared" ca="1" si="93"/>
        <v>1.9836514471055289</v>
      </c>
      <c r="AG172" s="349">
        <f t="shared" si="94"/>
        <v>0</v>
      </c>
      <c r="AH172" s="349">
        <f>GREET1_Import_Export!B514</f>
        <v>0.16139065657493154</v>
      </c>
      <c r="AI172" s="349">
        <f t="shared" ca="1" si="95"/>
        <v>3.0059828329361897</v>
      </c>
      <c r="AJ172" s="349">
        <f>LiMn2O4!K112</f>
        <v>19.528673281142161</v>
      </c>
      <c r="AK172" s="349">
        <f>LiMn2O4!C112</f>
        <v>1.3018767606819317</v>
      </c>
      <c r="AL172" s="348">
        <f>GREET1_Import_Export!D514</f>
        <v>2.4806242733779316</v>
      </c>
      <c r="AM172" s="8"/>
      <c r="AN172" s="8"/>
      <c r="AO172" s="8"/>
      <c r="AP172" s="8"/>
      <c r="AQ172" s="8"/>
      <c r="AR172" s="8"/>
      <c r="AS172" s="8"/>
      <c r="AT172" s="8"/>
      <c r="AU172" s="8"/>
      <c r="AV172" s="8"/>
    </row>
    <row r="173" spans="1:48">
      <c r="A173" s="291" t="s">
        <v>823</v>
      </c>
      <c r="B173" s="349">
        <f>GREET1_Import_Export!G515</f>
        <v>15.943757079445119</v>
      </c>
      <c r="C173" s="349">
        <f>Mat_Sum!BC38*2000</f>
        <v>169.68439917086707</v>
      </c>
      <c r="D173" s="349">
        <f>GREET1_Import_Export!J515</f>
        <v>126.56966259087434</v>
      </c>
      <c r="E173" s="919" cm="1">
        <f t="array" aca="1" ref="E173" ca="1">Nickel!AC161*'Battery Recycling'!$F$36+SUMPRODUCT('Battery Recycling'!$B$36:$D$36+0,'Battery Recycling'!E157:G157+0)</f>
        <v>613.80979263327743</v>
      </c>
      <c r="F173" s="349">
        <f ca="1">Cobalt!G109*'Battery Recycling'!$F$35+SUMPRODUCT('Battery Recycling'!$B$35:$D$35+0,'Battery Recycling'!B157:D157+0)</f>
        <v>565.35138043562995</v>
      </c>
      <c r="G173" s="349">
        <f t="shared" ca="1" si="96"/>
        <v>72.120943240393856</v>
      </c>
      <c r="H173" s="349">
        <f>GREET1_Import_Export!B546</f>
        <v>172.0556602035559</v>
      </c>
      <c r="I173" s="349">
        <f t="shared" ca="1" si="97"/>
        <v>61.506339411818402</v>
      </c>
      <c r="J173" s="349">
        <f t="shared" ca="1" si="82"/>
        <v>622.16369292475576</v>
      </c>
      <c r="K173" s="349">
        <f t="shared" ca="1" si="83"/>
        <v>948.30452276074368</v>
      </c>
      <c r="L173" s="349">
        <f t="shared" ca="1" si="84"/>
        <v>996.8042160896706</v>
      </c>
      <c r="M173" s="1564">
        <f t="shared" ca="1" si="85"/>
        <v>1058.851088540159</v>
      </c>
      <c r="N173" s="349">
        <f t="shared" ca="1" si="86"/>
        <v>1125.75946964025</v>
      </c>
      <c r="O173" s="349">
        <f t="shared" ca="1" si="87"/>
        <v>1221.6182698926905</v>
      </c>
      <c r="P173" s="349">
        <f t="shared" ca="1" si="88"/>
        <v>592.13377411625106</v>
      </c>
      <c r="Q173" s="349">
        <f>Li_Chemicals!W130</f>
        <v>1337.1833813023836</v>
      </c>
      <c r="R173" s="349">
        <f>GREET1_Import_Export!F546</f>
        <v>24.769702479590872</v>
      </c>
      <c r="S173" s="349">
        <f>GREET1_Import_Export!G546</f>
        <v>198.39740787318257</v>
      </c>
      <c r="T173" s="349">
        <f t="shared" si="89"/>
        <v>0</v>
      </c>
      <c r="U173" s="349">
        <f ca="1">Cobalt!K109</f>
        <v>1259.69469112612</v>
      </c>
      <c r="V173" s="349" cm="1">
        <f t="array" aca="1" ref="V173" ca="1">Li_Chemicals!V130*'Battery Recycling'!$F$37+SUMPRODUCT('Battery Recycling'!$B$37:$D$37+0,'Battery Recycling'!H157:J157+0)</f>
        <v>304.08445862750892</v>
      </c>
      <c r="W173" s="349">
        <f>GREET1_Import_Export!E515</f>
        <v>152.76292670980587</v>
      </c>
      <c r="X173" s="349">
        <f>GREET1_Import_Export!K515</f>
        <v>48.006154165032157</v>
      </c>
      <c r="Y173" s="349">
        <f t="shared" ca="1" si="90"/>
        <v>309.32727492076043</v>
      </c>
      <c r="Z173" s="349">
        <f ca="1">Cobalt!I109</f>
        <v>674.89193889333114</v>
      </c>
      <c r="AA173" s="349">
        <f t="shared" si="91"/>
        <v>8.4308981935878116</v>
      </c>
      <c r="AB173" s="349">
        <f>GREET1_Import_Export!L515</f>
        <v>227.9594752406872</v>
      </c>
      <c r="AC173" s="349">
        <f ca="1">Mat_Sum!CF38*2000</f>
        <v>787.62140562018124</v>
      </c>
      <c r="AD173" s="349">
        <f ca="1">Mat_Sum!CN38*2000</f>
        <v>21756.597507822567</v>
      </c>
      <c r="AE173" s="349">
        <f t="shared" ca="1" si="92"/>
        <v>1313.0663323128886</v>
      </c>
      <c r="AF173" s="349">
        <f t="shared" ca="1" si="93"/>
        <v>6.6988793385820573</v>
      </c>
      <c r="AG173" s="349">
        <f t="shared" si="94"/>
        <v>0</v>
      </c>
      <c r="AH173" s="349">
        <f>GREET1_Import_Export!B515</f>
        <v>0.2538141497087702</v>
      </c>
      <c r="AI173" s="349">
        <f t="shared" ca="1" si="95"/>
        <v>16.793115584070549</v>
      </c>
      <c r="AJ173" s="349">
        <f>LiMn2O4!K113</f>
        <v>48.168553647206743</v>
      </c>
      <c r="AK173" s="349">
        <f>LiMn2O4!C113</f>
        <v>3.112696215505999</v>
      </c>
      <c r="AL173" s="348">
        <f>GREET1_Import_Export!D515</f>
        <v>8.1681944486008202</v>
      </c>
      <c r="AM173" s="8"/>
      <c r="AN173" s="8"/>
      <c r="AO173" s="8"/>
      <c r="AP173" s="8"/>
      <c r="AQ173" s="8"/>
      <c r="AR173" s="8"/>
      <c r="AS173" s="8"/>
      <c r="AT173" s="8"/>
      <c r="AU173" s="8"/>
      <c r="AV173" s="8"/>
    </row>
    <row r="174" spans="1:48">
      <c r="A174" s="483" t="s">
        <v>824</v>
      </c>
      <c r="B174" s="349">
        <f>GREET1_Import_Export!G516</f>
        <v>1.2067316973096258</v>
      </c>
      <c r="C174" s="349">
        <f>Mat_Sum!BC39*2000</f>
        <v>22.90540534201314</v>
      </c>
      <c r="D174" s="349">
        <f>GREET1_Import_Export!J516</f>
        <v>3.7351959762276614</v>
      </c>
      <c r="E174" s="919" cm="1">
        <f t="array" aca="1" ref="E174" ca="1">Nickel!AC162*'Battery Recycling'!$F$36+SUMPRODUCT('Battery Recycling'!$B$36:$D$36+0,'Battery Recycling'!E158:G158+0)</f>
        <v>65.620576056354452</v>
      </c>
      <c r="F174" s="349">
        <f ca="1">Cobalt!G110*'Battery Recycling'!$F$35+SUMPRODUCT('Battery Recycling'!$B$35:$D$35+0,'Battery Recycling'!B158:D158+0)</f>
        <v>61.990185757374725</v>
      </c>
      <c r="G174" s="349">
        <f t="shared" ca="1" si="96"/>
        <v>9.1213664023828134</v>
      </c>
      <c r="H174" s="349">
        <f>GREET1_Import_Export!B547</f>
        <v>18.2651553906428</v>
      </c>
      <c r="I174" s="349">
        <f t="shared" ca="1" si="97"/>
        <v>1.8151129329160509</v>
      </c>
      <c r="J174" s="349">
        <f t="shared" ca="1" si="82"/>
        <v>63.919569138796412</v>
      </c>
      <c r="K174" s="349">
        <f t="shared" ca="1" si="83"/>
        <v>88.639791306484383</v>
      </c>
      <c r="L174" s="349">
        <f t="shared" ca="1" si="84"/>
        <v>94.015017730701857</v>
      </c>
      <c r="M174" s="1564">
        <f t="shared" ca="1" si="85"/>
        <v>100.23788185169032</v>
      </c>
      <c r="N174" s="349">
        <f t="shared" ca="1" si="86"/>
        <v>107.13588668179146</v>
      </c>
      <c r="O174" s="349">
        <f t="shared" ca="1" si="87"/>
        <v>116.88927571628801</v>
      </c>
      <c r="P174" s="349">
        <f t="shared" ca="1" si="88"/>
        <v>54.641782446805379</v>
      </c>
      <c r="Q174" s="349">
        <f>Li_Chemicals!W131</f>
        <v>167.11549114952362</v>
      </c>
      <c r="R174" s="349">
        <f>GREET1_Import_Export!F547</f>
        <v>3.3070345999703905</v>
      </c>
      <c r="S174" s="349">
        <f>GREET1_Import_Export!G547</f>
        <v>17.495994437045809</v>
      </c>
      <c r="T174" s="349">
        <f t="shared" si="89"/>
        <v>0</v>
      </c>
      <c r="U174" s="349">
        <f ca="1">Cobalt!K110</f>
        <v>130.07892436075542</v>
      </c>
      <c r="V174" s="349" cm="1">
        <f t="array" aca="1" ref="V174" ca="1">Li_Chemicals!V131*'Battery Recycling'!$F$37+SUMPRODUCT('Battery Recycling'!$B$37:$D$37+0,'Battery Recycling'!H158:J158+0)</f>
        <v>39.120090977872522</v>
      </c>
      <c r="W174" s="349">
        <f>GREET1_Import_Export!E516</f>
        <v>17.88134440614235</v>
      </c>
      <c r="X174" s="349">
        <f>GREET1_Import_Export!K516</f>
        <v>4.1372321670221046</v>
      </c>
      <c r="Y174" s="349">
        <f t="shared" ca="1" si="90"/>
        <v>40.18533529996072</v>
      </c>
      <c r="Z174" s="349">
        <f ca="1">Cobalt!I110</f>
        <v>74.001193073792876</v>
      </c>
      <c r="AA174" s="349">
        <f t="shared" si="91"/>
        <v>1.1580805238013885</v>
      </c>
      <c r="AB174" s="349">
        <f>GREET1_Import_Export!L516</f>
        <v>18.495772784949438</v>
      </c>
      <c r="AC174" s="349">
        <f ca="1">Mat_Sum!CF39*2000</f>
        <v>103.68605175775772</v>
      </c>
      <c r="AD174" s="349">
        <f ca="1">Mat_Sum!CN39*2000</f>
        <v>2738.2868003915214</v>
      </c>
      <c r="AE174" s="349">
        <f t="shared" ca="1" si="92"/>
        <v>123.50778238262902</v>
      </c>
      <c r="AF174" s="349">
        <f t="shared" ca="1" si="93"/>
        <v>0.80416797045503796</v>
      </c>
      <c r="AG174" s="349">
        <f t="shared" si="94"/>
        <v>0</v>
      </c>
      <c r="AH174" s="349">
        <f>GREET1_Import_Export!B516</f>
        <v>4.5174857869258948E-2</v>
      </c>
      <c r="AI174" s="349">
        <f t="shared" ca="1" si="95"/>
        <v>1.4077065260955957</v>
      </c>
      <c r="AJ174" s="349">
        <f>LiMn2O4!K114</f>
        <v>8.6079898755767417</v>
      </c>
      <c r="AK174" s="349">
        <f>LiMn2O4!C114</f>
        <v>0.36164632018421883</v>
      </c>
      <c r="AL174" s="348">
        <f>GREET1_Import_Export!D516</f>
        <v>0.8990351275303603</v>
      </c>
      <c r="AM174" s="8"/>
      <c r="AN174" s="8"/>
      <c r="AO174" s="8"/>
      <c r="AP174" s="8"/>
      <c r="AQ174" s="8"/>
      <c r="AR174" s="8"/>
      <c r="AS174" s="8"/>
      <c r="AT174" s="8"/>
      <c r="AU174" s="8"/>
      <c r="AV174" s="8"/>
    </row>
    <row r="175" spans="1:48">
      <c r="A175" s="291" t="s">
        <v>825</v>
      </c>
      <c r="B175" s="349">
        <f>GREET1_Import_Export!G517</f>
        <v>1.1004189917429632</v>
      </c>
      <c r="C175" s="349">
        <f>Mat_Sum!BC40*2000</f>
        <v>20.124958343996337</v>
      </c>
      <c r="D175" s="349">
        <f>GREET1_Import_Export!J517</f>
        <v>3.2670455136667744</v>
      </c>
      <c r="E175" s="919" cm="1">
        <f t="array" aca="1" ref="E175" ca="1">Nickel!AC163*'Battery Recycling'!$F$36+SUMPRODUCT('Battery Recycling'!$B$36:$D$36+0,'Battery Recycling'!E159:G159+0)</f>
        <v>56.649435126921546</v>
      </c>
      <c r="F175" s="349">
        <f ca="1">Cobalt!G111*'Battery Recycling'!$F$35+SUMPRODUCT('Battery Recycling'!$B$35:$D$35+0,'Battery Recycling'!B159:D159+0)</f>
        <v>53.290032185618429</v>
      </c>
      <c r="G175" s="349">
        <f t="shared" ca="1" si="96"/>
        <v>8.0402312475820814</v>
      </c>
      <c r="H175" s="349">
        <f>GREET1_Import_Export!B548</f>
        <v>16.068269758237211</v>
      </c>
      <c r="I175" s="349">
        <f t="shared" ca="1" si="97"/>
        <v>1.5876159114604076</v>
      </c>
      <c r="J175" s="349">
        <f t="shared" ca="1" si="82"/>
        <v>55.311930550521438</v>
      </c>
      <c r="K175" s="349">
        <f t="shared" ca="1" si="83"/>
        <v>76.858528197832072</v>
      </c>
      <c r="L175" s="349">
        <f t="shared" ca="1" si="84"/>
        <v>81.4296829666348</v>
      </c>
      <c r="M175" s="1564">
        <f t="shared" ca="1" si="85"/>
        <v>86.840881700269733</v>
      </c>
      <c r="N175" s="349">
        <f t="shared" ca="1" si="86"/>
        <v>92.77126533680115</v>
      </c>
      <c r="O175" s="349">
        <f t="shared" ca="1" si="87"/>
        <v>101.20202289831415</v>
      </c>
      <c r="P175" s="349">
        <f t="shared" ca="1" si="88"/>
        <v>48.749123282830759</v>
      </c>
      <c r="Q175" s="349">
        <f>Li_Chemicals!W132</f>
        <v>141.43143087354903</v>
      </c>
      <c r="R175" s="349">
        <f>GREET1_Import_Export!F548</f>
        <v>2.9079748813758655</v>
      </c>
      <c r="S175" s="349">
        <f>GREET1_Import_Export!G548</f>
        <v>15.711918868218307</v>
      </c>
      <c r="T175" s="349">
        <f t="shared" si="89"/>
        <v>0</v>
      </c>
      <c r="U175" s="349">
        <f ca="1">Cobalt!K111</f>
        <v>112.0086510649585</v>
      </c>
      <c r="V175" s="349" cm="1">
        <f t="array" aca="1" ref="V175" ca="1">Li_Chemicals!V132*'Battery Recycling'!$F$37+SUMPRODUCT('Battery Recycling'!$B$37:$D$37+0,'Battery Recycling'!H159:J159+0)</f>
        <v>33.110425766519327</v>
      </c>
      <c r="W175" s="349">
        <f>GREET1_Import_Export!E517</f>
        <v>15.895332617876749</v>
      </c>
      <c r="X175" s="349">
        <f>GREET1_Import_Export!K517</f>
        <v>3.7572712853762082</v>
      </c>
      <c r="Y175" s="349">
        <f t="shared" ca="1" si="90"/>
        <v>35.39461925340202</v>
      </c>
      <c r="Z175" s="349">
        <f ca="1">Cobalt!I111</f>
        <v>63.615327369904527</v>
      </c>
      <c r="AA175" s="349">
        <f t="shared" si="91"/>
        <v>1.0175910451937362</v>
      </c>
      <c r="AB175" s="349">
        <f>GREET1_Import_Export!L517</f>
        <v>16.578817845891173</v>
      </c>
      <c r="AC175" s="349">
        <f ca="1">Mat_Sum!CF40*2000</f>
        <v>86.006386136155157</v>
      </c>
      <c r="AD175" s="349">
        <f ca="1">Mat_Sum!CN40*2000</f>
        <v>2403.4550391862035</v>
      </c>
      <c r="AE175" s="349">
        <f t="shared" ca="1" si="92"/>
        <v>106.88338784930203</v>
      </c>
      <c r="AF175" s="349">
        <f t="shared" ca="1" si="93"/>
        <v>0.71185859772049176</v>
      </c>
      <c r="AG175" s="349">
        <f t="shared" si="94"/>
        <v>0</v>
      </c>
      <c r="AH175" s="349">
        <f>GREET1_Import_Export!B517</f>
        <v>3.9030126321925485E-2</v>
      </c>
      <c r="AI175" s="349">
        <f t="shared" ca="1" si="95"/>
        <v>1.2738152878503746</v>
      </c>
      <c r="AJ175" s="349">
        <f>LiMn2O4!K115</f>
        <v>7.9672711203755178</v>
      </c>
      <c r="AK175" s="349">
        <f>LiMn2O4!C115</f>
        <v>0.31726915113256571</v>
      </c>
      <c r="AL175" s="348">
        <f>GREET1_Import_Export!D517</f>
        <v>0.7600995704505773</v>
      </c>
      <c r="AM175" s="8"/>
      <c r="AN175" s="8"/>
      <c r="AO175" s="8"/>
      <c r="AP175" s="8"/>
      <c r="AQ175" s="8"/>
      <c r="AR175" s="8"/>
      <c r="AS175" s="8"/>
      <c r="AT175" s="8"/>
      <c r="AU175" s="8"/>
      <c r="AV175" s="8"/>
    </row>
    <row r="176" spans="1:48">
      <c r="A176" s="483" t="s">
        <v>826</v>
      </c>
      <c r="B176" s="349">
        <f>GREET1_Import_Export!G518</f>
        <v>8.0351702842159529</v>
      </c>
      <c r="C176" s="349">
        <f>Mat_Sum!BC41*2000</f>
        <v>164.94715958510992</v>
      </c>
      <c r="D176" s="349">
        <f>GREET1_Import_Export!J518</f>
        <v>26.047084929251056</v>
      </c>
      <c r="E176" s="919" cm="1">
        <f t="array" aca="1" ref="E176" ca="1">Nickel!AC164*'Battery Recycling'!$F$36+SUMPRODUCT('Battery Recycling'!$B$36:$D$36+0,'Battery Recycling'!E160:G160+0)</f>
        <v>502.67741900102402</v>
      </c>
      <c r="F176" s="349">
        <f ca="1">Cobalt!G112*'Battery Recycling'!$F$35+SUMPRODUCT('Battery Recycling'!$B$35:$D$35+0,'Battery Recycling'!B160:D160+0)</f>
        <v>512.84102524574473</v>
      </c>
      <c r="G176" s="349">
        <f t="shared" ca="1" si="96"/>
        <v>65.259786444342751</v>
      </c>
      <c r="H176" s="349">
        <f>GREET1_Import_Export!B549</f>
        <v>134.70998823085495</v>
      </c>
      <c r="I176" s="349">
        <f t="shared" ca="1" si="97"/>
        <v>12.657542206820134</v>
      </c>
      <c r="J176" s="349">
        <f t="shared" ca="1" si="82"/>
        <v>500.20389765864718</v>
      </c>
      <c r="K176" s="349">
        <f t="shared" ca="1" si="83"/>
        <v>685.42793732204973</v>
      </c>
      <c r="L176" s="349">
        <f t="shared" ca="1" si="84"/>
        <v>735.65374459525628</v>
      </c>
      <c r="M176" s="1564">
        <f t="shared" ca="1" si="85"/>
        <v>775.44327696086998</v>
      </c>
      <c r="N176" s="349">
        <f t="shared" ca="1" si="86"/>
        <v>828.54868141930342</v>
      </c>
      <c r="O176" s="349">
        <f t="shared" ca="1" si="87"/>
        <v>897.6020696939172</v>
      </c>
      <c r="P176" s="349">
        <f t="shared" ca="1" si="88"/>
        <v>364.15251882140115</v>
      </c>
      <c r="Q176" s="349">
        <f>Li_Chemicals!W133</f>
        <v>1484.4440227464243</v>
      </c>
      <c r="R176" s="349">
        <f>GREET1_Import_Export!F549</f>
        <v>24.610927516655124</v>
      </c>
      <c r="S176" s="349">
        <f>GREET1_Import_Export!G549</f>
        <v>120.95816133867046</v>
      </c>
      <c r="T176" s="349">
        <f t="shared" si="89"/>
        <v>0</v>
      </c>
      <c r="U176" s="349">
        <f ca="1">Cobalt!K112</f>
        <v>1068.7520077288586</v>
      </c>
      <c r="V176" s="349" cm="1">
        <f t="array" aca="1" ref="V176" ca="1">Li_Chemicals!V133*'Battery Recycling'!$F$37+SUMPRODUCT('Battery Recycling'!$B$37:$D$37+0,'Battery Recycling'!H160:J160+0)</f>
        <v>307.32010471310491</v>
      </c>
      <c r="W176" s="349">
        <f>GREET1_Import_Export!E518</f>
        <v>120.29862838086358</v>
      </c>
      <c r="X176" s="349">
        <f>GREET1_Import_Export!K518</f>
        <v>29.416185416486215</v>
      </c>
      <c r="Y176" s="349">
        <f t="shared" ca="1" si="90"/>
        <v>298.3861714308681</v>
      </c>
      <c r="Z176" s="349">
        <f ca="1">Cobalt!I112</f>
        <v>612.20735607906101</v>
      </c>
      <c r="AA176" s="349">
        <f t="shared" si="91"/>
        <v>7.9787030904717344</v>
      </c>
      <c r="AB176" s="349">
        <f>GREET1_Import_Export!L518</f>
        <v>127.9367708049795</v>
      </c>
      <c r="AC176" s="349">
        <f ca="1">Mat_Sum!CF41*2000</f>
        <v>1021.7352599538879</v>
      </c>
      <c r="AD176" s="349">
        <f ca="1">Mat_Sum!CN41*2000</f>
        <v>22378.572859711949</v>
      </c>
      <c r="AE176" s="349">
        <f t="shared" ca="1" si="92"/>
        <v>951.70775238435863</v>
      </c>
      <c r="AF176" s="349">
        <f t="shared" ca="1" si="93"/>
        <v>5.9149998563752639</v>
      </c>
      <c r="AG176" s="349">
        <f t="shared" si="94"/>
        <v>0</v>
      </c>
      <c r="AH176" s="349">
        <f>GREET1_Import_Export!B518</f>
        <v>9.136272393306541E-2</v>
      </c>
      <c r="AI176" s="349">
        <f t="shared" ca="1" si="95"/>
        <v>9.6311463783583413</v>
      </c>
      <c r="AJ176" s="349">
        <f>LiMn2O4!K116</f>
        <v>35.339013538021113</v>
      </c>
      <c r="AK176" s="349">
        <f>LiMn2O4!C116</f>
        <v>0.81705586183993817</v>
      </c>
      <c r="AL176" s="348">
        <f>GREET1_Import_Export!D518</f>
        <v>7.6820821711845113</v>
      </c>
      <c r="AM176" s="8"/>
      <c r="AN176" s="8"/>
      <c r="AO176" s="8"/>
      <c r="AP176" s="8"/>
      <c r="AQ176" s="8"/>
      <c r="AR176" s="8"/>
      <c r="AS176" s="8"/>
      <c r="AT176" s="8"/>
      <c r="AU176" s="8"/>
      <c r="AV176" s="8"/>
    </row>
    <row r="177" spans="1:48">
      <c r="A177" s="291" t="s">
        <v>827</v>
      </c>
      <c r="B177" s="349">
        <f>GREET1_Import_Export!G519</f>
        <v>0.14297900238188035</v>
      </c>
      <c r="C177" s="349">
        <f>Mat_Sum!BC42*2000</f>
        <v>1.1028035741355198</v>
      </c>
      <c r="D177" s="349">
        <f>GREET1_Import_Export!J519</f>
        <v>0.39101748068799402</v>
      </c>
      <c r="E177" s="919" cm="1">
        <f t="array" aca="1" ref="E177" ca="1">Nickel!AC165*'Battery Recycling'!$F$36+SUMPRODUCT('Battery Recycling'!$B$36:$D$36+0,'Battery Recycling'!E161:G161+0)</f>
        <v>3.8306246135655808</v>
      </c>
      <c r="F177" s="349">
        <f ca="1">Cobalt!G113*'Battery Recycling'!$F$35+SUMPRODUCT('Battery Recycling'!$B$35:$D$35+0,'Battery Recycling'!B161:D161+0)</f>
        <v>3.1507025433968558</v>
      </c>
      <c r="G177" s="349">
        <f t="shared" ca="1" si="96"/>
        <v>0.49428851714751615</v>
      </c>
      <c r="H177" s="349">
        <f>GREET1_Import_Export!B550</f>
        <v>0.86090444874827443</v>
      </c>
      <c r="I177" s="349">
        <f t="shared" ca="1" si="97"/>
        <v>0.19001436355953366</v>
      </c>
      <c r="J177" s="349">
        <f t="shared" ca="1" si="82"/>
        <v>3.512019788619658</v>
      </c>
      <c r="K177" s="349">
        <f t="shared" ca="1" si="83"/>
        <v>4.8719870966117975</v>
      </c>
      <c r="L177" s="349">
        <f t="shared" ca="1" si="84"/>
        <v>5.0848822950922745</v>
      </c>
      <c r="M177" s="1564">
        <f t="shared" ca="1" si="85"/>
        <v>5.5505281452351332</v>
      </c>
      <c r="N177" s="349">
        <f t="shared" ca="1" si="86"/>
        <v>5.9657351587908076</v>
      </c>
      <c r="O177" s="349">
        <f t="shared" ca="1" si="87"/>
        <v>6.6205165375110555</v>
      </c>
      <c r="P177" s="349">
        <f t="shared" ca="1" si="88"/>
        <v>3.2202570682037805</v>
      </c>
      <c r="Q177" s="349">
        <f>Li_Chemicals!W134</f>
        <v>8.3800818995567408</v>
      </c>
      <c r="R177" s="349">
        <f>GREET1_Import_Export!F550</f>
        <v>0.14986516262158683</v>
      </c>
      <c r="S177" s="349">
        <f>GREET1_Import_Export!G550</f>
        <v>1.802784167855958</v>
      </c>
      <c r="T177" s="349">
        <f t="shared" si="89"/>
        <v>0</v>
      </c>
      <c r="U177" s="349">
        <f ca="1">Cobalt!K113</f>
        <v>6.6515792546621828</v>
      </c>
      <c r="V177" s="349" cm="1">
        <f t="array" aca="1" ref="V177" ca="1">Li_Chemicals!V134*'Battery Recycling'!$F$37+SUMPRODUCT('Battery Recycling'!$B$37:$D$37+0,'Battery Recycling'!H161:J161+0)</f>
        <v>2.4006976730338119</v>
      </c>
      <c r="W177" s="349">
        <f>GREET1_Import_Export!E519</f>
        <v>0.92373820101168835</v>
      </c>
      <c r="X177" s="349">
        <f>GREET1_Import_Export!K519</f>
        <v>0.48050921921907164</v>
      </c>
      <c r="Y177" s="349">
        <f t="shared" ca="1" si="90"/>
        <v>1.9646629322818088</v>
      </c>
      <c r="Z177" s="349">
        <f ca="1">Cobalt!I113</f>
        <v>3.7611719400963954</v>
      </c>
      <c r="AA177" s="349">
        <f t="shared" si="91"/>
        <v>5.9226844028981228E-2</v>
      </c>
      <c r="AB177" s="349">
        <f>GREET1_Import_Export!L519</f>
        <v>1.8914172513545242</v>
      </c>
      <c r="AC177" s="349">
        <f ca="1">Mat_Sum!CF42*2000</f>
        <v>4.6617691919702171</v>
      </c>
      <c r="AD177" s="349">
        <f ca="1">Mat_Sum!CN42*2000</f>
        <v>128.88577721810393</v>
      </c>
      <c r="AE177" s="349">
        <f t="shared" ca="1" si="92"/>
        <v>7.0312188589467777</v>
      </c>
      <c r="AF177" s="349">
        <f t="shared" ca="1" si="93"/>
        <v>4.8333833866252451E-2</v>
      </c>
      <c r="AG177" s="349">
        <f t="shared" si="94"/>
        <v>0</v>
      </c>
      <c r="AH177" s="349">
        <f>GREET1_Import_Export!B519</f>
        <v>4.887358606919817E-3</v>
      </c>
      <c r="AI177" s="349">
        <f t="shared" ca="1" si="95"/>
        <v>0.14519550562689323</v>
      </c>
      <c r="AJ177" s="349">
        <f>LiMn2O4!K117</f>
        <v>0.60552266139769584</v>
      </c>
      <c r="AK177" s="349">
        <f>LiMn2O4!C117</f>
        <v>3.5430452542964348E-2</v>
      </c>
      <c r="AL177" s="348">
        <f>GREET1_Import_Export!D519</f>
        <v>4.5951107626409048E-2</v>
      </c>
      <c r="AM177" s="8"/>
      <c r="AN177" s="8"/>
      <c r="AO177" s="8"/>
      <c r="AP177" s="8"/>
      <c r="AQ177" s="8"/>
      <c r="AR177" s="8"/>
      <c r="AS177" s="8"/>
      <c r="AT177" s="8"/>
      <c r="AU177" s="8"/>
      <c r="AV177" s="8"/>
    </row>
    <row r="178" spans="1:48">
      <c r="A178" s="292" t="s">
        <v>828</v>
      </c>
      <c r="B178" s="505">
        <f>GREET1_Import_Export!G520</f>
        <v>0.41986049773161876</v>
      </c>
      <c r="C178" s="505">
        <f>Mat_Sum!BC43*2000</f>
        <v>5.6640095907714088</v>
      </c>
      <c r="D178" s="505">
        <f>GREET1_Import_Export!J520</f>
        <v>1.1071991763985429</v>
      </c>
      <c r="E178" s="1069" cm="1">
        <f t="array" aca="1" ref="E178" ca="1">Nickel!AC166*'Battery Recycling'!$F$36+SUMPRODUCT('Battery Recycling'!$B$36:$D$36+0,'Battery Recycling'!E162:G162+0)</f>
        <v>11.043781668368911</v>
      </c>
      <c r="F178" s="505">
        <f ca="1">Cobalt!G114*'Battery Recycling'!$F$35+SUMPRODUCT('Battery Recycling'!$B$35:$D$35+0,'Battery Recycling'!B162:D162+0)</f>
        <v>10.607888738169715</v>
      </c>
      <c r="G178" s="505">
        <f t="shared" ca="1" si="96"/>
        <v>2.3344081464352526</v>
      </c>
      <c r="H178" s="505">
        <f>GREET1_Import_Export!B551</f>
        <v>4.5725994995086534</v>
      </c>
      <c r="I178" s="505">
        <f t="shared" ca="1" si="97"/>
        <v>0.53804179410812902</v>
      </c>
      <c r="J178" s="505">
        <f t="shared" ca="1" si="82"/>
        <v>11.969824340631444</v>
      </c>
      <c r="K178" s="505">
        <f t="shared" ca="1" si="83"/>
        <v>16.952202689242998</v>
      </c>
      <c r="L178" s="505">
        <f t="shared" ca="1" si="84"/>
        <v>17.80665504290052</v>
      </c>
      <c r="M178" s="1574">
        <f t="shared" ca="1" si="85"/>
        <v>18.772102017213047</v>
      </c>
      <c r="N178" s="505">
        <f t="shared" ca="1" si="86"/>
        <v>19.797895317771399</v>
      </c>
      <c r="O178" s="505">
        <f t="shared" ca="1" si="87"/>
        <v>21.278082425376095</v>
      </c>
      <c r="P178" s="505">
        <f t="shared" ca="1" si="88"/>
        <v>14.168724678321984</v>
      </c>
      <c r="Q178" s="505">
        <f>Li_Chemicals!W135</f>
        <v>21.324804000359105</v>
      </c>
      <c r="R178" s="505">
        <f>GREET1_Import_Export!F551</f>
        <v>0.83169445589998869</v>
      </c>
      <c r="S178" s="505">
        <f>GREET1_Import_Export!G551</f>
        <v>5.4219736620656134</v>
      </c>
      <c r="T178" s="505">
        <f t="shared" si="89"/>
        <v>0</v>
      </c>
      <c r="U178" s="505">
        <f ca="1">Cobalt!K114</f>
        <v>23.055616127084075</v>
      </c>
      <c r="V178" s="505" cm="1">
        <f t="array" aca="1" ref="V178" ca="1">Li_Chemicals!V135*'Battery Recycling'!$F$37+SUMPRODUCT('Battery Recycling'!$B$37:$D$37+0,'Battery Recycling'!H162:J162+0)</f>
        <v>4.782258913201332</v>
      </c>
      <c r="W178" s="505">
        <f>GREET1_Import_Export!E520</f>
        <v>4.4841476838419965</v>
      </c>
      <c r="X178" s="505">
        <f>GREET1_Import_Export!K520</f>
        <v>1.3464283020803702</v>
      </c>
      <c r="Y178" s="505">
        <f t="shared" ca="1" si="90"/>
        <v>10.256224359173096</v>
      </c>
      <c r="Z178" s="505">
        <f ca="1">Cobalt!I114</f>
        <v>12.663237140327851</v>
      </c>
      <c r="AA178" s="505">
        <f t="shared" si="91"/>
        <v>0.27890095930800857</v>
      </c>
      <c r="AB178" s="505">
        <f>GREET1_Import_Export!L520</f>
        <v>5.7005602389298922</v>
      </c>
      <c r="AC178" s="505">
        <f ca="1">Mat_Sum!CF43*2000</f>
        <v>8.5537613875953689</v>
      </c>
      <c r="AD178" s="505">
        <f ca="1">Mat_Sum!CN43*2000</f>
        <v>690.33519996647055</v>
      </c>
      <c r="AE178" s="505">
        <f t="shared" ca="1" si="92"/>
        <v>22.431519169094603</v>
      </c>
      <c r="AF178" s="505">
        <f t="shared" ca="1" si="93"/>
        <v>0.21422062047970142</v>
      </c>
      <c r="AG178" s="505">
        <f t="shared" si="94"/>
        <v>0</v>
      </c>
      <c r="AH178" s="505">
        <f>GREET1_Import_Export!B520</f>
        <v>7.0374479543004352E-3</v>
      </c>
      <c r="AI178" s="505">
        <f t="shared" ca="1" si="95"/>
        <v>0.4596215134698548</v>
      </c>
      <c r="AJ178" s="505">
        <f>LiMn2O4!K118</f>
        <v>2.157620944481847</v>
      </c>
      <c r="AK178" s="505">
        <f>LiMn2O4!C118</f>
        <v>6.9689547332884086E-2</v>
      </c>
      <c r="AL178" s="502">
        <f>GREET1_Import_Export!D520</f>
        <v>0.12820924700942246</v>
      </c>
      <c r="AM178" s="8"/>
      <c r="AN178" s="8"/>
      <c r="AO178" s="8"/>
      <c r="AP178" s="8"/>
      <c r="AQ178" s="8"/>
      <c r="AR178" s="8"/>
      <c r="AS178" s="8"/>
      <c r="AT178" s="8"/>
      <c r="AU178" s="8"/>
      <c r="AV178" s="8"/>
    </row>
    <row r="179" spans="1:48">
      <c r="A179" s="1321"/>
      <c r="B179" s="1321"/>
      <c r="C179" s="1321"/>
      <c r="D179" s="1321"/>
      <c r="E179" s="8"/>
      <c r="F179" s="1321"/>
      <c r="G179" s="8"/>
      <c r="H179" s="1321"/>
      <c r="I179" s="8"/>
      <c r="J179" s="8"/>
      <c r="K179" s="8"/>
      <c r="L179" s="8"/>
      <c r="M179" s="8"/>
      <c r="N179" s="8"/>
      <c r="O179" s="1321"/>
      <c r="P179" s="1321"/>
      <c r="Q179" s="1321"/>
      <c r="R179" s="1321"/>
      <c r="S179" s="1321"/>
      <c r="T179" s="1321"/>
      <c r="U179" s="8"/>
      <c r="V179" s="1321"/>
      <c r="W179" s="8"/>
      <c r="X179" s="1321"/>
      <c r="Y179" s="1321"/>
      <c r="Z179" s="1321"/>
      <c r="AA179" s="1321"/>
      <c r="AB179" s="1321"/>
      <c r="AC179" s="8"/>
      <c r="AD179" s="8"/>
      <c r="AE179" s="1321"/>
      <c r="AF179" s="1321"/>
      <c r="AG179" s="8"/>
      <c r="AH179" s="1321"/>
      <c r="AI179" s="1321"/>
      <c r="AJ179" s="1321"/>
      <c r="AK179" s="1321"/>
      <c r="AL179" s="1321"/>
    </row>
    <row r="181" spans="1:48">
      <c r="A181" s="1321"/>
      <c r="B181" s="1321"/>
      <c r="C181" s="1321"/>
      <c r="D181" s="1321"/>
      <c r="E181" s="1321"/>
      <c r="F181" s="1321"/>
      <c r="G181" s="1321"/>
      <c r="H181" s="1321"/>
      <c r="I181" s="1321"/>
      <c r="J181" s="1321"/>
      <c r="K181" s="1321"/>
      <c r="L181" s="1321"/>
      <c r="M181" s="1321"/>
      <c r="N181" s="1321"/>
      <c r="O181" s="1321"/>
      <c r="P181" s="1321"/>
      <c r="Q181" s="1321"/>
      <c r="R181" s="1321"/>
      <c r="S181" s="1321"/>
      <c r="T181" s="1321"/>
      <c r="U181" s="1321"/>
      <c r="V181" s="1321"/>
      <c r="W181" s="1321"/>
      <c r="X181" s="1321"/>
      <c r="Y181" s="1321"/>
      <c r="Z181" s="1321"/>
      <c r="AA181" s="1321"/>
      <c r="AB181" s="1321"/>
      <c r="AC181" s="1321"/>
      <c r="AD181" s="1321"/>
      <c r="AE181" s="1321"/>
      <c r="AF181" s="1321"/>
      <c r="AG181" s="1321"/>
      <c r="AH181" s="1321"/>
      <c r="AI181" s="1321"/>
      <c r="AJ181" s="1321"/>
      <c r="AK181" s="1321"/>
      <c r="AL181" s="1321"/>
    </row>
  </sheetData>
  <mergeCells count="28">
    <mergeCell ref="BY68:CA68"/>
    <mergeCell ref="CB68:CD68"/>
    <mergeCell ref="CE68:CF68"/>
    <mergeCell ref="BM68:BO68"/>
    <mergeCell ref="BP68:BR68"/>
    <mergeCell ref="BS68:BU68"/>
    <mergeCell ref="BV68:BX68"/>
    <mergeCell ref="T68:V68"/>
    <mergeCell ref="W68:Y68"/>
    <mergeCell ref="AR68:AT68"/>
    <mergeCell ref="AU68:AW68"/>
    <mergeCell ref="AX68:AZ68"/>
    <mergeCell ref="BJ68:BL68"/>
    <mergeCell ref="BA68:BC68"/>
    <mergeCell ref="BD68:BF68"/>
    <mergeCell ref="BG68:BI68"/>
    <mergeCell ref="Z68:AB68"/>
    <mergeCell ref="AC68:AE68"/>
    <mergeCell ref="AF68:AH68"/>
    <mergeCell ref="AI68:AK68"/>
    <mergeCell ref="AL68:AN68"/>
    <mergeCell ref="AO68:AQ68"/>
    <mergeCell ref="E68:G68"/>
    <mergeCell ref="B68:D68"/>
    <mergeCell ref="K68:M68"/>
    <mergeCell ref="N68:P68"/>
    <mergeCell ref="Q68:S68"/>
    <mergeCell ref="H68:J68"/>
  </mergeCells>
  <pageMargins left="0.75" right="0.75" top="1" bottom="1" header="0.5" footer="0.5"/>
  <pageSetup orientation="portrait" verticalDpi="0"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CA340"/>
  <sheetViews>
    <sheetView showGridLines="0" topLeftCell="A135" zoomScale="85" zoomScaleNormal="85" workbookViewId="0">
      <selection activeCell="G145" sqref="G145"/>
    </sheetView>
  </sheetViews>
  <sheetFormatPr defaultColWidth="9.140625" defaultRowHeight="12.75"/>
  <cols>
    <col min="1" max="1" width="52" style="5" customWidth="1"/>
    <col min="2" max="3" width="12.140625" style="5" customWidth="1"/>
    <col min="4" max="4" width="14" style="5" customWidth="1"/>
    <col min="5" max="34" width="12.140625" style="5" customWidth="1"/>
    <col min="35" max="16384" width="9.140625" style="5"/>
  </cols>
  <sheetData>
    <row r="1" spans="1:45" ht="15.75">
      <c r="A1" s="6" t="s">
        <v>936</v>
      </c>
    </row>
    <row r="2" spans="1:45">
      <c r="A2" s="3"/>
    </row>
    <row r="3" spans="1:45" ht="15">
      <c r="A3" s="75" t="s">
        <v>937</v>
      </c>
    </row>
    <row r="4" spans="1:45">
      <c r="A4" s="1352">
        <f>Mat_Inputs!B212</f>
        <v>0.63300000000000001</v>
      </c>
    </row>
    <row r="5" spans="1:45">
      <c r="A5" s="3"/>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39"/>
      <c r="AP5" s="439"/>
      <c r="AQ5" s="439"/>
      <c r="AR5" s="439"/>
      <c r="AS5" s="439"/>
    </row>
    <row r="6" spans="1:45" ht="15">
      <c r="A6" s="75" t="s">
        <v>938</v>
      </c>
      <c r="Q6" s="439"/>
      <c r="R6" s="439"/>
      <c r="S6" s="439"/>
      <c r="T6" s="439"/>
      <c r="U6" s="439"/>
      <c r="V6" s="439"/>
      <c r="W6" s="439"/>
      <c r="X6" s="439"/>
      <c r="Y6" s="439"/>
      <c r="Z6" s="439"/>
      <c r="AA6" s="439"/>
      <c r="AB6" s="439"/>
      <c r="AC6" s="439"/>
      <c r="AD6" s="439"/>
      <c r="AE6" s="439"/>
      <c r="AF6" s="439"/>
      <c r="AG6" s="439"/>
      <c r="AH6" s="439"/>
      <c r="AI6" s="439"/>
      <c r="AJ6" s="439"/>
      <c r="AK6" s="439"/>
      <c r="AL6" s="439"/>
      <c r="AM6" s="439"/>
      <c r="AN6" s="439"/>
      <c r="AO6" s="439"/>
      <c r="AP6" s="439"/>
      <c r="AQ6" s="439"/>
      <c r="AR6" s="439"/>
      <c r="AS6" s="439"/>
    </row>
    <row r="7" spans="1:45">
      <c r="A7" s="172" t="s">
        <v>939</v>
      </c>
      <c r="B7" s="439"/>
      <c r="C7" s="439"/>
      <c r="D7" s="439"/>
      <c r="E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39"/>
      <c r="AP7" s="439"/>
      <c r="AQ7" s="439"/>
      <c r="AR7" s="439"/>
      <c r="AS7" s="439"/>
    </row>
    <row r="8" spans="1:45">
      <c r="A8" s="702"/>
      <c r="B8" s="3034" t="s">
        <v>940</v>
      </c>
      <c r="C8" s="3023" t="s">
        <v>941</v>
      </c>
      <c r="D8" s="3024"/>
      <c r="E8" s="3025"/>
      <c r="Q8" s="439"/>
      <c r="R8" s="439"/>
      <c r="S8" s="439"/>
      <c r="T8" s="439"/>
      <c r="U8" s="439"/>
      <c r="V8" s="439"/>
      <c r="W8" s="439"/>
      <c r="X8" s="439"/>
      <c r="Y8" s="439"/>
      <c r="Z8" s="439"/>
      <c r="AA8" s="439"/>
      <c r="AB8" s="439"/>
      <c r="AC8" s="439"/>
      <c r="AD8" s="439"/>
      <c r="AE8" s="439"/>
      <c r="AF8" s="439"/>
      <c r="AG8" s="439"/>
      <c r="AH8" s="439"/>
      <c r="AI8" s="439"/>
      <c r="AJ8" s="439"/>
      <c r="AK8" s="439"/>
      <c r="AL8" s="439"/>
      <c r="AM8" s="439"/>
      <c r="AN8" s="439"/>
      <c r="AO8" s="439"/>
      <c r="AP8" s="439"/>
      <c r="AQ8" s="439"/>
      <c r="AR8" s="439"/>
      <c r="AS8" s="439"/>
    </row>
    <row r="9" spans="1:45" s="385" customFormat="1" ht="25.5">
      <c r="A9" s="1490"/>
      <c r="B9" s="3035"/>
      <c r="C9" s="1527" t="s">
        <v>942</v>
      </c>
      <c r="D9" s="1528" t="s">
        <v>478</v>
      </c>
      <c r="E9" s="1528" t="s">
        <v>943</v>
      </c>
      <c r="Q9" s="1514"/>
      <c r="R9" s="1514"/>
      <c r="S9" s="1514"/>
      <c r="T9" s="1514"/>
      <c r="U9" s="1514"/>
      <c r="V9" s="1514"/>
      <c r="W9" s="1514"/>
      <c r="X9" s="1514"/>
      <c r="Y9" s="1514"/>
      <c r="Z9" s="1514"/>
      <c r="AA9" s="1514"/>
      <c r="AB9" s="1514"/>
      <c r="AC9" s="1514"/>
      <c r="AD9" s="1514"/>
      <c r="AE9" s="1514"/>
      <c r="AF9" s="1514"/>
      <c r="AG9" s="1514"/>
      <c r="AH9" s="1514"/>
      <c r="AI9" s="1514"/>
      <c r="AJ9" s="1514"/>
      <c r="AK9" s="1514"/>
      <c r="AL9" s="1514"/>
      <c r="AM9" s="1514"/>
      <c r="AN9" s="1514"/>
      <c r="AO9" s="1514"/>
      <c r="AP9" s="1514"/>
      <c r="AQ9" s="1514"/>
      <c r="AR9" s="1514"/>
      <c r="AS9" s="1514"/>
    </row>
    <row r="10" spans="1:45">
      <c r="A10" s="702" t="s">
        <v>769</v>
      </c>
      <c r="B10" s="533">
        <v>1</v>
      </c>
      <c r="C10" s="533">
        <v>1</v>
      </c>
      <c r="D10" s="533">
        <v>1</v>
      </c>
      <c r="E10" s="533">
        <v>1</v>
      </c>
      <c r="Q10" s="439"/>
      <c r="R10" s="439"/>
      <c r="S10" s="439"/>
      <c r="T10" s="439"/>
      <c r="U10" s="439"/>
      <c r="V10" s="439"/>
      <c r="W10" s="439"/>
      <c r="X10" s="439"/>
      <c r="Y10" s="439"/>
      <c r="Z10" s="439"/>
      <c r="AA10" s="439"/>
      <c r="AB10" s="439"/>
      <c r="AC10" s="439"/>
      <c r="AD10" s="439"/>
      <c r="AE10" s="439"/>
      <c r="AF10" s="439"/>
      <c r="AG10" s="439"/>
      <c r="AH10" s="439"/>
      <c r="AI10" s="439"/>
      <c r="AJ10" s="439"/>
      <c r="AK10" s="439"/>
      <c r="AL10" s="439"/>
      <c r="AM10" s="439"/>
      <c r="AN10" s="439"/>
      <c r="AO10" s="439"/>
      <c r="AP10" s="439"/>
      <c r="AQ10" s="439"/>
      <c r="AR10" s="439"/>
      <c r="AS10" s="439"/>
    </row>
    <row r="11" spans="1:45">
      <c r="A11" s="291" t="s">
        <v>770</v>
      </c>
      <c r="B11" s="588">
        <v>1</v>
      </c>
      <c r="C11" s="588">
        <v>1</v>
      </c>
      <c r="D11" s="588">
        <v>1</v>
      </c>
      <c r="E11" s="588">
        <v>1</v>
      </c>
      <c r="Q11" s="439"/>
      <c r="R11" s="439"/>
      <c r="S11" s="439"/>
      <c r="T11" s="439"/>
      <c r="U11" s="439"/>
      <c r="V11" s="439"/>
      <c r="W11" s="439"/>
      <c r="X11" s="439"/>
      <c r="Y11" s="439"/>
      <c r="Z11" s="439"/>
      <c r="AA11" s="439"/>
      <c r="AB11" s="439"/>
      <c r="AC11" s="439"/>
      <c r="AD11" s="439"/>
      <c r="AE11" s="439"/>
      <c r="AF11" s="439"/>
      <c r="AG11" s="439"/>
      <c r="AH11" s="439"/>
      <c r="AI11" s="439"/>
      <c r="AJ11" s="439"/>
      <c r="AK11" s="439"/>
      <c r="AL11" s="439"/>
      <c r="AM11" s="439"/>
      <c r="AN11" s="439"/>
      <c r="AO11" s="439"/>
      <c r="AP11" s="439"/>
      <c r="AQ11" s="439"/>
      <c r="AR11" s="439"/>
      <c r="AS11" s="439"/>
    </row>
    <row r="12" spans="1:45">
      <c r="A12" s="490" t="s">
        <v>772</v>
      </c>
      <c r="B12" s="1102">
        <v>0</v>
      </c>
      <c r="C12" s="1102">
        <v>0</v>
      </c>
      <c r="D12" s="1102">
        <v>0</v>
      </c>
      <c r="E12" s="1102">
        <v>0</v>
      </c>
      <c r="Q12" s="439"/>
      <c r="R12" s="439"/>
      <c r="S12" s="439"/>
      <c r="T12" s="439"/>
      <c r="U12" s="439"/>
      <c r="V12" s="439"/>
      <c r="W12" s="439"/>
      <c r="X12" s="439"/>
      <c r="Y12" s="439"/>
      <c r="Z12" s="439"/>
      <c r="AA12" s="439"/>
      <c r="AB12" s="439"/>
      <c r="AC12" s="439"/>
      <c r="AD12" s="439"/>
      <c r="AE12" s="439"/>
      <c r="AF12" s="439"/>
      <c r="AG12" s="439"/>
      <c r="AH12" s="439"/>
      <c r="AI12" s="439"/>
      <c r="AJ12" s="439"/>
      <c r="AK12" s="439"/>
      <c r="AL12" s="439"/>
      <c r="AM12" s="439"/>
      <c r="AN12" s="439"/>
      <c r="AO12" s="439"/>
      <c r="AP12" s="439"/>
      <c r="AQ12" s="439"/>
      <c r="AR12" s="439"/>
      <c r="AS12" s="439"/>
    </row>
    <row r="13" spans="1:45">
      <c r="A13" s="291" t="s">
        <v>773</v>
      </c>
      <c r="B13" s="588">
        <v>1</v>
      </c>
      <c r="C13" s="588">
        <v>1</v>
      </c>
      <c r="D13" s="588">
        <v>1</v>
      </c>
      <c r="E13" s="588">
        <v>1</v>
      </c>
      <c r="Q13" s="439"/>
      <c r="R13" s="439"/>
      <c r="S13" s="439"/>
      <c r="T13" s="439"/>
      <c r="U13" s="439"/>
      <c r="V13" s="439"/>
      <c r="W13" s="439"/>
      <c r="X13" s="439"/>
      <c r="Y13" s="439"/>
      <c r="Z13" s="439"/>
      <c r="AA13" s="439"/>
      <c r="AB13" s="439"/>
      <c r="AC13" s="439"/>
      <c r="AD13" s="439"/>
      <c r="AE13" s="439"/>
      <c r="AF13" s="439"/>
      <c r="AG13" s="439"/>
      <c r="AH13" s="439"/>
      <c r="AI13" s="439"/>
      <c r="AJ13" s="439"/>
      <c r="AK13" s="439"/>
      <c r="AL13" s="439"/>
      <c r="AM13" s="439"/>
      <c r="AN13" s="439"/>
      <c r="AO13" s="439"/>
      <c r="AP13" s="439"/>
      <c r="AQ13" s="439"/>
      <c r="AR13" s="439"/>
      <c r="AS13" s="439"/>
    </row>
    <row r="14" spans="1:45">
      <c r="A14" s="490" t="s">
        <v>782</v>
      </c>
      <c r="B14" s="1102">
        <v>0</v>
      </c>
      <c r="C14" s="1102">
        <v>0</v>
      </c>
      <c r="D14" s="1102">
        <v>0</v>
      </c>
      <c r="E14" s="1102">
        <v>0</v>
      </c>
      <c r="L14" s="439"/>
      <c r="M14" s="439"/>
      <c r="N14" s="439"/>
      <c r="O14" s="439"/>
      <c r="P14" s="439"/>
      <c r="Q14" s="439"/>
      <c r="R14" s="439"/>
      <c r="S14" s="439"/>
      <c r="T14" s="439"/>
      <c r="U14" s="439"/>
      <c r="V14" s="439"/>
      <c r="W14" s="439"/>
      <c r="X14" s="439"/>
      <c r="Y14" s="439"/>
      <c r="Z14" s="439"/>
      <c r="AA14" s="439"/>
      <c r="AB14" s="439"/>
      <c r="AC14" s="439"/>
      <c r="AD14" s="439"/>
      <c r="AE14" s="439"/>
      <c r="AF14" s="439"/>
      <c r="AG14" s="439"/>
      <c r="AH14" s="439"/>
      <c r="AI14" s="439"/>
      <c r="AJ14" s="439"/>
      <c r="AK14" s="439"/>
      <c r="AL14" s="439"/>
      <c r="AM14" s="439"/>
      <c r="AN14" s="439"/>
      <c r="AO14" s="439"/>
      <c r="AP14" s="439"/>
      <c r="AQ14" s="439"/>
      <c r="AR14" s="439"/>
      <c r="AS14" s="439"/>
    </row>
    <row r="15" spans="1:45">
      <c r="A15" s="647" t="s">
        <v>783</v>
      </c>
      <c r="B15" s="949">
        <v>1</v>
      </c>
      <c r="C15" s="949">
        <v>1</v>
      </c>
      <c r="D15" s="949">
        <v>1</v>
      </c>
      <c r="E15" s="949">
        <v>1</v>
      </c>
      <c r="W15" s="439"/>
      <c r="X15" s="439"/>
      <c r="Y15" s="439"/>
      <c r="Z15" s="439"/>
      <c r="AA15" s="439"/>
      <c r="AB15" s="439"/>
      <c r="AC15" s="439"/>
      <c r="AD15" s="439"/>
      <c r="AE15" s="439"/>
      <c r="AF15" s="439"/>
      <c r="AG15" s="439"/>
      <c r="AH15" s="439"/>
      <c r="AI15" s="439"/>
      <c r="AJ15" s="439"/>
      <c r="AK15" s="439"/>
      <c r="AL15" s="439"/>
      <c r="AM15" s="439"/>
      <c r="AN15" s="439"/>
      <c r="AO15" s="439"/>
      <c r="AP15" s="439"/>
      <c r="AQ15" s="439"/>
      <c r="AR15" s="439"/>
      <c r="AS15" s="439"/>
    </row>
    <row r="16" spans="1:45">
      <c r="W16" s="439"/>
      <c r="X16" s="439"/>
      <c r="Y16" s="439"/>
      <c r="Z16" s="439"/>
      <c r="AA16" s="439"/>
      <c r="AB16" s="439"/>
      <c r="AC16" s="439"/>
      <c r="AD16" s="439"/>
      <c r="AE16" s="439"/>
      <c r="AF16" s="439"/>
      <c r="AG16" s="439"/>
      <c r="AH16" s="439"/>
      <c r="AI16" s="439"/>
      <c r="AJ16" s="439"/>
      <c r="AK16" s="439"/>
      <c r="AL16" s="439"/>
      <c r="AM16" s="439"/>
      <c r="AN16" s="439"/>
      <c r="AO16" s="439"/>
      <c r="AP16" s="439"/>
      <c r="AQ16" s="439"/>
      <c r="AR16" s="439"/>
      <c r="AS16" s="439"/>
    </row>
    <row r="17" spans="1:45">
      <c r="A17" s="111" t="s">
        <v>944</v>
      </c>
      <c r="B17" s="439"/>
      <c r="C17" s="439"/>
      <c r="D17" s="439"/>
      <c r="E17" s="439"/>
      <c r="F17" s="439"/>
      <c r="G17" s="439"/>
      <c r="H17" s="439"/>
      <c r="I17" s="439"/>
      <c r="J17" s="439"/>
      <c r="K17" s="439"/>
      <c r="W17" s="439"/>
      <c r="X17" s="439"/>
      <c r="Y17" s="439"/>
      <c r="Z17" s="439"/>
      <c r="AA17" s="439"/>
      <c r="AB17" s="439"/>
      <c r="AC17" s="439"/>
      <c r="AD17" s="439"/>
      <c r="AE17" s="439"/>
      <c r="AF17" s="439"/>
      <c r="AG17" s="439"/>
      <c r="AH17" s="439"/>
      <c r="AI17" s="439"/>
      <c r="AJ17" s="439"/>
      <c r="AK17" s="439"/>
      <c r="AL17" s="439"/>
      <c r="AM17" s="439"/>
      <c r="AN17" s="439"/>
      <c r="AO17" s="439"/>
      <c r="AP17" s="439"/>
      <c r="AQ17" s="439"/>
      <c r="AR17" s="439"/>
      <c r="AS17" s="439"/>
    </row>
    <row r="18" spans="1:45" ht="25.5">
      <c r="A18" s="1351"/>
      <c r="B18" s="1465" t="s">
        <v>945</v>
      </c>
      <c r="C18" s="1465" t="s">
        <v>946</v>
      </c>
      <c r="D18" s="1465" t="s">
        <v>947</v>
      </c>
      <c r="E18" s="1465" t="s">
        <v>948</v>
      </c>
      <c r="F18" s="1465" t="s">
        <v>949</v>
      </c>
      <c r="G18" s="1466" t="s">
        <v>950</v>
      </c>
      <c r="H18" s="1465" t="s">
        <v>951</v>
      </c>
      <c r="I18" s="1465" t="s">
        <v>952</v>
      </c>
      <c r="J18" s="1467" t="s">
        <v>953</v>
      </c>
      <c r="K18" s="1174" t="s">
        <v>954</v>
      </c>
      <c r="W18" s="439"/>
      <c r="X18" s="439"/>
      <c r="Y18" s="439"/>
      <c r="Z18" s="439"/>
      <c r="AA18" s="439"/>
      <c r="AB18" s="439"/>
      <c r="AC18" s="439"/>
      <c r="AD18" s="439"/>
      <c r="AE18" s="439"/>
      <c r="AF18" s="439"/>
      <c r="AG18" s="439"/>
      <c r="AH18" s="439"/>
      <c r="AI18" s="439"/>
      <c r="AJ18" s="439"/>
      <c r="AK18" s="439"/>
      <c r="AL18" s="439"/>
      <c r="AM18" s="439"/>
      <c r="AN18" s="439"/>
      <c r="AO18" s="439"/>
      <c r="AP18" s="439"/>
      <c r="AQ18" s="439"/>
      <c r="AR18" s="439"/>
      <c r="AS18" s="439"/>
    </row>
    <row r="19" spans="1:45">
      <c r="A19" s="100" t="s">
        <v>955</v>
      </c>
      <c r="B19" s="639">
        <v>0.255</v>
      </c>
      <c r="C19" s="639">
        <v>0.14399999999999999</v>
      </c>
      <c r="D19" s="639">
        <v>0.21099999999999999</v>
      </c>
      <c r="E19" s="639">
        <v>0</v>
      </c>
      <c r="F19" s="639">
        <v>0</v>
      </c>
      <c r="G19" s="639">
        <v>0.13600000000000001</v>
      </c>
      <c r="H19" s="639">
        <v>0</v>
      </c>
      <c r="I19" s="939">
        <v>0.254</v>
      </c>
      <c r="J19" s="1468">
        <f>1-SUM(B19:I19)</f>
        <v>0</v>
      </c>
      <c r="K19" s="940">
        <v>0</v>
      </c>
      <c r="W19" s="439"/>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row>
    <row r="20" spans="1:45">
      <c r="A20" s="59" t="s">
        <v>956</v>
      </c>
      <c r="B20" s="939">
        <v>0.16500000000000001</v>
      </c>
      <c r="C20" s="939">
        <v>3.1E-2</v>
      </c>
      <c r="D20" s="939">
        <v>0.19900000000000001</v>
      </c>
      <c r="E20" s="939">
        <v>6.5000000000000002E-2</v>
      </c>
      <c r="F20" s="939">
        <v>6.3E-2</v>
      </c>
      <c r="G20" s="939">
        <v>0</v>
      </c>
      <c r="H20" s="939">
        <v>0.13100000000000001</v>
      </c>
      <c r="I20" s="939">
        <v>0.34599999999999997</v>
      </c>
      <c r="J20" s="1468">
        <f>1-SUM(B20:I20)</f>
        <v>0</v>
      </c>
      <c r="K20" s="940">
        <v>0</v>
      </c>
      <c r="W20" s="439"/>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row>
    <row r="21" spans="1:45">
      <c r="A21" s="490" t="s">
        <v>957</v>
      </c>
      <c r="B21" s="939">
        <v>0</v>
      </c>
      <c r="C21" s="939">
        <v>0</v>
      </c>
      <c r="D21" s="939">
        <v>0</v>
      </c>
      <c r="E21" s="939">
        <v>0</v>
      </c>
      <c r="F21" s="939">
        <v>0</v>
      </c>
      <c r="G21" s="939">
        <v>0</v>
      </c>
      <c r="H21" s="939">
        <v>0</v>
      </c>
      <c r="I21" s="939">
        <v>0</v>
      </c>
      <c r="J21" s="1468">
        <v>0</v>
      </c>
      <c r="K21" s="940">
        <v>1</v>
      </c>
      <c r="Q21" s="439"/>
      <c r="R21" s="439"/>
      <c r="S21" s="439"/>
      <c r="T21" s="439"/>
      <c r="U21" s="439"/>
      <c r="V21" s="439"/>
      <c r="W21" s="439"/>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row>
    <row r="22" spans="1:45">
      <c r="A22" s="647" t="s">
        <v>958</v>
      </c>
      <c r="B22" s="941">
        <v>0</v>
      </c>
      <c r="C22" s="941">
        <v>0</v>
      </c>
      <c r="D22" s="941">
        <v>0</v>
      </c>
      <c r="E22" s="941">
        <v>0</v>
      </c>
      <c r="F22" s="941">
        <v>0</v>
      </c>
      <c r="G22" s="941">
        <v>0</v>
      </c>
      <c r="H22" s="941">
        <v>0</v>
      </c>
      <c r="I22" s="941">
        <v>0</v>
      </c>
      <c r="J22" s="1530">
        <v>1</v>
      </c>
      <c r="K22" s="942">
        <v>0</v>
      </c>
      <c r="Q22" s="1321"/>
      <c r="R22" s="1464"/>
      <c r="S22" s="439"/>
      <c r="T22" s="439"/>
      <c r="U22" s="439"/>
      <c r="AH22" s="439"/>
      <c r="AI22" s="439"/>
      <c r="AJ22" s="439"/>
      <c r="AK22" s="439"/>
      <c r="AL22" s="439"/>
      <c r="AM22" s="439"/>
      <c r="AN22" s="439"/>
      <c r="AO22" s="439"/>
      <c r="AP22" s="439"/>
      <c r="AQ22" s="439"/>
      <c r="AR22" s="439"/>
      <c r="AS22" s="439"/>
    </row>
    <row r="23" spans="1:45">
      <c r="Q23" s="439"/>
      <c r="U23" s="439"/>
      <c r="AH23" s="439"/>
      <c r="AI23" s="439"/>
      <c r="AJ23" s="439"/>
      <c r="AK23" s="439"/>
      <c r="AL23" s="439"/>
      <c r="AM23" s="439"/>
      <c r="AN23" s="439"/>
      <c r="AO23" s="439"/>
      <c r="AP23" s="439"/>
      <c r="AQ23" s="439"/>
      <c r="AR23" s="439"/>
      <c r="AS23" s="439"/>
    </row>
    <row r="24" spans="1:45">
      <c r="A24" s="111" t="s">
        <v>959</v>
      </c>
      <c r="B24" s="439"/>
      <c r="C24" s="439"/>
      <c r="D24" s="439"/>
      <c r="E24" s="439"/>
      <c r="Q24" s="439"/>
      <c r="U24" s="439"/>
      <c r="AH24" s="439"/>
      <c r="AI24" s="439"/>
      <c r="AJ24" s="439"/>
      <c r="AK24" s="439"/>
      <c r="AL24" s="439"/>
      <c r="AM24" s="439"/>
      <c r="AN24" s="439"/>
      <c r="AO24" s="439"/>
      <c r="AP24" s="439"/>
      <c r="AQ24" s="439"/>
      <c r="AR24" s="439"/>
      <c r="AS24" s="439"/>
    </row>
    <row r="25" spans="1:45" s="385" customFormat="1">
      <c r="A25" s="1526"/>
      <c r="B25" s="3026" t="s">
        <v>960</v>
      </c>
      <c r="C25" s="3027"/>
      <c r="D25" s="3026" t="s">
        <v>941</v>
      </c>
      <c r="E25" s="3027"/>
      <c r="Q25" s="1514"/>
      <c r="U25" s="1514"/>
      <c r="AH25" s="1514"/>
      <c r="AI25" s="1514"/>
      <c r="AJ25" s="1514"/>
      <c r="AK25" s="1514"/>
      <c r="AL25" s="1514"/>
      <c r="AM25" s="1514"/>
      <c r="AN25" s="1514"/>
      <c r="AO25" s="1514"/>
      <c r="AP25" s="1514"/>
      <c r="AQ25" s="1514"/>
      <c r="AR25" s="1514"/>
      <c r="AS25" s="1514"/>
    </row>
    <row r="26" spans="1:45" s="385" customFormat="1" ht="38.25">
      <c r="A26" s="1526"/>
      <c r="B26" s="1603" t="s">
        <v>961</v>
      </c>
      <c r="C26" s="1542" t="s">
        <v>962</v>
      </c>
      <c r="D26" s="1603" t="s">
        <v>963</v>
      </c>
      <c r="E26" s="1604" t="s">
        <v>943</v>
      </c>
      <c r="Q26" s="1514"/>
      <c r="R26" s="1514"/>
      <c r="S26" s="1514"/>
      <c r="T26" s="1514"/>
      <c r="U26" s="1514"/>
      <c r="AH26" s="1514"/>
      <c r="AI26" s="1514"/>
      <c r="AJ26" s="1514"/>
      <c r="AK26" s="1514"/>
      <c r="AL26" s="1514"/>
      <c r="AM26" s="1514"/>
      <c r="AN26" s="1514"/>
      <c r="AO26" s="1514"/>
      <c r="AP26" s="1514"/>
      <c r="AQ26" s="1514"/>
      <c r="AR26" s="1514"/>
      <c r="AS26" s="1514"/>
    </row>
    <row r="27" spans="1:45">
      <c r="A27" s="661" t="s">
        <v>876</v>
      </c>
      <c r="B27" s="1092">
        <f>SUMPRODUCT(B$19:J$19,GREET1_Import_Export!$D342:$L342)+GREET1_Import_Export!$T342*K$19</f>
        <v>2329321.0402768548</v>
      </c>
      <c r="C27" s="976">
        <f>SUMPRODUCT(B$20:J$20,GREET1_Import_Export!$D342:$L342)+GREET1_Import_Export!$T342*K$20</f>
        <v>2045634.2203540062</v>
      </c>
      <c r="D27" s="1092">
        <f>SUMPRODUCT(B$21:J$21,GREET1_Import_Export!$D342:$L342)+GREET1_Import_Export!$T342*K$21</f>
        <v>3634762.3750945898</v>
      </c>
      <c r="E27" s="969">
        <f>SUMPRODUCT(B$22:J$22,GREET1_Import_Export!$D342:$L342)+GREET1_Import_Export!$T342*K$22</f>
        <v>2571033.2454258362</v>
      </c>
      <c r="Q27" s="439"/>
      <c r="R27" s="439"/>
      <c r="S27" s="439"/>
      <c r="T27" s="439"/>
      <c r="U27" s="439"/>
      <c r="AH27" s="439"/>
      <c r="AI27" s="439"/>
      <c r="AJ27" s="439"/>
      <c r="AK27" s="439"/>
      <c r="AL27" s="439"/>
      <c r="AM27" s="439"/>
      <c r="AN27" s="439"/>
      <c r="AO27" s="439"/>
      <c r="AP27" s="439"/>
      <c r="AQ27" s="439"/>
      <c r="AR27" s="439"/>
      <c r="AS27" s="439"/>
    </row>
    <row r="28" spans="1:45">
      <c r="A28" s="661" t="s">
        <v>877</v>
      </c>
      <c r="B28" s="1092">
        <f>SUMPRODUCT(B$19:J$19,GREET1_Import_Export!$D343:$L343)+GREET1_Import_Export!$T343*K$19</f>
        <v>1807338.27605971</v>
      </c>
      <c r="C28" s="976">
        <f>SUMPRODUCT(B$20:J$20,GREET1_Import_Export!$D343:$L343)+GREET1_Import_Export!$T343*K$20</f>
        <v>1429503.8877814349</v>
      </c>
      <c r="D28" s="1092">
        <f>SUMPRODUCT(B$21:J$21,GREET1_Import_Export!$D343:$L343)+GREET1_Import_Export!$T343*K$21</f>
        <v>3619244.316642439</v>
      </c>
      <c r="E28" s="969">
        <f>SUMPRODUCT(B$22:J$22,GREET1_Import_Export!$D343:$L343)+GREET1_Import_Export!$T343*K$22</f>
        <v>2247841.3970208052</v>
      </c>
      <c r="Q28" s="439"/>
      <c r="R28" s="439"/>
      <c r="S28" s="439"/>
      <c r="T28" s="439"/>
      <c r="U28" s="439"/>
      <c r="AH28" s="439"/>
      <c r="AI28" s="439"/>
      <c r="AJ28" s="439"/>
      <c r="AK28" s="439"/>
      <c r="AL28" s="439"/>
      <c r="AM28" s="439"/>
      <c r="AN28" s="439"/>
      <c r="AO28" s="439"/>
      <c r="AP28" s="439"/>
      <c r="AQ28" s="439"/>
      <c r="AR28" s="439"/>
      <c r="AS28" s="439"/>
    </row>
    <row r="29" spans="1:45">
      <c r="A29" s="661" t="s">
        <v>442</v>
      </c>
      <c r="B29" s="1092">
        <f>SUMPRODUCT(B$19:J$19,GREET1_Import_Export!$D344:$L344)+GREET1_Import_Export!$T344*K$19</f>
        <v>803207.69667121768</v>
      </c>
      <c r="C29" s="976">
        <f>SUMPRODUCT(B$20:J$20,GREET1_Import_Export!$D344:$L344)+GREET1_Import_Export!$T344*K$20</f>
        <v>672547.17962954694</v>
      </c>
      <c r="D29" s="1092">
        <f>SUMPRODUCT(B$21:J$21,GREET1_Import_Export!$D344:$L344)+GREET1_Import_Export!$T344*K$21</f>
        <v>19560.681923858629</v>
      </c>
      <c r="E29" s="969">
        <f>SUMPRODUCT(B$22:J$22,GREET1_Import_Export!$D344:$L344)+GREET1_Import_Export!$T344*K$22</f>
        <v>2139198.8692545677</v>
      </c>
      <c r="Q29" s="439"/>
      <c r="R29" s="439"/>
      <c r="S29" s="439"/>
      <c r="T29" s="439"/>
      <c r="U29" s="439"/>
      <c r="AH29" s="439"/>
      <c r="AI29" s="439"/>
      <c r="AJ29" s="439"/>
      <c r="AK29" s="439"/>
      <c r="AL29" s="439"/>
      <c r="AM29" s="439"/>
      <c r="AN29" s="439"/>
      <c r="AO29" s="439"/>
      <c r="AP29" s="439"/>
      <c r="AQ29" s="439"/>
      <c r="AR29" s="439"/>
      <c r="AS29" s="439"/>
    </row>
    <row r="30" spans="1:45">
      <c r="A30" s="661" t="s">
        <v>878</v>
      </c>
      <c r="B30" s="1092">
        <f>SUMPRODUCT(B$19:J$19,GREET1_Import_Export!$D345:$L345)+GREET1_Import_Export!$T345*K$19</f>
        <v>565732.9365747415</v>
      </c>
      <c r="C30" s="976">
        <f>SUMPRODUCT(B$20:J$20,GREET1_Import_Export!$D345:$L345)+GREET1_Import_Export!$T345*K$20</f>
        <v>655558.60332516569</v>
      </c>
      <c r="D30" s="1092">
        <f>SUMPRODUCT(B$21:J$21,GREET1_Import_Export!$D345:$L345)+GREET1_Import_Export!$T345*K$21</f>
        <v>253886.68882364826</v>
      </c>
      <c r="E30" s="969">
        <f>SUMPRODUCT(B$22:J$22,GREET1_Import_Export!$D345:$L345)+GREET1_Import_Export!$T345*K$22</f>
        <v>68772.762746920838</v>
      </c>
      <c r="Q30" s="439"/>
      <c r="R30" s="439"/>
      <c r="S30" s="439"/>
      <c r="T30" s="439"/>
      <c r="U30" s="439"/>
      <c r="AH30" s="439"/>
      <c r="AI30" s="439"/>
      <c r="AJ30" s="439"/>
      <c r="AK30" s="439"/>
      <c r="AL30" s="439"/>
      <c r="AM30" s="439"/>
      <c r="AN30" s="439"/>
      <c r="AO30" s="439"/>
      <c r="AP30" s="439"/>
      <c r="AQ30" s="439"/>
      <c r="AR30" s="439"/>
      <c r="AS30" s="439"/>
    </row>
    <row r="31" spans="1:45">
      <c r="A31" s="661" t="s">
        <v>440</v>
      </c>
      <c r="B31" s="1092">
        <f>SUMPRODUCT(B$19:J$19,GREET1_Import_Export!$D346:$L346)+GREET1_Import_Export!$T346*K$19</f>
        <v>438397.64281375048</v>
      </c>
      <c r="C31" s="976">
        <f>SUMPRODUCT(B$20:J$20,GREET1_Import_Export!$D346:$L346)+GREET1_Import_Export!$T346*K$20</f>
        <v>101398.10482672247</v>
      </c>
      <c r="D31" s="1092">
        <f>SUMPRODUCT(B$21:J$21,GREET1_Import_Export!$D346:$L346)+GREET1_Import_Export!$T346*K$21</f>
        <v>3345796.9458949319</v>
      </c>
      <c r="E31" s="969">
        <f>SUMPRODUCT(B$22:J$22,GREET1_Import_Export!$D346:$L346)+GREET1_Import_Export!$T346*K$22</f>
        <v>39869.76501931667</v>
      </c>
      <c r="Q31" s="439"/>
      <c r="R31" s="439"/>
      <c r="S31" s="439"/>
      <c r="T31" s="439"/>
      <c r="U31" s="439"/>
      <c r="AH31" s="439"/>
      <c r="AI31" s="439"/>
      <c r="AJ31" s="439"/>
      <c r="AK31" s="439"/>
      <c r="AL31" s="439"/>
      <c r="AM31" s="439"/>
      <c r="AN31" s="439"/>
      <c r="AO31" s="439"/>
      <c r="AP31" s="439"/>
      <c r="AQ31" s="439"/>
      <c r="AR31" s="439"/>
      <c r="AS31" s="439"/>
    </row>
    <row r="32" spans="1:45">
      <c r="A32" s="1426" t="s">
        <v>819</v>
      </c>
      <c r="B32" s="1272">
        <f>SUMPRODUCT(B$19:J$19,GREET1_Import_Export!$D347:$L347)+GREET1_Import_Export!$T347*K$19</f>
        <v>263.0210668509078</v>
      </c>
      <c r="C32" s="1482">
        <f>SUMPRODUCT(B$20:J$20,GREET1_Import_Export!$D347:$L347)+GREET1_Import_Export!$T347*K$20</f>
        <v>270.98558092685568</v>
      </c>
      <c r="D32" s="1272">
        <f>SUMPRODUCT(B$21:J$21,GREET1_Import_Export!$D347:$L347)+GREET1_Import_Export!$T347*K$21</f>
        <v>162.82007701513018</v>
      </c>
      <c r="E32" s="1483">
        <f>SUMPRODUCT(B$22:J$22,GREET1_Import_Export!$D347:$L347)+GREET1_Import_Export!$T347*K$22</f>
        <v>213.72240580600732</v>
      </c>
      <c r="Q32" s="439"/>
      <c r="R32" s="439"/>
      <c r="S32" s="439"/>
      <c r="T32" s="439"/>
      <c r="U32" s="439"/>
      <c r="AH32" s="439"/>
      <c r="AI32" s="439"/>
      <c r="AJ32" s="439"/>
      <c r="AK32" s="439"/>
      <c r="AL32" s="439"/>
      <c r="AM32" s="439"/>
      <c r="AN32" s="439"/>
      <c r="AO32" s="439"/>
      <c r="AP32" s="439"/>
      <c r="AQ32" s="439"/>
      <c r="AR32" s="439"/>
      <c r="AS32" s="439"/>
    </row>
    <row r="33" spans="1:45">
      <c r="A33" s="523" t="s">
        <v>964</v>
      </c>
      <c r="B33" s="1486"/>
      <c r="C33" s="1484"/>
      <c r="D33" s="1486"/>
      <c r="E33" s="1485"/>
      <c r="Q33" s="439"/>
      <c r="R33" s="439"/>
      <c r="S33" s="439"/>
      <c r="T33" s="439"/>
      <c r="U33" s="439"/>
      <c r="AH33" s="439"/>
      <c r="AI33" s="439"/>
      <c r="AJ33" s="439"/>
      <c r="AK33" s="439"/>
      <c r="AL33" s="439"/>
      <c r="AM33" s="439"/>
      <c r="AN33" s="439"/>
      <c r="AO33" s="439"/>
      <c r="AP33" s="439"/>
      <c r="AQ33" s="439"/>
      <c r="AR33" s="439"/>
      <c r="AS33" s="439"/>
    </row>
    <row r="34" spans="1:45">
      <c r="A34" s="661" t="s">
        <v>965</v>
      </c>
      <c r="B34" s="749">
        <f>SUMPRODUCT(B$19:J$19,GREET1_Import_Export!$D348:$L348)+GREET1_Import_Export!$T348*K$19</f>
        <v>16.568356348411793</v>
      </c>
      <c r="C34" s="919">
        <f>SUMPRODUCT(B$20:J$20,GREET1_Import_Export!$D348:$L348)+GREET1_Import_Export!$T348*K$20</f>
        <v>12.471507308705274</v>
      </c>
      <c r="D34" s="749">
        <f>SUMPRODUCT(B$21:J$21,GREET1_Import_Export!$D348:$L348)+GREET1_Import_Export!$T348*K$21</f>
        <v>40.209350688905616</v>
      </c>
      <c r="E34" s="817">
        <f>SUMPRODUCT(B$22:J$22,GREET1_Import_Export!$D348:$L348)+GREET1_Import_Export!$T348*K$22</f>
        <v>18.842553792930783</v>
      </c>
      <c r="Q34" s="439"/>
      <c r="R34" s="439"/>
      <c r="S34" s="439"/>
      <c r="T34" s="439"/>
      <c r="U34" s="439"/>
      <c r="AH34" s="439"/>
      <c r="AI34" s="439"/>
      <c r="AJ34" s="439"/>
      <c r="AK34" s="439"/>
      <c r="AL34" s="439"/>
      <c r="AM34" s="439"/>
      <c r="AN34" s="439"/>
      <c r="AO34" s="439"/>
      <c r="AP34" s="439"/>
      <c r="AQ34" s="439"/>
      <c r="AR34" s="439"/>
      <c r="AS34" s="439"/>
    </row>
    <row r="35" spans="1:45">
      <c r="A35" s="661" t="s">
        <v>966</v>
      </c>
      <c r="B35" s="749">
        <f>SUMPRODUCT(B$19:J$19,GREET1_Import_Export!$D349:$L349)+GREET1_Import_Export!$T349*K$19</f>
        <v>59.382034973056449</v>
      </c>
      <c r="C35" s="919">
        <f>SUMPRODUCT(B$20:J$20,GREET1_Import_Export!$D349:$L349)+GREET1_Import_Export!$T349*K$20</f>
        <v>39.358260613960553</v>
      </c>
      <c r="D35" s="749">
        <f>SUMPRODUCT(B$21:J$21,GREET1_Import_Export!$D349:$L349)+GREET1_Import_Export!$T349*K$21</f>
        <v>219.0722306707259</v>
      </c>
      <c r="E35" s="817">
        <f>SUMPRODUCT(B$22:J$22,GREET1_Import_Export!$D349:$L349)+GREET1_Import_Export!$T349*K$22</f>
        <v>38.530855008866524</v>
      </c>
      <c r="Q35" s="439"/>
      <c r="R35" s="439"/>
      <c r="S35" s="439"/>
      <c r="T35" s="439"/>
      <c r="U35" s="439"/>
      <c r="AH35" s="439"/>
      <c r="AI35" s="439"/>
      <c r="AJ35" s="439"/>
      <c r="AK35" s="439"/>
      <c r="AL35" s="439"/>
      <c r="AM35" s="439"/>
      <c r="AN35" s="439"/>
      <c r="AO35" s="439"/>
      <c r="AP35" s="439"/>
      <c r="AQ35" s="439"/>
      <c r="AR35" s="439"/>
      <c r="AS35" s="439"/>
    </row>
    <row r="36" spans="1:45">
      <c r="A36" s="661" t="s">
        <v>967</v>
      </c>
      <c r="B36" s="749">
        <f>SUMPRODUCT(B$19:J$19,GREET1_Import_Export!$D350:$L350)+GREET1_Import_Export!$T350*K$19</f>
        <v>212.05887264415304</v>
      </c>
      <c r="C36" s="919">
        <f>SUMPRODUCT(B$20:J$20,GREET1_Import_Export!$D350:$L350)+GREET1_Import_Export!$T350*K$20</f>
        <v>102.68425496264921</v>
      </c>
      <c r="D36" s="749">
        <f>SUMPRODUCT(B$21:J$21,GREET1_Import_Export!$D350:$L350)+GREET1_Import_Export!$T350*K$21</f>
        <v>1058.6261756886076</v>
      </c>
      <c r="E36" s="817">
        <f>SUMPRODUCT(B$22:J$22,GREET1_Import_Export!$D350:$L350)+GREET1_Import_Export!$T350*K$22</f>
        <v>148.44042335863679</v>
      </c>
      <c r="Q36" s="439"/>
      <c r="R36" s="439"/>
      <c r="S36" s="439"/>
      <c r="T36" s="439"/>
      <c r="U36" s="439"/>
      <c r="AH36" s="439"/>
      <c r="AI36" s="439"/>
      <c r="AJ36" s="439"/>
      <c r="AK36" s="439"/>
      <c r="AL36" s="439"/>
      <c r="AM36" s="439"/>
      <c r="AN36" s="439"/>
      <c r="AO36" s="439"/>
      <c r="AP36" s="439"/>
      <c r="AQ36" s="439"/>
      <c r="AR36" s="439"/>
      <c r="AS36" s="439"/>
    </row>
    <row r="37" spans="1:45">
      <c r="A37" s="661" t="s">
        <v>968</v>
      </c>
      <c r="B37" s="749">
        <f>SUMPRODUCT(B$19:J$19,GREET1_Import_Export!$D351:$L351)+GREET1_Import_Export!$T351*K$19</f>
        <v>22.51862554540142</v>
      </c>
      <c r="C37" s="919">
        <f>SUMPRODUCT(B$20:J$20,GREET1_Import_Export!$D351:$L351)+GREET1_Import_Export!$T351*K$20</f>
        <v>14.730268689318063</v>
      </c>
      <c r="D37" s="749">
        <f>SUMPRODUCT(B$21:J$21,GREET1_Import_Export!$D351:$L351)+GREET1_Import_Export!$T351*K$21</f>
        <v>60.436843039375511</v>
      </c>
      <c r="E37" s="817">
        <f>SUMPRODUCT(B$22:J$22,GREET1_Import_Export!$D351:$L351)+GREET1_Import_Export!$T351*K$22</f>
        <v>35.389097255820417</v>
      </c>
      <c r="Q37" s="439"/>
      <c r="R37" s="439"/>
      <c r="S37" s="439"/>
      <c r="T37" s="439"/>
      <c r="U37" s="439"/>
      <c r="AH37" s="439"/>
      <c r="AI37" s="439"/>
      <c r="AJ37" s="439"/>
      <c r="AK37" s="439"/>
      <c r="AL37" s="439"/>
      <c r="AM37" s="439"/>
      <c r="AN37" s="439"/>
      <c r="AO37" s="439"/>
      <c r="AP37" s="439"/>
      <c r="AQ37" s="439"/>
      <c r="AR37" s="439"/>
      <c r="AS37" s="439"/>
    </row>
    <row r="38" spans="1:45">
      <c r="A38" s="661" t="s">
        <v>969</v>
      </c>
      <c r="B38" s="749">
        <f>SUMPRODUCT(B$19:J$19,GREET1_Import_Export!$D352:$L352)+GREET1_Import_Export!$T352*K$19</f>
        <v>14.342551580908564</v>
      </c>
      <c r="C38" s="919">
        <f>SUMPRODUCT(B$20:J$20,GREET1_Import_Export!$D352:$L352)+GREET1_Import_Export!$T352*K$20</f>
        <v>8.5835074388197174</v>
      </c>
      <c r="D38" s="749">
        <f>SUMPRODUCT(B$21:J$21,GREET1_Import_Export!$D352:$L352)+GREET1_Import_Export!$T352*K$21</f>
        <v>51.18303367646849</v>
      </c>
      <c r="E38" s="817">
        <f>SUMPRODUCT(B$22:J$22,GREET1_Import_Export!$D352:$L352)+GREET1_Import_Export!$T352*K$22</f>
        <v>16.82060276765629</v>
      </c>
      <c r="Q38" s="439"/>
      <c r="R38" s="439"/>
      <c r="S38" s="439"/>
      <c r="T38" s="439"/>
      <c r="U38" s="439"/>
      <c r="AH38" s="439"/>
      <c r="AI38" s="439"/>
      <c r="AJ38" s="439"/>
      <c r="AK38" s="439"/>
      <c r="AL38" s="439"/>
      <c r="AM38" s="439"/>
      <c r="AN38" s="439"/>
      <c r="AO38" s="439"/>
      <c r="AP38" s="439"/>
      <c r="AQ38" s="439"/>
      <c r="AR38" s="439"/>
      <c r="AS38" s="439"/>
    </row>
    <row r="39" spans="1:45">
      <c r="A39" s="661" t="s">
        <v>970</v>
      </c>
      <c r="B39" s="749">
        <f>SUMPRODUCT(B$19:J$19,GREET1_Import_Export!$D353:$L353)+GREET1_Import_Export!$T353*K$19</f>
        <v>169.49715976234788</v>
      </c>
      <c r="C39" s="919">
        <f>SUMPRODUCT(B$20:J$20,GREET1_Import_Export!$D353:$L353)+GREET1_Import_Export!$T353*K$20</f>
        <v>91.539519368883873</v>
      </c>
      <c r="D39" s="749">
        <f>SUMPRODUCT(B$21:J$21,GREET1_Import_Export!$D353:$L353)+GREET1_Import_Export!$T353*K$21</f>
        <v>673.4267387810313</v>
      </c>
      <c r="E39" s="817">
        <f>SUMPRODUCT(B$22:J$22,GREET1_Import_Export!$D353:$L353)+GREET1_Import_Export!$T353*K$22</f>
        <v>205.57366273162924</v>
      </c>
      <c r="Q39" s="439"/>
      <c r="R39" s="439"/>
      <c r="S39" s="439"/>
      <c r="T39" s="439"/>
      <c r="U39" s="439"/>
      <c r="AH39" s="439"/>
      <c r="AI39" s="439"/>
      <c r="AJ39" s="439"/>
      <c r="AK39" s="439"/>
      <c r="AL39" s="439"/>
      <c r="AM39" s="439"/>
      <c r="AN39" s="439"/>
      <c r="AO39" s="439"/>
      <c r="AP39" s="439"/>
      <c r="AQ39" s="439"/>
      <c r="AR39" s="439"/>
      <c r="AS39" s="439"/>
    </row>
    <row r="40" spans="1:45">
      <c r="A40" s="661" t="s">
        <v>971</v>
      </c>
      <c r="B40" s="749">
        <f>SUMPRODUCT(B$19:J$19,GREET1_Import_Export!$D354:$L354)+GREET1_Import_Export!$T354*K$19</f>
        <v>1.0150861004600076</v>
      </c>
      <c r="C40" s="919">
        <f>SUMPRODUCT(B$20:J$20,GREET1_Import_Export!$D354:$L354)+GREET1_Import_Export!$T354*K$20</f>
        <v>0.53787326621765419</v>
      </c>
      <c r="D40" s="749">
        <f>SUMPRODUCT(B$21:J$21,GREET1_Import_Export!$D354:$L354)+GREET1_Import_Export!$T354*K$21</f>
        <v>4.7044279303544068</v>
      </c>
      <c r="E40" s="817">
        <f>SUMPRODUCT(B$22:J$22,GREET1_Import_Export!$D354:$L354)+GREET1_Import_Export!$T354*K$22</f>
        <v>0.71771505151280279</v>
      </c>
      <c r="Q40" s="439"/>
      <c r="R40" s="439"/>
      <c r="S40" s="439"/>
      <c r="T40" s="439"/>
      <c r="U40" s="439"/>
      <c r="AH40" s="439"/>
      <c r="AI40" s="439"/>
      <c r="AJ40" s="439"/>
      <c r="AK40" s="439"/>
      <c r="AL40" s="439"/>
      <c r="AM40" s="439"/>
      <c r="AN40" s="439"/>
      <c r="AO40" s="439"/>
      <c r="AP40" s="439"/>
      <c r="AQ40" s="439"/>
      <c r="AR40" s="439"/>
      <c r="AS40" s="439"/>
    </row>
    <row r="41" spans="1:45">
      <c r="A41" s="661" t="s">
        <v>972</v>
      </c>
      <c r="B41" s="749">
        <f>SUMPRODUCT(B$19:J$19,GREET1_Import_Export!$D355:$L355)+GREET1_Import_Export!$T355*K$19</f>
        <v>2.4429002624702756</v>
      </c>
      <c r="C41" s="919">
        <f>SUMPRODUCT(B$20:J$20,GREET1_Import_Export!$D355:$L355)+GREET1_Import_Export!$T355*K$20</f>
        <v>1.7948027558172863</v>
      </c>
      <c r="D41" s="749">
        <f>SUMPRODUCT(B$21:J$21,GREET1_Import_Export!$D355:$L355)+GREET1_Import_Export!$T355*K$21</f>
        <v>7.7798966450302576</v>
      </c>
      <c r="E41" s="817">
        <f>SUMPRODUCT(B$22:J$22,GREET1_Import_Export!$D355:$L355)+GREET1_Import_Export!$T355*K$22</f>
        <v>1.4436450927096769</v>
      </c>
      <c r="Q41" s="439"/>
      <c r="R41" s="439"/>
      <c r="S41" s="439"/>
      <c r="T41" s="439"/>
      <c r="U41" s="439"/>
      <c r="AH41" s="439"/>
      <c r="AI41" s="439"/>
      <c r="AJ41" s="439"/>
      <c r="AK41" s="439"/>
      <c r="AL41" s="439"/>
      <c r="AM41" s="439"/>
      <c r="AN41" s="439"/>
      <c r="AO41" s="439"/>
      <c r="AP41" s="439"/>
      <c r="AQ41" s="439"/>
      <c r="AR41" s="439"/>
      <c r="AS41" s="439"/>
    </row>
    <row r="42" spans="1:45">
      <c r="A42" s="661" t="s">
        <v>887</v>
      </c>
      <c r="B42" s="749">
        <f>SUMPRODUCT(B$19:J$19,GREET1_Import_Export!$D356:$L356)+GREET1_Import_Export!$T356*K$19</f>
        <v>264.97373644025646</v>
      </c>
      <c r="C42" s="919">
        <f>SUMPRODUCT(B$20:J$20,GREET1_Import_Export!$D356:$L356)+GREET1_Import_Export!$T356*K$20</f>
        <v>230.35184229358089</v>
      </c>
      <c r="D42" s="749">
        <f>SUMPRODUCT(B$21:J$21,GREET1_Import_Export!$D356:$L356)+GREET1_Import_Export!$T356*K$21</f>
        <v>334.57621038121812</v>
      </c>
      <c r="E42" s="817">
        <f>SUMPRODUCT(B$22:J$22,GREET1_Import_Export!$D356:$L356)+GREET1_Import_Export!$T356*K$22</f>
        <v>361.32819672733643</v>
      </c>
      <c r="Q42" s="439"/>
      <c r="R42" s="439"/>
      <c r="S42" s="439"/>
      <c r="T42" s="439"/>
      <c r="U42" s="439"/>
      <c r="AH42" s="439"/>
      <c r="AI42" s="439"/>
      <c r="AJ42" s="439"/>
      <c r="AK42" s="439"/>
      <c r="AL42" s="439"/>
      <c r="AM42" s="439"/>
      <c r="AN42" s="439"/>
      <c r="AO42" s="439"/>
      <c r="AP42" s="439"/>
      <c r="AQ42" s="439"/>
      <c r="AR42" s="439"/>
      <c r="AS42" s="439"/>
    </row>
    <row r="43" spans="1:45">
      <c r="A43" s="661" t="s">
        <v>888</v>
      </c>
      <c r="B43" s="749">
        <f>SUMPRODUCT(B$19:J$19,GREET1_Import_Export!$D357:$L357)+GREET1_Import_Export!$T357*K$19</f>
        <v>10.793980490448423</v>
      </c>
      <c r="C43" s="919">
        <f>SUMPRODUCT(B$20:J$20,GREET1_Import_Export!$D357:$L357)+GREET1_Import_Export!$T357*K$20</f>
        <v>4.4487042180595537</v>
      </c>
      <c r="D43" s="749">
        <f>SUMPRODUCT(B$21:J$21,GREET1_Import_Export!$D357:$L357)+GREET1_Import_Export!$T357*K$21</f>
        <v>62.22597598235555</v>
      </c>
      <c r="E43" s="817">
        <f>SUMPRODUCT(B$22:J$22,GREET1_Import_Export!$D357:$L357)+GREET1_Import_Export!$T357*K$22</f>
        <v>5.5101393992255394</v>
      </c>
      <c r="Q43" s="439"/>
      <c r="R43" s="439"/>
      <c r="S43" s="439"/>
      <c r="T43" s="439"/>
      <c r="U43" s="439"/>
      <c r="AH43" s="439"/>
      <c r="AI43" s="439"/>
      <c r="AJ43" s="439"/>
      <c r="AK43" s="439"/>
      <c r="AL43" s="439"/>
      <c r="AM43" s="439"/>
      <c r="AN43" s="439"/>
      <c r="AO43" s="439"/>
      <c r="AP43" s="439"/>
      <c r="AQ43" s="439"/>
      <c r="AR43" s="439"/>
      <c r="AS43" s="439"/>
    </row>
    <row r="44" spans="1:45">
      <c r="A44" s="897" t="s">
        <v>889</v>
      </c>
      <c r="B44" s="1194">
        <f>SUMPRODUCT(B$19:J$19,GREET1_Import_Export!$D358:$L358)+GREET1_Import_Export!$T358*K$19</f>
        <v>151448.62499022836</v>
      </c>
      <c r="C44" s="526">
        <f>SUMPRODUCT(B$20:J$20,GREET1_Import_Export!$D358:$L358)+GREET1_Import_Export!$T358*K$20</f>
        <v>114759.64571014023</v>
      </c>
      <c r="D44" s="1194">
        <f>SUMPRODUCT(B$21:J$21,GREET1_Import_Export!$D358:$L358)+GREET1_Import_Export!$T358*K$21</f>
        <v>304593.13944572065</v>
      </c>
      <c r="E44" s="527">
        <f>SUMPRODUCT(B$22:J$22,GREET1_Import_Export!$D358:$L358)+GREET1_Import_Export!$T358*K$22</f>
        <v>221144.5133393289</v>
      </c>
      <c r="Q44" s="439"/>
      <c r="R44" s="439"/>
      <c r="S44" s="439"/>
      <c r="T44" s="439"/>
      <c r="U44" s="439"/>
      <c r="AH44" s="439"/>
      <c r="AI44" s="439"/>
      <c r="AJ44" s="439"/>
      <c r="AK44" s="439"/>
      <c r="AL44" s="439"/>
      <c r="AM44" s="439"/>
      <c r="AN44" s="439"/>
      <c r="AO44" s="439"/>
      <c r="AP44" s="439"/>
      <c r="AQ44" s="439"/>
      <c r="AR44" s="439"/>
      <c r="AS44" s="439"/>
    </row>
    <row r="45" spans="1:45">
      <c r="A45" s="661" t="s">
        <v>973</v>
      </c>
      <c r="B45" s="1092"/>
      <c r="C45" s="976"/>
      <c r="D45" s="1092"/>
      <c r="E45" s="969"/>
      <c r="Q45" s="439"/>
      <c r="AR45" s="439"/>
      <c r="AS45" s="439"/>
    </row>
    <row r="46" spans="1:45">
      <c r="A46" s="661" t="s">
        <v>974</v>
      </c>
      <c r="B46" s="749">
        <f>SUMPRODUCT(B$19:J$19,GREET1_Import_Export!$D363:$L363)+GREET1_Import_Export!$T363*K$19</f>
        <v>1.5375580768790782</v>
      </c>
      <c r="C46" s="919">
        <f>SUMPRODUCT(B$20:J$20,GREET1_Import_Export!$D363:$L363)+GREET1_Import_Export!$T363*K$20</f>
        <v>0.87413163573871122</v>
      </c>
      <c r="D46" s="749">
        <f>SUMPRODUCT(B$21:J$21,GREET1_Import_Export!$D363:$L363)+GREET1_Import_Export!$T363*K$21</f>
        <v>6.6250197646822429</v>
      </c>
      <c r="E46" s="817">
        <f>SUMPRODUCT(B$22:J$22,GREET1_Import_Export!$D363:$L363)+GREET1_Import_Export!$T363*K$22</f>
        <v>1.1168185753190198</v>
      </c>
      <c r="Q46" s="439"/>
      <c r="AR46" s="439"/>
      <c r="AS46" s="439"/>
    </row>
    <row r="47" spans="1:45">
      <c r="A47" s="661" t="s">
        <v>975</v>
      </c>
      <c r="B47" s="749">
        <f>SUMPRODUCT(B$19:J$19,GREET1_Import_Export!$D364:$L364)+GREET1_Import_Export!$T364*K$19</f>
        <v>6.8637654456188555</v>
      </c>
      <c r="C47" s="919">
        <f>SUMPRODUCT(B$20:J$20,GREET1_Import_Export!$D364:$L364)+GREET1_Import_Export!$T364*K$20</f>
        <v>5.9633718160541296</v>
      </c>
      <c r="D47" s="749">
        <f>SUMPRODUCT(B$21:J$21,GREET1_Import_Export!$D364:$L364)+GREET1_Import_Export!$T364*K$21</f>
        <v>6.0058810414336765</v>
      </c>
      <c r="E47" s="817">
        <f>SUMPRODUCT(B$22:J$22,GREET1_Import_Export!$D364:$L364)+GREET1_Import_Export!$T364*K$22</f>
        <v>11.714921844134402</v>
      </c>
      <c r="Q47" s="439"/>
      <c r="AR47" s="439"/>
      <c r="AS47" s="439"/>
    </row>
    <row r="48" spans="1:45">
      <c r="A48" s="661" t="s">
        <v>976</v>
      </c>
      <c r="B48" s="749">
        <f>SUMPRODUCT(B$19:J$19,GREET1_Import_Export!$D365:$L365)+GREET1_Import_Export!$T365*K$19</f>
        <v>23.997641028008172</v>
      </c>
      <c r="C48" s="919">
        <f>SUMPRODUCT(B$20:J$20,GREET1_Import_Export!$D365:$L365)+GREET1_Import_Export!$T365*K$20</f>
        <v>19.989655187528808</v>
      </c>
      <c r="D48" s="749">
        <f>SUMPRODUCT(B$21:J$21,GREET1_Import_Export!$D365:$L365)+GREET1_Import_Export!$T365*K$21</f>
        <v>16.927514461229727</v>
      </c>
      <c r="E48" s="817">
        <f>SUMPRODUCT(B$22:J$22,GREET1_Import_Export!$D365:$L365)+GREET1_Import_Export!$T365*K$22</f>
        <v>50.307423024643249</v>
      </c>
      <c r="Q48" s="439"/>
      <c r="AR48" s="439"/>
      <c r="AS48" s="439"/>
    </row>
    <row r="49" spans="1:45">
      <c r="A49" s="661" t="s">
        <v>977</v>
      </c>
      <c r="B49" s="749">
        <f>SUMPRODUCT(B$19:J$19,GREET1_Import_Export!$D366:$L366)+GREET1_Import_Export!$T366*K$19</f>
        <v>3.0894167476747056</v>
      </c>
      <c r="C49" s="919">
        <f>SUMPRODUCT(B$20:J$20,GREET1_Import_Export!$D366:$L366)+GREET1_Import_Export!$T366*K$20</f>
        <v>2.6144183992221559</v>
      </c>
      <c r="D49" s="749">
        <f>SUMPRODUCT(B$21:J$21,GREET1_Import_Export!$D366:$L366)+GREET1_Import_Export!$T366*K$21</f>
        <v>1.8601905876018328</v>
      </c>
      <c r="E49" s="817">
        <f>SUMPRODUCT(B$22:J$22,GREET1_Import_Export!$D366:$L366)+GREET1_Import_Export!$T366*K$22</f>
        <v>6.4780673708720666</v>
      </c>
      <c r="Q49" s="439"/>
      <c r="AR49" s="439"/>
      <c r="AS49" s="439"/>
    </row>
    <row r="50" spans="1:45">
      <c r="A50" s="661" t="s">
        <v>978</v>
      </c>
      <c r="B50" s="749">
        <f>SUMPRODUCT(B$19:J$19,GREET1_Import_Export!$D367:$L367)+GREET1_Import_Export!$T367*K$19</f>
        <v>2.6351845475908391</v>
      </c>
      <c r="C50" s="919">
        <f>SUMPRODUCT(B$20:J$20,GREET1_Import_Export!$D367:$L367)+GREET1_Import_Export!$T367*K$20</f>
        <v>2.2486690670681133</v>
      </c>
      <c r="D50" s="749">
        <f>SUMPRODUCT(B$21:J$21,GREET1_Import_Export!$D367:$L367)+GREET1_Import_Export!$T367*K$21</f>
        <v>1.6190651321221843</v>
      </c>
      <c r="E50" s="817">
        <f>SUMPRODUCT(B$22:J$22,GREET1_Import_Export!$D367:$L367)+GREET1_Import_Export!$T367*K$22</f>
        <v>5.3712701500134656</v>
      </c>
      <c r="Q50" s="439"/>
      <c r="AR50" s="439"/>
      <c r="AS50" s="439"/>
    </row>
    <row r="51" spans="1:45">
      <c r="A51" s="661" t="s">
        <v>979</v>
      </c>
      <c r="B51" s="749">
        <f>SUMPRODUCT(B$19:J$19,GREET1_Import_Export!$D368:$L368)+GREET1_Import_Export!$T368*K$19</f>
        <v>28.100642353283764</v>
      </c>
      <c r="C51" s="919">
        <f>SUMPRODUCT(B$20:J$20,GREET1_Import_Export!$D368:$L368)+GREET1_Import_Export!$T368*K$20</f>
        <v>22.904397030997625</v>
      </c>
      <c r="D51" s="749">
        <f>SUMPRODUCT(B$21:J$21,GREET1_Import_Export!$D368:$L368)+GREET1_Import_Export!$T368*K$21</f>
        <v>9.4681430740249866</v>
      </c>
      <c r="E51" s="817">
        <f>SUMPRODUCT(B$22:J$22,GREET1_Import_Export!$D368:$L368)+GREET1_Import_Export!$T368*K$22</f>
        <v>71.370156301834058</v>
      </c>
      <c r="Q51" s="439"/>
      <c r="AR51" s="439"/>
      <c r="AS51" s="439"/>
    </row>
    <row r="52" spans="1:45">
      <c r="A52" s="661" t="s">
        <v>980</v>
      </c>
      <c r="B52" s="749">
        <f>SUMPRODUCT(B$19:J$19,GREET1_Import_Export!$D369:$L369)+GREET1_Import_Export!$T369*K$19</f>
        <v>0.13564738229926421</v>
      </c>
      <c r="C52" s="919">
        <f>SUMPRODUCT(B$20:J$20,GREET1_Import_Export!$D369:$L369)+GREET1_Import_Export!$T369*K$20</f>
        <v>0.1115524096423087</v>
      </c>
      <c r="D52" s="749">
        <f>SUMPRODUCT(B$21:J$21,GREET1_Import_Export!$D369:$L369)+GREET1_Import_Export!$T369*K$21</f>
        <v>0.16427337163174172</v>
      </c>
      <c r="E52" s="817">
        <f>SUMPRODUCT(B$22:J$22,GREET1_Import_Export!$D369:$L369)+GREET1_Import_Export!$T369*K$22</f>
        <v>0.2339618325801501</v>
      </c>
      <c r="Q52" s="439"/>
      <c r="AR52" s="439"/>
      <c r="AS52" s="439"/>
    </row>
    <row r="53" spans="1:45" ht="33.75" customHeight="1">
      <c r="A53" s="897" t="s">
        <v>981</v>
      </c>
      <c r="B53" s="771">
        <f>SUMPRODUCT(B$19:J$19,GREET1_Import_Export!$D370:$L370)+GREET1_Import_Export!$T370*K$19</f>
        <v>0.46846100121373402</v>
      </c>
      <c r="C53" s="1069">
        <f>SUMPRODUCT(B$20:J$20,GREET1_Import_Export!$D370:$L370)+GREET1_Import_Export!$T370*K$20</f>
        <v>0.47564576642359024</v>
      </c>
      <c r="D53" s="771">
        <f>SUMPRODUCT(B$21:J$21,GREET1_Import_Export!$D370:$L370)+GREET1_Import_Export!$T370*K$21</f>
        <v>0.25258077398824641</v>
      </c>
      <c r="E53" s="1084">
        <f>SUMPRODUCT(B$22:J$22,GREET1_Import_Export!$D370:$L370)+GREET1_Import_Export!$T370*K$22</f>
        <v>0.47309245710742925</v>
      </c>
      <c r="Q53" s="439"/>
      <c r="AR53" s="439"/>
      <c r="AS53" s="439"/>
    </row>
    <row r="54" spans="1:45">
      <c r="A54" s="64"/>
      <c r="B54" s="64"/>
      <c r="C54" s="64"/>
      <c r="D54" s="64"/>
      <c r="Q54" s="439"/>
      <c r="AR54" s="439"/>
      <c r="AS54" s="439"/>
    </row>
    <row r="55" spans="1:45">
      <c r="A55" s="63" t="s">
        <v>982</v>
      </c>
      <c r="B55" s="62"/>
      <c r="C55" s="62"/>
      <c r="D55" s="64"/>
      <c r="Q55" s="439"/>
      <c r="AR55" s="439"/>
      <c r="AS55" s="439"/>
    </row>
    <row r="56" spans="1:45">
      <c r="A56" s="1352"/>
      <c r="B56" s="1480" t="s">
        <v>983</v>
      </c>
      <c r="C56" s="1481" t="s">
        <v>984</v>
      </c>
      <c r="D56" s="64"/>
      <c r="Q56" s="439"/>
      <c r="AR56" s="439"/>
      <c r="AS56" s="439"/>
    </row>
    <row r="57" spans="1:45">
      <c r="A57" s="292" t="s">
        <v>985</v>
      </c>
      <c r="B57" s="941">
        <v>0.4</v>
      </c>
      <c r="C57" s="942">
        <v>0.6</v>
      </c>
      <c r="D57" s="64"/>
      <c r="Q57" s="439"/>
      <c r="AR57" s="439"/>
      <c r="AS57" s="439"/>
    </row>
    <row r="58" spans="1:45">
      <c r="A58" s="1464"/>
      <c r="B58" s="439"/>
      <c r="C58" s="439"/>
      <c r="D58" s="439"/>
      <c r="E58" s="439"/>
      <c r="F58" s="439"/>
      <c r="G58" s="439"/>
      <c r="H58" s="439"/>
      <c r="I58" s="439"/>
      <c r="J58" s="439"/>
      <c r="K58" s="439"/>
      <c r="L58" s="439"/>
      <c r="Q58" s="439"/>
      <c r="AR58" s="439"/>
      <c r="AS58" s="439"/>
    </row>
    <row r="59" spans="1:45">
      <c r="A59" s="63" t="s">
        <v>986</v>
      </c>
      <c r="B59" s="62"/>
      <c r="C59" s="62"/>
      <c r="D59" s="62"/>
      <c r="E59" s="62"/>
      <c r="F59" s="62"/>
      <c r="G59" s="62"/>
      <c r="H59" s="62"/>
      <c r="I59" s="62"/>
      <c r="J59" s="62"/>
      <c r="K59" s="62"/>
      <c r="L59" s="62"/>
      <c r="Q59" s="439"/>
      <c r="AR59" s="439"/>
      <c r="AS59" s="439"/>
    </row>
    <row r="60" spans="1:45" s="1520" customFormat="1">
      <c r="A60" s="1519"/>
      <c r="B60" s="3028" t="s">
        <v>987</v>
      </c>
      <c r="C60" s="3029"/>
      <c r="D60" s="3029"/>
      <c r="E60" s="3030"/>
      <c r="F60" s="3023" t="s">
        <v>988</v>
      </c>
      <c r="G60" s="3024"/>
      <c r="H60" s="3024"/>
      <c r="I60" s="3024"/>
      <c r="J60" s="3024"/>
      <c r="K60" s="3024"/>
      <c r="L60" s="3025"/>
      <c r="Q60" s="1521"/>
      <c r="AR60" s="1521"/>
      <c r="AS60" s="1521"/>
    </row>
    <row r="61" spans="1:45" s="1520" customFormat="1">
      <c r="A61" s="1522"/>
      <c r="B61" s="3031"/>
      <c r="C61" s="3032"/>
      <c r="D61" s="3032"/>
      <c r="E61" s="3033"/>
      <c r="F61" s="3034" t="s">
        <v>983</v>
      </c>
      <c r="G61" s="3023" t="s">
        <v>984</v>
      </c>
      <c r="H61" s="3025"/>
      <c r="I61" s="3023" t="s">
        <v>989</v>
      </c>
      <c r="J61" s="3024"/>
      <c r="K61" s="3024"/>
      <c r="L61" s="3025"/>
      <c r="Q61" s="1521"/>
      <c r="AR61" s="1521"/>
      <c r="AS61" s="1521"/>
    </row>
    <row r="62" spans="1:45" s="1524" customFormat="1" ht="25.5">
      <c r="A62" s="1523"/>
      <c r="B62" s="1538" t="s">
        <v>990</v>
      </c>
      <c r="C62" s="1539" t="s">
        <v>478</v>
      </c>
      <c r="D62" s="1539" t="s">
        <v>479</v>
      </c>
      <c r="E62" s="1540" t="s">
        <v>962</v>
      </c>
      <c r="F62" s="3035"/>
      <c r="G62" s="1541" t="s">
        <v>478</v>
      </c>
      <c r="H62" s="1540" t="s">
        <v>943</v>
      </c>
      <c r="I62" s="1538" t="s">
        <v>990</v>
      </c>
      <c r="J62" s="1539" t="s">
        <v>478</v>
      </c>
      <c r="K62" s="1539" t="s">
        <v>479</v>
      </c>
      <c r="L62" s="1540" t="s">
        <v>962</v>
      </c>
      <c r="Q62" s="1525"/>
      <c r="AR62" s="1525"/>
      <c r="AS62" s="1525"/>
    </row>
    <row r="63" spans="1:45">
      <c r="A63" s="135" t="s">
        <v>991</v>
      </c>
      <c r="B63" s="1531">
        <v>9.2010383616959901E-2</v>
      </c>
      <c r="C63" s="367"/>
      <c r="D63" s="367"/>
      <c r="E63" s="952"/>
      <c r="F63" s="711"/>
      <c r="G63" s="663"/>
      <c r="H63" s="952"/>
      <c r="I63" s="1537">
        <v>3.7738364400646443E-2</v>
      </c>
      <c r="J63" s="367"/>
      <c r="K63" s="367"/>
      <c r="L63" s="952"/>
      <c r="Q63" s="439"/>
      <c r="AR63" s="439"/>
      <c r="AS63" s="439"/>
    </row>
    <row r="64" spans="1:45" s="496" customFormat="1">
      <c r="A64" s="160" t="s">
        <v>38</v>
      </c>
      <c r="B64" s="383"/>
      <c r="C64" s="1532">
        <v>8.72512258436689E-2</v>
      </c>
      <c r="D64" s="436"/>
      <c r="E64" s="384"/>
      <c r="F64" s="399"/>
      <c r="G64" s="1536">
        <v>0.33648705134029999</v>
      </c>
      <c r="H64" s="384"/>
      <c r="I64" s="436"/>
      <c r="J64" s="1532">
        <v>3.6340647200622501E-2</v>
      </c>
      <c r="K64" s="436"/>
      <c r="L64" s="384"/>
      <c r="Q64" s="1278"/>
      <c r="AR64" s="1278"/>
      <c r="AS64" s="1278"/>
    </row>
    <row r="65" spans="1:45" s="496" customFormat="1">
      <c r="A65" s="160" t="s">
        <v>992</v>
      </c>
      <c r="B65" s="383"/>
      <c r="C65" s="1532">
        <v>9.6055667724257304E-2</v>
      </c>
      <c r="D65" s="1532">
        <v>0.127624747620421</v>
      </c>
      <c r="E65" s="1533">
        <v>2.14162099798096E-2</v>
      </c>
      <c r="F65" s="399"/>
      <c r="G65" s="1536">
        <v>0.22001076433788799</v>
      </c>
      <c r="H65" s="1533">
        <v>2.8467190292188201E-2</v>
      </c>
      <c r="I65" s="1125"/>
      <c r="J65" s="1532">
        <v>4.6124667600790099E-2</v>
      </c>
      <c r="K65" s="1532">
        <v>8.5260749201460484E-2</v>
      </c>
      <c r="L65" s="1533">
        <v>1.0765776961464411E-2</v>
      </c>
      <c r="Q65" s="1278"/>
      <c r="AR65" s="1278"/>
      <c r="AS65" s="1278"/>
    </row>
    <row r="66" spans="1:45" s="496" customFormat="1">
      <c r="A66" s="160" t="s">
        <v>993</v>
      </c>
      <c r="B66" s="383"/>
      <c r="C66" s="436"/>
      <c r="D66" s="1532">
        <v>1.74502451687338</v>
      </c>
      <c r="E66" s="384"/>
      <c r="F66" s="399"/>
      <c r="G66" s="1536">
        <v>5.7669574324713402</v>
      </c>
      <c r="H66" s="384"/>
      <c r="I66" s="1125"/>
      <c r="J66" s="1125"/>
      <c r="K66" s="1532">
        <v>0.1956804080033519</v>
      </c>
      <c r="L66" s="1189"/>
      <c r="Q66" s="1278"/>
      <c r="AR66" s="1278"/>
      <c r="AS66" s="1278"/>
    </row>
    <row r="67" spans="1:45" s="496" customFormat="1">
      <c r="A67" s="160" t="s">
        <v>994</v>
      </c>
      <c r="B67" s="383"/>
      <c r="C67" s="436"/>
      <c r="D67" s="1532">
        <v>0.61075858090568202</v>
      </c>
      <c r="E67" s="384"/>
      <c r="F67" s="399"/>
      <c r="G67" s="1536">
        <v>2.4037817880214001</v>
      </c>
      <c r="H67" s="384"/>
      <c r="I67" s="1125"/>
      <c r="J67" s="1125"/>
      <c r="K67" s="1532">
        <v>1.6772606400287306E-2</v>
      </c>
      <c r="L67" s="1189"/>
      <c r="Q67" s="1278"/>
      <c r="AR67" s="1278"/>
      <c r="AS67" s="1278"/>
    </row>
    <row r="68" spans="1:45" s="496" customFormat="1">
      <c r="A68" s="160" t="s">
        <v>995</v>
      </c>
      <c r="B68" s="383"/>
      <c r="C68" s="436"/>
      <c r="D68" s="1532">
        <v>0.12691087395442699</v>
      </c>
      <c r="E68" s="384"/>
      <c r="F68" s="399"/>
      <c r="G68" s="383"/>
      <c r="H68" s="384"/>
      <c r="I68" s="1125"/>
      <c r="J68" s="1125"/>
      <c r="K68" s="1532">
        <v>0.12858998240220268</v>
      </c>
      <c r="L68" s="1189"/>
      <c r="Q68" s="1278"/>
      <c r="AR68" s="1278"/>
      <c r="AS68" s="1278"/>
    </row>
    <row r="69" spans="1:45" s="496" customFormat="1">
      <c r="A69" s="160" t="s">
        <v>996</v>
      </c>
      <c r="B69" s="383"/>
      <c r="C69" s="436"/>
      <c r="D69" s="1532">
        <v>6.6628208826074401E-3</v>
      </c>
      <c r="E69" s="1533">
        <v>0.111047014710124</v>
      </c>
      <c r="F69" s="399"/>
      <c r="G69" s="1536">
        <v>0.495801019717792</v>
      </c>
      <c r="H69" s="1533">
        <v>0.21976358673151</v>
      </c>
      <c r="I69" s="1125"/>
      <c r="J69" s="1125"/>
      <c r="K69" s="1532">
        <v>3.0749778400526728E-3</v>
      </c>
      <c r="L69" s="1533">
        <v>6.3875676041094162E-2</v>
      </c>
      <c r="Q69" s="1278"/>
      <c r="AR69" s="1278"/>
      <c r="AS69" s="1278"/>
    </row>
    <row r="70" spans="1:45" s="496" customFormat="1">
      <c r="A70" s="160" t="s">
        <v>997</v>
      </c>
      <c r="B70" s="383"/>
      <c r="C70" s="436"/>
      <c r="D70" s="1532">
        <v>2.45889818286703</v>
      </c>
      <c r="E70" s="1533">
        <v>7.6146524372656499E-4</v>
      </c>
      <c r="F70" s="399"/>
      <c r="G70" s="383"/>
      <c r="H70" s="384"/>
      <c r="I70" s="1125"/>
      <c r="J70" s="1125"/>
      <c r="K70" s="1532">
        <v>1.3557856840232239</v>
      </c>
      <c r="L70" s="384"/>
      <c r="Q70" s="1278"/>
      <c r="AR70" s="1278"/>
      <c r="AS70" s="1278"/>
    </row>
    <row r="71" spans="1:45" s="496" customFormat="1">
      <c r="A71" s="160" t="s">
        <v>998</v>
      </c>
      <c r="B71" s="383"/>
      <c r="C71" s="436"/>
      <c r="D71" s="1532">
        <v>1.1104701471012399E-3</v>
      </c>
      <c r="E71" s="1533">
        <v>0.118978944332276</v>
      </c>
      <c r="F71" s="399"/>
      <c r="G71" s="383"/>
      <c r="H71" s="384"/>
      <c r="I71" s="1125"/>
      <c r="J71" s="1125"/>
      <c r="K71" s="436"/>
      <c r="L71" s="1533">
        <v>3.0749778400526728E-2</v>
      </c>
      <c r="Q71" s="1278"/>
      <c r="AR71" s="1278"/>
      <c r="AS71" s="1278"/>
    </row>
    <row r="72" spans="1:45" s="496" customFormat="1">
      <c r="A72" s="160" t="s">
        <v>999</v>
      </c>
      <c r="B72" s="383"/>
      <c r="C72" s="436"/>
      <c r="D72" s="1532">
        <v>3.0934525526391701</v>
      </c>
      <c r="E72" s="1533">
        <v>0.33314104413037199</v>
      </c>
      <c r="F72" s="399"/>
      <c r="G72" s="383"/>
      <c r="H72" s="1533">
        <v>3.0102407508578399E-2</v>
      </c>
      <c r="I72" s="1125"/>
      <c r="J72" s="1125"/>
      <c r="K72" s="1532">
        <v>2.0965758000359132</v>
      </c>
      <c r="L72" s="1533">
        <v>0.22363475200383079</v>
      </c>
      <c r="Q72" s="1278"/>
      <c r="AR72" s="1278"/>
      <c r="AS72" s="1278"/>
    </row>
    <row r="73" spans="1:45" s="496" customFormat="1">
      <c r="A73" s="160" t="s">
        <v>1000</v>
      </c>
      <c r="B73" s="383"/>
      <c r="C73" s="1532">
        <v>1.5070666282088301E-3</v>
      </c>
      <c r="D73" s="1532">
        <v>0.69800980674935098</v>
      </c>
      <c r="E73" s="1533">
        <v>0.15863859244303399</v>
      </c>
      <c r="F73" s="1534">
        <v>0.633748844903683</v>
      </c>
      <c r="G73" s="1536">
        <v>0.112105305469272</v>
      </c>
      <c r="H73" s="1533">
        <v>0.77053997143328101</v>
      </c>
      <c r="I73" s="1125"/>
      <c r="J73" s="1125"/>
      <c r="K73" s="436"/>
      <c r="L73" s="1533">
        <v>7.9669880401364704E-2</v>
      </c>
      <c r="Q73" s="1278"/>
      <c r="AR73" s="1278"/>
      <c r="AS73" s="1278"/>
    </row>
    <row r="74" spans="1:45" s="496" customFormat="1">
      <c r="A74" s="160" t="s">
        <v>1001</v>
      </c>
      <c r="B74" s="383"/>
      <c r="C74" s="1532">
        <v>2.14162099798096E-2</v>
      </c>
      <c r="D74" s="1532">
        <v>3.64868762618979E-3</v>
      </c>
      <c r="E74" s="1533">
        <v>0.190366310931641</v>
      </c>
      <c r="F74" s="399"/>
      <c r="G74" s="383"/>
      <c r="H74" s="1533">
        <v>2.8921528490622201E-3</v>
      </c>
      <c r="I74" s="1125"/>
      <c r="J74" s="1532">
        <v>1.2858998240220267E-2</v>
      </c>
      <c r="K74" s="1532">
        <v>1.3977172000239424E-2</v>
      </c>
      <c r="L74" s="1533">
        <v>9.2249335201580199E-2</v>
      </c>
      <c r="Q74" s="1278"/>
      <c r="AR74" s="1278"/>
      <c r="AS74" s="1278"/>
    </row>
    <row r="75" spans="1:45" s="496" customFormat="1">
      <c r="A75" s="160" t="s">
        <v>1002</v>
      </c>
      <c r="B75" s="383"/>
      <c r="C75" s="436"/>
      <c r="D75" s="436"/>
      <c r="E75" s="384"/>
      <c r="F75" s="399"/>
      <c r="G75" s="383"/>
      <c r="H75" s="1533">
        <v>1.9637617770639402E-3</v>
      </c>
      <c r="I75" s="436"/>
      <c r="J75" s="436"/>
      <c r="K75" s="1532">
        <v>2.376119240040702E-3</v>
      </c>
      <c r="L75" s="1533">
        <v>1.3977172000239424E-2</v>
      </c>
      <c r="Q75" s="1278"/>
      <c r="AR75" s="1278"/>
      <c r="AS75" s="1278"/>
    </row>
    <row r="76" spans="1:45" s="496" customFormat="1">
      <c r="A76" s="160" t="s">
        <v>1003</v>
      </c>
      <c r="B76" s="383"/>
      <c r="C76" s="436"/>
      <c r="D76" s="436"/>
      <c r="E76" s="384"/>
      <c r="F76" s="399"/>
      <c r="G76" s="383"/>
      <c r="H76" s="1533">
        <v>3.2524210240319098E-3</v>
      </c>
      <c r="I76" s="436"/>
      <c r="J76" s="436"/>
      <c r="K76" s="436"/>
      <c r="L76" s="384"/>
      <c r="Q76" s="1278"/>
      <c r="AR76" s="1278"/>
      <c r="AS76" s="1278"/>
    </row>
    <row r="77" spans="1:45" s="496" customFormat="1">
      <c r="A77" s="160" t="s">
        <v>1004</v>
      </c>
      <c r="B77" s="383"/>
      <c r="C77" s="436"/>
      <c r="D77" s="436"/>
      <c r="E77" s="384"/>
      <c r="F77" s="399"/>
      <c r="G77" s="383"/>
      <c r="H77" s="1533">
        <v>3.9529424753618602E-3</v>
      </c>
      <c r="I77" s="436"/>
      <c r="J77" s="436"/>
      <c r="K77" s="436"/>
      <c r="L77" s="384"/>
      <c r="Q77" s="1278"/>
      <c r="AR77" s="1278"/>
      <c r="AS77" s="1278"/>
    </row>
    <row r="78" spans="1:45" s="496" customFormat="1">
      <c r="A78" s="490" t="s">
        <v>1005</v>
      </c>
      <c r="B78" s="383"/>
      <c r="C78" s="436"/>
      <c r="D78" s="436"/>
      <c r="E78" s="384"/>
      <c r="F78" s="399"/>
      <c r="G78" s="383"/>
      <c r="H78" s="384"/>
      <c r="I78" s="1532">
        <v>1.6772606400287306E-2</v>
      </c>
      <c r="J78" s="1532">
        <v>6.1499556801053457E-4</v>
      </c>
      <c r="K78" s="436"/>
      <c r="L78" s="384"/>
      <c r="Q78" s="1278"/>
      <c r="AR78" s="1278"/>
      <c r="AS78" s="1278"/>
    </row>
    <row r="79" spans="1:45" s="496" customFormat="1">
      <c r="A79" s="490" t="s">
        <v>1006</v>
      </c>
      <c r="B79" s="383"/>
      <c r="C79" s="436"/>
      <c r="D79" s="436"/>
      <c r="E79" s="384"/>
      <c r="F79" s="399"/>
      <c r="G79" s="383"/>
      <c r="H79" s="384"/>
      <c r="I79" s="436"/>
      <c r="J79" s="436"/>
      <c r="K79" s="436"/>
      <c r="L79" s="1533">
        <v>2.5158909600430959E-2</v>
      </c>
      <c r="P79" s="349"/>
      <c r="Q79" s="1278"/>
      <c r="AR79" s="1278"/>
      <c r="AS79" s="1278"/>
    </row>
    <row r="80" spans="1:45" s="349" customFormat="1">
      <c r="A80" s="161" t="s">
        <v>1007</v>
      </c>
      <c r="B80" s="387"/>
      <c r="C80" s="386"/>
      <c r="D80" s="386"/>
      <c r="E80" s="388"/>
      <c r="F80" s="1535">
        <v>0.37927870293184401</v>
      </c>
      <c r="G80" s="387"/>
      <c r="H80" s="388"/>
      <c r="I80" s="386"/>
      <c r="J80" s="386"/>
      <c r="K80" s="386"/>
      <c r="L80" s="388"/>
      <c r="P80" s="496"/>
      <c r="Q80" s="1278"/>
      <c r="AB80" s="496"/>
      <c r="AC80" s="496"/>
      <c r="AD80" s="496"/>
      <c r="AE80" s="496"/>
      <c r="AF80" s="496"/>
      <c r="AG80" s="496"/>
      <c r="AR80" s="1278"/>
      <c r="AS80" s="1278"/>
    </row>
    <row r="81" spans="1:79" s="496" customFormat="1">
      <c r="A81" s="439"/>
      <c r="B81" s="439"/>
      <c r="C81" s="439"/>
      <c r="D81" s="439"/>
      <c r="E81" s="439"/>
      <c r="F81" s="439"/>
      <c r="G81" s="439"/>
      <c r="H81" s="439"/>
      <c r="I81" s="439"/>
      <c r="J81" s="439"/>
      <c r="K81" s="439"/>
      <c r="L81" s="439"/>
      <c r="M81" s="439"/>
      <c r="N81" s="439"/>
      <c r="O81" s="439"/>
      <c r="P81" s="439"/>
      <c r="Q81" s="439"/>
      <c r="R81" s="439"/>
      <c r="S81" s="439"/>
      <c r="T81" s="439"/>
      <c r="U81" s="439"/>
      <c r="V81" s="439"/>
      <c r="W81" s="439"/>
      <c r="X81" s="439"/>
      <c r="Y81" s="439"/>
      <c r="Z81" s="439"/>
      <c r="AR81" s="1278"/>
      <c r="AS81" s="1278"/>
    </row>
    <row r="82" spans="1:79" s="496" customFormat="1" ht="15">
      <c r="A82" s="120" t="s">
        <v>784</v>
      </c>
      <c r="AR82" s="1278"/>
      <c r="AS82" s="1278"/>
    </row>
    <row r="83" spans="1:79" s="496" customFormat="1">
      <c r="A83" s="293"/>
      <c r="B83" s="3036" t="s">
        <v>987</v>
      </c>
      <c r="C83" s="3037"/>
      <c r="D83" s="3037"/>
      <c r="E83" s="3037"/>
      <c r="F83" s="3037"/>
      <c r="G83" s="3037"/>
      <c r="H83" s="3037"/>
      <c r="I83" s="3037"/>
      <c r="J83" s="3037"/>
      <c r="K83" s="3038"/>
      <c r="L83" s="3036" t="s">
        <v>988</v>
      </c>
      <c r="M83" s="3037"/>
      <c r="N83" s="3037"/>
      <c r="O83" s="3037"/>
      <c r="P83" s="3037"/>
      <c r="Q83" s="3037"/>
      <c r="R83" s="3037"/>
      <c r="S83" s="3037"/>
      <c r="T83" s="3037"/>
      <c r="U83" s="3037"/>
      <c r="V83" s="3037"/>
      <c r="W83" s="3037"/>
      <c r="X83" s="3037"/>
      <c r="Y83" s="3037"/>
      <c r="Z83" s="3037"/>
      <c r="AA83" s="3038"/>
      <c r="AB83" s="3039" t="s">
        <v>1008</v>
      </c>
      <c r="AC83" s="3040"/>
      <c r="AD83" s="3040"/>
      <c r="AE83" s="3041"/>
      <c r="AR83" s="1278"/>
      <c r="AS83" s="1278"/>
    </row>
    <row r="84" spans="1:79" s="496" customFormat="1">
      <c r="A84" s="483"/>
      <c r="B84" s="3049" t="s">
        <v>1009</v>
      </c>
      <c r="C84" s="3050"/>
      <c r="D84" s="3050"/>
      <c r="E84" s="3050"/>
      <c r="F84" s="3050"/>
      <c r="G84" s="3050"/>
      <c r="H84" s="3050"/>
      <c r="I84" s="3051"/>
      <c r="J84" s="2982" t="s">
        <v>481</v>
      </c>
      <c r="K84" s="2994"/>
      <c r="L84" s="1497" t="s">
        <v>983</v>
      </c>
      <c r="M84" s="1498"/>
      <c r="N84" s="1499" t="s">
        <v>984</v>
      </c>
      <c r="O84" s="1494"/>
      <c r="P84" s="1494"/>
      <c r="Q84" s="1494"/>
      <c r="R84" s="1494"/>
      <c r="S84" s="1495"/>
      <c r="T84" s="1499" t="s">
        <v>989</v>
      </c>
      <c r="U84" s="1494"/>
      <c r="V84" s="1494"/>
      <c r="W84" s="1494"/>
      <c r="X84" s="1494"/>
      <c r="Y84" s="1494"/>
      <c r="Z84" s="1494"/>
      <c r="AA84" s="1495"/>
      <c r="AB84" s="3042"/>
      <c r="AC84" s="3043"/>
      <c r="AD84" s="3043"/>
      <c r="AE84" s="3044"/>
      <c r="AR84" s="1278"/>
      <c r="AS84" s="1278"/>
    </row>
    <row r="85" spans="1:79" s="496" customFormat="1" ht="12.75" customHeight="1">
      <c r="A85" s="290"/>
      <c r="B85" s="3007" t="s">
        <v>477</v>
      </c>
      <c r="C85" s="3006"/>
      <c r="D85" s="3007" t="s">
        <v>478</v>
      </c>
      <c r="E85" s="3006"/>
      <c r="F85" s="3007" t="s">
        <v>479</v>
      </c>
      <c r="G85" s="3006"/>
      <c r="H85" s="3007" t="s">
        <v>480</v>
      </c>
      <c r="I85" s="3006"/>
      <c r="J85" s="3052"/>
      <c r="K85" s="3053"/>
      <c r="L85" s="1543"/>
      <c r="M85" s="1496"/>
      <c r="N85" s="3007" t="s">
        <v>961</v>
      </c>
      <c r="O85" s="3006"/>
      <c r="P85" s="3007" t="s">
        <v>478</v>
      </c>
      <c r="Q85" s="3006"/>
      <c r="R85" s="3007" t="s">
        <v>943</v>
      </c>
      <c r="S85" s="3006"/>
      <c r="T85" s="3007" t="s">
        <v>477</v>
      </c>
      <c r="U85" s="3006"/>
      <c r="V85" s="3007" t="s">
        <v>478</v>
      </c>
      <c r="W85" s="3006"/>
      <c r="X85" s="3007" t="s">
        <v>479</v>
      </c>
      <c r="Y85" s="3006"/>
      <c r="Z85" s="3007" t="s">
        <v>480</v>
      </c>
      <c r="AA85" s="3006"/>
      <c r="AB85" s="2980" t="s">
        <v>482</v>
      </c>
      <c r="AC85" s="2981"/>
      <c r="AD85" s="3013" t="s">
        <v>483</v>
      </c>
      <c r="AE85" s="2981"/>
      <c r="AR85" s="1278"/>
      <c r="AS85" s="1278"/>
    </row>
    <row r="86" spans="1:79" s="535" customFormat="1" ht="82.5" customHeight="1">
      <c r="A86" s="336"/>
      <c r="B86" s="70" t="s">
        <v>1010</v>
      </c>
      <c r="C86" s="71" t="s">
        <v>1011</v>
      </c>
      <c r="D86" s="70" t="s">
        <v>1010</v>
      </c>
      <c r="E86" s="71" t="s">
        <v>1011</v>
      </c>
      <c r="F86" s="70" t="s">
        <v>1010</v>
      </c>
      <c r="G86" s="71" t="s">
        <v>1011</v>
      </c>
      <c r="H86" s="70" t="s">
        <v>1010</v>
      </c>
      <c r="I86" s="71" t="s">
        <v>1011</v>
      </c>
      <c r="J86" s="70" t="s">
        <v>785</v>
      </c>
      <c r="K86" s="71" t="s">
        <v>786</v>
      </c>
      <c r="L86" s="70" t="s">
        <v>785</v>
      </c>
      <c r="M86" s="71" t="s">
        <v>786</v>
      </c>
      <c r="N86" s="70" t="s">
        <v>785</v>
      </c>
      <c r="O86" s="71" t="s">
        <v>786</v>
      </c>
      <c r="P86" s="70" t="s">
        <v>785</v>
      </c>
      <c r="Q86" s="71" t="s">
        <v>786</v>
      </c>
      <c r="R86" s="70" t="s">
        <v>785</v>
      </c>
      <c r="S86" s="71" t="s">
        <v>786</v>
      </c>
      <c r="T86" s="70" t="s">
        <v>1010</v>
      </c>
      <c r="U86" s="71" t="s">
        <v>1011</v>
      </c>
      <c r="V86" s="70" t="s">
        <v>1010</v>
      </c>
      <c r="W86" s="71" t="s">
        <v>1011</v>
      </c>
      <c r="X86" s="70" t="s">
        <v>1010</v>
      </c>
      <c r="Y86" s="71" t="s">
        <v>1011</v>
      </c>
      <c r="Z86" s="70" t="s">
        <v>1010</v>
      </c>
      <c r="AA86" s="71" t="s">
        <v>1011</v>
      </c>
      <c r="AB86" s="70" t="s">
        <v>785</v>
      </c>
      <c r="AC86" s="71" t="s">
        <v>786</v>
      </c>
      <c r="AD86" s="70" t="s">
        <v>785</v>
      </c>
      <c r="AE86" s="71" t="s">
        <v>786</v>
      </c>
      <c r="AG86" s="496"/>
      <c r="AH86" s="496"/>
      <c r="AR86" s="1279"/>
      <c r="AS86" s="1279"/>
      <c r="BR86" s="496"/>
      <c r="BS86" s="496"/>
      <c r="BT86" s="496"/>
      <c r="BU86" s="496"/>
      <c r="BV86" s="496"/>
      <c r="BW86" s="496"/>
      <c r="BX86" s="496"/>
      <c r="BY86" s="496"/>
      <c r="BZ86" s="496"/>
      <c r="CA86" s="496"/>
    </row>
    <row r="87" spans="1:79">
      <c r="A87" s="238" t="s">
        <v>1012</v>
      </c>
      <c r="B87" s="1074">
        <v>16.497683194599993</v>
      </c>
      <c r="C87" s="1029"/>
      <c r="D87" s="1074">
        <v>24.981465250185124</v>
      </c>
      <c r="E87" s="1029"/>
      <c r="F87" s="1074">
        <v>51.853813640046425</v>
      </c>
      <c r="G87" s="1029"/>
      <c r="H87" s="1074">
        <v>26.809297957223237</v>
      </c>
      <c r="I87" s="1029"/>
      <c r="J87" s="1074">
        <f>Mat_Inputs!B374</f>
        <v>15.945</v>
      </c>
      <c r="K87" s="1029"/>
      <c r="L87" s="1074">
        <v>0.66</v>
      </c>
      <c r="M87" s="1029"/>
      <c r="N87" s="1074">
        <v>5.78399619649612</v>
      </c>
      <c r="O87" s="1029"/>
      <c r="P87" s="1074">
        <v>27.15453664342094</v>
      </c>
      <c r="Q87" s="1029"/>
      <c r="R87" s="1074">
        <v>3.5112077195413414</v>
      </c>
      <c r="S87" s="1029"/>
      <c r="T87" s="1074">
        <v>3.5177155274591154</v>
      </c>
      <c r="U87" s="1029"/>
      <c r="V87" s="1074">
        <v>9.4167412413169718</v>
      </c>
      <c r="W87" s="1029"/>
      <c r="X87" s="1074">
        <v>13.697822755758756</v>
      </c>
      <c r="Y87" s="1029"/>
      <c r="Z87" s="1074">
        <v>11.289322665996782</v>
      </c>
      <c r="AA87" s="1029"/>
      <c r="AB87" s="1074">
        <f>Mat_Inputs!B375</f>
        <v>4.9180000000000001</v>
      </c>
      <c r="AC87" s="1029"/>
      <c r="AD87" s="1074">
        <f>Mat_Inputs!B376</f>
        <v>2.4590000000000001</v>
      </c>
      <c r="AE87" s="1029"/>
      <c r="AG87" s="535"/>
      <c r="AH87" s="535"/>
      <c r="AR87" s="439"/>
      <c r="AS87" s="439"/>
      <c r="BY87" s="535"/>
    </row>
    <row r="88" spans="1:79" s="496" customFormat="1">
      <c r="A88" s="660" t="s">
        <v>798</v>
      </c>
      <c r="B88" s="1019">
        <v>0</v>
      </c>
      <c r="C88" s="1031"/>
      <c r="D88" s="1019">
        <v>0</v>
      </c>
      <c r="E88" s="1031"/>
      <c r="F88" s="1019">
        <v>0</v>
      </c>
      <c r="G88" s="1031"/>
      <c r="H88" s="1019">
        <v>0</v>
      </c>
      <c r="I88" s="1031"/>
      <c r="J88" s="1019">
        <v>0</v>
      </c>
      <c r="K88" s="1031"/>
      <c r="L88" s="1019">
        <v>0</v>
      </c>
      <c r="M88" s="1031"/>
      <c r="N88" s="1019">
        <v>0</v>
      </c>
      <c r="O88" s="1031"/>
      <c r="P88" s="1019">
        <v>0</v>
      </c>
      <c r="Q88" s="1031"/>
      <c r="R88" s="1019">
        <v>0</v>
      </c>
      <c r="S88" s="1031"/>
      <c r="T88" s="1019">
        <v>0</v>
      </c>
      <c r="U88" s="1031"/>
      <c r="V88" s="1019">
        <v>0</v>
      </c>
      <c r="W88" s="1031"/>
      <c r="X88" s="1019">
        <v>0</v>
      </c>
      <c r="Y88" s="1031"/>
      <c r="Z88" s="1019">
        <v>0</v>
      </c>
      <c r="AA88" s="1031"/>
      <c r="AB88" s="1019">
        <f>K261</f>
        <v>0</v>
      </c>
      <c r="AC88" s="1031"/>
      <c r="AD88" s="1019">
        <f>J88</f>
        <v>0</v>
      </c>
      <c r="AE88" s="1031"/>
      <c r="AG88" s="5"/>
      <c r="AH88" s="5"/>
      <c r="AR88" s="1278"/>
      <c r="AS88" s="1278"/>
      <c r="BY88" s="5"/>
    </row>
    <row r="89" spans="1:79" s="496" customFormat="1">
      <c r="A89" s="571" t="s">
        <v>799</v>
      </c>
      <c r="B89" s="661"/>
      <c r="C89" s="1013"/>
      <c r="D89" s="661"/>
      <c r="E89" s="1013"/>
      <c r="F89" s="661"/>
      <c r="G89" s="1013"/>
      <c r="H89" s="661"/>
      <c r="I89" s="1013"/>
      <c r="J89" s="661"/>
      <c r="K89" s="1013"/>
      <c r="L89" s="661"/>
      <c r="M89" s="1013"/>
      <c r="N89" s="661"/>
      <c r="O89" s="1013"/>
      <c r="P89" s="661"/>
      <c r="Q89" s="1013"/>
      <c r="R89" s="661"/>
      <c r="S89" s="1013"/>
      <c r="T89" s="661"/>
      <c r="U89" s="1013"/>
      <c r="V89" s="661"/>
      <c r="W89" s="1013"/>
      <c r="X89" s="661"/>
      <c r="Y89" s="1013"/>
      <c r="Z89" s="661"/>
      <c r="AA89" s="1013"/>
      <c r="AB89" s="661"/>
      <c r="AC89" s="1013"/>
      <c r="AD89" s="661"/>
      <c r="AE89" s="1013"/>
      <c r="AR89" s="1278"/>
      <c r="AS89" s="1278"/>
    </row>
    <row r="90" spans="1:79" s="496" customFormat="1">
      <c r="A90" s="661" t="s">
        <v>800</v>
      </c>
      <c r="B90" s="1021">
        <v>0</v>
      </c>
      <c r="C90" s="1013"/>
      <c r="D90" s="1021">
        <v>1.3924567106799667E-2</v>
      </c>
      <c r="E90" s="1013"/>
      <c r="F90" s="1021">
        <v>6.3111568711474553E-2</v>
      </c>
      <c r="G90" s="1013"/>
      <c r="H90" s="1021">
        <v>8.1413039840290795E-3</v>
      </c>
      <c r="I90" s="1013"/>
      <c r="J90" s="1021">
        <v>0</v>
      </c>
      <c r="K90" s="1013"/>
      <c r="L90" s="1021">
        <v>0</v>
      </c>
      <c r="M90" s="1013"/>
      <c r="N90" s="1021">
        <v>0</v>
      </c>
      <c r="O90" s="1013"/>
      <c r="P90" s="1021">
        <v>0</v>
      </c>
      <c r="Q90" s="1013"/>
      <c r="R90" s="1021">
        <v>0</v>
      </c>
      <c r="S90" s="1013"/>
      <c r="T90" s="1021">
        <v>0</v>
      </c>
      <c r="U90" s="1013"/>
      <c r="V90" s="1021">
        <v>1.4039832929409737E-3</v>
      </c>
      <c r="W90" s="1013"/>
      <c r="X90" s="1021">
        <v>0.1333563431247663</v>
      </c>
      <c r="Y90" s="1013"/>
      <c r="Z90" s="1021">
        <v>1.34144401005876E-2</v>
      </c>
      <c r="AA90" s="1013"/>
      <c r="AB90" s="1021">
        <v>0</v>
      </c>
      <c r="AC90" s="1013"/>
      <c r="AD90" s="1021">
        <v>0</v>
      </c>
      <c r="AE90" s="1013"/>
      <c r="AR90" s="1278"/>
      <c r="AS90" s="1278"/>
    </row>
    <row r="91" spans="1:79" s="496" customFormat="1">
      <c r="A91" s="661" t="s">
        <v>802</v>
      </c>
      <c r="B91" s="1021">
        <v>0.29720373372526548</v>
      </c>
      <c r="C91" s="1013"/>
      <c r="D91" s="1021">
        <v>5.4909550589597664E-2</v>
      </c>
      <c r="E91" s="1013"/>
      <c r="F91" s="1021">
        <v>7.8798014055565819E-3</v>
      </c>
      <c r="G91" s="1013"/>
      <c r="H91" s="1021">
        <v>5.1165869100564519E-4</v>
      </c>
      <c r="I91" s="1013"/>
      <c r="J91" s="1021">
        <v>0.109944826937866</v>
      </c>
      <c r="K91" s="1013"/>
      <c r="L91" s="1021">
        <v>0</v>
      </c>
      <c r="M91" s="1013"/>
      <c r="N91" s="1021">
        <v>0</v>
      </c>
      <c r="O91" s="1013"/>
      <c r="P91" s="1021">
        <v>0</v>
      </c>
      <c r="Q91" s="1013"/>
      <c r="R91" s="1021">
        <v>0</v>
      </c>
      <c r="S91" s="1013"/>
      <c r="T91" s="1021">
        <v>7.7486054938494794E-2</v>
      </c>
      <c r="U91" s="1013"/>
      <c r="V91" s="1021">
        <v>4.9153027083952551E-4</v>
      </c>
      <c r="W91" s="1013"/>
      <c r="X91" s="1021">
        <v>1.4267255890991425E-4</v>
      </c>
      <c r="Y91" s="1013"/>
      <c r="Z91" s="1021">
        <v>0</v>
      </c>
      <c r="AA91" s="1013"/>
      <c r="AB91" s="1021">
        <v>0</v>
      </c>
      <c r="AC91" s="1013"/>
      <c r="AD91" s="1021">
        <v>0.109944826937866</v>
      </c>
      <c r="AE91" s="1013"/>
      <c r="AR91" s="1278"/>
      <c r="AS91" s="1278"/>
    </row>
    <row r="92" spans="1:79" s="349" customFormat="1">
      <c r="A92" s="483" t="s">
        <v>801</v>
      </c>
      <c r="B92" s="1021">
        <v>3.4515769186087199E-4</v>
      </c>
      <c r="C92" s="1013"/>
      <c r="D92" s="1021">
        <v>1.2536759583594914E-4</v>
      </c>
      <c r="E92" s="1013"/>
      <c r="F92" s="1021">
        <v>1.0432380494570283E-3</v>
      </c>
      <c r="G92" s="1013"/>
      <c r="H92" s="1021">
        <v>9.2394119524869098E-5</v>
      </c>
      <c r="I92" s="1013"/>
      <c r="J92" s="1021"/>
      <c r="K92" s="1013"/>
      <c r="L92" s="1021">
        <v>0</v>
      </c>
      <c r="M92" s="1013"/>
      <c r="N92" s="1021">
        <v>0</v>
      </c>
      <c r="O92" s="1013"/>
      <c r="P92" s="1021">
        <v>0</v>
      </c>
      <c r="Q92" s="1013"/>
      <c r="R92" s="1021">
        <v>0</v>
      </c>
      <c r="S92" s="1013"/>
      <c r="T92" s="1021">
        <v>0</v>
      </c>
      <c r="U92" s="1013"/>
      <c r="V92" s="1021">
        <v>0</v>
      </c>
      <c r="W92" s="1013"/>
      <c r="X92" s="1021">
        <v>1.3918198680313864E-2</v>
      </c>
      <c r="Y92" s="1013"/>
      <c r="Z92" s="1021">
        <v>0</v>
      </c>
      <c r="AA92" s="1013"/>
      <c r="AB92" s="1021"/>
      <c r="AC92" s="1013"/>
      <c r="AD92" s="1021"/>
      <c r="AE92" s="1013"/>
      <c r="AG92" s="496"/>
      <c r="AH92" s="496"/>
      <c r="AR92" s="1278"/>
      <c r="AS92" s="1278"/>
      <c r="BY92" s="496"/>
    </row>
    <row r="93" spans="1:79" s="496" customFormat="1">
      <c r="A93" s="661" t="s">
        <v>804</v>
      </c>
      <c r="B93" s="1021">
        <v>4.0926920312461569E-2</v>
      </c>
      <c r="C93" s="1013"/>
      <c r="D93" s="1021">
        <v>0.15562751472305511</v>
      </c>
      <c r="E93" s="1013"/>
      <c r="F93" s="1021">
        <v>0.55566633765231821</v>
      </c>
      <c r="G93" s="1013"/>
      <c r="H93" s="1021">
        <v>0.35618204930127217</v>
      </c>
      <c r="I93" s="1013"/>
      <c r="J93" s="1021">
        <v>0.66150721930942902</v>
      </c>
      <c r="K93" s="1013"/>
      <c r="L93" s="1021">
        <v>1</v>
      </c>
      <c r="M93" s="1013"/>
      <c r="N93" s="1021">
        <v>0</v>
      </c>
      <c r="O93" s="1013"/>
      <c r="P93" s="1021">
        <v>0.61659470421435192</v>
      </c>
      <c r="Q93" s="1013"/>
      <c r="R93" s="1021">
        <v>0.45990430206372857</v>
      </c>
      <c r="S93" s="1013"/>
      <c r="T93" s="1021">
        <v>0</v>
      </c>
      <c r="U93" s="1013"/>
      <c r="V93" s="1021">
        <v>0.22974272066306844</v>
      </c>
      <c r="W93" s="1013"/>
      <c r="X93" s="1021">
        <v>0.65557131264365121</v>
      </c>
      <c r="Y93" s="1013"/>
      <c r="Z93" s="1021">
        <v>0.38613033707453104</v>
      </c>
      <c r="AA93" s="1013"/>
      <c r="AB93" s="1021">
        <v>0.55300000000000005</v>
      </c>
      <c r="AC93" s="1013"/>
      <c r="AD93" s="1021">
        <v>0.66150721930942902</v>
      </c>
      <c r="AE93" s="1013"/>
      <c r="AG93" s="349"/>
      <c r="AH93" s="349"/>
      <c r="AR93" s="1278"/>
      <c r="AS93" s="1278"/>
      <c r="BY93" s="349"/>
    </row>
    <row r="94" spans="1:79" s="496" customFormat="1">
      <c r="A94" s="661" t="s">
        <v>805</v>
      </c>
      <c r="B94" s="1021">
        <v>0</v>
      </c>
      <c r="C94" s="1013"/>
      <c r="D94" s="1021">
        <v>9.2830447378664444E-2</v>
      </c>
      <c r="E94" s="1013"/>
      <c r="F94" s="1021">
        <v>5.6599251786346602E-2</v>
      </c>
      <c r="G94" s="1013"/>
      <c r="H94" s="1021">
        <v>0.17554686715562701</v>
      </c>
      <c r="I94" s="1013"/>
      <c r="J94" s="1021">
        <v>0.119683305317329</v>
      </c>
      <c r="K94" s="1013"/>
      <c r="L94" s="1021">
        <v>0</v>
      </c>
      <c r="M94" s="1013"/>
      <c r="N94" s="1021">
        <v>0</v>
      </c>
      <c r="O94" s="1013"/>
      <c r="P94" s="1021">
        <v>0</v>
      </c>
      <c r="Q94" s="1013"/>
      <c r="R94" s="1021">
        <v>0</v>
      </c>
      <c r="S94" s="1013"/>
      <c r="T94" s="1021">
        <v>0</v>
      </c>
      <c r="U94" s="1013"/>
      <c r="V94" s="1021">
        <v>5.3606634821382636E-2</v>
      </c>
      <c r="W94" s="1013"/>
      <c r="X94" s="1021">
        <v>3.9742639045275028E-3</v>
      </c>
      <c r="Y94" s="1013"/>
      <c r="Z94" s="1021">
        <v>0.1596957154831857</v>
      </c>
      <c r="AA94" s="1013"/>
      <c r="AB94" s="1021">
        <v>0</v>
      </c>
      <c r="AC94" s="1013"/>
      <c r="AD94" s="1021">
        <v>0.119683305317329</v>
      </c>
      <c r="AE94" s="1013"/>
      <c r="AR94" s="1278"/>
      <c r="AS94" s="1278"/>
    </row>
    <row r="95" spans="1:79" s="496" customFormat="1">
      <c r="A95" s="483" t="s">
        <v>899</v>
      </c>
      <c r="B95" s="1021">
        <v>2.9353833278147819E-5</v>
      </c>
      <c r="C95" s="1013"/>
      <c r="D95" s="1021">
        <v>5.7336452792704509E-6</v>
      </c>
      <c r="E95" s="1013"/>
      <c r="F95" s="1021">
        <v>1.0421595474559966E-5</v>
      </c>
      <c r="G95" s="1013"/>
      <c r="H95" s="1021">
        <v>1.5773776469056339E-3</v>
      </c>
      <c r="I95" s="1013"/>
      <c r="J95" s="1021"/>
      <c r="K95" s="1013"/>
      <c r="L95" s="1021">
        <v>0</v>
      </c>
      <c r="M95" s="1013"/>
      <c r="N95" s="1021">
        <v>0</v>
      </c>
      <c r="O95" s="1013"/>
      <c r="P95" s="1021">
        <v>0</v>
      </c>
      <c r="Q95" s="1013"/>
      <c r="R95" s="1021">
        <v>0</v>
      </c>
      <c r="S95" s="1013"/>
      <c r="T95" s="1021">
        <v>0</v>
      </c>
      <c r="U95" s="1013"/>
      <c r="V95" s="1021">
        <v>0</v>
      </c>
      <c r="W95" s="1013"/>
      <c r="X95" s="1021">
        <v>0</v>
      </c>
      <c r="Y95" s="1013"/>
      <c r="Z95" s="1021">
        <v>4.2578850209881872E-3</v>
      </c>
      <c r="AA95" s="1013"/>
      <c r="AB95" s="1021"/>
      <c r="AC95" s="1013"/>
      <c r="AD95" s="1021"/>
      <c r="AE95" s="1013"/>
    </row>
    <row r="96" spans="1:79">
      <c r="A96" s="661" t="s">
        <v>806</v>
      </c>
      <c r="B96" s="1021">
        <v>0.66149483443713397</v>
      </c>
      <c r="C96" s="1013"/>
      <c r="D96" s="1021">
        <v>0.68257681896076794</v>
      </c>
      <c r="E96" s="1013"/>
      <c r="F96" s="1021">
        <v>0.31568938079937253</v>
      </c>
      <c r="G96" s="1013"/>
      <c r="H96" s="1021">
        <v>0.45794834910163568</v>
      </c>
      <c r="I96" s="1013"/>
      <c r="J96" s="1021">
        <v>0.10886464843537599</v>
      </c>
      <c r="K96" s="1013"/>
      <c r="L96" s="1021">
        <v>0</v>
      </c>
      <c r="M96" s="1013"/>
      <c r="N96" s="1021">
        <v>1</v>
      </c>
      <c r="O96" s="1013"/>
      <c r="P96" s="1021">
        <v>0.38340529578564808</v>
      </c>
      <c r="Q96" s="1013"/>
      <c r="R96" s="1021">
        <v>0.54009569793627143</v>
      </c>
      <c r="S96" s="1013"/>
      <c r="T96" s="1021">
        <v>0.9225139450615053</v>
      </c>
      <c r="U96" s="1013"/>
      <c r="V96" s="1021">
        <v>0.71475513095176846</v>
      </c>
      <c r="W96" s="1013"/>
      <c r="X96" s="1021">
        <v>0.19303720908783117</v>
      </c>
      <c r="Y96" s="1013"/>
      <c r="Z96" s="1021">
        <v>0.43650162232070761</v>
      </c>
      <c r="AA96" s="1013"/>
      <c r="AB96" s="1021">
        <v>0.44700000000000001</v>
      </c>
      <c r="AC96" s="1013"/>
      <c r="AD96" s="1021">
        <v>0.10886464843537599</v>
      </c>
      <c r="AE96" s="1013"/>
      <c r="AG96" s="496"/>
      <c r="AH96" s="496"/>
      <c r="BY96" s="496"/>
    </row>
    <row r="97" spans="1:77">
      <c r="A97" s="238" t="s">
        <v>1012</v>
      </c>
      <c r="B97" s="523"/>
      <c r="C97" s="1029"/>
      <c r="D97" s="523"/>
      <c r="E97" s="1029"/>
      <c r="F97" s="523"/>
      <c r="G97" s="1029"/>
      <c r="H97" s="523"/>
      <c r="I97" s="1029"/>
      <c r="J97" s="523"/>
      <c r="K97" s="1029"/>
      <c r="L97" s="523"/>
      <c r="M97" s="1029"/>
      <c r="N97" s="523"/>
      <c r="O97" s="1029"/>
      <c r="P97" s="523"/>
      <c r="Q97" s="1029"/>
      <c r="R97" s="523"/>
      <c r="S97" s="1029"/>
      <c r="T97" s="523"/>
      <c r="U97" s="1029"/>
      <c r="V97" s="523"/>
      <c r="W97" s="1029"/>
      <c r="X97" s="523"/>
      <c r="Y97" s="1029"/>
      <c r="Z97" s="523"/>
      <c r="AA97" s="1029"/>
      <c r="AB97" s="523"/>
      <c r="AC97" s="1029"/>
      <c r="AD97" s="523"/>
      <c r="AE97" s="1029"/>
    </row>
    <row r="98" spans="1:77" ht="51" customHeight="1">
      <c r="A98" s="749" t="s">
        <v>800</v>
      </c>
      <c r="B98" s="1077">
        <f t="shared" ref="B98:B104" si="0">B$87*B90</f>
        <v>0</v>
      </c>
      <c r="C98" s="817"/>
      <c r="D98" s="1077">
        <f t="shared" ref="D98:D104" si="1">D$87*D90</f>
        <v>0.34785608930238671</v>
      </c>
      <c r="E98" s="817"/>
      <c r="F98" s="1077">
        <f t="shared" ref="F98:F104" si="2">F$87*F90</f>
        <v>3.2725755224957864</v>
      </c>
      <c r="G98" s="817"/>
      <c r="H98" s="1077">
        <f t="shared" ref="H98:H104" si="3">H$87*H90</f>
        <v>0.21826264426816419</v>
      </c>
      <c r="I98" s="817"/>
      <c r="J98" s="1077">
        <f>J$87*J90</f>
        <v>0</v>
      </c>
      <c r="K98" s="817"/>
      <c r="L98" s="1077">
        <f t="shared" ref="L98:L104" si="4">L$87*L90</f>
        <v>0</v>
      </c>
      <c r="M98" s="817"/>
      <c r="N98" s="1077">
        <f t="shared" ref="N98:N104" si="5">N$87*N90</f>
        <v>0</v>
      </c>
      <c r="O98" s="817"/>
      <c r="P98" s="1077">
        <f t="shared" ref="P98:P104" si="6">P$87*P90</f>
        <v>0</v>
      </c>
      <c r="Q98" s="817"/>
      <c r="R98" s="1077">
        <f t="shared" ref="R98:R104" si="7">R$87*R90</f>
        <v>0</v>
      </c>
      <c r="S98" s="817"/>
      <c r="T98" s="1077">
        <f t="shared" ref="T98:T104" si="8">T$87*T90</f>
        <v>0</v>
      </c>
      <c r="U98" s="817"/>
      <c r="V98" s="1077">
        <f t="shared" ref="V98:V104" si="9">V$87*V90</f>
        <v>1.3220947376757275E-2</v>
      </c>
      <c r="W98" s="817"/>
      <c r="X98" s="1077">
        <f t="shared" ref="X98:X104" si="10">X$87*X90</f>
        <v>1.8266915514791964</v>
      </c>
      <c r="Y98" s="817"/>
      <c r="Z98" s="1077">
        <f t="shared" ref="Z98:Z104" si="11">Z$87*Z90</f>
        <v>0.15143994267921976</v>
      </c>
      <c r="AA98" s="817"/>
      <c r="AB98" s="1077">
        <f>AB$87*AB90</f>
        <v>0</v>
      </c>
      <c r="AC98" s="817"/>
      <c r="AD98" s="1077">
        <f>AD$87*AD90</f>
        <v>0</v>
      </c>
      <c r="AE98" s="817"/>
    </row>
    <row r="99" spans="1:77">
      <c r="A99" s="749" t="s">
        <v>802</v>
      </c>
      <c r="B99" s="1077">
        <f t="shared" si="0"/>
        <v>4.9031730432516838</v>
      </c>
      <c r="C99" s="817"/>
      <c r="D99" s="1077">
        <f t="shared" si="1"/>
        <v>1.3717210299573162</v>
      </c>
      <c r="E99" s="817"/>
      <c r="F99" s="1077">
        <f t="shared" si="2"/>
        <v>0.40859775360430689</v>
      </c>
      <c r="G99" s="817"/>
      <c r="H99" s="1077">
        <f t="shared" si="3"/>
        <v>1.3717210299573158E-2</v>
      </c>
      <c r="I99" s="817"/>
      <c r="J99" s="1077">
        <f>J$87*J91</f>
        <v>1.7530702655242734</v>
      </c>
      <c r="K99" s="817"/>
      <c r="L99" s="1077">
        <f t="shared" si="4"/>
        <v>0</v>
      </c>
      <c r="M99" s="817"/>
      <c r="N99" s="1077">
        <f t="shared" si="5"/>
        <v>0</v>
      </c>
      <c r="O99" s="817"/>
      <c r="P99" s="1077">
        <f t="shared" si="6"/>
        <v>0</v>
      </c>
      <c r="Q99" s="817"/>
      <c r="R99" s="1077">
        <f t="shared" si="7"/>
        <v>0</v>
      </c>
      <c r="S99" s="817"/>
      <c r="T99" s="1077">
        <f t="shared" si="8"/>
        <v>0.27257389861869319</v>
      </c>
      <c r="U99" s="817"/>
      <c r="V99" s="1077">
        <f t="shared" si="9"/>
        <v>4.628613372770261E-3</v>
      </c>
      <c r="W99" s="817"/>
      <c r="X99" s="1077">
        <f t="shared" si="10"/>
        <v>1.9543034240585549E-3</v>
      </c>
      <c r="Y99" s="817"/>
      <c r="Z99" s="1077">
        <f t="shared" si="11"/>
        <v>0</v>
      </c>
      <c r="AA99" s="817"/>
      <c r="AB99" s="1077">
        <f>AB$87*AB91</f>
        <v>0</v>
      </c>
      <c r="AC99" s="817"/>
      <c r="AD99" s="1077">
        <f>AD$87*AD91</f>
        <v>0.27035432944021248</v>
      </c>
      <c r="AE99" s="817"/>
    </row>
    <row r="100" spans="1:77" s="496" customFormat="1">
      <c r="A100" s="483" t="s">
        <v>801</v>
      </c>
      <c r="B100" s="1077">
        <f t="shared" si="0"/>
        <v>5.6943022525000305E-3</v>
      </c>
      <c r="C100" s="1013"/>
      <c r="D100" s="1077">
        <f t="shared" si="1"/>
        <v>3.1318662388750166E-3</v>
      </c>
      <c r="E100" s="1013"/>
      <c r="F100" s="1077">
        <f t="shared" si="2"/>
        <v>5.409587139875028E-2</v>
      </c>
      <c r="G100" s="1013"/>
      <c r="H100" s="1077">
        <f t="shared" si="3"/>
        <v>2.4770214798375129E-3</v>
      </c>
      <c r="I100" s="1013"/>
      <c r="J100" s="1077"/>
      <c r="K100" s="1013"/>
      <c r="L100" s="1077">
        <f t="shared" si="4"/>
        <v>0</v>
      </c>
      <c r="M100" s="1013"/>
      <c r="N100" s="1077">
        <f t="shared" si="5"/>
        <v>0</v>
      </c>
      <c r="O100" s="1013"/>
      <c r="P100" s="1077">
        <f t="shared" si="6"/>
        <v>0</v>
      </c>
      <c r="Q100" s="1013"/>
      <c r="R100" s="1077">
        <f t="shared" si="7"/>
        <v>0</v>
      </c>
      <c r="S100" s="1013"/>
      <c r="T100" s="1077">
        <f t="shared" si="8"/>
        <v>0</v>
      </c>
      <c r="U100" s="1013"/>
      <c r="V100" s="1077">
        <f t="shared" si="9"/>
        <v>0</v>
      </c>
      <c r="W100" s="1013"/>
      <c r="X100" s="1077">
        <f t="shared" si="10"/>
        <v>0.19064901860237474</v>
      </c>
      <c r="Y100" s="1013"/>
      <c r="Z100" s="1077">
        <f t="shared" si="11"/>
        <v>0</v>
      </c>
      <c r="AA100" s="1013"/>
      <c r="AB100" s="1077"/>
      <c r="AC100" s="1013"/>
      <c r="AD100" s="1077"/>
      <c r="AE100" s="1013"/>
      <c r="AG100" s="5"/>
      <c r="AH100" s="5"/>
      <c r="BY100" s="5"/>
    </row>
    <row r="101" spans="1:77" s="496" customFormat="1">
      <c r="A101" s="749" t="s">
        <v>808</v>
      </c>
      <c r="B101" s="1077">
        <f t="shared" si="0"/>
        <v>0.67519936544563031</v>
      </c>
      <c r="C101" s="817"/>
      <c r="D101" s="1077">
        <f t="shared" si="1"/>
        <v>3.8878033510266752</v>
      </c>
      <c r="E101" s="817"/>
      <c r="F101" s="1077">
        <f t="shared" si="2"/>
        <v>28.81341871867042</v>
      </c>
      <c r="G101" s="817"/>
      <c r="H101" s="1077">
        <f t="shared" si="3"/>
        <v>9.5489906867321821</v>
      </c>
      <c r="I101" s="817"/>
      <c r="J101" s="1077">
        <f>J$87*J93</f>
        <v>10.547732611888845</v>
      </c>
      <c r="K101" s="817"/>
      <c r="L101" s="1077">
        <f t="shared" si="4"/>
        <v>0.66</v>
      </c>
      <c r="M101" s="817"/>
      <c r="N101" s="1077">
        <f t="shared" si="5"/>
        <v>0</v>
      </c>
      <c r="O101" s="817"/>
      <c r="P101" s="1077">
        <f t="shared" si="6"/>
        <v>16.743343489727916</v>
      </c>
      <c r="Q101" s="817"/>
      <c r="R101" s="1077">
        <f t="shared" si="7"/>
        <v>1.6148195356564365</v>
      </c>
      <c r="S101" s="817"/>
      <c r="T101" s="1077">
        <f t="shared" si="8"/>
        <v>0</v>
      </c>
      <c r="U101" s="817"/>
      <c r="V101" s="1077">
        <f t="shared" si="9"/>
        <v>2.1634277525602816</v>
      </c>
      <c r="W101" s="817"/>
      <c r="X101" s="1077">
        <f t="shared" si="10"/>
        <v>8.9798996443528427</v>
      </c>
      <c r="Y101" s="817"/>
      <c r="Z101" s="1077">
        <f t="shared" si="11"/>
        <v>4.3591499663644804</v>
      </c>
      <c r="AA101" s="817"/>
      <c r="AB101" s="1077">
        <f>AB$87*AB93</f>
        <v>2.7196540000000002</v>
      </c>
      <c r="AC101" s="817"/>
      <c r="AD101" s="1077">
        <f>AD$87*AD93</f>
        <v>1.6266462522818861</v>
      </c>
      <c r="AE101" s="817"/>
    </row>
    <row r="102" spans="1:77" s="496" customFormat="1">
      <c r="A102" s="749" t="s">
        <v>805</v>
      </c>
      <c r="B102" s="1077">
        <f t="shared" si="0"/>
        <v>0</v>
      </c>
      <c r="C102" s="817"/>
      <c r="D102" s="1077">
        <f t="shared" si="1"/>
        <v>2.3190405953492443</v>
      </c>
      <c r="E102" s="817"/>
      <c r="F102" s="1077">
        <f t="shared" si="2"/>
        <v>2.9348870542952814</v>
      </c>
      <c r="G102" s="817"/>
      <c r="H102" s="1077">
        <f t="shared" si="3"/>
        <v>4.7062882670322903</v>
      </c>
      <c r="I102" s="817"/>
      <c r="J102" s="1077">
        <f>J$87*J94</f>
        <v>1.908350303284811</v>
      </c>
      <c r="K102" s="817"/>
      <c r="L102" s="1077">
        <f t="shared" si="4"/>
        <v>0</v>
      </c>
      <c r="M102" s="817"/>
      <c r="N102" s="1077">
        <f t="shared" si="5"/>
        <v>0</v>
      </c>
      <c r="O102" s="817"/>
      <c r="P102" s="1077">
        <f t="shared" si="6"/>
        <v>0</v>
      </c>
      <c r="Q102" s="817"/>
      <c r="R102" s="1077">
        <f t="shared" si="7"/>
        <v>0</v>
      </c>
      <c r="S102" s="817"/>
      <c r="T102" s="1077">
        <f t="shared" si="8"/>
        <v>0</v>
      </c>
      <c r="U102" s="817"/>
      <c r="V102" s="1077">
        <f t="shared" si="9"/>
        <v>0.50479980893073229</v>
      </c>
      <c r="W102" s="817"/>
      <c r="X102" s="1077">
        <f t="shared" si="10"/>
        <v>5.4438762548827471E-2</v>
      </c>
      <c r="Y102" s="817"/>
      <c r="Z102" s="1077">
        <f t="shared" si="11"/>
        <v>1.8028564604669015</v>
      </c>
      <c r="AA102" s="817"/>
      <c r="AB102" s="1077">
        <f>AB$87*AB94</f>
        <v>0</v>
      </c>
      <c r="AC102" s="817"/>
      <c r="AD102" s="1077">
        <f>AD$87*AD94</f>
        <v>0.29430124777531202</v>
      </c>
      <c r="AE102" s="817"/>
    </row>
    <row r="103" spans="1:77" s="496" customFormat="1">
      <c r="A103" s="483" t="s">
        <v>899</v>
      </c>
      <c r="B103" s="1077">
        <f t="shared" si="0"/>
        <v>4.8427024196998932E-4</v>
      </c>
      <c r="C103" s="817"/>
      <c r="D103" s="1077">
        <f t="shared" si="1"/>
        <v>1.4323486030098275E-4</v>
      </c>
      <c r="E103" s="817"/>
      <c r="F103" s="1077">
        <f t="shared" si="2"/>
        <v>5.4039946956978367E-4</v>
      </c>
      <c r="G103" s="817"/>
      <c r="H103" s="1077">
        <f t="shared" si="3"/>
        <v>4.2288387326956806E-2</v>
      </c>
      <c r="I103" s="817"/>
      <c r="J103" s="1077"/>
      <c r="K103" s="817"/>
      <c r="L103" s="1077">
        <f t="shared" si="4"/>
        <v>0</v>
      </c>
      <c r="M103" s="817"/>
      <c r="N103" s="1077">
        <f t="shared" si="5"/>
        <v>0</v>
      </c>
      <c r="O103" s="817"/>
      <c r="P103" s="1077">
        <f t="shared" si="6"/>
        <v>0</v>
      </c>
      <c r="Q103" s="817"/>
      <c r="R103" s="1077">
        <f t="shared" si="7"/>
        <v>0</v>
      </c>
      <c r="S103" s="817"/>
      <c r="T103" s="1077">
        <f t="shared" si="8"/>
        <v>0</v>
      </c>
      <c r="U103" s="817"/>
      <c r="V103" s="1077">
        <f t="shared" si="9"/>
        <v>0</v>
      </c>
      <c r="W103" s="817"/>
      <c r="X103" s="1077">
        <f t="shared" si="10"/>
        <v>0</v>
      </c>
      <c r="Y103" s="817"/>
      <c r="Z103" s="1077">
        <f t="shared" si="11"/>
        <v>4.8068637876650125E-2</v>
      </c>
      <c r="AA103" s="817"/>
      <c r="AB103" s="1077"/>
      <c r="AC103" s="817"/>
      <c r="AD103" s="1077"/>
      <c r="AE103" s="817"/>
    </row>
    <row r="104" spans="1:77" s="496" customFormat="1">
      <c r="A104" s="771" t="s">
        <v>806</v>
      </c>
      <c r="B104" s="1491">
        <f t="shared" si="0"/>
        <v>10.913132213408209</v>
      </c>
      <c r="C104" s="1084"/>
      <c r="D104" s="1491">
        <f t="shared" si="1"/>
        <v>17.051769083450328</v>
      </c>
      <c r="E104" s="1084"/>
      <c r="F104" s="1491">
        <f t="shared" si="2"/>
        <v>16.369698320112313</v>
      </c>
      <c r="G104" s="1084"/>
      <c r="H104" s="1491">
        <f t="shared" si="3"/>
        <v>12.277273740084235</v>
      </c>
      <c r="I104" s="1084"/>
      <c r="J104" s="1491">
        <f>J$87*J96</f>
        <v>1.7358468193020702</v>
      </c>
      <c r="K104" s="1084"/>
      <c r="L104" s="1491">
        <f t="shared" si="4"/>
        <v>0</v>
      </c>
      <c r="M104" s="1084"/>
      <c r="N104" s="1491">
        <f t="shared" si="5"/>
        <v>5.78399619649612</v>
      </c>
      <c r="O104" s="1084"/>
      <c r="P104" s="1491">
        <f t="shared" si="6"/>
        <v>10.411193153693025</v>
      </c>
      <c r="Q104" s="1084"/>
      <c r="R104" s="1491">
        <f t="shared" si="7"/>
        <v>1.8963881838849048</v>
      </c>
      <c r="S104" s="1084"/>
      <c r="T104" s="1491">
        <f t="shared" si="8"/>
        <v>3.2451416288404227</v>
      </c>
      <c r="U104" s="1084"/>
      <c r="V104" s="1491">
        <f t="shared" si="9"/>
        <v>6.7306641190764305</v>
      </c>
      <c r="W104" s="1084"/>
      <c r="X104" s="1491">
        <f t="shared" si="10"/>
        <v>2.6441894753514545</v>
      </c>
      <c r="Y104" s="1084"/>
      <c r="Z104" s="1491">
        <f t="shared" si="11"/>
        <v>4.927807658609531</v>
      </c>
      <c r="AA104" s="1084"/>
      <c r="AB104" s="1491">
        <f>AB$87*AB96</f>
        <v>2.1983459999999999</v>
      </c>
      <c r="AC104" s="1084"/>
      <c r="AD104" s="1491">
        <f>AD$87*AD96</f>
        <v>0.26769817050258959</v>
      </c>
      <c r="AE104" s="1084"/>
    </row>
    <row r="105" spans="1:77" s="496" customFormat="1">
      <c r="A105" s="1262" t="s">
        <v>816</v>
      </c>
      <c r="B105" s="749" cm="1">
        <f t="array" aca="1" ref="B105" ca="1">B$98*(1+(GREET1_Import_Export!$F$179*GREET1_Import_Export!$B180+GREET1_Import_Export!$F180)/1000000)+B$99*(1+(GREET1_Import_Export!$G$179*GREET1_Import_Export!$B180+GREET1_Import_Export!$G180)/1000000)+B$100*(1+(GREET1_Import_Export!$D$179*GREET1_Import_Export!$B180+GREET1_Import_Export!$D180)/1000000)+B$101*(1+GREET1_Import_Export!$B216/1000000)+B$102*(1+GREET1_Import_Export!$B284/1000000)+B$103*(1+(GREET1_Import_Export!$E$179*GREET1_Import_Export!$B180+GREET1_Import_Export!$E180)/1000000)+B$104*($B27)/1000000+MMULT($B171:$S171+0,B$63:B$80+0)</f>
        <v>33.670594035007802</v>
      </c>
      <c r="C105" s="817"/>
      <c r="D105" s="749" cm="1">
        <f t="array" aca="1" ref="D105" ca="1">D$98*(1+(GREET1_Import_Export!$F$179*GREET1_Import_Export!$B180+GREET1_Import_Export!$F180)/1000000)+D$99*(1+(GREET1_Import_Export!$G$179*GREET1_Import_Export!$B180+GREET1_Import_Export!$G180)/1000000)+D$100*(1+(GREET1_Import_Export!$D$179*GREET1_Import_Export!$B180+GREET1_Import_Export!$D180)/1000000)+D$101*(1+GREET1_Import_Export!$B216/1000000)+D$102*(1+GREET1_Import_Export!$B284/1000000)+D$103*(1+(GREET1_Import_Export!$E$179*GREET1_Import_Export!$B180+GREET1_Import_Export!$E180)/1000000)+D$104*($B27)/1000000+MMULT($B171:$S171+0,C$63:C$80+0)</f>
        <v>51.03805850457983</v>
      </c>
      <c r="E105" s="817"/>
      <c r="F105" s="749" cm="1">
        <f t="array" aca="1" ref="F105" ca="1">F$98*(1+(GREET1_Import_Export!$F$179*GREET1_Import_Export!$B180+GREET1_Import_Export!$F180)/1000000)+F$99*(1+(GREET1_Import_Export!$G$179*GREET1_Import_Export!$B180+GREET1_Import_Export!$G180)/1000000)+F$100*(1+(GREET1_Import_Export!$D$179*GREET1_Import_Export!$B180+GREET1_Import_Export!$D180)/1000000)+F$101*(1+GREET1_Import_Export!$B216/1000000)+F$102*(1+GREET1_Import_Export!$B284/1000000)+F$103*(1+(GREET1_Import_Export!$E$179*GREET1_Import_Export!$B180+GREET1_Import_Export!$E180)/1000000)+F$104*($C27)/1000000+MMULT($B171:$S171+0,D$63:D$80+0)</f>
        <v>86.521182493352626</v>
      </c>
      <c r="G105" s="817"/>
      <c r="H105" s="749" cm="1">
        <f t="array" aca="1" ref="H105" ca="1">H$98*(1+(GREET1_Import_Export!$F$179*GREET1_Import_Export!$B180+GREET1_Import_Export!$F180)/1000000)+H$99*(1+(GREET1_Import_Export!$G$179*GREET1_Import_Export!$B180+GREET1_Import_Export!$G180)/1000000)+H$100*(1+(GREET1_Import_Export!$D$179*GREET1_Import_Export!$B180+GREET1_Import_Export!$D180)/1000000)+H$101*(1+GREET1_Import_Export!$B216/1000000)+H$102*(1+GREET1_Import_Export!$B284/1000000)+H$103*(1+(GREET1_Import_Export!$E$179*GREET1_Import_Export!$B180+GREET1_Import_Export!$E180)/1000000)+H$104*($C27)/1000000+MMULT($B171:$S171+0,E$63:E$80+0)</f>
        <v>50.187536672182731</v>
      </c>
      <c r="I105" s="817"/>
      <c r="J105" s="749">
        <f>J$98*(1+(GREET1_Import_Export!$F$179*GREET1_Import_Export!$B180+GREET1_Import_Export!$F180)/1000000)+J$99*(1+(GREET1_Import_Export!$G$179*GREET1_Import_Export!$B180+GREET1_Import_Export!$G180)/1000000)+J$101*(1+GREET1_Import_Export!$B216/1000000)+J$102*(1+GREET1_Import_Export!$B284/1000000)+J$104*(GREET1_Import_Export!$B309+GREET1_Import_Export!$C309)/1000000</f>
        <v>19.19029575851296</v>
      </c>
      <c r="K105" s="817"/>
      <c r="L105" s="749" cm="1">
        <f t="array" aca="1" ref="L105" ca="1">L$98*(1+(GREET1_Import_Export!$F$179*GREET1_Import_Export!$B180+GREET1_Import_Export!$F180)/1000000)+L$99*(1+(GREET1_Import_Export!$G$179*GREET1_Import_Export!$B180+GREET1_Import_Export!$G180)/1000000)+L$100*(1+(GREET1_Import_Export!$D$179*GREET1_Import_Export!$B180+GREET1_Import_Export!$D180)/1000000)+L$101*(1+GREET1_Import_Export!$B216/1000000)+L$102*(1+GREET1_Import_Export!$B284/1000000)+L$103*(1+(GREET1_Import_Export!$E$179*GREET1_Import_Export!$B180+GREET1_Import_Export!$E180)/1000000)+L$104*($C27)/1000000+MMULT($B171:$S171+0,F$63:F$80+0)</f>
        <v>85.033349796040923</v>
      </c>
      <c r="M105" s="817"/>
      <c r="N105" s="749">
        <f>N$98*(1+(GREET1_Import_Export!$F$179*GREET1_Import_Export!$B180+GREET1_Import_Export!$F180)/1000000)+N$99*(1+(GREET1_Import_Export!$G$179*GREET1_Import_Export!$B180+GREET1_Import_Export!$G180)/1000000)+N$100*(1+(GREET1_Import_Export!$D$179*GREET1_Import_Export!$B180+GREET1_Import_Export!$D180)/1000000)+N$101*(1+GREET1_Import_Export!$B216/1000000)+N$102*(1+GREET1_Import_Export!$B284/1000000)+N$103*(1+(GREET1_Import_Export!$E$179*GREET1_Import_Export!$B180+GREET1_Import_Export!$E180)/1000000)+N$104*($D27)/1000000</f>
        <v>21.023451752714308</v>
      </c>
      <c r="O105" s="817"/>
      <c r="P105" s="749" cm="1">
        <f t="array" aca="1" ref="P105" ca="1">P$98*(1+(GREET1_Import_Export!$F$179*GREET1_Import_Export!$B180+GREET1_Import_Export!$F180)/1000000)+P$99*(1+(GREET1_Import_Export!$G$179*GREET1_Import_Export!$B180+GREET1_Import_Export!$G180)/1000000)+P$100*(1+(GREET1_Import_Export!$D$179*GREET1_Import_Export!$B180+GREET1_Import_Export!$D180)/1000000)+P$101*(1+GREET1_Import_Export!$B216/1000000)+P$102*(1+GREET1_Import_Export!$B284/1000000)+P$103*(1+(GREET1_Import_Export!$E$179*GREET1_Import_Export!$B180+GREET1_Import_Export!$E180)/1000000)+P$104*($D27)/1000000+MMULT($B171:$S171+0,G$63:G$80+0)</f>
        <v>80.996991406590396</v>
      </c>
      <c r="Q105" s="817"/>
      <c r="R105" s="749" cm="1">
        <f t="array" aca="1" ref="R105" ca="1">R$98*(1+(GREET1_Import_Export!$F$179*GREET1_Import_Export!$B180+GREET1_Import_Export!$F180)/1000000)+R$99*(1+(GREET1_Import_Export!$G$179*GREET1_Import_Export!$B180+GREET1_Import_Export!$G180)/1000000)+R$100*(1+(GREET1_Import_Export!$D$179*GREET1_Import_Export!$B180+GREET1_Import_Export!$D180)/1000000)+R$101*(1+GREET1_Import_Export!$B216/1000000)+R$102*(1+GREET1_Import_Export!$B284/1000000)+R$103*(1+(GREET1_Import_Export!$E$179*GREET1_Import_Export!$B180+GREET1_Import_Export!$E180)/1000000)+R$104*($E27)/1000000+MMULT($B171:$S171+0,H$63:H$80+0)</f>
        <v>13.647070707953581</v>
      </c>
      <c r="S105" s="817"/>
      <c r="T105" s="749" cm="1">
        <f t="array" aca="1" ref="T105" ca="1">T$98*(1+(GREET1_Import_Export!$F$179*GREET1_Import_Export!$B180+GREET1_Import_Export!$F180)/1000000)+T$99*(1+(GREET1_Import_Export!$G$179*GREET1_Import_Export!$B180+GREET1_Import_Export!$G180)/1000000)+T$100*(1+(GREET1_Import_Export!$D$179*GREET1_Import_Export!$B180+GREET1_Import_Export!$D180)/1000000)+T$101*(1+GREET1_Import_Export!$B216/1000000)+T$102*(1+GREET1_Import_Export!$B284/1000000)+T$103*(1+(GREET1_Import_Export!$E$179*GREET1_Import_Export!$B180+GREET1_Import_Export!$E180)/1000000)+T$104*($B27)/1000000+MMULT($B171:$S171+0,I$63:I$80+0)</f>
        <v>9.3486708734269932</v>
      </c>
      <c r="U105" s="817"/>
      <c r="V105" s="749" cm="1">
        <f t="array" aca="1" ref="V105" ca="1">V$98*(1+(GREET1_Import_Export!$F$179*GREET1_Import_Export!$B180+GREET1_Import_Export!$F180)/1000000)+V$99*(1+(GREET1_Import_Export!$G$179*GREET1_Import_Export!$B180+GREET1_Import_Export!$G180)/1000000)+V$100*(1+(GREET1_Import_Export!$D$179*GREET1_Import_Export!$B180+GREET1_Import_Export!$D180)/1000000)+V$101*(1+GREET1_Import_Export!$B216/1000000)+V$102*(1+GREET1_Import_Export!$B284/1000000)+V$103*(1+(GREET1_Import_Export!$E$179*GREET1_Import_Export!$B180+GREET1_Import_Export!$E180)/1000000)+V$104*($B27)/1000000+MMULT($B171:$S171+0,J$63:J$80+0)</f>
        <v>19.775447081850675</v>
      </c>
      <c r="W105" s="817"/>
      <c r="X105" s="749" cm="1">
        <f t="array" aca="1" ref="X105" ca="1">X$98*(1+(GREET1_Import_Export!$F$179*GREET1_Import_Export!$B180+GREET1_Import_Export!$F180)/1000000)+X$99*(1+(GREET1_Import_Export!$G$179*GREET1_Import_Export!$B180+GREET1_Import_Export!$G180)/1000000)+X$100*(1+(GREET1_Import_Export!$D$179*GREET1_Import_Export!$B180+GREET1_Import_Export!$D180)/1000000)+X$101*(1+GREET1_Import_Export!$B216/1000000)+X$102*(1+GREET1_Import_Export!$B284/1000000)+X$103*(1+(GREET1_Import_Export!$E$179*GREET1_Import_Export!$B180+GREET1_Import_Export!$E180)/1000000)+X$104*($C27)/1000000+MMULT($B171:$S171+0,K$63:K$80+0)</f>
        <v>27.688474476586553</v>
      </c>
      <c r="Y105" s="817"/>
      <c r="Z105" s="749" cm="1">
        <f t="array" aca="1" ref="Z105" ca="1">Z$98*(1+(GREET1_Import_Export!$F$179*GREET1_Import_Export!$B180+GREET1_Import_Export!$F180)/1000000)+Z$99*(1+(GREET1_Import_Export!$G$179*GREET1_Import_Export!$B180+GREET1_Import_Export!$G180)/1000000)+Z$100*(1+(GREET1_Import_Export!$D$179*GREET1_Import_Export!$B180+GREET1_Import_Export!$D180)/1000000)+Z$101*(1+GREET1_Import_Export!$B216/1000000)+Z$102*(1+GREET1_Import_Export!$B284/1000000)+Z$103*(1+(GREET1_Import_Export!$E$179*GREET1_Import_Export!$B180+GREET1_Import_Export!$E180)/1000000)+Z$104*($C27)/1000000+MMULT($B171:$S171+0,L$63:L$80+0)</f>
        <v>21.43471150000666</v>
      </c>
      <c r="AA105" s="817"/>
      <c r="AB105" s="749">
        <f>AB$98*(1+(GREET1_Import_Export!$F$179*GREET1_Import_Export!$B180+GREET1_Import_Export!$F180)/1000000)+AB$99*(1+(GREET1_Import_Export!$G$179*GREET1_Import_Export!$B180+GREET1_Import_Export!$G180)/1000000)+AB$101*(1+GREET1_Import_Export!$B216/1000000)+AB$102*(1+GREET1_Import_Export!$B284/1000000)+AB$104*(GREET1_Import_Export!$B309+GREET1_Import_Export!$C309)/1000000</f>
        <v>7.46156187572688</v>
      </c>
      <c r="AC105" s="817"/>
      <c r="AD105" s="749">
        <f>AD$98*(1+(GREET1_Import_Export!$F$179*GREET1_Import_Export!$B180+GREET1_Import_Export!$F180)/1000000)+AD$99*(1+(GREET1_Import_Export!$G$179*GREET1_Import_Export!$B180+GREET1_Import_Export!$G180)/1000000)+AD$101*(1+GREET1_Import_Export!$B216/1000000)+AD$102*(1+GREET1_Import_Export!$B284/1000000)+AD$104*(GREET1_Import_Export!$B309+GREET1_Import_Export!$C309)/1000000</f>
        <v>2.9594817980673174</v>
      </c>
      <c r="AE105" s="817"/>
    </row>
    <row r="106" spans="1:77" s="496" customFormat="1">
      <c r="A106" s="794" t="s">
        <v>817</v>
      </c>
      <c r="B106" s="749" cm="1">
        <f t="array" aca="1" ref="B106" ca="1">B$98*(1+(GREET1_Import_Export!$F$179*GREET1_Import_Export!$B181+GREET1_Import_Export!$F181)/1000000)+B$99*(1+(GREET1_Import_Export!$G$179*GREET1_Import_Export!$B181+GREET1_Import_Export!$G181)/1000000)+B$100*(1+(GREET1_Import_Export!$D$179*GREET1_Import_Export!$B181+GREET1_Import_Export!$D181)/1000000)+B$101*(1+GREET1_Import_Export!$B217/1000000)+B$102*(1+GREET1_Import_Export!$B285/1000000)+B$103*(1+(GREET1_Import_Export!$E$179*GREET1_Import_Export!$B181+GREET1_Import_Export!$E181)/1000000)+B$104*($B28)/1000000+MMULT($B172:$S172+0,B$63:B$80+0)</f>
        <v>27.927778278051058</v>
      </c>
      <c r="C106" s="817"/>
      <c r="D106" s="749" cm="1">
        <f t="array" aca="1" ref="D106" ca="1">D$98*(1+(GREET1_Import_Export!$F$179*GREET1_Import_Export!$B181+GREET1_Import_Export!$F181)/1000000)+D$99*(1+(GREET1_Import_Export!$G$179*GREET1_Import_Export!$B181+GREET1_Import_Export!$G181)/1000000)+D$100*(1+(GREET1_Import_Export!$D$179*GREET1_Import_Export!$B181+GREET1_Import_Export!$D181)/1000000)+D$101*(1+GREET1_Import_Export!$B217/1000000)+D$102*(1+GREET1_Import_Export!$B285/1000000)+D$103*(1+(GREET1_Import_Export!$E$179*GREET1_Import_Export!$B181+GREET1_Import_Export!$E181)/1000000)+D$104*($B28)/1000000+MMULT($B172:$S172+0,C$63:C$80+0)</f>
        <v>41.975439111929674</v>
      </c>
      <c r="E106" s="817"/>
      <c r="F106" s="749" cm="1">
        <f t="array" aca="1" ref="F106" ca="1">F$98*(1+(GREET1_Import_Export!$F$179*GREET1_Import_Export!$B181+GREET1_Import_Export!$F181)/1000000)+F$99*(1+(GREET1_Import_Export!$G$179*GREET1_Import_Export!$B181+GREET1_Import_Export!$G181)/1000000)+F$100*(1+(GREET1_Import_Export!$D$179*GREET1_Import_Export!$B181+GREET1_Import_Export!$D181)/1000000)+F$101*(1+GREET1_Import_Export!$B217/1000000)+F$102*(1+GREET1_Import_Export!$B285/1000000)+F$103*(1+(GREET1_Import_Export!$E$179*GREET1_Import_Export!$B181+GREET1_Import_Export!$E181)/1000000)+F$104*($C28)/1000000+MMULT($B172:$S172+0,D$63:D$80+0)</f>
        <v>74.415832395981241</v>
      </c>
      <c r="G106" s="817"/>
      <c r="H106" s="749" cm="1">
        <f t="array" aca="1" ref="H106" ca="1">H$98*(1+(GREET1_Import_Export!$F$179*GREET1_Import_Export!$B181+GREET1_Import_Export!$F181)/1000000)+H$99*(1+(GREET1_Import_Export!$G$179*GREET1_Import_Export!$B181+GREET1_Import_Export!$G181)/1000000)+H$100*(1+(GREET1_Import_Export!$D$179*GREET1_Import_Export!$B181+GREET1_Import_Export!$D181)/1000000)+H$101*(1+GREET1_Import_Export!$B217/1000000)+H$102*(1+GREET1_Import_Export!$B285/1000000)+H$103*(1+(GREET1_Import_Export!$E$179*GREET1_Import_Export!$B181+GREET1_Import_Export!$E181)/1000000)+H$104*($C28)/1000000+MMULT($B172:$S172+0,E$63:E$80+0)</f>
        <v>42.067821385900075</v>
      </c>
      <c r="I106" s="817"/>
      <c r="J106" s="749">
        <f>J$98*(1+(GREET1_Import_Export!$F$179*GREET1_Import_Export!$B181+GREET1_Import_Export!$F181)/1000000)+J$99*(1+(GREET1_Import_Export!$G$179*GREET1_Import_Export!$B181+GREET1_Import_Export!$G181)/1000000)+J$101*(1+GREET1_Import_Export!$B217/1000000)+J$102*(1+GREET1_Import_Export!$B285/1000000)+J$104*(GREET1_Import_Export!$B310+GREET1_Import_Export!$C310)/1000000</f>
        <v>18.438727672904559</v>
      </c>
      <c r="K106" s="817"/>
      <c r="L106" s="749" cm="1">
        <f t="array" aca="1" ref="L106" ca="1">L$98*(1+(GREET1_Import_Export!$F$179*GREET1_Import_Export!$B181+GREET1_Import_Export!$F181)/1000000)+L$99*(1+(GREET1_Import_Export!$G$179*GREET1_Import_Export!$B181+GREET1_Import_Export!$G181)/1000000)+L$100*(1+(GREET1_Import_Export!$D$179*GREET1_Import_Export!$B181+GREET1_Import_Export!$D181)/1000000)+L$101*(1+GREET1_Import_Export!$B217/1000000)+L$102*(1+GREET1_Import_Export!$B285/1000000)+L$103*(1+(GREET1_Import_Export!$E$179*GREET1_Import_Export!$B181+GREET1_Import_Export!$E181)/1000000)+L$104*($C28)/1000000+MMULT($B172:$S172+0,F$63:F$80+0)</f>
        <v>71.728019386233669</v>
      </c>
      <c r="M106" s="817"/>
      <c r="N106" s="749">
        <f>N$98*(1+(GREET1_Import_Export!$F$179*GREET1_Import_Export!$B181+GREET1_Import_Export!$F181)/1000000)+N$99*(1+(GREET1_Import_Export!$G$179*GREET1_Import_Export!$B181+GREET1_Import_Export!$G181)/1000000)+N$100*(1+(GREET1_Import_Export!$D$179*GREET1_Import_Export!$B181+GREET1_Import_Export!$D181)/1000000)+N$101*(1+GREET1_Import_Export!$B217/1000000)+N$102*(1+GREET1_Import_Export!$B285/1000000)+N$103*(1+(GREET1_Import_Export!$E$179*GREET1_Import_Export!$B181+GREET1_Import_Export!$E181)/1000000)+N$104*($D28)/1000000</f>
        <v>20.933695361650063</v>
      </c>
      <c r="O106" s="817"/>
      <c r="P106" s="749" cm="1">
        <f t="array" aca="1" ref="P106" ca="1">P$98*(1+(GREET1_Import_Export!$F$179*GREET1_Import_Export!$B181+GREET1_Import_Export!$F181)/1000000)+P$99*(1+(GREET1_Import_Export!$G$179*GREET1_Import_Export!$B181+GREET1_Import_Export!$G181)/1000000)+P$100*(1+(GREET1_Import_Export!$D$179*GREET1_Import_Export!$B181+GREET1_Import_Export!$D181)/1000000)+P$101*(1+GREET1_Import_Export!$B217/1000000)+P$102*(1+GREET1_Import_Export!$B285/1000000)+P$103*(1+(GREET1_Import_Export!$E$179*GREET1_Import_Export!$B181+GREET1_Import_Export!$E181)/1000000)+P$104*($D28)/1000000+MMULT($B172:$S172+0,G$63:G$80+0)</f>
        <v>78.588922275438478</v>
      </c>
      <c r="Q106" s="817"/>
      <c r="R106" s="749" cm="1">
        <f t="array" aca="1" ref="R106" ca="1">R$98*(1+(GREET1_Import_Export!$F$179*GREET1_Import_Export!$B181+GREET1_Import_Export!$F181)/1000000)+R$99*(1+(GREET1_Import_Export!$G$179*GREET1_Import_Export!$B181+GREET1_Import_Export!$G181)/1000000)+R$100*(1+(GREET1_Import_Export!$D$179*GREET1_Import_Export!$B181+GREET1_Import_Export!$D181)/1000000)+R$101*(1+GREET1_Import_Export!$B217/1000000)+R$102*(1+GREET1_Import_Export!$B285/1000000)+R$103*(1+(GREET1_Import_Export!$E$179*GREET1_Import_Export!$B181+GREET1_Import_Export!$E181)/1000000)+R$104*($E28)/1000000+MMULT($B172:$S172+0,H$63:H$80+0)</f>
        <v>12.309401781013324</v>
      </c>
      <c r="S106" s="817"/>
      <c r="T106" s="749" cm="1">
        <f t="array" aca="1" ref="T106" ca="1">T$98*(1+(GREET1_Import_Export!$F$179*GREET1_Import_Export!$B181+GREET1_Import_Export!$F181)/1000000)+T$99*(1+(GREET1_Import_Export!$G$179*GREET1_Import_Export!$B181+GREET1_Import_Export!$G181)/1000000)+T$100*(1+(GREET1_Import_Export!$D$179*GREET1_Import_Export!$B181+GREET1_Import_Export!$D181)/1000000)+T$101*(1+GREET1_Import_Export!$B217/1000000)+T$102*(1+GREET1_Import_Export!$B285/1000000)+T$103*(1+(GREET1_Import_Export!$E$179*GREET1_Import_Export!$B181+GREET1_Import_Export!$E181)/1000000)+T$104*($B28)/1000000+MMULT($B172:$S172+0,I$63:I$80+0)</f>
        <v>7.6418953321279508</v>
      </c>
      <c r="U106" s="817"/>
      <c r="V106" s="749" cm="1">
        <f t="array" aca="1" ref="V106" ca="1">V$98*(1+(GREET1_Import_Export!$F$179*GREET1_Import_Export!$B181+GREET1_Import_Export!$F181)/1000000)+V$99*(1+(GREET1_Import_Export!$G$179*GREET1_Import_Export!$B181+GREET1_Import_Export!$G181)/1000000)+V$100*(1+(GREET1_Import_Export!$D$179*GREET1_Import_Export!$B181+GREET1_Import_Export!$D181)/1000000)+V$101*(1+GREET1_Import_Export!$B217/1000000)+V$102*(1+GREET1_Import_Export!$B285/1000000)+V$103*(1+(GREET1_Import_Export!$E$179*GREET1_Import_Export!$B181+GREET1_Import_Export!$E181)/1000000)+V$104*($B28)/1000000+MMULT($B172:$S172+0,J$63:J$80+0)</f>
        <v>16.19790688804974</v>
      </c>
      <c r="W106" s="817"/>
      <c r="X106" s="749" cm="1">
        <f t="array" aca="1" ref="X106" ca="1">X$98*(1+(GREET1_Import_Export!$F$179*GREET1_Import_Export!$B181+GREET1_Import_Export!$F181)/1000000)+X$99*(1+(GREET1_Import_Export!$G$179*GREET1_Import_Export!$B181+GREET1_Import_Export!$G181)/1000000)+X$100*(1+(GREET1_Import_Export!$D$179*GREET1_Import_Export!$B181+GREET1_Import_Export!$D181)/1000000)+X$101*(1+GREET1_Import_Export!$B217/1000000)+X$102*(1+GREET1_Import_Export!$B285/1000000)+X$103*(1+(GREET1_Import_Export!$E$179*GREET1_Import_Export!$B181+GREET1_Import_Export!$E181)/1000000)+X$104*($C28)/1000000+MMULT($B172:$S172+0,K$63:K$80+0)</f>
        <v>24.763014920628308</v>
      </c>
      <c r="Y106" s="817"/>
      <c r="Z106" s="749" cm="1">
        <f t="array" aca="1" ref="Z106" ca="1">Z$98*(1+(GREET1_Import_Export!$F$179*GREET1_Import_Export!$B181+GREET1_Import_Export!$F181)/1000000)+Z$99*(1+(GREET1_Import_Export!$G$179*GREET1_Import_Export!$B181+GREET1_Import_Export!$G181)/1000000)+Z$100*(1+(GREET1_Import_Export!$D$179*GREET1_Import_Export!$B181+GREET1_Import_Export!$D181)/1000000)+Z$101*(1+GREET1_Import_Export!$B217/1000000)+Z$102*(1+GREET1_Import_Export!$B285/1000000)+Z$103*(1+(GREET1_Import_Export!$E$179*GREET1_Import_Export!$B181+GREET1_Import_Export!$E181)/1000000)+Z$104*($C28)/1000000+MMULT($B172:$S172+0,L$63:L$80+0)</f>
        <v>18.020282274615621</v>
      </c>
      <c r="AA106" s="817"/>
      <c r="AB106" s="749">
        <f>AB$98*(1+(GREET1_Import_Export!$F$179*GREET1_Import_Export!$B181+GREET1_Import_Export!$F181)/1000000)+AB$99*(1+(GREET1_Import_Export!$G$179*GREET1_Import_Export!$B181+GREET1_Import_Export!$G181)/1000000)+AB$101*(1+GREET1_Import_Export!$B217/1000000)+AB$102*(1+GREET1_Import_Export!$B285/1000000)+AB$104*(GREET1_Import_Export!$B310+GREET1_Import_Export!$C310)/1000000</f>
        <v>6.5322551483964144</v>
      </c>
      <c r="AC106" s="817"/>
      <c r="AD106" s="749">
        <f>AD$98*(1+(GREET1_Import_Export!$F$179*GREET1_Import_Export!$B181+GREET1_Import_Export!$F181)/1000000)+AD$99*(1+(GREET1_Import_Export!$G$179*GREET1_Import_Export!$B181+GREET1_Import_Export!$G181)/1000000)+AD$101*(1+GREET1_Import_Export!$B217/1000000)+AD$102*(1+GREET1_Import_Export!$B285/1000000)+AD$104*(GREET1_Import_Export!$B310+GREET1_Import_Export!$C310)/1000000</f>
        <v>2.8435767543225032</v>
      </c>
      <c r="AE106" s="817"/>
    </row>
    <row r="107" spans="1:77" s="496" customFormat="1">
      <c r="A107" s="794" t="s">
        <v>805</v>
      </c>
      <c r="B107" s="749" cm="1">
        <f t="array" aca="1" ref="B107" ca="1">B$98*(GREET1_Import_Export!$F$179*GREET1_Import_Export!$B182+GREET1_Import_Export!$F182)/1000000+B$99*(GREET1_Import_Export!$G$179*GREET1_Import_Export!$B182+GREET1_Import_Export!$G182)/1000000+B$100*(GREET1_Import_Export!$D$179*GREET1_Import_Export!$B182+GREET1_Import_Export!$D182)/1000000+B$101*(GREET1_Import_Export!$B218/1000000)+B$102*(1+GREET1_Import_Export!$B286/1000000)+B$103*(GREET1_Import_Export!$E$179*GREET1_Import_Export!$B182+GREET1_Import_Export!$E182)/1000000+B$104*($B29)/1000000+MMULT($B173:$S173+0,B$63:B$80+0)</f>
        <v>8.8251236027108408</v>
      </c>
      <c r="C107" s="817"/>
      <c r="D107" s="749" cm="1">
        <f t="array" aca="1" ref="D107" ca="1">D$98*(GREET1_Import_Export!$F$179*GREET1_Import_Export!$B182+GREET1_Import_Export!$F182)/1000000+D$99*(GREET1_Import_Export!$G$179*GREET1_Import_Export!$B182+GREET1_Import_Export!$G182)/1000000+D$100*(GREET1_Import_Export!$D$179*GREET1_Import_Export!$B182+GREET1_Import_Export!$D182)/1000000+D$101*(GREET1_Import_Export!$B218/1000000)+D$102*(1+GREET1_Import_Export!$B286/1000000)+D$103*(GREET1_Import_Export!$E$179*GREET1_Import_Export!$B182+GREET1_Import_Export!$E182)/1000000+D$104*($B29)/1000000+MMULT($B173:$S173+0,C$63:C$80+0)</f>
        <v>17.833497633890296</v>
      </c>
      <c r="E107" s="817"/>
      <c r="F107" s="749" cm="1">
        <f t="array" aca="1" ref="F107" ca="1">F$98*(GREET1_Import_Export!$F$179*GREET1_Import_Export!$B182+GREET1_Import_Export!$F182)/1000000+F$99*(GREET1_Import_Export!$G$179*GREET1_Import_Export!$B182+GREET1_Import_Export!$G182)/1000000+F$100*(GREET1_Import_Export!$D$179*GREET1_Import_Export!$B182+GREET1_Import_Export!$D182)/1000000+F$101*(GREET1_Import_Export!$B218/1000000)+F$102*(1+GREET1_Import_Export!$B286/1000000)+F$103*(GREET1_Import_Export!$E$179*GREET1_Import_Export!$B182+GREET1_Import_Export!$E182)/1000000+F$104*($C29)/1000000+MMULT($B173:$S173+0,D$63:D$80+0)</f>
        <v>20.288720985613867</v>
      </c>
      <c r="G107" s="817"/>
      <c r="H107" s="749" cm="1">
        <f t="array" aca="1" ref="H107" ca="1">H$98*(GREET1_Import_Export!$F$179*GREET1_Import_Export!$B182+GREET1_Import_Export!$F182)/1000000+H$99*(GREET1_Import_Export!$G$179*GREET1_Import_Export!$B182+GREET1_Import_Export!$G182)/1000000+H$100*(GREET1_Import_Export!$D$179*GREET1_Import_Export!$B182+GREET1_Import_Export!$D182)/1000000+H$101*(GREET1_Import_Export!$B218/1000000)+H$102*(1+GREET1_Import_Export!$B286/1000000)+H$103*(GREET1_Import_Export!$E$179*GREET1_Import_Export!$B182+GREET1_Import_Export!$E182)/1000000+H$104*($C29)/1000000+MMULT($B173:$S173+0,E$63:E$80+0)</f>
        <v>14.641178688471845</v>
      </c>
      <c r="I107" s="817"/>
      <c r="J107" s="749">
        <f>J$98*(GREET1_Import_Export!$F$179*GREET1_Import_Export!$B182+GREET1_Import_Export!$F182)/1000000+J$99*(GREET1_Import_Export!$G$179*GREET1_Import_Export!$B182+GREET1_Import_Export!$G182)/1000000+J$101*GREET1_Import_Export!$B218/1000000+J$102*(1+GREET1_Import_Export!$B286/1000000)+J$104*(GREET1_Import_Export!$B311+GREET1_Import_Export!$C311)/1000000</f>
        <v>2.902534533706489</v>
      </c>
      <c r="K107" s="817"/>
      <c r="L107" s="749" cm="1">
        <f t="array" aca="1" ref="L107" ca="1">L$98*(GREET1_Import_Export!$F$179*GREET1_Import_Export!$B182+GREET1_Import_Export!$F182)/1000000+L$99*(GREET1_Import_Export!$G$179*GREET1_Import_Export!$B182+GREET1_Import_Export!$G182)/1000000+L$100*(GREET1_Import_Export!$D$179*GREET1_Import_Export!$B182+GREET1_Import_Export!$D182)/1000000+L$101*(GREET1_Import_Export!$B218/1000000)+L$102*(1+GREET1_Import_Export!$B286/1000000)+L$103*(GREET1_Import_Export!$E$179*GREET1_Import_Export!$B182+GREET1_Import_Export!$E182)/1000000+L$104*($C29)/1000000+MMULT($B173:$S173+0,F$63:F$80+0)</f>
        <v>23.384283600962931</v>
      </c>
      <c r="M107" s="817"/>
      <c r="N107" s="749">
        <f>N$98*(GREET1_Import_Export!$F$179*GREET1_Import_Export!$B182+GREET1_Import_Export!$F182)/1000000+N$99*(GREET1_Import_Export!$G$179*GREET1_Import_Export!$B182+GREET1_Import_Export!$G182)/1000000+N$100*(GREET1_Import_Export!$D$179*GREET1_Import_Export!$B182+GREET1_Import_Export!$D182)/1000000+N$101*(GREET1_Import_Export!$B218/1000000)+N$102*(1+GREET1_Import_Export!$B286/1000000)+N$103*(GREET1_Import_Export!$E$179*GREET1_Import_Export!$B182+GREET1_Import_Export!$E182)/1000000+N$104*($D29)/1000000</f>
        <v>0.11313890984846871</v>
      </c>
      <c r="O107" s="817"/>
      <c r="P107" s="749" cm="1">
        <f t="array" aca="1" ref="P107" ca="1">P$98*(GREET1_Import_Export!$F$179*GREET1_Import_Export!$B182+GREET1_Import_Export!$F182)/1000000+P$99*(GREET1_Import_Export!$G$179*GREET1_Import_Export!$B182+GREET1_Import_Export!$G182)/1000000+P$100*(GREET1_Import_Export!$D$179*GREET1_Import_Export!$B182+GREET1_Import_Export!$D182)/1000000+P$101*(GREET1_Import_Export!$B218/1000000)+P$102*(1+GREET1_Import_Export!$B286/1000000)+P$103*(GREET1_Import_Export!$E$179*GREET1_Import_Export!$B182+GREET1_Import_Export!$E182)/1000000+P$104*($D29)/1000000+MMULT($B173:$S173+0,G$63:G$80+0)</f>
        <v>8.8006967367842943</v>
      </c>
      <c r="Q107" s="817"/>
      <c r="R107" s="749" cm="1">
        <f t="array" aca="1" ref="R107" ca="1">R$98*(GREET1_Import_Export!$F$179*GREET1_Import_Export!$B182+GREET1_Import_Export!$F182)/1000000+R$99*(GREET1_Import_Export!$G$179*GREET1_Import_Export!$B182+GREET1_Import_Export!$G182)/1000000+R$100*(GREET1_Import_Export!$D$179*GREET1_Import_Export!$B182+GREET1_Import_Export!$D182)/1000000+R$101*(GREET1_Import_Export!$B218/1000000)+R$102*(1+GREET1_Import_Export!$B286/1000000)+R$103*(GREET1_Import_Export!$E$179*GREET1_Import_Export!$B182+GREET1_Import_Export!$E182)/1000000+R$104*($E29)/1000000+MMULT($B173:$S173+0,H$63:H$80+0)</f>
        <v>5.2503201217273059</v>
      </c>
      <c r="S107" s="817"/>
      <c r="T107" s="749" cm="1">
        <f t="array" aca="1" ref="T107" ca="1">T$98*(GREET1_Import_Export!$F$179*GREET1_Import_Export!$B182+GREET1_Import_Export!$F182)/1000000+T$99*(GREET1_Import_Export!$G$179*GREET1_Import_Export!$B182+GREET1_Import_Export!$G182)/1000000+T$100*(GREET1_Import_Export!$D$179*GREET1_Import_Export!$B182+GREET1_Import_Export!$D182)/1000000+T$101*(GREET1_Import_Export!$B218/1000000)+T$102*(1+GREET1_Import_Export!$B286/1000000)+T$103*(GREET1_Import_Export!$E$179*GREET1_Import_Export!$B182+GREET1_Import_Export!$E182)/1000000+T$104*($B29)/1000000+MMULT($B173:$S173+0,I$63:I$80+0)</f>
        <v>2.6232425226289759</v>
      </c>
      <c r="U107" s="817"/>
      <c r="V107" s="749" cm="1">
        <f t="array" aca="1" ref="V107" ca="1">V$98*(GREET1_Import_Export!$F$179*GREET1_Import_Export!$B182+GREET1_Import_Export!$F182)/1000000+V$99*(GREET1_Import_Export!$G$179*GREET1_Import_Export!$B182+GREET1_Import_Export!$G182)/1000000+V$100*(GREET1_Import_Export!$D$179*GREET1_Import_Export!$B182+GREET1_Import_Export!$D182)/1000000+V$101*(GREET1_Import_Export!$B218/1000000)+V$102*(1+GREET1_Import_Export!$B286/1000000)+V$103*(GREET1_Import_Export!$E$179*GREET1_Import_Export!$B182+GREET1_Import_Export!$E182)/1000000+V$104*($B29)/1000000+MMULT($B173:$S173+0,J$63:J$80+0)</f>
        <v>6.7014026003829743</v>
      </c>
      <c r="W107" s="817"/>
      <c r="X107" s="749" cm="1">
        <f t="array" aca="1" ref="X107" ca="1">X$98*(GREET1_Import_Export!$F$179*GREET1_Import_Export!$B182+GREET1_Import_Export!$F182)/1000000+X$99*(GREET1_Import_Export!$G$179*GREET1_Import_Export!$B182+GREET1_Import_Export!$G182)/1000000+X$100*(GREET1_Import_Export!$D$179*GREET1_Import_Export!$B182+GREET1_Import_Export!$D182)/1000000+X$101*(GREET1_Import_Export!$B218/1000000)+X$102*(1+GREET1_Import_Export!$B286/1000000)+X$103*(GREET1_Import_Export!$E$179*GREET1_Import_Export!$B182+GREET1_Import_Export!$E182)/1000000+X$104*($C29)/1000000+MMULT($B173:$S173+0,K$63:K$80+0)</f>
        <v>7.1529982798177949</v>
      </c>
      <c r="Y107" s="817"/>
      <c r="Z107" s="749" cm="1">
        <f t="array" aca="1" ref="Z107" ca="1">Z$98*(GREET1_Import_Export!$F$179*GREET1_Import_Export!$B182+GREET1_Import_Export!$F182)/1000000+Z$99*(GREET1_Import_Export!$G$179*GREET1_Import_Export!$B182+GREET1_Import_Export!$G182)/1000000+Z$100*(GREET1_Import_Export!$D$179*GREET1_Import_Export!$B182+GREET1_Import_Export!$D182)/1000000+Z$101*(GREET1_Import_Export!$B218/1000000)+Z$102*(1+GREET1_Import_Export!$B286/1000000)+Z$103*(GREET1_Import_Export!$E$179*GREET1_Import_Export!$B182+GREET1_Import_Export!$E182)/1000000+Z$104*($C29)/1000000+MMULT($B173:$S173+0,L$63:L$80+0)</f>
        <v>6.0889227791108986</v>
      </c>
      <c r="AA107" s="817"/>
      <c r="AB107" s="749">
        <f>AB$98*(GREET1_Import_Export!$F$179*GREET1_Import_Export!$B182+GREET1_Import_Export!$F182)/1000000+AB$99*(GREET1_Import_Export!$G$179*GREET1_Import_Export!$B182+GREET1_Import_Export!$G182)/1000000+AB$101*GREET1_Import_Export!$B218/1000000+AB$102*(1+GREET1_Import_Export!$B286/1000000)+AB$104*(GREET1_Import_Export!$B311+GREET1_Import_Export!$C311)/1000000</f>
        <v>1.2284693401153122</v>
      </c>
      <c r="AC107" s="817"/>
      <c r="AD107" s="749">
        <f>AD$98*(GREET1_Import_Export!$F$179*GREET1_Import_Export!$B182+GREET1_Import_Export!$F182)/1000000+AD$99*(GREET1_Import_Export!$G$179*GREET1_Import_Export!$B182+GREET1_Import_Export!$G182)/1000000+AD$101*GREET1_Import_Export!$B218/1000000+AD$102*(1+GREET1_Import_Export!$B286/1000000)+AD$104*(GREET1_Import_Export!$B311+GREET1_Import_Export!$C311)/1000000</f>
        <v>0.44762197669390136</v>
      </c>
      <c r="AE107" s="817"/>
    </row>
    <row r="108" spans="1:77" s="496" customFormat="1">
      <c r="A108" s="794" t="s">
        <v>804</v>
      </c>
      <c r="B108" s="749">
        <f ca="1">B106-B107-B109</f>
        <v>9.0284770871201374</v>
      </c>
      <c r="C108" s="817"/>
      <c r="D108" s="749">
        <f ca="1">D106-D107-D109</f>
        <v>14.787703375829116</v>
      </c>
      <c r="E108" s="817"/>
      <c r="F108" s="749">
        <f ca="1">F106-F107-F109</f>
        <v>47.872464558243607</v>
      </c>
      <c r="G108" s="817"/>
      <c r="H108" s="749">
        <f ca="1">H106-H107-H109</f>
        <v>25.347505939158108</v>
      </c>
      <c r="I108" s="817"/>
      <c r="J108" s="749">
        <f>J106-J107-J109</f>
        <v>13.599787625711491</v>
      </c>
      <c r="K108" s="817"/>
      <c r="L108" s="749">
        <f ca="1">L106-L107-L109</f>
        <v>37.612120818821545</v>
      </c>
      <c r="M108" s="817"/>
      <c r="N108" s="749">
        <f>N106-N107-N109</f>
        <v>1.4684796424969733</v>
      </c>
      <c r="O108" s="817"/>
      <c r="P108" s="749">
        <f ca="1">P106-P107-P109</f>
        <v>33.841089218888541</v>
      </c>
      <c r="Q108" s="817"/>
      <c r="R108" s="749">
        <f ca="1">R106-R107-R109</f>
        <v>6.389403707762253</v>
      </c>
      <c r="S108" s="817"/>
      <c r="T108" s="749">
        <f ca="1">T106-T107-T109</f>
        <v>2.5761180693213035</v>
      </c>
      <c r="U108" s="817"/>
      <c r="V108" s="749">
        <f ca="1">V106-V107-V109</f>
        <v>6.4709152072793401</v>
      </c>
      <c r="W108" s="817"/>
      <c r="X108" s="749">
        <f ca="1">X106-X107-X109</f>
        <v>15.049730260243383</v>
      </c>
      <c r="Y108" s="817"/>
      <c r="Z108" s="749">
        <f ca="1">Z106-Z107-Z109</f>
        <v>10.97316036691053</v>
      </c>
      <c r="AA108" s="817"/>
      <c r="AB108" s="749">
        <f>AB106-AB107-AB109</f>
        <v>5.2545200682205113</v>
      </c>
      <c r="AC108" s="817"/>
      <c r="AD108" s="749">
        <f>AD106-AD107-AD109</f>
        <v>2.0973269220209825</v>
      </c>
      <c r="AE108" s="817"/>
    </row>
    <row r="109" spans="1:77" s="496" customFormat="1">
      <c r="A109" s="794" t="s">
        <v>818</v>
      </c>
      <c r="B109" s="749" cm="1">
        <f t="array" aca="1" ref="B109" ca="1">B$98*(1+(GREET1_Import_Export!$F$179*GREET1_Import_Export!$B184+GREET1_Import_Export!$F184)/1000000)+B$99*(1+(GREET1_Import_Export!$G$179*GREET1_Import_Export!$B184+GREET1_Import_Export!$G184)/1000000)+B$100*(1+(GREET1_Import_Export!$D$179*GREET1_Import_Export!$B184+GREET1_Import_Export!$D184)/1000000)+B$101*(GREET1_Import_Export!$B220/1000000)+B$102*(GREET1_Import_Export!$B288/1000000)+B$103*(1+(GREET1_Import_Export!$E$179*GREET1_Import_Export!$B184+GREET1_Import_Export!$E184)/1000000)+B$104*($B31)/1000000+MMULT($B175:$S175+0,B$63:B$80+0)</f>
        <v>10.074177588220081</v>
      </c>
      <c r="C109" s="817"/>
      <c r="D109" s="749" cm="1">
        <f t="array" aca="1" ref="D109" ca="1">D$98*(1+(GREET1_Import_Export!$F$179*GREET1_Import_Export!$B184+GREET1_Import_Export!$F184)/1000000)+D$99*(1+(GREET1_Import_Export!$G$179*GREET1_Import_Export!$B184+GREET1_Import_Export!$G184)/1000000)+D$100*(1+(GREET1_Import_Export!$D$179*GREET1_Import_Export!$B184+GREET1_Import_Export!$D184)/1000000)+D$101*(GREET1_Import_Export!$B220/1000000)+D$102*(GREET1_Import_Export!$B288/1000000)+D$103*(1+(GREET1_Import_Export!$E$179*GREET1_Import_Export!$B184+GREET1_Import_Export!$E184)/1000000)+D$104*($B31)/1000000+MMULT($B175:$S175+0,C$63:C$80+0)</f>
        <v>9.3542381022102621</v>
      </c>
      <c r="E109" s="817"/>
      <c r="F109" s="749" cm="1">
        <f t="array" aca="1" ref="F109" ca="1">F$98*(1+(GREET1_Import_Export!$F$179*GREET1_Import_Export!$B184+GREET1_Import_Export!$F184)/1000000)+F$99*(1+(GREET1_Import_Export!$G$179*GREET1_Import_Export!$B184+GREET1_Import_Export!$G184)/1000000)+F$100*(1+(GREET1_Import_Export!$D$179*GREET1_Import_Export!$B184+GREET1_Import_Export!$D184)/1000000)+F$101*(GREET1_Import_Export!$B220/1000000)+F$102*(GREET1_Import_Export!$B288/1000000)+F$103*(1+(GREET1_Import_Export!$E$179*GREET1_Import_Export!$B184+GREET1_Import_Export!$E184)/1000000)+F$104*($C31)/1000000+MMULT($B175:$S175+0,D$63:D$80+0)</f>
        <v>6.2546468521237664</v>
      </c>
      <c r="G109" s="817"/>
      <c r="H109" s="749" cm="1">
        <f t="array" aca="1" ref="H109" ca="1">H$98*(1+(GREET1_Import_Export!$F$179*GREET1_Import_Export!$B184+GREET1_Import_Export!$F184)/1000000)+H$99*(1+(GREET1_Import_Export!$G$179*GREET1_Import_Export!$B184+GREET1_Import_Export!$G184)/1000000)+H$100*(1+(GREET1_Import_Export!$D$179*GREET1_Import_Export!$B184+GREET1_Import_Export!$D184)/1000000)+H$101*(GREET1_Import_Export!$B220/1000000)+H$102*(GREET1_Import_Export!$B288/1000000)+H$103*(1+(GREET1_Import_Export!$E$179*GREET1_Import_Export!$B184+GREET1_Import_Export!$E184)/1000000)+H$104*($C31)/1000000+MMULT($B175:$S175+0,E$63:E$80+0)</f>
        <v>2.0791367582701201</v>
      </c>
      <c r="I109" s="817"/>
      <c r="J109" s="749">
        <f>J$98*(1+(GREET1_Import_Export!$F$179*GREET1_Import_Export!$B184+GREET1_Import_Export!$F184)/1000000)+J$99*(1+(GREET1_Import_Export!$G$179*GREET1_Import_Export!$B184+GREET1_Import_Export!$G184)/1000000)+J$101*GREET1_Import_Export!$B220/1000000+J$102*GREET1_Import_Export!$B288/1000000+J$104*(GREET1_Import_Export!$B313+GREET1_Import_Export!$C313)/1000000</f>
        <v>1.9364055134865783</v>
      </c>
      <c r="K109" s="817"/>
      <c r="L109" s="749" cm="1">
        <f t="array" aca="1" ref="L109" ca="1">L$98*(1+(GREET1_Import_Export!$F$179*GREET1_Import_Export!$B184+GREET1_Import_Export!$F184)/1000000)+L$99*(1+(GREET1_Import_Export!$G$179*GREET1_Import_Export!$B184+GREET1_Import_Export!$G184)/1000000)+L$100*(1+(GREET1_Import_Export!$D$179*GREET1_Import_Export!$B184+GREET1_Import_Export!$D184)/1000000)+L$101*(GREET1_Import_Export!$B220/1000000)+L$102*(GREET1_Import_Export!$B288/1000000)+L$103*(1+(GREET1_Import_Export!$E$179*GREET1_Import_Export!$B184+GREET1_Import_Export!$E184)/1000000)+L$104*($C31)/1000000+MMULT($B175:$S175+0,F$63:F$80+0)</f>
        <v>10.731614966449195</v>
      </c>
      <c r="M109" s="817"/>
      <c r="N109" s="749">
        <f>N$98*(1+(GREET1_Import_Export!$F$179*GREET1_Import_Export!$B184+GREET1_Import_Export!$F184)/1000000)+N$99*(1+(GREET1_Import_Export!$G$179*GREET1_Import_Export!$B184+GREET1_Import_Export!$G184)/1000000)+N$100*(1+(GREET1_Import_Export!$D$179*GREET1_Import_Export!$B184+GREET1_Import_Export!$D184)/1000000)+N$101*(GREET1_Import_Export!$B220/1000000)+N$102*(GREET1_Import_Export!$B288/1000000)+N$103*(1+(GREET1_Import_Export!$E$179*GREET1_Import_Export!$B184+GREET1_Import_Export!$E184)/1000000)+N$104*($D31)/1000000</f>
        <v>19.35207680930462</v>
      </c>
      <c r="O109" s="817"/>
      <c r="P109" s="749" cm="1">
        <f t="array" aca="1" ref="P109" ca="1">P$98*(1+(GREET1_Import_Export!$F$179*GREET1_Import_Export!$B184+GREET1_Import_Export!$F184)/1000000)+P$99*(1+(GREET1_Import_Export!$G$179*GREET1_Import_Export!$B184+GREET1_Import_Export!$G184)/1000000)+P$100*(1+(GREET1_Import_Export!$D$179*GREET1_Import_Export!$B184+GREET1_Import_Export!$D184)/1000000)+P$101*(GREET1_Import_Export!$B220/1000000)+P$102*(GREET1_Import_Export!$B288/1000000)+P$103*(1+(GREET1_Import_Export!$E$179*GREET1_Import_Export!$B184+GREET1_Import_Export!$E184)/1000000)+P$104*($D31)/1000000+MMULT($B175:$S175+0,G$63:G$80+0)</f>
        <v>35.947136319765647</v>
      </c>
      <c r="Q109" s="817"/>
      <c r="R109" s="749" cm="1">
        <f t="array" aca="1" ref="R109" ca="1">R$98*(1+(GREET1_Import_Export!$F$179*GREET1_Import_Export!$B184+GREET1_Import_Export!$F184)/1000000)+R$99*(1+(GREET1_Import_Export!$G$179*GREET1_Import_Export!$B184+GREET1_Import_Export!$G184)/1000000)+R$100*(1+(GREET1_Import_Export!$D$179*GREET1_Import_Export!$B184+GREET1_Import_Export!$D184)/1000000)+R$101*(GREET1_Import_Export!$B220/1000000)+R$102*(GREET1_Import_Export!$B288/1000000)+R$103*(1+(GREET1_Import_Export!$E$179*GREET1_Import_Export!$B184+GREET1_Import_Export!$E184)/1000000)+R$104*($E31)/1000000+MMULT($B175:$S175+0,H$63:H$80+0)</f>
        <v>0.66967795152376541</v>
      </c>
      <c r="S109" s="817"/>
      <c r="T109" s="749" cm="1">
        <f t="array" aca="1" ref="T109" ca="1">T$98*(1+(GREET1_Import_Export!$F$179*GREET1_Import_Export!$B184+GREET1_Import_Export!$F184)/1000000)+T$99*(1+(GREET1_Import_Export!$G$179*GREET1_Import_Export!$B184+GREET1_Import_Export!$G184)/1000000)+T$100*(1+(GREET1_Import_Export!$D$179*GREET1_Import_Export!$B184+GREET1_Import_Export!$D184)/1000000)+T$101*(GREET1_Import_Export!$B220/1000000)+T$102*(GREET1_Import_Export!$B288/1000000)+T$103*(1+(GREET1_Import_Export!$E$179*GREET1_Import_Export!$B184+GREET1_Import_Export!$E184)/1000000)+T$104*($B31)/1000000+MMULT($B175:$S175+0,I$63:I$80+0)</f>
        <v>2.4425347401776714</v>
      </c>
      <c r="U109" s="817"/>
      <c r="V109" s="749" cm="1">
        <f t="array" aca="1" ref="V109" ca="1">V$98*(1+(GREET1_Import_Export!$F$179*GREET1_Import_Export!$B184+GREET1_Import_Export!$F184)/1000000)+V$99*(1+(GREET1_Import_Export!$G$179*GREET1_Import_Export!$B184+GREET1_Import_Export!$G184)/1000000)+V$100*(1+(GREET1_Import_Export!$D$179*GREET1_Import_Export!$B184+GREET1_Import_Export!$D184)/1000000)+V$101*(GREET1_Import_Export!$B220/1000000)+V$102*(GREET1_Import_Export!$B288/1000000)+V$103*(1+(GREET1_Import_Export!$E$179*GREET1_Import_Export!$B184+GREET1_Import_Export!$E184)/1000000)+V$104*($B31)/1000000+MMULT($B175:$S175+0,J$63:J$80+0)</f>
        <v>3.0255890803874261</v>
      </c>
      <c r="W109" s="817"/>
      <c r="X109" s="749" cm="1">
        <f t="array" aca="1" ref="X109" ca="1">X$98*(1+(GREET1_Import_Export!$F$179*GREET1_Import_Export!$B184+GREET1_Import_Export!$F184)/1000000)+X$99*(1+(GREET1_Import_Export!$G$179*GREET1_Import_Export!$B184+GREET1_Import_Export!$G184)/1000000)+X$100*(1+(GREET1_Import_Export!$D$179*GREET1_Import_Export!$B184+GREET1_Import_Export!$D184)/1000000)+X$101*(GREET1_Import_Export!$B220/1000000)+X$102*(GREET1_Import_Export!$B288/1000000)+X$103*(1+(GREET1_Import_Export!$E$179*GREET1_Import_Export!$B184+GREET1_Import_Export!$E184)/1000000)+X$104*($C31)/1000000+MMULT($B175:$S175+0,K$63:K$80+0)</f>
        <v>2.5602863805671308</v>
      </c>
      <c r="Y109" s="817"/>
      <c r="Z109" s="749" cm="1">
        <f t="array" aca="1" ref="Z109" ca="1">Z$98*(1+(GREET1_Import_Export!$F$179*GREET1_Import_Export!$B184+GREET1_Import_Export!$F184)/1000000)+Z$99*(1+(GREET1_Import_Export!$G$179*GREET1_Import_Export!$B184+GREET1_Import_Export!$G184)/1000000)+Z$100*(1+(GREET1_Import_Export!$D$179*GREET1_Import_Export!$B184+GREET1_Import_Export!$D184)/1000000)+Z$101*(GREET1_Import_Export!$B220/1000000)+Z$102*(GREET1_Import_Export!$B288/1000000)+Z$103*(1+(GREET1_Import_Export!$E$179*GREET1_Import_Export!$B184+GREET1_Import_Export!$E184)/1000000)+Z$104*($C31)/1000000+MMULT($B175:$S175+0,L$63:L$80+0)</f>
        <v>0.9581991285941911</v>
      </c>
      <c r="AA109" s="817"/>
      <c r="AB109" s="749">
        <f>AB$98*(1+(GREET1_Import_Export!$F$179*GREET1_Import_Export!$B184+GREET1_Import_Export!$F184)/1000000)+AB$99*(1+(GREET1_Import_Export!$G$179*GREET1_Import_Export!$B184+GREET1_Import_Export!$G184)/1000000)+AB$101*GREET1_Import_Export!$B220/1000000+AB$102*GREET1_Import_Export!$B288/1000000+AB$104*(GREET1_Import_Export!$B313+GREET1_Import_Export!$C313)/1000000</f>
        <v>4.9265740060590285E-2</v>
      </c>
      <c r="AC109" s="817"/>
      <c r="AD109" s="749">
        <f>AD$98*(1+(GREET1_Import_Export!$F$179*GREET1_Import_Export!$B184+GREET1_Import_Export!$F184)/1000000)+AD$99*(1+(GREET1_Import_Export!$G$179*GREET1_Import_Export!$B184+GREET1_Import_Export!$G184)/1000000)+AD$101*GREET1_Import_Export!$B220/1000000+AD$102*GREET1_Import_Export!$B288/1000000+AD$104*(GREET1_Import_Export!$B313+GREET1_Import_Export!$C313)/1000000</f>
        <v>0.29862785560761967</v>
      </c>
      <c r="AE109" s="817"/>
    </row>
    <row r="110" spans="1:77" s="496" customFormat="1">
      <c r="A110" s="1500" t="s">
        <v>819</v>
      </c>
      <c r="B110" s="1144" cm="1">
        <f t="array" aca="1" ref="B110" ca="1">B$98*(GREET1_Import_Export!$F$179*GREET1_Import_Export!$B185+GREET1_Import_Export!$F185)+B$99*(GREET1_Import_Export!$G$179*GREET1_Import_Export!$B185+GREET1_Import_Export!$G185)+B$100*(GREET1_Import_Export!$D$179*GREET1_Import_Export!$B185+GREET1_Import_Export!$D185)+B$101*GREET1_Import_Export!$B221+B$102*GREET1_Import_Export!$B289+B$103*(GREET1_Import_Export!$E$179*GREET1_Import_Export!$B185+GREET1_Import_Export!$E185)+B$104*$B32+MMULT($B176:$S176+0,B$63:B$80+0)</f>
        <v>3106.2673580190194</v>
      </c>
      <c r="C110" s="1483"/>
      <c r="D110" s="1144" cm="1">
        <f t="array" aca="1" ref="D110" ca="1">D$98*(GREET1_Import_Export!$F$179*GREET1_Import_Export!$B185+GREET1_Import_Export!$F185)+D$99*(GREET1_Import_Export!$G$179*GREET1_Import_Export!$B185+GREET1_Import_Export!$G185)+D$100*(GREET1_Import_Export!$D$179*GREET1_Import_Export!$B185+GREET1_Import_Export!$D185)+D$101*GREET1_Import_Export!$B221+D$102*GREET1_Import_Export!$B289+D$103*(GREET1_Import_Export!$E$179*GREET1_Import_Export!$B185+GREET1_Import_Export!$E185)+D$104*$B32+MMULT($B176:$S176+0,C$63:C$80+0)</f>
        <v>4693.918917448852</v>
      </c>
      <c r="E110" s="1545">
        <v>1.3686785627753799</v>
      </c>
      <c r="F110" s="1144" cm="1">
        <f t="array" aca="1" ref="F110" ca="1">F$98*(GREET1_Import_Export!$F$179*GREET1_Import_Export!$B185+GREET1_Import_Export!$F185)+F$99*(GREET1_Import_Export!$G$179*GREET1_Import_Export!$B185+GREET1_Import_Export!$G185)+F$100*(GREET1_Import_Export!$D$179*GREET1_Import_Export!$B185+GREET1_Import_Export!$D185)+F$101*GREET1_Import_Export!$B221+F$102*GREET1_Import_Export!$B289+F$103*(GREET1_Import_Export!$E$179*GREET1_Import_Export!$B185+GREET1_Import_Export!$E185)+F$104*$C32+MMULT($B176:$S176+0,D$63:D$80+0)</f>
        <v>5483.866572016891</v>
      </c>
      <c r="G110" s="1545">
        <v>608.30158345572397</v>
      </c>
      <c r="H110" s="1144" cm="1">
        <f t="array" aca="1" ref="H110" ca="1">H$98*(GREET1_Import_Export!$F$179*GREET1_Import_Export!$B185+GREET1_Import_Export!$F185)+H$99*(GREET1_Import_Export!$G$179*GREET1_Import_Export!$B185+GREET1_Import_Export!$G185)+H$100*(GREET1_Import_Export!$D$179*GREET1_Import_Export!$B185+GREET1_Import_Export!$D185)+H$101*GREET1_Import_Export!$B221+H$102*GREET1_Import_Export!$B289+H$103*(GREET1_Import_Export!$E$179*GREET1_Import_Export!$B185+GREET1_Import_Export!$E185)+H$104*$C32+MMULT($B176:$S176+0,E$63:E$80+0)</f>
        <v>3830.1189135035033</v>
      </c>
      <c r="I110" s="1545">
        <v>85.542410173461207</v>
      </c>
      <c r="J110" s="1144">
        <f>J$98*((GREET1_Import_Export!$F$179*GREET1_Import_Export!$B185+GREET1_Import_Export!$F185))+J$99*((GREET1_Import_Export!$G$179*GREET1_Import_Export!$B185+GREET1_Import_Export!$G185))+J$101*GREET1_Import_Export!$B221+J$102*GREET1_Import_Export!$B289+J$104*(GREET1_Import_Export!$B314+GREET1_Import_Export!$C314)</f>
        <v>266.53469641664401</v>
      </c>
      <c r="K110" s="1483"/>
      <c r="L110" s="1144" cm="1">
        <f t="array" aca="1" ref="L110" ca="1">L$98*(GREET1_Import_Export!$F$179*GREET1_Import_Export!$B185+GREET1_Import_Export!$F185)+L$99*(GREET1_Import_Export!$G$179*GREET1_Import_Export!$B185+GREET1_Import_Export!$G185)+L$100*(GREET1_Import_Export!$D$179*GREET1_Import_Export!$B185+GREET1_Import_Export!$D185)+L$101*GREET1_Import_Export!$B221+L$102*GREET1_Import_Export!$B289+L$103*(GREET1_Import_Export!$E$179*GREET1_Import_Export!$B185+GREET1_Import_Export!$E185)+L$104*$C32+MMULT($B176:$S176+0,F$63:F$80+0)</f>
        <v>6802.1218329094127</v>
      </c>
      <c r="M110" s="1483"/>
      <c r="N110" s="1144">
        <f>N$98*(GREET1_Import_Export!$F$179*GREET1_Import_Export!$B185+GREET1_Import_Export!$F185)+N$99*(GREET1_Import_Export!$G$179*GREET1_Import_Export!$B185+GREET1_Import_Export!$G185)+N$100*(GREET1_Import_Export!$D$179*GREET1_Import_Export!$B185+GREET1_Import_Export!$D185)+N$101*GREET1_Import_Export!$B221+N$102*GREET1_Import_Export!$B289+N$103*(GREET1_Import_Export!$E$179*GREET1_Import_Export!$B185+GREET1_Import_Export!$E185)+N$104*$D32</f>
        <v>941.75070616871824</v>
      </c>
      <c r="O110" s="1483"/>
      <c r="P110" s="1144" cm="1">
        <f t="array" aca="1" ref="P110" ca="1">P$98*(GREET1_Import_Export!$F$179*GREET1_Import_Export!$B185+GREET1_Import_Export!$F185)+P$99*(GREET1_Import_Export!$G$179*GREET1_Import_Export!$B185+GREET1_Import_Export!$G185)+P$100*(GREET1_Import_Export!$D$179*GREET1_Import_Export!$B185+GREET1_Import_Export!$D185)+P$101*GREET1_Import_Export!$B221+P$102*GREET1_Import_Export!$B289+P$103*(GREET1_Import_Export!$E$179*GREET1_Import_Export!$B185+GREET1_Import_Export!$E185)+P$104*$D32+MMULT($B176:$S176+0,G$63:G$80+0)</f>
        <v>4195.9066773359009</v>
      </c>
      <c r="Q110" s="1483"/>
      <c r="R110" s="1144" cm="1">
        <f t="array" aca="1" ref="R110" ca="1">R$98*(GREET1_Import_Export!$F$179*GREET1_Import_Export!$B185+GREET1_Import_Export!$F185)+R$99*(GREET1_Import_Export!$G$179*GREET1_Import_Export!$B185+GREET1_Import_Export!$G185)+R$100*(GREET1_Import_Export!$D$179*GREET1_Import_Export!$B185+GREET1_Import_Export!$D185)+R$101*GREET1_Import_Export!$B221+R$102*GREET1_Import_Export!$B289+R$103*(GREET1_Import_Export!$E$179*GREET1_Import_Export!$B185+GREET1_Import_Export!$E185)+R$104*$E32+MMULT($B176:$S176+0,H$63:H$80+0)</f>
        <v>1130.6048937627995</v>
      </c>
      <c r="S110" s="1545">
        <v>450.86584720098801</v>
      </c>
      <c r="T110" s="1144" cm="1">
        <f t="array" aca="1" ref="T110" ca="1">T$98*(GREET1_Import_Export!$F$179*GREET1_Import_Export!$B185+GREET1_Import_Export!$F185)+T$99*(GREET1_Import_Export!$G$179*GREET1_Import_Export!$B185+GREET1_Import_Export!$G185)+T$100*(GREET1_Import_Export!$D$179*GREET1_Import_Export!$B185+GREET1_Import_Export!$D185)+T$101*GREET1_Import_Export!$B221+T$102*GREET1_Import_Export!$B289+T$103*(GREET1_Import_Export!$E$179*GREET1_Import_Export!$B185+GREET1_Import_Export!$E185)+T$104*$B32+MMULT($B176:$S176+0,I$63:I$80+0)</f>
        <v>927.60808413316488</v>
      </c>
      <c r="U110" s="1483"/>
      <c r="V110" s="1144" cm="1">
        <f t="array" aca="1" ref="V110" ca="1">V$98*(GREET1_Import_Export!$F$179*GREET1_Import_Export!$B185+GREET1_Import_Export!$F185)+V$99*(GREET1_Import_Export!$G$179*GREET1_Import_Export!$B185+GREET1_Import_Export!$G185)+V$100*(GREET1_Import_Export!$D$179*GREET1_Import_Export!$B185+GREET1_Import_Export!$D185)+V$101*GREET1_Import_Export!$B221+V$102*GREET1_Import_Export!$B289+V$103*(GREET1_Import_Export!$E$179*GREET1_Import_Export!$B185+GREET1_Import_Export!$E185)+V$104*$B32+MMULT($B176:$S176+0,J$63:J$80+0)</f>
        <v>1849.6059589041706</v>
      </c>
      <c r="W110" s="1483"/>
      <c r="X110" s="1144" cm="1">
        <f t="array" aca="1" ref="X110" ca="1">X$98*(GREET1_Import_Export!$F$179*GREET1_Import_Export!$B185+GREET1_Import_Export!$F185)+X$99*(GREET1_Import_Export!$G$179*GREET1_Import_Export!$B185+GREET1_Import_Export!$G185)+X$100*(GREET1_Import_Export!$D$179*GREET1_Import_Export!$B185+GREET1_Import_Export!$D185)+X$101*GREET1_Import_Export!$B221+X$102*GREET1_Import_Export!$B289+X$103*(GREET1_Import_Export!$E$179*GREET1_Import_Export!$B185+GREET1_Import_Export!$E185)+X$104*$C32+MMULT($B176:$S176+0,K$63:K$80+0)</f>
        <v>1237.0486306682867</v>
      </c>
      <c r="Y110" s="1546">
        <v>204.33335272946641</v>
      </c>
      <c r="Z110" s="1144" cm="1">
        <f t="array" aca="1" ref="Z110" ca="1">Z$98*(GREET1_Import_Export!$F$179*GREET1_Import_Export!$B185+GREET1_Import_Export!$F185)+Z$99*(GREET1_Import_Export!$G$179*GREET1_Import_Export!$B185+GREET1_Import_Export!$G185)+Z$100*(GREET1_Import_Export!$D$179*GREET1_Import_Export!$B185+GREET1_Import_Export!$D185)+Z$101*GREET1_Import_Export!$B221+Z$102*GREET1_Import_Export!$B289+Z$103*(GREET1_Import_Export!$E$179*GREET1_Import_Export!$B185+GREET1_Import_Export!$E185)+Z$104*$C32+MMULT($B176:$S176+0,L$63:L$80+0)</f>
        <v>1618.8837182029497</v>
      </c>
      <c r="AA110" s="1546">
        <v>13.755533313459063</v>
      </c>
      <c r="AB110" s="1144">
        <f>AB$98*((GREET1_Import_Export!$F$179*GREET1_Import_Export!$B185+GREET1_Import_Export!$F185))+AB$99*((GREET1_Import_Export!$G$179*GREET1_Import_Export!$B185+GREET1_Import_Export!$G185))+AB$101*GREET1_Import_Export!$B221+AB$102*GREET1_Import_Export!$B289+AB$104*(GREET1_Import_Export!$B314+GREET1_Import_Export!$C314)</f>
        <v>247.31005399779917</v>
      </c>
      <c r="AC110" s="1483"/>
      <c r="AD110" s="1144">
        <f>AD$98*((GREET1_Import_Export!$F$179*GREET1_Import_Export!$B185+GREET1_Import_Export!$F185))+AD$99*((GREET1_Import_Export!$G$179*GREET1_Import_Export!$B185+GREET1_Import_Export!$G185))+AD$101*GREET1_Import_Export!$B221+AD$102*GREET1_Import_Export!$B289+AD$104*(GREET1_Import_Export!$B314+GREET1_Import_Export!$C314)</f>
        <v>41.104347349547048</v>
      </c>
      <c r="AE110" s="1483"/>
    </row>
    <row r="111" spans="1:77" s="349" customFormat="1">
      <c r="A111" s="795" t="s">
        <v>864</v>
      </c>
      <c r="B111" s="1089"/>
      <c r="C111" s="675"/>
      <c r="D111" s="1089"/>
      <c r="E111" s="675"/>
      <c r="F111" s="1089"/>
      <c r="G111" s="675"/>
      <c r="H111" s="1089"/>
      <c r="I111" s="675"/>
      <c r="J111" s="1089"/>
      <c r="K111" s="675"/>
      <c r="L111" s="1089"/>
      <c r="M111" s="675"/>
      <c r="N111" s="1089"/>
      <c r="O111" s="675"/>
      <c r="P111" s="1089"/>
      <c r="Q111" s="675"/>
      <c r="R111" s="1089"/>
      <c r="S111" s="675"/>
      <c r="T111" s="1089"/>
      <c r="U111" s="675"/>
      <c r="V111" s="1089"/>
      <c r="W111" s="675"/>
      <c r="X111" s="1089"/>
      <c r="Y111" s="675"/>
      <c r="Z111" s="1089"/>
      <c r="AA111" s="675"/>
      <c r="AB111" s="1089"/>
      <c r="AC111" s="675"/>
      <c r="AD111" s="1089"/>
      <c r="AE111" s="675"/>
      <c r="AG111" s="496"/>
      <c r="AH111" s="496"/>
      <c r="BY111" s="496"/>
    </row>
    <row r="112" spans="1:77" s="349" customFormat="1">
      <c r="A112" s="794" t="s">
        <v>821</v>
      </c>
      <c r="B112" s="749" cm="1">
        <f t="array" aca="1" ref="B112" ca="1">B$98*(GREET1_Import_Export!$F$179*GREET1_Import_Export!$B186+GREET1_Import_Export!$F186)+B$99*(GREET1_Import_Export!$G$179*GREET1_Import_Export!$B186+GREET1_Import_Export!$G186)+B$100*(GREET1_Import_Export!$D$179*GREET1_Import_Export!$B186+GREET1_Import_Export!$D186)+B$101*GREET1_Import_Export!$B222+B$102*GREET1_Import_Export!$B290+B$103*(GREET1_Import_Export!$E$179*GREET1_Import_Export!$B186+GREET1_Import_Export!$E186)+B$104*$B34+MMULT($B178:$S178+0,B$63:B$80+0)</f>
        <v>418.52266185311589</v>
      </c>
      <c r="C112" s="1544">
        <v>29.502970868185756</v>
      </c>
      <c r="D112" s="749" cm="1">
        <f t="array" aca="1" ref="D112" ca="1">D$98*(GREET1_Import_Export!$F$179*GREET1_Import_Export!$B186+GREET1_Import_Export!$F186)+D$99*(GREET1_Import_Export!$G$179*GREET1_Import_Export!$B186+GREET1_Import_Export!$G186)+D$100*(GREET1_Import_Export!$D$179*GREET1_Import_Export!$B186+GREET1_Import_Export!$D186)+D$101*GREET1_Import_Export!$B222+D$102*GREET1_Import_Export!$B290+D$103*(GREET1_Import_Export!$E$179*GREET1_Import_Export!$B186+GREET1_Import_Export!$E186)+D$104*$B34+MMULT($B178:$S178+0,C$63:C$80+0)</f>
        <v>568.05741840696169</v>
      </c>
      <c r="E112" s="1544">
        <v>21.587539659648101</v>
      </c>
      <c r="F112" s="749" cm="1">
        <f t="array" aca="1" ref="F112" ca="1">F$98*(GREET1_Import_Export!$F$179*GREET1_Import_Export!$B186+GREET1_Import_Export!$F186)+F$99*(GREET1_Import_Export!$G$179*GREET1_Import_Export!$B186+GREET1_Import_Export!$G186)+F$100*(GREET1_Import_Export!$D$179*GREET1_Import_Export!$B186+GREET1_Import_Export!$D186)+F$101*GREET1_Import_Export!$B222+F$102*GREET1_Import_Export!$B290+F$103*(GREET1_Import_Export!$E$179*GREET1_Import_Export!$B186+GREET1_Import_Export!$E186)+F$104*$C34+MMULT($B178:$S178+0,D$63:D$80+0)</f>
        <v>928.66666488358464</v>
      </c>
      <c r="G112" s="1544">
        <v>66.201788289587498</v>
      </c>
      <c r="H112" s="749" cm="1">
        <f t="array" aca="1" ref="H112" ca="1">H$98*(GREET1_Import_Export!$F$179*GREET1_Import_Export!$B186+GREET1_Import_Export!$F186)+H$99*(GREET1_Import_Export!$G$179*GREET1_Import_Export!$B186+GREET1_Import_Export!$G186)+H$100*(GREET1_Import_Export!$D$179*GREET1_Import_Export!$B186+GREET1_Import_Export!$D186)+H$101*GREET1_Import_Export!$B222+H$102*GREET1_Import_Export!$B290+H$103*(GREET1_Import_Export!$E$179*GREET1_Import_Export!$B186+GREET1_Import_Export!$E186)+H$104*$C34+MMULT($B178:$S178+0,E$63:E$80+0)</f>
        <v>894.05580294892843</v>
      </c>
      <c r="I112" s="1544">
        <v>79.154312085376404</v>
      </c>
      <c r="J112" s="749">
        <f>J$98*(GREET1_Import_Export!$K72+GREET1_Import_Export!$F$179*GREET1_Import_Export!$B186+GREET1_Import_Export!$F186)+J$99*(GREET1_Import_Export!$O72+GREET1_Import_Export!$G$179*GREET1_Import_Export!$B186+GREET1_Import_Export!$G186)+J$101*(GREET1_Import_Export!$B72+GREET1_Import_Export!$B222)+J$102*(GREET1_Import_Export!$AA72+GREET1_Import_Export!$B290)+J$104*(GREET1_Import_Export!$B315+GREET1_Import_Export!$C315)</f>
        <v>190.77168510918156</v>
      </c>
      <c r="K112" s="817"/>
      <c r="L112" s="749" cm="1">
        <f t="array" aca="1" ref="L112" ca="1">L$98*(GREET1_Import_Export!$F$179*GREET1_Import_Export!$B186+GREET1_Import_Export!$F186+B$10*GREET1_Import_Export!$K72)+L$99*(GREET1_Import_Export!$G$179*GREET1_Import_Export!$B186+GREET1_Import_Export!$G186+B$14*GREET1_Import_Export!$R72+B$15*GREET1_Import_Export!$E146)+L$100*(GREET1_Import_Export!$D$179*GREET1_Import_Export!$B186+GREET1_Import_Export!$D186)+L$101*(GREET1_Import_Export!$B222+B$11*GREET1_Import_Export!$B72+B$12*GREET1_Import_Export!$G72)+L$102*(GREET1_Import_Export!$B290+B$13*GREET1_Import_Export!$AA72)+L$103*(GREET1_Import_Export!$E$179*GREET1_Import_Export!$B186+GREET1_Import_Export!$E186)+L$104*$C34+MMULT($B178:$S178+0,F$63:F$80+0)</f>
        <v>1158.8671982268213</v>
      </c>
      <c r="M112" s="817"/>
      <c r="N112" s="749">
        <f>N$98*(GREET1_Import_Export!$F$179*GREET1_Import_Export!$B186+GREET1_Import_Export!$F186+C$10*GREET1_Import_Export!$K72)+N$99*(GREET1_Import_Export!$G$179*GREET1_Import_Export!$B186+GREET1_Import_Export!$G186+C$14*GREET1_Import_Export!$R72+C$15*GREET1_Import_Export!$E146)+N$100*(GREET1_Import_Export!$D$179*GREET1_Import_Export!$B186+GREET1_Import_Export!$D186)+N$101*(GREET1_Import_Export!$B222+C$11*GREET1_Import_Export!$B72+C$12*GREET1_Import_Export!$G72)+N$102*(GREET1_Import_Export!$B290+C$13*GREET1_Import_Export!$AA72)+N$103*(GREET1_Import_Export!$E$179*GREET1_Import_Export!$B186+GREET1_Import_Export!$E186)+N$104*$D34</f>
        <v>232.57073144820873</v>
      </c>
      <c r="O112" s="817"/>
      <c r="P112" s="749" cm="1">
        <f t="array" aca="1" ref="P112" ca="1">P$98*(GREET1_Import_Export!$F$179*GREET1_Import_Export!$B186+GREET1_Import_Export!$F186+D$10*GREET1_Import_Export!$K72)+P$99*(GREET1_Import_Export!$G$179*GREET1_Import_Export!$B186+GREET1_Import_Export!$G186+D$14*GREET1_Import_Export!$R72+D$15*GREET1_Import_Export!$E146)+P$100*(GREET1_Import_Export!$D$179*GREET1_Import_Export!$B186+GREET1_Import_Export!$D186)+P$101*(GREET1_Import_Export!$B222+D$11*GREET1_Import_Export!$B72+D$12*GREET1_Import_Export!$G72)+P$102*(GREET1_Import_Export!$B290+D$13*GREET1_Import_Export!$AA72)+P$103*(GREET1_Import_Export!$E$179*GREET1_Import_Export!$B186+GREET1_Import_Export!$E186)+P$104*$D34+MMULT($B178:$S178+0,G$63:G$80+0)</f>
        <v>1597.3251959808199</v>
      </c>
      <c r="Q112" s="817"/>
      <c r="R112" s="749" cm="1">
        <f t="array" aca="1" ref="R112" ca="1">R$98*(GREET1_Import_Export!$F$179*GREET1_Import_Export!$B186+GREET1_Import_Export!$F186+E$10*GREET1_Import_Export!$K72)+R$99*(GREET1_Import_Export!$G$179*GREET1_Import_Export!$B186+GREET1_Import_Export!$G186+E$14*GREET1_Import_Export!$R72+E$15*GREET1_Import_Export!$E146)+R$100*(GREET1_Import_Export!$D$179*GREET1_Import_Export!$B186+GREET1_Import_Export!$D186)+R$101*(GREET1_Import_Export!$B222+E$11*GREET1_Import_Export!$B72+E$12*GREET1_Import_Export!$G72)+R$102*(GREET1_Import_Export!$B290+E$13*GREET1_Import_Export!$AA72)+R$103*(GREET1_Import_Export!$E$179*GREET1_Import_Export!$B186+GREET1_Import_Export!$E186)+R$104*$E34+MMULT($B178:$S178+0,H$63:H$80+0)</f>
        <v>128.70587801250571</v>
      </c>
      <c r="S112" s="817"/>
      <c r="T112" s="749" cm="1">
        <f t="array" aca="1" ref="T112" ca="1">T$98*(GREET1_Import_Export!$F$179*GREET1_Import_Export!$B186+GREET1_Import_Export!$F186)+T$99*(GREET1_Import_Export!$G$179*GREET1_Import_Export!$B186+GREET1_Import_Export!$G186)+T$100*(GREET1_Import_Export!$D$179*GREET1_Import_Export!$B186+GREET1_Import_Export!$D186)+T$101*GREET1_Import_Export!$B222+T$102*GREET1_Import_Export!$B290+T$103*(GREET1_Import_Export!$E$179*GREET1_Import_Export!$B186+GREET1_Import_Export!$E186)+T$104*$B34+MMULT($B178:$S178+0,I$63:I$80+0)</f>
        <v>152.59432738748507</v>
      </c>
      <c r="U112" s="1544">
        <v>1.3948099482478924</v>
      </c>
      <c r="V112" s="749" cm="1">
        <f t="array" aca="1" ref="V112" ca="1">V$98*(GREET1_Import_Export!$F$179*GREET1_Import_Export!$B186+GREET1_Import_Export!$F186)+V$99*(GREET1_Import_Export!$G$179*GREET1_Import_Export!$B186+GREET1_Import_Export!$G186)+V$100*(GREET1_Import_Export!$D$179*GREET1_Import_Export!$B186+GREET1_Import_Export!$D186)+V$101*GREET1_Import_Export!$B222+V$102*GREET1_Import_Export!$B290+V$103*(GREET1_Import_Export!$E$179*GREET1_Import_Export!$B186+GREET1_Import_Export!$E186)+V$104*$B34+MMULT($B178:$S178+0,J$63:J$80+0)</f>
        <v>229.13011086475439</v>
      </c>
      <c r="W112" s="1544">
        <v>0.45648325579021937</v>
      </c>
      <c r="X112" s="749" cm="1">
        <f t="array" aca="1" ref="X112" ca="1">X$98*(GREET1_Import_Export!$F$179*GREET1_Import_Export!$B186+GREET1_Import_Export!$F186)+X$99*(GREET1_Import_Export!$G$179*GREET1_Import_Export!$B186+GREET1_Import_Export!$G186)+X$100*(GREET1_Import_Export!$D$179*GREET1_Import_Export!$B186+GREET1_Import_Export!$D186)+X$101*GREET1_Import_Export!$B222+X$102*GREET1_Import_Export!$B290+X$103*(GREET1_Import_Export!$E$179*GREET1_Import_Export!$B186+GREET1_Import_Export!$E186)+X$104*$C34+MMULT($B178:$S178+0,K$63:K$80+0)</f>
        <v>481.11690085526914</v>
      </c>
      <c r="Y112" s="1547">
        <v>17.752126614064093</v>
      </c>
      <c r="Z112" s="749" cm="1">
        <f t="array" aca="1" ref="Z112" ca="1">Z$98*(GREET1_Import_Export!$F$179*GREET1_Import_Export!$B186+GREET1_Import_Export!$F186)+Z$99*(GREET1_Import_Export!$G$179*GREET1_Import_Export!$B186+GREET1_Import_Export!$G186)+Z$100*(GREET1_Import_Export!$D$179*GREET1_Import_Export!$B186+GREET1_Import_Export!$D186)+Z$101*GREET1_Import_Export!$B222+Z$102*GREET1_Import_Export!$B290+Z$103*(GREET1_Import_Export!$E$179*GREET1_Import_Export!$B186+GREET1_Import_Export!$E186)+Z$104*$C34+MMULT($B178:$S178+0,L$63:L$80+0)</f>
        <v>297.01830696552662</v>
      </c>
      <c r="AA112" s="1547">
        <v>1.0904877777210795</v>
      </c>
      <c r="AB112" s="749">
        <f>AB$98*(GREET1_Import_Export!$K72+GREET1_Import_Export!$F$179*GREET1_Import_Export!$B186+GREET1_Import_Export!$F186)+AB$99*(GREET1_Import_Export!$O72+GREET1_Import_Export!$G$179*GREET1_Import_Export!$B186+GREET1_Import_Export!$G186)+AB$101*(GREET1_Import_Export!$B72+GREET1_Import_Export!$B222)+AB$102*(GREET1_Import_Export!$AA72+GREET1_Import_Export!$B290)+AB$104*(GREET1_Import_Export!$B315+GREET1_Import_Export!$C315)</f>
        <v>65.346822986754745</v>
      </c>
      <c r="AC112" s="817"/>
      <c r="AD112" s="749">
        <f>AD$98*(GREET1_Import_Export!$K72+GREET1_Import_Export!$F$179*GREET1_Import_Export!$B186+GREET1_Import_Export!$F186)+AD$99*(GREET1_Import_Export!$O72+GREET1_Import_Export!$G$179*GREET1_Import_Export!$B186+GREET1_Import_Export!$G186)+AD$101*(GREET1_Import_Export!$B72+GREET1_Import_Export!$B222)+AD$102*(GREET1_Import_Export!$AA72+GREET1_Import_Export!$B290)+AD$104*(GREET1_Import_Export!$B315+GREET1_Import_Export!$C315)</f>
        <v>29.420355828377385</v>
      </c>
      <c r="AE112" s="817"/>
    </row>
    <row r="113" spans="1:77" s="349" customFormat="1">
      <c r="A113" s="794" t="s">
        <v>822</v>
      </c>
      <c r="B113" s="749" cm="1">
        <f t="array" aca="1" ref="B113" ca="1">B$98*(GREET1_Import_Export!$F$179*GREET1_Import_Export!$B187+GREET1_Import_Export!$F187)+B$99*(GREET1_Import_Export!$G$179*GREET1_Import_Export!$B187+GREET1_Import_Export!$G187)+B$100*(GREET1_Import_Export!$D$179*GREET1_Import_Export!$B187+GREET1_Import_Export!$D187)+B$101*GREET1_Import_Export!$B223+B$102*GREET1_Import_Export!$B291+B$103*(GREET1_Import_Export!$E$179*GREET1_Import_Export!$B187+GREET1_Import_Export!$E187)+B$104*$B35+MMULT($B179:$S179+0,B$63:B$80+0)</f>
        <v>940.61945632456332</v>
      </c>
      <c r="C113" s="1544">
        <v>863.50158638592404</v>
      </c>
      <c r="D113" s="749" cm="1">
        <f t="array" aca="1" ref="D113" ca="1">D$98*(GREET1_Import_Export!$F$179*GREET1_Import_Export!$B187+GREET1_Import_Export!$F187)+D$99*(GREET1_Import_Export!$G$179*GREET1_Import_Export!$B187+GREET1_Import_Export!$G187)+D$100*(GREET1_Import_Export!$D$179*GREET1_Import_Export!$B187+GREET1_Import_Export!$D187)+D$101*GREET1_Import_Export!$B223+D$102*GREET1_Import_Export!$B291+D$103*(GREET1_Import_Export!$E$179*GREET1_Import_Export!$B187+GREET1_Import_Export!$E187)+D$104*$B35+MMULT($B179:$S179+0,C$63:C$80+0)</f>
        <v>2694.5962426555307</v>
      </c>
      <c r="E113" s="1544">
        <v>79.154312085376404</v>
      </c>
      <c r="F113" s="749" cm="1">
        <f t="array" aca="1" ref="F113" ca="1">F$98*(GREET1_Import_Export!$F$179*GREET1_Import_Export!$B187+GREET1_Import_Export!$F187)+F$99*(GREET1_Import_Export!$G$179*GREET1_Import_Export!$B187+GREET1_Import_Export!$G187)+F$100*(GREET1_Import_Export!$D$179*GREET1_Import_Export!$B187+GREET1_Import_Export!$D187)+F$101*GREET1_Import_Export!$B223+F$102*GREET1_Import_Export!$B291+F$103*(GREET1_Import_Export!$E$179*GREET1_Import_Export!$B187+GREET1_Import_Export!$E187)+F$104*$C35+MMULT($B179:$S179+0,D$63:D$80+0)</f>
        <v>1959.0420283692122</v>
      </c>
      <c r="G113" s="1544">
        <v>5540.8018459763498</v>
      </c>
      <c r="H113" s="749" cm="1">
        <f t="array" aca="1" ref="H113" ca="1">H$98*(GREET1_Import_Export!$F$179*GREET1_Import_Export!$B187+GREET1_Import_Export!$F187)+H$99*(GREET1_Import_Export!$G$179*GREET1_Import_Export!$B187+GREET1_Import_Export!$G187)+H$100*(GREET1_Import_Export!$D$179*GREET1_Import_Export!$B187+GREET1_Import_Export!$D187)+H$101*GREET1_Import_Export!$B223+H$102*GREET1_Import_Export!$B291+H$103*(GREET1_Import_Export!$E$179*GREET1_Import_Export!$B187+GREET1_Import_Export!$E187)+H$104*$C35+MMULT($B179:$S179+0,E$63:E$80+0)</f>
        <v>1595.857521642035</v>
      </c>
      <c r="I113" s="1544">
        <v>1583.08624170753</v>
      </c>
      <c r="J113" s="749">
        <f>J$98*(GREET1_Import_Export!$K73+GREET1_Import_Export!$F$179*GREET1_Import_Export!$B187+GREET1_Import_Export!$F187)+J$99*(GREET1_Import_Export!$O73+GREET1_Import_Export!$G$179*GREET1_Import_Export!$B187+GREET1_Import_Export!$G187)+J$101*(GREET1_Import_Export!$B73+GREET1_Import_Export!$B223)+J$102*(GREET1_Import_Export!$AA73+GREET1_Import_Export!$B291)+J$104*(GREET1_Import_Export!$B316+GREET1_Import_Export!$C316)</f>
        <v>1620.8019000303307</v>
      </c>
      <c r="K113" s="817"/>
      <c r="L113" s="749" cm="1">
        <f t="array" aca="1" ref="L113" ca="1">L$98*(GREET1_Import_Export!$F$179*GREET1_Import_Export!$B187+GREET1_Import_Export!$F187+B$10*GREET1_Import_Export!$K73)+L$99*(GREET1_Import_Export!$G$179*GREET1_Import_Export!$B187+GREET1_Import_Export!$G187+B$14*GREET1_Import_Export!$R73+B$15*GREET1_Import_Export!$E147)+L$100*(GREET1_Import_Export!$D$179*GREET1_Import_Export!$B187+GREET1_Import_Export!$D187)+L$101*(GREET1_Import_Export!$B223+B$11*GREET1_Import_Export!$B73+B$12*GREET1_Import_Export!$G73)+L$102*(GREET1_Import_Export!$B291+B$13*GREET1_Import_Export!$AA73)+L$103*(GREET1_Import_Export!$E$179*GREET1_Import_Export!$B187+GREET1_Import_Export!$E187)+L$104*$C35+MMULT($B179:$S179+0,F$63:F$80+0)</f>
        <v>5844.7441736656056</v>
      </c>
      <c r="M113" s="817"/>
      <c r="N113" s="749">
        <f>N$98*(GREET1_Import_Export!$F$179*GREET1_Import_Export!$B187+GREET1_Import_Export!$F187+C$10*GREET1_Import_Export!$K73)+N$99*(GREET1_Import_Export!$G$179*GREET1_Import_Export!$B187+GREET1_Import_Export!$G187+C$14*GREET1_Import_Export!$R73+C$15*GREET1_Import_Export!$E147)+N$100*(GREET1_Import_Export!$D$179*GREET1_Import_Export!$B187+GREET1_Import_Export!$D187)+N$101*(GREET1_Import_Export!$B223+C$11*GREET1_Import_Export!$B73+C$12*GREET1_Import_Export!$G73)+N$102*(GREET1_Import_Export!$B291+C$13*GREET1_Import_Export!$AA73)+N$103*(GREET1_Import_Export!$E$179*GREET1_Import_Export!$B187+GREET1_Import_Export!$E187)+N$104*$D35</f>
        <v>1267.1129489573993</v>
      </c>
      <c r="O113" s="817"/>
      <c r="P113" s="749" cm="1">
        <f t="array" aca="1" ref="P113" ca="1">P$98*(GREET1_Import_Export!$F$179*GREET1_Import_Export!$B187+GREET1_Import_Export!$F187+D$10*GREET1_Import_Export!$K73)+P$99*(GREET1_Import_Export!$G$179*GREET1_Import_Export!$B187+GREET1_Import_Export!$G187+D$14*GREET1_Import_Export!$R73+D$15*GREET1_Import_Export!$E147)+P$100*(GREET1_Import_Export!$D$179*GREET1_Import_Export!$B187+GREET1_Import_Export!$D187)+P$101*(GREET1_Import_Export!$B223+D$11*GREET1_Import_Export!$B73+D$12*GREET1_Import_Export!$G73)+P$102*(GREET1_Import_Export!$B291+D$13*GREET1_Import_Export!$AA73)+P$103*(GREET1_Import_Export!$E$179*GREET1_Import_Export!$B187+GREET1_Import_Export!$E187)+P$104*$D35+MMULT($B179:$S179+0,G$63:G$80+0)</f>
        <v>9589.8892898289378</v>
      </c>
      <c r="Q113" s="817"/>
      <c r="R113" s="749" cm="1">
        <f t="array" aca="1" ref="R113" ca="1">R$98*(GREET1_Import_Export!$F$179*GREET1_Import_Export!$B187+GREET1_Import_Export!$F187+E$10*GREET1_Import_Export!$K73)+R$99*(GREET1_Import_Export!$G$179*GREET1_Import_Export!$B187+GREET1_Import_Export!$G187+E$14*GREET1_Import_Export!$R73+E$15*GREET1_Import_Export!$E147)+R$100*(GREET1_Import_Export!$D$179*GREET1_Import_Export!$B187+GREET1_Import_Export!$D187)+R$101*(GREET1_Import_Export!$B223+E$11*GREET1_Import_Export!$B73+E$12*GREET1_Import_Export!$G73)+R$102*(GREET1_Import_Export!$B291+E$13*GREET1_Import_Export!$AA73)+R$103*(GREET1_Import_Export!$E$179*GREET1_Import_Export!$B187+GREET1_Import_Export!$E187)+R$104*$E35+MMULT($B179:$S179+0,H$63:H$80+0)</f>
        <v>408.758557885914</v>
      </c>
      <c r="S113" s="817"/>
      <c r="T113" s="749" cm="1">
        <f t="array" aca="1" ref="T113" ca="1">T$98*(GREET1_Import_Export!$F$179*GREET1_Import_Export!$B187+GREET1_Import_Export!$F187)+T$99*(GREET1_Import_Export!$G$179*GREET1_Import_Export!$B187+GREET1_Import_Export!$G187)+T$100*(GREET1_Import_Export!$D$179*GREET1_Import_Export!$B187+GREET1_Import_Export!$D187)+T$101*GREET1_Import_Export!$B223+T$102*GREET1_Import_Export!$B291+T$103*(GREET1_Import_Export!$E$179*GREET1_Import_Export!$B187+GREET1_Import_Export!$E187)+T$104*$B35+MMULT($B179:$S179+0,I$63:I$80+0)</f>
        <v>292.36547267295066</v>
      </c>
      <c r="U113" s="1544">
        <v>253.60180877234407</v>
      </c>
      <c r="V113" s="749" cm="1">
        <f t="array" aca="1" ref="V113" ca="1">V$98*(GREET1_Import_Export!$F$179*GREET1_Import_Export!$B187+GREET1_Import_Export!$F187)+V$99*(GREET1_Import_Export!$G$179*GREET1_Import_Export!$B187+GREET1_Import_Export!$G187)+V$100*(GREET1_Import_Export!$D$179*GREET1_Import_Export!$B187+GREET1_Import_Export!$D187)+V$101*GREET1_Import_Export!$B223+V$102*GREET1_Import_Export!$B291+V$103*(GREET1_Import_Export!$E$179*GREET1_Import_Export!$B187+GREET1_Import_Export!$E187)+V$104*$B35+MMULT($B179:$S179+0,J$63:J$80+0)</f>
        <v>1113.3049416497647</v>
      </c>
      <c r="W113" s="1544">
        <v>1.6484117570202366</v>
      </c>
      <c r="X113" s="749" cm="1">
        <f t="array" aca="1" ref="X113" ca="1">X$98*(GREET1_Import_Export!$F$179*GREET1_Import_Export!$B187+GREET1_Import_Export!$F187)+X$99*(GREET1_Import_Export!$G$179*GREET1_Import_Export!$B187+GREET1_Import_Export!$G187)+X$100*(GREET1_Import_Export!$D$179*GREET1_Import_Export!$B187+GREET1_Import_Export!$D187)+X$101*GREET1_Import_Export!$B223+X$102*GREET1_Import_Export!$B291+X$103*(GREET1_Import_Export!$E$179*GREET1_Import_Export!$B187+GREET1_Import_Export!$E187)+X$104*$C35+MMULT($B179:$S179+0,K$63:K$80+0)</f>
        <v>642.37075384975901</v>
      </c>
      <c r="Y113" s="1547">
        <v>2662.8189921096132</v>
      </c>
      <c r="Z113" s="749" cm="1">
        <f t="array" aca="1" ref="Z113" ca="1">Z$98*(GREET1_Import_Export!$F$179*GREET1_Import_Export!$B187+GREET1_Import_Export!$F187)+Z$99*(GREET1_Import_Export!$G$179*GREET1_Import_Export!$B187+GREET1_Import_Export!$G187)+Z$100*(GREET1_Import_Export!$D$179*GREET1_Import_Export!$B187+GREET1_Import_Export!$D187)+Z$101*GREET1_Import_Export!$B223+Z$102*GREET1_Import_Export!$B291+Z$103*(GREET1_Import_Export!$E$179*GREET1_Import_Export!$B187+GREET1_Import_Export!$E187)+Z$104*$C35+MMULT($B179:$S179+0,L$63:L$80+0)</f>
        <v>619.59522318824895</v>
      </c>
      <c r="AA113" s="1547">
        <v>849.56605938735277</v>
      </c>
      <c r="AB113" s="749">
        <f>AB$98*(GREET1_Import_Export!$K73+GREET1_Import_Export!$F$179*GREET1_Import_Export!$B187+GREET1_Import_Export!$F187)+AB$99*(GREET1_Import_Export!$O73+GREET1_Import_Export!$G$179*GREET1_Import_Export!$B187+GREET1_Import_Export!$G187)+AB$101*(GREET1_Import_Export!$B73+GREET1_Import_Export!$B223)+AB$102*(GREET1_Import_Export!$AA73+GREET1_Import_Export!$B291)+AB$104*(GREET1_Import_Export!$B316+GREET1_Import_Export!$C316)</f>
        <v>227.72048638344586</v>
      </c>
      <c r="AD113" s="749">
        <f>AD$98*(GREET1_Import_Export!$K73+GREET1_Import_Export!$F$179*GREET1_Import_Export!$B187+GREET1_Import_Export!$F187)+AD$99*(GREET1_Import_Export!$O73+GREET1_Import_Export!$G$179*GREET1_Import_Export!$B187+GREET1_Import_Export!$G187)+AD$101*(GREET1_Import_Export!$B73+GREET1_Import_Export!$B223)+AD$102*(GREET1_Import_Export!$AA73+GREET1_Import_Export!$B291)+AD$104*(GREET1_Import_Export!$B316+GREET1_Import_Export!$C316)</f>
        <v>249.95621650514792</v>
      </c>
      <c r="AE113" s="817"/>
    </row>
    <row r="114" spans="1:77" s="349" customFormat="1">
      <c r="A114" s="794" t="s">
        <v>823</v>
      </c>
      <c r="B114" s="749" cm="1">
        <f t="array" aca="1" ref="B114" ca="1">B$98*(GREET1_Import_Export!$F$179*GREET1_Import_Export!$B188+GREET1_Import_Export!$F188)+B$99*(GREET1_Import_Export!$G$179*GREET1_Import_Export!$B188+GREET1_Import_Export!$G188)+B$100*(GREET1_Import_Export!$D$179*GREET1_Import_Export!$B188+GREET1_Import_Export!$D188)+B$101*GREET1_Import_Export!$B224+B$102*GREET1_Import_Export!$B292+B$103*(GREET1_Import_Export!$E$179*GREET1_Import_Export!$B188+GREET1_Import_Export!$E188)+B$104*$B36+MMULT($B180:$S180+0,B$63:B$80+0)</f>
        <v>2673.49024249987</v>
      </c>
      <c r="C114" s="1544">
        <v>1288.05653302567</v>
      </c>
      <c r="D114" s="749" cm="1">
        <f t="array" aca="1" ref="D114" ca="1">D$98*(GREET1_Import_Export!$F$179*GREET1_Import_Export!$B188+GREET1_Import_Export!$F188)+D$99*(GREET1_Import_Export!$G$179*GREET1_Import_Export!$B188+GREET1_Import_Export!$G188)+D$100*(GREET1_Import_Export!$D$179*GREET1_Import_Export!$B188+GREET1_Import_Export!$D188)+D$101*GREET1_Import_Export!$B224+D$102*GREET1_Import_Export!$B292+D$103*(GREET1_Import_Export!$E$179*GREET1_Import_Export!$B188+GREET1_Import_Export!$E188)+D$104*$B36+MMULT($B180:$S180+0,C$63:C$80+0)</f>
        <v>4015.7472352242094</v>
      </c>
      <c r="E114" s="1544">
        <v>489.31756561869099</v>
      </c>
      <c r="F114" s="749" cm="1">
        <f t="array" aca="1" ref="F114" ca="1">F$98*(GREET1_Import_Export!$F$179*GREET1_Import_Export!$B188+GREET1_Import_Export!$F188)+F$99*(GREET1_Import_Export!$G$179*GREET1_Import_Export!$B188+GREET1_Import_Export!$G188)+F$100*(GREET1_Import_Export!$D$179*GREET1_Import_Export!$B188+GREET1_Import_Export!$D188)+F$101*GREET1_Import_Export!$B224+F$102*GREET1_Import_Export!$B292+F$103*(GREET1_Import_Export!$E$179*GREET1_Import_Export!$B188+GREET1_Import_Export!$E188)+F$104*$C36+MMULT($B180:$S180+0,D$63:D$80+0)</f>
        <v>3553.3624689167882</v>
      </c>
      <c r="G114" s="1544">
        <v>3324.4811075858097</v>
      </c>
      <c r="H114" s="749" cm="1">
        <f t="array" aca="1" ref="H114" ca="1">H$98*(GREET1_Import_Export!$F$179*GREET1_Import_Export!$B188+GREET1_Import_Export!$F188)+H$99*(GREET1_Import_Export!$G$179*GREET1_Import_Export!$B188+GREET1_Import_Export!$G188)+H$100*(GREET1_Import_Export!$D$179*GREET1_Import_Export!$B188+GREET1_Import_Export!$D188)+H$101*GREET1_Import_Export!$B224+H$102*GREET1_Import_Export!$B292+H$103*(GREET1_Import_Export!$E$179*GREET1_Import_Export!$B188+GREET1_Import_Export!$E188)+H$104*$C36+MMULT($B180:$S180+0,E$63:E$80+0)</f>
        <v>2176.6882930087882</v>
      </c>
      <c r="I114" s="1544">
        <v>745.48970291318199</v>
      </c>
      <c r="J114" s="749">
        <f>J$98*(GREET1_Import_Export!$K74+GREET1_Import_Export!$F$179*GREET1_Import_Export!$B188+GREET1_Import_Export!$F188)+J$99*(GREET1_Import_Export!$O74+GREET1_Import_Export!$G$179*GREET1_Import_Export!$B188+GREET1_Import_Export!$G188)+J$101*(GREET1_Import_Export!$B74+GREET1_Import_Export!$B224)+J$102*(GREET1_Import_Export!$AA74+GREET1_Import_Export!$B292)+J$104*(GREET1_Import_Export!$B317+GREET1_Import_Export!$C317)</f>
        <v>1643.5936803526106</v>
      </c>
      <c r="K114" s="817"/>
      <c r="L114" s="749" cm="1">
        <f t="array" aca="1" ref="L114" ca="1">L$98*(GREET1_Import_Export!$F$179*GREET1_Import_Export!$B188+GREET1_Import_Export!$F188+B$10*GREET1_Import_Export!$K74)+L$99*(GREET1_Import_Export!$G$179*GREET1_Import_Export!$B188+GREET1_Import_Export!$G188+B$14*GREET1_Import_Export!$R74+B$15*GREET1_Import_Export!$E148)+L$100*(GREET1_Import_Export!$D$179*GREET1_Import_Export!$B188+GREET1_Import_Export!$D188)+L$101*(GREET1_Import_Export!$B224+B$11*GREET1_Import_Export!$B74+B$12*GREET1_Import_Export!$G74)+L$102*(GREET1_Import_Export!$B292+B$13*GREET1_Import_Export!$AA74)+L$103*(GREET1_Import_Export!$E$179*GREET1_Import_Export!$B188+GREET1_Import_Export!$E188)+L$104*$C36+MMULT($B180:$S180+0,F$63:F$80+0)</f>
        <v>7159.255916623858</v>
      </c>
      <c r="M114" s="817"/>
      <c r="N114" s="749">
        <f>N$98*(GREET1_Import_Export!$F$179*GREET1_Import_Export!$B188+GREET1_Import_Export!$F188+C$10*GREET1_Import_Export!$K74)+N$99*(GREET1_Import_Export!$G$179*GREET1_Import_Export!$B188+GREET1_Import_Export!$G188+C$14*GREET1_Import_Export!$R74+C$15*GREET1_Import_Export!$E148)+N$100*(GREET1_Import_Export!$D$179*GREET1_Import_Export!$B188+GREET1_Import_Export!$D188)+N$101*(GREET1_Import_Export!$B224+C$11*GREET1_Import_Export!$B74+C$12*GREET1_Import_Export!$G74)+N$102*(GREET1_Import_Export!$B292+C$13*GREET1_Import_Export!$AA74)+N$103*(GREET1_Import_Export!$E$179*GREET1_Import_Export!$B188+GREET1_Import_Export!$E188)+N$104*$D36</f>
        <v>6123.0897736941397</v>
      </c>
      <c r="O114" s="817"/>
      <c r="P114" s="749" cm="1">
        <f t="array" aca="1" ref="P114" ca="1">P$98*(GREET1_Import_Export!$F$179*GREET1_Import_Export!$B188+GREET1_Import_Export!$F188+D$10*GREET1_Import_Export!$K74)+P$99*(GREET1_Import_Export!$G$179*GREET1_Import_Export!$B188+GREET1_Import_Export!$G188+D$14*GREET1_Import_Export!$R74+D$15*GREET1_Import_Export!$E148)+P$100*(GREET1_Import_Export!$D$179*GREET1_Import_Export!$B188+GREET1_Import_Export!$D188)+P$101*(GREET1_Import_Export!$B224+D$11*GREET1_Import_Export!$B74+D$12*GREET1_Import_Export!$G74)+P$102*(GREET1_Import_Export!$B292+D$13*GREET1_Import_Export!$AA74)+P$103*(GREET1_Import_Export!$E$179*GREET1_Import_Export!$B188+GREET1_Import_Export!$E188)+P$104*$D36+MMULT($B180:$S180+0,G$63:G$80+0)</f>
        <v>13941.797789208651</v>
      </c>
      <c r="Q114" s="817"/>
      <c r="R114" s="749" cm="1">
        <f t="array" aca="1" ref="R114" ca="1">R$98*(GREET1_Import_Export!$F$179*GREET1_Import_Export!$B188+GREET1_Import_Export!$F188+E$10*GREET1_Import_Export!$K74)+R$99*(GREET1_Import_Export!$G$179*GREET1_Import_Export!$B188+GREET1_Import_Export!$G188+E$14*GREET1_Import_Export!$R74+E$15*GREET1_Import_Export!$E148)+R$100*(GREET1_Import_Export!$D$179*GREET1_Import_Export!$B188+GREET1_Import_Export!$D188)+R$101*(GREET1_Import_Export!$B224+E$11*GREET1_Import_Export!$B74+E$12*GREET1_Import_Export!$G74)+R$102*(GREET1_Import_Export!$B292+E$13*GREET1_Import_Export!$AA74)+R$103*(GREET1_Import_Export!$E$179*GREET1_Import_Export!$B188+GREET1_Import_Export!$E188)+R$104*$E36+MMULT($B180:$S180+0,H$63:H$80+0)</f>
        <v>981.07604160108542</v>
      </c>
      <c r="S114" s="817"/>
      <c r="T114" s="749" cm="1">
        <f t="array" aca="1" ref="T114" ca="1">T$98*(GREET1_Import_Export!$F$179*GREET1_Import_Export!$B188+GREET1_Import_Export!$F188)+T$99*(GREET1_Import_Export!$G$179*GREET1_Import_Export!$B188+GREET1_Import_Export!$G188)+T$100*(GREET1_Import_Export!$D$179*GREET1_Import_Export!$B188+GREET1_Import_Export!$D188)+T$101*GREET1_Import_Export!$B224+T$102*GREET1_Import_Export!$B292+T$103*(GREET1_Import_Export!$E$179*GREET1_Import_Export!$B188+GREET1_Import_Export!$E188)+T$104*$B36+MMULT($B180:$S180+0,I$63:I$80+0)</f>
        <v>807.5637378226387</v>
      </c>
      <c r="U114" s="1544">
        <v>284.03402582502548</v>
      </c>
      <c r="V114" s="749" cm="1">
        <f t="array" aca="1" ref="V114" ca="1">V$98*(GREET1_Import_Export!$F$179*GREET1_Import_Export!$B188+GREET1_Import_Export!$F188)+V$99*(GREET1_Import_Export!$G$179*GREET1_Import_Export!$B188+GREET1_Import_Export!$G188)+V$100*(GREET1_Import_Export!$D$179*GREET1_Import_Export!$B188+GREET1_Import_Export!$D188)+V$101*GREET1_Import_Export!$B224+V$102*GREET1_Import_Export!$B292+V$103*(GREET1_Import_Export!$E$179*GREET1_Import_Export!$B188+GREET1_Import_Export!$E188)+V$104*$B36+MMULT($B180:$S180+0,J$63:J$80+0)</f>
        <v>1601.3569214112467</v>
      </c>
      <c r="W114" s="1544">
        <v>11.412081394755482</v>
      </c>
      <c r="X114" s="749" cm="1">
        <f t="array" aca="1" ref="X114" ca="1">X$98*(GREET1_Import_Export!$F$179*GREET1_Import_Export!$B188+GREET1_Import_Export!$F188)+X$99*(GREET1_Import_Export!$G$179*GREET1_Import_Export!$B188+GREET1_Import_Export!$G188)+X$100*(GREET1_Import_Export!$D$179*GREET1_Import_Export!$B188+GREET1_Import_Export!$D188)+X$101*GREET1_Import_Export!$B224+X$102*GREET1_Import_Export!$B292+X$103*(GREET1_Import_Export!$E$179*GREET1_Import_Export!$B188+GREET1_Import_Export!$E188)+X$104*$C36+MMULT($B180:$S180+0,K$63:K$80+0)</f>
        <v>1016.4143325736788</v>
      </c>
      <c r="Y114" s="1547">
        <v>1103.1678681596966</v>
      </c>
      <c r="Z114" s="749" cm="1">
        <f t="array" aca="1" ref="Z114" ca="1">Z$98*(GREET1_Import_Export!$F$179*GREET1_Import_Export!$B188+GREET1_Import_Export!$F188)+Z$99*(GREET1_Import_Export!$G$179*GREET1_Import_Export!$B188+GREET1_Import_Export!$G188)+Z$100*(GREET1_Import_Export!$D$179*GREET1_Import_Export!$B188+GREET1_Import_Export!$D188)+Z$101*GREET1_Import_Export!$B224+Z$102*GREET1_Import_Export!$B292+Z$103*(GREET1_Import_Export!$E$179*GREET1_Import_Export!$B188+GREET1_Import_Export!$E188)+Z$104*$C36+MMULT($B180:$S180+0,L$63:L$80+0)</f>
        <v>931.01058981686117</v>
      </c>
      <c r="AA114" s="1547">
        <v>50.720361754468826</v>
      </c>
      <c r="AB114" s="749">
        <f>AB$98*(GREET1_Import_Export!$K74+GREET1_Import_Export!$F$179*GREET1_Import_Export!$B188+GREET1_Import_Export!$F188)+AB$99*(GREET1_Import_Export!$O74+GREET1_Import_Export!$G$179*GREET1_Import_Export!$B188+GREET1_Import_Export!$G188)+AB$101*(GREET1_Import_Export!$B74+GREET1_Import_Export!$B224)+AB$102*(GREET1_Import_Export!$AA74+GREET1_Import_Export!$B292)+AB$104*(GREET1_Import_Export!$B317+GREET1_Import_Export!$C317)</f>
        <v>367.26062650727329</v>
      </c>
      <c r="AC114" s="817"/>
      <c r="AD114" s="749">
        <f>AD$98*(GREET1_Import_Export!$K74+GREET1_Import_Export!$F$179*GREET1_Import_Export!$B188+GREET1_Import_Export!$F188)+AD$99*(GREET1_Import_Export!$O74+GREET1_Import_Export!$G$179*GREET1_Import_Export!$B188+GREET1_Import_Export!$G188)+AD$101*(GREET1_Import_Export!$B74+GREET1_Import_Export!$B224)+AD$102*(GREET1_Import_Export!$AA74+GREET1_Import_Export!$B292)+AD$104*(GREET1_Import_Export!$B317+GREET1_Import_Export!$C317)</f>
        <v>253.47111069219628</v>
      </c>
      <c r="AE114" s="817"/>
    </row>
    <row r="115" spans="1:77" s="349" customFormat="1">
      <c r="A115" s="794" t="s">
        <v>824</v>
      </c>
      <c r="B115" s="749" cm="1">
        <f t="array" aca="1" ref="B115" ca="1">B$98*(GREET1_Import_Export!$F$179*GREET1_Import_Export!$B189+GREET1_Import_Export!$F189)+B$99*(GREET1_Import_Export!$G$179*GREET1_Import_Export!$B189+GREET1_Import_Export!$G189)+B$100*(GREET1_Import_Export!$D$179*GREET1_Import_Export!$B189+GREET1_Import_Export!$D189)+B$101*GREET1_Import_Export!$B225+B$102*GREET1_Import_Export!$B293+B$103*(GREET1_Import_Export!$E$179*GREET1_Import_Export!$B189+GREET1_Import_Export!$E189)+B$104*$B37+MMULT($B181:$S181+0,B$63:B$80+0)</f>
        <v>362.17212574788516</v>
      </c>
      <c r="C115" s="1544">
        <v>302.22555523507401</v>
      </c>
      <c r="D115" s="749" cm="1">
        <f t="array" aca="1" ref="D115" ca="1">D$98*(GREET1_Import_Export!$F$179*GREET1_Import_Export!$B189+GREET1_Import_Export!$F189)+D$99*(GREET1_Import_Export!$G$179*GREET1_Import_Export!$B189+GREET1_Import_Export!$G189)+D$100*(GREET1_Import_Export!$D$179*GREET1_Import_Export!$B189+GREET1_Import_Export!$D189)+D$101*GREET1_Import_Export!$B225+D$102*GREET1_Import_Export!$B293+D$103*(GREET1_Import_Export!$E$179*GREET1_Import_Export!$B189+GREET1_Import_Export!$E189)+D$104*$B37+MMULT($B181:$S181+0,C$63:C$80+0)</f>
        <v>535.76143805116385</v>
      </c>
      <c r="E115" s="1544">
        <v>107.937698298241</v>
      </c>
      <c r="F115" s="749" cm="1">
        <f t="array" aca="1" ref="F115" ca="1">F$98*(GREET1_Import_Export!$F$179*GREET1_Import_Export!$B189+GREET1_Import_Export!$F189)+F$99*(GREET1_Import_Export!$G$179*GREET1_Import_Export!$B189+GREET1_Import_Export!$G189)+F$100*(GREET1_Import_Export!$D$179*GREET1_Import_Export!$B189+GREET1_Import_Export!$D189)+F$101*GREET1_Import_Export!$B225+F$102*GREET1_Import_Export!$B293+F$103*(GREET1_Import_Export!$E$179*GREET1_Import_Export!$B189+GREET1_Import_Export!$E189)+F$104*$C37+MMULT($B181:$S181+0,D$63:D$80+0)</f>
        <v>518.74284691552521</v>
      </c>
      <c r="G115" s="1544">
        <v>15830.862417075299</v>
      </c>
      <c r="H115" s="749" cm="1">
        <f t="array" aca="1" ref="H115" ca="1">H$98*(GREET1_Import_Export!$F$179*GREET1_Import_Export!$B189+GREET1_Import_Export!$F189)+H$99*(GREET1_Import_Export!$G$179*GREET1_Import_Export!$B189+GREET1_Import_Export!$G189)+H$100*(GREET1_Import_Export!$D$179*GREET1_Import_Export!$B189+GREET1_Import_Export!$D189)+H$101*GREET1_Import_Export!$B225+H$102*GREET1_Import_Export!$B293+H$103*(GREET1_Import_Export!$E$179*GREET1_Import_Export!$B189+GREET1_Import_Export!$E189)+H$104*$C37+MMULT($B181:$S181+0,E$63:E$80+0)</f>
        <v>293.2267711925648</v>
      </c>
      <c r="I115" s="1544">
        <v>5396.8849149120297</v>
      </c>
      <c r="J115" s="749">
        <f>J$98*(GREET1_Import_Export!$K75+GREET1_Import_Export!$F$179*GREET1_Import_Export!$B189+GREET1_Import_Export!$F189)+J$99*(GREET1_Import_Export!$O75+GREET1_Import_Export!$G$179*GREET1_Import_Export!$B189+GREET1_Import_Export!$G189)+J$101*(GREET1_Import_Export!$B75+GREET1_Import_Export!$B225)+J$102*(GREET1_Import_Export!$AA75+GREET1_Import_Export!$B293)+J$104*(GREET1_Import_Export!$B318+GREET1_Import_Export!$C318)</f>
        <v>125.97630670673122</v>
      </c>
      <c r="K115" s="817"/>
      <c r="L115" s="749" cm="1">
        <f t="array" aca="1" ref="L115" ca="1">L$98*(GREET1_Import_Export!$F$179*GREET1_Import_Export!$B189+GREET1_Import_Export!$F189+B$10*GREET1_Import_Export!$K75)+L$99*(GREET1_Import_Export!$G$179*GREET1_Import_Export!$B189+GREET1_Import_Export!$G189+B$14*GREET1_Import_Export!$R75+B$15*GREET1_Import_Export!$E149)+L$100*(GREET1_Import_Export!$D$179*GREET1_Import_Export!$B189+GREET1_Import_Export!$D189)+L$101*(GREET1_Import_Export!$B225+B$11*GREET1_Import_Export!$B75+B$12*GREET1_Import_Export!$G75)+L$102*(GREET1_Import_Export!$B293+B$13*GREET1_Import_Export!$AA75)+L$103*(GREET1_Import_Export!$E$179*GREET1_Import_Export!$B189+GREET1_Import_Export!$E189)+L$104*$C37+MMULT($B181:$S181+0,F$63:F$80+0)</f>
        <v>8870.1519271857796</v>
      </c>
      <c r="M115" s="817"/>
      <c r="N115" s="749">
        <f>N$98*(GREET1_Import_Export!$F$179*GREET1_Import_Export!$B189+GREET1_Import_Export!$F189+C$10*GREET1_Import_Export!$K75)+N$99*(GREET1_Import_Export!$G$179*GREET1_Import_Export!$B189+GREET1_Import_Export!$G189+C$14*GREET1_Import_Export!$R75+C$15*GREET1_Import_Export!$E149)+N$100*(GREET1_Import_Export!$D$179*GREET1_Import_Export!$B189+GREET1_Import_Export!$D189)+N$101*(GREET1_Import_Export!$B225+C$11*GREET1_Import_Export!$B75+C$12*GREET1_Import_Export!$G75)+N$102*(GREET1_Import_Export!$B293+C$13*GREET1_Import_Export!$AA75)+N$103*(GREET1_Import_Export!$E$179*GREET1_Import_Export!$B189+GREET1_Import_Export!$E189)+N$104*$D37</f>
        <v>349.56647026798095</v>
      </c>
      <c r="O115" s="817"/>
      <c r="P115" s="749" cm="1">
        <f t="array" aca="1" ref="P115" ca="1">P$98*(GREET1_Import_Export!$F$179*GREET1_Import_Export!$B189+GREET1_Import_Export!$F189+D$10*GREET1_Import_Export!$K75)+P$99*(GREET1_Import_Export!$G$179*GREET1_Import_Export!$B189+GREET1_Import_Export!$G189+D$14*GREET1_Import_Export!$R75+D$15*GREET1_Import_Export!$E149)+P$100*(GREET1_Import_Export!$D$179*GREET1_Import_Export!$B189+GREET1_Import_Export!$D189)+P$101*(GREET1_Import_Export!$B225+D$11*GREET1_Import_Export!$B75+D$12*GREET1_Import_Export!$G75)+P$102*(GREET1_Import_Export!$B293+D$13*GREET1_Import_Export!$AA75)+P$103*(GREET1_Import_Export!$E$179*GREET1_Import_Export!$B189+GREET1_Import_Export!$E189)+P$104*$D37+MMULT($B181:$S181+0,G$63:G$80+0)</f>
        <v>1261.7441913875818</v>
      </c>
      <c r="Q115" s="817"/>
      <c r="R115" s="749" cm="1">
        <f t="array" aca="1" ref="R115" ca="1">R$98*(GREET1_Import_Export!$F$179*GREET1_Import_Export!$B189+GREET1_Import_Export!$F189+E$10*GREET1_Import_Export!$K75)+R$99*(GREET1_Import_Export!$G$179*GREET1_Import_Export!$B189+GREET1_Import_Export!$G189+E$14*GREET1_Import_Export!$R75+E$15*GREET1_Import_Export!$E149)+R$100*(GREET1_Import_Export!$D$179*GREET1_Import_Export!$B189+GREET1_Import_Export!$D189)+R$101*(GREET1_Import_Export!$B225+E$11*GREET1_Import_Export!$B75+E$12*GREET1_Import_Export!$G75)+R$102*(GREET1_Import_Export!$B293+E$13*GREET1_Import_Export!$AA75)+R$103*(GREET1_Import_Export!$E$179*GREET1_Import_Export!$B189+GREET1_Import_Export!$E189)+R$104*$E37+MMULT($B181:$S181+0,H$63:H$80+0)</f>
        <v>128.43712262193233</v>
      </c>
      <c r="S115" s="817"/>
      <c r="T115" s="749" cm="1">
        <f t="array" aca="1" ref="T115" ca="1">T$98*(GREET1_Import_Export!$F$179*GREET1_Import_Export!$B189+GREET1_Import_Export!$F189)+T$99*(GREET1_Import_Export!$G$179*GREET1_Import_Export!$B189+GREET1_Import_Export!$G189)+T$100*(GREET1_Import_Export!$D$179*GREET1_Import_Export!$B189+GREET1_Import_Export!$D189)+T$101*GREET1_Import_Export!$B225+T$102*GREET1_Import_Export!$B293+T$103*(GREET1_Import_Export!$E$179*GREET1_Import_Export!$B189+GREET1_Import_Export!$E189)+T$104*$B37+MMULT($B181:$S181+0,I$63:I$80+0)</f>
        <v>119.62925355024421</v>
      </c>
      <c r="U115" s="1544">
        <v>126.80090438617204</v>
      </c>
      <c r="V115" s="749" cm="1">
        <f t="array" aca="1" ref="V115" ca="1">V$98*(GREET1_Import_Export!$F$179*GREET1_Import_Export!$B189+GREET1_Import_Export!$F189)+V$99*(GREET1_Import_Export!$G$179*GREET1_Import_Export!$B189+GREET1_Import_Export!$G189)+V$100*(GREET1_Import_Export!$D$179*GREET1_Import_Export!$B189+GREET1_Import_Export!$D189)+V$101*GREET1_Import_Export!$B225+V$102*GREET1_Import_Export!$B293+V$103*(GREET1_Import_Export!$E$179*GREET1_Import_Export!$B189+GREET1_Import_Export!$E189)+V$104*$B37+MMULT($B181:$S181+0,J$63:J$80+0)</f>
        <v>211.56222687874106</v>
      </c>
      <c r="W115" s="1544">
        <v>0.25360180877234412</v>
      </c>
      <c r="X115" s="749" cm="1">
        <f t="array" aca="1" ref="X115" ca="1">X$98*(GREET1_Import_Export!$F$179*GREET1_Import_Export!$B189+GREET1_Import_Export!$F189)+X$99*(GREET1_Import_Export!$G$179*GREET1_Import_Export!$B189+GREET1_Import_Export!$G189)+X$100*(GREET1_Import_Export!$D$179*GREET1_Import_Export!$B189+GREET1_Import_Export!$D189)+X$101*GREET1_Import_Export!$B225+X$102*GREET1_Import_Export!$B293+X$103*(GREET1_Import_Export!$E$179*GREET1_Import_Export!$B189+GREET1_Import_Export!$E189)+X$104*$C37+MMULT($B181:$S181+0,K$63:K$80+0)</f>
        <v>241.25274194827165</v>
      </c>
      <c r="Y115" s="1547">
        <v>7227.6515500118066</v>
      </c>
      <c r="Z115" s="749" cm="1">
        <f t="array" aca="1" ref="Z115" ca="1">Z$98*(GREET1_Import_Export!$F$179*GREET1_Import_Export!$B189+GREET1_Import_Export!$F189)+Z$99*(GREET1_Import_Export!$G$179*GREET1_Import_Export!$B189+GREET1_Import_Export!$G189)+Z$100*(GREET1_Import_Export!$D$179*GREET1_Import_Export!$B189+GREET1_Import_Export!$D189)+Z$101*GREET1_Import_Export!$B225+Z$102*GREET1_Import_Export!$B293+Z$103*(GREET1_Import_Export!$E$179*GREET1_Import_Export!$B189+GREET1_Import_Export!$E189)+Z$104*$C37+MMULT($B181:$S181+0,L$63:L$80+0)</f>
        <v>125.60985577615438</v>
      </c>
      <c r="AA115" s="1547">
        <v>3170.022609654301</v>
      </c>
      <c r="AB115" s="749">
        <f>AB$98*(GREET1_Import_Export!$K75+GREET1_Import_Export!$F$179*GREET1_Import_Export!$B189+GREET1_Import_Export!$F189)+AB$99*(GREET1_Import_Export!$O75+GREET1_Import_Export!$G$179*GREET1_Import_Export!$B189+GREET1_Import_Export!$G189)+AB$101*(GREET1_Import_Export!$B75+GREET1_Import_Export!$B225)+AB$102*(GREET1_Import_Export!$AA75+GREET1_Import_Export!$B293)+AB$104*(GREET1_Import_Export!$B318+GREET1_Import_Export!$C318)</f>
        <v>37.832893746274117</v>
      </c>
      <c r="AC115" s="817"/>
      <c r="AD115" s="749">
        <f>AD$98*(GREET1_Import_Export!$K75+GREET1_Import_Export!$F$179*GREET1_Import_Export!$B189+GREET1_Import_Export!$F189)+AD$99*(GREET1_Import_Export!$O75+GREET1_Import_Export!$G$179*GREET1_Import_Export!$B189+GREET1_Import_Export!$G189)+AD$101*(GREET1_Import_Export!$B75+GREET1_Import_Export!$B225)+AD$102*(GREET1_Import_Export!$AA75+GREET1_Import_Export!$B293)+AD$104*(GREET1_Import_Export!$B318+GREET1_Import_Export!$C318)</f>
        <v>19.427766584625406</v>
      </c>
      <c r="AE115" s="817"/>
    </row>
    <row r="116" spans="1:77" s="349" customFormat="1">
      <c r="A116" s="794" t="s">
        <v>825</v>
      </c>
      <c r="B116" s="749" cm="1">
        <f t="array" aca="1" ref="B116" ca="1">B$98*(GREET1_Import_Export!$F$179*GREET1_Import_Export!$B190+GREET1_Import_Export!$F190)+B$99*(GREET1_Import_Export!$G$179*GREET1_Import_Export!$B190+GREET1_Import_Export!$G190)+B$100*(GREET1_Import_Export!$D$179*GREET1_Import_Export!$B190+GREET1_Import_Export!$D190)+B$101*GREET1_Import_Export!$B226+B$102*GREET1_Import_Export!$B294+B$103*(GREET1_Import_Export!$E$179*GREET1_Import_Export!$B190+GREET1_Import_Export!$E190)+B$104*$B38+MMULT($B182:$S182+0,B$63:B$80+0)</f>
        <v>251.27656257400656</v>
      </c>
      <c r="C116" s="1544">
        <v>30.942140178829</v>
      </c>
      <c r="D116" s="749" cm="1">
        <f t="array" aca="1" ref="D116" ca="1">D$98*(GREET1_Import_Export!$F$179*GREET1_Import_Export!$B190+GREET1_Import_Export!$F190)+D$99*(GREET1_Import_Export!$G$179*GREET1_Import_Export!$B190+GREET1_Import_Export!$G190)+D$100*(GREET1_Import_Export!$D$179*GREET1_Import_Export!$B190+GREET1_Import_Export!$D190)+D$101*GREET1_Import_Export!$B226+D$102*GREET1_Import_Export!$B294+D$103*(GREET1_Import_Export!$E$179*GREET1_Import_Export!$B190+GREET1_Import_Export!$E190)+D$104*$B38+MMULT($B182:$S182+0,C$63:C$80+0)</f>
        <v>316.56902777134792</v>
      </c>
      <c r="E116" s="1544">
        <v>20.1483703490049</v>
      </c>
      <c r="F116" s="749" cm="1">
        <f t="array" aca="1" ref="F116" ca="1">F$98*(GREET1_Import_Export!$F$179*GREET1_Import_Export!$B190+GREET1_Import_Export!$F190)+F$99*(GREET1_Import_Export!$G$179*GREET1_Import_Export!$B190+GREET1_Import_Export!$G190)+F$100*(GREET1_Import_Export!$D$179*GREET1_Import_Export!$B190+GREET1_Import_Export!$D190)+F$101*GREET1_Import_Export!$B226+F$102*GREET1_Import_Export!$B294+F$103*(GREET1_Import_Export!$E$179*GREET1_Import_Export!$B190+GREET1_Import_Export!$E190)+F$104*$C38+MMULT($B182:$S182+0,D$63:D$80+0)</f>
        <v>283.22099540343174</v>
      </c>
      <c r="G116" s="1544">
        <v>10793.769829824099</v>
      </c>
      <c r="H116" s="749" cm="1">
        <f t="array" aca="1" ref="H116" ca="1">H$98*(GREET1_Import_Export!$F$179*GREET1_Import_Export!$B190+GREET1_Import_Export!$F190)+H$99*(GREET1_Import_Export!$G$179*GREET1_Import_Export!$B190+GREET1_Import_Export!$G190)+H$100*(GREET1_Import_Export!$D$179*GREET1_Import_Export!$B190+GREET1_Import_Export!$D190)+H$101*GREET1_Import_Export!$B226+H$102*GREET1_Import_Export!$B294+H$103*(GREET1_Import_Export!$E$179*GREET1_Import_Export!$B190+GREET1_Import_Export!$E190)+H$104*$C38+MMULT($B182:$S182+0,E$63:E$80+0)</f>
        <v>162.71954758933083</v>
      </c>
      <c r="I116" s="1544">
        <v>1.5111277761753701</v>
      </c>
      <c r="J116" s="749">
        <f>J$98*(GREET1_Import_Export!$K76+GREET1_Import_Export!$F$179*GREET1_Import_Export!$B190+GREET1_Import_Export!$F190)+J$99*(GREET1_Import_Export!$O76+GREET1_Import_Export!$G$179*GREET1_Import_Export!$B190+GREET1_Import_Export!$G190)+J$101*(GREET1_Import_Export!$B76+GREET1_Import_Export!$B226)+J$102*(GREET1_Import_Export!$AA76+GREET1_Import_Export!$B294)+J$104*(GREET1_Import_Export!$B319+GREET1_Import_Export!$C319)</f>
        <v>101.97497623413996</v>
      </c>
      <c r="K116" s="817"/>
      <c r="L116" s="749" cm="1">
        <f t="array" aca="1" ref="L116" ca="1">L$98*(GREET1_Import_Export!$F$179*GREET1_Import_Export!$B190+GREET1_Import_Export!$F190+B$10*GREET1_Import_Export!$K76)+L$99*(GREET1_Import_Export!$G$179*GREET1_Import_Export!$B190+GREET1_Import_Export!$G190+B$14*GREET1_Import_Export!$R76+B$15*GREET1_Import_Export!$E150)+L$100*(GREET1_Import_Export!$D$179*GREET1_Import_Export!$B190+GREET1_Import_Export!$D190)+L$101*(GREET1_Import_Export!$B226+B$11*GREET1_Import_Export!$B76+B$12*GREET1_Import_Export!$G76)+L$102*(GREET1_Import_Export!$B294+B$13*GREET1_Import_Export!$AA76)+L$103*(GREET1_Import_Export!$E$179*GREET1_Import_Export!$B190+GREET1_Import_Export!$E190)+L$104*$C38+MMULT($B182:$S182+0,F$63:F$80+0)</f>
        <v>4512.0041435970234</v>
      </c>
      <c r="M116" s="817"/>
      <c r="N116" s="749">
        <f>N$98*(GREET1_Import_Export!$F$179*GREET1_Import_Export!$B190+GREET1_Import_Export!$F190+C$10*GREET1_Import_Export!$K76)+N$99*(GREET1_Import_Export!$G$179*GREET1_Import_Export!$B190+GREET1_Import_Export!$G190+C$14*GREET1_Import_Export!$R76+C$15*GREET1_Import_Export!$E150)+N$100*(GREET1_Import_Export!$D$179*GREET1_Import_Export!$B190+GREET1_Import_Export!$D190)+N$101*(GREET1_Import_Export!$B226+C$11*GREET1_Import_Export!$B76+C$12*GREET1_Import_Export!$G76)+N$102*(GREET1_Import_Export!$B294+C$13*GREET1_Import_Export!$AA76)+N$103*(GREET1_Import_Export!$E$179*GREET1_Import_Export!$B190+GREET1_Import_Export!$E190)+N$104*$D38</f>
        <v>296.04247210982658</v>
      </c>
      <c r="O116" s="817"/>
      <c r="P116" s="749" cm="1">
        <f t="array" aca="1" ref="P116" ca="1">P$98*(GREET1_Import_Export!$F$179*GREET1_Import_Export!$B190+GREET1_Import_Export!$F190+D$10*GREET1_Import_Export!$K76)+P$99*(GREET1_Import_Export!$G$179*GREET1_Import_Export!$B190+GREET1_Import_Export!$G190+D$14*GREET1_Import_Export!$R76+D$15*GREET1_Import_Export!$E150)+P$100*(GREET1_Import_Export!$D$179*GREET1_Import_Export!$B190+GREET1_Import_Export!$D190)+P$101*(GREET1_Import_Export!$B226+D$11*GREET1_Import_Export!$B76+D$12*GREET1_Import_Export!$G76)+P$102*(GREET1_Import_Export!$B294+D$13*GREET1_Import_Export!$AA76)+P$103*(GREET1_Import_Export!$E$179*GREET1_Import_Export!$B190+GREET1_Import_Export!$E190)+P$104*$D38+MMULT($B182:$S182+0,G$63:G$80+0)</f>
        <v>891.86586499749478</v>
      </c>
      <c r="Q116" s="817"/>
      <c r="R116" s="749" cm="1">
        <f t="array" aca="1" ref="R116" ca="1">R$98*(GREET1_Import_Export!$F$179*GREET1_Import_Export!$B190+GREET1_Import_Export!$F190+E$10*GREET1_Import_Export!$K76)+R$99*(GREET1_Import_Export!$G$179*GREET1_Import_Export!$B190+GREET1_Import_Export!$G190+E$14*GREET1_Import_Export!$R76+E$15*GREET1_Import_Export!$E150)+R$100*(GREET1_Import_Export!$D$179*GREET1_Import_Export!$B190+GREET1_Import_Export!$D190)+R$101*(GREET1_Import_Export!$B226+E$11*GREET1_Import_Export!$B76+E$12*GREET1_Import_Export!$G76)+R$102*(GREET1_Import_Export!$B294+E$13*GREET1_Import_Export!$AA76)+R$103*(GREET1_Import_Export!$E$179*GREET1_Import_Export!$B190+GREET1_Import_Export!$E190)+R$104*$E38+MMULT($B182:$S182+0,H$63:H$80+0)</f>
        <v>79.363149786650951</v>
      </c>
      <c r="S116" s="817"/>
      <c r="T116" s="749" cm="1">
        <f t="array" aca="1" ref="T116" ca="1">T$98*(GREET1_Import_Export!$F$179*GREET1_Import_Export!$B190+GREET1_Import_Export!$F190)+T$99*(GREET1_Import_Export!$G$179*GREET1_Import_Export!$B190+GREET1_Import_Export!$G190)+T$100*(GREET1_Import_Export!$D$179*GREET1_Import_Export!$B190+GREET1_Import_Export!$D190)+T$101*GREET1_Import_Export!$B226+T$102*GREET1_Import_Export!$B294+T$103*(GREET1_Import_Export!$E$179*GREET1_Import_Export!$B190+GREET1_Import_Export!$E190)+T$104*$B38+MMULT($B182:$S182+0,I$63:I$80+0)</f>
        <v>84.388326382802887</v>
      </c>
      <c r="U116" s="1544">
        <v>0.57060406973777411</v>
      </c>
      <c r="V116" s="749" cm="1">
        <f t="array" aca="1" ref="V116" ca="1">V$98*(GREET1_Import_Export!$F$179*GREET1_Import_Export!$B190+GREET1_Import_Export!$F190)+V$99*(GREET1_Import_Export!$G$179*GREET1_Import_Export!$B190+GREET1_Import_Export!$G190)+V$100*(GREET1_Import_Export!$D$179*GREET1_Import_Export!$B190+GREET1_Import_Export!$D190)+V$101*GREET1_Import_Export!$B226+V$102*GREET1_Import_Export!$B294+V$103*(GREET1_Import_Export!$E$179*GREET1_Import_Export!$B190+GREET1_Import_Export!$E190)+V$104*$B38+MMULT($B182:$S182+0,J$63:J$80+0)</f>
        <v>126.38060211641411</v>
      </c>
      <c r="W116" s="1544">
        <v>0</v>
      </c>
      <c r="X116" s="749" cm="1">
        <f t="array" aca="1" ref="X116" ca="1">X$98*(GREET1_Import_Export!$F$179*GREET1_Import_Export!$B190+GREET1_Import_Export!$F190)+X$99*(GREET1_Import_Export!$G$179*GREET1_Import_Export!$B190+GREET1_Import_Export!$G190)+X$100*(GREET1_Import_Export!$D$179*GREET1_Import_Export!$B190+GREET1_Import_Export!$D190)+X$101*GREET1_Import_Export!$B226+X$102*GREET1_Import_Export!$B294+X$103*(GREET1_Import_Export!$E$179*GREET1_Import_Export!$B190+GREET1_Import_Export!$E190)+X$104*$C38+MMULT($B182:$S182+0,K$63:K$80+0)</f>
        <v>124.96306413937333</v>
      </c>
      <c r="Y116" s="1547">
        <v>0</v>
      </c>
      <c r="Z116" s="749" cm="1">
        <f t="array" aca="1" ref="Z116" ca="1">Z$98*(GREET1_Import_Export!$F$179*GREET1_Import_Export!$B190+GREET1_Import_Export!$F190)+Z$99*(GREET1_Import_Export!$G$179*GREET1_Import_Export!$B190+GREET1_Import_Export!$G190)+Z$100*(GREET1_Import_Export!$D$179*GREET1_Import_Export!$B190+GREET1_Import_Export!$D190)+Z$101*GREET1_Import_Export!$B226+Z$102*GREET1_Import_Export!$B294+Z$103*(GREET1_Import_Export!$E$179*GREET1_Import_Export!$B190+GREET1_Import_Export!$E190)+Z$104*$C38+MMULT($B182:$S182+0,L$63:L$80+0)</f>
        <v>70.72192332603403</v>
      </c>
      <c r="AA116" s="1547">
        <v>0</v>
      </c>
      <c r="AB116" s="749">
        <f>AB$98*(GREET1_Import_Export!$K76+GREET1_Import_Export!$F$179*GREET1_Import_Export!$B190+GREET1_Import_Export!$F190)+AB$99*(GREET1_Import_Export!$O76+GREET1_Import_Export!$G$179*GREET1_Import_Export!$B190+GREET1_Import_Export!$G190)+AB$101*(GREET1_Import_Export!$B76+GREET1_Import_Export!$B226)+AB$102*(GREET1_Import_Export!$AA76+GREET1_Import_Export!$B294)+AB$104*(GREET1_Import_Export!$B319+GREET1_Import_Export!$C319)</f>
        <v>26.866682224508061</v>
      </c>
      <c r="AC116" s="817"/>
      <c r="AD116" s="749">
        <f>AD$98*(GREET1_Import_Export!$K76+GREET1_Import_Export!$F$179*GREET1_Import_Export!$B190+GREET1_Import_Export!$F190)+AD$99*(GREET1_Import_Export!$O76+GREET1_Import_Export!$G$179*GREET1_Import_Export!$B190+GREET1_Import_Export!$G190)+AD$101*(GREET1_Import_Export!$B76+GREET1_Import_Export!$B226)+AD$102*(GREET1_Import_Export!$AA76+GREET1_Import_Export!$B294)+AD$104*(GREET1_Import_Export!$B319+GREET1_Import_Export!$C319)</f>
        <v>15.726338448400764</v>
      </c>
      <c r="AE116" s="817"/>
    </row>
    <row r="117" spans="1:77" s="419" customFormat="1">
      <c r="A117" s="794" t="s">
        <v>826</v>
      </c>
      <c r="B117" s="749" cm="1">
        <f t="array" aca="1" ref="B117" ca="1">B$98*(GREET1_Import_Export!$F$179*GREET1_Import_Export!$B191+GREET1_Import_Export!$F191)+B$99*(GREET1_Import_Export!$G$179*GREET1_Import_Export!$B191+GREET1_Import_Export!$G191)+B$100*(GREET1_Import_Export!$D$179*GREET1_Import_Export!$B191+GREET1_Import_Export!$D191)+B$101*GREET1_Import_Export!$B227+B$102*GREET1_Import_Export!$B295+B$103*(GREET1_Import_Export!$E$179*GREET1_Import_Export!$B191+GREET1_Import_Export!$E191)+B$104*$B39+MMULT($B183:$S183+0,B$63:B$80+0)</f>
        <v>1971.6652601364253</v>
      </c>
      <c r="C117" s="1544">
        <v>388.57571387366602</v>
      </c>
      <c r="D117" s="749" cm="1">
        <f t="array" aca="1" ref="D117" ca="1">D$98*(GREET1_Import_Export!$F$179*GREET1_Import_Export!$B191+GREET1_Import_Export!$F191)+D$99*(GREET1_Import_Export!$G$179*GREET1_Import_Export!$B191+GREET1_Import_Export!$G191)+D$100*(GREET1_Import_Export!$D$179*GREET1_Import_Export!$B191+GREET1_Import_Export!$D191)+D$101*GREET1_Import_Export!$B227+D$102*GREET1_Import_Export!$B295+D$103*(GREET1_Import_Export!$E$179*GREET1_Import_Export!$B191+GREET1_Import_Export!$E191)+D$104*$B39+MMULT($B183:$S183+0,C$63:C$80+0)</f>
        <v>3699.2771927078506</v>
      </c>
      <c r="E117" s="1544">
        <v>410.16325353331399</v>
      </c>
      <c r="F117" s="749" cm="1">
        <f t="array" aca="1" ref="F117" ca="1">F$98*(GREET1_Import_Export!$F$179*GREET1_Import_Export!$B191+GREET1_Import_Export!$F191)+F$99*(GREET1_Import_Export!$G$179*GREET1_Import_Export!$B191+GREET1_Import_Export!$G191)+F$100*(GREET1_Import_Export!$D$179*GREET1_Import_Export!$B191+GREET1_Import_Export!$D191)+F$101*GREET1_Import_Export!$B227+F$102*GREET1_Import_Export!$B295+F$103*(GREET1_Import_Export!$E$179*GREET1_Import_Export!$B191+GREET1_Import_Export!$E191)+F$104*$C39+MMULT($B183:$S183+0,D$63:D$80+0)</f>
        <v>38004.54988071345</v>
      </c>
      <c r="G117" s="1544">
        <v>2518546.2936256099</v>
      </c>
      <c r="H117" s="749" cm="1">
        <f t="array" aca="1" ref="H117" ca="1">H$98*(GREET1_Import_Export!$F$179*GREET1_Import_Export!$B191+GREET1_Import_Export!$F191)+H$99*(GREET1_Import_Export!$G$179*GREET1_Import_Export!$B191+GREET1_Import_Export!$G191)+H$100*(GREET1_Import_Export!$D$179*GREET1_Import_Export!$B191+GREET1_Import_Export!$D191)+H$101*GREET1_Import_Export!$B227+H$102*GREET1_Import_Export!$B295+H$103*(GREET1_Import_Export!$E$179*GREET1_Import_Export!$B191+GREET1_Import_Export!$E191)+H$104*$C39+MMULT($B183:$S183+0,E$63:E$80+0)</f>
        <v>1801.3906529140822</v>
      </c>
      <c r="I117" s="1544">
        <v>65482.203634265898</v>
      </c>
      <c r="J117" s="749">
        <f>J$98*(GREET1_Import_Export!$K77+GREET1_Import_Export!$F$179*GREET1_Import_Export!$B191+GREET1_Import_Export!$F191)+J$99*(GREET1_Import_Export!$O77+GREET1_Import_Export!$G$179*GREET1_Import_Export!$B191+GREET1_Import_Export!$G191)+J$101*(GREET1_Import_Export!$B77+GREET1_Import_Export!$B227)+J$102*(GREET1_Import_Export!$AA77+GREET1_Import_Export!$B295)+J$104*(GREET1_Import_Export!$B320+GREET1_Import_Export!$C320)</f>
        <v>669.78220803418901</v>
      </c>
      <c r="K117" s="817"/>
      <c r="L117" s="749" cm="1">
        <f t="array" aca="1" ref="L117" ca="1">L$98*(GREET1_Import_Export!$F$179*GREET1_Import_Export!$B191+GREET1_Import_Export!$F191+B$10*GREET1_Import_Export!$K77)+L$99*(GREET1_Import_Export!$G$179*GREET1_Import_Export!$B191+GREET1_Import_Export!$G191+B$14*GREET1_Import_Export!$R77+B$15*GREET1_Import_Export!$E151)+L$100*(GREET1_Import_Export!$D$179*GREET1_Import_Export!$B191+GREET1_Import_Export!$D191)+L$101*(GREET1_Import_Export!$B227+B$11*GREET1_Import_Export!$B77+B$12*GREET1_Import_Export!$G77)+L$102*(GREET1_Import_Export!$B295+B$13*GREET1_Import_Export!$AA77)+L$103*(GREET1_Import_Export!$E$179*GREET1_Import_Export!$B191+GREET1_Import_Export!$E191)+L$104*$C39+MMULT($B183:$S183+0,F$63:F$80+0)</f>
        <v>998862.02958205168</v>
      </c>
      <c r="M117" s="817"/>
      <c r="N117" s="749">
        <f>N$98*(GREET1_Import_Export!$F$179*GREET1_Import_Export!$B191+GREET1_Import_Export!$F191+C$10*GREET1_Import_Export!$K77)+N$99*(GREET1_Import_Export!$G$179*GREET1_Import_Export!$B191+GREET1_Import_Export!$G191+C$14*GREET1_Import_Export!$R77+C$15*GREET1_Import_Export!$E151)+N$100*(GREET1_Import_Export!$D$179*GREET1_Import_Export!$B191+GREET1_Import_Export!$D191)+N$101*(GREET1_Import_Export!$B227+C$11*GREET1_Import_Export!$B77+C$12*GREET1_Import_Export!$G77)+N$102*(GREET1_Import_Export!$B295+C$13*GREET1_Import_Export!$AA77)+N$103*(GREET1_Import_Export!$E$179*GREET1_Import_Export!$B191+GREET1_Import_Export!$E191)+N$104*$D39</f>
        <v>3895.097695728271</v>
      </c>
      <c r="O117" s="817"/>
      <c r="P117" s="749" cm="1">
        <f t="array" aca="1" ref="P117" ca="1">P$98*(GREET1_Import_Export!$F$179*GREET1_Import_Export!$B191+GREET1_Import_Export!$F191+D$10*GREET1_Import_Export!$K77)+P$99*(GREET1_Import_Export!$G$179*GREET1_Import_Export!$B191+GREET1_Import_Export!$G191+D$14*GREET1_Import_Export!$R77+D$15*GREET1_Import_Export!$E151)+P$100*(GREET1_Import_Export!$D$179*GREET1_Import_Export!$B191+GREET1_Import_Export!$D191)+P$101*(GREET1_Import_Export!$B227+D$11*GREET1_Import_Export!$B77+D$12*GREET1_Import_Export!$G77)+P$102*(GREET1_Import_Export!$B295+D$13*GREET1_Import_Export!$AA77)+P$103*(GREET1_Import_Export!$E$179*GREET1_Import_Export!$B191+GREET1_Import_Export!$E191)+P$104*$D39+MMULT($B183:$S183+0,G$63:G$80+0)</f>
        <v>144356.12852866435</v>
      </c>
      <c r="Q117" s="817"/>
      <c r="R117" s="749" cm="1">
        <f t="array" aca="1" ref="R117" ca="1">R$98*(GREET1_Import_Export!$F$179*GREET1_Import_Export!$B191+GREET1_Import_Export!$F191+E$10*GREET1_Import_Export!$K77)+R$99*(GREET1_Import_Export!$G$179*GREET1_Import_Export!$B191+GREET1_Import_Export!$G191+E$14*GREET1_Import_Export!$R77+E$15*GREET1_Import_Export!$E151)+R$100*(GREET1_Import_Export!$D$179*GREET1_Import_Export!$B191+GREET1_Import_Export!$D191)+R$101*(GREET1_Import_Export!$B227+E$11*GREET1_Import_Export!$B77+E$12*GREET1_Import_Export!$G77)+R$102*(GREET1_Import_Export!$B295+E$13*GREET1_Import_Export!$AA77)+R$103*(GREET1_Import_Export!$E$179*GREET1_Import_Export!$B191+GREET1_Import_Export!$E191)+R$104*$E39+MMULT($B183:$S183+0,H$63:H$80+0)</f>
        <v>2097.1939570863524</v>
      </c>
      <c r="S117" s="817"/>
      <c r="T117" s="749" cm="1">
        <f t="array" aca="1" ref="T117" ca="1">T$98*(GREET1_Import_Export!$F$179*GREET1_Import_Export!$B191+GREET1_Import_Export!$F191)+T$99*(GREET1_Import_Export!$G$179*GREET1_Import_Export!$B191+GREET1_Import_Export!$G191)+T$100*(GREET1_Import_Export!$D$179*GREET1_Import_Export!$B191+GREET1_Import_Export!$D191)+T$101*GREET1_Import_Export!$B227+T$102*GREET1_Import_Export!$B295+T$103*(GREET1_Import_Export!$E$179*GREET1_Import_Export!$B191+GREET1_Import_Export!$E191)+T$104*$B39+MMULT($B183:$S183+0,I$63:I$80+0)</f>
        <v>592.53537579932549</v>
      </c>
      <c r="U117" s="1544">
        <v>21.556153745649247</v>
      </c>
      <c r="V117" s="749" cm="1">
        <f t="array" aca="1" ref="V117" ca="1">V$98*(GREET1_Import_Export!$F$179*GREET1_Import_Export!$B191+GREET1_Import_Export!$F191)+V$99*(GREET1_Import_Export!$G$179*GREET1_Import_Export!$B191+GREET1_Import_Export!$G191)+V$100*(GREET1_Import_Export!$D$179*GREET1_Import_Export!$B191+GREET1_Import_Export!$D191)+V$101*GREET1_Import_Export!$B227+V$102*GREET1_Import_Export!$B295+V$103*(GREET1_Import_Export!$E$179*GREET1_Import_Export!$B191+GREET1_Import_Export!$E191)+V$104*$B39+MMULT($B183:$S183+0,J$63:J$80+0)</f>
        <v>1477.5857284008869</v>
      </c>
      <c r="W117" s="1544">
        <v>11.158479585983139</v>
      </c>
      <c r="X117" s="749" cm="1">
        <f t="array" aca="1" ref="X117" ca="1">X$98*(GREET1_Import_Export!$F$179*GREET1_Import_Export!$B191+GREET1_Import_Export!$F191)+X$99*(GREET1_Import_Export!$G$179*GREET1_Import_Export!$B191+GREET1_Import_Export!$G191)+X$100*(GREET1_Import_Export!$D$179*GREET1_Import_Export!$B191+GREET1_Import_Export!$D191)+X$101*GREET1_Import_Export!$B227+X$102*GREET1_Import_Export!$B295+X$103*(GREET1_Import_Export!$E$179*GREET1_Import_Export!$B191+GREET1_Import_Export!$E191)+X$104*$C39+MMULT($B183:$S183+0,K$63:K$80+0)</f>
        <v>1997.4289857583576</v>
      </c>
      <c r="Y117" s="1547">
        <v>1394809.9482478925</v>
      </c>
      <c r="Z117" s="749" cm="1">
        <f t="array" aca="1" ref="Z117" ca="1">Z$98*(GREET1_Import_Export!$F$179*GREET1_Import_Export!$B191+GREET1_Import_Export!$F191)+Z$99*(GREET1_Import_Export!$G$179*GREET1_Import_Export!$B191+GREET1_Import_Export!$G191)+Z$100*(GREET1_Import_Export!$D$179*GREET1_Import_Export!$B191+GREET1_Import_Export!$D191)+Z$101*GREET1_Import_Export!$B227+Z$102*GREET1_Import_Export!$B295+Z$103*(GREET1_Import_Export!$E$179*GREET1_Import_Export!$B191+GREET1_Import_Export!$E191)+Z$104*$C39+MMULT($B183:$S183+0,L$63:L$80+0)</f>
        <v>786.41099467985987</v>
      </c>
      <c r="AA117" s="1547">
        <v>34236.244184266448</v>
      </c>
      <c r="AB117" s="749">
        <f>AB$98*(GREET1_Import_Export!$K77+GREET1_Import_Export!$F$179*GREET1_Import_Export!$B191+GREET1_Import_Export!$F191)+AB$99*(GREET1_Import_Export!$O77+GREET1_Import_Export!$G$179*GREET1_Import_Export!$B191+GREET1_Import_Export!$G191)+AB$101*(GREET1_Import_Export!$B77+GREET1_Import_Export!$B227)+AB$102*(GREET1_Import_Export!$AA77+GREET1_Import_Export!$B295)+AB$104*(GREET1_Import_Export!$B320+GREET1_Import_Export!$C320)</f>
        <v>173.34186225230252</v>
      </c>
      <c r="AC117" s="817"/>
      <c r="AD117" s="749">
        <f>AD$98*(GREET1_Import_Export!$K77+GREET1_Import_Export!$F$179*GREET1_Import_Export!$B191+GREET1_Import_Export!$F191)+AD$99*(GREET1_Import_Export!$O77+GREET1_Import_Export!$G$179*GREET1_Import_Export!$B191+GREET1_Import_Export!$G191)+AD$101*(GREET1_Import_Export!$B77+GREET1_Import_Export!$B227)+AD$102*(GREET1_Import_Export!$AA77+GREET1_Import_Export!$B295)+AD$104*(GREET1_Import_Export!$B320+GREET1_Import_Export!$C320)</f>
        <v>103.29222010386147</v>
      </c>
      <c r="AE117" s="817"/>
      <c r="AG117" s="349"/>
      <c r="AH117" s="349"/>
      <c r="BY117" s="349"/>
    </row>
    <row r="118" spans="1:77" s="419" customFormat="1">
      <c r="A118" s="794" t="s">
        <v>827</v>
      </c>
      <c r="B118" s="749" cm="1">
        <f t="array" aca="1" ref="B118" ca="1">B$98*(GREET1_Import_Export!$F$179*GREET1_Import_Export!$B192+GREET1_Import_Export!$F192)+B$99*(GREET1_Import_Export!$G$179*GREET1_Import_Export!$B192+GREET1_Import_Export!$G192)+B$100*(GREET1_Import_Export!$D$179*GREET1_Import_Export!$B192+GREET1_Import_Export!$D192)+B$101*GREET1_Import_Export!$B228+B$102*GREET1_Import_Export!$B296+B$103*(GREET1_Import_Export!$E$179*GREET1_Import_Export!$B192+GREET1_Import_Export!$E192)+B$104*$B40+MMULT($B184:$S184+0,B$63:B$80+0)</f>
        <v>13.69032650496481</v>
      </c>
      <c r="C118" s="1544">
        <v>3.10444089251942</v>
      </c>
      <c r="D118" s="749" cm="1">
        <f t="array" aca="1" ref="D118" ca="1">D$98*(GREET1_Import_Export!$F$179*GREET1_Import_Export!$B192+GREET1_Import_Export!$F192)+D$99*(GREET1_Import_Export!$G$179*GREET1_Import_Export!$B192+GREET1_Import_Export!$G192)+D$100*(GREET1_Import_Export!$D$179*GREET1_Import_Export!$B192+GREET1_Import_Export!$D192)+D$101*GREET1_Import_Export!$B228+D$102*GREET1_Import_Export!$B296+D$103*(GREET1_Import_Export!$E$179*GREET1_Import_Export!$B192+GREET1_Import_Export!$E192)+D$104*$B40+MMULT($B184:$S184+0,C$63:C$80+0)</f>
        <v>19.584236351828501</v>
      </c>
      <c r="E118" s="1544">
        <v>3.6250685419612201</v>
      </c>
      <c r="F118" s="749" cm="1">
        <f t="array" aca="1" ref="F118" ca="1">F$98*(GREET1_Import_Export!$F$179*GREET1_Import_Export!$B192+GREET1_Import_Export!$F192)+F$99*(GREET1_Import_Export!$G$179*GREET1_Import_Export!$B192+GREET1_Import_Export!$G192)+F$100*(GREET1_Import_Export!$D$179*GREET1_Import_Export!$B192+GREET1_Import_Export!$D192)+F$101*GREET1_Import_Export!$B228+F$102*GREET1_Import_Export!$B296+F$103*(GREET1_Import_Export!$E$179*GREET1_Import_Export!$B192+GREET1_Import_Export!$E192)+F$104*$C40+MMULT($B184:$S184+0,D$63:D$80+0)</f>
        <v>17.89646330515054</v>
      </c>
      <c r="G118" s="1544">
        <v>20.855060856343101</v>
      </c>
      <c r="H118" s="749" cm="1">
        <f t="array" aca="1" ref="H118" ca="1">H$98*(GREET1_Import_Export!$F$179*GREET1_Import_Export!$B192+GREET1_Import_Export!$F192)+H$99*(GREET1_Import_Export!$G$179*GREET1_Import_Export!$B192+GREET1_Import_Export!$G192)+H$100*(GREET1_Import_Export!$D$179*GREET1_Import_Export!$B192+GREET1_Import_Export!$D192)+H$101*GREET1_Import_Export!$B228+H$102*GREET1_Import_Export!$B296+H$103*(GREET1_Import_Export!$E$179*GREET1_Import_Export!$B192+GREET1_Import_Export!$E192)+H$104*$C40+MMULT($B184:$S184+0,E$63:E$80+0)</f>
        <v>12.187767106855041</v>
      </c>
      <c r="I118" s="1544">
        <v>6.3061720407248103</v>
      </c>
      <c r="J118" s="749">
        <f>J$98*(GREET1_Import_Export!$K78+GREET1_Import_Export!$F$179*GREET1_Import_Export!$B192+GREET1_Import_Export!$F192)+J$99*(GREET1_Import_Export!$O78+GREET1_Import_Export!$G$179*GREET1_Import_Export!$B192+GREET1_Import_Export!$G192)+J$101*(GREET1_Import_Export!$B78+GREET1_Import_Export!$B228)+J$102*(GREET1_Import_Export!$AA78+GREET1_Import_Export!$B296)+J$104*(GREET1_Import_Export!$B321+GREET1_Import_Export!$C321)</f>
        <v>40.293269674285355</v>
      </c>
      <c r="K118" s="817"/>
      <c r="L118" s="749" cm="1">
        <f t="array" aca="1" ref="L118" ca="1">L$98*(GREET1_Import_Export!$F$179*GREET1_Import_Export!$B192+GREET1_Import_Export!$F192+B$10*GREET1_Import_Export!$K78)+L$99*(GREET1_Import_Export!$G$179*GREET1_Import_Export!$B192+GREET1_Import_Export!$G192+B$14*GREET1_Import_Export!$R78+B$15*GREET1_Import_Export!$E152)+L$100*(GREET1_Import_Export!$D$179*GREET1_Import_Export!$B192+GREET1_Import_Export!$D192)+L$101*(GREET1_Import_Export!$B228+B$11*GREET1_Import_Export!$B78+B$12*GREET1_Import_Export!$G78)+L$102*(GREET1_Import_Export!$B296+B$13*GREET1_Import_Export!$AA78)+L$103*(GREET1_Import_Export!$E$179*GREET1_Import_Export!$B192+GREET1_Import_Export!$E192)+L$104*$C40+MMULT($B184:$S184+0,F$63:F$80+0)</f>
        <v>38.923004562295347</v>
      </c>
      <c r="M118" s="817"/>
      <c r="N118" s="749">
        <f>N$98*(GREET1_Import_Export!$F$179*GREET1_Import_Export!$B192+GREET1_Import_Export!$F192+C$10*GREET1_Import_Export!$K78)+N$99*(GREET1_Import_Export!$G$179*GREET1_Import_Export!$B192+GREET1_Import_Export!$G192+C$14*GREET1_Import_Export!$R78+C$15*GREET1_Import_Export!$E152)+N$100*(GREET1_Import_Export!$D$179*GREET1_Import_Export!$B192+GREET1_Import_Export!$D192)+N$101*(GREET1_Import_Export!$B228+C$11*GREET1_Import_Export!$B78+C$12*GREET1_Import_Export!$G78)+N$102*(GREET1_Import_Export!$B296+C$13*GREET1_Import_Export!$AA78)+N$103*(GREET1_Import_Export!$E$179*GREET1_Import_Export!$B192+GREET1_Import_Export!$E192)+N$104*$D40</f>
        <v>27.210393255860001</v>
      </c>
      <c r="O118" s="817"/>
      <c r="P118" s="749" cm="1">
        <f t="array" aca="1" ref="P118" ca="1">P$98*(GREET1_Import_Export!$F$179*GREET1_Import_Export!$B192+GREET1_Import_Export!$F192+D$10*GREET1_Import_Export!$K78)+P$99*(GREET1_Import_Export!$G$179*GREET1_Import_Export!$B192+GREET1_Import_Export!$G192+D$14*GREET1_Import_Export!$R78+D$15*GREET1_Import_Export!$E152)+P$100*(GREET1_Import_Export!$D$179*GREET1_Import_Export!$B192+GREET1_Import_Export!$D192)+P$101*(GREET1_Import_Export!$B228+D$11*GREET1_Import_Export!$B78+D$12*GREET1_Import_Export!$G78)+P$102*(GREET1_Import_Export!$B296+D$13*GREET1_Import_Export!$AA78)+P$103*(GREET1_Import_Export!$E$179*GREET1_Import_Export!$B192+GREET1_Import_Export!$E192)+P$104*$D40+MMULT($B184:$S184+0,G$63:G$80+0)</f>
        <v>71.505552516978213</v>
      </c>
      <c r="Q118" s="817"/>
      <c r="R118" s="749" cm="1">
        <f t="array" aca="1" ref="R118" ca="1">R$98*(GREET1_Import_Export!$F$179*GREET1_Import_Export!$B192+GREET1_Import_Export!$F192+E$10*GREET1_Import_Export!$K78)+R$99*(GREET1_Import_Export!$G$179*GREET1_Import_Export!$B192+GREET1_Import_Export!$G192+E$14*GREET1_Import_Export!$R78+E$15*GREET1_Import_Export!$E152)+R$100*(GREET1_Import_Export!$D$179*GREET1_Import_Export!$B192+GREET1_Import_Export!$D192)+R$101*(GREET1_Import_Export!$B228+E$11*GREET1_Import_Export!$B78+E$12*GREET1_Import_Export!$G78)+R$102*(GREET1_Import_Export!$B296+E$13*GREET1_Import_Export!$AA78)+R$103*(GREET1_Import_Export!$E$179*GREET1_Import_Export!$B192+GREET1_Import_Export!$E192)+R$104*$E40+MMULT($B184:$S184+0,H$63:H$80+0)</f>
        <v>7.2225525851374188</v>
      </c>
      <c r="S118" s="817"/>
      <c r="T118" s="749" cm="1">
        <f t="array" aca="1" ref="T118" ca="1">T$98*(GREET1_Import_Export!$F$179*GREET1_Import_Export!$B192+GREET1_Import_Export!$F192)+T$99*(GREET1_Import_Export!$G$179*GREET1_Import_Export!$B192+GREET1_Import_Export!$G192)+T$100*(GREET1_Import_Export!$D$179*GREET1_Import_Export!$B192+GREET1_Import_Export!$D192)+T$101*GREET1_Import_Export!$B228+T$102*GREET1_Import_Export!$B296+T$103*(GREET1_Import_Export!$E$179*GREET1_Import_Export!$B192+GREET1_Import_Export!$E192)+T$104*$B40+MMULT($B184:$S184+0,I$63:I$80+0)</f>
        <v>4.1804875353547946</v>
      </c>
      <c r="U118" s="1544">
        <v>0.1491796947140108</v>
      </c>
      <c r="V118" s="749" cm="1">
        <f t="array" aca="1" ref="V118" ca="1">V$98*(GREET1_Import_Export!$F$179*GREET1_Import_Export!$B192+GREET1_Import_Export!$F192)+V$99*(GREET1_Import_Export!$G$179*GREET1_Import_Export!$B192+GREET1_Import_Export!$G192)+V$100*(GREET1_Import_Export!$D$179*GREET1_Import_Export!$B192+GREET1_Import_Export!$D192)+V$101*GREET1_Import_Export!$B228+V$102*GREET1_Import_Export!$B296+V$103*(GREET1_Import_Export!$E$179*GREET1_Import_Export!$B192+GREET1_Import_Export!$E192)+V$104*$B40+MMULT($B184:$S184+0,J$63:J$80+0)</f>
        <v>7.7646300554616392</v>
      </c>
      <c r="W118" s="1544">
        <v>1.322691515890051</v>
      </c>
      <c r="X118" s="749" cm="1">
        <f t="array" aca="1" ref="X118" ca="1">X$98*(GREET1_Import_Export!$F$179*GREET1_Import_Export!$B192+GREET1_Import_Export!$F192)+X$99*(GREET1_Import_Export!$G$179*GREET1_Import_Export!$B192+GREET1_Import_Export!$G192)+X$100*(GREET1_Import_Export!$D$179*GREET1_Import_Export!$B192+GREET1_Import_Export!$D192)+X$101*GREET1_Import_Export!$B228+X$102*GREET1_Import_Export!$B296+X$103*(GREET1_Import_Export!$E$179*GREET1_Import_Export!$B192+GREET1_Import_Export!$E192)+X$104*$C40+MMULT($B184:$S184+0,K$63:K$80+0)</f>
        <v>5.1562935930648983</v>
      </c>
      <c r="Y118" s="1547">
        <v>8.0782794823082735</v>
      </c>
      <c r="Z118" s="749" cm="1">
        <f t="array" aca="1" ref="Z118" ca="1">Z$98*(GREET1_Import_Export!$F$179*GREET1_Import_Export!$B192+GREET1_Import_Export!$F192)+Z$99*(GREET1_Import_Export!$G$179*GREET1_Import_Export!$B192+GREET1_Import_Export!$G192)+Z$100*(GREET1_Import_Export!$D$179*GREET1_Import_Export!$B192+GREET1_Import_Export!$D192)+Z$101*GREET1_Import_Export!$B228+Z$102*GREET1_Import_Export!$B296+Z$103*(GREET1_Import_Export!$E$179*GREET1_Import_Export!$B192+GREET1_Import_Export!$E192)+Z$104*$C40+MMULT($B184:$S184+0,L$63:L$80+0)</f>
        <v>5.2874019442312612</v>
      </c>
      <c r="AA118" s="1547">
        <v>2.9028145283577858</v>
      </c>
      <c r="AB118" s="749">
        <f>AB$98*(GREET1_Import_Export!$K78+GREET1_Import_Export!$F$179*GREET1_Import_Export!$B192+GREET1_Import_Export!$F192)+AB$99*(GREET1_Import_Export!$O78+GREET1_Import_Export!$G$179*GREET1_Import_Export!$B192+GREET1_Import_Export!$G192)+AB$101*(GREET1_Import_Export!$B78+GREET1_Import_Export!$B228)+AB$102*(GREET1_Import_Export!$AA78+GREET1_Import_Export!$B296)+AB$104*(GREET1_Import_Export!$B321+GREET1_Import_Export!$C321)</f>
        <v>2.8380826757778772</v>
      </c>
      <c r="AC118" s="817"/>
      <c r="AD118" s="749">
        <f>AD$98*(GREET1_Import_Export!$K78+GREET1_Import_Export!$F$179*GREET1_Import_Export!$B192+GREET1_Import_Export!$F192)+AD$99*(GREET1_Import_Export!$O78+GREET1_Import_Export!$G$179*GREET1_Import_Export!$B192+GREET1_Import_Export!$G192)+AD$101*(GREET1_Import_Export!$B78+GREET1_Import_Export!$B228)+AD$102*(GREET1_Import_Export!$AA78+GREET1_Import_Export!$B296)+AD$104*(GREET1_Import_Export!$B321+GREET1_Import_Export!$C321)</f>
        <v>6.2139322752629473</v>
      </c>
      <c r="AE118" s="817"/>
    </row>
    <row r="119" spans="1:77" s="419" customFormat="1">
      <c r="A119" s="794" t="s">
        <v>828</v>
      </c>
      <c r="B119" s="749" cm="1">
        <f t="array" aca="1" ref="B119" ca="1">B$98*(GREET1_Import_Export!$F$179*GREET1_Import_Export!$B193+GREET1_Import_Export!$F193)+B$99*(GREET1_Import_Export!$G$179*GREET1_Import_Export!$B193+GREET1_Import_Export!$G193)+B$100*(GREET1_Import_Export!$D$179*GREET1_Import_Export!$B193+GREET1_Import_Export!$D193)+B$101*GREET1_Import_Export!$B229+B$102*GREET1_Import_Export!$B297+B$103*(GREET1_Import_Export!$E$179*GREET1_Import_Export!$B193+GREET1_Import_Export!$E193)+B$104*$B41+MMULT($B185:$S185+0,B$63:B$80+0)</f>
        <v>32.70979259355272</v>
      </c>
      <c r="C119" s="1544">
        <v>7.8187827937837504</v>
      </c>
      <c r="D119" s="749" cm="1">
        <f t="array" aca="1" ref="D119" ca="1">D$98*(GREET1_Import_Export!$F$179*GREET1_Import_Export!$B193+GREET1_Import_Export!$F193)+D$99*(GREET1_Import_Export!$G$179*GREET1_Import_Export!$B193+GREET1_Import_Export!$G193)+D$100*(GREET1_Import_Export!$D$179*GREET1_Import_Export!$B193+GREET1_Import_Export!$D193)+D$101*GREET1_Import_Export!$B229+D$102*GREET1_Import_Export!$B297+D$103*(GREET1_Import_Export!$E$179*GREET1_Import_Export!$B193+GREET1_Import_Export!$E193)+D$104*$B41+MMULT($B185:$S185+0,C$63:C$80+0)</f>
        <v>46.460105949087648</v>
      </c>
      <c r="E119" s="1544">
        <v>8.4864420868950905</v>
      </c>
      <c r="F119" s="749" cm="1">
        <f t="array" aca="1" ref="F119" ca="1">F$98*(GREET1_Import_Export!$F$179*GREET1_Import_Export!$B193+GREET1_Import_Export!$F193)+F$99*(GREET1_Import_Export!$G$179*GREET1_Import_Export!$B193+GREET1_Import_Export!$G193)+F$100*(GREET1_Import_Export!$D$179*GREET1_Import_Export!$B193+GREET1_Import_Export!$D193)+F$101*GREET1_Import_Export!$B229+F$102*GREET1_Import_Export!$B297+F$103*(GREET1_Import_Export!$E$179*GREET1_Import_Export!$B193+GREET1_Import_Export!$E193)+F$104*$C41+MMULT($B185:$S185+0,D$63:D$80+0)</f>
        <v>53.247135070441487</v>
      </c>
      <c r="G119" s="1544">
        <v>47.646700345897699</v>
      </c>
      <c r="H119" s="749" cm="1">
        <f t="array" aca="1" ref="H119" ca="1">H$98*(GREET1_Import_Export!$F$179*GREET1_Import_Export!$B193+GREET1_Import_Export!$F193)+H$99*(GREET1_Import_Export!$G$179*GREET1_Import_Export!$B193+GREET1_Import_Export!$G193)+H$100*(GREET1_Import_Export!$D$179*GREET1_Import_Export!$B193+GREET1_Import_Export!$D193)+H$101*GREET1_Import_Export!$B229+H$102*GREET1_Import_Export!$B297+H$103*(GREET1_Import_Export!$E$179*GREET1_Import_Export!$B193+GREET1_Import_Export!$E193)+H$104*$C41+MMULT($B185:$S185+0,E$63:E$80+0)</f>
        <v>35.318161653140947</v>
      </c>
      <c r="I119" s="1544">
        <v>15.577460348267</v>
      </c>
      <c r="J119" s="749">
        <f>J$98*(GREET1_Import_Export!$K79+GREET1_Import_Export!$F$179*GREET1_Import_Export!$B193+GREET1_Import_Export!$F193)+J$99*(GREET1_Import_Export!$O79+GREET1_Import_Export!$G$179*GREET1_Import_Export!$B193+GREET1_Import_Export!$G193)+J$101*(GREET1_Import_Export!$B79+GREET1_Import_Export!$B229)+J$102*(GREET1_Import_Export!$AA79+GREET1_Import_Export!$B297)+J$104*(GREET1_Import_Export!$B322+GREET1_Import_Export!$C322)</f>
        <v>29.224034157892426</v>
      </c>
      <c r="K119" s="817"/>
      <c r="L119" s="749" cm="1">
        <f t="array" aca="1" ref="L119" ca="1">L$98*(GREET1_Import_Export!$F$179*GREET1_Import_Export!$B193+GREET1_Import_Export!$F193+B$10*GREET1_Import_Export!$K79)+L$99*(GREET1_Import_Export!$G$179*GREET1_Import_Export!$B193+GREET1_Import_Export!$G193+B$14*GREET1_Import_Export!$R79+B$15*GREET1_Import_Export!$E153)+L$100*(GREET1_Import_Export!$D$179*GREET1_Import_Export!$B193+GREET1_Import_Export!$D193)+L$101*(GREET1_Import_Export!$B229+B$11*GREET1_Import_Export!$B79+B$12*GREET1_Import_Export!$G79)+L$102*(GREET1_Import_Export!$B297+B$13*GREET1_Import_Export!$AA79)+L$103*(GREET1_Import_Export!$E$179*GREET1_Import_Export!$B193+GREET1_Import_Export!$E193)+L$104*$C41+MMULT($B185:$S185+0,F$63:F$80+0)</f>
        <v>99.564910208915492</v>
      </c>
      <c r="M119" s="817"/>
      <c r="N119" s="749">
        <f>N$98*(GREET1_Import_Export!$F$179*GREET1_Import_Export!$B193+GREET1_Import_Export!$F193+C$10*GREET1_Import_Export!$K79)+N$99*(GREET1_Import_Export!$G$179*GREET1_Import_Export!$B193+GREET1_Import_Export!$G193+C$14*GREET1_Import_Export!$R79+C$15*GREET1_Import_Export!$E153)+N$100*(GREET1_Import_Export!$D$179*GREET1_Import_Export!$B193+GREET1_Import_Export!$D193)+N$101*(GREET1_Import_Export!$B229+C$11*GREET1_Import_Export!$B79+C$12*GREET1_Import_Export!$G79)+N$102*(GREET1_Import_Export!$B297+C$13*GREET1_Import_Export!$AA79)+N$103*(GREET1_Import_Export!$E$179*GREET1_Import_Export!$B193+GREET1_Import_Export!$E193)+N$104*$D41</f>
        <v>44.998892603987933</v>
      </c>
      <c r="O119" s="817"/>
      <c r="P119" s="749" cm="1">
        <f t="array" aca="1" ref="P119" ca="1">P$98*(GREET1_Import_Export!$F$179*GREET1_Import_Export!$B193+GREET1_Import_Export!$F193+D$10*GREET1_Import_Export!$K79)+P$99*(GREET1_Import_Export!$G$179*GREET1_Import_Export!$B193+GREET1_Import_Export!$G193+D$14*GREET1_Import_Export!$R79+D$15*GREET1_Import_Export!$E153)+P$100*(GREET1_Import_Export!$D$179*GREET1_Import_Export!$B193+GREET1_Import_Export!$D193)+P$101*(GREET1_Import_Export!$B229+D$11*GREET1_Import_Export!$B79+D$12*GREET1_Import_Export!$G79)+P$102*(GREET1_Import_Export!$B297+D$13*GREET1_Import_Export!$AA79)+P$103*(GREET1_Import_Export!$E$179*GREET1_Import_Export!$B193+GREET1_Import_Export!$E193)+P$104*$D41+MMULT($B185:$S185+0,G$63:G$80+0)</f>
        <v>138.70030290935742</v>
      </c>
      <c r="Q119" s="817"/>
      <c r="R119" s="749" cm="1">
        <f t="array" aca="1" ref="R119" ca="1">R$98*(GREET1_Import_Export!$F$179*GREET1_Import_Export!$B193+GREET1_Import_Export!$F193+E$10*GREET1_Import_Export!$K79)+R$99*(GREET1_Import_Export!$G$179*GREET1_Import_Export!$B193+GREET1_Import_Export!$G193+E$14*GREET1_Import_Export!$R79+E$15*GREET1_Import_Export!$E153)+R$100*(GREET1_Import_Export!$D$179*GREET1_Import_Export!$B193+GREET1_Import_Export!$D193)+R$101*(GREET1_Import_Export!$B229+E$11*GREET1_Import_Export!$B79+E$12*GREET1_Import_Export!$G79)+R$102*(GREET1_Import_Export!$B297+E$13*GREET1_Import_Export!$AA79)+R$103*(GREET1_Import_Export!$E$179*GREET1_Import_Export!$B193+GREET1_Import_Export!$E193)+R$104*$E41+MMULT($B185:$S185+0,H$63:H$80+0)</f>
        <v>19.319897467532343</v>
      </c>
      <c r="S119" s="817"/>
      <c r="T119" s="749" cm="1">
        <f t="array" aca="1" ref="T119" ca="1">T$98*(GREET1_Import_Export!$F$179*GREET1_Import_Export!$B193+GREET1_Import_Export!$F193)+T$99*(GREET1_Import_Export!$G$179*GREET1_Import_Export!$B193+GREET1_Import_Export!$G193)+T$100*(GREET1_Import_Export!$D$179*GREET1_Import_Export!$B193+GREET1_Import_Export!$D193)+T$101*GREET1_Import_Export!$B229+T$102*GREET1_Import_Export!$B297+T$103*(GREET1_Import_Export!$E$179*GREET1_Import_Export!$B193+GREET1_Import_Export!$E193)+T$104*$B41+MMULT($B185:$S185+0,I$63:I$80+0)</f>
        <v>10.077017518669528</v>
      </c>
      <c r="U119" s="1544">
        <v>0.37294923678502695</v>
      </c>
      <c r="V119" s="749" cm="1">
        <f t="array" aca="1" ref="V119" ca="1">V$98*(GREET1_Import_Export!$F$179*GREET1_Import_Export!$B193+GREET1_Import_Export!$F193)+V$99*(GREET1_Import_Export!$G$179*GREET1_Import_Export!$B193+GREET1_Import_Export!$G193)+V$100*(GREET1_Import_Export!$D$179*GREET1_Import_Export!$B193+GREET1_Import_Export!$D193)+V$101*GREET1_Import_Export!$B229+V$102*GREET1_Import_Export!$B297+V$103*(GREET1_Import_Export!$E$179*GREET1_Import_Export!$B193+GREET1_Import_Export!$E193)+V$104*$B41+MMULT($B185:$S185+0,J$63:J$80+0)</f>
        <v>18.39210347408617</v>
      </c>
      <c r="W119" s="1544">
        <v>3.366121773984363</v>
      </c>
      <c r="X119" s="749" cm="1">
        <f t="array" aca="1" ref="X119" ca="1">X$98*(GREET1_Import_Export!$F$179*GREET1_Import_Export!$B193+GREET1_Import_Export!$F193)+X$99*(GREET1_Import_Export!$G$179*GREET1_Import_Export!$B193+GREET1_Import_Export!$G193)+X$100*(GREET1_Import_Export!$D$179*GREET1_Import_Export!$B193+GREET1_Import_Export!$D193)+X$101*GREET1_Import_Export!$B229+X$102*GREET1_Import_Export!$B297+X$103*(GREET1_Import_Export!$E$179*GREET1_Import_Export!$B193+GREET1_Import_Export!$E193)+X$104*$C41+MMULT($B185:$S185+0,K$63:K$80+0)</f>
        <v>15.498231357510114</v>
      </c>
      <c r="Y119" s="1547">
        <v>17.99892183178569</v>
      </c>
      <c r="Z119" s="749" cm="1">
        <f t="array" aca="1" ref="Z119" ca="1">Z$98*(GREET1_Import_Export!$F$179*GREET1_Import_Export!$B193+GREET1_Import_Export!$F193)+Z$99*(GREET1_Import_Export!$G$179*GREET1_Import_Export!$B193+GREET1_Import_Export!$G193)+Z$100*(GREET1_Import_Export!$D$179*GREET1_Import_Export!$B193+GREET1_Import_Export!$D193)+Z$101*GREET1_Import_Export!$B229+Z$102*GREET1_Import_Export!$B297+Z$103*(GREET1_Import_Export!$E$179*GREET1_Import_Export!$B193+GREET1_Import_Export!$E193)+Z$104*$C41+MMULT($B185:$S185+0,L$63:L$80+0)</f>
        <v>15.407115234639553</v>
      </c>
      <c r="AA119" s="1547">
        <v>7.0958938768510587</v>
      </c>
      <c r="AB119" s="749">
        <f>AB$98*(GREET1_Import_Export!$K79+GREET1_Import_Export!$F$179*GREET1_Import_Export!$B193+GREET1_Import_Export!$F193)+AB$99*(GREET1_Import_Export!$O79+GREET1_Import_Export!$G$179*GREET1_Import_Export!$B193+GREET1_Import_Export!$G193)+AB$101*(GREET1_Import_Export!$B79+GREET1_Import_Export!$B229)+AB$102*(GREET1_Import_Export!$AA79+GREET1_Import_Export!$B297)+AB$104*(GREET1_Import_Export!$B322+GREET1_Import_Export!$C322)</f>
        <v>9.2053092900655784</v>
      </c>
      <c r="AC119" s="817"/>
      <c r="AD119" s="749">
        <f>AD$98*(GREET1_Import_Export!$K79+GREET1_Import_Export!$F$179*GREET1_Import_Export!$B193+GREET1_Import_Export!$F193)+AD$99*(GREET1_Import_Export!$O79+GREET1_Import_Export!$G$179*GREET1_Import_Export!$B193+GREET1_Import_Export!$G193)+AD$101*(GREET1_Import_Export!$B79+GREET1_Import_Export!$B229)+AD$102*(GREET1_Import_Export!$AA79+GREET1_Import_Export!$B297)+AD$104*(GREET1_Import_Export!$B322+GREET1_Import_Export!$C322)</f>
        <v>4.5068610846194721</v>
      </c>
      <c r="AE119" s="817"/>
    </row>
    <row r="120" spans="1:77" s="64" customFormat="1">
      <c r="A120" s="794" t="s">
        <v>829</v>
      </c>
      <c r="B120" s="749" cm="1">
        <f t="array" aca="1" ref="B120" ca="1">B$98*(GREET1_Import_Export!$F$179*GREET1_Import_Export!$B194+GREET1_Import_Export!$F194)+B$99*(GREET1_Import_Export!$G$179*GREET1_Import_Export!$B194+GREET1_Import_Export!$G194)+B$100*(GREET1_Import_Export!$D$179*GREET1_Import_Export!$B194+GREET1_Import_Export!$D194)+B$101*GREET1_Import_Export!$B230+B$102*GREET1_Import_Export!$B298+B$103*(GREET1_Import_Export!$E$179*GREET1_Import_Export!$B194+GREET1_Import_Export!$E194)+B$104*$B42+MMULT($B186:$S186+0,B$63:B$80+0)</f>
        <v>3874.7416805575913</v>
      </c>
      <c r="C120" s="1544">
        <v>719.58465532160403</v>
      </c>
      <c r="D120" s="749" cm="1">
        <f t="array" aca="1" ref="D120" ca="1">D$98*(GREET1_Import_Export!$F$179*GREET1_Import_Export!$B194+GREET1_Import_Export!$F194)+D$99*(GREET1_Import_Export!$G$179*GREET1_Import_Export!$B194+GREET1_Import_Export!$G194)+D$100*(GREET1_Import_Export!$D$179*GREET1_Import_Export!$B194+GREET1_Import_Export!$D194)+D$101*GREET1_Import_Export!$B230+D$102*GREET1_Import_Export!$B298+D$103*(GREET1_Import_Export!$E$179*GREET1_Import_Export!$B194+GREET1_Import_Export!$E194)+D$104*$B42+MMULT($B186:$S186+0,C$63:C$80+0)</f>
        <v>6281.1924964321488</v>
      </c>
      <c r="E120" s="1544">
        <v>25.185462936256101</v>
      </c>
      <c r="F120" s="749" cm="1">
        <f t="array" aca="1" ref="F120" ca="1">F$98*(GREET1_Import_Export!$F$179*GREET1_Import_Export!$B194+GREET1_Import_Export!$F194)+F$99*(GREET1_Import_Export!$G$179*GREET1_Import_Export!$B194+GREET1_Import_Export!$G194)+F$100*(GREET1_Import_Export!$D$179*GREET1_Import_Export!$B194+GREET1_Import_Export!$D194)+F$101*GREET1_Import_Export!$B230+F$102*GREET1_Import_Export!$B298+F$103*(GREET1_Import_Export!$E$179*GREET1_Import_Export!$B194+GREET1_Import_Export!$E194)+F$104*$C42+MMULT($B186:$S186+0,D$63:D$80+0)</f>
        <v>12649.353545411997</v>
      </c>
      <c r="G120" s="1544">
        <v>68.360542255552403</v>
      </c>
      <c r="H120" s="749" cm="1">
        <f t="array" aca="1" ref="H120" ca="1">H$98*(GREET1_Import_Export!$F$179*GREET1_Import_Export!$B194+GREET1_Import_Export!$F194)+H$99*(GREET1_Import_Export!$G$179*GREET1_Import_Export!$B194+GREET1_Import_Export!$G194)+H$100*(GREET1_Import_Export!$D$179*GREET1_Import_Export!$B194+GREET1_Import_Export!$D194)+H$101*GREET1_Import_Export!$B230+H$102*GREET1_Import_Export!$B298+H$103*(GREET1_Import_Export!$E$179*GREET1_Import_Export!$B194+GREET1_Import_Export!$E194)+H$104*$C42+MMULT($B186:$S186+0,E$63:E$80+0)</f>
        <v>7168.4658565843147</v>
      </c>
      <c r="I120" s="1544">
        <v>42.455494663974598</v>
      </c>
      <c r="J120" s="749">
        <f>J$98*(GREET1_Import_Export!$K80+GREET1_Import_Export!$F$179*GREET1_Import_Export!$B194+GREET1_Import_Export!$F194)+J$99*(GREET1_Import_Export!$O80+GREET1_Import_Export!$G$179*GREET1_Import_Export!$B194+GREET1_Import_Export!$G194)+J$101*(GREET1_Import_Export!$B80+GREET1_Import_Export!$B230)+J$102*(GREET1_Import_Export!$AA80+GREET1_Import_Export!$B298)+J$104*(GREET1_Import_Export!$B323+GREET1_Import_Export!$C323)</f>
        <v>3242.2438840215182</v>
      </c>
      <c r="K120" s="817"/>
      <c r="L120" s="749" cm="1">
        <f t="array" aca="1" ref="L120" ca="1">L$98*(GREET1_Import_Export!$F$179*GREET1_Import_Export!$B194+GREET1_Import_Export!$F194+B$10*GREET1_Import_Export!$K80)+L$99*(GREET1_Import_Export!$G$179*GREET1_Import_Export!$B194+GREET1_Import_Export!$G194+B$14*GREET1_Import_Export!$R80+B$15*GREET1_Import_Export!$E154)+L$100*(GREET1_Import_Export!$D$179*GREET1_Import_Export!$B194+GREET1_Import_Export!$D194)+L$101*(GREET1_Import_Export!$B230+B$11*GREET1_Import_Export!$B80+B$12*GREET1_Import_Export!$G80)+L$102*(GREET1_Import_Export!$B298+B$13*GREET1_Import_Export!$AA80)+L$103*(GREET1_Import_Export!$E$179*GREET1_Import_Export!$B194+GREET1_Import_Export!$E194)+L$104*$C42+MMULT($B186:$S186+0,F$63:F$80+0)</f>
        <v>11872.848613192802</v>
      </c>
      <c r="M120" s="817"/>
      <c r="N120" s="749">
        <f>N$98*(GREET1_Import_Export!$F$179*GREET1_Import_Export!$B194+GREET1_Import_Export!$F194+C$10*GREET1_Import_Export!$K80)+N$99*(GREET1_Import_Export!$G$179*GREET1_Import_Export!$B194+GREET1_Import_Export!$G194+C$14*GREET1_Import_Export!$R80+C$15*GREET1_Import_Export!$E154)+N$100*(GREET1_Import_Export!$D$179*GREET1_Import_Export!$B194+GREET1_Import_Export!$D194)+N$101*(GREET1_Import_Export!$B230+C$11*GREET1_Import_Export!$B80+C$12*GREET1_Import_Export!$G80)+N$102*(GREET1_Import_Export!$B298+C$13*GREET1_Import_Export!$AA80)+N$103*(GREET1_Import_Export!$E$179*GREET1_Import_Export!$B194+GREET1_Import_Export!$E194)+N$104*$D42</f>
        <v>1935.1875282830513</v>
      </c>
      <c r="O120" s="817"/>
      <c r="P120" s="749" cm="1">
        <f t="array" aca="1" ref="P120" ca="1">P$98*(GREET1_Import_Export!$F$179*GREET1_Import_Export!$B194+GREET1_Import_Export!$F194+D$10*GREET1_Import_Export!$K80)+P$99*(GREET1_Import_Export!$G$179*GREET1_Import_Export!$B194+GREET1_Import_Export!$G194+D$14*GREET1_Import_Export!$R80+D$15*GREET1_Import_Export!$E154)+P$100*(GREET1_Import_Export!$D$179*GREET1_Import_Export!$B194+GREET1_Import_Export!$D194)+P$101*(GREET1_Import_Export!$B230+D$11*GREET1_Import_Export!$B80+D$12*GREET1_Import_Export!$G80)+P$102*(GREET1_Import_Export!$B298+D$13*GREET1_Import_Export!$AA80)+P$103*(GREET1_Import_Export!$E$179*GREET1_Import_Export!$B194+GREET1_Import_Export!$E194)+P$104*$D42+MMULT($B186:$S186+0,G$63:G$80+0)</f>
        <v>10908.532350543441</v>
      </c>
      <c r="Q120" s="817"/>
      <c r="R120" s="749" cm="1">
        <f t="array" aca="1" ref="R120" ca="1">R$98*(GREET1_Import_Export!$F$179*GREET1_Import_Export!$B194+GREET1_Import_Export!$F194+E$10*GREET1_Import_Export!$K80)+R$99*(GREET1_Import_Export!$G$179*GREET1_Import_Export!$B194+GREET1_Import_Export!$G194+E$14*GREET1_Import_Export!$R80+E$15*GREET1_Import_Export!$E154)+R$100*(GREET1_Import_Export!$D$179*GREET1_Import_Export!$B194+GREET1_Import_Export!$D194)+R$101*(GREET1_Import_Export!$B230+E$11*GREET1_Import_Export!$B80+E$12*GREET1_Import_Export!$G80)+R$102*(GREET1_Import_Export!$B298+E$13*GREET1_Import_Export!$AA80)+R$103*(GREET1_Import_Export!$E$179*GREET1_Import_Export!$B194+GREET1_Import_Export!$E194)+R$104*$E42+MMULT($B186:$S186+0,H$63:H$80+0)</f>
        <v>2113.5071897809203</v>
      </c>
      <c r="S120" s="817"/>
      <c r="T120" s="749" cm="1">
        <f t="array" aca="1" ref="T120" ca="1">T$98*(GREET1_Import_Export!$F$179*GREET1_Import_Export!$B194+GREET1_Import_Export!$F194)+T$99*(GREET1_Import_Export!$G$179*GREET1_Import_Export!$B194+GREET1_Import_Export!$G194)+T$100*(GREET1_Import_Export!$D$179*GREET1_Import_Export!$B194+GREET1_Import_Export!$D194)+T$101*GREET1_Import_Export!$B230+T$102*GREET1_Import_Export!$B298+T$103*(GREET1_Import_Export!$E$179*GREET1_Import_Export!$B194+GREET1_Import_Export!$E194)+T$104*$B42+MMULT($B186:$S186+0,I$63:I$80+0)</f>
        <v>1084.9410239269712</v>
      </c>
      <c r="U120" s="1544">
        <v>431.12307491298498</v>
      </c>
      <c r="V120" s="749" cm="1">
        <f t="array" aca="1" ref="V120" ca="1">V$98*(GREET1_Import_Export!$F$179*GREET1_Import_Export!$B194+GREET1_Import_Export!$F194)+V$99*(GREET1_Import_Export!$G$179*GREET1_Import_Export!$B194+GREET1_Import_Export!$G194)+V$100*(GREET1_Import_Export!$D$179*GREET1_Import_Export!$B194+GREET1_Import_Export!$D194)+V$101*GREET1_Import_Export!$B230+V$102*GREET1_Import_Export!$B298+V$103*(GREET1_Import_Export!$E$179*GREET1_Import_Export!$B194+GREET1_Import_Export!$E194)+V$104*$B42+MMULT($B186:$S186+0,J$63:J$80+0)</f>
        <v>2500.9173336732338</v>
      </c>
      <c r="W120" s="1544">
        <v>0.77348551675564969</v>
      </c>
      <c r="X120" s="749" cm="1">
        <f t="array" aca="1" ref="X120" ca="1">X$98*(GREET1_Import_Export!$F$179*GREET1_Import_Export!$B194+GREET1_Import_Export!$F194)+X$99*(GREET1_Import_Export!$G$179*GREET1_Import_Export!$B194+GREET1_Import_Export!$G194)+X$100*(GREET1_Import_Export!$D$179*GREET1_Import_Export!$B194+GREET1_Import_Export!$D194)+X$101*GREET1_Import_Export!$B230+X$102*GREET1_Import_Export!$B298+X$103*(GREET1_Import_Export!$E$179*GREET1_Import_Export!$B194+GREET1_Import_Export!$E194)+X$104*$C42+MMULT($B186:$S186+0,K$63:K$80+0)</f>
        <v>4075.8702450743158</v>
      </c>
      <c r="Y120" s="1547">
        <v>24.092171833372692</v>
      </c>
      <c r="Z120" s="749" cm="1">
        <f t="array" aca="1" ref="Z120" ca="1">Z$98*(GREET1_Import_Export!$F$179*GREET1_Import_Export!$B194+GREET1_Import_Export!$F194)+Z$99*(GREET1_Import_Export!$G$179*GREET1_Import_Export!$B194+GREET1_Import_Export!$G194)+Z$100*(GREET1_Import_Export!$D$179*GREET1_Import_Export!$B194+GREET1_Import_Export!$D194)+Z$101*GREET1_Import_Export!$B230+Z$102*GREET1_Import_Export!$B298+Z$103*(GREET1_Import_Export!$E$179*GREET1_Import_Export!$B194+GREET1_Import_Export!$E194)+Z$104*$C42+MMULT($B186:$S186+0,L$63:L$80+0)</f>
        <v>3071.9483285271986</v>
      </c>
      <c r="AA120" s="1547">
        <v>0.53256379842192259</v>
      </c>
      <c r="AB120" s="749">
        <f>AB$98*(GREET1_Import_Export!$K80+GREET1_Import_Export!$F$179*GREET1_Import_Export!$B194+GREET1_Import_Export!$F194)+AB$99*(GREET1_Import_Export!$O80+GREET1_Import_Export!$G$179*GREET1_Import_Export!$B194+GREET1_Import_Export!$G194)+AB$101*(GREET1_Import_Export!$B80+GREET1_Import_Export!$B230)+AB$102*(GREET1_Import_Export!$AA80+GREET1_Import_Export!$B298)+AB$104*(GREET1_Import_Export!$B323+GREET1_Import_Export!$C323)</f>
        <v>1180.255227082826</v>
      </c>
      <c r="AC120" s="817"/>
      <c r="AD120" s="749">
        <f>AD$98*(GREET1_Import_Export!$K80+GREET1_Import_Export!$F$179*GREET1_Import_Export!$B194+GREET1_Import_Export!$F194)+AD$99*(GREET1_Import_Export!$O80+GREET1_Import_Export!$G$179*GREET1_Import_Export!$B194+GREET1_Import_Export!$G194)+AD$101*(GREET1_Import_Export!$B80+GREET1_Import_Export!$B230)+AD$102*(GREET1_Import_Export!$AA80+GREET1_Import_Export!$B298)+AD$104*(GREET1_Import_Export!$B323+GREET1_Import_Export!$C323)</f>
        <v>500.01114523731036</v>
      </c>
      <c r="AE120" s="817"/>
      <c r="AG120" s="419"/>
      <c r="AH120" s="419"/>
      <c r="BY120" s="419"/>
    </row>
    <row r="121" spans="1:77" s="349" customFormat="1">
      <c r="A121" s="794" t="s">
        <v>830</v>
      </c>
      <c r="B121" s="749" cm="1">
        <f t="array" aca="1" ref="B121" ca="1">B$98*(GREET1_Import_Export!$F$179*GREET1_Import_Export!$B195+GREET1_Import_Export!$F195)+B$99*(GREET1_Import_Export!$G$179*GREET1_Import_Export!$B195+GREET1_Import_Export!$G195)+B$100*(GREET1_Import_Export!$D$179*GREET1_Import_Export!$B195+GREET1_Import_Export!$D195)+B$101*GREET1_Import_Export!$B231+B$102*GREET1_Import_Export!$B299+B$103*(GREET1_Import_Export!$E$179*GREET1_Import_Export!$B195+GREET1_Import_Export!$E195)+B$104*$B43+MMULT($B187:$S187+0,B$63:B$80+0)</f>
        <v>434.73700553166458</v>
      </c>
      <c r="C121" s="1544">
        <v>5.0132563619236796</v>
      </c>
      <c r="D121" s="749" cm="1">
        <f t="array" aca="1" ref="D121" ca="1">D$98*(GREET1_Import_Export!$F$179*GREET1_Import_Export!$B195+GREET1_Import_Export!$F195)+D$99*(GREET1_Import_Export!$G$179*GREET1_Import_Export!$B195+GREET1_Import_Export!$G195)+D$100*(GREET1_Import_Export!$D$179*GREET1_Import_Export!$B195+GREET1_Import_Export!$D195)+D$101*GREET1_Import_Export!$B231+D$102*GREET1_Import_Export!$B299+D$103*(GREET1_Import_Export!$E$179*GREET1_Import_Export!$B195+GREET1_Import_Export!$E195)+D$104*$B43+MMULT($B187:$S187+0,C$63:C$80+0)</f>
        <v>191.92355606810315</v>
      </c>
      <c r="E121" s="1544">
        <v>6.76060734035274</v>
      </c>
      <c r="F121" s="749" cm="1">
        <f t="array" aca="1" ref="F121" ca="1">F$98*(GREET1_Import_Export!$F$179*GREET1_Import_Export!$B195+GREET1_Import_Export!$F195)+F$99*(GREET1_Import_Export!$G$179*GREET1_Import_Export!$B195+GREET1_Import_Export!$G195)+F$100*(GREET1_Import_Export!$D$179*GREET1_Import_Export!$B195+GREET1_Import_Export!$D195)+F$101*GREET1_Import_Export!$B231+F$102*GREET1_Import_Export!$B299+F$103*(GREET1_Import_Export!$E$179*GREET1_Import_Export!$B195+GREET1_Import_Export!$E195)+F$104*$C43+MMULT($B187:$S187+0,D$63:D$80+0)</f>
        <v>127.39838151224362</v>
      </c>
      <c r="G121" s="1544">
        <v>30.1380589595454</v>
      </c>
      <c r="H121" s="749" cm="1">
        <f t="array" aca="1" ref="H121" ca="1">H$98*(GREET1_Import_Export!$F$179*GREET1_Import_Export!$B195+GREET1_Import_Export!$F195)+H$99*(GREET1_Import_Export!$G$179*GREET1_Import_Export!$B195+GREET1_Import_Export!$G195)+H$100*(GREET1_Import_Export!$D$179*GREET1_Import_Export!$B195+GREET1_Import_Export!$D195)+H$101*GREET1_Import_Export!$B231+H$102*GREET1_Import_Export!$B299+H$103*(GREET1_Import_Export!$E$179*GREET1_Import_Export!$B195+GREET1_Import_Export!$E195)+H$104*$C43+MMULT($B187:$S187+0,E$63:E$80+0)</f>
        <v>79.575855868065716</v>
      </c>
      <c r="I121" s="1544">
        <v>11.786014308319199</v>
      </c>
      <c r="J121" s="749">
        <f>J$98*(GREET1_Import_Export!$K81+GREET1_Import_Export!$F$179*GREET1_Import_Export!$B195+GREET1_Import_Export!$F195)+J$99*(GREET1_Import_Export!$O81+GREET1_Import_Export!$G$179*GREET1_Import_Export!$B195+GREET1_Import_Export!$G195)+J$101*(GREET1_Import_Export!$B81+GREET1_Import_Export!$B231)+J$102*(GREET1_Import_Export!$AA81+GREET1_Import_Export!$B299)+J$104*(GREET1_Import_Export!$B324+GREET1_Import_Export!$C324)</f>
        <v>30.24423386938199</v>
      </c>
      <c r="K121" s="817"/>
      <c r="L121" s="749" cm="1">
        <f t="array" aca="1" ref="L121" ca="1">L$98*(GREET1_Import_Export!$F$179*GREET1_Import_Export!$B195+GREET1_Import_Export!$F195+B$10*GREET1_Import_Export!$K81)+L$99*(GREET1_Import_Export!$G$179*GREET1_Import_Export!$B195+GREET1_Import_Export!$G195+B$14*GREET1_Import_Export!$R81+B$15*GREET1_Import_Export!$E155)+L$100*(GREET1_Import_Export!$D$179*GREET1_Import_Export!$B195+GREET1_Import_Export!$D195)+L$101*(GREET1_Import_Export!$B231+B$11*GREET1_Import_Export!$B81+B$12*GREET1_Import_Export!$G81)+L$102*(GREET1_Import_Export!$B299+B$13*GREET1_Import_Export!$AA81)+L$103*(GREET1_Import_Export!$E$179*GREET1_Import_Export!$B195+GREET1_Import_Export!$E195)+L$104*$C43+MMULT($B187:$S187+0,F$63:F$80+0)</f>
        <v>338.54983297250442</v>
      </c>
      <c r="M121" s="817"/>
      <c r="N121" s="749">
        <f>N$98*(GREET1_Import_Export!$F$179*GREET1_Import_Export!$B195+GREET1_Import_Export!$F195+C$10*GREET1_Import_Export!$K81)+N$99*(GREET1_Import_Export!$G$179*GREET1_Import_Export!$B195+GREET1_Import_Export!$G195+C$14*GREET1_Import_Export!$R81+C$15*GREET1_Import_Export!$E155)+N$100*(GREET1_Import_Export!$D$179*GREET1_Import_Export!$B195+GREET1_Import_Export!$D195)+N$101*(GREET1_Import_Export!$B231+C$11*GREET1_Import_Export!$B81+C$12*GREET1_Import_Export!$G81)+N$102*(GREET1_Import_Export!$B299+C$13*GREET1_Import_Export!$AA81)+N$103*(GREET1_Import_Export!$E$179*GREET1_Import_Export!$B195+GREET1_Import_Export!$E195)+N$104*$D43</f>
        <v>359.91480840520342</v>
      </c>
      <c r="O121" s="817"/>
      <c r="P121" s="749" cm="1">
        <f t="array" aca="1" ref="P121" ca="1">P$98*(GREET1_Import_Export!$F$179*GREET1_Import_Export!$B195+GREET1_Import_Export!$F195+D$10*GREET1_Import_Export!$K81)+P$99*(GREET1_Import_Export!$G$179*GREET1_Import_Export!$B195+GREET1_Import_Export!$G195+D$14*GREET1_Import_Export!$R81+D$15*GREET1_Import_Export!$E155)+P$100*(GREET1_Import_Export!$D$179*GREET1_Import_Export!$B195+GREET1_Import_Export!$D195)+P$101*(GREET1_Import_Export!$B231+D$11*GREET1_Import_Export!$B81+D$12*GREET1_Import_Export!$G81)+P$102*(GREET1_Import_Export!$B299+D$13*GREET1_Import_Export!$AA81)+P$103*(GREET1_Import_Export!$E$179*GREET1_Import_Export!$B195+GREET1_Import_Export!$E195)+P$104*$D43+MMULT($B187:$S187+0,G$63:G$80+0)</f>
        <v>713.19384870495753</v>
      </c>
      <c r="Q121" s="817"/>
      <c r="R121" s="749" cm="1">
        <f t="array" aca="1" ref="R121" ca="1">R$98*(GREET1_Import_Export!$F$179*GREET1_Import_Export!$B195+GREET1_Import_Export!$F195+E$10*GREET1_Import_Export!$K81)+R$99*(GREET1_Import_Export!$G$179*GREET1_Import_Export!$B195+GREET1_Import_Export!$G195+E$14*GREET1_Import_Export!$R81+E$15*GREET1_Import_Export!$E155)+R$100*(GREET1_Import_Export!$D$179*GREET1_Import_Export!$B195+GREET1_Import_Export!$D195)+R$101*(GREET1_Import_Export!$B231+E$11*GREET1_Import_Export!$B81+E$12*GREET1_Import_Export!$G81)+R$102*(GREET1_Import_Export!$B299+E$13*GREET1_Import_Export!$AA81)+R$103*(GREET1_Import_Export!$E$179*GREET1_Import_Export!$B195+GREET1_Import_Export!$E195)+R$104*$E43+MMULT($B187:$S187+0,H$63:H$80+0)</f>
        <v>23.83983665038884</v>
      </c>
      <c r="S121" s="817"/>
      <c r="T121" s="749" cm="1">
        <f t="array" aca="1" ref="T121" ca="1">T$98*(GREET1_Import_Export!$F$179*GREET1_Import_Export!$B195+GREET1_Import_Export!$F195)+T$99*(GREET1_Import_Export!$G$179*GREET1_Import_Export!$B195+GREET1_Import_Export!$G195)+T$100*(GREET1_Import_Export!$D$179*GREET1_Import_Export!$B195+GREET1_Import_Export!$D195)+T$101*GREET1_Import_Export!$B231+T$102*GREET1_Import_Export!$B299+T$103*(GREET1_Import_Export!$E$179*GREET1_Import_Export!$B195+GREET1_Import_Export!$E195)+T$104*$B43+MMULT($B187:$S187+0,I$63:I$80+0)</f>
        <v>164.41634254767257</v>
      </c>
      <c r="U121" s="1544">
        <v>0.25022283893196035</v>
      </c>
      <c r="V121" s="749" cm="1">
        <f t="array" aca="1" ref="V121" ca="1">V$98*(GREET1_Import_Export!$F$179*GREET1_Import_Export!$B195+GREET1_Import_Export!$F195)+V$99*(GREET1_Import_Export!$G$179*GREET1_Import_Export!$B195+GREET1_Import_Export!$G195)+V$100*(GREET1_Import_Export!$D$179*GREET1_Import_Export!$B195+GREET1_Import_Export!$D195)+V$101*GREET1_Import_Export!$B231+V$102*GREET1_Import_Export!$B299+V$103*(GREET1_Import_Export!$E$179*GREET1_Import_Export!$B195+GREET1_Import_Export!$E195)+V$104*$B43+MMULT($B187:$S187+0,J$63:J$80+0)</f>
        <v>76.550015956762124</v>
      </c>
      <c r="W121" s="1544">
        <v>2.0820675796590598</v>
      </c>
      <c r="X121" s="749" cm="1">
        <f t="array" aca="1" ref="X121" ca="1">X$98*(GREET1_Import_Export!$F$179*GREET1_Import_Export!$B195+GREET1_Import_Export!$F195)+X$99*(GREET1_Import_Export!$G$179*GREET1_Import_Export!$B195+GREET1_Import_Export!$G195)+X$100*(GREET1_Import_Export!$D$179*GREET1_Import_Export!$B195+GREET1_Import_Export!$D195)+X$101*GREET1_Import_Export!$B231+X$102*GREET1_Import_Export!$B299+X$103*(GREET1_Import_Export!$E$179*GREET1_Import_Export!$B195+GREET1_Import_Export!$E195)+X$104*$C43+MMULT($B187:$S187+0,K$63:K$80+0)</f>
        <v>33.319787072501853</v>
      </c>
      <c r="Y121" s="1547">
        <v>10.025058150606073</v>
      </c>
      <c r="Z121" s="749" cm="1">
        <f t="array" aca="1" ref="Z121" ca="1">Z$98*(GREET1_Import_Export!$F$179*GREET1_Import_Export!$B195+GREET1_Import_Export!$F195)+Z$99*(GREET1_Import_Export!$G$179*GREET1_Import_Export!$B195+GREET1_Import_Export!$G195)+Z$100*(GREET1_Import_Export!$D$179*GREET1_Import_Export!$B195+GREET1_Import_Export!$D195)+Z$101*GREET1_Import_Export!$B231+Z$102*GREET1_Import_Export!$B299+Z$103*(GREET1_Import_Export!$E$179*GREET1_Import_Export!$B195+GREET1_Import_Export!$E195)+Z$104*$C43+MMULT($B187:$S187+0,L$63:L$80+0)</f>
        <v>33.601363126044824</v>
      </c>
      <c r="AA121" s="1547">
        <v>5.3046935168954983</v>
      </c>
      <c r="AB121" s="749">
        <f>AB$98*(GREET1_Import_Export!$K81+GREET1_Import_Export!$F$179*GREET1_Import_Export!$B195+GREET1_Import_Export!$F195)+AB$99*(GREET1_Import_Export!$O81+GREET1_Import_Export!$G$179*GREET1_Import_Export!$B195+GREET1_Import_Export!$G195)+AB$101*(GREET1_Import_Export!$B81+GREET1_Import_Export!$B231)+AB$102*(GREET1_Import_Export!$AA81+GREET1_Import_Export!$B299)+AB$104*(GREET1_Import_Export!$B324+GREET1_Import_Export!$C324)</f>
        <v>11.244232864218375</v>
      </c>
      <c r="AC121" s="817"/>
      <c r="AD121" s="749">
        <f>AD$98*(GREET1_Import_Export!$K81+GREET1_Import_Export!$F$179*GREET1_Import_Export!$B195+GREET1_Import_Export!$F195)+AD$99*(GREET1_Import_Export!$O81+GREET1_Import_Export!$G$179*GREET1_Import_Export!$B195+GREET1_Import_Export!$G195)+AD$101*(GREET1_Import_Export!$B81+GREET1_Import_Export!$B231)+AD$102*(GREET1_Import_Export!$AA81+GREET1_Import_Export!$B299)+AD$104*(GREET1_Import_Export!$B324+GREET1_Import_Export!$C324)</f>
        <v>4.6641938591916166</v>
      </c>
      <c r="AE121" s="817"/>
      <c r="AG121" s="64"/>
      <c r="AH121" s="64"/>
      <c r="BY121" s="64"/>
    </row>
    <row r="122" spans="1:77" s="349" customFormat="1">
      <c r="A122" s="1489" t="s">
        <v>831</v>
      </c>
      <c r="B122" s="1492" cm="1">
        <f t="array" aca="1" ref="B122" ca="1">B$98*(GREET1_Import_Export!$F$179*GREET1_Import_Export!$B196+GREET1_Import_Export!$F196)+B$99*(GREET1_Import_Export!$G$179*GREET1_Import_Export!$B196+GREET1_Import_Export!$G196)+B$100*(GREET1_Import_Export!$D$179*GREET1_Import_Export!$B196+GREET1_Import_Export!$D196)+B$101*GREET1_Import_Export!$B232+B$102*GREET1_Import_Export!$B300+B$103*(GREET1_Import_Export!$E$179*GREET1_Import_Export!$B196+GREET1_Import_Export!$E196)+B$104*$B44+MMULT($B188:$S188+0,B$63:B$80+0)</f>
        <v>1823540.829906089</v>
      </c>
      <c r="C122" s="974">
        <v>424554.94663974602</v>
      </c>
      <c r="D122" s="1492" cm="1">
        <f t="array" aca="1" ref="D122" ca="1">D$98*(GREET1_Import_Export!$F$179*GREET1_Import_Export!$B196+GREET1_Import_Export!$F196)+D$99*(GREET1_Import_Export!$G$179*GREET1_Import_Export!$B196+GREET1_Import_Export!$G196)+D$100*(GREET1_Import_Export!$D$179*GREET1_Import_Export!$B196+GREET1_Import_Export!$D196)+D$101*GREET1_Import_Export!$B232+D$102*GREET1_Import_Export!$B300+D$103*(GREET1_Import_Export!$E$179*GREET1_Import_Export!$B196+GREET1_Import_Export!$E196)+D$104*$B44+MMULT($B188:$S188+0,C$63:C$80+0)</f>
        <v>2932062.6048376127</v>
      </c>
      <c r="E122" s="974">
        <v>359792.327660802</v>
      </c>
      <c r="F122" s="1492" cm="1">
        <f t="array" aca="1" ref="F122" ca="1">F$98*(GREET1_Import_Export!$F$179*GREET1_Import_Export!$B196+GREET1_Import_Export!$F196)+F$99*(GREET1_Import_Export!$G$179*GREET1_Import_Export!$B196+GREET1_Import_Export!$G196)+F$100*(GREET1_Import_Export!$D$179*GREET1_Import_Export!$B196+GREET1_Import_Export!$D196)+F$101*GREET1_Import_Export!$B232+F$102*GREET1_Import_Export!$B300+F$103*(GREET1_Import_Export!$E$179*GREET1_Import_Export!$B196+GREET1_Import_Export!$E196)+F$104*$C44+MMULT($B188:$S188+0,D$63:D$80+0)</f>
        <v>2873096.5260942355</v>
      </c>
      <c r="G122" s="974">
        <v>1942878.5693683301</v>
      </c>
      <c r="H122" s="1492" cm="1">
        <f t="array" aca="1" ref="H122" ca="1">H$98*(GREET1_Import_Export!$F$179*GREET1_Import_Export!$B196+GREET1_Import_Export!$F196)+H$99*(GREET1_Import_Export!$G$179*GREET1_Import_Export!$B196+GREET1_Import_Export!$G196)+H$100*(GREET1_Import_Export!$D$179*GREET1_Import_Export!$B196+GREET1_Import_Export!$D196)+H$101*GREET1_Import_Export!$B232+H$102*GREET1_Import_Export!$B300+H$103*(GREET1_Import_Export!$E$179*GREET1_Import_Export!$B196+GREET1_Import_Export!$E196)+H$104*$C44+MMULT($B188:$S188+0,E$63:E$80+0)</f>
        <v>2118901.0257180925</v>
      </c>
      <c r="I122" s="974">
        <v>791543.12085376401</v>
      </c>
      <c r="J122" s="1492">
        <f>J$98*(GREET1_Import_Export!$K82+GREET1_Import_Export!$F$179*GREET1_Import_Export!$B196+GREET1_Import_Export!$F196)+J$99*(GREET1_Import_Export!$O82+GREET1_Import_Export!$G$179*GREET1_Import_Export!$B196+GREET1_Import_Export!$G196)+J$101*(GREET1_Import_Export!$B82+GREET1_Import_Export!$B232)+J$102*(GREET1_Import_Export!$AA82+GREET1_Import_Export!$B300)+J$104*(GREET1_Import_Export!$B325+GREET1_Import_Export!$C325)</f>
        <v>1248498.6651132065</v>
      </c>
      <c r="K122" s="527"/>
      <c r="L122" s="1492" cm="1">
        <f t="array" aca="1" ref="L122" ca="1">L$98*(GREET1_Import_Export!$F$179*GREET1_Import_Export!$B196+GREET1_Import_Export!$F196+B$10*GREET1_Import_Export!$K82)+L$99*(GREET1_Import_Export!$G$179*GREET1_Import_Export!$B196+GREET1_Import_Export!$G196+B$14*GREET1_Import_Export!$R82+B$15*GREET1_Import_Export!$E156)+L$100*(GREET1_Import_Export!$D$179*GREET1_Import_Export!$B196+GREET1_Import_Export!$D196)+L$101*(GREET1_Import_Export!$B232+B$11*GREET1_Import_Export!$B82+B$12*GREET1_Import_Export!$G82)+L$102*(GREET1_Import_Export!$B300+B$13*GREET1_Import_Export!$AA82)+L$103*(GREET1_Import_Export!$E$179*GREET1_Import_Export!$B196+GREET1_Import_Export!$E196)+L$104*$C44+MMULT($B188:$S188+0,F$63:F$80+0)</f>
        <v>5098435.8866235018</v>
      </c>
      <c r="M122" s="527"/>
      <c r="N122" s="1492">
        <f>N$98*(GREET1_Import_Export!$F$179*GREET1_Import_Export!$B196+GREET1_Import_Export!$F196+C$10*GREET1_Import_Export!$K82)+N$99*(GREET1_Import_Export!$G$179*GREET1_Import_Export!$B196+GREET1_Import_Export!$G196+C$14*GREET1_Import_Export!$R82+C$15*GREET1_Import_Export!$E156)+N$100*(GREET1_Import_Export!$D$179*GREET1_Import_Export!$B196+GREET1_Import_Export!$D196)+N$101*(GREET1_Import_Export!$B232+C$11*GREET1_Import_Export!$B82+C$12*GREET1_Import_Export!$G82)+N$102*(GREET1_Import_Export!$B300+C$13*GREET1_Import_Export!$AA82)+N$103*(GREET1_Import_Export!$E$179*GREET1_Import_Export!$B196+GREET1_Import_Export!$E196)+N$104*$D44</f>
        <v>1761765.5600328606</v>
      </c>
      <c r="O122" s="527"/>
      <c r="P122" s="1492" cm="1">
        <f t="array" aca="1" ref="P122" ca="1">P$98*(GREET1_Import_Export!$F$179*GREET1_Import_Export!$B196+GREET1_Import_Export!$F196+D$10*GREET1_Import_Export!$K82)+P$99*(GREET1_Import_Export!$G$179*GREET1_Import_Export!$B196+GREET1_Import_Export!$G196+D$14*GREET1_Import_Export!$R82+D$15*GREET1_Import_Export!$E156)+P$100*(GREET1_Import_Export!$D$179*GREET1_Import_Export!$B196+GREET1_Import_Export!$D196)+P$101*(GREET1_Import_Export!$B232+D$11*GREET1_Import_Export!$B82+D$12*GREET1_Import_Export!$G82)+P$102*(GREET1_Import_Export!$B300+D$13*GREET1_Import_Export!$AA82)+P$103*(GREET1_Import_Export!$E$179*GREET1_Import_Export!$B196+GREET1_Import_Export!$E196)+P$104*$D44+MMULT($B188:$S188+0,G$63:G$80+0)</f>
        <v>6153733.6832949519</v>
      </c>
      <c r="Q122" s="527"/>
      <c r="R122" s="1492" cm="1">
        <f t="array" aca="1" ref="R122" ca="1">R$98*(GREET1_Import_Export!$F$179*GREET1_Import_Export!$B196+GREET1_Import_Export!$F196+E$10*GREET1_Import_Export!$K82)+R$99*(GREET1_Import_Export!$G$179*GREET1_Import_Export!$B196+GREET1_Import_Export!$G196+E$14*GREET1_Import_Export!$R82+E$15*GREET1_Import_Export!$E156)+R$100*(GREET1_Import_Export!$D$179*GREET1_Import_Export!$B196+GREET1_Import_Export!$D196)+R$101*(GREET1_Import_Export!$B232+E$11*GREET1_Import_Export!$B82+E$12*GREET1_Import_Export!$G82)+R$102*(GREET1_Import_Export!$B300+E$13*GREET1_Import_Export!$AA82)+R$103*(GREET1_Import_Export!$E$179*GREET1_Import_Export!$B196+GREET1_Import_Export!$E196)+R$104*$E44+MMULT($B188:$S188+0,H$63:H$80+0)</f>
        <v>970556.54885172518</v>
      </c>
      <c r="S122" s="527"/>
      <c r="T122" s="1492" cm="1">
        <f t="array" aca="1" ref="T122" ca="1">T$98*(GREET1_Import_Export!$F$179*GREET1_Import_Export!$B196+GREET1_Import_Export!$F196)+T$99*(GREET1_Import_Export!$G$179*GREET1_Import_Export!$B196+GREET1_Import_Export!$G196)+T$100*(GREET1_Import_Export!$D$179*GREET1_Import_Export!$B196+GREET1_Import_Export!$D196)+T$101*GREET1_Import_Export!$B232+T$102*GREET1_Import_Export!$B300+T$103*(GREET1_Import_Export!$E$179*GREET1_Import_Export!$B196+GREET1_Import_Export!$E196)+T$104*$B44+MMULT($B188:$S188+0,I$63:I$80+0)</f>
        <v>547946.00891416392</v>
      </c>
      <c r="U122" s="974">
        <v>21556.153745649248</v>
      </c>
      <c r="V122" s="1492" cm="1">
        <f t="array" aca="1" ref="V122" ca="1">V$98*(GREET1_Import_Export!$F$179*GREET1_Import_Export!$B196+GREET1_Import_Export!$F196)+V$99*(GREET1_Import_Export!$G$179*GREET1_Import_Export!$B196+GREET1_Import_Export!$G196)+V$100*(GREET1_Import_Export!$D$179*GREET1_Import_Export!$B196+GREET1_Import_Export!$D196)+V$101*GREET1_Import_Export!$B232+V$102*GREET1_Import_Export!$B300+V$103*(GREET1_Import_Export!$E$179*GREET1_Import_Export!$B196+GREET1_Import_Export!$E196)+V$104*$B44+MMULT($B188:$S188+0,J$63:J$80+0)</f>
        <v>1168712.3884573134</v>
      </c>
      <c r="W122" s="974">
        <v>11412.081394755483</v>
      </c>
      <c r="X122" s="1492" cm="1">
        <f t="array" aca="1" ref="X122" ca="1">X$98*(GREET1_Import_Export!$F$179*GREET1_Import_Export!$B196+GREET1_Import_Export!$F196)+X$99*(GREET1_Import_Export!$G$179*GREET1_Import_Export!$B196+GREET1_Import_Export!$G196)+X$100*(GREET1_Import_Export!$D$179*GREET1_Import_Export!$B196+GREET1_Import_Export!$D196)+X$101*GREET1_Import_Export!$B232+X$102*GREET1_Import_Export!$B300+X$103*(GREET1_Import_Export!$E$179*GREET1_Import_Export!$B196+GREET1_Import_Export!$E196)+X$104*$C44+MMULT($B188:$S188+0,K$63:K$80+0)</f>
        <v>878061.95855980949</v>
      </c>
      <c r="Y122" s="1548">
        <v>532563.79842192261</v>
      </c>
      <c r="Z122" s="1492" cm="1">
        <f t="array" aca="1" ref="Z122" ca="1">Z$98*(GREET1_Import_Export!$F$179*GREET1_Import_Export!$B196+GREET1_Import_Export!$F196)+Z$99*(GREET1_Import_Export!$G$179*GREET1_Import_Export!$B196+GREET1_Import_Export!$G196)+Z$100*(GREET1_Import_Export!$D$179*GREET1_Import_Export!$B196+GREET1_Import_Export!$D196)+Z$101*GREET1_Import_Export!$B232+Z$102*GREET1_Import_Export!$B300+Z$103*(GREET1_Import_Export!$E$179*GREET1_Import_Export!$B196+GREET1_Import_Export!$E196)+Z$104*$C44+MMULT($B188:$S188+0,L$63:L$80+0)</f>
        <v>903500.9617592711</v>
      </c>
      <c r="AA122" s="1548">
        <v>202881.44701787527</v>
      </c>
      <c r="AB122" s="1492">
        <f>AB$98*(GREET1_Import_Export!$K82+GREET1_Import_Export!$F$179*GREET1_Import_Export!$B196+GREET1_Import_Export!$F196)+AB$99*(GREET1_Import_Export!$O82+GREET1_Import_Export!$G$179*GREET1_Import_Export!$B196+GREET1_Import_Export!$G196)+AB$101*(GREET1_Import_Export!$B82+GREET1_Import_Export!$B232)+AB$102*(GREET1_Import_Export!$AA82+GREET1_Import_Export!$B300)+AB$104*(GREET1_Import_Export!$B325+GREET1_Import_Export!$C325)</f>
        <v>438361.27786703606</v>
      </c>
      <c r="AC122" s="527"/>
      <c r="AD122" s="1492">
        <f>AD$98*(GREET1_Import_Export!$K82+GREET1_Import_Export!$F$179*GREET1_Import_Export!$B196+GREET1_Import_Export!$F196)+AD$99*(GREET1_Import_Export!$O82+GREET1_Import_Export!$G$179*GREET1_Import_Export!$B196+GREET1_Import_Export!$G196)+AD$101*(GREET1_Import_Export!$B82+GREET1_Import_Export!$B232)+AD$102*(GREET1_Import_Export!$AA82+GREET1_Import_Export!$B300)+AD$104*(GREET1_Import_Export!$B325+GREET1_Import_Export!$C325)</f>
        <v>192540.49655148166</v>
      </c>
      <c r="AE122" s="527"/>
    </row>
    <row r="123" spans="1:77" s="349" customFormat="1">
      <c r="A123" s="290" t="s">
        <v>865</v>
      </c>
      <c r="B123" s="749"/>
      <c r="C123" s="817"/>
      <c r="D123" s="749"/>
      <c r="E123" s="817"/>
      <c r="F123" s="749"/>
      <c r="G123" s="817"/>
      <c r="H123" s="749"/>
      <c r="I123" s="817"/>
      <c r="J123" s="749"/>
      <c r="K123" s="817"/>
      <c r="L123" s="749"/>
      <c r="M123" s="817"/>
      <c r="N123" s="749"/>
      <c r="O123" s="817"/>
      <c r="P123" s="749"/>
      <c r="Q123" s="817"/>
      <c r="R123" s="749"/>
      <c r="S123" s="817"/>
      <c r="T123" s="749"/>
      <c r="U123" s="817"/>
      <c r="V123" s="749"/>
      <c r="W123" s="817"/>
      <c r="X123" s="749"/>
      <c r="Y123" s="817"/>
      <c r="Z123" s="749"/>
      <c r="AA123" s="817"/>
      <c r="AB123" s="749"/>
      <c r="AC123" s="817"/>
      <c r="AD123" s="749"/>
      <c r="AE123" s="817"/>
    </row>
    <row r="124" spans="1:77" s="349" customFormat="1">
      <c r="A124" s="794" t="s">
        <v>821</v>
      </c>
      <c r="B124" s="749" cm="1">
        <f t="array" aca="1" ref="B124" ca="1">B$98*(GREET1_Import_Export!$F$179*GREET1_Import_Export!$B201+GREET1_Import_Export!$F201)+B$99*(GREET1_Import_Export!$G$179*GREET1_Import_Export!$B201+GREET1_Import_Export!$G201)+B$100*(GREET1_Import_Export!$D$179*GREET1_Import_Export!$B201+GREET1_Import_Export!$D201)+B$101*GREET1_Import_Export!$B237+B$102*GREET1_Import_Export!$C290+B$103*(GREET1_Import_Export!$E$179*GREET1_Import_Export!$B201+GREET1_Import_Export!$E201)+B$104*$B46+MMULT($B190:$S190+0,B$63:B$80+0)</f>
        <v>32.170518522068413</v>
      </c>
      <c r="C124" s="817">
        <f t="shared" ref="C124:C131" si="12">C112*B$88</f>
        <v>0</v>
      </c>
      <c r="D124" s="749" cm="1">
        <f t="array" aca="1" ref="D124" ca="1">D$98*(GREET1_Import_Export!$F$179*GREET1_Import_Export!$B201+GREET1_Import_Export!$F201)+D$99*(GREET1_Import_Export!$G$179*GREET1_Import_Export!$B201+GREET1_Import_Export!$G201)+D$100*(GREET1_Import_Export!$D$179*GREET1_Import_Export!$B201+GREET1_Import_Export!$D201)+D$101*GREET1_Import_Export!$B237+D$102*GREET1_Import_Export!$C290+D$103*(GREET1_Import_Export!$E$179*GREET1_Import_Export!$B201+GREET1_Import_Export!$E201)+D$104*$B46+MMULT($B190:$S190+0,C$63:C$80+0)</f>
        <v>33.771359581711522</v>
      </c>
      <c r="E124" s="817">
        <f t="shared" ref="E124:E131" si="13">E112*D$88</f>
        <v>0</v>
      </c>
      <c r="F124" s="749" cm="1">
        <f t="array" aca="1" ref="F124" ca="1">F$98*(GREET1_Import_Export!$F$179*GREET1_Import_Export!$B201+GREET1_Import_Export!$F201)+F$99*(GREET1_Import_Export!$G$179*GREET1_Import_Export!$B201+GREET1_Import_Export!$G201)+F$100*(GREET1_Import_Export!$D$179*GREET1_Import_Export!$B201+GREET1_Import_Export!$D201)+F$101*GREET1_Import_Export!$B237+F$102*GREET1_Import_Export!$C290+F$103*(GREET1_Import_Export!$E$179*GREET1_Import_Export!$B201+GREET1_Import_Export!$E201)+F$104*$C46+MMULT($B190:$S190+0,D$63:D$80+0)</f>
        <v>46.188625950855979</v>
      </c>
      <c r="G124" s="817">
        <f t="shared" ref="G124:G131" si="14">G112*F$88</f>
        <v>0</v>
      </c>
      <c r="H124" s="749" cm="1">
        <f t="array" aca="1" ref="H124" ca="1">H$98*(GREET1_Import_Export!$F$179*GREET1_Import_Export!$B201+GREET1_Import_Export!$F201)+H$99*(GREET1_Import_Export!$G$179*GREET1_Import_Export!$B201+GREET1_Import_Export!$G201)+H$100*(GREET1_Import_Export!$D$179*GREET1_Import_Export!$B201+GREET1_Import_Export!$D201)+H$101*GREET1_Import_Export!$B237+H$102*GREET1_Import_Export!$C290+H$103*(GREET1_Import_Export!$E$179*GREET1_Import_Export!$B201+GREET1_Import_Export!$E201)+H$104*$C46+MMULT($B190:$S190+0,E$63:E$80+0)</f>
        <v>22.287574940472702</v>
      </c>
      <c r="I124" s="817">
        <f t="shared" ref="I124:I131" si="15">I112*H$88</f>
        <v>0</v>
      </c>
      <c r="J124" s="749">
        <f>J$98*(J$88*(GREET1_Import_Export!$K72)+GREET1_Import_Export!$F$200*GREET1_Import_Export!$B201+GREET1_Import_Export!$F201)+J$99*(J$88*(GREET1_Import_Export!$O72)+GREET1_Import_Export!$G$200*GREET1_Import_Export!$B201+GREET1_Import_Export!$G201)+J$101*(J$88*(GREET1_Import_Export!$B72)+GREET1_Import_Export!$B237)+J$102*(J$88*(GREET1_Import_Export!$AA72)+GREET1_Import_Export!$C290)+J$104*(GREET1_Import_Export!$D315+GREET1_Import_Export!$E315)</f>
        <v>12.775692762275854</v>
      </c>
      <c r="K124" s="817">
        <f t="shared" ref="K124:K131" si="16">K112*J$88</f>
        <v>0</v>
      </c>
      <c r="L124" s="749" cm="1">
        <f t="array" aca="1" ref="L124" ca="1">L$98*(GREET1_Import_Export!$F$179*GREET1_Import_Export!$B201+GREET1_Import_Export!$F201+B$10*GREET1_Import_Export!$K72*L$88)+L$99*(GREET1_Import_Export!$G$179*GREET1_Import_Export!$B201+GREET1_Import_Export!$G201+(B$14*GREET1_Import_Export!$R72+B$15*GREET1_Import_Export!$E146)*L$88)+L$100*(GREET1_Import_Export!$D$179*GREET1_Import_Export!$B201+GREET1_Import_Export!$D201)+L$101*(GREET1_Import_Export!$B237+L$88*(B$11*GREET1_Import_Export!$B72+B$12*GREET1_Import_Export!$G72))+L$102*(GREET1_Import_Export!$C290+L$88*B$13*GREET1_Import_Export!$AA72)+L$103*(GREET1_Import_Export!$E$179*GREET1_Import_Export!$B201+GREET1_Import_Export!$E201)+L$104*$C46+MMULT($B190:$S190+0,F$63:F$80+0)</f>
        <v>52.317641841278579</v>
      </c>
      <c r="M124" s="817">
        <f t="shared" ref="M124:M131" si="17">M112*L$88</f>
        <v>0</v>
      </c>
      <c r="N124" s="749">
        <f>N$98*(GREET1_Import_Export!$F$179*GREET1_Import_Export!$B201+GREET1_Import_Export!$F201+C$10*GREET1_Import_Export!$K72*N$88)+N$99*(GREET1_Import_Export!$G$179*GREET1_Import_Export!$B201+GREET1_Import_Export!$G201+(C$14*GREET1_Import_Export!$R72+C$15*GREET1_Import_Export!$E146)*N$88)+N$100*(GREET1_Import_Export!$D$179*GREET1_Import_Export!$B201+GREET1_Import_Export!$D201)+N$101*(GREET1_Import_Export!$B237+N$88*(C$11*GREET1_Import_Export!$B72+C$12*GREET1_Import_Export!$G72))+N$102*(GREET1_Import_Export!$C290+N$88*C$13*GREET1_Import_Export!$AA72)+N$103*(GREET1_Import_Export!$E$179*GREET1_Import_Export!$B201+GREET1_Import_Export!$E201)+N$104*$D46</f>
        <v>38.319089120633713</v>
      </c>
      <c r="O124" s="817">
        <f t="shared" ref="O124:O131" si="18">O112*N$88</f>
        <v>0</v>
      </c>
      <c r="P124" s="749" cm="1">
        <f t="array" aca="1" ref="P124" ca="1">P$98*(GREET1_Import_Export!$F$179*GREET1_Import_Export!$B201+GREET1_Import_Export!$F201+D$10*GREET1_Import_Export!$K72*P$88)+P$99*(GREET1_Import_Export!$G$179*GREET1_Import_Export!$B201+GREET1_Import_Export!$G201+(D$14*GREET1_Import_Export!$R72+D$15*GREET1_Import_Export!$E146)*P$88)+P$100*(GREET1_Import_Export!$D$179*GREET1_Import_Export!$B201+GREET1_Import_Export!$D201)+P$101*(GREET1_Import_Export!$B237+P$88*(D$11*GREET1_Import_Export!$B72+D$12*GREET1_Import_Export!$G72))+P$102*(GREET1_Import_Export!$C290+P$88*D$13*GREET1_Import_Export!$AA72)+P$103*(GREET1_Import_Export!$E$179*GREET1_Import_Export!$B201+GREET1_Import_Export!$E201)+P$104*$D46+MMULT($B190:$S190+0,G$63:G$80+0)</f>
        <v>90.055633566390455</v>
      </c>
      <c r="Q124" s="817">
        <f t="shared" ref="Q124:Q131" si="19">Q112*P$88</f>
        <v>0</v>
      </c>
      <c r="R124" s="749" cm="1">
        <f t="array" aca="1" ref="R124" ca="1">R$98*(GREET1_Import_Export!$F$179*GREET1_Import_Export!$B201+GREET1_Import_Export!$F201+E$10*GREET1_Import_Export!$K72*R$88)+R$99*(GREET1_Import_Export!$G$179*GREET1_Import_Export!$B201+GREET1_Import_Export!$G201+(E$14*GREET1_Import_Export!$R72+E$15*GREET1_Import_Export!$E146)*R$88)+R$100*(GREET1_Import_Export!$D$179*GREET1_Import_Export!$B201+GREET1_Import_Export!$D201)+R$101*(GREET1_Import_Export!$B237+R$88*(E$11*GREET1_Import_Export!$B72+E$12*GREET1_Import_Export!$G72))+R$102*(GREET1_Import_Export!$C290+R$88*E$13*GREET1_Import_Export!$AA72)+R$103*(GREET1_Import_Export!$E$179*GREET1_Import_Export!$B201+GREET1_Import_Export!$E201)+R$104*$E46+MMULT($B190:$S190+0,H$63:H$80+0)</f>
        <v>7.7999149493325008</v>
      </c>
      <c r="S124" s="817">
        <f t="shared" ref="S124:S131" si="20">S112*R$88</f>
        <v>0</v>
      </c>
      <c r="T124" s="749" cm="1">
        <f t="array" aca="1" ref="T124" ca="1">T$98*(GREET1_Import_Export!$F$179*GREET1_Import_Export!$B201+GREET1_Import_Export!$F201)+T$99*(GREET1_Import_Export!$G$179*GREET1_Import_Export!$B201+GREET1_Import_Export!$G201)+T$100*(GREET1_Import_Export!$D$179*GREET1_Import_Export!$B201+GREET1_Import_Export!$D201)+T$101*GREET1_Import_Export!$B237+T$102*GREET1_Import_Export!$C290+T$103*(GREET1_Import_Export!$E$179*GREET1_Import_Export!$B201+GREET1_Import_Export!$E201)+T$104*$B46+MMULT($B190:$S190+0,I$63:I$80+0)</f>
        <v>16.315464967532627</v>
      </c>
      <c r="U124" s="817">
        <f t="shared" ref="U124:U131" si="21">U112*T$88</f>
        <v>0</v>
      </c>
      <c r="V124" s="749" cm="1">
        <f t="array" aca="1" ref="V124" ca="1">V$98*(GREET1_Import_Export!$F$179*GREET1_Import_Export!$B201+GREET1_Import_Export!$F201)+V$99*(GREET1_Import_Export!$G$179*GREET1_Import_Export!$B201+GREET1_Import_Export!$G201)+V$100*(GREET1_Import_Export!$D$179*GREET1_Import_Export!$B201+GREET1_Import_Export!$D201)+V$101*GREET1_Import_Export!$B237+V$102*GREET1_Import_Export!$C290+V$103*(GREET1_Import_Export!$E$179*GREET1_Import_Export!$B201+GREET1_Import_Export!$E201)+V$104*$B46+MMULT($B190:$S190+0,J$63:J$80+0)</f>
        <v>12.32060977382107</v>
      </c>
      <c r="W124" s="817">
        <f t="shared" ref="W124:W131" si="22">W112*V$88</f>
        <v>0</v>
      </c>
      <c r="X124" s="749" cm="1">
        <f t="array" aca="1" ref="X124" ca="1">X$98*(GREET1_Import_Export!$F$179*GREET1_Import_Export!$B201+GREET1_Import_Export!$F201)+X$99*(GREET1_Import_Export!$G$179*GREET1_Import_Export!$B201+GREET1_Import_Export!$G201)+X$100*(GREET1_Import_Export!$D$179*GREET1_Import_Export!$B201+GREET1_Import_Export!$D201)+X$101*GREET1_Import_Export!$B237+X$102*GREET1_Import_Export!$C290+X$103*(GREET1_Import_Export!$E$179*GREET1_Import_Export!$B201+GREET1_Import_Export!$E201)+X$104*$C46+MMULT($B190:$S190+0,K$63:K$80+0)</f>
        <v>17.366743890818828</v>
      </c>
      <c r="Y124" s="817">
        <f t="shared" ref="Y124:Y131" si="23">Y112*X$88</f>
        <v>0</v>
      </c>
      <c r="Z124" s="749" cm="1">
        <f t="array" aca="1" ref="Z124" ca="1">Z$98*(GREET1_Import_Export!$F$179*GREET1_Import_Export!$B201+GREET1_Import_Export!$F201)+Z$99*(GREET1_Import_Export!$G$179*GREET1_Import_Export!$B201+GREET1_Import_Export!$G201)+Z$100*(GREET1_Import_Export!$D$179*GREET1_Import_Export!$B201+GREET1_Import_Export!$D201)+Z$101*GREET1_Import_Export!$B237+Z$102*GREET1_Import_Export!$C290+Z$103*(GREET1_Import_Export!$E$179*GREET1_Import_Export!$B201+GREET1_Import_Export!$E201)+Z$104*$C46+MMULT($B190:$S190+0,L$63:L$80+0)</f>
        <v>9.7323643539219944</v>
      </c>
      <c r="AA124" s="817">
        <f t="shared" ref="AA124:AA131" si="24">AA112*Z$88</f>
        <v>0</v>
      </c>
      <c r="AB124" s="749">
        <f>AB$98*(AB$88*(GREET1_Import_Export!$K72)+GREET1_Import_Export!$F$200*GREET1_Import_Export!$B201+GREET1_Import_Export!$F201)+AB$99*(AB$88*(GREET1_Import_Export!$O72)+GREET1_Import_Export!$G$200*GREET1_Import_Export!$B201+GREET1_Import_Export!$G201)+AB$101*(AB$88*(GREET1_Import_Export!$B72)+GREET1_Import_Export!$B237)+AB$102*(AB$88*(GREET1_Import_Export!$AA72)+GREET1_Import_Export!$C290)+AB$104*(GREET1_Import_Export!$D315+GREET1_Import_Export!$E315)</f>
        <v>3.5262963946860539</v>
      </c>
      <c r="AC124" s="817">
        <f>AC112*AB$88</f>
        <v>0</v>
      </c>
      <c r="AD124" s="749">
        <f>AD$98*(AD$88*(GREET1_Import_Export!$K72)+GREET1_Import_Export!$F$200*GREET1_Import_Export!$B201+GREET1_Import_Export!$F201)+AD$99*(AD$88*(GREET1_Import_Export!$O72)+GREET1_Import_Export!$G$200*GREET1_Import_Export!$B201+GREET1_Import_Export!$G201)+AD$101*(AD$88*(GREET1_Import_Export!$B72)+GREET1_Import_Export!$B237)+AD$102*(AD$88*(GREET1_Import_Export!$AA72)+GREET1_Import_Export!$C290)+AD$104*(GREET1_Import_Export!$D315+GREET1_Import_Export!$E315)</f>
        <v>1.9702369709900485</v>
      </c>
      <c r="AE124" s="817">
        <f t="shared" ref="AE124:AE131" si="25">AE112*AD$88</f>
        <v>0</v>
      </c>
    </row>
    <row r="125" spans="1:77" s="349" customFormat="1">
      <c r="A125" s="794" t="s">
        <v>822</v>
      </c>
      <c r="B125" s="749" cm="1">
        <f t="array" aca="1" ref="B125" ca="1">B$98*(GREET1_Import_Export!$F$179*GREET1_Import_Export!$B202+GREET1_Import_Export!$F202)+B$99*(GREET1_Import_Export!$G$179*GREET1_Import_Export!$B202+GREET1_Import_Export!$G202)+B$100*(GREET1_Import_Export!$D$179*GREET1_Import_Export!$B202+GREET1_Import_Export!$D202)+B$101*GREET1_Import_Export!$B238+B$102*GREET1_Import_Export!$C291+B$103*(GREET1_Import_Export!$E$179*GREET1_Import_Export!$B202+GREET1_Import_Export!$E202)+B$104*$B47+MMULT($B191:$S191+0,B$63:B$80+0)</f>
        <v>90.359169368029754</v>
      </c>
      <c r="C125" s="817">
        <f t="shared" si="12"/>
        <v>0</v>
      </c>
      <c r="D125" s="749" cm="1">
        <f t="array" aca="1" ref="D125" ca="1">D$98*(GREET1_Import_Export!$F$179*GREET1_Import_Export!$B202+GREET1_Import_Export!$F202)+D$99*(GREET1_Import_Export!$G$179*GREET1_Import_Export!$B202+GREET1_Import_Export!$G202)+D$100*(GREET1_Import_Export!$D$179*GREET1_Import_Export!$B202+GREET1_Import_Export!$D202)+D$101*GREET1_Import_Export!$B238+D$102*GREET1_Import_Export!$C291+D$103*(GREET1_Import_Export!$E$179*GREET1_Import_Export!$B202+GREET1_Import_Export!$E202)+D$104*$B47+MMULT($B191:$S191+0,C$63:C$80+0)</f>
        <v>134.41896343730755</v>
      </c>
      <c r="E125" s="817">
        <f t="shared" si="13"/>
        <v>0</v>
      </c>
      <c r="F125" s="749" cm="1">
        <f t="array" aca="1" ref="F125" ca="1">F$98*(GREET1_Import_Export!$F$179*GREET1_Import_Export!$B202+GREET1_Import_Export!$F202)+F$99*(GREET1_Import_Export!$G$179*GREET1_Import_Export!$B202+GREET1_Import_Export!$G202)+F$100*(GREET1_Import_Export!$D$179*GREET1_Import_Export!$B202+GREET1_Import_Export!$D202)+F$101*GREET1_Import_Export!$B238+F$102*GREET1_Import_Export!$C291+F$103*(GREET1_Import_Export!$E$179*GREET1_Import_Export!$B202+GREET1_Import_Export!$E202)+F$104*$C47+MMULT($B191:$S191+0,D$63:D$80+0)</f>
        <v>218.21200995604949</v>
      </c>
      <c r="G125" s="817">
        <f t="shared" si="14"/>
        <v>0</v>
      </c>
      <c r="H125" s="749" cm="1">
        <f t="array" aca="1" ref="H125" ca="1">H$98*(GREET1_Import_Export!$F$179*GREET1_Import_Export!$B202+GREET1_Import_Export!$F202)+H$99*(GREET1_Import_Export!$G$179*GREET1_Import_Export!$B202+GREET1_Import_Export!$G202)+H$100*(GREET1_Import_Export!$D$179*GREET1_Import_Export!$B202+GREET1_Import_Export!$D202)+H$101*GREET1_Import_Export!$B238+H$102*GREET1_Import_Export!$C291+H$103*(GREET1_Import_Export!$E$179*GREET1_Import_Export!$B202+GREET1_Import_Export!$E202)+H$104*$C47+MMULT($B191:$S191+0,E$63:E$80+0)</f>
        <v>123.75464368391673</v>
      </c>
      <c r="I125" s="817">
        <f t="shared" si="15"/>
        <v>0</v>
      </c>
      <c r="J125" s="749">
        <f>J$98*(J$88*(GREET1_Import_Export!$K73)+GREET1_Import_Export!$F$200*GREET1_Import_Export!$B202+GREET1_Import_Export!$F202)+J$99*(J$88*(GREET1_Import_Export!$O73)+GREET1_Import_Export!$G$200*GREET1_Import_Export!$B202+GREET1_Import_Export!$G202)+J$101*(J$88*(GREET1_Import_Export!$B73)+GREET1_Import_Export!$B238)+J$102*(J$88*(GREET1_Import_Export!$AA73)+GREET1_Import_Export!$C291)+J$104*(GREET1_Import_Export!$D316+GREET1_Import_Export!$E316)</f>
        <v>44.685306611475205</v>
      </c>
      <c r="K125" s="817">
        <f t="shared" si="16"/>
        <v>0</v>
      </c>
      <c r="L125" s="749" cm="1">
        <f t="array" aca="1" ref="L125" ca="1">L$98*(GREET1_Import_Export!$F$179*GREET1_Import_Export!$B202+GREET1_Import_Export!$F202+B$10*GREET1_Import_Export!$K73*L$88)+L$99*(GREET1_Import_Export!$G$179*GREET1_Import_Export!$B202+GREET1_Import_Export!$G202+(B$14*GREET1_Import_Export!$R73+B$15*GREET1_Import_Export!$E147)*L$88)+L$100*(GREET1_Import_Export!$D$179*GREET1_Import_Export!$B202+GREET1_Import_Export!$D202)+L$101*(GREET1_Import_Export!$B238+L$88*(B$11*GREET1_Import_Export!$B73+B$12*GREET1_Import_Export!$G73))+L$102*(GREET1_Import_Export!$C291+L$88*B$13*GREET1_Import_Export!$AA73)+L$103*(GREET1_Import_Export!$E$179*GREET1_Import_Export!$B202+GREET1_Import_Export!$E202)+L$104*$C47+MMULT($B191:$S191+0,F$63:F$80+0)</f>
        <v>218.39362026541843</v>
      </c>
      <c r="M125" s="817">
        <f t="shared" si="17"/>
        <v>0</v>
      </c>
      <c r="N125" s="749">
        <f>N$98*(GREET1_Import_Export!$F$179*GREET1_Import_Export!$B202+GREET1_Import_Export!$F202+C$10*GREET1_Import_Export!$K73*N$88)+N$99*(GREET1_Import_Export!$G$179*GREET1_Import_Export!$B202+GREET1_Import_Export!$G202+(C$14*GREET1_Import_Export!$R73+C$15*GREET1_Import_Export!$E147)*N$88)+N$100*(GREET1_Import_Export!$D$179*GREET1_Import_Export!$B202+GREET1_Import_Export!$D202)+N$101*(GREET1_Import_Export!$B238+N$88*(C$11*GREET1_Import_Export!$B73+C$12*GREET1_Import_Export!$G73))+N$102*(GREET1_Import_Export!$C291+N$88*C$13*GREET1_Import_Export!$AA73)+N$103*(GREET1_Import_Export!$E$179*GREET1_Import_Export!$B202+GREET1_Import_Export!$E202)+N$104*$D47</f>
        <v>34.737993100260539</v>
      </c>
      <c r="O125" s="817">
        <f t="shared" si="18"/>
        <v>0</v>
      </c>
      <c r="P125" s="749" cm="1">
        <f t="array" aca="1" ref="P125" ca="1">P$98*(GREET1_Import_Export!$F$179*GREET1_Import_Export!$B202+GREET1_Import_Export!$F202+D$10*GREET1_Import_Export!$K73*P$88)+P$99*(GREET1_Import_Export!$G$179*GREET1_Import_Export!$B202+GREET1_Import_Export!$G202+(D$14*GREET1_Import_Export!$R73+D$15*GREET1_Import_Export!$E147)*P$88)+P$100*(GREET1_Import_Export!$D$179*GREET1_Import_Export!$B202+GREET1_Import_Export!$D202)+P$101*(GREET1_Import_Export!$B238+P$88*(D$11*GREET1_Import_Export!$B73+D$12*GREET1_Import_Export!$G73))+P$102*(GREET1_Import_Export!$C291+P$88*D$13*GREET1_Import_Export!$AA73)+P$103*(GREET1_Import_Export!$E$179*GREET1_Import_Export!$B202+GREET1_Import_Export!$E202)+P$104*$D47+MMULT($B191:$S191+0,G$63:G$80+0)</f>
        <v>165.09905098254526</v>
      </c>
      <c r="Q125" s="817">
        <f t="shared" si="19"/>
        <v>0</v>
      </c>
      <c r="R125" s="749" cm="1">
        <f t="array" aca="1" ref="R125" ca="1">R$98*(GREET1_Import_Export!$F$179*GREET1_Import_Export!$B202+GREET1_Import_Export!$F202+E$10*GREET1_Import_Export!$K73*R$88)+R$99*(GREET1_Import_Export!$G$179*GREET1_Import_Export!$B202+GREET1_Import_Export!$G202+(E$14*GREET1_Import_Export!$R73+E$15*GREET1_Import_Export!$E147)*R$88)+R$100*(GREET1_Import_Export!$D$179*GREET1_Import_Export!$B202+GREET1_Import_Export!$D202)+R$101*(GREET1_Import_Export!$B238+R$88*(E$11*GREET1_Import_Export!$B73+E$12*GREET1_Import_Export!$G73))+R$102*(GREET1_Import_Export!$C291+R$88*E$13*GREET1_Import_Export!$AA73)+R$103*(GREET1_Import_Export!$E$179*GREET1_Import_Export!$B202+GREET1_Import_Export!$E202)+R$104*$E47+MMULT($B191:$S191+0,H$63:H$80+0)</f>
        <v>46.611302946525512</v>
      </c>
      <c r="S125" s="817">
        <f t="shared" si="20"/>
        <v>0</v>
      </c>
      <c r="T125" s="749" cm="1">
        <f t="array" aca="1" ref="T125" ca="1">T$98*(GREET1_Import_Export!$F$179*GREET1_Import_Export!$B202+GREET1_Import_Export!$F202)+T$99*(GREET1_Import_Export!$G$179*GREET1_Import_Export!$B202+GREET1_Import_Export!$G202)+T$100*(GREET1_Import_Export!$D$179*GREET1_Import_Export!$B202+GREET1_Import_Export!$D202)+T$101*GREET1_Import_Export!$B238+T$102*GREET1_Import_Export!$C291+T$103*(GREET1_Import_Export!$E$179*GREET1_Import_Export!$B202+GREET1_Import_Export!$E202)+T$104*$B47+MMULT($B191:$S191+0,I$63:I$80+0)</f>
        <v>26.425318519921113</v>
      </c>
      <c r="U125" s="817">
        <f t="shared" si="21"/>
        <v>0</v>
      </c>
      <c r="V125" s="749" cm="1">
        <f t="array" aca="1" ref="V125" ca="1">V$98*(GREET1_Import_Export!$F$179*GREET1_Import_Export!$B202+GREET1_Import_Export!$F202)+V$99*(GREET1_Import_Export!$G$179*GREET1_Import_Export!$B202+GREET1_Import_Export!$G202)+V$100*(GREET1_Import_Export!$D$179*GREET1_Import_Export!$B202+GREET1_Import_Export!$D202)+V$101*GREET1_Import_Export!$B238+V$102*GREET1_Import_Export!$C291+V$103*(GREET1_Import_Export!$E$179*GREET1_Import_Export!$B202+GREET1_Import_Export!$E202)+V$104*$B47+MMULT($B191:$S191+0,J$63:J$80+0)</f>
        <v>53.853573166378808</v>
      </c>
      <c r="W125" s="817">
        <f t="shared" si="22"/>
        <v>0</v>
      </c>
      <c r="X125" s="749" cm="1">
        <f t="array" aca="1" ref="X125" ca="1">X$98*(GREET1_Import_Export!$F$179*GREET1_Import_Export!$B202+GREET1_Import_Export!$F202)+X$99*(GREET1_Import_Export!$G$179*GREET1_Import_Export!$B202+GREET1_Import_Export!$G202)+X$100*(GREET1_Import_Export!$D$179*GREET1_Import_Export!$B202+GREET1_Import_Export!$D202)+X$101*GREET1_Import_Export!$B238+X$102*GREET1_Import_Export!$C291+X$103*(GREET1_Import_Export!$E$179*GREET1_Import_Export!$B202+GREET1_Import_Export!$E202)+X$104*$C47+MMULT($B191:$S191+0,K$63:K$80+0)</f>
        <v>64.378928230280806</v>
      </c>
      <c r="Y125" s="817">
        <f t="shared" si="23"/>
        <v>0</v>
      </c>
      <c r="Z125" s="749" cm="1">
        <f t="array" aca="1" ref="Z125" ca="1">Z$98*(GREET1_Import_Export!$F$179*GREET1_Import_Export!$B202+GREET1_Import_Export!$F202)+Z$99*(GREET1_Import_Export!$G$179*GREET1_Import_Export!$B202+GREET1_Import_Export!$G202)+Z$100*(GREET1_Import_Export!$D$179*GREET1_Import_Export!$B202+GREET1_Import_Export!$D202)+Z$101*GREET1_Import_Export!$B238+Z$102*GREET1_Import_Export!$C291+Z$103*(GREET1_Import_Export!$E$179*GREET1_Import_Export!$B202+GREET1_Import_Export!$E202)+Z$104*$C47+MMULT($B191:$S191+0,L$63:L$80+0)</f>
        <v>53.294224648430813</v>
      </c>
      <c r="AA125" s="817">
        <f t="shared" si="24"/>
        <v>0</v>
      </c>
      <c r="AB125" s="749">
        <f>AB$98*(AB$88*(GREET1_Import_Export!$K73)+GREET1_Import_Export!$F$200*GREET1_Import_Export!$B202+GREET1_Import_Export!$F202)+AB$99*(AB$88*(GREET1_Import_Export!$O73)+GREET1_Import_Export!$G$200*GREET1_Import_Export!$B202+GREET1_Import_Export!$G202)+AB$101*(AB$88*(GREET1_Import_Export!$B73)+GREET1_Import_Export!$B238)+AB$102*(AB$88*(GREET1_Import_Export!$AA73)+GREET1_Import_Export!$C291)+AB$104*(GREET1_Import_Export!$D316+GREET1_Import_Export!$E316)</f>
        <v>21.839514057021464</v>
      </c>
      <c r="AC125" s="817">
        <f>AC116*AB$88</f>
        <v>0</v>
      </c>
      <c r="AD125" s="749">
        <f>AD$98*(AD$88*(GREET1_Import_Export!$K73)+GREET1_Import_Export!$F$200*GREET1_Import_Export!$B202+GREET1_Import_Export!$F202)+AD$99*(AD$88*(GREET1_Import_Export!$O73)+GREET1_Import_Export!$G$200*GREET1_Import_Export!$B202+GREET1_Import_Export!$G202)+AD$101*(AD$88*(GREET1_Import_Export!$B73)+GREET1_Import_Export!$B238)+AD$102*(AD$88*(GREET1_Import_Export!$AA73)+GREET1_Import_Export!$C291)+AD$104*(GREET1_Import_Export!$D316+GREET1_Import_Export!$E316)</f>
        <v>6.8912617721930092</v>
      </c>
      <c r="AE125" s="817">
        <f t="shared" si="25"/>
        <v>0</v>
      </c>
    </row>
    <row r="126" spans="1:77" s="496" customFormat="1">
      <c r="A126" s="794" t="s">
        <v>823</v>
      </c>
      <c r="B126" s="749" cm="1">
        <f t="array" aca="1" ref="B126" ca="1">B$98*(GREET1_Import_Export!$F$179*GREET1_Import_Export!$B203+GREET1_Import_Export!$F203)+B$99*(GREET1_Import_Export!$G$179*GREET1_Import_Export!$B203+GREET1_Import_Export!$G203)+B$100*(GREET1_Import_Export!$D$179*GREET1_Import_Export!$B203+GREET1_Import_Export!$D203)+B$101*GREET1_Import_Export!$B239+B$102*GREET1_Import_Export!$C292+B$103*(GREET1_Import_Export!$E$179*GREET1_Import_Export!$B203+GREET1_Import_Export!$E203)+B$104*$B48+MMULT($B192:$S192+0,B$63:B$80+0)</f>
        <v>289.22021831305506</v>
      </c>
      <c r="C126" s="817">
        <f t="shared" si="12"/>
        <v>0</v>
      </c>
      <c r="D126" s="749" cm="1">
        <f t="array" aca="1" ref="D126" ca="1">D$98*(GREET1_Import_Export!$F$179*GREET1_Import_Export!$B203+GREET1_Import_Export!$F203)+D$99*(GREET1_Import_Export!$G$179*GREET1_Import_Export!$B203+GREET1_Import_Export!$G203)+D$100*(GREET1_Import_Export!$D$179*GREET1_Import_Export!$B203+GREET1_Import_Export!$D203)+D$101*GREET1_Import_Export!$B239+D$102*GREET1_Import_Export!$C292+D$103*(GREET1_Import_Export!$E$179*GREET1_Import_Export!$B203+GREET1_Import_Export!$E203)+D$104*$B48+MMULT($B192:$S192+0,C$63:C$80+0)</f>
        <v>435.98715213948878</v>
      </c>
      <c r="E126" s="817">
        <f t="shared" si="13"/>
        <v>0</v>
      </c>
      <c r="F126" s="749" cm="1">
        <f t="array" aca="1" ref="F126" ca="1">F$98*(GREET1_Import_Export!$F$179*GREET1_Import_Export!$B203+GREET1_Import_Export!$F203)+F$99*(GREET1_Import_Export!$G$179*GREET1_Import_Export!$B203+GREET1_Import_Export!$G203)+F$100*(GREET1_Import_Export!$D$179*GREET1_Import_Export!$B203+GREET1_Import_Export!$D203)+F$101*GREET1_Import_Export!$B239+F$102*GREET1_Import_Export!$C292+F$103*(GREET1_Import_Export!$E$179*GREET1_Import_Export!$B203+GREET1_Import_Export!$E203)+F$104*$C48+MMULT($B192:$S192+0,D$63:D$80+0)</f>
        <v>536.66331941232443</v>
      </c>
      <c r="G126" s="817">
        <f t="shared" si="14"/>
        <v>0</v>
      </c>
      <c r="H126" s="749" cm="1">
        <f t="array" aca="1" ref="H126" ca="1">H$98*(GREET1_Import_Export!$F$179*GREET1_Import_Export!$B203+GREET1_Import_Export!$F203)+H$99*(GREET1_Import_Export!$G$179*GREET1_Import_Export!$B203+GREET1_Import_Export!$G203)+H$100*(GREET1_Import_Export!$D$179*GREET1_Import_Export!$B203+GREET1_Import_Export!$D203)+H$101*GREET1_Import_Export!$B239+H$102*GREET1_Import_Export!$C292+H$103*(GREET1_Import_Export!$E$179*GREET1_Import_Export!$B203+GREET1_Import_Export!$E203)+H$104*$C48+MMULT($B192:$S192+0,E$63:E$80+0)</f>
        <v>325.98426302180462</v>
      </c>
      <c r="I126" s="817">
        <f t="shared" si="15"/>
        <v>0</v>
      </c>
      <c r="J126" s="749">
        <f>J$98*(J$88*(GREET1_Import_Export!$K74)+GREET1_Import_Export!$F$200*GREET1_Import_Export!$B203+GREET1_Import_Export!$F203)+J$99*(J$88*(GREET1_Import_Export!$O74)+GREET1_Import_Export!$G$200*GREET1_Import_Export!$B203+GREET1_Import_Export!$G203)+J$101*(J$88*(GREET1_Import_Export!$B74)+GREET1_Import_Export!$B239)+J$102*(J$88*(GREET1_Import_Export!$AA74)+GREET1_Import_Export!$C292)+J$104*(GREET1_Import_Export!$D317+GREET1_Import_Export!$E317)</f>
        <v>74.590404580840925</v>
      </c>
      <c r="K126" s="817">
        <f t="shared" si="16"/>
        <v>0</v>
      </c>
      <c r="L126" s="749" cm="1">
        <f t="array" aca="1" ref="L126" ca="1">L$98*(GREET1_Import_Export!$F$179*GREET1_Import_Export!$B203+GREET1_Import_Export!$F203+B$10*GREET1_Import_Export!$K74*L$88)+L$99*(GREET1_Import_Export!$G$179*GREET1_Import_Export!$B203+GREET1_Import_Export!$G203+(B$14*GREET1_Import_Export!$R74+B$15*GREET1_Import_Export!$E148)*L$88)+L$100*(GREET1_Import_Export!$D$179*GREET1_Import_Export!$B203+GREET1_Import_Export!$D203)+L$101*(GREET1_Import_Export!$B239+L$88*(B$11*GREET1_Import_Export!$B74+B$12*GREET1_Import_Export!$G74))+L$102*(GREET1_Import_Export!$C292+L$88*B$13*GREET1_Import_Export!$AA74)+L$103*(GREET1_Import_Export!$E$179*GREET1_Import_Export!$B203+GREET1_Import_Export!$E203)+L$104*$C48+MMULT($B192:$S192+0,F$63:F$80+0)</f>
        <v>614.5920424951338</v>
      </c>
      <c r="M126" s="817">
        <f t="shared" si="17"/>
        <v>0</v>
      </c>
      <c r="N126" s="749">
        <f>N$98*(GREET1_Import_Export!$F$179*GREET1_Import_Export!$B203+GREET1_Import_Export!$F203+C$10*GREET1_Import_Export!$K74*N$88)+N$99*(GREET1_Import_Export!$G$179*GREET1_Import_Export!$B203+GREET1_Import_Export!$G203+(C$14*GREET1_Import_Export!$R74+C$15*GREET1_Import_Export!$E148)*N$88)+N$100*(GREET1_Import_Export!$D$179*GREET1_Import_Export!$B203+GREET1_Import_Export!$D203)+N$101*(GREET1_Import_Export!$B239+N$88*(C$11*GREET1_Import_Export!$B74+C$12*GREET1_Import_Export!$G74))+N$102*(GREET1_Import_Export!$C292+N$88*C$13*GREET1_Import_Export!$AA74)+N$103*(GREET1_Import_Export!$E$179*GREET1_Import_Export!$B203+GREET1_Import_Export!$E203)+N$104*$D48</f>
        <v>97.908679259885801</v>
      </c>
      <c r="O126" s="817">
        <f t="shared" si="18"/>
        <v>0</v>
      </c>
      <c r="P126" s="749" cm="1">
        <f t="array" aca="1" ref="P126" ca="1">P$98*(GREET1_Import_Export!$F$179*GREET1_Import_Export!$B203+GREET1_Import_Export!$F203+D$10*GREET1_Import_Export!$K74*P$88)+P$99*(GREET1_Import_Export!$G$179*GREET1_Import_Export!$B203+GREET1_Import_Export!$G203+(D$14*GREET1_Import_Export!$R74+D$15*GREET1_Import_Export!$E148)*P$88)+P$100*(GREET1_Import_Export!$D$179*GREET1_Import_Export!$B203+GREET1_Import_Export!$D203)+P$101*(GREET1_Import_Export!$B239+P$88*(D$11*GREET1_Import_Export!$B74+D$12*GREET1_Import_Export!$G74))+P$102*(GREET1_Import_Export!$C292+P$88*D$13*GREET1_Import_Export!$AA74)+P$103*(GREET1_Import_Export!$E$179*GREET1_Import_Export!$B203+GREET1_Import_Export!$E203)+P$104*$D48+MMULT($B192:$S192+0,G$63:G$80+0)</f>
        <v>361.70339607975257</v>
      </c>
      <c r="Q126" s="817">
        <f t="shared" si="19"/>
        <v>0</v>
      </c>
      <c r="R126" s="749" cm="1">
        <f t="array" aca="1" ref="R126" ca="1">R$98*(GREET1_Import_Export!$F$179*GREET1_Import_Export!$B203+GREET1_Import_Export!$F203+E$10*GREET1_Import_Export!$K74*R$88)+R$99*(GREET1_Import_Export!$G$179*GREET1_Import_Export!$B203+GREET1_Import_Export!$G203+(E$14*GREET1_Import_Export!$R74+E$15*GREET1_Import_Export!$E148)*R$88)+R$100*(GREET1_Import_Export!$D$179*GREET1_Import_Export!$B203+GREET1_Import_Export!$D203)+R$101*(GREET1_Import_Export!$B239+R$88*(E$11*GREET1_Import_Export!$B74+E$12*GREET1_Import_Export!$G74))+R$102*(GREET1_Import_Export!$C292+R$88*E$13*GREET1_Import_Export!$AA74)+R$103*(GREET1_Import_Export!$E$179*GREET1_Import_Export!$B203+GREET1_Import_Export!$E203)+R$104*$E48+MMULT($B192:$S192+0,H$63:H$80+0)</f>
        <v>153.67621738573482</v>
      </c>
      <c r="S126" s="817">
        <f t="shared" si="20"/>
        <v>0</v>
      </c>
      <c r="T126" s="749" cm="1">
        <f t="array" aca="1" ref="T126" ca="1">T$98*(GREET1_Import_Export!$F$179*GREET1_Import_Export!$B203+GREET1_Import_Export!$F203)+T$99*(GREET1_Import_Export!$G$179*GREET1_Import_Export!$B203+GREET1_Import_Export!$G203)+T$100*(GREET1_Import_Export!$D$179*GREET1_Import_Export!$B203+GREET1_Import_Export!$D203)+T$101*GREET1_Import_Export!$B239+T$102*GREET1_Import_Export!$C292+T$103*(GREET1_Import_Export!$E$179*GREET1_Import_Export!$B203+GREET1_Import_Export!$E203)+T$104*$B48+MMULT($B192:$S192+0,I$63:I$80+0)</f>
        <v>85.963652179069683</v>
      </c>
      <c r="U126" s="817">
        <f t="shared" si="21"/>
        <v>0</v>
      </c>
      <c r="V126" s="749" cm="1">
        <f t="array" aca="1" ref="V126" ca="1">V$98*(GREET1_Import_Export!$F$179*GREET1_Import_Export!$B203+GREET1_Import_Export!$F203)+V$99*(GREET1_Import_Export!$G$179*GREET1_Import_Export!$B203+GREET1_Import_Export!$G203)+V$100*(GREET1_Import_Export!$D$179*GREET1_Import_Export!$B203+GREET1_Import_Export!$D203)+V$101*GREET1_Import_Export!$B239+V$102*GREET1_Import_Export!$C292+V$103*(GREET1_Import_Export!$E$179*GREET1_Import_Export!$B203+GREET1_Import_Export!$E203)+V$104*$B48+MMULT($B192:$S192+0,J$63:J$80+0)</f>
        <v>172.62715912634908</v>
      </c>
      <c r="W126" s="817">
        <f t="shared" si="22"/>
        <v>0</v>
      </c>
      <c r="X126" s="749" cm="1">
        <f t="array" aca="1" ref="X126" ca="1">X$98*(GREET1_Import_Export!$F$179*GREET1_Import_Export!$B203+GREET1_Import_Export!$F203)+X$99*(GREET1_Import_Export!$G$179*GREET1_Import_Export!$B203+GREET1_Import_Export!$G203)+X$100*(GREET1_Import_Export!$D$179*GREET1_Import_Export!$B203+GREET1_Import_Export!$D203)+X$101*GREET1_Import_Export!$B239+X$102*GREET1_Import_Export!$C292+X$103*(GREET1_Import_Export!$E$179*GREET1_Import_Export!$B203+GREET1_Import_Export!$E203)+X$104*$C48+MMULT($B192:$S192+0,K$63:K$80+0)</f>
        <v>147.39443935841052</v>
      </c>
      <c r="Y126" s="817">
        <f t="shared" si="23"/>
        <v>0</v>
      </c>
      <c r="Z126" s="749" cm="1">
        <f t="array" aca="1" ref="Z126" ca="1">Z$98*(GREET1_Import_Export!$F$179*GREET1_Import_Export!$B203+GREET1_Import_Export!$F203)+Z$99*(GREET1_Import_Export!$G$179*GREET1_Import_Export!$B203+GREET1_Import_Export!$G203)+Z$100*(GREET1_Import_Export!$D$179*GREET1_Import_Export!$B203+GREET1_Import_Export!$D203)+Z$101*GREET1_Import_Export!$B239+Z$102*GREET1_Import_Export!$C292+Z$103*(GREET1_Import_Export!$E$179*GREET1_Import_Export!$B203+GREET1_Import_Export!$E203)+Z$104*$C48+MMULT($B192:$S192+0,L$63:L$80+0)</f>
        <v>139.30929053145115</v>
      </c>
      <c r="AA126" s="817">
        <f t="shared" si="24"/>
        <v>0</v>
      </c>
      <c r="AB126" s="749">
        <f>AB$98*(AB$88*(GREET1_Import_Export!$K74)+GREET1_Import_Export!$F$200*GREET1_Import_Export!$B203+GREET1_Import_Export!$F203)+AB$99*(AB$88*(GREET1_Import_Export!$O74)+GREET1_Import_Export!$G$200*GREET1_Import_Export!$B203+GREET1_Import_Export!$G203)+AB$101*(AB$88*(GREET1_Import_Export!$B74)+GREET1_Import_Export!$B239)+AB$102*(AB$88*(GREET1_Import_Export!$AA74)+GREET1_Import_Export!$C292)+AB$104*(GREET1_Import_Export!$D317+GREET1_Import_Export!$E317)</f>
        <v>51.1503179036863</v>
      </c>
      <c r="AC126" s="817">
        <f>AC114*AB$88</f>
        <v>0</v>
      </c>
      <c r="AD126" s="749">
        <f>AD$98*(AD$88*(GREET1_Import_Export!$K74)+GREET1_Import_Export!$F$200*GREET1_Import_Export!$B203+GREET1_Import_Export!$F203)+AD$99*(AD$88*(GREET1_Import_Export!$O74)+GREET1_Import_Export!$G$200*GREET1_Import_Export!$B203+GREET1_Import_Export!$G203)+AD$101*(AD$88*(GREET1_Import_Export!$B74)+GREET1_Import_Export!$B239)+AD$102*(AD$88*(GREET1_Import_Export!$AA74)+GREET1_Import_Export!$C292)+AD$104*(GREET1_Import_Export!$D317+GREET1_Import_Export!$E317)</f>
        <v>11.503154898983246</v>
      </c>
      <c r="AE126" s="817">
        <f t="shared" si="25"/>
        <v>0</v>
      </c>
      <c r="AG126" s="349"/>
      <c r="AH126" s="349"/>
      <c r="BY126" s="349"/>
    </row>
    <row r="127" spans="1:77" s="496" customFormat="1">
      <c r="A127" s="794" t="s">
        <v>824</v>
      </c>
      <c r="B127" s="749" cm="1">
        <f t="array" aca="1" ref="B127" ca="1">B$98*(GREET1_Import_Export!$F$179*GREET1_Import_Export!$B204+GREET1_Import_Export!$F204)+B$99*(GREET1_Import_Export!$G$179*GREET1_Import_Export!$B204+GREET1_Import_Export!$G204)+B$100*(GREET1_Import_Export!$D$179*GREET1_Import_Export!$B204+GREET1_Import_Export!$D204)+B$101*GREET1_Import_Export!$B240+B$102*GREET1_Import_Export!$C293+B$103*(GREET1_Import_Export!$E$179*GREET1_Import_Export!$B204+GREET1_Import_Export!$E204)+B$104*$B49+MMULT($B193:$S193+0,B$63:B$80+0)</f>
        <v>36.835862376836161</v>
      </c>
      <c r="C127" s="817">
        <f t="shared" si="12"/>
        <v>0</v>
      </c>
      <c r="D127" s="749" cm="1">
        <f t="array" aca="1" ref="D127" ca="1">D$98*(GREET1_Import_Export!$F$179*GREET1_Import_Export!$B204+GREET1_Import_Export!$F204)+D$99*(GREET1_Import_Export!$G$179*GREET1_Import_Export!$B204+GREET1_Import_Export!$G204)+D$100*(GREET1_Import_Export!$D$179*GREET1_Import_Export!$B204+GREET1_Import_Export!$D204)+D$101*GREET1_Import_Export!$B240+D$102*GREET1_Import_Export!$C293+D$103*(GREET1_Import_Export!$E$179*GREET1_Import_Export!$B204+GREET1_Import_Export!$E204)+D$104*$B49+MMULT($B193:$S193+0,C$63:C$80+0)</f>
        <v>54.506948881282725</v>
      </c>
      <c r="E127" s="817">
        <f t="shared" si="13"/>
        <v>0</v>
      </c>
      <c r="F127" s="749" cm="1">
        <f t="array" aca="1" ref="F127" ca="1">F$98*(GREET1_Import_Export!$F$179*GREET1_Import_Export!$B204+GREET1_Import_Export!$F204)+F$99*(GREET1_Import_Export!$G$179*GREET1_Import_Export!$B204+GREET1_Import_Export!$G204)+F$100*(GREET1_Import_Export!$D$179*GREET1_Import_Export!$B204+GREET1_Import_Export!$D204)+F$101*GREET1_Import_Export!$B240+F$102*GREET1_Import_Export!$C293+F$103*(GREET1_Import_Export!$E$179*GREET1_Import_Export!$B204+GREET1_Import_Export!$E204)+F$104*$C49+MMULT($B193:$S193+0,D$63:D$80+0)</f>
        <v>57.604849841236536</v>
      </c>
      <c r="G127" s="817">
        <f t="shared" si="14"/>
        <v>0</v>
      </c>
      <c r="H127" s="749" cm="1">
        <f t="array" aca="1" ref="H127" ca="1">H$98*(GREET1_Import_Export!$F$179*GREET1_Import_Export!$B204+GREET1_Import_Export!$F204)+H$99*(GREET1_Import_Export!$G$179*GREET1_Import_Export!$B204+GREET1_Import_Export!$G204)+H$100*(GREET1_Import_Export!$D$179*GREET1_Import_Export!$B204+GREET1_Import_Export!$D204)+H$101*GREET1_Import_Export!$B240+H$102*GREET1_Import_Export!$C293+H$103*(GREET1_Import_Export!$E$179*GREET1_Import_Export!$B204+GREET1_Import_Export!$E204)+H$104*$C49+MMULT($B193:$S193+0,E$63:E$80+0)</f>
        <v>36.300034651689366</v>
      </c>
      <c r="I127" s="817">
        <f t="shared" si="15"/>
        <v>0</v>
      </c>
      <c r="J127" s="749">
        <f>J$98*(J$88*(GREET1_Import_Export!$K75)+GREET1_Import_Export!$F$200*GREET1_Import_Export!$B204+GREET1_Import_Export!$F204)+J$99*(J$88*(GREET1_Import_Export!$O75)+GREET1_Import_Export!$G$200*GREET1_Import_Export!$B204+GREET1_Import_Export!$G204)+J$101*(J$88*(GREET1_Import_Export!$B75)+GREET1_Import_Export!$B240)+J$102*(J$88*(GREET1_Import_Export!$AA75)+GREET1_Import_Export!$C293)+J$104*(GREET1_Import_Export!$D318+GREET1_Import_Export!$E318)</f>
        <v>5.4735531007429419</v>
      </c>
      <c r="K127" s="817">
        <f t="shared" si="16"/>
        <v>0</v>
      </c>
      <c r="L127" s="749" cm="1">
        <f t="array" aca="1" ref="L127" ca="1">L$98*(GREET1_Import_Export!$F$179*GREET1_Import_Export!$B204+GREET1_Import_Export!$F204+B$10*GREET1_Import_Export!$K75*L$88)+L$99*(GREET1_Import_Export!$G$179*GREET1_Import_Export!$B204+GREET1_Import_Export!$G204+(B$14*GREET1_Import_Export!$R75+B$15*GREET1_Import_Export!$E149)*L$88)+L$100*(GREET1_Import_Export!$D$179*GREET1_Import_Export!$B204+GREET1_Import_Export!$D204)+L$101*(GREET1_Import_Export!$B240+L$88*(B$11*GREET1_Import_Export!$B75+B$12*GREET1_Import_Export!$G75))+L$102*(GREET1_Import_Export!$C293+L$88*B$13*GREET1_Import_Export!$AA75)+L$103*(GREET1_Import_Export!$E$179*GREET1_Import_Export!$B204+GREET1_Import_Export!$E204)+L$104*$C49+MMULT($B193:$S193+0,F$63:F$80+0)</f>
        <v>71.034914761424361</v>
      </c>
      <c r="M127" s="817">
        <f t="shared" si="17"/>
        <v>0</v>
      </c>
      <c r="N127" s="749">
        <f>N$98*(GREET1_Import_Export!$F$179*GREET1_Import_Export!$B204+GREET1_Import_Export!$F204+C$10*GREET1_Import_Export!$K75*N$88)+N$99*(GREET1_Import_Export!$G$179*GREET1_Import_Export!$B204+GREET1_Import_Export!$G204+(C$14*GREET1_Import_Export!$R75+C$15*GREET1_Import_Export!$E149)*N$88)+N$100*(GREET1_Import_Export!$D$179*GREET1_Import_Export!$B204+GREET1_Import_Export!$D204)+N$101*(GREET1_Import_Export!$B240+N$88*(C$11*GREET1_Import_Export!$B75+C$12*GREET1_Import_Export!$G75))+N$102*(GREET1_Import_Export!$C293+N$88*C$13*GREET1_Import_Export!$AA75)+N$103*(GREET1_Import_Export!$E$179*GREET1_Import_Export!$B204+GREET1_Import_Export!$E204)+N$104*$D49</f>
        <v>10.759335283446884</v>
      </c>
      <c r="O127" s="817">
        <f t="shared" si="18"/>
        <v>0</v>
      </c>
      <c r="P127" s="749" cm="1">
        <f t="array" aca="1" ref="P127" ca="1">P$98*(GREET1_Import_Export!$F$179*GREET1_Import_Export!$B204+GREET1_Import_Export!$F204+D$10*GREET1_Import_Export!$K75*P$88)+P$99*(GREET1_Import_Export!$G$179*GREET1_Import_Export!$B204+GREET1_Import_Export!$G204+(D$14*GREET1_Import_Export!$R75+D$15*GREET1_Import_Export!$E149)*P$88)+P$100*(GREET1_Import_Export!$D$179*GREET1_Import_Export!$B204+GREET1_Import_Export!$D204)+P$101*(GREET1_Import_Export!$B240+P$88*(D$11*GREET1_Import_Export!$B75+D$12*GREET1_Import_Export!$G75))+P$102*(GREET1_Import_Export!$C293+P$88*D$13*GREET1_Import_Export!$AA75)+P$103*(GREET1_Import_Export!$E$179*GREET1_Import_Export!$B204+GREET1_Import_Export!$E204)+P$104*$D49+MMULT($B193:$S193+0,G$63:G$80+0)</f>
        <v>33.651324293999977</v>
      </c>
      <c r="Q127" s="817">
        <f t="shared" si="19"/>
        <v>0</v>
      </c>
      <c r="R127" s="749" cm="1">
        <f t="array" aca="1" ref="R127" ca="1">R$98*(GREET1_Import_Export!$F$179*GREET1_Import_Export!$B204+GREET1_Import_Export!$F204+E$10*GREET1_Import_Export!$K75*R$88)+R$99*(GREET1_Import_Export!$G$179*GREET1_Import_Export!$B204+GREET1_Import_Export!$G204+(E$14*GREET1_Import_Export!$R75+E$15*GREET1_Import_Export!$E149)*R$88)+R$100*(GREET1_Import_Export!$D$179*GREET1_Import_Export!$B204+GREET1_Import_Export!$D204)+R$101*(GREET1_Import_Export!$B240+R$88*(E$11*GREET1_Import_Export!$B75+E$12*GREET1_Import_Export!$G75))+R$102*(GREET1_Import_Export!$C293+R$88*E$13*GREET1_Import_Export!$AA75)+R$103*(GREET1_Import_Export!$E$179*GREET1_Import_Export!$B204+GREET1_Import_Export!$E204)+R$104*$E49+MMULT($B193:$S193+0,H$63:H$80+0)</f>
        <v>17.600357342194318</v>
      </c>
      <c r="S127" s="817">
        <f t="shared" si="20"/>
        <v>0</v>
      </c>
      <c r="T127" s="749" cm="1">
        <f t="array" aca="1" ref="T127" ca="1">T$98*(GREET1_Import_Export!$F$179*GREET1_Import_Export!$B204+GREET1_Import_Export!$F204)+T$99*(GREET1_Import_Export!$G$179*GREET1_Import_Export!$B204+GREET1_Import_Export!$G204)+T$100*(GREET1_Import_Export!$D$179*GREET1_Import_Export!$B204+GREET1_Import_Export!$D204)+T$101*GREET1_Import_Export!$B240+T$102*GREET1_Import_Export!$C293+T$103*(GREET1_Import_Export!$E$179*GREET1_Import_Export!$B204+GREET1_Import_Export!$E204)+T$104*$B49+MMULT($B193:$S193+0,I$63:I$80+0)</f>
        <v>11.005983915408525</v>
      </c>
      <c r="U127" s="817">
        <f t="shared" si="21"/>
        <v>0</v>
      </c>
      <c r="V127" s="749" cm="1">
        <f t="array" aca="1" ref="V127" ca="1">V$98*(GREET1_Import_Export!$F$179*GREET1_Import_Export!$B204+GREET1_Import_Export!$F204)+V$99*(GREET1_Import_Export!$G$179*GREET1_Import_Export!$B204+GREET1_Import_Export!$G204)+V$100*(GREET1_Import_Export!$D$179*GREET1_Import_Export!$B204+GREET1_Import_Export!$D204)+V$101*GREET1_Import_Export!$B240+V$102*GREET1_Import_Export!$C293+V$103*(GREET1_Import_Export!$E$179*GREET1_Import_Export!$B204+GREET1_Import_Export!$E204)+V$104*$B49+MMULT($B193:$S193+0,J$63:J$80+0)</f>
        <v>21.244182197316466</v>
      </c>
      <c r="W127" s="817">
        <f t="shared" si="22"/>
        <v>0</v>
      </c>
      <c r="X127" s="749" cm="1">
        <f t="array" aca="1" ref="X127" ca="1">X$98*(GREET1_Import_Export!$F$179*GREET1_Import_Export!$B204+GREET1_Import_Export!$F204)+X$99*(GREET1_Import_Export!$G$179*GREET1_Import_Export!$B204+GREET1_Import_Export!$G204)+X$100*(GREET1_Import_Export!$D$179*GREET1_Import_Export!$B204+GREET1_Import_Export!$D204)+X$101*GREET1_Import_Export!$B240+X$102*GREET1_Import_Export!$C293+X$103*(GREET1_Import_Export!$E$179*GREET1_Import_Export!$B204+GREET1_Import_Export!$E204)+X$104*$C49+MMULT($B193:$S193+0,K$63:K$80+0)</f>
        <v>15.702974246204587</v>
      </c>
      <c r="Y127" s="817">
        <f t="shared" si="23"/>
        <v>0</v>
      </c>
      <c r="Z127" s="749" cm="1">
        <f t="array" aca="1" ref="Z127" ca="1">Z$98*(GREET1_Import_Export!$F$179*GREET1_Import_Export!$B204+GREET1_Import_Export!$F204)+Z$99*(GREET1_Import_Export!$G$179*GREET1_Import_Export!$B204+GREET1_Import_Export!$G204)+Z$100*(GREET1_Import_Export!$D$179*GREET1_Import_Export!$B204+GREET1_Import_Export!$D204)+Z$101*GREET1_Import_Export!$B240+Z$102*GREET1_Import_Export!$C293+Z$103*(GREET1_Import_Export!$E$179*GREET1_Import_Export!$B204+GREET1_Import_Export!$E204)+Z$104*$C49+MMULT($B193:$S193+0,L$63:L$80+0)</f>
        <v>15.57316944744001</v>
      </c>
      <c r="AA127" s="817">
        <f t="shared" si="24"/>
        <v>0</v>
      </c>
      <c r="AB127" s="749">
        <f>AB$98*(AB$88*(GREET1_Import_Export!$K75)+GREET1_Import_Export!$F$200*GREET1_Import_Export!$B204+GREET1_Import_Export!$F204)+AB$99*(AB$88*(GREET1_Import_Export!$O75)+GREET1_Import_Export!$G$200*GREET1_Import_Export!$B204+GREET1_Import_Export!$G204)+AB$101*(AB$88*(GREET1_Import_Export!$B75)+GREET1_Import_Export!$B240)+AB$102*(AB$88*(GREET1_Import_Export!$AA75)+GREET1_Import_Export!$C293)+AB$104*(GREET1_Import_Export!$D318+GREET1_Import_Export!$E318)</f>
        <v>5.6320531682172854</v>
      </c>
      <c r="AC127" s="817">
        <f>AC115*AB$88</f>
        <v>0</v>
      </c>
      <c r="AD127" s="749">
        <f>AD$98*(AD$88*(GREET1_Import_Export!$K75)+GREET1_Import_Export!$F$200*GREET1_Import_Export!$B204+GREET1_Import_Export!$F204)+AD$99*(AD$88*(GREET1_Import_Export!$O75)+GREET1_Import_Export!$G$200*GREET1_Import_Export!$B204+GREET1_Import_Export!$G204)+AD$101*(AD$88*(GREET1_Import_Export!$B75)+GREET1_Import_Export!$B240)+AD$102*(AD$88*(GREET1_Import_Export!$AA75)+GREET1_Import_Export!$C293)+AD$104*(GREET1_Import_Export!$D318+GREET1_Import_Export!$E318)</f>
        <v>0.84411834899510152</v>
      </c>
      <c r="AE127" s="817">
        <f t="shared" si="25"/>
        <v>0</v>
      </c>
    </row>
    <row r="128" spans="1:77" s="496" customFormat="1">
      <c r="A128" s="794" t="s">
        <v>825</v>
      </c>
      <c r="B128" s="749" cm="1">
        <f t="array" aca="1" ref="B128" ca="1">B$98*(GREET1_Import_Export!$F$179*GREET1_Import_Export!$B205+GREET1_Import_Export!$F205)+B$99*(GREET1_Import_Export!$G$179*GREET1_Import_Export!$B205+GREET1_Import_Export!$G205)+B$100*(GREET1_Import_Export!$D$179*GREET1_Import_Export!$B205+GREET1_Import_Export!$D205)+B$101*GREET1_Import_Export!$B241+B$102*GREET1_Import_Export!$C294+B$103*(GREET1_Import_Export!$E$179*GREET1_Import_Export!$B205+GREET1_Import_Export!$E205)+B$104*$B50+MMULT($B194:$S194+0,B$63:B$80+0)</f>
        <v>31.473438992691818</v>
      </c>
      <c r="C128" s="817">
        <f t="shared" si="12"/>
        <v>0</v>
      </c>
      <c r="D128" s="749" cm="1">
        <f t="array" aca="1" ref="D128" ca="1">D$98*(GREET1_Import_Export!$F$179*GREET1_Import_Export!$B205+GREET1_Import_Export!$F205)+D$99*(GREET1_Import_Export!$G$179*GREET1_Import_Export!$B205+GREET1_Import_Export!$G205)+D$100*(GREET1_Import_Export!$D$179*GREET1_Import_Export!$B205+GREET1_Import_Export!$D205)+D$101*GREET1_Import_Export!$B241+D$102*GREET1_Import_Export!$C294+D$103*(GREET1_Import_Export!$E$179*GREET1_Import_Export!$B205+GREET1_Import_Export!$E205)+D$104*$B50+MMULT($B194:$S194+0,C$63:C$80+0)</f>
        <v>46.53363423373716</v>
      </c>
      <c r="E128" s="817">
        <f t="shared" si="13"/>
        <v>0</v>
      </c>
      <c r="F128" s="749" cm="1">
        <f t="array" aca="1" ref="F128" ca="1">F$98*(GREET1_Import_Export!$F$179*GREET1_Import_Export!$B205+GREET1_Import_Export!$F205)+F$99*(GREET1_Import_Export!$G$179*GREET1_Import_Export!$B205+GREET1_Import_Export!$G205)+F$100*(GREET1_Import_Export!$D$179*GREET1_Import_Export!$B205+GREET1_Import_Export!$D205)+F$101*GREET1_Import_Export!$B241+F$102*GREET1_Import_Export!$C294+F$103*(GREET1_Import_Export!$E$179*GREET1_Import_Export!$B205+GREET1_Import_Export!$E205)+F$104*$C50+MMULT($B194:$S194+0,D$63:D$80+0)</f>
        <v>49.876315374278654</v>
      </c>
      <c r="G128" s="817">
        <f t="shared" si="14"/>
        <v>0</v>
      </c>
      <c r="H128" s="749" cm="1">
        <f t="array" aca="1" ref="H128" ca="1">H$98*(GREET1_Import_Export!$F$179*GREET1_Import_Export!$B205+GREET1_Import_Export!$F205)+H$99*(GREET1_Import_Export!$G$179*GREET1_Import_Export!$B205+GREET1_Import_Export!$G205)+H$100*(GREET1_Import_Export!$D$179*GREET1_Import_Export!$B205+GREET1_Import_Export!$D205)+H$101*GREET1_Import_Export!$B241+H$102*GREET1_Import_Export!$C294+H$103*(GREET1_Import_Export!$E$179*GREET1_Import_Export!$B205+GREET1_Import_Export!$E205)+H$104*$C50+MMULT($B194:$S194+0,E$63:E$80+0)</f>
        <v>31.314439885098054</v>
      </c>
      <c r="I128" s="817">
        <f t="shared" si="15"/>
        <v>0</v>
      </c>
      <c r="J128" s="749">
        <f>J$98*(J$88*(GREET1_Import_Export!$K76)+GREET1_Import_Export!$F$200*GREET1_Import_Export!$B205+GREET1_Import_Export!$F205)+J$99*(J$88*(GREET1_Import_Export!$O76)+GREET1_Import_Export!$G$200*GREET1_Import_Export!$B205+GREET1_Import_Export!$G205)+J$101*(J$88*(GREET1_Import_Export!$B76)+GREET1_Import_Export!$B241)+J$102*(J$88*(GREET1_Import_Export!$AA76)+GREET1_Import_Export!$C294)+J$104*(GREET1_Import_Export!$D319+GREET1_Import_Export!$E319)</f>
        <v>4.8060803742298077</v>
      </c>
      <c r="K128" s="817">
        <f t="shared" si="16"/>
        <v>0</v>
      </c>
      <c r="L128" s="749" cm="1">
        <f t="array" aca="1" ref="L128" ca="1">L$98*(GREET1_Import_Export!$F$179*GREET1_Import_Export!$B205+GREET1_Import_Export!$F205+B$10*GREET1_Import_Export!$K76*L$88)+L$99*(GREET1_Import_Export!$G$179*GREET1_Import_Export!$B205+GREET1_Import_Export!$G205+(B$14*GREET1_Import_Export!$R76+B$15*GREET1_Import_Export!$E150)*L$88)+L$100*(GREET1_Import_Export!$D$179*GREET1_Import_Export!$B205+GREET1_Import_Export!$D205)+L$101*(GREET1_Import_Export!$B241+L$88*(B$11*GREET1_Import_Export!$B76+B$12*GREET1_Import_Export!$G76))+L$102*(GREET1_Import_Export!$C294+L$88*B$13*GREET1_Import_Export!$AA76)+L$103*(GREET1_Import_Export!$E$179*GREET1_Import_Export!$B205+GREET1_Import_Export!$E205)+L$104*$C50+MMULT($B194:$S194+0,F$63:F$80+0)</f>
        <v>61.086643116279838</v>
      </c>
      <c r="M128" s="817">
        <f t="shared" si="17"/>
        <v>0</v>
      </c>
      <c r="N128" s="749">
        <f>N$98*(GREET1_Import_Export!$F$179*GREET1_Import_Export!$B205+GREET1_Import_Export!$F205+C$10*GREET1_Import_Export!$K76*N$88)+N$99*(GREET1_Import_Export!$G$179*GREET1_Import_Export!$B205+GREET1_Import_Export!$G205+(C$14*GREET1_Import_Export!$R76+C$15*GREET1_Import_Export!$E150)*N$88)+N$100*(GREET1_Import_Export!$D$179*GREET1_Import_Export!$B205+GREET1_Import_Export!$D205)+N$101*(GREET1_Import_Export!$B241+N$88*(C$11*GREET1_Import_Export!$B76+C$12*GREET1_Import_Export!$G76))+N$102*(GREET1_Import_Export!$C294+N$88*C$13*GREET1_Import_Export!$AA76)+N$103*(GREET1_Import_Export!$E$179*GREET1_Import_Export!$B205+GREET1_Import_Export!$E205)+N$104*$D50</f>
        <v>9.3646665660742023</v>
      </c>
      <c r="O128" s="817">
        <f t="shared" si="18"/>
        <v>0</v>
      </c>
      <c r="P128" s="749" cm="1">
        <f t="array" aca="1" ref="P128" ca="1">P$98*(GREET1_Import_Export!$F$179*GREET1_Import_Export!$B205+GREET1_Import_Export!$F205+D$10*GREET1_Import_Export!$K76*P$88)+P$99*(GREET1_Import_Export!$G$179*GREET1_Import_Export!$B205+GREET1_Import_Export!$G205+(D$14*GREET1_Import_Export!$R76+D$15*GREET1_Import_Export!$E150)*P$88)+P$100*(GREET1_Import_Export!$D$179*GREET1_Import_Export!$B205+GREET1_Import_Export!$D205)+P$101*(GREET1_Import_Export!$B241+P$88*(D$11*GREET1_Import_Export!$B76+D$12*GREET1_Import_Export!$G76))+P$102*(GREET1_Import_Export!$C294+P$88*D$13*GREET1_Import_Export!$AA76)+P$103*(GREET1_Import_Export!$E$179*GREET1_Import_Export!$B205+GREET1_Import_Export!$E205)+P$104*$D50+MMULT($B194:$S194+0,G$63:G$80+0)</f>
        <v>29.433593319924164</v>
      </c>
      <c r="Q128" s="817">
        <f t="shared" si="19"/>
        <v>0</v>
      </c>
      <c r="R128" s="749" cm="1">
        <f t="array" aca="1" ref="R128" ca="1">R$98*(GREET1_Import_Export!$F$179*GREET1_Import_Export!$B205+GREET1_Import_Export!$F205+E$10*GREET1_Import_Export!$K76*R$88)+R$99*(GREET1_Import_Export!$G$179*GREET1_Import_Export!$B205+GREET1_Import_Export!$G205+(E$14*GREET1_Import_Export!$R76+E$15*GREET1_Import_Export!$E150)*R$88)+R$100*(GREET1_Import_Export!$D$179*GREET1_Import_Export!$B205+GREET1_Import_Export!$D205)+R$101*(GREET1_Import_Export!$B241+R$88*(E$11*GREET1_Import_Export!$B76+E$12*GREET1_Import_Export!$G76))+R$102*(GREET1_Import_Export!$C294+R$88*E$13*GREET1_Import_Export!$AA76)+R$103*(GREET1_Import_Export!$E$179*GREET1_Import_Export!$B205+GREET1_Import_Export!$E205)+R$104*$E50+MMULT($B194:$S194+0,H$63:H$80+0)</f>
        <v>14.893036581350996</v>
      </c>
      <c r="S128" s="817">
        <f t="shared" si="20"/>
        <v>0</v>
      </c>
      <c r="T128" s="749" cm="1">
        <f t="array" aca="1" ref="T128" ca="1">T$98*(GREET1_Import_Export!$F$179*GREET1_Import_Export!$B205+GREET1_Import_Export!$F205)+T$99*(GREET1_Import_Export!$G$179*GREET1_Import_Export!$B205+GREET1_Import_Export!$G205)+T$100*(GREET1_Import_Export!$D$179*GREET1_Import_Export!$B205+GREET1_Import_Export!$D205)+T$101*GREET1_Import_Export!$B241+T$102*GREET1_Import_Export!$C294+T$103*(GREET1_Import_Export!$E$179*GREET1_Import_Export!$B205+GREET1_Import_Export!$E205)+T$104*$B50+MMULT($B194:$S194+0,I$63:I$80+0)</f>
        <v>9.412070833735747</v>
      </c>
      <c r="U128" s="817">
        <f t="shared" si="21"/>
        <v>0</v>
      </c>
      <c r="V128" s="749" cm="1">
        <f t="array" aca="1" ref="V128" ca="1">V$98*(GREET1_Import_Export!$F$179*GREET1_Import_Export!$B205+GREET1_Import_Export!$F205)+V$99*(GREET1_Import_Export!$G$179*GREET1_Import_Export!$B205+GREET1_Import_Export!$G205)+V$100*(GREET1_Import_Export!$D$179*GREET1_Import_Export!$B205+GREET1_Import_Export!$D205)+V$101*GREET1_Import_Export!$B241+V$102*GREET1_Import_Export!$C294+V$103*(GREET1_Import_Export!$E$179*GREET1_Import_Export!$B205+GREET1_Import_Export!$E205)+V$104*$B50+MMULT($B194:$S194+0,J$63:J$80+0)</f>
        <v>18.134055994983274</v>
      </c>
      <c r="W128" s="817">
        <f t="shared" si="22"/>
        <v>0</v>
      </c>
      <c r="X128" s="749" cm="1">
        <f t="array" aca="1" ref="X128" ca="1">X$98*(GREET1_Import_Export!$F$179*GREET1_Import_Export!$B205+GREET1_Import_Export!$F205)+X$99*(GREET1_Import_Export!$G$179*GREET1_Import_Export!$B205+GREET1_Import_Export!$G205)+X$100*(GREET1_Import_Export!$D$179*GREET1_Import_Export!$B205+GREET1_Import_Export!$D205)+X$101*GREET1_Import_Export!$B241+X$102*GREET1_Import_Export!$C294+X$103*(GREET1_Import_Export!$E$179*GREET1_Import_Export!$B205+GREET1_Import_Export!$E205)+X$104*$C50+MMULT($B194:$S194+0,K$63:K$80+0)</f>
        <v>13.68240847984562</v>
      </c>
      <c r="Y128" s="817">
        <f t="shared" si="23"/>
        <v>0</v>
      </c>
      <c r="Z128" s="749" cm="1">
        <f t="array" aca="1" ref="Z128" ca="1">Z$98*(GREET1_Import_Export!$F$179*GREET1_Import_Export!$B205+GREET1_Import_Export!$F205)+Z$99*(GREET1_Import_Export!$G$179*GREET1_Import_Export!$B205+GREET1_Import_Export!$G205)+Z$100*(GREET1_Import_Export!$D$179*GREET1_Import_Export!$B205+GREET1_Import_Export!$D205)+Z$101*GREET1_Import_Export!$B241+Z$102*GREET1_Import_Export!$C294+Z$103*(GREET1_Import_Export!$E$179*GREET1_Import_Export!$B205+GREET1_Import_Export!$E205)+Z$104*$C50+MMULT($B194:$S194+0,L$63:L$80+0)</f>
        <v>13.454673278994662</v>
      </c>
      <c r="AA128" s="817">
        <f t="shared" si="24"/>
        <v>0</v>
      </c>
      <c r="AB128" s="749">
        <f>AB$98*(AB$88*(GREET1_Import_Export!$K76)+GREET1_Import_Export!$F$200*GREET1_Import_Export!$B205+GREET1_Import_Export!$F205)+AB$99*(AB$88*(GREET1_Import_Export!$O76)+GREET1_Import_Export!$G$200*GREET1_Import_Export!$B205+GREET1_Import_Export!$G205)+AB$101*(AB$88*(GREET1_Import_Export!$B76)+GREET1_Import_Export!$B241)+AB$102*(AB$88*(GREET1_Import_Export!$AA76)+GREET1_Import_Export!$C294)+AB$104*(GREET1_Import_Export!$D319+GREET1_Import_Export!$E319)</f>
        <v>4.9541953187749037</v>
      </c>
      <c r="AC128" s="817" t="e">
        <f>#REF!*AB$88</f>
        <v>#REF!</v>
      </c>
      <c r="AD128" s="749">
        <f>AD$98*(AD$88*(GREET1_Import_Export!$K76)+GREET1_Import_Export!$F$200*GREET1_Import_Export!$B205+GREET1_Import_Export!$F205)+AD$99*(AD$88*(GREET1_Import_Export!$O76)+GREET1_Import_Export!$G$200*GREET1_Import_Export!$B205+GREET1_Import_Export!$G205)+AD$101*(AD$88*(GREET1_Import_Export!$B76)+GREET1_Import_Export!$B241)+AD$102*(AD$88*(GREET1_Import_Export!$AA76)+GREET1_Import_Export!$C294)+AD$104*(GREET1_Import_Export!$D319+GREET1_Import_Export!$E319)</f>
        <v>0.74118229164196292</v>
      </c>
      <c r="AE128" s="817">
        <f t="shared" si="25"/>
        <v>0</v>
      </c>
    </row>
    <row r="129" spans="1:77">
      <c r="A129" s="794" t="s">
        <v>826</v>
      </c>
      <c r="B129" s="749" cm="1">
        <f t="array" aca="1" ref="B129" ca="1">B$98*(GREET1_Import_Export!$F$179*GREET1_Import_Export!$B206+GREET1_Import_Export!$F206)+B$99*(GREET1_Import_Export!$G$179*GREET1_Import_Export!$B206+GREET1_Import_Export!$G206)+B$100*(GREET1_Import_Export!$D$179*GREET1_Import_Export!$B206+GREET1_Import_Export!$D206)+B$101*GREET1_Import_Export!$B242+B$102*GREET1_Import_Export!$C295+B$103*(GREET1_Import_Export!$E$179*GREET1_Import_Export!$B206+GREET1_Import_Export!$E206)+B$104*$B51+MMULT($B195:$S195+0,B$63:B$80+0)</f>
        <v>316.22518002625515</v>
      </c>
      <c r="C129" s="817">
        <f t="shared" si="12"/>
        <v>0</v>
      </c>
      <c r="D129" s="749" cm="1">
        <f t="array" aca="1" ref="D129" ca="1">D$98*(GREET1_Import_Export!$F$179*GREET1_Import_Export!$B206+GREET1_Import_Export!$F206)+D$99*(GREET1_Import_Export!$G$179*GREET1_Import_Export!$B206+GREET1_Import_Export!$G206)+D$100*(GREET1_Import_Export!$D$179*GREET1_Import_Export!$B206+GREET1_Import_Export!$D206)+D$101*GREET1_Import_Export!$B242+D$102*GREET1_Import_Export!$C295+D$103*(GREET1_Import_Export!$E$179*GREET1_Import_Export!$B206+GREET1_Import_Export!$E206)+D$104*$B51+MMULT($B195:$S195+0,C$63:C$80+0)</f>
        <v>488.16693858458223</v>
      </c>
      <c r="E129" s="817">
        <f t="shared" si="13"/>
        <v>0</v>
      </c>
      <c r="F129" s="749" cm="1">
        <f t="array" aca="1" ref="F129" ca="1">F$98*(GREET1_Import_Export!$F$179*GREET1_Import_Export!$B206+GREET1_Import_Export!$F206)+F$99*(GREET1_Import_Export!$G$179*GREET1_Import_Export!$B206+GREET1_Import_Export!$G206)+F$100*(GREET1_Import_Export!$D$179*GREET1_Import_Export!$B206+GREET1_Import_Export!$D206)+F$101*GREET1_Import_Export!$B242+F$102*GREET1_Import_Export!$C295+F$103*(GREET1_Import_Export!$E$179*GREET1_Import_Export!$B206+GREET1_Import_Export!$E206)+F$104*$C51+MMULT($B195:$S195+0,D$63:D$80+0)</f>
        <v>476.36784009836822</v>
      </c>
      <c r="G129" s="817">
        <f t="shared" si="14"/>
        <v>0</v>
      </c>
      <c r="H129" s="749" cm="1">
        <f t="array" aca="1" ref="H129" ca="1">H$98*(GREET1_Import_Export!$F$179*GREET1_Import_Export!$B206+GREET1_Import_Export!$F206)+H$99*(GREET1_Import_Export!$G$179*GREET1_Import_Export!$B206+GREET1_Import_Export!$G206)+H$100*(GREET1_Import_Export!$D$179*GREET1_Import_Export!$B206+GREET1_Import_Export!$D206)+H$101*GREET1_Import_Export!$B242+H$102*GREET1_Import_Export!$C295+H$103*(GREET1_Import_Export!$E$179*GREET1_Import_Export!$B206+GREET1_Import_Export!$E206)+H$104*$C51+MMULT($B195:$S195+0,E$63:E$80+0)</f>
        <v>310.9260143132089</v>
      </c>
      <c r="I129" s="817">
        <f t="shared" si="15"/>
        <v>0</v>
      </c>
      <c r="J129" s="749">
        <f>J$98*(J$88*(GREET1_Import_Export!$K77)+GREET1_Import_Export!$F$200*GREET1_Import_Export!$B206+GREET1_Import_Export!$F206)+J$99*(J$88*(GREET1_Import_Export!$O77)+GREET1_Import_Export!$G$200*GREET1_Import_Export!$B206+GREET1_Import_Export!$G206)+J$101*(J$88*(GREET1_Import_Export!$B77)+GREET1_Import_Export!$B242)+J$102*(J$88*(GREET1_Import_Export!$AA77)+GREET1_Import_Export!$C295)+J$104*(GREET1_Import_Export!$D320+GREET1_Import_Export!$E320)</f>
        <v>36.206578095339594</v>
      </c>
      <c r="K129" s="817">
        <f t="shared" si="16"/>
        <v>0</v>
      </c>
      <c r="L129" s="749" cm="1">
        <f t="array" aca="1" ref="L129" ca="1">L$98*(GREET1_Import_Export!$F$179*GREET1_Import_Export!$B206+GREET1_Import_Export!$F206+B$10*GREET1_Import_Export!$K77*L$88)+L$99*(GREET1_Import_Export!$G$179*GREET1_Import_Export!$B206+GREET1_Import_Export!$G206+(B$14*GREET1_Import_Export!$R77+B$15*GREET1_Import_Export!$E151)*L$88)+L$100*(GREET1_Import_Export!$D$179*GREET1_Import_Export!$B206+GREET1_Import_Export!$D206)+L$101*(GREET1_Import_Export!$B242+L$88*(B$11*GREET1_Import_Export!$B77+B$12*GREET1_Import_Export!$G77))+L$102*(GREET1_Import_Export!$C295+L$88*B$13*GREET1_Import_Export!$AA77)+L$103*(GREET1_Import_Export!$E$179*GREET1_Import_Export!$B206+GREET1_Import_Export!$E206)+L$104*$C51+MMULT($B195:$S195+0,F$63:F$80+0)</f>
        <v>608.88192488022412</v>
      </c>
      <c r="M129" s="817">
        <f t="shared" si="17"/>
        <v>0</v>
      </c>
      <c r="N129" s="749">
        <f>N$98*(GREET1_Import_Export!$F$179*GREET1_Import_Export!$B206+GREET1_Import_Export!$F206+C$10*GREET1_Import_Export!$K77*N$88)+N$99*(GREET1_Import_Export!$G$179*GREET1_Import_Export!$B206+GREET1_Import_Export!$G206+(C$14*GREET1_Import_Export!$R77+C$15*GREET1_Import_Export!$E151)*N$88)+N$100*(GREET1_Import_Export!$D$179*GREET1_Import_Export!$B206+GREET1_Import_Export!$D206)+N$101*(GREET1_Import_Export!$B242+N$88*(C$11*GREET1_Import_Export!$B77+C$12*GREET1_Import_Export!$G77))+N$102*(GREET1_Import_Export!$C295+N$88*C$13*GREET1_Import_Export!$AA77)+N$103*(GREET1_Import_Export!$E$179*GREET1_Import_Export!$B206+GREET1_Import_Export!$E206)+N$104*$D51</f>
        <v>54.763703528041603</v>
      </c>
      <c r="O129" s="817">
        <f t="shared" si="18"/>
        <v>0</v>
      </c>
      <c r="P129" s="749" cm="1">
        <f t="array" aca="1" ref="P129" ca="1">P$98*(GREET1_Import_Export!$F$179*GREET1_Import_Export!$B206+GREET1_Import_Export!$F206+D$10*GREET1_Import_Export!$K77*P$88)+P$99*(GREET1_Import_Export!$G$179*GREET1_Import_Export!$B206+GREET1_Import_Export!$G206+(D$14*GREET1_Import_Export!$R77+D$15*GREET1_Import_Export!$E151)*P$88)+P$100*(GREET1_Import_Export!$D$179*GREET1_Import_Export!$B206+GREET1_Import_Export!$D206)+P$101*(GREET1_Import_Export!$B242+P$88*(D$11*GREET1_Import_Export!$B77+D$12*GREET1_Import_Export!$G77))+P$102*(GREET1_Import_Export!$C295+P$88*D$13*GREET1_Import_Export!$AA77)+P$103*(GREET1_Import_Export!$E$179*GREET1_Import_Export!$B206+GREET1_Import_Export!$E206)+P$104*$D51+MMULT($B195:$S195+0,G$63:G$80+0)</f>
        <v>203.37529482510399</v>
      </c>
      <c r="Q129" s="817">
        <f t="shared" si="19"/>
        <v>0</v>
      </c>
      <c r="R129" s="749" cm="1">
        <f t="array" aca="1" ref="R129" ca="1">R$98*(GREET1_Import_Export!$F$179*GREET1_Import_Export!$B206+GREET1_Import_Export!$F206+E$10*GREET1_Import_Export!$K77*R$88)+R$99*(GREET1_Import_Export!$G$179*GREET1_Import_Export!$B206+GREET1_Import_Export!$G206+(E$14*GREET1_Import_Export!$R77+E$15*GREET1_Import_Export!$E151)*R$88)+R$100*(GREET1_Import_Export!$D$179*GREET1_Import_Export!$B206+GREET1_Import_Export!$D206)+R$101*(GREET1_Import_Export!$B242+R$88*(E$11*GREET1_Import_Export!$B77+E$12*GREET1_Import_Export!$G77))+R$102*(GREET1_Import_Export!$C295+R$88*E$13*GREET1_Import_Export!$AA77)+R$103*(GREET1_Import_Export!$E$179*GREET1_Import_Export!$B206+GREET1_Import_Export!$E206)+R$104*$E51+MMULT($B195:$S195+0,H$63:H$80+0)</f>
        <v>173.73541672841176</v>
      </c>
      <c r="S129" s="817">
        <f t="shared" si="20"/>
        <v>0</v>
      </c>
      <c r="T129" s="749" cm="1">
        <f t="array" aca="1" ref="T129" ca="1">T$98*(GREET1_Import_Export!$F$179*GREET1_Import_Export!$B206+GREET1_Import_Export!$F206)+T$99*(GREET1_Import_Export!$G$179*GREET1_Import_Export!$B206+GREET1_Import_Export!$G206)+T$100*(GREET1_Import_Export!$D$179*GREET1_Import_Export!$B206+GREET1_Import_Export!$D206)+T$101*GREET1_Import_Export!$B242+T$102*GREET1_Import_Export!$C295+T$103*(GREET1_Import_Export!$E$179*GREET1_Import_Export!$B206+GREET1_Import_Export!$E206)+T$104*$B51+MMULT($B195:$S195+0,I$63:I$80+0)</f>
        <v>94.352177804258204</v>
      </c>
      <c r="U129" s="817">
        <f t="shared" si="21"/>
        <v>0</v>
      </c>
      <c r="V129" s="749" cm="1">
        <f t="array" aca="1" ref="V129" ca="1">V$98*(GREET1_Import_Export!$F$179*GREET1_Import_Export!$B206+GREET1_Import_Export!$F206)+V$99*(GREET1_Import_Export!$G$179*GREET1_Import_Export!$B206+GREET1_Import_Export!$G206)+V$100*(GREET1_Import_Export!$D$179*GREET1_Import_Export!$B206+GREET1_Import_Export!$D206)+V$101*GREET1_Import_Export!$B242+V$102*GREET1_Import_Export!$C295+V$103*(GREET1_Import_Export!$E$179*GREET1_Import_Export!$B206+GREET1_Import_Export!$E206)+V$104*$B51+MMULT($B195:$S195+0,J$63:J$80+0)</f>
        <v>192.32901441786964</v>
      </c>
      <c r="W129" s="817">
        <f t="shared" si="22"/>
        <v>0</v>
      </c>
      <c r="X129" s="749" cm="1">
        <f t="array" aca="1" ref="X129" ca="1">X$98*(GREET1_Import_Export!$F$179*GREET1_Import_Export!$B206+GREET1_Import_Export!$F206)+X$99*(GREET1_Import_Export!$G$179*GREET1_Import_Export!$B206+GREET1_Import_Export!$G206)+X$100*(GREET1_Import_Export!$D$179*GREET1_Import_Export!$B206+GREET1_Import_Export!$D206)+X$101*GREET1_Import_Export!$B242+X$102*GREET1_Import_Export!$C295+X$103*(GREET1_Import_Export!$E$179*GREET1_Import_Export!$B206+GREET1_Import_Export!$E206)+X$104*$C51+MMULT($B195:$S195+0,K$63:K$80+0)</f>
        <v>121.16764959570725</v>
      </c>
      <c r="Y129" s="817">
        <f t="shared" si="23"/>
        <v>0</v>
      </c>
      <c r="Z129" s="749" cm="1">
        <f t="array" aca="1" ref="Z129" ca="1">Z$98*(GREET1_Import_Export!$F$179*GREET1_Import_Export!$B206+GREET1_Import_Export!$F206)+Z$99*(GREET1_Import_Export!$G$179*GREET1_Import_Export!$B206+GREET1_Import_Export!$G206)+Z$100*(GREET1_Import_Export!$D$179*GREET1_Import_Export!$B206+GREET1_Import_Export!$D206)+Z$101*GREET1_Import_Export!$B242+Z$102*GREET1_Import_Export!$C295+Z$103*(GREET1_Import_Export!$E$179*GREET1_Import_Export!$B206+GREET1_Import_Export!$E206)+Z$104*$C51+MMULT($B195:$S195+0,L$63:L$80+0)</f>
        <v>131.82144860907732</v>
      </c>
      <c r="AA129" s="817">
        <f t="shared" si="24"/>
        <v>0</v>
      </c>
      <c r="AB129" s="749">
        <f>AB$98*(AB$88*(GREET1_Import_Export!$K77)+GREET1_Import_Export!$F$200*GREET1_Import_Export!$B206+GREET1_Import_Export!$F206)+AB$99*(AB$88*(GREET1_Import_Export!$O77)+GREET1_Import_Export!$G$200*GREET1_Import_Export!$B206+GREET1_Import_Export!$G206)+AB$101*(AB$88*(GREET1_Import_Export!$B77)+GREET1_Import_Export!$B242)+AB$102*(AB$88*(GREET1_Import_Export!$AA77)+GREET1_Import_Export!$C295)+AB$104*(GREET1_Import_Export!$D320+GREET1_Import_Export!$E320)</f>
        <v>42.017877165565444</v>
      </c>
      <c r="AC129" s="817">
        <f>AC117*AB$88</f>
        <v>0</v>
      </c>
      <c r="AD129" s="749">
        <f>AD$98*(AD$88*(GREET1_Import_Export!$K77)+GREET1_Import_Export!$F$200*GREET1_Import_Export!$B206+GREET1_Import_Export!$F206)+AD$99*(AD$88*(GREET1_Import_Export!$O77)+GREET1_Import_Export!$G$200*GREET1_Import_Export!$B206+GREET1_Import_Export!$G206)+AD$101*(AD$88*(GREET1_Import_Export!$B77)+GREET1_Import_Export!$B242)+AD$102*(AD$88*(GREET1_Import_Export!$AA77)+GREET1_Import_Export!$C295)+AD$104*(GREET1_Import_Export!$D320+GREET1_Import_Export!$E320)</f>
        <v>5.5836924136995965</v>
      </c>
      <c r="AE129" s="817">
        <f t="shared" si="25"/>
        <v>0</v>
      </c>
      <c r="AG129" s="496"/>
      <c r="AH129" s="496"/>
      <c r="BY129" s="496"/>
    </row>
    <row r="130" spans="1:77">
      <c r="A130" s="794" t="s">
        <v>827</v>
      </c>
      <c r="B130" s="749" cm="1">
        <f t="array" aca="1" ref="B130" ca="1">B$98*(GREET1_Import_Export!$F$179*GREET1_Import_Export!$B207+GREET1_Import_Export!$F207)+B$99*(GREET1_Import_Export!$G$179*GREET1_Import_Export!$B207+GREET1_Import_Export!$G207)+B$100*(GREET1_Import_Export!$D$179*GREET1_Import_Export!$B207+GREET1_Import_Export!$D207)+B$101*GREET1_Import_Export!$B243+B$102*GREET1_Import_Export!$C296+B$103*(GREET1_Import_Export!$E$179*GREET1_Import_Export!$B207+GREET1_Import_Export!$E207)+B$104*$B52+MMULT($B196:$S196+0,B$63:B$80+0)</f>
        <v>1.828813538281969</v>
      </c>
      <c r="C130" s="817">
        <f t="shared" si="12"/>
        <v>0</v>
      </c>
      <c r="D130" s="749" cm="1">
        <f t="array" aca="1" ref="D130" ca="1">D$98*(GREET1_Import_Export!$F$179*GREET1_Import_Export!$B207+GREET1_Import_Export!$F207)+D$99*(GREET1_Import_Export!$G$179*GREET1_Import_Export!$B207+GREET1_Import_Export!$G207)+D$100*(GREET1_Import_Export!$D$179*GREET1_Import_Export!$B207+GREET1_Import_Export!$D207)+D$101*GREET1_Import_Export!$B243+D$102*GREET1_Import_Export!$C296+D$103*(GREET1_Import_Export!$E$179*GREET1_Import_Export!$B207+GREET1_Import_Export!$E207)+D$104*$B52+MMULT($B196:$S196+0,C$63:C$80+0)</f>
        <v>2.4559681750247777</v>
      </c>
      <c r="E130" s="817">
        <f t="shared" si="13"/>
        <v>0</v>
      </c>
      <c r="F130" s="749" cm="1">
        <f t="array" aca="1" ref="F130" ca="1">F$98*(GREET1_Import_Export!$F$179*GREET1_Import_Export!$B207+GREET1_Import_Export!$F207)+F$99*(GREET1_Import_Export!$G$179*GREET1_Import_Export!$B207+GREET1_Import_Export!$G207)+F$100*(GREET1_Import_Export!$D$179*GREET1_Import_Export!$B207+GREET1_Import_Export!$D207)+F$101*GREET1_Import_Export!$B243+F$102*GREET1_Import_Export!$C296+F$103*(GREET1_Import_Export!$E$179*GREET1_Import_Export!$B207+GREET1_Import_Export!$E207)+F$104*$C52+MMULT($B196:$S196+0,D$63:D$80+0)</f>
        <v>2.6957842933478418</v>
      </c>
      <c r="G130" s="817">
        <f t="shared" si="14"/>
        <v>0</v>
      </c>
      <c r="H130" s="749" cm="1">
        <f t="array" aca="1" ref="H130" ca="1">H$98*(GREET1_Import_Export!$F$179*GREET1_Import_Export!$B207+GREET1_Import_Export!$F207)+H$99*(GREET1_Import_Export!$G$179*GREET1_Import_Export!$B207+GREET1_Import_Export!$G207)+H$100*(GREET1_Import_Export!$D$179*GREET1_Import_Export!$B207+GREET1_Import_Export!$D207)+H$101*GREET1_Import_Export!$B243+H$102*GREET1_Import_Export!$C296+H$103*(GREET1_Import_Export!$E$179*GREET1_Import_Export!$B207+GREET1_Import_Export!$E207)+H$104*$C52+MMULT($B196:$S196+0,E$63:E$80+0)</f>
        <v>1.6318761697237607</v>
      </c>
      <c r="I130" s="817">
        <f t="shared" si="15"/>
        <v>0</v>
      </c>
      <c r="J130" s="749">
        <f>J$98*(J$88*(GREET1_Import_Export!$K78)+GREET1_Import_Export!$F$200*GREET1_Import_Export!$B207+GREET1_Import_Export!$F207)+J$99*(J$88*(GREET1_Import_Export!$O78)+GREET1_Import_Export!$G$200*GREET1_Import_Export!$B207+GREET1_Import_Export!$G207)+J$101*(J$88*(GREET1_Import_Export!$B78)+GREET1_Import_Export!$B243)+J$102*(J$88*(GREET1_Import_Export!$AA78)+GREET1_Import_Export!$C296)+J$104*(GREET1_Import_Export!$D321+GREET1_Import_Export!$E321)</f>
        <v>0.32230831127465936</v>
      </c>
      <c r="K130" s="817">
        <f t="shared" si="16"/>
        <v>0</v>
      </c>
      <c r="L130" s="749" cm="1">
        <f t="array" aca="1" ref="L130" ca="1">L$98*(GREET1_Import_Export!$F$179*GREET1_Import_Export!$B207+GREET1_Import_Export!$F207+B$10*GREET1_Import_Export!$K78*L$88)+L$99*(GREET1_Import_Export!$G$179*GREET1_Import_Export!$B207+GREET1_Import_Export!$G207+(B$14*GREET1_Import_Export!$R78+B$15*GREET1_Import_Export!$E152)*L$88)+L$100*(GREET1_Import_Export!$D$179*GREET1_Import_Export!$B207+GREET1_Import_Export!$D207)+L$101*(GREET1_Import_Export!$B243+L$88*(B$11*GREET1_Import_Export!$B78+B$12*GREET1_Import_Export!$G78))+L$102*(GREET1_Import_Export!$C296+L$88*B$13*GREET1_Import_Export!$AA78)+L$103*(GREET1_Import_Export!$E$179*GREET1_Import_Export!$B207+GREET1_Import_Export!$E207)+L$104*$C52+MMULT($B196:$S196+0,F$63:F$80+0)</f>
        <v>3.3586163546596541</v>
      </c>
      <c r="M130" s="817">
        <f t="shared" si="17"/>
        <v>0</v>
      </c>
      <c r="N130" s="749">
        <f>N$98*(GREET1_Import_Export!$F$179*GREET1_Import_Export!$B207+GREET1_Import_Export!$F207+C$10*GREET1_Import_Export!$K78*N$88)+N$99*(GREET1_Import_Export!$G$179*GREET1_Import_Export!$B207+GREET1_Import_Export!$G207+(C$14*GREET1_Import_Export!$R78+C$15*GREET1_Import_Export!$E152)*N$88)+N$100*(GREET1_Import_Export!$D$179*GREET1_Import_Export!$B207+GREET1_Import_Export!$D207)+N$101*(GREET1_Import_Export!$B243+N$88*(C$11*GREET1_Import_Export!$B78+C$12*GREET1_Import_Export!$G78))+N$102*(GREET1_Import_Export!$C296+N$88*C$13*GREET1_Import_Export!$AA78)+N$103*(GREET1_Import_Export!$E$179*GREET1_Import_Export!$B207+GREET1_Import_Export!$E207)+N$104*$D52</f>
        <v>0.95015655670358767</v>
      </c>
      <c r="O130" s="817">
        <f t="shared" si="18"/>
        <v>0</v>
      </c>
      <c r="P130" s="749" cm="1">
        <f t="array" aca="1" ref="P130" ca="1">P$98*(GREET1_Import_Export!$F$179*GREET1_Import_Export!$B207+GREET1_Import_Export!$F207+D$10*GREET1_Import_Export!$K78*P$88)+P$99*(GREET1_Import_Export!$G$179*GREET1_Import_Export!$B207+GREET1_Import_Export!$G207+(D$14*GREET1_Import_Export!$R78+D$15*GREET1_Import_Export!$E152)*P$88)+P$100*(GREET1_Import_Export!$D$179*GREET1_Import_Export!$B207+GREET1_Import_Export!$D207)+P$101*(GREET1_Import_Export!$B243+P$88*(D$11*GREET1_Import_Export!$B78+D$12*GREET1_Import_Export!$G78))+P$102*(GREET1_Import_Export!$C296+P$88*D$13*GREET1_Import_Export!$AA78)+P$103*(GREET1_Import_Export!$E$179*GREET1_Import_Export!$B207+GREET1_Import_Export!$E207)+P$104*$D52+MMULT($B196:$S196+0,G$63:G$80+0)</f>
        <v>2.4294479942847045</v>
      </c>
      <c r="Q130" s="817">
        <f t="shared" si="19"/>
        <v>0</v>
      </c>
      <c r="R130" s="749" cm="1">
        <f t="array" aca="1" ref="R130" ca="1">R$98*(GREET1_Import_Export!$F$179*GREET1_Import_Export!$B207+GREET1_Import_Export!$F207+E$10*GREET1_Import_Export!$K78*R$88)+R$99*(GREET1_Import_Export!$G$179*GREET1_Import_Export!$B207+GREET1_Import_Export!$G207+(E$14*GREET1_Import_Export!$R78+E$15*GREET1_Import_Export!$E152)*R$88)+R$100*(GREET1_Import_Export!$D$179*GREET1_Import_Export!$B207+GREET1_Import_Export!$D207)+R$101*(GREET1_Import_Export!$B243+R$88*(E$11*GREET1_Import_Export!$B78+E$12*GREET1_Import_Export!$G78))+R$102*(GREET1_Import_Export!$C296+R$88*E$13*GREET1_Import_Export!$AA78)+R$103*(GREET1_Import_Export!$E$179*GREET1_Import_Export!$B207+GREET1_Import_Export!$E207)+R$104*$E52+MMULT($B196:$S196+0,H$63:H$80+0)</f>
        <v>0.76569223518124052</v>
      </c>
      <c r="S130" s="817">
        <f t="shared" si="20"/>
        <v>0</v>
      </c>
      <c r="T130" s="749" cm="1">
        <f t="array" aca="1" ref="T130" ca="1">T$98*(GREET1_Import_Export!$F$179*GREET1_Import_Export!$B207+GREET1_Import_Export!$F207)+T$99*(GREET1_Import_Export!$G$179*GREET1_Import_Export!$B207+GREET1_Import_Export!$G207)+T$100*(GREET1_Import_Export!$D$179*GREET1_Import_Export!$B207+GREET1_Import_Export!$D207)+T$101*GREET1_Import_Export!$B243+T$102*GREET1_Import_Export!$C296+T$103*(GREET1_Import_Export!$E$179*GREET1_Import_Export!$B207+GREET1_Import_Export!$E207)+T$104*$B52+MMULT($B196:$S196+0,I$63:I$80+0)</f>
        <v>0.54438624385444456</v>
      </c>
      <c r="U130" s="817">
        <f t="shared" si="21"/>
        <v>0</v>
      </c>
      <c r="V130" s="749" cm="1">
        <f t="array" aca="1" ref="V130" ca="1">V$98*(GREET1_Import_Export!$F$179*GREET1_Import_Export!$B207+GREET1_Import_Export!$F207)+V$99*(GREET1_Import_Export!$G$179*GREET1_Import_Export!$B207+GREET1_Import_Export!$G207)+V$100*(GREET1_Import_Export!$D$179*GREET1_Import_Export!$B207+GREET1_Import_Export!$D207)+V$101*GREET1_Import_Export!$B243+V$102*GREET1_Import_Export!$C296+V$103*(GREET1_Import_Export!$E$179*GREET1_Import_Export!$B207+GREET1_Import_Export!$E207)+V$104*$B52+MMULT($B196:$S196+0,J$63:J$80+0)</f>
        <v>0.93936437321916777</v>
      </c>
      <c r="W130" s="817">
        <f t="shared" si="22"/>
        <v>0</v>
      </c>
      <c r="X130" s="749" cm="1">
        <f t="array" aca="1" ref="X130" ca="1">X$98*(GREET1_Import_Export!$F$179*GREET1_Import_Export!$B207+GREET1_Import_Export!$F207)+X$99*(GREET1_Import_Export!$G$179*GREET1_Import_Export!$B207+GREET1_Import_Export!$G207)+X$100*(GREET1_Import_Export!$D$179*GREET1_Import_Export!$B207+GREET1_Import_Export!$D207)+X$101*GREET1_Import_Export!$B243+X$102*GREET1_Import_Export!$C296+X$103*(GREET1_Import_Export!$E$179*GREET1_Import_Export!$B207+GREET1_Import_Export!$E207)+X$104*$C52+MMULT($B196:$S196+0,K$63:K$80+0)</f>
        <v>0.75673499653038101</v>
      </c>
      <c r="Y130" s="817">
        <f t="shared" si="23"/>
        <v>0</v>
      </c>
      <c r="Z130" s="749" cm="1">
        <f t="array" aca="1" ref="Z130" ca="1">Z$98*(GREET1_Import_Export!$F$179*GREET1_Import_Export!$B207+GREET1_Import_Export!$F207)+Z$99*(GREET1_Import_Export!$G$179*GREET1_Import_Export!$B207+GREET1_Import_Export!$G207)+Z$100*(GREET1_Import_Export!$D$179*GREET1_Import_Export!$B207+GREET1_Import_Export!$D207)+Z$101*GREET1_Import_Export!$B243+Z$102*GREET1_Import_Export!$C296+Z$103*(GREET1_Import_Export!$E$179*GREET1_Import_Export!$B207+GREET1_Import_Export!$E207)+Z$104*$C52+MMULT($B196:$S196+0,L$63:L$80+0)</f>
        <v>0.70314098823712334</v>
      </c>
      <c r="AA130" s="817">
        <f t="shared" si="24"/>
        <v>0</v>
      </c>
      <c r="AB130" s="749">
        <f>AB$98*(AB$88*(GREET1_Import_Export!$K78)+GREET1_Import_Export!$F$200*GREET1_Import_Export!$B207+GREET1_Import_Export!$F207)+AB$99*(AB$88*(GREET1_Import_Export!$O78)+GREET1_Import_Export!$G$200*GREET1_Import_Export!$B207+GREET1_Import_Export!$G207)+AB$101*(AB$88*(GREET1_Import_Export!$B78)+GREET1_Import_Export!$B243)+AB$102*(AB$88*(GREET1_Import_Export!$AA78)+GREET1_Import_Export!$C296)+AB$104*(GREET1_Import_Export!$D321+GREET1_Import_Export!$E321)</f>
        <v>0.25955755506544925</v>
      </c>
      <c r="AC130" s="817">
        <f>AC118*AB$88</f>
        <v>0</v>
      </c>
      <c r="AD130" s="749">
        <f>AD$98*(AD$88*(GREET1_Import_Export!$K78)+GREET1_Import_Export!$F$200*GREET1_Import_Export!$B207+GREET1_Import_Export!$F207)+AD$99*(AD$88*(GREET1_Import_Export!$O78)+GREET1_Import_Export!$G$200*GREET1_Import_Export!$B207+GREET1_Import_Export!$G207)+AD$101*(AD$88*(GREET1_Import_Export!$B78)+GREET1_Import_Export!$B243)+AD$102*(AD$88*(GREET1_Import_Export!$AA78)+GREET1_Import_Export!$C296)+AD$104*(GREET1_Import_Export!$D321+GREET1_Import_Export!$E321)</f>
        <v>4.9705621663492475E-2</v>
      </c>
      <c r="AE130" s="817">
        <f t="shared" si="25"/>
        <v>0</v>
      </c>
    </row>
    <row r="131" spans="1:77">
      <c r="A131" s="954" t="s">
        <v>828</v>
      </c>
      <c r="B131" s="771" cm="1">
        <f t="array" aca="1" ref="B131" ca="1">B$98*(GREET1_Import_Export!$F$179*GREET1_Import_Export!$B208+GREET1_Import_Export!$F208)+B$99*(GREET1_Import_Export!$G$179*GREET1_Import_Export!$B208+GREET1_Import_Export!$G208)+B$100*(GREET1_Import_Export!$D$179*GREET1_Import_Export!$B208+GREET1_Import_Export!$D208)+B$101*GREET1_Import_Export!$B244+B$102*GREET1_Import_Export!$C297+B$103*(GREET1_Import_Export!$E$179*GREET1_Import_Export!$B208+GREET1_Import_Export!$E208)+B$104*$B53+MMULT($B197:$S197+0,B$63:B$80+0)</f>
        <v>5.7120804232757969</v>
      </c>
      <c r="C131" s="1084">
        <f t="shared" si="12"/>
        <v>0</v>
      </c>
      <c r="D131" s="771" cm="1">
        <f t="array" aca="1" ref="D131" ca="1">D$98*(GREET1_Import_Export!$F$179*GREET1_Import_Export!$B208+GREET1_Import_Export!$F208)+D$99*(GREET1_Import_Export!$G$179*GREET1_Import_Export!$B208+GREET1_Import_Export!$G208)+D$100*(GREET1_Import_Export!$D$179*GREET1_Import_Export!$B208+GREET1_Import_Export!$D208)+D$101*GREET1_Import_Export!$B244+D$102*GREET1_Import_Export!$C297+D$103*(GREET1_Import_Export!$E$179*GREET1_Import_Export!$B208+GREET1_Import_Export!$E208)+D$104*$B53+MMULT($B197:$S197+0,C$63:C$80+0)</f>
        <v>8.3798131198631527</v>
      </c>
      <c r="E131" s="1084">
        <f t="shared" si="13"/>
        <v>0</v>
      </c>
      <c r="F131" s="771" cm="1">
        <f t="array" aca="1" ref="F131" ca="1">F$98*(GREET1_Import_Export!$F$179*GREET1_Import_Export!$B208+GREET1_Import_Export!$F208)+F$99*(GREET1_Import_Export!$G$179*GREET1_Import_Export!$B208+GREET1_Import_Export!$G208)+F$100*(GREET1_Import_Export!$D$179*GREET1_Import_Export!$B208+GREET1_Import_Export!$D208)+F$101*GREET1_Import_Export!$B244+F$102*GREET1_Import_Export!$C297+F$103*(GREET1_Import_Export!$E$179*GREET1_Import_Export!$B208+GREET1_Import_Export!$E208)+F$104*$C53+MMULT($B197:$S197+0,D$63:D$80+0)</f>
        <v>11.45510042738232</v>
      </c>
      <c r="G131" s="1084">
        <f t="shared" si="14"/>
        <v>0</v>
      </c>
      <c r="H131" s="771" cm="1">
        <f t="array" aca="1" ref="H131" ca="1">H$98*(GREET1_Import_Export!$F$179*GREET1_Import_Export!$B208+GREET1_Import_Export!$F208)+H$99*(GREET1_Import_Export!$G$179*GREET1_Import_Export!$B208+GREET1_Import_Export!$G208)+H$100*(GREET1_Import_Export!$D$179*GREET1_Import_Export!$B208+GREET1_Import_Export!$D208)+H$101*GREET1_Import_Export!$B244+H$102*GREET1_Import_Export!$C297+H$103*(GREET1_Import_Export!$E$179*GREET1_Import_Export!$B208+GREET1_Import_Export!$E208)+H$104*$C53+MMULT($B197:$S197+0,E$63:E$80+0)</f>
        <v>6.9308952696632389</v>
      </c>
      <c r="I131" s="1084">
        <f t="shared" si="15"/>
        <v>0</v>
      </c>
      <c r="J131" s="771">
        <f>J$98*(J$88*(GREET1_Import_Export!$K79)+GREET1_Import_Export!$F$200*GREET1_Import_Export!$B208+GREET1_Import_Export!$F208)+J$99*(J$88*(GREET1_Import_Export!$O79)+GREET1_Import_Export!$G$200*GREET1_Import_Export!$B208+GREET1_Import_Export!$G208)+J$101*(J$88*(GREET1_Import_Export!$B79)+GREET1_Import_Export!$B244)+J$102*(J$88*(GREET1_Import_Export!$AA79)+GREET1_Import_Export!$C297)+J$104*(GREET1_Import_Export!$D322+GREET1_Import_Export!$E322)</f>
        <v>1.3068718759173465</v>
      </c>
      <c r="K131" s="1084">
        <f t="shared" si="16"/>
        <v>0</v>
      </c>
      <c r="L131" s="771" cm="1">
        <f t="array" aca="1" ref="L131" ca="1">L$98*(GREET1_Import_Export!$F$179*GREET1_Import_Export!$B208+GREET1_Import_Export!$F208+B$10*GREET1_Import_Export!$K79*L$88)+L$99*(GREET1_Import_Export!$G$179*GREET1_Import_Export!$B208+GREET1_Import_Export!$G208+(B$14*GREET1_Import_Export!$R79+B$15*GREET1_Import_Export!$E153)*L$88)+L$100*(GREET1_Import_Export!$D$179*GREET1_Import_Export!$B208+GREET1_Import_Export!$D208)+L$101*(GREET1_Import_Export!$B244+L$88*(B$11*GREET1_Import_Export!$B79+B$12*GREET1_Import_Export!$G79))+L$102*(GREET1_Import_Export!$C297+L$88*B$13*GREET1_Import_Export!$AA79)+L$103*(GREET1_Import_Export!$E$179*GREET1_Import_Export!$B208+GREET1_Import_Export!$E208)+L$104*$C53+MMULT($B197:$S197+0,F$63:F$80+0)</f>
        <v>12.587317158126584</v>
      </c>
      <c r="M131" s="1084">
        <f t="shared" si="17"/>
        <v>0</v>
      </c>
      <c r="N131" s="771">
        <f>N$98*(GREET1_Import_Export!$F$179*GREET1_Import_Export!$B208+GREET1_Import_Export!$F208+C$10*GREET1_Import_Export!$K79*N$88)+N$99*(GREET1_Import_Export!$G$179*GREET1_Import_Export!$B208+GREET1_Import_Export!$G208+(C$14*GREET1_Import_Export!$R79+C$15*GREET1_Import_Export!$E153)*N$88)+N$100*(GREET1_Import_Export!$D$179*GREET1_Import_Export!$B208+GREET1_Import_Export!$D208)+N$101*(GREET1_Import_Export!$B244+N$88*(C$11*GREET1_Import_Export!$B79+C$12*GREET1_Import_Export!$G79))+N$102*(GREET1_Import_Export!$C297+N$88*C$13*GREET1_Import_Export!$AA79)+N$103*(GREET1_Import_Export!$E$179*GREET1_Import_Export!$B208+GREET1_Import_Export!$E208)+N$104*$D53</f>
        <v>1.4609262360560633</v>
      </c>
      <c r="O131" s="1084">
        <f t="shared" si="18"/>
        <v>0</v>
      </c>
      <c r="P131" s="771" cm="1">
        <f t="array" aca="1" ref="P131" ca="1">P$98*(GREET1_Import_Export!$F$179*GREET1_Import_Export!$B208+GREET1_Import_Export!$F208+D$10*GREET1_Import_Export!$K79*P$88)+P$99*(GREET1_Import_Export!$G$179*GREET1_Import_Export!$B208+GREET1_Import_Export!$G208+(D$14*GREET1_Import_Export!$R79+D$15*GREET1_Import_Export!$E153)*P$88)+P$100*(GREET1_Import_Export!$D$179*GREET1_Import_Export!$B208+GREET1_Import_Export!$D208)+P$101*(GREET1_Import_Export!$B244+P$88*(D$11*GREET1_Import_Export!$B79+D$12*GREET1_Import_Export!$G79))+P$102*(GREET1_Import_Export!$C297+P$88*D$13*GREET1_Import_Export!$AA79)+P$103*(GREET1_Import_Export!$E$179*GREET1_Import_Export!$B208+GREET1_Import_Export!$E208)+P$104*$D53+MMULT($B197:$S197+0,G$63:G$80+0)</f>
        <v>6.2359077862691725</v>
      </c>
      <c r="Q131" s="1084">
        <f t="shared" si="19"/>
        <v>0</v>
      </c>
      <c r="R131" s="771" cm="1">
        <f t="array" aca="1" ref="R131" ca="1">R$98*(GREET1_Import_Export!$F$179*GREET1_Import_Export!$B208+GREET1_Import_Export!$F208+E$10*GREET1_Import_Export!$K79*R$88)+R$99*(GREET1_Import_Export!$G$179*GREET1_Import_Export!$B208+GREET1_Import_Export!$G208+(E$14*GREET1_Import_Export!$R79+E$15*GREET1_Import_Export!$E153)*R$88)+R$100*(GREET1_Import_Export!$D$179*GREET1_Import_Export!$B208+GREET1_Import_Export!$D208)+R$101*(GREET1_Import_Export!$B244+R$88*(E$11*GREET1_Import_Export!$B79+E$12*GREET1_Import_Export!$G79))+R$102*(GREET1_Import_Export!$C297+R$88*E$13*GREET1_Import_Export!$AA79)+R$103*(GREET1_Import_Export!$E$179*GREET1_Import_Export!$B208+GREET1_Import_Export!$E208)+R$104*$E53+MMULT($B197:$S197+0,H$63:H$80+0)</f>
        <v>2.3179239862052272</v>
      </c>
      <c r="S131" s="1084">
        <f t="shared" si="20"/>
        <v>0</v>
      </c>
      <c r="T131" s="771" cm="1">
        <f t="array" aca="1" ref="T131" ca="1">T$98*(GREET1_Import_Export!$F$179*GREET1_Import_Export!$B208+GREET1_Import_Export!$F208)+T$99*(GREET1_Import_Export!$G$179*GREET1_Import_Export!$B208+GREET1_Import_Export!$G208)+T$100*(GREET1_Import_Export!$D$179*GREET1_Import_Export!$B208+GREET1_Import_Export!$D208)+T$101*GREET1_Import_Export!$B244+T$102*GREET1_Import_Export!$C297+T$103*(GREET1_Import_Export!$E$179*GREET1_Import_Export!$B208+GREET1_Import_Export!$E208)+T$104*$B53+MMULT($B197:$S197+0,I$63:I$80+0)</f>
        <v>1.7065016121879932</v>
      </c>
      <c r="U131" s="1084">
        <f t="shared" si="21"/>
        <v>0</v>
      </c>
      <c r="V131" s="771" cm="1">
        <f t="array" aca="1" ref="V131" ca="1">V$98*(GREET1_Import_Export!$F$179*GREET1_Import_Export!$B208+GREET1_Import_Export!$F208)+V$99*(GREET1_Import_Export!$G$179*GREET1_Import_Export!$B208+GREET1_Import_Export!$G208)+V$100*(GREET1_Import_Export!$D$179*GREET1_Import_Export!$B208+GREET1_Import_Export!$D208)+V$101*GREET1_Import_Export!$B244+V$102*GREET1_Import_Export!$C297+V$103*(GREET1_Import_Export!$E$179*GREET1_Import_Export!$B208+GREET1_Import_Export!$E208)+V$104*$B53+MMULT($B197:$S197+0,J$63:J$80+0)</f>
        <v>3.268024936647381</v>
      </c>
      <c r="W131" s="1084">
        <f t="shared" si="22"/>
        <v>0</v>
      </c>
      <c r="X131" s="771" cm="1">
        <f t="array" aca="1" ref="X131" ca="1">X$98*(GREET1_Import_Export!$F$179*GREET1_Import_Export!$B208+GREET1_Import_Export!$F208)+X$99*(GREET1_Import_Export!$G$179*GREET1_Import_Export!$B208+GREET1_Import_Export!$G208)+X$100*(GREET1_Import_Export!$D$179*GREET1_Import_Export!$B208+GREET1_Import_Export!$D208)+X$101*GREET1_Import_Export!$B244+X$102*GREET1_Import_Export!$C297+X$103*(GREET1_Import_Export!$E$179*GREET1_Import_Export!$B208+GREET1_Import_Export!$E208)+X$104*$C53+MMULT($B197:$S197+0,K$63:K$80+0)</f>
        <v>3.3824677638585641</v>
      </c>
      <c r="Y131" s="1084">
        <f t="shared" si="23"/>
        <v>0</v>
      </c>
      <c r="Z131" s="771" cm="1">
        <f t="array" aca="1" ref="Z131" ca="1">Z$98*(GREET1_Import_Export!$F$179*GREET1_Import_Export!$B208+GREET1_Import_Export!$F208)+Z$99*(GREET1_Import_Export!$G$179*GREET1_Import_Export!$B208+GREET1_Import_Export!$G208)+Z$100*(GREET1_Import_Export!$D$179*GREET1_Import_Export!$B208+GREET1_Import_Export!$D208)+Z$101*GREET1_Import_Export!$B244+Z$102*GREET1_Import_Export!$C297+Z$103*(GREET1_Import_Export!$E$179*GREET1_Import_Export!$B208+GREET1_Import_Export!$E208)+Z$104*$C53+MMULT($B197:$S197+0,L$63:L$80+0)</f>
        <v>3.0256883658103204</v>
      </c>
      <c r="AA131" s="1084">
        <f t="shared" si="24"/>
        <v>0</v>
      </c>
      <c r="AB131" s="771">
        <f>AB$98*(AB$88*(GREET1_Import_Export!$K79)+GREET1_Import_Export!$F$200*GREET1_Import_Export!$B208+GREET1_Import_Export!$F208)+AB$99*(AB$88*(GREET1_Import_Export!$O79)+GREET1_Import_Export!$G$200*GREET1_Import_Export!$B208+GREET1_Import_Export!$G208)+AB$101*(AB$88*(GREET1_Import_Export!$B79)+GREET1_Import_Export!$B244)+AB$102*(AB$88*(GREET1_Import_Export!$AA79)+GREET1_Import_Export!$C297)+AB$104*(GREET1_Import_Export!$D322+GREET1_Import_Export!$E322)</f>
        <v>1.4190313710470079</v>
      </c>
      <c r="AC131" s="1084">
        <f>AC119*AB$88</f>
        <v>0</v>
      </c>
      <c r="AD131" s="771">
        <f>AD$98*(AD$88*(GREET1_Import_Export!$K79)+GREET1_Import_Export!$F$200*GREET1_Import_Export!$B208+GREET1_Import_Export!$F208)+AD$99*(AD$88*(GREET1_Import_Export!$O79)+GREET1_Import_Export!$G$200*GREET1_Import_Export!$B208+GREET1_Import_Export!$G208)+AD$101*(AD$88*(GREET1_Import_Export!$B79)+GREET1_Import_Export!$B244)+AD$102*(AD$88*(GREET1_Import_Export!$AA79)+GREET1_Import_Export!$C297)+AD$104*(GREET1_Import_Export!$D322+GREET1_Import_Export!$E322)</f>
        <v>0.20154267437320511</v>
      </c>
      <c r="AE131" s="1084">
        <f t="shared" si="25"/>
        <v>0</v>
      </c>
    </row>
    <row r="133" spans="1:77" ht="15">
      <c r="A133" s="120" t="s">
        <v>1013</v>
      </c>
      <c r="B133" s="1278"/>
      <c r="C133" s="1278"/>
      <c r="D133" s="1278"/>
      <c r="E133" s="1278"/>
      <c r="F133" s="1278"/>
      <c r="G133" s="1278"/>
      <c r="H133" s="1321"/>
      <c r="I133" s="1278"/>
      <c r="J133" s="1278"/>
      <c r="K133" s="1278"/>
      <c r="L133" s="1278"/>
      <c r="M133" s="1278"/>
      <c r="N133" s="1278"/>
      <c r="O133" s="1278"/>
      <c r="P133" s="1278"/>
      <c r="Q133" s="1278"/>
      <c r="R133" s="1278"/>
      <c r="S133" s="1278"/>
      <c r="T133" s="1278"/>
      <c r="U133" s="1278"/>
      <c r="V133" s="1278"/>
      <c r="W133" s="1278"/>
      <c r="X133" s="1278"/>
      <c r="Y133" s="1278"/>
      <c r="Z133" s="1278"/>
      <c r="AA133" s="1278"/>
      <c r="AB133" s="1278"/>
      <c r="AC133" s="1278"/>
      <c r="AD133" s="1278"/>
      <c r="AE133" s="1278"/>
      <c r="AF133" s="1278"/>
      <c r="AG133" s="1278"/>
      <c r="AH133" s="1278"/>
      <c r="AI133" s="1278"/>
    </row>
    <row r="134" spans="1:77" s="385" customFormat="1">
      <c r="A134" s="1513"/>
      <c r="B134" s="3020" t="s">
        <v>1007</v>
      </c>
      <c r="C134" s="3021"/>
      <c r="D134" s="3021"/>
      <c r="E134" s="3021"/>
      <c r="F134" s="3022"/>
      <c r="G134" s="3020" t="s">
        <v>985</v>
      </c>
      <c r="H134" s="3021"/>
      <c r="I134" s="3021"/>
      <c r="J134" s="3021"/>
      <c r="K134" s="3021"/>
      <c r="L134" s="3021"/>
      <c r="M134" s="3021"/>
      <c r="N134" s="3022"/>
      <c r="O134" s="3014" t="s">
        <v>482</v>
      </c>
      <c r="P134" s="3015"/>
      <c r="Q134" s="3014" t="s">
        <v>1014</v>
      </c>
      <c r="R134" s="3015"/>
      <c r="S134" s="3014" t="s">
        <v>1015</v>
      </c>
      <c r="T134" s="3015"/>
      <c r="U134" s="3014" t="s">
        <v>1016</v>
      </c>
      <c r="V134" s="3015"/>
      <c r="W134" s="3014" t="s">
        <v>1017</v>
      </c>
      <c r="X134" s="3015"/>
      <c r="Y134" s="3014" t="s">
        <v>1018</v>
      </c>
      <c r="Z134" s="3015"/>
      <c r="AA134" s="3014" t="s">
        <v>1019</v>
      </c>
      <c r="AB134" s="3015"/>
      <c r="AC134" s="3014" t="s">
        <v>1020</v>
      </c>
      <c r="AD134" s="3015"/>
      <c r="AE134" s="3014" t="s">
        <v>1021</v>
      </c>
      <c r="AF134" s="3015"/>
      <c r="AG134" s="3014" t="s">
        <v>1022</v>
      </c>
      <c r="AH134" s="3015"/>
      <c r="AI134" s="1514"/>
    </row>
    <row r="135" spans="1:77" s="385" customFormat="1">
      <c r="A135" s="1515"/>
      <c r="B135" s="3045" t="s">
        <v>1023</v>
      </c>
      <c r="C135" s="3046"/>
      <c r="D135" s="3046"/>
      <c r="E135" s="3046"/>
      <c r="F135" s="3047" t="s">
        <v>481</v>
      </c>
      <c r="G135" s="3047" t="s">
        <v>983</v>
      </c>
      <c r="H135" s="3020" t="s">
        <v>984</v>
      </c>
      <c r="I135" s="3021"/>
      <c r="J135" s="3022"/>
      <c r="K135" s="3020" t="s">
        <v>989</v>
      </c>
      <c r="L135" s="3021"/>
      <c r="M135" s="3021"/>
      <c r="N135" s="3022"/>
      <c r="O135" s="3018"/>
      <c r="P135" s="3019"/>
      <c r="Q135" s="3016"/>
      <c r="R135" s="3017"/>
      <c r="S135" s="3016"/>
      <c r="T135" s="3017"/>
      <c r="U135" s="3016"/>
      <c r="V135" s="3017"/>
      <c r="W135" s="3016"/>
      <c r="X135" s="3017"/>
      <c r="Y135" s="3016"/>
      <c r="Z135" s="3017"/>
      <c r="AA135" s="3016"/>
      <c r="AB135" s="3017"/>
      <c r="AC135" s="3016"/>
      <c r="AD135" s="3017"/>
      <c r="AE135" s="3016"/>
      <c r="AF135" s="3017"/>
      <c r="AG135" s="3016"/>
      <c r="AH135" s="3017"/>
      <c r="AI135" s="1514"/>
    </row>
    <row r="136" spans="1:77" s="385" customFormat="1" ht="38.25">
      <c r="A136" s="1515"/>
      <c r="B136" s="1511" t="s">
        <v>477</v>
      </c>
      <c r="C136" s="1512" t="s">
        <v>1024</v>
      </c>
      <c r="D136" s="1512" t="s">
        <v>1025</v>
      </c>
      <c r="E136" s="1512" t="s">
        <v>480</v>
      </c>
      <c r="F136" s="3048"/>
      <c r="G136" s="3018"/>
      <c r="H136" s="1529" t="s">
        <v>961</v>
      </c>
      <c r="I136" s="1516" t="s">
        <v>478</v>
      </c>
      <c r="J136" s="1529" t="s">
        <v>943</v>
      </c>
      <c r="K136" s="1516" t="s">
        <v>477</v>
      </c>
      <c r="L136" s="1517" t="s">
        <v>478</v>
      </c>
      <c r="M136" s="1600" t="s">
        <v>479</v>
      </c>
      <c r="N136" s="1602" t="s">
        <v>480</v>
      </c>
      <c r="O136" s="1518" t="s">
        <v>1026</v>
      </c>
      <c r="P136" s="1602" t="s">
        <v>1027</v>
      </c>
      <c r="Q136" s="3018"/>
      <c r="R136" s="3019"/>
      <c r="S136" s="3018"/>
      <c r="T136" s="3019"/>
      <c r="U136" s="3018"/>
      <c r="V136" s="3019"/>
      <c r="W136" s="3018"/>
      <c r="X136" s="3019"/>
      <c r="Y136" s="3018"/>
      <c r="Z136" s="3019"/>
      <c r="AA136" s="3018"/>
      <c r="AB136" s="3019"/>
      <c r="AC136" s="3018"/>
      <c r="AD136" s="3019"/>
      <c r="AE136" s="3018"/>
      <c r="AF136" s="3019"/>
      <c r="AG136" s="3018"/>
      <c r="AH136" s="3019"/>
      <c r="AI136" s="1514"/>
    </row>
    <row r="137" spans="1:77">
      <c r="A137" s="290" t="s">
        <v>870</v>
      </c>
      <c r="B137" s="549"/>
      <c r="C137" s="1041"/>
      <c r="D137" s="1041"/>
      <c r="E137" s="565"/>
      <c r="F137" s="1012"/>
      <c r="G137" s="661"/>
      <c r="H137" s="483"/>
      <c r="I137" s="363"/>
      <c r="J137" s="483"/>
      <c r="K137" s="363"/>
      <c r="L137" s="363"/>
      <c r="M137" s="661"/>
      <c r="N137" s="1013"/>
      <c r="O137" s="483"/>
      <c r="P137" s="521"/>
      <c r="Q137" s="1509" t="s">
        <v>845</v>
      </c>
      <c r="R137" s="1510" t="s">
        <v>846</v>
      </c>
      <c r="S137" s="1509" t="s">
        <v>845</v>
      </c>
      <c r="T137" s="1510" t="s">
        <v>846</v>
      </c>
      <c r="U137" s="1509" t="s">
        <v>845</v>
      </c>
      <c r="V137" s="1510" t="s">
        <v>846</v>
      </c>
      <c r="W137" s="1509" t="s">
        <v>845</v>
      </c>
      <c r="X137" s="1510" t="s">
        <v>846</v>
      </c>
      <c r="Y137" s="1509" t="s">
        <v>845</v>
      </c>
      <c r="Z137" s="1510" t="s">
        <v>846</v>
      </c>
      <c r="AA137" s="1509" t="s">
        <v>845</v>
      </c>
      <c r="AB137" s="1510" t="s">
        <v>846</v>
      </c>
      <c r="AC137" s="1509" t="s">
        <v>845</v>
      </c>
      <c r="AD137" s="1510" t="s">
        <v>846</v>
      </c>
      <c r="AE137" s="1509" t="s">
        <v>845</v>
      </c>
      <c r="AF137" s="1510" t="s">
        <v>846</v>
      </c>
      <c r="AG137" s="1509" t="s">
        <v>845</v>
      </c>
      <c r="AH137" s="1510" t="s">
        <v>846</v>
      </c>
      <c r="AI137" s="439"/>
    </row>
    <row r="138" spans="1:77">
      <c r="A138" s="794" t="s">
        <v>816</v>
      </c>
      <c r="B138" s="749">
        <f ca="1">B105</f>
        <v>33.670594035007802</v>
      </c>
      <c r="C138" s="919">
        <f ca="1">D105</f>
        <v>51.03805850457983</v>
      </c>
      <c r="D138" s="919">
        <f ca="1">F105</f>
        <v>86.521182493352626</v>
      </c>
      <c r="E138" s="919">
        <f ca="1">H105</f>
        <v>50.187536672182731</v>
      </c>
      <c r="F138" s="817">
        <f>J105</f>
        <v>19.19029575851296</v>
      </c>
      <c r="G138" s="749">
        <f ca="1">L105</f>
        <v>85.033349796040923</v>
      </c>
      <c r="H138" s="794">
        <f>N105</f>
        <v>21.023451752714308</v>
      </c>
      <c r="I138" s="919">
        <f ca="1">P105</f>
        <v>80.996991406590396</v>
      </c>
      <c r="J138" s="794">
        <f ca="1">R105</f>
        <v>13.647070707953581</v>
      </c>
      <c r="K138" s="919">
        <f ca="1">T105</f>
        <v>9.3486708734269932</v>
      </c>
      <c r="L138" s="919">
        <f ca="1">V105</f>
        <v>19.775447081850675</v>
      </c>
      <c r="M138" s="749">
        <f ca="1">X105</f>
        <v>27.688474476586553</v>
      </c>
      <c r="N138" s="817">
        <f ca="1">Z105</f>
        <v>21.43471150000666</v>
      </c>
      <c r="O138" s="794">
        <f>AB105</f>
        <v>7.46156187572688</v>
      </c>
      <c r="P138" s="1463">
        <f>AD105</f>
        <v>2.9594817980673174</v>
      </c>
      <c r="Q138" s="749">
        <f t="shared" ref="Q138:Q143" ca="1" si="26">SUM(B138:E138)</f>
        <v>221.417371705123</v>
      </c>
      <c r="R138" s="794">
        <f t="shared" ref="R138:R143" ca="1" si="27">Q138/2000</f>
        <v>0.11070868585256149</v>
      </c>
      <c r="S138" s="749">
        <f t="shared" ref="S138:S143" si="28">F138</f>
        <v>19.19029575851296</v>
      </c>
      <c r="T138" s="794">
        <f t="shared" ref="T138:T143" si="29">S138/2000</f>
        <v>9.5951478792564802E-3</v>
      </c>
      <c r="U138" s="749">
        <f t="shared" ref="U138:U143" ca="1" si="30">Q138</f>
        <v>221.417371705123</v>
      </c>
      <c r="V138" s="794">
        <f t="shared" ref="V138:V143" ca="1" si="31">U138/2000</f>
        <v>0.11070868585256149</v>
      </c>
      <c r="W138" s="749">
        <f t="shared" ref="W138:W143" ca="1" si="32">G138</f>
        <v>85.033349796040923</v>
      </c>
      <c r="X138" s="794">
        <f t="shared" ref="X138:X143" ca="1" si="33">W138/2000</f>
        <v>4.2516674898020461E-2</v>
      </c>
      <c r="Y138" s="749">
        <f t="shared" ref="Y138:Y143" ca="1" si="34">SUM(H138:J138)</f>
        <v>115.66751386725829</v>
      </c>
      <c r="Z138" s="794">
        <f t="shared" ref="Z138:Z143" ca="1" si="35">Y138/2000</f>
        <v>5.7833756933629146E-2</v>
      </c>
      <c r="AA138" s="749">
        <f t="shared" ref="AA138:AA143" ca="1" si="36">SUM(K138:N138)</f>
        <v>78.247303931870874</v>
      </c>
      <c r="AB138" s="794">
        <f t="shared" ref="AB138:AB143" ca="1" si="37">AA138/2000</f>
        <v>3.9123651965935438E-2</v>
      </c>
      <c r="AC138" s="749">
        <f t="shared" ref="AC138:AC143" ca="1" si="38">W138*$B$57+Y138*$C$57</f>
        <v>103.41384823877135</v>
      </c>
      <c r="AD138" s="794">
        <f t="shared" ref="AD138:AD143" ca="1" si="39">AC138/2000</f>
        <v>5.1706924119385676E-2</v>
      </c>
      <c r="AE138" s="749">
        <f t="shared" ref="AE138:AE143" ca="1" si="40">$A$4*Q138+O138</f>
        <v>147.61875816506975</v>
      </c>
      <c r="AF138" s="794">
        <f t="shared" ref="AF138:AF143" ca="1" si="41">AE138/2000</f>
        <v>7.3809379082534876E-2</v>
      </c>
      <c r="AG138" s="749">
        <f t="shared" ref="AG138:AG143" si="42">P138</f>
        <v>2.9594817980673174</v>
      </c>
      <c r="AH138" s="794">
        <f t="shared" ref="AH138:AH143" si="43">AG138/2000</f>
        <v>1.4797408990336587E-3</v>
      </c>
      <c r="AI138" s="1278"/>
    </row>
    <row r="139" spans="1:77">
      <c r="A139" s="794" t="s">
        <v>817</v>
      </c>
      <c r="B139" s="749">
        <f ca="1">B106</f>
        <v>27.927778278051058</v>
      </c>
      <c r="C139" s="919">
        <f ca="1">D106</f>
        <v>41.975439111929674</v>
      </c>
      <c r="D139" s="919">
        <f ca="1">F106</f>
        <v>74.415832395981241</v>
      </c>
      <c r="E139" s="919">
        <f ca="1">H106</f>
        <v>42.067821385900075</v>
      </c>
      <c r="F139" s="817">
        <f>J106</f>
        <v>18.438727672904559</v>
      </c>
      <c r="G139" s="749">
        <f ca="1">L106</f>
        <v>71.728019386233669</v>
      </c>
      <c r="H139" s="794">
        <f>N106</f>
        <v>20.933695361650063</v>
      </c>
      <c r="I139" s="919">
        <f ca="1">P106</f>
        <v>78.588922275438478</v>
      </c>
      <c r="J139" s="794">
        <f ca="1">R106</f>
        <v>12.309401781013324</v>
      </c>
      <c r="K139" s="919">
        <f ca="1">T106</f>
        <v>7.6418953321279508</v>
      </c>
      <c r="L139" s="919">
        <f ca="1">V106</f>
        <v>16.19790688804974</v>
      </c>
      <c r="M139" s="749">
        <f ca="1">X106</f>
        <v>24.763014920628308</v>
      </c>
      <c r="N139" s="817">
        <f ca="1">Z106</f>
        <v>18.020282274615621</v>
      </c>
      <c r="O139" s="794">
        <f>AB106</f>
        <v>6.5322551483964144</v>
      </c>
      <c r="P139" s="1463">
        <f>AD106</f>
        <v>2.8435767543225032</v>
      </c>
      <c r="Q139" s="749">
        <f t="shared" ca="1" si="26"/>
        <v>186.38687117186203</v>
      </c>
      <c r="R139" s="794">
        <f t="shared" ca="1" si="27"/>
        <v>9.3193435585931017E-2</v>
      </c>
      <c r="S139" s="749">
        <f t="shared" si="28"/>
        <v>18.438727672904559</v>
      </c>
      <c r="T139" s="794">
        <f t="shared" si="29"/>
        <v>9.2193638364522802E-3</v>
      </c>
      <c r="U139" s="749">
        <f t="shared" ca="1" si="30"/>
        <v>186.38687117186203</v>
      </c>
      <c r="V139" s="794">
        <f t="shared" ca="1" si="31"/>
        <v>9.3193435585931017E-2</v>
      </c>
      <c r="W139" s="749">
        <f t="shared" ca="1" si="32"/>
        <v>71.728019386233669</v>
      </c>
      <c r="X139" s="794">
        <f t="shared" ca="1" si="33"/>
        <v>3.5864009693116837E-2</v>
      </c>
      <c r="Y139" s="749">
        <f t="shared" ca="1" si="34"/>
        <v>111.83201941810186</v>
      </c>
      <c r="Z139" s="794">
        <f t="shared" ca="1" si="35"/>
        <v>5.5916009709050932E-2</v>
      </c>
      <c r="AA139" s="749">
        <f t="shared" ca="1" si="36"/>
        <v>66.623099415421621</v>
      </c>
      <c r="AB139" s="794">
        <f t="shared" ca="1" si="37"/>
        <v>3.3311549707710809E-2</v>
      </c>
      <c r="AC139" s="749">
        <f t="shared" ca="1" si="38"/>
        <v>95.790419405354584</v>
      </c>
      <c r="AD139" s="794">
        <f t="shared" ca="1" si="39"/>
        <v>4.7895209702677292E-2</v>
      </c>
      <c r="AE139" s="749">
        <f t="shared" ca="1" si="40"/>
        <v>124.51514460018508</v>
      </c>
      <c r="AF139" s="794">
        <f t="shared" ca="1" si="41"/>
        <v>6.2257572300092538E-2</v>
      </c>
      <c r="AG139" s="749">
        <f t="shared" si="42"/>
        <v>2.8435767543225032</v>
      </c>
      <c r="AH139" s="794">
        <f t="shared" si="43"/>
        <v>1.4217883771612517E-3</v>
      </c>
      <c r="AI139" s="1278"/>
    </row>
    <row r="140" spans="1:77">
      <c r="A140" s="794" t="s">
        <v>805</v>
      </c>
      <c r="B140" s="749">
        <f ca="1">B107</f>
        <v>8.8251236027108408</v>
      </c>
      <c r="C140" s="919">
        <f ca="1">D107</f>
        <v>17.833497633890296</v>
      </c>
      <c r="D140" s="919">
        <f ca="1">F107</f>
        <v>20.288720985613867</v>
      </c>
      <c r="E140" s="919">
        <f ca="1">H107</f>
        <v>14.641178688471845</v>
      </c>
      <c r="F140" s="817">
        <f>J107</f>
        <v>2.902534533706489</v>
      </c>
      <c r="G140" s="749">
        <f ca="1">L107</f>
        <v>23.384283600962931</v>
      </c>
      <c r="H140" s="794">
        <f>N107</f>
        <v>0.11313890984846871</v>
      </c>
      <c r="I140" s="919">
        <f ca="1">P107</f>
        <v>8.8006967367842943</v>
      </c>
      <c r="J140" s="794">
        <f ca="1">R107</f>
        <v>5.2503201217273059</v>
      </c>
      <c r="K140" s="919">
        <f ca="1">T107</f>
        <v>2.6232425226289759</v>
      </c>
      <c r="L140" s="919">
        <f ca="1">V107</f>
        <v>6.7014026003829743</v>
      </c>
      <c r="M140" s="749">
        <f ca="1">X107</f>
        <v>7.1529982798177949</v>
      </c>
      <c r="N140" s="817">
        <f ca="1">Z107</f>
        <v>6.0889227791108986</v>
      </c>
      <c r="O140" s="794">
        <f>AB107</f>
        <v>1.2284693401153122</v>
      </c>
      <c r="P140" s="1463">
        <f>AD107</f>
        <v>0.44762197669390136</v>
      </c>
      <c r="Q140" s="749">
        <f t="shared" ca="1" si="26"/>
        <v>61.588520910686846</v>
      </c>
      <c r="R140" s="794">
        <f t="shared" ca="1" si="27"/>
        <v>3.0794260455343423E-2</v>
      </c>
      <c r="S140" s="749">
        <f t="shared" si="28"/>
        <v>2.902534533706489</v>
      </c>
      <c r="T140" s="794">
        <f t="shared" si="29"/>
        <v>1.4512672668532444E-3</v>
      </c>
      <c r="U140" s="749">
        <f t="shared" ca="1" si="30"/>
        <v>61.588520910686846</v>
      </c>
      <c r="V140" s="794">
        <f t="shared" ca="1" si="31"/>
        <v>3.0794260455343423E-2</v>
      </c>
      <c r="W140" s="749">
        <f t="shared" ca="1" si="32"/>
        <v>23.384283600962931</v>
      </c>
      <c r="X140" s="794">
        <f t="shared" ca="1" si="33"/>
        <v>1.1692141800481465E-2</v>
      </c>
      <c r="Y140" s="749">
        <f t="shared" ca="1" si="34"/>
        <v>14.164155768360068</v>
      </c>
      <c r="Z140" s="794">
        <f t="shared" ca="1" si="35"/>
        <v>7.0820778841800339E-3</v>
      </c>
      <c r="AA140" s="749">
        <f t="shared" ca="1" si="36"/>
        <v>22.566566181940644</v>
      </c>
      <c r="AB140" s="794">
        <f t="shared" ca="1" si="37"/>
        <v>1.1283283090970321E-2</v>
      </c>
      <c r="AC140" s="749">
        <f t="shared" ca="1" si="38"/>
        <v>17.852206901401214</v>
      </c>
      <c r="AD140" s="794">
        <f t="shared" ca="1" si="39"/>
        <v>8.9261034507006065E-3</v>
      </c>
      <c r="AE140" s="749">
        <f t="shared" ca="1" si="40"/>
        <v>40.214003076580084</v>
      </c>
      <c r="AF140" s="794">
        <f t="shared" ca="1" si="41"/>
        <v>2.0107001538290044E-2</v>
      </c>
      <c r="AG140" s="749">
        <f t="shared" si="42"/>
        <v>0.44762197669390136</v>
      </c>
      <c r="AH140" s="794">
        <f t="shared" si="43"/>
        <v>2.2381098834695068E-4</v>
      </c>
      <c r="AI140" s="1278"/>
    </row>
    <row r="141" spans="1:77">
      <c r="A141" s="794" t="s">
        <v>804</v>
      </c>
      <c r="B141" s="749">
        <f ca="1">B108</f>
        <v>9.0284770871201374</v>
      </c>
      <c r="C141" s="919">
        <f ca="1">D108</f>
        <v>14.787703375829116</v>
      </c>
      <c r="D141" s="919">
        <f ca="1">F108</f>
        <v>47.872464558243607</v>
      </c>
      <c r="E141" s="919">
        <f ca="1">H108</f>
        <v>25.347505939158108</v>
      </c>
      <c r="F141" s="817">
        <f>J108</f>
        <v>13.599787625711491</v>
      </c>
      <c r="G141" s="749">
        <f ca="1">L108</f>
        <v>37.612120818821545</v>
      </c>
      <c r="H141" s="794">
        <f>N108</f>
        <v>1.4684796424969733</v>
      </c>
      <c r="I141" s="919">
        <f ca="1">P108</f>
        <v>33.841089218888541</v>
      </c>
      <c r="J141" s="794">
        <f ca="1">R108</f>
        <v>6.389403707762253</v>
      </c>
      <c r="K141" s="919">
        <f ca="1">T108</f>
        <v>2.5761180693213035</v>
      </c>
      <c r="L141" s="919">
        <f ca="1">V108</f>
        <v>6.4709152072793401</v>
      </c>
      <c r="M141" s="749">
        <f ca="1">X108</f>
        <v>15.049730260243383</v>
      </c>
      <c r="N141" s="817">
        <f ca="1">Z108</f>
        <v>10.97316036691053</v>
      </c>
      <c r="O141" s="794">
        <f>AB108</f>
        <v>5.2545200682205113</v>
      </c>
      <c r="P141" s="1463">
        <f>AD108</f>
        <v>2.0973269220209825</v>
      </c>
      <c r="Q141" s="749">
        <f t="shared" ca="1" si="26"/>
        <v>97.036150960350966</v>
      </c>
      <c r="R141" s="794">
        <f t="shared" ca="1" si="27"/>
        <v>4.8518075480175483E-2</v>
      </c>
      <c r="S141" s="749">
        <f t="shared" si="28"/>
        <v>13.599787625711491</v>
      </c>
      <c r="T141" s="794">
        <f t="shared" si="29"/>
        <v>6.7998938128557449E-3</v>
      </c>
      <c r="U141" s="749">
        <f t="shared" ca="1" si="30"/>
        <v>97.036150960350966</v>
      </c>
      <c r="V141" s="794">
        <f t="shared" ca="1" si="31"/>
        <v>4.8518075480175483E-2</v>
      </c>
      <c r="W141" s="749">
        <f t="shared" ca="1" si="32"/>
        <v>37.612120818821545</v>
      </c>
      <c r="X141" s="794">
        <f t="shared" ca="1" si="33"/>
        <v>1.8806060409410772E-2</v>
      </c>
      <c r="Y141" s="749">
        <f t="shared" ca="1" si="34"/>
        <v>41.69897256914777</v>
      </c>
      <c r="Z141" s="794">
        <f t="shared" ca="1" si="35"/>
        <v>2.0849486284573886E-2</v>
      </c>
      <c r="AA141" s="749">
        <f t="shared" ca="1" si="36"/>
        <v>35.069923903754557</v>
      </c>
      <c r="AB141" s="794">
        <f t="shared" ca="1" si="37"/>
        <v>1.753496195187728E-2</v>
      </c>
      <c r="AC141" s="749">
        <f t="shared" ca="1" si="38"/>
        <v>40.064231869017277</v>
      </c>
      <c r="AD141" s="794">
        <f t="shared" ca="1" si="39"/>
        <v>2.003211593450864E-2</v>
      </c>
      <c r="AE141" s="749">
        <f t="shared" ca="1" si="40"/>
        <v>66.678403626122673</v>
      </c>
      <c r="AF141" s="794">
        <f t="shared" ca="1" si="41"/>
        <v>3.3339201813061339E-2</v>
      </c>
      <c r="AG141" s="749">
        <f t="shared" si="42"/>
        <v>2.0973269220209825</v>
      </c>
      <c r="AH141" s="794">
        <f t="shared" si="43"/>
        <v>1.0486634610104913E-3</v>
      </c>
      <c r="AI141" s="1278"/>
    </row>
    <row r="142" spans="1:77">
      <c r="A142" s="794" t="s">
        <v>818</v>
      </c>
      <c r="B142" s="749">
        <f ca="1">B109</f>
        <v>10.074177588220081</v>
      </c>
      <c r="C142" s="919">
        <f ca="1">D109</f>
        <v>9.3542381022102621</v>
      </c>
      <c r="D142" s="919">
        <f ca="1">F109</f>
        <v>6.2546468521237664</v>
      </c>
      <c r="E142" s="919">
        <f ca="1">H109</f>
        <v>2.0791367582701201</v>
      </c>
      <c r="F142" s="817">
        <f>J109</f>
        <v>1.9364055134865783</v>
      </c>
      <c r="G142" s="749">
        <f ca="1">L109</f>
        <v>10.731614966449195</v>
      </c>
      <c r="H142" s="794">
        <f>N109</f>
        <v>19.35207680930462</v>
      </c>
      <c r="I142" s="919">
        <f ca="1">P109</f>
        <v>35.947136319765647</v>
      </c>
      <c r="J142" s="794">
        <f ca="1">R109</f>
        <v>0.66967795152376541</v>
      </c>
      <c r="K142" s="919">
        <f ca="1">T109</f>
        <v>2.4425347401776714</v>
      </c>
      <c r="L142" s="919">
        <f ca="1">V109</f>
        <v>3.0255890803874261</v>
      </c>
      <c r="M142" s="749">
        <f ca="1">X109</f>
        <v>2.5602863805671308</v>
      </c>
      <c r="N142" s="817">
        <f ca="1">Z109</f>
        <v>0.9581991285941911</v>
      </c>
      <c r="O142" s="794">
        <f>AB109</f>
        <v>4.9265740060590285E-2</v>
      </c>
      <c r="P142" s="1463">
        <f>AD109</f>
        <v>0.29862785560761967</v>
      </c>
      <c r="Q142" s="749">
        <f t="shared" ca="1" si="26"/>
        <v>27.762199300824228</v>
      </c>
      <c r="R142" s="794">
        <f t="shared" ca="1" si="27"/>
        <v>1.3881099650412114E-2</v>
      </c>
      <c r="S142" s="749">
        <f t="shared" si="28"/>
        <v>1.9364055134865783</v>
      </c>
      <c r="T142" s="794">
        <f t="shared" si="29"/>
        <v>9.6820275674328916E-4</v>
      </c>
      <c r="U142" s="749">
        <f t="shared" ca="1" si="30"/>
        <v>27.762199300824228</v>
      </c>
      <c r="V142" s="794">
        <f t="shared" ca="1" si="31"/>
        <v>1.3881099650412114E-2</v>
      </c>
      <c r="W142" s="749">
        <f t="shared" ca="1" si="32"/>
        <v>10.731614966449195</v>
      </c>
      <c r="X142" s="794">
        <f t="shared" ca="1" si="33"/>
        <v>5.3658074832245977E-3</v>
      </c>
      <c r="Y142" s="749">
        <f t="shared" ca="1" si="34"/>
        <v>55.968891080594034</v>
      </c>
      <c r="Z142" s="794">
        <f t="shared" ca="1" si="35"/>
        <v>2.7984445540297016E-2</v>
      </c>
      <c r="AA142" s="749">
        <f t="shared" ca="1" si="36"/>
        <v>8.98660932972642</v>
      </c>
      <c r="AB142" s="794">
        <f t="shared" ca="1" si="37"/>
        <v>4.4933046648632097E-3</v>
      </c>
      <c r="AC142" s="749">
        <f t="shared" ca="1" si="38"/>
        <v>37.873980634936096</v>
      </c>
      <c r="AD142" s="794">
        <f t="shared" ca="1" si="39"/>
        <v>1.8936990317468049E-2</v>
      </c>
      <c r="AE142" s="749">
        <f t="shared" ca="1" si="40"/>
        <v>17.622737897482327</v>
      </c>
      <c r="AF142" s="794">
        <f t="shared" ca="1" si="41"/>
        <v>8.8113689487411637E-3</v>
      </c>
      <c r="AG142" s="749">
        <f t="shared" si="42"/>
        <v>0.29862785560761967</v>
      </c>
      <c r="AH142" s="794">
        <f t="shared" si="43"/>
        <v>1.4931392780380984E-4</v>
      </c>
      <c r="AI142" s="1278"/>
    </row>
    <row r="143" spans="1:77">
      <c r="A143" s="1500" t="s">
        <v>819</v>
      </c>
      <c r="B143" s="1272">
        <f ca="1">SUM(B110:C110)</f>
        <v>3106.2673580190194</v>
      </c>
      <c r="C143" s="1482">
        <f ca="1">SUM(D110:E110)</f>
        <v>4695.2875960116271</v>
      </c>
      <c r="D143" s="1482">
        <f ca="1">SUM(F110:G110)</f>
        <v>6092.1681554726147</v>
      </c>
      <c r="E143" s="1482">
        <f ca="1">SUM(H110:I110)</f>
        <v>3915.6613236769645</v>
      </c>
      <c r="F143" s="1483">
        <f>SUM(J110:K110)</f>
        <v>266.53469641664401</v>
      </c>
      <c r="G143" s="1272">
        <f ca="1">SUM(L110:M110)</f>
        <v>6802.1218329094127</v>
      </c>
      <c r="H143" s="1488">
        <f>SUM(N110:O110)</f>
        <v>941.75070616871824</v>
      </c>
      <c r="I143" s="1482">
        <f ca="1">SUM(P110:Q110)</f>
        <v>4195.9066773359009</v>
      </c>
      <c r="J143" s="1488">
        <f ca="1">SUM(R110:S110)</f>
        <v>1581.4707409637876</v>
      </c>
      <c r="K143" s="1482">
        <f ca="1">SUM(T110:U110)</f>
        <v>927.60808413316488</v>
      </c>
      <c r="L143" s="1482">
        <f ca="1">SUM(V110:W110)</f>
        <v>1849.6059589041706</v>
      </c>
      <c r="M143" s="1272">
        <f ca="1">SUM(X110:Y110)</f>
        <v>1441.3819833977532</v>
      </c>
      <c r="N143" s="1483">
        <f ca="1">SUM(Z110:AA110)</f>
        <v>1632.6392515164086</v>
      </c>
      <c r="O143" s="1488">
        <f>SUM(AB110:AC110)</f>
        <v>247.31005399779917</v>
      </c>
      <c r="P143" s="1482">
        <f>SUM(AD110:AE110)</f>
        <v>41.104347349547048</v>
      </c>
      <c r="Q143" s="1272">
        <f t="shared" ca="1" si="26"/>
        <v>17809.384433180225</v>
      </c>
      <c r="R143" s="1500">
        <f t="shared" ca="1" si="27"/>
        <v>8.9046922165901119</v>
      </c>
      <c r="S143" s="1272">
        <f t="shared" si="28"/>
        <v>266.53469641664401</v>
      </c>
      <c r="T143" s="1500">
        <f t="shared" si="29"/>
        <v>0.13326734820832201</v>
      </c>
      <c r="U143" s="1272">
        <f t="shared" ca="1" si="30"/>
        <v>17809.384433180225</v>
      </c>
      <c r="V143" s="1500">
        <f t="shared" ca="1" si="31"/>
        <v>8.9046922165901119</v>
      </c>
      <c r="W143" s="1272">
        <f t="shared" ca="1" si="32"/>
        <v>6802.1218329094127</v>
      </c>
      <c r="X143" s="1500">
        <f t="shared" ca="1" si="33"/>
        <v>3.4010609164547065</v>
      </c>
      <c r="Y143" s="1272">
        <f t="shared" ca="1" si="34"/>
        <v>6719.1281244684069</v>
      </c>
      <c r="Z143" s="1500">
        <f t="shared" ca="1" si="35"/>
        <v>3.3595640622342033</v>
      </c>
      <c r="AA143" s="1272">
        <f t="shared" ca="1" si="36"/>
        <v>5851.2352779514977</v>
      </c>
      <c r="AB143" s="1500">
        <f t="shared" ca="1" si="37"/>
        <v>2.9256176389757487</v>
      </c>
      <c r="AC143" s="1272">
        <f t="shared" ca="1" si="38"/>
        <v>6752.3256078448094</v>
      </c>
      <c r="AD143" s="1500">
        <f t="shared" ca="1" si="39"/>
        <v>3.3761628039224045</v>
      </c>
      <c r="AE143" s="1272">
        <f t="shared" ca="1" si="40"/>
        <v>11520.650400200881</v>
      </c>
      <c r="AF143" s="1500">
        <f t="shared" ca="1" si="41"/>
        <v>5.7603252001004401</v>
      </c>
      <c r="AG143" s="1272">
        <f t="shared" si="42"/>
        <v>41.104347349547048</v>
      </c>
      <c r="AH143" s="1500">
        <f t="shared" si="43"/>
        <v>2.0552173674773525E-2</v>
      </c>
      <c r="AI143" s="1278"/>
    </row>
    <row r="144" spans="1:77">
      <c r="A144" s="795" t="s">
        <v>864</v>
      </c>
      <c r="B144" s="1080"/>
      <c r="C144" s="1141"/>
      <c r="D144" s="1141"/>
      <c r="E144" s="1141"/>
      <c r="F144" s="1081"/>
      <c r="G144" s="1080"/>
      <c r="H144" s="1262"/>
      <c r="I144" s="1141"/>
      <c r="J144" s="1262"/>
      <c r="K144" s="1141"/>
      <c r="L144" s="1141"/>
      <c r="M144" s="1080"/>
      <c r="N144" s="1081"/>
      <c r="O144" s="1262"/>
      <c r="P144" s="1141"/>
      <c r="Q144" s="1509" t="s">
        <v>845</v>
      </c>
      <c r="R144" s="1510" t="s">
        <v>846</v>
      </c>
      <c r="S144" s="1509" t="s">
        <v>845</v>
      </c>
      <c r="T144" s="1510" t="s">
        <v>846</v>
      </c>
      <c r="U144" s="1509" t="s">
        <v>845</v>
      </c>
      <c r="V144" s="1510" t="s">
        <v>846</v>
      </c>
      <c r="W144" s="1509" t="s">
        <v>845</v>
      </c>
      <c r="X144" s="1510" t="s">
        <v>846</v>
      </c>
      <c r="Y144" s="1509" t="s">
        <v>845</v>
      </c>
      <c r="Z144" s="1510" t="s">
        <v>846</v>
      </c>
      <c r="AA144" s="1509" t="s">
        <v>845</v>
      </c>
      <c r="AB144" s="1510" t="s">
        <v>846</v>
      </c>
      <c r="AC144" s="1509" t="s">
        <v>845</v>
      </c>
      <c r="AD144" s="1510" t="s">
        <v>846</v>
      </c>
      <c r="AE144" s="1509" t="s">
        <v>845</v>
      </c>
      <c r="AF144" s="1510" t="s">
        <v>846</v>
      </c>
      <c r="AG144" s="1509" t="s">
        <v>845</v>
      </c>
      <c r="AH144" s="1510" t="s">
        <v>846</v>
      </c>
      <c r="AI144" s="1278"/>
    </row>
    <row r="145" spans="1:35">
      <c r="A145" s="794" t="s">
        <v>821</v>
      </c>
      <c r="B145" s="749">
        <f t="shared" ref="B145:B155" ca="1" si="44">SUM(B112:C112)</f>
        <v>448.02563272130163</v>
      </c>
      <c r="C145" s="919">
        <f t="shared" ref="C145:C155" ca="1" si="45">SUM(D112:E112)</f>
        <v>589.64495806660977</v>
      </c>
      <c r="D145" s="919">
        <f t="shared" ref="D145:D155" ca="1" si="46">SUM(F112:G112)</f>
        <v>994.86845317317216</v>
      </c>
      <c r="E145" s="919">
        <f t="shared" ref="E145:E155" ca="1" si="47">SUM(H112:I112)</f>
        <v>973.21011503430486</v>
      </c>
      <c r="F145" s="817">
        <f t="shared" ref="F145:F155" si="48">SUM(J112:K112)</f>
        <v>190.77168510918156</v>
      </c>
      <c r="G145" s="749">
        <f t="shared" ref="G145:G155" ca="1" si="49">SUM(L112:M112)</f>
        <v>1158.8671982268213</v>
      </c>
      <c r="H145" s="794">
        <f t="shared" ref="H145:H155" si="50">SUM(N112:O112)</f>
        <v>232.57073144820873</v>
      </c>
      <c r="I145" s="919">
        <f t="shared" ref="I145:I155" ca="1" si="51">SUM(P112:Q112)</f>
        <v>1597.3251959808199</v>
      </c>
      <c r="J145" s="794">
        <f t="shared" ref="J145:J155" ca="1" si="52">SUM(R112:S112)</f>
        <v>128.70587801250571</v>
      </c>
      <c r="K145" s="919">
        <f t="shared" ref="K145:K155" ca="1" si="53">SUM(T112:U112)</f>
        <v>153.98913733573295</v>
      </c>
      <c r="L145" s="919">
        <f t="shared" ref="L145:L155" ca="1" si="54">SUM(V112:W112)</f>
        <v>229.58659412054462</v>
      </c>
      <c r="M145" s="749">
        <f t="shared" ref="M145:M155" ca="1" si="55">SUM(X112:Y112)</f>
        <v>498.86902746933322</v>
      </c>
      <c r="N145" s="817">
        <f t="shared" ref="N145:N155" ca="1" si="56">SUM(Z112:AA112)</f>
        <v>298.1087947432477</v>
      </c>
      <c r="O145" s="794">
        <f t="shared" ref="O145:O155" si="57">SUM(AB112:AC112)</f>
        <v>65.346822986754745</v>
      </c>
      <c r="P145" s="1463">
        <f t="shared" ref="P145:P155" si="58">SUM(AD112:AE112)</f>
        <v>29.420355828377385</v>
      </c>
      <c r="Q145" s="749">
        <f t="shared" ref="Q145:Q157" ca="1" si="59">SUM(B145:E145)</f>
        <v>3005.7491589953884</v>
      </c>
      <c r="R145" s="794">
        <f t="shared" ref="R145:R157" ca="1" si="60">Q145/2000</f>
        <v>1.5028745794976941</v>
      </c>
      <c r="S145" s="749">
        <f t="shared" ref="S145:S157" si="61">F145</f>
        <v>190.77168510918156</v>
      </c>
      <c r="T145" s="794">
        <f t="shared" ref="T145:T157" si="62">S145/2000</f>
        <v>9.5385842554590775E-2</v>
      </c>
      <c r="U145" s="749">
        <f t="shared" ref="U145:U157" ca="1" si="63">Q145</f>
        <v>3005.7491589953884</v>
      </c>
      <c r="V145" s="794">
        <f t="shared" ref="V145:V157" ca="1" si="64">U145/2000</f>
        <v>1.5028745794976941</v>
      </c>
      <c r="W145" s="749">
        <f t="shared" ref="W145:W157" ca="1" si="65">G145</f>
        <v>1158.8671982268213</v>
      </c>
      <c r="X145" s="794">
        <f t="shared" ref="X145:X157" ca="1" si="66">W145/2000</f>
        <v>0.57943359911341064</v>
      </c>
      <c r="Y145" s="749">
        <f t="shared" ref="Y145:Y157" ca="1" si="67">SUM(H145:J145)</f>
        <v>1958.6018054415345</v>
      </c>
      <c r="Z145" s="794">
        <f t="shared" ref="Z145:Z157" ca="1" si="68">Y145/2000</f>
        <v>0.9793009027207672</v>
      </c>
      <c r="AA145" s="749">
        <f t="shared" ref="AA145:AA157" ca="1" si="69">SUM(K145:N145)</f>
        <v>1180.5535536688585</v>
      </c>
      <c r="AB145" s="794">
        <f t="shared" ref="AB145:AB157" ca="1" si="70">AA145/2000</f>
        <v>0.59027677683442925</v>
      </c>
      <c r="AC145" s="749">
        <f t="shared" ref="AC145:AC157" ca="1" si="71">W145*$B$57+Y145*$C$57</f>
        <v>1638.7079625556491</v>
      </c>
      <c r="AD145" s="794">
        <f t="shared" ref="AD145:AD157" ca="1" si="72">AC145/2000</f>
        <v>0.81935398127782455</v>
      </c>
      <c r="AE145" s="749">
        <f t="shared" ref="AE145:AE157" ca="1" si="73">$A$4*Q145+O145</f>
        <v>1967.9860406308355</v>
      </c>
      <c r="AF145" s="794">
        <f t="shared" ref="AF145:AF157" ca="1" si="74">AE145/2000</f>
        <v>0.9839930203154178</v>
      </c>
      <c r="AG145" s="749">
        <f t="shared" ref="AG145:AG157" si="75">P145</f>
        <v>29.420355828377385</v>
      </c>
      <c r="AH145" s="794">
        <f t="shared" ref="AH145:AH157" si="76">AG145/2000</f>
        <v>1.4710177914188693E-2</v>
      </c>
      <c r="AI145" s="1278"/>
    </row>
    <row r="146" spans="1:35">
      <c r="A146" s="794" t="s">
        <v>822</v>
      </c>
      <c r="B146" s="749">
        <f t="shared" ca="1" si="44"/>
        <v>1804.1210427104875</v>
      </c>
      <c r="C146" s="919">
        <f t="shared" ca="1" si="45"/>
        <v>2773.7505547409069</v>
      </c>
      <c r="D146" s="919">
        <f t="shared" ca="1" si="46"/>
        <v>7499.8438743455617</v>
      </c>
      <c r="E146" s="919">
        <f t="shared" ca="1" si="47"/>
        <v>3178.943763349565</v>
      </c>
      <c r="F146" s="817">
        <f t="shared" si="48"/>
        <v>1620.8019000303307</v>
      </c>
      <c r="G146" s="749">
        <f t="shared" ca="1" si="49"/>
        <v>5844.7441736656056</v>
      </c>
      <c r="H146" s="794">
        <f t="shared" si="50"/>
        <v>1267.1129489573993</v>
      </c>
      <c r="I146" s="919">
        <f t="shared" ca="1" si="51"/>
        <v>9589.8892898289378</v>
      </c>
      <c r="J146" s="794">
        <f t="shared" ca="1" si="52"/>
        <v>408.758557885914</v>
      </c>
      <c r="K146" s="919">
        <f t="shared" ca="1" si="53"/>
        <v>545.9672814452947</v>
      </c>
      <c r="L146" s="919">
        <f t="shared" ca="1" si="54"/>
        <v>1114.953353406785</v>
      </c>
      <c r="M146" s="749">
        <f t="shared" ca="1" si="55"/>
        <v>3305.189745959372</v>
      </c>
      <c r="N146" s="817">
        <f t="shared" ca="1" si="56"/>
        <v>1469.1612825756017</v>
      </c>
      <c r="O146" s="794">
        <f t="shared" si="57"/>
        <v>227.72048638344586</v>
      </c>
      <c r="P146" s="1463">
        <f t="shared" si="58"/>
        <v>249.95621650514792</v>
      </c>
      <c r="Q146" s="749">
        <f t="shared" ca="1" si="59"/>
        <v>15256.659235146522</v>
      </c>
      <c r="R146" s="794">
        <f t="shared" ca="1" si="60"/>
        <v>7.6283296175732609</v>
      </c>
      <c r="S146" s="749">
        <f t="shared" si="61"/>
        <v>1620.8019000303307</v>
      </c>
      <c r="T146" s="794">
        <f t="shared" si="62"/>
        <v>0.81040095001516532</v>
      </c>
      <c r="U146" s="749">
        <f t="shared" ca="1" si="63"/>
        <v>15256.659235146522</v>
      </c>
      <c r="V146" s="794">
        <f t="shared" ca="1" si="64"/>
        <v>7.6283296175732609</v>
      </c>
      <c r="W146" s="749">
        <f t="shared" ca="1" si="65"/>
        <v>5844.7441736656056</v>
      </c>
      <c r="X146" s="794">
        <f t="shared" ca="1" si="66"/>
        <v>2.9223720868328029</v>
      </c>
      <c r="Y146" s="749">
        <f t="shared" ca="1" si="67"/>
        <v>11265.760796672252</v>
      </c>
      <c r="Z146" s="794">
        <f t="shared" ca="1" si="68"/>
        <v>5.632880398336126</v>
      </c>
      <c r="AA146" s="749">
        <f t="shared" ca="1" si="69"/>
        <v>6435.2716633870532</v>
      </c>
      <c r="AB146" s="794">
        <f t="shared" ca="1" si="70"/>
        <v>3.2176358316935265</v>
      </c>
      <c r="AC146" s="749">
        <f t="shared" ca="1" si="71"/>
        <v>9097.3541474695921</v>
      </c>
      <c r="AD146" s="794">
        <f t="shared" ca="1" si="72"/>
        <v>4.5486770737347957</v>
      </c>
      <c r="AE146" s="749">
        <f t="shared" ca="1" si="73"/>
        <v>9885.185782231194</v>
      </c>
      <c r="AF146" s="794">
        <f t="shared" ca="1" si="74"/>
        <v>4.9425928911155967</v>
      </c>
      <c r="AG146" s="749">
        <f t="shared" si="75"/>
        <v>249.95621650514792</v>
      </c>
      <c r="AH146" s="794">
        <f t="shared" si="76"/>
        <v>0.12497810825257397</v>
      </c>
      <c r="AI146" s="1278"/>
    </row>
    <row r="147" spans="1:35">
      <c r="A147" s="794" t="s">
        <v>849</v>
      </c>
      <c r="B147" s="749">
        <f t="shared" ca="1" si="44"/>
        <v>3961.5467755255399</v>
      </c>
      <c r="C147" s="919">
        <f t="shared" ca="1" si="45"/>
        <v>4505.0648008429007</v>
      </c>
      <c r="D147" s="919">
        <f t="shared" ca="1" si="46"/>
        <v>6877.8435765025979</v>
      </c>
      <c r="E147" s="919">
        <f t="shared" ca="1" si="47"/>
        <v>2922.1779959219703</v>
      </c>
      <c r="F147" s="817">
        <f t="shared" si="48"/>
        <v>1643.5936803526106</v>
      </c>
      <c r="G147" s="749">
        <f t="shared" ca="1" si="49"/>
        <v>7159.255916623858</v>
      </c>
      <c r="H147" s="794">
        <f t="shared" si="50"/>
        <v>6123.0897736941397</v>
      </c>
      <c r="I147" s="919">
        <f t="shared" ca="1" si="51"/>
        <v>13941.797789208651</v>
      </c>
      <c r="J147" s="794">
        <f t="shared" ca="1" si="52"/>
        <v>981.07604160108542</v>
      </c>
      <c r="K147" s="919">
        <f t="shared" ca="1" si="53"/>
        <v>1091.5977636476641</v>
      </c>
      <c r="L147" s="919">
        <f t="shared" ca="1" si="54"/>
        <v>1612.7690028060022</v>
      </c>
      <c r="M147" s="749">
        <f t="shared" ca="1" si="55"/>
        <v>2119.5822007333754</v>
      </c>
      <c r="N147" s="817">
        <f t="shared" ca="1" si="56"/>
        <v>981.73095157133002</v>
      </c>
      <c r="O147" s="794">
        <f t="shared" si="57"/>
        <v>367.26062650727329</v>
      </c>
      <c r="P147" s="1463">
        <f t="shared" si="58"/>
        <v>253.47111069219628</v>
      </c>
      <c r="Q147" s="749">
        <f t="shared" ca="1" si="59"/>
        <v>18266.633148793011</v>
      </c>
      <c r="R147" s="794">
        <f t="shared" ca="1" si="60"/>
        <v>9.1333165743965061</v>
      </c>
      <c r="S147" s="749">
        <f t="shared" si="61"/>
        <v>1643.5936803526106</v>
      </c>
      <c r="T147" s="794">
        <f t="shared" si="62"/>
        <v>0.82179684017630528</v>
      </c>
      <c r="U147" s="749">
        <f t="shared" ca="1" si="63"/>
        <v>18266.633148793011</v>
      </c>
      <c r="V147" s="794">
        <f t="shared" ca="1" si="64"/>
        <v>9.1333165743965061</v>
      </c>
      <c r="W147" s="749">
        <f t="shared" ca="1" si="65"/>
        <v>7159.255916623858</v>
      </c>
      <c r="X147" s="794">
        <f t="shared" ca="1" si="66"/>
        <v>3.5796279583119288</v>
      </c>
      <c r="Y147" s="749">
        <f t="shared" ca="1" si="67"/>
        <v>21045.963604503875</v>
      </c>
      <c r="Z147" s="794">
        <f t="shared" ca="1" si="68"/>
        <v>10.522981802251937</v>
      </c>
      <c r="AA147" s="749">
        <f t="shared" ca="1" si="69"/>
        <v>5805.6799187583711</v>
      </c>
      <c r="AB147" s="794">
        <f t="shared" ca="1" si="70"/>
        <v>2.9028399593791856</v>
      </c>
      <c r="AC147" s="749">
        <f t="shared" ca="1" si="71"/>
        <v>15491.280529351869</v>
      </c>
      <c r="AD147" s="794">
        <f t="shared" ca="1" si="72"/>
        <v>7.7456402646759344</v>
      </c>
      <c r="AE147" s="749">
        <f t="shared" ca="1" si="73"/>
        <v>11930.03940969325</v>
      </c>
      <c r="AF147" s="794">
        <f t="shared" ca="1" si="74"/>
        <v>5.9650197048466254</v>
      </c>
      <c r="AG147" s="749">
        <f t="shared" si="75"/>
        <v>253.47111069219628</v>
      </c>
      <c r="AH147" s="794">
        <f t="shared" si="76"/>
        <v>0.12673555534609815</v>
      </c>
      <c r="AI147" s="1278"/>
    </row>
    <row r="148" spans="1:35">
      <c r="A148" s="794" t="s">
        <v>824</v>
      </c>
      <c r="B148" s="749">
        <f t="shared" ca="1" si="44"/>
        <v>664.39768098295917</v>
      </c>
      <c r="C148" s="919">
        <f t="shared" ca="1" si="45"/>
        <v>643.69913634940485</v>
      </c>
      <c r="D148" s="919">
        <f t="shared" ca="1" si="46"/>
        <v>16349.605263990825</v>
      </c>
      <c r="E148" s="919">
        <f t="shared" ca="1" si="47"/>
        <v>5690.1116861045948</v>
      </c>
      <c r="F148" s="817">
        <f t="shared" si="48"/>
        <v>125.97630670673122</v>
      </c>
      <c r="G148" s="749">
        <f t="shared" ca="1" si="49"/>
        <v>8870.1519271857796</v>
      </c>
      <c r="H148" s="794">
        <f t="shared" si="50"/>
        <v>349.56647026798095</v>
      </c>
      <c r="I148" s="919">
        <f t="shared" ca="1" si="51"/>
        <v>1261.7441913875818</v>
      </c>
      <c r="J148" s="794">
        <f t="shared" ca="1" si="52"/>
        <v>128.43712262193233</v>
      </c>
      <c r="K148" s="919">
        <f t="shared" ca="1" si="53"/>
        <v>246.43015793641626</v>
      </c>
      <c r="L148" s="919">
        <f t="shared" ca="1" si="54"/>
        <v>211.8158286875134</v>
      </c>
      <c r="M148" s="749">
        <f t="shared" ca="1" si="55"/>
        <v>7468.9042919600779</v>
      </c>
      <c r="N148" s="817">
        <f t="shared" ca="1" si="56"/>
        <v>3295.6324654304553</v>
      </c>
      <c r="O148" s="794">
        <f t="shared" si="57"/>
        <v>37.832893746274117</v>
      </c>
      <c r="P148" s="1463">
        <f t="shared" si="58"/>
        <v>19.427766584625406</v>
      </c>
      <c r="Q148" s="749">
        <f t="shared" ca="1" si="59"/>
        <v>23347.813767427786</v>
      </c>
      <c r="R148" s="794">
        <f t="shared" ca="1" si="60"/>
        <v>11.673906883713894</v>
      </c>
      <c r="S148" s="749">
        <f t="shared" si="61"/>
        <v>125.97630670673122</v>
      </c>
      <c r="T148" s="794">
        <f t="shared" si="62"/>
        <v>6.2988153353365606E-2</v>
      </c>
      <c r="U148" s="749">
        <f t="shared" ca="1" si="63"/>
        <v>23347.813767427786</v>
      </c>
      <c r="V148" s="794">
        <f t="shared" ca="1" si="64"/>
        <v>11.673906883713894</v>
      </c>
      <c r="W148" s="749">
        <f t="shared" ca="1" si="65"/>
        <v>8870.1519271857796</v>
      </c>
      <c r="X148" s="794">
        <f t="shared" ca="1" si="66"/>
        <v>4.4350759635928902</v>
      </c>
      <c r="Y148" s="749">
        <f t="shared" ca="1" si="67"/>
        <v>1739.7477842774952</v>
      </c>
      <c r="Z148" s="794">
        <f t="shared" ca="1" si="68"/>
        <v>0.86987389213874755</v>
      </c>
      <c r="AA148" s="749">
        <f t="shared" ca="1" si="69"/>
        <v>11222.782744014463</v>
      </c>
      <c r="AB148" s="794">
        <f t="shared" ca="1" si="70"/>
        <v>5.6113913720072315</v>
      </c>
      <c r="AC148" s="749">
        <f t="shared" ca="1" si="71"/>
        <v>4591.9094414408091</v>
      </c>
      <c r="AD148" s="794">
        <f t="shared" ca="1" si="72"/>
        <v>2.2959547207204047</v>
      </c>
      <c r="AE148" s="749">
        <f t="shared" ca="1" si="73"/>
        <v>14816.999008528062</v>
      </c>
      <c r="AF148" s="794">
        <f t="shared" ca="1" si="74"/>
        <v>7.4084995042640314</v>
      </c>
      <c r="AG148" s="749">
        <f t="shared" si="75"/>
        <v>19.427766584625406</v>
      </c>
      <c r="AH148" s="794">
        <f t="shared" si="76"/>
        <v>9.7138832923127031E-3</v>
      </c>
      <c r="AI148" s="1278"/>
    </row>
    <row r="149" spans="1:35">
      <c r="A149" s="794" t="s">
        <v>825</v>
      </c>
      <c r="B149" s="749">
        <f t="shared" ca="1" si="44"/>
        <v>282.21870275283555</v>
      </c>
      <c r="C149" s="919">
        <f t="shared" ca="1" si="45"/>
        <v>336.71739812035281</v>
      </c>
      <c r="D149" s="919">
        <f t="shared" ca="1" si="46"/>
        <v>11076.990825227531</v>
      </c>
      <c r="E149" s="919">
        <f t="shared" ca="1" si="47"/>
        <v>164.23067536550619</v>
      </c>
      <c r="F149" s="817">
        <f t="shared" si="48"/>
        <v>101.97497623413996</v>
      </c>
      <c r="G149" s="749">
        <f t="shared" ca="1" si="49"/>
        <v>4512.0041435970234</v>
      </c>
      <c r="H149" s="794">
        <f t="shared" si="50"/>
        <v>296.04247210982658</v>
      </c>
      <c r="I149" s="919">
        <f t="shared" ca="1" si="51"/>
        <v>891.86586499749478</v>
      </c>
      <c r="J149" s="794">
        <f t="shared" ca="1" si="52"/>
        <v>79.363149786650951</v>
      </c>
      <c r="K149" s="919">
        <f t="shared" ca="1" si="53"/>
        <v>84.958930452540656</v>
      </c>
      <c r="L149" s="919">
        <f t="shared" ca="1" si="54"/>
        <v>126.38060211641411</v>
      </c>
      <c r="M149" s="749">
        <f t="shared" ca="1" si="55"/>
        <v>124.96306413937333</v>
      </c>
      <c r="N149" s="817">
        <f t="shared" ca="1" si="56"/>
        <v>70.72192332603403</v>
      </c>
      <c r="O149" s="794">
        <f t="shared" si="57"/>
        <v>26.866682224508061</v>
      </c>
      <c r="P149" s="1463">
        <f t="shared" si="58"/>
        <v>15.726338448400764</v>
      </c>
      <c r="Q149" s="749">
        <f t="shared" ca="1" si="59"/>
        <v>11860.157601466226</v>
      </c>
      <c r="R149" s="794">
        <f t="shared" ca="1" si="60"/>
        <v>5.9300788007331127</v>
      </c>
      <c r="S149" s="749">
        <f t="shared" si="61"/>
        <v>101.97497623413996</v>
      </c>
      <c r="T149" s="794">
        <f t="shared" si="62"/>
        <v>5.0987488117069976E-2</v>
      </c>
      <c r="U149" s="749">
        <f t="shared" ca="1" si="63"/>
        <v>11860.157601466226</v>
      </c>
      <c r="V149" s="794">
        <f t="shared" ca="1" si="64"/>
        <v>5.9300788007331127</v>
      </c>
      <c r="W149" s="749">
        <f t="shared" ca="1" si="65"/>
        <v>4512.0041435970234</v>
      </c>
      <c r="X149" s="794">
        <f t="shared" ca="1" si="66"/>
        <v>2.2560020717985116</v>
      </c>
      <c r="Y149" s="749">
        <f t="shared" ca="1" si="67"/>
        <v>1267.2714868939722</v>
      </c>
      <c r="Z149" s="794">
        <f t="shared" ca="1" si="68"/>
        <v>0.63363574344698614</v>
      </c>
      <c r="AA149" s="749">
        <f t="shared" ca="1" si="69"/>
        <v>407.02452003436213</v>
      </c>
      <c r="AB149" s="794">
        <f t="shared" ca="1" si="70"/>
        <v>0.20351226001718106</v>
      </c>
      <c r="AC149" s="749">
        <f t="shared" ca="1" si="71"/>
        <v>2565.1645495751927</v>
      </c>
      <c r="AD149" s="794">
        <f t="shared" ca="1" si="72"/>
        <v>1.2825822747875963</v>
      </c>
      <c r="AE149" s="749">
        <f t="shared" ca="1" si="73"/>
        <v>7534.3464439526288</v>
      </c>
      <c r="AF149" s="794">
        <f t="shared" ca="1" si="74"/>
        <v>3.7671732219763143</v>
      </c>
      <c r="AG149" s="749">
        <f t="shared" si="75"/>
        <v>15.726338448400764</v>
      </c>
      <c r="AH149" s="794">
        <f t="shared" si="76"/>
        <v>7.8631692242003819E-3</v>
      </c>
      <c r="AI149" s="1278"/>
    </row>
    <row r="150" spans="1:35">
      <c r="A150" s="794" t="s">
        <v>826</v>
      </c>
      <c r="B150" s="749">
        <f t="shared" ca="1" si="44"/>
        <v>2360.2409740100911</v>
      </c>
      <c r="C150" s="919">
        <f t="shared" ca="1" si="45"/>
        <v>4109.4404462411649</v>
      </c>
      <c r="D150" s="919">
        <f t="shared" ca="1" si="46"/>
        <v>2556550.8435063232</v>
      </c>
      <c r="E150" s="919">
        <f t="shared" ca="1" si="47"/>
        <v>67283.594287179978</v>
      </c>
      <c r="F150" s="817">
        <f t="shared" si="48"/>
        <v>669.78220803418901</v>
      </c>
      <c r="G150" s="749">
        <f t="shared" ca="1" si="49"/>
        <v>998862.02958205168</v>
      </c>
      <c r="H150" s="794">
        <f t="shared" si="50"/>
        <v>3895.097695728271</v>
      </c>
      <c r="I150" s="919">
        <f t="shared" ca="1" si="51"/>
        <v>144356.12852866435</v>
      </c>
      <c r="J150" s="794">
        <f t="shared" ca="1" si="52"/>
        <v>2097.1939570863524</v>
      </c>
      <c r="K150" s="919">
        <f t="shared" ca="1" si="53"/>
        <v>614.09152954497472</v>
      </c>
      <c r="L150" s="919">
        <f t="shared" ca="1" si="54"/>
        <v>1488.7442079868699</v>
      </c>
      <c r="M150" s="749">
        <f t="shared" ca="1" si="55"/>
        <v>1396807.377233651</v>
      </c>
      <c r="N150" s="817">
        <f t="shared" ca="1" si="56"/>
        <v>35022.655178946312</v>
      </c>
      <c r="O150" s="794">
        <f t="shared" si="57"/>
        <v>173.34186225230252</v>
      </c>
      <c r="P150" s="1463">
        <f t="shared" si="58"/>
        <v>103.29222010386147</v>
      </c>
      <c r="Q150" s="749">
        <f t="shared" ca="1" si="59"/>
        <v>2630304.1192137543</v>
      </c>
      <c r="R150" s="794">
        <f t="shared" ca="1" si="60"/>
        <v>1315.1520596068772</v>
      </c>
      <c r="S150" s="749">
        <f t="shared" si="61"/>
        <v>669.78220803418901</v>
      </c>
      <c r="T150" s="794">
        <f t="shared" si="62"/>
        <v>0.33489110401709449</v>
      </c>
      <c r="U150" s="749">
        <f t="shared" ca="1" si="63"/>
        <v>2630304.1192137543</v>
      </c>
      <c r="V150" s="794">
        <f t="shared" ca="1" si="64"/>
        <v>1315.1520596068772</v>
      </c>
      <c r="W150" s="749">
        <f t="shared" ca="1" si="65"/>
        <v>998862.02958205168</v>
      </c>
      <c r="X150" s="794">
        <f t="shared" ca="1" si="66"/>
        <v>499.43101479102586</v>
      </c>
      <c r="Y150" s="749">
        <f t="shared" ca="1" si="67"/>
        <v>150348.42018147898</v>
      </c>
      <c r="Z150" s="794">
        <f t="shared" ca="1" si="68"/>
        <v>75.174210090739493</v>
      </c>
      <c r="AA150" s="749">
        <f t="shared" ca="1" si="69"/>
        <v>1433932.868150129</v>
      </c>
      <c r="AB150" s="794">
        <f t="shared" ca="1" si="70"/>
        <v>716.96643407506451</v>
      </c>
      <c r="AC150" s="749">
        <f t="shared" ca="1" si="71"/>
        <v>489753.86394170811</v>
      </c>
      <c r="AD150" s="794">
        <f t="shared" ca="1" si="72"/>
        <v>244.87693197085406</v>
      </c>
      <c r="AE150" s="749">
        <f t="shared" ca="1" si="73"/>
        <v>1665155.8493245586</v>
      </c>
      <c r="AF150" s="794">
        <f t="shared" ca="1" si="74"/>
        <v>832.57792466227932</v>
      </c>
      <c r="AG150" s="749">
        <f t="shared" si="75"/>
        <v>103.29222010386147</v>
      </c>
      <c r="AH150" s="794">
        <f t="shared" si="76"/>
        <v>5.1646110051930733E-2</v>
      </c>
      <c r="AI150" s="1278"/>
    </row>
    <row r="151" spans="1:35">
      <c r="A151" s="794" t="s">
        <v>827</v>
      </c>
      <c r="B151" s="749">
        <f t="shared" ca="1" si="44"/>
        <v>16.794767397484229</v>
      </c>
      <c r="C151" s="919">
        <f t="shared" ca="1" si="45"/>
        <v>23.209304893789721</v>
      </c>
      <c r="D151" s="919">
        <f t="shared" ca="1" si="46"/>
        <v>38.751524161493641</v>
      </c>
      <c r="E151" s="919">
        <f t="shared" ca="1" si="47"/>
        <v>18.493939147579852</v>
      </c>
      <c r="F151" s="817">
        <f t="shared" si="48"/>
        <v>40.293269674285355</v>
      </c>
      <c r="G151" s="749">
        <f t="shared" ca="1" si="49"/>
        <v>38.923004562295347</v>
      </c>
      <c r="H151" s="794">
        <f t="shared" si="50"/>
        <v>27.210393255860001</v>
      </c>
      <c r="I151" s="919">
        <f t="shared" ca="1" si="51"/>
        <v>71.505552516978213</v>
      </c>
      <c r="J151" s="794">
        <f t="shared" ca="1" si="52"/>
        <v>7.2225525851374188</v>
      </c>
      <c r="K151" s="919">
        <f t="shared" ca="1" si="53"/>
        <v>4.3296672300688055</v>
      </c>
      <c r="L151" s="919">
        <f t="shared" ca="1" si="54"/>
        <v>9.0873215713516906</v>
      </c>
      <c r="M151" s="749">
        <f t="shared" ca="1" si="55"/>
        <v>13.234573075373172</v>
      </c>
      <c r="N151" s="817">
        <f t="shared" ca="1" si="56"/>
        <v>8.1902164725890465</v>
      </c>
      <c r="O151" s="794">
        <f t="shared" si="57"/>
        <v>2.8380826757778772</v>
      </c>
      <c r="P151" s="1463">
        <f t="shared" si="58"/>
        <v>6.2139322752629473</v>
      </c>
      <c r="Q151" s="749">
        <f t="shared" ca="1" si="59"/>
        <v>97.249535600347443</v>
      </c>
      <c r="R151" s="794">
        <f t="shared" ca="1" si="60"/>
        <v>4.8624767800173718E-2</v>
      </c>
      <c r="S151" s="749">
        <f t="shared" si="61"/>
        <v>40.293269674285355</v>
      </c>
      <c r="T151" s="794">
        <f t="shared" si="62"/>
        <v>2.0146634837142678E-2</v>
      </c>
      <c r="U151" s="749">
        <f t="shared" ca="1" si="63"/>
        <v>97.249535600347443</v>
      </c>
      <c r="V151" s="794">
        <f t="shared" ca="1" si="64"/>
        <v>4.8624767800173718E-2</v>
      </c>
      <c r="W151" s="749">
        <f t="shared" ca="1" si="65"/>
        <v>38.923004562295347</v>
      </c>
      <c r="X151" s="794">
        <f t="shared" ca="1" si="66"/>
        <v>1.9461502281147673E-2</v>
      </c>
      <c r="Y151" s="749">
        <f t="shared" ca="1" si="67"/>
        <v>105.93849835797563</v>
      </c>
      <c r="Z151" s="794">
        <f t="shared" ca="1" si="68"/>
        <v>5.2969249178987814E-2</v>
      </c>
      <c r="AA151" s="749">
        <f t="shared" ca="1" si="69"/>
        <v>34.841778349382714</v>
      </c>
      <c r="AB151" s="794">
        <f t="shared" ca="1" si="70"/>
        <v>1.7420889174691357E-2</v>
      </c>
      <c r="AC151" s="749">
        <f t="shared" ca="1" si="71"/>
        <v>79.132300839703518</v>
      </c>
      <c r="AD151" s="794">
        <f t="shared" ca="1" si="72"/>
        <v>3.9566150419851759E-2</v>
      </c>
      <c r="AE151" s="749">
        <f t="shared" ca="1" si="73"/>
        <v>64.397038710797815</v>
      </c>
      <c r="AF151" s="794">
        <f t="shared" ca="1" si="74"/>
        <v>3.2198519355398907E-2</v>
      </c>
      <c r="AG151" s="749">
        <f t="shared" si="75"/>
        <v>6.2139322752629473</v>
      </c>
      <c r="AH151" s="794">
        <f t="shared" si="76"/>
        <v>3.1069661376314736E-3</v>
      </c>
      <c r="AI151" s="1278"/>
    </row>
    <row r="152" spans="1:35">
      <c r="A152" s="794" t="s">
        <v>828</v>
      </c>
      <c r="B152" s="749">
        <f t="shared" ca="1" si="44"/>
        <v>40.528575387336474</v>
      </c>
      <c r="C152" s="919">
        <f t="shared" ca="1" si="45"/>
        <v>54.946548035982737</v>
      </c>
      <c r="D152" s="919">
        <f t="shared" ca="1" si="46"/>
        <v>100.89383541633919</v>
      </c>
      <c r="E152" s="919">
        <f t="shared" ca="1" si="47"/>
        <v>50.895622001407943</v>
      </c>
      <c r="F152" s="817">
        <f t="shared" si="48"/>
        <v>29.224034157892426</v>
      </c>
      <c r="G152" s="749">
        <f t="shared" ca="1" si="49"/>
        <v>99.564910208915492</v>
      </c>
      <c r="H152" s="794">
        <f t="shared" si="50"/>
        <v>44.998892603987933</v>
      </c>
      <c r="I152" s="919">
        <f t="shared" ca="1" si="51"/>
        <v>138.70030290935742</v>
      </c>
      <c r="J152" s="794">
        <f t="shared" ca="1" si="52"/>
        <v>19.319897467532343</v>
      </c>
      <c r="K152" s="919">
        <f t="shared" ca="1" si="53"/>
        <v>10.449966755454556</v>
      </c>
      <c r="L152" s="919">
        <f t="shared" ca="1" si="54"/>
        <v>21.758225248070534</v>
      </c>
      <c r="M152" s="749">
        <f t="shared" ca="1" si="55"/>
        <v>33.497153189295801</v>
      </c>
      <c r="N152" s="817">
        <f t="shared" ca="1" si="56"/>
        <v>22.503009111490613</v>
      </c>
      <c r="O152" s="794">
        <f t="shared" si="57"/>
        <v>9.2053092900655784</v>
      </c>
      <c r="P152" s="1463">
        <f t="shared" si="58"/>
        <v>4.5068610846194721</v>
      </c>
      <c r="Q152" s="749">
        <f t="shared" ca="1" si="59"/>
        <v>247.26458084106633</v>
      </c>
      <c r="R152" s="794">
        <f t="shared" ca="1" si="60"/>
        <v>0.12363229042053317</v>
      </c>
      <c r="S152" s="749">
        <f t="shared" si="61"/>
        <v>29.224034157892426</v>
      </c>
      <c r="T152" s="794">
        <f t="shared" si="62"/>
        <v>1.4612017078946212E-2</v>
      </c>
      <c r="U152" s="749">
        <f t="shared" ca="1" si="63"/>
        <v>247.26458084106633</v>
      </c>
      <c r="V152" s="794">
        <f t="shared" ca="1" si="64"/>
        <v>0.12363229042053317</v>
      </c>
      <c r="W152" s="749">
        <f t="shared" ca="1" si="65"/>
        <v>99.564910208915492</v>
      </c>
      <c r="X152" s="794">
        <f t="shared" ca="1" si="66"/>
        <v>4.9782455104457744E-2</v>
      </c>
      <c r="Y152" s="749">
        <f t="shared" ca="1" si="67"/>
        <v>203.0190929808777</v>
      </c>
      <c r="Z152" s="794">
        <f t="shared" ca="1" si="68"/>
        <v>0.10150954649043885</v>
      </c>
      <c r="AA152" s="749">
        <f t="shared" ca="1" si="69"/>
        <v>88.208354304311499</v>
      </c>
      <c r="AB152" s="794">
        <f t="shared" ca="1" si="70"/>
        <v>4.4104177152155748E-2</v>
      </c>
      <c r="AC152" s="749">
        <f t="shared" ca="1" si="71"/>
        <v>161.63741987209281</v>
      </c>
      <c r="AD152" s="794">
        <f t="shared" ca="1" si="72"/>
        <v>8.081870993604641E-2</v>
      </c>
      <c r="AE152" s="749">
        <f t="shared" ca="1" si="73"/>
        <v>165.72378896246056</v>
      </c>
      <c r="AF152" s="794">
        <f t="shared" ca="1" si="74"/>
        <v>8.2861894481230283E-2</v>
      </c>
      <c r="AG152" s="749">
        <f t="shared" si="75"/>
        <v>4.5068610846194721</v>
      </c>
      <c r="AH152" s="794">
        <f t="shared" si="76"/>
        <v>2.253430542309736E-3</v>
      </c>
      <c r="AI152" s="1278"/>
    </row>
    <row r="153" spans="1:35">
      <c r="A153" s="794" t="s">
        <v>829</v>
      </c>
      <c r="B153" s="749">
        <f t="shared" ca="1" si="44"/>
        <v>4594.3263358791955</v>
      </c>
      <c r="C153" s="919">
        <f t="shared" ca="1" si="45"/>
        <v>6306.3779593684048</v>
      </c>
      <c r="D153" s="919">
        <f t="shared" ca="1" si="46"/>
        <v>12717.714087667549</v>
      </c>
      <c r="E153" s="919">
        <f t="shared" ca="1" si="47"/>
        <v>7210.9213512482893</v>
      </c>
      <c r="F153" s="817">
        <f t="shared" si="48"/>
        <v>3242.2438840215182</v>
      </c>
      <c r="G153" s="749">
        <f t="shared" ca="1" si="49"/>
        <v>11872.848613192802</v>
      </c>
      <c r="H153" s="794">
        <f t="shared" si="50"/>
        <v>1935.1875282830513</v>
      </c>
      <c r="I153" s="919">
        <f t="shared" ca="1" si="51"/>
        <v>10908.532350543441</v>
      </c>
      <c r="J153" s="794">
        <f t="shared" ca="1" si="52"/>
        <v>2113.5071897809203</v>
      </c>
      <c r="K153" s="919">
        <f t="shared" ca="1" si="53"/>
        <v>1516.0640988399562</v>
      </c>
      <c r="L153" s="919">
        <f t="shared" ca="1" si="54"/>
        <v>2501.6908191899893</v>
      </c>
      <c r="M153" s="749">
        <f t="shared" ca="1" si="55"/>
        <v>4099.9624169076887</v>
      </c>
      <c r="N153" s="817">
        <f t="shared" ca="1" si="56"/>
        <v>3072.4808923256205</v>
      </c>
      <c r="O153" s="794">
        <f t="shared" si="57"/>
        <v>1180.255227082826</v>
      </c>
      <c r="P153" s="1463">
        <f t="shared" si="58"/>
        <v>500.01114523731036</v>
      </c>
      <c r="Q153" s="749">
        <f t="shared" ca="1" si="59"/>
        <v>30829.339734163441</v>
      </c>
      <c r="R153" s="794">
        <f t="shared" ca="1" si="60"/>
        <v>15.41466986708172</v>
      </c>
      <c r="S153" s="749">
        <f t="shared" si="61"/>
        <v>3242.2438840215182</v>
      </c>
      <c r="T153" s="794">
        <f t="shared" si="62"/>
        <v>1.621121942010759</v>
      </c>
      <c r="U153" s="749">
        <f t="shared" ca="1" si="63"/>
        <v>30829.339734163441</v>
      </c>
      <c r="V153" s="794">
        <f t="shared" ca="1" si="64"/>
        <v>15.41466986708172</v>
      </c>
      <c r="W153" s="749">
        <f t="shared" ca="1" si="65"/>
        <v>11872.848613192802</v>
      </c>
      <c r="X153" s="794">
        <f t="shared" ca="1" si="66"/>
        <v>5.9364243065964013</v>
      </c>
      <c r="Y153" s="749">
        <f t="shared" ca="1" si="67"/>
        <v>14957.227068607412</v>
      </c>
      <c r="Z153" s="794">
        <f t="shared" ca="1" si="68"/>
        <v>7.4786135343037055</v>
      </c>
      <c r="AA153" s="749">
        <f t="shared" ca="1" si="69"/>
        <v>11190.198227263256</v>
      </c>
      <c r="AB153" s="794">
        <f t="shared" ca="1" si="70"/>
        <v>5.5950991136316279</v>
      </c>
      <c r="AC153" s="749">
        <f t="shared" ca="1" si="71"/>
        <v>13723.475686441569</v>
      </c>
      <c r="AD153" s="794">
        <f t="shared" ca="1" si="72"/>
        <v>6.8617378432207845</v>
      </c>
      <c r="AE153" s="749">
        <f t="shared" ca="1" si="73"/>
        <v>20695.227278808285</v>
      </c>
      <c r="AF153" s="794">
        <f t="shared" ca="1" si="74"/>
        <v>10.347613639404143</v>
      </c>
      <c r="AG153" s="749">
        <f t="shared" si="75"/>
        <v>500.01114523731036</v>
      </c>
      <c r="AH153" s="794">
        <f t="shared" si="76"/>
        <v>0.25000557261865519</v>
      </c>
      <c r="AI153" s="1278"/>
    </row>
    <row r="154" spans="1:35">
      <c r="A154" s="794" t="s">
        <v>830</v>
      </c>
      <c r="B154" s="749">
        <f t="shared" ca="1" si="44"/>
        <v>439.75026189358823</v>
      </c>
      <c r="C154" s="919">
        <f t="shared" ca="1" si="45"/>
        <v>198.6841634084559</v>
      </c>
      <c r="D154" s="919">
        <f t="shared" ca="1" si="46"/>
        <v>157.53644047178901</v>
      </c>
      <c r="E154" s="919">
        <f t="shared" ca="1" si="47"/>
        <v>91.361870176384912</v>
      </c>
      <c r="F154" s="817">
        <f t="shared" si="48"/>
        <v>30.24423386938199</v>
      </c>
      <c r="G154" s="749">
        <f t="shared" ca="1" si="49"/>
        <v>338.54983297250442</v>
      </c>
      <c r="H154" s="794">
        <f t="shared" si="50"/>
        <v>359.91480840520342</v>
      </c>
      <c r="I154" s="919">
        <f t="shared" ca="1" si="51"/>
        <v>713.19384870495753</v>
      </c>
      <c r="J154" s="794">
        <f t="shared" ca="1" si="52"/>
        <v>23.83983665038884</v>
      </c>
      <c r="K154" s="919">
        <f t="shared" ca="1" si="53"/>
        <v>164.66656538660453</v>
      </c>
      <c r="L154" s="919">
        <f t="shared" ca="1" si="54"/>
        <v>78.632083536421177</v>
      </c>
      <c r="M154" s="749">
        <f t="shared" ca="1" si="55"/>
        <v>43.344845223107924</v>
      </c>
      <c r="N154" s="817">
        <f t="shared" ca="1" si="56"/>
        <v>38.906056642940321</v>
      </c>
      <c r="O154" s="794">
        <f t="shared" si="57"/>
        <v>11.244232864218375</v>
      </c>
      <c r="P154" s="1463">
        <f t="shared" si="58"/>
        <v>4.6641938591916166</v>
      </c>
      <c r="Q154" s="749">
        <f t="shared" ca="1" si="59"/>
        <v>887.33273595021797</v>
      </c>
      <c r="R154" s="794">
        <f t="shared" ca="1" si="60"/>
        <v>0.443666367975109</v>
      </c>
      <c r="S154" s="749">
        <f t="shared" si="61"/>
        <v>30.24423386938199</v>
      </c>
      <c r="T154" s="794">
        <f t="shared" si="62"/>
        <v>1.5122116934690994E-2</v>
      </c>
      <c r="U154" s="749">
        <f t="shared" ca="1" si="63"/>
        <v>887.33273595021797</v>
      </c>
      <c r="V154" s="794">
        <f t="shared" ca="1" si="64"/>
        <v>0.443666367975109</v>
      </c>
      <c r="W154" s="749">
        <f t="shared" ca="1" si="65"/>
        <v>338.54983297250442</v>
      </c>
      <c r="X154" s="794">
        <f t="shared" ca="1" si="66"/>
        <v>0.1692749164862522</v>
      </c>
      <c r="Y154" s="749">
        <f t="shared" ca="1" si="67"/>
        <v>1096.9484937605498</v>
      </c>
      <c r="Z154" s="794">
        <f t="shared" ca="1" si="68"/>
        <v>0.54847424688027491</v>
      </c>
      <c r="AA154" s="749">
        <f t="shared" ca="1" si="69"/>
        <v>325.54955078907398</v>
      </c>
      <c r="AB154" s="794">
        <f t="shared" ca="1" si="70"/>
        <v>0.162774775394537</v>
      </c>
      <c r="AC154" s="749">
        <f t="shared" ca="1" si="71"/>
        <v>793.58902944533168</v>
      </c>
      <c r="AD154" s="794">
        <f t="shared" ca="1" si="72"/>
        <v>0.39679451472266586</v>
      </c>
      <c r="AE154" s="749">
        <f t="shared" ca="1" si="73"/>
        <v>572.9258547207063</v>
      </c>
      <c r="AF154" s="794">
        <f t="shared" ca="1" si="74"/>
        <v>0.28646292736035317</v>
      </c>
      <c r="AG154" s="749">
        <f t="shared" si="75"/>
        <v>4.6641938591916166</v>
      </c>
      <c r="AH154" s="794">
        <f t="shared" si="76"/>
        <v>2.3320969295958084E-3</v>
      </c>
      <c r="AI154" s="1278"/>
    </row>
    <row r="155" spans="1:35">
      <c r="A155" s="1487" t="s">
        <v>831</v>
      </c>
      <c r="B155" s="1506">
        <f t="shared" ca="1" si="44"/>
        <v>2248095.7765458352</v>
      </c>
      <c r="C155" s="1291">
        <f t="shared" ca="1" si="45"/>
        <v>3291854.9324984145</v>
      </c>
      <c r="D155" s="1291">
        <f t="shared" ca="1" si="46"/>
        <v>4815975.0954625653</v>
      </c>
      <c r="E155" s="1291">
        <f t="shared" ca="1" si="47"/>
        <v>2910444.1465718565</v>
      </c>
      <c r="F155" s="1093">
        <f t="shared" si="48"/>
        <v>1248498.6651132065</v>
      </c>
      <c r="G155" s="1506">
        <f t="shared" ca="1" si="49"/>
        <v>5098435.8866235018</v>
      </c>
      <c r="H155" s="1507">
        <f t="shared" si="50"/>
        <v>1761765.5600328606</v>
      </c>
      <c r="I155" s="1291">
        <f t="shared" ca="1" si="51"/>
        <v>6153733.6832949519</v>
      </c>
      <c r="J155" s="1507">
        <f t="shared" ca="1" si="52"/>
        <v>970556.54885172518</v>
      </c>
      <c r="K155" s="1291">
        <f t="shared" ca="1" si="53"/>
        <v>569502.16265981318</v>
      </c>
      <c r="L155" s="1291">
        <f t="shared" ca="1" si="54"/>
        <v>1180124.4698520689</v>
      </c>
      <c r="M155" s="1506">
        <f t="shared" ca="1" si="55"/>
        <v>1410625.7569817321</v>
      </c>
      <c r="N155" s="1093">
        <f t="shared" ca="1" si="56"/>
        <v>1106382.4087771464</v>
      </c>
      <c r="O155" s="1507">
        <f t="shared" si="57"/>
        <v>438361.27786703606</v>
      </c>
      <c r="P155" s="1291">
        <f t="shared" si="58"/>
        <v>192540.49655148166</v>
      </c>
      <c r="Q155" s="1506">
        <f t="shared" ca="1" si="59"/>
        <v>13266369.951078672</v>
      </c>
      <c r="R155" s="1507">
        <f t="shared" ca="1" si="60"/>
        <v>6633.1849755393359</v>
      </c>
      <c r="S155" s="1506">
        <f t="shared" si="61"/>
        <v>1248498.6651132065</v>
      </c>
      <c r="T155" s="1507">
        <f t="shared" si="62"/>
        <v>624.24933255660324</v>
      </c>
      <c r="U155" s="1506">
        <f t="shared" ca="1" si="63"/>
        <v>13266369.951078672</v>
      </c>
      <c r="V155" s="1507">
        <f t="shared" ca="1" si="64"/>
        <v>6633.1849755393359</v>
      </c>
      <c r="W155" s="1506">
        <f t="shared" ca="1" si="65"/>
        <v>5098435.8866235018</v>
      </c>
      <c r="X155" s="1507">
        <f t="shared" ca="1" si="66"/>
        <v>2549.2179433117508</v>
      </c>
      <c r="Y155" s="1506">
        <f t="shared" ca="1" si="67"/>
        <v>8886055.7921795379</v>
      </c>
      <c r="Z155" s="1507">
        <f t="shared" ca="1" si="68"/>
        <v>4443.0278960897685</v>
      </c>
      <c r="AA155" s="1506">
        <f t="shared" ca="1" si="69"/>
        <v>4266634.798270761</v>
      </c>
      <c r="AB155" s="1507">
        <f t="shared" ca="1" si="70"/>
        <v>2133.3173991353806</v>
      </c>
      <c r="AC155" s="1506">
        <f t="shared" ca="1" si="71"/>
        <v>7371007.8299571238</v>
      </c>
      <c r="AD155" s="1507">
        <f t="shared" ca="1" si="72"/>
        <v>3685.5039149785621</v>
      </c>
      <c r="AE155" s="1506">
        <f t="shared" ca="1" si="73"/>
        <v>8835973.4568998348</v>
      </c>
      <c r="AF155" s="1507">
        <f t="shared" ca="1" si="74"/>
        <v>4417.9867284499178</v>
      </c>
      <c r="AG155" s="1506">
        <f t="shared" si="75"/>
        <v>192540.49655148166</v>
      </c>
      <c r="AH155" s="1507">
        <f t="shared" si="76"/>
        <v>96.270248275740826</v>
      </c>
      <c r="AI155" s="1279"/>
    </row>
    <row r="156" spans="1:35">
      <c r="A156" s="1487" t="s">
        <v>850</v>
      </c>
      <c r="B156" s="1506">
        <f ca="1">B155+B145*GREET1_Import_Export!$B$62/GREET1_Import_Export!$B$65+B146*GREET1_Import_Export!$B$63/GREET1_Import_Export!$B$65</f>
        <v>2252327.1704539806</v>
      </c>
      <c r="C156" s="1291">
        <f ca="1">C155+C145*GREET1_Import_Export!$B$62/GREET1_Import_Export!$B$65+C146*GREET1_Import_Export!$B$63/GREET1_Import_Export!$B$65</f>
        <v>3298051.4101561243</v>
      </c>
      <c r="D156" s="1291">
        <f ca="1">D155+D145*GREET1_Import_Export!$B$62/GREET1_Import_Export!$B$65+D146*GREET1_Import_Export!$B$63/GREET1_Import_Export!$B$65</f>
        <v>4830861.2377536884</v>
      </c>
      <c r="E156" s="1291">
        <f ca="1">E155+E145*GREET1_Import_Export!$B$62/GREET1_Import_Export!$B$65+E146*GREET1_Import_Export!$B$63/GREET1_Import_Export!$B$65</f>
        <v>2918472.801153739</v>
      </c>
      <c r="F156" s="1093">
        <f>F155+F145*GREET1_Import_Export!$B$62/GREET1_Import_Export!$B$65+F146*GREET1_Import_Export!$B$63/GREET1_Import_Export!$B$65</f>
        <v>1251640.2112794635</v>
      </c>
      <c r="G156" s="1506">
        <f ca="1">G155+G145*GREET1_Import_Export!$B$62/GREET1_Import_Export!$B$65+G146*GREET1_Import_Export!$B$63/GREET1_Import_Export!$B$65</f>
        <v>5111232.2873784974</v>
      </c>
      <c r="H156" s="1507">
        <f>H155+H145*GREET1_Import_Export!$B$62/GREET1_Import_Export!$B$65+H146*GREET1_Import_Export!$B$63/GREET1_Import_Export!$B$65</f>
        <v>1764481.5829704264</v>
      </c>
      <c r="I156" s="1291">
        <f ca="1">I155+I145*GREET1_Import_Export!$B$62/GREET1_Import_Export!$B$65+I146*GREET1_Import_Export!$B$63/GREET1_Import_Export!$B$65</f>
        <v>6173781.8395159654</v>
      </c>
      <c r="J156" s="1507">
        <f ca="1">J155+J145*GREET1_Import_Export!$B$62/GREET1_Import_Export!$B$65+J146*GREET1_Import_Export!$B$63/GREET1_Import_Export!$B$65</f>
        <v>971600.01704820863</v>
      </c>
      <c r="K156" s="1291">
        <f ca="1">K155+K145*GREET1_Import_Export!$B$62/GREET1_Import_Export!$B$65+K146*GREET1_Import_Export!$B$63/GREET1_Import_Export!$B$65</f>
        <v>570840.0440563045</v>
      </c>
      <c r="L156" s="1291">
        <f ca="1">L155+L145*GREET1_Import_Export!$B$62/GREET1_Import_Export!$B$65+L146*GREET1_Import_Export!$B$63/GREET1_Import_Export!$B$65</f>
        <v>1182592.0842924316</v>
      </c>
      <c r="M156" s="1506">
        <f ca="1">M155+M145*GREET1_Import_Export!$B$62/GREET1_Import_Export!$B$65+M146*GREET1_Import_Export!$B$63/GREET1_Import_Export!$B$65</f>
        <v>1417374.4350514715</v>
      </c>
      <c r="N156" s="1093">
        <f ca="1">N155+N145*GREET1_Import_Export!$B$62/GREET1_Import_Export!$B$65+N146*GREET1_Import_Export!$B$63/GREET1_Import_Export!$B$65</f>
        <v>1109620.1965362388</v>
      </c>
      <c r="O156" s="1507">
        <f>O155+O145*GREET1_Import_Export!$B$62/GREET1_Import_Export!$B$65+O146*GREET1_Import_Export!$B$63/GREET1_Import_Export!$B$65</f>
        <v>438922.78861061402</v>
      </c>
      <c r="P156" s="1291">
        <f>P155+P145*GREET1_Import_Export!$B$62/GREET1_Import_Export!$B$65+P146*GREET1_Import_Export!$B$63/GREET1_Import_Export!$B$65</f>
        <v>193024.97833403581</v>
      </c>
      <c r="Q156" s="1506">
        <f t="shared" ca="1" si="59"/>
        <v>13299712.619517531</v>
      </c>
      <c r="R156" s="1507">
        <f t="shared" ca="1" si="60"/>
        <v>6649.8563097587657</v>
      </c>
      <c r="S156" s="1506">
        <f t="shared" si="61"/>
        <v>1251640.2112794635</v>
      </c>
      <c r="T156" s="1507">
        <f t="shared" si="62"/>
        <v>625.82010563973176</v>
      </c>
      <c r="U156" s="1506">
        <f t="shared" ca="1" si="63"/>
        <v>13299712.619517531</v>
      </c>
      <c r="V156" s="1507">
        <f t="shared" ca="1" si="64"/>
        <v>6649.8563097587657</v>
      </c>
      <c r="W156" s="1506">
        <f t="shared" ca="1" si="65"/>
        <v>5111232.2873784974</v>
      </c>
      <c r="X156" s="1507">
        <f t="shared" ca="1" si="66"/>
        <v>2555.6161436892489</v>
      </c>
      <c r="Y156" s="1506">
        <f t="shared" ca="1" si="67"/>
        <v>8909863.4395346008</v>
      </c>
      <c r="Z156" s="1507">
        <f t="shared" ca="1" si="68"/>
        <v>4454.9317197673008</v>
      </c>
      <c r="AA156" s="1506">
        <f t="shared" ca="1" si="69"/>
        <v>4280426.7599364463</v>
      </c>
      <c r="AB156" s="1507">
        <f t="shared" ca="1" si="70"/>
        <v>2140.2133799682233</v>
      </c>
      <c r="AC156" s="1506">
        <f t="shared" ca="1" si="71"/>
        <v>7390410.9786721589</v>
      </c>
      <c r="AD156" s="1507">
        <f t="shared" ca="1" si="72"/>
        <v>3695.2054893360796</v>
      </c>
      <c r="AE156" s="1506">
        <f t="shared" ca="1" si="73"/>
        <v>8857640.876765212</v>
      </c>
      <c r="AF156" s="1507">
        <f t="shared" ca="1" si="74"/>
        <v>4428.820438382606</v>
      </c>
      <c r="AG156" s="1506">
        <f t="shared" si="75"/>
        <v>193024.97833403581</v>
      </c>
      <c r="AH156" s="1507">
        <f t="shared" si="76"/>
        <v>96.512489167017904</v>
      </c>
      <c r="AI156" s="1279"/>
    </row>
    <row r="157" spans="1:35">
      <c r="A157" s="1489" t="s">
        <v>851</v>
      </c>
      <c r="B157" s="1492">
        <f ca="1">B156+SUMPRODUCT(B153:B154,GREET1_Import_Export!$B$51:$B$52)+SUMPRODUCT(B145:B147,GREET1_Import_Export!$B$55:$B$57)+SUMPRODUCT(B151:B152,GREET1_Import_Export!$B$58:$B$59)</f>
        <v>2506690.7799321571</v>
      </c>
      <c r="C157" s="1292">
        <f ca="1">C156+SUMPRODUCT(C153:C154,GREET1_Import_Export!$B$51:$B$52)+SUMPRODUCT(C145:C147,GREET1_Import_Export!$B$55:$B$57)+SUMPRODUCT(C151:C152,GREET1_Import_Export!$B$58:$B$59)</f>
        <v>3539894.0522404173</v>
      </c>
      <c r="D157" s="1292">
        <f ca="1">D156+SUMPRODUCT(D153:D154,GREET1_Import_Export!$B$51:$B$52)+SUMPRODUCT(D145:D147,GREET1_Import_Export!$B$55:$B$57)+SUMPRODUCT(D151:D152,GREET1_Import_Export!$B$58:$B$59)</f>
        <v>5254139.8171087392</v>
      </c>
      <c r="E157" s="1292">
        <f ca="1">E156+SUMPRODUCT(E153:E154,GREET1_Import_Export!$B$51:$B$52)+SUMPRODUCT(E145:E147,GREET1_Import_Export!$B$55:$B$57)+SUMPRODUCT(E151:E152,GREET1_Import_Export!$B$58:$B$59)</f>
        <v>3159011.3372879298</v>
      </c>
      <c r="F157" s="1493">
        <f>F156+SUMPRODUCT(F153:F154,GREET1_Import_Export!$B$51:$B$52)+SUMPRODUCT(F145:F147,GREET1_Import_Export!$B$55:$B$57)+SUMPRODUCT(F151:F152,GREET1_Import_Export!$B$58:$B$59)</f>
        <v>1356922.2497754954</v>
      </c>
      <c r="G157" s="1492">
        <f ca="1">G156+SUMPRODUCT(G153:G154,GREET1_Import_Export!$B$51:$B$52)+SUMPRODUCT(G145:G147,GREET1_Import_Export!$B$55:$B$57)+SUMPRODUCT(G151:G152,GREET1_Import_Export!$B$58:$B$59)</f>
        <v>5557133.4515119949</v>
      </c>
      <c r="H157" s="1508">
        <f>H156+SUMPRODUCT(H153:H154,GREET1_Import_Export!$B$51:$B$52)+SUMPRODUCT(H145:H147,GREET1_Import_Export!$B$55:$B$57)+SUMPRODUCT(H151:H152,GREET1_Import_Export!$B$58:$B$59)</f>
        <v>1917914.6330462969</v>
      </c>
      <c r="I157" s="1292">
        <f ca="1">I156+SUMPRODUCT(I153:I154,GREET1_Import_Export!$B$51:$B$52)+SUMPRODUCT(I145:I147,GREET1_Import_Export!$B$55:$B$57)+SUMPRODUCT(I151:I152,GREET1_Import_Export!$B$58:$B$59)</f>
        <v>6690034.1799390819</v>
      </c>
      <c r="J157" s="1508">
        <f ca="1">J156+SUMPRODUCT(J153:J154,GREET1_Import_Export!$B$51:$B$52)+SUMPRODUCT(J145:J147,GREET1_Import_Export!$B$55:$B$57)+SUMPRODUCT(J151:J152,GREET1_Import_Export!$B$58:$B$59)</f>
        <v>1041322.7894539892</v>
      </c>
      <c r="K157" s="1292">
        <f ca="1">K156+SUMPRODUCT(K153:K154,GREET1_Import_Export!$B$51:$B$52)+SUMPRODUCT(K145:K147,GREET1_Import_Export!$B$55:$B$57)+SUMPRODUCT(K151:K152,GREET1_Import_Export!$B$58:$B$59)</f>
        <v>659958.60684895341</v>
      </c>
      <c r="L157" s="1292">
        <f ca="1">L156+SUMPRODUCT(L153:L154,GREET1_Import_Export!$B$51:$B$52)+SUMPRODUCT(L145:L147,GREET1_Import_Export!$B$55:$B$57)+SUMPRODUCT(L151:L152,GREET1_Import_Export!$B$58:$B$59)</f>
        <v>1278480.3110052829</v>
      </c>
      <c r="M157" s="1492">
        <f ca="1">M156+SUMPRODUCT(M153:M154,GREET1_Import_Export!$B$51:$B$52)+SUMPRODUCT(M145:M147,GREET1_Import_Export!$B$55:$B$57)+SUMPRODUCT(M151:M152,GREET1_Import_Export!$B$58:$B$59)</f>
        <v>1551859.6915428257</v>
      </c>
      <c r="N157" s="1493">
        <f ca="1">N156+SUMPRODUCT(N153:N154,GREET1_Import_Export!$B$51:$B$52)+SUMPRODUCT(N145:N147,GREET1_Import_Export!$B$55:$B$57)+SUMPRODUCT(N151:N152,GREET1_Import_Export!$B$58:$B$59)</f>
        <v>1212104.7283163867</v>
      </c>
      <c r="O157" s="1508">
        <f>O156+SUMPRODUCT(O153:O154,GREET1_Import_Export!$B$51:$B$52)+SUMPRODUCT(O145:O147,GREET1_Import_Export!$B$55:$B$57)+SUMPRODUCT(O151:O152,GREET1_Import_Export!$B$58:$B$59)</f>
        <v>477310.16713211668</v>
      </c>
      <c r="P157" s="1292">
        <f>P156+SUMPRODUCT(P153:P154,GREET1_Import_Export!$B$51:$B$52)+SUMPRODUCT(P145:P147,GREET1_Import_Export!$B$55:$B$57)+SUMPRODUCT(P151:P152,GREET1_Import_Export!$B$58:$B$59)</f>
        <v>209261.3240638409</v>
      </c>
      <c r="Q157" s="1492">
        <f t="shared" ca="1" si="59"/>
        <v>14459735.986569244</v>
      </c>
      <c r="R157" s="1508">
        <f t="shared" ca="1" si="60"/>
        <v>7229.8679932846226</v>
      </c>
      <c r="S157" s="1492">
        <f t="shared" si="61"/>
        <v>1356922.2497754954</v>
      </c>
      <c r="T157" s="1508">
        <f t="shared" si="62"/>
        <v>678.4611248877477</v>
      </c>
      <c r="U157" s="1492">
        <f t="shared" ca="1" si="63"/>
        <v>14459735.986569244</v>
      </c>
      <c r="V157" s="1508">
        <f t="shared" ca="1" si="64"/>
        <v>7229.8679932846226</v>
      </c>
      <c r="W157" s="1492">
        <f t="shared" ca="1" si="65"/>
        <v>5557133.4515119949</v>
      </c>
      <c r="X157" s="1508">
        <f t="shared" ca="1" si="66"/>
        <v>2778.5667257559976</v>
      </c>
      <c r="Y157" s="1492">
        <f t="shared" ca="1" si="67"/>
        <v>9649271.6024393681</v>
      </c>
      <c r="Z157" s="1508">
        <f t="shared" ca="1" si="68"/>
        <v>4824.6358012196843</v>
      </c>
      <c r="AA157" s="1492">
        <f t="shared" ca="1" si="69"/>
        <v>4702403.3377134483</v>
      </c>
      <c r="AB157" s="1508">
        <f t="shared" ca="1" si="70"/>
        <v>2351.2016688567242</v>
      </c>
      <c r="AC157" s="1492">
        <f t="shared" ca="1" si="71"/>
        <v>8012416.3420684189</v>
      </c>
      <c r="AD157" s="1508">
        <f t="shared" ca="1" si="72"/>
        <v>4006.2081710342095</v>
      </c>
      <c r="AE157" s="1492">
        <f t="shared" ca="1" si="73"/>
        <v>9630323.0466304496</v>
      </c>
      <c r="AF157" s="1508">
        <f t="shared" ca="1" si="74"/>
        <v>4815.1615233152252</v>
      </c>
      <c r="AG157" s="1492">
        <f t="shared" si="75"/>
        <v>209261.3240638409</v>
      </c>
      <c r="AH157" s="1508">
        <f t="shared" si="76"/>
        <v>104.63066203192045</v>
      </c>
      <c r="AI157" s="1279"/>
    </row>
    <row r="158" spans="1:35">
      <c r="A158" s="290" t="s">
        <v>865</v>
      </c>
      <c r="B158" s="661"/>
      <c r="C158" s="363"/>
      <c r="D158" s="363"/>
      <c r="E158" s="363"/>
      <c r="F158" s="1013"/>
      <c r="G158" s="661"/>
      <c r="H158" s="483"/>
      <c r="I158" s="363"/>
      <c r="J158" s="483"/>
      <c r="K158" s="363"/>
      <c r="L158" s="363"/>
      <c r="M158" s="661"/>
      <c r="N158" s="1013"/>
      <c r="O158" s="483"/>
      <c r="P158" s="521"/>
      <c r="Q158" s="1509" t="s">
        <v>845</v>
      </c>
      <c r="R158" s="1510" t="s">
        <v>846</v>
      </c>
      <c r="S158" s="1509" t="s">
        <v>845</v>
      </c>
      <c r="T158" s="1510" t="s">
        <v>846</v>
      </c>
      <c r="U158" s="1509" t="s">
        <v>845</v>
      </c>
      <c r="V158" s="1510" t="s">
        <v>846</v>
      </c>
      <c r="W158" s="1509" t="s">
        <v>845</v>
      </c>
      <c r="X158" s="1510" t="s">
        <v>846</v>
      </c>
      <c r="Y158" s="1509" t="s">
        <v>845</v>
      </c>
      <c r="Z158" s="1510" t="s">
        <v>846</v>
      </c>
      <c r="AA158" s="1509" t="s">
        <v>845</v>
      </c>
      <c r="AB158" s="1510" t="s">
        <v>846</v>
      </c>
      <c r="AC158" s="1509" t="s">
        <v>845</v>
      </c>
      <c r="AD158" s="1510" t="s">
        <v>846</v>
      </c>
      <c r="AE158" s="1509" t="s">
        <v>845</v>
      </c>
      <c r="AF158" s="1510" t="s">
        <v>846</v>
      </c>
      <c r="AG158" s="1509" t="s">
        <v>845</v>
      </c>
      <c r="AH158" s="1510" t="s">
        <v>846</v>
      </c>
      <c r="AI158" s="439"/>
    </row>
    <row r="159" spans="1:35">
      <c r="A159" s="794" t="s">
        <v>821</v>
      </c>
      <c r="B159" s="749">
        <f t="shared" ref="B159:B166" ca="1" si="77">SUM(B124:C124)</f>
        <v>32.170518522068413</v>
      </c>
      <c r="C159" s="919">
        <f t="shared" ref="C159:C166" ca="1" si="78">SUM(D124:E124)</f>
        <v>33.771359581711522</v>
      </c>
      <c r="D159" s="919">
        <f t="shared" ref="D159:D166" ca="1" si="79">SUM(F124:G124)</f>
        <v>46.188625950855979</v>
      </c>
      <c r="E159" s="919">
        <f t="shared" ref="E159:E166" ca="1" si="80">SUM(H124:I124)</f>
        <v>22.287574940472702</v>
      </c>
      <c r="F159" s="817">
        <f t="shared" ref="F159:F166" si="81">SUM(J124:K124)</f>
        <v>12.775692762275854</v>
      </c>
      <c r="G159" s="749">
        <f t="shared" ref="G159:G166" ca="1" si="82">SUM(L124:M124)</f>
        <v>52.317641841278579</v>
      </c>
      <c r="H159" s="794">
        <f t="shared" ref="H159:H166" si="83">SUM(N124:O124)</f>
        <v>38.319089120633713</v>
      </c>
      <c r="I159" s="919">
        <f t="shared" ref="I159:I166" ca="1" si="84">SUM(P124:Q124)</f>
        <v>90.055633566390455</v>
      </c>
      <c r="J159" s="794">
        <f t="shared" ref="J159:J166" ca="1" si="85">SUM(R124:S124)</f>
        <v>7.7999149493325008</v>
      </c>
      <c r="K159" s="919">
        <f t="shared" ref="K159:K166" ca="1" si="86">SUM(T124:U124)</f>
        <v>16.315464967532627</v>
      </c>
      <c r="L159" s="919">
        <f t="shared" ref="L159:L166" ca="1" si="87">SUM(V124:W124)</f>
        <v>12.32060977382107</v>
      </c>
      <c r="M159" s="749">
        <f t="shared" ref="M159:M166" ca="1" si="88">SUM(X124:Y124)</f>
        <v>17.366743890818828</v>
      </c>
      <c r="N159" s="817">
        <f t="shared" ref="N159:N166" ca="1" si="89">SUM(Z124:AA124)</f>
        <v>9.7323643539219944</v>
      </c>
      <c r="O159" s="794">
        <f t="shared" ref="O159:O166" si="90">SUM(AB124:AC124)</f>
        <v>3.5262963946860539</v>
      </c>
      <c r="P159" s="1463">
        <f t="shared" ref="P159:P166" si="91">SUM(AD124:AE124)</f>
        <v>1.9702369709900485</v>
      </c>
      <c r="Q159" s="749">
        <f t="shared" ref="Q159:Q166" ca="1" si="92">SUM(B159:E159)</f>
        <v>134.41807899510863</v>
      </c>
      <c r="R159" s="794">
        <f t="shared" ref="R159:R166" ca="1" si="93">Q159/2000</f>
        <v>6.7209039497554315E-2</v>
      </c>
      <c r="S159" s="749">
        <f t="shared" ref="S159:S166" si="94">F159</f>
        <v>12.775692762275854</v>
      </c>
      <c r="T159" s="794">
        <f t="shared" ref="T159:T166" si="95">S159/2000</f>
        <v>6.3878463811379268E-3</v>
      </c>
      <c r="U159" s="749">
        <f t="shared" ref="U159:U166" ca="1" si="96">Q159</f>
        <v>134.41807899510863</v>
      </c>
      <c r="V159" s="794">
        <f t="shared" ref="V159:V166" ca="1" si="97">U159/2000</f>
        <v>6.7209039497554315E-2</v>
      </c>
      <c r="W159" s="749">
        <f t="shared" ref="W159:W166" ca="1" si="98">G159</f>
        <v>52.317641841278579</v>
      </c>
      <c r="X159" s="794">
        <f t="shared" ref="X159:X166" ca="1" si="99">W159/2000</f>
        <v>2.615882092063929E-2</v>
      </c>
      <c r="Y159" s="749">
        <f t="shared" ref="Y159:Y166" ca="1" si="100">SUM(H159:J159)</f>
        <v>136.17463763635666</v>
      </c>
      <c r="Z159" s="794">
        <f t="shared" ref="Z159:Z166" ca="1" si="101">Y159/2000</f>
        <v>6.8087318818178338E-2</v>
      </c>
      <c r="AA159" s="749">
        <f t="shared" ref="AA159:AA166" ca="1" si="102">SUM(K159:N159)</f>
        <v>55.735182986094514</v>
      </c>
      <c r="AB159" s="794">
        <f t="shared" ref="AB159:AB166" ca="1" si="103">AA159/2000</f>
        <v>2.7867591493047256E-2</v>
      </c>
      <c r="AC159" s="749">
        <f t="shared" ref="AC159:AC166" ca="1" si="104">W159*$B$57+Y159*$C$57</f>
        <v>102.63183931832543</v>
      </c>
      <c r="AD159" s="794">
        <f t="shared" ref="AD159:AD166" ca="1" si="105">AC159/2000</f>
        <v>5.1315919659162719E-2</v>
      </c>
      <c r="AE159" s="749">
        <f t="shared" ref="AE159:AE166" ca="1" si="106">$A$4*Q159+O159</f>
        <v>88.612940398589814</v>
      </c>
      <c r="AF159" s="794">
        <f t="shared" ref="AF159:AF166" ca="1" si="107">AE159/2000</f>
        <v>4.4306470199294908E-2</v>
      </c>
      <c r="AG159" s="749">
        <f t="shared" ref="AG159:AG166" si="108">P159</f>
        <v>1.9702369709900485</v>
      </c>
      <c r="AH159" s="794">
        <f t="shared" ref="AH159:AH166" si="109">AG159/2000</f>
        <v>9.8511848549502428E-4</v>
      </c>
      <c r="AI159" s="1278"/>
    </row>
    <row r="160" spans="1:35">
      <c r="A160" s="794" t="s">
        <v>822</v>
      </c>
      <c r="B160" s="749">
        <f t="shared" ca="1" si="77"/>
        <v>90.359169368029754</v>
      </c>
      <c r="C160" s="919">
        <f t="shared" ca="1" si="78"/>
        <v>134.41896343730755</v>
      </c>
      <c r="D160" s="919">
        <f t="shared" ca="1" si="79"/>
        <v>218.21200995604949</v>
      </c>
      <c r="E160" s="919">
        <f t="shared" ca="1" si="80"/>
        <v>123.75464368391673</v>
      </c>
      <c r="F160" s="817">
        <f t="shared" si="81"/>
        <v>44.685306611475205</v>
      </c>
      <c r="G160" s="749">
        <f t="shared" ca="1" si="82"/>
        <v>218.39362026541843</v>
      </c>
      <c r="H160" s="794">
        <f t="shared" si="83"/>
        <v>34.737993100260539</v>
      </c>
      <c r="I160" s="919">
        <f t="shared" ca="1" si="84"/>
        <v>165.09905098254526</v>
      </c>
      <c r="J160" s="794">
        <f t="shared" ca="1" si="85"/>
        <v>46.611302946525512</v>
      </c>
      <c r="K160" s="919">
        <f t="shared" ca="1" si="86"/>
        <v>26.425318519921113</v>
      </c>
      <c r="L160" s="919">
        <f t="shared" ca="1" si="87"/>
        <v>53.853573166378808</v>
      </c>
      <c r="M160" s="749">
        <f t="shared" ca="1" si="88"/>
        <v>64.378928230280806</v>
      </c>
      <c r="N160" s="817">
        <f t="shared" ca="1" si="89"/>
        <v>53.294224648430813</v>
      </c>
      <c r="O160" s="794">
        <f t="shared" si="90"/>
        <v>21.839514057021464</v>
      </c>
      <c r="P160" s="1463">
        <f t="shared" si="91"/>
        <v>6.8912617721930092</v>
      </c>
      <c r="Q160" s="749">
        <f t="shared" ca="1" si="92"/>
        <v>566.74478644530348</v>
      </c>
      <c r="R160" s="794">
        <f t="shared" ca="1" si="93"/>
        <v>0.28337239322265173</v>
      </c>
      <c r="S160" s="749">
        <f t="shared" si="94"/>
        <v>44.685306611475205</v>
      </c>
      <c r="T160" s="794">
        <f t="shared" si="95"/>
        <v>2.2342653305737602E-2</v>
      </c>
      <c r="U160" s="749">
        <f t="shared" ca="1" si="96"/>
        <v>566.74478644530348</v>
      </c>
      <c r="V160" s="794">
        <f t="shared" ca="1" si="97"/>
        <v>0.28337239322265173</v>
      </c>
      <c r="W160" s="749">
        <f t="shared" ca="1" si="98"/>
        <v>218.39362026541843</v>
      </c>
      <c r="X160" s="794">
        <f t="shared" ca="1" si="99"/>
        <v>0.10919681013270922</v>
      </c>
      <c r="Y160" s="749">
        <f t="shared" ca="1" si="100"/>
        <v>246.4483470293313</v>
      </c>
      <c r="Z160" s="794">
        <f t="shared" ca="1" si="101"/>
        <v>0.12322417351466565</v>
      </c>
      <c r="AA160" s="749">
        <f t="shared" ca="1" si="102"/>
        <v>197.95204456501153</v>
      </c>
      <c r="AB160" s="794">
        <f t="shared" ca="1" si="103"/>
        <v>9.8976022282505766E-2</v>
      </c>
      <c r="AC160" s="749">
        <f t="shared" ca="1" si="104"/>
        <v>235.22645632376617</v>
      </c>
      <c r="AD160" s="794">
        <f t="shared" ca="1" si="105"/>
        <v>0.11761322816188309</v>
      </c>
      <c r="AE160" s="749">
        <f t="shared" ca="1" si="106"/>
        <v>380.58896387689856</v>
      </c>
      <c r="AF160" s="794">
        <f t="shared" ca="1" si="107"/>
        <v>0.19029448193844928</v>
      </c>
      <c r="AG160" s="749">
        <f t="shared" si="108"/>
        <v>6.8912617721930092</v>
      </c>
      <c r="AH160" s="794">
        <f t="shared" si="109"/>
        <v>3.4456308860965046E-3</v>
      </c>
      <c r="AI160" s="1278"/>
    </row>
    <row r="161" spans="1:35">
      <c r="A161" s="794" t="s">
        <v>823</v>
      </c>
      <c r="B161" s="749">
        <f t="shared" ca="1" si="77"/>
        <v>289.22021831305506</v>
      </c>
      <c r="C161" s="919">
        <f t="shared" ca="1" si="78"/>
        <v>435.98715213948878</v>
      </c>
      <c r="D161" s="919">
        <f t="shared" ca="1" si="79"/>
        <v>536.66331941232443</v>
      </c>
      <c r="E161" s="919">
        <f t="shared" ca="1" si="80"/>
        <v>325.98426302180462</v>
      </c>
      <c r="F161" s="817">
        <f t="shared" si="81"/>
        <v>74.590404580840925</v>
      </c>
      <c r="G161" s="749">
        <f t="shared" ca="1" si="82"/>
        <v>614.5920424951338</v>
      </c>
      <c r="H161" s="794">
        <f t="shared" si="83"/>
        <v>97.908679259885801</v>
      </c>
      <c r="I161" s="919">
        <f t="shared" ca="1" si="84"/>
        <v>361.70339607975257</v>
      </c>
      <c r="J161" s="794">
        <f t="shared" ca="1" si="85"/>
        <v>153.67621738573482</v>
      </c>
      <c r="K161" s="919">
        <f t="shared" ca="1" si="86"/>
        <v>85.963652179069683</v>
      </c>
      <c r="L161" s="919">
        <f t="shared" ca="1" si="87"/>
        <v>172.62715912634908</v>
      </c>
      <c r="M161" s="749">
        <f t="shared" ca="1" si="88"/>
        <v>147.39443935841052</v>
      </c>
      <c r="N161" s="817">
        <f t="shared" ca="1" si="89"/>
        <v>139.30929053145115</v>
      </c>
      <c r="O161" s="794">
        <f t="shared" si="90"/>
        <v>51.1503179036863</v>
      </c>
      <c r="P161" s="1463">
        <f t="shared" si="91"/>
        <v>11.503154898983246</v>
      </c>
      <c r="Q161" s="749">
        <f t="shared" ca="1" si="92"/>
        <v>1587.8549528866729</v>
      </c>
      <c r="R161" s="794">
        <f t="shared" ca="1" si="93"/>
        <v>0.7939274764433365</v>
      </c>
      <c r="S161" s="749">
        <f t="shared" si="94"/>
        <v>74.590404580840925</v>
      </c>
      <c r="T161" s="794">
        <f t="shared" si="95"/>
        <v>3.7295202290420465E-2</v>
      </c>
      <c r="U161" s="749">
        <f t="shared" ca="1" si="96"/>
        <v>1587.8549528866729</v>
      </c>
      <c r="V161" s="794">
        <f t="shared" ca="1" si="97"/>
        <v>0.7939274764433365</v>
      </c>
      <c r="W161" s="749">
        <f t="shared" ca="1" si="98"/>
        <v>614.5920424951338</v>
      </c>
      <c r="X161" s="794">
        <f t="shared" ca="1" si="99"/>
        <v>0.30729602124756689</v>
      </c>
      <c r="Y161" s="749">
        <f t="shared" ca="1" si="100"/>
        <v>613.28829272537314</v>
      </c>
      <c r="Z161" s="794">
        <f t="shared" ca="1" si="101"/>
        <v>0.30664414636268655</v>
      </c>
      <c r="AA161" s="749">
        <f t="shared" ca="1" si="102"/>
        <v>545.29454119528043</v>
      </c>
      <c r="AB161" s="794">
        <f t="shared" ca="1" si="103"/>
        <v>0.27264727059764021</v>
      </c>
      <c r="AC161" s="749">
        <f t="shared" ca="1" si="104"/>
        <v>613.80979263327743</v>
      </c>
      <c r="AD161" s="794">
        <f t="shared" ca="1" si="105"/>
        <v>0.3069048963166387</v>
      </c>
      <c r="AE161" s="749">
        <f t="shared" ca="1" si="106"/>
        <v>1056.2625030809504</v>
      </c>
      <c r="AF161" s="794">
        <f t="shared" ca="1" si="107"/>
        <v>0.52813125154047524</v>
      </c>
      <c r="AG161" s="749">
        <f t="shared" si="108"/>
        <v>11.503154898983246</v>
      </c>
      <c r="AH161" s="794">
        <f t="shared" si="109"/>
        <v>5.7515774494916226E-3</v>
      </c>
      <c r="AI161" s="1278"/>
    </row>
    <row r="162" spans="1:35">
      <c r="A162" s="794" t="s">
        <v>824</v>
      </c>
      <c r="B162" s="749">
        <f t="shared" ca="1" si="77"/>
        <v>36.835862376836161</v>
      </c>
      <c r="C162" s="919">
        <f t="shared" ca="1" si="78"/>
        <v>54.506948881282725</v>
      </c>
      <c r="D162" s="919">
        <f t="shared" ca="1" si="79"/>
        <v>57.604849841236536</v>
      </c>
      <c r="E162" s="919">
        <f t="shared" ca="1" si="80"/>
        <v>36.300034651689366</v>
      </c>
      <c r="F162" s="817">
        <f t="shared" si="81"/>
        <v>5.4735531007429419</v>
      </c>
      <c r="G162" s="749">
        <f t="shared" ca="1" si="82"/>
        <v>71.034914761424361</v>
      </c>
      <c r="H162" s="794">
        <f t="shared" si="83"/>
        <v>10.759335283446884</v>
      </c>
      <c r="I162" s="919">
        <f t="shared" ca="1" si="84"/>
        <v>33.651324293999977</v>
      </c>
      <c r="J162" s="794">
        <f t="shared" ca="1" si="85"/>
        <v>17.600357342194318</v>
      </c>
      <c r="K162" s="919">
        <f t="shared" ca="1" si="86"/>
        <v>11.005983915408525</v>
      </c>
      <c r="L162" s="919">
        <f t="shared" ca="1" si="87"/>
        <v>21.244182197316466</v>
      </c>
      <c r="M162" s="749">
        <f t="shared" ca="1" si="88"/>
        <v>15.702974246204587</v>
      </c>
      <c r="N162" s="817">
        <f t="shared" ca="1" si="89"/>
        <v>15.57316944744001</v>
      </c>
      <c r="O162" s="794">
        <f t="shared" si="90"/>
        <v>5.6320531682172854</v>
      </c>
      <c r="P162" s="1463">
        <f t="shared" si="91"/>
        <v>0.84411834899510152</v>
      </c>
      <c r="Q162" s="749">
        <f t="shared" ca="1" si="92"/>
        <v>185.2476957510448</v>
      </c>
      <c r="R162" s="794">
        <f t="shared" ca="1" si="93"/>
        <v>9.26238478755224E-2</v>
      </c>
      <c r="S162" s="749">
        <f t="shared" si="94"/>
        <v>5.4735531007429419</v>
      </c>
      <c r="T162" s="794">
        <f t="shared" si="95"/>
        <v>2.7367765503714708E-3</v>
      </c>
      <c r="U162" s="749">
        <f t="shared" ca="1" si="96"/>
        <v>185.2476957510448</v>
      </c>
      <c r="V162" s="794">
        <f t="shared" ca="1" si="97"/>
        <v>9.26238478755224E-2</v>
      </c>
      <c r="W162" s="749">
        <f t="shared" ca="1" si="98"/>
        <v>71.034914761424361</v>
      </c>
      <c r="X162" s="794">
        <f t="shared" ca="1" si="99"/>
        <v>3.5517457380712179E-2</v>
      </c>
      <c r="Y162" s="749">
        <f t="shared" ca="1" si="100"/>
        <v>62.011016919641179</v>
      </c>
      <c r="Z162" s="794">
        <f t="shared" ca="1" si="101"/>
        <v>3.1005508459820589E-2</v>
      </c>
      <c r="AA162" s="749">
        <f t="shared" ca="1" si="102"/>
        <v>63.526309806369582</v>
      </c>
      <c r="AB162" s="794">
        <f t="shared" ca="1" si="103"/>
        <v>3.1763154903184793E-2</v>
      </c>
      <c r="AC162" s="749">
        <f t="shared" ca="1" si="104"/>
        <v>65.620576056354452</v>
      </c>
      <c r="AD162" s="794">
        <f t="shared" ca="1" si="105"/>
        <v>3.2810288028177224E-2</v>
      </c>
      <c r="AE162" s="749">
        <f t="shared" ca="1" si="106"/>
        <v>122.89384457862865</v>
      </c>
      <c r="AF162" s="794">
        <f t="shared" ca="1" si="107"/>
        <v>6.1446922289314324E-2</v>
      </c>
      <c r="AG162" s="749">
        <f t="shared" si="108"/>
        <v>0.84411834899510152</v>
      </c>
      <c r="AH162" s="794">
        <f t="shared" si="109"/>
        <v>4.2205917449755076E-4</v>
      </c>
      <c r="AI162" s="1278"/>
    </row>
    <row r="163" spans="1:35">
      <c r="A163" s="794" t="s">
        <v>825</v>
      </c>
      <c r="B163" s="749">
        <f t="shared" ca="1" si="77"/>
        <v>31.473438992691818</v>
      </c>
      <c r="C163" s="919">
        <f t="shared" ca="1" si="78"/>
        <v>46.53363423373716</v>
      </c>
      <c r="D163" s="919">
        <f t="shared" ca="1" si="79"/>
        <v>49.876315374278654</v>
      </c>
      <c r="E163" s="919">
        <f t="shared" ca="1" si="80"/>
        <v>31.314439885098054</v>
      </c>
      <c r="F163" s="817">
        <f t="shared" si="81"/>
        <v>4.8060803742298077</v>
      </c>
      <c r="G163" s="749">
        <f t="shared" ca="1" si="82"/>
        <v>61.086643116279838</v>
      </c>
      <c r="H163" s="794">
        <f t="shared" si="83"/>
        <v>9.3646665660742023</v>
      </c>
      <c r="I163" s="919">
        <f t="shared" ca="1" si="84"/>
        <v>29.433593319924164</v>
      </c>
      <c r="J163" s="794">
        <f t="shared" ca="1" si="85"/>
        <v>14.893036581350996</v>
      </c>
      <c r="K163" s="919">
        <f t="shared" ca="1" si="86"/>
        <v>9.412070833735747</v>
      </c>
      <c r="L163" s="919">
        <f t="shared" ca="1" si="87"/>
        <v>18.134055994983274</v>
      </c>
      <c r="M163" s="749">
        <f t="shared" ca="1" si="88"/>
        <v>13.68240847984562</v>
      </c>
      <c r="N163" s="817">
        <f t="shared" ca="1" si="89"/>
        <v>13.454673278994662</v>
      </c>
      <c r="O163" s="794" t="e">
        <f t="shared" si="90"/>
        <v>#REF!</v>
      </c>
      <c r="P163" s="1463">
        <f t="shared" si="91"/>
        <v>0.74118229164196292</v>
      </c>
      <c r="Q163" s="749">
        <f t="shared" ca="1" si="92"/>
        <v>159.1978284858057</v>
      </c>
      <c r="R163" s="794">
        <f t="shared" ca="1" si="93"/>
        <v>7.9598914242902857E-2</v>
      </c>
      <c r="S163" s="749">
        <f t="shared" si="94"/>
        <v>4.8060803742298077</v>
      </c>
      <c r="T163" s="794">
        <f t="shared" si="95"/>
        <v>2.4030401871149038E-3</v>
      </c>
      <c r="U163" s="749">
        <f t="shared" ca="1" si="96"/>
        <v>159.1978284858057</v>
      </c>
      <c r="V163" s="794">
        <f t="shared" ca="1" si="97"/>
        <v>7.9598914242902857E-2</v>
      </c>
      <c r="W163" s="749">
        <f t="shared" ca="1" si="98"/>
        <v>61.086643116279838</v>
      </c>
      <c r="X163" s="794">
        <f t="shared" ca="1" si="99"/>
        <v>3.0543321558139918E-2</v>
      </c>
      <c r="Y163" s="749">
        <f t="shared" ca="1" si="100"/>
        <v>53.69129646734936</v>
      </c>
      <c r="Z163" s="794">
        <f t="shared" ca="1" si="101"/>
        <v>2.684564823367468E-2</v>
      </c>
      <c r="AA163" s="749">
        <f t="shared" ca="1" si="102"/>
        <v>54.683208587559307</v>
      </c>
      <c r="AB163" s="794">
        <f t="shared" ca="1" si="103"/>
        <v>2.7341604293779652E-2</v>
      </c>
      <c r="AC163" s="749">
        <f t="shared" ca="1" si="104"/>
        <v>56.649435126921546</v>
      </c>
      <c r="AD163" s="794">
        <f t="shared" ca="1" si="105"/>
        <v>2.8324717563460774E-2</v>
      </c>
      <c r="AE163" s="749" t="e">
        <f t="shared" ca="1" si="106"/>
        <v>#REF!</v>
      </c>
      <c r="AF163" s="794" t="e">
        <f t="shared" ca="1" si="107"/>
        <v>#REF!</v>
      </c>
      <c r="AG163" s="749">
        <f t="shared" si="108"/>
        <v>0.74118229164196292</v>
      </c>
      <c r="AH163" s="794">
        <f t="shared" si="109"/>
        <v>3.7059114582098146E-4</v>
      </c>
      <c r="AI163" s="1278"/>
    </row>
    <row r="164" spans="1:35">
      <c r="A164" s="794" t="s">
        <v>826</v>
      </c>
      <c r="B164" s="749">
        <f t="shared" ca="1" si="77"/>
        <v>316.22518002625515</v>
      </c>
      <c r="C164" s="919">
        <f t="shared" ca="1" si="78"/>
        <v>488.16693858458223</v>
      </c>
      <c r="D164" s="919">
        <f t="shared" ca="1" si="79"/>
        <v>476.36784009836822</v>
      </c>
      <c r="E164" s="919">
        <f t="shared" ca="1" si="80"/>
        <v>310.9260143132089</v>
      </c>
      <c r="F164" s="817">
        <f t="shared" si="81"/>
        <v>36.206578095339594</v>
      </c>
      <c r="G164" s="749">
        <f t="shared" ca="1" si="82"/>
        <v>608.88192488022412</v>
      </c>
      <c r="H164" s="794">
        <f t="shared" si="83"/>
        <v>54.763703528041603</v>
      </c>
      <c r="I164" s="919">
        <f t="shared" ca="1" si="84"/>
        <v>203.37529482510399</v>
      </c>
      <c r="J164" s="794">
        <f t="shared" ca="1" si="85"/>
        <v>173.73541672841176</v>
      </c>
      <c r="K164" s="919">
        <f t="shared" ca="1" si="86"/>
        <v>94.352177804258204</v>
      </c>
      <c r="L164" s="919">
        <f t="shared" ca="1" si="87"/>
        <v>192.32901441786964</v>
      </c>
      <c r="M164" s="749">
        <f t="shared" ca="1" si="88"/>
        <v>121.16764959570725</v>
      </c>
      <c r="N164" s="817">
        <f t="shared" ca="1" si="89"/>
        <v>131.82144860907732</v>
      </c>
      <c r="O164" s="794">
        <f t="shared" si="90"/>
        <v>42.017877165565444</v>
      </c>
      <c r="P164" s="1463">
        <f t="shared" si="91"/>
        <v>5.5836924136995965</v>
      </c>
      <c r="Q164" s="749">
        <f t="shared" ca="1" si="92"/>
        <v>1591.6859730224144</v>
      </c>
      <c r="R164" s="794">
        <f t="shared" ca="1" si="93"/>
        <v>0.79584298651120722</v>
      </c>
      <c r="S164" s="749">
        <f t="shared" si="94"/>
        <v>36.206578095339594</v>
      </c>
      <c r="T164" s="794">
        <f t="shared" si="95"/>
        <v>1.8103289047669797E-2</v>
      </c>
      <c r="U164" s="749">
        <f t="shared" ca="1" si="96"/>
        <v>1591.6859730224144</v>
      </c>
      <c r="V164" s="794">
        <f t="shared" ca="1" si="97"/>
        <v>0.79584298651120722</v>
      </c>
      <c r="W164" s="749">
        <f t="shared" ca="1" si="98"/>
        <v>608.88192488022412</v>
      </c>
      <c r="X164" s="794">
        <f t="shared" ca="1" si="99"/>
        <v>0.30444096244011204</v>
      </c>
      <c r="Y164" s="749">
        <f t="shared" ca="1" si="100"/>
        <v>431.87441508155734</v>
      </c>
      <c r="Z164" s="794">
        <f t="shared" ca="1" si="101"/>
        <v>0.21593720754077866</v>
      </c>
      <c r="AA164" s="749">
        <f t="shared" ca="1" si="102"/>
        <v>539.6702904269124</v>
      </c>
      <c r="AB164" s="794">
        <f t="shared" ca="1" si="103"/>
        <v>0.2698351452134562</v>
      </c>
      <c r="AC164" s="749">
        <f t="shared" ca="1" si="104"/>
        <v>502.67741900102402</v>
      </c>
      <c r="AD164" s="794">
        <f t="shared" ca="1" si="105"/>
        <v>0.25133870950051201</v>
      </c>
      <c r="AE164" s="749">
        <f t="shared" ca="1" si="106"/>
        <v>1049.5550980887538</v>
      </c>
      <c r="AF164" s="794">
        <f t="shared" ca="1" si="107"/>
        <v>0.5247775490443769</v>
      </c>
      <c r="AG164" s="749">
        <f t="shared" si="108"/>
        <v>5.5836924136995965</v>
      </c>
      <c r="AH164" s="794">
        <f t="shared" si="109"/>
        <v>2.7918462068497983E-3</v>
      </c>
      <c r="AI164" s="1278"/>
    </row>
    <row r="165" spans="1:35">
      <c r="A165" s="794" t="s">
        <v>827</v>
      </c>
      <c r="B165" s="749">
        <f t="shared" ca="1" si="77"/>
        <v>1.828813538281969</v>
      </c>
      <c r="C165" s="919">
        <f t="shared" ca="1" si="78"/>
        <v>2.4559681750247777</v>
      </c>
      <c r="D165" s="919">
        <f t="shared" ca="1" si="79"/>
        <v>2.6957842933478418</v>
      </c>
      <c r="E165" s="919">
        <f t="shared" ca="1" si="80"/>
        <v>1.6318761697237607</v>
      </c>
      <c r="F165" s="817">
        <f t="shared" si="81"/>
        <v>0.32230831127465936</v>
      </c>
      <c r="G165" s="749">
        <f t="shared" ca="1" si="82"/>
        <v>3.3586163546596541</v>
      </c>
      <c r="H165" s="794">
        <f t="shared" si="83"/>
        <v>0.95015655670358767</v>
      </c>
      <c r="I165" s="919">
        <f t="shared" ca="1" si="84"/>
        <v>2.4294479942847045</v>
      </c>
      <c r="J165" s="794">
        <f t="shared" ca="1" si="85"/>
        <v>0.76569223518124052</v>
      </c>
      <c r="K165" s="919">
        <f t="shared" ca="1" si="86"/>
        <v>0.54438624385444456</v>
      </c>
      <c r="L165" s="919">
        <f t="shared" ca="1" si="87"/>
        <v>0.93936437321916777</v>
      </c>
      <c r="M165" s="749">
        <f t="shared" ca="1" si="88"/>
        <v>0.75673499653038101</v>
      </c>
      <c r="N165" s="817">
        <f t="shared" ca="1" si="89"/>
        <v>0.70314098823712334</v>
      </c>
      <c r="O165" s="794">
        <f t="shared" si="90"/>
        <v>0.25955755506544925</v>
      </c>
      <c r="P165" s="1463">
        <f t="shared" si="91"/>
        <v>4.9705621663492475E-2</v>
      </c>
      <c r="Q165" s="749">
        <f t="shared" ca="1" si="92"/>
        <v>8.6124421763783499</v>
      </c>
      <c r="R165" s="794">
        <f t="shared" ca="1" si="93"/>
        <v>4.3062210881891745E-3</v>
      </c>
      <c r="S165" s="749">
        <f t="shared" si="94"/>
        <v>0.32230831127465936</v>
      </c>
      <c r="T165" s="794">
        <f t="shared" si="95"/>
        <v>1.6115415563732968E-4</v>
      </c>
      <c r="U165" s="749">
        <f t="shared" ca="1" si="96"/>
        <v>8.6124421763783499</v>
      </c>
      <c r="V165" s="794">
        <f t="shared" ca="1" si="97"/>
        <v>4.3062210881891745E-3</v>
      </c>
      <c r="W165" s="749">
        <f t="shared" ca="1" si="98"/>
        <v>3.3586163546596541</v>
      </c>
      <c r="X165" s="794">
        <f t="shared" ca="1" si="99"/>
        <v>1.6793081773298271E-3</v>
      </c>
      <c r="Y165" s="749">
        <f t="shared" ca="1" si="100"/>
        <v>4.1452967861695322</v>
      </c>
      <c r="Z165" s="794">
        <f t="shared" ca="1" si="101"/>
        <v>2.072648393084766E-3</v>
      </c>
      <c r="AA165" s="749">
        <f t="shared" ca="1" si="102"/>
        <v>2.9436266018411166</v>
      </c>
      <c r="AB165" s="794">
        <f t="shared" ca="1" si="103"/>
        <v>1.4718133009205582E-3</v>
      </c>
      <c r="AC165" s="749">
        <f t="shared" ca="1" si="104"/>
        <v>3.8306246135655808</v>
      </c>
      <c r="AD165" s="794">
        <f t="shared" ca="1" si="105"/>
        <v>1.9153123067827903E-3</v>
      </c>
      <c r="AE165" s="749">
        <f t="shared" ca="1" si="106"/>
        <v>5.7112334527129454</v>
      </c>
      <c r="AF165" s="794">
        <f t="shared" ca="1" si="107"/>
        <v>2.8556167263564729E-3</v>
      </c>
      <c r="AG165" s="749">
        <f t="shared" si="108"/>
        <v>4.9705621663492475E-2</v>
      </c>
      <c r="AH165" s="794">
        <f t="shared" si="109"/>
        <v>2.4852810831746236E-5</v>
      </c>
      <c r="AI165" s="1278"/>
    </row>
    <row r="166" spans="1:35">
      <c r="A166" s="954" t="s">
        <v>828</v>
      </c>
      <c r="B166" s="771">
        <f t="shared" ca="1" si="77"/>
        <v>5.7120804232757969</v>
      </c>
      <c r="C166" s="1069">
        <f t="shared" ca="1" si="78"/>
        <v>8.3798131198631527</v>
      </c>
      <c r="D166" s="1069">
        <f t="shared" ca="1" si="79"/>
        <v>11.45510042738232</v>
      </c>
      <c r="E166" s="1069">
        <f t="shared" ca="1" si="80"/>
        <v>6.9308952696632389</v>
      </c>
      <c r="F166" s="1084">
        <f t="shared" si="81"/>
        <v>1.3068718759173465</v>
      </c>
      <c r="G166" s="771">
        <f t="shared" ca="1" si="82"/>
        <v>12.587317158126584</v>
      </c>
      <c r="H166" s="954">
        <f t="shared" si="83"/>
        <v>1.4609262360560633</v>
      </c>
      <c r="I166" s="1069">
        <f t="shared" ca="1" si="84"/>
        <v>6.2359077862691725</v>
      </c>
      <c r="J166" s="954">
        <f t="shared" ca="1" si="85"/>
        <v>2.3179239862052272</v>
      </c>
      <c r="K166" s="1069">
        <f t="shared" ca="1" si="86"/>
        <v>1.7065016121879932</v>
      </c>
      <c r="L166" s="1069">
        <f t="shared" ca="1" si="87"/>
        <v>3.268024936647381</v>
      </c>
      <c r="M166" s="771">
        <f t="shared" ca="1" si="88"/>
        <v>3.3824677638585641</v>
      </c>
      <c r="N166" s="1084">
        <f t="shared" ca="1" si="89"/>
        <v>3.0256883658103204</v>
      </c>
      <c r="O166" s="954">
        <f t="shared" si="90"/>
        <v>1.4190313710470079</v>
      </c>
      <c r="P166" s="1069">
        <f t="shared" si="91"/>
        <v>0.20154267437320511</v>
      </c>
      <c r="Q166" s="771">
        <f t="shared" ca="1" si="92"/>
        <v>32.47788924018451</v>
      </c>
      <c r="R166" s="954">
        <f t="shared" ca="1" si="93"/>
        <v>1.6238944620092254E-2</v>
      </c>
      <c r="S166" s="771">
        <f t="shared" si="94"/>
        <v>1.3068718759173465</v>
      </c>
      <c r="T166" s="954">
        <f t="shared" si="95"/>
        <v>6.5343593795867325E-4</v>
      </c>
      <c r="U166" s="771">
        <f t="shared" ca="1" si="96"/>
        <v>32.47788924018451</v>
      </c>
      <c r="V166" s="954">
        <f t="shared" ca="1" si="97"/>
        <v>1.6238944620092254E-2</v>
      </c>
      <c r="W166" s="771">
        <f t="shared" ca="1" si="98"/>
        <v>12.587317158126584</v>
      </c>
      <c r="X166" s="954">
        <f t="shared" ca="1" si="99"/>
        <v>6.2936585790632918E-3</v>
      </c>
      <c r="Y166" s="771">
        <f t="shared" ca="1" si="100"/>
        <v>10.014758008530464</v>
      </c>
      <c r="Z166" s="954">
        <f t="shared" ca="1" si="101"/>
        <v>5.0073790042652316E-3</v>
      </c>
      <c r="AA166" s="771">
        <f t="shared" ca="1" si="102"/>
        <v>11.38268267850426</v>
      </c>
      <c r="AB166" s="954">
        <f t="shared" ca="1" si="103"/>
        <v>5.6913413392521298E-3</v>
      </c>
      <c r="AC166" s="771">
        <f t="shared" ca="1" si="104"/>
        <v>11.043781668368911</v>
      </c>
      <c r="AD166" s="954">
        <f t="shared" ca="1" si="105"/>
        <v>5.5218908341844557E-3</v>
      </c>
      <c r="AE166" s="771">
        <f t="shared" ca="1" si="106"/>
        <v>21.977535260083805</v>
      </c>
      <c r="AF166" s="954">
        <f t="shared" ca="1" si="107"/>
        <v>1.0988767630041902E-2</v>
      </c>
      <c r="AG166" s="771">
        <f t="shared" si="108"/>
        <v>0.20154267437320511</v>
      </c>
      <c r="AH166" s="954">
        <f t="shared" si="109"/>
        <v>1.0077133718660256E-4</v>
      </c>
      <c r="AI166" s="1278"/>
    </row>
    <row r="168" spans="1:35" ht="15">
      <c r="A168" s="1501" t="s">
        <v>1028</v>
      </c>
      <c r="B168" s="62"/>
      <c r="C168" s="62"/>
      <c r="D168" s="62"/>
      <c r="E168" s="62"/>
      <c r="F168" s="62"/>
      <c r="G168" s="62"/>
      <c r="H168" s="62"/>
      <c r="I168" s="62"/>
      <c r="J168" s="62"/>
      <c r="K168" s="62"/>
      <c r="L168" s="62"/>
      <c r="M168" s="62"/>
      <c r="N168" s="62"/>
      <c r="O168" s="62"/>
      <c r="P168" s="62"/>
      <c r="Q168" s="62"/>
      <c r="R168" s="62"/>
      <c r="S168" s="62"/>
    </row>
    <row r="169" spans="1:35" ht="25.5">
      <c r="A169" s="510"/>
      <c r="B169" s="1502" t="s">
        <v>991</v>
      </c>
      <c r="C169" s="1503" t="s">
        <v>38</v>
      </c>
      <c r="D169" s="1503" t="s">
        <v>992</v>
      </c>
      <c r="E169" s="1503" t="s">
        <v>993</v>
      </c>
      <c r="F169" s="1503" t="s">
        <v>994</v>
      </c>
      <c r="G169" s="1503" t="s">
        <v>995</v>
      </c>
      <c r="H169" s="1503" t="s">
        <v>996</v>
      </c>
      <c r="I169" s="1503" t="s">
        <v>997</v>
      </c>
      <c r="J169" s="1503" t="s">
        <v>998</v>
      </c>
      <c r="K169" s="1503" t="s">
        <v>999</v>
      </c>
      <c r="L169" s="1503" t="s">
        <v>1000</v>
      </c>
      <c r="M169" s="1503" t="s">
        <v>1001</v>
      </c>
      <c r="N169" s="1503" t="s">
        <v>1002</v>
      </c>
      <c r="O169" s="1503" t="s">
        <v>1003</v>
      </c>
      <c r="P169" s="1503" t="s">
        <v>1004</v>
      </c>
      <c r="Q169" s="1503" t="s">
        <v>1005</v>
      </c>
      <c r="R169" s="1503" t="s">
        <v>1006</v>
      </c>
      <c r="S169" s="1357" t="s">
        <v>1007</v>
      </c>
    </row>
    <row r="170" spans="1:35">
      <c r="A170" s="795" t="s">
        <v>1029</v>
      </c>
      <c r="B170" s="393"/>
      <c r="C170" s="392"/>
      <c r="D170" s="392"/>
      <c r="E170" s="392"/>
      <c r="F170" s="392"/>
      <c r="G170" s="392"/>
      <c r="H170" s="392"/>
      <c r="I170" s="392"/>
      <c r="J170" s="392"/>
      <c r="K170" s="392"/>
      <c r="L170" s="392"/>
      <c r="M170" s="392"/>
      <c r="N170" s="392"/>
      <c r="O170" s="392"/>
      <c r="P170" s="392"/>
      <c r="Q170" s="392"/>
      <c r="R170" s="392"/>
      <c r="S170" s="394"/>
    </row>
    <row r="171" spans="1:35">
      <c r="A171" s="494" t="s">
        <v>816</v>
      </c>
      <c r="B171" s="347">
        <f>GREET1_Import_Export!N494</f>
        <v>18.457659102195958</v>
      </c>
      <c r="C171" s="621">
        <f ca="1">GREET1_Import_Export!Y556</f>
        <v>24.26361259538913</v>
      </c>
      <c r="D171" s="621">
        <f>GREET1_Import_Export!C494</f>
        <v>4.2758164530245066</v>
      </c>
      <c r="E171" s="621">
        <f>GREET1_Import_Export!B494</f>
        <v>0.10780072572602144</v>
      </c>
      <c r="F171" s="621">
        <f ca="1">Cobalt!B119</f>
        <v>0.50183039792982687</v>
      </c>
      <c r="G171" s="621">
        <f ca="1">Steel!B108</f>
        <v>26.55484993894758</v>
      </c>
      <c r="H171" s="621">
        <f>GREET1_Import_Export!B525</f>
        <v>27.581918666336783</v>
      </c>
      <c r="I171" s="621">
        <f>Silicon!J72</f>
        <v>0.3244888421248136</v>
      </c>
      <c r="J171" s="621">
        <f>GREET1_Import_Export!J494</f>
        <v>36.332146164303289</v>
      </c>
      <c r="K171" s="621">
        <f>GREET1_Import_Export!F525</f>
        <v>2.6364718422641102</v>
      </c>
      <c r="L171" s="621">
        <f>GREET1_Import_Export!G494</f>
        <v>0.5138426396398883</v>
      </c>
      <c r="M171" s="621">
        <f>GREET1_Import_Export!V556</f>
        <v>5.0786456533048154</v>
      </c>
      <c r="N171" s="621">
        <f>GREET1_Import_Export!E494</f>
        <v>27.171021888442034</v>
      </c>
      <c r="O171" s="621">
        <f>Cobalt!I119</f>
        <v>41.731553603874836</v>
      </c>
      <c r="P171" s="621">
        <f ca="1">Other_Cathodes!Y152</f>
        <v>31.855433653806809</v>
      </c>
      <c r="Q171" s="621">
        <f>Vehi_Fluids!D40</f>
        <v>45.954435894699586</v>
      </c>
      <c r="R171" s="621">
        <f>GREET1_Import_Export!I525</f>
        <v>2.6364718422641102</v>
      </c>
      <c r="S171" s="348">
        <f t="shared" ref="S171:S176" ca="1" si="110">Q138</f>
        <v>221.417371705123</v>
      </c>
    </row>
    <row r="172" spans="1:35">
      <c r="A172" s="494" t="s">
        <v>817</v>
      </c>
      <c r="B172" s="347">
        <f>GREET1_Import_Export!N495</f>
        <v>18.264568206463903</v>
      </c>
      <c r="C172" s="621">
        <f ca="1">GREET1_Import_Export!Y557</f>
        <v>22.669209625783214</v>
      </c>
      <c r="D172" s="621">
        <f>GREET1_Import_Export!C495</f>
        <v>4.1898503794963649</v>
      </c>
      <c r="E172" s="621">
        <f>GREET1_Import_Export!B495</f>
        <v>0.10719526757869353</v>
      </c>
      <c r="F172" s="621">
        <f ca="1">Cobalt!B120</f>
        <v>0.41734984871451564</v>
      </c>
      <c r="G172" s="621">
        <f ca="1">Steel!B109</f>
        <v>26.478051926081232</v>
      </c>
      <c r="H172" s="621">
        <f>GREET1_Import_Export!B526</f>
        <v>24.61952370317384</v>
      </c>
      <c r="I172" s="621">
        <f>Silicon!J73</f>
        <v>0.25699982631631285</v>
      </c>
      <c r="J172" s="621">
        <f>GREET1_Import_Export!J495</f>
        <v>36.134685221273628</v>
      </c>
      <c r="K172" s="621">
        <f>GREET1_Import_Export!F526</f>
        <v>2.088123588820042</v>
      </c>
      <c r="L172" s="621">
        <f>GREET1_Import_Export!G495</f>
        <v>0.48462781003145922</v>
      </c>
      <c r="M172" s="621">
        <f>GREET1_Import_Export!V557</f>
        <v>5.0718602126136769</v>
      </c>
      <c r="N172" s="621">
        <f>GREET1_Import_Export!E495</f>
        <v>24.52973321585894</v>
      </c>
      <c r="O172" s="621">
        <f>Cobalt!I120</f>
        <v>41.549206242816844</v>
      </c>
      <c r="P172" s="621">
        <f ca="1">Other_Cathodes!Y153</f>
        <v>25.461454642713843</v>
      </c>
      <c r="Q172" s="621">
        <f>Vehi_Fluids!D41</f>
        <v>45.714238438893744</v>
      </c>
      <c r="R172" s="621">
        <f>GREET1_Import_Export!I526</f>
        <v>2.088123588820042</v>
      </c>
      <c r="S172" s="348">
        <f t="shared" ca="1" si="110"/>
        <v>186.38687117186203</v>
      </c>
    </row>
    <row r="173" spans="1:35">
      <c r="A173" s="494" t="s">
        <v>805</v>
      </c>
      <c r="B173" s="347">
        <f>GREET1_Import_Export!N496</f>
        <v>0.25479040623859678</v>
      </c>
      <c r="C173" s="621">
        <f ca="1">GREET1_Import_Export!Y558</f>
        <v>15.716715830244178</v>
      </c>
      <c r="D173" s="621">
        <f>GREET1_Import_Export!C496</f>
        <v>3.5022632827296989</v>
      </c>
      <c r="E173" s="621">
        <f>GREET1_Import_Export!B496</f>
        <v>4.2504034000769506E-3</v>
      </c>
      <c r="F173" s="621">
        <f ca="1">Cobalt!B121</f>
        <v>0.11167672692942396</v>
      </c>
      <c r="G173" s="621">
        <f ca="1">Steel!B110</f>
        <v>25.45716495783806</v>
      </c>
      <c r="H173" s="621">
        <f>GREET1_Import_Export!B527</f>
        <v>4.486187999167087</v>
      </c>
      <c r="I173" s="621">
        <f>Silicon!J74</f>
        <v>8.9215317772782882E-2</v>
      </c>
      <c r="J173" s="621">
        <f>GREET1_Import_Export!J496</f>
        <v>0.2607338691094655</v>
      </c>
      <c r="K173" s="621">
        <f>GREET1_Import_Export!F527</f>
        <v>0.72487445690386099</v>
      </c>
      <c r="L173" s="621">
        <f>GREET1_Import_Export!G496</f>
        <v>3.8530498315894418E-2</v>
      </c>
      <c r="M173" s="621">
        <f>GREET1_Import_Export!V558</f>
        <v>4.2382882993459088</v>
      </c>
      <c r="N173" s="621">
        <f>GREET1_Import_Export!E496</f>
        <v>4.0460128080585509</v>
      </c>
      <c r="O173" s="621">
        <f>Cobalt!I121</f>
        <v>0.23011971331188869</v>
      </c>
      <c r="P173" s="621">
        <f ca="1">Other_Cathodes!Y154</f>
        <v>8.5796995962881439</v>
      </c>
      <c r="Q173" s="621">
        <f>Vehi_Fluids!D42</f>
        <v>0.30610647540700153</v>
      </c>
      <c r="R173" s="621">
        <f>GREET1_Import_Export!I527</f>
        <v>0.72487445690386099</v>
      </c>
      <c r="S173" s="348">
        <f t="shared" ca="1" si="110"/>
        <v>61.588520910686846</v>
      </c>
    </row>
    <row r="174" spans="1:35">
      <c r="A174" s="494" t="s">
        <v>804</v>
      </c>
      <c r="B174" s="347">
        <f>GREET1_Import_Export!N497</f>
        <v>16.383653114157042</v>
      </c>
      <c r="C174" s="621">
        <f ca="1">GREET1_Import_Export!Y559</f>
        <v>7.0830377991798326</v>
      </c>
      <c r="D174" s="621">
        <f>GREET1_Import_Export!C497</f>
        <v>0.466525820246666</v>
      </c>
      <c r="E174" s="621">
        <f>GREET1_Import_Export!B497</f>
        <v>1.1051329900043733E-2</v>
      </c>
      <c r="F174" s="621">
        <f ca="1">Cobalt!B122</f>
        <v>0.30183320334210528</v>
      </c>
      <c r="G174" s="621">
        <f ca="1">Steel!B111</f>
        <v>0.68148134562581342</v>
      </c>
      <c r="H174" s="621">
        <f>GREET1_Import_Export!B528</f>
        <v>19.191353333698519</v>
      </c>
      <c r="I174" s="621">
        <f>Silicon!J75</f>
        <v>0.16499343852676582</v>
      </c>
      <c r="J174" s="621">
        <f>GREET1_Import_Export!J497</f>
        <v>34.832404635984659</v>
      </c>
      <c r="K174" s="621">
        <f>GREET1_Import_Export!F528</f>
        <v>1.3405716880299723</v>
      </c>
      <c r="L174" s="621">
        <f>GREET1_Import_Export!G497</f>
        <v>0.13153323869335384</v>
      </c>
      <c r="M174" s="621">
        <f>GREET1_Import_Export!V559</f>
        <v>7.8879504728451053E-2</v>
      </c>
      <c r="N174" s="621">
        <f>GREET1_Import_Export!E497</f>
        <v>19.798523406029425</v>
      </c>
      <c r="O174" s="621">
        <f>Cobalt!I122</f>
        <v>2.9473783612109878</v>
      </c>
      <c r="P174" s="621">
        <f ca="1">Other_Cathodes!Y155</f>
        <v>16.152007392290862</v>
      </c>
      <c r="Q174" s="621">
        <f>Vehi_Fluids!D43</f>
        <v>5.2671011257244515</v>
      </c>
      <c r="R174" s="621">
        <f>GREET1_Import_Export!I528</f>
        <v>1.3405716880299723</v>
      </c>
      <c r="S174" s="348">
        <f t="shared" ca="1" si="110"/>
        <v>97.036150960350966</v>
      </c>
    </row>
    <row r="175" spans="1:35">
      <c r="A175" s="494" t="s">
        <v>818</v>
      </c>
      <c r="B175" s="503">
        <f>GREET1_Import_Export!N498</f>
        <v>1.6261246860682634</v>
      </c>
      <c r="C175" s="621">
        <f ca="1">GREET1_Import_Export!Y560</f>
        <v>-0.13054400364079821</v>
      </c>
      <c r="D175" s="621">
        <f>GREET1_Import_Export!C498</f>
        <v>0.22106127651999968</v>
      </c>
      <c r="E175" s="621">
        <f>GREET1_Import_Export!B498</f>
        <v>9.1893534278572858E-2</v>
      </c>
      <c r="F175" s="621">
        <f ca="1">Cobalt!B123</f>
        <v>3.8399184429863493E-3</v>
      </c>
      <c r="G175" s="621">
        <f ca="1">Steel!B112</f>
        <v>0.33940562261735924</v>
      </c>
      <c r="H175" s="621">
        <f>GREET1_Import_Export!B529</f>
        <v>0.94198237030823551</v>
      </c>
      <c r="I175" s="621">
        <f>Silicon!J76</f>
        <v>2.7910700167641414E-3</v>
      </c>
      <c r="J175" s="621">
        <f>GREET1_Import_Export!J498</f>
        <v>1.0415467161795053</v>
      </c>
      <c r="K175" s="621">
        <f>GREET1_Import_Export!F529</f>
        <v>2.2677443886208647E-2</v>
      </c>
      <c r="L175" s="621">
        <f>GREET1_Import_Export!G498</f>
        <v>0.31456407302221095</v>
      </c>
      <c r="M175" s="621">
        <f>GREET1_Import_Export!V560</f>
        <v>0.75469240853931707</v>
      </c>
      <c r="N175" s="621">
        <f>GREET1_Import_Export!E498</f>
        <v>0.68519700177096265</v>
      </c>
      <c r="O175" s="621">
        <f>Cobalt!I123</f>
        <v>38.371708168293971</v>
      </c>
      <c r="P175" s="621">
        <f ca="1">Other_Cathodes!Y156</f>
        <v>0.72974765413483555</v>
      </c>
      <c r="Q175" s="621">
        <f>Vehi_Fluids!D44</f>
        <v>40.141030837762294</v>
      </c>
      <c r="R175" s="621">
        <f>GREET1_Import_Export!I529</f>
        <v>2.2677443886208647E-2</v>
      </c>
      <c r="S175" s="348">
        <f t="shared" ca="1" si="110"/>
        <v>27.762199300824228</v>
      </c>
    </row>
    <row r="176" spans="1:35">
      <c r="A176" s="1504" t="s">
        <v>819</v>
      </c>
      <c r="B176" s="650">
        <f>GREET1_Import_Export!N499</f>
        <v>1375.562993869341</v>
      </c>
      <c r="C176" s="1505">
        <f ca="1">GREET1_Import_Export!Y561</f>
        <v>510.7155622540397</v>
      </c>
      <c r="D176" s="1505">
        <f>GREET1_Import_Export!C499</f>
        <v>1102.2778342369234</v>
      </c>
      <c r="E176" s="1505">
        <f>GREET1_Import_Export!B499</f>
        <v>26.409569078578205</v>
      </c>
      <c r="F176" s="1505">
        <f ca="1">Cobalt!B124</f>
        <v>199.64391319234363</v>
      </c>
      <c r="G176" s="1505">
        <f ca="1">Steel!B113</f>
        <v>98.183419520851174</v>
      </c>
      <c r="H176" s="1505">
        <f>GREET1_Import_Export!B530</f>
        <v>2812.7446529122171</v>
      </c>
      <c r="I176" s="1505">
        <f>Silicon!J77</f>
        <v>17.38965951619959</v>
      </c>
      <c r="J176" s="1505">
        <f>GREET1_Import_Export!J499</f>
        <v>422.2183973339246</v>
      </c>
      <c r="K176" s="1505">
        <f>GREET1_Import_Export!F530</f>
        <v>141.29098356912166</v>
      </c>
      <c r="L176" s="1505">
        <f>GREET1_Import_Export!G499</f>
        <v>71.585895167352376</v>
      </c>
      <c r="M176" s="1505">
        <f>GREET1_Import_Export!V561</f>
        <v>29.580974290163297</v>
      </c>
      <c r="N176" s="1505">
        <f>GREET1_Import_Export!E499</f>
        <v>787.45867821343597</v>
      </c>
      <c r="O176" s="1505">
        <f>Cobalt!I124</f>
        <v>731.7369205159664</v>
      </c>
      <c r="P176" s="1505">
        <f ca="1">Other_Cathodes!Y157</f>
        <v>1868.2056137627287</v>
      </c>
      <c r="Q176" s="1505">
        <f>Vehi_Fluids!D45</f>
        <v>966.54510812642661</v>
      </c>
      <c r="R176" s="1505">
        <f>GREET1_Import_Export!I530</f>
        <v>141.29098356912166</v>
      </c>
      <c r="S176" s="1136">
        <f t="shared" ca="1" si="110"/>
        <v>17809.384433180225</v>
      </c>
    </row>
    <row r="177" spans="1:37">
      <c r="A177" s="795" t="s">
        <v>1030</v>
      </c>
      <c r="B177" s="623"/>
      <c r="C177" s="512"/>
      <c r="D177" s="512"/>
      <c r="E177" s="512"/>
      <c r="F177" s="512"/>
      <c r="G177" s="512"/>
      <c r="H177" s="512"/>
      <c r="I177" s="512"/>
      <c r="J177" s="512"/>
      <c r="K177" s="512"/>
      <c r="L177" s="512"/>
      <c r="M177" s="512"/>
      <c r="N177" s="512"/>
      <c r="O177" s="512"/>
      <c r="P177" s="512"/>
      <c r="Q177" s="512"/>
      <c r="R177" s="512"/>
      <c r="S177" s="509"/>
    </row>
    <row r="178" spans="1:37">
      <c r="A178" s="494" t="s">
        <v>821</v>
      </c>
      <c r="B178" s="347">
        <f>GREET1_Import_Export!N501</f>
        <v>2113.7849790729192</v>
      </c>
      <c r="C178" s="621">
        <f ca="1">GREET1_Import_Export!Y563</f>
        <v>2358.5812866097449</v>
      </c>
      <c r="D178" s="621">
        <f>GREET1_Import_Export!C501</f>
        <v>90.052707313868567</v>
      </c>
      <c r="E178" s="621">
        <f>GREET1_Import_Export!B501</f>
        <v>3.0007778627888633</v>
      </c>
      <c r="F178" s="621">
        <f ca="1">Cobalt!B126</f>
        <v>3.8877911365477642</v>
      </c>
      <c r="G178" s="621">
        <f ca="1">Steel!B115</f>
        <v>2234.3012119560603</v>
      </c>
      <c r="H178" s="621">
        <f>GREET1_Import_Export!B532</f>
        <v>246.06829187253942</v>
      </c>
      <c r="I178" s="621">
        <f>Silicon!J79</f>
        <v>2.2170989710903699</v>
      </c>
      <c r="J178" s="621">
        <f>GREET1_Import_Export!J501</f>
        <v>4648.1415229431868</v>
      </c>
      <c r="K178" s="621">
        <f>GREET1_Import_Export!F532</f>
        <v>18.013929140109258</v>
      </c>
      <c r="L178" s="621">
        <f>GREET1_Import_Export!G501</f>
        <v>16.386342714946565</v>
      </c>
      <c r="M178" s="621">
        <f>GREET1_Import_Export!V563</f>
        <v>80.509586842403678</v>
      </c>
      <c r="N178" s="621">
        <f>GREET1_Import_Export!E501</f>
        <v>236.94023959186924</v>
      </c>
      <c r="O178" s="621">
        <f>Cobalt!I126</f>
        <v>253.43424382574733</v>
      </c>
      <c r="P178" s="621">
        <f ca="1">Other_Cathodes!Y159</f>
        <v>234.91455084840914</v>
      </c>
      <c r="Q178" s="621">
        <f>Vehi_Fluids!D47</f>
        <v>1016.5304261200441</v>
      </c>
      <c r="R178" s="621">
        <f>GREET1_Import_Export!I532</f>
        <v>18.013929140109258</v>
      </c>
      <c r="S178" s="348">
        <f t="shared" ref="S178:S188" ca="1" si="111">Q145</f>
        <v>3005.7491589953884</v>
      </c>
    </row>
    <row r="179" spans="1:37">
      <c r="A179" s="494" t="s">
        <v>822</v>
      </c>
      <c r="B179" s="347">
        <f>GREET1_Import_Export!N502</f>
        <v>2331.9157745068433</v>
      </c>
      <c r="C179" s="621">
        <f ca="1">GREET1_Import_Export!Y564</f>
        <v>17028.274266738081</v>
      </c>
      <c r="D179" s="621">
        <f>GREET1_Import_Export!C502</f>
        <v>420.56556155670182</v>
      </c>
      <c r="E179" s="621">
        <f>GREET1_Import_Export!B502</f>
        <v>18.066358060290298</v>
      </c>
      <c r="F179" s="621">
        <f ca="1">Cobalt!B127</f>
        <v>12.260958946281074</v>
      </c>
      <c r="G179" s="621">
        <f ca="1">Steel!B116</f>
        <v>579.1810844141595</v>
      </c>
      <c r="H179" s="621">
        <f>GREET1_Import_Export!B533</f>
        <v>915.72013904324626</v>
      </c>
      <c r="I179" s="621">
        <f>Silicon!J80</f>
        <v>5.9927948206956136</v>
      </c>
      <c r="J179" s="621">
        <f>GREET1_Import_Export!J502</f>
        <v>4836.6320464911105</v>
      </c>
      <c r="K179" s="621">
        <f>GREET1_Import_Export!F533</f>
        <v>48.691457918151862</v>
      </c>
      <c r="L179" s="621">
        <f>GREET1_Import_Export!G502</f>
        <v>36.193146201590267</v>
      </c>
      <c r="M179" s="621">
        <f>GREET1_Import_Export!V564</f>
        <v>497.09762041485817</v>
      </c>
      <c r="N179" s="621">
        <f>GREET1_Import_Export!E502</f>
        <v>814.73130258495576</v>
      </c>
      <c r="O179" s="621">
        <f>Cobalt!I127</f>
        <v>364.16241908825441</v>
      </c>
      <c r="P179" s="621">
        <f ca="1">Other_Cathodes!Y160</f>
        <v>651.97162025916805</v>
      </c>
      <c r="Q179" s="621">
        <f>Vehi_Fluids!D48</f>
        <v>506.82435658522297</v>
      </c>
      <c r="R179" s="621">
        <f>GREET1_Import_Export!I533</f>
        <v>48.691457918151862</v>
      </c>
      <c r="S179" s="348">
        <f t="shared" ca="1" si="111"/>
        <v>15256.659235146522</v>
      </c>
    </row>
    <row r="180" spans="1:37">
      <c r="A180" s="494" t="s">
        <v>849</v>
      </c>
      <c r="B180" s="347">
        <f>GREET1_Import_Export!N503</f>
        <v>2693.5708159377241</v>
      </c>
      <c r="C180" s="621">
        <f ca="1">GREET1_Import_Export!Y565</f>
        <v>2131.4033884342816</v>
      </c>
      <c r="D180" s="621">
        <f>GREET1_Import_Export!C503</f>
        <v>235.86819253415379</v>
      </c>
      <c r="E180" s="621">
        <f>GREET1_Import_Export!B503</f>
        <v>14.969385706424767</v>
      </c>
      <c r="F180" s="621">
        <f ca="1">Cobalt!B128</f>
        <v>21.958786354686836</v>
      </c>
      <c r="G180" s="621">
        <f ca="1">Steel!B117</f>
        <v>911.95118557723004</v>
      </c>
      <c r="H180" s="621">
        <f>GREET1_Import_Export!B534</f>
        <v>1538.7321009648394</v>
      </c>
      <c r="I180" s="621">
        <f>Silicon!J81</f>
        <v>12.345529776973724</v>
      </c>
      <c r="J180" s="621">
        <f>GREET1_Import_Export!J503</f>
        <v>1922.8587031608201</v>
      </c>
      <c r="K180" s="621">
        <f>GREET1_Import_Export!F534</f>
        <v>100.30742943791151</v>
      </c>
      <c r="L180" s="621">
        <f>GREET1_Import_Export!G503</f>
        <v>288.99271490543373</v>
      </c>
      <c r="M180" s="621">
        <f>GREET1_Import_Export!V565</f>
        <v>288.19515688712204</v>
      </c>
      <c r="N180" s="621">
        <f>GREET1_Import_Export!E503</f>
        <v>1344.5598268288322</v>
      </c>
      <c r="O180" s="621">
        <f>Cobalt!I128</f>
        <v>564.66570666833877</v>
      </c>
      <c r="P180" s="621">
        <f ca="1">Other_Cathodes!Y161</f>
        <v>1604.9594095726895</v>
      </c>
      <c r="Q180" s="621">
        <f>Vehi_Fluids!D49</f>
        <v>770.7322326894581</v>
      </c>
      <c r="R180" s="621">
        <f>GREET1_Import_Export!I534</f>
        <v>100.30742943791151</v>
      </c>
      <c r="S180" s="348">
        <f t="shared" ca="1" si="111"/>
        <v>18266.633148793011</v>
      </c>
    </row>
    <row r="181" spans="1:37">
      <c r="A181" s="494" t="s">
        <v>824</v>
      </c>
      <c r="B181" s="347">
        <f>GREET1_Import_Export!N504</f>
        <v>1193.1552244471927</v>
      </c>
      <c r="C181" s="621">
        <f ca="1">GREET1_Import_Export!Y566</f>
        <v>1292.6645036474517</v>
      </c>
      <c r="D181" s="621">
        <f>GREET1_Import_Export!C504</f>
        <v>125.43411723973426</v>
      </c>
      <c r="E181" s="621">
        <f>GREET1_Import_Export!B504</f>
        <v>3.0828975820344748</v>
      </c>
      <c r="F181" s="621">
        <f ca="1">Cobalt!B129</f>
        <v>2.8131289966395139</v>
      </c>
      <c r="G181" s="621">
        <f ca="1">Steel!B118</f>
        <v>1122.5961285327935</v>
      </c>
      <c r="H181" s="621">
        <f>GREET1_Import_Export!B535</f>
        <v>156.32513173420713</v>
      </c>
      <c r="I181" s="621">
        <f>Silicon!J82</f>
        <v>1.976226349849568</v>
      </c>
      <c r="J181" s="621">
        <f>GREET1_Import_Export!J504</f>
        <v>87.482698753180699</v>
      </c>
      <c r="K181" s="621">
        <f>GREET1_Import_Export!F535</f>
        <v>16.056839092527738</v>
      </c>
      <c r="L181" s="621">
        <f>GREET1_Import_Export!G504</f>
        <v>19.300317267717091</v>
      </c>
      <c r="M181" s="621">
        <f>GREET1_Import_Export!V566</f>
        <v>152.39917049658362</v>
      </c>
      <c r="N181" s="621">
        <f>GREET1_Import_Export!E504</f>
        <v>137.26759404572465</v>
      </c>
      <c r="O181" s="621">
        <f>Cobalt!I129</f>
        <v>36.229505759054781</v>
      </c>
      <c r="P181" s="621">
        <f ca="1">Other_Cathodes!Y162</f>
        <v>221.52699596812678</v>
      </c>
      <c r="Q181" s="621">
        <f>Vehi_Fluids!D50</f>
        <v>69.932178283998354</v>
      </c>
      <c r="R181" s="621">
        <f>GREET1_Import_Export!I535</f>
        <v>16.056839092527738</v>
      </c>
      <c r="S181" s="348">
        <f t="shared" ca="1" si="111"/>
        <v>23347.813767427786</v>
      </c>
    </row>
    <row r="182" spans="1:37">
      <c r="A182" s="494" t="s">
        <v>825</v>
      </c>
      <c r="B182" s="347">
        <f>GREET1_Import_Export!N505</f>
        <v>968.1262239291666</v>
      </c>
      <c r="C182" s="621">
        <f ca="1">GREET1_Import_Export!Y567</f>
        <v>625.46646408844754</v>
      </c>
      <c r="D182" s="621">
        <f>GREET1_Import_Export!C505</f>
        <v>95.182715522071618</v>
      </c>
      <c r="E182" s="621">
        <f>GREET1_Import_Export!B505</f>
        <v>0.5412854216344879</v>
      </c>
      <c r="F182" s="621">
        <f ca="1">Cobalt!B130</f>
        <v>1.8214516285041391</v>
      </c>
      <c r="G182" s="621">
        <f ca="1">Steel!B119</f>
        <v>499.49087458134318</v>
      </c>
      <c r="H182" s="621">
        <f>GREET1_Import_Export!B536</f>
        <v>107.01414091920527</v>
      </c>
      <c r="I182" s="621">
        <f>Silicon!J83</f>
        <v>1.1862684494704534</v>
      </c>
      <c r="J182" s="621">
        <f>GREET1_Import_Export!J505</f>
        <v>78.958349841330133</v>
      </c>
      <c r="K182" s="621">
        <f>GREET1_Import_Export!F536</f>
        <v>9.6384311519474348</v>
      </c>
      <c r="L182" s="621">
        <f>GREET1_Import_Export!G505</f>
        <v>17.569091223792814</v>
      </c>
      <c r="M182" s="621">
        <f>GREET1_Import_Export!V567</f>
        <v>96.793658571809999</v>
      </c>
      <c r="N182" s="621">
        <f>GREET1_Import_Export!E505</f>
        <v>95.956988988933361</v>
      </c>
      <c r="O182" s="621">
        <f>Cobalt!I130</f>
        <v>30.972065196532231</v>
      </c>
      <c r="P182" s="621">
        <f ca="1">Other_Cathodes!Y163</f>
        <v>143.11378392076614</v>
      </c>
      <c r="Q182" s="621">
        <f>Vehi_Fluids!D51</f>
        <v>60.127751235877788</v>
      </c>
      <c r="R182" s="621">
        <f>GREET1_Import_Export!I536</f>
        <v>9.6384311519474348</v>
      </c>
      <c r="S182" s="348">
        <f t="shared" ca="1" si="111"/>
        <v>11860.157601466226</v>
      </c>
    </row>
    <row r="183" spans="1:37">
      <c r="A183" s="494" t="s">
        <v>826</v>
      </c>
      <c r="B183" s="347">
        <f>GREET1_Import_Export!N506</f>
        <v>997.87328888439606</v>
      </c>
      <c r="C183" s="621">
        <f ca="1">GREET1_Import_Export!Y568</f>
        <v>8291.0817872728858</v>
      </c>
      <c r="D183" s="621">
        <f>GREET1_Import_Export!C506</f>
        <v>122.92932415142776</v>
      </c>
      <c r="E183" s="621">
        <f>GREET1_Import_Export!B506</f>
        <v>1.6483951101043521</v>
      </c>
      <c r="F183" s="621">
        <f ca="1">Cobalt!B131</f>
        <v>55628.953514978864</v>
      </c>
      <c r="G183" s="621">
        <f ca="1">Steel!B120</f>
        <v>3902.7809124958917</v>
      </c>
      <c r="H183" s="621">
        <f>GREET1_Import_Export!B537</f>
        <v>785.933534059934</v>
      </c>
      <c r="I183" s="621">
        <f>Silicon!J84</f>
        <v>10.365774980288416</v>
      </c>
      <c r="J183" s="621">
        <f>GREET1_Import_Export!J506</f>
        <v>666.22795731068788</v>
      </c>
      <c r="K183" s="621">
        <f>GREET1_Import_Export!F537</f>
        <v>84.221921714843376</v>
      </c>
      <c r="L183" s="621">
        <f>GREET1_Import_Export!G506</f>
        <v>1950.6014611258231</v>
      </c>
      <c r="M183" s="621">
        <f>GREET1_Import_Export!V568</f>
        <v>163.79241128538894</v>
      </c>
      <c r="N183" s="621">
        <f>GREET1_Import_Export!E506</f>
        <v>712.12055898957874</v>
      </c>
      <c r="O183" s="621">
        <f>Cobalt!I131</f>
        <v>138.06853940316958</v>
      </c>
      <c r="P183" s="621">
        <f ca="1">Other_Cathodes!Y164</f>
        <v>1238.5158509454568</v>
      </c>
      <c r="Q183" s="621">
        <f>Vehi_Fluids!D52</f>
        <v>213.46776563991827</v>
      </c>
      <c r="R183" s="621">
        <f>GREET1_Import_Export!I537</f>
        <v>84.221921714843376</v>
      </c>
      <c r="S183" s="348">
        <f t="shared" ca="1" si="111"/>
        <v>2630304.1192137543</v>
      </c>
    </row>
    <row r="184" spans="1:37">
      <c r="A184" s="914" t="s">
        <v>827</v>
      </c>
      <c r="B184" s="347">
        <f>GREET1_Import_Export!N507</f>
        <v>18.550547435768834</v>
      </c>
      <c r="C184" s="621">
        <f ca="1">GREET1_Import_Export!Y569</f>
        <v>7.5876279917807956</v>
      </c>
      <c r="D184" s="621">
        <f>GREET1_Import_Export!C507</f>
        <v>7.8073237255591943</v>
      </c>
      <c r="E184" s="621">
        <f>GREET1_Import_Export!B507</f>
        <v>0.1094505527701294</v>
      </c>
      <c r="F184" s="621">
        <f ca="1">Cobalt!B132</f>
        <v>0.14943980419068256</v>
      </c>
      <c r="G184" s="621">
        <f ca="1">Steel!B121</f>
        <v>2.5018513379851237</v>
      </c>
      <c r="H184" s="621">
        <f>GREET1_Import_Export!B538</f>
        <v>11.363682492622178</v>
      </c>
      <c r="I184" s="621">
        <f>Silicon!J85</f>
        <v>7.2379691275648889E-2</v>
      </c>
      <c r="J184" s="621">
        <f>GREET1_Import_Export!J507</f>
        <v>13.222739831466653</v>
      </c>
      <c r="K184" s="621">
        <f>GREET1_Import_Export!F538</f>
        <v>0.58808499161464722</v>
      </c>
      <c r="L184" s="621">
        <f>GREET1_Import_Export!G507</f>
        <v>2.510337273218286</v>
      </c>
      <c r="M184" s="621">
        <f>GREET1_Import_Export!V569</f>
        <v>4.3103230696784021</v>
      </c>
      <c r="N184" s="621">
        <f>GREET1_Import_Export!E507</f>
        <v>10.21975488022491</v>
      </c>
      <c r="O184" s="621">
        <f>Cobalt!I132</f>
        <v>4.9687013161634459</v>
      </c>
      <c r="P184" s="621">
        <f ca="1">Other_Cathodes!Y165</f>
        <v>11.772502511975077</v>
      </c>
      <c r="Q184" s="621">
        <f>Vehi_Fluids!D53</f>
        <v>8.3339768654095874</v>
      </c>
      <c r="R184" s="621">
        <f>GREET1_Import_Export!I538</f>
        <v>0.58808499161464722</v>
      </c>
      <c r="S184" s="348">
        <f t="shared" ca="1" si="111"/>
        <v>97.249535600347443</v>
      </c>
    </row>
    <row r="185" spans="1:37">
      <c r="A185" s="914" t="s">
        <v>828</v>
      </c>
      <c r="B185" s="347">
        <f>GREET1_Import_Export!N508</f>
        <v>48.689738292416337</v>
      </c>
      <c r="C185" s="621">
        <f ca="1">GREET1_Import_Export!Y570</f>
        <v>21.98183573812225</v>
      </c>
      <c r="D185" s="621">
        <f>GREET1_Import_Export!C508</f>
        <v>14.891416269796229</v>
      </c>
      <c r="E185" s="621">
        <f>GREET1_Import_Export!B508</f>
        <v>9.5465744912783562E-2</v>
      </c>
      <c r="F185" s="621">
        <f ca="1">Cobalt!B133</f>
        <v>0.57379940397109563</v>
      </c>
      <c r="G185" s="621">
        <f ca="1">Steel!B122</f>
        <v>6.2740973030705396</v>
      </c>
      <c r="H185" s="621">
        <f>GREET1_Import_Export!B539</f>
        <v>33.759433484885044</v>
      </c>
      <c r="I185" s="621">
        <f>Silicon!J86</f>
        <v>0.34450979503276108</v>
      </c>
      <c r="J185" s="621">
        <f>GREET1_Import_Export!J508</f>
        <v>31.899893306173396</v>
      </c>
      <c r="K185" s="621">
        <f>GREET1_Import_Export!F539</f>
        <v>2.7991420846411841</v>
      </c>
      <c r="L185" s="621">
        <f>GREET1_Import_Export!G508</f>
        <v>7.412240328039009</v>
      </c>
      <c r="M185" s="621">
        <f>GREET1_Import_Export!V570</f>
        <v>7.7314313035790949</v>
      </c>
      <c r="N185" s="621">
        <f>GREET1_Import_Export!E508</f>
        <v>30.558939824876735</v>
      </c>
      <c r="O185" s="621">
        <f>Cobalt!I133</f>
        <v>9.2258784709924306</v>
      </c>
      <c r="P185" s="621">
        <f ca="1">Other_Cathodes!Y166</f>
        <v>44.498678797345136</v>
      </c>
      <c r="Q185" s="621">
        <f>Vehi_Fluids!D54</f>
        <v>13.725951621338114</v>
      </c>
      <c r="R185" s="621">
        <f>GREET1_Import_Export!I539</f>
        <v>2.7991420846411841</v>
      </c>
      <c r="S185" s="348">
        <f t="shared" ca="1" si="111"/>
        <v>247.26458084106633</v>
      </c>
    </row>
    <row r="186" spans="1:37">
      <c r="A186" s="494" t="s">
        <v>829</v>
      </c>
      <c r="B186" s="347">
        <f>GREET1_Import_Export!N509</f>
        <v>3251.1379607622525</v>
      </c>
      <c r="C186" s="621">
        <f ca="1">GREET1_Import_Export!Y571</f>
        <v>3656.0785761090233</v>
      </c>
      <c r="D186" s="621">
        <f>GREET1_Import_Export!C509</f>
        <v>617.13478939951381</v>
      </c>
      <c r="E186" s="621">
        <f>GREET1_Import_Export!B509</f>
        <v>10.295662027028325</v>
      </c>
      <c r="F186" s="621">
        <f ca="1">Cobalt!B134</f>
        <v>72.508320445845769</v>
      </c>
      <c r="G186" s="621">
        <f ca="1">Steel!B123</f>
        <v>3359.846450710731</v>
      </c>
      <c r="H186" s="621">
        <f>GREET1_Import_Export!B540</f>
        <v>4394.2572761342935</v>
      </c>
      <c r="I186" s="621">
        <f>Silicon!J87</f>
        <v>42.864029631375992</v>
      </c>
      <c r="J186" s="621">
        <f>GREET1_Import_Export!J509</f>
        <v>6652.5762628044313</v>
      </c>
      <c r="K186" s="621">
        <f>GREET1_Import_Export!F540</f>
        <v>348.27024075492994</v>
      </c>
      <c r="L186" s="621">
        <f>GREET1_Import_Export!G509</f>
        <v>57.494095868365036</v>
      </c>
      <c r="M186" s="621">
        <f>GREET1_Import_Export!V571</f>
        <v>695.20529768723293</v>
      </c>
      <c r="N186" s="621">
        <f>GREET1_Import_Export!E509</f>
        <v>4245.2020170345586</v>
      </c>
      <c r="O186" s="621">
        <f>Cobalt!I134</f>
        <v>3720.8349549693285</v>
      </c>
      <c r="P186" s="621">
        <f ca="1">Other_Cathodes!Y167</f>
        <v>4221.7122987434068</v>
      </c>
      <c r="Q186" s="621">
        <f>Vehi_Fluids!D55</f>
        <v>4323.2506359701056</v>
      </c>
      <c r="R186" s="621">
        <f>GREET1_Import_Export!I540</f>
        <v>348.27024075492994</v>
      </c>
      <c r="S186" s="348">
        <f t="shared" ca="1" si="111"/>
        <v>30829.339734163441</v>
      </c>
    </row>
    <row r="187" spans="1:37">
      <c r="A187" s="494" t="s">
        <v>830</v>
      </c>
      <c r="B187" s="347">
        <f>GREET1_Import_Export!N510</f>
        <v>3422.1638881981294</v>
      </c>
      <c r="C187" s="621">
        <f ca="1">GREET1_Import_Export!Y572</f>
        <v>20.336461784477461</v>
      </c>
      <c r="D187" s="621">
        <f>GREET1_Import_Export!C510</f>
        <v>1.081973667413807</v>
      </c>
      <c r="E187" s="621">
        <f>GREET1_Import_Export!B510</f>
        <v>6.0745354337307655E-2</v>
      </c>
      <c r="F187" s="621">
        <f ca="1">Cobalt!B135</f>
        <v>0.6576006997537267</v>
      </c>
      <c r="G187" s="621">
        <f ca="1">Steel!B124</f>
        <v>3.6350790777548476</v>
      </c>
      <c r="H187" s="621">
        <f>GREET1_Import_Export!B541</f>
        <v>40.148180645194728</v>
      </c>
      <c r="I187" s="621">
        <f>Silicon!J88</f>
        <v>0.38889700342821087</v>
      </c>
      <c r="J187" s="621">
        <f>GREET1_Import_Export!J510</f>
        <v>44.764413385518836</v>
      </c>
      <c r="K187" s="621">
        <f>GREET1_Import_Export!F541</f>
        <v>3.1597881528542135</v>
      </c>
      <c r="L187" s="621">
        <f>GREET1_Import_Export!G510</f>
        <v>0.90162048446381204</v>
      </c>
      <c r="M187" s="621">
        <f>GREET1_Import_Export!V572</f>
        <v>0.98921680655236355</v>
      </c>
      <c r="N187" s="621">
        <f>GREET1_Import_Export!E510</f>
        <v>35.285608281649488</v>
      </c>
      <c r="O187" s="621">
        <f>Cobalt!I135</f>
        <v>5.6437408111942213</v>
      </c>
      <c r="P187" s="621">
        <f ca="1">Other_Cathodes!Y168</f>
        <v>38.573364226581234</v>
      </c>
      <c r="Q187" s="621">
        <f>Vehi_Fluids!D56</f>
        <v>10.780863115115137</v>
      </c>
      <c r="R187" s="621">
        <f>GREET1_Import_Export!I541</f>
        <v>3.1597881528542135</v>
      </c>
      <c r="S187" s="348">
        <f t="shared" ca="1" si="111"/>
        <v>887.33273595021797</v>
      </c>
    </row>
    <row r="188" spans="1:37">
      <c r="A188" s="517" t="s">
        <v>831</v>
      </c>
      <c r="B188" s="251">
        <f>GREET1_Import_Export!N511</f>
        <v>1121168.3726105727</v>
      </c>
      <c r="C188" s="246">
        <f ca="1">GREET1_Import_Export!Y573</f>
        <v>2036888.4741467172</v>
      </c>
      <c r="D188" s="246">
        <f>GREET1_Import_Export!C511</f>
        <v>1143451.7836002663</v>
      </c>
      <c r="E188" s="246">
        <f>GREET1_Import_Export!B511</f>
        <v>8351.9011348439562</v>
      </c>
      <c r="F188" s="246">
        <f ca="1">Cobalt!B136</f>
        <v>29381.481340399827</v>
      </c>
      <c r="G188" s="246">
        <f ca="1">Steel!B125</f>
        <v>251562.13963851574</v>
      </c>
      <c r="H188" s="246">
        <f>GREET1_Import_Export!B542</f>
        <v>1665901.8087901033</v>
      </c>
      <c r="I188" s="246">
        <f>Silicon!J89</f>
        <v>18939.684990490605</v>
      </c>
      <c r="J188" s="246">
        <f>GREET1_Import_Export!J511</f>
        <v>2156596.5788576729</v>
      </c>
      <c r="K188" s="246">
        <f>GREET1_Import_Export!F542</f>
        <v>153884.94054773616</v>
      </c>
      <c r="L188" s="246">
        <f>GREET1_Import_Export!G511</f>
        <v>37166.973904260427</v>
      </c>
      <c r="M188" s="246">
        <f>GREET1_Import_Export!V573</f>
        <v>617790.99194299034</v>
      </c>
      <c r="N188" s="246">
        <f>GREET1_Import_Export!E511</f>
        <v>1636030.8555933388</v>
      </c>
      <c r="O188" s="246">
        <f>Cobalt!I136</f>
        <v>328910.79046208801</v>
      </c>
      <c r="P188" s="246">
        <f ca="1">Other_Cathodes!Y169</f>
        <v>1875803.9403393925</v>
      </c>
      <c r="Q188" s="246">
        <f>Vehi_Fluids!D57</f>
        <v>634434.35178228782</v>
      </c>
      <c r="R188" s="246">
        <f>GREET1_Import_Export!I542</f>
        <v>153884.94054773616</v>
      </c>
      <c r="S188" s="247">
        <f t="shared" ca="1" si="111"/>
        <v>13266369.951078672</v>
      </c>
    </row>
    <row r="189" spans="1:37">
      <c r="A189" s="797" t="s">
        <v>1031</v>
      </c>
      <c r="B189" s="230"/>
      <c r="C189" s="621"/>
      <c r="D189" s="621"/>
      <c r="E189" s="621"/>
      <c r="F189" s="621"/>
      <c r="G189" s="621"/>
      <c r="H189" s="621"/>
      <c r="I189" s="621"/>
      <c r="J189" s="621"/>
      <c r="K189" s="621"/>
      <c r="L189" s="621"/>
      <c r="M189" s="621"/>
      <c r="N189" s="621"/>
      <c r="O189" s="621"/>
      <c r="P189" s="621"/>
      <c r="Q189" s="621"/>
      <c r="R189" s="621"/>
      <c r="S189" s="348"/>
      <c r="AK189" s="439"/>
    </row>
    <row r="190" spans="1:37">
      <c r="A190" s="494" t="s">
        <v>821</v>
      </c>
      <c r="B190" s="347">
        <f>GREET1_Import_Export!N513</f>
        <v>14.618043874394614</v>
      </c>
      <c r="C190" s="621">
        <f ca="1">GREET1_Import_Export!Y577</f>
        <v>4.6885857664759483</v>
      </c>
      <c r="D190" s="621">
        <f>GREET1_Import_Export!C513</f>
        <v>0.98303250272448806</v>
      </c>
      <c r="E190" s="621">
        <f>GREET1_Import_Export!B513</f>
        <v>0.27371203838695446</v>
      </c>
      <c r="F190" s="621">
        <f ca="1">Cobalt!B138</f>
        <v>0.22490879765974547</v>
      </c>
      <c r="G190" s="621">
        <f ca="1">Steel!B129</f>
        <v>1.7672445421988308</v>
      </c>
      <c r="H190" s="621">
        <f>GREET1_Import_Export!B544</f>
        <v>14.092742652400997</v>
      </c>
      <c r="I190" s="621">
        <f>Silicon!J93</f>
        <v>0.13825725112511211</v>
      </c>
      <c r="J190" s="621">
        <f>GREET1_Import_Export!J513</f>
        <v>20.058451526914183</v>
      </c>
      <c r="K190" s="621">
        <f>GREET1_Import_Export!F544</f>
        <v>1.123340165391536</v>
      </c>
      <c r="L190" s="621">
        <f>GREET1_Import_Export!G513</f>
        <v>1.4847613827115975</v>
      </c>
      <c r="M190" s="621">
        <f>GREET1_Import_Export!V577</f>
        <v>1.8055091529561156</v>
      </c>
      <c r="N190" s="621">
        <f>GREET1_Import_Export!E513</f>
        <v>13.550778888195858</v>
      </c>
      <c r="O190" s="621">
        <f>Cobalt!I138</f>
        <v>98.755970042853107</v>
      </c>
      <c r="P190" s="621">
        <f ca="1">Other_Cathodes!Y171</f>
        <v>15.220262957414112</v>
      </c>
      <c r="Q190" s="621">
        <f>Vehi_Fluids!D59</f>
        <v>597.45667005775636</v>
      </c>
      <c r="R190" s="621">
        <f>GREET1_Import_Export!I544</f>
        <v>1.123340165391536</v>
      </c>
      <c r="S190" s="348">
        <f t="shared" ref="S190:S197" ca="1" si="112">Q159</f>
        <v>134.41807899510863</v>
      </c>
      <c r="AK190" s="439"/>
    </row>
    <row r="191" spans="1:37">
      <c r="A191" s="494" t="s">
        <v>822</v>
      </c>
      <c r="B191" s="347">
        <f>GREET1_Import_Export!N514</f>
        <v>50.702259548363728</v>
      </c>
      <c r="C191" s="621">
        <f ca="1">GREET1_Import_Export!Y578</f>
        <v>32.605532377524163</v>
      </c>
      <c r="D191" s="621">
        <f>GREET1_Import_Export!C514</f>
        <v>2.3826572118045588</v>
      </c>
      <c r="E191" s="621">
        <f>GREET1_Import_Export!B514</f>
        <v>0.16139065657493154</v>
      </c>
      <c r="F191" s="621">
        <f ca="1">Cobalt!B139</f>
        <v>1.5264112770411267</v>
      </c>
      <c r="G191" s="621">
        <f ca="1">Steel!B130</f>
        <v>3.7284372057513773</v>
      </c>
      <c r="H191" s="621">
        <f>GREET1_Import_Export!B545</f>
        <v>76.818454470770462</v>
      </c>
      <c r="I191" s="621">
        <f>Silicon!J94</f>
        <v>1.0206942345820844</v>
      </c>
      <c r="J191" s="621">
        <f>GREET1_Import_Export!J514</f>
        <v>86.823416327189477</v>
      </c>
      <c r="K191" s="621">
        <f>GREET1_Import_Export!F545</f>
        <v>8.2931406559794372</v>
      </c>
      <c r="L191" s="621">
        <f>GREET1_Import_Export!G514</f>
        <v>2.434306008450752</v>
      </c>
      <c r="M191" s="621">
        <f>GREET1_Import_Export!V578</f>
        <v>1.3018767606819317</v>
      </c>
      <c r="N191" s="621">
        <f>GREET1_Import_Export!E514</f>
        <v>66.456871119805129</v>
      </c>
      <c r="O191" s="621">
        <f>Cobalt!I139</f>
        <v>45.731987615895903</v>
      </c>
      <c r="P191" s="621">
        <f ca="1">Other_Cathodes!Y172</f>
        <v>100.33446700273286</v>
      </c>
      <c r="Q191" s="621">
        <f>Vehi_Fluids!D60</f>
        <v>104.1607502734597</v>
      </c>
      <c r="R191" s="621">
        <f>GREET1_Import_Export!I545</f>
        <v>8.2931406559794372</v>
      </c>
      <c r="S191" s="348">
        <f t="shared" ca="1" si="112"/>
        <v>566.74478644530348</v>
      </c>
      <c r="AK191" s="439"/>
    </row>
    <row r="192" spans="1:37">
      <c r="A192" s="494" t="s">
        <v>823</v>
      </c>
      <c r="B192" s="347">
        <f>GREET1_Import_Export!N515</f>
        <v>122.74418850240161</v>
      </c>
      <c r="C192" s="621">
        <f ca="1">GREET1_Import_Export!Y579</f>
        <v>85.181725076741955</v>
      </c>
      <c r="D192" s="621">
        <f>GREET1_Import_Export!C515</f>
        <v>6.0852834120914387</v>
      </c>
      <c r="E192" s="621">
        <f>GREET1_Import_Export!B515</f>
        <v>0.2538141497087702</v>
      </c>
      <c r="F192" s="621">
        <f ca="1">Cobalt!B140</f>
        <v>4.1091793212861267</v>
      </c>
      <c r="G192" s="621">
        <f ca="1">Steel!B131</f>
        <v>11.938392889233542</v>
      </c>
      <c r="H192" s="621">
        <f>GREET1_Import_Export!B546</f>
        <v>172.0556602035559</v>
      </c>
      <c r="I192" s="621">
        <f>Silicon!J95</f>
        <v>3.0485787667188764</v>
      </c>
      <c r="J192" s="621">
        <f>GREET1_Import_Export!J515</f>
        <v>126.56966259087434</v>
      </c>
      <c r="K192" s="621">
        <f>GREET1_Import_Export!F546</f>
        <v>24.769702479590872</v>
      </c>
      <c r="L192" s="621">
        <f>GREET1_Import_Export!G515</f>
        <v>15.943757079445119</v>
      </c>
      <c r="M192" s="621">
        <f>GREET1_Import_Export!V579</f>
        <v>3.112696215505999</v>
      </c>
      <c r="N192" s="621">
        <f>GREET1_Import_Export!E515</f>
        <v>152.76292670980587</v>
      </c>
      <c r="O192" s="621">
        <f>Cobalt!I140</f>
        <v>69.434178991456207</v>
      </c>
      <c r="P192" s="621">
        <f ca="1">Other_Cathodes!Y173</f>
        <v>309.32727492076043</v>
      </c>
      <c r="Q192" s="621">
        <f>Vehi_Fluids!D61</f>
        <v>160.589918400258</v>
      </c>
      <c r="R192" s="621">
        <f>GREET1_Import_Export!I546</f>
        <v>24.769702479590872</v>
      </c>
      <c r="S192" s="348">
        <f t="shared" ca="1" si="112"/>
        <v>1587.8549528866729</v>
      </c>
      <c r="AK192" s="439"/>
    </row>
    <row r="193" spans="1:37">
      <c r="A193" s="914" t="s">
        <v>824</v>
      </c>
      <c r="B193" s="347">
        <f>GREET1_Import_Export!N516</f>
        <v>7.2374516402375608</v>
      </c>
      <c r="C193" s="621">
        <f ca="1">GREET1_Import_Export!Y580</f>
        <v>9.5762349048354132</v>
      </c>
      <c r="D193" s="621">
        <f>GREET1_Import_Export!C516</f>
        <v>0.63211602754707863</v>
      </c>
      <c r="E193" s="621">
        <f>GREET1_Import_Export!B516</f>
        <v>4.5174857869258948E-2</v>
      </c>
      <c r="F193" s="621">
        <f ca="1">Cobalt!B141</f>
        <v>0.51037244457904729</v>
      </c>
      <c r="G193" s="621">
        <f ca="1">Steel!B132</f>
        <v>0.72230442437614895</v>
      </c>
      <c r="H193" s="621">
        <f>GREET1_Import_Export!B547</f>
        <v>18.2651553906428</v>
      </c>
      <c r="I193" s="621">
        <f>Silicon!J96</f>
        <v>0.40701964307327887</v>
      </c>
      <c r="J193" s="621">
        <f>GREET1_Import_Export!J516</f>
        <v>3.7351959762276614</v>
      </c>
      <c r="K193" s="621">
        <f>GREET1_Import_Export!F547</f>
        <v>3.3070345999703905</v>
      </c>
      <c r="L193" s="621">
        <f>GREET1_Import_Export!G516</f>
        <v>1.2067316973096258</v>
      </c>
      <c r="M193" s="621">
        <f>GREET1_Import_Export!V580</f>
        <v>0.36164632018421883</v>
      </c>
      <c r="N193" s="621">
        <f>GREET1_Import_Export!E516</f>
        <v>17.88134440614235</v>
      </c>
      <c r="O193" s="621">
        <f>Cobalt!I141</f>
        <v>10.891658810222047</v>
      </c>
      <c r="P193" s="621">
        <f ca="1">Other_Cathodes!Y174</f>
        <v>40.18533529996072</v>
      </c>
      <c r="Q193" s="621">
        <f>Vehi_Fluids!D62</f>
        <v>34.082018634479518</v>
      </c>
      <c r="R193" s="621">
        <f>GREET1_Import_Export!I547</f>
        <v>3.3070345999703905</v>
      </c>
      <c r="S193" s="348">
        <f t="shared" ca="1" si="112"/>
        <v>185.2476957510448</v>
      </c>
      <c r="AK193" s="439"/>
    </row>
    <row r="194" spans="1:37">
      <c r="A194" s="494" t="s">
        <v>825</v>
      </c>
      <c r="B194" s="347">
        <f>GREET1_Import_Export!N517</f>
        <v>6.4807538787025063</v>
      </c>
      <c r="C194" s="621">
        <f ca="1">GREET1_Import_Export!Y581</f>
        <v>8.4249783637245788</v>
      </c>
      <c r="D194" s="621">
        <f>GREET1_Import_Export!C517</f>
        <v>0.5558056675291263</v>
      </c>
      <c r="E194" s="621">
        <f>GREET1_Import_Export!B517</f>
        <v>3.9030126321925485E-2</v>
      </c>
      <c r="F194" s="621">
        <f ca="1">Cobalt!B142</f>
        <v>0.44884211578598654</v>
      </c>
      <c r="G194" s="621">
        <f ca="1">Steel!B133</f>
        <v>0.64057340100454208</v>
      </c>
      <c r="H194" s="621">
        <f>GREET1_Import_Export!B548</f>
        <v>16.068269758237211</v>
      </c>
      <c r="I194" s="621">
        <f>Silicon!J97</f>
        <v>0.35790460078472186</v>
      </c>
      <c r="J194" s="621">
        <f>GREET1_Import_Export!J517</f>
        <v>3.2670455136667744</v>
      </c>
      <c r="K194" s="621">
        <f>GREET1_Import_Export!F548</f>
        <v>2.9079748813758655</v>
      </c>
      <c r="L194" s="621">
        <f>GREET1_Import_Export!G517</f>
        <v>1.1004189917429632</v>
      </c>
      <c r="M194" s="621">
        <f>GREET1_Import_Export!V581</f>
        <v>0.31726915113256571</v>
      </c>
      <c r="N194" s="621">
        <f>GREET1_Import_Export!E517</f>
        <v>15.895332617876749</v>
      </c>
      <c r="O194" s="621">
        <f>Cobalt!I142</f>
        <v>9.4349606307148761</v>
      </c>
      <c r="P194" s="621">
        <f ca="1">Other_Cathodes!Y175</f>
        <v>35.39461925340202</v>
      </c>
      <c r="Q194" s="621">
        <f>Vehi_Fluids!D63</f>
        <v>29.74599283919353</v>
      </c>
      <c r="R194" s="621">
        <f>GREET1_Import_Export!I548</f>
        <v>2.9079748813758655</v>
      </c>
      <c r="S194" s="348">
        <f t="shared" ca="1" si="112"/>
        <v>159.1978284858057</v>
      </c>
      <c r="AK194" s="1278"/>
    </row>
    <row r="195" spans="1:37">
      <c r="A195" s="914" t="s">
        <v>826</v>
      </c>
      <c r="B195" s="347">
        <f>GREET1_Import_Export!N518</f>
        <v>50.90366888267156</v>
      </c>
      <c r="C195" s="621">
        <f ca="1">GREET1_Import_Export!Y582</f>
        <v>71.609732562466434</v>
      </c>
      <c r="D195" s="621">
        <f>GREET1_Import_Export!C518</f>
        <v>4.0348874062284592</v>
      </c>
      <c r="E195" s="621">
        <f>GREET1_Import_Export!B518</f>
        <v>9.136272393306541E-2</v>
      </c>
      <c r="F195" s="621">
        <f ca="1">Cobalt!B143</f>
        <v>3.8015167274334747</v>
      </c>
      <c r="G195" s="621">
        <f ca="1">Steel!B134</f>
        <v>3.7340760641443826</v>
      </c>
      <c r="H195" s="621">
        <f>GREET1_Import_Export!B549</f>
        <v>134.70998823085495</v>
      </c>
      <c r="I195" s="621">
        <f>Silicon!J98</f>
        <v>3.0290372328190922</v>
      </c>
      <c r="J195" s="621">
        <f>GREET1_Import_Export!J518</f>
        <v>26.047084929251056</v>
      </c>
      <c r="K195" s="621">
        <f>GREET1_Import_Export!F549</f>
        <v>24.610927516655124</v>
      </c>
      <c r="L195" s="621">
        <f>GREET1_Import_Export!G518</f>
        <v>8.0351702842159529</v>
      </c>
      <c r="M195" s="621">
        <f>GREET1_Import_Export!V582</f>
        <v>0.81705586183993817</v>
      </c>
      <c r="N195" s="621">
        <f>GREET1_Import_Export!E518</f>
        <v>120.29862838086358</v>
      </c>
      <c r="O195" s="621">
        <f>Cobalt!I143</f>
        <v>25.473445727874058</v>
      </c>
      <c r="P195" s="621">
        <f ca="1">Other_Cathodes!Y176</f>
        <v>298.3861714308681</v>
      </c>
      <c r="Q195" s="621">
        <f>Vehi_Fluids!D64</f>
        <v>58.167806046976821</v>
      </c>
      <c r="R195" s="621">
        <f>GREET1_Import_Export!I549</f>
        <v>24.610927516655124</v>
      </c>
      <c r="S195" s="348">
        <f t="shared" ca="1" si="112"/>
        <v>1591.6859730224144</v>
      </c>
      <c r="AK195" s="1278"/>
    </row>
    <row r="196" spans="1:37">
      <c r="A196" s="494" t="s">
        <v>827</v>
      </c>
      <c r="B196" s="347">
        <f>GREET1_Import_Export!N519</f>
        <v>0.85385740644559183</v>
      </c>
      <c r="C196" s="621">
        <f ca="1">GREET1_Import_Export!Y583</f>
        <v>0.43553199757618261</v>
      </c>
      <c r="D196" s="621">
        <f>GREET1_Import_Export!C519</f>
        <v>3.5884710133770592E-2</v>
      </c>
      <c r="E196" s="621">
        <f>GREET1_Import_Export!B519</f>
        <v>4.887358606919817E-3</v>
      </c>
      <c r="F196" s="621">
        <f ca="1">Cobalt!B144</f>
        <v>2.326692099519698E-2</v>
      </c>
      <c r="G196" s="621">
        <f ca="1">Steel!B135</f>
        <v>4.7418051838717737E-2</v>
      </c>
      <c r="H196" s="621">
        <f>GREET1_Import_Export!B550</f>
        <v>0.86090444874827443</v>
      </c>
      <c r="I196" s="621">
        <f>Silicon!J99</f>
        <v>1.844494309188761E-2</v>
      </c>
      <c r="J196" s="621">
        <f>GREET1_Import_Export!J519</f>
        <v>0.39101748068799402</v>
      </c>
      <c r="K196" s="621">
        <f>GREET1_Import_Export!F550</f>
        <v>0.14986516262158683</v>
      </c>
      <c r="L196" s="621">
        <f>GREET1_Import_Export!G519</f>
        <v>0.14297900238188035</v>
      </c>
      <c r="M196" s="621">
        <f>GREET1_Import_Export!V583</f>
        <v>3.5430452542964348E-2</v>
      </c>
      <c r="N196" s="621">
        <f>GREET1_Import_Export!E519</f>
        <v>0.92373820101168835</v>
      </c>
      <c r="O196" s="621">
        <f>Cobalt!I144</f>
        <v>1.1646353117458421</v>
      </c>
      <c r="P196" s="621">
        <f ca="1">Other_Cathodes!Y177</f>
        <v>1.9646629322818088</v>
      </c>
      <c r="Q196" s="621">
        <f>Vehi_Fluids!D65</f>
        <v>3.4029775499151085</v>
      </c>
      <c r="R196" s="621">
        <f>GREET1_Import_Export!I550</f>
        <v>0.14986516262158683</v>
      </c>
      <c r="S196" s="348">
        <f t="shared" ca="1" si="112"/>
        <v>8.6124421763783499</v>
      </c>
      <c r="AK196" s="1278"/>
    </row>
    <row r="197" spans="1:37">
      <c r="A197" s="504" t="s">
        <v>828</v>
      </c>
      <c r="B197" s="503">
        <f>GREET1_Import_Export!N520</f>
        <v>2.3552932713845758</v>
      </c>
      <c r="C197" s="505">
        <f ca="1">GREET1_Import_Export!Y584</f>
        <v>2.4674246035114673</v>
      </c>
      <c r="D197" s="505">
        <f>GREET1_Import_Export!C520</f>
        <v>0.15854690350696832</v>
      </c>
      <c r="E197" s="505">
        <f>GREET1_Import_Export!B520</f>
        <v>7.0374479543004352E-3</v>
      </c>
      <c r="F197" s="505">
        <f ca="1">Cobalt!B145</f>
        <v>0.12843831370588391</v>
      </c>
      <c r="G197" s="505">
        <f ca="1">Steel!B136</f>
        <v>0.22758840257738058</v>
      </c>
      <c r="H197" s="505">
        <f>GREET1_Import_Export!B551</f>
        <v>4.5725994995086534</v>
      </c>
      <c r="I197" s="505">
        <f>Silicon!J100</f>
        <v>0.1023623945723063</v>
      </c>
      <c r="J197" s="505">
        <f>GREET1_Import_Export!J520</f>
        <v>1.1071991763985429</v>
      </c>
      <c r="K197" s="505">
        <f>GREET1_Import_Export!F551</f>
        <v>0.83169445589998869</v>
      </c>
      <c r="L197" s="505">
        <f>GREET1_Import_Export!G520</f>
        <v>0.41986049773161876</v>
      </c>
      <c r="M197" s="505">
        <f>GREET1_Import_Export!V584</f>
        <v>6.9689547332884086E-2</v>
      </c>
      <c r="N197" s="505">
        <f>GREET1_Import_Export!E520</f>
        <v>4.4841476838419965</v>
      </c>
      <c r="O197" s="505">
        <f>Cobalt!I145</f>
        <v>1.7717809500267463</v>
      </c>
      <c r="P197" s="505">
        <f ca="1">Other_Cathodes!Y178</f>
        <v>10.256224359173096</v>
      </c>
      <c r="Q197" s="505">
        <f>Vehi_Fluids!D66</f>
        <v>4.5500776306874702</v>
      </c>
      <c r="R197" s="505">
        <f>GREET1_Import_Export!I551</f>
        <v>0.83169445589998869</v>
      </c>
      <c r="S197" s="502">
        <f t="shared" ca="1" si="112"/>
        <v>32.47788924018451</v>
      </c>
      <c r="AK197" s="1278"/>
    </row>
    <row r="198" spans="1:37">
      <c r="AK198" s="1278"/>
    </row>
    <row r="199" spans="1:37">
      <c r="AK199" s="1278"/>
    </row>
    <row r="200" spans="1:37">
      <c r="AK200" s="1278"/>
    </row>
    <row r="201" spans="1:37">
      <c r="AK201" s="1278"/>
    </row>
    <row r="202" spans="1:37">
      <c r="AK202" s="1278"/>
    </row>
    <row r="203" spans="1:37">
      <c r="AK203" s="1278"/>
    </row>
    <row r="204" spans="1:37">
      <c r="AK204" s="1278"/>
    </row>
    <row r="205" spans="1:37">
      <c r="AK205" s="1278"/>
    </row>
    <row r="206" spans="1:37">
      <c r="AK206" s="1278"/>
    </row>
    <row r="207" spans="1:37">
      <c r="AK207" s="1278"/>
    </row>
    <row r="268" spans="23:38">
      <c r="W268" s="496"/>
      <c r="X268" s="496"/>
      <c r="Y268" s="496"/>
      <c r="Z268" s="496"/>
      <c r="AA268" s="496"/>
      <c r="AB268" s="496"/>
      <c r="AC268" s="496"/>
      <c r="AD268" s="496"/>
      <c r="AE268" s="496"/>
      <c r="AF268" s="496"/>
      <c r="AG268" s="496"/>
      <c r="AH268" s="496"/>
      <c r="AI268" s="496"/>
      <c r="AJ268" s="496"/>
      <c r="AK268" s="496"/>
      <c r="AL268" s="496"/>
    </row>
    <row r="269" spans="23:38">
      <c r="W269" s="496"/>
      <c r="X269" s="496"/>
      <c r="Y269" s="496"/>
      <c r="Z269" s="496"/>
      <c r="AA269" s="496"/>
      <c r="AB269" s="496"/>
      <c r="AC269" s="496"/>
      <c r="AD269" s="496"/>
      <c r="AE269" s="496"/>
      <c r="AF269" s="496"/>
      <c r="AG269" s="496"/>
      <c r="AH269" s="496"/>
      <c r="AI269" s="496"/>
      <c r="AJ269" s="496"/>
      <c r="AK269" s="496"/>
      <c r="AL269" s="496"/>
    </row>
    <row r="270" spans="23:38">
      <c r="W270" s="496"/>
      <c r="X270" s="496"/>
      <c r="Y270" s="496"/>
      <c r="Z270" s="496"/>
      <c r="AA270" s="496"/>
      <c r="AB270" s="496"/>
      <c r="AC270" s="496"/>
      <c r="AD270" s="496"/>
      <c r="AE270" s="496"/>
      <c r="AF270" s="496"/>
      <c r="AG270" s="496"/>
      <c r="AH270" s="496"/>
      <c r="AI270" s="496"/>
      <c r="AJ270" s="496"/>
      <c r="AK270" s="496"/>
      <c r="AL270" s="496"/>
    </row>
    <row r="271" spans="23:38">
      <c r="W271" s="496"/>
      <c r="X271" s="496"/>
      <c r="Y271" s="496"/>
      <c r="Z271" s="496"/>
      <c r="AA271" s="496"/>
      <c r="AB271" s="496"/>
      <c r="AC271" s="496"/>
      <c r="AD271" s="496"/>
      <c r="AE271" s="496"/>
      <c r="AF271" s="496"/>
      <c r="AG271" s="496"/>
      <c r="AH271" s="496"/>
      <c r="AI271" s="496"/>
      <c r="AJ271" s="496"/>
      <c r="AK271" s="496"/>
      <c r="AL271" s="496"/>
    </row>
    <row r="272" spans="23:38">
      <c r="W272" s="496"/>
      <c r="X272" s="496"/>
      <c r="Y272" s="496"/>
      <c r="Z272" s="496"/>
      <c r="AA272" s="496"/>
      <c r="AB272" s="496"/>
      <c r="AC272" s="496"/>
      <c r="AD272" s="496"/>
      <c r="AE272" s="496"/>
      <c r="AF272" s="496"/>
      <c r="AG272" s="496"/>
      <c r="AH272" s="496"/>
      <c r="AI272" s="496"/>
      <c r="AJ272" s="496"/>
      <c r="AK272" s="496"/>
      <c r="AL272" s="496"/>
    </row>
    <row r="273" spans="23:38">
      <c r="W273" s="496"/>
      <c r="X273" s="496"/>
      <c r="Y273" s="496"/>
      <c r="Z273" s="496"/>
      <c r="AA273" s="496"/>
      <c r="AB273" s="496"/>
      <c r="AC273" s="496"/>
      <c r="AD273" s="496"/>
      <c r="AE273" s="496"/>
      <c r="AF273" s="496"/>
      <c r="AG273" s="496"/>
      <c r="AH273" s="496"/>
      <c r="AI273" s="496"/>
      <c r="AJ273" s="496"/>
      <c r="AK273" s="496"/>
      <c r="AL273" s="496"/>
    </row>
    <row r="274" spans="23:38">
      <c r="W274" s="496"/>
      <c r="X274" s="496"/>
      <c r="Y274" s="496"/>
      <c r="Z274" s="496"/>
      <c r="AA274" s="496"/>
      <c r="AB274" s="496"/>
      <c r="AC274" s="496"/>
      <c r="AD274" s="496"/>
      <c r="AE274" s="496"/>
      <c r="AF274" s="496"/>
      <c r="AG274" s="496"/>
      <c r="AH274" s="496"/>
      <c r="AI274" s="496"/>
      <c r="AJ274" s="496"/>
      <c r="AK274" s="496"/>
      <c r="AL274" s="496"/>
    </row>
    <row r="275" spans="23:38">
      <c r="W275" s="496"/>
      <c r="X275" s="496"/>
      <c r="Y275" s="496"/>
      <c r="Z275" s="496"/>
      <c r="AA275" s="496"/>
      <c r="AB275" s="496"/>
      <c r="AC275" s="496"/>
      <c r="AD275" s="496"/>
      <c r="AE275" s="496"/>
      <c r="AF275" s="496"/>
      <c r="AG275" s="496"/>
      <c r="AH275" s="496"/>
      <c r="AI275" s="496"/>
      <c r="AJ275" s="496"/>
      <c r="AK275" s="496"/>
      <c r="AL275" s="496"/>
    </row>
    <row r="276" spans="23:38">
      <c r="W276" s="496"/>
      <c r="X276" s="496"/>
      <c r="Y276" s="496"/>
      <c r="Z276" s="496"/>
      <c r="AA276" s="496"/>
      <c r="AB276" s="496"/>
      <c r="AC276" s="496"/>
      <c r="AD276" s="496"/>
      <c r="AE276" s="496"/>
      <c r="AF276" s="496"/>
      <c r="AG276" s="496"/>
      <c r="AH276" s="496"/>
      <c r="AI276" s="496"/>
      <c r="AJ276" s="496"/>
      <c r="AK276" s="496"/>
      <c r="AL276" s="496"/>
    </row>
    <row r="277" spans="23:38">
      <c r="W277" s="496"/>
      <c r="X277" s="496"/>
      <c r="Y277" s="496"/>
      <c r="Z277" s="496"/>
      <c r="AA277" s="496"/>
      <c r="AB277" s="496"/>
      <c r="AC277" s="496"/>
      <c r="AD277" s="496"/>
      <c r="AE277" s="496"/>
      <c r="AF277" s="496"/>
      <c r="AG277" s="496"/>
      <c r="AH277" s="496"/>
      <c r="AI277" s="496"/>
      <c r="AJ277" s="496"/>
      <c r="AK277" s="496"/>
      <c r="AL277" s="496"/>
    </row>
    <row r="278" spans="23:38">
      <c r="W278" s="496"/>
      <c r="X278" s="496"/>
      <c r="Y278" s="496"/>
      <c r="Z278" s="496"/>
      <c r="AA278" s="496"/>
      <c r="AB278" s="496"/>
      <c r="AC278" s="496"/>
      <c r="AD278" s="496"/>
      <c r="AE278" s="496"/>
      <c r="AF278" s="496"/>
      <c r="AG278" s="496"/>
      <c r="AH278" s="496"/>
      <c r="AI278" s="496"/>
      <c r="AJ278" s="496"/>
      <c r="AK278" s="496"/>
      <c r="AL278" s="496"/>
    </row>
    <row r="279" spans="23:38">
      <c r="W279" s="496"/>
      <c r="X279" s="496"/>
      <c r="Y279" s="496"/>
      <c r="Z279" s="496"/>
      <c r="AA279" s="496"/>
      <c r="AB279" s="496"/>
      <c r="AC279" s="496"/>
      <c r="AD279" s="496"/>
      <c r="AE279" s="496"/>
      <c r="AF279" s="496"/>
      <c r="AG279" s="496"/>
      <c r="AH279" s="496"/>
      <c r="AI279" s="496"/>
      <c r="AJ279" s="496"/>
      <c r="AK279" s="496"/>
      <c r="AL279" s="496"/>
    </row>
    <row r="280" spans="23:38">
      <c r="W280" s="496"/>
      <c r="X280" s="496"/>
      <c r="Y280" s="496"/>
      <c r="Z280" s="496"/>
      <c r="AA280" s="496"/>
      <c r="AB280" s="496"/>
      <c r="AC280" s="496"/>
      <c r="AD280" s="496"/>
      <c r="AE280" s="496"/>
      <c r="AF280" s="496"/>
      <c r="AG280" s="496"/>
      <c r="AH280" s="496"/>
      <c r="AI280" s="496"/>
      <c r="AJ280" s="496"/>
      <c r="AK280" s="496"/>
      <c r="AL280" s="496"/>
    </row>
    <row r="281" spans="23:38">
      <c r="W281" s="496"/>
      <c r="X281" s="496"/>
      <c r="Y281" s="496"/>
      <c r="Z281" s="496"/>
      <c r="AA281" s="496"/>
      <c r="AB281" s="496"/>
      <c r="AC281" s="496"/>
      <c r="AD281" s="496"/>
      <c r="AE281" s="496"/>
      <c r="AF281" s="496"/>
      <c r="AG281" s="496"/>
      <c r="AH281" s="496"/>
      <c r="AI281" s="496"/>
      <c r="AJ281" s="496"/>
      <c r="AK281" s="496"/>
      <c r="AL281" s="496"/>
    </row>
    <row r="282" spans="23:38">
      <c r="W282" s="496"/>
      <c r="X282" s="496"/>
      <c r="Y282" s="496"/>
      <c r="Z282" s="496"/>
      <c r="AA282" s="496"/>
      <c r="AB282" s="496"/>
      <c r="AC282" s="496"/>
      <c r="AD282" s="496"/>
      <c r="AE282" s="496"/>
      <c r="AF282" s="496"/>
      <c r="AG282" s="496"/>
      <c r="AH282" s="496"/>
      <c r="AI282" s="496"/>
      <c r="AJ282" s="496"/>
      <c r="AK282" s="496"/>
      <c r="AL282" s="496"/>
    </row>
    <row r="283" spans="23:38">
      <c r="W283" s="496"/>
      <c r="X283" s="496"/>
      <c r="Y283" s="496"/>
      <c r="Z283" s="496"/>
      <c r="AA283" s="496"/>
      <c r="AB283" s="496"/>
      <c r="AC283" s="496"/>
      <c r="AD283" s="496"/>
      <c r="AE283" s="496"/>
      <c r="AF283" s="496"/>
      <c r="AG283" s="496"/>
      <c r="AH283" s="496"/>
      <c r="AI283" s="496"/>
      <c r="AJ283" s="496"/>
      <c r="AK283" s="496"/>
      <c r="AL283" s="496"/>
    </row>
    <row r="284" spans="23:38">
      <c r="W284" s="349"/>
      <c r="X284" s="349"/>
      <c r="Y284" s="349"/>
      <c r="Z284" s="349"/>
      <c r="AA284" s="349"/>
      <c r="AB284" s="349"/>
      <c r="AC284" s="349"/>
      <c r="AD284" s="349"/>
      <c r="AE284" s="349"/>
      <c r="AF284" s="349"/>
      <c r="AG284" s="349"/>
      <c r="AH284" s="349"/>
      <c r="AI284" s="349"/>
      <c r="AJ284" s="349"/>
      <c r="AK284" s="349"/>
      <c r="AL284" s="349"/>
    </row>
    <row r="285" spans="23:38">
      <c r="W285" s="496"/>
      <c r="X285" s="496"/>
      <c r="Y285" s="496"/>
      <c r="Z285" s="496"/>
      <c r="AA285" s="496"/>
      <c r="AB285" s="496"/>
      <c r="AC285" s="496"/>
      <c r="AD285" s="496"/>
      <c r="AE285" s="496"/>
      <c r="AF285" s="496"/>
      <c r="AG285" s="496"/>
      <c r="AH285" s="496"/>
      <c r="AI285" s="496"/>
      <c r="AJ285" s="496"/>
      <c r="AK285" s="496"/>
      <c r="AL285" s="496"/>
    </row>
    <row r="286" spans="23:38">
      <c r="W286" s="496"/>
      <c r="X286" s="496"/>
      <c r="Y286" s="496"/>
      <c r="Z286" s="496"/>
      <c r="AA286" s="496"/>
      <c r="AB286" s="496"/>
      <c r="AC286" s="496"/>
      <c r="AD286" s="496"/>
      <c r="AE286" s="496"/>
      <c r="AF286" s="496"/>
      <c r="AG286" s="496"/>
      <c r="AH286" s="496"/>
      <c r="AI286" s="496"/>
      <c r="AJ286" s="496"/>
      <c r="AK286" s="496"/>
      <c r="AL286" s="496"/>
    </row>
    <row r="287" spans="23:38">
      <c r="W287" s="496"/>
      <c r="X287" s="496"/>
      <c r="Y287" s="496"/>
      <c r="Z287" s="496"/>
      <c r="AA287" s="496"/>
      <c r="AB287" s="496"/>
      <c r="AC287" s="496"/>
      <c r="AD287" s="496"/>
      <c r="AE287" s="496"/>
      <c r="AF287" s="496"/>
      <c r="AG287" s="496"/>
      <c r="AH287" s="496"/>
      <c r="AI287" s="496"/>
      <c r="AJ287" s="496"/>
      <c r="AK287" s="496"/>
      <c r="AL287" s="496"/>
    </row>
    <row r="288" spans="23:38">
      <c r="W288" s="496"/>
      <c r="X288" s="496"/>
      <c r="Y288" s="496"/>
      <c r="Z288" s="496"/>
      <c r="AA288" s="496"/>
      <c r="AB288" s="496"/>
      <c r="AC288" s="496"/>
      <c r="AD288" s="496"/>
      <c r="AE288" s="496"/>
      <c r="AF288" s="496"/>
      <c r="AG288" s="496"/>
      <c r="AH288" s="496"/>
      <c r="AI288" s="496"/>
      <c r="AJ288" s="496"/>
      <c r="AK288" s="496"/>
      <c r="AL288" s="496"/>
    </row>
    <row r="289" spans="23:38">
      <c r="W289" s="496"/>
      <c r="X289" s="496"/>
      <c r="Y289" s="496"/>
      <c r="Z289" s="496"/>
      <c r="AA289" s="496"/>
      <c r="AB289" s="496"/>
      <c r="AC289" s="496"/>
      <c r="AD289" s="496"/>
      <c r="AE289" s="496"/>
      <c r="AF289" s="496"/>
      <c r="AG289" s="496"/>
      <c r="AH289" s="496"/>
      <c r="AI289" s="496"/>
      <c r="AJ289" s="496"/>
      <c r="AK289" s="496"/>
      <c r="AL289" s="496"/>
    </row>
    <row r="290" spans="23:38">
      <c r="W290" s="535"/>
      <c r="X290" s="535"/>
      <c r="Y290" s="535"/>
      <c r="Z290" s="535"/>
      <c r="AA290" s="535"/>
      <c r="AB290" s="535"/>
      <c r="AC290" s="535"/>
      <c r="AD290" s="535"/>
      <c r="AE290" s="535"/>
      <c r="AF290" s="535"/>
      <c r="AG290" s="535"/>
      <c r="AH290" s="535"/>
      <c r="AI290" s="535"/>
      <c r="AJ290" s="535"/>
      <c r="AK290" s="535"/>
      <c r="AL290" s="535"/>
    </row>
    <row r="292" spans="23:38">
      <c r="W292" s="496"/>
      <c r="X292" s="496"/>
      <c r="Y292" s="496"/>
      <c r="Z292" s="496"/>
      <c r="AA292" s="496"/>
      <c r="AB292" s="496"/>
      <c r="AC292" s="496"/>
      <c r="AD292" s="496"/>
      <c r="AE292" s="496"/>
      <c r="AF292" s="496"/>
      <c r="AG292" s="496"/>
      <c r="AH292" s="496"/>
      <c r="AI292" s="496"/>
      <c r="AJ292" s="496"/>
      <c r="AK292" s="496"/>
      <c r="AL292" s="496"/>
    </row>
    <row r="293" spans="23:38">
      <c r="W293" s="496"/>
      <c r="X293" s="496"/>
      <c r="Y293" s="496"/>
      <c r="Z293" s="496"/>
      <c r="AA293" s="496"/>
      <c r="AB293" s="496"/>
      <c r="AC293" s="496"/>
      <c r="AD293" s="496"/>
      <c r="AE293" s="496"/>
      <c r="AF293" s="496"/>
      <c r="AG293" s="496"/>
      <c r="AH293" s="496"/>
      <c r="AI293" s="496"/>
      <c r="AJ293" s="496"/>
      <c r="AK293" s="496"/>
      <c r="AL293" s="496"/>
    </row>
    <row r="294" spans="23:38">
      <c r="W294" s="496"/>
      <c r="X294" s="496"/>
      <c r="Y294" s="496"/>
      <c r="Z294" s="496"/>
      <c r="AA294" s="496"/>
      <c r="AB294" s="496"/>
      <c r="AC294" s="496"/>
      <c r="AD294" s="496"/>
      <c r="AE294" s="496"/>
      <c r="AF294" s="496"/>
      <c r="AG294" s="496"/>
      <c r="AH294" s="496"/>
      <c r="AI294" s="496"/>
      <c r="AJ294" s="496"/>
      <c r="AK294" s="496"/>
      <c r="AL294" s="496"/>
    </row>
    <row r="295" spans="23:38">
      <c r="W295" s="496"/>
      <c r="X295" s="496"/>
      <c r="Y295" s="496"/>
      <c r="Z295" s="496"/>
      <c r="AA295" s="496"/>
      <c r="AB295" s="496"/>
      <c r="AC295" s="496"/>
      <c r="AD295" s="496"/>
      <c r="AE295" s="496"/>
      <c r="AF295" s="496"/>
      <c r="AG295" s="496"/>
      <c r="AH295" s="496"/>
      <c r="AI295" s="496"/>
      <c r="AJ295" s="496"/>
      <c r="AK295" s="496"/>
      <c r="AL295" s="496"/>
    </row>
    <row r="296" spans="23:38">
      <c r="W296" s="349"/>
      <c r="X296" s="349"/>
      <c r="Y296" s="349"/>
      <c r="Z296" s="349"/>
      <c r="AA296" s="349"/>
      <c r="AB296" s="349"/>
      <c r="AC296" s="349"/>
      <c r="AD296" s="349"/>
      <c r="AE296" s="349"/>
      <c r="AF296" s="349"/>
      <c r="AG296" s="349"/>
      <c r="AH296" s="349"/>
      <c r="AI296" s="349"/>
      <c r="AJ296" s="349"/>
      <c r="AK296" s="349"/>
      <c r="AL296" s="349"/>
    </row>
    <row r="297" spans="23:38">
      <c r="W297" s="496"/>
      <c r="X297" s="496"/>
      <c r="Y297" s="496"/>
      <c r="Z297" s="496"/>
      <c r="AA297" s="496"/>
      <c r="AB297" s="496"/>
      <c r="AC297" s="496"/>
      <c r="AD297" s="496"/>
      <c r="AE297" s="496"/>
      <c r="AF297" s="496"/>
      <c r="AG297" s="496"/>
      <c r="AH297" s="496"/>
      <c r="AI297" s="496"/>
      <c r="AJ297" s="496"/>
      <c r="AK297" s="496"/>
      <c r="AL297" s="496"/>
    </row>
    <row r="298" spans="23:38">
      <c r="W298" s="496"/>
      <c r="X298" s="496"/>
      <c r="Y298" s="496"/>
      <c r="Z298" s="496"/>
      <c r="AA298" s="496"/>
      <c r="AB298" s="496"/>
      <c r="AC298" s="496"/>
      <c r="AD298" s="496"/>
      <c r="AE298" s="496"/>
      <c r="AF298" s="496"/>
      <c r="AG298" s="496"/>
      <c r="AH298" s="496"/>
      <c r="AI298" s="496"/>
      <c r="AJ298" s="496"/>
      <c r="AK298" s="496"/>
      <c r="AL298" s="496"/>
    </row>
    <row r="299" spans="23:38">
      <c r="W299" s="496"/>
      <c r="X299" s="496"/>
      <c r="Y299" s="496"/>
      <c r="Z299" s="496"/>
      <c r="AA299" s="496"/>
      <c r="AB299" s="496"/>
      <c r="AC299" s="496"/>
      <c r="AD299" s="496"/>
      <c r="AE299" s="496"/>
      <c r="AF299" s="496"/>
      <c r="AG299" s="496"/>
      <c r="AH299" s="496"/>
      <c r="AI299" s="496"/>
      <c r="AJ299" s="496"/>
      <c r="AK299" s="496"/>
      <c r="AL299" s="496"/>
    </row>
    <row r="304" spans="23:38">
      <c r="W304" s="496"/>
      <c r="X304" s="496"/>
      <c r="Y304" s="496"/>
      <c r="Z304" s="496"/>
      <c r="AA304" s="496"/>
      <c r="AB304" s="496"/>
      <c r="AC304" s="496"/>
      <c r="AD304" s="496"/>
      <c r="AE304" s="496"/>
      <c r="AF304" s="496"/>
      <c r="AG304" s="496"/>
      <c r="AH304" s="496"/>
      <c r="AI304" s="496"/>
      <c r="AJ304" s="496"/>
      <c r="AK304" s="496"/>
      <c r="AL304" s="496"/>
    </row>
    <row r="305" spans="23:38" ht="38.25" customHeight="1">
      <c r="W305" s="496"/>
      <c r="X305" s="496"/>
      <c r="Y305" s="496"/>
      <c r="Z305" s="496"/>
      <c r="AA305" s="496"/>
      <c r="AB305" s="496"/>
      <c r="AC305" s="496"/>
      <c r="AD305" s="496"/>
      <c r="AE305" s="496"/>
      <c r="AF305" s="496"/>
      <c r="AG305" s="496"/>
      <c r="AH305" s="496"/>
      <c r="AI305" s="496"/>
      <c r="AJ305" s="496"/>
      <c r="AK305" s="496"/>
      <c r="AL305" s="496"/>
    </row>
    <row r="306" spans="23:38">
      <c r="W306" s="496"/>
      <c r="X306" s="496"/>
      <c r="Y306" s="496"/>
      <c r="Z306" s="496"/>
      <c r="AA306" s="496"/>
      <c r="AB306" s="496"/>
      <c r="AC306" s="496"/>
      <c r="AD306" s="496"/>
      <c r="AE306" s="496"/>
      <c r="AF306" s="496"/>
      <c r="AG306" s="496"/>
      <c r="AH306" s="496"/>
      <c r="AI306" s="496"/>
      <c r="AJ306" s="496"/>
      <c r="AK306" s="496"/>
      <c r="AL306" s="496"/>
    </row>
    <row r="307" spans="23:38">
      <c r="W307" s="496"/>
      <c r="X307" s="496"/>
      <c r="Y307" s="496"/>
      <c r="Z307" s="496"/>
      <c r="AA307" s="496"/>
      <c r="AB307" s="496"/>
      <c r="AC307" s="496"/>
      <c r="AD307" s="496"/>
      <c r="AE307" s="496"/>
      <c r="AF307" s="496"/>
      <c r="AG307" s="496"/>
      <c r="AH307" s="496"/>
      <c r="AI307" s="496"/>
      <c r="AJ307" s="496"/>
      <c r="AK307" s="496"/>
      <c r="AL307" s="496"/>
    </row>
    <row r="308" spans="23:38">
      <c r="W308" s="496"/>
      <c r="X308" s="496"/>
      <c r="Y308" s="496"/>
      <c r="Z308" s="496"/>
      <c r="AA308" s="496"/>
      <c r="AB308" s="496"/>
      <c r="AC308" s="496"/>
      <c r="AD308" s="496"/>
      <c r="AE308" s="496"/>
      <c r="AF308" s="496"/>
      <c r="AG308" s="496"/>
      <c r="AH308" s="496"/>
      <c r="AI308" s="496"/>
      <c r="AJ308" s="496"/>
      <c r="AK308" s="496"/>
      <c r="AL308" s="496"/>
    </row>
    <row r="309" spans="23:38">
      <c r="W309" s="496"/>
      <c r="X309" s="496"/>
      <c r="Y309" s="496"/>
      <c r="Z309" s="496"/>
      <c r="AA309" s="496"/>
      <c r="AB309" s="496"/>
      <c r="AC309" s="496"/>
      <c r="AD309" s="496"/>
      <c r="AE309" s="496"/>
      <c r="AF309" s="496"/>
      <c r="AG309" s="496"/>
      <c r="AH309" s="496"/>
      <c r="AI309" s="496"/>
      <c r="AJ309" s="496"/>
      <c r="AK309" s="496"/>
      <c r="AL309" s="496"/>
    </row>
    <row r="310" spans="23:38">
      <c r="W310" s="496"/>
      <c r="X310" s="496"/>
      <c r="Y310" s="496"/>
      <c r="Z310" s="496"/>
      <c r="AA310" s="496"/>
      <c r="AB310" s="496"/>
      <c r="AC310" s="496"/>
      <c r="AD310" s="496"/>
      <c r="AE310" s="496"/>
      <c r="AF310" s="496"/>
      <c r="AG310" s="496"/>
      <c r="AH310" s="496"/>
      <c r="AI310" s="496"/>
      <c r="AJ310" s="496"/>
      <c r="AK310" s="496"/>
      <c r="AL310" s="496"/>
    </row>
    <row r="311" spans="23:38">
      <c r="W311" s="496"/>
      <c r="X311" s="496"/>
      <c r="Y311" s="496"/>
      <c r="Z311" s="496"/>
      <c r="AA311" s="496"/>
      <c r="AB311" s="496"/>
      <c r="AC311" s="496"/>
      <c r="AD311" s="496"/>
      <c r="AE311" s="496"/>
      <c r="AF311" s="496"/>
      <c r="AG311" s="496"/>
      <c r="AH311" s="496"/>
      <c r="AI311" s="496"/>
      <c r="AJ311" s="496"/>
      <c r="AK311" s="496"/>
      <c r="AL311" s="496"/>
    </row>
    <row r="312" spans="23:38">
      <c r="W312" s="496"/>
      <c r="X312" s="496"/>
      <c r="Y312" s="496"/>
      <c r="Z312" s="496"/>
      <c r="AA312" s="496"/>
      <c r="AB312" s="496"/>
      <c r="AC312" s="496"/>
      <c r="AD312" s="496"/>
      <c r="AE312" s="496"/>
      <c r="AF312" s="496"/>
      <c r="AG312" s="496"/>
      <c r="AH312" s="496"/>
      <c r="AI312" s="496"/>
      <c r="AJ312" s="496"/>
      <c r="AK312" s="496"/>
      <c r="AL312" s="496"/>
    </row>
    <row r="313" spans="23:38">
      <c r="W313" s="496"/>
      <c r="X313" s="496"/>
      <c r="Y313" s="496"/>
      <c r="Z313" s="496"/>
      <c r="AA313" s="496"/>
      <c r="AB313" s="496"/>
      <c r="AC313" s="496"/>
      <c r="AD313" s="496"/>
      <c r="AE313" s="496"/>
      <c r="AF313" s="496"/>
      <c r="AG313" s="496"/>
      <c r="AH313" s="496"/>
      <c r="AI313" s="496"/>
      <c r="AJ313" s="496"/>
      <c r="AK313" s="496"/>
      <c r="AL313" s="496"/>
    </row>
    <row r="314" spans="23:38">
      <c r="W314" s="496"/>
      <c r="X314" s="496"/>
      <c r="Y314" s="496"/>
      <c r="Z314" s="496"/>
      <c r="AA314" s="496"/>
      <c r="AB314" s="496"/>
      <c r="AC314" s="496"/>
      <c r="AD314" s="496"/>
      <c r="AE314" s="496"/>
      <c r="AF314" s="496"/>
      <c r="AG314" s="496"/>
      <c r="AH314" s="496"/>
      <c r="AI314" s="496"/>
      <c r="AJ314" s="496"/>
      <c r="AK314" s="496"/>
      <c r="AL314" s="496"/>
    </row>
    <row r="315" spans="23:38">
      <c r="W315" s="349"/>
      <c r="X315" s="349"/>
      <c r="Y315" s="349"/>
      <c r="Z315" s="349"/>
      <c r="AA315" s="349"/>
      <c r="AB315" s="349"/>
      <c r="AC315" s="349"/>
      <c r="AD315" s="349"/>
      <c r="AE315" s="349"/>
      <c r="AF315" s="349"/>
      <c r="AG315" s="349"/>
      <c r="AH315" s="349"/>
      <c r="AI315" s="349"/>
      <c r="AJ315" s="349"/>
      <c r="AK315" s="349"/>
      <c r="AL315" s="349"/>
    </row>
    <row r="316" spans="23:38">
      <c r="W316" s="349"/>
      <c r="X316" s="349"/>
      <c r="Y316" s="349"/>
      <c r="Z316" s="349"/>
      <c r="AA316" s="349"/>
      <c r="AB316" s="349"/>
      <c r="AC316" s="349"/>
      <c r="AD316" s="349"/>
      <c r="AE316" s="349"/>
      <c r="AF316" s="349"/>
      <c r="AG316" s="349"/>
      <c r="AH316" s="349"/>
      <c r="AI316" s="349"/>
      <c r="AJ316" s="349"/>
      <c r="AK316" s="349"/>
      <c r="AL316" s="349"/>
    </row>
    <row r="317" spans="23:38">
      <c r="W317" s="349"/>
      <c r="X317" s="349"/>
      <c r="Y317" s="349"/>
      <c r="Z317" s="349"/>
      <c r="AA317" s="349"/>
      <c r="AB317" s="349"/>
      <c r="AC317" s="349"/>
      <c r="AD317" s="349"/>
      <c r="AE317" s="349"/>
      <c r="AF317" s="349"/>
      <c r="AG317" s="349"/>
      <c r="AH317" s="349"/>
      <c r="AI317" s="349"/>
      <c r="AJ317" s="349"/>
      <c r="AK317" s="349"/>
      <c r="AL317" s="349"/>
    </row>
    <row r="318" spans="23:38">
      <c r="W318" s="349"/>
      <c r="X318" s="349"/>
      <c r="Y318" s="349"/>
      <c r="Z318" s="349"/>
      <c r="AA318" s="349"/>
      <c r="AB318" s="349"/>
      <c r="AC318" s="349"/>
      <c r="AD318" s="349"/>
      <c r="AE318" s="349"/>
      <c r="AF318" s="349"/>
      <c r="AG318" s="349"/>
      <c r="AH318" s="349"/>
      <c r="AI318" s="349"/>
      <c r="AJ318" s="349"/>
      <c r="AK318" s="349"/>
      <c r="AL318" s="349"/>
    </row>
    <row r="319" spans="23:38">
      <c r="W319" s="349"/>
      <c r="X319" s="349"/>
      <c r="Y319" s="349"/>
      <c r="Z319" s="349"/>
      <c r="AA319" s="349"/>
      <c r="AB319" s="349"/>
      <c r="AC319" s="349"/>
      <c r="AD319" s="349"/>
      <c r="AE319" s="349"/>
      <c r="AF319" s="349"/>
      <c r="AG319" s="349"/>
      <c r="AH319" s="349"/>
      <c r="AI319" s="349"/>
      <c r="AJ319" s="349"/>
      <c r="AK319" s="349"/>
      <c r="AL319" s="349"/>
    </row>
    <row r="320" spans="23:38">
      <c r="W320" s="349"/>
      <c r="X320" s="349"/>
      <c r="Y320" s="349"/>
      <c r="Z320" s="349"/>
      <c r="AA320" s="349"/>
      <c r="AB320" s="349"/>
      <c r="AC320" s="349"/>
      <c r="AD320" s="349"/>
      <c r="AE320" s="349"/>
      <c r="AF320" s="349"/>
      <c r="AG320" s="349"/>
      <c r="AH320" s="349"/>
      <c r="AI320" s="349"/>
      <c r="AJ320" s="349"/>
      <c r="AK320" s="349"/>
      <c r="AL320" s="349"/>
    </row>
    <row r="321" spans="23:38">
      <c r="W321" s="419"/>
      <c r="X321" s="419"/>
      <c r="Y321" s="419"/>
      <c r="Z321" s="419"/>
      <c r="AA321" s="419"/>
      <c r="AB321" s="419"/>
      <c r="AC321" s="419"/>
      <c r="AD321" s="419"/>
      <c r="AE321" s="419"/>
      <c r="AF321" s="419"/>
      <c r="AG321" s="419"/>
      <c r="AH321" s="419"/>
      <c r="AI321" s="419"/>
      <c r="AJ321" s="419"/>
      <c r="AK321" s="419"/>
      <c r="AL321" s="419"/>
    </row>
    <row r="322" spans="23:38">
      <c r="W322" s="419"/>
      <c r="X322" s="419"/>
      <c r="Y322" s="419"/>
      <c r="Z322" s="419"/>
      <c r="AA322" s="419"/>
      <c r="AB322" s="419"/>
      <c r="AC322" s="419"/>
      <c r="AD322" s="419"/>
      <c r="AE322" s="419"/>
      <c r="AF322" s="419"/>
      <c r="AG322" s="419"/>
      <c r="AH322" s="419"/>
      <c r="AI322" s="419"/>
      <c r="AJ322" s="419"/>
      <c r="AK322" s="419"/>
      <c r="AL322" s="419"/>
    </row>
    <row r="323" spans="23:38">
      <c r="W323" s="419"/>
      <c r="X323" s="419"/>
      <c r="Y323" s="419"/>
      <c r="Z323" s="419"/>
      <c r="AA323" s="419"/>
      <c r="AB323" s="419"/>
      <c r="AC323" s="419"/>
      <c r="AD323" s="419"/>
      <c r="AE323" s="419"/>
      <c r="AF323" s="419"/>
      <c r="AG323" s="419"/>
      <c r="AH323" s="419"/>
      <c r="AI323" s="419"/>
      <c r="AJ323" s="419"/>
      <c r="AK323" s="419"/>
      <c r="AL323" s="419"/>
    </row>
    <row r="324" spans="23:38">
      <c r="W324" s="64"/>
      <c r="X324" s="64"/>
      <c r="Y324" s="64"/>
      <c r="Z324" s="64"/>
      <c r="AA324" s="64"/>
      <c r="AB324" s="64"/>
      <c r="AC324" s="64"/>
      <c r="AD324" s="64"/>
      <c r="AE324" s="64"/>
      <c r="AF324" s="64"/>
      <c r="AG324" s="64"/>
      <c r="AH324" s="64"/>
      <c r="AI324" s="64"/>
      <c r="AJ324" s="64"/>
      <c r="AK324" s="64"/>
      <c r="AL324" s="64"/>
    </row>
    <row r="325" spans="23:38">
      <c r="W325" s="349"/>
      <c r="X325" s="349"/>
      <c r="Y325" s="349"/>
      <c r="Z325" s="349"/>
      <c r="AA325" s="349"/>
      <c r="AB325" s="349"/>
      <c r="AC325" s="349"/>
      <c r="AD325" s="349"/>
      <c r="AE325" s="349"/>
      <c r="AF325" s="349"/>
      <c r="AG325" s="349"/>
      <c r="AH325" s="349"/>
      <c r="AI325" s="349"/>
      <c r="AJ325" s="349"/>
      <c r="AK325" s="349"/>
      <c r="AL325" s="349"/>
    </row>
    <row r="326" spans="23:38">
      <c r="W326" s="349"/>
      <c r="X326" s="349"/>
      <c r="Y326" s="349"/>
      <c r="Z326" s="349"/>
      <c r="AA326" s="349"/>
      <c r="AB326" s="349"/>
      <c r="AC326" s="349"/>
      <c r="AD326" s="349"/>
      <c r="AE326" s="349"/>
      <c r="AF326" s="349"/>
      <c r="AG326" s="349"/>
      <c r="AH326" s="349"/>
      <c r="AI326" s="349"/>
      <c r="AJ326" s="349"/>
      <c r="AK326" s="349"/>
      <c r="AL326" s="349"/>
    </row>
    <row r="327" spans="23:38">
      <c r="W327" s="349"/>
      <c r="X327" s="349"/>
      <c r="Y327" s="349"/>
      <c r="Z327" s="349"/>
      <c r="AA327" s="349"/>
      <c r="AB327" s="349"/>
      <c r="AC327" s="349"/>
      <c r="AD327" s="349"/>
      <c r="AE327" s="349"/>
      <c r="AF327" s="349"/>
      <c r="AG327" s="349"/>
      <c r="AH327" s="349"/>
      <c r="AI327" s="349"/>
      <c r="AJ327" s="349"/>
      <c r="AK327" s="349"/>
      <c r="AL327" s="349"/>
    </row>
    <row r="328" spans="23:38">
      <c r="W328" s="349"/>
      <c r="X328" s="349"/>
      <c r="Y328" s="349"/>
      <c r="Z328" s="349"/>
      <c r="AA328" s="349"/>
      <c r="AB328" s="349"/>
      <c r="AC328" s="349"/>
      <c r="AD328" s="349"/>
      <c r="AE328" s="349"/>
      <c r="AF328" s="349"/>
      <c r="AG328" s="349"/>
      <c r="AH328" s="349"/>
      <c r="AI328" s="349"/>
      <c r="AJ328" s="349"/>
      <c r="AK328" s="349"/>
      <c r="AL328" s="349"/>
    </row>
    <row r="329" spans="23:38">
      <c r="W329" s="349"/>
      <c r="X329" s="349"/>
      <c r="Y329" s="349"/>
      <c r="Z329" s="349"/>
      <c r="AA329" s="349"/>
      <c r="AB329" s="349"/>
      <c r="AC329" s="349"/>
      <c r="AD329" s="349"/>
      <c r="AE329" s="349"/>
      <c r="AF329" s="349"/>
      <c r="AG329" s="349"/>
      <c r="AH329" s="349"/>
      <c r="AI329" s="349"/>
      <c r="AJ329" s="349"/>
      <c r="AK329" s="349"/>
      <c r="AL329" s="349"/>
    </row>
    <row r="330" spans="23:38">
      <c r="W330" s="496"/>
      <c r="X330" s="496"/>
      <c r="Y330" s="496"/>
      <c r="Z330" s="496"/>
      <c r="AA330" s="496"/>
      <c r="AB330" s="496"/>
      <c r="AC330" s="496"/>
      <c r="AD330" s="496"/>
      <c r="AE330" s="496"/>
      <c r="AF330" s="496"/>
      <c r="AG330" s="496"/>
      <c r="AH330" s="496"/>
      <c r="AI330" s="496"/>
      <c r="AJ330" s="496"/>
      <c r="AK330" s="496"/>
      <c r="AL330" s="496"/>
    </row>
    <row r="331" spans="23:38">
      <c r="W331" s="496"/>
      <c r="X331" s="496"/>
      <c r="Y331" s="496"/>
      <c r="Z331" s="496"/>
      <c r="AA331" s="496"/>
      <c r="AB331" s="496"/>
      <c r="AC331" s="496"/>
      <c r="AD331" s="496"/>
      <c r="AE331" s="496"/>
      <c r="AF331" s="496"/>
      <c r="AG331" s="496"/>
      <c r="AH331" s="496"/>
      <c r="AI331" s="496"/>
      <c r="AJ331" s="496"/>
      <c r="AK331" s="496"/>
      <c r="AL331" s="496"/>
    </row>
    <row r="332" spans="23:38">
      <c r="W332" s="496"/>
      <c r="X332" s="496"/>
      <c r="Y332" s="496"/>
      <c r="Z332" s="496"/>
      <c r="AA332" s="496"/>
      <c r="AB332" s="496"/>
      <c r="AC332" s="496"/>
      <c r="AD332" s="496"/>
      <c r="AE332" s="496"/>
      <c r="AF332" s="496"/>
      <c r="AG332" s="496"/>
      <c r="AH332" s="496"/>
      <c r="AI332" s="496"/>
      <c r="AJ332" s="496"/>
      <c r="AK332" s="496"/>
      <c r="AL332" s="496"/>
    </row>
    <row r="338" spans="1:38">
      <c r="A338" s="385"/>
      <c r="B338" s="385"/>
      <c r="C338" s="385"/>
      <c r="D338" s="385"/>
      <c r="E338" s="385"/>
      <c r="F338" s="385"/>
      <c r="G338" s="385"/>
      <c r="H338" s="385"/>
      <c r="I338" s="385"/>
      <c r="J338" s="385"/>
      <c r="K338" s="385"/>
      <c r="L338" s="385"/>
      <c r="M338" s="385"/>
      <c r="N338" s="385"/>
      <c r="O338" s="385"/>
      <c r="P338" s="385"/>
      <c r="Q338" s="385"/>
      <c r="R338" s="385"/>
      <c r="S338" s="385"/>
      <c r="T338" s="385"/>
      <c r="U338" s="385"/>
      <c r="V338" s="385"/>
      <c r="W338" s="385"/>
      <c r="X338" s="385"/>
      <c r="Y338" s="385"/>
      <c r="Z338" s="385"/>
      <c r="AA338" s="385"/>
      <c r="AB338" s="385"/>
      <c r="AC338" s="385"/>
      <c r="AD338" s="385"/>
      <c r="AE338" s="385"/>
      <c r="AF338" s="385"/>
      <c r="AG338" s="385"/>
      <c r="AH338" s="385"/>
      <c r="AI338" s="385"/>
      <c r="AJ338" s="385"/>
      <c r="AK338" s="385"/>
      <c r="AL338" s="385"/>
    </row>
    <row r="339" spans="1:38">
      <c r="A339" s="385"/>
      <c r="B339" s="385"/>
      <c r="C339" s="385"/>
      <c r="D339" s="385"/>
      <c r="E339" s="385"/>
      <c r="F339" s="385"/>
      <c r="G339" s="385"/>
      <c r="H339" s="385"/>
      <c r="I339" s="385"/>
      <c r="J339" s="385"/>
      <c r="K339" s="385"/>
      <c r="L339" s="385"/>
      <c r="M339" s="385"/>
      <c r="N339" s="385"/>
      <c r="O339" s="385"/>
      <c r="P339" s="385"/>
      <c r="Q339" s="385"/>
      <c r="R339" s="385"/>
      <c r="S339" s="385"/>
      <c r="T339" s="385"/>
      <c r="U339" s="385"/>
      <c r="V339" s="385"/>
      <c r="W339" s="385"/>
      <c r="X339" s="385"/>
      <c r="Y339" s="385"/>
      <c r="Z339" s="385"/>
      <c r="AA339" s="385"/>
      <c r="AB339" s="385"/>
      <c r="AC339" s="385"/>
      <c r="AD339" s="385"/>
      <c r="AE339" s="385"/>
      <c r="AF339" s="385"/>
      <c r="AG339" s="385"/>
      <c r="AH339" s="385"/>
      <c r="AI339" s="385"/>
      <c r="AJ339" s="385"/>
      <c r="AK339" s="385"/>
      <c r="AL339" s="385"/>
    </row>
    <row r="340" spans="1:38">
      <c r="A340" s="385"/>
      <c r="B340" s="385"/>
      <c r="C340" s="385"/>
      <c r="D340" s="385"/>
      <c r="E340" s="385"/>
      <c r="F340" s="385"/>
      <c r="G340" s="385"/>
      <c r="H340" s="385"/>
      <c r="I340" s="385"/>
      <c r="J340" s="385"/>
      <c r="K340" s="385"/>
      <c r="L340" s="385"/>
      <c r="M340" s="385"/>
      <c r="N340" s="385"/>
      <c r="O340" s="385"/>
      <c r="P340" s="385"/>
      <c r="Q340" s="385"/>
      <c r="R340" s="385"/>
      <c r="S340" s="385"/>
      <c r="T340" s="385"/>
      <c r="U340" s="385"/>
      <c r="V340" s="385"/>
      <c r="W340" s="385"/>
      <c r="X340" s="385"/>
      <c r="Y340" s="385"/>
      <c r="Z340" s="385"/>
      <c r="AA340" s="385"/>
      <c r="AB340" s="385"/>
      <c r="AC340" s="385"/>
      <c r="AD340" s="385"/>
      <c r="AE340" s="385"/>
      <c r="AF340" s="385"/>
      <c r="AG340" s="385"/>
      <c r="AH340" s="385"/>
      <c r="AI340" s="385"/>
      <c r="AJ340" s="385"/>
      <c r="AK340" s="385"/>
      <c r="AL340" s="385"/>
    </row>
  </sheetData>
  <mergeCells count="44">
    <mergeCell ref="B83:K83"/>
    <mergeCell ref="AB83:AE84"/>
    <mergeCell ref="L83:AA83"/>
    <mergeCell ref="B85:C85"/>
    <mergeCell ref="B135:E135"/>
    <mergeCell ref="F135:F136"/>
    <mergeCell ref="B134:F134"/>
    <mergeCell ref="Y134:Z136"/>
    <mergeCell ref="B84:I84"/>
    <mergeCell ref="J84:K85"/>
    <mergeCell ref="D85:E85"/>
    <mergeCell ref="F85:G85"/>
    <mergeCell ref="H85:I85"/>
    <mergeCell ref="N85:O85"/>
    <mergeCell ref="P85:Q85"/>
    <mergeCell ref="G135:G136"/>
    <mergeCell ref="T85:U85"/>
    <mergeCell ref="AA134:AB136"/>
    <mergeCell ref="AC134:AD136"/>
    <mergeCell ref="O134:P135"/>
    <mergeCell ref="Q134:R136"/>
    <mergeCell ref="S134:T136"/>
    <mergeCell ref="U134:V136"/>
    <mergeCell ref="AD85:AE85"/>
    <mergeCell ref="V85:W85"/>
    <mergeCell ref="X85:Y85"/>
    <mergeCell ref="Z85:AA85"/>
    <mergeCell ref="AE134:AF136"/>
    <mergeCell ref="AG134:AH136"/>
    <mergeCell ref="H135:J135"/>
    <mergeCell ref="K135:N135"/>
    <mergeCell ref="C8:E8"/>
    <mergeCell ref="D25:E25"/>
    <mergeCell ref="B25:C25"/>
    <mergeCell ref="F60:L60"/>
    <mergeCell ref="B60:E61"/>
    <mergeCell ref="F61:F62"/>
    <mergeCell ref="G61:H61"/>
    <mergeCell ref="I61:L61"/>
    <mergeCell ref="B8:B9"/>
    <mergeCell ref="G134:N134"/>
    <mergeCell ref="W134:X136"/>
    <mergeCell ref="AB85:AC85"/>
    <mergeCell ref="R85:S85"/>
  </mergeCells>
  <phoneticPr fontId="5" type="noConversion"/>
  <printOptions gridLinesSet="0"/>
  <pageMargins left="0.75" right="0.75" top="1" bottom="1" header="0.5" footer="0.5"/>
  <pageSetup orientation="landscape" r:id="rId1"/>
  <headerFooter alignWithMargins="0">
    <oddHeader>&amp;A</oddHeader>
    <oddFooter>Page &amp;P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7"/>
  <dimension ref="A1:M193"/>
  <sheetViews>
    <sheetView showGridLines="0" topLeftCell="A18" zoomScale="85" zoomScaleNormal="85" workbookViewId="0">
      <selection activeCell="F38" sqref="F38"/>
    </sheetView>
  </sheetViews>
  <sheetFormatPr defaultColWidth="9.140625" defaultRowHeight="12.75"/>
  <cols>
    <col min="1" max="1" width="29.28515625" style="1298" customWidth="1"/>
    <col min="2" max="2" width="15.7109375" style="1298" customWidth="1"/>
    <col min="3" max="3" width="17.28515625" style="1298" customWidth="1"/>
    <col min="4" max="4" width="16.85546875" style="1298" customWidth="1"/>
    <col min="5" max="5" width="12.28515625" style="1298" customWidth="1"/>
    <col min="6" max="6" width="17.28515625" style="1298" customWidth="1"/>
    <col min="7" max="7" width="16.85546875" style="1298" customWidth="1"/>
    <col min="8" max="8" width="12.28515625" style="1298" customWidth="1"/>
    <col min="9" max="9" width="17.28515625" style="1298" customWidth="1"/>
    <col min="10" max="10" width="16.85546875" style="1298" customWidth="1"/>
    <col min="11" max="11" width="12.42578125" style="1298" customWidth="1"/>
    <col min="12" max="12" width="11.28515625" style="1298" bestFit="1" customWidth="1"/>
    <col min="13" max="16384" width="9.140625" style="1298"/>
  </cols>
  <sheetData>
    <row r="1" spans="1:5" ht="15.75">
      <c r="A1" s="81" t="s">
        <v>1805</v>
      </c>
      <c r="B1" s="1321"/>
      <c r="C1" s="1321"/>
      <c r="D1" s="1321"/>
      <c r="E1" s="1321"/>
    </row>
    <row r="2" spans="1:5" ht="15.75">
      <c r="A2" s="81"/>
      <c r="B2" s="1321"/>
      <c r="C2" s="1321"/>
      <c r="D2" s="1321"/>
      <c r="E2" s="1321"/>
    </row>
    <row r="3" spans="1:5" ht="15.75">
      <c r="A3" s="81" t="s">
        <v>1806</v>
      </c>
      <c r="B3" s="1321"/>
      <c r="C3" s="1321"/>
      <c r="D3" s="1321"/>
      <c r="E3" s="1321"/>
    </row>
    <row r="4" spans="1:5">
      <c r="A4" s="172" t="s">
        <v>1807</v>
      </c>
      <c r="B4" s="1321"/>
      <c r="C4" s="1321"/>
      <c r="D4" s="1321"/>
      <c r="E4" s="1321"/>
    </row>
    <row r="5" spans="1:5" ht="25.5" customHeight="1">
      <c r="A5" s="1299"/>
      <c r="B5" s="1300" t="s">
        <v>1808</v>
      </c>
      <c r="C5" s="1300" t="s">
        <v>1809</v>
      </c>
      <c r="D5" s="1300" t="s">
        <v>1810</v>
      </c>
      <c r="E5" s="1301" t="s">
        <v>1811</v>
      </c>
    </row>
    <row r="6" spans="1:5">
      <c r="A6" s="59" t="s">
        <v>993</v>
      </c>
      <c r="B6" s="122">
        <v>0.3</v>
      </c>
      <c r="C6" s="1"/>
      <c r="D6" s="1"/>
      <c r="E6" s="51"/>
    </row>
    <row r="7" spans="1:5">
      <c r="A7" s="59" t="s">
        <v>997</v>
      </c>
      <c r="B7" s="122">
        <v>0.15</v>
      </c>
      <c r="C7" s="1"/>
      <c r="D7" s="1"/>
      <c r="E7" s="51"/>
    </row>
    <row r="8" spans="1:5">
      <c r="A8" s="59" t="s">
        <v>1715</v>
      </c>
      <c r="B8" s="122">
        <v>0.21</v>
      </c>
      <c r="C8" s="1">
        <v>1.2E-2</v>
      </c>
      <c r="D8" s="1"/>
      <c r="E8" s="51"/>
    </row>
    <row r="9" spans="1:5" ht="15.75">
      <c r="A9" s="59" t="s">
        <v>1812</v>
      </c>
      <c r="B9" s="122">
        <v>0.06</v>
      </c>
      <c r="C9" s="1">
        <v>0.36599999999999999</v>
      </c>
      <c r="D9" s="122">
        <v>6.4887960348545701E-2</v>
      </c>
      <c r="E9" s="51"/>
    </row>
    <row r="10" spans="1:5">
      <c r="A10" s="59" t="s">
        <v>1813</v>
      </c>
      <c r="B10" s="1"/>
      <c r="C10" s="122">
        <v>3.1359999999999999E-2</v>
      </c>
      <c r="D10" s="1"/>
      <c r="E10" s="51"/>
    </row>
    <row r="11" spans="1:5">
      <c r="A11" s="59" t="s">
        <v>1700</v>
      </c>
      <c r="B11" s="1"/>
      <c r="C11" s="1">
        <v>0.56100000000000005</v>
      </c>
      <c r="D11" s="1"/>
      <c r="E11" s="51"/>
    </row>
    <row r="12" spans="1:5" ht="15.75">
      <c r="A12" s="59" t="s">
        <v>1814</v>
      </c>
      <c r="B12" s="122">
        <v>0.68879833658239586</v>
      </c>
      <c r="C12" s="1">
        <v>1.0780000000000001</v>
      </c>
      <c r="D12" s="122">
        <v>0.68879833658239586</v>
      </c>
      <c r="E12" s="51"/>
    </row>
    <row r="13" spans="1:5" ht="15.75">
      <c r="A13" s="59" t="s">
        <v>1815</v>
      </c>
      <c r="B13" s="1"/>
      <c r="C13" s="1">
        <v>2.1000000000000001E-2</v>
      </c>
      <c r="D13" s="122">
        <v>0.36110991510749318</v>
      </c>
      <c r="E13" s="51"/>
    </row>
    <row r="14" spans="1:5">
      <c r="A14" s="59" t="s">
        <v>1816</v>
      </c>
      <c r="B14" s="1"/>
      <c r="C14" s="1"/>
      <c r="D14" s="122">
        <v>5.0490840165973216E-2</v>
      </c>
      <c r="E14" s="51"/>
    </row>
    <row r="15" spans="1:5">
      <c r="A15" s="59" t="s">
        <v>1408</v>
      </c>
      <c r="B15" s="1"/>
      <c r="C15" s="1"/>
      <c r="D15" s="122">
        <v>1.7332319659247436E-4</v>
      </c>
      <c r="E15" s="51"/>
    </row>
    <row r="16" spans="1:5" ht="15.75">
      <c r="A16" s="59" t="s">
        <v>1817</v>
      </c>
      <c r="B16" s="1"/>
      <c r="C16" s="1"/>
      <c r="D16" s="1"/>
      <c r="E16" s="51">
        <v>3.0000000000000001E-3</v>
      </c>
    </row>
    <row r="17" spans="1:5">
      <c r="A17" s="118" t="s">
        <v>1818</v>
      </c>
      <c r="B17" s="125"/>
      <c r="C17" s="125"/>
      <c r="D17" s="125"/>
      <c r="E17" s="254">
        <v>2.2000000000000002</v>
      </c>
    </row>
    <row r="18" spans="1:5">
      <c r="A18" s="1"/>
      <c r="B18" s="1"/>
      <c r="C18" s="1"/>
      <c r="D18" s="1"/>
      <c r="E18" s="122"/>
    </row>
    <row r="19" spans="1:5">
      <c r="A19" s="172" t="s">
        <v>1819</v>
      </c>
      <c r="B19" s="1"/>
      <c r="C19" s="1"/>
      <c r="D19" s="1"/>
      <c r="E19" s="122"/>
    </row>
    <row r="20" spans="1:5" ht="25.5">
      <c r="A20" s="1299"/>
      <c r="B20" s="1300" t="s">
        <v>1808</v>
      </c>
      <c r="C20" s="1300" t="s">
        <v>1809</v>
      </c>
      <c r="D20" s="1300" t="s">
        <v>1810</v>
      </c>
      <c r="E20" s="1301" t="s">
        <v>1811</v>
      </c>
    </row>
    <row r="21" spans="1:5" ht="15.75">
      <c r="A21" s="570" t="s">
        <v>1820</v>
      </c>
      <c r="B21" s="1302">
        <v>0.18194835224749351</v>
      </c>
      <c r="C21" s="1303">
        <v>0.18194835224749351</v>
      </c>
      <c r="D21" s="1303">
        <v>0.18194835224749351</v>
      </c>
      <c r="E21" s="1304" t="e">
        <v>#N/A</v>
      </c>
    </row>
    <row r="22" spans="1:5" ht="15.75">
      <c r="A22" s="490" t="s">
        <v>1821</v>
      </c>
      <c r="B22" s="233">
        <v>0.18166660577168295</v>
      </c>
      <c r="C22" s="122">
        <v>0.18166660577168295</v>
      </c>
      <c r="D22" s="122">
        <v>0.18166660577168295</v>
      </c>
      <c r="E22" s="195" t="e">
        <v>#N/A</v>
      </c>
    </row>
    <row r="23" spans="1:5" ht="15.75">
      <c r="A23" s="490" t="s">
        <v>1817</v>
      </c>
      <c r="B23" s="233"/>
      <c r="C23" s="122"/>
      <c r="D23" s="122">
        <v>0.13125992891993307</v>
      </c>
      <c r="E23" s="195" t="e">
        <v>#N/A</v>
      </c>
    </row>
    <row r="24" spans="1:5" ht="15.75">
      <c r="A24" s="647" t="s">
        <v>1822</v>
      </c>
      <c r="B24" s="174" t="e">
        <v>#N/A</v>
      </c>
      <c r="C24" s="125" t="e">
        <v>#N/A</v>
      </c>
      <c r="D24" s="125" t="e">
        <v>#N/A</v>
      </c>
      <c r="E24" s="1305">
        <v>0.31198175386645388</v>
      </c>
    </row>
    <row r="25" spans="1:5">
      <c r="A25" s="1"/>
      <c r="B25" s="1"/>
      <c r="C25" s="1"/>
      <c r="D25" s="1"/>
      <c r="E25" s="122"/>
    </row>
    <row r="26" spans="1:5">
      <c r="A26" s="172" t="s">
        <v>1823</v>
      </c>
      <c r="B26" s="1"/>
      <c r="C26" s="1"/>
      <c r="D26" s="1"/>
      <c r="E26" s="122"/>
    </row>
    <row r="27" spans="1:5" ht="25.5">
      <c r="A27" s="1299"/>
      <c r="B27" s="1300" t="s">
        <v>1808</v>
      </c>
      <c r="C27" s="1300" t="s">
        <v>1809</v>
      </c>
      <c r="D27" s="1300" t="s">
        <v>1810</v>
      </c>
      <c r="E27" s="1301" t="s">
        <v>1811</v>
      </c>
    </row>
    <row r="28" spans="1:5" ht="15.75">
      <c r="A28" s="570" t="s">
        <v>1820</v>
      </c>
      <c r="B28" s="556">
        <v>0.67400000000000004</v>
      </c>
      <c r="C28" s="179">
        <v>0.63300000000000001</v>
      </c>
      <c r="D28" s="179">
        <v>0.53400000000000003</v>
      </c>
      <c r="E28" s="1304" t="e">
        <v>#N/A</v>
      </c>
    </row>
    <row r="29" spans="1:5" ht="15.75">
      <c r="A29" s="490" t="s">
        <v>1821</v>
      </c>
      <c r="B29" s="232">
        <v>0.14799999999999999</v>
      </c>
      <c r="C29" s="127">
        <v>0.13900000000000001</v>
      </c>
      <c r="D29" s="127">
        <v>0.11700000000000001</v>
      </c>
      <c r="E29" s="195" t="e">
        <v>#N/A</v>
      </c>
    </row>
    <row r="30" spans="1:5" ht="15.75">
      <c r="A30" s="490" t="s">
        <v>1817</v>
      </c>
      <c r="B30" s="232"/>
      <c r="C30" s="127"/>
      <c r="D30" s="127">
        <v>0.156</v>
      </c>
      <c r="E30" s="195" t="e">
        <v>#N/A</v>
      </c>
    </row>
    <row r="31" spans="1:5" ht="15.75">
      <c r="A31" s="647" t="s">
        <v>1822</v>
      </c>
      <c r="B31" s="174" t="e">
        <v>#N/A</v>
      </c>
      <c r="C31" s="125" t="e">
        <v>#N/A</v>
      </c>
      <c r="D31" s="125" t="e">
        <v>#N/A</v>
      </c>
      <c r="E31" s="186">
        <v>0.85199999999999998</v>
      </c>
    </row>
    <row r="32" spans="1:5">
      <c r="A32" s="489"/>
      <c r="B32" s="1"/>
      <c r="C32" s="1"/>
      <c r="D32" s="1"/>
      <c r="E32" s="122"/>
    </row>
    <row r="33" spans="1:6">
      <c r="A33" s="172" t="s">
        <v>1824</v>
      </c>
      <c r="B33" s="1"/>
      <c r="C33" s="1"/>
      <c r="D33" s="1"/>
      <c r="E33" s="122"/>
      <c r="F33" s="1321"/>
    </row>
    <row r="34" spans="1:6" ht="38.25">
      <c r="A34" s="1299"/>
      <c r="B34" s="1300" t="s">
        <v>1825</v>
      </c>
      <c r="C34" s="1300" t="s">
        <v>1826</v>
      </c>
      <c r="D34" s="1300" t="s">
        <v>1827</v>
      </c>
      <c r="E34" s="1300" t="s">
        <v>1828</v>
      </c>
      <c r="F34" s="1301" t="s">
        <v>1026</v>
      </c>
    </row>
    <row r="35" spans="1:6" ht="15.75">
      <c r="A35" s="570" t="s">
        <v>1820</v>
      </c>
      <c r="B35" s="1306">
        <v>0</v>
      </c>
      <c r="C35" s="181">
        <v>0</v>
      </c>
      <c r="D35" s="181">
        <v>0</v>
      </c>
      <c r="E35" s="131" t="e">
        <v>#N/A</v>
      </c>
      <c r="F35" s="182">
        <f>1-SUM(B35:D35)</f>
        <v>1</v>
      </c>
    </row>
    <row r="36" spans="1:6" ht="15.75">
      <c r="A36" s="490" t="s">
        <v>1821</v>
      </c>
      <c r="B36" s="212">
        <v>0</v>
      </c>
      <c r="C36" s="183">
        <v>0</v>
      </c>
      <c r="D36" s="183">
        <v>0</v>
      </c>
      <c r="E36" s="1" t="e">
        <v>#N/A</v>
      </c>
      <c r="F36" s="184">
        <f>1-SUM(B36:D36)</f>
        <v>1</v>
      </c>
    </row>
    <row r="37" spans="1:6" ht="15.75">
      <c r="A37" s="490" t="s">
        <v>1817</v>
      </c>
      <c r="B37" s="173"/>
      <c r="C37" s="1"/>
      <c r="D37" s="127">
        <v>0</v>
      </c>
      <c r="E37" s="1" t="e">
        <v>#N/A</v>
      </c>
      <c r="F37" s="184">
        <f>1-SUM(B37:D37)</f>
        <v>1</v>
      </c>
    </row>
    <row r="38" spans="1:6" ht="15.75">
      <c r="A38" s="647" t="s">
        <v>1822</v>
      </c>
      <c r="B38" s="174" t="e">
        <v>#N/A</v>
      </c>
      <c r="C38" s="125" t="e">
        <v>#N/A</v>
      </c>
      <c r="D38" s="125" t="e">
        <v>#N/A</v>
      </c>
      <c r="E38" s="129">
        <v>0</v>
      </c>
      <c r="F38" s="186">
        <f>1-E38</f>
        <v>1</v>
      </c>
    </row>
    <row r="40" spans="1:6" ht="15">
      <c r="A40" s="120" t="s">
        <v>1829</v>
      </c>
      <c r="B40" s="1321"/>
      <c r="C40" s="1321"/>
      <c r="D40" s="1321"/>
      <c r="E40" s="1321"/>
      <c r="F40" s="1321"/>
    </row>
    <row r="41" spans="1:6" ht="25.5">
      <c r="A41" s="1299"/>
      <c r="B41" s="1300" t="s">
        <v>1808</v>
      </c>
      <c r="C41" s="1300" t="s">
        <v>1809</v>
      </c>
      <c r="D41" s="1300" t="s">
        <v>1810</v>
      </c>
      <c r="E41" s="1301" t="s">
        <v>1811</v>
      </c>
      <c r="F41" s="1321"/>
    </row>
    <row r="42" spans="1:6">
      <c r="A42" s="393" t="s">
        <v>769</v>
      </c>
      <c r="B42" s="784">
        <v>1</v>
      </c>
      <c r="C42" s="591">
        <v>1</v>
      </c>
      <c r="D42" s="591">
        <v>1</v>
      </c>
      <c r="E42" s="533">
        <v>1</v>
      </c>
      <c r="F42" s="1321"/>
    </row>
    <row r="43" spans="1:6">
      <c r="A43" s="30" t="s">
        <v>1041</v>
      </c>
      <c r="B43" s="416">
        <v>1</v>
      </c>
      <c r="C43" s="382">
        <v>1</v>
      </c>
      <c r="D43" s="382">
        <v>1</v>
      </c>
      <c r="E43" s="588">
        <v>1</v>
      </c>
      <c r="F43" s="1321"/>
    </row>
    <row r="44" spans="1:6">
      <c r="A44" s="30" t="s">
        <v>1042</v>
      </c>
      <c r="B44" s="579">
        <v>0</v>
      </c>
      <c r="C44" s="151">
        <v>0</v>
      </c>
      <c r="D44" s="151">
        <v>0</v>
      </c>
      <c r="E44" s="152">
        <v>0</v>
      </c>
      <c r="F44" s="1321"/>
    </row>
    <row r="45" spans="1:6">
      <c r="A45" s="230" t="s">
        <v>773</v>
      </c>
      <c r="B45" s="416">
        <v>1</v>
      </c>
      <c r="C45" s="382">
        <v>1</v>
      </c>
      <c r="D45" s="382">
        <v>1</v>
      </c>
      <c r="E45" s="588">
        <v>1</v>
      </c>
      <c r="F45" s="1321"/>
    </row>
    <row r="46" spans="1:6">
      <c r="A46" s="160" t="s">
        <v>782</v>
      </c>
      <c r="B46" s="579">
        <v>0</v>
      </c>
      <c r="C46" s="382">
        <v>0</v>
      </c>
      <c r="D46" s="382">
        <v>0</v>
      </c>
      <c r="E46" s="588">
        <v>0</v>
      </c>
      <c r="F46" s="1321"/>
    </row>
    <row r="47" spans="1:6">
      <c r="A47" s="161" t="s">
        <v>783</v>
      </c>
      <c r="B47" s="580">
        <f>1-B46</f>
        <v>1</v>
      </c>
      <c r="C47" s="153">
        <f>1-C46</f>
        <v>1</v>
      </c>
      <c r="D47" s="153">
        <f t="shared" ref="D47:E47" si="0">1-D46</f>
        <v>1</v>
      </c>
      <c r="E47" s="154">
        <f t="shared" si="0"/>
        <v>1</v>
      </c>
      <c r="F47" s="1321"/>
    </row>
    <row r="49" spans="1:13" ht="15">
      <c r="A49" s="120" t="s">
        <v>784</v>
      </c>
      <c r="B49" s="1321"/>
      <c r="C49" s="1321"/>
      <c r="D49" s="1321"/>
      <c r="E49" s="1321"/>
      <c r="F49" s="1321"/>
      <c r="G49" s="1321"/>
      <c r="H49" s="1321"/>
      <c r="I49" s="1321"/>
      <c r="J49" s="1321"/>
      <c r="K49" s="1321"/>
      <c r="L49" s="1321"/>
      <c r="M49" s="1321"/>
    </row>
    <row r="50" spans="1:13">
      <c r="A50" s="58"/>
      <c r="B50" s="2986" t="s">
        <v>1808</v>
      </c>
      <c r="C50" s="2987"/>
      <c r="D50" s="2988"/>
      <c r="E50" s="2986" t="s">
        <v>1809</v>
      </c>
      <c r="F50" s="2987"/>
      <c r="G50" s="2988"/>
      <c r="H50" s="2986" t="s">
        <v>1810</v>
      </c>
      <c r="I50" s="2987"/>
      <c r="J50" s="2988"/>
      <c r="K50" s="2986" t="s">
        <v>1811</v>
      </c>
      <c r="L50" s="2987"/>
      <c r="M50" s="2988"/>
    </row>
    <row r="51" spans="1:13" ht="83.25" customHeight="1">
      <c r="A51" s="118"/>
      <c r="B51" s="1265" t="s">
        <v>785</v>
      </c>
      <c r="C51" s="1307" t="s">
        <v>786</v>
      </c>
      <c r="D51" s="1223" t="s">
        <v>1057</v>
      </c>
      <c r="E51" s="1265" t="s">
        <v>785</v>
      </c>
      <c r="F51" s="1307" t="s">
        <v>786</v>
      </c>
      <c r="G51" s="1223" t="s">
        <v>1057</v>
      </c>
      <c r="H51" s="1265" t="s">
        <v>785</v>
      </c>
      <c r="I51" s="1307" t="s">
        <v>786</v>
      </c>
      <c r="J51" s="1223" t="s">
        <v>1057</v>
      </c>
      <c r="K51" s="1265" t="s">
        <v>785</v>
      </c>
      <c r="L51" s="1307" t="s">
        <v>786</v>
      </c>
      <c r="M51" s="1223" t="s">
        <v>1057</v>
      </c>
    </row>
    <row r="52" spans="1:13">
      <c r="A52" s="482" t="s">
        <v>1830</v>
      </c>
      <c r="B52" s="240">
        <v>4.5402995260663506</v>
      </c>
      <c r="C52" s="131"/>
      <c r="D52" s="131"/>
      <c r="E52" s="240">
        <v>2.7731943127962091</v>
      </c>
      <c r="F52" s="131"/>
      <c r="G52" s="131"/>
      <c r="H52" s="240">
        <v>2.2021109671569961</v>
      </c>
      <c r="I52" s="131"/>
      <c r="J52" s="50"/>
      <c r="K52" s="240">
        <v>2.8634843601895739</v>
      </c>
      <c r="L52" s="131"/>
      <c r="M52" s="50"/>
    </row>
    <row r="53" spans="1:13">
      <c r="A53" s="118" t="s">
        <v>798</v>
      </c>
      <c r="B53" s="239">
        <v>0</v>
      </c>
      <c r="C53" s="129"/>
      <c r="D53" s="129"/>
      <c r="E53" s="239">
        <v>0</v>
      </c>
      <c r="F53" s="125"/>
      <c r="G53" s="125"/>
      <c r="H53" s="239">
        <v>0</v>
      </c>
      <c r="I53" s="125"/>
      <c r="J53" s="85"/>
      <c r="K53" s="239">
        <v>0</v>
      </c>
      <c r="L53" s="125"/>
      <c r="M53" s="85"/>
    </row>
    <row r="54" spans="1:13">
      <c r="A54" s="482" t="s">
        <v>799</v>
      </c>
      <c r="B54" s="80"/>
      <c r="C54" s="131"/>
      <c r="D54" s="131"/>
      <c r="E54" s="80"/>
      <c r="F54" s="131"/>
      <c r="G54" s="131"/>
      <c r="H54" s="80"/>
      <c r="I54" s="131"/>
      <c r="J54" s="50"/>
      <c r="K54" s="131"/>
      <c r="L54" s="131"/>
      <c r="M54" s="50"/>
    </row>
    <row r="55" spans="1:13">
      <c r="A55" s="59" t="s">
        <v>800</v>
      </c>
      <c r="B55" s="232">
        <v>0</v>
      </c>
      <c r="C55" s="127"/>
      <c r="D55" s="127"/>
      <c r="E55" s="232">
        <v>0</v>
      </c>
      <c r="F55" s="1"/>
      <c r="G55" s="1"/>
      <c r="H55" s="232">
        <v>0</v>
      </c>
      <c r="I55" s="1"/>
      <c r="J55" s="51"/>
      <c r="K55" s="232">
        <v>0</v>
      </c>
      <c r="L55" s="1"/>
      <c r="M55" s="51"/>
    </row>
    <row r="56" spans="1:13">
      <c r="A56" s="59" t="s">
        <v>802</v>
      </c>
      <c r="B56" s="232">
        <v>0.11363636363636365</v>
      </c>
      <c r="C56" s="127"/>
      <c r="D56" s="127"/>
      <c r="E56" s="232">
        <v>0.18604651162790697</v>
      </c>
      <c r="F56" s="1"/>
      <c r="G56" s="1"/>
      <c r="H56" s="232">
        <v>0.23429479061547306</v>
      </c>
      <c r="I56" s="1"/>
      <c r="J56" s="51"/>
      <c r="K56" s="232">
        <v>0.18018018018018017</v>
      </c>
      <c r="L56" s="1"/>
      <c r="M56" s="51"/>
    </row>
    <row r="57" spans="1:13">
      <c r="A57" s="59" t="s">
        <v>801</v>
      </c>
      <c r="B57" s="232">
        <v>0</v>
      </c>
      <c r="C57" s="127"/>
      <c r="D57" s="127"/>
      <c r="E57" s="232">
        <v>0</v>
      </c>
      <c r="F57" s="1"/>
      <c r="G57" s="1"/>
      <c r="H57" s="232">
        <v>0</v>
      </c>
      <c r="I57" s="1"/>
      <c r="J57" s="51"/>
      <c r="K57" s="232">
        <v>0</v>
      </c>
      <c r="L57" s="1"/>
      <c r="M57" s="51"/>
    </row>
    <row r="58" spans="1:13">
      <c r="A58" s="59" t="s">
        <v>1319</v>
      </c>
      <c r="B58" s="232">
        <v>0</v>
      </c>
      <c r="C58" s="127"/>
      <c r="D58" s="127"/>
      <c r="E58" s="232">
        <v>0</v>
      </c>
      <c r="F58" s="1"/>
      <c r="G58" s="1"/>
      <c r="H58" s="232">
        <v>0</v>
      </c>
      <c r="I58" s="1"/>
      <c r="J58" s="51"/>
      <c r="K58" s="232">
        <v>0</v>
      </c>
      <c r="L58" s="1"/>
      <c r="M58" s="51"/>
    </row>
    <row r="59" spans="1:13">
      <c r="A59" s="59" t="s">
        <v>804</v>
      </c>
      <c r="B59" s="232">
        <v>0</v>
      </c>
      <c r="C59" s="127"/>
      <c r="D59" s="127"/>
      <c r="E59" s="232">
        <v>0.77519379844961234</v>
      </c>
      <c r="F59" s="1"/>
      <c r="G59" s="1"/>
      <c r="H59" s="232">
        <v>0.38030904902433232</v>
      </c>
      <c r="I59" s="1"/>
      <c r="J59" s="51"/>
      <c r="K59" s="232">
        <v>0</v>
      </c>
      <c r="L59" s="1"/>
      <c r="M59" s="51"/>
    </row>
    <row r="60" spans="1:13">
      <c r="A60" s="59" t="s">
        <v>805</v>
      </c>
      <c r="B60" s="232">
        <v>0</v>
      </c>
      <c r="C60" s="127"/>
      <c r="D60" s="127"/>
      <c r="E60" s="232">
        <v>0</v>
      </c>
      <c r="F60" s="1"/>
      <c r="G60" s="1"/>
      <c r="H60" s="232">
        <v>0</v>
      </c>
      <c r="I60" s="1"/>
      <c r="J60" s="51"/>
      <c r="K60" s="232">
        <v>0</v>
      </c>
      <c r="L60" s="1"/>
      <c r="M60" s="51"/>
    </row>
    <row r="61" spans="1:13">
      <c r="A61" s="118" t="s">
        <v>806</v>
      </c>
      <c r="B61" s="239">
        <f>1-SUM(B55:B60)</f>
        <v>0.88636363636363635</v>
      </c>
      <c r="C61" s="129"/>
      <c r="D61" s="129"/>
      <c r="E61" s="239">
        <f>1-SUM(E55:E60)</f>
        <v>3.8759689922480689E-2</v>
      </c>
      <c r="F61" s="125"/>
      <c r="G61" s="125"/>
      <c r="H61" s="239">
        <f>1-SUM(H55:H60)</f>
        <v>0.38539616036019464</v>
      </c>
      <c r="I61" s="125"/>
      <c r="J61" s="85"/>
      <c r="K61" s="239">
        <f>1-SUM(K55:K60)</f>
        <v>0.81981981981981988</v>
      </c>
      <c r="L61" s="125"/>
      <c r="M61" s="85"/>
    </row>
    <row r="62" spans="1:13">
      <c r="A62" s="482" t="s">
        <v>1831</v>
      </c>
      <c r="B62" s="80"/>
      <c r="C62" s="131"/>
      <c r="D62" s="131"/>
      <c r="E62" s="80"/>
      <c r="F62" s="131"/>
      <c r="G62" s="131"/>
      <c r="H62" s="80"/>
      <c r="I62" s="131"/>
      <c r="J62" s="50"/>
      <c r="K62" s="131"/>
      <c r="L62" s="131"/>
      <c r="M62" s="50"/>
    </row>
    <row r="63" spans="1:13">
      <c r="A63" s="59" t="s">
        <v>800</v>
      </c>
      <c r="B63" s="233">
        <f>B$52*B55</f>
        <v>0</v>
      </c>
      <c r="C63" s="1"/>
      <c r="D63" s="1"/>
      <c r="E63" s="233">
        <f>E$52*E55</f>
        <v>0</v>
      </c>
      <c r="F63" s="1"/>
      <c r="G63" s="1"/>
      <c r="H63" s="233">
        <f>H$52*H55</f>
        <v>0</v>
      </c>
      <c r="I63" s="1"/>
      <c r="J63" s="51"/>
      <c r="K63" s="233">
        <f>K$52*K55</f>
        <v>0</v>
      </c>
      <c r="L63" s="1"/>
      <c r="M63" s="51"/>
    </row>
    <row r="64" spans="1:13">
      <c r="A64" s="59" t="s">
        <v>802</v>
      </c>
      <c r="B64" s="233">
        <f t="shared" ref="B64:B69" si="1">B$52*B56</f>
        <v>0.5159431279620853</v>
      </c>
      <c r="C64" s="1"/>
      <c r="D64" s="1"/>
      <c r="E64" s="233">
        <f t="shared" ref="E64:E69" si="2">E$52*E56</f>
        <v>0.51594312796208541</v>
      </c>
      <c r="F64" s="1"/>
      <c r="G64" s="1"/>
      <c r="H64" s="233">
        <f t="shared" ref="H64:H69" si="3">H$52*H56</f>
        <v>0.5159431279620853</v>
      </c>
      <c r="I64" s="1"/>
      <c r="J64" s="51"/>
      <c r="K64" s="233">
        <f t="shared" ref="K64:K69" si="4">K$52*K56</f>
        <v>0.5159431279620853</v>
      </c>
      <c r="L64" s="1"/>
      <c r="M64" s="51"/>
    </row>
    <row r="65" spans="1:13">
      <c r="A65" s="59" t="s">
        <v>801</v>
      </c>
      <c r="B65" s="233">
        <f t="shared" si="1"/>
        <v>0</v>
      </c>
      <c r="C65" s="1"/>
      <c r="D65" s="1"/>
      <c r="E65" s="233">
        <f t="shared" si="2"/>
        <v>0</v>
      </c>
      <c r="F65" s="1"/>
      <c r="G65" s="1"/>
      <c r="H65" s="233">
        <f t="shared" si="3"/>
        <v>0</v>
      </c>
      <c r="I65" s="1"/>
      <c r="J65" s="51"/>
      <c r="K65" s="233">
        <f t="shared" si="4"/>
        <v>0</v>
      </c>
      <c r="L65" s="1"/>
      <c r="M65" s="51"/>
    </row>
    <row r="66" spans="1:13">
      <c r="A66" s="59" t="s">
        <v>1319</v>
      </c>
      <c r="B66" s="233">
        <f t="shared" si="1"/>
        <v>0</v>
      </c>
      <c r="C66" s="1"/>
      <c r="D66" s="1"/>
      <c r="E66" s="233">
        <f t="shared" si="2"/>
        <v>0</v>
      </c>
      <c r="F66" s="1"/>
      <c r="G66" s="1"/>
      <c r="H66" s="233">
        <f t="shared" si="3"/>
        <v>0</v>
      </c>
      <c r="I66" s="1"/>
      <c r="J66" s="51"/>
      <c r="K66" s="233">
        <f t="shared" si="4"/>
        <v>0</v>
      </c>
      <c r="L66" s="1"/>
      <c r="M66" s="51"/>
    </row>
    <row r="67" spans="1:13">
      <c r="A67" s="59" t="s">
        <v>804</v>
      </c>
      <c r="B67" s="233">
        <f t="shared" si="1"/>
        <v>0</v>
      </c>
      <c r="C67" s="1"/>
      <c r="D67" s="1"/>
      <c r="E67" s="233">
        <f t="shared" si="2"/>
        <v>2.1497630331753559</v>
      </c>
      <c r="F67" s="1"/>
      <c r="G67" s="1"/>
      <c r="H67" s="233">
        <f t="shared" si="3"/>
        <v>0.8374827277655299</v>
      </c>
      <c r="I67" s="1"/>
      <c r="J67" s="51"/>
      <c r="K67" s="233">
        <f t="shared" si="4"/>
        <v>0</v>
      </c>
      <c r="L67" s="1"/>
      <c r="M67" s="51"/>
    </row>
    <row r="68" spans="1:13">
      <c r="A68" s="59" t="s">
        <v>805</v>
      </c>
      <c r="B68" s="233">
        <f t="shared" si="1"/>
        <v>0</v>
      </c>
      <c r="C68" s="1"/>
      <c r="D68" s="1"/>
      <c r="E68" s="233">
        <f t="shared" si="2"/>
        <v>0</v>
      </c>
      <c r="F68" s="1"/>
      <c r="G68" s="1"/>
      <c r="H68" s="233">
        <f t="shared" si="3"/>
        <v>0</v>
      </c>
      <c r="I68" s="1"/>
      <c r="J68" s="51"/>
      <c r="K68" s="233">
        <f t="shared" si="4"/>
        <v>0</v>
      </c>
      <c r="L68" s="1"/>
      <c r="M68" s="51"/>
    </row>
    <row r="69" spans="1:13">
      <c r="A69" s="118" t="s">
        <v>806</v>
      </c>
      <c r="B69" s="236">
        <f t="shared" si="1"/>
        <v>4.0243563981042652</v>
      </c>
      <c r="C69" s="125"/>
      <c r="D69" s="125"/>
      <c r="E69" s="236">
        <f t="shared" si="2"/>
        <v>0.10748815165876799</v>
      </c>
      <c r="F69" s="125"/>
      <c r="G69" s="125"/>
      <c r="H69" s="236">
        <f t="shared" si="3"/>
        <v>0.84868511142938097</v>
      </c>
      <c r="I69" s="125"/>
      <c r="J69" s="85"/>
      <c r="K69" s="236">
        <f t="shared" si="4"/>
        <v>2.3475412322274885</v>
      </c>
      <c r="L69" s="125"/>
      <c r="M69" s="85"/>
    </row>
    <row r="70" spans="1:13">
      <c r="A70" s="59" t="s">
        <v>816</v>
      </c>
      <c r="B70" s="240">
        <f>B$63*(1+(GREET1_Import_Export!$B180*GREET1_Import_Export!$F$179+GREET1_Import_Export!$F180)/1000000)+B$64*(1+(GREET1_Import_Export!$B180*GREET1_Import_Export!$G$179+GREET1_Import_Export!$G180)/1000000)+B$65*(1+(GREET1_Import_Export!$B180*GREET1_Import_Export!$C$179+GREET1_Import_Export!$C180)/1000000)+B$66*(1+(GREET1_Import_Export!$E216*GREET1_Import_Export!$F$215+GREET1_Import_Export!$F216)/1000000)+B$67*(1+GREET1_Import_Export!$B216/1000000)+B$68*(1+GREET1_Import_Export!$B284/1000000)+B$69*SUM(GREET1_Import_Export!$B309:$C309)/1000000</f>
        <v>8.7717919138862062</v>
      </c>
      <c r="C70" s="1"/>
      <c r="D70" s="228"/>
      <c r="E70" s="240">
        <f>E$63*(1+(GREET1_Import_Export!$B180*GREET1_Import_Export!$F$179+GREET1_Import_Export!$F180)/1000000)+E$64*(1+(GREET1_Import_Export!$B180*GREET1_Import_Export!$G$179+GREET1_Import_Export!$G180)/1000000)+E$65*(1+(GREET1_Import_Export!$B180*GREET1_Import_Export!$C$179+GREET1_Import_Export!$C180)/1000000)+E$66*(1+(GREET1_Import_Export!$E216*GREET1_Import_Export!$F$215+GREET1_Import_Export!$F216)/1000000)+E$67*(1+GREET1_Import_Export!$B216/1000000)+E$68*(1+GREET1_Import_Export!$B284/1000000)+E$69*SUM(GREET1_Import_Export!$B309:$C309)/1000000</f>
        <v>3.2020557367443772</v>
      </c>
      <c r="F70" s="1"/>
      <c r="G70" s="1"/>
      <c r="H70" s="240">
        <f>H$63*(1+(GREET1_Import_Export!$B180*GREET1_Import_Export!$F$179+GREET1_Import_Export!$F180)/1000000)+H$64*(1+(GREET1_Import_Export!$B180*GREET1_Import_Export!$G$179+GREET1_Import_Export!$G180)/1000000)+H$65*(1+(GREET1_Import_Export!$B180*GREET1_Import_Export!$C$179+GREET1_Import_Export!$C180)/1000000)+H$66*(1+(GREET1_Import_Export!$E216*GREET1_Import_Export!$F$215+GREET1_Import_Export!$F216)/1000000)+H$67*(1+GREET1_Import_Export!$B216/1000000)+H$68*(1+GREET1_Import_Export!$B284/1000000)+H$69*SUM(GREET1_Import_Export!$B309:$C309)/1000000</f>
        <v>3.256150512868405</v>
      </c>
      <c r="I70" s="1"/>
      <c r="J70" s="51"/>
      <c r="K70" s="240">
        <f>K$63*(1+(GREET1_Import_Export!$B180*GREET1_Import_Export!$F$179+GREET1_Import_Export!$F180)/1000000)+K$64*(1+(GREET1_Import_Export!$B180*GREET1_Import_Export!$G$179+GREET1_Import_Export!$G180)/1000000)+K$65*(1+(GREET1_Import_Export!$B180*GREET1_Import_Export!$C$179+GREET1_Import_Export!$C180)/1000000)+K$66*(1+(GREET1_Import_Export!$E216*GREET1_Import_Export!$F$215+GREET1_Import_Export!$F216)/1000000)+K$67*(1+GREET1_Import_Export!$B216/1000000)+K$68*(1+GREET1_Import_Export!$B284/1000000)+K$69*SUM(GREET1_Import_Export!$B309:$C309)/1000000</f>
        <v>5.3711180911819412</v>
      </c>
      <c r="L70" s="1"/>
      <c r="M70" s="51"/>
    </row>
    <row r="71" spans="1:13">
      <c r="A71" s="59" t="s">
        <v>817</v>
      </c>
      <c r="B71" s="234">
        <f>B$63*(1+(GREET1_Import_Export!$B181*GREET1_Import_Export!$F$179+GREET1_Import_Export!$F181)/1000000)+B$64*(1+(GREET1_Import_Export!$B181*GREET1_Import_Export!$G$179+GREET1_Import_Export!$G181)/1000000)+B$65*(1+(GREET1_Import_Export!$B181*GREET1_Import_Export!$C$179+GREET1_Import_Export!$C181)/1000000)+B$66*(1+(GREET1_Import_Export!$E217*GREET1_Import_Export!$F$215+GREET1_Import_Export!$F217)/1000000)+B$67*(1+GREET1_Import_Export!$B217/1000000)+B$68*(1+GREET1_Import_Export!$B285/1000000)+B$69*SUM(GREET1_Import_Export!$B310:$C310)/1000000</f>
        <v>7.0713553658574417</v>
      </c>
      <c r="C71" s="1"/>
      <c r="D71" s="228"/>
      <c r="E71" s="234">
        <f>E$63*(1+(GREET1_Import_Export!$B181*GREET1_Import_Export!$F$179+GREET1_Import_Export!$F181)/1000000)+E$64*(1+(GREET1_Import_Export!$B181*GREET1_Import_Export!$G$179+GREET1_Import_Export!$G181)/1000000)+E$65*(1+(GREET1_Import_Export!$B181*GREET1_Import_Export!$C$179+GREET1_Import_Export!$C181)/1000000)+E$66*(1+(GREET1_Import_Export!$E217*GREET1_Import_Export!$F$215+GREET1_Import_Export!$F217)/1000000)+E$67*(1+GREET1_Import_Export!$B217/1000000)+E$68*(1+GREET1_Import_Export!$B285/1000000)+E$69*SUM(GREET1_Import_Export!$B310:$C310)/1000000</f>
        <v>3.1521741215905443</v>
      </c>
      <c r="F71" s="1"/>
      <c r="G71" s="1"/>
      <c r="H71" s="234">
        <f>H$63*(1+(GREET1_Import_Export!$B181*GREET1_Import_Export!$F$179+GREET1_Import_Export!$F181)/1000000)+H$64*(1+(GREET1_Import_Export!$B181*GREET1_Import_Export!$G$179+GREET1_Import_Export!$G181)/1000000)+H$65*(1+(GREET1_Import_Export!$B181*GREET1_Import_Export!$C$179+GREET1_Import_Export!$C181)/1000000)+H$66*(1+(GREET1_Import_Export!$E217*GREET1_Import_Export!$F$215+GREET1_Import_Export!$F217)/1000000)+H$67*(1+GREET1_Import_Export!$B217/1000000)+H$68*(1+GREET1_Import_Export!$B285/1000000)+H$69*SUM(GREET1_Import_Export!$B310:$C310)/1000000</f>
        <v>2.8946070309938809</v>
      </c>
      <c r="I71" s="1"/>
      <c r="J71" s="51"/>
      <c r="K71" s="234">
        <f>K$63*(1+(GREET1_Import_Export!$B181*GREET1_Import_Export!$F$179+GREET1_Import_Export!$F181)/1000000)+K$64*(1+(GREET1_Import_Export!$B181*GREET1_Import_Export!$G$179+GREET1_Import_Export!$G181)/1000000)+K$65*(1+(GREET1_Import_Export!$B181*GREET1_Import_Export!$C$179+GREET1_Import_Export!$C181)/1000000)+K$66*(1+(GREET1_Import_Export!$E217*GREET1_Import_Export!$F$215+GREET1_Import_Export!$F217)/1000000)+K$67*(1+GREET1_Import_Export!$B217/1000000)+K$68*(1+GREET1_Import_Export!$B285/1000000)+K$69*SUM(GREET1_Import_Export!$B310:$C310)/1000000</f>
        <v>4.3779728258893726</v>
      </c>
      <c r="L71" s="1"/>
      <c r="M71" s="51"/>
    </row>
    <row r="72" spans="1:13">
      <c r="A72" s="59" t="s">
        <v>805</v>
      </c>
      <c r="B72" s="234">
        <f>B$63*((GREET1_Import_Export!$B182*GREET1_Import_Export!$F$179+GREET1_Import_Export!$F182)/1000000)+B$64*((GREET1_Import_Export!$B182*GREET1_Import_Export!$G$179+GREET1_Import_Export!$G182)/1000000)+B$65*((GREET1_Import_Export!$B182*GREET1_Import_Export!$C$179+GREET1_Import_Export!$C182)/1000000)+B$66*((GREET1_Import_Export!$E218*GREET1_Import_Export!$F$215+GREET1_Import_Export!$F218)/1000000)+B$67*(GREET1_Import_Export!$B218/1000000)+B$68*(1+GREET1_Import_Export!$B286/1000000)+B$69*(SUM(GREET1_Import_Export!$B311:$C311)/1000000)</f>
        <v>2.2476932973338344</v>
      </c>
      <c r="C72" s="1"/>
      <c r="D72" s="228"/>
      <c r="E72" s="234">
        <f>E$63*((GREET1_Import_Export!$B182*GREET1_Import_Export!$F$179+GREET1_Import_Export!$F182)/1000000)+E$64*((GREET1_Import_Export!$B182*GREET1_Import_Export!$G$179+GREET1_Import_Export!$G182)/1000000)+E$65*((GREET1_Import_Export!$B182*GREET1_Import_Export!$C$179+GREET1_Import_Export!$C182)/1000000)+E$66*((GREET1_Import_Export!$E218*GREET1_Import_Export!$F$215+GREET1_Import_Export!$F218)/1000000)+E$67*(GREET1_Import_Export!$B218/1000000)+E$68*(1+GREET1_Import_Export!$B286/1000000)+E$69*(SUM(GREET1_Import_Export!$B311:$C311)/1000000)</f>
        <v>6.5783460551416484E-2</v>
      </c>
      <c r="F72" s="1"/>
      <c r="G72" s="1"/>
      <c r="H72" s="234">
        <f>H$63*((GREET1_Import_Export!$B182*GREET1_Import_Export!$F$179+GREET1_Import_Export!$F182)/1000000)+H$64*((GREET1_Import_Export!$B182*GREET1_Import_Export!$G$179+GREET1_Import_Export!$G182)/1000000)+H$65*((GREET1_Import_Export!$B182*GREET1_Import_Export!$C$179+GREET1_Import_Export!$C182)/1000000)+H$66*((GREET1_Import_Export!$E218*GREET1_Import_Export!$F$215+GREET1_Import_Export!$F218)/1000000)+H$67*(GREET1_Import_Export!$B218/1000000)+H$68*(1+GREET1_Import_Export!$B286/1000000)+H$69*(SUM(GREET1_Import_Export!$B311:$C311)/1000000)</f>
        <v>0.47777810351433042</v>
      </c>
      <c r="I72" s="1"/>
      <c r="J72" s="51"/>
      <c r="K72" s="234">
        <f>K$63*((GREET1_Import_Export!$B182*GREET1_Import_Export!$F$179+GREET1_Import_Export!$F182)/1000000)+K$64*((GREET1_Import_Export!$B182*GREET1_Import_Export!$G$179+GREET1_Import_Export!$G182)/1000000)+K$65*((GREET1_Import_Export!$B182*GREET1_Import_Export!$C$179+GREET1_Import_Export!$C182)/1000000)+K$66*((GREET1_Import_Export!$E218*GREET1_Import_Export!$F$215+GREET1_Import_Export!$F218)/1000000)+K$67*(GREET1_Import_Export!$B218/1000000)+K$68*(1+GREET1_Import_Export!$B286/1000000)+K$69*(SUM(GREET1_Import_Export!$B311:$C311)/1000000)</f>
        <v>1.3127083106468451</v>
      </c>
      <c r="L72" s="1"/>
      <c r="M72" s="51"/>
    </row>
    <row r="73" spans="1:13">
      <c r="A73" s="59" t="s">
        <v>804</v>
      </c>
      <c r="B73" s="273">
        <f>B71-B72-B74</f>
        <v>4.213551098243876</v>
      </c>
      <c r="C73" s="1"/>
      <c r="D73" s="228"/>
      <c r="E73" s="273">
        <f>E71-E72-E74</f>
        <v>2.5359765819455542</v>
      </c>
      <c r="F73" s="1"/>
      <c r="G73" s="1"/>
      <c r="H73" s="273">
        <f>H71-H72-H74</f>
        <v>1.8587530951006661</v>
      </c>
      <c r="I73" s="1"/>
      <c r="J73" s="51"/>
      <c r="K73" s="273">
        <f>K71-K72-K74</f>
        <v>2.4844042232948849</v>
      </c>
      <c r="L73" s="1"/>
      <c r="M73" s="51"/>
    </row>
    <row r="74" spans="1:13">
      <c r="A74" s="118" t="s">
        <v>818</v>
      </c>
      <c r="B74" s="249">
        <f>B$63*(1+(GREET1_Import_Export!$B184*GREET1_Import_Export!$F$179+GREET1_Import_Export!$F184)/1000000)+B$64*(1+(GREET1_Import_Export!$B184*GREET1_Import_Export!$G$179+GREET1_Import_Export!$G184)/1000000)+B$65*(1+(GREET1_Import_Export!$B184*GREET1_Import_Export!$C$179+GREET1_Import_Export!$C184)/1000000)+B$66*((GREET1_Import_Export!$E220*GREET1_Import_Export!$F$215+GREET1_Import_Export!$F220)/1000000)+B$67*(GREET1_Import_Export!$B220/1000000)+B$68*(GREET1_Import_Export!$B288/1000000)+B$69*SUM(GREET1_Import_Export!$B313:$C313)/1000000</f>
        <v>0.6101109702797306</v>
      </c>
      <c r="C74" s="125"/>
      <c r="D74" s="231"/>
      <c r="E74" s="249">
        <f>E$63*(1+(GREET1_Import_Export!$B184*GREET1_Import_Export!$F$179+GREET1_Import_Export!$F184)/1000000)+E$64*(1+(GREET1_Import_Export!$B184*GREET1_Import_Export!$G$179+GREET1_Import_Export!$G184)/1000000)+E$65*(1+(GREET1_Import_Export!$B184*GREET1_Import_Export!$C$179+GREET1_Import_Export!$C184)/1000000)+E$66*((GREET1_Import_Export!$E220*GREET1_Import_Export!$F$215+GREET1_Import_Export!$F220)/1000000)+E$67*(GREET1_Import_Export!$B220/1000000)+E$68*(GREET1_Import_Export!$B288/1000000)+E$69*SUM(GREET1_Import_Export!$B313:$C313)/1000000</f>
        <v>0.55041407909357398</v>
      </c>
      <c r="F74" s="125"/>
      <c r="G74" s="125"/>
      <c r="H74" s="249">
        <f>H$63*(1+(GREET1_Import_Export!$B184*GREET1_Import_Export!$F$179+GREET1_Import_Export!$F184)/1000000)+H$64*(1+(GREET1_Import_Export!$B184*GREET1_Import_Export!$G$179+GREET1_Import_Export!$G184)/1000000)+H$65*(1+(GREET1_Import_Export!$B184*GREET1_Import_Export!$C$179+GREET1_Import_Export!$C184)/1000000)+H$66*((GREET1_Import_Export!$E220*GREET1_Import_Export!$F$215+GREET1_Import_Export!$F220)/1000000)+H$67*(GREET1_Import_Export!$B220/1000000)+H$68*(GREET1_Import_Export!$B288/1000000)+H$69*SUM(GREET1_Import_Export!$B313:$C313)/1000000</f>
        <v>0.5580758323788847</v>
      </c>
      <c r="I74" s="125"/>
      <c r="J74" s="85"/>
      <c r="K74" s="249">
        <f>K$63*(1+(GREET1_Import_Export!$B184*GREET1_Import_Export!$F$179+GREET1_Import_Export!$F184)/1000000)+K$64*(1+(GREET1_Import_Export!$B184*GREET1_Import_Export!$G$179+GREET1_Import_Export!$G184)/1000000)+K$65*(1+(GREET1_Import_Export!$B184*GREET1_Import_Export!$C$179+GREET1_Import_Export!$C184)/1000000)+K$66*((GREET1_Import_Export!$E220*GREET1_Import_Export!$F$215+GREET1_Import_Export!$F220)/1000000)+K$67*(GREET1_Import_Export!$B220/1000000)+K$68*(GREET1_Import_Export!$B288/1000000)+K$69*SUM(GREET1_Import_Export!$B313:$C313)/1000000</f>
        <v>0.58086029194764277</v>
      </c>
      <c r="L74" s="125"/>
      <c r="M74" s="85"/>
    </row>
    <row r="75" spans="1:13">
      <c r="A75" s="1308" t="s">
        <v>819</v>
      </c>
      <c r="B75" s="1309">
        <f>B$63*((GREET1_Import_Export!$B185*GREET1_Import_Export!$F$179+GREET1_Import_Export!$F185))+B$64*((GREET1_Import_Export!$B185*GREET1_Import_Export!$G$179+GREET1_Import_Export!$G185))+B$65*((GREET1_Import_Export!$B185*GREET1_Import_Export!$C$179+GREET1_Import_Export!$C185))+B$66*((GREET1_Import_Export!$E221*GREET1_Import_Export!$F$215+GREET1_Import_Export!$F221))+B$67*(GREET1_Import_Export!$B221)+B$68*(GREET1_Import_Export!$B289)+B$69*SUM(GREET1_Import_Export!$B314:$C314)</f>
        <v>448.64074041799279</v>
      </c>
      <c r="C75" s="1310"/>
      <c r="D75" s="1310"/>
      <c r="E75" s="1309">
        <f>E$63*((GREET1_Import_Export!$B185*GREET1_Import_Export!$F$179+GREET1_Import_Export!$F185))+E$64*((GREET1_Import_Export!$B185*GREET1_Import_Export!$G$179+GREET1_Import_Export!$G185))+E$65*((GREET1_Import_Export!$B185*GREET1_Import_Export!$C$179+GREET1_Import_Export!$C185))+E$66*((GREET1_Import_Export!$E221*GREET1_Import_Export!$F$215+GREET1_Import_Export!$F221))+E$67*(GREET1_Import_Export!$B221)+E$68*(GREET1_Import_Export!$B289)+E$69*SUM(GREET1_Import_Export!$B314:$C314)</f>
        <v>29.560049577487725</v>
      </c>
      <c r="F75" s="1311">
        <v>907.2</v>
      </c>
      <c r="G75" s="1312"/>
      <c r="H75" s="1309">
        <f>H$63*((GREET1_Import_Export!$B185*GREET1_Import_Export!$F$179+GREET1_Import_Export!$F185))+H$64*((GREET1_Import_Export!$B185*GREET1_Import_Export!$G$179+GREET1_Import_Export!$G185))+H$65*((GREET1_Import_Export!$B185*GREET1_Import_Export!$C$179+GREET1_Import_Export!$C185))+H$66*((GREET1_Import_Export!$E221*GREET1_Import_Export!$F$215+GREET1_Import_Export!$F221))+H$67*(GREET1_Import_Export!$B221)+H$68*(GREET1_Import_Export!$B289)+H$69*SUM(GREET1_Import_Export!$B314:$C314)</f>
        <v>106.07285562589348</v>
      </c>
      <c r="I75" s="1312"/>
      <c r="J75" s="1178"/>
      <c r="K75" s="1309">
        <f>K$63*((GREET1_Import_Export!$B185*GREET1_Import_Export!$F$179+GREET1_Import_Export!$F185))+K$64*((GREET1_Import_Export!$B185*GREET1_Import_Export!$G$179+GREET1_Import_Export!$G185))+K$65*((GREET1_Import_Export!$B185*GREET1_Import_Export!$C$179+GREET1_Import_Export!$C185))+K$66*((GREET1_Import_Export!$E221*GREET1_Import_Export!$F$215+GREET1_Import_Export!$F221))+K$67*(GREET1_Import_Export!$B221)+K$68*(GREET1_Import_Export!$B289)+K$69*SUM(GREET1_Import_Export!$B314:$C314)</f>
        <v>266.39546037926232</v>
      </c>
      <c r="L75" s="1311">
        <v>907.2</v>
      </c>
      <c r="M75" s="1178"/>
    </row>
    <row r="76" spans="1:13">
      <c r="A76" s="487" t="s">
        <v>1832</v>
      </c>
      <c r="B76" s="234"/>
      <c r="C76" s="1"/>
      <c r="D76" s="1"/>
      <c r="E76" s="173"/>
      <c r="F76" s="1"/>
      <c r="G76" s="1"/>
      <c r="H76" s="173"/>
      <c r="I76" s="1"/>
      <c r="J76" s="51"/>
      <c r="K76" s="1"/>
      <c r="L76" s="1"/>
      <c r="M76" s="51"/>
    </row>
    <row r="77" spans="1:13">
      <c r="A77" s="59" t="s">
        <v>821</v>
      </c>
      <c r="B77" s="234">
        <f>B$63*(B$42*GREET1_Import_Export!$K72+GREET1_Import_Export!$F$179*GREET1_Import_Export!$B186+GREET1_Import_Export!$F186)+B$64*(B$46*GREET1_Import_Export!$R72+B$47*GREET1_Import_Export!$Q72+GREET1_Import_Export!$G$179*GREET1_Import_Export!$B186+GREET1_Import_Export!$G186)+B$67*(B$43*GREET1_Import_Export!$B72+B$44*GREET1_Import_Export!$C72+GREET1_Import_Export!$B222)+B$68*(B$45*GREET1_Import_Export!$AA72+GREET1_Import_Export!$B290)+B$69*SUM(GREET1_Import_Export!$B315:$C315)</f>
        <v>80.975602010195132</v>
      </c>
      <c r="C77" s="1"/>
      <c r="D77" s="228"/>
      <c r="E77" s="234">
        <f>E$63*(C$42*GREET1_Import_Export!$K72+GREET1_Import_Export!$F$179*GREET1_Import_Export!$B186+GREET1_Import_Export!$F186)+E$64*(C$46*GREET1_Import_Export!$R72+C$47*GREET1_Import_Export!$Q72+GREET1_Import_Export!$G$179*GREET1_Import_Export!$B186+GREET1_Import_Export!$G186)+E$67*(C$43*GREET1_Import_Export!$B72+C$44*GREET1_Import_Export!$C72+GREET1_Import_Export!$B222)+E$68*(C$45*GREET1_Import_Export!$AA72+GREET1_Import_Export!$B290)+E$69*SUM(GREET1_Import_Export!$B315:$C315)</f>
        <v>54.274791108134423</v>
      </c>
      <c r="F77" s="1"/>
      <c r="G77" s="1"/>
      <c r="H77" s="234">
        <f>H$63*(D$42*GREET1_Import_Export!$K72+GREET1_Import_Export!$F$179*GREET1_Import_Export!$B186+GREET1_Import_Export!$F186)+H$64*(D$46*GREET1_Import_Export!$R72+D$47*GREET1_Import_Export!$Q72+GREET1_Import_Export!$G$179*GREET1_Import_Export!$B186+GREET1_Import_Export!$G186)+H$67*(D$43*GREET1_Import_Export!$B72+D$44*GREET1_Import_Export!$C72+GREET1_Import_Export!$B222)+H$68*(D$45*GREET1_Import_Export!$AA72+GREET1_Import_Export!$B290)+H$69*SUM(GREET1_Import_Export!$B315:$C315)</f>
        <v>47.713019241053416</v>
      </c>
      <c r="I77" s="1"/>
      <c r="J77" s="51"/>
      <c r="K77" s="234">
        <f>K$63*(E$42*GREET1_Import_Export!$K72+GREET1_Import_Export!$F$179*GREET1_Import_Export!$B186+GREET1_Import_Export!$F186)+K$64*(E$46*GREET1_Import_Export!$R72+E$47*GREET1_Import_Export!$Q72+GREET1_Import_Export!$G$179*GREET1_Import_Export!$B186+GREET1_Import_Export!$G186)+K$67*(E$43*GREET1_Import_Export!$B72+E$44*GREET1_Import_Export!$C72+GREET1_Import_Export!$B222)+K$68*(E$45*GREET1_Import_Export!$AA72+GREET1_Import_Export!$B290)+K$69*SUM(GREET1_Import_Export!$B315:$C315)</f>
        <v>57.740194641606813</v>
      </c>
      <c r="L77" s="1"/>
      <c r="M77" s="51"/>
    </row>
    <row r="78" spans="1:13">
      <c r="A78" s="59" t="s">
        <v>822</v>
      </c>
      <c r="B78" s="234">
        <f>B$63*(B$42*GREET1_Import_Export!$K73+GREET1_Import_Export!$F$179*GREET1_Import_Export!$B187+GREET1_Import_Export!$F187)+B$64*(B$46*GREET1_Import_Export!$R73+B$47*GREET1_Import_Export!$Q73+GREET1_Import_Export!$G$179*GREET1_Import_Export!$B187+GREET1_Import_Export!$G187)+B$67*(B$43*GREET1_Import_Export!$B73+B$44*GREET1_Import_Export!$C73+GREET1_Import_Export!$B223)+B$68*(B$45*GREET1_Import_Export!$AA73+GREET1_Import_Export!$B291)+B$69*SUM(GREET1_Import_Export!$B316:$C316)</f>
        <v>259.95687252814139</v>
      </c>
      <c r="C78" s="1"/>
      <c r="D78" s="228"/>
      <c r="E78" s="234">
        <f>E$63*(C$42*GREET1_Import_Export!$K73+GREET1_Import_Export!$F$179*GREET1_Import_Export!$B187+GREET1_Import_Export!$F187)+E$64*(C$46*GREET1_Import_Export!$R73+C$47*GREET1_Import_Export!$Q73+GREET1_Import_Export!$G$179*GREET1_Import_Export!$B187+GREET1_Import_Export!$G187)+E$67*(C$43*GREET1_Import_Export!$B73+C$44*GREET1_Import_Export!$C73+GREET1_Import_Export!$B223)+E$68*(C$45*GREET1_Import_Export!$AA73+GREET1_Import_Export!$B291)+E$69*SUM(GREET1_Import_Export!$B316:$C316)</f>
        <v>228.16818198098119</v>
      </c>
      <c r="F78" s="1"/>
      <c r="G78" s="1"/>
      <c r="H78" s="234">
        <f>H$63*(D$42*GREET1_Import_Export!$K73+GREET1_Import_Export!$F$179*GREET1_Import_Export!$B187+GREET1_Import_Export!$F187)+H$64*(D$46*GREET1_Import_Export!$R73+D$47*GREET1_Import_Export!$Q73+GREET1_Import_Export!$G$179*GREET1_Import_Export!$B187+GREET1_Import_Export!$G187)+H$67*(D$43*GREET1_Import_Export!$B73+D$44*GREET1_Import_Export!$C73+GREET1_Import_Export!$B223)+H$68*(D$45*GREET1_Import_Export!$AA73+GREET1_Import_Export!$B291)+H$69*SUM(GREET1_Import_Export!$B316:$C316)</f>
        <v>185.78058663809304</v>
      </c>
      <c r="I78" s="1"/>
      <c r="J78" s="51"/>
      <c r="K78" s="234">
        <f>K$63*(E$42*GREET1_Import_Export!$K73+GREET1_Import_Export!$F$179*GREET1_Import_Export!$B187+GREET1_Import_Export!$F187)+K$64*(E$46*GREET1_Import_Export!$R73+E$47*GREET1_Import_Export!$Q73+GREET1_Import_Export!$G$179*GREET1_Import_Export!$B187+GREET1_Import_Export!$G187)+K$67*(E$43*GREET1_Import_Export!$B73+E$44*GREET1_Import_Export!$C73+GREET1_Import_Export!$B223)+K$68*(E$45*GREET1_Import_Export!$AA73+GREET1_Import_Export!$B291)+K$69*SUM(GREET1_Import_Export!$B316:$C316)</f>
        <v>197.15181476982758</v>
      </c>
      <c r="L78" s="1"/>
      <c r="M78" s="51"/>
    </row>
    <row r="79" spans="1:13">
      <c r="A79" s="59" t="s">
        <v>823</v>
      </c>
      <c r="B79" s="234">
        <f>B$63*(B$42*GREET1_Import_Export!$K74+GREET1_Import_Export!$F$179*GREET1_Import_Export!$B188+GREET1_Import_Export!$F188)+B$64*(B$46*GREET1_Import_Export!$R74+B$47*GREET1_Import_Export!$Q74+GREET1_Import_Export!$G$179*GREET1_Import_Export!$B188+GREET1_Import_Export!$G188)+B$67*(B$43*GREET1_Import_Export!$B74+B$44*GREET1_Import_Export!$C74+GREET1_Import_Export!$B224)+B$68*(B$45*GREET1_Import_Export!$AA74+GREET1_Import_Export!$B292)+B$69*SUM(GREET1_Import_Export!$B317:$C317)</f>
        <v>543.72894919800785</v>
      </c>
      <c r="C79" s="1"/>
      <c r="D79" s="228"/>
      <c r="E79" s="234">
        <f>E$63*(C$42*GREET1_Import_Export!$K74+GREET1_Import_Export!$F$179*GREET1_Import_Export!$B188+GREET1_Import_Export!$F188)+E$64*(C$46*GREET1_Import_Export!$R74+C$47*GREET1_Import_Export!$Q74+GREET1_Import_Export!$G$179*GREET1_Import_Export!$B188+GREET1_Import_Export!$G188)+E$67*(C$43*GREET1_Import_Export!$B74+C$44*GREET1_Import_Export!$C74+GREET1_Import_Export!$B224)+E$68*(C$45*GREET1_Import_Export!$AA74+GREET1_Import_Export!$B292)+E$69*SUM(GREET1_Import_Export!$B317:$C317)</f>
        <v>397.72836066186557</v>
      </c>
      <c r="F79" s="1"/>
      <c r="G79" s="1"/>
      <c r="H79" s="234">
        <f>H$63*(D$42*GREET1_Import_Export!$K74+GREET1_Import_Export!$F$179*GREET1_Import_Export!$B188+GREET1_Import_Export!$F188)+H$64*(D$46*GREET1_Import_Export!$R74+D$47*GREET1_Import_Export!$Q74+GREET1_Import_Export!$G$179*GREET1_Import_Export!$B188+GREET1_Import_Export!$G188)+H$67*(D$43*GREET1_Import_Export!$B74+D$44*GREET1_Import_Export!$C74+GREET1_Import_Export!$B224)+H$68*(D$45*GREET1_Import_Export!$AA74+GREET1_Import_Export!$B292)+H$69*SUM(GREET1_Import_Export!$B317:$C317)</f>
        <v>359.55540333519428</v>
      </c>
      <c r="I79" s="1"/>
      <c r="J79" s="51"/>
      <c r="K79" s="234">
        <f>K$63*(E$42*GREET1_Import_Export!$K74+GREET1_Import_Export!$F$179*GREET1_Import_Export!$B188+GREET1_Import_Export!$F188)+K$64*(E$46*GREET1_Import_Export!$R74+E$47*GREET1_Import_Export!$Q74+GREET1_Import_Export!$G$179*GREET1_Import_Export!$B188+GREET1_Import_Export!$G188)+K$67*(E$43*GREET1_Import_Export!$B74+E$44*GREET1_Import_Export!$C74+GREET1_Import_Export!$B224)+K$68*(E$45*GREET1_Import_Export!$AA74+GREET1_Import_Export!$B292)+K$69*SUM(GREET1_Import_Export!$B317:$C317)</f>
        <v>414.3466269429274</v>
      </c>
      <c r="L79" s="1"/>
      <c r="M79" s="51"/>
    </row>
    <row r="80" spans="1:13">
      <c r="A80" s="59" t="s">
        <v>824</v>
      </c>
      <c r="B80" s="234">
        <f>B$63*(B$42*GREET1_Import_Export!$K75+GREET1_Import_Export!$F$179*GREET1_Import_Export!$B189+GREET1_Import_Export!$F189)+B$64*(B$46*GREET1_Import_Export!$R75+B$47*GREET1_Import_Export!$Q75+GREET1_Import_Export!$G$179*GREET1_Import_Export!$B189+GREET1_Import_Export!$G189)+B$67*(B$43*GREET1_Import_Export!$B75+B$44*GREET1_Import_Export!$C75+GREET1_Import_Export!$B225)+B$68*(B$45*GREET1_Import_Export!$AA75+GREET1_Import_Export!$B293)+B$69*SUM(GREET1_Import_Export!$B318:$C318)</f>
        <v>65.764220648321427</v>
      </c>
      <c r="C80" s="122"/>
      <c r="D80" s="228"/>
      <c r="E80" s="234">
        <f>E$63*(C$42*GREET1_Import_Export!$K75+GREET1_Import_Export!$F$179*GREET1_Import_Export!$B189+GREET1_Import_Export!$F189)+E$64*(C$46*GREET1_Import_Export!$R75+C$47*GREET1_Import_Export!$Q75+GREET1_Import_Export!$G$179*GREET1_Import_Export!$B189+GREET1_Import_Export!$G189)+E$67*(C$43*GREET1_Import_Export!$B75+C$44*GREET1_Import_Export!$C75+GREET1_Import_Export!$B225)+E$68*(C$45*GREET1_Import_Export!$AA75+GREET1_Import_Export!$B293)+E$69*SUM(GREET1_Import_Export!$B318:$C318)</f>
        <v>25.827578393978552</v>
      </c>
      <c r="F80" s="1"/>
      <c r="G80" s="1"/>
      <c r="H80" s="234">
        <f>H$63*(D$42*GREET1_Import_Export!$K75+GREET1_Import_Export!$F$179*GREET1_Import_Export!$B189+GREET1_Import_Export!$F189)+H$64*(D$46*GREET1_Import_Export!$R75+D$47*GREET1_Import_Export!$Q75+GREET1_Import_Export!$G$179*GREET1_Import_Export!$B189+GREET1_Import_Export!$G189)+H$67*(D$43*GREET1_Import_Export!$B75+D$44*GREET1_Import_Export!$C75+GREET1_Import_Export!$B225)+H$68*(D$45*GREET1_Import_Export!$AA75+GREET1_Import_Export!$B293)+H$69*SUM(GREET1_Import_Export!$B318:$C318)</f>
        <v>29.829022202873205</v>
      </c>
      <c r="I80" s="1"/>
      <c r="J80" s="51"/>
      <c r="K80" s="234">
        <f>K$63*(E$42*GREET1_Import_Export!$K75+GREET1_Import_Export!$F$179*GREET1_Import_Export!$B189+GREET1_Import_Export!$F189)+K$64*(E$46*GREET1_Import_Export!$R75+E$47*GREET1_Import_Export!$Q75+GREET1_Import_Export!$G$179*GREET1_Import_Export!$B189+GREET1_Import_Export!$G189)+K$67*(E$43*GREET1_Import_Export!$B75+E$44*GREET1_Import_Export!$C75+GREET1_Import_Export!$B225)+K$68*(E$45*GREET1_Import_Export!$AA75+GREET1_Import_Export!$B293)+K$69*SUM(GREET1_Import_Export!$B318:$C318)</f>
        <v>45.053181181864801</v>
      </c>
      <c r="L80" s="1"/>
      <c r="M80" s="51"/>
    </row>
    <row r="81" spans="1:13">
      <c r="A81" s="59" t="s">
        <v>825</v>
      </c>
      <c r="B81" s="234">
        <f>B$63*(B$42*GREET1_Import_Export!$K76+GREET1_Import_Export!$F$179*GREET1_Import_Export!$B190+GREET1_Import_Export!$F190)+B$64*(B$46*GREET1_Import_Export!$R76+B$47*GREET1_Import_Export!$Q76+GREET1_Import_Export!$G$179*GREET1_Import_Export!$B190+GREET1_Import_Export!$G190)+B$67*(B$43*GREET1_Import_Export!$B76+B$44*GREET1_Import_Export!$C76+GREET1_Import_Export!$B226)+B$68*(B$45*GREET1_Import_Export!$AA76+GREET1_Import_Export!$B294)+B$69*SUM(GREET1_Import_Export!$B319:$C319)</f>
        <v>45.33537170111336</v>
      </c>
      <c r="C81" s="1"/>
      <c r="D81" s="228"/>
      <c r="E81" s="234">
        <f>E$63*(C$42*GREET1_Import_Export!$K76+GREET1_Import_Export!$F$179*GREET1_Import_Export!$B190+GREET1_Import_Export!$F190)+E$64*(C$46*GREET1_Import_Export!$R76+C$47*GREET1_Import_Export!$Q76+GREET1_Import_Export!$G$179*GREET1_Import_Export!$B190+GREET1_Import_Export!$G190)+E$67*(C$43*GREET1_Import_Export!$B76+C$44*GREET1_Import_Export!$C76+GREET1_Import_Export!$B226)+E$68*(C$45*GREET1_Import_Export!$AA76+GREET1_Import_Export!$B294)+E$69*SUM(GREET1_Import_Export!$B319:$C319)</f>
        <v>24.648343974127947</v>
      </c>
      <c r="F81" s="1"/>
      <c r="G81" s="1"/>
      <c r="H81" s="234">
        <f>H$63*(D$42*GREET1_Import_Export!$K76+GREET1_Import_Export!$F$179*GREET1_Import_Export!$B190+GREET1_Import_Export!$F190)+H$64*(D$46*GREET1_Import_Export!$R76+D$47*GREET1_Import_Export!$Q76+GREET1_Import_Export!$G$179*GREET1_Import_Export!$B190+GREET1_Import_Export!$G190)+H$67*(D$43*GREET1_Import_Export!$B76+D$44*GREET1_Import_Export!$C76+GREET1_Import_Export!$B226)+H$68*(D$45*GREET1_Import_Export!$AA76+GREET1_Import_Export!$B294)+H$69*SUM(GREET1_Import_Export!$B319:$C319)</f>
        <v>25.044585074134737</v>
      </c>
      <c r="I81" s="1"/>
      <c r="J81" s="51"/>
      <c r="K81" s="234">
        <f>K$63*(E$42*GREET1_Import_Export!$K76+GREET1_Import_Export!$F$179*GREET1_Import_Export!$B190+GREET1_Import_Export!$F190)+K$64*(E$46*GREET1_Import_Export!$R76+E$47*GREET1_Import_Export!$Q76+GREET1_Import_Export!$G$179*GREET1_Import_Export!$B190+GREET1_Import_Export!$G190)+K$67*(E$43*GREET1_Import_Export!$B76+E$44*GREET1_Import_Export!$C76+GREET1_Import_Export!$B226)+K$68*(E$45*GREET1_Import_Export!$AA76+GREET1_Import_Export!$B294)+K$69*SUM(GREET1_Import_Export!$B319:$C319)</f>
        <v>32.903165908155955</v>
      </c>
      <c r="L81" s="1"/>
      <c r="M81" s="51"/>
    </row>
    <row r="82" spans="1:13">
      <c r="A82" s="59" t="s">
        <v>826</v>
      </c>
      <c r="B82" s="234">
        <f>B$63*(B$42*GREET1_Import_Export!$K77+GREET1_Import_Export!$F$179*GREET1_Import_Export!$B191+GREET1_Import_Export!$F191)+B$64*(B$46*GREET1_Import_Export!$R77+B$47*GREET1_Import_Export!$Q77+GREET1_Import_Export!$G$179*GREET1_Import_Export!$B191+GREET1_Import_Export!$G191)+B$67*(B$43*GREET1_Import_Export!$B77+B$44*GREET1_Import_Export!$C77+GREET1_Import_Export!$B227)+B$68*(B$45*GREET1_Import_Export!$AA77+GREET1_Import_Export!$B295)+B$69*SUM(GREET1_Import_Export!$B320:$C320)</f>
        <v>263.37690930570682</v>
      </c>
      <c r="C82" s="1"/>
      <c r="D82" s="228"/>
      <c r="E82" s="234">
        <f>E$63*(C$42*GREET1_Import_Export!$K77+GREET1_Import_Export!$F$179*GREET1_Import_Export!$B191+GREET1_Import_Export!$F191)+E$64*(C$46*GREET1_Import_Export!$R77+C$47*GREET1_Import_Export!$Q77+GREET1_Import_Export!$G$179*GREET1_Import_Export!$B191+GREET1_Import_Export!$G191)+E$67*(C$43*GREET1_Import_Export!$B77+C$44*GREET1_Import_Export!$C77+GREET1_Import_Export!$B227)+E$68*(C$45*GREET1_Import_Export!$AA77+GREET1_Import_Export!$B295)+E$69*SUM(GREET1_Import_Export!$B320:$C320)</f>
        <v>34.058866486452985</v>
      </c>
      <c r="F82" s="1"/>
      <c r="G82" s="1"/>
      <c r="H82" s="234">
        <f>H$63*(D$42*GREET1_Import_Export!$K77+GREET1_Import_Export!$F$179*GREET1_Import_Export!$B191+GREET1_Import_Export!$F191)+H$64*(D$46*GREET1_Import_Export!$R77+D$47*GREET1_Import_Export!$Q77+GREET1_Import_Export!$G$179*GREET1_Import_Export!$B191+GREET1_Import_Export!$G191)+H$67*(D$43*GREET1_Import_Export!$B77+D$44*GREET1_Import_Export!$C77+GREET1_Import_Export!$B227)+H$68*(D$45*GREET1_Import_Export!$AA77+GREET1_Import_Export!$B295)+H$69*SUM(GREET1_Import_Export!$B320:$C320)</f>
        <v>67.15887191263522</v>
      </c>
      <c r="I82" s="1"/>
      <c r="J82" s="51"/>
      <c r="K82" s="234">
        <f>K$63*(E$42*GREET1_Import_Export!$K77+GREET1_Import_Export!$F$179*GREET1_Import_Export!$B191+GREET1_Import_Export!$F191)+K$64*(E$46*GREET1_Import_Export!$R77+E$47*GREET1_Import_Export!$Q77+GREET1_Import_Export!$G$179*GREET1_Import_Export!$B191+GREET1_Import_Export!$G191)+K$67*(E$43*GREET1_Import_Export!$B77+E$44*GREET1_Import_Export!$C77+GREET1_Import_Export!$B227)+K$68*(E$45*GREET1_Import_Export!$AA77+GREET1_Import_Export!$B295)+K$69*SUM(GREET1_Import_Export!$B320:$C320)</f>
        <v>154.74260497437143</v>
      </c>
      <c r="L82" s="1"/>
      <c r="M82" s="51"/>
    </row>
    <row r="83" spans="1:13">
      <c r="A83" s="59" t="s">
        <v>827</v>
      </c>
      <c r="B83" s="234">
        <f>B$63*(B$42*GREET1_Import_Export!$K78+GREET1_Import_Export!$F$179*GREET1_Import_Export!$B192+GREET1_Import_Export!$F192)+B$64*(B$46*GREET1_Import_Export!$R78+B$47*GREET1_Import_Export!$Q78+GREET1_Import_Export!$G$179*GREET1_Import_Export!$B192+GREET1_Import_Export!$G192)+B$67*(B$43*GREET1_Import_Export!$B78+B$44*GREET1_Import_Export!$C78+GREET1_Import_Export!$B228)+B$68*(B$45*GREET1_Import_Export!$AA78+GREET1_Import_Export!$B296)+B$69*SUM(GREET1_Import_Export!$B321:$C321)</f>
        <v>10.313554667428965</v>
      </c>
      <c r="C83" s="1"/>
      <c r="D83" s="228"/>
      <c r="E83" s="234">
        <f>E$63*(C$42*GREET1_Import_Export!$K78+GREET1_Import_Export!$F$179*GREET1_Import_Export!$B192+GREET1_Import_Export!$F192)+E$64*(C$46*GREET1_Import_Export!$R78+C$47*GREET1_Import_Export!$Q78+GREET1_Import_Export!$G$179*GREET1_Import_Export!$B192+GREET1_Import_Export!$G192)+E$67*(C$43*GREET1_Import_Export!$B78+C$44*GREET1_Import_Export!$C78+GREET1_Import_Export!$B228)+E$68*(C$45*GREET1_Import_Export!$AA78+GREET1_Import_Export!$B296)+E$69*SUM(GREET1_Import_Export!$B321:$C321)</f>
        <v>9.9989590850167698</v>
      </c>
      <c r="F83" s="1"/>
      <c r="G83" s="1"/>
      <c r="H83" s="234">
        <f>H$63*(D$42*GREET1_Import_Export!$K78+GREET1_Import_Export!$F$179*GREET1_Import_Export!$B192+GREET1_Import_Export!$F192)+H$64*(D$46*GREET1_Import_Export!$R78+D$47*GREET1_Import_Export!$Q78+GREET1_Import_Export!$G$179*GREET1_Import_Export!$B192+GREET1_Import_Export!$G192)+H$67*(D$43*GREET1_Import_Export!$B78+D$44*GREET1_Import_Export!$C78+GREET1_Import_Export!$B228)+H$68*(D$45*GREET1_Import_Export!$AA78+GREET1_Import_Export!$B296)+H$69*SUM(GREET1_Import_Export!$B321:$C321)</f>
        <v>9.4446827038860839</v>
      </c>
      <c r="I83" s="1"/>
      <c r="J83" s="51"/>
      <c r="K83" s="234">
        <f>K$63*(E$42*GREET1_Import_Export!$K78+GREET1_Import_Export!$F$179*GREET1_Import_Export!$B192+GREET1_Import_Export!$F192)+K$64*(E$46*GREET1_Import_Export!$R78+E$47*GREET1_Import_Export!$Q78+GREET1_Import_Export!$G$179*GREET1_Import_Export!$B192+GREET1_Import_Export!$G192)+K$67*(E$43*GREET1_Import_Export!$B78+E$44*GREET1_Import_Export!$C78+GREET1_Import_Export!$B228)+K$68*(E$45*GREET1_Import_Export!$AA78+GREET1_Import_Export!$B296)+K$69*SUM(GREET1_Import_Export!$B321:$C321)</f>
        <v>9.5550086422259213</v>
      </c>
      <c r="L83" s="1"/>
      <c r="M83" s="51"/>
    </row>
    <row r="84" spans="1:13">
      <c r="A84" s="59" t="s">
        <v>828</v>
      </c>
      <c r="B84" s="234">
        <f>B$63*(B$42*GREET1_Import_Export!$K79+GREET1_Import_Export!$F$179*GREET1_Import_Export!$B193+GREET1_Import_Export!$F193)+B$64*(B$46*GREET1_Import_Export!$R79+B$47*GREET1_Import_Export!$Q79+GREET1_Import_Export!$G$179*GREET1_Import_Export!$B193+GREET1_Import_Export!$G193)+B$67*(B$43*GREET1_Import_Export!$B79+B$44*GREET1_Import_Export!$C79+GREET1_Import_Export!$B229)+B$68*(B$45*GREET1_Import_Export!$AA79+GREET1_Import_Export!$B297)+B$69*SUM(GREET1_Import_Export!$B322:$C322)</f>
        <v>14.030140121202386</v>
      </c>
      <c r="C84" s="1"/>
      <c r="D84" s="228"/>
      <c r="E84" s="234">
        <f>E$63*(C$42*GREET1_Import_Export!$K79+GREET1_Import_Export!$F$179*GREET1_Import_Export!$B193+GREET1_Import_Export!$F193)+E$64*(C$46*GREET1_Import_Export!$R79+C$47*GREET1_Import_Export!$Q79+GREET1_Import_Export!$G$179*GREET1_Import_Export!$B193+GREET1_Import_Export!$G193)+E$67*(C$43*GREET1_Import_Export!$B79+C$44*GREET1_Import_Export!$C79+GREET1_Import_Export!$B229)+E$68*(C$45*GREET1_Import_Export!$AA79+GREET1_Import_Export!$B297)+E$69*SUM(GREET1_Import_Export!$B322:$C322)</f>
        <v>9.1311965027732924</v>
      </c>
      <c r="F84" s="1"/>
      <c r="G84" s="1"/>
      <c r="H84" s="234">
        <f>H$63*(D$42*GREET1_Import_Export!$K79+GREET1_Import_Export!$F$179*GREET1_Import_Export!$B193+GREET1_Import_Export!$F193)+H$64*(D$46*GREET1_Import_Export!$R79+D$47*GREET1_Import_Export!$Q79+GREET1_Import_Export!$G$179*GREET1_Import_Export!$B193+GREET1_Import_Export!$G193)+H$67*(D$43*GREET1_Import_Export!$B79+D$44*GREET1_Import_Export!$C79+GREET1_Import_Export!$B229)+H$68*(D$45*GREET1_Import_Export!$AA79+GREET1_Import_Export!$B297)+H$69*SUM(GREET1_Import_Export!$B322:$C322)</f>
        <v>8.5693809673178194</v>
      </c>
      <c r="I84" s="1"/>
      <c r="J84" s="51"/>
      <c r="K84" s="234">
        <f>K$63*(E$42*GREET1_Import_Export!$K79+GREET1_Import_Export!$F$179*GREET1_Import_Export!$B193+GREET1_Import_Export!$F193)+K$64*(E$46*GREET1_Import_Export!$R79+E$47*GREET1_Import_Export!$Q79+GREET1_Import_Export!$G$179*GREET1_Import_Export!$B193+GREET1_Import_Export!$G193)+K$67*(E$43*GREET1_Import_Export!$B79+E$44*GREET1_Import_Export!$C79+GREET1_Import_Export!$B229)+K$68*(E$45*GREET1_Import_Export!$AA79+GREET1_Import_Export!$B297)+K$69*SUM(GREET1_Import_Export!$B322:$C322)</f>
        <v>10.419644814302176</v>
      </c>
      <c r="L84" s="1"/>
      <c r="M84" s="51"/>
    </row>
    <row r="85" spans="1:13">
      <c r="A85" s="59" t="s">
        <v>829</v>
      </c>
      <c r="B85" s="234">
        <f>B$63*(B$42*GREET1_Import_Export!$K80+GREET1_Import_Export!$F$179*GREET1_Import_Export!$B194+GREET1_Import_Export!$F194)+B$64*(B$46*GREET1_Import_Export!$R80+B$47*GREET1_Import_Export!$Q80+GREET1_Import_Export!$G$179*GREET1_Import_Export!$B194+GREET1_Import_Export!$G194)+B$67*(B$43*GREET1_Import_Export!$B80+B$44*GREET1_Import_Export!$C80+GREET1_Import_Export!$B230)+B$68*(B$45*GREET1_Import_Export!$AA80+GREET1_Import_Export!$B298)+B$69*SUM(GREET1_Import_Export!$B323:$C323)</f>
        <v>1134.9694858861519</v>
      </c>
      <c r="C85" s="1"/>
      <c r="D85" s="228"/>
      <c r="E85" s="234">
        <f>E$63*(C$42*GREET1_Import_Export!$K80+GREET1_Import_Export!$F$179*GREET1_Import_Export!$B194+GREET1_Import_Export!$F194)+E$64*(C$46*GREET1_Import_Export!$R80+C$47*GREET1_Import_Export!$Q80+GREET1_Import_Export!$G$179*GREET1_Import_Export!$B194+GREET1_Import_Export!$G194)+E$67*(C$43*GREET1_Import_Export!$B80+C$44*GREET1_Import_Export!$C80+GREET1_Import_Export!$B230)+E$68*(C$45*GREET1_Import_Export!$AA80+GREET1_Import_Export!$B298)+E$69*SUM(GREET1_Import_Export!$B323:$C323)</f>
        <v>553.04973639985099</v>
      </c>
      <c r="F85" s="1"/>
      <c r="G85" s="1"/>
      <c r="H85" s="234">
        <f>H$63*(D$42*GREET1_Import_Export!$K80+GREET1_Import_Export!$F$179*GREET1_Import_Export!$B194+GREET1_Import_Export!$F194)+H$64*(D$46*GREET1_Import_Export!$R80+D$47*GREET1_Import_Export!$Q80+GREET1_Import_Export!$G$179*GREET1_Import_Export!$B194+GREET1_Import_Export!$G194)+H$67*(D$43*GREET1_Import_Export!$B80+D$44*GREET1_Import_Export!$C80+GREET1_Import_Export!$B230)+H$68*(D$45*GREET1_Import_Export!$AA80+GREET1_Import_Export!$B298)+H$69*SUM(GREET1_Import_Export!$B323:$C323)</f>
        <v>466.29536625414539</v>
      </c>
      <c r="I85" s="1"/>
      <c r="J85" s="51"/>
      <c r="K85" s="234">
        <f>K$63*(E$42*GREET1_Import_Export!$K80+GREET1_Import_Export!$F$179*GREET1_Import_Export!$B194+GREET1_Import_Export!$F194)+K$64*(E$46*GREET1_Import_Export!$R80+E$47*GREET1_Import_Export!$Q80+GREET1_Import_Export!$G$179*GREET1_Import_Export!$B194+GREET1_Import_Export!$G194)+K$67*(E$43*GREET1_Import_Export!$B80+E$44*GREET1_Import_Export!$C80+GREET1_Import_Export!$B230)+K$68*(E$45*GREET1_Import_Export!$AA80+GREET1_Import_Export!$B298)+K$69*SUM(GREET1_Import_Export!$B323:$C323)</f>
        <v>685.75039240813442</v>
      </c>
      <c r="L85" s="1"/>
      <c r="M85" s="51"/>
    </row>
    <row r="86" spans="1:13">
      <c r="A86" s="59" t="s">
        <v>830</v>
      </c>
      <c r="B86" s="234">
        <f>B$63*(B$42*GREET1_Import_Export!$K81+GREET1_Import_Export!$F$179*GREET1_Import_Export!$B195+GREET1_Import_Export!$F195)+B$64*(B$46*GREET1_Import_Export!$R81+B$47*GREET1_Import_Export!$Q81+GREET1_Import_Export!$G$179*GREET1_Import_Export!$B195+GREET1_Import_Export!$G195)+B$67*(B$43*GREET1_Import_Export!$B81+B$44*GREET1_Import_Export!$C81+GREET1_Import_Export!$B231)+B$68*(B$45*GREET1_Import_Export!$AA81+GREET1_Import_Export!$B299)+B$69*SUM(GREET1_Import_Export!$B324:$C324)</f>
        <v>10.37110683112315</v>
      </c>
      <c r="C86" s="1"/>
      <c r="D86" s="228"/>
      <c r="E86" s="234">
        <f>E$63*(C$42*GREET1_Import_Export!$K81+GREET1_Import_Export!$F$179*GREET1_Import_Export!$B195+GREET1_Import_Export!$F195)+E$64*(C$46*GREET1_Import_Export!$R81+C$47*GREET1_Import_Export!$Q81+GREET1_Import_Export!$G$179*GREET1_Import_Export!$B195+GREET1_Import_Export!$G195)+E$67*(C$43*GREET1_Import_Export!$B81+C$44*GREET1_Import_Export!$C81+GREET1_Import_Export!$B231)+E$68*(C$45*GREET1_Import_Export!$AA81+GREET1_Import_Export!$B299)+E$69*SUM(GREET1_Import_Export!$B324:$C324)</f>
        <v>5.5151511439238252</v>
      </c>
      <c r="F86" s="1"/>
      <c r="G86" s="1"/>
      <c r="H86" s="234">
        <f>H$63*(D$42*GREET1_Import_Export!$K81+GREET1_Import_Export!$F$179*GREET1_Import_Export!$B195+GREET1_Import_Export!$F195)+H$64*(D$46*GREET1_Import_Export!$R81+D$47*GREET1_Import_Export!$Q81+GREET1_Import_Export!$G$179*GREET1_Import_Export!$B195+GREET1_Import_Export!$G195)+H$67*(D$43*GREET1_Import_Export!$B81+D$44*GREET1_Import_Export!$C81+GREET1_Import_Export!$B231)+H$68*(D$45*GREET1_Import_Export!$AA81+GREET1_Import_Export!$B299)+H$69*SUM(GREET1_Import_Export!$B324:$C324)</f>
        <v>4.4694130446416818</v>
      </c>
      <c r="I86" s="1"/>
      <c r="J86" s="51"/>
      <c r="K86" s="234">
        <f>K$63*(E$42*GREET1_Import_Export!$K81+GREET1_Import_Export!$F$179*GREET1_Import_Export!$B195+GREET1_Import_Export!$F195)+K$64*(E$46*GREET1_Import_Export!$R81+E$47*GREET1_Import_Export!$Q81+GREET1_Import_Export!$G$179*GREET1_Import_Export!$B195+GREET1_Import_Export!$G195)+K$67*(E$43*GREET1_Import_Export!$B81+E$44*GREET1_Import_Export!$C81+GREET1_Import_Export!$B231)+K$68*(E$45*GREET1_Import_Export!$AA81+GREET1_Import_Export!$B299)+K$69*SUM(GREET1_Import_Export!$B324:$C324)</f>
        <v>6.2954293729202959</v>
      </c>
      <c r="L86" s="1"/>
      <c r="M86" s="51"/>
    </row>
    <row r="87" spans="1:13">
      <c r="A87" s="118" t="s">
        <v>831</v>
      </c>
      <c r="B87" s="1313">
        <f>B$63*(B$42*GREET1_Import_Export!$K82+GREET1_Import_Export!$F$179*GREET1_Import_Export!$B196+GREET1_Import_Export!$F196)+B$64*(B$46*GREET1_Import_Export!$R82+B$47*GREET1_Import_Export!$Q82+GREET1_Import_Export!$G$179*GREET1_Import_Export!$B196+GREET1_Import_Export!$G196)+B$67*(B$43*GREET1_Import_Export!$B82+B$44*GREET1_Import_Export!$C82+GREET1_Import_Export!$B232)+B$68*(B$45*GREET1_Import_Export!$AA82+GREET1_Import_Export!$B300)+B$69*SUM(GREET1_Import_Export!$B325:$C325)</f>
        <v>523157.52819209878</v>
      </c>
      <c r="C87" s="53">
        <v>1103418.1825815064</v>
      </c>
      <c r="D87" s="53"/>
      <c r="E87" s="1313">
        <f>E$63*(C$42*GREET1_Import_Export!$K82+GREET1_Import_Export!$F$179*GREET1_Import_Export!$B196+GREET1_Import_Export!$F196)+E$64*(C$46*GREET1_Import_Export!$R82+C$47*GREET1_Import_Export!$Q82+GREET1_Import_Export!$G$179*GREET1_Import_Export!$B196+GREET1_Import_Export!$G196)+E$67*(C$43*GREET1_Import_Export!$B82+C$44*GREET1_Import_Export!$C82+GREET1_Import_Export!$B232)+E$68*(C$45*GREET1_Import_Export!$AA82+GREET1_Import_Export!$B300)+E$69*SUM(GREET1_Import_Export!$B325:$C325)</f>
        <v>200314.69771317684</v>
      </c>
      <c r="F87" s="1314">
        <v>280333.84424024489</v>
      </c>
      <c r="G87" s="125"/>
      <c r="H87" s="1313">
        <f>H$63*(D$42*GREET1_Import_Export!$K82+GREET1_Import_Export!$F$179*GREET1_Import_Export!$B196+GREET1_Import_Export!$F196)+H$64*(D$46*GREET1_Import_Export!$R82+D$47*GREET1_Import_Export!$Q82+GREET1_Import_Export!$G$179*GREET1_Import_Export!$B196+GREET1_Import_Export!$G196)+H$67*(D$43*GREET1_Import_Export!$B82+D$44*GREET1_Import_Export!$C82+GREET1_Import_Export!$B232)+H$68*(D$45*GREET1_Import_Export!$AA82+GREET1_Import_Export!$B300)+H$69*SUM(GREET1_Import_Export!$B325:$C325)</f>
        <v>202098.521513457</v>
      </c>
      <c r="I87" s="1314">
        <v>113252.88875985445</v>
      </c>
      <c r="J87" s="85"/>
      <c r="K87" s="1313">
        <f>K$63*(E$42*GREET1_Import_Export!$K82+GREET1_Import_Export!$F$179*GREET1_Import_Export!$B196+GREET1_Import_Export!$F196)+K$64*(E$46*GREET1_Import_Export!$R82+E$47*GREET1_Import_Export!$Q82+GREET1_Import_Export!$G$179*GREET1_Import_Export!$B196+GREET1_Import_Export!$G196)+K$67*(E$43*GREET1_Import_Export!$B82+E$44*GREET1_Import_Export!$C82+GREET1_Import_Export!$B232)+K$68*(E$45*GREET1_Import_Export!$AA82+GREET1_Import_Export!$B300)+K$69*SUM(GREET1_Import_Export!$B325:$C325)</f>
        <v>324667.83426095248</v>
      </c>
      <c r="L87" s="1314">
        <v>199584.00000000003</v>
      </c>
      <c r="M87" s="85"/>
    </row>
    <row r="88" spans="1:13">
      <c r="A88" s="487" t="s">
        <v>1833</v>
      </c>
      <c r="B88" s="173"/>
      <c r="C88" s="1"/>
      <c r="D88" s="1"/>
      <c r="E88" s="173"/>
      <c r="F88" s="1"/>
      <c r="G88" s="1"/>
      <c r="H88" s="173"/>
      <c r="I88" s="1"/>
      <c r="J88" s="51"/>
      <c r="K88" s="173"/>
      <c r="L88" s="1"/>
      <c r="M88" s="51"/>
    </row>
    <row r="89" spans="1:13">
      <c r="A89" s="59" t="s">
        <v>821</v>
      </c>
      <c r="B89" s="233">
        <f>B$63*(B$53*(B$42*GREET1_Import_Export!$K72)+GREET1_Import_Export!$F$200*GREET1_Import_Export!$B201+GREET1_Import_Export!$F201)+B$64*(B$53*(B$46*GREET1_Import_Export!$R72+B$47*GREET1_Import_Export!$Q72)+GREET1_Import_Export!$G$200*GREET1_Import_Export!$B201+GREET1_Import_Export!$G201)+B$67*(B$53*(B$43*GREET1_Import_Export!$B72+B$44*GREET1_Import_Export!$C72)+GREET1_Import_Export!$B237)+B$68*(B$53*(B$45*GREET1_Import_Export!$AA72)+GREET1_Import_Export!$C290)+B$69*SUM(GREET1_Import_Export!$D315:$E315)</f>
        <v>4.9033749528926229</v>
      </c>
      <c r="C89" s="1"/>
      <c r="D89" s="228"/>
      <c r="E89" s="233">
        <f>E$63*(E$53*(C$42*GREET1_Import_Export!$K72)+GREET1_Import_Export!$F$200*GREET1_Import_Export!$B201+GREET1_Import_Export!$F201)+E$64*(E$53*(C$46*GREET1_Import_Export!$R72+C$47*GREET1_Import_Export!$Q72)+GREET1_Import_Export!$G$200*GREET1_Import_Export!$B201+GREET1_Import_Export!$G201)+E$67*(E$53*(C$43*GREET1_Import_Export!$B72+C$44*GREET1_Import_Export!$C72)+GREET1_Import_Export!$B237)+E$68*(E$53*(C$45*GREET1_Import_Export!$AA72)+GREET1_Import_Export!$C290)+E$69*SUM(GREET1_Import_Export!$D315:$E315)</f>
        <v>2.8046018332455893</v>
      </c>
      <c r="F89" s="1"/>
      <c r="G89" s="1"/>
      <c r="H89" s="233">
        <f>H$63*(H$53*(D$42*GREET1_Import_Export!$K72)+GREET1_Import_Export!$F$200*GREET1_Import_Export!$B201+GREET1_Import_Export!$F201)+H$64*(H$53*(D$46*GREET1_Import_Export!$R72+D$47*GREET1_Import_Export!$Q72)+GREET1_Import_Export!$G$200*GREET1_Import_Export!$B201+GREET1_Import_Export!$G201)+H$67*(H$53*(D$43*GREET1_Import_Export!$B72+D$44*GREET1_Import_Export!$C72)+GREET1_Import_Export!$B237)+H$68*(H$53*(D$45*GREET1_Import_Export!$AA72)+GREET1_Import_Export!$C290)+H$69*SUM(GREET1_Import_Export!$D315:$E315)</f>
        <v>2.6601704948568488</v>
      </c>
      <c r="I89" s="1"/>
      <c r="J89" s="51"/>
      <c r="K89" s="233">
        <f>K$63*(K$53*(E$42*GREET1_Import_Export!$K72)+GREET1_Import_Export!$F$200*GREET1_Import_Export!$B201+GREET1_Import_Export!$F201)+K$64*(K$53*(E$46*GREET1_Import_Export!$R72+E$47*GREET1_Import_Export!$Q72)+GREET1_Import_Export!$G$200*GREET1_Import_Export!$B201+GREET1_Import_Export!$G201)+K$67*(K$53*(E$43*GREET1_Import_Export!$B72+E$44*GREET1_Import_Export!$C72)+GREET1_Import_Export!$B237)+K$68*(K$53*(E$45*GREET1_Import_Export!$AA72)+GREET1_Import_Export!$C290)+K$69*SUM(GREET1_Import_Export!$D315:$E315)</f>
        <v>3.4544258561487347</v>
      </c>
      <c r="L89" s="1"/>
      <c r="M89" s="51"/>
    </row>
    <row r="90" spans="1:13">
      <c r="A90" s="59" t="s">
        <v>822</v>
      </c>
      <c r="B90" s="233">
        <f>B$63*(B$53*(B$42*GREET1_Import_Export!$K73)+GREET1_Import_Export!$F$200*GREET1_Import_Export!$B202+GREET1_Import_Export!$F202)+B$64*(B$53*(B$46*GREET1_Import_Export!$R73+B$47*GREET1_Import_Export!$Q73)+GREET1_Import_Export!$G$200*GREET1_Import_Export!$B202+GREET1_Import_Export!$G202)+B$67*(B$53*(B$43*GREET1_Import_Export!$B73+B$44*GREET1_Import_Export!$C73)+GREET1_Import_Export!$B238)+B$68*(B$53*(B$45*GREET1_Import_Export!$AA73)+GREET1_Import_Export!$C291)+B$69*SUM(GREET1_Import_Export!$D316:$E316)</f>
        <v>26.602050009375574</v>
      </c>
      <c r="C90" s="1"/>
      <c r="D90" s="228"/>
      <c r="E90" s="233">
        <f>E$63*(E$53*(C$42*GREET1_Import_Export!$K73)+GREET1_Import_Export!$F$200*GREET1_Import_Export!$B202+GREET1_Import_Export!$F202)+E$64*(E$53*(C$46*GREET1_Import_Export!$R73+C$47*GREET1_Import_Export!$Q73)+GREET1_Import_Export!$G$200*GREET1_Import_Export!$B202+GREET1_Import_Export!$G202)+E$67*(E$53*(C$43*GREET1_Import_Export!$B73+C$44*GREET1_Import_Export!$C73)+GREET1_Import_Export!$B238)+E$68*(E$53*(C$45*GREET1_Import_Export!$AA73)+GREET1_Import_Export!$C291)+E$69*SUM(GREET1_Import_Export!$D316:$E316)</f>
        <v>7.7928333769005347</v>
      </c>
      <c r="F90" s="1"/>
      <c r="G90" s="1"/>
      <c r="H90" s="233">
        <f>H$63*(H$53*(H$42*GREET1_Import_Export!$K73)+GREET1_Import_Export!$F$200*GREET1_Import_Export!$B202+GREET1_Import_Export!$F202)+H$64*(H$53*(H$46*GREET1_Import_Export!$R73+H$47*GREET1_Import_Export!$Q73)+GREET1_Import_Export!$G$200*GREET1_Import_Export!$B202+GREET1_Import_Export!$G202)+H$67*(H$53*(H$43*GREET1_Import_Export!$B73+H$44*GREET1_Import_Export!$C73)+GREET1_Import_Export!$B238)+H$68*(H$53*(H$45*GREET1_Import_Export!$AA73)+GREET1_Import_Export!$C291)+H$69*SUM(GREET1_Import_Export!$D316:$E316)</f>
        <v>8.750055956259871</v>
      </c>
      <c r="I90" s="1"/>
      <c r="J90" s="51"/>
      <c r="K90" s="233">
        <f>K$63*(K$53*(E$42*GREET1_Import_Export!$K73)+GREET1_Import_Export!$F$200*GREET1_Import_Export!$B202+GREET1_Import_Export!$F202)+K$64*(K$53*(E$46*GREET1_Import_Export!$R73+E$47*GREET1_Import_Export!$Q73)+GREET1_Import_Export!$G$200*GREET1_Import_Export!$B202+GREET1_Import_Export!$G202)+K$67*(K$53*(E$43*GREET1_Import_Export!$B73+E$44*GREET1_Import_Export!$C73)+GREET1_Import_Export!$B238)+K$68*(K$53*(E$45*GREET1_Import_Export!$AA73)+GREET1_Import_Export!$C291)+K$69*SUM(GREET1_Import_Export!$D316:$E316)</f>
        <v>15.905077682686649</v>
      </c>
      <c r="L90" s="1"/>
      <c r="M90" s="51"/>
    </row>
    <row r="91" spans="1:13">
      <c r="A91" s="59" t="s">
        <v>823</v>
      </c>
      <c r="B91" s="233">
        <f>B$63*(B$53*(B$42*GREET1_Import_Export!$K74)+GREET1_Import_Export!$F$200*GREET1_Import_Export!$B203+GREET1_Import_Export!$F203)+B$64*(B$53*(B$46*GREET1_Import_Export!$R74+B$47*GREET1_Import_Export!$Q74)+GREET1_Import_Export!$G$200*GREET1_Import_Export!$B203+GREET1_Import_Export!$G203)+B$67*(B$53*(B$43*GREET1_Import_Export!$B74+B$44*GREET1_Import_Export!$C74)+GREET1_Import_Export!$B239)+B$68*(B$53*(B$45*GREET1_Import_Export!$AA74)+GREET1_Import_Export!$C292)+B$69*SUM(GREET1_Import_Export!$D317:$E317)</f>
        <v>78.121341807929156</v>
      </c>
      <c r="C91" s="1"/>
      <c r="D91" s="228"/>
      <c r="E91" s="233">
        <f>E$63*(E$53*(C$42*GREET1_Import_Export!$K74)+GREET1_Import_Export!$F$200*GREET1_Import_Export!$B203+GREET1_Import_Export!$F203)+E$64*(E$53*(C$46*GREET1_Import_Export!$R74+C$47*GREET1_Import_Export!$Q74)+GREET1_Import_Export!$G$200*GREET1_Import_Export!$B203+GREET1_Import_Export!$G203)+E$67*(E$53*(C$43*GREET1_Import_Export!$B74+C$44*GREET1_Import_Export!$C74)+GREET1_Import_Export!$B239)+E$68*(E$53*(C$45*GREET1_Import_Export!$AA74)+GREET1_Import_Export!$C292)+E$69*SUM(GREET1_Import_Export!$D317:$E317)</f>
        <v>10.813505567267418</v>
      </c>
      <c r="F91" s="1"/>
      <c r="G91" s="1"/>
      <c r="H91" s="233">
        <f>H$63*(H$53*(H$42*GREET1_Import_Export!$K74)+GREET1_Import_Export!$F$200*GREET1_Import_Export!$B203+GREET1_Import_Export!$F203)+H$64*(H$53*(H$46*GREET1_Import_Export!$R74+H$47*GREET1_Import_Export!$Q74)+GREET1_Import_Export!$G$200*GREET1_Import_Export!$B203+GREET1_Import_Export!$G203)+H$67*(H$53*(H$43*GREET1_Import_Export!$B74+H$44*GREET1_Import_Export!$C74)+GREET1_Import_Export!$B239)+H$68*(H$53*(H$45*GREET1_Import_Export!$AA74)+GREET1_Import_Export!$C292)+H$69*SUM(GREET1_Import_Export!$D317:$E317)</f>
        <v>20.466008361468209</v>
      </c>
      <c r="I91" s="1"/>
      <c r="J91" s="51"/>
      <c r="K91" s="233">
        <f>K$63*(K$53*(E$42*GREET1_Import_Export!$K74)+GREET1_Import_Export!$F$200*GREET1_Import_Export!$B203+GREET1_Import_Export!$F203)+K$64*(K$53*(E$46*GREET1_Import_Export!$R74+E$47*GREET1_Import_Export!$Q74)+GREET1_Import_Export!$G$200*GREET1_Import_Export!$B203+GREET1_Import_Export!$G203)+K$67*(K$53*(E$43*GREET1_Import_Export!$B74+E$44*GREET1_Import_Export!$C74)+GREET1_Import_Export!$B239)+K$68*(K$53*(E$45*GREET1_Import_Export!$AA74)+GREET1_Import_Export!$C292)+K$69*SUM(GREET1_Import_Export!$D317:$E317)</f>
        <v>46.171947367903321</v>
      </c>
      <c r="L91" s="1"/>
      <c r="M91" s="51"/>
    </row>
    <row r="92" spans="1:13">
      <c r="A92" s="59" t="s">
        <v>824</v>
      </c>
      <c r="B92" s="233">
        <f>B$63*(B$53*(B$42*GREET1_Import_Export!$K75)+GREET1_Import_Export!$F$200*GREET1_Import_Export!$B204+GREET1_Import_Export!$F204)+B$64*(B$53*(B$46*GREET1_Import_Export!$R75+B$47*GREET1_Import_Export!$Q75)+GREET1_Import_Export!$G$200*GREET1_Import_Export!$B204+GREET1_Import_Export!$G204)+B$67*(B$53*(B$43*GREET1_Import_Export!$B75+B$44*GREET1_Import_Export!$C75)+GREET1_Import_Export!$B240)+B$68*(B$53*(B$45*GREET1_Import_Export!$AA75)+GREET1_Import_Export!$C293)+B$69*SUM(GREET1_Import_Export!$D318:$E318)</f>
        <v>10.494150594607136</v>
      </c>
      <c r="C92" s="1"/>
      <c r="D92" s="228"/>
      <c r="E92" s="233">
        <f>E$63*(E$53*(C$42*GREET1_Import_Export!$K75)+GREET1_Import_Export!$F$200*GREET1_Import_Export!$B204+GREET1_Import_Export!$F204)+E$64*(E$53*(C$46*GREET1_Import_Export!$R75+C$47*GREET1_Import_Export!$Q75)+GREET1_Import_Export!$G$200*GREET1_Import_Export!$B204+GREET1_Import_Export!$G204)+E$67*(E$53*(C$43*GREET1_Import_Export!$B75+C$44*GREET1_Import_Export!$C75)+GREET1_Import_Export!$B240)+E$68*(E$53*(C$45*GREET1_Import_Export!$AA75)+GREET1_Import_Export!$C293)+E$69*SUM(GREET1_Import_Export!$D318:$E318)</f>
        <v>0.56154929506523354</v>
      </c>
      <c r="F92" s="1"/>
      <c r="G92" s="1"/>
      <c r="H92" s="233">
        <f>H$63*(H$53*(H$42*GREET1_Import_Export!$K75)+GREET1_Import_Export!$F$200*GREET1_Import_Export!$B204+GREET1_Import_Export!$F204)+H$64*(H$53*(H$46*GREET1_Import_Export!$R75+H$47*GREET1_Import_Export!$Q75)+GREET1_Import_Export!$G$200*GREET1_Import_Export!$B204+GREET1_Import_Export!$G204)+H$67*(H$53*(H$43*GREET1_Import_Export!$B75+H$44*GREET1_Import_Export!$C75)+GREET1_Import_Export!$B240)+H$68*(H$53*(H$45*GREET1_Import_Export!$AA75)+GREET1_Import_Export!$C293)+H$69*SUM(GREET1_Import_Export!$D318:$E318)</f>
        <v>2.4278845076707047</v>
      </c>
      <c r="I92" s="1"/>
      <c r="J92" s="51"/>
      <c r="K92" s="233">
        <f>K$63*(K$53*(E$42*GREET1_Import_Export!$K75)+GREET1_Import_Export!$F$200*GREET1_Import_Export!$B204+GREET1_Import_Export!$F204)+K$64*(K$53*(E$46*GREET1_Import_Export!$R75+E$47*GREET1_Import_Export!$Q75)+GREET1_Import_Export!$G$200*GREET1_Import_Export!$B204+GREET1_Import_Export!$G204)+K$67*(K$53*(E$43*GREET1_Import_Export!$B75+E$44*GREET1_Import_Export!$C75)+GREET1_Import_Export!$B240)+K$68*(K$53*(E$45*GREET1_Import_Export!$AA75)+GREET1_Import_Export!$C293)+K$69*SUM(GREET1_Import_Export!$D318:$E318)</f>
        <v>6.2285461551382202</v>
      </c>
      <c r="L92" s="1"/>
      <c r="M92" s="51"/>
    </row>
    <row r="93" spans="1:13">
      <c r="A93" s="59" t="s">
        <v>825</v>
      </c>
      <c r="B93" s="233">
        <f>B$63*(B$53*(B$42*GREET1_Import_Export!$K76)+GREET1_Import_Export!$F$200*GREET1_Import_Export!$B205+GREET1_Import_Export!$F205)+B$64*(B$53*(B$46*GREET1_Import_Export!$R76+B$47*GREET1_Import_Export!$Q76)+GREET1_Import_Export!$G$200*GREET1_Import_Export!$B205+GREET1_Import_Export!$G205)+B$67*(B$53*(B$43*GREET1_Import_Export!$B76+B$44*GREET1_Import_Export!$C76)+GREET1_Import_Export!$B241)+B$68*(B$53*(B$45*GREET1_Import_Export!$AA76)+GREET1_Import_Export!$C294)+B$69*SUM(GREET1_Import_Export!$D319:$E319)</f>
        <v>9.2236243171126322</v>
      </c>
      <c r="C93" s="1"/>
      <c r="D93" s="228"/>
      <c r="E93" s="233">
        <f>E$63*(E$53*(C$42*GREET1_Import_Export!$K76)+GREET1_Import_Export!$F$200*GREET1_Import_Export!$B205+GREET1_Import_Export!$F205)+E$64*(E$53*(C$46*GREET1_Import_Export!$R76+C$47*GREET1_Import_Export!$Q76)+GREET1_Import_Export!$G$200*GREET1_Import_Export!$B205+GREET1_Import_Export!$G205)+E$67*(E$53*(C$43*GREET1_Import_Export!$B76+C$44*GREET1_Import_Export!$C76)+GREET1_Import_Export!$B241)+E$68*(E$53*(C$45*GREET1_Import_Export!$AA76)+GREET1_Import_Export!$C294)+E$69*SUM(GREET1_Import_Export!$D319:$E319)</f>
        <v>0.49098216484549606</v>
      </c>
      <c r="F93" s="1"/>
      <c r="G93" s="1"/>
      <c r="H93" s="233">
        <f>H$63*(H$53*(H$42*GREET1_Import_Export!$K76)+GREET1_Import_Export!$F$200*GREET1_Import_Export!$B205+GREET1_Import_Export!$F205)+H$64*(H$53*(H$46*GREET1_Import_Export!$R76+H$47*GREET1_Import_Export!$Q76)+GREET1_Import_Export!$G$200*GREET1_Import_Export!$B205+GREET1_Import_Export!$G205)+H$67*(H$53*(H$43*GREET1_Import_Export!$B76+H$44*GREET1_Import_Export!$C76)+GREET1_Import_Export!$B241)+H$68*(H$53*(H$45*GREET1_Import_Export!$AA76)+GREET1_Import_Export!$C294)+H$69*SUM(GREET1_Import_Export!$D319:$E319)</f>
        <v>2.131256711842282</v>
      </c>
      <c r="I93" s="1"/>
      <c r="J93" s="51"/>
      <c r="K93" s="233">
        <f>K$63*(K$53*(E$42*GREET1_Import_Export!$K76)+GREET1_Import_Export!$F$200*GREET1_Import_Export!$B205+GREET1_Import_Export!$F205)+K$64*(K$53*(E$46*GREET1_Import_Export!$R76+E$47*GREET1_Import_Export!$Q76)+GREET1_Import_Export!$G$200*GREET1_Import_Export!$B205+GREET1_Import_Export!$G205)+K$67*(K$53*(E$43*GREET1_Import_Export!$B76+E$44*GREET1_Import_Export!$C76)+GREET1_Import_Export!$B241)+K$68*(K$53*(E$45*GREET1_Import_Export!$AA76)+GREET1_Import_Export!$C294)+K$69*SUM(GREET1_Import_Export!$D319:$E319)</f>
        <v>5.4727501762820392</v>
      </c>
      <c r="L93" s="1"/>
      <c r="M93" s="51"/>
    </row>
    <row r="94" spans="1:13">
      <c r="A94" s="59" t="s">
        <v>826</v>
      </c>
      <c r="B94" s="233">
        <f>B$63*(B$53*(B$42*GREET1_Import_Export!$K77)+GREET1_Import_Export!$F$200*GREET1_Import_Export!$B206+GREET1_Import_Export!$F206)+B$64*(B$53*(B$46*GREET1_Import_Export!$R77+B$47*GREET1_Import_Export!$Q77)+GREET1_Import_Export!$G$200*GREET1_Import_Export!$B206+GREET1_Import_Export!$G206)+B$67*(B$53*(B$43*GREET1_Import_Export!$B77+B$44*GREET1_Import_Export!$C77)+GREET1_Import_Export!$B242)+B$68*(B$53*(B$45*GREET1_Import_Export!$AA77)+GREET1_Import_Export!$C295)+B$69*SUM(GREET1_Import_Export!$D320:$E320)</f>
        <v>76.688577128704509</v>
      </c>
      <c r="C94" s="1"/>
      <c r="D94" s="228"/>
      <c r="E94" s="233">
        <f>E$63*(E$53*(C$42*GREET1_Import_Export!$K77)+GREET1_Import_Export!$F$200*GREET1_Import_Export!$B206+GREET1_Import_Export!$F206)+E$64*(E$53*(C$46*GREET1_Import_Export!$R77+C$47*GREET1_Import_Export!$Q77)+GREET1_Import_Export!$G$200*GREET1_Import_Export!$B206+GREET1_Import_Export!$G206)+E$67*(E$53*(C$43*GREET1_Import_Export!$B77+C$44*GREET1_Import_Export!$C77)+GREET1_Import_Export!$B242)+E$68*(E$53*(C$45*GREET1_Import_Export!$AA77)+GREET1_Import_Export!$C295)+E$69*SUM(GREET1_Import_Export!$D320:$E320)</f>
        <v>2.8525785033141875</v>
      </c>
      <c r="F94" s="1"/>
      <c r="G94" s="1"/>
      <c r="H94" s="233">
        <f>H$63*(H$53*(H$42*GREET1_Import_Export!$K77)+GREET1_Import_Export!$F$200*GREET1_Import_Export!$B206+GREET1_Import_Export!$F206)+H$64*(H$53*(H$46*GREET1_Import_Export!$R77+H$47*GREET1_Import_Export!$Q77)+GREET1_Import_Export!$G$200*GREET1_Import_Export!$B206+GREET1_Import_Export!$G206)+H$67*(H$53*(H$43*GREET1_Import_Export!$B77+H$44*GREET1_Import_Export!$C77)+GREET1_Import_Export!$B242)+H$68*(H$53*(H$45*GREET1_Import_Export!$AA77)+GREET1_Import_Export!$C295)+H$69*SUM(GREET1_Import_Export!$D320:$E320)</f>
        <v>16.691563774746353</v>
      </c>
      <c r="I94" s="1"/>
      <c r="J94" s="51"/>
      <c r="K94" s="233">
        <f>K$63*(K$53*(E$42*GREET1_Import_Export!$K77)+GREET1_Import_Export!$F$200*GREET1_Import_Export!$B206+GREET1_Import_Export!$F206)+K$64*(K$53*(E$46*GREET1_Import_Export!$R77+E$47*GREET1_Import_Export!$Q77)+GREET1_Import_Export!$G$200*GREET1_Import_Export!$B206+GREET1_Import_Export!$G206)+K$67*(K$53*(E$43*GREET1_Import_Export!$B77+E$44*GREET1_Import_Export!$C77)+GREET1_Import_Export!$B242)+K$68*(K$53*(E$45*GREET1_Import_Export!$AA77)+GREET1_Import_Export!$C295)+K$69*SUM(GREET1_Import_Export!$D320:$E320)</f>
        <v>44.943979816226523</v>
      </c>
      <c r="L94" s="1"/>
      <c r="M94" s="51"/>
    </row>
    <row r="95" spans="1:13">
      <c r="A95" s="59" t="s">
        <v>827</v>
      </c>
      <c r="B95" s="233">
        <f>B$63*(B$53*(B$42*GREET1_Import_Export!$K78)+GREET1_Import_Export!$F$200*GREET1_Import_Export!$B207+GREET1_Import_Export!$F207)+B$64*(B$53*(B$46*GREET1_Import_Export!$R78+B$47*GREET1_Import_Export!$Q78)+GREET1_Import_Export!$G$200*GREET1_Import_Export!$B207+GREET1_Import_Export!$G207)+B$67*(B$53*(B$43*GREET1_Import_Export!$B78+B$44*GREET1_Import_Export!$C78)+GREET1_Import_Export!$B243)+B$68*(B$53*(B$45*GREET1_Import_Export!$AA78)+GREET1_Import_Export!$C296)+B$69*SUM(GREET1_Import_Export!$D321:$E321)</f>
        <v>0.49211847492004002</v>
      </c>
      <c r="C95" s="1"/>
      <c r="D95" s="228"/>
      <c r="E95" s="233">
        <f>E$63*(E$53*(C$42*GREET1_Import_Export!$K78)+GREET1_Import_Export!$F$200*GREET1_Import_Export!$B207+GREET1_Import_Export!$F207)+E$64*(E$53*(C$46*GREET1_Import_Export!$R78+C$47*GREET1_Import_Export!$Q78)+GREET1_Import_Export!$G$200*GREET1_Import_Export!$B207+GREET1_Import_Export!$G207)+E$67*(E$53*(C$43*GREET1_Import_Export!$B78+C$44*GREET1_Import_Export!$C78)+GREET1_Import_Export!$B243)+E$68*(E$53*(C$45*GREET1_Import_Export!$AA78)+GREET1_Import_Export!$C296)+E$69*SUM(GREET1_Import_Export!$D321:$E321)</f>
        <v>4.542409447761301E-2</v>
      </c>
      <c r="F95" s="1"/>
      <c r="G95" s="1"/>
      <c r="H95" s="233">
        <f>H$63*(H$53*(H$42*GREET1_Import_Export!$K78)+GREET1_Import_Export!$F$200*GREET1_Import_Export!$B207+GREET1_Import_Export!$F207)+H$64*(H$53*(H$46*GREET1_Import_Export!$R78+H$47*GREET1_Import_Export!$Q78)+GREET1_Import_Export!$G$200*GREET1_Import_Export!$B207+GREET1_Import_Export!$G207)+H$67*(H$53*(H$43*GREET1_Import_Export!$B78+H$44*GREET1_Import_Export!$C78)+GREET1_Import_Export!$B243)+H$68*(H$53*(H$45*GREET1_Import_Export!$AA78)+GREET1_Import_Export!$C296)+H$69*SUM(GREET1_Import_Export!$D321:$E321)</f>
        <v>0.12791198487722341</v>
      </c>
      <c r="I95" s="1"/>
      <c r="J95" s="51"/>
      <c r="K95" s="233">
        <f>K$63*(K$53*(E$42*GREET1_Import_Export!$K78)+GREET1_Import_Export!$F$200*GREET1_Import_Export!$B207+GREET1_Import_Export!$F207)+K$64*(K$53*(E$46*GREET1_Import_Export!$R78+E$47*GREET1_Import_Export!$Q78)+GREET1_Import_Export!$G$200*GREET1_Import_Export!$B207+GREET1_Import_Export!$G207)+K$67*(K$53*(E$43*GREET1_Import_Export!$B78+E$44*GREET1_Import_Export!$C78)+GREET1_Import_Export!$B243)+K$68*(K$53*(E$45*GREET1_Import_Export!$AA78)+GREET1_Import_Export!$C296)+K$69*SUM(GREET1_Import_Export!$D321:$E321)</f>
        <v>0.29881372298121983</v>
      </c>
      <c r="L95" s="1"/>
      <c r="M95" s="51"/>
    </row>
    <row r="96" spans="1:13">
      <c r="A96" s="118" t="s">
        <v>828</v>
      </c>
      <c r="B96" s="236">
        <f>B$63*(B$53*(B$42*GREET1_Import_Export!$K79)+GREET1_Import_Export!$F$200*GREET1_Import_Export!$B208+GREET1_Import_Export!$F208)+B$64*(B$53*(B$46*GREET1_Import_Export!$R79+B$47*GREET1_Import_Export!$Q79)+GREET1_Import_Export!$G$200*GREET1_Import_Export!$B208+GREET1_Import_Export!$G208)+B$67*(B$53*(B$43*GREET1_Import_Export!$B79+B$44*GREET1_Import_Export!$C79)+GREET1_Import_Export!$B244)+B$68*(B$53*(B$45*GREET1_Import_Export!$AA79)+GREET1_Import_Export!$C297)+B$69*SUM(GREET1_Import_Export!$D322:$E322)</f>
        <v>2.6145393578385216</v>
      </c>
      <c r="C96" s="125"/>
      <c r="D96" s="231"/>
      <c r="E96" s="236">
        <f>E$63*(E$53*(C$42*GREET1_Import_Export!$K79)+GREET1_Import_Export!$F$200*GREET1_Import_Export!$B208+GREET1_Import_Export!$F208)+E$64*(E$53*(C$46*GREET1_Import_Export!$R79+C$47*GREET1_Import_Export!$Q79)+GREET1_Import_Export!$G$200*GREET1_Import_Export!$B208+GREET1_Import_Export!$G208)+E$67*(E$53*(C$43*GREET1_Import_Export!$B79+C$44*GREET1_Import_Export!$C79)+GREET1_Import_Export!$B244)+E$68*(E$53*(C$45*GREET1_Import_Export!$AA79)+GREET1_Import_Export!$C297)+E$69*SUM(GREET1_Import_Export!$D322:$E322)</f>
        <v>0.11862923545326673</v>
      </c>
      <c r="F96" s="125"/>
      <c r="G96" s="125"/>
      <c r="H96" s="236">
        <f>H$63*(H$53*(H$42*GREET1_Import_Export!$K79)+GREET1_Import_Export!$F$200*GREET1_Import_Export!$B208+GREET1_Import_Export!$F208)+H$64*(H$53*(H$46*GREET1_Import_Export!$R79+H$47*GREET1_Import_Export!$Q79)+GREET1_Import_Export!$G$200*GREET1_Import_Export!$B208+GREET1_Import_Export!$G208)+H$67*(H$53*(H$43*GREET1_Import_Export!$B79+H$44*GREET1_Import_Export!$C79)+GREET1_Import_Export!$B244)+H$68*(H$53*(H$45*GREET1_Import_Export!$AA79)+GREET1_Import_Export!$C297)+H$69*SUM(GREET1_Import_Export!$D322:$E322)</f>
        <v>0.58673817158430397</v>
      </c>
      <c r="I96" s="125"/>
      <c r="J96" s="85"/>
      <c r="K96" s="236">
        <f>K$63*(K$53*(E$42*GREET1_Import_Export!$K79)+GREET1_Import_Export!$F$200*GREET1_Import_Export!$B208+GREET1_Import_Export!$F208)+K$64*(K$53*(E$46*GREET1_Import_Export!$R79+E$47*GREET1_Import_Export!$Q79)+GREET1_Import_Export!$G$200*GREET1_Import_Export!$B208+GREET1_Import_Export!$G208)+K$67*(K$53*(E$43*GREET1_Import_Export!$B79+E$44*GREET1_Import_Export!$C79)+GREET1_Import_Export!$B244)+K$68*(K$53*(E$45*GREET1_Import_Export!$AA79)+GREET1_Import_Export!$C297)+K$69*SUM(GREET1_Import_Export!$D322:$E322)</f>
        <v>1.5417717601241101</v>
      </c>
      <c r="L96" s="125"/>
      <c r="M96" s="85"/>
    </row>
    <row r="98" spans="1:5" ht="15">
      <c r="A98" s="120" t="s">
        <v>1834</v>
      </c>
      <c r="B98" s="1321"/>
      <c r="C98" s="1321"/>
      <c r="D98" s="1321"/>
      <c r="E98" s="1321"/>
    </row>
    <row r="99" spans="1:5" ht="25.5">
      <c r="A99" s="1299"/>
      <c r="B99" s="1300" t="s">
        <v>1808</v>
      </c>
      <c r="C99" s="1300" t="s">
        <v>1809</v>
      </c>
      <c r="D99" s="1300" t="s">
        <v>1810</v>
      </c>
      <c r="E99" s="1301" t="s">
        <v>1811</v>
      </c>
    </row>
    <row r="100" spans="1:5">
      <c r="A100" s="290" t="s">
        <v>1835</v>
      </c>
      <c r="B100" s="80"/>
      <c r="C100" s="131"/>
      <c r="D100" s="131"/>
      <c r="E100" s="50"/>
    </row>
    <row r="101" spans="1:5">
      <c r="A101" s="291" t="s">
        <v>816</v>
      </c>
      <c r="B101" s="234">
        <f t="shared" ref="B101:B106" ca="1" si="5">SUM(B70:D70)+MMULT($B167:$M167+0,B$6:B$17+0)</f>
        <v>15.814483250763534</v>
      </c>
      <c r="C101" s="228">
        <f t="shared" ref="C101:C106" ca="1" si="6">SUM(E70:G70)+MMULT($B167:$M167+0,C$6:C$17+0)</f>
        <v>25.716974788578032</v>
      </c>
      <c r="D101" s="228">
        <f t="shared" ref="D101:D106" ca="1" si="7">SUM(H70:J70)+MMULT($B167:$M167+0,D$6:D$17+0)</f>
        <v>6.9373616667998856</v>
      </c>
      <c r="E101" s="235">
        <f t="shared" ref="E101:E106" ca="1" si="8">SUM(K70:M70)+MMULT($B167:$M167+0,E$6:E$17+0)</f>
        <v>5.4532198256812769</v>
      </c>
    </row>
    <row r="102" spans="1:5">
      <c r="A102" s="291" t="s">
        <v>817</v>
      </c>
      <c r="B102" s="234">
        <f t="shared" ca="1" si="5"/>
        <v>13.483500904739437</v>
      </c>
      <c r="C102" s="228">
        <f t="shared" ca="1" si="6"/>
        <v>23.661621807447315</v>
      </c>
      <c r="D102" s="228">
        <f t="shared" ca="1" si="7"/>
        <v>6.6855076683919084</v>
      </c>
      <c r="E102" s="235">
        <f t="shared" ca="1" si="8"/>
        <v>4.4525804383425323</v>
      </c>
    </row>
    <row r="103" spans="1:5">
      <c r="A103" s="291" t="s">
        <v>805</v>
      </c>
      <c r="B103" s="234">
        <f t="shared" ca="1" si="5"/>
        <v>3.1986262953076539</v>
      </c>
      <c r="C103" s="228">
        <f t="shared" ca="1" si="6"/>
        <v>3.1320466200697634</v>
      </c>
      <c r="D103" s="228">
        <f t="shared" ca="1" si="7"/>
        <v>2.2491158471455872</v>
      </c>
      <c r="E103" s="235">
        <f t="shared" ca="1" si="8"/>
        <v>1.3488253772115724</v>
      </c>
    </row>
    <row r="104" spans="1:5">
      <c r="A104" s="291" t="s">
        <v>804</v>
      </c>
      <c r="B104" s="234">
        <f t="shared" ca="1" si="5"/>
        <v>9.2689161783920397</v>
      </c>
      <c r="C104" s="228">
        <f t="shared" ca="1" si="6"/>
        <v>18.966146761006176</v>
      </c>
      <c r="D104" s="228">
        <f t="shared" ca="1" si="7"/>
        <v>3.3230375469122873</v>
      </c>
      <c r="E104" s="235">
        <f t="shared" ca="1" si="8"/>
        <v>2.4990682109310116</v>
      </c>
    </row>
    <row r="105" spans="1:5">
      <c r="A105" s="291" t="s">
        <v>818</v>
      </c>
      <c r="B105" s="234">
        <f t="shared" ca="1" si="5"/>
        <v>1.0159584310397431</v>
      </c>
      <c r="C105" s="228">
        <f t="shared" ca="1" si="6"/>
        <v>1.5634284263713742</v>
      </c>
      <c r="D105" s="228">
        <f t="shared" ca="1" si="7"/>
        <v>1.1133542743340343</v>
      </c>
      <c r="E105" s="235">
        <f t="shared" ca="1" si="8"/>
        <v>0.60468685019994872</v>
      </c>
    </row>
    <row r="106" spans="1:5">
      <c r="A106" s="880" t="s">
        <v>1836</v>
      </c>
      <c r="B106" s="242">
        <f t="shared" ca="1" si="5"/>
        <v>696.14353835823783</v>
      </c>
      <c r="C106" s="53">
        <f t="shared" ca="1" si="6"/>
        <v>2748.2589161200804</v>
      </c>
      <c r="D106" s="53">
        <f t="shared" ca="1" si="7"/>
        <v>518.65828783460336</v>
      </c>
      <c r="E106" s="243">
        <f t="shared" ca="1" si="8"/>
        <v>1183.2432264827826</v>
      </c>
    </row>
    <row r="107" spans="1:5">
      <c r="A107" s="293" t="s">
        <v>1832</v>
      </c>
      <c r="B107" s="173"/>
      <c r="C107" s="1"/>
      <c r="D107" s="1"/>
      <c r="E107" s="51"/>
    </row>
    <row r="108" spans="1:5">
      <c r="A108" s="291" t="s">
        <v>821</v>
      </c>
      <c r="B108" s="234">
        <f t="shared" ref="B108:B118" ca="1" si="9">SUM(B77:D77)+MMULT($B174:$M174+0,B$6:B$17+0)</f>
        <v>150.60449308593076</v>
      </c>
      <c r="C108" s="228">
        <f t="shared" ref="C108:C118" ca="1" si="10">SUM(E77:G77)+MMULT($B174:$M174+0,C$6:C$17+0)</f>
        <v>330.19791598639642</v>
      </c>
      <c r="D108" s="228">
        <f t="shared" ref="D108:D118" ca="1" si="11">SUM(H77:J77)+MMULT($B174:$M174+0,D$6:D$17+0)</f>
        <v>148.73920944487685</v>
      </c>
      <c r="E108" s="235">
        <f t="shared" ref="E108:E118" ca="1" si="12">SUM(K77:M77)+MMULT($B174:$M174+0,E$6:E$17+0)</f>
        <v>59.919248242256039</v>
      </c>
    </row>
    <row r="109" spans="1:5">
      <c r="A109" s="291" t="s">
        <v>822</v>
      </c>
      <c r="B109" s="234">
        <f t="shared" ca="1" si="9"/>
        <v>480.12315706416774</v>
      </c>
      <c r="C109" s="228">
        <f t="shared" ca="1" si="10"/>
        <v>983.55336678505978</v>
      </c>
      <c r="D109" s="228">
        <f t="shared" ca="1" si="11"/>
        <v>451.37069634165749</v>
      </c>
      <c r="E109" s="235">
        <f t="shared" ca="1" si="12"/>
        <v>205.68320556248932</v>
      </c>
    </row>
    <row r="110" spans="1:5">
      <c r="A110" s="291" t="s">
        <v>849</v>
      </c>
      <c r="B110" s="234">
        <f t="shared" ca="1" si="9"/>
        <v>1059.2885746515972</v>
      </c>
      <c r="C110" s="228">
        <f t="shared" ca="1" si="10"/>
        <v>1793.5716036105084</v>
      </c>
      <c r="D110" s="228">
        <f t="shared" ca="1" si="11"/>
        <v>784.37360552910195</v>
      </c>
      <c r="E110" s="235">
        <f t="shared" ca="1" si="12"/>
        <v>433.70892441104087</v>
      </c>
    </row>
    <row r="111" spans="1:5">
      <c r="A111" s="291" t="s">
        <v>824</v>
      </c>
      <c r="B111" s="234">
        <f t="shared" ca="1" si="9"/>
        <v>112.42983966642809</v>
      </c>
      <c r="C111" s="228">
        <f t="shared" ca="1" si="10"/>
        <v>160.78946921487497</v>
      </c>
      <c r="D111" s="228">
        <f t="shared" ca="1" si="11"/>
        <v>116.75502529089611</v>
      </c>
      <c r="E111" s="235">
        <f t="shared" ca="1" si="12"/>
        <v>50.23820345550871</v>
      </c>
    </row>
    <row r="112" spans="1:5">
      <c r="A112" s="291" t="s">
        <v>825</v>
      </c>
      <c r="B112" s="234">
        <f t="shared" ca="1" si="9"/>
        <v>80.501634966536429</v>
      </c>
      <c r="C112" s="228">
        <f t="shared" ca="1" si="10"/>
        <v>123.70797576058254</v>
      </c>
      <c r="D112" s="228">
        <f t="shared" ca="1" si="11"/>
        <v>80.51264958638275</v>
      </c>
      <c r="E112" s="235">
        <f t="shared" ca="1" si="12"/>
        <v>36.623004343847583</v>
      </c>
    </row>
    <row r="113" spans="1:5">
      <c r="A113" s="291" t="s">
        <v>826</v>
      </c>
      <c r="B113" s="234">
        <f t="shared" ca="1" si="9"/>
        <v>1773.7593688990924</v>
      </c>
      <c r="C113" s="228">
        <f t="shared" ca="1" si="10"/>
        <v>2692.6758850493857</v>
      </c>
      <c r="D113" s="228">
        <f t="shared" ca="1" si="11"/>
        <v>1534.3577925592056</v>
      </c>
      <c r="E113" s="235">
        <f t="shared" ca="1" si="12"/>
        <v>166.34516207697854</v>
      </c>
    </row>
    <row r="114" spans="1:5">
      <c r="A114" s="483" t="s">
        <v>827</v>
      </c>
      <c r="B114" s="234">
        <f t="shared" ca="1" si="9"/>
        <v>14.516935219386751</v>
      </c>
      <c r="C114" s="228">
        <f t="shared" ca="1" si="10"/>
        <v>21.229773280371038</v>
      </c>
      <c r="D114" s="228">
        <f t="shared" ca="1" si="11"/>
        <v>13.679221962701147</v>
      </c>
      <c r="E114" s="235">
        <f t="shared" ca="1" si="12"/>
        <v>9.9307603545162966</v>
      </c>
    </row>
    <row r="115" spans="1:5">
      <c r="A115" s="483" t="s">
        <v>828</v>
      </c>
      <c r="B115" s="234">
        <f t="shared" ca="1" si="9"/>
        <v>26.383599392575</v>
      </c>
      <c r="C115" s="228">
        <f t="shared" ca="1" si="10"/>
        <v>41.652218722066202</v>
      </c>
      <c r="D115" s="228">
        <f t="shared" ca="1" si="11"/>
        <v>18.299872842933397</v>
      </c>
      <c r="E115" s="235">
        <f t="shared" ca="1" si="12"/>
        <v>11.199853551595298</v>
      </c>
    </row>
    <row r="116" spans="1:5">
      <c r="A116" s="291" t="s">
        <v>829</v>
      </c>
      <c r="B116" s="234">
        <f t="shared" ca="1" si="9"/>
        <v>2209.5583918813663</v>
      </c>
      <c r="C116" s="228">
        <f t="shared" ca="1" si="10"/>
        <v>4064.3850312897252</v>
      </c>
      <c r="D116" s="228">
        <f t="shared" ca="1" si="11"/>
        <v>1026.4416765374649</v>
      </c>
      <c r="E116" s="235">
        <f t="shared" ca="1" si="12"/>
        <v>696.72155411808319</v>
      </c>
    </row>
    <row r="117" spans="1:5">
      <c r="A117" s="291" t="s">
        <v>830</v>
      </c>
      <c r="B117" s="234">
        <f t="shared" ca="1" si="9"/>
        <v>19.272893272834963</v>
      </c>
      <c r="C117" s="228">
        <f t="shared" ca="1" si="10"/>
        <v>34.981325297670828</v>
      </c>
      <c r="D117" s="228">
        <f t="shared" ca="1" si="11"/>
        <v>35.424025927496452</v>
      </c>
      <c r="E117" s="235">
        <f t="shared" ca="1" si="12"/>
        <v>6.3985495428760535</v>
      </c>
    </row>
    <row r="118" spans="1:5">
      <c r="A118" s="291" t="s">
        <v>831</v>
      </c>
      <c r="B118" s="250">
        <f t="shared" ca="1" si="9"/>
        <v>2054840.1729359953</v>
      </c>
      <c r="C118" s="47">
        <f t="shared" ca="1" si="10"/>
        <v>1848637.1043267127</v>
      </c>
      <c r="D118" s="47">
        <f t="shared" ca="1" si="11"/>
        <v>678340.98404751997</v>
      </c>
      <c r="E118" s="245">
        <f t="shared" ca="1" si="12"/>
        <v>531538.71135603287</v>
      </c>
    </row>
    <row r="119" spans="1:5">
      <c r="A119" s="291" t="s">
        <v>850</v>
      </c>
      <c r="B119" s="1315">
        <f ca="1">B118+B108*GREET1_Import_Export!$B$62/GREET1_Import_Export!$B$65+B109*GREET1_Import_Export!$B$63/GREET1_Import_Export!$B$65</f>
        <v>2056064.0361862616</v>
      </c>
      <c r="C119" s="1316">
        <f ca="1">C118+C108*GREET1_Import_Export!$B$62/GREET1_Import_Export!$B$65+C109*GREET1_Import_Export!$B$63/GREET1_Import_Export!$B$65</f>
        <v>1851211.805026961</v>
      </c>
      <c r="D119" s="1316">
        <f ca="1">D118+D108*GREET1_Import_Export!$B$62/GREET1_Import_Export!$B$65+D109*GREET1_Import_Export!$B$63/GREET1_Import_Export!$B$65</f>
        <v>679513.85139216005</v>
      </c>
      <c r="E119" s="1281">
        <f ca="1">E118+E108*GREET1_Import_Export!$B$62/GREET1_Import_Export!$B$65+E109*GREET1_Import_Export!$B$63/GREET1_Import_Export!$B$65</f>
        <v>532048.67614560516</v>
      </c>
    </row>
    <row r="120" spans="1:5">
      <c r="A120" s="292" t="s">
        <v>851</v>
      </c>
      <c r="B120" s="1317">
        <f ca="1">B119+SUMPRODUCT(B116:B117,GREET1_Import_Export!$B$51:$B$52)+SUMPRODUCT(B108:B110,GREET1_Import_Export!$B$55:$B$57)+SUMPRODUCT(B114:B115,GREET1_Import_Export!$B$58:$B$59)</f>
        <v>2127458.1046600039</v>
      </c>
      <c r="C120" s="1280">
        <f ca="1">C119+SUMPRODUCT(C116:C117,GREET1_Import_Export!$B$51:$B$52)+SUMPRODUCT(C108:C110,GREET1_Import_Export!$B$55:$B$57)+SUMPRODUCT(C114:C115,GREET1_Import_Export!$B$58:$B$59)</f>
        <v>1982413.4071695355</v>
      </c>
      <c r="D120" s="1280">
        <f ca="1">D119+SUMPRODUCT(D116:D117,GREET1_Import_Export!$B$51:$B$52)+SUMPRODUCT(D108:D110,GREET1_Import_Export!$B$55:$B$57)+SUMPRODUCT(D114:D115,GREET1_Import_Export!$B$58:$B$59)</f>
        <v>719694.46855907061</v>
      </c>
      <c r="E120" s="1282">
        <f ca="1">E119+SUMPRODUCT(E116:E117,GREET1_Import_Export!$B$51:$B$52)+SUMPRODUCT(E108:E110,GREET1_Import_Export!$B$55:$B$57)+SUMPRODUCT(E114:E115,GREET1_Import_Export!$B$58:$B$59)</f>
        <v>554645.93839800986</v>
      </c>
    </row>
    <row r="121" spans="1:5">
      <c r="A121" s="290" t="s">
        <v>1833</v>
      </c>
      <c r="B121" s="173"/>
      <c r="C121" s="1"/>
      <c r="D121" s="1"/>
      <c r="E121" s="51"/>
    </row>
    <row r="122" spans="1:5">
      <c r="A122" s="291" t="s">
        <v>821</v>
      </c>
      <c r="B122" s="234">
        <f t="shared" ref="B122:B129" ca="1" si="13">SUM(B89:D89)+MMULT($B186:$M186+0,B$6:B$17+0)</f>
        <v>9.3228376339973273</v>
      </c>
      <c r="C122" s="228">
        <f t="shared" ref="C122:C129" ca="1" si="14">SUM(E89:G89)+MMULT($B186:$M186+0,C$6:C$17+0)</f>
        <v>15.551704984525081</v>
      </c>
      <c r="D122" s="228">
        <f t="shared" ref="D122:D129" ca="1" si="15">SUM(H89:J89)+MMULT($B186:$M186+0,D$6:D$17+0)</f>
        <v>16.416191726911066</v>
      </c>
      <c r="E122" s="235">
        <f t="shared" ref="E122:E129" ca="1" si="16">SUM(K89:M89)+MMULT($B186:$M186+0,E$6:E$17+0)</f>
        <v>3.5188978947080467</v>
      </c>
    </row>
    <row r="123" spans="1:5">
      <c r="A123" s="291" t="s">
        <v>822</v>
      </c>
      <c r="B123" s="234">
        <f t="shared" ca="1" si="13"/>
        <v>43.607980602916385</v>
      </c>
      <c r="C123" s="228">
        <f t="shared" ca="1" si="14"/>
        <v>62.807616527660358</v>
      </c>
      <c r="D123" s="228">
        <f t="shared" ca="1" si="15"/>
        <v>13.897053659654269</v>
      </c>
      <c r="E123" s="235">
        <f t="shared" ca="1" si="16"/>
        <v>16.015400446404861</v>
      </c>
    </row>
    <row r="124" spans="1:5">
      <c r="A124" s="291" t="s">
        <v>823</v>
      </c>
      <c r="B124" s="234">
        <f t="shared" ca="1" si="13"/>
        <v>124.60713405093685</v>
      </c>
      <c r="C124" s="228">
        <f t="shared" ca="1" si="14"/>
        <v>145.98115225297971</v>
      </c>
      <c r="D124" s="228">
        <f t="shared" ca="1" si="15"/>
        <v>38.292525377293828</v>
      </c>
      <c r="E124" s="235">
        <f t="shared" ca="1" si="16"/>
        <v>46.505275764615881</v>
      </c>
    </row>
    <row r="125" spans="1:5">
      <c r="A125" s="483" t="s">
        <v>824</v>
      </c>
      <c r="B125" s="234">
        <f t="shared" ca="1" si="13"/>
        <v>15.671512502061525</v>
      </c>
      <c r="C125" s="228">
        <f t="shared" ca="1" si="14"/>
        <v>15.538775180550534</v>
      </c>
      <c r="D125" s="228">
        <f t="shared" ca="1" si="15"/>
        <v>4.041217333417217</v>
      </c>
      <c r="E125" s="235">
        <f t="shared" ca="1" si="16"/>
        <v>6.2728646961024186</v>
      </c>
    </row>
    <row r="126" spans="1:5">
      <c r="A126" s="291" t="s">
        <v>825</v>
      </c>
      <c r="B126" s="234">
        <f t="shared" ca="1" si="13"/>
        <v>13.863041933159796</v>
      </c>
      <c r="C126" s="228">
        <f t="shared" ca="1" si="14"/>
        <v>13.854748680944629</v>
      </c>
      <c r="D126" s="228">
        <f t="shared" ca="1" si="15"/>
        <v>3.5974257235312868</v>
      </c>
      <c r="E126" s="235">
        <f t="shared" ca="1" si="16"/>
        <v>5.5103607198767</v>
      </c>
    </row>
    <row r="127" spans="1:5">
      <c r="A127" s="483" t="s">
        <v>826</v>
      </c>
      <c r="B127" s="234">
        <f t="shared" ca="1" si="13"/>
        <v>110.08800622899415</v>
      </c>
      <c r="C127" s="228">
        <f t="shared" ca="1" si="14"/>
        <v>101.87855665939922</v>
      </c>
      <c r="D127" s="228">
        <f t="shared" ca="1" si="15"/>
        <v>25.272461667759615</v>
      </c>
      <c r="E127" s="235">
        <f t="shared" ca="1" si="16"/>
        <v>45.30648759083121</v>
      </c>
    </row>
    <row r="128" spans="1:5">
      <c r="A128" s="291" t="s">
        <v>827</v>
      </c>
      <c r="B128" s="234">
        <f t="shared" ca="1" si="13"/>
        <v>0.82515150486906497</v>
      </c>
      <c r="C128" s="228">
        <f t="shared" ca="1" si="14"/>
        <v>0.92193189722138835</v>
      </c>
      <c r="D128" s="228">
        <f t="shared" ca="1" si="15"/>
        <v>0.28659081674475406</v>
      </c>
      <c r="E128" s="235">
        <f t="shared" ca="1" si="16"/>
        <v>0.30123992834244445</v>
      </c>
    </row>
    <row r="129" spans="1:12">
      <c r="A129" s="484" t="s">
        <v>828</v>
      </c>
      <c r="B129" s="249">
        <f t="shared" ca="1" si="13"/>
        <v>3.9923324341205833</v>
      </c>
      <c r="C129" s="231">
        <f t="shared" ca="1" si="14"/>
        <v>3.9983026802759878</v>
      </c>
      <c r="D129" s="231">
        <f t="shared" ca="1" si="15"/>
        <v>1.0659332770798617</v>
      </c>
      <c r="E129" s="237">
        <f t="shared" ca="1" si="16"/>
        <v>1.5474764651591146</v>
      </c>
      <c r="F129" s="1321"/>
      <c r="G129" s="1321"/>
      <c r="H129" s="1321"/>
      <c r="I129" s="1321"/>
      <c r="J129" s="1321"/>
      <c r="K129" s="1321"/>
      <c r="L129" s="1321"/>
    </row>
    <row r="130" spans="1:12">
      <c r="A130" s="5"/>
      <c r="B130" s="228"/>
      <c r="C130" s="228"/>
      <c r="D130" s="228"/>
      <c r="E130" s="228"/>
      <c r="F130" s="1321"/>
      <c r="G130" s="1321"/>
      <c r="H130" s="1321"/>
      <c r="I130" s="1321"/>
      <c r="J130" s="1321"/>
      <c r="K130" s="1321"/>
      <c r="L130" s="1321"/>
    </row>
    <row r="131" spans="1:12" ht="15">
      <c r="A131" s="120" t="s">
        <v>1837</v>
      </c>
      <c r="B131" s="1321"/>
      <c r="C131" s="1321"/>
      <c r="D131" s="1321"/>
      <c r="E131" s="1321"/>
      <c r="F131" s="1321"/>
      <c r="G131" s="1321"/>
      <c r="H131" s="1321"/>
      <c r="I131" s="1321"/>
      <c r="J131" s="1321"/>
      <c r="K131" s="1321"/>
      <c r="L131" s="1321"/>
    </row>
    <row r="132" spans="1:12" ht="40.5">
      <c r="A132" s="1299"/>
      <c r="B132" s="1300" t="s">
        <v>1838</v>
      </c>
      <c r="C132" s="1300" t="s">
        <v>1839</v>
      </c>
      <c r="D132" s="1300" t="s">
        <v>1840</v>
      </c>
      <c r="E132" s="1300" t="s">
        <v>1841</v>
      </c>
      <c r="F132" s="1300" t="s">
        <v>1842</v>
      </c>
      <c r="G132" s="1300" t="s">
        <v>1843</v>
      </c>
      <c r="H132" s="1410" t="s">
        <v>1844</v>
      </c>
      <c r="I132" s="1410" t="s">
        <v>1845</v>
      </c>
      <c r="J132" s="1300" t="s">
        <v>1846</v>
      </c>
      <c r="K132" s="1301" t="s">
        <v>1847</v>
      </c>
      <c r="L132" s="1321"/>
    </row>
    <row r="133" spans="1:12">
      <c r="A133" s="290" t="s">
        <v>1848</v>
      </c>
      <c r="B133" s="80"/>
      <c r="C133" s="131"/>
      <c r="D133" s="131"/>
      <c r="E133" s="131"/>
      <c r="F133" s="131"/>
      <c r="G133" s="131"/>
      <c r="H133" s="1411"/>
      <c r="I133" s="1411"/>
      <c r="J133" s="1321"/>
      <c r="K133" s="50"/>
      <c r="L133" s="1321"/>
    </row>
    <row r="134" spans="1:12">
      <c r="A134" s="291" t="s">
        <v>816</v>
      </c>
      <c r="B134" s="234">
        <f ca="1">B101*$B$28/$B$21</f>
        <v>58.582348118854476</v>
      </c>
      <c r="C134" s="228">
        <f ca="1">C101*$C$28/$C$21</f>
        <v>89.469593102040037</v>
      </c>
      <c r="D134" s="228">
        <f ca="1">D101*$D$28/$D$21</f>
        <v>20.360454405391145</v>
      </c>
      <c r="E134" s="228">
        <f ca="1">B101*$B$29/$B$22</f>
        <v>12.88373012294058</v>
      </c>
      <c r="F134" s="228">
        <f ca="1">C101*$C$29/$C$22</f>
        <v>19.677031342265231</v>
      </c>
      <c r="G134" s="228">
        <f ca="1">D101*$D$29/$D$22</f>
        <v>4.4679169931522154</v>
      </c>
      <c r="H134" s="1412">
        <f ca="1">IFERROR(B101*$B$30/$B$23,0)</f>
        <v>0</v>
      </c>
      <c r="I134" s="1412">
        <f ca="1">IFERROR(C101*$C$30/$C$23,0)</f>
        <v>0</v>
      </c>
      <c r="J134" s="228">
        <f ca="1">D101*$D$30/$D$23</f>
        <v>8.2449261471178161</v>
      </c>
      <c r="K134" s="235">
        <f ca="1">E101*$E$31/$E$24</f>
        <v>14.892355831390269</v>
      </c>
      <c r="L134" s="1318"/>
    </row>
    <row r="135" spans="1:12">
      <c r="A135" s="291" t="s">
        <v>817</v>
      </c>
      <c r="B135" s="234">
        <f t="shared" ref="B135:B162" ca="1" si="17">B102*$B$28/$B$21</f>
        <v>49.94757851630709</v>
      </c>
      <c r="C135" s="228">
        <f t="shared" ref="C135:C162" ca="1" si="18">C102*$C$28/$C$21</f>
        <v>82.319001074220949</v>
      </c>
      <c r="D135" s="228">
        <f t="shared" ref="D135:D162" ca="1" si="19">D102*$D$28/$D$21</f>
        <v>19.621288408620146</v>
      </c>
      <c r="E135" s="228">
        <f t="shared" ref="E135:E162" ca="1" si="20">B102*$B$29/$B$22</f>
        <v>10.984727354951724</v>
      </c>
      <c r="F135" s="228">
        <f t="shared" ref="F135:F162" ca="1" si="21">C102*$C$29/$C$22</f>
        <v>18.104402937811923</v>
      </c>
      <c r="G135" s="228">
        <f t="shared" ref="G135:G162" ca="1" si="22">D102*$D$29/$D$22</f>
        <v>4.3057137214580932</v>
      </c>
      <c r="H135" s="1412">
        <f t="shared" ref="H135:H162" ca="1" si="23">IFERROR(B102*$B$30/$B$23,0)</f>
        <v>0</v>
      </c>
      <c r="I135" s="1412">
        <f t="shared" ref="I135:I162" ca="1" si="24">IFERROR(C102*$C$30/$C$23,0)</f>
        <v>0</v>
      </c>
      <c r="J135" s="228">
        <f t="shared" ref="J135:J162" ca="1" si="25">D102*$D$30/$D$23</f>
        <v>7.945602323960709</v>
      </c>
      <c r="K135" s="235">
        <f t="shared" ref="K135:K162" ca="1" si="26">E102*$E$31/$E$24</f>
        <v>12.1596807712406</v>
      </c>
      <c r="L135" s="1321"/>
    </row>
    <row r="136" spans="1:12">
      <c r="A136" s="291" t="s">
        <v>805</v>
      </c>
      <c r="B136" s="234">
        <f t="shared" ca="1" si="17"/>
        <v>11.848824660444585</v>
      </c>
      <c r="C136" s="228">
        <f t="shared" ca="1" si="18"/>
        <v>10.896419154196941</v>
      </c>
      <c r="D136" s="228">
        <f t="shared" ca="1" si="19"/>
        <v>6.6009273925276162</v>
      </c>
      <c r="E136" s="228">
        <f t="shared" ca="1" si="20"/>
        <v>2.6058542223246781</v>
      </c>
      <c r="F136" s="228">
        <f t="shared" ca="1" si="21"/>
        <v>2.3964474832366656</v>
      </c>
      <c r="G136" s="228">
        <f t="shared" ca="1" si="22"/>
        <v>1.4485136274674173</v>
      </c>
      <c r="H136" s="1412">
        <f t="shared" ca="1" si="23"/>
        <v>0</v>
      </c>
      <c r="I136" s="1412">
        <f t="shared" ca="1" si="24"/>
        <v>0</v>
      </c>
      <c r="J136" s="228">
        <f t="shared" ca="1" si="25"/>
        <v>2.6730326234500179</v>
      </c>
      <c r="K136" s="235">
        <f t="shared" ca="1" si="26"/>
        <v>3.6835462559652861</v>
      </c>
      <c r="L136" s="1321"/>
    </row>
    <row r="137" spans="1:12">
      <c r="A137" s="291" t="s">
        <v>804</v>
      </c>
      <c r="B137" s="234">
        <f t="shared" ca="1" si="17"/>
        <v>34.335290356125199</v>
      </c>
      <c r="C137" s="228">
        <f t="shared" ca="1" si="18"/>
        <v>65.983399967186543</v>
      </c>
      <c r="D137" s="228">
        <f t="shared" ca="1" si="19"/>
        <v>9.7527788964937265</v>
      </c>
      <c r="E137" s="228">
        <f t="shared" ca="1" si="20"/>
        <v>7.551192959074096</v>
      </c>
      <c r="F137" s="228">
        <f t="shared" ca="1" si="21"/>
        <v>14.511717156719111</v>
      </c>
      <c r="G137" s="228">
        <f t="shared" ca="1" si="22"/>
        <v>2.1401588439284893</v>
      </c>
      <c r="H137" s="1412">
        <f t="shared" ca="1" si="23"/>
        <v>0</v>
      </c>
      <c r="I137" s="1412">
        <f t="shared" ca="1" si="24"/>
        <v>0</v>
      </c>
      <c r="J137" s="228">
        <f t="shared" ca="1" si="25"/>
        <v>3.9493687188763493</v>
      </c>
      <c r="K137" s="235">
        <f t="shared" ca="1" si="26"/>
        <v>6.824777697174703</v>
      </c>
      <c r="L137" s="1321"/>
    </row>
    <row r="138" spans="1:12">
      <c r="A138" s="291" t="s">
        <v>818</v>
      </c>
      <c r="B138" s="234">
        <f t="shared" ca="1" si="17"/>
        <v>3.7634634997373002</v>
      </c>
      <c r="C138" s="228">
        <f t="shared" ca="1" si="18"/>
        <v>5.439181952837461</v>
      </c>
      <c r="D138" s="228">
        <f t="shared" ca="1" si="19"/>
        <v>3.2675821195988028</v>
      </c>
      <c r="E138" s="228">
        <f t="shared" ca="1" si="20"/>
        <v>0.82768017355295054</v>
      </c>
      <c r="F138" s="228">
        <f t="shared" ca="1" si="21"/>
        <v>1.1962382978561434</v>
      </c>
      <c r="G138" s="228">
        <f t="shared" ca="1" si="22"/>
        <v>0.71704125006218677</v>
      </c>
      <c r="H138" s="1412">
        <f t="shared" ca="1" si="23"/>
        <v>0</v>
      </c>
      <c r="I138" s="1412">
        <f t="shared" ca="1" si="24"/>
        <v>0</v>
      </c>
      <c r="J138" s="228">
        <f t="shared" ca="1" si="25"/>
        <v>1.3232009816343415</v>
      </c>
      <c r="K138" s="235">
        <f t="shared" ca="1" si="26"/>
        <v>1.6513568181006144</v>
      </c>
      <c r="L138" s="1321"/>
    </row>
    <row r="139" spans="1:12">
      <c r="A139" s="880" t="s">
        <v>1836</v>
      </c>
      <c r="B139" s="242">
        <f t="shared" ca="1" si="17"/>
        <v>2578.757867591054</v>
      </c>
      <c r="C139" s="53">
        <f t="shared" ca="1" si="18"/>
        <v>9561.2181831560174</v>
      </c>
      <c r="D139" s="53">
        <f t="shared" ca="1" si="19"/>
        <v>1522.2095846569757</v>
      </c>
      <c r="E139" s="53">
        <f t="shared" ca="1" si="20"/>
        <v>567.13364153731959</v>
      </c>
      <c r="F139" s="53">
        <f t="shared" ca="1" si="21"/>
        <v>2102.7969764613513</v>
      </c>
      <c r="G139" s="53">
        <f t="shared" ca="1" si="22"/>
        <v>334.03508266629092</v>
      </c>
      <c r="H139" s="1413">
        <f t="shared" ca="1" si="23"/>
        <v>0</v>
      </c>
      <c r="I139" s="1413">
        <f t="shared" ca="1" si="24"/>
        <v>0</v>
      </c>
      <c r="J139" s="53">
        <f t="shared" ca="1" si="25"/>
        <v>616.41579092696782</v>
      </c>
      <c r="K139" s="243">
        <f t="shared" ca="1" si="26"/>
        <v>3231.3531687973823</v>
      </c>
      <c r="L139" s="1321"/>
    </row>
    <row r="140" spans="1:12">
      <c r="A140" s="293" t="s">
        <v>1849</v>
      </c>
      <c r="B140" s="173"/>
      <c r="C140" s="1"/>
      <c r="D140" s="1"/>
      <c r="E140" s="1"/>
      <c r="F140" s="1"/>
      <c r="G140" s="1"/>
      <c r="H140" s="1277"/>
      <c r="I140" s="1277"/>
      <c r="J140" s="1"/>
      <c r="K140" s="51"/>
      <c r="L140" s="1321"/>
    </row>
    <row r="141" spans="1:12">
      <c r="A141" s="291" t="s">
        <v>821</v>
      </c>
      <c r="B141" s="234">
        <f t="shared" ca="1" si="17"/>
        <v>557.89144054375845</v>
      </c>
      <c r="C141" s="228">
        <f t="shared" ca="1" si="18"/>
        <v>1148.7616031558116</v>
      </c>
      <c r="D141" s="228">
        <f t="shared" ca="1" si="19"/>
        <v>436.5345267624341</v>
      </c>
      <c r="E141" s="228">
        <f t="shared" ca="1" si="20"/>
        <v>122.69434375149255</v>
      </c>
      <c r="F141" s="228">
        <f t="shared" ca="1" si="21"/>
        <v>252.64693049746694</v>
      </c>
      <c r="G141" s="228">
        <f t="shared" ca="1" si="22"/>
        <v>95.793541312275593</v>
      </c>
      <c r="H141" s="1412">
        <f t="shared" ca="1" si="23"/>
        <v>0</v>
      </c>
      <c r="I141" s="1412">
        <f t="shared" ca="1" si="24"/>
        <v>0</v>
      </c>
      <c r="J141" s="228">
        <f t="shared" ca="1" si="25"/>
        <v>176.7738019083838</v>
      </c>
      <c r="K141" s="235">
        <f t="shared" ca="1" si="26"/>
        <v>163.63520901371362</v>
      </c>
      <c r="L141" s="1321"/>
    </row>
    <row r="142" spans="1:12">
      <c r="A142" s="291" t="s">
        <v>822</v>
      </c>
      <c r="B142" s="234">
        <f t="shared" ca="1" si="17"/>
        <v>1778.5432176987852</v>
      </c>
      <c r="C142" s="228">
        <f t="shared" ca="1" si="18"/>
        <v>3421.7912582581221</v>
      </c>
      <c r="D142" s="228">
        <f t="shared" ca="1" si="19"/>
        <v>1324.7273133783794</v>
      </c>
      <c r="E142" s="228">
        <f t="shared" ca="1" si="20"/>
        <v>391.14633613401793</v>
      </c>
      <c r="F142" s="228">
        <f t="shared" ca="1" si="21"/>
        <v>752.55392922871147</v>
      </c>
      <c r="G142" s="228">
        <f t="shared" ca="1" si="22"/>
        <v>290.69938994922137</v>
      </c>
      <c r="H142" s="1412">
        <f t="shared" ca="1" si="23"/>
        <v>0</v>
      </c>
      <c r="I142" s="1412">
        <f t="shared" ca="1" si="24"/>
        <v>0</v>
      </c>
      <c r="J142" s="228">
        <f t="shared" ca="1" si="25"/>
        <v>536.44573182917179</v>
      </c>
      <c r="K142" s="235">
        <f t="shared" ca="1" si="26"/>
        <v>561.70621828818423</v>
      </c>
      <c r="L142" s="1321"/>
    </row>
    <row r="143" spans="1:12">
      <c r="A143" s="291" t="s">
        <v>849</v>
      </c>
      <c r="B143" s="234">
        <f t="shared" ca="1" si="17"/>
        <v>3923.9734270526319</v>
      </c>
      <c r="C143" s="228">
        <f t="shared" ca="1" si="18"/>
        <v>6239.8521946553765</v>
      </c>
      <c r="D143" s="228">
        <f t="shared" ca="1" si="19"/>
        <v>2302.0571507171239</v>
      </c>
      <c r="E143" s="228">
        <f t="shared" ca="1" si="20"/>
        <v>862.98033908042237</v>
      </c>
      <c r="F143" s="228">
        <f t="shared" ca="1" si="21"/>
        <v>1372.3295585496155</v>
      </c>
      <c r="G143" s="228">
        <f t="shared" ca="1" si="22"/>
        <v>505.16555564561406</v>
      </c>
      <c r="H143" s="1412">
        <f t="shared" ca="1" si="23"/>
        <v>0</v>
      </c>
      <c r="I143" s="1412">
        <f t="shared" ca="1" si="24"/>
        <v>0</v>
      </c>
      <c r="J143" s="228">
        <f t="shared" ca="1" si="25"/>
        <v>932.21353591604782</v>
      </c>
      <c r="K143" s="235">
        <f ca="1">E110*$E$31/$E$24</f>
        <v>1184.4282526739773</v>
      </c>
      <c r="L143" s="1321"/>
    </row>
    <row r="144" spans="1:12">
      <c r="A144" s="291" t="s">
        <v>824</v>
      </c>
      <c r="B144" s="234">
        <f t="shared" ca="1" si="17"/>
        <v>416.47924259350611</v>
      </c>
      <c r="C144" s="228">
        <f t="shared" ca="1" si="18"/>
        <v>559.38805026698424</v>
      </c>
      <c r="D144" s="228">
        <f t="shared" ca="1" si="19"/>
        <v>342.66418318826743</v>
      </c>
      <c r="E144" s="228">
        <f t="shared" ca="1" si="20"/>
        <v>91.594248706027386</v>
      </c>
      <c r="F144" s="228">
        <f t="shared" ca="1" si="21"/>
        <v>123.02611217912323</v>
      </c>
      <c r="G144" s="228">
        <f t="shared" ca="1" si="22"/>
        <v>75.194546080764255</v>
      </c>
      <c r="H144" s="1412">
        <f t="shared" ca="1" si="23"/>
        <v>0</v>
      </c>
      <c r="I144" s="1412">
        <f t="shared" ca="1" si="24"/>
        <v>0</v>
      </c>
      <c r="J144" s="228">
        <f t="shared" ca="1" si="25"/>
        <v>138.76119006959067</v>
      </c>
      <c r="K144" s="235">
        <f t="shared" ca="1" si="26"/>
        <v>137.19696364812265</v>
      </c>
      <c r="L144" s="1321"/>
    </row>
    <row r="145" spans="1:11">
      <c r="A145" s="291" t="s">
        <v>825</v>
      </c>
      <c r="B145" s="234">
        <f t="shared" ca="1" si="17"/>
        <v>298.20606395842208</v>
      </c>
      <c r="C145" s="228">
        <f t="shared" ca="1" si="18"/>
        <v>430.38119163581212</v>
      </c>
      <c r="D145" s="228">
        <f t="shared" ca="1" si="19"/>
        <v>236.29647835802626</v>
      </c>
      <c r="E145" s="228">
        <f t="shared" ca="1" si="20"/>
        <v>65.583005332422573</v>
      </c>
      <c r="F145" s="228">
        <f t="shared" ca="1" si="21"/>
        <v>94.653657218278298</v>
      </c>
      <c r="G145" s="228">
        <f t="shared" ca="1" si="22"/>
        <v>51.853118307531624</v>
      </c>
      <c r="H145" s="1412">
        <f t="shared" ca="1" si="23"/>
        <v>0</v>
      </c>
      <c r="I145" s="1412">
        <f t="shared" ca="1" si="24"/>
        <v>0</v>
      </c>
      <c r="J145" s="228">
        <f t="shared" ca="1" si="25"/>
        <v>95.687796259109177</v>
      </c>
      <c r="K145" s="235">
        <f t="shared" ca="1" si="26"/>
        <v>100.01482238706411</v>
      </c>
    </row>
    <row r="146" spans="1:11">
      <c r="A146" s="291" t="s">
        <v>826</v>
      </c>
      <c r="B146" s="234">
        <f t="shared" ca="1" si="17"/>
        <v>6570.621826856679</v>
      </c>
      <c r="C146" s="228">
        <f t="shared" ca="1" si="18"/>
        <v>9367.8443040681159</v>
      </c>
      <c r="D146" s="228">
        <f t="shared" ca="1" si="19"/>
        <v>4503.1848384760679</v>
      </c>
      <c r="E146" s="228">
        <f t="shared" ca="1" si="20"/>
        <v>1445.0448142736482</v>
      </c>
      <c r="F146" s="228">
        <f t="shared" ca="1" si="21"/>
        <v>2060.2682943956088</v>
      </c>
      <c r="G146" s="228">
        <f t="shared" ca="1" si="22"/>
        <v>988.18305635679735</v>
      </c>
      <c r="H146" s="1412">
        <f t="shared" ca="1" si="23"/>
        <v>0</v>
      </c>
      <c r="I146" s="1412">
        <f t="shared" ca="1" si="24"/>
        <v>0</v>
      </c>
      <c r="J146" s="228">
        <f t="shared" ca="1" si="25"/>
        <v>1823.5558834200085</v>
      </c>
      <c r="K146" s="235">
        <f t="shared" ca="1" si="26"/>
        <v>454.27681693927724</v>
      </c>
    </row>
    <row r="147" spans="1:11">
      <c r="A147" s="483" t="s">
        <v>827</v>
      </c>
      <c r="B147" s="234">
        <f t="shared" ca="1" si="17"/>
        <v>53.775778769117487</v>
      </c>
      <c r="C147" s="228">
        <f t="shared" ca="1" si="18"/>
        <v>73.858577560490062</v>
      </c>
      <c r="D147" s="228">
        <f t="shared" ca="1" si="19"/>
        <v>40.147132072656852</v>
      </c>
      <c r="E147" s="228">
        <f t="shared" ca="1" si="20"/>
        <v>11.826644766894933</v>
      </c>
      <c r="F147" s="228">
        <f t="shared" ca="1" si="21"/>
        <v>16.243703532834697</v>
      </c>
      <c r="G147" s="228">
        <f t="shared" ca="1" si="22"/>
        <v>8.8099238868781988</v>
      </c>
      <c r="H147" s="1412">
        <f t="shared" ca="1" si="23"/>
        <v>0</v>
      </c>
      <c r="I147" s="1412">
        <f t="shared" ca="1" si="24"/>
        <v>0</v>
      </c>
      <c r="J147" s="228">
        <f t="shared" ca="1" si="25"/>
        <v>16.257502527546446</v>
      </c>
      <c r="K147" s="235">
        <f t="shared" ca="1" si="26"/>
        <v>27.12020083607095</v>
      </c>
    </row>
    <row r="148" spans="1:11">
      <c r="A148" s="483" t="s">
        <v>828</v>
      </c>
      <c r="B148" s="234">
        <f t="shared" ca="1" si="17"/>
        <v>97.734031503659963</v>
      </c>
      <c r="C148" s="228">
        <f t="shared" ca="1" si="18"/>
        <v>144.90845410462418</v>
      </c>
      <c r="D148" s="228">
        <f t="shared" ca="1" si="19"/>
        <v>53.708274779174616</v>
      </c>
      <c r="E148" s="228">
        <f t="shared" ca="1" si="20"/>
        <v>21.494168911861465</v>
      </c>
      <c r="F148" s="228">
        <f t="shared" ca="1" si="21"/>
        <v>31.869689961861216</v>
      </c>
      <c r="G148" s="228">
        <f t="shared" ca="1" si="22"/>
        <v>11.785793616434411</v>
      </c>
      <c r="H148" s="1412">
        <f t="shared" ca="1" si="23"/>
        <v>0</v>
      </c>
      <c r="I148" s="1412">
        <f t="shared" ca="1" si="24"/>
        <v>0</v>
      </c>
      <c r="J148" s="228">
        <f t="shared" ca="1" si="25"/>
        <v>21.749060714782122</v>
      </c>
      <c r="K148" s="235">
        <f t="shared" ca="1" si="26"/>
        <v>30.586004173961523</v>
      </c>
    </row>
    <row r="149" spans="1:11">
      <c r="A149" s="291" t="s">
        <v>829</v>
      </c>
      <c r="B149" s="234">
        <f t="shared" ca="1" si="17"/>
        <v>8184.9730307110076</v>
      </c>
      <c r="C149" s="228">
        <f t="shared" ca="1" si="18"/>
        <v>14140.033108444037</v>
      </c>
      <c r="D149" s="228">
        <f t="shared" ca="1" si="19"/>
        <v>3012.5024409423145</v>
      </c>
      <c r="E149" s="228">
        <f t="shared" ca="1" si="20"/>
        <v>1800.0812015469228</v>
      </c>
      <c r="F149" s="228">
        <f t="shared" ca="1" si="21"/>
        <v>3109.8149103930286</v>
      </c>
      <c r="G149" s="228">
        <f t="shared" ca="1" si="22"/>
        <v>661.06632886517468</v>
      </c>
      <c r="H149" s="1412">
        <f t="shared" ca="1" si="23"/>
        <v>0</v>
      </c>
      <c r="I149" s="1412">
        <f t="shared" ca="1" si="24"/>
        <v>0</v>
      </c>
      <c r="J149" s="228">
        <f t="shared" ca="1" si="25"/>
        <v>1219.9069651905627</v>
      </c>
      <c r="K149" s="235">
        <f t="shared" ca="1" si="26"/>
        <v>1902.6970544011515</v>
      </c>
    </row>
    <row r="150" spans="1:11">
      <c r="A150" s="291" t="s">
        <v>830</v>
      </c>
      <c r="B150" s="234">
        <f t="shared" ca="1" si="17"/>
        <v>71.393502086907262</v>
      </c>
      <c r="C150" s="228">
        <f t="shared" ca="1" si="18"/>
        <v>121.70035419340093</v>
      </c>
      <c r="D150" s="228">
        <f t="shared" ca="1" si="19"/>
        <v>103.96593105472158</v>
      </c>
      <c r="E150" s="228">
        <f t="shared" ca="1" si="20"/>
        <v>15.701224736726969</v>
      </c>
      <c r="F150" s="228">
        <f t="shared" ca="1" si="21"/>
        <v>26.765536768421125</v>
      </c>
      <c r="G150" s="228">
        <f t="shared" ca="1" si="22"/>
        <v>22.814380308982035</v>
      </c>
      <c r="H150" s="1412">
        <f t="shared" ca="1" si="23"/>
        <v>0</v>
      </c>
      <c r="I150" s="1412">
        <f t="shared" ca="1" si="24"/>
        <v>0</v>
      </c>
      <c r="J150" s="228">
        <f t="shared" ca="1" si="25"/>
        <v>42.100800222589854</v>
      </c>
      <c r="K150" s="235">
        <f t="shared" ca="1" si="26"/>
        <v>17.473984112750326</v>
      </c>
    </row>
    <row r="151" spans="1:11">
      <c r="A151" s="291" t="s">
        <v>831</v>
      </c>
      <c r="B151" s="250">
        <f t="shared" ca="1" si="17"/>
        <v>7611842.9183408003</v>
      </c>
      <c r="C151" s="47">
        <f t="shared" ca="1" si="18"/>
        <v>6431425.5808542473</v>
      </c>
      <c r="D151" s="47">
        <f t="shared" ca="1" si="19"/>
        <v>1990862.1375622586</v>
      </c>
      <c r="E151" s="47">
        <f t="shared" ca="1" si="20"/>
        <v>1674035.4910177498</v>
      </c>
      <c r="F151" s="47">
        <f t="shared" ca="1" si="21"/>
        <v>1414462.2585416657</v>
      </c>
      <c r="G151" s="47">
        <f t="shared" ca="1" si="22"/>
        <v>436876.63341553387</v>
      </c>
      <c r="H151" s="1414">
        <f t="shared" ca="1" si="23"/>
        <v>0</v>
      </c>
      <c r="I151" s="1414">
        <f t="shared" ca="1" si="24"/>
        <v>0</v>
      </c>
      <c r="J151" s="47">
        <f t="shared" ca="1" si="25"/>
        <v>806195.72463704995</v>
      </c>
      <c r="K151" s="245">
        <f t="shared" ca="1" si="26"/>
        <v>1451594.4489150953</v>
      </c>
    </row>
    <row r="152" spans="1:11">
      <c r="A152" s="291" t="s">
        <v>850</v>
      </c>
      <c r="B152" s="1315">
        <f t="shared" ca="1" si="17"/>
        <v>7616376.533624975</v>
      </c>
      <c r="C152" s="1316">
        <f t="shared" ca="1" si="18"/>
        <v>6440382.9883994404</v>
      </c>
      <c r="D152" s="1316">
        <f t="shared" ca="1" si="19"/>
        <v>1994304.3845202625</v>
      </c>
      <c r="E152" s="1316">
        <f t="shared" ca="1" si="20"/>
        <v>1675032.5469173195</v>
      </c>
      <c r="F152" s="1316">
        <f t="shared" ca="1" si="21"/>
        <v>1416432.2595543137</v>
      </c>
      <c r="G152" s="1316">
        <f t="shared" ca="1" si="22"/>
        <v>437632.00327968685</v>
      </c>
      <c r="H152" s="1415">
        <f t="shared" ca="1" si="23"/>
        <v>0</v>
      </c>
      <c r="I152" s="1415">
        <f t="shared" ca="1" si="24"/>
        <v>0</v>
      </c>
      <c r="J152" s="1316">
        <f t="shared" ca="1" si="25"/>
        <v>807589.65580301499</v>
      </c>
      <c r="K152" s="1281">
        <f t="shared" ca="1" si="26"/>
        <v>1452987.1265166884</v>
      </c>
    </row>
    <row r="153" spans="1:11">
      <c r="A153" s="292" t="s">
        <v>851</v>
      </c>
      <c r="B153" s="1317">
        <f t="shared" ca="1" si="17"/>
        <v>7880845.0025993343</v>
      </c>
      <c r="C153" s="1280">
        <f t="shared" ca="1" si="18"/>
        <v>6896834.5755140129</v>
      </c>
      <c r="D153" s="1280">
        <f t="shared" ca="1" si="19"/>
        <v>2112230.4294780334</v>
      </c>
      <c r="E153" s="1280">
        <f t="shared" ca="1" si="20"/>
        <v>1733195.8075189597</v>
      </c>
      <c r="F153" s="1280">
        <f t="shared" ca="1" si="21"/>
        <v>1516819.5741097361</v>
      </c>
      <c r="G153" s="1280">
        <f t="shared" ca="1" si="22"/>
        <v>463509.80392752239</v>
      </c>
      <c r="H153" s="1416">
        <f t="shared" ca="1" si="23"/>
        <v>0</v>
      </c>
      <c r="I153" s="1416">
        <f t="shared" ca="1" si="24"/>
        <v>0</v>
      </c>
      <c r="J153" s="1280">
        <f t="shared" ca="1" si="25"/>
        <v>855343.57681771833</v>
      </c>
      <c r="K153" s="1282">
        <f t="shared" ca="1" si="26"/>
        <v>1514698.6439386019</v>
      </c>
    </row>
    <row r="154" spans="1:11">
      <c r="A154" s="290" t="s">
        <v>1850</v>
      </c>
      <c r="B154" s="173"/>
      <c r="C154" s="1"/>
      <c r="D154" s="1"/>
      <c r="E154" s="1"/>
      <c r="F154" s="1"/>
      <c r="G154" s="1"/>
      <c r="H154" s="1277"/>
      <c r="I154" s="1277"/>
      <c r="J154" s="1"/>
      <c r="K154" s="51"/>
    </row>
    <row r="155" spans="1:11">
      <c r="A155" s="291" t="s">
        <v>821</v>
      </c>
      <c r="B155" s="234">
        <f t="shared" ca="1" si="17"/>
        <v>34.535034187982106</v>
      </c>
      <c r="C155" s="228">
        <f t="shared" ca="1" si="18"/>
        <v>54.104525452441905</v>
      </c>
      <c r="D155" s="228">
        <f t="shared" ca="1" si="19"/>
        <v>48.179861339146981</v>
      </c>
      <c r="E155" s="228">
        <f t="shared" ca="1" si="20"/>
        <v>7.595121645888514</v>
      </c>
      <c r="F155" s="228">
        <f t="shared" ca="1" si="21"/>
        <v>11.899198444681552</v>
      </c>
      <c r="G155" s="228">
        <f t="shared" ca="1" si="22"/>
        <v>10.572633445150108</v>
      </c>
      <c r="H155" s="1412">
        <f t="shared" ca="1" si="23"/>
        <v>0</v>
      </c>
      <c r="I155" s="1412">
        <f t="shared" ca="1" si="24"/>
        <v>0</v>
      </c>
      <c r="J155" s="228">
        <f t="shared" ca="1" si="25"/>
        <v>19.510340516489684</v>
      </c>
      <c r="K155" s="235">
        <f t="shared" ca="1" si="26"/>
        <v>9.6098600932111413</v>
      </c>
    </row>
    <row r="156" spans="1:11">
      <c r="A156" s="291" t="s">
        <v>822</v>
      </c>
      <c r="B156" s="234">
        <f t="shared" ca="1" si="17"/>
        <v>161.53913219497454</v>
      </c>
      <c r="C156" s="228">
        <f t="shared" ca="1" si="18"/>
        <v>218.50827870059314</v>
      </c>
      <c r="D156" s="228">
        <f t="shared" ca="1" si="19"/>
        <v>40.786446057840628</v>
      </c>
      <c r="E156" s="228">
        <f t="shared" ca="1" si="20"/>
        <v>35.52651353734727</v>
      </c>
      <c r="F156" s="228">
        <f t="shared" ca="1" si="21"/>
        <v>48.056486002259028</v>
      </c>
      <c r="G156" s="228">
        <f t="shared" ca="1" si="22"/>
        <v>8.9502155405657557</v>
      </c>
      <c r="H156" s="1412">
        <f t="shared" ca="1" si="23"/>
        <v>0</v>
      </c>
      <c r="I156" s="1412">
        <f t="shared" ca="1" si="24"/>
        <v>0</v>
      </c>
      <c r="J156" s="228">
        <f t="shared" ca="1" si="25"/>
        <v>16.516391474114563</v>
      </c>
      <c r="K156" s="235">
        <f t="shared" ca="1" si="26"/>
        <v>43.736920544968271</v>
      </c>
    </row>
    <row r="157" spans="1:11">
      <c r="A157" s="291" t="s">
        <v>823</v>
      </c>
      <c r="B157" s="234">
        <f t="shared" ca="1" si="17"/>
        <v>461.58817770490919</v>
      </c>
      <c r="C157" s="228">
        <f t="shared" ca="1" si="18"/>
        <v>507.86977861960349</v>
      </c>
      <c r="D157" s="228">
        <f t="shared" ca="1" si="19"/>
        <v>112.38468663712011</v>
      </c>
      <c r="E157" s="228">
        <f t="shared" ca="1" si="20"/>
        <v>101.51483681440178</v>
      </c>
      <c r="F157" s="228">
        <f t="shared" ca="1" si="21"/>
        <v>111.69570806351838</v>
      </c>
      <c r="G157" s="228">
        <f t="shared" ca="1" si="22"/>
        <v>24.661799839944649</v>
      </c>
      <c r="H157" s="1412">
        <f t="shared" ca="1" si="23"/>
        <v>0</v>
      </c>
      <c r="I157" s="1412">
        <f t="shared" ca="1" si="24"/>
        <v>0</v>
      </c>
      <c r="J157" s="228">
        <f t="shared" ca="1" si="25"/>
        <v>45.509958812347669</v>
      </c>
      <c r="K157" s="235">
        <f t="shared" ca="1" si="26"/>
        <v>127.0026033907529</v>
      </c>
    </row>
    <row r="158" spans="1:11">
      <c r="A158" s="483" t="s">
        <v>824</v>
      </c>
      <c r="B158" s="234">
        <f t="shared" ca="1" si="17"/>
        <v>58.052734723432906</v>
      </c>
      <c r="C158" s="228">
        <f t="shared" ca="1" si="18"/>
        <v>54.059542544848675</v>
      </c>
      <c r="D158" s="228">
        <f t="shared" ca="1" si="19"/>
        <v>11.860563887434285</v>
      </c>
      <c r="E158" s="228">
        <f t="shared" ca="1" si="20"/>
        <v>12.767254831744298</v>
      </c>
      <c r="F158" s="228">
        <f t="shared" ca="1" si="21"/>
        <v>11.889305361994024</v>
      </c>
      <c r="G158" s="228">
        <f t="shared" ca="1" si="22"/>
        <v>2.6026931367014896</v>
      </c>
      <c r="H158" s="1412">
        <f t="shared" ca="1" si="23"/>
        <v>0</v>
      </c>
      <c r="I158" s="1412">
        <f t="shared" ca="1" si="24"/>
        <v>0</v>
      </c>
      <c r="J158" s="228">
        <f t="shared" ca="1" si="25"/>
        <v>4.8029121240621748</v>
      </c>
      <c r="K158" s="235">
        <f t="shared" ca="1" si="26"/>
        <v>17.130747727532185</v>
      </c>
    </row>
    <row r="159" spans="1:11">
      <c r="A159" s="291" t="s">
        <v>825</v>
      </c>
      <c r="B159" s="234">
        <f t="shared" ca="1" si="17"/>
        <v>51.353530535083046</v>
      </c>
      <c r="C159" s="228">
        <f t="shared" ca="1" si="18"/>
        <v>48.200798780021735</v>
      </c>
      <c r="D159" s="228">
        <f t="shared" ca="1" si="19"/>
        <v>10.558080425771875</v>
      </c>
      <c r="E159" s="228">
        <f t="shared" ca="1" si="20"/>
        <v>11.293931525787666</v>
      </c>
      <c r="F159" s="228">
        <f t="shared" ca="1" si="21"/>
        <v>10.600792911117882</v>
      </c>
      <c r="G159" s="228">
        <f t="shared" ca="1" si="22"/>
        <v>2.3168749581975603</v>
      </c>
      <c r="H159" s="1412">
        <f t="shared" ca="1" si="23"/>
        <v>0</v>
      </c>
      <c r="I159" s="1412">
        <f t="shared" ca="1" si="24"/>
        <v>0</v>
      </c>
      <c r="J159" s="228">
        <f t="shared" ca="1" si="25"/>
        <v>4.2754739964334796</v>
      </c>
      <c r="K159" s="235">
        <f t="shared" ca="1" si="26"/>
        <v>15.048403552935355</v>
      </c>
    </row>
    <row r="160" spans="1:11">
      <c r="A160" s="483" t="s">
        <v>826</v>
      </c>
      <c r="B160" s="234">
        <f t="shared" ca="1" si="17"/>
        <v>407.80427677307654</v>
      </c>
      <c r="C160" s="228">
        <f t="shared" ca="1" si="18"/>
        <v>354.43644071961143</v>
      </c>
      <c r="D160" s="228">
        <f t="shared" ca="1" si="19"/>
        <v>74.17211732825433</v>
      </c>
      <c r="E160" s="228">
        <f t="shared" ca="1" si="20"/>
        <v>89.686405779871663</v>
      </c>
      <c r="F160" s="228">
        <f t="shared" ca="1" si="21"/>
        <v>77.951141958660628</v>
      </c>
      <c r="G160" s="228">
        <f t="shared" ca="1" si="22"/>
        <v>16.27639819970025</v>
      </c>
      <c r="H160" s="1412">
        <f t="shared" ca="1" si="23"/>
        <v>0</v>
      </c>
      <c r="I160" s="1412">
        <f t="shared" ca="1" si="24"/>
        <v>0</v>
      </c>
      <c r="J160" s="228">
        <f t="shared" ca="1" si="25"/>
        <v>30.03585368825987</v>
      </c>
      <c r="K160" s="235">
        <f t="shared" ca="1" si="26"/>
        <v>123.72879807551725</v>
      </c>
    </row>
    <row r="161" spans="1:13">
      <c r="A161" s="291" t="s">
        <v>827</v>
      </c>
      <c r="B161" s="234">
        <f t="shared" ca="1" si="17"/>
        <v>3.0566482598602995</v>
      </c>
      <c r="C161" s="228">
        <f t="shared" ca="1" si="18"/>
        <v>3.2074095958139028</v>
      </c>
      <c r="D161" s="228">
        <f t="shared" ca="1" si="19"/>
        <v>0.8411150430949117</v>
      </c>
      <c r="E161" s="228">
        <f t="shared" ca="1" si="20"/>
        <v>0.67223374489697929</v>
      </c>
      <c r="F161" s="228">
        <f t="shared" ca="1" si="21"/>
        <v>0.70540500918935534</v>
      </c>
      <c r="G161" s="228">
        <f t="shared" ca="1" si="22"/>
        <v>0.18457506494769799</v>
      </c>
      <c r="H161" s="1412">
        <f t="shared" ca="1" si="23"/>
        <v>0</v>
      </c>
      <c r="I161" s="1412">
        <f t="shared" ca="1" si="24"/>
        <v>0</v>
      </c>
      <c r="J161" s="228">
        <f t="shared" ca="1" si="25"/>
        <v>0.34060788985687374</v>
      </c>
      <c r="K161" s="235">
        <f t="shared" ca="1" si="26"/>
        <v>0.82266483782133726</v>
      </c>
      <c r="L161" s="1321"/>
      <c r="M161" s="1321"/>
    </row>
    <row r="162" spans="1:13">
      <c r="A162" s="484" t="s">
        <v>828</v>
      </c>
      <c r="B162" s="249">
        <f t="shared" ca="1" si="17"/>
        <v>14.788988343994975</v>
      </c>
      <c r="C162" s="231">
        <f t="shared" ca="1" si="18"/>
        <v>13.910131998183928</v>
      </c>
      <c r="D162" s="231">
        <f t="shared" ca="1" si="19"/>
        <v>3.1284062918381692</v>
      </c>
      <c r="E162" s="231">
        <f t="shared" ca="1" si="20"/>
        <v>3.2524700824346371</v>
      </c>
      <c r="F162" s="231">
        <f t="shared" ca="1" si="21"/>
        <v>3.0592528010174966</v>
      </c>
      <c r="G162" s="231">
        <f t="shared" ca="1" si="22"/>
        <v>0.68650037737306313</v>
      </c>
      <c r="H162" s="1417">
        <f t="shared" ca="1" si="23"/>
        <v>0</v>
      </c>
      <c r="I162" s="1417">
        <f t="shared" ca="1" si="24"/>
        <v>0</v>
      </c>
      <c r="J162" s="231">
        <f t="shared" ca="1" si="25"/>
        <v>1.2668420026792075</v>
      </c>
      <c r="K162" s="237">
        <f t="shared" ca="1" si="26"/>
        <v>4.2260482607580245</v>
      </c>
      <c r="L162" s="1321"/>
      <c r="M162" s="1321"/>
    </row>
    <row r="164" spans="1:13" ht="15">
      <c r="A164" s="120" t="s">
        <v>1851</v>
      </c>
      <c r="B164" s="1321"/>
      <c r="C164" s="1321"/>
      <c r="D164" s="1321"/>
      <c r="E164" s="1321"/>
      <c r="F164" s="1321"/>
      <c r="G164" s="1321"/>
      <c r="H164" s="1321"/>
      <c r="I164" s="1321"/>
      <c r="J164" s="1321"/>
      <c r="K164" s="1321"/>
      <c r="L164" s="1321"/>
      <c r="M164" s="1321"/>
    </row>
    <row r="165" spans="1:13" ht="25.5" customHeight="1">
      <c r="A165" s="1299"/>
      <c r="B165" s="1319" t="s">
        <v>993</v>
      </c>
      <c r="C165" s="1300" t="s">
        <v>997</v>
      </c>
      <c r="D165" s="1300" t="s">
        <v>1656</v>
      </c>
      <c r="E165" s="1300" t="s">
        <v>1595</v>
      </c>
      <c r="F165" s="1300" t="s">
        <v>1852</v>
      </c>
      <c r="G165" s="1300" t="s">
        <v>1853</v>
      </c>
      <c r="H165" s="1300" t="s">
        <v>515</v>
      </c>
      <c r="I165" s="1300" t="s">
        <v>1601</v>
      </c>
      <c r="J165" s="1300" t="s">
        <v>1816</v>
      </c>
      <c r="K165" s="1300" t="s">
        <v>1408</v>
      </c>
      <c r="L165" s="1300" t="s">
        <v>1854</v>
      </c>
      <c r="M165" s="1301" t="s">
        <v>1818</v>
      </c>
    </row>
    <row r="166" spans="1:13">
      <c r="A166" s="177" t="s">
        <v>1802</v>
      </c>
      <c r="B166" s="1"/>
      <c r="C166" s="131"/>
      <c r="D166" s="131"/>
      <c r="E166" s="131"/>
      <c r="F166" s="131"/>
      <c r="G166" s="131"/>
      <c r="H166" s="131"/>
      <c r="I166" s="131"/>
      <c r="J166" s="131"/>
      <c r="K166" s="131"/>
      <c r="L166" s="131"/>
      <c r="M166" s="50"/>
    </row>
    <row r="167" spans="1:13">
      <c r="A167" s="291" t="s">
        <v>816</v>
      </c>
      <c r="B167" s="234">
        <f>GREET1_Import_Export!B494</f>
        <v>0.10780072572602144</v>
      </c>
      <c r="C167" s="122">
        <f>GREET1_Import_Export!AA556</f>
        <v>0.3244888421248136</v>
      </c>
      <c r="D167" s="122">
        <f>GREET1_Import_Export!E494</f>
        <v>27.171021888442034</v>
      </c>
      <c r="E167" s="122">
        <f>LiMn2O4!K90</f>
        <v>15.030487346981841</v>
      </c>
      <c r="F167" s="122">
        <f ca="1">Other_Cathodes!I152</f>
        <v>17.655552427004356</v>
      </c>
      <c r="G167" s="122">
        <f>GREET1_Import_Export!B525</f>
        <v>27.581918666336783</v>
      </c>
      <c r="H167" s="122">
        <f>GREET1_Import_Export!G494</f>
        <v>0.5138426396398883</v>
      </c>
      <c r="I167" s="122">
        <f>GREET1_Import_Export!V556</f>
        <v>5.0786456533048154</v>
      </c>
      <c r="J167" s="122">
        <f>GREET1_Import_Export!I494</f>
        <v>9.9673385660502358</v>
      </c>
      <c r="K167" s="122">
        <f>Battery_Materials!J89</f>
        <v>85.221901268924427</v>
      </c>
      <c r="L167" s="122">
        <f>LiMn2O4!B90</f>
        <v>27.367244833111862</v>
      </c>
      <c r="M167" s="497">
        <f t="shared" ref="M167:M172" si="27">Q101</f>
        <v>0</v>
      </c>
    </row>
    <row r="168" spans="1:13">
      <c r="A168" s="291" t="s">
        <v>817</v>
      </c>
      <c r="B168" s="234">
        <f>GREET1_Import_Export!B495</f>
        <v>0.10719526757869353</v>
      </c>
      <c r="C168" s="122">
        <f>GREET1_Import_Export!AA557</f>
        <v>0.25699982631631285</v>
      </c>
      <c r="D168" s="122">
        <f>GREET1_Import_Export!E495</f>
        <v>24.52973321585894</v>
      </c>
      <c r="E168" s="122">
        <f>LiMn2O4!K91</f>
        <v>14.273036331988768</v>
      </c>
      <c r="F168" s="122">
        <f ca="1">Other_Cathodes!I153</f>
        <v>17.559596575231108</v>
      </c>
      <c r="G168" s="122">
        <f>GREET1_Import_Export!B526</f>
        <v>24.61952370317384</v>
      </c>
      <c r="H168" s="122">
        <f>GREET1_Import_Export!G495</f>
        <v>0.48462781003145922</v>
      </c>
      <c r="I168" s="122">
        <f>GREET1_Import_Export!V557</f>
        <v>5.0718602126136769</v>
      </c>
      <c r="J168" s="122">
        <f>GREET1_Import_Export!I495</f>
        <v>13.564308510553797</v>
      </c>
      <c r="K168" s="122">
        <f>Battery_Materials!J90</f>
        <v>84.058273372872293</v>
      </c>
      <c r="L168" s="122">
        <f>LiMn2O4!B91</f>
        <v>24.869204151053232</v>
      </c>
      <c r="M168" s="497">
        <f t="shared" si="27"/>
        <v>0</v>
      </c>
    </row>
    <row r="169" spans="1:13">
      <c r="A169" s="291" t="s">
        <v>805</v>
      </c>
      <c r="B169" s="234">
        <f>GREET1_Import_Export!B496</f>
        <v>4.2504034000769506E-3</v>
      </c>
      <c r="C169" s="122">
        <f>GREET1_Import_Export!AA558</f>
        <v>8.9215317772782882E-2</v>
      </c>
      <c r="D169" s="122">
        <f>GREET1_Import_Export!E496</f>
        <v>4.0460128080585509</v>
      </c>
      <c r="E169" s="122">
        <f>LiMn2O4!K92</f>
        <v>1.0012191074650729</v>
      </c>
      <c r="F169" s="122">
        <f ca="1">Other_Cathodes!I154</f>
        <v>0.12670323615731649</v>
      </c>
      <c r="G169" s="122">
        <f>GREET1_Import_Export!B527</f>
        <v>4.486187999167087</v>
      </c>
      <c r="H169" s="122">
        <f>GREET1_Import_Export!G496</f>
        <v>3.8530498315894418E-2</v>
      </c>
      <c r="I169" s="122">
        <f>GREET1_Import_Export!V558</f>
        <v>4.2382882993459088</v>
      </c>
      <c r="J169" s="122">
        <f>GREET1_Import_Export!I496</f>
        <v>2.9525361791118421</v>
      </c>
      <c r="K169" s="122">
        <f>Battery_Materials!J91</f>
        <v>1.5403273292594508</v>
      </c>
      <c r="L169" s="122">
        <f>LiMn2O4!B92</f>
        <v>12.039022188242386</v>
      </c>
      <c r="M169" s="497">
        <f t="shared" si="27"/>
        <v>0</v>
      </c>
    </row>
    <row r="170" spans="1:13">
      <c r="A170" s="291" t="s">
        <v>804</v>
      </c>
      <c r="B170" s="273">
        <f>GREET1_Import_Export!B497</f>
        <v>1.1051329900043733E-2</v>
      </c>
      <c r="C170" s="122">
        <f>GREET1_Import_Export!AA559</f>
        <v>0.16499343852676582</v>
      </c>
      <c r="D170" s="122">
        <f>GREET1_Import_Export!E497</f>
        <v>19.798523406029425</v>
      </c>
      <c r="E170" s="122">
        <f>LiMn2O4!K93</f>
        <v>12.983514568594668</v>
      </c>
      <c r="F170" s="122">
        <f ca="1">Other_Cathodes!I155</f>
        <v>16.926755260427921</v>
      </c>
      <c r="G170" s="122">
        <f>GREET1_Import_Export!B528</f>
        <v>19.191353333698519</v>
      </c>
      <c r="H170" s="122">
        <f>GREET1_Import_Export!G497</f>
        <v>0.13153323869335384</v>
      </c>
      <c r="I170" s="122">
        <f>GREET1_Import_Export!V559</f>
        <v>7.8879504728451053E-2</v>
      </c>
      <c r="J170" s="122">
        <f>GREET1_Import_Export!I497</f>
        <v>9.6757315770071433</v>
      </c>
      <c r="K170" s="122">
        <f>Battery_Materials!J92</f>
        <v>81.874842847687376</v>
      </c>
      <c r="L170" s="122">
        <f>LiMn2O4!B93</f>
        <v>4.8879958787088684</v>
      </c>
      <c r="M170" s="497">
        <f t="shared" si="27"/>
        <v>0</v>
      </c>
    </row>
    <row r="171" spans="1:13">
      <c r="A171" s="230" t="s">
        <v>818</v>
      </c>
      <c r="B171" s="234">
        <f>GREET1_Import_Export!B498</f>
        <v>9.1893534278572858E-2</v>
      </c>
      <c r="C171" s="122">
        <f>GREET1_Import_Export!AA560</f>
        <v>2.7910700167641414E-3</v>
      </c>
      <c r="D171" s="122">
        <f>GREET1_Import_Export!E498</f>
        <v>0.68519700177096265</v>
      </c>
      <c r="E171" s="122">
        <f>LiMn2O4!K94</f>
        <v>0.28830265592902937</v>
      </c>
      <c r="F171" s="122">
        <f ca="1">Other_Cathodes!I156</f>
        <v>0.50613807864587279</v>
      </c>
      <c r="G171" s="122">
        <f>GREET1_Import_Export!B529</f>
        <v>0.94198237030823551</v>
      </c>
      <c r="H171" s="122">
        <f>GREET1_Import_Export!G498</f>
        <v>0.31456407302221095</v>
      </c>
      <c r="I171" s="122">
        <f>GREET1_Import_Export!V560</f>
        <v>0.75469240853931707</v>
      </c>
      <c r="J171" s="122">
        <f>GREET1_Import_Export!I498</f>
        <v>0.93604075443481216</v>
      </c>
      <c r="K171" s="122">
        <f>Battery_Materials!J93</f>
        <v>0.64310319592548315</v>
      </c>
      <c r="L171" s="122">
        <f>LiMn2O4!B94</f>
        <v>7.9421860841019782</v>
      </c>
      <c r="M171" s="497">
        <f t="shared" si="27"/>
        <v>0</v>
      </c>
    </row>
    <row r="172" spans="1:13">
      <c r="A172" s="880" t="s">
        <v>1797</v>
      </c>
      <c r="B172" s="242">
        <f>GREET1_Import_Export!B499</f>
        <v>26.409569078578205</v>
      </c>
      <c r="C172" s="1320">
        <f>GREET1_Import_Export!AA561</f>
        <v>17.38965951619959</v>
      </c>
      <c r="D172" s="1320">
        <f>GREET1_Import_Export!E499</f>
        <v>787.45867821343597</v>
      </c>
      <c r="E172" s="1320">
        <f>LiMn2O4!K95</f>
        <v>371.61517250643328</v>
      </c>
      <c r="F172" s="1320">
        <f ca="1">Other_Cathodes!I157</f>
        <v>328.36937284515238</v>
      </c>
      <c r="G172" s="1320">
        <f>GREET1_Import_Export!B530</f>
        <v>2812.7446529122171</v>
      </c>
      <c r="H172" s="1320">
        <f>GREET1_Import_Export!G499</f>
        <v>71.585895167352376</v>
      </c>
      <c r="I172" s="1320">
        <f>GREET1_Import_Export!V561</f>
        <v>29.580974290163297</v>
      </c>
      <c r="J172" s="1320">
        <f>GREET1_Import_Export!I499</f>
        <v>6503.4767644037756</v>
      </c>
      <c r="K172" s="1320">
        <f>Battery_Materials!J94</f>
        <v>668.38812743136555</v>
      </c>
      <c r="L172" s="1320">
        <f>LiMn2O4!B95</f>
        <v>3215.9220345066642</v>
      </c>
      <c r="M172" s="599">
        <f t="shared" si="27"/>
        <v>0</v>
      </c>
    </row>
    <row r="173" spans="1:13">
      <c r="A173" s="293" t="s">
        <v>1803</v>
      </c>
      <c r="B173" s="234"/>
      <c r="C173" s="1"/>
      <c r="D173" s="1"/>
      <c r="E173" s="1"/>
      <c r="F173" s="1"/>
      <c r="G173" s="1"/>
      <c r="H173" s="1"/>
      <c r="I173" s="1"/>
      <c r="J173" s="1"/>
      <c r="K173" s="1"/>
      <c r="L173" s="1"/>
      <c r="M173" s="507"/>
    </row>
    <row r="174" spans="1:13">
      <c r="A174" s="291" t="s">
        <v>821</v>
      </c>
      <c r="B174" s="234">
        <f>GREET1_Import_Export!B501</f>
        <v>3.0007778627888633</v>
      </c>
      <c r="C174" s="122">
        <f>GREET1_Import_Export!AA563</f>
        <v>2.2170989710903699</v>
      </c>
      <c r="D174" s="122">
        <f>GREET1_Import_Export!E501</f>
        <v>236.94023959186924</v>
      </c>
      <c r="E174" s="122">
        <f>LiMn2O4!K97</f>
        <v>122.52928253697699</v>
      </c>
      <c r="F174" s="122">
        <f ca="1">Other_Cathodes!I159</f>
        <v>2258.7574644046081</v>
      </c>
      <c r="G174" s="122">
        <f>GREET1_Import_Export!B532</f>
        <v>246.06829187253942</v>
      </c>
      <c r="H174" s="122">
        <f>GREET1_Import_Export!G501</f>
        <v>16.386342714946565</v>
      </c>
      <c r="I174" s="122">
        <f>GREET1_Import_Export!V563</f>
        <v>80.509586842403678</v>
      </c>
      <c r="J174" s="122">
        <f>GREET1_Import_Export!I501</f>
        <v>1037.8224505560145</v>
      </c>
      <c r="K174" s="122">
        <f>Battery_Materials!J96</f>
        <v>1819.0977135235503</v>
      </c>
      <c r="L174" s="122">
        <f>LiMn2O4!B97</f>
        <v>726.35120021640842</v>
      </c>
      <c r="M174" s="497">
        <f t="shared" ref="M174:M184" si="28">Q108</f>
        <v>0</v>
      </c>
    </row>
    <row r="175" spans="1:13">
      <c r="A175" s="291" t="s">
        <v>822</v>
      </c>
      <c r="B175" s="234">
        <f>GREET1_Import_Export!B502</f>
        <v>18.066358060290298</v>
      </c>
      <c r="C175" s="122">
        <f>GREET1_Import_Export!AA564</f>
        <v>5.9927948206956136</v>
      </c>
      <c r="D175" s="122">
        <f>GREET1_Import_Export!E502</f>
        <v>814.73130258495576</v>
      </c>
      <c r="E175" s="122">
        <f>LiMn2O4!K98</f>
        <v>297.06842421092284</v>
      </c>
      <c r="F175" s="122">
        <f ca="1">Other_Cathodes!I160</f>
        <v>2350.3541541637055</v>
      </c>
      <c r="G175" s="122">
        <f>GREET1_Import_Export!B533</f>
        <v>915.72013904324626</v>
      </c>
      <c r="H175" s="122">
        <f>GREET1_Import_Export!G502</f>
        <v>36.193146201590267</v>
      </c>
      <c r="I175" s="122">
        <f>GREET1_Import_Export!V564</f>
        <v>497.09762041485817</v>
      </c>
      <c r="J175" s="122">
        <f>GREET1_Import_Export!I502</f>
        <v>816.95995258539676</v>
      </c>
      <c r="K175" s="122">
        <f>Battery_Materials!J97</f>
        <v>3624.9780147025094</v>
      </c>
      <c r="L175" s="122">
        <f>LiMn2O4!B98</f>
        <v>2843.7969308872453</v>
      </c>
      <c r="M175" s="497">
        <f t="shared" si="28"/>
        <v>0</v>
      </c>
    </row>
    <row r="176" spans="1:13">
      <c r="A176" s="291" t="s">
        <v>849</v>
      </c>
      <c r="B176" s="234">
        <f>GREET1_Import_Export!B503</f>
        <v>14.969385706424767</v>
      </c>
      <c r="C176" s="122">
        <f>GREET1_Import_Export!AA565</f>
        <v>12.345529776973724</v>
      </c>
      <c r="D176" s="122">
        <f>GREET1_Import_Export!E503</f>
        <v>1344.5598268288322</v>
      </c>
      <c r="E176" s="122">
        <f>LiMn2O4!K99</f>
        <v>463.36192216279449</v>
      </c>
      <c r="F176" s="122">
        <f ca="1">Other_Cathodes!I161</f>
        <v>934.41032879948182</v>
      </c>
      <c r="G176" s="122">
        <f>GREET1_Import_Export!B534</f>
        <v>1538.7321009648394</v>
      </c>
      <c r="H176" s="122">
        <f>GREET1_Import_Export!G503</f>
        <v>288.99271490543373</v>
      </c>
      <c r="I176" s="122">
        <f>GREET1_Import_Export!V565</f>
        <v>288.19515688712204</v>
      </c>
      <c r="J176" s="122">
        <f>GREET1_Import_Export!I503</f>
        <v>1800.7896419594401</v>
      </c>
      <c r="K176" s="122">
        <f>Battery_Materials!J98</f>
        <v>4040.8914758383298</v>
      </c>
      <c r="L176" s="122">
        <f>LiMn2O4!B99</f>
        <v>6454.0991560378152</v>
      </c>
      <c r="M176" s="497">
        <f t="shared" si="28"/>
        <v>0</v>
      </c>
    </row>
    <row r="177" spans="1:13">
      <c r="A177" s="291" t="s">
        <v>824</v>
      </c>
      <c r="B177" s="234">
        <f>GREET1_Import_Export!B504</f>
        <v>3.0828975820344748</v>
      </c>
      <c r="C177" s="122">
        <f>GREET1_Import_Export!AA566</f>
        <v>1.976226349849568</v>
      </c>
      <c r="D177" s="122">
        <f>GREET1_Import_Export!E504</f>
        <v>137.26759404572465</v>
      </c>
      <c r="E177" s="122">
        <f>LiMn2O4!K100</f>
        <v>55.401576865011492</v>
      </c>
      <c r="F177" s="122">
        <f ca="1">Other_Cathodes!I162</f>
        <v>42.512087430996637</v>
      </c>
      <c r="G177" s="122">
        <f>GREET1_Import_Export!B535</f>
        <v>156.32513173420713</v>
      </c>
      <c r="H177" s="122">
        <f>GREET1_Import_Export!G504</f>
        <v>19.300317267717091</v>
      </c>
      <c r="I177" s="122">
        <f>GREET1_Import_Export!V566</f>
        <v>152.39917049658362</v>
      </c>
      <c r="J177" s="122">
        <f>GREET1_Import_Export!I504</f>
        <v>296.3401285510248</v>
      </c>
      <c r="K177" s="122">
        <f>Battery_Materials!J99</f>
        <v>240.98187984543</v>
      </c>
      <c r="L177" s="122">
        <f>LiMn2O4!B100</f>
        <v>1728.3407578813028</v>
      </c>
      <c r="M177" s="497">
        <f t="shared" si="28"/>
        <v>0</v>
      </c>
    </row>
    <row r="178" spans="1:13">
      <c r="A178" s="291" t="s">
        <v>825</v>
      </c>
      <c r="B178" s="234">
        <f>GREET1_Import_Export!B505</f>
        <v>0.5412854216344879</v>
      </c>
      <c r="C178" s="122">
        <f>GREET1_Import_Export!AA567</f>
        <v>1.1862684494704534</v>
      </c>
      <c r="D178" s="122">
        <f>GREET1_Import_Export!E505</f>
        <v>95.956988988933361</v>
      </c>
      <c r="E178" s="122">
        <f>LiMn2O4!K101</f>
        <v>42.890147893721519</v>
      </c>
      <c r="F178" s="122">
        <f ca="1">Other_Cathodes!I163</f>
        <v>38.369692747273682</v>
      </c>
      <c r="G178" s="122">
        <f>GREET1_Import_Export!B536</f>
        <v>107.01414091920527</v>
      </c>
      <c r="H178" s="122">
        <f>GREET1_Import_Export!G505</f>
        <v>17.569091223792814</v>
      </c>
      <c r="I178" s="122">
        <f>GREET1_Import_Export!V567</f>
        <v>96.793658571809999</v>
      </c>
      <c r="J178" s="122">
        <f>GREET1_Import_Export!I505</f>
        <v>110.74665560133678</v>
      </c>
      <c r="K178" s="122">
        <f>Battery_Materials!J100</f>
        <v>222.75131217260619</v>
      </c>
      <c r="L178" s="122">
        <f>LiMn2O4!B101</f>
        <v>1239.9461452305422</v>
      </c>
      <c r="M178" s="497">
        <f t="shared" si="28"/>
        <v>0</v>
      </c>
    </row>
    <row r="179" spans="1:13">
      <c r="A179" s="291" t="s">
        <v>826</v>
      </c>
      <c r="B179" s="234">
        <f>GREET1_Import_Export!B506</f>
        <v>1.6483951101043521</v>
      </c>
      <c r="C179" s="122">
        <f>GREET1_Import_Export!AA568</f>
        <v>10.365774980288416</v>
      </c>
      <c r="D179" s="122">
        <f>GREET1_Import_Export!E506</f>
        <v>712.12055898957874</v>
      </c>
      <c r="E179" s="122">
        <f>LiMn2O4!K102</f>
        <v>253.61192778069025</v>
      </c>
      <c r="F179" s="122">
        <f ca="1">Other_Cathodes!I164</f>
        <v>323.75248562089541</v>
      </c>
      <c r="G179" s="122">
        <f>GREET1_Import_Export!B537</f>
        <v>785.933534059934</v>
      </c>
      <c r="H179" s="122">
        <f>GREET1_Import_Export!G506</f>
        <v>1950.6014611258231</v>
      </c>
      <c r="I179" s="122">
        <f>GREET1_Import_Export!V568</f>
        <v>163.79241128538894</v>
      </c>
      <c r="J179" s="122">
        <f>GREET1_Import_Export!I506</f>
        <v>947.58645305837581</v>
      </c>
      <c r="K179" s="122">
        <f>Battery_Materials!J101</f>
        <v>1038.6278257584636</v>
      </c>
      <c r="L179" s="122">
        <f>LiMn2O4!B102</f>
        <v>3867.5190342023661</v>
      </c>
      <c r="M179" s="497">
        <f t="shared" si="28"/>
        <v>0</v>
      </c>
    </row>
    <row r="180" spans="1:13">
      <c r="A180" s="483" t="s">
        <v>827</v>
      </c>
      <c r="B180" s="234">
        <f>GREET1_Import_Export!B507</f>
        <v>0.1094505527701294</v>
      </c>
      <c r="C180" s="122">
        <f>GREET1_Import_Export!AA569</f>
        <v>7.2379691275648889E-2</v>
      </c>
      <c r="D180" s="122">
        <f>GREET1_Import_Export!E507</f>
        <v>10.21975488022491</v>
      </c>
      <c r="E180" s="122">
        <f>LiMn2O4!K103</f>
        <v>4.7403961589104213</v>
      </c>
      <c r="F180" s="122">
        <f ca="1">Other_Cathodes!I165</f>
        <v>6.425570767753598</v>
      </c>
      <c r="G180" s="122">
        <f>GREET1_Import_Export!B538</f>
        <v>11.363682492622178</v>
      </c>
      <c r="H180" s="122">
        <f>GREET1_Import_Export!G507</f>
        <v>2.510337273218286</v>
      </c>
      <c r="I180" s="122">
        <f>GREET1_Import_Export!V569</f>
        <v>4.3103230696784021</v>
      </c>
      <c r="J180" s="122">
        <f>GREET1_Import_Export!I507</f>
        <v>12.586270396987064</v>
      </c>
      <c r="K180" s="122">
        <f>Battery_Materials!J102</f>
        <v>33.67534296078879</v>
      </c>
      <c r="L180" s="122">
        <f>LiMn2O4!B103</f>
        <v>125.25057076345871</v>
      </c>
      <c r="M180" s="497">
        <f t="shared" si="28"/>
        <v>0</v>
      </c>
    </row>
    <row r="181" spans="1:13">
      <c r="A181" s="483" t="s">
        <v>828</v>
      </c>
      <c r="B181" s="234">
        <f>GREET1_Import_Export!B508</f>
        <v>9.5465744912783562E-2</v>
      </c>
      <c r="C181" s="122">
        <f>GREET1_Import_Export!AA570</f>
        <v>0.34450979503276108</v>
      </c>
      <c r="D181" s="122">
        <f>GREET1_Import_Export!E508</f>
        <v>30.558939824876735</v>
      </c>
      <c r="E181" s="122">
        <f>LiMn2O4!K104</f>
        <v>12.503781785292189</v>
      </c>
      <c r="F181" s="122">
        <f ca="1">Other_Cathodes!I166</f>
        <v>15.501705738384089</v>
      </c>
      <c r="G181" s="122">
        <f>GREET1_Import_Export!B539</f>
        <v>33.759433484885044</v>
      </c>
      <c r="H181" s="122">
        <f>GREET1_Import_Export!G508</f>
        <v>7.412240328039009</v>
      </c>
      <c r="I181" s="122">
        <f>GREET1_Import_Export!V570</f>
        <v>7.7314313035790949</v>
      </c>
      <c r="J181" s="122">
        <f>GREET1_Import_Export!I508</f>
        <v>19.95385281913407</v>
      </c>
      <c r="K181" s="122">
        <f>Battery_Materials!J103</f>
        <v>82.07138929462441</v>
      </c>
      <c r="L181" s="122">
        <f>LiMn2O4!B104</f>
        <v>260.06957909770779</v>
      </c>
      <c r="M181" s="497">
        <f t="shared" si="28"/>
        <v>0</v>
      </c>
    </row>
    <row r="182" spans="1:13">
      <c r="A182" s="291" t="s">
        <v>829</v>
      </c>
      <c r="B182" s="234">
        <f>GREET1_Import_Export!B509</f>
        <v>10.295662027028325</v>
      </c>
      <c r="C182" s="122">
        <f>GREET1_Import_Export!AA571</f>
        <v>42.864029631375992</v>
      </c>
      <c r="D182" s="122">
        <f>GREET1_Import_Export!E509</f>
        <v>4245.2020170345586</v>
      </c>
      <c r="E182" s="122">
        <f>LiMn2O4!K105</f>
        <v>2232.9390294617247</v>
      </c>
      <c r="F182" s="122">
        <f ca="1">Other_Cathodes!I167</f>
        <v>3232.8095469897953</v>
      </c>
      <c r="G182" s="122">
        <f>GREET1_Import_Export!B540</f>
        <v>4394.2572761342935</v>
      </c>
      <c r="H182" s="122">
        <f>GREET1_Import_Export!G509</f>
        <v>57.494095868365036</v>
      </c>
      <c r="I182" s="122">
        <f>GREET1_Import_Export!V571</f>
        <v>695.20529768723293</v>
      </c>
      <c r="J182" s="122">
        <f>GREET1_Import_Export!I509</f>
        <v>2416.5424400066786</v>
      </c>
      <c r="K182" s="122">
        <f>Battery_Materials!J104</f>
        <v>14971.044901536965</v>
      </c>
      <c r="L182" s="122">
        <f>LiMn2O4!B105</f>
        <v>3657.0539033162695</v>
      </c>
      <c r="M182" s="497">
        <f t="shared" si="28"/>
        <v>0</v>
      </c>
    </row>
    <row r="183" spans="1:13">
      <c r="A183" s="291" t="s">
        <v>830</v>
      </c>
      <c r="B183" s="234">
        <f>GREET1_Import_Export!B510</f>
        <v>6.0745354337307655E-2</v>
      </c>
      <c r="C183" s="122">
        <f>GREET1_Import_Export!AA572</f>
        <v>0.38889700342821087</v>
      </c>
      <c r="D183" s="122">
        <f>GREET1_Import_Export!E510</f>
        <v>35.285608281649488</v>
      </c>
      <c r="E183" s="122">
        <f>LiMn2O4!K106</f>
        <v>13.236930930378509</v>
      </c>
      <c r="F183" s="122">
        <f ca="1">Other_Cathodes!I168</f>
        <v>21.753200150026949</v>
      </c>
      <c r="G183" s="122">
        <f>GREET1_Import_Export!B541</f>
        <v>40.148180645194728</v>
      </c>
      <c r="H183" s="122">
        <f>GREET1_Import_Export!G510</f>
        <v>0.90162048446381204</v>
      </c>
      <c r="I183" s="122">
        <f>GREET1_Import_Export!V572</f>
        <v>0.98921680655236355</v>
      </c>
      <c r="J183" s="122">
        <f>GREET1_Import_Export!I510</f>
        <v>576.32362481775112</v>
      </c>
      <c r="K183" s="122">
        <f>Battery_Materials!J105</f>
        <v>106.04882876377749</v>
      </c>
      <c r="L183" s="122">
        <f>LiMn2O4!B106</f>
        <v>34.373389985252381</v>
      </c>
      <c r="M183" s="497">
        <f t="shared" si="28"/>
        <v>0</v>
      </c>
    </row>
    <row r="184" spans="1:13">
      <c r="A184" s="292" t="s">
        <v>831</v>
      </c>
      <c r="B184" s="1313">
        <f>GREET1_Import_Export!B511</f>
        <v>8351.9011348439562</v>
      </c>
      <c r="C184" s="1314">
        <f>GREET1_Import_Export!AA573</f>
        <v>18939.684990490605</v>
      </c>
      <c r="D184" s="1314">
        <f>GREET1_Import_Export!E511</f>
        <v>1636030.8555933388</v>
      </c>
      <c r="E184" s="1314">
        <f>LiMn2O4!K107</f>
        <v>895848.49329510448</v>
      </c>
      <c r="F184" s="1314">
        <f ca="1">Other_Cathodes!I169</f>
        <v>1047994.9020828791</v>
      </c>
      <c r="G184" s="1314">
        <f>GREET1_Import_Export!B542</f>
        <v>1665901.8087901033</v>
      </c>
      <c r="H184" s="1314">
        <f>GREET1_Import_Export!G511</f>
        <v>37166.973904260427</v>
      </c>
      <c r="I184" s="1314">
        <f>GREET1_Import_Export!V573</f>
        <v>617790.99194299034</v>
      </c>
      <c r="J184" s="1314">
        <f>GREET1_Import_Export!I511</f>
        <v>1098608.0322948128</v>
      </c>
      <c r="K184" s="1314">
        <f>Battery_Materials!J106</f>
        <v>4033777.6898981184</v>
      </c>
      <c r="L184" s="1314">
        <f>LiMn2O4!B107</f>
        <v>2428959.0316934311</v>
      </c>
      <c r="M184" s="1282">
        <f t="shared" si="28"/>
        <v>0</v>
      </c>
    </row>
    <row r="185" spans="1:13">
      <c r="A185" s="290" t="s">
        <v>1804</v>
      </c>
      <c r="B185" s="173"/>
      <c r="C185" s="1"/>
      <c r="D185" s="1"/>
      <c r="E185" s="1"/>
      <c r="F185" s="1"/>
      <c r="G185" s="1"/>
      <c r="H185" s="1"/>
      <c r="I185" s="1"/>
      <c r="J185" s="1"/>
      <c r="K185" s="1"/>
      <c r="L185" s="1"/>
      <c r="M185" s="1283"/>
    </row>
    <row r="186" spans="1:13">
      <c r="A186" s="291" t="s">
        <v>821</v>
      </c>
      <c r="B186" s="233">
        <f>GREET1_Import_Export!B513</f>
        <v>0.27371203838695446</v>
      </c>
      <c r="C186" s="122">
        <f>GREET1_Import_Export!AA577</f>
        <v>0.13825725112511211</v>
      </c>
      <c r="D186" s="122">
        <f>GREET1_Import_Export!E513</f>
        <v>13.550778888195858</v>
      </c>
      <c r="E186" s="122">
        <f>LiMn2O4!K111</f>
        <v>7.470762412753249</v>
      </c>
      <c r="F186" s="122">
        <f ca="1">Other_Cathodes!I171</f>
        <v>9.7473747060367213</v>
      </c>
      <c r="G186" s="122">
        <f>GREET1_Import_Export!B544</f>
        <v>14.092742652400997</v>
      </c>
      <c r="H186" s="122">
        <f>GREET1_Import_Export!G513</f>
        <v>1.4847613827115975</v>
      </c>
      <c r="I186" s="122">
        <f>GREET1_Import_Export!V577</f>
        <v>1.8055091529561156</v>
      </c>
      <c r="J186" s="122">
        <f>GREET1_Import_Export!I513</f>
        <v>229.13630553582834</v>
      </c>
      <c r="K186" s="122">
        <f>Battery_Materials!J110</f>
        <v>157.42665012006867</v>
      </c>
      <c r="L186" s="122">
        <f>LiMn2O4!B111</f>
        <v>21.490679519770751</v>
      </c>
      <c r="M186" s="497">
        <f t="shared" ref="M186:M193" si="29">Q122</f>
        <v>0</v>
      </c>
    </row>
    <row r="187" spans="1:13">
      <c r="A187" s="291" t="s">
        <v>822</v>
      </c>
      <c r="B187" s="233">
        <f>GREET1_Import_Export!B514</f>
        <v>0.16139065657493154</v>
      </c>
      <c r="C187" s="122">
        <f>GREET1_Import_Export!AA578</f>
        <v>1.0206942345820844</v>
      </c>
      <c r="D187" s="122">
        <f>GREET1_Import_Export!E514</f>
        <v>66.456871119805129</v>
      </c>
      <c r="E187" s="122">
        <f>LiMn2O4!K112</f>
        <v>19.528673281142161</v>
      </c>
      <c r="F187" s="122">
        <f ca="1">Other_Cathodes!I172</f>
        <v>42.19171011599709</v>
      </c>
      <c r="G187" s="122">
        <f>GREET1_Import_Export!B545</f>
        <v>76.818454470770462</v>
      </c>
      <c r="H187" s="122">
        <f>GREET1_Import_Export!G514</f>
        <v>2.434306008450752</v>
      </c>
      <c r="I187" s="122">
        <f>GREET1_Import_Export!V578</f>
        <v>1.3018767606819317</v>
      </c>
      <c r="J187" s="122">
        <f>GREET1_Import_Export!I514</f>
        <v>33.732304811650636</v>
      </c>
      <c r="K187" s="122">
        <f>Battery_Materials!J111</f>
        <v>171.83492974311125</v>
      </c>
      <c r="L187" s="122">
        <f>LiMn2O4!B112</f>
        <v>36.774254572737895</v>
      </c>
      <c r="M187" s="497">
        <f t="shared" si="29"/>
        <v>0</v>
      </c>
    </row>
    <row r="188" spans="1:13">
      <c r="A188" s="291" t="s">
        <v>823</v>
      </c>
      <c r="B188" s="233">
        <f>GREET1_Import_Export!B515</f>
        <v>0.2538141497087702</v>
      </c>
      <c r="C188" s="122">
        <f>GREET1_Import_Export!AA579</f>
        <v>3.0485787667188764</v>
      </c>
      <c r="D188" s="122">
        <f>GREET1_Import_Export!E515</f>
        <v>152.76292670980587</v>
      </c>
      <c r="E188" s="122">
        <f>LiMn2O4!K113</f>
        <v>48.168553647206743</v>
      </c>
      <c r="F188" s="122">
        <f ca="1">Other_Cathodes!I173</f>
        <v>61.506339411818402</v>
      </c>
      <c r="G188" s="122">
        <f>GREET1_Import_Export!B546</f>
        <v>172.0556602035559</v>
      </c>
      <c r="H188" s="122">
        <f>GREET1_Import_Export!G515</f>
        <v>15.943757079445119</v>
      </c>
      <c r="I188" s="122">
        <f>GREET1_Import_Export!V579</f>
        <v>3.112696215505999</v>
      </c>
      <c r="J188" s="122">
        <f>GREET1_Import_Export!I515</f>
        <v>50.578029002753922</v>
      </c>
      <c r="K188" s="122">
        <f>Battery_Materials!J112</f>
        <v>237.54360586419736</v>
      </c>
      <c r="L188" s="122">
        <f>LiMn2O4!B113</f>
        <v>111.1094655708543</v>
      </c>
      <c r="M188" s="497">
        <f t="shared" si="29"/>
        <v>0</v>
      </c>
    </row>
    <row r="189" spans="1:13">
      <c r="A189" s="483" t="s">
        <v>824</v>
      </c>
      <c r="B189" s="233">
        <f>GREET1_Import_Export!B516</f>
        <v>4.5174857869258948E-2</v>
      </c>
      <c r="C189" s="122">
        <f>GREET1_Import_Export!AA580</f>
        <v>0.40701964307327887</v>
      </c>
      <c r="D189" s="122">
        <f>GREET1_Import_Export!E516</f>
        <v>17.88134440614235</v>
      </c>
      <c r="E189" s="122">
        <f>LiMn2O4!K114</f>
        <v>8.6079898755767417</v>
      </c>
      <c r="F189" s="122">
        <f ca="1">Other_Cathodes!I174</f>
        <v>1.8151129329160509</v>
      </c>
      <c r="G189" s="122">
        <f>GREET1_Import_Export!B547</f>
        <v>18.2651553906428</v>
      </c>
      <c r="H189" s="122">
        <f>GREET1_Import_Export!G516</f>
        <v>1.2067316973096258</v>
      </c>
      <c r="I189" s="122">
        <f>GREET1_Import_Export!V580</f>
        <v>0.36164632018421883</v>
      </c>
      <c r="J189" s="122">
        <f>GREET1_Import_Export!I516</f>
        <v>1.799525219559784</v>
      </c>
      <c r="K189" s="122">
        <f>Battery_Materials!J113</f>
        <v>12.286422343110567</v>
      </c>
      <c r="L189" s="122">
        <f>LiMn2O4!B114</f>
        <v>14.772846988066227</v>
      </c>
      <c r="M189" s="497">
        <f t="shared" si="29"/>
        <v>0</v>
      </c>
    </row>
    <row r="190" spans="1:13">
      <c r="A190" s="291" t="s">
        <v>825</v>
      </c>
      <c r="B190" s="233">
        <f>GREET1_Import_Export!B517</f>
        <v>3.9030126321925485E-2</v>
      </c>
      <c r="C190" s="122">
        <f>GREET1_Import_Export!AA581</f>
        <v>0.35790460078472186</v>
      </c>
      <c r="D190" s="122">
        <f>GREET1_Import_Export!E517</f>
        <v>15.895332617876749</v>
      </c>
      <c r="E190" s="122">
        <f>LiMn2O4!K115</f>
        <v>7.9672711203755178</v>
      </c>
      <c r="F190" s="122">
        <f ca="1">Other_Cathodes!I175</f>
        <v>1.5876159114604076</v>
      </c>
      <c r="G190" s="122">
        <f>GREET1_Import_Export!B548</f>
        <v>16.068269758237211</v>
      </c>
      <c r="H190" s="122">
        <f>GREET1_Import_Export!G517</f>
        <v>1.1004189917429632</v>
      </c>
      <c r="I190" s="122">
        <f>GREET1_Import_Export!V581</f>
        <v>0.31726915113256571</v>
      </c>
      <c r="J190" s="122">
        <f>GREET1_Import_Export!I517</f>
        <v>1.4802275993400302</v>
      </c>
      <c r="K190" s="122">
        <f>Battery_Materials!J114</f>
        <v>11.050435060867866</v>
      </c>
      <c r="L190" s="122">
        <f>LiMn2O4!B115</f>
        <v>12.536847864886781</v>
      </c>
      <c r="M190" s="497">
        <f t="shared" si="29"/>
        <v>0</v>
      </c>
    </row>
    <row r="191" spans="1:13">
      <c r="A191" s="483" t="s">
        <v>826</v>
      </c>
      <c r="B191" s="233">
        <f>GREET1_Import_Export!B518</f>
        <v>9.136272393306541E-2</v>
      </c>
      <c r="C191" s="122">
        <f>GREET1_Import_Export!AA582</f>
        <v>3.0290372328190922</v>
      </c>
      <c r="D191" s="122">
        <f>GREET1_Import_Export!E518</f>
        <v>120.29862838086358</v>
      </c>
      <c r="E191" s="122">
        <f>LiMn2O4!K116</f>
        <v>35.339013538021113</v>
      </c>
      <c r="F191" s="122">
        <f ca="1">Other_Cathodes!I176</f>
        <v>12.657542206820134</v>
      </c>
      <c r="G191" s="122">
        <f>GREET1_Import_Export!B549</f>
        <v>134.70998823085495</v>
      </c>
      <c r="H191" s="122">
        <f>GREET1_Import_Export!G518</f>
        <v>8.0351702842159529</v>
      </c>
      <c r="I191" s="122">
        <f>GREET1_Import_Export!V582</f>
        <v>0.81705586183993817</v>
      </c>
      <c r="J191" s="122">
        <f>GREET1_Import_Export!I518</f>
        <v>8.8564701569071591</v>
      </c>
      <c r="K191" s="122">
        <f>Battery_Materials!J115</f>
        <v>63.418319411778015</v>
      </c>
      <c r="L191" s="122">
        <f>LiMn2O4!B116</f>
        <v>120.83592486822867</v>
      </c>
      <c r="M191" s="497">
        <f t="shared" si="29"/>
        <v>0</v>
      </c>
    </row>
    <row r="192" spans="1:13">
      <c r="A192" s="291" t="s">
        <v>827</v>
      </c>
      <c r="B192" s="233">
        <f>GREET1_Import_Export!B519</f>
        <v>4.887358606919817E-3</v>
      </c>
      <c r="C192" s="122">
        <f>GREET1_Import_Export!AA583</f>
        <v>1.844494309188761E-2</v>
      </c>
      <c r="D192" s="122">
        <f>GREET1_Import_Export!E519</f>
        <v>0.92373820101168835</v>
      </c>
      <c r="E192" s="122">
        <f>LiMn2O4!K117</f>
        <v>0.60552266139769584</v>
      </c>
      <c r="F192" s="122">
        <f ca="1">Other_Cathodes!I177</f>
        <v>0.19001436355953366</v>
      </c>
      <c r="G192" s="122">
        <f>GREET1_Import_Export!B550</f>
        <v>0.86090444874827443</v>
      </c>
      <c r="H192" s="122">
        <f>GREET1_Import_Export!G519</f>
        <v>0.14297900238188035</v>
      </c>
      <c r="I192" s="122">
        <f>GREET1_Import_Export!V583</f>
        <v>3.5430452542964348E-2</v>
      </c>
      <c r="J192" s="122">
        <f>GREET1_Import_Export!I519</f>
        <v>0.15828335620488307</v>
      </c>
      <c r="K192" s="122">
        <f>Battery_Materials!J116</f>
        <v>0.67997285414770547</v>
      </c>
      <c r="L192" s="122">
        <f>LiMn2O4!B117</f>
        <v>0.80873512040821061</v>
      </c>
      <c r="M192" s="497">
        <f t="shared" si="29"/>
        <v>0</v>
      </c>
    </row>
    <row r="193" spans="1:13">
      <c r="A193" s="484" t="s">
        <v>828</v>
      </c>
      <c r="B193" s="236">
        <f>GREET1_Import_Export!B520</f>
        <v>7.0374479543004352E-3</v>
      </c>
      <c r="C193" s="124">
        <f>GREET1_Import_Export!AA584</f>
        <v>0.1023623945723063</v>
      </c>
      <c r="D193" s="124">
        <f>GREET1_Import_Export!E520</f>
        <v>4.4841476838419965</v>
      </c>
      <c r="E193" s="124">
        <f>LiMn2O4!K118</f>
        <v>2.157620944481847</v>
      </c>
      <c r="F193" s="124">
        <f ca="1">Other_Cathodes!I178</f>
        <v>0.53804179410812902</v>
      </c>
      <c r="G193" s="124">
        <f>GREET1_Import_Export!B551</f>
        <v>4.5725994995086534</v>
      </c>
      <c r="H193" s="124">
        <f>GREET1_Import_Export!G520</f>
        <v>0.41986049773161876</v>
      </c>
      <c r="I193" s="124">
        <f>GREET1_Import_Export!V584</f>
        <v>6.9689547332884086E-2</v>
      </c>
      <c r="J193" s="124">
        <f>GREET1_Import_Export!I520</f>
        <v>0.48282251861824921</v>
      </c>
      <c r="K193" s="124">
        <f>Battery_Materials!J117</f>
        <v>2.5880530714122703</v>
      </c>
      <c r="L193" s="124">
        <f>LiMn2O4!B118</f>
        <v>1.9015683450014946</v>
      </c>
      <c r="M193" s="500">
        <f t="shared" si="29"/>
        <v>0</v>
      </c>
    </row>
  </sheetData>
  <mergeCells count="4">
    <mergeCell ref="B50:D50"/>
    <mergeCell ref="E50:G50"/>
    <mergeCell ref="H50:J50"/>
    <mergeCell ref="K50:M50"/>
  </mergeCell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6"/>
  <dimension ref="A1:AX279"/>
  <sheetViews>
    <sheetView showGridLines="0" zoomScale="85" zoomScaleNormal="85" workbookViewId="0"/>
  </sheetViews>
  <sheetFormatPr defaultColWidth="9.140625" defaultRowHeight="12.75"/>
  <cols>
    <col min="1" max="1" width="4.140625" style="8" customWidth="1"/>
    <col min="2" max="2" width="32.42578125" style="8" bestFit="1" customWidth="1"/>
    <col min="3" max="3" width="14" style="8" customWidth="1"/>
    <col min="4" max="4" width="14.42578125" style="8" customWidth="1"/>
    <col min="5" max="5" width="14.140625" style="8" customWidth="1"/>
    <col min="6" max="6" width="11.85546875" style="8" bestFit="1" customWidth="1"/>
    <col min="7" max="7" width="10.28515625" style="8" bestFit="1" customWidth="1"/>
    <col min="8" max="8" width="10.42578125" style="8" bestFit="1" customWidth="1"/>
    <col min="9" max="9" width="11.42578125" style="8" bestFit="1" customWidth="1"/>
    <col min="10" max="10" width="10.42578125" style="8" bestFit="1" customWidth="1"/>
    <col min="11" max="11" width="13.28515625" style="8" customWidth="1"/>
    <col min="12" max="12" width="11.28515625" style="8" customWidth="1"/>
    <col min="13" max="13" width="14" style="8" customWidth="1"/>
    <col min="14" max="14" width="14.42578125" style="8" customWidth="1"/>
    <col min="15" max="15" width="14.140625" style="8" customWidth="1"/>
    <col min="16" max="16" width="11.85546875" style="8" customWidth="1"/>
    <col min="17" max="17" width="10.28515625" style="8" customWidth="1"/>
    <col min="18" max="18" width="10.42578125" style="8" customWidth="1"/>
    <col min="19" max="19" width="11.42578125" style="8" customWidth="1"/>
    <col min="20" max="20" width="10.42578125" style="8" customWidth="1"/>
    <col min="21" max="21" width="13.28515625" style="8" customWidth="1"/>
    <col min="22" max="22" width="11.28515625" style="8" customWidth="1"/>
    <col min="23" max="23" width="14" style="8" customWidth="1"/>
    <col min="24" max="24" width="14.42578125" style="8" customWidth="1"/>
    <col min="25" max="25" width="14.140625" style="8" customWidth="1"/>
    <col min="26" max="26" width="11.85546875" style="8" customWidth="1"/>
    <col min="27" max="27" width="10.28515625" style="8" customWidth="1"/>
    <col min="28" max="28" width="10.42578125" style="8" customWidth="1"/>
    <col min="29" max="29" width="11.42578125" style="8" customWidth="1"/>
    <col min="30" max="30" width="10.42578125" style="8" customWidth="1"/>
    <col min="31" max="31" width="13.28515625" style="8" customWidth="1"/>
    <col min="32" max="32" width="11.28515625" style="8" customWidth="1"/>
    <col min="33" max="16384" width="9.140625" style="8"/>
  </cols>
  <sheetData>
    <row r="1" spans="1:50" ht="15.75">
      <c r="A1" s="297" t="s">
        <v>664</v>
      </c>
    </row>
    <row r="2" spans="1:50" ht="15">
      <c r="A2" s="134" t="s">
        <v>594</v>
      </c>
      <c r="AQ2" s="521"/>
      <c r="AR2" s="521"/>
      <c r="AS2" s="521"/>
      <c r="AT2" s="521"/>
      <c r="AU2" s="521"/>
      <c r="AV2" s="521"/>
      <c r="AW2" s="521"/>
      <c r="AX2" s="521"/>
    </row>
    <row r="3" spans="1:50" ht="38.25">
      <c r="B3" s="1611"/>
      <c r="C3" s="1421" t="s">
        <v>141</v>
      </c>
      <c r="D3" s="1421" t="s">
        <v>142</v>
      </c>
      <c r="E3" s="1421" t="s">
        <v>143</v>
      </c>
      <c r="F3" s="1421" t="s">
        <v>144</v>
      </c>
      <c r="G3" s="1421" t="s">
        <v>145</v>
      </c>
      <c r="H3" s="1421" t="s">
        <v>146</v>
      </c>
      <c r="I3" s="1421" t="s">
        <v>147</v>
      </c>
      <c r="J3" s="1421" t="s">
        <v>148</v>
      </c>
      <c r="K3" s="1421" t="s">
        <v>149</v>
      </c>
      <c r="L3" s="1174" t="s">
        <v>150</v>
      </c>
      <c r="N3" s="1816" t="s">
        <v>597</v>
      </c>
      <c r="O3" s="950" t="s">
        <v>598</v>
      </c>
      <c r="P3" s="950" t="s">
        <v>599</v>
      </c>
      <c r="Q3" s="950" t="s">
        <v>600</v>
      </c>
      <c r="R3" s="950" t="s">
        <v>601</v>
      </c>
      <c r="S3" s="950" t="s">
        <v>602</v>
      </c>
      <c r="T3" s="950" t="s">
        <v>2302</v>
      </c>
      <c r="U3" s="1817" t="s">
        <v>2303</v>
      </c>
      <c r="V3" s="950" t="s">
        <v>2304</v>
      </c>
      <c r="W3" s="950" t="s">
        <v>2308</v>
      </c>
      <c r="X3" s="950" t="s">
        <v>605</v>
      </c>
      <c r="Y3" s="1817" t="s">
        <v>606</v>
      </c>
      <c r="Z3" s="950" t="s">
        <v>2305</v>
      </c>
      <c r="AA3" s="950" t="s">
        <v>2309</v>
      </c>
      <c r="AB3" s="950" t="s">
        <v>2306</v>
      </c>
      <c r="AC3" s="1817" t="s">
        <v>2310</v>
      </c>
      <c r="AQ3" s="151"/>
      <c r="AR3" s="363"/>
      <c r="AS3" s="151"/>
      <c r="AT3" s="363"/>
      <c r="AU3" s="363"/>
      <c r="AV3" s="363"/>
      <c r="AW3" s="363"/>
      <c r="AX3" s="363"/>
    </row>
    <row r="4" spans="1:50">
      <c r="B4" s="572" t="s">
        <v>665</v>
      </c>
      <c r="C4" s="1066">
        <f>C226+C17</f>
        <v>3882.3358199999998</v>
      </c>
      <c r="D4" s="2601">
        <f>3279.88544+D17</f>
        <v>3314.88544</v>
      </c>
      <c r="E4" s="1066">
        <f>D226+(E17+IF(Vehi_Inputs!$C$74=1,E18,E19))</f>
        <v>4190.6673245000002</v>
      </c>
      <c r="F4" s="2601">
        <f>3372.34252+(F17+IF(Vehi_Inputs!$C$74=1,F18,F19))</f>
        <v>3499.6501434500001</v>
      </c>
      <c r="G4" s="2564">
        <f>IF(GREET1_Import_Export!$D$12=20,N4,IF(GREET1_Import_Export!$D$12=30,P4,IF(GREET1_Import_Export!$D$12=40,R4,T4)))+(G17+IF(Vehi_Inputs!$C$75=1,G18,G19))</f>
        <v>4249.1832968625204</v>
      </c>
      <c r="H4" s="2564">
        <f>IF(GREET1_Import_Export!$D$12=20,O4,IF(GREET1_Import_Export!$D$12=30,Q4,IF(GREET1_Import_Export!$D$12=40,S4,U4)))+(H17+IF(Vehi_Inputs!$C$75=1,H18,H19))</f>
        <v>3527.5124750417572</v>
      </c>
      <c r="I4" s="2564">
        <f>IF(GREET1_Import_Export!$G$12=200,V4,IF(GREET1_Import_Export!$G$12=300,X4,IF(GREET1_Import_Export!$G$12=400,Z4,AB4)))+(I17+IF(Vehi_Inputs!$C$76=1,I18,I19))</f>
        <v>4779.3937644060061</v>
      </c>
      <c r="J4" s="2564">
        <f>IF(GREET1_Import_Export!$G$12=200,W4,IF(GREET1_Import_Export!$G$12=300,Y4,IF(GREET1_Import_Export!$G$12=400,AA4,AC4)))+(J17+IF(Vehi_Inputs!$C$76=1,J18,J19))</f>
        <v>3819.582484586128</v>
      </c>
      <c r="K4" s="1066">
        <f>E226+(K17+IF(Vehi_Inputs!$C$77=1,K18,K19))</f>
        <v>4470.6540645000005</v>
      </c>
      <c r="L4" s="2602">
        <f>3511.23358+(L17+IF(Vehi_Inputs!$C$77=1,L18,L19))</f>
        <v>3638.54120345</v>
      </c>
      <c r="N4" s="1272">
        <f>F226</f>
        <v>4057.9793399999999</v>
      </c>
      <c r="O4" s="1818">
        <v>3378.9563799999996</v>
      </c>
      <c r="P4" s="1818">
        <v>4212.3027399999992</v>
      </c>
      <c r="Q4" s="1818">
        <v>3464.9365599999996</v>
      </c>
      <c r="R4" s="1818">
        <v>4238.7581799999989</v>
      </c>
      <c r="S4" s="1818">
        <v>3478.16428</v>
      </c>
      <c r="T4" s="1482">
        <f>G226</f>
        <v>4238.7581799999998</v>
      </c>
      <c r="U4" s="1820">
        <v>3478.16428</v>
      </c>
      <c r="V4" s="1272">
        <f>H226</f>
        <v>3628.0784399999998</v>
      </c>
      <c r="W4" s="1818">
        <v>2940.2370000000001</v>
      </c>
      <c r="X4" s="1482">
        <f>I226</f>
        <v>3628.0784399999998</v>
      </c>
      <c r="Y4" s="1818">
        <v>2940.2370000000001</v>
      </c>
      <c r="Z4" s="1482">
        <f>J226</f>
        <v>3628.0784399999998</v>
      </c>
      <c r="AA4" s="1820">
        <v>2940.2370000000001</v>
      </c>
      <c r="AB4" s="1482">
        <f>K226</f>
        <v>3628.0784399999998</v>
      </c>
      <c r="AC4" s="1819">
        <v>2940.2370000000001</v>
      </c>
      <c r="AQ4" s="312"/>
      <c r="AR4" s="489"/>
      <c r="AS4" s="158"/>
      <c r="AT4" s="158"/>
      <c r="AU4" s="158"/>
      <c r="AV4" s="158"/>
      <c r="AW4" s="158"/>
      <c r="AX4" s="158"/>
    </row>
    <row r="5" spans="1:50">
      <c r="B5" s="549" t="s">
        <v>666</v>
      </c>
      <c r="C5" s="975">
        <v>3767.980372560934</v>
      </c>
      <c r="D5" s="975">
        <v>3073.6003870958907</v>
      </c>
      <c r="E5" s="565" t="e">
        <f>NA()</f>
        <v>#N/A</v>
      </c>
      <c r="F5" s="565" t="e">
        <f>NA()</f>
        <v>#N/A</v>
      </c>
      <c r="G5" s="565" t="e">
        <f>NA()</f>
        <v>#N/A</v>
      </c>
      <c r="H5" s="565" t="e">
        <f>NA()</f>
        <v>#N/A</v>
      </c>
      <c r="I5" s="565" t="e">
        <f>NA()</f>
        <v>#N/A</v>
      </c>
      <c r="J5" s="565" t="e">
        <f>NA()</f>
        <v>#N/A</v>
      </c>
      <c r="K5" s="565" t="e">
        <f>NA()</f>
        <v>#N/A</v>
      </c>
      <c r="L5" s="1012" t="e">
        <f>NA()</f>
        <v>#N/A</v>
      </c>
      <c r="AQ5" s="312"/>
      <c r="AR5" s="489"/>
      <c r="AS5" s="158"/>
      <c r="AT5" s="158"/>
      <c r="AU5" s="158"/>
      <c r="AV5" s="158"/>
      <c r="AW5" s="158"/>
      <c r="AX5" s="158"/>
    </row>
    <row r="6" spans="1:50">
      <c r="B6" s="559" t="s">
        <v>667</v>
      </c>
      <c r="C6" s="526">
        <f>IF(Vehi_Inputs!$B$11=2,C5,C4)</f>
        <v>3882.3358199999998</v>
      </c>
      <c r="D6" s="526">
        <f>IF(Vehi_Inputs!$B$11=2,D5,D4)</f>
        <v>3314.88544</v>
      </c>
      <c r="E6" s="526">
        <f>IF(Vehi_Inputs!$B$11=2,E5,E4)</f>
        <v>4190.6673245000002</v>
      </c>
      <c r="F6" s="526">
        <f>IF(Vehi_Inputs!$B$11=2,F5,F4)</f>
        <v>3499.6501434500001</v>
      </c>
      <c r="G6" s="526">
        <f>IF(Vehi_Inputs!$B$11=2,G5,G4)</f>
        <v>4249.1832968625204</v>
      </c>
      <c r="H6" s="526">
        <f>IF(Vehi_Inputs!$B$11=2,H5,H4)</f>
        <v>3527.5124750417572</v>
      </c>
      <c r="I6" s="526">
        <f>IF(Vehi_Inputs!$B$11=2,I5,I4)</f>
        <v>4779.3937644060061</v>
      </c>
      <c r="J6" s="526">
        <f>IF(Vehi_Inputs!$B$11=2,J5,J4)</f>
        <v>3819.582484586128</v>
      </c>
      <c r="K6" s="526">
        <f>IF(Vehi_Inputs!$B$11=2,K5,K4)</f>
        <v>4470.6540645000005</v>
      </c>
      <c r="L6" s="527">
        <f>IF(Vehi_Inputs!$B$11=2,L5,L4)</f>
        <v>3638.54120345</v>
      </c>
      <c r="AQ6" s="312"/>
      <c r="AR6" s="1814"/>
      <c r="AS6" s="565"/>
      <c r="AT6" s="565"/>
      <c r="AU6" s="565"/>
      <c r="AV6" s="565"/>
      <c r="AW6" s="565"/>
      <c r="AX6" s="565"/>
    </row>
    <row r="7" spans="1:50" ht="15">
      <c r="D7" s="522"/>
      <c r="F7" s="642"/>
      <c r="G7" s="1321"/>
      <c r="H7" s="1321"/>
      <c r="J7" s="642"/>
      <c r="L7" s="642"/>
      <c r="AQ7" s="312"/>
      <c r="AR7" s="1815"/>
      <c r="AS7" s="1813"/>
      <c r="AT7" s="1291"/>
      <c r="AU7" s="1291"/>
      <c r="AV7" s="1291"/>
      <c r="AW7" s="1291"/>
      <c r="AX7" s="1291"/>
    </row>
    <row r="8" spans="1:50" ht="15">
      <c r="A8" s="134" t="s">
        <v>610</v>
      </c>
      <c r="G8" s="1321"/>
      <c r="H8" s="1321"/>
      <c r="AQ8" s="312"/>
      <c r="AR8" s="1815"/>
      <c r="AS8" s="1813"/>
      <c r="AT8" s="1291"/>
      <c r="AU8" s="1291"/>
      <c r="AV8" s="1291"/>
      <c r="AW8" s="1291"/>
      <c r="AX8" s="1291"/>
    </row>
    <row r="9" spans="1:50" ht="15">
      <c r="A9" s="63" t="s">
        <v>611</v>
      </c>
      <c r="N9" s="521" t="s">
        <v>612</v>
      </c>
      <c r="O9" s="521"/>
      <c r="P9" s="521"/>
      <c r="Q9" s="521"/>
      <c r="R9" s="521"/>
      <c r="S9" s="521"/>
      <c r="T9" s="521"/>
      <c r="U9" s="521"/>
      <c r="V9" s="521"/>
      <c r="W9" s="521"/>
      <c r="X9" s="521"/>
      <c r="Y9" s="521"/>
      <c r="Z9" s="521"/>
      <c r="AA9" s="521"/>
      <c r="AQ9" s="312"/>
      <c r="AR9" s="1815"/>
      <c r="AS9" s="1813"/>
      <c r="AT9" s="1291"/>
      <c r="AU9" s="1291"/>
      <c r="AV9" s="1291"/>
      <c r="AW9" s="1291"/>
      <c r="AX9" s="1291"/>
    </row>
    <row r="10" spans="1:50" ht="39">
      <c r="A10" s="63"/>
      <c r="B10" s="1611"/>
      <c r="C10" s="1421" t="s">
        <v>141</v>
      </c>
      <c r="D10" s="1421" t="s">
        <v>142</v>
      </c>
      <c r="E10" s="1421" t="s">
        <v>143</v>
      </c>
      <c r="F10" s="1421" t="s">
        <v>144</v>
      </c>
      <c r="G10" s="1421" t="s">
        <v>145</v>
      </c>
      <c r="H10" s="1421" t="s">
        <v>146</v>
      </c>
      <c r="I10" s="1421" t="s">
        <v>147</v>
      </c>
      <c r="J10" s="1421" t="s">
        <v>148</v>
      </c>
      <c r="K10" s="1421" t="s">
        <v>149</v>
      </c>
      <c r="L10" s="1174" t="s">
        <v>150</v>
      </c>
      <c r="N10" s="1816" t="s">
        <v>141</v>
      </c>
      <c r="O10" s="950" t="s">
        <v>143</v>
      </c>
      <c r="P10" s="950" t="s">
        <v>145</v>
      </c>
      <c r="Q10" s="950" t="s">
        <v>147</v>
      </c>
      <c r="R10" s="1817" t="s">
        <v>149</v>
      </c>
      <c r="T10" s="1192" t="s">
        <v>597</v>
      </c>
      <c r="U10" s="1474" t="s">
        <v>599</v>
      </c>
      <c r="V10" s="1474" t="s">
        <v>601</v>
      </c>
      <c r="W10" s="1474" t="s">
        <v>2302</v>
      </c>
      <c r="X10" s="1192" t="s">
        <v>2304</v>
      </c>
      <c r="Y10" s="1474" t="s">
        <v>605</v>
      </c>
      <c r="Z10" s="1474" t="s">
        <v>2305</v>
      </c>
      <c r="AA10" s="1193" t="s">
        <v>2306</v>
      </c>
      <c r="AQ10" s="312"/>
      <c r="AR10" s="1815"/>
      <c r="AS10" s="1813"/>
      <c r="AT10" s="1291"/>
      <c r="AU10" s="1291"/>
      <c r="AV10" s="1291"/>
      <c r="AW10" s="1291"/>
      <c r="AX10" s="1291"/>
    </row>
    <row r="11" spans="1:50" ht="15">
      <c r="A11" s="63"/>
      <c r="B11" s="141" t="s">
        <v>668</v>
      </c>
      <c r="C11" s="214">
        <v>53.5</v>
      </c>
      <c r="D11" s="214">
        <v>35</v>
      </c>
      <c r="E11" s="214">
        <v>36</v>
      </c>
      <c r="F11" s="214">
        <v>23.8</v>
      </c>
      <c r="G11" s="214">
        <v>36</v>
      </c>
      <c r="H11" s="214">
        <v>23.8</v>
      </c>
      <c r="I11" s="214">
        <v>36</v>
      </c>
      <c r="J11" s="214">
        <v>23.8</v>
      </c>
      <c r="K11" s="214">
        <v>36</v>
      </c>
      <c r="L11" s="215">
        <v>23.8</v>
      </c>
      <c r="N11" s="2565">
        <f>C238</f>
        <v>3882.3358199999998</v>
      </c>
      <c r="O11" s="2566">
        <f>D238</f>
        <v>4122.6394</v>
      </c>
      <c r="P11" s="2566">
        <f>IF(GREET1_Import_Export!$D$12=20,T11,IF(GREET1_Import_Export!$D$12=30,U11,IF(GREET1_Import_Export!$D$12=40,V11,W11)))</f>
        <v>4552.5402999999997</v>
      </c>
      <c r="Q11" s="2566">
        <f>IF(GREET1_Import_Export!$G$12=200,X11,IF(GREET1_Import_Export!$G$12=300,Y11,IF(GREET1_Import_Export!$G$12=400,Z11,AA11)))</f>
        <v>5332.9757799999998</v>
      </c>
      <c r="R11" s="2567">
        <f>E238</f>
        <v>4402.6261399999994</v>
      </c>
      <c r="T11" s="1194">
        <f>F238</f>
        <v>4552.5402999999997</v>
      </c>
      <c r="U11" s="973">
        <v>4689.2267399999992</v>
      </c>
      <c r="V11" s="973">
        <v>4865.5963399999991</v>
      </c>
      <c r="W11" s="526">
        <f>G238</f>
        <v>4865.5963400000001</v>
      </c>
      <c r="X11" s="1272">
        <f>H238</f>
        <v>5332.9757799999998</v>
      </c>
      <c r="Y11" s="1482">
        <f>I238</f>
        <v>5332.9757799999998</v>
      </c>
      <c r="Z11" s="1482">
        <f>J238</f>
        <v>5332.9757799999998</v>
      </c>
      <c r="AA11" s="1483">
        <f>K238</f>
        <v>5332.9757799999998</v>
      </c>
      <c r="AQ11" s="312"/>
      <c r="AR11" s="1815"/>
      <c r="AS11" s="1813"/>
      <c r="AT11" s="1291"/>
      <c r="AU11" s="1291"/>
      <c r="AV11" s="1291"/>
      <c r="AW11" s="1291"/>
      <c r="AX11" s="1291"/>
    </row>
    <row r="12" spans="1:50" ht="15">
      <c r="A12" s="63"/>
      <c r="B12" s="141" t="s">
        <v>669</v>
      </c>
      <c r="C12" s="550"/>
      <c r="D12" s="550"/>
      <c r="E12" s="550">
        <f>C99*1000/Vehi_Inputs!$C$110*2.2046</f>
        <v>125.34804450000001</v>
      </c>
      <c r="F12" s="550">
        <f>C100*1000/Vehi_Inputs!$C$110*2.2046</f>
        <v>103.50762345</v>
      </c>
      <c r="G12" s="550">
        <f>C106*1000/Vehi_Inputs!$C$116*2.2046</f>
        <v>454.31845650000008</v>
      </c>
      <c r="H12" s="550">
        <f>C107*1000/Vehi_Inputs!$C$116*2.2046</f>
        <v>365.19040934339625</v>
      </c>
      <c r="I12" s="550">
        <f>C108*1000/Vehi_Inputs!$C$117*2.2046</f>
        <v>3685.4736977878711</v>
      </c>
      <c r="J12" s="550">
        <f>C109*1000/Vehi_Inputs!$C$117*2.2046</f>
        <v>2827.0842439851017</v>
      </c>
      <c r="K12" s="550">
        <f>C101*1000/Vehi_Inputs!$C$111*2.2046</f>
        <v>125.34804450000001</v>
      </c>
      <c r="L12" s="551">
        <f>C102*1000/Vehi_Inputs!$C$111*2.2046</f>
        <v>103.50762345</v>
      </c>
      <c r="AQ12" s="312"/>
      <c r="AR12" s="1815"/>
      <c r="AS12" s="1813"/>
      <c r="AT12" s="1291"/>
      <c r="AU12" s="1291"/>
      <c r="AV12" s="1291"/>
      <c r="AW12" s="1291"/>
      <c r="AX12" s="1291"/>
    </row>
    <row r="13" spans="1:50">
      <c r="A13" s="63"/>
      <c r="B13" s="142" t="s">
        <v>670</v>
      </c>
      <c r="C13" s="566"/>
      <c r="D13" s="566"/>
      <c r="E13" s="566">
        <f>D99*1000/Vehi_Inputs!$E$110*2.2046</f>
        <v>42.914890509923154</v>
      </c>
      <c r="F13" s="566">
        <f>D100*1000/Vehi_Inputs!$E$110*2.2046</f>
        <v>35.437476069274496</v>
      </c>
      <c r="G13" s="566">
        <f>D106*1000/Vehi_Inputs!$E$116*2.2046</f>
        <v>155.20395686252027</v>
      </c>
      <c r="H13" s="566">
        <f>D107*1000/Vehi_Inputs!$E$116*2.2046</f>
        <v>124.75609504175755</v>
      </c>
      <c r="I13" s="566">
        <f>D108*1000/Vehi_Inputs!$E$117*2.2046</f>
        <v>1115.3153244060063</v>
      </c>
      <c r="J13" s="566">
        <f>D109*1000/Vehi_Inputs!$E$117*2.2046</f>
        <v>855.54548458612783</v>
      </c>
      <c r="K13" s="566">
        <f>D101*1000/Vehi_Inputs!$E$111*2.2046</f>
        <v>42.914890509923154</v>
      </c>
      <c r="L13" s="567">
        <f>D102*1000/Vehi_Inputs!$E$111*2.2046</f>
        <v>35.437476069274496</v>
      </c>
      <c r="AQ13" s="363"/>
      <c r="AR13" s="363"/>
      <c r="AS13" s="363"/>
      <c r="AT13" s="521"/>
      <c r="AU13" s="521"/>
      <c r="AV13" s="521"/>
      <c r="AW13" s="521"/>
      <c r="AX13" s="521"/>
    </row>
    <row r="14" spans="1:50">
      <c r="A14" s="63"/>
      <c r="B14" s="141" t="s">
        <v>671</v>
      </c>
      <c r="C14" s="214">
        <v>41.667317999999995</v>
      </c>
      <c r="D14" s="214">
        <v>41.667317999999995</v>
      </c>
      <c r="E14" s="214">
        <v>0</v>
      </c>
      <c r="F14" s="214">
        <v>0</v>
      </c>
      <c r="G14" s="214">
        <v>0</v>
      </c>
      <c r="H14" s="214">
        <v>0</v>
      </c>
      <c r="I14" s="214">
        <v>0</v>
      </c>
      <c r="J14" s="214">
        <v>0</v>
      </c>
      <c r="K14" s="214">
        <v>0</v>
      </c>
      <c r="L14" s="215">
        <v>0</v>
      </c>
      <c r="AQ14" s="521"/>
      <c r="AR14" s="521"/>
      <c r="AS14" s="521"/>
      <c r="AT14" s="521"/>
      <c r="AU14" s="521"/>
      <c r="AV14" s="521"/>
      <c r="AW14" s="521"/>
      <c r="AX14" s="521"/>
    </row>
    <row r="15" spans="1:50">
      <c r="A15" s="63"/>
      <c r="B15" s="141" t="s">
        <v>672</v>
      </c>
      <c r="C15" s="550"/>
      <c r="D15" s="550"/>
      <c r="E15" s="214">
        <v>0</v>
      </c>
      <c r="F15" s="214">
        <v>0</v>
      </c>
      <c r="G15" s="214">
        <v>0</v>
      </c>
      <c r="H15" s="214">
        <v>0</v>
      </c>
      <c r="I15" s="214">
        <v>0</v>
      </c>
      <c r="J15" s="214">
        <v>0</v>
      </c>
      <c r="K15" s="214">
        <v>0</v>
      </c>
      <c r="L15" s="215">
        <v>0</v>
      </c>
      <c r="AQ15" s="521"/>
      <c r="AR15" s="521"/>
      <c r="AS15" s="521"/>
      <c r="AT15" s="521"/>
      <c r="AU15" s="521"/>
      <c r="AV15" s="521"/>
      <c r="AW15" s="521"/>
      <c r="AX15" s="521"/>
    </row>
    <row r="16" spans="1:50">
      <c r="A16" s="63"/>
      <c r="B16" s="142" t="s">
        <v>673</v>
      </c>
      <c r="C16" s="566"/>
      <c r="D16" s="566"/>
      <c r="E16" s="219">
        <v>0</v>
      </c>
      <c r="F16" s="219">
        <v>0</v>
      </c>
      <c r="G16" s="219">
        <v>0</v>
      </c>
      <c r="H16" s="219">
        <v>0</v>
      </c>
      <c r="I16" s="219">
        <v>0</v>
      </c>
      <c r="J16" s="219">
        <v>0</v>
      </c>
      <c r="K16" s="219">
        <v>0</v>
      </c>
      <c r="L16" s="220">
        <v>0</v>
      </c>
      <c r="AQ16" s="521"/>
      <c r="AR16" s="521"/>
      <c r="AS16" s="521"/>
      <c r="AT16" s="521"/>
      <c r="AU16" s="521"/>
      <c r="AV16" s="521"/>
      <c r="AW16" s="521"/>
      <c r="AX16" s="521"/>
    </row>
    <row r="17" spans="1:50">
      <c r="A17" s="63"/>
      <c r="B17" s="141" t="s">
        <v>674</v>
      </c>
      <c r="C17" s="550">
        <f>IF(Vehi_Inputs!$B$11=2,C14,C11)</f>
        <v>53.5</v>
      </c>
      <c r="D17" s="550">
        <f>IF(Vehi_Inputs!$B$11=2,D14,D11)</f>
        <v>35</v>
      </c>
      <c r="E17" s="550">
        <f>IF(Vehi_Inputs!$B$11=2,E14,E11)</f>
        <v>36</v>
      </c>
      <c r="F17" s="550">
        <f>IF(Vehi_Inputs!$B$11=2,F14,F11)</f>
        <v>23.8</v>
      </c>
      <c r="G17" s="550">
        <f>IF(Vehi_Inputs!$B$11=2,G14,G11)</f>
        <v>36</v>
      </c>
      <c r="H17" s="550">
        <f>IF(Vehi_Inputs!$B$11=2,H14,H11)</f>
        <v>23.8</v>
      </c>
      <c r="I17" s="550">
        <f>IF(Vehi_Inputs!$B$11=2,I14,I11)</f>
        <v>36</v>
      </c>
      <c r="J17" s="550">
        <f>IF(Vehi_Inputs!$B$11=2,J14,J11)</f>
        <v>23.8</v>
      </c>
      <c r="K17" s="550">
        <f>IF(Vehi_Inputs!$B$11=2,K14,K11)</f>
        <v>36</v>
      </c>
      <c r="L17" s="551">
        <f>IF(Vehi_Inputs!$B$11=2,L14,L11)</f>
        <v>23.8</v>
      </c>
      <c r="AQ17" s="521"/>
      <c r="AR17" s="521"/>
      <c r="AS17" s="521"/>
      <c r="AT17" s="521"/>
      <c r="AU17" s="521"/>
      <c r="AV17" s="521"/>
      <c r="AW17" s="521"/>
      <c r="AX17" s="521"/>
    </row>
    <row r="18" spans="1:50">
      <c r="A18" s="63"/>
      <c r="B18" s="141" t="s">
        <v>675</v>
      </c>
      <c r="C18" s="550"/>
      <c r="D18" s="550"/>
      <c r="E18" s="550">
        <f>IF(Vehi_Inputs!$B$11=2,E15,E12)</f>
        <v>125.34804450000001</v>
      </c>
      <c r="F18" s="550">
        <f>IF(Vehi_Inputs!$B$11=2,F15,F12)</f>
        <v>103.50762345</v>
      </c>
      <c r="G18" s="550">
        <f>IF(Vehi_Inputs!$B$11=2,G15,G12)</f>
        <v>454.31845650000008</v>
      </c>
      <c r="H18" s="550">
        <f>IF(Vehi_Inputs!$B$11=2,H15,H12)</f>
        <v>365.19040934339625</v>
      </c>
      <c r="I18" s="550">
        <f>IF(Vehi_Inputs!$B$11=2,I15,I12)</f>
        <v>3685.4736977878711</v>
      </c>
      <c r="J18" s="550">
        <f>IF(Vehi_Inputs!$B$11=2,J15,J12)</f>
        <v>2827.0842439851017</v>
      </c>
      <c r="K18" s="550">
        <f>IF(Vehi_Inputs!$B$11=2,K15,K12)</f>
        <v>125.34804450000001</v>
      </c>
      <c r="L18" s="551">
        <f>IF(Vehi_Inputs!$B$11=2,L15,L12)</f>
        <v>103.50762345</v>
      </c>
      <c r="AQ18" s="521"/>
      <c r="AR18" s="521"/>
      <c r="AS18" s="521"/>
      <c r="AT18" s="521"/>
      <c r="AU18" s="521"/>
      <c r="AV18" s="521"/>
      <c r="AW18" s="521"/>
      <c r="AX18" s="521"/>
    </row>
    <row r="19" spans="1:50">
      <c r="A19" s="63"/>
      <c r="B19" s="142" t="s">
        <v>676</v>
      </c>
      <c r="C19" s="566"/>
      <c r="D19" s="566"/>
      <c r="E19" s="566">
        <f>IF(Vehi_Inputs!$B$11=2,E16,E13)</f>
        <v>42.914890509923154</v>
      </c>
      <c r="F19" s="566">
        <f>IF(Vehi_Inputs!$B$11=2,F16,F13)</f>
        <v>35.437476069274496</v>
      </c>
      <c r="G19" s="566">
        <f>IF(Vehi_Inputs!$B$11=2,G16,G13)</f>
        <v>155.20395686252027</v>
      </c>
      <c r="H19" s="566">
        <f>IF(Vehi_Inputs!$B$11=2,H16,H13)</f>
        <v>124.75609504175755</v>
      </c>
      <c r="I19" s="566">
        <f>IF(Vehi_Inputs!$B$11=2,I16,I13)</f>
        <v>1115.3153244060063</v>
      </c>
      <c r="J19" s="566">
        <f>IF(Vehi_Inputs!$B$11=2,J16,J13)</f>
        <v>855.54548458612783</v>
      </c>
      <c r="K19" s="566">
        <f>IF(Vehi_Inputs!$B$11=2,K16,K13)</f>
        <v>42.914890509923154</v>
      </c>
      <c r="L19" s="567">
        <f>IF(Vehi_Inputs!$B$11=2,L16,L13)</f>
        <v>35.437476069274496</v>
      </c>
      <c r="AQ19" s="521"/>
      <c r="AR19" s="521"/>
      <c r="AS19" s="521"/>
      <c r="AT19" s="521"/>
      <c r="AU19" s="521"/>
      <c r="AV19" s="521"/>
      <c r="AW19" s="521"/>
      <c r="AX19" s="521"/>
    </row>
    <row r="20" spans="1:50">
      <c r="A20" s="63"/>
      <c r="G20" s="1321"/>
      <c r="H20" s="1321"/>
      <c r="I20" s="1321"/>
      <c r="J20" s="1321"/>
      <c r="AQ20" s="521"/>
      <c r="AR20" s="521"/>
      <c r="AS20" s="521"/>
      <c r="AT20" s="521"/>
      <c r="AU20" s="521"/>
      <c r="AV20" s="521"/>
      <c r="AW20" s="521"/>
      <c r="AX20" s="521"/>
    </row>
    <row r="21" spans="1:50">
      <c r="A21" s="63" t="s">
        <v>622</v>
      </c>
      <c r="C21" s="218"/>
      <c r="D21" s="218"/>
      <c r="E21" s="218"/>
      <c r="F21" s="218"/>
      <c r="G21" s="218"/>
      <c r="H21" s="218"/>
      <c r="I21" s="218"/>
      <c r="AQ21" s="521"/>
      <c r="AR21" s="521"/>
      <c r="AS21" s="521"/>
      <c r="AT21" s="521"/>
      <c r="AU21" s="521"/>
      <c r="AV21" s="521"/>
      <c r="AW21" s="521"/>
      <c r="AX21" s="521"/>
    </row>
    <row r="22" spans="1:50" ht="25.5">
      <c r="A22" s="63"/>
      <c r="B22" s="1611"/>
      <c r="C22" s="1421" t="s">
        <v>157</v>
      </c>
      <c r="D22" s="1421" t="s">
        <v>158</v>
      </c>
      <c r="E22" s="1421" t="s">
        <v>159</v>
      </c>
      <c r="F22" s="1421" t="s">
        <v>160</v>
      </c>
      <c r="G22" s="1421" t="s">
        <v>161</v>
      </c>
      <c r="H22" s="1421" t="s">
        <v>162</v>
      </c>
      <c r="I22" s="1174" t="s">
        <v>163</v>
      </c>
      <c r="AQ22" s="521"/>
      <c r="AR22" s="521"/>
      <c r="AS22" s="521"/>
      <c r="AT22" s="521"/>
      <c r="AU22" s="521"/>
      <c r="AV22" s="521"/>
      <c r="AW22" s="521"/>
      <c r="AX22" s="521"/>
    </row>
    <row r="23" spans="1:50">
      <c r="A23" s="63"/>
      <c r="B23" s="549" t="s">
        <v>677</v>
      </c>
      <c r="C23" s="214">
        <v>10.9</v>
      </c>
      <c r="D23" s="214">
        <v>0</v>
      </c>
      <c r="E23" s="214">
        <v>2</v>
      </c>
      <c r="F23" s="214">
        <v>31.5</v>
      </c>
      <c r="G23" s="214">
        <v>29.1</v>
      </c>
      <c r="H23" s="214">
        <v>10.5</v>
      </c>
      <c r="I23" s="215">
        <v>40</v>
      </c>
      <c r="AQ23" s="521"/>
      <c r="AR23" s="521"/>
      <c r="AS23" s="521"/>
      <c r="AT23" s="521"/>
      <c r="AU23" s="521"/>
      <c r="AV23" s="521"/>
      <c r="AW23" s="521"/>
      <c r="AX23" s="521"/>
    </row>
    <row r="24" spans="1:50">
      <c r="A24" s="63"/>
      <c r="B24" s="549" t="s">
        <v>678</v>
      </c>
      <c r="C24" s="214">
        <v>10.9</v>
      </c>
      <c r="D24" s="214">
        <v>0</v>
      </c>
      <c r="E24" s="214">
        <v>2</v>
      </c>
      <c r="F24" s="214">
        <v>31.5</v>
      </c>
      <c r="G24" s="214">
        <v>29.1</v>
      </c>
      <c r="H24" s="214">
        <v>10.5</v>
      </c>
      <c r="I24" s="215">
        <v>40</v>
      </c>
      <c r="AQ24" s="521"/>
      <c r="AR24" s="521"/>
      <c r="AS24" s="521"/>
      <c r="AT24" s="521"/>
      <c r="AU24" s="521"/>
      <c r="AV24" s="521"/>
      <c r="AW24" s="521"/>
      <c r="AX24" s="521"/>
    </row>
    <row r="25" spans="1:50">
      <c r="A25" s="63"/>
      <c r="B25" s="141" t="s">
        <v>679</v>
      </c>
      <c r="C25" s="214">
        <v>10.9</v>
      </c>
      <c r="D25" s="214">
        <v>0</v>
      </c>
      <c r="E25" s="214">
        <v>2</v>
      </c>
      <c r="F25" s="214">
        <v>2.4</v>
      </c>
      <c r="G25" s="214">
        <v>29.1</v>
      </c>
      <c r="H25" s="214">
        <v>10.5</v>
      </c>
      <c r="I25" s="215">
        <v>40</v>
      </c>
      <c r="AQ25" s="521"/>
      <c r="AR25" s="521"/>
      <c r="AS25" s="521"/>
      <c r="AT25" s="521"/>
      <c r="AU25" s="521"/>
      <c r="AV25" s="521"/>
      <c r="AW25" s="521"/>
      <c r="AX25" s="521"/>
    </row>
    <row r="26" spans="1:50">
      <c r="A26" s="63"/>
      <c r="B26" s="141" t="s">
        <v>680</v>
      </c>
      <c r="C26" s="214">
        <v>10.9</v>
      </c>
      <c r="D26" s="214">
        <v>0</v>
      </c>
      <c r="E26" s="214">
        <v>2</v>
      </c>
      <c r="F26" s="214">
        <v>2.4</v>
      </c>
      <c r="G26" s="214">
        <v>29.1</v>
      </c>
      <c r="H26" s="214">
        <v>10.5</v>
      </c>
      <c r="I26" s="215">
        <v>40</v>
      </c>
      <c r="AQ26" s="521"/>
      <c r="AR26" s="521"/>
      <c r="AS26" s="521"/>
      <c r="AT26" s="521"/>
      <c r="AU26" s="521"/>
      <c r="AV26" s="521"/>
      <c r="AW26" s="521"/>
      <c r="AX26" s="521"/>
    </row>
    <row r="27" spans="1:50">
      <c r="A27" s="63"/>
      <c r="B27" s="141" t="s">
        <v>681</v>
      </c>
      <c r="C27" s="214">
        <v>0</v>
      </c>
      <c r="D27" s="214">
        <v>0</v>
      </c>
      <c r="E27" s="214">
        <v>2</v>
      </c>
      <c r="F27" s="214">
        <v>2.4</v>
      </c>
      <c r="G27" s="214">
        <v>20</v>
      </c>
      <c r="H27" s="214">
        <v>10.5</v>
      </c>
      <c r="I27" s="215">
        <v>40</v>
      </c>
      <c r="AQ27" s="521"/>
      <c r="AR27" s="521"/>
      <c r="AS27" s="521"/>
      <c r="AT27" s="521"/>
      <c r="AU27" s="521"/>
      <c r="AV27" s="521"/>
      <c r="AW27" s="521"/>
      <c r="AX27" s="521"/>
    </row>
    <row r="28" spans="1:50">
      <c r="A28" s="63"/>
      <c r="B28" s="142" t="s">
        <v>682</v>
      </c>
      <c r="C28" s="219">
        <v>0</v>
      </c>
      <c r="D28" s="219">
        <v>0</v>
      </c>
      <c r="E28" s="219">
        <v>2</v>
      </c>
      <c r="F28" s="219">
        <v>2.4</v>
      </c>
      <c r="G28" s="219">
        <v>20</v>
      </c>
      <c r="H28" s="219">
        <v>10.5</v>
      </c>
      <c r="I28" s="220">
        <v>40</v>
      </c>
      <c r="AQ28" s="521"/>
      <c r="AR28" s="521"/>
      <c r="AS28" s="521"/>
      <c r="AT28" s="521"/>
      <c r="AU28" s="521"/>
      <c r="AV28" s="521"/>
      <c r="AW28" s="521"/>
      <c r="AX28" s="521"/>
    </row>
    <row r="29" spans="1:50">
      <c r="A29" s="63"/>
      <c r="B29" s="549" t="s">
        <v>683</v>
      </c>
      <c r="C29" s="214">
        <v>6.5883243760087193</v>
      </c>
      <c r="D29" s="214">
        <v>0</v>
      </c>
      <c r="E29" s="214">
        <v>0.93294352034261163</v>
      </c>
      <c r="F29" s="214">
        <v>8.3895507466083092</v>
      </c>
      <c r="G29" s="214">
        <v>32.233577873170709</v>
      </c>
      <c r="H29" s="214">
        <v>43.568462399999966</v>
      </c>
      <c r="I29" s="215">
        <v>0</v>
      </c>
      <c r="AQ29" s="521"/>
      <c r="AR29" s="521"/>
      <c r="AS29" s="521"/>
      <c r="AT29" s="521"/>
      <c r="AU29" s="521"/>
      <c r="AV29" s="521"/>
      <c r="AW29" s="521"/>
      <c r="AX29" s="521"/>
    </row>
    <row r="30" spans="1:50">
      <c r="A30" s="63"/>
      <c r="B30" s="549" t="s">
        <v>684</v>
      </c>
      <c r="C30" s="214">
        <v>6.4683842350563481</v>
      </c>
      <c r="D30" s="214">
        <v>0</v>
      </c>
      <c r="E30" s="214">
        <v>0.99425975353719687</v>
      </c>
      <c r="F30" s="214">
        <v>6.715363191032222</v>
      </c>
      <c r="G30" s="214">
        <v>32.020774961015988</v>
      </c>
      <c r="H30" s="214">
        <v>43.568462399999966</v>
      </c>
      <c r="I30" s="215">
        <v>0</v>
      </c>
      <c r="AQ30" s="521"/>
      <c r="AR30" s="521"/>
      <c r="AS30" s="521"/>
      <c r="AT30" s="521"/>
      <c r="AU30" s="521"/>
      <c r="AV30" s="521"/>
      <c r="AW30" s="521"/>
      <c r="AX30" s="521"/>
    </row>
    <row r="31" spans="1:50">
      <c r="A31" s="63"/>
      <c r="B31" s="141" t="s">
        <v>685</v>
      </c>
      <c r="C31" s="214">
        <v>0</v>
      </c>
      <c r="D31" s="214">
        <v>0</v>
      </c>
      <c r="E31" s="214">
        <v>0</v>
      </c>
      <c r="F31" s="214">
        <v>0</v>
      </c>
      <c r="G31" s="214">
        <v>0</v>
      </c>
      <c r="H31" s="214">
        <v>0</v>
      </c>
      <c r="I31" s="215">
        <v>0</v>
      </c>
      <c r="AQ31" s="521"/>
      <c r="AR31" s="521"/>
      <c r="AS31" s="521"/>
      <c r="AT31" s="521"/>
      <c r="AU31" s="521"/>
      <c r="AV31" s="521"/>
      <c r="AW31" s="521"/>
      <c r="AX31" s="521"/>
    </row>
    <row r="32" spans="1:50">
      <c r="A32" s="63"/>
      <c r="B32" s="141" t="s">
        <v>686</v>
      </c>
      <c r="C32" s="214">
        <v>0</v>
      </c>
      <c r="D32" s="214">
        <v>0</v>
      </c>
      <c r="E32" s="214">
        <v>0</v>
      </c>
      <c r="F32" s="214">
        <v>0</v>
      </c>
      <c r="G32" s="214">
        <v>0</v>
      </c>
      <c r="H32" s="214">
        <v>0</v>
      </c>
      <c r="I32" s="215">
        <v>0</v>
      </c>
      <c r="AQ32" s="521"/>
      <c r="AR32" s="521"/>
      <c r="AS32" s="521"/>
      <c r="AT32" s="521"/>
      <c r="AU32" s="521"/>
      <c r="AV32" s="521"/>
      <c r="AW32" s="521"/>
      <c r="AX32" s="521"/>
    </row>
    <row r="33" spans="1:50">
      <c r="A33" s="63"/>
      <c r="B33" s="141" t="s">
        <v>687</v>
      </c>
      <c r="C33" s="214">
        <v>0</v>
      </c>
      <c r="D33" s="214">
        <v>0</v>
      </c>
      <c r="E33" s="214">
        <v>0</v>
      </c>
      <c r="F33" s="214">
        <v>0</v>
      </c>
      <c r="G33" s="214">
        <v>0</v>
      </c>
      <c r="H33" s="214">
        <v>0</v>
      </c>
      <c r="I33" s="215">
        <v>0</v>
      </c>
      <c r="AQ33" s="521"/>
      <c r="AR33" s="521"/>
      <c r="AS33" s="521"/>
      <c r="AT33" s="521"/>
      <c r="AU33" s="521"/>
      <c r="AV33" s="521"/>
      <c r="AW33" s="521"/>
      <c r="AX33" s="521"/>
    </row>
    <row r="34" spans="1:50">
      <c r="A34" s="63"/>
      <c r="B34" s="142" t="s">
        <v>688</v>
      </c>
      <c r="C34" s="219">
        <v>0</v>
      </c>
      <c r="D34" s="219">
        <v>0</v>
      </c>
      <c r="E34" s="219">
        <v>0</v>
      </c>
      <c r="F34" s="219">
        <v>0</v>
      </c>
      <c r="G34" s="219">
        <v>0</v>
      </c>
      <c r="H34" s="219">
        <v>0</v>
      </c>
      <c r="I34" s="220">
        <v>0</v>
      </c>
      <c r="AQ34" s="521"/>
      <c r="AR34" s="521"/>
      <c r="AS34" s="521"/>
      <c r="AT34" s="521"/>
      <c r="AU34" s="521"/>
      <c r="AV34" s="521"/>
      <c r="AW34" s="521"/>
      <c r="AX34" s="521"/>
    </row>
    <row r="35" spans="1:50">
      <c r="A35" s="63"/>
      <c r="B35" s="549" t="s">
        <v>689</v>
      </c>
      <c r="C35" s="550">
        <f>IF(Vehi_Inputs!$B$11=2,C29,C23)</f>
        <v>10.9</v>
      </c>
      <c r="D35" s="550">
        <f>IF(Vehi_Inputs!$B$11=2,D29,D23)</f>
        <v>0</v>
      </c>
      <c r="E35" s="550">
        <f>IF(Vehi_Inputs!$B$11=2,E29,E23)</f>
        <v>2</v>
      </c>
      <c r="F35" s="550">
        <f>IF(Vehi_Inputs!$B$11=2,F29,F23)</f>
        <v>31.5</v>
      </c>
      <c r="G35" s="550">
        <f>IF(Vehi_Inputs!$B$11=2,G29,G23)</f>
        <v>29.1</v>
      </c>
      <c r="H35" s="550">
        <f>IF(Vehi_Inputs!$B$11=2,H29,H23)</f>
        <v>10.5</v>
      </c>
      <c r="I35" s="551">
        <f>IF(Vehi_Inputs!$B$11=2,I29,I23)</f>
        <v>40</v>
      </c>
      <c r="AQ35" s="521"/>
      <c r="AR35" s="521"/>
      <c r="AS35" s="521"/>
      <c r="AT35" s="521"/>
      <c r="AU35" s="521"/>
      <c r="AV35" s="521"/>
      <c r="AW35" s="521"/>
      <c r="AX35" s="521"/>
    </row>
    <row r="36" spans="1:50">
      <c r="A36" s="63"/>
      <c r="B36" s="549" t="s">
        <v>690</v>
      </c>
      <c r="C36" s="550">
        <f>IF(Vehi_Inputs!$B$11=2,C30,C24)</f>
        <v>10.9</v>
      </c>
      <c r="D36" s="550">
        <f>IF(Vehi_Inputs!$B$11=2,D30,D24)</f>
        <v>0</v>
      </c>
      <c r="E36" s="550">
        <f>IF(Vehi_Inputs!$B$11=2,E30,E24)</f>
        <v>2</v>
      </c>
      <c r="F36" s="550">
        <f>IF(Vehi_Inputs!$B$11=2,F30,F24)</f>
        <v>31.5</v>
      </c>
      <c r="G36" s="550">
        <f>IF(Vehi_Inputs!$B$11=2,G30,G24)</f>
        <v>29.1</v>
      </c>
      <c r="H36" s="550">
        <f>IF(Vehi_Inputs!$B$11=2,H30,H24)</f>
        <v>10.5</v>
      </c>
      <c r="I36" s="551">
        <f>IF(Vehi_Inputs!$B$11=2,I30,I24)</f>
        <v>40</v>
      </c>
      <c r="AQ36" s="521"/>
      <c r="AR36" s="521"/>
      <c r="AS36" s="521"/>
      <c r="AT36" s="521"/>
      <c r="AU36" s="521"/>
      <c r="AV36" s="521"/>
      <c r="AW36" s="521"/>
      <c r="AX36" s="521"/>
    </row>
    <row r="37" spans="1:50">
      <c r="A37" s="63"/>
      <c r="B37" s="141" t="s">
        <v>691</v>
      </c>
      <c r="C37" s="550">
        <f>IF(Vehi_Inputs!$B$11=2,C31,C25)</f>
        <v>10.9</v>
      </c>
      <c r="D37" s="550">
        <f>IF(Vehi_Inputs!$B$11=2,D31,D25)</f>
        <v>0</v>
      </c>
      <c r="E37" s="550">
        <f>IF(Vehi_Inputs!$B$11=2,E31,E25)</f>
        <v>2</v>
      </c>
      <c r="F37" s="550">
        <f>IF(Vehi_Inputs!$B$11=2,F31,F25)</f>
        <v>2.4</v>
      </c>
      <c r="G37" s="550">
        <f>IF(Vehi_Inputs!$B$11=2,G31,G25)</f>
        <v>29.1</v>
      </c>
      <c r="H37" s="550">
        <f>IF(Vehi_Inputs!$B$11=2,H31,H25)</f>
        <v>10.5</v>
      </c>
      <c r="I37" s="551">
        <f>IF(Vehi_Inputs!$B$11=2,I31,I25)</f>
        <v>40</v>
      </c>
      <c r="AQ37" s="521"/>
      <c r="AR37" s="521"/>
      <c r="AS37" s="521"/>
      <c r="AT37" s="521"/>
      <c r="AU37" s="521"/>
      <c r="AV37" s="521"/>
      <c r="AW37" s="521"/>
      <c r="AX37" s="521"/>
    </row>
    <row r="38" spans="1:50">
      <c r="A38" s="63"/>
      <c r="B38" s="141" t="s">
        <v>692</v>
      </c>
      <c r="C38" s="550">
        <f>IF(Vehi_Inputs!$B$11=2,C32,C26)</f>
        <v>10.9</v>
      </c>
      <c r="D38" s="550">
        <f>IF(Vehi_Inputs!$B$11=2,D32,D26)</f>
        <v>0</v>
      </c>
      <c r="E38" s="550">
        <f>IF(Vehi_Inputs!$B$11=2,E32,E26)</f>
        <v>2</v>
      </c>
      <c r="F38" s="550">
        <f>IF(Vehi_Inputs!$B$11=2,F32,F26)</f>
        <v>2.4</v>
      </c>
      <c r="G38" s="550">
        <f>IF(Vehi_Inputs!$B$11=2,G32,G26)</f>
        <v>29.1</v>
      </c>
      <c r="H38" s="550">
        <f>IF(Vehi_Inputs!$B$11=2,H32,H26)</f>
        <v>10.5</v>
      </c>
      <c r="I38" s="551">
        <f>IF(Vehi_Inputs!$B$11=2,I32,I26)</f>
        <v>40</v>
      </c>
      <c r="AQ38" s="521"/>
      <c r="AR38" s="521"/>
      <c r="AS38" s="521"/>
      <c r="AT38" s="521"/>
      <c r="AU38" s="521"/>
      <c r="AV38" s="521"/>
      <c r="AW38" s="521"/>
      <c r="AX38" s="521"/>
    </row>
    <row r="39" spans="1:50">
      <c r="A39" s="63"/>
      <c r="B39" s="141" t="s">
        <v>693</v>
      </c>
      <c r="C39" s="550">
        <f>IF(Vehi_Inputs!$B$11=2,C33,C27)</f>
        <v>0</v>
      </c>
      <c r="D39" s="550">
        <f>IF(Vehi_Inputs!$B$11=2,D33,D27)</f>
        <v>0</v>
      </c>
      <c r="E39" s="550">
        <f>IF(Vehi_Inputs!$B$11=2,E33,E27)</f>
        <v>2</v>
      </c>
      <c r="F39" s="550">
        <f>IF(Vehi_Inputs!$B$11=2,F33,F27)</f>
        <v>2.4</v>
      </c>
      <c r="G39" s="550">
        <f>IF(Vehi_Inputs!$B$11=2,G33,G27)</f>
        <v>20</v>
      </c>
      <c r="H39" s="550">
        <f>IF(Vehi_Inputs!$B$11=2,H33,H27)</f>
        <v>10.5</v>
      </c>
      <c r="I39" s="551">
        <f>IF(Vehi_Inputs!$B$11=2,I33,I27)</f>
        <v>40</v>
      </c>
      <c r="AQ39" s="521"/>
      <c r="AR39" s="521"/>
      <c r="AS39" s="521"/>
      <c r="AT39" s="521"/>
      <c r="AU39" s="521"/>
      <c r="AV39" s="521"/>
      <c r="AW39" s="521"/>
      <c r="AX39" s="521"/>
    </row>
    <row r="40" spans="1:50">
      <c r="A40" s="63"/>
      <c r="B40" s="142" t="s">
        <v>694</v>
      </c>
      <c r="C40" s="566">
        <f>IF(Vehi_Inputs!$B$11=2,C34,C28)</f>
        <v>0</v>
      </c>
      <c r="D40" s="566">
        <f>IF(Vehi_Inputs!$B$11=2,D34,D28)</f>
        <v>0</v>
      </c>
      <c r="E40" s="566">
        <f>IF(Vehi_Inputs!$B$11=2,E34,E28)</f>
        <v>2</v>
      </c>
      <c r="F40" s="566">
        <f>IF(Vehi_Inputs!$B$11=2,F34,F28)</f>
        <v>2.4</v>
      </c>
      <c r="G40" s="566">
        <f>IF(Vehi_Inputs!$B$11=2,G34,G28)</f>
        <v>20</v>
      </c>
      <c r="H40" s="566">
        <f>IF(Vehi_Inputs!$B$11=2,H34,H28)</f>
        <v>10.5</v>
      </c>
      <c r="I40" s="567">
        <f>IF(Vehi_Inputs!$B$11=2,I34,I28)</f>
        <v>40</v>
      </c>
      <c r="AQ40" s="521"/>
      <c r="AR40" s="521"/>
      <c r="AS40" s="521"/>
      <c r="AT40" s="521"/>
      <c r="AU40" s="521"/>
      <c r="AV40" s="521"/>
      <c r="AW40" s="521"/>
      <c r="AX40" s="521"/>
    </row>
    <row r="41" spans="1:50">
      <c r="A41" s="63"/>
      <c r="AQ41" s="521"/>
      <c r="AR41" s="521"/>
      <c r="AS41" s="521"/>
      <c r="AT41" s="521"/>
      <c r="AU41" s="521"/>
      <c r="AV41" s="521"/>
      <c r="AW41" s="521"/>
      <c r="AX41" s="521"/>
    </row>
    <row r="42" spans="1:50" ht="15">
      <c r="A42" s="134" t="s">
        <v>641</v>
      </c>
      <c r="AQ42" s="521"/>
      <c r="AR42" s="521"/>
      <c r="AS42" s="521"/>
      <c r="AT42" s="521"/>
      <c r="AU42" s="521"/>
      <c r="AV42" s="521"/>
      <c r="AW42" s="521"/>
      <c r="AX42" s="521"/>
    </row>
    <row r="43" spans="1:50">
      <c r="A43" s="63" t="s">
        <v>642</v>
      </c>
      <c r="AQ43" s="521"/>
      <c r="AR43" s="521"/>
      <c r="AS43" s="521"/>
      <c r="AT43" s="521"/>
      <c r="AU43" s="521"/>
      <c r="AV43" s="521"/>
      <c r="AW43" s="521"/>
      <c r="AX43" s="521"/>
    </row>
    <row r="44" spans="1:50" ht="38.25">
      <c r="A44" s="63"/>
      <c r="B44" s="1173"/>
      <c r="C44" s="1421" t="s">
        <v>141</v>
      </c>
      <c r="D44" s="1421" t="s">
        <v>142</v>
      </c>
      <c r="E44" s="1421" t="s">
        <v>143</v>
      </c>
      <c r="F44" s="1421" t="s">
        <v>144</v>
      </c>
      <c r="G44" s="1421" t="s">
        <v>145</v>
      </c>
      <c r="H44" s="1421" t="s">
        <v>146</v>
      </c>
      <c r="I44" s="1421" t="s">
        <v>147</v>
      </c>
      <c r="J44" s="1421" t="s">
        <v>148</v>
      </c>
      <c r="K44" s="1421" t="s">
        <v>149</v>
      </c>
      <c r="L44" s="1174" t="s">
        <v>150</v>
      </c>
      <c r="AQ44" s="521"/>
      <c r="AR44" s="521"/>
      <c r="AS44" s="521"/>
      <c r="AT44" s="521"/>
      <c r="AU44" s="521"/>
      <c r="AV44" s="521"/>
      <c r="AW44" s="521"/>
      <c r="AX44" s="521"/>
    </row>
    <row r="45" spans="1:50">
      <c r="A45" s="63"/>
      <c r="B45" s="298" t="s">
        <v>34</v>
      </c>
      <c r="C45" s="138">
        <f>C6-C17-SUM(C35:I35)</f>
        <v>3704.8358199999998</v>
      </c>
      <c r="D45" s="138">
        <f>D6-D17-SUM(C35:I35)</f>
        <v>3155.88544</v>
      </c>
      <c r="E45" s="138">
        <f>E6-(E17+IF(Vehi_Inputs!$C$74=1,E18,E19))-SUM(C37:I37)</f>
        <v>3934.4192800000001</v>
      </c>
      <c r="F45" s="138">
        <f>F6-(F17+IF(Vehi_Inputs!$C$74=1,F18,F19))-SUM(C37:I37)</f>
        <v>3277.4425200000001</v>
      </c>
      <c r="G45" s="138">
        <f>G6-(G17+IF(Vehi_Inputs!$C$75=1,G18,G19))-SUM(C38:I38)</f>
        <v>3963.0793399999998</v>
      </c>
      <c r="H45" s="138">
        <f>H6-(H17+IF(Vehi_Inputs!$C$75=1,H18,H19))-SUM(C38:I38)</f>
        <v>3284.0563799999995</v>
      </c>
      <c r="I45" s="138">
        <f>I6-(I17+IF(Vehi_Inputs!$C$76=1,I18,I19))-SUM(C39:I39)</f>
        <v>3553.1784399999997</v>
      </c>
      <c r="J45" s="138">
        <f>J6-(J17+IF(Vehi_Inputs!$C$76=1,J18,J19))-SUM(C39:I39)</f>
        <v>2865.337</v>
      </c>
      <c r="K45" s="138">
        <f>K6-(K17+IF(Vehi_Inputs!$C$77=1,K18,K19))-SUM(C40:I40)</f>
        <v>4234.4060200000004</v>
      </c>
      <c r="L45" s="139">
        <f>L6-(L17+IF(Vehi_Inputs!$C$77=1,L18,L19))-SUM(C40:I40)</f>
        <v>3436.33358</v>
      </c>
      <c r="AQ45" s="521"/>
      <c r="AR45" s="521"/>
      <c r="AS45" s="521"/>
      <c r="AT45" s="521"/>
      <c r="AU45" s="521"/>
      <c r="AV45" s="521"/>
      <c r="AW45" s="521"/>
      <c r="AX45" s="521"/>
    </row>
    <row r="46" spans="1:50">
      <c r="A46" s="63"/>
      <c r="AQ46" s="521"/>
      <c r="AR46" s="521"/>
      <c r="AS46" s="521"/>
      <c r="AT46" s="521"/>
      <c r="AU46" s="521"/>
      <c r="AV46" s="521"/>
      <c r="AW46" s="521"/>
      <c r="AX46" s="521"/>
    </row>
    <row r="47" spans="1:50">
      <c r="A47" s="63" t="s">
        <v>644</v>
      </c>
      <c r="AQ47" s="521"/>
      <c r="AR47" s="521"/>
      <c r="AS47" s="521"/>
      <c r="AT47" s="521"/>
      <c r="AU47" s="521"/>
      <c r="AV47" s="521"/>
      <c r="AW47" s="521"/>
      <c r="AX47" s="521"/>
    </row>
    <row r="48" spans="1:50">
      <c r="A48" s="63"/>
      <c r="B48" s="2568">
        <f>C271</f>
        <v>120.63200000000001</v>
      </c>
      <c r="C48" s="8" t="s">
        <v>695</v>
      </c>
      <c r="AQ48" s="521"/>
      <c r="AR48" s="521"/>
      <c r="AS48" s="521"/>
      <c r="AT48" s="521"/>
      <c r="AU48" s="521"/>
      <c r="AV48" s="521"/>
      <c r="AW48" s="521"/>
      <c r="AX48" s="521"/>
    </row>
    <row r="49" spans="1:50" ht="15">
      <c r="A49" s="63"/>
      <c r="B49" s="935">
        <v>79.949269808165724</v>
      </c>
      <c r="C49" s="8" t="s">
        <v>696</v>
      </c>
      <c r="AQ49" s="521"/>
      <c r="AR49" s="521"/>
      <c r="AS49" s="521"/>
      <c r="AT49" s="521"/>
      <c r="AU49" s="521"/>
      <c r="AV49" s="521"/>
      <c r="AW49" s="521"/>
      <c r="AX49" s="521"/>
    </row>
    <row r="50" spans="1:50">
      <c r="A50" s="63"/>
      <c r="AQ50" s="521"/>
      <c r="AR50" s="521"/>
      <c r="AS50" s="521"/>
      <c r="AT50" s="521"/>
      <c r="AU50" s="521"/>
      <c r="AV50" s="521"/>
      <c r="AW50" s="521"/>
      <c r="AX50" s="521"/>
    </row>
    <row r="51" spans="1:50">
      <c r="A51" s="63" t="s">
        <v>697</v>
      </c>
      <c r="AQ51" s="521"/>
      <c r="AR51" s="521"/>
      <c r="AS51" s="521"/>
      <c r="AT51" s="521"/>
      <c r="AU51" s="521"/>
      <c r="AV51" s="521"/>
      <c r="AW51" s="521"/>
      <c r="AX51" s="521"/>
    </row>
    <row r="52" spans="1:50">
      <c r="A52" s="63"/>
      <c r="B52" s="149">
        <f>$B$48*Vehi_Inputs!B46</f>
        <v>338.97592000000003</v>
      </c>
      <c r="C52" s="938" t="s">
        <v>177</v>
      </c>
      <c r="AQ52" s="521"/>
      <c r="AR52" s="521"/>
      <c r="AS52" s="521"/>
      <c r="AT52" s="521"/>
      <c r="AU52" s="521"/>
      <c r="AV52" s="521"/>
      <c r="AW52" s="521"/>
      <c r="AX52" s="521"/>
    </row>
    <row r="53" spans="1:50" ht="15">
      <c r="A53" s="63"/>
      <c r="B53" s="936">
        <v>377.17786125899784</v>
      </c>
      <c r="C53" s="938" t="s">
        <v>178</v>
      </c>
      <c r="AQ53" s="521"/>
      <c r="AR53" s="521"/>
      <c r="AS53" s="521"/>
      <c r="AT53" s="521"/>
      <c r="AU53" s="521"/>
      <c r="AV53" s="521"/>
      <c r="AW53" s="521"/>
      <c r="AX53" s="521"/>
    </row>
    <row r="54" spans="1:50">
      <c r="A54" s="63"/>
      <c r="B54" s="150">
        <f>$B$49*Vehi_Inputs!B46</f>
        <v>224.65744816094568</v>
      </c>
      <c r="C54" s="938" t="s">
        <v>179</v>
      </c>
      <c r="AQ54" s="521"/>
      <c r="AR54" s="521"/>
      <c r="AS54" s="521"/>
      <c r="AT54" s="521"/>
      <c r="AU54" s="521"/>
      <c r="AV54" s="521"/>
      <c r="AW54" s="521"/>
      <c r="AX54" s="521"/>
    </row>
    <row r="55" spans="1:50" ht="15">
      <c r="A55" s="63"/>
      <c r="B55" s="937">
        <v>240.84779281447661</v>
      </c>
      <c r="C55" s="938" t="s">
        <v>180</v>
      </c>
      <c r="AQ55" s="521"/>
      <c r="AR55" s="521"/>
      <c r="AS55" s="521"/>
      <c r="AT55" s="521"/>
      <c r="AU55" s="521"/>
      <c r="AV55" s="521"/>
      <c r="AW55" s="521"/>
      <c r="AX55" s="521"/>
    </row>
    <row r="56" spans="1:50">
      <c r="A56" s="63"/>
      <c r="AQ56" s="521"/>
      <c r="AR56" s="521"/>
      <c r="AS56" s="521"/>
      <c r="AT56" s="521"/>
      <c r="AU56" s="521"/>
      <c r="AV56" s="521"/>
      <c r="AW56" s="521"/>
      <c r="AX56" s="521"/>
    </row>
    <row r="57" spans="1:50">
      <c r="A57" s="63" t="s">
        <v>698</v>
      </c>
      <c r="AQ57" s="521"/>
      <c r="AR57" s="521"/>
      <c r="AS57" s="521"/>
      <c r="AT57" s="521"/>
      <c r="AU57" s="521"/>
      <c r="AV57" s="521"/>
      <c r="AW57" s="521"/>
      <c r="AX57" s="521"/>
    </row>
    <row r="58" spans="1:50" ht="38.25">
      <c r="A58" s="63"/>
      <c r="B58" s="1611"/>
      <c r="C58" s="1421" t="s">
        <v>141</v>
      </c>
      <c r="D58" s="1421" t="s">
        <v>142</v>
      </c>
      <c r="E58" s="1421" t="s">
        <v>143</v>
      </c>
      <c r="F58" s="1421" t="s">
        <v>144</v>
      </c>
      <c r="G58" s="1421" t="s">
        <v>145</v>
      </c>
      <c r="H58" s="1421" t="s">
        <v>146</v>
      </c>
      <c r="I58" s="1421" t="s">
        <v>147</v>
      </c>
      <c r="J58" s="1421" t="s">
        <v>148</v>
      </c>
      <c r="K58" s="1421" t="s">
        <v>149</v>
      </c>
      <c r="L58" s="1174" t="s">
        <v>150</v>
      </c>
      <c r="N58" s="1173" t="s">
        <v>595</v>
      </c>
      <c r="O58" s="1421" t="s">
        <v>596</v>
      </c>
      <c r="P58" s="1421" t="s">
        <v>597</v>
      </c>
      <c r="Q58" s="1421" t="s">
        <v>598</v>
      </c>
      <c r="R58" s="1421" t="s">
        <v>599</v>
      </c>
      <c r="S58" s="1421" t="s">
        <v>600</v>
      </c>
      <c r="T58" s="1421" t="s">
        <v>601</v>
      </c>
      <c r="U58" s="1174" t="s">
        <v>602</v>
      </c>
      <c r="V58" s="1421" t="s">
        <v>603</v>
      </c>
      <c r="W58" s="1421" t="s">
        <v>604</v>
      </c>
      <c r="X58" s="1421" t="s">
        <v>605</v>
      </c>
      <c r="Y58" s="1174" t="s">
        <v>606</v>
      </c>
    </row>
    <row r="59" spans="1:50">
      <c r="A59" s="63"/>
      <c r="B59" s="571" t="s">
        <v>665</v>
      </c>
      <c r="C59" s="560"/>
      <c r="D59" s="560"/>
      <c r="E59" s="560"/>
      <c r="F59" s="560"/>
      <c r="G59" s="560"/>
      <c r="H59" s="560"/>
      <c r="I59" s="560"/>
      <c r="J59" s="560"/>
      <c r="K59" s="560"/>
      <c r="L59" s="561"/>
      <c r="N59" s="160"/>
      <c r="O59" s="489"/>
      <c r="P59" s="489"/>
      <c r="Q59" s="489"/>
      <c r="R59" s="489"/>
      <c r="S59" s="489"/>
      <c r="T59" s="489"/>
      <c r="U59" s="140"/>
      <c r="V59" s="489"/>
      <c r="W59" s="489"/>
      <c r="X59" s="489"/>
      <c r="Y59" s="140"/>
    </row>
    <row r="60" spans="1:50">
      <c r="A60" s="63"/>
      <c r="B60" s="141" t="s">
        <v>182</v>
      </c>
      <c r="C60" s="934">
        <v>0.14407482133185751</v>
      </c>
      <c r="D60" s="934">
        <v>0.26436590988589859</v>
      </c>
      <c r="E60" s="934">
        <v>0.20560191322440938</v>
      </c>
      <c r="F60" s="934">
        <v>0.23056915906023234</v>
      </c>
      <c r="G60" s="552">
        <f>IF(GREET1_Import_Export!$D$12=10,N60,IF(GREET1_Import_Export!$D$12=20,P60,IF(GREET1_Import_Export!$D$12=30,R60,T60)))</f>
        <v>0.20999877537079825</v>
      </c>
      <c r="H60" s="552">
        <f>IF(GREET1_Import_Export!$D$12=10,O60,IF(GREET1_Import_Export!$D$12=20,Q60,IF(GREET1_Import_Export!$D$12=30,S60,U60)))</f>
        <v>0.23303469406503741</v>
      </c>
      <c r="I60" s="552">
        <f>IF(GREET1_Import_Export!$G$12=100,V60,X60)</f>
        <v>2.8302191845664959E-2</v>
      </c>
      <c r="J60" s="552">
        <f>IF(GREET1_Import_Export!$G$12=100,W60,Y60)</f>
        <v>4.571146005825022E-2</v>
      </c>
      <c r="K60" s="552">
        <f>$B$52/$K$45</f>
        <v>8.0052767353660625E-2</v>
      </c>
      <c r="L60" s="568">
        <f>$B$54/$L$45</f>
        <v>6.5377077903171932E-2</v>
      </c>
      <c r="N60" s="1477">
        <v>0.20560191322440938</v>
      </c>
      <c r="O60" s="939">
        <v>0.23205830672673122</v>
      </c>
      <c r="P60" s="939">
        <v>0.20999877537079825</v>
      </c>
      <c r="Q60" s="939">
        <v>0.23303469406503741</v>
      </c>
      <c r="R60" s="939">
        <v>0.21787040185055628</v>
      </c>
      <c r="S60" s="939">
        <v>0.24016670961004771</v>
      </c>
      <c r="T60" s="939">
        <v>0.21899880892945855</v>
      </c>
      <c r="U60" s="940">
        <v>0.24045536451570615</v>
      </c>
      <c r="V60" s="939">
        <v>3.1150781647447223E-2</v>
      </c>
      <c r="W60" s="939">
        <v>4.7147769522588701E-2</v>
      </c>
      <c r="X60" s="939">
        <v>2.8302191845664959E-2</v>
      </c>
      <c r="Y60" s="940">
        <v>4.571146005825022E-2</v>
      </c>
    </row>
    <row r="61" spans="1:50">
      <c r="A61" s="63"/>
      <c r="B61" s="141" t="s">
        <v>183</v>
      </c>
      <c r="C61" s="934">
        <v>5.8724993300224362E-2</v>
      </c>
      <c r="D61" s="934">
        <v>5.0129526402469204E-2</v>
      </c>
      <c r="E61" s="934">
        <v>4.1035839681585119E-2</v>
      </c>
      <c r="F61" s="934">
        <v>4.8853426725452995E-2</v>
      </c>
      <c r="G61" s="552">
        <f>IF(GREET1_Import_Export!$D$12=10,N61,IF(GREET1_Import_Export!$D$12=20,P61,IF(GREET1_Import_Export!$D$12=30,R61,T61)))</f>
        <v>4.0746018189437114E-2</v>
      </c>
      <c r="H61" s="552">
        <f>IF(GREET1_Import_Export!$D$12=10,O61,IF(GREET1_Import_Export!$D$12=20,Q61,IF(GREET1_Import_Export!$D$12=30,S61,U61)))</f>
        <v>4.8758146623718961E-2</v>
      </c>
      <c r="I61" s="552">
        <f>IF(GREET1_Import_Export!$G$12=100,V61,X61)</f>
        <v>4.557412490783963E-2</v>
      </c>
      <c r="J61" s="552">
        <f>IF(GREET1_Import_Export!$G$12=100,W61,Y61)</f>
        <v>5.6003396516166135E-2</v>
      </c>
      <c r="K61" s="1476">
        <v>2.918400364038528E-2</v>
      </c>
      <c r="L61" s="933">
        <v>3.3376926380840041E-2</v>
      </c>
      <c r="N61" s="1477">
        <v>4.1035839681585119E-2</v>
      </c>
      <c r="O61" s="939">
        <v>4.8821625342835608E-2</v>
      </c>
      <c r="P61" s="939">
        <v>4.0746018189437114E-2</v>
      </c>
      <c r="Q61" s="939">
        <v>4.8758146623718961E-2</v>
      </c>
      <c r="R61" s="939">
        <v>3.9253232781649501E-2</v>
      </c>
      <c r="S61" s="939">
        <v>4.7552489569175856E-2</v>
      </c>
      <c r="T61" s="939">
        <v>3.9008240852277172E-2</v>
      </c>
      <c r="U61" s="940">
        <v>4.7372275996361048E-2</v>
      </c>
      <c r="V61" s="939">
        <v>4.7061166466511359E-2</v>
      </c>
      <c r="W61" s="939">
        <v>5.6723449842918175E-2</v>
      </c>
      <c r="X61" s="939">
        <v>4.557412490783963E-2</v>
      </c>
      <c r="Y61" s="940">
        <v>5.6003396516166135E-2</v>
      </c>
    </row>
    <row r="62" spans="1:50">
      <c r="A62" s="63"/>
      <c r="B62" s="141" t="s">
        <v>184</v>
      </c>
      <c r="C62" s="934">
        <v>0.2686594045545358</v>
      </c>
      <c r="D62" s="934">
        <v>0.26600000000000001</v>
      </c>
      <c r="E62" s="934">
        <v>0.23233105419553055</v>
      </c>
      <c r="F62" s="934">
        <v>0.29099999999999998</v>
      </c>
      <c r="G62" s="552">
        <f>IF(GREET1_Import_Export!$D$12=10,N62,IF(GREET1_Import_Export!$D$12=20,P62,IF(GREET1_Import_Export!$D$12=30,R62,T62)))</f>
        <v>0.23069018286642534</v>
      </c>
      <c r="H62" s="552">
        <f>IF(GREET1_Import_Export!$D$12=10,O62,IF(GREET1_Import_Export!$D$12=20,Q62,IF(GREET1_Import_Export!$D$12=30,S62,U62)))</f>
        <v>0.33900000000000002</v>
      </c>
      <c r="I62" s="552">
        <f>IF(GREET1_Import_Export!$G$12=100,V62,X62)</f>
        <v>0.2580252912097391</v>
      </c>
      <c r="J62" s="552">
        <f>IF(GREET1_Import_Export!$G$12=100,W62,Y62)</f>
        <v>0.36099999999999999</v>
      </c>
      <c r="K62" s="1476">
        <v>0.29857480647471096</v>
      </c>
      <c r="L62" s="933">
        <v>0.33257723072337048</v>
      </c>
      <c r="N62" s="1477">
        <v>0.23233105419553055</v>
      </c>
      <c r="O62" s="939">
        <v>0.30299999999999999</v>
      </c>
      <c r="P62" s="939">
        <v>0.23069018286642534</v>
      </c>
      <c r="Q62" s="939">
        <v>0.33900000000000002</v>
      </c>
      <c r="R62" s="939">
        <v>0.22223853644782812</v>
      </c>
      <c r="S62" s="939">
        <v>0.375</v>
      </c>
      <c r="T62" s="939">
        <v>0.22085147495080179</v>
      </c>
      <c r="U62" s="940">
        <v>0.41099999999999998</v>
      </c>
      <c r="V62" s="939">
        <v>0.26644441789605866</v>
      </c>
      <c r="W62" s="939">
        <v>0.36099999999999999</v>
      </c>
      <c r="X62" s="939">
        <v>0.2580252912097391</v>
      </c>
      <c r="Y62" s="940">
        <v>0.36099999999999999</v>
      </c>
    </row>
    <row r="63" spans="1:50">
      <c r="A63" s="63"/>
      <c r="B63" s="141" t="s">
        <v>185</v>
      </c>
      <c r="C63" s="934">
        <v>0</v>
      </c>
      <c r="D63" s="934">
        <v>0</v>
      </c>
      <c r="E63" s="934">
        <v>2.2980070221687666E-2</v>
      </c>
      <c r="F63" s="934">
        <v>1.7261544109660056E-2</v>
      </c>
      <c r="G63" s="552">
        <f>IF(GREET1_Import_Export!$D$12=10,N63,IF(GREET1_Import_Export!$D$12=20,P63,IF(GREET1_Import_Export!$D$12=30,R63,T63)))</f>
        <v>2.3361050428610607E-2</v>
      </c>
      <c r="H63" s="552">
        <f>IF(GREET1_Import_Export!$D$12=10,O63,IF(GREET1_Import_Export!$D$12=20,Q63,IF(GREET1_Import_Export!$D$12=30,S63,U63)))</f>
        <v>1.7227878473714032E-2</v>
      </c>
      <c r="I63" s="552">
        <f>IF(GREET1_Import_Export!$G$12=100,V63,X63)</f>
        <v>0.10147838479478959</v>
      </c>
      <c r="J63" s="552">
        <f>IF(GREET1_Import_Export!$G$12=100,W63,Y63)</f>
        <v>6.645736386585048E-2</v>
      </c>
      <c r="K63" s="1476">
        <v>4.4898467139054279E-2</v>
      </c>
      <c r="L63" s="933">
        <v>5.0065389571260069E-2</v>
      </c>
      <c r="N63" s="1477">
        <v>2.2980070221687666E-2</v>
      </c>
      <c r="O63" s="939">
        <v>1.7250307621135247E-2</v>
      </c>
      <c r="P63" s="939">
        <v>2.3361050428610607E-2</v>
      </c>
      <c r="Q63" s="939">
        <v>1.7227878473714032E-2</v>
      </c>
      <c r="R63" s="939">
        <v>3.271102731804125E-2</v>
      </c>
      <c r="S63" s="939">
        <v>2.2508178396076571E-2</v>
      </c>
      <c r="T63" s="939">
        <v>3.4327251950003905E-2</v>
      </c>
      <c r="U63" s="940">
        <v>2.3686137998180524E-2</v>
      </c>
      <c r="V63" s="939">
        <v>7.2160455248650751E-2</v>
      </c>
      <c r="W63" s="939">
        <v>5.4454511849201442E-2</v>
      </c>
      <c r="X63" s="939">
        <v>0.10147838479478959</v>
      </c>
      <c r="Y63" s="940">
        <v>6.645736386585048E-2</v>
      </c>
    </row>
    <row r="64" spans="1:50">
      <c r="A64" s="63"/>
      <c r="B64" s="141" t="s">
        <v>186</v>
      </c>
      <c r="C64" s="934">
        <v>0</v>
      </c>
      <c r="D64" s="934">
        <v>0</v>
      </c>
      <c r="E64" s="934">
        <v>2.2980070221687666E-2</v>
      </c>
      <c r="F64" s="934">
        <v>1.7261544109660056E-2</v>
      </c>
      <c r="G64" s="552">
        <f>IF(GREET1_Import_Export!$D$12=10,N64,IF(GREET1_Import_Export!$D$12=20,P64,IF(GREET1_Import_Export!$D$12=30,R64,T64)))</f>
        <v>2.3361050428610607E-2</v>
      </c>
      <c r="H64" s="552">
        <f>IF(GREET1_Import_Export!$D$12=10,O64,IF(GREET1_Import_Export!$D$12=20,Q64,IF(GREET1_Import_Export!$D$12=30,S64,U64)))</f>
        <v>1.7227878473714032E-2</v>
      </c>
      <c r="I64" s="552">
        <f>IF(GREET1_Import_Export!$G$12=100,V64,X64)</f>
        <v>0</v>
      </c>
      <c r="J64" s="552">
        <f>IF(GREET1_Import_Export!$G$12=100,W64,Y64)</f>
        <v>0</v>
      </c>
      <c r="K64" s="1476">
        <v>0</v>
      </c>
      <c r="L64" s="933">
        <v>0</v>
      </c>
      <c r="N64" s="1477">
        <v>2.2980070221687666E-2</v>
      </c>
      <c r="O64" s="939">
        <v>1.7250307621135247E-2</v>
      </c>
      <c r="P64" s="939">
        <v>2.3361050428610607E-2</v>
      </c>
      <c r="Q64" s="939">
        <v>1.7227878473714032E-2</v>
      </c>
      <c r="R64" s="939">
        <v>3.271102731804125E-2</v>
      </c>
      <c r="S64" s="939">
        <v>2.2508178396076571E-2</v>
      </c>
      <c r="T64" s="939">
        <v>3.4327251950003905E-2</v>
      </c>
      <c r="U64" s="940">
        <v>2.3686137998180524E-2</v>
      </c>
      <c r="V64" s="939">
        <v>0</v>
      </c>
      <c r="W64" s="939"/>
      <c r="X64" s="939">
        <v>0</v>
      </c>
      <c r="Y64" s="940"/>
    </row>
    <row r="65" spans="1:25">
      <c r="A65" s="63"/>
      <c r="B65" s="141" t="s">
        <v>187</v>
      </c>
      <c r="C65" s="934">
        <v>0</v>
      </c>
      <c r="D65" s="934">
        <v>0</v>
      </c>
      <c r="E65" s="934">
        <v>1.7999999999999999E-2</v>
      </c>
      <c r="F65" s="934">
        <v>1.7999999999999999E-2</v>
      </c>
      <c r="G65" s="552">
        <f>IF(GREET1_Import_Export!$D$12=10,N65,IF(GREET1_Import_Export!$D$12=20,P65,IF(GREET1_Import_Export!$D$12=30,R65,T65)))</f>
        <v>1.7999999999999999E-2</v>
      </c>
      <c r="H65" s="552">
        <f>IF(GREET1_Import_Export!$D$12=10,O65,IF(GREET1_Import_Export!$D$12=20,Q65,IF(GREET1_Import_Export!$D$12=30,S65,U65)))</f>
        <v>1.7000000000000001E-2</v>
      </c>
      <c r="I65" s="552">
        <f>IF(GREET1_Import_Export!$G$12=100,V65,X65)</f>
        <v>5.8999999999999997E-2</v>
      </c>
      <c r="J65" s="552">
        <f>IF(GREET1_Import_Export!$G$12=100,W65,Y65)</f>
        <v>6.6000000000000003E-2</v>
      </c>
      <c r="K65" s="1476">
        <v>3.9286158746672496E-2</v>
      </c>
      <c r="L65" s="933">
        <v>4.4105224146110053E-2</v>
      </c>
      <c r="N65" s="1478">
        <v>1.7999999999999999E-2</v>
      </c>
      <c r="O65" s="941">
        <v>1.7000000000000001E-2</v>
      </c>
      <c r="P65" s="941">
        <v>1.7999999999999999E-2</v>
      </c>
      <c r="Q65" s="941">
        <v>1.7000000000000001E-2</v>
      </c>
      <c r="R65" s="941">
        <v>1.7999999999999999E-2</v>
      </c>
      <c r="S65" s="941">
        <v>1.7000000000000001E-2</v>
      </c>
      <c r="T65" s="941">
        <v>1.7999999999999999E-2</v>
      </c>
      <c r="U65" s="942">
        <v>1.7000000000000001E-2</v>
      </c>
      <c r="V65" s="941">
        <v>5.899999999999999E-2</v>
      </c>
      <c r="W65" s="941">
        <v>6.6000000000000003E-2</v>
      </c>
      <c r="X65" s="941">
        <v>5.8999999999999997E-2</v>
      </c>
      <c r="Y65" s="942">
        <v>6.6000000000000003E-2</v>
      </c>
    </row>
    <row r="66" spans="1:25">
      <c r="A66" s="63"/>
      <c r="B66" s="141" t="s">
        <v>188</v>
      </c>
      <c r="C66" s="934">
        <v>0</v>
      </c>
      <c r="D66" s="934">
        <v>0</v>
      </c>
      <c r="E66" s="934">
        <v>0</v>
      </c>
      <c r="F66" s="934">
        <v>0</v>
      </c>
      <c r="G66" s="221">
        <v>0</v>
      </c>
      <c r="H66" s="221">
        <v>0</v>
      </c>
      <c r="I66" s="221">
        <v>0</v>
      </c>
      <c r="J66" s="221">
        <v>0</v>
      </c>
      <c r="K66" s="552">
        <f>$B$53/$K$45</f>
        <v>8.9074561928522339E-2</v>
      </c>
      <c r="L66" s="568">
        <f>$B$55/$L$45</f>
        <v>7.0088595070120233E-2</v>
      </c>
    </row>
    <row r="67" spans="1:25" ht="25.5">
      <c r="A67" s="63"/>
      <c r="B67" s="155" t="s">
        <v>189</v>
      </c>
      <c r="C67" s="223">
        <f t="shared" ref="C67:L67" si="0">1-SUM(C60:C66)</f>
        <v>0.5285407808133824</v>
      </c>
      <c r="D67" s="223">
        <f t="shared" si="0"/>
        <v>0.41950456371163214</v>
      </c>
      <c r="E67" s="223">
        <f t="shared" si="0"/>
        <v>0.4570710524550996</v>
      </c>
      <c r="F67" s="223">
        <f t="shared" si="0"/>
        <v>0.37705432599499455</v>
      </c>
      <c r="G67" s="223">
        <f t="shared" si="0"/>
        <v>0.45384292271611804</v>
      </c>
      <c r="H67" s="223">
        <f t="shared" si="0"/>
        <v>0.32775140236381561</v>
      </c>
      <c r="I67" s="223">
        <f t="shared" si="0"/>
        <v>0.50762000724196676</v>
      </c>
      <c r="J67" s="223">
        <f t="shared" si="0"/>
        <v>0.40482777955973326</v>
      </c>
      <c r="K67" s="223">
        <f t="shared" si="0"/>
        <v>0.41892923471699406</v>
      </c>
      <c r="L67" s="224">
        <f t="shared" si="0"/>
        <v>0.4044095562051272</v>
      </c>
    </row>
    <row r="68" spans="1:25">
      <c r="A68" s="63"/>
      <c r="B68" s="571" t="s">
        <v>666</v>
      </c>
      <c r="C68" s="560"/>
      <c r="D68" s="560"/>
      <c r="E68" s="560"/>
      <c r="F68" s="560"/>
      <c r="G68" s="560"/>
      <c r="H68" s="560"/>
      <c r="I68" s="560"/>
      <c r="J68" s="560"/>
      <c r="K68" s="560"/>
      <c r="L68" s="561"/>
    </row>
    <row r="69" spans="1:25">
      <c r="A69" s="63"/>
      <c r="B69" s="141" t="s">
        <v>182</v>
      </c>
      <c r="C69" s="553">
        <v>0.14812386222311227</v>
      </c>
      <c r="D69" s="553">
        <v>0.14900554251291517</v>
      </c>
      <c r="E69" s="221">
        <v>0</v>
      </c>
      <c r="F69" s="221">
        <v>0</v>
      </c>
      <c r="G69" s="221">
        <v>0</v>
      </c>
      <c r="H69" s="221">
        <v>0</v>
      </c>
      <c r="I69" s="221">
        <v>0</v>
      </c>
      <c r="J69" s="221">
        <v>0</v>
      </c>
      <c r="K69" s="221">
        <v>0</v>
      </c>
      <c r="L69" s="222">
        <v>0</v>
      </c>
    </row>
    <row r="70" spans="1:25">
      <c r="A70" s="63"/>
      <c r="B70" s="141" t="s">
        <v>183</v>
      </c>
      <c r="C70" s="553">
        <v>5.5531084578628723E-2</v>
      </c>
      <c r="D70" s="553">
        <v>5.4491907608564379E-2</v>
      </c>
      <c r="E70" s="221">
        <v>0</v>
      </c>
      <c r="F70" s="221">
        <v>0</v>
      </c>
      <c r="G70" s="221">
        <v>0</v>
      </c>
      <c r="H70" s="221">
        <v>0</v>
      </c>
      <c r="I70" s="221">
        <v>0</v>
      </c>
      <c r="J70" s="221">
        <v>0</v>
      </c>
      <c r="K70" s="221">
        <v>0</v>
      </c>
      <c r="L70" s="222">
        <v>0</v>
      </c>
    </row>
    <row r="71" spans="1:25">
      <c r="A71" s="63"/>
      <c r="B71" s="141" t="s">
        <v>184</v>
      </c>
      <c r="C71" s="553">
        <v>0.27139000350104214</v>
      </c>
      <c r="D71" s="553">
        <v>0.24223515945076438</v>
      </c>
      <c r="E71" s="221">
        <v>0</v>
      </c>
      <c r="F71" s="221">
        <v>0</v>
      </c>
      <c r="G71" s="221">
        <v>0</v>
      </c>
      <c r="H71" s="221">
        <v>0</v>
      </c>
      <c r="I71" s="221">
        <v>0</v>
      </c>
      <c r="J71" s="221">
        <v>0</v>
      </c>
      <c r="K71" s="221">
        <v>0</v>
      </c>
      <c r="L71" s="222">
        <v>0</v>
      </c>
    </row>
    <row r="72" spans="1:25">
      <c r="A72" s="63"/>
      <c r="B72" s="141" t="s">
        <v>185</v>
      </c>
      <c r="C72" s="225">
        <v>0</v>
      </c>
      <c r="D72" s="225">
        <v>0</v>
      </c>
      <c r="E72" s="221">
        <v>0</v>
      </c>
      <c r="F72" s="221">
        <v>0</v>
      </c>
      <c r="G72" s="221">
        <v>0</v>
      </c>
      <c r="H72" s="221">
        <v>0</v>
      </c>
      <c r="I72" s="221">
        <v>0</v>
      </c>
      <c r="J72" s="221">
        <v>0</v>
      </c>
      <c r="K72" s="221">
        <v>0</v>
      </c>
      <c r="L72" s="222">
        <v>0</v>
      </c>
    </row>
    <row r="73" spans="1:25">
      <c r="A73" s="63"/>
      <c r="B73" s="141" t="s">
        <v>186</v>
      </c>
      <c r="C73" s="225">
        <v>0</v>
      </c>
      <c r="D73" s="225">
        <v>0</v>
      </c>
      <c r="E73" s="221">
        <v>0</v>
      </c>
      <c r="F73" s="221">
        <v>0</v>
      </c>
      <c r="G73" s="221">
        <v>0</v>
      </c>
      <c r="H73" s="221">
        <v>0</v>
      </c>
      <c r="I73" s="221">
        <v>0</v>
      </c>
      <c r="J73" s="221">
        <v>0</v>
      </c>
      <c r="K73" s="221">
        <v>0</v>
      </c>
      <c r="L73" s="222">
        <v>0</v>
      </c>
    </row>
    <row r="74" spans="1:25">
      <c r="A74" s="63"/>
      <c r="B74" s="141" t="s">
        <v>187</v>
      </c>
      <c r="C74" s="225">
        <v>0</v>
      </c>
      <c r="D74" s="225">
        <v>0</v>
      </c>
      <c r="E74" s="221">
        <v>0</v>
      </c>
      <c r="F74" s="221">
        <v>0</v>
      </c>
      <c r="G74" s="221">
        <v>0</v>
      </c>
      <c r="H74" s="221">
        <v>0</v>
      </c>
      <c r="I74" s="221">
        <v>0</v>
      </c>
      <c r="J74" s="221">
        <v>0</v>
      </c>
      <c r="K74" s="221">
        <v>0</v>
      </c>
      <c r="L74" s="222">
        <v>0</v>
      </c>
    </row>
    <row r="75" spans="1:25">
      <c r="A75" s="63"/>
      <c r="B75" s="141" t="s">
        <v>188</v>
      </c>
      <c r="C75" s="225">
        <v>0</v>
      </c>
      <c r="D75" s="225">
        <v>0</v>
      </c>
      <c r="E75" s="221">
        <v>0</v>
      </c>
      <c r="F75" s="221">
        <v>0</v>
      </c>
      <c r="G75" s="221">
        <v>0</v>
      </c>
      <c r="H75" s="221">
        <v>0</v>
      </c>
      <c r="I75" s="221">
        <v>0</v>
      </c>
      <c r="J75" s="221">
        <v>0</v>
      </c>
      <c r="K75" s="221">
        <v>0</v>
      </c>
      <c r="L75" s="222">
        <v>0</v>
      </c>
    </row>
    <row r="76" spans="1:25" ht="25.5">
      <c r="A76" s="63"/>
      <c r="B76" s="155" t="s">
        <v>189</v>
      </c>
      <c r="C76" s="223">
        <f t="shared" ref="C76:L76" si="1">1-SUM(C69:C75)</f>
        <v>0.52495504969721685</v>
      </c>
      <c r="D76" s="223">
        <f t="shared" si="1"/>
        <v>0.55426739042775608</v>
      </c>
      <c r="E76" s="223">
        <f t="shared" si="1"/>
        <v>1</v>
      </c>
      <c r="F76" s="223">
        <f t="shared" si="1"/>
        <v>1</v>
      </c>
      <c r="G76" s="223">
        <f t="shared" si="1"/>
        <v>1</v>
      </c>
      <c r="H76" s="223">
        <f t="shared" si="1"/>
        <v>1</v>
      </c>
      <c r="I76" s="223">
        <f t="shared" si="1"/>
        <v>1</v>
      </c>
      <c r="J76" s="223">
        <f t="shared" si="1"/>
        <v>1</v>
      </c>
      <c r="K76" s="223">
        <f t="shared" si="1"/>
        <v>1</v>
      </c>
      <c r="L76" s="224">
        <f t="shared" si="1"/>
        <v>1</v>
      </c>
    </row>
    <row r="77" spans="1:25">
      <c r="A77" s="63"/>
      <c r="B77" s="571" t="s">
        <v>667</v>
      </c>
      <c r="C77" s="560"/>
      <c r="D77" s="560"/>
      <c r="E77" s="560"/>
      <c r="F77" s="560"/>
      <c r="G77" s="560"/>
      <c r="H77" s="560"/>
      <c r="I77" s="560"/>
      <c r="J77" s="560"/>
      <c r="K77" s="560"/>
      <c r="L77" s="561"/>
    </row>
    <row r="78" spans="1:25">
      <c r="A78" s="63"/>
      <c r="B78" s="141" t="s">
        <v>182</v>
      </c>
      <c r="C78" s="552">
        <f>IF(Vehi_Inputs!$B$11=2,C69,C60)</f>
        <v>0.14407482133185751</v>
      </c>
      <c r="D78" s="552">
        <f>IF(Vehi_Inputs!$B$11=2,D69,D60)</f>
        <v>0.26436590988589859</v>
      </c>
      <c r="E78" s="552">
        <f>IF(Vehi_Inputs!$B$11=2,E69,E60)</f>
        <v>0.20560191322440938</v>
      </c>
      <c r="F78" s="552">
        <f>IF(Vehi_Inputs!$B$11=2,F69,F60)</f>
        <v>0.23056915906023234</v>
      </c>
      <c r="G78" s="552">
        <f>IF(Vehi_Inputs!$B$11=2,G69,G60)</f>
        <v>0.20999877537079825</v>
      </c>
      <c r="H78" s="552">
        <f>IF(Vehi_Inputs!$B$11=2,H69,H60)</f>
        <v>0.23303469406503741</v>
      </c>
      <c r="I78" s="552">
        <f>IF(Vehi_Inputs!$B$11=2,I69,I60)</f>
        <v>2.8302191845664959E-2</v>
      </c>
      <c r="J78" s="552">
        <f>IF(Vehi_Inputs!$B$11=2,J69,J60)</f>
        <v>4.571146005825022E-2</v>
      </c>
      <c r="K78" s="552">
        <f>IF(Vehi_Inputs!$B$11=2,K69,K60)</f>
        <v>8.0052767353660625E-2</v>
      </c>
      <c r="L78" s="568">
        <f>IF(Vehi_Inputs!$B$11=2,L69,L60)</f>
        <v>6.5377077903171932E-2</v>
      </c>
    </row>
    <row r="79" spans="1:25">
      <c r="A79" s="63"/>
      <c r="B79" s="141" t="s">
        <v>183</v>
      </c>
      <c r="C79" s="552">
        <f>IF(Vehi_Inputs!$B$11=2,C70,C61)</f>
        <v>5.8724993300224362E-2</v>
      </c>
      <c r="D79" s="552">
        <f>IF(Vehi_Inputs!$B$11=2,D70,D61)</f>
        <v>5.0129526402469204E-2</v>
      </c>
      <c r="E79" s="552">
        <f>IF(Vehi_Inputs!$B$11=2,E70,E61)</f>
        <v>4.1035839681585119E-2</v>
      </c>
      <c r="F79" s="552">
        <f>IF(Vehi_Inputs!$B$11=2,F70,F61)</f>
        <v>4.8853426725452995E-2</v>
      </c>
      <c r="G79" s="552">
        <f>IF(Vehi_Inputs!$B$11=2,G70,G61)</f>
        <v>4.0746018189437114E-2</v>
      </c>
      <c r="H79" s="552">
        <f>IF(Vehi_Inputs!$B$11=2,H70,H61)</f>
        <v>4.8758146623718961E-2</v>
      </c>
      <c r="I79" s="552">
        <f>IF(Vehi_Inputs!$B$11=2,I70,I61)</f>
        <v>4.557412490783963E-2</v>
      </c>
      <c r="J79" s="552">
        <f>IF(Vehi_Inputs!$B$11=2,J70,J61)</f>
        <v>5.6003396516166135E-2</v>
      </c>
      <c r="K79" s="552">
        <f>IF(Vehi_Inputs!$B$11=2,K70,K61)</f>
        <v>2.918400364038528E-2</v>
      </c>
      <c r="L79" s="568">
        <f>IF(Vehi_Inputs!$B$11=2,L70,L61)</f>
        <v>3.3376926380840041E-2</v>
      </c>
    </row>
    <row r="80" spans="1:25">
      <c r="A80" s="63"/>
      <c r="B80" s="141" t="s">
        <v>184</v>
      </c>
      <c r="C80" s="552">
        <f>IF(Vehi_Inputs!$B$11=2,C71,C62)</f>
        <v>0.2686594045545358</v>
      </c>
      <c r="D80" s="552">
        <f>IF(Vehi_Inputs!$B$11=2,D71,D62)</f>
        <v>0.26600000000000001</v>
      </c>
      <c r="E80" s="552">
        <f>IF(Vehi_Inputs!$B$11=2,E71,E62)</f>
        <v>0.23233105419553055</v>
      </c>
      <c r="F80" s="552">
        <f>IF(Vehi_Inputs!$B$11=2,F71,F62)</f>
        <v>0.29099999999999998</v>
      </c>
      <c r="G80" s="552">
        <f>IF(Vehi_Inputs!$B$11=2,G71,G62)</f>
        <v>0.23069018286642534</v>
      </c>
      <c r="H80" s="552">
        <f>IF(Vehi_Inputs!$B$11=2,H71,H62)</f>
        <v>0.33900000000000002</v>
      </c>
      <c r="I80" s="552">
        <f>IF(Vehi_Inputs!$B$11=2,I71,I62)</f>
        <v>0.2580252912097391</v>
      </c>
      <c r="J80" s="552">
        <f>IF(Vehi_Inputs!$B$11=2,J71,J62)</f>
        <v>0.36099999999999999</v>
      </c>
      <c r="K80" s="552">
        <f>IF(Vehi_Inputs!$B$11=2,K71,K62)</f>
        <v>0.29857480647471096</v>
      </c>
      <c r="L80" s="568">
        <f>IF(Vehi_Inputs!$B$11=2,L71,L62)</f>
        <v>0.33257723072337048</v>
      </c>
    </row>
    <row r="81" spans="1:12">
      <c r="A81" s="63"/>
      <c r="B81" s="141" t="s">
        <v>185</v>
      </c>
      <c r="C81" s="552">
        <f>IF(Vehi_Inputs!$B$11=2,C72,C63)</f>
        <v>0</v>
      </c>
      <c r="D81" s="552">
        <f>IF(Vehi_Inputs!$B$11=2,D72,D63)</f>
        <v>0</v>
      </c>
      <c r="E81" s="552">
        <f>IF(Vehi_Inputs!$B$11=2,E72,E63)</f>
        <v>2.2980070221687666E-2</v>
      </c>
      <c r="F81" s="552">
        <f>IF(Vehi_Inputs!$B$11=2,F72,F63)</f>
        <v>1.7261544109660056E-2</v>
      </c>
      <c r="G81" s="552">
        <f>IF(Vehi_Inputs!$B$11=2,G72,G63)</f>
        <v>2.3361050428610607E-2</v>
      </c>
      <c r="H81" s="552">
        <f>IF(Vehi_Inputs!$B$11=2,H72,H63)</f>
        <v>1.7227878473714032E-2</v>
      </c>
      <c r="I81" s="552">
        <f>IF(Vehi_Inputs!$B$11=2,I72,I63)</f>
        <v>0.10147838479478959</v>
      </c>
      <c r="J81" s="552">
        <f>IF(Vehi_Inputs!$B$11=2,J72,J63)</f>
        <v>6.645736386585048E-2</v>
      </c>
      <c r="K81" s="552">
        <f>IF(Vehi_Inputs!$B$11=2,K72,K63)</f>
        <v>4.4898467139054279E-2</v>
      </c>
      <c r="L81" s="568">
        <f>IF(Vehi_Inputs!$B$11=2,L72,L63)</f>
        <v>5.0065389571260069E-2</v>
      </c>
    </row>
    <row r="82" spans="1:12">
      <c r="A82" s="63"/>
      <c r="B82" s="141" t="s">
        <v>186</v>
      </c>
      <c r="C82" s="552">
        <f>IF(Vehi_Inputs!$B$11=2,C73,C64)</f>
        <v>0</v>
      </c>
      <c r="D82" s="552">
        <f>IF(Vehi_Inputs!$B$11=2,D73,D64)</f>
        <v>0</v>
      </c>
      <c r="E82" s="552">
        <f>IF(Vehi_Inputs!$B$11=2,E73,E64)</f>
        <v>2.2980070221687666E-2</v>
      </c>
      <c r="F82" s="552">
        <f>IF(Vehi_Inputs!$B$11=2,F73,F64)</f>
        <v>1.7261544109660056E-2</v>
      </c>
      <c r="G82" s="552">
        <f>IF(Vehi_Inputs!$B$11=2,G73,G64)</f>
        <v>2.3361050428610607E-2</v>
      </c>
      <c r="H82" s="552">
        <f>IF(Vehi_Inputs!$B$11=2,H73,H64)</f>
        <v>1.7227878473714032E-2</v>
      </c>
      <c r="I82" s="552">
        <f>IF(Vehi_Inputs!$B$11=2,I73,I64)</f>
        <v>0</v>
      </c>
      <c r="J82" s="552">
        <f>IF(Vehi_Inputs!$B$11=2,J73,J64)</f>
        <v>0</v>
      </c>
      <c r="K82" s="552">
        <f>IF(Vehi_Inputs!$B$11=2,K73,K64)</f>
        <v>0</v>
      </c>
      <c r="L82" s="568">
        <f>IF(Vehi_Inputs!$B$11=2,L73,L64)</f>
        <v>0</v>
      </c>
    </row>
    <row r="83" spans="1:12">
      <c r="A83" s="63"/>
      <c r="B83" s="141" t="s">
        <v>187</v>
      </c>
      <c r="C83" s="552">
        <f>IF(Vehi_Inputs!$B$11=2,C74,C65)</f>
        <v>0</v>
      </c>
      <c r="D83" s="552">
        <f>IF(Vehi_Inputs!$B$11=2,D74,D65)</f>
        <v>0</v>
      </c>
      <c r="E83" s="552">
        <f>IF(Vehi_Inputs!$B$11=2,E74,E65)</f>
        <v>1.7999999999999999E-2</v>
      </c>
      <c r="F83" s="552">
        <f>IF(Vehi_Inputs!$B$11=2,F74,F65)</f>
        <v>1.7999999999999999E-2</v>
      </c>
      <c r="G83" s="552">
        <f>IF(Vehi_Inputs!$B$11=2,G74,G65)</f>
        <v>1.7999999999999999E-2</v>
      </c>
      <c r="H83" s="552">
        <f>IF(Vehi_Inputs!$B$11=2,H74,H65)</f>
        <v>1.7000000000000001E-2</v>
      </c>
      <c r="I83" s="552">
        <f>IF(Vehi_Inputs!$B$11=2,I74,I65)</f>
        <v>5.8999999999999997E-2</v>
      </c>
      <c r="J83" s="552">
        <f>IF(Vehi_Inputs!$B$11=2,J74,J65)</f>
        <v>6.6000000000000003E-2</v>
      </c>
      <c r="K83" s="552">
        <f>IF(Vehi_Inputs!$B$11=2,K74,K65)</f>
        <v>3.9286158746672496E-2</v>
      </c>
      <c r="L83" s="568">
        <f>IF(Vehi_Inputs!$B$11=2,L74,L65)</f>
        <v>4.4105224146110053E-2</v>
      </c>
    </row>
    <row r="84" spans="1:12">
      <c r="A84" s="63"/>
      <c r="B84" s="141" t="s">
        <v>188</v>
      </c>
      <c r="C84" s="552">
        <f>IF(Vehi_Inputs!$B$11=2,C75,C66)</f>
        <v>0</v>
      </c>
      <c r="D84" s="552">
        <f>IF(Vehi_Inputs!$B$11=2,D75,D66)</f>
        <v>0</v>
      </c>
      <c r="E84" s="552">
        <f>IF(Vehi_Inputs!$B$11=2,E75,E66)</f>
        <v>0</v>
      </c>
      <c r="F84" s="552">
        <f>IF(Vehi_Inputs!$B$11=2,F75,F66)</f>
        <v>0</v>
      </c>
      <c r="G84" s="552">
        <f>IF(Vehi_Inputs!$B$11=2,G75,G66)</f>
        <v>0</v>
      </c>
      <c r="H84" s="552">
        <f>IF(Vehi_Inputs!$B$11=2,H75,H66)</f>
        <v>0</v>
      </c>
      <c r="I84" s="552">
        <f>IF(Vehi_Inputs!$B$11=2,I75,I66)</f>
        <v>0</v>
      </c>
      <c r="J84" s="552">
        <f>IF(Vehi_Inputs!$B$11=2,J75,J66)</f>
        <v>0</v>
      </c>
      <c r="K84" s="552">
        <f>IF(Vehi_Inputs!$B$11=2,K75,K66)</f>
        <v>8.9074561928522339E-2</v>
      </c>
      <c r="L84" s="568">
        <f>IF(Vehi_Inputs!$B$11=2,L75,L66)</f>
        <v>7.0088595070120233E-2</v>
      </c>
    </row>
    <row r="85" spans="1:12" ht="25.5">
      <c r="A85" s="63"/>
      <c r="B85" s="155" t="s">
        <v>189</v>
      </c>
      <c r="C85" s="223">
        <f t="shared" ref="C85:L85" si="2">1-SUM(C78:C84)</f>
        <v>0.5285407808133824</v>
      </c>
      <c r="D85" s="223">
        <f t="shared" si="2"/>
        <v>0.41950456371163214</v>
      </c>
      <c r="E85" s="223">
        <f t="shared" si="2"/>
        <v>0.4570710524550996</v>
      </c>
      <c r="F85" s="223">
        <f t="shared" si="2"/>
        <v>0.37705432599499455</v>
      </c>
      <c r="G85" s="223">
        <f t="shared" si="2"/>
        <v>0.45384292271611804</v>
      </c>
      <c r="H85" s="223">
        <f t="shared" si="2"/>
        <v>0.32775140236381561</v>
      </c>
      <c r="I85" s="223">
        <f t="shared" si="2"/>
        <v>0.50762000724196676</v>
      </c>
      <c r="J85" s="223">
        <f t="shared" si="2"/>
        <v>0.40482777955973326</v>
      </c>
      <c r="K85" s="223">
        <f t="shared" si="2"/>
        <v>0.41892923471699406</v>
      </c>
      <c r="L85" s="224">
        <f t="shared" si="2"/>
        <v>0.4044095562051272</v>
      </c>
    </row>
    <row r="86" spans="1:12">
      <c r="A86" s="63"/>
    </row>
    <row r="87" spans="1:12" s="299" customFormat="1">
      <c r="A87" s="300" t="s">
        <v>649</v>
      </c>
      <c r="C87" s="302"/>
      <c r="D87" s="302"/>
      <c r="E87" s="302"/>
      <c r="F87" s="302"/>
      <c r="H87" s="552"/>
      <c r="I87" s="302"/>
      <c r="J87" s="552"/>
      <c r="K87" s="302"/>
      <c r="L87" s="552"/>
    </row>
    <row r="88" spans="1:12" s="299" customFormat="1">
      <c r="B88" s="1631">
        <v>4</v>
      </c>
      <c r="C88" s="302"/>
      <c r="D88" s="302"/>
      <c r="E88" s="302"/>
      <c r="F88" s="302"/>
      <c r="H88" s="552"/>
      <c r="I88" s="302"/>
      <c r="J88" s="552"/>
      <c r="K88" s="302"/>
      <c r="L88" s="552"/>
    </row>
    <row r="89" spans="1:12" s="299" customFormat="1">
      <c r="B89" s="303"/>
      <c r="C89" s="302"/>
      <c r="D89" s="302"/>
      <c r="E89" s="302"/>
      <c r="F89" s="302"/>
      <c r="H89" s="552"/>
      <c r="I89" s="302"/>
      <c r="J89" s="552"/>
      <c r="K89" s="302"/>
      <c r="L89" s="552"/>
    </row>
    <row r="90" spans="1:12" s="299" customFormat="1">
      <c r="A90" s="63" t="s">
        <v>650</v>
      </c>
      <c r="B90" s="8"/>
      <c r="C90" s="8"/>
      <c r="D90" s="8"/>
      <c r="E90" s="8"/>
      <c r="F90" s="8"/>
      <c r="G90" s="8"/>
      <c r="H90" s="8"/>
      <c r="I90" s="8"/>
      <c r="J90" s="8"/>
      <c r="K90" s="8"/>
      <c r="L90" s="8"/>
    </row>
    <row r="91" spans="1:12" s="299" customFormat="1" ht="38.25">
      <c r="A91" s="8"/>
      <c r="B91" s="1614"/>
      <c r="C91" s="1644" t="s">
        <v>141</v>
      </c>
      <c r="D91" s="1615" t="s">
        <v>142</v>
      </c>
      <c r="E91" s="1615" t="s">
        <v>143</v>
      </c>
      <c r="F91" s="1615" t="s">
        <v>144</v>
      </c>
      <c r="G91" s="1615" t="s">
        <v>145</v>
      </c>
      <c r="H91" s="1615" t="s">
        <v>146</v>
      </c>
      <c r="I91" s="1615" t="s">
        <v>147</v>
      </c>
      <c r="J91" s="1615" t="s">
        <v>148</v>
      </c>
      <c r="K91" s="1615" t="s">
        <v>149</v>
      </c>
      <c r="L91" s="1616" t="s">
        <v>150</v>
      </c>
    </row>
    <row r="92" spans="1:12" s="299" customFormat="1">
      <c r="A92" s="8"/>
      <c r="B92" s="570" t="s">
        <v>665</v>
      </c>
      <c r="C92" s="1608">
        <v>30</v>
      </c>
      <c r="D92" s="1608">
        <v>30</v>
      </c>
      <c r="E92" s="1608">
        <v>30</v>
      </c>
      <c r="F92" s="1608">
        <v>30</v>
      </c>
      <c r="G92" s="1608">
        <v>30</v>
      </c>
      <c r="H92" s="1608">
        <v>30</v>
      </c>
      <c r="I92" s="1608">
        <v>30</v>
      </c>
      <c r="J92" s="1608">
        <v>30</v>
      </c>
      <c r="K92" s="1608">
        <v>30</v>
      </c>
      <c r="L92" s="525">
        <v>30</v>
      </c>
    </row>
    <row r="93" spans="1:12" s="299" customFormat="1">
      <c r="A93" s="8"/>
      <c r="B93" s="490" t="s">
        <v>666</v>
      </c>
      <c r="C93" s="489">
        <v>32.799999999999997</v>
      </c>
      <c r="D93" s="489">
        <v>29.1</v>
      </c>
      <c r="E93" s="489" t="e">
        <v>#N/A</v>
      </c>
      <c r="F93" s="489" t="e">
        <v>#N/A</v>
      </c>
      <c r="G93" s="489" t="e">
        <v>#N/A</v>
      </c>
      <c r="H93" s="489" t="e">
        <v>#N/A</v>
      </c>
      <c r="I93" s="489" t="e">
        <v>#N/A</v>
      </c>
      <c r="J93" s="489" t="e">
        <v>#N/A</v>
      </c>
      <c r="K93" s="489" t="e">
        <v>#N/A</v>
      </c>
      <c r="L93" s="140" t="e">
        <v>#N/A</v>
      </c>
    </row>
    <row r="94" spans="1:12" s="299" customFormat="1">
      <c r="A94" s="8"/>
      <c r="B94" s="647" t="s">
        <v>667</v>
      </c>
      <c r="C94" s="548">
        <f>IF(Vehi_Inputs!$B$11=2,C93,C92)</f>
        <v>30</v>
      </c>
      <c r="D94" s="548">
        <f>IF(Vehi_Inputs!$B$11=2,D93,D92)</f>
        <v>30</v>
      </c>
      <c r="E94" s="548">
        <f>IF(Vehi_Inputs!$B$11=2,E93,E92)</f>
        <v>30</v>
      </c>
      <c r="F94" s="548">
        <f>IF(Vehi_Inputs!$B$11=2,F93,F92)</f>
        <v>30</v>
      </c>
      <c r="G94" s="548">
        <f>IF(Vehi_Inputs!$B$11=2,G93,G92)</f>
        <v>30</v>
      </c>
      <c r="H94" s="548">
        <f>IF(Vehi_Inputs!$B$11=2,H93,H92)</f>
        <v>30</v>
      </c>
      <c r="I94" s="548">
        <f>IF(Vehi_Inputs!$B$11=2,I93,I92)</f>
        <v>30</v>
      </c>
      <c r="J94" s="548">
        <f>IF(Vehi_Inputs!$B$11=2,J93,J92)</f>
        <v>30</v>
      </c>
      <c r="K94" s="548">
        <f>IF(Vehi_Inputs!$B$11=2,K93,K92)</f>
        <v>30</v>
      </c>
      <c r="L94" s="136">
        <f>IF(Vehi_Inputs!$B$11=2,L93,L92)</f>
        <v>30</v>
      </c>
    </row>
    <row r="95" spans="1:12" s="299" customFormat="1">
      <c r="B95" s="303"/>
      <c r="C95" s="302"/>
      <c r="D95" s="302"/>
      <c r="E95" s="302"/>
      <c r="F95" s="302"/>
      <c r="H95" s="552"/>
      <c r="I95" s="302"/>
      <c r="J95" s="552"/>
      <c r="K95" s="302"/>
      <c r="L95" s="552"/>
    </row>
    <row r="96" spans="1:12" s="299" customFormat="1" ht="15">
      <c r="A96" s="301" t="s">
        <v>651</v>
      </c>
      <c r="B96" s="303"/>
      <c r="C96" s="302"/>
      <c r="D96" s="302"/>
      <c r="E96" s="302"/>
      <c r="F96" s="302"/>
      <c r="H96" s="552"/>
      <c r="I96" s="302"/>
      <c r="J96" s="552"/>
      <c r="K96" s="302"/>
      <c r="L96" s="552"/>
    </row>
    <row r="97" spans="1:12" s="299" customFormat="1">
      <c r="A97" s="300" t="s">
        <v>699</v>
      </c>
      <c r="C97" s="303"/>
      <c r="D97" s="303"/>
      <c r="E97" s="303"/>
      <c r="H97" s="552"/>
      <c r="I97" s="304"/>
      <c r="J97" s="552"/>
      <c r="L97" s="552"/>
    </row>
    <row r="98" spans="1:12">
      <c r="A98" s="63"/>
      <c r="B98" s="1617"/>
      <c r="C98" s="1618" t="s">
        <v>154</v>
      </c>
      <c r="D98" s="1619" t="s">
        <v>155</v>
      </c>
      <c r="H98" s="552"/>
      <c r="J98" s="552"/>
    </row>
    <row r="99" spans="1:12">
      <c r="A99" s="63"/>
      <c r="B99" s="141" t="s">
        <v>143</v>
      </c>
      <c r="C99" s="1109">
        <f>C260</f>
        <v>45.485999999999997</v>
      </c>
      <c r="D99" s="1109">
        <f>C260</f>
        <v>45.485999999999997</v>
      </c>
      <c r="H99" s="552"/>
      <c r="J99" s="552"/>
    </row>
    <row r="100" spans="1:12">
      <c r="A100" s="63"/>
      <c r="B100" s="141" t="s">
        <v>144</v>
      </c>
      <c r="C100" s="1109">
        <v>37.560600000000001</v>
      </c>
      <c r="D100" s="1109">
        <v>37.560600000000001</v>
      </c>
    </row>
    <row r="101" spans="1:12">
      <c r="A101" s="63"/>
      <c r="B101" s="141" t="s">
        <v>149</v>
      </c>
      <c r="C101" s="1109">
        <f>D260</f>
        <v>45.485999999999997</v>
      </c>
      <c r="D101" s="1109">
        <f>D260</f>
        <v>45.485999999999997</v>
      </c>
    </row>
    <row r="102" spans="1:12">
      <c r="A102" s="63"/>
      <c r="B102" s="142" t="s">
        <v>150</v>
      </c>
      <c r="C102" s="1110">
        <v>37.560600000000001</v>
      </c>
      <c r="D102" s="1110">
        <v>37.560600000000001</v>
      </c>
    </row>
    <row r="103" spans="1:12">
      <c r="A103" s="63"/>
      <c r="C103" s="521"/>
      <c r="D103" s="521"/>
    </row>
    <row r="104" spans="1:12">
      <c r="A104" s="63" t="s">
        <v>700</v>
      </c>
      <c r="C104" s="521"/>
      <c r="D104" s="521"/>
    </row>
    <row r="105" spans="1:12">
      <c r="A105" s="63"/>
      <c r="B105" s="1636"/>
      <c r="C105" s="1826" t="s">
        <v>154</v>
      </c>
      <c r="D105" s="1827" t="s">
        <v>155</v>
      </c>
      <c r="E105" s="521"/>
      <c r="F105" s="523" t="s">
        <v>2316</v>
      </c>
      <c r="G105" s="524" t="s">
        <v>2313</v>
      </c>
      <c r="H105" s="524" t="s">
        <v>2315</v>
      </c>
      <c r="I105" s="1029" t="s">
        <v>2314</v>
      </c>
    </row>
    <row r="106" spans="1:12">
      <c r="A106" s="63"/>
      <c r="B106" s="549" t="s">
        <v>145</v>
      </c>
      <c r="C106" s="2571">
        <f>IF(GREET1_Import_Export!$D$12=20,F106,IF(GREET1_Import_Export!$D$12=30,G106,IF(GREET1_Import_Export!$D$12=40,H106,I106)))</f>
        <v>10.922107499999999</v>
      </c>
      <c r="D106" s="2572">
        <f>IF(GREET1_Import_Export!$D$12=20,F106,IF(GREET1_Import_Export!$D$12=30,G106,IF(GREET1_Import_Export!$D$12=40,H106,I106)))</f>
        <v>10.922107499999999</v>
      </c>
      <c r="E106" s="521"/>
      <c r="F106" s="2579">
        <f>C249</f>
        <v>10.922107499999999</v>
      </c>
      <c r="G106" s="2582">
        <v>14.451738000000002</v>
      </c>
      <c r="H106" s="2582">
        <v>19.402179333333333</v>
      </c>
      <c r="I106" s="2583">
        <f>D249</f>
        <v>19.402179333333301</v>
      </c>
    </row>
    <row r="107" spans="1:12">
      <c r="A107" s="63"/>
      <c r="B107" s="549" t="s">
        <v>146</v>
      </c>
      <c r="C107" s="2573">
        <f>IF(GREET1_Import_Export!$D$12=20,F107,IF(GREET1_Import_Export!$D$12=30,G107,IF(GREET1_Import_Export!$D$12=40,H107,I107)))</f>
        <v>8.7794120000000007</v>
      </c>
      <c r="D107" s="2574">
        <f>IF(GREET1_Import_Export!$D$12=20,F107,IF(GREET1_Import_Export!$D$12=30,G107,IF(GREET1_Import_Export!$D$12=40,H107,I107)))</f>
        <v>8.7794120000000007</v>
      </c>
      <c r="E107" s="521"/>
      <c r="F107" s="2580">
        <v>8.7794120000000007</v>
      </c>
      <c r="G107" s="1032">
        <v>11.487025666666666</v>
      </c>
      <c r="H107" s="1032">
        <v>15.336617500000003</v>
      </c>
      <c r="I107" s="1821">
        <v>15.336617500000003</v>
      </c>
    </row>
    <row r="108" spans="1:12">
      <c r="A108" s="63"/>
      <c r="B108" s="549" t="s">
        <v>147</v>
      </c>
      <c r="C108" s="2575">
        <f>IF(GREET1_Import_Export!$G$12=200,F108,IF(GREET1_Import_Export!$G$12=300,G108,IF(GREET1_Import_Export!$G$12=400,H108,I108)))</f>
        <v>108.66179368421101</v>
      </c>
      <c r="D108" s="2576">
        <f>IF(GREET1_Import_Export!$G$12=200,F108,IF(GREET1_Import_Export!$G$12=300,G108,IF(GREET1_Import_Export!$G$12=400,H108,I108)))</f>
        <v>108.66179368421101</v>
      </c>
      <c r="E108" s="521"/>
      <c r="F108" s="2580">
        <f>E249</f>
        <v>108.66179368421101</v>
      </c>
      <c r="G108" s="1032">
        <f>F249</f>
        <v>108.66179368421101</v>
      </c>
      <c r="H108" s="1032">
        <f>G249</f>
        <v>108.66179368421101</v>
      </c>
      <c r="I108" s="2584">
        <f>H249</f>
        <v>108.66179368421101</v>
      </c>
    </row>
    <row r="109" spans="1:12">
      <c r="A109" s="63"/>
      <c r="B109" s="559" t="s">
        <v>148</v>
      </c>
      <c r="C109" s="2577">
        <f>IF(GREET1_Import_Export!$G$12=200,F109,IF(GREET1_Import_Export!$G$12=300,G109,IF(GREET1_Import_Export!$G$12=400,H109,I109)))</f>
        <v>83.35320505263158</v>
      </c>
      <c r="D109" s="2578">
        <f>IF(GREET1_Import_Export!$G$12=200,F109,IF(GREET1_Import_Export!$G$12=300,G109,IF(GREET1_Import_Export!$G$12=400,H109,I109)))</f>
        <v>83.35320505263158</v>
      </c>
      <c r="E109" s="521"/>
      <c r="F109" s="2581">
        <v>83.35320505263158</v>
      </c>
      <c r="G109" s="1824">
        <v>83.35320505263158</v>
      </c>
      <c r="H109" s="1824">
        <v>83.35320505263158</v>
      </c>
      <c r="I109" s="1825">
        <v>83.35320505263158</v>
      </c>
    </row>
    <row r="110" spans="1:12">
      <c r="A110" s="63"/>
      <c r="B110" s="312"/>
    </row>
    <row r="111" spans="1:12">
      <c r="A111" s="63" t="s">
        <v>701</v>
      </c>
    </row>
    <row r="112" spans="1:12">
      <c r="B112" s="1611"/>
      <c r="C112" s="1598" t="s">
        <v>153</v>
      </c>
      <c r="D112" s="1598" t="s">
        <v>154</v>
      </c>
      <c r="E112" s="1599" t="s">
        <v>200</v>
      </c>
    </row>
    <row r="113" spans="1:32">
      <c r="B113" s="141" t="s">
        <v>203</v>
      </c>
      <c r="C113" s="314">
        <v>2</v>
      </c>
      <c r="D113" s="309"/>
      <c r="E113" s="310"/>
    </row>
    <row r="114" spans="1:32">
      <c r="B114" s="141" t="s">
        <v>194</v>
      </c>
      <c r="C114" s="314">
        <v>2</v>
      </c>
      <c r="D114" s="316">
        <v>0</v>
      </c>
      <c r="E114" s="317">
        <v>0</v>
      </c>
    </row>
    <row r="115" spans="1:32">
      <c r="B115" s="141" t="s">
        <v>166</v>
      </c>
      <c r="C115" s="314">
        <v>2</v>
      </c>
      <c r="D115" s="316">
        <v>0</v>
      </c>
      <c r="E115" s="317">
        <v>0</v>
      </c>
    </row>
    <row r="116" spans="1:32">
      <c r="B116" s="141" t="s">
        <v>167</v>
      </c>
      <c r="C116" s="314">
        <v>2</v>
      </c>
      <c r="D116" s="316">
        <v>0</v>
      </c>
      <c r="E116" s="317">
        <v>0</v>
      </c>
    </row>
    <row r="117" spans="1:32">
      <c r="B117" s="142" t="s">
        <v>198</v>
      </c>
      <c r="C117" s="315">
        <v>2</v>
      </c>
      <c r="D117" s="318">
        <v>0</v>
      </c>
      <c r="E117" s="319">
        <v>0</v>
      </c>
    </row>
    <row r="118" spans="1:32">
      <c r="A118" s="63"/>
    </row>
    <row r="119" spans="1:32" ht="15">
      <c r="A119" s="301" t="s">
        <v>702</v>
      </c>
      <c r="B119" s="303"/>
      <c r="C119" s="303"/>
      <c r="D119" s="303"/>
      <c r="E119" s="303"/>
      <c r="F119" s="299"/>
      <c r="G119" s="299"/>
      <c r="H119" s="299"/>
    </row>
    <row r="120" spans="1:32" ht="25.5">
      <c r="A120" s="299"/>
      <c r="B120" s="1640" t="s">
        <v>157</v>
      </c>
      <c r="C120" s="1641" t="s">
        <v>158</v>
      </c>
      <c r="D120" s="1641" t="s">
        <v>159</v>
      </c>
      <c r="E120" s="1641" t="s">
        <v>160</v>
      </c>
      <c r="F120" s="1641" t="s">
        <v>161</v>
      </c>
      <c r="G120" s="1641" t="s">
        <v>162</v>
      </c>
      <c r="H120" s="1642" t="s">
        <v>163</v>
      </c>
    </row>
    <row r="121" spans="1:32">
      <c r="A121" s="299"/>
      <c r="B121" s="305">
        <v>44</v>
      </c>
      <c r="C121" s="306">
        <v>0</v>
      </c>
      <c r="D121" s="306">
        <v>4</v>
      </c>
      <c r="E121" s="306">
        <v>1</v>
      </c>
      <c r="F121" s="306">
        <v>4</v>
      </c>
      <c r="G121" s="306">
        <v>22</v>
      </c>
      <c r="H121" s="307">
        <v>0</v>
      </c>
    </row>
    <row r="122" spans="1:32">
      <c r="A122" s="63"/>
    </row>
    <row r="123" spans="1:32" ht="15">
      <c r="A123" s="134" t="s">
        <v>660</v>
      </c>
    </row>
    <row r="124" spans="1:32" ht="51">
      <c r="B124" s="1173"/>
      <c r="C124" s="1421" t="s">
        <v>141</v>
      </c>
      <c r="D124" s="1421" t="s">
        <v>703</v>
      </c>
      <c r="E124" s="1421" t="s">
        <v>143</v>
      </c>
      <c r="F124" s="1421" t="s">
        <v>704</v>
      </c>
      <c r="G124" s="1421" t="s">
        <v>145</v>
      </c>
      <c r="H124" s="1421" t="s">
        <v>705</v>
      </c>
      <c r="I124" s="1421" t="s">
        <v>147</v>
      </c>
      <c r="J124" s="1421" t="s">
        <v>706</v>
      </c>
      <c r="K124" s="1421" t="s">
        <v>149</v>
      </c>
      <c r="L124" s="1174" t="s">
        <v>707</v>
      </c>
    </row>
    <row r="125" spans="1:32">
      <c r="B125" s="298" t="s">
        <v>34</v>
      </c>
      <c r="C125" s="162">
        <v>183363</v>
      </c>
      <c r="D125" s="162">
        <v>183363</v>
      </c>
      <c r="E125" s="162">
        <v>183363</v>
      </c>
      <c r="F125" s="162">
        <v>183363</v>
      </c>
      <c r="G125" s="162">
        <v>183363</v>
      </c>
      <c r="H125" s="162">
        <v>183363</v>
      </c>
      <c r="I125" s="162">
        <f>183363*IF(GREET1_Import_Export!G12&lt;=100,0.7,1)</f>
        <v>183363</v>
      </c>
      <c r="J125" s="162">
        <f>183363*IF(GREET1_Import_Export!G12&lt;=100,0.7,1)</f>
        <v>183363</v>
      </c>
      <c r="K125" s="162">
        <v>183363</v>
      </c>
      <c r="L125" s="165">
        <v>183363</v>
      </c>
    </row>
    <row r="127" spans="1:32" ht="15">
      <c r="A127" s="134" t="s">
        <v>708</v>
      </c>
    </row>
    <row r="128" spans="1:32" ht="15">
      <c r="A128" s="134"/>
      <c r="B128" s="570"/>
      <c r="C128" s="3005" t="s">
        <v>667</v>
      </c>
      <c r="D128" s="3005"/>
      <c r="E128" s="3005"/>
      <c r="F128" s="3005"/>
      <c r="G128" s="3005"/>
      <c r="H128" s="3005"/>
      <c r="I128" s="3005"/>
      <c r="J128" s="3005"/>
      <c r="K128" s="3005"/>
      <c r="L128" s="3006"/>
      <c r="M128" s="3007" t="s">
        <v>665</v>
      </c>
      <c r="N128" s="3005"/>
      <c r="O128" s="3005"/>
      <c r="P128" s="3005"/>
      <c r="Q128" s="3005"/>
      <c r="R128" s="3005"/>
      <c r="S128" s="3005"/>
      <c r="T128" s="3005"/>
      <c r="U128" s="3005"/>
      <c r="V128" s="3006"/>
      <c r="W128" s="3007" t="s">
        <v>666</v>
      </c>
      <c r="X128" s="3005"/>
      <c r="Y128" s="3005"/>
      <c r="Z128" s="3005"/>
      <c r="AA128" s="3005"/>
      <c r="AB128" s="3005"/>
      <c r="AC128" s="3005"/>
      <c r="AD128" s="3005"/>
      <c r="AE128" s="3005"/>
      <c r="AF128" s="3006"/>
    </row>
    <row r="129" spans="2:32" ht="38.25">
      <c r="B129" s="58"/>
      <c r="C129" s="175" t="s">
        <v>141</v>
      </c>
      <c r="D129" s="175" t="s">
        <v>142</v>
      </c>
      <c r="E129" s="175" t="s">
        <v>143</v>
      </c>
      <c r="F129" s="175" t="s">
        <v>144</v>
      </c>
      <c r="G129" s="175" t="s">
        <v>145</v>
      </c>
      <c r="H129" s="175" t="s">
        <v>146</v>
      </c>
      <c r="I129" s="175" t="s">
        <v>147</v>
      </c>
      <c r="J129" s="175" t="s">
        <v>148</v>
      </c>
      <c r="K129" s="175" t="s">
        <v>149</v>
      </c>
      <c r="L129" s="176" t="s">
        <v>150</v>
      </c>
      <c r="M129" s="1630" t="s">
        <v>141</v>
      </c>
      <c r="N129" s="1628" t="s">
        <v>142</v>
      </c>
      <c r="O129" s="1628" t="s">
        <v>143</v>
      </c>
      <c r="P129" s="1628" t="s">
        <v>144</v>
      </c>
      <c r="Q129" s="1628" t="s">
        <v>145</v>
      </c>
      <c r="R129" s="1628" t="s">
        <v>146</v>
      </c>
      <c r="S129" s="1628" t="s">
        <v>147</v>
      </c>
      <c r="T129" s="1628" t="s">
        <v>148</v>
      </c>
      <c r="U129" s="1628" t="s">
        <v>149</v>
      </c>
      <c r="V129" s="1629" t="s">
        <v>150</v>
      </c>
      <c r="W129" s="1630" t="s">
        <v>141</v>
      </c>
      <c r="X129" s="1628" t="s">
        <v>142</v>
      </c>
      <c r="Y129" s="1628" t="s">
        <v>143</v>
      </c>
      <c r="Z129" s="1628" t="s">
        <v>144</v>
      </c>
      <c r="AA129" s="1628" t="s">
        <v>145</v>
      </c>
      <c r="AB129" s="1628" t="s">
        <v>146</v>
      </c>
      <c r="AC129" s="1628" t="s">
        <v>147</v>
      </c>
      <c r="AD129" s="1628" t="s">
        <v>148</v>
      </c>
      <c r="AE129" s="1628" t="s">
        <v>149</v>
      </c>
      <c r="AF129" s="1629" t="s">
        <v>150</v>
      </c>
    </row>
    <row r="130" spans="2:32">
      <c r="B130" s="482" t="s">
        <v>250</v>
      </c>
      <c r="C130" s="179"/>
      <c r="D130" s="179"/>
      <c r="E130" s="179"/>
      <c r="F130" s="179"/>
      <c r="G130" s="179"/>
      <c r="H130" s="179"/>
      <c r="I130" s="179"/>
      <c r="J130" s="179"/>
      <c r="K130" s="179"/>
      <c r="L130" s="180"/>
      <c r="M130" s="127"/>
      <c r="N130" s="127"/>
      <c r="O130" s="127"/>
      <c r="P130" s="127"/>
      <c r="Q130" s="127"/>
      <c r="R130" s="127"/>
      <c r="S130" s="127"/>
      <c r="T130" s="127"/>
      <c r="U130" s="127"/>
      <c r="V130" s="180"/>
      <c r="W130" s="127"/>
      <c r="X130" s="127"/>
      <c r="Y130" s="127"/>
      <c r="Z130" s="127"/>
      <c r="AA130" s="127"/>
      <c r="AB130" s="127"/>
      <c r="AC130" s="127"/>
      <c r="AD130" s="127"/>
      <c r="AE130" s="127"/>
      <c r="AF130" s="180"/>
    </row>
    <row r="131" spans="2:32">
      <c r="B131" s="59" t="s">
        <v>251</v>
      </c>
      <c r="C131" s="552">
        <f>IF(Vehi_Inputs!$B$11=2,W131,M131)</f>
        <v>0.64858904473506696</v>
      </c>
      <c r="D131" s="151">
        <f>IF(Vehi_Inputs!$B$11=2,X131,N131)</f>
        <v>9.4E-2</v>
      </c>
      <c r="E131" s="151">
        <f>IF(Vehi_Inputs!$B$11=2,Y131,O131)</f>
        <v>0.64858904473506696</v>
      </c>
      <c r="F131" s="151">
        <f>IF(Vehi_Inputs!$B$11=2,Z131,P131)</f>
        <v>0.09</v>
      </c>
      <c r="G131" s="151">
        <f>IF(Vehi_Inputs!$B$11=2,AA131,Q131)</f>
        <v>0.64858904473506696</v>
      </c>
      <c r="H131" s="151">
        <f>IF(Vehi_Inputs!$B$11=2,AB131,R131)</f>
        <v>8.6999999999999994E-2</v>
      </c>
      <c r="I131" s="151">
        <f>IF(Vehi_Inputs!$B$11=2,AC131,S131)</f>
        <v>0.64858904473506696</v>
      </c>
      <c r="J131" s="151">
        <f>IF(Vehi_Inputs!$B$11=2,AD131,T131)</f>
        <v>8.5000000000000006E-2</v>
      </c>
      <c r="K131" s="151">
        <f>IF(Vehi_Inputs!$B$11=2,AE131,U131)</f>
        <v>0.64858904473506696</v>
      </c>
      <c r="L131" s="152">
        <f>IF(Vehi_Inputs!$B$11=2,AF131,V131)</f>
        <v>8.6999999999999994E-2</v>
      </c>
      <c r="M131" s="1243">
        <v>0.64858904473506696</v>
      </c>
      <c r="N131" s="1058">
        <v>9.4E-2</v>
      </c>
      <c r="O131" s="1058">
        <v>0.64858904473506696</v>
      </c>
      <c r="P131" s="1058">
        <v>0.09</v>
      </c>
      <c r="Q131" s="1058">
        <v>0.64858904473506696</v>
      </c>
      <c r="R131" s="1058">
        <v>8.6999999999999994E-2</v>
      </c>
      <c r="S131" s="1058">
        <v>0.64858904473506696</v>
      </c>
      <c r="T131" s="1058">
        <v>8.5000000000000006E-2</v>
      </c>
      <c r="U131" s="1058">
        <v>0.64858904473506696</v>
      </c>
      <c r="V131" s="1475">
        <v>8.6999999999999994E-2</v>
      </c>
      <c r="W131" s="225">
        <v>0.73350981959585815</v>
      </c>
      <c r="X131" s="225">
        <v>0.62716489598168546</v>
      </c>
      <c r="Y131" s="225">
        <v>0</v>
      </c>
      <c r="Z131" s="225">
        <v>0</v>
      </c>
      <c r="AA131" s="225">
        <v>0</v>
      </c>
      <c r="AB131" s="225">
        <v>0</v>
      </c>
      <c r="AC131" s="225">
        <v>0</v>
      </c>
      <c r="AD131" s="225">
        <v>0</v>
      </c>
      <c r="AE131" s="225">
        <v>0</v>
      </c>
      <c r="AF131" s="226">
        <v>0</v>
      </c>
    </row>
    <row r="132" spans="2:32">
      <c r="B132" s="59" t="s">
        <v>252</v>
      </c>
      <c r="C132" s="151">
        <f>IF(Vehi_Inputs!$B$11=2,W132,M132)</f>
        <v>2.8664442287003374E-2</v>
      </c>
      <c r="D132" s="151">
        <f>IF(Vehi_Inputs!$B$11=2,X132,N132)</f>
        <v>6.8000000000000005E-2</v>
      </c>
      <c r="E132" s="151">
        <f>IF(Vehi_Inputs!$B$11=2,Y132,O132)</f>
        <v>2.8664442287003374E-2</v>
      </c>
      <c r="F132" s="151">
        <f>IF(Vehi_Inputs!$B$11=2,Z132,P132)</f>
        <v>6.5000000000000002E-2</v>
      </c>
      <c r="G132" s="151">
        <f>IF(Vehi_Inputs!$B$11=2,AA132,Q132)</f>
        <v>2.8664442287003374E-2</v>
      </c>
      <c r="H132" s="151">
        <f>IF(Vehi_Inputs!$B$11=2,AB132,R132)</f>
        <v>6.3E-2</v>
      </c>
      <c r="I132" s="151">
        <f>IF(Vehi_Inputs!$B$11=2,AC132,S132)</f>
        <v>2.8664442287003374E-2</v>
      </c>
      <c r="J132" s="151">
        <f>IF(Vehi_Inputs!$B$11=2,AD132,T132)</f>
        <v>6.0999999999999999E-2</v>
      </c>
      <c r="K132" s="151">
        <f>IF(Vehi_Inputs!$B$11=2,AE132,U132)</f>
        <v>2.8664442287003374E-2</v>
      </c>
      <c r="L132" s="152">
        <f>IF(Vehi_Inputs!$B$11=2,AF132,V132)</f>
        <v>6.2E-2</v>
      </c>
      <c r="M132" s="1243">
        <v>2.8664442287003374E-2</v>
      </c>
      <c r="N132" s="1058">
        <v>6.8000000000000005E-2</v>
      </c>
      <c r="O132" s="1058">
        <v>2.8664442287003374E-2</v>
      </c>
      <c r="P132" s="1058">
        <v>6.5000000000000002E-2</v>
      </c>
      <c r="Q132" s="1058">
        <v>2.8664442287003374E-2</v>
      </c>
      <c r="R132" s="1058">
        <v>6.3E-2</v>
      </c>
      <c r="S132" s="1058">
        <v>2.8664442287003374E-2</v>
      </c>
      <c r="T132" s="1058">
        <v>6.0999999999999999E-2</v>
      </c>
      <c r="U132" s="1058">
        <v>2.8664442287003374E-2</v>
      </c>
      <c r="V132" s="1475">
        <v>6.2E-2</v>
      </c>
      <c r="W132" s="225">
        <v>1.0773103589837157E-2</v>
      </c>
      <c r="X132" s="225">
        <v>4.1299130851446153E-2</v>
      </c>
      <c r="Y132" s="225">
        <v>0</v>
      </c>
      <c r="Z132" s="225">
        <v>0</v>
      </c>
      <c r="AA132" s="225">
        <v>0</v>
      </c>
      <c r="AB132" s="225">
        <v>0</v>
      </c>
      <c r="AC132" s="225">
        <v>0</v>
      </c>
      <c r="AD132" s="225">
        <v>0</v>
      </c>
      <c r="AE132" s="225">
        <v>0</v>
      </c>
      <c r="AF132" s="226">
        <v>0</v>
      </c>
    </row>
    <row r="133" spans="2:32">
      <c r="B133" s="59" t="s">
        <v>253</v>
      </c>
      <c r="C133" s="151">
        <f>IF(Vehi_Inputs!$B$11=2,W133,M133)</f>
        <v>2.0377859365271621E-3</v>
      </c>
      <c r="D133" s="151">
        <f>IF(Vehi_Inputs!$B$11=2,X133,N133)</f>
        <v>0</v>
      </c>
      <c r="E133" s="151">
        <f>IF(Vehi_Inputs!$B$11=2,Y133,O133)</f>
        <v>2.0377859365271621E-3</v>
      </c>
      <c r="F133" s="151">
        <f>IF(Vehi_Inputs!$B$11=2,Z133,P133)</f>
        <v>0</v>
      </c>
      <c r="G133" s="151">
        <f>IF(Vehi_Inputs!$B$11=2,AA133,Q133)</f>
        <v>2.0377859365271621E-3</v>
      </c>
      <c r="H133" s="151">
        <f>IF(Vehi_Inputs!$B$11=2,AB133,R133)</f>
        <v>0</v>
      </c>
      <c r="I133" s="151">
        <f>IF(Vehi_Inputs!$B$11=2,AC133,S133)</f>
        <v>2.0377859365271621E-3</v>
      </c>
      <c r="J133" s="151">
        <f>IF(Vehi_Inputs!$B$11=2,AD133,T133)</f>
        <v>0</v>
      </c>
      <c r="K133" s="151">
        <f>IF(Vehi_Inputs!$B$11=2,AE133,U133)</f>
        <v>2.0377859365271621E-3</v>
      </c>
      <c r="L133" s="152">
        <f>IF(Vehi_Inputs!$B$11=2,AF133,V133)</f>
        <v>0</v>
      </c>
      <c r="M133" s="1243">
        <v>2.0377859365271621E-3</v>
      </c>
      <c r="N133" s="1058">
        <v>0</v>
      </c>
      <c r="O133" s="1058">
        <v>2.0377859365271621E-3</v>
      </c>
      <c r="P133" s="1058">
        <v>0</v>
      </c>
      <c r="Q133" s="1058">
        <v>2.0377859365271621E-3</v>
      </c>
      <c r="R133" s="1058">
        <v>0</v>
      </c>
      <c r="S133" s="1058">
        <v>2.0377859365271621E-3</v>
      </c>
      <c r="T133" s="1058">
        <v>0</v>
      </c>
      <c r="U133" s="1058">
        <v>2.0377859365271621E-3</v>
      </c>
      <c r="V133" s="1475">
        <v>0</v>
      </c>
      <c r="W133" s="225">
        <v>0</v>
      </c>
      <c r="X133" s="225">
        <v>0</v>
      </c>
      <c r="Y133" s="225">
        <v>0</v>
      </c>
      <c r="Z133" s="225">
        <v>0</v>
      </c>
      <c r="AA133" s="225">
        <v>0</v>
      </c>
      <c r="AB133" s="225">
        <v>0</v>
      </c>
      <c r="AC133" s="225">
        <v>0</v>
      </c>
      <c r="AD133" s="225">
        <v>0</v>
      </c>
      <c r="AE133" s="225">
        <v>0</v>
      </c>
      <c r="AF133" s="226">
        <v>0</v>
      </c>
    </row>
    <row r="134" spans="2:32">
      <c r="B134" s="59" t="s">
        <v>254</v>
      </c>
      <c r="C134" s="151">
        <f>IF(Vehi_Inputs!$B$11=2,W134,M134)</f>
        <v>2.1895396797331816E-2</v>
      </c>
      <c r="D134" s="151">
        <f>IF(Vehi_Inputs!$B$11=2,X134,N134)</f>
        <v>2.8000000000000001E-2</v>
      </c>
      <c r="E134" s="151">
        <f>IF(Vehi_Inputs!$B$11=2,Y134,O134)</f>
        <v>2.1895396797331816E-2</v>
      </c>
      <c r="F134" s="151">
        <f>IF(Vehi_Inputs!$B$11=2,Z134,P134)</f>
        <v>2.7E-2</v>
      </c>
      <c r="G134" s="151">
        <f>IF(Vehi_Inputs!$B$11=2,AA134,Q134)</f>
        <v>2.1895396797331816E-2</v>
      </c>
      <c r="H134" s="151">
        <f>IF(Vehi_Inputs!$B$11=2,AB134,R134)</f>
        <v>2.5999999999999999E-2</v>
      </c>
      <c r="I134" s="151">
        <f>IF(Vehi_Inputs!$B$11=2,AC134,S134)</f>
        <v>2.1895396797331816E-2</v>
      </c>
      <c r="J134" s="151">
        <f>IF(Vehi_Inputs!$B$11=2,AD134,T134)</f>
        <v>2.5000000000000001E-2</v>
      </c>
      <c r="K134" s="151">
        <f>IF(Vehi_Inputs!$B$11=2,AE134,U134)</f>
        <v>2.1895396797331816E-2</v>
      </c>
      <c r="L134" s="152">
        <f>IF(Vehi_Inputs!$B$11=2,AF134,V134)</f>
        <v>2.5999999999999999E-2</v>
      </c>
      <c r="M134" s="1243">
        <v>2.1895396797331816E-2</v>
      </c>
      <c r="N134" s="1058">
        <v>2.8000000000000001E-2</v>
      </c>
      <c r="O134" s="1058">
        <v>2.1895396797331816E-2</v>
      </c>
      <c r="P134" s="1058">
        <v>2.7E-2</v>
      </c>
      <c r="Q134" s="1058">
        <v>2.1895396797331816E-2</v>
      </c>
      <c r="R134" s="1058">
        <v>2.5999999999999999E-2</v>
      </c>
      <c r="S134" s="1058">
        <v>2.1895396797331816E-2</v>
      </c>
      <c r="T134" s="1058">
        <v>2.5000000000000001E-2</v>
      </c>
      <c r="U134" s="1058">
        <v>2.1895396797331816E-2</v>
      </c>
      <c r="V134" s="1475">
        <v>2.5999999999999999E-2</v>
      </c>
      <c r="W134" s="225">
        <v>2.8531279934315566E-3</v>
      </c>
      <c r="X134" s="225">
        <v>2.8597549613342036E-3</v>
      </c>
      <c r="Y134" s="225">
        <v>0</v>
      </c>
      <c r="Z134" s="225">
        <v>0</v>
      </c>
      <c r="AA134" s="225">
        <v>0</v>
      </c>
      <c r="AB134" s="225">
        <v>0</v>
      </c>
      <c r="AC134" s="225">
        <v>0</v>
      </c>
      <c r="AD134" s="225">
        <v>0</v>
      </c>
      <c r="AE134" s="225">
        <v>0</v>
      </c>
      <c r="AF134" s="226">
        <v>0</v>
      </c>
    </row>
    <row r="135" spans="2:32">
      <c r="B135" s="59" t="s">
        <v>255</v>
      </c>
      <c r="C135" s="151">
        <f>IF(Vehi_Inputs!$B$11=2,W135,M135)</f>
        <v>0</v>
      </c>
      <c r="D135" s="151">
        <f>IF(Vehi_Inputs!$B$11=2,X135,N135)</f>
        <v>0</v>
      </c>
      <c r="E135" s="151">
        <f>IF(Vehi_Inputs!$B$11=2,Y135,O135)</f>
        <v>0</v>
      </c>
      <c r="F135" s="151">
        <f>IF(Vehi_Inputs!$B$11=2,Z135,P135)</f>
        <v>0</v>
      </c>
      <c r="G135" s="151">
        <f>IF(Vehi_Inputs!$B$11=2,AA135,Q135)</f>
        <v>0</v>
      </c>
      <c r="H135" s="151">
        <f>IF(Vehi_Inputs!$B$11=2,AB135,R135)</f>
        <v>0</v>
      </c>
      <c r="I135" s="151">
        <f>IF(Vehi_Inputs!$B$11=2,AC135,S135)</f>
        <v>0</v>
      </c>
      <c r="J135" s="151">
        <f>IF(Vehi_Inputs!$B$11=2,AD135,T135)</f>
        <v>0</v>
      </c>
      <c r="K135" s="151">
        <f>IF(Vehi_Inputs!$B$11=2,AE135,U135)</f>
        <v>0</v>
      </c>
      <c r="L135" s="152">
        <f>IF(Vehi_Inputs!$B$11=2,AF135,V135)</f>
        <v>0</v>
      </c>
      <c r="M135" s="1243">
        <v>0</v>
      </c>
      <c r="N135" s="1058">
        <v>0</v>
      </c>
      <c r="O135" s="1058">
        <v>0</v>
      </c>
      <c r="P135" s="1058">
        <v>0</v>
      </c>
      <c r="Q135" s="1058">
        <v>0</v>
      </c>
      <c r="R135" s="1058">
        <v>0</v>
      </c>
      <c r="S135" s="1058">
        <v>0</v>
      </c>
      <c r="T135" s="1058">
        <v>0</v>
      </c>
      <c r="U135" s="1058">
        <v>0</v>
      </c>
      <c r="V135" s="1475">
        <v>0</v>
      </c>
      <c r="W135" s="225">
        <v>0</v>
      </c>
      <c r="X135" s="225">
        <v>0</v>
      </c>
      <c r="Y135" s="225">
        <v>0</v>
      </c>
      <c r="Z135" s="225">
        <v>0</v>
      </c>
      <c r="AA135" s="225">
        <v>0</v>
      </c>
      <c r="AB135" s="225">
        <v>0</v>
      </c>
      <c r="AC135" s="225">
        <v>0</v>
      </c>
      <c r="AD135" s="225">
        <v>0</v>
      </c>
      <c r="AE135" s="225">
        <v>0</v>
      </c>
      <c r="AF135" s="226">
        <v>0</v>
      </c>
    </row>
    <row r="136" spans="2:32">
      <c r="B136" s="59" t="s">
        <v>256</v>
      </c>
      <c r="C136" s="151">
        <f>IF(Vehi_Inputs!$B$11=2,W136,M136)</f>
        <v>0</v>
      </c>
      <c r="D136" s="151">
        <f>IF(Vehi_Inputs!$B$11=2,X136,N136)</f>
        <v>7.0000000000000001E-3</v>
      </c>
      <c r="E136" s="151">
        <f>IF(Vehi_Inputs!$B$11=2,Y136,O136)</f>
        <v>0</v>
      </c>
      <c r="F136" s="151">
        <f>IF(Vehi_Inputs!$B$11=2,Z136,P136)</f>
        <v>6.0000000000000001E-3</v>
      </c>
      <c r="G136" s="151">
        <f>IF(Vehi_Inputs!$B$11=2,AA136,Q136)</f>
        <v>0</v>
      </c>
      <c r="H136" s="151">
        <f>IF(Vehi_Inputs!$B$11=2,AB136,R136)</f>
        <v>6.0000000000000001E-3</v>
      </c>
      <c r="I136" s="151">
        <f>IF(Vehi_Inputs!$B$11=2,AC136,S136)</f>
        <v>0</v>
      </c>
      <c r="J136" s="151">
        <f>IF(Vehi_Inputs!$B$11=2,AD136,T136)</f>
        <v>6.0000000000000001E-3</v>
      </c>
      <c r="K136" s="151">
        <f>IF(Vehi_Inputs!$B$11=2,AE136,U136)</f>
        <v>0</v>
      </c>
      <c r="L136" s="152">
        <f>IF(Vehi_Inputs!$B$11=2,AF136,V136)</f>
        <v>6.0000000000000001E-3</v>
      </c>
      <c r="M136" s="1243">
        <v>0</v>
      </c>
      <c r="N136" s="1058">
        <v>7.0000000000000001E-3</v>
      </c>
      <c r="O136" s="1058">
        <v>0</v>
      </c>
      <c r="P136" s="1058">
        <v>6.0000000000000001E-3</v>
      </c>
      <c r="Q136" s="1058">
        <v>0</v>
      </c>
      <c r="R136" s="1058">
        <v>6.0000000000000001E-3</v>
      </c>
      <c r="S136" s="1058">
        <v>0</v>
      </c>
      <c r="T136" s="1058">
        <v>6.0000000000000001E-3</v>
      </c>
      <c r="U136" s="1058">
        <v>0</v>
      </c>
      <c r="V136" s="1475">
        <v>6.0000000000000001E-3</v>
      </c>
      <c r="W136" s="225">
        <v>0</v>
      </c>
      <c r="X136" s="225">
        <v>5.4530087447258804E-2</v>
      </c>
      <c r="Y136" s="225">
        <v>0</v>
      </c>
      <c r="Z136" s="225">
        <v>0</v>
      </c>
      <c r="AA136" s="225">
        <v>0</v>
      </c>
      <c r="AB136" s="225">
        <v>0</v>
      </c>
      <c r="AC136" s="225">
        <v>0</v>
      </c>
      <c r="AD136" s="225">
        <v>0</v>
      </c>
      <c r="AE136" s="225">
        <v>0</v>
      </c>
      <c r="AF136" s="226">
        <v>0</v>
      </c>
    </row>
    <row r="137" spans="2:32">
      <c r="B137" s="59" t="s">
        <v>257</v>
      </c>
      <c r="C137" s="151">
        <f>IF(Vehi_Inputs!$B$11=2,W137,M137)</f>
        <v>8.6532322397978468E-3</v>
      </c>
      <c r="D137" s="151">
        <f>IF(Vehi_Inputs!$B$11=2,X137,N137)</f>
        <v>0</v>
      </c>
      <c r="E137" s="151">
        <f>IF(Vehi_Inputs!$B$11=2,Y137,O137)</f>
        <v>8.6532322397978468E-3</v>
      </c>
      <c r="F137" s="151">
        <f>IF(Vehi_Inputs!$B$11=2,Z137,P137)</f>
        <v>0</v>
      </c>
      <c r="G137" s="151">
        <f>IF(Vehi_Inputs!$B$11=2,AA137,Q137)</f>
        <v>8.6532322397978468E-3</v>
      </c>
      <c r="H137" s="151">
        <f>IF(Vehi_Inputs!$B$11=2,AB137,R137)</f>
        <v>0</v>
      </c>
      <c r="I137" s="151">
        <f>IF(Vehi_Inputs!$B$11=2,AC137,S137)</f>
        <v>8.6532322397978468E-3</v>
      </c>
      <c r="J137" s="151">
        <f>IF(Vehi_Inputs!$B$11=2,AD137,T137)</f>
        <v>0</v>
      </c>
      <c r="K137" s="151">
        <f>IF(Vehi_Inputs!$B$11=2,AE137,U137)</f>
        <v>8.6532322397978468E-3</v>
      </c>
      <c r="L137" s="152">
        <f>IF(Vehi_Inputs!$B$11=2,AF137,V137)</f>
        <v>0</v>
      </c>
      <c r="M137" s="1243">
        <v>8.6532322397978468E-3</v>
      </c>
      <c r="N137" s="1058">
        <v>0</v>
      </c>
      <c r="O137" s="1058">
        <v>8.6532322397978468E-3</v>
      </c>
      <c r="P137" s="1058">
        <v>0</v>
      </c>
      <c r="Q137" s="1058">
        <v>8.6532322397978468E-3</v>
      </c>
      <c r="R137" s="1058">
        <v>0</v>
      </c>
      <c r="S137" s="1058">
        <v>8.6532322397978468E-3</v>
      </c>
      <c r="T137" s="1058">
        <v>0</v>
      </c>
      <c r="U137" s="1058">
        <v>8.6532322397978468E-3</v>
      </c>
      <c r="V137" s="1475">
        <v>0</v>
      </c>
      <c r="W137" s="555">
        <v>0</v>
      </c>
      <c r="X137" s="225">
        <v>0</v>
      </c>
      <c r="Y137" s="225">
        <v>0</v>
      </c>
      <c r="Z137" s="225">
        <v>0</v>
      </c>
      <c r="AA137" s="225">
        <v>0</v>
      </c>
      <c r="AB137" s="225">
        <v>0</v>
      </c>
      <c r="AC137" s="225">
        <v>0</v>
      </c>
      <c r="AD137" s="225">
        <v>0</v>
      </c>
      <c r="AE137" s="225">
        <v>0</v>
      </c>
      <c r="AF137" s="226">
        <v>0</v>
      </c>
    </row>
    <row r="138" spans="2:32">
      <c r="B138" s="59" t="s">
        <v>258</v>
      </c>
      <c r="C138" s="151">
        <f>IF(Vehi_Inputs!$B$11=2,W138,M138)</f>
        <v>4.5466759603426839E-2</v>
      </c>
      <c r="D138" s="151">
        <f>IF(Vehi_Inputs!$B$11=2,X138,N138)</f>
        <v>9.5000000000000001E-2</v>
      </c>
      <c r="E138" s="151">
        <f>IF(Vehi_Inputs!$B$11=2,Y138,O138)</f>
        <v>4.5466759603426839E-2</v>
      </c>
      <c r="F138" s="151">
        <f>IF(Vehi_Inputs!$B$11=2,Z138,P138)</f>
        <v>9.1999999999999998E-2</v>
      </c>
      <c r="G138" s="151">
        <f>IF(Vehi_Inputs!$B$11=2,AA138,Q138)</f>
        <v>4.5466759603426839E-2</v>
      </c>
      <c r="H138" s="151">
        <f>IF(Vehi_Inputs!$B$11=2,AB138,R138)</f>
        <v>8.8999999999999996E-2</v>
      </c>
      <c r="I138" s="151">
        <f>IF(Vehi_Inputs!$B$11=2,AC138,S138)</f>
        <v>4.5466759603426839E-2</v>
      </c>
      <c r="J138" s="151">
        <f>IF(Vehi_Inputs!$B$11=2,AD138,T138)</f>
        <v>8.5999999999999993E-2</v>
      </c>
      <c r="K138" s="151">
        <f>IF(Vehi_Inputs!$B$11=2,AE138,U138)</f>
        <v>4.5466759603426839E-2</v>
      </c>
      <c r="L138" s="152">
        <f>IF(Vehi_Inputs!$B$11=2,AF138,V138)</f>
        <v>8.7999999999999995E-2</v>
      </c>
      <c r="M138" s="1243">
        <v>4.5466759603426839E-2</v>
      </c>
      <c r="N138" s="1058">
        <v>9.5000000000000001E-2</v>
      </c>
      <c r="O138" s="1058">
        <v>4.5466759603426839E-2</v>
      </c>
      <c r="P138" s="1058">
        <v>9.1999999999999998E-2</v>
      </c>
      <c r="Q138" s="1058">
        <v>4.5466759603426839E-2</v>
      </c>
      <c r="R138" s="1058">
        <v>8.8999999999999996E-2</v>
      </c>
      <c r="S138" s="1058">
        <v>4.5466759603426839E-2</v>
      </c>
      <c r="T138" s="1058">
        <v>8.5999999999999993E-2</v>
      </c>
      <c r="U138" s="1058">
        <v>4.5466759603426839E-2</v>
      </c>
      <c r="V138" s="1475">
        <v>8.7999999999999995E-2</v>
      </c>
      <c r="W138" s="225">
        <v>4.6856614058294936E-2</v>
      </c>
      <c r="X138" s="225">
        <v>4.904608750049913E-2</v>
      </c>
      <c r="Y138" s="225">
        <v>0</v>
      </c>
      <c r="Z138" s="225">
        <v>0</v>
      </c>
      <c r="AA138" s="225">
        <v>0</v>
      </c>
      <c r="AB138" s="225">
        <v>0</v>
      </c>
      <c r="AC138" s="225">
        <v>0</v>
      </c>
      <c r="AD138" s="225">
        <v>0</v>
      </c>
      <c r="AE138" s="225">
        <v>0</v>
      </c>
      <c r="AF138" s="226">
        <v>0</v>
      </c>
    </row>
    <row r="139" spans="2:32">
      <c r="B139" s="59" t="s">
        <v>259</v>
      </c>
      <c r="C139" s="151">
        <f>IF(Vehi_Inputs!$B$11=2,W139,M139)</f>
        <v>0</v>
      </c>
      <c r="D139" s="151">
        <f>IF(Vehi_Inputs!$B$11=2,X139,N139)</f>
        <v>0.39600000000000002</v>
      </c>
      <c r="E139" s="151">
        <f>IF(Vehi_Inputs!$B$11=2,Y139,O139)</f>
        <v>0</v>
      </c>
      <c r="F139" s="151">
        <f>IF(Vehi_Inputs!$B$11=2,Z139,P139)</f>
        <v>0.42</v>
      </c>
      <c r="G139" s="151">
        <f>IF(Vehi_Inputs!$B$11=2,AA139,Q139)</f>
        <v>0</v>
      </c>
      <c r="H139" s="151">
        <f>IF(Vehi_Inputs!$B$11=2,AB139,R139)</f>
        <v>0.438</v>
      </c>
      <c r="I139" s="151">
        <f>IF(Vehi_Inputs!$B$11=2,AC139,S139)</f>
        <v>0</v>
      </c>
      <c r="J139" s="151">
        <f>IF(Vehi_Inputs!$B$11=2,AD139,T139)</f>
        <v>0.45500000000000002</v>
      </c>
      <c r="K139" s="151">
        <f>IF(Vehi_Inputs!$B$11=2,AE139,U139)</f>
        <v>0</v>
      </c>
      <c r="L139" s="152">
        <f>IF(Vehi_Inputs!$B$11=2,AF139,V139)</f>
        <v>0.442</v>
      </c>
      <c r="M139" s="1243">
        <v>0</v>
      </c>
      <c r="N139" s="1058">
        <v>0.39600000000000002</v>
      </c>
      <c r="O139" s="1058">
        <v>0</v>
      </c>
      <c r="P139" s="1058">
        <v>0.42</v>
      </c>
      <c r="Q139" s="1058">
        <v>0</v>
      </c>
      <c r="R139" s="1058">
        <v>0.438</v>
      </c>
      <c r="S139" s="1058">
        <v>0</v>
      </c>
      <c r="T139" s="1058">
        <v>0.45500000000000002</v>
      </c>
      <c r="U139" s="1058">
        <v>0</v>
      </c>
      <c r="V139" s="1475">
        <v>0.442</v>
      </c>
      <c r="W139" s="225">
        <v>0</v>
      </c>
      <c r="X139" s="225">
        <v>0</v>
      </c>
      <c r="Y139" s="225">
        <v>0</v>
      </c>
      <c r="Z139" s="225">
        <v>0</v>
      </c>
      <c r="AA139" s="225">
        <v>0</v>
      </c>
      <c r="AB139" s="225">
        <v>0</v>
      </c>
      <c r="AC139" s="225">
        <v>0</v>
      </c>
      <c r="AD139" s="225">
        <v>0</v>
      </c>
      <c r="AE139" s="225">
        <v>0</v>
      </c>
      <c r="AF139" s="226">
        <v>0</v>
      </c>
    </row>
    <row r="140" spans="2:32">
      <c r="B140" s="59" t="s">
        <v>260</v>
      </c>
      <c r="C140" s="151">
        <f>IF(Vehi_Inputs!$B$11=2,W140,M140)</f>
        <v>0.22166376200541096</v>
      </c>
      <c r="D140" s="151">
        <f>IF(Vehi_Inputs!$B$11=2,X140,N140)</f>
        <v>0.23799999999999999</v>
      </c>
      <c r="E140" s="151">
        <f>IF(Vehi_Inputs!$B$11=2,Y140,O140)</f>
        <v>0.22166376200541096</v>
      </c>
      <c r="F140" s="151">
        <f>IF(Vehi_Inputs!$B$11=2,Z140,P140)</f>
        <v>0.22900000000000001</v>
      </c>
      <c r="G140" s="151">
        <f>IF(Vehi_Inputs!$B$11=2,AA140,Q140)</f>
        <v>0.22166376200541096</v>
      </c>
      <c r="H140" s="151">
        <f>IF(Vehi_Inputs!$B$11=2,AB140,R140)</f>
        <v>0.222</v>
      </c>
      <c r="I140" s="151">
        <f>IF(Vehi_Inputs!$B$11=2,AC140,S140)</f>
        <v>0.22166376200541096</v>
      </c>
      <c r="J140" s="151">
        <f>IF(Vehi_Inputs!$B$11=2,AD140,T140)</f>
        <v>0.215</v>
      </c>
      <c r="K140" s="151">
        <f>IF(Vehi_Inputs!$B$11=2,AE140,U140)</f>
        <v>0.22166376200541096</v>
      </c>
      <c r="L140" s="152">
        <f>IF(Vehi_Inputs!$B$11=2,AF140,V140)</f>
        <v>0.22</v>
      </c>
      <c r="M140" s="1243">
        <v>0.22166376200541096</v>
      </c>
      <c r="N140" s="1058">
        <v>0.23799999999999999</v>
      </c>
      <c r="O140" s="1058">
        <v>0.22166376200541096</v>
      </c>
      <c r="P140" s="1058">
        <v>0.22900000000000001</v>
      </c>
      <c r="Q140" s="1058">
        <v>0.22166376200541096</v>
      </c>
      <c r="R140" s="1058">
        <v>0.222</v>
      </c>
      <c r="S140" s="1058">
        <v>0.22166376200541096</v>
      </c>
      <c r="T140" s="1058">
        <v>0.215</v>
      </c>
      <c r="U140" s="1058">
        <v>0.22166376200541096</v>
      </c>
      <c r="V140" s="1475">
        <v>0.22</v>
      </c>
      <c r="W140" s="225">
        <v>0.19607884527665009</v>
      </c>
      <c r="X140" s="225">
        <v>0.22035329690806729</v>
      </c>
      <c r="Y140" s="225">
        <v>0</v>
      </c>
      <c r="Z140" s="225">
        <v>0</v>
      </c>
      <c r="AA140" s="225">
        <v>0</v>
      </c>
      <c r="AB140" s="225">
        <v>0</v>
      </c>
      <c r="AC140" s="225">
        <v>0</v>
      </c>
      <c r="AD140" s="225">
        <v>0</v>
      </c>
      <c r="AE140" s="225">
        <v>0</v>
      </c>
      <c r="AF140" s="226">
        <v>0</v>
      </c>
    </row>
    <row r="141" spans="2:32">
      <c r="B141" s="59" t="s">
        <v>261</v>
      </c>
      <c r="C141" s="151">
        <f>IF(Vehi_Inputs!$B$11=2,W141,M141)</f>
        <v>1.771479058598038E-2</v>
      </c>
      <c r="D141" s="151">
        <f>IF(Vehi_Inputs!$B$11=2,X141,N141)</f>
        <v>2.8000000000000001E-2</v>
      </c>
      <c r="E141" s="151">
        <f>IF(Vehi_Inputs!$B$11=2,Y141,O141)</f>
        <v>1.771479058598038E-2</v>
      </c>
      <c r="F141" s="151">
        <f>IF(Vehi_Inputs!$B$11=2,Z141,P141)</f>
        <v>2.7E-2</v>
      </c>
      <c r="G141" s="151">
        <f>IF(Vehi_Inputs!$B$11=2,AA141,Q141)</f>
        <v>1.771479058598038E-2</v>
      </c>
      <c r="H141" s="151">
        <f>IF(Vehi_Inputs!$B$11=2,AB141,R141)</f>
        <v>2.5999999999999999E-2</v>
      </c>
      <c r="I141" s="151">
        <f>IF(Vehi_Inputs!$B$11=2,AC141,S141)</f>
        <v>1.771479058598038E-2</v>
      </c>
      <c r="J141" s="151">
        <f>IF(Vehi_Inputs!$B$11=2,AD141,T141)</f>
        <v>2.5000000000000001E-2</v>
      </c>
      <c r="K141" s="151">
        <f>IF(Vehi_Inputs!$B$11=2,AE141,U141)</f>
        <v>1.771479058598038E-2</v>
      </c>
      <c r="L141" s="152">
        <f>IF(Vehi_Inputs!$B$11=2,AF141,V141)</f>
        <v>2.5999999999999999E-2</v>
      </c>
      <c r="M141" s="1243">
        <v>1.771479058598038E-2</v>
      </c>
      <c r="N141" s="1058">
        <v>2.8000000000000001E-2</v>
      </c>
      <c r="O141" s="1058">
        <v>1.771479058598038E-2</v>
      </c>
      <c r="P141" s="1058">
        <v>2.7E-2</v>
      </c>
      <c r="Q141" s="1058">
        <v>1.771479058598038E-2</v>
      </c>
      <c r="R141" s="1058">
        <v>2.5999999999999999E-2</v>
      </c>
      <c r="S141" s="1058">
        <v>1.771479058598038E-2</v>
      </c>
      <c r="T141" s="1058">
        <v>2.5000000000000001E-2</v>
      </c>
      <c r="U141" s="1058">
        <v>1.771479058598038E-2</v>
      </c>
      <c r="V141" s="1475">
        <v>2.5999999999999999E-2</v>
      </c>
      <c r="W141" s="225">
        <v>9.9284894859280222E-3</v>
      </c>
      <c r="X141" s="225">
        <v>4.7467463497091744E-3</v>
      </c>
      <c r="Y141" s="225">
        <v>0</v>
      </c>
      <c r="Z141" s="225">
        <v>0</v>
      </c>
      <c r="AA141" s="225">
        <v>0</v>
      </c>
      <c r="AB141" s="225">
        <v>0</v>
      </c>
      <c r="AC141" s="225">
        <v>0</v>
      </c>
      <c r="AD141" s="225">
        <v>0</v>
      </c>
      <c r="AE141" s="225">
        <v>0</v>
      </c>
      <c r="AF141" s="226">
        <v>0</v>
      </c>
    </row>
    <row r="142" spans="2:32">
      <c r="B142" s="118" t="s">
        <v>262</v>
      </c>
      <c r="C142" s="153">
        <f t="shared" ref="C142:AF142" si="3">1-SUM(C131:C141)</f>
        <v>5.3147858094547695E-3</v>
      </c>
      <c r="D142" s="153">
        <f t="shared" si="3"/>
        <v>4.599999999999993E-2</v>
      </c>
      <c r="E142" s="153">
        <f t="shared" si="3"/>
        <v>5.3147858094547695E-3</v>
      </c>
      <c r="F142" s="153">
        <f t="shared" si="3"/>
        <v>4.4000000000000039E-2</v>
      </c>
      <c r="G142" s="153">
        <f t="shared" si="3"/>
        <v>5.3147858094547695E-3</v>
      </c>
      <c r="H142" s="153">
        <f t="shared" si="3"/>
        <v>4.2999999999999927E-2</v>
      </c>
      <c r="I142" s="153">
        <f t="shared" si="3"/>
        <v>5.3147858094547695E-3</v>
      </c>
      <c r="J142" s="153">
        <f t="shared" si="3"/>
        <v>4.2000000000000037E-2</v>
      </c>
      <c r="K142" s="153">
        <f t="shared" si="3"/>
        <v>5.3147858094547695E-3</v>
      </c>
      <c r="L142" s="154">
        <f t="shared" si="3"/>
        <v>4.2999999999999927E-2</v>
      </c>
      <c r="M142" s="129">
        <f t="shared" si="3"/>
        <v>5.3147858094547695E-3</v>
      </c>
      <c r="N142" s="129">
        <f t="shared" si="3"/>
        <v>4.599999999999993E-2</v>
      </c>
      <c r="O142" s="129">
        <f t="shared" si="3"/>
        <v>5.3147858094547695E-3</v>
      </c>
      <c r="P142" s="129">
        <f t="shared" si="3"/>
        <v>4.4000000000000039E-2</v>
      </c>
      <c r="Q142" s="129">
        <f t="shared" si="3"/>
        <v>5.3147858094547695E-3</v>
      </c>
      <c r="R142" s="129">
        <f t="shared" si="3"/>
        <v>4.2999999999999927E-2</v>
      </c>
      <c r="S142" s="129">
        <f t="shared" si="3"/>
        <v>5.3147858094547695E-3</v>
      </c>
      <c r="T142" s="129">
        <f t="shared" si="3"/>
        <v>4.2000000000000037E-2</v>
      </c>
      <c r="U142" s="129">
        <f t="shared" si="3"/>
        <v>5.3147858094547695E-3</v>
      </c>
      <c r="V142" s="130">
        <f t="shared" si="3"/>
        <v>4.2999999999999927E-2</v>
      </c>
      <c r="W142" s="129">
        <f t="shared" si="3"/>
        <v>0</v>
      </c>
      <c r="X142" s="129">
        <f t="shared" si="3"/>
        <v>0</v>
      </c>
      <c r="Y142" s="129">
        <f t="shared" si="3"/>
        <v>1</v>
      </c>
      <c r="Z142" s="129">
        <f t="shared" si="3"/>
        <v>1</v>
      </c>
      <c r="AA142" s="129">
        <f t="shared" si="3"/>
        <v>1</v>
      </c>
      <c r="AB142" s="129">
        <f t="shared" si="3"/>
        <v>1</v>
      </c>
      <c r="AC142" s="129">
        <f t="shared" si="3"/>
        <v>1</v>
      </c>
      <c r="AD142" s="129">
        <f t="shared" si="3"/>
        <v>1</v>
      </c>
      <c r="AE142" s="129">
        <f t="shared" si="3"/>
        <v>1</v>
      </c>
      <c r="AF142" s="130">
        <f t="shared" si="3"/>
        <v>1</v>
      </c>
    </row>
    <row r="143" spans="2:32">
      <c r="B143" s="487" t="s">
        <v>709</v>
      </c>
      <c r="C143" s="151"/>
      <c r="D143" s="151"/>
      <c r="E143" s="151"/>
      <c r="F143" s="151"/>
      <c r="G143" s="151"/>
      <c r="H143" s="151"/>
      <c r="I143" s="151"/>
      <c r="J143" s="151"/>
      <c r="K143" s="151"/>
      <c r="L143" s="152"/>
      <c r="M143" s="556"/>
      <c r="N143" s="179"/>
      <c r="O143" s="179"/>
      <c r="P143" s="179"/>
      <c r="Q143" s="179"/>
      <c r="R143" s="179"/>
      <c r="S143" s="179"/>
      <c r="T143" s="179"/>
      <c r="U143" s="179"/>
      <c r="V143" s="180"/>
      <c r="W143" s="127"/>
      <c r="X143" s="127"/>
      <c r="Y143" s="127"/>
      <c r="Z143" s="127"/>
      <c r="AA143" s="127"/>
      <c r="AB143" s="127"/>
      <c r="AC143" s="127"/>
      <c r="AD143" s="127"/>
      <c r="AE143" s="127"/>
      <c r="AF143" s="128"/>
    </row>
    <row r="144" spans="2:32">
      <c r="B144" s="59" t="s">
        <v>251</v>
      </c>
      <c r="C144" s="151">
        <f>IF(Vehi_Inputs!$B$11=2,W144,M144)</f>
        <v>0.35159636168894409</v>
      </c>
      <c r="D144" s="151">
        <f>IF(Vehi_Inputs!$B$11=2,X144,N144)</f>
        <v>0.54800000000000004</v>
      </c>
      <c r="E144" s="151">
        <f>IF(Vehi_Inputs!$B$11=2,Y144,O144)</f>
        <v>0.48399999999999999</v>
      </c>
      <c r="F144" s="151">
        <f>IF(Vehi_Inputs!$B$11=2,Z144,P144)</f>
        <v>0.61099999999999999</v>
      </c>
      <c r="G144" s="151">
        <f>IF(Vehi_Inputs!$B$11=2,AA144,Q144)</f>
        <v>0.51200000000000001</v>
      </c>
      <c r="H144" s="151">
        <f>IF(Vehi_Inputs!$B$11=2,AB144,R144)</f>
        <v>0.63100000000000001</v>
      </c>
      <c r="I144" s="151">
        <f>IF(Vehi_Inputs!$B$11=2,AC144,S144)</f>
        <v>0.46800000000000003</v>
      </c>
      <c r="J144" s="151">
        <f>IF(Vehi_Inputs!$B$11=2,AD144,T144)</f>
        <v>0</v>
      </c>
      <c r="K144" s="151">
        <f>IF(Vehi_Inputs!$B$11=2,AE144,U144)</f>
        <v>0.18710919904856269</v>
      </c>
      <c r="L144" s="152">
        <f>IF(Vehi_Inputs!$B$11=2,AF144,V144)</f>
        <v>0.18710919904856269</v>
      </c>
      <c r="M144" s="1243">
        <v>0.35159636168894409</v>
      </c>
      <c r="N144" s="1058">
        <v>0.54800000000000004</v>
      </c>
      <c r="O144" s="1058">
        <v>0.48399999999999999</v>
      </c>
      <c r="P144" s="1058">
        <v>0.61099999999999999</v>
      </c>
      <c r="Q144" s="1058">
        <v>0.51200000000000001</v>
      </c>
      <c r="R144" s="1058">
        <v>0.63100000000000001</v>
      </c>
      <c r="S144" s="1058">
        <v>0.46800000000000003</v>
      </c>
      <c r="T144" s="1058">
        <v>0</v>
      </c>
      <c r="U144" s="1058">
        <v>0.18710919904856269</v>
      </c>
      <c r="V144" s="1475">
        <v>0.18710919904856269</v>
      </c>
      <c r="W144" s="225">
        <v>0.56399656070636417</v>
      </c>
      <c r="X144" s="225">
        <v>0.51766336123838641</v>
      </c>
      <c r="Y144" s="225">
        <v>0</v>
      </c>
      <c r="Z144" s="225">
        <v>0</v>
      </c>
      <c r="AA144" s="225">
        <v>0</v>
      </c>
      <c r="AB144" s="225">
        <v>0</v>
      </c>
      <c r="AC144" s="225">
        <v>0</v>
      </c>
      <c r="AD144" s="225">
        <v>0</v>
      </c>
      <c r="AE144" s="225">
        <v>0</v>
      </c>
      <c r="AF144" s="226">
        <v>0</v>
      </c>
    </row>
    <row r="145" spans="2:32">
      <c r="B145" s="59" t="s">
        <v>264</v>
      </c>
      <c r="C145" s="151">
        <f>IF(Vehi_Inputs!$B$11=2,W145,M145)</f>
        <v>0</v>
      </c>
      <c r="D145" s="151">
        <f>IF(Vehi_Inputs!$B$11=2,X145,N145)</f>
        <v>3.5000000000000003E-2</v>
      </c>
      <c r="E145" s="151">
        <f>IF(Vehi_Inputs!$B$11=2,Y145,O145)</f>
        <v>0</v>
      </c>
      <c r="F145" s="151">
        <f>IF(Vehi_Inputs!$B$11=2,Z145,P145)</f>
        <v>0.03</v>
      </c>
      <c r="G145" s="151">
        <f>IF(Vehi_Inputs!$B$11=2,AA145,Q145)</f>
        <v>0</v>
      </c>
      <c r="H145" s="151">
        <f>IF(Vehi_Inputs!$B$11=2,AB145,R145)</f>
        <v>2.7E-2</v>
      </c>
      <c r="I145" s="151">
        <f>IF(Vehi_Inputs!$B$11=2,AC145,S145)</f>
        <v>0</v>
      </c>
      <c r="J145" s="151">
        <f>IF(Vehi_Inputs!$B$11=2,AD145,T145)</f>
        <v>0</v>
      </c>
      <c r="K145" s="151">
        <f>IF(Vehi_Inputs!$B$11=2,AE145,U145)</f>
        <v>0.31347914244110364</v>
      </c>
      <c r="L145" s="152">
        <f>IF(Vehi_Inputs!$B$11=2,AF145,V145)</f>
        <v>0.31347914244110364</v>
      </c>
      <c r="M145" s="1243">
        <v>0</v>
      </c>
      <c r="N145" s="1058">
        <v>3.5000000000000003E-2</v>
      </c>
      <c r="O145" s="1058">
        <v>0</v>
      </c>
      <c r="P145" s="1058">
        <v>0.03</v>
      </c>
      <c r="Q145" s="1058">
        <v>0</v>
      </c>
      <c r="R145" s="1058">
        <v>2.7E-2</v>
      </c>
      <c r="S145" s="1058">
        <v>0</v>
      </c>
      <c r="T145" s="1058">
        <v>0</v>
      </c>
      <c r="U145" s="1058">
        <v>0.31347914244110364</v>
      </c>
      <c r="V145" s="1475">
        <v>0.31347914244110364</v>
      </c>
      <c r="W145" s="225">
        <v>0</v>
      </c>
      <c r="X145" s="225">
        <v>0</v>
      </c>
      <c r="Y145" s="225">
        <v>0</v>
      </c>
      <c r="Z145" s="225">
        <v>0</v>
      </c>
      <c r="AA145" s="225">
        <v>0</v>
      </c>
      <c r="AB145" s="225">
        <v>0</v>
      </c>
      <c r="AC145" s="225">
        <v>0</v>
      </c>
      <c r="AD145" s="225">
        <v>0</v>
      </c>
      <c r="AE145" s="225">
        <v>0</v>
      </c>
      <c r="AF145" s="226">
        <v>0</v>
      </c>
    </row>
    <row r="146" spans="2:32">
      <c r="B146" s="59" t="s">
        <v>265</v>
      </c>
      <c r="C146" s="151">
        <f>IF(Vehi_Inputs!$B$11=2,W146,M146)</f>
        <v>5.1582383259695958E-3</v>
      </c>
      <c r="D146" s="151">
        <f>IF(Vehi_Inputs!$B$11=2,X146,N146)</f>
        <v>5.2999999999999999E-2</v>
      </c>
      <c r="E146" s="151">
        <f>IF(Vehi_Inputs!$B$11=2,Y146,O146)</f>
        <v>0.24199999999999999</v>
      </c>
      <c r="F146" s="151">
        <f>IF(Vehi_Inputs!$B$11=2,Z146,P146)</f>
        <v>4.5999999999999999E-2</v>
      </c>
      <c r="G146" s="151">
        <f>IF(Vehi_Inputs!$B$11=2,AA146,Q146)</f>
        <v>0.22800000000000001</v>
      </c>
      <c r="H146" s="151">
        <f>IF(Vehi_Inputs!$B$11=2,AB146,R146)</f>
        <v>4.1000000000000002E-2</v>
      </c>
      <c r="I146" s="151">
        <f>IF(Vehi_Inputs!$B$11=2,AC146,S146)</f>
        <v>0</v>
      </c>
      <c r="J146" s="151">
        <f>IF(Vehi_Inputs!$B$11=2,AD146,T146)</f>
        <v>0</v>
      </c>
      <c r="K146" s="151">
        <f>IF(Vehi_Inputs!$B$11=2,AE146,U146)</f>
        <v>7.6391227457442282E-4</v>
      </c>
      <c r="L146" s="152">
        <f>IF(Vehi_Inputs!$B$11=2,AF146,V146)</f>
        <v>7.6391227457442282E-4</v>
      </c>
      <c r="M146" s="1243">
        <v>5.1582383259695958E-3</v>
      </c>
      <c r="N146" s="1058">
        <v>5.2999999999999999E-2</v>
      </c>
      <c r="O146" s="1058">
        <v>0.24199999999999999</v>
      </c>
      <c r="P146" s="1058">
        <v>4.5999999999999999E-2</v>
      </c>
      <c r="Q146" s="1058">
        <v>0.22800000000000001</v>
      </c>
      <c r="R146" s="1058">
        <v>4.1000000000000002E-2</v>
      </c>
      <c r="S146" s="1058">
        <v>0</v>
      </c>
      <c r="T146" s="1058">
        <v>0</v>
      </c>
      <c r="U146" s="1058">
        <v>7.6391227457442282E-4</v>
      </c>
      <c r="V146" s="1475">
        <v>7.6391227457442282E-4</v>
      </c>
      <c r="W146" s="225">
        <v>9.5196747430748591E-3</v>
      </c>
      <c r="X146" s="225">
        <v>0</v>
      </c>
      <c r="Y146" s="225">
        <v>0</v>
      </c>
      <c r="Z146" s="225">
        <v>0</v>
      </c>
      <c r="AA146" s="225">
        <v>0</v>
      </c>
      <c r="AB146" s="225">
        <v>0</v>
      </c>
      <c r="AC146" s="225">
        <v>0</v>
      </c>
      <c r="AD146" s="225">
        <v>0</v>
      </c>
      <c r="AE146" s="225">
        <v>0</v>
      </c>
      <c r="AF146" s="226">
        <v>0</v>
      </c>
    </row>
    <row r="147" spans="2:32">
      <c r="B147" s="59" t="s">
        <v>252</v>
      </c>
      <c r="C147" s="151">
        <f>IF(Vehi_Inputs!$B$11=2,W147,M147)</f>
        <v>4.6886931544919942E-2</v>
      </c>
      <c r="D147" s="151">
        <f>IF(Vehi_Inputs!$B$11=2,X147,N147)</f>
        <v>1.7000000000000001E-2</v>
      </c>
      <c r="E147" s="151">
        <f>IF(Vehi_Inputs!$B$11=2,Y147,O147)</f>
        <v>0</v>
      </c>
      <c r="F147" s="151">
        <f>IF(Vehi_Inputs!$B$11=2,Z147,P147)</f>
        <v>2.4E-2</v>
      </c>
      <c r="G147" s="151">
        <f>IF(Vehi_Inputs!$B$11=2,AA147,Q147)</f>
        <v>0</v>
      </c>
      <c r="H147" s="151">
        <f>IF(Vehi_Inputs!$B$11=2,AB147,R147)</f>
        <v>2.7E-2</v>
      </c>
      <c r="I147" s="151">
        <f>IF(Vehi_Inputs!$B$11=2,AC147,S147)</f>
        <v>0</v>
      </c>
      <c r="J147" s="151">
        <f>IF(Vehi_Inputs!$B$11=2,AD147,T147)</f>
        <v>0.30599999999999999</v>
      </c>
      <c r="K147" s="151">
        <f>IF(Vehi_Inputs!$B$11=2,AE147,U147)</f>
        <v>0.16794927778569879</v>
      </c>
      <c r="L147" s="152">
        <f>IF(Vehi_Inputs!$B$11=2,AF147,V147)</f>
        <v>0.16794927778569879</v>
      </c>
      <c r="M147" s="1243">
        <v>4.6886931544919942E-2</v>
      </c>
      <c r="N147" s="1058">
        <v>1.7000000000000001E-2</v>
      </c>
      <c r="O147" s="1058">
        <v>0</v>
      </c>
      <c r="P147" s="1058">
        <v>2.4E-2</v>
      </c>
      <c r="Q147" s="1058">
        <v>0</v>
      </c>
      <c r="R147" s="1058">
        <v>2.7E-2</v>
      </c>
      <c r="S147" s="1058">
        <v>0</v>
      </c>
      <c r="T147" s="1058">
        <v>0.30599999999999999</v>
      </c>
      <c r="U147" s="1058">
        <v>0.16794927778569879</v>
      </c>
      <c r="V147" s="1475">
        <v>0.16794927778569879</v>
      </c>
      <c r="W147" s="225">
        <v>3.346784038139435E-3</v>
      </c>
      <c r="X147" s="225">
        <v>1.1986382149800318E-2</v>
      </c>
      <c r="Y147" s="225">
        <v>0</v>
      </c>
      <c r="Z147" s="225">
        <v>0</v>
      </c>
      <c r="AA147" s="225">
        <v>0</v>
      </c>
      <c r="AB147" s="225">
        <v>0</v>
      </c>
      <c r="AC147" s="225">
        <v>0</v>
      </c>
      <c r="AD147" s="225">
        <v>0</v>
      </c>
      <c r="AE147" s="225">
        <v>0</v>
      </c>
      <c r="AF147" s="226">
        <v>0</v>
      </c>
    </row>
    <row r="148" spans="2:32">
      <c r="B148" s="59" t="s">
        <v>253</v>
      </c>
      <c r="C148" s="151">
        <f>IF(Vehi_Inputs!$B$11=2,W148,M148)</f>
        <v>0.24526368088495631</v>
      </c>
      <c r="D148" s="151">
        <f>IF(Vehi_Inputs!$B$11=2,X148,N148)</f>
        <v>0.17699999999999999</v>
      </c>
      <c r="E148" s="151">
        <f>IF(Vehi_Inputs!$B$11=2,Y148,O148)</f>
        <v>0.14499999999999999</v>
      </c>
      <c r="F148" s="151">
        <f>IF(Vehi_Inputs!$B$11=2,Z148,P148)</f>
        <v>0.152</v>
      </c>
      <c r="G148" s="151">
        <f>IF(Vehi_Inputs!$B$11=2,AA148,Q148)</f>
        <v>0.13700000000000001</v>
      </c>
      <c r="H148" s="151">
        <f>IF(Vehi_Inputs!$B$11=2,AB148,R148)</f>
        <v>0.13700000000000001</v>
      </c>
      <c r="I148" s="151">
        <f>IF(Vehi_Inputs!$B$11=2,AC148,S148)</f>
        <v>0</v>
      </c>
      <c r="J148" s="151">
        <f>IF(Vehi_Inputs!$B$11=2,AD148,T148)</f>
        <v>0</v>
      </c>
      <c r="K148" s="151">
        <f>IF(Vehi_Inputs!$B$11=2,AE148,U148)</f>
        <v>0</v>
      </c>
      <c r="L148" s="152">
        <f>IF(Vehi_Inputs!$B$11=2,AF148,V148)</f>
        <v>0</v>
      </c>
      <c r="M148" s="1243">
        <v>0.24526368088495631</v>
      </c>
      <c r="N148" s="1058">
        <v>0.17699999999999999</v>
      </c>
      <c r="O148" s="1058">
        <v>0.14499999999999999</v>
      </c>
      <c r="P148" s="1058">
        <v>0.152</v>
      </c>
      <c r="Q148" s="1058">
        <v>0.13700000000000001</v>
      </c>
      <c r="R148" s="1058">
        <v>0.13700000000000001</v>
      </c>
      <c r="S148" s="1058">
        <v>0</v>
      </c>
      <c r="T148" s="1058">
        <v>0</v>
      </c>
      <c r="U148" s="1058"/>
      <c r="V148" s="1475"/>
      <c r="W148" s="225">
        <v>0.25914276754582816</v>
      </c>
      <c r="X148" s="225">
        <v>0.11180514863423179</v>
      </c>
      <c r="Y148" s="225">
        <v>0</v>
      </c>
      <c r="Z148" s="225">
        <v>0</v>
      </c>
      <c r="AA148" s="225">
        <v>0</v>
      </c>
      <c r="AB148" s="225">
        <v>0</v>
      </c>
      <c r="AC148" s="225">
        <v>0</v>
      </c>
      <c r="AD148" s="225">
        <v>0</v>
      </c>
      <c r="AE148" s="225">
        <v>0</v>
      </c>
      <c r="AF148" s="226">
        <v>0</v>
      </c>
    </row>
    <row r="149" spans="2:32">
      <c r="B149" s="59" t="s">
        <v>254</v>
      </c>
      <c r="C149" s="151">
        <f>IF(Vehi_Inputs!$B$11=2,W149,M149)</f>
        <v>7.737343980917942E-2</v>
      </c>
      <c r="D149" s="151">
        <f>IF(Vehi_Inputs!$B$11=2,X149,N149)</f>
        <v>3.7999999999999999E-2</v>
      </c>
      <c r="E149" s="151">
        <f>IF(Vehi_Inputs!$B$11=2,Y149,O149)</f>
        <v>2.5000000000000001E-2</v>
      </c>
      <c r="F149" s="151">
        <f>IF(Vehi_Inputs!$B$11=2,Z149,P149)</f>
        <v>0.03</v>
      </c>
      <c r="G149" s="151">
        <f>IF(Vehi_Inputs!$B$11=2,AA149,Q149)</f>
        <v>2.7E-2</v>
      </c>
      <c r="H149" s="151">
        <f>IF(Vehi_Inputs!$B$11=2,AB149,R149)</f>
        <v>3.2000000000000001E-2</v>
      </c>
      <c r="I149" s="151">
        <f>IF(Vehi_Inputs!$B$11=2,AC149,S149)</f>
        <v>0.218</v>
      </c>
      <c r="J149" s="151">
        <f>IF(Vehi_Inputs!$B$11=2,AD149,T149)</f>
        <v>0.28399999999999997</v>
      </c>
      <c r="K149" s="151">
        <f>IF(Vehi_Inputs!$B$11=2,AE149,U149)</f>
        <v>1.7274919301796213E-2</v>
      </c>
      <c r="L149" s="152">
        <f>IF(Vehi_Inputs!$B$11=2,AF149,V149)</f>
        <v>1.7274919301796213E-2</v>
      </c>
      <c r="M149" s="1243">
        <v>7.737343980917942E-2</v>
      </c>
      <c r="N149" s="1058">
        <v>3.7999999999999999E-2</v>
      </c>
      <c r="O149" s="1058">
        <v>2.5000000000000001E-2</v>
      </c>
      <c r="P149" s="1058">
        <v>0.03</v>
      </c>
      <c r="Q149" s="1058">
        <v>2.7E-2</v>
      </c>
      <c r="R149" s="1058">
        <v>3.2000000000000001E-2</v>
      </c>
      <c r="S149" s="1058">
        <v>0.218</v>
      </c>
      <c r="T149" s="1058">
        <v>0.28399999999999997</v>
      </c>
      <c r="U149" s="1058">
        <v>1.7274919301796213E-2</v>
      </c>
      <c r="V149" s="1475">
        <v>1.7274919301796213E-2</v>
      </c>
      <c r="W149" s="225">
        <v>6.9593065521546607E-2</v>
      </c>
      <c r="X149" s="225">
        <v>7.633675856724681E-2</v>
      </c>
      <c r="Y149" s="225">
        <v>0</v>
      </c>
      <c r="Z149" s="225">
        <v>0</v>
      </c>
      <c r="AA149" s="225">
        <v>0</v>
      </c>
      <c r="AB149" s="225">
        <v>0</v>
      </c>
      <c r="AC149" s="225">
        <v>0</v>
      </c>
      <c r="AD149" s="225">
        <v>0</v>
      </c>
      <c r="AE149" s="225">
        <v>0</v>
      </c>
      <c r="AF149" s="226">
        <v>0</v>
      </c>
    </row>
    <row r="150" spans="2:32">
      <c r="B150" s="59" t="s">
        <v>256</v>
      </c>
      <c r="C150" s="151">
        <f>IF(Vehi_Inputs!$B$11=2,W150,M150)</f>
        <v>0</v>
      </c>
      <c r="D150" s="151">
        <f>IF(Vehi_Inputs!$B$11=2,X150,N150)</f>
        <v>0</v>
      </c>
      <c r="E150" s="151">
        <f>IF(Vehi_Inputs!$B$11=2,Y150,O150)</f>
        <v>0</v>
      </c>
      <c r="F150" s="151">
        <f>IF(Vehi_Inputs!$B$11=2,Z150,P150)</f>
        <v>0</v>
      </c>
      <c r="G150" s="151">
        <f>IF(Vehi_Inputs!$B$11=2,AA150,Q150)</f>
        <v>0</v>
      </c>
      <c r="H150" s="151">
        <f>IF(Vehi_Inputs!$B$11=2,AB150,R150)</f>
        <v>0</v>
      </c>
      <c r="I150" s="151">
        <f>IF(Vehi_Inputs!$B$11=2,AC150,S150)</f>
        <v>0</v>
      </c>
      <c r="J150" s="151">
        <f>IF(Vehi_Inputs!$B$11=2,AD150,T150)</f>
        <v>0</v>
      </c>
      <c r="K150" s="151">
        <f>IF(Vehi_Inputs!$B$11=2,AE150,U150)</f>
        <v>0</v>
      </c>
      <c r="L150" s="152">
        <f>IF(Vehi_Inputs!$B$11=2,AF150,V150)</f>
        <v>0</v>
      </c>
      <c r="M150" s="1243">
        <v>0</v>
      </c>
      <c r="N150" s="1058">
        <v>0</v>
      </c>
      <c r="O150" s="1058">
        <v>0</v>
      </c>
      <c r="P150" s="1058">
        <v>0</v>
      </c>
      <c r="Q150" s="1058">
        <v>0</v>
      </c>
      <c r="R150" s="1058">
        <v>0</v>
      </c>
      <c r="S150" s="1058">
        <v>0</v>
      </c>
      <c r="T150" s="1058">
        <v>0</v>
      </c>
      <c r="U150" s="1058"/>
      <c r="V150" s="1475"/>
      <c r="W150" s="225">
        <v>0</v>
      </c>
      <c r="X150" s="225">
        <v>7.4112527791815305E-2</v>
      </c>
      <c r="Y150" s="225">
        <v>0</v>
      </c>
      <c r="Z150" s="225">
        <v>0</v>
      </c>
      <c r="AA150" s="225">
        <v>0</v>
      </c>
      <c r="AB150" s="225">
        <v>0</v>
      </c>
      <c r="AC150" s="225">
        <v>0</v>
      </c>
      <c r="AD150" s="225">
        <v>0</v>
      </c>
      <c r="AE150" s="225">
        <v>0</v>
      </c>
      <c r="AF150" s="226">
        <v>0</v>
      </c>
    </row>
    <row r="151" spans="2:32">
      <c r="B151" s="59" t="s">
        <v>257</v>
      </c>
      <c r="C151" s="151">
        <f>IF(Vehi_Inputs!$B$11=2,W151,M151)</f>
        <v>2.5281778390820797E-2</v>
      </c>
      <c r="D151" s="151">
        <f>IF(Vehi_Inputs!$B$11=2,X151,N151)</f>
        <v>0</v>
      </c>
      <c r="E151" s="151">
        <f>IF(Vehi_Inputs!$B$11=2,Y151,O151)</f>
        <v>0</v>
      </c>
      <c r="F151" s="151">
        <f>IF(Vehi_Inputs!$B$11=2,Z151,P151)</f>
        <v>0</v>
      </c>
      <c r="G151" s="151">
        <f>IF(Vehi_Inputs!$B$11=2,AA151,Q151)</f>
        <v>0</v>
      </c>
      <c r="H151" s="151">
        <f>IF(Vehi_Inputs!$B$11=2,AB151,R151)</f>
        <v>0</v>
      </c>
      <c r="I151" s="151">
        <f>IF(Vehi_Inputs!$B$11=2,AC151,S151)</f>
        <v>0</v>
      </c>
      <c r="J151" s="151">
        <f>IF(Vehi_Inputs!$B$11=2,AD151,T151)</f>
        <v>0</v>
      </c>
      <c r="K151" s="151">
        <f>IF(Vehi_Inputs!$B$11=2,AE151,U151)</f>
        <v>2.5916749175188158E-2</v>
      </c>
      <c r="L151" s="152">
        <f>IF(Vehi_Inputs!$B$11=2,AF151,V151)</f>
        <v>2.5916749175188158E-2</v>
      </c>
      <c r="M151" s="1243">
        <v>2.5281778390820797E-2</v>
      </c>
      <c r="N151" s="1058">
        <v>0</v>
      </c>
      <c r="O151" s="1058">
        <v>0</v>
      </c>
      <c r="P151" s="1058">
        <v>0</v>
      </c>
      <c r="Q151" s="1058">
        <v>0</v>
      </c>
      <c r="R151" s="1058">
        <v>0</v>
      </c>
      <c r="S151" s="1058">
        <v>0</v>
      </c>
      <c r="T151" s="1058">
        <v>0</v>
      </c>
      <c r="U151" s="1058">
        <v>2.5916749175188158E-2</v>
      </c>
      <c r="V151" s="1475">
        <v>2.5916749175188158E-2</v>
      </c>
      <c r="W151" s="225">
        <v>0</v>
      </c>
      <c r="X151" s="225">
        <v>0</v>
      </c>
      <c r="Y151" s="225">
        <v>0</v>
      </c>
      <c r="Z151" s="225">
        <v>0</v>
      </c>
      <c r="AA151" s="225">
        <v>0</v>
      </c>
      <c r="AB151" s="225">
        <v>0</v>
      </c>
      <c r="AC151" s="225">
        <v>0</v>
      </c>
      <c r="AD151" s="225">
        <v>0</v>
      </c>
      <c r="AE151" s="225">
        <v>0</v>
      </c>
      <c r="AF151" s="226">
        <v>0</v>
      </c>
    </row>
    <row r="152" spans="2:32">
      <c r="B152" s="59" t="s">
        <v>260</v>
      </c>
      <c r="C152" s="151">
        <f>IF(Vehi_Inputs!$B$11=2,W152,M152)</f>
        <v>0.22213826719116525</v>
      </c>
      <c r="D152" s="151">
        <f>IF(Vehi_Inputs!$B$11=2,X152,N152)</f>
        <v>0.114</v>
      </c>
      <c r="E152" s="151">
        <f>IF(Vehi_Inputs!$B$11=2,Y152,O152)</f>
        <v>8.2000000000000003E-2</v>
      </c>
      <c r="F152" s="151">
        <f>IF(Vehi_Inputs!$B$11=2,Z152,P152)</f>
        <v>9.1999999999999998E-2</v>
      </c>
      <c r="G152" s="151">
        <f>IF(Vehi_Inputs!$B$11=2,AA152,Q152)</f>
        <v>7.4999999999999997E-2</v>
      </c>
      <c r="H152" s="151">
        <f>IF(Vehi_Inputs!$B$11=2,AB152,R152)</f>
        <v>9.0999999999999998E-2</v>
      </c>
      <c r="I152" s="151">
        <f>IF(Vehi_Inputs!$B$11=2,AC152,S152)</f>
        <v>0.314</v>
      </c>
      <c r="J152" s="151">
        <f>IF(Vehi_Inputs!$B$11=2,AD152,T152)</f>
        <v>0.41</v>
      </c>
      <c r="K152" s="151">
        <f>IF(Vehi_Inputs!$B$11=2,AE152,U152)</f>
        <v>0.16617678413030071</v>
      </c>
      <c r="L152" s="152">
        <f>IF(Vehi_Inputs!$B$11=2,AF152,V152)</f>
        <v>0.16617678413030071</v>
      </c>
      <c r="M152" s="1243">
        <v>0.22213826719116525</v>
      </c>
      <c r="N152" s="1058">
        <v>0.114</v>
      </c>
      <c r="O152" s="1058">
        <v>8.2000000000000003E-2</v>
      </c>
      <c r="P152" s="1058">
        <v>9.1999999999999998E-2</v>
      </c>
      <c r="Q152" s="1058">
        <v>7.4999999999999997E-2</v>
      </c>
      <c r="R152" s="1058">
        <v>9.0999999999999998E-2</v>
      </c>
      <c r="S152" s="1058">
        <v>0.314</v>
      </c>
      <c r="T152" s="1058">
        <v>0.41</v>
      </c>
      <c r="U152" s="1058">
        <v>0.16617678413030071</v>
      </c>
      <c r="V152" s="1475">
        <v>0.16617678413030071</v>
      </c>
      <c r="W152" s="225">
        <v>9.4396669102394845E-2</v>
      </c>
      <c r="X152" s="225">
        <v>0.20809033533887458</v>
      </c>
      <c r="Y152" s="225">
        <v>0</v>
      </c>
      <c r="Z152" s="225">
        <v>0</v>
      </c>
      <c r="AA152" s="225">
        <v>0</v>
      </c>
      <c r="AB152" s="225">
        <v>0</v>
      </c>
      <c r="AC152" s="225">
        <v>0</v>
      </c>
      <c r="AD152" s="225">
        <v>0</v>
      </c>
      <c r="AE152" s="225">
        <v>0</v>
      </c>
      <c r="AF152" s="226">
        <v>0</v>
      </c>
    </row>
    <row r="153" spans="2:32">
      <c r="B153" s="59" t="s">
        <v>261</v>
      </c>
      <c r="C153" s="151">
        <f>IF(Vehi_Inputs!$B$11=2,W153,M153)</f>
        <v>2.6197173790518096E-2</v>
      </c>
      <c r="D153" s="151">
        <f>IF(Vehi_Inputs!$B$11=2,X153,N153)</f>
        <v>1.7999999999999999E-2</v>
      </c>
      <c r="E153" s="151">
        <f>IF(Vehi_Inputs!$B$11=2,Y153,O153)</f>
        <v>2.1999999999999999E-2</v>
      </c>
      <c r="F153" s="151">
        <f>IF(Vehi_Inputs!$B$11=2,Z153,P153)</f>
        <v>1.4999999999999999E-2</v>
      </c>
      <c r="G153" s="151">
        <f>IF(Vehi_Inputs!$B$11=2,AA153,Q153)</f>
        <v>2.1000000000000001E-2</v>
      </c>
      <c r="H153" s="151">
        <f>IF(Vehi_Inputs!$B$11=2,AB153,R153)</f>
        <v>1.4E-2</v>
      </c>
      <c r="I153" s="151">
        <f>IF(Vehi_Inputs!$B$11=2,AC153,S153)</f>
        <v>0</v>
      </c>
      <c r="J153" s="151">
        <f>IF(Vehi_Inputs!$B$11=2,AD153,T153)</f>
        <v>0</v>
      </c>
      <c r="K153" s="151">
        <f>IF(Vehi_Inputs!$B$11=2,AE153,U153)</f>
        <v>6.4615988571509395E-2</v>
      </c>
      <c r="L153" s="152">
        <f>IF(Vehi_Inputs!$B$11=2,AF153,V153)</f>
        <v>6.4615988571509395E-2</v>
      </c>
      <c r="M153" s="1243">
        <v>2.6197173790518096E-2</v>
      </c>
      <c r="N153" s="1058">
        <v>1.7999999999999999E-2</v>
      </c>
      <c r="O153" s="1058">
        <v>2.1999999999999999E-2</v>
      </c>
      <c r="P153" s="1058">
        <v>1.4999999999999999E-2</v>
      </c>
      <c r="Q153" s="1058">
        <v>2.1000000000000001E-2</v>
      </c>
      <c r="R153" s="1058">
        <v>1.4E-2</v>
      </c>
      <c r="S153" s="1058">
        <v>0</v>
      </c>
      <c r="T153" s="1058">
        <v>0</v>
      </c>
      <c r="U153" s="1058">
        <v>6.4615988571509395E-2</v>
      </c>
      <c r="V153" s="1475">
        <v>6.4615988571509395E-2</v>
      </c>
      <c r="W153" s="225">
        <v>0</v>
      </c>
      <c r="X153" s="225">
        <v>0</v>
      </c>
      <c r="Y153" s="225">
        <v>0</v>
      </c>
      <c r="Z153" s="225">
        <v>0</v>
      </c>
      <c r="AA153" s="225">
        <v>0</v>
      </c>
      <c r="AB153" s="225">
        <v>0</v>
      </c>
      <c r="AC153" s="225">
        <v>0</v>
      </c>
      <c r="AD153" s="225">
        <v>0</v>
      </c>
      <c r="AE153" s="225">
        <v>0</v>
      </c>
      <c r="AF153" s="226">
        <v>0</v>
      </c>
    </row>
    <row r="154" spans="2:32">
      <c r="B154" s="59" t="s">
        <v>259</v>
      </c>
      <c r="C154" s="151">
        <f>IF(Vehi_Inputs!$B$11=2,W154,M154)</f>
        <v>0</v>
      </c>
      <c r="D154" s="151">
        <f>IF(Vehi_Inputs!$B$11=2,X154,N154)</f>
        <v>0</v>
      </c>
      <c r="E154" s="151">
        <f>IF(Vehi_Inputs!$B$11=2,Y154,O154)</f>
        <v>0</v>
      </c>
      <c r="F154" s="151">
        <f>IF(Vehi_Inputs!$B$11=2,Z154,P154)</f>
        <v>0</v>
      </c>
      <c r="G154" s="151">
        <f>IF(Vehi_Inputs!$B$11=2,AA154,Q154)</f>
        <v>1.2979566905487986E-5</v>
      </c>
      <c r="H154" s="151">
        <f>IF(Vehi_Inputs!$B$11=2,AB154,R154)</f>
        <v>1.2979566905487986E-5</v>
      </c>
      <c r="I154" s="151">
        <f>IF(Vehi_Inputs!$B$11=2,AC154,S154)</f>
        <v>0</v>
      </c>
      <c r="J154" s="151">
        <f>IF(Vehi_Inputs!$B$11=2,AD154,T154)</f>
        <v>0</v>
      </c>
      <c r="K154" s="151">
        <f>IF(Vehi_Inputs!$B$11=2,AE154,U154)</f>
        <v>0</v>
      </c>
      <c r="L154" s="152">
        <f>IF(Vehi_Inputs!$B$11=2,AF154,V154)</f>
        <v>0</v>
      </c>
      <c r="M154" s="1243">
        <v>0</v>
      </c>
      <c r="N154" s="1058">
        <v>0</v>
      </c>
      <c r="O154" s="1058">
        <v>0</v>
      </c>
      <c r="P154" s="1058">
        <v>0</v>
      </c>
      <c r="Q154" s="1058">
        <v>1.2979566905487986E-5</v>
      </c>
      <c r="R154" s="1058">
        <v>1.2979566905487986E-5</v>
      </c>
      <c r="S154" s="1058">
        <v>0</v>
      </c>
      <c r="T154" s="1058">
        <v>0</v>
      </c>
      <c r="U154" s="1058"/>
      <c r="V154" s="1475"/>
      <c r="W154" s="225">
        <v>0</v>
      </c>
      <c r="X154" s="225">
        <v>0</v>
      </c>
      <c r="Y154" s="225">
        <v>0</v>
      </c>
      <c r="Z154" s="225">
        <v>0</v>
      </c>
      <c r="AA154" s="225">
        <v>0</v>
      </c>
      <c r="AB154" s="225">
        <v>0</v>
      </c>
      <c r="AC154" s="225">
        <v>0</v>
      </c>
      <c r="AD154" s="225">
        <v>0</v>
      </c>
      <c r="AE154" s="225">
        <v>0</v>
      </c>
      <c r="AF154" s="226">
        <v>0</v>
      </c>
    </row>
    <row r="155" spans="2:32">
      <c r="B155" s="59" t="s">
        <v>266</v>
      </c>
      <c r="C155" s="151">
        <f>IF(Vehi_Inputs!$B$11=2,W155,M155)</f>
        <v>0</v>
      </c>
      <c r="D155" s="151">
        <f>IF(Vehi_Inputs!$B$11=2,X155,N155)</f>
        <v>0</v>
      </c>
      <c r="E155" s="151">
        <f>IF(Vehi_Inputs!$B$11=2,Y155,O155)</f>
        <v>0</v>
      </c>
      <c r="F155" s="151">
        <f>IF(Vehi_Inputs!$B$11=2,Z155,P155)</f>
        <v>0</v>
      </c>
      <c r="G155" s="151">
        <f>IF(Vehi_Inputs!$B$11=2,AA155,Q155)</f>
        <v>0</v>
      </c>
      <c r="H155" s="151">
        <f>IF(Vehi_Inputs!$B$11=2,AB155,R155)</f>
        <v>0</v>
      </c>
      <c r="I155" s="151">
        <f>IF(Vehi_Inputs!$B$11=2,AC155,S155)</f>
        <v>0</v>
      </c>
      <c r="J155" s="151">
        <f>IF(Vehi_Inputs!$B$11=2,AD155,T155)</f>
        <v>0</v>
      </c>
      <c r="K155" s="151">
        <f>IF(Vehi_Inputs!$B$11=2,AE155,U155)</f>
        <v>6.1984188925405387E-3</v>
      </c>
      <c r="L155" s="152">
        <f>IF(Vehi_Inputs!$B$11=2,AF155,V155)</f>
        <v>6.1984188925405387E-3</v>
      </c>
      <c r="M155" s="1243">
        <v>0</v>
      </c>
      <c r="N155" s="1058">
        <v>0</v>
      </c>
      <c r="O155" s="1058">
        <v>0</v>
      </c>
      <c r="P155" s="1058">
        <v>0</v>
      </c>
      <c r="Q155" s="1058">
        <v>0</v>
      </c>
      <c r="R155" s="1058">
        <v>0</v>
      </c>
      <c r="S155" s="1058">
        <v>0</v>
      </c>
      <c r="T155" s="1058">
        <v>0</v>
      </c>
      <c r="U155" s="1058">
        <v>6.1984188925405387E-3</v>
      </c>
      <c r="V155" s="1475">
        <v>6.1984188925405387E-3</v>
      </c>
      <c r="W155" s="225">
        <v>0</v>
      </c>
      <c r="X155" s="225">
        <v>0</v>
      </c>
      <c r="Y155" s="225">
        <v>0</v>
      </c>
      <c r="Z155" s="225">
        <v>0</v>
      </c>
      <c r="AA155" s="225">
        <v>0</v>
      </c>
      <c r="AB155" s="225">
        <v>0</v>
      </c>
      <c r="AC155" s="225">
        <v>0</v>
      </c>
      <c r="AD155" s="225">
        <v>0</v>
      </c>
      <c r="AE155" s="225">
        <v>0</v>
      </c>
      <c r="AF155" s="226">
        <v>0</v>
      </c>
    </row>
    <row r="156" spans="2:32">
      <c r="B156" s="59" t="s">
        <v>267</v>
      </c>
      <c r="C156" s="151">
        <f>IF(Vehi_Inputs!$B$11=2,W156,M156)</f>
        <v>0</v>
      </c>
      <c r="D156" s="151">
        <f>IF(Vehi_Inputs!$B$11=2,X156,N156)</f>
        <v>0</v>
      </c>
      <c r="E156" s="151">
        <f>IF(Vehi_Inputs!$B$11=2,Y156,O156)</f>
        <v>0</v>
      </c>
      <c r="F156" s="151">
        <f>IF(Vehi_Inputs!$B$11=2,Z156,P156)</f>
        <v>0</v>
      </c>
      <c r="G156" s="151">
        <f>IF(Vehi_Inputs!$B$11=2,AA156,Q156)</f>
        <v>0</v>
      </c>
      <c r="H156" s="151">
        <f>IF(Vehi_Inputs!$B$11=2,AB156,R156)</f>
        <v>0</v>
      </c>
      <c r="I156" s="151">
        <f>IF(Vehi_Inputs!$B$11=2,AC156,S156)</f>
        <v>0</v>
      </c>
      <c r="J156" s="151">
        <f>IF(Vehi_Inputs!$B$11=2,AD156,T156)</f>
        <v>0</v>
      </c>
      <c r="K156" s="151">
        <f>IF(Vehi_Inputs!$B$11=2,AE156,U156)</f>
        <v>2.1400740290504861E-2</v>
      </c>
      <c r="L156" s="152">
        <f>IF(Vehi_Inputs!$B$11=2,AF156,V156)</f>
        <v>2.1400740290504861E-2</v>
      </c>
      <c r="M156" s="1243">
        <v>0</v>
      </c>
      <c r="N156" s="1058">
        <v>0</v>
      </c>
      <c r="O156" s="1058">
        <v>0</v>
      </c>
      <c r="P156" s="1058">
        <v>0</v>
      </c>
      <c r="Q156" s="1058">
        <v>0</v>
      </c>
      <c r="R156" s="1058">
        <v>0</v>
      </c>
      <c r="S156" s="1058">
        <v>0</v>
      </c>
      <c r="T156" s="1058">
        <v>0</v>
      </c>
      <c r="U156" s="1058">
        <v>2.1400740290504861E-2</v>
      </c>
      <c r="V156" s="1475">
        <v>2.1400740290504861E-2</v>
      </c>
      <c r="W156" s="225">
        <v>0</v>
      </c>
      <c r="X156" s="225">
        <v>0</v>
      </c>
      <c r="Y156" s="225">
        <v>0</v>
      </c>
      <c r="Z156" s="225">
        <v>0</v>
      </c>
      <c r="AA156" s="225">
        <v>0</v>
      </c>
      <c r="AB156" s="225">
        <v>0</v>
      </c>
      <c r="AC156" s="225">
        <v>0</v>
      </c>
      <c r="AD156" s="225">
        <v>0</v>
      </c>
      <c r="AE156" s="225">
        <v>0</v>
      </c>
      <c r="AF156" s="226">
        <v>0</v>
      </c>
    </row>
    <row r="157" spans="2:32">
      <c r="B157" s="59" t="s">
        <v>268</v>
      </c>
      <c r="C157" s="151">
        <f>IF(Vehi_Inputs!$B$11=2,W157,M157)</f>
        <v>0</v>
      </c>
      <c r="D157" s="151">
        <f>IF(Vehi_Inputs!$B$11=2,X157,N157)</f>
        <v>0</v>
      </c>
      <c r="E157" s="151">
        <f>IF(Vehi_Inputs!$B$11=2,Y157,O157)</f>
        <v>0</v>
      </c>
      <c r="F157" s="151">
        <f>IF(Vehi_Inputs!$B$11=2,Z157,P157)</f>
        <v>0</v>
      </c>
      <c r="G157" s="151">
        <f>IF(Vehi_Inputs!$B$11=2,AA157,Q157)</f>
        <v>0</v>
      </c>
      <c r="H157" s="151">
        <f>IF(Vehi_Inputs!$B$11=2,AB157,R157)</f>
        <v>0</v>
      </c>
      <c r="I157" s="151">
        <f>IF(Vehi_Inputs!$B$11=2,AC157,S157)</f>
        <v>0</v>
      </c>
      <c r="J157" s="151">
        <f>IF(Vehi_Inputs!$B$11=2,AD157,T157)</f>
        <v>0</v>
      </c>
      <c r="K157" s="151">
        <f>IF(Vehi_Inputs!$B$11=2,AE157,U157)</f>
        <v>2.565086908263094E-2</v>
      </c>
      <c r="L157" s="152">
        <f>IF(Vehi_Inputs!$B$11=2,AF157,V157)</f>
        <v>2.565086908263094E-2</v>
      </c>
      <c r="M157" s="1243">
        <v>0</v>
      </c>
      <c r="N157" s="1058">
        <v>0</v>
      </c>
      <c r="O157" s="1058">
        <v>0</v>
      </c>
      <c r="P157" s="1058">
        <v>0</v>
      </c>
      <c r="Q157" s="1058">
        <v>0</v>
      </c>
      <c r="R157" s="1058">
        <v>0</v>
      </c>
      <c r="S157" s="1058">
        <v>0</v>
      </c>
      <c r="T157" s="1058">
        <v>0</v>
      </c>
      <c r="U157" s="1058">
        <v>2.565086908263094E-2</v>
      </c>
      <c r="V157" s="1475">
        <v>2.565086908263094E-2</v>
      </c>
      <c r="W157" s="225">
        <v>0</v>
      </c>
      <c r="X157" s="225">
        <v>0</v>
      </c>
      <c r="Y157" s="225">
        <v>0</v>
      </c>
      <c r="Z157" s="225">
        <v>0</v>
      </c>
      <c r="AA157" s="225">
        <v>0</v>
      </c>
      <c r="AB157" s="225">
        <v>0</v>
      </c>
      <c r="AC157" s="225">
        <v>0</v>
      </c>
      <c r="AD157" s="225">
        <v>0</v>
      </c>
      <c r="AE157" s="225">
        <v>0</v>
      </c>
      <c r="AF157" s="226">
        <v>0</v>
      </c>
    </row>
    <row r="158" spans="2:32">
      <c r="B158" s="59" t="s">
        <v>269</v>
      </c>
      <c r="C158" s="151">
        <f>IF(Vehi_Inputs!$B$11=2,W158,M158)</f>
        <v>0</v>
      </c>
      <c r="D158" s="151">
        <f>IF(Vehi_Inputs!$B$11=2,X158,N158)</f>
        <v>0</v>
      </c>
      <c r="E158" s="151">
        <f>IF(Vehi_Inputs!$B$11=2,Y158,O158)</f>
        <v>0</v>
      </c>
      <c r="F158" s="151">
        <f>IF(Vehi_Inputs!$B$11=2,Z158,P158)</f>
        <v>0</v>
      </c>
      <c r="G158" s="151">
        <f>IF(Vehi_Inputs!$B$11=2,AA158,Q158)</f>
        <v>0</v>
      </c>
      <c r="H158" s="151">
        <f>IF(Vehi_Inputs!$B$11=2,AB158,R158)</f>
        <v>0</v>
      </c>
      <c r="I158" s="151">
        <f>IF(Vehi_Inputs!$B$11=2,AC158,S158)</f>
        <v>0</v>
      </c>
      <c r="J158" s="151">
        <f>IF(Vehi_Inputs!$B$11=2,AD158,T158)</f>
        <v>0</v>
      </c>
      <c r="K158" s="151">
        <f>IF(Vehi_Inputs!$B$11=2,AE158,U158)</f>
        <v>0</v>
      </c>
      <c r="L158" s="152">
        <f>IF(Vehi_Inputs!$B$11=2,AF158,V158)</f>
        <v>0</v>
      </c>
      <c r="M158" s="1243">
        <v>0</v>
      </c>
      <c r="N158" s="1058">
        <v>0</v>
      </c>
      <c r="O158" s="1058">
        <v>0</v>
      </c>
      <c r="P158" s="1058">
        <v>0</v>
      </c>
      <c r="Q158" s="1058">
        <v>0</v>
      </c>
      <c r="R158" s="1058">
        <v>0</v>
      </c>
      <c r="S158" s="1058">
        <v>0</v>
      </c>
      <c r="T158" s="1058">
        <v>0</v>
      </c>
      <c r="U158" s="1058"/>
      <c r="V158" s="1475"/>
      <c r="W158" s="225">
        <v>0</v>
      </c>
      <c r="X158" s="225">
        <v>0</v>
      </c>
      <c r="Y158" s="225">
        <v>0</v>
      </c>
      <c r="Z158" s="225">
        <v>0</v>
      </c>
      <c r="AA158" s="225">
        <v>0</v>
      </c>
      <c r="AB158" s="225">
        <v>0</v>
      </c>
      <c r="AC158" s="225">
        <v>0</v>
      </c>
      <c r="AD158" s="225">
        <v>0</v>
      </c>
      <c r="AE158" s="225">
        <v>0</v>
      </c>
      <c r="AF158" s="226">
        <v>0</v>
      </c>
    </row>
    <row r="159" spans="2:32">
      <c r="B159" s="59" t="s">
        <v>270</v>
      </c>
      <c r="C159" s="151">
        <f>IF(Vehi_Inputs!$B$11=2,W159,M159)</f>
        <v>2.0000000000000002E-5</v>
      </c>
      <c r="D159" s="151">
        <f>IF(Vehi_Inputs!$B$11=2,X159,N159)</f>
        <v>2.0000000000000002E-5</v>
      </c>
      <c r="E159" s="151">
        <f>IF(Vehi_Inputs!$B$11=2,Y159,O159)</f>
        <v>1.0000000000000001E-5</v>
      </c>
      <c r="F159" s="151">
        <f>IF(Vehi_Inputs!$B$11=2,Z159,P159)</f>
        <v>2.0000000000000002E-5</v>
      </c>
      <c r="G159" s="151">
        <f>IF(Vehi_Inputs!$B$11=2,AA159,Q159)</f>
        <v>1.2979566905487986E-5</v>
      </c>
      <c r="H159" s="151">
        <f>IF(Vehi_Inputs!$B$11=2,AB159,R159)</f>
        <v>2.0000000000000002E-5</v>
      </c>
      <c r="I159" s="151">
        <f>IF(Vehi_Inputs!$B$11=2,AC159,S159)</f>
        <v>0</v>
      </c>
      <c r="J159" s="151">
        <f>IF(Vehi_Inputs!$B$11=2,AD159,T159)</f>
        <v>0</v>
      </c>
      <c r="K159" s="151">
        <f>IF(Vehi_Inputs!$B$11=2,AE159,U159)</f>
        <v>1.7668053030533081E-4</v>
      </c>
      <c r="L159" s="152">
        <f>IF(Vehi_Inputs!$B$11=2,AF159,V159)</f>
        <v>1.7668053030533081E-4</v>
      </c>
      <c r="M159" s="1243">
        <v>2.0000000000000002E-5</v>
      </c>
      <c r="N159" s="1058">
        <v>2.0000000000000002E-5</v>
      </c>
      <c r="O159" s="1058">
        <v>1.0000000000000001E-5</v>
      </c>
      <c r="P159" s="1058">
        <v>2.0000000000000002E-5</v>
      </c>
      <c r="Q159" s="1058">
        <v>1.2979566905487986E-5</v>
      </c>
      <c r="R159" s="1058">
        <v>2.0000000000000002E-5</v>
      </c>
      <c r="S159" s="1058">
        <v>0</v>
      </c>
      <c r="T159" s="1058">
        <v>0</v>
      </c>
      <c r="U159" s="1058">
        <v>1.7668053030533081E-4</v>
      </c>
      <c r="V159" s="1475">
        <v>1.7668053030533081E-4</v>
      </c>
      <c r="W159" s="225">
        <v>4.4783426523110501E-6</v>
      </c>
      <c r="X159" s="225">
        <v>5.4862796445944602E-6</v>
      </c>
      <c r="Y159" s="225">
        <v>0</v>
      </c>
      <c r="Z159" s="225">
        <v>0</v>
      </c>
      <c r="AA159" s="225">
        <v>0</v>
      </c>
      <c r="AB159" s="225">
        <v>0</v>
      </c>
      <c r="AC159" s="225">
        <v>0</v>
      </c>
      <c r="AD159" s="225">
        <v>0</v>
      </c>
      <c r="AE159" s="225">
        <v>0</v>
      </c>
      <c r="AF159" s="226">
        <v>0</v>
      </c>
    </row>
    <row r="160" spans="2:32">
      <c r="B160" s="490" t="s">
        <v>271</v>
      </c>
      <c r="C160" s="151">
        <f>IF(Vehi_Inputs!$B$11=2,W160,M160)</f>
        <v>0</v>
      </c>
      <c r="D160" s="151">
        <f>IF(Vehi_Inputs!$B$11=2,X160,N160)</f>
        <v>0</v>
      </c>
      <c r="E160" s="151">
        <f>IF(Vehi_Inputs!$B$11=2,Y160,O160)</f>
        <v>0</v>
      </c>
      <c r="F160" s="151">
        <f>IF(Vehi_Inputs!$B$11=2,Z160,P160)</f>
        <v>0</v>
      </c>
      <c r="G160" s="151">
        <f>IF(Vehi_Inputs!$B$11=2,AA160,Q160)</f>
        <v>0</v>
      </c>
      <c r="H160" s="151">
        <f>IF(Vehi_Inputs!$B$11=2,AB160,R160)</f>
        <v>0</v>
      </c>
      <c r="I160" s="151">
        <f>IF(Vehi_Inputs!$B$11=2,AC160,S160)</f>
        <v>0</v>
      </c>
      <c r="J160" s="151">
        <f>IF(Vehi_Inputs!$B$11=2,AD160,T160)</f>
        <v>0</v>
      </c>
      <c r="K160" s="151">
        <f>IF(Vehi_Inputs!$B$11=2,AE160,U160)</f>
        <v>2.7278836091788705E-3</v>
      </c>
      <c r="L160" s="152">
        <f>IF(Vehi_Inputs!$B$11=2,AF160,V160)</f>
        <v>2.7278836091788705E-3</v>
      </c>
      <c r="M160" s="1243"/>
      <c r="N160" s="1058"/>
      <c r="O160" s="1058"/>
      <c r="P160" s="1058"/>
      <c r="Q160" s="1058"/>
      <c r="R160" s="1058"/>
      <c r="S160" s="1058"/>
      <c r="T160" s="1058"/>
      <c r="U160" s="1058">
        <v>2.7278836091788705E-3</v>
      </c>
      <c r="V160" s="1475">
        <v>2.7278836091788705E-3</v>
      </c>
      <c r="W160" s="225"/>
      <c r="X160" s="225"/>
      <c r="Y160" s="225"/>
      <c r="Z160" s="225"/>
      <c r="AA160" s="225"/>
      <c r="AB160" s="225"/>
      <c r="AC160" s="225"/>
      <c r="AD160" s="225"/>
      <c r="AE160" s="225"/>
      <c r="AF160" s="226"/>
    </row>
    <row r="161" spans="2:32">
      <c r="B161" s="490" t="s">
        <v>272</v>
      </c>
      <c r="C161" s="151">
        <f>IF(Vehi_Inputs!$B$11=2,W161,M161)</f>
        <v>0</v>
      </c>
      <c r="D161" s="151">
        <f>IF(Vehi_Inputs!$B$11=2,X161,N161)</f>
        <v>0</v>
      </c>
      <c r="E161" s="151">
        <f>IF(Vehi_Inputs!$B$11=2,Y161,O161)</f>
        <v>0</v>
      </c>
      <c r="F161" s="151">
        <f>IF(Vehi_Inputs!$B$11=2,Z161,P161)</f>
        <v>0</v>
      </c>
      <c r="G161" s="151">
        <f>IF(Vehi_Inputs!$B$11=2,AA161,Q161)</f>
        <v>0</v>
      </c>
      <c r="H161" s="151">
        <f>IF(Vehi_Inputs!$B$11=2,AB161,R161)</f>
        <v>0</v>
      </c>
      <c r="I161" s="151">
        <f>IF(Vehi_Inputs!$B$11=2,AC161,S161)</f>
        <v>0</v>
      </c>
      <c r="J161" s="151">
        <f>IF(Vehi_Inputs!$B$11=2,AD161,T161)</f>
        <v>0</v>
      </c>
      <c r="K161" s="151">
        <f>IF(Vehi_Inputs!$B$11=2,AE161,U161)</f>
        <v>1.912608023438235E-5</v>
      </c>
      <c r="L161" s="152">
        <f>IF(Vehi_Inputs!$B$11=2,AF161,V161)</f>
        <v>1.912608023438235E-5</v>
      </c>
      <c r="M161" s="928"/>
      <c r="N161" s="927"/>
      <c r="O161" s="927"/>
      <c r="P161" s="927"/>
      <c r="Q161" s="927"/>
      <c r="R161" s="927"/>
      <c r="S161" s="927"/>
      <c r="T161" s="927"/>
      <c r="U161" s="929">
        <v>1.912608023438235E-5</v>
      </c>
      <c r="V161" s="931">
        <v>1.912608023438235E-5</v>
      </c>
      <c r="W161" s="225"/>
      <c r="X161" s="225"/>
      <c r="Y161" s="225"/>
      <c r="Z161" s="225"/>
      <c r="AA161" s="225"/>
      <c r="AB161" s="225"/>
      <c r="AC161" s="225"/>
      <c r="AD161" s="225"/>
      <c r="AE161" s="225"/>
      <c r="AF161" s="226"/>
    </row>
    <row r="162" spans="2:32">
      <c r="B162" s="490" t="s">
        <v>273</v>
      </c>
      <c r="C162" s="151">
        <f>IF(Vehi_Inputs!$B$11=2,W162,M162)</f>
        <v>0</v>
      </c>
      <c r="D162" s="151">
        <f>IF(Vehi_Inputs!$B$11=2,X162,N162)</f>
        <v>0</v>
      </c>
      <c r="E162" s="151">
        <f>IF(Vehi_Inputs!$B$11=2,Y162,O162)</f>
        <v>0</v>
      </c>
      <c r="F162" s="151">
        <f>IF(Vehi_Inputs!$B$11=2,Z162,P162)</f>
        <v>0</v>
      </c>
      <c r="G162" s="151">
        <f>IF(Vehi_Inputs!$B$11=2,AA162,Q162)</f>
        <v>0</v>
      </c>
      <c r="H162" s="151">
        <f>IF(Vehi_Inputs!$B$11=2,AB162,R162)</f>
        <v>0</v>
      </c>
      <c r="I162" s="151">
        <f>IF(Vehi_Inputs!$B$11=2,AC162,S162)</f>
        <v>0</v>
      </c>
      <c r="J162" s="151">
        <f>IF(Vehi_Inputs!$B$11=2,AD162,T162)</f>
        <v>0</v>
      </c>
      <c r="K162" s="151">
        <f>IF(Vehi_Inputs!$B$11=2,AE162,U162)</f>
        <v>5.4030878587086771E-4</v>
      </c>
      <c r="L162" s="152">
        <f>IF(Vehi_Inputs!$B$11=2,AF162,V162)</f>
        <v>5.4030878587086771E-4</v>
      </c>
      <c r="M162" s="928"/>
      <c r="N162" s="927"/>
      <c r="O162" s="927"/>
      <c r="P162" s="927"/>
      <c r="Q162" s="927"/>
      <c r="R162" s="927"/>
      <c r="S162" s="927"/>
      <c r="T162" s="927"/>
      <c r="U162" s="927">
        <v>5.4030878587086771E-4</v>
      </c>
      <c r="V162" s="930">
        <v>5.4030878587086771E-4</v>
      </c>
      <c r="W162" s="225"/>
      <c r="X162" s="225"/>
      <c r="Y162" s="225"/>
      <c r="Z162" s="225"/>
      <c r="AA162" s="225"/>
      <c r="AB162" s="225"/>
      <c r="AC162" s="225"/>
      <c r="AD162" s="225"/>
      <c r="AE162" s="225"/>
      <c r="AF162" s="226"/>
    </row>
    <row r="163" spans="2:32">
      <c r="B163" s="490" t="s">
        <v>262</v>
      </c>
      <c r="C163" s="580">
        <f t="shared" ref="C163:V163" si="4">1-SUM(C144:C162)</f>
        <v>8.4128373526337619E-5</v>
      </c>
      <c r="D163" s="153">
        <f t="shared" si="4"/>
        <v>-1.9999999999908979E-5</v>
      </c>
      <c r="E163" s="153">
        <f t="shared" si="4"/>
        <v>-1.0000000000065512E-5</v>
      </c>
      <c r="F163" s="153">
        <f t="shared" si="4"/>
        <v>-1.9999999999908979E-5</v>
      </c>
      <c r="G163" s="153">
        <f t="shared" si="4"/>
        <v>-2.5959133810982138E-5</v>
      </c>
      <c r="H163" s="153">
        <f t="shared" si="4"/>
        <v>-3.2979566905400048E-5</v>
      </c>
      <c r="I163" s="153">
        <f t="shared" si="4"/>
        <v>0</v>
      </c>
      <c r="J163" s="153">
        <f t="shared" si="4"/>
        <v>0</v>
      </c>
      <c r="K163" s="153">
        <f t="shared" si="4"/>
        <v>0</v>
      </c>
      <c r="L163" s="154">
        <f t="shared" si="4"/>
        <v>0</v>
      </c>
      <c r="M163" s="580">
        <f t="shared" si="4"/>
        <v>8.4128373526337619E-5</v>
      </c>
      <c r="N163" s="153">
        <f t="shared" si="4"/>
        <v>-1.9999999999908979E-5</v>
      </c>
      <c r="O163" s="153">
        <f t="shared" si="4"/>
        <v>-1.0000000000065512E-5</v>
      </c>
      <c r="P163" s="153">
        <f t="shared" si="4"/>
        <v>-1.9999999999908979E-5</v>
      </c>
      <c r="Q163" s="153">
        <f t="shared" si="4"/>
        <v>-2.5959133810982138E-5</v>
      </c>
      <c r="R163" s="153">
        <f t="shared" si="4"/>
        <v>-3.2979566905400048E-5</v>
      </c>
      <c r="S163" s="153">
        <f t="shared" si="4"/>
        <v>0</v>
      </c>
      <c r="T163" s="153">
        <f t="shared" si="4"/>
        <v>0</v>
      </c>
      <c r="U163" s="153">
        <f t="shared" si="4"/>
        <v>0</v>
      </c>
      <c r="V163" s="154">
        <f t="shared" si="4"/>
        <v>0</v>
      </c>
      <c r="W163" s="127">
        <f>1-SUM(W144:W159)</f>
        <v>0</v>
      </c>
      <c r="X163" s="127">
        <f>1-SUM(X144:X159)</f>
        <v>0</v>
      </c>
      <c r="Y163" s="127">
        <f t="shared" ref="Y163:AF163" si="5">1-SUM(Y144:Y159)</f>
        <v>1</v>
      </c>
      <c r="Z163" s="127">
        <f t="shared" si="5"/>
        <v>1</v>
      </c>
      <c r="AA163" s="127">
        <f t="shared" si="5"/>
        <v>1</v>
      </c>
      <c r="AB163" s="127">
        <f t="shared" si="5"/>
        <v>1</v>
      </c>
      <c r="AC163" s="127">
        <f t="shared" si="5"/>
        <v>1</v>
      </c>
      <c r="AD163" s="127">
        <f t="shared" si="5"/>
        <v>1</v>
      </c>
      <c r="AE163" s="127">
        <f t="shared" si="5"/>
        <v>1</v>
      </c>
      <c r="AF163" s="128">
        <f t="shared" si="5"/>
        <v>1</v>
      </c>
    </row>
    <row r="164" spans="2:32">
      <c r="B164" s="482" t="s">
        <v>274</v>
      </c>
      <c r="C164" s="520"/>
      <c r="D164" s="520"/>
      <c r="E164" s="520"/>
      <c r="F164" s="520"/>
      <c r="G164" s="520"/>
      <c r="H164" s="520"/>
      <c r="I164" s="520"/>
      <c r="J164" s="520"/>
      <c r="K164" s="520"/>
      <c r="L164" s="575"/>
      <c r="M164" s="179"/>
      <c r="N164" s="179"/>
      <c r="O164" s="179"/>
      <c r="P164" s="179"/>
      <c r="Q164" s="179"/>
      <c r="R164" s="179"/>
      <c r="S164" s="179"/>
      <c r="T164" s="179"/>
      <c r="U164" s="179"/>
      <c r="V164" s="180"/>
      <c r="W164" s="179"/>
      <c r="X164" s="179"/>
      <c r="Y164" s="179"/>
      <c r="Z164" s="179"/>
      <c r="AA164" s="179"/>
      <c r="AB164" s="179"/>
      <c r="AC164" s="179"/>
      <c r="AD164" s="179"/>
      <c r="AE164" s="179"/>
      <c r="AF164" s="180"/>
    </row>
    <row r="165" spans="2:32">
      <c r="B165" s="59" t="s">
        <v>251</v>
      </c>
      <c r="C165" s="151">
        <f>IF(Vehi_Inputs!$B$11=2,W165,M165)</f>
        <v>0.3</v>
      </c>
      <c r="D165" s="151">
        <f>IF(Vehi_Inputs!$B$11=2,X165,N165)</f>
        <v>0.3</v>
      </c>
      <c r="E165" s="151">
        <f>IF(Vehi_Inputs!$B$11=2,Y165,O165)</f>
        <v>0.60499999999999998</v>
      </c>
      <c r="F165" s="151">
        <f>IF(Vehi_Inputs!$B$11=2,Z165,P165)</f>
        <v>0.60499999999999998</v>
      </c>
      <c r="G165" s="151">
        <f>IF(Vehi_Inputs!$B$11=2,AA165,Q165)</f>
        <v>0.60499999999999998</v>
      </c>
      <c r="H165" s="151">
        <f>IF(Vehi_Inputs!$B$11=2,AB165,R165)</f>
        <v>0.60499999999999998</v>
      </c>
      <c r="I165" s="151">
        <f>IF(Vehi_Inputs!$B$11=2,AC165,S165)</f>
        <v>0.60499999999999998</v>
      </c>
      <c r="J165" s="151">
        <f>IF(Vehi_Inputs!$B$11=2,AD165,T165)</f>
        <v>0.60499999999999998</v>
      </c>
      <c r="K165" s="151">
        <f>IF(Vehi_Inputs!$B$11=2,AE165,U165)</f>
        <v>0.60499999999999998</v>
      </c>
      <c r="L165" s="152">
        <f>IF(Vehi_Inputs!$B$11=2,AF165,V165)</f>
        <v>0.60499999999999998</v>
      </c>
      <c r="M165" s="225">
        <v>0.3</v>
      </c>
      <c r="N165" s="225">
        <v>0.3</v>
      </c>
      <c r="O165" s="225">
        <v>0.60499999999999998</v>
      </c>
      <c r="P165" s="225">
        <v>0.60499999999999998</v>
      </c>
      <c r="Q165" s="225">
        <v>0.60499999999999998</v>
      </c>
      <c r="R165" s="225">
        <v>0.60499999999999998</v>
      </c>
      <c r="S165" s="225">
        <v>0.60499999999999998</v>
      </c>
      <c r="T165" s="225">
        <v>0.60499999999999998</v>
      </c>
      <c r="U165" s="225">
        <v>0.60499999999999998</v>
      </c>
      <c r="V165" s="226">
        <v>0.60499999999999998</v>
      </c>
      <c r="W165" s="225">
        <v>0.57302238485191603</v>
      </c>
      <c r="X165" s="225">
        <v>0.57261858922747799</v>
      </c>
      <c r="Y165" s="225">
        <v>0</v>
      </c>
      <c r="Z165" s="225">
        <v>0</v>
      </c>
      <c r="AA165" s="225">
        <v>0</v>
      </c>
      <c r="AB165" s="225">
        <v>0</v>
      </c>
      <c r="AC165" s="225">
        <v>0</v>
      </c>
      <c r="AD165" s="225">
        <v>0</v>
      </c>
      <c r="AE165" s="225">
        <v>0</v>
      </c>
      <c r="AF165" s="226">
        <v>0</v>
      </c>
    </row>
    <row r="166" spans="2:32">
      <c r="B166" s="59" t="s">
        <v>275</v>
      </c>
      <c r="C166" s="151">
        <f>IF(Vehi_Inputs!$B$11=2,W166,M166)</f>
        <v>0</v>
      </c>
      <c r="D166" s="151">
        <f>IF(Vehi_Inputs!$B$11=2,X166,N166)</f>
        <v>0</v>
      </c>
      <c r="E166" s="151">
        <f>IF(Vehi_Inputs!$B$11=2,Y166,O166)</f>
        <v>0.189</v>
      </c>
      <c r="F166" s="151">
        <f>IF(Vehi_Inputs!$B$11=2,Z166,P166)</f>
        <v>0.189</v>
      </c>
      <c r="G166" s="151">
        <f>IF(Vehi_Inputs!$B$11=2,AA166,Q166)</f>
        <v>0.189</v>
      </c>
      <c r="H166" s="151">
        <f>IF(Vehi_Inputs!$B$11=2,AB166,R166)</f>
        <v>0.189</v>
      </c>
      <c r="I166" s="151">
        <f>IF(Vehi_Inputs!$B$11=2,AC166,S166)</f>
        <v>0.189</v>
      </c>
      <c r="J166" s="151">
        <f>IF(Vehi_Inputs!$B$11=2,AD166,T166)</f>
        <v>0.189</v>
      </c>
      <c r="K166" s="151">
        <f>IF(Vehi_Inputs!$B$11=2,AE166,U166)</f>
        <v>0.189</v>
      </c>
      <c r="L166" s="152">
        <f>IF(Vehi_Inputs!$B$11=2,AF166,V166)</f>
        <v>0.189</v>
      </c>
      <c r="M166" s="225">
        <v>0</v>
      </c>
      <c r="N166" s="225">
        <v>0</v>
      </c>
      <c r="O166" s="225">
        <v>0.189</v>
      </c>
      <c r="P166" s="225">
        <v>0.189</v>
      </c>
      <c r="Q166" s="225">
        <v>0.189</v>
      </c>
      <c r="R166" s="225">
        <v>0.189</v>
      </c>
      <c r="S166" s="225">
        <v>0.189</v>
      </c>
      <c r="T166" s="225">
        <v>0.189</v>
      </c>
      <c r="U166" s="225">
        <v>0.189</v>
      </c>
      <c r="V166" s="226">
        <v>0.189</v>
      </c>
      <c r="W166" s="225">
        <v>5.4425459837813255E-3</v>
      </c>
      <c r="X166" s="225">
        <v>6.8350904741220891E-3</v>
      </c>
      <c r="Y166" s="225">
        <v>0</v>
      </c>
      <c r="Z166" s="225">
        <v>0</v>
      </c>
      <c r="AA166" s="225">
        <v>0</v>
      </c>
      <c r="AB166" s="225">
        <v>0</v>
      </c>
      <c r="AC166" s="225">
        <v>0</v>
      </c>
      <c r="AD166" s="225">
        <v>0</v>
      </c>
      <c r="AE166" s="225">
        <v>0</v>
      </c>
      <c r="AF166" s="226">
        <v>0</v>
      </c>
    </row>
    <row r="167" spans="2:32">
      <c r="B167" s="59" t="s">
        <v>276</v>
      </c>
      <c r="C167" s="151">
        <f>IF(Vehi_Inputs!$B$11=2,W167,M167)</f>
        <v>0.3</v>
      </c>
      <c r="D167" s="151">
        <f>IF(Vehi_Inputs!$B$11=2,X167,N167)</f>
        <v>0</v>
      </c>
      <c r="E167" s="151">
        <f>IF(Vehi_Inputs!$B$11=2,Y167,O167)</f>
        <v>0</v>
      </c>
      <c r="F167" s="151">
        <f>IF(Vehi_Inputs!$B$11=2,Z167,P167)</f>
        <v>0</v>
      </c>
      <c r="G167" s="151">
        <f>IF(Vehi_Inputs!$B$11=2,AA167,Q167)</f>
        <v>0</v>
      </c>
      <c r="H167" s="151">
        <f>IF(Vehi_Inputs!$B$11=2,AB167,R167)</f>
        <v>0</v>
      </c>
      <c r="I167" s="151">
        <f>IF(Vehi_Inputs!$B$11=2,AC167,S167)</f>
        <v>0</v>
      </c>
      <c r="J167" s="151">
        <f>IF(Vehi_Inputs!$B$11=2,AD167,T167)</f>
        <v>0</v>
      </c>
      <c r="K167" s="151">
        <f>IF(Vehi_Inputs!$B$11=2,AE167,U167)</f>
        <v>0</v>
      </c>
      <c r="L167" s="152">
        <f>IF(Vehi_Inputs!$B$11=2,AF167,V167)</f>
        <v>0</v>
      </c>
      <c r="M167" s="225">
        <v>0.3</v>
      </c>
      <c r="N167" s="225">
        <v>0</v>
      </c>
      <c r="O167" s="225">
        <v>0</v>
      </c>
      <c r="P167" s="225">
        <v>0</v>
      </c>
      <c r="Q167" s="225">
        <v>0</v>
      </c>
      <c r="R167" s="225">
        <v>0</v>
      </c>
      <c r="S167" s="225">
        <v>0</v>
      </c>
      <c r="T167" s="225">
        <v>0</v>
      </c>
      <c r="U167" s="225">
        <v>0</v>
      </c>
      <c r="V167" s="226">
        <v>0</v>
      </c>
      <c r="W167" s="225">
        <v>0.12673350062350761</v>
      </c>
      <c r="X167" s="225">
        <v>4.3864497387551334E-2</v>
      </c>
      <c r="Y167" s="225">
        <v>0</v>
      </c>
      <c r="Z167" s="225">
        <v>0</v>
      </c>
      <c r="AA167" s="225">
        <v>0</v>
      </c>
      <c r="AB167" s="225">
        <v>0</v>
      </c>
      <c r="AC167" s="225">
        <v>0</v>
      </c>
      <c r="AD167" s="225">
        <v>0</v>
      </c>
      <c r="AE167" s="225">
        <v>0</v>
      </c>
      <c r="AF167" s="226">
        <v>0</v>
      </c>
    </row>
    <row r="168" spans="2:32">
      <c r="B168" s="59" t="s">
        <v>256</v>
      </c>
      <c r="C168" s="151">
        <f>IF(Vehi_Inputs!$B$11=2,W168,M168)</f>
        <v>0</v>
      </c>
      <c r="D168" s="151">
        <f>IF(Vehi_Inputs!$B$11=2,X168,N168)</f>
        <v>0</v>
      </c>
      <c r="E168" s="151">
        <f>IF(Vehi_Inputs!$B$11=2,Y168,O168)</f>
        <v>0</v>
      </c>
      <c r="F168" s="151">
        <f>IF(Vehi_Inputs!$B$11=2,Z168,P168)</f>
        <v>0</v>
      </c>
      <c r="G168" s="151">
        <f>IF(Vehi_Inputs!$B$11=2,AA168,Q168)</f>
        <v>0</v>
      </c>
      <c r="H168" s="151">
        <f>IF(Vehi_Inputs!$B$11=2,AB168,R168)</f>
        <v>0</v>
      </c>
      <c r="I168" s="151">
        <f>IF(Vehi_Inputs!$B$11=2,AC168,S168)</f>
        <v>0</v>
      </c>
      <c r="J168" s="151">
        <f>IF(Vehi_Inputs!$B$11=2,AD168,T168)</f>
        <v>0</v>
      </c>
      <c r="K168" s="151">
        <f>IF(Vehi_Inputs!$B$11=2,AE168,U168)</f>
        <v>0</v>
      </c>
      <c r="L168" s="152">
        <f>IF(Vehi_Inputs!$B$11=2,AF168,V168)</f>
        <v>0</v>
      </c>
      <c r="M168" s="225"/>
      <c r="N168" s="225"/>
      <c r="O168" s="225"/>
      <c r="P168" s="225"/>
      <c r="Q168" s="225"/>
      <c r="R168" s="225"/>
      <c r="S168" s="225"/>
      <c r="T168" s="225"/>
      <c r="U168" s="225"/>
      <c r="V168" s="226"/>
      <c r="W168" s="225">
        <v>0</v>
      </c>
      <c r="X168" s="225">
        <v>0.22782461791287467</v>
      </c>
      <c r="Y168" s="225">
        <v>0</v>
      </c>
      <c r="Z168" s="225">
        <v>0</v>
      </c>
      <c r="AA168" s="225">
        <v>0</v>
      </c>
      <c r="AB168" s="225">
        <v>0</v>
      </c>
      <c r="AC168" s="225">
        <v>0</v>
      </c>
      <c r="AD168" s="225">
        <v>0</v>
      </c>
      <c r="AE168" s="225">
        <v>0</v>
      </c>
      <c r="AF168" s="226">
        <v>0</v>
      </c>
    </row>
    <row r="169" spans="2:32">
      <c r="B169" s="59" t="s">
        <v>252</v>
      </c>
      <c r="C169" s="151">
        <f>IF(Vehi_Inputs!$B$11=2,W169,M169)</f>
        <v>0.3</v>
      </c>
      <c r="D169" s="151">
        <f>IF(Vehi_Inputs!$B$11=2,X169,N169)</f>
        <v>0.3</v>
      </c>
      <c r="E169" s="151">
        <f>IF(Vehi_Inputs!$B$11=2,Y169,O169)</f>
        <v>0.2</v>
      </c>
      <c r="F169" s="151">
        <f>IF(Vehi_Inputs!$B$11=2,Z169,P169)</f>
        <v>0.2</v>
      </c>
      <c r="G169" s="151">
        <f>IF(Vehi_Inputs!$B$11=2,AA169,Q169)</f>
        <v>0.2</v>
      </c>
      <c r="H169" s="151">
        <f>IF(Vehi_Inputs!$B$11=2,AB169,R169)</f>
        <v>0.2</v>
      </c>
      <c r="I169" s="151">
        <f>IF(Vehi_Inputs!$B$11=2,AC169,S169)</f>
        <v>0.2</v>
      </c>
      <c r="J169" s="151">
        <f>IF(Vehi_Inputs!$B$11=2,AD169,T169)</f>
        <v>0.2</v>
      </c>
      <c r="K169" s="151">
        <f>IF(Vehi_Inputs!$B$11=2,AE169,U169)</f>
        <v>0.2</v>
      </c>
      <c r="L169" s="152">
        <f>IF(Vehi_Inputs!$B$11=2,AF169,V169)</f>
        <v>0.2</v>
      </c>
      <c r="M169" s="225">
        <v>0.3</v>
      </c>
      <c r="N169" s="225">
        <v>0.3</v>
      </c>
      <c r="O169" s="225">
        <v>0.2</v>
      </c>
      <c r="P169" s="225">
        <v>0.2</v>
      </c>
      <c r="Q169" s="225">
        <v>0.2</v>
      </c>
      <c r="R169" s="225">
        <v>0.2</v>
      </c>
      <c r="S169" s="225">
        <v>0.2</v>
      </c>
      <c r="T169" s="225">
        <v>0.2</v>
      </c>
      <c r="U169" s="225">
        <v>0.2</v>
      </c>
      <c r="V169" s="226">
        <v>0.2</v>
      </c>
      <c r="W169" s="225">
        <v>0</v>
      </c>
      <c r="X169" s="225">
        <v>4.0960808209210987E-3</v>
      </c>
      <c r="Y169" s="225">
        <v>0</v>
      </c>
      <c r="Z169" s="225">
        <v>0</v>
      </c>
      <c r="AA169" s="225">
        <v>0</v>
      </c>
      <c r="AB169" s="225">
        <v>0</v>
      </c>
      <c r="AC169" s="225">
        <v>0</v>
      </c>
      <c r="AD169" s="225">
        <v>0</v>
      </c>
      <c r="AE169" s="225">
        <v>0</v>
      </c>
      <c r="AF169" s="226">
        <v>0</v>
      </c>
    </row>
    <row r="170" spans="2:32">
      <c r="B170" s="59" t="s">
        <v>253</v>
      </c>
      <c r="C170" s="151">
        <f>IF(Vehi_Inputs!$B$11=2,W170,M170)</f>
        <v>0</v>
      </c>
      <c r="D170" s="151">
        <f>IF(Vehi_Inputs!$B$11=2,X170,N170)</f>
        <v>0.3</v>
      </c>
      <c r="E170" s="151">
        <f>IF(Vehi_Inputs!$B$11=2,Y170,O170)</f>
        <v>0</v>
      </c>
      <c r="F170" s="151">
        <f>IF(Vehi_Inputs!$B$11=2,Z170,P170)</f>
        <v>0</v>
      </c>
      <c r="G170" s="151">
        <f>IF(Vehi_Inputs!$B$11=2,AA170,Q170)</f>
        <v>0</v>
      </c>
      <c r="H170" s="151">
        <f>IF(Vehi_Inputs!$B$11=2,AB170,R170)</f>
        <v>0</v>
      </c>
      <c r="I170" s="151">
        <f>IF(Vehi_Inputs!$B$11=2,AC170,S170)</f>
        <v>0</v>
      </c>
      <c r="J170" s="151">
        <f>IF(Vehi_Inputs!$B$11=2,AD170,T170)</f>
        <v>0</v>
      </c>
      <c r="K170" s="151">
        <f>IF(Vehi_Inputs!$B$11=2,AE170,U170)</f>
        <v>0</v>
      </c>
      <c r="L170" s="152">
        <f>IF(Vehi_Inputs!$B$11=2,AF170,V170)</f>
        <v>0</v>
      </c>
      <c r="M170" s="225">
        <v>0</v>
      </c>
      <c r="N170" s="225">
        <v>0.3</v>
      </c>
      <c r="O170" s="225">
        <v>0</v>
      </c>
      <c r="P170" s="225">
        <v>0</v>
      </c>
      <c r="Q170" s="225">
        <v>0</v>
      </c>
      <c r="R170" s="225">
        <v>0</v>
      </c>
      <c r="S170" s="225">
        <v>0</v>
      </c>
      <c r="T170" s="225">
        <v>0</v>
      </c>
      <c r="U170" s="225">
        <v>0</v>
      </c>
      <c r="V170" s="226">
        <v>0</v>
      </c>
      <c r="W170" s="225">
        <v>0.26805293288053156</v>
      </c>
      <c r="X170" s="225">
        <v>0.12928498434825023</v>
      </c>
      <c r="Y170" s="225">
        <v>0</v>
      </c>
      <c r="Z170" s="225">
        <v>0</v>
      </c>
      <c r="AA170" s="225">
        <v>0</v>
      </c>
      <c r="AB170" s="225">
        <v>0</v>
      </c>
      <c r="AC170" s="225">
        <v>0</v>
      </c>
      <c r="AD170" s="225">
        <v>0</v>
      </c>
      <c r="AE170" s="225">
        <v>0</v>
      </c>
      <c r="AF170" s="226">
        <v>0</v>
      </c>
    </row>
    <row r="171" spans="2:32">
      <c r="B171" s="59" t="s">
        <v>259</v>
      </c>
      <c r="C171" s="151">
        <f>IF(Vehi_Inputs!$B$11=2,W171,M171)</f>
        <v>0</v>
      </c>
      <c r="D171" s="151">
        <f>IF(Vehi_Inputs!$B$11=2,X171,N171)</f>
        <v>0</v>
      </c>
      <c r="E171" s="151">
        <f>IF(Vehi_Inputs!$B$11=2,Y171,O171)</f>
        <v>0</v>
      </c>
      <c r="F171" s="151">
        <f>IF(Vehi_Inputs!$B$11=2,Z171,P171)</f>
        <v>0</v>
      </c>
      <c r="G171" s="151">
        <f>IF(Vehi_Inputs!$B$11=2,AA171,Q171)</f>
        <v>0</v>
      </c>
      <c r="H171" s="151">
        <f>IF(Vehi_Inputs!$B$11=2,AB171,R171)</f>
        <v>0</v>
      </c>
      <c r="I171" s="151">
        <f>IF(Vehi_Inputs!$B$11=2,AC171,S171)</f>
        <v>0</v>
      </c>
      <c r="J171" s="151">
        <f>IF(Vehi_Inputs!$B$11=2,AD171,T171)</f>
        <v>0</v>
      </c>
      <c r="K171" s="151">
        <f>IF(Vehi_Inputs!$B$11=2,AE171,U171)</f>
        <v>0</v>
      </c>
      <c r="L171" s="152">
        <f>IF(Vehi_Inputs!$B$11=2,AF171,V171)</f>
        <v>0</v>
      </c>
      <c r="M171" s="555">
        <v>0</v>
      </c>
      <c r="N171" s="225">
        <v>0</v>
      </c>
      <c r="O171" s="225">
        <v>0</v>
      </c>
      <c r="P171" s="225">
        <v>0</v>
      </c>
      <c r="Q171" s="225">
        <v>0</v>
      </c>
      <c r="R171" s="225">
        <v>0</v>
      </c>
      <c r="S171" s="225">
        <v>0</v>
      </c>
      <c r="T171" s="225">
        <v>0</v>
      </c>
      <c r="U171" s="225">
        <v>0</v>
      </c>
      <c r="V171" s="226">
        <v>0</v>
      </c>
      <c r="W171" s="555">
        <v>0</v>
      </c>
      <c r="X171" s="225">
        <v>0</v>
      </c>
      <c r="Y171" s="225">
        <v>0</v>
      </c>
      <c r="Z171" s="225">
        <v>0</v>
      </c>
      <c r="AA171" s="225">
        <v>0</v>
      </c>
      <c r="AB171" s="225">
        <v>0</v>
      </c>
      <c r="AC171" s="225">
        <v>0</v>
      </c>
      <c r="AD171" s="225">
        <v>0</v>
      </c>
      <c r="AE171" s="225">
        <v>0</v>
      </c>
      <c r="AF171" s="226">
        <v>0</v>
      </c>
    </row>
    <row r="172" spans="2:32">
      <c r="B172" s="59" t="s">
        <v>260</v>
      </c>
      <c r="C172" s="151">
        <f>IF(Vehi_Inputs!$B$11=2,W172,M172)</f>
        <v>0.05</v>
      </c>
      <c r="D172" s="151">
        <f>IF(Vehi_Inputs!$B$11=2,X172,N172)</f>
        <v>0.05</v>
      </c>
      <c r="E172" s="151">
        <f>IF(Vehi_Inputs!$B$11=2,Y172,O172)</f>
        <v>2E-3</v>
      </c>
      <c r="F172" s="151">
        <f>IF(Vehi_Inputs!$B$11=2,Z172,P172)</f>
        <v>2E-3</v>
      </c>
      <c r="G172" s="151">
        <f>IF(Vehi_Inputs!$B$11=2,AA172,Q172)</f>
        <v>2E-3</v>
      </c>
      <c r="H172" s="151">
        <f>IF(Vehi_Inputs!$B$11=2,AB172,R172)</f>
        <v>2E-3</v>
      </c>
      <c r="I172" s="151">
        <f>IF(Vehi_Inputs!$B$11=2,AC172,S172)</f>
        <v>2E-3</v>
      </c>
      <c r="J172" s="151">
        <f>IF(Vehi_Inputs!$B$11=2,AD172,T172)</f>
        <v>2E-3</v>
      </c>
      <c r="K172" s="151">
        <f>IF(Vehi_Inputs!$B$11=2,AE172,U172)</f>
        <v>2E-3</v>
      </c>
      <c r="L172" s="152">
        <f>IF(Vehi_Inputs!$B$11=2,AF172,V172)</f>
        <v>2E-3</v>
      </c>
      <c r="M172" s="225">
        <v>0.05</v>
      </c>
      <c r="N172" s="225">
        <v>0.05</v>
      </c>
      <c r="O172" s="225">
        <v>2E-3</v>
      </c>
      <c r="P172" s="225">
        <v>2E-3</v>
      </c>
      <c r="Q172" s="225">
        <v>2E-3</v>
      </c>
      <c r="R172" s="225">
        <v>2E-3</v>
      </c>
      <c r="S172" s="225">
        <v>2E-3</v>
      </c>
      <c r="T172" s="225">
        <v>2E-3</v>
      </c>
      <c r="U172" s="225">
        <v>2E-3</v>
      </c>
      <c r="V172" s="226">
        <v>2E-3</v>
      </c>
      <c r="W172" s="225">
        <v>2.2867771090209238E-2</v>
      </c>
      <c r="X172" s="225">
        <v>1.0602306785741396E-2</v>
      </c>
      <c r="Y172" s="225">
        <v>0</v>
      </c>
      <c r="Z172" s="225">
        <v>0</v>
      </c>
      <c r="AA172" s="225">
        <v>0</v>
      </c>
      <c r="AB172" s="225">
        <v>0</v>
      </c>
      <c r="AC172" s="225">
        <v>0</v>
      </c>
      <c r="AD172" s="225">
        <v>0</v>
      </c>
      <c r="AE172" s="225">
        <v>0</v>
      </c>
      <c r="AF172" s="226">
        <v>0</v>
      </c>
    </row>
    <row r="173" spans="2:32">
      <c r="B173" s="59" t="s">
        <v>261</v>
      </c>
      <c r="C173" s="151">
        <f>IF(Vehi_Inputs!$B$11=2,W173,M173)</f>
        <v>0.05</v>
      </c>
      <c r="D173" s="151">
        <f>IF(Vehi_Inputs!$B$11=2,X173,N173)</f>
        <v>0.05</v>
      </c>
      <c r="E173" s="151">
        <f>IF(Vehi_Inputs!$B$11=2,Y173,O173)</f>
        <v>0</v>
      </c>
      <c r="F173" s="151">
        <f>IF(Vehi_Inputs!$B$11=2,Z173,P173)</f>
        <v>0</v>
      </c>
      <c r="G173" s="151">
        <f>IF(Vehi_Inputs!$B$11=2,AA173,Q173)</f>
        <v>0</v>
      </c>
      <c r="H173" s="151">
        <f>IF(Vehi_Inputs!$B$11=2,AB173,R173)</f>
        <v>0</v>
      </c>
      <c r="I173" s="151">
        <f>IF(Vehi_Inputs!$B$11=2,AC173,S173)</f>
        <v>0</v>
      </c>
      <c r="J173" s="151">
        <f>IF(Vehi_Inputs!$B$11=2,AD173,T173)</f>
        <v>0</v>
      </c>
      <c r="K173" s="151">
        <f>IF(Vehi_Inputs!$B$11=2,AE173,U173)</f>
        <v>0</v>
      </c>
      <c r="L173" s="152">
        <f>IF(Vehi_Inputs!$B$11=2,AF173,V173)</f>
        <v>0</v>
      </c>
      <c r="M173" s="225">
        <v>0.05</v>
      </c>
      <c r="N173" s="225">
        <v>0.05</v>
      </c>
      <c r="O173" s="225">
        <v>0</v>
      </c>
      <c r="P173" s="225">
        <v>0</v>
      </c>
      <c r="Q173" s="225">
        <v>0</v>
      </c>
      <c r="R173" s="225">
        <v>0</v>
      </c>
      <c r="S173" s="225">
        <v>0</v>
      </c>
      <c r="T173" s="225">
        <v>0</v>
      </c>
      <c r="U173" s="225">
        <v>0</v>
      </c>
      <c r="V173" s="226">
        <v>0</v>
      </c>
      <c r="W173" s="225">
        <v>3.8808645700539653E-3</v>
      </c>
      <c r="X173" s="225">
        <v>4.8738330430612596E-3</v>
      </c>
      <c r="Y173" s="225">
        <v>0</v>
      </c>
      <c r="Z173" s="225">
        <v>0</v>
      </c>
      <c r="AA173" s="225">
        <v>0</v>
      </c>
      <c r="AB173" s="225">
        <v>0</v>
      </c>
      <c r="AC173" s="225">
        <v>0</v>
      </c>
      <c r="AD173" s="225">
        <v>0</v>
      </c>
      <c r="AE173" s="225">
        <v>0</v>
      </c>
      <c r="AF173" s="226">
        <v>0</v>
      </c>
    </row>
    <row r="174" spans="2:32">
      <c r="B174" s="118" t="s">
        <v>262</v>
      </c>
      <c r="C174" s="153">
        <f t="shared" ref="C174:X174" si="6">1-SUM(C165:C173)</f>
        <v>0</v>
      </c>
      <c r="D174" s="153">
        <f t="shared" si="6"/>
        <v>0</v>
      </c>
      <c r="E174" s="153">
        <f t="shared" si="6"/>
        <v>4.0000000000000036E-3</v>
      </c>
      <c r="F174" s="153">
        <f t="shared" si="6"/>
        <v>4.0000000000000036E-3</v>
      </c>
      <c r="G174" s="153">
        <f t="shared" si="6"/>
        <v>4.0000000000000036E-3</v>
      </c>
      <c r="H174" s="153">
        <f t="shared" si="6"/>
        <v>4.0000000000000036E-3</v>
      </c>
      <c r="I174" s="153">
        <f t="shared" si="6"/>
        <v>4.0000000000000036E-3</v>
      </c>
      <c r="J174" s="153">
        <f t="shared" si="6"/>
        <v>4.0000000000000036E-3</v>
      </c>
      <c r="K174" s="153">
        <f t="shared" si="6"/>
        <v>4.0000000000000036E-3</v>
      </c>
      <c r="L174" s="154">
        <f t="shared" si="6"/>
        <v>4.0000000000000036E-3</v>
      </c>
      <c r="M174" s="129">
        <f t="shared" si="6"/>
        <v>0</v>
      </c>
      <c r="N174" s="129">
        <f t="shared" si="6"/>
        <v>0</v>
      </c>
      <c r="O174" s="129">
        <f t="shared" si="6"/>
        <v>4.0000000000000036E-3</v>
      </c>
      <c r="P174" s="129">
        <f t="shared" si="6"/>
        <v>4.0000000000000036E-3</v>
      </c>
      <c r="Q174" s="129">
        <f t="shared" si="6"/>
        <v>4.0000000000000036E-3</v>
      </c>
      <c r="R174" s="129">
        <f t="shared" si="6"/>
        <v>4.0000000000000036E-3</v>
      </c>
      <c r="S174" s="129">
        <f t="shared" si="6"/>
        <v>4.0000000000000036E-3</v>
      </c>
      <c r="T174" s="129">
        <f t="shared" si="6"/>
        <v>4.0000000000000036E-3</v>
      </c>
      <c r="U174" s="129">
        <f t="shared" si="6"/>
        <v>4.0000000000000036E-3</v>
      </c>
      <c r="V174" s="130">
        <f t="shared" si="6"/>
        <v>4.0000000000000036E-3</v>
      </c>
      <c r="W174" s="129">
        <f t="shared" si="6"/>
        <v>0</v>
      </c>
      <c r="X174" s="129">
        <f t="shared" si="6"/>
        <v>0</v>
      </c>
      <c r="Y174" s="129">
        <f t="shared" ref="Y174:AF174" si="7">1-SUM(Y165:Y173)</f>
        <v>1</v>
      </c>
      <c r="Z174" s="129">
        <f t="shared" si="7"/>
        <v>1</v>
      </c>
      <c r="AA174" s="129">
        <f t="shared" si="7"/>
        <v>1</v>
      </c>
      <c r="AB174" s="129">
        <f t="shared" si="7"/>
        <v>1</v>
      </c>
      <c r="AC174" s="129">
        <f t="shared" si="7"/>
        <v>1</v>
      </c>
      <c r="AD174" s="129">
        <f t="shared" si="7"/>
        <v>1</v>
      </c>
      <c r="AE174" s="129">
        <f t="shared" si="7"/>
        <v>1</v>
      </c>
      <c r="AF174" s="130">
        <f t="shared" si="7"/>
        <v>1</v>
      </c>
    </row>
    <row r="175" spans="2:32">
      <c r="B175" s="487" t="s">
        <v>184</v>
      </c>
      <c r="C175" s="151"/>
      <c r="D175" s="151"/>
      <c r="E175" s="151"/>
      <c r="F175" s="151"/>
      <c r="G175" s="151"/>
      <c r="H175" s="151"/>
      <c r="I175" s="151"/>
      <c r="J175" s="151"/>
      <c r="K175" s="151"/>
      <c r="L175" s="152"/>
      <c r="M175" s="127"/>
      <c r="N175" s="127"/>
      <c r="O175" s="127"/>
      <c r="P175" s="127"/>
      <c r="Q175" s="127"/>
      <c r="R175" s="127"/>
      <c r="S175" s="127"/>
      <c r="T175" s="127"/>
      <c r="U175" s="127"/>
      <c r="V175" s="128"/>
      <c r="W175" s="127"/>
      <c r="X175" s="127"/>
      <c r="Y175" s="127"/>
      <c r="Z175" s="127"/>
      <c r="AA175" s="127"/>
      <c r="AB175" s="127"/>
      <c r="AC175" s="127"/>
      <c r="AD175" s="127"/>
      <c r="AE175" s="127"/>
      <c r="AF175" s="128"/>
    </row>
    <row r="176" spans="2:32">
      <c r="B176" s="59" t="s">
        <v>251</v>
      </c>
      <c r="C176" s="151">
        <f>IF(Vehi_Inputs!$B$11=2,W176,M176)</f>
        <v>0.6665836603629145</v>
      </c>
      <c r="D176" s="151">
        <f>IF(Vehi_Inputs!$B$11=2,X176,N176)</f>
        <v>0.307</v>
      </c>
      <c r="E176" s="151">
        <f>IF(Vehi_Inputs!$B$11=2,Y176,O176)</f>
        <v>0.6665836603629145</v>
      </c>
      <c r="F176" s="151">
        <f>IF(Vehi_Inputs!$B$11=2,Z176,P176)</f>
        <v>0.28999999999999998</v>
      </c>
      <c r="G176" s="151">
        <f>IF(Vehi_Inputs!$B$11=2,AA176,Q176)</f>
        <v>0.6665836603629145</v>
      </c>
      <c r="H176" s="151">
        <f>IF(Vehi_Inputs!$B$11=2,AB176,R176)</f>
        <v>0.28799999999999998</v>
      </c>
      <c r="I176" s="151">
        <f>IF(Vehi_Inputs!$B$11=2,AC176,S176)</f>
        <v>0.6665836603629145</v>
      </c>
      <c r="J176" s="151">
        <f>IF(Vehi_Inputs!$B$11=2,AD176,T176)</f>
        <v>0.28499999999999998</v>
      </c>
      <c r="K176" s="151">
        <f>IF(Vehi_Inputs!$B$11=2,AE176,U176)</f>
        <v>0.6665836603629145</v>
      </c>
      <c r="L176" s="152">
        <f>IF(Vehi_Inputs!$B$11=2,AF176,V176)</f>
        <v>0.28599999999999998</v>
      </c>
      <c r="M176" s="1243">
        <v>0.6665836603629145</v>
      </c>
      <c r="N176" s="1058">
        <v>0.307</v>
      </c>
      <c r="O176" s="1058">
        <v>0.6665836603629145</v>
      </c>
      <c r="P176" s="1058">
        <v>0.28999999999999998</v>
      </c>
      <c r="Q176" s="1058">
        <v>0.6665836603629145</v>
      </c>
      <c r="R176" s="1058">
        <v>0.28799999999999998</v>
      </c>
      <c r="S176" s="1058">
        <v>0.6665836603629145</v>
      </c>
      <c r="T176" s="1058">
        <v>0.28499999999999998</v>
      </c>
      <c r="U176" s="1058">
        <v>0.6665836603629145</v>
      </c>
      <c r="V176" s="1475">
        <v>0.28599999999999998</v>
      </c>
      <c r="W176" s="225">
        <v>0.53860225036837028</v>
      </c>
      <c r="X176" s="225">
        <v>0.40525092431856236</v>
      </c>
      <c r="Y176" s="225">
        <v>0</v>
      </c>
      <c r="Z176" s="225">
        <v>0</v>
      </c>
      <c r="AA176" s="225">
        <v>0</v>
      </c>
      <c r="AB176" s="225">
        <v>0</v>
      </c>
      <c r="AC176" s="225">
        <v>0</v>
      </c>
      <c r="AD176" s="225">
        <v>0</v>
      </c>
      <c r="AE176" s="225">
        <v>0</v>
      </c>
      <c r="AF176" s="226">
        <v>0</v>
      </c>
    </row>
    <row r="177" spans="2:32">
      <c r="B177" s="59" t="s">
        <v>276</v>
      </c>
      <c r="C177" s="151">
        <f>IF(Vehi_Inputs!$B$11=2,W177,M177)</f>
        <v>0</v>
      </c>
      <c r="D177" s="151">
        <f>IF(Vehi_Inputs!$B$11=2,X177,N177)</f>
        <v>8.8999999999999996E-2</v>
      </c>
      <c r="E177" s="151">
        <f>IF(Vehi_Inputs!$B$11=2,Y177,O177)</f>
        <v>0</v>
      </c>
      <c r="F177" s="151">
        <f>IF(Vehi_Inputs!$B$11=2,Z177,P177)</f>
        <v>8.6999999999999994E-2</v>
      </c>
      <c r="G177" s="151">
        <f>IF(Vehi_Inputs!$B$11=2,AA177,Q177)</f>
        <v>0</v>
      </c>
      <c r="H177" s="151">
        <f>IF(Vehi_Inputs!$B$11=2,AB177,R177)</f>
        <v>0.09</v>
      </c>
      <c r="I177" s="151">
        <f>IF(Vehi_Inputs!$B$11=2,AC177,S177)</f>
        <v>0</v>
      </c>
      <c r="J177" s="151">
        <f>IF(Vehi_Inputs!$B$11=2,AD177,T177)</f>
        <v>9.1999999999999998E-2</v>
      </c>
      <c r="K177" s="151">
        <f>IF(Vehi_Inputs!$B$11=2,AE177,U177)</f>
        <v>0</v>
      </c>
      <c r="L177" s="152">
        <f>IF(Vehi_Inputs!$B$11=2,AF177,V177)</f>
        <v>0.09</v>
      </c>
      <c r="M177" s="1243">
        <v>0</v>
      </c>
      <c r="N177" s="1058">
        <v>8.8999999999999996E-2</v>
      </c>
      <c r="O177" s="1058">
        <v>0</v>
      </c>
      <c r="P177" s="1058">
        <v>8.6999999999999994E-2</v>
      </c>
      <c r="Q177" s="1058">
        <v>0</v>
      </c>
      <c r="R177" s="1058">
        <v>0.09</v>
      </c>
      <c r="S177" s="1058">
        <v>0</v>
      </c>
      <c r="T177" s="1058">
        <v>9.1999999999999998E-2</v>
      </c>
      <c r="U177" s="1058">
        <v>0</v>
      </c>
      <c r="V177" s="1475">
        <v>0.09</v>
      </c>
      <c r="W177" s="225">
        <v>0.15742056874630528</v>
      </c>
      <c r="X177" s="225">
        <v>3.6068676716917929E-2</v>
      </c>
      <c r="Y177" s="225">
        <v>0</v>
      </c>
      <c r="Z177" s="225">
        <v>0</v>
      </c>
      <c r="AA177" s="225">
        <v>0</v>
      </c>
      <c r="AB177" s="225">
        <v>0</v>
      </c>
      <c r="AC177" s="225">
        <v>0</v>
      </c>
      <c r="AD177" s="225">
        <v>0</v>
      </c>
      <c r="AE177" s="225">
        <v>0</v>
      </c>
      <c r="AF177" s="226">
        <v>0</v>
      </c>
    </row>
    <row r="178" spans="2:32">
      <c r="B178" s="59" t="s">
        <v>252</v>
      </c>
      <c r="C178" s="151">
        <f>IF(Vehi_Inputs!$B$11=2,W178,M178)</f>
        <v>1.6625919674725619E-2</v>
      </c>
      <c r="D178" s="151">
        <f>IF(Vehi_Inputs!$B$11=2,X178,N178)</f>
        <v>0.02</v>
      </c>
      <c r="E178" s="151">
        <f>IF(Vehi_Inputs!$B$11=2,Y178,O178)</f>
        <v>1.6625919674725619E-2</v>
      </c>
      <c r="F178" s="151">
        <f>IF(Vehi_Inputs!$B$11=2,Z178,P178)</f>
        <v>1.7000000000000001E-2</v>
      </c>
      <c r="G178" s="151">
        <f>IF(Vehi_Inputs!$B$11=2,AA178,Q178)</f>
        <v>1.6625919674725619E-2</v>
      </c>
      <c r="H178" s="151">
        <f>IF(Vehi_Inputs!$B$11=2,AB178,R178)</f>
        <v>1.6E-2</v>
      </c>
      <c r="I178" s="151">
        <f>IF(Vehi_Inputs!$B$11=2,AC178,S178)</f>
        <v>1.6625919674725619E-2</v>
      </c>
      <c r="J178" s="151">
        <f>IF(Vehi_Inputs!$B$11=2,AD178,T178)</f>
        <v>1.6E-2</v>
      </c>
      <c r="K178" s="151">
        <f>IF(Vehi_Inputs!$B$11=2,AE178,U178)</f>
        <v>1.6625919674725619E-2</v>
      </c>
      <c r="L178" s="152">
        <f>IF(Vehi_Inputs!$B$11=2,AF178,V178)</f>
        <v>1.6E-2</v>
      </c>
      <c r="M178" s="1243">
        <v>1.6625919674725619E-2</v>
      </c>
      <c r="N178" s="1058">
        <v>0.02</v>
      </c>
      <c r="O178" s="1058">
        <v>1.6625919674725619E-2</v>
      </c>
      <c r="P178" s="1058">
        <v>1.7000000000000001E-2</v>
      </c>
      <c r="Q178" s="1058">
        <v>1.6625919674725619E-2</v>
      </c>
      <c r="R178" s="1058">
        <v>1.6E-2</v>
      </c>
      <c r="S178" s="1058">
        <v>1.6625919674725619E-2</v>
      </c>
      <c r="T178" s="1058">
        <v>1.6E-2</v>
      </c>
      <c r="U178" s="1058">
        <v>1.6625919674725619E-2</v>
      </c>
      <c r="V178" s="1475">
        <v>1.6E-2</v>
      </c>
      <c r="W178" s="225">
        <v>0</v>
      </c>
      <c r="X178" s="225">
        <v>2.2792751636972742E-2</v>
      </c>
      <c r="Y178" s="225">
        <v>0</v>
      </c>
      <c r="Z178" s="225">
        <v>0</v>
      </c>
      <c r="AA178" s="225">
        <v>0</v>
      </c>
      <c r="AB178" s="225">
        <v>0</v>
      </c>
      <c r="AC178" s="225">
        <v>0</v>
      </c>
      <c r="AD178" s="225">
        <v>0</v>
      </c>
      <c r="AE178" s="225">
        <v>0</v>
      </c>
      <c r="AF178" s="226">
        <v>0</v>
      </c>
    </row>
    <row r="179" spans="2:32">
      <c r="B179" s="59" t="s">
        <v>253</v>
      </c>
      <c r="C179" s="151">
        <f>IF(Vehi_Inputs!$B$11=2,W179,M179)</f>
        <v>0.10840401439087617</v>
      </c>
      <c r="D179" s="151">
        <f>IF(Vehi_Inputs!$B$11=2,X179,N179)</f>
        <v>0.41799999999999998</v>
      </c>
      <c r="E179" s="151">
        <f>IF(Vehi_Inputs!$B$11=2,Y179,O179)</f>
        <v>0.10840401439087617</v>
      </c>
      <c r="F179" s="151">
        <f>IF(Vehi_Inputs!$B$11=2,Z179,P179)</f>
        <v>0.45200000000000001</v>
      </c>
      <c r="G179" s="151">
        <f>IF(Vehi_Inputs!$B$11=2,AA179,Q179)</f>
        <v>0.10840401439087617</v>
      </c>
      <c r="H179" s="151">
        <f>IF(Vehi_Inputs!$B$11=2,AB179,R179)</f>
        <v>0.45300000000000001</v>
      </c>
      <c r="I179" s="151">
        <f>IF(Vehi_Inputs!$B$11=2,AC179,S179)</f>
        <v>0.10840401439087617</v>
      </c>
      <c r="J179" s="151">
        <f>IF(Vehi_Inputs!$B$11=2,AD179,T179)</f>
        <v>0.45600000000000002</v>
      </c>
      <c r="K179" s="151">
        <f>IF(Vehi_Inputs!$B$11=2,AE179,U179)</f>
        <v>0.10840401439087617</v>
      </c>
      <c r="L179" s="152">
        <f>IF(Vehi_Inputs!$B$11=2,AF179,V179)</f>
        <v>0.45400000000000001</v>
      </c>
      <c r="M179" s="1243">
        <v>0.10840401439087617</v>
      </c>
      <c r="N179" s="1058">
        <v>0.41799999999999998</v>
      </c>
      <c r="O179" s="1058">
        <v>0.10840401439087617</v>
      </c>
      <c r="P179" s="1058">
        <v>0.45200000000000001</v>
      </c>
      <c r="Q179" s="1058">
        <v>0.10840401439087617</v>
      </c>
      <c r="R179" s="1058">
        <v>0.45300000000000001</v>
      </c>
      <c r="S179" s="1058">
        <v>0.10840401439087617</v>
      </c>
      <c r="T179" s="1058">
        <v>0.45600000000000002</v>
      </c>
      <c r="U179" s="1058">
        <v>0.10840401439087617</v>
      </c>
      <c r="V179" s="1475">
        <v>0.45400000000000001</v>
      </c>
      <c r="W179" s="225">
        <v>0.14134921737826128</v>
      </c>
      <c r="X179" s="225">
        <v>0.25656127607735657</v>
      </c>
      <c r="Y179" s="225">
        <v>0</v>
      </c>
      <c r="Z179" s="225">
        <v>0</v>
      </c>
      <c r="AA179" s="225">
        <v>0</v>
      </c>
      <c r="AB179" s="225">
        <v>0</v>
      </c>
      <c r="AC179" s="225">
        <v>0</v>
      </c>
      <c r="AD179" s="225">
        <v>0</v>
      </c>
      <c r="AE179" s="225">
        <v>0</v>
      </c>
      <c r="AF179" s="226">
        <v>0</v>
      </c>
    </row>
    <row r="180" spans="2:32">
      <c r="B180" s="59" t="s">
        <v>254</v>
      </c>
      <c r="C180" s="151">
        <f>IF(Vehi_Inputs!$B$11=2,W180,M180)</f>
        <v>1.3422154925707206E-2</v>
      </c>
      <c r="D180" s="151">
        <f>IF(Vehi_Inputs!$B$11=2,X180,N180)</f>
        <v>1.2E-2</v>
      </c>
      <c r="E180" s="151">
        <f>IF(Vehi_Inputs!$B$11=2,Y180,O180)</f>
        <v>1.3422154925707206E-2</v>
      </c>
      <c r="F180" s="151">
        <f>IF(Vehi_Inputs!$B$11=2,Z180,P180)</f>
        <v>1.0999999999999999E-2</v>
      </c>
      <c r="G180" s="151">
        <f>IF(Vehi_Inputs!$B$11=2,AA180,Q180)</f>
        <v>1.3422154925707206E-2</v>
      </c>
      <c r="H180" s="151">
        <f>IF(Vehi_Inputs!$B$11=2,AB180,R180)</f>
        <v>0.01</v>
      </c>
      <c r="I180" s="151">
        <f>IF(Vehi_Inputs!$B$11=2,AC180,S180)</f>
        <v>1.3422154925707206E-2</v>
      </c>
      <c r="J180" s="151">
        <f>IF(Vehi_Inputs!$B$11=2,AD180,T180)</f>
        <v>0.01</v>
      </c>
      <c r="K180" s="151">
        <f>IF(Vehi_Inputs!$B$11=2,AE180,U180)</f>
        <v>1.3422154925707206E-2</v>
      </c>
      <c r="L180" s="152">
        <f>IF(Vehi_Inputs!$B$11=2,AF180,V180)</f>
        <v>0.01</v>
      </c>
      <c r="M180" s="1243">
        <v>1.3422154925707206E-2</v>
      </c>
      <c r="N180" s="1058">
        <v>1.2E-2</v>
      </c>
      <c r="O180" s="1058">
        <v>1.3422154925707206E-2</v>
      </c>
      <c r="P180" s="1058">
        <v>1.0999999999999999E-2</v>
      </c>
      <c r="Q180" s="1058">
        <v>1.3422154925707206E-2</v>
      </c>
      <c r="R180" s="1058">
        <v>0.01</v>
      </c>
      <c r="S180" s="1058">
        <v>1.3422154925707206E-2</v>
      </c>
      <c r="T180" s="1058">
        <v>0.01</v>
      </c>
      <c r="U180" s="1058">
        <v>1.3422154925707206E-2</v>
      </c>
      <c r="V180" s="1475">
        <v>0.01</v>
      </c>
      <c r="W180" s="225">
        <v>6.2170782709971163E-4</v>
      </c>
      <c r="X180" s="225">
        <v>2.5139333028780268E-3</v>
      </c>
      <c r="Y180" s="225">
        <v>0</v>
      </c>
      <c r="Z180" s="225">
        <v>0</v>
      </c>
      <c r="AA180" s="225">
        <v>0</v>
      </c>
      <c r="AB180" s="225">
        <v>0</v>
      </c>
      <c r="AC180" s="225">
        <v>0</v>
      </c>
      <c r="AD180" s="225">
        <v>0</v>
      </c>
      <c r="AE180" s="225">
        <v>0</v>
      </c>
      <c r="AF180" s="226">
        <v>0</v>
      </c>
    </row>
    <row r="181" spans="2:32">
      <c r="B181" s="59" t="s">
        <v>255</v>
      </c>
      <c r="C181" s="151">
        <f>IF(Vehi_Inputs!$B$11=2,W181,M181)</f>
        <v>0</v>
      </c>
      <c r="D181" s="151">
        <f>IF(Vehi_Inputs!$B$11=2,X181,N181)</f>
        <v>0</v>
      </c>
      <c r="E181" s="151">
        <f>IF(Vehi_Inputs!$B$11=2,Y181,O181)</f>
        <v>0</v>
      </c>
      <c r="F181" s="151">
        <f>IF(Vehi_Inputs!$B$11=2,Z181,P181)</f>
        <v>0</v>
      </c>
      <c r="G181" s="151">
        <f>IF(Vehi_Inputs!$B$11=2,AA181,Q181)</f>
        <v>0</v>
      </c>
      <c r="H181" s="151">
        <f>IF(Vehi_Inputs!$B$11=2,AB181,R181)</f>
        <v>0</v>
      </c>
      <c r="I181" s="151">
        <f>IF(Vehi_Inputs!$B$11=2,AC181,S181)</f>
        <v>0</v>
      </c>
      <c r="J181" s="151">
        <f>IF(Vehi_Inputs!$B$11=2,AD181,T181)</f>
        <v>0</v>
      </c>
      <c r="K181" s="151">
        <f>IF(Vehi_Inputs!$B$11=2,AE181,U181)</f>
        <v>0</v>
      </c>
      <c r="L181" s="152">
        <f>IF(Vehi_Inputs!$B$11=2,AF181,V181)</f>
        <v>0</v>
      </c>
      <c r="M181" s="1243">
        <v>0</v>
      </c>
      <c r="N181" s="1058">
        <v>0</v>
      </c>
      <c r="O181" s="1058">
        <v>0</v>
      </c>
      <c r="P181" s="1058">
        <v>0</v>
      </c>
      <c r="Q181" s="1058">
        <v>0</v>
      </c>
      <c r="R181" s="1058">
        <v>0</v>
      </c>
      <c r="S181" s="1058">
        <v>0</v>
      </c>
      <c r="T181" s="1058">
        <v>0</v>
      </c>
      <c r="U181" s="1058">
        <v>0</v>
      </c>
      <c r="V181" s="1475">
        <v>0</v>
      </c>
      <c r="W181" s="225">
        <v>5.7197120093173447E-4</v>
      </c>
      <c r="X181" s="225">
        <v>6.2888381300441618E-4</v>
      </c>
      <c r="Y181" s="225">
        <v>0</v>
      </c>
      <c r="Z181" s="225">
        <v>0</v>
      </c>
      <c r="AA181" s="225">
        <v>0</v>
      </c>
      <c r="AB181" s="225">
        <v>0</v>
      </c>
      <c r="AC181" s="225">
        <v>0</v>
      </c>
      <c r="AD181" s="225">
        <v>0</v>
      </c>
      <c r="AE181" s="225">
        <v>0</v>
      </c>
      <c r="AF181" s="226">
        <v>0</v>
      </c>
    </row>
    <row r="182" spans="2:32">
      <c r="B182" s="59" t="s">
        <v>256</v>
      </c>
      <c r="C182" s="151">
        <f>IF(Vehi_Inputs!$B$11=2,W182,M182)</f>
        <v>1.8859325471071967E-3</v>
      </c>
      <c r="D182" s="151">
        <f>IF(Vehi_Inputs!$B$11=2,X182,N182)</f>
        <v>0</v>
      </c>
      <c r="E182" s="151">
        <f>IF(Vehi_Inputs!$B$11=2,Y182,O182)</f>
        <v>1.8859325471071967E-3</v>
      </c>
      <c r="F182" s="151">
        <f>IF(Vehi_Inputs!$B$11=2,Z182,P182)</f>
        <v>0</v>
      </c>
      <c r="G182" s="151">
        <f>IF(Vehi_Inputs!$B$11=2,AA182,Q182)</f>
        <v>1.8859325471071967E-3</v>
      </c>
      <c r="H182" s="151">
        <f>IF(Vehi_Inputs!$B$11=2,AB182,R182)</f>
        <v>0</v>
      </c>
      <c r="I182" s="151">
        <f>IF(Vehi_Inputs!$B$11=2,AC182,S182)</f>
        <v>1.8859325471071967E-3</v>
      </c>
      <c r="J182" s="151">
        <f>IF(Vehi_Inputs!$B$11=2,AD182,T182)</f>
        <v>0</v>
      </c>
      <c r="K182" s="151">
        <f>IF(Vehi_Inputs!$B$11=2,AE182,U182)</f>
        <v>1.8859325471071967E-3</v>
      </c>
      <c r="L182" s="152">
        <f>IF(Vehi_Inputs!$B$11=2,AF182,V182)</f>
        <v>0</v>
      </c>
      <c r="M182" s="1243">
        <v>1.8859325471071967E-3</v>
      </c>
      <c r="N182" s="1058">
        <v>0</v>
      </c>
      <c r="O182" s="1058">
        <v>1.8859325471071967E-3</v>
      </c>
      <c r="P182" s="1058">
        <v>0</v>
      </c>
      <c r="Q182" s="1058">
        <v>1.8859325471071967E-3</v>
      </c>
      <c r="R182" s="1058">
        <v>0</v>
      </c>
      <c r="S182" s="1058">
        <v>1.8859325471071967E-3</v>
      </c>
      <c r="T182" s="1058">
        <v>0</v>
      </c>
      <c r="U182" s="1058">
        <v>1.8859325471071967E-3</v>
      </c>
      <c r="V182" s="1475">
        <v>0</v>
      </c>
      <c r="W182" s="225">
        <v>4.5422059874533471E-3</v>
      </c>
      <c r="X182" s="225">
        <v>4.391305009897975E-2</v>
      </c>
      <c r="Y182" s="225">
        <v>0</v>
      </c>
      <c r="Z182" s="225">
        <v>0</v>
      </c>
      <c r="AA182" s="225">
        <v>0</v>
      </c>
      <c r="AB182" s="225">
        <v>0</v>
      </c>
      <c r="AC182" s="225">
        <v>0</v>
      </c>
      <c r="AD182" s="225">
        <v>0</v>
      </c>
      <c r="AE182" s="225">
        <v>0</v>
      </c>
      <c r="AF182" s="226">
        <v>0</v>
      </c>
    </row>
    <row r="183" spans="2:32">
      <c r="B183" s="59" t="s">
        <v>257</v>
      </c>
      <c r="C183" s="151">
        <f>IF(Vehi_Inputs!$B$11=2,W183,M183)</f>
        <v>6.7837091945099348E-3</v>
      </c>
      <c r="D183" s="151">
        <f>IF(Vehi_Inputs!$B$11=2,X183,N183)</f>
        <v>6.6000000000000003E-2</v>
      </c>
      <c r="E183" s="151">
        <f>IF(Vehi_Inputs!$B$11=2,Y183,O183)</f>
        <v>6.7837091945099348E-3</v>
      </c>
      <c r="F183" s="151">
        <f>IF(Vehi_Inputs!$B$11=2,Z183,P183)</f>
        <v>6.5000000000000002E-2</v>
      </c>
      <c r="G183" s="151">
        <f>IF(Vehi_Inputs!$B$11=2,AA183,Q183)</f>
        <v>6.7837091945099348E-3</v>
      </c>
      <c r="H183" s="151">
        <f>IF(Vehi_Inputs!$B$11=2,AB183,R183)</f>
        <v>6.8000000000000005E-2</v>
      </c>
      <c r="I183" s="151">
        <f>IF(Vehi_Inputs!$B$11=2,AC183,S183)</f>
        <v>6.7837091945099348E-3</v>
      </c>
      <c r="J183" s="151">
        <f>IF(Vehi_Inputs!$B$11=2,AD183,T183)</f>
        <v>6.9000000000000006E-2</v>
      </c>
      <c r="K183" s="151">
        <f>IF(Vehi_Inputs!$B$11=2,AE183,U183)</f>
        <v>6.7837091945099348E-3</v>
      </c>
      <c r="L183" s="152">
        <f>IF(Vehi_Inputs!$B$11=2,AF183,V183)</f>
        <v>6.8000000000000005E-2</v>
      </c>
      <c r="M183" s="1243">
        <v>6.7837091945099348E-3</v>
      </c>
      <c r="N183" s="1058">
        <v>6.6000000000000003E-2</v>
      </c>
      <c r="O183" s="1058">
        <v>6.7837091945099348E-3</v>
      </c>
      <c r="P183" s="1058">
        <v>6.5000000000000002E-2</v>
      </c>
      <c r="Q183" s="1058">
        <v>6.7837091945099348E-3</v>
      </c>
      <c r="R183" s="1058">
        <v>6.8000000000000005E-2</v>
      </c>
      <c r="S183" s="1058">
        <v>6.7837091945099348E-3</v>
      </c>
      <c r="T183" s="1058">
        <v>6.9000000000000006E-2</v>
      </c>
      <c r="U183" s="1058">
        <v>6.7837091945099348E-3</v>
      </c>
      <c r="V183" s="1475">
        <v>6.8000000000000005E-2</v>
      </c>
      <c r="W183" s="225">
        <v>0</v>
      </c>
      <c r="X183" s="225">
        <v>0</v>
      </c>
      <c r="Y183" s="225">
        <v>0</v>
      </c>
      <c r="Z183" s="225">
        <v>0</v>
      </c>
      <c r="AA183" s="225">
        <v>0</v>
      </c>
      <c r="AB183" s="225">
        <v>0</v>
      </c>
      <c r="AC183" s="225">
        <v>0</v>
      </c>
      <c r="AD183" s="225">
        <v>0</v>
      </c>
      <c r="AE183" s="225">
        <v>0</v>
      </c>
      <c r="AF183" s="226">
        <v>0</v>
      </c>
    </row>
    <row r="184" spans="2:32">
      <c r="B184" s="59" t="s">
        <v>260</v>
      </c>
      <c r="C184" s="151">
        <f>IF(Vehi_Inputs!$B$11=2,W184,M184)</f>
        <v>3.0112564366942884E-2</v>
      </c>
      <c r="D184" s="151">
        <f>IF(Vehi_Inputs!$B$11=2,X184,N184)</f>
        <v>1.7999999999999999E-2</v>
      </c>
      <c r="E184" s="151">
        <f>IF(Vehi_Inputs!$B$11=2,Y184,O184)</f>
        <v>3.0112564366942884E-2</v>
      </c>
      <c r="F184" s="151">
        <f>IF(Vehi_Inputs!$B$11=2,Z184,P184)</f>
        <v>1.4999999999999999E-2</v>
      </c>
      <c r="G184" s="151">
        <f>IF(Vehi_Inputs!$B$11=2,AA184,Q184)</f>
        <v>3.0112564366942884E-2</v>
      </c>
      <c r="H184" s="151">
        <f>IF(Vehi_Inputs!$B$11=2,AB184,R184)</f>
        <v>1.4999999999999999E-2</v>
      </c>
      <c r="I184" s="151">
        <f>IF(Vehi_Inputs!$B$11=2,AC184,S184)</f>
        <v>3.0112564366942884E-2</v>
      </c>
      <c r="J184" s="151">
        <f>IF(Vehi_Inputs!$B$11=2,AD184,T184)</f>
        <v>1.4E-2</v>
      </c>
      <c r="K184" s="151">
        <f>IF(Vehi_Inputs!$B$11=2,AE184,U184)</f>
        <v>3.0112564366942884E-2</v>
      </c>
      <c r="L184" s="152">
        <f>IF(Vehi_Inputs!$B$11=2,AF184,V184)</f>
        <v>1.4999999999999999E-2</v>
      </c>
      <c r="M184" s="1243">
        <v>3.0112564366942884E-2</v>
      </c>
      <c r="N184" s="1058">
        <v>1.7999999999999999E-2</v>
      </c>
      <c r="O184" s="1058">
        <v>3.0112564366942884E-2</v>
      </c>
      <c r="P184" s="1058">
        <v>1.4999999999999999E-2</v>
      </c>
      <c r="Q184" s="1058">
        <v>3.0112564366942884E-2</v>
      </c>
      <c r="R184" s="1058">
        <v>1.4999999999999999E-2</v>
      </c>
      <c r="S184" s="1058">
        <v>3.0112564366942884E-2</v>
      </c>
      <c r="T184" s="1058">
        <v>1.4E-2</v>
      </c>
      <c r="U184" s="1058">
        <v>3.0112564366942884E-2</v>
      </c>
      <c r="V184" s="1475">
        <v>1.4999999999999999E-2</v>
      </c>
      <c r="W184" s="225">
        <v>2.5722182517624432E-3</v>
      </c>
      <c r="X184" s="225">
        <v>2.3247205725597683E-2</v>
      </c>
      <c r="Y184" s="225">
        <v>0</v>
      </c>
      <c r="Z184" s="225">
        <v>0</v>
      </c>
      <c r="AA184" s="225">
        <v>0</v>
      </c>
      <c r="AB184" s="225">
        <v>0</v>
      </c>
      <c r="AC184" s="225">
        <v>0</v>
      </c>
      <c r="AD184" s="225">
        <v>0</v>
      </c>
      <c r="AE184" s="225">
        <v>0</v>
      </c>
      <c r="AF184" s="226">
        <v>0</v>
      </c>
    </row>
    <row r="185" spans="2:32">
      <c r="B185" s="59" t="s">
        <v>261</v>
      </c>
      <c r="C185" s="151">
        <f>IF(Vehi_Inputs!$B$11=2,W185,M185)</f>
        <v>0.15613494964707489</v>
      </c>
      <c r="D185" s="151">
        <f>IF(Vehi_Inputs!$B$11=2,X185,N185)</f>
        <v>6.3E-2</v>
      </c>
      <c r="E185" s="151">
        <f>IF(Vehi_Inputs!$B$11=2,Y185,O185)</f>
        <v>0.15613494964707489</v>
      </c>
      <c r="F185" s="151">
        <f>IF(Vehi_Inputs!$B$11=2,Z185,P185)</f>
        <v>5.6000000000000001E-2</v>
      </c>
      <c r="G185" s="151">
        <f>IF(Vehi_Inputs!$B$11=2,AA185,Q185)</f>
        <v>0.15613494964707489</v>
      </c>
      <c r="H185" s="151">
        <f>IF(Vehi_Inputs!$B$11=2,AB185,R185)</f>
        <v>5.3999999999999999E-2</v>
      </c>
      <c r="I185" s="151">
        <f>IF(Vehi_Inputs!$B$11=2,AC185,S185)</f>
        <v>0.15613494964707489</v>
      </c>
      <c r="J185" s="151">
        <f>IF(Vehi_Inputs!$B$11=2,AD185,T185)</f>
        <v>5.1999999999999998E-2</v>
      </c>
      <c r="K185" s="151">
        <f>IF(Vehi_Inputs!$B$11=2,AE185,U185)</f>
        <v>0.15613494964707489</v>
      </c>
      <c r="L185" s="152">
        <f>IF(Vehi_Inputs!$B$11=2,AF185,V185)</f>
        <v>5.2999999999999999E-2</v>
      </c>
      <c r="M185" s="1243">
        <v>0.15613494964707489</v>
      </c>
      <c r="N185" s="1058">
        <v>6.3E-2</v>
      </c>
      <c r="O185" s="1058">
        <v>0.15613494964707489</v>
      </c>
      <c r="P185" s="1058">
        <v>5.6000000000000001E-2</v>
      </c>
      <c r="Q185" s="1058">
        <v>0.15613494964707489</v>
      </c>
      <c r="R185" s="1058">
        <v>5.3999999999999999E-2</v>
      </c>
      <c r="S185" s="1058">
        <v>0.15613494964707489</v>
      </c>
      <c r="T185" s="1058">
        <v>5.1999999999999998E-2</v>
      </c>
      <c r="U185" s="1058">
        <v>0.15613494964707489</v>
      </c>
      <c r="V185" s="1475">
        <v>5.2999999999999999E-2</v>
      </c>
      <c r="W185" s="225">
        <v>0.15431986023981575</v>
      </c>
      <c r="X185" s="225">
        <v>0.20902329830973049</v>
      </c>
      <c r="Y185" s="225">
        <v>0</v>
      </c>
      <c r="Z185" s="225">
        <v>0</v>
      </c>
      <c r="AA185" s="225">
        <v>0</v>
      </c>
      <c r="AB185" s="225">
        <v>0</v>
      </c>
      <c r="AC185" s="225">
        <v>0</v>
      </c>
      <c r="AD185" s="225">
        <v>0</v>
      </c>
      <c r="AE185" s="225">
        <v>0</v>
      </c>
      <c r="AF185" s="226">
        <v>0</v>
      </c>
    </row>
    <row r="186" spans="2:32">
      <c r="B186" s="59" t="s">
        <v>262</v>
      </c>
      <c r="C186" s="151">
        <f t="shared" ref="C186:X186" si="8">1-SUM(C176:C185)</f>
        <v>4.7094890141541335E-5</v>
      </c>
      <c r="D186" s="151">
        <f t="shared" si="8"/>
        <v>6.9999999999998952E-3</v>
      </c>
      <c r="E186" s="151">
        <f t="shared" si="8"/>
        <v>4.7094890141541335E-5</v>
      </c>
      <c r="F186" s="151">
        <f t="shared" si="8"/>
        <v>6.9999999999997842E-3</v>
      </c>
      <c r="G186" s="151">
        <f t="shared" si="8"/>
        <v>4.7094890141541335E-5</v>
      </c>
      <c r="H186" s="151">
        <f t="shared" si="8"/>
        <v>5.9999999999998943E-3</v>
      </c>
      <c r="I186" s="151">
        <f t="shared" si="8"/>
        <v>4.7094890141541335E-5</v>
      </c>
      <c r="J186" s="151">
        <f t="shared" si="8"/>
        <v>6.0000000000000053E-3</v>
      </c>
      <c r="K186" s="151">
        <f t="shared" si="8"/>
        <v>4.7094890141541335E-5</v>
      </c>
      <c r="L186" s="152">
        <f t="shared" si="8"/>
        <v>7.9999999999997851E-3</v>
      </c>
      <c r="M186" s="127">
        <f t="shared" si="8"/>
        <v>4.7094890141541335E-5</v>
      </c>
      <c r="N186" s="127">
        <f t="shared" si="8"/>
        <v>6.9999999999998952E-3</v>
      </c>
      <c r="O186" s="127">
        <f t="shared" si="8"/>
        <v>4.7094890141541335E-5</v>
      </c>
      <c r="P186" s="127">
        <f t="shared" si="8"/>
        <v>6.9999999999997842E-3</v>
      </c>
      <c r="Q186" s="127">
        <f t="shared" si="8"/>
        <v>4.7094890141541335E-5</v>
      </c>
      <c r="R186" s="127">
        <f t="shared" si="8"/>
        <v>5.9999999999998943E-3</v>
      </c>
      <c r="S186" s="127">
        <f t="shared" si="8"/>
        <v>4.7094890141541335E-5</v>
      </c>
      <c r="T186" s="127">
        <f t="shared" si="8"/>
        <v>6.0000000000000053E-3</v>
      </c>
      <c r="U186" s="127">
        <f t="shared" si="8"/>
        <v>4.7094890141541335E-5</v>
      </c>
      <c r="V186" s="128">
        <f t="shared" si="8"/>
        <v>7.9999999999997851E-3</v>
      </c>
      <c r="W186" s="127">
        <f t="shared" si="8"/>
        <v>0</v>
      </c>
      <c r="X186" s="127">
        <f t="shared" si="8"/>
        <v>0</v>
      </c>
      <c r="Y186" s="127">
        <f t="shared" ref="Y186:AF186" si="9">1-SUM(Y176:Y185)</f>
        <v>1</v>
      </c>
      <c r="Z186" s="127">
        <f t="shared" si="9"/>
        <v>1</v>
      </c>
      <c r="AA186" s="127">
        <f t="shared" si="9"/>
        <v>1</v>
      </c>
      <c r="AB186" s="127">
        <f t="shared" si="9"/>
        <v>1</v>
      </c>
      <c r="AC186" s="127">
        <f t="shared" si="9"/>
        <v>1</v>
      </c>
      <c r="AD186" s="127">
        <f t="shared" si="9"/>
        <v>1</v>
      </c>
      <c r="AE186" s="127">
        <f t="shared" si="9"/>
        <v>1</v>
      </c>
      <c r="AF186" s="128">
        <f t="shared" si="9"/>
        <v>1</v>
      </c>
    </row>
    <row r="187" spans="2:32">
      <c r="B187" s="482" t="s">
        <v>185</v>
      </c>
      <c r="C187" s="520"/>
      <c r="D187" s="520"/>
      <c r="E187" s="520"/>
      <c r="F187" s="520"/>
      <c r="G187" s="520"/>
      <c r="H187" s="520"/>
      <c r="I187" s="520"/>
      <c r="J187" s="520"/>
      <c r="K187" s="520"/>
      <c r="L187" s="575"/>
      <c r="M187" s="179"/>
      <c r="N187" s="179"/>
      <c r="O187" s="179"/>
      <c r="P187" s="179"/>
      <c r="Q187" s="179"/>
      <c r="R187" s="179"/>
      <c r="S187" s="179"/>
      <c r="T187" s="179"/>
      <c r="U187" s="179"/>
      <c r="V187" s="180"/>
      <c r="W187" s="179"/>
      <c r="X187" s="179"/>
      <c r="Y187" s="179"/>
      <c r="Z187" s="179"/>
      <c r="AA187" s="179"/>
      <c r="AB187" s="179"/>
      <c r="AC187" s="179"/>
      <c r="AD187" s="179"/>
      <c r="AE187" s="179"/>
      <c r="AF187" s="180"/>
    </row>
    <row r="188" spans="2:32">
      <c r="B188" s="59" t="s">
        <v>251</v>
      </c>
      <c r="C188" s="151"/>
      <c r="D188" s="151"/>
      <c r="E188" s="151">
        <f>IF(Vehi_Inputs!$B$11=2,Y188,O188)</f>
        <v>0.36099999999999999</v>
      </c>
      <c r="F188" s="151">
        <f>IF(Vehi_Inputs!$B$11=2,Z188,P188)</f>
        <v>0.36099999999999999</v>
      </c>
      <c r="G188" s="151">
        <f>IF(Vehi_Inputs!$B$11=2,AA188,Q188)</f>
        <v>0.36099999999999999</v>
      </c>
      <c r="H188" s="151">
        <f>IF(Vehi_Inputs!$B$11=2,AB188,R188)</f>
        <v>0.36099999999999999</v>
      </c>
      <c r="I188" s="151">
        <f>IF(Vehi_Inputs!$B$11=2,AC188,S188)</f>
        <v>0.36099999999999999</v>
      </c>
      <c r="J188" s="151">
        <f>IF(Vehi_Inputs!$B$11=2,AD188,T188)</f>
        <v>0.36099999999999999</v>
      </c>
      <c r="K188" s="151">
        <f>IF(Vehi_Inputs!$B$11=2,AE188,U188)</f>
        <v>0.36099999999999999</v>
      </c>
      <c r="L188" s="152">
        <f>IF(Vehi_Inputs!$B$11=2,AF188,V188)</f>
        <v>0.36099999999999999</v>
      </c>
      <c r="M188" s="127"/>
      <c r="N188" s="127"/>
      <c r="O188" s="225">
        <v>0.36099999999999999</v>
      </c>
      <c r="P188" s="225">
        <v>0.36099999999999999</v>
      </c>
      <c r="Q188" s="225">
        <v>0.36099999999999999</v>
      </c>
      <c r="R188" s="225">
        <v>0.36099999999999999</v>
      </c>
      <c r="S188" s="225">
        <v>0.36099999999999999</v>
      </c>
      <c r="T188" s="225">
        <v>0.36099999999999999</v>
      </c>
      <c r="U188" s="225">
        <v>0.36099999999999999</v>
      </c>
      <c r="V188" s="226">
        <v>0.36099999999999999</v>
      </c>
      <c r="W188" s="127"/>
      <c r="X188" s="127"/>
      <c r="Y188" s="225">
        <v>0</v>
      </c>
      <c r="Z188" s="225">
        <v>0</v>
      </c>
      <c r="AA188" s="225">
        <v>0</v>
      </c>
      <c r="AB188" s="225">
        <v>0</v>
      </c>
      <c r="AC188" s="225">
        <v>0</v>
      </c>
      <c r="AD188" s="225">
        <v>0</v>
      </c>
      <c r="AE188" s="225">
        <v>0</v>
      </c>
      <c r="AF188" s="226">
        <v>0</v>
      </c>
    </row>
    <row r="189" spans="2:32">
      <c r="B189" s="59" t="s">
        <v>264</v>
      </c>
      <c r="C189" s="151"/>
      <c r="D189" s="151"/>
      <c r="E189" s="151">
        <f>IF(Vehi_Inputs!$B$11=2,Y189,O189)</f>
        <v>0</v>
      </c>
      <c r="F189" s="151">
        <f>IF(Vehi_Inputs!$B$11=2,Z189,P189)</f>
        <v>0</v>
      </c>
      <c r="G189" s="151">
        <f>IF(Vehi_Inputs!$B$11=2,AA189,Q189)</f>
        <v>0</v>
      </c>
      <c r="H189" s="151">
        <f>IF(Vehi_Inputs!$B$11=2,AB189,R189)</f>
        <v>0</v>
      </c>
      <c r="I189" s="151">
        <f>IF(Vehi_Inputs!$B$11=2,AC189,S189)</f>
        <v>0</v>
      </c>
      <c r="J189" s="151">
        <f>IF(Vehi_Inputs!$B$11=2,AD189,T189)</f>
        <v>0</v>
      </c>
      <c r="K189" s="151">
        <f>IF(Vehi_Inputs!$B$11=2,AE189,U189)</f>
        <v>0</v>
      </c>
      <c r="L189" s="152">
        <f>IF(Vehi_Inputs!$B$11=2,AF189,V189)</f>
        <v>0</v>
      </c>
      <c r="M189" s="127"/>
      <c r="N189" s="127"/>
      <c r="O189" s="225">
        <v>0</v>
      </c>
      <c r="P189" s="225">
        <v>0</v>
      </c>
      <c r="Q189" s="225">
        <v>0</v>
      </c>
      <c r="R189" s="225">
        <v>0</v>
      </c>
      <c r="S189" s="225">
        <v>0</v>
      </c>
      <c r="T189" s="225">
        <v>0</v>
      </c>
      <c r="U189" s="225">
        <v>0</v>
      </c>
      <c r="V189" s="226">
        <v>0</v>
      </c>
      <c r="W189" s="127"/>
      <c r="X189" s="127"/>
      <c r="Y189" s="225">
        <v>0</v>
      </c>
      <c r="Z189" s="225">
        <v>0</v>
      </c>
      <c r="AA189" s="225">
        <v>0</v>
      </c>
      <c r="AB189" s="225">
        <v>0</v>
      </c>
      <c r="AC189" s="225">
        <v>0</v>
      </c>
      <c r="AD189" s="225">
        <v>0</v>
      </c>
      <c r="AE189" s="225">
        <v>0</v>
      </c>
      <c r="AF189" s="226">
        <v>0</v>
      </c>
    </row>
    <row r="190" spans="2:32">
      <c r="B190" s="59" t="s">
        <v>253</v>
      </c>
      <c r="C190" s="151"/>
      <c r="D190" s="151"/>
      <c r="E190" s="151">
        <f>IF(Vehi_Inputs!$B$11=2,Y190,O190)</f>
        <v>0.36099999999999999</v>
      </c>
      <c r="F190" s="151">
        <f>IF(Vehi_Inputs!$B$11=2,Z190,P190)</f>
        <v>0.36099999999999999</v>
      </c>
      <c r="G190" s="151">
        <f>IF(Vehi_Inputs!$B$11=2,AA190,Q190)</f>
        <v>0.36099999999999999</v>
      </c>
      <c r="H190" s="151">
        <f>IF(Vehi_Inputs!$B$11=2,AB190,R190)</f>
        <v>0.36099999999999999</v>
      </c>
      <c r="I190" s="151">
        <f>IF(Vehi_Inputs!$B$11=2,AC190,S190)</f>
        <v>0.36099999999999999</v>
      </c>
      <c r="J190" s="151">
        <f>IF(Vehi_Inputs!$B$11=2,AD190,T190)</f>
        <v>0.36099999999999999</v>
      </c>
      <c r="K190" s="151">
        <f>IF(Vehi_Inputs!$B$11=2,AE190,U190)</f>
        <v>0.36099999999999999</v>
      </c>
      <c r="L190" s="152">
        <f>IF(Vehi_Inputs!$B$11=2,AF190,V190)</f>
        <v>0.36099999999999999</v>
      </c>
      <c r="M190" s="127"/>
      <c r="N190" s="127"/>
      <c r="O190" s="225">
        <v>0.36099999999999999</v>
      </c>
      <c r="P190" s="225">
        <v>0.36099999999999999</v>
      </c>
      <c r="Q190" s="225">
        <v>0.36099999999999999</v>
      </c>
      <c r="R190" s="225">
        <v>0.36099999999999999</v>
      </c>
      <c r="S190" s="225">
        <v>0.36099999999999999</v>
      </c>
      <c r="T190" s="225">
        <v>0.36099999999999999</v>
      </c>
      <c r="U190" s="225">
        <v>0.36099999999999999</v>
      </c>
      <c r="V190" s="226">
        <v>0.36099999999999999</v>
      </c>
      <c r="W190" s="127"/>
      <c r="X190" s="127"/>
      <c r="Y190" s="225">
        <v>0</v>
      </c>
      <c r="Z190" s="225">
        <v>0</v>
      </c>
      <c r="AA190" s="225">
        <v>0</v>
      </c>
      <c r="AB190" s="225">
        <v>0</v>
      </c>
      <c r="AC190" s="225">
        <v>0</v>
      </c>
      <c r="AD190" s="225">
        <v>0</v>
      </c>
      <c r="AE190" s="225">
        <v>0</v>
      </c>
      <c r="AF190" s="226">
        <v>0</v>
      </c>
    </row>
    <row r="191" spans="2:32">
      <c r="B191" s="59" t="s">
        <v>254</v>
      </c>
      <c r="C191" s="151"/>
      <c r="D191" s="151"/>
      <c r="E191" s="151">
        <f>IF(Vehi_Inputs!$B$11=2,Y191,O191)</f>
        <v>0.27800000000000002</v>
      </c>
      <c r="F191" s="151">
        <f>IF(Vehi_Inputs!$B$11=2,Z191,P191)</f>
        <v>0.27800000000000002</v>
      </c>
      <c r="G191" s="151">
        <f>IF(Vehi_Inputs!$B$11=2,AA191,Q191)</f>
        <v>0.27800000000000002</v>
      </c>
      <c r="H191" s="151">
        <f>IF(Vehi_Inputs!$B$11=2,AB191,R191)</f>
        <v>0.27800000000000002</v>
      </c>
      <c r="I191" s="151">
        <f>IF(Vehi_Inputs!$B$11=2,AC191,S191)</f>
        <v>0.27800000000000002</v>
      </c>
      <c r="J191" s="151">
        <f>IF(Vehi_Inputs!$B$11=2,AD191,T191)</f>
        <v>0.27800000000000002</v>
      </c>
      <c r="K191" s="151">
        <f>IF(Vehi_Inputs!$B$11=2,AE191,U191)</f>
        <v>0.27800000000000002</v>
      </c>
      <c r="L191" s="152">
        <f>IF(Vehi_Inputs!$B$11=2,AF191,V191)</f>
        <v>0.27800000000000002</v>
      </c>
      <c r="M191" s="127"/>
      <c r="N191" s="127"/>
      <c r="O191" s="225">
        <v>0.27800000000000002</v>
      </c>
      <c r="P191" s="225">
        <v>0.27800000000000002</v>
      </c>
      <c r="Q191" s="225">
        <v>0.27800000000000002</v>
      </c>
      <c r="R191" s="225">
        <v>0.27800000000000002</v>
      </c>
      <c r="S191" s="225">
        <v>0.27800000000000002</v>
      </c>
      <c r="T191" s="225">
        <v>0.27800000000000002</v>
      </c>
      <c r="U191" s="225">
        <v>0.27800000000000002</v>
      </c>
      <c r="V191" s="226">
        <v>0.27800000000000002</v>
      </c>
      <c r="W191" s="127"/>
      <c r="X191" s="127"/>
      <c r="Y191" s="225">
        <v>0</v>
      </c>
      <c r="Z191" s="225">
        <v>0</v>
      </c>
      <c r="AA191" s="225">
        <v>0</v>
      </c>
      <c r="AB191" s="225">
        <v>0</v>
      </c>
      <c r="AC191" s="225">
        <v>0</v>
      </c>
      <c r="AD191" s="225">
        <v>0</v>
      </c>
      <c r="AE191" s="225">
        <v>0</v>
      </c>
      <c r="AF191" s="226">
        <v>0</v>
      </c>
    </row>
    <row r="192" spans="2:32">
      <c r="B192" s="118" t="s">
        <v>262</v>
      </c>
      <c r="C192" s="153"/>
      <c r="D192" s="153"/>
      <c r="E192" s="153">
        <f t="shared" ref="E192:L192" si="10">1-SUM(E188:E191)</f>
        <v>0</v>
      </c>
      <c r="F192" s="153">
        <f t="shared" si="10"/>
        <v>0</v>
      </c>
      <c r="G192" s="153">
        <f t="shared" si="10"/>
        <v>0</v>
      </c>
      <c r="H192" s="153">
        <f t="shared" si="10"/>
        <v>0</v>
      </c>
      <c r="I192" s="153">
        <f t="shared" si="10"/>
        <v>0</v>
      </c>
      <c r="J192" s="153">
        <f t="shared" si="10"/>
        <v>0</v>
      </c>
      <c r="K192" s="153">
        <f t="shared" si="10"/>
        <v>0</v>
      </c>
      <c r="L192" s="154">
        <f t="shared" si="10"/>
        <v>0</v>
      </c>
      <c r="M192" s="129"/>
      <c r="N192" s="129"/>
      <c r="O192" s="129">
        <f t="shared" ref="O192:V192" si="11">1-SUM(O188:O191)</f>
        <v>0</v>
      </c>
      <c r="P192" s="129">
        <f t="shared" si="11"/>
        <v>0</v>
      </c>
      <c r="Q192" s="129">
        <f t="shared" si="11"/>
        <v>0</v>
      </c>
      <c r="R192" s="129">
        <f t="shared" si="11"/>
        <v>0</v>
      </c>
      <c r="S192" s="129">
        <f t="shared" si="11"/>
        <v>0</v>
      </c>
      <c r="T192" s="129">
        <f t="shared" si="11"/>
        <v>0</v>
      </c>
      <c r="U192" s="129">
        <f t="shared" si="11"/>
        <v>0</v>
      </c>
      <c r="V192" s="130">
        <f t="shared" si="11"/>
        <v>0</v>
      </c>
      <c r="W192" s="129"/>
      <c r="X192" s="129"/>
      <c r="Y192" s="129">
        <f t="shared" ref="Y192:AF192" si="12">1-SUM(Y188:Y191)</f>
        <v>1</v>
      </c>
      <c r="Z192" s="129">
        <f t="shared" si="12"/>
        <v>1</v>
      </c>
      <c r="AA192" s="129">
        <f t="shared" si="12"/>
        <v>1</v>
      </c>
      <c r="AB192" s="129">
        <f t="shared" si="12"/>
        <v>1</v>
      </c>
      <c r="AC192" s="129">
        <f t="shared" si="12"/>
        <v>1</v>
      </c>
      <c r="AD192" s="129">
        <f t="shared" si="12"/>
        <v>1</v>
      </c>
      <c r="AE192" s="129">
        <f t="shared" si="12"/>
        <v>1</v>
      </c>
      <c r="AF192" s="130">
        <f t="shared" si="12"/>
        <v>1</v>
      </c>
    </row>
    <row r="193" spans="2:32">
      <c r="B193" s="487" t="s">
        <v>186</v>
      </c>
      <c r="C193" s="151"/>
      <c r="D193" s="151"/>
      <c r="E193" s="151"/>
      <c r="F193" s="151"/>
      <c r="G193" s="151"/>
      <c r="H193" s="151"/>
      <c r="I193" s="151"/>
      <c r="J193" s="151"/>
      <c r="K193" s="151"/>
      <c r="L193" s="152"/>
      <c r="M193" s="127"/>
      <c r="N193" s="127"/>
      <c r="O193" s="127"/>
      <c r="P193" s="127"/>
      <c r="Q193" s="127"/>
      <c r="R193" s="127"/>
      <c r="S193" s="127"/>
      <c r="T193" s="127"/>
      <c r="U193" s="127"/>
      <c r="V193" s="128"/>
      <c r="W193" s="127"/>
      <c r="X193" s="127"/>
      <c r="Y193" s="127"/>
      <c r="Z193" s="127"/>
      <c r="AA193" s="127"/>
      <c r="AB193" s="127"/>
      <c r="AC193" s="127"/>
      <c r="AD193" s="127"/>
      <c r="AE193" s="127"/>
      <c r="AF193" s="128"/>
    </row>
    <row r="194" spans="2:32">
      <c r="B194" s="59" t="s">
        <v>251</v>
      </c>
      <c r="C194" s="151"/>
      <c r="D194" s="151"/>
      <c r="E194" s="151">
        <f>IF(Vehi_Inputs!$B$11=2,Y194,O194)</f>
        <v>0.36099999999999999</v>
      </c>
      <c r="F194" s="151">
        <f>IF(Vehi_Inputs!$B$11=2,Z194,P194)</f>
        <v>0.36099999999999999</v>
      </c>
      <c r="G194" s="151">
        <f>IF(Vehi_Inputs!$B$11=2,AA194,Q194)</f>
        <v>0.36099999999999999</v>
      </c>
      <c r="H194" s="151">
        <f>IF(Vehi_Inputs!$B$11=2,AB194,R194)</f>
        <v>0.36099999999999999</v>
      </c>
      <c r="I194" s="151"/>
      <c r="J194" s="151"/>
      <c r="K194" s="151"/>
      <c r="L194" s="152"/>
      <c r="M194" s="127"/>
      <c r="N194" s="127"/>
      <c r="O194" s="225">
        <v>0.36099999999999999</v>
      </c>
      <c r="P194" s="225">
        <v>0.36099999999999999</v>
      </c>
      <c r="Q194" s="225">
        <v>0.36099999999999999</v>
      </c>
      <c r="R194" s="225">
        <v>0.36099999999999999</v>
      </c>
      <c r="S194" s="127"/>
      <c r="T194" s="127"/>
      <c r="U194" s="127"/>
      <c r="V194" s="128"/>
      <c r="W194" s="127"/>
      <c r="X194" s="127"/>
      <c r="Y194" s="225">
        <v>0</v>
      </c>
      <c r="Z194" s="225">
        <v>0</v>
      </c>
      <c r="AA194" s="225">
        <v>0</v>
      </c>
      <c r="AB194" s="225">
        <v>0</v>
      </c>
      <c r="AC194" s="127"/>
      <c r="AD194" s="127"/>
      <c r="AE194" s="127"/>
      <c r="AF194" s="128"/>
    </row>
    <row r="195" spans="2:32">
      <c r="B195" s="59" t="s">
        <v>253</v>
      </c>
      <c r="C195" s="151"/>
      <c r="D195" s="151"/>
      <c r="E195" s="151">
        <f>IF(Vehi_Inputs!$B$11=2,Y195,O195)</f>
        <v>0.36099999999999999</v>
      </c>
      <c r="F195" s="151">
        <f>IF(Vehi_Inputs!$B$11=2,Z195,P195)</f>
        <v>0.36099999999999999</v>
      </c>
      <c r="G195" s="151">
        <f>IF(Vehi_Inputs!$B$11=2,AA195,Q195)</f>
        <v>0.36099999999999999</v>
      </c>
      <c r="H195" s="151">
        <f>IF(Vehi_Inputs!$B$11=2,AB195,R195)</f>
        <v>0.36099999999999999</v>
      </c>
      <c r="I195" s="151"/>
      <c r="J195" s="151"/>
      <c r="K195" s="151"/>
      <c r="L195" s="152"/>
      <c r="M195" s="127"/>
      <c r="N195" s="127"/>
      <c r="O195" s="225">
        <v>0.36099999999999999</v>
      </c>
      <c r="P195" s="225">
        <v>0.36099999999999999</v>
      </c>
      <c r="Q195" s="225">
        <v>0.36099999999999999</v>
      </c>
      <c r="R195" s="225">
        <v>0.36099999999999999</v>
      </c>
      <c r="S195" s="127"/>
      <c r="T195" s="127"/>
      <c r="U195" s="127"/>
      <c r="V195" s="128"/>
      <c r="W195" s="127"/>
      <c r="X195" s="127"/>
      <c r="Y195" s="225">
        <v>0</v>
      </c>
      <c r="Z195" s="225">
        <v>0</v>
      </c>
      <c r="AA195" s="225">
        <v>0</v>
      </c>
      <c r="AB195" s="225">
        <v>0</v>
      </c>
      <c r="AC195" s="127"/>
      <c r="AD195" s="127"/>
      <c r="AE195" s="127"/>
      <c r="AF195" s="128"/>
    </row>
    <row r="196" spans="2:32">
      <c r="B196" s="59" t="s">
        <v>254</v>
      </c>
      <c r="C196" s="151"/>
      <c r="D196" s="151"/>
      <c r="E196" s="151">
        <f>IF(Vehi_Inputs!$B$11=2,Y196,O196)</f>
        <v>0.27800000000000002</v>
      </c>
      <c r="F196" s="151">
        <f>IF(Vehi_Inputs!$B$11=2,Z196,P196)</f>
        <v>0.27800000000000002</v>
      </c>
      <c r="G196" s="151">
        <f>IF(Vehi_Inputs!$B$11=2,AA196,Q196)</f>
        <v>0.27800000000000002</v>
      </c>
      <c r="H196" s="151">
        <f>IF(Vehi_Inputs!$B$11=2,AB196,R196)</f>
        <v>0.27800000000000002</v>
      </c>
      <c r="I196" s="151"/>
      <c r="J196" s="151"/>
      <c r="K196" s="151"/>
      <c r="L196" s="152"/>
      <c r="M196" s="127"/>
      <c r="N196" s="127"/>
      <c r="O196" s="225">
        <v>0.27800000000000002</v>
      </c>
      <c r="P196" s="225">
        <v>0.27800000000000002</v>
      </c>
      <c r="Q196" s="225">
        <v>0.27800000000000002</v>
      </c>
      <c r="R196" s="225">
        <v>0.27800000000000002</v>
      </c>
      <c r="S196" s="127"/>
      <c r="T196" s="127"/>
      <c r="U196" s="127"/>
      <c r="V196" s="128"/>
      <c r="W196" s="127"/>
      <c r="X196" s="127"/>
      <c r="Y196" s="225">
        <v>0</v>
      </c>
      <c r="Z196" s="225">
        <v>0</v>
      </c>
      <c r="AA196" s="225">
        <v>0</v>
      </c>
      <c r="AB196" s="225">
        <v>0</v>
      </c>
      <c r="AC196" s="127"/>
      <c r="AD196" s="127"/>
      <c r="AE196" s="127"/>
      <c r="AF196" s="128"/>
    </row>
    <row r="197" spans="2:32">
      <c r="B197" s="59" t="s">
        <v>262</v>
      </c>
      <c r="C197" s="151"/>
      <c r="D197" s="151"/>
      <c r="E197" s="151">
        <f>1-SUM(E194:E196)</f>
        <v>0</v>
      </c>
      <c r="F197" s="151">
        <f>1-SUM(F194:F196)</f>
        <v>0</v>
      </c>
      <c r="G197" s="151">
        <f>1-SUM(G194:G196)</f>
        <v>0</v>
      </c>
      <c r="H197" s="151">
        <f>1-SUM(H194:H196)</f>
        <v>0</v>
      </c>
      <c r="I197" s="151"/>
      <c r="J197" s="151"/>
      <c r="K197" s="151"/>
      <c r="L197" s="152"/>
      <c r="M197" s="127"/>
      <c r="N197" s="127"/>
      <c r="O197" s="127">
        <f>1-SUM(O194:O196)</f>
        <v>0</v>
      </c>
      <c r="P197" s="127">
        <f>1-SUM(P194:P196)</f>
        <v>0</v>
      </c>
      <c r="Q197" s="127">
        <f>1-SUM(Q194:Q196)</f>
        <v>0</v>
      </c>
      <c r="R197" s="127">
        <f>1-SUM(R194:R196)</f>
        <v>0</v>
      </c>
      <c r="S197" s="127"/>
      <c r="T197" s="127"/>
      <c r="U197" s="127"/>
      <c r="V197" s="128"/>
      <c r="W197" s="127"/>
      <c r="X197" s="127"/>
      <c r="Y197" s="127">
        <f>1-SUM(Y194:Y196)</f>
        <v>1</v>
      </c>
      <c r="Z197" s="127">
        <f>1-SUM(Z194:Z196)</f>
        <v>1</v>
      </c>
      <c r="AA197" s="127">
        <f>1-SUM(AA194:AA196)</f>
        <v>1</v>
      </c>
      <c r="AB197" s="127">
        <f>1-SUM(AB194:AB196)</f>
        <v>1</v>
      </c>
      <c r="AC197" s="127"/>
      <c r="AD197" s="127"/>
      <c r="AE197" s="127"/>
      <c r="AF197" s="128"/>
    </row>
    <row r="198" spans="2:32">
      <c r="B198" s="482" t="s">
        <v>187</v>
      </c>
      <c r="C198" s="520"/>
      <c r="D198" s="520"/>
      <c r="E198" s="520"/>
      <c r="F198" s="520"/>
      <c r="G198" s="520"/>
      <c r="H198" s="520"/>
      <c r="I198" s="520"/>
      <c r="J198" s="520"/>
      <c r="K198" s="520"/>
      <c r="L198" s="575"/>
      <c r="M198" s="179"/>
      <c r="N198" s="179"/>
      <c r="O198" s="179"/>
      <c r="P198" s="179"/>
      <c r="Q198" s="179"/>
      <c r="R198" s="179"/>
      <c r="S198" s="179"/>
      <c r="T198" s="179"/>
      <c r="U198" s="179"/>
      <c r="V198" s="180"/>
      <c r="W198" s="179"/>
      <c r="X198" s="179"/>
      <c r="Y198" s="179"/>
      <c r="Z198" s="179"/>
      <c r="AA198" s="179"/>
      <c r="AB198" s="179"/>
      <c r="AC198" s="179"/>
      <c r="AD198" s="179"/>
      <c r="AE198" s="179"/>
      <c r="AF198" s="180"/>
    </row>
    <row r="199" spans="2:32">
      <c r="B199" s="59" t="s">
        <v>251</v>
      </c>
      <c r="C199" s="151"/>
      <c r="D199" s="151"/>
      <c r="E199" s="151">
        <f>IF(Vehi_Inputs!$B$11=2,Y199,O199)</f>
        <v>0.05</v>
      </c>
      <c r="F199" s="151">
        <f>IF(Vehi_Inputs!$B$11=2,Z199,P199)</f>
        <v>0.05</v>
      </c>
      <c r="G199" s="151">
        <f>IF(Vehi_Inputs!$B$11=2,AA199,Q199)</f>
        <v>0.05</v>
      </c>
      <c r="H199" s="151">
        <f>IF(Vehi_Inputs!$B$11=2,AB199,R199)</f>
        <v>0.05</v>
      </c>
      <c r="I199" s="151">
        <f>IF(Vehi_Inputs!$B$11=2,AC199,S199)</f>
        <v>0.05</v>
      </c>
      <c r="J199" s="151">
        <f>IF(Vehi_Inputs!$B$11=2,AD199,T199)</f>
        <v>0.05</v>
      </c>
      <c r="K199" s="151">
        <f>IF(Vehi_Inputs!$B$11=2,AE199,U199)</f>
        <v>0.05</v>
      </c>
      <c r="L199" s="152">
        <f>IF(Vehi_Inputs!$B$11=2,AF199,V199)</f>
        <v>0.05</v>
      </c>
      <c r="M199" s="127"/>
      <c r="N199" s="127"/>
      <c r="O199" s="225">
        <v>0.05</v>
      </c>
      <c r="P199" s="225">
        <v>0.05</v>
      </c>
      <c r="Q199" s="225">
        <v>0.05</v>
      </c>
      <c r="R199" s="225">
        <v>0.05</v>
      </c>
      <c r="S199" s="225">
        <v>0.05</v>
      </c>
      <c r="T199" s="225">
        <v>0.05</v>
      </c>
      <c r="U199" s="225">
        <v>0.05</v>
      </c>
      <c r="V199" s="226">
        <v>0.05</v>
      </c>
      <c r="W199" s="127"/>
      <c r="X199" s="127"/>
      <c r="Y199" s="225">
        <v>0</v>
      </c>
      <c r="Z199" s="225">
        <v>0</v>
      </c>
      <c r="AA199" s="225">
        <v>0</v>
      </c>
      <c r="AB199" s="225">
        <v>0</v>
      </c>
      <c r="AC199" s="225">
        <v>0</v>
      </c>
      <c r="AD199" s="225">
        <v>0</v>
      </c>
      <c r="AE199" s="225">
        <v>0</v>
      </c>
      <c r="AF199" s="226">
        <v>0</v>
      </c>
    </row>
    <row r="200" spans="2:32">
      <c r="B200" s="59" t="s">
        <v>253</v>
      </c>
      <c r="C200" s="151"/>
      <c r="D200" s="151"/>
      <c r="E200" s="151">
        <f>IF(Vehi_Inputs!$B$11=2,Y200,O200)</f>
        <v>0.46899999999999997</v>
      </c>
      <c r="F200" s="151">
        <f>IF(Vehi_Inputs!$B$11=2,Z200,P200)</f>
        <v>0.46899999999999997</v>
      </c>
      <c r="G200" s="151">
        <f>IF(Vehi_Inputs!$B$11=2,AA200,Q200)</f>
        <v>0.46899999999999997</v>
      </c>
      <c r="H200" s="151">
        <f>IF(Vehi_Inputs!$B$11=2,AB200,R200)</f>
        <v>0.46899999999999997</v>
      </c>
      <c r="I200" s="151">
        <f>IF(Vehi_Inputs!$B$11=2,AC200,S200)</f>
        <v>0.46899999999999997</v>
      </c>
      <c r="J200" s="151">
        <f>IF(Vehi_Inputs!$B$11=2,AD200,T200)</f>
        <v>0.46899999999999997</v>
      </c>
      <c r="K200" s="151">
        <f>IF(Vehi_Inputs!$B$11=2,AE200,U200)</f>
        <v>0.46899999999999997</v>
      </c>
      <c r="L200" s="152">
        <f>IF(Vehi_Inputs!$B$11=2,AF200,V200)</f>
        <v>0.46899999999999997</v>
      </c>
      <c r="M200" s="127"/>
      <c r="N200" s="127"/>
      <c r="O200" s="225">
        <v>0.46899999999999997</v>
      </c>
      <c r="P200" s="225">
        <v>0.46899999999999997</v>
      </c>
      <c r="Q200" s="225">
        <v>0.46899999999999997</v>
      </c>
      <c r="R200" s="225">
        <v>0.46899999999999997</v>
      </c>
      <c r="S200" s="225">
        <v>0.46899999999999997</v>
      </c>
      <c r="T200" s="225">
        <v>0.46899999999999997</v>
      </c>
      <c r="U200" s="225">
        <v>0.46899999999999997</v>
      </c>
      <c r="V200" s="226">
        <v>0.46899999999999997</v>
      </c>
      <c r="W200" s="127"/>
      <c r="X200" s="127"/>
      <c r="Y200" s="225">
        <v>0</v>
      </c>
      <c r="Z200" s="225">
        <v>0</v>
      </c>
      <c r="AA200" s="225">
        <v>0</v>
      </c>
      <c r="AB200" s="225">
        <v>0</v>
      </c>
      <c r="AC200" s="225">
        <v>0</v>
      </c>
      <c r="AD200" s="225">
        <v>0</v>
      </c>
      <c r="AE200" s="225">
        <v>0</v>
      </c>
      <c r="AF200" s="226">
        <v>0</v>
      </c>
    </row>
    <row r="201" spans="2:32">
      <c r="B201" s="59" t="s">
        <v>254</v>
      </c>
      <c r="C201" s="151"/>
      <c r="D201" s="151"/>
      <c r="E201" s="151">
        <f>IF(Vehi_Inputs!$B$11=2,Y201,O201)</f>
        <v>8.2000000000000003E-2</v>
      </c>
      <c r="F201" s="151">
        <f>IF(Vehi_Inputs!$B$11=2,Z201,P201)</f>
        <v>8.2000000000000003E-2</v>
      </c>
      <c r="G201" s="151">
        <f>IF(Vehi_Inputs!$B$11=2,AA201,Q201)</f>
        <v>8.2000000000000003E-2</v>
      </c>
      <c r="H201" s="151">
        <f>IF(Vehi_Inputs!$B$11=2,AB201,R201)</f>
        <v>8.2000000000000003E-2</v>
      </c>
      <c r="I201" s="151">
        <f>IF(Vehi_Inputs!$B$11=2,AC201,S201)</f>
        <v>8.2000000000000003E-2</v>
      </c>
      <c r="J201" s="151">
        <f>IF(Vehi_Inputs!$B$11=2,AD201,T201)</f>
        <v>8.2000000000000003E-2</v>
      </c>
      <c r="K201" s="151">
        <f>IF(Vehi_Inputs!$B$11=2,AE201,U201)</f>
        <v>8.2000000000000003E-2</v>
      </c>
      <c r="L201" s="152">
        <f>IF(Vehi_Inputs!$B$11=2,AF201,V201)</f>
        <v>8.2000000000000003E-2</v>
      </c>
      <c r="M201" s="127"/>
      <c r="N201" s="127"/>
      <c r="O201" s="225">
        <v>8.2000000000000003E-2</v>
      </c>
      <c r="P201" s="225">
        <v>8.2000000000000003E-2</v>
      </c>
      <c r="Q201" s="225">
        <v>8.2000000000000003E-2</v>
      </c>
      <c r="R201" s="225">
        <v>8.2000000000000003E-2</v>
      </c>
      <c r="S201" s="225">
        <v>8.2000000000000003E-2</v>
      </c>
      <c r="T201" s="225">
        <v>8.2000000000000003E-2</v>
      </c>
      <c r="U201" s="225">
        <v>8.2000000000000003E-2</v>
      </c>
      <c r="V201" s="226">
        <v>8.2000000000000003E-2</v>
      </c>
      <c r="W201" s="127"/>
      <c r="X201" s="127"/>
      <c r="Y201" s="225">
        <v>0</v>
      </c>
      <c r="Z201" s="225">
        <v>0</v>
      </c>
      <c r="AA201" s="225">
        <v>0</v>
      </c>
      <c r="AB201" s="225">
        <v>0</v>
      </c>
      <c r="AC201" s="225">
        <v>0</v>
      </c>
      <c r="AD201" s="225">
        <v>0</v>
      </c>
      <c r="AE201" s="225">
        <v>0</v>
      </c>
      <c r="AF201" s="226">
        <v>0</v>
      </c>
    </row>
    <row r="202" spans="2:32">
      <c r="B202" s="59" t="s">
        <v>261</v>
      </c>
      <c r="C202" s="151"/>
      <c r="D202" s="151"/>
      <c r="E202" s="151">
        <f>IF(Vehi_Inputs!$B$11=2,Y202,O202)</f>
        <v>3.6999999999999998E-2</v>
      </c>
      <c r="F202" s="151">
        <f>IF(Vehi_Inputs!$B$11=2,Z202,P202)</f>
        <v>3.6999999999999998E-2</v>
      </c>
      <c r="G202" s="151">
        <f>IF(Vehi_Inputs!$B$11=2,AA202,Q202)</f>
        <v>3.6999999999999998E-2</v>
      </c>
      <c r="H202" s="151">
        <f>IF(Vehi_Inputs!$B$11=2,AB202,R202)</f>
        <v>3.6999999999999998E-2</v>
      </c>
      <c r="I202" s="151">
        <f>IF(Vehi_Inputs!$B$11=2,AC202,S202)</f>
        <v>3.6999999999999998E-2</v>
      </c>
      <c r="J202" s="151">
        <f>IF(Vehi_Inputs!$B$11=2,AD202,T202)</f>
        <v>3.6999999999999998E-2</v>
      </c>
      <c r="K202" s="151">
        <f>IF(Vehi_Inputs!$B$11=2,AE202,U202)</f>
        <v>3.6999999999999998E-2</v>
      </c>
      <c r="L202" s="152">
        <f>IF(Vehi_Inputs!$B$11=2,AF202,V202)</f>
        <v>3.6999999999999998E-2</v>
      </c>
      <c r="M202" s="127"/>
      <c r="N202" s="127"/>
      <c r="O202" s="225">
        <v>3.6999999999999998E-2</v>
      </c>
      <c r="P202" s="225">
        <v>3.6999999999999998E-2</v>
      </c>
      <c r="Q202" s="225">
        <v>3.6999999999999998E-2</v>
      </c>
      <c r="R202" s="225">
        <v>3.6999999999999998E-2</v>
      </c>
      <c r="S202" s="225">
        <v>3.6999999999999998E-2</v>
      </c>
      <c r="T202" s="225">
        <v>3.6999999999999998E-2</v>
      </c>
      <c r="U202" s="225">
        <v>3.6999999999999998E-2</v>
      </c>
      <c r="V202" s="226">
        <v>3.6999999999999998E-2</v>
      </c>
      <c r="W202" s="127"/>
      <c r="X202" s="127"/>
      <c r="Y202" s="225">
        <v>0</v>
      </c>
      <c r="Z202" s="225">
        <v>0</v>
      </c>
      <c r="AA202" s="225">
        <v>0</v>
      </c>
      <c r="AB202" s="225">
        <v>0</v>
      </c>
      <c r="AC202" s="225">
        <v>0</v>
      </c>
      <c r="AD202" s="225">
        <v>0</v>
      </c>
      <c r="AE202" s="225">
        <v>0</v>
      </c>
      <c r="AF202" s="226">
        <v>0</v>
      </c>
    </row>
    <row r="203" spans="2:32">
      <c r="B203" s="59" t="s">
        <v>260</v>
      </c>
      <c r="C203" s="151"/>
      <c r="D203" s="151"/>
      <c r="E203" s="151">
        <f>IF(Vehi_Inputs!$B$11=2,Y203,O203)</f>
        <v>0.23799999999999999</v>
      </c>
      <c r="F203" s="151">
        <f>IF(Vehi_Inputs!$B$11=2,Z203,P203)</f>
        <v>0.23799999999999999</v>
      </c>
      <c r="G203" s="151">
        <f>IF(Vehi_Inputs!$B$11=2,AA203,Q203)</f>
        <v>0.23799999999999999</v>
      </c>
      <c r="H203" s="151">
        <f>IF(Vehi_Inputs!$B$11=2,AB203,R203)</f>
        <v>0.23799999999999999</v>
      </c>
      <c r="I203" s="151">
        <f>IF(Vehi_Inputs!$B$11=2,AC203,S203)</f>
        <v>0.23799999999999999</v>
      </c>
      <c r="J203" s="151">
        <f>IF(Vehi_Inputs!$B$11=2,AD203,T203)</f>
        <v>0.23799999999999999</v>
      </c>
      <c r="K203" s="151">
        <f>IF(Vehi_Inputs!$B$11=2,AE203,U203)</f>
        <v>0.23799999999999999</v>
      </c>
      <c r="L203" s="152">
        <f>IF(Vehi_Inputs!$B$11=2,AF203,V203)</f>
        <v>0.23799999999999999</v>
      </c>
      <c r="M203" s="127"/>
      <c r="N203" s="127"/>
      <c r="O203" s="225">
        <v>0.23799999999999999</v>
      </c>
      <c r="P203" s="225">
        <v>0.23799999999999999</v>
      </c>
      <c r="Q203" s="225">
        <v>0.23799999999999999</v>
      </c>
      <c r="R203" s="225">
        <v>0.23799999999999999</v>
      </c>
      <c r="S203" s="225">
        <v>0.23799999999999999</v>
      </c>
      <c r="T203" s="225">
        <v>0.23799999999999999</v>
      </c>
      <c r="U203" s="225">
        <v>0.23799999999999999</v>
      </c>
      <c r="V203" s="226">
        <v>0.23799999999999999</v>
      </c>
      <c r="W203" s="127"/>
      <c r="X203" s="127"/>
      <c r="Y203" s="225">
        <v>0</v>
      </c>
      <c r="Z203" s="225">
        <v>0</v>
      </c>
      <c r="AA203" s="225">
        <v>0</v>
      </c>
      <c r="AB203" s="225">
        <v>0</v>
      </c>
      <c r="AC203" s="225">
        <v>0</v>
      </c>
      <c r="AD203" s="225">
        <v>0</v>
      </c>
      <c r="AE203" s="225">
        <v>0</v>
      </c>
      <c r="AF203" s="226">
        <v>0</v>
      </c>
    </row>
    <row r="204" spans="2:32">
      <c r="B204" s="118" t="s">
        <v>262</v>
      </c>
      <c r="C204" s="153"/>
      <c r="D204" s="153"/>
      <c r="E204" s="153">
        <f t="shared" ref="E204:L204" si="13">1-SUM(E199:E203)</f>
        <v>0.124</v>
      </c>
      <c r="F204" s="153">
        <f t="shared" si="13"/>
        <v>0.124</v>
      </c>
      <c r="G204" s="153">
        <f t="shared" si="13"/>
        <v>0.124</v>
      </c>
      <c r="H204" s="153">
        <f t="shared" si="13"/>
        <v>0.124</v>
      </c>
      <c r="I204" s="153">
        <f t="shared" si="13"/>
        <v>0.124</v>
      </c>
      <c r="J204" s="153">
        <f t="shared" si="13"/>
        <v>0.124</v>
      </c>
      <c r="K204" s="153">
        <f t="shared" si="13"/>
        <v>0.124</v>
      </c>
      <c r="L204" s="154">
        <f t="shared" si="13"/>
        <v>0.124</v>
      </c>
      <c r="M204" s="129"/>
      <c r="N204" s="129"/>
      <c r="O204" s="129">
        <f t="shared" ref="O204:V204" si="14">1-SUM(O199:O203)</f>
        <v>0.124</v>
      </c>
      <c r="P204" s="129">
        <f t="shared" si="14"/>
        <v>0.124</v>
      </c>
      <c r="Q204" s="129">
        <f t="shared" si="14"/>
        <v>0.124</v>
      </c>
      <c r="R204" s="129">
        <f t="shared" si="14"/>
        <v>0.124</v>
      </c>
      <c r="S204" s="129">
        <f t="shared" si="14"/>
        <v>0.124</v>
      </c>
      <c r="T204" s="129">
        <f t="shared" si="14"/>
        <v>0.124</v>
      </c>
      <c r="U204" s="129">
        <f t="shared" si="14"/>
        <v>0.124</v>
      </c>
      <c r="V204" s="130">
        <f t="shared" si="14"/>
        <v>0.124</v>
      </c>
      <c r="W204" s="129"/>
      <c r="X204" s="129"/>
      <c r="Y204" s="129">
        <f t="shared" ref="Y204:AF204" si="15">1-SUM(Y199:Y203)</f>
        <v>1</v>
      </c>
      <c r="Z204" s="129">
        <f t="shared" si="15"/>
        <v>1</v>
      </c>
      <c r="AA204" s="129">
        <f t="shared" si="15"/>
        <v>1</v>
      </c>
      <c r="AB204" s="129">
        <f t="shared" si="15"/>
        <v>1</v>
      </c>
      <c r="AC204" s="129">
        <f t="shared" si="15"/>
        <v>1</v>
      </c>
      <c r="AD204" s="129">
        <f t="shared" si="15"/>
        <v>1</v>
      </c>
      <c r="AE204" s="129">
        <f t="shared" si="15"/>
        <v>1</v>
      </c>
      <c r="AF204" s="130">
        <f t="shared" si="15"/>
        <v>1</v>
      </c>
    </row>
    <row r="205" spans="2:32">
      <c r="B205" s="932" t="s">
        <v>188</v>
      </c>
      <c r="C205" s="151"/>
      <c r="D205" s="151"/>
      <c r="E205" s="151"/>
      <c r="F205" s="151"/>
      <c r="G205" s="151"/>
      <c r="H205" s="151"/>
      <c r="I205" s="151"/>
      <c r="J205" s="151"/>
      <c r="K205" s="151"/>
      <c r="L205" s="152"/>
      <c r="M205" s="947"/>
      <c r="N205" s="520"/>
      <c r="O205" s="520"/>
      <c r="P205" s="520"/>
      <c r="Q205" s="520"/>
      <c r="R205" s="520"/>
      <c r="S205" s="520"/>
      <c r="T205" s="520"/>
      <c r="U205" s="520"/>
      <c r="V205" s="575"/>
      <c r="W205" s="127"/>
      <c r="X205" s="127"/>
      <c r="Y205" s="127"/>
      <c r="Z205" s="127"/>
      <c r="AA205" s="127"/>
      <c r="AB205" s="127"/>
      <c r="AC205" s="127"/>
      <c r="AD205" s="127"/>
      <c r="AE205" s="127"/>
      <c r="AF205" s="128"/>
    </row>
    <row r="206" spans="2:32">
      <c r="B206" s="490" t="s">
        <v>251</v>
      </c>
      <c r="C206" s="151"/>
      <c r="D206" s="151"/>
      <c r="E206" s="151"/>
      <c r="F206" s="151"/>
      <c r="G206" s="151"/>
      <c r="H206" s="151"/>
      <c r="I206" s="151"/>
      <c r="J206" s="151"/>
      <c r="K206" s="151">
        <f>IF(Vehi_Inputs!$B$11=2,AE206,U206)</f>
        <v>9.1528724440116851E-2</v>
      </c>
      <c r="L206" s="152">
        <f>IF(Vehi_Inputs!$B$11=2,AF206,V206)</f>
        <v>9.1528724440116851E-2</v>
      </c>
      <c r="M206" s="579"/>
      <c r="N206" s="151"/>
      <c r="O206" s="151"/>
      <c r="P206" s="151"/>
      <c r="Q206" s="151"/>
      <c r="R206" s="151"/>
      <c r="S206" s="151"/>
      <c r="T206" s="151"/>
      <c r="U206" s="927">
        <v>9.1528724440116851E-2</v>
      </c>
      <c r="V206" s="930">
        <v>9.1528724440116851E-2</v>
      </c>
      <c r="W206" s="127"/>
      <c r="X206" s="127"/>
      <c r="Y206" s="127"/>
      <c r="Z206" s="127"/>
      <c r="AA206" s="127"/>
      <c r="AB206" s="127"/>
      <c r="AC206" s="127"/>
      <c r="AD206" s="127"/>
      <c r="AE206" s="225">
        <v>0</v>
      </c>
      <c r="AF206" s="226">
        <v>0</v>
      </c>
    </row>
    <row r="207" spans="2:32">
      <c r="B207" s="490" t="s">
        <v>264</v>
      </c>
      <c r="C207" s="151"/>
      <c r="D207" s="151"/>
      <c r="E207" s="151"/>
      <c r="F207" s="151"/>
      <c r="G207" s="151"/>
      <c r="H207" s="151"/>
      <c r="I207" s="151"/>
      <c r="J207" s="151"/>
      <c r="K207" s="151">
        <f>IF(Vehi_Inputs!$B$11=2,AE207,U207)</f>
        <v>8.081791626095422E-2</v>
      </c>
      <c r="L207" s="152">
        <f>IF(Vehi_Inputs!$B$11=2,AF207,V207)</f>
        <v>8.081791626095422E-2</v>
      </c>
      <c r="M207" s="579"/>
      <c r="N207" s="151"/>
      <c r="O207" s="151"/>
      <c r="P207" s="151"/>
      <c r="Q207" s="151"/>
      <c r="R207" s="151"/>
      <c r="S207" s="151"/>
      <c r="T207" s="151"/>
      <c r="U207" s="927">
        <v>8.081791626095422E-2</v>
      </c>
      <c r="V207" s="930">
        <v>8.081791626095422E-2</v>
      </c>
      <c r="W207" s="127"/>
      <c r="X207" s="127"/>
      <c r="Y207" s="127"/>
      <c r="Z207" s="127"/>
      <c r="AA207" s="127"/>
      <c r="AB207" s="127"/>
      <c r="AC207" s="127"/>
      <c r="AD207" s="127"/>
      <c r="AE207" s="225"/>
      <c r="AF207" s="226"/>
    </row>
    <row r="208" spans="2:32">
      <c r="B208" s="490" t="s">
        <v>277</v>
      </c>
      <c r="C208" s="151"/>
      <c r="D208" s="151"/>
      <c r="E208" s="151"/>
      <c r="F208" s="151"/>
      <c r="G208" s="151"/>
      <c r="H208" s="151"/>
      <c r="I208" s="151"/>
      <c r="J208" s="151"/>
      <c r="K208" s="151">
        <f>IF(Vehi_Inputs!$B$11=2,AE208,U208)</f>
        <v>0.65628042843232726</v>
      </c>
      <c r="L208" s="152">
        <f>IF(Vehi_Inputs!$B$11=2,AF208,V208)</f>
        <v>0.65628042843232726</v>
      </c>
      <c r="M208" s="579"/>
      <c r="N208" s="151"/>
      <c r="O208" s="151"/>
      <c r="P208" s="151"/>
      <c r="Q208" s="151"/>
      <c r="R208" s="151"/>
      <c r="S208" s="151"/>
      <c r="T208" s="151"/>
      <c r="U208" s="927">
        <v>0.65628042843232726</v>
      </c>
      <c r="V208" s="930">
        <v>0.65628042843232726</v>
      </c>
      <c r="W208" s="127"/>
      <c r="X208" s="127"/>
      <c r="Y208" s="127"/>
      <c r="Z208" s="127"/>
      <c r="AA208" s="127"/>
      <c r="AB208" s="127"/>
      <c r="AC208" s="127"/>
      <c r="AD208" s="127"/>
      <c r="AE208" s="225">
        <v>0</v>
      </c>
      <c r="AF208" s="226">
        <v>0</v>
      </c>
    </row>
    <row r="209" spans="1:32">
      <c r="B209" s="490" t="s">
        <v>257</v>
      </c>
      <c r="C209" s="151"/>
      <c r="D209" s="151"/>
      <c r="E209" s="151"/>
      <c r="F209" s="151"/>
      <c r="G209" s="151"/>
      <c r="H209" s="151"/>
      <c r="I209" s="151"/>
      <c r="J209" s="151"/>
      <c r="K209" s="151">
        <f>IF(Vehi_Inputs!$B$11=2,AE209,U209)</f>
        <v>4.4790652385589089E-2</v>
      </c>
      <c r="L209" s="152">
        <f>IF(Vehi_Inputs!$B$11=2,AF209,V209)</f>
        <v>4.4790652385589089E-2</v>
      </c>
      <c r="M209" s="579"/>
      <c r="N209" s="151"/>
      <c r="O209" s="151"/>
      <c r="P209" s="151"/>
      <c r="Q209" s="151"/>
      <c r="R209" s="151"/>
      <c r="S209" s="151"/>
      <c r="T209" s="151"/>
      <c r="U209" s="927">
        <v>4.4790652385589089E-2</v>
      </c>
      <c r="V209" s="930">
        <v>4.4790652385589089E-2</v>
      </c>
      <c r="W209" s="127"/>
      <c r="X209" s="127"/>
      <c r="Y209" s="127"/>
      <c r="Z209" s="127"/>
      <c r="AA209" s="127"/>
      <c r="AB209" s="127"/>
      <c r="AC209" s="127"/>
      <c r="AD209" s="127"/>
      <c r="AE209" s="225"/>
      <c r="AF209" s="226"/>
    </row>
    <row r="210" spans="1:32">
      <c r="B210" s="490" t="s">
        <v>252</v>
      </c>
      <c r="C210" s="151"/>
      <c r="D210" s="151"/>
      <c r="E210" s="151"/>
      <c r="F210" s="151"/>
      <c r="G210" s="151"/>
      <c r="H210" s="151"/>
      <c r="I210" s="151"/>
      <c r="J210" s="151"/>
      <c r="K210" s="151">
        <f>IF(Vehi_Inputs!$B$11=2,AE210,U210)</f>
        <v>0</v>
      </c>
      <c r="L210" s="152">
        <f>IF(Vehi_Inputs!$B$11=2,AF210,V210)</f>
        <v>0</v>
      </c>
      <c r="M210" s="579"/>
      <c r="N210" s="151"/>
      <c r="O210" s="151"/>
      <c r="P210" s="151"/>
      <c r="Q210" s="151"/>
      <c r="R210" s="151"/>
      <c r="S210" s="151"/>
      <c r="T210" s="151"/>
      <c r="U210" s="927">
        <v>0</v>
      </c>
      <c r="V210" s="930">
        <v>0</v>
      </c>
      <c r="W210" s="127"/>
      <c r="X210" s="127"/>
      <c r="Y210" s="127"/>
      <c r="Z210" s="127"/>
      <c r="AA210" s="127"/>
      <c r="AB210" s="127"/>
      <c r="AC210" s="127"/>
      <c r="AD210" s="127"/>
      <c r="AE210" s="225">
        <v>0</v>
      </c>
      <c r="AF210" s="226">
        <v>0</v>
      </c>
    </row>
    <row r="211" spans="1:32">
      <c r="B211" s="490" t="s">
        <v>275</v>
      </c>
      <c r="C211" s="151"/>
      <c r="D211" s="151"/>
      <c r="E211" s="151"/>
      <c r="F211" s="151"/>
      <c r="G211" s="151"/>
      <c r="H211" s="151"/>
      <c r="I211" s="151"/>
      <c r="J211" s="151"/>
      <c r="K211" s="151">
        <f>IF(Vehi_Inputs!$B$11=2,AE211,U211)</f>
        <v>0</v>
      </c>
      <c r="L211" s="152">
        <f>IF(Vehi_Inputs!$B$11=2,AF211,V211)</f>
        <v>0</v>
      </c>
      <c r="M211" s="579"/>
      <c r="N211" s="151"/>
      <c r="O211" s="151"/>
      <c r="P211" s="151"/>
      <c r="Q211" s="151"/>
      <c r="R211" s="151"/>
      <c r="S211" s="151"/>
      <c r="T211" s="151"/>
      <c r="U211" s="927">
        <v>0</v>
      </c>
      <c r="V211" s="930">
        <v>0</v>
      </c>
      <c r="W211" s="127"/>
      <c r="X211" s="127"/>
      <c r="Y211" s="127"/>
      <c r="Z211" s="127"/>
      <c r="AA211" s="127"/>
      <c r="AB211" s="127"/>
      <c r="AC211" s="127"/>
      <c r="AD211" s="127"/>
      <c r="AE211" s="225">
        <v>0</v>
      </c>
      <c r="AF211" s="226">
        <v>0</v>
      </c>
    </row>
    <row r="212" spans="1:32">
      <c r="B212" s="490" t="s">
        <v>278</v>
      </c>
      <c r="C212" s="151"/>
      <c r="D212" s="151"/>
      <c r="E212" s="151"/>
      <c r="F212" s="151"/>
      <c r="G212" s="151"/>
      <c r="H212" s="151"/>
      <c r="I212" s="151"/>
      <c r="J212" s="151"/>
      <c r="K212" s="151">
        <f>IF(Vehi_Inputs!$B$11=2,AE212,U212)</f>
        <v>7.7896786757546244E-2</v>
      </c>
      <c r="L212" s="152">
        <f>IF(Vehi_Inputs!$B$11=2,AF212,V212)</f>
        <v>7.7896786757546244E-2</v>
      </c>
      <c r="M212" s="579"/>
      <c r="N212" s="151"/>
      <c r="O212" s="151"/>
      <c r="P212" s="151"/>
      <c r="Q212" s="151"/>
      <c r="R212" s="151"/>
      <c r="S212" s="151"/>
      <c r="T212" s="151"/>
      <c r="U212" s="927">
        <v>7.7896786757546244E-2</v>
      </c>
      <c r="V212" s="930">
        <v>7.7896786757546244E-2</v>
      </c>
      <c r="W212" s="127"/>
      <c r="X212" s="127"/>
      <c r="Y212" s="127"/>
      <c r="Z212" s="127"/>
      <c r="AA212" s="127"/>
      <c r="AB212" s="127"/>
      <c r="AC212" s="127"/>
      <c r="AD212" s="127"/>
      <c r="AE212" s="225">
        <v>0</v>
      </c>
      <c r="AF212" s="226">
        <v>0</v>
      </c>
    </row>
    <row r="213" spans="1:32">
      <c r="B213" s="490" t="s">
        <v>261</v>
      </c>
      <c r="C213" s="151"/>
      <c r="D213" s="151"/>
      <c r="E213" s="151"/>
      <c r="F213" s="151"/>
      <c r="G213" s="151"/>
      <c r="H213" s="151"/>
      <c r="I213" s="151"/>
      <c r="J213" s="151"/>
      <c r="K213" s="151">
        <f>IF(Vehi_Inputs!$B$11=2,AE213,U213)</f>
        <v>0</v>
      </c>
      <c r="L213" s="152">
        <f>IF(Vehi_Inputs!$B$11=2,AF213,V213)</f>
        <v>0</v>
      </c>
      <c r="M213" s="579"/>
      <c r="N213" s="151"/>
      <c r="O213" s="151"/>
      <c r="P213" s="151"/>
      <c r="Q213" s="151"/>
      <c r="R213" s="151"/>
      <c r="S213" s="151"/>
      <c r="T213" s="151"/>
      <c r="U213" s="927">
        <v>0</v>
      </c>
      <c r="V213" s="930">
        <v>0</v>
      </c>
      <c r="W213" s="127"/>
      <c r="X213" s="127"/>
      <c r="Y213" s="127"/>
      <c r="Z213" s="127"/>
      <c r="AA213" s="127"/>
      <c r="AB213" s="127"/>
      <c r="AC213" s="127"/>
      <c r="AD213" s="127"/>
      <c r="AE213" s="225">
        <v>0</v>
      </c>
      <c r="AF213" s="226">
        <v>0</v>
      </c>
    </row>
    <row r="214" spans="1:32">
      <c r="B214" s="490" t="s">
        <v>272</v>
      </c>
      <c r="C214" s="151"/>
      <c r="D214" s="151"/>
      <c r="E214" s="151"/>
      <c r="F214" s="151"/>
      <c r="G214" s="151"/>
      <c r="H214" s="151"/>
      <c r="I214" s="151"/>
      <c r="J214" s="151"/>
      <c r="K214" s="151">
        <f>IF(Vehi_Inputs!$B$11=2,AE214,U214)</f>
        <v>0</v>
      </c>
      <c r="L214" s="152">
        <f>IF(Vehi_Inputs!$B$11=2,AF214,V214)</f>
        <v>0</v>
      </c>
      <c r="M214" s="579"/>
      <c r="N214" s="151"/>
      <c r="O214" s="151"/>
      <c r="P214" s="151"/>
      <c r="Q214" s="151"/>
      <c r="R214" s="151"/>
      <c r="S214" s="151"/>
      <c r="T214" s="151"/>
      <c r="U214" s="927">
        <v>0</v>
      </c>
      <c r="V214" s="930">
        <v>0</v>
      </c>
      <c r="W214" s="127"/>
      <c r="X214" s="127"/>
      <c r="Y214" s="127"/>
      <c r="Z214" s="127"/>
      <c r="AA214" s="127"/>
      <c r="AB214" s="127"/>
      <c r="AC214" s="127"/>
      <c r="AD214" s="127"/>
      <c r="AE214" s="225">
        <v>0</v>
      </c>
      <c r="AF214" s="226">
        <v>0</v>
      </c>
    </row>
    <row r="215" spans="1:32">
      <c r="B215" s="490" t="s">
        <v>273</v>
      </c>
      <c r="C215" s="151"/>
      <c r="D215" s="151"/>
      <c r="E215" s="151"/>
      <c r="F215" s="151"/>
      <c r="G215" s="151"/>
      <c r="H215" s="151"/>
      <c r="I215" s="151"/>
      <c r="J215" s="151"/>
      <c r="K215" s="151">
        <f>IF(Vehi_Inputs!$B$11=2,AE215,U215)</f>
        <v>9.7370983446932804E-3</v>
      </c>
      <c r="L215" s="152">
        <f>IF(Vehi_Inputs!$B$11=2,AF215,V215)</f>
        <v>9.7370983446932804E-3</v>
      </c>
      <c r="M215" s="579"/>
      <c r="N215" s="151"/>
      <c r="O215" s="151"/>
      <c r="P215" s="151"/>
      <c r="Q215" s="151"/>
      <c r="R215" s="151"/>
      <c r="S215" s="151"/>
      <c r="T215" s="151"/>
      <c r="U215" s="927">
        <v>9.7370983446932804E-3</v>
      </c>
      <c r="V215" s="930">
        <v>9.7370983446932804E-3</v>
      </c>
      <c r="W215" s="127"/>
      <c r="X215" s="127"/>
      <c r="Y215" s="127"/>
      <c r="Z215" s="127"/>
      <c r="AA215" s="127"/>
      <c r="AB215" s="127"/>
      <c r="AC215" s="127"/>
      <c r="AD215" s="127"/>
      <c r="AE215" s="225"/>
      <c r="AF215" s="226"/>
    </row>
    <row r="216" spans="1:32">
      <c r="B216" s="647" t="s">
        <v>262</v>
      </c>
      <c r="C216" s="153"/>
      <c r="D216" s="153"/>
      <c r="E216" s="153"/>
      <c r="F216" s="153"/>
      <c r="G216" s="153"/>
      <c r="H216" s="153"/>
      <c r="I216" s="153"/>
      <c r="J216" s="153"/>
      <c r="K216" s="153">
        <f>1-SUM(K206:K215)</f>
        <v>3.8948393378772983E-2</v>
      </c>
      <c r="L216" s="154">
        <f>1-SUM(L206:L215)</f>
        <v>3.8948393378772983E-2</v>
      </c>
      <c r="M216" s="580"/>
      <c r="N216" s="153"/>
      <c r="O216" s="153"/>
      <c r="P216" s="153"/>
      <c r="Q216" s="153"/>
      <c r="R216" s="153"/>
      <c r="S216" s="153"/>
      <c r="T216" s="153"/>
      <c r="U216" s="153">
        <f>1-SUM(U206:U215)</f>
        <v>3.8948393378772983E-2</v>
      </c>
      <c r="V216" s="154">
        <f>1-SUM(V206:V215)</f>
        <v>3.8948393378772983E-2</v>
      </c>
      <c r="W216" s="129"/>
      <c r="X216" s="129"/>
      <c r="Y216" s="129"/>
      <c r="Z216" s="129"/>
      <c r="AA216" s="129"/>
      <c r="AB216" s="129"/>
      <c r="AC216" s="129"/>
      <c r="AD216" s="129"/>
      <c r="AE216" s="153">
        <f>1-SUM(AE206:AE214)</f>
        <v>1</v>
      </c>
      <c r="AF216" s="154">
        <f>1-SUM(AF206:AF214)</f>
        <v>1</v>
      </c>
    </row>
    <row r="218" spans="1:32" ht="15">
      <c r="A218" s="134" t="s">
        <v>710</v>
      </c>
      <c r="B218" s="521"/>
      <c r="C218" s="521"/>
      <c r="D218" s="521"/>
      <c r="E218" s="521"/>
      <c r="F218" s="521"/>
      <c r="G218" s="521"/>
      <c r="H218" s="521"/>
      <c r="I218" s="521"/>
      <c r="J218" s="521"/>
      <c r="K218" s="521"/>
      <c r="L218" s="521"/>
      <c r="M218" s="521"/>
      <c r="N218" s="1321"/>
      <c r="O218" s="1321"/>
      <c r="P218" s="1321"/>
      <c r="Q218" s="1321"/>
      <c r="R218" s="1321"/>
    </row>
    <row r="219" spans="1:32" ht="38.25">
      <c r="A219" s="521"/>
      <c r="B219" s="1632"/>
      <c r="C219" s="1633" t="s">
        <v>141</v>
      </c>
      <c r="D219" s="1634" t="s">
        <v>142</v>
      </c>
      <c r="E219" s="1634" t="s">
        <v>143</v>
      </c>
      <c r="F219" s="1634" t="s">
        <v>144</v>
      </c>
      <c r="G219" s="1634" t="s">
        <v>145</v>
      </c>
      <c r="H219" s="1634" t="s">
        <v>146</v>
      </c>
      <c r="I219" s="1634" t="s">
        <v>147</v>
      </c>
      <c r="J219" s="1634" t="s">
        <v>148</v>
      </c>
      <c r="K219" s="1634" t="s">
        <v>149</v>
      </c>
      <c r="L219" s="1635" t="s">
        <v>150</v>
      </c>
      <c r="M219" s="521"/>
      <c r="N219" s="1321"/>
      <c r="O219" s="1321"/>
      <c r="P219" s="1321"/>
      <c r="Q219" s="1321"/>
      <c r="R219" s="1321"/>
    </row>
    <row r="220" spans="1:32">
      <c r="A220" s="521"/>
      <c r="B220" s="686" t="s">
        <v>665</v>
      </c>
      <c r="C220" s="1197">
        <f>IF(C4=$N11,1,(1+(-0.0009*((($N11-C4)/$N11*100)^2)+0.8126*(($N11-C4)/$N11*100)+0.3334)/100))*GREET1_Import_Export!$C15</f>
        <v>27.493729326961894</v>
      </c>
      <c r="D220" s="1197">
        <f>IF(D4=$N11,1,(1+(-0.0009*((($N11-D4)/$N11*100)^2)+0.8126*(($N11-D4)/$N11*100)+0.3334)/100))*GREET1_Import_Export!$C15</f>
        <v>30.797997885647106</v>
      </c>
      <c r="E220" s="1197">
        <f>IF(E4=$O11,1,(1+(-0.0089*((($O11-E4)/$O11*100)^2)+0.9051*(($O11-E4)/$O11*100)+0.1356)/100))*GREET1_Import_Export!$C16</f>
        <v>39.062022995171453</v>
      </c>
      <c r="F220" s="1197">
        <f>IF(F4=$O11,1,(1+(-0.0089*((($O11-F4)/$O11*100)^2)+0.9051*(($O11-F4)/$O11*100)+0.1356)/100))*GREET1_Import_Export!$C16</f>
        <v>44.275712132325438</v>
      </c>
      <c r="G220" s="1197">
        <f>IF(G4=$P11,1,(1+(-0.0089*((($P11-G4)/$P11*100)^2)+0.9051*(($P11-G4)/$P11*100)+0.1356)/100))*GREET1_Import_Export!$C17</f>
        <v>60.03830645046623</v>
      </c>
      <c r="H220" s="1197">
        <f>IF(H4=$P11,1,(1+(-0.0089*((($P11-H4)/$P11*100)^2)+0.9051*(($P11-H4)/$P11*100)+0.1356)/100))*GREET1_Import_Export!$C17</f>
        <v>65.845666156101899</v>
      </c>
      <c r="I220" s="1197">
        <f>IF(I4=$Q11,1,(1+(-0.0089*((($Q11-I4)/$Q11*100)^2)+0.9051*(($Q11-I4)/$Q11*100)+0.1356)/100))*GREET1_Import_Export!$C18</f>
        <v>70.100142429937449</v>
      </c>
      <c r="J220" s="1197">
        <f>IF(J4=$Q11,1,(1+(-0.0089*((($Q11-J4)/$Q11*100)^2)+0.9051*(($Q11-J4)/$Q11*100)+0.1356)/100))*GREET1_Import_Export!$C18</f>
        <v>76.609264888111994</v>
      </c>
      <c r="K220" s="1197">
        <f>IF(K4=$R11,1,(1+(0.0012*((($R11-K4)/$R11*100)^2)+0.6877*(($R11-K4)/$R11*100)+0.0351)/100))*GREET1_Import_Export!$C19</f>
        <v>37.779582285374502</v>
      </c>
      <c r="L220" s="1198">
        <f>IF(L4=$R11,1,(1+(0.0012*((($R11-L4)/$R11*100)^2)+0.6877*(($R11-L4)/$R11*100)+0.0351)/100))*GREET1_Import_Export!$C19</f>
        <v>42.877800617044279</v>
      </c>
      <c r="M220" s="521"/>
      <c r="N220" s="1321"/>
      <c r="O220" s="1321"/>
      <c r="P220" s="1321"/>
      <c r="Q220" s="1321"/>
      <c r="R220" s="1321"/>
    </row>
    <row r="221" spans="1:32">
      <c r="A221" s="521"/>
      <c r="B221" s="483" t="s">
        <v>666</v>
      </c>
      <c r="C221" s="1199">
        <v>24.128367670364501</v>
      </c>
      <c r="D221" s="1199">
        <v>27.236101426307449</v>
      </c>
      <c r="E221" s="363" t="e">
        <v>#N/A</v>
      </c>
      <c r="F221" s="363" t="e">
        <v>#N/A</v>
      </c>
      <c r="G221" s="363" t="e">
        <v>#N/A</v>
      </c>
      <c r="H221" s="363" t="e">
        <v>#N/A</v>
      </c>
      <c r="I221" s="363" t="e">
        <v>#N/A</v>
      </c>
      <c r="J221" s="363" t="e">
        <v>#N/A</v>
      </c>
      <c r="K221" s="363" t="e">
        <v>#N/A</v>
      </c>
      <c r="L221" s="1013" t="e">
        <v>#N/A</v>
      </c>
      <c r="M221" s="521"/>
      <c r="N221" s="521"/>
      <c r="O221" s="521"/>
      <c r="P221" s="521"/>
      <c r="Q221" s="521"/>
      <c r="R221" s="521"/>
    </row>
    <row r="222" spans="1:32">
      <c r="A222" s="521"/>
      <c r="B222" s="905" t="s">
        <v>667</v>
      </c>
      <c r="C222" s="1195">
        <f>IF(Vehi_Inputs!$B$11=2,C221,C220)</f>
        <v>27.493729326961894</v>
      </c>
      <c r="D222" s="1195">
        <f>IF(Vehi_Inputs!$B$11=2,D221,D220)</f>
        <v>30.797997885647106</v>
      </c>
      <c r="E222" s="1195">
        <f>IF(Vehi_Inputs!$B$11=2,E221,E220)</f>
        <v>39.062022995171453</v>
      </c>
      <c r="F222" s="1195">
        <f>IF(Vehi_Inputs!$B$11=2,F221,F220)</f>
        <v>44.275712132325438</v>
      </c>
      <c r="G222" s="1195">
        <f>IF(Vehi_Inputs!$B$11=2,G221,G220)</f>
        <v>60.03830645046623</v>
      </c>
      <c r="H222" s="1195">
        <f>IF(Vehi_Inputs!$B$11=2,H221,H220)</f>
        <v>65.845666156101899</v>
      </c>
      <c r="I222" s="1195">
        <f>IF(Vehi_Inputs!$B$11=2,I221,I220)</f>
        <v>70.100142429937449</v>
      </c>
      <c r="J222" s="1195">
        <f>IF(Vehi_Inputs!$B$11=2,J221,J220)</f>
        <v>76.609264888111994</v>
      </c>
      <c r="K222" s="1195">
        <f>IF(Vehi_Inputs!$B$11=2,K221,K220)</f>
        <v>37.779582285374502</v>
      </c>
      <c r="L222" s="1196">
        <f>IF(Vehi_Inputs!$B$11=2,L221,L220)</f>
        <v>42.877800617044279</v>
      </c>
      <c r="M222" s="521"/>
      <c r="N222" s="521"/>
      <c r="O222" s="521"/>
      <c r="P222" s="521"/>
      <c r="Q222" s="521"/>
      <c r="R222" s="521"/>
    </row>
    <row r="224" spans="1:32" ht="15">
      <c r="A224" s="134" t="s">
        <v>2699</v>
      </c>
      <c r="B224" s="521"/>
      <c r="C224" s="521"/>
      <c r="D224" s="521"/>
      <c r="E224" s="521"/>
      <c r="F224" s="521"/>
      <c r="G224" s="521"/>
      <c r="H224" s="521"/>
      <c r="I224" s="521"/>
      <c r="J224" s="521"/>
      <c r="K224" s="521"/>
      <c r="L224" s="521"/>
      <c r="M224" s="521"/>
    </row>
    <row r="225" spans="1:13">
      <c r="A225" s="521"/>
      <c r="B225" s="63" t="s">
        <v>2307</v>
      </c>
      <c r="C225" s="521"/>
      <c r="D225" s="521"/>
      <c r="E225" s="521"/>
      <c r="F225" s="521"/>
      <c r="G225" s="521"/>
      <c r="H225" s="521"/>
      <c r="I225" s="521"/>
      <c r="J225" s="521"/>
      <c r="K225" s="521"/>
      <c r="L225" s="151"/>
      <c r="M225" s="151"/>
    </row>
    <row r="226" spans="1:13">
      <c r="A226" s="1808"/>
      <c r="B226" s="1321"/>
      <c r="C226" s="1812">
        <f t="shared" ref="C226:K226" si="16">C227</f>
        <v>3828.8358199999998</v>
      </c>
      <c r="D226" s="1812">
        <f t="shared" si="16"/>
        <v>4029.3192800000002</v>
      </c>
      <c r="E226" s="1812">
        <f t="shared" si="16"/>
        <v>4309.30602</v>
      </c>
      <c r="F226" s="1812">
        <f t="shared" si="16"/>
        <v>4057.9793399999999</v>
      </c>
      <c r="G226" s="1812">
        <f t="shared" si="16"/>
        <v>4238.7581799999998</v>
      </c>
      <c r="H226" s="1812">
        <f t="shared" si="16"/>
        <v>3628.0784399999998</v>
      </c>
      <c r="I226" s="1812">
        <f t="shared" si="16"/>
        <v>3628.0784399999998</v>
      </c>
      <c r="J226" s="1812">
        <f t="shared" si="16"/>
        <v>3628.0784399999998</v>
      </c>
      <c r="K226" s="1812">
        <f t="shared" si="16"/>
        <v>3628.0784399999998</v>
      </c>
      <c r="L226" s="127"/>
      <c r="M226" s="312"/>
    </row>
    <row r="227" spans="1:13">
      <c r="A227" s="1808"/>
      <c r="B227" s="1321"/>
      <c r="C227" s="631">
        <f>GetTSTableValue($B229:$K234,GREET1_Import_Export!$C$20,2)</f>
        <v>3828.8358199999998</v>
      </c>
      <c r="D227" s="631">
        <f>GetTSTableValue($B229:$K234,GREET1_Import_Export!$C$20,3)</f>
        <v>4029.3192800000002</v>
      </c>
      <c r="E227" s="631">
        <f>GetTSTableValue($B229:$K234,GREET1_Import_Export!$C$20,4)</f>
        <v>4309.30602</v>
      </c>
      <c r="F227" s="631">
        <f>GetTSTableValue($B229:$K234,GREET1_Import_Export!$C$20,5)</f>
        <v>4057.9793399999999</v>
      </c>
      <c r="G227" s="631">
        <f>GetTSTableValue($B229:$K234,GREET1_Import_Export!$C$20,6)</f>
        <v>4238.7581799999998</v>
      </c>
      <c r="H227" s="631">
        <f>GetTSTableValue($B229:$K234,GREET1_Import_Export!$C$20,7)</f>
        <v>3628.0784399999998</v>
      </c>
      <c r="I227" s="631">
        <f>GetTSTableValue($B229:$K234,GREET1_Import_Export!$C$20,8)</f>
        <v>3628.0784399999998</v>
      </c>
      <c r="J227" s="631">
        <f>GetTSTableValue($B229:$K234,GREET1_Import_Export!$C$20,9)</f>
        <v>3628.0784399999998</v>
      </c>
      <c r="K227" s="631">
        <f>GetTSTableValue($B229:$K234,GREET1_Import_Export!$C$20,10)</f>
        <v>3628.0784399999998</v>
      </c>
      <c r="L227" s="1811"/>
    </row>
    <row r="228" spans="1:13" ht="38.25">
      <c r="A228" s="1808"/>
      <c r="B228" s="2542" t="s">
        <v>2300</v>
      </c>
      <c r="C228" s="1192" t="s">
        <v>141</v>
      </c>
      <c r="D228" s="1474" t="s">
        <v>143</v>
      </c>
      <c r="E228" s="1474" t="s">
        <v>149</v>
      </c>
      <c r="F228" s="1474" t="s">
        <v>597</v>
      </c>
      <c r="G228" s="1474" t="s">
        <v>2302</v>
      </c>
      <c r="H228" s="1474" t="s">
        <v>2304</v>
      </c>
      <c r="I228" s="1474" t="s">
        <v>605</v>
      </c>
      <c r="J228" s="1474" t="s">
        <v>2305</v>
      </c>
      <c r="K228" s="1193" t="s">
        <v>2306</v>
      </c>
      <c r="L228" s="127"/>
      <c r="M228" s="312"/>
    </row>
    <row r="229" spans="1:13" ht="15">
      <c r="A229" s="1808" t="s">
        <v>2301</v>
      </c>
      <c r="B229" s="1809">
        <v>2015</v>
      </c>
      <c r="C229" s="2587">
        <v>3828.8358199999998</v>
      </c>
      <c r="D229" s="1291">
        <v>4029.3192800000002</v>
      </c>
      <c r="E229" s="1291">
        <v>4309.30602</v>
      </c>
      <c r="F229" s="1291">
        <v>4057.9793399999999</v>
      </c>
      <c r="G229" s="2585">
        <v>4238.7581799999998</v>
      </c>
      <c r="H229" s="1291">
        <v>3628.0784399999998</v>
      </c>
      <c r="I229" s="2585">
        <v>3628.0784399999998</v>
      </c>
      <c r="J229" s="2585">
        <v>3628.0784399999998</v>
      </c>
      <c r="K229" s="2586">
        <v>3628.0784399999998</v>
      </c>
      <c r="L229" s="127"/>
      <c r="M229" s="312"/>
    </row>
    <row r="230" spans="1:13" ht="15">
      <c r="A230" s="1808" t="s">
        <v>2301</v>
      </c>
      <c r="B230" s="1809">
        <v>2020</v>
      </c>
      <c r="C230" s="2587">
        <v>3337.7986494790462</v>
      </c>
      <c r="D230" s="1291">
        <v>3463.4621389244267</v>
      </c>
      <c r="E230" s="1291">
        <v>3263.7233293849281</v>
      </c>
      <c r="F230" s="1291">
        <v>3472.2806294118218</v>
      </c>
      <c r="G230" s="1291">
        <v>3483.3037425210659</v>
      </c>
      <c r="H230" s="1291">
        <v>2985.0590299832425</v>
      </c>
      <c r="I230" s="1291">
        <v>2987.2636526050915</v>
      </c>
      <c r="J230" s="1291">
        <v>2989.46827522694</v>
      </c>
      <c r="K230" s="1093">
        <v>2991.6728978487886</v>
      </c>
      <c r="L230" s="127"/>
      <c r="M230" s="312"/>
    </row>
    <row r="231" spans="1:13" ht="15">
      <c r="A231" s="1808" t="s">
        <v>2301</v>
      </c>
      <c r="B231" s="1809">
        <v>2025</v>
      </c>
      <c r="C231" s="2587">
        <v>3183.4750659496322</v>
      </c>
      <c r="D231" s="1291">
        <v>3287.0923291765248</v>
      </c>
      <c r="E231" s="1291">
        <v>3091.7627648807234</v>
      </c>
      <c r="F231" s="1291">
        <v>3291.5015744202224</v>
      </c>
      <c r="G231" s="1291">
        <v>3304.7293101513151</v>
      </c>
      <c r="H231" s="1291">
        <v>2810.8938428571892</v>
      </c>
      <c r="I231" s="1291">
        <v>2813.0984654790377</v>
      </c>
      <c r="J231" s="1291">
        <v>2815.3030881008867</v>
      </c>
      <c r="K231" s="1093">
        <v>2817.5077107227353</v>
      </c>
      <c r="L231" s="127"/>
      <c r="M231" s="312"/>
    </row>
    <row r="232" spans="1:13" ht="15">
      <c r="A232" s="1808" t="s">
        <v>2301</v>
      </c>
      <c r="B232" s="1809">
        <v>2030</v>
      </c>
      <c r="C232" s="2587">
        <v>3121.7456325378662</v>
      </c>
      <c r="D232" s="1291">
        <v>3216.5444052773641</v>
      </c>
      <c r="E232" s="1291">
        <v>3021.2148409815627</v>
      </c>
      <c r="F232" s="1291">
        <v>3220.9536505210613</v>
      </c>
      <c r="G232" s="1291">
        <v>3231.976763630305</v>
      </c>
      <c r="H232" s="1291">
        <v>2742.5505415798771</v>
      </c>
      <c r="I232" s="1291">
        <v>2742.5505415798771</v>
      </c>
      <c r="J232" s="1291">
        <v>2744.7551642017256</v>
      </c>
      <c r="K232" s="1093">
        <v>2746.9597868235746</v>
      </c>
      <c r="L232" s="127"/>
      <c r="M232" s="312"/>
    </row>
    <row r="233" spans="1:13" ht="15">
      <c r="A233" s="1808" t="s">
        <v>2301</v>
      </c>
      <c r="B233" s="1809">
        <v>2035</v>
      </c>
      <c r="C233" s="2587">
        <v>3044.5838407731594</v>
      </c>
      <c r="D233" s="1291">
        <v>3110.7225194286229</v>
      </c>
      <c r="E233" s="1291">
        <v>2919.8022003765186</v>
      </c>
      <c r="F233" s="1291">
        <v>3115.1317646723201</v>
      </c>
      <c r="G233" s="1291">
        <v>3128.3595004034128</v>
      </c>
      <c r="H233" s="1291">
        <v>2638.9332783529844</v>
      </c>
      <c r="I233" s="1291">
        <v>2641.1379009748334</v>
      </c>
      <c r="J233" s="1291">
        <v>2643.342523596682</v>
      </c>
      <c r="K233" s="1093">
        <v>2643.342523596682</v>
      </c>
      <c r="L233" s="127"/>
      <c r="M233" s="312"/>
    </row>
    <row r="234" spans="1:13" ht="15">
      <c r="A234" s="1808" t="s">
        <v>2301</v>
      </c>
      <c r="B234" s="1810">
        <v>2050</v>
      </c>
      <c r="C234" s="2588">
        <v>2850.5770500504668</v>
      </c>
      <c r="D234" s="1292">
        <v>3002.6960109580327</v>
      </c>
      <c r="E234" s="1292">
        <v>2818.3895597714754</v>
      </c>
      <c r="F234" s="1292">
        <v>3007.1052562017303</v>
      </c>
      <c r="G234" s="1292">
        <v>3018.128369310974</v>
      </c>
      <c r="H234" s="1292">
        <v>2535.3160151260922</v>
      </c>
      <c r="I234" s="1292">
        <v>2535.3160151260922</v>
      </c>
      <c r="J234" s="1292">
        <v>2537.5206377479408</v>
      </c>
      <c r="K234" s="1493">
        <v>2537.5206377479408</v>
      </c>
      <c r="L234" s="363"/>
      <c r="M234" s="312"/>
    </row>
    <row r="235" spans="1:13">
      <c r="A235" s="521"/>
      <c r="B235" s="521"/>
      <c r="C235" s="521"/>
      <c r="D235" s="521"/>
      <c r="E235" s="521"/>
      <c r="F235" s="521"/>
      <c r="G235" s="521"/>
      <c r="H235" s="521"/>
      <c r="I235" s="521"/>
      <c r="J235" s="521"/>
      <c r="K235" s="521"/>
      <c r="L235" s="363"/>
      <c r="M235" s="363"/>
    </row>
    <row r="236" spans="1:13">
      <c r="A236" s="521"/>
      <c r="B236" s="521"/>
      <c r="C236" s="521"/>
      <c r="D236" s="521"/>
      <c r="E236" s="521"/>
      <c r="F236" s="521"/>
      <c r="G236" s="521"/>
      <c r="H236" s="521"/>
      <c r="I236" s="521"/>
      <c r="J236" s="521"/>
      <c r="K236" s="521"/>
      <c r="L236" s="521"/>
      <c r="M236" s="521"/>
    </row>
    <row r="237" spans="1:13">
      <c r="A237" s="151"/>
      <c r="B237" s="63" t="s">
        <v>612</v>
      </c>
      <c r="C237" s="151"/>
      <c r="D237" s="521"/>
      <c r="E237" s="521"/>
      <c r="F237" s="521"/>
      <c r="G237" s="521"/>
      <c r="H237" s="521"/>
      <c r="I237" s="521"/>
      <c r="J237" s="521"/>
      <c r="K237" s="521"/>
      <c r="L237" s="521"/>
      <c r="M237" s="521"/>
    </row>
    <row r="238" spans="1:13">
      <c r="A238" s="1808"/>
      <c r="B238" s="1321"/>
      <c r="C238" s="1812">
        <f t="shared" ref="C238:K238" si="17">C239</f>
        <v>3882.3358199999998</v>
      </c>
      <c r="D238" s="1812">
        <f t="shared" si="17"/>
        <v>4122.6394</v>
      </c>
      <c r="E238" s="1812">
        <f t="shared" si="17"/>
        <v>4402.6261399999994</v>
      </c>
      <c r="F238" s="1812">
        <f t="shared" si="17"/>
        <v>4552.5402999999997</v>
      </c>
      <c r="G238" s="1812">
        <f t="shared" si="17"/>
        <v>4865.5963400000001</v>
      </c>
      <c r="H238" s="1812">
        <f t="shared" si="17"/>
        <v>5332.9757799999998</v>
      </c>
      <c r="I238" s="1812">
        <f t="shared" si="17"/>
        <v>5332.9757799999998</v>
      </c>
      <c r="J238" s="1812">
        <f t="shared" si="17"/>
        <v>5332.9757799999998</v>
      </c>
      <c r="K238" s="1812">
        <f t="shared" si="17"/>
        <v>5332.9757799999998</v>
      </c>
      <c r="L238" s="521"/>
      <c r="M238" s="521"/>
    </row>
    <row r="239" spans="1:13">
      <c r="A239" s="1808"/>
      <c r="B239" s="1321"/>
      <c r="C239" s="631">
        <f>GetTSTableValue($B241:$K246,GREET1_Import_Export!$C$20,2)</f>
        <v>3882.3358199999998</v>
      </c>
      <c r="D239" s="631">
        <f>GetTSTableValue($B241:$K246,GREET1_Import_Export!$C$20,3)</f>
        <v>4122.6394</v>
      </c>
      <c r="E239" s="631">
        <f>GetTSTableValue($B241:$K246,GREET1_Import_Export!$C$20,4)</f>
        <v>4402.6261399999994</v>
      </c>
      <c r="F239" s="631">
        <f>GetTSTableValue($B241:$K246,GREET1_Import_Export!$C$20,5)</f>
        <v>4552.5402999999997</v>
      </c>
      <c r="G239" s="631">
        <f>GetTSTableValue($B241:$K246,GREET1_Import_Export!$C$20,6)</f>
        <v>4865.5963400000001</v>
      </c>
      <c r="H239" s="631">
        <f>GetTSTableValue($B241:$K246,GREET1_Import_Export!$C$20,7)</f>
        <v>5332.9757799999998</v>
      </c>
      <c r="I239" s="631">
        <f>GetTSTableValue($B241:$K246,GREET1_Import_Export!$C$20,8)</f>
        <v>5332.9757799999998</v>
      </c>
      <c r="J239" s="631">
        <f>GetTSTableValue($B241:$K246,GREET1_Import_Export!$C$20,9)</f>
        <v>5332.9757799999998</v>
      </c>
      <c r="K239" s="631">
        <f>GetTSTableValue($B241:$K246,GREET1_Import_Export!$C$20,10)</f>
        <v>5332.9757799999998</v>
      </c>
      <c r="L239" s="521"/>
      <c r="M239" s="521"/>
    </row>
    <row r="240" spans="1:13" ht="38.25">
      <c r="A240" s="1808"/>
      <c r="B240" s="2542" t="s">
        <v>2300</v>
      </c>
      <c r="C240" s="1192" t="s">
        <v>141</v>
      </c>
      <c r="D240" s="1474" t="s">
        <v>143</v>
      </c>
      <c r="E240" s="1474" t="s">
        <v>149</v>
      </c>
      <c r="F240" s="1474" t="s">
        <v>597</v>
      </c>
      <c r="G240" s="1474" t="s">
        <v>2302</v>
      </c>
      <c r="H240" s="1474" t="s">
        <v>2304</v>
      </c>
      <c r="I240" s="1474" t="s">
        <v>605</v>
      </c>
      <c r="J240" s="1474" t="s">
        <v>2305</v>
      </c>
      <c r="K240" s="1193" t="s">
        <v>2306</v>
      </c>
      <c r="L240" s="521"/>
      <c r="M240" s="521"/>
    </row>
    <row r="241" spans="1:13" ht="15">
      <c r="A241" s="1808" t="s">
        <v>2301</v>
      </c>
      <c r="B241" s="1809">
        <v>2015</v>
      </c>
      <c r="C241" s="2587">
        <v>3882.3358199999998</v>
      </c>
      <c r="D241" s="1291">
        <v>4122.6394</v>
      </c>
      <c r="E241" s="1291">
        <v>4402.6261399999994</v>
      </c>
      <c r="F241" s="1291">
        <v>4552.5402999999997</v>
      </c>
      <c r="G241" s="2585">
        <v>4865.5963400000001</v>
      </c>
      <c r="H241" s="1291">
        <v>5332.9757799999998</v>
      </c>
      <c r="I241" s="2585">
        <v>5332.9757799999998</v>
      </c>
      <c r="J241" s="2585">
        <v>5332.9757799999998</v>
      </c>
      <c r="K241" s="2586">
        <v>5332.9757799999998</v>
      </c>
      <c r="L241" s="521"/>
      <c r="M241" s="521"/>
    </row>
    <row r="242" spans="1:13" ht="15">
      <c r="A242" s="1808" t="s">
        <v>2301</v>
      </c>
      <c r="B242" s="1809">
        <v>2020</v>
      </c>
      <c r="C242" s="2587">
        <v>3377.4818566723247</v>
      </c>
      <c r="D242" s="1291">
        <v>3540.6239306891339</v>
      </c>
      <c r="E242" s="1291">
        <v>3726.6940799731706</v>
      </c>
      <c r="F242" s="1291">
        <v>3767.700060739558</v>
      </c>
      <c r="G242" s="1291">
        <v>4016.8224170084691</v>
      </c>
      <c r="H242" s="1291">
        <v>3697.1521368403969</v>
      </c>
      <c r="I242" s="1291">
        <v>4065.3241146891423</v>
      </c>
      <c r="J242" s="1291">
        <v>4587.8196760673027</v>
      </c>
      <c r="K242" s="1093">
        <v>5211.7278780505058</v>
      </c>
      <c r="L242" s="521"/>
      <c r="M242" s="521"/>
    </row>
    <row r="243" spans="1:13" ht="15">
      <c r="A243" s="1808" t="s">
        <v>2301</v>
      </c>
      <c r="B243" s="1809">
        <v>2025</v>
      </c>
      <c r="C243" s="2587">
        <v>3223.1582731429103</v>
      </c>
      <c r="D243" s="1291">
        <v>3359.8448756975345</v>
      </c>
      <c r="E243" s="1291">
        <v>3426.8654034017372</v>
      </c>
      <c r="F243" s="1291">
        <v>3509.7592139832509</v>
      </c>
      <c r="G243" s="1291">
        <v>3683.9244011093042</v>
      </c>
      <c r="H243" s="1291">
        <v>3483.3037425210659</v>
      </c>
      <c r="I243" s="1291">
        <v>3847.0664751261133</v>
      </c>
      <c r="J243" s="1291">
        <v>4318.8557162017514</v>
      </c>
      <c r="K243" s="1093">
        <v>4900.8760883698278</v>
      </c>
      <c r="L243" s="521"/>
      <c r="M243" s="521"/>
    </row>
    <row r="244" spans="1:13" ht="15">
      <c r="A244" s="1808" t="s">
        <v>2301</v>
      </c>
      <c r="B244" s="1809">
        <v>2030</v>
      </c>
      <c r="C244" s="2587">
        <v>3161.4288397311443</v>
      </c>
      <c r="D244" s="1291">
        <v>3280.4784613109782</v>
      </c>
      <c r="E244" s="1291">
        <v>3351.908234258879</v>
      </c>
      <c r="F244" s="1291">
        <v>3397.3234602689636</v>
      </c>
      <c r="G244" s="1291">
        <v>3578.102515260563</v>
      </c>
      <c r="H244" s="1291">
        <v>3238.5906314958515</v>
      </c>
      <c r="I244" s="1291">
        <v>3474.4852520336703</v>
      </c>
      <c r="J244" s="1291">
        <v>3816.2017584202304</v>
      </c>
      <c r="K244" s="1093">
        <v>4204.2153398656155</v>
      </c>
      <c r="L244" s="521"/>
      <c r="M244" s="521"/>
    </row>
    <row r="245" spans="1:13" ht="15">
      <c r="A245" s="1808" t="s">
        <v>2301</v>
      </c>
      <c r="B245" s="1809">
        <v>2035</v>
      </c>
      <c r="C245" s="2587">
        <v>3084.2670479664371</v>
      </c>
      <c r="D245" s="1291">
        <v>3170.2473302185394</v>
      </c>
      <c r="E245" s="1291">
        <v>3230.6539900571961</v>
      </c>
      <c r="F245" s="1291">
        <v>3273.8645934454321</v>
      </c>
      <c r="G245" s="1291">
        <v>3432.5974222185441</v>
      </c>
      <c r="H245" s="1291">
        <v>3099.6994063193788</v>
      </c>
      <c r="I245" s="1291">
        <v>3370.8679888067782</v>
      </c>
      <c r="J245" s="1291">
        <v>3631.0134581849338</v>
      </c>
      <c r="K245" s="1093">
        <v>3895.5681728067866</v>
      </c>
      <c r="L245" s="521"/>
      <c r="M245" s="521"/>
    </row>
    <row r="246" spans="1:13" ht="15">
      <c r="A246" s="1808" t="s">
        <v>2301</v>
      </c>
      <c r="B246" s="1810">
        <v>2050</v>
      </c>
      <c r="C246" s="2588">
        <v>2890.2602572437449</v>
      </c>
      <c r="D246" s="1292">
        <v>3060.0161991261007</v>
      </c>
      <c r="E246" s="1292">
        <v>3111.6043684773622</v>
      </c>
      <c r="F246" s="1292">
        <v>3148.2011040000521</v>
      </c>
      <c r="G246" s="1292">
        <v>3287.0923291765248</v>
      </c>
      <c r="H246" s="1292">
        <v>2892.4648798655935</v>
      </c>
      <c r="I246" s="1292">
        <v>3104.1086515630759</v>
      </c>
      <c r="J246" s="1292">
        <v>3298.1154422857685</v>
      </c>
      <c r="K246" s="1493">
        <v>3487.7129877647631</v>
      </c>
      <c r="L246" s="521"/>
      <c r="M246" s="521"/>
    </row>
    <row r="247" spans="1:13">
      <c r="A247" s="521"/>
      <c r="B247" s="521"/>
      <c r="C247" s="521"/>
      <c r="D247" s="521"/>
      <c r="E247" s="521"/>
      <c r="F247" s="521"/>
      <c r="G247" s="521"/>
      <c r="H247" s="521"/>
      <c r="I247" s="521"/>
      <c r="J247" s="521"/>
      <c r="K247" s="521"/>
      <c r="L247" s="521"/>
      <c r="M247" s="521"/>
    </row>
    <row r="248" spans="1:13">
      <c r="A248" s="521"/>
      <c r="B248" s="63" t="s">
        <v>2312</v>
      </c>
      <c r="C248" s="521"/>
      <c r="D248" s="521"/>
      <c r="E248" s="521"/>
      <c r="F248" s="521"/>
      <c r="G248" s="521"/>
      <c r="H248" s="521"/>
      <c r="I248" s="521"/>
      <c r="J248" s="521"/>
      <c r="K248" s="521"/>
      <c r="L248" s="521"/>
      <c r="M248" s="521"/>
    </row>
    <row r="249" spans="1:13">
      <c r="A249" s="1808"/>
      <c r="B249" s="1321"/>
      <c r="C249" s="1812">
        <f t="shared" ref="C249:H249" si="18">C250</f>
        <v>10.922107499999999</v>
      </c>
      <c r="D249" s="1812">
        <f t="shared" si="18"/>
        <v>19.402179333333301</v>
      </c>
      <c r="E249" s="1812">
        <f t="shared" si="18"/>
        <v>108.66179368421101</v>
      </c>
      <c r="F249" s="1812">
        <f t="shared" si="18"/>
        <v>108.66179368421101</v>
      </c>
      <c r="G249" s="1812">
        <f t="shared" si="18"/>
        <v>108.66179368421101</v>
      </c>
      <c r="H249" s="1812">
        <f t="shared" si="18"/>
        <v>108.66179368421101</v>
      </c>
      <c r="I249" s="522"/>
      <c r="J249" s="522"/>
      <c r="K249" s="522"/>
      <c r="L249" s="521"/>
      <c r="M249" s="521"/>
    </row>
    <row r="250" spans="1:13">
      <c r="A250" s="1808"/>
      <c r="B250" s="1321"/>
      <c r="C250" s="631">
        <f>GetTSTableValue($B252:$H257,GREET1_Import_Export!$C$20,2)</f>
        <v>10.922107499999999</v>
      </c>
      <c r="D250" s="631">
        <f>GetTSTableValue($B252:$H257,GREET1_Import_Export!$C$20,3)</f>
        <v>19.402179333333301</v>
      </c>
      <c r="E250" s="631">
        <f>GetTSTableValue($B252:$H257,GREET1_Import_Export!$C$20,4)</f>
        <v>108.66179368421101</v>
      </c>
      <c r="F250" s="631">
        <f>GetTSTableValue($B252:$H257,GREET1_Import_Export!$C$20,5)</f>
        <v>108.66179368421101</v>
      </c>
      <c r="G250" s="631">
        <f>GetTSTableValue($B252:$H257,GREET1_Import_Export!$C$20,6)</f>
        <v>108.66179368421101</v>
      </c>
      <c r="H250" s="631">
        <f>GetTSTableValue($B252:$H257,GREET1_Import_Export!$C$20,7)</f>
        <v>108.66179368421101</v>
      </c>
      <c r="I250" s="631"/>
      <c r="J250" s="631"/>
      <c r="K250" s="631"/>
      <c r="L250" s="521"/>
      <c r="M250" s="521"/>
    </row>
    <row r="251" spans="1:13" ht="38.25">
      <c r="A251" s="1808"/>
      <c r="B251" s="1702" t="s">
        <v>2300</v>
      </c>
      <c r="C251" s="1192" t="s">
        <v>597</v>
      </c>
      <c r="D251" s="1474" t="s">
        <v>2302</v>
      </c>
      <c r="E251" s="1474" t="s">
        <v>2304</v>
      </c>
      <c r="F251" s="1474" t="s">
        <v>605</v>
      </c>
      <c r="G251" s="1474" t="s">
        <v>2305</v>
      </c>
      <c r="H251" s="1193" t="s">
        <v>2306</v>
      </c>
      <c r="I251" s="521"/>
      <c r="J251" s="521"/>
      <c r="K251" s="521"/>
      <c r="L251" s="521"/>
      <c r="M251" s="521"/>
    </row>
    <row r="252" spans="1:13">
      <c r="A252" s="1808" t="s">
        <v>2301</v>
      </c>
      <c r="B252" s="2589">
        <v>2015</v>
      </c>
      <c r="C252" s="1486">
        <v>10.922107499999999</v>
      </c>
      <c r="D252" s="2591">
        <v>19.402179333333301</v>
      </c>
      <c r="E252" s="2592">
        <v>108.66179368421101</v>
      </c>
      <c r="F252" s="2593">
        <v>108.66179368421101</v>
      </c>
      <c r="G252" s="2593">
        <v>108.66179368421101</v>
      </c>
      <c r="H252" s="2594">
        <v>108.66179368421101</v>
      </c>
      <c r="I252" s="521"/>
      <c r="J252" s="521"/>
      <c r="K252" s="521"/>
      <c r="L252" s="521"/>
      <c r="M252" s="521"/>
    </row>
    <row r="253" spans="1:13">
      <c r="A253" s="1808" t="s">
        <v>2301</v>
      </c>
      <c r="B253" s="2589">
        <v>2020</v>
      </c>
      <c r="C253" s="1506">
        <v>9.9125639999999997</v>
      </c>
      <c r="D253" s="1291">
        <v>22.392186500000001</v>
      </c>
      <c r="E253" s="1291">
        <v>57.665614999999995</v>
      </c>
      <c r="F253" s="1291">
        <v>88.952731199999988</v>
      </c>
      <c r="G253" s="1291">
        <v>133.580016</v>
      </c>
      <c r="H253" s="1093">
        <v>186.84051410000001</v>
      </c>
      <c r="I253" s="521"/>
      <c r="J253" s="521"/>
      <c r="K253" s="521"/>
      <c r="L253" s="521"/>
      <c r="M253" s="521"/>
    </row>
    <row r="254" spans="1:13">
      <c r="A254" s="1808" t="s">
        <v>2301</v>
      </c>
      <c r="B254" s="2589">
        <v>2025</v>
      </c>
      <c r="C254" s="1506">
        <v>9.2911967999999998</v>
      </c>
      <c r="D254" s="1291">
        <v>20.920723200000001</v>
      </c>
      <c r="E254" s="1291">
        <v>54.260269200000003</v>
      </c>
      <c r="F254" s="1291">
        <v>85.105244200000001</v>
      </c>
      <c r="G254" s="1291">
        <v>125.46990719999999</v>
      </c>
      <c r="H254" s="1093">
        <v>175.02049729999999</v>
      </c>
      <c r="I254" s="521"/>
      <c r="J254" s="521"/>
      <c r="K254" s="521"/>
      <c r="L254" s="521"/>
      <c r="M254" s="521"/>
    </row>
    <row r="255" spans="1:13">
      <c r="A255" s="1808" t="s">
        <v>2301</v>
      </c>
      <c r="B255" s="2589">
        <v>2030</v>
      </c>
      <c r="C255" s="1506">
        <v>8.6174280000000003</v>
      </c>
      <c r="D255" s="1291">
        <v>19.397005199999999</v>
      </c>
      <c r="E255" s="1291">
        <v>52.896671999999995</v>
      </c>
      <c r="F255" s="1291">
        <v>80.283299</v>
      </c>
      <c r="G255" s="1291">
        <v>119.61740450000001</v>
      </c>
      <c r="H255" s="1093">
        <v>164.30773540000001</v>
      </c>
      <c r="I255" s="521"/>
      <c r="J255" s="521"/>
      <c r="K255" s="521"/>
      <c r="L255" s="521"/>
      <c r="M255" s="521"/>
    </row>
    <row r="256" spans="1:13">
      <c r="A256" s="1808" t="s">
        <v>2301</v>
      </c>
      <c r="B256" s="2589">
        <v>2035</v>
      </c>
      <c r="C256" s="1506">
        <v>7.8625727999999997</v>
      </c>
      <c r="D256" s="1291">
        <v>17.610231599999999</v>
      </c>
      <c r="E256" s="1291">
        <v>48.7142208</v>
      </c>
      <c r="F256" s="1291">
        <v>79.915740499999998</v>
      </c>
      <c r="G256" s="1291">
        <v>109.7783021</v>
      </c>
      <c r="H256" s="1093">
        <v>140.466623</v>
      </c>
      <c r="I256" s="521"/>
      <c r="J256" s="521"/>
      <c r="K256" s="521"/>
      <c r="L256" s="521"/>
      <c r="M256" s="521"/>
    </row>
    <row r="257" spans="1:13">
      <c r="A257" s="1808" t="s">
        <v>2301</v>
      </c>
      <c r="B257" s="2590">
        <v>2050</v>
      </c>
      <c r="C257" s="1492">
        <v>6.6173760000000001</v>
      </c>
      <c r="D257" s="1292">
        <v>14.902989100000001</v>
      </c>
      <c r="E257" s="1292">
        <v>42.952094599999995</v>
      </c>
      <c r="F257" s="1292">
        <v>71.40165549999999</v>
      </c>
      <c r="G257" s="1292">
        <v>97.408377399999992</v>
      </c>
      <c r="H257" s="1493">
        <v>122.880672</v>
      </c>
      <c r="I257" s="521"/>
      <c r="J257" s="521"/>
      <c r="K257" s="521"/>
      <c r="L257" s="521"/>
      <c r="M257" s="521"/>
    </row>
    <row r="258" spans="1:13">
      <c r="A258" s="521"/>
      <c r="B258" s="521"/>
      <c r="C258" s="521"/>
      <c r="D258" s="521"/>
      <c r="E258" s="521"/>
      <c r="F258" s="521"/>
      <c r="G258" s="521"/>
      <c r="H258" s="521"/>
      <c r="I258" s="521"/>
      <c r="J258" s="521"/>
      <c r="K258" s="521"/>
      <c r="L258" s="521"/>
      <c r="M258" s="521"/>
    </row>
    <row r="259" spans="1:13">
      <c r="A259" s="151"/>
      <c r="B259" s="63" t="s">
        <v>2311</v>
      </c>
      <c r="C259" s="151"/>
      <c r="D259" s="521"/>
      <c r="E259" s="521"/>
      <c r="F259" s="521"/>
      <c r="G259" s="521"/>
      <c r="H259" s="521"/>
      <c r="I259" s="521"/>
      <c r="J259" s="521"/>
      <c r="K259" s="521"/>
      <c r="L259" s="521"/>
      <c r="M259" s="521"/>
    </row>
    <row r="260" spans="1:13">
      <c r="A260" s="1808"/>
      <c r="B260" s="1321"/>
      <c r="C260" s="1812">
        <f>C261</f>
        <v>45.485999999999997</v>
      </c>
      <c r="D260" s="1812">
        <f>D261</f>
        <v>45.485999999999997</v>
      </c>
      <c r="E260" s="522"/>
      <c r="F260" s="521"/>
      <c r="G260" s="521"/>
      <c r="H260" s="521"/>
      <c r="I260" s="521"/>
      <c r="J260" s="521"/>
      <c r="K260" s="521"/>
      <c r="L260" s="521"/>
      <c r="M260" s="521"/>
    </row>
    <row r="261" spans="1:13">
      <c r="A261" s="1808"/>
      <c r="B261" s="1321"/>
      <c r="C261" s="631">
        <f>GetTSTableValue($B263:$D268,GREET1_Import_Export!$C$20,2)</f>
        <v>45.485999999999997</v>
      </c>
      <c r="D261" s="631">
        <f>GetTSTableValue($B263:$D268,GREET1_Import_Export!$C$20,3)</f>
        <v>45.485999999999997</v>
      </c>
      <c r="E261" s="631"/>
      <c r="F261" s="521"/>
      <c r="G261" s="521"/>
      <c r="H261" s="521"/>
      <c r="I261" s="521"/>
      <c r="J261" s="521"/>
      <c r="K261" s="521"/>
      <c r="L261" s="521"/>
      <c r="M261" s="521"/>
    </row>
    <row r="262" spans="1:13" ht="38.25">
      <c r="A262" s="1808"/>
      <c r="B262" s="2542" t="s">
        <v>2300</v>
      </c>
      <c r="C262" s="1192" t="s">
        <v>143</v>
      </c>
      <c r="D262" s="1193" t="s">
        <v>149</v>
      </c>
      <c r="E262" s="521"/>
      <c r="F262" s="521"/>
      <c r="G262" s="521"/>
      <c r="H262" s="521"/>
      <c r="I262" s="521"/>
      <c r="J262" s="521"/>
      <c r="K262" s="521"/>
      <c r="L262" s="521"/>
      <c r="M262" s="521"/>
    </row>
    <row r="263" spans="1:13">
      <c r="A263" s="1808" t="s">
        <v>2301</v>
      </c>
      <c r="B263" s="1809">
        <v>2015</v>
      </c>
      <c r="C263" s="2598">
        <v>45.485999999999997</v>
      </c>
      <c r="D263" s="2599">
        <v>45.485999999999997</v>
      </c>
      <c r="E263" s="521"/>
      <c r="F263" s="521"/>
      <c r="G263" s="521"/>
      <c r="H263" s="521"/>
      <c r="I263" s="521"/>
      <c r="J263" s="521"/>
      <c r="K263" s="521"/>
      <c r="L263" s="521"/>
      <c r="M263" s="521"/>
    </row>
    <row r="264" spans="1:13">
      <c r="A264" s="1808" t="s">
        <v>2301</v>
      </c>
      <c r="B264" s="1809">
        <v>2020</v>
      </c>
      <c r="C264" s="1506">
        <v>46.153985300000002</v>
      </c>
      <c r="D264" s="1093">
        <v>39.560558799999995</v>
      </c>
      <c r="E264" s="521"/>
      <c r="F264" s="521"/>
      <c r="G264" s="521"/>
      <c r="H264" s="521"/>
      <c r="I264" s="521"/>
      <c r="J264" s="521"/>
      <c r="K264" s="521"/>
      <c r="L264" s="521"/>
      <c r="M264" s="521"/>
    </row>
    <row r="265" spans="1:13">
      <c r="A265" s="1808" t="s">
        <v>2301</v>
      </c>
      <c r="B265" s="1809">
        <v>2025</v>
      </c>
      <c r="C265" s="1506">
        <v>46.153985300000002</v>
      </c>
      <c r="D265" s="1093">
        <v>36.263845600000003</v>
      </c>
      <c r="E265" s="521"/>
      <c r="F265" s="521"/>
      <c r="G265" s="521"/>
      <c r="H265" s="521"/>
      <c r="I265" s="521"/>
      <c r="J265" s="521"/>
      <c r="K265" s="521"/>
      <c r="L265" s="521"/>
      <c r="M265" s="521"/>
    </row>
    <row r="266" spans="1:13">
      <c r="A266" s="1808" t="s">
        <v>2301</v>
      </c>
      <c r="B266" s="1809">
        <v>2030</v>
      </c>
      <c r="C266" s="1506">
        <v>42.857272100000003</v>
      </c>
      <c r="D266" s="1093">
        <v>36.263845600000003</v>
      </c>
      <c r="E266" s="521"/>
      <c r="F266" s="521"/>
      <c r="G266" s="521"/>
      <c r="H266" s="521"/>
      <c r="I266" s="521"/>
      <c r="J266" s="521"/>
      <c r="K266" s="521"/>
      <c r="L266" s="521"/>
      <c r="M266" s="521"/>
    </row>
    <row r="267" spans="1:13">
      <c r="A267" s="1808" t="s">
        <v>2301</v>
      </c>
      <c r="B267" s="1809">
        <v>2035</v>
      </c>
      <c r="C267" s="1506">
        <v>40.998895499999996</v>
      </c>
      <c r="D267" s="1093">
        <v>31.537611899999998</v>
      </c>
      <c r="E267" s="521"/>
      <c r="F267" s="521"/>
      <c r="G267" s="521"/>
      <c r="H267" s="521"/>
      <c r="I267" s="521"/>
      <c r="J267" s="521"/>
      <c r="K267" s="521"/>
      <c r="L267" s="521"/>
      <c r="M267" s="521"/>
    </row>
    <row r="268" spans="1:13">
      <c r="A268" s="1808" t="s">
        <v>2301</v>
      </c>
      <c r="B268" s="1810">
        <v>2050</v>
      </c>
      <c r="C268" s="1492">
        <v>40.998895499999996</v>
      </c>
      <c r="D268" s="1493">
        <v>31.537611899999998</v>
      </c>
      <c r="E268" s="521"/>
      <c r="F268" s="521"/>
      <c r="G268" s="521"/>
      <c r="H268" s="521"/>
      <c r="I268" s="521"/>
      <c r="J268" s="521"/>
      <c r="K268" s="521"/>
      <c r="L268" s="521"/>
      <c r="M268" s="521"/>
    </row>
    <row r="269" spans="1:13">
      <c r="A269" s="521"/>
      <c r="B269" s="521"/>
      <c r="C269" s="521"/>
      <c r="D269" s="521"/>
      <c r="E269" s="521"/>
      <c r="F269" s="521"/>
      <c r="G269" s="521"/>
      <c r="H269" s="521"/>
      <c r="I269" s="521"/>
      <c r="J269" s="521"/>
      <c r="K269" s="521"/>
      <c r="L269" s="521"/>
      <c r="M269" s="521"/>
    </row>
    <row r="270" spans="1:13">
      <c r="A270" s="151"/>
      <c r="B270" s="63" t="s">
        <v>2706</v>
      </c>
      <c r="C270" s="151"/>
      <c r="D270" s="521"/>
      <c r="E270" s="521"/>
      <c r="F270" s="521"/>
      <c r="G270" s="521"/>
      <c r="H270" s="521"/>
      <c r="I270" s="521"/>
      <c r="J270" s="521"/>
      <c r="K270" s="521"/>
      <c r="L270" s="521"/>
      <c r="M270" s="521"/>
    </row>
    <row r="271" spans="1:13">
      <c r="A271" s="1808"/>
      <c r="B271" s="1321"/>
      <c r="C271" s="1812">
        <f>C272</f>
        <v>120.63200000000001</v>
      </c>
      <c r="D271" s="158"/>
      <c r="E271" s="363"/>
      <c r="F271" s="158"/>
      <c r="G271" s="158"/>
      <c r="H271" s="158"/>
      <c r="I271" s="158"/>
      <c r="J271" s="158"/>
      <c r="K271" s="158"/>
      <c r="L271" s="521"/>
      <c r="M271" s="521"/>
    </row>
    <row r="272" spans="1:13">
      <c r="A272" s="1808"/>
      <c r="B272" s="1321"/>
      <c r="C272" s="631">
        <f>GetTSTableValue($B274:$C279,GREET1_Import_Export!$C$20,2)</f>
        <v>120.63200000000001</v>
      </c>
      <c r="D272" s="158"/>
      <c r="E272" s="363"/>
      <c r="F272" s="158"/>
      <c r="G272" s="158"/>
      <c r="H272" s="158"/>
      <c r="I272" s="158"/>
      <c r="J272" s="158"/>
      <c r="K272" s="158"/>
      <c r="L272" s="521"/>
      <c r="M272" s="521"/>
    </row>
    <row r="273" spans="1:13" ht="38.25">
      <c r="A273" s="1808"/>
      <c r="B273" s="2542" t="s">
        <v>2300</v>
      </c>
      <c r="C273" s="1823" t="s">
        <v>149</v>
      </c>
      <c r="D273" s="565"/>
      <c r="E273" s="363"/>
      <c r="F273" s="565"/>
      <c r="G273" s="565"/>
      <c r="H273" s="565"/>
      <c r="I273" s="565"/>
      <c r="J273" s="565"/>
      <c r="K273" s="565"/>
      <c r="L273" s="521"/>
      <c r="M273" s="521"/>
    </row>
    <row r="274" spans="1:13">
      <c r="A274" s="1808" t="s">
        <v>2301</v>
      </c>
      <c r="B274" s="1809">
        <v>2015</v>
      </c>
      <c r="C274" s="2600">
        <v>120.63200000000001</v>
      </c>
      <c r="D274" s="1822"/>
      <c r="E274" s="363"/>
      <c r="F274" s="976"/>
      <c r="G274" s="976"/>
      <c r="H274" s="1291"/>
      <c r="I274" s="1291"/>
      <c r="J274" s="1291"/>
      <c r="K274" s="1291"/>
      <c r="L274" s="521"/>
      <c r="M274" s="521"/>
    </row>
    <row r="275" spans="1:13">
      <c r="A275" s="1808" t="s">
        <v>2301</v>
      </c>
      <c r="B275" s="1809">
        <v>2020</v>
      </c>
      <c r="C275" s="1507">
        <v>105.187</v>
      </c>
      <c r="D275" s="1291"/>
      <c r="E275" s="363"/>
      <c r="F275" s="1291"/>
      <c r="G275" s="1291"/>
      <c r="H275" s="1291"/>
      <c r="I275" s="1291"/>
      <c r="J275" s="1291"/>
      <c r="K275" s="1291"/>
      <c r="L275" s="521"/>
      <c r="M275" s="521"/>
    </row>
    <row r="276" spans="1:13">
      <c r="A276" s="1808" t="s">
        <v>2301</v>
      </c>
      <c r="B276" s="1809">
        <v>2025</v>
      </c>
      <c r="C276" s="1507">
        <v>95.453000000000003</v>
      </c>
      <c r="D276" s="1291"/>
      <c r="E276" s="363"/>
      <c r="F276" s="1291"/>
      <c r="G276" s="1291"/>
      <c r="H276" s="1291"/>
      <c r="I276" s="1291"/>
      <c r="J276" s="1291"/>
      <c r="K276" s="1291"/>
      <c r="L276" s="521"/>
      <c r="M276" s="521"/>
    </row>
    <row r="277" spans="1:13">
      <c r="A277" s="1808" t="s">
        <v>2301</v>
      </c>
      <c r="B277" s="1809">
        <v>2030</v>
      </c>
      <c r="C277" s="1507">
        <v>95.998000000000005</v>
      </c>
      <c r="D277" s="1291"/>
      <c r="E277" s="363"/>
      <c r="F277" s="1291"/>
      <c r="G277" s="1291"/>
      <c r="H277" s="1291"/>
      <c r="I277" s="1291"/>
      <c r="J277" s="1291"/>
      <c r="K277" s="1291"/>
      <c r="L277" s="521"/>
      <c r="M277" s="521"/>
    </row>
    <row r="278" spans="1:13">
      <c r="A278" s="1808" t="s">
        <v>2301</v>
      </c>
      <c r="B278" s="1809">
        <v>2035</v>
      </c>
      <c r="C278" s="1507">
        <v>90.316000000000003</v>
      </c>
      <c r="D278" s="1291"/>
      <c r="E278" s="363"/>
      <c r="F278" s="1291"/>
      <c r="G278" s="1291"/>
      <c r="H278" s="1291"/>
      <c r="I278" s="1291"/>
      <c r="J278" s="1291"/>
      <c r="K278" s="1291"/>
      <c r="L278" s="521"/>
      <c r="M278" s="521"/>
    </row>
    <row r="279" spans="1:13">
      <c r="A279" s="1808" t="s">
        <v>2301</v>
      </c>
      <c r="B279" s="1810">
        <v>2050</v>
      </c>
      <c r="C279" s="1508">
        <v>85.57</v>
      </c>
      <c r="D279" s="1291"/>
      <c r="E279" s="363"/>
      <c r="F279" s="1291"/>
      <c r="G279" s="1291"/>
      <c r="H279" s="1291"/>
      <c r="I279" s="1291"/>
      <c r="J279" s="1291"/>
      <c r="K279" s="1291"/>
      <c r="L279" s="521"/>
      <c r="M279" s="521"/>
    </row>
  </sheetData>
  <mergeCells count="3">
    <mergeCell ref="C128:L128"/>
    <mergeCell ref="M128:V128"/>
    <mergeCell ref="W128:AF128"/>
  </mergeCells>
  <phoneticPr fontId="4" type="noConversion"/>
  <pageMargins left="0.75" right="0.75" top="1" bottom="1" header="0.5" footer="0.5"/>
  <pageSetup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1"/>
  <dimension ref="A1:AX279"/>
  <sheetViews>
    <sheetView showGridLines="0" zoomScale="85" zoomScaleNormal="85" workbookViewId="0"/>
  </sheetViews>
  <sheetFormatPr defaultColWidth="9.140625" defaultRowHeight="12.75"/>
  <cols>
    <col min="1" max="1" width="3.42578125" style="8" customWidth="1"/>
    <col min="2" max="2" width="32.42578125" style="8" bestFit="1" customWidth="1"/>
    <col min="3" max="3" width="14" style="8" customWidth="1"/>
    <col min="4" max="4" width="14.42578125" style="8" customWidth="1"/>
    <col min="5" max="5" width="14.140625" style="8" customWidth="1"/>
    <col min="6" max="6" width="11.85546875" style="8" bestFit="1" customWidth="1"/>
    <col min="7" max="7" width="10.28515625" style="8" bestFit="1" customWidth="1"/>
    <col min="8" max="8" width="10.42578125" style="8" bestFit="1" customWidth="1"/>
    <col min="9" max="9" width="11.42578125" style="8" bestFit="1" customWidth="1"/>
    <col min="10" max="10" width="10.42578125" style="8" bestFit="1" customWidth="1"/>
    <col min="11" max="11" width="13.28515625" style="8" customWidth="1"/>
    <col min="12" max="12" width="11.28515625" style="8" customWidth="1"/>
    <col min="13" max="13" width="14" style="8" customWidth="1"/>
    <col min="14" max="14" width="14.42578125" style="8" customWidth="1"/>
    <col min="15" max="15" width="14.140625" style="8" customWidth="1"/>
    <col min="16" max="16" width="11.85546875" style="8" customWidth="1"/>
    <col min="17" max="17" width="10.28515625" style="8" customWidth="1"/>
    <col min="18" max="18" width="10.42578125" style="8" customWidth="1"/>
    <col min="19" max="19" width="11.42578125" style="8" customWidth="1"/>
    <col min="20" max="20" width="10.42578125" style="8" customWidth="1"/>
    <col min="21" max="21" width="13.28515625" style="8" customWidth="1"/>
    <col min="22" max="22" width="11.28515625" style="8" customWidth="1"/>
    <col min="23" max="23" width="14" style="8" customWidth="1"/>
    <col min="24" max="24" width="14.42578125" style="8" customWidth="1"/>
    <col min="25" max="25" width="14.140625" style="8" customWidth="1"/>
    <col min="26" max="26" width="11.85546875" style="8" customWidth="1"/>
    <col min="27" max="27" width="10.28515625" style="8" customWidth="1"/>
    <col min="28" max="28" width="10.42578125" style="8" customWidth="1"/>
    <col min="29" max="29" width="11.42578125" style="8" customWidth="1"/>
    <col min="30" max="30" width="10.42578125" style="8" customWidth="1"/>
    <col min="31" max="31" width="13.28515625" style="8" customWidth="1"/>
    <col min="32" max="32" width="11.28515625" style="8" customWidth="1"/>
    <col min="33" max="16384" width="9.140625" style="8"/>
  </cols>
  <sheetData>
    <row r="1" spans="1:50" ht="15.75">
      <c r="A1" s="297" t="s">
        <v>711</v>
      </c>
    </row>
    <row r="2" spans="1:50" ht="15">
      <c r="A2" s="134" t="s">
        <v>594</v>
      </c>
      <c r="AQ2" s="521"/>
      <c r="AR2" s="521"/>
      <c r="AS2" s="521"/>
      <c r="AT2" s="521"/>
      <c r="AU2" s="521"/>
      <c r="AV2" s="521"/>
      <c r="AW2" s="521"/>
      <c r="AX2" s="521"/>
    </row>
    <row r="3" spans="1:50" ht="38.25">
      <c r="B3" s="1611"/>
      <c r="C3" s="1421" t="s">
        <v>141</v>
      </c>
      <c r="D3" s="1421" t="s">
        <v>142</v>
      </c>
      <c r="E3" s="1421" t="s">
        <v>143</v>
      </c>
      <c r="F3" s="1421" t="s">
        <v>144</v>
      </c>
      <c r="G3" s="1421" t="s">
        <v>145</v>
      </c>
      <c r="H3" s="1421" t="s">
        <v>146</v>
      </c>
      <c r="I3" s="1421" t="s">
        <v>147</v>
      </c>
      <c r="J3" s="1421" t="s">
        <v>148</v>
      </c>
      <c r="K3" s="1421" t="s">
        <v>149</v>
      </c>
      <c r="L3" s="1174" t="s">
        <v>150</v>
      </c>
      <c r="N3" s="1816" t="s">
        <v>597</v>
      </c>
      <c r="O3" s="950" t="s">
        <v>598</v>
      </c>
      <c r="P3" s="950" t="s">
        <v>599</v>
      </c>
      <c r="Q3" s="950" t="s">
        <v>600</v>
      </c>
      <c r="R3" s="950" t="s">
        <v>601</v>
      </c>
      <c r="S3" s="950" t="s">
        <v>602</v>
      </c>
      <c r="T3" s="950" t="s">
        <v>2302</v>
      </c>
      <c r="U3" s="1817" t="s">
        <v>2303</v>
      </c>
      <c r="V3" s="950" t="s">
        <v>2304</v>
      </c>
      <c r="W3" s="950" t="s">
        <v>2308</v>
      </c>
      <c r="X3" s="950" t="s">
        <v>605</v>
      </c>
      <c r="Y3" s="1817" t="s">
        <v>606</v>
      </c>
      <c r="Z3" s="950" t="s">
        <v>2305</v>
      </c>
      <c r="AA3" s="950" t="s">
        <v>2309</v>
      </c>
      <c r="AB3" s="950" t="s">
        <v>2306</v>
      </c>
      <c r="AC3" s="1817" t="s">
        <v>2310</v>
      </c>
      <c r="AQ3" s="151"/>
      <c r="AR3" s="363"/>
      <c r="AS3" s="151"/>
      <c r="AT3" s="363"/>
      <c r="AU3" s="363"/>
      <c r="AV3" s="363"/>
      <c r="AW3" s="363"/>
      <c r="AX3" s="363"/>
    </row>
    <row r="4" spans="1:50">
      <c r="B4" s="572" t="s">
        <v>712</v>
      </c>
      <c r="C4" s="1066">
        <f>C226+C17</f>
        <v>4490.8109400000003</v>
      </c>
      <c r="D4" s="2601">
        <f>3815.6081+D17</f>
        <v>3850.6080999999999</v>
      </c>
      <c r="E4" s="1066">
        <f>D226+(E17+IF(Vehi_Inputs!$C$74=1,E18,E19))</f>
        <v>4843.1850610000001</v>
      </c>
      <c r="F4" s="2601">
        <f>3912.47442+(F17+IF(Vehi_Inputs!$C$74=1,F18,F19))</f>
        <v>4058.60161135</v>
      </c>
      <c r="G4" s="2564">
        <f>IF(GREET1_Import_Export!$D$12=20,N4,IF(GREET1_Import_Export!$D$12=30,P4,IF(GREET1_Import_Export!$D$12=40,R4,T4)))+(G17+IF(Vehi_Inputs!$C$75=1,G18,G19))</f>
        <v>4930.6208334178191</v>
      </c>
      <c r="H4" s="2564">
        <f>IF(GREET1_Import_Export!$D$12=20,O4,IF(GREET1_Import_Export!$D$12=30,Q4,IF(GREET1_Import_Export!$D$12=40,S4,U4)))+(H17+IF(Vehi_Inputs!$C$75=1,H18,H19))</f>
        <v>4096.6966971193751</v>
      </c>
      <c r="I4" s="2564">
        <f>IF(GREET1_Import_Export!$G$12=200,V4,IF(GREET1_Import_Export!$G$12=300,X4,IF(GREET1_Import_Export!$G$12=400,Z4,AB4)))+(I17+IF(Vehi_Inputs!$C$76=1,I18,I19))</f>
        <v>5668.3678077683289</v>
      </c>
      <c r="J4" s="2564">
        <f>IF(GREET1_Import_Export!$G$12=200,W4,IF(GREET1_Import_Export!$G$12=300,Y4,IF(GREET1_Import_Export!$G$12=400,AA4,AC4)))+(J17+IF(Vehi_Inputs!$C$76=1,J18,J19))</f>
        <v>4480.8806148340464</v>
      </c>
      <c r="K4" s="1066">
        <f>E226+(K17+IF(Vehi_Inputs!$C$77=1,K18,K19))</f>
        <v>5243.3318882499998</v>
      </c>
      <c r="L4" s="2602">
        <f>4115.29946+(L17+IF(Vehi_Inputs!$C$77=1,L18,L19))</f>
        <v>4261.4266513500006</v>
      </c>
      <c r="N4" s="1272">
        <f>F226</f>
        <v>4703.933</v>
      </c>
      <c r="O4" s="1818">
        <v>3923.4975199999994</v>
      </c>
      <c r="P4" s="1818">
        <v>4891.3256999999994</v>
      </c>
      <c r="Q4" s="1818">
        <v>4024.9100399999998</v>
      </c>
      <c r="R4" s="1818">
        <v>4937.6227199999994</v>
      </c>
      <c r="S4" s="1818">
        <v>4038.1377600000001</v>
      </c>
      <c r="T4" s="1482">
        <f>G226</f>
        <v>4937.6227200000003</v>
      </c>
      <c r="U4" s="1820">
        <v>4038.1377600000001</v>
      </c>
      <c r="V4" s="1272">
        <f>H226</f>
        <v>4243.1674199999998</v>
      </c>
      <c r="W4" s="1818">
        <v>3438.4811199999999</v>
      </c>
      <c r="X4" s="1482">
        <f>I226</f>
        <v>4243.1674199999998</v>
      </c>
      <c r="Y4" s="1818">
        <v>3438.4811199999999</v>
      </c>
      <c r="Z4" s="1482">
        <f>J226</f>
        <v>4243.1674199999998</v>
      </c>
      <c r="AA4" s="1820">
        <v>3438.4811199999999</v>
      </c>
      <c r="AB4" s="1482">
        <f>K226</f>
        <v>4243.1674199999998</v>
      </c>
      <c r="AC4" s="1819">
        <v>3438.4811199999999</v>
      </c>
      <c r="AQ4" s="312"/>
      <c r="AR4" s="489"/>
      <c r="AS4" s="158"/>
      <c r="AT4" s="158"/>
      <c r="AU4" s="158"/>
      <c r="AV4" s="158"/>
      <c r="AW4" s="158"/>
      <c r="AX4" s="158"/>
    </row>
    <row r="5" spans="1:50">
      <c r="B5" s="549" t="s">
        <v>713</v>
      </c>
      <c r="C5" s="975">
        <v>5227.5221915399979</v>
      </c>
      <c r="D5" s="975">
        <v>4029.3112215399983</v>
      </c>
      <c r="E5" s="565" t="e">
        <f>NA()</f>
        <v>#N/A</v>
      </c>
      <c r="F5" s="565" t="e">
        <f>NA()</f>
        <v>#N/A</v>
      </c>
      <c r="G5" s="565" t="e">
        <f>NA()</f>
        <v>#N/A</v>
      </c>
      <c r="H5" s="565" t="e">
        <f>NA()</f>
        <v>#N/A</v>
      </c>
      <c r="I5" s="565" t="e">
        <f>NA()</f>
        <v>#N/A</v>
      </c>
      <c r="J5" s="565" t="e">
        <f>NA()</f>
        <v>#N/A</v>
      </c>
      <c r="K5" s="565" t="e">
        <f>NA()</f>
        <v>#N/A</v>
      </c>
      <c r="L5" s="1012" t="e">
        <f>NA()</f>
        <v>#N/A</v>
      </c>
      <c r="AQ5" s="312"/>
      <c r="AR5" s="489"/>
      <c r="AS5" s="158"/>
      <c r="AT5" s="158"/>
      <c r="AU5" s="158"/>
      <c r="AV5" s="158"/>
      <c r="AW5" s="158"/>
      <c r="AX5" s="158"/>
    </row>
    <row r="6" spans="1:50">
      <c r="B6" s="559" t="s">
        <v>714</v>
      </c>
      <c r="C6" s="526">
        <f>IF(Vehi_Inputs!$B$14=2,C5,C4)</f>
        <v>4490.8109400000003</v>
      </c>
      <c r="D6" s="526">
        <f>IF(Vehi_Inputs!$B$14=2,D5,D4)</f>
        <v>3850.6080999999999</v>
      </c>
      <c r="E6" s="526">
        <f>IF(Vehi_Inputs!$B$14=2,E5,E4)</f>
        <v>4843.1850610000001</v>
      </c>
      <c r="F6" s="526">
        <f>IF(Vehi_Inputs!$B$14=2,F5,F4)</f>
        <v>4058.60161135</v>
      </c>
      <c r="G6" s="526">
        <f>IF(Vehi_Inputs!$B$14=2,G5,G4)</f>
        <v>4930.6208334178191</v>
      </c>
      <c r="H6" s="526">
        <f>IF(Vehi_Inputs!$B$14=2,H5,H4)</f>
        <v>4096.6966971193751</v>
      </c>
      <c r="I6" s="526">
        <f>IF(Vehi_Inputs!$B$14=2,I5,I4)</f>
        <v>5668.3678077683289</v>
      </c>
      <c r="J6" s="526">
        <f>IF(Vehi_Inputs!$B$14=2,J5,J4)</f>
        <v>4480.8806148340464</v>
      </c>
      <c r="K6" s="526">
        <f>IF(Vehi_Inputs!$B$14=2,K5,K4)</f>
        <v>5243.3318882499998</v>
      </c>
      <c r="L6" s="527">
        <f>IF(Vehi_Inputs!$B$14=2,L5,L4)</f>
        <v>4261.4266513500006</v>
      </c>
      <c r="AQ6" s="312"/>
      <c r="AR6" s="1814"/>
      <c r="AS6" s="565"/>
      <c r="AT6" s="565"/>
      <c r="AU6" s="565"/>
      <c r="AV6" s="565"/>
      <c r="AW6" s="565"/>
      <c r="AX6" s="565"/>
    </row>
    <row r="7" spans="1:50" ht="15">
      <c r="D7" s="522"/>
      <c r="F7" s="642"/>
      <c r="G7" s="1321"/>
      <c r="H7" s="1321"/>
      <c r="J7" s="642"/>
      <c r="L7" s="642"/>
      <c r="AQ7" s="312"/>
      <c r="AR7" s="1815"/>
      <c r="AS7" s="1813"/>
      <c r="AT7" s="1291"/>
      <c r="AU7" s="1291"/>
      <c r="AV7" s="1291"/>
      <c r="AW7" s="1291"/>
      <c r="AX7" s="1291"/>
    </row>
    <row r="8" spans="1:50" ht="15">
      <c r="A8" s="134" t="s">
        <v>610</v>
      </c>
      <c r="AQ8" s="312"/>
      <c r="AR8" s="1815"/>
      <c r="AS8" s="1813"/>
      <c r="AT8" s="1291"/>
      <c r="AU8" s="1291"/>
      <c r="AV8" s="1291"/>
      <c r="AW8" s="1291"/>
      <c r="AX8" s="1291"/>
    </row>
    <row r="9" spans="1:50" ht="15">
      <c r="A9" s="63" t="s">
        <v>611</v>
      </c>
      <c r="N9" s="521" t="s">
        <v>612</v>
      </c>
      <c r="O9" s="521"/>
      <c r="P9" s="521"/>
      <c r="Q9" s="521"/>
      <c r="R9" s="521"/>
      <c r="S9" s="521"/>
      <c r="T9" s="521"/>
      <c r="U9" s="521"/>
      <c r="V9" s="521"/>
      <c r="W9" s="521"/>
      <c r="X9" s="521"/>
      <c r="Y9" s="521"/>
      <c r="Z9" s="521"/>
      <c r="AA9" s="521"/>
      <c r="AQ9" s="312"/>
      <c r="AR9" s="1815"/>
      <c r="AS9" s="1813"/>
      <c r="AT9" s="1291"/>
      <c r="AU9" s="1291"/>
      <c r="AV9" s="1291"/>
      <c r="AW9" s="1291"/>
      <c r="AX9" s="1291"/>
    </row>
    <row r="10" spans="1:50" ht="39">
      <c r="A10" s="63"/>
      <c r="B10" s="1611"/>
      <c r="C10" s="1421" t="s">
        <v>141</v>
      </c>
      <c r="D10" s="1421" t="s">
        <v>142</v>
      </c>
      <c r="E10" s="1421" t="s">
        <v>143</v>
      </c>
      <c r="F10" s="1421" t="s">
        <v>144</v>
      </c>
      <c r="G10" s="1421" t="s">
        <v>145</v>
      </c>
      <c r="H10" s="1421" t="s">
        <v>146</v>
      </c>
      <c r="I10" s="1421" t="s">
        <v>147</v>
      </c>
      <c r="J10" s="1421" t="s">
        <v>148</v>
      </c>
      <c r="K10" s="1421" t="s">
        <v>149</v>
      </c>
      <c r="L10" s="1174" t="s">
        <v>150</v>
      </c>
      <c r="N10" s="1816" t="s">
        <v>141</v>
      </c>
      <c r="O10" s="950" t="s">
        <v>143</v>
      </c>
      <c r="P10" s="950" t="s">
        <v>145</v>
      </c>
      <c r="Q10" s="950" t="s">
        <v>147</v>
      </c>
      <c r="R10" s="1817" t="s">
        <v>149</v>
      </c>
      <c r="T10" s="1192" t="s">
        <v>597</v>
      </c>
      <c r="U10" s="1474" t="s">
        <v>599</v>
      </c>
      <c r="V10" s="1474" t="s">
        <v>601</v>
      </c>
      <c r="W10" s="1474" t="s">
        <v>2302</v>
      </c>
      <c r="X10" s="1192" t="s">
        <v>2304</v>
      </c>
      <c r="Y10" s="1474" t="s">
        <v>605</v>
      </c>
      <c r="Z10" s="1474" t="s">
        <v>2305</v>
      </c>
      <c r="AA10" s="1193" t="s">
        <v>2306</v>
      </c>
      <c r="AQ10" s="312"/>
      <c r="AR10" s="1815"/>
      <c r="AS10" s="1813"/>
      <c r="AT10" s="1291"/>
      <c r="AU10" s="1291"/>
      <c r="AV10" s="1291"/>
      <c r="AW10" s="1291"/>
      <c r="AX10" s="1291"/>
    </row>
    <row r="11" spans="1:50" ht="15">
      <c r="A11" s="63"/>
      <c r="B11" s="141" t="s">
        <v>715</v>
      </c>
      <c r="C11" s="216">
        <v>53.5</v>
      </c>
      <c r="D11" s="216">
        <v>35</v>
      </c>
      <c r="E11" s="216">
        <v>36</v>
      </c>
      <c r="F11" s="216">
        <v>23.8</v>
      </c>
      <c r="G11" s="216">
        <v>36</v>
      </c>
      <c r="H11" s="216">
        <v>23.8</v>
      </c>
      <c r="I11" s="216">
        <v>36</v>
      </c>
      <c r="J11" s="216">
        <v>23.8</v>
      </c>
      <c r="K11" s="216">
        <v>36</v>
      </c>
      <c r="L11" s="217">
        <v>23.8</v>
      </c>
      <c r="N11" s="2565">
        <f>C238</f>
        <v>4490.8109399999994</v>
      </c>
      <c r="O11" s="2566">
        <f>D238</f>
        <v>4764.1838199999993</v>
      </c>
      <c r="P11" s="2566">
        <f>IF(GREET1_Import_Export!$D$12=20,T11,IF(GREET1_Import_Export!$D$12=30,U11,IF(GREET1_Import_Export!$D$12=40,V11,W11)))</f>
        <v>5302.1111000000001</v>
      </c>
      <c r="Q11" s="2566">
        <f>IF(GREET1_Import_Export!$G$12=200,X11,IF(GREET1_Import_Export!$G$12=300,Y11,IF(GREET1_Import_Export!$G$12=400,Z11,AA11)))</f>
        <v>6355.9194600000001</v>
      </c>
      <c r="R11" s="2567">
        <f>E238</f>
        <v>5165.4246599999997</v>
      </c>
      <c r="T11" s="1194">
        <f>F238</f>
        <v>5302.1111000000001</v>
      </c>
      <c r="U11" s="973">
        <v>5469.6622199999993</v>
      </c>
      <c r="V11" s="973">
        <v>5696.7380799999992</v>
      </c>
      <c r="W11" s="526">
        <f>G238</f>
        <v>5696.7380800000001</v>
      </c>
      <c r="X11" s="1272">
        <f>H238</f>
        <v>6355.9194600000001</v>
      </c>
      <c r="Y11" s="1482">
        <f>I238</f>
        <v>6355.9194600000001</v>
      </c>
      <c r="Z11" s="1482">
        <f>J238</f>
        <v>6355.9194600000001</v>
      </c>
      <c r="AA11" s="1483">
        <f>K238</f>
        <v>6355.9194600000001</v>
      </c>
      <c r="AQ11" s="312"/>
      <c r="AR11" s="1815"/>
      <c r="AS11" s="1813"/>
      <c r="AT11" s="1291"/>
      <c r="AU11" s="1291"/>
      <c r="AV11" s="1291"/>
      <c r="AW11" s="1291"/>
      <c r="AX11" s="1291"/>
    </row>
    <row r="12" spans="1:50" ht="15">
      <c r="A12" s="63"/>
      <c r="B12" s="141" t="s">
        <v>716</v>
      </c>
      <c r="C12" s="143"/>
      <c r="D12" s="143"/>
      <c r="E12" s="143">
        <f>C99*1000/Vehi_Inputs!$C$110*2.2046</f>
        <v>145.13984099999999</v>
      </c>
      <c r="F12" s="143">
        <f>C100*1000/Vehi_Inputs!$C$110*2.2046</f>
        <v>122.32719135000001</v>
      </c>
      <c r="G12" s="143">
        <f>C106*1000/Vehi_Inputs!$C$116*2.2046</f>
        <v>558.18810230754718</v>
      </c>
      <c r="H12" s="143">
        <f>C107*1000/Vehi_Inputs!$C$116*2.2046</f>
        <v>437.32650199999995</v>
      </c>
      <c r="I12" s="143">
        <f>C108*1000/Vehi_Inputs!$C$117*2.2046</f>
        <v>4590.5058220226829</v>
      </c>
      <c r="J12" s="143">
        <f>C109*1000/Vehi_Inputs!$C$117*2.2046</f>
        <v>3365.883678492632</v>
      </c>
      <c r="K12" s="143">
        <f>C101*1000/Vehi_Inputs!$C$111*2.2046</f>
        <v>141.84120825000002</v>
      </c>
      <c r="L12" s="144">
        <f>C102*1000/Vehi_Inputs!$C$111*2.2046</f>
        <v>122.32719135000001</v>
      </c>
      <c r="AQ12" s="312"/>
      <c r="AR12" s="1815"/>
      <c r="AS12" s="1813"/>
      <c r="AT12" s="1291"/>
      <c r="AU12" s="1291"/>
      <c r="AV12" s="1291"/>
      <c r="AW12" s="1291"/>
      <c r="AX12" s="1291"/>
    </row>
    <row r="13" spans="1:50">
      <c r="A13" s="63"/>
      <c r="B13" s="142" t="s">
        <v>717</v>
      </c>
      <c r="C13" s="145"/>
      <c r="D13" s="145"/>
      <c r="E13" s="145">
        <f>D99*1000/Vehi_Inputs!$E$110*2.2046</f>
        <v>49.690925853595232</v>
      </c>
      <c r="F13" s="145">
        <f>D100*1000/Vehi_Inputs!$E$110*2.2046</f>
        <v>41.880653536415316</v>
      </c>
      <c r="G13" s="145">
        <f>D106*1000/Vehi_Inputs!$E$116*2.2046</f>
        <v>190.68783341781892</v>
      </c>
      <c r="H13" s="145">
        <f>D107*1000/Vehi_Inputs!$E$116*2.2046</f>
        <v>149.39917711937568</v>
      </c>
      <c r="I13" s="145">
        <f>D108*1000/Vehi_Inputs!$E$117*2.2046</f>
        <v>1389.2003877683294</v>
      </c>
      <c r="J13" s="145">
        <f>D109*1000/Vehi_Inputs!$E$117*2.2046</f>
        <v>1018.5994948340468</v>
      </c>
      <c r="K13" s="145">
        <f>D101*1000/Vehi_Inputs!$E$111*2.2046</f>
        <v>48.561586629649888</v>
      </c>
      <c r="L13" s="146">
        <f>D102*1000/Vehi_Inputs!$E$111*2.2046</f>
        <v>41.880653536415316</v>
      </c>
      <c r="AQ13" s="363"/>
      <c r="AR13" s="363"/>
      <c r="AS13" s="363"/>
      <c r="AT13" s="521"/>
      <c r="AU13" s="521"/>
      <c r="AV13" s="521"/>
      <c r="AW13" s="521"/>
      <c r="AX13" s="521"/>
    </row>
    <row r="14" spans="1:50">
      <c r="A14" s="63"/>
      <c r="B14" s="156" t="s">
        <v>718</v>
      </c>
      <c r="C14" s="547">
        <v>39.125391139999998</v>
      </c>
      <c r="D14" s="547">
        <v>39.125391139999998</v>
      </c>
      <c r="E14" s="547">
        <v>0</v>
      </c>
      <c r="F14" s="547">
        <v>0</v>
      </c>
      <c r="G14" s="547">
        <v>0</v>
      </c>
      <c r="H14" s="547">
        <v>0</v>
      </c>
      <c r="I14" s="547">
        <v>0</v>
      </c>
      <c r="J14" s="547">
        <v>0</v>
      </c>
      <c r="K14" s="547">
        <v>0</v>
      </c>
      <c r="L14" s="562">
        <v>0</v>
      </c>
      <c r="AQ14" s="521"/>
      <c r="AR14" s="521"/>
      <c r="AS14" s="521"/>
      <c r="AT14" s="521"/>
      <c r="AU14" s="521"/>
      <c r="AV14" s="521"/>
      <c r="AW14" s="521"/>
      <c r="AX14" s="521"/>
    </row>
    <row r="15" spans="1:50">
      <c r="A15" s="63"/>
      <c r="B15" s="141" t="s">
        <v>719</v>
      </c>
      <c r="C15" s="560"/>
      <c r="D15" s="560"/>
      <c r="E15" s="216">
        <v>0</v>
      </c>
      <c r="F15" s="216">
        <v>0</v>
      </c>
      <c r="G15" s="216">
        <v>0</v>
      </c>
      <c r="H15" s="216">
        <v>0</v>
      </c>
      <c r="I15" s="216">
        <v>0</v>
      </c>
      <c r="J15" s="216">
        <v>0</v>
      </c>
      <c r="K15" s="216">
        <v>0</v>
      </c>
      <c r="L15" s="217">
        <v>0</v>
      </c>
      <c r="AQ15" s="521"/>
      <c r="AR15" s="521"/>
      <c r="AS15" s="521"/>
      <c r="AT15" s="521"/>
      <c r="AU15" s="521"/>
      <c r="AV15" s="521"/>
      <c r="AW15" s="521"/>
      <c r="AX15" s="521"/>
    </row>
    <row r="16" spans="1:50">
      <c r="A16" s="63"/>
      <c r="B16" s="142" t="s">
        <v>720</v>
      </c>
      <c r="C16" s="563"/>
      <c r="D16" s="563"/>
      <c r="E16" s="576">
        <v>0</v>
      </c>
      <c r="F16" s="576">
        <v>0</v>
      </c>
      <c r="G16" s="576">
        <v>0</v>
      </c>
      <c r="H16" s="576">
        <v>0</v>
      </c>
      <c r="I16" s="576">
        <v>0</v>
      </c>
      <c r="J16" s="576">
        <v>0</v>
      </c>
      <c r="K16" s="576">
        <v>0</v>
      </c>
      <c r="L16" s="577">
        <v>0</v>
      </c>
      <c r="AQ16" s="521"/>
      <c r="AR16" s="521"/>
      <c r="AS16" s="521"/>
      <c r="AT16" s="521"/>
      <c r="AU16" s="521"/>
      <c r="AV16" s="521"/>
      <c r="AW16" s="521"/>
      <c r="AX16" s="521"/>
    </row>
    <row r="17" spans="1:50">
      <c r="A17" s="63"/>
      <c r="B17" s="141" t="s">
        <v>721</v>
      </c>
      <c r="C17" s="143">
        <f>IF(Vehi_Inputs!$B$14=2,C14,C11)</f>
        <v>53.5</v>
      </c>
      <c r="D17" s="143">
        <f>IF(Vehi_Inputs!$B$14=2,D14,D11)</f>
        <v>35</v>
      </c>
      <c r="E17" s="143">
        <f>IF(Vehi_Inputs!$B$14=2,E14,E11)</f>
        <v>36</v>
      </c>
      <c r="F17" s="143">
        <f>IF(Vehi_Inputs!$B$14=2,F14,F11)</f>
        <v>23.8</v>
      </c>
      <c r="G17" s="143">
        <f>IF(Vehi_Inputs!$B$14=2,G14,G11)</f>
        <v>36</v>
      </c>
      <c r="H17" s="143">
        <f>IF(Vehi_Inputs!$B$14=2,H14,H11)</f>
        <v>23.8</v>
      </c>
      <c r="I17" s="143">
        <f>IF(Vehi_Inputs!$B$14=2,I14,I11)</f>
        <v>36</v>
      </c>
      <c r="J17" s="143">
        <f>IF(Vehi_Inputs!$B$14=2,J14,J11)</f>
        <v>23.8</v>
      </c>
      <c r="K17" s="143">
        <f>IF(Vehi_Inputs!$B$14=2,K14,K11)</f>
        <v>36</v>
      </c>
      <c r="L17" s="144">
        <f>IF(Vehi_Inputs!$B$14=2,L14,L11)</f>
        <v>23.8</v>
      </c>
      <c r="AQ17" s="521"/>
      <c r="AR17" s="521"/>
      <c r="AS17" s="521"/>
      <c r="AT17" s="521"/>
      <c r="AU17" s="521"/>
      <c r="AV17" s="521"/>
      <c r="AW17" s="521"/>
      <c r="AX17" s="521"/>
    </row>
    <row r="18" spans="1:50">
      <c r="A18" s="63"/>
      <c r="B18" s="141" t="s">
        <v>722</v>
      </c>
      <c r="C18" s="143"/>
      <c r="D18" s="143"/>
      <c r="E18" s="143">
        <f>IF(Vehi_Inputs!$B$14=2,E15,E12)</f>
        <v>145.13984099999999</v>
      </c>
      <c r="F18" s="143">
        <f>IF(Vehi_Inputs!$B$14=2,F15,F12)</f>
        <v>122.32719135000001</v>
      </c>
      <c r="G18" s="143">
        <f>IF(Vehi_Inputs!$B$14=2,G15,G12)</f>
        <v>558.18810230754718</v>
      </c>
      <c r="H18" s="143">
        <f>IF(Vehi_Inputs!$B$14=2,H15,H12)</f>
        <v>437.32650199999995</v>
      </c>
      <c r="I18" s="143">
        <f>IF(Vehi_Inputs!$B$14=2,I15,I12)</f>
        <v>4590.5058220226829</v>
      </c>
      <c r="J18" s="143">
        <f>IF(Vehi_Inputs!$B$14=2,J15,J12)</f>
        <v>3365.883678492632</v>
      </c>
      <c r="K18" s="143">
        <f>IF(Vehi_Inputs!$B$14=2,K15,K12)</f>
        <v>141.84120825000002</v>
      </c>
      <c r="L18" s="144">
        <f>IF(Vehi_Inputs!$B$14=2,L15,L12)</f>
        <v>122.32719135000001</v>
      </c>
      <c r="AQ18" s="521"/>
      <c r="AR18" s="521"/>
      <c r="AS18" s="521"/>
      <c r="AT18" s="521"/>
      <c r="AU18" s="521"/>
      <c r="AV18" s="521"/>
      <c r="AW18" s="521"/>
      <c r="AX18" s="521"/>
    </row>
    <row r="19" spans="1:50">
      <c r="A19" s="63"/>
      <c r="B19" s="142" t="s">
        <v>723</v>
      </c>
      <c r="C19" s="145"/>
      <c r="D19" s="145"/>
      <c r="E19" s="145">
        <f>IF(Vehi_Inputs!$B$14=2,E16,E13)</f>
        <v>49.690925853595232</v>
      </c>
      <c r="F19" s="145">
        <f>IF(Vehi_Inputs!$B$14=2,F16,F13)</f>
        <v>41.880653536415316</v>
      </c>
      <c r="G19" s="145">
        <f>IF(Vehi_Inputs!$B$14=2,G16,G13)</f>
        <v>190.68783341781892</v>
      </c>
      <c r="H19" s="145">
        <f>IF(Vehi_Inputs!$B$14=2,H16,H13)</f>
        <v>149.39917711937568</v>
      </c>
      <c r="I19" s="145">
        <f>IF(Vehi_Inputs!$B$14=2,I16,I13)</f>
        <v>1389.2003877683294</v>
      </c>
      <c r="J19" s="145">
        <f>IF(Vehi_Inputs!$B$14=2,J16,J13)</f>
        <v>1018.5994948340468</v>
      </c>
      <c r="K19" s="145">
        <f>IF(Vehi_Inputs!$B$14=2,K16,K13)</f>
        <v>48.561586629649888</v>
      </c>
      <c r="L19" s="146">
        <f>IF(Vehi_Inputs!$B$14=2,L16,L13)</f>
        <v>41.880653536415316</v>
      </c>
      <c r="AQ19" s="521"/>
      <c r="AR19" s="521"/>
      <c r="AS19" s="521"/>
      <c r="AT19" s="521"/>
      <c r="AU19" s="521"/>
      <c r="AV19" s="521"/>
      <c r="AW19" s="521"/>
      <c r="AX19" s="521"/>
    </row>
    <row r="20" spans="1:50">
      <c r="A20" s="63"/>
      <c r="AQ20" s="521"/>
      <c r="AR20" s="521"/>
      <c r="AS20" s="521"/>
      <c r="AT20" s="521"/>
      <c r="AU20" s="521"/>
      <c r="AV20" s="521"/>
      <c r="AW20" s="521"/>
      <c r="AX20" s="521"/>
    </row>
    <row r="21" spans="1:50">
      <c r="A21" s="63" t="s">
        <v>622</v>
      </c>
      <c r="C21" s="218"/>
      <c r="D21" s="218"/>
      <c r="E21" s="218"/>
      <c r="F21" s="218"/>
      <c r="G21" s="218"/>
      <c r="H21" s="218"/>
      <c r="I21" s="218"/>
      <c r="AQ21" s="521"/>
      <c r="AR21" s="521"/>
      <c r="AS21" s="521"/>
      <c r="AT21" s="521"/>
      <c r="AU21" s="521"/>
      <c r="AV21" s="521"/>
      <c r="AW21" s="521"/>
      <c r="AX21" s="521"/>
    </row>
    <row r="22" spans="1:50" ht="25.5">
      <c r="A22" s="63"/>
      <c r="B22" s="1611"/>
      <c r="C22" s="1421" t="s">
        <v>157</v>
      </c>
      <c r="D22" s="1421" t="s">
        <v>158</v>
      </c>
      <c r="E22" s="1421" t="s">
        <v>159</v>
      </c>
      <c r="F22" s="1421" t="s">
        <v>160</v>
      </c>
      <c r="G22" s="1421" t="s">
        <v>161</v>
      </c>
      <c r="H22" s="1421" t="s">
        <v>162</v>
      </c>
      <c r="I22" s="1174" t="s">
        <v>163</v>
      </c>
      <c r="AQ22" s="521"/>
      <c r="AR22" s="521"/>
      <c r="AS22" s="521"/>
      <c r="AT22" s="521"/>
      <c r="AU22" s="521"/>
      <c r="AV22" s="521"/>
      <c r="AW22" s="521"/>
      <c r="AX22" s="521"/>
    </row>
    <row r="23" spans="1:50">
      <c r="A23" s="63"/>
      <c r="B23" s="549" t="s">
        <v>724</v>
      </c>
      <c r="C23" s="214">
        <v>10.9</v>
      </c>
      <c r="D23" s="214">
        <v>0</v>
      </c>
      <c r="E23" s="214">
        <v>2</v>
      </c>
      <c r="F23" s="214">
        <v>31.5</v>
      </c>
      <c r="G23" s="214">
        <v>29.1</v>
      </c>
      <c r="H23" s="214">
        <v>10.5</v>
      </c>
      <c r="I23" s="215">
        <v>40</v>
      </c>
      <c r="AQ23" s="521"/>
      <c r="AR23" s="521"/>
      <c r="AS23" s="521"/>
      <c r="AT23" s="521"/>
      <c r="AU23" s="521"/>
      <c r="AV23" s="521"/>
      <c r="AW23" s="521"/>
      <c r="AX23" s="521"/>
    </row>
    <row r="24" spans="1:50">
      <c r="A24" s="63"/>
      <c r="B24" s="549" t="s">
        <v>725</v>
      </c>
      <c r="C24" s="214">
        <v>10.9</v>
      </c>
      <c r="D24" s="214">
        <v>0</v>
      </c>
      <c r="E24" s="214">
        <v>2</v>
      </c>
      <c r="F24" s="214">
        <v>31.5</v>
      </c>
      <c r="G24" s="214">
        <v>29.1</v>
      </c>
      <c r="H24" s="214">
        <v>10.5</v>
      </c>
      <c r="I24" s="215">
        <v>40</v>
      </c>
      <c r="AQ24" s="521"/>
      <c r="AR24" s="521"/>
      <c r="AS24" s="521"/>
      <c r="AT24" s="521"/>
      <c r="AU24" s="521"/>
      <c r="AV24" s="521"/>
      <c r="AW24" s="521"/>
      <c r="AX24" s="521"/>
    </row>
    <row r="25" spans="1:50">
      <c r="A25" s="63"/>
      <c r="B25" s="141" t="s">
        <v>726</v>
      </c>
      <c r="C25" s="214">
        <v>10.9</v>
      </c>
      <c r="D25" s="214">
        <v>0</v>
      </c>
      <c r="E25" s="214">
        <v>2</v>
      </c>
      <c r="F25" s="214">
        <v>2.4</v>
      </c>
      <c r="G25" s="214">
        <v>29.1</v>
      </c>
      <c r="H25" s="214">
        <v>10.5</v>
      </c>
      <c r="I25" s="215">
        <v>40</v>
      </c>
      <c r="AQ25" s="521"/>
      <c r="AR25" s="521"/>
      <c r="AS25" s="521"/>
      <c r="AT25" s="521"/>
      <c r="AU25" s="521"/>
      <c r="AV25" s="521"/>
      <c r="AW25" s="521"/>
      <c r="AX25" s="521"/>
    </row>
    <row r="26" spans="1:50">
      <c r="A26" s="63"/>
      <c r="B26" s="141" t="s">
        <v>727</v>
      </c>
      <c r="C26" s="214">
        <v>10.9</v>
      </c>
      <c r="D26" s="214">
        <v>0</v>
      </c>
      <c r="E26" s="214">
        <v>2</v>
      </c>
      <c r="F26" s="214">
        <v>2.4</v>
      </c>
      <c r="G26" s="214">
        <v>29.1</v>
      </c>
      <c r="H26" s="214">
        <v>10.5</v>
      </c>
      <c r="I26" s="215">
        <v>40</v>
      </c>
      <c r="AQ26" s="521"/>
      <c r="AR26" s="521"/>
      <c r="AS26" s="521"/>
      <c r="AT26" s="521"/>
      <c r="AU26" s="521"/>
      <c r="AV26" s="521"/>
      <c r="AW26" s="521"/>
      <c r="AX26" s="521"/>
    </row>
    <row r="27" spans="1:50">
      <c r="A27" s="63"/>
      <c r="B27" s="141" t="s">
        <v>728</v>
      </c>
      <c r="C27" s="214">
        <v>0</v>
      </c>
      <c r="D27" s="214">
        <v>0</v>
      </c>
      <c r="E27" s="214">
        <v>2</v>
      </c>
      <c r="F27" s="214">
        <v>2.4</v>
      </c>
      <c r="G27" s="214">
        <v>20</v>
      </c>
      <c r="H27" s="214">
        <v>10.5</v>
      </c>
      <c r="I27" s="215">
        <v>40</v>
      </c>
      <c r="AQ27" s="521"/>
      <c r="AR27" s="521"/>
      <c r="AS27" s="521"/>
      <c r="AT27" s="521"/>
      <c r="AU27" s="521"/>
      <c r="AV27" s="521"/>
      <c r="AW27" s="521"/>
      <c r="AX27" s="521"/>
    </row>
    <row r="28" spans="1:50">
      <c r="A28" s="63"/>
      <c r="B28" s="142" t="s">
        <v>729</v>
      </c>
      <c r="C28" s="219">
        <v>0</v>
      </c>
      <c r="D28" s="219">
        <v>0</v>
      </c>
      <c r="E28" s="219">
        <v>2</v>
      </c>
      <c r="F28" s="219">
        <v>2.4</v>
      </c>
      <c r="G28" s="219">
        <v>20</v>
      </c>
      <c r="H28" s="219">
        <v>10.5</v>
      </c>
      <c r="I28" s="220">
        <v>40</v>
      </c>
      <c r="AQ28" s="521"/>
      <c r="AR28" s="521"/>
      <c r="AS28" s="521"/>
      <c r="AT28" s="521"/>
      <c r="AU28" s="521"/>
      <c r="AV28" s="521"/>
      <c r="AW28" s="521"/>
      <c r="AX28" s="521"/>
    </row>
    <row r="29" spans="1:50">
      <c r="A29" s="63"/>
      <c r="B29" s="549" t="s">
        <v>730</v>
      </c>
      <c r="C29" s="214">
        <v>8.832125531048387</v>
      </c>
      <c r="D29" s="214">
        <v>0</v>
      </c>
      <c r="E29" s="214">
        <v>1.6205734919354837</v>
      </c>
      <c r="F29" s="214">
        <v>25.524032497983871</v>
      </c>
      <c r="G29" s="214">
        <v>23.579344307661291</v>
      </c>
      <c r="H29" s="214">
        <v>8.5080108326612898</v>
      </c>
      <c r="I29" s="215">
        <v>32.411469838709678</v>
      </c>
      <c r="AQ29" s="521"/>
      <c r="AR29" s="521"/>
      <c r="AS29" s="521"/>
      <c r="AT29" s="521"/>
      <c r="AU29" s="521"/>
      <c r="AV29" s="521"/>
      <c r="AW29" s="521"/>
      <c r="AX29" s="521"/>
    </row>
    <row r="30" spans="1:50">
      <c r="A30" s="63"/>
      <c r="B30" s="549" t="s">
        <v>731</v>
      </c>
      <c r="C30" s="214">
        <v>8.832125531048387</v>
      </c>
      <c r="D30" s="214">
        <v>0</v>
      </c>
      <c r="E30" s="214">
        <v>1.6205734919354837</v>
      </c>
      <c r="F30" s="214">
        <v>25.524032497983871</v>
      </c>
      <c r="G30" s="214">
        <v>23.579344307661291</v>
      </c>
      <c r="H30" s="214">
        <v>8.5080108326612898</v>
      </c>
      <c r="I30" s="215">
        <v>32.411469838709678</v>
      </c>
      <c r="AQ30" s="521"/>
      <c r="AR30" s="521"/>
      <c r="AS30" s="521"/>
      <c r="AT30" s="521"/>
      <c r="AU30" s="521"/>
      <c r="AV30" s="521"/>
      <c r="AW30" s="521"/>
      <c r="AX30" s="521"/>
    </row>
    <row r="31" spans="1:50">
      <c r="A31" s="63"/>
      <c r="B31" s="141" t="s">
        <v>732</v>
      </c>
      <c r="C31" s="214">
        <v>0</v>
      </c>
      <c r="D31" s="214">
        <v>0</v>
      </c>
      <c r="E31" s="214">
        <v>0</v>
      </c>
      <c r="F31" s="214">
        <v>0</v>
      </c>
      <c r="G31" s="214">
        <v>0</v>
      </c>
      <c r="H31" s="214">
        <v>0</v>
      </c>
      <c r="I31" s="215">
        <v>0</v>
      </c>
      <c r="AQ31" s="521"/>
      <c r="AR31" s="521"/>
      <c r="AS31" s="521"/>
      <c r="AT31" s="521"/>
      <c r="AU31" s="521"/>
      <c r="AV31" s="521"/>
      <c r="AW31" s="521"/>
      <c r="AX31" s="521"/>
    </row>
    <row r="32" spans="1:50">
      <c r="A32" s="63"/>
      <c r="B32" s="141" t="s">
        <v>733</v>
      </c>
      <c r="C32" s="214">
        <v>0</v>
      </c>
      <c r="D32" s="214">
        <v>0</v>
      </c>
      <c r="E32" s="214">
        <v>0</v>
      </c>
      <c r="F32" s="214">
        <v>0</v>
      </c>
      <c r="G32" s="214">
        <v>0</v>
      </c>
      <c r="H32" s="214">
        <v>0</v>
      </c>
      <c r="I32" s="215">
        <v>0</v>
      </c>
      <c r="AQ32" s="521"/>
      <c r="AR32" s="521"/>
      <c r="AS32" s="521"/>
      <c r="AT32" s="521"/>
      <c r="AU32" s="521"/>
      <c r="AV32" s="521"/>
      <c r="AW32" s="521"/>
      <c r="AX32" s="521"/>
    </row>
    <row r="33" spans="1:50">
      <c r="A33" s="63"/>
      <c r="B33" s="141" t="s">
        <v>734</v>
      </c>
      <c r="C33" s="214">
        <v>0</v>
      </c>
      <c r="D33" s="214">
        <v>0</v>
      </c>
      <c r="E33" s="214">
        <v>0</v>
      </c>
      <c r="F33" s="214">
        <v>0</v>
      </c>
      <c r="G33" s="214">
        <v>0</v>
      </c>
      <c r="H33" s="214">
        <v>0</v>
      </c>
      <c r="I33" s="215">
        <v>0</v>
      </c>
      <c r="AQ33" s="521"/>
      <c r="AR33" s="521"/>
      <c r="AS33" s="521"/>
      <c r="AT33" s="521"/>
      <c r="AU33" s="521"/>
      <c r="AV33" s="521"/>
      <c r="AW33" s="521"/>
      <c r="AX33" s="521"/>
    </row>
    <row r="34" spans="1:50">
      <c r="A34" s="63"/>
      <c r="B34" s="142" t="s">
        <v>735</v>
      </c>
      <c r="C34" s="219">
        <v>0</v>
      </c>
      <c r="D34" s="219">
        <v>0</v>
      </c>
      <c r="E34" s="219">
        <v>0</v>
      </c>
      <c r="F34" s="219">
        <v>0</v>
      </c>
      <c r="G34" s="219">
        <v>0</v>
      </c>
      <c r="H34" s="219">
        <v>0</v>
      </c>
      <c r="I34" s="220">
        <v>0</v>
      </c>
      <c r="AQ34" s="521"/>
      <c r="AR34" s="521"/>
      <c r="AS34" s="521"/>
      <c r="AT34" s="521"/>
      <c r="AU34" s="521"/>
      <c r="AV34" s="521"/>
      <c r="AW34" s="521"/>
      <c r="AX34" s="521"/>
    </row>
    <row r="35" spans="1:50">
      <c r="A35" s="63"/>
      <c r="B35" s="549" t="s">
        <v>736</v>
      </c>
      <c r="C35" s="550">
        <f>IF(Vehi_Inputs!$B$14=2,C29,C23)</f>
        <v>10.9</v>
      </c>
      <c r="D35" s="550">
        <f>IF(Vehi_Inputs!$B$14=2,D29,D23)</f>
        <v>0</v>
      </c>
      <c r="E35" s="550">
        <f>IF(Vehi_Inputs!$B$14=2,E29,E23)</f>
        <v>2</v>
      </c>
      <c r="F35" s="550">
        <f>IF(Vehi_Inputs!$B$14=2,F29,F23)</f>
        <v>31.5</v>
      </c>
      <c r="G35" s="550">
        <f>IF(Vehi_Inputs!$B$14=2,G29,G23)</f>
        <v>29.1</v>
      </c>
      <c r="H35" s="550">
        <f>IF(Vehi_Inputs!$B$14=2,H29,H23)</f>
        <v>10.5</v>
      </c>
      <c r="I35" s="551">
        <f>IF(Vehi_Inputs!$B$14=2,I29,I23)</f>
        <v>40</v>
      </c>
      <c r="AQ35" s="521"/>
      <c r="AR35" s="521"/>
      <c r="AS35" s="521"/>
      <c r="AT35" s="521"/>
      <c r="AU35" s="521"/>
      <c r="AV35" s="521"/>
      <c r="AW35" s="521"/>
      <c r="AX35" s="521"/>
    </row>
    <row r="36" spans="1:50">
      <c r="A36" s="63"/>
      <c r="B36" s="549" t="s">
        <v>737</v>
      </c>
      <c r="C36" s="550">
        <f>IF(Vehi_Inputs!$B$14=2,C30,C24)</f>
        <v>10.9</v>
      </c>
      <c r="D36" s="550">
        <f>IF(Vehi_Inputs!$B$14=2,D30,D24)</f>
        <v>0</v>
      </c>
      <c r="E36" s="550">
        <f>IF(Vehi_Inputs!$B$14=2,E30,E24)</f>
        <v>2</v>
      </c>
      <c r="F36" s="550">
        <f>IF(Vehi_Inputs!$B$14=2,F30,F24)</f>
        <v>31.5</v>
      </c>
      <c r="G36" s="550">
        <f>IF(Vehi_Inputs!$B$14=2,G30,G24)</f>
        <v>29.1</v>
      </c>
      <c r="H36" s="550">
        <f>IF(Vehi_Inputs!$B$14=2,H30,H24)</f>
        <v>10.5</v>
      </c>
      <c r="I36" s="551">
        <f>IF(Vehi_Inputs!$B$14=2,I30,I24)</f>
        <v>40</v>
      </c>
      <c r="AQ36" s="521"/>
      <c r="AR36" s="521"/>
      <c r="AS36" s="521"/>
      <c r="AT36" s="521"/>
      <c r="AU36" s="521"/>
      <c r="AV36" s="521"/>
      <c r="AW36" s="521"/>
      <c r="AX36" s="521"/>
    </row>
    <row r="37" spans="1:50">
      <c r="A37" s="63"/>
      <c r="B37" s="141" t="s">
        <v>738</v>
      </c>
      <c r="C37" s="550">
        <f>IF(Vehi_Inputs!$B$14=2,C31,C25)</f>
        <v>10.9</v>
      </c>
      <c r="D37" s="550">
        <f>IF(Vehi_Inputs!$B$14=2,D31,D25)</f>
        <v>0</v>
      </c>
      <c r="E37" s="550">
        <f>IF(Vehi_Inputs!$B$14=2,E31,E25)</f>
        <v>2</v>
      </c>
      <c r="F37" s="550">
        <f>IF(Vehi_Inputs!$B$14=2,F31,F25)</f>
        <v>2.4</v>
      </c>
      <c r="G37" s="550">
        <f>IF(Vehi_Inputs!$B$14=2,G31,G25)</f>
        <v>29.1</v>
      </c>
      <c r="H37" s="550">
        <f>IF(Vehi_Inputs!$B$14=2,H31,H25)</f>
        <v>10.5</v>
      </c>
      <c r="I37" s="551">
        <f>IF(Vehi_Inputs!$B$14=2,I31,I25)</f>
        <v>40</v>
      </c>
      <c r="AQ37" s="521"/>
      <c r="AR37" s="521"/>
      <c r="AS37" s="521"/>
      <c r="AT37" s="521"/>
      <c r="AU37" s="521"/>
      <c r="AV37" s="521"/>
      <c r="AW37" s="521"/>
      <c r="AX37" s="521"/>
    </row>
    <row r="38" spans="1:50">
      <c r="A38" s="63"/>
      <c r="B38" s="141" t="s">
        <v>739</v>
      </c>
      <c r="C38" s="550">
        <f>IF(Vehi_Inputs!$B$14=2,C32,C26)</f>
        <v>10.9</v>
      </c>
      <c r="D38" s="550">
        <f>IF(Vehi_Inputs!$B$14=2,D32,D26)</f>
        <v>0</v>
      </c>
      <c r="E38" s="550">
        <f>IF(Vehi_Inputs!$B$14=2,E32,E26)</f>
        <v>2</v>
      </c>
      <c r="F38" s="550">
        <f>IF(Vehi_Inputs!$B$14=2,F32,F26)</f>
        <v>2.4</v>
      </c>
      <c r="G38" s="550">
        <f>IF(Vehi_Inputs!$B$14=2,G32,G26)</f>
        <v>29.1</v>
      </c>
      <c r="H38" s="550">
        <f>IF(Vehi_Inputs!$B$14=2,H32,H26)</f>
        <v>10.5</v>
      </c>
      <c r="I38" s="551">
        <f>IF(Vehi_Inputs!$B$14=2,I32,I26)</f>
        <v>40</v>
      </c>
      <c r="AQ38" s="521"/>
      <c r="AR38" s="521"/>
      <c r="AS38" s="521"/>
      <c r="AT38" s="521"/>
      <c r="AU38" s="521"/>
      <c r="AV38" s="521"/>
      <c r="AW38" s="521"/>
      <c r="AX38" s="521"/>
    </row>
    <row r="39" spans="1:50">
      <c r="A39" s="63"/>
      <c r="B39" s="141" t="s">
        <v>740</v>
      </c>
      <c r="C39" s="550">
        <f>IF(Vehi_Inputs!$B$14=2,C33,C27)</f>
        <v>0</v>
      </c>
      <c r="D39" s="550">
        <f>IF(Vehi_Inputs!$B$14=2,D33,D27)</f>
        <v>0</v>
      </c>
      <c r="E39" s="550">
        <f>IF(Vehi_Inputs!$B$14=2,E33,E27)</f>
        <v>2</v>
      </c>
      <c r="F39" s="550">
        <f>IF(Vehi_Inputs!$B$14=2,F33,F27)</f>
        <v>2.4</v>
      </c>
      <c r="G39" s="550">
        <f>IF(Vehi_Inputs!$B$14=2,G33,G27)</f>
        <v>20</v>
      </c>
      <c r="H39" s="550">
        <f>IF(Vehi_Inputs!$B$14=2,H33,H27)</f>
        <v>10.5</v>
      </c>
      <c r="I39" s="551">
        <f>IF(Vehi_Inputs!$B$14=2,I33,I27)</f>
        <v>40</v>
      </c>
      <c r="AQ39" s="521"/>
      <c r="AR39" s="521"/>
      <c r="AS39" s="521"/>
      <c r="AT39" s="521"/>
      <c r="AU39" s="521"/>
      <c r="AV39" s="521"/>
      <c r="AW39" s="521"/>
      <c r="AX39" s="521"/>
    </row>
    <row r="40" spans="1:50">
      <c r="A40" s="63"/>
      <c r="B40" s="142" t="s">
        <v>741</v>
      </c>
      <c r="C40" s="566">
        <f>IF(Vehi_Inputs!$B$14=2,C34,C28)</f>
        <v>0</v>
      </c>
      <c r="D40" s="566">
        <f>IF(Vehi_Inputs!$B$14=2,D34,D28)</f>
        <v>0</v>
      </c>
      <c r="E40" s="566">
        <f>IF(Vehi_Inputs!$B$14=2,E34,E28)</f>
        <v>2</v>
      </c>
      <c r="F40" s="566">
        <f>IF(Vehi_Inputs!$B$14=2,F34,F28)</f>
        <v>2.4</v>
      </c>
      <c r="G40" s="566">
        <f>IF(Vehi_Inputs!$B$14=2,G34,G28)</f>
        <v>20</v>
      </c>
      <c r="H40" s="566">
        <f>IF(Vehi_Inputs!$B$14=2,H34,H28)</f>
        <v>10.5</v>
      </c>
      <c r="I40" s="567">
        <f>IF(Vehi_Inputs!$B$14=2,I34,I28)</f>
        <v>40</v>
      </c>
      <c r="AQ40" s="521"/>
      <c r="AR40" s="521"/>
      <c r="AS40" s="521"/>
      <c r="AT40" s="521"/>
      <c r="AU40" s="521"/>
      <c r="AV40" s="521"/>
      <c r="AW40" s="521"/>
      <c r="AX40" s="521"/>
    </row>
    <row r="41" spans="1:50">
      <c r="A41" s="63"/>
      <c r="AQ41" s="521"/>
      <c r="AR41" s="521"/>
      <c r="AS41" s="521"/>
      <c r="AT41" s="521"/>
      <c r="AU41" s="521"/>
      <c r="AV41" s="521"/>
      <c r="AW41" s="521"/>
      <c r="AX41" s="521"/>
    </row>
    <row r="42" spans="1:50" ht="15">
      <c r="A42" s="134" t="s">
        <v>641</v>
      </c>
      <c r="AQ42" s="521"/>
      <c r="AR42" s="521"/>
      <c r="AS42" s="521"/>
      <c r="AT42" s="521"/>
      <c r="AU42" s="521"/>
      <c r="AV42" s="521"/>
      <c r="AW42" s="521"/>
      <c r="AX42" s="521"/>
    </row>
    <row r="43" spans="1:50">
      <c r="A43" s="63" t="s">
        <v>642</v>
      </c>
      <c r="AQ43" s="521"/>
      <c r="AR43" s="521"/>
      <c r="AS43" s="521"/>
      <c r="AT43" s="521"/>
      <c r="AU43" s="521"/>
      <c r="AV43" s="521"/>
      <c r="AW43" s="521"/>
      <c r="AX43" s="521"/>
    </row>
    <row r="44" spans="1:50" ht="38.25">
      <c r="A44" s="63"/>
      <c r="B44" s="1173"/>
      <c r="C44" s="1421" t="s">
        <v>141</v>
      </c>
      <c r="D44" s="1421" t="s">
        <v>142</v>
      </c>
      <c r="E44" s="1421" t="s">
        <v>143</v>
      </c>
      <c r="F44" s="1421" t="s">
        <v>144</v>
      </c>
      <c r="G44" s="1421" t="s">
        <v>145</v>
      </c>
      <c r="H44" s="1421" t="s">
        <v>146</v>
      </c>
      <c r="I44" s="1421" t="s">
        <v>147</v>
      </c>
      <c r="J44" s="1421" t="s">
        <v>148</v>
      </c>
      <c r="K44" s="1421" t="s">
        <v>149</v>
      </c>
      <c r="L44" s="1174" t="s">
        <v>150</v>
      </c>
      <c r="AQ44" s="521"/>
      <c r="AR44" s="521"/>
      <c r="AS44" s="521"/>
      <c r="AT44" s="521"/>
      <c r="AU44" s="521"/>
      <c r="AV44" s="521"/>
      <c r="AW44" s="521"/>
      <c r="AX44" s="521"/>
    </row>
    <row r="45" spans="1:50">
      <c r="A45" s="63"/>
      <c r="B45" s="298" t="s">
        <v>36</v>
      </c>
      <c r="C45" s="138">
        <f>C6-C17-SUM(C35:I35)</f>
        <v>4313.3109400000003</v>
      </c>
      <c r="D45" s="138">
        <f>D6-D17-SUM(C36:I36)</f>
        <v>3691.6080999999999</v>
      </c>
      <c r="E45" s="138">
        <f>E6-(E17+IF(Vehi_Inputs!$C$74=1,E18,E19))-SUM(C37:I37)</f>
        <v>4567.1452200000003</v>
      </c>
      <c r="F45" s="138">
        <f>F6-(F17+IF(Vehi_Inputs!$C$74=1,F18,F19))-SUM(C37:I37)</f>
        <v>3817.5744199999999</v>
      </c>
      <c r="G45" s="138">
        <f>G6-(G17+IF(Vehi_Inputs!$C$75=1,G18,G19))-SUM(C38:I38)</f>
        <v>4609.0330000000004</v>
      </c>
      <c r="H45" s="138">
        <f>H6-(H17+IF(Vehi_Inputs!$C$75=1,H18,H19))-SUM(C38:I38)</f>
        <v>3828.5975199999993</v>
      </c>
      <c r="I45" s="138">
        <f>I6-(I17+IF(Vehi_Inputs!$C$76=1,I18,I19))-SUM(C39:I39)</f>
        <v>4168.2674200000001</v>
      </c>
      <c r="J45" s="138">
        <f>J6-(J17+IF(Vehi_Inputs!$C$76=1,J18,J19))-SUM(C39:I39)</f>
        <v>3363.5811199999994</v>
      </c>
      <c r="K45" s="138">
        <f>K6-(K17+IF(Vehi_Inputs!$C$77=1,K18,K19))-SUM(C40:I40)</f>
        <v>4990.5906800000002</v>
      </c>
      <c r="L45" s="139">
        <f>L6-(L17+IF(Vehi_Inputs!$C$77=1,L18,L19))-SUM(C40:I40)</f>
        <v>4040.3994600000001</v>
      </c>
      <c r="AQ45" s="521"/>
      <c r="AR45" s="521"/>
      <c r="AS45" s="521"/>
      <c r="AT45" s="521"/>
      <c r="AU45" s="521"/>
      <c r="AV45" s="521"/>
      <c r="AW45" s="521"/>
      <c r="AX45" s="521"/>
    </row>
    <row r="46" spans="1:50">
      <c r="A46" s="63"/>
      <c r="AQ46" s="521"/>
      <c r="AR46" s="521"/>
      <c r="AS46" s="521"/>
      <c r="AT46" s="521"/>
      <c r="AU46" s="521"/>
      <c r="AV46" s="521"/>
      <c r="AW46" s="521"/>
      <c r="AX46" s="521"/>
    </row>
    <row r="47" spans="1:50">
      <c r="A47" s="63" t="s">
        <v>644</v>
      </c>
      <c r="AQ47" s="521"/>
      <c r="AR47" s="521"/>
      <c r="AS47" s="521"/>
      <c r="AT47" s="521"/>
      <c r="AU47" s="521"/>
      <c r="AV47" s="521"/>
      <c r="AW47" s="521"/>
      <c r="AX47" s="521"/>
    </row>
    <row r="48" spans="1:50">
      <c r="A48" s="63"/>
      <c r="B48" s="2568">
        <f>C271</f>
        <v>140.85900000000001</v>
      </c>
      <c r="C48" s="8" t="s">
        <v>742</v>
      </c>
      <c r="AQ48" s="521"/>
      <c r="AR48" s="521"/>
      <c r="AS48" s="521"/>
      <c r="AT48" s="521"/>
      <c r="AU48" s="521"/>
      <c r="AV48" s="521"/>
      <c r="AW48" s="521"/>
      <c r="AX48" s="521"/>
    </row>
    <row r="49" spans="1:50" ht="15">
      <c r="A49" s="63"/>
      <c r="B49" s="935">
        <v>106.22096669495637</v>
      </c>
      <c r="C49" s="8" t="s">
        <v>743</v>
      </c>
      <c r="AQ49" s="521"/>
      <c r="AR49" s="521"/>
      <c r="AS49" s="521"/>
      <c r="AT49" s="521"/>
      <c r="AU49" s="521"/>
      <c r="AV49" s="521"/>
      <c r="AW49" s="521"/>
      <c r="AX49" s="521"/>
    </row>
    <row r="50" spans="1:50">
      <c r="A50" s="63"/>
      <c r="AQ50" s="521"/>
      <c r="AR50" s="521"/>
      <c r="AS50" s="521"/>
      <c r="AT50" s="521"/>
      <c r="AU50" s="521"/>
      <c r="AV50" s="521"/>
      <c r="AW50" s="521"/>
      <c r="AX50" s="521"/>
    </row>
    <row r="51" spans="1:50">
      <c r="A51" s="63" t="s">
        <v>744</v>
      </c>
      <c r="AQ51" s="521"/>
      <c r="AR51" s="521"/>
      <c r="AS51" s="521"/>
      <c r="AT51" s="521"/>
      <c r="AU51" s="521"/>
      <c r="AV51" s="521"/>
      <c r="AW51" s="521"/>
      <c r="AX51" s="521"/>
    </row>
    <row r="52" spans="1:50">
      <c r="A52" s="63"/>
      <c r="B52" s="149">
        <f>$B$48*Vehi_Inputs!B46</f>
        <v>395.81379000000004</v>
      </c>
      <c r="C52" s="938" t="s">
        <v>177</v>
      </c>
      <c r="AQ52" s="521"/>
      <c r="AR52" s="521"/>
      <c r="AS52" s="521"/>
      <c r="AT52" s="521"/>
      <c r="AU52" s="521"/>
      <c r="AV52" s="521"/>
      <c r="AW52" s="521"/>
      <c r="AX52" s="521"/>
    </row>
    <row r="53" spans="1:50" ht="15">
      <c r="A53" s="63"/>
      <c r="B53" s="936">
        <v>443.22615038696529</v>
      </c>
      <c r="C53" s="938" t="s">
        <v>178</v>
      </c>
      <c r="AQ53" s="521"/>
      <c r="AR53" s="521"/>
      <c r="AS53" s="521"/>
      <c r="AT53" s="521"/>
      <c r="AU53" s="521"/>
      <c r="AV53" s="521"/>
      <c r="AW53" s="521"/>
      <c r="AX53" s="521"/>
    </row>
    <row r="54" spans="1:50">
      <c r="A54" s="63"/>
      <c r="B54" s="150">
        <f>$B$49*Vehi_Inputs!B46</f>
        <v>298.48091641282741</v>
      </c>
      <c r="C54" s="938" t="s">
        <v>179</v>
      </c>
      <c r="AQ54" s="521"/>
      <c r="AR54" s="521"/>
      <c r="AS54" s="521"/>
      <c r="AT54" s="521"/>
      <c r="AU54" s="521"/>
      <c r="AV54" s="521"/>
      <c r="AW54" s="521"/>
      <c r="AX54" s="521"/>
    </row>
    <row r="55" spans="1:50" ht="15">
      <c r="A55" s="63"/>
      <c r="B55" s="937">
        <v>326.63100379607613</v>
      </c>
      <c r="C55" s="938" t="s">
        <v>180</v>
      </c>
      <c r="AQ55" s="521"/>
      <c r="AR55" s="521"/>
      <c r="AS55" s="521"/>
      <c r="AT55" s="521"/>
      <c r="AU55" s="521"/>
      <c r="AV55" s="521"/>
      <c r="AW55" s="521"/>
      <c r="AX55" s="521"/>
    </row>
    <row r="56" spans="1:50">
      <c r="A56" s="63"/>
      <c r="AQ56" s="521"/>
      <c r="AR56" s="521"/>
      <c r="AS56" s="521"/>
      <c r="AT56" s="521"/>
      <c r="AU56" s="521"/>
      <c r="AV56" s="521"/>
      <c r="AW56" s="521"/>
      <c r="AX56" s="521"/>
    </row>
    <row r="57" spans="1:50">
      <c r="A57" s="63" t="s">
        <v>745</v>
      </c>
      <c r="AQ57" s="521"/>
      <c r="AR57" s="521"/>
      <c r="AS57" s="521"/>
      <c r="AT57" s="521"/>
      <c r="AU57" s="521"/>
      <c r="AV57" s="521"/>
      <c r="AW57" s="521"/>
      <c r="AX57" s="521"/>
    </row>
    <row r="58" spans="1:50" ht="38.25">
      <c r="A58" s="63"/>
      <c r="B58" s="1611"/>
      <c r="C58" s="1421" t="s">
        <v>141</v>
      </c>
      <c r="D58" s="1421" t="s">
        <v>142</v>
      </c>
      <c r="E58" s="1421" t="s">
        <v>143</v>
      </c>
      <c r="F58" s="1421" t="s">
        <v>144</v>
      </c>
      <c r="G58" s="1421" t="s">
        <v>145</v>
      </c>
      <c r="H58" s="1421" t="s">
        <v>146</v>
      </c>
      <c r="I58" s="1421" t="s">
        <v>147</v>
      </c>
      <c r="J58" s="1421" t="s">
        <v>148</v>
      </c>
      <c r="K58" s="1421" t="s">
        <v>149</v>
      </c>
      <c r="L58" s="1174" t="s">
        <v>150</v>
      </c>
      <c r="N58" s="1173" t="s">
        <v>595</v>
      </c>
      <c r="O58" s="1421" t="s">
        <v>596</v>
      </c>
      <c r="P58" s="1421" t="s">
        <v>597</v>
      </c>
      <c r="Q58" s="1421" t="s">
        <v>598</v>
      </c>
      <c r="R58" s="1421" t="s">
        <v>599</v>
      </c>
      <c r="S58" s="1421" t="s">
        <v>600</v>
      </c>
      <c r="T58" s="1421" t="s">
        <v>601</v>
      </c>
      <c r="U58" s="1174" t="s">
        <v>602</v>
      </c>
      <c r="V58" s="1421" t="s">
        <v>603</v>
      </c>
      <c r="W58" s="1421" t="s">
        <v>604</v>
      </c>
      <c r="X58" s="1421" t="s">
        <v>605</v>
      </c>
      <c r="Y58" s="1174" t="s">
        <v>606</v>
      </c>
    </row>
    <row r="59" spans="1:50">
      <c r="A59" s="63"/>
      <c r="B59" s="238" t="s">
        <v>712</v>
      </c>
      <c r="C59" s="573"/>
      <c r="D59" s="573"/>
      <c r="E59" s="573"/>
      <c r="F59" s="573"/>
      <c r="G59" s="573"/>
      <c r="H59" s="573"/>
      <c r="I59" s="573"/>
      <c r="J59" s="573"/>
      <c r="K59" s="573"/>
      <c r="L59" s="574"/>
      <c r="N59" s="160"/>
      <c r="O59" s="489"/>
      <c r="P59" s="489"/>
      <c r="Q59" s="489"/>
      <c r="R59" s="489"/>
      <c r="S59" s="489"/>
      <c r="T59" s="489"/>
      <c r="U59" s="140"/>
      <c r="V59" s="489"/>
      <c r="W59" s="489"/>
      <c r="X59" s="489"/>
      <c r="Y59" s="140"/>
    </row>
    <row r="60" spans="1:50">
      <c r="A60" s="63"/>
      <c r="B60" s="141" t="s">
        <v>182</v>
      </c>
      <c r="C60" s="934">
        <v>0.15419366205486526</v>
      </c>
      <c r="D60" s="934">
        <v>0.24590781746607504</v>
      </c>
      <c r="E60" s="934">
        <v>0.19038736952448509</v>
      </c>
      <c r="F60" s="934">
        <v>0.21048189144820828</v>
      </c>
      <c r="G60" s="552">
        <f>IF(GREET1_Import_Export!$D$12=10,N60,IF(GREET1_Import_Export!$D$12=20,P60,IF(GREET1_Import_Export!$D$12=30,R60,T60)))</f>
        <v>0.19509317543425878</v>
      </c>
      <c r="H60" s="552">
        <f>IF(GREET1_Import_Export!$D$12=10,O60,IF(GREET1_Import_Export!$D$12=20,Q60,IF(GREET1_Import_Export!$D$12=30,S60,U60)))</f>
        <v>0.21364275905024321</v>
      </c>
      <c r="I60" s="552">
        <f>IF(GREET1_Import_Export!$G$12=100,V60,X60)</f>
        <v>1.5646877826941852E-2</v>
      </c>
      <c r="J60" s="552">
        <f>IF(GREET1_Import_Export!$G$12=100,W60,Y60)</f>
        <v>2.9031984525999865E-2</v>
      </c>
      <c r="K60" s="552">
        <f>$B$52/$K$45</f>
        <v>7.9312012420942532E-2</v>
      </c>
      <c r="L60" s="568">
        <f>$B$54/$L$45</f>
        <v>7.3874110559560224E-2</v>
      </c>
      <c r="N60" s="1477">
        <v>0.19282590356896945</v>
      </c>
      <c r="O60" s="939">
        <v>0.21247645334143006</v>
      </c>
      <c r="P60" s="939">
        <v>0.19509317543425878</v>
      </c>
      <c r="Q60" s="939">
        <v>0.21364275905024321</v>
      </c>
      <c r="R60" s="939">
        <v>0.20360596666053121</v>
      </c>
      <c r="S60" s="939">
        <v>0.22095512266987893</v>
      </c>
      <c r="T60" s="939">
        <v>0.20465356475028529</v>
      </c>
      <c r="U60" s="940">
        <v>0.22181091704312594</v>
      </c>
      <c r="V60" s="939">
        <v>1.8422496741568931E-2</v>
      </c>
      <c r="W60" s="939">
        <v>3.0324346832661719E-2</v>
      </c>
      <c r="X60" s="939">
        <v>1.5646877826941852E-2</v>
      </c>
      <c r="Y60" s="940">
        <v>2.9031984525999865E-2</v>
      </c>
    </row>
    <row r="61" spans="1:50">
      <c r="A61" s="63"/>
      <c r="B61" s="141" t="s">
        <v>183</v>
      </c>
      <c r="C61" s="934">
        <v>5.532467995814562E-2</v>
      </c>
      <c r="D61" s="934">
        <v>4.3125153409211393E-2</v>
      </c>
      <c r="E61" s="934">
        <v>3.5466515702308021E-2</v>
      </c>
      <c r="F61" s="934">
        <v>4.2129991511499702E-2</v>
      </c>
      <c r="G61" s="552">
        <f>IF(GREET1_Import_Export!$D$12=10,N61,IF(GREET1_Import_Export!$D$12=20,P61,IF(GREET1_Import_Export!$D$12=30,R61,T61)))</f>
        <v>3.5150691984771054E-2</v>
      </c>
      <c r="H61" s="552">
        <f>IF(GREET1_Import_Export!$D$12=10,O61,IF(GREET1_Import_Export!$D$12=20,Q61,IF(GREET1_Import_Export!$D$12=30,S61,U61)))</f>
        <v>4.2011993848551657E-2</v>
      </c>
      <c r="I61" s="552">
        <f>IF(GREET1_Import_Export!$G$12=100,V61,X61)</f>
        <v>3.896770587477786E-2</v>
      </c>
      <c r="J61" s="552">
        <f>IF(GREET1_Import_Export!$G$12=100,W61,Y61)</f>
        <v>4.7917061661148223E-2</v>
      </c>
      <c r="K61" s="1476">
        <v>2.8690619724765699E-2</v>
      </c>
      <c r="L61" s="933">
        <v>3.1990016843720603E-2</v>
      </c>
      <c r="N61" s="1477">
        <v>3.5399555760961293E-2</v>
      </c>
      <c r="O61" s="939">
        <v>4.2106338982114404E-2</v>
      </c>
      <c r="P61" s="939">
        <v>3.5150691984771054E-2</v>
      </c>
      <c r="Q61" s="939">
        <v>4.2011993848551657E-2</v>
      </c>
      <c r="R61" s="939">
        <v>3.3804025767492862E-2</v>
      </c>
      <c r="S61" s="939">
        <v>4.0956649276768294E-2</v>
      </c>
      <c r="T61" s="939">
        <v>3.3487066423738429E-2</v>
      </c>
      <c r="U61" s="940">
        <v>4.0822891767920116E-2</v>
      </c>
      <c r="V61" s="939">
        <v>4.0416654640410249E-2</v>
      </c>
      <c r="W61" s="939">
        <v>4.8568697051545984E-2</v>
      </c>
      <c r="X61" s="939">
        <v>3.896770587477786E-2</v>
      </c>
      <c r="Y61" s="940">
        <v>4.7917061661148223E-2</v>
      </c>
    </row>
    <row r="62" spans="1:50">
      <c r="A62" s="63"/>
      <c r="B62" s="141" t="s">
        <v>184</v>
      </c>
      <c r="C62" s="934">
        <v>0.36613971313742633</v>
      </c>
      <c r="D62" s="934">
        <v>0.33900000000000002</v>
      </c>
      <c r="E62" s="934">
        <v>0.32855158001505014</v>
      </c>
      <c r="F62" s="934">
        <v>0.35199999999999998</v>
      </c>
      <c r="G62" s="552">
        <f>IF(GREET1_Import_Export!$D$12=10,N62,IF(GREET1_Import_Export!$D$12=20,P62,IF(GREET1_Import_Export!$D$12=30,R62,T62)))</f>
        <v>0.32562588011619464</v>
      </c>
      <c r="H62" s="552">
        <f>IF(GREET1_Import_Export!$D$12=10,O62,IF(GREET1_Import_Export!$D$12=20,Q62,IF(GREET1_Import_Export!$D$12=30,S62,U62)))</f>
        <v>0.36699999999999999</v>
      </c>
      <c r="I62" s="552">
        <f>IF(GREET1_Import_Export!$G$12=100,V62,X62)</f>
        <v>0.36098559672967417</v>
      </c>
      <c r="J62" s="552">
        <f>IF(GREET1_Import_Export!$G$12=100,W62,Y62)</f>
        <v>0.45</v>
      </c>
      <c r="K62" s="1476">
        <v>0.30603327706416783</v>
      </c>
      <c r="L62" s="933">
        <v>0.3662305376591462</v>
      </c>
      <c r="N62" s="1477">
        <v>0.32793128241627167</v>
      </c>
      <c r="O62" s="939">
        <v>0.36699999999999999</v>
      </c>
      <c r="P62" s="939">
        <v>0.32562588011619464</v>
      </c>
      <c r="Q62" s="939">
        <v>0.36699999999999999</v>
      </c>
      <c r="R62" s="939">
        <v>0.31315075238858286</v>
      </c>
      <c r="S62" s="939">
        <v>0.36699999999999999</v>
      </c>
      <c r="T62" s="939">
        <v>0.31021453237573637</v>
      </c>
      <c r="U62" s="940">
        <v>0.36699999999999999</v>
      </c>
      <c r="V62" s="939">
        <v>0.37440824050740484</v>
      </c>
      <c r="W62" s="939">
        <v>0.45</v>
      </c>
      <c r="X62" s="939">
        <v>0.36098559672967417</v>
      </c>
      <c r="Y62" s="940">
        <v>0.45</v>
      </c>
    </row>
    <row r="63" spans="1:50">
      <c r="A63" s="63"/>
      <c r="B63" s="141" t="s">
        <v>185</v>
      </c>
      <c r="C63" s="934">
        <v>0</v>
      </c>
      <c r="D63" s="934">
        <v>0</v>
      </c>
      <c r="E63" s="934">
        <v>2.3407900363523294E-2</v>
      </c>
      <c r="F63" s="934">
        <v>1.7413729824753209E-2</v>
      </c>
      <c r="G63" s="552">
        <f>IF(GREET1_Import_Export!$D$12=10,N63,IF(GREET1_Import_Export!$D$12=20,P63,IF(GREET1_Import_Export!$D$12=30,R63,T63)))</f>
        <v>2.4371146442774595E-2</v>
      </c>
      <c r="H63" s="552">
        <f>IF(GREET1_Import_Export!$D$12=10,O63,IF(GREET1_Import_Export!$D$12=20,Q63,IF(GREET1_Import_Export!$D$12=30,S63,U63)))</f>
        <v>1.736495745740135E-2</v>
      </c>
      <c r="I63" s="552">
        <f>IF(GREET1_Import_Export!$G$12=100,V63,X63)</f>
        <v>0.10703129880272316</v>
      </c>
      <c r="J63" s="552">
        <f>IF(GREET1_Import_Export!$G$12=100,W63,Y63)</f>
        <v>6.7083886325607509E-2</v>
      </c>
      <c r="K63" s="1476">
        <v>4.3567237359829446E-2</v>
      </c>
      <c r="L63" s="933">
        <v>5.4052097425596878E-2</v>
      </c>
      <c r="N63" s="1477">
        <v>2.2891712725421638E-2</v>
      </c>
      <c r="O63" s="939">
        <v>1.7123244519393194E-2</v>
      </c>
      <c r="P63" s="939">
        <v>2.4371146442774595E-2</v>
      </c>
      <c r="Q63" s="939">
        <v>1.736495745740135E-2</v>
      </c>
      <c r="R63" s="939">
        <v>3.4254746111059421E-2</v>
      </c>
      <c r="S63" s="939">
        <v>2.2935723594990243E-2</v>
      </c>
      <c r="T63" s="939">
        <v>3.7059020175603856E-2</v>
      </c>
      <c r="U63" s="940">
        <v>2.3677277225393666E-2</v>
      </c>
      <c r="V63" s="939">
        <v>7.3827755809816042E-2</v>
      </c>
      <c r="W63" s="939">
        <v>5.4396940697731502E-2</v>
      </c>
      <c r="X63" s="939">
        <v>0.10703129880272316</v>
      </c>
      <c r="Y63" s="940">
        <v>6.7083886325607509E-2</v>
      </c>
    </row>
    <row r="64" spans="1:50">
      <c r="A64" s="63"/>
      <c r="B64" s="141" t="s">
        <v>186</v>
      </c>
      <c r="C64" s="934">
        <v>0</v>
      </c>
      <c r="D64" s="934">
        <v>0</v>
      </c>
      <c r="E64" s="934">
        <v>2.3407900363523294E-2</v>
      </c>
      <c r="F64" s="934">
        <v>1.7413729824753209E-2</v>
      </c>
      <c r="G64" s="552">
        <f>IF(GREET1_Import_Export!$D$12=10,N64,IF(GREET1_Import_Export!$D$12=20,P64,IF(GREET1_Import_Export!$D$12=30,R64,T64)))</f>
        <v>2.4371146442774595E-2</v>
      </c>
      <c r="H64" s="552">
        <f>IF(GREET1_Import_Export!$D$12=10,O64,IF(GREET1_Import_Export!$D$12=20,Q64,IF(GREET1_Import_Export!$D$12=30,S64,U64)))</f>
        <v>1.736495745740135E-2</v>
      </c>
      <c r="I64" s="552">
        <f>IF(GREET1_Import_Export!$G$12=100,V64,X64)</f>
        <v>0</v>
      </c>
      <c r="J64" s="552">
        <f>IF(GREET1_Import_Export!$G$12=100,W64,Y64)</f>
        <v>0</v>
      </c>
      <c r="K64" s="1476">
        <v>0</v>
      </c>
      <c r="L64" s="933">
        <v>0</v>
      </c>
      <c r="N64" s="1477">
        <v>2.2891712725421638E-2</v>
      </c>
      <c r="O64" s="939">
        <v>1.7123244519393194E-2</v>
      </c>
      <c r="P64" s="939">
        <v>2.4371146442774595E-2</v>
      </c>
      <c r="Q64" s="939">
        <v>1.736495745740135E-2</v>
      </c>
      <c r="R64" s="939">
        <v>3.4254746111059421E-2</v>
      </c>
      <c r="S64" s="939">
        <v>2.2935723594990243E-2</v>
      </c>
      <c r="T64" s="939">
        <v>3.7059020175603856E-2</v>
      </c>
      <c r="U64" s="940">
        <v>2.3677277225393666E-2</v>
      </c>
      <c r="V64" s="939">
        <v>0</v>
      </c>
      <c r="W64" s="939"/>
      <c r="X64" s="939">
        <v>0</v>
      </c>
      <c r="Y64" s="940"/>
    </row>
    <row r="65" spans="1:25">
      <c r="A65" s="63"/>
      <c r="B65" s="141" t="s">
        <v>187</v>
      </c>
      <c r="C65" s="934">
        <v>0</v>
      </c>
      <c r="D65" s="934">
        <v>0</v>
      </c>
      <c r="E65" s="934">
        <v>1.7999999999999999E-2</v>
      </c>
      <c r="F65" s="934">
        <v>1.7999999999999999E-2</v>
      </c>
      <c r="G65" s="552">
        <f>IF(GREET1_Import_Export!$D$12=10,N65,IF(GREET1_Import_Export!$D$12=20,P65,IF(GREET1_Import_Export!$D$12=30,R65,T65)))</f>
        <v>1.7999999999999999E-2</v>
      </c>
      <c r="H65" s="552">
        <f>IF(GREET1_Import_Export!$D$12=10,O65,IF(GREET1_Import_Export!$D$12=20,Q65,IF(GREET1_Import_Export!$D$12=30,S65,U65)))</f>
        <v>1.7000000000000001E-2</v>
      </c>
      <c r="I65" s="552">
        <f>IF(GREET1_Import_Export!$G$12=100,V65,X65)</f>
        <v>5.8999999999999997E-2</v>
      </c>
      <c r="J65" s="552">
        <f>IF(GREET1_Import_Export!$G$12=100,W65,Y65)</f>
        <v>6.6000000000000003E-2</v>
      </c>
      <c r="K65" s="1476">
        <v>3.8254159633020979E-2</v>
      </c>
      <c r="L65" s="933">
        <v>4.7433473251033989E-2</v>
      </c>
      <c r="N65" s="1478">
        <v>1.7999999999999999E-2</v>
      </c>
      <c r="O65" s="941">
        <v>1.7000000000000001E-2</v>
      </c>
      <c r="P65" s="941">
        <v>1.7999999999999999E-2</v>
      </c>
      <c r="Q65" s="941">
        <v>1.7000000000000001E-2</v>
      </c>
      <c r="R65" s="941">
        <v>1.7999999999999999E-2</v>
      </c>
      <c r="S65" s="941">
        <v>1.7000000000000001E-2</v>
      </c>
      <c r="T65" s="941">
        <v>1.7999999999999999E-2</v>
      </c>
      <c r="U65" s="942">
        <v>1.7000000000000001E-2</v>
      </c>
      <c r="V65" s="941">
        <v>5.8999999999999997E-2</v>
      </c>
      <c r="W65" s="941">
        <v>6.6000000000000003E-2</v>
      </c>
      <c r="X65" s="941">
        <v>5.8999999999999997E-2</v>
      </c>
      <c r="Y65" s="942">
        <v>6.6000000000000003E-2</v>
      </c>
    </row>
    <row r="66" spans="1:25">
      <c r="A66" s="63"/>
      <c r="B66" s="141" t="s">
        <v>188</v>
      </c>
      <c r="C66" s="221">
        <v>0</v>
      </c>
      <c r="D66" s="221">
        <v>0</v>
      </c>
      <c r="E66" s="221">
        <v>0</v>
      </c>
      <c r="F66" s="221">
        <v>0</v>
      </c>
      <c r="G66" s="221">
        <v>0</v>
      </c>
      <c r="H66" s="221">
        <v>0</v>
      </c>
      <c r="I66" s="221">
        <v>0</v>
      </c>
      <c r="J66" s="221">
        <v>0</v>
      </c>
      <c r="K66" s="552">
        <f>$B$53/$K$45</f>
        <v>8.8812362865825181E-2</v>
      </c>
      <c r="L66" s="568">
        <f>$B$55/$L$45</f>
        <v>8.0841265085229E-2</v>
      </c>
    </row>
    <row r="67" spans="1:25" ht="25.5">
      <c r="A67" s="63"/>
      <c r="B67" s="155" t="s">
        <v>189</v>
      </c>
      <c r="C67" s="223">
        <f>1-SUM(C60:C66)</f>
        <v>0.42434194484956278</v>
      </c>
      <c r="D67" s="223">
        <f>1-SUM(D60:D66)</f>
        <v>0.37196702912471347</v>
      </c>
      <c r="E67" s="223">
        <f t="shared" ref="E67:L67" si="0">1-SUM(E60:E66)</f>
        <v>0.38077873403111018</v>
      </c>
      <c r="F67" s="223">
        <f t="shared" si="0"/>
        <v>0.34256065739078556</v>
      </c>
      <c r="G67" s="223">
        <f t="shared" si="0"/>
        <v>0.37738795957922633</v>
      </c>
      <c r="H67" s="223">
        <f t="shared" si="0"/>
        <v>0.32561533218640248</v>
      </c>
      <c r="I67" s="223">
        <f t="shared" si="0"/>
        <v>0.41836852076588293</v>
      </c>
      <c r="J67" s="223">
        <f t="shared" si="0"/>
        <v>0.33996706748724437</v>
      </c>
      <c r="K67" s="223">
        <f t="shared" si="0"/>
        <v>0.41533033093144833</v>
      </c>
      <c r="L67" s="224">
        <f t="shared" si="0"/>
        <v>0.34557849917571304</v>
      </c>
    </row>
    <row r="68" spans="1:25">
      <c r="A68" s="63"/>
      <c r="B68" s="571" t="s">
        <v>713</v>
      </c>
      <c r="C68" s="573"/>
      <c r="D68" s="573"/>
      <c r="E68" s="560"/>
      <c r="F68" s="560"/>
      <c r="G68" s="560"/>
      <c r="H68" s="560"/>
      <c r="I68" s="560"/>
      <c r="J68" s="560"/>
      <c r="K68" s="560"/>
      <c r="L68" s="561"/>
    </row>
    <row r="69" spans="1:25">
      <c r="A69" s="63"/>
      <c r="B69" s="141" t="s">
        <v>182</v>
      </c>
      <c r="C69" s="648">
        <v>0.14656530226250034</v>
      </c>
      <c r="D69" s="648">
        <v>0.1635978224213519</v>
      </c>
      <c r="E69" s="221">
        <v>0</v>
      </c>
      <c r="F69" s="221">
        <v>0</v>
      </c>
      <c r="G69" s="221">
        <v>0</v>
      </c>
      <c r="H69" s="221">
        <v>0</v>
      </c>
      <c r="I69" s="221">
        <v>0</v>
      </c>
      <c r="J69" s="221">
        <v>0</v>
      </c>
      <c r="K69" s="221">
        <v>0</v>
      </c>
      <c r="L69" s="222">
        <v>0</v>
      </c>
    </row>
    <row r="70" spans="1:25">
      <c r="A70" s="63"/>
      <c r="B70" s="141" t="s">
        <v>183</v>
      </c>
      <c r="C70" s="648">
        <v>6.294920152783226E-2</v>
      </c>
      <c r="D70" s="648">
        <v>6.0039844814931347E-2</v>
      </c>
      <c r="E70" s="221">
        <v>0</v>
      </c>
      <c r="F70" s="221">
        <v>0</v>
      </c>
      <c r="G70" s="221">
        <v>0</v>
      </c>
      <c r="H70" s="221">
        <v>0</v>
      </c>
      <c r="I70" s="221">
        <v>0</v>
      </c>
      <c r="J70" s="221">
        <v>0</v>
      </c>
      <c r="K70" s="221">
        <v>0</v>
      </c>
      <c r="L70" s="222">
        <v>0</v>
      </c>
    </row>
    <row r="71" spans="1:25">
      <c r="A71" s="63"/>
      <c r="B71" s="141" t="s">
        <v>184</v>
      </c>
      <c r="C71" s="648">
        <v>0.37085246192876914</v>
      </c>
      <c r="D71" s="648">
        <v>0.36956264222700225</v>
      </c>
      <c r="E71" s="221">
        <v>0</v>
      </c>
      <c r="F71" s="221">
        <v>0</v>
      </c>
      <c r="G71" s="221">
        <v>0</v>
      </c>
      <c r="H71" s="221">
        <v>0</v>
      </c>
      <c r="I71" s="221">
        <v>0</v>
      </c>
      <c r="J71" s="221">
        <v>0</v>
      </c>
      <c r="K71" s="221">
        <v>0</v>
      </c>
      <c r="L71" s="222">
        <v>0</v>
      </c>
    </row>
    <row r="72" spans="1:25">
      <c r="A72" s="63"/>
      <c r="B72" s="141" t="s">
        <v>185</v>
      </c>
      <c r="C72" s="221">
        <v>0</v>
      </c>
      <c r="D72" s="553">
        <v>0</v>
      </c>
      <c r="E72" s="221">
        <v>0</v>
      </c>
      <c r="F72" s="221">
        <v>0</v>
      </c>
      <c r="G72" s="221">
        <v>0</v>
      </c>
      <c r="H72" s="221">
        <v>0</v>
      </c>
      <c r="I72" s="221">
        <v>0</v>
      </c>
      <c r="J72" s="221">
        <v>0</v>
      </c>
      <c r="K72" s="221">
        <v>0</v>
      </c>
      <c r="L72" s="222">
        <v>0</v>
      </c>
    </row>
    <row r="73" spans="1:25">
      <c r="A73" s="63"/>
      <c r="B73" s="141" t="s">
        <v>186</v>
      </c>
      <c r="C73" s="221">
        <v>0</v>
      </c>
      <c r="D73" s="553">
        <v>0</v>
      </c>
      <c r="E73" s="221">
        <v>0</v>
      </c>
      <c r="F73" s="221">
        <v>0</v>
      </c>
      <c r="G73" s="221">
        <v>0</v>
      </c>
      <c r="H73" s="221">
        <v>0</v>
      </c>
      <c r="I73" s="221">
        <v>0</v>
      </c>
      <c r="J73" s="221">
        <v>0</v>
      </c>
      <c r="K73" s="221">
        <v>0</v>
      </c>
      <c r="L73" s="222">
        <v>0</v>
      </c>
    </row>
    <row r="74" spans="1:25">
      <c r="A74" s="63"/>
      <c r="B74" s="141" t="s">
        <v>187</v>
      </c>
      <c r="C74" s="221">
        <v>0</v>
      </c>
      <c r="D74" s="553">
        <v>0</v>
      </c>
      <c r="E74" s="221">
        <v>0</v>
      </c>
      <c r="F74" s="221">
        <v>0</v>
      </c>
      <c r="G74" s="221">
        <v>0</v>
      </c>
      <c r="H74" s="221">
        <v>0</v>
      </c>
      <c r="I74" s="221">
        <v>0</v>
      </c>
      <c r="J74" s="221">
        <v>0</v>
      </c>
      <c r="K74" s="221">
        <v>0</v>
      </c>
      <c r="L74" s="222">
        <v>0</v>
      </c>
    </row>
    <row r="75" spans="1:25">
      <c r="A75" s="63"/>
      <c r="B75" s="141" t="s">
        <v>188</v>
      </c>
      <c r="C75" s="221">
        <v>0</v>
      </c>
      <c r="D75" s="553">
        <v>0</v>
      </c>
      <c r="E75" s="221">
        <v>0</v>
      </c>
      <c r="F75" s="221">
        <v>0</v>
      </c>
      <c r="G75" s="221">
        <v>0</v>
      </c>
      <c r="H75" s="221">
        <v>0</v>
      </c>
      <c r="I75" s="221">
        <v>0</v>
      </c>
      <c r="J75" s="221">
        <v>0</v>
      </c>
      <c r="K75" s="221">
        <v>0</v>
      </c>
      <c r="L75" s="222">
        <v>0</v>
      </c>
    </row>
    <row r="76" spans="1:25" ht="25.5">
      <c r="A76" s="63"/>
      <c r="B76" s="155" t="s">
        <v>189</v>
      </c>
      <c r="C76" s="223">
        <f>1-SUM(C69:C75)</f>
        <v>0.41963303428089826</v>
      </c>
      <c r="D76" s="223">
        <f>1-SUM(D69:D75)</f>
        <v>0.4067996905367145</v>
      </c>
      <c r="E76" s="223">
        <f t="shared" ref="E76:L76" si="1">1-SUM(E69:E75)</f>
        <v>1</v>
      </c>
      <c r="F76" s="223">
        <f t="shared" si="1"/>
        <v>1</v>
      </c>
      <c r="G76" s="223">
        <f t="shared" si="1"/>
        <v>1</v>
      </c>
      <c r="H76" s="223">
        <f t="shared" si="1"/>
        <v>1</v>
      </c>
      <c r="I76" s="223">
        <f t="shared" si="1"/>
        <v>1</v>
      </c>
      <c r="J76" s="223">
        <f t="shared" si="1"/>
        <v>1</v>
      </c>
      <c r="K76" s="223">
        <f t="shared" si="1"/>
        <v>1</v>
      </c>
      <c r="L76" s="224">
        <f t="shared" si="1"/>
        <v>1</v>
      </c>
    </row>
    <row r="77" spans="1:25">
      <c r="A77" s="63"/>
      <c r="B77" s="571" t="s">
        <v>714</v>
      </c>
      <c r="C77" s="560"/>
      <c r="D77" s="560"/>
      <c r="E77" s="560"/>
      <c r="F77" s="560"/>
      <c r="G77" s="560"/>
      <c r="H77" s="560"/>
      <c r="I77" s="560"/>
      <c r="J77" s="560"/>
      <c r="K77" s="560"/>
      <c r="L77" s="561"/>
    </row>
    <row r="78" spans="1:25">
      <c r="A78" s="63"/>
      <c r="B78" s="141" t="s">
        <v>182</v>
      </c>
      <c r="C78" s="552">
        <f>IF(Vehi_Inputs!$B$14=2,C69,C60)</f>
        <v>0.15419366205486526</v>
      </c>
      <c r="D78" s="552">
        <f>IF(Vehi_Inputs!$B$14=2,D69,D60)</f>
        <v>0.24590781746607504</v>
      </c>
      <c r="E78" s="552">
        <f>IF(Vehi_Inputs!$B$14=2,E69,E60)</f>
        <v>0.19038736952448509</v>
      </c>
      <c r="F78" s="552">
        <f>IF(Vehi_Inputs!$B$14=2,F69,F60)</f>
        <v>0.21048189144820828</v>
      </c>
      <c r="G78" s="552">
        <f>IF(Vehi_Inputs!$B$14=2,G69,G60)</f>
        <v>0.19509317543425878</v>
      </c>
      <c r="H78" s="552">
        <f>IF(Vehi_Inputs!$B$14=2,H69,H60)</f>
        <v>0.21364275905024321</v>
      </c>
      <c r="I78" s="552">
        <f>IF(Vehi_Inputs!$B$14=2,I69,I60)</f>
        <v>1.5646877826941852E-2</v>
      </c>
      <c r="J78" s="552">
        <f>IF(Vehi_Inputs!$B$14=2,J69,J60)</f>
        <v>2.9031984525999865E-2</v>
      </c>
      <c r="K78" s="552">
        <f>IF(Vehi_Inputs!$B$14=2,K69,K60)</f>
        <v>7.9312012420942532E-2</v>
      </c>
      <c r="L78" s="568">
        <f>IF(Vehi_Inputs!$B$14=2,L69,L60)</f>
        <v>7.3874110559560224E-2</v>
      </c>
    </row>
    <row r="79" spans="1:25">
      <c r="A79" s="63"/>
      <c r="B79" s="141" t="s">
        <v>183</v>
      </c>
      <c r="C79" s="552">
        <f>IF(Vehi_Inputs!$B$14=2,C70,C61)</f>
        <v>5.532467995814562E-2</v>
      </c>
      <c r="D79" s="552">
        <f>IF(Vehi_Inputs!$B$14=2,D70,D61)</f>
        <v>4.3125153409211393E-2</v>
      </c>
      <c r="E79" s="552">
        <f>IF(Vehi_Inputs!$B$14=2,E70,E61)</f>
        <v>3.5466515702308021E-2</v>
      </c>
      <c r="F79" s="552">
        <f>IF(Vehi_Inputs!$B$14=2,F70,F61)</f>
        <v>4.2129991511499702E-2</v>
      </c>
      <c r="G79" s="552">
        <f>IF(Vehi_Inputs!$B$14=2,G70,G61)</f>
        <v>3.5150691984771054E-2</v>
      </c>
      <c r="H79" s="552">
        <f>IF(Vehi_Inputs!$B$14=2,H70,H61)</f>
        <v>4.2011993848551657E-2</v>
      </c>
      <c r="I79" s="552">
        <f>IF(Vehi_Inputs!$B$14=2,I70,I61)</f>
        <v>3.896770587477786E-2</v>
      </c>
      <c r="J79" s="552">
        <f>IF(Vehi_Inputs!$B$14=2,J70,J61)</f>
        <v>4.7917061661148223E-2</v>
      </c>
      <c r="K79" s="552">
        <f>IF(Vehi_Inputs!$B$14=2,K70,K61)</f>
        <v>2.8690619724765699E-2</v>
      </c>
      <c r="L79" s="568">
        <f>IF(Vehi_Inputs!$B$14=2,L70,L61)</f>
        <v>3.1990016843720603E-2</v>
      </c>
    </row>
    <row r="80" spans="1:25">
      <c r="A80" s="63"/>
      <c r="B80" s="141" t="s">
        <v>184</v>
      </c>
      <c r="C80" s="552">
        <f>IF(Vehi_Inputs!$B$14=2,C71,C62)</f>
        <v>0.36613971313742633</v>
      </c>
      <c r="D80" s="552">
        <f>IF(Vehi_Inputs!$B$14=2,D71,D62)</f>
        <v>0.33900000000000002</v>
      </c>
      <c r="E80" s="552">
        <f>IF(Vehi_Inputs!$B$14=2,E71,E62)</f>
        <v>0.32855158001505014</v>
      </c>
      <c r="F80" s="552">
        <f>IF(Vehi_Inputs!$B$14=2,F71,F62)</f>
        <v>0.35199999999999998</v>
      </c>
      <c r="G80" s="552">
        <f>IF(Vehi_Inputs!$B$14=2,G71,G62)</f>
        <v>0.32562588011619464</v>
      </c>
      <c r="H80" s="552">
        <f>IF(Vehi_Inputs!$B$14=2,H71,H62)</f>
        <v>0.36699999999999999</v>
      </c>
      <c r="I80" s="552">
        <f>IF(Vehi_Inputs!$B$14=2,I71,I62)</f>
        <v>0.36098559672967417</v>
      </c>
      <c r="J80" s="552">
        <f>IF(Vehi_Inputs!$B$14=2,J71,J62)</f>
        <v>0.45</v>
      </c>
      <c r="K80" s="552">
        <f>IF(Vehi_Inputs!$B$14=2,K71,K62)</f>
        <v>0.30603327706416783</v>
      </c>
      <c r="L80" s="568">
        <f>IF(Vehi_Inputs!$B$14=2,L71,L62)</f>
        <v>0.3662305376591462</v>
      </c>
    </row>
    <row r="81" spans="1:12">
      <c r="A81" s="63"/>
      <c r="B81" s="141" t="s">
        <v>185</v>
      </c>
      <c r="C81" s="552">
        <f>IF(Vehi_Inputs!$B$14=2,C72,C63)</f>
        <v>0</v>
      </c>
      <c r="D81" s="552">
        <f>IF(Vehi_Inputs!$B$14=2,D72,D63)</f>
        <v>0</v>
      </c>
      <c r="E81" s="552">
        <f>IF(Vehi_Inputs!$B$14=2,E72,E63)</f>
        <v>2.3407900363523294E-2</v>
      </c>
      <c r="F81" s="552">
        <f>IF(Vehi_Inputs!$B$14=2,F72,F63)</f>
        <v>1.7413729824753209E-2</v>
      </c>
      <c r="G81" s="552">
        <f>IF(Vehi_Inputs!$B$14=2,G72,G63)</f>
        <v>2.4371146442774595E-2</v>
      </c>
      <c r="H81" s="552">
        <f>IF(Vehi_Inputs!$B$14=2,H72,H63)</f>
        <v>1.736495745740135E-2</v>
      </c>
      <c r="I81" s="552">
        <f>IF(Vehi_Inputs!$B$14=2,I72,I63)</f>
        <v>0.10703129880272316</v>
      </c>
      <c r="J81" s="552">
        <f>IF(Vehi_Inputs!$B$14=2,J72,J63)</f>
        <v>6.7083886325607509E-2</v>
      </c>
      <c r="K81" s="552">
        <f>IF(Vehi_Inputs!$B$14=2,K72,K63)</f>
        <v>4.3567237359829446E-2</v>
      </c>
      <c r="L81" s="568">
        <f>IF(Vehi_Inputs!$B$14=2,L72,L63)</f>
        <v>5.4052097425596878E-2</v>
      </c>
    </row>
    <row r="82" spans="1:12">
      <c r="A82" s="63"/>
      <c r="B82" s="141" t="s">
        <v>186</v>
      </c>
      <c r="C82" s="552">
        <f>IF(Vehi_Inputs!$B$14=2,C73,C64)</f>
        <v>0</v>
      </c>
      <c r="D82" s="552">
        <f>IF(Vehi_Inputs!$B$14=2,D73,D64)</f>
        <v>0</v>
      </c>
      <c r="E82" s="552">
        <f>IF(Vehi_Inputs!$B$14=2,E73,E64)</f>
        <v>2.3407900363523294E-2</v>
      </c>
      <c r="F82" s="552">
        <f>IF(Vehi_Inputs!$B$14=2,F73,F64)</f>
        <v>1.7413729824753209E-2</v>
      </c>
      <c r="G82" s="552">
        <f>IF(Vehi_Inputs!$B$14=2,G73,G64)</f>
        <v>2.4371146442774595E-2</v>
      </c>
      <c r="H82" s="552">
        <f>IF(Vehi_Inputs!$B$14=2,H73,H64)</f>
        <v>1.736495745740135E-2</v>
      </c>
      <c r="I82" s="552">
        <f>IF(Vehi_Inputs!$B$14=2,I73,I64)</f>
        <v>0</v>
      </c>
      <c r="J82" s="552">
        <f>IF(Vehi_Inputs!$B$14=2,J73,J64)</f>
        <v>0</v>
      </c>
      <c r="K82" s="552">
        <f>IF(Vehi_Inputs!$B$14=2,K73,K64)</f>
        <v>0</v>
      </c>
      <c r="L82" s="568">
        <f>IF(Vehi_Inputs!$B$14=2,L73,L64)</f>
        <v>0</v>
      </c>
    </row>
    <row r="83" spans="1:12">
      <c r="A83" s="63"/>
      <c r="B83" s="141" t="s">
        <v>187</v>
      </c>
      <c r="C83" s="552">
        <f>IF(Vehi_Inputs!$B$14=2,C74,C65)</f>
        <v>0</v>
      </c>
      <c r="D83" s="552">
        <f>IF(Vehi_Inputs!$B$14=2,D74,D65)</f>
        <v>0</v>
      </c>
      <c r="E83" s="552">
        <f>IF(Vehi_Inputs!$B$14=2,E74,E65)</f>
        <v>1.7999999999999999E-2</v>
      </c>
      <c r="F83" s="552">
        <f>IF(Vehi_Inputs!$B$14=2,F74,F65)</f>
        <v>1.7999999999999999E-2</v>
      </c>
      <c r="G83" s="552">
        <f>IF(Vehi_Inputs!$B$14=2,G74,G65)</f>
        <v>1.7999999999999999E-2</v>
      </c>
      <c r="H83" s="552">
        <f>IF(Vehi_Inputs!$B$14=2,H74,H65)</f>
        <v>1.7000000000000001E-2</v>
      </c>
      <c r="I83" s="552">
        <f>IF(Vehi_Inputs!$B$14=2,I74,I65)</f>
        <v>5.8999999999999997E-2</v>
      </c>
      <c r="J83" s="552">
        <f>IF(Vehi_Inputs!$B$14=2,J74,J65)</f>
        <v>6.6000000000000003E-2</v>
      </c>
      <c r="K83" s="552">
        <f>IF(Vehi_Inputs!$B$14=2,K74,K65)</f>
        <v>3.8254159633020979E-2</v>
      </c>
      <c r="L83" s="568">
        <f>IF(Vehi_Inputs!$B$14=2,L74,L65)</f>
        <v>4.7433473251033989E-2</v>
      </c>
    </row>
    <row r="84" spans="1:12">
      <c r="A84" s="63"/>
      <c r="B84" s="141" t="s">
        <v>188</v>
      </c>
      <c r="C84" s="552">
        <f>IF(Vehi_Inputs!$B$14=2,C75,C66)</f>
        <v>0</v>
      </c>
      <c r="D84" s="552">
        <f>IF(Vehi_Inputs!$B$14=2,D75,D66)</f>
        <v>0</v>
      </c>
      <c r="E84" s="552">
        <f>IF(Vehi_Inputs!$B$14=2,E75,E66)</f>
        <v>0</v>
      </c>
      <c r="F84" s="552">
        <f>IF(Vehi_Inputs!$B$14=2,F75,F66)</f>
        <v>0</v>
      </c>
      <c r="G84" s="552">
        <f>IF(Vehi_Inputs!$B$14=2,G75,G66)</f>
        <v>0</v>
      </c>
      <c r="H84" s="552">
        <f>IF(Vehi_Inputs!$B$14=2,H75,H66)</f>
        <v>0</v>
      </c>
      <c r="I84" s="552">
        <f>IF(Vehi_Inputs!$B$14=2,I75,I66)</f>
        <v>0</v>
      </c>
      <c r="J84" s="552">
        <f>IF(Vehi_Inputs!$B$14=2,J75,J66)</f>
        <v>0</v>
      </c>
      <c r="K84" s="552">
        <f>IF(Vehi_Inputs!$B$14=2,K75,K66)</f>
        <v>8.8812362865825181E-2</v>
      </c>
      <c r="L84" s="568">
        <f>IF(Vehi_Inputs!$B$14=2,L75,L66)</f>
        <v>8.0841265085229E-2</v>
      </c>
    </row>
    <row r="85" spans="1:12" ht="25.5">
      <c r="A85" s="63"/>
      <c r="B85" s="155" t="s">
        <v>189</v>
      </c>
      <c r="C85" s="223">
        <f t="shared" ref="C85:L85" si="2">1-SUM(C78:C84)</f>
        <v>0.42434194484956278</v>
      </c>
      <c r="D85" s="223">
        <f t="shared" si="2"/>
        <v>0.37196702912471347</v>
      </c>
      <c r="E85" s="223">
        <f t="shared" si="2"/>
        <v>0.38077873403111018</v>
      </c>
      <c r="F85" s="223">
        <f t="shared" si="2"/>
        <v>0.34256065739078556</v>
      </c>
      <c r="G85" s="223">
        <f t="shared" si="2"/>
        <v>0.37738795957922633</v>
      </c>
      <c r="H85" s="223">
        <f t="shared" si="2"/>
        <v>0.32561533218640248</v>
      </c>
      <c r="I85" s="223">
        <f t="shared" si="2"/>
        <v>0.41836852076588293</v>
      </c>
      <c r="J85" s="223">
        <f t="shared" si="2"/>
        <v>0.33996706748724437</v>
      </c>
      <c r="K85" s="223">
        <f t="shared" si="2"/>
        <v>0.41533033093144833</v>
      </c>
      <c r="L85" s="224">
        <f t="shared" si="2"/>
        <v>0.34557849917571304</v>
      </c>
    </row>
    <row r="86" spans="1:12">
      <c r="A86" s="63"/>
    </row>
    <row r="87" spans="1:12">
      <c r="A87" s="300" t="s">
        <v>649</v>
      </c>
      <c r="B87" s="299"/>
      <c r="H87" s="552"/>
      <c r="J87" s="552"/>
      <c r="L87" s="552"/>
    </row>
    <row r="88" spans="1:12">
      <c r="A88" s="299"/>
      <c r="B88" s="1631">
        <v>4</v>
      </c>
      <c r="H88" s="552"/>
      <c r="J88" s="552"/>
      <c r="L88" s="552"/>
    </row>
    <row r="89" spans="1:12">
      <c r="A89" s="299"/>
      <c r="B89" s="303"/>
      <c r="H89" s="552"/>
      <c r="J89" s="552"/>
      <c r="L89" s="552"/>
    </row>
    <row r="90" spans="1:12">
      <c r="A90" s="63" t="s">
        <v>650</v>
      </c>
    </row>
    <row r="91" spans="1:12" ht="38.25">
      <c r="B91" s="1614"/>
      <c r="C91" s="1644" t="s">
        <v>141</v>
      </c>
      <c r="D91" s="1615" t="s">
        <v>142</v>
      </c>
      <c r="E91" s="1615" t="s">
        <v>143</v>
      </c>
      <c r="F91" s="1615" t="s">
        <v>144</v>
      </c>
      <c r="G91" s="1615" t="s">
        <v>145</v>
      </c>
      <c r="H91" s="1615" t="s">
        <v>146</v>
      </c>
      <c r="I91" s="1615" t="s">
        <v>147</v>
      </c>
      <c r="J91" s="1615" t="s">
        <v>148</v>
      </c>
      <c r="K91" s="1615" t="s">
        <v>149</v>
      </c>
      <c r="L91" s="1616" t="s">
        <v>150</v>
      </c>
    </row>
    <row r="92" spans="1:12">
      <c r="B92" s="570" t="s">
        <v>712</v>
      </c>
      <c r="C92" s="1608">
        <v>30</v>
      </c>
      <c r="D92" s="1608">
        <v>30</v>
      </c>
      <c r="E92" s="1608">
        <v>30</v>
      </c>
      <c r="F92" s="1608">
        <v>30</v>
      </c>
      <c r="G92" s="1608">
        <v>30</v>
      </c>
      <c r="H92" s="1608">
        <v>30</v>
      </c>
      <c r="I92" s="1608">
        <v>30</v>
      </c>
      <c r="J92" s="1608">
        <v>30</v>
      </c>
      <c r="K92" s="1608">
        <v>30</v>
      </c>
      <c r="L92" s="525">
        <v>30</v>
      </c>
    </row>
    <row r="93" spans="1:12">
      <c r="B93" s="490" t="s">
        <v>713</v>
      </c>
      <c r="C93" s="489">
        <v>38.299999999999997</v>
      </c>
      <c r="D93" s="489">
        <v>30.8</v>
      </c>
      <c r="E93" s="489" t="e">
        <v>#N/A</v>
      </c>
      <c r="F93" s="489" t="e">
        <v>#N/A</v>
      </c>
      <c r="G93" s="489" t="e">
        <v>#N/A</v>
      </c>
      <c r="H93" s="489" t="e">
        <v>#N/A</v>
      </c>
      <c r="I93" s="489" t="e">
        <v>#N/A</v>
      </c>
      <c r="J93" s="489" t="e">
        <v>#N/A</v>
      </c>
      <c r="K93" s="489" t="e">
        <v>#N/A</v>
      </c>
      <c r="L93" s="140" t="e">
        <v>#N/A</v>
      </c>
    </row>
    <row r="94" spans="1:12">
      <c r="B94" s="647" t="s">
        <v>714</v>
      </c>
      <c r="C94" s="548">
        <f>IF(Vehi_Inputs!$B$14=2,C93,C92)</f>
        <v>30</v>
      </c>
      <c r="D94" s="548">
        <f>IF(Vehi_Inputs!$B$14=2,D93,D92)</f>
        <v>30</v>
      </c>
      <c r="E94" s="548">
        <f>IF(Vehi_Inputs!$B$14=2,E93,E92)</f>
        <v>30</v>
      </c>
      <c r="F94" s="548">
        <f>IF(Vehi_Inputs!$B$14=2,F93,F92)</f>
        <v>30</v>
      </c>
      <c r="G94" s="548">
        <f>IF(Vehi_Inputs!$B$14=2,G93,G92)</f>
        <v>30</v>
      </c>
      <c r="H94" s="548">
        <f>IF(Vehi_Inputs!$B$14=2,H93,H92)</f>
        <v>30</v>
      </c>
      <c r="I94" s="548">
        <f>IF(Vehi_Inputs!$B$14=2,I93,I92)</f>
        <v>30</v>
      </c>
      <c r="J94" s="548">
        <f>IF(Vehi_Inputs!$B$14=2,J93,J92)</f>
        <v>30</v>
      </c>
      <c r="K94" s="548">
        <f>IF(Vehi_Inputs!$B$14=2,K93,K92)</f>
        <v>30</v>
      </c>
      <c r="L94" s="136">
        <f>IF(Vehi_Inputs!$B$14=2,L93,L92)</f>
        <v>30</v>
      </c>
    </row>
    <row r="95" spans="1:12">
      <c r="A95" s="299"/>
      <c r="B95" s="303"/>
      <c r="H95" s="552"/>
      <c r="J95" s="552"/>
      <c r="L95" s="552"/>
    </row>
    <row r="96" spans="1:12" ht="15">
      <c r="A96" s="301" t="s">
        <v>651</v>
      </c>
      <c r="B96" s="303"/>
      <c r="C96" s="302"/>
      <c r="D96" s="302"/>
      <c r="E96" s="302"/>
      <c r="F96" s="302"/>
      <c r="G96" s="299"/>
      <c r="H96" s="552"/>
      <c r="I96" s="302"/>
      <c r="J96" s="552"/>
      <c r="L96" s="552"/>
    </row>
    <row r="97" spans="1:12">
      <c r="A97" s="300" t="s">
        <v>746</v>
      </c>
      <c r="B97" s="299"/>
      <c r="C97" s="303"/>
      <c r="D97" s="303"/>
      <c r="E97" s="303"/>
      <c r="F97" s="299"/>
      <c r="G97" s="299"/>
      <c r="H97" s="552"/>
      <c r="I97" s="304"/>
      <c r="J97" s="552"/>
      <c r="L97" s="552"/>
    </row>
    <row r="98" spans="1:12">
      <c r="A98" s="63"/>
      <c r="B98" s="1617"/>
      <c r="C98" s="1618" t="s">
        <v>154</v>
      </c>
      <c r="D98" s="1619" t="s">
        <v>155</v>
      </c>
      <c r="H98" s="552"/>
      <c r="J98" s="552"/>
    </row>
    <row r="99" spans="1:12">
      <c r="A99" s="63"/>
      <c r="B99" s="141" t="s">
        <v>143</v>
      </c>
      <c r="C99" s="1109">
        <f>C260</f>
        <v>52.667999999999999</v>
      </c>
      <c r="D99" s="1109">
        <f>C260</f>
        <v>52.667999999999999</v>
      </c>
      <c r="H99" s="552"/>
      <c r="J99" s="552"/>
    </row>
    <row r="100" spans="1:12">
      <c r="A100" s="63"/>
      <c r="B100" s="141" t="s">
        <v>144</v>
      </c>
      <c r="C100" s="1109">
        <v>44.389800000000001</v>
      </c>
      <c r="D100" s="1109">
        <v>44.389800000000001</v>
      </c>
    </row>
    <row r="101" spans="1:12">
      <c r="A101" s="63"/>
      <c r="B101" s="141" t="s">
        <v>149</v>
      </c>
      <c r="C101" s="1109">
        <f>D260</f>
        <v>51.470999999999997</v>
      </c>
      <c r="D101" s="1109">
        <f>D260</f>
        <v>51.470999999999997</v>
      </c>
    </row>
    <row r="102" spans="1:12">
      <c r="A102" s="63"/>
      <c r="B102" s="142" t="s">
        <v>150</v>
      </c>
      <c r="C102" s="1110">
        <v>44.389800000000001</v>
      </c>
      <c r="D102" s="1110">
        <v>44.389800000000001</v>
      </c>
    </row>
    <row r="103" spans="1:12">
      <c r="A103" s="63"/>
      <c r="C103" s="521"/>
      <c r="D103" s="521"/>
    </row>
    <row r="104" spans="1:12">
      <c r="A104" s="63" t="s">
        <v>747</v>
      </c>
      <c r="C104" s="521"/>
      <c r="D104" s="521"/>
    </row>
    <row r="105" spans="1:12">
      <c r="A105" s="63"/>
      <c r="B105" s="1636"/>
      <c r="C105" s="1826" t="s">
        <v>154</v>
      </c>
      <c r="D105" s="1827" t="s">
        <v>155</v>
      </c>
      <c r="E105" s="521"/>
      <c r="F105" s="523" t="s">
        <v>654</v>
      </c>
      <c r="G105" s="524" t="s">
        <v>655</v>
      </c>
      <c r="H105" s="524" t="s">
        <v>656</v>
      </c>
      <c r="I105" s="1029" t="s">
        <v>657</v>
      </c>
    </row>
    <row r="106" spans="1:12">
      <c r="A106" s="63"/>
      <c r="B106" s="549" t="s">
        <v>145</v>
      </c>
      <c r="C106" s="2571">
        <f>IF(GREET1_Import_Export!$D$12=20,F106,IF(GREET1_Import_Export!$D$12=30,G106,IF(GREET1_Import_Export!$D$12=40,H106,I106)))</f>
        <v>13.419200500000001</v>
      </c>
      <c r="D106" s="2572">
        <f>IF(GREET1_Import_Export!$D$12=20,F106,IF(GREET1_Import_Export!$D$12=30,G106,IF(GREET1_Import_Export!$D$12=40,H106,I106)))</f>
        <v>13.419200500000001</v>
      </c>
      <c r="E106" s="521"/>
      <c r="F106" s="2579">
        <f>C249</f>
        <v>13.419200500000001</v>
      </c>
      <c r="G106" s="2582">
        <v>11.463488666666668</v>
      </c>
      <c r="H106" s="2582">
        <v>15.273377999999999</v>
      </c>
      <c r="I106" s="2583">
        <f>D249</f>
        <v>23.726614999999999</v>
      </c>
    </row>
    <row r="107" spans="1:12">
      <c r="A107" s="63"/>
      <c r="B107" s="549" t="s">
        <v>146</v>
      </c>
      <c r="C107" s="2573">
        <f>IF(GREET1_Import_Export!$D$12=20,F107,IF(GREET1_Import_Export!$D$12=30,G107,IF(GREET1_Import_Export!$D$12=40,H107,I107)))</f>
        <v>10.513609999999998</v>
      </c>
      <c r="D107" s="2574">
        <f>IF(GREET1_Import_Export!$D$12=20,F107,IF(GREET1_Import_Export!$D$12=30,G107,IF(GREET1_Import_Export!$D$12=40,H107,I107)))</f>
        <v>10.513609999999998</v>
      </c>
      <c r="E107" s="521"/>
      <c r="F107" s="2580">
        <v>10.513609999999998</v>
      </c>
      <c r="G107" s="1032">
        <v>13.620786666666667</v>
      </c>
      <c r="H107" s="1032">
        <v>18.202050000000003</v>
      </c>
      <c r="I107" s="1821">
        <v>18.202050000000003</v>
      </c>
    </row>
    <row r="108" spans="1:12">
      <c r="A108" s="63"/>
      <c r="B108" s="549" t="s">
        <v>147</v>
      </c>
      <c r="C108" s="2575">
        <f>IF(GREET1_Import_Export!$G$12=200,F108,IF(GREET1_Import_Export!$G$12=300,G108,IF(GREET1_Import_Export!$G$12=400,H108,I108)))</f>
        <v>135.345585789474</v>
      </c>
      <c r="D108" s="2576">
        <f>IF(GREET1_Import_Export!$G$12=200,F108,IF(GREET1_Import_Export!$G$12=300,G108,IF(GREET1_Import_Export!$G$12=400,H108,I108)))</f>
        <v>135.345585789474</v>
      </c>
      <c r="E108" s="521"/>
      <c r="F108" s="2580">
        <f>E249</f>
        <v>135.345585789474</v>
      </c>
      <c r="G108" s="1032">
        <f>F249</f>
        <v>135.345585789474</v>
      </c>
      <c r="H108" s="1032">
        <f>G249</f>
        <v>135.345585789474</v>
      </c>
      <c r="I108" s="2584">
        <f>H249</f>
        <v>135.345585789474</v>
      </c>
    </row>
    <row r="109" spans="1:12">
      <c r="A109" s="63"/>
      <c r="B109" s="559" t="s">
        <v>148</v>
      </c>
      <c r="C109" s="2577">
        <f>IF(GREET1_Import_Export!$G$12=200,F109,IF(GREET1_Import_Export!$G$12=300,G109,IF(GREET1_Import_Export!$G$12=400,H109,I109)))</f>
        <v>99.239063368421057</v>
      </c>
      <c r="D109" s="2578">
        <f>IF(GREET1_Import_Export!$G$12=200,F109,IF(GREET1_Import_Export!$G$12=300,G109,IF(GREET1_Import_Export!$G$12=400,H109,I109)))</f>
        <v>99.239063368421057</v>
      </c>
      <c r="E109" s="521"/>
      <c r="F109" s="2581">
        <v>99.239063368421057</v>
      </c>
      <c r="G109" s="1824">
        <v>99.239063368421057</v>
      </c>
      <c r="H109" s="1824">
        <v>99.239063368421057</v>
      </c>
      <c r="I109" s="1825">
        <v>99.239063368421057</v>
      </c>
    </row>
    <row r="110" spans="1:12">
      <c r="A110" s="63"/>
      <c r="B110" s="312"/>
    </row>
    <row r="111" spans="1:12">
      <c r="A111" s="63" t="s">
        <v>748</v>
      </c>
    </row>
    <row r="112" spans="1:12">
      <c r="B112" s="1611"/>
      <c r="C112" s="1598" t="s">
        <v>153</v>
      </c>
      <c r="D112" s="1598" t="s">
        <v>154</v>
      </c>
      <c r="E112" s="1599" t="s">
        <v>200</v>
      </c>
    </row>
    <row r="113" spans="1:12">
      <c r="B113" s="141" t="s">
        <v>203</v>
      </c>
      <c r="C113" s="314">
        <v>2</v>
      </c>
      <c r="D113" s="309"/>
      <c r="E113" s="310"/>
    </row>
    <row r="114" spans="1:12">
      <c r="B114" s="141" t="s">
        <v>194</v>
      </c>
      <c r="C114" s="314">
        <v>2</v>
      </c>
      <c r="D114" s="316">
        <v>0</v>
      </c>
      <c r="E114" s="317">
        <v>0</v>
      </c>
    </row>
    <row r="115" spans="1:12">
      <c r="B115" s="141" t="s">
        <v>166</v>
      </c>
      <c r="C115" s="314">
        <v>2</v>
      </c>
      <c r="D115" s="316">
        <v>0</v>
      </c>
      <c r="E115" s="317">
        <v>0</v>
      </c>
    </row>
    <row r="116" spans="1:12">
      <c r="B116" s="141" t="s">
        <v>167</v>
      </c>
      <c r="C116" s="314">
        <v>2</v>
      </c>
      <c r="D116" s="316">
        <v>0</v>
      </c>
      <c r="E116" s="317">
        <v>0</v>
      </c>
    </row>
    <row r="117" spans="1:12">
      <c r="B117" s="142" t="s">
        <v>198</v>
      </c>
      <c r="C117" s="315">
        <v>2</v>
      </c>
      <c r="D117" s="318">
        <v>0</v>
      </c>
      <c r="E117" s="319">
        <v>0</v>
      </c>
    </row>
    <row r="118" spans="1:12">
      <c r="A118" s="63"/>
    </row>
    <row r="119" spans="1:12" ht="15">
      <c r="A119" s="301" t="s">
        <v>749</v>
      </c>
      <c r="B119" s="303"/>
      <c r="C119" s="303"/>
      <c r="D119" s="303"/>
      <c r="E119" s="303"/>
      <c r="F119" s="299"/>
      <c r="G119" s="299"/>
      <c r="H119" s="299"/>
    </row>
    <row r="120" spans="1:12" ht="25.5">
      <c r="A120" s="299"/>
      <c r="B120" s="1640" t="s">
        <v>157</v>
      </c>
      <c r="C120" s="1641" t="s">
        <v>158</v>
      </c>
      <c r="D120" s="1641" t="s">
        <v>159</v>
      </c>
      <c r="E120" s="1641" t="s">
        <v>160</v>
      </c>
      <c r="F120" s="1641" t="s">
        <v>161</v>
      </c>
      <c r="G120" s="1641" t="s">
        <v>162</v>
      </c>
      <c r="H120" s="1642" t="s">
        <v>163</v>
      </c>
    </row>
    <row r="121" spans="1:12">
      <c r="A121" s="299"/>
      <c r="B121" s="305">
        <v>44</v>
      </c>
      <c r="C121" s="306">
        <v>0</v>
      </c>
      <c r="D121" s="306">
        <v>4</v>
      </c>
      <c r="E121" s="306">
        <v>1</v>
      </c>
      <c r="F121" s="306">
        <v>4</v>
      </c>
      <c r="G121" s="306">
        <v>22</v>
      </c>
      <c r="H121" s="307">
        <v>0</v>
      </c>
    </row>
    <row r="122" spans="1:12">
      <c r="A122" s="63"/>
    </row>
    <row r="123" spans="1:12" ht="15">
      <c r="A123" s="134" t="s">
        <v>660</v>
      </c>
    </row>
    <row r="124" spans="1:12" ht="51">
      <c r="B124" s="1173"/>
      <c r="C124" s="1421" t="s">
        <v>141</v>
      </c>
      <c r="D124" s="1421" t="s">
        <v>142</v>
      </c>
      <c r="E124" s="1421" t="s">
        <v>143</v>
      </c>
      <c r="F124" s="1421" t="s">
        <v>144</v>
      </c>
      <c r="G124" s="1421" t="s">
        <v>145</v>
      </c>
      <c r="H124" s="1421" t="s">
        <v>705</v>
      </c>
      <c r="I124" s="1421" t="s">
        <v>147</v>
      </c>
      <c r="J124" s="1421" t="s">
        <v>706</v>
      </c>
      <c r="K124" s="1421" t="s">
        <v>149</v>
      </c>
      <c r="L124" s="1174" t="s">
        <v>150</v>
      </c>
    </row>
    <row r="125" spans="1:12">
      <c r="B125" s="298" t="s">
        <v>36</v>
      </c>
      <c r="C125" s="162">
        <v>183363</v>
      </c>
      <c r="D125" s="162">
        <v>183363</v>
      </c>
      <c r="E125" s="162">
        <v>183363</v>
      </c>
      <c r="F125" s="162">
        <v>183363</v>
      </c>
      <c r="G125" s="162">
        <v>183363</v>
      </c>
      <c r="H125" s="162">
        <v>183363</v>
      </c>
      <c r="I125" s="162">
        <f>183363*IF(GREET1_Import_Export!G12&lt;=100,0.7,1)</f>
        <v>183363</v>
      </c>
      <c r="J125" s="162">
        <f>183363*IF(GREET1_Import_Export!G12&lt;=100,0.7,1)</f>
        <v>183363</v>
      </c>
      <c r="K125" s="162">
        <v>183363</v>
      </c>
      <c r="L125" s="165">
        <v>183363</v>
      </c>
    </row>
    <row r="127" spans="1:12" ht="15">
      <c r="A127" s="134" t="s">
        <v>750</v>
      </c>
    </row>
    <row r="128" spans="1:12" ht="15">
      <c r="A128" s="134"/>
    </row>
    <row r="129" spans="2:32" ht="38.25">
      <c r="B129" s="80"/>
      <c r="C129" s="264" t="s">
        <v>141</v>
      </c>
      <c r="D129" s="175" t="s">
        <v>142</v>
      </c>
      <c r="E129" s="175" t="s">
        <v>143</v>
      </c>
      <c r="F129" s="175" t="s">
        <v>144</v>
      </c>
      <c r="G129" s="175" t="s">
        <v>145</v>
      </c>
      <c r="H129" s="175" t="s">
        <v>146</v>
      </c>
      <c r="I129" s="175" t="s">
        <v>147</v>
      </c>
      <c r="J129" s="175" t="s">
        <v>148</v>
      </c>
      <c r="K129" s="175" t="s">
        <v>149</v>
      </c>
      <c r="L129" s="176" t="s">
        <v>150</v>
      </c>
      <c r="M129" s="264" t="s">
        <v>141</v>
      </c>
      <c r="N129" s="175" t="s">
        <v>142</v>
      </c>
      <c r="O129" s="175" t="s">
        <v>143</v>
      </c>
      <c r="P129" s="175" t="s">
        <v>144</v>
      </c>
      <c r="Q129" s="175" t="s">
        <v>145</v>
      </c>
      <c r="R129" s="175" t="s">
        <v>146</v>
      </c>
      <c r="S129" s="175" t="s">
        <v>147</v>
      </c>
      <c r="T129" s="175" t="s">
        <v>148</v>
      </c>
      <c r="U129" s="175" t="s">
        <v>149</v>
      </c>
      <c r="V129" s="176" t="s">
        <v>150</v>
      </c>
      <c r="W129" s="264" t="s">
        <v>141</v>
      </c>
      <c r="X129" s="175" t="s">
        <v>142</v>
      </c>
      <c r="Y129" s="175" t="s">
        <v>143</v>
      </c>
      <c r="Z129" s="175" t="s">
        <v>144</v>
      </c>
      <c r="AA129" s="175" t="s">
        <v>145</v>
      </c>
      <c r="AB129" s="175" t="s">
        <v>146</v>
      </c>
      <c r="AC129" s="175" t="s">
        <v>147</v>
      </c>
      <c r="AD129" s="175" t="s">
        <v>148</v>
      </c>
      <c r="AE129" s="175" t="s">
        <v>149</v>
      </c>
      <c r="AF129" s="176" t="s">
        <v>150</v>
      </c>
    </row>
    <row r="130" spans="2:32">
      <c r="B130" s="178" t="s">
        <v>250</v>
      </c>
      <c r="C130" s="556"/>
      <c r="D130" s="179"/>
      <c r="E130" s="179"/>
      <c r="F130" s="179"/>
      <c r="G130" s="179"/>
      <c r="H130" s="179"/>
      <c r="I130" s="179"/>
      <c r="J130" s="179"/>
      <c r="K130" s="179"/>
      <c r="L130" s="180"/>
      <c r="M130" s="556"/>
      <c r="N130" s="179"/>
      <c r="O130" s="179"/>
      <c r="P130" s="179"/>
      <c r="Q130" s="179"/>
      <c r="R130" s="179"/>
      <c r="S130" s="179"/>
      <c r="T130" s="179"/>
      <c r="U130" s="179"/>
      <c r="V130" s="180"/>
      <c r="W130" s="556"/>
      <c r="X130" s="179"/>
      <c r="Y130" s="179"/>
      <c r="Z130" s="179"/>
      <c r="AA130" s="179"/>
      <c r="AB130" s="179"/>
      <c r="AC130" s="179"/>
      <c r="AD130" s="179"/>
      <c r="AE130" s="179"/>
      <c r="AF130" s="180"/>
    </row>
    <row r="131" spans="2:32">
      <c r="B131" s="173" t="s">
        <v>251</v>
      </c>
      <c r="C131" s="569">
        <f>IF(Vehi_Inputs!$B$14=2,W131,M131)</f>
        <v>0.54674260007765874</v>
      </c>
      <c r="D131" s="552">
        <f>IF(Vehi_Inputs!$B$14=2,X131,N131)</f>
        <v>7.8E-2</v>
      </c>
      <c r="E131" s="225">
        <f>IF(Vehi_Inputs!$B$14=2,Y131,O131)</f>
        <v>0.54674260007765874</v>
      </c>
      <c r="F131" s="225">
        <f>IF(Vehi_Inputs!$B$14=2,Z131,P131)</f>
        <v>7.4999999999999997E-2</v>
      </c>
      <c r="G131" s="225">
        <f>IF(Vehi_Inputs!$B$14=2,AA131,Q131)</f>
        <v>0.54674260007765874</v>
      </c>
      <c r="H131" s="225">
        <f>IF(Vehi_Inputs!$B$14=2,AB131,R131)</f>
        <v>7.1999999999999995E-2</v>
      </c>
      <c r="I131" s="225">
        <f>IF(Vehi_Inputs!$B$14=2,AC131,S131)</f>
        <v>0.54674260007765874</v>
      </c>
      <c r="J131" s="225">
        <f>IF(Vehi_Inputs!$B$14=2,AD131,T131)</f>
        <v>7.0000000000000007E-2</v>
      </c>
      <c r="K131" s="225">
        <f>IF(Vehi_Inputs!$B$14=2,AE131,U131)</f>
        <v>0.54674260007765874</v>
      </c>
      <c r="L131" s="226">
        <f>IF(Vehi_Inputs!$B$14=2,AF131,V131)</f>
        <v>7.0999999999999994E-2</v>
      </c>
      <c r="M131" s="1243">
        <v>0.54674260007765874</v>
      </c>
      <c r="N131" s="939">
        <v>7.8E-2</v>
      </c>
      <c r="O131" s="1058">
        <v>0.54674260007765874</v>
      </c>
      <c r="P131" s="1058">
        <v>7.4999999999999997E-2</v>
      </c>
      <c r="Q131" s="1058">
        <v>0.54674260007765874</v>
      </c>
      <c r="R131" s="1058">
        <v>7.1999999999999995E-2</v>
      </c>
      <c r="S131" s="1058">
        <v>0.54674260007765874</v>
      </c>
      <c r="T131" s="1058">
        <v>7.0000000000000007E-2</v>
      </c>
      <c r="U131" s="1058">
        <v>0.54674260007765874</v>
      </c>
      <c r="V131" s="226">
        <v>7.0999999999999994E-2</v>
      </c>
      <c r="W131" s="943">
        <v>0.74081607892215207</v>
      </c>
      <c r="X131" s="934">
        <v>0.14340494750848168</v>
      </c>
      <c r="Y131" s="225">
        <v>0</v>
      </c>
      <c r="Z131" s="225">
        <v>0</v>
      </c>
      <c r="AA131" s="225">
        <v>0</v>
      </c>
      <c r="AB131" s="225">
        <v>0</v>
      </c>
      <c r="AC131" s="225">
        <v>0</v>
      </c>
      <c r="AD131" s="225">
        <v>0</v>
      </c>
      <c r="AE131" s="225">
        <v>0</v>
      </c>
      <c r="AF131" s="226">
        <v>0</v>
      </c>
    </row>
    <row r="132" spans="2:32">
      <c r="B132" s="173" t="s">
        <v>252</v>
      </c>
      <c r="C132" s="569">
        <f>IF(Vehi_Inputs!$B$14=2,W132,M132)</f>
        <v>0.13135634835757198</v>
      </c>
      <c r="D132" s="552">
        <f>IF(Vehi_Inputs!$B$14=2,X132,N132)</f>
        <v>6.3E-2</v>
      </c>
      <c r="E132" s="225">
        <f>IF(Vehi_Inputs!$B$14=2,Y132,O132)</f>
        <v>0.13135634835757198</v>
      </c>
      <c r="F132" s="225">
        <f>IF(Vehi_Inputs!$B$14=2,Z132,P132)</f>
        <v>0.06</v>
      </c>
      <c r="G132" s="225">
        <f>IF(Vehi_Inputs!$B$14=2,AA132,Q132)</f>
        <v>0.13135634835757198</v>
      </c>
      <c r="H132" s="225">
        <f>IF(Vehi_Inputs!$B$14=2,AB132,R132)</f>
        <v>5.8000000000000003E-2</v>
      </c>
      <c r="I132" s="225">
        <f>IF(Vehi_Inputs!$B$14=2,AC132,S132)</f>
        <v>0.13135634835757198</v>
      </c>
      <c r="J132" s="225">
        <f>IF(Vehi_Inputs!$B$14=2,AD132,T132)</f>
        <v>5.6000000000000001E-2</v>
      </c>
      <c r="K132" s="225">
        <f>IF(Vehi_Inputs!$B$14=2,AE132,U132)</f>
        <v>0.13135634835757198</v>
      </c>
      <c r="L132" s="226">
        <f>IF(Vehi_Inputs!$B$14=2,AF132,V132)</f>
        <v>5.8000000000000003E-2</v>
      </c>
      <c r="M132" s="1477">
        <v>0.13135634835757198</v>
      </c>
      <c r="N132" s="939">
        <v>6.3E-2</v>
      </c>
      <c r="O132" s="1058">
        <v>0.13135634835757198</v>
      </c>
      <c r="P132" s="1058">
        <v>0.06</v>
      </c>
      <c r="Q132" s="1058">
        <v>0.13135634835757198</v>
      </c>
      <c r="R132" s="1058">
        <v>5.8000000000000003E-2</v>
      </c>
      <c r="S132" s="1058">
        <v>0.13135634835757198</v>
      </c>
      <c r="T132" s="1058">
        <v>5.6000000000000001E-2</v>
      </c>
      <c r="U132" s="1058">
        <v>0.13135634835757198</v>
      </c>
      <c r="V132" s="226">
        <v>5.8000000000000003E-2</v>
      </c>
      <c r="W132" s="943">
        <v>8.0412784166005863E-3</v>
      </c>
      <c r="X132" s="934">
        <v>0.43261985273116155</v>
      </c>
      <c r="Y132" s="225">
        <v>0</v>
      </c>
      <c r="Z132" s="225">
        <v>0</v>
      </c>
      <c r="AA132" s="225">
        <v>0</v>
      </c>
      <c r="AB132" s="225">
        <v>0</v>
      </c>
      <c r="AC132" s="225">
        <v>0</v>
      </c>
      <c r="AD132" s="225">
        <v>0</v>
      </c>
      <c r="AE132" s="225">
        <v>0</v>
      </c>
      <c r="AF132" s="226">
        <v>0</v>
      </c>
    </row>
    <row r="133" spans="2:32">
      <c r="B133" s="173" t="s">
        <v>253</v>
      </c>
      <c r="C133" s="569">
        <f>IF(Vehi_Inputs!$B$14=2,W133,M133)</f>
        <v>3.8544297640162495E-3</v>
      </c>
      <c r="D133" s="552">
        <f>IF(Vehi_Inputs!$B$14=2,X133,N133)</f>
        <v>0</v>
      </c>
      <c r="E133" s="225">
        <f>IF(Vehi_Inputs!$B$14=2,Y133,O133)</f>
        <v>3.8544297640162495E-3</v>
      </c>
      <c r="F133" s="225">
        <f>IF(Vehi_Inputs!$B$14=2,Z133,P133)</f>
        <v>0</v>
      </c>
      <c r="G133" s="225">
        <f>IF(Vehi_Inputs!$B$14=2,AA133,Q133)</f>
        <v>3.8544297640162495E-3</v>
      </c>
      <c r="H133" s="225">
        <f>IF(Vehi_Inputs!$B$14=2,AB133,R133)</f>
        <v>0</v>
      </c>
      <c r="I133" s="225">
        <f>IF(Vehi_Inputs!$B$14=2,AC133,S133)</f>
        <v>3.8544297640162495E-3</v>
      </c>
      <c r="J133" s="225">
        <f>IF(Vehi_Inputs!$B$14=2,AD133,T133)</f>
        <v>0</v>
      </c>
      <c r="K133" s="225">
        <f>IF(Vehi_Inputs!$B$14=2,AE133,U133)</f>
        <v>3.8544297640162495E-3</v>
      </c>
      <c r="L133" s="226">
        <f>IF(Vehi_Inputs!$B$14=2,AF133,V133)</f>
        <v>0</v>
      </c>
      <c r="M133" s="1243">
        <v>3.8544297640162495E-3</v>
      </c>
      <c r="N133" s="1058">
        <v>0</v>
      </c>
      <c r="O133" s="1058">
        <v>3.8544297640162495E-3</v>
      </c>
      <c r="P133" s="1058">
        <v>0</v>
      </c>
      <c r="Q133" s="1058">
        <v>3.8544297640162495E-3</v>
      </c>
      <c r="R133" s="1058">
        <v>0</v>
      </c>
      <c r="S133" s="1058">
        <v>3.8544297640162495E-3</v>
      </c>
      <c r="T133" s="1058">
        <v>0</v>
      </c>
      <c r="U133" s="1058">
        <v>3.8544297640162495E-3</v>
      </c>
      <c r="V133" s="226">
        <v>0</v>
      </c>
      <c r="W133" s="943">
        <v>0</v>
      </c>
      <c r="X133" s="934">
        <v>1.059645969612741E-2</v>
      </c>
      <c r="Y133" s="225">
        <v>0</v>
      </c>
      <c r="Z133" s="225">
        <v>0</v>
      </c>
      <c r="AA133" s="225">
        <v>0</v>
      </c>
      <c r="AB133" s="225">
        <v>0</v>
      </c>
      <c r="AC133" s="225">
        <v>0</v>
      </c>
      <c r="AD133" s="225">
        <v>0</v>
      </c>
      <c r="AE133" s="225">
        <v>0</v>
      </c>
      <c r="AF133" s="226">
        <v>0</v>
      </c>
    </row>
    <row r="134" spans="2:32">
      <c r="B134" s="173" t="s">
        <v>254</v>
      </c>
      <c r="C134" s="569">
        <f>IF(Vehi_Inputs!$B$14=2,W134,M134)</f>
        <v>1.9364674931407252E-2</v>
      </c>
      <c r="D134" s="552">
        <f>IF(Vehi_Inputs!$B$14=2,X134,N134)</f>
        <v>2.8000000000000001E-2</v>
      </c>
      <c r="E134" s="225">
        <f>IF(Vehi_Inputs!$B$14=2,Y134,O134)</f>
        <v>1.9364674931407252E-2</v>
      </c>
      <c r="F134" s="225">
        <f>IF(Vehi_Inputs!$B$14=2,Z134,P134)</f>
        <v>2.5999999999999999E-2</v>
      </c>
      <c r="G134" s="225">
        <f>IF(Vehi_Inputs!$B$14=2,AA134,Q134)</f>
        <v>1.9364674931407252E-2</v>
      </c>
      <c r="H134" s="225">
        <f>IF(Vehi_Inputs!$B$14=2,AB134,R134)</f>
        <v>2.5999999999999999E-2</v>
      </c>
      <c r="I134" s="225">
        <f>IF(Vehi_Inputs!$B$14=2,AC134,S134)</f>
        <v>1.9364674931407252E-2</v>
      </c>
      <c r="J134" s="225">
        <f>IF(Vehi_Inputs!$B$14=2,AD134,T134)</f>
        <v>2.5000000000000001E-2</v>
      </c>
      <c r="K134" s="225">
        <f>IF(Vehi_Inputs!$B$14=2,AE134,U134)</f>
        <v>1.9364674931407252E-2</v>
      </c>
      <c r="L134" s="226">
        <f>IF(Vehi_Inputs!$B$14=2,AF134,V134)</f>
        <v>2.5000000000000001E-2</v>
      </c>
      <c r="M134" s="1477">
        <v>1.9364674931407252E-2</v>
      </c>
      <c r="N134" s="939">
        <v>2.8000000000000001E-2</v>
      </c>
      <c r="O134" s="1058">
        <v>1.9364674931407252E-2</v>
      </c>
      <c r="P134" s="1058">
        <v>2.5999999999999999E-2</v>
      </c>
      <c r="Q134" s="1058">
        <v>1.9364674931407252E-2</v>
      </c>
      <c r="R134" s="1058">
        <v>2.5999999999999999E-2</v>
      </c>
      <c r="S134" s="1058">
        <v>1.9364674931407252E-2</v>
      </c>
      <c r="T134" s="1058">
        <v>2.5000000000000001E-2</v>
      </c>
      <c r="U134" s="1058">
        <v>1.9364674931407252E-2</v>
      </c>
      <c r="V134" s="226">
        <v>2.5000000000000001E-2</v>
      </c>
      <c r="W134" s="943">
        <v>5.6998620473169481E-3</v>
      </c>
      <c r="X134" s="934">
        <v>7.664235407218549E-3</v>
      </c>
      <c r="Y134" s="225">
        <v>0</v>
      </c>
      <c r="Z134" s="225">
        <v>0</v>
      </c>
      <c r="AA134" s="225">
        <v>0</v>
      </c>
      <c r="AB134" s="225">
        <v>0</v>
      </c>
      <c r="AC134" s="225">
        <v>0</v>
      </c>
      <c r="AD134" s="225">
        <v>0</v>
      </c>
      <c r="AE134" s="225">
        <v>0</v>
      </c>
      <c r="AF134" s="226">
        <v>0</v>
      </c>
    </row>
    <row r="135" spans="2:32">
      <c r="B135" s="173" t="s">
        <v>255</v>
      </c>
      <c r="C135" s="569">
        <f>IF(Vehi_Inputs!$B$14=2,W135,M135)</f>
        <v>1.128441506215051E-3</v>
      </c>
      <c r="D135" s="552">
        <f>IF(Vehi_Inputs!$B$14=2,X135,N135)</f>
        <v>0</v>
      </c>
      <c r="E135" s="225">
        <f>IF(Vehi_Inputs!$B$14=2,Y135,O135)</f>
        <v>1.128441506215051E-3</v>
      </c>
      <c r="F135" s="225">
        <f>IF(Vehi_Inputs!$B$14=2,Z135,P135)</f>
        <v>0</v>
      </c>
      <c r="G135" s="225">
        <f>IF(Vehi_Inputs!$B$14=2,AA135,Q135)</f>
        <v>1.128441506215051E-3</v>
      </c>
      <c r="H135" s="225">
        <f>IF(Vehi_Inputs!$B$14=2,AB135,R135)</f>
        <v>0</v>
      </c>
      <c r="I135" s="225">
        <f>IF(Vehi_Inputs!$B$14=2,AC135,S135)</f>
        <v>1.128441506215051E-3</v>
      </c>
      <c r="J135" s="225">
        <f>IF(Vehi_Inputs!$B$14=2,AD135,T135)</f>
        <v>0</v>
      </c>
      <c r="K135" s="225">
        <f>IF(Vehi_Inputs!$B$14=2,AE135,U135)</f>
        <v>1.128441506215051E-3</v>
      </c>
      <c r="L135" s="226">
        <f>IF(Vehi_Inputs!$B$14=2,AF135,V135)</f>
        <v>0</v>
      </c>
      <c r="M135" s="1243">
        <v>1.128441506215051E-3</v>
      </c>
      <c r="N135" s="1058">
        <v>0</v>
      </c>
      <c r="O135" s="1058">
        <v>1.128441506215051E-3</v>
      </c>
      <c r="P135" s="1058">
        <v>0</v>
      </c>
      <c r="Q135" s="1058">
        <v>1.128441506215051E-3</v>
      </c>
      <c r="R135" s="1058">
        <v>0</v>
      </c>
      <c r="S135" s="1058">
        <v>1.128441506215051E-3</v>
      </c>
      <c r="T135" s="1058">
        <v>0</v>
      </c>
      <c r="U135" s="1058">
        <v>1.128441506215051E-3</v>
      </c>
      <c r="V135" s="226">
        <v>0</v>
      </c>
      <c r="W135" s="943">
        <v>0</v>
      </c>
      <c r="X135" s="934">
        <v>0</v>
      </c>
      <c r="Y135" s="225">
        <v>0</v>
      </c>
      <c r="Z135" s="225">
        <v>0</v>
      </c>
      <c r="AA135" s="225">
        <v>0</v>
      </c>
      <c r="AB135" s="225">
        <v>0</v>
      </c>
      <c r="AC135" s="225">
        <v>0</v>
      </c>
      <c r="AD135" s="225">
        <v>0</v>
      </c>
      <c r="AE135" s="225">
        <v>0</v>
      </c>
      <c r="AF135" s="226">
        <v>0</v>
      </c>
    </row>
    <row r="136" spans="2:32">
      <c r="B136" s="173" t="s">
        <v>256</v>
      </c>
      <c r="C136" s="569">
        <f>IF(Vehi_Inputs!$B$14=2,W136,M136)</f>
        <v>0</v>
      </c>
      <c r="D136" s="552">
        <f>IF(Vehi_Inputs!$B$14=2,X136,N136)</f>
        <v>8.0000000000000002E-3</v>
      </c>
      <c r="E136" s="225">
        <f>IF(Vehi_Inputs!$B$14=2,Y136,O136)</f>
        <v>0</v>
      </c>
      <c r="F136" s="225">
        <f>IF(Vehi_Inputs!$B$14=2,Z136,P136)</f>
        <v>8.0000000000000002E-3</v>
      </c>
      <c r="G136" s="225">
        <f>IF(Vehi_Inputs!$B$14=2,AA136,Q136)</f>
        <v>0</v>
      </c>
      <c r="H136" s="225">
        <f>IF(Vehi_Inputs!$B$14=2,AB136,R136)</f>
        <v>8.0000000000000002E-3</v>
      </c>
      <c r="I136" s="225">
        <f>IF(Vehi_Inputs!$B$14=2,AC136,S136)</f>
        <v>0</v>
      </c>
      <c r="J136" s="225">
        <f>IF(Vehi_Inputs!$B$14=2,AD136,T136)</f>
        <v>8.0000000000000002E-3</v>
      </c>
      <c r="K136" s="225">
        <f>IF(Vehi_Inputs!$B$14=2,AE136,U136)</f>
        <v>0</v>
      </c>
      <c r="L136" s="226">
        <f>IF(Vehi_Inputs!$B$14=2,AF136,V136)</f>
        <v>8.0000000000000002E-3</v>
      </c>
      <c r="M136" s="1477">
        <v>0</v>
      </c>
      <c r="N136" s="939">
        <v>8.0000000000000002E-3</v>
      </c>
      <c r="O136" s="1058">
        <v>0</v>
      </c>
      <c r="P136" s="1058">
        <v>8.0000000000000002E-3</v>
      </c>
      <c r="Q136" s="1058">
        <v>0</v>
      </c>
      <c r="R136" s="1058">
        <v>8.0000000000000002E-3</v>
      </c>
      <c r="S136" s="1058">
        <v>0</v>
      </c>
      <c r="T136" s="1058">
        <v>8.0000000000000002E-3</v>
      </c>
      <c r="U136" s="1058">
        <v>0</v>
      </c>
      <c r="V136" s="226">
        <v>8.0000000000000002E-3</v>
      </c>
      <c r="W136" s="943">
        <v>0</v>
      </c>
      <c r="X136" s="934">
        <v>2.6813587187471722E-2</v>
      </c>
      <c r="Y136" s="225">
        <v>0</v>
      </c>
      <c r="Z136" s="225">
        <v>0</v>
      </c>
      <c r="AA136" s="225">
        <v>0</v>
      </c>
      <c r="AB136" s="225">
        <v>0</v>
      </c>
      <c r="AC136" s="225">
        <v>0</v>
      </c>
      <c r="AD136" s="225">
        <v>0</v>
      </c>
      <c r="AE136" s="225">
        <v>0</v>
      </c>
      <c r="AF136" s="226">
        <v>0</v>
      </c>
    </row>
    <row r="137" spans="2:32">
      <c r="B137" s="173" t="s">
        <v>257</v>
      </c>
      <c r="C137" s="569">
        <f>IF(Vehi_Inputs!$B$14=2,W137,M137)</f>
        <v>1.0360336978320863E-2</v>
      </c>
      <c r="D137" s="552">
        <f>IF(Vehi_Inputs!$B$14=2,X137,N137)</f>
        <v>0</v>
      </c>
      <c r="E137" s="225">
        <f>IF(Vehi_Inputs!$B$14=2,Y137,O137)</f>
        <v>1.0360336978320863E-2</v>
      </c>
      <c r="F137" s="225">
        <f>IF(Vehi_Inputs!$B$14=2,Z137,P137)</f>
        <v>0</v>
      </c>
      <c r="G137" s="225">
        <f>IF(Vehi_Inputs!$B$14=2,AA137,Q137)</f>
        <v>1.0360336978320863E-2</v>
      </c>
      <c r="H137" s="225">
        <f>IF(Vehi_Inputs!$B$14=2,AB137,R137)</f>
        <v>0</v>
      </c>
      <c r="I137" s="225">
        <f>IF(Vehi_Inputs!$B$14=2,AC137,S137)</f>
        <v>1.0360336978320863E-2</v>
      </c>
      <c r="J137" s="225">
        <f>IF(Vehi_Inputs!$B$14=2,AD137,T137)</f>
        <v>0</v>
      </c>
      <c r="K137" s="225">
        <f>IF(Vehi_Inputs!$B$14=2,AE137,U137)</f>
        <v>1.0360336978320863E-2</v>
      </c>
      <c r="L137" s="226">
        <f>IF(Vehi_Inputs!$B$14=2,AF137,V137)</f>
        <v>0</v>
      </c>
      <c r="M137" s="1243">
        <v>1.0360336978320863E-2</v>
      </c>
      <c r="N137" s="1058">
        <v>0</v>
      </c>
      <c r="O137" s="1058">
        <v>1.0360336978320863E-2</v>
      </c>
      <c r="P137" s="1058">
        <v>0</v>
      </c>
      <c r="Q137" s="1058">
        <v>1.0360336978320863E-2</v>
      </c>
      <c r="R137" s="1058">
        <v>0</v>
      </c>
      <c r="S137" s="1058">
        <v>1.0360336978320863E-2</v>
      </c>
      <c r="T137" s="1058">
        <v>0</v>
      </c>
      <c r="U137" s="1058">
        <v>1.0360336978320863E-2</v>
      </c>
      <c r="V137" s="226">
        <v>0</v>
      </c>
      <c r="W137" s="928">
        <v>0</v>
      </c>
      <c r="X137" s="927">
        <v>2.1871721457083763E-2</v>
      </c>
      <c r="Y137" s="225">
        <v>0</v>
      </c>
      <c r="Z137" s="225">
        <v>0</v>
      </c>
      <c r="AA137" s="225">
        <v>0</v>
      </c>
      <c r="AB137" s="225">
        <v>0</v>
      </c>
      <c r="AC137" s="225">
        <v>0</v>
      </c>
      <c r="AD137" s="225">
        <v>0</v>
      </c>
      <c r="AE137" s="225">
        <v>0</v>
      </c>
      <c r="AF137" s="226">
        <v>0</v>
      </c>
    </row>
    <row r="138" spans="2:32">
      <c r="B138" s="173" t="s">
        <v>258</v>
      </c>
      <c r="C138" s="569">
        <f>IF(Vehi_Inputs!$B$14=2,W138,M138)</f>
        <v>4.4990228987364267E-2</v>
      </c>
      <c r="D138" s="552">
        <f>IF(Vehi_Inputs!$B$14=2,X138,N138)</f>
        <v>9.6000000000000002E-2</v>
      </c>
      <c r="E138" s="225">
        <f>IF(Vehi_Inputs!$B$14=2,Y138,O138)</f>
        <v>4.4990228987364267E-2</v>
      </c>
      <c r="F138" s="225">
        <f>IF(Vehi_Inputs!$B$14=2,Z138,P138)</f>
        <v>9.0999999999999998E-2</v>
      </c>
      <c r="G138" s="225">
        <f>IF(Vehi_Inputs!$B$14=2,AA138,Q138)</f>
        <v>4.4990228987364267E-2</v>
      </c>
      <c r="H138" s="225">
        <f>IF(Vehi_Inputs!$B$14=2,AB138,R138)</f>
        <v>8.7999999999999995E-2</v>
      </c>
      <c r="I138" s="225">
        <f>IF(Vehi_Inputs!$B$14=2,AC138,S138)</f>
        <v>4.4990228987364267E-2</v>
      </c>
      <c r="J138" s="225">
        <f>IF(Vehi_Inputs!$B$14=2,AD138,T138)</f>
        <v>8.5000000000000006E-2</v>
      </c>
      <c r="K138" s="225">
        <f>IF(Vehi_Inputs!$B$14=2,AE138,U138)</f>
        <v>4.4990228987364267E-2</v>
      </c>
      <c r="L138" s="226">
        <f>IF(Vehi_Inputs!$B$14=2,AF138,V138)</f>
        <v>8.7999999999999995E-2</v>
      </c>
      <c r="M138" s="1477">
        <v>4.4990228987364267E-2</v>
      </c>
      <c r="N138" s="939">
        <v>9.6000000000000002E-2</v>
      </c>
      <c r="O138" s="1058">
        <v>4.4990228987364267E-2</v>
      </c>
      <c r="P138" s="1058">
        <v>9.0999999999999998E-2</v>
      </c>
      <c r="Q138" s="1058">
        <v>4.4990228987364267E-2</v>
      </c>
      <c r="R138" s="1058">
        <v>8.7999999999999995E-2</v>
      </c>
      <c r="S138" s="1058">
        <v>4.4990228987364267E-2</v>
      </c>
      <c r="T138" s="1058">
        <v>8.5000000000000006E-2</v>
      </c>
      <c r="U138" s="1058">
        <v>4.4990228987364267E-2</v>
      </c>
      <c r="V138" s="226">
        <v>8.7999999999999995E-2</v>
      </c>
      <c r="W138" s="943">
        <v>4.1987799035157314E-2</v>
      </c>
      <c r="X138" s="934">
        <v>4.8998585829031653E-2</v>
      </c>
      <c r="Y138" s="225">
        <v>0</v>
      </c>
      <c r="Z138" s="225">
        <v>0</v>
      </c>
      <c r="AA138" s="225">
        <v>0</v>
      </c>
      <c r="AB138" s="225">
        <v>0</v>
      </c>
      <c r="AC138" s="225">
        <v>0</v>
      </c>
      <c r="AD138" s="225">
        <v>0</v>
      </c>
      <c r="AE138" s="225">
        <v>0</v>
      </c>
      <c r="AF138" s="226">
        <v>0</v>
      </c>
    </row>
    <row r="139" spans="2:32">
      <c r="B139" s="173" t="s">
        <v>259</v>
      </c>
      <c r="C139" s="569">
        <f>IF(Vehi_Inputs!$B$14=2,W139,M139)</f>
        <v>0</v>
      </c>
      <c r="D139" s="552">
        <f>IF(Vehi_Inputs!$B$14=2,X139,N139)</f>
        <v>0.42</v>
      </c>
      <c r="E139" s="225">
        <f>IF(Vehi_Inputs!$B$14=2,Y139,O139)</f>
        <v>0</v>
      </c>
      <c r="F139" s="225">
        <f>IF(Vehi_Inputs!$B$14=2,Z139,P139)</f>
        <v>0.44600000000000001</v>
      </c>
      <c r="G139" s="225">
        <f>IF(Vehi_Inputs!$B$14=2,AA139,Q139)</f>
        <v>0</v>
      </c>
      <c r="H139" s="225">
        <f>IF(Vehi_Inputs!$B$14=2,AB139,R139)</f>
        <v>0.46500000000000002</v>
      </c>
      <c r="I139" s="225">
        <f>IF(Vehi_Inputs!$B$14=2,AC139,S139)</f>
        <v>0</v>
      </c>
      <c r="J139" s="225">
        <f>IF(Vehi_Inputs!$B$14=2,AD139,T139)</f>
        <v>0.48199999999999998</v>
      </c>
      <c r="K139" s="225">
        <f>IF(Vehi_Inputs!$B$14=2,AE139,U139)</f>
        <v>0</v>
      </c>
      <c r="L139" s="226">
        <f>IF(Vehi_Inputs!$B$14=2,AF139,V139)</f>
        <v>0.46899999999999997</v>
      </c>
      <c r="M139" s="1477">
        <v>0</v>
      </c>
      <c r="N139" s="939">
        <v>0.42</v>
      </c>
      <c r="O139" s="1058">
        <v>0</v>
      </c>
      <c r="P139" s="1058">
        <v>0.44600000000000001</v>
      </c>
      <c r="Q139" s="1058">
        <v>0</v>
      </c>
      <c r="R139" s="1058">
        <v>0.46500000000000002</v>
      </c>
      <c r="S139" s="1058">
        <v>0</v>
      </c>
      <c r="T139" s="1058">
        <v>0.48199999999999998</v>
      </c>
      <c r="U139" s="1058">
        <v>0</v>
      </c>
      <c r="V139" s="226">
        <v>0.46899999999999997</v>
      </c>
      <c r="W139" s="943">
        <v>0</v>
      </c>
      <c r="X139" s="934">
        <v>0</v>
      </c>
      <c r="Y139" s="225">
        <v>0</v>
      </c>
      <c r="Z139" s="225">
        <v>0</v>
      </c>
      <c r="AA139" s="225">
        <v>0</v>
      </c>
      <c r="AB139" s="225">
        <v>0</v>
      </c>
      <c r="AC139" s="225">
        <v>0</v>
      </c>
      <c r="AD139" s="225">
        <v>0</v>
      </c>
      <c r="AE139" s="225">
        <v>0</v>
      </c>
      <c r="AF139" s="226">
        <v>0</v>
      </c>
    </row>
    <row r="140" spans="2:32">
      <c r="B140" s="173" t="s">
        <v>260</v>
      </c>
      <c r="C140" s="569">
        <f>IF(Vehi_Inputs!$B$14=2,W140,M140)</f>
        <v>0.21505380645173866</v>
      </c>
      <c r="D140" s="552">
        <f>IF(Vehi_Inputs!$B$14=2,X140,N140)</f>
        <v>0.23100000000000001</v>
      </c>
      <c r="E140" s="225">
        <f>IF(Vehi_Inputs!$B$14=2,Y140,O140)</f>
        <v>0.21505380645173866</v>
      </c>
      <c r="F140" s="225">
        <f>IF(Vehi_Inputs!$B$14=2,Z140,P140)</f>
        <v>0.221</v>
      </c>
      <c r="G140" s="225">
        <f>IF(Vehi_Inputs!$B$14=2,AA140,Q140)</f>
        <v>0.21505380645173866</v>
      </c>
      <c r="H140" s="225">
        <f>IF(Vehi_Inputs!$B$14=2,AB140,R140)</f>
        <v>0.21299999999999999</v>
      </c>
      <c r="I140" s="225">
        <f>IF(Vehi_Inputs!$B$14=2,AC140,S140)</f>
        <v>0.21505380645173866</v>
      </c>
      <c r="J140" s="225">
        <f>IF(Vehi_Inputs!$B$14=2,AD140,T140)</f>
        <v>0.20599999999999999</v>
      </c>
      <c r="K140" s="225">
        <f>IF(Vehi_Inputs!$B$14=2,AE140,U140)</f>
        <v>0.21505380645173866</v>
      </c>
      <c r="L140" s="226">
        <f>IF(Vehi_Inputs!$B$14=2,AF140,V140)</f>
        <v>0.21099999999999999</v>
      </c>
      <c r="M140" s="1477">
        <v>0.21505380645173866</v>
      </c>
      <c r="N140" s="939">
        <v>0.23100000000000001</v>
      </c>
      <c r="O140" s="1058">
        <v>0.21505380645173866</v>
      </c>
      <c r="P140" s="1058">
        <v>0.221</v>
      </c>
      <c r="Q140" s="1058">
        <v>0.21505380645173866</v>
      </c>
      <c r="R140" s="1058">
        <v>0.21299999999999999</v>
      </c>
      <c r="S140" s="1058">
        <v>0.21505380645173866</v>
      </c>
      <c r="T140" s="1058">
        <v>0.20599999999999999</v>
      </c>
      <c r="U140" s="1058">
        <v>0.21505380645173866</v>
      </c>
      <c r="V140" s="226">
        <v>0.21099999999999999</v>
      </c>
      <c r="W140" s="943">
        <v>0.17291168963124512</v>
      </c>
      <c r="X140" s="934">
        <v>0.27338386730478553</v>
      </c>
      <c r="Y140" s="225">
        <v>0</v>
      </c>
      <c r="Z140" s="225">
        <v>0</v>
      </c>
      <c r="AA140" s="225">
        <v>0</v>
      </c>
      <c r="AB140" s="225">
        <v>0</v>
      </c>
      <c r="AC140" s="225">
        <v>0</v>
      </c>
      <c r="AD140" s="225">
        <v>0</v>
      </c>
      <c r="AE140" s="225">
        <v>0</v>
      </c>
      <c r="AF140" s="226">
        <v>0</v>
      </c>
    </row>
    <row r="141" spans="2:32">
      <c r="B141" s="173" t="s">
        <v>261</v>
      </c>
      <c r="C141" s="569">
        <f>IF(Vehi_Inputs!$B$14=2,W141,M141)</f>
        <v>1.6715135388588733E-2</v>
      </c>
      <c r="D141" s="552">
        <f>IF(Vehi_Inputs!$B$14=2,X141,N141)</f>
        <v>0.03</v>
      </c>
      <c r="E141" s="225">
        <f>IF(Vehi_Inputs!$B$14=2,Y141,O141)</f>
        <v>1.6715135388588733E-2</v>
      </c>
      <c r="F141" s="225">
        <f>IF(Vehi_Inputs!$B$14=2,Z141,P141)</f>
        <v>2.9000000000000001E-2</v>
      </c>
      <c r="G141" s="225">
        <f>IF(Vehi_Inputs!$B$14=2,AA141,Q141)</f>
        <v>1.6715135388588733E-2</v>
      </c>
      <c r="H141" s="225">
        <f>IF(Vehi_Inputs!$B$14=2,AB141,R141)</f>
        <v>2.8000000000000001E-2</v>
      </c>
      <c r="I141" s="225">
        <f>IF(Vehi_Inputs!$B$14=2,AC141,S141)</f>
        <v>1.6715135388588733E-2</v>
      </c>
      <c r="J141" s="225">
        <f>IF(Vehi_Inputs!$B$14=2,AD141,T141)</f>
        <v>2.7E-2</v>
      </c>
      <c r="K141" s="225">
        <f>IF(Vehi_Inputs!$B$14=2,AE141,U141)</f>
        <v>1.6715135388588733E-2</v>
      </c>
      <c r="L141" s="226">
        <f>IF(Vehi_Inputs!$B$14=2,AF141,V141)</f>
        <v>2.7E-2</v>
      </c>
      <c r="M141" s="1243">
        <v>1.6715135388588733E-2</v>
      </c>
      <c r="N141" s="939">
        <v>0.03</v>
      </c>
      <c r="O141" s="1058">
        <v>1.6715135388588733E-2</v>
      </c>
      <c r="P141" s="1058">
        <v>2.9000000000000001E-2</v>
      </c>
      <c r="Q141" s="1058">
        <v>1.6715135388588733E-2</v>
      </c>
      <c r="R141" s="1058">
        <v>2.8000000000000001E-2</v>
      </c>
      <c r="S141" s="1058">
        <v>1.6715135388588733E-2</v>
      </c>
      <c r="T141" s="1058">
        <v>2.7E-2</v>
      </c>
      <c r="U141" s="1058">
        <v>1.6715135388588733E-2</v>
      </c>
      <c r="V141" s="226">
        <v>2.7E-2</v>
      </c>
      <c r="W141" s="943">
        <v>3.0425619134945826E-2</v>
      </c>
      <c r="X141" s="934">
        <v>3.4484357039854578E-2</v>
      </c>
      <c r="Y141" s="225">
        <v>0</v>
      </c>
      <c r="Z141" s="225">
        <v>0</v>
      </c>
      <c r="AA141" s="225">
        <v>0</v>
      </c>
      <c r="AB141" s="225">
        <v>0</v>
      </c>
      <c r="AC141" s="225">
        <v>0</v>
      </c>
      <c r="AD141" s="225">
        <v>0</v>
      </c>
      <c r="AE141" s="225">
        <v>0</v>
      </c>
      <c r="AF141" s="226">
        <v>0</v>
      </c>
    </row>
    <row r="142" spans="2:32">
      <c r="B142" s="174" t="s">
        <v>262</v>
      </c>
      <c r="C142" s="239">
        <f t="shared" ref="C142:L142" si="3">1-SUM(C131:C141)</f>
        <v>1.0433997557118269E-2</v>
      </c>
      <c r="D142" s="129">
        <f>1-SUM(D131:D141)</f>
        <v>4.599999999999993E-2</v>
      </c>
      <c r="E142" s="129">
        <f t="shared" si="3"/>
        <v>1.0433997557118269E-2</v>
      </c>
      <c r="F142" s="129">
        <f t="shared" si="3"/>
        <v>4.4000000000000039E-2</v>
      </c>
      <c r="G142" s="129">
        <f t="shared" si="3"/>
        <v>1.0433997557118269E-2</v>
      </c>
      <c r="H142" s="129">
        <f t="shared" si="3"/>
        <v>4.1999999999999926E-2</v>
      </c>
      <c r="I142" s="129">
        <f t="shared" si="3"/>
        <v>1.0433997557118269E-2</v>
      </c>
      <c r="J142" s="129">
        <f t="shared" si="3"/>
        <v>4.1000000000000036E-2</v>
      </c>
      <c r="K142" s="129">
        <f t="shared" si="3"/>
        <v>1.0433997557118269E-2</v>
      </c>
      <c r="L142" s="130">
        <f t="shared" si="3"/>
        <v>4.3000000000000038E-2</v>
      </c>
      <c r="M142" s="239">
        <f>1-SUM(M131:M141)</f>
        <v>1.0433997557118269E-2</v>
      </c>
      <c r="N142" s="129">
        <f>1-SUM(N131:N141)</f>
        <v>4.599999999999993E-2</v>
      </c>
      <c r="O142" s="129">
        <f t="shared" ref="O142:V142" si="4">1-SUM(O131:O141)</f>
        <v>1.0433997557118269E-2</v>
      </c>
      <c r="P142" s="129">
        <f t="shared" si="4"/>
        <v>4.4000000000000039E-2</v>
      </c>
      <c r="Q142" s="129">
        <f t="shared" si="4"/>
        <v>1.0433997557118269E-2</v>
      </c>
      <c r="R142" s="129">
        <f t="shared" si="4"/>
        <v>4.1999999999999926E-2</v>
      </c>
      <c r="S142" s="129">
        <f t="shared" si="4"/>
        <v>1.0433997557118269E-2</v>
      </c>
      <c r="T142" s="129">
        <f t="shared" si="4"/>
        <v>4.1000000000000036E-2</v>
      </c>
      <c r="U142" s="129">
        <f t="shared" si="4"/>
        <v>1.0433997557118269E-2</v>
      </c>
      <c r="V142" s="130">
        <f t="shared" si="4"/>
        <v>4.3000000000000038E-2</v>
      </c>
      <c r="W142" s="239">
        <f>1-SUM(W131:W141)</f>
        <v>1.1767281258201479E-4</v>
      </c>
      <c r="X142" s="129">
        <f>1-SUM(X131:X141)</f>
        <v>1.623858387838073E-4</v>
      </c>
      <c r="Y142" s="129">
        <f t="shared" ref="Y142:AF142" si="5">1-SUM(Y131:Y141)</f>
        <v>1</v>
      </c>
      <c r="Z142" s="129">
        <f t="shared" si="5"/>
        <v>1</v>
      </c>
      <c r="AA142" s="129">
        <f t="shared" si="5"/>
        <v>1</v>
      </c>
      <c r="AB142" s="129">
        <f t="shared" si="5"/>
        <v>1</v>
      </c>
      <c r="AC142" s="129">
        <f t="shared" si="5"/>
        <v>1</v>
      </c>
      <c r="AD142" s="129">
        <f t="shared" si="5"/>
        <v>1</v>
      </c>
      <c r="AE142" s="129">
        <f t="shared" si="5"/>
        <v>1</v>
      </c>
      <c r="AF142" s="130">
        <f t="shared" si="5"/>
        <v>1</v>
      </c>
    </row>
    <row r="143" spans="2:32">
      <c r="B143" s="177" t="s">
        <v>709</v>
      </c>
      <c r="C143" s="232"/>
      <c r="D143" s="127"/>
      <c r="E143" s="127"/>
      <c r="F143" s="127"/>
      <c r="G143" s="127"/>
      <c r="H143" s="127"/>
      <c r="I143" s="127"/>
      <c r="J143" s="127"/>
      <c r="K143" s="127"/>
      <c r="L143" s="128"/>
      <c r="M143" s="232"/>
      <c r="N143" s="127"/>
      <c r="O143" s="127"/>
      <c r="P143" s="127"/>
      <c r="Q143" s="127"/>
      <c r="R143" s="127"/>
      <c r="S143" s="127"/>
      <c r="T143" s="127"/>
      <c r="U143" s="127"/>
      <c r="V143" s="128"/>
      <c r="W143" s="232"/>
      <c r="X143" s="127"/>
      <c r="Y143" s="127"/>
      <c r="Z143" s="127"/>
      <c r="AA143" s="127"/>
      <c r="AB143" s="127"/>
      <c r="AC143" s="127"/>
      <c r="AD143" s="127"/>
      <c r="AE143" s="127"/>
      <c r="AF143" s="128"/>
    </row>
    <row r="144" spans="2:32">
      <c r="B144" s="173" t="s">
        <v>251</v>
      </c>
      <c r="C144" s="569">
        <f>IF(Vehi_Inputs!$B$14=2,W144,M144)</f>
        <v>0.49949140582211471</v>
      </c>
      <c r="D144" s="552">
        <f>IF(Vehi_Inputs!$B$14=2,X144,N144)</f>
        <v>0.61499999999999999</v>
      </c>
      <c r="E144" s="151">
        <f>IF(Vehi_Inputs!$B$14=2,Y144,O144)</f>
        <v>0.53</v>
      </c>
      <c r="F144" s="151">
        <f>IF(Vehi_Inputs!$B$14=2,Z144,P144)</f>
        <v>0.68100000000000005</v>
      </c>
      <c r="G144" s="151">
        <f>IF(Vehi_Inputs!$B$14=2,AA144,Q144)</f>
        <v>0.56000000000000005</v>
      </c>
      <c r="H144" s="151">
        <f>IF(Vehi_Inputs!$B$14=2,AB144,R144)</f>
        <v>0.69799999999999995</v>
      </c>
      <c r="I144" s="151">
        <f>IF(Vehi_Inputs!$B$14=2,AC144,S144)</f>
        <v>0.434</v>
      </c>
      <c r="J144" s="151">
        <f>IF(Vehi_Inputs!$B$14=2,AD144,T144)</f>
        <v>0</v>
      </c>
      <c r="K144" s="151">
        <f>IF(Vehi_Inputs!$B$14=2,AE144,U144)</f>
        <v>0.18710919904856269</v>
      </c>
      <c r="L144" s="152">
        <f>IF(Vehi_Inputs!$B$14=2,AF144,V144)</f>
        <v>0.18710919904856269</v>
      </c>
      <c r="M144" s="1243">
        <v>0.49949140582211471</v>
      </c>
      <c r="N144" s="221">
        <v>0.61499999999999999</v>
      </c>
      <c r="O144" s="225">
        <v>0.53</v>
      </c>
      <c r="P144" s="225">
        <v>0.68100000000000005</v>
      </c>
      <c r="Q144" s="225">
        <v>0.56000000000000005</v>
      </c>
      <c r="R144" s="225">
        <v>0.69799999999999995</v>
      </c>
      <c r="S144" s="225">
        <v>0.434</v>
      </c>
      <c r="T144" s="225">
        <v>0</v>
      </c>
      <c r="U144" s="944">
        <v>0.18710919904856269</v>
      </c>
      <c r="V144" s="927">
        <v>0.18710919904856269</v>
      </c>
      <c r="W144" s="943">
        <v>0.25923853658536583</v>
      </c>
      <c r="X144" s="934">
        <v>0.25689722252055308</v>
      </c>
      <c r="Y144" s="225">
        <v>0</v>
      </c>
      <c r="Z144" s="225">
        <v>0</v>
      </c>
      <c r="AA144" s="225">
        <v>0</v>
      </c>
      <c r="AB144" s="225">
        <v>0</v>
      </c>
      <c r="AC144" s="225">
        <v>0</v>
      </c>
      <c r="AD144" s="225">
        <v>0</v>
      </c>
      <c r="AE144" s="225">
        <v>0</v>
      </c>
      <c r="AF144" s="226">
        <v>0</v>
      </c>
    </row>
    <row r="145" spans="2:32">
      <c r="B145" s="173" t="s">
        <v>264</v>
      </c>
      <c r="C145" s="569">
        <f>IF(Vehi_Inputs!$B$14=2,W145,M145)</f>
        <v>0</v>
      </c>
      <c r="D145" s="552">
        <f>IF(Vehi_Inputs!$B$14=2,X145,N145)</f>
        <v>2.7E-2</v>
      </c>
      <c r="E145" s="151">
        <f>IF(Vehi_Inputs!$B$14=2,Y145,O145)</f>
        <v>0</v>
      </c>
      <c r="F145" s="151">
        <f>IF(Vehi_Inputs!$B$14=2,Z145,P145)</f>
        <v>2.1999999999999999E-2</v>
      </c>
      <c r="G145" s="151">
        <f>IF(Vehi_Inputs!$B$14=2,AA145,Q145)</f>
        <v>0</v>
      </c>
      <c r="H145" s="151">
        <f>IF(Vehi_Inputs!$B$14=2,AB145,R145)</f>
        <v>1.9E-2</v>
      </c>
      <c r="I145" s="151">
        <f>IF(Vehi_Inputs!$B$14=2,AC145,S145)</f>
        <v>0</v>
      </c>
      <c r="J145" s="151">
        <f>IF(Vehi_Inputs!$B$14=2,AD145,T145)</f>
        <v>0</v>
      </c>
      <c r="K145" s="151">
        <f>IF(Vehi_Inputs!$B$14=2,AE145,U145)</f>
        <v>0.31347914244110364</v>
      </c>
      <c r="L145" s="152">
        <f>IF(Vehi_Inputs!$B$14=2,AF145,V145)</f>
        <v>0.31347914244110364</v>
      </c>
      <c r="M145" s="1477">
        <v>0</v>
      </c>
      <c r="N145" s="221">
        <v>2.7E-2</v>
      </c>
      <c r="O145" s="225">
        <v>0</v>
      </c>
      <c r="P145" s="225">
        <v>2.1999999999999999E-2</v>
      </c>
      <c r="Q145" s="225">
        <v>0</v>
      </c>
      <c r="R145" s="225">
        <v>1.9E-2</v>
      </c>
      <c r="S145" s="225">
        <v>0</v>
      </c>
      <c r="T145" s="225">
        <v>0</v>
      </c>
      <c r="U145" s="944">
        <v>0.31347914244110364</v>
      </c>
      <c r="V145" s="927">
        <v>0.31347914244110364</v>
      </c>
      <c r="W145" s="943">
        <v>1.1343680709534367E-2</v>
      </c>
      <c r="X145" s="934">
        <v>3.0272689793274046E-2</v>
      </c>
      <c r="Y145" s="225">
        <v>0</v>
      </c>
      <c r="Z145" s="225">
        <v>0</v>
      </c>
      <c r="AA145" s="225">
        <v>0</v>
      </c>
      <c r="AB145" s="225">
        <v>0</v>
      </c>
      <c r="AC145" s="225">
        <v>0</v>
      </c>
      <c r="AD145" s="225">
        <v>0</v>
      </c>
      <c r="AE145" s="225">
        <v>0</v>
      </c>
      <c r="AF145" s="226">
        <v>0</v>
      </c>
    </row>
    <row r="146" spans="2:32">
      <c r="B146" s="173" t="s">
        <v>265</v>
      </c>
      <c r="C146" s="569">
        <f>IF(Vehi_Inputs!$B$14=2,W146,M146)</f>
        <v>3.9570735718942693E-2</v>
      </c>
      <c r="D146" s="552">
        <f>IF(Vehi_Inputs!$B$14=2,X146,N146)</f>
        <v>0.04</v>
      </c>
      <c r="E146" s="151">
        <f>IF(Vehi_Inputs!$B$14=2,Y146,O146)</f>
        <v>0.215</v>
      </c>
      <c r="F146" s="151">
        <f>IF(Vehi_Inputs!$B$14=2,Z146,P146)</f>
        <v>3.2000000000000001E-2</v>
      </c>
      <c r="G146" s="151">
        <f>IF(Vehi_Inputs!$B$14=2,AA146,Q146)</f>
        <v>0.19600000000000001</v>
      </c>
      <c r="H146" s="151">
        <f>IF(Vehi_Inputs!$B$14=2,AB146,R146)</f>
        <v>2.9000000000000001E-2</v>
      </c>
      <c r="I146" s="151">
        <f>IF(Vehi_Inputs!$B$14=2,AC146,S146)</f>
        <v>0</v>
      </c>
      <c r="J146" s="151">
        <f>IF(Vehi_Inputs!$B$14=2,AD146,T146)</f>
        <v>0</v>
      </c>
      <c r="K146" s="151">
        <f>IF(Vehi_Inputs!$B$14=2,AE146,U146)</f>
        <v>7.6391227457442282E-4</v>
      </c>
      <c r="L146" s="152">
        <f>IF(Vehi_Inputs!$B$14=2,AF146,V146)</f>
        <v>7.6391227457442282E-4</v>
      </c>
      <c r="M146" s="1477">
        <v>3.9570735718942693E-2</v>
      </c>
      <c r="N146" s="221">
        <v>0.04</v>
      </c>
      <c r="O146" s="225">
        <v>0.215</v>
      </c>
      <c r="P146" s="225">
        <v>3.2000000000000001E-2</v>
      </c>
      <c r="Q146" s="225">
        <v>0.19600000000000001</v>
      </c>
      <c r="R146" s="225">
        <v>2.9000000000000001E-2</v>
      </c>
      <c r="S146" s="225">
        <v>0</v>
      </c>
      <c r="T146" s="225">
        <v>0</v>
      </c>
      <c r="U146" s="944">
        <v>7.6391227457442282E-4</v>
      </c>
      <c r="V146" s="927">
        <v>7.6391227457442282E-4</v>
      </c>
      <c r="W146" s="943">
        <v>0.15505371766444939</v>
      </c>
      <c r="X146" s="934">
        <v>0.13194964021299668</v>
      </c>
      <c r="Y146" s="225">
        <v>0</v>
      </c>
      <c r="Z146" s="225">
        <v>0</v>
      </c>
      <c r="AA146" s="225">
        <v>0</v>
      </c>
      <c r="AB146" s="225">
        <v>0</v>
      </c>
      <c r="AC146" s="225">
        <v>0</v>
      </c>
      <c r="AD146" s="225">
        <v>0</v>
      </c>
      <c r="AE146" s="225">
        <v>0</v>
      </c>
      <c r="AF146" s="226">
        <v>0</v>
      </c>
    </row>
    <row r="147" spans="2:32">
      <c r="B147" s="173" t="s">
        <v>252</v>
      </c>
      <c r="C147" s="569">
        <f>IF(Vehi_Inputs!$B$14=2,W147,M147)</f>
        <v>3.9527293773385708E-2</v>
      </c>
      <c r="D147" s="552">
        <f>IF(Vehi_Inputs!$B$14=2,X147,N147)</f>
        <v>1.7000000000000001E-2</v>
      </c>
      <c r="E147" s="151">
        <f>IF(Vehi_Inputs!$B$14=2,Y147,O147)</f>
        <v>0</v>
      </c>
      <c r="F147" s="151">
        <f>IF(Vehi_Inputs!$B$14=2,Z147,P147)</f>
        <v>2.1999999999999999E-2</v>
      </c>
      <c r="G147" s="151">
        <f>IF(Vehi_Inputs!$B$14=2,AA147,Q147)</f>
        <v>0</v>
      </c>
      <c r="H147" s="151">
        <f>IF(Vehi_Inputs!$B$14=2,AB147,R147)</f>
        <v>2.4E-2</v>
      </c>
      <c r="I147" s="151">
        <f>IF(Vehi_Inputs!$B$14=2,AC147,S147)</f>
        <v>0</v>
      </c>
      <c r="J147" s="151">
        <f>IF(Vehi_Inputs!$B$14=2,AD147,T147)</f>
        <v>0.32700000000000001</v>
      </c>
      <c r="K147" s="151">
        <f>IF(Vehi_Inputs!$B$14=2,AE147,U147)</f>
        <v>0.16794927778569879</v>
      </c>
      <c r="L147" s="152">
        <f>IF(Vehi_Inputs!$B$14=2,AF147,V147)</f>
        <v>0.16794927778569879</v>
      </c>
      <c r="M147" s="1477">
        <v>3.9527293773385708E-2</v>
      </c>
      <c r="N147" s="221">
        <v>1.7000000000000001E-2</v>
      </c>
      <c r="O147" s="225">
        <v>0</v>
      </c>
      <c r="P147" s="225">
        <v>2.1999999999999999E-2</v>
      </c>
      <c r="Q147" s="225">
        <v>0</v>
      </c>
      <c r="R147" s="225">
        <v>2.4E-2</v>
      </c>
      <c r="S147" s="225">
        <v>0</v>
      </c>
      <c r="T147" s="225">
        <v>0.32700000000000001</v>
      </c>
      <c r="U147" s="944">
        <v>0.16794927778569879</v>
      </c>
      <c r="V147" s="927">
        <v>0.16794927778569879</v>
      </c>
      <c r="W147" s="943">
        <v>1.817148558758315E-2</v>
      </c>
      <c r="X147" s="934">
        <v>3.4705951642686639E-2</v>
      </c>
      <c r="Y147" s="225">
        <v>0</v>
      </c>
      <c r="Z147" s="225">
        <v>0</v>
      </c>
      <c r="AA147" s="225">
        <v>0</v>
      </c>
      <c r="AB147" s="225">
        <v>0</v>
      </c>
      <c r="AC147" s="225">
        <v>0</v>
      </c>
      <c r="AD147" s="225">
        <v>0</v>
      </c>
      <c r="AE147" s="225">
        <v>0</v>
      </c>
      <c r="AF147" s="226">
        <v>0</v>
      </c>
    </row>
    <row r="148" spans="2:32">
      <c r="B148" s="173" t="s">
        <v>253</v>
      </c>
      <c r="C148" s="569">
        <f>IF(Vehi_Inputs!$B$14=2,W148,M148)</f>
        <v>0.15314764332064795</v>
      </c>
      <c r="D148" s="552">
        <f>IF(Vehi_Inputs!$B$14=2,X148,N148)</f>
        <v>0.13400000000000001</v>
      </c>
      <c r="E148" s="151">
        <f>IF(Vehi_Inputs!$B$14=2,Y148,O148)</f>
        <v>0.129</v>
      </c>
      <c r="F148" s="151">
        <f>IF(Vehi_Inputs!$B$14=2,Z148,P148)</f>
        <v>0.107</v>
      </c>
      <c r="G148" s="151">
        <f>IF(Vehi_Inputs!$B$14=2,AA148,Q148)</f>
        <v>0.11799999999999999</v>
      </c>
      <c r="H148" s="151">
        <f>IF(Vehi_Inputs!$B$14=2,AB148,R148)</f>
        <v>9.6000000000000002E-2</v>
      </c>
      <c r="I148" s="151">
        <f>IF(Vehi_Inputs!$B$14=2,AC148,S148)</f>
        <v>0</v>
      </c>
      <c r="J148" s="151">
        <f>IF(Vehi_Inputs!$B$14=2,AD148,T148)</f>
        <v>0</v>
      </c>
      <c r="K148" s="151">
        <f>IF(Vehi_Inputs!$B$14=2,AE148,U148)</f>
        <v>0</v>
      </c>
      <c r="L148" s="152">
        <f>IF(Vehi_Inputs!$B$14=2,AF148,V148)</f>
        <v>0</v>
      </c>
      <c r="M148" s="1477">
        <v>0.15314764332064795</v>
      </c>
      <c r="N148" s="221">
        <v>0.13400000000000001</v>
      </c>
      <c r="O148" s="225">
        <v>0.129</v>
      </c>
      <c r="P148" s="225">
        <v>0.107</v>
      </c>
      <c r="Q148" s="225">
        <v>0.11799999999999999</v>
      </c>
      <c r="R148" s="225">
        <v>9.6000000000000002E-2</v>
      </c>
      <c r="S148" s="225">
        <v>0</v>
      </c>
      <c r="T148" s="225">
        <v>0</v>
      </c>
      <c r="U148" s="944"/>
      <c r="V148" s="927"/>
      <c r="W148" s="943">
        <v>0.35157525498891351</v>
      </c>
      <c r="X148" s="934">
        <v>0.3209767082520622</v>
      </c>
      <c r="Y148" s="225">
        <v>0</v>
      </c>
      <c r="Z148" s="225">
        <v>0</v>
      </c>
      <c r="AA148" s="225">
        <v>0</v>
      </c>
      <c r="AB148" s="225">
        <v>0</v>
      </c>
      <c r="AC148" s="225">
        <v>0</v>
      </c>
      <c r="AD148" s="225">
        <v>0</v>
      </c>
      <c r="AE148" s="225">
        <v>0</v>
      </c>
      <c r="AF148" s="226">
        <v>0</v>
      </c>
    </row>
    <row r="149" spans="2:32">
      <c r="B149" s="173" t="s">
        <v>254</v>
      </c>
      <c r="C149" s="569">
        <f>IF(Vehi_Inputs!$B$14=2,W149,M149)</f>
        <v>5.1918634642255691E-2</v>
      </c>
      <c r="D149" s="552">
        <f>IF(Vehi_Inputs!$B$14=2,X149,N149)</f>
        <v>3.5000000000000003E-2</v>
      </c>
      <c r="E149" s="151">
        <f>IF(Vehi_Inputs!$B$14=2,Y149,O149)</f>
        <v>0.02</v>
      </c>
      <c r="F149" s="151">
        <f>IF(Vehi_Inputs!$B$14=2,Z149,P149)</f>
        <v>2.4E-2</v>
      </c>
      <c r="G149" s="151">
        <f>IF(Vehi_Inputs!$B$14=2,AA149,Q149)</f>
        <v>2.1999999999999999E-2</v>
      </c>
      <c r="H149" s="151">
        <f>IF(Vehi_Inputs!$B$14=2,AB149,R149)</f>
        <v>2.7E-2</v>
      </c>
      <c r="I149" s="151">
        <f>IF(Vehi_Inputs!$B$14=2,AC149,S149)</f>
        <v>0.23200000000000001</v>
      </c>
      <c r="J149" s="151">
        <f>IF(Vehi_Inputs!$B$14=2,AD149,T149)</f>
        <v>0.27600000000000002</v>
      </c>
      <c r="K149" s="151">
        <f>IF(Vehi_Inputs!$B$14=2,AE149,U149)</f>
        <v>1.7274919301796213E-2</v>
      </c>
      <c r="L149" s="152">
        <f>IF(Vehi_Inputs!$B$14=2,AF149,V149)</f>
        <v>1.7274919301796213E-2</v>
      </c>
      <c r="M149" s="1477">
        <v>5.1918634642255691E-2</v>
      </c>
      <c r="N149" s="221">
        <v>3.5000000000000003E-2</v>
      </c>
      <c r="O149" s="225">
        <v>0.02</v>
      </c>
      <c r="P149" s="225">
        <v>2.4E-2</v>
      </c>
      <c r="Q149" s="225">
        <v>2.1999999999999999E-2</v>
      </c>
      <c r="R149" s="225">
        <v>2.7E-2</v>
      </c>
      <c r="S149" s="225">
        <v>0.23200000000000001</v>
      </c>
      <c r="T149" s="225">
        <v>0.27600000000000002</v>
      </c>
      <c r="U149" s="944">
        <v>1.7274919301796213E-2</v>
      </c>
      <c r="V149" s="927">
        <v>1.7274919301796213E-2</v>
      </c>
      <c r="W149" s="943">
        <v>3.6256614929785658E-2</v>
      </c>
      <c r="X149" s="934">
        <v>9.878985459546916E-3</v>
      </c>
      <c r="Y149" s="225">
        <v>0</v>
      </c>
      <c r="Z149" s="225">
        <v>0</v>
      </c>
      <c r="AA149" s="225">
        <v>0</v>
      </c>
      <c r="AB149" s="225">
        <v>0</v>
      </c>
      <c r="AC149" s="225">
        <v>0</v>
      </c>
      <c r="AD149" s="225">
        <v>0</v>
      </c>
      <c r="AE149" s="225">
        <v>0</v>
      </c>
      <c r="AF149" s="226">
        <v>0</v>
      </c>
    </row>
    <row r="150" spans="2:32">
      <c r="B150" s="173" t="s">
        <v>256</v>
      </c>
      <c r="C150" s="569">
        <f>IF(Vehi_Inputs!$B$14=2,W150,M150)</f>
        <v>0</v>
      </c>
      <c r="D150" s="552">
        <f>IF(Vehi_Inputs!$B$14=2,X150,N150)</f>
        <v>0</v>
      </c>
      <c r="E150" s="151">
        <f>IF(Vehi_Inputs!$B$14=2,Y150,O150)</f>
        <v>0</v>
      </c>
      <c r="F150" s="151">
        <f>IF(Vehi_Inputs!$B$14=2,Z150,P150)</f>
        <v>0</v>
      </c>
      <c r="G150" s="151">
        <f>IF(Vehi_Inputs!$B$14=2,AA150,Q150)</f>
        <v>0</v>
      </c>
      <c r="H150" s="151">
        <f>IF(Vehi_Inputs!$B$14=2,AB150,R150)</f>
        <v>0</v>
      </c>
      <c r="I150" s="151">
        <f>IF(Vehi_Inputs!$B$14=2,AC150,S150)</f>
        <v>0</v>
      </c>
      <c r="J150" s="151">
        <f>IF(Vehi_Inputs!$B$14=2,AD150,T150)</f>
        <v>0</v>
      </c>
      <c r="K150" s="151">
        <f>IF(Vehi_Inputs!$B$14=2,AE150,U150)</f>
        <v>0</v>
      </c>
      <c r="L150" s="152">
        <f>IF(Vehi_Inputs!$B$14=2,AF150,V150)</f>
        <v>0</v>
      </c>
      <c r="M150" s="1243">
        <v>0</v>
      </c>
      <c r="N150" s="225">
        <v>0</v>
      </c>
      <c r="O150" s="225">
        <v>0</v>
      </c>
      <c r="P150" s="225">
        <v>0</v>
      </c>
      <c r="Q150" s="225">
        <v>0</v>
      </c>
      <c r="R150" s="225">
        <v>0</v>
      </c>
      <c r="S150" s="225">
        <v>0</v>
      </c>
      <c r="T150" s="225">
        <v>0</v>
      </c>
      <c r="U150" s="944"/>
      <c r="V150" s="927"/>
      <c r="W150" s="928">
        <v>0</v>
      </c>
      <c r="X150" s="927">
        <v>2.0836673676479248E-2</v>
      </c>
      <c r="Y150" s="225">
        <v>0</v>
      </c>
      <c r="Z150" s="225">
        <v>0</v>
      </c>
      <c r="AA150" s="225">
        <v>0</v>
      </c>
      <c r="AB150" s="225">
        <v>0</v>
      </c>
      <c r="AC150" s="225">
        <v>0</v>
      </c>
      <c r="AD150" s="225">
        <v>0</v>
      </c>
      <c r="AE150" s="225">
        <v>0</v>
      </c>
      <c r="AF150" s="226">
        <v>0</v>
      </c>
    </row>
    <row r="151" spans="2:32">
      <c r="B151" s="173" t="s">
        <v>257</v>
      </c>
      <c r="C151" s="569">
        <f>IF(Vehi_Inputs!$B$14=2,W151,M151)</f>
        <v>1.493660786864379E-2</v>
      </c>
      <c r="D151" s="552">
        <f>IF(Vehi_Inputs!$B$14=2,X151,N151)</f>
        <v>0</v>
      </c>
      <c r="E151" s="151">
        <f>IF(Vehi_Inputs!$B$14=2,Y151,O151)</f>
        <v>0</v>
      </c>
      <c r="F151" s="151">
        <f>IF(Vehi_Inputs!$B$14=2,Z151,P151)</f>
        <v>0</v>
      </c>
      <c r="G151" s="151">
        <f>IF(Vehi_Inputs!$B$14=2,AA151,Q151)</f>
        <v>0</v>
      </c>
      <c r="H151" s="151">
        <f>IF(Vehi_Inputs!$B$14=2,AB151,R151)</f>
        <v>0</v>
      </c>
      <c r="I151" s="151">
        <f>IF(Vehi_Inputs!$B$14=2,AC151,S151)</f>
        <v>0</v>
      </c>
      <c r="J151" s="151">
        <f>IF(Vehi_Inputs!$B$14=2,AD151,T151)</f>
        <v>0</v>
      </c>
      <c r="K151" s="151">
        <f>IF(Vehi_Inputs!$B$14=2,AE151,U151)</f>
        <v>2.5916749175188158E-2</v>
      </c>
      <c r="L151" s="152">
        <f>IF(Vehi_Inputs!$B$14=2,AF151,V151)</f>
        <v>2.5916749175188158E-2</v>
      </c>
      <c r="M151" s="1243">
        <v>1.493660786864379E-2</v>
      </c>
      <c r="N151" s="225">
        <v>0</v>
      </c>
      <c r="O151" s="225">
        <v>0</v>
      </c>
      <c r="P151" s="225">
        <v>0</v>
      </c>
      <c r="Q151" s="225">
        <v>0</v>
      </c>
      <c r="R151" s="225">
        <v>0</v>
      </c>
      <c r="S151" s="225">
        <v>0</v>
      </c>
      <c r="T151" s="225">
        <v>0</v>
      </c>
      <c r="U151" s="944">
        <v>2.5916749175188158E-2</v>
      </c>
      <c r="V151" s="927">
        <v>2.5916749175188158E-2</v>
      </c>
      <c r="W151" s="928">
        <v>3.1782409460458239E-2</v>
      </c>
      <c r="X151" s="927">
        <v>3.8693819008255873E-2</v>
      </c>
      <c r="Y151" s="225">
        <v>0</v>
      </c>
      <c r="Z151" s="225">
        <v>0</v>
      </c>
      <c r="AA151" s="225">
        <v>0</v>
      </c>
      <c r="AB151" s="225">
        <v>0</v>
      </c>
      <c r="AC151" s="225">
        <v>0</v>
      </c>
      <c r="AD151" s="225">
        <v>0</v>
      </c>
      <c r="AE151" s="225">
        <v>0</v>
      </c>
      <c r="AF151" s="226">
        <v>0</v>
      </c>
    </row>
    <row r="152" spans="2:32">
      <c r="B152" s="173" t="s">
        <v>260</v>
      </c>
      <c r="C152" s="569">
        <f>IF(Vehi_Inputs!$B$14=2,W152,M152)</f>
        <v>0.18382374107572311</v>
      </c>
      <c r="D152" s="552">
        <f>IF(Vehi_Inputs!$B$14=2,X152,N152)</f>
        <v>0.11899999999999999</v>
      </c>
      <c r="E152" s="151">
        <f>IF(Vehi_Inputs!$B$14=2,Y152,O152)</f>
        <v>8.6999999999999994E-2</v>
      </c>
      <c r="F152" s="151">
        <f>IF(Vehi_Inputs!$B$14=2,Z152,P152)</f>
        <v>0.10100000000000001</v>
      </c>
      <c r="G152" s="151">
        <f>IF(Vehi_Inputs!$B$14=2,AA152,Q152)</f>
        <v>8.5999999999999993E-2</v>
      </c>
      <c r="H152" s="151">
        <f>IF(Vehi_Inputs!$B$14=2,AB152,R152)</f>
        <v>9.7000000000000003E-2</v>
      </c>
      <c r="I152" s="151">
        <f>IF(Vehi_Inputs!$B$14=2,AC152,S152)</f>
        <v>0.33400000000000002</v>
      </c>
      <c r="J152" s="151">
        <f>IF(Vehi_Inputs!$B$14=2,AD152,T152)</f>
        <v>0.39700000000000002</v>
      </c>
      <c r="K152" s="151">
        <f>IF(Vehi_Inputs!$B$14=2,AE152,U152)</f>
        <v>0.16617678413030071</v>
      </c>
      <c r="L152" s="152">
        <f>IF(Vehi_Inputs!$B$14=2,AF152,V152)</f>
        <v>0.16617678413030071</v>
      </c>
      <c r="M152" s="1477">
        <v>0.18382374107572311</v>
      </c>
      <c r="N152" s="221">
        <v>0.11899999999999999</v>
      </c>
      <c r="O152" s="225">
        <v>8.6999999999999994E-2</v>
      </c>
      <c r="P152" s="225">
        <v>0.10100000000000001</v>
      </c>
      <c r="Q152" s="225">
        <v>8.5999999999999993E-2</v>
      </c>
      <c r="R152" s="225">
        <v>9.7000000000000003E-2</v>
      </c>
      <c r="S152" s="225">
        <v>0.33400000000000002</v>
      </c>
      <c r="T152" s="225">
        <v>0.39700000000000002</v>
      </c>
      <c r="U152" s="944">
        <v>0.16617678413030071</v>
      </c>
      <c r="V152" s="927">
        <v>0.16617678413030071</v>
      </c>
      <c r="W152" s="943">
        <v>0.13267923133776791</v>
      </c>
      <c r="X152" s="934">
        <v>0.15171034807703632</v>
      </c>
      <c r="Y152" s="225">
        <v>0</v>
      </c>
      <c r="Z152" s="225">
        <v>0</v>
      </c>
      <c r="AA152" s="225">
        <v>0</v>
      </c>
      <c r="AB152" s="225">
        <v>0</v>
      </c>
      <c r="AC152" s="225">
        <v>0</v>
      </c>
      <c r="AD152" s="225">
        <v>0</v>
      </c>
      <c r="AE152" s="225">
        <v>0</v>
      </c>
      <c r="AF152" s="226">
        <v>0</v>
      </c>
    </row>
    <row r="153" spans="2:32">
      <c r="B153" s="173" t="s">
        <v>261</v>
      </c>
      <c r="C153" s="569">
        <f>IF(Vehi_Inputs!$B$14=2,W153,M153)</f>
        <v>1.663287896794003E-2</v>
      </c>
      <c r="D153" s="552">
        <f>IF(Vehi_Inputs!$B$14=2,X153,N153)</f>
        <v>1.2999999999999999E-2</v>
      </c>
      <c r="E153" s="151">
        <f>IF(Vehi_Inputs!$B$14=2,Y153,O153)</f>
        <v>1.9E-2</v>
      </c>
      <c r="F153" s="151">
        <f>IF(Vehi_Inputs!$B$14=2,Z153,P153)</f>
        <v>1.0999999999999999E-2</v>
      </c>
      <c r="G153" s="151">
        <f>IF(Vehi_Inputs!$B$14=2,AA153,Q153)</f>
        <v>1.7999999999999999E-2</v>
      </c>
      <c r="H153" s="151">
        <f>IF(Vehi_Inputs!$B$14=2,AB153,R153)</f>
        <v>0.01</v>
      </c>
      <c r="I153" s="151">
        <f>IF(Vehi_Inputs!$B$14=2,AC153,S153)</f>
        <v>0</v>
      </c>
      <c r="J153" s="151">
        <f>IF(Vehi_Inputs!$B$14=2,AD153,T153)</f>
        <v>0</v>
      </c>
      <c r="K153" s="151">
        <f>IF(Vehi_Inputs!$B$14=2,AE153,U153)</f>
        <v>6.4615988571509395E-2</v>
      </c>
      <c r="L153" s="152">
        <f>IF(Vehi_Inputs!$B$14=2,AF153,V153)</f>
        <v>6.4615988571509395E-2</v>
      </c>
      <c r="M153" s="1243">
        <v>1.663287896794003E-2</v>
      </c>
      <c r="N153" s="221">
        <v>1.2999999999999999E-2</v>
      </c>
      <c r="O153" s="225">
        <v>1.9E-2</v>
      </c>
      <c r="P153" s="225">
        <v>1.0999999999999999E-2</v>
      </c>
      <c r="Q153" s="225">
        <v>1.7999999999999999E-2</v>
      </c>
      <c r="R153" s="225">
        <v>0.01</v>
      </c>
      <c r="S153" s="225">
        <v>0</v>
      </c>
      <c r="T153" s="225">
        <v>0</v>
      </c>
      <c r="U153" s="944">
        <v>6.4615988571509395E-2</v>
      </c>
      <c r="V153" s="927">
        <v>6.4615988571509395E-2</v>
      </c>
      <c r="W153" s="943">
        <v>3.8680916962394677E-3</v>
      </c>
      <c r="X153" s="934">
        <v>4.0420337579639897E-3</v>
      </c>
      <c r="Y153" s="225">
        <v>0</v>
      </c>
      <c r="Z153" s="225">
        <v>0</v>
      </c>
      <c r="AA153" s="225">
        <v>0</v>
      </c>
      <c r="AB153" s="225">
        <v>0</v>
      </c>
      <c r="AC153" s="225">
        <v>0</v>
      </c>
      <c r="AD153" s="225">
        <v>0</v>
      </c>
      <c r="AE153" s="225">
        <v>0</v>
      </c>
      <c r="AF153" s="226">
        <v>0</v>
      </c>
    </row>
    <row r="154" spans="2:32">
      <c r="B154" s="173" t="s">
        <v>259</v>
      </c>
      <c r="C154" s="569">
        <f>IF(Vehi_Inputs!$B$14=2,W154,M154)</f>
        <v>0</v>
      </c>
      <c r="D154" s="552">
        <f>IF(Vehi_Inputs!$B$14=2,X154,N154)</f>
        <v>0</v>
      </c>
      <c r="E154" s="151">
        <f>IF(Vehi_Inputs!$B$14=2,Y154,O154)</f>
        <v>0</v>
      </c>
      <c r="F154" s="151">
        <f>IF(Vehi_Inputs!$B$14=2,Z154,P154)</f>
        <v>0</v>
      </c>
      <c r="G154" s="151">
        <f>IF(Vehi_Inputs!$B$14=2,AA154,Q154)</f>
        <v>0</v>
      </c>
      <c r="H154" s="151">
        <f>IF(Vehi_Inputs!$B$14=2,AB154,R154)</f>
        <v>0</v>
      </c>
      <c r="I154" s="151">
        <f>IF(Vehi_Inputs!$B$14=2,AC154,S154)</f>
        <v>0</v>
      </c>
      <c r="J154" s="151">
        <f>IF(Vehi_Inputs!$B$14=2,AD154,T154)</f>
        <v>0</v>
      </c>
      <c r="K154" s="151">
        <f>IF(Vehi_Inputs!$B$14=2,AE154,U154)</f>
        <v>0</v>
      </c>
      <c r="L154" s="152">
        <f>IF(Vehi_Inputs!$B$14=2,AF154,V154)</f>
        <v>0</v>
      </c>
      <c r="M154" s="1477">
        <v>0</v>
      </c>
      <c r="N154" s="221">
        <v>0</v>
      </c>
      <c r="O154" s="225">
        <v>0</v>
      </c>
      <c r="P154" s="225">
        <v>0</v>
      </c>
      <c r="Q154" s="225">
        <v>0</v>
      </c>
      <c r="R154" s="225">
        <v>0</v>
      </c>
      <c r="S154" s="225">
        <v>0</v>
      </c>
      <c r="T154" s="225">
        <v>0</v>
      </c>
      <c r="U154" s="944"/>
      <c r="V154" s="927"/>
      <c r="W154" s="943">
        <v>0</v>
      </c>
      <c r="X154" s="934">
        <v>0</v>
      </c>
      <c r="Y154" s="225">
        <v>0</v>
      </c>
      <c r="Z154" s="225">
        <v>0</v>
      </c>
      <c r="AA154" s="225">
        <v>0</v>
      </c>
      <c r="AB154" s="225">
        <v>0</v>
      </c>
      <c r="AC154" s="225">
        <v>0</v>
      </c>
      <c r="AD154" s="225">
        <v>0</v>
      </c>
      <c r="AE154" s="225">
        <v>0</v>
      </c>
      <c r="AF154" s="226">
        <v>0</v>
      </c>
    </row>
    <row r="155" spans="2:32">
      <c r="B155" s="173" t="s">
        <v>266</v>
      </c>
      <c r="C155" s="569">
        <f>IF(Vehi_Inputs!$B$14=2,W155,M155)</f>
        <v>0</v>
      </c>
      <c r="D155" s="552">
        <f>IF(Vehi_Inputs!$B$14=2,X155,N155)</f>
        <v>0</v>
      </c>
      <c r="E155" s="151">
        <f>IF(Vehi_Inputs!$B$14=2,Y155,O155)</f>
        <v>0</v>
      </c>
      <c r="F155" s="151">
        <f>IF(Vehi_Inputs!$B$14=2,Z155,P155)</f>
        <v>0</v>
      </c>
      <c r="G155" s="151">
        <f>IF(Vehi_Inputs!$B$14=2,AA155,Q155)</f>
        <v>0</v>
      </c>
      <c r="H155" s="151">
        <f>IF(Vehi_Inputs!$B$14=2,AB155,R155)</f>
        <v>0</v>
      </c>
      <c r="I155" s="151">
        <f>IF(Vehi_Inputs!$B$14=2,AC155,S155)</f>
        <v>0</v>
      </c>
      <c r="J155" s="151">
        <f>IF(Vehi_Inputs!$B$14=2,AD155,T155)</f>
        <v>0</v>
      </c>
      <c r="K155" s="151">
        <f>IF(Vehi_Inputs!$B$14=2,AE155,U155)</f>
        <v>6.1984188925405387E-3</v>
      </c>
      <c r="L155" s="152">
        <f>IF(Vehi_Inputs!$B$14=2,AF155,V155)</f>
        <v>6.1984188925405387E-3</v>
      </c>
      <c r="M155" s="1477">
        <v>0</v>
      </c>
      <c r="N155" s="221">
        <v>0</v>
      </c>
      <c r="O155" s="225">
        <v>0</v>
      </c>
      <c r="P155" s="225">
        <v>0</v>
      </c>
      <c r="Q155" s="225">
        <v>0</v>
      </c>
      <c r="R155" s="225">
        <v>0</v>
      </c>
      <c r="S155" s="225">
        <v>0</v>
      </c>
      <c r="T155" s="225">
        <v>0</v>
      </c>
      <c r="U155" s="944">
        <v>6.1984188925405387E-3</v>
      </c>
      <c r="V155" s="927">
        <v>6.1984188925405387E-3</v>
      </c>
      <c r="W155" s="943">
        <v>0</v>
      </c>
      <c r="X155" s="934">
        <v>0</v>
      </c>
      <c r="Y155" s="225">
        <v>0</v>
      </c>
      <c r="Z155" s="225">
        <v>0</v>
      </c>
      <c r="AA155" s="225">
        <v>0</v>
      </c>
      <c r="AB155" s="225">
        <v>0</v>
      </c>
      <c r="AC155" s="225">
        <v>0</v>
      </c>
      <c r="AD155" s="225">
        <v>0</v>
      </c>
      <c r="AE155" s="225">
        <v>0</v>
      </c>
      <c r="AF155" s="226">
        <v>0</v>
      </c>
    </row>
    <row r="156" spans="2:32">
      <c r="B156" s="173" t="s">
        <v>267</v>
      </c>
      <c r="C156" s="569">
        <f>IF(Vehi_Inputs!$B$14=2,W156,M156)</f>
        <v>0</v>
      </c>
      <c r="D156" s="552">
        <f>IF(Vehi_Inputs!$B$14=2,X156,N156)</f>
        <v>0</v>
      </c>
      <c r="E156" s="151">
        <f>IF(Vehi_Inputs!$B$14=2,Y156,O156)</f>
        <v>0</v>
      </c>
      <c r="F156" s="151">
        <f>IF(Vehi_Inputs!$B$14=2,Z156,P156)</f>
        <v>0</v>
      </c>
      <c r="G156" s="151">
        <f>IF(Vehi_Inputs!$B$14=2,AA156,Q156)</f>
        <v>0</v>
      </c>
      <c r="H156" s="151">
        <f>IF(Vehi_Inputs!$B$14=2,AB156,R156)</f>
        <v>0</v>
      </c>
      <c r="I156" s="151">
        <f>IF(Vehi_Inputs!$B$14=2,AC156,S156)</f>
        <v>0</v>
      </c>
      <c r="J156" s="151">
        <f>IF(Vehi_Inputs!$B$14=2,AD156,T156)</f>
        <v>0</v>
      </c>
      <c r="K156" s="151">
        <f>IF(Vehi_Inputs!$B$14=2,AE156,U156)</f>
        <v>2.1400740290504861E-2</v>
      </c>
      <c r="L156" s="152">
        <f>IF(Vehi_Inputs!$B$14=2,AF156,V156)</f>
        <v>2.1400740290504861E-2</v>
      </c>
      <c r="M156" s="1477">
        <v>0</v>
      </c>
      <c r="N156" s="221">
        <v>0</v>
      </c>
      <c r="O156" s="225">
        <v>0</v>
      </c>
      <c r="P156" s="225">
        <v>0</v>
      </c>
      <c r="Q156" s="225">
        <v>0</v>
      </c>
      <c r="R156" s="225">
        <v>0</v>
      </c>
      <c r="S156" s="225">
        <v>0</v>
      </c>
      <c r="T156" s="225">
        <v>0</v>
      </c>
      <c r="U156" s="944">
        <v>2.1400740290504861E-2</v>
      </c>
      <c r="V156" s="927">
        <v>2.1400740290504861E-2</v>
      </c>
      <c r="W156" s="943">
        <v>0</v>
      </c>
      <c r="X156" s="934">
        <v>0</v>
      </c>
      <c r="Y156" s="225">
        <v>0</v>
      </c>
      <c r="Z156" s="225">
        <v>0</v>
      </c>
      <c r="AA156" s="225">
        <v>0</v>
      </c>
      <c r="AB156" s="225">
        <v>0</v>
      </c>
      <c r="AC156" s="225">
        <v>0</v>
      </c>
      <c r="AD156" s="225">
        <v>0</v>
      </c>
      <c r="AE156" s="225">
        <v>0</v>
      </c>
      <c r="AF156" s="226">
        <v>0</v>
      </c>
    </row>
    <row r="157" spans="2:32">
      <c r="B157" s="173" t="s">
        <v>268</v>
      </c>
      <c r="C157" s="569">
        <f>IF(Vehi_Inputs!$B$14=2,W157,M157)</f>
        <v>0</v>
      </c>
      <c r="D157" s="552">
        <f>IF(Vehi_Inputs!$B$14=2,X157,N157)</f>
        <v>0</v>
      </c>
      <c r="E157" s="151">
        <f>IF(Vehi_Inputs!$B$14=2,Y157,O157)</f>
        <v>0</v>
      </c>
      <c r="F157" s="151">
        <f>IF(Vehi_Inputs!$B$14=2,Z157,P157)</f>
        <v>0</v>
      </c>
      <c r="G157" s="151">
        <f>IF(Vehi_Inputs!$B$14=2,AA157,Q157)</f>
        <v>0</v>
      </c>
      <c r="H157" s="151">
        <f>IF(Vehi_Inputs!$B$14=2,AB157,R157)</f>
        <v>0</v>
      </c>
      <c r="I157" s="151">
        <f>IF(Vehi_Inputs!$B$14=2,AC157,S157)</f>
        <v>0</v>
      </c>
      <c r="J157" s="151">
        <f>IF(Vehi_Inputs!$B$14=2,AD157,T157)</f>
        <v>0</v>
      </c>
      <c r="K157" s="151">
        <f>IF(Vehi_Inputs!$B$14=2,AE157,U157)</f>
        <v>2.565086908263094E-2</v>
      </c>
      <c r="L157" s="152">
        <f>IF(Vehi_Inputs!$B$14=2,AF157,V157)</f>
        <v>2.565086908263094E-2</v>
      </c>
      <c r="M157" s="1477">
        <v>0</v>
      </c>
      <c r="N157" s="221">
        <v>0</v>
      </c>
      <c r="O157" s="225">
        <v>0</v>
      </c>
      <c r="P157" s="225">
        <v>0</v>
      </c>
      <c r="Q157" s="225">
        <v>0</v>
      </c>
      <c r="R157" s="225">
        <v>0</v>
      </c>
      <c r="S157" s="225">
        <v>0</v>
      </c>
      <c r="T157" s="225">
        <v>0</v>
      </c>
      <c r="U157" s="944">
        <v>2.565086908263094E-2</v>
      </c>
      <c r="V157" s="927">
        <v>2.565086908263094E-2</v>
      </c>
      <c r="W157" s="943">
        <v>0</v>
      </c>
      <c r="X157" s="934">
        <v>0</v>
      </c>
      <c r="Y157" s="225">
        <v>0</v>
      </c>
      <c r="Z157" s="225">
        <v>0</v>
      </c>
      <c r="AA157" s="225">
        <v>0</v>
      </c>
      <c r="AB157" s="225">
        <v>0</v>
      </c>
      <c r="AC157" s="225">
        <v>0</v>
      </c>
      <c r="AD157" s="225">
        <v>0</v>
      </c>
      <c r="AE157" s="225">
        <v>0</v>
      </c>
      <c r="AF157" s="226">
        <v>0</v>
      </c>
    </row>
    <row r="158" spans="2:32">
      <c r="B158" s="173" t="s">
        <v>269</v>
      </c>
      <c r="C158" s="569">
        <f>IF(Vehi_Inputs!$B$14=2,W158,M158)</f>
        <v>0</v>
      </c>
      <c r="D158" s="552">
        <f>IF(Vehi_Inputs!$B$14=2,X158,N158)</f>
        <v>0</v>
      </c>
      <c r="E158" s="151">
        <f>IF(Vehi_Inputs!$B$14=2,Y158,O158)</f>
        <v>0</v>
      </c>
      <c r="F158" s="151">
        <f>IF(Vehi_Inputs!$B$14=2,Z158,P158)</f>
        <v>0</v>
      </c>
      <c r="G158" s="151">
        <f>IF(Vehi_Inputs!$B$14=2,AA158,Q158)</f>
        <v>0</v>
      </c>
      <c r="H158" s="151">
        <f>IF(Vehi_Inputs!$B$14=2,AB158,R158)</f>
        <v>0</v>
      </c>
      <c r="I158" s="151">
        <f>IF(Vehi_Inputs!$B$14=2,AC158,S158)</f>
        <v>0</v>
      </c>
      <c r="J158" s="151">
        <f>IF(Vehi_Inputs!$B$14=2,AD158,T158)</f>
        <v>0</v>
      </c>
      <c r="K158" s="151">
        <f>IF(Vehi_Inputs!$B$14=2,AE158,U158)</f>
        <v>0</v>
      </c>
      <c r="L158" s="152">
        <f>IF(Vehi_Inputs!$B$14=2,AF158,V158)</f>
        <v>0</v>
      </c>
      <c r="M158" s="1477">
        <v>0</v>
      </c>
      <c r="N158" s="221">
        <v>0</v>
      </c>
      <c r="O158" s="225">
        <v>0</v>
      </c>
      <c r="P158" s="225">
        <v>0</v>
      </c>
      <c r="Q158" s="225">
        <v>0</v>
      </c>
      <c r="R158" s="225">
        <v>0</v>
      </c>
      <c r="S158" s="225">
        <v>0</v>
      </c>
      <c r="T158" s="225">
        <v>0</v>
      </c>
      <c r="U158" s="944"/>
      <c r="V158" s="927"/>
      <c r="W158" s="943">
        <v>0</v>
      </c>
      <c r="X158" s="934">
        <v>0</v>
      </c>
      <c r="Y158" s="225">
        <v>0</v>
      </c>
      <c r="Z158" s="225">
        <v>0</v>
      </c>
      <c r="AA158" s="225">
        <v>0</v>
      </c>
      <c r="AB158" s="225">
        <v>0</v>
      </c>
      <c r="AC158" s="225">
        <v>0</v>
      </c>
      <c r="AD158" s="225">
        <v>0</v>
      </c>
      <c r="AE158" s="225">
        <v>0</v>
      </c>
      <c r="AF158" s="226">
        <v>0</v>
      </c>
    </row>
    <row r="159" spans="2:32">
      <c r="B159" s="173" t="s">
        <v>270</v>
      </c>
      <c r="C159" s="569">
        <f>IF(Vehi_Inputs!$B$14=2,W159,M159)</f>
        <v>2.0000000000000002E-5</v>
      </c>
      <c r="D159" s="552">
        <f>IF(Vehi_Inputs!$B$14=2,X159,N159)</f>
        <v>3.0000000000000001E-5</v>
      </c>
      <c r="E159" s="151">
        <f>IF(Vehi_Inputs!$B$14=2,Y159,O159)</f>
        <v>2.0000000000000002E-5</v>
      </c>
      <c r="F159" s="151">
        <f>IF(Vehi_Inputs!$B$14=2,Z159,P159)</f>
        <v>3.0000000000000001E-5</v>
      </c>
      <c r="G159" s="151">
        <f>IF(Vehi_Inputs!$B$14=2,AA159,Q159)</f>
        <v>2.0000000000000002E-5</v>
      </c>
      <c r="H159" s="151">
        <f>IF(Vehi_Inputs!$B$14=2,AB159,R159)</f>
        <v>2.0000000000000002E-5</v>
      </c>
      <c r="I159" s="151">
        <f>IF(Vehi_Inputs!$B$14=2,AC159,S159)</f>
        <v>0</v>
      </c>
      <c r="J159" s="151">
        <f>IF(Vehi_Inputs!$B$14=2,AD159,T159)</f>
        <v>0</v>
      </c>
      <c r="K159" s="151">
        <f>IF(Vehi_Inputs!$B$14=2,AE159,U159)</f>
        <v>1.7668053030533081E-4</v>
      </c>
      <c r="L159" s="152">
        <f>IF(Vehi_Inputs!$B$14=2,AF159,V159)</f>
        <v>1.7668053030533081E-4</v>
      </c>
      <c r="M159" s="1477">
        <v>2.0000000000000002E-5</v>
      </c>
      <c r="N159" s="221">
        <v>3.0000000000000001E-5</v>
      </c>
      <c r="O159" s="225">
        <v>2.0000000000000002E-5</v>
      </c>
      <c r="P159" s="225">
        <v>3.0000000000000001E-5</v>
      </c>
      <c r="Q159" s="225">
        <v>2.0000000000000002E-5</v>
      </c>
      <c r="R159" s="225">
        <v>2.0000000000000002E-5</v>
      </c>
      <c r="S159" s="225">
        <v>0</v>
      </c>
      <c r="T159" s="225">
        <v>0</v>
      </c>
      <c r="U159" s="944">
        <v>1.7668053030533081E-4</v>
      </c>
      <c r="V159" s="927">
        <v>1.7668053030533081E-4</v>
      </c>
      <c r="W159" s="943">
        <v>3.0977039902439024E-5</v>
      </c>
      <c r="X159" s="934">
        <v>3.5927599144964541E-5</v>
      </c>
      <c r="Y159" s="225">
        <v>0</v>
      </c>
      <c r="Z159" s="225">
        <v>0</v>
      </c>
      <c r="AA159" s="225">
        <v>0</v>
      </c>
      <c r="AB159" s="225">
        <v>0</v>
      </c>
      <c r="AC159" s="225">
        <v>0</v>
      </c>
      <c r="AD159" s="225">
        <v>0</v>
      </c>
      <c r="AE159" s="225">
        <v>0</v>
      </c>
      <c r="AF159" s="226">
        <v>0</v>
      </c>
    </row>
    <row r="160" spans="2:32">
      <c r="B160" s="490" t="s">
        <v>271</v>
      </c>
      <c r="C160" s="569">
        <f>IF(Vehi_Inputs!$B$14=2,W160,M160)</f>
        <v>0</v>
      </c>
      <c r="D160" s="552">
        <f>IF(Vehi_Inputs!$B$14=2,X160,N160)</f>
        <v>0</v>
      </c>
      <c r="E160" s="151">
        <f>IF(Vehi_Inputs!$B$14=2,Y160,O160)</f>
        <v>0</v>
      </c>
      <c r="F160" s="151">
        <f>IF(Vehi_Inputs!$B$14=2,Z160,P160)</f>
        <v>0</v>
      </c>
      <c r="G160" s="151">
        <f>IF(Vehi_Inputs!$B$14=2,AA160,Q160)</f>
        <v>0</v>
      </c>
      <c r="H160" s="151">
        <f>IF(Vehi_Inputs!$B$14=2,AB160,R160)</f>
        <v>0</v>
      </c>
      <c r="I160" s="151">
        <f>IF(Vehi_Inputs!$B$14=2,AC160,S160)</f>
        <v>0</v>
      </c>
      <c r="J160" s="151">
        <f>IF(Vehi_Inputs!$B$14=2,AD160,T160)</f>
        <v>0</v>
      </c>
      <c r="K160" s="151">
        <f>IF(Vehi_Inputs!$B$14=2,AE160,U160)</f>
        <v>2.7278836091788705E-3</v>
      </c>
      <c r="L160" s="152">
        <f>IF(Vehi_Inputs!$B$14=2,AF160,V160)</f>
        <v>2.7278836091788705E-3</v>
      </c>
      <c r="M160" s="1477"/>
      <c r="N160" s="221"/>
      <c r="O160" s="225"/>
      <c r="P160" s="225"/>
      <c r="Q160" s="225"/>
      <c r="R160" s="225"/>
      <c r="S160" s="225"/>
      <c r="T160" s="225"/>
      <c r="U160" s="944">
        <v>2.7278836091788705E-3</v>
      </c>
      <c r="V160" s="927">
        <v>2.7278836091788705E-3</v>
      </c>
      <c r="W160" s="943"/>
      <c r="X160" s="934"/>
      <c r="Y160" s="225"/>
      <c r="Z160" s="225"/>
      <c r="AA160" s="225"/>
      <c r="AB160" s="225"/>
      <c r="AC160" s="225"/>
      <c r="AD160" s="225"/>
      <c r="AE160" s="225"/>
      <c r="AF160" s="226"/>
    </row>
    <row r="161" spans="2:32">
      <c r="B161" s="490" t="s">
        <v>272</v>
      </c>
      <c r="C161" s="569">
        <f>IF(Vehi_Inputs!$B$14=2,W161,M161)</f>
        <v>0</v>
      </c>
      <c r="D161" s="552">
        <f>IF(Vehi_Inputs!$B$14=2,X161,N161)</f>
        <v>0</v>
      </c>
      <c r="E161" s="151">
        <f>IF(Vehi_Inputs!$B$14=2,Y161,O161)</f>
        <v>0</v>
      </c>
      <c r="F161" s="151">
        <f>IF(Vehi_Inputs!$B$14=2,Z161,P161)</f>
        <v>0</v>
      </c>
      <c r="G161" s="151">
        <f>IF(Vehi_Inputs!$B$14=2,AA161,Q161)</f>
        <v>0</v>
      </c>
      <c r="H161" s="151">
        <f>IF(Vehi_Inputs!$B$14=2,AB161,R161)</f>
        <v>0</v>
      </c>
      <c r="I161" s="151">
        <f>IF(Vehi_Inputs!$B$14=2,AC161,S161)</f>
        <v>0</v>
      </c>
      <c r="J161" s="151">
        <f>IF(Vehi_Inputs!$B$14=2,AD161,T161)</f>
        <v>0</v>
      </c>
      <c r="K161" s="151">
        <f>IF(Vehi_Inputs!$B$14=2,AE161,U161)</f>
        <v>1.912608023438235E-5</v>
      </c>
      <c r="L161" s="152">
        <f>IF(Vehi_Inputs!$B$14=2,AF161,V161)</f>
        <v>1.912608023438235E-5</v>
      </c>
      <c r="M161" s="554"/>
      <c r="N161" s="221"/>
      <c r="O161" s="225"/>
      <c r="P161" s="225"/>
      <c r="Q161" s="225"/>
      <c r="R161" s="225"/>
      <c r="S161" s="225"/>
      <c r="T161" s="225"/>
      <c r="U161" s="929">
        <v>1.912608023438235E-5</v>
      </c>
      <c r="V161" s="929">
        <v>1.912608023438235E-5</v>
      </c>
      <c r="W161" s="943"/>
      <c r="X161" s="934"/>
      <c r="Y161" s="225"/>
      <c r="Z161" s="225"/>
      <c r="AA161" s="225"/>
      <c r="AB161" s="225"/>
      <c r="AC161" s="225"/>
      <c r="AD161" s="225"/>
      <c r="AE161" s="225"/>
      <c r="AF161" s="226"/>
    </row>
    <row r="162" spans="2:32">
      <c r="B162" s="160" t="s">
        <v>273</v>
      </c>
      <c r="C162" s="569">
        <f>IF(Vehi_Inputs!$B$14=2,W162,M162)</f>
        <v>0</v>
      </c>
      <c r="D162" s="552">
        <f>IF(Vehi_Inputs!$B$14=2,X162,N162)</f>
        <v>0</v>
      </c>
      <c r="E162" s="151">
        <f>IF(Vehi_Inputs!$B$14=2,Y162,O162)</f>
        <v>0</v>
      </c>
      <c r="F162" s="151">
        <f>IF(Vehi_Inputs!$B$14=2,Z162,P162)</f>
        <v>0</v>
      </c>
      <c r="G162" s="151">
        <f>IF(Vehi_Inputs!$B$14=2,AA162,Q162)</f>
        <v>0</v>
      </c>
      <c r="H162" s="151">
        <f>IF(Vehi_Inputs!$B$14=2,AB162,R162)</f>
        <v>0</v>
      </c>
      <c r="I162" s="151">
        <f>IF(Vehi_Inputs!$B$14=2,AC162,S162)</f>
        <v>0</v>
      </c>
      <c r="J162" s="151">
        <f>IF(Vehi_Inputs!$B$14=2,AD162,T162)</f>
        <v>0</v>
      </c>
      <c r="K162" s="151">
        <f>IF(Vehi_Inputs!$B$14=2,AE162,U162)</f>
        <v>5.4030878587086771E-4</v>
      </c>
      <c r="L162" s="152">
        <f>IF(Vehi_Inputs!$B$14=2,AF162,V162)</f>
        <v>5.4030878587086771E-4</v>
      </c>
      <c r="M162" s="554"/>
      <c r="N162" s="221"/>
      <c r="O162" s="225"/>
      <c r="P162" s="225"/>
      <c r="Q162" s="225"/>
      <c r="R162" s="225"/>
      <c r="S162" s="225"/>
      <c r="T162" s="225"/>
      <c r="U162" s="944">
        <v>5.4030878587086771E-4</v>
      </c>
      <c r="V162" s="927">
        <v>5.4030878587086771E-4</v>
      </c>
      <c r="W162" s="943"/>
      <c r="X162" s="934"/>
      <c r="Y162" s="225"/>
      <c r="Z162" s="225"/>
      <c r="AA162" s="225"/>
      <c r="AB162" s="225"/>
      <c r="AC162" s="225"/>
      <c r="AD162" s="225"/>
      <c r="AE162" s="225"/>
      <c r="AF162" s="226"/>
    </row>
    <row r="163" spans="2:32">
      <c r="B163" s="160" t="s">
        <v>262</v>
      </c>
      <c r="C163" s="151">
        <f t="shared" ref="C163:K163" si="6">1-SUM(C144:C162)</f>
        <v>9.3105881034638571E-4</v>
      </c>
      <c r="D163" s="151">
        <f t="shared" si="6"/>
        <v>-2.9999999999974492E-5</v>
      </c>
      <c r="E163" s="151">
        <f t="shared" si="6"/>
        <v>-1.9999999999908979E-5</v>
      </c>
      <c r="F163" s="151">
        <f t="shared" si="6"/>
        <v>-2.9999999999974492E-5</v>
      </c>
      <c r="G163" s="151">
        <f t="shared" si="6"/>
        <v>-1.9999999999908979E-5</v>
      </c>
      <c r="H163" s="151">
        <f t="shared" si="6"/>
        <v>-1.9999999999908979E-5</v>
      </c>
      <c r="I163" s="151">
        <f t="shared" si="6"/>
        <v>0</v>
      </c>
      <c r="J163" s="151">
        <f t="shared" si="6"/>
        <v>0</v>
      </c>
      <c r="K163" s="151">
        <f t="shared" si="6"/>
        <v>0</v>
      </c>
      <c r="L163" s="151">
        <f>1-SUM(L144:L162)</f>
        <v>0</v>
      </c>
      <c r="M163" s="580">
        <f>1-SUM(M144:M162)</f>
        <v>9.3105881034638571E-4</v>
      </c>
      <c r="N163" s="153">
        <f t="shared" ref="N163:V163" si="7">1-SUM(N144:N162)</f>
        <v>-2.9999999999974492E-5</v>
      </c>
      <c r="O163" s="153">
        <f t="shared" si="7"/>
        <v>-1.9999999999908979E-5</v>
      </c>
      <c r="P163" s="153">
        <f t="shared" si="7"/>
        <v>-2.9999999999974492E-5</v>
      </c>
      <c r="Q163" s="153">
        <f t="shared" si="7"/>
        <v>-1.9999999999908979E-5</v>
      </c>
      <c r="R163" s="153">
        <f t="shared" si="7"/>
        <v>-1.9999999999908979E-5</v>
      </c>
      <c r="S163" s="153">
        <f t="shared" si="7"/>
        <v>0</v>
      </c>
      <c r="T163" s="153">
        <f t="shared" si="7"/>
        <v>0</v>
      </c>
      <c r="U163" s="945">
        <f t="shared" si="7"/>
        <v>0</v>
      </c>
      <c r="V163" s="151">
        <f t="shared" si="7"/>
        <v>0</v>
      </c>
      <c r="W163" s="232">
        <f>1-SUM(W144:W159)</f>
        <v>0</v>
      </c>
      <c r="X163" s="127">
        <f>1-SUM(X144:X159)</f>
        <v>0</v>
      </c>
      <c r="Y163" s="127">
        <f t="shared" ref="Y163:AF163" si="8">1-SUM(Y144:Y159)</f>
        <v>1</v>
      </c>
      <c r="Z163" s="127">
        <f t="shared" si="8"/>
        <v>1</v>
      </c>
      <c r="AA163" s="127">
        <f t="shared" si="8"/>
        <v>1</v>
      </c>
      <c r="AB163" s="127">
        <f t="shared" si="8"/>
        <v>1</v>
      </c>
      <c r="AC163" s="127">
        <f t="shared" si="8"/>
        <v>1</v>
      </c>
      <c r="AD163" s="127">
        <f t="shared" si="8"/>
        <v>1</v>
      </c>
      <c r="AE163" s="127">
        <f t="shared" si="8"/>
        <v>1</v>
      </c>
      <c r="AF163" s="128">
        <f t="shared" si="8"/>
        <v>1</v>
      </c>
    </row>
    <row r="164" spans="2:32">
      <c r="B164" s="178" t="s">
        <v>274</v>
      </c>
      <c r="C164" s="556"/>
      <c r="D164" s="179"/>
      <c r="E164" s="179"/>
      <c r="F164" s="179"/>
      <c r="G164" s="179"/>
      <c r="H164" s="179"/>
      <c r="I164" s="179"/>
      <c r="J164" s="179"/>
      <c r="K164" s="179"/>
      <c r="L164" s="180"/>
      <c r="M164" s="556"/>
      <c r="N164" s="179"/>
      <c r="O164" s="179"/>
      <c r="P164" s="179"/>
      <c r="Q164" s="179"/>
      <c r="R164" s="179"/>
      <c r="S164" s="179"/>
      <c r="T164" s="179"/>
      <c r="U164" s="179"/>
      <c r="V164" s="180"/>
      <c r="W164" s="556"/>
      <c r="X164" s="179"/>
      <c r="Y164" s="179"/>
      <c r="Z164" s="179"/>
      <c r="AA164" s="179"/>
      <c r="AB164" s="179"/>
      <c r="AC164" s="179"/>
      <c r="AD164" s="179"/>
      <c r="AE164" s="179"/>
      <c r="AF164" s="180"/>
    </row>
    <row r="165" spans="2:32">
      <c r="B165" s="173" t="s">
        <v>251</v>
      </c>
      <c r="C165" s="569">
        <f>IF(Vehi_Inputs!$B$14=2,W165,M165)</f>
        <v>0.3</v>
      </c>
      <c r="D165" s="552">
        <f>IF(Vehi_Inputs!$B$14=2,X165,N165)</f>
        <v>0.3</v>
      </c>
      <c r="E165" s="151">
        <f>IF(Vehi_Inputs!$B$14=2,Y165,O165)</f>
        <v>0.60499999999999998</v>
      </c>
      <c r="F165" s="151">
        <f>IF(Vehi_Inputs!$B$14=2,Z165,P165)</f>
        <v>0.60499999999999998</v>
      </c>
      <c r="G165" s="151">
        <f>IF(Vehi_Inputs!$B$14=2,AA165,Q165)</f>
        <v>0.60499999999999998</v>
      </c>
      <c r="H165" s="151">
        <f>IF(Vehi_Inputs!$B$14=2,AB165,R165)</f>
        <v>0.60499999999999998</v>
      </c>
      <c r="I165" s="151">
        <f>IF(Vehi_Inputs!$B$14=2,AC165,S165)</f>
        <v>0.60499999999999998</v>
      </c>
      <c r="J165" s="151">
        <f>IF(Vehi_Inputs!$B$14=2,AD165,T165)</f>
        <v>0.60499999999999998</v>
      </c>
      <c r="K165" s="151">
        <f>IF(Vehi_Inputs!$B$14=2,AE165,U165)</f>
        <v>0.60499999999999998</v>
      </c>
      <c r="L165" s="152">
        <f>IF(Vehi_Inputs!$B$14=2,AF165,V165)</f>
        <v>0.60499999999999998</v>
      </c>
      <c r="M165" s="554">
        <v>0.3</v>
      </c>
      <c r="N165" s="221">
        <v>0.3</v>
      </c>
      <c r="O165" s="225">
        <v>0.60499999999999998</v>
      </c>
      <c r="P165" s="225">
        <v>0.60499999999999998</v>
      </c>
      <c r="Q165" s="225">
        <v>0.60499999999999998</v>
      </c>
      <c r="R165" s="225">
        <v>0.60499999999999998</v>
      </c>
      <c r="S165" s="225">
        <v>0.60499999999999998</v>
      </c>
      <c r="T165" s="225">
        <v>0.60499999999999998</v>
      </c>
      <c r="U165" s="225">
        <v>0.60499999999999998</v>
      </c>
      <c r="V165" s="226">
        <v>0.60499999999999998</v>
      </c>
      <c r="W165" s="943">
        <v>0.64797097957694594</v>
      </c>
      <c r="X165" s="934">
        <v>0.55736337804797464</v>
      </c>
      <c r="Y165" s="225">
        <v>0</v>
      </c>
      <c r="Z165" s="225">
        <v>0</v>
      </c>
      <c r="AA165" s="225">
        <v>0</v>
      </c>
      <c r="AB165" s="225">
        <v>0</v>
      </c>
      <c r="AC165" s="225">
        <v>0</v>
      </c>
      <c r="AD165" s="225">
        <v>0</v>
      </c>
      <c r="AE165" s="225">
        <v>0</v>
      </c>
      <c r="AF165" s="226">
        <v>0</v>
      </c>
    </row>
    <row r="166" spans="2:32">
      <c r="B166" s="173" t="s">
        <v>275</v>
      </c>
      <c r="C166" s="569">
        <f>IF(Vehi_Inputs!$B$14=2,W166,M166)</f>
        <v>0</v>
      </c>
      <c r="D166" s="552">
        <f>IF(Vehi_Inputs!$B$14=2,X166,N166)</f>
        <v>0</v>
      </c>
      <c r="E166" s="151">
        <f>IF(Vehi_Inputs!$B$14=2,Y166,O166)</f>
        <v>0.189</v>
      </c>
      <c r="F166" s="151">
        <f>IF(Vehi_Inputs!$B$14=2,Z166,P166)</f>
        <v>0.189</v>
      </c>
      <c r="G166" s="151">
        <f>IF(Vehi_Inputs!$B$14=2,AA166,Q166)</f>
        <v>0.189</v>
      </c>
      <c r="H166" s="151">
        <f>IF(Vehi_Inputs!$B$14=2,AB166,R166)</f>
        <v>0.189</v>
      </c>
      <c r="I166" s="151">
        <f>IF(Vehi_Inputs!$B$14=2,AC166,S166)</f>
        <v>0.189</v>
      </c>
      <c r="J166" s="151">
        <f>IF(Vehi_Inputs!$B$14=2,AD166,T166)</f>
        <v>0.189</v>
      </c>
      <c r="K166" s="151">
        <f>IF(Vehi_Inputs!$B$14=2,AE166,U166)</f>
        <v>0.189</v>
      </c>
      <c r="L166" s="152">
        <f>IF(Vehi_Inputs!$B$14=2,AF166,V166)</f>
        <v>0.189</v>
      </c>
      <c r="M166" s="554">
        <v>0</v>
      </c>
      <c r="N166" s="221">
        <v>0</v>
      </c>
      <c r="O166" s="225">
        <v>0.189</v>
      </c>
      <c r="P166" s="225">
        <v>0.189</v>
      </c>
      <c r="Q166" s="225">
        <v>0.189</v>
      </c>
      <c r="R166" s="225">
        <v>0.189</v>
      </c>
      <c r="S166" s="225">
        <v>0.189</v>
      </c>
      <c r="T166" s="225">
        <v>0.189</v>
      </c>
      <c r="U166" s="225">
        <v>0.189</v>
      </c>
      <c r="V166" s="226">
        <v>0.189</v>
      </c>
      <c r="W166" s="943">
        <v>1.9234634525768016E-2</v>
      </c>
      <c r="X166" s="934">
        <v>2.6378963665027236E-2</v>
      </c>
      <c r="Y166" s="225">
        <v>0</v>
      </c>
      <c r="Z166" s="225">
        <v>0</v>
      </c>
      <c r="AA166" s="225">
        <v>0</v>
      </c>
      <c r="AB166" s="225">
        <v>0</v>
      </c>
      <c r="AC166" s="225">
        <v>0</v>
      </c>
      <c r="AD166" s="225">
        <v>0</v>
      </c>
      <c r="AE166" s="225">
        <v>0</v>
      </c>
      <c r="AF166" s="226">
        <v>0</v>
      </c>
    </row>
    <row r="167" spans="2:32">
      <c r="B167" s="173" t="s">
        <v>276</v>
      </c>
      <c r="C167" s="569">
        <f>IF(Vehi_Inputs!$B$14=2,W167,M167)</f>
        <v>0.3</v>
      </c>
      <c r="D167" s="552">
        <f>IF(Vehi_Inputs!$B$14=2,X167,N167)</f>
        <v>0</v>
      </c>
      <c r="E167" s="151">
        <f>IF(Vehi_Inputs!$B$14=2,Y167,O167)</f>
        <v>0</v>
      </c>
      <c r="F167" s="151">
        <f>IF(Vehi_Inputs!$B$14=2,Z167,P167)</f>
        <v>0</v>
      </c>
      <c r="G167" s="151">
        <f>IF(Vehi_Inputs!$B$14=2,AA167,Q167)</f>
        <v>0</v>
      </c>
      <c r="H167" s="151">
        <f>IF(Vehi_Inputs!$B$14=2,AB167,R167)</f>
        <v>0</v>
      </c>
      <c r="I167" s="151">
        <f>IF(Vehi_Inputs!$B$14=2,AC167,S167)</f>
        <v>0</v>
      </c>
      <c r="J167" s="151">
        <f>IF(Vehi_Inputs!$B$14=2,AD167,T167)</f>
        <v>0</v>
      </c>
      <c r="K167" s="151">
        <f>IF(Vehi_Inputs!$B$14=2,AE167,U167)</f>
        <v>0</v>
      </c>
      <c r="L167" s="152">
        <f>IF(Vehi_Inputs!$B$14=2,AF167,V167)</f>
        <v>0</v>
      </c>
      <c r="M167" s="554">
        <v>0.3</v>
      </c>
      <c r="N167" s="221">
        <v>0</v>
      </c>
      <c r="O167" s="225">
        <v>0</v>
      </c>
      <c r="P167" s="225">
        <v>0</v>
      </c>
      <c r="Q167" s="225">
        <v>0</v>
      </c>
      <c r="R167" s="225">
        <v>0</v>
      </c>
      <c r="S167" s="225">
        <v>0</v>
      </c>
      <c r="T167" s="225">
        <v>0</v>
      </c>
      <c r="U167" s="225">
        <v>0</v>
      </c>
      <c r="V167" s="226">
        <v>0</v>
      </c>
      <c r="W167" s="943">
        <v>3.1560673747392902E-2</v>
      </c>
      <c r="X167" s="934">
        <v>0</v>
      </c>
      <c r="Y167" s="225">
        <v>0</v>
      </c>
      <c r="Z167" s="225">
        <v>0</v>
      </c>
      <c r="AA167" s="225">
        <v>0</v>
      </c>
      <c r="AB167" s="225">
        <v>0</v>
      </c>
      <c r="AC167" s="225">
        <v>0</v>
      </c>
      <c r="AD167" s="225">
        <v>0</v>
      </c>
      <c r="AE167" s="225">
        <v>0</v>
      </c>
      <c r="AF167" s="226">
        <v>0</v>
      </c>
    </row>
    <row r="168" spans="2:32">
      <c r="B168" s="173" t="s">
        <v>256</v>
      </c>
      <c r="C168" s="569">
        <f>IF(Vehi_Inputs!$B$14=2,W168,M168)</f>
        <v>0</v>
      </c>
      <c r="D168" s="552">
        <f>IF(Vehi_Inputs!$B$14=2,X168,N168)</f>
        <v>0</v>
      </c>
      <c r="E168" s="151">
        <f>IF(Vehi_Inputs!$B$14=2,Y168,O168)</f>
        <v>0</v>
      </c>
      <c r="F168" s="151">
        <f>IF(Vehi_Inputs!$B$14=2,Z168,P168)</f>
        <v>0</v>
      </c>
      <c r="G168" s="151">
        <f>IF(Vehi_Inputs!$B$14=2,AA168,Q168)</f>
        <v>0</v>
      </c>
      <c r="H168" s="151">
        <f>IF(Vehi_Inputs!$B$14=2,AB168,R168)</f>
        <v>0</v>
      </c>
      <c r="I168" s="151">
        <f>IF(Vehi_Inputs!$B$14=2,AC168,S168)</f>
        <v>0</v>
      </c>
      <c r="J168" s="151">
        <f>IF(Vehi_Inputs!$B$14=2,AD168,T168)</f>
        <v>0</v>
      </c>
      <c r="K168" s="151">
        <f>IF(Vehi_Inputs!$B$14=2,AE168,U168)</f>
        <v>0</v>
      </c>
      <c r="L168" s="152">
        <f>IF(Vehi_Inputs!$B$14=2,AF168,V168)</f>
        <v>0</v>
      </c>
      <c r="M168" s="555">
        <v>0</v>
      </c>
      <c r="N168" s="225">
        <v>0</v>
      </c>
      <c r="O168" s="225">
        <v>0</v>
      </c>
      <c r="P168" s="225">
        <v>0</v>
      </c>
      <c r="Q168" s="225">
        <v>0</v>
      </c>
      <c r="R168" s="225">
        <v>0</v>
      </c>
      <c r="S168" s="225">
        <v>0</v>
      </c>
      <c r="T168" s="225">
        <v>0</v>
      </c>
      <c r="U168" s="225">
        <v>0</v>
      </c>
      <c r="V168" s="226">
        <v>0</v>
      </c>
      <c r="W168" s="928">
        <v>0</v>
      </c>
      <c r="X168" s="927">
        <v>0.23973605460158032</v>
      </c>
      <c r="Y168" s="225">
        <v>0</v>
      </c>
      <c r="Z168" s="225">
        <v>0</v>
      </c>
      <c r="AA168" s="225">
        <v>0</v>
      </c>
      <c r="AB168" s="225">
        <v>0</v>
      </c>
      <c r="AC168" s="225">
        <v>0</v>
      </c>
      <c r="AD168" s="225">
        <v>0</v>
      </c>
      <c r="AE168" s="225">
        <v>0</v>
      </c>
      <c r="AF168" s="226">
        <v>0</v>
      </c>
    </row>
    <row r="169" spans="2:32">
      <c r="B169" s="173" t="s">
        <v>252</v>
      </c>
      <c r="C169" s="569">
        <f>IF(Vehi_Inputs!$B$14=2,W169,M169)</f>
        <v>0.3</v>
      </c>
      <c r="D169" s="552">
        <f>IF(Vehi_Inputs!$B$14=2,X169,N169)</f>
        <v>0.3</v>
      </c>
      <c r="E169" s="151">
        <f>IF(Vehi_Inputs!$B$14=2,Y169,O169)</f>
        <v>0.2</v>
      </c>
      <c r="F169" s="151">
        <f>IF(Vehi_Inputs!$B$14=2,Z169,P169)</f>
        <v>0.2</v>
      </c>
      <c r="G169" s="151">
        <f>IF(Vehi_Inputs!$B$14=2,AA169,Q169)</f>
        <v>0.2</v>
      </c>
      <c r="H169" s="151">
        <f>IF(Vehi_Inputs!$B$14=2,AB169,R169)</f>
        <v>0.2</v>
      </c>
      <c r="I169" s="151">
        <f>IF(Vehi_Inputs!$B$14=2,AC169,S169)</f>
        <v>0.2</v>
      </c>
      <c r="J169" s="151">
        <f>IF(Vehi_Inputs!$B$14=2,AD169,T169)</f>
        <v>0.2</v>
      </c>
      <c r="K169" s="151">
        <f>IF(Vehi_Inputs!$B$14=2,AE169,U169)</f>
        <v>0.2</v>
      </c>
      <c r="L169" s="152">
        <f>IF(Vehi_Inputs!$B$14=2,AF169,V169)</f>
        <v>0.2</v>
      </c>
      <c r="M169" s="554">
        <v>0.3</v>
      </c>
      <c r="N169" s="221">
        <v>0.3</v>
      </c>
      <c r="O169" s="225">
        <v>0.2</v>
      </c>
      <c r="P169" s="225">
        <v>0.2</v>
      </c>
      <c r="Q169" s="225">
        <v>0.2</v>
      </c>
      <c r="R169" s="225">
        <v>0.2</v>
      </c>
      <c r="S169" s="225">
        <v>0.2</v>
      </c>
      <c r="T169" s="225">
        <v>0.2</v>
      </c>
      <c r="U169" s="225">
        <v>0.2</v>
      </c>
      <c r="V169" s="226">
        <v>0.2</v>
      </c>
      <c r="W169" s="943">
        <v>0</v>
      </c>
      <c r="X169" s="934">
        <v>0</v>
      </c>
      <c r="Y169" s="225">
        <v>0</v>
      </c>
      <c r="Z169" s="225">
        <v>0</v>
      </c>
      <c r="AA169" s="225">
        <v>0</v>
      </c>
      <c r="AB169" s="225">
        <v>0</v>
      </c>
      <c r="AC169" s="225">
        <v>0</v>
      </c>
      <c r="AD169" s="225">
        <v>0</v>
      </c>
      <c r="AE169" s="225">
        <v>0</v>
      </c>
      <c r="AF169" s="226">
        <v>0</v>
      </c>
    </row>
    <row r="170" spans="2:32">
      <c r="B170" s="173" t="s">
        <v>253</v>
      </c>
      <c r="C170" s="569">
        <f>IF(Vehi_Inputs!$B$14=2,W170,M170)</f>
        <v>0</v>
      </c>
      <c r="D170" s="552">
        <f>IF(Vehi_Inputs!$B$14=2,X170,N170)</f>
        <v>0.3</v>
      </c>
      <c r="E170" s="151">
        <f>IF(Vehi_Inputs!$B$14=2,Y170,O170)</f>
        <v>0</v>
      </c>
      <c r="F170" s="151">
        <f>IF(Vehi_Inputs!$B$14=2,Z170,P170)</f>
        <v>0</v>
      </c>
      <c r="G170" s="151">
        <f>IF(Vehi_Inputs!$B$14=2,AA170,Q170)</f>
        <v>0</v>
      </c>
      <c r="H170" s="151">
        <f>IF(Vehi_Inputs!$B$14=2,AB170,R170)</f>
        <v>0</v>
      </c>
      <c r="I170" s="151">
        <f>IF(Vehi_Inputs!$B$14=2,AC170,S170)</f>
        <v>0</v>
      </c>
      <c r="J170" s="151">
        <f>IF(Vehi_Inputs!$B$14=2,AD170,T170)</f>
        <v>0</v>
      </c>
      <c r="K170" s="151">
        <f>IF(Vehi_Inputs!$B$14=2,AE170,U170)</f>
        <v>0</v>
      </c>
      <c r="L170" s="152">
        <f>IF(Vehi_Inputs!$B$14=2,AF170,V170)</f>
        <v>0</v>
      </c>
      <c r="M170" s="554">
        <v>0</v>
      </c>
      <c r="N170" s="221">
        <v>0.3</v>
      </c>
      <c r="O170" s="225">
        <v>0</v>
      </c>
      <c r="P170" s="225">
        <v>0</v>
      </c>
      <c r="Q170" s="225">
        <v>0</v>
      </c>
      <c r="R170" s="225">
        <v>0</v>
      </c>
      <c r="S170" s="225">
        <v>0</v>
      </c>
      <c r="T170" s="225">
        <v>0</v>
      </c>
      <c r="U170" s="225">
        <v>0</v>
      </c>
      <c r="V170" s="226">
        <v>0</v>
      </c>
      <c r="W170" s="943">
        <v>0.25383577579382832</v>
      </c>
      <c r="X170" s="934">
        <v>0.11564225769604741</v>
      </c>
      <c r="Y170" s="225">
        <v>0</v>
      </c>
      <c r="Z170" s="225">
        <v>0</v>
      </c>
      <c r="AA170" s="225">
        <v>0</v>
      </c>
      <c r="AB170" s="225">
        <v>0</v>
      </c>
      <c r="AC170" s="225">
        <v>0</v>
      </c>
      <c r="AD170" s="225">
        <v>0</v>
      </c>
      <c r="AE170" s="225">
        <v>0</v>
      </c>
      <c r="AF170" s="226">
        <v>0</v>
      </c>
    </row>
    <row r="171" spans="2:32">
      <c r="B171" s="173" t="s">
        <v>259</v>
      </c>
      <c r="C171" s="569">
        <f>IF(Vehi_Inputs!$B$14=2,W171,M171)</f>
        <v>0</v>
      </c>
      <c r="D171" s="552">
        <f>IF(Vehi_Inputs!$B$14=2,X171,N171)</f>
        <v>0</v>
      </c>
      <c r="E171" s="151">
        <f>IF(Vehi_Inputs!$B$14=2,Y171,O171)</f>
        <v>0</v>
      </c>
      <c r="F171" s="151">
        <f>IF(Vehi_Inputs!$B$14=2,Z171,P171)</f>
        <v>0</v>
      </c>
      <c r="G171" s="151">
        <f>IF(Vehi_Inputs!$B$14=2,AA171,Q171)</f>
        <v>0</v>
      </c>
      <c r="H171" s="151">
        <f>IF(Vehi_Inputs!$B$14=2,AB171,R171)</f>
        <v>0</v>
      </c>
      <c r="I171" s="151">
        <f>IF(Vehi_Inputs!$B$14=2,AC171,S171)</f>
        <v>0</v>
      </c>
      <c r="J171" s="151">
        <f>IF(Vehi_Inputs!$B$14=2,AD171,T171)</f>
        <v>0</v>
      </c>
      <c r="K171" s="151">
        <f>IF(Vehi_Inputs!$B$14=2,AE171,U171)</f>
        <v>0</v>
      </c>
      <c r="L171" s="152">
        <f>IF(Vehi_Inputs!$B$14=2,AF171,V171)</f>
        <v>0</v>
      </c>
      <c r="M171" s="555">
        <v>0</v>
      </c>
      <c r="N171" s="225">
        <v>0</v>
      </c>
      <c r="O171" s="225">
        <v>0</v>
      </c>
      <c r="P171" s="225">
        <v>0</v>
      </c>
      <c r="Q171" s="225">
        <v>0</v>
      </c>
      <c r="R171" s="225">
        <v>0</v>
      </c>
      <c r="S171" s="225">
        <v>0</v>
      </c>
      <c r="T171" s="225">
        <v>0</v>
      </c>
      <c r="U171" s="225">
        <v>0</v>
      </c>
      <c r="V171" s="226">
        <v>0</v>
      </c>
      <c r="W171" s="928">
        <v>0</v>
      </c>
      <c r="X171" s="927">
        <v>9.1493519366379981E-3</v>
      </c>
      <c r="Y171" s="225">
        <v>0</v>
      </c>
      <c r="Z171" s="225">
        <v>0</v>
      </c>
      <c r="AA171" s="225">
        <v>0</v>
      </c>
      <c r="AB171" s="225">
        <v>0</v>
      </c>
      <c r="AC171" s="225">
        <v>0</v>
      </c>
      <c r="AD171" s="225">
        <v>0</v>
      </c>
      <c r="AE171" s="225">
        <v>0</v>
      </c>
      <c r="AF171" s="226">
        <v>0</v>
      </c>
    </row>
    <row r="172" spans="2:32">
      <c r="B172" s="173" t="s">
        <v>260</v>
      </c>
      <c r="C172" s="569">
        <f>IF(Vehi_Inputs!$B$14=2,W172,M172)</f>
        <v>0.05</v>
      </c>
      <c r="D172" s="552">
        <f>IF(Vehi_Inputs!$B$14=2,X172,N172)</f>
        <v>0.05</v>
      </c>
      <c r="E172" s="151">
        <f>IF(Vehi_Inputs!$B$14=2,Y172,O172)</f>
        <v>2E-3</v>
      </c>
      <c r="F172" s="151">
        <f>IF(Vehi_Inputs!$B$14=2,Z172,P172)</f>
        <v>2E-3</v>
      </c>
      <c r="G172" s="151">
        <f>IF(Vehi_Inputs!$B$14=2,AA172,Q172)</f>
        <v>2E-3</v>
      </c>
      <c r="H172" s="151">
        <f>IF(Vehi_Inputs!$B$14=2,AB172,R172)</f>
        <v>2E-3</v>
      </c>
      <c r="I172" s="151">
        <f>IF(Vehi_Inputs!$B$14=2,AC172,S172)</f>
        <v>2E-3</v>
      </c>
      <c r="J172" s="151">
        <f>IF(Vehi_Inputs!$B$14=2,AD172,T172)</f>
        <v>2E-3</v>
      </c>
      <c r="K172" s="151">
        <f>IF(Vehi_Inputs!$B$14=2,AE172,U172)</f>
        <v>2E-3</v>
      </c>
      <c r="L172" s="152">
        <f>IF(Vehi_Inputs!$B$14=2,AF172,V172)</f>
        <v>2E-3</v>
      </c>
      <c r="M172" s="554">
        <v>0.05</v>
      </c>
      <c r="N172" s="221">
        <v>0.05</v>
      </c>
      <c r="O172" s="225">
        <v>2E-3</v>
      </c>
      <c r="P172" s="225">
        <v>2E-3</v>
      </c>
      <c r="Q172" s="225">
        <v>2E-3</v>
      </c>
      <c r="R172" s="225">
        <v>2E-3</v>
      </c>
      <c r="S172" s="225">
        <v>2E-3</v>
      </c>
      <c r="T172" s="225">
        <v>2E-3</v>
      </c>
      <c r="U172" s="225">
        <v>2E-3</v>
      </c>
      <c r="V172" s="226">
        <v>2E-3</v>
      </c>
      <c r="W172" s="943">
        <v>4.3203328813232647E-2</v>
      </c>
      <c r="X172" s="934">
        <v>4.622848835562772E-2</v>
      </c>
      <c r="Y172" s="225">
        <v>0</v>
      </c>
      <c r="Z172" s="225">
        <v>0</v>
      </c>
      <c r="AA172" s="225">
        <v>0</v>
      </c>
      <c r="AB172" s="225">
        <v>0</v>
      </c>
      <c r="AC172" s="225">
        <v>0</v>
      </c>
      <c r="AD172" s="225">
        <v>0</v>
      </c>
      <c r="AE172" s="225">
        <v>0</v>
      </c>
      <c r="AF172" s="226">
        <v>0</v>
      </c>
    </row>
    <row r="173" spans="2:32">
      <c r="B173" s="173" t="s">
        <v>261</v>
      </c>
      <c r="C173" s="569">
        <f>IF(Vehi_Inputs!$B$14=2,W173,M173)</f>
        <v>0.05</v>
      </c>
      <c r="D173" s="552">
        <f>IF(Vehi_Inputs!$B$14=2,X173,N173)</f>
        <v>0.05</v>
      </c>
      <c r="E173" s="151">
        <f>IF(Vehi_Inputs!$B$14=2,Y173,O173)</f>
        <v>0</v>
      </c>
      <c r="F173" s="151">
        <f>IF(Vehi_Inputs!$B$14=2,Z173,P173)</f>
        <v>0</v>
      </c>
      <c r="G173" s="151">
        <f>IF(Vehi_Inputs!$B$14=2,AA173,Q173)</f>
        <v>0</v>
      </c>
      <c r="H173" s="151">
        <f>IF(Vehi_Inputs!$B$14=2,AB173,R173)</f>
        <v>0</v>
      </c>
      <c r="I173" s="151">
        <f>IF(Vehi_Inputs!$B$14=2,AC173,S173)</f>
        <v>0</v>
      </c>
      <c r="J173" s="151">
        <f>IF(Vehi_Inputs!$B$14=2,AD173,T173)</f>
        <v>0</v>
      </c>
      <c r="K173" s="151">
        <f>IF(Vehi_Inputs!$B$14=2,AE173,U173)</f>
        <v>0</v>
      </c>
      <c r="L173" s="152">
        <f>IF(Vehi_Inputs!$B$14=2,AF173,V173)</f>
        <v>0</v>
      </c>
      <c r="M173" s="554">
        <v>0.05</v>
      </c>
      <c r="N173" s="221">
        <v>0.05</v>
      </c>
      <c r="O173" s="225">
        <v>0</v>
      </c>
      <c r="P173" s="225">
        <v>0</v>
      </c>
      <c r="Q173" s="225">
        <v>0</v>
      </c>
      <c r="R173" s="225">
        <v>0</v>
      </c>
      <c r="S173" s="225">
        <v>0</v>
      </c>
      <c r="T173" s="225">
        <v>0</v>
      </c>
      <c r="U173" s="225">
        <v>0</v>
      </c>
      <c r="V173" s="226">
        <v>0</v>
      </c>
      <c r="W173" s="943">
        <v>4.194607542831969E-3</v>
      </c>
      <c r="X173" s="934">
        <v>4.7311929463518705E-3</v>
      </c>
      <c r="Y173" s="225">
        <v>0</v>
      </c>
      <c r="Z173" s="225">
        <v>0</v>
      </c>
      <c r="AA173" s="225">
        <v>0</v>
      </c>
      <c r="AB173" s="225">
        <v>0</v>
      </c>
      <c r="AC173" s="225">
        <v>0</v>
      </c>
      <c r="AD173" s="225">
        <v>0</v>
      </c>
      <c r="AE173" s="225">
        <v>0</v>
      </c>
      <c r="AF173" s="226">
        <v>0</v>
      </c>
    </row>
    <row r="174" spans="2:32">
      <c r="B174" s="174" t="s">
        <v>262</v>
      </c>
      <c r="C174" s="239">
        <f t="shared" ref="C174:L174" si="9">1-SUM(C165:C173)</f>
        <v>0</v>
      </c>
      <c r="D174" s="129">
        <f t="shared" si="9"/>
        <v>0</v>
      </c>
      <c r="E174" s="129">
        <f t="shared" si="9"/>
        <v>4.0000000000000036E-3</v>
      </c>
      <c r="F174" s="129">
        <f t="shared" si="9"/>
        <v>4.0000000000000036E-3</v>
      </c>
      <c r="G174" s="129">
        <f t="shared" si="9"/>
        <v>4.0000000000000036E-3</v>
      </c>
      <c r="H174" s="129">
        <f t="shared" si="9"/>
        <v>4.0000000000000036E-3</v>
      </c>
      <c r="I174" s="129">
        <f t="shared" si="9"/>
        <v>4.0000000000000036E-3</v>
      </c>
      <c r="J174" s="129">
        <f t="shared" si="9"/>
        <v>4.0000000000000036E-3</v>
      </c>
      <c r="K174" s="129">
        <f t="shared" si="9"/>
        <v>4.0000000000000036E-3</v>
      </c>
      <c r="L174" s="130">
        <f t="shared" si="9"/>
        <v>4.0000000000000036E-3</v>
      </c>
      <c r="M174" s="239">
        <f>1-SUM(M165:M173)</f>
        <v>0</v>
      </c>
      <c r="N174" s="129">
        <f>1-SUM(N165:N173)</f>
        <v>0</v>
      </c>
      <c r="O174" s="129">
        <f t="shared" ref="O174:V174" si="10">1-SUM(O165:O173)</f>
        <v>4.0000000000000036E-3</v>
      </c>
      <c r="P174" s="129">
        <f t="shared" si="10"/>
        <v>4.0000000000000036E-3</v>
      </c>
      <c r="Q174" s="129">
        <f t="shared" si="10"/>
        <v>4.0000000000000036E-3</v>
      </c>
      <c r="R174" s="129">
        <f t="shared" si="10"/>
        <v>4.0000000000000036E-3</v>
      </c>
      <c r="S174" s="129">
        <f t="shared" si="10"/>
        <v>4.0000000000000036E-3</v>
      </c>
      <c r="T174" s="129">
        <f t="shared" si="10"/>
        <v>4.0000000000000036E-3</v>
      </c>
      <c r="U174" s="129">
        <f t="shared" si="10"/>
        <v>4.0000000000000036E-3</v>
      </c>
      <c r="V174" s="130">
        <f t="shared" si="10"/>
        <v>4.0000000000000036E-3</v>
      </c>
      <c r="W174" s="239">
        <f>1-SUM(W165:W173)</f>
        <v>0</v>
      </c>
      <c r="X174" s="129">
        <f>1-SUM(X165:X173)</f>
        <v>7.7031275075278849E-4</v>
      </c>
      <c r="Y174" s="129">
        <f t="shared" ref="Y174:AF174" si="11">1-SUM(Y165:Y173)</f>
        <v>1</v>
      </c>
      <c r="Z174" s="129">
        <f t="shared" si="11"/>
        <v>1</v>
      </c>
      <c r="AA174" s="129">
        <f t="shared" si="11"/>
        <v>1</v>
      </c>
      <c r="AB174" s="129">
        <f t="shared" si="11"/>
        <v>1</v>
      </c>
      <c r="AC174" s="129">
        <f t="shared" si="11"/>
        <v>1</v>
      </c>
      <c r="AD174" s="129">
        <f t="shared" si="11"/>
        <v>1</v>
      </c>
      <c r="AE174" s="129">
        <f t="shared" si="11"/>
        <v>1</v>
      </c>
      <c r="AF174" s="130">
        <f t="shared" si="11"/>
        <v>1</v>
      </c>
    </row>
    <row r="175" spans="2:32">
      <c r="B175" s="177" t="s">
        <v>184</v>
      </c>
      <c r="C175" s="232"/>
      <c r="D175" s="127"/>
      <c r="E175" s="127"/>
      <c r="F175" s="127"/>
      <c r="G175" s="127"/>
      <c r="H175" s="127"/>
      <c r="I175" s="127"/>
      <c r="J175" s="127"/>
      <c r="K175" s="127"/>
      <c r="L175" s="128"/>
      <c r="M175" s="232"/>
      <c r="N175" s="127"/>
      <c r="O175" s="127"/>
      <c r="P175" s="127"/>
      <c r="Q175" s="127"/>
      <c r="R175" s="127"/>
      <c r="S175" s="127"/>
      <c r="T175" s="127"/>
      <c r="U175" s="127"/>
      <c r="V175" s="128"/>
      <c r="W175" s="232"/>
      <c r="X175" s="127"/>
      <c r="Y175" s="127"/>
      <c r="Z175" s="127"/>
      <c r="AA175" s="127"/>
      <c r="AB175" s="127"/>
      <c r="AC175" s="127"/>
      <c r="AD175" s="127"/>
      <c r="AE175" s="127"/>
      <c r="AF175" s="128"/>
    </row>
    <row r="176" spans="2:32">
      <c r="B176" s="173" t="s">
        <v>251</v>
      </c>
      <c r="C176" s="569">
        <f>IF(Vehi_Inputs!$B$14=2,W176,M176)</f>
        <v>0.7617911436562439</v>
      </c>
      <c r="D176" s="552">
        <f>IF(Vehi_Inputs!$B$14=2,X176,N176)</f>
        <v>0.255</v>
      </c>
      <c r="E176" s="151">
        <f>IF(Vehi_Inputs!$B$14=2,Y176,O176)</f>
        <v>0.7617911436562439</v>
      </c>
      <c r="F176" s="151">
        <f>IF(Vehi_Inputs!$B$14=2,Z176,P176)</f>
        <v>0.252</v>
      </c>
      <c r="G176" s="151">
        <f>IF(Vehi_Inputs!$B$14=2,AA176,Q176)</f>
        <v>0.7617911436562439</v>
      </c>
      <c r="H176" s="151">
        <f>IF(Vehi_Inputs!$B$14=2,AB176,R176)</f>
        <v>0.251</v>
      </c>
      <c r="I176" s="151">
        <f>IF(Vehi_Inputs!$B$14=2,AC176,S176)</f>
        <v>0.7617911436562439</v>
      </c>
      <c r="J176" s="151">
        <f>IF(Vehi_Inputs!$B$14=2,AD176,T176)</f>
        <v>0.25</v>
      </c>
      <c r="K176" s="151">
        <f>IF(Vehi_Inputs!$B$14=2,AE176,U176)</f>
        <v>0.7617911436562439</v>
      </c>
      <c r="L176" s="152">
        <f>IF(Vehi_Inputs!$B$14=2,AF176,V176)</f>
        <v>0.251</v>
      </c>
      <c r="M176" s="1479">
        <v>0.7617911436562439</v>
      </c>
      <c r="N176" s="939">
        <v>0.255</v>
      </c>
      <c r="O176" s="1479">
        <v>0.7617911436562439</v>
      </c>
      <c r="P176" s="1058">
        <v>0.252</v>
      </c>
      <c r="Q176" s="1479">
        <v>0.7617911436562439</v>
      </c>
      <c r="R176" s="1058">
        <v>0.251</v>
      </c>
      <c r="S176" s="1479">
        <v>0.7617911436562439</v>
      </c>
      <c r="T176" s="1058">
        <v>0.25</v>
      </c>
      <c r="U176" s="1479">
        <v>0.7617911436562439</v>
      </c>
      <c r="V176" s="1475">
        <v>0.251</v>
      </c>
      <c r="W176" s="943">
        <v>0.68925818173320708</v>
      </c>
      <c r="X176" s="934">
        <v>0.64211371764749192</v>
      </c>
      <c r="Y176" s="225">
        <v>0</v>
      </c>
      <c r="Z176" s="225">
        <v>0</v>
      </c>
      <c r="AA176" s="225">
        <v>0</v>
      </c>
      <c r="AB176" s="225">
        <v>0</v>
      </c>
      <c r="AC176" s="225">
        <v>0</v>
      </c>
      <c r="AD176" s="225">
        <v>0</v>
      </c>
      <c r="AE176" s="225">
        <v>0</v>
      </c>
      <c r="AF176" s="226">
        <v>0</v>
      </c>
    </row>
    <row r="177" spans="2:32">
      <c r="B177" s="173" t="s">
        <v>276</v>
      </c>
      <c r="C177" s="569">
        <f>IF(Vehi_Inputs!$B$14=2,W177,M177)</f>
        <v>2.9981854255275585E-3</v>
      </c>
      <c r="D177" s="552">
        <f>IF(Vehi_Inputs!$B$14=2,X177,N177)</f>
        <v>0.08</v>
      </c>
      <c r="E177" s="151">
        <f>IF(Vehi_Inputs!$B$14=2,Y177,O177)</f>
        <v>2.9981854255275585E-3</v>
      </c>
      <c r="F177" s="151">
        <f>IF(Vehi_Inputs!$B$14=2,Z177,P177)</f>
        <v>8.2000000000000003E-2</v>
      </c>
      <c r="G177" s="151">
        <f>IF(Vehi_Inputs!$B$14=2,AA177,Q177)</f>
        <v>2.9981854255275585E-3</v>
      </c>
      <c r="H177" s="151">
        <f>IF(Vehi_Inputs!$B$14=2,AB177,R177)</f>
        <v>8.5000000000000006E-2</v>
      </c>
      <c r="I177" s="151">
        <f>IF(Vehi_Inputs!$B$14=2,AC177,S177)</f>
        <v>2.9981854255275585E-3</v>
      </c>
      <c r="J177" s="151">
        <f>IF(Vehi_Inputs!$B$14=2,AD177,T177)</f>
        <v>9.0999999999999998E-2</v>
      </c>
      <c r="K177" s="151">
        <f>IF(Vehi_Inputs!$B$14=2,AE177,U177)</f>
        <v>2.9981854255275585E-3</v>
      </c>
      <c r="L177" s="152">
        <f>IF(Vehi_Inputs!$B$14=2,AF177,V177)</f>
        <v>8.5999999999999993E-2</v>
      </c>
      <c r="M177" s="1477">
        <v>2.9981854255275585E-3</v>
      </c>
      <c r="N177" s="939">
        <v>0.08</v>
      </c>
      <c r="O177" s="1058">
        <v>2.9981854255275585E-3</v>
      </c>
      <c r="P177" s="1058">
        <v>8.2000000000000003E-2</v>
      </c>
      <c r="Q177" s="1058">
        <v>2.9981854255275585E-3</v>
      </c>
      <c r="R177" s="1058">
        <v>8.5000000000000006E-2</v>
      </c>
      <c r="S177" s="1058">
        <v>2.9981854255275585E-3</v>
      </c>
      <c r="T177" s="1058">
        <v>9.0999999999999998E-2</v>
      </c>
      <c r="U177" s="1058">
        <v>2.9981854255275585E-3</v>
      </c>
      <c r="V177" s="1475">
        <v>8.5999999999999993E-2</v>
      </c>
      <c r="W177" s="943">
        <v>0.13292141329874863</v>
      </c>
      <c r="X177" s="934">
        <v>0</v>
      </c>
      <c r="Y177" s="225">
        <v>0</v>
      </c>
      <c r="Z177" s="225">
        <v>0</v>
      </c>
      <c r="AA177" s="225">
        <v>0</v>
      </c>
      <c r="AB177" s="225">
        <v>0</v>
      </c>
      <c r="AC177" s="225">
        <v>0</v>
      </c>
      <c r="AD177" s="225">
        <v>0</v>
      </c>
      <c r="AE177" s="225">
        <v>0</v>
      </c>
      <c r="AF177" s="226">
        <v>0</v>
      </c>
    </row>
    <row r="178" spans="2:32">
      <c r="B178" s="173" t="s">
        <v>252</v>
      </c>
      <c r="C178" s="569">
        <f>IF(Vehi_Inputs!$B$14=2,W178,M178)</f>
        <v>8.6429054735886017E-3</v>
      </c>
      <c r="D178" s="552">
        <f>IF(Vehi_Inputs!$B$14=2,X178,N178)</f>
        <v>1.4999999999999999E-2</v>
      </c>
      <c r="E178" s="151">
        <f>IF(Vehi_Inputs!$B$14=2,Y178,O178)</f>
        <v>8.6429054735886017E-3</v>
      </c>
      <c r="F178" s="151">
        <f>IF(Vehi_Inputs!$B$14=2,Z178,P178)</f>
        <v>1.4E-2</v>
      </c>
      <c r="G178" s="151">
        <f>IF(Vehi_Inputs!$B$14=2,AA178,Q178)</f>
        <v>8.6429054735886017E-3</v>
      </c>
      <c r="H178" s="151">
        <f>IF(Vehi_Inputs!$B$14=2,AB178,R178)</f>
        <v>1.2999999999999999E-2</v>
      </c>
      <c r="I178" s="151">
        <f>IF(Vehi_Inputs!$B$14=2,AC178,S178)</f>
        <v>8.6429054735886017E-3</v>
      </c>
      <c r="J178" s="151">
        <f>IF(Vehi_Inputs!$B$14=2,AD178,T178)</f>
        <v>1.2E-2</v>
      </c>
      <c r="K178" s="151">
        <f>IF(Vehi_Inputs!$B$14=2,AE178,U178)</f>
        <v>8.6429054735886017E-3</v>
      </c>
      <c r="L178" s="152">
        <f>IF(Vehi_Inputs!$B$14=2,AF178,V178)</f>
        <v>1.2999999999999999E-2</v>
      </c>
      <c r="M178" s="1477">
        <v>8.6429054735886017E-3</v>
      </c>
      <c r="N178" s="939">
        <v>1.4999999999999999E-2</v>
      </c>
      <c r="O178" s="1058">
        <v>8.6429054735886017E-3</v>
      </c>
      <c r="P178" s="1058">
        <v>1.4E-2</v>
      </c>
      <c r="Q178" s="1058">
        <v>8.6429054735886017E-3</v>
      </c>
      <c r="R178" s="1058">
        <v>1.2999999999999999E-2</v>
      </c>
      <c r="S178" s="1058">
        <v>8.6429054735886017E-3</v>
      </c>
      <c r="T178" s="1058">
        <v>1.2E-2</v>
      </c>
      <c r="U178" s="1058">
        <v>8.6429054735886017E-3</v>
      </c>
      <c r="V178" s="1475">
        <v>1.2999999999999999E-2</v>
      </c>
      <c r="W178" s="943">
        <v>8.3610828747356491E-3</v>
      </c>
      <c r="X178" s="934">
        <v>3.442095221736223E-2</v>
      </c>
      <c r="Y178" s="225">
        <v>0</v>
      </c>
      <c r="Z178" s="225">
        <v>0</v>
      </c>
      <c r="AA178" s="225">
        <v>0</v>
      </c>
      <c r="AB178" s="225">
        <v>0</v>
      </c>
      <c r="AC178" s="225">
        <v>0</v>
      </c>
      <c r="AD178" s="225">
        <v>0</v>
      </c>
      <c r="AE178" s="225">
        <v>0</v>
      </c>
      <c r="AF178" s="226">
        <v>0</v>
      </c>
    </row>
    <row r="179" spans="2:32">
      <c r="B179" s="173" t="s">
        <v>253</v>
      </c>
      <c r="C179" s="569">
        <f>IF(Vehi_Inputs!$B$14=2,W179,M179)</f>
        <v>0.1615694308076836</v>
      </c>
      <c r="D179" s="552">
        <f>IF(Vehi_Inputs!$B$14=2,X179,N179)</f>
        <v>0.51900000000000002</v>
      </c>
      <c r="E179" s="151">
        <f>IF(Vehi_Inputs!$B$14=2,Y179,O179)</f>
        <v>0.1615694308076836</v>
      </c>
      <c r="F179" s="151">
        <f>IF(Vehi_Inputs!$B$14=2,Z179,P179)</f>
        <v>0.52500000000000002</v>
      </c>
      <c r="G179" s="151">
        <f>IF(Vehi_Inputs!$B$14=2,AA179,Q179)</f>
        <v>0.1615694308076836</v>
      </c>
      <c r="H179" s="151">
        <f>IF(Vehi_Inputs!$B$14=2,AB179,R179)</f>
        <v>0.52300000000000002</v>
      </c>
      <c r="I179" s="151">
        <f>IF(Vehi_Inputs!$B$14=2,AC179,S179)</f>
        <v>0.1615694308076836</v>
      </c>
      <c r="J179" s="151">
        <f>IF(Vehi_Inputs!$B$14=2,AD179,T179)</f>
        <v>0.51800000000000002</v>
      </c>
      <c r="K179" s="151">
        <f>IF(Vehi_Inputs!$B$14=2,AE179,U179)</f>
        <v>0.1615694308076836</v>
      </c>
      <c r="L179" s="152">
        <f>IF(Vehi_Inputs!$B$14=2,AF179,V179)</f>
        <v>0.52100000000000002</v>
      </c>
      <c r="M179" s="1477">
        <v>0.1615694308076836</v>
      </c>
      <c r="N179" s="939">
        <v>0.51900000000000002</v>
      </c>
      <c r="O179" s="1058">
        <v>0.1615694308076836</v>
      </c>
      <c r="P179" s="1058">
        <v>0.52500000000000002</v>
      </c>
      <c r="Q179" s="1058">
        <v>0.1615694308076836</v>
      </c>
      <c r="R179" s="1058">
        <v>0.52300000000000002</v>
      </c>
      <c r="S179" s="1058">
        <v>0.1615694308076836</v>
      </c>
      <c r="T179" s="1058">
        <v>0.51800000000000002</v>
      </c>
      <c r="U179" s="1058">
        <v>0.1615694308076836</v>
      </c>
      <c r="V179" s="1475">
        <v>0.52100000000000002</v>
      </c>
      <c r="W179" s="943">
        <v>6.2653498779020184E-2</v>
      </c>
      <c r="X179" s="934">
        <v>0.15435603248900368</v>
      </c>
      <c r="Y179" s="225">
        <v>0</v>
      </c>
      <c r="Z179" s="225">
        <v>0</v>
      </c>
      <c r="AA179" s="225">
        <v>0</v>
      </c>
      <c r="AB179" s="225">
        <v>0</v>
      </c>
      <c r="AC179" s="225">
        <v>0</v>
      </c>
      <c r="AD179" s="225">
        <v>0</v>
      </c>
      <c r="AE179" s="225">
        <v>0</v>
      </c>
      <c r="AF179" s="226">
        <v>0</v>
      </c>
    </row>
    <row r="180" spans="2:32">
      <c r="B180" s="173" t="s">
        <v>254</v>
      </c>
      <c r="C180" s="569">
        <f>IF(Vehi_Inputs!$B$14=2,W180,M180)</f>
        <v>6.3183418685964854E-3</v>
      </c>
      <c r="D180" s="552">
        <f>IF(Vehi_Inputs!$B$14=2,X180,N180)</f>
        <v>8.9999999999999993E-3</v>
      </c>
      <c r="E180" s="151">
        <f>IF(Vehi_Inputs!$B$14=2,Y180,O180)</f>
        <v>6.3183418685964854E-3</v>
      </c>
      <c r="F180" s="151">
        <f>IF(Vehi_Inputs!$B$14=2,Z180,P180)</f>
        <v>8.9999999999999993E-3</v>
      </c>
      <c r="G180" s="151">
        <f>IF(Vehi_Inputs!$B$14=2,AA180,Q180)</f>
        <v>6.3183418685964854E-3</v>
      </c>
      <c r="H180" s="151">
        <f>IF(Vehi_Inputs!$B$14=2,AB180,R180)</f>
        <v>8.0000000000000002E-3</v>
      </c>
      <c r="I180" s="151">
        <f>IF(Vehi_Inputs!$B$14=2,AC180,S180)</f>
        <v>6.3183418685964854E-3</v>
      </c>
      <c r="J180" s="151">
        <f>IF(Vehi_Inputs!$B$14=2,AD180,T180)</f>
        <v>8.0000000000000002E-3</v>
      </c>
      <c r="K180" s="151">
        <f>IF(Vehi_Inputs!$B$14=2,AE180,U180)</f>
        <v>6.3183418685964854E-3</v>
      </c>
      <c r="L180" s="152">
        <f>IF(Vehi_Inputs!$B$14=2,AF180,V180)</f>
        <v>8.0000000000000002E-3</v>
      </c>
      <c r="M180" s="1477">
        <v>6.3183418685964854E-3</v>
      </c>
      <c r="N180" s="939">
        <v>8.9999999999999993E-3</v>
      </c>
      <c r="O180" s="1058">
        <v>6.3183418685964854E-3</v>
      </c>
      <c r="P180" s="1058">
        <v>8.9999999999999993E-3</v>
      </c>
      <c r="Q180" s="1058">
        <v>6.3183418685964854E-3</v>
      </c>
      <c r="R180" s="1058">
        <v>8.0000000000000002E-3</v>
      </c>
      <c r="S180" s="1058">
        <v>6.3183418685964854E-3</v>
      </c>
      <c r="T180" s="1058">
        <v>8.0000000000000002E-3</v>
      </c>
      <c r="U180" s="1058">
        <v>6.3183418685964854E-3</v>
      </c>
      <c r="V180" s="1475">
        <v>8.0000000000000002E-3</v>
      </c>
      <c r="W180" s="943">
        <v>0</v>
      </c>
      <c r="X180" s="934">
        <v>0</v>
      </c>
      <c r="Y180" s="225">
        <v>0</v>
      </c>
      <c r="Z180" s="225">
        <v>0</v>
      </c>
      <c r="AA180" s="225">
        <v>0</v>
      </c>
      <c r="AB180" s="225">
        <v>0</v>
      </c>
      <c r="AC180" s="225">
        <v>0</v>
      </c>
      <c r="AD180" s="225">
        <v>0</v>
      </c>
      <c r="AE180" s="225">
        <v>0</v>
      </c>
      <c r="AF180" s="226">
        <v>0</v>
      </c>
    </row>
    <row r="181" spans="2:32">
      <c r="B181" s="173" t="s">
        <v>255</v>
      </c>
      <c r="C181" s="569">
        <f>IF(Vehi_Inputs!$B$14=2,W181,M181)</f>
        <v>0</v>
      </c>
      <c r="D181" s="552">
        <f>IF(Vehi_Inputs!$B$14=2,X181,N181)</f>
        <v>0</v>
      </c>
      <c r="E181" s="151">
        <f>IF(Vehi_Inputs!$B$14=2,Y181,O181)</f>
        <v>0</v>
      </c>
      <c r="F181" s="151">
        <f>IF(Vehi_Inputs!$B$14=2,Z181,P181)</f>
        <v>0</v>
      </c>
      <c r="G181" s="151">
        <f>IF(Vehi_Inputs!$B$14=2,AA181,Q181)</f>
        <v>0</v>
      </c>
      <c r="H181" s="151">
        <f>IF(Vehi_Inputs!$B$14=2,AB181,R181)</f>
        <v>0</v>
      </c>
      <c r="I181" s="151">
        <f>IF(Vehi_Inputs!$B$14=2,AC181,S181)</f>
        <v>0</v>
      </c>
      <c r="J181" s="151">
        <f>IF(Vehi_Inputs!$B$14=2,AD181,T181)</f>
        <v>0</v>
      </c>
      <c r="K181" s="151">
        <f>IF(Vehi_Inputs!$B$14=2,AE181,U181)</f>
        <v>0</v>
      </c>
      <c r="L181" s="152">
        <f>IF(Vehi_Inputs!$B$14=2,AF181,V181)</f>
        <v>0</v>
      </c>
      <c r="M181" s="1243">
        <v>0</v>
      </c>
      <c r="N181" s="1058">
        <v>0</v>
      </c>
      <c r="O181" s="1058">
        <v>0</v>
      </c>
      <c r="P181" s="1058">
        <v>0</v>
      </c>
      <c r="Q181" s="1058">
        <v>0</v>
      </c>
      <c r="R181" s="1058">
        <v>0</v>
      </c>
      <c r="S181" s="1058">
        <v>0</v>
      </c>
      <c r="T181" s="1058">
        <v>0</v>
      </c>
      <c r="U181" s="1058">
        <v>0</v>
      </c>
      <c r="V181" s="1475">
        <v>0</v>
      </c>
      <c r="W181" s="928">
        <v>0</v>
      </c>
      <c r="X181" s="927">
        <v>0</v>
      </c>
      <c r="Y181" s="225">
        <v>0</v>
      </c>
      <c r="Z181" s="225">
        <v>0</v>
      </c>
      <c r="AA181" s="225">
        <v>0</v>
      </c>
      <c r="AB181" s="225">
        <v>0</v>
      </c>
      <c r="AC181" s="225">
        <v>0</v>
      </c>
      <c r="AD181" s="225">
        <v>0</v>
      </c>
      <c r="AE181" s="225">
        <v>0</v>
      </c>
      <c r="AF181" s="226">
        <v>0</v>
      </c>
    </row>
    <row r="182" spans="2:32">
      <c r="B182" s="173" t="s">
        <v>256</v>
      </c>
      <c r="C182" s="569">
        <f>IF(Vehi_Inputs!$B$14=2,W182,M182)</f>
        <v>2.1491890182989172E-3</v>
      </c>
      <c r="D182" s="552">
        <f>IF(Vehi_Inputs!$B$14=2,X182,N182)</f>
        <v>0</v>
      </c>
      <c r="E182" s="151">
        <f>IF(Vehi_Inputs!$B$14=2,Y182,O182)</f>
        <v>2.1491890182989172E-3</v>
      </c>
      <c r="F182" s="151">
        <f>IF(Vehi_Inputs!$B$14=2,Z182,P182)</f>
        <v>0</v>
      </c>
      <c r="G182" s="151">
        <f>IF(Vehi_Inputs!$B$14=2,AA182,Q182)</f>
        <v>2.1491890182989172E-3</v>
      </c>
      <c r="H182" s="151">
        <f>IF(Vehi_Inputs!$B$14=2,AB182,R182)</f>
        <v>0</v>
      </c>
      <c r="I182" s="151">
        <f>IF(Vehi_Inputs!$B$14=2,AC182,S182)</f>
        <v>2.1491890182989172E-3</v>
      </c>
      <c r="J182" s="151">
        <f>IF(Vehi_Inputs!$B$14=2,AD182,T182)</f>
        <v>0</v>
      </c>
      <c r="K182" s="151">
        <f>IF(Vehi_Inputs!$B$14=2,AE182,U182)</f>
        <v>2.1491890182989172E-3</v>
      </c>
      <c r="L182" s="152">
        <f>IF(Vehi_Inputs!$B$14=2,AF182,V182)</f>
        <v>0</v>
      </c>
      <c r="M182" s="1243">
        <v>2.1491890182989172E-3</v>
      </c>
      <c r="N182" s="1058">
        <v>0</v>
      </c>
      <c r="O182" s="1058">
        <v>2.1491890182989172E-3</v>
      </c>
      <c r="P182" s="1058">
        <v>0</v>
      </c>
      <c r="Q182" s="1058">
        <v>2.1491890182989172E-3</v>
      </c>
      <c r="R182" s="1058">
        <v>0</v>
      </c>
      <c r="S182" s="1058">
        <v>2.1491890182989172E-3</v>
      </c>
      <c r="T182" s="1058">
        <v>0</v>
      </c>
      <c r="U182" s="1058">
        <v>2.1491890182989172E-3</v>
      </c>
      <c r="V182" s="1475">
        <v>0</v>
      </c>
      <c r="W182" s="928">
        <v>2.0809235047378688E-3</v>
      </c>
      <c r="X182" s="927">
        <v>2.0061284959726148E-2</v>
      </c>
      <c r="Y182" s="225">
        <v>0</v>
      </c>
      <c r="Z182" s="225">
        <v>0</v>
      </c>
      <c r="AA182" s="225">
        <v>0</v>
      </c>
      <c r="AB182" s="225">
        <v>0</v>
      </c>
      <c r="AC182" s="225">
        <v>0</v>
      </c>
      <c r="AD182" s="225">
        <v>0</v>
      </c>
      <c r="AE182" s="225">
        <v>0</v>
      </c>
      <c r="AF182" s="226">
        <v>0</v>
      </c>
    </row>
    <row r="183" spans="2:32">
      <c r="B183" s="173" t="s">
        <v>257</v>
      </c>
      <c r="C183" s="569">
        <f>IF(Vehi_Inputs!$B$14=2,W183,M183)</f>
        <v>2.2960280195491543E-3</v>
      </c>
      <c r="D183" s="552">
        <f>IF(Vehi_Inputs!$B$14=2,X183,N183)</f>
        <v>5.2999999999999999E-2</v>
      </c>
      <c r="E183" s="151">
        <f>IF(Vehi_Inputs!$B$14=2,Y183,O183)</f>
        <v>2.2960280195491543E-3</v>
      </c>
      <c r="F183" s="151">
        <f>IF(Vehi_Inputs!$B$14=2,Z183,P183)</f>
        <v>5.3999999999999999E-2</v>
      </c>
      <c r="G183" s="151">
        <f>IF(Vehi_Inputs!$B$14=2,AA183,Q183)</f>
        <v>2.2960280195491543E-3</v>
      </c>
      <c r="H183" s="151">
        <f>IF(Vehi_Inputs!$B$14=2,AB183,R183)</f>
        <v>5.7000000000000002E-2</v>
      </c>
      <c r="I183" s="151">
        <f>IF(Vehi_Inputs!$B$14=2,AC183,S183)</f>
        <v>2.2960280195491543E-3</v>
      </c>
      <c r="J183" s="151">
        <f>IF(Vehi_Inputs!$B$14=2,AD183,T183)</f>
        <v>6.0999999999999999E-2</v>
      </c>
      <c r="K183" s="151">
        <f>IF(Vehi_Inputs!$B$14=2,AE183,U183)</f>
        <v>2.2960280195491543E-3</v>
      </c>
      <c r="L183" s="152">
        <f>IF(Vehi_Inputs!$B$14=2,AF183,V183)</f>
        <v>5.8000000000000003E-2</v>
      </c>
      <c r="M183" s="1477">
        <v>2.2960280195491543E-3</v>
      </c>
      <c r="N183" s="939">
        <v>5.2999999999999999E-2</v>
      </c>
      <c r="O183" s="1058">
        <v>2.2960280195491543E-3</v>
      </c>
      <c r="P183" s="1058">
        <v>5.3999999999999999E-2</v>
      </c>
      <c r="Q183" s="1058">
        <v>2.2960280195491543E-3</v>
      </c>
      <c r="R183" s="1058">
        <v>5.7000000000000002E-2</v>
      </c>
      <c r="S183" s="1058">
        <v>2.2960280195491543E-3</v>
      </c>
      <c r="T183" s="1058">
        <v>6.0999999999999999E-2</v>
      </c>
      <c r="U183" s="1058">
        <v>2.2960280195491543E-3</v>
      </c>
      <c r="V183" s="1475">
        <v>5.8000000000000003E-2</v>
      </c>
      <c r="W183" s="943">
        <v>0</v>
      </c>
      <c r="X183" s="934">
        <v>3.1903821261402746E-2</v>
      </c>
      <c r="Y183" s="225">
        <v>0</v>
      </c>
      <c r="Z183" s="225">
        <v>0</v>
      </c>
      <c r="AA183" s="225">
        <v>0</v>
      </c>
      <c r="AB183" s="225">
        <v>0</v>
      </c>
      <c r="AC183" s="225">
        <v>0</v>
      </c>
      <c r="AD183" s="225">
        <v>0</v>
      </c>
      <c r="AE183" s="225">
        <v>0</v>
      </c>
      <c r="AF183" s="226">
        <v>0</v>
      </c>
    </row>
    <row r="184" spans="2:32">
      <c r="B184" s="173" t="s">
        <v>260</v>
      </c>
      <c r="C184" s="569">
        <f>IF(Vehi_Inputs!$B$14=2,W184,M184)</f>
        <v>1.7970554836392146E-2</v>
      </c>
      <c r="D184" s="552">
        <f>IF(Vehi_Inputs!$B$14=2,X184,N184)</f>
        <v>1.4E-2</v>
      </c>
      <c r="E184" s="151">
        <f>IF(Vehi_Inputs!$B$14=2,Y184,O184)</f>
        <v>1.7970554836392146E-2</v>
      </c>
      <c r="F184" s="151">
        <f>IF(Vehi_Inputs!$B$14=2,Z184,P184)</f>
        <v>1.2E-2</v>
      </c>
      <c r="G184" s="151">
        <f>IF(Vehi_Inputs!$B$14=2,AA184,Q184)</f>
        <v>1.7970554836392146E-2</v>
      </c>
      <c r="H184" s="151">
        <f>IF(Vehi_Inputs!$B$14=2,AB184,R184)</f>
        <v>1.2E-2</v>
      </c>
      <c r="I184" s="151">
        <f>IF(Vehi_Inputs!$B$14=2,AC184,S184)</f>
        <v>1.7970554836392146E-2</v>
      </c>
      <c r="J184" s="151">
        <f>IF(Vehi_Inputs!$B$14=2,AD184,T184)</f>
        <v>1.0999999999999999E-2</v>
      </c>
      <c r="K184" s="151">
        <f>IF(Vehi_Inputs!$B$14=2,AE184,U184)</f>
        <v>1.7970554836392146E-2</v>
      </c>
      <c r="L184" s="152">
        <f>IF(Vehi_Inputs!$B$14=2,AF184,V184)</f>
        <v>1.2E-2</v>
      </c>
      <c r="M184" s="1477">
        <v>1.7970554836392146E-2</v>
      </c>
      <c r="N184" s="939">
        <v>1.4E-2</v>
      </c>
      <c r="O184" s="1058">
        <v>1.7970554836392146E-2</v>
      </c>
      <c r="P184" s="1058">
        <v>1.2E-2</v>
      </c>
      <c r="Q184" s="1058">
        <v>1.7970554836392146E-2</v>
      </c>
      <c r="R184" s="1058">
        <v>1.2E-2</v>
      </c>
      <c r="S184" s="1058">
        <v>1.7970554836392146E-2</v>
      </c>
      <c r="T184" s="1058">
        <v>1.0999999999999999E-2</v>
      </c>
      <c r="U184" s="1058">
        <v>1.7970554836392146E-2</v>
      </c>
      <c r="V184" s="1475">
        <v>1.2E-2</v>
      </c>
      <c r="W184" s="943">
        <v>1.562153130732471E-3</v>
      </c>
      <c r="X184" s="934">
        <v>1.6067410388383462E-2</v>
      </c>
      <c r="Y184" s="225">
        <v>0</v>
      </c>
      <c r="Z184" s="225">
        <v>0</v>
      </c>
      <c r="AA184" s="225">
        <v>0</v>
      </c>
      <c r="AB184" s="225">
        <v>0</v>
      </c>
      <c r="AC184" s="225">
        <v>0</v>
      </c>
      <c r="AD184" s="225">
        <v>0</v>
      </c>
      <c r="AE184" s="225">
        <v>0</v>
      </c>
      <c r="AF184" s="226">
        <v>0</v>
      </c>
    </row>
    <row r="185" spans="2:32">
      <c r="B185" s="173" t="s">
        <v>261</v>
      </c>
      <c r="C185" s="569">
        <f>IF(Vehi_Inputs!$B$14=2,W185,M185)</f>
        <v>3.5953804790892822E-2</v>
      </c>
      <c r="D185" s="552">
        <f>IF(Vehi_Inputs!$B$14=2,X185,N185)</f>
        <v>4.9000000000000002E-2</v>
      </c>
      <c r="E185" s="151">
        <f>IF(Vehi_Inputs!$B$14=2,Y185,O185)</f>
        <v>3.5953804790892822E-2</v>
      </c>
      <c r="F185" s="151">
        <f>IF(Vehi_Inputs!$B$14=2,Z185,P185)</f>
        <v>4.5999999999999999E-2</v>
      </c>
      <c r="G185" s="151">
        <f>IF(Vehi_Inputs!$B$14=2,AA185,Q185)</f>
        <v>3.5953804790892822E-2</v>
      </c>
      <c r="H185" s="151">
        <f>IF(Vehi_Inputs!$B$14=2,AB185,R185)</f>
        <v>4.3999999999999997E-2</v>
      </c>
      <c r="I185" s="151">
        <f>IF(Vehi_Inputs!$B$14=2,AC185,S185)</f>
        <v>3.5953804790892822E-2</v>
      </c>
      <c r="J185" s="151">
        <f>IF(Vehi_Inputs!$B$14=2,AD185,T185)</f>
        <v>4.2000000000000003E-2</v>
      </c>
      <c r="K185" s="151">
        <f>IF(Vehi_Inputs!$B$14=2,AE185,U185)</f>
        <v>3.5953804790892822E-2</v>
      </c>
      <c r="L185" s="152">
        <f>IF(Vehi_Inputs!$B$14=2,AF185,V185)</f>
        <v>4.3999999999999997E-2</v>
      </c>
      <c r="M185" s="1479">
        <v>3.5953804790892822E-2</v>
      </c>
      <c r="N185" s="939">
        <v>4.9000000000000002E-2</v>
      </c>
      <c r="O185" s="1479">
        <v>3.5953804790892822E-2</v>
      </c>
      <c r="P185" s="1058">
        <v>4.5999999999999999E-2</v>
      </c>
      <c r="Q185" s="1479">
        <v>3.5953804790892822E-2</v>
      </c>
      <c r="R185" s="1058">
        <v>4.3999999999999997E-2</v>
      </c>
      <c r="S185" s="1479">
        <v>3.5953804790892822E-2</v>
      </c>
      <c r="T185" s="1058">
        <v>4.2000000000000003E-2</v>
      </c>
      <c r="U185" s="1479">
        <v>3.5953804790892822E-2</v>
      </c>
      <c r="V185" s="1475">
        <v>4.3999999999999997E-2</v>
      </c>
      <c r="W185" s="943">
        <v>0.10316274667881806</v>
      </c>
      <c r="X185" s="934">
        <v>0.10046485163395884</v>
      </c>
      <c r="Y185" s="225">
        <v>0</v>
      </c>
      <c r="Z185" s="225">
        <v>0</v>
      </c>
      <c r="AA185" s="225">
        <v>0</v>
      </c>
      <c r="AB185" s="225">
        <v>0</v>
      </c>
      <c r="AC185" s="225">
        <v>0</v>
      </c>
      <c r="AD185" s="225">
        <v>0</v>
      </c>
      <c r="AE185" s="225">
        <v>0</v>
      </c>
      <c r="AF185" s="226">
        <v>0</v>
      </c>
    </row>
    <row r="186" spans="2:32">
      <c r="B186" s="173" t="s">
        <v>262</v>
      </c>
      <c r="C186" s="232">
        <f t="shared" ref="C186:X186" si="12">1-SUM(C176:C185)</f>
        <v>3.1041610322679603E-4</v>
      </c>
      <c r="D186" s="127">
        <f t="shared" si="12"/>
        <v>5.9999999999998943E-3</v>
      </c>
      <c r="E186" s="127">
        <f t="shared" si="12"/>
        <v>3.1041610322679603E-4</v>
      </c>
      <c r="F186" s="127">
        <f t="shared" si="12"/>
        <v>5.9999999999998943E-3</v>
      </c>
      <c r="G186" s="127">
        <f t="shared" si="12"/>
        <v>3.1041610322679603E-4</v>
      </c>
      <c r="H186" s="127">
        <f t="shared" si="12"/>
        <v>6.9999999999997842E-3</v>
      </c>
      <c r="I186" s="127">
        <f t="shared" si="12"/>
        <v>3.1041610322679603E-4</v>
      </c>
      <c r="J186" s="127">
        <f t="shared" si="12"/>
        <v>7.0000000000000062E-3</v>
      </c>
      <c r="K186" s="127">
        <f t="shared" si="12"/>
        <v>3.1041610322679603E-4</v>
      </c>
      <c r="L186" s="128">
        <f t="shared" si="12"/>
        <v>6.9999999999998952E-3</v>
      </c>
      <c r="M186" s="232">
        <f t="shared" si="12"/>
        <v>3.1041610322679603E-4</v>
      </c>
      <c r="N186" s="127">
        <f t="shared" si="12"/>
        <v>5.9999999999998943E-3</v>
      </c>
      <c r="O186" s="127">
        <f t="shared" ref="O186:V186" si="13">1-SUM(O176:O185)</f>
        <v>3.1041610322679603E-4</v>
      </c>
      <c r="P186" s="127">
        <f t="shared" si="13"/>
        <v>5.9999999999998943E-3</v>
      </c>
      <c r="Q186" s="127">
        <f t="shared" si="13"/>
        <v>3.1041610322679603E-4</v>
      </c>
      <c r="R186" s="127">
        <f t="shared" si="13"/>
        <v>6.9999999999997842E-3</v>
      </c>
      <c r="S186" s="127">
        <f t="shared" si="13"/>
        <v>3.1041610322679603E-4</v>
      </c>
      <c r="T186" s="127">
        <f t="shared" si="13"/>
        <v>7.0000000000000062E-3</v>
      </c>
      <c r="U186" s="127">
        <f t="shared" si="13"/>
        <v>3.1041610322679603E-4</v>
      </c>
      <c r="V186" s="128">
        <f t="shared" si="13"/>
        <v>6.9999999999998952E-3</v>
      </c>
      <c r="W186" s="232">
        <f t="shared" si="12"/>
        <v>0</v>
      </c>
      <c r="X186" s="127">
        <f t="shared" si="12"/>
        <v>6.1192940267107421E-4</v>
      </c>
      <c r="Y186" s="127">
        <f t="shared" ref="Y186:AF186" si="14">1-SUM(Y176:Y185)</f>
        <v>1</v>
      </c>
      <c r="Z186" s="127">
        <f t="shared" si="14"/>
        <v>1</v>
      </c>
      <c r="AA186" s="127">
        <f t="shared" si="14"/>
        <v>1</v>
      </c>
      <c r="AB186" s="127">
        <f t="shared" si="14"/>
        <v>1</v>
      </c>
      <c r="AC186" s="127">
        <f t="shared" si="14"/>
        <v>1</v>
      </c>
      <c r="AD186" s="127">
        <f t="shared" si="14"/>
        <v>1</v>
      </c>
      <c r="AE186" s="127">
        <f t="shared" si="14"/>
        <v>1</v>
      </c>
      <c r="AF186" s="128">
        <f t="shared" si="14"/>
        <v>1</v>
      </c>
    </row>
    <row r="187" spans="2:32">
      <c r="B187" s="178" t="s">
        <v>185</v>
      </c>
      <c r="C187" s="556"/>
      <c r="D187" s="179"/>
      <c r="E187" s="179"/>
      <c r="F187" s="179"/>
      <c r="G187" s="179"/>
      <c r="H187" s="179"/>
      <c r="I187" s="179"/>
      <c r="J187" s="179"/>
      <c r="K187" s="179"/>
      <c r="L187" s="180"/>
      <c r="M187" s="556"/>
      <c r="N187" s="179"/>
      <c r="O187" s="179"/>
      <c r="P187" s="179"/>
      <c r="Q187" s="179"/>
      <c r="R187" s="179"/>
      <c r="S187" s="179"/>
      <c r="T187" s="179"/>
      <c r="U187" s="179"/>
      <c r="V187" s="180"/>
      <c r="W187" s="556"/>
      <c r="X187" s="179"/>
      <c r="Y187" s="179"/>
      <c r="Z187" s="179"/>
      <c r="AA187" s="179"/>
      <c r="AB187" s="179"/>
      <c r="AC187" s="179"/>
      <c r="AD187" s="179"/>
      <c r="AE187" s="179"/>
      <c r="AF187" s="180"/>
    </row>
    <row r="188" spans="2:32">
      <c r="B188" s="173" t="s">
        <v>251</v>
      </c>
      <c r="C188" s="232"/>
      <c r="D188" s="127"/>
      <c r="E188" s="151">
        <f>IF(Vehi_Inputs!$B$14=2,Y188,O188)</f>
        <v>0.36099999999999999</v>
      </c>
      <c r="F188" s="151">
        <f>IF(Vehi_Inputs!$B$14=2,Z188,P188)</f>
        <v>0.36099999999999999</v>
      </c>
      <c r="G188" s="151">
        <f>IF(Vehi_Inputs!$B$14=2,AA188,Q188)</f>
        <v>0.36099999999999999</v>
      </c>
      <c r="H188" s="151">
        <f>IF(Vehi_Inputs!$B$14=2,AB188,R188)</f>
        <v>0.36099999999999999</v>
      </c>
      <c r="I188" s="151">
        <f>IF(Vehi_Inputs!$B$14=2,AC188,S188)</f>
        <v>0.36099999999999999</v>
      </c>
      <c r="J188" s="151">
        <f>IF(Vehi_Inputs!$B$14=2,AD188,T188)</f>
        <v>0.36099999999999999</v>
      </c>
      <c r="K188" s="151">
        <f>IF(Vehi_Inputs!$B$14=2,AE188,U188)</f>
        <v>0.36099999999999999</v>
      </c>
      <c r="L188" s="152">
        <f>IF(Vehi_Inputs!$B$14=2,AF188,V188)</f>
        <v>0.36099999999999999</v>
      </c>
      <c r="M188" s="232"/>
      <c r="N188" s="127"/>
      <c r="O188" s="225">
        <v>0.36099999999999999</v>
      </c>
      <c r="P188" s="225">
        <v>0.36099999999999999</v>
      </c>
      <c r="Q188" s="225">
        <v>0.36099999999999999</v>
      </c>
      <c r="R188" s="225">
        <v>0.36099999999999999</v>
      </c>
      <c r="S188" s="225">
        <v>0.36099999999999999</v>
      </c>
      <c r="T188" s="225">
        <v>0.36099999999999999</v>
      </c>
      <c r="U188" s="225">
        <v>0.36099999999999999</v>
      </c>
      <c r="V188" s="226">
        <v>0.36099999999999999</v>
      </c>
      <c r="W188" s="232"/>
      <c r="X188" s="127"/>
      <c r="Y188" s="225">
        <v>0</v>
      </c>
      <c r="Z188" s="225">
        <v>0</v>
      </c>
      <c r="AA188" s="225">
        <v>0</v>
      </c>
      <c r="AB188" s="225">
        <v>0</v>
      </c>
      <c r="AC188" s="225">
        <v>0</v>
      </c>
      <c r="AD188" s="225">
        <v>0</v>
      </c>
      <c r="AE188" s="225">
        <v>0</v>
      </c>
      <c r="AF188" s="226">
        <v>0</v>
      </c>
    </row>
    <row r="189" spans="2:32">
      <c r="B189" s="173" t="s">
        <v>264</v>
      </c>
      <c r="C189" s="232"/>
      <c r="D189" s="127"/>
      <c r="E189" s="151">
        <f>IF(Vehi_Inputs!$B$14=2,Y189,O189)</f>
        <v>0</v>
      </c>
      <c r="F189" s="151">
        <f>IF(Vehi_Inputs!$B$14=2,Z189,P189)</f>
        <v>0</v>
      </c>
      <c r="G189" s="151">
        <f>IF(Vehi_Inputs!$B$14=2,AA189,Q189)</f>
        <v>0</v>
      </c>
      <c r="H189" s="151">
        <f>IF(Vehi_Inputs!$B$14=2,AB189,R189)</f>
        <v>0</v>
      </c>
      <c r="I189" s="151">
        <f>IF(Vehi_Inputs!$B$14=2,AC189,S189)</f>
        <v>0</v>
      </c>
      <c r="J189" s="151">
        <f>IF(Vehi_Inputs!$B$14=2,AD189,T189)</f>
        <v>0</v>
      </c>
      <c r="K189" s="151">
        <f>IF(Vehi_Inputs!$B$14=2,AE189,U189)</f>
        <v>0</v>
      </c>
      <c r="L189" s="152">
        <f>IF(Vehi_Inputs!$B$14=2,AF189,V189)</f>
        <v>0</v>
      </c>
      <c r="M189" s="232"/>
      <c r="N189" s="127"/>
      <c r="O189" s="225">
        <v>0</v>
      </c>
      <c r="P189" s="225">
        <v>0</v>
      </c>
      <c r="Q189" s="225">
        <v>0</v>
      </c>
      <c r="R189" s="225">
        <v>0</v>
      </c>
      <c r="S189" s="225">
        <v>0</v>
      </c>
      <c r="T189" s="225">
        <v>0</v>
      </c>
      <c r="U189" s="225">
        <v>0</v>
      </c>
      <c r="V189" s="226">
        <v>0</v>
      </c>
      <c r="W189" s="232"/>
      <c r="X189" s="127"/>
      <c r="Y189" s="225">
        <v>0</v>
      </c>
      <c r="Z189" s="225">
        <v>0</v>
      </c>
      <c r="AA189" s="225">
        <v>0</v>
      </c>
      <c r="AB189" s="225">
        <v>0</v>
      </c>
      <c r="AC189" s="225">
        <v>0</v>
      </c>
      <c r="AD189" s="225">
        <v>0</v>
      </c>
      <c r="AE189" s="225">
        <v>0</v>
      </c>
      <c r="AF189" s="226">
        <v>0</v>
      </c>
    </row>
    <row r="190" spans="2:32">
      <c r="B190" s="173" t="s">
        <v>253</v>
      </c>
      <c r="C190" s="232"/>
      <c r="D190" s="127"/>
      <c r="E190" s="151">
        <f>IF(Vehi_Inputs!$B$14=2,Y190,O190)</f>
        <v>0.36099999999999999</v>
      </c>
      <c r="F190" s="151">
        <f>IF(Vehi_Inputs!$B$14=2,Z190,P190)</f>
        <v>0.36099999999999999</v>
      </c>
      <c r="G190" s="151">
        <f>IF(Vehi_Inputs!$B$14=2,AA190,Q190)</f>
        <v>0.36099999999999999</v>
      </c>
      <c r="H190" s="151">
        <f>IF(Vehi_Inputs!$B$14=2,AB190,R190)</f>
        <v>0.36099999999999999</v>
      </c>
      <c r="I190" s="151">
        <f>IF(Vehi_Inputs!$B$14=2,AC190,S190)</f>
        <v>0.36099999999999999</v>
      </c>
      <c r="J190" s="151">
        <f>IF(Vehi_Inputs!$B$14=2,AD190,T190)</f>
        <v>0.36099999999999999</v>
      </c>
      <c r="K190" s="151">
        <f>IF(Vehi_Inputs!$B$14=2,AE190,U190)</f>
        <v>0.36099999999999999</v>
      </c>
      <c r="L190" s="152">
        <f>IF(Vehi_Inputs!$B$14=2,AF190,V190)</f>
        <v>0.36099999999999999</v>
      </c>
      <c r="M190" s="232"/>
      <c r="N190" s="127"/>
      <c r="O190" s="225">
        <v>0.36099999999999999</v>
      </c>
      <c r="P190" s="225">
        <v>0.36099999999999999</v>
      </c>
      <c r="Q190" s="225">
        <v>0.36099999999999999</v>
      </c>
      <c r="R190" s="225">
        <v>0.36099999999999999</v>
      </c>
      <c r="S190" s="225">
        <v>0.36099999999999999</v>
      </c>
      <c r="T190" s="225">
        <v>0.36099999999999999</v>
      </c>
      <c r="U190" s="225">
        <v>0.36099999999999999</v>
      </c>
      <c r="V190" s="226">
        <v>0.36099999999999999</v>
      </c>
      <c r="W190" s="232"/>
      <c r="X190" s="127"/>
      <c r="Y190" s="225">
        <v>0</v>
      </c>
      <c r="Z190" s="225">
        <v>0</v>
      </c>
      <c r="AA190" s="225">
        <v>0</v>
      </c>
      <c r="AB190" s="225">
        <v>0</v>
      </c>
      <c r="AC190" s="225">
        <v>0</v>
      </c>
      <c r="AD190" s="225">
        <v>0</v>
      </c>
      <c r="AE190" s="225">
        <v>0</v>
      </c>
      <c r="AF190" s="226">
        <v>0</v>
      </c>
    </row>
    <row r="191" spans="2:32">
      <c r="B191" s="173" t="s">
        <v>254</v>
      </c>
      <c r="C191" s="232"/>
      <c r="D191" s="127"/>
      <c r="E191" s="151">
        <f>IF(Vehi_Inputs!$B$14=2,Y191,O191)</f>
        <v>0.27800000000000002</v>
      </c>
      <c r="F191" s="151">
        <f>IF(Vehi_Inputs!$B$14=2,Z191,P191)</f>
        <v>0.27800000000000002</v>
      </c>
      <c r="G191" s="151">
        <f>IF(Vehi_Inputs!$B$14=2,AA191,Q191)</f>
        <v>0.27800000000000002</v>
      </c>
      <c r="H191" s="151">
        <f>IF(Vehi_Inputs!$B$14=2,AB191,R191)</f>
        <v>0.27800000000000002</v>
      </c>
      <c r="I191" s="151">
        <f>IF(Vehi_Inputs!$B$14=2,AC191,S191)</f>
        <v>0.27800000000000002</v>
      </c>
      <c r="J191" s="151">
        <f>IF(Vehi_Inputs!$B$14=2,AD191,T191)</f>
        <v>0.27800000000000002</v>
      </c>
      <c r="K191" s="151">
        <f>IF(Vehi_Inputs!$B$14=2,AE191,U191)</f>
        <v>0.27800000000000002</v>
      </c>
      <c r="L191" s="152">
        <f>IF(Vehi_Inputs!$B$14=2,AF191,V191)</f>
        <v>0.27800000000000002</v>
      </c>
      <c r="M191" s="232"/>
      <c r="N191" s="127"/>
      <c r="O191" s="225">
        <v>0.27800000000000002</v>
      </c>
      <c r="P191" s="225">
        <v>0.27800000000000002</v>
      </c>
      <c r="Q191" s="225">
        <v>0.27800000000000002</v>
      </c>
      <c r="R191" s="225">
        <v>0.27800000000000002</v>
      </c>
      <c r="S191" s="225">
        <v>0.27800000000000002</v>
      </c>
      <c r="T191" s="225">
        <v>0.27800000000000002</v>
      </c>
      <c r="U191" s="225">
        <v>0.27800000000000002</v>
      </c>
      <c r="V191" s="226">
        <v>0.27800000000000002</v>
      </c>
      <c r="W191" s="232"/>
      <c r="X191" s="127"/>
      <c r="Y191" s="225">
        <v>0</v>
      </c>
      <c r="Z191" s="225">
        <v>0</v>
      </c>
      <c r="AA191" s="225">
        <v>0</v>
      </c>
      <c r="AB191" s="225">
        <v>0</v>
      </c>
      <c r="AC191" s="225">
        <v>0</v>
      </c>
      <c r="AD191" s="225">
        <v>0</v>
      </c>
      <c r="AE191" s="225">
        <v>0</v>
      </c>
      <c r="AF191" s="226">
        <v>0</v>
      </c>
    </row>
    <row r="192" spans="2:32">
      <c r="B192" s="174" t="s">
        <v>262</v>
      </c>
      <c r="C192" s="239"/>
      <c r="D192" s="129"/>
      <c r="E192" s="129">
        <f t="shared" ref="E192:L192" si="15">1-SUM(E188:E191)</f>
        <v>0</v>
      </c>
      <c r="F192" s="129">
        <f t="shared" si="15"/>
        <v>0</v>
      </c>
      <c r="G192" s="129">
        <f t="shared" si="15"/>
        <v>0</v>
      </c>
      <c r="H192" s="129">
        <f t="shared" si="15"/>
        <v>0</v>
      </c>
      <c r="I192" s="129">
        <f t="shared" si="15"/>
        <v>0</v>
      </c>
      <c r="J192" s="129">
        <f t="shared" si="15"/>
        <v>0</v>
      </c>
      <c r="K192" s="129">
        <f t="shared" si="15"/>
        <v>0</v>
      </c>
      <c r="L192" s="130">
        <f t="shared" si="15"/>
        <v>0</v>
      </c>
      <c r="M192" s="239"/>
      <c r="N192" s="129"/>
      <c r="O192" s="129">
        <f t="shared" ref="O192:V192" si="16">1-SUM(O188:O191)</f>
        <v>0</v>
      </c>
      <c r="P192" s="129">
        <f t="shared" si="16"/>
        <v>0</v>
      </c>
      <c r="Q192" s="129">
        <f t="shared" si="16"/>
        <v>0</v>
      </c>
      <c r="R192" s="129">
        <f t="shared" si="16"/>
        <v>0</v>
      </c>
      <c r="S192" s="129">
        <f t="shared" si="16"/>
        <v>0</v>
      </c>
      <c r="T192" s="129">
        <f t="shared" si="16"/>
        <v>0</v>
      </c>
      <c r="U192" s="129">
        <f t="shared" si="16"/>
        <v>0</v>
      </c>
      <c r="V192" s="130">
        <f t="shared" si="16"/>
        <v>0</v>
      </c>
      <c r="W192" s="239"/>
      <c r="X192" s="129"/>
      <c r="Y192" s="129">
        <f t="shared" ref="Y192:AF192" si="17">1-SUM(Y188:Y191)</f>
        <v>1</v>
      </c>
      <c r="Z192" s="129">
        <f t="shared" si="17"/>
        <v>1</v>
      </c>
      <c r="AA192" s="129">
        <f t="shared" si="17"/>
        <v>1</v>
      </c>
      <c r="AB192" s="129">
        <f t="shared" si="17"/>
        <v>1</v>
      </c>
      <c r="AC192" s="129">
        <f t="shared" si="17"/>
        <v>1</v>
      </c>
      <c r="AD192" s="129">
        <f t="shared" si="17"/>
        <v>1</v>
      </c>
      <c r="AE192" s="129">
        <f t="shared" si="17"/>
        <v>1</v>
      </c>
      <c r="AF192" s="130">
        <f t="shared" si="17"/>
        <v>1</v>
      </c>
    </row>
    <row r="193" spans="2:32">
      <c r="B193" s="177" t="s">
        <v>186</v>
      </c>
      <c r="C193" s="232"/>
      <c r="D193" s="127"/>
      <c r="E193" s="127"/>
      <c r="F193" s="127"/>
      <c r="G193" s="127"/>
      <c r="H193" s="127"/>
      <c r="I193" s="127"/>
      <c r="J193" s="127"/>
      <c r="K193" s="127"/>
      <c r="L193" s="128"/>
      <c r="M193" s="232"/>
      <c r="N193" s="127"/>
      <c r="O193" s="127"/>
      <c r="P193" s="127"/>
      <c r="Q193" s="127"/>
      <c r="R193" s="127"/>
      <c r="S193" s="127"/>
      <c r="T193" s="127"/>
      <c r="U193" s="127"/>
      <c r="V193" s="128"/>
      <c r="W193" s="232"/>
      <c r="X193" s="127"/>
      <c r="Y193" s="127"/>
      <c r="Z193" s="127"/>
      <c r="AA193" s="127"/>
      <c r="AB193" s="127"/>
      <c r="AC193" s="127"/>
      <c r="AD193" s="127"/>
      <c r="AE193" s="127"/>
      <c r="AF193" s="128"/>
    </row>
    <row r="194" spans="2:32">
      <c r="B194" s="173" t="s">
        <v>251</v>
      </c>
      <c r="C194" s="232"/>
      <c r="D194" s="127"/>
      <c r="E194" s="151">
        <f>IF(Vehi_Inputs!$B$14=2,Y194,O194)</f>
        <v>0.36099999999999999</v>
      </c>
      <c r="F194" s="151">
        <f>IF(Vehi_Inputs!$B$14=2,Z194,P194)</f>
        <v>0.36099999999999999</v>
      </c>
      <c r="G194" s="151">
        <f>IF(Vehi_Inputs!$B$14=2,AA194,Q194)</f>
        <v>0.36099999999999999</v>
      </c>
      <c r="H194" s="151">
        <f>IF(Vehi_Inputs!$B$14=2,AB194,R194)</f>
        <v>0.36099999999999999</v>
      </c>
      <c r="I194" s="127"/>
      <c r="J194" s="127"/>
      <c r="K194" s="127"/>
      <c r="L194" s="128"/>
      <c r="M194" s="232"/>
      <c r="N194" s="127"/>
      <c r="O194" s="225">
        <v>0.36099999999999999</v>
      </c>
      <c r="P194" s="225">
        <v>0.36099999999999999</v>
      </c>
      <c r="Q194" s="225">
        <v>0.36099999999999999</v>
      </c>
      <c r="R194" s="225">
        <v>0.36099999999999999</v>
      </c>
      <c r="S194" s="127"/>
      <c r="T194" s="127"/>
      <c r="U194" s="127"/>
      <c r="V194" s="128"/>
      <c r="W194" s="232"/>
      <c r="X194" s="127"/>
      <c r="Y194" s="225">
        <v>0</v>
      </c>
      <c r="Z194" s="225">
        <v>0</v>
      </c>
      <c r="AA194" s="225">
        <v>0</v>
      </c>
      <c r="AB194" s="225">
        <v>0</v>
      </c>
      <c r="AC194" s="127"/>
      <c r="AD194" s="127"/>
      <c r="AE194" s="127"/>
      <c r="AF194" s="128"/>
    </row>
    <row r="195" spans="2:32">
      <c r="B195" s="173" t="s">
        <v>253</v>
      </c>
      <c r="C195" s="232"/>
      <c r="D195" s="127"/>
      <c r="E195" s="151">
        <f>IF(Vehi_Inputs!$B$14=2,Y195,O195)</f>
        <v>0.36099999999999999</v>
      </c>
      <c r="F195" s="151">
        <f>IF(Vehi_Inputs!$B$14=2,Z195,P195)</f>
        <v>0.36099999999999999</v>
      </c>
      <c r="G195" s="151">
        <f>IF(Vehi_Inputs!$B$14=2,AA195,Q195)</f>
        <v>0.36099999999999999</v>
      </c>
      <c r="H195" s="151">
        <f>IF(Vehi_Inputs!$B$14=2,AB195,R195)</f>
        <v>0.36099999999999999</v>
      </c>
      <c r="I195" s="127"/>
      <c r="J195" s="127"/>
      <c r="K195" s="127"/>
      <c r="L195" s="128"/>
      <c r="M195" s="232"/>
      <c r="N195" s="127"/>
      <c r="O195" s="225">
        <v>0.36099999999999999</v>
      </c>
      <c r="P195" s="225">
        <v>0.36099999999999999</v>
      </c>
      <c r="Q195" s="225">
        <v>0.36099999999999999</v>
      </c>
      <c r="R195" s="225">
        <v>0.36099999999999999</v>
      </c>
      <c r="S195" s="127"/>
      <c r="T195" s="127"/>
      <c r="U195" s="127"/>
      <c r="V195" s="128"/>
      <c r="W195" s="232"/>
      <c r="X195" s="127"/>
      <c r="Y195" s="225">
        <v>0</v>
      </c>
      <c r="Z195" s="225">
        <v>0</v>
      </c>
      <c r="AA195" s="225">
        <v>0</v>
      </c>
      <c r="AB195" s="225">
        <v>0</v>
      </c>
      <c r="AC195" s="127"/>
      <c r="AD195" s="127"/>
      <c r="AE195" s="127"/>
      <c r="AF195" s="128"/>
    </row>
    <row r="196" spans="2:32">
      <c r="B196" s="173" t="s">
        <v>254</v>
      </c>
      <c r="C196" s="232"/>
      <c r="D196" s="127"/>
      <c r="E196" s="151">
        <f>IF(Vehi_Inputs!$B$14=2,Y196,O196)</f>
        <v>0.27800000000000002</v>
      </c>
      <c r="F196" s="151">
        <f>IF(Vehi_Inputs!$B$14=2,Z196,P196)</f>
        <v>0.27800000000000002</v>
      </c>
      <c r="G196" s="151">
        <f>IF(Vehi_Inputs!$B$14=2,AA196,Q196)</f>
        <v>0.27800000000000002</v>
      </c>
      <c r="H196" s="151">
        <f>IF(Vehi_Inputs!$B$14=2,AB196,R196)</f>
        <v>0.27800000000000002</v>
      </c>
      <c r="I196" s="127"/>
      <c r="J196" s="127"/>
      <c r="K196" s="127"/>
      <c r="L196" s="128"/>
      <c r="M196" s="232"/>
      <c r="N196" s="127"/>
      <c r="O196" s="225">
        <v>0.27800000000000002</v>
      </c>
      <c r="P196" s="225">
        <v>0.27800000000000002</v>
      </c>
      <c r="Q196" s="225">
        <v>0.27800000000000002</v>
      </c>
      <c r="R196" s="225">
        <v>0.27800000000000002</v>
      </c>
      <c r="S196" s="127"/>
      <c r="T196" s="127"/>
      <c r="U196" s="127"/>
      <c r="V196" s="128"/>
      <c r="W196" s="232"/>
      <c r="X196" s="127"/>
      <c r="Y196" s="225">
        <v>0</v>
      </c>
      <c r="Z196" s="225">
        <v>0</v>
      </c>
      <c r="AA196" s="225">
        <v>0</v>
      </c>
      <c r="AB196" s="225">
        <v>0</v>
      </c>
      <c r="AC196" s="127"/>
      <c r="AD196" s="127"/>
      <c r="AE196" s="127"/>
      <c r="AF196" s="128"/>
    </row>
    <row r="197" spans="2:32">
      <c r="B197" s="173" t="s">
        <v>262</v>
      </c>
      <c r="C197" s="232"/>
      <c r="D197" s="127"/>
      <c r="E197" s="127">
        <f>1-SUM(E194:E196)</f>
        <v>0</v>
      </c>
      <c r="F197" s="127">
        <f>1-SUM(F194:F196)</f>
        <v>0</v>
      </c>
      <c r="G197" s="127">
        <f>1-SUM(G194:G196)</f>
        <v>0</v>
      </c>
      <c r="H197" s="127">
        <f>1-SUM(H194:H196)</f>
        <v>0</v>
      </c>
      <c r="I197" s="127"/>
      <c r="J197" s="127"/>
      <c r="K197" s="127"/>
      <c r="L197" s="128"/>
      <c r="M197" s="232"/>
      <c r="N197" s="127"/>
      <c r="O197" s="127">
        <f>1-SUM(O194:O196)</f>
        <v>0</v>
      </c>
      <c r="P197" s="127">
        <f>1-SUM(P194:P196)</f>
        <v>0</v>
      </c>
      <c r="Q197" s="127">
        <f>1-SUM(Q194:Q196)</f>
        <v>0</v>
      </c>
      <c r="R197" s="127">
        <f>1-SUM(R194:R196)</f>
        <v>0</v>
      </c>
      <c r="S197" s="127"/>
      <c r="T197" s="127"/>
      <c r="U197" s="127"/>
      <c r="V197" s="128"/>
      <c r="W197" s="232"/>
      <c r="X197" s="127"/>
      <c r="Y197" s="127">
        <f>1-SUM(Y194:Y196)</f>
        <v>1</v>
      </c>
      <c r="Z197" s="127">
        <f>1-SUM(Z194:Z196)</f>
        <v>1</v>
      </c>
      <c r="AA197" s="127">
        <f>1-SUM(AA194:AA196)</f>
        <v>1</v>
      </c>
      <c r="AB197" s="127">
        <f>1-SUM(AB194:AB196)</f>
        <v>1</v>
      </c>
      <c r="AC197" s="127"/>
      <c r="AD197" s="127"/>
      <c r="AE197" s="127"/>
      <c r="AF197" s="128"/>
    </row>
    <row r="198" spans="2:32">
      <c r="B198" s="178" t="s">
        <v>187</v>
      </c>
      <c r="C198" s="556"/>
      <c r="D198" s="179"/>
      <c r="E198" s="179"/>
      <c r="F198" s="179"/>
      <c r="G198" s="179"/>
      <c r="H198" s="179"/>
      <c r="I198" s="179"/>
      <c r="J198" s="179"/>
      <c r="K198" s="179"/>
      <c r="L198" s="180"/>
      <c r="M198" s="556"/>
      <c r="N198" s="179"/>
      <c r="O198" s="179"/>
      <c r="P198" s="179"/>
      <c r="Q198" s="179"/>
      <c r="R198" s="179"/>
      <c r="S198" s="179"/>
      <c r="T198" s="179"/>
      <c r="U198" s="179"/>
      <c r="V198" s="180"/>
      <c r="W198" s="556"/>
      <c r="X198" s="179"/>
      <c r="Y198" s="179"/>
      <c r="Z198" s="179"/>
      <c r="AA198" s="179"/>
      <c r="AB198" s="179"/>
      <c r="AC198" s="179"/>
      <c r="AD198" s="179"/>
      <c r="AE198" s="179"/>
      <c r="AF198" s="180"/>
    </row>
    <row r="199" spans="2:32">
      <c r="B199" s="173" t="s">
        <v>251</v>
      </c>
      <c r="C199" s="232"/>
      <c r="D199" s="127"/>
      <c r="E199" s="151">
        <f>IF(Vehi_Inputs!$B$14=2,Y199,O199)</f>
        <v>0.05</v>
      </c>
      <c r="F199" s="151">
        <f>IF(Vehi_Inputs!$B$14=2,Z199,P199)</f>
        <v>0.05</v>
      </c>
      <c r="G199" s="151">
        <f>IF(Vehi_Inputs!$B$14=2,AA199,Q199)</f>
        <v>0.05</v>
      </c>
      <c r="H199" s="151">
        <f>IF(Vehi_Inputs!$B$14=2,AB199,R199)</f>
        <v>0.05</v>
      </c>
      <c r="I199" s="151">
        <f>IF(Vehi_Inputs!$B$14=2,AC199,S199)</f>
        <v>0.05</v>
      </c>
      <c r="J199" s="151">
        <f>IF(Vehi_Inputs!$B$14=2,AD199,T199)</f>
        <v>0.05</v>
      </c>
      <c r="K199" s="151">
        <f>IF(Vehi_Inputs!$B$14=2,AE199,U199)</f>
        <v>0.05</v>
      </c>
      <c r="L199" s="152">
        <f>IF(Vehi_Inputs!$B$14=2,AF199,V199)</f>
        <v>0.05</v>
      </c>
      <c r="M199" s="232"/>
      <c r="N199" s="127"/>
      <c r="O199" s="225">
        <v>0.05</v>
      </c>
      <c r="P199" s="225">
        <v>0.05</v>
      </c>
      <c r="Q199" s="225">
        <v>0.05</v>
      </c>
      <c r="R199" s="225">
        <v>0.05</v>
      </c>
      <c r="S199" s="225">
        <v>0.05</v>
      </c>
      <c r="T199" s="225">
        <v>0.05</v>
      </c>
      <c r="U199" s="225">
        <v>0.05</v>
      </c>
      <c r="V199" s="226">
        <v>0.05</v>
      </c>
      <c r="W199" s="232"/>
      <c r="X199" s="127"/>
      <c r="Y199" s="225">
        <v>0</v>
      </c>
      <c r="Z199" s="225">
        <v>0</v>
      </c>
      <c r="AA199" s="225">
        <v>0</v>
      </c>
      <c r="AB199" s="225">
        <v>0</v>
      </c>
      <c r="AC199" s="225">
        <v>0</v>
      </c>
      <c r="AD199" s="225">
        <v>0</v>
      </c>
      <c r="AE199" s="225">
        <v>0</v>
      </c>
      <c r="AF199" s="226">
        <v>0</v>
      </c>
    </row>
    <row r="200" spans="2:32">
      <c r="B200" s="173" t="s">
        <v>253</v>
      </c>
      <c r="C200" s="232"/>
      <c r="D200" s="127"/>
      <c r="E200" s="151">
        <f>IF(Vehi_Inputs!$B$14=2,Y200,O200)</f>
        <v>0.46899999999999997</v>
      </c>
      <c r="F200" s="151">
        <f>IF(Vehi_Inputs!$B$14=2,Z200,P200)</f>
        <v>0.46899999999999997</v>
      </c>
      <c r="G200" s="151">
        <f>IF(Vehi_Inputs!$B$14=2,AA200,Q200)</f>
        <v>0.46899999999999997</v>
      </c>
      <c r="H200" s="151">
        <f>IF(Vehi_Inputs!$B$14=2,AB200,R200)</f>
        <v>0.46899999999999997</v>
      </c>
      <c r="I200" s="151">
        <f>IF(Vehi_Inputs!$B$14=2,AC200,S200)</f>
        <v>0.46899999999999997</v>
      </c>
      <c r="J200" s="151">
        <f>IF(Vehi_Inputs!$B$14=2,AD200,T200)</f>
        <v>0.46899999999999997</v>
      </c>
      <c r="K200" s="151">
        <f>IF(Vehi_Inputs!$B$14=2,AE200,U200)</f>
        <v>0.46899999999999997</v>
      </c>
      <c r="L200" s="152">
        <f>IF(Vehi_Inputs!$B$14=2,AF200,V200)</f>
        <v>0.46899999999999997</v>
      </c>
      <c r="M200" s="232"/>
      <c r="N200" s="127"/>
      <c r="O200" s="225">
        <v>0.46899999999999997</v>
      </c>
      <c r="P200" s="225">
        <v>0.46899999999999997</v>
      </c>
      <c r="Q200" s="225">
        <v>0.46899999999999997</v>
      </c>
      <c r="R200" s="225">
        <v>0.46899999999999997</v>
      </c>
      <c r="S200" s="225">
        <v>0.46899999999999997</v>
      </c>
      <c r="T200" s="225">
        <v>0.46899999999999997</v>
      </c>
      <c r="U200" s="225">
        <v>0.46899999999999997</v>
      </c>
      <c r="V200" s="226">
        <v>0.46899999999999997</v>
      </c>
      <c r="W200" s="232"/>
      <c r="X200" s="127"/>
      <c r="Y200" s="225">
        <v>0</v>
      </c>
      <c r="Z200" s="225">
        <v>0</v>
      </c>
      <c r="AA200" s="225">
        <v>0</v>
      </c>
      <c r="AB200" s="225">
        <v>0</v>
      </c>
      <c r="AC200" s="225">
        <v>0</v>
      </c>
      <c r="AD200" s="225">
        <v>0</v>
      </c>
      <c r="AE200" s="225">
        <v>0</v>
      </c>
      <c r="AF200" s="226">
        <v>0</v>
      </c>
    </row>
    <row r="201" spans="2:32">
      <c r="B201" s="173" t="s">
        <v>254</v>
      </c>
      <c r="C201" s="232"/>
      <c r="D201" s="127"/>
      <c r="E201" s="151">
        <f>IF(Vehi_Inputs!$B$14=2,Y201,O201)</f>
        <v>8.2000000000000003E-2</v>
      </c>
      <c r="F201" s="151">
        <f>IF(Vehi_Inputs!$B$14=2,Z201,P201)</f>
        <v>8.2000000000000003E-2</v>
      </c>
      <c r="G201" s="151">
        <f>IF(Vehi_Inputs!$B$14=2,AA201,Q201)</f>
        <v>8.2000000000000003E-2</v>
      </c>
      <c r="H201" s="151">
        <f>IF(Vehi_Inputs!$B$14=2,AB201,R201)</f>
        <v>8.2000000000000003E-2</v>
      </c>
      <c r="I201" s="151">
        <f>IF(Vehi_Inputs!$B$14=2,AC201,S201)</f>
        <v>8.2000000000000003E-2</v>
      </c>
      <c r="J201" s="151">
        <f>IF(Vehi_Inputs!$B$14=2,AD201,T201)</f>
        <v>8.2000000000000003E-2</v>
      </c>
      <c r="K201" s="151">
        <f>IF(Vehi_Inputs!$B$14=2,AE201,U201)</f>
        <v>8.2000000000000003E-2</v>
      </c>
      <c r="L201" s="152">
        <f>IF(Vehi_Inputs!$B$14=2,AF201,V201)</f>
        <v>8.2000000000000003E-2</v>
      </c>
      <c r="M201" s="232"/>
      <c r="N201" s="127"/>
      <c r="O201" s="225">
        <v>8.2000000000000003E-2</v>
      </c>
      <c r="P201" s="225">
        <v>8.2000000000000003E-2</v>
      </c>
      <c r="Q201" s="225">
        <v>8.2000000000000003E-2</v>
      </c>
      <c r="R201" s="225">
        <v>8.2000000000000003E-2</v>
      </c>
      <c r="S201" s="225">
        <v>8.2000000000000003E-2</v>
      </c>
      <c r="T201" s="225">
        <v>8.2000000000000003E-2</v>
      </c>
      <c r="U201" s="225">
        <v>8.2000000000000003E-2</v>
      </c>
      <c r="V201" s="226">
        <v>8.2000000000000003E-2</v>
      </c>
      <c r="W201" s="232"/>
      <c r="X201" s="127"/>
      <c r="Y201" s="225">
        <v>0</v>
      </c>
      <c r="Z201" s="225">
        <v>0</v>
      </c>
      <c r="AA201" s="225">
        <v>0</v>
      </c>
      <c r="AB201" s="225">
        <v>0</v>
      </c>
      <c r="AC201" s="225">
        <v>0</v>
      </c>
      <c r="AD201" s="225">
        <v>0</v>
      </c>
      <c r="AE201" s="225">
        <v>0</v>
      </c>
      <c r="AF201" s="226">
        <v>0</v>
      </c>
    </row>
    <row r="202" spans="2:32">
      <c r="B202" s="173" t="s">
        <v>261</v>
      </c>
      <c r="C202" s="232"/>
      <c r="D202" s="127"/>
      <c r="E202" s="151">
        <f>IF(Vehi_Inputs!$B$14=2,Y202,O202)</f>
        <v>3.6999999999999998E-2</v>
      </c>
      <c r="F202" s="151">
        <f>IF(Vehi_Inputs!$B$14=2,Z202,P202)</f>
        <v>3.6999999999999998E-2</v>
      </c>
      <c r="G202" s="151">
        <f>IF(Vehi_Inputs!$B$14=2,AA202,Q202)</f>
        <v>3.6999999999999998E-2</v>
      </c>
      <c r="H202" s="151">
        <f>IF(Vehi_Inputs!$B$14=2,AB202,R202)</f>
        <v>3.6999999999999998E-2</v>
      </c>
      <c r="I202" s="151">
        <f>IF(Vehi_Inputs!$B$14=2,AC202,S202)</f>
        <v>3.6999999999999998E-2</v>
      </c>
      <c r="J202" s="151">
        <f>IF(Vehi_Inputs!$B$14=2,AD202,T202)</f>
        <v>3.6999999999999998E-2</v>
      </c>
      <c r="K202" s="151">
        <f>IF(Vehi_Inputs!$B$14=2,AE202,U202)</f>
        <v>3.6999999999999998E-2</v>
      </c>
      <c r="L202" s="152">
        <f>IF(Vehi_Inputs!$B$14=2,AF202,V202)</f>
        <v>3.6999999999999998E-2</v>
      </c>
      <c r="M202" s="232"/>
      <c r="N202" s="127"/>
      <c r="O202" s="225">
        <v>3.6999999999999998E-2</v>
      </c>
      <c r="P202" s="225">
        <v>3.6999999999999998E-2</v>
      </c>
      <c r="Q202" s="225">
        <v>3.6999999999999998E-2</v>
      </c>
      <c r="R202" s="225">
        <v>3.6999999999999998E-2</v>
      </c>
      <c r="S202" s="225">
        <v>3.6999999999999998E-2</v>
      </c>
      <c r="T202" s="225">
        <v>3.6999999999999998E-2</v>
      </c>
      <c r="U202" s="225">
        <v>3.6999999999999998E-2</v>
      </c>
      <c r="V202" s="226">
        <v>3.6999999999999998E-2</v>
      </c>
      <c r="W202" s="232"/>
      <c r="X202" s="127"/>
      <c r="Y202" s="225">
        <v>0</v>
      </c>
      <c r="Z202" s="225">
        <v>0</v>
      </c>
      <c r="AA202" s="225">
        <v>0</v>
      </c>
      <c r="AB202" s="225">
        <v>0</v>
      </c>
      <c r="AC202" s="225">
        <v>0</v>
      </c>
      <c r="AD202" s="225">
        <v>0</v>
      </c>
      <c r="AE202" s="225">
        <v>0</v>
      </c>
      <c r="AF202" s="226">
        <v>0</v>
      </c>
    </row>
    <row r="203" spans="2:32">
      <c r="B203" s="173" t="s">
        <v>260</v>
      </c>
      <c r="C203" s="232"/>
      <c r="D203" s="127"/>
      <c r="E203" s="151">
        <f>IF(Vehi_Inputs!$B$14=2,Y203,O203)</f>
        <v>0.23799999999999999</v>
      </c>
      <c r="F203" s="151">
        <f>IF(Vehi_Inputs!$B$14=2,Z203,P203)</f>
        <v>0.23799999999999999</v>
      </c>
      <c r="G203" s="151">
        <f>IF(Vehi_Inputs!$B$14=2,AA203,Q203)</f>
        <v>0.23799999999999999</v>
      </c>
      <c r="H203" s="151">
        <f>IF(Vehi_Inputs!$B$14=2,AB203,R203)</f>
        <v>0.23799999999999999</v>
      </c>
      <c r="I203" s="151">
        <f>IF(Vehi_Inputs!$B$14=2,AC203,S203)</f>
        <v>0.23799999999999999</v>
      </c>
      <c r="J203" s="151">
        <f>IF(Vehi_Inputs!$B$14=2,AD203,T203)</f>
        <v>0.23799999999999999</v>
      </c>
      <c r="K203" s="151">
        <f>IF(Vehi_Inputs!$B$14=2,AE203,U203)</f>
        <v>0.23799999999999999</v>
      </c>
      <c r="L203" s="152">
        <f>IF(Vehi_Inputs!$B$14=2,AF203,V203)</f>
        <v>0.23799999999999999</v>
      </c>
      <c r="M203" s="232"/>
      <c r="N203" s="127"/>
      <c r="O203" s="225">
        <v>0.23799999999999999</v>
      </c>
      <c r="P203" s="225">
        <v>0.23799999999999999</v>
      </c>
      <c r="Q203" s="225">
        <v>0.23799999999999999</v>
      </c>
      <c r="R203" s="225">
        <v>0.23799999999999999</v>
      </c>
      <c r="S203" s="225">
        <v>0.23799999999999999</v>
      </c>
      <c r="T203" s="225">
        <v>0.23799999999999999</v>
      </c>
      <c r="U203" s="225">
        <v>0.23799999999999999</v>
      </c>
      <c r="V203" s="226">
        <v>0.23799999999999999</v>
      </c>
      <c r="W203" s="232"/>
      <c r="X203" s="127"/>
      <c r="Y203" s="225">
        <v>0</v>
      </c>
      <c r="Z203" s="225">
        <v>0</v>
      </c>
      <c r="AA203" s="225">
        <v>0</v>
      </c>
      <c r="AB203" s="225">
        <v>0</v>
      </c>
      <c r="AC203" s="225">
        <v>0</v>
      </c>
      <c r="AD203" s="225">
        <v>0</v>
      </c>
      <c r="AE203" s="225">
        <v>0</v>
      </c>
      <c r="AF203" s="226">
        <v>0</v>
      </c>
    </row>
    <row r="204" spans="2:32">
      <c r="B204" s="174" t="s">
        <v>262</v>
      </c>
      <c r="C204" s="239"/>
      <c r="D204" s="129"/>
      <c r="E204" s="129">
        <f t="shared" ref="E204:L204" si="18">1-SUM(E199:E203)</f>
        <v>0.124</v>
      </c>
      <c r="F204" s="129">
        <f t="shared" si="18"/>
        <v>0.124</v>
      </c>
      <c r="G204" s="129">
        <f t="shared" si="18"/>
        <v>0.124</v>
      </c>
      <c r="H204" s="129">
        <f t="shared" si="18"/>
        <v>0.124</v>
      </c>
      <c r="I204" s="129">
        <f t="shared" si="18"/>
        <v>0.124</v>
      </c>
      <c r="J204" s="129">
        <f t="shared" si="18"/>
        <v>0.124</v>
      </c>
      <c r="K204" s="129">
        <f t="shared" si="18"/>
        <v>0.124</v>
      </c>
      <c r="L204" s="130">
        <f t="shared" si="18"/>
        <v>0.124</v>
      </c>
      <c r="M204" s="239"/>
      <c r="N204" s="129"/>
      <c r="O204" s="129">
        <f t="shared" ref="O204:V204" si="19">1-SUM(O199:O203)</f>
        <v>0.124</v>
      </c>
      <c r="P204" s="129">
        <f t="shared" si="19"/>
        <v>0.124</v>
      </c>
      <c r="Q204" s="129">
        <f t="shared" si="19"/>
        <v>0.124</v>
      </c>
      <c r="R204" s="129">
        <f t="shared" si="19"/>
        <v>0.124</v>
      </c>
      <c r="S204" s="129">
        <f t="shared" si="19"/>
        <v>0.124</v>
      </c>
      <c r="T204" s="129">
        <f t="shared" si="19"/>
        <v>0.124</v>
      </c>
      <c r="U204" s="129">
        <f t="shared" si="19"/>
        <v>0.124</v>
      </c>
      <c r="V204" s="130">
        <f t="shared" si="19"/>
        <v>0.124</v>
      </c>
      <c r="W204" s="239"/>
      <c r="X204" s="129"/>
      <c r="Y204" s="129">
        <f t="shared" ref="Y204:AF204" si="20">1-SUM(Y199:Y203)</f>
        <v>1</v>
      </c>
      <c r="Z204" s="129">
        <f t="shared" si="20"/>
        <v>1</v>
      </c>
      <c r="AA204" s="129">
        <f t="shared" si="20"/>
        <v>1</v>
      </c>
      <c r="AB204" s="129">
        <f t="shared" si="20"/>
        <v>1</v>
      </c>
      <c r="AC204" s="129">
        <f t="shared" si="20"/>
        <v>1</v>
      </c>
      <c r="AD204" s="129">
        <f t="shared" si="20"/>
        <v>1</v>
      </c>
      <c r="AE204" s="129">
        <f t="shared" si="20"/>
        <v>1</v>
      </c>
      <c r="AF204" s="130">
        <f t="shared" si="20"/>
        <v>1</v>
      </c>
    </row>
    <row r="205" spans="2:32">
      <c r="B205" s="571" t="s">
        <v>751</v>
      </c>
      <c r="C205" s="579"/>
      <c r="D205" s="151"/>
      <c r="E205" s="151"/>
      <c r="F205" s="151"/>
      <c r="G205" s="151"/>
      <c r="H205" s="151"/>
      <c r="I205" s="151"/>
      <c r="J205" s="151"/>
      <c r="K205" s="151"/>
      <c r="L205" s="152"/>
      <c r="M205" s="579"/>
      <c r="N205" s="151"/>
      <c r="O205" s="151"/>
      <c r="P205" s="151"/>
      <c r="Q205" s="151"/>
      <c r="R205" s="151"/>
      <c r="S205" s="151"/>
      <c r="T205" s="151"/>
      <c r="U205" s="127"/>
      <c r="V205" s="128"/>
      <c r="W205" s="232"/>
      <c r="X205" s="127"/>
      <c r="Y205" s="127"/>
      <c r="Z205" s="127"/>
      <c r="AA205" s="127"/>
      <c r="AB205" s="127"/>
      <c r="AC205" s="127"/>
      <c r="AD205" s="127"/>
      <c r="AE205" s="127"/>
      <c r="AF205" s="128"/>
    </row>
    <row r="206" spans="2:32">
      <c r="B206" s="160" t="s">
        <v>251</v>
      </c>
      <c r="C206" s="579"/>
      <c r="D206" s="151"/>
      <c r="E206" s="151"/>
      <c r="F206" s="151"/>
      <c r="G206" s="151"/>
      <c r="H206" s="151"/>
      <c r="I206" s="151"/>
      <c r="J206" s="151"/>
      <c r="K206" s="151">
        <f>IF(Vehi_Inputs!$B$14=2,AE206,U206)</f>
        <v>9.1528724440116851E-2</v>
      </c>
      <c r="L206" s="152">
        <f>IF(Vehi_Inputs!$B$14=2,AF206,V206)</f>
        <v>9.1528724440116851E-2</v>
      </c>
      <c r="M206" s="579"/>
      <c r="N206" s="151"/>
      <c r="O206" s="151"/>
      <c r="P206" s="151"/>
      <c r="Q206" s="151"/>
      <c r="R206" s="151"/>
      <c r="S206" s="151"/>
      <c r="T206" s="151"/>
      <c r="U206" s="946">
        <v>9.1528724440116851E-2</v>
      </c>
      <c r="V206" s="946">
        <v>9.1528724440116851E-2</v>
      </c>
      <c r="W206" s="232"/>
      <c r="X206" s="127"/>
      <c r="Y206" s="127"/>
      <c r="Z206" s="127"/>
      <c r="AA206" s="127"/>
      <c r="AB206" s="127"/>
      <c r="AC206" s="127"/>
      <c r="AD206" s="127"/>
      <c r="AE206" s="225">
        <v>0</v>
      </c>
      <c r="AF206" s="226">
        <v>0</v>
      </c>
    </row>
    <row r="207" spans="2:32">
      <c r="B207" s="490" t="s">
        <v>264</v>
      </c>
      <c r="C207" s="579"/>
      <c r="D207" s="151"/>
      <c r="E207" s="151"/>
      <c r="F207" s="151"/>
      <c r="G207" s="151"/>
      <c r="H207" s="151"/>
      <c r="I207" s="151"/>
      <c r="J207" s="151"/>
      <c r="K207" s="151">
        <f>IF(Vehi_Inputs!$B$14=2,AE207,U207)</f>
        <v>8.081791626095422E-2</v>
      </c>
      <c r="L207" s="152">
        <f>IF(Vehi_Inputs!$B$14=2,AF207,V207)</f>
        <v>8.081791626095422E-2</v>
      </c>
      <c r="M207" s="579"/>
      <c r="N207" s="151"/>
      <c r="O207" s="151"/>
      <c r="P207" s="151"/>
      <c r="Q207" s="151"/>
      <c r="R207" s="151"/>
      <c r="S207" s="151"/>
      <c r="T207" s="151"/>
      <c r="U207" s="946">
        <v>8.081791626095422E-2</v>
      </c>
      <c r="V207" s="946">
        <v>8.081791626095422E-2</v>
      </c>
      <c r="W207" s="232"/>
      <c r="X207" s="127"/>
      <c r="Y207" s="127"/>
      <c r="Z207" s="127"/>
      <c r="AA207" s="127"/>
      <c r="AB207" s="127"/>
      <c r="AC207" s="127"/>
      <c r="AD207" s="127"/>
      <c r="AE207" s="225"/>
      <c r="AF207" s="226"/>
    </row>
    <row r="208" spans="2:32">
      <c r="B208" s="490" t="s">
        <v>277</v>
      </c>
      <c r="C208" s="579"/>
      <c r="D208" s="151"/>
      <c r="E208" s="151"/>
      <c r="F208" s="151"/>
      <c r="G208" s="151"/>
      <c r="H208" s="151"/>
      <c r="I208" s="151"/>
      <c r="J208" s="151"/>
      <c r="K208" s="151">
        <f>IF(Vehi_Inputs!$B$14=2,AE208,U208)</f>
        <v>0.65628042843232726</v>
      </c>
      <c r="L208" s="152">
        <f>IF(Vehi_Inputs!$B$14=2,AF208,V208)</f>
        <v>0.65628042843232726</v>
      </c>
      <c r="M208" s="579"/>
      <c r="N208" s="151"/>
      <c r="O208" s="151"/>
      <c r="P208" s="151"/>
      <c r="Q208" s="151"/>
      <c r="R208" s="151"/>
      <c r="S208" s="151"/>
      <c r="T208" s="151"/>
      <c r="U208" s="946">
        <v>0.65628042843232726</v>
      </c>
      <c r="V208" s="946">
        <v>0.65628042843232726</v>
      </c>
      <c r="W208" s="232"/>
      <c r="X208" s="127"/>
      <c r="Y208" s="127"/>
      <c r="Z208" s="127"/>
      <c r="AA208" s="127"/>
      <c r="AB208" s="127"/>
      <c r="AC208" s="127"/>
      <c r="AD208" s="127"/>
      <c r="AE208" s="225">
        <v>0</v>
      </c>
      <c r="AF208" s="226">
        <v>0</v>
      </c>
    </row>
    <row r="209" spans="1:32">
      <c r="B209" s="490" t="s">
        <v>257</v>
      </c>
      <c r="C209" s="579"/>
      <c r="D209" s="151"/>
      <c r="E209" s="151"/>
      <c r="F209" s="151"/>
      <c r="G209" s="151"/>
      <c r="H209" s="151"/>
      <c r="I209" s="151"/>
      <c r="J209" s="151"/>
      <c r="K209" s="151">
        <f>IF(Vehi_Inputs!$B$14=2,AE209,U209)</f>
        <v>4.4790652385589089E-2</v>
      </c>
      <c r="L209" s="152">
        <f>IF(Vehi_Inputs!$B$14=2,AF209,V209)</f>
        <v>4.4790652385589089E-2</v>
      </c>
      <c r="M209" s="579"/>
      <c r="N209" s="151"/>
      <c r="O209" s="151"/>
      <c r="P209" s="151"/>
      <c r="Q209" s="151"/>
      <c r="R209" s="151"/>
      <c r="S209" s="151"/>
      <c r="T209" s="151"/>
      <c r="U209" s="946">
        <v>4.4790652385589089E-2</v>
      </c>
      <c r="V209" s="946">
        <v>4.4790652385589089E-2</v>
      </c>
      <c r="W209" s="232"/>
      <c r="X209" s="127"/>
      <c r="Y209" s="127"/>
      <c r="Z209" s="127"/>
      <c r="AA209" s="127"/>
      <c r="AB209" s="127"/>
      <c r="AC209" s="127"/>
      <c r="AD209" s="127"/>
      <c r="AE209" s="225"/>
      <c r="AF209" s="226"/>
    </row>
    <row r="210" spans="1:32">
      <c r="B210" s="490" t="s">
        <v>252</v>
      </c>
      <c r="C210" s="579"/>
      <c r="D210" s="151"/>
      <c r="E210" s="151"/>
      <c r="F210" s="151"/>
      <c r="G210" s="151"/>
      <c r="H210" s="151"/>
      <c r="I210" s="151"/>
      <c r="J210" s="151"/>
      <c r="K210" s="151">
        <f>IF(Vehi_Inputs!$B$14=2,AE210,U210)</f>
        <v>0</v>
      </c>
      <c r="L210" s="152">
        <f>IF(Vehi_Inputs!$B$14=2,AF210,V210)</f>
        <v>0</v>
      </c>
      <c r="M210" s="579"/>
      <c r="N210" s="151"/>
      <c r="O210" s="151"/>
      <c r="P210" s="151"/>
      <c r="Q210" s="151"/>
      <c r="R210" s="151"/>
      <c r="S210" s="151"/>
      <c r="T210" s="151"/>
      <c r="U210" s="946">
        <v>0</v>
      </c>
      <c r="V210" s="946">
        <v>0</v>
      </c>
      <c r="W210" s="232"/>
      <c r="X210" s="127"/>
      <c r="Y210" s="127"/>
      <c r="Z210" s="127"/>
      <c r="AA210" s="127"/>
      <c r="AB210" s="127"/>
      <c r="AC210" s="127"/>
      <c r="AD210" s="127"/>
      <c r="AE210" s="225">
        <v>0</v>
      </c>
      <c r="AF210" s="226">
        <v>0</v>
      </c>
    </row>
    <row r="211" spans="1:32">
      <c r="B211" s="490" t="s">
        <v>275</v>
      </c>
      <c r="C211" s="579"/>
      <c r="D211" s="151"/>
      <c r="E211" s="151"/>
      <c r="F211" s="151"/>
      <c r="G211" s="151"/>
      <c r="H211" s="151"/>
      <c r="I211" s="151"/>
      <c r="J211" s="151"/>
      <c r="K211" s="151">
        <f>IF(Vehi_Inputs!$B$14=2,AE211,U211)</f>
        <v>0</v>
      </c>
      <c r="L211" s="152">
        <f>IF(Vehi_Inputs!$B$14=2,AF211,V211)</f>
        <v>0</v>
      </c>
      <c r="M211" s="579"/>
      <c r="N211" s="151"/>
      <c r="O211" s="151"/>
      <c r="P211" s="151"/>
      <c r="Q211" s="151"/>
      <c r="R211" s="151"/>
      <c r="S211" s="151"/>
      <c r="T211" s="151"/>
      <c r="U211" s="946">
        <v>0</v>
      </c>
      <c r="V211" s="946">
        <v>0</v>
      </c>
      <c r="W211" s="232"/>
      <c r="X211" s="127"/>
      <c r="Y211" s="127"/>
      <c r="Z211" s="127"/>
      <c r="AA211" s="127"/>
      <c r="AB211" s="127"/>
      <c r="AC211" s="127"/>
      <c r="AD211" s="127"/>
      <c r="AE211" s="225">
        <v>0</v>
      </c>
      <c r="AF211" s="226">
        <v>0</v>
      </c>
    </row>
    <row r="212" spans="1:32">
      <c r="B212" s="490" t="s">
        <v>278</v>
      </c>
      <c r="C212" s="579"/>
      <c r="D212" s="151"/>
      <c r="E212" s="151"/>
      <c r="F212" s="151"/>
      <c r="G212" s="151"/>
      <c r="H212" s="151"/>
      <c r="I212" s="151"/>
      <c r="J212" s="151"/>
      <c r="K212" s="151">
        <f>IF(Vehi_Inputs!$B$14=2,AE212,U212)</f>
        <v>7.7896786757546244E-2</v>
      </c>
      <c r="L212" s="152">
        <f>IF(Vehi_Inputs!$B$14=2,AF212,V212)</f>
        <v>7.7896786757546244E-2</v>
      </c>
      <c r="M212" s="579"/>
      <c r="N212" s="151"/>
      <c r="O212" s="151"/>
      <c r="P212" s="151"/>
      <c r="Q212" s="151"/>
      <c r="R212" s="151"/>
      <c r="S212" s="151"/>
      <c r="T212" s="151"/>
      <c r="U212" s="946">
        <v>7.7896786757546244E-2</v>
      </c>
      <c r="V212" s="946">
        <v>7.7896786757546244E-2</v>
      </c>
      <c r="W212" s="232"/>
      <c r="X212" s="127"/>
      <c r="Y212" s="127"/>
      <c r="Z212" s="127"/>
      <c r="AA212" s="127"/>
      <c r="AB212" s="127"/>
      <c r="AC212" s="127"/>
      <c r="AD212" s="127"/>
      <c r="AE212" s="225">
        <v>0</v>
      </c>
      <c r="AF212" s="226">
        <v>0</v>
      </c>
    </row>
    <row r="213" spans="1:32">
      <c r="B213" s="490" t="s">
        <v>261</v>
      </c>
      <c r="C213" s="579"/>
      <c r="D213" s="151"/>
      <c r="E213" s="151"/>
      <c r="F213" s="151"/>
      <c r="G213" s="151"/>
      <c r="H213" s="151"/>
      <c r="I213" s="151"/>
      <c r="J213" s="151"/>
      <c r="K213" s="151">
        <f>IF(Vehi_Inputs!$B$14=2,AE213,U213)</f>
        <v>0</v>
      </c>
      <c r="L213" s="152">
        <f>IF(Vehi_Inputs!$B$14=2,AF213,V213)</f>
        <v>0</v>
      </c>
      <c r="M213" s="579"/>
      <c r="N213" s="151"/>
      <c r="O213" s="151"/>
      <c r="P213" s="151"/>
      <c r="Q213" s="151"/>
      <c r="R213" s="151"/>
      <c r="S213" s="151"/>
      <c r="T213" s="151"/>
      <c r="U213" s="946">
        <v>0</v>
      </c>
      <c r="V213" s="946">
        <v>0</v>
      </c>
      <c r="W213" s="232"/>
      <c r="X213" s="127"/>
      <c r="Y213" s="127"/>
      <c r="Z213" s="127"/>
      <c r="AA213" s="127"/>
      <c r="AB213" s="127"/>
      <c r="AC213" s="127"/>
      <c r="AD213" s="127"/>
      <c r="AE213" s="225">
        <v>0</v>
      </c>
      <c r="AF213" s="226">
        <v>0</v>
      </c>
    </row>
    <row r="214" spans="1:32">
      <c r="B214" s="490" t="s">
        <v>272</v>
      </c>
      <c r="C214" s="579"/>
      <c r="D214" s="151"/>
      <c r="E214" s="151"/>
      <c r="F214" s="151"/>
      <c r="G214" s="151"/>
      <c r="H214" s="151"/>
      <c r="I214" s="151"/>
      <c r="J214" s="151"/>
      <c r="K214" s="151">
        <f>IF(Vehi_Inputs!$B$14=2,AE214,U214)</f>
        <v>0</v>
      </c>
      <c r="L214" s="152">
        <f>IF(Vehi_Inputs!$B$14=2,AF214,V214)</f>
        <v>0</v>
      </c>
      <c r="M214" s="579"/>
      <c r="N214" s="151"/>
      <c r="O214" s="151"/>
      <c r="P214" s="151"/>
      <c r="Q214" s="151"/>
      <c r="R214" s="151"/>
      <c r="S214" s="151"/>
      <c r="T214" s="151"/>
      <c r="U214" s="946">
        <v>0</v>
      </c>
      <c r="V214" s="946">
        <v>0</v>
      </c>
      <c r="W214" s="232"/>
      <c r="X214" s="127"/>
      <c r="Y214" s="127"/>
      <c r="Z214" s="127"/>
      <c r="AA214" s="127"/>
      <c r="AB214" s="127"/>
      <c r="AC214" s="127"/>
      <c r="AD214" s="127"/>
      <c r="AE214" s="225">
        <v>0</v>
      </c>
      <c r="AF214" s="226">
        <v>0</v>
      </c>
    </row>
    <row r="215" spans="1:32">
      <c r="B215" s="490" t="s">
        <v>273</v>
      </c>
      <c r="C215" s="579"/>
      <c r="D215" s="151"/>
      <c r="E215" s="151"/>
      <c r="F215" s="151"/>
      <c r="G215" s="151"/>
      <c r="H215" s="151"/>
      <c r="I215" s="151"/>
      <c r="J215" s="151"/>
      <c r="K215" s="151">
        <f>IF(Vehi_Inputs!$B$14=2,AE215,U215)</f>
        <v>9.7370983446932804E-3</v>
      </c>
      <c r="L215" s="152">
        <f>IF(Vehi_Inputs!$B$14=2,AF215,V215)</f>
        <v>9.7370983446932804E-3</v>
      </c>
      <c r="M215" s="579"/>
      <c r="N215" s="151"/>
      <c r="O215" s="151"/>
      <c r="P215" s="151"/>
      <c r="Q215" s="151"/>
      <c r="R215" s="151"/>
      <c r="S215" s="151"/>
      <c r="T215" s="151"/>
      <c r="U215" s="946">
        <v>9.7370983446932804E-3</v>
      </c>
      <c r="V215" s="946">
        <v>9.7370983446932804E-3</v>
      </c>
      <c r="W215" s="232"/>
      <c r="X215" s="127"/>
      <c r="Y215" s="127"/>
      <c r="Z215" s="127"/>
      <c r="AA215" s="127"/>
      <c r="AB215" s="127"/>
      <c r="AC215" s="127"/>
      <c r="AD215" s="127"/>
      <c r="AE215" s="225"/>
      <c r="AF215" s="226"/>
    </row>
    <row r="216" spans="1:32">
      <c r="B216" s="647" t="s">
        <v>262</v>
      </c>
      <c r="C216" s="580"/>
      <c r="D216" s="153"/>
      <c r="E216" s="153"/>
      <c r="F216" s="153"/>
      <c r="G216" s="153"/>
      <c r="H216" s="153"/>
      <c r="I216" s="153"/>
      <c r="J216" s="153"/>
      <c r="K216" s="153">
        <f>1-SUM(K206:K215)</f>
        <v>3.8948393378772983E-2</v>
      </c>
      <c r="L216" s="154">
        <f>1-SUM(L206:L215)</f>
        <v>3.8948393378772983E-2</v>
      </c>
      <c r="M216" s="580"/>
      <c r="N216" s="153"/>
      <c r="O216" s="153"/>
      <c r="P216" s="153"/>
      <c r="Q216" s="153"/>
      <c r="R216" s="153"/>
      <c r="S216" s="153"/>
      <c r="T216" s="153"/>
      <c r="U216" s="153">
        <f>1-SUM(U206:U215)</f>
        <v>3.8948393378772983E-2</v>
      </c>
      <c r="V216" s="153">
        <f>1-SUM(V206:V215)</f>
        <v>3.8948393378772983E-2</v>
      </c>
      <c r="W216" s="239"/>
      <c r="X216" s="129"/>
      <c r="Y216" s="129"/>
      <c r="Z216" s="129"/>
      <c r="AA216" s="129"/>
      <c r="AB216" s="129"/>
      <c r="AC216" s="129"/>
      <c r="AD216" s="129"/>
      <c r="AE216" s="153">
        <f>1-SUM(AE206:AE214)</f>
        <v>1</v>
      </c>
      <c r="AF216" s="154">
        <f>1-SUM(AF206:AF214)</f>
        <v>1</v>
      </c>
    </row>
    <row r="218" spans="1:32" ht="15">
      <c r="A218" s="134" t="s">
        <v>752</v>
      </c>
      <c r="B218" s="521"/>
      <c r="C218" s="521"/>
      <c r="D218" s="521"/>
      <c r="E218" s="521"/>
      <c r="F218" s="521"/>
      <c r="G218" s="521"/>
      <c r="H218" s="521"/>
      <c r="I218" s="521"/>
      <c r="J218" s="521"/>
      <c r="K218" s="521"/>
      <c r="L218" s="521"/>
      <c r="M218" s="521"/>
      <c r="N218" s="1321"/>
      <c r="O218" s="1321"/>
      <c r="P218" s="1321"/>
      <c r="Q218" s="1321"/>
      <c r="R218" s="1321"/>
    </row>
    <row r="219" spans="1:32" ht="38.25">
      <c r="A219" s="521"/>
      <c r="B219" s="1632"/>
      <c r="C219" s="1633" t="s">
        <v>141</v>
      </c>
      <c r="D219" s="1634" t="s">
        <v>142</v>
      </c>
      <c r="E219" s="1634" t="s">
        <v>143</v>
      </c>
      <c r="F219" s="1634" t="s">
        <v>144</v>
      </c>
      <c r="G219" s="1634" t="s">
        <v>145</v>
      </c>
      <c r="H219" s="1634" t="s">
        <v>146</v>
      </c>
      <c r="I219" s="1634" t="s">
        <v>147</v>
      </c>
      <c r="J219" s="1634" t="s">
        <v>148</v>
      </c>
      <c r="K219" s="1634" t="s">
        <v>149</v>
      </c>
      <c r="L219" s="1635" t="s">
        <v>150</v>
      </c>
      <c r="M219" s="521"/>
      <c r="N219" s="1321"/>
      <c r="O219" s="1321"/>
      <c r="P219" s="1321"/>
      <c r="Q219" s="1321"/>
      <c r="R219" s="1321"/>
    </row>
    <row r="220" spans="1:32">
      <c r="A220" s="521"/>
      <c r="B220" s="686" t="s">
        <v>712</v>
      </c>
      <c r="C220" s="1197">
        <f>IF(C4=$N11,1,(1+(-0.0009*((($N11-C4)/$N11*100)^2)+0.8126*(($N11-C4)/$N11*100)+0.3334)/100))*GREET1_Import_Export!$D15</f>
        <v>20.930021604895195</v>
      </c>
      <c r="D220" s="1197">
        <f>IF(D4=$N11,1,(1+(-0.0009*((($N11-D4)/$N11*100)^2)+0.8126*(($N11-D4)/$N11*100)+0.3334)/100))*GREET1_Import_Export!$D15</f>
        <v>23.38611564894763</v>
      </c>
      <c r="E220" s="1197">
        <f>IF(E4=$O11,1,(1+(-0.0089*((($O11-E4)/$O11*100)^2)+0.9051*(($O11-E4)/$O11*100)+0.1356)/100))*GREET1_Import_Export!$D16</f>
        <v>29.901741205509467</v>
      </c>
      <c r="F220" s="1197">
        <f>IF(F4=$O11,1,(1+(-0.0089*((($O11-F4)/$O11*100)^2)+0.9051*(($O11-F4)/$O11*100)+0.1356)/100))*GREET1_Import_Export!$D16</f>
        <v>33.837039836923438</v>
      </c>
      <c r="G220" s="1197">
        <f>IF(G4=$P11,1,(1+(-0.0089*((($P11-G4)/$P11*100)^2)+0.9051*(($P11-G4)/$P11*100)+0.1356)/100))*GREET1_Import_Export!$D17</f>
        <v>45.631908103841745</v>
      </c>
      <c r="H220" s="1197">
        <f>IF(H4=$P11,1,(1+(-0.0089*((($P11-H4)/$P11*100)^2)+0.9051*(($P11-H4)/$P11*100)+0.1356)/100))*GREET1_Import_Export!$D17</f>
        <v>49.966318114015202</v>
      </c>
      <c r="I220" s="1197">
        <f>IF(I4=$Q11,1,(1+(-0.0089*((($Q11-I4)/$Q11*100)^2)+0.9051*(($Q11-I4)/$Q11*100)+0.1356)/100))*GREET1_Import_Export!$D18</f>
        <v>46.576275422584182</v>
      </c>
      <c r="J220" s="1197">
        <f>IF(J4=$Q11,1,(1+(-0.0089*((($Q11-J4)/$Q11*100)^2)+0.9051*(($Q11-J4)/$Q11*100)+0.1356)/100))*GREET1_Import_Export!$D18</f>
        <v>50.941966505556991</v>
      </c>
      <c r="K220" s="1197">
        <f>IF(K4=$R11,1,(1+(0.0012*((($R11-K4)/$R11*100)^2)+0.6877*(($R11-K4)/$R11*100)+0.0351)/100))*GREET1_Import_Export!$D19</f>
        <v>29.194389765779231</v>
      </c>
      <c r="L220" s="1198">
        <f>IF(L4=$R11,1,(1+(0.0012*((($R11-L4)/$R11*100)^2)+0.6877*(($R11-L4)/$R11*100)+0.0351)/100))*GREET1_Import_Export!$D19</f>
        <v>33.156966398809544</v>
      </c>
      <c r="M220" s="521"/>
      <c r="N220" s="1321"/>
      <c r="O220" s="1321"/>
      <c r="P220" s="1321"/>
      <c r="Q220" s="1321"/>
      <c r="R220" s="1321"/>
    </row>
    <row r="221" spans="1:32">
      <c r="A221" s="521"/>
      <c r="B221" s="483" t="s">
        <v>713</v>
      </c>
      <c r="C221" s="1199">
        <v>17.326732673267326</v>
      </c>
      <c r="D221" s="1199">
        <v>20.106779563910017</v>
      </c>
      <c r="E221" s="363" t="e">
        <v>#N/A</v>
      </c>
      <c r="F221" s="363" t="e">
        <v>#N/A</v>
      </c>
      <c r="G221" s="363" t="e">
        <v>#N/A</v>
      </c>
      <c r="H221" s="363" t="e">
        <v>#N/A</v>
      </c>
      <c r="I221" s="363" t="e">
        <v>#N/A</v>
      </c>
      <c r="J221" s="363" t="e">
        <v>#N/A</v>
      </c>
      <c r="K221" s="363" t="e">
        <v>#N/A</v>
      </c>
      <c r="L221" s="1013" t="e">
        <v>#N/A</v>
      </c>
      <c r="M221" s="521"/>
      <c r="N221" s="521"/>
      <c r="O221" s="521"/>
      <c r="P221" s="521"/>
      <c r="Q221" s="521"/>
      <c r="R221" s="521"/>
    </row>
    <row r="222" spans="1:32">
      <c r="A222" s="521"/>
      <c r="B222" s="905" t="s">
        <v>714</v>
      </c>
      <c r="C222" s="1195">
        <f>IF(Vehi_Inputs!$B$14=2,C221,C220)</f>
        <v>20.930021604895195</v>
      </c>
      <c r="D222" s="1195">
        <f>IF(Vehi_Inputs!$B$14=2,D221,D220)</f>
        <v>23.38611564894763</v>
      </c>
      <c r="E222" s="1195">
        <f>IF(Vehi_Inputs!$B$14=2,E221,E220)</f>
        <v>29.901741205509467</v>
      </c>
      <c r="F222" s="1195">
        <f>IF(Vehi_Inputs!$B$14=2,F221,F220)</f>
        <v>33.837039836923438</v>
      </c>
      <c r="G222" s="1195">
        <f>IF(Vehi_Inputs!$B$14=2,G221,G220)</f>
        <v>45.631908103841745</v>
      </c>
      <c r="H222" s="1195">
        <f>IF(Vehi_Inputs!$B$14=2,H221,H220)</f>
        <v>49.966318114015202</v>
      </c>
      <c r="I222" s="1195">
        <f>IF(Vehi_Inputs!$B$14=2,I221,I220)</f>
        <v>46.576275422584182</v>
      </c>
      <c r="J222" s="1195">
        <f>IF(Vehi_Inputs!$B$14=2,J221,J220)</f>
        <v>50.941966505556991</v>
      </c>
      <c r="K222" s="1195">
        <f>IF(Vehi_Inputs!$B$14=2,K221,K220)</f>
        <v>29.194389765779231</v>
      </c>
      <c r="L222" s="1196">
        <f>IF(Vehi_Inputs!$B$14=2,L221,L220)</f>
        <v>33.156966398809544</v>
      </c>
      <c r="M222" s="521"/>
      <c r="N222" s="521"/>
      <c r="O222" s="521"/>
      <c r="P222" s="521"/>
      <c r="Q222" s="521"/>
      <c r="R222" s="521"/>
    </row>
    <row r="224" spans="1:32" ht="15">
      <c r="A224" s="134" t="s">
        <v>2699</v>
      </c>
      <c r="B224" s="521"/>
      <c r="C224" s="521"/>
      <c r="D224" s="521"/>
      <c r="E224" s="521"/>
      <c r="F224" s="521"/>
      <c r="G224" s="521"/>
      <c r="H224" s="521"/>
      <c r="I224" s="521"/>
      <c r="J224" s="521"/>
      <c r="K224" s="521"/>
      <c r="L224" s="521"/>
    </row>
    <row r="225" spans="1:12">
      <c r="A225" s="521"/>
      <c r="B225" s="63" t="s">
        <v>2307</v>
      </c>
      <c r="C225" s="521"/>
      <c r="D225" s="521"/>
      <c r="E225" s="521"/>
      <c r="F225" s="521"/>
      <c r="G225" s="521"/>
      <c r="H225" s="521"/>
      <c r="I225" s="521"/>
      <c r="J225" s="521"/>
      <c r="K225" s="521"/>
      <c r="L225" s="151"/>
    </row>
    <row r="226" spans="1:12">
      <c r="A226" s="1808"/>
      <c r="B226" s="1321"/>
      <c r="C226" s="1812">
        <f t="shared" ref="C226:K226" si="21">C227</f>
        <v>4437.3109400000003</v>
      </c>
      <c r="D226" s="1812">
        <f t="shared" si="21"/>
        <v>4662.04522</v>
      </c>
      <c r="E226" s="1812">
        <f t="shared" si="21"/>
        <v>5065.4906799999999</v>
      </c>
      <c r="F226" s="1812">
        <f t="shared" si="21"/>
        <v>4703.933</v>
      </c>
      <c r="G226" s="1812">
        <f t="shared" si="21"/>
        <v>4937.6227200000003</v>
      </c>
      <c r="H226" s="1812">
        <f t="shared" si="21"/>
        <v>4243.1674199999998</v>
      </c>
      <c r="I226" s="1812">
        <f t="shared" si="21"/>
        <v>4243.1674199999998</v>
      </c>
      <c r="J226" s="1812">
        <f t="shared" si="21"/>
        <v>4243.1674199999998</v>
      </c>
      <c r="K226" s="1812">
        <f t="shared" si="21"/>
        <v>4243.1674199999998</v>
      </c>
      <c r="L226" s="127"/>
    </row>
    <row r="227" spans="1:12">
      <c r="A227" s="1808"/>
      <c r="B227" s="1321"/>
      <c r="C227" s="631">
        <f>GetTSTableValue($B229:$K234,GREET1_Import_Export!$D$20,2)</f>
        <v>4437.3109400000003</v>
      </c>
      <c r="D227" s="631">
        <f>GetTSTableValue($B229:$K234,GREET1_Import_Export!$D$20,3)</f>
        <v>4662.04522</v>
      </c>
      <c r="E227" s="631">
        <f>GetTSTableValue($B229:$K234,GREET1_Import_Export!$D$20,4)</f>
        <v>5065.4906799999999</v>
      </c>
      <c r="F227" s="631">
        <f>GetTSTableValue($B229:$K234,GREET1_Import_Export!$D$20,5)</f>
        <v>4703.933</v>
      </c>
      <c r="G227" s="631">
        <f>GetTSTableValue($B229:$K234,GREET1_Import_Export!$D$20,6)</f>
        <v>4937.6227200000003</v>
      </c>
      <c r="H227" s="631">
        <f>GetTSTableValue($B229:$K234,GREET1_Import_Export!$D$20,7)</f>
        <v>4243.1674199999998</v>
      </c>
      <c r="I227" s="631">
        <f>GetTSTableValue($B229:$K234,GREET1_Import_Export!$D$20,8)</f>
        <v>4243.1674199999998</v>
      </c>
      <c r="J227" s="631">
        <f>GetTSTableValue($B229:$K234,GREET1_Import_Export!$D$20,9)</f>
        <v>4243.1674199999998</v>
      </c>
      <c r="K227" s="631">
        <f>GetTSTableValue($B229:$K234,GREET1_Import_Export!$D$20,10)</f>
        <v>4243.1674199999998</v>
      </c>
      <c r="L227" s="1811"/>
    </row>
    <row r="228" spans="1:12" ht="38.25">
      <c r="A228" s="1808"/>
      <c r="B228" s="2542" t="s">
        <v>2300</v>
      </c>
      <c r="C228" s="1192" t="s">
        <v>141</v>
      </c>
      <c r="D228" s="1474" t="s">
        <v>143</v>
      </c>
      <c r="E228" s="1474" t="s">
        <v>149</v>
      </c>
      <c r="F228" s="1474" t="s">
        <v>597</v>
      </c>
      <c r="G228" s="1474" t="s">
        <v>2302</v>
      </c>
      <c r="H228" s="1474" t="s">
        <v>2304</v>
      </c>
      <c r="I228" s="1474" t="s">
        <v>605</v>
      </c>
      <c r="J228" s="1474" t="s">
        <v>2305</v>
      </c>
      <c r="K228" s="1193" t="s">
        <v>2306</v>
      </c>
      <c r="L228" s="127"/>
    </row>
    <row r="229" spans="1:12" ht="15">
      <c r="A229" s="1808" t="s">
        <v>2301</v>
      </c>
      <c r="B229" s="1809">
        <v>2015</v>
      </c>
      <c r="C229" s="2587">
        <v>4437.3109400000003</v>
      </c>
      <c r="D229" s="1291">
        <v>4662.04522</v>
      </c>
      <c r="E229" s="1291">
        <v>5065.4906799999999</v>
      </c>
      <c r="F229" s="1291">
        <v>4703.933</v>
      </c>
      <c r="G229" s="2585">
        <v>4937.6227200000003</v>
      </c>
      <c r="H229" s="1291">
        <v>4243.1674199999998</v>
      </c>
      <c r="I229" s="2585">
        <v>4243.1674199999998</v>
      </c>
      <c r="J229" s="2585">
        <v>4243.1674199999998</v>
      </c>
      <c r="K229" s="2586">
        <v>4243.1674199999998</v>
      </c>
      <c r="L229" s="127"/>
    </row>
    <row r="230" spans="1:12" ht="15">
      <c r="A230" s="1808" t="s">
        <v>2301</v>
      </c>
      <c r="B230" s="1809">
        <v>2020</v>
      </c>
      <c r="C230" s="2587">
        <v>4470.9746771093169</v>
      </c>
      <c r="D230" s="1291">
        <v>4519.4763747899906</v>
      </c>
      <c r="E230" s="1291">
        <v>4246.9850187294815</v>
      </c>
      <c r="F230" s="1291">
        <v>4530.4994878992338</v>
      </c>
      <c r="G230" s="1291">
        <v>4537.11335576478</v>
      </c>
      <c r="H230" s="1291">
        <v>3966.1160967059477</v>
      </c>
      <c r="I230" s="1291">
        <v>3968.3207193277963</v>
      </c>
      <c r="J230" s="1291">
        <v>3972.7299645714938</v>
      </c>
      <c r="K230" s="1093">
        <v>3977.1392098151914</v>
      </c>
      <c r="L230" s="127"/>
    </row>
    <row r="231" spans="1:12" ht="15">
      <c r="A231" s="1808" t="s">
        <v>2301</v>
      </c>
      <c r="B231" s="1809">
        <v>2025</v>
      </c>
      <c r="C231" s="2587">
        <v>4100.5980766387229</v>
      </c>
      <c r="D231" s="1291">
        <v>4124.8489254790593</v>
      </c>
      <c r="E231" s="1291">
        <v>3865.5853051496438</v>
      </c>
      <c r="F231" s="1291">
        <v>4133.6674159664544</v>
      </c>
      <c r="G231" s="1291">
        <v>4140.2812838320006</v>
      </c>
      <c r="H231" s="1291">
        <v>3584.7163831261091</v>
      </c>
      <c r="I231" s="1291">
        <v>3586.9210057479581</v>
      </c>
      <c r="J231" s="1291">
        <v>3591.3302509916557</v>
      </c>
      <c r="K231" s="1093">
        <v>3595.7394962353533</v>
      </c>
      <c r="L231" s="127"/>
    </row>
    <row r="232" spans="1:12" ht="15">
      <c r="A232" s="1808" t="s">
        <v>2301</v>
      </c>
      <c r="B232" s="1809">
        <v>2030</v>
      </c>
      <c r="C232" s="2587">
        <v>4019.0270396303181</v>
      </c>
      <c r="D232" s="1291">
        <v>4027.8455301177132</v>
      </c>
      <c r="E232" s="1291">
        <v>3770.7865324101463</v>
      </c>
      <c r="F232" s="1291">
        <v>4034.4593979832598</v>
      </c>
      <c r="G232" s="1291">
        <v>4041.0732658488059</v>
      </c>
      <c r="H232" s="1291">
        <v>3487.7129877647631</v>
      </c>
      <c r="I232" s="1291">
        <v>3489.9176103866121</v>
      </c>
      <c r="J232" s="1291">
        <v>3492.1222330084606</v>
      </c>
      <c r="K232" s="1093">
        <v>3494.3268556303092</v>
      </c>
      <c r="L232" s="127"/>
    </row>
    <row r="233" spans="1:12" ht="15">
      <c r="A233" s="1808" t="s">
        <v>2301</v>
      </c>
      <c r="B233" s="1809">
        <v>2035</v>
      </c>
      <c r="C233" s="2587">
        <v>3937.4560026219133</v>
      </c>
      <c r="D233" s="1291">
        <v>3928.6375121345186</v>
      </c>
      <c r="E233" s="1291">
        <v>3671.5785144269516</v>
      </c>
      <c r="F233" s="1291">
        <v>3933.0467573782157</v>
      </c>
      <c r="G233" s="1291">
        <v>3937.4560026219133</v>
      </c>
      <c r="H233" s="1291">
        <v>3392.914215025266</v>
      </c>
      <c r="I233" s="1291">
        <v>3395.1188376471146</v>
      </c>
      <c r="J233" s="1291">
        <v>3397.3234602689636</v>
      </c>
      <c r="K233" s="1093">
        <v>3397.3234602689636</v>
      </c>
      <c r="L233" s="127"/>
    </row>
    <row r="234" spans="1:12" ht="15">
      <c r="A234" s="1808" t="s">
        <v>2301</v>
      </c>
      <c r="B234" s="1810">
        <v>2050</v>
      </c>
      <c r="C234" s="2588">
        <v>3761.0861928740114</v>
      </c>
      <c r="D234" s="1292">
        <v>3780.9277964706503</v>
      </c>
      <c r="E234" s="1292">
        <v>3532.6872892504784</v>
      </c>
      <c r="F234" s="1292">
        <v>3783.1324190924993</v>
      </c>
      <c r="G234" s="1292">
        <v>3791.9509095798944</v>
      </c>
      <c r="H234" s="1292">
        <v>3249.6137446050952</v>
      </c>
      <c r="I234" s="1292">
        <v>3251.8183672269442</v>
      </c>
      <c r="J234" s="1292">
        <v>3251.8183672269442</v>
      </c>
      <c r="K234" s="1493">
        <v>3254.0229898487933</v>
      </c>
      <c r="L234" s="363"/>
    </row>
    <row r="235" spans="1:12">
      <c r="A235" s="521"/>
      <c r="B235" s="521"/>
      <c r="C235" s="521"/>
      <c r="D235" s="521"/>
      <c r="E235" s="521"/>
      <c r="F235" s="521"/>
      <c r="G235" s="521"/>
      <c r="H235" s="521"/>
      <c r="I235" s="521"/>
      <c r="J235" s="521"/>
      <c r="K235" s="521"/>
      <c r="L235" s="363"/>
    </row>
    <row r="236" spans="1:12">
      <c r="A236" s="521"/>
      <c r="B236" s="521"/>
      <c r="C236" s="521"/>
      <c r="D236" s="521"/>
      <c r="E236" s="521"/>
      <c r="F236" s="521"/>
      <c r="G236" s="521"/>
      <c r="H236" s="521"/>
      <c r="I236" s="521"/>
      <c r="J236" s="521"/>
      <c r="K236" s="521"/>
      <c r="L236" s="521"/>
    </row>
    <row r="237" spans="1:12">
      <c r="A237" s="151"/>
      <c r="B237" s="63" t="s">
        <v>612</v>
      </c>
      <c r="C237" s="151"/>
      <c r="D237" s="521"/>
      <c r="E237" s="521"/>
      <c r="F237" s="521"/>
      <c r="G237" s="521"/>
      <c r="H237" s="521"/>
      <c r="I237" s="521"/>
      <c r="J237" s="521"/>
      <c r="K237" s="521"/>
      <c r="L237" s="521"/>
    </row>
    <row r="238" spans="1:12">
      <c r="A238" s="1808"/>
      <c r="B238" s="1321"/>
      <c r="C238" s="1812">
        <f t="shared" ref="C238:K238" si="22">C239</f>
        <v>4490.8109399999994</v>
      </c>
      <c r="D238" s="1812">
        <f t="shared" si="22"/>
        <v>4764.1838199999993</v>
      </c>
      <c r="E238" s="1812">
        <f t="shared" si="22"/>
        <v>5165.4246599999997</v>
      </c>
      <c r="F238" s="1812">
        <f t="shared" si="22"/>
        <v>5302.1111000000001</v>
      </c>
      <c r="G238" s="1812">
        <f t="shared" si="22"/>
        <v>5696.7380800000001</v>
      </c>
      <c r="H238" s="1812">
        <f t="shared" si="22"/>
        <v>6355.9194600000001</v>
      </c>
      <c r="I238" s="1812">
        <f t="shared" si="22"/>
        <v>6355.9194600000001</v>
      </c>
      <c r="J238" s="1812">
        <f t="shared" si="22"/>
        <v>6355.9194600000001</v>
      </c>
      <c r="K238" s="1812">
        <f t="shared" si="22"/>
        <v>6355.9194600000001</v>
      </c>
      <c r="L238" s="521"/>
    </row>
    <row r="239" spans="1:12">
      <c r="A239" s="1808"/>
      <c r="B239" s="1321"/>
      <c r="C239" s="631">
        <f>GetTSTableValue($B241:$K246,GREET1_Import_Export!$D$20,2)</f>
        <v>4490.8109399999994</v>
      </c>
      <c r="D239" s="631">
        <f>GetTSTableValue($B241:$K246,GREET1_Import_Export!$D$20,3)</f>
        <v>4764.1838199999993</v>
      </c>
      <c r="E239" s="631">
        <f>GetTSTableValue($B241:$K246,GREET1_Import_Export!$D$20,4)</f>
        <v>5165.4246599999997</v>
      </c>
      <c r="F239" s="631">
        <f>GetTSTableValue($B241:$K246,GREET1_Import_Export!$D$20,5)</f>
        <v>5302.1111000000001</v>
      </c>
      <c r="G239" s="631">
        <f>GetTSTableValue($B241:$K246,GREET1_Import_Export!$D$20,6)</f>
        <v>5696.7380800000001</v>
      </c>
      <c r="H239" s="631">
        <f>GetTSTableValue($B241:$K246,GREET1_Import_Export!$D$20,7)</f>
        <v>6355.9194600000001</v>
      </c>
      <c r="I239" s="631">
        <f>GetTSTableValue($B241:$K246,GREET1_Import_Export!$D$20,8)</f>
        <v>6355.9194600000001</v>
      </c>
      <c r="J239" s="631">
        <f>GetTSTableValue($B241:$K246,GREET1_Import_Export!$D$20,9)</f>
        <v>6355.9194600000001</v>
      </c>
      <c r="K239" s="631">
        <f>GetTSTableValue($B241:$K246,GREET1_Import_Export!$D$20,10)</f>
        <v>6355.9194600000001</v>
      </c>
      <c r="L239" s="521"/>
    </row>
    <row r="240" spans="1:12" ht="38.25">
      <c r="A240" s="1808"/>
      <c r="B240" s="2542" t="s">
        <v>2300</v>
      </c>
      <c r="C240" s="1192" t="s">
        <v>141</v>
      </c>
      <c r="D240" s="1474" t="s">
        <v>143</v>
      </c>
      <c r="E240" s="1474" t="s">
        <v>149</v>
      </c>
      <c r="F240" s="1474" t="s">
        <v>597</v>
      </c>
      <c r="G240" s="1474" t="s">
        <v>2302</v>
      </c>
      <c r="H240" s="1474" t="s">
        <v>2304</v>
      </c>
      <c r="I240" s="1474" t="s">
        <v>605</v>
      </c>
      <c r="J240" s="1474" t="s">
        <v>2305</v>
      </c>
      <c r="K240" s="1193" t="s">
        <v>2306</v>
      </c>
      <c r="L240" s="521"/>
    </row>
    <row r="241" spans="1:12" ht="15">
      <c r="A241" s="1808" t="s">
        <v>2301</v>
      </c>
      <c r="B241" s="1809">
        <v>2015</v>
      </c>
      <c r="C241" s="2587">
        <v>4490.8109399999994</v>
      </c>
      <c r="D241" s="1291">
        <v>4764.1838199999993</v>
      </c>
      <c r="E241" s="1291">
        <v>5165.4246599999997</v>
      </c>
      <c r="F241" s="1291">
        <v>5302.1111000000001</v>
      </c>
      <c r="G241" s="2585">
        <v>5696.7380800000001</v>
      </c>
      <c r="H241" s="1291">
        <v>6355.9194600000001</v>
      </c>
      <c r="I241" s="2585">
        <v>6355.9194600000001</v>
      </c>
      <c r="J241" s="2585">
        <v>6355.9194600000001</v>
      </c>
      <c r="K241" s="2586">
        <v>6355.9194600000001</v>
      </c>
      <c r="L241" s="521"/>
    </row>
    <row r="242" spans="1:12" ht="15">
      <c r="A242" s="1808" t="s">
        <v>2301</v>
      </c>
      <c r="B242" s="1809">
        <v>2020</v>
      </c>
      <c r="C242" s="2587">
        <v>4515.0671295462926</v>
      </c>
      <c r="D242" s="1291">
        <v>4618.6843927731852</v>
      </c>
      <c r="E242" s="1291">
        <v>4963.4873708303339</v>
      </c>
      <c r="F242" s="1291">
        <v>4918.513069344619</v>
      </c>
      <c r="G242" s="1291">
        <v>5244.7972173782373</v>
      </c>
      <c r="H242" s="1291">
        <v>4887.6483526387356</v>
      </c>
      <c r="I242" s="1291">
        <v>5410.1439140168959</v>
      </c>
      <c r="J242" s="1291">
        <v>6082.5538136807727</v>
      </c>
      <c r="K242" s="1093">
        <v>6913.6965421177601</v>
      </c>
      <c r="L242" s="521"/>
    </row>
    <row r="243" spans="1:12" ht="15">
      <c r="A243" s="1808" t="s">
        <v>2301</v>
      </c>
      <c r="B243" s="1809">
        <v>2025</v>
      </c>
      <c r="C243" s="2587">
        <v>4144.6905290756986</v>
      </c>
      <c r="D243" s="1291">
        <v>4217.4430755967078</v>
      </c>
      <c r="E243" s="1291">
        <v>4363.8300176874664</v>
      </c>
      <c r="F243" s="1291">
        <v>4415.8591115630979</v>
      </c>
      <c r="G243" s="1291">
        <v>4634.1167511261265</v>
      </c>
      <c r="H243" s="1291">
        <v>4442.3145830252824</v>
      </c>
      <c r="I243" s="1291">
        <v>4916.30844672277</v>
      </c>
      <c r="J243" s="1291">
        <v>5542.4212713278221</v>
      </c>
      <c r="K243" s="1093">
        <v>6303.0160758656502</v>
      </c>
      <c r="L243" s="521"/>
    </row>
    <row r="244" spans="1:12" ht="15">
      <c r="A244" s="1808" t="s">
        <v>2301</v>
      </c>
      <c r="B244" s="1809">
        <v>2030</v>
      </c>
      <c r="C244" s="2587">
        <v>4063.1194920672938</v>
      </c>
      <c r="D244" s="1291">
        <v>4107.211944504269</v>
      </c>
      <c r="E244" s="1291">
        <v>4251.3942639731795</v>
      </c>
      <c r="F244" s="1291">
        <v>4259.3309054118345</v>
      </c>
      <c r="G244" s="1291">
        <v>4488.6116580841081</v>
      </c>
      <c r="H244" s="1291">
        <v>4118.2350576135132</v>
      </c>
      <c r="I244" s="1291">
        <v>4440.1099604034343</v>
      </c>
      <c r="J244" s="1291">
        <v>4898.6714657479797</v>
      </c>
      <c r="K244" s="1093">
        <v>5366.0514615799193</v>
      </c>
      <c r="L244" s="521"/>
    </row>
    <row r="245" spans="1:12" ht="15">
      <c r="A245" s="1808" t="s">
        <v>2301</v>
      </c>
      <c r="B245" s="1809">
        <v>2035</v>
      </c>
      <c r="C245" s="2587">
        <v>3981.548455058889</v>
      </c>
      <c r="D245" s="1291">
        <v>4001.3900586555283</v>
      </c>
      <c r="E245" s="1291">
        <v>4136.7538876370427</v>
      </c>
      <c r="F245" s="1291">
        <v>4133.6674159664544</v>
      </c>
      <c r="G245" s="1291">
        <v>4332.0834519328437</v>
      </c>
      <c r="H245" s="1291">
        <v>3970.5253419496448</v>
      </c>
      <c r="I245" s="1291">
        <v>4340.9019424202397</v>
      </c>
      <c r="J245" s="1291">
        <v>4680.4138261849512</v>
      </c>
      <c r="K245" s="1093">
        <v>5006.6979742185695</v>
      </c>
      <c r="L245" s="521"/>
    </row>
    <row r="246" spans="1:12" ht="15">
      <c r="A246" s="1808" t="s">
        <v>2301</v>
      </c>
      <c r="B246" s="1810">
        <v>2050</v>
      </c>
      <c r="C246" s="2588">
        <v>3805.1786453109871</v>
      </c>
      <c r="D246" s="1292">
        <v>3851.4757203698109</v>
      </c>
      <c r="E246" s="1292">
        <v>3973.6118136202335</v>
      </c>
      <c r="F246" s="1292">
        <v>3961.7068514622501</v>
      </c>
      <c r="G246" s="1292">
        <v>4138.0766612101525</v>
      </c>
      <c r="H246" s="1292">
        <v>3703.766004705943</v>
      </c>
      <c r="I246" s="1292">
        <v>3981.548455058889</v>
      </c>
      <c r="J246" s="1292">
        <v>4232.8754339496491</v>
      </c>
      <c r="K246" s="1493">
        <v>4499.6347711933513</v>
      </c>
      <c r="L246" s="521"/>
    </row>
    <row r="247" spans="1:12">
      <c r="A247" s="521"/>
      <c r="B247" s="521"/>
      <c r="C247" s="521"/>
      <c r="D247" s="521"/>
      <c r="E247" s="521"/>
      <c r="F247" s="521"/>
      <c r="G247" s="521"/>
      <c r="H247" s="521"/>
      <c r="I247" s="521"/>
      <c r="J247" s="521"/>
      <c r="K247" s="521"/>
      <c r="L247" s="521"/>
    </row>
    <row r="248" spans="1:12">
      <c r="A248" s="521"/>
      <c r="B248" s="63" t="s">
        <v>2312</v>
      </c>
      <c r="C248" s="521"/>
      <c r="D248" s="521"/>
      <c r="E248" s="521"/>
      <c r="F248" s="521"/>
      <c r="G248" s="521"/>
      <c r="H248" s="521"/>
      <c r="I248" s="521"/>
      <c r="J248" s="521"/>
      <c r="K248" s="521"/>
      <c r="L248" s="521"/>
    </row>
    <row r="249" spans="1:12">
      <c r="A249" s="1808"/>
      <c r="B249" s="1321"/>
      <c r="C249" s="1812">
        <f t="shared" ref="C249:H249" si="23">C250</f>
        <v>13.419200500000001</v>
      </c>
      <c r="D249" s="1812">
        <f t="shared" si="23"/>
        <v>23.726614999999999</v>
      </c>
      <c r="E249" s="1812">
        <f t="shared" si="23"/>
        <v>135.345585789474</v>
      </c>
      <c r="F249" s="1812">
        <f t="shared" si="23"/>
        <v>135.345585789474</v>
      </c>
      <c r="G249" s="1812">
        <f t="shared" si="23"/>
        <v>135.345585789474</v>
      </c>
      <c r="H249" s="1812">
        <f t="shared" si="23"/>
        <v>135.345585789474</v>
      </c>
      <c r="I249" s="522"/>
      <c r="J249" s="522"/>
      <c r="K249" s="522"/>
      <c r="L249" s="521"/>
    </row>
    <row r="250" spans="1:12">
      <c r="A250" s="1808"/>
      <c r="B250" s="1321"/>
      <c r="C250" s="631">
        <f>GetTSTableValue($B252:$H257,GREET1_Import_Export!$D$20,2)</f>
        <v>13.419200500000001</v>
      </c>
      <c r="D250" s="631">
        <f>GetTSTableValue($B252:$H257,GREET1_Import_Export!$D$20,3)</f>
        <v>23.726614999999999</v>
      </c>
      <c r="E250" s="631">
        <f>GetTSTableValue($B252:$H257,GREET1_Import_Export!$D$20,4)</f>
        <v>135.345585789474</v>
      </c>
      <c r="F250" s="631">
        <f>GetTSTableValue($B252:$H257,GREET1_Import_Export!$D$20,5)</f>
        <v>135.345585789474</v>
      </c>
      <c r="G250" s="631">
        <f>GetTSTableValue($B252:$H257,GREET1_Import_Export!$D$20,6)</f>
        <v>135.345585789474</v>
      </c>
      <c r="H250" s="631">
        <f>GetTSTableValue($B252:$H257,GREET1_Import_Export!$D$20,7)</f>
        <v>135.345585789474</v>
      </c>
      <c r="I250" s="631"/>
      <c r="J250" s="631"/>
      <c r="K250" s="631"/>
      <c r="L250" s="521"/>
    </row>
    <row r="251" spans="1:12" ht="38.25">
      <c r="A251" s="1808"/>
      <c r="B251" s="1702" t="s">
        <v>2300</v>
      </c>
      <c r="C251" s="1192" t="s">
        <v>597</v>
      </c>
      <c r="D251" s="1474" t="s">
        <v>2302</v>
      </c>
      <c r="E251" s="1474" t="s">
        <v>2304</v>
      </c>
      <c r="F251" s="1474" t="s">
        <v>605</v>
      </c>
      <c r="G251" s="1474" t="s">
        <v>2305</v>
      </c>
      <c r="H251" s="1193" t="s">
        <v>2306</v>
      </c>
      <c r="I251" s="521"/>
      <c r="J251" s="521"/>
      <c r="K251" s="521"/>
      <c r="L251" s="521"/>
    </row>
    <row r="252" spans="1:12">
      <c r="A252" s="1808" t="s">
        <v>2301</v>
      </c>
      <c r="B252" s="2589">
        <v>2015</v>
      </c>
      <c r="C252" s="1486">
        <v>13.419200500000001</v>
      </c>
      <c r="D252" s="2591">
        <v>23.726614999999999</v>
      </c>
      <c r="E252" s="2592">
        <v>135.345585789474</v>
      </c>
      <c r="F252" s="2593">
        <v>135.345585789474</v>
      </c>
      <c r="G252" s="2593">
        <v>135.345585789474</v>
      </c>
      <c r="H252" s="2594">
        <v>135.345585789474</v>
      </c>
      <c r="I252" s="521"/>
      <c r="J252" s="521"/>
      <c r="K252" s="521"/>
      <c r="L252" s="521"/>
    </row>
    <row r="253" spans="1:12">
      <c r="A253" s="1808" t="s">
        <v>2301</v>
      </c>
      <c r="B253" s="2589">
        <v>2020</v>
      </c>
      <c r="C253" s="1506">
        <v>13.405413599999999</v>
      </c>
      <c r="D253" s="1291">
        <v>30.122474399999998</v>
      </c>
      <c r="E253" s="1291">
        <v>75.263903999999997</v>
      </c>
      <c r="F253" s="1291">
        <v>119.72086419999999</v>
      </c>
      <c r="G253" s="1291">
        <v>177.03169489999999</v>
      </c>
      <c r="H253" s="1093">
        <v>247.80742559999999</v>
      </c>
      <c r="I253" s="521"/>
      <c r="J253" s="521"/>
      <c r="K253" s="521"/>
      <c r="L253" s="521"/>
    </row>
    <row r="254" spans="1:12">
      <c r="A254" s="1808" t="s">
        <v>2301</v>
      </c>
      <c r="B254" s="2589">
        <v>2025</v>
      </c>
      <c r="C254" s="1506">
        <v>12.3762384</v>
      </c>
      <c r="D254" s="1291">
        <v>27.690011999999999</v>
      </c>
      <c r="E254" s="1291">
        <v>69.761502699999994</v>
      </c>
      <c r="F254" s="1291">
        <v>110.1818182</v>
      </c>
      <c r="G254" s="1291">
        <v>163.44996479999998</v>
      </c>
      <c r="H254" s="1093">
        <v>228.18863810000002</v>
      </c>
      <c r="I254" s="521"/>
      <c r="J254" s="521"/>
      <c r="K254" s="521"/>
      <c r="L254" s="521"/>
    </row>
    <row r="255" spans="1:12">
      <c r="A255" s="1808" t="s">
        <v>2301</v>
      </c>
      <c r="B255" s="2589">
        <v>2030</v>
      </c>
      <c r="C255" s="1506">
        <v>11.459664</v>
      </c>
      <c r="D255" s="1291">
        <v>25.647407999999999</v>
      </c>
      <c r="E255" s="1291">
        <v>67.888259999999988</v>
      </c>
      <c r="F255" s="1291">
        <v>104.93110659999999</v>
      </c>
      <c r="G255" s="1291">
        <v>158.04350640000001</v>
      </c>
      <c r="H255" s="1093">
        <v>211.7611469</v>
      </c>
      <c r="I255" s="521"/>
      <c r="J255" s="521"/>
      <c r="K255" s="521"/>
      <c r="L255" s="521"/>
    </row>
    <row r="256" spans="1:12">
      <c r="A256" s="1808" t="s">
        <v>2301</v>
      </c>
      <c r="B256" s="2589">
        <v>2035</v>
      </c>
      <c r="C256" s="1506">
        <v>10.4139</v>
      </c>
      <c r="D256" s="1291">
        <v>23.3423856</v>
      </c>
      <c r="E256" s="1291">
        <v>61.702231699999999</v>
      </c>
      <c r="F256" s="1291">
        <v>104.3473882</v>
      </c>
      <c r="G256" s="1291">
        <v>143.39139699999998</v>
      </c>
      <c r="H256" s="1093">
        <v>181.18562109999999</v>
      </c>
      <c r="I256" s="521"/>
      <c r="J256" s="521"/>
      <c r="K256" s="521"/>
      <c r="L256" s="521"/>
    </row>
    <row r="257" spans="1:12">
      <c r="A257" s="1808" t="s">
        <v>2301</v>
      </c>
      <c r="B257" s="2590">
        <v>2050</v>
      </c>
      <c r="C257" s="1492">
        <v>8.7301584000000005</v>
      </c>
      <c r="D257" s="1292">
        <v>19.6540344</v>
      </c>
      <c r="E257" s="1292">
        <v>55.453234999999999</v>
      </c>
      <c r="F257" s="1292">
        <v>92.766824600000007</v>
      </c>
      <c r="G257" s="1292">
        <v>126.65172530000001</v>
      </c>
      <c r="H257" s="1493">
        <v>162.23161679999998</v>
      </c>
      <c r="I257" s="521"/>
      <c r="J257" s="521"/>
      <c r="K257" s="521"/>
      <c r="L257" s="521"/>
    </row>
    <row r="258" spans="1:12">
      <c r="A258" s="521"/>
      <c r="B258" s="521"/>
      <c r="C258" s="521"/>
      <c r="D258" s="521"/>
      <c r="E258" s="521"/>
      <c r="F258" s="521"/>
      <c r="G258" s="521"/>
      <c r="H258" s="521"/>
      <c r="I258" s="521"/>
      <c r="J258" s="521"/>
      <c r="K258" s="521"/>
      <c r="L258" s="521"/>
    </row>
    <row r="259" spans="1:12">
      <c r="A259" s="151"/>
      <c r="B259" s="63" t="s">
        <v>2311</v>
      </c>
      <c r="C259" s="151"/>
      <c r="D259" s="521"/>
      <c r="E259" s="521"/>
      <c r="F259" s="521"/>
      <c r="G259" s="521"/>
      <c r="H259" s="521"/>
      <c r="I259" s="521"/>
      <c r="J259" s="521"/>
      <c r="K259" s="521"/>
      <c r="L259" s="521"/>
    </row>
    <row r="260" spans="1:12">
      <c r="A260" s="1808"/>
      <c r="B260" s="1321"/>
      <c r="C260" s="1812">
        <f>C261</f>
        <v>52.667999999999999</v>
      </c>
      <c r="D260" s="1812">
        <f>D261</f>
        <v>51.470999999999997</v>
      </c>
      <c r="E260" s="522"/>
      <c r="F260" s="521"/>
      <c r="G260" s="521"/>
      <c r="H260" s="521"/>
      <c r="I260" s="521"/>
      <c r="J260" s="521"/>
      <c r="K260" s="521"/>
      <c r="L260" s="521"/>
    </row>
    <row r="261" spans="1:12">
      <c r="A261" s="1808"/>
      <c r="B261" s="1321"/>
      <c r="C261" s="631">
        <f>GetTSTableValue($B263:$D268,GREET1_Import_Export!$D$20,2)</f>
        <v>52.667999999999999</v>
      </c>
      <c r="D261" s="631">
        <f>GetTSTableValue($B263:$D268,GREET1_Import_Export!$D$20,3)</f>
        <v>51.470999999999997</v>
      </c>
      <c r="E261" s="631"/>
      <c r="F261" s="521"/>
      <c r="G261" s="521"/>
      <c r="H261" s="521"/>
      <c r="I261" s="521"/>
      <c r="J261" s="521"/>
      <c r="K261" s="521"/>
      <c r="L261" s="521"/>
    </row>
    <row r="262" spans="1:12" ht="38.25">
      <c r="A262" s="1808"/>
      <c r="B262" s="2542" t="s">
        <v>2300</v>
      </c>
      <c r="C262" s="1192" t="s">
        <v>143</v>
      </c>
      <c r="D262" s="1193" t="s">
        <v>149</v>
      </c>
      <c r="E262" s="521"/>
      <c r="F262" s="521"/>
      <c r="G262" s="521"/>
      <c r="H262" s="521"/>
      <c r="I262" s="521"/>
      <c r="J262" s="521"/>
      <c r="K262" s="521"/>
      <c r="L262" s="521"/>
    </row>
    <row r="263" spans="1:12">
      <c r="A263" s="1808" t="s">
        <v>2301</v>
      </c>
      <c r="B263" s="1809">
        <v>2015</v>
      </c>
      <c r="C263" s="2598">
        <v>52.667999999999999</v>
      </c>
      <c r="D263" s="2599">
        <v>51.470999999999997</v>
      </c>
      <c r="E263" s="521"/>
      <c r="F263" s="521"/>
      <c r="G263" s="521"/>
      <c r="H263" s="521"/>
      <c r="I263" s="521"/>
      <c r="J263" s="521"/>
      <c r="K263" s="521"/>
      <c r="L263" s="521"/>
    </row>
    <row r="264" spans="1:12">
      <c r="A264" s="1808" t="s">
        <v>2301</v>
      </c>
      <c r="B264" s="1809">
        <v>2020</v>
      </c>
      <c r="C264" s="1506">
        <v>39.560558799999995</v>
      </c>
      <c r="D264" s="1093">
        <v>49.450698500000001</v>
      </c>
      <c r="E264" s="521"/>
      <c r="F264" s="521"/>
      <c r="G264" s="521"/>
      <c r="H264" s="521"/>
      <c r="I264" s="521"/>
      <c r="J264" s="521"/>
      <c r="K264" s="521"/>
      <c r="L264" s="521"/>
    </row>
    <row r="265" spans="1:12">
      <c r="A265" s="1808" t="s">
        <v>2301</v>
      </c>
      <c r="B265" s="1809">
        <v>2025</v>
      </c>
      <c r="C265" s="1506">
        <v>36.263845600000003</v>
      </c>
      <c r="D265" s="1093">
        <v>42.857272100000003</v>
      </c>
      <c r="E265" s="521"/>
      <c r="F265" s="521"/>
      <c r="G265" s="521"/>
      <c r="H265" s="521"/>
      <c r="I265" s="521"/>
      <c r="J265" s="521"/>
      <c r="K265" s="521"/>
      <c r="L265" s="521"/>
    </row>
    <row r="266" spans="1:12">
      <c r="A266" s="1808" t="s">
        <v>2301</v>
      </c>
      <c r="B266" s="1809">
        <v>2030</v>
      </c>
      <c r="C266" s="1506">
        <v>36.263845600000003</v>
      </c>
      <c r="D266" s="1093">
        <v>42.857272100000003</v>
      </c>
      <c r="E266" s="521"/>
      <c r="F266" s="521"/>
      <c r="G266" s="521"/>
      <c r="H266" s="521"/>
      <c r="I266" s="521"/>
      <c r="J266" s="521"/>
      <c r="K266" s="521"/>
      <c r="L266" s="521"/>
    </row>
    <row r="267" spans="1:12">
      <c r="A267" s="1808" t="s">
        <v>2301</v>
      </c>
      <c r="B267" s="1809">
        <v>2035</v>
      </c>
      <c r="C267" s="1506">
        <v>34.6913731</v>
      </c>
      <c r="D267" s="1093">
        <v>40.998895499999996</v>
      </c>
      <c r="E267" s="521"/>
      <c r="F267" s="521"/>
      <c r="G267" s="521"/>
      <c r="H267" s="521"/>
      <c r="I267" s="521"/>
      <c r="J267" s="521"/>
      <c r="K267" s="521"/>
      <c r="L267" s="521"/>
    </row>
    <row r="268" spans="1:12">
      <c r="A268" s="1808" t="s">
        <v>2301</v>
      </c>
      <c r="B268" s="1810">
        <v>2050</v>
      </c>
      <c r="C268" s="1492">
        <v>34.6913731</v>
      </c>
      <c r="D268" s="1493">
        <v>40.998895499999996</v>
      </c>
      <c r="E268" s="521"/>
      <c r="F268" s="521"/>
      <c r="G268" s="521"/>
      <c r="H268" s="521"/>
      <c r="I268" s="521"/>
      <c r="J268" s="521"/>
      <c r="K268" s="521"/>
      <c r="L268" s="521"/>
    </row>
    <row r="269" spans="1:12">
      <c r="A269" s="521"/>
      <c r="B269" s="521"/>
      <c r="C269" s="521"/>
      <c r="D269" s="521"/>
      <c r="E269" s="521"/>
      <c r="F269" s="521"/>
      <c r="G269" s="521"/>
      <c r="H269" s="521"/>
      <c r="I269" s="521"/>
      <c r="J269" s="521"/>
      <c r="K269" s="521"/>
      <c r="L269" s="521"/>
    </row>
    <row r="270" spans="1:12">
      <c r="A270" s="151"/>
      <c r="B270" s="63" t="s">
        <v>2706</v>
      </c>
      <c r="C270" s="151"/>
      <c r="D270" s="521"/>
      <c r="E270" s="521"/>
      <c r="F270" s="521"/>
      <c r="G270" s="521"/>
      <c r="H270" s="521"/>
      <c r="I270" s="521"/>
      <c r="J270" s="521"/>
      <c r="K270" s="521"/>
      <c r="L270" s="521"/>
    </row>
    <row r="271" spans="1:12">
      <c r="A271" s="1808"/>
      <c r="B271" s="1321"/>
      <c r="C271" s="1812">
        <f>C272</f>
        <v>140.85900000000001</v>
      </c>
      <c r="D271" s="158"/>
      <c r="E271" s="363"/>
      <c r="F271" s="158"/>
      <c r="G271" s="158"/>
      <c r="H271" s="158"/>
      <c r="I271" s="158"/>
      <c r="J271" s="158"/>
      <c r="K271" s="158"/>
      <c r="L271" s="521"/>
    </row>
    <row r="272" spans="1:12">
      <c r="A272" s="1808"/>
      <c r="B272" s="1321"/>
      <c r="C272" s="631">
        <f>GetTSTableValue($B274:$C279,GREET1_Import_Export!$D$20,2)</f>
        <v>140.85900000000001</v>
      </c>
      <c r="D272" s="158"/>
      <c r="E272" s="363"/>
      <c r="F272" s="158"/>
      <c r="G272" s="158"/>
      <c r="H272" s="158"/>
      <c r="I272" s="158"/>
      <c r="J272" s="158"/>
      <c r="K272" s="158"/>
      <c r="L272" s="521"/>
    </row>
    <row r="273" spans="1:12" ht="38.25">
      <c r="A273" s="1808"/>
      <c r="B273" s="2542" t="s">
        <v>2300</v>
      </c>
      <c r="C273" s="1823" t="s">
        <v>149</v>
      </c>
      <c r="D273" s="565"/>
      <c r="E273" s="363"/>
      <c r="F273" s="565"/>
      <c r="G273" s="565"/>
      <c r="H273" s="565"/>
      <c r="I273" s="565"/>
      <c r="J273" s="565"/>
      <c r="K273" s="565"/>
      <c r="L273" s="521"/>
    </row>
    <row r="274" spans="1:12">
      <c r="A274" s="1808" t="s">
        <v>2301</v>
      </c>
      <c r="B274" s="1809">
        <v>2015</v>
      </c>
      <c r="C274" s="2600">
        <v>140.85900000000001</v>
      </c>
      <c r="D274" s="1822"/>
      <c r="E274" s="363"/>
      <c r="F274" s="976"/>
      <c r="G274" s="976"/>
      <c r="H274" s="1291"/>
      <c r="I274" s="1291"/>
      <c r="J274" s="1291"/>
      <c r="K274" s="1291"/>
      <c r="L274" s="521"/>
    </row>
    <row r="275" spans="1:12">
      <c r="A275" s="1808" t="s">
        <v>2301</v>
      </c>
      <c r="B275" s="1809">
        <v>2020</v>
      </c>
      <c r="C275" s="1507">
        <v>169.76</v>
      </c>
      <c r="D275" s="1291"/>
      <c r="E275" s="363"/>
      <c r="F275" s="1291"/>
      <c r="G275" s="1291"/>
      <c r="H275" s="1291"/>
      <c r="I275" s="1291"/>
      <c r="J275" s="1291"/>
      <c r="K275" s="1291"/>
      <c r="L275" s="521"/>
    </row>
    <row r="276" spans="1:12">
      <c r="A276" s="1808" t="s">
        <v>2301</v>
      </c>
      <c r="B276" s="1809">
        <v>2025</v>
      </c>
      <c r="C276" s="1507">
        <v>150.31399999999999</v>
      </c>
      <c r="D276" s="1291"/>
      <c r="E276" s="363"/>
      <c r="F276" s="1291"/>
      <c r="G276" s="1291"/>
      <c r="H276" s="1291"/>
      <c r="I276" s="1291"/>
      <c r="J276" s="1291"/>
      <c r="K276" s="1291"/>
      <c r="L276" s="521"/>
    </row>
    <row r="277" spans="1:12">
      <c r="A277" s="1808" t="s">
        <v>2301</v>
      </c>
      <c r="B277" s="1809">
        <v>2030</v>
      </c>
      <c r="C277" s="1507">
        <v>145.94800000000001</v>
      </c>
      <c r="D277" s="1291"/>
      <c r="E277" s="363"/>
      <c r="F277" s="1291"/>
      <c r="G277" s="1291"/>
      <c r="H277" s="1291"/>
      <c r="I277" s="1291"/>
      <c r="J277" s="1291"/>
      <c r="K277" s="1291"/>
      <c r="L277" s="521"/>
    </row>
    <row r="278" spans="1:12">
      <c r="A278" s="1808" t="s">
        <v>2301</v>
      </c>
      <c r="B278" s="1809">
        <v>2035</v>
      </c>
      <c r="C278" s="1507">
        <v>142.21299999999999</v>
      </c>
      <c r="D278" s="1291"/>
      <c r="E278" s="363"/>
      <c r="F278" s="1291"/>
      <c r="G278" s="1291"/>
      <c r="H278" s="1291"/>
      <c r="I278" s="1291"/>
      <c r="J278" s="1291"/>
      <c r="K278" s="1291"/>
      <c r="L278" s="521"/>
    </row>
    <row r="279" spans="1:12">
      <c r="A279" s="1808" t="s">
        <v>2301</v>
      </c>
      <c r="B279" s="1810">
        <v>2050</v>
      </c>
      <c r="C279" s="1508">
        <v>134.80799999999999</v>
      </c>
      <c r="D279" s="1291"/>
      <c r="E279" s="363"/>
      <c r="F279" s="1291"/>
      <c r="G279" s="1291"/>
      <c r="H279" s="1291"/>
      <c r="I279" s="1291"/>
      <c r="J279" s="1291"/>
      <c r="K279" s="1291"/>
      <c r="L279" s="521"/>
    </row>
  </sheetData>
  <phoneticPr fontId="4" type="noConversion"/>
  <pageMargins left="0.75" right="0.75" top="1" bottom="1" header="0.5" footer="0.5"/>
  <pageSetup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T270"/>
  <sheetViews>
    <sheetView showGridLines="0" zoomScale="85" zoomScaleNormal="85" workbookViewId="0"/>
  </sheetViews>
  <sheetFormatPr defaultColWidth="9.140625" defaultRowHeight="12.75"/>
  <cols>
    <col min="1" max="1" width="43.42578125" style="1" customWidth="1"/>
    <col min="2" max="2" width="10.85546875" style="1" customWidth="1"/>
    <col min="3" max="3" width="11.28515625" style="1" customWidth="1"/>
    <col min="4" max="4" width="11.140625" style="1" customWidth="1"/>
    <col min="5" max="5" width="10.7109375" style="1" customWidth="1"/>
    <col min="6" max="6" width="9.85546875" style="1" customWidth="1"/>
    <col min="7" max="7" width="11.42578125" style="1" customWidth="1"/>
    <col min="8" max="9" width="10.42578125" style="1" customWidth="1"/>
    <col min="10" max="10" width="10.140625" style="1" customWidth="1"/>
    <col min="11" max="11" width="12.7109375" style="1" bestFit="1" customWidth="1"/>
    <col min="12" max="12" width="9.42578125" style="1" bestFit="1" customWidth="1"/>
    <col min="13" max="13" width="12.7109375" style="1" bestFit="1" customWidth="1"/>
    <col min="14" max="14" width="9.28515625" style="1" bestFit="1" customWidth="1"/>
    <col min="15" max="15" width="12.7109375" style="1" bestFit="1" customWidth="1"/>
    <col min="16" max="16" width="9.28515625" style="1" bestFit="1" customWidth="1"/>
    <col min="17" max="17" width="12.7109375" style="1" bestFit="1" customWidth="1"/>
    <col min="18" max="18" width="9.28515625" style="1" bestFit="1" customWidth="1"/>
    <col min="19" max="19" width="12.7109375" style="1" bestFit="1" customWidth="1"/>
    <col min="20" max="20" width="9.28515625" style="1" bestFit="1" customWidth="1"/>
    <col min="21" max="21" width="12.7109375" style="1" bestFit="1" customWidth="1"/>
    <col min="22" max="22" width="9.28515625" style="1" bestFit="1" customWidth="1"/>
    <col min="23" max="23" width="11.85546875" style="1" bestFit="1" customWidth="1"/>
    <col min="24" max="24" width="9.140625" style="1"/>
    <col min="25" max="25" width="12.7109375" style="1" bestFit="1" customWidth="1"/>
    <col min="26" max="26" width="10.28515625" style="1" bestFit="1" customWidth="1"/>
    <col min="27" max="27" width="11.85546875" style="1" bestFit="1" customWidth="1"/>
    <col min="28" max="28" width="9.28515625" style="1" bestFit="1" customWidth="1"/>
    <col min="29" max="29" width="11.85546875" style="1" bestFit="1" customWidth="1"/>
    <col min="30" max="30" width="9.42578125" style="1" bestFit="1" customWidth="1"/>
    <col min="31" max="31" width="9.85546875" style="1" bestFit="1" customWidth="1"/>
    <col min="32" max="33" width="9.42578125" style="1" bestFit="1" customWidth="1"/>
    <col min="34" max="34" width="9.28515625" style="1" bestFit="1" customWidth="1"/>
    <col min="35" max="35" width="9.140625" style="1"/>
    <col min="36" max="36" width="9.42578125" style="1" bestFit="1" customWidth="1"/>
    <col min="37" max="37" width="9.28515625" style="1" bestFit="1" customWidth="1"/>
    <col min="38" max="38" width="9.140625" style="1"/>
    <col min="39" max="40" width="9.28515625" style="1" bestFit="1" customWidth="1"/>
    <col min="41" max="41" width="9.42578125" style="1" bestFit="1" customWidth="1"/>
    <col min="42" max="42" width="10.42578125" style="1" customWidth="1"/>
    <col min="43" max="43" width="9.42578125" style="1" bestFit="1" customWidth="1"/>
    <col min="44" max="44" width="9.28515625" style="1" bestFit="1" customWidth="1"/>
    <col min="45" max="45" width="9.42578125" style="1" bestFit="1" customWidth="1"/>
    <col min="46" max="16384" width="9.140625" style="1"/>
  </cols>
  <sheetData>
    <row r="1" spans="1:25" ht="15.75">
      <c r="A1" s="2" t="s">
        <v>753</v>
      </c>
    </row>
    <row r="3" spans="1:25" ht="15">
      <c r="A3" s="75" t="s">
        <v>754</v>
      </c>
    </row>
    <row r="4" spans="1:25">
      <c r="A4" s="3" t="s">
        <v>755</v>
      </c>
    </row>
    <row r="5" spans="1:25" ht="25.5">
      <c r="A5" s="264" t="str">
        <f>Mat_Inputs!B179</f>
        <v>Hot Rolled</v>
      </c>
      <c r="B5" s="175" t="str">
        <f>Mat_Inputs!C179</f>
        <v>Cold Rolled</v>
      </c>
      <c r="C5" s="176" t="str">
        <f>Mat_Inputs!D179</f>
        <v>Galvanized Rolled</v>
      </c>
      <c r="D5" s="1" t="s">
        <v>756</v>
      </c>
      <c r="V5" s="1321"/>
      <c r="W5" s="1321"/>
      <c r="X5" s="1321"/>
      <c r="Y5" s="1321"/>
    </row>
    <row r="6" spans="1:25">
      <c r="A6" s="236">
        <f>Mat_Inputs!B180</f>
        <v>0.21099999999999999</v>
      </c>
      <c r="B6" s="125">
        <f>Mat_Inputs!C180</f>
        <v>0.191</v>
      </c>
      <c r="C6" s="254">
        <f>Mat_Inputs!D180</f>
        <v>0.59800000000000009</v>
      </c>
      <c r="D6" s="1" t="s">
        <v>757</v>
      </c>
      <c r="V6" s="1321"/>
      <c r="W6" s="1321"/>
      <c r="X6" s="1321"/>
      <c r="Y6" s="1321"/>
    </row>
    <row r="7" spans="1:25">
      <c r="D7" s="1" t="s">
        <v>758</v>
      </c>
      <c r="V7" s="1321"/>
      <c r="W7" s="1321"/>
      <c r="X7" s="1321"/>
      <c r="Y7" s="1321"/>
    </row>
    <row r="8" spans="1:25">
      <c r="A8" s="3" t="s">
        <v>759</v>
      </c>
      <c r="V8" s="1321"/>
      <c r="W8" s="1321"/>
      <c r="X8" s="1321"/>
      <c r="Y8" s="1321"/>
    </row>
    <row r="9" spans="1:25" ht="25.5">
      <c r="A9" s="80"/>
      <c r="B9" s="264" t="str">
        <f>Mat_Inputs!C183</f>
        <v>Hot Rolling</v>
      </c>
      <c r="C9" s="175" t="str">
        <f>Mat_Inputs!D183</f>
        <v>Skin Mill</v>
      </c>
      <c r="D9" s="175" t="str">
        <f>Mat_Inputs!E183</f>
        <v>Cold Rolling</v>
      </c>
      <c r="E9" s="175" t="str">
        <f>Mat_Inputs!F183</f>
        <v>Galvanizing</v>
      </c>
      <c r="F9" s="176" t="str">
        <f>Mat_Inputs!G183</f>
        <v>Stamping</v>
      </c>
      <c r="G9" s="175" t="str">
        <f>Mat_Inputs!I183</f>
        <v>Rod and Bar Mill</v>
      </c>
      <c r="H9" s="176" t="str">
        <f>Mat_Inputs!J183</f>
        <v>Machining</v>
      </c>
      <c r="V9" s="1321"/>
      <c r="W9" s="1321"/>
      <c r="X9" s="1321"/>
      <c r="Y9" s="1321"/>
    </row>
    <row r="10" spans="1:25">
      <c r="A10" s="173" t="str">
        <f>Mat_Inputs!B184</f>
        <v>Virgin Stamped Steel</v>
      </c>
      <c r="B10" s="173">
        <f>Mat_Inputs!C184</f>
        <v>1.0309999999999999</v>
      </c>
      <c r="C10" s="1">
        <f>Mat_Inputs!D184</f>
        <v>1.0149999999999999</v>
      </c>
      <c r="D10" s="1">
        <f>Mat_Inputs!E184</f>
        <v>1.054</v>
      </c>
      <c r="E10" s="122">
        <f>Mat_Inputs!F184</f>
        <v>1</v>
      </c>
      <c r="F10" s="195">
        <f>Mat_Inputs!G184</f>
        <v>1</v>
      </c>
      <c r="H10" s="51"/>
      <c r="V10" s="1321"/>
      <c r="W10" s="1321"/>
      <c r="X10" s="1321"/>
      <c r="Y10" s="1321"/>
    </row>
    <row r="11" spans="1:25">
      <c r="A11" s="173" t="str">
        <f>Mat_Inputs!B185</f>
        <v>Recycled Steel</v>
      </c>
      <c r="B11" s="173"/>
      <c r="F11" s="51"/>
      <c r="G11" s="1">
        <f>Mat_Inputs!H185</f>
        <v>1.0429999999999999</v>
      </c>
      <c r="H11" s="195">
        <f>Mat_Inputs!I185</f>
        <v>1</v>
      </c>
      <c r="I11" s="1" t="s">
        <v>760</v>
      </c>
      <c r="V11" s="1321"/>
      <c r="W11" s="1321"/>
      <c r="X11" s="1321"/>
      <c r="Y11" s="1321"/>
    </row>
    <row r="12" spans="1:25">
      <c r="A12" s="173" t="str">
        <f>Mat_Inputs!B186</f>
        <v>Recycled Steel for Construction</v>
      </c>
      <c r="B12" s="173"/>
      <c r="F12" s="51"/>
      <c r="G12" s="1">
        <f>Mat_Inputs!H186</f>
        <v>1.0429999999999999</v>
      </c>
      <c r="H12" s="195">
        <f>Mat_Inputs!I186</f>
        <v>1</v>
      </c>
      <c r="V12" s="1321"/>
      <c r="W12" s="1321"/>
      <c r="X12" s="1321"/>
      <c r="Y12" s="1321"/>
    </row>
    <row r="13" spans="1:25">
      <c r="A13" s="174" t="str">
        <f>Mat_Inputs!B187</f>
        <v>Stainless Steel</v>
      </c>
      <c r="B13" s="174"/>
      <c r="C13" s="125"/>
      <c r="D13" s="125"/>
      <c r="E13" s="125"/>
      <c r="F13" s="85"/>
      <c r="G13" s="124">
        <f>Mat_Inputs!H187</f>
        <v>1.61</v>
      </c>
      <c r="H13" s="254">
        <f>Mat_Inputs!I187</f>
        <v>1</v>
      </c>
      <c r="I13" s="1" t="s">
        <v>761</v>
      </c>
      <c r="V13" s="1321"/>
      <c r="W13" s="1321"/>
      <c r="X13" s="1321"/>
      <c r="Y13" s="1321"/>
    </row>
    <row r="14" spans="1:25">
      <c r="V14" s="1321"/>
      <c r="W14" s="1321"/>
      <c r="X14" s="1321"/>
      <c r="Y14" s="1321"/>
    </row>
    <row r="15" spans="1:25">
      <c r="A15" s="63" t="s">
        <v>2608</v>
      </c>
      <c r="B15" s="8"/>
      <c r="C15" s="8"/>
      <c r="D15" s="8"/>
      <c r="E15" s="8"/>
      <c r="F15" s="489"/>
      <c r="U15" s="1321"/>
      <c r="V15" s="1321"/>
      <c r="W15" s="1321"/>
      <c r="X15" s="1321"/>
      <c r="Y15" s="1321"/>
    </row>
    <row r="16" spans="1:25">
      <c r="A16" s="1355"/>
      <c r="B16" s="1617" t="s">
        <v>441</v>
      </c>
      <c r="C16" s="1619" t="s">
        <v>2609</v>
      </c>
      <c r="D16" s="8"/>
      <c r="E16" s="8"/>
      <c r="F16" s="489"/>
      <c r="U16" s="1321"/>
      <c r="V16" s="1321"/>
      <c r="W16" s="1321"/>
      <c r="X16" s="1321"/>
      <c r="Y16" s="1321"/>
    </row>
    <row r="17" spans="1:25">
      <c r="A17" s="1355" t="s">
        <v>2610</v>
      </c>
      <c r="B17" s="2605">
        <v>1</v>
      </c>
      <c r="C17" s="2606">
        <f>1-B17</f>
        <v>0</v>
      </c>
      <c r="D17" s="8"/>
      <c r="E17" s="8"/>
      <c r="F17" s="489"/>
      <c r="U17" s="1321"/>
      <c r="V17" s="1321"/>
      <c r="W17" s="1321"/>
      <c r="X17" s="1321"/>
      <c r="Y17" s="1321"/>
    </row>
    <row r="18" spans="1:25">
      <c r="A18" s="8"/>
      <c r="B18" s="8"/>
      <c r="C18" s="8"/>
      <c r="D18" s="8"/>
      <c r="E18" s="8"/>
      <c r="F18" s="489"/>
      <c r="U18" s="1321"/>
      <c r="V18" s="1321"/>
      <c r="W18" s="1321"/>
      <c r="X18" s="1321"/>
      <c r="Y18" s="1321"/>
    </row>
    <row r="19" spans="1:25" ht="25.5">
      <c r="A19" s="1355"/>
      <c r="B19" s="1173" t="s">
        <v>2611</v>
      </c>
      <c r="C19" s="1174" t="s">
        <v>2612</v>
      </c>
      <c r="D19" s="8"/>
      <c r="E19" s="8"/>
      <c r="F19" s="489"/>
      <c r="U19" s="1321"/>
      <c r="V19" s="1321"/>
      <c r="W19" s="1321"/>
      <c r="X19" s="1321"/>
      <c r="Y19" s="1321"/>
    </row>
    <row r="20" spans="1:25">
      <c r="A20" s="1355" t="s">
        <v>2613</v>
      </c>
      <c r="B20" s="2605">
        <v>1</v>
      </c>
      <c r="C20" s="2606">
        <f>1-B20</f>
        <v>0</v>
      </c>
      <c r="D20" s="8"/>
      <c r="E20" s="8"/>
      <c r="F20" s="489"/>
      <c r="U20" s="1321"/>
      <c r="V20" s="1321"/>
      <c r="W20" s="1321"/>
      <c r="X20" s="1321"/>
      <c r="Y20" s="1321"/>
    </row>
    <row r="21" spans="1:25">
      <c r="A21" s="8"/>
      <c r="B21" s="8"/>
      <c r="C21" s="8"/>
      <c r="D21" s="8"/>
      <c r="E21" s="8"/>
      <c r="F21" s="489"/>
      <c r="U21" s="1321"/>
      <c r="V21" s="1321"/>
      <c r="W21" s="1321"/>
      <c r="X21" s="1321"/>
      <c r="Y21" s="1321"/>
    </row>
    <row r="22" spans="1:25">
      <c r="A22" s="63" t="s">
        <v>2614</v>
      </c>
      <c r="B22" s="8"/>
      <c r="C22" s="8"/>
      <c r="D22" s="8"/>
      <c r="E22" s="8"/>
      <c r="F22" s="489"/>
      <c r="U22" s="1321"/>
      <c r="V22" s="1321"/>
      <c r="W22" s="1321"/>
      <c r="X22" s="1321"/>
      <c r="Y22" s="1321"/>
    </row>
    <row r="23" spans="1:25">
      <c r="A23" s="570"/>
      <c r="B23" s="2603" t="s">
        <v>2615</v>
      </c>
      <c r="C23" s="2604" t="s">
        <v>2616</v>
      </c>
      <c r="D23" s="8"/>
      <c r="E23" s="8"/>
      <c r="F23" s="489"/>
      <c r="U23" s="1321"/>
      <c r="V23" s="1321"/>
      <c r="W23" s="1321"/>
      <c r="X23" s="1321"/>
      <c r="Y23" s="1321"/>
    </row>
    <row r="24" spans="1:25">
      <c r="A24" s="647" t="s">
        <v>2617</v>
      </c>
      <c r="B24" s="2516">
        <v>0.74591030962992599</v>
      </c>
      <c r="C24" s="2517">
        <f>1-B24</f>
        <v>0.25408969037007401</v>
      </c>
      <c r="D24" s="8"/>
      <c r="E24" s="8"/>
      <c r="F24" s="489"/>
      <c r="U24" s="1321"/>
      <c r="V24" s="1321"/>
      <c r="W24" s="1321"/>
      <c r="X24" s="1321"/>
      <c r="Y24" s="1321"/>
    </row>
    <row r="25" spans="1:25">
      <c r="U25" s="1321"/>
      <c r="V25" s="1321"/>
      <c r="W25" s="1321"/>
      <c r="X25" s="1321"/>
      <c r="Y25" s="1321"/>
    </row>
    <row r="26" spans="1:25" ht="15">
      <c r="A26" s="75" t="s">
        <v>762</v>
      </c>
      <c r="W26" s="1321"/>
      <c r="X26" s="1321"/>
      <c r="Y26" s="1321"/>
    </row>
    <row r="27" spans="1:25" ht="96.75">
      <c r="A27" s="1611"/>
      <c r="B27" s="1719" t="s">
        <v>763</v>
      </c>
      <c r="C27" s="1345" t="s">
        <v>764</v>
      </c>
      <c r="D27" s="1345" t="s">
        <v>765</v>
      </c>
      <c r="E27" s="1345" t="s">
        <v>766</v>
      </c>
      <c r="F27" s="1345" t="s">
        <v>767</v>
      </c>
      <c r="G27" s="1345" t="s">
        <v>768</v>
      </c>
      <c r="H27" s="1562" t="s">
        <v>2618</v>
      </c>
      <c r="I27" s="1345" t="s">
        <v>2619</v>
      </c>
      <c r="J27" s="1345" t="s">
        <v>2620</v>
      </c>
      <c r="K27" s="1345" t="s">
        <v>2621</v>
      </c>
      <c r="L27" s="1343" t="s">
        <v>2622</v>
      </c>
      <c r="M27" s="1345" t="s">
        <v>2623</v>
      </c>
      <c r="N27" s="1345" t="s">
        <v>2624</v>
      </c>
      <c r="O27" s="1343" t="s">
        <v>2625</v>
      </c>
      <c r="P27" s="1562" t="s">
        <v>332</v>
      </c>
      <c r="Q27" s="1345" t="s">
        <v>333</v>
      </c>
      <c r="R27" s="1345" t="s">
        <v>334</v>
      </c>
      <c r="S27" s="1343" t="s">
        <v>335</v>
      </c>
      <c r="T27" s="1719" t="s">
        <v>336</v>
      </c>
      <c r="U27" s="1345" t="s">
        <v>337</v>
      </c>
      <c r="V27" s="1345" t="s">
        <v>338</v>
      </c>
      <c r="W27" s="1343" t="s">
        <v>339</v>
      </c>
    </row>
    <row r="28" spans="1:25">
      <c r="A28" s="160" t="s">
        <v>769</v>
      </c>
      <c r="B28" s="2607">
        <v>1</v>
      </c>
      <c r="C28" s="552">
        <v>1</v>
      </c>
      <c r="D28" s="552">
        <v>1</v>
      </c>
      <c r="E28" s="552">
        <v>1</v>
      </c>
      <c r="F28" s="552">
        <v>1</v>
      </c>
      <c r="G28" s="552">
        <v>1</v>
      </c>
      <c r="H28" s="1021">
        <v>1</v>
      </c>
      <c r="I28" s="302">
        <v>1</v>
      </c>
      <c r="J28" s="302">
        <v>1</v>
      </c>
      <c r="K28" s="302">
        <v>1</v>
      </c>
      <c r="L28" s="593">
        <v>1</v>
      </c>
      <c r="M28" s="302">
        <v>1</v>
      </c>
      <c r="N28" s="302">
        <v>1</v>
      </c>
      <c r="O28" s="593">
        <v>1</v>
      </c>
      <c r="P28" s="569">
        <v>1</v>
      </c>
      <c r="Q28" s="552">
        <v>1</v>
      </c>
      <c r="R28" s="552">
        <v>1</v>
      </c>
      <c r="S28" s="568">
        <v>1</v>
      </c>
      <c r="T28" s="2607">
        <v>1</v>
      </c>
      <c r="U28" s="552">
        <v>1</v>
      </c>
      <c r="V28" s="552">
        <v>1</v>
      </c>
      <c r="W28" s="568">
        <v>1</v>
      </c>
    </row>
    <row r="29" spans="1:25">
      <c r="A29" s="160" t="s">
        <v>770</v>
      </c>
      <c r="B29" s="2607">
        <v>1</v>
      </c>
      <c r="C29" s="552">
        <v>1</v>
      </c>
      <c r="D29" s="552">
        <v>1</v>
      </c>
      <c r="E29" s="552">
        <v>0</v>
      </c>
      <c r="F29" s="552">
        <v>1</v>
      </c>
      <c r="G29" s="552">
        <v>1</v>
      </c>
      <c r="H29" s="1021">
        <v>1</v>
      </c>
      <c r="I29" s="302">
        <v>1</v>
      </c>
      <c r="J29" s="302">
        <v>1</v>
      </c>
      <c r="K29" s="302">
        <v>1</v>
      </c>
      <c r="L29" s="593">
        <v>1</v>
      </c>
      <c r="M29" s="302">
        <v>1</v>
      </c>
      <c r="N29" s="302">
        <v>1</v>
      </c>
      <c r="O29" s="593">
        <v>1</v>
      </c>
      <c r="P29" s="569">
        <v>1</v>
      </c>
      <c r="Q29" s="552">
        <v>1</v>
      </c>
      <c r="R29" s="552">
        <v>1</v>
      </c>
      <c r="S29" s="568">
        <v>1</v>
      </c>
      <c r="T29" s="2607">
        <v>1</v>
      </c>
      <c r="U29" s="552">
        <v>1</v>
      </c>
      <c r="V29" s="552">
        <v>1</v>
      </c>
      <c r="W29" s="568">
        <v>1</v>
      </c>
    </row>
    <row r="30" spans="1:25">
      <c r="A30" s="160" t="s">
        <v>771</v>
      </c>
      <c r="B30" s="2607">
        <f>1-B29-B31</f>
        <v>0</v>
      </c>
      <c r="C30" s="552">
        <f t="shared" ref="C30:G30" si="0">1-C29</f>
        <v>0</v>
      </c>
      <c r="D30" s="552">
        <f t="shared" si="0"/>
        <v>0</v>
      </c>
      <c r="E30" s="552">
        <f t="shared" si="0"/>
        <v>1</v>
      </c>
      <c r="F30" s="552">
        <f t="shared" si="0"/>
        <v>0</v>
      </c>
      <c r="G30" s="552">
        <f t="shared" si="0"/>
        <v>0</v>
      </c>
      <c r="H30" s="1021">
        <f t="shared" ref="H30:O30" si="1">1-H29</f>
        <v>0</v>
      </c>
      <c r="I30" s="302">
        <f t="shared" si="1"/>
        <v>0</v>
      </c>
      <c r="J30" s="302">
        <f t="shared" si="1"/>
        <v>0</v>
      </c>
      <c r="K30" s="302">
        <f t="shared" si="1"/>
        <v>0</v>
      </c>
      <c r="L30" s="593">
        <f t="shared" si="1"/>
        <v>0</v>
      </c>
      <c r="M30" s="302">
        <f t="shared" si="1"/>
        <v>0</v>
      </c>
      <c r="N30" s="302">
        <f t="shared" si="1"/>
        <v>0</v>
      </c>
      <c r="O30" s="593">
        <f t="shared" si="1"/>
        <v>0</v>
      </c>
      <c r="P30" s="569">
        <f t="shared" ref="P30:W30" si="2">1-P29</f>
        <v>0</v>
      </c>
      <c r="Q30" s="552">
        <f t="shared" si="2"/>
        <v>0</v>
      </c>
      <c r="R30" s="552">
        <f t="shared" si="2"/>
        <v>0</v>
      </c>
      <c r="S30" s="568">
        <f t="shared" si="2"/>
        <v>0</v>
      </c>
      <c r="T30" s="2607">
        <f t="shared" si="2"/>
        <v>0</v>
      </c>
      <c r="U30" s="552">
        <f t="shared" si="2"/>
        <v>0</v>
      </c>
      <c r="V30" s="552">
        <f t="shared" si="2"/>
        <v>0</v>
      </c>
      <c r="W30" s="568">
        <f t="shared" si="2"/>
        <v>0</v>
      </c>
    </row>
    <row r="31" spans="1:25">
      <c r="A31" s="160" t="s">
        <v>772</v>
      </c>
      <c r="B31" s="2607">
        <v>0</v>
      </c>
      <c r="C31" s="552"/>
      <c r="D31" s="552"/>
      <c r="E31" s="552"/>
      <c r="F31" s="552"/>
      <c r="G31" s="552"/>
      <c r="H31" s="1021"/>
      <c r="I31" s="302"/>
      <c r="J31" s="302"/>
      <c r="K31" s="302"/>
      <c r="L31" s="593"/>
      <c r="M31" s="302"/>
      <c r="N31" s="302"/>
      <c r="O31" s="593"/>
      <c r="P31" s="569"/>
      <c r="Q31" s="552"/>
      <c r="R31" s="552"/>
      <c r="S31" s="568"/>
      <c r="T31" s="2607"/>
      <c r="U31" s="552"/>
      <c r="V31" s="552"/>
      <c r="W31" s="568"/>
    </row>
    <row r="32" spans="1:25">
      <c r="A32" s="160" t="s">
        <v>773</v>
      </c>
      <c r="B32" s="2607">
        <v>1</v>
      </c>
      <c r="C32" s="552">
        <v>0</v>
      </c>
      <c r="D32" s="552">
        <v>1</v>
      </c>
      <c r="E32" s="552">
        <v>0</v>
      </c>
      <c r="F32" s="552">
        <v>1</v>
      </c>
      <c r="G32" s="552">
        <v>1</v>
      </c>
      <c r="H32" s="1021">
        <v>1</v>
      </c>
      <c r="I32" s="302">
        <v>1</v>
      </c>
      <c r="J32" s="302">
        <v>1</v>
      </c>
      <c r="K32" s="302">
        <v>1</v>
      </c>
      <c r="L32" s="593">
        <v>1</v>
      </c>
      <c r="M32" s="302">
        <v>1</v>
      </c>
      <c r="N32" s="302">
        <v>1</v>
      </c>
      <c r="O32" s="593">
        <v>1</v>
      </c>
      <c r="P32" s="569">
        <v>1</v>
      </c>
      <c r="Q32" s="552">
        <v>1</v>
      </c>
      <c r="R32" s="552">
        <v>1</v>
      </c>
      <c r="S32" s="568">
        <v>1</v>
      </c>
      <c r="T32" s="2607">
        <v>1</v>
      </c>
      <c r="U32" s="552">
        <v>1</v>
      </c>
      <c r="V32" s="552">
        <v>1</v>
      </c>
      <c r="W32" s="568">
        <v>1</v>
      </c>
    </row>
    <row r="33" spans="1:46">
      <c r="A33" s="160" t="s">
        <v>2607</v>
      </c>
      <c r="B33" s="2608">
        <v>1</v>
      </c>
      <c r="C33" s="302">
        <v>1</v>
      </c>
      <c r="D33" s="302">
        <v>1</v>
      </c>
      <c r="E33" s="302">
        <v>0</v>
      </c>
      <c r="F33" s="302"/>
      <c r="G33" s="302"/>
      <c r="H33" s="160"/>
      <c r="I33" s="489"/>
      <c r="J33" s="489"/>
      <c r="K33" s="489"/>
      <c r="L33" s="140"/>
      <c r="M33" s="8"/>
      <c r="N33" s="8"/>
      <c r="O33" s="8"/>
      <c r="P33" s="1021"/>
      <c r="Q33" s="302"/>
      <c r="R33" s="302"/>
      <c r="S33" s="593"/>
      <c r="T33" s="2608"/>
      <c r="U33" s="302"/>
      <c r="V33" s="302"/>
      <c r="W33" s="593"/>
    </row>
    <row r="34" spans="1:46">
      <c r="A34" s="160" t="s">
        <v>774</v>
      </c>
      <c r="B34" s="2607">
        <f t="shared" ref="B34:G34" si="3">1-B32</f>
        <v>0</v>
      </c>
      <c r="C34" s="552">
        <f t="shared" si="3"/>
        <v>1</v>
      </c>
      <c r="D34" s="552">
        <f t="shared" si="3"/>
        <v>0</v>
      </c>
      <c r="E34" s="552">
        <f t="shared" si="3"/>
        <v>1</v>
      </c>
      <c r="F34" s="552">
        <f t="shared" si="3"/>
        <v>0</v>
      </c>
      <c r="G34" s="552">
        <f t="shared" si="3"/>
        <v>0</v>
      </c>
      <c r="H34" s="1021">
        <f>1-H32</f>
        <v>0</v>
      </c>
      <c r="I34" s="302">
        <v>0</v>
      </c>
      <c r="J34" s="302">
        <v>0</v>
      </c>
      <c r="K34" s="302">
        <v>0</v>
      </c>
      <c r="L34" s="593">
        <v>0</v>
      </c>
      <c r="M34" s="302">
        <f>1-M32</f>
        <v>0</v>
      </c>
      <c r="N34" s="302">
        <v>0</v>
      </c>
      <c r="O34" s="593">
        <v>0</v>
      </c>
      <c r="P34" s="569">
        <f t="shared" ref="P34:W34" si="4">1-P32</f>
        <v>0</v>
      </c>
      <c r="Q34" s="552">
        <f t="shared" si="4"/>
        <v>0</v>
      </c>
      <c r="R34" s="552">
        <f t="shared" si="4"/>
        <v>0</v>
      </c>
      <c r="S34" s="568">
        <f t="shared" si="4"/>
        <v>0</v>
      </c>
      <c r="T34" s="2607">
        <f t="shared" si="4"/>
        <v>0</v>
      </c>
      <c r="U34" s="552">
        <f t="shared" si="4"/>
        <v>0</v>
      </c>
      <c r="V34" s="552">
        <f t="shared" si="4"/>
        <v>0</v>
      </c>
      <c r="W34" s="568">
        <f t="shared" si="4"/>
        <v>0</v>
      </c>
    </row>
    <row r="35" spans="1:46">
      <c r="A35" s="160" t="s">
        <v>775</v>
      </c>
      <c r="B35" s="2607">
        <v>1</v>
      </c>
      <c r="C35" s="552">
        <v>0.97009999999999996</v>
      </c>
      <c r="D35" s="552">
        <v>1</v>
      </c>
      <c r="E35" s="552">
        <v>1</v>
      </c>
      <c r="F35" s="552">
        <v>1</v>
      </c>
      <c r="G35" s="552">
        <v>1</v>
      </c>
      <c r="H35" s="1021">
        <v>1</v>
      </c>
      <c r="I35" s="302">
        <v>1</v>
      </c>
      <c r="J35" s="302">
        <v>1</v>
      </c>
      <c r="K35" s="302">
        <v>1</v>
      </c>
      <c r="L35" s="593">
        <v>1</v>
      </c>
      <c r="M35" s="302">
        <v>1</v>
      </c>
      <c r="N35" s="302">
        <v>1</v>
      </c>
      <c r="O35" s="593">
        <v>1</v>
      </c>
      <c r="P35" s="569">
        <v>1</v>
      </c>
      <c r="Q35" s="552">
        <v>1</v>
      </c>
      <c r="R35" s="552">
        <v>1</v>
      </c>
      <c r="S35" s="568">
        <v>1</v>
      </c>
      <c r="T35" s="2607">
        <v>1</v>
      </c>
      <c r="U35" s="552">
        <v>0</v>
      </c>
      <c r="V35" s="552">
        <v>1</v>
      </c>
      <c r="W35" s="568">
        <v>1</v>
      </c>
    </row>
    <row r="36" spans="1:46">
      <c r="A36" s="160" t="s">
        <v>776</v>
      </c>
      <c r="B36" s="2607">
        <f t="shared" ref="B36:G36" si="5">1-B35</f>
        <v>0</v>
      </c>
      <c r="C36" s="552">
        <f t="shared" si="5"/>
        <v>2.9900000000000038E-2</v>
      </c>
      <c r="D36" s="552">
        <f t="shared" si="5"/>
        <v>0</v>
      </c>
      <c r="E36" s="552">
        <f t="shared" si="5"/>
        <v>0</v>
      </c>
      <c r="F36" s="552">
        <f t="shared" si="5"/>
        <v>0</v>
      </c>
      <c r="G36" s="552">
        <f t="shared" si="5"/>
        <v>0</v>
      </c>
      <c r="H36" s="1021">
        <f t="shared" ref="H36" si="6">1-H35</f>
        <v>0</v>
      </c>
      <c r="I36" s="302">
        <v>0</v>
      </c>
      <c r="J36" s="302">
        <v>0</v>
      </c>
      <c r="K36" s="302">
        <v>0</v>
      </c>
      <c r="L36" s="593">
        <v>0</v>
      </c>
      <c r="M36" s="302">
        <f t="shared" ref="M36" si="7">1-M35</f>
        <v>0</v>
      </c>
      <c r="N36" s="302">
        <v>0</v>
      </c>
      <c r="O36" s="593">
        <v>0</v>
      </c>
      <c r="P36" s="569">
        <f t="shared" ref="P36:W36" si="8">1-P35</f>
        <v>0</v>
      </c>
      <c r="Q36" s="552">
        <f t="shared" si="8"/>
        <v>0</v>
      </c>
      <c r="R36" s="552">
        <f t="shared" si="8"/>
        <v>0</v>
      </c>
      <c r="S36" s="568">
        <f t="shared" si="8"/>
        <v>0</v>
      </c>
      <c r="T36" s="2607">
        <f t="shared" si="8"/>
        <v>0</v>
      </c>
      <c r="U36" s="552">
        <f t="shared" si="8"/>
        <v>1</v>
      </c>
      <c r="V36" s="552">
        <f t="shared" si="8"/>
        <v>0</v>
      </c>
      <c r="W36" s="568">
        <f t="shared" si="8"/>
        <v>0</v>
      </c>
    </row>
    <row r="37" spans="1:46">
      <c r="A37" s="160" t="s">
        <v>777</v>
      </c>
      <c r="B37" s="2607">
        <v>1</v>
      </c>
      <c r="C37" s="552">
        <v>1</v>
      </c>
      <c r="D37" s="552">
        <v>1</v>
      </c>
      <c r="E37" s="552">
        <v>0.90339999999999998</v>
      </c>
      <c r="F37" s="552">
        <v>1</v>
      </c>
      <c r="G37" s="552">
        <v>1</v>
      </c>
      <c r="H37" s="1021">
        <v>1</v>
      </c>
      <c r="I37" s="302">
        <v>1</v>
      </c>
      <c r="J37" s="302">
        <v>1</v>
      </c>
      <c r="K37" s="302">
        <v>1</v>
      </c>
      <c r="L37" s="593">
        <v>1</v>
      </c>
      <c r="M37" s="302">
        <v>1</v>
      </c>
      <c r="N37" s="302">
        <v>1</v>
      </c>
      <c r="O37" s="593">
        <v>1</v>
      </c>
      <c r="P37" s="569">
        <v>1</v>
      </c>
      <c r="Q37" s="552">
        <v>1</v>
      </c>
      <c r="R37" s="552">
        <v>1</v>
      </c>
      <c r="S37" s="568">
        <v>1</v>
      </c>
      <c r="T37" s="2607">
        <v>1</v>
      </c>
      <c r="U37" s="552">
        <v>1</v>
      </c>
      <c r="V37" s="552">
        <v>1</v>
      </c>
      <c r="W37" s="568">
        <v>1</v>
      </c>
    </row>
    <row r="38" spans="1:46">
      <c r="A38" s="160" t="s">
        <v>778</v>
      </c>
      <c r="B38" s="2607">
        <v>0</v>
      </c>
      <c r="C38" s="552">
        <v>0</v>
      </c>
      <c r="D38" s="552">
        <v>0</v>
      </c>
      <c r="E38" s="552">
        <v>6.4399999999999999E-2</v>
      </c>
      <c r="F38" s="552">
        <v>0</v>
      </c>
      <c r="G38" s="552">
        <v>0</v>
      </c>
      <c r="H38" s="1021">
        <v>0</v>
      </c>
      <c r="I38" s="302">
        <v>0</v>
      </c>
      <c r="J38" s="302">
        <v>0</v>
      </c>
      <c r="K38" s="302">
        <v>0</v>
      </c>
      <c r="L38" s="593">
        <v>0</v>
      </c>
      <c r="M38" s="302">
        <v>0</v>
      </c>
      <c r="N38" s="302">
        <v>0</v>
      </c>
      <c r="O38" s="593">
        <v>0</v>
      </c>
      <c r="P38" s="569">
        <v>0</v>
      </c>
      <c r="Q38" s="552">
        <v>0</v>
      </c>
      <c r="R38" s="552">
        <v>0</v>
      </c>
      <c r="S38" s="568">
        <v>0</v>
      </c>
      <c r="T38" s="2607">
        <v>0</v>
      </c>
      <c r="U38" s="552">
        <v>0</v>
      </c>
      <c r="V38" s="552">
        <v>0</v>
      </c>
      <c r="W38" s="568">
        <v>0</v>
      </c>
    </row>
    <row r="39" spans="1:46">
      <c r="A39" s="160" t="s">
        <v>779</v>
      </c>
      <c r="B39" s="2607">
        <f t="shared" ref="B39:G39" si="9">1-SUM(B37:B38)</f>
        <v>0</v>
      </c>
      <c r="C39" s="552">
        <f t="shared" si="9"/>
        <v>0</v>
      </c>
      <c r="D39" s="552">
        <f t="shared" si="9"/>
        <v>0</v>
      </c>
      <c r="E39" s="552">
        <f t="shared" si="9"/>
        <v>3.2200000000000006E-2</v>
      </c>
      <c r="F39" s="552">
        <f t="shared" si="9"/>
        <v>0</v>
      </c>
      <c r="G39" s="552">
        <f t="shared" si="9"/>
        <v>0</v>
      </c>
      <c r="H39" s="1021">
        <f t="shared" ref="H39" si="10">1-SUM(H37:H38)</f>
        <v>0</v>
      </c>
      <c r="I39" s="302">
        <v>0</v>
      </c>
      <c r="J39" s="302">
        <v>0</v>
      </c>
      <c r="K39" s="302">
        <v>0</v>
      </c>
      <c r="L39" s="593">
        <v>0</v>
      </c>
      <c r="M39" s="302">
        <f t="shared" ref="M39" si="11">1-SUM(M37:M38)</f>
        <v>0</v>
      </c>
      <c r="N39" s="302">
        <v>0</v>
      </c>
      <c r="O39" s="593">
        <v>0</v>
      </c>
      <c r="P39" s="569">
        <f>1-SUM(P37:P38)</f>
        <v>0</v>
      </c>
      <c r="Q39" s="552">
        <f>1-SUM(Q37:Q38)</f>
        <v>0</v>
      </c>
      <c r="R39" s="552">
        <f>1-SUM(R37:R38)</f>
        <v>0</v>
      </c>
      <c r="S39" s="568">
        <f>1-SUM(S37:S38)</f>
        <v>0</v>
      </c>
      <c r="T39" s="2607">
        <f>1-SUM(T37:T38)</f>
        <v>0</v>
      </c>
      <c r="U39" s="552">
        <f>1-U37-U38</f>
        <v>0</v>
      </c>
      <c r="V39" s="552">
        <f>1-V37-V38</f>
        <v>0</v>
      </c>
      <c r="W39" s="568">
        <f>1-W37-W38</f>
        <v>0</v>
      </c>
    </row>
    <row r="40" spans="1:46">
      <c r="A40" s="160" t="s">
        <v>780</v>
      </c>
      <c r="B40" s="2607">
        <v>1</v>
      </c>
      <c r="C40" s="552"/>
      <c r="D40" s="552"/>
      <c r="E40" s="552"/>
      <c r="F40" s="552"/>
      <c r="G40" s="552"/>
      <c r="H40" s="160"/>
      <c r="I40" s="489"/>
      <c r="J40" s="489"/>
      <c r="K40" s="489"/>
      <c r="L40" s="140"/>
      <c r="M40" s="489"/>
      <c r="N40" s="8"/>
      <c r="O40" s="140"/>
      <c r="P40" s="569"/>
      <c r="Q40" s="552"/>
      <c r="R40" s="552"/>
      <c r="S40" s="568"/>
      <c r="T40" s="2607"/>
      <c r="U40" s="552"/>
      <c r="V40" s="552"/>
      <c r="W40" s="568"/>
    </row>
    <row r="41" spans="1:46">
      <c r="A41" s="160" t="s">
        <v>781</v>
      </c>
      <c r="B41" s="2607">
        <f>1-B40</f>
        <v>0</v>
      </c>
      <c r="C41" s="552"/>
      <c r="D41" s="552"/>
      <c r="E41" s="552"/>
      <c r="F41" s="552"/>
      <c r="G41" s="552"/>
      <c r="H41" s="160"/>
      <c r="I41" s="489"/>
      <c r="J41" s="489"/>
      <c r="K41" s="489"/>
      <c r="L41" s="140"/>
      <c r="M41" s="489"/>
      <c r="N41" s="8"/>
      <c r="O41" s="140"/>
      <c r="P41" s="569"/>
      <c r="Q41" s="552"/>
      <c r="R41" s="552"/>
      <c r="S41" s="568"/>
      <c r="T41" s="2607"/>
      <c r="U41" s="552"/>
      <c r="V41" s="552"/>
      <c r="W41" s="568"/>
    </row>
    <row r="42" spans="1:46">
      <c r="A42" s="160" t="s">
        <v>782</v>
      </c>
      <c r="B42" s="2607">
        <v>0</v>
      </c>
      <c r="C42" s="552"/>
      <c r="D42" s="552"/>
      <c r="E42" s="552"/>
      <c r="F42" s="552"/>
      <c r="G42" s="552"/>
      <c r="H42" s="160"/>
      <c r="I42" s="489"/>
      <c r="J42" s="489"/>
      <c r="K42" s="489"/>
      <c r="L42" s="140"/>
      <c r="M42" s="489"/>
      <c r="N42" s="8"/>
      <c r="O42" s="140"/>
      <c r="P42" s="569"/>
      <c r="Q42" s="552"/>
      <c r="R42" s="552"/>
      <c r="S42" s="568"/>
      <c r="T42" s="2607"/>
      <c r="U42" s="552"/>
      <c r="V42" s="552"/>
      <c r="W42" s="568"/>
    </row>
    <row r="43" spans="1:46">
      <c r="A43" s="161" t="s">
        <v>783</v>
      </c>
      <c r="B43" s="2609">
        <f>1-B42</f>
        <v>1</v>
      </c>
      <c r="C43" s="223"/>
      <c r="D43" s="223"/>
      <c r="E43" s="223"/>
      <c r="F43" s="223"/>
      <c r="G43" s="223"/>
      <c r="H43" s="161"/>
      <c r="I43" s="548"/>
      <c r="J43" s="548"/>
      <c r="K43" s="548"/>
      <c r="L43" s="136"/>
      <c r="M43" s="548"/>
      <c r="N43" s="548"/>
      <c r="O43" s="136"/>
      <c r="P43" s="2610"/>
      <c r="Q43" s="223"/>
      <c r="R43" s="223"/>
      <c r="S43" s="224"/>
      <c r="T43" s="2609"/>
      <c r="U43" s="223"/>
      <c r="V43" s="223"/>
      <c r="W43" s="224"/>
    </row>
    <row r="45" spans="1:46" ht="15">
      <c r="A45" s="75" t="s">
        <v>784</v>
      </c>
    </row>
    <row r="46" spans="1:46" ht="55.7" customHeight="1">
      <c r="A46" s="523"/>
      <c r="B46" s="2980" t="s">
        <v>763</v>
      </c>
      <c r="C46" s="2981"/>
      <c r="D46" s="2980" t="s">
        <v>764</v>
      </c>
      <c r="E46" s="3013"/>
      <c r="F46" s="2981"/>
      <c r="G46" s="2980" t="s">
        <v>765</v>
      </c>
      <c r="H46" s="2981"/>
      <c r="I46" s="2980" t="s">
        <v>766</v>
      </c>
      <c r="J46" s="2981"/>
      <c r="K46" s="2980" t="s">
        <v>767</v>
      </c>
      <c r="L46" s="2981"/>
      <c r="M46" s="2980" t="s">
        <v>768</v>
      </c>
      <c r="N46" s="2981"/>
      <c r="O46" s="2980" t="s">
        <v>332</v>
      </c>
      <c r="P46" s="2981"/>
      <c r="Q46" s="2980" t="s">
        <v>333</v>
      </c>
      <c r="R46" s="2981"/>
      <c r="S46" s="2980" t="s">
        <v>334</v>
      </c>
      <c r="T46" s="2981"/>
      <c r="U46" s="2980" t="s">
        <v>335</v>
      </c>
      <c r="V46" s="2981"/>
      <c r="W46" s="2980" t="s">
        <v>336</v>
      </c>
      <c r="X46" s="2981"/>
      <c r="Y46" s="2980" t="s">
        <v>337</v>
      </c>
      <c r="Z46" s="2981"/>
      <c r="AA46" s="2980" t="s">
        <v>338</v>
      </c>
      <c r="AB46" s="2981"/>
      <c r="AC46" s="2980" t="s">
        <v>339</v>
      </c>
      <c r="AD46" s="2981"/>
      <c r="AE46" s="2980" t="s">
        <v>2628</v>
      </c>
      <c r="AF46" s="3013"/>
      <c r="AG46" s="2980" t="s">
        <v>2619</v>
      </c>
      <c r="AH46" s="2981"/>
      <c r="AI46" s="2980" t="s">
        <v>2620</v>
      </c>
      <c r="AJ46" s="2981"/>
      <c r="AK46" s="2980" t="s">
        <v>2629</v>
      </c>
      <c r="AL46" s="3005"/>
      <c r="AM46" s="2980" t="s">
        <v>2622</v>
      </c>
      <c r="AN46" s="3006"/>
      <c r="AO46" s="2980" t="s">
        <v>2630</v>
      </c>
      <c r="AP46" s="3013"/>
      <c r="AQ46" s="2980" t="s">
        <v>2624</v>
      </c>
      <c r="AR46" s="3006"/>
      <c r="AS46" s="2980" t="s">
        <v>2625</v>
      </c>
      <c r="AT46" s="3006"/>
    </row>
    <row r="47" spans="1:46" ht="102.75">
      <c r="A47" s="661"/>
      <c r="B47" s="2612" t="s">
        <v>785</v>
      </c>
      <c r="C47" s="2613" t="s">
        <v>786</v>
      </c>
      <c r="D47" s="2612" t="s">
        <v>785</v>
      </c>
      <c r="E47" s="2614" t="s">
        <v>786</v>
      </c>
      <c r="F47" s="2613" t="s">
        <v>787</v>
      </c>
      <c r="G47" s="2614" t="s">
        <v>785</v>
      </c>
      <c r="H47" s="2614" t="s">
        <v>786</v>
      </c>
      <c r="I47" s="2612" t="s">
        <v>785</v>
      </c>
      <c r="J47" s="2613" t="s">
        <v>786</v>
      </c>
      <c r="K47" s="2614" t="s">
        <v>785</v>
      </c>
      <c r="L47" s="2614" t="s">
        <v>786</v>
      </c>
      <c r="M47" s="2612" t="s">
        <v>785</v>
      </c>
      <c r="N47" s="2613" t="s">
        <v>786</v>
      </c>
      <c r="O47" s="2614" t="s">
        <v>785</v>
      </c>
      <c r="P47" s="2614" t="s">
        <v>786</v>
      </c>
      <c r="Q47" s="2612" t="s">
        <v>785</v>
      </c>
      <c r="R47" s="2613" t="s">
        <v>786</v>
      </c>
      <c r="S47" s="2614" t="s">
        <v>785</v>
      </c>
      <c r="T47" s="2614" t="s">
        <v>786</v>
      </c>
      <c r="U47" s="2612" t="s">
        <v>785</v>
      </c>
      <c r="V47" s="2613" t="s">
        <v>786</v>
      </c>
      <c r="W47" s="2614" t="s">
        <v>785</v>
      </c>
      <c r="X47" s="2614" t="s">
        <v>786</v>
      </c>
      <c r="Y47" s="2612" t="s">
        <v>785</v>
      </c>
      <c r="Z47" s="2613" t="s">
        <v>786</v>
      </c>
      <c r="AA47" s="2614" t="s">
        <v>785</v>
      </c>
      <c r="AB47" s="2614" t="s">
        <v>786</v>
      </c>
      <c r="AC47" s="2612" t="s">
        <v>785</v>
      </c>
      <c r="AD47" s="2613" t="s">
        <v>786</v>
      </c>
      <c r="AE47" s="2612" t="s">
        <v>785</v>
      </c>
      <c r="AF47" s="2613" t="s">
        <v>786</v>
      </c>
      <c r="AG47" s="2612" t="s">
        <v>785</v>
      </c>
      <c r="AH47" s="2613" t="s">
        <v>786</v>
      </c>
      <c r="AI47" s="2612" t="s">
        <v>785</v>
      </c>
      <c r="AJ47" s="2613" t="s">
        <v>786</v>
      </c>
      <c r="AK47" s="2612" t="s">
        <v>785</v>
      </c>
      <c r="AL47" s="2613" t="s">
        <v>786</v>
      </c>
      <c r="AM47" s="2612" t="s">
        <v>785</v>
      </c>
      <c r="AN47" s="2613" t="s">
        <v>786</v>
      </c>
      <c r="AO47" s="2612" t="s">
        <v>785</v>
      </c>
      <c r="AP47" s="2613" t="s">
        <v>786</v>
      </c>
      <c r="AQ47" s="2612" t="s">
        <v>785</v>
      </c>
      <c r="AR47" s="2613" t="s">
        <v>786</v>
      </c>
      <c r="AS47" s="2612" t="s">
        <v>785</v>
      </c>
      <c r="AT47" s="2613" t="s">
        <v>786</v>
      </c>
    </row>
    <row r="48" spans="1:46" ht="27" customHeight="1">
      <c r="A48" s="897"/>
      <c r="B48" s="2980" t="s">
        <v>788</v>
      </c>
      <c r="C48" s="2981"/>
      <c r="D48" s="2980" t="s">
        <v>789</v>
      </c>
      <c r="E48" s="3013"/>
      <c r="F48" s="3013"/>
      <c r="G48" s="3013"/>
      <c r="H48" s="3013"/>
      <c r="I48" s="3013"/>
      <c r="J48" s="3013"/>
      <c r="K48" s="3013"/>
      <c r="L48" s="3013"/>
      <c r="M48" s="3013"/>
      <c r="N48" s="2981"/>
      <c r="O48" s="2980" t="s">
        <v>790</v>
      </c>
      <c r="P48" s="2981"/>
      <c r="Q48" s="2980" t="s">
        <v>791</v>
      </c>
      <c r="R48" s="2981"/>
      <c r="S48" s="2980" t="s">
        <v>792</v>
      </c>
      <c r="T48" s="2981"/>
      <c r="U48" s="2980" t="s">
        <v>793</v>
      </c>
      <c r="V48" s="2981"/>
      <c r="W48" s="2980" t="s">
        <v>794</v>
      </c>
      <c r="X48" s="2981"/>
      <c r="Y48" s="2980" t="s">
        <v>795</v>
      </c>
      <c r="Z48" s="2981"/>
      <c r="AA48" s="2980" t="s">
        <v>796</v>
      </c>
      <c r="AB48" s="3013"/>
      <c r="AC48" s="3013"/>
      <c r="AD48" s="2981"/>
      <c r="AE48" s="3007" t="s">
        <v>789</v>
      </c>
      <c r="AF48" s="3005"/>
      <c r="AG48" s="3005"/>
      <c r="AH48" s="3005"/>
      <c r="AI48" s="3005"/>
      <c r="AJ48" s="3005"/>
      <c r="AK48" s="3005"/>
      <c r="AL48" s="3005"/>
      <c r="AM48" s="3005"/>
      <c r="AN48" s="3005"/>
      <c r="AO48" s="3005"/>
      <c r="AP48" s="3005"/>
      <c r="AQ48" s="3005"/>
      <c r="AR48" s="3005"/>
      <c r="AS48" s="3005"/>
      <c r="AT48" s="3006"/>
    </row>
    <row r="49" spans="1:46">
      <c r="A49" s="571" t="s">
        <v>797</v>
      </c>
      <c r="B49" s="2615">
        <f>Mat_Inputs!B311</f>
        <v>0.11689212157686744</v>
      </c>
      <c r="C49" s="2616"/>
      <c r="D49" s="2615">
        <f>Mat_Inputs!B312</f>
        <v>16.002574361161095</v>
      </c>
      <c r="E49" s="1090"/>
      <c r="F49" s="2616"/>
      <c r="G49" s="1090">
        <f>Mat_Inputs!B313</f>
        <v>0.15318640955004592</v>
      </c>
      <c r="H49" s="1090"/>
      <c r="I49" s="2615">
        <f>Mat_Inputs!B314</f>
        <v>3.5762324630993159</v>
      </c>
      <c r="J49" s="2616"/>
      <c r="K49" s="1090">
        <f>Mat_Inputs!B315</f>
        <v>0.44398530762167121</v>
      </c>
      <c r="L49" s="1090"/>
      <c r="M49" s="2615">
        <f>Mat_Inputs!B316</f>
        <v>0.14141303948576678</v>
      </c>
      <c r="N49" s="2616"/>
      <c r="O49" s="1090">
        <f>Mat_Inputs!B325</f>
        <v>1.3340000000000001</v>
      </c>
      <c r="P49" s="1090"/>
      <c r="Q49" s="2615">
        <f>Mat_Inputs!B326</f>
        <v>4.1799999999999997E-2</v>
      </c>
      <c r="R49" s="2616"/>
      <c r="S49" s="1090">
        <f>Mat_Inputs!B327</f>
        <v>1.3998999999999999</v>
      </c>
      <c r="T49" s="1090"/>
      <c r="U49" s="2615">
        <f>Mat_Inputs!B328</f>
        <v>0.69569999999999999</v>
      </c>
      <c r="V49" s="2616"/>
      <c r="W49" s="1090">
        <f>Mat_Inputs!$B$329</f>
        <v>0.85990521327014202</v>
      </c>
      <c r="X49" s="1090"/>
      <c r="Y49" s="2615">
        <f>Mat_Inputs!B330</f>
        <v>1.9993847566574841</v>
      </c>
      <c r="Z49" s="2616"/>
      <c r="AA49" s="1090">
        <f>Mat_Inputs!B331</f>
        <v>3.2335000000000003</v>
      </c>
      <c r="AB49" s="1090"/>
      <c r="AC49" s="2615">
        <f>Mat_Inputs!B332</f>
        <v>0.54</v>
      </c>
      <c r="AD49" s="2616"/>
      <c r="AE49" s="1074">
        <f>Mat_Inputs!B317</f>
        <v>1.9400759073377505</v>
      </c>
      <c r="AF49" s="2628"/>
      <c r="AG49" s="1074">
        <f>Mat_Inputs!B318</f>
        <v>2.5509824905404841</v>
      </c>
      <c r="AH49" s="2628"/>
      <c r="AI49" s="1074">
        <f>Mat_Inputs!B319</f>
        <v>11.238140806237645</v>
      </c>
      <c r="AJ49" s="2628"/>
      <c r="AK49" s="1074">
        <f>Mat_Inputs!B320</f>
        <v>10.779208253108955</v>
      </c>
      <c r="AL49" s="2628"/>
      <c r="AM49" s="1074">
        <f>Mat_Inputs!B321</f>
        <v>2.538475321230321</v>
      </c>
      <c r="AN49" s="2628"/>
      <c r="AO49" s="1074">
        <f>Mat_Inputs!B322</f>
        <v>2.0183700650504091</v>
      </c>
      <c r="AP49" s="2628"/>
      <c r="AQ49" s="1074">
        <f>Mat_Inputs!B323</f>
        <v>12.123484793784035</v>
      </c>
      <c r="AR49" s="2628"/>
      <c r="AS49" s="1074">
        <f>Mat_Inputs!B324</f>
        <v>2.538475321230321</v>
      </c>
      <c r="AT49" s="2628"/>
    </row>
    <row r="50" spans="1:46">
      <c r="A50" s="571" t="s">
        <v>798</v>
      </c>
      <c r="B50" s="1021">
        <v>0</v>
      </c>
      <c r="C50" s="593"/>
      <c r="D50" s="1021">
        <v>0</v>
      </c>
      <c r="E50" s="302"/>
      <c r="F50" s="593"/>
      <c r="G50" s="302">
        <v>0</v>
      </c>
      <c r="H50" s="302"/>
      <c r="I50" s="1021">
        <v>0</v>
      </c>
      <c r="J50" s="593"/>
      <c r="K50" s="302">
        <v>0</v>
      </c>
      <c r="L50" s="302"/>
      <c r="M50" s="1021">
        <v>0</v>
      </c>
      <c r="N50" s="593"/>
      <c r="O50" s="302">
        <v>0</v>
      </c>
      <c r="P50" s="302"/>
      <c r="Q50" s="1021">
        <v>0</v>
      </c>
      <c r="R50" s="593"/>
      <c r="S50" s="302">
        <v>0</v>
      </c>
      <c r="T50" s="302"/>
      <c r="U50" s="1021">
        <v>0</v>
      </c>
      <c r="V50" s="593"/>
      <c r="W50" s="302">
        <v>0</v>
      </c>
      <c r="X50" s="302"/>
      <c r="Y50" s="1021">
        <v>0</v>
      </c>
      <c r="Z50" s="593"/>
      <c r="AA50" s="302">
        <v>0</v>
      </c>
      <c r="AB50" s="302"/>
      <c r="AC50" s="1021">
        <v>0</v>
      </c>
      <c r="AD50" s="593"/>
      <c r="AE50" s="1428">
        <v>0</v>
      </c>
      <c r="AF50" s="1060"/>
      <c r="AG50" s="1428">
        <v>0</v>
      </c>
      <c r="AH50" s="1060"/>
      <c r="AI50" s="1428">
        <v>0</v>
      </c>
      <c r="AJ50" s="1060"/>
      <c r="AK50" s="1428">
        <v>0</v>
      </c>
      <c r="AL50" s="1060"/>
      <c r="AM50" s="1428">
        <v>0</v>
      </c>
      <c r="AN50" s="1060"/>
      <c r="AO50" s="1428">
        <v>0</v>
      </c>
      <c r="AP50" s="1060"/>
      <c r="AQ50" s="1428">
        <v>0</v>
      </c>
      <c r="AR50" s="1060"/>
      <c r="AS50" s="1428">
        <v>0</v>
      </c>
      <c r="AT50" s="1060"/>
    </row>
    <row r="51" spans="1:46">
      <c r="A51" s="238" t="s">
        <v>799</v>
      </c>
      <c r="B51" s="523"/>
      <c r="C51" s="1029"/>
      <c r="D51" s="523"/>
      <c r="E51" s="524"/>
      <c r="F51" s="1029"/>
      <c r="G51" s="524"/>
      <c r="H51" s="524"/>
      <c r="I51" s="523"/>
      <c r="J51" s="1029"/>
      <c r="K51" s="524"/>
      <c r="L51" s="524"/>
      <c r="M51" s="523"/>
      <c r="N51" s="1029"/>
      <c r="O51" s="524"/>
      <c r="P51" s="524"/>
      <c r="Q51" s="523"/>
      <c r="R51" s="1029"/>
      <c r="S51" s="524"/>
      <c r="T51" s="524"/>
      <c r="U51" s="523"/>
      <c r="V51" s="1029"/>
      <c r="W51" s="524"/>
      <c r="X51" s="524"/>
      <c r="Y51" s="523"/>
      <c r="Z51" s="1029"/>
      <c r="AA51" s="524"/>
      <c r="AB51" s="524"/>
      <c r="AC51" s="523"/>
      <c r="AD51" s="1029"/>
      <c r="AE51" s="523"/>
      <c r="AF51" s="1029"/>
      <c r="AG51" s="523"/>
      <c r="AH51" s="1029"/>
      <c r="AI51" s="523"/>
      <c r="AJ51" s="1029"/>
      <c r="AK51" s="523"/>
      <c r="AL51" s="1029"/>
      <c r="AM51" s="523"/>
      <c r="AN51" s="1029"/>
      <c r="AO51" s="523"/>
      <c r="AP51" s="1029"/>
      <c r="AQ51" s="523"/>
      <c r="AR51" s="1029"/>
      <c r="AS51" s="523"/>
      <c r="AT51" s="1029"/>
    </row>
    <row r="52" spans="1:46">
      <c r="A52" s="661" t="s">
        <v>800</v>
      </c>
      <c r="B52" s="1021">
        <v>0</v>
      </c>
      <c r="C52" s="593"/>
      <c r="D52" s="1021">
        <v>0</v>
      </c>
      <c r="E52" s="302"/>
      <c r="F52" s="593"/>
      <c r="G52" s="302">
        <v>0</v>
      </c>
      <c r="H52" s="302"/>
      <c r="I52" s="1021">
        <v>3.6602680510651117E-2</v>
      </c>
      <c r="J52" s="593"/>
      <c r="K52" s="302">
        <v>0</v>
      </c>
      <c r="L52" s="302"/>
      <c r="M52" s="1021">
        <v>0</v>
      </c>
      <c r="N52" s="593"/>
      <c r="O52" s="302">
        <v>0</v>
      </c>
      <c r="P52" s="302"/>
      <c r="Q52" s="1021">
        <v>0</v>
      </c>
      <c r="R52" s="593"/>
      <c r="S52" s="302">
        <v>0</v>
      </c>
      <c r="T52" s="302"/>
      <c r="U52" s="1021">
        <v>0</v>
      </c>
      <c r="V52" s="593"/>
      <c r="W52" s="302">
        <v>0</v>
      </c>
      <c r="X52" s="302"/>
      <c r="Y52" s="1021">
        <v>0</v>
      </c>
      <c r="Z52" s="593"/>
      <c r="AA52" s="302">
        <v>0</v>
      </c>
      <c r="AB52" s="302"/>
      <c r="AC52" s="1021">
        <v>0</v>
      </c>
      <c r="AD52" s="593"/>
      <c r="AE52" s="1061">
        <v>0</v>
      </c>
      <c r="AF52" s="1064"/>
      <c r="AG52" s="1061">
        <v>0</v>
      </c>
      <c r="AH52" s="1013"/>
      <c r="AI52" s="1061">
        <v>0</v>
      </c>
      <c r="AJ52" s="1013"/>
      <c r="AK52" s="1061">
        <v>0</v>
      </c>
      <c r="AL52" s="1013"/>
      <c r="AM52" s="1061"/>
      <c r="AN52" s="1013"/>
      <c r="AO52" s="1061">
        <v>0</v>
      </c>
      <c r="AP52" s="1013"/>
      <c r="AQ52" s="1061"/>
      <c r="AR52" s="1013"/>
      <c r="AS52" s="1061">
        <v>0</v>
      </c>
      <c r="AT52" s="1013"/>
    </row>
    <row r="53" spans="1:46">
      <c r="A53" s="661" t="s">
        <v>801</v>
      </c>
      <c r="B53" s="1021">
        <v>1.8425193853494243E-2</v>
      </c>
      <c r="C53" s="593"/>
      <c r="D53" s="1021">
        <v>0</v>
      </c>
      <c r="E53" s="302"/>
      <c r="F53" s="593"/>
      <c r="G53" s="302">
        <v>0</v>
      </c>
      <c r="H53" s="302"/>
      <c r="I53" s="1021">
        <v>0</v>
      </c>
      <c r="J53" s="593"/>
      <c r="K53" s="302">
        <v>0</v>
      </c>
      <c r="L53" s="302"/>
      <c r="M53" s="1021">
        <v>0</v>
      </c>
      <c r="N53" s="593"/>
      <c r="O53" s="302"/>
      <c r="P53" s="302"/>
      <c r="Q53" s="1021"/>
      <c r="R53" s="593"/>
      <c r="S53" s="302"/>
      <c r="T53" s="302"/>
      <c r="U53" s="1021"/>
      <c r="V53" s="593"/>
      <c r="W53" s="302"/>
      <c r="X53" s="302"/>
      <c r="Y53" s="1021"/>
      <c r="Z53" s="593"/>
      <c r="AA53" s="302"/>
      <c r="AB53" s="302"/>
      <c r="AC53" s="1021"/>
      <c r="AD53" s="593"/>
      <c r="AE53" s="1061">
        <v>0</v>
      </c>
      <c r="AF53" s="1064"/>
      <c r="AG53" s="1061">
        <v>0</v>
      </c>
      <c r="AH53" s="1013"/>
      <c r="AI53" s="1061">
        <v>0</v>
      </c>
      <c r="AJ53" s="1013"/>
      <c r="AK53" s="1061">
        <v>0</v>
      </c>
      <c r="AL53" s="1013"/>
      <c r="AM53" s="1061">
        <v>0</v>
      </c>
      <c r="AN53" s="1013"/>
      <c r="AO53" s="1061">
        <v>0</v>
      </c>
      <c r="AP53" s="1013"/>
      <c r="AQ53" s="1061">
        <v>0</v>
      </c>
      <c r="AR53" s="1013"/>
      <c r="AS53" s="1061">
        <v>0</v>
      </c>
      <c r="AT53" s="1013"/>
    </row>
    <row r="54" spans="1:46">
      <c r="A54" s="661" t="s">
        <v>802</v>
      </c>
      <c r="B54" s="1021">
        <v>0.2425983857376742</v>
      </c>
      <c r="C54" s="593" t="s">
        <v>803</v>
      </c>
      <c r="D54" s="1021">
        <v>0</v>
      </c>
      <c r="E54" s="302"/>
      <c r="F54" s="593"/>
      <c r="G54" s="302">
        <v>0</v>
      </c>
      <c r="H54" s="302"/>
      <c r="I54" s="1021">
        <v>0</v>
      </c>
      <c r="J54" s="593"/>
      <c r="K54" s="302">
        <v>0</v>
      </c>
      <c r="L54" s="302"/>
      <c r="M54" s="1021">
        <v>0</v>
      </c>
      <c r="N54" s="593"/>
      <c r="O54" s="302">
        <v>0</v>
      </c>
      <c r="P54" s="302"/>
      <c r="Q54" s="1021">
        <v>0</v>
      </c>
      <c r="R54" s="593"/>
      <c r="S54" s="302">
        <v>0</v>
      </c>
      <c r="T54" s="302"/>
      <c r="U54" s="1021">
        <v>0</v>
      </c>
      <c r="V54" s="593"/>
      <c r="W54" s="302">
        <v>0</v>
      </c>
      <c r="X54" s="302"/>
      <c r="Y54" s="416">
        <v>0</v>
      </c>
      <c r="Z54" s="593"/>
      <c r="AA54" s="302">
        <v>0</v>
      </c>
      <c r="AB54" s="302"/>
      <c r="AC54" s="1021">
        <v>0</v>
      </c>
      <c r="AD54" s="593"/>
      <c r="AE54" s="1061">
        <v>0.63490051187049223</v>
      </c>
      <c r="AF54" s="1064"/>
      <c r="AG54" s="1061">
        <v>0</v>
      </c>
      <c r="AH54" s="1013"/>
      <c r="AI54" s="1061">
        <v>0</v>
      </c>
      <c r="AJ54" s="1013"/>
      <c r="AK54" s="1061">
        <v>0</v>
      </c>
      <c r="AL54" s="1013"/>
      <c r="AM54" s="1061">
        <v>0</v>
      </c>
      <c r="AN54" s="1013"/>
      <c r="AO54" s="1061">
        <v>0.63490051187049201</v>
      </c>
      <c r="AP54" s="1013"/>
      <c r="AQ54" s="1061">
        <v>0</v>
      </c>
      <c r="AR54" s="1013"/>
      <c r="AS54" s="1061">
        <v>0</v>
      </c>
      <c r="AT54" s="1013"/>
    </row>
    <row r="55" spans="1:46">
      <c r="A55" s="661" t="s">
        <v>804</v>
      </c>
      <c r="B55" s="1021">
        <v>6.7360332090307992E-2</v>
      </c>
      <c r="C55" s="593"/>
      <c r="D55" s="1021">
        <v>1.8614429225947044E-2</v>
      </c>
      <c r="E55" s="302"/>
      <c r="F55" s="593"/>
      <c r="G55" s="302">
        <v>0</v>
      </c>
      <c r="H55" s="302"/>
      <c r="I55" s="1021">
        <v>0.40889792950413328</v>
      </c>
      <c r="J55" s="593"/>
      <c r="K55" s="302">
        <v>0.75224405377456049</v>
      </c>
      <c r="L55" s="302"/>
      <c r="M55" s="1021">
        <v>0.51065332976620581</v>
      </c>
      <c r="N55" s="593"/>
      <c r="O55" s="302">
        <v>0.47199999999999998</v>
      </c>
      <c r="P55" s="302"/>
      <c r="Q55" s="1021">
        <v>0</v>
      </c>
      <c r="R55" s="593"/>
      <c r="S55" s="302">
        <v>0</v>
      </c>
      <c r="T55" s="302"/>
      <c r="U55" s="1021">
        <v>0</v>
      </c>
      <c r="V55" s="593"/>
      <c r="W55" s="302">
        <v>0</v>
      </c>
      <c r="X55" s="302"/>
      <c r="Y55" s="416">
        <v>0.23476459700642527</v>
      </c>
      <c r="Z55" s="593"/>
      <c r="AA55" s="302">
        <v>0.66700000000000004</v>
      </c>
      <c r="AB55" s="302"/>
      <c r="AC55" s="1021">
        <v>0</v>
      </c>
      <c r="AD55" s="593"/>
      <c r="AE55" s="1061">
        <v>0</v>
      </c>
      <c r="AF55" s="1064"/>
      <c r="AG55" s="1061">
        <v>0.83613630343078849</v>
      </c>
      <c r="AH55" s="1013"/>
      <c r="AI55" s="1061">
        <v>0.94344779554839919</v>
      </c>
      <c r="AJ55" s="1013"/>
      <c r="AK55" s="1061">
        <v>0.15808149003227667</v>
      </c>
      <c r="AL55" s="1013"/>
      <c r="AM55" s="1061">
        <v>3.7599003013930196E-2</v>
      </c>
      <c r="AN55" s="1013"/>
      <c r="AO55" s="1061">
        <v>0</v>
      </c>
      <c r="AP55" s="1013"/>
      <c r="AQ55" s="1061">
        <v>0</v>
      </c>
      <c r="AR55" s="1013"/>
      <c r="AS55" s="1061">
        <v>3.7599003013930196E-2</v>
      </c>
      <c r="AT55" s="1013"/>
    </row>
    <row r="56" spans="1:46">
      <c r="A56" s="661" t="s">
        <v>805</v>
      </c>
      <c r="B56" s="1021">
        <v>0</v>
      </c>
      <c r="C56" s="593"/>
      <c r="D56" s="1021">
        <v>0.97513657622210737</v>
      </c>
      <c r="E56" s="302"/>
      <c r="F56" s="593"/>
      <c r="G56" s="302">
        <v>0</v>
      </c>
      <c r="H56" s="302"/>
      <c r="I56" s="1021">
        <v>0.49018589739959328</v>
      </c>
      <c r="J56" s="593"/>
      <c r="K56" s="302">
        <v>0</v>
      </c>
      <c r="L56" s="302"/>
      <c r="M56" s="1021">
        <v>0</v>
      </c>
      <c r="N56" s="593"/>
      <c r="O56" s="302">
        <v>0</v>
      </c>
      <c r="P56" s="302"/>
      <c r="Q56" s="1021">
        <v>0</v>
      </c>
      <c r="R56" s="593"/>
      <c r="S56" s="302">
        <v>0</v>
      </c>
      <c r="T56" s="302"/>
      <c r="U56" s="1021">
        <v>0</v>
      </c>
      <c r="V56" s="593"/>
      <c r="W56" s="302">
        <v>0</v>
      </c>
      <c r="X56" s="302"/>
      <c r="Y56" s="416">
        <v>0</v>
      </c>
      <c r="Z56" s="593"/>
      <c r="AA56" s="302">
        <v>0</v>
      </c>
      <c r="AB56" s="302"/>
      <c r="AC56" s="1021">
        <v>0</v>
      </c>
      <c r="AD56" s="593"/>
      <c r="AE56" s="1061">
        <v>0</v>
      </c>
      <c r="AF56" s="1064"/>
      <c r="AG56" s="1061">
        <v>0</v>
      </c>
      <c r="AH56" s="1013"/>
      <c r="AI56" s="1061">
        <v>0</v>
      </c>
      <c r="AJ56" s="1013"/>
      <c r="AK56" s="1061">
        <v>0</v>
      </c>
      <c r="AL56" s="1013"/>
      <c r="AM56" s="1061">
        <v>0</v>
      </c>
      <c r="AN56" s="1013"/>
      <c r="AO56" s="1061">
        <v>0</v>
      </c>
      <c r="AP56" s="1013"/>
      <c r="AQ56" s="1061">
        <v>0</v>
      </c>
      <c r="AR56" s="1013"/>
      <c r="AS56" s="1061">
        <v>0</v>
      </c>
      <c r="AT56" s="1013"/>
    </row>
    <row r="57" spans="1:46">
      <c r="A57" s="897" t="s">
        <v>806</v>
      </c>
      <c r="B57" s="1019">
        <v>0.67161608831852371</v>
      </c>
      <c r="C57" s="210"/>
      <c r="D57" s="1019">
        <v>6.2489945519455994E-3</v>
      </c>
      <c r="E57" s="1020"/>
      <c r="F57" s="210"/>
      <c r="G57" s="1020">
        <v>1</v>
      </c>
      <c r="H57" s="1020"/>
      <c r="I57" s="1019">
        <v>6.4313492585622412E-2</v>
      </c>
      <c r="J57" s="210"/>
      <c r="K57" s="1020">
        <v>0.24775594622543953</v>
      </c>
      <c r="L57" s="1020"/>
      <c r="M57" s="1019">
        <v>0.48934667023379402</v>
      </c>
      <c r="N57" s="210"/>
      <c r="O57" s="1020">
        <f>1-SUM(O52:O56)</f>
        <v>0.52800000000000002</v>
      </c>
      <c r="P57" s="1020"/>
      <c r="Q57" s="1019">
        <f>1-SUM(Q52:Q56)</f>
        <v>1</v>
      </c>
      <c r="R57" s="210"/>
      <c r="S57" s="1020">
        <f>1-SUM(S52:S56)</f>
        <v>1</v>
      </c>
      <c r="T57" s="1020"/>
      <c r="U57" s="1019">
        <f>1-SUM(U52:U56)</f>
        <v>1</v>
      </c>
      <c r="V57" s="210"/>
      <c r="W57" s="1020">
        <f>1-SUM(W52:W56)</f>
        <v>1</v>
      </c>
      <c r="X57" s="1020"/>
      <c r="Y57" s="664">
        <v>0.76523540299357473</v>
      </c>
      <c r="Z57" s="210"/>
      <c r="AA57" s="1020">
        <f>1-SUM(AA52:AA56)</f>
        <v>0.33299999999999996</v>
      </c>
      <c r="AB57" s="1020"/>
      <c r="AC57" s="1019">
        <f>1-SUM(AC52:AC56)</f>
        <v>1</v>
      </c>
      <c r="AD57" s="210"/>
      <c r="AE57" s="1061">
        <v>0.36509948812950777</v>
      </c>
      <c r="AF57" s="1064"/>
      <c r="AG57" s="1061">
        <v>0.1638636965692114</v>
      </c>
      <c r="AH57" s="1013"/>
      <c r="AI57" s="1061">
        <v>5.6552204451600765E-2</v>
      </c>
      <c r="AJ57" s="1013"/>
      <c r="AK57" s="1061">
        <v>5.895995527750611E-2</v>
      </c>
      <c r="AL57" s="1013"/>
      <c r="AM57" s="1061">
        <v>0.96240099698606985</v>
      </c>
      <c r="AN57" s="1013"/>
      <c r="AO57" s="1061">
        <v>0.36509948812950777</v>
      </c>
      <c r="AP57" s="1013"/>
      <c r="AQ57" s="1061">
        <v>5.24223560585554E-2</v>
      </c>
      <c r="AR57" s="1013"/>
      <c r="AS57" s="1061">
        <v>0.96240099698606985</v>
      </c>
      <c r="AT57" s="1013"/>
    </row>
    <row r="58" spans="1:46">
      <c r="A58" s="661" t="s">
        <v>2626</v>
      </c>
      <c r="B58" s="1021"/>
      <c r="C58" s="593"/>
      <c r="D58" s="1021"/>
      <c r="E58" s="302"/>
      <c r="F58" s="593"/>
      <c r="G58" s="302"/>
      <c r="H58" s="302"/>
      <c r="I58" s="1021"/>
      <c r="J58" s="593"/>
      <c r="K58" s="302"/>
      <c r="L58" s="302"/>
      <c r="M58" s="1021"/>
      <c r="N58" s="593"/>
      <c r="O58" s="302"/>
      <c r="P58" s="302"/>
      <c r="Q58" s="1021"/>
      <c r="R58" s="593"/>
      <c r="S58" s="302"/>
      <c r="T58" s="302"/>
      <c r="U58" s="1021"/>
      <c r="V58" s="593"/>
      <c r="W58" s="302"/>
      <c r="X58" s="302"/>
      <c r="Y58" s="1021"/>
      <c r="Z58" s="593"/>
      <c r="AA58" s="302"/>
      <c r="AB58" s="302"/>
      <c r="AC58" s="1021"/>
      <c r="AD58" s="593"/>
      <c r="AE58" s="1428"/>
      <c r="AF58" s="1060"/>
      <c r="AG58" s="897"/>
      <c r="AH58" s="1031"/>
      <c r="AI58" s="897"/>
      <c r="AJ58" s="1031"/>
      <c r="AK58" s="1428">
        <v>0.78295855469021725</v>
      </c>
      <c r="AL58" s="1031"/>
      <c r="AM58" s="1428"/>
      <c r="AN58" s="1031"/>
      <c r="AO58" s="1428"/>
      <c r="AP58" s="1031"/>
      <c r="AQ58" s="1428">
        <v>0.9475776439414445</v>
      </c>
      <c r="AR58" s="1031"/>
      <c r="AS58" s="1428"/>
      <c r="AT58" s="1031"/>
    </row>
    <row r="59" spans="1:46">
      <c r="A59" s="571" t="s">
        <v>807</v>
      </c>
      <c r="B59" s="661"/>
      <c r="C59" s="1013"/>
      <c r="D59" s="661"/>
      <c r="E59" s="363"/>
      <c r="F59" s="1013"/>
      <c r="G59" s="363"/>
      <c r="H59" s="363"/>
      <c r="I59" s="661"/>
      <c r="J59" s="1013"/>
      <c r="K59" s="363"/>
      <c r="L59" s="363"/>
      <c r="M59" s="661"/>
      <c r="N59" s="1013"/>
      <c r="O59" s="363"/>
      <c r="P59" s="363"/>
      <c r="Q59" s="661"/>
      <c r="R59" s="1013"/>
      <c r="S59" s="363"/>
      <c r="T59" s="363"/>
      <c r="U59" s="661"/>
      <c r="V59" s="1013"/>
      <c r="W59" s="363"/>
      <c r="X59" s="363"/>
      <c r="Y59" s="661"/>
      <c r="Z59" s="1013"/>
      <c r="AA59" s="363"/>
      <c r="AB59" s="363"/>
      <c r="AC59" s="661"/>
      <c r="AD59" s="1013"/>
      <c r="AE59" s="523"/>
      <c r="AF59" s="1029"/>
      <c r="AG59" s="523"/>
      <c r="AH59" s="1029"/>
      <c r="AI59" s="523"/>
      <c r="AJ59" s="1029"/>
      <c r="AK59" s="523"/>
      <c r="AL59" s="1029"/>
      <c r="AM59" s="523"/>
      <c r="AN59" s="1029"/>
      <c r="AO59" s="523"/>
      <c r="AP59" s="1029"/>
      <c r="AQ59" s="523"/>
      <c r="AR59" s="1029"/>
      <c r="AS59" s="523"/>
      <c r="AT59" s="1029"/>
    </row>
    <row r="60" spans="1:46">
      <c r="A60" s="661" t="s">
        <v>800</v>
      </c>
      <c r="B60" s="2615">
        <f t="shared" ref="B60:B65" si="12">B$49*B52</f>
        <v>0</v>
      </c>
      <c r="C60" s="2616"/>
      <c r="D60" s="2615">
        <f t="shared" ref="D60:D65" si="13">D$49*D52</f>
        <v>0</v>
      </c>
      <c r="E60" s="1090"/>
      <c r="F60" s="2616"/>
      <c r="G60" s="1090">
        <f t="shared" ref="G60:G65" si="14">G$49*G52</f>
        <v>0</v>
      </c>
      <c r="H60" s="1090"/>
      <c r="I60" s="2615">
        <f t="shared" ref="I60:I65" si="15">I$49*I52</f>
        <v>0.13089969427864317</v>
      </c>
      <c r="J60" s="2616"/>
      <c r="K60" s="1090">
        <f t="shared" ref="K60:K65" si="16">K$49*K52</f>
        <v>0</v>
      </c>
      <c r="L60" s="1090"/>
      <c r="M60" s="2615">
        <f t="shared" ref="M60:M65" si="17">M$49*M52</f>
        <v>0</v>
      </c>
      <c r="N60" s="2616"/>
      <c r="O60" s="1090">
        <f>O$49*O52</f>
        <v>0</v>
      </c>
      <c r="P60" s="1090"/>
      <c r="Q60" s="2615">
        <f>Q$49*Q52</f>
        <v>0</v>
      </c>
      <c r="R60" s="2616"/>
      <c r="S60" s="1090">
        <f>S$49*S52</f>
        <v>0</v>
      </c>
      <c r="T60" s="1090"/>
      <c r="U60" s="2615">
        <f>U$49*U52</f>
        <v>0</v>
      </c>
      <c r="V60" s="2616"/>
      <c r="W60" s="1090">
        <f>W$49*W52</f>
        <v>0</v>
      </c>
      <c r="X60" s="1090"/>
      <c r="Y60" s="2615">
        <f>Y$49*Y52</f>
        <v>0</v>
      </c>
      <c r="Z60" s="2616"/>
      <c r="AA60" s="1090">
        <f>AA$49*AA52</f>
        <v>0</v>
      </c>
      <c r="AB60" s="1090"/>
      <c r="AC60" s="2615">
        <f>AC$49*AC52</f>
        <v>0</v>
      </c>
      <c r="AD60" s="2616"/>
      <c r="AE60" s="2615">
        <f t="shared" ref="AE60:AE65" si="18">AE$49*AE52</f>
        <v>0</v>
      </c>
      <c r="AF60" s="2616"/>
      <c r="AG60" s="2615">
        <f t="shared" ref="AG60:AG65" si="19">AG$49*AG52</f>
        <v>0</v>
      </c>
      <c r="AH60" s="2616"/>
      <c r="AI60" s="2615">
        <f t="shared" ref="AI60:AI65" si="20">AI$49*AI52</f>
        <v>0</v>
      </c>
      <c r="AJ60" s="2616"/>
      <c r="AK60" s="2615">
        <f t="shared" ref="AK60:AK66" si="21">AK$49*AK52</f>
        <v>0</v>
      </c>
      <c r="AL60" s="2616"/>
      <c r="AM60" s="2615">
        <f t="shared" ref="AM60:AM65" si="22">AM$49*AM52</f>
        <v>0</v>
      </c>
      <c r="AN60" s="2616"/>
      <c r="AO60" s="2615">
        <f t="shared" ref="AO60:AO65" si="23">AO$49*AO52</f>
        <v>0</v>
      </c>
      <c r="AP60" s="2616"/>
      <c r="AQ60" s="2615">
        <f t="shared" ref="AQ60:AQ66" si="24">AQ$49*AQ52</f>
        <v>0</v>
      </c>
      <c r="AR60" s="2616"/>
      <c r="AS60" s="2615">
        <f t="shared" ref="AS60:AS65" si="25">AS$49*AS52</f>
        <v>0</v>
      </c>
      <c r="AT60" s="2616"/>
    </row>
    <row r="61" spans="1:46">
      <c r="A61" s="661" t="s">
        <v>801</v>
      </c>
      <c r="B61" s="2615">
        <f t="shared" si="12"/>
        <v>2.1537599999999998E-3</v>
      </c>
      <c r="C61" s="2616"/>
      <c r="D61" s="2615">
        <f t="shared" si="13"/>
        <v>0</v>
      </c>
      <c r="E61" s="1090"/>
      <c r="F61" s="2616"/>
      <c r="G61" s="1090">
        <f t="shared" si="14"/>
        <v>0</v>
      </c>
      <c r="H61" s="1090"/>
      <c r="I61" s="2615">
        <f t="shared" si="15"/>
        <v>0</v>
      </c>
      <c r="J61" s="2616"/>
      <c r="K61" s="1090">
        <f t="shared" si="16"/>
        <v>0</v>
      </c>
      <c r="L61" s="1090"/>
      <c r="M61" s="2615">
        <f t="shared" si="17"/>
        <v>0</v>
      </c>
      <c r="N61" s="2616"/>
      <c r="O61" s="1090"/>
      <c r="P61" s="1090"/>
      <c r="Q61" s="2615"/>
      <c r="R61" s="2616"/>
      <c r="S61" s="1090"/>
      <c r="T61" s="1090"/>
      <c r="U61" s="2615"/>
      <c r="V61" s="2616"/>
      <c r="W61" s="1090"/>
      <c r="X61" s="1090"/>
      <c r="Y61" s="2615"/>
      <c r="Z61" s="2616"/>
      <c r="AA61" s="1090"/>
      <c r="AB61" s="1090"/>
      <c r="AC61" s="2615"/>
      <c r="AD61" s="2616"/>
      <c r="AE61" s="2615">
        <f t="shared" si="18"/>
        <v>0</v>
      </c>
      <c r="AF61" s="2616"/>
      <c r="AG61" s="2615">
        <f t="shared" si="19"/>
        <v>0</v>
      </c>
      <c r="AH61" s="2616"/>
      <c r="AI61" s="2615">
        <f t="shared" si="20"/>
        <v>0</v>
      </c>
      <c r="AJ61" s="2616"/>
      <c r="AK61" s="2615">
        <f t="shared" si="21"/>
        <v>0</v>
      </c>
      <c r="AL61" s="2616"/>
      <c r="AM61" s="2615">
        <f t="shared" si="22"/>
        <v>0</v>
      </c>
      <c r="AN61" s="2616"/>
      <c r="AO61" s="2615">
        <f t="shared" si="23"/>
        <v>0</v>
      </c>
      <c r="AP61" s="2616"/>
      <c r="AQ61" s="2615">
        <f t="shared" si="24"/>
        <v>0</v>
      </c>
      <c r="AR61" s="2616"/>
      <c r="AS61" s="2615">
        <f t="shared" si="25"/>
        <v>0</v>
      </c>
      <c r="AT61" s="2616"/>
    </row>
    <row r="62" spans="1:46">
      <c r="A62" s="661" t="s">
        <v>802</v>
      </c>
      <c r="B62" s="2615">
        <f t="shared" si="12"/>
        <v>2.8357839999999999E-2</v>
      </c>
      <c r="C62" s="2616"/>
      <c r="D62" s="2615">
        <f t="shared" si="13"/>
        <v>0</v>
      </c>
      <c r="E62" s="1090"/>
      <c r="F62" s="2616"/>
      <c r="G62" s="1090">
        <f t="shared" si="14"/>
        <v>0</v>
      </c>
      <c r="H62" s="1090"/>
      <c r="I62" s="2615">
        <f t="shared" si="15"/>
        <v>0</v>
      </c>
      <c r="J62" s="2616"/>
      <c r="K62" s="1090">
        <f t="shared" si="16"/>
        <v>0</v>
      </c>
      <c r="L62" s="1090"/>
      <c r="M62" s="2615">
        <f t="shared" si="17"/>
        <v>0</v>
      </c>
      <c r="N62" s="2616"/>
      <c r="O62" s="1090">
        <f>O$49*O54</f>
        <v>0</v>
      </c>
      <c r="P62" s="1090"/>
      <c r="Q62" s="2615">
        <f>Q$49*Q54</f>
        <v>0</v>
      </c>
      <c r="R62" s="2616"/>
      <c r="S62" s="1090">
        <f>S$49*S54</f>
        <v>0</v>
      </c>
      <c r="T62" s="1090"/>
      <c r="U62" s="2615">
        <f>U$49*U54</f>
        <v>0</v>
      </c>
      <c r="V62" s="2616"/>
      <c r="W62" s="1090">
        <f>W$49*W54</f>
        <v>0</v>
      </c>
      <c r="X62" s="1090"/>
      <c r="Y62" s="2615">
        <f>Y$49*Y54</f>
        <v>0</v>
      </c>
      <c r="Z62" s="2616"/>
      <c r="AA62" s="1090">
        <f>AA$49*AA54</f>
        <v>0</v>
      </c>
      <c r="AB62" s="1090"/>
      <c r="AC62" s="2615">
        <f>AC$49*AC54</f>
        <v>0</v>
      </c>
      <c r="AD62" s="2616"/>
      <c r="AE62" s="2615">
        <f t="shared" si="18"/>
        <v>1.2317551866363474</v>
      </c>
      <c r="AF62" s="2616"/>
      <c r="AG62" s="2615">
        <f t="shared" si="19"/>
        <v>0</v>
      </c>
      <c r="AH62" s="2616"/>
      <c r="AI62" s="2615">
        <f t="shared" si="20"/>
        <v>0</v>
      </c>
      <c r="AJ62" s="2616"/>
      <c r="AK62" s="2615">
        <f t="shared" si="21"/>
        <v>0</v>
      </c>
      <c r="AL62" s="2616"/>
      <c r="AM62" s="2615">
        <f t="shared" si="22"/>
        <v>0</v>
      </c>
      <c r="AN62" s="2616"/>
      <c r="AO62" s="2615">
        <f t="shared" si="23"/>
        <v>1.2814641874445829</v>
      </c>
      <c r="AP62" s="2616"/>
      <c r="AQ62" s="2615">
        <f t="shared" si="24"/>
        <v>0</v>
      </c>
      <c r="AR62" s="2616"/>
      <c r="AS62" s="2615">
        <f t="shared" si="25"/>
        <v>0</v>
      </c>
      <c r="AT62" s="2616"/>
    </row>
    <row r="63" spans="1:46">
      <c r="A63" s="661" t="s">
        <v>808</v>
      </c>
      <c r="B63" s="2615">
        <f t="shared" si="12"/>
        <v>7.8738921281584478E-3</v>
      </c>
      <c r="C63" s="2616"/>
      <c r="D63" s="2615">
        <f t="shared" si="13"/>
        <v>0.29787878787878791</v>
      </c>
      <c r="E63" s="1090"/>
      <c r="F63" s="2616"/>
      <c r="G63" s="1090">
        <f t="shared" si="14"/>
        <v>0</v>
      </c>
      <c r="H63" s="1090"/>
      <c r="I63" s="2615">
        <f t="shared" si="15"/>
        <v>1.462314049586777</v>
      </c>
      <c r="J63" s="2616"/>
      <c r="K63" s="1090">
        <f t="shared" si="16"/>
        <v>0.33398530762167122</v>
      </c>
      <c r="L63" s="1090"/>
      <c r="M63" s="2615">
        <f t="shared" si="17"/>
        <v>7.2213039485766739E-2</v>
      </c>
      <c r="N63" s="2616"/>
      <c r="O63" s="1090">
        <f>O$49*O55</f>
        <v>0.62964799999999999</v>
      </c>
      <c r="P63" s="1090"/>
      <c r="Q63" s="2615">
        <f>Q$49*Q55</f>
        <v>0</v>
      </c>
      <c r="R63" s="2616"/>
      <c r="S63" s="1090">
        <f>S$49*S55</f>
        <v>0</v>
      </c>
      <c r="T63" s="1090"/>
      <c r="U63" s="2615">
        <f>U$49*U55</f>
        <v>0</v>
      </c>
      <c r="V63" s="2616"/>
      <c r="W63" s="1090">
        <f>W$49*W55</f>
        <v>0</v>
      </c>
      <c r="X63" s="1090"/>
      <c r="Y63" s="2615">
        <f>Y$49*Y55</f>
        <v>0.46938475665748391</v>
      </c>
      <c r="Z63" s="2616"/>
      <c r="AA63" s="1090">
        <f>AA$49*AA55</f>
        <v>2.1567445000000003</v>
      </c>
      <c r="AB63" s="1090"/>
      <c r="AC63" s="2615">
        <f>AC$49*AC55</f>
        <v>0</v>
      </c>
      <c r="AD63" s="2616"/>
      <c r="AE63" s="2615">
        <f t="shared" si="18"/>
        <v>0</v>
      </c>
      <c r="AF63" s="2616"/>
      <c r="AG63" s="2615">
        <f t="shared" si="19"/>
        <v>2.1329690697571868</v>
      </c>
      <c r="AH63" s="2616"/>
      <c r="AI63" s="2615">
        <f t="shared" si="20"/>
        <v>10.602599169707416</v>
      </c>
      <c r="AJ63" s="2616"/>
      <c r="AK63" s="2615">
        <f t="shared" si="21"/>
        <v>1.7039933020196776</v>
      </c>
      <c r="AL63" s="2616"/>
      <c r="AM63" s="2615">
        <f t="shared" si="22"/>
        <v>9.5444141253726258E-2</v>
      </c>
      <c r="AN63" s="2616"/>
      <c r="AO63" s="2615">
        <f t="shared" si="23"/>
        <v>0</v>
      </c>
      <c r="AP63" s="2616"/>
      <c r="AQ63" s="2615">
        <f t="shared" si="24"/>
        <v>0</v>
      </c>
      <c r="AR63" s="2616"/>
      <c r="AS63" s="2615">
        <f t="shared" si="25"/>
        <v>9.5444141253726258E-2</v>
      </c>
      <c r="AT63" s="2616"/>
    </row>
    <row r="64" spans="1:46">
      <c r="A64" s="661" t="s">
        <v>805</v>
      </c>
      <c r="B64" s="2615">
        <f t="shared" si="12"/>
        <v>0</v>
      </c>
      <c r="C64" s="2616"/>
      <c r="D64" s="2615">
        <f t="shared" si="13"/>
        <v>15.604695573282306</v>
      </c>
      <c r="E64" s="1090"/>
      <c r="F64" s="2616"/>
      <c r="G64" s="1090">
        <f t="shared" si="14"/>
        <v>0</v>
      </c>
      <c r="H64" s="1090"/>
      <c r="I64" s="2615">
        <f t="shared" si="15"/>
        <v>1.753018719233896</v>
      </c>
      <c r="J64" s="2616"/>
      <c r="K64" s="1090">
        <f t="shared" si="16"/>
        <v>0</v>
      </c>
      <c r="L64" s="1090"/>
      <c r="M64" s="2615">
        <f t="shared" si="17"/>
        <v>0</v>
      </c>
      <c r="N64" s="2616"/>
      <c r="O64" s="1090">
        <f>O$49*O56</f>
        <v>0</v>
      </c>
      <c r="P64" s="1090"/>
      <c r="Q64" s="2615">
        <f>Q$49*Q56</f>
        <v>0</v>
      </c>
      <c r="R64" s="2616"/>
      <c r="S64" s="1090">
        <f>S$49*S56</f>
        <v>0</v>
      </c>
      <c r="T64" s="1090"/>
      <c r="U64" s="2615">
        <f>U$49*U56</f>
        <v>0</v>
      </c>
      <c r="V64" s="2616"/>
      <c r="W64" s="1090">
        <f>W$49*W56</f>
        <v>0</v>
      </c>
      <c r="X64" s="1090"/>
      <c r="Y64" s="2615">
        <f>Y$49*Y56</f>
        <v>0</v>
      </c>
      <c r="Z64" s="2616"/>
      <c r="AA64" s="1090">
        <f>AA$49*AA56</f>
        <v>0</v>
      </c>
      <c r="AB64" s="1090"/>
      <c r="AC64" s="2615">
        <f>AC$49*AC56</f>
        <v>0</v>
      </c>
      <c r="AD64" s="2616"/>
      <c r="AE64" s="2615">
        <f t="shared" si="18"/>
        <v>0</v>
      </c>
      <c r="AF64" s="2616"/>
      <c r="AG64" s="2615">
        <f t="shared" si="19"/>
        <v>0</v>
      </c>
      <c r="AH64" s="2616"/>
      <c r="AI64" s="2615">
        <f t="shared" si="20"/>
        <v>0</v>
      </c>
      <c r="AJ64" s="2616"/>
      <c r="AK64" s="2615">
        <f t="shared" si="21"/>
        <v>0</v>
      </c>
      <c r="AL64" s="2616"/>
      <c r="AM64" s="2615">
        <f t="shared" si="22"/>
        <v>0</v>
      </c>
      <c r="AN64" s="2616"/>
      <c r="AO64" s="2615">
        <f t="shared" si="23"/>
        <v>0</v>
      </c>
      <c r="AP64" s="2616"/>
      <c r="AQ64" s="2615">
        <f t="shared" si="24"/>
        <v>0</v>
      </c>
      <c r="AR64" s="2616"/>
      <c r="AS64" s="2615">
        <f t="shared" si="25"/>
        <v>0</v>
      </c>
      <c r="AT64" s="2616"/>
    </row>
    <row r="65" spans="1:46">
      <c r="A65" s="661" t="s">
        <v>806</v>
      </c>
      <c r="B65" s="2615">
        <f t="shared" si="12"/>
        <v>7.8506629448709023E-2</v>
      </c>
      <c r="C65" s="2616"/>
      <c r="D65" s="2615">
        <f t="shared" si="13"/>
        <v>0.1</v>
      </c>
      <c r="E65" s="1090"/>
      <c r="F65" s="2616"/>
      <c r="G65" s="1090">
        <f t="shared" si="14"/>
        <v>0.15318640955004592</v>
      </c>
      <c r="H65" s="1090"/>
      <c r="I65" s="2615">
        <f t="shared" si="15"/>
        <v>0.23000000000000004</v>
      </c>
      <c r="J65" s="2616"/>
      <c r="K65" s="1090">
        <f t="shared" si="16"/>
        <v>0.11</v>
      </c>
      <c r="L65" s="1090"/>
      <c r="M65" s="2615">
        <f t="shared" si="17"/>
        <v>6.9200000000000012E-2</v>
      </c>
      <c r="N65" s="2616"/>
      <c r="O65" s="1090">
        <f>O$49*O57</f>
        <v>0.70435200000000009</v>
      </c>
      <c r="P65" s="1090"/>
      <c r="Q65" s="2615">
        <f>Q$49*Q57</f>
        <v>4.1799999999999997E-2</v>
      </c>
      <c r="R65" s="2616"/>
      <c r="S65" s="1090">
        <f>S$49*S57</f>
        <v>1.3998999999999999</v>
      </c>
      <c r="T65" s="1090"/>
      <c r="U65" s="2615">
        <f>U$49*U57</f>
        <v>0.69569999999999999</v>
      </c>
      <c r="V65" s="2616"/>
      <c r="W65" s="1090">
        <f>W$49*W57</f>
        <v>0.85990521327014202</v>
      </c>
      <c r="X65" s="1090"/>
      <c r="Y65" s="2615">
        <f>Y$49*Y57</f>
        <v>1.5300000000000002</v>
      </c>
      <c r="Z65" s="2616"/>
      <c r="AA65" s="1090">
        <f>AA$49*AA57</f>
        <v>1.0767555</v>
      </c>
      <c r="AB65" s="1090"/>
      <c r="AC65" s="2615">
        <f>AC$49*AC57</f>
        <v>0.54</v>
      </c>
      <c r="AD65" s="2616"/>
      <c r="AE65" s="2615">
        <f t="shared" si="18"/>
        <v>0.70832072070140306</v>
      </c>
      <c r="AF65" s="2616"/>
      <c r="AG65" s="2615">
        <f t="shared" si="19"/>
        <v>0.41801342078329706</v>
      </c>
      <c r="AH65" s="2616"/>
      <c r="AI65" s="2615">
        <f t="shared" si="20"/>
        <v>0.63554163653022877</v>
      </c>
      <c r="AJ65" s="2616"/>
      <c r="AK65" s="2615">
        <f t="shared" si="21"/>
        <v>0.63554163653022877</v>
      </c>
      <c r="AL65" s="2616"/>
      <c r="AM65" s="2615">
        <f t="shared" si="22"/>
        <v>2.4430311799765949</v>
      </c>
      <c r="AN65" s="2616"/>
      <c r="AO65" s="2615">
        <f t="shared" si="23"/>
        <v>0.7369058776058256</v>
      </c>
      <c r="AP65" s="2616"/>
      <c r="AQ65" s="2615">
        <f t="shared" si="24"/>
        <v>0.63554163653022877</v>
      </c>
      <c r="AR65" s="2616"/>
      <c r="AS65" s="2615">
        <f t="shared" si="25"/>
        <v>2.4430311799765949</v>
      </c>
      <c r="AT65" s="2616"/>
    </row>
    <row r="66" spans="1:46">
      <c r="A66" s="160" t="s">
        <v>2626</v>
      </c>
      <c r="B66" s="581"/>
      <c r="C66" s="1189"/>
      <c r="D66" s="581"/>
      <c r="E66" s="1125"/>
      <c r="F66" s="1189"/>
      <c r="G66" s="1125"/>
      <c r="H66" s="1125"/>
      <c r="I66" s="581"/>
      <c r="J66" s="1189"/>
      <c r="K66" s="1125"/>
      <c r="L66" s="1125"/>
      <c r="M66" s="581"/>
      <c r="N66" s="1189"/>
      <c r="O66" s="1125"/>
      <c r="P66" s="1125"/>
      <c r="Q66" s="581"/>
      <c r="R66" s="1189"/>
      <c r="S66" s="1125"/>
      <c r="T66" s="1125"/>
      <c r="U66" s="581"/>
      <c r="V66" s="1189"/>
      <c r="W66" s="1125"/>
      <c r="X66" s="1125"/>
      <c r="Y66" s="581"/>
      <c r="Z66" s="1189"/>
      <c r="AA66" s="1125"/>
      <c r="AB66" s="1125"/>
      <c r="AC66" s="581"/>
      <c r="AD66" s="1189"/>
      <c r="AE66" s="2630"/>
      <c r="AF66" s="2631"/>
      <c r="AG66" s="2630"/>
      <c r="AH66" s="2631"/>
      <c r="AI66" s="2630"/>
      <c r="AJ66" s="2631"/>
      <c r="AK66" s="2630">
        <f t="shared" si="21"/>
        <v>8.4396733145590481</v>
      </c>
      <c r="AL66" s="2631"/>
      <c r="AM66" s="2630"/>
      <c r="AN66" s="2631"/>
      <c r="AO66" s="2630"/>
      <c r="AP66" s="2631"/>
      <c r="AQ66" s="2630">
        <f t="shared" si="24"/>
        <v>11.487943157253806</v>
      </c>
      <c r="AR66" s="2631"/>
      <c r="AS66" s="2630"/>
      <c r="AT66" s="2631"/>
    </row>
    <row r="67" spans="1:46">
      <c r="A67" s="135" t="s">
        <v>809</v>
      </c>
      <c r="B67" s="582"/>
      <c r="C67" s="583"/>
      <c r="D67" s="582"/>
      <c r="E67" s="649"/>
      <c r="F67" s="583"/>
      <c r="G67" s="2518">
        <v>9.1999999999999998E-3</v>
      </c>
      <c r="H67" s="649"/>
      <c r="I67" s="2519">
        <v>4.2900000000000001E-2</v>
      </c>
      <c r="J67" s="583"/>
      <c r="K67" s="649"/>
      <c r="L67" s="649"/>
      <c r="M67" s="582"/>
      <c r="N67" s="583"/>
      <c r="O67" s="649"/>
      <c r="P67" s="649"/>
      <c r="Q67" s="582"/>
      <c r="R67" s="583"/>
      <c r="S67" s="649"/>
      <c r="T67" s="649"/>
      <c r="U67" s="582"/>
      <c r="V67" s="583"/>
      <c r="W67" s="649"/>
      <c r="X67" s="649"/>
      <c r="Y67" s="582"/>
      <c r="Z67" s="583"/>
      <c r="AA67" s="649"/>
      <c r="AB67" s="649"/>
      <c r="AC67" s="582"/>
      <c r="AD67" s="583"/>
      <c r="AE67" s="523"/>
      <c r="AF67" s="1029"/>
      <c r="AG67" s="523"/>
      <c r="AH67" s="1029"/>
      <c r="AI67" s="523"/>
      <c r="AJ67" s="1029"/>
      <c r="AK67" s="523"/>
      <c r="AL67" s="1029"/>
      <c r="AM67" s="523"/>
      <c r="AN67" s="1029"/>
      <c r="AO67" s="523"/>
      <c r="AP67" s="1029"/>
      <c r="AQ67" s="523"/>
      <c r="AR67" s="1029"/>
      <c r="AS67" s="523"/>
      <c r="AT67" s="1029"/>
    </row>
    <row r="68" spans="1:46">
      <c r="A68" s="160" t="s">
        <v>810</v>
      </c>
      <c r="B68" s="578"/>
      <c r="C68" s="478"/>
      <c r="D68" s="578"/>
      <c r="E68" s="1553"/>
      <c r="F68" s="478"/>
      <c r="G68" s="1553"/>
      <c r="H68" s="1553"/>
      <c r="I68" s="578"/>
      <c r="J68" s="478"/>
      <c r="K68" s="1126">
        <v>6.2799999999999995E-2</v>
      </c>
      <c r="L68" s="1553"/>
      <c r="M68" s="578"/>
      <c r="N68" s="478"/>
      <c r="O68" s="1553"/>
      <c r="P68" s="1553"/>
      <c r="Q68" s="578"/>
      <c r="R68" s="478"/>
      <c r="S68" s="1553"/>
      <c r="T68" s="1553"/>
      <c r="U68" s="578"/>
      <c r="V68" s="478"/>
      <c r="W68" s="1553"/>
      <c r="X68" s="1553"/>
      <c r="Y68" s="578"/>
      <c r="Z68" s="478"/>
      <c r="AA68" s="1553"/>
      <c r="AB68" s="1553"/>
      <c r="AC68" s="578"/>
      <c r="AD68" s="478"/>
      <c r="AE68" s="2615"/>
      <c r="AF68" s="1013"/>
      <c r="AG68" s="2615"/>
      <c r="AH68" s="1013"/>
      <c r="AI68" s="2615"/>
      <c r="AJ68" s="1013"/>
      <c r="AK68" s="2615"/>
      <c r="AL68" s="1013"/>
      <c r="AM68" s="1793">
        <v>1.2694512694512694E-2</v>
      </c>
      <c r="AN68" s="1013"/>
      <c r="AO68" s="2615"/>
      <c r="AP68" s="1013"/>
      <c r="AQ68" s="2615"/>
      <c r="AR68" s="1013"/>
      <c r="AS68" s="1793">
        <v>1.2694512694512694E-2</v>
      </c>
      <c r="AT68" s="1013"/>
    </row>
    <row r="69" spans="1:46">
      <c r="A69" s="160" t="s">
        <v>2627</v>
      </c>
      <c r="B69" s="578"/>
      <c r="C69" s="478"/>
      <c r="D69" s="578"/>
      <c r="E69" s="1553"/>
      <c r="F69" s="478"/>
      <c r="G69" s="1126">
        <v>2.3999999999999998E-3</v>
      </c>
      <c r="H69" s="1553"/>
      <c r="I69" s="1440">
        <v>1.1439999999999999</v>
      </c>
      <c r="J69" s="478"/>
      <c r="K69" s="1553"/>
      <c r="L69" s="1553"/>
      <c r="M69" s="578"/>
      <c r="N69" s="478"/>
      <c r="O69" s="1553"/>
      <c r="P69" s="1553"/>
      <c r="Q69" s="578"/>
      <c r="R69" s="478"/>
      <c r="S69" s="1553"/>
      <c r="T69" s="1553"/>
      <c r="U69" s="578"/>
      <c r="V69" s="478"/>
      <c r="W69" s="1553"/>
      <c r="X69" s="1553"/>
      <c r="Y69" s="578"/>
      <c r="Z69" s="478"/>
      <c r="AA69" s="1553"/>
      <c r="AB69" s="1553"/>
      <c r="AC69" s="578"/>
      <c r="AD69" s="478"/>
      <c r="AE69" s="2615"/>
      <c r="AF69" s="1013"/>
      <c r="AG69" s="2615"/>
      <c r="AH69" s="1013"/>
      <c r="AI69" s="2615"/>
      <c r="AJ69" s="1013"/>
      <c r="AK69" s="2615"/>
      <c r="AL69" s="1013"/>
      <c r="AM69" s="1793">
        <v>1.8233005733005732</v>
      </c>
      <c r="AN69" s="1013"/>
      <c r="AO69" s="2615"/>
      <c r="AP69" s="1013"/>
      <c r="AQ69" s="2615"/>
      <c r="AR69" s="1013"/>
      <c r="AS69" s="1793">
        <v>1.460431654676259</v>
      </c>
      <c r="AT69" s="1013"/>
    </row>
    <row r="70" spans="1:46">
      <c r="A70" s="160" t="s">
        <v>811</v>
      </c>
      <c r="B70" s="1440">
        <v>0.25484195499825502</v>
      </c>
      <c r="C70" s="478"/>
      <c r="D70" s="578"/>
      <c r="E70" s="1126">
        <v>-11.327912331820002</v>
      </c>
      <c r="F70" s="478">
        <f>SUM(G70:L70)+E70+B70*(I69+G69)</f>
        <v>-2.7200464103316335E-15</v>
      </c>
      <c r="G70" s="1126">
        <v>1.1026337294699999</v>
      </c>
      <c r="H70" s="1553"/>
      <c r="I70" s="1440">
        <v>9.9331277851399999</v>
      </c>
      <c r="J70" s="478"/>
      <c r="K70" s="1553"/>
      <c r="L70" s="1553"/>
      <c r="M70" s="578"/>
      <c r="N70" s="478"/>
      <c r="O70" s="1553"/>
      <c r="P70" s="1553"/>
      <c r="Q70" s="578"/>
      <c r="R70" s="478"/>
      <c r="S70" s="1553"/>
      <c r="T70" s="1553"/>
      <c r="U70" s="578"/>
      <c r="V70" s="478"/>
      <c r="W70" s="1553"/>
      <c r="X70" s="1553"/>
      <c r="Y70" s="1440">
        <v>0.17019999999999999</v>
      </c>
      <c r="Z70" s="478"/>
      <c r="AA70" s="1553"/>
      <c r="AB70" s="1553"/>
      <c r="AC70" s="578"/>
      <c r="AD70" s="478"/>
      <c r="AE70" s="2615"/>
      <c r="AF70" s="1013"/>
      <c r="AG70" s="2615"/>
      <c r="AH70" s="1013"/>
      <c r="AI70" s="2615"/>
      <c r="AJ70" s="1013"/>
      <c r="AK70" s="2615"/>
      <c r="AL70" s="1013"/>
      <c r="AM70" s="1793">
        <v>0.33107406308195941</v>
      </c>
      <c r="AN70" s="1013"/>
      <c r="AO70" s="2615"/>
      <c r="AP70" s="1013"/>
      <c r="AQ70" s="2615"/>
      <c r="AR70" s="1013"/>
      <c r="AS70" s="1793">
        <v>0.70075136191927534</v>
      </c>
      <c r="AT70" s="1013"/>
    </row>
    <row r="71" spans="1:46">
      <c r="A71" s="160" t="s">
        <v>812</v>
      </c>
      <c r="B71" s="578"/>
      <c r="C71" s="478"/>
      <c r="D71" s="578"/>
      <c r="E71" s="1126">
        <v>-0.73062078446722789</v>
      </c>
      <c r="F71" s="478">
        <f>SUM(G71:L71)+E71+B71*(I70+G70)</f>
        <v>-0.70212078446722792</v>
      </c>
      <c r="G71" s="1553"/>
      <c r="H71" s="1553"/>
      <c r="I71" s="1440">
        <v>2.8500000000000001E-2</v>
      </c>
      <c r="J71" s="478"/>
      <c r="K71" s="1553"/>
      <c r="L71" s="1553"/>
      <c r="M71" s="578"/>
      <c r="N71" s="478"/>
      <c r="O71" s="1553"/>
      <c r="P71" s="1553"/>
      <c r="Q71" s="578"/>
      <c r="R71" s="478"/>
      <c r="S71" s="1553"/>
      <c r="T71" s="1553"/>
      <c r="U71" s="578"/>
      <c r="V71" s="478"/>
      <c r="W71" s="1553"/>
      <c r="X71" s="1553"/>
      <c r="Y71" s="578"/>
      <c r="Z71" s="478"/>
      <c r="AA71" s="1553"/>
      <c r="AB71" s="1553"/>
      <c r="AC71" s="578"/>
      <c r="AD71" s="478"/>
      <c r="AE71" s="661"/>
      <c r="AF71" s="1013"/>
      <c r="AG71" s="661"/>
      <c r="AH71" s="1013"/>
      <c r="AI71" s="661"/>
      <c r="AJ71" s="1013"/>
      <c r="AK71" s="661"/>
      <c r="AL71" s="1013"/>
      <c r="AM71" s="661"/>
      <c r="AN71" s="1013"/>
      <c r="AO71" s="661"/>
      <c r="AP71" s="1013"/>
      <c r="AQ71" s="661"/>
      <c r="AR71" s="1013"/>
      <c r="AS71" s="661"/>
      <c r="AT71" s="1013"/>
    </row>
    <row r="72" spans="1:46">
      <c r="A72" s="160" t="s">
        <v>813</v>
      </c>
      <c r="B72" s="578"/>
      <c r="C72" s="478"/>
      <c r="D72" s="578"/>
      <c r="E72" s="1126">
        <v>-0.26959167923461658</v>
      </c>
      <c r="F72" s="478">
        <f>SUM(G72:L72)+E72+B72*(I71+G71)</f>
        <v>-0.26959167923461658</v>
      </c>
      <c r="G72" s="1553"/>
      <c r="H72" s="1553"/>
      <c r="I72" s="578"/>
      <c r="J72" s="478"/>
      <c r="K72" s="1553"/>
      <c r="L72" s="1553"/>
      <c r="M72" s="578"/>
      <c r="N72" s="478"/>
      <c r="O72" s="1553"/>
      <c r="P72" s="1553"/>
      <c r="Q72" s="578"/>
      <c r="R72" s="478"/>
      <c r="S72" s="1553"/>
      <c r="T72" s="1553"/>
      <c r="U72" s="578"/>
      <c r="V72" s="478"/>
      <c r="W72" s="1553"/>
      <c r="X72" s="1553"/>
      <c r="Y72" s="578"/>
      <c r="Z72" s="478"/>
      <c r="AA72" s="1553"/>
      <c r="AB72" s="1553"/>
      <c r="AC72" s="578"/>
      <c r="AD72" s="478"/>
      <c r="AE72" s="661"/>
      <c r="AF72" s="1013"/>
      <c r="AG72" s="661"/>
      <c r="AH72" s="1013"/>
      <c r="AI72" s="661"/>
      <c r="AJ72" s="1013"/>
      <c r="AK72" s="661"/>
      <c r="AL72" s="1013"/>
      <c r="AM72" s="661"/>
      <c r="AN72" s="1013"/>
      <c r="AO72" s="661"/>
      <c r="AP72" s="1013"/>
      <c r="AQ72" s="661"/>
      <c r="AR72" s="1013"/>
      <c r="AS72" s="661"/>
      <c r="AT72" s="1013"/>
    </row>
    <row r="73" spans="1:46">
      <c r="A73" s="160" t="s">
        <v>814</v>
      </c>
      <c r="B73" s="578"/>
      <c r="C73" s="478"/>
      <c r="D73" s="1440">
        <v>0.03</v>
      </c>
      <c r="E73" s="1553">
        <v>0</v>
      </c>
      <c r="F73" s="478"/>
      <c r="G73" s="1553"/>
      <c r="H73" s="1553"/>
      <c r="I73" s="1440">
        <v>1.1674251682900558</v>
      </c>
      <c r="J73" s="1547">
        <v>-4.097425168290056</v>
      </c>
      <c r="K73" s="1126">
        <v>0.03</v>
      </c>
      <c r="L73" s="1553"/>
      <c r="M73" s="1440">
        <v>2.6785000000000005</v>
      </c>
      <c r="N73" s="478"/>
      <c r="O73" s="1126">
        <v>3.15E-2</v>
      </c>
      <c r="P73" s="1553"/>
      <c r="Q73" s="1440">
        <v>3.15E-2</v>
      </c>
      <c r="R73" s="478"/>
      <c r="S73" s="1126">
        <v>0.2467</v>
      </c>
      <c r="T73" s="1553"/>
      <c r="U73" s="1440">
        <v>0.1759</v>
      </c>
      <c r="V73" s="478"/>
      <c r="W73" s="1553"/>
      <c r="X73" s="1553"/>
      <c r="Y73" s="578"/>
      <c r="Z73" s="478"/>
      <c r="AA73" s="1553"/>
      <c r="AB73" s="1553"/>
      <c r="AC73" s="578"/>
      <c r="AD73" s="478"/>
      <c r="AE73" s="661"/>
      <c r="AF73" s="1013"/>
      <c r="AG73" s="661"/>
      <c r="AH73" s="1013"/>
      <c r="AI73" s="661"/>
      <c r="AJ73" s="1013"/>
      <c r="AK73" s="661"/>
      <c r="AL73" s="1013"/>
      <c r="AM73" s="661"/>
      <c r="AN73" s="1013"/>
      <c r="AO73" s="661"/>
      <c r="AP73" s="1013"/>
      <c r="AQ73" s="661"/>
      <c r="AR73" s="1013"/>
      <c r="AS73" s="661"/>
      <c r="AT73" s="1013"/>
    </row>
    <row r="74" spans="1:46">
      <c r="A74" s="161" t="s">
        <v>815</v>
      </c>
      <c r="B74" s="584"/>
      <c r="C74" s="585"/>
      <c r="D74" s="2520">
        <v>2.4622857142857142</v>
      </c>
      <c r="E74" s="2521">
        <v>-6.0060372023152482</v>
      </c>
      <c r="F74" s="585"/>
      <c r="G74" s="2521">
        <v>0</v>
      </c>
      <c r="H74" s="637"/>
      <c r="I74" s="2520">
        <v>0.21257142857142858</v>
      </c>
      <c r="J74" s="585"/>
      <c r="K74" s="2521"/>
      <c r="L74" s="637"/>
      <c r="M74" s="2520">
        <v>1.8555657737438198</v>
      </c>
      <c r="N74" s="585"/>
      <c r="O74" s="2521">
        <v>1.2934000000000001</v>
      </c>
      <c r="P74" s="637"/>
      <c r="Q74" s="2520">
        <v>8.9999999999999998E-4</v>
      </c>
      <c r="R74" s="585"/>
      <c r="S74" s="2521">
        <v>0.34250000000000003</v>
      </c>
      <c r="T74" s="637"/>
      <c r="U74" s="2520">
        <v>1.117</v>
      </c>
      <c r="V74" s="585"/>
      <c r="W74" s="637"/>
      <c r="X74" s="637"/>
      <c r="Y74" s="584"/>
      <c r="Z74" s="585"/>
      <c r="AA74" s="637"/>
      <c r="AB74" s="637"/>
      <c r="AC74" s="584"/>
      <c r="AD74" s="585"/>
      <c r="AE74" s="897"/>
      <c r="AF74" s="1031"/>
      <c r="AG74" s="897"/>
      <c r="AH74" s="1031"/>
      <c r="AI74" s="897"/>
      <c r="AJ74" s="1031"/>
      <c r="AK74" s="897"/>
      <c r="AL74" s="1031"/>
      <c r="AM74" s="897"/>
      <c r="AN74" s="1031"/>
      <c r="AO74" s="897"/>
      <c r="AP74" s="1031"/>
      <c r="AQ74" s="897"/>
      <c r="AR74" s="1031"/>
      <c r="AS74" s="897"/>
      <c r="AT74" s="1031"/>
    </row>
    <row r="75" spans="1:46">
      <c r="A75" s="160" t="s">
        <v>816</v>
      </c>
      <c r="B75" s="582">
        <f ca="1">B$60*(1+(GREET1_Import_Export!$F$179*GREET1_Import_Export!$B180+GREET1_Import_Export!$F180)/1000000)+B$61*(1+(GREET1_Import_Export!$C$179*GREET1_Import_Export!$B180+GREET1_Import_Export!$C180)/1000000)+B$62*(1+(GREET1_Import_Export!$H$179*GREET1_Import_Export!$B180+GREET1_Import_Export!$H180)/1000000)+B$63*(1+$B244/1000000)+B$64*(1+GREET1_Import_Export!$B284/1000000)+B$65*($C244)/1000000+B$67*GREET1_Import_Export!$B494+B$68*GREET1_Import_Export!$C494+B$69*SUM($B75:$C75)+SUM(B$70:B$74)</f>
        <v>0.45893702840835221</v>
      </c>
      <c r="C75" s="583"/>
      <c r="D75" s="582">
        <f ca="1">D$60*(1+(GREET1_Import_Export!$F$179*GREET1_Import_Export!$B180+GREET1_Import_Export!$F180)/1000000)+D$61*(1+(GREET1_Import_Export!$C$179*GREET1_Import_Export!$B180+GREET1_Import_Export!$C180)/1000000)+D$62*(1+(GREET1_Import_Export!$H$179*GREET1_Import_Export!$B180+GREET1_Import_Export!$H180)/1000000)+D$63*(1+$B244/1000000)+D$64*(1+GREET1_Import_Export!$B284/1000000)+D$65*($C244)/1000000+D$67*GREET1_Import_Export!$B494+D$68*GREET1_Import_Export!$C494+D$69*SUM($B75:$C75)+SUM(D$70:D$74)</f>
        <v>18.963189242382153</v>
      </c>
      <c r="E75" s="1553">
        <f>SUM(E70:E74)</f>
        <v>-18.334161997837093</v>
      </c>
      <c r="F75" s="478">
        <f>F$70*(1+(GREET1_Import_Export!$B180*GREET1_Import_Export!$I$179+GREET1_Import_Export!$I180)/1000000)+(F$71+F$72)*(1+(GREET1_Import_Export!$B180*GREET1_Import_Export!$F$179+GREET1_Import_Export!$F180)/1000000)</f>
        <v>-1.0990486941267472</v>
      </c>
      <c r="G75" s="582">
        <f ca="1">G$60*(1+(GREET1_Import_Export!$F$179*GREET1_Import_Export!$B180+GREET1_Import_Export!$F180)/1000000)+G$61*(1+(GREET1_Import_Export!$C$179*GREET1_Import_Export!$B180+GREET1_Import_Export!$C180)/1000000)+G$62*(1+(GREET1_Import_Export!$H$179*GREET1_Import_Export!$B180+GREET1_Import_Export!$H180)/1000000)+G$63*(1+$B244/1000000)+G$64*(1+GREET1_Import_Export!$B284/1000000)+G$65*($C244)/1000000+G$67*GREET1_Import_Export!$B494+G$68*GREET1_Import_Export!$C494+G$69*SUM($B75:$C75)+SUM(G$70:G$74)</f>
        <v>1.4153974491658086</v>
      </c>
      <c r="H75" s="583"/>
      <c r="I75" s="582">
        <f ca="1">I$60*(1+(GREET1_Import_Export!$F$179*GREET1_Import_Export!$B180+GREET1_Import_Export!$F180)/1000000)+I$61*(1+(GREET1_Import_Export!$C$179*GREET1_Import_Export!$B180+GREET1_Import_Export!$C180)/1000000)+I$62*(1+(GREET1_Import_Export!$H$179*GREET1_Import_Export!$B180+GREET1_Import_Export!$H180)/1000000)+I$63*(1+$B244/1000000)+I$64*(1+GREET1_Import_Export!$B284/1000000)+I$65*($C244)/1000000+I$67*GREET1_Import_Export!$B494+I$68*GREET1_Import_Export!$C494+I$69*SUM($B75:$C75)+SUM(I$70:I$74)</f>
        <v>15.891140782579331</v>
      </c>
      <c r="J75" s="478">
        <f>SUM(J70:J74)</f>
        <v>-4.097425168290056</v>
      </c>
      <c r="K75" s="582">
        <f ca="1">K$60*(1+(GREET1_Import_Export!$F$179*GREET1_Import_Export!$B180+GREET1_Import_Export!$F180)/1000000)+K$61*(1+(GREET1_Import_Export!$C$179*GREET1_Import_Export!$B180+GREET1_Import_Export!$C180)/1000000)+K$62*(1+(GREET1_Import_Export!$H$179*GREET1_Import_Export!$B180+GREET1_Import_Export!$H180)/1000000)+K$63*(1+$B244/1000000)+K$64*(1+GREET1_Import_Export!$B284/1000000)+K$65*($C244)/1000000+K$67*GREET1_Import_Export!$B494+K$68*GREET1_Import_Export!$C494+K$69*SUM($B75:$C75)+SUM(K$70:K$74)</f>
        <v>0.89041268763182435</v>
      </c>
      <c r="L75" s="1553"/>
      <c r="M75" s="582">
        <f ca="1">M$60*(1+(GREET1_Import_Export!$F$179*GREET1_Import_Export!$B180+GREET1_Import_Export!$F180)/1000000)+M$61*(1+(GREET1_Import_Export!$C$179*GREET1_Import_Export!$B180+GREET1_Import_Export!$C180)/1000000)+M$62*(1+(GREET1_Import_Export!$H$179*GREET1_Import_Export!$B180+GREET1_Import_Export!$H180)/1000000)+M$63*(1+$B244/1000000)+M$64*(1+GREET1_Import_Export!$B284/1000000)+M$65*($C244)/1000000+M$67*GREET1_Import_Export!$B494+M$68*GREET1_Import_Export!$C494+M$69*SUM($B75:$C75)+SUM(M$70:M$74)</f>
        <v>4.7541488921078994</v>
      </c>
      <c r="N75" s="583"/>
      <c r="O75" s="1553">
        <f ca="1">O$60*(1+(GREET1_Import_Export!$F$179*GREET1_Import_Export!$B180+GREET1_Import_Export!$F180)/1000000)+O$61*(1+(GREET1_Import_Export!$C$179*GREET1_Import_Export!$B180+GREET1_Import_Export!$C180)/1000000)+O$62*(1+(GREET1_Import_Export!$G$179*GREET1_Import_Export!$B180+GREET1_Import_Export!$G180)/1000000)+O$63*(1+$B244/1000000)+O$64*(1+GREET1_Import_Export!$B284/1000000)+O$65*($C244)/1000000+O$67*GREET1_Import_Export!$B494+O$68*GREET1_Import_Export!$C494+O$69*SUM($B75:$C75)+SUM(O$70:O$74)</f>
        <v>3.4486574674497925</v>
      </c>
      <c r="P75" s="1553"/>
      <c r="Q75" s="582">
        <f ca="1">Q$60*(1+(GREET1_Import_Export!$F$179*GREET1_Import_Export!$B180+GREET1_Import_Export!$F180)/1000000)+Q$61*(1+(GREET1_Import_Export!$C$179*GREET1_Import_Export!$B180+GREET1_Import_Export!$C180)/1000000)+Q$62*(1+(GREET1_Import_Export!$G$179*GREET1_Import_Export!$B180+GREET1_Import_Export!$G180)/1000000)+Q$63*(1+$B244/1000000)+Q$64*(1+GREET1_Import_Export!$B284/1000000)+Q$65*($C244)/1000000+Q$67*GREET1_Import_Export!$B494+Q$68*GREET1_Import_Export!$C494+Q$69*SUM($B75:$C75)+SUM(Q$70:Q$74)</f>
        <v>0.11717271000510754</v>
      </c>
      <c r="R75" s="583"/>
      <c r="S75" s="1553">
        <f ca="1">S$60*(1+(GREET1_Import_Export!$F$179*GREET1_Import_Export!$B180+GREET1_Import_Export!$F180)/1000000)+S$61*(1+(GREET1_Import_Export!$C$179*GREET1_Import_Export!$B180+GREET1_Import_Export!$C180)/1000000)+S$62*(1+(GREET1_Import_Export!$G$179*GREET1_Import_Export!$B180+GREET1_Import_Export!$G180)/1000000)+S$63*(1+$B244/1000000)+S$64*(1+GREET1_Import_Export!$B284/1000000)+S$65*($C244)/1000000+S$67*GREET1_Import_Export!$B494+S$68*GREET1_Import_Export!$C494+S$69*SUM($B75:$C75)+SUM(S$70:S$74)</f>
        <v>3.4282745630657905</v>
      </c>
      <c r="T75" s="1553"/>
      <c r="U75" s="582">
        <f ca="1">U$60*(1+(GREET1_Import_Export!$F$179*GREET1_Import_Export!$B180+GREET1_Import_Export!$F180)/1000000)+U$61*(1+(GREET1_Import_Export!$C$179*GREET1_Import_Export!$B180+GREET1_Import_Export!$C180)/1000000)+U$62*(1+(GREET1_Import_Export!$G$179*GREET1_Import_Export!$B180+GREET1_Import_Export!$G180)/1000000)+U$63*(1+$B244/1000000)+U$64*(1+GREET1_Import_Export!$B284/1000000)+U$65*($C244)/1000000+U$67*GREET1_Import_Export!$B494+U$68*GREET1_Import_Export!$C494+U$69*SUM($B75:$C75)+SUM(U$70:U$74)</f>
        <v>2.703818046663955</v>
      </c>
      <c r="V75" s="583"/>
      <c r="W75" s="1553">
        <f ca="1">W$60*(1+(GREET1_Import_Export!$F$179*GREET1_Import_Export!$B180+GREET1_Import_Export!$F180)/1000000)+W$61*(1+(GREET1_Import_Export!$C$179*GREET1_Import_Export!$B180+GREET1_Import_Export!$C180)/1000000)+W$62*(1+(GREET1_Import_Export!$G$179*GREET1_Import_Export!$B180+GREET1_Import_Export!$G180)/1000000)+W$63*(1+$B244/1000000)+W$64*(1+GREET1_Import_Export!$B284/1000000)+W$65*($C244)/1000000+W$67*GREET1_Import_Export!$B494+W$68*GREET1_Import_Export!$C494+W$69*SUM($B75:$C75)+SUM(W$70:W$74)</f>
        <v>1.7439352936944954</v>
      </c>
      <c r="X75" s="1553"/>
      <c r="Y75" s="582">
        <f ca="1">Y$60*(1+(GREET1_Import_Export!$F$179*GREET1_Import_Export!$B180+GREET1_Import_Export!$F180)/1000000)+Y$61*(1+(GREET1_Import_Export!$C$179*GREET1_Import_Export!$B180+GREET1_Import_Export!$C180)/1000000)+Y$62*(1+(GREET1_Import_Export!$G$179*GREET1_Import_Export!$B180+GREET1_Import_Export!$G180)/1000000)+Y$63*(1+$B244/1000000)+Y$64*(1+GREET1_Import_Export!$B284/1000000)+Y$65*($C244)/1000000+Y$67*GREET1_Import_Export!$B494+Y$68*GREET1_Import_Export!$C494+Y$69*SUM($B75:$C75)+SUM(Y$70:Y$74)</f>
        <v>3.7914455647616641</v>
      </c>
      <c r="Z75" s="583"/>
      <c r="AA75" s="649">
        <f ca="1">AA$60*(1+(GREET1_Import_Export!$F$179*GREET1_Import_Export!$B180+GREET1_Import_Export!$F180)/1000000)+AA$61*(1+(GREET1_Import_Export!$C$179*GREET1_Import_Export!$B180+GREET1_Import_Export!$C180)/1000000)+AA$62*(1+(GREET1_Import_Export!$G$179*GREET1_Import_Export!$B180+GREET1_Import_Export!$G180)/1000000)+AA$63*(1+$B244/1000000)+AA$64*(1+GREET1_Import_Export!$B284/1000000)+AA$65*($C244)/1000000+AA$67*GREET1_Import_Export!$B494+AA$68*GREET1_Import_Export!$C494+AA$69*SUM($B75:$C75)+SUM(AA$70:AA$74)</f>
        <v>4.5653180724688571</v>
      </c>
      <c r="AB75" s="583"/>
      <c r="AC75" s="1553">
        <f ca="1">AC$60*(1+(GREET1_Import_Export!$F$179*GREET1_Import_Export!$B180+GREET1_Import_Export!$F180)/1000000)+AC$61*(1+(GREET1_Import_Export!$C$179*GREET1_Import_Export!$B180+GREET1_Import_Export!$C180)/1000000)+AC$62*(1+(GREET1_Import_Export!$G$179*GREET1_Import_Export!$B180+GREET1_Import_Export!$G180)/1000000)+AC$63*(1+$B244/1000000)+AC$64*(1+GREET1_Import_Export!$B284/1000000)+AC$65*($C244)/1000000+AC$67*GREET1_Import_Export!$B494+AC$68*GREET1_Import_Export!$C494+AC$69*SUM($B75:$C75)+SUM(AC$70:AC$74)</f>
        <v>1.095149842171246</v>
      </c>
      <c r="AD75" s="478"/>
      <c r="AE75" s="1080">
        <f>AE$60*(1+(GREET1_Import_Export!$F$179*GREET1_Import_Export!$B180+GREET1_Import_Export!$F180)/1000000)+AE$61*(1+(GREET1_Import_Export!$C$179*GREET1_Import_Export!$B180+GREET1_Import_Export!$C180)/1000000)+AE$62*(1+(GREET1_Import_Export!$H$179*GREET1_Import_Export!$B180+GREET1_Import_Export!$H180)/1000000)+AE$63*(1+$B244/1000000)+AE$64*(1+GREET1_Import_Export!$B284/1000000)+AE$65*($C244)/1000000+AE$67*GREET1_Import_Export!$B494+AE$68*GREET1_Import_Export!$C494+SUM(AE$70:AE$74)</f>
        <v>2.8932569604885963</v>
      </c>
      <c r="AF75" s="1081"/>
      <c r="AG75" s="1080">
        <f>AG$60*(1+(GREET1_Import_Export!$F$179*GREET1_Import_Export!$B180+GREET1_Import_Export!$F180)/1000000)+AG$61*(1+(GREET1_Import_Export!$C$179*GREET1_Import_Export!$B180+GREET1_Import_Export!$C180)/1000000)+AG$62*(1+(GREET1_Import_Export!$H$179*GREET1_Import_Export!$B180+GREET1_Import_Export!$H180)/1000000)+AG$63*(1+$B244/1000000)+AG$64*(1+GREET1_Import_Export!$B284/1000000)+AG$65*($C244)/1000000+AG$67*GREET1_Import_Export!$B494+AG$68*GREET1_Import_Export!$C494+SUM(AG$70:AG$74)</f>
        <v>3.2030985661154263</v>
      </c>
      <c r="AH75" s="1081"/>
      <c r="AI75" s="1080">
        <f>AI$60*(1+(GREET1_Import_Export!$F$179*GREET1_Import_Export!$B180+GREET1_Import_Export!$F180)/1000000)+AI$61*(1+(GREET1_Import_Export!$C$179*GREET1_Import_Export!$B180+GREET1_Import_Export!$C180)/1000000)+AI$62*(1+(GREET1_Import_Export!$H$179*GREET1_Import_Export!$B180+GREET1_Import_Export!$H180)/1000000)+AI$63*(1+$B244/1000000)+AI$64*(1+GREET1_Import_Export!$B284/1000000)+AI$65*($C244)/1000000+AI$67*GREET1_Import_Export!$B494+AI$68*GREET1_Import_Export!$C494+SUM(AI$70:AI$74)</f>
        <v>12.996899073788549</v>
      </c>
      <c r="AJ75" s="1081"/>
      <c r="AK75" s="1080">
        <f>AK$60*(1+(GREET1_Import_Export!$F$179*GREET1_Import_Export!$B180+GREET1_Import_Export!$F180)/1000000)+AK$61*(1+(GREET1_Import_Export!$C$179*GREET1_Import_Export!$B180+GREET1_Import_Export!$C180)/1000000)+AK$62*(1+(GREET1_Import_Export!$H$179*GREET1_Import_Export!$B180+GREET1_Import_Export!$H180)/1000000)+AK$63*(1+$B244/1000000)+AK$64*(1+GREET1_Import_Export!$B284/1000000)+AK$65*($C244)/1000000+AK$67*GREET1_Import_Export!$B494+AK$68*GREET1_Import_Export!$C494+SUM(AK$70:AK$74)+AK$66*(1+$D244/1000000)</f>
        <v>23.235126359451701</v>
      </c>
      <c r="AL75" s="1081"/>
      <c r="AM75" s="1080">
        <f>AM$60*(1+(GREET1_Import_Export!$F$179*GREET1_Import_Export!$B180+GREET1_Import_Export!$F180)/1000000)+AM$61*(1+(GREET1_Import_Export!$C$179*GREET1_Import_Export!$B180+GREET1_Import_Export!$C180)/1000000)+AM$62*(1+(GREET1_Import_Export!$H$179*GREET1_Import_Export!$B180+GREET1_Import_Export!$H180)/1000000)+AM$63*(1+$B244/1000000)+AM$64*(1+GREET1_Import_Export!$B284/1000000)+AM$65*($C244)/1000000+AM$67*GREET1_Import_Export!$B494+AM$68*GREET1_Import_Export!$C494+SUM(AM$70:AM$74)</f>
        <v>5.4453504937573101</v>
      </c>
      <c r="AN75" s="1081"/>
      <c r="AO75" s="1080">
        <f>AO$60*(1+(GREET1_Import_Export!$F$179*GREET1_Import_Export!$B180+GREET1_Import_Export!$F180)/1000000)+AO$61*(1+(GREET1_Import_Export!$C$179*GREET1_Import_Export!$B180+GREET1_Import_Export!$C180)/1000000)+AO$62*(1+(GREET1_Import_Export!$H$179*GREET1_Import_Export!$B180+GREET1_Import_Export!$H180)/1000000)+AO$63*(1+$B244/1000000)+AO$64*(1+GREET1_Import_Export!$B284/1000000)+AO$65*($C244)/1000000+AO$67*GREET1_Import_Export!$B494+AO$68*GREET1_Import_Export!$C494+SUM(AO$70:AO$74)</f>
        <v>3.0100179160321279</v>
      </c>
      <c r="AP75" s="1081"/>
      <c r="AQ75" s="1080">
        <f>AQ$60*(1+(GREET1_Import_Export!$F$179*GREET1_Import_Export!$B180+GREET1_Import_Export!$F180)/1000000)+AQ$61*(1+(GREET1_Import_Export!$C$179*GREET1_Import_Export!$B180+GREET1_Import_Export!$C180)/1000000)+AQ$62*(1+(GREET1_Import_Export!$H$179*GREET1_Import_Export!$B180+GREET1_Import_Export!$H180)/1000000)+AQ$63*(1+$B244/1000000)+AQ$64*(1+GREET1_Import_Export!$B284/1000000)+AQ$65*($C244)/1000000+AQ$67*GREET1_Import_Export!$B494+AQ$68*GREET1_Import_Export!$C494+SUM(AQ$70:AQ$74)+AQ$66*(1+$D244/1000000)</f>
        <v>28.600469882514016</v>
      </c>
      <c r="AR75" s="1081"/>
      <c r="AS75" s="1080">
        <f>AS$60*(1+(GREET1_Import_Export!$F$179*GREET1_Import_Export!$B180+GREET1_Import_Export!$F180)/1000000)+AS$61*(1+(GREET1_Import_Export!$C$179*GREET1_Import_Export!$B180+GREET1_Import_Export!$C180)/1000000)+AS$62*(1+(GREET1_Import_Export!$H$179*GREET1_Import_Export!$B180+GREET1_Import_Export!$H180)/1000000)+AS$63*(1+$B244/1000000)+AS$64*(1+GREET1_Import_Export!$B284/1000000)+AS$65*($C244)/1000000+AS$67*GREET1_Import_Export!$B494+AS$68*GREET1_Import_Export!$C494+SUM(AS$70:AS$74)</f>
        <v>5.8150277925946261</v>
      </c>
      <c r="AT75" s="1081"/>
    </row>
    <row r="76" spans="1:46">
      <c r="A76" s="160" t="s">
        <v>817</v>
      </c>
      <c r="B76" s="578">
        <f ca="1">B$60*(1+(GREET1_Import_Export!$F$179*GREET1_Import_Export!$B181+GREET1_Import_Export!$F181)/1000000)+B$61*(1+(GREET1_Import_Export!$C$179*GREET1_Import_Export!$B181+GREET1_Import_Export!$C181)/1000000)+B$62*(1+(GREET1_Import_Export!$H$179*GREET1_Import_Export!$B181+GREET1_Import_Export!$H181)/1000000)+B$63*(1+$B245/1000000)+B$64*(1+GREET1_Import_Export!$B285/1000000)+B$65*($C245)/1000000+B$67*GREET1_Import_Export!$B495+B$68*GREET1_Import_Export!$C495+B$69*SUM($B76:$C76)+SUM(B70:B74)</f>
        <v>0.42564123790280645</v>
      </c>
      <c r="C76" s="478"/>
      <c r="D76" s="578">
        <f ca="1">D$60*(1+(GREET1_Import_Export!$F$179*GREET1_Import_Export!$B181+GREET1_Import_Export!$F181)/1000000)+D$61*(1+(GREET1_Import_Export!$C$179*GREET1_Import_Export!$B181+GREET1_Import_Export!$C181)/1000000)+D$62*(1+(GREET1_Import_Export!$H$179*GREET1_Import_Export!$B181+GREET1_Import_Export!$H181)/1000000)+D$63*(1+$B245/1000000)+D$64*(1+GREET1_Import_Export!$B285/1000000)+D$65*($C245)/1000000+D$67*GREET1_Import_Export!$B495+D$68*GREET1_Import_Export!$C495+D$69*SUM($B76:$C76)+SUM(D$70:D$74)</f>
        <v>18.90834670872929</v>
      </c>
      <c r="E76" s="1553">
        <f>SUM(E70:E74)</f>
        <v>-18.334161997837093</v>
      </c>
      <c r="F76" s="478">
        <f>F$70*(1+(GREET1_Import_Export!$B181*GREET1_Import_Export!$I$179+GREET1_Import_Export!$I181)/1000000)+(F$71+F$72)*(1+(GREET1_Import_Export!$B181*GREET1_Import_Export!$F$179+GREET1_Import_Export!$F181)/1000000)</f>
        <v>-1.094356474906564</v>
      </c>
      <c r="G76" s="578">
        <f ca="1">G$60*(1+(GREET1_Import_Export!$F$179*GREET1_Import_Export!$B181+GREET1_Import_Export!$F181)/1000000)+G$61*(1+(GREET1_Import_Export!$C$179*GREET1_Import_Export!$B181+GREET1_Import_Export!$C181)/1000000)+G$62*(1+(GREET1_Import_Export!$H$179*GREET1_Import_Export!$B181+GREET1_Import_Export!$H181)/1000000)+G$63*(1+$B245/1000000)+G$64*(1+GREET1_Import_Export!$B285/1000000)+G$65*($C245)/1000000+G$67*GREET1_Import_Export!$B495+G$68*GREET1_Import_Export!$C495+G$69*SUM($B76:$C76)+SUM(G$70:G$74)</f>
        <v>1.3506969689550743</v>
      </c>
      <c r="H76" s="478"/>
      <c r="I76" s="578">
        <f ca="1">I$60*(1+(GREET1_Import_Export!$F$179*GREET1_Import_Export!$B181+GREET1_Import_Export!$F181)/1000000)+I$61*(1+(GREET1_Import_Export!$C$179*GREET1_Import_Export!$B181+GREET1_Import_Export!$C181)/1000000)+I$62*(1+(GREET1_Import_Export!$H$179*GREET1_Import_Export!$B181+GREET1_Import_Export!$H181)/1000000)+I$63*(1+$B245/1000000)+I$64*(1+GREET1_Import_Export!$B285/1000000)+I$65*($C245)/1000000+I$67*GREET1_Import_Export!$B495+I$68*GREET1_Import_Export!$C495+I$69*SUM($B76:$C76)+SUM(I$70:I$74)</f>
        <v>15.752887701015286</v>
      </c>
      <c r="J76" s="478">
        <f>SUM(J70:J74)</f>
        <v>-4.097425168290056</v>
      </c>
      <c r="K76" s="578">
        <f ca="1">K$60*(1+(GREET1_Import_Export!$F$179*GREET1_Import_Export!$B181+GREET1_Import_Export!$F181)/1000000)+K$61*(1+(GREET1_Import_Export!$C$179*GREET1_Import_Export!$B181+GREET1_Import_Export!$C181)/1000000)+K$62*(1+(GREET1_Import_Export!$H$179*GREET1_Import_Export!$B181+GREET1_Import_Export!$H181)/1000000)+K$63*(1+$B245/1000000)+K$64*(1+GREET1_Import_Export!$B285/1000000)+K$65*($C245)/1000000+K$67*GREET1_Import_Export!$B495+K$68*GREET1_Import_Export!$C495+K$69*SUM($B76:$C76)+SUM(K$70:K$74)</f>
        <v>0.83836597452178996</v>
      </c>
      <c r="L76" s="1553"/>
      <c r="M76" s="578">
        <f ca="1">M$60*(1+(GREET1_Import_Export!$F$179*GREET1_Import_Export!$B181+GREET1_Import_Export!$F181)/1000000)+M$61*(1+(GREET1_Import_Export!$C$179*GREET1_Import_Export!$B181+GREET1_Import_Export!$C181)/1000000)+M$62*(1+(GREET1_Import_Export!$H$179*GREET1_Import_Export!$B181+GREET1_Import_Export!$H181)/1000000)+M$63*(1+$B245/1000000)+M$64*(1+GREET1_Import_Export!$B285/1000000)+M$65*($C245)/1000000+M$67*GREET1_Import_Export!$B495+M$68*GREET1_Import_Export!$C495+M$69*SUM($B76:$C76)+SUM(M$70:M$74)</f>
        <v>4.7249059802682103</v>
      </c>
      <c r="N76" s="478"/>
      <c r="O76" s="1553">
        <f ca="1">O$60*(1+(GREET1_Import_Export!$F$179*GREET1_Import_Export!$B181+GREET1_Import_Export!$F181)/1000000)+O$61*(1+(GREET1_Import_Export!$C$179*GREET1_Import_Export!$B181+GREET1_Import_Export!$C181)/1000000)+O$62*(1+(GREET1_Import_Export!$G$179*GREET1_Import_Export!$B181+GREET1_Import_Export!$G181)/1000000)+O$63*(1+$B245/1000000)+O$64*(1+GREET1_Import_Export!$B285/1000000)+O$65*($C245)/1000000+O$67*GREET1_Import_Export!$B495+O$68*GREET1_Import_Export!$C495+O$69*SUM($B76:$C76)+SUM(O$70:O$74)</f>
        <v>3.1510872421437321</v>
      </c>
      <c r="P76" s="1553"/>
      <c r="Q76" s="578">
        <f ca="1">Q$60*(1+(GREET1_Import_Export!$F$179*GREET1_Import_Export!$B181+GREET1_Import_Export!$F181)/1000000)+Q$61*(1+(GREET1_Import_Export!$C$179*GREET1_Import_Export!$B181+GREET1_Import_Export!$C181)/1000000)+Q$62*(1+(GREET1_Import_Export!$G$179*GREET1_Import_Export!$B181+GREET1_Import_Export!$G181)/1000000)+Q$63*(1+$B245/1000000)+Q$64*(1+GREET1_Import_Export!$B285/1000000)+Q$65*($C245)/1000000+Q$67*GREET1_Import_Export!$B495+Q$68*GREET1_Import_Export!$C495+Q$69*SUM($B76:$C76)+SUM(Q$70:Q$74)</f>
        <v>9.9541204625136728E-2</v>
      </c>
      <c r="R76" s="478"/>
      <c r="S76" s="1553">
        <f ca="1">S$60*(1+(GREET1_Import_Export!$F$179*GREET1_Import_Export!$B181+GREET1_Import_Export!$F181)/1000000)+S$61*(1+(GREET1_Import_Export!$C$179*GREET1_Import_Export!$B181+GREET1_Import_Export!$C181)/1000000)+S$62*(1+(GREET1_Import_Export!$G$179*GREET1_Import_Export!$B181+GREET1_Import_Export!$G181)/1000000)+S$63*(1+$B245/1000000)+S$64*(1+GREET1_Import_Export!$B285/1000000)+S$65*($C245)/1000000+S$67*GREET1_Import_Export!$B495+S$68*GREET1_Import_Export!$C495+S$69*SUM($B76:$C76)+SUM(S$70:S$74)</f>
        <v>2.8377878553762899</v>
      </c>
      <c r="T76" s="1553"/>
      <c r="U76" s="578">
        <f ca="1">U$60*(1+(GREET1_Import_Export!$F$179*GREET1_Import_Export!$B181+GREET1_Import_Export!$F181)/1000000)+U$61*(1+(GREET1_Import_Export!$C$179*GREET1_Import_Export!$B181+GREET1_Import_Export!$C181)/1000000)+U$62*(1+(GREET1_Import_Export!$G$179*GREET1_Import_Export!$B181+GREET1_Import_Export!$G181)/1000000)+U$63*(1+$B245/1000000)+U$64*(1+GREET1_Import_Export!$B285/1000000)+U$65*($C245)/1000000+U$67*GREET1_Import_Export!$B495+U$68*GREET1_Import_Export!$C495+U$69*SUM($B76:$C76)+SUM(U$70:U$74)</f>
        <v>2.4103673698016177</v>
      </c>
      <c r="V76" s="478"/>
      <c r="W76" s="1553">
        <f ca="1">W$60*(1+(GREET1_Import_Export!$F$179*GREET1_Import_Export!$B181+GREET1_Import_Export!$F181)/1000000)+W$61*(1+(GREET1_Import_Export!$C$179*GREET1_Import_Export!$B181+GREET1_Import_Export!$C181)/1000000)+W$62*(1+(GREET1_Import_Export!$G$179*GREET1_Import_Export!$B181+GREET1_Import_Export!$G181)/1000000)+W$63*(1+$B245/1000000)+W$64*(1+GREET1_Import_Export!$B285/1000000)+W$65*($C245)/1000000+W$67*GREET1_Import_Export!$B495+W$68*GREET1_Import_Export!$C495+W$69*SUM($B76:$C76)+SUM(W$70:W$74)</f>
        <v>1.3812218153682405</v>
      </c>
      <c r="X76" s="1553"/>
      <c r="Y76" s="578">
        <f ca="1">Y$60*(1+(GREET1_Import_Export!$F$179*GREET1_Import_Export!$B181+GREET1_Import_Export!$F181)/1000000)+Y$61*(1+(GREET1_Import_Export!$C$179*GREET1_Import_Export!$B181+GREET1_Import_Export!$C181)/1000000)+Y$62*(1+(GREET1_Import_Export!$G$179*GREET1_Import_Export!$B181+GREET1_Import_Export!$G181)/1000000)+Y$63*(1+$B245/1000000)+Y$64*(1+GREET1_Import_Export!$B285/1000000)+Y$65*($C245)/1000000+Y$67*GREET1_Import_Export!$B495+Y$68*GREET1_Import_Export!$C495+Y$69*SUM($B76:$C76)+SUM(Y$70:Y$74)</f>
        <v>3.1457314198265411</v>
      </c>
      <c r="Z76" s="478"/>
      <c r="AA76" s="1553">
        <f ca="1">AA$60*(1+(GREET1_Import_Export!$F$179*GREET1_Import_Export!$B181+GREET1_Import_Export!$F181)/1000000)+AA$61*(1+(GREET1_Import_Export!$C$179*GREET1_Import_Export!$B181+GREET1_Import_Export!$C181)/1000000)+AA$62*(1+(GREET1_Import_Export!$G$179*GREET1_Import_Export!$B181+GREET1_Import_Export!$G181)/1000000)+AA$63*(1+$B245/1000000)+AA$64*(1+GREET1_Import_Export!$B285/1000000)+AA$65*($C245)/1000000+AA$67*GREET1_Import_Export!$B495+AA$68*GREET1_Import_Export!$C495+AA$69*SUM($B76:$C76)+SUM(AA$70:AA$74)</f>
        <v>4.1095255933653343</v>
      </c>
      <c r="AB76" s="478"/>
      <c r="AC76" s="1553">
        <f ca="1">AC$60*(1+(GREET1_Import_Export!$F$179*GREET1_Import_Export!$B181+GREET1_Import_Export!$F181)/1000000)+AC$61*(1+(GREET1_Import_Export!$C$179*GREET1_Import_Export!$B181+GREET1_Import_Export!$C181)/1000000)+AC$62*(1+(GREET1_Import_Export!$G$179*GREET1_Import_Export!$B181+GREET1_Import_Export!$G181)/1000000)+AC$63*(1+$B245/1000000)+AC$64*(1+GREET1_Import_Export!$B285/1000000)+AC$65*($C245)/1000000+AC$67*GREET1_Import_Export!$B495+AC$68*GREET1_Import_Export!$C495+AC$69*SUM($B76:$C76)+SUM(AC$70:AC$74)</f>
        <v>0.86737441381755587</v>
      </c>
      <c r="AD76" s="478"/>
      <c r="AE76" s="749">
        <f>AE$60*(1+(GREET1_Import_Export!$F$179*GREET1_Import_Export!$B181+GREET1_Import_Export!$F181)/1000000)+AE$61*(1+(GREET1_Import_Export!$C$179*GREET1_Import_Export!$B181+GREET1_Import_Export!$C181)/1000000)+AE$62*(1+(GREET1_Import_Export!$H$179*GREET1_Import_Export!$B181+GREET1_Import_Export!$H181)/1000000)+AE$63*(1+$B245/1000000)+AE$64*(1+GREET1_Import_Export!$B285/1000000)+AE$65*($C245)/1000000+AE$67*GREET1_Import_Export!$B495+AE$68*GREET1_Import_Export!$C495+SUM(AE$70:AE$74)</f>
        <v>2.5874686155525772</v>
      </c>
      <c r="AF76" s="817"/>
      <c r="AG76" s="749">
        <f>AG$60*(1+(GREET1_Import_Export!$F$179*GREET1_Import_Export!$B181+GREET1_Import_Export!$F181)/1000000)+AG$61*(1+(GREET1_Import_Export!$C$179*GREET1_Import_Export!$B181+GREET1_Import_Export!$C181)/1000000)+AG$62*(1+(GREET1_Import_Export!$H$179*GREET1_Import_Export!$B181+GREET1_Import_Export!$H181)/1000000)+AG$63*(1+$B245/1000000)+AG$64*(1+GREET1_Import_Export!$B285/1000000)+AG$65*($C245)/1000000+AG$67*GREET1_Import_Export!$B495+AG$68*GREET1_Import_Export!$C495+SUM(AG$70:AG$74)</f>
        <v>3.0251854284084203</v>
      </c>
      <c r="AH76" s="817"/>
      <c r="AI76" s="749">
        <f>AI$60*(1+(GREET1_Import_Export!$F$179*GREET1_Import_Export!$B181+GREET1_Import_Export!$F181)/1000000)+AI$61*(1+(GREET1_Import_Export!$C$179*GREET1_Import_Export!$B181+GREET1_Import_Export!$C181)/1000000)+AI$62*(1+(GREET1_Import_Export!$H$179*GREET1_Import_Export!$B181+GREET1_Import_Export!$H181)/1000000)+AI$63*(1+$B245/1000000)+AI$64*(1+GREET1_Import_Export!$B285/1000000)+AI$65*($C245)/1000000+AI$67*GREET1_Import_Export!$B495+AI$68*GREET1_Import_Export!$C495+SUM(AI$70:AI$74)</f>
        <v>12.720907933379333</v>
      </c>
      <c r="AJ76" s="817"/>
      <c r="AK76" s="749">
        <f>AK$60*(1+(GREET1_Import_Export!$F$179*GREET1_Import_Export!$B181+GREET1_Import_Export!$F181)/1000000)+AK$61*(1+(GREET1_Import_Export!$C$179*GREET1_Import_Export!$B181+GREET1_Import_Export!$C181)/1000000)+AK$62*(1+(GREET1_Import_Export!$H$179*GREET1_Import_Export!$B181+GREET1_Import_Export!$H181)/1000000)+AK$63*(1+$B245/1000000)+AK$64*(1+GREET1_Import_Export!$B285/1000000)+AK$65*($C245)/1000000+AK$67*GREET1_Import_Export!$B495+AK$68*GREET1_Import_Export!$C495+SUM(AK$70:AK$74)+AK$66*($D245/1000000)</f>
        <v>2.9012110149649315</v>
      </c>
      <c r="AL76" s="817"/>
      <c r="AM76" s="749">
        <f>AM$60*(1+(GREET1_Import_Export!$F$179*GREET1_Import_Export!$B181+GREET1_Import_Export!$F181)/1000000)+AM$61*(1+(GREET1_Import_Export!$C$179*GREET1_Import_Export!$B181+GREET1_Import_Export!$C181)/1000000)+AM$62*(1+(GREET1_Import_Export!$H$179*GREET1_Import_Export!$B181+GREET1_Import_Export!$H181)/1000000)+AM$63*(1+$B245/1000000)+AM$64*(1+GREET1_Import_Export!$B285/1000000)+AM$65*($C245)/1000000+AM$67*GREET1_Import_Export!$B495+AM$68*GREET1_Import_Export!$C495+SUM(AM$70:AM$74)</f>
        <v>4.4137018780282569</v>
      </c>
      <c r="AN76" s="817"/>
      <c r="AO76" s="749">
        <f>AO$60*(1+(GREET1_Import_Export!$F$179*GREET1_Import_Export!$B181+GREET1_Import_Export!$F181)/1000000)+AO$61*(1+(GREET1_Import_Export!$C$179*GREET1_Import_Export!$B181+GREET1_Import_Export!$C181)/1000000)+AO$62*(1+(GREET1_Import_Export!$H$179*GREET1_Import_Export!$B181+GREET1_Import_Export!$H181)/1000000)+AO$63*(1+$B245/1000000)+AO$64*(1+GREET1_Import_Export!$B285/1000000)+AO$65*($C245)/1000000+AO$67*GREET1_Import_Export!$B495+AO$68*GREET1_Import_Export!$C495+SUM(AO$70:AO$74)</f>
        <v>2.6918891050274558</v>
      </c>
      <c r="AP76" s="817"/>
      <c r="AQ76" s="749">
        <f>AQ$60*(1+(GREET1_Import_Export!$F$179*GREET1_Import_Export!$B181+GREET1_Import_Export!$F181)/1000000)+AQ$61*(1+(GREET1_Import_Export!$C$179*GREET1_Import_Export!$B181+GREET1_Import_Export!$C181)/1000000)+AQ$62*(1+(GREET1_Import_Export!$H$179*GREET1_Import_Export!$B181+GREET1_Import_Export!$H181)/1000000)+AQ$63*(1+$B245/1000000)+AQ$64*(1+GREET1_Import_Export!$B285/1000000)+AQ$65*($C245)/1000000+AQ$67*GREET1_Import_Export!$B495+AQ$68*GREET1_Import_Export!$C495+SUM(AQ$70:AQ$74)+AQ$66*($D245/1000000)</f>
        <v>1.0208380637815877</v>
      </c>
      <c r="AR76" s="817"/>
      <c r="AS76" s="749">
        <f>AS$60*(1+(GREET1_Import_Export!$F$179*GREET1_Import_Export!$B181+GREET1_Import_Export!$F181)/1000000)+AS$61*(1+(GREET1_Import_Export!$C$179*GREET1_Import_Export!$B181+GREET1_Import_Export!$C181)/1000000)+AS$62*(1+(GREET1_Import_Export!$H$179*GREET1_Import_Export!$B181+GREET1_Import_Export!$H181)/1000000)+AS$63*(1+$B245/1000000)+AS$64*(1+GREET1_Import_Export!$B285/1000000)+AS$65*($C245)/1000000+AS$67*GREET1_Import_Export!$B495+AS$68*GREET1_Import_Export!$C495+SUM(AS$70:AS$74)</f>
        <v>4.7833791768655729</v>
      </c>
      <c r="AT76" s="817"/>
    </row>
    <row r="77" spans="1:46">
      <c r="A77" s="160" t="s">
        <v>805</v>
      </c>
      <c r="B77" s="578">
        <f ca="1">B$60*((GREET1_Import_Export!$F$179*GREET1_Import_Export!$B182+GREET1_Import_Export!$F182)/1000000)+B$61*((GREET1_Import_Export!$C$179*GREET1_Import_Export!$B182+GREET1_Import_Export!$C182)/1000000)+B$62*((GREET1_Import_Export!$H$179*GREET1_Import_Export!$B182+GREET1_Import_Export!$H182)/1000000)+B$63*($B246/1000000)+B$64*(1+GREET1_Import_Export!$B286/1000000)+B$65*($C246)/1000000+B$67*GREET1_Import_Export!$B496+B$68*GREET1_Import_Export!$C496+B$69*SUM($B77:$C77)</f>
        <v>4.4005369955272051E-2</v>
      </c>
      <c r="C77" s="478"/>
      <c r="D77" s="578">
        <f ca="1">D$60*((GREET1_Import_Export!$F$179*GREET1_Import_Export!$B182+GREET1_Import_Export!$F182)/1000000)+D$61*((GREET1_Import_Export!$C$179*GREET1_Import_Export!$B182+GREET1_Import_Export!$C182)/1000000)+D$62*((GREET1_Import_Export!$H$179*GREET1_Import_Export!$B182+GREET1_Import_Export!$H182)/1000000)+D$63*($B246/1000000)+D$64*(1+GREET1_Import_Export!$B286/1000000)+D$65*($C246)/1000000+D$67*GREET1_Import_Export!$B496+D$68*GREET1_Import_Export!$C496+D$69*SUM($B77:$C77)+SUM(D$70:D$74)</f>
        <v>18.179317065617539</v>
      </c>
      <c r="E77" s="1553">
        <f>SUM(E70:E74)</f>
        <v>-18.334161997837093</v>
      </c>
      <c r="F77" s="478">
        <f>F$70*((GREET1_Import_Export!$B182*GREET1_Import_Export!$I$179+GREET1_Import_Export!$I182)/1000000)+(F$71+F$72)*((GREET1_Import_Export!$B182*GREET1_Import_Export!$F$179+GREET1_Import_Export!$F182)/1000000)</f>
        <v>-5.9145935018891128E-3</v>
      </c>
      <c r="G77" s="578">
        <f ca="1">G$60*((GREET1_Import_Export!$F$179*GREET1_Import_Export!$B182+GREET1_Import_Export!$F182)/1000000)+G$61*((GREET1_Import_Export!$C$179*GREET1_Import_Export!$B182+GREET1_Import_Export!$C182)/1000000)+G$62*((GREET1_Import_Export!$H$179*GREET1_Import_Export!$B182+GREET1_Import_Export!$H182)/1000000)+G$63*($B246/1000000)+G$64*(1+GREET1_Import_Export!$B286/1000000)+G$65*($C246)/1000000+G$67*GREET1_Import_Export!$B496+G$68*GREET1_Import_Export!$C496+G$69*SUM($B77:$C77)+SUM(G$70:G$74)</f>
        <v>1.1881945348596672</v>
      </c>
      <c r="H77" s="478"/>
      <c r="I77" s="578">
        <f ca="1">I$60*((GREET1_Import_Export!$F$179*GREET1_Import_Export!$B182+GREET1_Import_Export!$F182)/1000000)+I$61*((GREET1_Import_Export!$C$179*GREET1_Import_Export!$B182+GREET1_Import_Export!$C182)/1000000)+I$62*((GREET1_Import_Export!$H$179*GREET1_Import_Export!$B182+GREET1_Import_Export!$H182)/1000000)+I$63*($B246/1000000)+I$64*(1+GREET1_Import_Export!$B286/1000000)+I$65*($C246)/1000000+I$67*GREET1_Import_Export!$B496+I$68*GREET1_Import_Export!$C496+I$69*SUM($B77:$C77)+SUM(I$70:I$74)</f>
        <v>13.27860544608369</v>
      </c>
      <c r="J77" s="478">
        <f>SUM(J70:J74)</f>
        <v>-4.097425168290056</v>
      </c>
      <c r="K77" s="578">
        <f ca="1">K$60*((GREET1_Import_Export!$F$179*GREET1_Import_Export!$B182+GREET1_Import_Export!$F182)/1000000)+K$61*((GREET1_Import_Export!$C$179*GREET1_Import_Export!$B182+GREET1_Import_Export!$C182)/1000000)+K$62*((GREET1_Import_Export!$H$179*GREET1_Import_Export!$B182+GREET1_Import_Export!$H182)/1000000)+K$63*($B246/1000000)+K$64*(1+GREET1_Import_Export!$B286/1000000)+K$65*($C246)/1000000+K$67*GREET1_Import_Export!$B496+K$68*GREET1_Import_Export!$C496+K$69*SUM($B77:$C77)+SUM(K$70:K$74)</f>
        <v>0.3116069015987919</v>
      </c>
      <c r="L77" s="1553"/>
      <c r="M77" s="578">
        <f ca="1">M$60*((GREET1_Import_Export!$F$179*GREET1_Import_Export!$B182+GREET1_Import_Export!$F182)/1000000)+M$61*((GREET1_Import_Export!$C$179*GREET1_Import_Export!$B182+GREET1_Import_Export!$C182)/1000000)+M$62*((GREET1_Import_Export!$H$179*GREET1_Import_Export!$B182+GREET1_Import_Export!$H182)/1000000)+M$63*($B246/1000000)+M$64*(1+GREET1_Import_Export!$B286/1000000)+M$65*($C246)/1000000+M$67*GREET1_Import_Export!$B496+M$68*GREET1_Import_Export!$C496+M$69*SUM($B77:$C77)+SUM(M$70:M$74)</f>
        <v>4.5727225849453221</v>
      </c>
      <c r="N77" s="478"/>
      <c r="O77" s="1553">
        <f ca="1">O$60*((GREET1_Import_Export!$F$179*GREET1_Import_Export!$B182+GREET1_Import_Export!$F182)/1000000)+O$61*((GREET1_Import_Export!$C$179*GREET1_Import_Export!$B182+GREET1_Import_Export!$C182)/1000000)+O$62*((GREET1_Import_Export!$G$179*GREET1_Import_Export!$B182+GREET1_Import_Export!$G182)/1000000)+O$63*($B246/1000000)+O$64*(1+GREET1_Import_Export!$B286/1000000)+O$65*($C246)/1000000+O$67*GREET1_Import_Export!$B496+O$68*GREET1_Import_Export!$C496+O$69*SUM($B77:$C77)+SUM(O$70:O$74)</f>
        <v>1.7182643671305864</v>
      </c>
      <c r="P77" s="1553"/>
      <c r="Q77" s="578">
        <f ca="1">Q$60*((GREET1_Import_Export!$F$179*GREET1_Import_Export!$B182+GREET1_Import_Export!$F182)/1000000)+Q$61*((GREET1_Import_Export!$C$179*GREET1_Import_Export!$B182+GREET1_Import_Export!$C182)/1000000)+Q$62*((GREET1_Import_Export!$G$179*GREET1_Import_Export!$B182+GREET1_Import_Export!$G182)/1000000)+Q$63*($B246/1000000)+Q$64*(1+GREET1_Import_Export!$B286/1000000)+Q$65*($C246)/1000000+Q$67*GREET1_Import_Export!$B496+Q$68*GREET1_Import_Export!$C496+Q$69*SUM($B77:$C77)+SUM(Q$70:Q$74)</f>
        <v>5.5707501768139531E-2</v>
      </c>
      <c r="R77" s="478"/>
      <c r="S77" s="1553">
        <f ca="1">S$60*((GREET1_Import_Export!$F$179*GREET1_Import_Export!$B182+GREET1_Import_Export!$F182)/1000000)+S$61*((GREET1_Import_Export!$C$179*GREET1_Import_Export!$B182+GREET1_Import_Export!$C182)/1000000)+S$62*((GREET1_Import_Export!$G$179*GREET1_Import_Export!$B182+GREET1_Import_Export!$G182)/1000000)+S$63*($B246/1000000)+S$64*(1+GREET1_Import_Export!$B286/1000000)+S$65*($C246)/1000000+S$67*GREET1_Import_Export!$B496+S$68*GREET1_Import_Export!$C496+S$69*SUM($B77:$C77)+SUM(S$70:S$74)</f>
        <v>1.3697782709382422</v>
      </c>
      <c r="T77" s="1553"/>
      <c r="U77" s="578">
        <f ca="1">U$60*((GREET1_Import_Export!$F$179*GREET1_Import_Export!$B182+GREET1_Import_Export!$F182)/1000000)+U$61*((GREET1_Import_Export!$C$179*GREET1_Import_Export!$B182+GREET1_Import_Export!$C182)/1000000)+U$62*((GREET1_Import_Export!$G$179*GREET1_Import_Export!$B182+GREET1_Import_Export!$G182)/1000000)+U$63*($B246/1000000)+U$64*(1+GREET1_Import_Export!$B286/1000000)+U$65*($C246)/1000000+U$67*GREET1_Import_Export!$B496+U$68*GREET1_Import_Export!$C496+U$69*SUM($B77:$C77)+SUM(U$70:U$74)</f>
        <v>1.6808193535907816</v>
      </c>
      <c r="V77" s="478"/>
      <c r="W77" s="1553">
        <f ca="1">W$60*((GREET1_Import_Export!$F$179*GREET1_Import_Export!$B182+GREET1_Import_Export!$F182)/1000000)+W$61*((GREET1_Import_Export!$C$179*GREET1_Import_Export!$B182+GREET1_Import_Export!$C182)/1000000)+W$62*((GREET1_Import_Export!$G$179*GREET1_Import_Export!$B182+GREET1_Import_Export!$G182)/1000000)+W$63*($B246/1000000)+W$64*(1+GREET1_Import_Export!$B286/1000000)+W$65*($C246)/1000000+W$67*GREET1_Import_Export!$B496+W$68*GREET1_Import_Export!$C496+W$69*SUM($B77:$C77)+SUM(W$70:W$74)</f>
        <v>0.47947948035230226</v>
      </c>
      <c r="X77" s="1553"/>
      <c r="Y77" s="578">
        <f ca="1">Y$60*((GREET1_Import_Export!$F$179*GREET1_Import_Export!$B182+GREET1_Import_Export!$F182)/1000000)+Y$61*((GREET1_Import_Export!$C$179*GREET1_Import_Export!$B182+GREET1_Import_Export!$C182)/1000000)+Y$62*((GREET1_Import_Export!$G$179*GREET1_Import_Export!$B182+GREET1_Import_Export!$G182)/1000000)+Y$63*($B246/1000000)+Y$64*(1+GREET1_Import_Export!$B286/1000000)+Y$65*($C246)/1000000+Y$67*GREET1_Import_Export!$B496+Y$68*GREET1_Import_Export!$C496+Y$69*SUM($B77:$C77)+SUM(Y$70:Y$74)</f>
        <v>1.0237841869232658</v>
      </c>
      <c r="Z77" s="478"/>
      <c r="AA77" s="1553">
        <f ca="1">AA$60*((GREET1_Import_Export!$F$179*GREET1_Import_Export!$B182+GREET1_Import_Export!$F182)/1000000)+AA$61*((GREET1_Import_Export!$C$179*GREET1_Import_Export!$B182+GREET1_Import_Export!$C182)/1000000)+AA$62*((GREET1_Import_Export!$G$179*GREET1_Import_Export!$B182+GREET1_Import_Export!$G182)/1000000)+AA$63*($B246/1000000)+AA$64*(1+GREET1_Import_Export!$B286/1000000)+AA$65*($C246)/1000000+AA$67*GREET1_Import_Export!$B496+AA$68*GREET1_Import_Export!$C496+AA$69*SUM($B77:$C77)+SUM(AA$70:AA$74)</f>
        <v>0.60252035402241511</v>
      </c>
      <c r="AB77" s="478"/>
      <c r="AC77" s="1553">
        <f ca="1">AC$60*((GREET1_Import_Export!$F$179*GREET1_Import_Export!$B182+GREET1_Import_Export!$F182)/1000000)+AC$61*((GREET1_Import_Export!$C$179*GREET1_Import_Export!$B182+GREET1_Import_Export!$C182)/1000000)+AC$62*((GREET1_Import_Export!$G$179*GREET1_Import_Export!$B182+GREET1_Import_Export!$G182)/1000000)+AC$63*($B246/1000000)+AC$64*(1+GREET1_Import_Export!$B286/1000000)+AC$65*($C246)/1000000+AC$67*GREET1_Import_Export!$B496+AC$68*GREET1_Import_Export!$C496+AC$69*SUM($B77:$C77)+SUM(AC$70:AC$74)</f>
        <v>0.30110169748314225</v>
      </c>
      <c r="AD77" s="478"/>
      <c r="AE77" s="749">
        <f>AE$60*((GREET1_Import_Export!$F$179*GREET1_Import_Export!$B182+GREET1_Import_Export!$F182)/1000000)+AE$61*((GREET1_Import_Export!$C$179*GREET1_Import_Export!$B182+GREET1_Import_Export!$C182)/1000000)+AE$62*((GREET1_Import_Export!$H$179*GREET1_Import_Export!$B182+GREET1_Import_Export!$H182)/1000000)+AE$63*($B246/1000000)+AE$64*(1+GREET1_Import_Export!$B286/1000000)+AE$65*($C246)/1000000+AE$67*GREET1_Import_Export!$B496+AE$68*GREET1_Import_Export!$C496+SUM(AE$70:AE$74)</f>
        <v>0.40386166961929693</v>
      </c>
      <c r="AF77" s="817"/>
      <c r="AG77" s="749">
        <f>AG$60*((GREET1_Import_Export!$F$179*GREET1_Import_Export!$B182+GREET1_Import_Export!$F182)/1000000)+AG$61*((GREET1_Import_Export!$C$179*GREET1_Import_Export!$B182+GREET1_Import_Export!$C182)/1000000)+AG$62*((GREET1_Import_Export!$H$179*GREET1_Import_Export!$B182+GREET1_Import_Export!$H182)/1000000)+AG$63*($B246/1000000)+AG$64*(1+GREET1_Import_Export!$B286/1000000)+AG$65*($C246)/1000000+AG$67*GREET1_Import_Export!$B496+AG$68*GREET1_Import_Export!$C496+SUM(AG$70:AG$74)</f>
        <v>0.23518514209997157</v>
      </c>
      <c r="AH77" s="817"/>
      <c r="AI77" s="749">
        <f>AI$60*((GREET1_Import_Export!$F$179*GREET1_Import_Export!$B182+GREET1_Import_Export!$F182)/1000000)+AI$61*((GREET1_Import_Export!$C$179*GREET1_Import_Export!$B182+GREET1_Import_Export!$C182)/1000000)+AI$62*((GREET1_Import_Export!$H$179*GREET1_Import_Export!$B182+GREET1_Import_Export!$H182)/1000000)+AI$63*($B246/1000000)+AI$64*(1+GREET1_Import_Export!$B286/1000000)+AI$65*($C246)/1000000+AI$67*GREET1_Import_Export!$B496+AI$68*GREET1_Import_Export!$C496+SUM(AI$70:AI$74)</f>
        <v>0.364827150745618</v>
      </c>
      <c r="AJ77" s="817"/>
      <c r="AK77" s="749">
        <f>AK$60*((GREET1_Import_Export!$F$179*GREET1_Import_Export!$B182+GREET1_Import_Export!$F182)/1000000)+AK$61*((GREET1_Import_Export!$C$179*GREET1_Import_Export!$B182+GREET1_Import_Export!$C182)/1000000)+AK$62*((GREET1_Import_Export!$H$179*GREET1_Import_Export!$B182+GREET1_Import_Export!$H182)/1000000)+AK$63*($B246/1000000)+AK$64*(1+GREET1_Import_Export!$B286/1000000)+AK$65*($C246)/1000000+AK$67*GREET1_Import_Export!$B496+AK$68*GREET1_Import_Export!$C496+SUM(AK$70:AK$74)+AK$66*($D246/1000000)</f>
        <v>0.35605507138259351</v>
      </c>
      <c r="AL77" s="817"/>
      <c r="AM77" s="749">
        <f>AM$60*((GREET1_Import_Export!$F$179*GREET1_Import_Export!$B182+GREET1_Import_Export!$F182)/1000000)+AM$61*((GREET1_Import_Export!$C$179*GREET1_Import_Export!$B182+GREET1_Import_Export!$C182)/1000000)+AM$62*((GREET1_Import_Export!$H$179*GREET1_Import_Export!$B182+GREET1_Import_Export!$H182)/1000000)+AM$63*($B246/1000000)+AM$64*(1+GREET1_Import_Export!$B286/1000000)+AM$65*($C246)/1000000+AM$67*GREET1_Import_Export!$B496+AM$68*GREET1_Import_Export!$C496+SUM(AM$70:AM$74)</f>
        <v>1.7378514449000191</v>
      </c>
      <c r="AN77" s="817"/>
      <c r="AO77" s="749">
        <f>AO$60*((GREET1_Import_Export!$F$179*GREET1_Import_Export!$B182+GREET1_Import_Export!$F182)/1000000)+AO$61*((GREET1_Import_Export!$C$179*GREET1_Import_Export!$B182+GREET1_Import_Export!$C182)/1000000)+AO$62*((GREET1_Import_Export!$H$179*GREET1_Import_Export!$B182+GREET1_Import_Export!$H182)/1000000)+AO$63*($B246/1000000)+AO$64*(1+GREET1_Import_Export!$B286/1000000)+AO$65*($C246)/1000000+AO$67*GREET1_Import_Export!$B496+AO$68*GREET1_Import_Export!$C496+SUM(AO$70:AO$74)</f>
        <v>0.420160005749176</v>
      </c>
      <c r="AP77" s="817"/>
      <c r="AQ77" s="749">
        <f>AQ$60*((GREET1_Import_Export!$F$179*GREET1_Import_Export!$B182+GREET1_Import_Export!$F182)/1000000)+AQ$61*((GREET1_Import_Export!$C$179*GREET1_Import_Export!$B182+GREET1_Import_Export!$C182)/1000000)+AQ$62*((GREET1_Import_Export!$H$179*GREET1_Import_Export!$B182+GREET1_Import_Export!$H182)/1000000)+AQ$63*($B246/1000000)+AQ$64*(1+GREET1_Import_Export!$B286/1000000)+AQ$65*($C246)/1000000+AQ$67*GREET1_Import_Export!$B496+AQ$68*GREET1_Import_Export!$C496+SUM(AQ$70:AQ$74)+AQ$66*($D246/1000000)</f>
        <v>0.35437530663049277</v>
      </c>
      <c r="AR77" s="817"/>
      <c r="AS77" s="749">
        <f>AS$60*((GREET1_Import_Export!$F$179*GREET1_Import_Export!$B182+GREET1_Import_Export!$F182)/1000000)+AS$61*((GREET1_Import_Export!$C$179*GREET1_Import_Export!$B182+GREET1_Import_Export!$C182)/1000000)+AS$62*((GREET1_Import_Export!$H$179*GREET1_Import_Export!$B182+GREET1_Import_Export!$H182)/1000000)+AS$63*($B246/1000000)+AS$64*(1+GREET1_Import_Export!$B286/1000000)+AS$65*($C246)/1000000+AS$67*GREET1_Import_Export!$B496+AS$68*GREET1_Import_Export!$C496+SUM(AS$70:AS$74)</f>
        <v>2.1075287437373351</v>
      </c>
      <c r="AT77" s="817"/>
    </row>
    <row r="78" spans="1:46">
      <c r="A78" s="160" t="s">
        <v>804</v>
      </c>
      <c r="B78" s="578">
        <f ca="1">B76-B77-B79</f>
        <v>9.3405346917092569E-2</v>
      </c>
      <c r="C78" s="478"/>
      <c r="D78" s="578">
        <f ca="1">D76-D77-D79</f>
        <v>0.48665534740233984</v>
      </c>
      <c r="E78" s="1553">
        <f>E76-E77-E79</f>
        <v>0</v>
      </c>
      <c r="F78" s="478">
        <f>F76-F77-F79</f>
        <v>-7.6768108891996922E-2</v>
      </c>
      <c r="G78" s="578">
        <f ca="1">G76-G77-G79</f>
        <v>0.15829304786287815</v>
      </c>
      <c r="H78" s="478"/>
      <c r="I78" s="578">
        <f ca="1">I76-I77-I79</f>
        <v>1.9675413167708136</v>
      </c>
      <c r="J78" s="478">
        <f>J76-J77-J79</f>
        <v>0</v>
      </c>
      <c r="K78" s="578">
        <f ca="1">K76-K77-K79</f>
        <v>0.50961686250118055</v>
      </c>
      <c r="L78" s="1553"/>
      <c r="M78" s="578">
        <f ca="1">M76-M77-M79</f>
        <v>0.15068637610932173</v>
      </c>
      <c r="N78" s="478"/>
      <c r="O78" s="1553">
        <f ca="1">O76-O77-O79</f>
        <v>1.4180084600299854</v>
      </c>
      <c r="P78" s="1553"/>
      <c r="Q78" s="578">
        <f ca="1">Q76-Q77-Q79</f>
        <v>4.3104535815117563E-2</v>
      </c>
      <c r="R78" s="478"/>
      <c r="S78" s="1553">
        <f ca="1">S76-S77-S79</f>
        <v>1.4435894662101219</v>
      </c>
      <c r="T78" s="1553"/>
      <c r="U78" s="578">
        <f ca="1">U76-U77-U79</f>
        <v>0.71741209489419355</v>
      </c>
      <c r="V78" s="478"/>
      <c r="W78" s="1553">
        <f ca="1">W76-W77-W79</f>
        <v>0.88674198715332908</v>
      </c>
      <c r="X78" s="1553"/>
      <c r="Y78" s="578">
        <f ca="1">Y76-Y77-Y79</f>
        <v>2.0933733965644148</v>
      </c>
      <c r="Z78" s="478"/>
      <c r="AA78" s="1553">
        <f ca="1">AA76-AA77-AA79</f>
        <v>3.4795643956922491</v>
      </c>
      <c r="AB78" s="478"/>
      <c r="AC78" s="1553">
        <f ca="1">AC76-AC77-AC79</f>
        <v>0.55685285502783466</v>
      </c>
      <c r="AD78" s="478"/>
      <c r="AE78" s="749">
        <f>AE76-AE77-AE79</f>
        <v>0.88226561791093561</v>
      </c>
      <c r="AF78" s="817"/>
      <c r="AG78" s="749">
        <f>AG76-AG77-AG79</f>
        <v>2.7741461036698611</v>
      </c>
      <c r="AH78" s="817"/>
      <c r="AI78" s="749">
        <f>AI76-AI77-AI79</f>
        <v>12.302432756498927</v>
      </c>
      <c r="AJ78" s="817"/>
      <c r="AK78" s="749">
        <f>AK76-AK77-AK79</f>
        <v>2.5272291753257767</v>
      </c>
      <c r="AL78" s="817"/>
      <c r="AM78" s="749">
        <f>AM76-AM77-AM79</f>
        <v>2.6300443367613493</v>
      </c>
      <c r="AN78" s="817"/>
      <c r="AO78" s="749">
        <f>AO76-AO77-AO79</f>
        <v>0.91787053582776323</v>
      </c>
      <c r="AP78" s="817"/>
      <c r="AQ78" s="749">
        <f>AQ76-AQ77-AQ79</f>
        <v>0.65537624961281538</v>
      </c>
      <c r="AR78" s="817"/>
      <c r="AS78" s="749">
        <f>AS76-AS77-AS79</f>
        <v>2.6300443367613493</v>
      </c>
      <c r="AT78" s="817"/>
    </row>
    <row r="79" spans="1:46">
      <c r="A79" s="160" t="s">
        <v>818</v>
      </c>
      <c r="B79" s="578">
        <f ca="1">B$60*(1+(GREET1_Import_Export!$F$179*GREET1_Import_Export!$B184+GREET1_Import_Export!$F184)/1000000)+B$61*(1+(GREET1_Import_Export!$C$179*GREET1_Import_Export!$B184+GREET1_Import_Export!$C184)/1000000)+B$62*(1+(GREET1_Import_Export!$H$179*GREET1_Import_Export!$B184+GREET1_Import_Export!$H184)/1000000)+B$63*($B248/1000000)+B$64*(GREET1_Import_Export!$B288/1000000)+B$65*($C248)/1000000+B$67*GREET1_Import_Export!$B498+B$68*GREET1_Import_Export!$C498+B$69*SUM($B79:$C79)+SUM(B70:B74)</f>
        <v>0.28823052103044183</v>
      </c>
      <c r="C79" s="478"/>
      <c r="D79" s="578">
        <f ca="1">D$60*(1+(GREET1_Import_Export!$F$179*GREET1_Import_Export!$B184+GREET1_Import_Export!$F184)/1000000)+D$61*(1+(GREET1_Import_Export!$C$179*GREET1_Import_Export!$B184+GREET1_Import_Export!$C184)/1000000)+D$62*(1+(GREET1_Import_Export!$H$179*GREET1_Import_Export!$B184+GREET1_Import_Export!$H184)/1000000)+D$63*($B248/1000000)+D$64*(GREET1_Import_Export!$B288/1000000)+D$65*($C248)/1000000+D$67*GREET1_Import_Export!$B498+D$68*GREET1_Import_Export!$C498+D$69*SUM($B79:$C79)</f>
        <v>0.2423742957094113</v>
      </c>
      <c r="E79" s="1553">
        <v>0</v>
      </c>
      <c r="F79" s="478">
        <f>F$70*(1+(GREET1_Import_Export!$B184*GREET1_Import_Export!$I$179+GREET1_Import_Export!$I184)/1000000)+(F$71+F$72)*(1+(GREET1_Import_Export!$B184*GREET1_Import_Export!$F$179+GREET1_Import_Export!$F184)/1000000)</f>
        <v>-1.0116737725126779</v>
      </c>
      <c r="G79" s="578">
        <f ca="1">G$60*(1+(GREET1_Import_Export!$F$179*GREET1_Import_Export!$B184+GREET1_Import_Export!$F184)/1000000)+G$61*(1+(GREET1_Import_Export!$C$179*GREET1_Import_Export!$B184+GREET1_Import_Export!$C184)/1000000)+G$62*(1+(GREET1_Import_Export!$H$179*GREET1_Import_Export!$B184+GREET1_Import_Export!$H184)/1000000)+G$63*($B248/1000000)+G$64*(GREET1_Import_Export!$B288/1000000)+G$65*($C248)/1000000+G$67*GREET1_Import_Export!$B498+G$68*GREET1_Import_Export!$C498+G$69*SUM($B79:$C79)</f>
        <v>4.209386232528963E-3</v>
      </c>
      <c r="H79" s="478"/>
      <c r="I79" s="578">
        <f ca="1">I$60*(1+(GREET1_Import_Export!$F$179*GREET1_Import_Export!$B184+GREET1_Import_Export!$F184)/1000000)+I$61*(1+(GREET1_Import_Export!$C$179*GREET1_Import_Export!$B184+GREET1_Import_Export!$C184)/1000000)+I$62*(1+(GREET1_Import_Export!$H$179*GREET1_Import_Export!$B184+GREET1_Import_Export!$H184)/1000000)+I$63*($B248/1000000)+I$64*(GREET1_Import_Export!$B288/1000000)+I$65*($C248)/1000000+I$67*GREET1_Import_Export!$B498+I$68*GREET1_Import_Export!$C498+I$69*SUM($B79:$C79)</f>
        <v>0.50674093816078281</v>
      </c>
      <c r="J79" s="478">
        <v>0</v>
      </c>
      <c r="K79" s="578">
        <f ca="1">K$60*(1+(GREET1_Import_Export!$F$179*GREET1_Import_Export!$B184+GREET1_Import_Export!$F184)/1000000)+K$61*(1+(GREET1_Import_Export!$C$179*GREET1_Import_Export!$B184+GREET1_Import_Export!$C184)/1000000)+K$62*(1+(GREET1_Import_Export!$H$179*GREET1_Import_Export!$B184+GREET1_Import_Export!$H184)/1000000)+K$63*($B248/1000000)+K$64*(GREET1_Import_Export!$B288/1000000)+K$65*($C248)/1000000+K$67*GREET1_Import_Export!$B498+K$68*GREET1_Import_Export!$C498+K$69*SUM($B79:$C79)</f>
        <v>1.7142210421817492E-2</v>
      </c>
      <c r="L79" s="1553"/>
      <c r="M79" s="578">
        <f ca="1">M$60*(1+(GREET1_Import_Export!$F$179*GREET1_Import_Export!$B184+GREET1_Import_Export!$F184)/1000000)+M$61*(1+(GREET1_Import_Export!$C$179*GREET1_Import_Export!$B184+GREET1_Import_Export!$C184)/1000000)+M$62*(1+(GREET1_Import_Export!$H$179*GREET1_Import_Export!$B184+GREET1_Import_Export!$H184)/1000000)+M$63*($B248/1000000)+M$64*(GREET1_Import_Export!$B288/1000000)+M$65*($C248)/1000000+M$67*GREET1_Import_Export!$B498+M$68*GREET1_Import_Export!$C498+M$69*SUM($B79:$C79)</f>
        <v>1.4970192135664191E-3</v>
      </c>
      <c r="N79" s="478"/>
      <c r="O79" s="1553">
        <f ca="1">O$60*(1+(GREET1_Import_Export!$F$179*GREET1_Import_Export!$B184+GREET1_Import_Export!$F184)/1000000)+O$61*(1+(GREET1_Import_Export!$C$179*GREET1_Import_Export!$B184+GREET1_Import_Export!$C184)/1000000)+O$62*(1+(GREET1_Import_Export!$G$179*GREET1_Import_Export!$B184+GREET1_Import_Export!$G184)/1000000)+O$63*($B248/1000000)+O$64*(GREET1_Import_Export!$B288/1000000)+O$65*($C248)/1000000+O$67*GREET1_Import_Export!$B498+O$68*GREET1_Import_Export!$C498+O$69*SUM($B79:$C79)</f>
        <v>1.4814414983160436E-2</v>
      </c>
      <c r="P79" s="1553"/>
      <c r="Q79" s="2618">
        <f ca="1">Q$60*(1+(GREET1_Import_Export!$F$179*GREET1_Import_Export!$B184+GREET1_Import_Export!$F184)/1000000)+Q$61*(1+(GREET1_Import_Export!$C$179*GREET1_Import_Export!$B184+GREET1_Import_Export!$C184)/1000000)+Q$62*(1+(GREET1_Import_Export!$G$179*GREET1_Import_Export!$B184+GREET1_Import_Export!$G184)/1000000)+Q$63*($B248/1000000)+Q$64*(GREET1_Import_Export!$B288/1000000)+Q$65*($C248)/1000000+Q$67*GREET1_Import_Export!$B498+Q$68*GREET1_Import_Export!$C498+Q$69*SUM($B79:$C79)</f>
        <v>7.2916704187963178E-4</v>
      </c>
      <c r="R79" s="2619"/>
      <c r="S79" s="1553">
        <f ca="1">S$60*(1+(GREET1_Import_Export!$F$179*GREET1_Import_Export!$B184+GREET1_Import_Export!$F184)/1000000)+S$61*(1+(GREET1_Import_Export!$C$179*GREET1_Import_Export!$B184+GREET1_Import_Export!$C184)/1000000)+S$62*(1+(GREET1_Import_Export!$G$179*GREET1_Import_Export!$B184+GREET1_Import_Export!$G184)/1000000)+S$63*($B248/1000000)+S$64*(GREET1_Import_Export!$B288/1000000)+S$65*($C248)/1000000+S$67*GREET1_Import_Export!$B498+S$68*GREET1_Import_Export!$C498+S$69*SUM($B79:$C79)</f>
        <v>2.4420118227925756E-2</v>
      </c>
      <c r="T79" s="1553"/>
      <c r="U79" s="578">
        <f ca="1">U$60*(1+(GREET1_Import_Export!$F$179*GREET1_Import_Export!$B184+GREET1_Import_Export!$F184)/1000000)+U$61*(1+(GREET1_Import_Export!$C$179*GREET1_Import_Export!$B184+GREET1_Import_Export!$C184)/1000000)+U$62*(1+(GREET1_Import_Export!$G$179*GREET1_Import_Export!$B184+GREET1_Import_Export!$G184)/1000000)+U$63*($B248/1000000)+U$64*(GREET1_Import_Export!$B288/1000000)+U$65*($C248)/1000000+U$67*GREET1_Import_Export!$B498+U$68*GREET1_Import_Export!$C498+U$69*SUM($B79:$C79)</f>
        <v>1.2135921316642579E-2</v>
      </c>
      <c r="V79" s="478"/>
      <c r="W79" s="1553">
        <f ca="1">W$60*(1+(GREET1_Import_Export!$F$179*GREET1_Import_Export!$B184+GREET1_Import_Export!$F184)/1000000)+W$61*(1+(GREET1_Import_Export!$C$179*GREET1_Import_Export!$B184+GREET1_Import_Export!$C184)/1000000)+W$62*(1+(GREET1_Import_Export!$G$179*GREET1_Import_Export!$B184+GREET1_Import_Export!$G184)/1000000)+W$63*($B248/1000000)+W$64*(GREET1_Import_Export!$B288/1000000)+W$65*($C248)/1000000+W$67*GREET1_Import_Export!$B498+W$68*GREET1_Import_Export!$C498+W$69*SUM($B79:$C79)</f>
        <v>1.5000347862609172E-2</v>
      </c>
      <c r="X79" s="1553"/>
      <c r="Y79" s="578">
        <f ca="1">Y$60*(1+(GREET1_Import_Export!$F$179*GREET1_Import_Export!$B184+GREET1_Import_Export!$F184)/1000000)+Y$61*(1+(GREET1_Import_Export!$C$179*GREET1_Import_Export!$B184+GREET1_Import_Export!$C184)/1000000)+Y$62*(1+(GREET1_Import_Export!$G$179*GREET1_Import_Export!$B184+GREET1_Import_Export!$G184)/1000000)+Y$63*($B248/1000000)+Y$64*(GREET1_Import_Export!$B288/1000000)+Y$65*($C248)/1000000+Y$67*GREET1_Import_Export!$B498+Y$68*GREET1_Import_Export!$C498+Y$69*SUM($B79:$C79)</f>
        <v>2.8573836338860636E-2</v>
      </c>
      <c r="Z79" s="478"/>
      <c r="AA79" s="1553">
        <f ca="1">AA$60*(1+(GREET1_Import_Export!$F$179*GREET1_Import_Export!$B184+GREET1_Import_Export!$F184)/1000000)+AA$61*(1+(GREET1_Import_Export!$C$179*GREET1_Import_Export!$B184+GREET1_Import_Export!$C184)/1000000)+AA$62*(1+(GREET1_Import_Export!$G$179*GREET1_Import_Export!$B184+GREET1_Import_Export!$G184)/1000000)+AA$63*($B248/1000000)+AA$64*(GREET1_Import_Export!$B288/1000000)+AA$65*($C248)/1000000+AA$67*GREET1_Import_Export!$B498+AA$68*GREET1_Import_Export!$C498+AA$69*SUM($B79:$C79)</f>
        <v>2.7440843650670094E-2</v>
      </c>
      <c r="AB79" s="478"/>
      <c r="AC79" s="1553">
        <f ca="1">AC$60*(1+(GREET1_Import_Export!$F$179*GREET1_Import_Export!$B184+GREET1_Import_Export!$F184)/1000000)+AC$61*(1+(GREET1_Import_Export!$C$179*GREET1_Import_Export!$B184+GREET1_Import_Export!$C184)/1000000)+AC$62*(1+(GREET1_Import_Export!$G$179*GREET1_Import_Export!$B184+GREET1_Import_Export!$G184)/1000000)+AC$63*($B248/1000000)+AC$64*(GREET1_Import_Export!$B288/1000000)+AC$65*($C248)/1000000+AC$67*GREET1_Import_Export!$B498+AC$68*GREET1_Import_Export!$C498+AC$69*SUM($B79:$C79)</f>
        <v>9.4198613065789756E-3</v>
      </c>
      <c r="AD79" s="478"/>
      <c r="AE79" s="749">
        <f>AE$60*(1+(GREET1_Import_Export!$F$179*GREET1_Import_Export!$B184+GREET1_Import_Export!$F184)/1000000)+AE$61*(1+(GREET1_Import_Export!$C$179*GREET1_Import_Export!$B184+GREET1_Import_Export!$C184)/1000000)+AE$62*(1+(GREET1_Import_Export!$H$179*GREET1_Import_Export!$B184+GREET1_Import_Export!$H184)/1000000)+AE$63*($B248/1000000)+AE$64*(GREET1_Import_Export!$B288/1000000)+AE$65*($C248)/1000000+AE$67*GREET1_Import_Export!$B498+AE$68*GREET1_Import_Export!$C498</f>
        <v>1.3013413280223447</v>
      </c>
      <c r="AF79" s="817"/>
      <c r="AG79" s="749">
        <f>AG$60*(1+(GREET1_Import_Export!$F$179*GREET1_Import_Export!$B184+GREET1_Import_Export!$F184)/1000000)+AG$61*(1+(GREET1_Import_Export!$C$179*GREET1_Import_Export!$B184+GREET1_Import_Export!$C184)/1000000)+AG$62*(1+(GREET1_Import_Export!$H$179*GREET1_Import_Export!$B184+GREET1_Import_Export!$H184)/1000000)+AG$63*($B248/1000000)+AG$64*(GREET1_Import_Export!$B288/1000000)+AG$65*($C248)/1000000+AG$67*GREET1_Import_Export!$B498+AG$68*GREET1_Import_Export!$C498</f>
        <v>1.5854182638587233E-2</v>
      </c>
      <c r="AH79" s="817"/>
      <c r="AI79" s="749">
        <f>AI$60*(1+(GREET1_Import_Export!$F$179*GREET1_Import_Export!$B184+GREET1_Import_Export!$F184)/1000000)+AI$61*(1+(GREET1_Import_Export!$C$179*GREET1_Import_Export!$B184+GREET1_Import_Export!$C184)/1000000)+AI$62*(1+(GREET1_Import_Export!$H$179*GREET1_Import_Export!$B184+GREET1_Import_Export!$H184)/1000000)+AI$63*($B248/1000000)+AI$64*(GREET1_Import_Export!$B288/1000000)+AI$65*($C248)/1000000+AI$67*GREET1_Import_Export!$B498+AI$68*GREET1_Import_Export!$C498</f>
        <v>5.364802613478796E-2</v>
      </c>
      <c r="AJ79" s="817"/>
      <c r="AK79" s="749">
        <f>AK$60*(1+(GREET1_Import_Export!$F$179*GREET1_Import_Export!$B184+GREET1_Import_Export!$F184)/1000000)+AK$61*(1+(GREET1_Import_Export!$C$179*GREET1_Import_Export!$B184+GREET1_Import_Export!$C184)/1000000)+AK$62*(1+(GREET1_Import_Export!$H$179*GREET1_Import_Export!$B184+GREET1_Import_Export!$H184)/1000000)+AK$63*($B248/1000000)+AK$64*(GREET1_Import_Export!$B288/1000000)+AK$65*($C248)/1000000+AK$67*GREET1_Import_Export!$B498+AK$68*GREET1_Import_Export!$C498+AK$66*($D248/1000000)</f>
        <v>1.7926768256561334E-2</v>
      </c>
      <c r="AL79" s="817"/>
      <c r="AM79" s="749">
        <f>AM$60*(1+(GREET1_Import_Export!$F$179*GREET1_Import_Export!$B184+GREET1_Import_Export!$F184)/1000000)+AM$61*(1+(GREET1_Import_Export!$C$179*GREET1_Import_Export!$B184+GREET1_Import_Export!$C184)/1000000)+AM$62*(1+(GREET1_Import_Export!$H$179*GREET1_Import_Export!$B184+GREET1_Import_Export!$H184)/1000000)+AM$63*($B248/1000000)+AM$64*(GREET1_Import_Export!$B288/1000000)+AM$65*($C248)/1000000+AM$67*GREET1_Import_Export!$B498+AM$68*GREET1_Import_Export!$C498</f>
        <v>4.5806096366888649E-2</v>
      </c>
      <c r="AN79" s="817"/>
      <c r="AO79" s="749">
        <f>AO$60*(1+(GREET1_Import_Export!$F$179*GREET1_Import_Export!$B184+GREET1_Import_Export!$F184)/1000000)+AO$61*(1+(GREET1_Import_Export!$C$179*GREET1_Import_Export!$B184+GREET1_Import_Export!$C184)/1000000)+AO$62*(1+(GREET1_Import_Export!$H$179*GREET1_Import_Export!$B184+GREET1_Import_Export!$H184)/1000000)+AO$63*($B248/1000000)+AO$64*(GREET1_Import_Export!$B288/1000000)+AO$65*($C248)/1000000+AO$67*GREET1_Import_Export!$B498+AO$68*GREET1_Import_Export!$C498</f>
        <v>1.3538585634505167</v>
      </c>
      <c r="AP79" s="817"/>
      <c r="AQ79" s="749">
        <f>AQ$60*(1+(GREET1_Import_Export!$F$179*GREET1_Import_Export!$B184+GREET1_Import_Export!$F184)/1000000)+AQ$61*(1+(GREET1_Import_Export!$C$179*GREET1_Import_Export!$B184+GREET1_Import_Export!$C184)/1000000)+AQ$62*(1+(GREET1_Import_Export!$H$179*GREET1_Import_Export!$B184+GREET1_Import_Export!$H184)/1000000)+AQ$63*($B248/1000000)+AQ$64*(GREET1_Import_Export!$B288/1000000)+AQ$65*($C248)/1000000+AQ$67*GREET1_Import_Export!$B498+AQ$68*GREET1_Import_Export!$C498+AQ$66*($D248/1000000)</f>
        <v>1.1086507538279595E-2</v>
      </c>
      <c r="AR79" s="817"/>
      <c r="AS79" s="749">
        <f>AS$60*(1+(GREET1_Import_Export!$F$179*GREET1_Import_Export!$B184+GREET1_Import_Export!$F184)/1000000)+AS$61*(1+(GREET1_Import_Export!$C$179*GREET1_Import_Export!$B184+GREET1_Import_Export!$C184)/1000000)+AS$62*(1+(GREET1_Import_Export!$H$179*GREET1_Import_Export!$B184+GREET1_Import_Export!$H184)/1000000)+AS$63*($B248/1000000)+AS$64*(GREET1_Import_Export!$B288/1000000)+AS$65*($C248)/1000000+AS$67*GREET1_Import_Export!$B498+AS$68*GREET1_Import_Export!$C498</f>
        <v>4.5806096366888649E-2</v>
      </c>
      <c r="AT79" s="817"/>
    </row>
    <row r="80" spans="1:46">
      <c r="A80" s="661" t="s">
        <v>819</v>
      </c>
      <c r="B80" s="581">
        <f ca="1">B$60*((GREET1_Import_Export!$F$179*GREET1_Import_Export!$B185+GREET1_Import_Export!$F185))+B$61*((GREET1_Import_Export!$C$179*GREET1_Import_Export!$B185+GREET1_Import_Export!$C185))+B$62*((GREET1_Import_Export!$H$179*GREET1_Import_Export!$B185+GREET1_Import_Export!$H185))+B$63*($B249)+B$64*(GREET1_Import_Export!$B289)+B$65*($C249)+B$67*GREET1_Import_Export!$B499+B$68*GREET1_Import_Export!$C499+B$69*SUM($B80:$C80)</f>
        <v>9.2309236252634026</v>
      </c>
      <c r="C80" s="2617"/>
      <c r="D80" s="581">
        <f ca="1">D$60*((GREET1_Import_Export!$F$179*GREET1_Import_Export!$B185+GREET1_Import_Export!$F185))+D$61*((GREET1_Import_Export!$C$179*GREET1_Import_Export!$B185+GREET1_Import_Export!$C185))+D$62*((GREET1_Import_Export!$H$179*GREET1_Import_Export!$B185+GREET1_Import_Export!$H185))+D$63*($B249)+D$64*(GREET1_Import_Export!$B289)+D$65*($C249)+D$67*GREET1_Import_Export!$B499+D$68*GREET1_Import_Export!$C499+D$69*SUM($B80:$C80)</f>
        <v>70.114151242380856</v>
      </c>
      <c r="E80" s="2620">
        <v>0</v>
      </c>
      <c r="F80" s="1125">
        <f>F$70*((GREET1_Import_Export!$B185*GREET1_Import_Export!$I$179+GREET1_Import_Export!$I185))+(F$71+F$72)*((GREET1_Import_Export!$B185*GREET1_Import_Export!$F$179+GREET1_Import_Export!$F185))</f>
        <v>-19.643409070729707</v>
      </c>
      <c r="G80" s="581">
        <f ca="1">G$60*((GREET1_Import_Export!$F$179*GREET1_Import_Export!$B185+GREET1_Import_Export!$F185))+G$61*((GREET1_Import_Export!$C$179*GREET1_Import_Export!$B185+GREET1_Import_Export!$C185))+G$62*((GREET1_Import_Export!$H$179*GREET1_Import_Export!$B185+GREET1_Import_Export!$H185))+G$63*($B249)+G$64*(GREET1_Import_Export!$B289)+G$65*($C249)+G$67*GREET1_Import_Export!$B499+G$68*GREET1_Import_Export!$C499+G$69*SUM($B80:$C80)</f>
        <v>16.914244155876077</v>
      </c>
      <c r="H80" s="2617"/>
      <c r="I80" s="581">
        <f ca="1">I$60*((GREET1_Import_Export!$F$179*GREET1_Import_Export!$B185+GREET1_Import_Export!$F185))+I$61*((GREET1_Import_Export!$C$179*GREET1_Import_Export!$B185+GREET1_Import_Export!$C185))+I$62*((GREET1_Import_Export!$H$179*GREET1_Import_Export!$B185+GREET1_Import_Export!$H185))+I$63*($B249)+I$64*(GREET1_Import_Export!$B289)+I$65*($C249)+I$67*GREET1_Import_Export!$B499+I$68*GREET1_Import_Export!$C499+I$69*SUM($B80:$C80)</f>
        <v>50.396288353313544</v>
      </c>
      <c r="J80" s="2617">
        <v>0</v>
      </c>
      <c r="K80" s="581">
        <f ca="1">K$60*((GREET1_Import_Export!$F$179*GREET1_Import_Export!$B185+GREET1_Import_Export!$F185))+K$61*((GREET1_Import_Export!$C$179*GREET1_Import_Export!$B185+GREET1_Import_Export!$C185))+K$62*((GREET1_Import_Export!$H$179*GREET1_Import_Export!$B185+GREET1_Import_Export!$H185))+K$63*($B249)+K$64*(GREET1_Import_Export!$B289)+K$65*($C249)+K$67*GREET1_Import_Export!$B499+K$68*GREET1_Import_Export!$C499+K$69*SUM($B80:$C80)</f>
        <v>82.207785018308698</v>
      </c>
      <c r="L80" s="2620"/>
      <c r="M80" s="581">
        <f ca="1">M$60*((GREET1_Import_Export!$F$179*GREET1_Import_Export!$B185+GREET1_Import_Export!$F185))+M$61*((GREET1_Import_Export!$C$179*GREET1_Import_Export!$B185+GREET1_Import_Export!$C185))+M$62*((GREET1_Import_Export!$H$179*GREET1_Import_Export!$B185+GREET1_Import_Export!$H185))+M$63*($B249)+M$64*(GREET1_Import_Export!$B289)+M$65*($C249)+M$67*GREET1_Import_Export!$B499+M$68*GREET1_Import_Export!$C499+M$69*SUM($B80:$C80)</f>
        <v>7.7435890620196099</v>
      </c>
      <c r="N80" s="2617"/>
      <c r="O80" s="1125">
        <f ca="1">O$60*((GREET1_Import_Export!$F$179*GREET1_Import_Export!$B185+GREET1_Import_Export!$F185))+O$61*((GREET1_Import_Export!$C$179*GREET1_Import_Export!$B185+GREET1_Import_Export!$C185))+O$62*((GREET1_Import_Export!$G$179*GREET1_Import_Export!$B185+GREET1_Import_Export!$G185))+O$63*($B249)+O$64*(GREET1_Import_Export!$B289)+O$65*($C249)+O$67*GREET1_Import_Export!$B499+O$68*GREET1_Import_Export!$C499+O$69*SUM($B80:$C80)</f>
        <v>78.493340654423221</v>
      </c>
      <c r="P80" s="1125"/>
      <c r="Q80" s="581">
        <f ca="1">Q$60*((GREET1_Import_Export!$F$179*GREET1_Import_Export!$B185+GREET1_Import_Export!$F185))+Q$61*((GREET1_Import_Export!$C$179*GREET1_Import_Export!$B185+GREET1_Import_Export!$C185))+Q$62*((GREET1_Import_Export!$G$179*GREET1_Import_Export!$B185+GREET1_Import_Export!$G185))+Q$63*($B249)+Q$64*(GREET1_Import_Export!$B289)+Q$65*($C249)+Q$67*GREET1_Import_Export!$B499+Q$68*GREET1_Import_Export!$C499+Q$69*SUM($B80:$C80)</f>
        <v>4.5430485486071426</v>
      </c>
      <c r="R80" s="1189"/>
      <c r="S80" s="2620">
        <f ca="1">S$60*((GREET1_Import_Export!$F$179*GREET1_Import_Export!$B185+GREET1_Import_Export!$F185))+S$61*((GREET1_Import_Export!$C$179*GREET1_Import_Export!$B185+GREET1_Import_Export!$C185))+S$62*((GREET1_Import_Export!$G$179*GREET1_Import_Export!$B185+GREET1_Import_Export!$G185))+S$63*($B249)+S$64*(GREET1_Import_Export!$B289)+S$65*($C249)+S$67*GREET1_Import_Export!$B499+S$68*GREET1_Import_Export!$C499+S$69*SUM($B80:$C80)</f>
        <v>152.14865222954879</v>
      </c>
      <c r="T80" s="2620"/>
      <c r="U80" s="2621">
        <f ca="1">U$60*((GREET1_Import_Export!$F$179*GREET1_Import_Export!$B185+GREET1_Import_Export!$F185))+U$61*((GREET1_Import_Export!$C$179*GREET1_Import_Export!$B185+GREET1_Import_Export!$C185))+U$62*((GREET1_Import_Export!$G$179*GREET1_Import_Export!$B185+GREET1_Import_Export!$G185))+U$63*($B249)+U$64*(GREET1_Import_Export!$B289)+U$65*($C249)+U$67*GREET1_Import_Export!$B499+U$68*GREET1_Import_Export!$C499+U$69*SUM($B80:$C80)</f>
        <v>75.612413283875341</v>
      </c>
      <c r="V80" s="2617"/>
      <c r="W80" s="2620">
        <f ca="1">W$60*((GREET1_Import_Export!$F$179*GREET1_Import_Export!$B185+GREET1_Import_Export!$F185))+W$61*((GREET1_Import_Export!$C$179*GREET1_Import_Export!$B185+GREET1_Import_Export!$C185))+W$62*((GREET1_Import_Export!$G$179*GREET1_Import_Export!$B185+GREET1_Import_Export!$G185))+W$63*($B249)+W$64*(GREET1_Import_Export!$B289)+W$65*($C249)+W$67*GREET1_Import_Export!$B499+W$68*GREET1_Import_Export!$C499+W$69*SUM($B80:$C80)</f>
        <v>93.459117968579775</v>
      </c>
      <c r="X80" s="2620"/>
      <c r="Y80" s="2621">
        <f ca="1">Y$60*((GREET1_Import_Export!$F$179*GREET1_Import_Export!$B185+GREET1_Import_Export!$F185))+Y$61*((GREET1_Import_Export!$C$179*GREET1_Import_Export!$B185+GREET1_Import_Export!$C185))+Y$62*((GREET1_Import_Export!$G$179*GREET1_Import_Export!$B185+GREET1_Import_Export!$G185))+Y$63*($B249)+Y$64*(GREET1_Import_Export!$B289)+Y$65*($C249)+Y$67*GREET1_Import_Export!$B499+Y$68*GREET1_Import_Export!$C499+Y$69*SUM($B80:$C80)</f>
        <v>167.73526771186997</v>
      </c>
      <c r="Z80" s="2617"/>
      <c r="AA80" s="2622">
        <f ca="1">AA$60*((GREET1_Import_Export!$F$179*GREET1_Import_Export!$B185+GREET1_Import_Export!$F185))+AA$61*((GREET1_Import_Export!$C$179*GREET1_Import_Export!$B185+GREET1_Import_Export!$C185))+AA$62*((GREET1_Import_Export!$G$179*GREET1_Import_Export!$B185+GREET1_Import_Export!$G185))+AA$63*($B249)+AA$64*(GREET1_Import_Export!$B289)+AA$65*($C249)+AA$67*GREET1_Import_Export!$B499+AA$68*GREET1_Import_Export!$C499+AA$69*SUM($B80:$C80)</f>
        <v>123.6746805030201</v>
      </c>
      <c r="AB80" s="2623"/>
      <c r="AC80" s="2620">
        <f ca="1">AC$60*((GREET1_Import_Export!$F$179*GREET1_Import_Export!$B185+GREET1_Import_Export!$F185))+AC$61*((GREET1_Import_Export!$C$179*GREET1_Import_Export!$B185+GREET1_Import_Export!$C185))+AC$62*((GREET1_Import_Export!$G$179*GREET1_Import_Export!$B185+GREET1_Import_Export!$G185))+AC$63*($B249)+AC$64*(GREET1_Import_Export!$B289)+AC$65*($C249)+AC$67*GREET1_Import_Export!$B499+AC$68*GREET1_Import_Export!$C499+AC$69*SUM($B80:$C80)</f>
        <v>58.690100867173619</v>
      </c>
      <c r="AD80" s="2617"/>
      <c r="AE80" s="2632">
        <f>AE$60*((GREET1_Import_Export!$F$179*GREET1_Import_Export!$B185+GREET1_Import_Export!$F185))+AE$61*((GREET1_Import_Export!$C$179*GREET1_Import_Export!$B185+GREET1_Import_Export!$C185))+AE$62*((GREET1_Import_Export!$H$179*GREET1_Import_Export!$B185+GREET1_Import_Export!$H185))+AE$63*($B249)+AE$64*(GREET1_Import_Export!$B289)+AE$65*($C249)+AE$67*GREET1_Import_Export!$B499+AE$68*GREET1_Import_Export!$C499</f>
        <v>103.84772065804056</v>
      </c>
      <c r="AF80" s="2633"/>
      <c r="AG80" s="2630">
        <f>AG$60*((GREET1_Import_Export!$F$179*GREET1_Import_Export!$B185+GREET1_Import_Export!$F185))+AG$61*((GREET1_Import_Export!$C$179*GREET1_Import_Export!$B185+GREET1_Import_Export!$C185))+AG$62*((GREET1_Import_Export!$H$179*GREET1_Import_Export!$B185+GREET1_Import_Export!$H185))+AG$63*($B249)+AG$64*(GREET1_Import_Export!$B289)+AG$65*($C249)+AG$67*GREET1_Import_Export!$B499+AG$68*GREET1_Import_Export!$C499</f>
        <v>52.005776469417668</v>
      </c>
      <c r="AH80" s="2633"/>
      <c r="AI80" s="2632">
        <f>AI$60*((GREET1_Import_Export!$F$179*GREET1_Import_Export!$B185+GREET1_Import_Export!$F185))+AI$61*((GREET1_Import_Export!$C$179*GREET1_Import_Export!$B185+GREET1_Import_Export!$C185))+AI$62*((GREET1_Import_Export!$H$179*GREET1_Import_Export!$B185+GREET1_Import_Export!$H185))+AI$63*($B249)+AI$64*(GREET1_Import_Export!$B289)+AI$65*($C249)+AI$67*GREET1_Import_Export!$B499+AI$68*GREET1_Import_Export!$C499</f>
        <v>101.75139751904698</v>
      </c>
      <c r="AJ80" s="2633"/>
      <c r="AK80" s="2632">
        <f>AK$60*((GREET1_Import_Export!$F$179*GREET1_Import_Export!$B185+GREET1_Import_Export!$F185))+AK$61*((GREET1_Import_Export!$C$179*GREET1_Import_Export!$B185+GREET1_Import_Export!$C185))+AK$62*((GREET1_Import_Export!$H$179*GREET1_Import_Export!$B185+GREET1_Import_Export!$H185))+AK$63*($B249)+AK$64*(GREET1_Import_Export!$B289)+AK$65*($C249)+AK$67*GREET1_Import_Export!$B499+AK$68*GREET1_Import_Export!$C499+AK$66*$D249</f>
        <v>289.53747336058825</v>
      </c>
      <c r="AL80" s="2633"/>
      <c r="AM80" s="2632">
        <f>AM$60*((GREET1_Import_Export!$F$179*GREET1_Import_Export!$B185+GREET1_Import_Export!$F185))+AM$61*((GREET1_Import_Export!$C$179*GREET1_Import_Export!$B185+GREET1_Import_Export!$C185))+AM$62*((GREET1_Import_Export!$H$179*GREET1_Import_Export!$B185+GREET1_Import_Export!$H185))+AM$63*($B249)+AM$64*(GREET1_Import_Export!$B289)+AM$65*($C249)+AM$67*GREET1_Import_Export!$B499+AM$68*GREET1_Import_Export!$C499</f>
        <v>279.80879231783024</v>
      </c>
      <c r="AN80" s="2633"/>
      <c r="AO80" s="2632">
        <f>AO$60*((GREET1_Import_Export!$F$179*GREET1_Import_Export!$B185+GREET1_Import_Export!$F185))+AO$61*((GREET1_Import_Export!$C$179*GREET1_Import_Export!$B185+GREET1_Import_Export!$C185))+AO$62*((GREET1_Import_Export!$H$179*GREET1_Import_Export!$B185+GREET1_Import_Export!$H185))+AO$63*($B249)+AO$64*(GREET1_Import_Export!$B289)+AO$65*($C249)+AO$67*GREET1_Import_Export!$B499+AO$68*GREET1_Import_Export!$C499</f>
        <v>108.03862359567765</v>
      </c>
      <c r="AP80" s="2633"/>
      <c r="AQ80" s="2632">
        <f>AQ$60*((GREET1_Import_Export!$F$179*GREET1_Import_Export!$B185+GREET1_Import_Export!$F185))+AQ$61*((GREET1_Import_Export!$C$179*GREET1_Import_Export!$B185+GREET1_Import_Export!$C185))+AQ$62*((GREET1_Import_Export!$H$179*GREET1_Import_Export!$B185+GREET1_Import_Export!$H185))+AQ$63*($B249)+AQ$64*(GREET1_Import_Export!$B289)+AQ$65*($C249)+AQ$67*GREET1_Import_Export!$B499+AQ$68*GREET1_Import_Export!$C499+AQ$66*$D249</f>
        <v>362.01662968265299</v>
      </c>
      <c r="AR80" s="2633"/>
      <c r="AS80" s="2632">
        <f>AS$60*((GREET1_Import_Export!$F$179*GREET1_Import_Export!$B185+GREET1_Import_Export!$F185))+AS$61*((GREET1_Import_Export!$C$179*GREET1_Import_Export!$B185+GREET1_Import_Export!$C185))+AS$62*((GREET1_Import_Export!$H$179*GREET1_Import_Export!$B185+GREET1_Import_Export!$H185))+AS$63*($B249)+AS$64*(GREET1_Import_Export!$B289)+AS$65*($C249)+AS$67*GREET1_Import_Export!$B499+AS$68*GREET1_Import_Export!$C499</f>
        <v>279.80879231783024</v>
      </c>
      <c r="AT80" s="2633"/>
    </row>
    <row r="81" spans="1:46">
      <c r="A81" s="238" t="s">
        <v>820</v>
      </c>
      <c r="B81" s="582"/>
      <c r="C81" s="583"/>
      <c r="D81" s="582"/>
      <c r="E81" s="649"/>
      <c r="F81" s="583"/>
      <c r="G81" s="582"/>
      <c r="H81" s="583"/>
      <c r="I81" s="582"/>
      <c r="J81" s="583"/>
      <c r="K81" s="582"/>
      <c r="L81" s="583"/>
      <c r="M81" s="582"/>
      <c r="N81" s="583"/>
      <c r="O81" s="582"/>
      <c r="P81" s="583"/>
      <c r="Q81" s="582"/>
      <c r="R81" s="583"/>
      <c r="S81" s="649"/>
      <c r="T81" s="649"/>
      <c r="U81" s="582"/>
      <c r="V81" s="583"/>
      <c r="W81" s="649"/>
      <c r="X81" s="649"/>
      <c r="Y81" s="582"/>
      <c r="Z81" s="583"/>
      <c r="AA81" s="649"/>
      <c r="AB81" s="583"/>
      <c r="AC81" s="649"/>
      <c r="AD81" s="583"/>
      <c r="AE81" s="749"/>
      <c r="AF81" s="1013"/>
      <c r="AG81" s="523"/>
      <c r="AH81" s="1029"/>
      <c r="AI81" s="523"/>
      <c r="AJ81" s="1029"/>
      <c r="AK81" s="523"/>
      <c r="AL81" s="1029"/>
      <c r="AM81" s="523"/>
      <c r="AN81" s="1029"/>
      <c r="AO81" s="523"/>
      <c r="AP81" s="1029"/>
      <c r="AQ81" s="523"/>
      <c r="AR81" s="1029"/>
      <c r="AS81" s="523"/>
      <c r="AT81" s="1029"/>
    </row>
    <row r="82" spans="1:46">
      <c r="A82" s="160" t="s">
        <v>821</v>
      </c>
      <c r="B82" s="578">
        <f t="array" aca="1" ref="B82" ca="1">B$60*(B$28*GREET1_Import_Export!$K72+GREET1_Import_Export!$F$179*GREET1_Import_Export!$B186+GREET1_Import_Export!$F186)+B$61*(B$40*GREET1_Import_Export!$T72+B$41*GREET1_Import_Export!$B132+GREET1_Import_Export!$C$179*GREET1_Import_Export!$B186+GREET1_Import_Export!$C186)+B$62*(B$42*GREET1_Import_Export!$R72+B$43*GREET1_Import_Export!$B146+GREET1_Import_Export!$H$179*GREET1_Import_Export!$B186+GREET1_Import_Export!$H186)+B$63*(B$29*GREET1_Import_Export!$B72+B$31*GREET1_Import_Export!$B118+$B250)+B$64*(B$32*GREET1_Import_Export!$AA72+GREET1_Import_Export!$B290)+B$65*($C250)+B$67*GREET1_Import_Export!$B501+B$68*GREET1_Import_Export!$C501+B$69*SUM($B82:$C82)+MAX(B$73,0)*(MMULT('GREET2_Factors_T&amp;D'!$B15:$C15+0,B$37:B$38+0))+MAX(B$74,0)*(MMULT('GREET2_Factors_T&amp;D'!$D15:$E15+0,B$35:B$36+0))+B$70*B$33*GREET1_Import_Export!$AC72</f>
        <v>3.6875638047915467</v>
      </c>
      <c r="C82" s="478"/>
      <c r="D82" s="578">
        <f t="array" aca="1" ref="D82" ca="1">D$60*(C$28*GREET1_Import_Export!$K72+GREET1_Import_Export!$F$179*GREET1_Import_Export!$B186+GREET1_Import_Export!$F186)+D$61*(C$40*GREET1_Import_Export!$T72+C$41*GREET1_Import_Export!$B132+GREET1_Import_Export!$C$179*GREET1_Import_Export!$B186+GREET1_Import_Export!$C186)+D$62*(C$42*GREET1_Import_Export!$R72+C$43*GREET1_Import_Export!$B146+GREET1_Import_Export!$H$179*GREET1_Import_Export!$B186+GREET1_Import_Export!$H186)+D$63*(C$29*GREET1_Import_Export!$B72+C$31*GREET1_Import_Export!$B118+$B250)+D$64*(C$32*GREET1_Import_Export!$AA72+GREET1_Import_Export!$B290)+D$65*($C250)+D$67*GREET1_Import_Export!$B501+D$68*GREET1_Import_Export!$C501+D$69*SUM($B82:$C82)+MAX(D$73,0)*(MMULT('GREET2_Factors_T&amp;D'!$B15:$C15+0,C$37:C$38+0))+MAX(D$74,0)*(MMULT('GREET2_Factors_T&amp;D'!$D15:$E15+0,C$35:C$36+0))+D$70*C$33*GREET1_Import_Export!$AC72</f>
        <v>123.19500273296588</v>
      </c>
      <c r="E82" s="1126">
        <v>1472.3507</v>
      </c>
      <c r="F82" s="478">
        <f>F$70*(GREET1_Import_Export!$B186*GREET1_Import_Export!$I$179+GREET1_Import_Export!$I186)+(F$71+F$72)*(GREET1_Import_Export!$B186*GREET1_Import_Export!$F$179+GREET1_Import_Export!$F186)</f>
        <v>-5.7938361844980335</v>
      </c>
      <c r="G82" s="578">
        <f t="array" aca="1" ref="G82" ca="1">G$60*(D$28*GREET1_Import_Export!$K72+GREET1_Import_Export!$F$179*GREET1_Import_Export!$B186+GREET1_Import_Export!$F186)+G$61*(D$40*GREET1_Import_Export!$T72+D$41*GREET1_Import_Export!$B132+GREET1_Import_Export!$C$179*GREET1_Import_Export!$B186+GREET1_Import_Export!$C186)+G$62*(D$42*GREET1_Import_Export!$R72+D$43*GREET1_Import_Export!$B146+GREET1_Import_Export!$H$179*GREET1_Import_Export!$B186+GREET1_Import_Export!$H186)+G$63*(D$29*GREET1_Import_Export!$B72+D$31*GREET1_Import_Export!$B118+$B250)+G$64*(D$32*GREET1_Import_Export!$AA72+GREET1_Import_Export!$B290)+G$65*($C250)+G$67*GREET1_Import_Export!$B501+G$68*GREET1_Import_Export!$C501+G$69*SUM($B82:$C82)+MAX(G$73,0)*(MMULT('GREET2_Factors_T&amp;D'!$B15:$C15+0,D$37:D$38+0))+MAX(G$74,0)*(MMULT('GREET2_Factors_T&amp;D'!$D15:$E15+0,D$35:D$36+0))+G$70*D$33*GREET1_Import_Export!$AC72</f>
        <v>2.6790825993890293</v>
      </c>
      <c r="H82" s="1547">
        <v>47.2226</v>
      </c>
      <c r="I82" s="578">
        <f t="array" aca="1" ref="I82" ca="1">I$60*(E$28*GREET1_Import_Export!$K72+GREET1_Import_Export!$F$179*GREET1_Import_Export!$B186+GREET1_Import_Export!$F186)+I$61*(E$40*GREET1_Import_Export!$T72+E$41*GREET1_Import_Export!$B132+GREET1_Import_Export!$C$179*GREET1_Import_Export!$B186+GREET1_Import_Export!$C186)+I$62*(E$42*GREET1_Import_Export!$R72+E$43*GREET1_Import_Export!$B146+GREET1_Import_Export!$H$179*GREET1_Import_Export!$B186+GREET1_Import_Export!$H186)+I$63*(E$29*GREET1_Import_Export!$B72+E$31*GREET1_Import_Export!$B118+$B250)+I$64*(E$32*GREET1_Import_Export!$AA72+GREET1_Import_Export!$B290)+I$65*($C250)+I$67*GREET1_Import_Export!$B501+I$68*GREET1_Import_Export!$C501+I$69*SUM($B82:$C82)+MAX(I$73,0)*(MMULT('GREET2_Factors_T&amp;D'!$B15:$C15+0,E$37:E$38+0))+MAX(I$74,0)*(MMULT('GREET2_Factors_T&amp;D'!$D15:$E15+0,E$35:E$36+0))+I$70*E$33*GREET1_Import_Export!$AC72</f>
        <v>37.965128549981621</v>
      </c>
      <c r="J82" s="1547">
        <v>1137.4096999999999</v>
      </c>
      <c r="K82" s="578">
        <f t="array" aca="1" ref="K82" ca="1">K$60*(F$28*GREET1_Import_Export!$K72+GREET1_Import_Export!$F$179*GREET1_Import_Export!$B186+GREET1_Import_Export!$F186)+K$61*(F$40*GREET1_Import_Export!$T72+F$41*GREET1_Import_Export!$B132+GREET1_Import_Export!$C$179*GREET1_Import_Export!$B186+GREET1_Import_Export!$C186)+K$62*(F$42*GREET1_Import_Export!$R72+F$43*GREET1_Import_Export!$B146+GREET1_Import_Export!$H$179*GREET1_Import_Export!$B186+GREET1_Import_Export!$H186)+K$63*(F$29*GREET1_Import_Export!$B72+F$31*GREET1_Import_Export!$B118+$B250)+K$64*(F$32*GREET1_Import_Export!$AA72+GREET1_Import_Export!$B290)+K$65*($C250)+K$67*GREET1_Import_Export!$B501+K$68*GREET1_Import_Export!$C501+K$69*SUM($B82:$C82)+MAX(K$73,0)*(MMULT('GREET2_Factors_T&amp;D'!$B15:$C15+0,F$37:F$38+0))+MAX(K$74,0)*(MMULT('GREET2_Factors_T&amp;D'!$D15:$E15+0,F$35:F$36+0))+K$70*F$33*GREET1_Import_Export!$AC72</f>
        <v>11.500749608320229</v>
      </c>
      <c r="L82" s="1547">
        <v>0.47249999999999998</v>
      </c>
      <c r="M82" s="578">
        <f t="array" aca="1" ref="M82" ca="1">M$60*(G$28*GREET1_Import_Export!$K72+GREET1_Import_Export!$F$179*GREET1_Import_Export!$B186+GREET1_Import_Export!$F186)+M$61*(G$40*GREET1_Import_Export!$T72+G$41*GREET1_Import_Export!$B132+GREET1_Import_Export!$C$179*GREET1_Import_Export!$B186+GREET1_Import_Export!$C186)+M$62*(G$42*GREET1_Import_Export!$R72+G$43*GREET1_Import_Export!$B146+GREET1_Import_Export!$H$179*GREET1_Import_Export!$B186+GREET1_Import_Export!$H186)+M$63*(G$29*GREET1_Import_Export!$B72+G$31*GREET1_Import_Export!$B118+$B250)+M$64*(G$32*GREET1_Import_Export!$AA72+GREET1_Import_Export!$B290)+M$65*($C250)+M$67*GREET1_Import_Export!$B501+M$68*GREET1_Import_Export!$C501+M$69*SUM($B82:$C82)+MAX(M$73,0)*(MMULT('GREET2_Factors_T&amp;D'!$B15:$C15+0,G$37:G$38+0))+MAX(M$74,0)*(MMULT('GREET2_Factors_T&amp;D'!$D15:$E15+0,G$35:G$36+0))+M$70*G$33*GREET1_Import_Export!$AC72</f>
        <v>7.507403685278847</v>
      </c>
      <c r="N82" s="478"/>
      <c r="O82" s="578">
        <f t="array" aca="1" ref="O82" ca="1">O$60*(P$28*GREET1_Import_Export!$K72+GREET1_Import_Export!$F$179*GREET1_Import_Export!$B186+GREET1_Import_Export!$F186)+O$61*(GREET1_Import_Export!$T72+GREET1_Import_Export!$C$179*GREET1_Import_Export!$B186+GREET1_Import_Export!$C186)+O$62*(GREET1_Import_Export!$O72+GREET1_Import_Export!$G$179*GREET1_Import_Export!$B186+GREET1_Import_Export!$G186)+O$63*(P$29*GREET1_Import_Export!$B72+$B250)+O$64*(P$32*GREET1_Import_Export!$AA72+GREET1_Import_Export!$B290)+O$65*($C250)+O$67*GREET1_Import_Export!$B501+O$68*GREET1_Import_Export!$C501+O$69*SUM($B82:$C82)+MAX(O$73,0)*(MMULT('GREET2_Factors_T&amp;D'!$B15:$C15+0,P$37:P$38+0))+MAX(O$74,0)*(MMULT('GREET2_Factors_T&amp;D'!$D15:$E15+0,P$35:P$36+0))</f>
        <v>19.479398217768875</v>
      </c>
      <c r="P82" s="478"/>
      <c r="Q82" s="578">
        <f t="array" aca="1" ref="Q82" ca="1">Q$60*(Q$28*GREET1_Import_Export!$K72+GREET1_Import_Export!$F$179*GREET1_Import_Export!$B186+GREET1_Import_Export!$F186)+Q$61*(GREET1_Import_Export!$T72+GREET1_Import_Export!$C$179*GREET1_Import_Export!$B186+GREET1_Import_Export!$C186)+Q$62*(GREET1_Import_Export!$O72+GREET1_Import_Export!$G$179*GREET1_Import_Export!$B186+GREET1_Import_Export!$G186)+Q$63*(Q$29*GREET1_Import_Export!$B72+$B250)+Q$64*(Q$32*GREET1_Import_Export!$AA72+GREET1_Import_Export!$B290)+Q$65*($C250)+Q$67*GREET1_Import_Export!$B501+Q$68*GREET1_Import_Export!$C501+Q$69*SUM($B82:$C82)+MAX(Q$73,0)*(MMULT('GREET2_Factors_T&amp;D'!$B15:$C15+0,Q$37:Q$38+0))+MAX(Q$74,0)*(MMULT('GREET2_Factors_T&amp;D'!$D15:$E15+0,Q$35:Q$36+0))</f>
        <v>0.6193931061973591</v>
      </c>
      <c r="R82" s="478"/>
      <c r="S82" s="1553">
        <f t="array" aca="1" ref="S82" ca="1">S$60*(R$28*GREET1_Import_Export!$K72+GREET1_Import_Export!$F$179*GREET1_Import_Export!$B186+GREET1_Import_Export!$F186)+S$61*(GREET1_Import_Export!$T72+GREET1_Import_Export!$C$179*GREET1_Import_Export!$B186+GREET1_Import_Export!$C186)+S$62*(GREET1_Import_Export!$O72+GREET1_Import_Export!$G$179*GREET1_Import_Export!$B186+GREET1_Import_Export!$G186)+S$63*(R$29*GREET1_Import_Export!$B72+$B250)+S$64*(R$32*GREET1_Import_Export!$AA72+GREET1_Import_Export!$B290)+S$65*($C250)+S$67*GREET1_Import_Export!$B501+S$68*GREET1_Import_Export!$C501+S$69*SUM($B82:$C82)+MAX(S$73,0)*(MMULT('GREET2_Factors_T&amp;D'!$B15:$C15+0,R$37:R$38+0))+MAX(S$74,0)*(MMULT('GREET2_Factors_T&amp;D'!$D15:$E15+0,R$35:R$36+0))</f>
        <v>20.128838310183806</v>
      </c>
      <c r="T82" s="1553"/>
      <c r="U82" s="578">
        <f t="array" aca="1" ref="U82" ca="1">U$60*(S$28*GREET1_Import_Export!$K72+GREET1_Import_Export!$F$179*GREET1_Import_Export!$B186+GREET1_Import_Export!$F186)+U$61*(GREET1_Import_Export!$T72+GREET1_Import_Export!$C$179*GREET1_Import_Export!$B186+GREET1_Import_Export!$C186)+U$62*(GREET1_Import_Export!$O72+GREET1_Import_Export!$G$179*GREET1_Import_Export!$B186+GREET1_Import_Export!$G186)+U$63*(S$29*GREET1_Import_Export!$B72+$B250)+U$64*(S$32*GREET1_Import_Export!$AA72+GREET1_Import_Export!$B290)+U$65*($C250)+U$67*GREET1_Import_Export!$B501+U$68*GREET1_Import_Export!$C501+U$69*SUM($B82:$C82)+MAX(U$73,0)*(MMULT('GREET2_Factors_T&amp;D'!$B15:$C15+0,S$37:S$38+0))+MAX(U$74,0)*(MMULT('GREET2_Factors_T&amp;D'!$D15:$E15+0,S$35:S$36+0))</f>
        <v>11.243419463672316</v>
      </c>
      <c r="V82" s="478"/>
      <c r="W82" s="1553">
        <f t="array" aca="1" ref="W82" ca="1">W$60*(T$28*GREET1_Import_Export!$K72+GREET1_Import_Export!$F$179*GREET1_Import_Export!$B186+GREET1_Import_Export!$F186)+W$61*(GREET1_Import_Export!$T72+GREET1_Import_Export!$C$179*GREET1_Import_Export!$B186+GREET1_Import_Export!$C186)+W$62*(GREET1_Import_Export!$O72+GREET1_Import_Export!$G$179*GREET1_Import_Export!$B186+GREET1_Import_Export!$G186)+W$63*(T$29*GREET1_Import_Export!$B72+$B250)+W$64*(T$32*GREET1_Import_Export!$AA72+GREET1_Import_Export!$B290)+W$65*($C250)+W$67*GREET1_Import_Export!$B501+W$68*GREET1_Import_Export!$C501+W$69*SUM($B82:$C82)+MAX(W$73,0)*(MMULT('GREET2_Factors_T&amp;D'!$B15:$C15+0,T$37:T$38+0))+MAX(W$74,0)*(MMULT('GREET2_Factors_T&amp;D'!$D15:$E15+0,T$35:T$36+0))</f>
        <v>11.915593522352982</v>
      </c>
      <c r="X82" s="1553"/>
      <c r="Y82" s="578">
        <f t="array" aca="1" ref="Y82" ca="1">Y$60*(U$28*GREET1_Import_Export!$K72+GREET1_Import_Export!$F$179*GREET1_Import_Export!$B186+GREET1_Import_Export!$F186)+Y$61*(GREET1_Import_Export!$T72+GREET1_Import_Export!$C$179*GREET1_Import_Export!$B186+GREET1_Import_Export!$C186)+Y$62*(GREET1_Import_Export!$O72+GREET1_Import_Export!$G$179*GREET1_Import_Export!$B186+GREET1_Import_Export!$G186)+Y$63*(U$29*GREET1_Import_Export!$B72+$B250)+Y$64*(U$32*GREET1_Import_Export!$AA72+GREET1_Import_Export!$B290)+Y$65*($C250)+Y$67*GREET1_Import_Export!$B501+Y$68*GREET1_Import_Export!$C501+Y$69*SUM($B82:$C82)+MAX(Y$73,0)*(MMULT('GREET2_Factors_T&amp;D'!$B15:$C15+0,U$37:U$38+0))+MAX(Y$74,0)*(MMULT('GREET2_Factors_T&amp;D'!$D15:$E15+0,U$35:U$36+0))</f>
        <v>27.221743246511178</v>
      </c>
      <c r="Z82" s="1547">
        <v>174.51499999999999</v>
      </c>
      <c r="AA82" s="1553">
        <f t="array" aca="1" ref="AA82" ca="1">AA$60*(V$28*GREET1_Import_Export!$K72+GREET1_Import_Export!$F$179*GREET1_Import_Export!$B186+GREET1_Import_Export!$F186)+AA$61*(GREET1_Import_Export!$T72+GREET1_Import_Export!$C$179*GREET1_Import_Export!$B186+GREET1_Import_Export!$C186)+AA$62*(GREET1_Import_Export!$O72+GREET1_Import_Export!$G$179*GREET1_Import_Export!$B186+GREET1_Import_Export!$G186)+AA$63*(V$29*GREET1_Import_Export!$B72+$B250)+AA$64*(V$32*GREET1_Import_Export!$AA72+GREET1_Import_Export!$B290)+AA$65*($C250)+AA$67*GREET1_Import_Export!$B501+AA$68*GREET1_Import_Export!$C501+AA$69*SUM($B82:$C82)+MAX(AA$73,0)*(MMULT('GREET2_Factors_T&amp;D'!$B15:$C15+0,V$37:V$38+0))+MAX(AA$74,0)*(MMULT('GREET2_Factors_T&amp;D'!$D15:$E15+0,V$35:V$36+0))</f>
        <v>42.584727361009186</v>
      </c>
      <c r="AB82" s="478"/>
      <c r="AC82" s="1553">
        <f t="array" aca="1" ref="AC82" ca="1">AC$60*(W$28*GREET1_Import_Export!$K72+GREET1_Import_Export!$F$179*GREET1_Import_Export!$B186+GREET1_Import_Export!$F186)+AC$61*(GREET1_Import_Export!$T72+GREET1_Import_Export!$C$179*GREET1_Import_Export!$B186+GREET1_Import_Export!$C186)+AC$62*(GREET1_Import_Export!$O72+GREET1_Import_Export!$G$179*GREET1_Import_Export!$B186+GREET1_Import_Export!$G186)+AC$63*(W$29*GREET1_Import_Export!$B72+$B250)+AC$64*(W$32*GREET1_Import_Export!$AA72+GREET1_Import_Export!$B290)+AC$65*($C250)+AC$67*GREET1_Import_Export!$B501+AC$68*GREET1_Import_Export!$C501+AC$69*SUM($B82:$C82)+MAX(AC$73,0)*(MMULT('GREET2_Factors_T&amp;D'!$B15:$C15+0,W$37:W$38+0))+MAX(AC$74,0)*(MMULT('GREET2_Factors_T&amp;D'!$D15:$E15+0,W$35:W$36+0))</f>
        <v>7.4827090274299994</v>
      </c>
      <c r="AD82" s="478"/>
      <c r="AE82" s="749">
        <f t="array" ref="AE82">AE$60*(H$28*GREET1_Import_Export!$K72+GREET1_Import_Export!$F$179*GREET1_Import_Export!$B186+GREET1_Import_Export!$F186)+AE$61*(GREET1_Import_Export!$T72+GREET1_Import_Export!$C$179*GREET1_Import_Export!$B186+GREET1_Import_Export!$C186)+AE$62*(GREET1_Import_Export!$O72+GREET1_Import_Export!$H$179*GREET1_Import_Export!$B186+GREET1_Import_Export!$H186)+AE$63*(H$29*GREET1_Import_Export!$B72+$B250)+AE$64*(H$32*GREET1_Import_Export!$AA72+GREET1_Import_Export!$B290)+AE$65*($C250)+AE$67*GREET1_Import_Export!$B501+AE$68*GREET1_Import_Export!$C501+MAX(AE$73,0)*(MMULT('GREET2_Factors_T&amp;D'!$B15:$C15+0,H$37:H$38+0))+MAX(AE$74,0)*(MMULT('GREET2_Factors_T&amp;D'!$D15:$E15+0,H$35:H$36+0))</f>
        <v>21.38185365438401</v>
      </c>
      <c r="AF82" s="1013"/>
      <c r="AG82" s="749">
        <f t="array" ref="AG82">AG$60*(I$28*GREET1_Import_Export!$K72+GREET1_Import_Export!$F$179*GREET1_Import_Export!$B186+GREET1_Import_Export!$F186)+AG$61*(GREET1_Import_Export!$T72+GREET1_Import_Export!$C$179*GREET1_Import_Export!$B186+GREET1_Import_Export!$C186)+AG$62*(GREET1_Import_Export!$O72+GREET1_Import_Export!$H$179*GREET1_Import_Export!$B186+GREET1_Import_Export!$H186)+AG$63*(I$29*GREET1_Import_Export!$B72+$B250)+AG$64*(I$32*GREET1_Import_Export!$AA72+GREET1_Import_Export!$B290)+AG$65*($C250)+AG$67*GREET1_Import_Export!$B501+AG$68*GREET1_Import_Export!$C501+MAX(AG$73,0)*(MMULT('GREET2_Factors_T&amp;D'!$B15:$C15+0,I$37:I$38+0))+MAX(AG$74,0)*(MMULT('GREET2_Factors_T&amp;D'!$D15:$E15+0,I$35:I$36+0))</f>
        <v>33.151660743119514</v>
      </c>
      <c r="AH82" s="1013"/>
      <c r="AI82" s="749">
        <f t="array" ref="AI82">AI$60*(J$28*GREET1_Import_Export!$K72+GREET1_Import_Export!$F$179*GREET1_Import_Export!$B186+GREET1_Import_Export!$F186)+AI$61*(GREET1_Import_Export!$T72+GREET1_Import_Export!$C$179*GREET1_Import_Export!$B186+GREET1_Import_Export!$C186)+AI$62*(GREET1_Import_Export!$O72+GREET1_Import_Export!$H$179*GREET1_Import_Export!$B186+GREET1_Import_Export!$H186)+AI$63*(J$29*GREET1_Import_Export!$B72+$B250)+AI$64*(J$32*GREET1_Import_Export!$AA72+GREET1_Import_Export!$B290)+AI$65*($C250)+AI$67*GREET1_Import_Export!$B501+AI$68*GREET1_Import_Export!$C501+MAX(AI$73,0)*(MMULT('GREET2_Factors_T&amp;D'!$B15:$C15+0,J$37:J$38+0))+MAX(AI$74,0)*(MMULT('GREET2_Factors_T&amp;D'!$D15:$E15+0,J$35:J$36+0))</f>
        <v>144.80471222325301</v>
      </c>
      <c r="AJ82" s="1013"/>
      <c r="AK82" s="749">
        <f t="array" ref="AK82">AK$60*(K$28*GREET1_Import_Export!$K72+GREET1_Import_Export!$F$179*GREET1_Import_Export!$B186+GREET1_Import_Export!$F186)+AK$61*(GREET1_Import_Export!$T72+GREET1_Import_Export!$C$179*GREET1_Import_Export!$B186+GREET1_Import_Export!$C186)+AK$62*(GREET1_Import_Export!$O72+GREET1_Import_Export!$H$179*GREET1_Import_Export!$B186+GREET1_Import_Export!$H186)+AK$63*(K$29*GREET1_Import_Export!$B72+$B250)+AK$64*(K$32*GREET1_Import_Export!$AA72+GREET1_Import_Export!$B290)+AK$65*($C250)+AK$67*GREET1_Import_Export!$B501+AK$68*GREET1_Import_Export!$C501+MAX(AK$73,0)*(MMULT('GREET2_Factors_T&amp;D'!$B15:$C15+0,K$37:K$38+0))+MAX(AK$74,0)*(MMULT('GREET2_Factors_T&amp;D'!$D15:$E15+0,K$35:K$36+0))+AK$66*$D250</f>
        <v>30.663506899867837</v>
      </c>
      <c r="AL82" s="1013"/>
      <c r="AM82" s="749">
        <f t="array" ref="AM82">AM$60*(L$28*GREET1_Import_Export!$K72+GREET1_Import_Export!$F$179*GREET1_Import_Export!$B186+GREET1_Import_Export!$F186)+AM$61*(GREET1_Import_Export!$T72+GREET1_Import_Export!$C$179*GREET1_Import_Export!$B186+GREET1_Import_Export!$C186)+AM$62*(GREET1_Import_Export!$O72+GREET1_Import_Export!$H$179*GREET1_Import_Export!$B186+GREET1_Import_Export!$H186)+AM$63*(L$29*GREET1_Import_Export!$B72+$B250)+AM$64*(L$32*GREET1_Import_Export!$AA72+GREET1_Import_Export!$B290)+AM$65*($C250)+AM$67*GREET1_Import_Export!$B501+AM$68*GREET1_Import_Export!$C501+MAX(AM$73,0)*(MMULT('GREET2_Factors_T&amp;D'!$B15:$C15+0,L$37:L$38+0))+MAX(AM$74,0)*(MMULT('GREET2_Factors_T&amp;D'!$D15:$E15+0,L$35:L$36+0))</f>
        <v>36.220186206591315</v>
      </c>
      <c r="AN82" s="1013"/>
      <c r="AO82" s="749">
        <f t="array" ref="AO82">AO$60*(M$28*GREET1_Import_Export!$K72+GREET1_Import_Export!$F$179*GREET1_Import_Export!$B186+GREET1_Import_Export!$F186)+AO$61*(GREET1_Import_Export!$T72+GREET1_Import_Export!$C$179*GREET1_Import_Export!$B186+GREET1_Import_Export!$C186)+AO$62*(GREET1_Import_Export!$O72+GREET1_Import_Export!$H$179*GREET1_Import_Export!$B186+GREET1_Import_Export!$H186)+AO$63*(M$29*GREET1_Import_Export!$B72+$B250)+AO$64*(M$32*GREET1_Import_Export!$AA72+GREET1_Import_Export!$B290)+AO$65*($C250)+AO$67*GREET1_Import_Export!$B501+AO$68*GREET1_Import_Export!$C501+MAX(AO$73,0)*(MMULT('GREET2_Factors_T&amp;D'!$B15:$C15+0,M$37:M$38+0))+MAX(AO$74,0)*(MMULT('GREET2_Factors_T&amp;D'!$D15:$E15+0,M$35:M$36+0))</f>
        <v>22.244744748425038</v>
      </c>
      <c r="AP82" s="1013"/>
      <c r="AQ82" s="749">
        <f t="array" ref="AQ82">AQ$60*(N$28*GREET1_Import_Export!$K72+GREET1_Import_Export!$F$179*GREET1_Import_Export!$B186+GREET1_Import_Export!$F186)+AQ$61*(GREET1_Import_Export!$T72+GREET1_Import_Export!$C$179*GREET1_Import_Export!$B186+GREET1_Import_Export!$C186)+AQ$62*(GREET1_Import_Export!$O72+GREET1_Import_Export!$H$179*GREET1_Import_Export!$B186+GREET1_Import_Export!$H186)+AQ$63*(N$29*GREET1_Import_Export!$B72+$B250)+AQ$64*(N$32*GREET1_Import_Export!$AA72+GREET1_Import_Export!$B290)+AQ$65*($C250)+AQ$67*GREET1_Import_Export!$B501+AQ$68*GREET1_Import_Export!$C501+MAX(AQ$73,0)*(MMULT('GREET2_Factors_T&amp;D'!$B15:$C15+0,N$37:N$38+0))+MAX(AQ$74,0)*(MMULT('GREET2_Factors_T&amp;D'!$D15:$E15+0,N$35:N$36+0))+AQ$66*$D250</f>
        <v>8.8066169277266262</v>
      </c>
      <c r="AR82" s="1013"/>
      <c r="AS82" s="749">
        <f t="array" ref="AS82">AS$60*(O$28*GREET1_Import_Export!$K72+GREET1_Import_Export!$F$179*GREET1_Import_Export!$B186+GREET1_Import_Export!$F186)+AS$61*(GREET1_Import_Export!$T72+GREET1_Import_Export!$C$179*GREET1_Import_Export!$B186+GREET1_Import_Export!$C186)+AS$62*(GREET1_Import_Export!$O72+GREET1_Import_Export!$H$179*GREET1_Import_Export!$B186+GREET1_Import_Export!$H186)+AS$63*(O$29*GREET1_Import_Export!$B72+$B250)+AS$64*(O$32*GREET1_Import_Export!$AA72+GREET1_Import_Export!$B290)+AS$65*($C250)+AS$67*GREET1_Import_Export!$B501+AS$68*GREET1_Import_Export!$C501+MAX(AS$73,0)*(MMULT('GREET2_Factors_T&amp;D'!$B15:$C15+0,O$37:O$38+0))+MAX(AS$74,0)*(MMULT('GREET2_Factors_T&amp;D'!$D15:$E15+0,O$35:O$36+0))</f>
        <v>36.220186206591315</v>
      </c>
      <c r="AT82" s="1013"/>
    </row>
    <row r="83" spans="1:46">
      <c r="A83" s="160" t="s">
        <v>822</v>
      </c>
      <c r="B83" s="578">
        <f t="array" aca="1" ref="B83" ca="1">B$60*(B$28*GREET1_Import_Export!$K73+GREET1_Import_Export!$F$179*GREET1_Import_Export!$B187+GREET1_Import_Export!$F187)+B$61*(B$40*GREET1_Import_Export!$T73+B$41*GREET1_Import_Export!$B133+GREET1_Import_Export!$C$179*GREET1_Import_Export!$B187+GREET1_Import_Export!$C187)+B$62*(B$42*GREET1_Import_Export!$R73+B$43*GREET1_Import_Export!$B147+GREET1_Import_Export!$H$179*GREET1_Import_Export!$B187+GREET1_Import_Export!$H187)+B$63*(B$29*GREET1_Import_Export!$B73+B$31*GREET1_Import_Export!$B119+$B251)+B$64*(B$32*GREET1_Import_Export!$AA73+GREET1_Import_Export!$B291)+B$65*($C251)+B$67*GREET1_Import_Export!$B502+B$68*GREET1_Import_Export!$C502+B$69*SUM($B83:$C83)+MAX(B$73,0)*(MMULT('GREET2_Factors_T&amp;D'!$B16:$C16+0,B$37:B$38+0))+MAX(B$74,0)*(MMULT('GREET2_Factors_T&amp;D'!$D16:$E16+0,B$35:B$36+0))+B$70*B$33*GREET1_Import_Export!$AC73</f>
        <v>14.63035395374709</v>
      </c>
      <c r="C83" s="478"/>
      <c r="D83" s="578">
        <f t="array" aca="1" ref="D83" ca="1">D$60*(C$28*GREET1_Import_Export!$K73+GREET1_Import_Export!$F$179*GREET1_Import_Export!$B187+GREET1_Import_Export!$F187)+D$61*(C$40*GREET1_Import_Export!$T73+C$41*GREET1_Import_Export!$B133+GREET1_Import_Export!$C$179*GREET1_Import_Export!$B187+GREET1_Import_Export!$C187)+D$62*(C$42*GREET1_Import_Export!$R73+C$43*GREET1_Import_Export!$B147+GREET1_Import_Export!$H$179*GREET1_Import_Export!$B187+GREET1_Import_Export!$H187)+D$63*(C$29*GREET1_Import_Export!$B73+C$31*GREET1_Import_Export!$B119+$B251)+D$64*(C$32*GREET1_Import_Export!$AA73+GREET1_Import_Export!$B291)+D$65*($C251)+D$67*GREET1_Import_Export!$B502+D$68*GREET1_Import_Export!$C502+D$69*SUM($B83:$C83)+MAX(D$73,0)*(MMULT('GREET2_Factors_T&amp;D'!$B16:$C16+0,C$37:C$38+0))+MAX(D$74,0)*(MMULT('GREET2_Factors_T&amp;D'!$D16:$E16+0,C$35:C$36+0))+D$70*C$33*GREET1_Import_Export!$AC73</f>
        <v>86.72110200717303</v>
      </c>
      <c r="E83" s="1126">
        <v>326.8802</v>
      </c>
      <c r="F83" s="478">
        <f>F$70*(GREET1_Import_Export!$B187*GREET1_Import_Export!$I$179+GREET1_Import_Export!$I187)+(F$71+F$72)*(GREET1_Import_Export!$B187*GREET1_Import_Export!$F$179+GREET1_Import_Export!$F187)</f>
        <v>-9.9323333774642872</v>
      </c>
      <c r="G83" s="578">
        <f t="array" aca="1" ref="G83" ca="1">G$60*(D$28*GREET1_Import_Export!$K73+GREET1_Import_Export!$F$179*GREET1_Import_Export!$B187+GREET1_Import_Export!$F187)+G$61*(D$40*GREET1_Import_Export!$T73+D$41*GREET1_Import_Export!$B133+GREET1_Import_Export!$C$179*GREET1_Import_Export!$B187+GREET1_Import_Export!$C187)+G$62*(D$42*GREET1_Import_Export!$R73+D$43*GREET1_Import_Export!$B147+GREET1_Import_Export!$H$179*GREET1_Import_Export!$B187+GREET1_Import_Export!$H187)+G$63*(D$29*GREET1_Import_Export!$B73+D$31*GREET1_Import_Export!$B119+$B251)+G$64*(D$32*GREET1_Import_Export!$AA73+GREET1_Import_Export!$B291)+G$65*($C251)+G$67*GREET1_Import_Export!$B502+G$68*GREET1_Import_Export!$C502+G$69*SUM($B83:$C83)+MAX(G$73,0)*(MMULT('GREET2_Factors_T&amp;D'!$B16:$C16+0,D$37:D$38+0))+MAX(G$74,0)*(MMULT('GREET2_Factors_T&amp;D'!$D16:$E16+0,D$35:D$36+0))+G$70*D$33*GREET1_Import_Export!$AC73</f>
        <v>32.352296159621524</v>
      </c>
      <c r="H83" s="1547">
        <v>3104.9686000000002</v>
      </c>
      <c r="I83" s="578">
        <f t="array" aca="1" ref="I83" ca="1">I$60*(E$28*GREET1_Import_Export!$K73+GREET1_Import_Export!$F$179*GREET1_Import_Export!$B187+GREET1_Import_Export!$F187)+I$61*(E$40*GREET1_Import_Export!$T73+E$41*GREET1_Import_Export!$B133+GREET1_Import_Export!$C$179*GREET1_Import_Export!$B187+GREET1_Import_Export!$C187)+I$62*(E$42*GREET1_Import_Export!$R73+E$43*GREET1_Import_Export!$B147+GREET1_Import_Export!$H$179*GREET1_Import_Export!$B187+GREET1_Import_Export!$H187)+I$63*(E$29*GREET1_Import_Export!$B73+E$31*GREET1_Import_Export!$B119+$B251)+I$64*(E$32*GREET1_Import_Export!$AA73+GREET1_Import_Export!$B291)+I$65*($C251)+I$67*GREET1_Import_Export!$B502+I$68*GREET1_Import_Export!$C502+I$69*SUM($B83:$C83)+MAX(I$73,0)*(MMULT('GREET2_Factors_T&amp;D'!$B16:$C16+0,E$37:E$38+0))+MAX(I$74,0)*(MMULT('GREET2_Factors_T&amp;D'!$D16:$E16+0,E$35:E$36+0))+I$70*E$33*GREET1_Import_Export!$AC73</f>
        <v>101.33947060509688</v>
      </c>
      <c r="J83" s="957">
        <v>14731.2899</v>
      </c>
      <c r="K83" s="578">
        <f t="array" aca="1" ref="K83" ca="1">K$60*(F$28*GREET1_Import_Export!$K73+GREET1_Import_Export!$F$179*GREET1_Import_Export!$B187+GREET1_Import_Export!$F187)+K$61*(F$40*GREET1_Import_Export!$T73+F$41*GREET1_Import_Export!$B133+GREET1_Import_Export!$C$179*GREET1_Import_Export!$B187+GREET1_Import_Export!$C187)+K$62*(F$42*GREET1_Import_Export!$R73+F$43*GREET1_Import_Export!$B147+GREET1_Import_Export!$H$179*GREET1_Import_Export!$B187+GREET1_Import_Export!$H187)+K$63*(F$29*GREET1_Import_Export!$B73+F$31*GREET1_Import_Export!$B119+$B251)+K$64*(F$32*GREET1_Import_Export!$AA73+GREET1_Import_Export!$B291)+K$65*($C251)+K$67*GREET1_Import_Export!$B502+K$68*GREET1_Import_Export!$C502+K$69*SUM($B83:$C83)+MAX(K$73,0)*(MMULT('GREET2_Factors_T&amp;D'!$B16:$C16+0,F$37:F$38+0))+MAX(K$74,0)*(MMULT('GREET2_Factors_T&amp;D'!$D16:$E16+0,F$35:F$36+0))+K$70*F$33*GREET1_Import_Export!$AC73</f>
        <v>48.865283489698612</v>
      </c>
      <c r="L83" s="1547">
        <v>1645.2414000000001</v>
      </c>
      <c r="M83" s="578">
        <f t="array" aca="1" ref="M83" ca="1">M$60*(G$28*GREET1_Import_Export!$K73+GREET1_Import_Export!$F$179*GREET1_Import_Export!$B187+GREET1_Import_Export!$F187)+M$61*(G$40*GREET1_Import_Export!$T73+G$41*GREET1_Import_Export!$B133+GREET1_Import_Export!$C$179*GREET1_Import_Export!$B187+GREET1_Import_Export!$C187)+M$62*(G$42*GREET1_Import_Export!$R73+G$43*GREET1_Import_Export!$B147+GREET1_Import_Export!$H$179*GREET1_Import_Export!$B187+GREET1_Import_Export!$H187)+M$63*(G$29*GREET1_Import_Export!$B73+G$31*GREET1_Import_Export!$B119+$B251)+M$64*(G$32*GREET1_Import_Export!$AA73+GREET1_Import_Export!$B291)+M$65*($C251)+M$67*GREET1_Import_Export!$B502+M$68*GREET1_Import_Export!$C502+M$69*SUM($B83:$C83)+MAX(M$73,0)*(MMULT('GREET2_Factors_T&amp;D'!$B16:$C16+0,G$37:G$38+0))+MAX(M$74,0)*(MMULT('GREET2_Factors_T&amp;D'!$D16:$E16+0,G$35:G$36+0))+M$70*G$33*GREET1_Import_Export!$AC73</f>
        <v>79.03342051138452</v>
      </c>
      <c r="N83" s="478"/>
      <c r="O83" s="578">
        <f t="array" aca="1" ref="O83" ca="1">O$60*(P$28*GREET1_Import_Export!$K73+GREET1_Import_Export!$F$179*GREET1_Import_Export!$B187+GREET1_Import_Export!$F187)+O$61*(GREET1_Import_Export!$T73+GREET1_Import_Export!$C$179*GREET1_Import_Export!$B187+GREET1_Import_Export!$C187)+O$62*(GREET1_Import_Export!$O73+GREET1_Import_Export!$G$179*GREET1_Import_Export!$B187+GREET1_Import_Export!$G187)+O$63*(P$29*GREET1_Import_Export!$B73+$B251)+O$64*(P$32*GREET1_Import_Export!$AA73+GREET1_Import_Export!$B291)+O$65*($C251)+O$67*GREET1_Import_Export!$B502+O$68*GREET1_Import_Export!$C502+O$69*SUM($B83:$C83)+MAX(O$73,0)*(MMULT('GREET2_Factors_T&amp;D'!$B16:$C16+0,P$37:P$38+0))+MAX(O$74,0)*(MMULT('GREET2_Factors_T&amp;D'!$D16:$E16+0,P$35:P$36+0))</f>
        <v>81.248870862920853</v>
      </c>
      <c r="P83" s="478"/>
      <c r="Q83" s="578">
        <f t="array" aca="1" ref="Q83" ca="1">Q$60*(Q$28*GREET1_Import_Export!$K73+GREET1_Import_Export!$F$179*GREET1_Import_Export!$B187+GREET1_Import_Export!$F187)+Q$61*(GREET1_Import_Export!$T73+GREET1_Import_Export!$C$179*GREET1_Import_Export!$B187+GREET1_Import_Export!$C187)+Q$62*(GREET1_Import_Export!$O73+GREET1_Import_Export!$G$179*GREET1_Import_Export!$B187+GREET1_Import_Export!$G187)+Q$63*(Q$29*GREET1_Import_Export!$B73+$B251)+Q$64*(Q$32*GREET1_Import_Export!$AA73+GREET1_Import_Export!$B291)+Q$65*($C251)+Q$67*GREET1_Import_Export!$B502+Q$68*GREET1_Import_Export!$C502+Q$69*SUM($B83:$C83)+MAX(Q$73,0)*(MMULT('GREET2_Factors_T&amp;D'!$B16:$C16+0,Q$37:Q$38+0))+MAX(Q$74,0)*(MMULT('GREET2_Factors_T&amp;D'!$D16:$E16+0,Q$35:Q$36+0))</f>
        <v>2.0842768469067288</v>
      </c>
      <c r="R83" s="478"/>
      <c r="S83" s="1553">
        <f t="array" aca="1" ref="S83" ca="1">S$60*(R$28*GREET1_Import_Export!$K73+GREET1_Import_Export!$F$179*GREET1_Import_Export!$B187+GREET1_Import_Export!$F187)+S$61*(GREET1_Import_Export!$T73+GREET1_Import_Export!$C$179*GREET1_Import_Export!$B187+GREET1_Import_Export!$C187)+S$62*(GREET1_Import_Export!$O73+GREET1_Import_Export!$G$179*GREET1_Import_Export!$B187+GREET1_Import_Export!$G187)+S$63*(R$29*GREET1_Import_Export!$B73+$B251)+S$64*(R$32*GREET1_Import_Export!$AA73+GREET1_Import_Export!$B291)+S$65*($C251)+S$67*GREET1_Import_Export!$B502+S$68*GREET1_Import_Export!$C502+S$69*SUM($B83:$C83)+MAX(S$73,0)*(MMULT('GREET2_Factors_T&amp;D'!$B16:$C16+0,R$37:R$38+0))+MAX(S$74,0)*(MMULT('GREET2_Factors_T&amp;D'!$D16:$E16+0,R$35:R$36+0))</f>
        <v>61.865122784323681</v>
      </c>
      <c r="T83" s="1553"/>
      <c r="U83" s="578">
        <f t="array" aca="1" ref="U83" ca="1">U$60*(S$28*GREET1_Import_Export!$K73+GREET1_Import_Export!$F$179*GREET1_Import_Export!$B187+GREET1_Import_Export!$F187)+U$61*(GREET1_Import_Export!$T73+GREET1_Import_Export!$C$179*GREET1_Import_Export!$B187+GREET1_Import_Export!$C187)+U$62*(GREET1_Import_Export!$O73+GREET1_Import_Export!$G$179*GREET1_Import_Export!$B187+GREET1_Import_Export!$G187)+U$63*(S$29*GREET1_Import_Export!$B73+$B251)+U$64*(S$32*GREET1_Import_Export!$AA73+GREET1_Import_Export!$B291)+U$65*($C251)+U$67*GREET1_Import_Export!$B502+U$68*GREET1_Import_Export!$C502+U$69*SUM($B83:$C83)+MAX(U$73,0)*(MMULT('GREET2_Factors_T&amp;D'!$B16:$C16+0,S$37:S$38+0))+MAX(U$74,0)*(MMULT('GREET2_Factors_T&amp;D'!$D16:$E16+0,S$35:S$36+0))</f>
        <v>46.75416417973711</v>
      </c>
      <c r="V83" s="478"/>
      <c r="W83" s="1553">
        <f t="array" aca="1" ref="W83" ca="1">W$60*(T$28*GREET1_Import_Export!$K73+GREET1_Import_Export!$F$179*GREET1_Import_Export!$B187+GREET1_Import_Export!$F187)+W$61*(GREET1_Import_Export!$T73+GREET1_Import_Export!$C$179*GREET1_Import_Export!$B187+GREET1_Import_Export!$C187)+W$62*(GREET1_Import_Export!$O73+GREET1_Import_Export!$G$179*GREET1_Import_Export!$B187+GREET1_Import_Export!$G187)+W$63*(T$29*GREET1_Import_Export!$B73+$B251)+W$64*(T$32*GREET1_Import_Export!$AA73+GREET1_Import_Export!$B291)+W$65*($C251)+W$67*GREET1_Import_Export!$B502+W$68*GREET1_Import_Export!$C502+W$69*SUM($B83:$C83)+MAX(W$73,0)*(MMULT('GREET2_Factors_T&amp;D'!$B16:$C16+0,T$37:T$38+0))+MAX(W$74,0)*(MMULT('GREET2_Factors_T&amp;D'!$D16:$E16+0,T$35:T$36+0))</f>
        <v>32.207721927340401</v>
      </c>
      <c r="X83" s="1553"/>
      <c r="Y83" s="578">
        <f t="array" aca="1" ref="Y83" ca="1">Y$60*(U$28*GREET1_Import_Export!$K73+GREET1_Import_Export!$F$179*GREET1_Import_Export!$B187+GREET1_Import_Export!$F187)+Y$61*(GREET1_Import_Export!$T73+GREET1_Import_Export!$C$179*GREET1_Import_Export!$B187+GREET1_Import_Export!$C187)+Y$62*(GREET1_Import_Export!$O73+GREET1_Import_Export!$G$179*GREET1_Import_Export!$B187+GREET1_Import_Export!$G187)+Y$63*(U$29*GREET1_Import_Export!$B73+$B251)+Y$64*(U$32*GREET1_Import_Export!$AA73+GREET1_Import_Export!$B291)+Y$65*($C251)+Y$67*GREET1_Import_Export!$B502+Y$68*GREET1_Import_Export!$C502+Y$69*SUM($B83:$C83)+MAX(Y$73,0)*(MMULT('GREET2_Factors_T&amp;D'!$B16:$C16+0,U$37:U$38+0))+MAX(Y$74,0)*(MMULT('GREET2_Factors_T&amp;D'!$D16:$E16+0,U$35:U$36+0))</f>
        <v>82.39747746762869</v>
      </c>
      <c r="Z83" s="1547">
        <v>3009.5250000000001</v>
      </c>
      <c r="AA83" s="1553">
        <f t="array" aca="1" ref="AA83" ca="1">AA$60*(V$28*GREET1_Import_Export!$K73+GREET1_Import_Export!$F$179*GREET1_Import_Export!$B187+GREET1_Import_Export!$F187)+AA$61*(GREET1_Import_Export!$T73+GREET1_Import_Export!$C$179*GREET1_Import_Export!$B187+GREET1_Import_Export!$C187)+AA$62*(GREET1_Import_Export!$O73+GREET1_Import_Export!$G$179*GREET1_Import_Export!$B187+GREET1_Import_Export!$G187)+AA$63*(V$29*GREET1_Import_Export!$B73+$B251)+AA$64*(V$32*GREET1_Import_Export!$AA73+GREET1_Import_Export!$B291)+AA$65*($C251)+AA$67*GREET1_Import_Export!$B502+AA$68*GREET1_Import_Export!$C502+AA$69*SUM($B83:$C83)+MAX(AA$73,0)*(MMULT('GREET2_Factors_T&amp;D'!$B16:$C16+0,V$37:V$38+0))+MAX(AA$74,0)*(MMULT('GREET2_Factors_T&amp;D'!$D16:$E16+0,V$35:V$36+0))</f>
        <v>155.6205257082112</v>
      </c>
      <c r="AB83" s="478"/>
      <c r="AC83" s="1553">
        <f t="array" aca="1" ref="AC83" ca="1">AC$60*(W$28*GREET1_Import_Export!$K73+GREET1_Import_Export!$F$179*GREET1_Import_Export!$B187+GREET1_Import_Export!$F187)+AC$61*(GREET1_Import_Export!$T73+GREET1_Import_Export!$C$179*GREET1_Import_Export!$B187+GREET1_Import_Export!$C187)+AC$62*(GREET1_Import_Export!$O73+GREET1_Import_Export!$G$179*GREET1_Import_Export!$B187+GREET1_Import_Export!$G187)+AC$63*(W$29*GREET1_Import_Export!$B73+$B251)+AC$64*(W$32*GREET1_Import_Export!$AA73+GREET1_Import_Export!$B291)+AC$65*($C251)+AC$67*GREET1_Import_Export!$B502+AC$68*GREET1_Import_Export!$C502+AC$69*SUM($B83:$C83)+MAX(AC$73,0)*(MMULT('GREET2_Factors_T&amp;D'!$B16:$C16+0,W$37:W$38+0))+MAX(AC$74,0)*(MMULT('GREET2_Factors_T&amp;D'!$D16:$E16+0,W$35:W$36+0))</f>
        <v>20.225682519847698</v>
      </c>
      <c r="AD83" s="478"/>
      <c r="AE83" s="749">
        <f t="array" ref="AE83">AE$60*(H$28*GREET1_Import_Export!$K73+GREET1_Import_Export!$F$179*GREET1_Import_Export!$B187+GREET1_Import_Export!$F187)+AE$61*(GREET1_Import_Export!$T73+GREET1_Import_Export!$C$179*GREET1_Import_Export!$B187+GREET1_Import_Export!$C187)+AE$62*(GREET1_Import_Export!$O73+GREET1_Import_Export!$H$179*GREET1_Import_Export!$B187+GREET1_Import_Export!$H187)+AE$63*(H$29*GREET1_Import_Export!$B73+$B251)+AE$64*(H$32*GREET1_Import_Export!$AA73+GREET1_Import_Export!$B291)+AE$65*($C251)+AE$67*GREET1_Import_Export!$B502+AE$68*GREET1_Import_Export!$C502+MAX(AE$73,0)*(MMULT('GREET2_Factors_T&amp;D'!$B16:$C16+0,H$37:H$38+0))+MAX(AE$74,0)*(MMULT('GREET2_Factors_T&amp;D'!$D16:$E16+0,H$35:H$36+0))</f>
        <v>688.94741785225312</v>
      </c>
      <c r="AF83" s="1013"/>
      <c r="AG83" s="749">
        <f t="array" ref="AG83">AG$60*(I$28*GREET1_Import_Export!$K73+GREET1_Import_Export!$F$179*GREET1_Import_Export!$B187+GREET1_Import_Export!$F187)+AG$61*(GREET1_Import_Export!$T73+GREET1_Import_Export!$C$179*GREET1_Import_Export!$B187+GREET1_Import_Export!$C187)+AG$62*(GREET1_Import_Export!$O73+GREET1_Import_Export!$H$179*GREET1_Import_Export!$B187+GREET1_Import_Export!$H187)+AG$63*(I$29*GREET1_Import_Export!$B73+$B251)+AG$64*(I$32*GREET1_Import_Export!$AA73+GREET1_Import_Export!$B291)+AG$65*($C251)+AG$67*GREET1_Import_Export!$B502+AG$68*GREET1_Import_Export!$C502+MAX(AG$73,0)*(MMULT('GREET2_Factors_T&amp;D'!$B16:$C16+0,I$37:I$38+0))+MAX(AG$74,0)*(MMULT('GREET2_Factors_T&amp;D'!$D16:$E16+0,I$35:I$36+0))</f>
        <v>129.67642581944753</v>
      </c>
      <c r="AH83" s="1013"/>
      <c r="AI83" s="749">
        <f t="array" ref="AI83">AI$60*(J$28*GREET1_Import_Export!$K73+GREET1_Import_Export!$F$179*GREET1_Import_Export!$B187+GREET1_Import_Export!$F187)+AI$61*(GREET1_Import_Export!$T73+GREET1_Import_Export!$C$179*GREET1_Import_Export!$B187+GREET1_Import_Export!$C187)+AI$62*(GREET1_Import_Export!$O73+GREET1_Import_Export!$H$179*GREET1_Import_Export!$B187+GREET1_Import_Export!$H187)+AI$63*(J$29*GREET1_Import_Export!$B73+$B251)+AI$64*(J$32*GREET1_Import_Export!$AA73+GREET1_Import_Export!$B291)+AI$65*($C251)+AI$67*GREET1_Import_Export!$B502+AI$68*GREET1_Import_Export!$C502+MAX(AI$73,0)*(MMULT('GREET2_Factors_T&amp;D'!$B16:$C16+0,J$37:J$38+0))+MAX(AI$74,0)*(MMULT('GREET2_Factors_T&amp;D'!$D16:$E16+0,J$35:J$36+0))</f>
        <v>590.5755002863508</v>
      </c>
      <c r="AJ83" s="1013"/>
      <c r="AK83" s="749">
        <f t="array" ref="AK83">AK$60*(K$28*GREET1_Import_Export!$K73+GREET1_Import_Export!$F$179*GREET1_Import_Export!$B187+GREET1_Import_Export!$F187)+AK$61*(GREET1_Import_Export!$T73+GREET1_Import_Export!$C$179*GREET1_Import_Export!$B187+GREET1_Import_Export!$C187)+AK$62*(GREET1_Import_Export!$O73+GREET1_Import_Export!$H$179*GREET1_Import_Export!$B187+GREET1_Import_Export!$H187)+AK$63*(K$29*GREET1_Import_Export!$B73+$B251)+AK$64*(K$32*GREET1_Import_Export!$AA73+GREET1_Import_Export!$B291)+AK$65*($C251)+AK$67*GREET1_Import_Export!$B502+AK$68*GREET1_Import_Export!$C502+MAX(AK$73,0)*(MMULT('GREET2_Factors_T&amp;D'!$B16:$C16+0,K$37:K$38+0))+MAX(AK$74,0)*(MMULT('GREET2_Factors_T&amp;D'!$D16:$E16+0,K$35:K$36+0))+AK$66*$D251</f>
        <v>114.89265931891244</v>
      </c>
      <c r="AL83" s="1013"/>
      <c r="AM83" s="749">
        <f t="array" ref="AM83">AM$60*(L$28*GREET1_Import_Export!$K73+GREET1_Import_Export!$F$179*GREET1_Import_Export!$B187+GREET1_Import_Export!$F187)+AM$61*(GREET1_Import_Export!$T73+GREET1_Import_Export!$C$179*GREET1_Import_Export!$B187+GREET1_Import_Export!$C187)+AM$62*(GREET1_Import_Export!$O73+GREET1_Import_Export!$H$179*GREET1_Import_Export!$B187+GREET1_Import_Export!$H187)+AM$63*(L$29*GREET1_Import_Export!$B73+$B251)+AM$64*(L$32*GREET1_Import_Export!$AA73+GREET1_Import_Export!$B291)+AM$65*($C251)+AM$67*GREET1_Import_Export!$B502+AM$68*GREET1_Import_Export!$C502+MAX(AM$73,0)*(MMULT('GREET2_Factors_T&amp;D'!$B16:$C16+0,L$37:L$38+0))+MAX(AM$74,0)*(MMULT('GREET2_Factors_T&amp;D'!$D16:$E16+0,L$35:L$36+0))</f>
        <v>101.94457954483831</v>
      </c>
      <c r="AN83" s="1013"/>
      <c r="AO83" s="749">
        <f t="array" ref="AO83">AO$60*(M$28*GREET1_Import_Export!$K73+GREET1_Import_Export!$F$179*GREET1_Import_Export!$B187+GREET1_Import_Export!$F187)+AO$61*(GREET1_Import_Export!$T73+GREET1_Import_Export!$C$179*GREET1_Import_Export!$B187+GREET1_Import_Export!$C187)+AO$62*(GREET1_Import_Export!$O73+GREET1_Import_Export!$H$179*GREET1_Import_Export!$B187+GREET1_Import_Export!$H187)+AO$63*(M$29*GREET1_Import_Export!$B73+$B251)+AO$64*(M$32*GREET1_Import_Export!$AA73+GREET1_Import_Export!$B291)+AO$65*($C251)+AO$67*GREET1_Import_Export!$B502+AO$68*GREET1_Import_Export!$C502+MAX(AO$73,0)*(MMULT('GREET2_Factors_T&amp;D'!$B16:$C16+0,M$37:M$38+0))+MAX(AO$74,0)*(MMULT('GREET2_Factors_T&amp;D'!$D16:$E16+0,M$35:M$36+0))</f>
        <v>716.75074120936449</v>
      </c>
      <c r="AP83" s="1013"/>
      <c r="AQ83" s="749">
        <f t="array" ref="AQ83">AQ$60*(N$28*GREET1_Import_Export!$K73+GREET1_Import_Export!$F$179*GREET1_Import_Export!$B187+GREET1_Import_Export!$F187)+AQ$61*(GREET1_Import_Export!$T73+GREET1_Import_Export!$C$179*GREET1_Import_Export!$B187+GREET1_Import_Export!$C187)+AQ$62*(GREET1_Import_Export!$O73+GREET1_Import_Export!$H$179*GREET1_Import_Export!$B187+GREET1_Import_Export!$H187)+AQ$63*(N$29*GREET1_Import_Export!$B73+$B251)+AQ$64*(N$32*GREET1_Import_Export!$AA73+GREET1_Import_Export!$B291)+AQ$65*($C251)+AQ$67*GREET1_Import_Export!$B502+AQ$68*GREET1_Import_Export!$C502+MAX(AQ$73,0)*(MMULT('GREET2_Factors_T&amp;D'!$B16:$C16+0,N$37:N$38+0))+MAX(AQ$74,0)*(MMULT('GREET2_Factors_T&amp;D'!$D16:$E16+0,N$35:N$36+0))+AQ$66*$D251</f>
        <v>23.804191423342306</v>
      </c>
      <c r="AR83" s="1013"/>
      <c r="AS83" s="749">
        <f t="array" ref="AS83">AS$60*(O$28*GREET1_Import_Export!$K73+GREET1_Import_Export!$F$179*GREET1_Import_Export!$B187+GREET1_Import_Export!$F187)+AS$61*(GREET1_Import_Export!$T73+GREET1_Import_Export!$C$179*GREET1_Import_Export!$B187+GREET1_Import_Export!$C187)+AS$62*(GREET1_Import_Export!$O73+GREET1_Import_Export!$H$179*GREET1_Import_Export!$B187+GREET1_Import_Export!$H187)+AS$63*(O$29*GREET1_Import_Export!$B73+$B251)+AS$64*(O$32*GREET1_Import_Export!$AA73+GREET1_Import_Export!$B291)+AS$65*($C251)+AS$67*GREET1_Import_Export!$B502+AS$68*GREET1_Import_Export!$C502+MAX(AS$73,0)*(MMULT('GREET2_Factors_T&amp;D'!$B16:$C16+0,O$37:O$38+0))+MAX(AS$74,0)*(MMULT('GREET2_Factors_T&amp;D'!$D16:$E16+0,O$35:O$36+0))</f>
        <v>101.94457954483831</v>
      </c>
      <c r="AT83" s="1013"/>
    </row>
    <row r="84" spans="1:46">
      <c r="A84" s="160" t="s">
        <v>823</v>
      </c>
      <c r="B84" s="578">
        <f t="array" aca="1" ref="B84" ca="1">B$60*(B$28*GREET1_Import_Export!$K74+GREET1_Import_Export!$F$179*GREET1_Import_Export!$B188+GREET1_Import_Export!$F188)+B$61*(B$40*GREET1_Import_Export!$T74+B$41*GREET1_Import_Export!$B134+GREET1_Import_Export!$C$179*GREET1_Import_Export!$B188+GREET1_Import_Export!$C188)+B$62*(B$42*GREET1_Import_Export!$R74+B$43*GREET1_Import_Export!$B148+GREET1_Import_Export!$H$179*GREET1_Import_Export!$B188+GREET1_Import_Export!$H188)+B$63*(B$29*GREET1_Import_Export!$B74+B$31*GREET1_Import_Export!$B120+$B252)+B$64*(B$32*GREET1_Import_Export!$AA74+GREET1_Import_Export!$B292)+B$65*($C252)+B$67*GREET1_Import_Export!$B503+B$68*GREET1_Import_Export!$C503+B$69*SUM($B84:$C84)+MAX(B$73,0)*(MMULT('GREET2_Factors_T&amp;D'!$B17:$C17+0,B$37:B$38+0))+MAX(B$74,0)*(MMULT('GREET2_Factors_T&amp;D'!$D17:$E17+0,B$35:B$36+0))+B$70*B$33*GREET1_Import_Export!$AC74</f>
        <v>48.62626039539505</v>
      </c>
      <c r="C84" s="478"/>
      <c r="D84" s="578">
        <f t="array" aca="1" ref="D84" ca="1">D$60*(C$28*GREET1_Import_Export!$K74+GREET1_Import_Export!$F$179*GREET1_Import_Export!$B188+GREET1_Import_Export!$F188)+D$61*(C$40*GREET1_Import_Export!$T74+C$41*GREET1_Import_Export!$B134+GREET1_Import_Export!$C$179*GREET1_Import_Export!$B188+GREET1_Import_Export!$C188)+D$62*(C$42*GREET1_Import_Export!$R74+C$43*GREET1_Import_Export!$B148+GREET1_Import_Export!$H$179*GREET1_Import_Export!$B188+GREET1_Import_Export!$H188)+D$63*(C$29*GREET1_Import_Export!$B74+C$31*GREET1_Import_Export!$B120+$B252)+D$64*(C$32*GREET1_Import_Export!$AA74+GREET1_Import_Export!$B292)+D$65*($C252)+D$67*GREET1_Import_Export!$B503+D$68*GREET1_Import_Export!$C503+D$69*SUM($B84:$C84)+MAX(D$73,0)*(MMULT('GREET2_Factors_T&amp;D'!$B17:$C17+0,C$37:C$38+0))+MAX(D$74,0)*(MMULT('GREET2_Factors_T&amp;D'!$D17:$E17+0,C$35:C$36+0))+D$70*C$33*GREET1_Import_Export!$AC74</f>
        <v>476.12267916540202</v>
      </c>
      <c r="E84" s="1126">
        <v>175.11439999999999</v>
      </c>
      <c r="F84" s="478">
        <f>F$70*(GREET1_Import_Export!$B188*GREET1_Import_Export!$I$179+GREET1_Import_Export!$I188)+(F$71+F$72)*(GREET1_Import_Export!$B188*GREET1_Import_Export!$F$179+GREET1_Import_Export!$F188)</f>
        <v>-18.302986829288567</v>
      </c>
      <c r="G84" s="578">
        <f t="array" aca="1" ref="G84" ca="1">G$60*(D$28*GREET1_Import_Export!$K74+GREET1_Import_Export!$F$179*GREET1_Import_Export!$B188+GREET1_Import_Export!$F188)+G$61*(D$40*GREET1_Import_Export!$T74+D$41*GREET1_Import_Export!$B134+GREET1_Import_Export!$C$179*GREET1_Import_Export!$B188+GREET1_Import_Export!$C188)+G$62*(D$42*GREET1_Import_Export!$R74+D$43*GREET1_Import_Export!$B148+GREET1_Import_Export!$H$179*GREET1_Import_Export!$B188+GREET1_Import_Export!$H188)+G$63*(D$29*GREET1_Import_Export!$B74+D$31*GREET1_Import_Export!$B120+$B252)+G$64*(D$32*GREET1_Import_Export!$AA74+GREET1_Import_Export!$B292)+G$65*($C252)+G$67*GREET1_Import_Export!$B503+G$68*GREET1_Import_Export!$C503+G$69*SUM($B84:$C84)+MAX(G$73,0)*(MMULT('GREET2_Factors_T&amp;D'!$B17:$C17+0,D$37:D$38+0))+MAX(G$74,0)*(MMULT('GREET2_Factors_T&amp;D'!$D17:$E17+0,D$35:D$36+0))+G$70*D$33*GREET1_Import_Export!$AC74</f>
        <v>146.18852250131405</v>
      </c>
      <c r="H84" s="1547">
        <v>17.163900000000002</v>
      </c>
      <c r="I84" s="578">
        <f t="array" aca="1" ref="I84" ca="1">I$60*(E$28*GREET1_Import_Export!$K74+GREET1_Import_Export!$F$179*GREET1_Import_Export!$B188+GREET1_Import_Export!$F188)+I$61*(E$40*GREET1_Import_Export!$T74+E$41*GREET1_Import_Export!$B134+GREET1_Import_Export!$C$179*GREET1_Import_Export!$B188+GREET1_Import_Export!$C188)+I$62*(E$42*GREET1_Import_Export!$R74+E$43*GREET1_Import_Export!$B148+GREET1_Import_Export!$H$179*GREET1_Import_Export!$B188+GREET1_Import_Export!$H188)+I$63*(E$29*GREET1_Import_Export!$B74+E$31*GREET1_Import_Export!$B120+$B252)+I$64*(E$32*GREET1_Import_Export!$AA74+GREET1_Import_Export!$B292)+I$65*($C252)+I$67*GREET1_Import_Export!$B503+I$68*GREET1_Import_Export!$C503+I$69*SUM($B84:$C84)+MAX(I$73,0)*(MMULT('GREET2_Factors_T&amp;D'!$B17:$C17+0,E$37:E$38+0))+MAX(I$74,0)*(MMULT('GREET2_Factors_T&amp;D'!$D17:$E17+0,E$35:E$36+0))+I$70*E$33*GREET1_Import_Export!$AC74</f>
        <v>323.58570009851292</v>
      </c>
      <c r="J84" s="1547">
        <v>12.2302</v>
      </c>
      <c r="K84" s="578">
        <f t="array" aca="1" ref="K84" ca="1">K$60*(F$28*GREET1_Import_Export!$K74+GREET1_Import_Export!$F$179*GREET1_Import_Export!$B188+GREET1_Import_Export!$F188)+K$61*(F$40*GREET1_Import_Export!$T74+F$41*GREET1_Import_Export!$B134+GREET1_Import_Export!$C$179*GREET1_Import_Export!$B188+GREET1_Import_Export!$C188)+K$62*(F$42*GREET1_Import_Export!$R74+F$43*GREET1_Import_Export!$B148+GREET1_Import_Export!$H$179*GREET1_Import_Export!$B188+GREET1_Import_Export!$H188)+K$63*(F$29*GREET1_Import_Export!$B74+F$31*GREET1_Import_Export!$B120+$B252)+K$64*(F$32*GREET1_Import_Export!$AA74+GREET1_Import_Export!$B292)+K$65*($C252)+K$67*GREET1_Import_Export!$B503+K$68*GREET1_Import_Export!$C503+K$69*SUM($B84:$C84)+MAX(K$73,0)*(MMULT('GREET2_Factors_T&amp;D'!$B17:$C17+0,F$37:F$38+0))+MAX(K$74,0)*(MMULT('GREET2_Factors_T&amp;D'!$D17:$E17+0,F$35:F$36+0))+K$70*F$33*GREET1_Import_Export!$AC74</f>
        <v>51.403011336314897</v>
      </c>
      <c r="L84" s="1547">
        <v>75.604900000000001</v>
      </c>
      <c r="M84" s="578">
        <f t="array" aca="1" ref="M84" ca="1">M$60*(G$28*GREET1_Import_Export!$K74+GREET1_Import_Export!$F$179*GREET1_Import_Export!$B188+GREET1_Import_Export!$F188)+M$61*(G$40*GREET1_Import_Export!$T74+G$41*GREET1_Import_Export!$B134+GREET1_Import_Export!$C$179*GREET1_Import_Export!$B188+GREET1_Import_Export!$C188)+M$62*(G$42*GREET1_Import_Export!$R74+G$43*GREET1_Import_Export!$B148+GREET1_Import_Export!$H$179*GREET1_Import_Export!$B188+GREET1_Import_Export!$H188)+M$63*(G$29*GREET1_Import_Export!$B74+G$31*GREET1_Import_Export!$B120+$B252)+M$64*(G$32*GREET1_Import_Export!$AA74+GREET1_Import_Export!$B292)+M$65*($C252)+M$67*GREET1_Import_Export!$B503+M$68*GREET1_Import_Export!$C503+M$69*SUM($B84:$C84)+MAX(M$73,0)*(MMULT('GREET2_Factors_T&amp;D'!$B17:$C17+0,G$37:G$38+0))+MAX(M$74,0)*(MMULT('GREET2_Factors_T&amp;D'!$D17:$E17+0,G$35:G$36+0))+M$70*G$33*GREET1_Import_Export!$AC74</f>
        <v>630.8851733745538</v>
      </c>
      <c r="N84" s="478"/>
      <c r="O84" s="578">
        <f t="array" aca="1" ref="O84" ca="1">O$60*(P$28*GREET1_Import_Export!$K74+GREET1_Import_Export!$F$179*GREET1_Import_Export!$B188+GREET1_Import_Export!$F188)+O$61*(GREET1_Import_Export!$T74+GREET1_Import_Export!$C$179*GREET1_Import_Export!$B188+GREET1_Import_Export!$C188)+O$62*(GREET1_Import_Export!$O74+GREET1_Import_Export!$G$179*GREET1_Import_Export!$B188+GREET1_Import_Export!$G188)+O$63*(P$29*GREET1_Import_Export!$B74+$B252)+O$64*(P$32*GREET1_Import_Export!$AA74+GREET1_Import_Export!$B292)+O$65*($C252)+O$67*GREET1_Import_Export!$B503+O$68*GREET1_Import_Export!$C503+O$69*SUM($B84:$C84)+MAX(O$73,0)*(MMULT('GREET2_Factors_T&amp;D'!$B17:$C17+0,P$37:P$38+0))+MAX(O$74,0)*(MMULT('GREET2_Factors_T&amp;D'!$D17:$E17+0,P$35:P$36+0))</f>
        <v>298.0046228759889</v>
      </c>
      <c r="P84" s="478"/>
      <c r="Q84" s="578">
        <f t="array" aca="1" ref="Q84" ca="1">Q$60*(Q$28*GREET1_Import_Export!$K74+GREET1_Import_Export!$F$179*GREET1_Import_Export!$B188+GREET1_Import_Export!$F188)+Q$61*(GREET1_Import_Export!$T74+GREET1_Import_Export!$C$179*GREET1_Import_Export!$B188+GREET1_Import_Export!$C188)+Q$62*(GREET1_Import_Export!$O74+GREET1_Import_Export!$G$179*GREET1_Import_Export!$B188+GREET1_Import_Export!$G188)+Q$63*(Q$29*GREET1_Import_Export!$B74+$B252)+Q$64*(Q$32*GREET1_Import_Export!$AA74+GREET1_Import_Export!$B292)+Q$65*($C252)+Q$67*GREET1_Import_Export!$B503+Q$68*GREET1_Import_Export!$C503+Q$69*SUM($B84:$C84)+MAX(Q$73,0)*(MMULT('GREET2_Factors_T&amp;D'!$B17:$C17+0,Q$37:Q$38+0))+MAX(Q$74,0)*(MMULT('GREET2_Factors_T&amp;D'!$D17:$E17+0,Q$35:Q$36+0))</f>
        <v>7.3840184542343845</v>
      </c>
      <c r="R84" s="478"/>
      <c r="S84" s="1553">
        <f t="array" aca="1" ref="S84" ca="1">S$60*(R$28*GREET1_Import_Export!$K74+GREET1_Import_Export!$F$179*GREET1_Import_Export!$B188+GREET1_Import_Export!$F188)+S$61*(GREET1_Import_Export!$T74+GREET1_Import_Export!$C$179*GREET1_Import_Export!$B188+GREET1_Import_Export!$C188)+S$62*(GREET1_Import_Export!$O74+GREET1_Import_Export!$G$179*GREET1_Import_Export!$B188+GREET1_Import_Export!$G188)+S$63*(R$29*GREET1_Import_Export!$B74+$B252)+S$64*(R$32*GREET1_Import_Export!$AA74+GREET1_Import_Export!$B292)+S$65*($C252)+S$67*GREET1_Import_Export!$B503+S$68*GREET1_Import_Export!$C503+S$69*SUM($B84:$C84)+MAX(S$73,0)*(MMULT('GREET2_Factors_T&amp;D'!$B17:$C17+0,R$37:R$38+0))+MAX(S$74,0)*(MMULT('GREET2_Factors_T&amp;D'!$D17:$E17+0,R$35:R$36+0))</f>
        <v>190.86909679240947</v>
      </c>
      <c r="T84" s="1553"/>
      <c r="U84" s="578">
        <f t="array" aca="1" ref="U84" ca="1">U$60*(S$28*GREET1_Import_Export!$K74+GREET1_Import_Export!$F$179*GREET1_Import_Export!$B188+GREET1_Import_Export!$F188)+U$61*(GREET1_Import_Export!$T74+GREET1_Import_Export!$C$179*GREET1_Import_Export!$B188+GREET1_Import_Export!$C188)+U$62*(GREET1_Import_Export!$O74+GREET1_Import_Export!$G$179*GREET1_Import_Export!$B188+GREET1_Import_Export!$G188)+U$63*(S$29*GREET1_Import_Export!$B74+$B252)+U$64*(S$32*GREET1_Import_Export!$AA74+GREET1_Import_Export!$B292)+U$65*($C252)+U$67*GREET1_Import_Export!$B503+U$68*GREET1_Import_Export!$C503+U$69*SUM($B84:$C84)+MAX(U$73,0)*(MMULT('GREET2_Factors_T&amp;D'!$B17:$C17+0,S$37:S$38+0))+MAX(U$74,0)*(MMULT('GREET2_Factors_T&amp;D'!$D17:$E17+0,S$35:S$36+0))</f>
        <v>243.58449756150387</v>
      </c>
      <c r="V84" s="478"/>
      <c r="W84" s="1553">
        <f t="array" aca="1" ref="W84" ca="1">W$60*(T$28*GREET1_Import_Export!$K74+GREET1_Import_Export!$F$179*GREET1_Import_Export!$B188+GREET1_Import_Export!$F188)+W$61*(GREET1_Import_Export!$T74+GREET1_Import_Export!$C$179*GREET1_Import_Export!$B188+GREET1_Import_Export!$C188)+W$62*(GREET1_Import_Export!$O74+GREET1_Import_Export!$G$179*GREET1_Import_Export!$B188+GREET1_Import_Export!$G188)+W$63*(T$29*GREET1_Import_Export!$B74+$B252)+W$64*(T$32*GREET1_Import_Export!$AA74+GREET1_Import_Export!$B292)+W$65*($C252)+W$67*GREET1_Import_Export!$B503+W$68*GREET1_Import_Export!$C503+W$69*SUM($B84:$C84)+MAX(W$73,0)*(MMULT('GREET2_Factors_T&amp;D'!$B17:$C17+0,T$37:T$38+0))+MAX(W$74,0)*(MMULT('GREET2_Factors_T&amp;D'!$D17:$E17+0,T$35:T$36+0))</f>
        <v>66.349908848759242</v>
      </c>
      <c r="X84" s="1553"/>
      <c r="Y84" s="578">
        <f t="array" aca="1" ref="Y84" ca="1">Y$60*(U$28*GREET1_Import_Export!$K74+GREET1_Import_Export!$F$179*GREET1_Import_Export!$B188+GREET1_Import_Export!$F188)+Y$61*(GREET1_Import_Export!$T74+GREET1_Import_Export!$C$179*GREET1_Import_Export!$B188+GREET1_Import_Export!$C188)+Y$62*(GREET1_Import_Export!$O74+GREET1_Import_Export!$G$179*GREET1_Import_Export!$B188+GREET1_Import_Export!$G188)+Y$63*(U$29*GREET1_Import_Export!$B74+$B252)+Y$64*(U$32*GREET1_Import_Export!$AA74+GREET1_Import_Export!$B292)+Y$65*($C252)+Y$67*GREET1_Import_Export!$B503+Y$68*GREET1_Import_Export!$C503+Y$69*SUM($B84:$C84)+MAX(Y$73,0)*(MMULT('GREET2_Factors_T&amp;D'!$B17:$C17+0,U$37:U$38+0))+MAX(Y$74,0)*(MMULT('GREET2_Factors_T&amp;D'!$D17:$E17+0,U$35:U$36+0))</f>
        <v>152.16431147669047</v>
      </c>
      <c r="Z84" s="1547">
        <v>65.352999999999994</v>
      </c>
      <c r="AA84" s="1553">
        <f t="array" aca="1" ref="AA84" ca="1">AA$60*(V$28*GREET1_Import_Export!$K74+GREET1_Import_Export!$F$179*GREET1_Import_Export!$B188+GREET1_Import_Export!$F188)+AA$61*(GREET1_Import_Export!$T74+GREET1_Import_Export!$C$179*GREET1_Import_Export!$B188+GREET1_Import_Export!$C188)+AA$62*(GREET1_Import_Export!$O74+GREET1_Import_Export!$G$179*GREET1_Import_Export!$B188+GREET1_Import_Export!$G188)+AA$63*(V$29*GREET1_Import_Export!$B74+$B252)+AA$64*(V$32*GREET1_Import_Export!$AA74+GREET1_Import_Export!$B292)+AA$65*($C252)+AA$67*GREET1_Import_Export!$B503+AA$68*GREET1_Import_Export!$C503+AA$69*SUM($B84:$C84)+MAX(AA$73,0)*(MMULT('GREET2_Factors_T&amp;D'!$B17:$C17+0,V$37:V$38+0))+MAX(AA$74,0)*(MMULT('GREET2_Factors_T&amp;D'!$D17:$E17+0,V$35:V$36+0))</f>
        <v>239.81257115435812</v>
      </c>
      <c r="AB84" s="478"/>
      <c r="AC84" s="1553">
        <f t="array" aca="1" ref="AC84" ca="1">AC$60*(W$28*GREET1_Import_Export!$K74+GREET1_Import_Export!$F$179*GREET1_Import_Export!$B188+GREET1_Import_Export!$F188)+AC$61*(GREET1_Import_Export!$T74+GREET1_Import_Export!$C$179*GREET1_Import_Export!$B188+GREET1_Import_Export!$C188)+AC$62*(GREET1_Import_Export!$O74+GREET1_Import_Export!$G$179*GREET1_Import_Export!$B188+GREET1_Import_Export!$G188)+AC$63*(W$29*GREET1_Import_Export!$B74+$B252)+AC$64*(W$32*GREET1_Import_Export!$AA74+GREET1_Import_Export!$B292)+AC$65*($C252)+AC$67*GREET1_Import_Export!$B503+AC$68*GREET1_Import_Export!$C503+AC$69*SUM($B84:$C84)+MAX(AC$73,0)*(MMULT('GREET2_Factors_T&amp;D'!$B17:$C17+0,W$37:W$38+0))+MAX(AC$74,0)*(MMULT('GREET2_Factors_T&amp;D'!$D17:$E17+0,W$35:W$36+0))</f>
        <v>41.666162997286321</v>
      </c>
      <c r="AD84" s="478"/>
      <c r="AE84" s="749">
        <f t="array" ref="AE84">AE$60*(H$28*GREET1_Import_Export!$K74+GREET1_Import_Export!$F$179*GREET1_Import_Export!$B188+GREET1_Import_Export!$F188)+AE$61*(GREET1_Import_Export!$T74+GREET1_Import_Export!$C$179*GREET1_Import_Export!$B188+GREET1_Import_Export!$C188)+AE$62*(GREET1_Import_Export!$O74+GREET1_Import_Export!$H$179*GREET1_Import_Export!$B188+GREET1_Import_Export!$H188)+AE$63*(H$29*GREET1_Import_Export!$B74+$B252)+AE$64*(H$32*GREET1_Import_Export!$AA74+GREET1_Import_Export!$B292)+AE$65*($C252)+AE$67*GREET1_Import_Export!$B503+AE$68*GREET1_Import_Export!$C503+MAX(AE$73,0)*(MMULT('GREET2_Factors_T&amp;D'!$B17:$C17+0,H$37:H$38+0))+MAX(AE$74,0)*(MMULT('GREET2_Factors_T&amp;D'!$D17:$E17+0,H$35:H$36+0))</f>
        <v>406.43727198333573</v>
      </c>
      <c r="AF84" s="1013"/>
      <c r="AG84" s="749">
        <f t="array" ref="AG84">AG$60*(I$28*GREET1_Import_Export!$K74+GREET1_Import_Export!$F$179*GREET1_Import_Export!$B188+GREET1_Import_Export!$F188)+AG$61*(GREET1_Import_Export!$T74+GREET1_Import_Export!$C$179*GREET1_Import_Export!$B188+GREET1_Import_Export!$C188)+AG$62*(GREET1_Import_Export!$O74+GREET1_Import_Export!$H$179*GREET1_Import_Export!$B188+GREET1_Import_Export!$H188)+AG$63*(I$29*GREET1_Import_Export!$B74+$B252)+AG$64*(I$32*GREET1_Import_Export!$AA74+GREET1_Import_Export!$B292)+AG$65*($C252)+AG$67*GREET1_Import_Export!$B503+AG$68*GREET1_Import_Export!$C503+MAX(AG$73,0)*(MMULT('GREET2_Factors_T&amp;D'!$B17:$C17+0,I$37:I$38+0))+MAX(AG$74,0)*(MMULT('GREET2_Factors_T&amp;D'!$D17:$E17+0,I$35:I$36+0))</f>
        <v>187.25656129298784</v>
      </c>
      <c r="AH84" s="1013"/>
      <c r="AI84" s="749">
        <f t="array" ref="AI84">AI$60*(J$28*GREET1_Import_Export!$K74+GREET1_Import_Export!$F$179*GREET1_Import_Export!$B188+GREET1_Import_Export!$F188)+AI$61*(GREET1_Import_Export!$T74+GREET1_Import_Export!$C$179*GREET1_Import_Export!$B188+GREET1_Import_Export!$C188)+AI$62*(GREET1_Import_Export!$O74+GREET1_Import_Export!$H$179*GREET1_Import_Export!$B188+GREET1_Import_Export!$H188)+AI$63*(J$29*GREET1_Import_Export!$B74+$B252)+AI$64*(J$32*GREET1_Import_Export!$AA74+GREET1_Import_Export!$B292)+AI$65*($C252)+AI$67*GREET1_Import_Export!$B503+AI$68*GREET1_Import_Export!$C503+MAX(AI$73,0)*(MMULT('GREET2_Factors_T&amp;D'!$B17:$C17+0,J$37:J$38+0))+MAX(AI$74,0)*(MMULT('GREET2_Factors_T&amp;D'!$D17:$E17+0,J$35:J$36+0))</f>
        <v>819.52883091582748</v>
      </c>
      <c r="AJ84" s="1013"/>
      <c r="AK84" s="749">
        <f t="array" ref="AK84">AK$60*(K$28*GREET1_Import_Export!$K74+GREET1_Import_Export!$F$179*GREET1_Import_Export!$B188+GREET1_Import_Export!$F188)+AK$61*(GREET1_Import_Export!$T74+GREET1_Import_Export!$C$179*GREET1_Import_Export!$B188+GREET1_Import_Export!$C188)+AK$62*(GREET1_Import_Export!$O74+GREET1_Import_Export!$H$179*GREET1_Import_Export!$B188+GREET1_Import_Export!$H188)+AK$63*(K$29*GREET1_Import_Export!$B74+$B252)+AK$64*(K$32*GREET1_Import_Export!$AA74+GREET1_Import_Export!$B292)+AK$65*($C252)+AK$67*GREET1_Import_Export!$B503+AK$68*GREET1_Import_Export!$C503+MAX(AK$73,0)*(MMULT('GREET2_Factors_T&amp;D'!$B17:$C17+0,K$37:K$38+0))+MAX(AK$74,0)*(MMULT('GREET2_Factors_T&amp;D'!$D17:$E17+0,K$35:K$36+0))+AK$66*$D252</f>
        <v>172.86728056175122</v>
      </c>
      <c r="AL84" s="1013"/>
      <c r="AM84" s="749">
        <f t="array" ref="AM84">AM$60*(L$28*GREET1_Import_Export!$K74+GREET1_Import_Export!$F$179*GREET1_Import_Export!$B188+GREET1_Import_Export!$F188)+AM$61*(GREET1_Import_Export!$T74+GREET1_Import_Export!$C$179*GREET1_Import_Export!$B188+GREET1_Import_Export!$C188)+AM$62*(GREET1_Import_Export!$O74+GREET1_Import_Export!$H$179*GREET1_Import_Export!$B188+GREET1_Import_Export!$H188)+AM$63*(L$29*GREET1_Import_Export!$B74+$B252)+AM$64*(L$32*GREET1_Import_Export!$AA74+GREET1_Import_Export!$B292)+AM$65*($C252)+AM$67*GREET1_Import_Export!$B503+AM$68*GREET1_Import_Export!$C503+MAX(AM$73,0)*(MMULT('GREET2_Factors_T&amp;D'!$B17:$C17+0,L$37:L$38+0))+MAX(AM$74,0)*(MMULT('GREET2_Factors_T&amp;D'!$D17:$E17+0,L$35:L$36+0))</f>
        <v>198.43336964404475</v>
      </c>
      <c r="AN84" s="1013"/>
      <c r="AO84" s="749">
        <f t="array" ref="AO84">AO$60*(M$28*GREET1_Import_Export!$K74+GREET1_Import_Export!$F$179*GREET1_Import_Export!$B188+GREET1_Import_Export!$F188)+AO$61*(GREET1_Import_Export!$T74+GREET1_Import_Export!$C$179*GREET1_Import_Export!$B188+GREET1_Import_Export!$C188)+AO$62*(GREET1_Import_Export!$O74+GREET1_Import_Export!$H$179*GREET1_Import_Export!$B188+GREET1_Import_Export!$H188)+AO$63*(M$29*GREET1_Import_Export!$B74+$B252)+AO$64*(M$32*GREET1_Import_Export!$AA74+GREET1_Import_Export!$B292)+AO$65*($C252)+AO$67*GREET1_Import_Export!$B503+AO$68*GREET1_Import_Export!$C503+MAX(AO$73,0)*(MMULT('GREET2_Factors_T&amp;D'!$B17:$C17+0,M$37:M$38+0))+MAX(AO$74,0)*(MMULT('GREET2_Factors_T&amp;D'!$D17:$E17+0,M$35:M$36+0))</f>
        <v>422.83954972546422</v>
      </c>
      <c r="AP84" s="1013"/>
      <c r="AQ84" s="749">
        <f t="array" ref="AQ84">AQ$60*(N$28*GREET1_Import_Export!$K74+GREET1_Import_Export!$F$179*GREET1_Import_Export!$B188+GREET1_Import_Export!$F188)+AQ$61*(GREET1_Import_Export!$T74+GREET1_Import_Export!$C$179*GREET1_Import_Export!$B188+GREET1_Import_Export!$C188)+AQ$62*(GREET1_Import_Export!$O74+GREET1_Import_Export!$H$179*GREET1_Import_Export!$B188+GREET1_Import_Export!$H188)+AQ$63*(N$29*GREET1_Import_Export!$B74+$B252)+AQ$64*(N$32*GREET1_Import_Export!$AA74+GREET1_Import_Export!$B292)+AQ$65*($C252)+AQ$67*GREET1_Import_Export!$B503+AQ$68*GREET1_Import_Export!$C503+MAX(AQ$73,0)*(MMULT('GREET2_Factors_T&amp;D'!$B17:$C17+0,N$37:N$38+0))+MAX(AQ$74,0)*(MMULT('GREET2_Factors_T&amp;D'!$D17:$E17+0,N$35:N$36+0))+AQ$66*$D252</f>
        <v>49.038113739315939</v>
      </c>
      <c r="AR84" s="1013"/>
      <c r="AS84" s="749">
        <f t="array" ref="AS84">AS$60*(O$28*GREET1_Import_Export!$K74+GREET1_Import_Export!$F$179*GREET1_Import_Export!$B188+GREET1_Import_Export!$F188)+AS$61*(GREET1_Import_Export!$T74+GREET1_Import_Export!$C$179*GREET1_Import_Export!$B188+GREET1_Import_Export!$C188)+AS$62*(GREET1_Import_Export!$O74+GREET1_Import_Export!$H$179*GREET1_Import_Export!$B188+GREET1_Import_Export!$H188)+AS$63*(O$29*GREET1_Import_Export!$B74+$B252)+AS$64*(O$32*GREET1_Import_Export!$AA74+GREET1_Import_Export!$B292)+AS$65*($C252)+AS$67*GREET1_Import_Export!$B503+AS$68*GREET1_Import_Export!$C503+MAX(AS$73,0)*(MMULT('GREET2_Factors_T&amp;D'!$B17:$C17+0,O$37:O$38+0))+MAX(AS$74,0)*(MMULT('GREET2_Factors_T&amp;D'!$D17:$E17+0,O$35:O$36+0))</f>
        <v>198.43336964404475</v>
      </c>
      <c r="AT84" s="1013"/>
    </row>
    <row r="85" spans="1:46">
      <c r="A85" s="160" t="s">
        <v>824</v>
      </c>
      <c r="B85" s="578">
        <f t="array" aca="1" ref="B85" ca="1">B$60*(B$28*GREET1_Import_Export!$K75+GREET1_Import_Export!$F$179*GREET1_Import_Export!$B189+GREET1_Import_Export!$F189)+B$61*(B$40*GREET1_Import_Export!$T75+B$41*GREET1_Import_Export!$B135+GREET1_Import_Export!$C$179*GREET1_Import_Export!$B189+GREET1_Import_Export!$C189)+B$62*(B$42*GREET1_Import_Export!$R75+B$43*GREET1_Import_Export!$B149+GREET1_Import_Export!$H$179*GREET1_Import_Export!$B189+GREET1_Import_Export!$H189)+B$63*(B$29*GREET1_Import_Export!$B75+B$31*GREET1_Import_Export!$B121+$B253)+B$64*(B$32*GREET1_Import_Export!$AA75+GREET1_Import_Export!$B293)+B$65*($C253)+B$67*GREET1_Import_Export!$B504+B$68*GREET1_Import_Export!$C504+B$69*SUM($B85:$C85)+MAX(B$73,0)*(MMULT('GREET2_Factors_T&amp;D'!$B18:$C18+0,B$37:B$38+0))+MAX(B$74,0)*(MMULT('GREET2_Factors_T&amp;D'!$D18:$E18+0,B$35:B$36+0))+B$70*B$33*GREET1_Import_Export!$AC75</f>
        <v>2.0700224694917622</v>
      </c>
      <c r="C85" s="478"/>
      <c r="D85" s="578">
        <f t="array" aca="1" ref="D85" ca="1">D$60*(C$28*GREET1_Import_Export!$K75+GREET1_Import_Export!$F$179*GREET1_Import_Export!$B189+GREET1_Import_Export!$F189)+D$61*(C$40*GREET1_Import_Export!$T75+C$41*GREET1_Import_Export!$B135+GREET1_Import_Export!$C$179*GREET1_Import_Export!$B189+GREET1_Import_Export!$C189)+D$62*(C$42*GREET1_Import_Export!$R75+C$43*GREET1_Import_Export!$B149+GREET1_Import_Export!$H$179*GREET1_Import_Export!$B189+GREET1_Import_Export!$H189)+D$63*(C$29*GREET1_Import_Export!$B75+C$31*GREET1_Import_Export!$B121+$B253)+D$64*(C$32*GREET1_Import_Export!$AA75+GREET1_Import_Export!$B293)+D$65*($C253)+D$67*GREET1_Import_Export!$B504+D$68*GREET1_Import_Export!$C504+D$69*SUM($B85:$C85)+MAX(D$73,0)*(MMULT('GREET2_Factors_T&amp;D'!$B18:$C18+0,C$37:C$38+0))+MAX(D$74,0)*(MMULT('GREET2_Factors_T&amp;D'!$D18:$E18+0,C$35:C$36+0))+D$70*C$33*GREET1_Import_Export!$AC75</f>
        <v>141.23017508237857</v>
      </c>
      <c r="E85" s="1126">
        <v>660.43140000000005</v>
      </c>
      <c r="F85" s="478">
        <f>F$70*(GREET1_Import_Export!$B189*GREET1_Import_Export!$I$179+GREET1_Import_Export!$I189)+(F$71+F$72)*(GREET1_Import_Export!$B189*GREET1_Import_Export!$F$179+GREET1_Import_Export!$F189)</f>
        <v>-1.3536377778578952</v>
      </c>
      <c r="G85" s="578">
        <f t="array" aca="1" ref="G85" ca="1">G$60*(D$28*GREET1_Import_Export!$K75+GREET1_Import_Export!$F$179*GREET1_Import_Export!$B189+GREET1_Import_Export!$F189)+G$61*(D$40*GREET1_Import_Export!$T75+D$41*GREET1_Import_Export!$B135+GREET1_Import_Export!$C$179*GREET1_Import_Export!$B189+GREET1_Import_Export!$C189)+G$62*(D$42*GREET1_Import_Export!$R75+D$43*GREET1_Import_Export!$B149+GREET1_Import_Export!$H$179*GREET1_Import_Export!$B189+GREET1_Import_Export!$H189)+G$63*(D$29*GREET1_Import_Export!$B75+D$31*GREET1_Import_Export!$B121+$B253)+G$64*(D$32*GREET1_Import_Export!$AA75+GREET1_Import_Export!$B293)+G$65*($C253)+G$67*GREET1_Import_Export!$B504+G$68*GREET1_Import_Export!$C504+G$69*SUM($B85:$C85)+MAX(G$73,0)*(MMULT('GREET2_Factors_T&amp;D'!$B18:$C18+0,D$37:D$38+0))+MAX(G$74,0)*(MMULT('GREET2_Factors_T&amp;D'!$D18:$E18+0,D$35:D$36+0))+G$70*D$33*GREET1_Import_Export!$AC75</f>
        <v>4.8621558650787833</v>
      </c>
      <c r="H85" s="1547">
        <v>284.90800000000002</v>
      </c>
      <c r="I85" s="578">
        <f t="array" aca="1" ref="I85" ca="1">I$60*(E$28*GREET1_Import_Export!$K75+GREET1_Import_Export!$F$179*GREET1_Import_Export!$B189+GREET1_Import_Export!$F189)+I$61*(E$40*GREET1_Import_Export!$T75+E$41*GREET1_Import_Export!$B135+GREET1_Import_Export!$C$179*GREET1_Import_Export!$B189+GREET1_Import_Export!$C189)+I$62*(E$42*GREET1_Import_Export!$R75+E$43*GREET1_Import_Export!$B149+GREET1_Import_Export!$H$179*GREET1_Import_Export!$B189+GREET1_Import_Export!$H189)+I$63*(E$29*GREET1_Import_Export!$B75+E$31*GREET1_Import_Export!$B121+$B253)+I$64*(E$32*GREET1_Import_Export!$AA75+GREET1_Import_Export!$B293)+I$65*($C253)+I$67*GREET1_Import_Export!$B504+I$68*GREET1_Import_Export!$C504+I$69*SUM($B85:$C85)+MAX(I$73,0)*(MMULT('GREET2_Factors_T&amp;D'!$B18:$C18+0,E$37:E$38+0))+MAX(I$74,0)*(MMULT('GREET2_Factors_T&amp;D'!$D18:$E18+0,E$35:E$36+0))+I$70*E$33*GREET1_Import_Export!$AC75</f>
        <v>28.003078242370769</v>
      </c>
      <c r="J85" s="1547">
        <v>6.3930999999999996</v>
      </c>
      <c r="K85" s="578">
        <f t="array" aca="1" ref="K85" ca="1">K$60*(F$28*GREET1_Import_Export!$K75+GREET1_Import_Export!$F$179*GREET1_Import_Export!$B189+GREET1_Import_Export!$F189)+K$61*(F$40*GREET1_Import_Export!$T75+F$41*GREET1_Import_Export!$B135+GREET1_Import_Export!$C$179*GREET1_Import_Export!$B189+GREET1_Import_Export!$C189)+K$62*(F$42*GREET1_Import_Export!$R75+F$43*GREET1_Import_Export!$B149+GREET1_Import_Export!$H$179*GREET1_Import_Export!$B189+GREET1_Import_Export!$H189)+K$63*(F$29*GREET1_Import_Export!$B75+F$31*GREET1_Import_Export!$B121+$B253)+K$64*(F$32*GREET1_Import_Export!$AA75+GREET1_Import_Export!$B293)+K$65*($C253)+K$67*GREET1_Import_Export!$B504+K$68*GREET1_Import_Export!$C504+K$69*SUM($B85:$C85)+MAX(K$73,0)*(MMULT('GREET2_Factors_T&amp;D'!$B18:$C18+0,F$37:F$38+0))+MAX(K$74,0)*(MMULT('GREET2_Factors_T&amp;D'!$D18:$E18+0,F$35:F$36+0))+K$70*F$33*GREET1_Import_Export!$AC75</f>
        <v>10.620994374266289</v>
      </c>
      <c r="L85" s="1547">
        <v>218.75399999999999</v>
      </c>
      <c r="M85" s="578">
        <f t="array" aca="1" ref="M85" ca="1">M$60*(G$28*GREET1_Import_Export!$K75+GREET1_Import_Export!$F$179*GREET1_Import_Export!$B189+GREET1_Import_Export!$F189)+M$61*(G$40*GREET1_Import_Export!$T75+G$41*GREET1_Import_Export!$B135+GREET1_Import_Export!$C$179*GREET1_Import_Export!$B189+GREET1_Import_Export!$C189)+M$62*(G$42*GREET1_Import_Export!$R75+G$43*GREET1_Import_Export!$B149+GREET1_Import_Export!$H$179*GREET1_Import_Export!$B189+GREET1_Import_Export!$H189)+M$63*(G$29*GREET1_Import_Export!$B75+G$31*GREET1_Import_Export!$B121+$B253)+M$64*(G$32*GREET1_Import_Export!$AA75+GREET1_Import_Export!$B293)+M$65*($C253)+M$67*GREET1_Import_Export!$B504+M$68*GREET1_Import_Export!$C504+M$69*SUM($B85:$C85)+MAX(M$73,0)*(MMULT('GREET2_Factors_T&amp;D'!$B18:$C18+0,G$37:G$38+0))+MAX(M$74,0)*(MMULT('GREET2_Factors_T&amp;D'!$D18:$E18+0,G$35:G$36+0))+M$70*G$33*GREET1_Import_Export!$AC75</f>
        <v>12.246763084380007</v>
      </c>
      <c r="N85" s="478"/>
      <c r="O85" s="578">
        <f t="array" aca="1" ref="O85" ca="1">O$60*(P$28*GREET1_Import_Export!$K75+GREET1_Import_Export!$F$179*GREET1_Import_Export!$B189+GREET1_Import_Export!$F189)+O$61*(GREET1_Import_Export!$T75+GREET1_Import_Export!$C$179*GREET1_Import_Export!$B189+GREET1_Import_Export!$C189)+O$62*(GREET1_Import_Export!$O75+GREET1_Import_Export!$G$179*GREET1_Import_Export!$B189+GREET1_Import_Export!$G189)+O$63*(P$29*GREET1_Import_Export!$B75+$B253)+O$64*(P$32*GREET1_Import_Export!$AA75+GREET1_Import_Export!$B293)+O$65*($C253)+O$67*GREET1_Import_Export!$B504+O$68*GREET1_Import_Export!$C504+O$69*SUM($B85:$C85)+MAX(O$73,0)*(MMULT('GREET2_Factors_T&amp;D'!$B18:$C18+0,P$37:P$38+0))+MAX(O$74,0)*(MMULT('GREET2_Factors_T&amp;D'!$D18:$E18+0,P$35:P$36+0))</f>
        <v>14.418406295802065</v>
      </c>
      <c r="P85" s="478"/>
      <c r="Q85" s="578">
        <f t="array" aca="1" ref="Q85" ca="1">Q$60*(Q$28*GREET1_Import_Export!$K75+GREET1_Import_Export!$F$179*GREET1_Import_Export!$B189+GREET1_Import_Export!$F189)+Q$61*(GREET1_Import_Export!$T75+GREET1_Import_Export!$C$179*GREET1_Import_Export!$B189+GREET1_Import_Export!$C189)+Q$62*(GREET1_Import_Export!$O75+GREET1_Import_Export!$G$179*GREET1_Import_Export!$B189+GREET1_Import_Export!$G189)+Q$63*(Q$29*GREET1_Import_Export!$B75+$B253)+Q$64*(Q$32*GREET1_Import_Export!$AA75+GREET1_Import_Export!$B293)+Q$65*($C253)+Q$67*GREET1_Import_Export!$B504+Q$68*GREET1_Import_Export!$C504+Q$69*SUM($B85:$C85)+MAX(Q$73,0)*(MMULT('GREET2_Factors_T&amp;D'!$B18:$C18+0,Q$37:Q$38+0))+MAX(Q$74,0)*(MMULT('GREET2_Factors_T&amp;D'!$D18:$E18+0,Q$35:Q$36+0))</f>
        <v>0.59566913389819953</v>
      </c>
      <c r="R85" s="478"/>
      <c r="S85" s="1553">
        <f t="array" aca="1" ref="S85" ca="1">S$60*(R$28*GREET1_Import_Export!$K75+GREET1_Import_Export!$F$179*GREET1_Import_Export!$B189+GREET1_Import_Export!$F189)+S$61*(GREET1_Import_Export!$T75+GREET1_Import_Export!$C$179*GREET1_Import_Export!$B189+GREET1_Import_Export!$C189)+S$62*(GREET1_Import_Export!$O75+GREET1_Import_Export!$G$179*GREET1_Import_Export!$B189+GREET1_Import_Export!$G189)+S$63*(R$29*GREET1_Import_Export!$B75+$B253)+S$64*(R$32*GREET1_Import_Export!$AA75+GREET1_Import_Export!$B293)+S$65*($C253)+S$67*GREET1_Import_Export!$B504+S$68*GREET1_Import_Export!$C504+S$69*SUM($B85:$C85)+MAX(S$73,0)*(MMULT('GREET2_Factors_T&amp;D'!$B18:$C18+0,R$37:R$38+0))+MAX(S$74,0)*(MMULT('GREET2_Factors_T&amp;D'!$D18:$E18+0,R$35:R$36+0))</f>
        <v>18.734285419715061</v>
      </c>
      <c r="T85" s="1553"/>
      <c r="U85" s="578">
        <f t="array" aca="1" ref="U85" ca="1">U$60*(S$28*GREET1_Import_Export!$K75+GREET1_Import_Export!$F$179*GREET1_Import_Export!$B189+GREET1_Import_Export!$F189)+U$61*(GREET1_Import_Export!$T75+GREET1_Import_Export!$C$179*GREET1_Import_Export!$B189+GREET1_Import_Export!$C189)+U$62*(GREET1_Import_Export!$O75+GREET1_Import_Export!$G$179*GREET1_Import_Export!$B189+GREET1_Import_Export!$G189)+U$63*(S$29*GREET1_Import_Export!$B75+$B253)+U$64*(S$32*GREET1_Import_Export!$AA75+GREET1_Import_Export!$B293)+U$65*($C253)+U$67*GREET1_Import_Export!$B504+U$68*GREET1_Import_Export!$C504+U$69*SUM($B85:$C85)+MAX(U$73,0)*(MMULT('GREET2_Factors_T&amp;D'!$B18:$C18+0,S$37:S$38+0))+MAX(U$74,0)*(MMULT('GREET2_Factors_T&amp;D'!$D18:$E18+0,S$35:S$36+0))</f>
        <v>11.760484197439652</v>
      </c>
      <c r="V85" s="478"/>
      <c r="W85" s="1553">
        <f t="array" aca="1" ref="W85" ca="1">W$60*(T$28*GREET1_Import_Export!$K75+GREET1_Import_Export!$F$179*GREET1_Import_Export!$B189+GREET1_Import_Export!$F189)+W$61*(GREET1_Import_Export!$T75+GREET1_Import_Export!$C$179*GREET1_Import_Export!$B189+GREET1_Import_Export!$C189)+W$62*(GREET1_Import_Export!$O75+GREET1_Import_Export!$G$179*GREET1_Import_Export!$B189+GREET1_Import_Export!$G189)+W$63*(T$29*GREET1_Import_Export!$B75+$B253)+W$64*(T$32*GREET1_Import_Export!$AA75+GREET1_Import_Export!$B293)+W$65*($C253)+W$67*GREET1_Import_Export!$B504+W$68*GREET1_Import_Export!$C504+W$69*SUM($B85:$C85)+MAX(W$73,0)*(MMULT('GREET2_Factors_T&amp;D'!$B18:$C18+0,T$37:T$38+0))+MAX(W$74,0)*(MMULT('GREET2_Factors_T&amp;D'!$D18:$E18+0,T$35:T$36+0))</f>
        <v>10.621045880234169</v>
      </c>
      <c r="X85" s="1553"/>
      <c r="Y85" s="578">
        <f t="array" aca="1" ref="Y85" ca="1">Y$60*(U$28*GREET1_Import_Export!$K75+GREET1_Import_Export!$F$179*GREET1_Import_Export!$B189+GREET1_Import_Export!$F189)+Y$61*(GREET1_Import_Export!$T75+GREET1_Import_Export!$C$179*GREET1_Import_Export!$B189+GREET1_Import_Export!$C189)+Y$62*(GREET1_Import_Export!$O75+GREET1_Import_Export!$G$179*GREET1_Import_Export!$B189+GREET1_Import_Export!$G189)+Y$63*(U$29*GREET1_Import_Export!$B75+$B253)+Y$64*(U$32*GREET1_Import_Export!$AA75+GREET1_Import_Export!$B293)+Y$65*($C253)+Y$67*GREET1_Import_Export!$B504+Y$68*GREET1_Import_Export!$C504+Y$69*SUM($B85:$C85)+MAX(Y$73,0)*(MMULT('GREET2_Factors_T&amp;D'!$B18:$C18+0,U$37:U$38+0))+MAX(Y$74,0)*(MMULT('GREET2_Factors_T&amp;D'!$D18:$E18+0,U$35:U$36+0))</f>
        <v>20.740960746021599</v>
      </c>
      <c r="Z85" s="1547">
        <v>582.23900000000003</v>
      </c>
      <c r="AA85" s="1553">
        <f t="array" aca="1" ref="AA85" ca="1">AA$60*(V$28*GREET1_Import_Export!$K75+GREET1_Import_Export!$F$179*GREET1_Import_Export!$B189+GREET1_Import_Export!$F189)+AA$61*(GREET1_Import_Export!$T75+GREET1_Import_Export!$C$179*GREET1_Import_Export!$B189+GREET1_Import_Export!$C189)+AA$62*(GREET1_Import_Export!$O75+GREET1_Import_Export!$G$179*GREET1_Import_Export!$B189+GREET1_Import_Export!$G189)+AA$63*(V$29*GREET1_Import_Export!$B75+$B253)+AA$64*(V$32*GREET1_Import_Export!$AA75+GREET1_Import_Export!$B293)+AA$65*($C253)+AA$67*GREET1_Import_Export!$B504+AA$68*GREET1_Import_Export!$C504+AA$69*SUM($B85:$C85)+MAX(AA$73,0)*(MMULT('GREET2_Factors_T&amp;D'!$B18:$C18+0,V$37:V$38+0))+MAX(AA$74,0)*(MMULT('GREET2_Factors_T&amp;D'!$D18:$E18+0,V$35:V$36+0))</f>
        <v>21.769091979098981</v>
      </c>
      <c r="AB85" s="478"/>
      <c r="AC85" s="1553">
        <f t="array" aca="1" ref="AC85" ca="1">AC$60*(W$28*GREET1_Import_Export!$K75+GREET1_Import_Export!$F$179*GREET1_Import_Export!$B189+GREET1_Import_Export!$F189)+AC$61*(GREET1_Import_Export!$T75+GREET1_Import_Export!$C$179*GREET1_Import_Export!$B189+GREET1_Import_Export!$C189)+AC$62*(GREET1_Import_Export!$O75+GREET1_Import_Export!$G$179*GREET1_Import_Export!$B189+GREET1_Import_Export!$G189)+AC$63*(W$29*GREET1_Import_Export!$B75+$B253)+AC$64*(W$32*GREET1_Import_Export!$AA75+GREET1_Import_Export!$B293)+AC$65*($C253)+AC$67*GREET1_Import_Export!$B504+AC$68*GREET1_Import_Export!$C504+AC$69*SUM($B85:$C85)+MAX(AC$73,0)*(MMULT('GREET2_Factors_T&amp;D'!$B18:$C18+0,W$37:W$38+0))+MAX(AC$74,0)*(MMULT('GREET2_Factors_T&amp;D'!$D18:$E18+0,W$35:W$36+0))</f>
        <v>6.6697639307422918</v>
      </c>
      <c r="AD85" s="478"/>
      <c r="AE85" s="749">
        <f t="array" ref="AE85">AE$60*(H$28*GREET1_Import_Export!$K75+GREET1_Import_Export!$F$179*GREET1_Import_Export!$B189+GREET1_Import_Export!$F189)+AE$61*(GREET1_Import_Export!$T75+GREET1_Import_Export!$C$179*GREET1_Import_Export!$B189+GREET1_Import_Export!$C189)+AE$62*(GREET1_Import_Export!$O75+GREET1_Import_Export!$H$179*GREET1_Import_Export!$B189+GREET1_Import_Export!$H189)+AE$63*(H$29*GREET1_Import_Export!$B75+$B253)+AE$64*(H$32*GREET1_Import_Export!$AA75+GREET1_Import_Export!$B293)+AE$65*($C253)+AE$67*GREET1_Import_Export!$B504+AE$68*GREET1_Import_Export!$C504+MAX(AE$73,0)*(MMULT('GREET2_Factors_T&amp;D'!$B18:$C18+0,H$37:H$38+0))+MAX(AE$74,0)*(MMULT('GREET2_Factors_T&amp;D'!$D18:$E18+0,H$35:H$36+0))</f>
        <v>38.104350867509382</v>
      </c>
      <c r="AF85" s="1013"/>
      <c r="AG85" s="749">
        <f t="array" ref="AG85">AG$60*(I$28*GREET1_Import_Export!$K75+GREET1_Import_Export!$F$179*GREET1_Import_Export!$B189+GREET1_Import_Export!$F189)+AG$61*(GREET1_Import_Export!$T75+GREET1_Import_Export!$C$179*GREET1_Import_Export!$B189+GREET1_Import_Export!$C189)+AG$62*(GREET1_Import_Export!$O75+GREET1_Import_Export!$H$179*GREET1_Import_Export!$B189+GREET1_Import_Export!$H189)+AG$63*(I$29*GREET1_Import_Export!$B75+$B253)+AG$64*(I$32*GREET1_Import_Export!$AA75+GREET1_Import_Export!$B293)+AG$65*($C253)+AG$67*GREET1_Import_Export!$B504+AG$68*GREET1_Import_Export!$C504+MAX(AG$73,0)*(MMULT('GREET2_Factors_T&amp;D'!$B18:$C18+0,I$37:I$38+0))+MAX(AG$74,0)*(MMULT('GREET2_Factors_T&amp;D'!$D18:$E18+0,I$35:I$36+0))</f>
        <v>13.539328141263267</v>
      </c>
      <c r="AH85" s="1013"/>
      <c r="AI85" s="749">
        <f t="array" ref="AI85">AI$60*(J$28*GREET1_Import_Export!$K75+GREET1_Import_Export!$F$179*GREET1_Import_Export!$B189+GREET1_Import_Export!$F189)+AI$61*(GREET1_Import_Export!$T75+GREET1_Import_Export!$C$179*GREET1_Import_Export!$B189+GREET1_Import_Export!$C189)+AI$62*(GREET1_Import_Export!$O75+GREET1_Import_Export!$H$179*GREET1_Import_Export!$B189+GREET1_Import_Export!$H189)+AI$63*(J$29*GREET1_Import_Export!$B75+$B253)+AI$64*(J$32*GREET1_Import_Export!$AA75+GREET1_Import_Export!$B293)+AI$65*($C253)+AI$67*GREET1_Import_Export!$B504+AI$68*GREET1_Import_Export!$C504+MAX(AI$73,0)*(MMULT('GREET2_Factors_T&amp;D'!$B18:$C18+0,J$37:J$38+0))+MAX(AI$74,0)*(MMULT('GREET2_Factors_T&amp;D'!$D18:$E18+0,J$35:J$36+0))</f>
        <v>49.486749779172072</v>
      </c>
      <c r="AJ85" s="1013"/>
      <c r="AK85" s="749">
        <f t="array" ref="AK85">AK$60*(K$28*GREET1_Import_Export!$K75+GREET1_Import_Export!$F$179*GREET1_Import_Export!$B189+GREET1_Import_Export!$F189)+AK$61*(GREET1_Import_Export!$T75+GREET1_Import_Export!$C$179*GREET1_Import_Export!$B189+GREET1_Import_Export!$C189)+AK$62*(GREET1_Import_Export!$O75+GREET1_Import_Export!$H$179*GREET1_Import_Export!$B189+GREET1_Import_Export!$H189)+AK$63*(K$29*GREET1_Import_Export!$B75+$B253)+AK$64*(K$32*GREET1_Import_Export!$AA75+GREET1_Import_Export!$B293)+AK$65*($C253)+AK$67*GREET1_Import_Export!$B504+AK$68*GREET1_Import_Export!$C504+MAX(AK$73,0)*(MMULT('GREET2_Factors_T&amp;D'!$B18:$C18+0,K$37:K$38+0))+MAX(AK$74,0)*(MMULT('GREET2_Factors_T&amp;D'!$D18:$E18+0,K$35:K$36+0))+AK$66*$D253</f>
        <v>14.541501086790998</v>
      </c>
      <c r="AL85" s="1013"/>
      <c r="AM85" s="749">
        <f t="array" ref="AM85">AM$60*(L$28*GREET1_Import_Export!$K75+GREET1_Import_Export!$F$179*GREET1_Import_Export!$B189+GREET1_Import_Export!$F189)+AM$61*(GREET1_Import_Export!$T75+GREET1_Import_Export!$C$179*GREET1_Import_Export!$B189+GREET1_Import_Export!$C189)+AM$62*(GREET1_Import_Export!$O75+GREET1_Import_Export!$H$179*GREET1_Import_Export!$B189+GREET1_Import_Export!$H189)+AM$63*(L$29*GREET1_Import_Export!$B75+$B253)+AM$64*(L$32*GREET1_Import_Export!$AA75+GREET1_Import_Export!$B293)+AM$65*($C253)+AM$67*GREET1_Import_Export!$B504+AM$68*GREET1_Import_Export!$C504+MAX(AM$73,0)*(MMULT('GREET2_Factors_T&amp;D'!$B18:$C18+0,L$37:L$38+0))+MAX(AM$74,0)*(MMULT('GREET2_Factors_T&amp;D'!$D18:$E18+0,L$35:L$36+0))</f>
        <v>32.142029874229308</v>
      </c>
      <c r="AN85" s="1013"/>
      <c r="AO85" s="749">
        <f t="array" ref="AO85">AO$60*(M$28*GREET1_Import_Export!$K75+GREET1_Import_Export!$F$179*GREET1_Import_Export!$B189+GREET1_Import_Export!$F189)+AO$61*(GREET1_Import_Export!$T75+GREET1_Import_Export!$C$179*GREET1_Import_Export!$B189+GREET1_Import_Export!$C189)+AO$62*(GREET1_Import_Export!$O75+GREET1_Import_Export!$H$179*GREET1_Import_Export!$B189+GREET1_Import_Export!$H189)+AO$63*(M$29*GREET1_Import_Export!$B75+$B253)+AO$64*(M$32*GREET1_Import_Export!$AA75+GREET1_Import_Export!$B293)+AO$65*($C253)+AO$67*GREET1_Import_Export!$B504+AO$68*GREET1_Import_Export!$C504+MAX(AO$73,0)*(MMULT('GREET2_Factors_T&amp;D'!$B18:$C18+0,M$37:M$38+0))+MAX(AO$74,0)*(MMULT('GREET2_Factors_T&amp;D'!$D18:$E18+0,M$35:M$36+0))</f>
        <v>39.642098975753818</v>
      </c>
      <c r="AP85" s="1013"/>
      <c r="AQ85" s="749">
        <f t="array" ref="AQ85">AQ$60*(N$28*GREET1_Import_Export!$K75+GREET1_Import_Export!$F$179*GREET1_Import_Export!$B189+GREET1_Import_Export!$F189)+AQ$61*(GREET1_Import_Export!$T75+GREET1_Import_Export!$C$179*GREET1_Import_Export!$B189+GREET1_Import_Export!$C189)+AQ$62*(GREET1_Import_Export!$O75+GREET1_Import_Export!$H$179*GREET1_Import_Export!$B189+GREET1_Import_Export!$H189)+AQ$63*(N$29*GREET1_Import_Export!$B75+$B253)+AQ$64*(N$32*GREET1_Import_Export!$AA75+GREET1_Import_Export!$B293)+AQ$65*($C253)+AQ$67*GREET1_Import_Export!$B504+AQ$68*GREET1_Import_Export!$C504+MAX(AQ$73,0)*(MMULT('GREET2_Factors_T&amp;D'!$B18:$C18+0,N$37:N$38+0))+MAX(AQ$74,0)*(MMULT('GREET2_Factors_T&amp;D'!$D18:$E18+0,N$35:N$36+0))+AQ$66*$D253</f>
        <v>7.8498383033597179</v>
      </c>
      <c r="AR85" s="1013"/>
      <c r="AS85" s="749">
        <f t="array" ref="AS85">AS$60*(O$28*GREET1_Import_Export!$K75+GREET1_Import_Export!$F$179*GREET1_Import_Export!$B189+GREET1_Import_Export!$F189)+AS$61*(GREET1_Import_Export!$T75+GREET1_Import_Export!$C$179*GREET1_Import_Export!$B189+GREET1_Import_Export!$C189)+AS$62*(GREET1_Import_Export!$O75+GREET1_Import_Export!$H$179*GREET1_Import_Export!$B189+GREET1_Import_Export!$H189)+AS$63*(O$29*GREET1_Import_Export!$B75+$B253)+AS$64*(O$32*GREET1_Import_Export!$AA75+GREET1_Import_Export!$B293)+AS$65*($C253)+AS$67*GREET1_Import_Export!$B504+AS$68*GREET1_Import_Export!$C504+MAX(AS$73,0)*(MMULT('GREET2_Factors_T&amp;D'!$B18:$C18+0,O$37:O$38+0))+MAX(AS$74,0)*(MMULT('GREET2_Factors_T&amp;D'!$D18:$E18+0,O$35:O$36+0))</f>
        <v>32.142029874229308</v>
      </c>
      <c r="AT85" s="1013"/>
    </row>
    <row r="86" spans="1:46" s="309" customFormat="1">
      <c r="A86" s="160" t="s">
        <v>825</v>
      </c>
      <c r="B86" s="578">
        <f t="array" aca="1" ref="B86" ca="1">B$60*(B$28*GREET1_Import_Export!$K76+GREET1_Import_Export!$F$179*GREET1_Import_Export!$B190+GREET1_Import_Export!$F190)+B$61*(B$40*GREET1_Import_Export!$T76+B$41*GREET1_Import_Export!$B136+GREET1_Import_Export!$C$179*GREET1_Import_Export!$B190+GREET1_Import_Export!$C190)+B$62*(B$42*GREET1_Import_Export!$R76+B$43*GREET1_Import_Export!$B150+GREET1_Import_Export!$H$179*GREET1_Import_Export!$B190+GREET1_Import_Export!$H190)+B$63*(B$29*GREET1_Import_Export!$B76+B$31*GREET1_Import_Export!$B122+$B254)+B$64*(B$32*GREET1_Import_Export!$AA76+GREET1_Import_Export!$B294)+B$65*($C254)+B$67*GREET1_Import_Export!$B505+B$68*GREET1_Import_Export!$C505+B$69*SUM($B86:$C86)+MAX(B$73,0)*(MMULT('GREET2_Factors_T&amp;D'!$B19:$C19+0,B$37:B$38+0))+MAX(B$74,0)*(MMULT('GREET2_Factors_T&amp;D'!$D19:$E19+0,B$35:B$36+0))+B$70*B$33*GREET1_Import_Export!$AC76</f>
        <v>1.6327923109940361</v>
      </c>
      <c r="C86" s="478"/>
      <c r="D86" s="578">
        <f t="array" aca="1" ref="D86" ca="1">D$60*(C$28*GREET1_Import_Export!$K76+GREET1_Import_Export!$F$179*GREET1_Import_Export!$B190+GREET1_Import_Export!$F190)+D$61*(C$40*GREET1_Import_Export!$T76+C$41*GREET1_Import_Export!$B136+GREET1_Import_Export!$C$179*GREET1_Import_Export!$B190+GREET1_Import_Export!$C190)+D$62*(C$42*GREET1_Import_Export!$R76+C$43*GREET1_Import_Export!$B150+GREET1_Import_Export!$H$179*GREET1_Import_Export!$B190+GREET1_Import_Export!$H190)+D$63*(C$29*GREET1_Import_Export!$B76+C$31*GREET1_Import_Export!$B122+$B254)+D$64*(C$32*GREET1_Import_Export!$AA76+GREET1_Import_Export!$B294)+D$65*($C254)+D$67*GREET1_Import_Export!$B505+D$68*GREET1_Import_Export!$C505+D$69*SUM($B86:$C86)+MAX(D$73,0)*(MMULT('GREET2_Factors_T&amp;D'!$B19:$C19+0,C$37:C$38+0))+MAX(D$74,0)*(MMULT('GREET2_Factors_T&amp;D'!$D19:$E19+0,C$35:C$36+0))+D$70*C$33*GREET1_Import_Export!$AC76</f>
        <v>26.477710104217305</v>
      </c>
      <c r="E86" s="1553">
        <f>E85/2</f>
        <v>330.21570000000003</v>
      </c>
      <c r="F86" s="478">
        <f>F$70*(GREET1_Import_Export!$B190*GREET1_Import_Export!$I$179+GREET1_Import_Export!$I190)+(F$71+F$72)*(GREET1_Import_Export!$B190*GREET1_Import_Export!$F$179+GREET1_Import_Export!$F190)</f>
        <v>-1.185097621892137</v>
      </c>
      <c r="G86" s="578">
        <f t="array" aca="1" ref="G86" ca="1">G$60*(D$28*GREET1_Import_Export!$K76+GREET1_Import_Export!$F$179*GREET1_Import_Export!$B190+GREET1_Import_Export!$F190)+G$61*(D$40*GREET1_Import_Export!$T76+D$41*GREET1_Import_Export!$B136+GREET1_Import_Export!$C$179*GREET1_Import_Export!$B190+GREET1_Import_Export!$C190)+G$62*(D$42*GREET1_Import_Export!$R76+D$43*GREET1_Import_Export!$B150+GREET1_Import_Export!$H$179*GREET1_Import_Export!$B190+GREET1_Import_Export!$H190)+G$63*(D$29*GREET1_Import_Export!$B76+D$31*GREET1_Import_Export!$B122+$B254)+G$64*(D$32*GREET1_Import_Export!$AA76+GREET1_Import_Export!$B294)+G$65*($C254)+G$67*GREET1_Import_Export!$B505+G$68*GREET1_Import_Export!$C505+G$69*SUM($B86:$C86)+MAX(G$73,0)*(MMULT('GREET2_Factors_T&amp;D'!$B19:$C19+0,D$37:D$38+0))+MAX(G$74,0)*(MMULT('GREET2_Factors_T&amp;D'!$D19:$E19+0,D$35:D$36+0))+G$70*D$33*GREET1_Import_Export!$AC76</f>
        <v>3.9244827495988863</v>
      </c>
      <c r="H86" s="478">
        <f>H85/2</f>
        <v>142.45400000000001</v>
      </c>
      <c r="I86" s="578">
        <f t="array" aca="1" ref="I86" ca="1">I$60*(E$28*GREET1_Import_Export!$K76+GREET1_Import_Export!$F$179*GREET1_Import_Export!$B190+GREET1_Import_Export!$F190)+I$61*(E$40*GREET1_Import_Export!$T76+E$41*GREET1_Import_Export!$B136+GREET1_Import_Export!$C$179*GREET1_Import_Export!$B190+GREET1_Import_Export!$C190)+I$62*(E$42*GREET1_Import_Export!$R76+E$43*GREET1_Import_Export!$B150+GREET1_Import_Export!$H$179*GREET1_Import_Export!$B190+GREET1_Import_Export!$H190)+I$63*(E$29*GREET1_Import_Export!$B76+E$31*GREET1_Import_Export!$B122+$B254)+I$64*(E$32*GREET1_Import_Export!$AA76+GREET1_Import_Export!$B294)+I$65*($C254)+I$67*GREET1_Import_Export!$B505+I$68*GREET1_Import_Export!$C505+I$69*SUM($B86:$C86)+MAX(I$73,0)*(MMULT('GREET2_Factors_T&amp;D'!$B19:$C19+0,E$37:E$38+0))+MAX(I$74,0)*(MMULT('GREET2_Factors_T&amp;D'!$D19:$E19+0,E$35:E$36+0))+I$70*E$33*GREET1_Import_Export!$AC76</f>
        <v>11.458037099245967</v>
      </c>
      <c r="J86" s="478">
        <f>J85/2</f>
        <v>3.1965499999999998</v>
      </c>
      <c r="K86" s="578">
        <f t="array" aca="1" ref="K86" ca="1">K$60*(F$28*GREET1_Import_Export!$K76+GREET1_Import_Export!$F$179*GREET1_Import_Export!$B190+GREET1_Import_Export!$F190)+K$61*(F$40*GREET1_Import_Export!$T76+F$41*GREET1_Import_Export!$B136+GREET1_Import_Export!$C$179*GREET1_Import_Export!$B190+GREET1_Import_Export!$C190)+K$62*(F$42*GREET1_Import_Export!$R76+F$43*GREET1_Import_Export!$B150+GREET1_Import_Export!$H$179*GREET1_Import_Export!$B190+GREET1_Import_Export!$H190)+K$63*(F$29*GREET1_Import_Export!$B76+F$31*GREET1_Import_Export!$B122+$B254)+K$64*(F$32*GREET1_Import_Export!$AA76+GREET1_Import_Export!$B294)+K$65*($C254)+K$67*GREET1_Import_Export!$B505+K$68*GREET1_Import_Export!$C505+K$69*SUM($B86:$C86)+MAX(K$73,0)*(MMULT('GREET2_Factors_T&amp;D'!$B19:$C19+0,F$37:F$38+0))+MAX(K$74,0)*(MMULT('GREET2_Factors_T&amp;D'!$D19:$E19+0,F$35:F$36+0))+K$70*F$33*GREET1_Import_Export!$AC76</f>
        <v>8.1643001339196353</v>
      </c>
      <c r="L86" s="478">
        <f>L85/2</f>
        <v>109.377</v>
      </c>
      <c r="M86" s="578">
        <f t="array" aca="1" ref="M86" ca="1">M$60*(G$28*GREET1_Import_Export!$K76+GREET1_Import_Export!$F$179*GREET1_Import_Export!$B190+GREET1_Import_Export!$F190)+M$61*(G$40*GREET1_Import_Export!$T76+G$41*GREET1_Import_Export!$B136+GREET1_Import_Export!$C$179*GREET1_Import_Export!$B190+GREET1_Import_Export!$C190)+M$62*(G$42*GREET1_Import_Export!$R76+G$43*GREET1_Import_Export!$B150+GREET1_Import_Export!$H$179*GREET1_Import_Export!$B190+GREET1_Import_Export!$H190)+M$63*(G$29*GREET1_Import_Export!$B76+G$31*GREET1_Import_Export!$B122+$B254)+M$64*(G$32*GREET1_Import_Export!$AA76+GREET1_Import_Export!$B294)+M$65*($C254)+M$67*GREET1_Import_Export!$B505+M$68*GREET1_Import_Export!$C505+M$69*SUM($B86:$C86)+MAX(M$73,0)*(MMULT('GREET2_Factors_T&amp;D'!$B19:$C19+0,G$37:G$38+0))+MAX(M$74,0)*(MMULT('GREET2_Factors_T&amp;D'!$D19:$E19+0,G$35:G$36+0))+M$70*G$33*GREET1_Import_Export!$AC76</f>
        <v>11.902120312797543</v>
      </c>
      <c r="N86" s="478"/>
      <c r="O86" s="578">
        <f t="array" aca="1" ref="O86" ca="1">O$60*(P$28*GREET1_Import_Export!$K76+GREET1_Import_Export!$F$179*GREET1_Import_Export!$B190+GREET1_Import_Export!$F190)+O$61*(GREET1_Import_Export!$T76+GREET1_Import_Export!$C$179*GREET1_Import_Export!$B190+GREET1_Import_Export!$C190)+O$62*(GREET1_Import_Export!$O76+GREET1_Import_Export!$G$179*GREET1_Import_Export!$B190+GREET1_Import_Export!$G190)+O$63*(P$29*GREET1_Import_Export!$B76+$B254)+O$64*(P$32*GREET1_Import_Export!$AA76+GREET1_Import_Export!$B294)+O$65*($C254)+O$67*GREET1_Import_Export!$B505+O$68*GREET1_Import_Export!$C505+O$69*SUM($B86:$C86)+MAX(O$73,0)*(MMULT('GREET2_Factors_T&amp;D'!$B19:$C19+0,P$37:P$38+0))+MAX(O$74,0)*(MMULT('GREET2_Factors_T&amp;D'!$D19:$E19+0,P$35:P$36+0))</f>
        <v>10.914817939296981</v>
      </c>
      <c r="P86" s="478"/>
      <c r="Q86" s="578">
        <f t="array" aca="1" ref="Q86" ca="1">Q$60*(Q$28*GREET1_Import_Export!$K76+GREET1_Import_Export!$F$179*GREET1_Import_Export!$B190+GREET1_Import_Export!$F190)+Q$61*(GREET1_Import_Export!$T76+GREET1_Import_Export!$C$179*GREET1_Import_Export!$B190+GREET1_Import_Export!$C190)+Q$62*(GREET1_Import_Export!$O76+GREET1_Import_Export!$G$179*GREET1_Import_Export!$B190+GREET1_Import_Export!$G190)+Q$63*(Q$29*GREET1_Import_Export!$B76+$B254)+Q$64*(Q$32*GREET1_Import_Export!$AA76+GREET1_Import_Export!$B294)+Q$65*($C254)+Q$67*GREET1_Import_Export!$B505+Q$68*GREET1_Import_Export!$C505+Q$69*SUM($B86:$C86)+MAX(Q$73,0)*(MMULT('GREET2_Factors_T&amp;D'!$B19:$C19+0,Q$37:Q$38+0))+MAX(Q$74,0)*(MMULT('GREET2_Factors_T&amp;D'!$D19:$E19+0,Q$35:Q$36+0))</f>
        <v>0.38929263242415596</v>
      </c>
      <c r="R86" s="478"/>
      <c r="S86" s="1553">
        <f t="array" aca="1" ref="S86" ca="1">S$60*(R$28*GREET1_Import_Export!$K76+GREET1_Import_Export!$F$179*GREET1_Import_Export!$B190+GREET1_Import_Export!$F190)+S$61*(GREET1_Import_Export!$T76+GREET1_Import_Export!$C$179*GREET1_Import_Export!$B190+GREET1_Import_Export!$C190)+S$62*(GREET1_Import_Export!$O76+GREET1_Import_Export!$G$179*GREET1_Import_Export!$B190+GREET1_Import_Export!$G190)+S$63*(R$29*GREET1_Import_Export!$B76+$B254)+S$64*(R$32*GREET1_Import_Export!$AA76+GREET1_Import_Export!$B294)+S$65*($C254)+S$67*GREET1_Import_Export!$B505+S$68*GREET1_Import_Export!$C505+S$69*SUM($B86:$C86)+MAX(S$73,0)*(MMULT('GREET2_Factors_T&amp;D'!$B19:$C19+0,R$37:R$38+0))+MAX(S$74,0)*(MMULT('GREET2_Factors_T&amp;D'!$D19:$E19+0,R$35:R$36+0))</f>
        <v>11.822647515085546</v>
      </c>
      <c r="T86" s="1553"/>
      <c r="U86" s="578">
        <f t="array" aca="1" ref="U86" ca="1">U$60*(S$28*GREET1_Import_Export!$K76+GREET1_Import_Export!$F$179*GREET1_Import_Export!$B190+GREET1_Import_Export!$F190)+U$61*(GREET1_Import_Export!$T76+GREET1_Import_Export!$C$179*GREET1_Import_Export!$B190+GREET1_Import_Export!$C190)+U$62*(GREET1_Import_Export!$O76+GREET1_Import_Export!$G$179*GREET1_Import_Export!$B190+GREET1_Import_Export!$G190)+U$63*(S$29*GREET1_Import_Export!$B76+$B254)+U$64*(S$32*GREET1_Import_Export!$AA76+GREET1_Import_Export!$B294)+U$65*($C254)+U$67*GREET1_Import_Export!$B505+U$68*GREET1_Import_Export!$C505+U$69*SUM($B86:$C86)+MAX(U$73,0)*(MMULT('GREET2_Factors_T&amp;D'!$B19:$C19+0,S$37:S$38+0))+MAX(U$74,0)*(MMULT('GREET2_Factors_T&amp;D'!$D19:$E19+0,S$35:S$36+0))</f>
        <v>8.3256485018537152</v>
      </c>
      <c r="V86" s="478"/>
      <c r="W86" s="1553">
        <f t="array" aca="1" ref="W86" ca="1">W$60*(T$28*GREET1_Import_Export!$K76+GREET1_Import_Export!$F$179*GREET1_Import_Export!$B190+GREET1_Import_Export!$F190)+W$61*(GREET1_Import_Export!$T76+GREET1_Import_Export!$C$179*GREET1_Import_Export!$B190+GREET1_Import_Export!$C190)+W$62*(GREET1_Import_Export!$O76+GREET1_Import_Export!$G$179*GREET1_Import_Export!$B190+GREET1_Import_Export!$G190)+W$63*(T$29*GREET1_Import_Export!$B76+$B254)+W$64*(T$32*GREET1_Import_Export!$AA76+GREET1_Import_Export!$B294)+W$65*($C254)+W$67*GREET1_Import_Export!$B505+W$68*GREET1_Import_Export!$C505+W$69*SUM($B86:$C86)+MAX(W$73,0)*(MMULT('GREET2_Factors_T&amp;D'!$B19:$C19+0,T$37:T$38+0))+MAX(W$74,0)*(MMULT('GREET2_Factors_T&amp;D'!$D19:$E19+0,T$35:T$36+0))</f>
        <v>6.375490150234568</v>
      </c>
      <c r="X86" s="1553"/>
      <c r="Y86" s="578">
        <f t="array" aca="1" ref="Y86" ca="1">Y$60*(U$28*GREET1_Import_Export!$K76+GREET1_Import_Export!$F$179*GREET1_Import_Export!$B190+GREET1_Import_Export!$F190)+Y$61*(GREET1_Import_Export!$T76+GREET1_Import_Export!$C$179*GREET1_Import_Export!$B190+GREET1_Import_Export!$C190)+Y$62*(GREET1_Import_Export!$O76+GREET1_Import_Export!$G$179*GREET1_Import_Export!$B190+GREET1_Import_Export!$G190)+Y$63*(U$29*GREET1_Import_Export!$B76+$B254)+Y$64*(U$32*GREET1_Import_Export!$AA76+GREET1_Import_Export!$B294)+Y$65*($C254)+Y$67*GREET1_Import_Export!$B505+Y$68*GREET1_Import_Export!$C505+Y$69*SUM($B86:$C86)+MAX(Y$73,0)*(MMULT('GREET2_Factors_T&amp;D'!$B19:$C19+0,U$37:U$38+0))+MAX(Y$74,0)*(MMULT('GREET2_Factors_T&amp;D'!$D19:$E19+0,U$35:U$36+0))</f>
        <v>13.167579455801084</v>
      </c>
      <c r="Z86" s="478">
        <f>Z85/2</f>
        <v>291.11950000000002</v>
      </c>
      <c r="AA86" s="1553">
        <f t="array" aca="1" ref="AA86" ca="1">AA$60*(V$28*GREET1_Import_Export!$K76+GREET1_Import_Export!$F$179*GREET1_Import_Export!$B190+GREET1_Import_Export!$F190)+AA$61*(GREET1_Import_Export!$T76+GREET1_Import_Export!$C$179*GREET1_Import_Export!$B190+GREET1_Import_Export!$C190)+AA$62*(GREET1_Import_Export!$O76+GREET1_Import_Export!$G$179*GREET1_Import_Export!$B190+GREET1_Import_Export!$G190)+AA$63*(V$29*GREET1_Import_Export!$B76+$B254)+AA$64*(V$32*GREET1_Import_Export!$AA76+GREET1_Import_Export!$B294)+AA$65*($C254)+AA$67*GREET1_Import_Export!$B505+AA$68*GREET1_Import_Export!$C505+AA$69*SUM($B86:$C86)+MAX(AA$73,0)*(MMULT('GREET2_Factors_T&amp;D'!$B19:$C19+0,V$37:V$38+0))+MAX(AA$74,0)*(MMULT('GREET2_Factors_T&amp;D'!$D19:$E19+0,V$35:V$36+0))</f>
        <v>16.363714512998065</v>
      </c>
      <c r="AB86" s="478"/>
      <c r="AC86" s="1553">
        <f t="array" aca="1" ref="AC86" ca="1">AC$60*(W$28*GREET1_Import_Export!$K76+GREET1_Import_Export!$F$179*GREET1_Import_Export!$B190+GREET1_Import_Export!$F190)+AC$61*(GREET1_Import_Export!$T76+GREET1_Import_Export!$C$179*GREET1_Import_Export!$B190+GREET1_Import_Export!$C190)+AC$62*(GREET1_Import_Export!$O76+GREET1_Import_Export!$G$179*GREET1_Import_Export!$B190+GREET1_Import_Export!$G190)+AC$63*(W$29*GREET1_Import_Export!$B76+$B254)+AC$64*(W$32*GREET1_Import_Export!$AA76+GREET1_Import_Export!$B294)+AC$65*($C254)+AC$67*GREET1_Import_Export!$B505+AC$68*GREET1_Import_Export!$C505+AC$69*SUM($B86:$C86)+MAX(AC$73,0)*(MMULT('GREET2_Factors_T&amp;D'!$B19:$C19+0,W$37:W$38+0))+MAX(AC$74,0)*(MMULT('GREET2_Factors_T&amp;D'!$D19:$E19+0,W$35:W$36+0))</f>
        <v>4.0036560169627808</v>
      </c>
      <c r="AD86" s="478"/>
      <c r="AE86" s="749">
        <f t="array" ref="AE86">AE$60*(H$28*GREET1_Import_Export!$K76+GREET1_Import_Export!$F$179*GREET1_Import_Export!$B190+GREET1_Import_Export!$F190)+AE$61*(GREET1_Import_Export!$T76+GREET1_Import_Export!$C$179*GREET1_Import_Export!$B190+GREET1_Import_Export!$C190)+AE$62*(GREET1_Import_Export!$O76+GREET1_Import_Export!$H$179*GREET1_Import_Export!$B190+GREET1_Import_Export!$H190)+AE$63*(H$29*GREET1_Import_Export!$B76+$B254)+AE$64*(H$32*GREET1_Import_Export!$AA76+GREET1_Import_Export!$B294)+AE$65*($C254)+AE$67*GREET1_Import_Export!$B505+AE$68*GREET1_Import_Export!$C505+MAX(AE$73,0)*(MMULT('GREET2_Factors_T&amp;D'!$B19:$C19+0,H$37:H$38+0))+MAX(AE$74,0)*(MMULT('GREET2_Factors_T&amp;D'!$D19:$E19+0,H$35:H$36+0))</f>
        <v>34.07895934416792</v>
      </c>
      <c r="AF86" s="1013"/>
      <c r="AG86" s="749">
        <f t="array" ref="AG86">AG$60*(I$28*GREET1_Import_Export!$K76+GREET1_Import_Export!$F$179*GREET1_Import_Export!$B190+GREET1_Import_Export!$F190)+AG$61*(GREET1_Import_Export!$T76+GREET1_Import_Export!$C$179*GREET1_Import_Export!$B190+GREET1_Import_Export!$C190)+AG$62*(GREET1_Import_Export!$O76+GREET1_Import_Export!$H$179*GREET1_Import_Export!$B190+GREET1_Import_Export!$H190)+AG$63*(I$29*GREET1_Import_Export!$B76+$B254)+AG$64*(I$32*GREET1_Import_Export!$AA76+GREET1_Import_Export!$B294)+AG$65*($C254)+AG$67*GREET1_Import_Export!$B505+AG$68*GREET1_Import_Export!$C505+MAX(AG$73,0)*(MMULT('GREET2_Factors_T&amp;D'!$B19:$C19+0,I$37:I$38+0))+MAX(AG$74,0)*(MMULT('GREET2_Factors_T&amp;D'!$D19:$E19+0,I$35:I$36+0))</f>
        <v>11.387299465669361</v>
      </c>
      <c r="AH86" s="1013"/>
      <c r="AI86" s="749">
        <f t="array" ref="AI86">AI$60*(J$28*GREET1_Import_Export!$K76+GREET1_Import_Export!$F$179*GREET1_Import_Export!$B190+GREET1_Import_Export!$F190)+AI$61*(GREET1_Import_Export!$T76+GREET1_Import_Export!$C$179*GREET1_Import_Export!$B190+GREET1_Import_Export!$C190)+AI$62*(GREET1_Import_Export!$O76+GREET1_Import_Export!$H$179*GREET1_Import_Export!$B190+GREET1_Import_Export!$H190)+AI$63*(J$29*GREET1_Import_Export!$B76+$B254)+AI$64*(J$32*GREET1_Import_Export!$AA76+GREET1_Import_Export!$B294)+AI$65*($C254)+AI$67*GREET1_Import_Export!$B505+AI$68*GREET1_Import_Export!$C505+MAX(AI$73,0)*(MMULT('GREET2_Factors_T&amp;D'!$B19:$C19+0,J$37:J$38+0))+MAX(AI$74,0)*(MMULT('GREET2_Factors_T&amp;D'!$D19:$E19+0,J$35:J$36+0))</f>
        <v>45.910517031919248</v>
      </c>
      <c r="AJ86" s="1013"/>
      <c r="AK86" s="749">
        <f t="array" ref="AK86">AK$60*(K$28*GREET1_Import_Export!$K76+GREET1_Import_Export!$F$179*GREET1_Import_Export!$B190+GREET1_Import_Export!$F190)+AK$61*(GREET1_Import_Export!$T76+GREET1_Import_Export!$C$179*GREET1_Import_Export!$B190+GREET1_Import_Export!$C190)+AK$62*(GREET1_Import_Export!$O76+GREET1_Import_Export!$H$179*GREET1_Import_Export!$B190+GREET1_Import_Export!$H190)+AK$63*(K$29*GREET1_Import_Export!$B76+$B254)+AK$64*(K$32*GREET1_Import_Export!$AA76+GREET1_Import_Export!$B294)+AK$65*($C254)+AK$67*GREET1_Import_Export!$B505+AK$68*GREET1_Import_Export!$C505+MAX(AK$73,0)*(MMULT('GREET2_Factors_T&amp;D'!$B19:$C19+0,K$37:K$38+0))+MAX(AK$74,0)*(MMULT('GREET2_Factors_T&amp;D'!$D19:$E19+0,K$35:K$36+0))+AK$66*$D254</f>
        <v>11.333222055211934</v>
      </c>
      <c r="AL86" s="1013"/>
      <c r="AM86" s="749">
        <f t="array" ref="AM86">AM$60*(L$28*GREET1_Import_Export!$K76+GREET1_Import_Export!$F$179*GREET1_Import_Export!$B190+GREET1_Import_Export!$F190)+AM$61*(GREET1_Import_Export!$T76+GREET1_Import_Export!$C$179*GREET1_Import_Export!$B190+GREET1_Import_Export!$C190)+AM$62*(GREET1_Import_Export!$O76+GREET1_Import_Export!$H$179*GREET1_Import_Export!$B190+GREET1_Import_Export!$H190)+AM$63*(L$29*GREET1_Import_Export!$B76+$B254)+AM$64*(L$32*GREET1_Import_Export!$AA76+GREET1_Import_Export!$B294)+AM$65*($C254)+AM$67*GREET1_Import_Export!$B505+AM$68*GREET1_Import_Export!$C505+MAX(AM$73,0)*(MMULT('GREET2_Factors_T&amp;D'!$B19:$C19+0,L$37:L$38+0))+MAX(AM$74,0)*(MMULT('GREET2_Factors_T&amp;D'!$D19:$E19+0,L$35:L$36+0))</f>
        <v>19.692232860521948</v>
      </c>
      <c r="AN86" s="1013"/>
      <c r="AO86" s="749">
        <f t="array" ref="AO86">AO$60*(M$28*GREET1_Import_Export!$K76+GREET1_Import_Export!$F$179*GREET1_Import_Export!$B190+GREET1_Import_Export!$F190)+AO$61*(GREET1_Import_Export!$T76+GREET1_Import_Export!$C$179*GREET1_Import_Export!$B190+GREET1_Import_Export!$C190)+AO$62*(GREET1_Import_Export!$O76+GREET1_Import_Export!$H$179*GREET1_Import_Export!$B190+GREET1_Import_Export!$H190)+AO$63*(M$29*GREET1_Import_Export!$B76+$B254)+AO$64*(M$32*GREET1_Import_Export!$AA76+GREET1_Import_Export!$B294)+AO$65*($C254)+AO$67*GREET1_Import_Export!$B505+AO$68*GREET1_Import_Export!$C505+MAX(AO$73,0)*(MMULT('GREET2_Factors_T&amp;D'!$B19:$C19+0,M$37:M$38+0))+MAX(AO$74,0)*(MMULT('GREET2_Factors_T&amp;D'!$D19:$E19+0,M$35:M$36+0))</f>
        <v>35.454257809286702</v>
      </c>
      <c r="AP86" s="1013"/>
      <c r="AQ86" s="749">
        <f t="array" ref="AQ86">AQ$60*(N$28*GREET1_Import_Export!$K76+GREET1_Import_Export!$F$179*GREET1_Import_Export!$B190+GREET1_Import_Export!$F190)+AQ$61*(GREET1_Import_Export!$T76+GREET1_Import_Export!$C$179*GREET1_Import_Export!$B190+GREET1_Import_Export!$C190)+AQ$62*(GREET1_Import_Export!$O76+GREET1_Import_Export!$H$179*GREET1_Import_Export!$B190+GREET1_Import_Export!$H190)+AQ$63*(N$29*GREET1_Import_Export!$B76+$B254)+AQ$64*(N$32*GREET1_Import_Export!$AA76+GREET1_Import_Export!$B294)+AQ$65*($C254)+AQ$67*GREET1_Import_Export!$B505+AQ$68*GREET1_Import_Export!$C505+MAX(AQ$73,0)*(MMULT('GREET2_Factors_T&amp;D'!$B19:$C19+0,N$37:N$38+0))+MAX(AQ$74,0)*(MMULT('GREET2_Factors_T&amp;D'!$D19:$E19+0,N$35:N$36+0))+AQ$66*$D254</f>
        <v>4.7120186983789312</v>
      </c>
      <c r="AR86" s="1013"/>
      <c r="AS86" s="749">
        <f t="array" ref="AS86">AS$60*(O$28*GREET1_Import_Export!$K76+GREET1_Import_Export!$F$179*GREET1_Import_Export!$B190+GREET1_Import_Export!$F190)+AS$61*(GREET1_Import_Export!$T76+GREET1_Import_Export!$C$179*GREET1_Import_Export!$B190+GREET1_Import_Export!$C190)+AS$62*(GREET1_Import_Export!$O76+GREET1_Import_Export!$H$179*GREET1_Import_Export!$B190+GREET1_Import_Export!$H190)+AS$63*(O$29*GREET1_Import_Export!$B76+$B254)+AS$64*(O$32*GREET1_Import_Export!$AA76+GREET1_Import_Export!$B294)+AS$65*($C254)+AS$67*GREET1_Import_Export!$B505+AS$68*GREET1_Import_Export!$C505+MAX(AS$73,0)*(MMULT('GREET2_Factors_T&amp;D'!$B19:$C19+0,O$37:O$38+0))+MAX(AS$74,0)*(MMULT('GREET2_Factors_T&amp;D'!$D19:$E19+0,O$35:O$36+0))</f>
        <v>19.692232860521948</v>
      </c>
      <c r="AT86" s="1013"/>
    </row>
    <row r="87" spans="1:46">
      <c r="A87" s="160" t="s">
        <v>826</v>
      </c>
      <c r="B87" s="578">
        <f t="array" aca="1" ref="B87" ca="1">B$60*(B$28*GREET1_Import_Export!$K77+GREET1_Import_Export!$F$179*GREET1_Import_Export!$B191+GREET1_Import_Export!$F191)+B$61*(B$40*GREET1_Import_Export!$T77+B$41*GREET1_Import_Export!$B137+GREET1_Import_Export!$C$179*GREET1_Import_Export!$B191+GREET1_Import_Export!$C191)+B$62*(B$42*GREET1_Import_Export!$R77+B$43*GREET1_Import_Export!$B151+GREET1_Import_Export!$H$179*GREET1_Import_Export!$B191+GREET1_Import_Export!$H191)+B$63*(B$29*GREET1_Import_Export!$B77+B$31*GREET1_Import_Export!$B123+$B255)+B$64*(B$32*GREET1_Import_Export!$AA77+GREET1_Import_Export!$B295)+B$65*($C255)+B$67*GREET1_Import_Export!$B506+B$68*GREET1_Import_Export!$C506+B$69*SUM($B87:$C87)+MAX(B$73,0)*(MMULT('GREET2_Factors_T&amp;D'!$B20:$C20+0,B$37:B$38+0))+MAX(B$74,0)*(MMULT('GREET2_Factors_T&amp;D'!$D20:$E20+0,B$35:B$36+0))+B$70*B$33*GREET1_Import_Export!$AC77</f>
        <v>60.806449551019547</v>
      </c>
      <c r="C87" s="478"/>
      <c r="D87" s="578">
        <f t="array" aca="1" ref="D87" ca="1">D$60*(C$28*GREET1_Import_Export!$K77+GREET1_Import_Export!$F$179*GREET1_Import_Export!$B191+GREET1_Import_Export!$F191)+D$61*(C$40*GREET1_Import_Export!$T77+C$41*GREET1_Import_Export!$B137+GREET1_Import_Export!$C$179*GREET1_Import_Export!$B191+GREET1_Import_Export!$C191)+D$62*(C$42*GREET1_Import_Export!$R77+C$43*GREET1_Import_Export!$B151+GREET1_Import_Export!$H$179*GREET1_Import_Export!$B191+GREET1_Import_Export!$H191)+D$63*(C$29*GREET1_Import_Export!$B77+C$31*GREET1_Import_Export!$B123+$B255)+D$64*(C$32*GREET1_Import_Export!$AA77+GREET1_Import_Export!$B295)+D$65*($C255)+D$67*GREET1_Import_Export!$B506+D$68*GREET1_Import_Export!$C506+D$69*SUM($B87:$C87)+MAX(D$73,0)*(MMULT('GREET2_Factors_T&amp;D'!$B20:$C20+0,C$37:C$38+0))+MAX(D$74,0)*(MMULT('GREET2_Factors_T&amp;D'!$D20:$E20+0,C$35:C$36+0))+D$70*C$33*GREET1_Import_Export!$AC77</f>
        <v>1778.0378611344606</v>
      </c>
      <c r="E87" s="1126">
        <v>1008.9924999999999</v>
      </c>
      <c r="F87" s="478">
        <f>F$70*(GREET1_Import_Export!$B191*GREET1_Import_Export!$I$179+GREET1_Import_Export!$I191)+(F$71+F$72)*(GREET1_Import_Export!$B191*GREET1_Import_Export!$F$179+GREET1_Import_Export!$F191)</f>
        <v>-5.989057900031387</v>
      </c>
      <c r="G87" s="578">
        <f t="array" aca="1" ref="G87" ca="1">G$60*(D$28*GREET1_Import_Export!$K77+GREET1_Import_Export!$F$179*GREET1_Import_Export!$B191+GREET1_Import_Export!$F191)+G$61*(D$40*GREET1_Import_Export!$T77+D$41*GREET1_Import_Export!$B137+GREET1_Import_Export!$C$179*GREET1_Import_Export!$B191+GREET1_Import_Export!$C191)+G$62*(D$42*GREET1_Import_Export!$R77+D$43*GREET1_Import_Export!$B151+GREET1_Import_Export!$H$179*GREET1_Import_Export!$B191+GREET1_Import_Export!$H191)+G$63*(D$29*GREET1_Import_Export!$B77+D$31*GREET1_Import_Export!$B123+$B255)+G$64*(D$32*GREET1_Import_Export!$AA77+GREET1_Import_Export!$B295)+G$65*($C255)+G$67*GREET1_Import_Export!$B506+G$68*GREET1_Import_Export!$C506+G$69*SUM($B87:$C87)+MAX(G$73,0)*(MMULT('GREET2_Factors_T&amp;D'!$B20:$C20+0,D$37:D$38+0))+MAX(G$74,0)*(MMULT('GREET2_Factors_T&amp;D'!$D20:$E20+0,D$35:D$36+0))+G$70*D$33*GREET1_Import_Export!$AC77</f>
        <v>250.11558108626372</v>
      </c>
      <c r="H87" s="1547">
        <v>33.623600000000003</v>
      </c>
      <c r="I87" s="578">
        <f t="array" aca="1" ref="I87" ca="1">I$60*(E$28*GREET1_Import_Export!$K77+GREET1_Import_Export!$F$179*GREET1_Import_Export!$B191+GREET1_Import_Export!$F191)+I$61*(E$40*GREET1_Import_Export!$T77+E$41*GREET1_Import_Export!$B137+GREET1_Import_Export!$C$179*GREET1_Import_Export!$B191+GREET1_Import_Export!$C191)+I$62*(E$42*GREET1_Import_Export!$R77+E$43*GREET1_Import_Export!$B151+GREET1_Import_Export!$H$179*GREET1_Import_Export!$B191+GREET1_Import_Export!$H191)+I$63*(E$29*GREET1_Import_Export!$B77+E$31*GREET1_Import_Export!$B123+$B255)+I$64*(E$32*GREET1_Import_Export!$AA77+GREET1_Import_Export!$B295)+I$65*($C255)+I$67*GREET1_Import_Export!$B506+I$68*GREET1_Import_Export!$C506+I$69*SUM($B87:$C87)+MAX(I$73,0)*(MMULT('GREET2_Factors_T&amp;D'!$B20:$C20+0,E$37:E$38+0))+MAX(I$74,0)*(MMULT('GREET2_Factors_T&amp;D'!$D20:$E20+0,E$35:E$36+0))+I$70*E$33*GREET1_Import_Export!$AC77</f>
        <v>989.24262609729578</v>
      </c>
      <c r="J87" s="1547">
        <v>1218.5737999999999</v>
      </c>
      <c r="K87" s="578">
        <f t="array" aca="1" ref="K87" ca="1">K$60*(F$28*GREET1_Import_Export!$K77+GREET1_Import_Export!$F$179*GREET1_Import_Export!$B191+GREET1_Import_Export!$F191)+K$61*(F$40*GREET1_Import_Export!$T77+F$41*GREET1_Import_Export!$B137+GREET1_Import_Export!$C$179*GREET1_Import_Export!$B191+GREET1_Import_Export!$C191)+K$62*(F$42*GREET1_Import_Export!$R77+F$43*GREET1_Import_Export!$B151+GREET1_Import_Export!$H$179*GREET1_Import_Export!$B191+GREET1_Import_Export!$H191)+K$63*(F$29*GREET1_Import_Export!$B77+F$31*GREET1_Import_Export!$B123+$B255)+K$64*(F$32*GREET1_Import_Export!$AA77+GREET1_Import_Export!$B295)+K$65*($C255)+K$67*GREET1_Import_Export!$B506+K$68*GREET1_Import_Export!$C506+K$69*SUM($B87:$C87)+MAX(K$73,0)*(MMULT('GREET2_Factors_T&amp;D'!$B20:$C20+0,F$37:F$38+0))+MAX(K$74,0)*(MMULT('GREET2_Factors_T&amp;D'!$D20:$E20+0,F$35:F$36+0))+K$70*F$33*GREET1_Import_Export!$AC77</f>
        <v>39.018174380180952</v>
      </c>
      <c r="L87" s="478"/>
      <c r="M87" s="578">
        <f t="array" aca="1" ref="M87" ca="1">M$60*(G$28*GREET1_Import_Export!$K77+GREET1_Import_Export!$F$179*GREET1_Import_Export!$B191+GREET1_Import_Export!$F191)+M$61*(G$40*GREET1_Import_Export!$T77+G$41*GREET1_Import_Export!$B137+GREET1_Import_Export!$C$179*GREET1_Import_Export!$B191+GREET1_Import_Export!$C191)+M$62*(G$42*GREET1_Import_Export!$R77+G$43*GREET1_Import_Export!$B151+GREET1_Import_Export!$H$179*GREET1_Import_Export!$B191+GREET1_Import_Export!$H191)+M$63*(G$29*GREET1_Import_Export!$B77+G$31*GREET1_Import_Export!$B123+$B255)+M$64*(G$32*GREET1_Import_Export!$AA77+GREET1_Import_Export!$B295)+M$65*($C255)+M$67*GREET1_Import_Export!$B506+M$68*GREET1_Import_Export!$C506+M$69*SUM($B87:$C87)+MAX(M$73,0)*(MMULT('GREET2_Factors_T&amp;D'!$B20:$C20+0,G$37:G$38+0))+MAX(M$74,0)*(MMULT('GREET2_Factors_T&amp;D'!$D20:$E20+0,G$35:G$36+0))+M$70*G$33*GREET1_Import_Export!$AC77</f>
        <v>3084.6421588035209</v>
      </c>
      <c r="N87" s="478"/>
      <c r="O87" s="578">
        <f t="array" aca="1" ref="O87" ca="1">O$60*(P$28*GREET1_Import_Export!$K77+GREET1_Import_Export!$F$179*GREET1_Import_Export!$B191+GREET1_Import_Export!$F191)+O$61*(GREET1_Import_Export!$T77+GREET1_Import_Export!$C$179*GREET1_Import_Export!$B191+GREET1_Import_Export!$C191)+O$62*(GREET1_Import_Export!$O77+GREET1_Import_Export!$G$179*GREET1_Import_Export!$B191+GREET1_Import_Export!$G191)+O$63*(P$29*GREET1_Import_Export!$B77+$B255)+O$64*(P$32*GREET1_Import_Export!$AA77+GREET1_Import_Export!$B295)+O$65*($C255)+O$67*GREET1_Import_Export!$B506+O$68*GREET1_Import_Export!$C506+O$69*SUM($B87:$C87)+MAX(O$73,0)*(MMULT('GREET2_Factors_T&amp;D'!$B20:$C20+0,P$37:P$38+0))+MAX(O$74,0)*(MMULT('GREET2_Factors_T&amp;D'!$D20:$E20+0,P$35:P$36+0))</f>
        <v>952.60443614070266</v>
      </c>
      <c r="P87" s="478"/>
      <c r="Q87" s="578">
        <f t="array" aca="1" ref="Q87" ca="1">Q$60*(Q$28*GREET1_Import_Export!$K77+GREET1_Import_Export!$F$179*GREET1_Import_Export!$B191+GREET1_Import_Export!$F191)+Q$61*(GREET1_Import_Export!$T77+GREET1_Import_Export!$C$179*GREET1_Import_Export!$B191+GREET1_Import_Export!$C191)+Q$62*(GREET1_Import_Export!$O77+GREET1_Import_Export!$G$179*GREET1_Import_Export!$B191+GREET1_Import_Export!$G191)+Q$63*(Q$29*GREET1_Import_Export!$B77+$B255)+Q$64*(Q$32*GREET1_Import_Export!$AA77+GREET1_Import_Export!$B295)+Q$65*($C255)+Q$67*GREET1_Import_Export!$B506+Q$68*GREET1_Import_Export!$C506+Q$69*SUM($B87:$C87)+MAX(Q$73,0)*(MMULT('GREET2_Factors_T&amp;D'!$B20:$C20+0,Q$37:Q$38+0))+MAX(Q$74,0)*(MMULT('GREET2_Factors_T&amp;D'!$D20:$E20+0,Q$35:Q$36+0))</f>
        <v>24.712713113600348</v>
      </c>
      <c r="R87" s="478"/>
      <c r="S87" s="1553">
        <f t="array" aca="1" ref="S87" ca="1">S$60*(R$28*GREET1_Import_Export!$K77+GREET1_Import_Export!$F$179*GREET1_Import_Export!$B191+GREET1_Import_Export!$F191)+S$61*(GREET1_Import_Export!$T77+GREET1_Import_Export!$C$179*GREET1_Import_Export!$B191+GREET1_Import_Export!$C191)+S$62*(GREET1_Import_Export!$O77+GREET1_Import_Export!$G$179*GREET1_Import_Export!$B191+GREET1_Import_Export!$G191)+S$63*(R$29*GREET1_Import_Export!$B77+$B255)+S$64*(R$32*GREET1_Import_Export!$AA77+GREET1_Import_Export!$B295)+S$65*($C255)+S$67*GREET1_Import_Export!$B506+S$68*GREET1_Import_Export!$C506+S$69*SUM($B87:$C87)+MAX(S$73,0)*(MMULT('GREET2_Factors_T&amp;D'!$B20:$C20+0,R$37:R$38+0))+MAX(S$74,0)*(MMULT('GREET2_Factors_T&amp;D'!$D20:$E20+0,R$35:R$36+0))</f>
        <v>490.85276766816094</v>
      </c>
      <c r="T87" s="1553"/>
      <c r="U87" s="578">
        <f t="array" aca="1" ref="U87" ca="1">U$60*(S$28*GREET1_Import_Export!$K77+GREET1_Import_Export!$F$179*GREET1_Import_Export!$B191+GREET1_Import_Export!$F191)+U$61*(GREET1_Import_Export!$T77+GREET1_Import_Export!$C$179*GREET1_Import_Export!$B191+GREET1_Import_Export!$C191)+U$62*(GREET1_Import_Export!$O77+GREET1_Import_Export!$G$179*GREET1_Import_Export!$B191+GREET1_Import_Export!$G191)+U$63*(S$29*GREET1_Import_Export!$B77+$B255)+U$64*(S$32*GREET1_Import_Export!$AA77+GREET1_Import_Export!$B295)+U$65*($C255)+U$67*GREET1_Import_Export!$B506+U$68*GREET1_Import_Export!$C506+U$69*SUM($B87:$C87)+MAX(U$73,0)*(MMULT('GREET2_Factors_T&amp;D'!$B20:$C20+0,S$37:S$38+0))+MAX(U$74,0)*(MMULT('GREET2_Factors_T&amp;D'!$D20:$E20+0,S$35:S$36+0))</f>
        <v>923.15247773616647</v>
      </c>
      <c r="V87" s="478"/>
      <c r="W87" s="1553">
        <f t="array" aca="1" ref="W87" ca="1">W$60*(T$28*GREET1_Import_Export!$K77+GREET1_Import_Export!$F$179*GREET1_Import_Export!$B191+GREET1_Import_Export!$F191)+W$61*(GREET1_Import_Export!$T77+GREET1_Import_Export!$C$179*GREET1_Import_Export!$B191+GREET1_Import_Export!$C191)+W$62*(GREET1_Import_Export!$O77+GREET1_Import_Export!$G$179*GREET1_Import_Export!$B191+GREET1_Import_Export!$G191)+W$63*(T$29*GREET1_Import_Export!$B77+$B255)+W$64*(T$32*GREET1_Import_Export!$AA77+GREET1_Import_Export!$B295)+W$65*($C255)+W$67*GREET1_Import_Export!$B506+W$68*GREET1_Import_Export!$C506+W$69*SUM($B87:$C87)+MAX(W$73,0)*(MMULT('GREET2_Factors_T&amp;D'!$B20:$C20+0,T$37:T$38+0))+MAX(W$74,0)*(MMULT('GREET2_Factors_T&amp;D'!$D20:$E20+0,T$35:T$36+0))</f>
        <v>55.709899657095079</v>
      </c>
      <c r="X87" s="1553"/>
      <c r="Y87" s="578">
        <f t="array" aca="1" ref="Y87" ca="1">Y$60*(U$28*GREET1_Import_Export!$K77+GREET1_Import_Export!$F$179*GREET1_Import_Export!$B191+GREET1_Import_Export!$F191)+Y$61*(GREET1_Import_Export!$T77+GREET1_Import_Export!$C$179*GREET1_Import_Export!$B191+GREET1_Import_Export!$C191)+Y$62*(GREET1_Import_Export!$O77+GREET1_Import_Export!$G$179*GREET1_Import_Export!$B191+GREET1_Import_Export!$G191)+Y$63*(U$29*GREET1_Import_Export!$B77+$B255)+Y$64*(U$32*GREET1_Import_Export!$AA77+GREET1_Import_Export!$B295)+Y$65*($C255)+Y$67*GREET1_Import_Export!$B506+Y$68*GREET1_Import_Export!$C506+Y$69*SUM($B87:$C87)+MAX(Y$73,0)*(MMULT('GREET2_Factors_T&amp;D'!$B20:$C20+0,U$37:U$38+0))+MAX(Y$74,0)*(MMULT('GREET2_Factors_T&amp;D'!$D20:$E20+0,U$35:U$36+0))</f>
        <v>104.45913544563491</v>
      </c>
      <c r="Z87" s="1547">
        <v>348.53100000000001</v>
      </c>
      <c r="AA87" s="1553">
        <f t="array" aca="1" ref="AA87" ca="1">AA$60*(V$28*GREET1_Import_Export!$K77+GREET1_Import_Export!$F$179*GREET1_Import_Export!$B191+GREET1_Import_Export!$F191)+AA$61*(GREET1_Import_Export!$T77+GREET1_Import_Export!$C$179*GREET1_Import_Export!$B191+GREET1_Import_Export!$C191)+AA$62*(GREET1_Import_Export!$O77+GREET1_Import_Export!$G$179*GREET1_Import_Export!$B191+GREET1_Import_Export!$G191)+AA$63*(V$29*GREET1_Import_Export!$B77+$B255)+AA$64*(V$32*GREET1_Import_Export!$AA77+GREET1_Import_Export!$B295)+AA$65*($C255)+AA$67*GREET1_Import_Export!$B506+AA$68*GREET1_Import_Export!$C506+AA$69*SUM($B87:$C87)+MAX(AA$73,0)*(MMULT('GREET2_Factors_T&amp;D'!$B20:$C20+0,V$37:V$38+0))+MAX(AA$74,0)*(MMULT('GREET2_Factors_T&amp;D'!$D20:$E20+0,V$35:V$36+0))</f>
        <v>94.278704707709906</v>
      </c>
      <c r="AB87" s="478"/>
      <c r="AC87" s="1553">
        <f t="array" aca="1" ref="AC87" ca="1">AC$60*(W$28*GREET1_Import_Export!$K77+GREET1_Import_Export!$F$179*GREET1_Import_Export!$B191+GREET1_Import_Export!$F191)+AC$61*(GREET1_Import_Export!$T77+GREET1_Import_Export!$C$179*GREET1_Import_Export!$B191+GREET1_Import_Export!$C191)+AC$62*(GREET1_Import_Export!$O77+GREET1_Import_Export!$G$179*GREET1_Import_Export!$B191+GREET1_Import_Export!$G191)+AC$63*(W$29*GREET1_Import_Export!$B77+$B255)+AC$64*(W$32*GREET1_Import_Export!$AA77+GREET1_Import_Export!$B295)+AC$65*($C255)+AC$67*GREET1_Import_Export!$B506+AC$68*GREET1_Import_Export!$C506+AC$69*SUM($B87:$C87)+MAX(AC$73,0)*(MMULT('GREET2_Factors_T&amp;D'!$B20:$C20+0,W$37:W$38+0))+MAX(AC$74,0)*(MMULT('GREET2_Factors_T&amp;D'!$D20:$E20+0,W$35:W$36+0))</f>
        <v>34.984490558473404</v>
      </c>
      <c r="AD87" s="478"/>
      <c r="AE87" s="749">
        <f t="array" ref="AE87">AE$60*(H$28*GREET1_Import_Export!$K77+GREET1_Import_Export!$F$179*GREET1_Import_Export!$B191+GREET1_Import_Export!$F191)+AE$61*(GREET1_Import_Export!$T77+GREET1_Import_Export!$C$179*GREET1_Import_Export!$B191+GREET1_Import_Export!$C191)+AE$62*(GREET1_Import_Export!$O77+GREET1_Import_Export!$H$179*GREET1_Import_Export!$B191+GREET1_Import_Export!$H191)+AE$63*(H$29*GREET1_Import_Export!$B77+$B255)+AE$64*(H$32*GREET1_Import_Export!$AA77+GREET1_Import_Export!$B295)+AE$65*($C255)+AE$67*GREET1_Import_Export!$B506+AE$68*GREET1_Import_Export!$C506+MAX(AE$73,0)*(MMULT('GREET2_Factors_T&amp;D'!$B20:$C20+0,H$37:H$38+0))+MAX(AE$74,0)*(MMULT('GREET2_Factors_T&amp;D'!$D20:$E20+0,H$35:H$36+0))</f>
        <v>52.227932652320916</v>
      </c>
      <c r="AF87" s="1013"/>
      <c r="AG87" s="749">
        <f t="array" ref="AG87">AG$60*(I$28*GREET1_Import_Export!$K77+GREET1_Import_Export!$F$179*GREET1_Import_Export!$B191+GREET1_Import_Export!$F191)+AG$61*(GREET1_Import_Export!$T77+GREET1_Import_Export!$C$179*GREET1_Import_Export!$B191+GREET1_Import_Export!$C191)+AG$62*(GREET1_Import_Export!$O77+GREET1_Import_Export!$H$179*GREET1_Import_Export!$B191+GREET1_Import_Export!$H191)+AG$63*(I$29*GREET1_Import_Export!$B77+$B255)+AG$64*(I$32*GREET1_Import_Export!$AA77+GREET1_Import_Export!$B295)+AG$65*($C255)+AG$67*GREET1_Import_Export!$B506+AG$68*GREET1_Import_Export!$C506+MAX(AG$73,0)*(MMULT('GREET2_Factors_T&amp;D'!$B20:$C20+0,I$37:I$38+0))+MAX(AG$74,0)*(MMULT('GREET2_Factors_T&amp;D'!$D20:$E20+0,I$35:I$36+0))</f>
        <v>51.331076991391967</v>
      </c>
      <c r="AH87" s="1013"/>
      <c r="AI87" s="749">
        <f t="array" ref="AI87">AI$60*(J$28*GREET1_Import_Export!$K77+GREET1_Import_Export!$F$179*GREET1_Import_Export!$B191+GREET1_Import_Export!$F191)+AI$61*(GREET1_Import_Export!$T77+GREET1_Import_Export!$C$179*GREET1_Import_Export!$B191+GREET1_Import_Export!$C191)+AI$62*(GREET1_Import_Export!$O77+GREET1_Import_Export!$H$179*GREET1_Import_Export!$B191+GREET1_Import_Export!$H191)+AI$63*(J$29*GREET1_Import_Export!$B77+$B255)+AI$64*(J$32*GREET1_Import_Export!$AA77+GREET1_Import_Export!$B295)+AI$65*($C255)+AI$67*GREET1_Import_Export!$B506+AI$68*GREET1_Import_Export!$C506+MAX(AI$73,0)*(MMULT('GREET2_Factors_T&amp;D'!$B20:$C20+0,J$37:J$38+0))+MAX(AI$74,0)*(MMULT('GREET2_Factors_T&amp;D'!$D20:$E20+0,J$35:J$36+0))</f>
        <v>161.7146880979451</v>
      </c>
      <c r="AJ87" s="1013"/>
      <c r="AK87" s="749">
        <f t="array" ref="AK87">AK$60*(K$28*GREET1_Import_Export!$K77+GREET1_Import_Export!$F$179*GREET1_Import_Export!$B191+GREET1_Import_Export!$F191)+AK$61*(GREET1_Import_Export!$T77+GREET1_Import_Export!$C$179*GREET1_Import_Export!$B191+GREET1_Import_Export!$C191)+AK$62*(GREET1_Import_Export!$O77+GREET1_Import_Export!$H$179*GREET1_Import_Export!$B191+GREET1_Import_Export!$H191)+AK$63*(K$29*GREET1_Import_Export!$B77+$B255)+AK$64*(K$32*GREET1_Import_Export!$AA77+GREET1_Import_Export!$B295)+AK$65*($C255)+AK$67*GREET1_Import_Export!$B506+AK$68*GREET1_Import_Export!$C506+MAX(AK$73,0)*(MMULT('GREET2_Factors_T&amp;D'!$B20:$C20+0,K$37:K$38+0))+MAX(AK$74,0)*(MMULT('GREET2_Factors_T&amp;D'!$D20:$E20+0,K$35:K$36+0))+AK$66*$D255</f>
        <v>60.546875952830234</v>
      </c>
      <c r="AL87" s="1013"/>
      <c r="AM87" s="749">
        <f t="array" ref="AM87">AM$60*(L$28*GREET1_Import_Export!$K77+GREET1_Import_Export!$F$179*GREET1_Import_Export!$B191+GREET1_Import_Export!$F191)+AM$61*(GREET1_Import_Export!$T77+GREET1_Import_Export!$C$179*GREET1_Import_Export!$B191+GREET1_Import_Export!$C191)+AM$62*(GREET1_Import_Export!$O77+GREET1_Import_Export!$H$179*GREET1_Import_Export!$B191+GREET1_Import_Export!$H191)+AM$63*(L$29*GREET1_Import_Export!$B77+$B255)+AM$64*(L$32*GREET1_Import_Export!$AA77+GREET1_Import_Export!$B295)+AM$65*($C255)+AM$67*GREET1_Import_Export!$B506+AM$68*GREET1_Import_Export!$C506+MAX(AM$73,0)*(MMULT('GREET2_Factors_T&amp;D'!$B20:$C20+0,L$37:L$38+0))+MAX(AM$74,0)*(MMULT('GREET2_Factors_T&amp;D'!$D20:$E20+0,L$35:L$36+0))</f>
        <v>160.92007436954833</v>
      </c>
      <c r="AN87" s="1013"/>
      <c r="AO87" s="749">
        <f t="array" ref="AO87">AO$60*(M$28*GREET1_Import_Export!$K77+GREET1_Import_Export!$F$179*GREET1_Import_Export!$B191+GREET1_Import_Export!$F191)+AO$61*(GREET1_Import_Export!$T77+GREET1_Import_Export!$C$179*GREET1_Import_Export!$B191+GREET1_Import_Export!$C191)+AO$62*(GREET1_Import_Export!$O77+GREET1_Import_Export!$H$179*GREET1_Import_Export!$B191+GREET1_Import_Export!$H191)+AO$63*(M$29*GREET1_Import_Export!$B77+$B255)+AO$64*(M$32*GREET1_Import_Export!$AA77+GREET1_Import_Export!$B295)+AO$65*($C255)+AO$67*GREET1_Import_Export!$B506+AO$68*GREET1_Import_Export!$C506+MAX(AO$73,0)*(MMULT('GREET2_Factors_T&amp;D'!$B20:$C20+0,M$37:M$38+0))+MAX(AO$74,0)*(MMULT('GREET2_Factors_T&amp;D'!$D20:$E20+0,M$35:M$36+0))</f>
        <v>54.335655335037067</v>
      </c>
      <c r="AP87" s="1013"/>
      <c r="AQ87" s="749">
        <f t="array" ref="AQ87">AQ$60*(N$28*GREET1_Import_Export!$K77+GREET1_Import_Export!$F$179*GREET1_Import_Export!$B191+GREET1_Import_Export!$F191)+AQ$61*(GREET1_Import_Export!$T77+GREET1_Import_Export!$C$179*GREET1_Import_Export!$B191+GREET1_Import_Export!$C191)+AQ$62*(GREET1_Import_Export!$O77+GREET1_Import_Export!$H$179*GREET1_Import_Export!$B191+GREET1_Import_Export!$H191)+AQ$63*(N$29*GREET1_Import_Export!$B77+$B255)+AQ$64*(N$32*GREET1_Import_Export!$AA77+GREET1_Import_Export!$B295)+AQ$65*($C255)+AQ$67*GREET1_Import_Export!$B506+AQ$68*GREET1_Import_Export!$C506+MAX(AQ$73,0)*(MMULT('GREET2_Factors_T&amp;D'!$B20:$C20+0,N$37:N$38+0))+MAX(AQ$74,0)*(MMULT('GREET2_Factors_T&amp;D'!$D20:$E20+0,N$35:N$36+0))+AQ$66*$D255</f>
        <v>41.174259967978749</v>
      </c>
      <c r="AR87" s="1013"/>
      <c r="AS87" s="749">
        <f t="array" ref="AS87">AS$60*(O$28*GREET1_Import_Export!$K77+GREET1_Import_Export!$F$179*GREET1_Import_Export!$B191+GREET1_Import_Export!$F191)+AS$61*(GREET1_Import_Export!$T77+GREET1_Import_Export!$C$179*GREET1_Import_Export!$B191+GREET1_Import_Export!$C191)+AS$62*(GREET1_Import_Export!$O77+GREET1_Import_Export!$H$179*GREET1_Import_Export!$B191+GREET1_Import_Export!$H191)+AS$63*(O$29*GREET1_Import_Export!$B77+$B255)+AS$64*(O$32*GREET1_Import_Export!$AA77+GREET1_Import_Export!$B295)+AS$65*($C255)+AS$67*GREET1_Import_Export!$B506+AS$68*GREET1_Import_Export!$C506+MAX(AS$73,0)*(MMULT('GREET2_Factors_T&amp;D'!$B20:$C20+0,O$37:O$38+0))+MAX(AS$74,0)*(MMULT('GREET2_Factors_T&amp;D'!$D20:$E20+0,O$35:O$36+0))</f>
        <v>160.92007436954833</v>
      </c>
      <c r="AT87" s="1013"/>
    </row>
    <row r="88" spans="1:46">
      <c r="A88" s="661" t="s">
        <v>827</v>
      </c>
      <c r="B88" s="578">
        <f t="array" aca="1" ref="B88" ca="1">B$60*(B$28*GREET1_Import_Export!$K78+GREET1_Import_Export!$F$179*GREET1_Import_Export!$B192+GREET1_Import_Export!$F192)+B$61*(B$40*GREET1_Import_Export!$T78+B$41*GREET1_Import_Export!$B138+GREET1_Import_Export!$C$179*GREET1_Import_Export!$B192+GREET1_Import_Export!$C192)+B$62*(B$42*GREET1_Import_Export!$R78+B$43*GREET1_Import_Export!$B152+GREET1_Import_Export!$H$179*GREET1_Import_Export!$B192+GREET1_Import_Export!$H192)+B$63*(B$29*GREET1_Import_Export!$B78+B$31*GREET1_Import_Export!$B124+$B256)+B$64*(B$32*GREET1_Import_Export!$AA78+GREET1_Import_Export!$B296)+B$65*($C256)+B$67*GREET1_Import_Export!$B507+B$68*GREET1_Import_Export!$C507+B$69*SUM($B88:$C88)+MAX(B$73,0)*(MMULT('GREET2_Factors_T&amp;D'!$B21:$C21+0,B$37:B$38+0))+MAX(B$74,0)*(MMULT('GREET2_Factors_T&amp;D'!$D21:$E21+0,B$35:B$36+0))+B$70*B$33*GREET1_Import_Export!$AC78</f>
        <v>0.26228617155393219</v>
      </c>
      <c r="C88" s="478"/>
      <c r="D88" s="578">
        <f t="array" aca="1" ref="D88" ca="1">D$60*(C$28*GREET1_Import_Export!$K78+GREET1_Import_Export!$F$179*GREET1_Import_Export!$B192+GREET1_Import_Export!$F192)+D$61*(C$40*GREET1_Import_Export!$T78+C$41*GREET1_Import_Export!$B138+GREET1_Import_Export!$C$179*GREET1_Import_Export!$B192+GREET1_Import_Export!$C192)+D$62*(C$42*GREET1_Import_Export!$R78+C$43*GREET1_Import_Export!$B152+GREET1_Import_Export!$H$179*GREET1_Import_Export!$B192+GREET1_Import_Export!$H192)+D$63*(C$29*GREET1_Import_Export!$B78+C$31*GREET1_Import_Export!$B124+$B256)+D$64*(C$32*GREET1_Import_Export!$AA78+GREET1_Import_Export!$B296)+D$65*($C256)+D$67*GREET1_Import_Export!$B507+D$68*GREET1_Import_Export!$C507+D$69*SUM($B88:$C88)+MAX(D$73,0)*(MMULT('GREET2_Factors_T&amp;D'!$B21:$C21+0,C$37:C$38+0))+MAX(D$74,0)*(MMULT('GREET2_Factors_T&amp;D'!$D21:$E21+0,C$35:C$36+0))+D$70*C$33*GREET1_Import_Export!$AC78</f>
        <v>1.7866069846975439</v>
      </c>
      <c r="E88" s="1553"/>
      <c r="F88" s="478">
        <f>F$70*(GREET1_Import_Export!$B192*GREET1_Import_Export!$I$179+GREET1_Import_Export!$I192)+(F$71+F$72)*(GREET1_Import_Export!$B192*GREET1_Import_Export!$F$179+GREET1_Import_Export!$F192)</f>
        <v>-0.17561742653226819</v>
      </c>
      <c r="G88" s="578">
        <f t="array" aca="1" ref="G88" ca="1">G$60*(D$28*GREET1_Import_Export!$K78+GREET1_Import_Export!$F$179*GREET1_Import_Export!$B192+GREET1_Import_Export!$F192)+G$61*(D$40*GREET1_Import_Export!$T78+D$41*GREET1_Import_Export!$B138+GREET1_Import_Export!$C$179*GREET1_Import_Export!$B192+GREET1_Import_Export!$C192)+G$62*(D$42*GREET1_Import_Export!$R78+D$43*GREET1_Import_Export!$B152+GREET1_Import_Export!$H$179*GREET1_Import_Export!$B192+GREET1_Import_Export!$H192)+G$63*(D$29*GREET1_Import_Export!$B78+D$31*GREET1_Import_Export!$B124+$B256)+G$64*(D$32*GREET1_Import_Export!$AA78+GREET1_Import_Export!$B296)+G$65*($C256)+G$67*GREET1_Import_Export!$B507+G$68*GREET1_Import_Export!$C507+G$69*SUM($B88:$C88)+MAX(G$73,0)*(MMULT('GREET2_Factors_T&amp;D'!$B21:$C21+0,D$37:D$38+0))+MAX(G$74,0)*(MMULT('GREET2_Factors_T&amp;D'!$D21:$E21+0,D$35:D$36+0))+G$70*D$33*GREET1_Import_Export!$AC78</f>
        <v>0.19046665492424633</v>
      </c>
      <c r="H88" s="478"/>
      <c r="I88" s="578">
        <f t="array" aca="1" ref="I88" ca="1">I$60*(E$28*GREET1_Import_Export!$K78+GREET1_Import_Export!$F$179*GREET1_Import_Export!$B192+GREET1_Import_Export!$F192)+I$61*(E$40*GREET1_Import_Export!$T78+E$41*GREET1_Import_Export!$B138+GREET1_Import_Export!$C$179*GREET1_Import_Export!$B192+GREET1_Import_Export!$C192)+I$62*(E$42*GREET1_Import_Export!$R78+E$43*GREET1_Import_Export!$B152+GREET1_Import_Export!$H$179*GREET1_Import_Export!$B192+GREET1_Import_Export!$H192)+I$63*(E$29*GREET1_Import_Export!$B78+E$31*GREET1_Import_Export!$B124+$B256)+I$64*(E$32*GREET1_Import_Export!$AA78+GREET1_Import_Export!$B296)+I$65*($C256)+I$67*GREET1_Import_Export!$B507+I$68*GREET1_Import_Export!$C507+I$69*SUM($B88:$C88)+MAX(I$73,0)*(MMULT('GREET2_Factors_T&amp;D'!$B21:$C21+0,E$37:E$38+0))+MAX(I$74,0)*(MMULT('GREET2_Factors_T&amp;D'!$D21:$E21+0,E$35:E$36+0))+I$70*E$33*GREET1_Import_Export!$AC78</f>
        <v>1.2764401840031461</v>
      </c>
      <c r="J88" s="478"/>
      <c r="K88" s="578">
        <f t="array" aca="1" ref="K88" ca="1">K$60*(F$28*GREET1_Import_Export!$K78+GREET1_Import_Export!$F$179*GREET1_Import_Export!$B192+GREET1_Import_Export!$F192)+K$61*(F$40*GREET1_Import_Export!$T78+F$41*GREET1_Import_Export!$B138+GREET1_Import_Export!$C$179*GREET1_Import_Export!$B192+GREET1_Import_Export!$C192)+K$62*(F$42*GREET1_Import_Export!$R78+F$43*GREET1_Import_Export!$B152+GREET1_Import_Export!$H$179*GREET1_Import_Export!$B192+GREET1_Import_Export!$H192)+K$63*(F$29*GREET1_Import_Export!$B78+F$31*GREET1_Import_Export!$B124+$B256)+K$64*(F$32*GREET1_Import_Export!$AA78+GREET1_Import_Export!$B296)+K$65*($C256)+K$67*GREET1_Import_Export!$B507+K$68*GREET1_Import_Export!$C507+K$69*SUM($B88:$C88)+MAX(K$73,0)*(MMULT('GREET2_Factors_T&amp;D'!$B21:$C21+0,F$37:F$38+0))+MAX(K$74,0)*(MMULT('GREET2_Factors_T&amp;D'!$D21:$E21+0,F$35:F$36+0))+K$70*F$33*GREET1_Import_Export!$AC78</f>
        <v>0.77859179022734237</v>
      </c>
      <c r="L88" s="478"/>
      <c r="M88" s="578">
        <f t="array" aca="1" ref="M88" ca="1">M$60*(G$28*GREET1_Import_Export!$K78+GREET1_Import_Export!$F$179*GREET1_Import_Export!$B192+GREET1_Import_Export!$F192)+M$61*(G$40*GREET1_Import_Export!$T78+G$41*GREET1_Import_Export!$B138+GREET1_Import_Export!$C$179*GREET1_Import_Export!$B192+GREET1_Import_Export!$C192)+M$62*(G$42*GREET1_Import_Export!$R78+G$43*GREET1_Import_Export!$B152+GREET1_Import_Export!$H$179*GREET1_Import_Export!$B192+GREET1_Import_Export!$H192)+M$63*(G$29*GREET1_Import_Export!$B78+G$31*GREET1_Import_Export!$B124+$B256)+M$64*(G$32*GREET1_Import_Export!$AA78+GREET1_Import_Export!$B296)+M$65*($C256)+M$67*GREET1_Import_Export!$B507+M$68*GREET1_Import_Export!$C507+M$69*SUM($B88:$C88)+MAX(M$73,0)*(MMULT('GREET2_Factors_T&amp;D'!$B21:$C21+0,G$37:G$38+0))+MAX(M$74,0)*(MMULT('GREET2_Factors_T&amp;D'!$D21:$E21+0,G$35:G$36+0))+M$70*G$33*GREET1_Import_Export!$AC78</f>
        <v>1.9131523752445965</v>
      </c>
      <c r="N88" s="478"/>
      <c r="O88" s="578">
        <f t="array" aca="1" ref="O88" ca="1">O$60*(P$28*GREET1_Import_Export!$K78+GREET1_Import_Export!$F$179*GREET1_Import_Export!$B192+GREET1_Import_Export!$F192)+O$61*(GREET1_Import_Export!$T78+GREET1_Import_Export!$C$179*GREET1_Import_Export!$B192+GREET1_Import_Export!$C192)+O$62*(GREET1_Import_Export!$O78+GREET1_Import_Export!$G$179*GREET1_Import_Export!$B192+GREET1_Import_Export!$G192)+O$63*(P$29*GREET1_Import_Export!$B78+$B256)+O$64*(P$32*GREET1_Import_Export!$AA78+GREET1_Import_Export!$B296)+O$65*($C256)+O$67*GREET1_Import_Export!$B507+O$68*GREET1_Import_Export!$C507+O$69*SUM($B88:$C88)+MAX(O$73,0)*(MMULT('GREET2_Factors_T&amp;D'!$B21:$C21+0,P$37:P$38+0))+MAX(O$74,0)*(MMULT('GREET2_Factors_T&amp;D'!$D21:$E21+0,P$35:P$36+0))</f>
        <v>1.2810490562317922</v>
      </c>
      <c r="P88" s="478"/>
      <c r="Q88" s="578">
        <f t="array" aca="1" ref="Q88" ca="1">Q$60*(Q$28*GREET1_Import_Export!$K78+GREET1_Import_Export!$F$179*GREET1_Import_Export!$B192+GREET1_Import_Export!$F192)+Q$61*(GREET1_Import_Export!$T78+GREET1_Import_Export!$C$179*GREET1_Import_Export!$B192+GREET1_Import_Export!$C192)+Q$62*(GREET1_Import_Export!$O78+GREET1_Import_Export!$G$179*GREET1_Import_Export!$B192+GREET1_Import_Export!$G192)+Q$63*(Q$29*GREET1_Import_Export!$B78+$B256)+Q$64*(Q$32*GREET1_Import_Export!$AA78+GREET1_Import_Export!$B296)+Q$65*($C256)+Q$67*GREET1_Import_Export!$B507+Q$68*GREET1_Import_Export!$C507+Q$69*SUM($B88:$C88)+MAX(Q$73,0)*(MMULT('GREET2_Factors_T&amp;D'!$B21:$C21+0,Q$37:Q$38+0))+MAX(Q$74,0)*(MMULT('GREET2_Factors_T&amp;D'!$D21:$E21+0,Q$35:Q$36+0))</f>
        <v>3.2006894345763273E-2</v>
      </c>
      <c r="R88" s="478"/>
      <c r="S88" s="1553">
        <f t="array" aca="1" ref="S88" ca="1">S$60*(R$28*GREET1_Import_Export!$K78+GREET1_Import_Export!$F$179*GREET1_Import_Export!$B192+GREET1_Import_Export!$F192)+S$61*(GREET1_Import_Export!$T78+GREET1_Import_Export!$C$179*GREET1_Import_Export!$B192+GREET1_Import_Export!$C192)+S$62*(GREET1_Import_Export!$O78+GREET1_Import_Export!$G$179*GREET1_Import_Export!$B192+GREET1_Import_Export!$G192)+S$63*(R$29*GREET1_Import_Export!$B78+$B256)+S$64*(R$32*GREET1_Import_Export!$AA78+GREET1_Import_Export!$B296)+S$65*($C256)+S$67*GREET1_Import_Export!$B507+S$68*GREET1_Import_Export!$C507+S$69*SUM($B88:$C88)+MAX(S$73,0)*(MMULT('GREET2_Factors_T&amp;D'!$B21:$C21+0,R$37:R$38+0))+MAX(S$74,0)*(MMULT('GREET2_Factors_T&amp;D'!$D21:$E21+0,R$35:R$36+0))</f>
        <v>0.87146116135488039</v>
      </c>
      <c r="T88" s="1553"/>
      <c r="U88" s="578">
        <f t="array" aca="1" ref="U88" ca="1">U$60*(S$28*GREET1_Import_Export!$K78+GREET1_Import_Export!$F$179*GREET1_Import_Export!$B192+GREET1_Import_Export!$F192)+U$61*(GREET1_Import_Export!$T78+GREET1_Import_Export!$C$179*GREET1_Import_Export!$B192+GREET1_Import_Export!$C192)+U$62*(GREET1_Import_Export!$O78+GREET1_Import_Export!$G$179*GREET1_Import_Export!$B192+GREET1_Import_Export!$G192)+U$63*(S$29*GREET1_Import_Export!$B78+$B256)+U$64*(S$32*GREET1_Import_Export!$AA78+GREET1_Import_Export!$B296)+U$65*($C256)+U$67*GREET1_Import_Export!$B507+U$68*GREET1_Import_Export!$C507+U$69*SUM($B88:$C88)+MAX(U$73,0)*(MMULT('GREET2_Factors_T&amp;D'!$B21:$C21+0,S$37:S$38+0))+MAX(U$74,0)*(MMULT('GREET2_Factors_T&amp;D'!$D21:$E21+0,S$35:S$36+0))</f>
        <v>0.83737077012793082</v>
      </c>
      <c r="V88" s="478"/>
      <c r="W88" s="1553">
        <f t="array" aca="1" ref="W88" ca="1">W$60*(T$28*GREET1_Import_Export!$K78+GREET1_Import_Export!$F$179*GREET1_Import_Export!$B192+GREET1_Import_Export!$F192)+W$61*(GREET1_Import_Export!$T78+GREET1_Import_Export!$C$179*GREET1_Import_Export!$B192+GREET1_Import_Export!$C192)+W$62*(GREET1_Import_Export!$O78+GREET1_Import_Export!$G$179*GREET1_Import_Export!$B192+GREET1_Import_Export!$G192)+W$63*(T$29*GREET1_Import_Export!$B78+$B256)+W$64*(T$32*GREET1_Import_Export!$AA78+GREET1_Import_Export!$B296)+W$65*($C256)+W$67*GREET1_Import_Export!$B507+W$68*GREET1_Import_Export!$C507+W$69*SUM($B88:$C88)+MAX(W$73,0)*(MMULT('GREET2_Factors_T&amp;D'!$B21:$C21+0,T$37:T$38+0))+MAX(W$74,0)*(MMULT('GREET2_Factors_T&amp;D'!$D21:$E21+0,T$35:T$36+0))</f>
        <v>0.38899796164258682</v>
      </c>
      <c r="X88" s="1553"/>
      <c r="Y88" s="578">
        <f t="array" aca="1" ref="Y88" ca="1">Y$60*(U$28*GREET1_Import_Export!$K78+GREET1_Import_Export!$F$179*GREET1_Import_Export!$B192+GREET1_Import_Export!$F192)+Y$61*(GREET1_Import_Export!$T78+GREET1_Import_Export!$C$179*GREET1_Import_Export!$B192+GREET1_Import_Export!$C192)+Y$62*(GREET1_Import_Export!$O78+GREET1_Import_Export!$G$179*GREET1_Import_Export!$B192+GREET1_Import_Export!$G192)+Y$63*(U$29*GREET1_Import_Export!$B78+$B256)+Y$64*(U$32*GREET1_Import_Export!$AA78+GREET1_Import_Export!$B296)+Y$65*($C256)+Y$67*GREET1_Import_Export!$B507+Y$68*GREET1_Import_Export!$C507+Y$69*SUM($B88:$C88)+MAX(Y$73,0)*(MMULT('GREET2_Factors_T&amp;D'!$B21:$C21+0,U$37:U$38+0))+MAX(Y$74,0)*(MMULT('GREET2_Factors_T&amp;D'!$D21:$E21+0,U$35:U$36+0))</f>
        <v>1.0103192510809942</v>
      </c>
      <c r="Z88" s="478"/>
      <c r="AA88" s="1553">
        <f t="array" aca="1" ref="AA88" ca="1">AA$60*(V$28*GREET1_Import_Export!$K78+GREET1_Import_Export!$F$179*GREET1_Import_Export!$B192+GREET1_Import_Export!$F192)+AA$61*(GREET1_Import_Export!$T78+GREET1_Import_Export!$C$179*GREET1_Import_Export!$B192+GREET1_Import_Export!$C192)+AA$62*(GREET1_Import_Export!$O78+GREET1_Import_Export!$G$179*GREET1_Import_Export!$B192+GREET1_Import_Export!$G192)+AA$63*(V$29*GREET1_Import_Export!$B78+$B256)+AA$64*(V$32*GREET1_Import_Export!$AA78+GREET1_Import_Export!$B296)+AA$65*($C256)+AA$67*GREET1_Import_Export!$B507+AA$68*GREET1_Import_Export!$C507+AA$69*SUM($B88:$C88)+MAX(AA$73,0)*(MMULT('GREET2_Factors_T&amp;D'!$B21:$C21+0,V$37:V$38+0))+MAX(AA$74,0)*(MMULT('GREET2_Factors_T&amp;D'!$D21:$E21+0,V$35:V$36+0))</f>
        <v>1.9491179497586983</v>
      </c>
      <c r="AB88" s="478"/>
      <c r="AC88" s="1553">
        <f t="array" aca="1" ref="AC88" ca="1">AC$60*(W$28*GREET1_Import_Export!$K78+GREET1_Import_Export!$F$179*GREET1_Import_Export!$B192+GREET1_Import_Export!$F192)+AC$61*(GREET1_Import_Export!$T78+GREET1_Import_Export!$C$179*GREET1_Import_Export!$B192+GREET1_Import_Export!$C192)+AC$62*(GREET1_Import_Export!$O78+GREET1_Import_Export!$G$179*GREET1_Import_Export!$B192+GREET1_Import_Export!$G192)+AC$63*(W$29*GREET1_Import_Export!$B78+$B256)+AC$64*(W$32*GREET1_Import_Export!$AA78+GREET1_Import_Export!$B296)+AC$65*($C256)+AC$67*GREET1_Import_Export!$B507+AC$68*GREET1_Import_Export!$C507+AC$69*SUM($B88:$C88)+MAX(AC$73,0)*(MMULT('GREET2_Factors_T&amp;D'!$B21:$C21+0,W$37:W$38+0))+MAX(AC$74,0)*(MMULT('GREET2_Factors_T&amp;D'!$D21:$E21+0,W$35:W$36+0))</f>
        <v>0.24428145805531498</v>
      </c>
      <c r="AD88" s="478"/>
      <c r="AE88" s="749">
        <f t="array" ref="AE88">AE$60*(H$28*GREET1_Import_Export!$K78+GREET1_Import_Export!$F$179*GREET1_Import_Export!$B192+GREET1_Import_Export!$F192)+AE$61*(GREET1_Import_Export!$T78+GREET1_Import_Export!$C$179*GREET1_Import_Export!$B192+GREET1_Import_Export!$C192)+AE$62*(GREET1_Import_Export!$O78+GREET1_Import_Export!$H$179*GREET1_Import_Export!$B192+GREET1_Import_Export!$H192)+AE$63*(H$29*GREET1_Import_Export!$B78+$B256)+AE$64*(H$32*GREET1_Import_Export!$AA78+GREET1_Import_Export!$B296)+AE$65*($C256)+AE$67*GREET1_Import_Export!$B507+AE$68*GREET1_Import_Export!$C507+MAX(AE$73,0)*(MMULT('GREET2_Factors_T&amp;D'!$B21:$C21+0,H$37:H$38+0))+MAX(AE$74,0)*(MMULT('GREET2_Factors_T&amp;D'!$D21:$E21+0,H$35:H$36+0))</f>
        <v>22.862373003714456</v>
      </c>
      <c r="AF88" s="1013"/>
      <c r="AG88" s="749">
        <f t="array" ref="AG88">AG$60*(I$28*GREET1_Import_Export!$K78+GREET1_Import_Export!$F$179*GREET1_Import_Export!$B192+GREET1_Import_Export!$F192)+AG$61*(GREET1_Import_Export!$T78+GREET1_Import_Export!$C$179*GREET1_Import_Export!$B192+GREET1_Import_Export!$C192)+AG$62*(GREET1_Import_Export!$O78+GREET1_Import_Export!$H$179*GREET1_Import_Export!$B192+GREET1_Import_Export!$H192)+AG$63*(I$29*GREET1_Import_Export!$B78+$B256)+AG$64*(I$32*GREET1_Import_Export!$AA78+GREET1_Import_Export!$B296)+AG$65*($C256)+AG$67*GREET1_Import_Export!$B507+AG$68*GREET1_Import_Export!$C507+MAX(AG$73,0)*(MMULT('GREET2_Factors_T&amp;D'!$B21:$C21+0,I$37:I$38+0))+MAX(AG$74,0)*(MMULT('GREET2_Factors_T&amp;D'!$D21:$E21+0,I$35:I$36+0))</f>
        <v>1.6350037871112439</v>
      </c>
      <c r="AH88" s="1013"/>
      <c r="AI88" s="749">
        <f t="array" ref="AI88">AI$60*(J$28*GREET1_Import_Export!$K78+GREET1_Import_Export!$F$179*GREET1_Import_Export!$B192+GREET1_Import_Export!$F192)+AI$61*(GREET1_Import_Export!$T78+GREET1_Import_Export!$C$179*GREET1_Import_Export!$B192+GREET1_Import_Export!$C192)+AI$62*(GREET1_Import_Export!$O78+GREET1_Import_Export!$H$179*GREET1_Import_Export!$B192+GREET1_Import_Export!$H192)+AI$63*(J$29*GREET1_Import_Export!$B78+$B256)+AI$64*(J$32*GREET1_Import_Export!$AA78+GREET1_Import_Export!$B296)+AI$65*($C256)+AI$67*GREET1_Import_Export!$B507+AI$68*GREET1_Import_Export!$C507+MAX(AI$73,0)*(MMULT('GREET2_Factors_T&amp;D'!$B21:$C21+0,J$37:J$38+0))+MAX(AI$74,0)*(MMULT('GREET2_Factors_T&amp;D'!$D21:$E21+0,J$35:J$36+0))</f>
        <v>7.4748350900451879</v>
      </c>
      <c r="AJ88" s="1013"/>
      <c r="AK88" s="749">
        <f t="array" ref="AK88">AK$60*(K$28*GREET1_Import_Export!$K78+GREET1_Import_Export!$F$179*GREET1_Import_Export!$B192+GREET1_Import_Export!$F192)+AK$61*(GREET1_Import_Export!$T78+GREET1_Import_Export!$C$179*GREET1_Import_Export!$B192+GREET1_Import_Export!$C192)+AK$62*(GREET1_Import_Export!$O78+GREET1_Import_Export!$H$179*GREET1_Import_Export!$B192+GREET1_Import_Export!$H192)+AK$63*(K$29*GREET1_Import_Export!$B78+$B256)+AK$64*(K$32*GREET1_Import_Export!$AA78+GREET1_Import_Export!$B296)+AK$65*($C256)+AK$67*GREET1_Import_Export!$B507+AK$68*GREET1_Import_Export!$C507+MAX(AK$73,0)*(MMULT('GREET2_Factors_T&amp;D'!$B21:$C21+0,K$37:K$38+0))+MAX(AK$74,0)*(MMULT('GREET2_Factors_T&amp;D'!$D21:$E21+0,K$35:K$36+0))+AK$66*$D256</f>
        <v>1.4426118509451742</v>
      </c>
      <c r="AL88" s="1013"/>
      <c r="AM88" s="749">
        <f t="array" ref="AM88">AM$60*(L$28*GREET1_Import_Export!$K78+GREET1_Import_Export!$F$179*GREET1_Import_Export!$B192+GREET1_Import_Export!$F192)+AM$61*(GREET1_Import_Export!$T78+GREET1_Import_Export!$C$179*GREET1_Import_Export!$B192+GREET1_Import_Export!$C192)+AM$62*(GREET1_Import_Export!$O78+GREET1_Import_Export!$H$179*GREET1_Import_Export!$B192+GREET1_Import_Export!$H192)+AM$63*(L$29*GREET1_Import_Export!$B78+$B256)+AM$64*(L$32*GREET1_Import_Export!$AA78+GREET1_Import_Export!$B296)+AM$65*($C256)+AM$67*GREET1_Import_Export!$B507+AM$68*GREET1_Import_Export!$C507+MAX(AM$73,0)*(MMULT('GREET2_Factors_T&amp;D'!$B21:$C21+0,L$37:L$38+0))+MAX(AM$74,0)*(MMULT('GREET2_Factors_T&amp;D'!$D21:$E21+0,L$35:L$36+0))</f>
        <v>1.2689717500389766</v>
      </c>
      <c r="AN88" s="1013"/>
      <c r="AO88" s="749">
        <f t="array" ref="AO88">AO$60*(M$28*GREET1_Import_Export!$K78+GREET1_Import_Export!$F$179*GREET1_Import_Export!$B192+GREET1_Import_Export!$F192)+AO$61*(GREET1_Import_Export!$T78+GREET1_Import_Export!$C$179*GREET1_Import_Export!$B192+GREET1_Import_Export!$C192)+AO$62*(GREET1_Import_Export!$O78+GREET1_Import_Export!$H$179*GREET1_Import_Export!$B192+GREET1_Import_Export!$H192)+AO$63*(M$29*GREET1_Import_Export!$B78+$B256)+AO$64*(M$32*GREET1_Import_Export!$AA78+GREET1_Import_Export!$B296)+AO$65*($C256)+AO$67*GREET1_Import_Export!$B507+AO$68*GREET1_Import_Export!$C507+MAX(AO$73,0)*(MMULT('GREET2_Factors_T&amp;D'!$B21:$C21+0,M$37:M$38+0))+MAX(AO$74,0)*(MMULT('GREET2_Factors_T&amp;D'!$D21:$E21+0,M$35:M$36+0))</f>
        <v>23.78501228337786</v>
      </c>
      <c r="AP88" s="1013"/>
      <c r="AQ88" s="749">
        <f t="array" ref="AQ88">AQ$60*(N$28*GREET1_Import_Export!$K78+GREET1_Import_Export!$F$179*GREET1_Import_Export!$B192+GREET1_Import_Export!$F192)+AQ$61*(GREET1_Import_Export!$T78+GREET1_Import_Export!$C$179*GREET1_Import_Export!$B192+GREET1_Import_Export!$C192)+AQ$62*(GREET1_Import_Export!$O78+GREET1_Import_Export!$H$179*GREET1_Import_Export!$B192+GREET1_Import_Export!$H192)+AQ$63*(N$29*GREET1_Import_Export!$B78+$B256)+AQ$64*(N$32*GREET1_Import_Export!$AA78+GREET1_Import_Export!$B296)+AQ$65*($C256)+AQ$67*GREET1_Import_Export!$B507+AQ$68*GREET1_Import_Export!$C507+MAX(AQ$73,0)*(MMULT('GREET2_Factors_T&amp;D'!$B21:$C21+0,N$37:N$38+0))+MAX(AQ$74,0)*(MMULT('GREET2_Factors_T&amp;D'!$D21:$E21+0,N$35:N$36+0))+AQ$66*$D256</f>
        <v>0.28750192153049131</v>
      </c>
      <c r="AR88" s="1013"/>
      <c r="AS88" s="749">
        <f t="array" ref="AS88">AS$60*(O$28*GREET1_Import_Export!$K78+GREET1_Import_Export!$F$179*GREET1_Import_Export!$B192+GREET1_Import_Export!$F192)+AS$61*(GREET1_Import_Export!$T78+GREET1_Import_Export!$C$179*GREET1_Import_Export!$B192+GREET1_Import_Export!$C192)+AS$62*(GREET1_Import_Export!$O78+GREET1_Import_Export!$H$179*GREET1_Import_Export!$B192+GREET1_Import_Export!$H192)+AS$63*(O$29*GREET1_Import_Export!$B78+$B256)+AS$64*(O$32*GREET1_Import_Export!$AA78+GREET1_Import_Export!$B296)+AS$65*($C256)+AS$67*GREET1_Import_Export!$B507+AS$68*GREET1_Import_Export!$C507+MAX(AS$73,0)*(MMULT('GREET2_Factors_T&amp;D'!$B21:$C21+0,O$37:O$38+0))+MAX(AS$74,0)*(MMULT('GREET2_Factors_T&amp;D'!$D21:$E21+0,O$35:O$36+0))</f>
        <v>1.2689717500389766</v>
      </c>
      <c r="AT88" s="1013"/>
    </row>
    <row r="89" spans="1:46">
      <c r="A89" s="661" t="s">
        <v>828</v>
      </c>
      <c r="B89" s="578">
        <f t="array" aca="1" ref="B89" ca="1">B$60*(B$28*GREET1_Import_Export!$K79+GREET1_Import_Export!$F$179*GREET1_Import_Export!$B193+GREET1_Import_Export!$F193)+B$61*(B$40*GREET1_Import_Export!$T79+B$41*GREET1_Import_Export!$B139+GREET1_Import_Export!$C$179*GREET1_Import_Export!$B193+GREET1_Import_Export!$C193)+B$62*(B$42*GREET1_Import_Export!$R79+B$43*GREET1_Import_Export!$B153+GREET1_Import_Export!$H$179*GREET1_Import_Export!$B193+GREET1_Import_Export!$H193)+B$63*(B$29*GREET1_Import_Export!$B79+B$31*GREET1_Import_Export!$B125+$B257)+B$64*(B$32*GREET1_Import_Export!$AA79+GREET1_Import_Export!$B297)+B$65*($C257)+B$67*GREET1_Import_Export!$B508+B$68*GREET1_Import_Export!$C508+B$69*SUM($B89:$C89)+MAX(B$73,0)*(MMULT('GREET2_Factors_T&amp;D'!$B22:$C22+0,B$37:B$38+0))+MAX(B$74,0)*(MMULT('GREET2_Factors_T&amp;D'!$D22:$E22+0,B$35:B$36+0))+B$70*B$33*GREET1_Import_Export!$AC79</f>
        <v>0.32795763663947602</v>
      </c>
      <c r="C89" s="478"/>
      <c r="D89" s="578">
        <f t="array" aca="1" ref="D89" ca="1">D$60*(C$28*GREET1_Import_Export!$K79+GREET1_Import_Export!$F$179*GREET1_Import_Export!$B193+GREET1_Import_Export!$F193)+D$61*(C$40*GREET1_Import_Export!$T79+C$41*GREET1_Import_Export!$B139+GREET1_Import_Export!$C$179*GREET1_Import_Export!$B193+GREET1_Import_Export!$C193)+D$62*(C$42*GREET1_Import_Export!$R79+C$43*GREET1_Import_Export!$B153+GREET1_Import_Export!$H$179*GREET1_Import_Export!$B193+GREET1_Import_Export!$H193)+D$63*(C$29*GREET1_Import_Export!$B79+C$31*GREET1_Import_Export!$B125+$B257)+D$64*(C$32*GREET1_Import_Export!$AA79+GREET1_Import_Export!$B297)+D$65*($C257)+D$67*GREET1_Import_Export!$B508+D$68*GREET1_Import_Export!$C508+D$69*SUM($B89:$C89)+MAX(D$73,0)*(MMULT('GREET2_Factors_T&amp;D'!$B22:$C22+0,C$37:C$38+0))+MAX(D$74,0)*(MMULT('GREET2_Factors_T&amp;D'!$D22:$E22+0,C$35:C$36+0))+D$70*C$33*GREET1_Import_Export!$AC79</f>
        <v>4.4804205166584126</v>
      </c>
      <c r="E89" s="1553"/>
      <c r="F89" s="478">
        <f>F$70*(GREET1_Import_Export!$B193*GREET1_Import_Export!$I$179+GREET1_Import_Export!$I193)+(F$71+F$72)*(GREET1_Import_Export!$B193*GREET1_Import_Export!$F$179+GREET1_Import_Export!$F193)</f>
        <v>-0.34978295643930263</v>
      </c>
      <c r="G89" s="578">
        <f t="array" aca="1" ref="G89" ca="1">G$60*(D$28*GREET1_Import_Export!$K79+GREET1_Import_Export!$F$179*GREET1_Import_Export!$B193+GREET1_Import_Export!$F193)+G$61*(D$40*GREET1_Import_Export!$T79+D$41*GREET1_Import_Export!$B139+GREET1_Import_Export!$C$179*GREET1_Import_Export!$B193+GREET1_Import_Export!$C193)+G$62*(D$42*GREET1_Import_Export!$R79+D$43*GREET1_Import_Export!$B153+GREET1_Import_Export!$H$179*GREET1_Import_Export!$B193+GREET1_Import_Export!$H193)+G$63*(D$29*GREET1_Import_Export!$B79+D$31*GREET1_Import_Export!$B125+$B257)+G$64*(D$32*GREET1_Import_Export!$AA79+GREET1_Import_Export!$B297)+G$65*($C257)+G$67*GREET1_Import_Export!$B508+G$68*GREET1_Import_Export!$C508+G$69*SUM($B89:$C89)+MAX(G$73,0)*(MMULT('GREET2_Factors_T&amp;D'!$B22:$C22+0,D$37:D$38+0))+MAX(G$74,0)*(MMULT('GREET2_Factors_T&amp;D'!$D22:$E22+0,D$35:D$36+0))+G$70*D$33*GREET1_Import_Export!$AC79</f>
        <v>0.55667071760470621</v>
      </c>
      <c r="H89" s="478"/>
      <c r="I89" s="578">
        <f t="array" aca="1" ref="I89" ca="1">I$60*(E$28*GREET1_Import_Export!$K79+GREET1_Import_Export!$F$179*GREET1_Import_Export!$B193+GREET1_Import_Export!$F193)+I$61*(E$40*GREET1_Import_Export!$T79+E$41*GREET1_Import_Export!$B139+GREET1_Import_Export!$C$179*GREET1_Import_Export!$B193+GREET1_Import_Export!$C193)+I$62*(E$42*GREET1_Import_Export!$R79+E$43*GREET1_Import_Export!$B153+GREET1_Import_Export!$H$179*GREET1_Import_Export!$B193+GREET1_Import_Export!$H193)+I$63*(E$29*GREET1_Import_Export!$B79+E$31*GREET1_Import_Export!$B125+$B257)+I$64*(E$32*GREET1_Import_Export!$AA79+GREET1_Import_Export!$B297)+I$65*($C257)+I$67*GREET1_Import_Export!$B508+I$68*GREET1_Import_Export!$C508+I$69*SUM($B89:$C89)+MAX(I$73,0)*(MMULT('GREET2_Factors_T&amp;D'!$B22:$C22+0,E$37:E$38+0))+MAX(I$74,0)*(MMULT('GREET2_Factors_T&amp;D'!$D22:$E22+0,E$35:E$36+0))+I$70*E$33*GREET1_Import_Export!$AC79</f>
        <v>2.6848747820755974</v>
      </c>
      <c r="J89" s="478"/>
      <c r="K89" s="578">
        <f t="array" aca="1" ref="K89" ca="1">K$60*(F$28*GREET1_Import_Export!$K79+GREET1_Import_Export!$F$179*GREET1_Import_Export!$B193+GREET1_Import_Export!$F193)+K$61*(F$40*GREET1_Import_Export!$T79+F$41*GREET1_Import_Export!$B139+GREET1_Import_Export!$C$179*GREET1_Import_Export!$B193+GREET1_Import_Export!$C193)+K$62*(F$42*GREET1_Import_Export!$R79+F$43*GREET1_Import_Export!$B153+GREET1_Import_Export!$H$179*GREET1_Import_Export!$B193+GREET1_Import_Export!$H193)+K$63*(F$29*GREET1_Import_Export!$B79+F$31*GREET1_Import_Export!$B125+$B257)+K$64*(F$32*GREET1_Import_Export!$AA79+GREET1_Import_Export!$B297)+K$65*($C257)+K$67*GREET1_Import_Export!$B508+K$68*GREET1_Import_Export!$C508+K$69*SUM($B89:$C89)+MAX(K$73,0)*(MMULT('GREET2_Factors_T&amp;D'!$B22:$C22+0,F$37:F$38+0))+MAX(K$74,0)*(MMULT('GREET2_Factors_T&amp;D'!$D22:$E22+0,F$35:F$36+0))+K$70*F$33*GREET1_Import_Export!$AC79</f>
        <v>1.7526533505416917</v>
      </c>
      <c r="L89" s="478"/>
      <c r="M89" s="578">
        <f t="array" aca="1" ref="M89" ca="1">M$60*(G$28*GREET1_Import_Export!$K79+GREET1_Import_Export!$F$179*GREET1_Import_Export!$B193+GREET1_Import_Export!$F193)+M$61*(G$40*GREET1_Import_Export!$T79+G$41*GREET1_Import_Export!$B139+GREET1_Import_Export!$C$179*GREET1_Import_Export!$B193+GREET1_Import_Export!$C193)+M$62*(G$42*GREET1_Import_Export!$R79+G$43*GREET1_Import_Export!$B153+GREET1_Import_Export!$H$179*GREET1_Import_Export!$B193+GREET1_Import_Export!$H193)+M$63*(G$29*GREET1_Import_Export!$B79+G$31*GREET1_Import_Export!$B125+$B257)+M$64*(G$32*GREET1_Import_Export!$AA79+GREET1_Import_Export!$B297)+M$65*($C257)+M$67*GREET1_Import_Export!$B508+M$68*GREET1_Import_Export!$C508+M$69*SUM($B89:$C89)+MAX(M$73,0)*(MMULT('GREET2_Factors_T&amp;D'!$B22:$C22+0,G$37:G$38+0))+MAX(M$74,0)*(MMULT('GREET2_Factors_T&amp;D'!$D22:$E22+0,G$35:G$36+0))+M$70*G$33*GREET1_Import_Export!$AC79</f>
        <v>5.0221600025834316</v>
      </c>
      <c r="N89" s="478"/>
      <c r="O89" s="578">
        <f t="array" aca="1" ref="O89" ca="1">O$60*(P$28*GREET1_Import_Export!$K79+GREET1_Import_Export!$F$179*GREET1_Import_Export!$B193+GREET1_Import_Export!$F193)+O$61*(GREET1_Import_Export!$T79+GREET1_Import_Export!$C$179*GREET1_Import_Export!$B193+GREET1_Import_Export!$C193)+O$62*(GREET1_Import_Export!$O79+GREET1_Import_Export!$G$179*GREET1_Import_Export!$B193+GREET1_Import_Export!$G193)+O$63*(P$29*GREET1_Import_Export!$B79+$B257)+O$64*(P$32*GREET1_Import_Export!$AA79+GREET1_Import_Export!$B297)+O$65*($C257)+O$67*GREET1_Import_Export!$B508+O$68*GREET1_Import_Export!$C508+O$69*SUM($B89:$C89)+MAX(O$73,0)*(MMULT('GREET2_Factors_T&amp;D'!$B22:$C22+0,P$37:P$38+0))+MAX(O$74,0)*(MMULT('GREET2_Factors_T&amp;D'!$D22:$E22+0,P$35:P$36+0))</f>
        <v>3.9412060642029529</v>
      </c>
      <c r="P89" s="478"/>
      <c r="Q89" s="578">
        <f t="array" aca="1" ref="Q89" ca="1">Q$60*(Q$28*GREET1_Import_Export!$K79+GREET1_Import_Export!$F$179*GREET1_Import_Export!$B193+GREET1_Import_Export!$F193)+Q$61*(GREET1_Import_Export!$T79+GREET1_Import_Export!$C$179*GREET1_Import_Export!$B193+GREET1_Import_Export!$C193)+Q$62*(GREET1_Import_Export!$O79+GREET1_Import_Export!$G$179*GREET1_Import_Export!$B193+GREET1_Import_Export!$G193)+Q$63*(Q$29*GREET1_Import_Export!$B79+$B257)+Q$64*(Q$32*GREET1_Import_Export!$AA79+GREET1_Import_Export!$B297)+Q$65*($C257)+Q$67*GREET1_Import_Export!$B508+Q$68*GREET1_Import_Export!$C508+Q$69*SUM($B89:$C89)+MAX(Q$73,0)*(MMULT('GREET2_Factors_T&amp;D'!$B22:$C22+0,Q$37:Q$38+0))+MAX(Q$74,0)*(MMULT('GREET2_Factors_T&amp;D'!$D22:$E22+0,Q$35:Q$36+0))</f>
        <v>0.12397782395230883</v>
      </c>
      <c r="R89" s="478"/>
      <c r="S89" s="1553">
        <f t="array" aca="1" ref="S89" ca="1">S$60*(R$28*GREET1_Import_Export!$K79+GREET1_Import_Export!$F$179*GREET1_Import_Export!$B193+GREET1_Import_Export!$F193)+S$61*(GREET1_Import_Export!$T79+GREET1_Import_Export!$C$179*GREET1_Import_Export!$B193+GREET1_Import_Export!$C193)+S$62*(GREET1_Import_Export!$O79+GREET1_Import_Export!$G$179*GREET1_Import_Export!$B193+GREET1_Import_Export!$G193)+S$63*(R$29*GREET1_Import_Export!$B79+$B257)+S$64*(R$32*GREET1_Import_Export!$AA79+GREET1_Import_Export!$B297)+S$65*($C257)+S$67*GREET1_Import_Export!$B508+S$68*GREET1_Import_Export!$C508+S$69*SUM($B89:$C89)+MAX(S$73,0)*(MMULT('GREET2_Factors_T&amp;D'!$B22:$C22+0,R$37:R$38+0))+MAX(S$74,0)*(MMULT('GREET2_Factors_T&amp;D'!$D22:$E22+0,R$35:R$36+0))</f>
        <v>3.6320805079147638</v>
      </c>
      <c r="T89" s="1553"/>
      <c r="U89" s="578">
        <f t="array" aca="1" ref="U89" ca="1">U$60*(S$28*GREET1_Import_Export!$K79+GREET1_Import_Export!$F$179*GREET1_Import_Export!$B193+GREET1_Import_Export!$F193)+U$61*(GREET1_Import_Export!$T79+GREET1_Import_Export!$C$179*GREET1_Import_Export!$B193+GREET1_Import_Export!$C193)+U$62*(GREET1_Import_Export!$O79+GREET1_Import_Export!$G$179*GREET1_Import_Export!$B193+GREET1_Import_Export!$G193)+U$63*(S$29*GREET1_Import_Export!$B79+$B257)+U$64*(S$32*GREET1_Import_Export!$AA79+GREET1_Import_Export!$B297)+U$65*($C257)+U$67*GREET1_Import_Export!$B508+U$68*GREET1_Import_Export!$C508+U$69*SUM($B89:$C89)+MAX(U$73,0)*(MMULT('GREET2_Factors_T&amp;D'!$B22:$C22+0,S$37:S$38+0))+MAX(U$74,0)*(MMULT('GREET2_Factors_T&amp;D'!$D22:$E22+0,S$35:S$36+0))</f>
        <v>2.8537065925268243</v>
      </c>
      <c r="V89" s="478"/>
      <c r="W89" s="1553">
        <f t="array" aca="1" ref="W89" ca="1">W$60*(T$28*GREET1_Import_Export!$K79+GREET1_Import_Export!$F$179*GREET1_Import_Export!$B193+GREET1_Import_Export!$F193)+W$61*(GREET1_Import_Export!$T79+GREET1_Import_Export!$C$179*GREET1_Import_Export!$B193+GREET1_Import_Export!$C193)+W$62*(GREET1_Import_Export!$O79+GREET1_Import_Export!$G$179*GREET1_Import_Export!$B193+GREET1_Import_Export!$G193)+W$63*(T$29*GREET1_Import_Export!$B79+$B257)+W$64*(T$32*GREET1_Import_Export!$AA79+GREET1_Import_Export!$B297)+W$65*($C257)+W$67*GREET1_Import_Export!$B508+W$68*GREET1_Import_Export!$C508+W$69*SUM($B89:$C89)+MAX(W$73,0)*(MMULT('GREET2_Factors_T&amp;D'!$B22:$C22+0,T$37:T$38+0))+MAX(W$74,0)*(MMULT('GREET2_Factors_T&amp;D'!$D22:$E22+0,T$35:T$36+0))</f>
        <v>1.8515360548206208</v>
      </c>
      <c r="X89" s="1553"/>
      <c r="Y89" s="578">
        <f t="array" aca="1" ref="Y89" ca="1">Y$60*(U$28*GREET1_Import_Export!$K79+GREET1_Import_Export!$F$179*GREET1_Import_Export!$B193+GREET1_Import_Export!$F193)+Y$61*(GREET1_Import_Export!$T79+GREET1_Import_Export!$C$179*GREET1_Import_Export!$B193+GREET1_Import_Export!$C193)+Y$62*(GREET1_Import_Export!$O79+GREET1_Import_Export!$G$179*GREET1_Import_Export!$B193+GREET1_Import_Export!$G193)+Y$63*(U$29*GREET1_Import_Export!$B79+$B257)+Y$64*(U$32*GREET1_Import_Export!$AA79+GREET1_Import_Export!$B297)+Y$65*($C257)+Y$67*GREET1_Import_Export!$B508+Y$68*GREET1_Import_Export!$C508+Y$69*SUM($B89:$C89)+MAX(Y$73,0)*(MMULT('GREET2_Factors_T&amp;D'!$B22:$C22+0,U$37:U$38+0))+MAX(Y$74,0)*(MMULT('GREET2_Factors_T&amp;D'!$D22:$E22+0,U$35:U$36+0))</f>
        <v>4.06617286324673</v>
      </c>
      <c r="Z89" s="478"/>
      <c r="AA89" s="1553">
        <f t="array" aca="1" ref="AA89" ca="1">AA$60*(V$28*GREET1_Import_Export!$K79+GREET1_Import_Export!$F$179*GREET1_Import_Export!$B193+GREET1_Import_Export!$F193)+AA$61*(GREET1_Import_Export!$T79+GREET1_Import_Export!$C$179*GREET1_Import_Export!$B193+GREET1_Import_Export!$C193)+AA$62*(GREET1_Import_Export!$O79+GREET1_Import_Export!$G$179*GREET1_Import_Export!$B193+GREET1_Import_Export!$G193)+AA$63*(V$29*GREET1_Import_Export!$B79+$B257)+AA$64*(V$32*GREET1_Import_Export!$AA79+GREET1_Import_Export!$B297)+AA$65*($C257)+AA$67*GREET1_Import_Export!$B508+AA$68*GREET1_Import_Export!$C508+AA$69*SUM($B89:$C89)+MAX(AA$73,0)*(MMULT('GREET2_Factors_T&amp;D'!$B22:$C22+0,V$37:V$38+0))+MAX(AA$74,0)*(MMULT('GREET2_Factors_T&amp;D'!$D22:$E22+0,V$35:V$36+0))</f>
        <v>5.8647376712966821</v>
      </c>
      <c r="AB89" s="478"/>
      <c r="AC89" s="1553">
        <f t="array" aca="1" ref="AC89" ca="1">AC$60*(W$28*GREET1_Import_Export!$K79+GREET1_Import_Export!$F$179*GREET1_Import_Export!$B193+GREET1_Import_Export!$F193)+AC$61*(GREET1_Import_Export!$T79+GREET1_Import_Export!$C$179*GREET1_Import_Export!$B193+GREET1_Import_Export!$C193)+AC$62*(GREET1_Import_Export!$O79+GREET1_Import_Export!$G$179*GREET1_Import_Export!$B193+GREET1_Import_Export!$G193)+AC$63*(W$29*GREET1_Import_Export!$B79+$B257)+AC$64*(W$32*GREET1_Import_Export!$AA79+GREET1_Import_Export!$B297)+AC$65*($C257)+AC$67*GREET1_Import_Export!$B508+AC$68*GREET1_Import_Export!$C508+AC$69*SUM($B89:$C89)+MAX(AC$73,0)*(MMULT('GREET2_Factors_T&amp;D'!$B22:$C22+0,W$37:W$38+0))+MAX(AC$74,0)*(MMULT('GREET2_Factors_T&amp;D'!$D22:$E22+0,W$35:W$36+0))</f>
        <v>1.1627205582355689</v>
      </c>
      <c r="AD89" s="478"/>
      <c r="AE89" s="749">
        <f t="array" ref="AE89">AE$60*(H$28*GREET1_Import_Export!$K79+GREET1_Import_Export!$F$179*GREET1_Import_Export!$B193+GREET1_Import_Export!$F193)+AE$61*(GREET1_Import_Export!$T79+GREET1_Import_Export!$C$179*GREET1_Import_Export!$B193+GREET1_Import_Export!$C193)+AE$62*(GREET1_Import_Export!$O79+GREET1_Import_Export!$H$179*GREET1_Import_Export!$B193+GREET1_Import_Export!$H193)+AE$63*(H$29*GREET1_Import_Export!$B79+$B257)+AE$64*(H$32*GREET1_Import_Export!$AA79+GREET1_Import_Export!$B297)+AE$65*($C257)+AE$67*GREET1_Import_Export!$B508+AE$68*GREET1_Import_Export!$C508+MAX(AE$73,0)*(MMULT('GREET2_Factors_T&amp;D'!$B22:$C22+0,H$37:H$38+0))+MAX(AE$74,0)*(MMULT('GREET2_Factors_T&amp;D'!$D22:$E22+0,H$35:H$36+0))</f>
        <v>6.8664973426460261</v>
      </c>
      <c r="AF89" s="1013"/>
      <c r="AG89" s="749">
        <f t="array" ref="AG89">AG$60*(I$28*GREET1_Import_Export!$K79+GREET1_Import_Export!$F$179*GREET1_Import_Export!$B193+GREET1_Import_Export!$F193)+AG$61*(GREET1_Import_Export!$T79+GREET1_Import_Export!$C$179*GREET1_Import_Export!$B193+GREET1_Import_Export!$C193)+AG$62*(GREET1_Import_Export!$O79+GREET1_Import_Export!$H$179*GREET1_Import_Export!$B193+GREET1_Import_Export!$H193)+AG$63*(I$29*GREET1_Import_Export!$B79+$B257)+AG$64*(I$32*GREET1_Import_Export!$AA79+GREET1_Import_Export!$B297)+AG$65*($C257)+AG$67*GREET1_Import_Export!$B508+AG$68*GREET1_Import_Export!$C508+MAX(AG$73,0)*(MMULT('GREET2_Factors_T&amp;D'!$B22:$C22+0,I$37:I$38+0))+MAX(AG$74,0)*(MMULT('GREET2_Factors_T&amp;D'!$D22:$E22+0,I$35:I$36+0))</f>
        <v>4.4072499423308917</v>
      </c>
      <c r="AH89" s="1013"/>
      <c r="AI89" s="749">
        <f t="array" ref="AI89">AI$60*(J$28*GREET1_Import_Export!$K79+GREET1_Import_Export!$F$179*GREET1_Import_Export!$B193+GREET1_Import_Export!$F193)+AI$61*(GREET1_Import_Export!$T79+GREET1_Import_Export!$C$179*GREET1_Import_Export!$B193+GREET1_Import_Export!$C193)+AI$62*(GREET1_Import_Export!$O79+GREET1_Import_Export!$H$179*GREET1_Import_Export!$B193+GREET1_Import_Export!$H193)+AI$63*(J$29*GREET1_Import_Export!$B79+$B257)+AI$64*(J$32*GREET1_Import_Export!$AA79+GREET1_Import_Export!$B297)+AI$65*($C257)+AI$67*GREET1_Import_Export!$B508+AI$68*GREET1_Import_Export!$C508+MAX(AI$73,0)*(MMULT('GREET2_Factors_T&amp;D'!$B22:$C22+0,J$37:J$38+0))+MAX(AI$74,0)*(MMULT('GREET2_Factors_T&amp;D'!$D22:$E22+0,J$35:J$36+0))</f>
        <v>18.802035640625725</v>
      </c>
      <c r="AJ89" s="1013"/>
      <c r="AK89" s="749">
        <f t="array" ref="AK89">AK$60*(K$28*GREET1_Import_Export!$K79+GREET1_Import_Export!$F$179*GREET1_Import_Export!$B193+GREET1_Import_Export!$F193)+AK$61*(GREET1_Import_Export!$T79+GREET1_Import_Export!$C$179*GREET1_Import_Export!$B193+GREET1_Import_Export!$C193)+AK$62*(GREET1_Import_Export!$O79+GREET1_Import_Export!$H$179*GREET1_Import_Export!$B193+GREET1_Import_Export!$H193)+AK$63*(K$29*GREET1_Import_Export!$B79+$B257)+AK$64*(K$32*GREET1_Import_Export!$AA79+GREET1_Import_Export!$B297)+AK$65*($C257)+AK$67*GREET1_Import_Export!$B508+AK$68*GREET1_Import_Export!$C508+MAX(AK$73,0)*(MMULT('GREET2_Factors_T&amp;D'!$B22:$C22+0,K$37:K$38+0))+MAX(AK$74,0)*(MMULT('GREET2_Factors_T&amp;D'!$D22:$E22+0,K$35:K$36+0))+AK$66*$D257</f>
        <v>4.1702742689150707</v>
      </c>
      <c r="AL89" s="1013"/>
      <c r="AM89" s="749">
        <f t="array" ref="AM89">AM$60*(L$28*GREET1_Import_Export!$K79+GREET1_Import_Export!$F$179*GREET1_Import_Export!$B193+GREET1_Import_Export!$F193)+AM$61*(GREET1_Import_Export!$T79+GREET1_Import_Export!$C$179*GREET1_Import_Export!$B193+GREET1_Import_Export!$C193)+AM$62*(GREET1_Import_Export!$O79+GREET1_Import_Export!$H$179*GREET1_Import_Export!$B193+GREET1_Import_Export!$H193)+AM$63*(L$29*GREET1_Import_Export!$B79+$B257)+AM$64*(L$32*GREET1_Import_Export!$AA79+GREET1_Import_Export!$B297)+AM$65*($C257)+AM$67*GREET1_Import_Export!$B508+AM$68*GREET1_Import_Export!$C508+MAX(AM$73,0)*(MMULT('GREET2_Factors_T&amp;D'!$B22:$C22+0,L$37:L$38+0))+MAX(AM$74,0)*(MMULT('GREET2_Factors_T&amp;D'!$D22:$E22+0,L$35:L$36+0))</f>
        <v>5.6062768240305871</v>
      </c>
      <c r="AN89" s="1013"/>
      <c r="AO89" s="749">
        <f t="array" ref="AO89">AO$60*(M$28*GREET1_Import_Export!$K79+GREET1_Import_Export!$F$179*GREET1_Import_Export!$B193+GREET1_Import_Export!$F193)+AO$61*(GREET1_Import_Export!$T79+GREET1_Import_Export!$C$179*GREET1_Import_Export!$B193+GREET1_Import_Export!$C193)+AO$62*(GREET1_Import_Export!$O79+GREET1_Import_Export!$H$179*GREET1_Import_Export!$B193+GREET1_Import_Export!$H193)+AO$63*(M$29*GREET1_Import_Export!$B79+$B257)+AO$64*(M$32*GREET1_Import_Export!$AA79+GREET1_Import_Export!$B297)+AO$65*($C257)+AO$67*GREET1_Import_Export!$B508+AO$68*GREET1_Import_Export!$C508+MAX(AO$73,0)*(MMULT('GREET2_Factors_T&amp;D'!$B22:$C22+0,M$37:M$38+0))+MAX(AO$74,0)*(MMULT('GREET2_Factors_T&amp;D'!$D22:$E22+0,M$35:M$36+0))</f>
        <v>7.1436033176469724</v>
      </c>
      <c r="AP89" s="1013"/>
      <c r="AQ89" s="749">
        <f t="array" ref="AQ89">AQ$60*(N$28*GREET1_Import_Export!$K79+GREET1_Import_Export!$F$179*GREET1_Import_Export!$B193+GREET1_Import_Export!$F193)+AQ$61*(GREET1_Import_Export!$T79+GREET1_Import_Export!$C$179*GREET1_Import_Export!$B193+GREET1_Import_Export!$C193)+AQ$62*(GREET1_Import_Export!$O79+GREET1_Import_Export!$H$179*GREET1_Import_Export!$B193+GREET1_Import_Export!$H193)+AQ$63*(N$29*GREET1_Import_Export!$B79+$B257)+AQ$64*(N$32*GREET1_Import_Export!$AA79+GREET1_Import_Export!$B297)+AQ$65*($C257)+AQ$67*GREET1_Import_Export!$B508+AQ$68*GREET1_Import_Export!$C508+MAX(AQ$73,0)*(MMULT('GREET2_Factors_T&amp;D'!$B22:$C22+0,N$37:N$38+0))+MAX(AQ$74,0)*(MMULT('GREET2_Factors_T&amp;D'!$D22:$E22+0,N$35:N$36+0))+AQ$66*$D257</f>
        <v>1.3684394933488417</v>
      </c>
      <c r="AR89" s="1013"/>
      <c r="AS89" s="749">
        <f t="array" ref="AS89">AS$60*(O$28*GREET1_Import_Export!$K79+GREET1_Import_Export!$F$179*GREET1_Import_Export!$B193+GREET1_Import_Export!$F193)+AS$61*(GREET1_Import_Export!$T79+GREET1_Import_Export!$C$179*GREET1_Import_Export!$B193+GREET1_Import_Export!$C193)+AS$62*(GREET1_Import_Export!$O79+GREET1_Import_Export!$H$179*GREET1_Import_Export!$B193+GREET1_Import_Export!$H193)+AS$63*(O$29*GREET1_Import_Export!$B79+$B257)+AS$64*(O$32*GREET1_Import_Export!$AA79+GREET1_Import_Export!$B297)+AS$65*($C257)+AS$67*GREET1_Import_Export!$B508+AS$68*GREET1_Import_Export!$C508+MAX(AS$73,0)*(MMULT('GREET2_Factors_T&amp;D'!$B22:$C22+0,O$37:O$38+0))+MAX(AS$74,0)*(MMULT('GREET2_Factors_T&amp;D'!$D22:$E22+0,O$35:O$36+0))</f>
        <v>5.6062768240305871</v>
      </c>
      <c r="AT89" s="1013"/>
    </row>
    <row r="90" spans="1:46">
      <c r="A90" s="160" t="s">
        <v>829</v>
      </c>
      <c r="B90" s="578">
        <f t="array" aca="1" ref="B90" ca="1">B$60*(B$28*GREET1_Import_Export!$K80+GREET1_Import_Export!$F$179*GREET1_Import_Export!$B194+GREET1_Import_Export!$F194)+B$61*(B$40*GREET1_Import_Export!$T80+B$41*GREET1_Import_Export!$B140+GREET1_Import_Export!$C$179*GREET1_Import_Export!$B194+GREET1_Import_Export!$C194)+B$62*(B$42*GREET1_Import_Export!$R80+B$43*GREET1_Import_Export!$B154+GREET1_Import_Export!$H$179*GREET1_Import_Export!$B194+GREET1_Import_Export!$H194)+B$63*(B$29*GREET1_Import_Export!$B80+B$31*GREET1_Import_Export!$B126+$B258)+B$64*(B$32*GREET1_Import_Export!$AA80+GREET1_Import_Export!$B298)+B$65*($C258)+B$67*GREET1_Import_Export!$B509+B$68*GREET1_Import_Export!$C509+B$69*SUM($B90:$C90)+MAX(B$73,0)*(MMULT('GREET2_Factors_T&amp;D'!$B23:$C23+0,B$37:B$38+0))+MAX(B$74,0)*(MMULT('GREET2_Factors_T&amp;D'!$D23:$E23+0,B$35:B$36+0))+B$70*B$33*GREET1_Import_Export!$AC80</f>
        <v>26.491332749398573</v>
      </c>
      <c r="C90" s="478"/>
      <c r="D90" s="578">
        <f t="array" aca="1" ref="D90" ca="1">D$60*(C$28*GREET1_Import_Export!$K80+GREET1_Import_Export!$F$179*GREET1_Import_Export!$B194+GREET1_Import_Export!$F194)+D$61*(C$40*GREET1_Import_Export!$T80+C$41*GREET1_Import_Export!$B140+GREET1_Import_Export!$C$179*GREET1_Import_Export!$B194+GREET1_Import_Export!$C194)+D$62*(C$42*GREET1_Import_Export!$R80+C$43*GREET1_Import_Export!$B154+GREET1_Import_Export!$H$179*GREET1_Import_Export!$B194+GREET1_Import_Export!$H194)+D$63*(C$29*GREET1_Import_Export!$B80+C$31*GREET1_Import_Export!$B126+$B258)+D$64*(C$32*GREET1_Import_Export!$AA80+GREET1_Import_Export!$B298)+D$65*($C258)+D$67*GREET1_Import_Export!$B509+D$68*GREET1_Import_Export!$C509+D$69*SUM($B90:$C90)+MAX(D$73,0)*(MMULT('GREET2_Factors_T&amp;D'!$B23:$C23+0,C$37:C$38+0))+MAX(D$74,0)*(MMULT('GREET2_Factors_T&amp;D'!$D23:$E23+0,C$35:C$36+0))+D$70*C$33*GREET1_Import_Export!$AC80</f>
        <v>2399.3132786160522</v>
      </c>
      <c r="E90" s="1553"/>
      <c r="F90" s="478">
        <f>F$70*(GREET1_Import_Export!$B194*GREET1_Import_Export!$I$179+GREET1_Import_Export!$I194)+(F$71+F$72)*(GREET1_Import_Export!$B194*GREET1_Import_Export!$F$179+GREET1_Import_Export!$F194)</f>
        <v>-98.003824754683549</v>
      </c>
      <c r="G90" s="578">
        <f t="array" aca="1" ref="G90" ca="1">G$60*(D$28*GREET1_Import_Export!$K80+GREET1_Import_Export!$F$179*GREET1_Import_Export!$B194+GREET1_Import_Export!$F194)+G$61*(D$40*GREET1_Import_Export!$T80+D$41*GREET1_Import_Export!$B140+GREET1_Import_Export!$C$179*GREET1_Import_Export!$B194+GREET1_Import_Export!$C194)+G$62*(D$42*GREET1_Import_Export!$R80+D$43*GREET1_Import_Export!$B154+GREET1_Import_Export!$H$179*GREET1_Import_Export!$B194+GREET1_Import_Export!$H194)+G$63*(D$29*GREET1_Import_Export!$B80+D$31*GREET1_Import_Export!$B126+$B258)+G$64*(D$32*GREET1_Import_Export!$AA80+GREET1_Import_Export!$B298)+G$65*($C258)+G$67*GREET1_Import_Export!$B509+G$68*GREET1_Import_Export!$C509+G$69*SUM($B90:$C90)+MAX(G$73,0)*(MMULT('GREET2_Factors_T&amp;D'!$B23:$C23+0,D$37:D$38+0))+MAX(G$74,0)*(MMULT('GREET2_Factors_T&amp;D'!$D23:$E23+0,D$35:D$36+0))+G$70*D$33*GREET1_Import_Export!$AC80</f>
        <v>42.570848404149743</v>
      </c>
      <c r="H90" s="478"/>
      <c r="I90" s="578">
        <f t="array" aca="1" ref="I90" ca="1">I$60*(E$28*GREET1_Import_Export!$K80+GREET1_Import_Export!$F$179*GREET1_Import_Export!$B194+GREET1_Import_Export!$F194)+I$61*(E$40*GREET1_Import_Export!$T80+E$41*GREET1_Import_Export!$B140+GREET1_Import_Export!$C$179*GREET1_Import_Export!$B194+GREET1_Import_Export!$C194)+I$62*(E$42*GREET1_Import_Export!$R80+E$43*GREET1_Import_Export!$B154+GREET1_Import_Export!$H$179*GREET1_Import_Export!$B194+GREET1_Import_Export!$H194)+I$63*(E$29*GREET1_Import_Export!$B80+E$31*GREET1_Import_Export!$B126+$B258)+I$64*(E$32*GREET1_Import_Export!$AA80+GREET1_Import_Export!$B298)+I$65*($C258)+I$67*GREET1_Import_Export!$B509+I$68*GREET1_Import_Export!$C509+I$69*SUM($B90:$C90)+MAX(I$73,0)*(MMULT('GREET2_Factors_T&amp;D'!$B23:$C23+0,E$37:E$38+0))+MAX(I$74,0)*(MMULT('GREET2_Factors_T&amp;D'!$D23:$E23+0,E$35:E$36+0))+I$70*E$33*GREET1_Import_Export!$AC80</f>
        <v>686.11486758254136</v>
      </c>
      <c r="J90" s="478"/>
      <c r="K90" s="578">
        <f t="array" aca="1" ref="K90" ca="1">K$60*(F$28*GREET1_Import_Export!$K80+GREET1_Import_Export!$F$179*GREET1_Import_Export!$B194+GREET1_Import_Export!$F194)+K$61*(F$40*GREET1_Import_Export!$T80+F$41*GREET1_Import_Export!$B140+GREET1_Import_Export!$C$179*GREET1_Import_Export!$B194+GREET1_Import_Export!$C194)+K$62*(F$42*GREET1_Import_Export!$R80+F$43*GREET1_Import_Export!$B154+GREET1_Import_Export!$H$179*GREET1_Import_Export!$B194+GREET1_Import_Export!$H194)+K$63*(F$29*GREET1_Import_Export!$B80+F$31*GREET1_Import_Export!$B126+$B258)+K$64*(F$32*GREET1_Import_Export!$AA80+GREET1_Import_Export!$B298)+K$65*($C258)+K$67*GREET1_Import_Export!$B509+K$68*GREET1_Import_Export!$C509+K$69*SUM($B90:$C90)+MAX(K$73,0)*(MMULT('GREET2_Factors_T&amp;D'!$B23:$C23+0,F$37:F$38+0))+MAX(K$74,0)*(MMULT('GREET2_Factors_T&amp;D'!$D23:$E23+0,F$35:F$36+0))+K$70*F$33*GREET1_Import_Export!$AC80</f>
        <v>140.97015631444998</v>
      </c>
      <c r="L90" s="478"/>
      <c r="M90" s="578">
        <f t="array" aca="1" ref="M90" ca="1">M$60*(G$28*GREET1_Import_Export!$K80+GREET1_Import_Export!$F$179*GREET1_Import_Export!$B194+GREET1_Import_Export!$F194)+M$61*(G$40*GREET1_Import_Export!$T80+G$41*GREET1_Import_Export!$B140+GREET1_Import_Export!$C$179*GREET1_Import_Export!$B194+GREET1_Import_Export!$C194)+M$62*(G$42*GREET1_Import_Export!$R80+G$43*GREET1_Import_Export!$B154+GREET1_Import_Export!$H$179*GREET1_Import_Export!$B194+GREET1_Import_Export!$H194)+M$63*(G$29*GREET1_Import_Export!$B80+G$31*GREET1_Import_Export!$B126+$B258)+M$64*(G$32*GREET1_Import_Export!$AA80+GREET1_Import_Export!$B298)+M$65*($C258)+M$67*GREET1_Import_Export!$B509+M$68*GREET1_Import_Export!$C509+M$69*SUM($B90:$C90)+MAX(M$73,0)*(MMULT('GREET2_Factors_T&amp;D'!$B23:$C23+0,G$37:G$38+0))+MAX(M$74,0)*(MMULT('GREET2_Factors_T&amp;D'!$D23:$E23+0,G$35:G$36+0))+M$70*G$33*GREET1_Import_Export!$AC80</f>
        <v>46.638493805025703</v>
      </c>
      <c r="N90" s="478"/>
      <c r="O90" s="578">
        <f t="array" aca="1" ref="O90" ca="1">O$60*(P$28*GREET1_Import_Export!$K80+GREET1_Import_Export!$F$179*GREET1_Import_Export!$B194+GREET1_Import_Export!$F194)+O$61*(GREET1_Import_Export!$T80+GREET1_Import_Export!$C$179*GREET1_Import_Export!$B194+GREET1_Import_Export!$C194)+O$62*(GREET1_Import_Export!$O80+GREET1_Import_Export!$G$179*GREET1_Import_Export!$B194+GREET1_Import_Export!$G194)+O$63*(P$29*GREET1_Import_Export!$B80+$B258)+O$64*(P$32*GREET1_Import_Export!$AA80+GREET1_Import_Export!$B298)+O$65*($C258)+O$67*GREET1_Import_Export!$B509+O$68*GREET1_Import_Export!$C509+O$69*SUM($B90:$C90)+MAX(O$73,0)*(MMULT('GREET2_Factors_T&amp;D'!$B23:$C23+0,P$37:P$38+0))+MAX(O$74,0)*(MMULT('GREET2_Factors_T&amp;D'!$D23:$E23+0,P$35:P$36+0))</f>
        <v>326.36691182752799</v>
      </c>
      <c r="P90" s="478"/>
      <c r="Q90" s="578">
        <f t="array" aca="1" ref="Q90" ca="1">Q$60*(Q$28*GREET1_Import_Export!$K80+GREET1_Import_Export!$F$179*GREET1_Import_Export!$B194+GREET1_Import_Export!$F194)+Q$61*(GREET1_Import_Export!$T80+GREET1_Import_Export!$C$179*GREET1_Import_Export!$B194+GREET1_Import_Export!$C194)+Q$62*(GREET1_Import_Export!$O80+GREET1_Import_Export!$G$179*GREET1_Import_Export!$B194+GREET1_Import_Export!$G194)+Q$63*(Q$29*GREET1_Import_Export!$B80+$B258)+Q$64*(Q$32*GREET1_Import_Export!$AA80+GREET1_Import_Export!$B298)+Q$65*($C258)+Q$67*GREET1_Import_Export!$B509+Q$68*GREET1_Import_Export!$C509+Q$69*SUM($B90:$C90)+MAX(Q$73,0)*(MMULT('GREET2_Factors_T&amp;D'!$B23:$C23+0,Q$37:Q$38+0))+MAX(Q$74,0)*(MMULT('GREET2_Factors_T&amp;D'!$D23:$E23+0,Q$35:Q$36+0))</f>
        <v>11.33376796687058</v>
      </c>
      <c r="R90" s="478"/>
      <c r="S90" s="1553">
        <f t="array" aca="1" ref="S90" ca="1">S$60*(R$28*GREET1_Import_Export!$K80+GREET1_Import_Export!$F$179*GREET1_Import_Export!$B194+GREET1_Import_Export!$F194)+S$61*(GREET1_Import_Export!$T80+GREET1_Import_Export!$C$179*GREET1_Import_Export!$B194+GREET1_Import_Export!$C194)+S$62*(GREET1_Import_Export!$O80+GREET1_Import_Export!$G$179*GREET1_Import_Export!$B194+GREET1_Import_Export!$G194)+S$63*(R$29*GREET1_Import_Export!$B80+$B258)+S$64*(R$32*GREET1_Import_Export!$AA80+GREET1_Import_Export!$B298)+S$65*($C258)+S$67*GREET1_Import_Export!$B509+S$68*GREET1_Import_Export!$C509+S$69*SUM($B90:$C90)+MAX(S$73,0)*(MMULT('GREET2_Factors_T&amp;D'!$B23:$C23+0,R$37:R$38+0))+MAX(S$74,0)*(MMULT('GREET2_Factors_T&amp;D'!$D23:$E23+0,R$35:R$36+0))</f>
        <v>376.2597353518928</v>
      </c>
      <c r="T90" s="1553"/>
      <c r="U90" s="578">
        <f t="array" aca="1" ref="U90" ca="1">U$60*(S$28*GREET1_Import_Export!$K80+GREET1_Import_Export!$F$179*GREET1_Import_Export!$B194+GREET1_Import_Export!$F194)+U$61*(GREET1_Import_Export!$T80+GREET1_Import_Export!$C$179*GREET1_Import_Export!$B194+GREET1_Import_Export!$C194)+U$62*(GREET1_Import_Export!$O80+GREET1_Import_Export!$G$179*GREET1_Import_Export!$B194+GREET1_Import_Export!$G194)+U$63*(S$29*GREET1_Import_Export!$B80+$B258)+U$64*(S$32*GREET1_Import_Export!$AA80+GREET1_Import_Export!$B298)+U$65*($C258)+U$67*GREET1_Import_Export!$B509+U$68*GREET1_Import_Export!$C509+U$69*SUM($B90:$C90)+MAX(U$73,0)*(MMULT('GREET2_Factors_T&amp;D'!$B23:$C23+0,S$37:S$38+0))+MAX(U$74,0)*(MMULT('GREET2_Factors_T&amp;D'!$D23:$E23+0,S$35:S$36+0))</f>
        <v>187.68115398871728</v>
      </c>
      <c r="V90" s="478"/>
      <c r="W90" s="1553">
        <f t="array" aca="1" ref="W90" ca="1">W$60*(T$28*GREET1_Import_Export!$K80+GREET1_Import_Export!$F$179*GREET1_Import_Export!$B194+GREET1_Import_Export!$F194)+W$61*(GREET1_Import_Export!$T80+GREET1_Import_Export!$C$179*GREET1_Import_Export!$B194+GREET1_Import_Export!$C194)+W$62*(GREET1_Import_Export!$O80+GREET1_Import_Export!$G$179*GREET1_Import_Export!$B194+GREET1_Import_Export!$G194)+W$63*(T$29*GREET1_Import_Export!$B80+$B258)+W$64*(T$32*GREET1_Import_Export!$AA80+GREET1_Import_Export!$B298)+W$65*($C258)+W$67*GREET1_Import_Export!$B509+W$68*GREET1_Import_Export!$C509+W$69*SUM($B90:$C90)+MAX(W$73,0)*(MMULT('GREET2_Factors_T&amp;D'!$B23:$C23+0,T$37:T$38+0))+MAX(W$74,0)*(MMULT('GREET2_Factors_T&amp;D'!$D23:$E23+0,T$35:T$36+0))</f>
        <v>230.36876588616286</v>
      </c>
      <c r="X90" s="1553"/>
      <c r="Y90" s="578">
        <f t="array" aca="1" ref="Y90" ca="1">Y$60*(U$28*GREET1_Import_Export!$K80+GREET1_Import_Export!$F$179*GREET1_Import_Export!$B194+GREET1_Import_Export!$F194)+Y$61*(GREET1_Import_Export!$T80+GREET1_Import_Export!$C$179*GREET1_Import_Export!$B194+GREET1_Import_Export!$C194)+Y$62*(GREET1_Import_Export!$O80+GREET1_Import_Export!$G$179*GREET1_Import_Export!$B194+GREET1_Import_Export!$G194)+Y$63*(U$29*GREET1_Import_Export!$B80+$B258)+Y$64*(U$32*GREET1_Import_Export!$AA80+GREET1_Import_Export!$B298)+Y$65*($C258)+Y$67*GREET1_Import_Export!$B509+Y$68*GREET1_Import_Export!$C509+Y$69*SUM($B90:$C90)+MAX(Y$73,0)*(MMULT('GREET2_Factors_T&amp;D'!$B23:$C23+0,U$37:U$38+0))+MAX(Y$74,0)*(MMULT('GREET2_Factors_T&amp;D'!$D23:$E23+0,U$35:U$36+0))</f>
        <v>511.94277315296506</v>
      </c>
      <c r="Z90" s="1547">
        <v>0.13600000000000001</v>
      </c>
      <c r="AA90" s="1553">
        <f t="array" aca="1" ref="AA90" ca="1">AA$60*(V$28*GREET1_Import_Export!$K80+GREET1_Import_Export!$F$179*GREET1_Import_Export!$B194+GREET1_Import_Export!$F194)+AA$61*(GREET1_Import_Export!$T80+GREET1_Import_Export!$C$179*GREET1_Import_Export!$B194+GREET1_Import_Export!$C194)+AA$62*(GREET1_Import_Export!$O80+GREET1_Import_Export!$G$179*GREET1_Import_Export!$B194+GREET1_Import_Export!$G194)+AA$63*(V$29*GREET1_Import_Export!$B80+$B258)+AA$64*(V$32*GREET1_Import_Export!$AA80+GREET1_Import_Export!$B298)+AA$65*($C258)+AA$67*GREET1_Import_Export!$B509+AA$68*GREET1_Import_Export!$C509+AA$69*SUM($B90:$C90)+MAX(AA$73,0)*(MMULT('GREET2_Factors_T&amp;D'!$B23:$C23+0,V$37:V$38+0))+MAX(AA$74,0)*(MMULT('GREET2_Factors_T&amp;D'!$D23:$E23+0,V$35:V$36+0))</f>
        <v>757.39091510876312</v>
      </c>
      <c r="AB90" s="478"/>
      <c r="AC90" s="1553">
        <f t="array" aca="1" ref="AC90" ca="1">AC$60*(W$28*GREET1_Import_Export!$K80+GREET1_Import_Export!$F$179*GREET1_Import_Export!$B194+GREET1_Import_Export!$F194)+AC$61*(GREET1_Import_Export!$T80+GREET1_Import_Export!$C$179*GREET1_Import_Export!$B194+GREET1_Import_Export!$C194)+AC$62*(GREET1_Import_Export!$O80+GREET1_Import_Export!$G$179*GREET1_Import_Export!$B194+GREET1_Import_Export!$G194)+AC$63*(W$29*GREET1_Import_Export!$B80+$B258)+AC$64*(W$32*GREET1_Import_Export!$AA80+GREET1_Import_Export!$B298)+AC$65*($C258)+AC$67*GREET1_Import_Export!$B509+AC$68*GREET1_Import_Export!$C509+AC$69*SUM($B90:$C90)+MAX(AC$73,0)*(MMULT('GREET2_Factors_T&amp;D'!$B23:$C23+0,W$37:W$38+0))+MAX(AC$74,0)*(MMULT('GREET2_Factors_T&amp;D'!$D23:$E23+0,W$35:W$36+0))</f>
        <v>144.66610000589398</v>
      </c>
      <c r="AD90" s="478"/>
      <c r="AE90" s="749">
        <f t="array" ref="AE90">AE$60*(H$28*GREET1_Import_Export!$K80+GREET1_Import_Export!$F$179*GREET1_Import_Export!$B194+GREET1_Import_Export!$F194)+AE$61*(GREET1_Import_Export!$T80+GREET1_Import_Export!$C$179*GREET1_Import_Export!$B194+GREET1_Import_Export!$C194)+AE$62*(GREET1_Import_Export!$O80+GREET1_Import_Export!$H$179*GREET1_Import_Export!$B194+GREET1_Import_Export!$H194)+AE$63*(H$29*GREET1_Import_Export!$B80+$B258)+AE$64*(H$32*GREET1_Import_Export!$AA80+GREET1_Import_Export!$B298)+AE$65*($C258)+AE$67*GREET1_Import_Export!$B509+AE$68*GREET1_Import_Export!$C509+MAX(AE$73,0)*(MMULT('GREET2_Factors_T&amp;D'!$B23:$C23+0,H$37:H$38+0))+MAX(AE$74,0)*(MMULT('GREET2_Factors_T&amp;D'!$D23:$E23+0,H$35:H$36+0))</f>
        <v>329.89241860831919</v>
      </c>
      <c r="AF90" s="1013"/>
      <c r="AG90" s="749">
        <f t="array" ref="AG90">AG$60*(I$28*GREET1_Import_Export!$K80+GREET1_Import_Export!$F$179*GREET1_Import_Export!$B194+GREET1_Import_Export!$F194)+AG$61*(GREET1_Import_Export!$T80+GREET1_Import_Export!$C$179*GREET1_Import_Export!$B194+GREET1_Import_Export!$C194)+AG$62*(GREET1_Import_Export!$O80+GREET1_Import_Export!$H$179*GREET1_Import_Export!$B194+GREET1_Import_Export!$H194)+AG$63*(I$29*GREET1_Import_Export!$B80+$B258)+AG$64*(I$32*GREET1_Import_Export!$AA80+GREET1_Import_Export!$B298)+AG$65*($C258)+AG$67*GREET1_Import_Export!$B509+AG$68*GREET1_Import_Export!$C509+MAX(AG$73,0)*(MMULT('GREET2_Factors_T&amp;D'!$B23:$C23+0,I$37:I$38+0))+MAX(AG$74,0)*(MMULT('GREET2_Factors_T&amp;D'!$D23:$E23+0,I$35:I$36+0))</f>
        <v>575.74444203550286</v>
      </c>
      <c r="AH90" s="1013"/>
      <c r="AI90" s="1092">
        <f t="array" ref="AI90">AI$60*(J$28*GREET1_Import_Export!$K80+GREET1_Import_Export!$F$179*GREET1_Import_Export!$B194+GREET1_Import_Export!$F194)+AI$61*(GREET1_Import_Export!$T80+GREET1_Import_Export!$C$179*GREET1_Import_Export!$B194+GREET1_Import_Export!$C194)+AI$62*(GREET1_Import_Export!$O80+GREET1_Import_Export!$H$179*GREET1_Import_Export!$B194+GREET1_Import_Export!$H194)+AI$63*(J$29*GREET1_Import_Export!$B80+$B258)+AI$64*(J$32*GREET1_Import_Export!$AA80+GREET1_Import_Export!$B298)+AI$65*($C258)+AI$67*GREET1_Import_Export!$B509+AI$68*GREET1_Import_Export!$C509+MAX(AI$73,0)*(MMULT('GREET2_Factors_T&amp;D'!$B23:$C23+0,J$37:J$38+0))+MAX(AI$74,0)*(MMULT('GREET2_Factors_T&amp;D'!$D23:$E23+0,J$35:J$36+0))</f>
        <v>2475.5207577072765</v>
      </c>
      <c r="AJ90" s="1013"/>
      <c r="AK90" s="749">
        <f t="array" ref="AK90">AK$60*(K$28*GREET1_Import_Export!$K80+GREET1_Import_Export!$F$179*GREET1_Import_Export!$B194+GREET1_Import_Export!$F194)+AK$61*(GREET1_Import_Export!$T80+GREET1_Import_Export!$C$179*GREET1_Import_Export!$B194+GREET1_Import_Export!$C194)+AK$62*(GREET1_Import_Export!$O80+GREET1_Import_Export!$H$179*GREET1_Import_Export!$B194+GREET1_Import_Export!$H194)+AK$63*(K$29*GREET1_Import_Export!$B80+$B258)+AK$64*(K$32*GREET1_Import_Export!$AA80+GREET1_Import_Export!$B298)+AK$65*($C258)+AK$67*GREET1_Import_Export!$B509+AK$68*GREET1_Import_Export!$C509+MAX(AK$73,0)*(MMULT('GREET2_Factors_T&amp;D'!$B23:$C23+0,K$37:K$38+0))+MAX(AK$74,0)*(MMULT('GREET2_Factors_T&amp;D'!$D23:$E23+0,K$35:K$36+0))+AK$66*$D258</f>
        <v>540.7506836701092</v>
      </c>
      <c r="AL90" s="1013"/>
      <c r="AM90" s="749">
        <f t="array" ref="AM90">AM$60*(L$28*GREET1_Import_Export!$K80+GREET1_Import_Export!$F$179*GREET1_Import_Export!$B194+GREET1_Import_Export!$F194)+AM$61*(GREET1_Import_Export!$T80+GREET1_Import_Export!$C$179*GREET1_Import_Export!$B194+GREET1_Import_Export!$C194)+AM$62*(GREET1_Import_Export!$O80+GREET1_Import_Export!$H$179*GREET1_Import_Export!$B194+GREET1_Import_Export!$H194)+AM$63*(L$29*GREET1_Import_Export!$B80+$B258)+AM$64*(L$32*GREET1_Import_Export!$AA80+GREET1_Import_Export!$B298)+AM$65*($C258)+AM$67*GREET1_Import_Export!$B509+AM$68*GREET1_Import_Export!$C509+MAX(AM$73,0)*(MMULT('GREET2_Factors_T&amp;D'!$B23:$C23+0,L$37:L$38+0))+MAX(AM$74,0)*(MMULT('GREET2_Factors_T&amp;D'!$D23:$E23+0,L$35:L$36+0))</f>
        <v>683.07457356419127</v>
      </c>
      <c r="AN90" s="1013"/>
      <c r="AO90" s="749">
        <f t="array" ref="AO90">AO$60*(M$28*GREET1_Import_Export!$K80+GREET1_Import_Export!$F$179*GREET1_Import_Export!$B194+GREET1_Import_Export!$F194)+AO$61*(GREET1_Import_Export!$T80+GREET1_Import_Export!$C$179*GREET1_Import_Export!$B194+GREET1_Import_Export!$C194)+AO$62*(GREET1_Import_Export!$O80+GREET1_Import_Export!$H$179*GREET1_Import_Export!$B194+GREET1_Import_Export!$H194)+AO$63*(M$29*GREET1_Import_Export!$B80+$B258)+AO$64*(M$32*GREET1_Import_Export!$AA80+GREET1_Import_Export!$B298)+AO$65*($C258)+AO$67*GREET1_Import_Export!$B509+AO$68*GREET1_Import_Export!$C509+MAX(AO$73,0)*(MMULT('GREET2_Factors_T&amp;D'!$B23:$C23+0,M$37:M$38+0))+MAX(AO$74,0)*(MMULT('GREET2_Factors_T&amp;D'!$D23:$E23+0,M$35:M$36+0))</f>
        <v>343.20563431964314</v>
      </c>
      <c r="AP90" s="1013"/>
      <c r="AQ90" s="749">
        <f t="array" ref="AQ90">AQ$60*(N$28*GREET1_Import_Export!$K80+GREET1_Import_Export!$F$179*GREET1_Import_Export!$B194+GREET1_Import_Export!$F194)+AQ$61*(GREET1_Import_Export!$T80+GREET1_Import_Export!$C$179*GREET1_Import_Export!$B194+GREET1_Import_Export!$C194)+AQ$62*(GREET1_Import_Export!$O80+GREET1_Import_Export!$H$179*GREET1_Import_Export!$B194+GREET1_Import_Export!$H194)+AQ$63*(N$29*GREET1_Import_Export!$B80+$B258)+AQ$64*(N$32*GREET1_Import_Export!$AA80+GREET1_Import_Export!$B298)+AQ$65*($C258)+AQ$67*GREET1_Import_Export!$B509+AQ$68*GREET1_Import_Export!$C509+MAX(AQ$73,0)*(MMULT('GREET2_Factors_T&amp;D'!$B23:$C23+0,N$37:N$38+0))+MAX(AQ$74,0)*(MMULT('GREET2_Factors_T&amp;D'!$D23:$E23+0,N$35:N$36+0))+AQ$66*$D258</f>
        <v>170.26172212628072</v>
      </c>
      <c r="AR90" s="1013"/>
      <c r="AS90" s="749">
        <f t="array" ref="AS90">AS$60*(O$28*GREET1_Import_Export!$K80+GREET1_Import_Export!$F$179*GREET1_Import_Export!$B194+GREET1_Import_Export!$F194)+AS$61*(GREET1_Import_Export!$T80+GREET1_Import_Export!$C$179*GREET1_Import_Export!$B194+GREET1_Import_Export!$C194)+AS$62*(GREET1_Import_Export!$O80+GREET1_Import_Export!$H$179*GREET1_Import_Export!$B194+GREET1_Import_Export!$H194)+AS$63*(O$29*GREET1_Import_Export!$B80+$B258)+AS$64*(O$32*GREET1_Import_Export!$AA80+GREET1_Import_Export!$B298)+AS$65*($C258)+AS$67*GREET1_Import_Export!$B509+AS$68*GREET1_Import_Export!$C509+MAX(AS$73,0)*(MMULT('GREET2_Factors_T&amp;D'!$B23:$C23+0,O$37:O$38+0))+MAX(AS$74,0)*(MMULT('GREET2_Factors_T&amp;D'!$D23:$E23+0,O$35:O$36+0))</f>
        <v>683.07457356419127</v>
      </c>
      <c r="AT90" s="1013"/>
    </row>
    <row r="91" spans="1:46">
      <c r="A91" s="160" t="s">
        <v>830</v>
      </c>
      <c r="B91" s="578">
        <f t="array" aca="1" ref="B91" ca="1">B$60*(B$28*GREET1_Import_Export!$K81+GREET1_Import_Export!$F$179*GREET1_Import_Export!$B195+GREET1_Import_Export!$F195)+B$61*(B$40*GREET1_Import_Export!$T81+B$41*GREET1_Import_Export!$B141+GREET1_Import_Export!$C$179*GREET1_Import_Export!$B195+GREET1_Import_Export!$C195)+B$62*(B$42*GREET1_Import_Export!$R81+B$43*GREET1_Import_Export!$B155+GREET1_Import_Export!$H$179*GREET1_Import_Export!$B195+GREET1_Import_Export!$H195)+B$63*(B$29*GREET1_Import_Export!$B81+B$31*GREET1_Import_Export!$B127+$B259)+B$64*(B$32*GREET1_Import_Export!$AA81+GREET1_Import_Export!$B299)+B$65*($C259)+B$67*GREET1_Import_Export!$B510+B$68*GREET1_Import_Export!$C510+B$69*SUM($B91:$C91)+MAX(B$73,0)*(MMULT('GREET2_Factors_T&amp;D'!$B24:$C24+0,B$37:B$38+0))+MAX(B$74,0)*(MMULT('GREET2_Factors_T&amp;D'!$D24:$E24+0,B$35:B$36+0))+B$70*B$33*GREET1_Import_Export!$AC81</f>
        <v>0.49180963864620347</v>
      </c>
      <c r="C91" s="478"/>
      <c r="D91" s="578">
        <f t="array" aca="1" ref="D91" ca="1">D$60*(C$28*GREET1_Import_Export!$K81+GREET1_Import_Export!$F$179*GREET1_Import_Export!$B195+GREET1_Import_Export!$F195)+D$61*(C$40*GREET1_Import_Export!$T81+C$41*GREET1_Import_Export!$B141+GREET1_Import_Export!$C$179*GREET1_Import_Export!$B195+GREET1_Import_Export!$C195)+D$62*(C$42*GREET1_Import_Export!$R81+C$43*GREET1_Import_Export!$B155+GREET1_Import_Export!$H$179*GREET1_Import_Export!$B195+GREET1_Import_Export!$H195)+D$63*(C$29*GREET1_Import_Export!$B81+C$31*GREET1_Import_Export!$B127+$B259)+D$64*(C$32*GREET1_Import_Export!$AA81+GREET1_Import_Export!$B299)+D$65*($C259)+D$67*GREET1_Import_Export!$B510+D$68*GREET1_Import_Export!$C510+D$69*SUM($B91:$C91)+MAX(D$73,0)*(MMULT('GREET2_Factors_T&amp;D'!$B24:$C24+0,C$37:C$38+0))+MAX(D$74,0)*(MMULT('GREET2_Factors_T&amp;D'!$D24:$E24+0,C$35:C$36+0))+D$70*C$33*GREET1_Import_Export!$AC81</f>
        <v>2.595860741859688</v>
      </c>
      <c r="E91" s="1553"/>
      <c r="F91" s="478">
        <f>F$70*(GREET1_Import_Export!$B195*GREET1_Import_Export!$I$179+GREET1_Import_Export!$I195)+(F$71+F$72)*(GREET1_Import_Export!$B195*GREET1_Import_Export!$F$179+GREET1_Import_Export!$F195)</f>
        <v>-0.15933987062630237</v>
      </c>
      <c r="G91" s="578">
        <f t="array" aca="1" ref="G91" ca="1">G$60*(D$28*GREET1_Import_Export!$K81+GREET1_Import_Export!$F$179*GREET1_Import_Export!$B195+GREET1_Import_Export!$F195)+G$61*(D$40*GREET1_Import_Export!$T81+D$41*GREET1_Import_Export!$B141+GREET1_Import_Export!$C$179*GREET1_Import_Export!$B195+GREET1_Import_Export!$C195)+G$62*(D$42*GREET1_Import_Export!$R81+D$43*GREET1_Import_Export!$B155+GREET1_Import_Export!$H$179*GREET1_Import_Export!$B195+GREET1_Import_Export!$H195)+G$63*(D$29*GREET1_Import_Export!$B81+D$31*GREET1_Import_Export!$B127+$B259)+G$64*(D$32*GREET1_Import_Export!$AA81+GREET1_Import_Export!$B299)+G$65*($C259)+G$67*GREET1_Import_Export!$B510+G$68*GREET1_Import_Export!$C510+G$69*SUM($B91:$C91)+MAX(G$73,0)*(MMULT('GREET2_Factors_T&amp;D'!$B24:$C24+0,D$37:D$38+0))+MAX(G$74,0)*(MMULT('GREET2_Factors_T&amp;D'!$D24:$E24+0,D$35:D$36+0))+G$70*D$33*GREET1_Import_Export!$AC81</f>
        <v>1.3190321542980661</v>
      </c>
      <c r="H91" s="478"/>
      <c r="I91" s="578">
        <f t="array" aca="1" ref="I91" ca="1">I$60*(E$28*GREET1_Import_Export!$K81+GREET1_Import_Export!$F$179*GREET1_Import_Export!$B195+GREET1_Import_Export!$F195)+I$61*(E$40*GREET1_Import_Export!$T81+E$41*GREET1_Import_Export!$B141+GREET1_Import_Export!$C$179*GREET1_Import_Export!$B195+GREET1_Import_Export!$C195)+I$62*(E$42*GREET1_Import_Export!$R81+E$43*GREET1_Import_Export!$B155+GREET1_Import_Export!$H$179*GREET1_Import_Export!$B195+GREET1_Import_Export!$H195)+I$63*(E$29*GREET1_Import_Export!$B81+E$31*GREET1_Import_Export!$B127+$B259)+I$64*(E$32*GREET1_Import_Export!$AA81+GREET1_Import_Export!$B299)+I$65*($C259)+I$67*GREET1_Import_Export!$B510+I$68*GREET1_Import_Export!$C510+I$69*SUM($B91:$C91)+MAX(I$73,0)*(MMULT('GREET2_Factors_T&amp;D'!$B24:$C24+0,E$37:E$38+0))+MAX(I$74,0)*(MMULT('GREET2_Factors_T&amp;D'!$D24:$E24+0,E$35:E$36+0))+I$70*E$33*GREET1_Import_Export!$AC81</f>
        <v>4.131639778985094</v>
      </c>
      <c r="J91" s="478"/>
      <c r="K91" s="578">
        <f t="array" aca="1" ref="K91" ca="1">K$60*(F$28*GREET1_Import_Export!$K81+GREET1_Import_Export!$F$179*GREET1_Import_Export!$B195+GREET1_Import_Export!$F195)+K$61*(F$40*GREET1_Import_Export!$T81+F$41*GREET1_Import_Export!$B141+GREET1_Import_Export!$C$179*GREET1_Import_Export!$B195+GREET1_Import_Export!$C195)+K$62*(F$42*GREET1_Import_Export!$R81+F$43*GREET1_Import_Export!$B155+GREET1_Import_Export!$H$179*GREET1_Import_Export!$B195+GREET1_Import_Export!$H195)+K$63*(F$29*GREET1_Import_Export!$B81+F$31*GREET1_Import_Export!$B127+$B259)+K$64*(F$32*GREET1_Import_Export!$AA81+GREET1_Import_Export!$B299)+K$65*($C259)+K$67*GREET1_Import_Export!$B510+K$68*GREET1_Import_Export!$C510+K$69*SUM($B91:$C91)+MAX(K$73,0)*(MMULT('GREET2_Factors_T&amp;D'!$B24:$C24+0,F$37:F$38+0))+MAX(K$74,0)*(MMULT('GREET2_Factors_T&amp;D'!$D24:$E24+0,F$35:F$36+0))+K$70*F$33*GREET1_Import_Export!$AC81</f>
        <v>1.0748599438336304</v>
      </c>
      <c r="L91" s="478"/>
      <c r="M91" s="578">
        <f t="array" aca="1" ref="M91" ca="1">M$60*(G$28*GREET1_Import_Export!$K81+GREET1_Import_Export!$F$179*GREET1_Import_Export!$B195+GREET1_Import_Export!$F195)+M$61*(G$40*GREET1_Import_Export!$T81+G$41*GREET1_Import_Export!$B141+GREET1_Import_Export!$C$179*GREET1_Import_Export!$B195+GREET1_Import_Export!$C195)+M$62*(G$42*GREET1_Import_Export!$R81+G$43*GREET1_Import_Export!$B155+GREET1_Import_Export!$H$179*GREET1_Import_Export!$B195+GREET1_Import_Export!$H195)+M$63*(G$29*GREET1_Import_Export!$B81+G$31*GREET1_Import_Export!$B127+$B259)+M$64*(G$32*GREET1_Import_Export!$AA81+GREET1_Import_Export!$B299)+M$65*($C259)+M$67*GREET1_Import_Export!$B510+M$68*GREET1_Import_Export!$C510+M$69*SUM($B91:$C91)+MAX(M$73,0)*(MMULT('GREET2_Factors_T&amp;D'!$B24:$C24+0,G$37:G$38+0))+MAX(M$74,0)*(MMULT('GREET2_Factors_T&amp;D'!$D24:$E24+0,G$35:G$36+0))+M$70*G$33*GREET1_Import_Export!$AC81</f>
        <v>2.5748088117904016</v>
      </c>
      <c r="N91" s="478"/>
      <c r="O91" s="578">
        <f t="array" aca="1" ref="O91" ca="1">O$60*(P$28*GREET1_Import_Export!$K81+GREET1_Import_Export!$F$179*GREET1_Import_Export!$B195+GREET1_Import_Export!$F195)+O$61*(GREET1_Import_Export!$T81+GREET1_Import_Export!$C$179*GREET1_Import_Export!$B195+GREET1_Import_Export!$C195)+O$62*(GREET1_Import_Export!$O81+GREET1_Import_Export!$G$179*GREET1_Import_Export!$B195+GREET1_Import_Export!$G195)+O$63*(P$29*GREET1_Import_Export!$B81+$B259)+O$64*(P$32*GREET1_Import_Export!$AA81+GREET1_Import_Export!$B299)+O$65*($C259)+O$67*GREET1_Import_Export!$B510+O$68*GREET1_Import_Export!$C510+O$69*SUM($B91:$C91)+MAX(O$73,0)*(MMULT('GREET2_Factors_T&amp;D'!$B24:$C24+0,P$37:P$38+0))+MAX(O$74,0)*(MMULT('GREET2_Factors_T&amp;D'!$D24:$E24+0,P$35:P$36+0))</f>
        <v>3.7356213277681136</v>
      </c>
      <c r="P91" s="478"/>
      <c r="Q91" s="578">
        <f t="array" aca="1" ref="Q91" ca="1">Q$60*(Q$28*GREET1_Import_Export!$K81+GREET1_Import_Export!$F$179*GREET1_Import_Export!$B195+GREET1_Import_Export!$F195)+Q$61*(GREET1_Import_Export!$T81+GREET1_Import_Export!$C$179*GREET1_Import_Export!$B195+GREET1_Import_Export!$C195)+Q$62*(GREET1_Import_Export!$O81+GREET1_Import_Export!$G$179*GREET1_Import_Export!$B195+GREET1_Import_Export!$G195)+Q$63*(Q$29*GREET1_Import_Export!$B81+$B259)+Q$64*(Q$32*GREET1_Import_Export!$AA81+GREET1_Import_Export!$B299)+Q$65*($C259)+Q$67*GREET1_Import_Export!$B510+Q$68*GREET1_Import_Export!$C510+Q$69*SUM($B91:$C91)+MAX(Q$73,0)*(MMULT('GREET2_Factors_T&amp;D'!$B24:$C24+0,Q$37:Q$38+0))+MAX(Q$74,0)*(MMULT('GREET2_Factors_T&amp;D'!$D24:$E24+0,Q$35:Q$36+0))</f>
        <v>0.11767711184962008</v>
      </c>
      <c r="R91" s="478"/>
      <c r="S91" s="1553">
        <f t="array" aca="1" ref="S91" ca="1">S$60*(R$28*GREET1_Import_Export!$K81+GREET1_Import_Export!$F$179*GREET1_Import_Export!$B195+GREET1_Import_Export!$F195)+S$61*(GREET1_Import_Export!$T81+GREET1_Import_Export!$C$179*GREET1_Import_Export!$B195+GREET1_Import_Export!$C195)+S$62*(GREET1_Import_Export!$O81+GREET1_Import_Export!$G$179*GREET1_Import_Export!$B195+GREET1_Import_Export!$G195)+S$63*(R$29*GREET1_Import_Export!$B81+$B259)+S$64*(R$32*GREET1_Import_Export!$AA81+GREET1_Import_Export!$B299)+S$65*($C259)+S$67*GREET1_Import_Export!$B510+S$68*GREET1_Import_Export!$C510+S$69*SUM($B91:$C91)+MAX(S$73,0)*(MMULT('GREET2_Factors_T&amp;D'!$B24:$C24+0,R$37:R$38+0))+MAX(S$74,0)*(MMULT('GREET2_Factors_T&amp;D'!$D24:$E24+0,R$35:R$36+0))</f>
        <v>3.6949829388017021</v>
      </c>
      <c r="T91" s="1553"/>
      <c r="U91" s="578">
        <f t="array" aca="1" ref="U91" ca="1">U$60*(S$28*GREET1_Import_Export!$K81+GREET1_Import_Export!$F$179*GREET1_Import_Export!$B195+GREET1_Import_Export!$F195)+U$61*(GREET1_Import_Export!$T81+GREET1_Import_Export!$C$179*GREET1_Import_Export!$B195+GREET1_Import_Export!$C195)+U$62*(GREET1_Import_Export!$O81+GREET1_Import_Export!$G$179*GREET1_Import_Export!$B195+GREET1_Import_Export!$G195)+U$63*(S$29*GREET1_Import_Export!$B81+$B259)+U$64*(S$32*GREET1_Import_Export!$AA81+GREET1_Import_Export!$B299)+U$65*($C259)+U$67*GREET1_Import_Export!$B510+U$68*GREET1_Import_Export!$C510+U$69*SUM($B91:$C91)+MAX(U$73,0)*(MMULT('GREET2_Factors_T&amp;D'!$B24:$C24+0,S$37:S$38+0))+MAX(U$74,0)*(MMULT('GREET2_Factors_T&amp;D'!$D24:$E24+0,S$35:S$36+0))</f>
        <v>2.3325452660652894</v>
      </c>
      <c r="V91" s="478"/>
      <c r="W91" s="1553">
        <f t="array" aca="1" ref="W91" ca="1">W$60*(T$28*GREET1_Import_Export!$K81+GREET1_Import_Export!$F$179*GREET1_Import_Export!$B195+GREET1_Import_Export!$F195)+W$61*(GREET1_Import_Export!$T81+GREET1_Import_Export!$C$179*GREET1_Import_Export!$B195+GREET1_Import_Export!$C195)+W$62*(GREET1_Import_Export!$O81+GREET1_Import_Export!$G$179*GREET1_Import_Export!$B195+GREET1_Import_Export!$G195)+W$63*(T$29*GREET1_Import_Export!$B81+$B259)+W$64*(T$32*GREET1_Import_Export!$AA81+GREET1_Import_Export!$B299)+W$65*($C259)+W$67*GREET1_Import_Export!$B510+W$68*GREET1_Import_Export!$C510+W$69*SUM($B91:$C91)+MAX(W$73,0)*(MMULT('GREET2_Factors_T&amp;D'!$B24:$C24+0,T$37:T$38+0))+MAX(W$74,0)*(MMULT('GREET2_Factors_T&amp;D'!$D24:$E24+0,T$35:T$36+0))</f>
        <v>2.0900910042065926</v>
      </c>
      <c r="X91" s="1553"/>
      <c r="Y91" s="578">
        <f t="array" aca="1" ref="Y91" ca="1">Y$60*(U$28*GREET1_Import_Export!$K81+GREET1_Import_Export!$F$179*GREET1_Import_Export!$B195+GREET1_Import_Export!$F195)+Y$61*(GREET1_Import_Export!$T81+GREET1_Import_Export!$C$179*GREET1_Import_Export!$B195+GREET1_Import_Export!$C195)+Y$62*(GREET1_Import_Export!$O81+GREET1_Import_Export!$G$179*GREET1_Import_Export!$B195+GREET1_Import_Export!$G195)+Y$63*(U$29*GREET1_Import_Export!$B81+$B259)+Y$64*(U$32*GREET1_Import_Export!$AA81+GREET1_Import_Export!$B299)+Y$65*($C259)+Y$67*GREET1_Import_Export!$B510+Y$68*GREET1_Import_Export!$C510+Y$69*SUM($B91:$C91)+MAX(Y$73,0)*(MMULT('GREET2_Factors_T&amp;D'!$B24:$C24+0,U$37:U$38+0))+MAX(Y$74,0)*(MMULT('GREET2_Factors_T&amp;D'!$D24:$E24+0,U$35:U$36+0))</f>
        <v>4.7372665455764214</v>
      </c>
      <c r="Z91" s="478"/>
      <c r="AA91" s="1553">
        <f t="array" aca="1" ref="AA91" ca="1">AA$60*(V$28*GREET1_Import_Export!$K81+GREET1_Import_Export!$F$179*GREET1_Import_Export!$B195+GREET1_Import_Export!$F195)+AA$61*(GREET1_Import_Export!$T81+GREET1_Import_Export!$C$179*GREET1_Import_Export!$B195+GREET1_Import_Export!$C195)+AA$62*(GREET1_Import_Export!$O81+GREET1_Import_Export!$G$179*GREET1_Import_Export!$B195+GREET1_Import_Export!$G195)+AA$63*(V$29*GREET1_Import_Export!$B81+$B259)+AA$64*(V$32*GREET1_Import_Export!$AA81+GREET1_Import_Export!$B299)+AA$65*($C259)+AA$67*GREET1_Import_Export!$B510+AA$68*GREET1_Import_Export!$C510+AA$69*SUM($B91:$C91)+MAX(AA$73,0)*(MMULT('GREET2_Factors_T&amp;D'!$B24:$C24+0,V$37:V$38+0))+MAX(AA$74,0)*(MMULT('GREET2_Factors_T&amp;D'!$D24:$E24+0,V$35:V$36+0))</f>
        <v>7.2967254174050922</v>
      </c>
      <c r="AB91" s="478"/>
      <c r="AC91" s="1553">
        <f t="array" aca="1" ref="AC91" ca="1">AC$60*(W$28*GREET1_Import_Export!$K81+GREET1_Import_Export!$F$179*GREET1_Import_Export!$B195+GREET1_Import_Export!$F195)+AC$61*(GREET1_Import_Export!$T81+GREET1_Import_Export!$C$179*GREET1_Import_Export!$B195+GREET1_Import_Export!$C195)+AC$62*(GREET1_Import_Export!$O81+GREET1_Import_Export!$G$179*GREET1_Import_Export!$B195+GREET1_Import_Export!$G195)+AC$63*(W$29*GREET1_Import_Export!$B81+$B259)+AC$64*(W$32*GREET1_Import_Export!$AA81+GREET1_Import_Export!$B299)+AC$65*($C259)+AC$67*GREET1_Import_Export!$B510+AC$68*GREET1_Import_Export!$C510+AC$69*SUM($B91:$C91)+MAX(AC$73,0)*(MMULT('GREET2_Factors_T&amp;D'!$B24:$C24+0,W$37:W$38+0))+MAX(AC$74,0)*(MMULT('GREET2_Factors_T&amp;D'!$D24:$E24+0,W$35:W$36+0))</f>
        <v>1.3125273865702118</v>
      </c>
      <c r="AD91" s="478"/>
      <c r="AE91" s="749">
        <f t="array" ref="AE91">AE$60*(H$28*GREET1_Import_Export!$K81+GREET1_Import_Export!$F$179*GREET1_Import_Export!$B195+GREET1_Import_Export!$F195)+AE$61*(GREET1_Import_Export!$T81+GREET1_Import_Export!$C$179*GREET1_Import_Export!$B195+GREET1_Import_Export!$C195)+AE$62*(GREET1_Import_Export!$O81+GREET1_Import_Export!$H$179*GREET1_Import_Export!$B195+GREET1_Import_Export!$H195)+AE$63*(H$29*GREET1_Import_Export!$B81+$B259)+AE$64*(H$32*GREET1_Import_Export!$AA81+GREET1_Import_Export!$B299)+AE$65*($C259)+AE$67*GREET1_Import_Export!$B510+AE$68*GREET1_Import_Export!$C510+MAX(AE$73,0)*(MMULT('GREET2_Factors_T&amp;D'!$B24:$C24+0,H$37:H$38+0))+MAX(AE$74,0)*(MMULT('GREET2_Factors_T&amp;D'!$D24:$E24+0,H$35:H$36+0))</f>
        <v>2.7348312799084518</v>
      </c>
      <c r="AF91" s="1013"/>
      <c r="AG91" s="749">
        <f t="array" ref="AG91">AG$60*(I$28*GREET1_Import_Export!$K81+GREET1_Import_Export!$F$179*GREET1_Import_Export!$B195+GREET1_Import_Export!$F195)+AG$61*(GREET1_Import_Export!$T81+GREET1_Import_Export!$C$179*GREET1_Import_Export!$B195+GREET1_Import_Export!$C195)+AG$62*(GREET1_Import_Export!$O81+GREET1_Import_Export!$H$179*GREET1_Import_Export!$B195+GREET1_Import_Export!$H195)+AG$63*(I$29*GREET1_Import_Export!$B81+$B259)+AG$64*(I$32*GREET1_Import_Export!$AA81+GREET1_Import_Export!$B299)+AG$65*($C259)+AG$67*GREET1_Import_Export!$B510+AG$68*GREET1_Import_Export!$C510+MAX(AG$73,0)*(MMULT('GREET2_Factors_T&amp;D'!$B24:$C24+0,I$37:I$38+0))+MAX(AG$74,0)*(MMULT('GREET2_Factors_T&amp;D'!$D24:$E24+0,I$35:I$36+0))</f>
        <v>5.6439964855390112</v>
      </c>
      <c r="AH91" s="1013"/>
      <c r="AI91" s="749">
        <f t="array" ref="AI91">AI$60*(J$28*GREET1_Import_Export!$K81+GREET1_Import_Export!$F$179*GREET1_Import_Export!$B195+GREET1_Import_Export!$F195)+AI$61*(GREET1_Import_Export!$T81+GREET1_Import_Export!$C$179*GREET1_Import_Export!$B195+GREET1_Import_Export!$C195)+AI$62*(GREET1_Import_Export!$O81+GREET1_Import_Export!$H$179*GREET1_Import_Export!$B195+GREET1_Import_Export!$H195)+AI$63*(J$29*GREET1_Import_Export!$B81+$B259)+AI$64*(J$32*GREET1_Import_Export!$AA81+GREET1_Import_Export!$B299)+AI$65*($C259)+AI$67*GREET1_Import_Export!$B510+AI$68*GREET1_Import_Export!$C510+MAX(AI$73,0)*(MMULT('GREET2_Factors_T&amp;D'!$B24:$C24+0,J$37:J$38+0))+MAX(AI$74,0)*(MMULT('GREET2_Factors_T&amp;D'!$D24:$E24+0,J$35:J$36+0))</f>
        <v>24.549546201503411</v>
      </c>
      <c r="AJ91" s="1013"/>
      <c r="AK91" s="749">
        <f t="array" ref="AK91">AK$60*(K$28*GREET1_Import_Export!$K81+GREET1_Import_Export!$F$179*GREET1_Import_Export!$B195+GREET1_Import_Export!$F195)+AK$61*(GREET1_Import_Export!$T81+GREET1_Import_Export!$C$179*GREET1_Import_Export!$B195+GREET1_Import_Export!$C195)+AK$62*(GREET1_Import_Export!$O81+GREET1_Import_Export!$H$179*GREET1_Import_Export!$B195+GREET1_Import_Export!$H195)+AK$63*(K$29*GREET1_Import_Export!$B81+$B259)+AK$64*(K$32*GREET1_Import_Export!$AA81+GREET1_Import_Export!$B299)+AK$65*($C259)+AK$67*GREET1_Import_Export!$B510+AK$68*GREET1_Import_Export!$C510+MAX(AK$73,0)*(MMULT('GREET2_Factors_T&amp;D'!$B24:$C24+0,K$37:K$38+0))+MAX(AK$74,0)*(MMULT('GREET2_Factors_T&amp;D'!$D24:$E24+0,K$35:K$36+0))+AK$66*$D259</f>
        <v>5.2419596418008307</v>
      </c>
      <c r="AL91" s="1013"/>
      <c r="AM91" s="749">
        <f t="array" ref="AM91">AM$60*(L$28*GREET1_Import_Export!$K81+GREET1_Import_Export!$F$179*GREET1_Import_Export!$B195+GREET1_Import_Export!$F195)+AM$61*(GREET1_Import_Export!$T81+GREET1_Import_Export!$C$179*GREET1_Import_Export!$B195+GREET1_Import_Export!$C195)+AM$62*(GREET1_Import_Export!$O81+GREET1_Import_Export!$H$179*GREET1_Import_Export!$B195+GREET1_Import_Export!$H195)+AM$63*(L$29*GREET1_Import_Export!$B81+$B259)+AM$64*(L$32*GREET1_Import_Export!$AA81+GREET1_Import_Export!$B299)+AM$65*($C259)+AM$67*GREET1_Import_Export!$B510+AM$68*GREET1_Import_Export!$C510+MAX(AM$73,0)*(MMULT('GREET2_Factors_T&amp;D'!$B24:$C24+0,L$37:L$38+0))+MAX(AM$74,0)*(MMULT('GREET2_Factors_T&amp;D'!$D24:$E24+0,L$35:L$36+0))</f>
        <v>6.1588702073910042</v>
      </c>
      <c r="AN91" s="1013"/>
      <c r="AO91" s="749">
        <f t="array" ref="AO91">AO$60*(M$28*GREET1_Import_Export!$K81+GREET1_Import_Export!$F$179*GREET1_Import_Export!$B195+GREET1_Import_Export!$F195)+AO$61*(GREET1_Import_Export!$T81+GREET1_Import_Export!$C$179*GREET1_Import_Export!$B195+GREET1_Import_Export!$C195)+AO$62*(GREET1_Import_Export!$O81+GREET1_Import_Export!$H$179*GREET1_Import_Export!$B195+GREET1_Import_Export!$H195)+AO$63*(M$29*GREET1_Import_Export!$B81+$B259)+AO$64*(M$32*GREET1_Import_Export!$AA81+GREET1_Import_Export!$B299)+AO$65*($C259)+AO$67*GREET1_Import_Export!$B510+AO$68*GREET1_Import_Export!$C510+MAX(AO$73,0)*(MMULT('GREET2_Factors_T&amp;D'!$B24:$C24+0,M$37:M$38+0))+MAX(AO$74,0)*(MMULT('GREET2_Factors_T&amp;D'!$D24:$E24+0,M$35:M$36+0))</f>
        <v>2.8451987715807174</v>
      </c>
      <c r="AP91" s="1013"/>
      <c r="AQ91" s="749">
        <f t="array" ref="AQ91">AQ$60*(N$28*GREET1_Import_Export!$K81+GREET1_Import_Export!$F$179*GREET1_Import_Export!$B195+GREET1_Import_Export!$F195)+AQ$61*(GREET1_Import_Export!$T81+GREET1_Import_Export!$C$179*GREET1_Import_Export!$B195+GREET1_Import_Export!$C195)+AQ$62*(GREET1_Import_Export!$O81+GREET1_Import_Export!$H$179*GREET1_Import_Export!$B195+GREET1_Import_Export!$H195)+AQ$63*(N$29*GREET1_Import_Export!$B81+$B259)+AQ$64*(N$32*GREET1_Import_Export!$AA81+GREET1_Import_Export!$B299)+AQ$65*($C259)+AQ$67*GREET1_Import_Export!$B510+AQ$68*GREET1_Import_Export!$C510+MAX(AQ$73,0)*(MMULT('GREET2_Factors_T&amp;D'!$B24:$C24+0,N$37:N$38+0))+MAX(AQ$74,0)*(MMULT('GREET2_Factors_T&amp;D'!$D24:$E24+0,N$35:N$36+0))+AQ$66*$D259</f>
        <v>1.5447514875029196</v>
      </c>
      <c r="AR91" s="1013"/>
      <c r="AS91" s="749">
        <f t="array" ref="AS91">AS$60*(O$28*GREET1_Import_Export!$K81+GREET1_Import_Export!$F$179*GREET1_Import_Export!$B195+GREET1_Import_Export!$F195)+AS$61*(GREET1_Import_Export!$T81+GREET1_Import_Export!$C$179*GREET1_Import_Export!$B195+GREET1_Import_Export!$C195)+AS$62*(GREET1_Import_Export!$O81+GREET1_Import_Export!$H$179*GREET1_Import_Export!$B195+GREET1_Import_Export!$H195)+AS$63*(O$29*GREET1_Import_Export!$B81+$B259)+AS$64*(O$32*GREET1_Import_Export!$AA81+GREET1_Import_Export!$B299)+AS$65*($C259)+AS$67*GREET1_Import_Export!$B510+AS$68*GREET1_Import_Export!$C510+MAX(AS$73,0)*(MMULT('GREET2_Factors_T&amp;D'!$B24:$C24+0,O$37:O$38+0))+MAX(AS$74,0)*(MMULT('GREET2_Factors_T&amp;D'!$D24:$E24+0,O$35:O$36+0))</f>
        <v>6.1588702073910042</v>
      </c>
      <c r="AT91" s="1013"/>
    </row>
    <row r="92" spans="1:46">
      <c r="A92" s="161" t="s">
        <v>831</v>
      </c>
      <c r="B92" s="137">
        <f t="array" aca="1" ref="B92" ca="1">B$60*(B$28*GREET1_Import_Export!$K82+GREET1_Import_Export!$F$179*GREET1_Import_Export!$B196+GREET1_Import_Export!$F196)+B$61*(B$40*GREET1_Import_Export!$T82+B$41*GREET1_Import_Export!$B142+GREET1_Import_Export!$C$179*GREET1_Import_Export!$B196+GREET1_Import_Export!$C196)+B$62*(B$42*GREET1_Import_Export!$R82+B$43*GREET1_Import_Export!$B156+GREET1_Import_Export!$H$179*GREET1_Import_Export!$B196+GREET1_Import_Export!$H196)+B$63*(B$29*GREET1_Import_Export!$B82+B$31*GREET1_Import_Export!$B128+$B260)+B$64*(B$32*GREET1_Import_Export!$AA82+GREET1_Import_Export!$B300)+B$65*($C260)+B$67*GREET1_Import_Export!$B511+B$68*GREET1_Import_Export!$C511+B$69*SUM($B92:$C92)+MAX(B$73,0)*(MMULT('GREET2_Factors_T&amp;D'!$B25:$C25+0,B$37:B$38+0))+MAX(B$74,0)*(MMULT('GREET2_Factors_T&amp;D'!$D25:$E25+0,B$35:B$36+0))+B$70*B$33*GREET1_Import_Export!$AC82</f>
        <v>39831.606405044629</v>
      </c>
      <c r="C92" s="139"/>
      <c r="D92" s="137">
        <f t="array" aca="1" ref="D92" ca="1">D$60*(C$28*GREET1_Import_Export!$K82+GREET1_Import_Export!$F$179*GREET1_Import_Export!$B196+GREET1_Import_Export!$F196)+D$61*(C$40*GREET1_Import_Export!$T82+C$41*GREET1_Import_Export!$B142+GREET1_Import_Export!$C$179*GREET1_Import_Export!$B196+GREET1_Import_Export!$C196)+D$62*(C$42*GREET1_Import_Export!$R82+C$43*GREET1_Import_Export!$B156+GREET1_Import_Export!$H$179*GREET1_Import_Export!$B196+GREET1_Import_Export!$H196)+D$63*(C$29*GREET1_Import_Export!$B82+C$31*GREET1_Import_Export!$B128+$B260)+D$64*(C$32*GREET1_Import_Export!$AA82+GREET1_Import_Export!$B300)+D$65*($C260)+D$67*GREET1_Import_Export!$B511+D$68*GREET1_Import_Export!$C511+D$69*SUM($B92:$C92)+MAX(D$73,0)*(MMULT('GREET2_Factors_T&amp;D'!$B25:$C25+0,C$37:C$38+0))+MAX(D$74,0)*(MMULT('GREET2_Factors_T&amp;D'!$D25:$E25+0,C$35:C$36+0))+D$70*C$33*GREET1_Import_Export!$AC82</f>
        <v>179644.03757322833</v>
      </c>
      <c r="E92" s="138"/>
      <c r="F92" s="159">
        <f>F$70*(GREET1_Import_Export!$B196*GREET1_Import_Export!$I$179+GREET1_Import_Export!$I196)+(F$71+F$72)*(GREET1_Import_Export!$B196*GREET1_Import_Export!$F$179+GREET1_Import_Export!$F196)</f>
        <v>-9542.8217623835881</v>
      </c>
      <c r="G92" s="137">
        <f t="array" aca="1" ref="G92" ca="1">G$60*(D$28*GREET1_Import_Export!$K82+GREET1_Import_Export!$F$179*GREET1_Import_Export!$B196+GREET1_Import_Export!$F196)+G$61*(D$40*GREET1_Import_Export!$T82+D$41*GREET1_Import_Export!$B142+GREET1_Import_Export!$C$179*GREET1_Import_Export!$B196+GREET1_Import_Export!$C196)+G$62*(D$42*GREET1_Import_Export!$R82+D$43*GREET1_Import_Export!$B156+GREET1_Import_Export!$H$179*GREET1_Import_Export!$B196+GREET1_Import_Export!$H196)+G$63*(D$29*GREET1_Import_Export!$B82+D$31*GREET1_Import_Export!$B128+$B260)+G$64*(D$32*GREET1_Import_Export!$AA82+GREET1_Import_Export!$B300)+G$65*($C260)+G$67*GREET1_Import_Export!$B511+G$68*GREET1_Import_Export!$C511+G$69*SUM($B92:$C92)+MAX(G$73,0)*(MMULT('GREET2_Factors_T&amp;D'!$B25:$C25+0,D$37:D$38+0))+MAX(G$74,0)*(MMULT('GREET2_Factors_T&amp;D'!$D25:$E25+0,D$35:D$36+0))+G$70*D$33*GREET1_Import_Export!$AC82</f>
        <v>136214.02557345186</v>
      </c>
      <c r="H92" s="1548">
        <v>29166.042000000001</v>
      </c>
      <c r="I92" s="137">
        <f t="array" aca="1" ref="I92" ca="1">I$60*(E$28*GREET1_Import_Export!$K82+GREET1_Import_Export!$F$179*GREET1_Import_Export!$B196+GREET1_Import_Export!$F196)+I$61*(E$40*GREET1_Import_Export!$T82+E$41*GREET1_Import_Export!$B142+GREET1_Import_Export!$C$179*GREET1_Import_Export!$B196+GREET1_Import_Export!$C196)+I$62*(E$42*GREET1_Import_Export!$R82+E$43*GREET1_Import_Export!$B156+GREET1_Import_Export!$H$179*GREET1_Import_Export!$B196+GREET1_Import_Export!$H196)+I$63*(E$29*GREET1_Import_Export!$B82+E$31*GREET1_Import_Export!$B128+$B260)+I$64*(E$32*GREET1_Import_Export!$AA82+GREET1_Import_Export!$B300)+I$65*($C260)+I$67*GREET1_Import_Export!$B511+I$68*GREET1_Import_Export!$C511+I$69*SUM($B92:$C92)+MAX(I$73,0)*(MMULT('GREET2_Factors_T&amp;D'!$B25:$C25+0,E$37:E$38+0))+MAX(I$74,0)*(MMULT('GREET2_Factors_T&amp;D'!$D25:$E25+0,E$35:E$36+0))+I$70*E$33*GREET1_Import_Export!$AC82</f>
        <v>439326.54375278903</v>
      </c>
      <c r="J92" s="1548">
        <v>23145.953000000001</v>
      </c>
      <c r="K92" s="137">
        <f t="array" aca="1" ref="K92" ca="1">K$60*(F$28*GREET1_Import_Export!$K82+GREET1_Import_Export!$F$179*GREET1_Import_Export!$B196+GREET1_Import_Export!$F196)+K$61*(F$40*GREET1_Import_Export!$T82+F$41*GREET1_Import_Export!$B142+GREET1_Import_Export!$C$179*GREET1_Import_Export!$B196+GREET1_Import_Export!$C196)+K$62*(F$42*GREET1_Import_Export!$R82+F$43*GREET1_Import_Export!$B156+GREET1_Import_Export!$H$179*GREET1_Import_Export!$B196+GREET1_Import_Export!$H196)+K$63*(F$29*GREET1_Import_Export!$B82+F$31*GREET1_Import_Export!$B128+$B260)+K$64*(F$32*GREET1_Import_Export!$AA82+GREET1_Import_Export!$B300)+K$65*($C260)+K$67*GREET1_Import_Export!$B511+K$68*GREET1_Import_Export!$C511+K$69*SUM($B92:$C92)+MAX(K$73,0)*(MMULT('GREET2_Factors_T&amp;D'!$B25:$C25+0,F$37:F$38+0))+MAX(K$74,0)*(MMULT('GREET2_Factors_T&amp;D'!$D25:$E25+0,F$35:F$36+0))+K$70*F$33*GREET1_Import_Export!$AC82</f>
        <v>115523.83780664804</v>
      </c>
      <c r="L92" s="139"/>
      <c r="M92" s="137">
        <f t="array" aca="1" ref="M92" ca="1">M$60*(G$28*GREET1_Import_Export!$K82+GREET1_Import_Export!$F$179*GREET1_Import_Export!$B196+GREET1_Import_Export!$F196)+M$61*(G$40*GREET1_Import_Export!$T82+G$41*GREET1_Import_Export!$B142+GREET1_Import_Export!$C$179*GREET1_Import_Export!$B196+GREET1_Import_Export!$C196)+M$62*(G$42*GREET1_Import_Export!$R82+G$43*GREET1_Import_Export!$B156+GREET1_Import_Export!$H$179*GREET1_Import_Export!$B196+GREET1_Import_Export!$H196)+M$63*(G$29*GREET1_Import_Export!$B82+G$31*GREET1_Import_Export!$B128+$B260)+M$64*(G$32*GREET1_Import_Export!$AA82+GREET1_Import_Export!$B300)+M$65*($C260)+M$67*GREET1_Import_Export!$B511+M$68*GREET1_Import_Export!$C511+M$69*SUM($B92:$C92)+MAX(M$73,0)*(MMULT('GREET2_Factors_T&amp;D'!$B25:$C25+0,G$37:G$38+0))+MAX(M$74,0)*(MMULT('GREET2_Factors_T&amp;D'!$D25:$E25+0,G$35:G$36+0))+M$70*G$33*GREET1_Import_Export!$AC82</f>
        <v>886524.68372647103</v>
      </c>
      <c r="N92" s="139"/>
      <c r="O92" s="137">
        <f t="array" aca="1" ref="O92" ca="1">O$60*(P$28*GREET1_Import_Export!$K82+GREET1_Import_Export!$F$179*GREET1_Import_Export!$B196+GREET1_Import_Export!$F196)+O$61*(GREET1_Import_Export!$T82+GREET1_Import_Export!$C$179*GREET1_Import_Export!$B196+GREET1_Import_Export!$C196)+O$62*(GREET1_Import_Export!$O82+GREET1_Import_Export!$G$179*GREET1_Import_Export!$B196+GREET1_Import_Export!$G196)+O$63*(P$29*GREET1_Import_Export!$B82+$B260)+O$64*(P$32*GREET1_Import_Export!$AA82+GREET1_Import_Export!$B300)+O$65*($C260)+O$67*GREET1_Import_Export!$B511+O$68*GREET1_Import_Export!$C511+O$69*SUM($B92:$C92)+MAX(O$73,0)*(MMULT('GREET2_Factors_T&amp;D'!$B25:$C25+0,P$37:P$38+0))+MAX(O$74,0)*(MMULT('GREET2_Factors_T&amp;D'!$D25:$E25+0,P$35:P$36+0))</f>
        <v>194026.5904259145</v>
      </c>
      <c r="P92" s="139"/>
      <c r="Q92" s="650">
        <f t="array" aca="1" ref="Q92" ca="1">Q$60*(Q$28*GREET1_Import_Export!$K82+GREET1_Import_Export!$F$179*GREET1_Import_Export!$B196+GREET1_Import_Export!$F196)+Q$61*(GREET1_Import_Export!$T82+GREET1_Import_Export!$C$179*GREET1_Import_Export!$B196+GREET1_Import_Export!$C196)+Q$62*(GREET1_Import_Export!$O82+GREET1_Import_Export!$G$179*GREET1_Import_Export!$B196+GREET1_Import_Export!$G196)+Q$63*(Q$29*GREET1_Import_Export!$B82+$B260)+Q$64*(Q$32*GREET1_Import_Export!$AA82+GREET1_Import_Export!$B300)+Q$65*($C260)+Q$67*GREET1_Import_Export!$B511+Q$68*GREET1_Import_Export!$C511+Q$69*SUM($B92:$C92)+MAX(Q$73,0)*(MMULT('GREET2_Factors_T&amp;D'!$B25:$C25+0,Q$37:Q$38+0))+MAX(Q$74,0)*(MMULT('GREET2_Factors_T&amp;D'!$D25:$E25+0,Q$35:Q$36+0))</f>
        <v>14248.862703765668</v>
      </c>
      <c r="R92" s="159"/>
      <c r="S92" s="522">
        <f t="array" aca="1" ref="S92" ca="1">S$60*(R$28*GREET1_Import_Export!$K82+GREET1_Import_Export!$F$179*GREET1_Import_Export!$B196+GREET1_Import_Export!$F196)+S$61*(GREET1_Import_Export!$T82+GREET1_Import_Export!$C$179*GREET1_Import_Export!$B196+GREET1_Import_Export!$C196)+S$62*(GREET1_Import_Export!$O82+GREET1_Import_Export!$G$179*GREET1_Import_Export!$B196+GREET1_Import_Export!$G196)+S$63*(R$29*GREET1_Import_Export!$B82+$B260)+S$64*(R$32*GREET1_Import_Export!$AA82+GREET1_Import_Export!$B300)+S$65*($C260)+S$67*GREET1_Import_Export!$B511+S$68*GREET1_Import_Export!$C511+S$69*SUM($B92:$C92)+MAX(S$73,0)*(MMULT('GREET2_Factors_T&amp;D'!$B25:$C25+0,R$37:R$38+0))+MAX(S$74,0)*(MMULT('GREET2_Factors_T&amp;D'!$D25:$E25+0,R$35:R$36+0))</f>
        <v>254152.62676367373</v>
      </c>
      <c r="T92" s="522"/>
      <c r="U92" s="137">
        <f t="array" aca="1" ref="U92" ca="1">U$60*(S$28*GREET1_Import_Export!$K82+GREET1_Import_Export!$F$179*GREET1_Import_Export!$B196+GREET1_Import_Export!$F196)+U$61*(GREET1_Import_Export!$T82+GREET1_Import_Export!$C$179*GREET1_Import_Export!$B196+GREET1_Import_Export!$C196)+U$62*(GREET1_Import_Export!$O82+GREET1_Import_Export!$G$179*GREET1_Import_Export!$B196+GREET1_Import_Export!$G196)+U$63*(S$29*GREET1_Import_Export!$B82+$B260)+U$64*(S$32*GREET1_Import_Export!$AA82+GREET1_Import_Export!$B300)+U$65*($C260)+U$67*GREET1_Import_Export!$B511+U$68*GREET1_Import_Export!$C511+U$69*SUM($B92:$C92)+MAX(U$73,0)*(MMULT('GREET2_Factors_T&amp;D'!$B25:$C25+0,S$37:S$38+0))+MAX(U$74,0)*(MMULT('GREET2_Factors_T&amp;D'!$D25:$E25+0,S$35:S$36+0))</f>
        <v>186001.72109927697</v>
      </c>
      <c r="V92" s="139"/>
      <c r="W92" s="522">
        <f t="array" aca="1" ref="W92" ca="1">W$60*(T$28*GREET1_Import_Export!$K82+GREET1_Import_Export!$F$179*GREET1_Import_Export!$B196+GREET1_Import_Export!$F196)+W$61*(GREET1_Import_Export!$T82+GREET1_Import_Export!$C$179*GREET1_Import_Export!$B196+GREET1_Import_Export!$C196)+W$62*(GREET1_Import_Export!$O82+GREET1_Import_Export!$G$179*GREET1_Import_Export!$B196+GREET1_Import_Export!$G196)+W$63*(T$29*GREET1_Import_Export!$B82+$B260)+W$64*(T$32*GREET1_Import_Export!$AA82+GREET1_Import_Export!$B300)+W$65*($C260)+W$67*GREET1_Import_Export!$B511+W$68*GREET1_Import_Export!$C511+W$69*SUM($B92:$C92)+MAX(W$73,0)*(MMULT('GREET2_Factors_T&amp;D'!$B25:$C25+0,T$37:T$38+0))+MAX(W$74,0)*(MMULT('GREET2_Factors_T&amp;D'!$D25:$E25+0,T$35:T$36+0))</f>
        <v>101789.58663135707</v>
      </c>
      <c r="X92" s="522"/>
      <c r="Y92" s="650">
        <f t="array" aca="1" ref="Y92" ca="1">Y$60*(U$28*GREET1_Import_Export!$K82+GREET1_Import_Export!$F$179*GREET1_Import_Export!$B196+GREET1_Import_Export!$F196)+Y$61*(GREET1_Import_Export!$T82+GREET1_Import_Export!$C$179*GREET1_Import_Export!$B196+GREET1_Import_Export!$C196)+Y$62*(GREET1_Import_Export!$O82+GREET1_Import_Export!$G$179*GREET1_Import_Export!$B196+GREET1_Import_Export!$G196)+Y$63*(U$29*GREET1_Import_Export!$B82+$B260)+Y$64*(U$32*GREET1_Import_Export!$AA82+GREET1_Import_Export!$B300)+Y$65*($C260)+Y$67*GREET1_Import_Export!$B511+Y$68*GREET1_Import_Export!$C511+Y$69*SUM($B92:$C92)+MAX(Y$73,0)*(MMULT('GREET2_Factors_T&amp;D'!$B25:$C25+0,U$37:U$38+0))+MAX(Y$74,0)*(MMULT('GREET2_Factors_T&amp;D'!$D25:$E25+0,U$35:U$36+0))</f>
        <v>211855.27726239426</v>
      </c>
      <c r="Z92" s="957">
        <v>23335.602999999999</v>
      </c>
      <c r="AA92" s="522">
        <f t="array" aca="1" ref="AA92" ca="1">AA$60*(V$28*GREET1_Import_Export!$K82+GREET1_Import_Export!$F$179*GREET1_Import_Export!$B196+GREET1_Import_Export!$F196)+AA$61*(GREET1_Import_Export!$T82+GREET1_Import_Export!$C$179*GREET1_Import_Export!$B196+GREET1_Import_Export!$C196)+AA$62*(GREET1_Import_Export!$O82+GREET1_Import_Export!$G$179*GREET1_Import_Export!$B196+GREET1_Import_Export!$G196)+AA$63*(V$29*GREET1_Import_Export!$B82+$B260)+AA$64*(V$32*GREET1_Import_Export!$AA82+GREET1_Import_Export!$B300)+AA$65*($C260)+AA$67*GREET1_Import_Export!$B511+AA$68*GREET1_Import_Export!$C511+AA$69*SUM($B92:$C92)+MAX(AA$73,0)*(MMULT('GREET2_Factors_T&amp;D'!$B25:$C25+0,V$37:V$38+0))+MAX(AA$74,0)*(MMULT('GREET2_Factors_T&amp;D'!$D25:$E25+0,V$35:V$36+0))</f>
        <v>268724.83268020448</v>
      </c>
      <c r="AB92" s="159"/>
      <c r="AC92" s="522">
        <f t="array" aca="1" ref="AC92" ca="1">AC$60*(W$28*GREET1_Import_Export!$K82+GREET1_Import_Export!$F$179*GREET1_Import_Export!$B196+GREET1_Import_Export!$F196)+AC$61*(GREET1_Import_Export!$T82+GREET1_Import_Export!$C$179*GREET1_Import_Export!$B196+GREET1_Import_Export!$C196)+AC$62*(GREET1_Import_Export!$O82+GREET1_Import_Export!$G$179*GREET1_Import_Export!$B196+GREET1_Import_Export!$G196)+AC$63*(W$29*GREET1_Import_Export!$B82+$B260)+AC$64*(W$32*GREET1_Import_Export!$AA82+GREET1_Import_Export!$B300)+AC$65*($C260)+AC$67*GREET1_Import_Export!$B511+AC$68*GREET1_Import_Export!$C511+AC$69*SUM($B92:$C92)+MAX(AC$73,0)*(MMULT('GREET2_Factors_T&amp;D'!$B25:$C25+0,W$37:W$38+0))+MAX(AC$74,0)*(MMULT('GREET2_Factors_T&amp;D'!$D25:$E25+0,W$35:W$36+0))</f>
        <v>63921.436842905794</v>
      </c>
      <c r="AD92" s="159"/>
      <c r="AE92" s="1092">
        <f t="array" ref="AE92">AE$60*(H$28*GREET1_Import_Export!$K82+GREET1_Import_Export!$F$179*GREET1_Import_Export!$B196+GREET1_Import_Export!$F196)+AE$61*(GREET1_Import_Export!$T82+GREET1_Import_Export!$C$179*GREET1_Import_Export!$B196+GREET1_Import_Export!$C196)+AE$62*(GREET1_Import_Export!$O82+GREET1_Import_Export!$H$179*GREET1_Import_Export!$B196+GREET1_Import_Export!$H196)+AE$63*(H$29*GREET1_Import_Export!$B82+$B260)+AE$64*(H$32*GREET1_Import_Export!$AA82+GREET1_Import_Export!$B300)+AE$65*($C260)+AE$67*GREET1_Import_Export!$B511+AE$68*GREET1_Import_Export!$C511+MAX(AE$73,0)*(MMULT('GREET2_Factors_T&amp;D'!$B25:$C25+0,H$37:H$38+0))+MAX(AE$74,0)*(MMULT('GREET2_Factors_T&amp;D'!$D25:$E25+0,H$35:H$36+0))</f>
        <v>195043.10049031014</v>
      </c>
      <c r="AF92" s="1031"/>
      <c r="AG92" s="1194">
        <f t="array" ref="AG92">AG$60*(I$28*GREET1_Import_Export!$K82+GREET1_Import_Export!$F$179*GREET1_Import_Export!$B196+GREET1_Import_Export!$F196)+AG$61*(GREET1_Import_Export!$T82+GREET1_Import_Export!$C$179*GREET1_Import_Export!$B196+GREET1_Import_Export!$C196)+AG$62*(GREET1_Import_Export!$O82+GREET1_Import_Export!$H$179*GREET1_Import_Export!$B196+GREET1_Import_Export!$H196)+AG$63*(I$29*GREET1_Import_Export!$B82+$B260)+AG$64*(I$32*GREET1_Import_Export!$AA82+GREET1_Import_Export!$B300)+AG$65*($C260)+AG$67*GREET1_Import_Export!$B511+AG$68*GREET1_Import_Export!$C511+MAX(AG$73,0)*(MMULT('GREET2_Factors_T&amp;D'!$B25:$C25+0,I$37:I$38+0))+MAX(AG$74,0)*(MMULT('GREET2_Factors_T&amp;D'!$D25:$E25+0,I$35:I$36+0))</f>
        <v>189190.25351634499</v>
      </c>
      <c r="AH92" s="1031"/>
      <c r="AI92" s="1092">
        <f t="array" ref="AI92">AI$60*(J$28*GREET1_Import_Export!$K82+GREET1_Import_Export!$F$179*GREET1_Import_Export!$B196+GREET1_Import_Export!$F196)+AI$61*(GREET1_Import_Export!$T82+GREET1_Import_Export!$C$179*GREET1_Import_Export!$B196+GREET1_Import_Export!$C196)+AI$62*(GREET1_Import_Export!$O82+GREET1_Import_Export!$H$179*GREET1_Import_Export!$B196+GREET1_Import_Export!$H196)+AI$63*(J$29*GREET1_Import_Export!$B82+$B260)+AI$64*(J$32*GREET1_Import_Export!$AA82+GREET1_Import_Export!$B300)+AI$65*($C260)+AI$67*GREET1_Import_Export!$B511+AI$68*GREET1_Import_Export!$C511+MAX(AI$73,0)*(MMULT('GREET2_Factors_T&amp;D'!$B25:$C25+0,J$37:J$38+0))+MAX(AI$74,0)*(MMULT('GREET2_Factors_T&amp;D'!$D25:$E25+0,J$35:J$36+0))</f>
        <v>769697.57581956754</v>
      </c>
      <c r="AJ92" s="1031"/>
      <c r="AK92" s="1092">
        <f t="array" ref="AK92">AK$60*(K$28*GREET1_Import_Export!$K82+GREET1_Import_Export!$F$179*GREET1_Import_Export!$B196+GREET1_Import_Export!$F196)+AK$61*(GREET1_Import_Export!$T82+GREET1_Import_Export!$C$179*GREET1_Import_Export!$B196+GREET1_Import_Export!$C196)+AK$62*(GREET1_Import_Export!$O82+GREET1_Import_Export!$H$179*GREET1_Import_Export!$B196+GREET1_Import_Export!$H196)+AK$63*(K$29*GREET1_Import_Export!$B82+$B260)+AK$64*(K$32*GREET1_Import_Export!$AA82+GREET1_Import_Export!$B300)+AK$65*($C260)+AK$67*GREET1_Import_Export!$B511+AK$68*GREET1_Import_Export!$C511+MAX(AK$73,0)*(MMULT('GREET2_Factors_T&amp;D'!$B25:$C25+0,K$37:K$38+0))+MAX(AK$74,0)*(MMULT('GREET2_Factors_T&amp;D'!$D25:$E25+0,K$35:K$36+0))+AK$66*$D260</f>
        <v>186841.96306901207</v>
      </c>
      <c r="AL92" s="1031"/>
      <c r="AM92" s="1092">
        <f t="array" ref="AM92">AM$60*(L$28*GREET1_Import_Export!$K82+GREET1_Import_Export!$F$179*GREET1_Import_Export!$B196+GREET1_Import_Export!$F196)+AM$61*(GREET1_Import_Export!$T82+GREET1_Import_Export!$C$179*GREET1_Import_Export!$B196+GREET1_Import_Export!$C196)+AM$62*(GREET1_Import_Export!$O82+GREET1_Import_Export!$H$179*GREET1_Import_Export!$B196+GREET1_Import_Export!$H196)+AM$63*(L$29*GREET1_Import_Export!$B82+$B260)+AM$64*(L$32*GREET1_Import_Export!$AA82+GREET1_Import_Export!$B300)+AM$65*($C260)+AM$67*GREET1_Import_Export!$B511+AM$68*GREET1_Import_Export!$C511+MAX(AM$73,0)*(MMULT('GREET2_Factors_T&amp;D'!$B25:$C25+0,L$37:L$38+0))+MAX(AM$74,0)*(MMULT('GREET2_Factors_T&amp;D'!$D25:$E25+0,L$35:L$36+0))</f>
        <v>309956.1275564878</v>
      </c>
      <c r="AN92" s="2627">
        <v>55391.905060060097</v>
      </c>
      <c r="AO92" s="1092">
        <f t="array" ref="AO92">AO$60*(M$28*GREET1_Import_Export!$K82+GREET1_Import_Export!$F$179*GREET1_Import_Export!$B196+GREET1_Import_Export!$F196)+AO$61*(GREET1_Import_Export!$T82+GREET1_Import_Export!$C$179*GREET1_Import_Export!$B196+GREET1_Import_Export!$C196)+AO$62*(GREET1_Import_Export!$O82+GREET1_Import_Export!$H$179*GREET1_Import_Export!$B196+GREET1_Import_Export!$H196)+AO$63*(M$29*GREET1_Import_Export!$B82+$B260)+AO$64*(M$32*GREET1_Import_Export!$AA82+GREET1_Import_Export!$B300)+AO$65*($C260)+AO$67*GREET1_Import_Export!$B511+AO$68*GREET1_Import_Export!$C511+MAX(AO$73,0)*(MMULT('GREET2_Factors_T&amp;D'!$B25:$C25+0,M$37:M$38+0))+MAX(AO$74,0)*(MMULT('GREET2_Factors_T&amp;D'!$D25:$E25+0,M$35:M$36+0))</f>
        <v>202914.30553584325</v>
      </c>
      <c r="AP92" s="1031"/>
      <c r="AQ92" s="1092">
        <f t="array" ref="AQ92">AQ$60*(N$28*GREET1_Import_Export!$K82+GREET1_Import_Export!$F$179*GREET1_Import_Export!$B196+GREET1_Import_Export!$F196)+AQ$61*(GREET1_Import_Export!$T82+GREET1_Import_Export!$C$179*GREET1_Import_Export!$B196+GREET1_Import_Export!$C196)+AQ$62*(GREET1_Import_Export!$O82+GREET1_Import_Export!$H$179*GREET1_Import_Export!$B196+GREET1_Import_Export!$H196)+AQ$63*(N$29*GREET1_Import_Export!$B82+$B260)+AQ$64*(N$32*GREET1_Import_Export!$AA82+GREET1_Import_Export!$B300)+AQ$65*($C260)+AQ$67*GREET1_Import_Export!$B511+AQ$68*GREET1_Import_Export!$C511+MAX(AQ$73,0)*(MMULT('GREET2_Factors_T&amp;D'!$B25:$C25+0,N$37:N$38+0))+MAX(AQ$74,0)*(MMULT('GREET2_Factors_T&amp;D'!$D25:$E25+0,N$35:N$36+0))+AQ$66*$D260</f>
        <v>75230.989963896311</v>
      </c>
      <c r="AR92" s="1031"/>
      <c r="AS92" s="1092">
        <f t="array" ref="AS92">AS$60*(O$28*GREET1_Import_Export!$K82+GREET1_Import_Export!$F$179*GREET1_Import_Export!$B196+GREET1_Import_Export!$F196)+AS$61*(GREET1_Import_Export!$T82+GREET1_Import_Export!$C$179*GREET1_Import_Export!$B196+GREET1_Import_Export!$C196)+AS$62*(GREET1_Import_Export!$O82+GREET1_Import_Export!$H$179*GREET1_Import_Export!$B196+GREET1_Import_Export!$H196)+AS$63*(O$29*GREET1_Import_Export!$B82+$B260)+AS$64*(O$32*GREET1_Import_Export!$AA82+GREET1_Import_Export!$B300)+AS$65*($C260)+AS$67*GREET1_Import_Export!$B511+AS$68*GREET1_Import_Export!$C511+MAX(AS$73,0)*(MMULT('GREET2_Factors_T&amp;D'!$B25:$C25+0,O$37:O$38+0))+MAX(AS$74,0)*(MMULT('GREET2_Factors_T&amp;D'!$D25:$E25+0,O$35:O$36+0))</f>
        <v>309956.1275564878</v>
      </c>
      <c r="AT92" s="2627">
        <v>99034.112387387402</v>
      </c>
    </row>
    <row r="93" spans="1:46">
      <c r="A93" s="571" t="s">
        <v>832</v>
      </c>
      <c r="B93" s="582"/>
      <c r="C93" s="478"/>
      <c r="D93" s="582"/>
      <c r="E93" s="649"/>
      <c r="F93" s="583"/>
      <c r="G93" s="582"/>
      <c r="H93" s="583"/>
      <c r="I93" s="582"/>
      <c r="J93" s="583"/>
      <c r="K93" s="582"/>
      <c r="L93" s="583"/>
      <c r="M93" s="582"/>
      <c r="N93" s="583"/>
      <c r="O93" s="582"/>
      <c r="P93" s="583"/>
      <c r="Q93" s="582"/>
      <c r="R93" s="583"/>
      <c r="S93" s="582"/>
      <c r="T93" s="583"/>
      <c r="U93" s="578"/>
      <c r="V93" s="478"/>
      <c r="W93" s="582"/>
      <c r="X93" s="583"/>
      <c r="Y93" s="582"/>
      <c r="Z93" s="583"/>
      <c r="AA93" s="582"/>
      <c r="AB93" s="583"/>
      <c r="AC93" s="582"/>
      <c r="AD93" s="583"/>
      <c r="AE93" s="1080"/>
      <c r="AF93" s="1029"/>
      <c r="AG93" s="1080"/>
      <c r="AH93" s="1029"/>
      <c r="AI93" s="1080"/>
      <c r="AJ93" s="1029"/>
      <c r="AK93" s="1080"/>
      <c r="AL93" s="1029"/>
      <c r="AM93" s="1080"/>
      <c r="AN93" s="1029"/>
      <c r="AO93" s="1080"/>
      <c r="AP93" s="1029"/>
      <c r="AQ93" s="1080"/>
      <c r="AR93" s="1029"/>
      <c r="AS93" s="1080"/>
      <c r="AT93" s="1029"/>
    </row>
    <row r="94" spans="1:46">
      <c r="A94" s="160" t="s">
        <v>821</v>
      </c>
      <c r="B94" s="578">
        <f t="array" aca="1" ref="B94" ca="1">B$60*(B$50*B$28*GREET1_Import_Export!$K72+GREET1_Import_Export!$F$179*GREET1_Import_Export!$B201+GREET1_Import_Export!$F201)+B$61*(B$50*(B$40*GREET1_Import_Export!$T72+B$41*GREET1_Import_Export!$B132)+GREET1_Import_Export!$C$179*GREET1_Import_Export!$B201+GREET1_Import_Export!$C201)+B$62*(B$50*(B$42*GREET1_Import_Export!$R72+B$43*GREET1_Import_Export!$B146)+GREET1_Import_Export!$H$179*GREET1_Import_Export!$B201+GREET1_Import_Export!$H201)+B$63*(B$50*(B$29*GREET1_Import_Export!$B72+B$31*GREET1_Import_Export!$B118)+$B263)+B$64*(B$50*B$32*GREET1_Import_Export!$AA72+GREET1_Import_Export!$C290)+B$65*($C263)+B$67*GREET1_Import_Export!$B513+B$68*GREET1_Import_Export!$C513+B$69*SUM($B94:$C94)+MAX(B$73,0)*B$50*(MMULT('GREET2_Factors_T&amp;D'!$B15:$C15+0,B$37:B$38+0))+MAX(B$74,0)*B$50*(MMULT('GREET2_Factors_T&amp;D'!$D15:$E15+0,B$35:B$36+0))+B$50*B$70*B$33*GREET1_Import_Export!$AC72</f>
        <v>0.18533399904740996</v>
      </c>
      <c r="C94" s="478"/>
      <c r="D94" s="578">
        <f t="array" aca="1" ref="D94" ca="1">D$60*(D$50*C$28*GREET1_Import_Export!$K72+GREET1_Import_Export!$F$179*GREET1_Import_Export!$B201+GREET1_Import_Export!$F201)+D$61*(D$50*(C$40*GREET1_Import_Export!$T72+C$41*GREET1_Import_Export!$B132)+GREET1_Import_Export!$C$179*GREET1_Import_Export!$B201+GREET1_Import_Export!$C201)+D$62*(D$50*(C$42*GREET1_Import_Export!$R72+C$43*GREET1_Import_Export!$B146)+GREET1_Import_Export!$H$179*GREET1_Import_Export!$B201+GREET1_Import_Export!$H201)+D$63*(D$50*(C$29*GREET1_Import_Export!$B72+C$31*GREET1_Import_Export!$B118)+$B263)+D$64*(D$50*C$32*GREET1_Import_Export!$AA72+GREET1_Import_Export!$C290)+D$65*($C263)+D$67*GREET1_Import_Export!$B513+D$68*GREET1_Import_Export!$C513+D$69*SUM($B94:$C94)+MAX(D$73,0)*D$50*(MMULT('GREET2_Factors_T&amp;D'!$B15:$C15+0,C$37:C$38+0))+MAX(D$74,0)*D$50*(MMULT('GREET2_Factors_T&amp;D'!$D15:$E15+0,C$35:C$36+0))+D$50*D$70*C$33*GREET1_Import_Export!$AC72</f>
        <v>1.2620140113136564</v>
      </c>
      <c r="E94" s="1553">
        <f t="shared" ref="E94:E101" si="26">E82*D$50</f>
        <v>0</v>
      </c>
      <c r="F94" s="478">
        <f>F$70*(GREET1_Import_Export!$B201*GREET1_Import_Export!$I$179+GREET1_Import_Export!$I201)+(F$71+F$72)*(GREET1_Import_Export!$B201*GREET1_Import_Export!$F$179+GREET1_Import_Export!$F201)</f>
        <v>-1.9395741529870816</v>
      </c>
      <c r="G94" s="578">
        <f t="array" aca="1" ref="G94" ca="1">G$60*(G$50*D$28*GREET1_Import_Export!$K72+GREET1_Import_Export!$F$179*GREET1_Import_Export!$B201+GREET1_Import_Export!$F201)+G$61*(G$50*(D$40*GREET1_Import_Export!$T72+D$41*GREET1_Import_Export!$B132)+GREET1_Import_Export!$C$179*GREET1_Import_Export!$B201+GREET1_Import_Export!$C201)+G$62*(G$50*(D$42*GREET1_Import_Export!$R72+D$43*GREET1_Import_Export!$B146)+GREET1_Import_Export!$H$179*GREET1_Import_Export!$B201+GREET1_Import_Export!$H201)+G$63*(G$50*(D$29*GREET1_Import_Export!$B72+D$31*GREET1_Import_Export!$B118)+$B263)+G$64*(G$50*D$32*GREET1_Import_Export!$AA72+GREET1_Import_Export!$C290)+G$65*($C263)+G$67*GREET1_Import_Export!$B513+G$68*GREET1_Import_Export!$C513+G$69*SUM($B94:$C94)+MAX(G$73,0)*G$50*(MMULT('GREET2_Factors_T&amp;D'!$B15:$C15+0,D$37:D$38+0))+MAX(G$74,0)*G$50*(MMULT('GREET2_Factors_T&amp;D'!$D15:$E15+0,D$35:D$36+0))+G$50*G$70*D$33*GREET1_Import_Export!$AC72</f>
        <v>0.13533252668909235</v>
      </c>
      <c r="H94" s="478">
        <f t="shared" ref="H94:H101" si="27">H82*G$50</f>
        <v>0</v>
      </c>
      <c r="I94" s="578">
        <f t="array" aca="1" ref="I94" ca="1">I$60*(I$50*E$28*GREET1_Import_Export!$K72+GREET1_Import_Export!$F$179*GREET1_Import_Export!$B201+GREET1_Import_Export!$F201)+I$61*(I$50*(E$40*GREET1_Import_Export!$T72+E$41*GREET1_Import_Export!$B132)+GREET1_Import_Export!$C$179*GREET1_Import_Export!$B201+GREET1_Import_Export!$C201)+I$62*(I$50*(E$42*GREET1_Import_Export!$R72+E$43*GREET1_Import_Export!$B146)+GREET1_Import_Export!$H$179*GREET1_Import_Export!$B201+GREET1_Import_Export!$H201)+I$63*(I$50*(E$29*GREET1_Import_Export!$B72+E$31*GREET1_Import_Export!$B118)+$B263)+I$64*(I$50*E$32*GREET1_Import_Export!$AA72+GREET1_Import_Export!$C290)+I$65*($C263)+I$67*GREET1_Import_Export!$B513+I$68*GREET1_Import_Export!$C513+I$69*SUM($B94:$C94)+MAX(I$73,0)*I$50*(MMULT('GREET2_Factors_T&amp;D'!$B15:$C15+0,E$37:E$38+0))+MAX(I$74,0)*I$50*(MMULT('GREET2_Factors_T&amp;D'!$D15:$E15+0,E$35:E$36+0))+I$50*I$70*E$33*GREET1_Import_Export!$AC72</f>
        <v>1.6704849240342956</v>
      </c>
      <c r="J94" s="478">
        <f t="shared" ref="J94:J101" si="28">J82*I$50</f>
        <v>0</v>
      </c>
      <c r="K94" s="578">
        <f t="array" aca="1" ref="K94" ca="1">K$60*(K$50*F$28*GREET1_Import_Export!$K72+GREET1_Import_Export!$F$179*GREET1_Import_Export!$B201+GREET1_Import_Export!$F201)+K$61*(K$50*(F$40*GREET1_Import_Export!$T72+F$41*GREET1_Import_Export!$B132)+GREET1_Import_Export!$C$179*GREET1_Import_Export!$B201+GREET1_Import_Export!$C201)+K$62*(K$50*(F$42*GREET1_Import_Export!$R72+F$43*GREET1_Import_Export!$B146)+GREET1_Import_Export!$H$179*GREET1_Import_Export!$B201+GREET1_Import_Export!$H201)+K$63*(K$50*(F$29*GREET1_Import_Export!$B72+F$31*GREET1_Import_Export!$B118)+$B263)+K$64*(K$50*F$32*GREET1_Import_Export!$AA72+GREET1_Import_Export!$C290)+K$65*($C263)+K$67*GREET1_Import_Export!$B513+K$68*GREET1_Import_Export!$C513+K$69*SUM($B94:$C94)+MAX(K$73,0)*K$50*(MMULT('GREET2_Factors_T&amp;D'!$B15:$C15+0,F$37:F$38+0))+MAX(K$74,0)*K$50*(MMULT('GREET2_Factors_T&amp;D'!$D15:$E15+0,F$35:F$36+0))+K$50*K$70*F$33*GREET1_Import_Export!$AC72</f>
        <v>0.35655069575312381</v>
      </c>
      <c r="L94" s="478">
        <f t="shared" ref="L94:L101" si="29">L82*K$50</f>
        <v>0</v>
      </c>
      <c r="M94" s="578">
        <f t="array" aca="1" ref="M94" ca="1">M$60*(M$50*G$28*GREET1_Import_Export!$K72+GREET1_Import_Export!$F$179*GREET1_Import_Export!$B201+GREET1_Import_Export!$F201)+M$61*(M$50*(G$40*GREET1_Import_Export!$T72+G$41*GREET1_Import_Export!$B132)+GREET1_Import_Export!$C$179*GREET1_Import_Export!$B201+GREET1_Import_Export!$C201)+M$62*(M$50*(G$42*GREET1_Import_Export!$R72+G$43*GREET1_Import_Export!$B146)+GREET1_Import_Export!$H$179*GREET1_Import_Export!$B201+GREET1_Import_Export!$H201)+M$63*(M$50*(G$29*GREET1_Import_Export!$B72+G$31*GREET1_Import_Export!$B118)+$B263)+M$64*(M$50*G$32*GREET1_Import_Export!$AA72+GREET1_Import_Export!$C290)+M$65*($C263)+M$67*GREET1_Import_Export!$B513+M$68*GREET1_Import_Export!$C513+M$69*SUM($B94:$C94)+MAX(M$73,0)*M$50*(MMULT('GREET2_Factors_T&amp;D'!$B15:$C15+0,G$37:G$38+0))+MAX(M$74,0)*M$50*(MMULT('GREET2_Factors_T&amp;D'!$D15:$E15+0,G$35:G$36+0))+M$50*M$70*G$33*GREET1_Import_Export!$AC72</f>
        <v>0.1029885626107486</v>
      </c>
      <c r="N94" s="478"/>
      <c r="O94" s="578">
        <f t="array" aca="1" ref="O94" ca="1">O$60*(O$50*P$28*GREET1_Import_Export!$K72+GREET1_Import_Export!$F$179*GREET1_Import_Export!$B201+GREET1_Import_Export!$F201)+O$61*(O$50*GREET1_Import_Export!$T72+GREET1_Import_Export!$C$179*GREET1_Import_Export!$B201+GREET1_Import_Export!$C201)+O$62*(O$50*GREET1_Import_Export!$O72+GREET1_Import_Export!$G$179*GREET1_Import_Export!$B201+GREET1_Import_Export!$G201)+O$63*(O$50*P$29*GREET1_Import_Export!$B72+$B263)+O$64*(O$50*P$32*GREET1_Import_Export!$AA72+GREET1_Import_Export!$C290)+O$65*($C263)+O$67*GREET1_Import_Export!$B513+O$68*GREET1_Import_Export!$C513+O$69*SUM($B94:$C94)+MAX(O$73,0)*O$50*(MMULT('GREET2_Factors_T&amp;D'!$B15:$C15+0,P$37:P$38+0))+MAX(O$74,0)*O$50*(MMULT('GREET2_Factors_T&amp;D'!$D15:$E15+0,P$35:P$36+0))</f>
        <v>0.98524321066599363</v>
      </c>
      <c r="P94" s="478"/>
      <c r="Q94" s="578">
        <f t="array" aca="1" ref="Q94" ca="1">Q$60*(Q$50*Q$28*GREET1_Import_Export!$K72+GREET1_Import_Export!$F$179*GREET1_Import_Export!$B201+GREET1_Import_Export!$F201)+Q$61*(Q$50*GREET1_Import_Export!$T72+GREET1_Import_Export!$C$179*GREET1_Import_Export!$B201+GREET1_Import_Export!$C201)+Q$62*(Q$50*GREET1_Import_Export!$O72+GREET1_Import_Export!$G$179*GREET1_Import_Export!$B201+GREET1_Import_Export!$G201)+Q$63*(Q$50*Q$29*GREET1_Import_Export!$B72+$B263)+Q$64*(Q$50*Q$32*GREET1_Import_Export!$AA72+GREET1_Import_Export!$C290)+Q$65*($C263)+Q$67*GREET1_Import_Export!$B513+Q$68*GREET1_Import_Export!$C513+Q$69*SUM($B94:$C94)+MAX(Q$73,0)*Q$50*(MMULT('GREET2_Factors_T&amp;D'!$B15:$C15+0,Q$37:Q$38+0))+MAX(Q$74,0)*Q$50*(MMULT('GREET2_Factors_T&amp;D'!$D15:$E15+0,Q$35:Q$36+0))</f>
        <v>3.6119706856435535E-2</v>
      </c>
      <c r="R94" s="478"/>
      <c r="S94" s="578">
        <f t="array" aca="1" ref="S94" ca="1">S$60*(S$50*R$28*GREET1_Import_Export!$K72+GREET1_Import_Export!$F$179*GREET1_Import_Export!$B201+GREET1_Import_Export!$F201)+S$61*(S$50*GREET1_Import_Export!$T72+GREET1_Import_Export!$C$179*GREET1_Import_Export!$B201+GREET1_Import_Export!$C201)+S$62*(S$50*GREET1_Import_Export!$O72+GREET1_Import_Export!$G$179*GREET1_Import_Export!$B201+GREET1_Import_Export!$G201)+S$63*(S$50*R$29*GREET1_Import_Export!$B72+$B263)+S$64*(S$50*R$32*GREET1_Import_Export!$AA72+GREET1_Import_Export!$C290)+S$65*($C263)+S$67*GREET1_Import_Export!$B513+S$68*GREET1_Import_Export!$C513+S$69*SUM($B94:$C94)+MAX(S$73,0)*S$50*(MMULT('GREET2_Factors_T&amp;D'!$B15:$C15+0,R$37:R$38+0))+MAX(S$74,0)*S$50*(MMULT('GREET2_Factors_T&amp;D'!$D15:$E15+0,R$35:R$36+0))</f>
        <v>1.2096645365627776</v>
      </c>
      <c r="T94" s="478"/>
      <c r="U94" s="578">
        <f t="array" aca="1" ref="U94" ca="1">U$60*(U$50*S$28*GREET1_Import_Export!$K72+GREET1_Import_Export!$F$179*GREET1_Import_Export!$B201+GREET1_Import_Export!$F201)+U$61*(U$50*GREET1_Import_Export!$T72+GREET1_Import_Export!$C$179*GREET1_Import_Export!$B201+GREET1_Import_Export!$C201)+U$62*(U$50*GREET1_Import_Export!$O72+GREET1_Import_Export!$G$179*GREET1_Import_Export!$B201+GREET1_Import_Export!$G201)+U$63*(U$50*S$29*GREET1_Import_Export!$B72+$B263)+U$64*(U$50*S$32*GREET1_Import_Export!$AA72+GREET1_Import_Export!$C290)+U$65*($C263)+U$67*GREET1_Import_Export!$B513+U$68*GREET1_Import_Export!$C513+U$69*SUM($B94:$C94)+MAX(U$73,0)*U$50*(MMULT('GREET2_Factors_T&amp;D'!$B15:$C15+0,S$37:S$38+0))+MAX(U$74,0)*U$50*(MMULT('GREET2_Factors_T&amp;D'!$D15:$E15+0,S$35:S$36+0))</f>
        <v>0.60115981004837804</v>
      </c>
      <c r="V94" s="478"/>
      <c r="W94" s="578">
        <f t="array" aca="1" ref="W94" ca="1">W$60*(W$50*T$28*GREET1_Import_Export!$K72+GREET1_Import_Export!$F$179*GREET1_Import_Export!$B201+GREET1_Import_Export!$F201)+W$61*(W$50*GREET1_Import_Export!$T72+GREET1_Import_Export!$C$179*GREET1_Import_Export!$B201+GREET1_Import_Export!$C201)+W$62*(W$50*GREET1_Import_Export!$O72+GREET1_Import_Export!$G$179*GREET1_Import_Export!$B201+GREET1_Import_Export!$G201)+W$63*(W$50*T$29*GREET1_Import_Export!$B72+$B263)+W$64*(W$50*T$32*GREET1_Import_Export!$AA72+GREET1_Import_Export!$C290)+W$65*($C263)+W$67*GREET1_Import_Export!$B513+W$68*GREET1_Import_Export!$C513+W$69*SUM($B94:$C94)+MAX(W$73,0)*W$50*(MMULT('GREET2_Factors_T&amp;D'!$B15:$C15+0,T$37:T$38+0))+MAX(W$74,0)*W$50*(MMULT('GREET2_Factors_T&amp;D'!$D15:$E15+0,T$35:T$36+0))</f>
        <v>0.74305081884301949</v>
      </c>
      <c r="X94" s="478"/>
      <c r="Y94" s="578">
        <f t="array" aca="1" ref="Y94" ca="1">Y$60*(Y$50*U$28*GREET1_Import_Export!$K72+GREET1_Import_Export!$F$179*GREET1_Import_Export!$B201+GREET1_Import_Export!$F201)+Y$61*(Y$50*GREET1_Import_Export!$T72+GREET1_Import_Export!$C$179*GREET1_Import_Export!$B201+GREET1_Import_Export!$C201)+Y$62*(Y$50*GREET1_Import_Export!$O72+GREET1_Import_Export!$G$179*GREET1_Import_Export!$B201+GREET1_Import_Export!$G201)+Y$63*(Y$50*U$29*GREET1_Import_Export!$B72+$B263)+Y$64*(Y$50*U$32*GREET1_Import_Export!$AA72+GREET1_Import_Export!$C290)+Y$65*($C263)+Y$67*GREET1_Import_Export!$B513+Y$68*GREET1_Import_Export!$C513+Y$69*SUM($B94:$C94)+MAX(Y$73,0)*Y$50*(MMULT('GREET2_Factors_T&amp;D'!$B15:$C15+0,U$37:U$38+0))+MAX(Y$74,0)*Y$50*(MMULT('GREET2_Factors_T&amp;D'!$D15:$E15+0,U$35:U$36+0))</f>
        <v>1.6028349236282793</v>
      </c>
      <c r="Z94" s="478">
        <f>Z82*Y$50</f>
        <v>0</v>
      </c>
      <c r="AA94" s="578">
        <f t="array" aca="1" ref="AA94" ca="1">AA$60*(AA$50*V$28*GREET1_Import_Export!$K72+GREET1_Import_Export!$F$179*GREET1_Import_Export!$B201+GREET1_Import_Export!$F201)+AA$61*(AA$50*GREET1_Import_Export!$T72+GREET1_Import_Export!$C$179*GREET1_Import_Export!$B201+GREET1_Import_Export!$C201)+AA$62*(AA$50*GREET1_Import_Export!$O72+GREET1_Import_Export!$G$179*GREET1_Import_Export!$B201+GREET1_Import_Export!$G201)+AA$63*(AA$50*V$29*GREET1_Import_Export!$B72+$B263)+AA$64*(AA$50*V$32*GREET1_Import_Export!$AA72+GREET1_Import_Export!$C290)+AA$65*($C263)+AA$67*GREET1_Import_Export!$B513+AA$68*GREET1_Import_Export!$C513+AA$69*SUM($B94:$C94)+MAX(AA$73,0)*AA$50*(MMULT('GREET2_Factors_T&amp;D'!$B15:$C15+0,V$37:V$38+0))+MAX(AA$74,0)*AA$50*(MMULT('GREET2_Factors_T&amp;D'!$D15:$E15+0,V$35:V$36+0))</f>
        <v>2.2204319854347778</v>
      </c>
      <c r="AB94" s="478">
        <f>AB82*AA$50</f>
        <v>0</v>
      </c>
      <c r="AC94" s="578">
        <f t="array" aca="1" ref="AC94" ca="1">AC$60*(AC$50*W$28*GREET1_Import_Export!$K72+GREET1_Import_Export!$F$179*GREET1_Import_Export!$B201+GREET1_Import_Export!$F201)+AC$61*(AC$50*GREET1_Import_Export!$T72+GREET1_Import_Export!$C$179*GREET1_Import_Export!$B201+GREET1_Import_Export!$C201)+AC$62*(AC$50*GREET1_Import_Export!$O72+GREET1_Import_Export!$G$179*GREET1_Import_Export!$B201+GREET1_Import_Export!$G201)+AC$63*(AC$50*W$29*GREET1_Import_Export!$B72+$B263)+AC$64*(AC$50*W$32*GREET1_Import_Export!$AA72+GREET1_Import_Export!$C290)+AC$65*($C263)+AC$67*GREET1_Import_Export!$B513+AC$68*GREET1_Import_Export!$C513+AC$69*SUM($B94:$C94)+MAX(AC$73,0)*AC$50*(MMULT('GREET2_Factors_T&amp;D'!$B15:$C15+0,W$37:W$38+0))+MAX(AC$74,0)*AC$50*(MMULT('GREET2_Factors_T&amp;D'!$D15:$E15+0,W$35:W$36+0))</f>
        <v>0.46661822254725344</v>
      </c>
      <c r="AD94" s="478">
        <f>AD82*AC$50</f>
        <v>0</v>
      </c>
      <c r="AE94" s="749">
        <f t="array" ref="AE94">AE$60*(AE$50*H$28*GREET1_Import_Export!$K72+GREET1_Import_Export!$F$179*GREET1_Import_Export!$B201+GREET1_Import_Export!$F201)+AE$61*(AE$50*GREET1_Import_Export!$T72+GREET1_Import_Export!$C$179*GREET1_Import_Export!$B201+GREET1_Import_Export!$C201)+AE$62*(AE$50*GREET1_Import_Export!$O72+GREET1_Import_Export!$H$179*GREET1_Import_Export!$B201+GREET1_Import_Export!$H201)+AE$63*(AE$50*H$29*GREET1_Import_Export!$B72+$B263)+AE$64*(AE$50*H$32*GREET1_Import_Export!$AA72+GREET1_Import_Export!$C290)+AE$65*($C263)+AE$67*GREET1_Import_Export!$B513+AE$68*GREET1_Import_Export!$C513+MAX(AE$73,0)*AE$50*(MMULT('GREET2_Factors_T&amp;D'!$B15:$C15+0,H$37:H$38+0))+MAX(AE$74,0)*AE$50*(MMULT('GREET2_Factors_T&amp;D'!$D15:$E15+0,H$35:H$36+0))</f>
        <v>4.0163122108589295</v>
      </c>
      <c r="AF94" s="1013"/>
      <c r="AG94" s="749">
        <f t="array" ref="AG94">AG$60*(AG$50*I$28*GREET1_Import_Export!$K72+GREET1_Import_Export!$F$179*GREET1_Import_Export!$B201+GREET1_Import_Export!$F201)+AG$61*(AG$50*GREET1_Import_Export!$T72+GREET1_Import_Export!$C$179*GREET1_Import_Export!$B201+GREET1_Import_Export!$C201)+AG$62*(AG$50*GREET1_Import_Export!$O72+GREET1_Import_Export!$H$179*GREET1_Import_Export!$B201+GREET1_Import_Export!$H201)+AG$63*(AG$50*I$29*GREET1_Import_Export!$B72+$B263)+AG$64*(AG$50*I$32*GREET1_Import_Export!$AA72+GREET1_Import_Export!$C290)+AG$65*($C263)+AG$67*GREET1_Import_Export!$B513+AG$68*GREET1_Import_Export!$C513+MAX(AG$73,0)*AG$50*(MMULT('GREET2_Factors_T&amp;D'!$B15:$C15+0,I$37:I$38+0))+MAX(AG$74,0)*AG$50*(MMULT('GREET2_Factors_T&amp;D'!$D15:$E15+0,I$35:I$36+0))</f>
        <v>1.6369871649269216</v>
      </c>
      <c r="AH94" s="1013"/>
      <c r="AI94" s="749">
        <f t="array" ref="AI94">AI$60*(AI$50*J$28*GREET1_Import_Export!$K72+GREET1_Import_Export!$F$179*GREET1_Import_Export!$B201+GREET1_Import_Export!$F201)+AI$61*(AI$50*GREET1_Import_Export!$T72+GREET1_Import_Export!$C$179*GREET1_Import_Export!$B201+GREET1_Import_Export!$C201)+AI$62*(AI$50*GREET1_Import_Export!$O72+GREET1_Import_Export!$H$179*GREET1_Import_Export!$B201+GREET1_Import_Export!$H201)+AI$63*(AI$50*J$29*GREET1_Import_Export!$B72+$B263)+AI$64*(AI$50*UT$32*GREET1_Import_Export!$AA72+GREET1_Import_Export!$C290)+AI$65*($C263)+AI$67*GREET1_Import_Export!$B513+AI$68*GREET1_Import_Export!$C513+MAX(AI$73,0)*AI$50*(MMULT('GREET2_Factors_T&amp;D'!$B15:$C15+0,J$37:J$38+0))+MAX(AI$74,0)*AI$50*(MMULT('GREET2_Factors_T&amp;D'!$D15:$E15+0,J$35:J$36+0))</f>
        <v>6.8908381044986697</v>
      </c>
      <c r="AJ94" s="1013"/>
      <c r="AK94" s="749">
        <f t="array" ref="AK94">AK$60*(AK$50*K$28*GREET1_Import_Export!$K72+GREET1_Import_Export!$F$179*GREET1_Import_Export!$B201+GREET1_Import_Export!$F201)+AK$61*(AK$50*GREET1_Import_Export!$T72+GREET1_Import_Export!$C$179*GREET1_Import_Export!$B201+GREET1_Import_Export!$C201)+AK$62*(AK$50*GREET1_Import_Export!$O72+GREET1_Import_Export!$H$179*GREET1_Import_Export!$B201+GREET1_Import_Export!$H201)+AK$63*(AK$50*K$29*GREET1_Import_Export!$B72+$B263)+AK$64*(AK$50*UV$32*GREET1_Import_Export!$AA72+GREET1_Import_Export!$C290)+AK$65*($C263)+AK$67*GREET1_Import_Export!$B513+AK$68*GREET1_Import_Export!$C513+MAX(AK$73,0)*AK$50*(MMULT('GREET2_Factors_T&amp;D'!$B15:$C15+0,K$37:K$38+0))+MAX(AK$74,0)*AK$50*(MMULT('GREET2_Factors_T&amp;D'!$D15:$E15+0,K$35:K$36+0))+AK$66*$D263</f>
        <v>1.5683745951913282</v>
      </c>
      <c r="AL94" s="1013"/>
      <c r="AM94" s="749">
        <f t="array" ref="AM94">AM$60*(AM$50*L$28*GREET1_Import_Export!$K72+GREET1_Import_Export!$F$179*GREET1_Import_Export!$B201+GREET1_Import_Export!$F201)+AM$61*(AM$50*GREET1_Import_Export!$T72+GREET1_Import_Export!$C$179*GREET1_Import_Export!$B201+GREET1_Import_Export!$C201)+AM$62*(AM$50*GREET1_Import_Export!$O72+GREET1_Import_Export!$H$179*GREET1_Import_Export!$B201+GREET1_Import_Export!$H201)+AM$63*(AM$50*L$29*GREET1_Import_Export!$B72+$B263)+AM$64*(AM$50*UX$32*GREET1_Import_Export!$AA72+GREET1_Import_Export!$C290)+AM$65*($C263)+AM$67*GREET1_Import_Export!$B513+AM$68*GREET1_Import_Export!$C513+MAX(AM$73,0)*AM$50*(MMULT('GREET2_Factors_T&amp;D'!$B15:$C15+0,L$37:L$38+0))+MAX(AM$74,0)*AM$50*(MMULT('GREET2_Factors_T&amp;D'!$D15:$E15+0,L$35:L$36+0))</f>
        <v>2.180608829320398</v>
      </c>
      <c r="AN94" s="1013"/>
      <c r="AO94" s="749">
        <f t="array" ref="AO94">AO$60*(AO$50*M$28*GREET1_Import_Export!$K72+GREET1_Import_Export!$F$179*GREET1_Import_Export!$B201+GREET1_Import_Export!$F201)+AO$61*(AO$50*GREET1_Import_Export!$T72+GREET1_Import_Export!$C$179*GREET1_Import_Export!$B201+GREET1_Import_Export!$C201)+AO$62*(AO$50*GREET1_Import_Export!$O72+GREET1_Import_Export!$H$179*GREET1_Import_Export!$B201+GREET1_Import_Export!$H201)+AO$63*(AO$50*M$29*GREET1_Import_Export!$B72+$B263)+AO$64*(AO$50*UZ$32*GREET1_Import_Export!$AA72+GREET1_Import_Export!$C290)+AO$65*($C263)+AO$67*GREET1_Import_Export!$B513+AO$68*GREET1_Import_Export!$C513+MAX(AO$73,0)*AO$50*(MMULT('GREET2_Factors_T&amp;D'!$B15:$C15+0,M$37:M$38+0))+MAX(AO$74,0)*AO$50*(MMULT('GREET2_Factors_T&amp;D'!$D15:$E15+0,M$35:M$36+0))</f>
        <v>4.1783954471235196</v>
      </c>
      <c r="AP94" s="1013"/>
      <c r="AQ94" s="749">
        <f t="array" ref="AQ94">AQ$60*(AQ$50*N$28*GREET1_Import_Export!$K72+GREET1_Import_Export!$F$179*GREET1_Import_Export!$B201+GREET1_Import_Export!$F201)+AQ$61*(AQ$50*GREET1_Import_Export!$T72+GREET1_Import_Export!$C$179*GREET1_Import_Export!$B201+GREET1_Import_Export!$C201)+AQ$62*(AQ$50*GREET1_Import_Export!$O72+GREET1_Import_Export!$H$179*GREET1_Import_Export!$B201+GREET1_Import_Export!$H201)+AQ$63*(AQ$50*N$29*GREET1_Import_Export!$B72+$B263)+AQ$64*(AQ$50*VB$32*GREET1_Import_Export!$AA72+GREET1_Import_Export!$C290)+AQ$65*($C263)+AQ$67*GREET1_Import_Export!$B513+AQ$68*GREET1_Import_Export!$C513+MAX(AQ$73,0)*AQ$50*(MMULT('GREET2_Factors_T&amp;D'!$B15:$C15+0,N$37:N$38+0))+MAX(AQ$74,0)*AQ$50*(MMULT('GREET2_Factors_T&amp;D'!$D15:$E15+0,N$35:N$36+0))+AQ$66*$D263</f>
        <v>0.54917649776390354</v>
      </c>
      <c r="AR94" s="1013"/>
      <c r="AS94" s="749">
        <f t="array" ref="AS94">AS$60*(AS$50*O$28*GREET1_Import_Export!$K72+GREET1_Import_Export!$F$179*GREET1_Import_Export!$B201+GREET1_Import_Export!$F201)+AS$61*(AS$50*GREET1_Import_Export!$T72+GREET1_Import_Export!$C$179*GREET1_Import_Export!$B201+GREET1_Import_Export!$C201)+AS$62*(AS$50*GREET1_Import_Export!$O72+GREET1_Import_Export!$H$179*GREET1_Import_Export!$B201+GREET1_Import_Export!$H201)+AS$63*(AS$50*O$29*GREET1_Import_Export!$B72+$B263)+AS$64*(AS$50*VD$32*GREET1_Import_Export!$AA72+GREET1_Import_Export!$C290)+AS$65*($C263)+AS$67*GREET1_Import_Export!$B513+AS$68*GREET1_Import_Export!$C513+MAX(AS$73,0)*AS$50*(MMULT('GREET2_Factors_T&amp;D'!$B15:$C15+0,O$37:O$38+0))+MAX(AS$74,0)*AS$50*(MMULT('GREET2_Factors_T&amp;D'!$D15:$E15+0,O$35:O$36+0))</f>
        <v>2.180608829320398</v>
      </c>
      <c r="AT94" s="1013"/>
    </row>
    <row r="95" spans="1:46">
      <c r="A95" s="160" t="s">
        <v>822</v>
      </c>
      <c r="B95" s="578">
        <f t="array" aca="1" ref="B95" ca="1">B$60*(B$50*B$28*GREET1_Import_Export!$K73+GREET1_Import_Export!$F$179*GREET1_Import_Export!$B202+GREET1_Import_Export!$F202)+B$61*(B$50*(B$40*GREET1_Import_Export!$T73+B$41*GREET1_Import_Export!$B133)+GREET1_Import_Export!$C$179*GREET1_Import_Export!$B202+GREET1_Import_Export!$C202)+B$62*(B$50*(B$42*GREET1_Import_Export!$R73+B$43*GREET1_Import_Export!$B147)+GREET1_Import_Export!$H$179*GREET1_Import_Export!$B202+GREET1_Import_Export!$H202)+B$63*(B$50*(B$29*GREET1_Import_Export!$B73+B$31*GREET1_Import_Export!$B119)+$B264)+B$64*(B$50*B$32*GREET1_Import_Export!$AA73+GREET1_Import_Export!$C291)+B$65*($C264)+B$67*GREET1_Import_Export!$B514+B$68*GREET1_Import_Export!$C514+B$69*SUM($B95:$C95)+MAX(B$73,0)*B$50*(MMULT('GREET2_Factors_T&amp;D'!$B16:$C16+0,B$37:B$38+0))+MAX(B$74,0)*B$50*(MMULT('GREET2_Factors_T&amp;D'!$D16:$E16+0,B$35:B$36+0))+B$50*B$70*B$33*GREET1_Import_Export!$AC73</f>
        <v>0.58054529393621612</v>
      </c>
      <c r="C95" s="478"/>
      <c r="D95" s="578">
        <f t="array" aca="1" ref="D95" ca="1">D$60*(D$50*C$28*GREET1_Import_Export!$K73+GREET1_Import_Export!$F$179*GREET1_Import_Export!$B202+GREET1_Import_Export!$F202)+D$61*(D$50*(C$40*GREET1_Import_Export!$T73+C$41*GREET1_Import_Export!$B133)+GREET1_Import_Export!$C$179*GREET1_Import_Export!$B202+GREET1_Import_Export!$C202)+D$62*(D$50*(C$42*GREET1_Import_Export!$R73+C$43*GREET1_Import_Export!$B147)+GREET1_Import_Export!$H$179*GREET1_Import_Export!$B202+GREET1_Import_Export!$H202)+D$63*(D$50*(C$29*GREET1_Import_Export!$B73+C$31*GREET1_Import_Export!$B119)+$B264)+D$64*(D$50*C$32*GREET1_Import_Export!$AA73+GREET1_Import_Export!$C291)+D$65*($C264)+D$67*GREET1_Import_Export!$B514+D$68*GREET1_Import_Export!$C514+D$69*SUM($B95:$C95)+MAX(D$73,0)*D$50*(MMULT('GREET2_Factors_T&amp;D'!$B16:$C16+0,C$37:C$38+0))+MAX(D$74,0)*D$50*(MMULT('GREET2_Factors_T&amp;D'!$D16:$E16+0,C$35:C$36+0))+D$50*D$70*C$33*GREET1_Import_Export!$AC73</f>
        <v>2.6625290850279981</v>
      </c>
      <c r="E95" s="1553">
        <f t="shared" si="26"/>
        <v>0</v>
      </c>
      <c r="F95" s="478">
        <f>F$70*(GREET1_Import_Export!$B202*GREET1_Import_Export!$I$179+GREET1_Import_Export!$I202)+(F$71+F$72)*(GREET1_Import_Export!$B202*GREET1_Import_Export!$F$179+GREET1_Import_Export!$F202)</f>
        <v>-1.2529187528364483</v>
      </c>
      <c r="G95" s="578">
        <f t="array" aca="1" ref="G95" ca="1">G$60*(G$50*D$28*GREET1_Import_Export!$K73+GREET1_Import_Export!$F$179*GREET1_Import_Export!$B202+GREET1_Import_Export!$F202)+G$61*(G$50*(D$40*GREET1_Import_Export!$T73+D$41*GREET1_Import_Export!$B133)+GREET1_Import_Export!$C$179*GREET1_Import_Export!$B202+GREET1_Import_Export!$C202)+G$62*(G$50*(D$42*GREET1_Import_Export!$R73+D$43*GREET1_Import_Export!$B147)+GREET1_Import_Export!$H$179*GREET1_Import_Export!$B202+GREET1_Import_Export!$H202)+G$63*(G$50*(D$29*GREET1_Import_Export!$B73+D$31*GREET1_Import_Export!$B119)+$B264)+G$64*(G$50*D$32*GREET1_Import_Export!$AA73+GREET1_Import_Export!$C291)+G$65*($C264)+G$67*GREET1_Import_Export!$B514+G$68*GREET1_Import_Export!$C514+G$69*SUM($B95:$C95)+MAX(G$73,0)*G$50*(MMULT('GREET2_Factors_T&amp;D'!$B16:$C16+0,D$37:D$38+0))+MAX(G$74,0)*G$50*(MMULT('GREET2_Factors_T&amp;D'!$D16:$E16+0,D$35:D$36+0))+G$50*G$70*D$33*GREET1_Import_Export!$AC73</f>
        <v>0.98010613427132287</v>
      </c>
      <c r="H95" s="478">
        <f t="shared" si="27"/>
        <v>0</v>
      </c>
      <c r="I95" s="578">
        <f t="array" aca="1" ref="I95" ca="1">I$60*(I$50*E$28*GREET1_Import_Export!$K73+GREET1_Import_Export!$F$179*GREET1_Import_Export!$B202+GREET1_Import_Export!$F202)+I$61*(I$50*(E$40*GREET1_Import_Export!$T73+E$41*GREET1_Import_Export!$B133)+GREET1_Import_Export!$C$179*GREET1_Import_Export!$B202+GREET1_Import_Export!$C202)+I$62*(I$50*(E$42*GREET1_Import_Export!$R73+E$43*GREET1_Import_Export!$B147)+GREET1_Import_Export!$H$179*GREET1_Import_Export!$B202+GREET1_Import_Export!$H202)+I$63*(I$50*(E$29*GREET1_Import_Export!$B73+E$31*GREET1_Import_Export!$B119)+$B264)+I$64*(I$50*E$32*GREET1_Import_Export!$AA73+GREET1_Import_Export!$C291)+I$65*($C264)+I$67*GREET1_Import_Export!$B514+I$68*GREET1_Import_Export!$C514+I$69*SUM($B95:$C95)+MAX(I$73,0)*I$50*(MMULT('GREET2_Factors_T&amp;D'!$B16:$C16+0,E$37:E$38+0))+MAX(I$74,0)*I$50*(MMULT('GREET2_Factors_T&amp;D'!$D16:$E16+0,E$35:E$36+0))+I$50*I$70*E$33*GREET1_Import_Export!$AC73</f>
        <v>6.6406521271966987</v>
      </c>
      <c r="J95" s="478">
        <f t="shared" si="28"/>
        <v>0</v>
      </c>
      <c r="K95" s="578">
        <f t="array" aca="1" ref="K95" ca="1">K$60*(K$50*F$28*GREET1_Import_Export!$K73+GREET1_Import_Export!$F$179*GREET1_Import_Export!$B202+GREET1_Import_Export!$F202)+K$61*(K$50*(F$40*GREET1_Import_Export!$T73+F$41*GREET1_Import_Export!$B133)+GREET1_Import_Export!$C$179*GREET1_Import_Export!$B202+GREET1_Import_Export!$C202)+K$62*(K$50*(F$42*GREET1_Import_Export!$R73+F$43*GREET1_Import_Export!$B147)+GREET1_Import_Export!$H$179*GREET1_Import_Export!$B202+GREET1_Import_Export!$H202)+K$63*(K$50*(F$29*GREET1_Import_Export!$B73+F$31*GREET1_Import_Export!$B119)+$B264)+K$64*(K$50*F$32*GREET1_Import_Export!$AA73+GREET1_Import_Export!$C291)+K$65*($C264)+K$67*GREET1_Import_Export!$B514+K$68*GREET1_Import_Export!$C514+K$69*SUM($B95:$C95)+MAX(K$73,0)*K$50*(MMULT('GREET2_Factors_T&amp;D'!$B16:$C16+0,F$37:F$38+0))+MAX(K$74,0)*K$50*(MMULT('GREET2_Factors_T&amp;D'!$D16:$E16+0,F$35:F$36+0))+K$50*K$70*F$33*GREET1_Import_Export!$AC73</f>
        <v>1.8111378850735977</v>
      </c>
      <c r="L95" s="478">
        <f t="shared" si="29"/>
        <v>0</v>
      </c>
      <c r="M95" s="578">
        <f t="array" aca="1" ref="M95" ca="1">M$60*(M$50*G$28*GREET1_Import_Export!$K73+GREET1_Import_Export!$F$179*GREET1_Import_Export!$B202+GREET1_Import_Export!$F202)+M$61*(M$50*(G$40*GREET1_Import_Export!$T73+G$41*GREET1_Import_Export!$B133)+GREET1_Import_Export!$C$179*GREET1_Import_Export!$B202+GREET1_Import_Export!$C202)+M$62*(M$50*(G$42*GREET1_Import_Export!$R73+G$43*GREET1_Import_Export!$B147)+GREET1_Import_Export!$H$179*GREET1_Import_Export!$B202+GREET1_Import_Export!$H202)+M$63*(M$50*(G$29*GREET1_Import_Export!$B73+G$31*GREET1_Import_Export!$B119)+$B264)+M$64*(M$50*G$32*GREET1_Import_Export!$AA73+GREET1_Import_Export!$C291)+M$65*($C264)+M$67*GREET1_Import_Export!$B514+M$68*GREET1_Import_Export!$C514+M$69*SUM($B95:$C95)+MAX(M$73,0)*M$50*(MMULT('GREET2_Factors_T&amp;D'!$B16:$C16+0,G$37:G$38+0))+MAX(M$74,0)*M$50*(MMULT('GREET2_Factors_T&amp;D'!$D16:$E16+0,G$35:G$36+0))+M$50*M$70*G$33*GREET1_Import_Export!$AC73</f>
        <v>0.64897019719125715</v>
      </c>
      <c r="N95" s="478"/>
      <c r="O95" s="578">
        <f t="array" aca="1" ref="O95" ca="1">O$60*(O$50*P$28*GREET1_Import_Export!$K73+GREET1_Import_Export!$F$179*GREET1_Import_Export!$B202+GREET1_Import_Export!$F202)+O$61*(O$50*GREET1_Import_Export!$T73+GREET1_Import_Export!$C$179*GREET1_Import_Export!$B202+GREET1_Import_Export!$C202)+O$62*(O$50*GREET1_Import_Export!$O73+GREET1_Import_Export!$G$179*GREET1_Import_Export!$B202+GREET1_Import_Export!$G202)+O$63*(O$50*P$29*GREET1_Import_Export!$B73+$B264)+O$64*(O$50*P$32*GREET1_Import_Export!$AA73+GREET1_Import_Export!$C291)+O$65*($C264)+O$67*GREET1_Import_Export!$B514+O$68*GREET1_Import_Export!$C514+O$69*SUM($B95:$C95)+MAX(O$73,0)*O$50*(MMULT('GREET2_Factors_T&amp;D'!$B16:$C16+0,P$37:P$38+0))+MAX(O$74,0)*O$50*(MMULT('GREET2_Factors_T&amp;D'!$D16:$E16+0,P$35:P$36+0))</f>
        <v>6.3027312064747152</v>
      </c>
      <c r="P95" s="478"/>
      <c r="Q95" s="578">
        <f t="array" aca="1" ref="Q95" ca="1">Q$60*(Q$50*Q$28*GREET1_Import_Export!$K73+GREET1_Import_Export!$F$179*GREET1_Import_Export!$B202+GREET1_Import_Export!$F202)+Q$61*(Q$50*GREET1_Import_Export!$T73+GREET1_Import_Export!$C$179*GREET1_Import_Export!$B202+GREET1_Import_Export!$C202)+Q$62*(Q$50*GREET1_Import_Export!$O73+GREET1_Import_Export!$G$179*GREET1_Import_Export!$B202+GREET1_Import_Export!$G202)+Q$63*(Q$50*Q$29*GREET1_Import_Export!$B73+$B264)+Q$64*(Q$50*Q$32*GREET1_Import_Export!$AA73+GREET1_Import_Export!$C291)+Q$65*($C264)+Q$67*GREET1_Import_Export!$B514+Q$68*GREET1_Import_Export!$C514+Q$69*SUM($B95:$C95)+MAX(Q$73,0)*Q$50*(MMULT('GREET2_Factors_T&amp;D'!$B16:$C16+0,Q$37:Q$38+0))+MAX(Q$74,0)*Q$50*(MMULT('GREET2_Factors_T&amp;D'!$D16:$E16+0,Q$35:Q$36+0))</f>
        <v>0.26665636878456955</v>
      </c>
      <c r="R95" s="478"/>
      <c r="S95" s="578">
        <f t="array" aca="1" ref="S95" ca="1">S$60*(S$50*R$28*GREET1_Import_Export!$K73+GREET1_Import_Export!$F$179*GREET1_Import_Export!$B202+GREET1_Import_Export!$F202)+S$61*(S$50*GREET1_Import_Export!$T73+GREET1_Import_Export!$C$179*GREET1_Import_Export!$B202+GREET1_Import_Export!$C202)+S$62*(S$50*GREET1_Import_Export!$O73+GREET1_Import_Export!$G$179*GREET1_Import_Export!$B202+GREET1_Import_Export!$G202)+S$63*(S$50*R$29*GREET1_Import_Export!$B73+$B264)+S$64*(S$50*R$32*GREET1_Import_Export!$AA73+GREET1_Import_Export!$C291)+S$65*($C264)+S$67*GREET1_Import_Export!$B514+S$68*GREET1_Import_Export!$C514+S$69*SUM($B95:$C95)+MAX(S$73,0)*S$50*(MMULT('GREET2_Factors_T&amp;D'!$B16:$C16+0,R$37:R$38+0))+MAX(S$74,0)*S$50*(MMULT('GREET2_Factors_T&amp;D'!$D16:$E16+0,R$35:R$36+0))</f>
        <v>8.9304366186966249</v>
      </c>
      <c r="T95" s="478"/>
      <c r="U95" s="578">
        <f t="array" aca="1" ref="U95" ca="1">U$60*(U$50*S$28*GREET1_Import_Export!$K73+GREET1_Import_Export!$F$179*GREET1_Import_Export!$B202+GREET1_Import_Export!$F202)+U$61*(U$50*GREET1_Import_Export!$T73+GREET1_Import_Export!$C$179*GREET1_Import_Export!$B202+GREET1_Import_Export!$C202)+U$62*(U$50*GREET1_Import_Export!$O73+GREET1_Import_Export!$G$179*GREET1_Import_Export!$B202+GREET1_Import_Export!$G202)+U$63*(U$50*S$29*GREET1_Import_Export!$B73+$B264)+U$64*(U$50*S$32*GREET1_Import_Export!$AA73+GREET1_Import_Export!$C291)+U$65*($C264)+U$67*GREET1_Import_Export!$B514+U$68*GREET1_Import_Export!$C514+U$69*SUM($B95:$C95)+MAX(U$73,0)*U$50*(MMULT('GREET2_Factors_T&amp;D'!$B16:$C16+0,S$37:S$38+0))+MAX(U$74,0)*U$50*(MMULT('GREET2_Factors_T&amp;D'!$D16:$E16+0,S$35:S$36+0))</f>
        <v>4.4381061187422262</v>
      </c>
      <c r="V95" s="478"/>
      <c r="W95" s="578">
        <f t="array" aca="1" ref="W95" ca="1">W$60*(W$50*T$28*GREET1_Import_Export!$K73+GREET1_Import_Export!$F$179*GREET1_Import_Export!$B202+GREET1_Import_Export!$F202)+W$61*(W$50*GREET1_Import_Export!$T73+GREET1_Import_Export!$C$179*GREET1_Import_Export!$B202+GREET1_Import_Export!$C202)+W$62*(W$50*GREET1_Import_Export!$O73+GREET1_Import_Export!$G$179*GREET1_Import_Export!$B202+GREET1_Import_Export!$G202)+W$63*(W$50*T$29*GREET1_Import_Export!$B73+$B264)+W$64*(W$50*T$32*GREET1_Import_Export!$AA73+GREET1_Import_Export!$C291)+W$65*($C264)+W$67*GREET1_Import_Export!$B514+W$68*GREET1_Import_Export!$C514+W$69*SUM($B95:$C95)+MAX(W$73,0)*W$50*(MMULT('GREET2_Factors_T&amp;D'!$B16:$C16+0,T$37:T$38+0))+MAX(W$74,0)*W$50*(MMULT('GREET2_Factors_T&amp;D'!$D16:$E16+0,T$35:T$36+0))</f>
        <v>5.4856268341994481</v>
      </c>
      <c r="X95" s="478"/>
      <c r="Y95" s="578">
        <f t="array" aca="1" ref="Y95" ca="1">Y$60*(Y$50*U$28*GREET1_Import_Export!$K73+GREET1_Import_Export!$F$179*GREET1_Import_Export!$B202+GREET1_Import_Export!$F202)+Y$61*(Y$50*GREET1_Import_Export!$T73+GREET1_Import_Export!$C$179*GREET1_Import_Export!$B202+GREET1_Import_Export!$C202)+Y$62*(Y$50*GREET1_Import_Export!$O73+GREET1_Import_Export!$G$179*GREET1_Import_Export!$B202+GREET1_Import_Export!$G202)+Y$63*(Y$50*U$29*GREET1_Import_Export!$B73+$B264)+Y$64*(Y$50*U$32*GREET1_Import_Export!$AA73+GREET1_Import_Export!$C291)+Y$65*($C264)+Y$67*GREET1_Import_Export!$B514+Y$68*GREET1_Import_Export!$C514+Y$69*SUM($B95:$C95)+MAX(Y$73,0)*Y$50*(MMULT('GREET2_Factors_T&amp;D'!$B16:$C16+0,U$37:U$38+0))+MAX(Y$74,0)*Y$50*(MMULT('GREET2_Factors_T&amp;D'!$D16:$E16+0,U$35:U$36+0))</f>
        <v>11.109268232965471</v>
      </c>
      <c r="Z95" s="478">
        <f>Z83*Y$50</f>
        <v>0</v>
      </c>
      <c r="AA95" s="578">
        <f t="array" aca="1" ref="AA95" ca="1">AA$60*(AA$50*V$28*GREET1_Import_Export!$K73+GREET1_Import_Export!$F$179*GREET1_Import_Export!$B202+GREET1_Import_Export!$F202)+AA$61*(AA$50*GREET1_Import_Export!$T73+GREET1_Import_Export!$C$179*GREET1_Import_Export!$B202+GREET1_Import_Export!$C202)+AA$62*(AA$50*GREET1_Import_Export!$O73+GREET1_Import_Export!$G$179*GREET1_Import_Export!$B202+GREET1_Import_Export!$G202)+AA$63*(AA$50*V$29*GREET1_Import_Export!$B73+$B264)+AA$64*(AA$50*V$32*GREET1_Import_Export!$AA73+GREET1_Import_Export!$C291)+AA$65*($C264)+AA$67*GREET1_Import_Export!$B514+AA$68*GREET1_Import_Export!$C514+AA$69*SUM($B95:$C95)+MAX(AA$73,0)*AA$50*(MMULT('GREET2_Factors_T&amp;D'!$B16:$C16+0,V$37:V$38+0))+MAX(AA$74,0)*AA$50*(MMULT('GREET2_Factors_T&amp;D'!$D16:$E16+0,V$35:V$36+0))</f>
        <v>13.066864685172813</v>
      </c>
      <c r="AB95" s="478">
        <f>AB83*AA$50</f>
        <v>0</v>
      </c>
      <c r="AC95" s="578">
        <f t="array" aca="1" ref="AC95" ca="1">AC$60*(AC$50*W$28*GREET1_Import_Export!$K73+GREET1_Import_Export!$F$179*GREET1_Import_Export!$B202+GREET1_Import_Export!$F202)+AC$61*(AC$50*GREET1_Import_Export!$T73+GREET1_Import_Export!$C$179*GREET1_Import_Export!$B202+GREET1_Import_Export!$C202)+AC$62*(AC$50*GREET1_Import_Export!$O73+GREET1_Import_Export!$G$179*GREET1_Import_Export!$B202+GREET1_Import_Export!$G202)+AC$63*(AC$50*W$29*GREET1_Import_Export!$B73+$B264)+AC$64*(AC$50*W$32*GREET1_Import_Export!$AA73+GREET1_Import_Export!$C291)+AC$65*($C264)+AC$67*GREET1_Import_Export!$B514+AC$68*GREET1_Import_Export!$C514+AC$69*SUM($B95:$C95)+MAX(AC$73,0)*AC$50*(MMULT('GREET2_Factors_T&amp;D'!$B16:$C16+0,W$37:W$38+0))+MAX(AC$74,0)*AC$50*(MMULT('GREET2_Factors_T&amp;D'!$D16:$E16+0,W$35:W$36+0))</f>
        <v>3.4448430417145355</v>
      </c>
      <c r="AD95" s="478">
        <f>AD83*AC$50</f>
        <v>0</v>
      </c>
      <c r="AE95" s="749">
        <f t="array" ref="AE95">AE$60*(AE$50*H$28*GREET1_Import_Export!$K73+GREET1_Import_Export!$F$179*GREET1_Import_Export!$B202+GREET1_Import_Export!$F202)+AE$61*(AE$50*GREET1_Import_Export!$T73+GREET1_Import_Export!$C$179*GREET1_Import_Export!$B202+GREET1_Import_Export!$C202)+AE$62*(AE$50*GREET1_Import_Export!$O73+GREET1_Import_Export!$H$179*GREET1_Import_Export!$B202+GREET1_Import_Export!$H202)+AE$63*(AE$50*H$29*GREET1_Import_Export!$B73+$B264)+AE$64*(AE$50*H$32*GREET1_Import_Export!$AA73+GREET1_Import_Export!$C291)+AE$65*($C264)+AE$67*GREET1_Import_Export!$B514+AE$68*GREET1_Import_Export!$C514+MAX(AE$73,0)*AE$50*(MMULT('GREET2_Factors_T&amp;D'!$B16:$C16+0,H$37:H$38+0))+MAX(AE$74,0)*AE$50*(MMULT('GREET2_Factors_T&amp;D'!$D16:$E16+0,H$35:H$36+0))</f>
        <v>6.7381194863677667</v>
      </c>
      <c r="AF95" s="1013"/>
      <c r="AG95" s="749">
        <f t="array" ref="AG95">AG$60*(AG$50*I$28*GREET1_Import_Export!$K73+GREET1_Import_Export!$F$179*GREET1_Import_Export!$B202+GREET1_Import_Export!$F202)+AG$61*(AG$50*GREET1_Import_Export!$T73+GREET1_Import_Export!$C$179*GREET1_Import_Export!$B202+GREET1_Import_Export!$C202)+AG$62*(AG$50*GREET1_Import_Export!$O73+GREET1_Import_Export!$H$179*GREET1_Import_Export!$B202+GREET1_Import_Export!$H202)+AG$63*(AG$50*I$29*GREET1_Import_Export!$B73+$B264)+AG$64*(AG$50*I$32*GREET1_Import_Export!$AA73+GREET1_Import_Export!$C291)+AG$65*($C264)+AG$67*GREET1_Import_Export!$B514+AG$68*GREET1_Import_Export!$C514+MAX(AG$73,0)*AG$50*(MMULT('GREET2_Factors_T&amp;D'!$B16:$C16+0,I$37:I$38+0))+MAX(AG$74,0)*AG$50*(MMULT('GREET2_Factors_T&amp;D'!$D16:$E16+0,I$35:I$36+0))</f>
        <v>8.7962017790879354</v>
      </c>
      <c r="AH95" s="1013"/>
      <c r="AI95" s="749">
        <f t="array" ref="AI95">AI$60*(AI$50*J$28*GREET1_Import_Export!$K73+GREET1_Import_Export!$F$179*GREET1_Import_Export!$B202+GREET1_Import_Export!$F202)+AI$61*(AI$50*GREET1_Import_Export!$T73+GREET1_Import_Export!$C$179*GREET1_Import_Export!$B202+GREET1_Import_Export!$C202)+AI$62*(AI$50*GREET1_Import_Export!$O73+GREET1_Import_Export!$H$179*GREET1_Import_Export!$B202+GREET1_Import_Export!$H202)+AI$63*(AI$50*J$29*GREET1_Import_Export!$B73+$B264)+AI$64*(AI$50*UT$32*GREET1_Import_Export!$AA73+GREET1_Import_Export!$C291)+AI$65*($C264)+AI$67*GREET1_Import_Export!$B514+AI$68*GREET1_Import_Export!$C514+MAX(AI$73,0)*AI$50*(MMULT('GREET2_Factors_T&amp;D'!$B16:$C16+0,J$37:J$38+0))+MAX(AI$74,0)*AI$50*(MMULT('GREET2_Factors_T&amp;D'!$D16:$E16+0,J$35:J$36+0))</f>
        <v>34.523219913571772</v>
      </c>
      <c r="AJ95" s="1013"/>
      <c r="AK95" s="749">
        <f t="array" ref="AK95">AK$60*(AK$50*K$28*GREET1_Import_Export!$K73+GREET1_Import_Export!$F$179*GREET1_Import_Export!$B202+GREET1_Import_Export!$F202)+AK$61*(AK$50*GREET1_Import_Export!$T73+GREET1_Import_Export!$C$179*GREET1_Import_Export!$B202+GREET1_Import_Export!$C202)+AK$62*(AK$50*GREET1_Import_Export!$O73+GREET1_Import_Export!$H$179*GREET1_Import_Export!$B202+GREET1_Import_Export!$H202)+AK$63*(AK$50*K$29*GREET1_Import_Export!$B73+$B264)+AK$64*(AK$50*UV$32*GREET1_Import_Export!$AA73+GREET1_Import_Export!$C291)+AK$65*($C264)+AK$67*GREET1_Import_Export!$B514+AK$68*GREET1_Import_Export!$C514+MAX(AK$73,0)*AK$50*(MMULT('GREET2_Factors_T&amp;D'!$B16:$C16+0,K$37:K$38+0))+MAX(AK$74,0)*AK$50*(MMULT('GREET2_Factors_T&amp;D'!$D16:$E16+0,K$35:K$36+0))+AK$66*$D264</f>
        <v>8.9511324424958971</v>
      </c>
      <c r="AL95" s="1013"/>
      <c r="AM95" s="749">
        <f t="array" ref="AM95">AM$60*(AM$50*L$28*GREET1_Import_Export!$K73+GREET1_Import_Export!$F$179*GREET1_Import_Export!$B202+GREET1_Import_Export!$F202)+AM$61*(AM$50*GREET1_Import_Export!$T73+GREET1_Import_Export!$C$179*GREET1_Import_Export!$B202+GREET1_Import_Export!$C202)+AM$62*(AM$50*GREET1_Import_Export!$O73+GREET1_Import_Export!$H$179*GREET1_Import_Export!$B202+GREET1_Import_Export!$H202)+AM$63*(AM$50*L$29*GREET1_Import_Export!$B73+$B264)+AM$64*(AM$50*UX$32*GREET1_Import_Export!$AA73+GREET1_Import_Export!$C291)+AM$65*($C264)+AM$67*GREET1_Import_Export!$B514+AM$68*GREET1_Import_Export!$C514+MAX(AM$73,0)*AM$50*(MMULT('GREET2_Factors_T&amp;D'!$B16:$C16+0,L$37:L$38+0))+MAX(AM$74,0)*AM$50*(MMULT('GREET2_Factors_T&amp;D'!$D16:$E16+0,L$35:L$36+0))</f>
        <v>15.889450259617087</v>
      </c>
      <c r="AN95" s="1013"/>
      <c r="AO95" s="749">
        <f t="array" ref="AO95">AO$60*(AO$50*M$28*GREET1_Import_Export!$K73+GREET1_Import_Export!$F$179*GREET1_Import_Export!$B202+GREET1_Import_Export!$F202)+AO$61*(AO$50*GREET1_Import_Export!$T73+GREET1_Import_Export!$C$179*GREET1_Import_Export!$B202+GREET1_Import_Export!$C202)+AO$62*(AO$50*GREET1_Import_Export!$O73+GREET1_Import_Export!$H$179*GREET1_Import_Export!$B202+GREET1_Import_Export!$H202)+AO$63*(AO$50*M$29*GREET1_Import_Export!$B73+$B264)+AO$64*(AO$50*UZ$32*GREET1_Import_Export!$AA73+GREET1_Import_Export!$C291)+AO$65*($C264)+AO$67*GREET1_Import_Export!$B514+AO$68*GREET1_Import_Export!$C514+MAX(AO$73,0)*AO$50*(MMULT('GREET2_Factors_T&amp;D'!$B16:$C16+0,M$37:M$38+0))+MAX(AO$74,0)*AO$50*(MMULT('GREET2_Factors_T&amp;D'!$D16:$E16+0,M$35:M$36+0))</f>
        <v>7.0100446145326458</v>
      </c>
      <c r="AP95" s="1013"/>
      <c r="AQ95" s="749">
        <f t="array" ref="AQ95">AQ$60*(AQ$50*N$28*GREET1_Import_Export!$K73+GREET1_Import_Export!$F$179*GREET1_Import_Export!$B202+GREET1_Import_Export!$F202)+AQ$61*(AQ$50*GREET1_Import_Export!$T73+GREET1_Import_Export!$C$179*GREET1_Import_Export!$B202+GREET1_Import_Export!$C202)+AQ$62*(AQ$50*GREET1_Import_Export!$O73+GREET1_Import_Export!$H$179*GREET1_Import_Export!$B202+GREET1_Import_Export!$H202)+AQ$63*(AQ$50*N$29*GREET1_Import_Export!$B73+$B264)+AQ$64*(AQ$50*VB$32*GREET1_Import_Export!$AA73+GREET1_Import_Export!$C291)+AQ$65*($C264)+AQ$67*GREET1_Import_Export!$B514+AQ$68*GREET1_Import_Export!$C514+MAX(AQ$73,0)*AQ$50*(MMULT('GREET2_Factors_T&amp;D'!$B16:$C16+0,N$37:N$38+0))+MAX(AQ$74,0)*AQ$50*(MMULT('GREET2_Factors_T&amp;D'!$D16:$E16+0,N$35:N$36+0))+AQ$66*$D264</f>
        <v>4.0543355265204202</v>
      </c>
      <c r="AR95" s="1013"/>
      <c r="AS95" s="749">
        <f t="array" ref="AS95">AS$60*(AS$50*O$28*GREET1_Import_Export!$K73+GREET1_Import_Export!$F$179*GREET1_Import_Export!$B202+GREET1_Import_Export!$F202)+AS$61*(AS$50*GREET1_Import_Export!$T73+GREET1_Import_Export!$C$179*GREET1_Import_Export!$B202+GREET1_Import_Export!$C202)+AS$62*(AS$50*GREET1_Import_Export!$O73+GREET1_Import_Export!$H$179*GREET1_Import_Export!$B202+GREET1_Import_Export!$H202)+AS$63*(AS$50*O$29*GREET1_Import_Export!$B73+$B264)+AS$64*(AS$50*VD$32*GREET1_Import_Export!$AA73+GREET1_Import_Export!$C291)+AS$65*($C264)+AS$67*GREET1_Import_Export!$B514+AS$68*GREET1_Import_Export!$C514+MAX(AS$73,0)*AS$50*(MMULT('GREET2_Factors_T&amp;D'!$B16:$C16+0,O$37:O$38+0))+MAX(AS$74,0)*AS$50*(MMULT('GREET2_Factors_T&amp;D'!$D16:$E16+0,O$35:O$36+0))</f>
        <v>15.889450259617087</v>
      </c>
      <c r="AT95" s="1013"/>
    </row>
    <row r="96" spans="1:46">
      <c r="A96" s="160" t="s">
        <v>823</v>
      </c>
      <c r="B96" s="578">
        <f t="array" aca="1" ref="B96" ca="1">B$60*(B$50*B$28*GREET1_Import_Export!$K74+GREET1_Import_Export!$F$179*GREET1_Import_Export!$B203+GREET1_Import_Export!$F203)+B$61*(B$50*(B$40*GREET1_Import_Export!$T74+B$41*GREET1_Import_Export!$B134)+GREET1_Import_Export!$C$179*GREET1_Import_Export!$B203+GREET1_Import_Export!$C203)+B$62*(B$50*(B$42*GREET1_Import_Export!$R74+B$43*GREET1_Import_Export!$B148)+GREET1_Import_Export!$H$179*GREET1_Import_Export!$B203+GREET1_Import_Export!$H203)+B$63*(B$50*(B$29*GREET1_Import_Export!$B74+B$31*GREET1_Import_Export!$B120)+$B265)+B$64*(B$50*B$32*GREET1_Import_Export!$AA74+GREET1_Import_Export!$C292)+B$65*($C265)+B$67*GREET1_Import_Export!$B515+B$68*GREET1_Import_Export!$C515+B$69*SUM($B96:$C96)+MAX(B$73,0)*B$50*(MMULT('GREET2_Factors_T&amp;D'!$B17:$C17+0,B$37:B$38+0))+MAX(B$74,0)*B$50*(MMULT('GREET2_Factors_T&amp;D'!$D17:$E17+0,B$35:B$36+0))+B$50*B$70*B$33*GREET1_Import_Export!$AC74</f>
        <v>1.6112329508731054</v>
      </c>
      <c r="C96" s="478"/>
      <c r="D96" s="578">
        <f t="array" aca="1" ref="D96" ca="1">D$60*(D$50*C$28*GREET1_Import_Export!$K74+GREET1_Import_Export!$F$179*GREET1_Import_Export!$B203+GREET1_Import_Export!$F203)+D$61*(D$50*(C$40*GREET1_Import_Export!$T74+C$41*GREET1_Import_Export!$B134)+GREET1_Import_Export!$C$179*GREET1_Import_Export!$B203+GREET1_Import_Export!$C203)+D$62*(D$50*(C$42*GREET1_Import_Export!$R74+C$43*GREET1_Import_Export!$B148)+GREET1_Import_Export!$H$179*GREET1_Import_Export!$B203+GREET1_Import_Export!$H203)+D$63*(D$50*(C$29*GREET1_Import_Export!$B74+C$31*GREET1_Import_Export!$B120)+$B265)+D$64*(D$50*C$32*GREET1_Import_Export!$AA74+GREET1_Import_Export!$C292)+D$65*($C265)+D$67*GREET1_Import_Export!$B515+D$68*GREET1_Import_Export!$C515+D$69*SUM($B96:$C96)+MAX(D$73,0)*D$50*(MMULT('GREET2_Factors_T&amp;D'!$B17:$C17+0,C$37:C$38+0))+MAX(D$74,0)*D$50*(MMULT('GREET2_Factors_T&amp;D'!$D17:$E17+0,C$35:C$36+0))+D$50*D$70*C$33*GREET1_Import_Export!$AC74</f>
        <v>8.525373109956929</v>
      </c>
      <c r="E96" s="1553">
        <f t="shared" si="26"/>
        <v>0</v>
      </c>
      <c r="F96" s="478">
        <f>F$70*(GREET1_Import_Export!$B203*GREET1_Import_Export!$I$179+GREET1_Import_Export!$I203)+(F$71+F$72)*(GREET1_Import_Export!$B203*GREET1_Import_Export!$F$179+GREET1_Import_Export!$F203)</f>
        <v>-2.1004442092111777</v>
      </c>
      <c r="G96" s="578">
        <f t="array" aca="1" ref="G96" ca="1">G$60*(G$50*D$28*GREET1_Import_Export!$K74+GREET1_Import_Export!$F$179*GREET1_Import_Export!$B203+GREET1_Import_Export!$F203)+G$61*(G$50*(D$40*GREET1_Import_Export!$T74+D$41*GREET1_Import_Export!$B134)+GREET1_Import_Export!$C$179*GREET1_Import_Export!$B203+GREET1_Import_Export!$C203)+G$62*(G$50*(D$42*GREET1_Import_Export!$R74+D$43*GREET1_Import_Export!$B148)+GREET1_Import_Export!$H$179*GREET1_Import_Export!$B203+GREET1_Import_Export!$H203)+G$63*(G$50*(D$29*GREET1_Import_Export!$B74+D$31*GREET1_Import_Export!$B120)+$B265)+G$64*(G$50*D$32*GREET1_Import_Export!$AA74+GREET1_Import_Export!$C292)+G$65*($C265)+G$67*GREET1_Import_Export!$B515+G$68*GREET1_Import_Export!$C515+G$69*SUM($B96:$C96)+MAX(G$73,0)*G$50*(MMULT('GREET2_Factors_T&amp;D'!$B17:$C17+0,D$37:D$38+0))+MAX(G$74,0)*G$50*(MMULT('GREET2_Factors_T&amp;D'!$D17:$E17+0,D$35:D$36+0))+G$50*G$70*D$33*GREET1_Import_Export!$AC74</f>
        <v>2.9249572711604892</v>
      </c>
      <c r="H96" s="478">
        <f t="shared" si="27"/>
        <v>0</v>
      </c>
      <c r="I96" s="578">
        <f t="array" aca="1" ref="I96" ca="1">I$60*(I$50*E$28*GREET1_Import_Export!$K74+GREET1_Import_Export!$F$179*GREET1_Import_Export!$B203+GREET1_Import_Export!$F203)+I$61*(I$50*(E$40*GREET1_Import_Export!$T74+E$41*GREET1_Import_Export!$B134)+GREET1_Import_Export!$C$179*GREET1_Import_Export!$B203+GREET1_Import_Export!$C203)+I$62*(I$50*(E$42*GREET1_Import_Export!$R74+E$43*GREET1_Import_Export!$B148)+GREET1_Import_Export!$H$179*GREET1_Import_Export!$B203+GREET1_Import_Export!$H203)+I$63*(I$50*(E$29*GREET1_Import_Export!$B74+E$31*GREET1_Import_Export!$B120)+$B265)+I$64*(I$50*E$32*GREET1_Import_Export!$AA74+GREET1_Import_Export!$C292)+I$65*($C265)+I$67*GREET1_Import_Export!$B515+I$68*GREET1_Import_Export!$C515+I$69*SUM($B96:$C96)+MAX(I$73,0)*I$50*(MMULT('GREET2_Factors_T&amp;D'!$B17:$C17+0,E$37:E$38+0))+MAX(I$74,0)*I$50*(MMULT('GREET2_Factors_T&amp;D'!$D17:$E17+0,E$35:E$36+0))+I$50*I$70*E$33*GREET1_Import_Export!$AC74</f>
        <v>12.130159487276254</v>
      </c>
      <c r="J96" s="478">
        <f t="shared" si="28"/>
        <v>0</v>
      </c>
      <c r="K96" s="578">
        <f t="array" aca="1" ref="K96" ca="1">K$60*(K$50*F$28*GREET1_Import_Export!$K74+GREET1_Import_Export!$F$179*GREET1_Import_Export!$B203+GREET1_Import_Export!$F203)+K$61*(K$50*(F$40*GREET1_Import_Export!$T74+F$41*GREET1_Import_Export!$B134)+GREET1_Import_Export!$C$179*GREET1_Import_Export!$B203+GREET1_Import_Export!$C203)+K$62*(K$50*(F$42*GREET1_Import_Export!$R74+F$43*GREET1_Import_Export!$B148)+GREET1_Import_Export!$H$179*GREET1_Import_Export!$B203+GREET1_Import_Export!$H203)+K$63*(K$50*(F$29*GREET1_Import_Export!$B74+F$31*GREET1_Import_Export!$B120)+$B265)+K$64*(K$50*F$32*GREET1_Import_Export!$AA74+GREET1_Import_Export!$C292)+K$65*($C265)+K$67*GREET1_Import_Export!$B515+K$68*GREET1_Import_Export!$C515+K$69*SUM($B96:$C96)+MAX(K$73,0)*K$50*(MMULT('GREET2_Factors_T&amp;D'!$B17:$C17+0,F$37:F$38+0))+MAX(K$74,0)*K$50*(MMULT('GREET2_Factors_T&amp;D'!$D17:$E17+0,F$35:F$36+0))+K$50*K$70*F$33*GREET1_Import_Export!$AC74</f>
        <v>3.6156976762306088</v>
      </c>
      <c r="L96" s="478">
        <f t="shared" si="29"/>
        <v>0</v>
      </c>
      <c r="M96" s="578">
        <f t="array" aca="1" ref="M96" ca="1">M$60*(M$50*G$28*GREET1_Import_Export!$K74+GREET1_Import_Export!$F$179*GREET1_Import_Export!$B203+GREET1_Import_Export!$F203)+M$61*(M$50*(G$40*GREET1_Import_Export!$T74+G$41*GREET1_Import_Export!$B134)+GREET1_Import_Export!$C$179*GREET1_Import_Export!$B203+GREET1_Import_Export!$C203)+M$62*(M$50*(G$42*GREET1_Import_Export!$R74+G$43*GREET1_Import_Export!$B148)+GREET1_Import_Export!$H$179*GREET1_Import_Export!$B203+GREET1_Import_Export!$H203)+M$63*(M$50*(G$29*GREET1_Import_Export!$B74+G$31*GREET1_Import_Export!$B120)+$B265)+M$64*(M$50*G$32*GREET1_Import_Export!$AA74+GREET1_Import_Export!$C292)+M$65*($C265)+M$67*GREET1_Import_Export!$B515+M$68*GREET1_Import_Export!$C515+M$69*SUM($B96:$C96)+MAX(M$73,0)*M$50*(MMULT('GREET2_Factors_T&amp;D'!$B17:$C17+0,G$37:G$38+0))+MAX(M$74,0)*M$50*(MMULT('GREET2_Factors_T&amp;D'!$D17:$E17+0,G$35:G$36+0))+M$50*M$70*G$33*GREET1_Import_Export!$AC74</f>
        <v>1.5644873924614902</v>
      </c>
      <c r="N96" s="478"/>
      <c r="O96" s="578">
        <f t="array" aca="1" ref="O96" ca="1">O$60*(O$50*P$28*GREET1_Import_Export!$K74+GREET1_Import_Export!$F$179*GREET1_Import_Export!$B203+GREET1_Import_Export!$F203)+O$61*(O$50*GREET1_Import_Export!$T74+GREET1_Import_Export!$C$179*GREET1_Import_Export!$B203+GREET1_Import_Export!$C203)+O$62*(O$50*GREET1_Import_Export!$O74+GREET1_Import_Export!$G$179*GREET1_Import_Export!$B203+GREET1_Import_Export!$G203)+O$63*(O$50*P$29*GREET1_Import_Export!$B74+$B265)+O$64*(O$50*P$32*GREET1_Import_Export!$AA74+GREET1_Import_Export!$C292)+O$65*($C265)+O$67*GREET1_Import_Export!$B515+O$68*GREET1_Import_Export!$C515+O$69*SUM($B96:$C96)+MAX(O$73,0)*O$50*(MMULT('GREET2_Factors_T&amp;D'!$B17:$C17+0,P$37:P$38+0))+MAX(O$74,0)*O$50*(MMULT('GREET2_Factors_T&amp;D'!$D17:$E17+0,P$35:P$36+0))</f>
        <v>15.565204242013897</v>
      </c>
      <c r="P96" s="478"/>
      <c r="Q96" s="578">
        <f t="array" aca="1" ref="Q96" ca="1">Q$60*(Q$50*Q$28*GREET1_Import_Export!$K74+GREET1_Import_Export!$F$179*GREET1_Import_Export!$B203+GREET1_Import_Export!$F203)+Q$61*(Q$50*GREET1_Import_Export!$T74+GREET1_Import_Export!$C$179*GREET1_Import_Export!$B203+GREET1_Import_Export!$C203)+Q$62*(Q$50*GREET1_Import_Export!$O74+GREET1_Import_Export!$G$179*GREET1_Import_Export!$B203+GREET1_Import_Export!$G203)+Q$63*(Q$50*Q$29*GREET1_Import_Export!$B74+$B265)+Q$64*(Q$50*Q$32*GREET1_Import_Export!$AA74+GREET1_Import_Export!$C292)+Q$65*($C265)+Q$67*GREET1_Import_Export!$B515+Q$68*GREET1_Import_Export!$C515+Q$69*SUM($B96:$C96)+MAX(Q$73,0)*Q$50*(MMULT('GREET2_Factors_T&amp;D'!$B17:$C17+0,Q$37:Q$38+0))+MAX(Q$74,0)*Q$50*(MMULT('GREET2_Factors_T&amp;D'!$D17:$E17+0,Q$35:Q$36+0))</f>
        <v>0.79644120280530639</v>
      </c>
      <c r="R96" s="478"/>
      <c r="S96" s="578">
        <f t="array" aca="1" ref="S96" ca="1">S$60*(S$50*R$28*GREET1_Import_Export!$K74+GREET1_Import_Export!$F$179*GREET1_Import_Export!$B203+GREET1_Import_Export!$F203)+S$61*(S$50*GREET1_Import_Export!$T74+GREET1_Import_Export!$C$179*GREET1_Import_Export!$B203+GREET1_Import_Export!$C203)+S$62*(S$50*GREET1_Import_Export!$O74+GREET1_Import_Export!$G$179*GREET1_Import_Export!$B203+GREET1_Import_Export!$G203)+S$63*(S$50*R$29*GREET1_Import_Export!$B74+$B265)+S$64*(S$50*R$32*GREET1_Import_Export!$AA74+GREET1_Import_Export!$C292)+S$65*($C265)+S$67*GREET1_Import_Export!$B515+S$68*GREET1_Import_Export!$C515+S$69*SUM($B96:$C96)+MAX(S$73,0)*S$50*(MMULT('GREET2_Factors_T&amp;D'!$B17:$C17+0,R$37:R$38+0))+MAX(S$74,0)*S$50*(MMULT('GREET2_Factors_T&amp;D'!$D17:$E17+0,R$35:R$36+0))</f>
        <v>26.673158847060968</v>
      </c>
      <c r="T96" s="478"/>
      <c r="U96" s="578">
        <f t="array" aca="1" ref="U96" ca="1">U$60*(U$50*S$28*GREET1_Import_Export!$K74+GREET1_Import_Export!$F$179*GREET1_Import_Export!$B203+GREET1_Import_Export!$F203)+U$61*(U$50*GREET1_Import_Export!$T74+GREET1_Import_Export!$C$179*GREET1_Import_Export!$B203+GREET1_Import_Export!$C203)+U$62*(U$50*GREET1_Import_Export!$O74+GREET1_Import_Export!$G$179*GREET1_Import_Export!$B203+GREET1_Import_Export!$G203)+U$63*(U$50*S$29*GREET1_Import_Export!$B74+$B265)+U$64*(U$50*S$32*GREET1_Import_Export!$AA74+GREET1_Import_Export!$C292)+U$65*($C265)+U$67*GREET1_Import_Export!$B515+U$68*GREET1_Import_Export!$C515+U$69*SUM($B96:$C96)+MAX(U$73,0)*U$50*(MMULT('GREET2_Factors_T&amp;D'!$B17:$C17+0,S$37:S$38+0))+MAX(U$74,0)*U$50*(MMULT('GREET2_Factors_T&amp;D'!$D17:$E17+0,S$35:S$36+0))</f>
        <v>13.255601550039515</v>
      </c>
      <c r="V96" s="478"/>
      <c r="W96" s="578">
        <f t="array" aca="1" ref="W96" ca="1">W$60*(W$50*T$28*GREET1_Import_Export!$K74+GREET1_Import_Export!$F$179*GREET1_Import_Export!$B203+GREET1_Import_Export!$F203)+W$61*(W$50*GREET1_Import_Export!$T74+GREET1_Import_Export!$C$179*GREET1_Import_Export!$B203+GREET1_Import_Export!$C203)+W$62*(W$50*GREET1_Import_Export!$O74+GREET1_Import_Export!$G$179*GREET1_Import_Export!$B203+GREET1_Import_Export!$G203)+W$63*(W$50*T$29*GREET1_Import_Export!$B74+$B265)+W$64*(W$50*T$32*GREET1_Import_Export!$AA74+GREET1_Import_Export!$C292)+W$65*($C265)+W$67*GREET1_Import_Export!$B515+W$68*GREET1_Import_Export!$C515+W$69*SUM($B96:$C96)+MAX(W$73,0)*W$50*(MMULT('GREET2_Factors_T&amp;D'!$B17:$C17+0,T$37:T$38+0))+MAX(W$74,0)*W$50*(MMULT('GREET2_Factors_T&amp;D'!$D17:$E17+0,T$35:T$36+0))</f>
        <v>16.384304841038887</v>
      </c>
      <c r="X96" s="478"/>
      <c r="Y96" s="578">
        <f t="array" aca="1" ref="Y96" ca="1">Y$60*(Y$50*U$28*GREET1_Import_Export!$K74+GREET1_Import_Export!$F$179*GREET1_Import_Export!$B203+GREET1_Import_Export!$F203)+Y$61*(Y$50*GREET1_Import_Export!$T74+GREET1_Import_Export!$C$179*GREET1_Import_Export!$B203+GREET1_Import_Export!$C203)+Y$62*(Y$50*GREET1_Import_Export!$O74+GREET1_Import_Export!$G$179*GREET1_Import_Export!$B203+GREET1_Import_Export!$G203)+Y$63*(Y$50*U$29*GREET1_Import_Export!$B74+$B265)+Y$64*(Y$50*U$32*GREET1_Import_Export!$AA74+GREET1_Import_Export!$C292)+Y$65*($C265)+Y$67*GREET1_Import_Export!$B515+Y$68*GREET1_Import_Export!$C515+Y$69*SUM($B96:$C96)+MAX(Y$73,0)*Y$50*(MMULT('GREET2_Factors_T&amp;D'!$B17:$C17+0,U$37:U$38+0))+MAX(Y$74,0)*Y$50*(MMULT('GREET2_Factors_T&amp;D'!$D17:$E17+0,U$35:U$36+0))</f>
        <v>30.750885449810507</v>
      </c>
      <c r="Z96" s="478">
        <f>Z84*Y$50</f>
        <v>0</v>
      </c>
      <c r="AA96" s="578">
        <f t="array" aca="1" ref="AA96" ca="1">AA$60*(AA$50*V$28*GREET1_Import_Export!$K74+GREET1_Import_Export!$F$179*GREET1_Import_Export!$B203+GREET1_Import_Export!$F203)+AA$61*(AA$50*GREET1_Import_Export!$T74+GREET1_Import_Export!$C$179*GREET1_Import_Export!$B203+GREET1_Import_Export!$C203)+AA$62*(AA$50*GREET1_Import_Export!$O74+GREET1_Import_Export!$G$179*GREET1_Import_Export!$B203+GREET1_Import_Export!$G203)+AA$63*(AA$50*V$29*GREET1_Import_Export!$B74+$B265)+AA$64*(AA$50*V$32*GREET1_Import_Export!$AA74+GREET1_Import_Export!$C292)+AA$65*($C265)+AA$67*GREET1_Import_Export!$B515+AA$68*GREET1_Import_Export!$C515+AA$69*SUM($B96:$C96)+MAX(AA$73,0)*AA$50*(MMULT('GREET2_Factors_T&amp;D'!$B17:$C17+0,V$37:V$38+0))+MAX(AA$74,0)*AA$50*(MMULT('GREET2_Factors_T&amp;D'!$D17:$E17+0,V$35:V$36+0))</f>
        <v>27.862540282017804</v>
      </c>
      <c r="AB96" s="478">
        <f>AB84*AA$50</f>
        <v>0</v>
      </c>
      <c r="AC96" s="578">
        <f t="array" aca="1" ref="AC96" ca="1">AC$60*(AC$50*W$28*GREET1_Import_Export!$K74+GREET1_Import_Export!$F$179*GREET1_Import_Export!$B203+GREET1_Import_Export!$F203)+AC$61*(AC$50*GREET1_Import_Export!$T74+GREET1_Import_Export!$C$179*GREET1_Import_Export!$B203+GREET1_Import_Export!$C203)+AC$62*(AC$50*GREET1_Import_Export!$O74+GREET1_Import_Export!$G$179*GREET1_Import_Export!$B203+GREET1_Import_Export!$G203)+AC$63*(AC$50*W$29*GREET1_Import_Export!$B74+$B265)+AC$64*(AC$50*W$32*GREET1_Import_Export!$AA74+GREET1_Import_Export!$C292)+AC$65*($C265)+AC$67*GREET1_Import_Export!$B515+AC$68*GREET1_Import_Export!$C515+AC$69*SUM($B96:$C96)+MAX(AC$73,0)*AC$50*(MMULT('GREET2_Factors_T&amp;D'!$B17:$C17+0,W$37:W$38+0))+MAX(AC$74,0)*AC$50*(MMULT('GREET2_Factors_T&amp;D'!$D17:$E17+0,W$35:W$36+0))</f>
        <v>10.288953337676208</v>
      </c>
      <c r="AD96" s="478">
        <f>AD84*AC$50</f>
        <v>0</v>
      </c>
      <c r="AE96" s="749">
        <f t="array" ref="AE96">AE$60*(AE$50*H$28*GREET1_Import_Export!$K74+GREET1_Import_Export!$F$179*GREET1_Import_Export!$B203+GREET1_Import_Export!$F203)+AE$61*(AE$50*GREET1_Import_Export!$T74+GREET1_Import_Export!$C$179*GREET1_Import_Export!$B203+GREET1_Import_Export!$C203)+AE$62*(AE$50*GREET1_Import_Export!$O74+GREET1_Import_Export!$H$179*GREET1_Import_Export!$B203+GREET1_Import_Export!$H203)+AE$63*(AE$50*H$29*GREET1_Import_Export!$B74+$B265)+AE$64*(AE$50*H$32*GREET1_Import_Export!$AA74+GREET1_Import_Export!$C292)+AE$65*($C265)+AE$67*GREET1_Import_Export!$B515+AE$68*GREET1_Import_Export!$C515+MAX(AE$73,0)*AE$50*(MMULT('GREET2_Factors_T&amp;D'!$B17:$C17+0,H$37:H$38+0))+MAX(AE$74,0)*AE$50*(MMULT('GREET2_Factors_T&amp;D'!$D17:$E17+0,H$35:H$36+0))</f>
        <v>16.941745142922514</v>
      </c>
      <c r="AF96" s="1013"/>
      <c r="AG96" s="749">
        <f t="array" ref="AG96">AG$60*(AG$50*I$28*GREET1_Import_Export!$K74+GREET1_Import_Export!$F$179*GREET1_Import_Export!$B203+GREET1_Import_Export!$F203)+AG$61*(AG$50*GREET1_Import_Export!$T74+GREET1_Import_Export!$C$179*GREET1_Import_Export!$B203+GREET1_Import_Export!$C203)+AG$62*(AG$50*GREET1_Import_Export!$O74+GREET1_Import_Export!$H$179*GREET1_Import_Export!$B203+GREET1_Import_Export!$H203)+AG$63*(AG$50*I$29*GREET1_Import_Export!$B74+$B265)+AG$64*(AG$50*I$32*GREET1_Import_Export!$AA74+GREET1_Import_Export!$C292)+AG$65*($C265)+AG$67*GREET1_Import_Export!$B515+AG$68*GREET1_Import_Export!$C515+MAX(AG$73,0)*AG$50*(MMULT('GREET2_Factors_T&amp;D'!$B17:$C17+0,I$37:I$38+0))+MAX(AG$74,0)*AG$50*(MMULT('GREET2_Factors_T&amp;D'!$D17:$E17+0,I$35:I$36+0))</f>
        <v>15.230135286962575</v>
      </c>
      <c r="AH96" s="1013"/>
      <c r="AI96" s="749">
        <f t="array" ref="AI96">AI$60*(AI$50*J$28*GREET1_Import_Export!$K74+GREET1_Import_Export!$F$179*GREET1_Import_Export!$B203+GREET1_Import_Export!$F203)+AI$61*(AI$50*GREET1_Import_Export!$T74+GREET1_Import_Export!$C$179*GREET1_Import_Export!$B203+GREET1_Import_Export!$C203)+AI$62*(AI$50*GREET1_Import_Export!$O74+GREET1_Import_Export!$H$179*GREET1_Import_Export!$B203+GREET1_Import_Export!$H203)+AI$63*(AI$50*J$29*GREET1_Import_Export!$B74+$B265)+AI$64*(AI$50*UT$32*GREET1_Import_Export!$AA74+GREET1_Import_Export!$C292)+AI$65*($C265)+AI$67*GREET1_Import_Export!$B515+AI$68*GREET1_Import_Export!$C515+MAX(AI$73,0)*AI$50*(MMULT('GREET2_Factors_T&amp;D'!$B17:$C17+0,J$37:J$38+0))+MAX(AI$74,0)*AI$50*(MMULT('GREET2_Factors_T&amp;D'!$D17:$E17+0,J$35:J$36+0))</f>
        <v>48.224677574807856</v>
      </c>
      <c r="AJ96" s="1013"/>
      <c r="AK96" s="749">
        <f t="array" ref="AK96">AK$60*(AK$50*K$28*GREET1_Import_Export!$K74+GREET1_Import_Export!$F$179*GREET1_Import_Export!$B203+GREET1_Import_Export!$F203)+AK$61*(AK$50*GREET1_Import_Export!$T74+GREET1_Import_Export!$C$179*GREET1_Import_Export!$B203+GREET1_Import_Export!$C203)+AK$62*(AK$50*GREET1_Import_Export!$O74+GREET1_Import_Export!$H$179*GREET1_Import_Export!$B203+GREET1_Import_Export!$H203)+AK$63*(AK$50*K$29*GREET1_Import_Export!$B74+$B265)+AK$64*(AK$50*UV$32*GREET1_Import_Export!$AA74+GREET1_Import_Export!$C292)+AK$65*($C265)+AK$67*GREET1_Import_Export!$B515+AK$68*GREET1_Import_Export!$C515+MAX(AK$73,0)*AK$50*(MMULT('GREET2_Factors_T&amp;D'!$B17:$C17+0,K$37:K$38+0))+MAX(AK$74,0)*AK$50*(MMULT('GREET2_Factors_T&amp;D'!$D17:$E17+0,K$35:K$36+0))+AK$66*$D265</f>
        <v>17.913627574530206</v>
      </c>
      <c r="AL96" s="1013"/>
      <c r="AM96" s="749">
        <f t="array" ref="AM96">AM$60*(AM$50*L$28*GREET1_Import_Export!$K74+GREET1_Import_Export!$F$179*GREET1_Import_Export!$B203+GREET1_Import_Export!$F203)+AM$61*(AM$50*GREET1_Import_Export!$T74+GREET1_Import_Export!$C$179*GREET1_Import_Export!$B203+GREET1_Import_Export!$C203)+AM$62*(AM$50*GREET1_Import_Export!$O74+GREET1_Import_Export!$H$179*GREET1_Import_Export!$B203+GREET1_Import_Export!$H203)+AM$63*(AM$50*L$29*GREET1_Import_Export!$B74+$B265)+AM$64*(AM$50*UX$32*GREET1_Import_Export!$AA74+GREET1_Import_Export!$C292)+AM$65*($C265)+AM$67*GREET1_Import_Export!$B515+AM$68*GREET1_Import_Export!$C515+MAX(AM$73,0)*AM$50*(MMULT('GREET2_Factors_T&amp;D'!$B17:$C17+0,L$37:L$38+0))+MAX(AM$74,0)*AM$50*(MMULT('GREET2_Factors_T&amp;D'!$D17:$E17+0,L$35:L$36+0))</f>
        <v>46.950939313091993</v>
      </c>
      <c r="AN96" s="1013"/>
      <c r="AO96" s="749">
        <f t="array" ref="AO96">AO$60*(AO$50*M$28*GREET1_Import_Export!$K74+GREET1_Import_Export!$F$179*GREET1_Import_Export!$B203+GREET1_Import_Export!$F203)+AO$61*(AO$50*GREET1_Import_Export!$T74+GREET1_Import_Export!$C$179*GREET1_Import_Export!$B203+GREET1_Import_Export!$C203)+AO$62*(AO$50*GREET1_Import_Export!$O74+GREET1_Import_Export!$H$179*GREET1_Import_Export!$B203+GREET1_Import_Export!$H203)+AO$63*(AO$50*M$29*GREET1_Import_Export!$B74+$B265)+AO$64*(AO$50*UZ$32*GREET1_Import_Export!$AA74+GREET1_Import_Export!$C292)+AO$65*($C265)+AO$67*GREET1_Import_Export!$B515+AO$68*GREET1_Import_Export!$C515+MAX(AO$73,0)*AO$50*(MMULT('GREET2_Factors_T&amp;D'!$B17:$C17+0,M$37:M$38+0))+MAX(AO$74,0)*AO$50*(MMULT('GREET2_Factors_T&amp;D'!$D17:$E17+0,M$35:M$36+0))</f>
        <v>17.625450177932116</v>
      </c>
      <c r="AP96" s="1013"/>
      <c r="AQ96" s="749">
        <f t="array" ref="AQ96">AQ$60*(AQ$50*N$28*GREET1_Import_Export!$K74+GREET1_Import_Export!$F$179*GREET1_Import_Export!$B203+GREET1_Import_Export!$F203)+AQ$61*(AQ$50*GREET1_Import_Export!$T74+GREET1_Import_Export!$C$179*GREET1_Import_Export!$B203+GREET1_Import_Export!$C203)+AQ$62*(AQ$50*GREET1_Import_Export!$O74+GREET1_Import_Export!$H$179*GREET1_Import_Export!$B203+GREET1_Import_Export!$H203)+AQ$63*(AQ$50*N$29*GREET1_Import_Export!$B74+$B265)+AQ$64*(AQ$50*VB$32*GREET1_Import_Export!$AA74+GREET1_Import_Export!$C292)+AQ$65*($C265)+AQ$67*GREET1_Import_Export!$B515+AQ$68*GREET1_Import_Export!$C515+MAX(AQ$73,0)*AQ$50*(MMULT('GREET2_Factors_T&amp;D'!$B17:$C17+0,N$37:N$38+0))+MAX(AQ$74,0)*AQ$50*(MMULT('GREET2_Factors_T&amp;D'!$D17:$E17+0,N$35:N$36+0))+AQ$66*$D265</f>
        <v>12.109367115573884</v>
      </c>
      <c r="AR96" s="1013"/>
      <c r="AS96" s="749">
        <f t="array" ref="AS96">AS$60*(AS$50*O$28*GREET1_Import_Export!$K74+GREET1_Import_Export!$F$179*GREET1_Import_Export!$B203+GREET1_Import_Export!$F203)+AS$61*(AS$50*GREET1_Import_Export!$T74+GREET1_Import_Export!$C$179*GREET1_Import_Export!$B203+GREET1_Import_Export!$C203)+AS$62*(AS$50*GREET1_Import_Export!$O74+GREET1_Import_Export!$H$179*GREET1_Import_Export!$B203+GREET1_Import_Export!$H203)+AS$63*(AS$50*O$29*GREET1_Import_Export!$B74+$B265)+AS$64*(AS$50*VD$32*GREET1_Import_Export!$AA74+GREET1_Import_Export!$C292)+AS$65*($C265)+AS$67*GREET1_Import_Export!$B515+AS$68*GREET1_Import_Export!$C515+MAX(AS$73,0)*AS$50*(MMULT('GREET2_Factors_T&amp;D'!$B17:$C17+0,O$37:O$38+0))+MAX(AS$74,0)*AS$50*(MMULT('GREET2_Factors_T&amp;D'!$D17:$E17+0,O$35:O$36+0))</f>
        <v>46.950939313091993</v>
      </c>
      <c r="AT96" s="1013"/>
    </row>
    <row r="97" spans="1:46">
      <c r="A97" s="160" t="s">
        <v>824</v>
      </c>
      <c r="B97" s="578">
        <f t="array" aca="1" ref="B97" ca="1">B$60*(B$50*B$28*GREET1_Import_Export!$K75+GREET1_Import_Export!$F$179*GREET1_Import_Export!$B204+GREET1_Import_Export!$F204)+B$61*(B$50*(B$40*GREET1_Import_Export!$T75+B$41*GREET1_Import_Export!$B135)+GREET1_Import_Export!$C$179*GREET1_Import_Export!$B204+GREET1_Import_Export!$C204)+B$62*(B$50*(B$42*GREET1_Import_Export!$R75+B$43*GREET1_Import_Export!$B149)+GREET1_Import_Export!$H$179*GREET1_Import_Export!$B204+GREET1_Import_Export!$H204)+B$63*(B$50*(B$29*GREET1_Import_Export!$B75+B$31*GREET1_Import_Export!$B121)+$B266)+B$64*(B$50*B$32*GREET1_Import_Export!$AA75+GREET1_Import_Export!$C293)+B$65*($C266)+B$67*GREET1_Import_Export!$B516+B$68*GREET1_Import_Export!$C516+B$69*SUM($B97:$C97)+MAX(B$73,0)*B$50*(MMULT('GREET2_Factors_T&amp;D'!$B18:$C18+0,B$37:B$38+0))+MAX(B$74,0)*B$50*(MMULT('GREET2_Factors_T&amp;D'!$D18:$E18+0,B$35:B$36+0))+B$50*B$70*B$33*GREET1_Import_Export!$AC75</f>
        <v>0.21589949938704472</v>
      </c>
      <c r="C97" s="478"/>
      <c r="D97" s="578">
        <f t="array" aca="1" ref="D97" ca="1">D$60*(D$50*C$28*GREET1_Import_Export!$K75+GREET1_Import_Export!$F$179*GREET1_Import_Export!$B204+GREET1_Import_Export!$F204)+D$61*(D$50*(C$40*GREET1_Import_Export!$T75+C$41*GREET1_Import_Export!$B135)+GREET1_Import_Export!$C$179*GREET1_Import_Export!$B204+GREET1_Import_Export!$C204)+D$62*(D$50*(C$42*GREET1_Import_Export!$R75+C$43*GREET1_Import_Export!$B149)+GREET1_Import_Export!$H$179*GREET1_Import_Export!$B204+GREET1_Import_Export!$H204)+D$63*(D$50*(C$29*GREET1_Import_Export!$B75+C$31*GREET1_Import_Export!$B121)+$B266)+D$64*(D$50*C$32*GREET1_Import_Export!$AA75+GREET1_Import_Export!$C293)+D$65*($C266)+D$67*GREET1_Import_Export!$B516+D$68*GREET1_Import_Export!$C516+D$69*SUM($B97:$C97)+MAX(D$73,0)*D$50*(MMULT('GREET2_Factors_T&amp;D'!$B18:$C18+0,C$37:C$38+0))+MAX(D$74,0)*D$50*(MMULT('GREET2_Factors_T&amp;D'!$D18:$E18+0,C$35:C$36+0))+D$50*D$70*C$33*GREET1_Import_Export!$AC75</f>
        <v>0.51580767812833161</v>
      </c>
      <c r="E97" s="1553">
        <f t="shared" si="26"/>
        <v>0</v>
      </c>
      <c r="F97" s="478">
        <f>F$70*(GREET1_Import_Export!$B204*GREET1_Import_Export!$I$179+GREET1_Import_Export!$I204)+(F$71+F$72)*(GREET1_Import_Export!$B204*GREET1_Import_Export!$F$179+GREET1_Import_Export!$F204)</f>
        <v>-0.39326125646450832</v>
      </c>
      <c r="G97" s="578">
        <f t="array" aca="1" ref="G97" ca="1">G$60*(G$50*D$28*GREET1_Import_Export!$K75+GREET1_Import_Export!$F$179*GREET1_Import_Export!$B204+GREET1_Import_Export!$F204)+G$61*(G$50*(D$40*GREET1_Import_Export!$T75+D$41*GREET1_Import_Export!$B135)+GREET1_Import_Export!$C$179*GREET1_Import_Export!$B204+GREET1_Import_Export!$C204)+G$62*(G$50*(D$42*GREET1_Import_Export!$R75+D$43*GREET1_Import_Export!$B149)+GREET1_Import_Export!$H$179*GREET1_Import_Export!$B204+GREET1_Import_Export!$H204)+G$63*(G$50*(D$29*GREET1_Import_Export!$B75+D$31*GREET1_Import_Export!$B121)+$B266)+G$64*(G$50*D$32*GREET1_Import_Export!$AA75+GREET1_Import_Export!$C293)+G$65*($C266)+G$67*GREET1_Import_Export!$B516+G$68*GREET1_Import_Export!$C516+G$69*SUM($B97:$C97)+MAX(G$73,0)*G$50*(MMULT('GREET2_Factors_T&amp;D'!$B18:$C18+0,D$37:D$38+0))+MAX(G$74,0)*G$50*(MMULT('GREET2_Factors_T&amp;D'!$D18:$E18+0,D$35:D$36+0))+G$50*G$70*D$33*GREET1_Import_Export!$AC75</f>
        <v>0.39062050335803111</v>
      </c>
      <c r="H97" s="478">
        <f t="shared" si="27"/>
        <v>0</v>
      </c>
      <c r="I97" s="578">
        <f t="array" aca="1" ref="I97" ca="1">I$60*(I$50*E$28*GREET1_Import_Export!$K75+GREET1_Import_Export!$F$179*GREET1_Import_Export!$B204+GREET1_Import_Export!$F204)+I$61*(I$50*(E$40*GREET1_Import_Export!$T75+E$41*GREET1_Import_Export!$B135)+GREET1_Import_Export!$C$179*GREET1_Import_Export!$B204+GREET1_Import_Export!$C204)+I$62*(I$50*(E$42*GREET1_Import_Export!$R75+E$43*GREET1_Import_Export!$B149)+GREET1_Import_Export!$H$179*GREET1_Import_Export!$B204+GREET1_Import_Export!$H204)+I$63*(I$50*(E$29*GREET1_Import_Export!$B75+E$31*GREET1_Import_Export!$B121)+$B266)+I$64*(I$50*E$32*GREET1_Import_Export!$AA75+GREET1_Import_Export!$C293)+I$65*($C266)+I$67*GREET1_Import_Export!$B516+I$68*GREET1_Import_Export!$C516+I$69*SUM($B97:$C97)+MAX(I$73,0)*I$50*(MMULT('GREET2_Factors_T&amp;D'!$B18:$C18+0,E$37:E$38+0))+MAX(I$74,0)*I$50*(MMULT('GREET2_Factors_T&amp;D'!$D18:$E18+0,E$35:E$36+0))+I$50*I$70*E$33*GREET1_Import_Export!$AC75</f>
        <v>0.93724078829273094</v>
      </c>
      <c r="J97" s="478">
        <f t="shared" si="28"/>
        <v>0</v>
      </c>
      <c r="K97" s="578">
        <f t="array" aca="1" ref="K97" ca="1">K$60*(K$50*F$28*GREET1_Import_Export!$K75+GREET1_Import_Export!$F$179*GREET1_Import_Export!$B204+GREET1_Import_Export!$F204)+K$61*(K$50*(F$40*GREET1_Import_Export!$T75+F$41*GREET1_Import_Export!$B135)+GREET1_Import_Export!$C$179*GREET1_Import_Export!$B204+GREET1_Import_Export!$C204)+K$62*(K$50*(F$42*GREET1_Import_Export!$R75+F$43*GREET1_Import_Export!$B149)+GREET1_Import_Export!$H$179*GREET1_Import_Export!$B204+GREET1_Import_Export!$H204)+K$63*(K$50*(F$29*GREET1_Import_Export!$B75+F$31*GREET1_Import_Export!$B121)+$B266)+K$64*(K$50*F$32*GREET1_Import_Export!$AA75+GREET1_Import_Export!$C293)+K$65*($C266)+K$67*GREET1_Import_Export!$B516+K$68*GREET1_Import_Export!$C516+K$69*SUM($B97:$C97)+MAX(K$73,0)*K$50*(MMULT('GREET2_Factors_T&amp;D'!$B18:$C18+0,F$37:F$38+0))+MAX(K$74,0)*K$50*(MMULT('GREET2_Factors_T&amp;D'!$D18:$E18+0,F$35:F$36+0))+K$50*K$70*F$33*GREET1_Import_Export!$AC75</f>
        <v>0.32440321429538765</v>
      </c>
      <c r="L97" s="478">
        <f t="shared" si="29"/>
        <v>0</v>
      </c>
      <c r="M97" s="578">
        <f t="array" aca="1" ref="M97" ca="1">M$60*(M$50*G$28*GREET1_Import_Export!$K75+GREET1_Import_Export!$F$179*GREET1_Import_Export!$B204+GREET1_Import_Export!$F204)+M$61*(M$50*(G$40*GREET1_Import_Export!$T75+G$41*GREET1_Import_Export!$B135)+GREET1_Import_Export!$C$179*GREET1_Import_Export!$B204+GREET1_Import_Export!$C204)+M$62*(M$50*(G$42*GREET1_Import_Export!$R75+G$43*GREET1_Import_Export!$B149)+GREET1_Import_Export!$H$179*GREET1_Import_Export!$B204+GREET1_Import_Export!$H204)+M$63*(M$50*(G$29*GREET1_Import_Export!$B75+G$31*GREET1_Import_Export!$B121)+$B266)+M$64*(M$50*G$32*GREET1_Import_Export!$AA75+GREET1_Import_Export!$C293)+M$65*($C266)+M$67*GREET1_Import_Export!$B516+M$68*GREET1_Import_Export!$C516+M$69*SUM($B97:$C97)+MAX(M$73,0)*M$50*(MMULT('GREET2_Factors_T&amp;D'!$B18:$C18+0,G$37:G$38+0))+MAX(M$74,0)*M$50*(MMULT('GREET2_Factors_T&amp;D'!$D18:$E18+0,G$35:G$36+0))+M$50*M$70*G$33*GREET1_Import_Export!$AC75</f>
        <v>0.17709120063515027</v>
      </c>
      <c r="N97" s="478"/>
      <c r="O97" s="578">
        <f t="array" aca="1" ref="O97" ca="1">O$60*(O$50*P$28*GREET1_Import_Export!$K75+GREET1_Import_Export!$F$179*GREET1_Import_Export!$B204+GREET1_Import_Export!$F204)+O$61*(O$50*GREET1_Import_Export!$T75+GREET1_Import_Export!$C$179*GREET1_Import_Export!$B204+GREET1_Import_Export!$C204)+O$62*(O$50*GREET1_Import_Export!$O75+GREET1_Import_Export!$G$179*GREET1_Import_Export!$B204+GREET1_Import_Export!$G204)+O$63*(O$50*P$29*GREET1_Import_Export!$B75+$B266)+O$64*(O$50*P$32*GREET1_Import_Export!$AA75+GREET1_Import_Export!$C293)+O$65*($C266)+O$67*GREET1_Import_Export!$B516+O$68*GREET1_Import_Export!$C516+O$69*SUM($B97:$C97)+MAX(O$73,0)*O$50*(MMULT('GREET2_Factors_T&amp;D'!$B18:$C18+0,P$37:P$38+0))+MAX(O$74,0)*O$50*(MMULT('GREET2_Factors_T&amp;D'!$D18:$E18+0,P$35:P$36+0))</f>
        <v>1.8009825340903485</v>
      </c>
      <c r="P97" s="478"/>
      <c r="Q97" s="578">
        <f t="array" aca="1" ref="Q97" ca="1">Q$60*(Q$50*Q$28*GREET1_Import_Export!$K75+GREET1_Import_Export!$F$179*GREET1_Import_Export!$B204+GREET1_Import_Export!$F204)+Q$61*(Q$50*GREET1_Import_Export!$T75+GREET1_Import_Export!$C$179*GREET1_Import_Export!$B204+GREET1_Import_Export!$C204)+Q$62*(Q$50*GREET1_Import_Export!$O75+GREET1_Import_Export!$G$179*GREET1_Import_Export!$B204+GREET1_Import_Export!$G204)+Q$63*(Q$50*Q$29*GREET1_Import_Export!$B75+$B266)+Q$64*(Q$50*Q$32*GREET1_Import_Export!$AA75+GREET1_Import_Export!$C293)+Q$65*($C266)+Q$67*GREET1_Import_Export!$B516+Q$68*GREET1_Import_Export!$C516+Q$69*SUM($B97:$C97)+MAX(Q$73,0)*Q$50*(MMULT('GREET2_Factors_T&amp;D'!$B18:$C18+0,Q$37:Q$38+0))+MAX(Q$74,0)*Q$50*(MMULT('GREET2_Factors_T&amp;D'!$D18:$E18+0,Q$35:Q$36+0))</f>
        <v>0.10633388175289409</v>
      </c>
      <c r="R97" s="478"/>
      <c r="S97" s="578">
        <f t="array" aca="1" ref="S97" ca="1">S$60*(S$50*R$28*GREET1_Import_Export!$K75+GREET1_Import_Export!$F$179*GREET1_Import_Export!$B204+GREET1_Import_Export!$F204)+S$61*(S$50*GREET1_Import_Export!$T75+GREET1_Import_Export!$C$179*GREET1_Import_Export!$B204+GREET1_Import_Export!$C204)+S$62*(S$50*GREET1_Import_Export!$O75+GREET1_Import_Export!$G$179*GREET1_Import_Export!$B204+GREET1_Import_Export!$G204)+S$63*(S$50*R$29*GREET1_Import_Export!$B75+$B266)+S$64*(S$50*R$32*GREET1_Import_Export!$AA75+GREET1_Import_Export!$C293)+S$65*($C266)+S$67*GREET1_Import_Export!$B516+S$68*GREET1_Import_Export!$C516+S$69*SUM($B97:$C97)+MAX(S$73,0)*S$50*(MMULT('GREET2_Factors_T&amp;D'!$B18:$C18+0,R$37:R$38+0))+MAX(S$74,0)*S$50*(MMULT('GREET2_Factors_T&amp;D'!$D18:$E18+0,R$35:R$36+0))</f>
        <v>3.5611674896142689</v>
      </c>
      <c r="T97" s="478"/>
      <c r="U97" s="578">
        <f t="array" aca="1" ref="U97" ca="1">U$60*(U$50*S$28*GREET1_Import_Export!$K75+GREET1_Import_Export!$F$179*GREET1_Import_Export!$B204+GREET1_Import_Export!$F204)+U$61*(U$50*GREET1_Import_Export!$T75+GREET1_Import_Export!$C$179*GREET1_Import_Export!$B204+GREET1_Import_Export!$C204)+U$62*(U$50*GREET1_Import_Export!$O75+GREET1_Import_Export!$G$179*GREET1_Import_Export!$B204+GREET1_Import_Export!$G204)+U$63*(U$50*S$29*GREET1_Import_Export!$B75+$B266)+U$64*(U$50*S$32*GREET1_Import_Export!$AA75+GREET1_Import_Export!$C293)+U$65*($C266)+U$67*GREET1_Import_Export!$B516+U$68*GREET1_Import_Export!$C516+U$69*SUM($B97:$C97)+MAX(U$73,0)*U$50*(MMULT('GREET2_Factors_T&amp;D'!$B18:$C18+0,S$37:S$38+0))+MAX(U$74,0)*U$50*(MMULT('GREET2_Factors_T&amp;D'!$D18:$E18+0,S$35:S$36+0))</f>
        <v>1.7697722855380005</v>
      </c>
      <c r="V97" s="478"/>
      <c r="W97" s="578">
        <f t="array" aca="1" ref="W97" ca="1">W$60*(W$50*T$28*GREET1_Import_Export!$K75+GREET1_Import_Export!$F$179*GREET1_Import_Export!$B204+GREET1_Import_Export!$F204)+W$61*(W$50*GREET1_Import_Export!$T75+GREET1_Import_Export!$C$179*GREET1_Import_Export!$B204+GREET1_Import_Export!$C204)+W$62*(W$50*GREET1_Import_Export!$O75+GREET1_Import_Export!$G$179*GREET1_Import_Export!$B204+GREET1_Import_Export!$G204)+W$63*(W$50*T$29*GREET1_Import_Export!$B75+$B266)+W$64*(W$50*T$32*GREET1_Import_Export!$AA75+GREET1_Import_Export!$C293)+W$65*($C266)+W$67*GREET1_Import_Export!$B516+W$68*GREET1_Import_Export!$C516+W$69*SUM($B97:$C97)+MAX(W$73,0)*W$50*(MMULT('GREET2_Factors_T&amp;D'!$B18:$C18+0,T$37:T$38+0))+MAX(W$74,0)*W$50*(MMULT('GREET2_Factors_T&amp;D'!$D18:$E18+0,T$35:T$36+0))</f>
        <v>2.1874894561379059</v>
      </c>
      <c r="X97" s="478"/>
      <c r="Y97" s="578">
        <f t="array" aca="1" ref="Y97" ca="1">Y$60*(Y$50*U$28*GREET1_Import_Export!$K75+GREET1_Import_Export!$F$179*GREET1_Import_Export!$B204+GREET1_Import_Export!$F204)+Y$61*(Y$50*GREET1_Import_Export!$T75+GREET1_Import_Export!$C$179*GREET1_Import_Export!$B204+GREET1_Import_Export!$C204)+Y$62*(Y$50*GREET1_Import_Export!$O75+GREET1_Import_Export!$G$179*GREET1_Import_Export!$B204+GREET1_Import_Export!$G204)+Y$63*(Y$50*U$29*GREET1_Import_Export!$B75+$B266)+Y$64*(Y$50*U$32*GREET1_Import_Export!$AA75+GREET1_Import_Export!$C293)+Y$65*($C266)+Y$67*GREET1_Import_Export!$B516+Y$68*GREET1_Import_Export!$C516+Y$69*SUM($B97:$C97)+MAX(Y$73,0)*Y$50*(MMULT('GREET2_Factors_T&amp;D'!$B18:$C18+0,U$37:U$38+0))+MAX(Y$74,0)*Y$50*(MMULT('GREET2_Factors_T&amp;D'!$D18:$E18+0,U$35:U$36+0))</f>
        <v>3.8989841694269511</v>
      </c>
      <c r="Z97" s="478">
        <f>Z85*Y$50</f>
        <v>0</v>
      </c>
      <c r="AA97" s="578">
        <f t="array" aca="1" ref="AA97" ca="1">AA$60*(AA$50*V$28*GREET1_Import_Export!$K75+GREET1_Import_Export!$F$179*GREET1_Import_Export!$B204+GREET1_Import_Export!$F204)+AA$61*(AA$50*GREET1_Import_Export!$T75+GREET1_Import_Export!$C$179*GREET1_Import_Export!$B204+GREET1_Import_Export!$C204)+AA$62*(AA$50*GREET1_Import_Export!$O75+GREET1_Import_Export!$G$179*GREET1_Import_Export!$B204+GREET1_Import_Export!$G204)+AA$63*(AA$50*V$29*GREET1_Import_Export!$B75+$B266)+AA$64*(AA$50*V$32*GREET1_Import_Export!$AA75+GREET1_Import_Export!$C293)+AA$65*($C266)+AA$67*GREET1_Import_Export!$B516+AA$68*GREET1_Import_Export!$C516+AA$69*SUM($B97:$C97)+MAX(AA$73,0)*AA$50*(MMULT('GREET2_Factors_T&amp;D'!$B18:$C18+0,V$37:V$38+0))+MAX(AA$74,0)*AA$50*(MMULT('GREET2_Factors_T&amp;D'!$D18:$E18+0,V$35:V$36+0))</f>
        <v>2.770644184618499</v>
      </c>
      <c r="AB97" s="478">
        <f>AB85*AA$50</f>
        <v>0</v>
      </c>
      <c r="AC97" s="578">
        <f t="array" aca="1" ref="AC97" ca="1">AC$60*(AC$50*W$28*GREET1_Import_Export!$K75+GREET1_Import_Export!$F$179*GREET1_Import_Export!$B204+GREET1_Import_Export!$F204)+AC$61*(AC$50*GREET1_Import_Export!$T75+GREET1_Import_Export!$C$179*GREET1_Import_Export!$B204+GREET1_Import_Export!$C204)+AC$62*(AC$50*GREET1_Import_Export!$O75+GREET1_Import_Export!$G$179*GREET1_Import_Export!$B204+GREET1_Import_Export!$G204)+AC$63*(AC$50*W$29*GREET1_Import_Export!$B75+$B266)+AC$64*(AC$50*W$32*GREET1_Import_Export!$AA75+GREET1_Import_Export!$C293)+AC$65*($C266)+AC$67*GREET1_Import_Export!$B516+AC$68*GREET1_Import_Export!$C516+AC$69*SUM($B97:$C97)+MAX(AC$73,0)*AC$50*(MMULT('GREET2_Factors_T&amp;D'!$B18:$C18+0,W$37:W$38+0))+MAX(AC$74,0)*AC$50*(MMULT('GREET2_Factors_T&amp;D'!$D18:$E18+0,W$35:W$36+0))</f>
        <v>1.3736912953723162</v>
      </c>
      <c r="AD97" s="478">
        <f>AD85*AC$50</f>
        <v>0</v>
      </c>
      <c r="AE97" s="749">
        <f t="array" ref="AE97">AE$60*(AE$50*H$28*GREET1_Import_Export!$K75+GREET1_Import_Export!$F$179*GREET1_Import_Export!$B204+GREET1_Import_Export!$F204)+AE$61*(AE$50*GREET1_Import_Export!$T75+GREET1_Import_Export!$C$179*GREET1_Import_Export!$B204+GREET1_Import_Export!$C204)+AE$62*(AE$50*GREET1_Import_Export!$O75+GREET1_Import_Export!$H$179*GREET1_Import_Export!$B204+GREET1_Import_Export!$H204)+AE$63*(AE$50*H$29*GREET1_Import_Export!$B75+$B266)+AE$64*(AE$50*H$32*GREET1_Import_Export!$AA75+GREET1_Import_Export!$C293)+AE$65*($C266)+AE$67*GREET1_Import_Export!$B516+AE$68*GREET1_Import_Export!$C516+MAX(AE$73,0)*AE$50*(MMULT('GREET2_Factors_T&amp;D'!$B18:$C18+0,H$37:H$38+0))+MAX(AE$74,0)*AE$50*(MMULT('GREET2_Factors_T&amp;D'!$D18:$E18+0,H$35:H$36+0))</f>
        <v>2.4147830740477607</v>
      </c>
      <c r="AF97" s="1013"/>
      <c r="AG97" s="749">
        <f t="array" ref="AG97">AG$60*(AG$50*I$28*GREET1_Import_Export!$K75+GREET1_Import_Export!$F$179*GREET1_Import_Export!$B204+GREET1_Import_Export!$F204)+AG$61*(AG$50*GREET1_Import_Export!$T75+GREET1_Import_Export!$C$179*GREET1_Import_Export!$B204+GREET1_Import_Export!$C204)+AG$62*(AG$50*GREET1_Import_Export!$O75+GREET1_Import_Export!$H$179*GREET1_Import_Export!$B204+GREET1_Import_Export!$H204)+AG$63*(AG$50*I$29*GREET1_Import_Export!$B75+$B266)+AG$64*(AG$50*I$32*GREET1_Import_Export!$AA75+GREET1_Import_Export!$C293)+AG$65*($C266)+AG$67*GREET1_Import_Export!$B516+AG$68*GREET1_Import_Export!$C516+MAX(AG$73,0)*AG$50*(MMULT('GREET2_Factors_T&amp;D'!$B18:$C18+0,I$37:I$38+0))+MAX(AG$74,0)*AG$50*(MMULT('GREET2_Factors_T&amp;D'!$D18:$E18+0,I$35:I$36+0))</f>
        <v>1.0945407315382112</v>
      </c>
      <c r="AH97" s="1013"/>
      <c r="AI97" s="749">
        <f t="array" ref="AI97">AI$60*(AI$50*J$28*GREET1_Import_Export!$K75+GREET1_Import_Export!$F$179*GREET1_Import_Export!$B204+GREET1_Import_Export!$F204)+AI$61*(AI$50*GREET1_Import_Export!$T75+GREET1_Import_Export!$C$179*GREET1_Import_Export!$B204+GREET1_Import_Export!$C204)+AI$62*(AI$50*GREET1_Import_Export!$O75+GREET1_Import_Export!$H$179*GREET1_Import_Export!$B204+GREET1_Import_Export!$H204)+AI$63*(AI$50*J$29*GREET1_Import_Export!$B75+$B266)+AI$64*(AI$50*UT$32*GREET1_Import_Export!$AA75+GREET1_Import_Export!$C293)+AI$65*($C266)+AI$67*GREET1_Import_Export!$B516+AI$68*GREET1_Import_Export!$C516+MAX(AI$73,0)*AI$50*(MMULT('GREET2_Factors_T&amp;D'!$B18:$C18+0,J$37:J$38+0))+MAX(AI$74,0)*AI$50*(MMULT('GREET2_Factors_T&amp;D'!$D18:$E18+0,J$35:J$36+0))</f>
        <v>1.7716663637205841</v>
      </c>
      <c r="AJ97" s="1013"/>
      <c r="AK97" s="749">
        <f t="array" ref="AK97">AK$60*(AK$50*K$28*GREET1_Import_Export!$K75+GREET1_Import_Export!$F$179*GREET1_Import_Export!$B204+GREET1_Import_Export!$F204)+AK$61*(AK$50*GREET1_Import_Export!$T75+GREET1_Import_Export!$C$179*GREET1_Import_Export!$B204+GREET1_Import_Export!$C204)+AK$62*(AK$50*GREET1_Import_Export!$O75+GREET1_Import_Export!$H$179*GREET1_Import_Export!$B204+GREET1_Import_Export!$H204)+AK$63*(AK$50*K$29*GREET1_Import_Export!$B75+$B266)+AK$64*(AK$50*UV$32*GREET1_Import_Export!$AA75+GREET1_Import_Export!$C293)+AK$65*($C266)+AK$67*GREET1_Import_Export!$B516+AK$68*GREET1_Import_Export!$C516+MAX(AK$73,0)*AK$50*(MMULT('GREET2_Factors_T&amp;D'!$B18:$C18+0,K$37:K$38+0))+MAX(AK$74,0)*AK$50*(MMULT('GREET2_Factors_T&amp;D'!$D18:$E18+0,K$35:K$36+0))+AK$66*$D266</f>
        <v>1.6416364754277</v>
      </c>
      <c r="AL97" s="1013"/>
      <c r="AM97" s="749">
        <f t="array" ref="AM97">AM$60*(AM$50*L$28*GREET1_Import_Export!$K75+GREET1_Import_Export!$F$179*GREET1_Import_Export!$B204+GREET1_Import_Export!$F204)+AM$61*(AM$50*GREET1_Import_Export!$T75+GREET1_Import_Export!$C$179*GREET1_Import_Export!$B204+GREET1_Import_Export!$C204)+AM$62*(AM$50*GREET1_Import_Export!$O75+GREET1_Import_Export!$H$179*GREET1_Import_Export!$B204+GREET1_Import_Export!$H204)+AM$63*(AM$50*L$29*GREET1_Import_Export!$B75+$B266)+AM$64*(AM$50*UX$32*GREET1_Import_Export!$AA75+GREET1_Import_Export!$C293)+AM$65*($C266)+AM$67*GREET1_Import_Export!$B516+AM$68*GREET1_Import_Export!$C516+MAX(AM$73,0)*AM$50*(MMULT('GREET2_Factors_T&amp;D'!$B18:$C18+0,L$37:L$38+0))+MAX(AM$74,0)*AM$50*(MMULT('GREET2_Factors_T&amp;D'!$D18:$E18+0,L$35:L$36+0))</f>
        <v>6.2241795649007692</v>
      </c>
      <c r="AN97" s="1013"/>
      <c r="AO97" s="749">
        <f t="array" ref="AO97">AO$60*(AO$50*M$28*GREET1_Import_Export!$K75+GREET1_Import_Export!$F$179*GREET1_Import_Export!$B204+GREET1_Import_Export!$F204)+AO$61*(AO$50*GREET1_Import_Export!$T75+GREET1_Import_Export!$C$179*GREET1_Import_Export!$B204+GREET1_Import_Export!$C204)+AO$62*(AO$50*GREET1_Import_Export!$O75+GREET1_Import_Export!$H$179*GREET1_Import_Export!$B204+GREET1_Import_Export!$H204)+AO$63*(AO$50*M$29*GREET1_Import_Export!$B75+$B266)+AO$64*(AO$50*UZ$32*GREET1_Import_Export!$AA75+GREET1_Import_Export!$C293)+AO$65*($C266)+AO$67*GREET1_Import_Export!$B516+AO$68*GREET1_Import_Export!$C516+MAX(AO$73,0)*AO$50*(MMULT('GREET2_Factors_T&amp;D'!$B18:$C18+0,M$37:M$38+0))+MAX(AO$74,0)*AO$50*(MMULT('GREET2_Factors_T&amp;D'!$D18:$E18+0,M$35:M$36+0))</f>
        <v>2.5122346253640151</v>
      </c>
      <c r="AP97" s="1013"/>
      <c r="AQ97" s="749">
        <f t="array" ref="AQ97">AQ$60*(AQ$50*N$28*GREET1_Import_Export!$K75+GREET1_Import_Export!$F$179*GREET1_Import_Export!$B204+GREET1_Import_Export!$F204)+AQ$61*(AQ$50*GREET1_Import_Export!$T75+GREET1_Import_Export!$C$179*GREET1_Import_Export!$B204+GREET1_Import_Export!$C204)+AQ$62*(AQ$50*GREET1_Import_Export!$O75+GREET1_Import_Export!$H$179*GREET1_Import_Export!$B204+GREET1_Import_Export!$H204)+AQ$63*(AQ$50*N$29*GREET1_Import_Export!$B75+$B266)+AQ$64*(AQ$50*VB$32*GREET1_Import_Export!$AA75+GREET1_Import_Export!$C293)+AQ$65*($C266)+AQ$67*GREET1_Import_Export!$B516+AQ$68*GREET1_Import_Export!$C516+MAX(AQ$73,0)*AQ$50*(MMULT('GREET2_Factors_T&amp;D'!$B18:$C18+0,N$37:N$38+0))+MAX(AQ$74,0)*AQ$50*(MMULT('GREET2_Factors_T&amp;D'!$D18:$E18+0,N$35:N$36+0))+AQ$66*$D266</f>
        <v>1.6167370628671327</v>
      </c>
      <c r="AR97" s="1013"/>
      <c r="AS97" s="749">
        <f t="array" ref="AS97">AS$60*(AS$50*O$28*GREET1_Import_Export!$K75+GREET1_Import_Export!$F$179*GREET1_Import_Export!$B204+GREET1_Import_Export!$F204)+AS$61*(AS$50*GREET1_Import_Export!$T75+GREET1_Import_Export!$C$179*GREET1_Import_Export!$B204+GREET1_Import_Export!$C204)+AS$62*(AS$50*GREET1_Import_Export!$O75+GREET1_Import_Export!$H$179*GREET1_Import_Export!$B204+GREET1_Import_Export!$H204)+AS$63*(AS$50*O$29*GREET1_Import_Export!$B75+$B266)+AS$64*(AS$50*VD$32*GREET1_Import_Export!$AA75+GREET1_Import_Export!$C293)+AS$65*($C266)+AS$67*GREET1_Import_Export!$B516+AS$68*GREET1_Import_Export!$C516+MAX(AS$73,0)*AS$50*(MMULT('GREET2_Factors_T&amp;D'!$B18:$C18+0,O$37:O$38+0))+MAX(AS$74,0)*AS$50*(MMULT('GREET2_Factors_T&amp;D'!$D18:$E18+0,O$35:O$36+0))</f>
        <v>6.2241795649007692</v>
      </c>
      <c r="AT97" s="1013"/>
    </row>
    <row r="98" spans="1:46">
      <c r="A98" s="160" t="s">
        <v>825</v>
      </c>
      <c r="B98" s="578">
        <f t="array" aca="1" ref="B98" ca="1">B$60*(B$50*B$28*GREET1_Import_Export!$K76+GREET1_Import_Export!$F$179*GREET1_Import_Export!$B205+GREET1_Import_Export!$F205)+B$61*(B$50*(B$40*GREET1_Import_Export!$T76+B$41*GREET1_Import_Export!$B136)+GREET1_Import_Export!$C$179*GREET1_Import_Export!$B205+GREET1_Import_Export!$C205)+B$62*(B$50*(B$42*GREET1_Import_Export!$R76+B$43*GREET1_Import_Export!$B150)+GREET1_Import_Export!$H$179*GREET1_Import_Export!$B205+GREET1_Import_Export!$H205)+B$63*(B$50*(B$29*GREET1_Import_Export!$B76+B$31*GREET1_Import_Export!$B122)+$B267)+B$64*(B$50*B$32*GREET1_Import_Export!$AA76+GREET1_Import_Export!$C294)+B$65*($C267)+B$67*GREET1_Import_Export!$B517+B$68*GREET1_Import_Export!$C517+B$69*SUM($B98:$C98)+MAX(B$73,0)*B$50*(MMULT('GREET2_Factors_T&amp;D'!$B19:$C19+0,B$37:B$38+0))+MAX(B$74,0)*B$50*(MMULT('GREET2_Factors_T&amp;D'!$D19:$E19+0,B$35:B$36+0))+B$50*B$70*B$33*GREET1_Import_Export!$AC76</f>
        <v>0.18960811445556763</v>
      </c>
      <c r="C98" s="478"/>
      <c r="D98" s="578">
        <f t="array" aca="1" ref="D98" ca="1">D$60*(D$50*C$28*GREET1_Import_Export!$K76+GREET1_Import_Export!$F$179*GREET1_Import_Export!$B205+GREET1_Import_Export!$F205)+D$61*(D$50*(C$40*GREET1_Import_Export!$T76+C$41*GREET1_Import_Export!$B136)+GREET1_Import_Export!$C$179*GREET1_Import_Export!$B205+GREET1_Import_Export!$C205)+D$62*(D$50*(C$42*GREET1_Import_Export!$R76+C$43*GREET1_Import_Export!$B150)+GREET1_Import_Export!$H$179*GREET1_Import_Export!$B205+GREET1_Import_Export!$H205)+D$63*(D$50*(C$29*GREET1_Import_Export!$B76+C$31*GREET1_Import_Export!$B122)+$B267)+D$64*(D$50*C$32*GREET1_Import_Export!$AA76+GREET1_Import_Export!$C294)+D$65*($C267)+D$67*GREET1_Import_Export!$B517+D$68*GREET1_Import_Export!$C517+D$69*SUM($B98:$C98)+MAX(D$73,0)*D$50*(MMULT('GREET2_Factors_T&amp;D'!$B19:$C19+0,C$37:C$38+0))+MAX(D$74,0)*D$50*(MMULT('GREET2_Factors_T&amp;D'!$D19:$E19+0,C$35:C$36+0))+D$50*D$70*C$33*GREET1_Import_Export!$AC76</f>
        <v>0.45744241277256126</v>
      </c>
      <c r="E98" s="1553">
        <f t="shared" si="26"/>
        <v>0</v>
      </c>
      <c r="F98" s="478">
        <f>F$70*(GREET1_Import_Export!$B205*GREET1_Import_Export!$I$179+GREET1_Import_Export!$I205)+(F$71+F$72)*(GREET1_Import_Export!$B205*GREET1_Import_Export!$F$179+GREET1_Import_Export!$F205)</f>
        <v>-0.34664726559057202</v>
      </c>
      <c r="G98" s="578">
        <f t="array" aca="1" ref="G98" ca="1">G$60*(G$50*D$28*GREET1_Import_Export!$K76+GREET1_Import_Export!$F$179*GREET1_Import_Export!$B205+GREET1_Import_Export!$F205)+G$61*(G$50*(D$40*GREET1_Import_Export!$T76+D$41*GREET1_Import_Export!$B136)+GREET1_Import_Export!$C$179*GREET1_Import_Export!$B205+GREET1_Import_Export!$C205)+G$62*(G$50*(D$42*GREET1_Import_Export!$R76+D$43*GREET1_Import_Export!$B150)+GREET1_Import_Export!$H$179*GREET1_Import_Export!$B205+GREET1_Import_Export!$H205)+G$63*(G$50*(D$29*GREET1_Import_Export!$B76+D$31*GREET1_Import_Export!$B122)+$B267)+G$64*(G$50*D$32*GREET1_Import_Export!$AA76+GREET1_Import_Export!$C294)+G$65*($C267)+G$67*GREET1_Import_Export!$B517+G$68*GREET1_Import_Export!$C517+G$69*SUM($B98:$C98)+MAX(G$73,0)*G$50*(MMULT('GREET2_Factors_T&amp;D'!$B19:$C19+0,D$37:D$38+0))+MAX(G$74,0)*G$50*(MMULT('GREET2_Factors_T&amp;D'!$D19:$E19+0,D$35:D$36+0))+G$50*G$70*D$33*GREET1_Import_Export!$AC76</f>
        <v>0.34347739135969313</v>
      </c>
      <c r="H98" s="478">
        <f t="shared" si="27"/>
        <v>0</v>
      </c>
      <c r="I98" s="578">
        <f t="array" aca="1" ref="I98" ca="1">I$60*(I$50*E$28*GREET1_Import_Export!$K76+GREET1_Import_Export!$F$179*GREET1_Import_Export!$B205+GREET1_Import_Export!$F205)+I$61*(I$50*(E$40*GREET1_Import_Export!$T76+E$41*GREET1_Import_Export!$B136)+GREET1_Import_Export!$C$179*GREET1_Import_Export!$B205+GREET1_Import_Export!$C205)+I$62*(I$50*(E$42*GREET1_Import_Export!$R76+E$43*GREET1_Import_Export!$B150)+GREET1_Import_Export!$H$179*GREET1_Import_Export!$B205+GREET1_Import_Export!$H205)+I$63*(I$50*(E$29*GREET1_Import_Export!$B76+E$31*GREET1_Import_Export!$B122)+$B267)+I$64*(I$50*E$32*GREET1_Import_Export!$AA76+GREET1_Import_Export!$C294)+I$65*($C267)+I$67*GREET1_Import_Export!$B517+I$68*GREET1_Import_Export!$C517+I$69*SUM($B98:$C98)+MAX(I$73,0)*I$50*(MMULT('GREET2_Factors_T&amp;D'!$B19:$C19+0,E$37:E$38+0))+MAX(I$74,0)*I$50*(MMULT('GREET2_Factors_T&amp;D'!$D19:$E19+0,E$35:E$36+0))+I$50*I$70*E$33*GREET1_Import_Export!$AC76</f>
        <v>0.82531546738385619</v>
      </c>
      <c r="J98" s="478">
        <f t="shared" si="28"/>
        <v>0</v>
      </c>
      <c r="K98" s="578">
        <f t="array" aca="1" ref="K98" ca="1">K$60*(K$50*F$28*GREET1_Import_Export!$K76+GREET1_Import_Export!$F$179*GREET1_Import_Export!$B205+GREET1_Import_Export!$F205)+K$61*(K$50*(F$40*GREET1_Import_Export!$T76+F$41*GREET1_Import_Export!$B136)+GREET1_Import_Export!$C$179*GREET1_Import_Export!$B205+GREET1_Import_Export!$C205)+K$62*(K$50*(F$42*GREET1_Import_Export!$R76+F$43*GREET1_Import_Export!$B150)+GREET1_Import_Export!$H$179*GREET1_Import_Export!$B205+GREET1_Import_Export!$H205)+K$63*(K$50*(F$29*GREET1_Import_Export!$B76+F$31*GREET1_Import_Export!$B122)+$B267)+K$64*(K$50*F$32*GREET1_Import_Export!$AA76+GREET1_Import_Export!$C294)+K$65*($C267)+K$67*GREET1_Import_Export!$B517+K$68*GREET1_Import_Export!$C517+K$69*SUM($B98:$C98)+MAX(K$73,0)*K$50*(MMULT('GREET2_Factors_T&amp;D'!$B19:$C19+0,F$37:F$38+0))+MAX(K$74,0)*K$50*(MMULT('GREET2_Factors_T&amp;D'!$D19:$E19+0,F$35:F$36+0))+K$50*K$70*F$33*GREET1_Import_Export!$AC76</f>
        <v>0.28547177510194199</v>
      </c>
      <c r="L98" s="478">
        <f t="shared" si="29"/>
        <v>0</v>
      </c>
      <c r="M98" s="578">
        <f t="array" aca="1" ref="M98" ca="1">M$60*(M$50*G$28*GREET1_Import_Export!$K76+GREET1_Import_Export!$F$179*GREET1_Import_Export!$B205+GREET1_Import_Export!$F205)+M$61*(M$50*(G$40*GREET1_Import_Export!$T76+G$41*GREET1_Import_Export!$B136)+GREET1_Import_Export!$C$179*GREET1_Import_Export!$B205+GREET1_Import_Export!$C205)+M$62*(M$50*(G$42*GREET1_Import_Export!$R76+G$43*GREET1_Import_Export!$B150)+GREET1_Import_Export!$H$179*GREET1_Import_Export!$B205+GREET1_Import_Export!$H205)+M$63*(M$50*(G$29*GREET1_Import_Export!$B76+G$31*GREET1_Import_Export!$B122)+$B267)+M$64*(M$50*G$32*GREET1_Import_Export!$AA76+GREET1_Import_Export!$C294)+M$65*($C267)+M$67*GREET1_Import_Export!$B517+M$68*GREET1_Import_Export!$C517+M$69*SUM($B98:$C98)+MAX(M$73,0)*M$50*(MMULT('GREET2_Factors_T&amp;D'!$B19:$C19+0,G$37:G$38+0))+MAX(M$74,0)*M$50*(MMULT('GREET2_Factors_T&amp;D'!$D19:$E19+0,G$35:G$36+0))+M$50*M$70*G$33*GREET1_Import_Export!$AC76</f>
        <v>0.15576839197812015</v>
      </c>
      <c r="N98" s="478"/>
      <c r="O98" s="578">
        <f t="array" aca="1" ref="O98" ca="1">O$60*(O$50*P$28*GREET1_Import_Export!$K76+GREET1_Import_Export!$F$179*GREET1_Import_Export!$B205+GREET1_Import_Export!$F205)+O$61*(O$50*GREET1_Import_Export!$T76+GREET1_Import_Export!$C$179*GREET1_Import_Export!$B205+GREET1_Import_Export!$C205)+O$62*(O$50*GREET1_Import_Export!$O76+GREET1_Import_Export!$G$179*GREET1_Import_Export!$B205+GREET1_Import_Export!$G205)+O$63*(O$50*P$29*GREET1_Import_Export!$B76+$B267)+O$64*(O$50*P$32*GREET1_Import_Export!$AA76+GREET1_Import_Export!$C294)+O$65*($C267)+O$67*GREET1_Import_Export!$B517+O$68*GREET1_Import_Export!$C517+O$69*SUM($B98:$C98)+MAX(O$73,0)*O$50*(MMULT('GREET2_Factors_T&amp;D'!$B19:$C19+0,P$37:P$38+0))+MAX(O$74,0)*O$50*(MMULT('GREET2_Factors_T&amp;D'!$D19:$E19+0,P$35:P$36+0))</f>
        <v>1.5840659293700525</v>
      </c>
      <c r="P98" s="478"/>
      <c r="Q98" s="578">
        <f t="array" aca="1" ref="Q98" ca="1">Q$60*(Q$50*Q$28*GREET1_Import_Export!$K76+GREET1_Import_Export!$F$179*GREET1_Import_Export!$B205+GREET1_Import_Export!$F205)+Q$61*(Q$50*GREET1_Import_Export!$T76+GREET1_Import_Export!$C$179*GREET1_Import_Export!$B205+GREET1_Import_Export!$C205)+Q$62*(Q$50*GREET1_Import_Export!$O76+GREET1_Import_Export!$G$179*GREET1_Import_Export!$B205+GREET1_Import_Export!$G205)+Q$63*(Q$50*Q$29*GREET1_Import_Export!$B76+$B267)+Q$64*(Q$50*Q$32*GREET1_Import_Export!$AA76+GREET1_Import_Export!$C294)+Q$65*($C267)+Q$67*GREET1_Import_Export!$B517+Q$68*GREET1_Import_Export!$C517+Q$69*SUM($B98:$C98)+MAX(Q$73,0)*Q$50*(MMULT('GREET2_Factors_T&amp;D'!$B19:$C19+0,Q$37:Q$38+0))+MAX(Q$74,0)*Q$50*(MMULT('GREET2_Factors_T&amp;D'!$D19:$E19+0,Q$35:Q$36+0))</f>
        <v>9.3502576955008576E-2</v>
      </c>
      <c r="R98" s="478"/>
      <c r="S98" s="578">
        <f t="array" aca="1" ref="S98" ca="1">S$60*(S$50*R$28*GREET1_Import_Export!$K76+GREET1_Import_Export!$F$179*GREET1_Import_Export!$B205+GREET1_Import_Export!$F205)+S$61*(S$50*GREET1_Import_Export!$T76+GREET1_Import_Export!$C$179*GREET1_Import_Export!$B205+GREET1_Import_Export!$C205)+S$62*(S$50*GREET1_Import_Export!$O76+GREET1_Import_Export!$G$179*GREET1_Import_Export!$B205+GREET1_Import_Export!$G205)+S$63*(S$50*R$29*GREET1_Import_Export!$B76+$B267)+S$64*(S$50*R$32*GREET1_Import_Export!$AA76+GREET1_Import_Export!$C294)+S$65*($C267)+S$67*GREET1_Import_Export!$B517+S$68*GREET1_Import_Export!$C517+S$69*SUM($B98:$C98)+MAX(S$73,0)*S$50*(MMULT('GREET2_Factors_T&amp;D'!$B19:$C19+0,R$37:R$38+0))+MAX(S$74,0)*S$50*(MMULT('GREET2_Factors_T&amp;D'!$D19:$E19+0,R$35:R$36+0))</f>
        <v>3.1314415664908255</v>
      </c>
      <c r="T98" s="478"/>
      <c r="U98" s="578">
        <f t="array" aca="1" ref="U98" ca="1">U$60*(U$50*S$28*GREET1_Import_Export!$K76+GREET1_Import_Export!$F$179*GREET1_Import_Export!$B205+GREET1_Import_Export!$F205)+U$61*(U$50*GREET1_Import_Export!$T76+GREET1_Import_Export!$C$179*GREET1_Import_Export!$B205+GREET1_Import_Export!$C205)+U$62*(U$50*GREET1_Import_Export!$O76+GREET1_Import_Export!$G$179*GREET1_Import_Export!$B205+GREET1_Import_Export!$G205)+U$63*(U$50*S$29*GREET1_Import_Export!$B76+$B267)+U$64*(U$50*S$32*GREET1_Import_Export!$AA76+GREET1_Import_Export!$C294)+U$65*($C267)+U$67*GREET1_Import_Export!$B517+U$68*GREET1_Import_Export!$C517+U$69*SUM($B98:$C98)+MAX(U$73,0)*U$50*(MMULT('GREET2_Factors_T&amp;D'!$B19:$C19+0,S$37:S$38+0))+MAX(U$74,0)*U$50*(MMULT('GREET2_Factors_T&amp;D'!$D19:$E19+0,S$35:S$36+0))</f>
        <v>1.5562139422870687</v>
      </c>
      <c r="V98" s="478"/>
      <c r="W98" s="578">
        <f t="array" aca="1" ref="W98" ca="1">W$60*(W$50*T$28*GREET1_Import_Export!$K76+GREET1_Import_Export!$F$179*GREET1_Import_Export!$B205+GREET1_Import_Export!$F205)+W$61*(W$50*GREET1_Import_Export!$T76+GREET1_Import_Export!$C$179*GREET1_Import_Export!$B205+GREET1_Import_Export!$C205)+W$62*(W$50*GREET1_Import_Export!$O76+GREET1_Import_Export!$G$179*GREET1_Import_Export!$B205+GREET1_Import_Export!$G205)+W$63*(W$50*T$29*GREET1_Import_Export!$B76+$B267)+W$64*(W$50*T$32*GREET1_Import_Export!$AA76+GREET1_Import_Export!$C294)+W$65*($C267)+W$67*GREET1_Import_Export!$B517+W$68*GREET1_Import_Export!$C517+W$69*SUM($B98:$C98)+MAX(W$73,0)*W$50*(MMULT('GREET2_Factors_T&amp;D'!$B19:$C19+0,T$37:T$38+0))+MAX(W$74,0)*W$50*(MMULT('GREET2_Factors_T&amp;D'!$D19:$E19+0,T$35:T$36+0))</f>
        <v>1.9235252004259455</v>
      </c>
      <c r="X98" s="478"/>
      <c r="Y98" s="578">
        <f t="array" aca="1" ref="Y98" ca="1">Y$60*(Y$50*U$28*GREET1_Import_Export!$K76+GREET1_Import_Export!$F$179*GREET1_Import_Export!$B205+GREET1_Import_Export!$F205)+Y$61*(Y$50*GREET1_Import_Export!$T76+GREET1_Import_Export!$C$179*GREET1_Import_Export!$B205+GREET1_Import_Export!$C205)+Y$62*(Y$50*GREET1_Import_Export!$O76+GREET1_Import_Export!$G$179*GREET1_Import_Export!$B205+GREET1_Import_Export!$G205)+Y$63*(Y$50*U$29*GREET1_Import_Export!$B76+$B267)+Y$64*(Y$50*U$32*GREET1_Import_Export!$AA76+GREET1_Import_Export!$C294)+Y$65*($C267)+Y$67*GREET1_Import_Export!$B517+Y$68*GREET1_Import_Export!$C517+Y$69*SUM($B98:$C98)+MAX(Y$73,0)*Y$50*(MMULT('GREET2_Factors_T&amp;D'!$B19:$C19+0,U$37:U$38+0))+MAX(Y$74,0)*Y$50*(MMULT('GREET2_Factors_T&amp;D'!$D19:$E19+0,U$35:U$36+0))</f>
        <v>3.4287979839056346</v>
      </c>
      <c r="Z98" s="478">
        <f>Z87*Y$50</f>
        <v>0</v>
      </c>
      <c r="AA98" s="578">
        <f t="array" aca="1" ref="AA98" ca="1">AA$60*(AA$50*V$28*GREET1_Import_Export!$K76+GREET1_Import_Export!$F$179*GREET1_Import_Export!$B205+GREET1_Import_Export!$F205)+AA$61*(AA$50*GREET1_Import_Export!$T76+GREET1_Import_Export!$C$179*GREET1_Import_Export!$B205+GREET1_Import_Export!$C205)+AA$62*(AA$50*GREET1_Import_Export!$O76+GREET1_Import_Export!$G$179*GREET1_Import_Export!$B205+GREET1_Import_Export!$G205)+AA$63*(AA$50*V$29*GREET1_Import_Export!$B76+$B267)+AA$64*(AA$50*V$32*GREET1_Import_Export!$AA76+GREET1_Import_Export!$C294)+AA$65*($C267)+AA$67*GREET1_Import_Export!$B517+AA$68*GREET1_Import_Export!$C517+AA$69*SUM($B98:$C98)+MAX(AA$73,0)*AA$50*(MMULT('GREET2_Factors_T&amp;D'!$B19:$C19+0,V$37:V$38+0))+MAX(AA$74,0)*AA$50*(MMULT('GREET2_Factors_T&amp;D'!$D19:$E19+0,V$35:V$36+0))</f>
        <v>2.4377077848934388</v>
      </c>
      <c r="AB98" s="478">
        <f>AB87*AA$50</f>
        <v>0</v>
      </c>
      <c r="AC98" s="578">
        <f t="array" aca="1" ref="AC98" ca="1">AC$60*(AC$50*W$28*GREET1_Import_Export!$K76+GREET1_Import_Export!$F$179*GREET1_Import_Export!$B205+GREET1_Import_Export!$F205)+AC$61*(AC$50*GREET1_Import_Export!$T76+GREET1_Import_Export!$C$179*GREET1_Import_Export!$B205+GREET1_Import_Export!$C205)+AC$62*(AC$50*GREET1_Import_Export!$O76+GREET1_Import_Export!$G$179*GREET1_Import_Export!$B205+GREET1_Import_Export!$G205)+AC$63*(AC$50*W$29*GREET1_Import_Export!$B76+$B267)+AC$64*(AC$50*W$32*GREET1_Import_Export!$AA76+GREET1_Import_Export!$C294)+AC$65*($C267)+AC$67*GREET1_Import_Export!$B517+AC$68*GREET1_Import_Export!$C517+AC$69*SUM($B98:$C98)+MAX(AC$73,0)*AC$50*(MMULT('GREET2_Factors_T&amp;D'!$B19:$C19+0,W$37:W$38+0))+MAX(AC$74,0)*AC$50*(MMULT('GREET2_Factors_T&amp;D'!$D19:$E19+0,W$35:W$36+0))</f>
        <v>1.2079280276484363</v>
      </c>
      <c r="AD98" s="478">
        <f>AD87*AC$50</f>
        <v>0</v>
      </c>
      <c r="AE98" s="749">
        <f t="array" ref="AE98">AE$60*(AE$50*H$28*GREET1_Import_Export!$K76+GREET1_Import_Export!$F$179*GREET1_Import_Export!$B205+GREET1_Import_Export!$F205)+AE$61*(AE$50*GREET1_Import_Export!$T76+GREET1_Import_Export!$C$179*GREET1_Import_Export!$B205+GREET1_Import_Export!$C205)+AE$62*(AE$50*GREET1_Import_Export!$O76+GREET1_Import_Export!$H$179*GREET1_Import_Export!$B205+GREET1_Import_Export!$H205)+AE$63*(AE$50*H$29*GREET1_Import_Export!$B76+$B267)+AE$64*(AE$50*H$32*GREET1_Import_Export!$AA76+GREET1_Import_Export!$C294)+AE$65*($C267)+AE$67*GREET1_Import_Export!$B517+AE$68*GREET1_Import_Export!$C517+MAX(AE$73,0)*AE$50*(MMULT('GREET2_Factors_T&amp;D'!$B19:$C19+0,H$37:H$38+0))+MAX(AE$74,0)*AE$50*(MMULT('GREET2_Factors_T&amp;D'!$D19:$E19+0,H$35:H$36+0))</f>
        <v>2.1133559137306746</v>
      </c>
      <c r="AF98" s="1013"/>
      <c r="AG98" s="749">
        <f t="array" ref="AG98">AG$60*(AG$50*I$28*GREET1_Import_Export!$K76+GREET1_Import_Export!$F$179*GREET1_Import_Export!$B205+GREET1_Import_Export!$F205)+AG$61*(AG$50*GREET1_Import_Export!$T76+GREET1_Import_Export!$C$179*GREET1_Import_Export!$B205+GREET1_Import_Export!$C205)+AG$62*(AG$50*GREET1_Import_Export!$O76+GREET1_Import_Export!$H$179*GREET1_Import_Export!$B205+GREET1_Import_Export!$H205)+AG$63*(AG$50*I$29*GREET1_Import_Export!$B76+$B267)+AG$64*(AG$50*I$32*GREET1_Import_Export!$AA76+GREET1_Import_Export!$C294)+AG$65*($C267)+AG$67*GREET1_Import_Export!$B517+AG$68*GREET1_Import_Export!$C517+MAX(AG$73,0)*AG$50*(MMULT('GREET2_Factors_T&amp;D'!$B19:$C19+0,I$37:I$38+0))+MAX(AG$74,0)*AG$50*(MMULT('GREET2_Factors_T&amp;D'!$D19:$E19+0,I$35:I$36+0))</f>
        <v>0.96384425978670984</v>
      </c>
      <c r="AH98" s="1013"/>
      <c r="AI98" s="749">
        <f t="array" ref="AI98">AI$60*(AI$50*J$28*GREET1_Import_Export!$K76+GREET1_Import_Export!$F$179*GREET1_Import_Export!$B205+GREET1_Import_Export!$F205)+AI$61*(AI$50*GREET1_Import_Export!$T76+GREET1_Import_Export!$C$179*GREET1_Import_Export!$B205+GREET1_Import_Export!$C205)+AI$62*(AI$50*GREET1_Import_Export!$O76+GREET1_Import_Export!$H$179*GREET1_Import_Export!$B205+GREET1_Import_Export!$H205)+AI$63*(AI$50*J$29*GREET1_Import_Export!$B76+$B267)+AI$64*(AI$50*UT$32*GREET1_Import_Export!$AA76+GREET1_Import_Export!$C294)+AI$65*($C267)+AI$67*GREET1_Import_Export!$B517+AI$68*GREET1_Import_Export!$C517+MAX(AI$73,0)*AI$50*(MMULT('GREET2_Factors_T&amp;D'!$B19:$C19+0,J$37:J$38+0))+MAX(AI$74,0)*AI$50*(MMULT('GREET2_Factors_T&amp;D'!$D19:$E19+0,J$35:J$36+0))</f>
        <v>1.5647476889078153</v>
      </c>
      <c r="AJ98" s="1013"/>
      <c r="AK98" s="749">
        <f t="array" ref="AK98">AK$60*(AK$50*K$28*GREET1_Import_Export!$K76+GREET1_Import_Export!$F$179*GREET1_Import_Export!$B205+GREET1_Import_Export!$F205)+AK$61*(AK$50*GREET1_Import_Export!$T76+GREET1_Import_Export!$C$179*GREET1_Import_Export!$B205+GREET1_Import_Export!$C205)+AK$62*(AK$50*GREET1_Import_Export!$O76+GREET1_Import_Export!$H$179*GREET1_Import_Export!$B205+GREET1_Import_Export!$H205)+AK$63*(AK$50*K$29*GREET1_Import_Export!$B76+$B267)+AK$64*(AK$50*UV$32*GREET1_Import_Export!$AA76+GREET1_Import_Export!$C294)+AK$65*($C267)+AK$67*GREET1_Import_Export!$B517+AK$68*GREET1_Import_Export!$C517+MAX(AK$73,0)*AK$50*(MMULT('GREET2_Factors_T&amp;D'!$B19:$C19+0,K$37:K$38+0))+MAX(AK$74,0)*AK$50*(MMULT('GREET2_Factors_T&amp;D'!$D19:$E19+0,K$35:K$36+0))+AK$66*$D267</f>
        <v>1.4446440995505487</v>
      </c>
      <c r="AL98" s="1013"/>
      <c r="AM98" s="749">
        <f t="array" ref="AM98">AM$60*(AM$50*L$28*GREET1_Import_Export!$K76+GREET1_Import_Export!$F$179*GREET1_Import_Export!$B205+GREET1_Import_Export!$F205)+AM$61*(AM$50*GREET1_Import_Export!$T76+GREET1_Import_Export!$C$179*GREET1_Import_Export!$B205+GREET1_Import_Export!$C205)+AM$62*(AM$50*GREET1_Import_Export!$O76+GREET1_Import_Export!$H$179*GREET1_Import_Export!$B205+GREET1_Import_Export!$H205)+AM$63*(AM$50*L$29*GREET1_Import_Export!$B76+$B267)+AM$64*(AM$50*UX$32*GREET1_Import_Export!$AA76+GREET1_Import_Export!$C294)+AM$65*($C267)+AM$67*GREET1_Import_Export!$B517+AM$68*GREET1_Import_Export!$C517+MAX(AM$73,0)*AM$50*(MMULT('GREET2_Factors_T&amp;D'!$B19:$C19+0,L$37:L$38+0))+MAX(AM$74,0)*AM$50*(MMULT('GREET2_Factors_T&amp;D'!$D19:$E19+0,L$35:L$36+0))</f>
        <v>5.4731695019258471</v>
      </c>
      <c r="AN98" s="1013"/>
      <c r="AO98" s="749">
        <f t="array" ref="AO98">AO$60*(AO$50*M$28*GREET1_Import_Export!$K76+GREET1_Import_Export!$F$179*GREET1_Import_Export!$B205+GREET1_Import_Export!$F205)+AO$61*(AO$50*GREET1_Import_Export!$T76+GREET1_Import_Export!$C$179*GREET1_Import_Export!$B205+GREET1_Import_Export!$C205)+AO$62*(AO$50*GREET1_Import_Export!$O76+GREET1_Import_Export!$H$179*GREET1_Import_Export!$B205+GREET1_Import_Export!$H205)+AO$63*(AO$50*M$29*GREET1_Import_Export!$B76+$B267)+AO$64*(AO$50*UZ$32*GREET1_Import_Export!$AA76+GREET1_Import_Export!$C294)+AO$65*($C267)+AO$67*GREET1_Import_Export!$B517+AO$68*GREET1_Import_Export!$C517+MAX(AO$73,0)*AO$50*(MMULT('GREET2_Factors_T&amp;D'!$B19:$C19+0,M$37:M$38+0))+MAX(AO$74,0)*AO$50*(MMULT('GREET2_Factors_T&amp;D'!$D19:$E19+0,M$35:M$36+0))</f>
        <v>2.1986429999662147</v>
      </c>
      <c r="AP98" s="1013"/>
      <c r="AQ98" s="749">
        <f t="array" ref="AQ98">AQ$60*(AQ$50*N$28*GREET1_Import_Export!$K76+GREET1_Import_Export!$F$179*GREET1_Import_Export!$B205+GREET1_Import_Export!$F205)+AQ$61*(AQ$50*GREET1_Import_Export!$T76+GREET1_Import_Export!$C$179*GREET1_Import_Export!$B205+GREET1_Import_Export!$C205)+AQ$62*(AQ$50*GREET1_Import_Export!$O76+GREET1_Import_Export!$H$179*GREET1_Import_Export!$B205+GREET1_Import_Export!$H205)+AQ$63*(AQ$50*N$29*GREET1_Import_Export!$B76+$B267)+AQ$64*(AQ$50*VB$32*GREET1_Import_Export!$AA76+GREET1_Import_Export!$C294)+AQ$65*($C267)+AQ$67*GREET1_Import_Export!$B517+AQ$68*GREET1_Import_Export!$C517+MAX(AQ$73,0)*AQ$50*(MMULT('GREET2_Factors_T&amp;D'!$B19:$C19+0,N$37:N$38+0))+MAX(AQ$74,0)*AQ$50*(MMULT('GREET2_Factors_T&amp;D'!$D19:$E19+0,N$35:N$36+0))+AQ$66*$D267</f>
        <v>1.4216454731526271</v>
      </c>
      <c r="AR98" s="1013"/>
      <c r="AS98" s="749">
        <f t="array" ref="AS98">AS$60*(AS$50*O$28*GREET1_Import_Export!$K76+GREET1_Import_Export!$F$179*GREET1_Import_Export!$B205+GREET1_Import_Export!$F205)+AS$61*(AS$50*GREET1_Import_Export!$T76+GREET1_Import_Export!$C$179*GREET1_Import_Export!$B205+GREET1_Import_Export!$C205)+AS$62*(AS$50*GREET1_Import_Export!$O76+GREET1_Import_Export!$H$179*GREET1_Import_Export!$B205+GREET1_Import_Export!$H205)+AS$63*(AS$50*O$29*GREET1_Import_Export!$B76+$B267)+AS$64*(AS$50*VD$32*GREET1_Import_Export!$AA76+GREET1_Import_Export!$C294)+AS$65*($C267)+AS$67*GREET1_Import_Export!$B517+AS$68*GREET1_Import_Export!$C517+MAX(AS$73,0)*AS$50*(MMULT('GREET2_Factors_T&amp;D'!$B19:$C19+0,O$37:O$38+0))+MAX(AS$74,0)*AS$50*(MMULT('GREET2_Factors_T&amp;D'!$D19:$E19+0,O$35:O$36+0))</f>
        <v>5.4731695019258471</v>
      </c>
      <c r="AT98" s="1013"/>
    </row>
    <row r="99" spans="1:46">
      <c r="A99" s="160" t="s">
        <v>826</v>
      </c>
      <c r="B99" s="578">
        <f t="array" aca="1" ref="B99" ca="1">B$60*(B$50*B$28*GREET1_Import_Export!$K77+GREET1_Import_Export!$F$179*GREET1_Import_Export!$B206+GREET1_Import_Export!$F206)+B$61*(B$50*(B$40*GREET1_Import_Export!$T77+B$41*GREET1_Import_Export!$B137)+GREET1_Import_Export!$C$179*GREET1_Import_Export!$B206+GREET1_Import_Export!$C206)+B$62*(B$50*(B$42*GREET1_Import_Export!$R77+B$43*GREET1_Import_Export!$B151)+GREET1_Import_Export!$H$179*GREET1_Import_Export!$B206+GREET1_Import_Export!$H206)+B$63*(B$50*(B$29*GREET1_Import_Export!$B77+B$31*GREET1_Import_Export!$B123)+$B268)+B$64*(B$50*B$32*GREET1_Import_Export!$AA77+GREET1_Import_Export!$C295)+B$65*($C268)+B$67*GREET1_Import_Export!$B518+B$68*GREET1_Import_Export!$C518+B$69*SUM($B99:$C99)+MAX(B$73,0)*B$50*(MMULT('GREET2_Factors_T&amp;D'!$B20:$C20+0,B$37:B$38+0))+MAX(B$74,0)*B$50*(MMULT('GREET2_Factors_T&amp;D'!$D20:$E20+0,B$35:B$36+0))+B$50*B$70*B$33*GREET1_Import_Export!$AC77</f>
        <v>1.5183250858250796</v>
      </c>
      <c r="C99" s="478"/>
      <c r="D99" s="578">
        <f t="array" aca="1" ref="D99" ca="1">D$60*(D$50*C$28*GREET1_Import_Export!$K77+GREET1_Import_Export!$F$179*GREET1_Import_Export!$B206+GREET1_Import_Export!$F206)+D$61*(D$50*(C$40*GREET1_Import_Export!$T77+C$41*GREET1_Import_Export!$B137)+GREET1_Import_Export!$C$179*GREET1_Import_Export!$B206+GREET1_Import_Export!$C206)+D$62*(D$50*(C$42*GREET1_Import_Export!$R77+C$43*GREET1_Import_Export!$B151)+GREET1_Import_Export!$H$179*GREET1_Import_Export!$B206+GREET1_Import_Export!$H206)+D$63*(D$50*(C$29*GREET1_Import_Export!$B77+C$31*GREET1_Import_Export!$B123)+$B268)+D$64*(D$50*C$32*GREET1_Import_Export!$AA77+GREET1_Import_Export!$C295)+D$65*($C268)+D$67*GREET1_Import_Export!$B518+D$68*GREET1_Import_Export!$C518+D$69*SUM($B99:$C99)+MAX(D$73,0)*D$50*(MMULT('GREET2_Factors_T&amp;D'!$B20:$C20+0,C$37:C$38+0))+MAX(D$74,0)*D$50*(MMULT('GREET2_Factors_T&amp;D'!$D20:$E20+0,C$35:C$36+0))+D$50*D$70*C$33*GREET1_Import_Export!$AC77</f>
        <v>2.6665558725663727</v>
      </c>
      <c r="E99" s="1553">
        <f t="shared" si="26"/>
        <v>0</v>
      </c>
      <c r="F99" s="478">
        <f>F$70*(GREET1_Import_Export!$B206*GREET1_Import_Export!$I$179+GREET1_Import_Export!$I206)+(F$71+F$72)*(GREET1_Import_Export!$B206*GREET1_Import_Export!$F$179+GREET1_Import_Export!$F206)</f>
        <v>-0.88653677833017019</v>
      </c>
      <c r="G99" s="578">
        <f t="array" aca="1" ref="G99" ca="1">G$60*(G$50*D$28*GREET1_Import_Export!$K77+GREET1_Import_Export!$F$179*GREET1_Import_Export!$B206+GREET1_Import_Export!$F206)+G$61*(G$50*(D$40*GREET1_Import_Export!$T77+D$41*GREET1_Import_Export!$B137)+GREET1_Import_Export!$C$179*GREET1_Import_Export!$B206+GREET1_Import_Export!$C206)+G$62*(G$50*(D$42*GREET1_Import_Export!$R77+D$43*GREET1_Import_Export!$B151)+GREET1_Import_Export!$H$179*GREET1_Import_Export!$B206+GREET1_Import_Export!$H206)+G$63*(G$50*(D$29*GREET1_Import_Export!$B77+D$31*GREET1_Import_Export!$B123)+$B268)+G$64*(G$50*D$32*GREET1_Import_Export!$AA77+GREET1_Import_Export!$C295)+G$65*($C268)+G$67*GREET1_Import_Export!$B518+G$68*GREET1_Import_Export!$C518+G$69*SUM($B99:$C99)+MAX(G$73,0)*G$50*(MMULT('GREET2_Factors_T&amp;D'!$B20:$C20+0,D$37:D$38+0))+MAX(G$74,0)*G$50*(MMULT('GREET2_Factors_T&amp;D'!$D20:$E20+0,D$35:D$36+0))+G$50*G$70*D$33*GREET1_Import_Export!$AC77</f>
        <v>2.9045303803221847</v>
      </c>
      <c r="H99" s="478">
        <f t="shared" si="27"/>
        <v>0</v>
      </c>
      <c r="I99" s="578">
        <f t="array" aca="1" ref="I99" ca="1">I$60*(I$50*E$28*GREET1_Import_Export!$K77+GREET1_Import_Export!$F$179*GREET1_Import_Export!$B206+GREET1_Import_Export!$F206)+I$61*(I$50*(E$40*GREET1_Import_Export!$T77+E$41*GREET1_Import_Export!$B137)+GREET1_Import_Export!$C$179*GREET1_Import_Export!$B206+GREET1_Import_Export!$C206)+I$62*(I$50*(E$42*GREET1_Import_Export!$R77+E$43*GREET1_Import_Export!$B151)+GREET1_Import_Export!$H$179*GREET1_Import_Export!$B206+GREET1_Import_Export!$H206)+I$63*(I$50*(E$29*GREET1_Import_Export!$B77+E$31*GREET1_Import_Export!$B123)+$B268)+I$64*(I$50*E$32*GREET1_Import_Export!$AA77+GREET1_Import_Export!$C295)+I$65*($C268)+I$67*GREET1_Import_Export!$B518+I$68*GREET1_Import_Export!$C518+I$69*SUM($B99:$C99)+MAX(I$73,0)*I$50*(MMULT('GREET2_Factors_T&amp;D'!$B20:$C20+0,E$37:E$38+0))+MAX(I$74,0)*I$50*(MMULT('GREET2_Factors_T&amp;D'!$D20:$E20+0,E$35:E$36+0))+I$50*I$70*E$33*GREET1_Import_Export!$AC77</f>
        <v>6.511547940967759</v>
      </c>
      <c r="J99" s="478">
        <f t="shared" si="28"/>
        <v>0</v>
      </c>
      <c r="K99" s="578">
        <f t="array" aca="1" ref="K99" ca="1">K$60*(K$50*F$28*GREET1_Import_Export!$K77+GREET1_Import_Export!$F$179*GREET1_Import_Export!$B206+GREET1_Import_Export!$F206)+K$61*(K$50*(F$40*GREET1_Import_Export!$T77+F$41*GREET1_Import_Export!$B137)+GREET1_Import_Export!$C$179*GREET1_Import_Export!$B206+GREET1_Import_Export!$C206)+K$62*(K$50*(F$42*GREET1_Import_Export!$R77+F$43*GREET1_Import_Export!$B151)+GREET1_Import_Export!$H$179*GREET1_Import_Export!$B206+GREET1_Import_Export!$H206)+K$63*(K$50*(F$29*GREET1_Import_Export!$B77+F$31*GREET1_Import_Export!$B123)+$B268)+K$64*(K$50*F$32*GREET1_Import_Export!$AA77+GREET1_Import_Export!$C295)+K$65*($C268)+K$67*GREET1_Import_Export!$B518+K$68*GREET1_Import_Export!$C518+K$69*SUM($B99:$C99)+MAX(K$73,0)*K$50*(MMULT('GREET2_Factors_T&amp;D'!$B20:$C20+0,F$37:F$38+0))+MAX(K$74,0)*K$50*(MMULT('GREET2_Factors_T&amp;D'!$D20:$E20+0,F$35:F$36+0))+K$50*K$70*F$33*GREET1_Import_Export!$AC77</f>
        <v>2.3849669058364933</v>
      </c>
      <c r="L99" s="478">
        <f t="shared" si="29"/>
        <v>0</v>
      </c>
      <c r="M99" s="578">
        <f t="array" aca="1" ref="M99" ca="1">M$60*(M$50*G$28*GREET1_Import_Export!$K77+GREET1_Import_Export!$F$179*GREET1_Import_Export!$B206+GREET1_Import_Export!$F206)+M$61*(M$50*(G$40*GREET1_Import_Export!$T77+G$41*GREET1_Import_Export!$B137)+GREET1_Import_Export!$C$179*GREET1_Import_Export!$B206+GREET1_Import_Export!$C206)+M$62*(M$50*(G$42*GREET1_Import_Export!$R77+G$43*GREET1_Import_Export!$B151)+GREET1_Import_Export!$H$179*GREET1_Import_Export!$B206+GREET1_Import_Export!$H206)+M$63*(M$50*(G$29*GREET1_Import_Export!$B77+G$31*GREET1_Import_Export!$B123)+$B268)+M$64*(M$50*G$32*GREET1_Import_Export!$AA77+GREET1_Import_Export!$C295)+M$65*($C268)+M$67*GREET1_Import_Export!$B518+M$68*GREET1_Import_Export!$C518+M$69*SUM($B99:$C99)+MAX(M$73,0)*M$50*(MMULT('GREET2_Factors_T&amp;D'!$B20:$C20+0,G$37:G$38+0))+MAX(M$74,0)*M$50*(MMULT('GREET2_Factors_T&amp;D'!$D20:$E20+0,G$35:G$36+0))+M$50*M$70*G$33*GREET1_Import_Export!$AC77</f>
        <v>1.3206776040941972</v>
      </c>
      <c r="N99" s="478"/>
      <c r="O99" s="578">
        <f t="array" aca="1" ref="O99" ca="1">O$60*(O$50*P$28*GREET1_Import_Export!$K77+GREET1_Import_Export!$F$179*GREET1_Import_Export!$B206+GREET1_Import_Export!$F206)+O$61*(O$50*GREET1_Import_Export!$T77+GREET1_Import_Export!$C$179*GREET1_Import_Export!$B206+GREET1_Import_Export!$C206)+O$62*(O$50*GREET1_Import_Export!$O77+GREET1_Import_Export!$G$179*GREET1_Import_Export!$B206+GREET1_Import_Export!$G206)+O$63*(O$50*P$29*GREET1_Import_Export!$B77+$B268)+O$64*(O$50*P$32*GREET1_Import_Export!$AA77+GREET1_Import_Export!$C295)+O$65*($C268)+O$67*GREET1_Import_Export!$B518+O$68*GREET1_Import_Export!$C518+O$69*SUM($B99:$C99)+MAX(O$73,0)*O$50*(MMULT('GREET2_Factors_T&amp;D'!$B20:$C20+0,P$37:P$38+0))+MAX(O$74,0)*O$50*(MMULT('GREET2_Factors_T&amp;D'!$D20:$E20+0,P$35:P$36+0))</f>
        <v>13.427018085093479</v>
      </c>
      <c r="P99" s="478"/>
      <c r="Q99" s="578">
        <f t="array" aca="1" ref="Q99" ca="1">Q$60*(Q$50*Q$28*GREET1_Import_Export!$K77+GREET1_Import_Export!$F$179*GREET1_Import_Export!$B206+GREET1_Import_Export!$F206)+Q$61*(Q$50*GREET1_Import_Export!$T77+GREET1_Import_Export!$C$179*GREET1_Import_Export!$B206+GREET1_Import_Export!$C206)+Q$62*(Q$50*GREET1_Import_Export!$O77+GREET1_Import_Export!$G$179*GREET1_Import_Export!$B206+GREET1_Import_Export!$G206)+Q$63*(Q$50*Q$29*GREET1_Import_Export!$B77+$B268)+Q$64*(Q$50*Q$32*GREET1_Import_Export!$AA77+GREET1_Import_Export!$C295)+Q$65*($C268)+Q$67*GREET1_Import_Export!$B518+Q$68*GREET1_Import_Export!$C518+Q$69*SUM($B99:$C99)+MAX(Q$73,0)*Q$50*(MMULT('GREET2_Factors_T&amp;D'!$B20:$C20+0,Q$37:Q$38+0))+MAX(Q$74,0)*Q$50*(MMULT('GREET2_Factors_T&amp;D'!$D20:$E20+0,Q$35:Q$36+0))</f>
        <v>0.79133597707398773</v>
      </c>
      <c r="R99" s="478"/>
      <c r="S99" s="578">
        <f t="array" aca="1" ref="S99" ca="1">S$60*(S$50*R$28*GREET1_Import_Export!$K77+GREET1_Import_Export!$F$179*GREET1_Import_Export!$B206+GREET1_Import_Export!$F206)+S$61*(S$50*GREET1_Import_Export!$T77+GREET1_Import_Export!$C$179*GREET1_Import_Export!$B206+GREET1_Import_Export!$C206)+S$62*(S$50*GREET1_Import_Export!$O77+GREET1_Import_Export!$G$179*GREET1_Import_Export!$B206+GREET1_Import_Export!$G206)+S$63*(S$50*R$29*GREET1_Import_Export!$B77+$B268)+S$64*(S$50*R$32*GREET1_Import_Export!$AA77+GREET1_Import_Export!$C295)+S$65*($C268)+S$67*GREET1_Import_Export!$B518+S$68*GREET1_Import_Export!$C518+S$69*SUM($B99:$C99)+MAX(S$73,0)*S$50*(MMULT('GREET2_Factors_T&amp;D'!$B20:$C20+0,R$37:R$38+0))+MAX(S$74,0)*S$50*(MMULT('GREET2_Factors_T&amp;D'!$D20:$E20+0,R$35:R$36+0))</f>
        <v>26.502182638896542</v>
      </c>
      <c r="T99" s="478"/>
      <c r="U99" s="578">
        <f t="array" aca="1" ref="U99" ca="1">U$60*(U$50*S$28*GREET1_Import_Export!$K77+GREET1_Import_Export!$F$179*GREET1_Import_Export!$B206+GREET1_Import_Export!$F206)+U$61*(U$50*GREET1_Import_Export!$T77+GREET1_Import_Export!$C$179*GREET1_Import_Export!$B206+GREET1_Import_Export!$C206)+U$62*(U$50*GREET1_Import_Export!$O77+GREET1_Import_Export!$G$179*GREET1_Import_Export!$B206+GREET1_Import_Export!$G206)+U$63*(U$50*S$29*GREET1_Import_Export!$B77+$B268)+U$64*(U$50*S$32*GREET1_Import_Export!$AA77+GREET1_Import_Export!$C295)+U$65*($C268)+U$67*GREET1_Import_Export!$B518+U$68*GREET1_Import_Export!$C518+U$69*SUM($B99:$C99)+MAX(U$73,0)*U$50*(MMULT('GREET2_Factors_T&amp;D'!$B20:$C20+0,S$37:S$38+0))+MAX(U$74,0)*U$50*(MMULT('GREET2_Factors_T&amp;D'!$D20:$E20+0,S$35:S$36+0))</f>
        <v>13.170632517951514</v>
      </c>
      <c r="V99" s="478"/>
      <c r="W99" s="578">
        <f t="array" aca="1" ref="W99" ca="1">W$60*(W$50*T$28*GREET1_Import_Export!$K77+GREET1_Import_Export!$F$179*GREET1_Import_Export!$B206+GREET1_Import_Export!$F206)+W$61*(W$50*GREET1_Import_Export!$T77+GREET1_Import_Export!$C$179*GREET1_Import_Export!$B206+GREET1_Import_Export!$C206)+W$62*(W$50*GREET1_Import_Export!$O77+GREET1_Import_Export!$G$179*GREET1_Import_Export!$B206+GREET1_Import_Export!$G206)+W$63*(W$50*T$29*GREET1_Import_Export!$B77+$B268)+W$64*(W$50*T$32*GREET1_Import_Export!$AA77+GREET1_Import_Export!$C295)+W$65*($C268)+W$67*GREET1_Import_Export!$B518+W$68*GREET1_Import_Export!$C518+W$69*SUM($B99:$C99)+MAX(W$73,0)*W$50*(MMULT('GREET2_Factors_T&amp;D'!$B20:$C20+0,T$37:T$38+0))+MAX(W$74,0)*W$50*(MMULT('GREET2_Factors_T&amp;D'!$D20:$E20+0,T$35:T$36+0))</f>
        <v>16.279280673065639</v>
      </c>
      <c r="X99" s="478"/>
      <c r="Y99" s="578">
        <f t="array" aca="1" ref="Y99" ca="1">Y$60*(Y$50*U$28*GREET1_Import_Export!$K77+GREET1_Import_Export!$F$179*GREET1_Import_Export!$B206+GREET1_Import_Export!$F206)+Y$61*(Y$50*GREET1_Import_Export!$T77+GREET1_Import_Export!$C$179*GREET1_Import_Export!$B206+GREET1_Import_Export!$C206)+Y$62*(Y$50*GREET1_Import_Export!$O77+GREET1_Import_Export!$G$179*GREET1_Import_Export!$B206+GREET1_Import_Export!$G206)+Y$63*(Y$50*U$29*GREET1_Import_Export!$B77+$B268)+Y$64*(Y$50*U$32*GREET1_Import_Export!$AA77+GREET1_Import_Export!$C295)+Y$65*($C268)+Y$67*GREET1_Import_Export!$B518+Y$68*GREET1_Import_Export!$C518+Y$69*SUM($B99:$C99)+MAX(Y$73,0)*Y$50*(MMULT('GREET2_Factors_T&amp;D'!$B20:$C20+0,U$37:U$38+0))+MAX(Y$74,0)*Y$50*(MMULT('GREET2_Factors_T&amp;D'!$D20:$E20+0,U$35:U$36+0))</f>
        <v>29.034192044682179</v>
      </c>
      <c r="Z99" s="478">
        <f>Z87*Y$50</f>
        <v>0</v>
      </c>
      <c r="AA99" s="578">
        <f t="array" aca="1" ref="AA99" ca="1">AA$60*(AA$50*V$28*GREET1_Import_Export!$K77+GREET1_Import_Export!$F$179*GREET1_Import_Export!$B206+GREET1_Import_Export!$F206)+AA$61*(AA$50*GREET1_Import_Export!$T77+GREET1_Import_Export!$C$179*GREET1_Import_Export!$B206+GREET1_Import_Export!$C206)+AA$62*(AA$50*GREET1_Import_Export!$O77+GREET1_Import_Export!$G$179*GREET1_Import_Export!$B206+GREET1_Import_Export!$G206)+AA$63*(AA$50*V$29*GREET1_Import_Export!$B77+$B268)+AA$64*(AA$50*V$32*GREET1_Import_Export!$AA77+GREET1_Import_Export!$C295)+AA$65*($C268)+AA$67*GREET1_Import_Export!$B518+AA$68*GREET1_Import_Export!$C518+AA$69*SUM($B99:$C99)+MAX(AA$73,0)*AA$50*(MMULT('GREET2_Factors_T&amp;D'!$B20:$C20+0,V$37:V$38+0))+MAX(AA$74,0)*AA$50*(MMULT('GREET2_Factors_T&amp;D'!$D20:$E20+0,V$35:V$36+0))</f>
        <v>20.701729598112774</v>
      </c>
      <c r="AB99" s="478">
        <f>AB87*AA$50</f>
        <v>0</v>
      </c>
      <c r="AC99" s="578">
        <f t="array" aca="1" ref="AC99" ca="1">AC$60*(AC$50*W$28*GREET1_Import_Export!$K77+GREET1_Import_Export!$F$179*GREET1_Import_Export!$B206+GREET1_Import_Export!$F206)+AC$61*(AC$50*GREET1_Import_Export!$T77+GREET1_Import_Export!$C$179*GREET1_Import_Export!$B206+GREET1_Import_Export!$C206)+AC$62*(AC$50*GREET1_Import_Export!$O77+GREET1_Import_Export!$G$179*GREET1_Import_Export!$B206+GREET1_Import_Export!$G206)+AC$63*(AC$50*W$29*GREET1_Import_Export!$B77+$B268)+AC$64*(AC$50*W$32*GREET1_Import_Export!$AA77+GREET1_Import_Export!$C295)+AC$65*($C268)+AC$67*GREET1_Import_Export!$B518+AC$68*GREET1_Import_Export!$C518+AC$69*SUM($B99:$C99)+MAX(AC$73,0)*AC$50*(MMULT('GREET2_Factors_T&amp;D'!$B20:$C20+0,W$37:W$38+0))+MAX(AC$74,0)*AC$50*(MMULT('GREET2_Factors_T&amp;D'!$D20:$E20+0,W$35:W$36+0))</f>
        <v>10.223000660764436</v>
      </c>
      <c r="AD99" s="478">
        <f>AD87*AC$50</f>
        <v>0</v>
      </c>
      <c r="AE99" s="749">
        <f t="array" ref="AE99">AE$60*(AE$50*H$28*GREET1_Import_Export!$K77+GREET1_Import_Export!$F$179*GREET1_Import_Export!$B206+GREET1_Import_Export!$F206)+AE$61*(AE$50*GREET1_Import_Export!$T77+GREET1_Import_Export!$C$179*GREET1_Import_Export!$B206+GREET1_Import_Export!$C206)+AE$62*(AE$50*GREET1_Import_Export!$O77+GREET1_Import_Export!$H$179*GREET1_Import_Export!$B206+GREET1_Import_Export!$H206)+AE$63*(AE$50*H$29*GREET1_Import_Export!$B77+$B268)+AE$64*(AE$50*H$32*GREET1_Import_Export!$AA77+GREET1_Import_Export!$C295)+AE$65*($C268)+AE$67*GREET1_Import_Export!$B518+AE$68*GREET1_Import_Export!$C518+MAX(AE$73,0)*AE$50*(MMULT('GREET2_Factors_T&amp;D'!$B20:$C20+0,H$37:H$38+0))+MAX(AE$74,0)*AE$50*(MMULT('GREET2_Factors_T&amp;D'!$D20:$E20+0,H$35:H$36+0))</f>
        <v>14.607093398017945</v>
      </c>
      <c r="AF99" s="1013"/>
      <c r="AG99" s="749">
        <f t="array" ref="AG99">AG$60*(AG$50*I$28*GREET1_Import_Export!$K77+GREET1_Import_Export!$F$179*GREET1_Import_Export!$B206+GREET1_Import_Export!$F206)+AG$61*(AG$50*GREET1_Import_Export!$T77+GREET1_Import_Export!$C$179*GREET1_Import_Export!$B206+GREET1_Import_Export!$C206)+AG$62*(AG$50*GREET1_Import_Export!$O77+GREET1_Import_Export!$H$179*GREET1_Import_Export!$B206+GREET1_Import_Export!$H206)+AG$63*(AG$50*I$29*GREET1_Import_Export!$B77+$B268)+AG$64*(AG$50*I$32*GREET1_Import_Export!$AA77+GREET1_Import_Export!$C295)+AG$65*($C268)+AG$67*GREET1_Import_Export!$B518+AG$68*GREET1_Import_Export!$C518+MAX(AG$73,0)*AG$50*(MMULT('GREET2_Factors_T&amp;D'!$B20:$C20+0,I$37:I$38+0))+MAX(AG$74,0)*AG$50*(MMULT('GREET2_Factors_T&amp;D'!$D20:$E20+0,I$35:I$36+0))</f>
        <v>8.2272691170896444</v>
      </c>
      <c r="AH99" s="1013"/>
      <c r="AI99" s="749">
        <f t="array" ref="AI99">AI$60*(AI$50*J$28*GREET1_Import_Export!$K77+GREET1_Import_Export!$F$179*GREET1_Import_Export!$B206+GREET1_Import_Export!$F206)+AI$61*(AI$50*GREET1_Import_Export!$T77+GREET1_Import_Export!$C$179*GREET1_Import_Export!$B206+GREET1_Import_Export!$C206)+AI$62*(AI$50*GREET1_Import_Export!$O77+GREET1_Import_Export!$H$179*GREET1_Import_Export!$B206+GREET1_Import_Export!$H206)+AI$63*(AI$50*J$29*GREET1_Import_Export!$B77+$B268)+AI$64*(AI$50*UT$32*GREET1_Import_Export!$AA77+GREET1_Import_Export!$C295)+AI$65*($C268)+AI$67*GREET1_Import_Export!$B518+AI$68*GREET1_Import_Export!$C518+MAX(AI$73,0)*AI$50*(MMULT('GREET2_Factors_T&amp;D'!$B20:$C20+0,J$37:J$38+0))+MAX(AI$74,0)*AI$50*(MMULT('GREET2_Factors_T&amp;D'!$D20:$E20+0,J$35:J$36+0))</f>
        <v>13.590868491529342</v>
      </c>
      <c r="AJ99" s="1013"/>
      <c r="AK99" s="749">
        <f t="array" ref="AK99">AK$60*(AK$50*K$28*GREET1_Import_Export!$K77+GREET1_Import_Export!$F$179*GREET1_Import_Export!$B206+GREET1_Import_Export!$F206)+AK$61*(AK$50*GREET1_Import_Export!$T77+GREET1_Import_Export!$C$179*GREET1_Import_Export!$B206+GREET1_Import_Export!$C206)+AK$62*(AK$50*GREET1_Import_Export!$O77+GREET1_Import_Export!$H$179*GREET1_Import_Export!$B206+GREET1_Import_Export!$H206)+AK$63*(AK$50*K$29*GREET1_Import_Export!$B77+$B268)+AK$64*(AK$50*UV$32*GREET1_Import_Export!$AA77+GREET1_Import_Export!$C295)+AK$65*($C268)+AK$67*GREET1_Import_Export!$B518+AK$68*GREET1_Import_Export!$C518+MAX(AK$73,0)*AK$50*(MMULT('GREET2_Factors_T&amp;D'!$B20:$C20+0,K$37:K$38+0))+MAX(AK$74,0)*AK$50*(MMULT('GREET2_Factors_T&amp;D'!$D20:$E20+0,K$35:K$36+0))+AK$66*$D268</f>
        <v>12.282319448446785</v>
      </c>
      <c r="AL99" s="1013"/>
      <c r="AM99" s="749">
        <f t="array" ref="AM99">AM$60*(AM$50*L$28*GREET1_Import_Export!$K77+GREET1_Import_Export!$F$179*GREET1_Import_Export!$B206+GREET1_Import_Export!$F206)+AM$61*(AM$50*GREET1_Import_Export!$T77+GREET1_Import_Export!$C$179*GREET1_Import_Export!$B206+GREET1_Import_Export!$C206)+AM$62*(AM$50*GREET1_Import_Export!$O77+GREET1_Import_Export!$H$179*GREET1_Import_Export!$B206+GREET1_Import_Export!$H206)+AM$63*(AM$50*L$29*GREET1_Import_Export!$B77+$B268)+AM$64*(AM$50*UX$32*GREET1_Import_Export!$AA77+GREET1_Import_Export!$C295)+AM$65*($C268)+AM$67*GREET1_Import_Export!$B518+AM$68*GREET1_Import_Export!$C518+MAX(AM$73,0)*AM$50*(MMULT('GREET2_Factors_T&amp;D'!$B20:$C20+0,L$37:L$38+0))+MAX(AM$74,0)*AM$50*(MMULT('GREET2_Factors_T&amp;D'!$D20:$E20+0,L$35:L$36+0))</f>
        <v>46.315458619235343</v>
      </c>
      <c r="AN99" s="1013"/>
      <c r="AO99" s="749">
        <f t="array" ref="AO99">AO$60*(AO$50*M$28*GREET1_Import_Export!$K77+GREET1_Import_Export!$F$179*GREET1_Import_Export!$B206+GREET1_Import_Export!$F206)+AO$61*(AO$50*GREET1_Import_Export!$T77+GREET1_Import_Export!$C$179*GREET1_Import_Export!$B206+GREET1_Import_Export!$C206)+AO$62*(AO$50*GREET1_Import_Export!$O77+GREET1_Import_Export!$H$179*GREET1_Import_Export!$B206+GREET1_Import_Export!$H206)+AO$63*(AO$50*M$29*GREET1_Import_Export!$B77+$B268)+AO$64*(AO$50*UZ$32*GREET1_Import_Export!$AA77+GREET1_Import_Export!$C295)+AO$65*($C268)+AO$67*GREET1_Import_Export!$B518+AO$68*GREET1_Import_Export!$C518+MAX(AO$73,0)*AO$50*(MMULT('GREET2_Factors_T&amp;D'!$B20:$C20+0,M$37:M$38+0))+MAX(AO$74,0)*AO$50*(MMULT('GREET2_Factors_T&amp;D'!$D20:$E20+0,M$35:M$36+0))</f>
        <v>15.196580680398204</v>
      </c>
      <c r="AP99" s="1013"/>
      <c r="AQ99" s="749">
        <f t="array" ref="AQ99">AQ$60*(AQ$50*N$28*GREET1_Import_Export!$K77+GREET1_Import_Export!$F$179*GREET1_Import_Export!$B206+GREET1_Import_Export!$F206)+AQ$61*(AQ$50*GREET1_Import_Export!$T77+GREET1_Import_Export!$C$179*GREET1_Import_Export!$B206+GREET1_Import_Export!$C206)+AQ$62*(AQ$50*GREET1_Import_Export!$O77+GREET1_Import_Export!$H$179*GREET1_Import_Export!$B206+GREET1_Import_Export!$H206)+AQ$63*(AQ$50*N$29*GREET1_Import_Export!$B77+$B268)+AQ$64*(AQ$50*VB$32*GREET1_Import_Export!$AA77+GREET1_Import_Export!$C295)+AQ$65*($C268)+AQ$67*GREET1_Import_Export!$B518+AQ$68*GREET1_Import_Export!$C518+MAX(AQ$73,0)*AQ$50*(MMULT('GREET2_Factors_T&amp;D'!$B20:$C20+0,N$37:N$38+0))+MAX(AQ$74,0)*AQ$50*(MMULT('GREET2_Factors_T&amp;D'!$D20:$E20+0,N$35:N$36+0))+AQ$66*$D268</f>
        <v>12.031745500355258</v>
      </c>
      <c r="AR99" s="1013"/>
      <c r="AS99" s="749">
        <f t="array" ref="AS99">AS$60*(AS$50*O$28*GREET1_Import_Export!$K77+GREET1_Import_Export!$F$179*GREET1_Import_Export!$B206+GREET1_Import_Export!$F206)+AS$61*(AS$50*GREET1_Import_Export!$T77+GREET1_Import_Export!$C$179*GREET1_Import_Export!$B206+GREET1_Import_Export!$C206)+AS$62*(AS$50*GREET1_Import_Export!$O77+GREET1_Import_Export!$H$179*GREET1_Import_Export!$B206+GREET1_Import_Export!$H206)+AS$63*(AS$50*O$29*GREET1_Import_Export!$B77+$B268)+AS$64*(AS$50*VD$32*GREET1_Import_Export!$AA77+GREET1_Import_Export!$C295)+AS$65*($C268)+AS$67*GREET1_Import_Export!$B518+AS$68*GREET1_Import_Export!$C518+MAX(AS$73,0)*AS$50*(MMULT('GREET2_Factors_T&amp;D'!$B20:$C20+0,O$37:O$38+0))+MAX(AS$74,0)*AS$50*(MMULT('GREET2_Factors_T&amp;D'!$D20:$E20+0,O$35:O$36+0))</f>
        <v>46.315458619235343</v>
      </c>
      <c r="AT99" s="1013"/>
    </row>
    <row r="100" spans="1:46">
      <c r="A100" s="160" t="s">
        <v>827</v>
      </c>
      <c r="B100" s="578">
        <f t="array" aca="1" ref="B100" ca="1">B$60*(B$50*B$28*GREET1_Import_Export!$K78+GREET1_Import_Export!$F$179*GREET1_Import_Export!$B207+GREET1_Import_Export!$F207)+B$61*(B$50*(B$40*GREET1_Import_Export!$T78+B$41*GREET1_Import_Export!$B138)+GREET1_Import_Export!$C$179*GREET1_Import_Export!$B207+GREET1_Import_Export!$C207)+B$62*(B$50*(B$42*GREET1_Import_Export!$R78+B$43*GREET1_Import_Export!$B152)+GREET1_Import_Export!$H$179*GREET1_Import_Export!$B207+GREET1_Import_Export!$H207)+B$63*(B$50*(B$29*GREET1_Import_Export!$B78+B$31*GREET1_Import_Export!$B124)+$B269)+B$64*(B$50*B$32*GREET1_Import_Export!$AA78+GREET1_Import_Export!$C296)+B$65*($C269)+B$67*GREET1_Import_Export!$B519+B$68*GREET1_Import_Export!$C519+B$69*SUM($B100:$C100)+MAX(B$73,0)*B$50*(MMULT('GREET2_Factors_T&amp;D'!$B21:$C21+0,B$37:B$38+0))+MAX(B$74,0)*B$50*(MMULT('GREET2_Factors_T&amp;D'!$D21:$E21+0,B$35:B$36+0))+B$50*B$70*B$33*GREET1_Import_Export!$AC78</f>
        <v>1.0813433703098528E-2</v>
      </c>
      <c r="C100" s="478"/>
      <c r="D100" s="578">
        <f t="array" aca="1" ref="D100" ca="1">D$60*(D$50*C$28*GREET1_Import_Export!$K78+GREET1_Import_Export!$F$179*GREET1_Import_Export!$B207+GREET1_Import_Export!$F207)+D$61*(D$50*(C$40*GREET1_Import_Export!$T78+C$41*GREET1_Import_Export!$B138)+GREET1_Import_Export!$C$179*GREET1_Import_Export!$B207+GREET1_Import_Export!$C207)+D$62*(D$50*(C$42*GREET1_Import_Export!$R78+C$43*GREET1_Import_Export!$B152)+GREET1_Import_Export!$H$179*GREET1_Import_Export!$B207+GREET1_Import_Export!$H207)+D$63*(D$50*(C$29*GREET1_Import_Export!$B78+C$31*GREET1_Import_Export!$B124)+$B269)+D$64*(D$50*C$32*GREET1_Import_Export!$AA78+GREET1_Import_Export!$C296)+D$65*($C269)+D$67*GREET1_Import_Export!$B519+D$68*GREET1_Import_Export!$C519+D$69*SUM($B100:$C100)+MAX(D$73,0)*D$50*(MMULT('GREET2_Factors_T&amp;D'!$B21:$C21+0,C$37:C$38+0))+MAX(D$74,0)*D$50*(MMULT('GREET2_Factors_T&amp;D'!$D21:$E21+0,C$35:C$36+0))+D$50*D$70*C$33*GREET1_Import_Export!$AC78</f>
        <v>3.3861893122726805E-2</v>
      </c>
      <c r="E100" s="1553">
        <f t="shared" si="26"/>
        <v>0</v>
      </c>
      <c r="F100" s="478">
        <f>F$70*(GREET1_Import_Export!$B207*GREET1_Import_Export!$I$179+GREET1_Import_Export!$I207)+(F$71+F$72)*(GREET1_Import_Export!$B207*GREET1_Import_Export!$F$179+GREET1_Import_Export!$F207)</f>
        <v>-3.7202915356235614E-2</v>
      </c>
      <c r="G100" s="578">
        <f t="array" aca="1" ref="G100" ca="1">G$60*(G$50*D$28*GREET1_Import_Export!$K78+GREET1_Import_Export!$F$179*GREET1_Import_Export!$B207+GREET1_Import_Export!$F207)+G$61*(G$50*(D$40*GREET1_Import_Export!$T78+D$41*GREET1_Import_Export!$B138)+GREET1_Import_Export!$C$179*GREET1_Import_Export!$B207+GREET1_Import_Export!$C207)+G$62*(G$50*(D$42*GREET1_Import_Export!$R78+D$43*GREET1_Import_Export!$B152)+GREET1_Import_Export!$H$179*GREET1_Import_Export!$B207+GREET1_Import_Export!$H207)+G$63*(G$50*(D$29*GREET1_Import_Export!$B78+D$31*GREET1_Import_Export!$B124)+$B269)+G$64*(G$50*D$32*GREET1_Import_Export!$AA78+GREET1_Import_Export!$C296)+G$65*($C269)+G$67*GREET1_Import_Export!$B519+G$68*GREET1_Import_Export!$C519+G$69*SUM($B100:$C100)+MAX(G$73,0)*G$50*(MMULT('GREET2_Factors_T&amp;D'!$B21:$C21+0,D$37:D$38+0))+MAX(G$74,0)*G$50*(MMULT('GREET2_Factors_T&amp;D'!$D21:$E21+0,D$35:D$36+0))+G$50*G$70*D$33*GREET1_Import_Export!$AC78</f>
        <v>1.7730382231328511E-2</v>
      </c>
      <c r="H100" s="478">
        <f t="shared" si="27"/>
        <v>0</v>
      </c>
      <c r="I100" s="578">
        <f t="array" aca="1" ref="I100" ca="1">I$60*(I$50*E$28*GREET1_Import_Export!$K78+GREET1_Import_Export!$F$179*GREET1_Import_Export!$B207+GREET1_Import_Export!$F207)+I$61*(I$50*(E$40*GREET1_Import_Export!$T78+E$41*GREET1_Import_Export!$B138)+GREET1_Import_Export!$C$179*GREET1_Import_Export!$B207+GREET1_Import_Export!$C207)+I$62*(I$50*(E$42*GREET1_Import_Export!$R78+E$43*GREET1_Import_Export!$B152)+GREET1_Import_Export!$H$179*GREET1_Import_Export!$B207+GREET1_Import_Export!$H207)+I$63*(I$50*(E$29*GREET1_Import_Export!$B78+E$31*GREET1_Import_Export!$B124)+$B269)+I$64*(I$50*E$32*GREET1_Import_Export!$AA78+GREET1_Import_Export!$C296)+I$65*($C269)+I$67*GREET1_Import_Export!$B519+I$68*GREET1_Import_Export!$C519+I$69*SUM($B100:$C100)+MAX(I$73,0)*I$50*(MMULT('GREET2_Factors_T&amp;D'!$B21:$C21+0,E$37:E$38+0))+MAX(I$74,0)*I$50*(MMULT('GREET2_Factors_T&amp;D'!$D21:$E21+0,E$35:E$36+0))+I$50*I$70*E$33*GREET1_Import_Export!$AC78</f>
        <v>4.9836133640605976E-2</v>
      </c>
      <c r="J100" s="478">
        <f t="shared" si="28"/>
        <v>0</v>
      </c>
      <c r="K100" s="578">
        <f t="array" aca="1" ref="K100" ca="1">K$60*(K$50*F$28*GREET1_Import_Export!$K78+GREET1_Import_Export!$F$179*GREET1_Import_Export!$B207+GREET1_Import_Export!$F207)+K$61*(K$50*(F$40*GREET1_Import_Export!$T78+F$41*GREET1_Import_Export!$B138)+GREET1_Import_Export!$C$179*GREET1_Import_Export!$B207+GREET1_Import_Export!$C207)+K$62*(K$50*(F$42*GREET1_Import_Export!$R78+F$43*GREET1_Import_Export!$B152)+GREET1_Import_Export!$H$179*GREET1_Import_Export!$B207+GREET1_Import_Export!$H207)+K$63*(K$50*(F$29*GREET1_Import_Export!$B78+F$31*GREET1_Import_Export!$B124)+$B269)+K$64*(K$50*F$32*GREET1_Import_Export!$AA78+GREET1_Import_Export!$C296)+K$65*($C269)+K$67*GREET1_Import_Export!$B519+K$68*GREET1_Import_Export!$C519+K$69*SUM($B100:$C100)+MAX(K$73,0)*K$50*(MMULT('GREET2_Factors_T&amp;D'!$B21:$C21+0,F$37:F$38+0))+MAX(K$74,0)*K$50*(MMULT('GREET2_Factors_T&amp;D'!$D21:$E21+0,F$35:F$36+0))+K$50*K$70*F$33*GREET1_Import_Export!$AC78</f>
        <v>1.5687280954079008E-2</v>
      </c>
      <c r="L100" s="478">
        <f t="shared" si="29"/>
        <v>0</v>
      </c>
      <c r="M100" s="578">
        <f t="array" aca="1" ref="M100" ca="1">M$60*(M$50*G$28*GREET1_Import_Export!$K78+GREET1_Import_Export!$F$179*GREET1_Import_Export!$B207+GREET1_Import_Export!$F207)+M$61*(M$50*(G$40*GREET1_Import_Export!$T78+G$41*GREET1_Import_Export!$B138)+GREET1_Import_Export!$C$179*GREET1_Import_Export!$B207+GREET1_Import_Export!$C207)+M$62*(M$50*(G$42*GREET1_Import_Export!$R78+G$43*GREET1_Import_Export!$B152)+GREET1_Import_Export!$H$179*GREET1_Import_Export!$B207+GREET1_Import_Export!$H207)+M$63*(M$50*(G$29*GREET1_Import_Export!$B78+G$31*GREET1_Import_Export!$B124)+$B269)+M$64*(M$50*G$32*GREET1_Import_Export!$AA78+GREET1_Import_Export!$C296)+M$65*($C269)+M$67*GREET1_Import_Export!$B519+M$68*GREET1_Import_Export!$C519+M$69*SUM($B100:$C100)+MAX(M$73,0)*M$50*(MMULT('GREET2_Factors_T&amp;D'!$B21:$C21+0,G$37:G$38+0))+MAX(M$74,0)*M$50*(MMULT('GREET2_Factors_T&amp;D'!$D21:$E21+0,G$35:G$36+0))+M$50*M$70*G$33*GREET1_Import_Export!$AC78</f>
        <v>8.1402103806479855E-3</v>
      </c>
      <c r="N100" s="478"/>
      <c r="O100" s="578">
        <f t="array" aca="1" ref="O100" ca="1">O$60*(O$50*P$28*GREET1_Import_Export!$K78+GREET1_Import_Export!$F$179*GREET1_Import_Export!$B207+GREET1_Import_Export!$F207)+O$61*(O$50*GREET1_Import_Export!$T78+GREET1_Import_Export!$C$179*GREET1_Import_Export!$B207+GREET1_Import_Export!$C207)+O$62*(O$50*GREET1_Import_Export!$O78+GREET1_Import_Export!$G$179*GREET1_Import_Export!$B207+GREET1_Import_Export!$G207)+O$63*(O$50*P$29*GREET1_Import_Export!$B78+$B269)+O$64*(O$50*P$32*GREET1_Import_Export!$AA78+GREET1_Import_Export!$C296)+O$65*($C269)+O$67*GREET1_Import_Export!$B519+O$68*GREET1_Import_Export!$C519+O$69*SUM($B100:$C100)+MAX(O$73,0)*O$50*(MMULT('GREET2_Factors_T&amp;D'!$B21:$C21+0,P$37:P$38+0))+MAX(O$74,0)*O$50*(MMULT('GREET2_Factors_T&amp;D'!$D21:$E21+0,P$35:P$36+0))</f>
        <v>8.2617592585123772E-2</v>
      </c>
      <c r="P100" s="478"/>
      <c r="Q100" s="578">
        <f t="array" aca="1" ref="Q100" ca="1">Q$60*(Q$50*Q$28*GREET1_Import_Export!$K78+GREET1_Import_Export!$F$179*GREET1_Import_Export!$B207+GREET1_Import_Export!$F207)+Q$61*(Q$50*GREET1_Import_Export!$T78+GREET1_Import_Export!$C$179*GREET1_Import_Export!$B207+GREET1_Import_Export!$C207)+Q$62*(Q$50*GREET1_Import_Export!$O78+GREET1_Import_Export!$G$179*GREET1_Import_Export!$B207+GREET1_Import_Export!$G207)+Q$63*(Q$50*Q$29*GREET1_Import_Export!$B78+$B269)+Q$64*(Q$50*Q$32*GREET1_Import_Export!$AA78+GREET1_Import_Export!$C296)+Q$65*($C269)+Q$67*GREET1_Import_Export!$B519+Q$68*GREET1_Import_Export!$C519+Q$69*SUM($B100:$C100)+MAX(Q$73,0)*Q$50*(MMULT('GREET2_Factors_T&amp;D'!$B21:$C21+0,Q$37:Q$38+0))+MAX(Q$74,0)*Q$50*(MMULT('GREET2_Factors_T&amp;D'!$D21:$E21+0,Q$35:Q$36+0))</f>
        <v>4.8187413827556385E-3</v>
      </c>
      <c r="R100" s="478"/>
      <c r="S100" s="578">
        <f t="array" aca="1" ref="S100" ca="1">S$60*(S$50*R$28*GREET1_Import_Export!$K78+GREET1_Import_Export!$F$179*GREET1_Import_Export!$B207+GREET1_Import_Export!$F207)+S$61*(S$50*GREET1_Import_Export!$T78+GREET1_Import_Export!$C$179*GREET1_Import_Export!$B207+GREET1_Import_Export!$C207)+S$62*(S$50*GREET1_Import_Export!$O78+GREET1_Import_Export!$G$179*GREET1_Import_Export!$B207+GREET1_Import_Export!$G207)+S$63*(S$50*R$29*GREET1_Import_Export!$B78+$B269)+S$64*(S$50*R$32*GREET1_Import_Export!$AA78+GREET1_Import_Export!$C296)+S$65*($C269)+S$67*GREET1_Import_Export!$B519+S$68*GREET1_Import_Export!$C519+S$69*SUM($B100:$C100)+MAX(S$73,0)*S$50*(MMULT('GREET2_Factors_T&amp;D'!$B21:$C21+0,R$37:R$38+0))+MAX(S$74,0)*S$50*(MMULT('GREET2_Factors_T&amp;D'!$D21:$E21+0,R$35:R$36+0))</f>
        <v>0.16138172396458417</v>
      </c>
      <c r="T100" s="478"/>
      <c r="U100" s="578">
        <f t="array" aca="1" ref="U100" ca="1">U$60*(U$50*S$28*GREET1_Import_Export!$K78+GREET1_Import_Export!$F$179*GREET1_Import_Export!$B207+GREET1_Import_Export!$F207)+U$61*(U$50*GREET1_Import_Export!$T78+GREET1_Import_Export!$C$179*GREET1_Import_Export!$B207+GREET1_Import_Export!$C207)+U$62*(U$50*GREET1_Import_Export!$O78+GREET1_Import_Export!$G$179*GREET1_Import_Export!$B207+GREET1_Import_Export!$G207)+U$63*(U$50*S$29*GREET1_Import_Export!$B78+$B269)+U$64*(U$50*S$32*GREET1_Import_Export!$AA78+GREET1_Import_Export!$C296)+U$65*($C269)+U$67*GREET1_Import_Export!$B519+U$68*GREET1_Import_Export!$C519+U$69*SUM($B100:$C100)+MAX(U$73,0)*U$50*(MMULT('GREET2_Factors_T&amp;D'!$B21:$C21+0,S$37:S$38+0))+MAX(U$74,0)*U$50*(MMULT('GREET2_Factors_T&amp;D'!$D21:$E21+0,S$35:S$36+0))</f>
        <v>8.0200918181413824E-2</v>
      </c>
      <c r="V100" s="478"/>
      <c r="W100" s="578">
        <f t="array" aca="1" ref="W100" ca="1">W$60*(W$50*T$28*GREET1_Import_Export!$K78+GREET1_Import_Export!$F$179*GREET1_Import_Export!$B207+GREET1_Import_Export!$F207)+W$61*(W$50*GREET1_Import_Export!$T78+GREET1_Import_Export!$C$179*GREET1_Import_Export!$B207+GREET1_Import_Export!$C207)+W$62*(W$50*GREET1_Import_Export!$O78+GREET1_Import_Export!$G$179*GREET1_Import_Export!$B207+GREET1_Import_Export!$G207)+W$63*(W$50*T$29*GREET1_Import_Export!$B78+$B269)+W$64*(W$50*T$32*GREET1_Import_Export!$AA78+GREET1_Import_Export!$C296)+W$65*($C269)+W$67*GREET1_Import_Export!$B519+W$68*GREET1_Import_Export!$C519+W$69*SUM($B100:$C100)+MAX(W$73,0)*W$50*(MMULT('GREET2_Factors_T&amp;D'!$B21:$C21+0,T$37:T$38+0))+MAX(W$74,0)*W$50*(MMULT('GREET2_Factors_T&amp;D'!$D21:$E21+0,T$35:T$36+0))</f>
        <v>9.9130642019907803E-2</v>
      </c>
      <c r="X100" s="478"/>
      <c r="Y100" s="578">
        <f t="array" aca="1" ref="Y100" ca="1">Y$60*(Y$50*U$28*GREET1_Import_Export!$K78+GREET1_Import_Export!$F$179*GREET1_Import_Export!$B207+GREET1_Import_Export!$F207)+Y$61*(Y$50*GREET1_Import_Export!$T78+GREET1_Import_Export!$C$179*GREET1_Import_Export!$B207+GREET1_Import_Export!$C207)+Y$62*(Y$50*GREET1_Import_Export!$O78+GREET1_Import_Export!$G$179*GREET1_Import_Export!$B207+GREET1_Import_Export!$G207)+Y$63*(Y$50*U$29*GREET1_Import_Export!$B78+$B269)+Y$64*(Y$50*U$32*GREET1_Import_Export!$AA78+GREET1_Import_Export!$C296)+Y$65*($C269)+Y$67*GREET1_Import_Export!$B519+Y$68*GREET1_Import_Export!$C519+Y$69*SUM($B100:$C100)+MAX(Y$73,0)*Y$50*(MMULT('GREET2_Factors_T&amp;D'!$B21:$C21+0,U$37:U$38+0))+MAX(Y$74,0)*Y$50*(MMULT('GREET2_Factors_T&amp;D'!$D21:$E21+0,U$35:U$36+0))</f>
        <v>0.17743778952331815</v>
      </c>
      <c r="Z100" s="478">
        <f>Z88*Y$50</f>
        <v>0</v>
      </c>
      <c r="AA100" s="578">
        <f t="array" aca="1" ref="AA100" ca="1">AA$60*(AA$50*V$28*GREET1_Import_Export!$K78+GREET1_Import_Export!$F$179*GREET1_Import_Export!$B207+GREET1_Import_Export!$F207)+AA$61*(AA$50*GREET1_Import_Export!$T78+GREET1_Import_Export!$C$179*GREET1_Import_Export!$B207+GREET1_Import_Export!$C207)+AA$62*(AA$50*GREET1_Import_Export!$O78+GREET1_Import_Export!$G$179*GREET1_Import_Export!$B207+GREET1_Import_Export!$G207)+AA$63*(AA$50*V$29*GREET1_Import_Export!$B78+$B269)+AA$64*(AA$50*V$32*GREET1_Import_Export!$AA78+GREET1_Import_Export!$C296)+AA$65*($C269)+AA$67*GREET1_Import_Export!$B519+AA$68*GREET1_Import_Export!$C519+AA$69*SUM($B100:$C100)+MAX(AA$73,0)*AA$50*(MMULT('GREET2_Factors_T&amp;D'!$B21:$C21+0,V$37:V$38+0))+MAX(AA$74,0)*AA$50*(MMULT('GREET2_Factors_T&amp;D'!$D21:$E21+0,V$35:V$36+0))</f>
        <v>0.12899076760903322</v>
      </c>
      <c r="AB100" s="478">
        <f>AB88*AA$50</f>
        <v>0</v>
      </c>
      <c r="AC100" s="578">
        <f t="array" aca="1" ref="AC100" ca="1">AC$60*(AC$50*W$28*GREET1_Import_Export!$K78+GREET1_Import_Export!$F$179*GREET1_Import_Export!$B207+GREET1_Import_Export!$F207)+AC$61*(AC$50*GREET1_Import_Export!$T78+GREET1_Import_Export!$C$179*GREET1_Import_Export!$B207+GREET1_Import_Export!$C207)+AC$62*(AC$50*GREET1_Import_Export!$O78+GREET1_Import_Export!$G$179*GREET1_Import_Export!$B207+GREET1_Import_Export!$G207)+AC$63*(AC$50*W$29*GREET1_Import_Export!$B78+$B269)+AC$64*(AC$50*W$32*GREET1_Import_Export!$AA78+GREET1_Import_Export!$C296)+AC$65*($C269)+AC$67*GREET1_Import_Export!$B519+AC$68*GREET1_Import_Export!$C519+AC$69*SUM($B100:$C100)+MAX(AC$73,0)*AC$50*(MMULT('GREET2_Factors_T&amp;D'!$B21:$C21+0,W$37:W$38+0))+MAX(AC$74,0)*AC$50*(MMULT('GREET2_Factors_T&amp;D'!$D21:$E21+0,W$35:W$36+0))</f>
        <v>6.2251682935120692E-2</v>
      </c>
      <c r="AD100" s="478">
        <f>AD88*AC$50</f>
        <v>0</v>
      </c>
      <c r="AE100" s="749">
        <f t="array" ref="AE100">AE$60*(AE$50*H$28*GREET1_Import_Export!$K78+GREET1_Import_Export!$F$179*GREET1_Import_Export!$B207+GREET1_Import_Export!$F207)+AE$61*(AE$50*GREET1_Import_Export!$T78+GREET1_Import_Export!$C$179*GREET1_Import_Export!$B207+GREET1_Import_Export!$C207)+AE$62*(AE$50*GREET1_Import_Export!$O78+GREET1_Import_Export!$H$179*GREET1_Import_Export!$B207+GREET1_Import_Export!$H207)+AE$63*(AE$50*H$29*GREET1_Import_Export!$B78+$B269)+AE$64*(AE$50*H$32*GREET1_Import_Export!$AA78+GREET1_Import_Export!$C296)+AE$65*($C269)+AE$67*GREET1_Import_Export!$B519+AE$68*GREET1_Import_Export!$C519+MAX(AE$73,0)*AE$50*(MMULT('GREET2_Factors_T&amp;D'!$B21:$C21+0,H$37:H$38+0))+MAX(AE$74,0)*AE$50*(MMULT('GREET2_Factors_T&amp;D'!$D21:$E21+0,H$35:H$36+0))</f>
        <v>0.14895425843914711</v>
      </c>
      <c r="AF100" s="1013"/>
      <c r="AG100" s="749">
        <f t="array" ref="AG100">AG$60*(AG$50*I$28*GREET1_Import_Export!$K78+GREET1_Import_Export!$F$179*GREET1_Import_Export!$B207+GREET1_Import_Export!$F207)+AG$61*(AG$50*GREET1_Import_Export!$T78+GREET1_Import_Export!$C$179*GREET1_Import_Export!$B207+GREET1_Import_Export!$C207)+AG$62*(AG$50*GREET1_Import_Export!$O78+GREET1_Import_Export!$H$179*GREET1_Import_Export!$B207+GREET1_Import_Export!$H207)+AG$63*(AG$50*I$29*GREET1_Import_Export!$B78+$B269)+AG$64*(AG$50*I$32*GREET1_Import_Export!$AA78+GREET1_Import_Export!$C296)+AG$65*($C269)+AG$67*GREET1_Import_Export!$B519+AG$68*GREET1_Import_Export!$C519+MAX(AG$73,0)*AG$50*(MMULT('GREET2_Factors_T&amp;D'!$B21:$C21+0,I$37:I$38+0))+MAX(AG$74,0)*AG$50*(MMULT('GREET2_Factors_T&amp;D'!$D21:$E21+0,I$35:I$36+0))</f>
        <v>5.299680035159255E-2</v>
      </c>
      <c r="AH100" s="1013"/>
      <c r="AI100" s="749">
        <f t="array" ref="AI100">AI$60*(AI$50*J$28*GREET1_Import_Export!$K78+GREET1_Import_Export!$F$179*GREET1_Import_Export!$B207+GREET1_Import_Export!$F207)+AI$61*(AI$50*GREET1_Import_Export!$T78+GREET1_Import_Export!$C$179*GREET1_Import_Export!$B207+GREET1_Import_Export!$C207)+AI$62*(AI$50*GREET1_Import_Export!$O78+GREET1_Import_Export!$H$179*GREET1_Import_Export!$B207+GREET1_Import_Export!$H207)+AI$63*(AI$50*J$29*GREET1_Import_Export!$B78+$B269)+AI$64*(AI$50*UT$32*GREET1_Import_Export!$AA78+GREET1_Import_Export!$C296)+AI$65*($C269)+AI$67*GREET1_Import_Export!$B519+AI$68*GREET1_Import_Export!$C519+MAX(AI$73,0)*AI$50*(MMULT('GREET2_Factors_T&amp;D'!$B21:$C21+0,J$37:J$38+0))+MAX(AI$74,0)*AI$50*(MMULT('GREET2_Factors_T&amp;D'!$D21:$E21+0,J$35:J$36+0))</f>
        <v>9.716469846397853E-2</v>
      </c>
      <c r="AJ100" s="1013"/>
      <c r="AK100" s="749">
        <f t="array" ref="AK100">AK$60*(AK$50*K$28*GREET1_Import_Export!$K78+GREET1_Import_Export!$F$179*GREET1_Import_Export!$B207+GREET1_Import_Export!$F207)+AK$61*(AK$50*GREET1_Import_Export!$T78+GREET1_Import_Export!$C$179*GREET1_Import_Export!$B207+GREET1_Import_Export!$C207)+AK$62*(AK$50*GREET1_Import_Export!$O78+GREET1_Import_Export!$H$179*GREET1_Import_Export!$B207+GREET1_Import_Export!$H207)+AK$63*(AK$50*K$29*GREET1_Import_Export!$B78+$B269)+AK$64*(AK$50*UV$32*GREET1_Import_Export!$AA78+GREET1_Import_Export!$C296)+AK$65*($C269)+AK$67*GREET1_Import_Export!$B519+AK$68*GREET1_Import_Export!$C519+MAX(AK$73,0)*AK$50*(MMULT('GREET2_Factors_T&amp;D'!$B21:$C21+0,K$37:K$38+0))+MAX(AK$74,0)*AK$50*(MMULT('GREET2_Factors_T&amp;D'!$D21:$E21+0,K$35:K$36+0))+AK$66*$D269</f>
        <v>7.7106710665091505E-2</v>
      </c>
      <c r="AL100" s="1013"/>
      <c r="AM100" s="749">
        <f t="array" ref="AM100">AM$60*(AM$50*L$28*GREET1_Import_Export!$K78+GREET1_Import_Export!$F$179*GREET1_Import_Export!$B207+GREET1_Import_Export!$F207)+AM$61*(AM$50*GREET1_Import_Export!$T78+GREET1_Import_Export!$C$179*GREET1_Import_Export!$B207+GREET1_Import_Export!$C207)+AM$62*(AM$50*GREET1_Import_Export!$O78+GREET1_Import_Export!$H$179*GREET1_Import_Export!$B207+GREET1_Import_Export!$H207)+AM$63*(AM$50*L$29*GREET1_Import_Export!$B78+$B269)+AM$64*(AM$50*UX$32*GREET1_Import_Export!$AA78+GREET1_Import_Export!$C296)+AM$65*($C269)+AM$67*GREET1_Import_Export!$B519+AM$68*GREET1_Import_Export!$C519+MAX(AM$73,0)*AM$50*(MMULT('GREET2_Factors_T&amp;D'!$B21:$C21+0,L$37:L$38+0))+MAX(AM$74,0)*AM$50*(MMULT('GREET2_Factors_T&amp;D'!$D21:$E21+0,L$35:L$36+0))</f>
        <v>0.28230549497906332</v>
      </c>
      <c r="AN100" s="1013"/>
      <c r="AO100" s="749">
        <f t="array" ref="AO100">AO$60*(AO$50*M$28*GREET1_Import_Export!$K78+GREET1_Import_Export!$F$179*GREET1_Import_Export!$B207+GREET1_Import_Export!$F207)+AO$61*(AO$50*GREET1_Import_Export!$T78+GREET1_Import_Export!$C$179*GREET1_Import_Export!$B207+GREET1_Import_Export!$C207)+AO$62*(AO$50*GREET1_Import_Export!$O78+GREET1_Import_Export!$H$179*GREET1_Import_Export!$B207+GREET1_Import_Export!$H207)+AO$63*(AO$50*M$29*GREET1_Import_Export!$B78+$B269)+AO$64*(AO$50*UZ$32*GREET1_Import_Export!$AA78+GREET1_Import_Export!$C296)+AO$65*($C269)+AO$67*GREET1_Import_Export!$B519+AO$68*GREET1_Import_Export!$C519+MAX(AO$73,0)*AO$50*(MMULT('GREET2_Factors_T&amp;D'!$B21:$C21+0,M$37:M$38+0))+MAX(AO$74,0)*AO$50*(MMULT('GREET2_Factors_T&amp;D'!$D21:$E21+0,M$35:M$36+0))</f>
        <v>0.15496549138013552</v>
      </c>
      <c r="AP100" s="1013"/>
      <c r="AQ100" s="749">
        <f t="array" ref="AQ100">AQ$60*(AQ$50*N$28*GREET1_Import_Export!$K78+GREET1_Import_Export!$F$179*GREET1_Import_Export!$B207+GREET1_Import_Export!$F207)+AQ$61*(AQ$50*GREET1_Import_Export!$T78+GREET1_Import_Export!$C$179*GREET1_Import_Export!$B207+GREET1_Import_Export!$C207)+AQ$62*(AQ$50*GREET1_Import_Export!$O78+GREET1_Import_Export!$H$179*GREET1_Import_Export!$B207+GREET1_Import_Export!$H207)+AQ$63*(AQ$50*N$29*GREET1_Import_Export!$B78+$B269)+AQ$64*(AQ$50*VB$32*GREET1_Import_Export!$AA78+GREET1_Import_Export!$C296)+AQ$65*($C269)+AQ$67*GREET1_Import_Export!$B519+AQ$68*GREET1_Import_Export!$C519+MAX(AQ$73,0)*AQ$50*(MMULT('GREET2_Factors_T&amp;D'!$B21:$C21+0,N$37:N$38+0))+MAX(AQ$74,0)*AQ$50*(MMULT('GREET2_Factors_T&amp;D'!$D21:$E21+0,N$35:N$36+0))+AQ$66*$D269</f>
        <v>7.3265808239532437E-2</v>
      </c>
      <c r="AR100" s="1013"/>
      <c r="AS100" s="749">
        <f t="array" ref="AS100">AS$60*(AS$50*O$28*GREET1_Import_Export!$K78+GREET1_Import_Export!$F$179*GREET1_Import_Export!$B207+GREET1_Import_Export!$F207)+AS$61*(AS$50*GREET1_Import_Export!$T78+GREET1_Import_Export!$C$179*GREET1_Import_Export!$B207+GREET1_Import_Export!$C207)+AS$62*(AS$50*GREET1_Import_Export!$O78+GREET1_Import_Export!$H$179*GREET1_Import_Export!$B207+GREET1_Import_Export!$H207)+AS$63*(AS$50*O$29*GREET1_Import_Export!$B78+$B269)+AS$64*(AS$50*VD$32*GREET1_Import_Export!$AA78+GREET1_Import_Export!$C296)+AS$65*($C269)+AS$67*GREET1_Import_Export!$B519+AS$68*GREET1_Import_Export!$C519+MAX(AS$73,0)*AS$50*(MMULT('GREET2_Factors_T&amp;D'!$B21:$C21+0,O$37:O$38+0))+MAX(AS$74,0)*AS$50*(MMULT('GREET2_Factors_T&amp;D'!$D21:$E21+0,O$35:O$36+0))</f>
        <v>0.28230549497906332</v>
      </c>
      <c r="AT100" s="1013"/>
    </row>
    <row r="101" spans="1:46">
      <c r="A101" s="161" t="s">
        <v>828</v>
      </c>
      <c r="B101" s="584">
        <f t="array" aca="1" ref="B101" ca="1">B$60*(B$50*B$28*GREET1_Import_Export!$K79+GREET1_Import_Export!$F$179*GREET1_Import_Export!$B208+GREET1_Import_Export!$F208)+B$61*(B$50*(B$40*GREET1_Import_Export!$T79+B$41*GREET1_Import_Export!$B139)+GREET1_Import_Export!$C$179*GREET1_Import_Export!$B208+GREET1_Import_Export!$C208)+B$62*(B$50*(B$42*GREET1_Import_Export!$R79+B$43*GREET1_Import_Export!$B153)+GREET1_Import_Export!$H$179*GREET1_Import_Export!$B208+GREET1_Import_Export!$H208)+B$63*(B$50*(B$29*GREET1_Import_Export!$B79+B$31*GREET1_Import_Export!$B125)+$B270)+B$64*(B$50*B$32*GREET1_Import_Export!$AA79+GREET1_Import_Export!$C297)+B$65*($C270)+B$67*GREET1_Import_Export!$B520+B$68*GREET1_Import_Export!$C520+B$69*SUM($B101:$C101)+MAX(B$73,0)*B$50*(MMULT('GREET2_Factors_T&amp;D'!$B22:$C22+0,B$37:B$38+0))+MAX(B$74,0)*B$50*(MMULT('GREET2_Factors_T&amp;D'!$D22:$E22+0,B$35:B$36+0))+B$50*B$70*B$33*GREET1_Import_Export!$AC79</f>
        <v>5.2717548811509127E-2</v>
      </c>
      <c r="C101" s="585"/>
      <c r="D101" s="584">
        <f t="array" aca="1" ref="D101" ca="1">D$60*(D$50*C$28*GREET1_Import_Export!$K79+GREET1_Import_Export!$F$179*GREET1_Import_Export!$B208+GREET1_Import_Export!$F208)+D$61*(D$50*(C$40*GREET1_Import_Export!$T79+C$41*GREET1_Import_Export!$B139)+GREET1_Import_Export!$C$179*GREET1_Import_Export!$B208+GREET1_Import_Export!$C208)+D$62*(D$50*(C$42*GREET1_Import_Export!$R79+C$43*GREET1_Import_Export!$B153)+GREET1_Import_Export!$H$179*GREET1_Import_Export!$B208+GREET1_Import_Export!$H208)+D$63*(D$50*(C$29*GREET1_Import_Export!$B79+C$31*GREET1_Import_Export!$B125)+$B270)+D$64*(D$50*C$32*GREET1_Import_Export!$AA79+GREET1_Import_Export!$C297)+D$65*($C270)+D$67*GREET1_Import_Export!$B520+D$68*GREET1_Import_Export!$C520+D$69*SUM($B101:$C101)+MAX(D$73,0)*D$50*(MMULT('GREET2_Factors_T&amp;D'!$B22:$C22+0,C$37:C$38+0))+MAX(D$74,0)*D$50*(MMULT('GREET2_Factors_T&amp;D'!$D22:$E22+0,C$35:C$36+0))+D$50*D$70*C$33*GREET1_Import_Export!$AC79</f>
        <v>0.16252405708820833</v>
      </c>
      <c r="E101" s="637">
        <f t="shared" si="26"/>
        <v>0</v>
      </c>
      <c r="F101" s="585">
        <f>F$70*(GREET1_Import_Export!$B208*GREET1_Import_Export!$I$179+GREET1_Import_Export!$I208)+(F$71+F$72)*(GREET1_Import_Export!$B208*GREET1_Import_Export!$F$179+GREET1_Import_Export!$F208)</f>
        <v>-5.6346873740682764E-2</v>
      </c>
      <c r="G101" s="584">
        <f t="array" aca="1" ref="G101" ca="1">G$60*(G$50*D$28*GREET1_Import_Export!$K79+GREET1_Import_Export!$F$179*GREET1_Import_Export!$B208+GREET1_Import_Export!$F208)+G$61*(G$50*(D$40*GREET1_Import_Export!$T79+D$41*GREET1_Import_Export!$B139)+GREET1_Import_Export!$C$179*GREET1_Import_Export!$B208+GREET1_Import_Export!$C208)+G$62*(G$50*(D$42*GREET1_Import_Export!$R79+D$43*GREET1_Import_Export!$B153)+GREET1_Import_Export!$H$179*GREET1_Import_Export!$B208+GREET1_Import_Export!$H208)+G$63*(G$50*(D$29*GREET1_Import_Export!$B79+D$31*GREET1_Import_Export!$B125)+$B270)+G$64*(G$50*D$32*GREET1_Import_Export!$AA79+GREET1_Import_Export!$C297)+G$65*($C270)+G$67*GREET1_Import_Export!$B520+G$68*GREET1_Import_Export!$C520+G$69*SUM($B101:$C101)+MAX(G$73,0)*G$50*(MMULT('GREET2_Factors_T&amp;D'!$B22:$C22+0,D$37:D$38+0))+MAX(G$74,0)*G$50*(MMULT('GREET2_Factors_T&amp;D'!$D22:$E22+0,D$35:D$36+0))+G$50*G$70*D$33*GREET1_Import_Export!$AC79</f>
        <v>9.8194564747556612E-2</v>
      </c>
      <c r="H101" s="585">
        <f t="shared" si="27"/>
        <v>0</v>
      </c>
      <c r="I101" s="584">
        <f t="array" aca="1" ref="I101" ca="1">I$60*(I$50*E$28*GREET1_Import_Export!$K79+GREET1_Import_Export!$F$179*GREET1_Import_Export!$B208+GREET1_Import_Export!$F208)+I$61*(I$50*(E$40*GREET1_Import_Export!$T79+E$41*GREET1_Import_Export!$B139)+GREET1_Import_Export!$C$179*GREET1_Import_Export!$B208+GREET1_Import_Export!$C208)+I$62*(I$50*(E$42*GREET1_Import_Export!$R79+E$43*GREET1_Import_Export!$B153)+GREET1_Import_Export!$H$179*GREET1_Import_Export!$B208+GREET1_Import_Export!$H208)+I$63*(I$50*(E$29*GREET1_Import_Export!$B79+E$31*GREET1_Import_Export!$B125)+$B270)+I$64*(I$50*E$32*GREET1_Import_Export!$AA79+GREET1_Import_Export!$C297)+I$65*($C270)+I$67*GREET1_Import_Export!$B520+I$68*GREET1_Import_Export!$C520+I$69*SUM($B101:$C101)+MAX(I$73,0)*I$50*(MMULT('GREET2_Factors_T&amp;D'!$B22:$C22+0,E$37:E$38+0))+MAX(I$74,0)*I$50*(MMULT('GREET2_Factors_T&amp;D'!$D22:$E22+0,E$35:E$36+0))+I$50*I$70*E$33*GREET1_Import_Export!$AC79</f>
        <v>0.23304124073160878</v>
      </c>
      <c r="J101" s="585">
        <f t="shared" si="28"/>
        <v>0</v>
      </c>
      <c r="K101" s="584">
        <f t="array" aca="1" ref="K101" ca="1">K$60*(K$50*F$28*GREET1_Import_Export!$K79+GREET1_Import_Export!$F$179*GREET1_Import_Export!$B208+GREET1_Import_Export!$F208)+K$61*(K$50*(F$40*GREET1_Import_Export!$T79+F$41*GREET1_Import_Export!$B139)+GREET1_Import_Export!$C$179*GREET1_Import_Export!$B208+GREET1_Import_Export!$C208)+K$62*(K$50*(F$42*GREET1_Import_Export!$R79+F$43*GREET1_Import_Export!$B153)+GREET1_Import_Export!$H$179*GREET1_Import_Export!$B208+GREET1_Import_Export!$H208)+K$63*(K$50*(F$29*GREET1_Import_Export!$B79+F$31*GREET1_Import_Export!$B125)+$B270)+K$64*(K$50*F$32*GREET1_Import_Export!$AA79+GREET1_Import_Export!$C297)+K$65*($C270)+K$67*GREET1_Import_Export!$B520+K$68*GREET1_Import_Export!$C520+K$69*SUM($B101:$C101)+MAX(K$73,0)*K$50*(MMULT('GREET2_Factors_T&amp;D'!$B22:$C22+0,F$37:F$38+0))+MAX(K$74,0)*K$50*(MMULT('GREET2_Factors_T&amp;D'!$D22:$E22+0,F$35:F$36+0))+K$50*K$70*F$33*GREET1_Import_Export!$AC79</f>
        <v>8.1879039048750865E-2</v>
      </c>
      <c r="L101" s="585">
        <f t="shared" si="29"/>
        <v>0</v>
      </c>
      <c r="M101" s="584">
        <f t="array" aca="1" ref="M101" ca="1">M$60*(M$50*G$28*GREET1_Import_Export!$K79+GREET1_Import_Export!$F$179*GREET1_Import_Export!$B208+GREET1_Import_Export!$F208)+M$61*(M$50*(G$40*GREET1_Import_Export!$T79+G$41*GREET1_Import_Export!$B139)+GREET1_Import_Export!$C$179*GREET1_Import_Export!$B208+GREET1_Import_Export!$C208)+M$62*(M$50*(G$42*GREET1_Import_Export!$R79+G$43*GREET1_Import_Export!$B153)+GREET1_Import_Export!$H$179*GREET1_Import_Export!$B208+GREET1_Import_Export!$H208)+M$63*(M$50*(G$29*GREET1_Import_Export!$B79+G$31*GREET1_Import_Export!$B125)+$B270)+M$64*(M$50*G$32*GREET1_Import_Export!$AA79+GREET1_Import_Export!$C297)+M$65*($C270)+M$67*GREET1_Import_Export!$B520+M$68*GREET1_Import_Export!$C520+M$69*SUM($B101:$C101)+MAX(M$73,0)*M$50*(MMULT('GREET2_Factors_T&amp;D'!$B22:$C22+0,G$37:G$38+0))+MAX(M$74,0)*M$50*(MMULT('GREET2_Factors_T&amp;D'!$D22:$E22+0,G$35:G$36+0))+M$50*M$70*G$33*GREET1_Import_Export!$AC79</f>
        <v>4.4606470190912247E-2</v>
      </c>
      <c r="N101" s="585"/>
      <c r="O101" s="584">
        <f t="array" aca="1" ref="O101" ca="1">O$60*(O$50*P$28*GREET1_Import_Export!$K79+GREET1_Import_Export!$F$179*GREET1_Import_Export!$B208+GREET1_Import_Export!$F208)+O$61*(O$50*GREET1_Import_Export!$T79+GREET1_Import_Export!$C$179*GREET1_Import_Export!$B208+GREET1_Import_Export!$C208)+O$62*(O$50*GREET1_Import_Export!$O79+GREET1_Import_Export!$G$179*GREET1_Import_Export!$B208+GREET1_Import_Export!$G208)+O$63*(O$50*P$29*GREET1_Import_Export!$B79+$B270)+O$64*(O$50*P$32*GREET1_Import_Export!$AA79+GREET1_Import_Export!$C297)+O$65*($C270)+O$67*GREET1_Import_Export!$B520+O$68*GREET1_Import_Export!$C520+O$69*SUM($B101:$C101)+MAX(O$73,0)*O$50*(MMULT('GREET2_Factors_T&amp;D'!$B22:$C22+0,P$37:P$38+0))+MAX(O$74,0)*O$50*(MMULT('GREET2_Factors_T&amp;D'!$D22:$E22+0,P$35:P$36+0))</f>
        <v>0.45353838816280823</v>
      </c>
      <c r="P101" s="585"/>
      <c r="Q101" s="584">
        <f t="array" aca="1" ref="Q101" ca="1">Q$60*(Q$50*Q$28*GREET1_Import_Export!$K79+GREET1_Import_Export!$F$179*GREET1_Import_Export!$B208+GREET1_Import_Export!$F208)+Q$61*(Q$50*GREET1_Import_Export!$T79+GREET1_Import_Export!$C$179*GREET1_Import_Export!$B208+GREET1_Import_Export!$C208)+Q$62*(Q$50*GREET1_Import_Export!$O79+GREET1_Import_Export!$G$179*GREET1_Import_Export!$B208+GREET1_Import_Export!$G208)+Q$63*(Q$50*Q$29*GREET1_Import_Export!$B79+$B270)+Q$64*(Q$50*Q$32*GREET1_Import_Export!$AA79+GREET1_Import_Export!$C297)+Q$65*($C270)+Q$67*GREET1_Import_Export!$B520+Q$68*GREET1_Import_Export!$C520+Q$69*SUM($B101:$C101)+MAX(Q$73,0)*Q$50*(MMULT('GREET2_Factors_T&amp;D'!$B22:$C22+0,Q$37:Q$38+0))+MAX(Q$74,0)*Q$50*(MMULT('GREET2_Factors_T&amp;D'!$D22:$E22+0,Q$35:Q$36+0))</f>
        <v>2.6742175582015019E-2</v>
      </c>
      <c r="R101" s="585"/>
      <c r="S101" s="584">
        <f t="array" aca="1" ref="S101" ca="1">S$60*(S$50*R$28*GREET1_Import_Export!$K79+GREET1_Import_Export!$F$179*GREET1_Import_Export!$B208+GREET1_Import_Export!$F208)+S$61*(S$50*GREET1_Import_Export!$T79+GREET1_Import_Export!$C$179*GREET1_Import_Export!$B208+GREET1_Import_Export!$C208)+S$62*(S$50*GREET1_Import_Export!$O79+GREET1_Import_Export!$G$179*GREET1_Import_Export!$B208+GREET1_Import_Export!$G208)+S$63*(S$50*R$29*GREET1_Import_Export!$B79+$B270)+S$64*(S$50*R$32*GREET1_Import_Export!$AA79+GREET1_Import_Export!$C297)+S$65*($C270)+S$67*GREET1_Import_Export!$B520+S$68*GREET1_Import_Export!$C520+S$69*SUM($B101:$C101)+MAX(S$73,0)*S$50*(MMULT('GREET2_Factors_T&amp;D'!$B22:$C22+0,R$37:R$38+0))+MAX(S$74,0)*S$50*(MMULT('GREET2_Factors_T&amp;D'!$D22:$E22+0,R$35:R$36+0))</f>
        <v>0.89560697601107231</v>
      </c>
      <c r="T101" s="585"/>
      <c r="U101" s="584">
        <f t="array" aca="1" ref="U101" ca="1">U$60*(U$50*S$28*GREET1_Import_Export!$K79+GREET1_Import_Export!$F$179*GREET1_Import_Export!$B208+GREET1_Import_Export!$F208)+U$61*(U$50*GREET1_Import_Export!$T79+GREET1_Import_Export!$C$179*GREET1_Import_Export!$B208+GREET1_Import_Export!$C208)+U$62*(U$50*GREET1_Import_Export!$O79+GREET1_Import_Export!$G$179*GREET1_Import_Export!$B208+GREET1_Import_Export!$G208)+U$63*(U$50*S$29*GREET1_Import_Export!$B79+$B270)+U$64*(U$50*S$32*GREET1_Import_Export!$AA79+GREET1_Import_Export!$C297)+U$65*($C270)+U$67*GREET1_Import_Export!$B520+U$68*GREET1_Import_Export!$C520+U$69*SUM($B101:$C101)+MAX(U$73,0)*U$50*(MMULT('GREET2_Factors_T&amp;D'!$B22:$C22+0,S$37:S$38+0))+MAX(U$74,0)*U$50*(MMULT('GREET2_Factors_T&amp;D'!$D22:$E22+0,S$35:S$36+0))</f>
        <v>0.44508448689970931</v>
      </c>
      <c r="V101" s="585"/>
      <c r="W101" s="584">
        <f t="array" aca="1" ref="W101" ca="1">W$60*(W$50*T$28*GREET1_Import_Export!$K79+GREET1_Import_Export!$F$179*GREET1_Import_Export!$B208+GREET1_Import_Export!$F208)+W$61*(W$50*GREET1_Import_Export!$T79+GREET1_Import_Export!$C$179*GREET1_Import_Export!$B208+GREET1_Import_Export!$C208)+W$62*(W$50*GREET1_Import_Export!$O79+GREET1_Import_Export!$G$179*GREET1_Import_Export!$B208+GREET1_Import_Export!$G208)+W$63*(W$50*T$29*GREET1_Import_Export!$B79+$B270)+W$64*(W$50*T$32*GREET1_Import_Export!$AA79+GREET1_Import_Export!$C297)+W$65*($C270)+W$67*GREET1_Import_Export!$B520+W$68*GREET1_Import_Export!$C520+W$69*SUM($B101:$C101)+MAX(W$73,0)*W$50*(MMULT('GREET2_Factors_T&amp;D'!$B22:$C22+0,T$37:T$38+0))+MAX(W$74,0)*W$50*(MMULT('GREET2_Factors_T&amp;D'!$D22:$E22+0,T$35:T$36+0))</f>
        <v>0.55013722959713418</v>
      </c>
      <c r="X101" s="585"/>
      <c r="Y101" s="584">
        <f t="array" aca="1" ref="Y101" ca="1">Y$60*(Y$50*U$28*GREET1_Import_Export!$K79+GREET1_Import_Export!$F$179*GREET1_Import_Export!$B208+GREET1_Import_Export!$F208)+Y$61*(Y$50*GREET1_Import_Export!$T79+GREET1_Import_Export!$C$179*GREET1_Import_Export!$B208+GREET1_Import_Export!$C208)+Y$62*(Y$50*GREET1_Import_Export!$O79+GREET1_Import_Export!$G$179*GREET1_Import_Export!$B208+GREET1_Import_Export!$G208)+Y$63*(Y$50*U$29*GREET1_Import_Export!$B79+$B270)+Y$64*(Y$50*U$32*GREET1_Import_Export!$AA79+GREET1_Import_Export!$C297)+Y$65*($C270)+Y$67*GREET1_Import_Export!$B520+Y$68*GREET1_Import_Export!$C520+Y$69*SUM($B101:$C101)+MAX(Y$73,0)*Y$50*(MMULT('GREET2_Factors_T&amp;D'!$B22:$C22+0,U$37:U$38+0))+MAX(Y$74,0)*Y$50*(MMULT('GREET2_Factors_T&amp;D'!$D22:$E22+0,U$35:U$36+0))</f>
        <v>0.98101617259721263</v>
      </c>
      <c r="Z101" s="585">
        <f>Z89*Y$50</f>
        <v>0</v>
      </c>
      <c r="AA101" s="584">
        <f t="array" aca="1" ref="AA101" ca="1">AA$60*(AA$50*V$28*GREET1_Import_Export!$K79+GREET1_Import_Export!$F$179*GREET1_Import_Export!$B208+GREET1_Import_Export!$F208)+AA$61*(AA$50*GREET1_Import_Export!$T79+GREET1_Import_Export!$C$179*GREET1_Import_Export!$B208+GREET1_Import_Export!$C208)+AA$62*(AA$50*GREET1_Import_Export!$O79+GREET1_Import_Export!$G$179*GREET1_Import_Export!$B208+GREET1_Import_Export!$G208)+AA$63*(AA$50*V$29*GREET1_Import_Export!$B79+$B270)+AA$64*(AA$50*V$32*GREET1_Import_Export!$AA79+GREET1_Import_Export!$C297)+AA$65*($C270)+AA$67*GREET1_Import_Export!$B520+AA$68*GREET1_Import_Export!$C520+AA$69*SUM($B101:$C101)+MAX(AA$73,0)*AA$50*(MMULT('GREET2_Factors_T&amp;D'!$B22:$C22+0,V$37:V$38+0))+MAX(AA$74,0)*AA$50*(MMULT('GREET2_Factors_T&amp;D'!$D22:$E22+0,V$35:V$36+0))</f>
        <v>0.69886776607908507</v>
      </c>
      <c r="AB101" s="585">
        <f>AB89*AA$50</f>
        <v>0</v>
      </c>
      <c r="AC101" s="584">
        <f t="array" aca="1" ref="AC101" ca="1">AC$60*(AC$50*W$28*GREET1_Import_Export!$K79+GREET1_Import_Export!$F$179*GREET1_Import_Export!$B208+GREET1_Import_Export!$F208)+AC$61*(AC$50*GREET1_Import_Export!$T79+GREET1_Import_Export!$C$179*GREET1_Import_Export!$B208+GREET1_Import_Export!$C208)+AC$62*(AC$50*GREET1_Import_Export!$O79+GREET1_Import_Export!$G$179*GREET1_Import_Export!$B208+GREET1_Import_Export!$G208)+AC$63*(AC$50*W$29*GREET1_Import_Export!$B79+$B270)+AC$64*(AC$50*W$32*GREET1_Import_Export!$AA79+GREET1_Import_Export!$C297)+AC$65*($C270)+AC$67*GREET1_Import_Export!$B520+AC$68*GREET1_Import_Export!$C520+AC$69*SUM($B101:$C101)+MAX(AC$73,0)*AC$50*(MMULT('GREET2_Factors_T&amp;D'!$B22:$C22+0,W$37:W$38+0))+MAX(AC$74,0)*AC$50*(MMULT('GREET2_Factors_T&amp;D'!$D22:$E22+0,W$35:W$36+0))</f>
        <v>0.34547308168153379</v>
      </c>
      <c r="AD101" s="585">
        <f>AD89*AC$50</f>
        <v>0</v>
      </c>
      <c r="AE101" s="771">
        <f t="array" ref="AE101">AE$60*(AE$50*H$28*GREET1_Import_Export!$K79+GREET1_Import_Export!$F$179*GREET1_Import_Export!$B208+GREET1_Import_Export!$F208)+AE$61*(AE$50*GREET1_Import_Export!$T79+GREET1_Import_Export!$C$179*GREET1_Import_Export!$B208+GREET1_Import_Export!$C208)+AE$62*(AE$50*GREET1_Import_Export!$O79+GREET1_Import_Export!$H$179*GREET1_Import_Export!$B208+GREET1_Import_Export!$H208)+AE$63*(AE$50*H$29*GREET1_Import_Export!$B79+$B270)+AE$64*(AE$50*H$32*GREET1_Import_Export!$AA79+GREET1_Import_Export!$C297)+AE$65*($C270)+AE$67*GREET1_Import_Export!$B520+AE$68*GREET1_Import_Export!$C520+MAX(AE$73,0)*AE$50*(MMULT('GREET2_Factors_T&amp;D'!$B22:$C22+0,H$37:H$38+0))+MAX(AE$74,0)*AE$50*(MMULT('GREET2_Factors_T&amp;D'!$D22:$E22+0,H$35:H$36+0))</f>
        <v>0.54842211626790593</v>
      </c>
      <c r="AF101" s="1031"/>
      <c r="AG101" s="771">
        <f t="array" ref="AG101">AG$60*(AG$50*I$28*GREET1_Import_Export!$K79+GREET1_Import_Export!$F$179*GREET1_Import_Export!$B208+GREET1_Import_Export!$F208)+AG$61*(AG$50*GREET1_Import_Export!$T79+GREET1_Import_Export!$C$179*GREET1_Import_Export!$B208+GREET1_Import_Export!$C208)+AG$62*(AG$50*GREET1_Import_Export!$O79+GREET1_Import_Export!$H$179*GREET1_Import_Export!$B208+GREET1_Import_Export!$H208)+AG$63*(AG$50*I$29*GREET1_Import_Export!$B79+$B270)+AG$64*(AG$50*I$32*GREET1_Import_Export!$AA79+GREET1_Import_Export!$C297)+AG$65*($C270)+AG$67*GREET1_Import_Export!$B520+AG$68*GREET1_Import_Export!$C520+MAX(AG$73,0)*AG$50*(MMULT('GREET2_Factors_T&amp;D'!$B22:$C22+0,I$37:I$38+0))+MAX(AG$74,0)*AG$50*(MMULT('GREET2_Factors_T&amp;D'!$D22:$E22+0,I$35:I$36+0))</f>
        <v>0.27731745407386937</v>
      </c>
      <c r="AH101" s="1031"/>
      <c r="AI101" s="771">
        <f t="array" ref="AI101">AI$60*(AI$50*J$28*GREET1_Import_Export!$K79+GREET1_Import_Export!$F$179*GREET1_Import_Export!$B208+GREET1_Import_Export!$F208)+AI$61*(AI$50*GREET1_Import_Export!$T79+GREET1_Import_Export!$C$179*GREET1_Import_Export!$B208+GREET1_Import_Export!$C208)+AI$62*(AI$50*GREET1_Import_Export!$O79+GREET1_Import_Export!$H$179*GREET1_Import_Export!$B208+GREET1_Import_Export!$H208)+AI$63*(AI$50*J$29*GREET1_Import_Export!$B79+$B270)+AI$64*(AI$50*UT$32*GREET1_Import_Export!$AA79+GREET1_Import_Export!$C297)+AI$65*($C270)+AI$67*GREET1_Import_Export!$B520+AI$68*GREET1_Import_Export!$C520+MAX(AI$73,0)*AI$50*(MMULT('GREET2_Factors_T&amp;D'!$B22:$C22+0,J$37:J$38+0))+MAX(AI$74,0)*AI$50*(MMULT('GREET2_Factors_T&amp;D'!$D22:$E22+0,J$35:J$36+0))</f>
        <v>0.45574429966896812</v>
      </c>
      <c r="AJ101" s="1031"/>
      <c r="AK101" s="771">
        <f t="array" ref="AK101">AK$60*(AK$50*K$28*GREET1_Import_Export!$K79+GREET1_Import_Export!$F$179*GREET1_Import_Export!$B208+GREET1_Import_Export!$F208)+AK$61*(AK$50*GREET1_Import_Export!$T79+GREET1_Import_Export!$C$179*GREET1_Import_Export!$B208+GREET1_Import_Export!$C208)+AK$62*(AK$50*GREET1_Import_Export!$O79+GREET1_Import_Export!$H$179*GREET1_Import_Export!$B208+GREET1_Import_Export!$H208)+AK$63*(AK$50*K$29*GREET1_Import_Export!$B79+$B270)+AK$64*(AK$50*UV$32*GREET1_Import_Export!$AA79+GREET1_Import_Export!$C297)+AK$65*($C270)+AK$67*GREET1_Import_Export!$B520+AK$68*GREET1_Import_Export!$C520+MAX(AK$73,0)*AK$50*(MMULT('GREET2_Factors_T&amp;D'!$B22:$C22+0,K$37:K$38+0))+MAX(AK$74,0)*AK$50*(MMULT('GREET2_Factors_T&amp;D'!$D22:$E22+0,K$35:K$36+0))+AK$66*$D270</f>
        <v>0.41449592197092044</v>
      </c>
      <c r="AL101" s="1031"/>
      <c r="AM101" s="771">
        <f t="array" ref="AM101">AM$60*(AM$50*L$28*GREET1_Import_Export!$K79+GREET1_Import_Export!$F$179*GREET1_Import_Export!$B208+GREET1_Import_Export!$F208)+AM$61*(AM$50*GREET1_Import_Export!$T79+GREET1_Import_Export!$C$179*GREET1_Import_Export!$B208+GREET1_Import_Export!$C208)+AM$62*(AM$50*GREET1_Import_Export!$O79+GREET1_Import_Export!$H$179*GREET1_Import_Export!$B208+GREET1_Import_Export!$H208)+AM$63*(AM$50*L$29*GREET1_Import_Export!$B79+$B270)+AM$64*(AM$50*UX$32*GREET1_Import_Export!$AA79+GREET1_Import_Export!$C297)+AM$65*($C270)+AM$67*GREET1_Import_Export!$B520+AM$68*GREET1_Import_Export!$C520+MAX(AM$73,0)*AM$50*(MMULT('GREET2_Factors_T&amp;D'!$B22:$C22+0,L$37:L$38+0))+MAX(AM$74,0)*AM$50*(MMULT('GREET2_Factors_T&amp;D'!$D22:$E22+0,L$35:L$36+0))</f>
        <v>1.5654208550751523</v>
      </c>
      <c r="AN101" s="1031"/>
      <c r="AO101" s="771">
        <f t="array" ref="AO101">AO$60*(AO$50*M$28*GREET1_Import_Export!$K79+GREET1_Import_Export!$F$179*GREET1_Import_Export!$B208+GREET1_Import_Export!$F208)+AO$61*(AO$50*GREET1_Import_Export!$T79+GREET1_Import_Export!$C$179*GREET1_Import_Export!$B208+GREET1_Import_Export!$C208)+AO$62*(AO$50*GREET1_Import_Export!$O79+GREET1_Import_Export!$H$179*GREET1_Import_Export!$B208+GREET1_Import_Export!$H208)+AO$63*(AO$50*M$29*GREET1_Import_Export!$B79+$B270)+AO$64*(AO$50*UZ$32*GREET1_Import_Export!$AA79+GREET1_Import_Export!$C297)+AO$65*($C270)+AO$67*GREET1_Import_Export!$B520+AO$68*GREET1_Import_Export!$C520+MAX(AO$73,0)*AO$50*(MMULT('GREET2_Factors_T&amp;D'!$B22:$C22+0,M$37:M$38+0))+MAX(AO$74,0)*AO$50*(MMULT('GREET2_Factors_T&amp;D'!$D22:$E22+0,M$35:M$36+0))</f>
        <v>0.57055436764105494</v>
      </c>
      <c r="AP101" s="1031"/>
      <c r="AQ101" s="771">
        <f t="array" ref="AQ101">AQ$60*(AQ$50*N$28*GREET1_Import_Export!$K79+GREET1_Import_Export!$F$179*GREET1_Import_Export!$B208+GREET1_Import_Export!$F208)+AQ$61*(AQ$50*GREET1_Import_Export!$T79+GREET1_Import_Export!$C$179*GREET1_Import_Export!$B208+GREET1_Import_Export!$C208)+AQ$62*(AQ$50*GREET1_Import_Export!$O79+GREET1_Import_Export!$H$179*GREET1_Import_Export!$B208+GREET1_Import_Export!$H208)+AQ$63*(AQ$50*N$29*GREET1_Import_Export!$B79+$B270)+AQ$64*(AQ$50*VB$32*GREET1_Import_Export!$AA79+GREET1_Import_Export!$C297)+AQ$65*($C270)+AQ$67*GREET1_Import_Export!$B520+AQ$68*GREET1_Import_Export!$C520+MAX(AQ$73,0)*AQ$50*(MMULT('GREET2_Factors_T&amp;D'!$B22:$C22+0,N$37:N$38+0))+MAX(AQ$74,0)*AQ$50*(MMULT('GREET2_Factors_T&amp;D'!$D22:$E22+0,N$35:N$36+0))+AQ$66*$D270</f>
        <v>0.40659727353522845</v>
      </c>
      <c r="AR101" s="1031"/>
      <c r="AS101" s="771">
        <f t="array" ref="AS101">AS$60*(AS$50*O$28*GREET1_Import_Export!$K79+GREET1_Import_Export!$F$179*GREET1_Import_Export!$B208+GREET1_Import_Export!$F208)+AS$61*(AS$50*GREET1_Import_Export!$T79+GREET1_Import_Export!$C$179*GREET1_Import_Export!$B208+GREET1_Import_Export!$C208)+AS$62*(AS$50*GREET1_Import_Export!$O79+GREET1_Import_Export!$H$179*GREET1_Import_Export!$B208+GREET1_Import_Export!$H208)+AS$63*(AS$50*O$29*GREET1_Import_Export!$B79+$B270)+AS$64*(AS$50*VD$32*GREET1_Import_Export!$AA79+GREET1_Import_Export!$C297)+AS$65*($C270)+AS$67*GREET1_Import_Export!$B520+AS$68*GREET1_Import_Export!$C520+MAX(AS$73,0)*AS$50*(MMULT('GREET2_Factors_T&amp;D'!$B22:$C22+0,O$37:O$38+0))+MAX(AS$74,0)*AS$50*(MMULT('GREET2_Factors_T&amp;D'!$D22:$E22+0,O$35:O$36+0))</f>
        <v>1.5654208550751523</v>
      </c>
      <c r="AT101" s="1031"/>
    </row>
    <row r="102" spans="1:46">
      <c r="B102" s="489"/>
      <c r="C102" s="489"/>
    </row>
    <row r="103" spans="1:46" ht="15">
      <c r="A103" s="75" t="s">
        <v>833</v>
      </c>
      <c r="B103" s="489"/>
      <c r="C103" s="489"/>
    </row>
    <row r="104" spans="1:46">
      <c r="A104" s="3" t="s">
        <v>834</v>
      </c>
    </row>
    <row r="105" spans="1:46" ht="174.75" customHeight="1">
      <c r="A105" s="80"/>
      <c r="B105" s="2624" t="s">
        <v>764</v>
      </c>
      <c r="C105" s="2624" t="s">
        <v>835</v>
      </c>
      <c r="D105" s="2523" t="s">
        <v>332</v>
      </c>
      <c r="E105" s="2524" t="s">
        <v>333</v>
      </c>
      <c r="F105" s="2524" t="s">
        <v>334</v>
      </c>
      <c r="G105" s="2525" t="s">
        <v>335</v>
      </c>
      <c r="H105" s="2524" t="s">
        <v>336</v>
      </c>
      <c r="I105" s="3054" t="s">
        <v>836</v>
      </c>
      <c r="J105" s="3055"/>
      <c r="K105" s="3054" t="s">
        <v>837</v>
      </c>
      <c r="L105" s="3055"/>
      <c r="M105" s="3054" t="s">
        <v>838</v>
      </c>
      <c r="N105" s="3055"/>
      <c r="O105" s="3054" t="s">
        <v>839</v>
      </c>
      <c r="P105" s="3055"/>
      <c r="Q105" s="3054" t="s">
        <v>840</v>
      </c>
      <c r="R105" s="3055"/>
      <c r="S105" s="2523" t="s">
        <v>841</v>
      </c>
      <c r="T105" s="2525"/>
      <c r="U105" s="3054" t="s">
        <v>842</v>
      </c>
      <c r="V105" s="3055"/>
      <c r="W105" s="1719" t="s">
        <v>2631</v>
      </c>
      <c r="X105" s="2634" t="str">
        <f>"Steel production from DRI_100% NG 
("&amp;ROUND(B24,2)*100&amp;"% DRI and" &amp;ROUND(C24,2)*100 &amp;"% scrap)"</f>
        <v>Steel production from DRI_100% NG 
(75% DRI and25% scrap)</v>
      </c>
      <c r="Y105" s="1719" t="s">
        <v>2632</v>
      </c>
      <c r="Z105" s="1719" t="str">
        <f>"Steel production from DRI_83% H2
("&amp;ROUND(B24,2)*100&amp;"% DRI and" &amp;ROUND(C24,2)*100 &amp;"% scrap)"</f>
        <v>Steel production from DRI_83% H2
(75% DRI and25% scrap)</v>
      </c>
      <c r="AA105" s="1719" t="s">
        <v>2633</v>
      </c>
      <c r="AB105" s="1719" t="str">
        <f>"Steel production from FIT_100% H2
("&amp;ROUND(B24,2)*100&amp;"% DRI and" &amp;ROUND(C24,2)*100 &amp;"% scrap)"</f>
        <v>Steel production from FIT_100% H2
(75% DRI and25% scrap)</v>
      </c>
    </row>
    <row r="106" spans="1:46">
      <c r="A106" s="1627" t="s">
        <v>843</v>
      </c>
      <c r="B106" s="1355"/>
      <c r="C106" s="1427"/>
      <c r="D106" s="1627">
        <f>B10</f>
        <v>1.0309999999999999</v>
      </c>
      <c r="E106" s="1312">
        <f>C10</f>
        <v>1.0149999999999999</v>
      </c>
      <c r="F106" s="1312">
        <f>D10</f>
        <v>1.054</v>
      </c>
      <c r="G106" s="1646">
        <f>E10</f>
        <v>1</v>
      </c>
      <c r="H106" s="1647">
        <f>F10</f>
        <v>1</v>
      </c>
      <c r="I106" s="1627"/>
      <c r="J106" s="1178"/>
      <c r="K106" s="1312"/>
      <c r="L106" s="1312"/>
      <c r="M106" s="1627"/>
      <c r="N106" s="1178"/>
      <c r="O106" s="1312"/>
      <c r="P106" s="1312"/>
      <c r="Q106" s="1627"/>
      <c r="R106" s="1178"/>
      <c r="S106" s="1312"/>
      <c r="T106" s="1312"/>
      <c r="U106" s="1627"/>
      <c r="V106" s="1178"/>
      <c r="W106" s="1355"/>
      <c r="X106" s="2635"/>
      <c r="Y106" s="1355"/>
      <c r="Z106" s="2635"/>
      <c r="AA106" s="2635"/>
      <c r="AB106" s="2635"/>
    </row>
    <row r="107" spans="1:46">
      <c r="A107" s="177" t="s">
        <v>844</v>
      </c>
      <c r="B107" s="490"/>
      <c r="C107" s="489"/>
      <c r="D107" s="173"/>
      <c r="G107" s="51"/>
      <c r="I107" s="191" t="s">
        <v>845</v>
      </c>
      <c r="J107" s="329" t="s">
        <v>846</v>
      </c>
      <c r="K107" s="330" t="s">
        <v>845</v>
      </c>
      <c r="L107" s="330" t="s">
        <v>846</v>
      </c>
      <c r="M107" s="191" t="s">
        <v>845</v>
      </c>
      <c r="N107" s="329" t="s">
        <v>846</v>
      </c>
      <c r="O107" s="330" t="s">
        <v>845</v>
      </c>
      <c r="P107" s="330" t="s">
        <v>846</v>
      </c>
      <c r="Q107" s="191" t="s">
        <v>845</v>
      </c>
      <c r="R107" s="329" t="s">
        <v>846</v>
      </c>
      <c r="S107" s="330" t="s">
        <v>845</v>
      </c>
      <c r="T107" s="330" t="s">
        <v>846</v>
      </c>
      <c r="U107" s="191" t="s">
        <v>845</v>
      </c>
      <c r="V107" s="329" t="s">
        <v>846</v>
      </c>
      <c r="W107" s="570" t="s">
        <v>845</v>
      </c>
      <c r="X107" s="570" t="s">
        <v>845</v>
      </c>
      <c r="Y107" s="570" t="s">
        <v>845</v>
      </c>
      <c r="Z107" s="570" t="s">
        <v>845</v>
      </c>
      <c r="AA107" s="570" t="s">
        <v>845</v>
      </c>
      <c r="AB107" s="570" t="s">
        <v>845</v>
      </c>
    </row>
    <row r="108" spans="1:46">
      <c r="A108" s="173" t="s">
        <v>816</v>
      </c>
      <c r="B108" s="914">
        <f t="shared" ref="B108:B113" ca="1" si="30">D75/-SUM(E$70:E$74)*25.674</f>
        <v>26.55484993894758</v>
      </c>
      <c r="C108" s="479">
        <f t="shared" ref="C108:C113" ca="1" si="31">SUM(D75:N75)</f>
        <v>18.383653193613121</v>
      </c>
      <c r="D108" s="234">
        <f t="shared" ref="D108:D113" ca="1" si="32">SUM(O75:P75)</f>
        <v>3.4486574674497925</v>
      </c>
      <c r="E108" s="228">
        <f t="shared" ref="E108:E113" ca="1" si="33">SUM(Q75:R75)</f>
        <v>0.11717271000510754</v>
      </c>
      <c r="F108" s="228">
        <f t="shared" ref="F108:F113" ca="1" si="34">SUM(S75:T75)</f>
        <v>3.4282745630657905</v>
      </c>
      <c r="G108" s="235">
        <f t="shared" ref="G108:G113" ca="1" si="35">SUM(U75:V75)</f>
        <v>2.703818046663955</v>
      </c>
      <c r="H108" s="228">
        <f t="shared" ref="H108:H113" ca="1" si="36">W75</f>
        <v>1.7439352936944954</v>
      </c>
      <c r="I108" s="234">
        <f t="shared" ref="I108:I113" ca="1" si="37">($C108*$D$106+$D108)*$E$106+$E108</f>
        <v>22.855409678720996</v>
      </c>
      <c r="J108" s="235">
        <f t="shared" ref="J108:J113" ca="1" si="38">I108/2000</f>
        <v>1.1427704839360498E-2</v>
      </c>
      <c r="K108" s="228">
        <f t="shared" ref="K108:K113" ca="1" si="39">($C108*$D$106+$D108)*$F$106+$F108</f>
        <v>27.040197484274213</v>
      </c>
      <c r="L108" s="228">
        <f t="shared" ref="L108:L113" ca="1" si="40">K108/2000</f>
        <v>1.3520098742137106E-2</v>
      </c>
      <c r="M108" s="234">
        <f t="shared" ref="M108:M113" ca="1" si="41">(($C108*$D$106+$D108)*$F$106+$F108)*$G$106+$G108</f>
        <v>29.744015530938167</v>
      </c>
      <c r="N108" s="235">
        <f t="shared" ref="N108:N113" ca="1" si="42">M108/2000</f>
        <v>1.4872007765469084E-2</v>
      </c>
      <c r="O108" s="228">
        <f ca="1">I108*$H$106+$H108</f>
        <v>24.599344972415491</v>
      </c>
      <c r="P108" s="228">
        <f t="shared" ref="P108:P113" ca="1" si="43">O108/2000</f>
        <v>1.2299672486207745E-2</v>
      </c>
      <c r="Q108" s="234">
        <f ca="1">K108*$H$106+$H108</f>
        <v>28.784132777968708</v>
      </c>
      <c r="R108" s="235">
        <f t="shared" ref="R108:R113" ca="1" si="44">Q108/2000</f>
        <v>1.4392066388984354E-2</v>
      </c>
      <c r="S108" s="228">
        <f ca="1">M108*$H$106+$H108</f>
        <v>31.487950824632662</v>
      </c>
      <c r="T108" s="228">
        <f t="shared" ref="T108:T113" ca="1" si="45">S108/2000</f>
        <v>1.5743975412316331E-2</v>
      </c>
      <c r="U108" s="234">
        <f t="shared" ref="U108:U113" ca="1" si="46">O108*$A$6+Q108*$B$6+S108*$C$6</f>
        <v>29.518025742902026</v>
      </c>
      <c r="V108" s="235">
        <f t="shared" ref="V108:V113" ca="1" si="47">U108/2000</f>
        <v>1.4759012871451012E-2</v>
      </c>
      <c r="W108" s="914">
        <f t="shared" ref="W108:W113" si="48">SUM(AE75:AJ75,AM75:AN75)</f>
        <v>24.538605094149883</v>
      </c>
      <c r="X108" s="914">
        <f t="shared" ref="X108:X125" ca="1" si="49">W108*B$24+C$24*(Y75+Z75)</f>
        <v>19.266965753269101</v>
      </c>
      <c r="Y108" s="914">
        <f t="shared" ref="Y108:Y125" si="50">SUM(AE75:AH75,AK75:AN75)</f>
        <v>34.77683237981303</v>
      </c>
      <c r="Z108" s="914">
        <f t="shared" ref="Z108:Z125" ca="1" si="51">Y108*B$24+C$24*(Y75+Z75)</f>
        <v>26.903765037979657</v>
      </c>
      <c r="AA108" s="914">
        <f t="shared" ref="AA108:AA125" si="52">SUM(AO75:AT75)</f>
        <v>37.425515591140773</v>
      </c>
      <c r="AB108" s="914">
        <f t="shared" ref="AB108:AB125" ca="1" si="53">AA108*B$24+C$24*(Y75+Z75)</f>
        <v>28.879445152252718</v>
      </c>
    </row>
    <row r="109" spans="1:46">
      <c r="A109" s="173" t="s">
        <v>817</v>
      </c>
      <c r="B109" s="914">
        <f t="shared" ca="1" si="30"/>
        <v>26.478051926081232</v>
      </c>
      <c r="C109" s="479">
        <f t="shared" ca="1" si="31"/>
        <v>18.049259692455941</v>
      </c>
      <c r="D109" s="234">
        <f t="shared" ca="1" si="32"/>
        <v>3.1510872421437321</v>
      </c>
      <c r="E109" s="228">
        <f t="shared" ca="1" si="33"/>
        <v>9.9541204625136728E-2</v>
      </c>
      <c r="F109" s="228">
        <f t="shared" ca="1" si="34"/>
        <v>2.8377878553762899</v>
      </c>
      <c r="G109" s="235">
        <f t="shared" ca="1" si="35"/>
        <v>2.4103673698016177</v>
      </c>
      <c r="H109" s="228">
        <f t="shared" ca="1" si="36"/>
        <v>1.3812218153682405</v>
      </c>
      <c r="I109" s="234">
        <f t="shared" ca="1" si="37"/>
        <v>22.185813299466929</v>
      </c>
      <c r="J109" s="235">
        <f t="shared" ca="1" si="38"/>
        <v>1.1092906649733465E-2</v>
      </c>
      <c r="K109" s="228">
        <f t="shared" ca="1" si="39"/>
        <v>25.77269503563565</v>
      </c>
      <c r="L109" s="228">
        <f t="shared" ca="1" si="40"/>
        <v>1.2886347517817824E-2</v>
      </c>
      <c r="M109" s="234">
        <f t="shared" ca="1" si="41"/>
        <v>28.183062405437269</v>
      </c>
      <c r="N109" s="235">
        <f t="shared" ca="1" si="42"/>
        <v>1.4091531202718634E-2</v>
      </c>
      <c r="O109" s="228">
        <f t="shared" ref="O109:S112" ca="1" si="54">I109*$H$106+$H109</f>
        <v>23.567035114835171</v>
      </c>
      <c r="P109" s="228">
        <f t="shared" ca="1" si="43"/>
        <v>1.1783517557417586E-2</v>
      </c>
      <c r="Q109" s="234">
        <f t="shared" ca="1" si="54"/>
        <v>27.153916851003892</v>
      </c>
      <c r="R109" s="235">
        <f t="shared" ca="1" si="44"/>
        <v>1.3576958425501946E-2</v>
      </c>
      <c r="S109" s="228">
        <f t="shared" ca="1" si="54"/>
        <v>29.564284220805511</v>
      </c>
      <c r="T109" s="228">
        <f t="shared" ca="1" si="45"/>
        <v>1.4782142110402756E-2</v>
      </c>
      <c r="U109" s="234">
        <f t="shared" ca="1" si="46"/>
        <v>27.838484491813659</v>
      </c>
      <c r="V109" s="235">
        <f t="shared" ca="1" si="47"/>
        <v>1.391924224590683E-2</v>
      </c>
      <c r="W109" s="914">
        <f t="shared" si="48"/>
        <v>22.747263855368587</v>
      </c>
      <c r="X109" s="914">
        <f t="shared" ca="1" si="49"/>
        <v>17.766716548042744</v>
      </c>
      <c r="Y109" s="914">
        <f t="shared" si="50"/>
        <v>12.927566936954186</v>
      </c>
      <c r="Z109" s="914">
        <f t="shared" ca="1" si="51"/>
        <v>10.442103379156229</v>
      </c>
      <c r="AA109" s="914">
        <f t="shared" si="52"/>
        <v>8.4961063456746153</v>
      </c>
      <c r="AB109" s="914">
        <f t="shared" ca="1" si="53"/>
        <v>7.1366312374020708</v>
      </c>
    </row>
    <row r="110" spans="1:46">
      <c r="A110" s="173" t="s">
        <v>805</v>
      </c>
      <c r="B110" s="914">
        <f t="shared" ca="1" si="30"/>
        <v>25.45716495783806</v>
      </c>
      <c r="C110" s="479">
        <f t="shared" ca="1" si="31"/>
        <v>15.092944773475974</v>
      </c>
      <c r="D110" s="234">
        <f t="shared" ca="1" si="32"/>
        <v>1.7182643671305864</v>
      </c>
      <c r="E110" s="228">
        <f t="shared" ca="1" si="33"/>
        <v>5.5707501768139531E-2</v>
      </c>
      <c r="F110" s="228">
        <f t="shared" ca="1" si="34"/>
        <v>1.3697782709382422</v>
      </c>
      <c r="G110" s="235">
        <f t="shared" ca="1" si="35"/>
        <v>1.6808193535907816</v>
      </c>
      <c r="H110" s="228">
        <f t="shared" ca="1" si="36"/>
        <v>0.47947948035230226</v>
      </c>
      <c r="I110" s="234">
        <f t="shared" ca="1" si="37"/>
        <v>17.593984286781218</v>
      </c>
      <c r="J110" s="235">
        <f t="shared" ca="1" si="38"/>
        <v>8.7969921433906084E-3</v>
      </c>
      <c r="K110" s="228">
        <f t="shared" ca="1" si="39"/>
        <v>19.581939582666109</v>
      </c>
      <c r="L110" s="228">
        <f t="shared" ca="1" si="40"/>
        <v>9.7909697913330547E-3</v>
      </c>
      <c r="M110" s="234">
        <f t="shared" ca="1" si="41"/>
        <v>21.262758936256891</v>
      </c>
      <c r="N110" s="235">
        <f t="shared" ca="1" si="42"/>
        <v>1.0631379468128446E-2</v>
      </c>
      <c r="O110" s="228">
        <f t="shared" ca="1" si="54"/>
        <v>18.073463767133521</v>
      </c>
      <c r="P110" s="228">
        <f t="shared" ca="1" si="43"/>
        <v>9.0367318835667607E-3</v>
      </c>
      <c r="Q110" s="234">
        <f t="shared" ca="1" si="54"/>
        <v>20.061419063018413</v>
      </c>
      <c r="R110" s="235">
        <f t="shared" ca="1" si="44"/>
        <v>1.0030709531509207E-2</v>
      </c>
      <c r="S110" s="228">
        <f t="shared" ca="1" si="54"/>
        <v>21.742238416609194</v>
      </c>
      <c r="T110" s="228">
        <f t="shared" ca="1" si="45"/>
        <v>1.0871119208304596E-2</v>
      </c>
      <c r="U110" s="234">
        <f t="shared" ca="1" si="46"/>
        <v>20.647090469033991</v>
      </c>
      <c r="V110" s="235">
        <f t="shared" ca="1" si="47"/>
        <v>1.0323545234516996E-2</v>
      </c>
      <c r="W110" s="914">
        <f t="shared" si="48"/>
        <v>2.7417254073649056</v>
      </c>
      <c r="X110" s="914">
        <f t="shared" ca="1" si="49"/>
        <v>2.3052142545889023</v>
      </c>
      <c r="Y110" s="914">
        <f t="shared" si="50"/>
        <v>2.732953328001881</v>
      </c>
      <c r="Z110" s="914">
        <f t="shared" ca="1" si="51"/>
        <v>2.2986710701551303</v>
      </c>
      <c r="AA110" s="914">
        <f t="shared" si="52"/>
        <v>2.8820640561170041</v>
      </c>
      <c r="AB110" s="914">
        <f t="shared" ca="1" si="53"/>
        <v>2.4098942995326254</v>
      </c>
    </row>
    <row r="111" spans="1:46">
      <c r="A111" s="173" t="s">
        <v>804</v>
      </c>
      <c r="B111" s="914">
        <f t="shared" ca="1" si="30"/>
        <v>0.68148134562581342</v>
      </c>
      <c r="C111" s="479">
        <f t="shared" ca="1" si="31"/>
        <v>3.1960248417545372</v>
      </c>
      <c r="D111" s="234">
        <f t="shared" ca="1" si="32"/>
        <v>1.4180084600299854</v>
      </c>
      <c r="E111" s="228">
        <f t="shared" ca="1" si="33"/>
        <v>4.3104535815117563E-2</v>
      </c>
      <c r="F111" s="228">
        <f t="shared" ca="1" si="34"/>
        <v>1.4435894662101219</v>
      </c>
      <c r="G111" s="235">
        <f t="shared" ca="1" si="35"/>
        <v>0.71741209489419355</v>
      </c>
      <c r="H111" s="228">
        <f t="shared" ca="1" si="36"/>
        <v>0.88674198715332908</v>
      </c>
      <c r="I111" s="234">
        <f t="shared" ca="1" si="37"/>
        <v>4.8269112587722134</v>
      </c>
      <c r="J111" s="235">
        <f t="shared" ca="1" si="38"/>
        <v>2.4134556293861067E-3</v>
      </c>
      <c r="K111" s="228">
        <f t="shared" ca="1" si="39"/>
        <v>6.4112074819704965</v>
      </c>
      <c r="L111" s="228">
        <f t="shared" ca="1" si="40"/>
        <v>3.2056037409852484E-3</v>
      </c>
      <c r="M111" s="234">
        <f t="shared" ca="1" si="41"/>
        <v>7.1286195768646898</v>
      </c>
      <c r="N111" s="235">
        <f t="shared" ca="1" si="42"/>
        <v>3.5643097884323449E-3</v>
      </c>
      <c r="O111" s="228">
        <f t="shared" ca="1" si="54"/>
        <v>5.713653245925542</v>
      </c>
      <c r="P111" s="228">
        <f t="shared" ca="1" si="43"/>
        <v>2.856826622962771E-3</v>
      </c>
      <c r="Q111" s="234">
        <f t="shared" ca="1" si="54"/>
        <v>7.2979494691238251</v>
      </c>
      <c r="R111" s="235">
        <f t="shared" ca="1" si="44"/>
        <v>3.6489747345619127E-3</v>
      </c>
      <c r="S111" s="228">
        <f t="shared" ca="1" si="54"/>
        <v>8.0153615640180185</v>
      </c>
      <c r="T111" s="228">
        <f t="shared" ca="1" si="45"/>
        <v>4.0076807820090092E-3</v>
      </c>
      <c r="U111" s="234">
        <f t="shared" ca="1" si="46"/>
        <v>7.3926753987757161</v>
      </c>
      <c r="V111" s="235">
        <f t="shared" ca="1" si="47"/>
        <v>3.696337699387858E-3</v>
      </c>
      <c r="W111" s="914">
        <f t="shared" si="48"/>
        <v>18.588888814841074</v>
      </c>
      <c r="X111" s="914">
        <f t="shared" ca="1" si="49"/>
        <v>14.397548409716375</v>
      </c>
      <c r="Y111" s="914">
        <f t="shared" si="50"/>
        <v>8.8136852336679219</v>
      </c>
      <c r="Z111" s="914">
        <f t="shared" ca="1" si="51"/>
        <v>7.1061232797879486</v>
      </c>
      <c r="AA111" s="914">
        <f t="shared" si="52"/>
        <v>4.2032911222019278</v>
      </c>
      <c r="AB111" s="914">
        <f t="shared" ca="1" si="53"/>
        <v>3.6671827805883614</v>
      </c>
    </row>
    <row r="112" spans="1:46">
      <c r="A112" s="173" t="s">
        <v>818</v>
      </c>
      <c r="B112" s="914">
        <f t="shared" ca="1" si="30"/>
        <v>0.33940562261735924</v>
      </c>
      <c r="C112" s="479">
        <f t="shared" ca="1" si="31"/>
        <v>-0.2397099227745709</v>
      </c>
      <c r="D112" s="234">
        <f t="shared" ca="1" si="32"/>
        <v>1.4814414983160436E-2</v>
      </c>
      <c r="E112" s="228">
        <f t="shared" ca="1" si="33"/>
        <v>7.2916704187963178E-4</v>
      </c>
      <c r="F112" s="228">
        <f t="shared" ca="1" si="34"/>
        <v>2.4420118227925756E-2</v>
      </c>
      <c r="G112" s="235">
        <f t="shared" ca="1" si="35"/>
        <v>1.2135921316642579E-2</v>
      </c>
      <c r="H112" s="228">
        <f t="shared" ca="1" si="36"/>
        <v>1.5000347862609172E-2</v>
      </c>
      <c r="I112" s="234">
        <f t="shared" ca="1" si="37"/>
        <v>-0.2350822460865038</v>
      </c>
      <c r="J112" s="235">
        <f t="shared" ca="1" si="38"/>
        <v>-1.175411230432519E-4</v>
      </c>
      <c r="K112" s="228">
        <f t="shared" ca="1" si="39"/>
        <v>-0.2204520290009572</v>
      </c>
      <c r="L112" s="228">
        <f t="shared" ca="1" si="40"/>
        <v>-1.102260145004786E-4</v>
      </c>
      <c r="M112" s="234">
        <f t="shared" ca="1" si="41"/>
        <v>-0.20831610768431463</v>
      </c>
      <c r="N112" s="235">
        <f t="shared" ca="1" si="42"/>
        <v>-1.0415805384215731E-4</v>
      </c>
      <c r="O112" s="228">
        <f t="shared" ca="1" si="54"/>
        <v>-0.22008189822389462</v>
      </c>
      <c r="P112" s="228">
        <f t="shared" ca="1" si="43"/>
        <v>-1.1004094911194732E-4</v>
      </c>
      <c r="Q112" s="234">
        <f t="shared" ca="1" si="54"/>
        <v>-0.20545168113834802</v>
      </c>
      <c r="R112" s="235">
        <f t="shared" ca="1" si="44"/>
        <v>-1.0272584056917402E-4</v>
      </c>
      <c r="S112" s="228">
        <f t="shared" ca="1" si="54"/>
        <v>-0.19331575982170546</v>
      </c>
      <c r="T112" s="228">
        <f t="shared" ca="1" si="45"/>
        <v>-9.6657879910852723E-5</v>
      </c>
      <c r="U112" s="234">
        <f t="shared" ca="1" si="46"/>
        <v>-0.20128137599604612</v>
      </c>
      <c r="V112" s="235">
        <f t="shared" ca="1" si="47"/>
        <v>-1.0064068799802305E-4</v>
      </c>
      <c r="W112" s="916">
        <f t="shared" si="48"/>
        <v>1.4166496331626086</v>
      </c>
      <c r="X112" s="916">
        <f t="shared" ca="1" si="49"/>
        <v>1.0639538837374689</v>
      </c>
      <c r="Y112" s="916">
        <f t="shared" si="50"/>
        <v>1.3809283752843819</v>
      </c>
      <c r="Z112" s="916">
        <f t="shared" ca="1" si="51"/>
        <v>1.0373090292131504</v>
      </c>
      <c r="AA112" s="916">
        <f t="shared" si="52"/>
        <v>1.410751167355685</v>
      </c>
      <c r="AB112" s="916">
        <f t="shared" ca="1" si="53"/>
        <v>1.0595541572810849</v>
      </c>
    </row>
    <row r="113" spans="1:28">
      <c r="A113" s="1648" t="s">
        <v>847</v>
      </c>
      <c r="B113" s="2625">
        <f t="shared" ca="1" si="30"/>
        <v>98.183419520851174</v>
      </c>
      <c r="C113" s="1356">
        <f t="shared" ca="1" si="31"/>
        <v>207.73264876116909</v>
      </c>
      <c r="D113" s="1309">
        <f t="shared" ca="1" si="32"/>
        <v>78.493340654423221</v>
      </c>
      <c r="E113" s="1310">
        <f t="shared" ca="1" si="33"/>
        <v>4.5430485486071426</v>
      </c>
      <c r="F113" s="1310">
        <f t="shared" ca="1" si="34"/>
        <v>152.14865222954879</v>
      </c>
      <c r="G113" s="1444">
        <f t="shared" ca="1" si="35"/>
        <v>75.612413283875341</v>
      </c>
      <c r="H113" s="1310">
        <f t="shared" ca="1" si="36"/>
        <v>93.459117968579775</v>
      </c>
      <c r="I113" s="1309">
        <f t="shared" ca="1" si="37"/>
        <v>301.59873559870351</v>
      </c>
      <c r="J113" s="1444">
        <f t="shared" ca="1" si="38"/>
        <v>0.15079936779935177</v>
      </c>
      <c r="K113" s="1310">
        <f t="shared" ca="1" si="39"/>
        <v>460.61830163920558</v>
      </c>
      <c r="L113" s="1310">
        <f t="shared" ca="1" si="40"/>
        <v>0.23030915081960279</v>
      </c>
      <c r="M113" s="1309">
        <f t="shared" ca="1" si="41"/>
        <v>536.23071492308088</v>
      </c>
      <c r="N113" s="1444">
        <f t="shared" ca="1" si="42"/>
        <v>0.26811535746154042</v>
      </c>
      <c r="O113" s="1310">
        <f ca="1">I113*$H$106+$H113</f>
        <v>395.0578535672833</v>
      </c>
      <c r="P113" s="1310">
        <f t="shared" ca="1" si="43"/>
        <v>0.19752892678364165</v>
      </c>
      <c r="Q113" s="1309">
        <f ca="1">K113*$H$106+$H113</f>
        <v>554.07741960778537</v>
      </c>
      <c r="R113" s="1444">
        <f t="shared" ca="1" si="44"/>
        <v>0.27703870980389267</v>
      </c>
      <c r="S113" s="1310">
        <f ca="1">M113*$H$106+$H113</f>
        <v>629.68983289166067</v>
      </c>
      <c r="T113" s="1310">
        <f t="shared" ca="1" si="45"/>
        <v>0.31484491644583035</v>
      </c>
      <c r="U113" s="1309">
        <f t="shared" ca="1" si="46"/>
        <v>565.74051431699695</v>
      </c>
      <c r="V113" s="1444">
        <f t="shared" ca="1" si="47"/>
        <v>0.28287025715849845</v>
      </c>
      <c r="W113" s="2625">
        <f t="shared" si="48"/>
        <v>537.41368696433551</v>
      </c>
      <c r="X113" s="2625">
        <f t="shared" ca="1" si="49"/>
        <v>443.48221187997814</v>
      </c>
      <c r="Y113" s="2625">
        <f t="shared" si="50"/>
        <v>725.19976280587673</v>
      </c>
      <c r="Z113" s="2625">
        <f t="shared" ca="1" si="51"/>
        <v>583.55378185513098</v>
      </c>
      <c r="AA113" s="2625">
        <f t="shared" si="52"/>
        <v>749.86404559616085</v>
      </c>
      <c r="AB113" s="2625">
        <f t="shared" ca="1" si="53"/>
        <v>601.95112466803175</v>
      </c>
    </row>
    <row r="114" spans="1:28">
      <c r="A114" s="178" t="s">
        <v>848</v>
      </c>
      <c r="B114" s="915"/>
      <c r="C114" s="649"/>
      <c r="D114" s="240"/>
      <c r="E114" s="241"/>
      <c r="F114" s="241"/>
      <c r="G114" s="248"/>
      <c r="H114" s="241"/>
      <c r="I114" s="240"/>
      <c r="J114" s="248"/>
      <c r="K114" s="241"/>
      <c r="L114" s="241"/>
      <c r="M114" s="240"/>
      <c r="N114" s="248"/>
      <c r="O114" s="241"/>
      <c r="P114" s="241"/>
      <c r="Q114" s="240"/>
      <c r="R114" s="248"/>
      <c r="S114" s="241"/>
      <c r="T114" s="241"/>
      <c r="U114" s="240"/>
      <c r="V114" s="248"/>
      <c r="W114" s="915"/>
      <c r="X114" s="915">
        <f t="shared" si="49"/>
        <v>0</v>
      </c>
      <c r="Y114" s="915">
        <f t="shared" si="50"/>
        <v>0</v>
      </c>
      <c r="Z114" s="915">
        <f t="shared" si="51"/>
        <v>0</v>
      </c>
      <c r="AA114" s="915">
        <f t="shared" si="52"/>
        <v>0</v>
      </c>
      <c r="AB114" s="915">
        <f t="shared" si="53"/>
        <v>0</v>
      </c>
    </row>
    <row r="115" spans="1:28">
      <c r="A115" s="173" t="s">
        <v>821</v>
      </c>
      <c r="B115" s="914">
        <f t="shared" ref="B115:B125" ca="1" si="55">SUM(D82:E82)/-SUM(E$70:E$74)*25.674</f>
        <v>2234.3012119560603</v>
      </c>
      <c r="C115" s="479">
        <f t="shared" ref="C115:C125" ca="1" si="56">SUM(D82:N82)</f>
        <v>2834.5090309914376</v>
      </c>
      <c r="D115" s="234">
        <f t="shared" ref="D115:D125" ca="1" si="57">SUM(O82:P82)</f>
        <v>19.479398217768875</v>
      </c>
      <c r="E115" s="228">
        <f t="shared" ref="E115:E125" ca="1" si="58">SUM(Q82:R82)</f>
        <v>0.6193931061973591</v>
      </c>
      <c r="F115" s="228">
        <f t="shared" ref="F115:F125" ca="1" si="59">SUM(S82:T82)</f>
        <v>20.128838310183806</v>
      </c>
      <c r="G115" s="235">
        <f t="shared" ref="G115:G125" ca="1" si="60">SUM(U82:V82)</f>
        <v>11.243419463672316</v>
      </c>
      <c r="H115" s="228">
        <f t="shared" ref="H115:H125" ca="1" si="61">W82</f>
        <v>11.915593522352982</v>
      </c>
      <c r="I115" s="234">
        <f t="shared" ref="I115:I125" ca="1" si="62">($C115*$D$106+$D115)*$E$106+$E115</f>
        <v>2986.6054754136871</v>
      </c>
      <c r="J115" s="235">
        <f t="shared" ref="J115:J126" ca="1" si="63">I115/2000</f>
        <v>1.4933027377068435</v>
      </c>
      <c r="K115" s="228">
        <f t="shared" ref="K115:K125" ca="1" si="64">($C115*$D$106+$D115)*$F$106+$F115</f>
        <v>3120.8473907753014</v>
      </c>
      <c r="L115" s="228">
        <f t="shared" ref="L115:L126" ca="1" si="65">K115/2000</f>
        <v>1.5604236953876507</v>
      </c>
      <c r="M115" s="234">
        <f t="shared" ref="M115:M125" ca="1" si="66">(($C115*$D$106+$D115)*$F$106+$F115)*$G$106+$G115</f>
        <v>3132.0908102389735</v>
      </c>
      <c r="N115" s="235">
        <f t="shared" ref="N115:N126" ca="1" si="67">M115/2000</f>
        <v>1.5660454051194868</v>
      </c>
      <c r="O115" s="228">
        <f t="shared" ref="O115:S125" ca="1" si="68">I115*$H$106+$H115</f>
        <v>2998.5210689360401</v>
      </c>
      <c r="P115" s="228">
        <f t="shared" ref="P115:P126" ca="1" si="69">O115/2000</f>
        <v>1.4992605344680201</v>
      </c>
      <c r="Q115" s="234">
        <f t="shared" ca="1" si="68"/>
        <v>3132.7629842976544</v>
      </c>
      <c r="R115" s="235">
        <f t="shared" ref="R115:R126" ca="1" si="70">Q115/2000</f>
        <v>1.5663814921488273</v>
      </c>
      <c r="S115" s="228">
        <f t="shared" ca="1" si="68"/>
        <v>3144.0064037613265</v>
      </c>
      <c r="T115" s="228">
        <f t="shared" ref="T115:T126" ca="1" si="71">S115/2000</f>
        <v>1.5720032018806633</v>
      </c>
      <c r="U115" s="234">
        <f t="shared" ref="U115:U125" ca="1" si="72">O115*$A$6+Q115*$B$6+S115*$C$6</f>
        <v>3111.1615049956299</v>
      </c>
      <c r="V115" s="235">
        <f t="shared" ref="V115:V126" ca="1" si="73">U115/2000</f>
        <v>1.5555807524978149</v>
      </c>
      <c r="W115" s="914">
        <f t="shared" ref="W115:W125" si="74">SUM(AE82:AJ82,AM82:AN82)</f>
        <v>235.55841282734784</v>
      </c>
      <c r="X115" s="914">
        <f t="shared" ca="1" si="49"/>
        <v>226.96467527575408</v>
      </c>
      <c r="Y115" s="914">
        <f t="shared" si="50"/>
        <v>121.41720750396269</v>
      </c>
      <c r="Z115" s="914">
        <f t="shared" ca="1" si="51"/>
        <v>141.82557347145493</v>
      </c>
      <c r="AA115" s="914">
        <f t="shared" si="52"/>
        <v>67.271547882742979</v>
      </c>
      <c r="AB115" s="914">
        <f t="shared" ca="1" si="53"/>
        <v>101.43776773827435</v>
      </c>
    </row>
    <row r="116" spans="1:28">
      <c r="A116" s="173" t="s">
        <v>822</v>
      </c>
      <c r="B116" s="914">
        <f t="shared" ca="1" si="55"/>
        <v>579.1810844141595</v>
      </c>
      <c r="C116" s="479">
        <f t="shared" ca="1" si="56"/>
        <v>20146.75933939551</v>
      </c>
      <c r="D116" s="234">
        <f t="shared" ca="1" si="57"/>
        <v>81.248870862920853</v>
      </c>
      <c r="E116" s="228">
        <f t="shared" ca="1" si="58"/>
        <v>2.0842768469067288</v>
      </c>
      <c r="F116" s="228">
        <f t="shared" ca="1" si="59"/>
        <v>61.865122784323681</v>
      </c>
      <c r="G116" s="235">
        <f t="shared" ca="1" si="60"/>
        <v>46.75416417973711</v>
      </c>
      <c r="H116" s="228">
        <f t="shared" ca="1" si="61"/>
        <v>32.207721927340401</v>
      </c>
      <c r="I116" s="234">
        <f t="shared" ca="1" si="62"/>
        <v>21167.430392873292</v>
      </c>
      <c r="J116" s="235">
        <f t="shared" ca="1" si="63"/>
        <v>10.583715196436646</v>
      </c>
      <c r="K116" s="228">
        <f t="shared" ca="1" si="64"/>
        <v>22040.460991052118</v>
      </c>
      <c r="L116" s="228">
        <f t="shared" ca="1" si="65"/>
        <v>11.020230495526059</v>
      </c>
      <c r="M116" s="234">
        <f t="shared" ca="1" si="66"/>
        <v>22087.215155231854</v>
      </c>
      <c r="N116" s="235">
        <f t="shared" ca="1" si="67"/>
        <v>11.043607577615926</v>
      </c>
      <c r="O116" s="228">
        <f t="shared" ca="1" si="68"/>
        <v>21199.638114800633</v>
      </c>
      <c r="P116" s="228">
        <f t="shared" ca="1" si="69"/>
        <v>10.599819057400316</v>
      </c>
      <c r="Q116" s="234">
        <f t="shared" ca="1" si="68"/>
        <v>22072.668712979459</v>
      </c>
      <c r="R116" s="235">
        <f t="shared" ca="1" si="70"/>
        <v>11.03633435648973</v>
      </c>
      <c r="S116" s="228">
        <f t="shared" ca="1" si="68"/>
        <v>22119.422877159195</v>
      </c>
      <c r="T116" s="228">
        <f t="shared" ca="1" si="71"/>
        <v>11.059711438579598</v>
      </c>
      <c r="U116" s="234">
        <f t="shared" ca="1" si="72"/>
        <v>21916.418246943213</v>
      </c>
      <c r="V116" s="235">
        <f t="shared" ca="1" si="73"/>
        <v>10.958209123471606</v>
      </c>
      <c r="W116" s="1127">
        <f t="shared" si="74"/>
        <v>1511.1439235028897</v>
      </c>
      <c r="X116" s="1127">
        <f t="shared" ca="1" si="49"/>
        <v>1912.8034568234434</v>
      </c>
      <c r="Y116" s="1127">
        <f t="shared" si="50"/>
        <v>1035.4610825354514</v>
      </c>
      <c r="Z116" s="1127">
        <f t="shared" ca="1" si="51"/>
        <v>1557.9867216317789</v>
      </c>
      <c r="AA116" s="1127">
        <f t="shared" si="52"/>
        <v>842.49951217754517</v>
      </c>
      <c r="AB116" s="1127">
        <f t="shared" ca="1" si="53"/>
        <v>1414.0546969394361</v>
      </c>
    </row>
    <row r="117" spans="1:28">
      <c r="A117" s="173" t="s">
        <v>849</v>
      </c>
      <c r="B117" s="914">
        <f t="shared" ca="1" si="55"/>
        <v>911.95118557723004</v>
      </c>
      <c r="C117" s="479">
        <f t="shared" ca="1" si="56"/>
        <v>1889.9954996468091</v>
      </c>
      <c r="D117" s="234">
        <f t="shared" ca="1" si="57"/>
        <v>298.0046228759889</v>
      </c>
      <c r="E117" s="228">
        <f t="shared" ca="1" si="58"/>
        <v>7.3840184542343845</v>
      </c>
      <c r="F117" s="228">
        <f t="shared" ca="1" si="59"/>
        <v>190.86909679240947</v>
      </c>
      <c r="G117" s="235">
        <f t="shared" ca="1" si="60"/>
        <v>243.58449756150387</v>
      </c>
      <c r="H117" s="228">
        <f t="shared" ca="1" si="61"/>
        <v>66.349908848759242</v>
      </c>
      <c r="I117" s="234">
        <f t="shared" ca="1" si="62"/>
        <v>2287.6728512112613</v>
      </c>
      <c r="J117" s="235">
        <f t="shared" ca="1" si="63"/>
        <v>1.1438364256056306</v>
      </c>
      <c r="K117" s="228">
        <f t="shared" ca="1" si="64"/>
        <v>2558.7749388868988</v>
      </c>
      <c r="L117" s="228">
        <f t="shared" ca="1" si="65"/>
        <v>1.2793874694434495</v>
      </c>
      <c r="M117" s="234">
        <f t="shared" ca="1" si="66"/>
        <v>2802.3594364484024</v>
      </c>
      <c r="N117" s="235">
        <f t="shared" ca="1" si="67"/>
        <v>1.4011797182242012</v>
      </c>
      <c r="O117" s="228">
        <f t="shared" ca="1" si="68"/>
        <v>2354.0227600600206</v>
      </c>
      <c r="P117" s="228">
        <f t="shared" ca="1" si="69"/>
        <v>1.1770113800300104</v>
      </c>
      <c r="Q117" s="234">
        <f t="shared" ca="1" si="68"/>
        <v>2625.124847735658</v>
      </c>
      <c r="R117" s="235">
        <f t="shared" ca="1" si="70"/>
        <v>1.3125624238678291</v>
      </c>
      <c r="S117" s="228">
        <f t="shared" ca="1" si="68"/>
        <v>2868.7093452971617</v>
      </c>
      <c r="T117" s="228">
        <f t="shared" ca="1" si="71"/>
        <v>1.4343546726485807</v>
      </c>
      <c r="U117" s="234">
        <f t="shared" ca="1" si="72"/>
        <v>2713.5858367778778</v>
      </c>
      <c r="V117" s="235">
        <f t="shared" ca="1" si="73"/>
        <v>1.3567929183889389</v>
      </c>
      <c r="W117" s="1127">
        <f t="shared" si="74"/>
        <v>1611.6560338361958</v>
      </c>
      <c r="X117" s="1127">
        <f t="shared" ca="1" si="49"/>
        <v>1257.4197575389385</v>
      </c>
      <c r="Y117" s="1127">
        <f t="shared" si="50"/>
        <v>964.99448348211956</v>
      </c>
      <c r="Z117" s="1127">
        <f t="shared" ca="1" si="51"/>
        <v>775.06824028856147</v>
      </c>
      <c r="AA117" s="1127">
        <f t="shared" si="52"/>
        <v>670.31103310882486</v>
      </c>
      <c r="AB117" s="1127">
        <f t="shared" ca="1" si="53"/>
        <v>555.2608165778023</v>
      </c>
    </row>
    <row r="118" spans="1:28">
      <c r="A118" s="173" t="s">
        <v>824</v>
      </c>
      <c r="B118" s="914">
        <f t="shared" ca="1" si="55"/>
        <v>1122.5961285327935</v>
      </c>
      <c r="C118" s="479">
        <f t="shared" ca="1" si="56"/>
        <v>1366.0960288706165</v>
      </c>
      <c r="D118" s="234">
        <f t="shared" ca="1" si="57"/>
        <v>14.418406295802065</v>
      </c>
      <c r="E118" s="228">
        <f t="shared" ca="1" si="58"/>
        <v>0.59566913389819953</v>
      </c>
      <c r="F118" s="228">
        <f t="shared" ca="1" si="59"/>
        <v>18.734285419715061</v>
      </c>
      <c r="G118" s="235">
        <f t="shared" ca="1" si="60"/>
        <v>11.760484197439652</v>
      </c>
      <c r="H118" s="228">
        <f t="shared" ca="1" si="61"/>
        <v>10.621045880234169</v>
      </c>
      <c r="I118" s="234">
        <f t="shared" ca="1" si="62"/>
        <v>1444.8020323762264</v>
      </c>
      <c r="J118" s="235">
        <f t="shared" ca="1" si="63"/>
        <v>0.72240101618811325</v>
      </c>
      <c r="K118" s="228">
        <f t="shared" ca="1" si="64"/>
        <v>1518.4323217324384</v>
      </c>
      <c r="L118" s="228">
        <f t="shared" ca="1" si="65"/>
        <v>0.75921616086621924</v>
      </c>
      <c r="M118" s="234">
        <f t="shared" ca="1" si="66"/>
        <v>1530.192805929878</v>
      </c>
      <c r="N118" s="235">
        <f t="shared" ca="1" si="67"/>
        <v>0.76509640296493897</v>
      </c>
      <c r="O118" s="228">
        <f t="shared" ca="1" si="68"/>
        <v>1455.4230782564605</v>
      </c>
      <c r="P118" s="228">
        <f t="shared" ca="1" si="69"/>
        <v>0.72771153912823028</v>
      </c>
      <c r="Q118" s="234">
        <f t="shared" ca="1" si="68"/>
        <v>1529.0533676126724</v>
      </c>
      <c r="R118" s="235">
        <f t="shared" ca="1" si="70"/>
        <v>0.76452668380633626</v>
      </c>
      <c r="S118" s="228">
        <f t="shared" ca="1" si="68"/>
        <v>1540.8138518101121</v>
      </c>
      <c r="T118" s="228">
        <f t="shared" ca="1" si="71"/>
        <v>0.77040692590505599</v>
      </c>
      <c r="U118" s="234">
        <f t="shared" ca="1" si="72"/>
        <v>1520.5501461085805</v>
      </c>
      <c r="V118" s="235">
        <f t="shared" ca="1" si="73"/>
        <v>0.76027507305429021</v>
      </c>
      <c r="W118" s="914">
        <f t="shared" si="74"/>
        <v>133.27245866217402</v>
      </c>
      <c r="X118" s="914">
        <f t="shared" ca="1" si="49"/>
        <v>252.62029243115975</v>
      </c>
      <c r="Y118" s="914">
        <f t="shared" si="50"/>
        <v>98.32720996979296</v>
      </c>
      <c r="Z118" s="914">
        <f t="shared" ca="1" si="51"/>
        <v>226.55427115893104</v>
      </c>
      <c r="AA118" s="914">
        <f t="shared" si="52"/>
        <v>79.633967153342837</v>
      </c>
      <c r="AB118" s="914">
        <f t="shared" ca="1" si="53"/>
        <v>212.61078862172533</v>
      </c>
    </row>
    <row r="119" spans="1:28">
      <c r="A119" s="173" t="s">
        <v>825</v>
      </c>
      <c r="B119" s="914">
        <f t="shared" ca="1" si="55"/>
        <v>499.49087458134318</v>
      </c>
      <c r="C119" s="479">
        <f t="shared" ca="1" si="56"/>
        <v>645.98480277788724</v>
      </c>
      <c r="D119" s="234">
        <f t="shared" ca="1" si="57"/>
        <v>10.914817939296981</v>
      </c>
      <c r="E119" s="228">
        <f t="shared" ca="1" si="58"/>
        <v>0.38929263242415596</v>
      </c>
      <c r="F119" s="228">
        <f t="shared" ca="1" si="59"/>
        <v>11.822647515085546</v>
      </c>
      <c r="G119" s="235">
        <f t="shared" ca="1" si="60"/>
        <v>8.3256485018537152</v>
      </c>
      <c r="H119" s="228">
        <f t="shared" ca="1" si="61"/>
        <v>6.375490150234568</v>
      </c>
      <c r="I119" s="234">
        <f t="shared" ca="1" si="62"/>
        <v>687.46831947977228</v>
      </c>
      <c r="J119" s="235">
        <f t="shared" ca="1" si="63"/>
        <v>0.34373415973988614</v>
      </c>
      <c r="K119" s="228">
        <f t="shared" ca="1" si="64"/>
        <v>725.3017551969624</v>
      </c>
      <c r="L119" s="228">
        <f t="shared" ca="1" si="65"/>
        <v>0.36265087759848119</v>
      </c>
      <c r="M119" s="234">
        <f t="shared" ca="1" si="66"/>
        <v>733.62740369881612</v>
      </c>
      <c r="N119" s="235">
        <f t="shared" ca="1" si="67"/>
        <v>0.36681370184940804</v>
      </c>
      <c r="O119" s="228">
        <f t="shared" ca="1" si="68"/>
        <v>693.84380963000683</v>
      </c>
      <c r="P119" s="228">
        <f t="shared" ca="1" si="69"/>
        <v>0.3469219048150034</v>
      </c>
      <c r="Q119" s="234">
        <f t="shared" ca="1" si="68"/>
        <v>731.67724534719696</v>
      </c>
      <c r="R119" s="235">
        <f t="shared" ca="1" si="70"/>
        <v>0.36583862267359846</v>
      </c>
      <c r="S119" s="228">
        <f t="shared" ca="1" si="68"/>
        <v>740.00289384905068</v>
      </c>
      <c r="T119" s="228">
        <f t="shared" ca="1" si="71"/>
        <v>0.37000144692452536</v>
      </c>
      <c r="U119" s="234">
        <f t="shared" ca="1" si="72"/>
        <v>728.67312821497842</v>
      </c>
      <c r="V119" s="235">
        <f t="shared" ca="1" si="73"/>
        <v>0.36433656410748921</v>
      </c>
      <c r="W119" s="914">
        <f t="shared" si="74"/>
        <v>111.0690087022785</v>
      </c>
      <c r="X119" s="914">
        <f t="shared" ca="1" si="49"/>
        <v>160.1637284739441</v>
      </c>
      <c r="Y119" s="914">
        <f t="shared" si="50"/>
        <v>76.491713725571174</v>
      </c>
      <c r="Z119" s="914">
        <f t="shared" ca="1" si="51"/>
        <v>134.37216767170307</v>
      </c>
      <c r="AA119" s="914">
        <f t="shared" si="52"/>
        <v>59.858509368187583</v>
      </c>
      <c r="AB119" s="914">
        <f t="shared" ca="1" si="53"/>
        <v>121.96528905934923</v>
      </c>
    </row>
    <row r="120" spans="1:28">
      <c r="A120" s="173" t="s">
        <v>826</v>
      </c>
      <c r="B120" s="914">
        <f t="shared" ca="1" si="55"/>
        <v>3902.7809124958917</v>
      </c>
      <c r="C120" s="479">
        <f t="shared" ca="1" si="56"/>
        <v>8396.2572436016908</v>
      </c>
      <c r="D120" s="234">
        <f t="shared" ca="1" si="57"/>
        <v>952.60443614070266</v>
      </c>
      <c r="E120" s="228">
        <f t="shared" ca="1" si="58"/>
        <v>24.712713113600348</v>
      </c>
      <c r="F120" s="228">
        <f t="shared" ca="1" si="59"/>
        <v>490.85276766816094</v>
      </c>
      <c r="G120" s="235">
        <f t="shared" ca="1" si="60"/>
        <v>923.15247773616647</v>
      </c>
      <c r="H120" s="228">
        <f t="shared" ca="1" si="61"/>
        <v>55.709899657095079</v>
      </c>
      <c r="I120" s="234">
        <f t="shared" ca="1" si="62"/>
        <v>9777.9955522220553</v>
      </c>
      <c r="J120" s="235">
        <f t="shared" ca="1" si="63"/>
        <v>4.8889977761110277</v>
      </c>
      <c r="K120" s="228">
        <f t="shared" ca="1" si="64"/>
        <v>10618.892287294084</v>
      </c>
      <c r="L120" s="228">
        <f t="shared" ca="1" si="65"/>
        <v>5.3094461436470421</v>
      </c>
      <c r="M120" s="234">
        <f t="shared" ca="1" si="66"/>
        <v>11542.04476503025</v>
      </c>
      <c r="N120" s="235">
        <f t="shared" ca="1" si="67"/>
        <v>5.7710223825151248</v>
      </c>
      <c r="O120" s="228">
        <f t="shared" ca="1" si="68"/>
        <v>9833.7054518791501</v>
      </c>
      <c r="P120" s="228">
        <f t="shared" ca="1" si="69"/>
        <v>4.9168527259395747</v>
      </c>
      <c r="Q120" s="234">
        <f t="shared" ca="1" si="68"/>
        <v>10674.602186951179</v>
      </c>
      <c r="R120" s="235">
        <f t="shared" ca="1" si="70"/>
        <v>5.3373010934755891</v>
      </c>
      <c r="S120" s="228">
        <f t="shared" ca="1" si="68"/>
        <v>11597.754664687345</v>
      </c>
      <c r="T120" s="228">
        <f t="shared" ca="1" si="71"/>
        <v>5.7988773323436726</v>
      </c>
      <c r="U120" s="234">
        <f t="shared" ca="1" si="72"/>
        <v>11049.218157537209</v>
      </c>
      <c r="V120" s="235">
        <f t="shared" ca="1" si="73"/>
        <v>5.524609078768604</v>
      </c>
      <c r="W120" s="914">
        <f t="shared" si="74"/>
        <v>426.19377211120633</v>
      </c>
      <c r="X120" s="914">
        <f t="shared" ca="1" si="49"/>
        <v>433.0024517738953</v>
      </c>
      <c r="Y120" s="914">
        <f t="shared" si="50"/>
        <v>325.02595996609148</v>
      </c>
      <c r="Z120" s="914">
        <f t="shared" ca="1" si="51"/>
        <v>357.5403376921505</v>
      </c>
      <c r="AA120" s="914">
        <f t="shared" si="52"/>
        <v>256.42998967256415</v>
      </c>
      <c r="AB120" s="914">
        <f t="shared" ca="1" si="53"/>
        <v>306.37389625114031</v>
      </c>
    </row>
    <row r="121" spans="1:28">
      <c r="A121" s="477" t="s">
        <v>827</v>
      </c>
      <c r="B121" s="914">
        <f t="shared" ca="1" si="55"/>
        <v>2.5018513379851237</v>
      </c>
      <c r="C121" s="479">
        <f t="shared" ca="1" si="56"/>
        <v>5.7696405625646072</v>
      </c>
      <c r="D121" s="234">
        <f t="shared" ca="1" si="57"/>
        <v>1.2810490562317922</v>
      </c>
      <c r="E121" s="228">
        <f t="shared" ca="1" si="58"/>
        <v>3.2006894345763273E-2</v>
      </c>
      <c r="F121" s="228">
        <f t="shared" ca="1" si="59"/>
        <v>0.87146116135488039</v>
      </c>
      <c r="G121" s="235">
        <f t="shared" ca="1" si="60"/>
        <v>0.83737077012793082</v>
      </c>
      <c r="H121" s="228">
        <f t="shared" ca="1" si="61"/>
        <v>0.38899796164258682</v>
      </c>
      <c r="I121" s="234">
        <f t="shared" ca="1" si="62"/>
        <v>7.3699985977252034</v>
      </c>
      <c r="J121" s="235">
        <f ca="1">I121/2000</f>
        <v>3.6849992988626018E-3</v>
      </c>
      <c r="K121" s="228">
        <f t="shared" ca="1" si="64"/>
        <v>8.4914052553075212</v>
      </c>
      <c r="L121" s="228">
        <f ca="1">K121/2000</f>
        <v>4.2457026276537602E-3</v>
      </c>
      <c r="M121" s="234">
        <f t="shared" ca="1" si="66"/>
        <v>9.3287760254354524</v>
      </c>
      <c r="N121" s="235">
        <f ca="1">M121/2000</f>
        <v>4.6643880127177264E-3</v>
      </c>
      <c r="O121" s="228">
        <f ca="1">I121*$H$106+$H121</f>
        <v>7.7589965593677901</v>
      </c>
      <c r="P121" s="228">
        <f ca="1">O121/2000</f>
        <v>3.8794982796838949E-3</v>
      </c>
      <c r="Q121" s="234">
        <f ca="1">K121*$H$106+$H121</f>
        <v>8.8804032169501088</v>
      </c>
      <c r="R121" s="235">
        <f ca="1">Q121/2000</f>
        <v>4.4402016084750546E-3</v>
      </c>
      <c r="S121" s="228">
        <f ca="1">M121*$H$106+$H121</f>
        <v>9.71777398707804</v>
      </c>
      <c r="T121" s="228">
        <f ca="1">S121/2000</f>
        <v>4.8588869935390199E-3</v>
      </c>
      <c r="U121" s="234">
        <f ca="1">O121*$A$6+Q121*$B$6+S121*$C$6</f>
        <v>9.1445341327367426</v>
      </c>
      <c r="V121" s="235">
        <f ca="1">U121/2000</f>
        <v>4.5722670663683714E-3</v>
      </c>
      <c r="W121" s="914">
        <f t="shared" si="74"/>
        <v>33.241183630909866</v>
      </c>
      <c r="X121" s="914">
        <f t="shared" ca="1" si="49"/>
        <v>25.0516532802793</v>
      </c>
      <c r="Y121" s="914">
        <f t="shared" si="50"/>
        <v>27.20896039180985</v>
      </c>
      <c r="Z121" s="914">
        <f t="shared" ca="1" si="51"/>
        <v>20.552155776245371</v>
      </c>
      <c r="AA121" s="914">
        <f t="shared" si="52"/>
        <v>25.341485954947327</v>
      </c>
      <c r="AB121" s="914">
        <f t="shared" ca="1" si="53"/>
        <v>19.159187340819276</v>
      </c>
    </row>
    <row r="122" spans="1:28">
      <c r="A122" s="477" t="s">
        <v>828</v>
      </c>
      <c r="B122" s="914">
        <f t="shared" ca="1" si="55"/>
        <v>6.2740973030705396</v>
      </c>
      <c r="C122" s="479">
        <f t="shared" ca="1" si="56"/>
        <v>14.146996413024537</v>
      </c>
      <c r="D122" s="234">
        <f t="shared" ca="1" si="57"/>
        <v>3.9412060642029529</v>
      </c>
      <c r="E122" s="228">
        <f t="shared" ca="1" si="58"/>
        <v>0.12397782395230883</v>
      </c>
      <c r="F122" s="228">
        <f t="shared" ca="1" si="59"/>
        <v>3.6320805079147638</v>
      </c>
      <c r="G122" s="235">
        <f t="shared" ca="1" si="60"/>
        <v>2.8537065925268243</v>
      </c>
      <c r="H122" s="228">
        <f t="shared" ca="1" si="61"/>
        <v>1.8515360548206208</v>
      </c>
      <c r="I122" s="234">
        <f t="shared" ca="1" si="62"/>
        <v>18.928638580474026</v>
      </c>
      <c r="J122" s="235">
        <f ca="1">I122/2000</f>
        <v>9.4643192902370121E-3</v>
      </c>
      <c r="K122" s="228">
        <f t="shared" ca="1" si="64"/>
        <v>23.159284879711702</v>
      </c>
      <c r="L122" s="228">
        <f ca="1">K122/2000</f>
        <v>1.1579642439855851E-2</v>
      </c>
      <c r="M122" s="234">
        <f t="shared" ca="1" si="66"/>
        <v>26.012991472238525</v>
      </c>
      <c r="N122" s="235">
        <f ca="1">M122/2000</f>
        <v>1.3006495736119263E-2</v>
      </c>
      <c r="O122" s="228">
        <f ca="1">I122*$H$106+$H122</f>
        <v>20.780174635294646</v>
      </c>
      <c r="P122" s="228">
        <f ca="1">O122/2000</f>
        <v>1.0390087317647323E-2</v>
      </c>
      <c r="Q122" s="234">
        <f ca="1">K122*$H$106+$H122</f>
        <v>25.010820934532322</v>
      </c>
      <c r="R122" s="235">
        <f ca="1">Q122/2000</f>
        <v>1.2505410467266161E-2</v>
      </c>
      <c r="S122" s="228">
        <f ca="1">M122*$H$106+$H122</f>
        <v>27.864527527059145</v>
      </c>
      <c r="T122" s="228">
        <f ca="1">S122/2000</f>
        <v>1.3932263763529573E-2</v>
      </c>
      <c r="U122" s="234">
        <f ca="1">O122*$A$6+Q122*$B$6+S122*$C$6</f>
        <v>25.824671107724214</v>
      </c>
      <c r="V122" s="235">
        <f ca="1">U122/2000</f>
        <v>1.2912335553862108E-2</v>
      </c>
      <c r="W122" s="914">
        <f t="shared" si="74"/>
        <v>35.682059749633225</v>
      </c>
      <c r="X122" s="914">
        <f t="shared" ca="1" si="49"/>
        <v>27.648788839895996</v>
      </c>
      <c r="Y122" s="914">
        <f t="shared" si="50"/>
        <v>21.050298377922573</v>
      </c>
      <c r="Z122" s="914">
        <f t="shared" ca="1" si="51"/>
        <v>16.734807184692112</v>
      </c>
      <c r="AA122" s="914">
        <f t="shared" si="52"/>
        <v>14.118319635026401</v>
      </c>
      <c r="AB122" s="914">
        <f t="shared" ca="1" si="53"/>
        <v>11.564172774230366</v>
      </c>
    </row>
    <row r="123" spans="1:28">
      <c r="A123" s="173" t="s">
        <v>829</v>
      </c>
      <c r="B123" s="914">
        <f t="shared" ca="1" si="55"/>
        <v>3359.846450710731</v>
      </c>
      <c r="C123" s="479">
        <f t="shared" ca="1" si="56"/>
        <v>3217.6038199675354</v>
      </c>
      <c r="D123" s="234">
        <f t="shared" ca="1" si="57"/>
        <v>326.36691182752799</v>
      </c>
      <c r="E123" s="228">
        <f t="shared" ca="1" si="58"/>
        <v>11.33376796687058</v>
      </c>
      <c r="F123" s="228">
        <f t="shared" ca="1" si="59"/>
        <v>376.2597353518928</v>
      </c>
      <c r="G123" s="235">
        <f t="shared" ca="1" si="60"/>
        <v>187.68115398871728</v>
      </c>
      <c r="H123" s="228">
        <f t="shared" ca="1" si="61"/>
        <v>230.36876588616286</v>
      </c>
      <c r="I123" s="234">
        <f t="shared" ca="1" si="62"/>
        <v>3709.7059649341381</v>
      </c>
      <c r="J123" s="235">
        <f t="shared" ca="1" si="63"/>
        <v>1.854852982467069</v>
      </c>
      <c r="K123" s="228">
        <f t="shared" ca="1" si="64"/>
        <v>4216.7368738775085</v>
      </c>
      <c r="L123" s="228">
        <f t="shared" ca="1" si="65"/>
        <v>2.1083684369387541</v>
      </c>
      <c r="M123" s="234">
        <f t="shared" ca="1" si="66"/>
        <v>4404.4180278662261</v>
      </c>
      <c r="N123" s="235">
        <f t="shared" ca="1" si="67"/>
        <v>2.2022090139331132</v>
      </c>
      <c r="O123" s="228">
        <f t="shared" ca="1" si="68"/>
        <v>3940.0747308203008</v>
      </c>
      <c r="P123" s="228">
        <f t="shared" ca="1" si="69"/>
        <v>1.9700373654101504</v>
      </c>
      <c r="Q123" s="234">
        <f t="shared" ca="1" si="68"/>
        <v>4447.1056397636712</v>
      </c>
      <c r="R123" s="235">
        <f t="shared" ca="1" si="70"/>
        <v>2.2235528198818355</v>
      </c>
      <c r="S123" s="228">
        <f t="shared" ca="1" si="68"/>
        <v>4634.7867937523888</v>
      </c>
      <c r="T123" s="228">
        <f t="shared" ca="1" si="71"/>
        <v>2.3173933968761946</v>
      </c>
      <c r="U123" s="234">
        <f t="shared" ca="1" si="72"/>
        <v>4452.3554480618732</v>
      </c>
      <c r="V123" s="235">
        <f t="shared" ca="1" si="73"/>
        <v>2.2261777240309364</v>
      </c>
      <c r="W123" s="1127">
        <f t="shared" si="74"/>
        <v>4064.2321919152901</v>
      </c>
      <c r="X123" s="1127">
        <f t="shared" ca="1" si="49"/>
        <v>3161.6666295949713</v>
      </c>
      <c r="Y123" s="1127">
        <f t="shared" si="50"/>
        <v>2129.4621178781226</v>
      </c>
      <c r="Z123" s="1127">
        <f t="shared" ca="1" si="51"/>
        <v>1718.5016846071926</v>
      </c>
      <c r="AA123" s="1127">
        <f t="shared" si="52"/>
        <v>1196.5419300101153</v>
      </c>
      <c r="AB123" s="1127">
        <f t="shared" ca="1" si="53"/>
        <v>1022.6268984145586</v>
      </c>
    </row>
    <row r="124" spans="1:28">
      <c r="A124" s="173" t="s">
        <v>830</v>
      </c>
      <c r="B124" s="914">
        <f t="shared" ca="1" si="55"/>
        <v>3.6350790777548476</v>
      </c>
      <c r="C124" s="479">
        <f t="shared" ca="1" si="56"/>
        <v>11.536861560140578</v>
      </c>
      <c r="D124" s="234">
        <f t="shared" ca="1" si="57"/>
        <v>3.7356213277681136</v>
      </c>
      <c r="E124" s="228">
        <f t="shared" ca="1" si="58"/>
        <v>0.11767711184962008</v>
      </c>
      <c r="F124" s="228">
        <f t="shared" ca="1" si="59"/>
        <v>3.6949829388017021</v>
      </c>
      <c r="G124" s="235">
        <f t="shared" ca="1" si="60"/>
        <v>2.3325452660652894</v>
      </c>
      <c r="H124" s="228">
        <f t="shared" ca="1" si="61"/>
        <v>2.0900910042065926</v>
      </c>
      <c r="I124" s="234">
        <f t="shared" ca="1" si="62"/>
        <v>15.982254592066763</v>
      </c>
      <c r="J124" s="235">
        <f t="shared" ca="1" si="63"/>
        <v>7.9911272960333807E-3</v>
      </c>
      <c r="K124" s="228">
        <f t="shared" ca="1" si="64"/>
        <v>20.169135317273494</v>
      </c>
      <c r="L124" s="228">
        <f t="shared" ca="1" si="65"/>
        <v>1.0084567658636747E-2</v>
      </c>
      <c r="M124" s="234">
        <f t="shared" ca="1" si="66"/>
        <v>22.501680583338782</v>
      </c>
      <c r="N124" s="235">
        <f t="shared" ca="1" si="67"/>
        <v>1.1250840291669392E-2</v>
      </c>
      <c r="O124" s="228">
        <f t="shared" ca="1" si="68"/>
        <v>18.072345596273355</v>
      </c>
      <c r="P124" s="228">
        <f t="shared" ca="1" si="69"/>
        <v>9.0361727981366768E-3</v>
      </c>
      <c r="Q124" s="234">
        <f t="shared" ca="1" si="68"/>
        <v>22.259226321480085</v>
      </c>
      <c r="R124" s="235">
        <f t="shared" ca="1" si="70"/>
        <v>1.1129613160740043E-2</v>
      </c>
      <c r="S124" s="228">
        <f t="shared" ca="1" si="68"/>
        <v>24.591771587545374</v>
      </c>
      <c r="T124" s="228">
        <f t="shared" ca="1" si="71"/>
        <v>1.2295885793772688E-2</v>
      </c>
      <c r="U124" s="234">
        <f t="shared" ca="1" si="72"/>
        <v>22.770656557568508</v>
      </c>
      <c r="V124" s="235">
        <f t="shared" ca="1" si="73"/>
        <v>1.1385328278784254E-2</v>
      </c>
      <c r="W124" s="914">
        <f t="shared" si="74"/>
        <v>39.087244174341876</v>
      </c>
      <c r="X124" s="914">
        <f t="shared" ca="1" si="49"/>
        <v>30.359268994429893</v>
      </c>
      <c r="Y124" s="914">
        <f t="shared" si="50"/>
        <v>19.779657614639298</v>
      </c>
      <c r="Z124" s="914">
        <f t="shared" ca="1" si="51"/>
        <v>15.957541125475545</v>
      </c>
      <c r="AA124" s="914">
        <f t="shared" si="52"/>
        <v>10.548820466474641</v>
      </c>
      <c r="AB124" s="914">
        <f t="shared" ca="1" si="53"/>
        <v>9.0721645301446223</v>
      </c>
    </row>
    <row r="125" spans="1:28">
      <c r="A125" s="173" t="s">
        <v>831</v>
      </c>
      <c r="B125" s="1127">
        <f t="shared" ca="1" si="55"/>
        <v>251562.13963851574</v>
      </c>
      <c r="C125" s="158">
        <f t="shared" ca="1" si="56"/>
        <v>1800002.3016702046</v>
      </c>
      <c r="D125" s="250">
        <f t="shared" ca="1" si="57"/>
        <v>194026.5904259145</v>
      </c>
      <c r="E125" s="47">
        <f t="shared" ca="1" si="58"/>
        <v>14248.862703765668</v>
      </c>
      <c r="F125" s="47">
        <f t="shared" ca="1" si="59"/>
        <v>254152.62676367373</v>
      </c>
      <c r="G125" s="245">
        <f t="shared" ca="1" si="60"/>
        <v>186001.72109927697</v>
      </c>
      <c r="H125" s="47">
        <f t="shared" ca="1" si="61"/>
        <v>101789.58663135707</v>
      </c>
      <c r="I125" s="250">
        <f t="shared" ca="1" si="62"/>
        <v>2094825.2606033792</v>
      </c>
      <c r="J125" s="245">
        <f t="shared" ca="1" si="63"/>
        <v>1047.4126303016897</v>
      </c>
      <c r="K125" s="47">
        <f t="shared" ca="1" si="64"/>
        <v>2414672.3542377558</v>
      </c>
      <c r="L125" s="47">
        <f t="shared" ca="1" si="65"/>
        <v>1207.3361771188779</v>
      </c>
      <c r="M125" s="250">
        <f t="shared" ca="1" si="66"/>
        <v>2600674.0753370328</v>
      </c>
      <c r="N125" s="245">
        <f t="shared" ca="1" si="67"/>
        <v>1300.3370376685164</v>
      </c>
      <c r="O125" s="47">
        <f t="shared" ca="1" si="68"/>
        <v>2196614.8472347362</v>
      </c>
      <c r="P125" s="47">
        <f t="shared" ca="1" si="69"/>
        <v>1098.3074236173682</v>
      </c>
      <c r="Q125" s="250">
        <f t="shared" ca="1" si="68"/>
        <v>2516461.940869113</v>
      </c>
      <c r="R125" s="245">
        <f t="shared" ca="1" si="70"/>
        <v>1258.2309704345564</v>
      </c>
      <c r="S125" s="47">
        <f t="shared" ca="1" si="68"/>
        <v>2702463.66196839</v>
      </c>
      <c r="T125" s="47">
        <f t="shared" ca="1" si="71"/>
        <v>1351.2318309841951</v>
      </c>
      <c r="U125" s="250">
        <f t="shared" ca="1" si="72"/>
        <v>2560203.2333296272</v>
      </c>
      <c r="V125" s="245">
        <f t="shared" ca="1" si="73"/>
        <v>1280.1016166648135</v>
      </c>
      <c r="W125" s="1127">
        <f t="shared" si="74"/>
        <v>1519278.9624427708</v>
      </c>
      <c r="X125" s="1127">
        <f t="shared" ca="1" si="49"/>
        <v>1193005.4192336567</v>
      </c>
      <c r="Y125" s="1127">
        <f t="shared" si="50"/>
        <v>936423.3496922151</v>
      </c>
      <c r="Z125" s="1127">
        <f t="shared" ca="1" si="51"/>
        <v>758247.40865734953</v>
      </c>
      <c r="AA125" s="1127">
        <f t="shared" si="52"/>
        <v>687135.53544361482</v>
      </c>
      <c r="AB125" s="1127">
        <f t="shared" ca="1" si="53"/>
        <v>572301.05794420862</v>
      </c>
    </row>
    <row r="126" spans="1:28">
      <c r="A126" s="173" t="s">
        <v>850</v>
      </c>
      <c r="B126" s="1127">
        <f ca="1">B125+B115*GREET1_Import_Export!$B$62/GREET1_Import_Export!$B$65+B116*GREET1_Import_Export!$B$63/GREET1_Import_Export!$B$65</f>
        <v>259435.85345319152</v>
      </c>
      <c r="C126" s="158">
        <f ca="1">C125+C115*GREET1_Import_Export!$B$62/GREET1_Import_Export!$B$65+C116*GREET1_Import_Export!$B$63/GREET1_Import_Export!$B$65</f>
        <v>1840495.7147310828</v>
      </c>
      <c r="D126" s="250">
        <f ca="1">D125+D115*GREET1_Import_Export!$B$62/GREET1_Import_Export!$B$65+D116*GREET1_Import_Export!$B$63/GREET1_Import_Export!$B$65</f>
        <v>194214.97801409685</v>
      </c>
      <c r="E126" s="47">
        <f ca="1">E125+E115*GREET1_Import_Export!$B$62/GREET1_Import_Export!$B$65+E116*GREET1_Import_Export!$B$63/GREET1_Import_Export!$B$65</f>
        <v>14254.068437801312</v>
      </c>
      <c r="F126" s="47">
        <f ca="1">F125+F115*GREET1_Import_Export!$B$62/GREET1_Import_Export!$B$65+F116*GREET1_Import_Export!$B$63/GREET1_Import_Export!$B$65</f>
        <v>254312.57826459204</v>
      </c>
      <c r="G126" s="245">
        <f ca="1">G125+G115*GREET1_Import_Export!$B$62/GREET1_Import_Export!$B$65+G116*GREET1_Import_Export!$B$63/GREET1_Import_Export!$B$65</f>
        <v>186110.23391936405</v>
      </c>
      <c r="H126" s="47">
        <f ca="1">H125+H115*GREET1_Import_Export!$B$62/GREET1_Import_Export!$B$65+H116*GREET1_Import_Export!$B$63/GREET1_Import_Export!$B$65</f>
        <v>101877.33569895898</v>
      </c>
      <c r="I126" s="250">
        <f ca="1">I125+I115*GREET1_Import_Export!$B$62/GREET1_Import_Export!$B$65+I116*GREET1_Import_Export!$B$63/GREET1_Import_Export!$B$65</f>
        <v>2137396.6192381717</v>
      </c>
      <c r="J126" s="245">
        <f t="shared" ca="1" si="63"/>
        <v>1068.6983096190859</v>
      </c>
      <c r="K126" s="47">
        <f ca="1">K125+K115*GREET1_Import_Export!$B$62/GREET1_Import_Export!$B$65+K116*GREET1_Import_Export!$B$63/GREET1_Import_Export!$B$65</f>
        <v>2459034.005401135</v>
      </c>
      <c r="L126" s="47">
        <f t="shared" ca="1" si="65"/>
        <v>1229.5170027005674</v>
      </c>
      <c r="M126" s="250">
        <f ca="1">M125+M115*GREET1_Import_Export!$B$62/GREET1_Import_Export!$B$65+M116*GREET1_Import_Export!$B$63/GREET1_Import_Export!$B$65</f>
        <v>2645144.2393204989</v>
      </c>
      <c r="N126" s="245">
        <f t="shared" ca="1" si="67"/>
        <v>1322.5721196602494</v>
      </c>
      <c r="O126" s="47">
        <f ca="1">O125+O115*GREET1_Import_Export!$B$62/GREET1_Import_Export!$B$65+O116*GREET1_Import_Export!$B$63/GREET1_Import_Export!$B$65</f>
        <v>2239273.9549371307</v>
      </c>
      <c r="P126" s="47">
        <f t="shared" ca="1" si="69"/>
        <v>1119.6369774685654</v>
      </c>
      <c r="Q126" s="250">
        <f ca="1">Q125+Q115*GREET1_Import_Export!$B$62/GREET1_Import_Export!$B$65+Q116*GREET1_Import_Export!$B$63/GREET1_Import_Export!$B$65</f>
        <v>2560911.3411000944</v>
      </c>
      <c r="R126" s="245">
        <f t="shared" ca="1" si="70"/>
        <v>1280.4556705500472</v>
      </c>
      <c r="S126" s="47">
        <f ca="1">S125+S115*GREET1_Import_Export!$B$62/GREET1_Import_Export!$B$65+S116*GREET1_Import_Export!$B$63/GREET1_Import_Export!$B$65</f>
        <v>2747021.5750194578</v>
      </c>
      <c r="T126" s="47">
        <f t="shared" ca="1" si="71"/>
        <v>1373.510787509729</v>
      </c>
      <c r="U126" s="250">
        <f ca="1">U125+U115*GREET1_Import_Export!$B$62/GREET1_Import_Export!$B$65+U116*GREET1_Import_Export!$B$63/GREET1_Import_Export!$B$65</f>
        <v>2604339.7725034887</v>
      </c>
      <c r="V126" s="245">
        <f t="shared" ca="1" si="73"/>
        <v>1302.1698862517444</v>
      </c>
      <c r="W126" s="1127">
        <f>W125+W115*GREET1_Import_Export!$B$62/GREET1_Import_Export!$B$65+W116*GREET1_Import_Export!$B$63/GREET1_Import_Export!$B$65</f>
        <v>1522387.7742330157</v>
      </c>
      <c r="X126" s="1127">
        <f ca="1">X125+X115*GREET1_Import_Export!$B$62/GREET1_Import_Export!$B$65+X116*GREET1_Import_Export!$B$63/GREET1_Import_Export!$B$65</f>
        <v>1196718.6264751793</v>
      </c>
      <c r="Y126" s="1127">
        <f>Y125+Y115*GREET1_Import_Export!$B$62/GREET1_Import_Export!$B$65+Y116*GREET1_Import_Export!$B$63/GREET1_Import_Export!$B$65</f>
        <v>938428.91978530108</v>
      </c>
      <c r="Z126" s="1127">
        <f ca="1">Z125+Z115*GREET1_Import_Export!$B$62/GREET1_Import_Export!$B$65+Z116*GREET1_Import_Export!$B$63/GREET1_Import_Export!$B$65</f>
        <v>761137.69654294744</v>
      </c>
      <c r="AA126" s="1127">
        <f>AA125+AA115*GREET1_Import_Export!$B$62/GREET1_Import_Export!$B$65+AA116*GREET1_Import_Export!$B$63/GREET1_Import_Export!$B$65</f>
        <v>688669.12623936648</v>
      </c>
      <c r="AB126" s="1127">
        <f ca="1">AB125+AB115*GREET1_Import_Export!$B$62/GREET1_Import_Export!$B$65+AB116*GREET1_Import_Export!$B$63/GREET1_Import_Export!$B$65</f>
        <v>574839.29160599294</v>
      </c>
    </row>
    <row r="127" spans="1:28">
      <c r="A127" s="174" t="s">
        <v>851</v>
      </c>
      <c r="B127" s="12">
        <f ca="1">B126+SUMPRODUCT(B123:B124,GREET1_Import_Export!$B$51:$B$52)+SUMPRODUCT(B115:B117,GREET1_Import_Export!$B$55:$B$57)+SUMPRODUCT(B121:B122,GREET1_Import_Export!$B$58:$B$59)</f>
        <v>361194.54293011851</v>
      </c>
      <c r="C127" s="78">
        <f ca="1">C126+SUMPRODUCT(C123:C124,GREET1_Import_Export!$B$51:$B$52)+SUMPRODUCT(C115:C117,GREET1_Import_Export!$B$55:$B$57)+SUMPRODUCT(C121:C122,GREET1_Import_Export!$B$58:$B$59)</f>
        <v>1940081.0976435461</v>
      </c>
      <c r="D127" s="242">
        <f ca="1">D126+SUMPRODUCT(D123:D124,GREET1_Import_Export!$B$51:$B$52)+SUMPRODUCT(D115:D117,GREET1_Import_Export!$B$55:$B$57)+SUMPRODUCT(D121:D122,GREET1_Import_Export!$B$58:$B$59)</f>
        <v>204995.92502078123</v>
      </c>
      <c r="E127" s="53">
        <f ca="1">E126+SUMPRODUCT(E123:E124,GREET1_Import_Export!$B$51:$B$52)+SUMPRODUCT(E115:E117,GREET1_Import_Export!$B$55:$B$57)+SUMPRODUCT(E121:E122,GREET1_Import_Export!$B$58:$B$59)</f>
        <v>14625.265911447579</v>
      </c>
      <c r="F127" s="53">
        <f ca="1">F126+SUMPRODUCT(F123:F124,GREET1_Import_Export!$B$51:$B$52)+SUMPRODUCT(F115:F117,GREET1_Import_Export!$B$55:$B$57)+SUMPRODUCT(F121:F122,GREET1_Import_Export!$B$58:$B$59)</f>
        <v>266579.5408039313</v>
      </c>
      <c r="G127" s="243">
        <f ca="1">G126+SUMPRODUCT(G123:G124,GREET1_Import_Export!$B$51:$B$52)+SUMPRODUCT(G115:G117,GREET1_Import_Export!$B$55:$B$57)+SUMPRODUCT(G121:G122,GREET1_Import_Export!$B$58:$B$59)</f>
        <v>192358.79303453286</v>
      </c>
      <c r="H127" s="53">
        <f ca="1">H126+SUMPRODUCT(H123:H124,GREET1_Import_Export!$B$51:$B$52)+SUMPRODUCT(H115:H117,GREET1_Import_Export!$B$55:$B$57)+SUMPRODUCT(H121:H122,GREET1_Import_Export!$B$58:$B$59)</f>
        <v>109342.27279165862</v>
      </c>
      <c r="I127" s="242">
        <f ca="1">I126+SUMPRODUCT(I123:I124,GREET1_Import_Export!$B$51:$B$52)+SUMPRODUCT(I115:I117,GREET1_Import_Export!$B$55:$B$57)+SUMPRODUCT(I121:I122,GREET1_Import_Export!$B$58:$B$59)</f>
        <v>2252923.0956530934</v>
      </c>
      <c r="J127" s="243">
        <f ca="1">J126+SUMPRODUCT(J123:J124,GREET1_Import_Export!$B$51:$B$52)+SUMPRODUCT(J115:J117,GREET1_Import_Export!$B$55:$B$57)+SUMPRODUCT(J121:J122,GREET1_Import_Export!$B$58:$B$59)</f>
        <v>1126.4615478265468</v>
      </c>
      <c r="K127" s="53">
        <f ca="1">K126+SUMPRODUCT(K123:K124,GREET1_Import_Export!$B$51:$B$52)+SUMPRODUCT(K115:K117,GREET1_Import_Export!$B$55:$B$57)+SUMPRODUCT(K121:K122,GREET1_Import_Export!$B$58:$B$59)</f>
        <v>2590880.9324765378</v>
      </c>
      <c r="L127" s="53">
        <f ca="1">L126+SUMPRODUCT(L123:L124,GREET1_Import_Export!$B$51:$B$52)+SUMPRODUCT(L115:L117,GREET1_Import_Export!$B$55:$B$57)+SUMPRODUCT(L121:L122,GREET1_Import_Export!$B$58:$B$59)</f>
        <v>1295.4404662382688</v>
      </c>
      <c r="M127" s="242">
        <f ca="1">M126+SUMPRODUCT(M123:M124,GREET1_Import_Export!$B$51:$B$52)+SUMPRODUCT(M115:M117,GREET1_Import_Export!$B$55:$B$57)+SUMPRODUCT(M121:M122,GREET1_Import_Export!$B$58:$B$59)</f>
        <v>2783239.7255110703</v>
      </c>
      <c r="N127" s="243">
        <f ca="1">N126+SUMPRODUCT(N123:N124,GREET1_Import_Export!$B$51:$B$52)+SUMPRODUCT(N115:N117,GREET1_Import_Export!$B$55:$B$57)+SUMPRODUCT(N121:N122,GREET1_Import_Export!$B$58:$B$59)</f>
        <v>1391.6198627555352</v>
      </c>
      <c r="O127" s="53">
        <f ca="1">O126+SUMPRODUCT(O123:O124,GREET1_Import_Export!$B$51:$B$52)+SUMPRODUCT(O115:O117,GREET1_Import_Export!$B$55:$B$57)+SUMPRODUCT(O121:O122,GREET1_Import_Export!$B$58:$B$59)</f>
        <v>2362265.3684447519</v>
      </c>
      <c r="P127" s="53">
        <f ca="1">P126+SUMPRODUCT(P123:P124,GREET1_Import_Export!$B$51:$B$52)+SUMPRODUCT(P115:P117,GREET1_Import_Export!$B$55:$B$57)+SUMPRODUCT(P121:P122,GREET1_Import_Export!$B$58:$B$59)</f>
        <v>1181.1326842223762</v>
      </c>
      <c r="Q127" s="242">
        <f ca="1">Q126+SUMPRODUCT(Q123:Q124,GREET1_Import_Export!$B$51:$B$52)+SUMPRODUCT(Q115:Q117,GREET1_Import_Export!$B$55:$B$57)+SUMPRODUCT(Q121:Q122,GREET1_Import_Export!$B$58:$B$59)</f>
        <v>2700223.2052681968</v>
      </c>
      <c r="R127" s="243">
        <f ca="1">R126+SUMPRODUCT(R123:R124,GREET1_Import_Export!$B$51:$B$52)+SUMPRODUCT(R115:R117,GREET1_Import_Export!$B$55:$B$57)+SUMPRODUCT(R121:R122,GREET1_Import_Export!$B$58:$B$59)</f>
        <v>1350.1116026340983</v>
      </c>
      <c r="S127" s="53">
        <f ca="1">S126+SUMPRODUCT(S123:S124,GREET1_Import_Export!$B$51:$B$52)+SUMPRODUCT(S115:S117,GREET1_Import_Export!$B$55:$B$57)+SUMPRODUCT(S121:S122,GREET1_Import_Export!$B$58:$B$59)</f>
        <v>2892581.9983027289</v>
      </c>
      <c r="T127" s="53">
        <f ca="1">T126+SUMPRODUCT(T123:T124,GREET1_Import_Export!$B$51:$B$52)+SUMPRODUCT(T115:T117,GREET1_Import_Export!$B$55:$B$57)+SUMPRODUCT(T121:T122,GREET1_Import_Export!$B$58:$B$59)</f>
        <v>1446.2909991513645</v>
      </c>
      <c r="U127" s="242">
        <f ca="1">U126+SUMPRODUCT(U123:U124,GREET1_Import_Export!$B$51:$B$52)+SUMPRODUCT(U115:U117,GREET1_Import_Export!$B$55:$B$57)+SUMPRODUCT(U121:U122,GREET1_Import_Export!$B$58:$B$59)</f>
        <v>2743944.6599331005</v>
      </c>
      <c r="V127" s="243">
        <f ca="1">V126+SUMPRODUCT(V123:V124,GREET1_Import_Export!$B$51:$B$52)+SUMPRODUCT(V115:V117,GREET1_Import_Export!$B$55:$B$57)+SUMPRODUCT(V121:V122,GREET1_Import_Export!$B$58:$B$59)</f>
        <v>1371.9723299665504</v>
      </c>
      <c r="W127" s="1554">
        <f>W126+SUMPRODUCT(W123:W124,GREET1_Import_Export!$B$51:$B$52)+SUMPRODUCT(W115:W117,GREET1_Import_Export!$B$55:$B$57)+SUMPRODUCT(W121:W122,GREET1_Import_Export!$B$58:$B$59)</f>
        <v>1654672.8596966751</v>
      </c>
      <c r="X127" s="1554">
        <f ca="1">X126+SUMPRODUCT(X123:X124,GREET1_Import_Export!$B$51:$B$52)+SUMPRODUCT(X115:X117,GREET1_Import_Export!$B$55:$B$57)+SUMPRODUCT(X121:X122,GREET1_Import_Export!$B$58:$B$59)</f>
        <v>1299613.8316465523</v>
      </c>
      <c r="Y127" s="1554">
        <f>Y126+SUMPRODUCT(Y123:Y124,GREET1_Import_Export!$B$51:$B$52)+SUMPRODUCT(Y115:Y117,GREET1_Import_Export!$B$55:$B$57)+SUMPRODUCT(Y121:Y122,GREET1_Import_Export!$B$58:$B$59)</f>
        <v>1007554.3925895242</v>
      </c>
      <c r="Z127" s="1554">
        <f ca="1">Z126+SUMPRODUCT(Z123:Z124,GREET1_Import_Export!$B$51:$B$52)+SUMPRODUCT(Z115:Z117,GREET1_Import_Export!$B$55:$B$57)+SUMPRODUCT(Z121:Z122,GREET1_Import_Export!$B$58:$B$59)</f>
        <v>816921.49547941424</v>
      </c>
      <c r="AA127" s="1554">
        <f>AA126+SUMPRODUCT(AA123:AA124,GREET1_Import_Export!$B$51:$B$52)+SUMPRODUCT(AA115:AA117,GREET1_Import_Export!$B$55:$B$57)+SUMPRODUCT(AA121:AA122,GREET1_Import_Export!$B$58:$B$59)</f>
        <v>727360.82156328578</v>
      </c>
      <c r="AB127" s="1554">
        <f ca="1">AB126+SUMPRODUCT(AB123:AB124,GREET1_Import_Export!$B$51:$B$52)+SUMPRODUCT(AB115:AB117,GREET1_Import_Export!$B$55:$B$57)+SUMPRODUCT(AB121:AB122,GREET1_Import_Export!$B$58:$B$59)</f>
        <v>607922.22215891804</v>
      </c>
    </row>
    <row r="128" spans="1:28">
      <c r="A128" s="177" t="s">
        <v>852</v>
      </c>
      <c r="B128" s="76"/>
      <c r="C128" s="228"/>
      <c r="D128" s="234"/>
      <c r="E128" s="228"/>
      <c r="F128" s="228"/>
      <c r="G128" s="235"/>
      <c r="H128" s="228"/>
      <c r="I128" s="234"/>
      <c r="J128" s="235"/>
      <c r="K128" s="228"/>
      <c r="L128" s="228"/>
      <c r="M128" s="234"/>
      <c r="N128" s="235"/>
      <c r="O128" s="228"/>
      <c r="P128" s="228"/>
      <c r="Q128" s="234"/>
      <c r="R128" s="235"/>
      <c r="S128" s="228"/>
      <c r="T128" s="228"/>
      <c r="U128" s="234"/>
      <c r="V128" s="235"/>
      <c r="W128" s="570"/>
      <c r="X128" s="570"/>
      <c r="Y128" s="570"/>
      <c r="Z128" s="570"/>
      <c r="AA128" s="570"/>
      <c r="AB128" s="570"/>
    </row>
    <row r="129" spans="1:28">
      <c r="A129" s="173" t="s">
        <v>821</v>
      </c>
      <c r="B129" s="76">
        <f t="shared" ref="B129:B136" ca="1" si="75">SUM(D94:E94)/-SUM(E$70:E$74)*25.674</f>
        <v>1.7672445421988308</v>
      </c>
      <c r="C129" s="228">
        <f ca="1">SUM(D94:N94)</f>
        <v>1.587796567413835</v>
      </c>
      <c r="D129" s="234">
        <f t="shared" ref="D129:D136" ca="1" si="76">SUM(O94:P94)</f>
        <v>0.98524321066599363</v>
      </c>
      <c r="E129" s="228">
        <f t="shared" ref="E129:E136" ca="1" si="77">SUM(Q94:R94)</f>
        <v>3.6119706856435535E-2</v>
      </c>
      <c r="F129" s="228">
        <f t="shared" ref="F129:F136" ca="1" si="78">SUM(S94:T94)</f>
        <v>1.2096645365627776</v>
      </c>
      <c r="G129" s="235">
        <f t="shared" ref="G129:G136" ca="1" si="79">SUM(U94:V94)</f>
        <v>0.60115981004837804</v>
      </c>
      <c r="H129" s="228">
        <f t="shared" ref="H129:H136" ca="1" si="80">W94</f>
        <v>0.74305081884301949</v>
      </c>
      <c r="I129" s="234">
        <f t="shared" ref="I129:I136" ca="1" si="81">($C129*$D$106+$D129)*$E$106+$E129</f>
        <v>2.6977151006011377</v>
      </c>
      <c r="J129" s="235">
        <f t="shared" ref="J129:J134" ca="1" si="82">I129/2000</f>
        <v>1.348857550300569E-3</v>
      </c>
      <c r="K129" s="228">
        <f t="shared" ref="K129:K136" ca="1" si="83">($C129*$D$106+$D129)*$F$106+$F129</f>
        <v>3.9735281277025969</v>
      </c>
      <c r="L129" s="228">
        <f t="shared" ref="L129:L134" ca="1" si="84">K129/2000</f>
        <v>1.9867640638512986E-3</v>
      </c>
      <c r="M129" s="234">
        <f t="shared" ref="M129:M136" ca="1" si="85">(($C129*$D$106+$D129)*$F$106+$F129)*$G$106+$G129</f>
        <v>4.5746879377509746</v>
      </c>
      <c r="N129" s="235">
        <f t="shared" ref="N129:N134" ca="1" si="86">M129/2000</f>
        <v>2.2873439688754875E-3</v>
      </c>
      <c r="O129" s="228">
        <f t="shared" ref="O129:S134" ca="1" si="87">I129*$H$106+$H129</f>
        <v>3.4407659194441571</v>
      </c>
      <c r="P129" s="228">
        <f t="shared" ref="P129:P134" ca="1" si="88">O129/2000</f>
        <v>1.7203829597220786E-3</v>
      </c>
      <c r="Q129" s="234">
        <f t="shared" ca="1" si="87"/>
        <v>4.7165789465456163</v>
      </c>
      <c r="R129" s="235">
        <f t="shared" ref="R129:R134" ca="1" si="89">Q129/2000</f>
        <v>2.3582894732728081E-3</v>
      </c>
      <c r="S129" s="228">
        <f t="shared" ca="1" si="87"/>
        <v>5.317738756593994</v>
      </c>
      <c r="T129" s="228">
        <f t="shared" ref="T129:T134" ca="1" si="90">S129/2000</f>
        <v>2.6588693782969969E-3</v>
      </c>
      <c r="U129" s="234">
        <f t="shared" ref="U129:U134" ca="1" si="91">O129*$A$6+Q129*$B$6+S129*$C$6</f>
        <v>4.8068759642361387</v>
      </c>
      <c r="V129" s="235">
        <f t="shared" ref="V129:V134" ca="1" si="92">U129/2000</f>
        <v>2.4034379821180692E-3</v>
      </c>
      <c r="W129" s="914">
        <f t="shared" ref="W129:W136" si="93">SUM(AE94:AJ94,AM94:AN94)</f>
        <v>14.724746309604919</v>
      </c>
      <c r="X129" s="914">
        <f t="shared" ref="X129:X136" ca="1" si="94">W129*B$24+C$24*(Y94+Z94)</f>
        <v>11.390603908478566</v>
      </c>
      <c r="Y129" s="914">
        <f t="shared" ref="Y129:Y136" si="95">SUM(AE94:AH94,AK94:AN94)</f>
        <v>9.4022828002975771</v>
      </c>
      <c r="Z129" s="914">
        <f t="shared" ref="Z129:Z136" ca="1" si="96">Y129*B$24+C$24*(Y94+Z94)</f>
        <v>7.4205235042571438</v>
      </c>
      <c r="AA129" s="914">
        <f t="shared" ref="AA129:AA136" si="97">SUM(AO94:AT94)</f>
        <v>6.9081807742078212</v>
      </c>
      <c r="AB129" s="914">
        <f t="shared" ref="AB129:AB136" ca="1" si="98">AA129*B$24+C$24*(Y94+Z94)</f>
        <v>5.5601470897279093</v>
      </c>
    </row>
    <row r="130" spans="1:28">
      <c r="A130" s="173" t="s">
        <v>822</v>
      </c>
      <c r="B130" s="76">
        <f t="shared" ca="1" si="75"/>
        <v>3.7284372057513773</v>
      </c>
      <c r="C130" s="228">
        <f t="shared" ref="C130:C136" ca="1" si="99">SUM(D95:N95)</f>
        <v>11.490476675924425</v>
      </c>
      <c r="D130" s="234">
        <f t="shared" ca="1" si="76"/>
        <v>6.3027312064747152</v>
      </c>
      <c r="E130" s="228">
        <f t="shared" ca="1" si="77"/>
        <v>0.26665636878456955</v>
      </c>
      <c r="F130" s="228">
        <f t="shared" ca="1" si="78"/>
        <v>8.9304366186966249</v>
      </c>
      <c r="G130" s="235">
        <f t="shared" ca="1" si="79"/>
        <v>4.4381061187422262</v>
      </c>
      <c r="H130" s="228">
        <f t="shared" ca="1" si="80"/>
        <v>5.4856268341994481</v>
      </c>
      <c r="I130" s="234">
        <f t="shared" ca="1" si="81"/>
        <v>18.688310218027659</v>
      </c>
      <c r="J130" s="235">
        <f t="shared" ca="1" si="82"/>
        <v>9.344155109013829E-3</v>
      </c>
      <c r="K130" s="228">
        <f t="shared" ca="1" si="83"/>
        <v>28.059917561654476</v>
      </c>
      <c r="L130" s="228">
        <f t="shared" ca="1" si="84"/>
        <v>1.4029958780827238E-2</v>
      </c>
      <c r="M130" s="234">
        <f t="shared" ca="1" si="85"/>
        <v>32.498023680396699</v>
      </c>
      <c r="N130" s="235">
        <f t="shared" ca="1" si="86"/>
        <v>1.6249011840198349E-2</v>
      </c>
      <c r="O130" s="228">
        <f t="shared" ca="1" si="87"/>
        <v>24.173937052227107</v>
      </c>
      <c r="P130" s="228">
        <f t="shared" ca="1" si="88"/>
        <v>1.2086968526113554E-2</v>
      </c>
      <c r="Q130" s="234">
        <f t="shared" ca="1" si="87"/>
        <v>33.545544395853923</v>
      </c>
      <c r="R130" s="235">
        <f t="shared" ca="1" si="89"/>
        <v>1.6772772197926961E-2</v>
      </c>
      <c r="S130" s="228">
        <f t="shared" ca="1" si="87"/>
        <v>37.98365051459615</v>
      </c>
      <c r="T130" s="228">
        <f t="shared" ca="1" si="90"/>
        <v>1.8991825257298076E-2</v>
      </c>
      <c r="U130" s="234">
        <f t="shared" ca="1" si="91"/>
        <v>34.222122705356519</v>
      </c>
      <c r="V130" s="235">
        <f t="shared" ca="1" si="92"/>
        <v>1.7111061352678258E-2</v>
      </c>
      <c r="W130" s="914">
        <f t="shared" si="93"/>
        <v>65.946991438644559</v>
      </c>
      <c r="X130" s="914">
        <f t="shared" ca="1" si="94"/>
        <v>52.013291328713734</v>
      </c>
      <c r="Y130" s="914">
        <f t="shared" si="95"/>
        <v>40.374903967568684</v>
      </c>
      <c r="Z130" s="914">
        <f t="shared" ca="1" si="96"/>
        <v>32.938807645279979</v>
      </c>
      <c r="AA130" s="914">
        <f t="shared" si="97"/>
        <v>26.953830400670153</v>
      </c>
      <c r="AB130" s="914">
        <f t="shared" ca="1" si="98"/>
        <v>22.927890505428682</v>
      </c>
    </row>
    <row r="131" spans="1:28">
      <c r="A131" s="173" t="s">
        <v>823</v>
      </c>
      <c r="B131" s="76">
        <f t="shared" ca="1" si="75"/>
        <v>11.938392889233542</v>
      </c>
      <c r="C131" s="228">
        <f t="shared" ca="1" si="99"/>
        <v>26.660230727874595</v>
      </c>
      <c r="D131" s="234">
        <f t="shared" ca="1" si="76"/>
        <v>15.565204242013897</v>
      </c>
      <c r="E131" s="228">
        <f t="shared" ca="1" si="77"/>
        <v>0.79644120280530639</v>
      </c>
      <c r="F131" s="228">
        <f t="shared" ca="1" si="78"/>
        <v>26.673158847060968</v>
      </c>
      <c r="G131" s="235">
        <f t="shared" ca="1" si="79"/>
        <v>13.255601550039515</v>
      </c>
      <c r="H131" s="228">
        <f t="shared" ca="1" si="80"/>
        <v>16.384304841038887</v>
      </c>
      <c r="I131" s="234">
        <f t="shared" ca="1" si="81"/>
        <v>44.49412185709469</v>
      </c>
      <c r="J131" s="235">
        <f t="shared" ca="1" si="82"/>
        <v>2.2247060928547346E-2</v>
      </c>
      <c r="K131" s="228">
        <f t="shared" ca="1" si="83"/>
        <v>72.049863684126024</v>
      </c>
      <c r="L131" s="228">
        <f t="shared" ca="1" si="84"/>
        <v>3.6024931842063013E-2</v>
      </c>
      <c r="M131" s="234">
        <f t="shared" ca="1" si="85"/>
        <v>85.305465234165538</v>
      </c>
      <c r="N131" s="235">
        <f t="shared" ca="1" si="86"/>
        <v>4.2652732617082773E-2</v>
      </c>
      <c r="O131" s="228">
        <f t="shared" ca="1" si="87"/>
        <v>60.87842669813358</v>
      </c>
      <c r="P131" s="228">
        <f t="shared" ca="1" si="88"/>
        <v>3.0439213349066789E-2</v>
      </c>
      <c r="Q131" s="234">
        <f t="shared" ca="1" si="87"/>
        <v>88.434168525164907</v>
      </c>
      <c r="R131" s="235">
        <f t="shared" ca="1" si="89"/>
        <v>4.4217084262582453E-2</v>
      </c>
      <c r="S131" s="228">
        <f t="shared" ca="1" si="87"/>
        <v>101.68977007520442</v>
      </c>
      <c r="T131" s="228">
        <f t="shared" ca="1" si="90"/>
        <v>5.0844885037602212E-2</v>
      </c>
      <c r="U131" s="234">
        <f t="shared" ca="1" si="91"/>
        <v>90.546756726584931</v>
      </c>
      <c r="V131" s="235">
        <f t="shared" ca="1" si="92"/>
        <v>4.5273378363292469E-2</v>
      </c>
      <c r="W131" s="914">
        <f t="shared" si="93"/>
        <v>127.34749731778494</v>
      </c>
      <c r="X131" s="914">
        <f t="shared" ca="1" si="94"/>
        <v>102.80329411745311</v>
      </c>
      <c r="Y131" s="914">
        <f t="shared" si="95"/>
        <v>97.036447317507296</v>
      </c>
      <c r="Z131" s="914">
        <f t="shared" ca="1" si="96"/>
        <v>80.193969426537834</v>
      </c>
      <c r="AA131" s="914">
        <f t="shared" si="97"/>
        <v>76.685756606597991</v>
      </c>
      <c r="AB131" s="914">
        <f t="shared" ca="1" si="98"/>
        <v>65.014179417180614</v>
      </c>
    </row>
    <row r="132" spans="1:28">
      <c r="A132" s="173" t="s">
        <v>824</v>
      </c>
      <c r="B132" s="76">
        <f t="shared" ca="1" si="75"/>
        <v>0.72230442437614895</v>
      </c>
      <c r="C132" s="228">
        <f t="shared" ca="1" si="99"/>
        <v>1.9519021282451234</v>
      </c>
      <c r="D132" s="234">
        <f t="shared" ca="1" si="76"/>
        <v>1.8009825340903485</v>
      </c>
      <c r="E132" s="228">
        <f t="shared" ca="1" si="77"/>
        <v>0.10633388175289409</v>
      </c>
      <c r="F132" s="228">
        <f t="shared" ca="1" si="78"/>
        <v>3.5611674896142689</v>
      </c>
      <c r="G132" s="235">
        <f t="shared" ca="1" si="79"/>
        <v>1.7697722855380005</v>
      </c>
      <c r="H132" s="228">
        <f t="shared" ca="1" si="80"/>
        <v>2.1874894561379059</v>
      </c>
      <c r="I132" s="234">
        <f t="shared" ca="1" si="81"/>
        <v>3.9769284144886301</v>
      </c>
      <c r="J132" s="235">
        <f t="shared" ca="1" si="82"/>
        <v>1.9884642072443151E-3</v>
      </c>
      <c r="K132" s="228">
        <f t="shared" ca="1" si="83"/>
        <v>7.5804843738541372</v>
      </c>
      <c r="L132" s="228">
        <f t="shared" ca="1" si="84"/>
        <v>3.7902421869270685E-3</v>
      </c>
      <c r="M132" s="234">
        <f t="shared" ca="1" si="85"/>
        <v>9.3502566593921372</v>
      </c>
      <c r="N132" s="235">
        <f t="shared" ca="1" si="86"/>
        <v>4.6751283296960688E-3</v>
      </c>
      <c r="O132" s="228">
        <f t="shared" ca="1" si="87"/>
        <v>6.1644178706265365</v>
      </c>
      <c r="P132" s="228">
        <f t="shared" ca="1" si="88"/>
        <v>3.0822089353132682E-3</v>
      </c>
      <c r="Q132" s="234">
        <f t="shared" ca="1" si="87"/>
        <v>9.7679738299920427</v>
      </c>
      <c r="R132" s="235">
        <f t="shared" ca="1" si="89"/>
        <v>4.8839869149960215E-3</v>
      </c>
      <c r="S132" s="228">
        <f t="shared" ca="1" si="87"/>
        <v>11.537746115530043</v>
      </c>
      <c r="T132" s="228">
        <f t="shared" ca="1" si="90"/>
        <v>5.7688730577650209E-3</v>
      </c>
      <c r="U132" s="234">
        <f t="shared" ca="1" si="91"/>
        <v>10.065947349317646</v>
      </c>
      <c r="V132" s="235">
        <f t="shared" ca="1" si="92"/>
        <v>5.0329736746588232E-3</v>
      </c>
      <c r="W132" s="914">
        <f t="shared" si="93"/>
        <v>11.505169734207325</v>
      </c>
      <c r="X132" s="914">
        <f t="shared" ca="1" si="94"/>
        <v>9.5725163991549529</v>
      </c>
      <c r="Y132" s="914">
        <f t="shared" si="95"/>
        <v>11.375139845914441</v>
      </c>
      <c r="Z132" s="914">
        <f t="shared" ca="1" si="96"/>
        <v>9.4755257649172631</v>
      </c>
      <c r="AA132" s="914">
        <f t="shared" si="97"/>
        <v>10.353151253131916</v>
      </c>
      <c r="AB132" s="914">
        <f t="shared" ca="1" si="98"/>
        <v>8.7132139372365973</v>
      </c>
    </row>
    <row r="133" spans="1:28">
      <c r="A133" s="173" t="s">
        <v>825</v>
      </c>
      <c r="B133" s="76">
        <f t="shared" ca="1" si="75"/>
        <v>0.64057340100454208</v>
      </c>
      <c r="C133" s="228">
        <f t="shared" ca="1" si="99"/>
        <v>1.7208281730056008</v>
      </c>
      <c r="D133" s="234">
        <f t="shared" ca="1" si="76"/>
        <v>1.5840659293700525</v>
      </c>
      <c r="E133" s="228">
        <f t="shared" ca="1" si="77"/>
        <v>9.3502576955008576E-2</v>
      </c>
      <c r="F133" s="228">
        <f t="shared" ca="1" si="78"/>
        <v>3.1314415664908255</v>
      </c>
      <c r="G133" s="235">
        <f t="shared" ca="1" si="79"/>
        <v>1.5562139422870687</v>
      </c>
      <c r="H133" s="228">
        <f t="shared" ca="1" si="80"/>
        <v>1.9235252004259455</v>
      </c>
      <c r="I133" s="234">
        <f t="shared" ca="1" si="81"/>
        <v>3.5021159493299172</v>
      </c>
      <c r="J133" s="235">
        <f t="shared" ca="1" si="82"/>
        <v>1.7510579746649586E-3</v>
      </c>
      <c r="K133" s="228">
        <f t="shared" ca="1" si="83"/>
        <v>6.6710262901195492</v>
      </c>
      <c r="L133" s="228">
        <f t="shared" ca="1" si="84"/>
        <v>3.3355131450597745E-3</v>
      </c>
      <c r="M133" s="234">
        <f t="shared" ca="1" si="85"/>
        <v>8.2272402324066185</v>
      </c>
      <c r="N133" s="235">
        <f t="shared" ca="1" si="86"/>
        <v>4.1136201162033093E-3</v>
      </c>
      <c r="O133" s="228">
        <f t="shared" ca="1" si="87"/>
        <v>5.4256411497558625</v>
      </c>
      <c r="P133" s="228">
        <f t="shared" ca="1" si="88"/>
        <v>2.7128205748779312E-3</v>
      </c>
      <c r="Q133" s="234">
        <f t="shared" ca="1" si="87"/>
        <v>8.5945514905454949</v>
      </c>
      <c r="R133" s="235">
        <f t="shared" ca="1" si="89"/>
        <v>4.2972757452727477E-3</v>
      </c>
      <c r="S133" s="228">
        <f t="shared" ca="1" si="87"/>
        <v>10.150765432832564</v>
      </c>
      <c r="T133" s="228">
        <f t="shared" ca="1" si="90"/>
        <v>5.075382716416282E-3</v>
      </c>
      <c r="U133" s="234">
        <f t="shared" ca="1" si="91"/>
        <v>8.8565273461265512</v>
      </c>
      <c r="V133" s="235">
        <f t="shared" ca="1" si="92"/>
        <v>4.4282636730632752E-3</v>
      </c>
      <c r="W133" s="914">
        <f t="shared" si="93"/>
        <v>10.115117364351047</v>
      </c>
      <c r="X133" s="914">
        <f t="shared" ca="1" si="94"/>
        <v>8.4161925432582478</v>
      </c>
      <c r="Y133" s="914">
        <f t="shared" si="95"/>
        <v>9.9950137749937795</v>
      </c>
      <c r="Z133" s="914">
        <f t="shared" ca="1" si="96"/>
        <v>8.3266060377331019</v>
      </c>
      <c r="AA133" s="914">
        <f t="shared" si="97"/>
        <v>9.0934579750446893</v>
      </c>
      <c r="AB133" s="914">
        <f t="shared" ca="1" si="98"/>
        <v>7.6541262718444205</v>
      </c>
    </row>
    <row r="134" spans="1:28">
      <c r="A134" s="173" t="s">
        <v>826</v>
      </c>
      <c r="B134" s="76">
        <f t="shared" ca="1" si="75"/>
        <v>3.7340760641443826</v>
      </c>
      <c r="C134" s="228">
        <f t="shared" ca="1" si="99"/>
        <v>14.901741925456836</v>
      </c>
      <c r="D134" s="234">
        <f t="shared" ca="1" si="76"/>
        <v>13.427018085093479</v>
      </c>
      <c r="E134" s="228">
        <f t="shared" ca="1" si="77"/>
        <v>0.79133597707398773</v>
      </c>
      <c r="F134" s="228">
        <f t="shared" ca="1" si="78"/>
        <v>26.502182638896542</v>
      </c>
      <c r="G134" s="235">
        <f t="shared" ca="1" si="79"/>
        <v>13.170632517951514</v>
      </c>
      <c r="H134" s="228">
        <f t="shared" ca="1" si="80"/>
        <v>16.279280673065639</v>
      </c>
      <c r="I134" s="234">
        <f t="shared" ca="1" si="81"/>
        <v>30.013910697467054</v>
      </c>
      <c r="J134" s="235">
        <f t="shared" ca="1" si="82"/>
        <v>1.5006955348733527E-2</v>
      </c>
      <c r="K134" s="228">
        <f t="shared" ca="1" si="83"/>
        <v>56.847595205688947</v>
      </c>
      <c r="L134" s="228">
        <f t="shared" ca="1" si="84"/>
        <v>2.8423797602844473E-2</v>
      </c>
      <c r="M134" s="234">
        <f t="shared" ca="1" si="85"/>
        <v>70.018227723640464</v>
      </c>
      <c r="N134" s="235">
        <f t="shared" ca="1" si="86"/>
        <v>3.5009113861820235E-2</v>
      </c>
      <c r="O134" s="228">
        <f t="shared" ca="1" si="87"/>
        <v>46.293191370532696</v>
      </c>
      <c r="P134" s="228">
        <f t="shared" ca="1" si="88"/>
        <v>2.314659568526635E-2</v>
      </c>
      <c r="Q134" s="234">
        <f t="shared" ca="1" si="87"/>
        <v>73.126875878754589</v>
      </c>
      <c r="R134" s="235">
        <f t="shared" ca="1" si="89"/>
        <v>3.6563437939377295E-2</v>
      </c>
      <c r="S134" s="228">
        <f t="shared" ca="1" si="87"/>
        <v>86.297508396706107</v>
      </c>
      <c r="T134" s="228">
        <f t="shared" ca="1" si="90"/>
        <v>4.3148754198353054E-2</v>
      </c>
      <c r="U134" s="234">
        <f t="shared" ca="1" si="91"/>
        <v>75.341006693254783</v>
      </c>
      <c r="V134" s="235">
        <f t="shared" ca="1" si="92"/>
        <v>3.7670503346627394E-2</v>
      </c>
      <c r="W134" s="914">
        <f t="shared" si="93"/>
        <v>82.740689625872278</v>
      </c>
      <c r="X134" s="914">
        <f t="shared" ca="1" si="94"/>
        <v>69.094422284606551</v>
      </c>
      <c r="Y134" s="914">
        <f t="shared" si="95"/>
        <v>81.432140582789714</v>
      </c>
      <c r="Z134" s="914">
        <f t="shared" ca="1" si="96"/>
        <v>68.118362062714894</v>
      </c>
      <c r="AA134" s="914">
        <f t="shared" si="97"/>
        <v>73.543784799988799</v>
      </c>
      <c r="AB134" s="914">
        <f t="shared" ca="1" si="98"/>
        <v>62.234356158294851</v>
      </c>
    </row>
    <row r="135" spans="1:28">
      <c r="A135" s="173" t="s">
        <v>827</v>
      </c>
      <c r="B135" s="76">
        <f t="shared" ca="1" si="75"/>
        <v>4.7418051838717737E-2</v>
      </c>
      <c r="C135" s="228">
        <f t="shared" ca="1" si="99"/>
        <v>8.805298497315267E-2</v>
      </c>
      <c r="D135" s="234">
        <f t="shared" ca="1" si="76"/>
        <v>8.2617592585123772E-2</v>
      </c>
      <c r="E135" s="228">
        <f t="shared" ca="1" si="77"/>
        <v>4.8187413827556385E-3</v>
      </c>
      <c r="F135" s="228">
        <f t="shared" ca="1" si="78"/>
        <v>0.16138172396458417</v>
      </c>
      <c r="G135" s="235">
        <f t="shared" ca="1" si="79"/>
        <v>8.0200918181413824E-2</v>
      </c>
      <c r="H135" s="228">
        <f t="shared" ca="1" si="80"/>
        <v>9.9130642019907803E-2</v>
      </c>
      <c r="I135" s="234">
        <f t="shared" ca="1" si="81"/>
        <v>0.18081996477658646</v>
      </c>
      <c r="J135" s="235">
        <f ca="1">I135/2000</f>
        <v>9.0409982388293226E-5</v>
      </c>
      <c r="K135" s="228">
        <f t="shared" ca="1" si="83"/>
        <v>0.34414555594202034</v>
      </c>
      <c r="L135" s="228">
        <f ca="1">K135/2000</f>
        <v>1.7207277797101018E-4</v>
      </c>
      <c r="M135" s="234">
        <f t="shared" ca="1" si="85"/>
        <v>0.42434647412343418</v>
      </c>
      <c r="N135" s="235">
        <f ca="1">M135/2000</f>
        <v>2.1217323706171709E-4</v>
      </c>
      <c r="O135" s="228">
        <f ca="1">I135*$H$106+$H135</f>
        <v>0.27995060679649425</v>
      </c>
      <c r="P135" s="228">
        <f ca="1">O135/2000</f>
        <v>1.3997530339824712E-4</v>
      </c>
      <c r="Q135" s="234">
        <f ca="1">K135*$H$106+$H135</f>
        <v>0.44327619796192813</v>
      </c>
      <c r="R135" s="235">
        <f ca="1">Q135/2000</f>
        <v>2.2163809898096407E-4</v>
      </c>
      <c r="S135" s="228">
        <f ca="1">M135*$H$106+$H135</f>
        <v>0.52347711614334203</v>
      </c>
      <c r="T135" s="228">
        <f ca="1">S135/2000</f>
        <v>2.6173855807167104E-4</v>
      </c>
      <c r="U135" s="234">
        <f ca="1">O135*$A$6+Q135*$B$6+S135*$C$6</f>
        <v>0.45677464729850714</v>
      </c>
      <c r="V135" s="235">
        <f ca="1">U135/2000</f>
        <v>2.2838732364925356E-4</v>
      </c>
      <c r="W135" s="914">
        <f t="shared" si="93"/>
        <v>0.58142125223378149</v>
      </c>
      <c r="X135" s="914">
        <f t="shared" ca="1" si="94"/>
        <v>0.47877321927904953</v>
      </c>
      <c r="Y135" s="914">
        <f t="shared" si="95"/>
        <v>0.56136326443489448</v>
      </c>
      <c r="Z135" s="914">
        <f t="shared" ca="1" si="96"/>
        <v>0.46381175938942848</v>
      </c>
      <c r="AA135" s="914">
        <f t="shared" si="97"/>
        <v>0.51053679459873125</v>
      </c>
      <c r="AB135" s="914">
        <f t="shared" ca="1" si="98"/>
        <v>0.42589977153653985</v>
      </c>
    </row>
    <row r="136" spans="1:28">
      <c r="A136" s="174" t="s">
        <v>828</v>
      </c>
      <c r="B136" s="79">
        <f t="shared" ca="1" si="75"/>
        <v>0.22758840257738058</v>
      </c>
      <c r="C136" s="231">
        <f t="shared" ca="1" si="99"/>
        <v>0.56389849806635406</v>
      </c>
      <c r="D136" s="249">
        <f t="shared" ca="1" si="76"/>
        <v>0.45353838816280823</v>
      </c>
      <c r="E136" s="231">
        <f t="shared" ca="1" si="77"/>
        <v>2.6742175582015019E-2</v>
      </c>
      <c r="F136" s="231">
        <f t="shared" ca="1" si="78"/>
        <v>0.89560697601107231</v>
      </c>
      <c r="G136" s="237">
        <f t="shared" ca="1" si="79"/>
        <v>0.44508448689970931</v>
      </c>
      <c r="H136" s="231">
        <f t="shared" ca="1" si="80"/>
        <v>0.55013722959713418</v>
      </c>
      <c r="I136" s="249">
        <f t="shared" ca="1" si="81"/>
        <v>1.0771836813462725</v>
      </c>
      <c r="J136" s="237">
        <f ca="1">I136/2000</f>
        <v>5.385918406731363E-4</v>
      </c>
      <c r="K136" s="231">
        <f t="shared" ca="1" si="83"/>
        <v>1.9864102736224294</v>
      </c>
      <c r="L136" s="231">
        <f ca="1">K136/2000</f>
        <v>9.9320513681121474E-4</v>
      </c>
      <c r="M136" s="249">
        <f t="shared" ca="1" si="85"/>
        <v>2.4314947605221389</v>
      </c>
      <c r="N136" s="237">
        <f ca="1">M136/2000</f>
        <v>1.2157473802610695E-3</v>
      </c>
      <c r="O136" s="231">
        <f ca="1">I136*$H$106+$H136</f>
        <v>1.6273209109434066</v>
      </c>
      <c r="P136" s="231">
        <f ca="1">O136/2000</f>
        <v>8.1366045547170333E-4</v>
      </c>
      <c r="Q136" s="249">
        <f ca="1">K136*$H$106+$H136</f>
        <v>2.5365475032195635</v>
      </c>
      <c r="R136" s="237">
        <f ca="1">Q136/2000</f>
        <v>1.2682737516097817E-3</v>
      </c>
      <c r="S136" s="231">
        <f ca="1">M136*$H$106+$H136</f>
        <v>2.9816319901192729</v>
      </c>
      <c r="T136" s="231">
        <f ca="1">S136/2000</f>
        <v>1.4908159950596364E-3</v>
      </c>
      <c r="U136" s="249">
        <f ca="1">O136*$A$6+Q136*$B$6+S136*$C$6</f>
        <v>2.610861215415321</v>
      </c>
      <c r="V136" s="237">
        <f ca="1">U136/2000</f>
        <v>1.3054306077076605E-3</v>
      </c>
      <c r="W136" s="916">
        <f t="shared" si="93"/>
        <v>2.8469047250858956</v>
      </c>
      <c r="X136" s="916">
        <f t="shared" ca="1" si="94"/>
        <v>2.3728016805189807</v>
      </c>
      <c r="Y136" s="916">
        <f t="shared" si="95"/>
        <v>2.8056563473878482</v>
      </c>
      <c r="Z136" s="916">
        <f t="shared" ca="1" si="96"/>
        <v>2.342034090338498</v>
      </c>
      <c r="AA136" s="916">
        <f t="shared" si="97"/>
        <v>2.5425724962514358</v>
      </c>
      <c r="AB136" s="916">
        <f t="shared" ca="1" si="98"/>
        <v>2.1457971334787032</v>
      </c>
    </row>
    <row r="138" spans="1:28">
      <c r="A138" s="3" t="s">
        <v>853</v>
      </c>
    </row>
    <row r="139" spans="1:28" ht="38.25">
      <c r="A139" s="80"/>
      <c r="B139" s="266" t="s">
        <v>337</v>
      </c>
      <c r="C139" s="265" t="s">
        <v>338</v>
      </c>
      <c r="D139" s="114" t="s">
        <v>339</v>
      </c>
      <c r="E139" s="265" t="s">
        <v>854</v>
      </c>
      <c r="F139" s="114"/>
    </row>
    <row r="140" spans="1:28">
      <c r="A140" s="1627" t="s">
        <v>843</v>
      </c>
      <c r="B140" s="1649"/>
      <c r="C140" s="1647">
        <f>G11</f>
        <v>1.0429999999999999</v>
      </c>
      <c r="D140" s="1646">
        <f>H11</f>
        <v>1</v>
      </c>
      <c r="E140" s="1312"/>
      <c r="F140" s="1178"/>
    </row>
    <row r="141" spans="1:28">
      <c r="A141" s="177" t="s">
        <v>844</v>
      </c>
      <c r="B141" s="173"/>
      <c r="D141" s="51"/>
      <c r="E141" s="330" t="s">
        <v>845</v>
      </c>
      <c r="F141" s="329" t="s">
        <v>846</v>
      </c>
    </row>
    <row r="142" spans="1:28">
      <c r="A142" s="173" t="s">
        <v>855</v>
      </c>
      <c r="B142" s="234">
        <f ca="1">Y75</f>
        <v>3.7914455647616641</v>
      </c>
      <c r="C142" s="228">
        <f ca="1">AA75</f>
        <v>4.5653180724688571</v>
      </c>
      <c r="D142" s="235">
        <f ca="1">AC75</f>
        <v>1.095149842171246</v>
      </c>
      <c r="E142" s="228">
        <f t="shared" ref="E142:E147" ca="1" si="100">(B142*C$140+C142)*D$140+D142</f>
        <v>9.6149456386865175</v>
      </c>
      <c r="F142" s="235">
        <f ca="1">E142/2000</f>
        <v>4.8074728193432592E-3</v>
      </c>
    </row>
    <row r="143" spans="1:28">
      <c r="A143" s="173" t="s">
        <v>817</v>
      </c>
      <c r="B143" s="234">
        <f ca="1">Y76</f>
        <v>3.1457314198265411</v>
      </c>
      <c r="C143" s="228">
        <f ca="1">AA76</f>
        <v>4.1095255933653343</v>
      </c>
      <c r="D143" s="235">
        <f ca="1">AC76</f>
        <v>0.86737441381755587</v>
      </c>
      <c r="E143" s="228">
        <f t="shared" ca="1" si="100"/>
        <v>8.2578978780619732</v>
      </c>
      <c r="F143" s="235">
        <f t="shared" ref="F143:F168" ca="1" si="101">E143/2000</f>
        <v>4.128948939030987E-3</v>
      </c>
    </row>
    <row r="144" spans="1:28">
      <c r="A144" s="173" t="s">
        <v>805</v>
      </c>
      <c r="B144" s="234">
        <f ca="1">Y77</f>
        <v>1.0237841869232658</v>
      </c>
      <c r="C144" s="228">
        <f ca="1">AA77</f>
        <v>0.60252035402241511</v>
      </c>
      <c r="D144" s="235">
        <f ca="1">AC77</f>
        <v>0.30110169748314225</v>
      </c>
      <c r="E144" s="228">
        <f t="shared" ca="1" si="100"/>
        <v>1.9714289584665234</v>
      </c>
      <c r="F144" s="235">
        <f t="shared" ca="1" si="101"/>
        <v>9.8571447923326175E-4</v>
      </c>
    </row>
    <row r="145" spans="1:6">
      <c r="A145" s="173" t="s">
        <v>804</v>
      </c>
      <c r="B145" s="234">
        <f ca="1">B143-B144-B146</f>
        <v>2.0933733965644148</v>
      </c>
      <c r="C145" s="228">
        <f ca="1">C143-C144-C146</f>
        <v>3.4795643956922491</v>
      </c>
      <c r="D145" s="235">
        <f ca="1">D143-D144-D146</f>
        <v>0.55685285502783466</v>
      </c>
      <c r="E145" s="228">
        <f t="shared" ca="1" si="100"/>
        <v>6.2198057033367675</v>
      </c>
      <c r="F145" s="235">
        <f ca="1">F143-F144-F146</f>
        <v>3.1099028516683846E-3</v>
      </c>
    </row>
    <row r="146" spans="1:6">
      <c r="A146" s="173" t="s">
        <v>818</v>
      </c>
      <c r="B146" s="234">
        <f ca="1">Y79</f>
        <v>2.8573836338860636E-2</v>
      </c>
      <c r="C146" s="228">
        <f ca="1">AA79</f>
        <v>2.7440843650670094E-2</v>
      </c>
      <c r="D146" s="235">
        <f ca="1">AC79</f>
        <v>9.4198613065789756E-3</v>
      </c>
      <c r="E146" s="228">
        <f t="shared" ca="1" si="100"/>
        <v>6.6663216258680713E-2</v>
      </c>
      <c r="F146" s="235">
        <f t="shared" ca="1" si="101"/>
        <v>3.3331608129340359E-5</v>
      </c>
    </row>
    <row r="147" spans="1:6">
      <c r="A147" s="1648" t="s">
        <v>847</v>
      </c>
      <c r="B147" s="1309">
        <f ca="1">Y80</f>
        <v>167.73526771186997</v>
      </c>
      <c r="C147" s="1310">
        <f ca="1">AA80</f>
        <v>123.6746805030201</v>
      </c>
      <c r="D147" s="1444">
        <f ca="1">AC80</f>
        <v>58.690100867173619</v>
      </c>
      <c r="E147" s="1310">
        <f t="shared" ca="1" si="100"/>
        <v>357.31266559367407</v>
      </c>
      <c r="F147" s="1650">
        <f ca="1">E147/2000</f>
        <v>0.17865633279683704</v>
      </c>
    </row>
    <row r="148" spans="1:6">
      <c r="A148" s="178" t="s">
        <v>848</v>
      </c>
      <c r="B148" s="240"/>
      <c r="C148" s="241"/>
      <c r="D148" s="248"/>
      <c r="E148" s="331" t="s">
        <v>845</v>
      </c>
      <c r="F148" s="332" t="s">
        <v>846</v>
      </c>
    </row>
    <row r="149" spans="1:6">
      <c r="A149" s="173" t="s">
        <v>821</v>
      </c>
      <c r="B149" s="234">
        <f t="shared" ref="B149:B159" ca="1" si="102">SUM(Y82:Z82)</f>
        <v>201.73674324651117</v>
      </c>
      <c r="C149" s="228">
        <f t="shared" ref="C149:C159" ca="1" si="103">SUM(AA82:AB82)</f>
        <v>42.584727361009186</v>
      </c>
      <c r="D149" s="235">
        <f t="shared" ref="D149:D159" ca="1" si="104">SUM(AC82:AD82)</f>
        <v>7.4827090274299994</v>
      </c>
      <c r="E149" s="228">
        <f t="shared" ref="E149:E161" ca="1" si="105">(B149*C$140+C149)*D$140+D149</f>
        <v>260.47885959455033</v>
      </c>
      <c r="F149" s="235">
        <f t="shared" ca="1" si="101"/>
        <v>0.13023942979727515</v>
      </c>
    </row>
    <row r="150" spans="1:6">
      <c r="A150" s="173" t="s">
        <v>822</v>
      </c>
      <c r="B150" s="234">
        <f t="shared" ca="1" si="102"/>
        <v>3091.9224774676286</v>
      </c>
      <c r="C150" s="228">
        <f t="shared" ca="1" si="103"/>
        <v>155.6205257082112</v>
      </c>
      <c r="D150" s="235">
        <f t="shared" ca="1" si="104"/>
        <v>20.225682519847698</v>
      </c>
      <c r="E150" s="228">
        <f t="shared" ca="1" si="105"/>
        <v>3400.7213522267953</v>
      </c>
      <c r="F150" s="235">
        <f t="shared" ca="1" si="101"/>
        <v>1.7003606761133976</v>
      </c>
    </row>
    <row r="151" spans="1:6">
      <c r="A151" s="173" t="s">
        <v>849</v>
      </c>
      <c r="B151" s="234">
        <f t="shared" ca="1" si="102"/>
        <v>217.51731147669045</v>
      </c>
      <c r="C151" s="228">
        <f t="shared" ca="1" si="103"/>
        <v>239.81257115435812</v>
      </c>
      <c r="D151" s="235">
        <f t="shared" ca="1" si="104"/>
        <v>41.666162997286321</v>
      </c>
      <c r="E151" s="228">
        <f t="shared" ca="1" si="105"/>
        <v>508.34929002183259</v>
      </c>
      <c r="F151" s="235">
        <f t="shared" ca="1" si="101"/>
        <v>0.2541746450109163</v>
      </c>
    </row>
    <row r="152" spans="1:6">
      <c r="A152" s="173" t="s">
        <v>824</v>
      </c>
      <c r="B152" s="234">
        <f t="shared" ca="1" si="102"/>
        <v>602.97996074602167</v>
      </c>
      <c r="C152" s="228">
        <f t="shared" ca="1" si="103"/>
        <v>21.769091979098981</v>
      </c>
      <c r="D152" s="235">
        <f t="shared" ca="1" si="104"/>
        <v>6.6697639307422918</v>
      </c>
      <c r="E152" s="228">
        <f t="shared" ca="1" si="105"/>
        <v>657.34695496794188</v>
      </c>
      <c r="F152" s="235">
        <f t="shared" ca="1" si="101"/>
        <v>0.32867347748397097</v>
      </c>
    </row>
    <row r="153" spans="1:6">
      <c r="A153" s="173" t="s">
        <v>825</v>
      </c>
      <c r="B153" s="234">
        <f t="shared" ca="1" si="102"/>
        <v>304.28707945580112</v>
      </c>
      <c r="C153" s="228">
        <f t="shared" ca="1" si="103"/>
        <v>16.363714512998065</v>
      </c>
      <c r="D153" s="235">
        <f t="shared" ca="1" si="104"/>
        <v>4.0036560169627808</v>
      </c>
      <c r="E153" s="228">
        <f t="shared" ca="1" si="105"/>
        <v>337.73879440236141</v>
      </c>
      <c r="F153" s="235">
        <f t="shared" ca="1" si="101"/>
        <v>0.16886939720118072</v>
      </c>
    </row>
    <row r="154" spans="1:6">
      <c r="A154" s="173" t="s">
        <v>826</v>
      </c>
      <c r="B154" s="234">
        <f t="shared" ca="1" si="102"/>
        <v>452.99013544563491</v>
      </c>
      <c r="C154" s="228">
        <f t="shared" ca="1" si="103"/>
        <v>94.278704707709906</v>
      </c>
      <c r="D154" s="235">
        <f t="shared" ca="1" si="104"/>
        <v>34.984490558473404</v>
      </c>
      <c r="E154" s="228">
        <f t="shared" ca="1" si="105"/>
        <v>601.73190653598056</v>
      </c>
      <c r="F154" s="235">
        <f t="shared" ca="1" si="101"/>
        <v>0.30086595326799026</v>
      </c>
    </row>
    <row r="155" spans="1:6">
      <c r="A155" s="477" t="s">
        <v>827</v>
      </c>
      <c r="B155" s="234">
        <f t="shared" ca="1" si="102"/>
        <v>1.0103192510809942</v>
      </c>
      <c r="C155" s="228">
        <f t="shared" ca="1" si="103"/>
        <v>1.9491179497586983</v>
      </c>
      <c r="D155" s="235">
        <f t="shared" ca="1" si="104"/>
        <v>0.24428145805531498</v>
      </c>
      <c r="E155" s="228">
        <f ca="1">(B155*C$140+C155)*D$140+D155</f>
        <v>3.2471623866914903</v>
      </c>
      <c r="F155" s="235">
        <f ca="1">E155/2000</f>
        <v>1.623581193345745E-3</v>
      </c>
    </row>
    <row r="156" spans="1:6">
      <c r="A156" s="477" t="s">
        <v>828</v>
      </c>
      <c r="B156" s="234">
        <f t="shared" ca="1" si="102"/>
        <v>4.06617286324673</v>
      </c>
      <c r="C156" s="228">
        <f t="shared" ca="1" si="103"/>
        <v>5.8647376712966821</v>
      </c>
      <c r="D156" s="235">
        <f t="shared" ca="1" si="104"/>
        <v>1.1627205582355689</v>
      </c>
      <c r="E156" s="228">
        <f ca="1">(B156*C$140+C156)*D$140+D156</f>
        <v>11.26847652589859</v>
      </c>
      <c r="F156" s="235">
        <f ca="1">E156/2000</f>
        <v>5.6342382629492949E-3</v>
      </c>
    </row>
    <row r="157" spans="1:6">
      <c r="A157" s="160" t="s">
        <v>829</v>
      </c>
      <c r="B157" s="578">
        <f t="shared" ca="1" si="102"/>
        <v>512.07877315296503</v>
      </c>
      <c r="C157" s="479">
        <f t="shared" ca="1" si="103"/>
        <v>757.39091510876312</v>
      </c>
      <c r="D157" s="478">
        <f t="shared" ca="1" si="104"/>
        <v>144.66610000589398</v>
      </c>
      <c r="E157" s="479">
        <f t="shared" ca="1" si="105"/>
        <v>1436.1551755131995</v>
      </c>
      <c r="F157" s="235">
        <f t="shared" ca="1" si="101"/>
        <v>0.7180775877565998</v>
      </c>
    </row>
    <row r="158" spans="1:6">
      <c r="A158" s="160" t="s">
        <v>830</v>
      </c>
      <c r="B158" s="578">
        <f t="shared" ca="1" si="102"/>
        <v>4.7372665455764214</v>
      </c>
      <c r="C158" s="479">
        <f t="shared" ca="1" si="103"/>
        <v>7.2967254174050922</v>
      </c>
      <c r="D158" s="478">
        <f t="shared" ca="1" si="104"/>
        <v>1.3125273865702118</v>
      </c>
      <c r="E158" s="479">
        <f t="shared" ca="1" si="105"/>
        <v>13.550221811011511</v>
      </c>
      <c r="F158" s="235">
        <f t="shared" ca="1" si="101"/>
        <v>6.7751109055057554E-3</v>
      </c>
    </row>
    <row r="159" spans="1:6">
      <c r="A159" s="160" t="s">
        <v>831</v>
      </c>
      <c r="B159" s="650">
        <f t="shared" ca="1" si="102"/>
        <v>235190.88026239426</v>
      </c>
      <c r="C159" s="158">
        <f t="shared" ca="1" si="103"/>
        <v>268724.83268020448</v>
      </c>
      <c r="D159" s="159">
        <f t="shared" ca="1" si="104"/>
        <v>63921.436842905794</v>
      </c>
      <c r="E159" s="158">
        <f t="shared" ca="1" si="105"/>
        <v>577950.35763678746</v>
      </c>
      <c r="F159" s="245">
        <f t="shared" ca="1" si="101"/>
        <v>288.97517881839372</v>
      </c>
    </row>
    <row r="160" spans="1:6">
      <c r="A160" s="160" t="s">
        <v>850</v>
      </c>
      <c r="B160" s="650">
        <f ca="1">B159+B149*GREET1_Import_Export!$B$62/GREET1_Import_Export!$B$65+B150*GREET1_Import_Export!$B$63/GREET1_Import_Export!$B$65</f>
        <v>240678.36176724741</v>
      </c>
      <c r="C160" s="158">
        <f ca="1">C159+C149*GREET1_Import_Export!$B$62/GREET1_Import_Export!$B$65+C150*GREET1_Import_Export!$B$63/GREET1_Import_Export!$B$65</f>
        <v>269102.10162087821</v>
      </c>
      <c r="D160" s="159">
        <f ca="1">D159+D149*GREET1_Import_Export!$B$62/GREET1_Import_Export!$B$65+D150*GREET1_Import_Export!$B$63/GREET1_Import_Export!$B$65</f>
        <v>63976.541168096286</v>
      </c>
      <c r="E160" s="158">
        <f t="shared" ca="1" si="105"/>
        <v>584106.17411221354</v>
      </c>
      <c r="F160" s="245">
        <f t="shared" ca="1" si="101"/>
        <v>292.05308705610679</v>
      </c>
    </row>
    <row r="161" spans="1:6">
      <c r="A161" s="161" t="s">
        <v>851</v>
      </c>
      <c r="B161" s="137">
        <f ca="1">B160+SUMPRODUCT(B157:B158,GREET1_Import_Export!$B$51:$B$52)+SUMPRODUCT(B149:B151,GREET1_Import_Export!$B$55:$B$57)+SUMPRODUCT(B155:B156,GREET1_Import_Export!$B$58:$B$59)</f>
        <v>257296.10059641412</v>
      </c>
      <c r="C161" s="138">
        <f ca="1">C160+SUMPRODUCT(C157:C158,GREET1_Import_Export!$B$51:$B$52)+SUMPRODUCT(C149:C151,GREET1_Import_Export!$B$55:$B$57)+SUMPRODUCT(C155:C156,GREET1_Import_Export!$B$58:$B$59)</f>
        <v>293757.46130975347</v>
      </c>
      <c r="D161" s="139">
        <f ca="1">D160+SUMPRODUCT(D157:D158,GREET1_Import_Export!$B$51:$B$52)+SUMPRODUCT(D149:D151,GREET1_Import_Export!$B$55:$B$57)+SUMPRODUCT(D155:D156,GREET1_Import_Export!$B$58:$B$59)</f>
        <v>68664.343925714216</v>
      </c>
      <c r="E161" s="138">
        <f t="shared" ca="1" si="105"/>
        <v>630781.63815752766</v>
      </c>
      <c r="F161" s="243">
        <f t="shared" ca="1" si="101"/>
        <v>315.39081907876385</v>
      </c>
    </row>
    <row r="162" spans="1:6">
      <c r="A162" s="571" t="s">
        <v>852</v>
      </c>
      <c r="B162" s="578"/>
      <c r="C162" s="479"/>
      <c r="D162" s="478"/>
      <c r="E162" s="651" t="s">
        <v>845</v>
      </c>
      <c r="F162" s="333" t="s">
        <v>846</v>
      </c>
    </row>
    <row r="163" spans="1:6">
      <c r="A163" s="160" t="s">
        <v>821</v>
      </c>
      <c r="B163" s="578">
        <f t="shared" ref="B163:B170" ca="1" si="106">SUM(Y94:Z94)</f>
        <v>1.6028349236282793</v>
      </c>
      <c r="C163" s="479">
        <f t="shared" ref="C163:C170" ca="1" si="107">SUM(AA94:AB94)</f>
        <v>2.2204319854347778</v>
      </c>
      <c r="D163" s="478">
        <f t="shared" ref="D163:D170" ca="1" si="108">SUM(AC94:AD94)</f>
        <v>0.46661822254725344</v>
      </c>
      <c r="E163" s="479">
        <f t="shared" ref="E163:E168" ca="1" si="109">(B163*C$140+C163)*D$140+D163</f>
        <v>4.3588070333263262</v>
      </c>
      <c r="F163" s="235">
        <f t="shared" ca="1" si="101"/>
        <v>2.1794035166631631E-3</v>
      </c>
    </row>
    <row r="164" spans="1:6">
      <c r="A164" s="173" t="s">
        <v>822</v>
      </c>
      <c r="B164" s="234">
        <f t="shared" ca="1" si="106"/>
        <v>11.109268232965471</v>
      </c>
      <c r="C164" s="228">
        <f t="shared" ca="1" si="107"/>
        <v>13.066864685172813</v>
      </c>
      <c r="D164" s="235">
        <f t="shared" ca="1" si="108"/>
        <v>3.4448430417145355</v>
      </c>
      <c r="E164" s="228">
        <f t="shared" ca="1" si="109"/>
        <v>28.098674493870334</v>
      </c>
      <c r="F164" s="235">
        <f t="shared" ca="1" si="101"/>
        <v>1.4049337246935167E-2</v>
      </c>
    </row>
    <row r="165" spans="1:6">
      <c r="A165" s="173" t="s">
        <v>823</v>
      </c>
      <c r="B165" s="234">
        <f t="shared" ca="1" si="106"/>
        <v>30.750885449810507</v>
      </c>
      <c r="C165" s="228">
        <f t="shared" ca="1" si="107"/>
        <v>27.862540282017804</v>
      </c>
      <c r="D165" s="235">
        <f t="shared" ca="1" si="108"/>
        <v>10.288953337676208</v>
      </c>
      <c r="E165" s="228">
        <f t="shared" ca="1" si="109"/>
        <v>70.224667143846375</v>
      </c>
      <c r="F165" s="235">
        <f t="shared" ca="1" si="101"/>
        <v>3.5112333571923185E-2</v>
      </c>
    </row>
    <row r="166" spans="1:6">
      <c r="A166" s="173" t="s">
        <v>824</v>
      </c>
      <c r="B166" s="234">
        <f t="shared" ca="1" si="106"/>
        <v>3.8989841694269511</v>
      </c>
      <c r="C166" s="228">
        <f t="shared" ca="1" si="107"/>
        <v>2.770644184618499</v>
      </c>
      <c r="D166" s="235">
        <f t="shared" ca="1" si="108"/>
        <v>1.3736912953723162</v>
      </c>
      <c r="E166" s="228">
        <f t="shared" ca="1" si="109"/>
        <v>8.2109759687031243</v>
      </c>
      <c r="F166" s="235">
        <f t="shared" ca="1" si="101"/>
        <v>4.1054879843515617E-3</v>
      </c>
    </row>
    <row r="167" spans="1:6">
      <c r="A167" s="173" t="s">
        <v>825</v>
      </c>
      <c r="B167" s="234">
        <f t="shared" ca="1" si="106"/>
        <v>3.4287979839056346</v>
      </c>
      <c r="C167" s="228">
        <f t="shared" ca="1" si="107"/>
        <v>2.4377077848934388</v>
      </c>
      <c r="D167" s="235">
        <f t="shared" ca="1" si="108"/>
        <v>1.2079280276484363</v>
      </c>
      <c r="E167" s="228">
        <f t="shared" ca="1" si="109"/>
        <v>7.2218721097554512</v>
      </c>
      <c r="F167" s="235">
        <f t="shared" ca="1" si="101"/>
        <v>3.6109360548777255E-3</v>
      </c>
    </row>
    <row r="168" spans="1:6">
      <c r="A168" s="173" t="s">
        <v>826</v>
      </c>
      <c r="B168" s="234">
        <f t="shared" ca="1" si="106"/>
        <v>29.034192044682179</v>
      </c>
      <c r="C168" s="228">
        <f t="shared" ca="1" si="107"/>
        <v>20.701729598112774</v>
      </c>
      <c r="D168" s="235">
        <f t="shared" ca="1" si="108"/>
        <v>10.223000660764436</v>
      </c>
      <c r="E168" s="228">
        <f t="shared" ca="1" si="109"/>
        <v>61.207392561480717</v>
      </c>
      <c r="F168" s="235">
        <f t="shared" ca="1" si="101"/>
        <v>3.0603696280740358E-2</v>
      </c>
    </row>
    <row r="169" spans="1:6">
      <c r="A169" s="173" t="s">
        <v>827</v>
      </c>
      <c r="B169" s="234">
        <f t="shared" ca="1" si="106"/>
        <v>0.17743778952331815</v>
      </c>
      <c r="C169" s="228">
        <f t="shared" ca="1" si="107"/>
        <v>0.12899076760903322</v>
      </c>
      <c r="D169" s="235">
        <f t="shared" ca="1" si="108"/>
        <v>6.2251682935120692E-2</v>
      </c>
      <c r="E169" s="228">
        <f ca="1">(B169*C$140+C169)*D$140+D169</f>
        <v>0.37631006501697473</v>
      </c>
      <c r="F169" s="235">
        <f ca="1">E169/2000</f>
        <v>1.8815503250848737E-4</v>
      </c>
    </row>
    <row r="170" spans="1:6">
      <c r="A170" s="174" t="s">
        <v>828</v>
      </c>
      <c r="B170" s="249">
        <f t="shared" ca="1" si="106"/>
        <v>0.98101617259721263</v>
      </c>
      <c r="C170" s="231">
        <f t="shared" ca="1" si="107"/>
        <v>0.69886776607908507</v>
      </c>
      <c r="D170" s="237">
        <f t="shared" ca="1" si="108"/>
        <v>0.34547308168153379</v>
      </c>
      <c r="E170" s="231">
        <f ca="1">(B170*C$140+C170)*D$140+D170</f>
        <v>2.0675407157795114</v>
      </c>
      <c r="F170" s="237">
        <f ca="1">E170/2000</f>
        <v>1.0337703578897556E-3</v>
      </c>
    </row>
    <row r="172" spans="1:6">
      <c r="A172" s="3" t="s">
        <v>856</v>
      </c>
    </row>
    <row r="173" spans="1:6" ht="42.75" customHeight="1">
      <c r="A173" s="80"/>
      <c r="B173" s="266" t="s">
        <v>337</v>
      </c>
      <c r="C173" s="265" t="s">
        <v>338</v>
      </c>
      <c r="D173" s="114" t="s">
        <v>339</v>
      </c>
      <c r="E173" s="265" t="s">
        <v>854</v>
      </c>
      <c r="F173" s="114"/>
    </row>
    <row r="174" spans="1:6">
      <c r="A174" s="1627" t="s">
        <v>843</v>
      </c>
      <c r="B174" s="1649"/>
      <c r="C174" s="1647">
        <f>G12</f>
        <v>1.0429999999999999</v>
      </c>
      <c r="D174" s="1646">
        <f>H12</f>
        <v>1</v>
      </c>
      <c r="E174" s="1312"/>
      <c r="F174" s="1178"/>
    </row>
    <row r="175" spans="1:6">
      <c r="A175" s="177" t="s">
        <v>844</v>
      </c>
      <c r="B175" s="173"/>
      <c r="D175" s="51"/>
      <c r="E175" s="330" t="s">
        <v>845</v>
      </c>
      <c r="F175" s="329" t="s">
        <v>846</v>
      </c>
    </row>
    <row r="176" spans="1:6">
      <c r="A176" s="173" t="s">
        <v>855</v>
      </c>
      <c r="B176" s="234">
        <f ca="1">Y75</f>
        <v>3.7914455647616641</v>
      </c>
      <c r="C176" s="228">
        <f ca="1">AA75</f>
        <v>4.5653180724688571</v>
      </c>
      <c r="D176" s="235">
        <f ca="1">AC75</f>
        <v>1.095149842171246</v>
      </c>
      <c r="E176" s="228">
        <f t="shared" ref="E176:E181" ca="1" si="110">(B176*C$174+C176)*D$174+D176</f>
        <v>9.6149456386865175</v>
      </c>
      <c r="F176" s="235">
        <f ca="1">E176/2000</f>
        <v>4.8074728193432592E-3</v>
      </c>
    </row>
    <row r="177" spans="1:6">
      <c r="A177" s="173" t="s">
        <v>817</v>
      </c>
      <c r="B177" s="234">
        <f ca="1">Y76</f>
        <v>3.1457314198265411</v>
      </c>
      <c r="C177" s="228">
        <f ca="1">AA76</f>
        <v>4.1095255933653343</v>
      </c>
      <c r="D177" s="235">
        <f ca="1">AC76</f>
        <v>0.86737441381755587</v>
      </c>
      <c r="E177" s="228">
        <f t="shared" ca="1" si="110"/>
        <v>8.2578978780619732</v>
      </c>
      <c r="F177" s="235">
        <f ca="1">E177/2000</f>
        <v>4.128948939030987E-3</v>
      </c>
    </row>
    <row r="178" spans="1:6">
      <c r="A178" s="173" t="s">
        <v>805</v>
      </c>
      <c r="B178" s="234">
        <f ca="1">Y77</f>
        <v>1.0237841869232658</v>
      </c>
      <c r="C178" s="228">
        <f ca="1">AA77</f>
        <v>0.60252035402241511</v>
      </c>
      <c r="D178" s="235">
        <f ca="1">AC77</f>
        <v>0.30110169748314225</v>
      </c>
      <c r="E178" s="228">
        <f t="shared" ca="1" si="110"/>
        <v>1.9714289584665234</v>
      </c>
      <c r="F178" s="235">
        <f ca="1">E178/2000</f>
        <v>9.8571447923326175E-4</v>
      </c>
    </row>
    <row r="179" spans="1:6">
      <c r="A179" s="173" t="s">
        <v>804</v>
      </c>
      <c r="B179" s="234">
        <f ca="1">B177-B178-B180</f>
        <v>2.0933733965644148</v>
      </c>
      <c r="C179" s="228">
        <f ca="1">C177-C178-C180</f>
        <v>3.4795643956922491</v>
      </c>
      <c r="D179" s="235">
        <f ca="1">D177-D178-D180</f>
        <v>0.55685285502783466</v>
      </c>
      <c r="E179" s="228">
        <f t="shared" ca="1" si="110"/>
        <v>6.2198057033367675</v>
      </c>
      <c r="F179" s="235">
        <f ca="1">F177-F178-F180</f>
        <v>3.1099028516683846E-3</v>
      </c>
    </row>
    <row r="180" spans="1:6">
      <c r="A180" s="173" t="s">
        <v>818</v>
      </c>
      <c r="B180" s="234">
        <f ca="1">Y79</f>
        <v>2.8573836338860636E-2</v>
      </c>
      <c r="C180" s="228">
        <f ca="1">AA79</f>
        <v>2.7440843650670094E-2</v>
      </c>
      <c r="D180" s="235">
        <f ca="1">AC79</f>
        <v>9.4198613065789756E-3</v>
      </c>
      <c r="E180" s="228">
        <f t="shared" ca="1" si="110"/>
        <v>6.6663216258680713E-2</v>
      </c>
      <c r="F180" s="235">
        <f ca="1">E180/2000</f>
        <v>3.3331608129340359E-5</v>
      </c>
    </row>
    <row r="181" spans="1:6">
      <c r="A181" s="1648" t="s">
        <v>847</v>
      </c>
      <c r="B181" s="1309">
        <f ca="1">Y80</f>
        <v>167.73526771186997</v>
      </c>
      <c r="C181" s="1310">
        <f ca="1">AA80</f>
        <v>123.6746805030201</v>
      </c>
      <c r="D181" s="1444">
        <f ca="1">AC80</f>
        <v>58.690100867173619</v>
      </c>
      <c r="E181" s="1310">
        <f t="shared" ca="1" si="110"/>
        <v>357.31266559367407</v>
      </c>
      <c r="F181" s="1650">
        <f ca="1">E181/2000</f>
        <v>0.17865633279683704</v>
      </c>
    </row>
    <row r="182" spans="1:6">
      <c r="A182" s="178" t="s">
        <v>848</v>
      </c>
      <c r="B182" s="240"/>
      <c r="C182" s="241"/>
      <c r="D182" s="248"/>
      <c r="E182" s="331" t="s">
        <v>845</v>
      </c>
      <c r="F182" s="332" t="s">
        <v>846</v>
      </c>
    </row>
    <row r="183" spans="1:6">
      <c r="A183" s="173" t="s">
        <v>821</v>
      </c>
      <c r="B183" s="234">
        <f t="shared" ref="B183:B193" ca="1" si="111">SUM(Y82:Z82)</f>
        <v>201.73674324651117</v>
      </c>
      <c r="C183" s="228">
        <f t="shared" ref="C183:C193" ca="1" si="112">SUM(AA82:AB82)</f>
        <v>42.584727361009186</v>
      </c>
      <c r="D183" s="235">
        <f t="shared" ref="D183:D193" ca="1" si="113">SUM(AC82:AD82)</f>
        <v>7.4827090274299994</v>
      </c>
      <c r="E183" s="228">
        <f t="shared" ref="E183:E195" ca="1" si="114">(B183*C$174+C183)*D$174+D183</f>
        <v>260.47885959455033</v>
      </c>
      <c r="F183" s="235">
        <f t="shared" ref="F183:F195" ca="1" si="115">E183/2000</f>
        <v>0.13023942979727515</v>
      </c>
    </row>
    <row r="184" spans="1:6">
      <c r="A184" s="173" t="s">
        <v>822</v>
      </c>
      <c r="B184" s="234">
        <f t="shared" ca="1" si="111"/>
        <v>3091.9224774676286</v>
      </c>
      <c r="C184" s="228">
        <f t="shared" ca="1" si="112"/>
        <v>155.6205257082112</v>
      </c>
      <c r="D184" s="235">
        <f t="shared" ca="1" si="113"/>
        <v>20.225682519847698</v>
      </c>
      <c r="E184" s="228">
        <f t="shared" ca="1" si="114"/>
        <v>3400.7213522267953</v>
      </c>
      <c r="F184" s="235">
        <f t="shared" ca="1" si="115"/>
        <v>1.7003606761133976</v>
      </c>
    </row>
    <row r="185" spans="1:6">
      <c r="A185" s="173" t="s">
        <v>849</v>
      </c>
      <c r="B185" s="234">
        <f t="shared" ca="1" si="111"/>
        <v>217.51731147669045</v>
      </c>
      <c r="C185" s="228">
        <f t="shared" ca="1" si="112"/>
        <v>239.81257115435812</v>
      </c>
      <c r="D185" s="235">
        <f t="shared" ca="1" si="113"/>
        <v>41.666162997286321</v>
      </c>
      <c r="E185" s="228">
        <f t="shared" ca="1" si="114"/>
        <v>508.34929002183259</v>
      </c>
      <c r="F185" s="235">
        <f t="shared" ca="1" si="115"/>
        <v>0.2541746450109163</v>
      </c>
    </row>
    <row r="186" spans="1:6">
      <c r="A186" s="173" t="s">
        <v>824</v>
      </c>
      <c r="B186" s="234">
        <f t="shared" ca="1" si="111"/>
        <v>602.97996074602167</v>
      </c>
      <c r="C186" s="228">
        <f t="shared" ca="1" si="112"/>
        <v>21.769091979098981</v>
      </c>
      <c r="D186" s="235">
        <f t="shared" ca="1" si="113"/>
        <v>6.6697639307422918</v>
      </c>
      <c r="E186" s="228">
        <f t="shared" ca="1" si="114"/>
        <v>657.34695496794188</v>
      </c>
      <c r="F186" s="235">
        <f t="shared" ca="1" si="115"/>
        <v>0.32867347748397097</v>
      </c>
    </row>
    <row r="187" spans="1:6">
      <c r="A187" s="173" t="s">
        <v>825</v>
      </c>
      <c r="B187" s="234">
        <f t="shared" ca="1" si="111"/>
        <v>304.28707945580112</v>
      </c>
      <c r="C187" s="228">
        <f t="shared" ca="1" si="112"/>
        <v>16.363714512998065</v>
      </c>
      <c r="D187" s="235">
        <f t="shared" ca="1" si="113"/>
        <v>4.0036560169627808</v>
      </c>
      <c r="E187" s="228">
        <f t="shared" ca="1" si="114"/>
        <v>337.73879440236141</v>
      </c>
      <c r="F187" s="235">
        <f t="shared" ca="1" si="115"/>
        <v>0.16886939720118072</v>
      </c>
    </row>
    <row r="188" spans="1:6">
      <c r="A188" s="173" t="s">
        <v>826</v>
      </c>
      <c r="B188" s="234">
        <f t="shared" ca="1" si="111"/>
        <v>452.99013544563491</v>
      </c>
      <c r="C188" s="228">
        <f t="shared" ca="1" si="112"/>
        <v>94.278704707709906</v>
      </c>
      <c r="D188" s="235">
        <f t="shared" ca="1" si="113"/>
        <v>34.984490558473404</v>
      </c>
      <c r="E188" s="228">
        <f t="shared" ca="1" si="114"/>
        <v>601.73190653598056</v>
      </c>
      <c r="F188" s="235">
        <f t="shared" ca="1" si="115"/>
        <v>0.30086595326799026</v>
      </c>
    </row>
    <row r="189" spans="1:6">
      <c r="A189" s="477" t="s">
        <v>827</v>
      </c>
      <c r="B189" s="234">
        <f t="shared" ca="1" si="111"/>
        <v>1.0103192510809942</v>
      </c>
      <c r="C189" s="228">
        <f t="shared" ca="1" si="112"/>
        <v>1.9491179497586983</v>
      </c>
      <c r="D189" s="235">
        <f t="shared" ca="1" si="113"/>
        <v>0.24428145805531498</v>
      </c>
      <c r="E189" s="228">
        <f t="shared" ca="1" si="114"/>
        <v>3.2471623866914903</v>
      </c>
      <c r="F189" s="235">
        <f t="shared" ca="1" si="115"/>
        <v>1.623581193345745E-3</v>
      </c>
    </row>
    <row r="190" spans="1:6">
      <c r="A190" s="477" t="s">
        <v>828</v>
      </c>
      <c r="B190" s="234">
        <f t="shared" ca="1" si="111"/>
        <v>4.06617286324673</v>
      </c>
      <c r="C190" s="228">
        <f t="shared" ca="1" si="112"/>
        <v>5.8647376712966821</v>
      </c>
      <c r="D190" s="235">
        <f t="shared" ca="1" si="113"/>
        <v>1.1627205582355689</v>
      </c>
      <c r="E190" s="228">
        <f t="shared" ca="1" si="114"/>
        <v>11.26847652589859</v>
      </c>
      <c r="F190" s="235">
        <f t="shared" ca="1" si="115"/>
        <v>5.6342382629492949E-3</v>
      </c>
    </row>
    <row r="191" spans="1:6">
      <c r="A191" s="173" t="s">
        <v>829</v>
      </c>
      <c r="B191" s="234">
        <f t="shared" ca="1" si="111"/>
        <v>512.07877315296503</v>
      </c>
      <c r="C191" s="228">
        <f t="shared" ca="1" si="112"/>
        <v>757.39091510876312</v>
      </c>
      <c r="D191" s="235">
        <f t="shared" ca="1" si="113"/>
        <v>144.66610000589398</v>
      </c>
      <c r="E191" s="228">
        <f t="shared" ca="1" si="114"/>
        <v>1436.1551755131995</v>
      </c>
      <c r="F191" s="235">
        <f t="shared" ca="1" si="115"/>
        <v>0.7180775877565998</v>
      </c>
    </row>
    <row r="192" spans="1:6">
      <c r="A192" s="173" t="s">
        <v>830</v>
      </c>
      <c r="B192" s="234">
        <f t="shared" ca="1" si="111"/>
        <v>4.7372665455764214</v>
      </c>
      <c r="C192" s="228">
        <f t="shared" ca="1" si="112"/>
        <v>7.2967254174050922</v>
      </c>
      <c r="D192" s="235">
        <f t="shared" ca="1" si="113"/>
        <v>1.3125273865702118</v>
      </c>
      <c r="E192" s="228">
        <f t="shared" ca="1" si="114"/>
        <v>13.550221811011511</v>
      </c>
      <c r="F192" s="235">
        <f t="shared" ca="1" si="115"/>
        <v>6.7751109055057554E-3</v>
      </c>
    </row>
    <row r="193" spans="1:6">
      <c r="A193" s="160" t="s">
        <v>831</v>
      </c>
      <c r="B193" s="650">
        <f t="shared" ca="1" si="111"/>
        <v>235190.88026239426</v>
      </c>
      <c r="C193" s="158">
        <f t="shared" ca="1" si="112"/>
        <v>268724.83268020448</v>
      </c>
      <c r="D193" s="159">
        <f t="shared" ca="1" si="113"/>
        <v>63921.436842905794</v>
      </c>
      <c r="E193" s="158">
        <f t="shared" ca="1" si="114"/>
        <v>577950.35763678746</v>
      </c>
      <c r="F193" s="245">
        <f t="shared" ca="1" si="115"/>
        <v>288.97517881839372</v>
      </c>
    </row>
    <row r="194" spans="1:6">
      <c r="A194" s="160" t="s">
        <v>850</v>
      </c>
      <c r="B194" s="650">
        <f ca="1">B193+B183*GREET1_Import_Export!$B$62/GREET1_Import_Export!$B$65+B184*GREET1_Import_Export!$B$63/GREET1_Import_Export!$B$65</f>
        <v>240678.36176724741</v>
      </c>
      <c r="C194" s="158">
        <f ca="1">C193+C183*GREET1_Import_Export!$B$62/GREET1_Import_Export!$B$65+C184*GREET1_Import_Export!$B$63/GREET1_Import_Export!$B$65</f>
        <v>269102.10162087821</v>
      </c>
      <c r="D194" s="159">
        <f ca="1">D193+D183*GREET1_Import_Export!$B$62/GREET1_Import_Export!$B$65+D184*GREET1_Import_Export!$B$63/GREET1_Import_Export!$B$65</f>
        <v>63976.541168096286</v>
      </c>
      <c r="E194" s="158">
        <f t="shared" ca="1" si="114"/>
        <v>584106.17411221354</v>
      </c>
      <c r="F194" s="245">
        <f t="shared" ca="1" si="115"/>
        <v>292.05308705610679</v>
      </c>
    </row>
    <row r="195" spans="1:6">
      <c r="A195" s="161" t="s">
        <v>851</v>
      </c>
      <c r="B195" s="137">
        <f ca="1">B194+SUMPRODUCT(B191:B192,GREET1_Import_Export!$B$51:$B$52)+SUMPRODUCT(B183:B185,GREET1_Import_Export!$B$55:$B$57)+SUMPRODUCT(B189:B190,GREET1_Import_Export!$B$58:$B$59)</f>
        <v>257296.10059641412</v>
      </c>
      <c r="C195" s="138">
        <f ca="1">C194+SUMPRODUCT(C191:C192,GREET1_Import_Export!$B$51:$B$52)+SUMPRODUCT(C183:C185,GREET1_Import_Export!$B$55:$B$57)+SUMPRODUCT(C189:C190,GREET1_Import_Export!$B$58:$B$59)</f>
        <v>293757.46130975347</v>
      </c>
      <c r="D195" s="139">
        <f ca="1">D194+SUMPRODUCT(D191:D192,GREET1_Import_Export!$B$51:$B$52)+SUMPRODUCT(D183:D185,GREET1_Import_Export!$B$55:$B$57)+SUMPRODUCT(D189:D190,GREET1_Import_Export!$B$58:$B$59)</f>
        <v>68664.343925714216</v>
      </c>
      <c r="E195" s="138">
        <f t="shared" ca="1" si="114"/>
        <v>630781.63815752766</v>
      </c>
      <c r="F195" s="243">
        <f t="shared" ca="1" si="115"/>
        <v>315.39081907876385</v>
      </c>
    </row>
    <row r="196" spans="1:6">
      <c r="A196" s="571" t="s">
        <v>852</v>
      </c>
      <c r="B196" s="578"/>
      <c r="C196" s="479"/>
      <c r="D196" s="478"/>
      <c r="E196" s="651" t="s">
        <v>845</v>
      </c>
      <c r="F196" s="333" t="s">
        <v>846</v>
      </c>
    </row>
    <row r="197" spans="1:6">
      <c r="A197" s="160" t="s">
        <v>821</v>
      </c>
      <c r="B197" s="578">
        <f t="shared" ref="B197:B204" ca="1" si="116">SUM(Y94:Z94)</f>
        <v>1.6028349236282793</v>
      </c>
      <c r="C197" s="479">
        <f t="shared" ref="C197:C204" ca="1" si="117">SUM(AA94:AB94)</f>
        <v>2.2204319854347778</v>
      </c>
      <c r="D197" s="478">
        <f t="shared" ref="D197:D204" ca="1" si="118">SUM(AC94:AD94)</f>
        <v>0.46661822254725344</v>
      </c>
      <c r="E197" s="479">
        <f t="shared" ref="E197:E204" ca="1" si="119">(B197*C$174+C197)*D$174+D197</f>
        <v>4.3588070333263262</v>
      </c>
      <c r="F197" s="235">
        <f t="shared" ref="F197:F204" ca="1" si="120">E197/2000</f>
        <v>2.1794035166631631E-3</v>
      </c>
    </row>
    <row r="198" spans="1:6">
      <c r="A198" s="160" t="s">
        <v>822</v>
      </c>
      <c r="B198" s="578">
        <f t="shared" ca="1" si="116"/>
        <v>11.109268232965471</v>
      </c>
      <c r="C198" s="479">
        <f t="shared" ca="1" si="117"/>
        <v>13.066864685172813</v>
      </c>
      <c r="D198" s="478">
        <f t="shared" ca="1" si="118"/>
        <v>3.4448430417145355</v>
      </c>
      <c r="E198" s="479">
        <f t="shared" ca="1" si="119"/>
        <v>28.098674493870334</v>
      </c>
      <c r="F198" s="235">
        <f t="shared" ca="1" si="120"/>
        <v>1.4049337246935167E-2</v>
      </c>
    </row>
    <row r="199" spans="1:6">
      <c r="A199" s="160" t="s">
        <v>823</v>
      </c>
      <c r="B199" s="578">
        <f t="shared" ca="1" si="116"/>
        <v>30.750885449810507</v>
      </c>
      <c r="C199" s="479">
        <f t="shared" ca="1" si="117"/>
        <v>27.862540282017804</v>
      </c>
      <c r="D199" s="478">
        <f t="shared" ca="1" si="118"/>
        <v>10.288953337676208</v>
      </c>
      <c r="E199" s="479">
        <f t="shared" ca="1" si="119"/>
        <v>70.224667143846375</v>
      </c>
      <c r="F199" s="235">
        <f t="shared" ca="1" si="120"/>
        <v>3.5112333571923185E-2</v>
      </c>
    </row>
    <row r="200" spans="1:6">
      <c r="A200" s="173" t="s">
        <v>824</v>
      </c>
      <c r="B200" s="234">
        <f t="shared" ca="1" si="116"/>
        <v>3.8989841694269511</v>
      </c>
      <c r="C200" s="228">
        <f t="shared" ca="1" si="117"/>
        <v>2.770644184618499</v>
      </c>
      <c r="D200" s="235">
        <f t="shared" ca="1" si="118"/>
        <v>1.3736912953723162</v>
      </c>
      <c r="E200" s="228">
        <f t="shared" ca="1" si="119"/>
        <v>8.2109759687031243</v>
      </c>
      <c r="F200" s="235">
        <f t="shared" ca="1" si="120"/>
        <v>4.1054879843515617E-3</v>
      </c>
    </row>
    <row r="201" spans="1:6">
      <c r="A201" s="173" t="s">
        <v>825</v>
      </c>
      <c r="B201" s="234">
        <f t="shared" ca="1" si="116"/>
        <v>3.4287979839056346</v>
      </c>
      <c r="C201" s="228">
        <f t="shared" ca="1" si="117"/>
        <v>2.4377077848934388</v>
      </c>
      <c r="D201" s="235">
        <f t="shared" ca="1" si="118"/>
        <v>1.2079280276484363</v>
      </c>
      <c r="E201" s="228">
        <f t="shared" ca="1" si="119"/>
        <v>7.2218721097554512</v>
      </c>
      <c r="F201" s="235">
        <f t="shared" ca="1" si="120"/>
        <v>3.6109360548777255E-3</v>
      </c>
    </row>
    <row r="202" spans="1:6">
      <c r="A202" s="173" t="s">
        <v>826</v>
      </c>
      <c r="B202" s="234">
        <f t="shared" ca="1" si="116"/>
        <v>29.034192044682179</v>
      </c>
      <c r="C202" s="228">
        <f t="shared" ca="1" si="117"/>
        <v>20.701729598112774</v>
      </c>
      <c r="D202" s="235">
        <f t="shared" ca="1" si="118"/>
        <v>10.223000660764436</v>
      </c>
      <c r="E202" s="228">
        <f t="shared" ca="1" si="119"/>
        <v>61.207392561480717</v>
      </c>
      <c r="F202" s="235">
        <f t="shared" ca="1" si="120"/>
        <v>3.0603696280740358E-2</v>
      </c>
    </row>
    <row r="203" spans="1:6">
      <c r="A203" s="173" t="s">
        <v>827</v>
      </c>
      <c r="B203" s="234">
        <f t="shared" ca="1" si="116"/>
        <v>0.17743778952331815</v>
      </c>
      <c r="C203" s="228">
        <f t="shared" ca="1" si="117"/>
        <v>0.12899076760903322</v>
      </c>
      <c r="D203" s="235">
        <f t="shared" ca="1" si="118"/>
        <v>6.2251682935120692E-2</v>
      </c>
      <c r="E203" s="228">
        <f t="shared" ca="1" si="119"/>
        <v>0.37631006501697473</v>
      </c>
      <c r="F203" s="235">
        <f t="shared" ca="1" si="120"/>
        <v>1.8815503250848737E-4</v>
      </c>
    </row>
    <row r="204" spans="1:6">
      <c r="A204" s="174" t="s">
        <v>828</v>
      </c>
      <c r="B204" s="249">
        <f t="shared" ca="1" si="116"/>
        <v>0.98101617259721263</v>
      </c>
      <c r="C204" s="231">
        <f t="shared" ca="1" si="117"/>
        <v>0.69886776607908507</v>
      </c>
      <c r="D204" s="237">
        <f t="shared" ca="1" si="118"/>
        <v>0.34547308168153379</v>
      </c>
      <c r="E204" s="231">
        <f t="shared" ca="1" si="119"/>
        <v>2.0675407157795114</v>
      </c>
      <c r="F204" s="237">
        <f t="shared" ca="1" si="120"/>
        <v>1.0337703578897556E-3</v>
      </c>
    </row>
    <row r="206" spans="1:6">
      <c r="A206" s="3" t="s">
        <v>857</v>
      </c>
    </row>
    <row r="207" spans="1:6" ht="45" customHeight="1">
      <c r="A207" s="80"/>
      <c r="B207" s="266" t="s">
        <v>337</v>
      </c>
      <c r="C207" s="265" t="s">
        <v>338</v>
      </c>
      <c r="D207" s="114" t="s">
        <v>339</v>
      </c>
      <c r="E207" s="265" t="s">
        <v>854</v>
      </c>
      <c r="F207" s="114"/>
    </row>
    <row r="208" spans="1:6">
      <c r="A208" s="1627" t="s">
        <v>843</v>
      </c>
      <c r="B208" s="1649"/>
      <c r="C208" s="1647">
        <f>G13</f>
        <v>1.61</v>
      </c>
      <c r="D208" s="1646">
        <f>H13</f>
        <v>1</v>
      </c>
      <c r="E208" s="1312"/>
      <c r="F208" s="1178"/>
    </row>
    <row r="209" spans="1:6">
      <c r="A209" s="177" t="s">
        <v>844</v>
      </c>
      <c r="B209" s="173"/>
      <c r="D209" s="51"/>
      <c r="E209" s="330" t="s">
        <v>845</v>
      </c>
      <c r="F209" s="329" t="s">
        <v>846</v>
      </c>
    </row>
    <row r="210" spans="1:6">
      <c r="A210" s="173" t="s">
        <v>855</v>
      </c>
      <c r="B210" s="234">
        <f t="shared" ref="B210:B215" ca="1" si="121">Y75</f>
        <v>3.7914455647616641</v>
      </c>
      <c r="C210" s="228">
        <f ca="1">AA75</f>
        <v>4.5653180724688571</v>
      </c>
      <c r="D210" s="235">
        <f ca="1">AC75</f>
        <v>1.095149842171246</v>
      </c>
      <c r="E210" s="228">
        <f t="shared" ref="E210:E215" ca="1" si="122">(B210*C$208+C210)*D$208+D210</f>
        <v>11.764695273906383</v>
      </c>
      <c r="F210" s="235">
        <f t="shared" ref="F210:F235" ca="1" si="123">E210/2000</f>
        <v>5.882347636953192E-3</v>
      </c>
    </row>
    <row r="211" spans="1:6">
      <c r="A211" s="173" t="s">
        <v>817</v>
      </c>
      <c r="B211" s="234">
        <f t="shared" ca="1" si="121"/>
        <v>3.1457314198265411</v>
      </c>
      <c r="C211" s="228">
        <f ca="1">AA76</f>
        <v>4.1095255933653343</v>
      </c>
      <c r="D211" s="235">
        <f ca="1">AC76</f>
        <v>0.86737441381755587</v>
      </c>
      <c r="E211" s="228">
        <f t="shared" ca="1" si="122"/>
        <v>10.041527593103622</v>
      </c>
      <c r="F211" s="235">
        <f t="shared" ca="1" si="123"/>
        <v>5.0207637965518108E-3</v>
      </c>
    </row>
    <row r="212" spans="1:6">
      <c r="A212" s="173" t="s">
        <v>805</v>
      </c>
      <c r="B212" s="234">
        <f t="shared" ca="1" si="121"/>
        <v>1.0237841869232658</v>
      </c>
      <c r="C212" s="228">
        <f ca="1">AA77</f>
        <v>0.60252035402241511</v>
      </c>
      <c r="D212" s="235">
        <f ca="1">AC77</f>
        <v>0.30110169748314225</v>
      </c>
      <c r="E212" s="228">
        <f t="shared" ca="1" si="122"/>
        <v>2.5519145924520155</v>
      </c>
      <c r="F212" s="235">
        <f t="shared" ca="1" si="123"/>
        <v>1.2759572962260078E-3</v>
      </c>
    </row>
    <row r="213" spans="1:6">
      <c r="A213" s="173" t="s">
        <v>804</v>
      </c>
      <c r="B213" s="234">
        <f t="shared" ca="1" si="121"/>
        <v>2.0933733965644148</v>
      </c>
      <c r="C213" s="228">
        <f ca="1">C211-C212-C214</f>
        <v>3.4795643956922491</v>
      </c>
      <c r="D213" s="235">
        <f ca="1">D211-D212-D214</f>
        <v>0.55685285502783466</v>
      </c>
      <c r="E213" s="228">
        <f t="shared" ca="1" si="122"/>
        <v>7.4067484191887916</v>
      </c>
      <c r="F213" s="235">
        <f ca="1">F211-F212-F214</f>
        <v>3.7033742095943958E-3</v>
      </c>
    </row>
    <row r="214" spans="1:6">
      <c r="A214" s="173" t="s">
        <v>818</v>
      </c>
      <c r="B214" s="234">
        <f t="shared" ca="1" si="121"/>
        <v>2.8573836338860636E-2</v>
      </c>
      <c r="C214" s="228">
        <f ca="1">AA79</f>
        <v>2.7440843650670094E-2</v>
      </c>
      <c r="D214" s="235">
        <f ca="1">AC79</f>
        <v>9.4198613065789756E-3</v>
      </c>
      <c r="E214" s="228">
        <f t="shared" ca="1" si="122"/>
        <v>8.2864581462814682E-2</v>
      </c>
      <c r="F214" s="235">
        <f t="shared" ca="1" si="123"/>
        <v>4.1432290731407338E-5</v>
      </c>
    </row>
    <row r="215" spans="1:6">
      <c r="A215" s="1648" t="s">
        <v>847</v>
      </c>
      <c r="B215" s="1309">
        <f t="shared" ca="1" si="121"/>
        <v>167.73526771186997</v>
      </c>
      <c r="C215" s="1310">
        <f ca="1">AA80</f>
        <v>123.6746805030201</v>
      </c>
      <c r="D215" s="1444">
        <f ca="1">AC80</f>
        <v>58.690100867173619</v>
      </c>
      <c r="E215" s="1310">
        <f t="shared" ca="1" si="122"/>
        <v>452.41856238630436</v>
      </c>
      <c r="F215" s="1650">
        <f ca="1">E215/2000</f>
        <v>0.22620928119315217</v>
      </c>
    </row>
    <row r="216" spans="1:6">
      <c r="A216" s="178" t="s">
        <v>848</v>
      </c>
      <c r="B216" s="240"/>
      <c r="C216" s="241"/>
      <c r="D216" s="248"/>
      <c r="E216" s="331" t="s">
        <v>845</v>
      </c>
      <c r="F216" s="332" t="s">
        <v>846</v>
      </c>
    </row>
    <row r="217" spans="1:6">
      <c r="A217" s="173" t="s">
        <v>821</v>
      </c>
      <c r="B217" s="234">
        <f t="shared" ref="B217:B227" ca="1" si="124">SUM(Y82:Z82)</f>
        <v>201.73674324651117</v>
      </c>
      <c r="C217" s="228">
        <f t="shared" ref="C217:C227" ca="1" si="125">SUM(AA82:AB82)</f>
        <v>42.584727361009186</v>
      </c>
      <c r="D217" s="235">
        <f t="shared" ref="D217:D227" ca="1" si="126">SUM(AC82:AD82)</f>
        <v>7.4827090274299994</v>
      </c>
      <c r="E217" s="228">
        <f t="shared" ref="E217:E229" ca="1" si="127">(B217*C$208+C217)*D$208+D217</f>
        <v>374.86359301532218</v>
      </c>
      <c r="F217" s="235">
        <f t="shared" ca="1" si="123"/>
        <v>0.18743179650766109</v>
      </c>
    </row>
    <row r="218" spans="1:6">
      <c r="A218" s="173" t="s">
        <v>822</v>
      </c>
      <c r="B218" s="234">
        <f t="shared" ca="1" si="124"/>
        <v>3091.9224774676286</v>
      </c>
      <c r="C218" s="228">
        <f t="shared" ca="1" si="125"/>
        <v>155.6205257082112</v>
      </c>
      <c r="D218" s="235">
        <f t="shared" ca="1" si="126"/>
        <v>20.225682519847698</v>
      </c>
      <c r="E218" s="228">
        <f t="shared" ca="1" si="127"/>
        <v>5153.8413969509411</v>
      </c>
      <c r="F218" s="235">
        <f t="shared" ca="1" si="123"/>
        <v>2.5769206984754707</v>
      </c>
    </row>
    <row r="219" spans="1:6">
      <c r="A219" s="173" t="s">
        <v>849</v>
      </c>
      <c r="B219" s="234">
        <f t="shared" ca="1" si="124"/>
        <v>217.51731147669045</v>
      </c>
      <c r="C219" s="228">
        <f t="shared" ca="1" si="125"/>
        <v>239.81257115435812</v>
      </c>
      <c r="D219" s="235">
        <f t="shared" ca="1" si="126"/>
        <v>41.666162997286321</v>
      </c>
      <c r="E219" s="228">
        <f t="shared" ca="1" si="127"/>
        <v>631.68160562911601</v>
      </c>
      <c r="F219" s="235">
        <f t="shared" ca="1" si="123"/>
        <v>0.31584080281455801</v>
      </c>
    </row>
    <row r="220" spans="1:6">
      <c r="A220" s="173" t="s">
        <v>824</v>
      </c>
      <c r="B220" s="234">
        <f t="shared" ca="1" si="124"/>
        <v>602.97996074602167</v>
      </c>
      <c r="C220" s="228">
        <f t="shared" ca="1" si="125"/>
        <v>21.769091979098981</v>
      </c>
      <c r="D220" s="235">
        <f t="shared" ca="1" si="126"/>
        <v>6.6697639307422918</v>
      </c>
      <c r="E220" s="228">
        <f t="shared" ca="1" si="127"/>
        <v>999.23659271093629</v>
      </c>
      <c r="F220" s="235">
        <f t="shared" ca="1" si="123"/>
        <v>0.49961829635546817</v>
      </c>
    </row>
    <row r="221" spans="1:6">
      <c r="A221" s="173" t="s">
        <v>825</v>
      </c>
      <c r="B221" s="234">
        <f t="shared" ca="1" si="124"/>
        <v>304.28707945580112</v>
      </c>
      <c r="C221" s="228">
        <f t="shared" ca="1" si="125"/>
        <v>16.363714512998065</v>
      </c>
      <c r="D221" s="235">
        <f t="shared" ca="1" si="126"/>
        <v>4.0036560169627808</v>
      </c>
      <c r="E221" s="228">
        <f t="shared" ca="1" si="127"/>
        <v>510.26956845380067</v>
      </c>
      <c r="F221" s="235">
        <f t="shared" ca="1" si="123"/>
        <v>0.25513478422690034</v>
      </c>
    </row>
    <row r="222" spans="1:6">
      <c r="A222" s="173" t="s">
        <v>826</v>
      </c>
      <c r="B222" s="234">
        <f t="shared" ca="1" si="124"/>
        <v>452.99013544563491</v>
      </c>
      <c r="C222" s="228">
        <f t="shared" ca="1" si="125"/>
        <v>94.278704707709906</v>
      </c>
      <c r="D222" s="235">
        <f t="shared" ca="1" si="126"/>
        <v>34.984490558473404</v>
      </c>
      <c r="E222" s="228">
        <f t="shared" ca="1" si="127"/>
        <v>858.57731333365564</v>
      </c>
      <c r="F222" s="235">
        <f t="shared" ca="1" si="123"/>
        <v>0.42928865666682781</v>
      </c>
    </row>
    <row r="223" spans="1:6">
      <c r="A223" s="477" t="s">
        <v>827</v>
      </c>
      <c r="B223" s="234">
        <f t="shared" ca="1" si="124"/>
        <v>1.0103192510809942</v>
      </c>
      <c r="C223" s="228">
        <f t="shared" ca="1" si="125"/>
        <v>1.9491179497586983</v>
      </c>
      <c r="D223" s="235">
        <f t="shared" ca="1" si="126"/>
        <v>0.24428145805531498</v>
      </c>
      <c r="E223" s="228">
        <f t="shared" ca="1" si="127"/>
        <v>3.8200134020544141</v>
      </c>
      <c r="F223" s="235">
        <f ca="1">E223/2000</f>
        <v>1.9100067010272071E-3</v>
      </c>
    </row>
    <row r="224" spans="1:6">
      <c r="A224" s="477" t="s">
        <v>828</v>
      </c>
      <c r="B224" s="234">
        <f t="shared" ca="1" si="124"/>
        <v>4.06617286324673</v>
      </c>
      <c r="C224" s="228">
        <f t="shared" ca="1" si="125"/>
        <v>5.8647376712966821</v>
      </c>
      <c r="D224" s="235">
        <f t="shared" ca="1" si="126"/>
        <v>1.1627205582355689</v>
      </c>
      <c r="E224" s="228">
        <f t="shared" ca="1" si="127"/>
        <v>13.573996539359486</v>
      </c>
      <c r="F224" s="235">
        <f ca="1">E224/2000</f>
        <v>6.7869982696797428E-3</v>
      </c>
    </row>
    <row r="225" spans="1:6">
      <c r="A225" s="173" t="s">
        <v>829</v>
      </c>
      <c r="B225" s="234">
        <f t="shared" ca="1" si="124"/>
        <v>512.07877315296503</v>
      </c>
      <c r="C225" s="228">
        <f t="shared" ca="1" si="125"/>
        <v>757.39091510876312</v>
      </c>
      <c r="D225" s="235">
        <f t="shared" ca="1" si="126"/>
        <v>144.66610000589398</v>
      </c>
      <c r="E225" s="228">
        <f t="shared" ca="1" si="127"/>
        <v>1726.5038398909307</v>
      </c>
      <c r="F225" s="235">
        <f t="shared" ca="1" si="123"/>
        <v>0.86325191994546535</v>
      </c>
    </row>
    <row r="226" spans="1:6">
      <c r="A226" s="160" t="s">
        <v>830</v>
      </c>
      <c r="B226" s="578">
        <f t="shared" ca="1" si="124"/>
        <v>4.7372665455764214</v>
      </c>
      <c r="C226" s="479">
        <f t="shared" ca="1" si="125"/>
        <v>7.2967254174050922</v>
      </c>
      <c r="D226" s="478">
        <f t="shared" ca="1" si="126"/>
        <v>1.3125273865702118</v>
      </c>
      <c r="E226" s="479">
        <f t="shared" ca="1" si="127"/>
        <v>16.236251942353345</v>
      </c>
      <c r="F226" s="235">
        <f t="shared" ca="1" si="123"/>
        <v>8.1181259711766724E-3</v>
      </c>
    </row>
    <row r="227" spans="1:6">
      <c r="A227" s="160" t="s">
        <v>831</v>
      </c>
      <c r="B227" s="650">
        <f t="shared" ca="1" si="124"/>
        <v>235190.88026239426</v>
      </c>
      <c r="C227" s="158">
        <f t="shared" ca="1" si="125"/>
        <v>268724.83268020448</v>
      </c>
      <c r="D227" s="159">
        <f t="shared" ca="1" si="126"/>
        <v>63921.436842905794</v>
      </c>
      <c r="E227" s="158">
        <f t="shared" ca="1" si="127"/>
        <v>711303.58674556506</v>
      </c>
      <c r="F227" s="245">
        <f t="shared" ca="1" si="123"/>
        <v>355.65179337278255</v>
      </c>
    </row>
    <row r="228" spans="1:6">
      <c r="A228" s="160" t="s">
        <v>850</v>
      </c>
      <c r="B228" s="650">
        <f ca="1">B227+B217*GREET1_Import_Export!$B$62/GREET1_Import_Export!$B$65+B218*GREET1_Import_Export!$B$63/GREET1_Import_Export!$B$65</f>
        <v>240678.36176724741</v>
      </c>
      <c r="C228" s="158">
        <f ca="1">C227+C217*GREET1_Import_Export!$B$62/GREET1_Import_Export!$B$65+C218*GREET1_Import_Export!$B$63/GREET1_Import_Export!$B$65</f>
        <v>269102.10162087821</v>
      </c>
      <c r="D228" s="159">
        <f ca="1">D227+D217*GREET1_Import_Export!$B$62/GREET1_Import_Export!$B$65+D218*GREET1_Import_Export!$B$63/GREET1_Import_Export!$B$65</f>
        <v>63976.541168096286</v>
      </c>
      <c r="E228" s="158">
        <f t="shared" ca="1" si="127"/>
        <v>720570.80523424281</v>
      </c>
      <c r="F228" s="245">
        <f t="shared" ca="1" si="123"/>
        <v>360.28540261712141</v>
      </c>
    </row>
    <row r="229" spans="1:6">
      <c r="A229" s="161" t="s">
        <v>851</v>
      </c>
      <c r="B229" s="137">
        <f ca="1">B228+SUMPRODUCT(B225:B226,GREET1_Import_Export!$B$51:$B$52)+SUMPRODUCT(B217:B219,GREET1_Import_Export!$B$55:$B$57)+SUMPRODUCT(B223:B224,GREET1_Import_Export!$B$58:$B$59)</f>
        <v>257296.10059641412</v>
      </c>
      <c r="C229" s="138">
        <f ca="1">C228+SUMPRODUCT(C225:C226,GREET1_Import_Export!$B$51:$B$52)+SUMPRODUCT(C217:C219,GREET1_Import_Export!$B$55:$B$57)+SUMPRODUCT(C223:C224,GREET1_Import_Export!$B$58:$B$59)</f>
        <v>293757.46130975347</v>
      </c>
      <c r="D229" s="139">
        <f ca="1">D228+SUMPRODUCT(D225:D226,GREET1_Import_Export!$B$51:$B$52)+SUMPRODUCT(D217:D219,GREET1_Import_Export!$B$55:$B$57)+SUMPRODUCT(D223:D224,GREET1_Import_Export!$B$58:$B$59)</f>
        <v>68664.343925714216</v>
      </c>
      <c r="E229" s="138">
        <f t="shared" ca="1" si="127"/>
        <v>776668.52719569451</v>
      </c>
      <c r="F229" s="243">
        <f t="shared" ca="1" si="123"/>
        <v>388.33426359784727</v>
      </c>
    </row>
    <row r="230" spans="1:6">
      <c r="A230" s="571" t="s">
        <v>852</v>
      </c>
      <c r="B230" s="578"/>
      <c r="C230" s="479"/>
      <c r="D230" s="478"/>
      <c r="E230" s="651" t="s">
        <v>845</v>
      </c>
      <c r="F230" s="333" t="s">
        <v>846</v>
      </c>
    </row>
    <row r="231" spans="1:6">
      <c r="A231" s="160" t="s">
        <v>821</v>
      </c>
      <c r="B231" s="578">
        <f t="shared" ref="B231:B238" ca="1" si="128">SUM(Y94:Z94)</f>
        <v>1.6028349236282793</v>
      </c>
      <c r="C231" s="479">
        <f t="shared" ref="C231:C238" ca="1" si="129">SUM(AA94:AB94)</f>
        <v>2.2204319854347778</v>
      </c>
      <c r="D231" s="478">
        <f t="shared" ref="D231:D238" ca="1" si="130">SUM(AC94:AD94)</f>
        <v>0.46661822254725344</v>
      </c>
      <c r="E231" s="479">
        <f t="shared" ref="E231:E238" ca="1" si="131">(B231*C$208+C231)*D$208+D231</f>
        <v>5.2676144350235612</v>
      </c>
      <c r="F231" s="235">
        <f t="shared" ca="1" si="123"/>
        <v>2.6338072175117805E-3</v>
      </c>
    </row>
    <row r="232" spans="1:6">
      <c r="A232" s="160" t="s">
        <v>822</v>
      </c>
      <c r="B232" s="578">
        <f t="shared" ca="1" si="128"/>
        <v>11.109268232965471</v>
      </c>
      <c r="C232" s="479">
        <f t="shared" ca="1" si="129"/>
        <v>13.066864685172813</v>
      </c>
      <c r="D232" s="478">
        <f t="shared" ca="1" si="130"/>
        <v>3.4448430417145355</v>
      </c>
      <c r="E232" s="479">
        <f t="shared" ca="1" si="131"/>
        <v>34.397629581961759</v>
      </c>
      <c r="F232" s="235">
        <f t="shared" ca="1" si="123"/>
        <v>1.7198814790980878E-2</v>
      </c>
    </row>
    <row r="233" spans="1:6">
      <c r="A233" s="160" t="s">
        <v>823</v>
      </c>
      <c r="B233" s="578">
        <f t="shared" ca="1" si="128"/>
        <v>30.750885449810507</v>
      </c>
      <c r="C233" s="479">
        <f t="shared" ca="1" si="129"/>
        <v>27.862540282017804</v>
      </c>
      <c r="D233" s="478">
        <f t="shared" ca="1" si="130"/>
        <v>10.288953337676208</v>
      </c>
      <c r="E233" s="479">
        <f t="shared" ca="1" si="131"/>
        <v>87.660419193888927</v>
      </c>
      <c r="F233" s="235">
        <f t="shared" ca="1" si="123"/>
        <v>4.3830209596944461E-2</v>
      </c>
    </row>
    <row r="234" spans="1:6">
      <c r="A234" s="160" t="s">
        <v>824</v>
      </c>
      <c r="B234" s="578">
        <f t="shared" ca="1" si="128"/>
        <v>3.8989841694269511</v>
      </c>
      <c r="C234" s="479">
        <f t="shared" ca="1" si="129"/>
        <v>2.770644184618499</v>
      </c>
      <c r="D234" s="478">
        <f t="shared" ca="1" si="130"/>
        <v>1.3736912953723162</v>
      </c>
      <c r="E234" s="479">
        <f t="shared" ca="1" si="131"/>
        <v>10.421699992768206</v>
      </c>
      <c r="F234" s="235">
        <f t="shared" ca="1" si="123"/>
        <v>5.2108499963841029E-3</v>
      </c>
    </row>
    <row r="235" spans="1:6">
      <c r="A235" s="173" t="s">
        <v>825</v>
      </c>
      <c r="B235" s="234">
        <f t="shared" ca="1" si="128"/>
        <v>3.4287979839056346</v>
      </c>
      <c r="C235" s="228">
        <f t="shared" ca="1" si="129"/>
        <v>2.4377077848934388</v>
      </c>
      <c r="D235" s="235">
        <f t="shared" ca="1" si="130"/>
        <v>1.2079280276484363</v>
      </c>
      <c r="E235" s="228">
        <f t="shared" ca="1" si="131"/>
        <v>9.1660005666299469</v>
      </c>
      <c r="F235" s="235">
        <f t="shared" ca="1" si="123"/>
        <v>4.5830002833149733E-3</v>
      </c>
    </row>
    <row r="236" spans="1:6">
      <c r="A236" s="173" t="s">
        <v>826</v>
      </c>
      <c r="B236" s="234">
        <f t="shared" ca="1" si="128"/>
        <v>29.034192044682179</v>
      </c>
      <c r="C236" s="228">
        <f t="shared" ca="1" si="129"/>
        <v>20.701729598112774</v>
      </c>
      <c r="D236" s="235">
        <f t="shared" ca="1" si="130"/>
        <v>10.223000660764436</v>
      </c>
      <c r="E236" s="228">
        <f t="shared" ca="1" si="131"/>
        <v>77.669779450815525</v>
      </c>
      <c r="F236" s="235">
        <f ca="1">E236/2000</f>
        <v>3.8834889725407766E-2</v>
      </c>
    </row>
    <row r="237" spans="1:6">
      <c r="A237" s="173" t="s">
        <v>827</v>
      </c>
      <c r="B237" s="234">
        <f t="shared" ca="1" si="128"/>
        <v>0.17743778952331815</v>
      </c>
      <c r="C237" s="228">
        <f t="shared" ca="1" si="129"/>
        <v>0.12899076760903322</v>
      </c>
      <c r="D237" s="235">
        <f t="shared" ca="1" si="130"/>
        <v>6.2251682935120692E-2</v>
      </c>
      <c r="E237" s="228">
        <f t="shared" ca="1" si="131"/>
        <v>0.47691729167669616</v>
      </c>
      <c r="F237" s="235">
        <f ca="1">E237/2000</f>
        <v>2.3845864583834809E-4</v>
      </c>
    </row>
    <row r="238" spans="1:6">
      <c r="A238" s="174" t="s">
        <v>828</v>
      </c>
      <c r="B238" s="249">
        <f t="shared" ca="1" si="128"/>
        <v>0.98101617259721263</v>
      </c>
      <c r="C238" s="231">
        <f t="shared" ca="1" si="129"/>
        <v>0.69886776607908507</v>
      </c>
      <c r="D238" s="237">
        <f t="shared" ca="1" si="130"/>
        <v>0.34547308168153379</v>
      </c>
      <c r="E238" s="231">
        <f t="shared" ca="1" si="131"/>
        <v>2.6237768856421311</v>
      </c>
      <c r="F238" s="237">
        <f ca="1">E238/2000</f>
        <v>1.3118884428210656E-3</v>
      </c>
    </row>
    <row r="241" spans="1:6" ht="15">
      <c r="A241" s="134" t="s">
        <v>2602</v>
      </c>
      <c r="B241" s="8"/>
      <c r="C241" s="8"/>
      <c r="D241" s="8"/>
      <c r="E241" s="489"/>
      <c r="F241" s="489"/>
    </row>
    <row r="242" spans="1:6" ht="15">
      <c r="A242" s="134" t="s">
        <v>2603</v>
      </c>
      <c r="B242" s="8"/>
      <c r="C242" s="8"/>
      <c r="D242" s="8"/>
      <c r="E242" s="489"/>
      <c r="F242" s="489"/>
    </row>
    <row r="243" spans="1:6" ht="91.5" customHeight="1">
      <c r="A243" s="1355"/>
      <c r="B243" s="2636" t="s">
        <v>2604</v>
      </c>
      <c r="C243" s="2636" t="s">
        <v>2605</v>
      </c>
      <c r="D243" s="2636" t="s">
        <v>2606</v>
      </c>
      <c r="E243" s="489"/>
      <c r="F243" s="489"/>
    </row>
    <row r="244" spans="1:6">
      <c r="A244" s="490" t="s">
        <v>876</v>
      </c>
      <c r="B244" s="15">
        <f>B$17*GREET1_Import_Export!B216+(1-B$17)*GREET1_Import_Export!N216</f>
        <v>104256.16637857581</v>
      </c>
      <c r="C244" s="1127">
        <f>B$20*(GREET1_Import_Export!B309+GREET1_Import_Export!C309)+(1-B$20)*(GREET1_Import_Export!AL309+GREET1_Import_Export!AM309)</f>
        <v>2028055.2632800848</v>
      </c>
      <c r="D244" s="1127">
        <f>GREET1_Import_Export!D250</f>
        <v>1377410.4683195592</v>
      </c>
      <c r="E244" s="489"/>
      <c r="F244" s="489"/>
    </row>
    <row r="245" spans="1:6">
      <c r="A245" s="490" t="s">
        <v>877</v>
      </c>
      <c r="B245" s="15">
        <f>B$17*GREET1_Import_Export!B217+(1-B$17)*GREET1_Import_Export!N217</f>
        <v>103509.59065074382</v>
      </c>
      <c r="C245" s="1127">
        <f>B$20*(GREET1_Import_Export!B310+GREET1_Import_Export!C310)+(1-B$20)*(GREET1_Import_Export!AL310+GREET1_Import_Export!AM310)</f>
        <v>1606248.9144769553</v>
      </c>
      <c r="D245" s="914">
        <f>GREET1_Import_Export!D251</f>
        <v>0</v>
      </c>
      <c r="E245" s="489"/>
      <c r="F245" s="489"/>
    </row>
    <row r="246" spans="1:6">
      <c r="A246" s="490" t="s">
        <v>442</v>
      </c>
      <c r="B246" s="15">
        <f>B$17*GREET1_Import_Export!B218+(1-B$17)*GREET1_Import_Export!N218</f>
        <v>985.78131152850392</v>
      </c>
      <c r="C246" s="1127">
        <f>B$20*(GREET1_Import_Export!B311+GREET1_Import_Export!C311)+(1-B$20)*(GREET1_Import_Export!AL311+GREET1_Import_Export!AM311)</f>
        <v>557595.73607989307</v>
      </c>
      <c r="D246" s="914">
        <f>GREET1_Import_Export!D252</f>
        <v>0</v>
      </c>
      <c r="E246" s="489"/>
      <c r="F246" s="489"/>
    </row>
    <row r="247" spans="1:6">
      <c r="A247" s="490" t="s">
        <v>878</v>
      </c>
      <c r="B247" s="15">
        <f>B$17*GREET1_Import_Export!B219+(1-B$17)*GREET1_Import_Export!N219</f>
        <v>98509.55604950212</v>
      </c>
      <c r="C247" s="1127">
        <f>B$20*(GREET1_Import_Export!B312+GREET1_Import_Export!C312)+(1-B$20)*(GREET1_Import_Export!AL312+GREET1_Import_Export!AM312)</f>
        <v>1031208.9907922863</v>
      </c>
      <c r="D247" s="914">
        <f>GREET1_Import_Export!D253</f>
        <v>0</v>
      </c>
      <c r="E247" s="489"/>
      <c r="F247" s="489"/>
    </row>
    <row r="248" spans="1:6">
      <c r="A248" s="490" t="s">
        <v>440</v>
      </c>
      <c r="B248" s="15">
        <f>B$17*GREET1_Import_Export!B220+(1-B$17)*GREET1_Import_Export!N220</f>
        <v>4014.2532897131937</v>
      </c>
      <c r="C248" s="1127">
        <f>B$20*(GREET1_Import_Export!B313+GREET1_Import_Export!C313)+(1-B$20)*(GREET1_Import_Export!AL313+GREET1_Import_Export!AM313)</f>
        <v>17444.187604775881</v>
      </c>
      <c r="D248" s="914">
        <f>GREET1_Import_Export!D254</f>
        <v>0</v>
      </c>
      <c r="E248" s="489"/>
      <c r="F248" s="489"/>
    </row>
    <row r="249" spans="1:6">
      <c r="A249" s="490" t="s">
        <v>819</v>
      </c>
      <c r="B249" s="21">
        <f>B$17*GREET1_Import_Export!B221+(1-B$17)*GREET1_Import_Export!N221</f>
        <v>3.082010158389092</v>
      </c>
      <c r="C249" s="914">
        <f>B$20*(GREET1_Import_Export!B314+GREET1_Import_Export!C314)+(1-B$20)*(GREET1_Import_Export!AL314+GREET1_Import_Export!AM314)</f>
        <v>108.68537197624744</v>
      </c>
      <c r="D249" s="914">
        <f>GREET1_Import_Export!D255</f>
        <v>25.499999999999996</v>
      </c>
      <c r="E249" s="489"/>
      <c r="F249" s="489"/>
    </row>
    <row r="250" spans="1:6">
      <c r="A250" s="490" t="s">
        <v>965</v>
      </c>
      <c r="B250" s="21">
        <f>B$17*GREET1_Import_Export!B222+(1-B$17)*GREET1_Import_Export!N222</f>
        <v>10.286863782994383</v>
      </c>
      <c r="C250" s="914">
        <f>B$20*(GREET1_Import_Export!B315+GREET1_Import_Export!C315)+(1-B$20)*(GREET1_Import_Export!AL315+GREET1_Import_Export!AM315)</f>
        <v>13.856868569314813</v>
      </c>
      <c r="D250" s="914">
        <f>GREET1_Import_Export!D256</f>
        <v>0</v>
      </c>
      <c r="E250" s="489"/>
      <c r="F250" s="489"/>
    </row>
    <row r="251" spans="1:6">
      <c r="A251" s="490" t="s">
        <v>966</v>
      </c>
      <c r="B251" s="21">
        <f>B$17*GREET1_Import_Export!B223+(1-B$17)*GREET1_Import_Export!N223</f>
        <v>31.245883768795618</v>
      </c>
      <c r="C251" s="914">
        <f>B$20*(GREET1_Import_Export!B316+GREET1_Import_Export!C316)+(1-B$20)*(GREET1_Import_Export!AL316+GREET1_Import_Export!AM316)</f>
        <v>37.454967629347586</v>
      </c>
      <c r="D251" s="914">
        <f>GREET1_Import_Export!D257</f>
        <v>0</v>
      </c>
      <c r="E251" s="489"/>
      <c r="F251" s="489"/>
    </row>
    <row r="252" spans="1:6">
      <c r="A252" s="490" t="s">
        <v>967</v>
      </c>
      <c r="B252" s="21">
        <f>B$17*GREET1_Import_Export!B224+(1-B$17)*GREET1_Import_Export!N224</f>
        <v>36.269984486244958</v>
      </c>
      <c r="C252" s="914">
        <f>B$20*(GREET1_Import_Export!B317+GREET1_Import_Export!C317)+(1-B$20)*(GREET1_Import_Export!AL317+GREET1_Import_Export!AM317)</f>
        <v>77.159561106085775</v>
      </c>
      <c r="D252" s="914">
        <f>GREET1_Import_Export!D258</f>
        <v>0</v>
      </c>
      <c r="E252" s="489"/>
      <c r="F252" s="489"/>
    </row>
    <row r="253" spans="1:6">
      <c r="A253" s="490" t="s">
        <v>968</v>
      </c>
      <c r="B253" s="21">
        <f>B$17*GREET1_Import_Export!B225+(1-B$17)*GREET1_Import_Export!N225</f>
        <v>0.42004758610254456</v>
      </c>
      <c r="C253" s="914">
        <f>B$20*(GREET1_Import_Export!B318+GREET1_Import_Export!C318)+(1-B$20)*(GREET1_Import_Export!AL318+GREET1_Import_Export!AM318)</f>
        <v>12.351414686559799</v>
      </c>
      <c r="D253" s="914">
        <f>GREET1_Import_Export!D259</f>
        <v>0</v>
      </c>
      <c r="E253" s="489"/>
      <c r="F253" s="489"/>
    </row>
    <row r="254" spans="1:6">
      <c r="A254" s="490" t="s">
        <v>969</v>
      </c>
      <c r="B254" s="21">
        <f>B$17*GREET1_Import_Export!B226+(1-B$17)*GREET1_Import_Export!N226</f>
        <v>0.37869799481321043</v>
      </c>
      <c r="C254" s="914">
        <f>B$20*(GREET1_Import_Export!B319+GREET1_Import_Export!C319)+(1-B$20)*(GREET1_Import_Export!AL319+GREET1_Import_Export!AM319)</f>
        <v>7.4141778091903339</v>
      </c>
      <c r="D254" s="914">
        <f>GREET1_Import_Export!D260</f>
        <v>0</v>
      </c>
      <c r="E254" s="489"/>
      <c r="F254" s="489"/>
    </row>
    <row r="255" spans="1:6">
      <c r="A255" s="490" t="s">
        <v>970</v>
      </c>
      <c r="B255" s="21">
        <f>B$17*GREET1_Import_Export!B227+(1-B$17)*GREET1_Import_Export!N227</f>
        <v>11.10038516731889</v>
      </c>
      <c r="C255" s="914">
        <f>B$20*(GREET1_Import_Export!B320+GREET1_Import_Export!C320)+(1-B$20)*(GREET1_Import_Export!AL320+GREET1_Import_Export!AM320)</f>
        <v>64.786093626802597</v>
      </c>
      <c r="D255" s="914">
        <f>GREET1_Import_Export!D261</f>
        <v>0</v>
      </c>
      <c r="E255" s="489"/>
      <c r="F255" s="489"/>
    </row>
    <row r="256" spans="1:6">
      <c r="A256" s="490" t="s">
        <v>971</v>
      </c>
      <c r="B256" s="21">
        <f>B$17*GREET1_Import_Export!B228+(1-B$17)*GREET1_Import_Export!N228</f>
        <v>9.922907856156217E-2</v>
      </c>
      <c r="C256" s="914">
        <f>B$20*(GREET1_Import_Export!B321+GREET1_Import_Export!C321)+(1-B$20)*(GREET1_Import_Export!AL321+GREET1_Import_Export!AM321)</f>
        <v>0.45237307047280551</v>
      </c>
      <c r="D256" s="914">
        <f>GREET1_Import_Export!D262</f>
        <v>0</v>
      </c>
      <c r="E256" s="489"/>
      <c r="F256" s="489"/>
    </row>
    <row r="257" spans="1:6">
      <c r="A257" s="490" t="s">
        <v>972</v>
      </c>
      <c r="B257" s="21">
        <f>B$17*GREET1_Import_Export!B229+(1-B$17)*GREET1_Import_Export!N229</f>
        <v>0.14327969770686483</v>
      </c>
      <c r="C257" s="914">
        <f>B$20*(GREET1_Import_Export!B322+GREET1_Import_Export!C322)+(1-B$20)*(GREET1_Import_Export!AL322+GREET1_Import_Export!AM322)</f>
        <v>2.1531862189547568</v>
      </c>
      <c r="D257" s="914">
        <f>GREET1_Import_Export!D263</f>
        <v>0</v>
      </c>
      <c r="E257" s="489"/>
      <c r="F257" s="489"/>
    </row>
    <row r="258" spans="1:6">
      <c r="A258" s="490" t="s">
        <v>887</v>
      </c>
      <c r="B258" s="21">
        <f>B$17*GREET1_Import_Export!B230+(1-B$17)*GREET1_Import_Export!N230</f>
        <v>216.36395413450404</v>
      </c>
      <c r="C258" s="914">
        <f>B$20*(GREET1_Import_Export!B323+GREET1_Import_Export!C323)+(1-B$20)*(GREET1_Import_Export!AL323+GREET1_Import_Export!AM323)</f>
        <v>267.90018519609993</v>
      </c>
      <c r="D258" s="914">
        <f>GREET1_Import_Export!D264</f>
        <v>0</v>
      </c>
      <c r="E258" s="489"/>
      <c r="F258" s="489"/>
    </row>
    <row r="259" spans="1:6">
      <c r="A259" s="490" t="s">
        <v>888</v>
      </c>
      <c r="B259" s="21">
        <f>B$17*GREET1_Import_Export!B231+(1-B$17)*GREET1_Import_Export!N231</f>
        <v>1.4197316238953248</v>
      </c>
      <c r="C259" s="914">
        <f>B$20*(GREET1_Import_Export!B324+GREET1_Import_Export!C324)+(1-B$20)*(GREET1_Import_Export!AL324+GREET1_Import_Export!AM324)</f>
        <v>2.4306062714263179</v>
      </c>
      <c r="D259" s="914">
        <f>GREET1_Import_Export!D265</f>
        <v>0</v>
      </c>
      <c r="E259" s="489"/>
      <c r="F259" s="489"/>
    </row>
    <row r="260" spans="1:6">
      <c r="A260" s="490" t="s">
        <v>889</v>
      </c>
      <c r="B260" s="15">
        <f>B$17*GREET1_Import_Export!B232+(1-B$17)*GREET1_Import_Export!N232</f>
        <v>6132.7053209759642</v>
      </c>
      <c r="C260" s="1127">
        <f>B$20*(GREET1_Import_Export!B325+GREET1_Import_Export!C325)+(1-B$20)*(GREET1_Import_Export!AL325+GREET1_Import_Export!AM325)</f>
        <v>118373.03119056628</v>
      </c>
      <c r="D260" s="914">
        <f>GREET1_Import_Export!D266</f>
        <v>0</v>
      </c>
      <c r="E260" s="489"/>
      <c r="F260" s="489"/>
    </row>
    <row r="261" spans="1:6" ht="15">
      <c r="A261" s="134" t="s">
        <v>2070</v>
      </c>
      <c r="B261" s="8"/>
      <c r="C261" s="8"/>
      <c r="D261" s="2637"/>
      <c r="E261" s="489"/>
      <c r="F261" s="489"/>
    </row>
    <row r="262" spans="1:6">
      <c r="A262" s="570" t="s">
        <v>2068</v>
      </c>
      <c r="B262" s="570"/>
      <c r="C262" s="570"/>
      <c r="D262" s="2638"/>
      <c r="E262" s="489"/>
      <c r="F262" s="489"/>
    </row>
    <row r="263" spans="1:6">
      <c r="A263" s="490" t="s">
        <v>965</v>
      </c>
      <c r="B263" s="21">
        <f>B$17*GREET1_Import_Export!B237+(1-B$17)*GREET1_Import_Export!N237</f>
        <v>0.59812330026145544</v>
      </c>
      <c r="C263" s="2637">
        <f>B$20*(GREET1_Import_Export!D315+GREET1_Import_Export!E315)+(1-B$20)*(GREET1_Import_Export!AN315+GREET1_Import_Export!AO315)</f>
        <v>0.8641078195319507</v>
      </c>
      <c r="D263" s="2637">
        <f>GREET1_Import_Export!D271</f>
        <v>0</v>
      </c>
      <c r="E263" s="489"/>
      <c r="F263" s="489"/>
    </row>
    <row r="264" spans="1:6">
      <c r="A264" s="490" t="s">
        <v>966</v>
      </c>
      <c r="B264" s="21">
        <f>B$17*GREET1_Import_Export!B238+(1-B$17)*GREET1_Import_Export!N238</f>
        <v>2.8737184061530598</v>
      </c>
      <c r="C264" s="2637">
        <f>B$20*(GREET1_Import_Export!D316+GREET1_Import_Export!E316)+(1-B$20)*(GREET1_Import_Export!AN316+GREET1_Import_Export!AO316)</f>
        <v>6.379338966138028</v>
      </c>
      <c r="D264" s="2637">
        <f>GREET1_Import_Export!D272</f>
        <v>0</v>
      </c>
      <c r="E264" s="489"/>
      <c r="F264" s="489"/>
    </row>
    <row r="265" spans="1:6">
      <c r="A265" s="490" t="s">
        <v>967</v>
      </c>
      <c r="B265" s="21">
        <f>B$17*GREET1_Import_Export!B239+(1-B$17)*GREET1_Import_Export!N239</f>
        <v>3.4062695270437726</v>
      </c>
      <c r="C265" s="2637">
        <f>B$20*(GREET1_Import_Export!D317+GREET1_Import_Export!E317)+(1-B$20)*(GREET1_Import_Export!AN317+GREET1_Import_Export!AO317)</f>
        <v>19.053617291992978</v>
      </c>
      <c r="D265" s="2637">
        <f>GREET1_Import_Export!D273</f>
        <v>0</v>
      </c>
      <c r="E265" s="489"/>
      <c r="F265" s="489"/>
    </row>
    <row r="266" spans="1:6">
      <c r="A266" s="490" t="s">
        <v>968</v>
      </c>
      <c r="B266" s="21">
        <f>B$17*GREET1_Import_Export!B240+(1-B$17)*GREET1_Import_Export!N240</f>
        <v>1.4612388752382365E-2</v>
      </c>
      <c r="C266" s="2637">
        <f>B$20*(GREET1_Import_Export!D318+GREET1_Import_Export!E318)+(1-B$20)*(GREET1_Import_Export!AN318+GREET1_Import_Export!AO318)</f>
        <v>2.5438727692079928</v>
      </c>
      <c r="D266" s="2637">
        <f>GREET1_Import_Export!D274</f>
        <v>0</v>
      </c>
      <c r="E266" s="489"/>
      <c r="F266" s="489"/>
    </row>
    <row r="267" spans="1:6">
      <c r="A267" s="490" t="s">
        <v>969</v>
      </c>
      <c r="B267" s="21">
        <f>B$17*GREET1_Import_Export!B241+(1-B$17)*GREET1_Import_Export!N241</f>
        <v>1.3496899530451377E-2</v>
      </c>
      <c r="C267" s="2637">
        <f>B$20*(GREET1_Import_Export!D319+GREET1_Import_Export!E319)+(1-B$20)*(GREET1_Import_Export!AN319+GREET1_Import_Export!AO319)</f>
        <v>2.2369037549045117</v>
      </c>
      <c r="D267" s="2637">
        <f>GREET1_Import_Export!D275</f>
        <v>0</v>
      </c>
      <c r="E267" s="489"/>
      <c r="F267" s="489"/>
    </row>
    <row r="268" spans="1:6">
      <c r="A268" s="490" t="s">
        <v>970</v>
      </c>
      <c r="B268" s="21">
        <f>B$17*GREET1_Import_Export!B242+(1-B$17)*GREET1_Import_Export!N242</f>
        <v>0.14705101704010839</v>
      </c>
      <c r="C268" s="2637">
        <f>B$20*(GREET1_Import_Export!D320+GREET1_Import_Export!E320)+(1-B$20)*(GREET1_Import_Export!AN320+GREET1_Import_Export!AO320)</f>
        <v>18.931482705119326</v>
      </c>
      <c r="D268" s="2637">
        <f>GREET1_Import_Export!D276</f>
        <v>0</v>
      </c>
      <c r="E268" s="489"/>
      <c r="F268" s="489"/>
    </row>
    <row r="269" spans="1:6">
      <c r="A269" s="490" t="s">
        <v>971</v>
      </c>
      <c r="B269" s="21">
        <f>B$17*GREET1_Import_Export!B243+(1-B$17)*GREET1_Import_Export!N243</f>
        <v>2.2540595793461085E-3</v>
      </c>
      <c r="C269" s="2637">
        <f>B$20*(GREET1_Import_Export!D321+GREET1_Import_Export!E321)+(1-B$20)*(GREET1_Import_Export!AN321+GREET1_Import_Export!AO321)</f>
        <v>0.11528089432429757</v>
      </c>
      <c r="D269" s="2637">
        <f>GREET1_Import_Export!D277</f>
        <v>0</v>
      </c>
      <c r="E269" s="489"/>
      <c r="F269" s="489"/>
    </row>
    <row r="270" spans="1:6">
      <c r="A270" s="647" t="s">
        <v>972</v>
      </c>
      <c r="B270" s="26">
        <f>B$17*GREET1_Import_Export!B244+(1-B$17)*GREET1_Import_Export!N244</f>
        <v>4.6353752836528189E-3</v>
      </c>
      <c r="C270" s="2639">
        <f>B$20*(GREET1_Import_Export!D322+GREET1_Import_Export!E322)+(1-B$20)*(GREET1_Import_Export!AN322+GREET1_Import_Export!AO322)</f>
        <v>0.63976496607691435</v>
      </c>
      <c r="D270" s="2639">
        <f>GREET1_Import_Export!D278</f>
        <v>0</v>
      </c>
      <c r="E270" s="489"/>
      <c r="F270" s="489"/>
    </row>
  </sheetData>
  <mergeCells count="38">
    <mergeCell ref="S46:T46"/>
    <mergeCell ref="O46:P46"/>
    <mergeCell ref="Q46:R46"/>
    <mergeCell ref="B46:C46"/>
    <mergeCell ref="D46:F46"/>
    <mergeCell ref="G46:H46"/>
    <mergeCell ref="I46:J46"/>
    <mergeCell ref="K46:L46"/>
    <mergeCell ref="M46:N46"/>
    <mergeCell ref="B48:C48"/>
    <mergeCell ref="O48:P48"/>
    <mergeCell ref="Q48:R48"/>
    <mergeCell ref="S48:T48"/>
    <mergeCell ref="U48:V48"/>
    <mergeCell ref="D48:N48"/>
    <mergeCell ref="W48:X48"/>
    <mergeCell ref="AA48:AD48"/>
    <mergeCell ref="U46:V46"/>
    <mergeCell ref="W46:X46"/>
    <mergeCell ref="Y46:Z46"/>
    <mergeCell ref="AA46:AB46"/>
    <mergeCell ref="AC46:AD46"/>
    <mergeCell ref="Y48:Z48"/>
    <mergeCell ref="U105:V105"/>
    <mergeCell ref="I105:J105"/>
    <mergeCell ref="K105:L105"/>
    <mergeCell ref="M105:N105"/>
    <mergeCell ref="O105:P105"/>
    <mergeCell ref="Q105:R105"/>
    <mergeCell ref="AO46:AP46"/>
    <mergeCell ref="AQ46:AR46"/>
    <mergeCell ref="AS46:AT46"/>
    <mergeCell ref="AE48:AT48"/>
    <mergeCell ref="AE46:AF46"/>
    <mergeCell ref="AG46:AH46"/>
    <mergeCell ref="AI46:AJ46"/>
    <mergeCell ref="AK46:AL46"/>
    <mergeCell ref="AM46:AN46"/>
  </mergeCells>
  <phoneticPr fontId="5" type="noConversion"/>
  <pageMargins left="0.75" right="0.75" top="1" bottom="1" header="0.5" footer="0.5"/>
  <pageSetup pageOrder="overThenDown" orientation="landscape" r:id="rId1"/>
  <headerFooter alignWithMargins="0">
    <oddHeader>&amp;A</oddHeader>
    <oddFooter>Page &amp;P</oddFooter>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fitToPage="1"/>
  </sheetPr>
  <dimension ref="A1:K90"/>
  <sheetViews>
    <sheetView showGridLines="0" zoomScale="85" zoomScaleNormal="85" workbookViewId="0"/>
  </sheetViews>
  <sheetFormatPr defaultColWidth="9.140625" defaultRowHeight="12.75"/>
  <cols>
    <col min="1" max="1" width="38.140625" style="5" customWidth="1"/>
    <col min="2" max="2" width="12" style="5" customWidth="1"/>
    <col min="3" max="3" width="9.85546875" style="5" customWidth="1"/>
    <col min="4" max="4" width="10.42578125" style="5" customWidth="1"/>
    <col min="5" max="5" width="10.7109375" style="5" customWidth="1"/>
    <col min="6" max="16384" width="9.140625" style="5"/>
  </cols>
  <sheetData>
    <row r="1" spans="1:9" ht="15.75">
      <c r="A1" s="2" t="s">
        <v>858</v>
      </c>
    </row>
    <row r="2" spans="1:9">
      <c r="A2" s="3"/>
    </row>
    <row r="3" spans="1:9" ht="15">
      <c r="A3" s="75" t="s">
        <v>859</v>
      </c>
    </row>
    <row r="4" spans="1:9">
      <c r="A4" s="3" t="s">
        <v>860</v>
      </c>
    </row>
    <row r="5" spans="1:9">
      <c r="A5" s="652" t="str">
        <f>Mat_Inputs!B190</f>
        <v>Cast Iron</v>
      </c>
      <c r="B5" s="653" t="str">
        <f>Mat_Inputs!C190</f>
        <v>Forged Iron</v>
      </c>
    </row>
    <row r="6" spans="1:9">
      <c r="A6" s="654">
        <f>Mat_Inputs!B191</f>
        <v>0.85</v>
      </c>
      <c r="B6" s="655">
        <f>Mat_Inputs!C191</f>
        <v>0.15000000000000002</v>
      </c>
    </row>
    <row r="8" spans="1:9" ht="15">
      <c r="A8" s="75" t="s">
        <v>762</v>
      </c>
    </row>
    <row r="9" spans="1:9">
      <c r="A9" s="393" t="s">
        <v>769</v>
      </c>
      <c r="B9" s="533">
        <v>1</v>
      </c>
      <c r="C9" s="64"/>
      <c r="D9" s="64"/>
      <c r="E9" s="64"/>
    </row>
    <row r="10" spans="1:9">
      <c r="A10" s="230" t="s">
        <v>770</v>
      </c>
      <c r="B10" s="588">
        <v>1</v>
      </c>
      <c r="C10" s="64"/>
      <c r="D10" s="64"/>
      <c r="E10" s="64"/>
    </row>
    <row r="11" spans="1:9">
      <c r="A11" s="589" t="s">
        <v>773</v>
      </c>
      <c r="B11" s="428">
        <v>1</v>
      </c>
      <c r="C11" s="64"/>
      <c r="D11" s="64"/>
      <c r="E11" s="64"/>
    </row>
    <row r="13" spans="1:9" ht="15">
      <c r="A13" s="75" t="s">
        <v>784</v>
      </c>
    </row>
    <row r="14" spans="1:9">
      <c r="A14" s="178"/>
      <c r="B14" s="2986" t="s">
        <v>462</v>
      </c>
      <c r="C14" s="2988"/>
      <c r="D14" s="2987" t="s">
        <v>463</v>
      </c>
      <c r="E14" s="2987"/>
      <c r="F14" s="2986" t="s">
        <v>464</v>
      </c>
      <c r="G14" s="2988"/>
      <c r="H14" s="2987" t="s">
        <v>339</v>
      </c>
      <c r="I14" s="2988"/>
    </row>
    <row r="15" spans="1:9" ht="73.5" customHeight="1">
      <c r="A15" s="658"/>
      <c r="B15" s="1265" t="s">
        <v>785</v>
      </c>
      <c r="C15" s="1223" t="s">
        <v>786</v>
      </c>
      <c r="D15" s="1307" t="s">
        <v>785</v>
      </c>
      <c r="E15" s="1307" t="s">
        <v>786</v>
      </c>
      <c r="F15" s="1265" t="s">
        <v>785</v>
      </c>
      <c r="G15" s="1223" t="s">
        <v>786</v>
      </c>
      <c r="H15" s="1307" t="s">
        <v>785</v>
      </c>
      <c r="I15" s="1223" t="s">
        <v>786</v>
      </c>
    </row>
    <row r="16" spans="1:9" ht="25.5">
      <c r="A16" s="659" t="s">
        <v>797</v>
      </c>
      <c r="B16" s="663">
        <f>Mat_Inputs!B335</f>
        <v>1.339</v>
      </c>
      <c r="C16" s="394"/>
      <c r="D16" s="367">
        <f>Mat_Inputs!B336</f>
        <v>0</v>
      </c>
      <c r="E16" s="49"/>
      <c r="F16" s="663">
        <f>Mat_Inputs!B337</f>
        <v>33.801000000000002</v>
      </c>
      <c r="G16" s="52"/>
      <c r="H16" s="367">
        <f>Mat_Inputs!B338</f>
        <v>0.54</v>
      </c>
      <c r="I16" s="52"/>
    </row>
    <row r="17" spans="1:9">
      <c r="A17" s="660" t="s">
        <v>798</v>
      </c>
      <c r="B17" s="664">
        <v>0</v>
      </c>
      <c r="C17" s="656"/>
      <c r="D17" s="368">
        <v>0</v>
      </c>
      <c r="E17" s="669"/>
      <c r="F17" s="664">
        <v>0</v>
      </c>
      <c r="G17" s="656"/>
      <c r="H17" s="368">
        <v>0</v>
      </c>
      <c r="I17" s="656"/>
    </row>
    <row r="18" spans="1:9">
      <c r="A18" s="178" t="s">
        <v>799</v>
      </c>
      <c r="B18" s="95"/>
      <c r="C18" s="94"/>
      <c r="F18" s="95"/>
      <c r="G18" s="94"/>
      <c r="I18" s="94"/>
    </row>
    <row r="19" spans="1:9">
      <c r="A19" s="95" t="s">
        <v>800</v>
      </c>
      <c r="B19" s="665">
        <v>0</v>
      </c>
      <c r="C19" s="94"/>
      <c r="D19" s="369">
        <v>0</v>
      </c>
      <c r="F19" s="665">
        <v>0</v>
      </c>
      <c r="G19" s="94"/>
      <c r="H19" s="369">
        <v>0</v>
      </c>
      <c r="I19" s="94"/>
    </row>
    <row r="20" spans="1:9">
      <c r="A20" s="95" t="s">
        <v>802</v>
      </c>
      <c r="B20" s="665">
        <v>0.93</v>
      </c>
      <c r="C20" s="94" t="s">
        <v>861</v>
      </c>
      <c r="D20" s="369">
        <v>0</v>
      </c>
      <c r="F20" s="665">
        <v>0</v>
      </c>
      <c r="G20" s="94"/>
      <c r="H20" s="369">
        <v>0</v>
      </c>
      <c r="I20" s="94"/>
    </row>
    <row r="21" spans="1:9">
      <c r="A21" s="95" t="s">
        <v>804</v>
      </c>
      <c r="B21" s="665">
        <v>0</v>
      </c>
      <c r="C21" s="94"/>
      <c r="D21" s="369">
        <v>0</v>
      </c>
      <c r="F21" s="665">
        <v>0.96499999999999997</v>
      </c>
      <c r="G21" s="94"/>
      <c r="H21" s="369">
        <v>0</v>
      </c>
      <c r="I21" s="94"/>
    </row>
    <row r="22" spans="1:9">
      <c r="A22" s="95" t="s">
        <v>805</v>
      </c>
      <c r="B22" s="665">
        <v>0</v>
      </c>
      <c r="C22" s="94"/>
      <c r="D22" s="369">
        <v>0</v>
      </c>
      <c r="F22" s="665">
        <v>0</v>
      </c>
      <c r="G22" s="94"/>
      <c r="H22" s="369">
        <v>0</v>
      </c>
      <c r="I22" s="94"/>
    </row>
    <row r="23" spans="1:9">
      <c r="A23" s="95" t="s">
        <v>806</v>
      </c>
      <c r="B23" s="665">
        <f>1-SUM(B20:B22)</f>
        <v>6.9999999999999951E-2</v>
      </c>
      <c r="C23" s="94"/>
      <c r="D23" s="369">
        <f>1-SUM(D19:D22)</f>
        <v>1</v>
      </c>
      <c r="F23" s="665">
        <f>1-SUM(F19:F22)</f>
        <v>3.5000000000000031E-2</v>
      </c>
      <c r="G23" s="94"/>
      <c r="H23" s="369">
        <f>1-SUM(H19:H22)</f>
        <v>1</v>
      </c>
      <c r="I23" s="94"/>
    </row>
    <row r="24" spans="1:9">
      <c r="A24" s="178" t="s">
        <v>862</v>
      </c>
      <c r="B24" s="640"/>
      <c r="C24" s="52"/>
      <c r="D24" s="49"/>
      <c r="E24" s="49"/>
      <c r="F24" s="640"/>
      <c r="G24" s="52"/>
      <c r="H24" s="49"/>
      <c r="I24" s="52"/>
    </row>
    <row r="25" spans="1:9">
      <c r="A25" s="95" t="s">
        <v>800</v>
      </c>
      <c r="B25" s="666">
        <f>B$16*B19</f>
        <v>0</v>
      </c>
      <c r="C25" s="94"/>
      <c r="D25" s="370">
        <f>D$16*D19</f>
        <v>0</v>
      </c>
      <c r="F25" s="666">
        <f>F$16*F19</f>
        <v>0</v>
      </c>
      <c r="G25" s="94"/>
      <c r="H25" s="370">
        <f>H$16*H19</f>
        <v>0</v>
      </c>
      <c r="I25" s="94"/>
    </row>
    <row r="26" spans="1:9">
      <c r="A26" s="95" t="s">
        <v>802</v>
      </c>
      <c r="B26" s="666">
        <f>B$16*B20</f>
        <v>1.2452700000000001</v>
      </c>
      <c r="C26" s="94"/>
      <c r="D26" s="370">
        <f>D$16*D20</f>
        <v>0</v>
      </c>
      <c r="F26" s="666">
        <f>F$16*F20</f>
        <v>0</v>
      </c>
      <c r="G26" s="94"/>
      <c r="H26" s="370">
        <f>H$16*H20</f>
        <v>0</v>
      </c>
      <c r="I26" s="94"/>
    </row>
    <row r="27" spans="1:9">
      <c r="A27" s="95" t="s">
        <v>804</v>
      </c>
      <c r="B27" s="666">
        <f>B$16*B21</f>
        <v>0</v>
      </c>
      <c r="C27" s="94"/>
      <c r="D27" s="370">
        <f>D$16*D21</f>
        <v>0</v>
      </c>
      <c r="F27" s="666">
        <f>F$16*F21</f>
        <v>32.617964999999998</v>
      </c>
      <c r="G27" s="94"/>
      <c r="H27" s="370">
        <f>H$16*H21</f>
        <v>0</v>
      </c>
      <c r="I27" s="94"/>
    </row>
    <row r="28" spans="1:9">
      <c r="A28" s="95" t="s">
        <v>805</v>
      </c>
      <c r="B28" s="666">
        <f>B$16*B22</f>
        <v>0</v>
      </c>
      <c r="C28" s="94"/>
      <c r="D28" s="370">
        <f>D$16*D22</f>
        <v>0</v>
      </c>
      <c r="F28" s="666">
        <f>F$16*F22</f>
        <v>0</v>
      </c>
      <c r="G28" s="94"/>
      <c r="H28" s="370">
        <f>H$16*H22</f>
        <v>0</v>
      </c>
      <c r="I28" s="94"/>
    </row>
    <row r="29" spans="1:9">
      <c r="A29" s="95" t="s">
        <v>806</v>
      </c>
      <c r="B29" s="666">
        <f>B$16*B23</f>
        <v>9.3729999999999938E-2</v>
      </c>
      <c r="C29" s="94"/>
      <c r="D29" s="370">
        <f>D$16*D23</f>
        <v>0</v>
      </c>
      <c r="F29" s="666">
        <f>F$16*F23</f>
        <v>1.1830350000000012</v>
      </c>
      <c r="G29" s="94"/>
      <c r="H29" s="370">
        <f>H$16*H23</f>
        <v>0.54</v>
      </c>
      <c r="I29" s="94"/>
    </row>
    <row r="30" spans="1:9">
      <c r="A30" s="539" t="s">
        <v>863</v>
      </c>
      <c r="B30" s="667"/>
      <c r="C30" s="656"/>
      <c r="D30" s="662">
        <v>0.84</v>
      </c>
      <c r="E30" s="669"/>
      <c r="F30" s="667"/>
      <c r="G30" s="656"/>
      <c r="H30" s="371"/>
      <c r="I30" s="656"/>
    </row>
    <row r="31" spans="1:9">
      <c r="A31" s="640" t="s">
        <v>816</v>
      </c>
      <c r="B31" s="510">
        <f>B$25*(1+(GREET1_Import_Export!$F$179*GREET1_Import_Export!$B180+GREET1_Import_Export!$F180)/1000000)+B$26*(1+(GREET1_Import_Export!$H$179*GREET1_Import_Export!$B180+GREET1_Import_Export!$H180)/1000000)+B$27*(1+GREET1_Import_Export!$B216/1000000)+B$28*(1+GREET1_Import_Export!$B284/1000000)+B$29*(GREET1_Import_Export!$B309+GREET1_Import_Export!$C309)/1000000</f>
        <v>1.6628163977604036</v>
      </c>
      <c r="C31" s="507"/>
      <c r="D31" s="512">
        <f ca="1">D$25*(1+(GREET1_Import_Export!$F$179*GREET1_Import_Export!$B180+GREET1_Import_Export!$F180)/1000000)+D$26*(1+(GREET1_Import_Export!$G$179*GREET1_Import_Export!$B180+GREET1_Import_Export!$G180)/1000000)+D$27*(1+GREET1_Import_Export!$B216/1000000)+D$28*(1+GREET1_Import_Export!$B284/1000000)+D$29*(GREET1_Import_Export!$B309+GREET1_Import_Export!$C309)/1000000+D$30*Steel!B108</f>
        <v>22.306073948715966</v>
      </c>
      <c r="E31" s="506"/>
      <c r="F31" s="510">
        <f>F$25*(1+(GREET1_Import_Export!$F$179*GREET1_Import_Export!$B180+GREET1_Import_Export!$F180)/1000000)+F$26*(1+(GREET1_Import_Export!$G$179*GREET1_Import_Export!$B180+GREET1_Import_Export!$G180)/1000000)+F$27*(1+GREET1_Import_Export!$B216/1000000)+F$28*(1+GREET1_Import_Export!$B284/1000000)+F$29*(GREET1_Import_Export!$B309+GREET1_Import_Export!$C309)/1000000</f>
        <v>38.417849344365116</v>
      </c>
      <c r="G31" s="507"/>
      <c r="H31" s="512">
        <f>H$25*(1+(GREET1_Import_Export!$F$179*GREET1_Import_Export!$B180+GREET1_Import_Export!$F180)/1000000)+H$26*(1+(GREET1_Import_Export!$G$179*GREET1_Import_Export!$B180+GREET1_Import_Export!$G180)/1000000)+H$27*(1+GREET1_Import_Export!$B216/1000000)+H$28*(1+GREET1_Import_Export!$B284/1000000)+H$29*(GREET1_Import_Export!$B309+GREET1_Import_Export!$C309)/1000000</f>
        <v>1.095149842171246</v>
      </c>
      <c r="I31" s="507"/>
    </row>
    <row r="32" spans="1:9">
      <c r="A32" s="95" t="s">
        <v>817</v>
      </c>
      <c r="B32" s="347">
        <f>B$25*(1+(GREET1_Import_Export!$F$179*GREET1_Import_Export!$B181+GREET1_Import_Export!$F181)/1000000)+B$26*(1+(GREET1_Import_Export!$H$179*GREET1_Import_Export!$B181+GREET1_Import_Export!$H181)/1000000)+B$27*(1+GREET1_Import_Export!$B217/1000000)+B$28*(1+GREET1_Import_Export!$B285/1000000)+B$29*(GREET1_Import_Export!$B310+GREET1_Import_Export!$C310)/1000000</f>
        <v>1.6161893613067977</v>
      </c>
      <c r="C32" s="497"/>
      <c r="D32" s="349">
        <f ca="1">D$25*(1+(GREET1_Import_Export!$F$179*GREET1_Import_Export!$B181+GREET1_Import_Export!$F181)/1000000)+D$26*(1+(GREET1_Import_Export!$G$179*GREET1_Import_Export!$B181+GREET1_Import_Export!$G181)/1000000)+D$27*(1+GREET1_Import_Export!$B217/1000000)+D$28*(1+GREET1_Import_Export!$B285/1000000)+D$29*(GREET1_Import_Export!$B310+GREET1_Import_Export!$C310)/1000000+D$30*Steel!B109</f>
        <v>22.241563617908234</v>
      </c>
      <c r="E32" s="496"/>
      <c r="F32" s="347">
        <f>F$25*(1+(GREET1_Import_Export!$F$179*GREET1_Import_Export!$B181+GREET1_Import_Export!$F181)/1000000)+F$26*(1+(GREET1_Import_Export!$G$179*GREET1_Import_Export!$B181+GREET1_Import_Export!$G181)/1000000)+F$27*(1+GREET1_Import_Export!$B217/1000000)+F$28*(1+GREET1_Import_Export!$B285/1000000)+F$29*(GREET1_Import_Export!$B310+GREET1_Import_Export!$C310)/1000000</f>
        <v>37.894485889548534</v>
      </c>
      <c r="G32" s="497"/>
      <c r="H32" s="349">
        <f>H$25*(1+(GREET1_Import_Export!$F$179*GREET1_Import_Export!$B181+GREET1_Import_Export!$F181)/1000000)+H$26*(1+(GREET1_Import_Export!$G$179*GREET1_Import_Export!$B181+GREET1_Import_Export!$G181)/1000000)+H$27*(1+GREET1_Import_Export!$B217/1000000)+H$28*(1+GREET1_Import_Export!$B285/1000000)+H$29*(GREET1_Import_Export!$B310+GREET1_Import_Export!$C310)/1000000</f>
        <v>0.86737441381755587</v>
      </c>
      <c r="I32" s="497"/>
    </row>
    <row r="33" spans="1:9">
      <c r="A33" s="95" t="s">
        <v>805</v>
      </c>
      <c r="B33" s="347">
        <f>B$25*(GREET1_Import_Export!$F$179*GREET1_Import_Export!$B182+GREET1_Import_Export!$F182)/1000000+B$26*(GREET1_Import_Export!$H$179*GREET1_Import_Export!$B182+GREET1_Import_Export!$H182)/1000000+B$27*GREET1_Import_Export!$B218/1000000+B$28*(1+GREET1_Import_Export!$B286/1000000)+B$29*(GREET1_Import_Export!$B311+GREET1_Import_Export!$C311)/1000000</f>
        <v>6.1266210563277357E-2</v>
      </c>
      <c r="C33" s="497"/>
      <c r="D33" s="349">
        <f ca="1">D$25*(GREET1_Import_Export!$F$179*GREET1_Import_Export!$B182+GREET1_Import_Export!$F182)/1000000+D$26*(GREET1_Import_Export!$G$179*GREET1_Import_Export!$B182+GREET1_Import_Export!$G182)/1000000+D$27*GREET1_Import_Export!$B218/1000000+D$28*(1+GREET1_Import_Export!$B286/1000000)+D$29*(GREET1_Import_Export!$B311+GREET1_Import_Export!$C311)/1000000+D$30*Steel!B110</f>
        <v>21.384018564583968</v>
      </c>
      <c r="E33" s="496"/>
      <c r="F33" s="347">
        <f>F$25*(GREET1_Import_Export!$F$179*GREET1_Import_Export!$B182+GREET1_Import_Export!$F182)/1000000+F$26*(GREET1_Import_Export!$G$179*GREET1_Import_Export!$B182+GREET1_Import_Export!$G182)/1000000+F$27*GREET1_Import_Export!$B218/1000000+F$28*(1+GREET1_Import_Export!$B286/1000000)+F$29*(GREET1_Import_Export!$B311+GREET1_Import_Export!$C311)/1000000</f>
        <v>0.6918094519503678</v>
      </c>
      <c r="G33" s="497"/>
      <c r="H33" s="349">
        <f>H$25*(GREET1_Import_Export!$F$179*GREET1_Import_Export!$B182+GREET1_Import_Export!$F182)/1000000+H$26*(GREET1_Import_Export!$G$179*GREET1_Import_Export!$B182+GREET1_Import_Export!$G182)/1000000+H$27*GREET1_Import_Export!$B218/1000000+H$28*(1+GREET1_Import_Export!$B286/1000000)+H$29*(GREET1_Import_Export!$B311+GREET1_Import_Export!$C311)/1000000</f>
        <v>0.30110169748314225</v>
      </c>
      <c r="I33" s="497"/>
    </row>
    <row r="34" spans="1:9">
      <c r="A34" s="95" t="s">
        <v>804</v>
      </c>
      <c r="B34" s="347">
        <f>B32-B33-B35</f>
        <v>0.25016011716210729</v>
      </c>
      <c r="C34" s="497"/>
      <c r="D34" s="349">
        <f ca="1">D32-D33-D35</f>
        <v>0.57244433032568409</v>
      </c>
      <c r="E34" s="496"/>
      <c r="F34" s="347">
        <f>F32-F33-F35</f>
        <v>37.051102579810149</v>
      </c>
      <c r="G34" s="497"/>
      <c r="H34" s="349">
        <f>H32-H33-H35</f>
        <v>0.55685285502783466</v>
      </c>
      <c r="I34" s="497"/>
    </row>
    <row r="35" spans="1:9">
      <c r="A35" s="539" t="s">
        <v>818</v>
      </c>
      <c r="B35" s="503">
        <f>B$25*(1+(GREET1_Import_Export!$F$179*GREET1_Import_Export!$B184+GREET1_Import_Export!$F184)/1000000)+B$26*(1+(GREET1_Import_Export!$H$179*GREET1_Import_Export!$B184+GREET1_Import_Export!$H184)/1000000)+B$27*GREET1_Import_Export!$B220/1000000+B$28*GREET1_Import_Export!$B288/1000000+B$29*(GREET1_Import_Export!$B313+GREET1_Import_Export!$C313)/1000000</f>
        <v>1.3047630335814131</v>
      </c>
      <c r="C35" s="500"/>
      <c r="D35" s="505">
        <f ca="1">D$25*(1+(GREET1_Import_Export!$F$179*GREET1_Import_Export!$B184+GREET1_Import_Export!$F184)/1000000)+D$26*(1+(GREET1_Import_Export!$G$179*GREET1_Import_Export!$B184+GREET1_Import_Export!$G184)/1000000)+D$27*GREET1_Import_Export!$B220/1000000+D$28*GREET1_Import_Export!$B288/1000000+D$29*(GREET1_Import_Export!$B313+GREET1_Import_Export!$C313)/1000000+D$30*Steel!B112</f>
        <v>0.28510072299858175</v>
      </c>
      <c r="E35" s="499"/>
      <c r="F35" s="503">
        <f>F$25*(1+(GREET1_Import_Export!$F$179*GREET1_Import_Export!$B184+GREET1_Import_Export!$F184)/1000000)+F$26*(1+(GREET1_Import_Export!$G$179*GREET1_Import_Export!$B184+GREET1_Import_Export!$G184)/1000000)+F$27*GREET1_Import_Export!$B220/1000000+F$28*GREET1_Import_Export!$B288/1000000+F$29*(GREET1_Import_Export!$B313+GREET1_Import_Export!$C313)/1000000</f>
        <v>0.15157385778801585</v>
      </c>
      <c r="G35" s="500"/>
      <c r="H35" s="505">
        <f>H$25*(1+(GREET1_Import_Export!$F$179*GREET1_Import_Export!$B184+GREET1_Import_Export!$F184)/1000000)+H$26*(1+(GREET1_Import_Export!$G$179*GREET1_Import_Export!$B184+GREET1_Import_Export!$G184)/1000000)+H$27*GREET1_Import_Export!$B220/1000000+H$28*GREET1_Import_Export!$B288/1000000+H$29*(GREET1_Import_Export!$B313+GREET1_Import_Export!$C313)/1000000</f>
        <v>9.4198613065789756E-3</v>
      </c>
      <c r="I35" s="500"/>
    </row>
    <row r="36" spans="1:9">
      <c r="A36" s="477" t="s">
        <v>819</v>
      </c>
      <c r="B36" s="650">
        <f>B$25*((GREET1_Import_Export!$F$179*GREET1_Import_Export!$B185+GREET1_Import_Export!$F185))+B$26*((GREET1_Import_Export!$H$179*GREET1_Import_Export!$B185+GREET1_Import_Export!$H185))+B$27*GREET1_Import_Export!$B221+B$28*GREET1_Import_Export!$B289+B$29*(GREET1_Import_Export!$B314+GREET1_Import_Export!$C314)</f>
        <v>37.345447101155997</v>
      </c>
      <c r="C36" s="245"/>
      <c r="D36" s="47">
        <f ca="1">D$25*((GREET1_Import_Export!$F$179*GREET1_Import_Export!$B185+GREET1_Import_Export!$F185))+D$26*((GREET1_Import_Export!$G$179*GREET1_Import_Export!$B185+GREET1_Import_Export!$G185))+D$27*GREET1_Import_Export!$B221+D$28*GREET1_Import_Export!$B289+D$29*(GREET1_Import_Export!$B314+GREET1_Import_Export!$C314)+D$30*Steel!B113</f>
        <v>82.474072397514988</v>
      </c>
      <c r="E36" s="47"/>
      <c r="F36" s="250">
        <f>F$25*((GREET1_Import_Export!$F$179*GREET1_Import_Export!$B185+GREET1_Import_Export!$F185))+F$26*((GREET1_Import_Export!$G$179*GREET1_Import_Export!$B185+GREET1_Import_Export!$G185))+F$27*GREET1_Import_Export!$B221+F$28*GREET1_Import_Export!$B289+F$29*(GREET1_Import_Export!$B314+GREET1_Import_Export!$C314)</f>
        <v>229.10749851189985</v>
      </c>
      <c r="G36" s="245"/>
      <c r="H36" s="47">
        <f>H$25*((GREET1_Import_Export!$F$179*GREET1_Import_Export!$B185+GREET1_Import_Export!$F185))+H$26*((GREET1_Import_Export!$G$179*GREET1_Import_Export!$B185+GREET1_Import_Export!$G185))+H$27*GREET1_Import_Export!$B221+H$28*GREET1_Import_Export!$B289+H$29*(GREET1_Import_Export!$B314+GREET1_Import_Export!$C314)</f>
        <v>58.690100867173619</v>
      </c>
      <c r="I36" s="245"/>
    </row>
    <row r="37" spans="1:9">
      <c r="A37" s="178" t="s">
        <v>864</v>
      </c>
      <c r="B37" s="623"/>
      <c r="C37" s="544"/>
      <c r="D37" s="615"/>
      <c r="E37" s="597"/>
      <c r="F37" s="623"/>
      <c r="G37" s="544"/>
      <c r="H37" s="615"/>
      <c r="I37" s="544"/>
    </row>
    <row r="38" spans="1:9">
      <c r="A38" s="95" t="s">
        <v>821</v>
      </c>
      <c r="B38" s="347">
        <f>B$25*($B$9*GREET1_Import_Export!$K72+GREET1_Import_Export!$F$179*GREET1_Import_Export!$B186+GREET1_Import_Export!$F186)+B$26*(GREET1_Import_Export!$R72+GREET1_Import_Export!$H$179*GREET1_Import_Export!$B186+GREET1_Import_Export!$H186)+B$27*($B$10*GREET1_Import_Export!$B72+GREET1_Import_Export!$B222)+B$28*($B$11*GREET1_Import_Export!$AA72+GREET1_Import_Export!$B290)+B$29*(GREET1_Import_Export!$B315+GREET1_Import_Export!$C315)</f>
        <v>17.706248225602888</v>
      </c>
      <c r="C38" s="348"/>
      <c r="D38" s="349">
        <f ca="1">D$25*($B$9*GREET1_Import_Export!$K72+GREET1_Import_Export!$F$179*GREET1_Import_Export!$B186+GREET1_Import_Export!$F186)+D$26*(GREET1_Import_Export!$O72+GREET1_Import_Export!$G$179*GREET1_Import_Export!$B186+GREET1_Import_Export!$G186)+D$27*($B$10*GREET1_Import_Export!$B72+GREET1_Import_Export!$B222)+D$28*($B$11*GREET1_Import_Export!$AA72+GREET1_Import_Export!$B290)+D$29*(GREET1_Import_Export!$B315+GREET1_Import_Export!$C315)+D$30*Steel!B115</f>
        <v>1876.8130180430906</v>
      </c>
      <c r="E38" s="496"/>
      <c r="F38" s="347">
        <f>F$25*($B$9*GREET1_Import_Export!$K72+GREET1_Import_Export!$F$179*GREET1_Import_Export!$B186+GREET1_Import_Export!$F186)+F$26*(GREET1_Import_Export!$O72+GREET1_Import_Export!$G$179*GREET1_Import_Export!$B186+GREET1_Import_Export!$G186)+F$27*($B$10*GREET1_Import_Export!$B72+GREET1_Import_Export!$B222)+F$28*($B$11*GREET1_Import_Export!$AA72+GREET1_Import_Export!$B290)+F$29*(GREET1_Import_Export!$B315+GREET1_Import_Export!$C315)</f>
        <v>434.77935444137773</v>
      </c>
      <c r="G38" s="497"/>
      <c r="H38" s="349">
        <f>H$25*($B$9*GREET1_Import_Export!$K72+GREET1_Import_Export!$F$179*GREET1_Import_Export!$B186+GREET1_Import_Export!$F186)+H$26*(GREET1_Import_Export!$O72+GREET1_Import_Export!$G$179*GREET1_Import_Export!$B186+GREET1_Import_Export!$G186)+H$27*($B$10*GREET1_Import_Export!$B72+GREET1_Import_Export!$B222)+H$28*($B$11*GREET1_Import_Export!$AA72+GREET1_Import_Export!$B290)+H$29*(GREET1_Import_Export!$B315+GREET1_Import_Export!$C315)</f>
        <v>7.4827090274299994</v>
      </c>
      <c r="I38" s="497"/>
    </row>
    <row r="39" spans="1:9">
      <c r="A39" s="95" t="s">
        <v>822</v>
      </c>
      <c r="B39" s="347">
        <f>B$25*($B$9*GREET1_Import_Export!$K73+GREET1_Import_Export!$F$179*GREET1_Import_Export!$B187+GREET1_Import_Export!$F187)+B$26*(GREET1_Import_Export!$R73+GREET1_Import_Export!$H$179*GREET1_Import_Export!$B187+GREET1_Import_Export!$H187)+B$27*($B$10*GREET1_Import_Export!$B73+GREET1_Import_Export!$B223)+B$28*($B$11*GREET1_Import_Export!$AA73+GREET1_Import_Export!$B291)+B$29*(GREET1_Import_Export!$B316+GREET1_Import_Export!$C316)</f>
        <v>219.40016186421346</v>
      </c>
      <c r="C39" s="348"/>
      <c r="D39" s="349">
        <f ca="1">D$25*($B$9*GREET1_Import_Export!$K73+GREET1_Import_Export!$F$179*GREET1_Import_Export!$B187+GREET1_Import_Export!$F187)+D$26*(GREET1_Import_Export!$O73+GREET1_Import_Export!$G$179*GREET1_Import_Export!$B187+GREET1_Import_Export!$G187)+D$27*($B$10*GREET1_Import_Export!$B73+GREET1_Import_Export!$B223)+D$28*($B$11*GREET1_Import_Export!$AA73+GREET1_Import_Export!$B291)+D$29*(GREET1_Import_Export!$B316+GREET1_Import_Export!$C316)+D$30*Steel!B116</f>
        <v>486.51211090789394</v>
      </c>
      <c r="E39" s="496"/>
      <c r="F39" s="347">
        <f>F$25*($B$9*GREET1_Import_Export!$K73+GREET1_Import_Export!$F$179*GREET1_Import_Export!$B187+GREET1_Import_Export!$F187)+F$26*(GREET1_Import_Export!$O73+GREET1_Import_Export!$G$179*GREET1_Import_Export!$B187+GREET1_Import_Export!$G187)+F$27*($B$10*GREET1_Import_Export!$B73+GREET1_Import_Export!$B223)+F$28*($B$11*GREET1_Import_Export!$AA73+GREET1_Import_Export!$B291)+F$29*(GREET1_Import_Export!$B316+GREET1_Import_Export!$C316)</f>
        <v>1787.9326834440285</v>
      </c>
      <c r="G39" s="497"/>
      <c r="H39" s="349">
        <f>H$25*($B$9*GREET1_Import_Export!$K73+GREET1_Import_Export!$F$179*GREET1_Import_Export!$B187+GREET1_Import_Export!$F187)+H$26*(GREET1_Import_Export!$O73+GREET1_Import_Export!$G$179*GREET1_Import_Export!$B187+GREET1_Import_Export!$G187)+H$27*($B$10*GREET1_Import_Export!$B73+GREET1_Import_Export!$B223)+H$28*($B$11*GREET1_Import_Export!$AA73+GREET1_Import_Export!$B291)+H$29*(GREET1_Import_Export!$B316+GREET1_Import_Export!$C316)</f>
        <v>20.225682519847698</v>
      </c>
      <c r="I39" s="497"/>
    </row>
    <row r="40" spans="1:9">
      <c r="A40" s="95" t="s">
        <v>823</v>
      </c>
      <c r="B40" s="347">
        <f>B$25*($B$9*GREET1_Import_Export!$K74+GREET1_Import_Export!$F$179*GREET1_Import_Export!$B188+GREET1_Import_Export!$F188)+B$26*(GREET1_Import_Export!$R74+GREET1_Import_Export!$H$179*GREET1_Import_Export!$B188+GREET1_Import_Export!$H188)+B$27*($B$10*GREET1_Import_Export!$B74+GREET1_Import_Export!$B224)+B$28*($B$11*GREET1_Import_Export!$AA74+GREET1_Import_Export!$B292)+B$29*(GREET1_Import_Export!$B317+GREET1_Import_Export!$C317)</f>
        <v>155.71882709763705</v>
      </c>
      <c r="C40" s="348"/>
      <c r="D40" s="349">
        <f ca="1">D$25*($B$9*GREET1_Import_Export!$K74+GREET1_Import_Export!$F$179*GREET1_Import_Export!$B188+GREET1_Import_Export!$F188)+D$26*(GREET1_Import_Export!$O74+GREET1_Import_Export!$G$179*GREET1_Import_Export!$B188+GREET1_Import_Export!$G188)+D$27*($B$10*GREET1_Import_Export!$B74+GREET1_Import_Export!$B224)+D$28*($B$11*GREET1_Import_Export!$AA74+GREET1_Import_Export!$B292)+D$29*(GREET1_Import_Export!$B317+GREET1_Import_Export!$C317)+D$30*Steel!B117</f>
        <v>766.0389958848732</v>
      </c>
      <c r="E40" s="496"/>
      <c r="F40" s="347">
        <f>F$25*($B$9*GREET1_Import_Export!$K74+GREET1_Import_Export!$F$179*GREET1_Import_Export!$B188+GREET1_Import_Export!$F188)+F$26*(GREET1_Import_Export!$O74+GREET1_Import_Export!$G$179*GREET1_Import_Export!$B188+GREET1_Import_Export!$G188)+F$27*($B$10*GREET1_Import_Export!$B74+GREET1_Import_Export!$B224)+F$28*($B$11*GREET1_Import_Export!$AA74+GREET1_Import_Export!$B292)+F$29*(GREET1_Import_Export!$B317+GREET1_Import_Export!$C317)</f>
        <v>2461.6294718960189</v>
      </c>
      <c r="G40" s="497"/>
      <c r="H40" s="349">
        <f>H$25*($B$9*GREET1_Import_Export!$K74+GREET1_Import_Export!$F$179*GREET1_Import_Export!$B188+GREET1_Import_Export!$F188)+H$26*(GREET1_Import_Export!$O74+GREET1_Import_Export!$G$179*GREET1_Import_Export!$B188+GREET1_Import_Export!$G188)+H$27*($B$10*GREET1_Import_Export!$B74+GREET1_Import_Export!$B224)+H$28*($B$11*GREET1_Import_Export!$AA74+GREET1_Import_Export!$B292)+H$29*(GREET1_Import_Export!$B317+GREET1_Import_Export!$C317)</f>
        <v>41.666162997286321</v>
      </c>
      <c r="I40" s="497"/>
    </row>
    <row r="41" spans="1:9">
      <c r="A41" s="95" t="s">
        <v>824</v>
      </c>
      <c r="B41" s="347">
        <f>B$25*($B$9*GREET1_Import_Export!$K75+GREET1_Import_Export!$F$179*GREET1_Import_Export!$B189+GREET1_Import_Export!$F189)+B$26*(GREET1_Import_Export!$R75+GREET1_Import_Export!$H$179*GREET1_Import_Export!$B189+GREET1_Import_Export!$H189)+B$27*($B$10*GREET1_Import_Export!$B75+GREET1_Import_Export!$B225)+B$28*($B$11*GREET1_Import_Export!$AA75+GREET1_Import_Export!$B293)+B$29*(GREET1_Import_Export!$B318+GREET1_Import_Export!$C318)</f>
        <v>9.5437473279503173</v>
      </c>
      <c r="C41" s="348"/>
      <c r="D41" s="349">
        <f ca="1">D$25*($B$9*GREET1_Import_Export!$K75+GREET1_Import_Export!$F$179*GREET1_Import_Export!$B189+GREET1_Import_Export!$F189)+D$26*(GREET1_Import_Export!$O75+GREET1_Import_Export!$G$179*GREET1_Import_Export!$B189+GREET1_Import_Export!$G189)+D$27*($B$10*GREET1_Import_Export!$B75+GREET1_Import_Export!$B225)+D$28*($B$11*GREET1_Import_Export!$AA75+GREET1_Import_Export!$B293)+D$29*(GREET1_Import_Export!$B318+GREET1_Import_Export!$C318)+D$30*Steel!B118</f>
        <v>942.98074796754645</v>
      </c>
      <c r="E41" s="496"/>
      <c r="F41" s="347">
        <f>F$25*($B$9*GREET1_Import_Export!$K75+GREET1_Import_Export!$F$179*GREET1_Import_Export!$B189+GREET1_Import_Export!$F189)+F$26*(GREET1_Import_Export!$O75+GREET1_Import_Export!$G$179*GREET1_Import_Export!$B189+GREET1_Import_Export!$G189)+F$27*($B$10*GREET1_Import_Export!$B75+GREET1_Import_Export!$B225)+F$28*($B$11*GREET1_Import_Export!$AA75+GREET1_Import_Export!$B293)+F$29*(GREET1_Import_Export!$B318+GREET1_Import_Export!$C318)</f>
        <v>142.70445659054155</v>
      </c>
      <c r="G41" s="497"/>
      <c r="H41" s="349">
        <f>H$25*($B$9*GREET1_Import_Export!$K75+GREET1_Import_Export!$F$179*GREET1_Import_Export!$B189+GREET1_Import_Export!$F189)+H$26*(GREET1_Import_Export!$O75+GREET1_Import_Export!$G$179*GREET1_Import_Export!$B189+GREET1_Import_Export!$G189)+H$27*($B$10*GREET1_Import_Export!$B75+GREET1_Import_Export!$B225)+H$28*($B$11*GREET1_Import_Export!$AA75+GREET1_Import_Export!$B293)+H$29*(GREET1_Import_Export!$B318+GREET1_Import_Export!$C318)</f>
        <v>6.6697639307422918</v>
      </c>
      <c r="I41" s="497"/>
    </row>
    <row r="42" spans="1:9" s="64" customFormat="1">
      <c r="A42" s="230" t="s">
        <v>825</v>
      </c>
      <c r="B42" s="347">
        <f>B$25*($B$9*GREET1_Import_Export!$K76+GREET1_Import_Export!$F$179*GREET1_Import_Export!$B190+GREET1_Import_Export!$F190)+B$26*(GREET1_Import_Export!$R76+GREET1_Import_Export!$H$179*GREET1_Import_Export!$B190+GREET1_Import_Export!$H190)+B$27*($B$10*GREET1_Import_Export!$B76+GREET1_Import_Export!$B226)+B$28*($B$11*GREET1_Import_Export!$AA76+GREET1_Import_Export!$B294)+B$29*(GREET1_Import_Export!$B319+GREET1_Import_Export!$C319)</f>
        <v>3.2249672233788207</v>
      </c>
      <c r="C42" s="348"/>
      <c r="D42" s="349">
        <f ca="1">D$25*($B$9*GREET1_Import_Export!$K76+GREET1_Import_Export!$F$179*GREET1_Import_Export!$B190+GREET1_Import_Export!$F190)+D$26*(GREET1_Import_Export!$O76+GREET1_Import_Export!$G$179*GREET1_Import_Export!$B190+GREET1_Import_Export!$G190)+D$27*($B$10*GREET1_Import_Export!$B76+GREET1_Import_Export!$B226)+D$28*($B$11*GREET1_Import_Export!$AA76+GREET1_Import_Export!$B294)+D$29*(GREET1_Import_Export!$B319+GREET1_Import_Export!$C319)+D$30*Steel!B119</f>
        <v>419.57233464832825</v>
      </c>
      <c r="E42" s="349"/>
      <c r="F42" s="347">
        <f>F$25*($B$9*GREET1_Import_Export!$K76+GREET1_Import_Export!$F$179*GREET1_Import_Export!$B190+GREET1_Import_Export!$F190)+F$26*(GREET1_Import_Export!$O76+GREET1_Import_Export!$G$179*GREET1_Import_Export!$B190+GREET1_Import_Export!$G190)+F$27*($B$10*GREET1_Import_Export!$B76+GREET1_Import_Export!$B226)+F$28*($B$11*GREET1_Import_Export!$AA76+GREET1_Import_Export!$B294)+F$29*(GREET1_Import_Export!$B319+GREET1_Import_Export!$C319)</f>
        <v>135.51479303988296</v>
      </c>
      <c r="G42" s="348"/>
      <c r="H42" s="349">
        <f>H$25*($B$9*GREET1_Import_Export!$K76+GREET1_Import_Export!$F$179*GREET1_Import_Export!$B190+GREET1_Import_Export!$F190)+H$26*(GREET1_Import_Export!$O76+GREET1_Import_Export!$G$179*GREET1_Import_Export!$B190+GREET1_Import_Export!$G190)+H$27*($B$10*GREET1_Import_Export!$B76+GREET1_Import_Export!$B226)+H$28*($B$11*GREET1_Import_Export!$AA76+GREET1_Import_Export!$B294)+H$29*(GREET1_Import_Export!$B319+GREET1_Import_Export!$C319)</f>
        <v>4.0036560169627808</v>
      </c>
      <c r="I42" s="348"/>
    </row>
    <row r="43" spans="1:9" s="64" customFormat="1">
      <c r="A43" s="230" t="s">
        <v>826</v>
      </c>
      <c r="B43" s="347">
        <f>B$25*($B$9*GREET1_Import_Export!$K77+GREET1_Import_Export!$F$179*GREET1_Import_Export!$B191+GREET1_Import_Export!$F191)+B$26*(GREET1_Import_Export!$R77+GREET1_Import_Export!$H$179*GREET1_Import_Export!$B191+GREET1_Import_Export!$H191)+B$27*($B$10*GREET1_Import_Export!$B77+GREET1_Import_Export!$B227)+B$28*($B$11*GREET1_Import_Export!$AA77+GREET1_Import_Export!$B295)+B$29*(GREET1_Import_Export!$B320+GREET1_Import_Export!$C320)</f>
        <v>12.483385233646718</v>
      </c>
      <c r="C43" s="348"/>
      <c r="D43" s="349">
        <f ca="1">D$25*($B$9*GREET1_Import_Export!$K77+GREET1_Import_Export!$F$179*GREET1_Import_Export!$B191+GREET1_Import_Export!$F191)+D$26*(GREET1_Import_Export!$O77+GREET1_Import_Export!$G$179*GREET1_Import_Export!$B191+GREET1_Import_Export!$G191)+D$27*($B$10*GREET1_Import_Export!$B77+GREET1_Import_Export!$B227)+D$28*($B$11*GREET1_Import_Export!$AA77+GREET1_Import_Export!$B295)+D$29*(GREET1_Import_Export!$B320+GREET1_Import_Export!$C320)+D$30*Steel!B120</f>
        <v>3278.3359664965487</v>
      </c>
      <c r="E43" s="349"/>
      <c r="F43" s="347">
        <f>F$25*($B$9*GREET1_Import_Export!$K77+GREET1_Import_Export!$F$179*GREET1_Import_Export!$B191+GREET1_Import_Export!$F191)+F$26*(GREET1_Import_Export!$O77+GREET1_Import_Export!$G$179*GREET1_Import_Export!$B191+GREET1_Import_Export!$G191)+F$27*($B$10*GREET1_Import_Export!$B77+GREET1_Import_Export!$B227)+F$28*($B$11*GREET1_Import_Export!$AA77+GREET1_Import_Export!$B295)+F$29*(GREET1_Import_Export!$B320+GREET1_Import_Export!$C320)</f>
        <v>447.47625499328251</v>
      </c>
      <c r="G43" s="348"/>
      <c r="H43" s="349">
        <f>H$25*($B$9*GREET1_Import_Export!$K77+GREET1_Import_Export!$F$179*GREET1_Import_Export!$B191+GREET1_Import_Export!$F191)+H$26*(GREET1_Import_Export!$O77+GREET1_Import_Export!$G$179*GREET1_Import_Export!$B191+GREET1_Import_Export!$G191)+H$27*($B$10*GREET1_Import_Export!$B77+GREET1_Import_Export!$B227)+H$28*($B$11*GREET1_Import_Export!$AA77+GREET1_Import_Export!$B295)+H$29*(GREET1_Import_Export!$B320+GREET1_Import_Export!$C320)</f>
        <v>34.984490558473404</v>
      </c>
      <c r="I43" s="348"/>
    </row>
    <row r="44" spans="1:9" s="64" customFormat="1">
      <c r="A44" s="661" t="s">
        <v>827</v>
      </c>
      <c r="B44" s="347">
        <f>B$25*($B$9*GREET1_Import_Export!$K78+GREET1_Import_Export!$F$179*GREET1_Import_Export!$B192+GREET1_Import_Export!$F192)+B$26*(GREET1_Import_Export!$R78+GREET1_Import_Export!$H$179*GREET1_Import_Export!$B192+GREET1_Import_Export!$H192)+B$27*($B$10*GREET1_Import_Export!$B78+GREET1_Import_Export!$B228)+B$28*($B$11*GREET1_Import_Export!$AA78+GREET1_Import_Export!$B296)+B$29*(GREET1_Import_Export!$B321+GREET1_Import_Export!$C321)</f>
        <v>0.2943849455815285</v>
      </c>
      <c r="C44" s="348"/>
      <c r="D44" s="349">
        <f ca="1">D$25*($B$9*GREET1_Import_Export!$K78+GREET1_Import_Export!$F$179*GREET1_Import_Export!$B192+GREET1_Import_Export!$F192)+D$26*(GREET1_Import_Export!$O78+GREET1_Import_Export!$G$179*GREET1_Import_Export!$B192+GREET1_Import_Export!$G192)+D$27*($B$10*GREET1_Import_Export!$B78+GREET1_Import_Export!$B228)+D$28*($B$11*GREET1_Import_Export!$AA78+GREET1_Import_Export!$B296)+D$29*(GREET1_Import_Export!$B321+GREET1_Import_Export!$C321)+D$30*Steel!B121</f>
        <v>2.1015551239075037</v>
      </c>
      <c r="E44" s="349"/>
      <c r="F44" s="347">
        <f>F$25*($B$9*GREET1_Import_Export!$K78+GREET1_Import_Export!$F$179*GREET1_Import_Export!$B192+GREET1_Import_Export!$F192)+F$26*(GREET1_Import_Export!$O78+GREET1_Import_Export!$G$179*GREET1_Import_Export!$B192+GREET1_Import_Export!$G192)+F$27*($B$10*GREET1_Import_Export!$B78+GREET1_Import_Export!$B228)+F$28*($B$11*GREET1_Import_Export!$AA78+GREET1_Import_Export!$B296)+F$29*(GREET1_Import_Export!$B321+GREET1_Import_Export!$C321)</f>
        <v>22.646372324005078</v>
      </c>
      <c r="G44" s="348"/>
      <c r="H44" s="349">
        <f>H$25*($B$9*GREET1_Import_Export!$K78+GREET1_Import_Export!$F$179*GREET1_Import_Export!$B192+GREET1_Import_Export!$F192)+H$26*(GREET1_Import_Export!$O78+GREET1_Import_Export!$G$179*GREET1_Import_Export!$B192+GREET1_Import_Export!$G192)+H$27*($B$10*GREET1_Import_Export!$B78+GREET1_Import_Export!$B228)+H$28*($B$11*GREET1_Import_Export!$AA78+GREET1_Import_Export!$B296)+H$29*(GREET1_Import_Export!$B321+GREET1_Import_Export!$C321)</f>
        <v>0.24428145805531498</v>
      </c>
      <c r="I44" s="348"/>
    </row>
    <row r="45" spans="1:9" s="64" customFormat="1">
      <c r="A45" s="661" t="s">
        <v>828</v>
      </c>
      <c r="B45" s="347">
        <f>B$25*($B$9*GREET1_Import_Export!$K79+GREET1_Import_Export!$F$179*GREET1_Import_Export!$B193+GREET1_Import_Export!$F193)+B$26*(GREET1_Import_Export!$R79+GREET1_Import_Export!$H$179*GREET1_Import_Export!$B193+GREET1_Import_Export!$H193)+B$27*($B$10*GREET1_Import_Export!$B79+GREET1_Import_Export!$B229)+B$28*($B$11*GREET1_Import_Export!$AA79+GREET1_Import_Export!$B297)+B$29*(GREET1_Import_Export!$B322+GREET1_Import_Export!$C322)</f>
        <v>0.6485649524078807</v>
      </c>
      <c r="C45" s="348"/>
      <c r="D45" s="349">
        <f ca="1">D$25*($B$9*GREET1_Import_Export!$K79+GREET1_Import_Export!$F$179*GREET1_Import_Export!$B193+GREET1_Import_Export!$F193)+D$26*(GREET1_Import_Export!$O79+GREET1_Import_Export!$G$179*GREET1_Import_Export!$B193+GREET1_Import_Export!$G193)+D$27*($B$10*GREET1_Import_Export!$B79+GREET1_Import_Export!$B229)+D$28*($B$11*GREET1_Import_Export!$AA79+GREET1_Import_Export!$B297)+D$29*(GREET1_Import_Export!$B322+GREET1_Import_Export!$C322)+D$30*Steel!B122</f>
        <v>5.2702417345792529</v>
      </c>
      <c r="E45" s="349"/>
      <c r="F45" s="347">
        <f>F$25*($B$9*GREET1_Import_Export!$K79+GREET1_Import_Export!$F$179*GREET1_Import_Export!$B193+GREET1_Import_Export!$F193)+F$26*(GREET1_Import_Export!$O79+GREET1_Import_Export!$G$179*GREET1_Import_Export!$B193+GREET1_Import_Export!$G193)+F$27*($B$10*GREET1_Import_Export!$B79+GREET1_Import_Export!$B229)+F$28*($B$11*GREET1_Import_Export!$AA79+GREET1_Import_Export!$B297)+F$29*(GREET1_Import_Export!$B322+GREET1_Import_Export!$C322)</f>
        <v>56.180221816694228</v>
      </c>
      <c r="G45" s="348"/>
      <c r="H45" s="349">
        <f>H$25*($B$9*GREET1_Import_Export!$K79+GREET1_Import_Export!$F$179*GREET1_Import_Export!$B193+GREET1_Import_Export!$F193)+H$26*(GREET1_Import_Export!$O79+GREET1_Import_Export!$G$179*GREET1_Import_Export!$B193+GREET1_Import_Export!$G193)+H$27*($B$10*GREET1_Import_Export!$B79+GREET1_Import_Export!$B229)+H$28*($B$11*GREET1_Import_Export!$AA79+GREET1_Import_Export!$B297)+H$29*(GREET1_Import_Export!$B322+GREET1_Import_Export!$C322)</f>
        <v>1.1627205582355689</v>
      </c>
      <c r="I45" s="348"/>
    </row>
    <row r="46" spans="1:9" s="64" customFormat="1">
      <c r="A46" s="230" t="s">
        <v>829</v>
      </c>
      <c r="B46" s="347">
        <f>B$25*($B$9*GREET1_Import_Export!$K80+GREET1_Import_Export!$F$179*GREET1_Import_Export!$B194+GREET1_Import_Export!$F194)+B$26*(GREET1_Import_Export!$R80+GREET1_Import_Export!$H$179*GREET1_Import_Export!$B194+GREET1_Import_Export!$H194)+B$27*($B$10*GREET1_Import_Export!$B80+GREET1_Import_Export!$B230)+B$28*($B$11*GREET1_Import_Export!$AA80+GREET1_Import_Export!$B298)+B$29*(GREET1_Import_Export!$B323+GREET1_Import_Export!$C323)</f>
        <v>162.51703678737991</v>
      </c>
      <c r="C46" s="348"/>
      <c r="D46" s="349">
        <f ca="1">D$25*($B$9*GREET1_Import_Export!$K80+GREET1_Import_Export!$F$179*GREET1_Import_Export!$B194+GREET1_Import_Export!$F194)+D$26*(GREET1_Import_Export!$O80+GREET1_Import_Export!$G$179*GREET1_Import_Export!$B194+GREET1_Import_Export!$G194)+D$27*($B$10*GREET1_Import_Export!$B80+GREET1_Import_Export!$B230)+D$28*($B$11*GREET1_Import_Export!$AA80+GREET1_Import_Export!$B298)+D$29*(GREET1_Import_Export!$B323+GREET1_Import_Export!$C323)+D$30*Steel!B123</f>
        <v>2822.2710185970141</v>
      </c>
      <c r="E46" s="349"/>
      <c r="F46" s="347">
        <f>F$25*($B$9*GREET1_Import_Export!$K80+GREET1_Import_Export!$F$179*GREET1_Import_Export!$B194+GREET1_Import_Export!$F194)+F$26*(GREET1_Import_Export!$O80+GREET1_Import_Export!$G$179*GREET1_Import_Export!$B194+GREET1_Import_Export!$G194)+F$27*($B$10*GREET1_Import_Export!$B80+GREET1_Import_Export!$B230)+F$28*($B$11*GREET1_Import_Export!$AA80+GREET1_Import_Export!$B298)+F$29*(GREET1_Import_Export!$B323+GREET1_Import_Export!$C323)</f>
        <v>7408.8622217143256</v>
      </c>
      <c r="G46" s="348"/>
      <c r="H46" s="349">
        <f>H$25*($B$9*GREET1_Import_Export!$K80+GREET1_Import_Export!$F$179*GREET1_Import_Export!$B194+GREET1_Import_Export!$F194)+H$26*(GREET1_Import_Export!$O80+GREET1_Import_Export!$G$179*GREET1_Import_Export!$B194+GREET1_Import_Export!$G194)+H$27*($B$10*GREET1_Import_Export!$B80+GREET1_Import_Export!$B230)+H$28*($B$11*GREET1_Import_Export!$AA80+GREET1_Import_Export!$B298)+H$29*(GREET1_Import_Export!$B323+GREET1_Import_Export!$C323)</f>
        <v>144.66610000589398</v>
      </c>
      <c r="I46" s="348"/>
    </row>
    <row r="47" spans="1:9" s="64" customFormat="1">
      <c r="A47" s="230" t="s">
        <v>830</v>
      </c>
      <c r="B47" s="347">
        <f>B$25*($B$9*GREET1_Import_Export!$K81+GREET1_Import_Export!$F$179*GREET1_Import_Export!$B195+GREET1_Import_Export!$F195)+B$26*(GREET1_Import_Export!$R81+GREET1_Import_Export!$H$179*GREET1_Import_Export!$B195+GREET1_Import_Export!$H195)+B$27*($B$10*GREET1_Import_Export!$B81+GREET1_Import_Export!$B231)+B$28*($B$11*GREET1_Import_Export!$AA81+GREET1_Import_Export!$B299)+B$29*(GREET1_Import_Export!$B324+GREET1_Import_Export!$C324)</f>
        <v>0.63814761719235114</v>
      </c>
      <c r="C47" s="348"/>
      <c r="D47" s="349">
        <f ca="1">D$25*($B$9*GREET1_Import_Export!$K81+GREET1_Import_Export!$F$179*GREET1_Import_Export!$B195+GREET1_Import_Export!$F195)+D$26*(GREET1_Import_Export!$O81+GREET1_Import_Export!$G$179*GREET1_Import_Export!$B195+GREET1_Import_Export!$G195)+D$27*($B$10*GREET1_Import_Export!$B81+GREET1_Import_Export!$B231)+D$28*($B$11*GREET1_Import_Export!$AA81+GREET1_Import_Export!$B299)+D$29*(GREET1_Import_Export!$B324+GREET1_Import_Export!$C324)+D$30*Steel!B124</f>
        <v>3.0534664253140718</v>
      </c>
      <c r="E47" s="349"/>
      <c r="F47" s="347">
        <f>F$25*($B$9*GREET1_Import_Export!$K81+GREET1_Import_Export!$F$179*GREET1_Import_Export!$B195+GREET1_Import_Export!$F195)+F$26*(GREET1_Import_Export!$O81+GREET1_Import_Export!$G$179*GREET1_Import_Export!$B195+GREET1_Import_Export!$G195)+F$27*($B$10*GREET1_Import_Export!$B81+GREET1_Import_Export!$B231)+F$28*($B$11*GREET1_Import_Export!$AA81+GREET1_Import_Export!$B299)+F$29*(GREET1_Import_Export!$B324+GREET1_Import_Export!$C324)</f>
        <v>73.647722457927713</v>
      </c>
      <c r="G47" s="348"/>
      <c r="H47" s="349">
        <f>H$25*($B$9*GREET1_Import_Export!$K81+GREET1_Import_Export!$F$179*GREET1_Import_Export!$B195+GREET1_Import_Export!$F195)+H$26*(GREET1_Import_Export!$O81+GREET1_Import_Export!$G$179*GREET1_Import_Export!$B195+GREET1_Import_Export!$G195)+H$27*($B$10*GREET1_Import_Export!$B81+GREET1_Import_Export!$B231)+H$28*($B$11*GREET1_Import_Export!$AA81+GREET1_Import_Export!$B299)+H$29*(GREET1_Import_Export!$B324+GREET1_Import_Export!$C324)</f>
        <v>1.3125273865702118</v>
      </c>
      <c r="I47" s="348"/>
    </row>
    <row r="48" spans="1:9" s="64" customFormat="1">
      <c r="A48" s="589" t="s">
        <v>831</v>
      </c>
      <c r="B48" s="668">
        <f>B$25*($B$9*GREET1_Import_Export!$K82+GREET1_Import_Export!$F$179*GREET1_Import_Export!$B196+GREET1_Import_Export!$F196)+B$26*(GREET1_Import_Export!$R82+GREET1_Import_Export!$H$179*GREET1_Import_Export!$B196+GREET1_Import_Export!$H196)+B$27*($B$10*GREET1_Import_Export!$B82+GREET1_Import_Export!$B232)+B$28*($B$11*GREET1_Import_Export!$AA82+GREET1_Import_Export!$B300)+B$29*(GREET1_Import_Export!$B325+GREET1_Import_Export!$C325)</f>
        <v>124222.32962885512</v>
      </c>
      <c r="C48" s="296"/>
      <c r="D48" s="374">
        <f ca="1">D$25*($B$9*GREET1_Import_Export!$K82+GREET1_Import_Export!$F$179*GREET1_Import_Export!$B196+GREET1_Import_Export!$F196)+D$26*(GREET1_Import_Export!$O82+GREET1_Import_Export!$G$179*GREET1_Import_Export!$B196+GREET1_Import_Export!$G196)+D$27*($B$10*GREET1_Import_Export!$B82+GREET1_Import_Export!$B232)+D$28*($B$11*GREET1_Import_Export!$AA82+GREET1_Import_Export!$B300)+D$29*(GREET1_Import_Export!$B325+GREET1_Import_Export!$C325)+D$30*Steel!B125</f>
        <v>211312.1972963532</v>
      </c>
      <c r="E48" s="294"/>
      <c r="F48" s="668">
        <f>F$25*($B$9*GREET1_Import_Export!$K82+GREET1_Import_Export!$F$179*GREET1_Import_Export!$B196+GREET1_Import_Export!$F196)+F$26*(GREET1_Import_Export!$O82+GREET1_Import_Export!$G$179*GREET1_Import_Export!$B196+GREET1_Import_Export!$G196)+F$27*($B$10*GREET1_Import_Export!$B82+GREET1_Import_Export!$B232)+F$28*($B$11*GREET1_Import_Export!$AA82+GREET1_Import_Export!$B300)+F$29*(GREET1_Import_Export!$B325+GREET1_Import_Export!$C325)</f>
        <v>2276504.887523863</v>
      </c>
      <c r="G48" s="296"/>
      <c r="H48" s="374">
        <f>H$25*($B$9*GREET1_Import_Export!$K82+GREET1_Import_Export!$F$179*GREET1_Import_Export!$B196+GREET1_Import_Export!$F196)+H$26*(GREET1_Import_Export!$O82+GREET1_Import_Export!$G$179*GREET1_Import_Export!$B196+GREET1_Import_Export!$G196)+H$27*($B$10*GREET1_Import_Export!$B82+GREET1_Import_Export!$B232)+H$28*($B$11*GREET1_Import_Export!$AA82+GREET1_Import_Export!$B300)+H$29*(GREET1_Import_Export!$B325+GREET1_Import_Export!$C325)</f>
        <v>63921.436842905794</v>
      </c>
      <c r="I48" s="296"/>
    </row>
    <row r="49" spans="1:11" s="64" customFormat="1">
      <c r="A49" s="571" t="s">
        <v>865</v>
      </c>
      <c r="B49" s="251"/>
      <c r="C49" s="247"/>
      <c r="D49" s="246"/>
      <c r="E49" s="246"/>
      <c r="F49" s="251"/>
      <c r="G49" s="247"/>
      <c r="H49" s="246"/>
      <c r="I49" s="247"/>
    </row>
    <row r="50" spans="1:11" s="64" customFormat="1">
      <c r="A50" s="230" t="s">
        <v>821</v>
      </c>
      <c r="B50" s="347">
        <f>B$25*(B$17*($B$9*GREET1_Import_Export!$K72)+GREET1_Import_Export!$F$200*GREET1_Import_Export!$B201+GREET1_Import_Export!$F201)+B$26*(B$17*(GREET1_Import_Export!$R72)+GREET1_Import_Export!$H$200*GREET1_Import_Export!$B201+GREET1_Import_Export!$H201)+B$27*(B$17*($B$10*GREET1_Import_Export!$B72)+GREET1_Import_Export!$B237)+B$28*(B$17*($B$11*GREET1_Import_Export!$AA72)+GREET1_Import_Export!$C290)+B$29*(GREET1_Import_Export!$D315+GREET1_Import_Export!$E315)</f>
        <v>3.5225909459326776</v>
      </c>
      <c r="C50" s="391"/>
      <c r="D50" s="349">
        <f ca="1">D$25*(D$17*($B$9*GREET1_Import_Export!$K72)+GREET1_Import_Export!$F$200*GREET1_Import_Export!$B201+GREET1_Import_Export!$F201)+D$26*(D$17*(GREET1_Import_Export!$O72)+GREET1_Import_Export!$G$200*GREET1_Import_Export!$B201+GREET1_Import_Export!$G201)+D$27*(D$17*($B$10*GREET1_Import_Export!$B72)+GREET1_Import_Export!$B237)+D$28*(D$17*($B$11*GREET1_Import_Export!$AA72)+GREET1_Import_Export!$C290)+D$29*(GREET1_Import_Export!$D315+GREET1_Import_Export!$E315)+D$30*Steel!B129</f>
        <v>1.4844854154470177</v>
      </c>
      <c r="E50" s="389"/>
      <c r="F50" s="347">
        <f>F$25*(F$17*($B$9*GREET1_Import_Export!$K72)+GREET1_Import_Export!$F$200*GREET1_Import_Export!$B201+GREET1_Import_Export!$F201)+F$26*(F$17*(GREET1_Import_Export!$O72)+GREET1_Import_Export!$G$200*GREET1_Import_Export!$B201+GREET1_Import_Export!$G201)+F$27*(F$17*($B$10*GREET1_Import_Export!$B72)+GREET1_Import_Export!$B237)+F$28*(F$17*($B$11*GREET1_Import_Export!$AA72)+GREET1_Import_Export!$C290)+F$29*(GREET1_Import_Export!$D315+GREET1_Import_Export!$E315)</f>
        <v>20.531834667892625</v>
      </c>
      <c r="G50" s="391"/>
      <c r="H50" s="349">
        <f>H$25*(H$17*($B$9*GREET1_Import_Export!$K72)+GREET1_Import_Export!$F$200*GREET1_Import_Export!$B201+GREET1_Import_Export!$F201)+H$26*(H$17*(GREET1_Import_Export!$O72)+GREET1_Import_Export!$G$200*GREET1_Import_Export!$B201+GREET1_Import_Export!$G201)+H$27*(H$17*($B$10*GREET1_Import_Export!$B72)+GREET1_Import_Export!$B237)+H$28*(H$17*($B$11*GREET1_Import_Export!$AA72)+GREET1_Import_Export!$C290)+H$29*(GREET1_Import_Export!$D315+GREET1_Import_Export!$E315)</f>
        <v>0.46661822254725344</v>
      </c>
      <c r="I50" s="391"/>
    </row>
    <row r="51" spans="1:11" s="64" customFormat="1">
      <c r="A51" s="230" t="s">
        <v>822</v>
      </c>
      <c r="B51" s="347">
        <f>B$25*(B$17*($B$9*GREET1_Import_Export!$K73)+GREET1_Import_Export!$F$200*GREET1_Import_Export!$B202+GREET1_Import_Export!$F202)+B$26*(B$17*(GREET1_Import_Export!$R73)+GREET1_Import_Export!$H$200*GREET1_Import_Export!$B202+GREET1_Import_Export!$H202)+B$27*(B$17*($B$10*GREET1_Import_Export!$B73)+GREET1_Import_Export!$B238)+B$28*(B$17*($B$11*GREET1_Import_Export!$AA73)+GREET1_Import_Export!$C291)+B$29*(GREET1_Import_Export!$D316+GREET1_Import_Export!$E316)</f>
        <v>2.8417893159750669</v>
      </c>
      <c r="C51" s="391"/>
      <c r="D51" s="349">
        <f ca="1">D$25*(D$17*($B$9*GREET1_Import_Export!$K73)+GREET1_Import_Export!$F$200*GREET1_Import_Export!$B202+GREET1_Import_Export!$F202)+D$26*(D$17*(GREET1_Import_Export!$O73)+GREET1_Import_Export!$G$200*GREET1_Import_Export!$B202+GREET1_Import_Export!$G202)+D$27*(D$17*($B$10*GREET1_Import_Export!$B73)+GREET1_Import_Export!$B238)+D$28*(D$17*($B$11*GREET1_Import_Export!$AA73)+GREET1_Import_Export!$C291)+D$29*(GREET1_Import_Export!$D316+GREET1_Import_Export!$E316)+D$30*Steel!B130</f>
        <v>3.1318872528311568</v>
      </c>
      <c r="E51" s="389"/>
      <c r="F51" s="347">
        <f>F$25*(F$17*($B$9*GREET1_Import_Export!$K73)+GREET1_Import_Export!$F$200*GREET1_Import_Export!$B202+GREET1_Import_Export!$F202)+F$26*(F$17*(GREET1_Import_Export!$O73)+GREET1_Import_Export!$G$200*GREET1_Import_Export!$B202+GREET1_Import_Export!$G202)+F$27*(F$17*($B$10*GREET1_Import_Export!$B73)+GREET1_Import_Export!$B238)+F$28*(F$17*($B$11*GREET1_Import_Export!$AA73)+GREET1_Import_Export!$C291)+F$29*(GREET1_Import_Export!$D316+GREET1_Import_Export!$E316)</f>
        <v>101.28182766556139</v>
      </c>
      <c r="G51" s="391"/>
      <c r="H51" s="349">
        <f>H$25*(H$17*($B$9*GREET1_Import_Export!$K73)+GREET1_Import_Export!$F$200*GREET1_Import_Export!$B202+GREET1_Import_Export!$F202)+H$26*(H$17*(GREET1_Import_Export!$O73)+GREET1_Import_Export!$G$200*GREET1_Import_Export!$B202+GREET1_Import_Export!$G202)+H$27*(H$17*($B$10*GREET1_Import_Export!$B73)+GREET1_Import_Export!$B238)+H$28*(H$17*($B$11*GREET1_Import_Export!$AA73)+GREET1_Import_Export!$C291)+H$29*(GREET1_Import_Export!$D316+GREET1_Import_Export!$E316)</f>
        <v>3.4448430417145355</v>
      </c>
      <c r="I51" s="391"/>
    </row>
    <row r="52" spans="1:11" s="64" customFormat="1">
      <c r="A52" s="230" t="s">
        <v>823</v>
      </c>
      <c r="B52" s="347">
        <f>B$25*(B$17*($B$9*GREET1_Import_Export!$K74)+GREET1_Import_Export!$F$200*GREET1_Import_Export!$B203+GREET1_Import_Export!$F203)+B$26*(B$17*(GREET1_Import_Export!$R74)+GREET1_Import_Export!$H$200*GREET1_Import_Export!$B203+GREET1_Import_Export!$H203)+B$27*(B$17*($B$10*GREET1_Import_Export!$B74)+GREET1_Import_Export!$B239)+B$28*(B$17*($B$11*GREET1_Import_Export!$AA74)+GREET1_Import_Export!$C292)+B$29*(GREET1_Import_Export!$D317+GREET1_Import_Export!$E317)</f>
        <v>5.2693746732239353</v>
      </c>
      <c r="C52" s="391"/>
      <c r="D52" s="349">
        <f ca="1">D$25*(D$17*($B$9*GREET1_Import_Export!$K74)+GREET1_Import_Export!$F$200*GREET1_Import_Export!$B203+GREET1_Import_Export!$F203)+D$26*(D$17*(GREET1_Import_Export!$O74)+GREET1_Import_Export!$G$200*GREET1_Import_Export!$B203+GREET1_Import_Export!$G203)+D$27*(D$17*($B$10*GREET1_Import_Export!$B74)+GREET1_Import_Export!$B239)+D$28*(D$17*($B$11*GREET1_Import_Export!$AA74)+GREET1_Import_Export!$C292)+D$29*(GREET1_Import_Export!$D317+GREET1_Import_Export!$E317)+D$30*Steel!B131</f>
        <v>10.028250026956176</v>
      </c>
      <c r="E52" s="389"/>
      <c r="F52" s="347">
        <f>F$25*(F$17*($B$9*GREET1_Import_Export!$K74)+GREET1_Import_Export!$F$200*GREET1_Import_Export!$B203+GREET1_Import_Export!$F203)+F$26*(F$17*(GREET1_Import_Export!$O74)+GREET1_Import_Export!$G$200*GREET1_Import_Export!$B203+GREET1_Import_Export!$G203)+F$27*(F$17*($B$10*GREET1_Import_Export!$B74)+GREET1_Import_Export!$B239)+F$28*(F$17*($B$11*GREET1_Import_Export!$AA74)+GREET1_Import_Export!$C292)+F$29*(GREET1_Import_Export!$D317+GREET1_Import_Export!$E317)</f>
        <v>133.64667634671326</v>
      </c>
      <c r="G52" s="391"/>
      <c r="H52" s="349">
        <f>H$25*(H$17*($B$9*GREET1_Import_Export!$K74)+GREET1_Import_Export!$F$200*GREET1_Import_Export!$B203+GREET1_Import_Export!$F203)+H$26*(H$17*(GREET1_Import_Export!$O74)+GREET1_Import_Export!$G$200*GREET1_Import_Export!$B203+GREET1_Import_Export!$G203)+H$27*(H$17*($B$10*GREET1_Import_Export!$B74)+GREET1_Import_Export!$B239)+H$28*(H$17*($B$11*GREET1_Import_Export!$AA74)+GREET1_Import_Export!$C292)+H$29*(GREET1_Import_Export!$D317+GREET1_Import_Export!$E317)</f>
        <v>10.288953337676208</v>
      </c>
      <c r="I52" s="391"/>
    </row>
    <row r="53" spans="1:11" s="64" customFormat="1">
      <c r="A53" s="230" t="s">
        <v>824</v>
      </c>
      <c r="B53" s="347">
        <f>B$25*(B$17*($B$9*GREET1_Import_Export!$K75)+GREET1_Import_Export!$F$200*GREET1_Import_Export!$B204+GREET1_Import_Export!$F204)+B$26*(B$17*(GREET1_Import_Export!$R75)+GREET1_Import_Export!$H$200*GREET1_Import_Export!$B204+GREET1_Import_Export!$H204)+B$27*(B$17*($B$10*GREET1_Import_Export!$B75)+GREET1_Import_Export!$B240)+B$28*(B$17*($B$11*GREET1_Import_Export!$AA75)+GREET1_Import_Export!$C293)+B$29*(GREET1_Import_Export!$D318+GREET1_Import_Export!$E318)</f>
        <v>0.85806726992727533</v>
      </c>
      <c r="C53" s="391"/>
      <c r="D53" s="349">
        <f ca="1">D$25*(D$17*($B$9*GREET1_Import_Export!$K75)+GREET1_Import_Export!$F$200*GREET1_Import_Export!$B204+GREET1_Import_Export!$F204)+D$26*(D$17*(GREET1_Import_Export!$O75)+GREET1_Import_Export!$G$200*GREET1_Import_Export!$B204+GREET1_Import_Export!$G204)+D$27*(D$17*($B$10*GREET1_Import_Export!$B75)+GREET1_Import_Export!$B240)+D$28*(D$17*($B$11*GREET1_Import_Export!$AA75)+GREET1_Import_Export!$C293)+D$29*(GREET1_Import_Export!$D318+GREET1_Import_Export!$E318)+D$30*Steel!B132</f>
        <v>0.60673571647596514</v>
      </c>
      <c r="E53" s="389"/>
      <c r="F53" s="347">
        <f>F$25*(F$17*($B$9*GREET1_Import_Export!$K75)+GREET1_Import_Export!$F$200*GREET1_Import_Export!$B204+GREET1_Import_Export!$F204)+F$26*(F$17*(GREET1_Import_Export!$O75)+GREET1_Import_Export!$G$200*GREET1_Import_Export!$B204+GREET1_Import_Export!$G204)+F$27*(F$17*($B$10*GREET1_Import_Export!$B75)+GREET1_Import_Export!$B240)+F$28*(F$17*($B$11*GREET1_Import_Export!$AA75)+GREET1_Import_Export!$C293)+F$29*(GREET1_Import_Export!$D318+GREET1_Import_Export!$E318)</f>
        <v>3.4861169064115822</v>
      </c>
      <c r="G53" s="391"/>
      <c r="H53" s="349">
        <f>H$25*(H$17*($B$9*GREET1_Import_Export!$K75)+GREET1_Import_Export!$F$200*GREET1_Import_Export!$B204+GREET1_Import_Export!$F204)+H$26*(H$17*(GREET1_Import_Export!$O75)+GREET1_Import_Export!$G$200*GREET1_Import_Export!$B204+GREET1_Import_Export!$G204)+H$27*(H$17*($B$10*GREET1_Import_Export!$B75)+GREET1_Import_Export!$B240)+H$28*(H$17*($B$11*GREET1_Import_Export!$AA75)+GREET1_Import_Export!$C293)+H$29*(GREET1_Import_Export!$D318+GREET1_Import_Export!$E318)</f>
        <v>1.3736912953723162</v>
      </c>
      <c r="I53" s="391"/>
    </row>
    <row r="54" spans="1:11" s="64" customFormat="1">
      <c r="A54" s="230" t="s">
        <v>825</v>
      </c>
      <c r="B54" s="347">
        <f>B$25*(B$17*($B$9*GREET1_Import_Export!$K76)+GREET1_Import_Export!$F$200*GREET1_Import_Export!$B205+GREET1_Import_Export!$F205)+B$26*(B$17*(GREET1_Import_Export!$R76)+GREET1_Import_Export!$H$200*GREET1_Import_Export!$B205+GREET1_Import_Export!$H205)+B$27*(B$17*($B$10*GREET1_Import_Export!$B76)+GREET1_Import_Export!$B241)+B$28*(B$17*($B$11*GREET1_Import_Export!$AA76)+GREET1_Import_Export!$C294)+B$29*(GREET1_Import_Export!$D319+GREET1_Import_Export!$E319)</f>
        <v>0.74437882838834657</v>
      </c>
      <c r="C54" s="391"/>
      <c r="D54" s="349">
        <f ca="1">D$25*(D$17*($B$9*GREET1_Import_Export!$K76)+GREET1_Import_Export!$F$200*GREET1_Import_Export!$B205+GREET1_Import_Export!$F205)+D$26*(D$17*(GREET1_Import_Export!$O76)+GREET1_Import_Export!$G$200*GREET1_Import_Export!$B205+GREET1_Import_Export!$G205)+D$27*(D$17*($B$10*GREET1_Import_Export!$B76)+GREET1_Import_Export!$B241)+D$28*(D$17*($B$11*GREET1_Import_Export!$AA76)+GREET1_Import_Export!$C294)+D$29*(GREET1_Import_Export!$D319+GREET1_Import_Export!$E319)+D$30*Steel!B133</f>
        <v>0.53808165684381537</v>
      </c>
      <c r="E54" s="389"/>
      <c r="F54" s="347">
        <f>F$25*(F$17*($B$9*GREET1_Import_Export!$K76)+GREET1_Import_Export!$F$200*GREET1_Import_Export!$B205+GREET1_Import_Export!$F205)+F$26*(F$17*(GREET1_Import_Export!$O76)+GREET1_Import_Export!$G$200*GREET1_Import_Export!$B205+GREET1_Import_Export!$G205)+F$27*(F$17*($B$10*GREET1_Import_Export!$B76)+GREET1_Import_Export!$B241)+F$28*(F$17*($B$11*GREET1_Import_Export!$AA76)+GREET1_Import_Export!$C294)+F$29*(GREET1_Import_Export!$D319+GREET1_Import_Export!$E319)</f>
        <v>3.0865768301762411</v>
      </c>
      <c r="G54" s="391"/>
      <c r="H54" s="349">
        <f>H$25*(H$17*($B$9*GREET1_Import_Export!$K76)+GREET1_Import_Export!$F$200*GREET1_Import_Export!$B205+GREET1_Import_Export!$F205)+H$26*(H$17*(GREET1_Import_Export!$O76)+GREET1_Import_Export!$G$200*GREET1_Import_Export!$B205+GREET1_Import_Export!$G205)+H$27*(H$17*($B$10*GREET1_Import_Export!$B76)+GREET1_Import_Export!$B241)+H$28*(H$17*($B$11*GREET1_Import_Export!$AA76)+GREET1_Import_Export!$C294)+H$29*(GREET1_Import_Export!$D319+GREET1_Import_Export!$E319)</f>
        <v>1.2079280276484363</v>
      </c>
      <c r="I54" s="391"/>
    </row>
    <row r="55" spans="1:11" s="64" customFormat="1">
      <c r="A55" s="230" t="s">
        <v>826</v>
      </c>
      <c r="B55" s="347">
        <f>B$25*(B$17*($B$9*GREET1_Import_Export!$K77)+GREET1_Import_Export!$F$200*GREET1_Import_Export!$B206+GREET1_Import_Export!$F206)+B$26*(B$17*(GREET1_Import_Export!$R77)+GREET1_Import_Export!$H$200*GREET1_Import_Export!$B206+GREET1_Import_Export!$H206)+B$27*(B$17*($B$10*GREET1_Import_Export!$B77)+GREET1_Import_Export!$B242)+B$28*(B$17*($B$11*GREET1_Import_Export!$AA77)+GREET1_Import_Export!$C295)+B$29*(GREET1_Import_Export!$D320+GREET1_Import_Export!$E320)</f>
        <v>2.9851191141889593</v>
      </c>
      <c r="C55" s="391"/>
      <c r="D55" s="349">
        <f ca="1">D$25*(D$17*($B$9*GREET1_Import_Export!$K77)+GREET1_Import_Export!$F$200*GREET1_Import_Export!$B206+GREET1_Import_Export!$F206)+D$26*(D$17*(GREET1_Import_Export!$O77)+GREET1_Import_Export!$G$200*GREET1_Import_Export!$B206+GREET1_Import_Export!$G206)+D$27*(D$17*($B$10*GREET1_Import_Export!$B77)+GREET1_Import_Export!$B242)+D$28*(D$17*($B$11*GREET1_Import_Export!$AA77)+GREET1_Import_Export!$C295)+D$29*(GREET1_Import_Export!$D320+GREET1_Import_Export!$E320)+D$30*Steel!B134</f>
        <v>3.1366238938812812</v>
      </c>
      <c r="E55" s="389"/>
      <c r="F55" s="347">
        <f>F$25*(F$17*($B$9*GREET1_Import_Export!$K77)+GREET1_Import_Export!$F$200*GREET1_Import_Export!$B206+GREET1_Import_Export!$F206)+F$26*(F$17*(GREET1_Import_Export!$O77)+GREET1_Import_Export!$G$200*GREET1_Import_Export!$B206+GREET1_Import_Export!$G206)+F$27*(F$17*($B$10*GREET1_Import_Export!$B77)+GREET1_Import_Export!$B242)+F$28*(F$17*($B$11*GREET1_Import_Export!$AA77)+GREET1_Import_Export!$C295)+F$29*(GREET1_Import_Export!$D320+GREET1_Import_Export!$E320)</f>
        <v>27.19311156907952</v>
      </c>
      <c r="G55" s="391"/>
      <c r="H55" s="349">
        <f>H$25*(H$17*($B$9*GREET1_Import_Export!$K77)+GREET1_Import_Export!$F$200*GREET1_Import_Export!$B206+GREET1_Import_Export!$F206)+H$26*(H$17*(GREET1_Import_Export!$O77)+GREET1_Import_Export!$G$200*GREET1_Import_Export!$B206+GREET1_Import_Export!$G206)+H$27*(H$17*($B$10*GREET1_Import_Export!$B77)+GREET1_Import_Export!$B242)+H$28*(H$17*($B$11*GREET1_Import_Export!$AA77)+GREET1_Import_Export!$C295)+H$29*(GREET1_Import_Export!$D320+GREET1_Import_Export!$E320)</f>
        <v>10.223000660764436</v>
      </c>
      <c r="I55" s="391"/>
    </row>
    <row r="56" spans="1:11" s="64" customFormat="1">
      <c r="A56" s="230" t="s">
        <v>827</v>
      </c>
      <c r="B56" s="347">
        <f>B$25*(B$17*($B$9*GREET1_Import_Export!$K78)+GREET1_Import_Export!$F$200*GREET1_Import_Export!$B207+GREET1_Import_Export!$F207)+B$26*(B$17*(GREET1_Import_Export!$R78)+GREET1_Import_Export!$H$200*GREET1_Import_Export!$B207+GREET1_Import_Export!$H207)+B$27*(B$17*($B$10*GREET1_Import_Export!$B78)+GREET1_Import_Export!$B243)+B$28*(B$17*($B$11*GREET1_Import_Export!$AA78)+GREET1_Import_Export!$C296)+B$29*(GREET1_Import_Export!$D321+GREET1_Import_Export!$E321)</f>
        <v>7.8842088444628075E-2</v>
      </c>
      <c r="C56" s="391"/>
      <c r="D56" s="349">
        <f ca="1">D$25*(D$17*($B$9*GREET1_Import_Export!$K78)+GREET1_Import_Export!$F$200*GREET1_Import_Export!$B207+GREET1_Import_Export!$F207)+D$26*(D$17*(GREET1_Import_Export!$O78)+GREET1_Import_Export!$G$200*GREET1_Import_Export!$B207+GREET1_Import_Export!$G207)+D$27*(D$17*($B$10*GREET1_Import_Export!$B78)+GREET1_Import_Export!$B243)+D$28*(D$17*($B$11*GREET1_Import_Export!$AA78)+GREET1_Import_Export!$C296)+D$29*(GREET1_Import_Export!$D321+GREET1_Import_Export!$E321)+D$30*Steel!B135</f>
        <v>3.9831163544522895E-2</v>
      </c>
      <c r="E56" s="389"/>
      <c r="F56" s="347">
        <f>F$25*(F$17*($B$9*GREET1_Import_Export!$K78)+GREET1_Import_Export!$F$200*GREET1_Import_Export!$B207+GREET1_Import_Export!$F207)+F$26*(F$17*(GREET1_Import_Export!$O78)+GREET1_Import_Export!$G$200*GREET1_Import_Export!$B207+GREET1_Import_Export!$G207)+F$27*(F$17*($B$10*GREET1_Import_Export!$B78)+GREET1_Import_Export!$B243)+F$28*(F$17*($B$11*GREET1_Import_Export!$AA78)+GREET1_Import_Export!$C296)+F$29*(GREET1_Import_Export!$D321+GREET1_Import_Export!$E321)</f>
        <v>0.2099041692839716</v>
      </c>
      <c r="G56" s="391"/>
      <c r="H56" s="349">
        <f>H$25*(H$17*($B$9*GREET1_Import_Export!$K78)+GREET1_Import_Export!$F$200*GREET1_Import_Export!$B207+GREET1_Import_Export!$F207)+H$26*(H$17*(GREET1_Import_Export!$O78)+GREET1_Import_Export!$G$200*GREET1_Import_Export!$B207+GREET1_Import_Export!$G207)+H$27*(H$17*($B$10*GREET1_Import_Export!$B78)+GREET1_Import_Export!$B243)+H$28*(H$17*($B$11*GREET1_Import_Export!$AA78)+GREET1_Import_Export!$C296)+H$29*(GREET1_Import_Export!$D321+GREET1_Import_Export!$E321)</f>
        <v>6.2251682935120692E-2</v>
      </c>
      <c r="I56" s="391"/>
    </row>
    <row r="57" spans="1:11" s="64" customFormat="1">
      <c r="A57" s="589" t="s">
        <v>828</v>
      </c>
      <c r="B57" s="503">
        <f>B$25*(B$17*($B$9*GREET1_Import_Export!$K79)+GREET1_Import_Export!$F$200*GREET1_Import_Export!$B208+GREET1_Import_Export!$F208)+B$26*(B$17*(GREET1_Import_Export!$R79)+GREET1_Import_Export!$H$200*GREET1_Import_Export!$B208+GREET1_Import_Export!$H208)+B$27*(B$17*($B$10*GREET1_Import_Export!$B79)+GREET1_Import_Export!$B244)+B$28*(B$17*($B$11*GREET1_Import_Export!$AA79)+GREET1_Import_Export!$C297)+B$29*(GREET1_Import_Export!$D322+GREET1_Import_Export!$E322)</f>
        <v>0.15627373364096744</v>
      </c>
      <c r="C57" s="657"/>
      <c r="D57" s="505">
        <f ca="1">D$25*(D$17*($B$9*GREET1_Import_Export!$K79)+GREET1_Import_Export!$F$200*GREET1_Import_Export!$B208+GREET1_Import_Export!$F208)+D$26*(D$17*(GREET1_Import_Export!$O79)+GREET1_Import_Export!$G$200*GREET1_Import_Export!$B208+GREET1_Import_Export!$G208)+D$27*(D$17*($B$10*GREET1_Import_Export!$B79)+GREET1_Import_Export!$B244)+D$28*(D$17*($B$11*GREET1_Import_Export!$AA79)+GREET1_Import_Export!$C297)+D$29*(GREET1_Import_Export!$D322+GREET1_Import_Export!$E322)+D$30*Steel!B136</f>
        <v>0.19117425816499969</v>
      </c>
      <c r="E57" s="603"/>
      <c r="F57" s="503">
        <f>F$25*(F$17*($B$9*GREET1_Import_Export!$K79)+GREET1_Import_Export!$F$200*GREET1_Import_Export!$B208+GREET1_Import_Export!$F208)+F$26*(F$17*(GREET1_Import_Export!$O79)+GREET1_Import_Export!$G$200*GREET1_Import_Export!$B208+GREET1_Import_Export!$G208)+F$27*(F$17*($B$10*GREET1_Import_Export!$B79)+GREET1_Import_Export!$B244)+F$28*(F$17*($B$11*GREET1_Import_Export!$AA79)+GREET1_Import_Export!$C297)+F$29*(GREET1_Import_Export!$D322+GREET1_Import_Export!$E322)</f>
        <v>0.90806085540685588</v>
      </c>
      <c r="G57" s="657"/>
      <c r="H57" s="505">
        <f>H$25*(H$17*($B$9*GREET1_Import_Export!$K79)+GREET1_Import_Export!$F$200*GREET1_Import_Export!$B208+GREET1_Import_Export!$F208)+H$26*(H$17*(GREET1_Import_Export!$O79)+GREET1_Import_Export!$G$200*GREET1_Import_Export!$B208+GREET1_Import_Export!$G208)+H$27*(H$17*($B$10*GREET1_Import_Export!$B79)+GREET1_Import_Export!$B244)+H$28*(H$17*($B$11*GREET1_Import_Export!$AA79)+GREET1_Import_Export!$C297)+H$29*(GREET1_Import_Export!$D322+GREET1_Import_Export!$E322)</f>
        <v>0.34547308168153379</v>
      </c>
      <c r="I57" s="657"/>
    </row>
    <row r="58" spans="1:11" s="64" customFormat="1"/>
    <row r="59" spans="1:11" s="64" customFormat="1" ht="15">
      <c r="A59" s="381" t="s">
        <v>866</v>
      </c>
    </row>
    <row r="60" spans="1:11" s="64" customFormat="1" ht="39" customHeight="1">
      <c r="A60" s="393"/>
      <c r="B60" s="670" t="s">
        <v>462</v>
      </c>
      <c r="C60" s="671" t="s">
        <v>463</v>
      </c>
      <c r="D60" s="672" t="s">
        <v>464</v>
      </c>
      <c r="E60" s="670" t="s">
        <v>339</v>
      </c>
      <c r="F60" s="2998" t="s">
        <v>867</v>
      </c>
      <c r="G60" s="2999"/>
      <c r="H60" s="3012" t="s">
        <v>868</v>
      </c>
      <c r="I60" s="3012"/>
      <c r="J60" s="2980" t="s">
        <v>869</v>
      </c>
      <c r="K60" s="2981"/>
    </row>
    <row r="61" spans="1:11" s="64" customFormat="1">
      <c r="A61" s="238" t="s">
        <v>870</v>
      </c>
      <c r="B61" s="378"/>
      <c r="C61" s="379"/>
      <c r="D61" s="380"/>
      <c r="E61" s="378"/>
      <c r="F61" s="676" t="s">
        <v>845</v>
      </c>
      <c r="G61" s="466" t="s">
        <v>846</v>
      </c>
      <c r="H61" s="466" t="s">
        <v>845</v>
      </c>
      <c r="I61" s="465" t="s">
        <v>846</v>
      </c>
      <c r="J61" s="676" t="s">
        <v>845</v>
      </c>
      <c r="K61" s="466" t="s">
        <v>846</v>
      </c>
    </row>
    <row r="62" spans="1:11" s="64" customFormat="1">
      <c r="A62" s="230" t="s">
        <v>816</v>
      </c>
      <c r="B62" s="349">
        <f>B31</f>
        <v>1.6628163977604036</v>
      </c>
      <c r="C62" s="347">
        <f ca="1">D31</f>
        <v>22.306073948715966</v>
      </c>
      <c r="D62" s="348">
        <f>F31</f>
        <v>38.417849344365116</v>
      </c>
      <c r="E62" s="349">
        <f>H31</f>
        <v>1.095149842171246</v>
      </c>
      <c r="F62" s="494">
        <f ca="1">B62+C62+E62</f>
        <v>25.064040188647617</v>
      </c>
      <c r="G62" s="348">
        <f ca="1">F62/2000</f>
        <v>1.2532020094323809E-2</v>
      </c>
      <c r="H62" s="348">
        <f>B62+D62+E62</f>
        <v>41.175815584296764</v>
      </c>
      <c r="I62" s="349">
        <f>H62/2000</f>
        <v>2.0587907792148381E-2</v>
      </c>
      <c r="J62" s="494">
        <f ca="1">F62*$A$6+H62*$B$6</f>
        <v>27.48080649799499</v>
      </c>
      <c r="K62" s="348">
        <f ca="1">J62/2000</f>
        <v>1.3740403248997494E-2</v>
      </c>
    </row>
    <row r="63" spans="1:11" s="64" customFormat="1">
      <c r="A63" s="230" t="s">
        <v>817</v>
      </c>
      <c r="B63" s="349">
        <f>B32</f>
        <v>1.6161893613067977</v>
      </c>
      <c r="C63" s="347">
        <f ca="1">D32</f>
        <v>22.241563617908234</v>
      </c>
      <c r="D63" s="348">
        <f>F32</f>
        <v>37.894485889548534</v>
      </c>
      <c r="E63" s="349">
        <f>H32</f>
        <v>0.86737441381755587</v>
      </c>
      <c r="F63" s="494">
        <f t="shared" ref="F63:F88" ca="1" si="0">B63+C63+E63</f>
        <v>24.725127393032587</v>
      </c>
      <c r="G63" s="348">
        <f ca="1">F63/2000</f>
        <v>1.2362563696516293E-2</v>
      </c>
      <c r="H63" s="348">
        <f t="shared" ref="H63:H88" si="1">B63+D63+E63</f>
        <v>40.378049664672886</v>
      </c>
      <c r="I63" s="349">
        <f>H63/2000</f>
        <v>2.0189024832336443E-2</v>
      </c>
      <c r="J63" s="494">
        <f t="shared" ref="J63:J88" ca="1" si="2">F63*$A$6+H63*$B$6</f>
        <v>27.07306573377863</v>
      </c>
      <c r="K63" s="348">
        <f ca="1">J63/2000</f>
        <v>1.3536532866889316E-2</v>
      </c>
    </row>
    <row r="64" spans="1:11" s="64" customFormat="1">
      <c r="A64" s="230" t="s">
        <v>805</v>
      </c>
      <c r="B64" s="349">
        <f>B33</f>
        <v>6.1266210563277357E-2</v>
      </c>
      <c r="C64" s="347">
        <f ca="1">D33</f>
        <v>21.384018564583968</v>
      </c>
      <c r="D64" s="348">
        <f>F33</f>
        <v>0.6918094519503678</v>
      </c>
      <c r="E64" s="349">
        <f>H33</f>
        <v>0.30110169748314225</v>
      </c>
      <c r="F64" s="494">
        <f t="shared" ca="1" si="0"/>
        <v>21.746386472630387</v>
      </c>
      <c r="G64" s="348">
        <f ca="1">F64/2000</f>
        <v>1.0873193236315195E-2</v>
      </c>
      <c r="H64" s="348">
        <f t="shared" si="1"/>
        <v>1.0541773599967874</v>
      </c>
      <c r="I64" s="349">
        <f>H64/2000</f>
        <v>5.2708867999839374E-4</v>
      </c>
      <c r="J64" s="494">
        <f t="shared" ca="1" si="2"/>
        <v>18.642555105735344</v>
      </c>
      <c r="K64" s="348">
        <f ca="1">J64/2000</f>
        <v>9.3212775528676711E-3</v>
      </c>
    </row>
    <row r="65" spans="1:11" s="64" customFormat="1">
      <c r="A65" s="230" t="s">
        <v>804</v>
      </c>
      <c r="B65" s="349">
        <f>B63-B64-B66</f>
        <v>0.25016011716210729</v>
      </c>
      <c r="C65" s="347">
        <f ca="1">C63-C64-C66</f>
        <v>0.57244433032568409</v>
      </c>
      <c r="D65" s="348">
        <f>D63-D64-D66</f>
        <v>37.051102579810149</v>
      </c>
      <c r="E65" s="349">
        <f>E63-E64-E66</f>
        <v>0.55685285502783466</v>
      </c>
      <c r="F65" s="494">
        <f t="shared" ca="1" si="0"/>
        <v>1.379457302515626</v>
      </c>
      <c r="G65" s="348">
        <f ca="1">G63-G64-G66</f>
        <v>6.8972865125781105E-4</v>
      </c>
      <c r="H65" s="348">
        <f t="shared" si="1"/>
        <v>37.858115552000093</v>
      </c>
      <c r="I65" s="349">
        <f>I63-I64-I66</f>
        <v>1.8929057776000045E-2</v>
      </c>
      <c r="J65" s="494">
        <f t="shared" ca="1" si="2"/>
        <v>6.8512560399382973</v>
      </c>
      <c r="K65" s="348">
        <f ca="1">K63-K64-K66</f>
        <v>3.4256280199691505E-3</v>
      </c>
    </row>
    <row r="66" spans="1:11" s="64" customFormat="1">
      <c r="A66" s="589" t="s">
        <v>818</v>
      </c>
      <c r="B66" s="505">
        <f>B35</f>
        <v>1.3047630335814131</v>
      </c>
      <c r="C66" s="503">
        <f ca="1">D35</f>
        <v>0.28510072299858175</v>
      </c>
      <c r="D66" s="502">
        <f>F35</f>
        <v>0.15157385778801585</v>
      </c>
      <c r="E66" s="505">
        <f>H35</f>
        <v>9.4198613065789756E-3</v>
      </c>
      <c r="F66" s="504">
        <f t="shared" ca="1" si="0"/>
        <v>1.5992836178865739</v>
      </c>
      <c r="G66" s="502">
        <f ca="1">F66/2000</f>
        <v>7.9964180894328695E-4</v>
      </c>
      <c r="H66" s="502">
        <f t="shared" si="1"/>
        <v>1.465756752676008</v>
      </c>
      <c r="I66" s="505">
        <f>H66/2000</f>
        <v>7.3287837633800401E-4</v>
      </c>
      <c r="J66" s="504">
        <f t="shared" ca="1" si="2"/>
        <v>1.5792545881049891</v>
      </c>
      <c r="K66" s="502">
        <f ca="1">J66/2000</f>
        <v>7.8962729405249459E-4</v>
      </c>
    </row>
    <row r="67" spans="1:11" s="64" customFormat="1">
      <c r="A67" s="477" t="s">
        <v>819</v>
      </c>
      <c r="B67" s="419">
        <f>B36</f>
        <v>37.345447101155997</v>
      </c>
      <c r="C67" s="517">
        <f ca="1">D36</f>
        <v>82.474072397514988</v>
      </c>
      <c r="D67" s="516">
        <f>F36</f>
        <v>229.10749851189985</v>
      </c>
      <c r="E67" s="419">
        <f>H36</f>
        <v>58.690100867173619</v>
      </c>
      <c r="F67" s="630">
        <f ca="1">B67+C67+E67</f>
        <v>178.5096203658446</v>
      </c>
      <c r="G67" s="348">
        <f ca="1">F67/2000</f>
        <v>8.9254810182922292E-2</v>
      </c>
      <c r="H67" s="516">
        <f>B67+D67+E67</f>
        <v>325.14304648022943</v>
      </c>
      <c r="I67" s="349">
        <f>H67/2000</f>
        <v>0.1625715232401147</v>
      </c>
      <c r="J67" s="630">
        <f ca="1">F67*$A$6+H67*$B$6</f>
        <v>200.50463428300233</v>
      </c>
      <c r="K67" s="348">
        <f ca="1">J67/2000</f>
        <v>0.10025231714150117</v>
      </c>
    </row>
    <row r="68" spans="1:11" s="64" customFormat="1">
      <c r="A68" s="238" t="s">
        <v>864</v>
      </c>
      <c r="B68" s="512"/>
      <c r="C68" s="510"/>
      <c r="D68" s="509"/>
      <c r="E68" s="512"/>
      <c r="F68" s="677" t="s">
        <v>845</v>
      </c>
      <c r="G68" s="673" t="s">
        <v>846</v>
      </c>
      <c r="H68" s="675" t="s">
        <v>845</v>
      </c>
      <c r="I68" s="615" t="s">
        <v>846</v>
      </c>
      <c r="J68" s="679" t="s">
        <v>845</v>
      </c>
      <c r="K68" s="673" t="s">
        <v>846</v>
      </c>
    </row>
    <row r="69" spans="1:11" s="64" customFormat="1">
      <c r="A69" s="230" t="s">
        <v>821</v>
      </c>
      <c r="B69" s="349">
        <f t="shared" ref="B69:B79" si="3">SUM(B38:C38)</f>
        <v>17.706248225602888</v>
      </c>
      <c r="C69" s="347">
        <f t="shared" ref="C69:C79" ca="1" si="4">SUM(D38:E38)</f>
        <v>1876.8130180430906</v>
      </c>
      <c r="D69" s="348">
        <f t="shared" ref="D69:D79" si="5">SUM(F38:G38)</f>
        <v>434.77935444137773</v>
      </c>
      <c r="E69" s="349">
        <f t="shared" ref="E69:E79" si="6">SUM(H38:I38)</f>
        <v>7.4827090274299994</v>
      </c>
      <c r="F69" s="494">
        <f t="shared" ca="1" si="0"/>
        <v>1902.0019752961234</v>
      </c>
      <c r="G69" s="348">
        <f t="shared" ref="G69:G80" ca="1" si="7">F69/2000</f>
        <v>0.95100098764806174</v>
      </c>
      <c r="H69" s="348">
        <f t="shared" si="1"/>
        <v>459.96831169441066</v>
      </c>
      <c r="I69" s="349">
        <f t="shared" ref="I69:I80" si="8">H69/2000</f>
        <v>0.22998415584720533</v>
      </c>
      <c r="J69" s="494">
        <f t="shared" ca="1" si="2"/>
        <v>1685.6969257558665</v>
      </c>
      <c r="K69" s="348">
        <f t="shared" ref="K69:K80" ca="1" si="9">J69/2000</f>
        <v>0.84284846287793325</v>
      </c>
    </row>
    <row r="70" spans="1:11" s="64" customFormat="1">
      <c r="A70" s="230" t="s">
        <v>822</v>
      </c>
      <c r="B70" s="349">
        <f t="shared" si="3"/>
        <v>219.40016186421346</v>
      </c>
      <c r="C70" s="347">
        <f t="shared" ca="1" si="4"/>
        <v>486.51211090789394</v>
      </c>
      <c r="D70" s="348">
        <f t="shared" si="5"/>
        <v>1787.9326834440285</v>
      </c>
      <c r="E70" s="349">
        <f t="shared" si="6"/>
        <v>20.225682519847698</v>
      </c>
      <c r="F70" s="494">
        <f t="shared" ca="1" si="0"/>
        <v>726.13795529195511</v>
      </c>
      <c r="G70" s="348">
        <f t="shared" ca="1" si="7"/>
        <v>0.36306897764597756</v>
      </c>
      <c r="H70" s="348">
        <f t="shared" si="1"/>
        <v>2027.5585278280896</v>
      </c>
      <c r="I70" s="349">
        <f t="shared" si="8"/>
        <v>1.0137792639140448</v>
      </c>
      <c r="J70" s="494">
        <f t="shared" ca="1" si="2"/>
        <v>921.35104117237529</v>
      </c>
      <c r="K70" s="348">
        <f t="shared" ca="1" si="9"/>
        <v>0.46067552058618766</v>
      </c>
    </row>
    <row r="71" spans="1:11" s="64" customFormat="1">
      <c r="A71" s="230" t="s">
        <v>849</v>
      </c>
      <c r="B71" s="349">
        <f t="shared" si="3"/>
        <v>155.71882709763705</v>
      </c>
      <c r="C71" s="347">
        <f t="shared" ca="1" si="4"/>
        <v>766.0389958848732</v>
      </c>
      <c r="D71" s="348">
        <f t="shared" si="5"/>
        <v>2461.6294718960189</v>
      </c>
      <c r="E71" s="349">
        <f t="shared" si="6"/>
        <v>41.666162997286321</v>
      </c>
      <c r="F71" s="494">
        <f t="shared" ca="1" si="0"/>
        <v>963.4239859797965</v>
      </c>
      <c r="G71" s="348">
        <f t="shared" ca="1" si="7"/>
        <v>0.48171199298989825</v>
      </c>
      <c r="H71" s="348">
        <f t="shared" si="1"/>
        <v>2659.0144619909424</v>
      </c>
      <c r="I71" s="349">
        <f t="shared" si="8"/>
        <v>1.3295072309954712</v>
      </c>
      <c r="J71" s="494">
        <f t="shared" ca="1" si="2"/>
        <v>1217.7625573814685</v>
      </c>
      <c r="K71" s="348">
        <f t="shared" ca="1" si="9"/>
        <v>0.60888127869073427</v>
      </c>
    </row>
    <row r="72" spans="1:11" s="64" customFormat="1">
      <c r="A72" s="230" t="s">
        <v>824</v>
      </c>
      <c r="B72" s="349">
        <f t="shared" si="3"/>
        <v>9.5437473279503173</v>
      </c>
      <c r="C72" s="347">
        <f t="shared" ca="1" si="4"/>
        <v>942.98074796754645</v>
      </c>
      <c r="D72" s="348">
        <f t="shared" si="5"/>
        <v>142.70445659054155</v>
      </c>
      <c r="E72" s="349">
        <f t="shared" si="6"/>
        <v>6.6697639307422918</v>
      </c>
      <c r="F72" s="494">
        <f t="shared" ca="1" si="0"/>
        <v>959.19425922623907</v>
      </c>
      <c r="G72" s="348">
        <f t="shared" ca="1" si="7"/>
        <v>0.47959712961311951</v>
      </c>
      <c r="H72" s="348">
        <f t="shared" si="1"/>
        <v>158.91796784923417</v>
      </c>
      <c r="I72" s="349">
        <f t="shared" si="8"/>
        <v>7.9458983924617088E-2</v>
      </c>
      <c r="J72" s="494">
        <f t="shared" ca="1" si="2"/>
        <v>839.15281551968837</v>
      </c>
      <c r="K72" s="348">
        <f t="shared" ca="1" si="9"/>
        <v>0.41957640775984417</v>
      </c>
    </row>
    <row r="73" spans="1:11" s="64" customFormat="1">
      <c r="A73" s="230" t="s">
        <v>825</v>
      </c>
      <c r="B73" s="349">
        <f t="shared" si="3"/>
        <v>3.2249672233788207</v>
      </c>
      <c r="C73" s="347">
        <f t="shared" ca="1" si="4"/>
        <v>419.57233464832825</v>
      </c>
      <c r="D73" s="348">
        <f t="shared" si="5"/>
        <v>135.51479303988296</v>
      </c>
      <c r="E73" s="349">
        <f t="shared" si="6"/>
        <v>4.0036560169627808</v>
      </c>
      <c r="F73" s="494">
        <f t="shared" ca="1" si="0"/>
        <v>426.80095788866987</v>
      </c>
      <c r="G73" s="348">
        <f t="shared" ca="1" si="7"/>
        <v>0.21340047894433495</v>
      </c>
      <c r="H73" s="348">
        <f t="shared" si="1"/>
        <v>142.74341628022458</v>
      </c>
      <c r="I73" s="349">
        <f t="shared" si="8"/>
        <v>7.1371708140112289E-2</v>
      </c>
      <c r="J73" s="494">
        <f t="shared" ca="1" si="2"/>
        <v>384.19232664740309</v>
      </c>
      <c r="K73" s="348">
        <f t="shared" ca="1" si="9"/>
        <v>0.19209616332370155</v>
      </c>
    </row>
    <row r="74" spans="1:11">
      <c r="A74" s="95" t="s">
        <v>826</v>
      </c>
      <c r="B74" s="496">
        <f t="shared" si="3"/>
        <v>12.483385233646718</v>
      </c>
      <c r="C74" s="498">
        <f t="shared" ca="1" si="4"/>
        <v>3278.3359664965487</v>
      </c>
      <c r="D74" s="497">
        <f t="shared" si="5"/>
        <v>447.47625499328251</v>
      </c>
      <c r="E74" s="496">
        <f t="shared" si="6"/>
        <v>34.984490558473404</v>
      </c>
      <c r="F74" s="491">
        <f t="shared" ca="1" si="0"/>
        <v>3325.8038422886689</v>
      </c>
      <c r="G74" s="497">
        <f t="shared" ca="1" si="7"/>
        <v>1.6629019211443343</v>
      </c>
      <c r="H74" s="497">
        <f t="shared" si="1"/>
        <v>494.94413078540265</v>
      </c>
      <c r="I74" s="496">
        <f t="shared" si="8"/>
        <v>0.24747206539270133</v>
      </c>
      <c r="J74" s="491">
        <f t="shared" ca="1" si="2"/>
        <v>2901.174885563179</v>
      </c>
      <c r="K74" s="497">
        <f t="shared" ca="1" si="9"/>
        <v>1.4505874427815895</v>
      </c>
    </row>
    <row r="75" spans="1:11">
      <c r="A75" s="661" t="s">
        <v>827</v>
      </c>
      <c r="B75" s="496">
        <f t="shared" si="3"/>
        <v>0.2943849455815285</v>
      </c>
      <c r="C75" s="498">
        <f t="shared" ca="1" si="4"/>
        <v>2.1015551239075037</v>
      </c>
      <c r="D75" s="497">
        <f t="shared" si="5"/>
        <v>22.646372324005078</v>
      </c>
      <c r="E75" s="496">
        <f t="shared" si="6"/>
        <v>0.24428145805531498</v>
      </c>
      <c r="F75" s="491">
        <f ca="1">B75+C75+E75</f>
        <v>2.6402215275443472</v>
      </c>
      <c r="G75" s="497">
        <f t="shared" ca="1" si="7"/>
        <v>1.3201107637721735E-3</v>
      </c>
      <c r="H75" s="497">
        <f>B75+D75+E75</f>
        <v>23.185038727641921</v>
      </c>
      <c r="I75" s="496">
        <f t="shared" si="8"/>
        <v>1.159251936382096E-2</v>
      </c>
      <c r="J75" s="491">
        <f ca="1">F75*$A$6+H75*$B$6</f>
        <v>5.7219441075589845</v>
      </c>
      <c r="K75" s="497">
        <f t="shared" ca="1" si="9"/>
        <v>2.8609720537794924E-3</v>
      </c>
    </row>
    <row r="76" spans="1:11">
      <c r="A76" s="661" t="s">
        <v>828</v>
      </c>
      <c r="B76" s="496">
        <f t="shared" si="3"/>
        <v>0.6485649524078807</v>
      </c>
      <c r="C76" s="498">
        <f t="shared" ca="1" si="4"/>
        <v>5.2702417345792529</v>
      </c>
      <c r="D76" s="497">
        <f t="shared" si="5"/>
        <v>56.180221816694228</v>
      </c>
      <c r="E76" s="496">
        <f t="shared" si="6"/>
        <v>1.1627205582355689</v>
      </c>
      <c r="F76" s="491">
        <f ca="1">B76+C76+E76</f>
        <v>7.0815272452227029</v>
      </c>
      <c r="G76" s="497">
        <f t="shared" ca="1" si="7"/>
        <v>3.5407636226113515E-3</v>
      </c>
      <c r="H76" s="497">
        <f>B76+D76+E76</f>
        <v>57.991507327337679</v>
      </c>
      <c r="I76" s="496">
        <f t="shared" si="8"/>
        <v>2.8995753663668841E-2</v>
      </c>
      <c r="J76" s="491">
        <f ca="1">F76*$A$6+H76*$B$6</f>
        <v>14.718024257539952</v>
      </c>
      <c r="K76" s="497">
        <f t="shared" ca="1" si="9"/>
        <v>7.3590121287699763E-3</v>
      </c>
    </row>
    <row r="77" spans="1:11">
      <c r="A77" s="95" t="s">
        <v>829</v>
      </c>
      <c r="B77" s="496">
        <f t="shared" si="3"/>
        <v>162.51703678737991</v>
      </c>
      <c r="C77" s="498">
        <f t="shared" ca="1" si="4"/>
        <v>2822.2710185970141</v>
      </c>
      <c r="D77" s="497">
        <f t="shared" si="5"/>
        <v>7408.8622217143256</v>
      </c>
      <c r="E77" s="496">
        <f t="shared" si="6"/>
        <v>144.66610000589398</v>
      </c>
      <c r="F77" s="491">
        <f t="shared" ca="1" si="0"/>
        <v>3129.4541553902877</v>
      </c>
      <c r="G77" s="497">
        <f t="shared" ca="1" si="7"/>
        <v>1.5647270776951439</v>
      </c>
      <c r="H77" s="497">
        <f t="shared" si="1"/>
        <v>7716.0453585075993</v>
      </c>
      <c r="I77" s="496">
        <f t="shared" si="8"/>
        <v>3.8580226792537995</v>
      </c>
      <c r="J77" s="491">
        <f t="shared" ca="1" si="2"/>
        <v>3817.4428358578843</v>
      </c>
      <c r="K77" s="497">
        <f t="shared" ca="1" si="9"/>
        <v>1.9087214179289422</v>
      </c>
    </row>
    <row r="78" spans="1:11">
      <c r="A78" s="95" t="s">
        <v>830</v>
      </c>
      <c r="B78" s="496">
        <f t="shared" si="3"/>
        <v>0.63814761719235114</v>
      </c>
      <c r="C78" s="498">
        <f t="shared" ca="1" si="4"/>
        <v>3.0534664253140718</v>
      </c>
      <c r="D78" s="497">
        <f t="shared" si="5"/>
        <v>73.647722457927713</v>
      </c>
      <c r="E78" s="496">
        <f t="shared" si="6"/>
        <v>1.3125273865702118</v>
      </c>
      <c r="F78" s="491">
        <f t="shared" ca="1" si="0"/>
        <v>5.0041414290766344</v>
      </c>
      <c r="G78" s="497">
        <f t="shared" ca="1" si="7"/>
        <v>2.5020707145383173E-3</v>
      </c>
      <c r="H78" s="497">
        <f t="shared" si="1"/>
        <v>75.598397461690269</v>
      </c>
      <c r="I78" s="496">
        <f t="shared" si="8"/>
        <v>3.7799198730845134E-2</v>
      </c>
      <c r="J78" s="491">
        <f t="shared" ca="1" si="2"/>
        <v>15.59327983396868</v>
      </c>
      <c r="K78" s="497">
        <f t="shared" ca="1" si="9"/>
        <v>7.7966399169843402E-3</v>
      </c>
    </row>
    <row r="79" spans="1:11">
      <c r="A79" s="230" t="s">
        <v>831</v>
      </c>
      <c r="B79" s="246">
        <f t="shared" si="3"/>
        <v>124222.32962885512</v>
      </c>
      <c r="C79" s="251">
        <f t="shared" ca="1" si="4"/>
        <v>211312.1972963532</v>
      </c>
      <c r="D79" s="247">
        <f t="shared" si="5"/>
        <v>2276504.887523863</v>
      </c>
      <c r="E79" s="246">
        <f t="shared" si="6"/>
        <v>63921.436842905794</v>
      </c>
      <c r="F79" s="253">
        <f t="shared" ca="1" si="0"/>
        <v>399455.9637681141</v>
      </c>
      <c r="G79" s="247">
        <f t="shared" ca="1" si="7"/>
        <v>199.72798188405704</v>
      </c>
      <c r="H79" s="247">
        <f t="shared" si="1"/>
        <v>2464648.6539956238</v>
      </c>
      <c r="I79" s="246">
        <f t="shared" si="8"/>
        <v>1232.3243269978118</v>
      </c>
      <c r="J79" s="253">
        <f t="shared" ca="1" si="2"/>
        <v>709234.86730224057</v>
      </c>
      <c r="K79" s="247">
        <f t="shared" ca="1" si="9"/>
        <v>354.61743365112028</v>
      </c>
    </row>
    <row r="80" spans="1:11">
      <c r="A80" s="230" t="s">
        <v>850</v>
      </c>
      <c r="B80" s="246">
        <f>B79+B69*GREET1_Import_Export!$B$62/GREET1_Import_Export!$B$65+B70*GREET1_Import_Export!$B$63/GREET1_Import_Export!$B$65</f>
        <v>124622.28578542106</v>
      </c>
      <c r="C80" s="251">
        <f ca="1">C79+C69*GREET1_Import_Export!$B$62/GREET1_Import_Export!$B$65+C70*GREET1_Import_Export!$B$63/GREET1_Import_Export!$B$65</f>
        <v>217926.11690068088</v>
      </c>
      <c r="D80" s="247">
        <f>D79+D69*GREET1_Import_Export!$B$62/GREET1_Import_Export!$B$65+D70*GREET1_Import_Export!$B$63/GREET1_Import_Export!$B$65</f>
        <v>2280669.5583477598</v>
      </c>
      <c r="E80" s="246">
        <f>E79+E69*GREET1_Import_Export!$B$62/GREET1_Import_Export!$B$65+E70*GREET1_Import_Export!$B$63/GREET1_Import_Export!$B$65</f>
        <v>63976.541168096286</v>
      </c>
      <c r="F80" s="253">
        <f t="shared" ca="1" si="0"/>
        <v>406524.94385419827</v>
      </c>
      <c r="G80" s="247">
        <f t="shared" ca="1" si="7"/>
        <v>203.26247192709914</v>
      </c>
      <c r="H80" s="247">
        <f t="shared" si="1"/>
        <v>2469268.3853012775</v>
      </c>
      <c r="I80" s="246">
        <f t="shared" si="8"/>
        <v>1234.6341926506389</v>
      </c>
      <c r="J80" s="253">
        <f t="shared" ca="1" si="2"/>
        <v>715936.46007126011</v>
      </c>
      <c r="K80" s="247">
        <f t="shared" ca="1" si="9"/>
        <v>357.96823003563003</v>
      </c>
    </row>
    <row r="81" spans="1:11">
      <c r="A81" s="589" t="s">
        <v>851</v>
      </c>
      <c r="B81" s="294">
        <f>B80+SUMPRODUCT(B77:B78,GREET1_Import_Export!$B$51:$B$52)+SUMPRODUCT(B69:B71,GREET1_Import_Export!$B$55:$B$57)+SUMPRODUCT(B75:B76,GREET1_Import_Export!$B$58:$B$59)</f>
        <v>129666.90600759843</v>
      </c>
      <c r="C81" s="295">
        <f ca="1">C80+SUMPRODUCT(C77:C78,GREET1_Import_Export!$B$51:$B$52)+SUMPRODUCT(C69:C71,GREET1_Import_Export!$B$55:$B$57)+SUMPRODUCT(C75:C76,GREET1_Import_Export!$B$58:$B$59)</f>
        <v>303403.4160612995</v>
      </c>
      <c r="D81" s="296">
        <f>D80+SUMPRODUCT(D77:D78,GREET1_Import_Export!$B$51:$B$52)+SUMPRODUCT(D69:D71,GREET1_Import_Export!$B$55:$B$57)+SUMPRODUCT(D75:D76,GREET1_Import_Export!$B$58:$B$59)</f>
        <v>2522452.0714505403</v>
      </c>
      <c r="E81" s="294">
        <f>E80+SUMPRODUCT(E77:E78,GREET1_Import_Export!$B$51:$B$52)+SUMPRODUCT(E69:E71,GREET1_Import_Export!$B$55:$B$57)+SUMPRODUCT(E75:E76,GREET1_Import_Export!$B$58:$B$59)</f>
        <v>68664.343925714216</v>
      </c>
      <c r="F81" s="400">
        <f ca="1">F80+SUMPRODUCT(F77:F78,GREET1_Import_Export!$B$51:$B$52)+SUMPRODUCT(F69:F71,GREET1_Import_Export!$B$55:$B$57)+SUMPRODUCT(F75:F76,GREET1_Import_Export!$B$58:$B$59)</f>
        <v>501734.66599461221</v>
      </c>
      <c r="G81" s="296">
        <f ca="1">G80+SUMPRODUCT(G77:G78,GREET1_Import_Export!$B$51:$B$52)+SUMPRODUCT(G69:G71,GREET1_Import_Export!$B$55:$B$57)+SUMPRODUCT(G75:G76,GREET1_Import_Export!$B$58:$B$59)</f>
        <v>250.86733299730611</v>
      </c>
      <c r="H81" s="296">
        <f>H80+SUMPRODUCT(H77:H78,GREET1_Import_Export!$B$51:$B$52)+SUMPRODUCT(H69:H71,GREET1_Import_Export!$B$55:$B$57)+SUMPRODUCT(H75:H76,GREET1_Import_Export!$B$58:$B$59)</f>
        <v>2720783.3213838534</v>
      </c>
      <c r="I81" s="294">
        <f>I80+SUMPRODUCT(I77:I78,GREET1_Import_Export!$B$51:$B$52)+SUMPRODUCT(I69:I71,GREET1_Import_Export!$B$55:$B$57)+SUMPRODUCT(I75:I76,GREET1_Import_Export!$B$58:$B$59)</f>
        <v>1360.3916606919267</v>
      </c>
      <c r="J81" s="400">
        <f ca="1">J80+SUMPRODUCT(J77:J78,GREET1_Import_Export!$B$51:$B$52)+SUMPRODUCT(J69:J71,GREET1_Import_Export!$B$55:$B$57)+SUMPRODUCT(J75:J76,GREET1_Import_Export!$B$58:$B$59)</f>
        <v>834591.96430299827</v>
      </c>
      <c r="K81" s="296">
        <f ca="1">K80+SUMPRODUCT(K77:K78,GREET1_Import_Export!$B$51:$B$52)+SUMPRODUCT(K69:K71,GREET1_Import_Export!$B$55:$B$57)+SUMPRODUCT(K75:K76,GREET1_Import_Export!$B$58:$B$59)</f>
        <v>417.29598215149917</v>
      </c>
    </row>
    <row r="82" spans="1:11">
      <c r="A82" s="177" t="s">
        <v>865</v>
      </c>
      <c r="B82" s="535"/>
      <c r="C82" s="598"/>
      <c r="D82" s="599"/>
      <c r="E82" s="535"/>
      <c r="F82" s="677" t="s">
        <v>845</v>
      </c>
      <c r="G82" s="673" t="s">
        <v>846</v>
      </c>
      <c r="H82" s="675" t="s">
        <v>845</v>
      </c>
      <c r="I82" s="678" t="s">
        <v>846</v>
      </c>
      <c r="J82" s="680" t="s">
        <v>845</v>
      </c>
      <c r="K82" s="674" t="s">
        <v>846</v>
      </c>
    </row>
    <row r="83" spans="1:11">
      <c r="A83" s="95" t="s">
        <v>821</v>
      </c>
      <c r="B83" s="496">
        <f t="shared" ref="B83:B90" si="10">SUM(B50:C50)</f>
        <v>3.5225909459326776</v>
      </c>
      <c r="C83" s="498">
        <f t="shared" ref="C83:C88" ca="1" si="11">SUM(D50:E50)</f>
        <v>1.4844854154470177</v>
      </c>
      <c r="D83" s="497">
        <f t="shared" ref="D83:D88" si="12">SUM(F50:G50)</f>
        <v>20.531834667892625</v>
      </c>
      <c r="E83" s="496">
        <f t="shared" ref="E83:E88" si="13">SUM(H50:I50)</f>
        <v>0.46661822254725344</v>
      </c>
      <c r="F83" s="491">
        <f t="shared" ca="1" si="0"/>
        <v>5.4736945839269486</v>
      </c>
      <c r="G83" s="497">
        <f t="shared" ref="G83:G90" ca="1" si="14">F83/2000</f>
        <v>2.7368472919634744E-3</v>
      </c>
      <c r="H83" s="497">
        <f t="shared" si="1"/>
        <v>24.521043836372556</v>
      </c>
      <c r="I83" s="496">
        <f t="shared" ref="I83:I90" si="15">H83/2000</f>
        <v>1.2260521918186279E-2</v>
      </c>
      <c r="J83" s="491">
        <f t="shared" ca="1" si="2"/>
        <v>8.3307969717937898</v>
      </c>
      <c r="K83" s="497">
        <f t="shared" ref="K83:K90" ca="1" si="16">J83/2000</f>
        <v>4.1653984858968946E-3</v>
      </c>
    </row>
    <row r="84" spans="1:11">
      <c r="A84" s="95" t="s">
        <v>822</v>
      </c>
      <c r="B84" s="496">
        <f t="shared" si="10"/>
        <v>2.8417893159750669</v>
      </c>
      <c r="C84" s="498">
        <f t="shared" ca="1" si="11"/>
        <v>3.1318872528311568</v>
      </c>
      <c r="D84" s="497">
        <f t="shared" si="12"/>
        <v>101.28182766556139</v>
      </c>
      <c r="E84" s="496">
        <f t="shared" si="13"/>
        <v>3.4448430417145355</v>
      </c>
      <c r="F84" s="491">
        <f t="shared" ca="1" si="0"/>
        <v>9.4185196105207591</v>
      </c>
      <c r="G84" s="497">
        <f t="shared" ca="1" si="14"/>
        <v>4.7092598052603796E-3</v>
      </c>
      <c r="H84" s="497">
        <f t="shared" si="1"/>
        <v>107.56846002325099</v>
      </c>
      <c r="I84" s="496">
        <f t="shared" si="15"/>
        <v>5.3784230011625495E-2</v>
      </c>
      <c r="J84" s="491">
        <f t="shared" ca="1" si="2"/>
        <v>24.141010672430298</v>
      </c>
      <c r="K84" s="497">
        <f t="shared" ca="1" si="16"/>
        <v>1.2070505336215148E-2</v>
      </c>
    </row>
    <row r="85" spans="1:11">
      <c r="A85" s="95" t="s">
        <v>823</v>
      </c>
      <c r="B85" s="496">
        <f t="shared" si="10"/>
        <v>5.2693746732239353</v>
      </c>
      <c r="C85" s="498">
        <f t="shared" ca="1" si="11"/>
        <v>10.028250026956176</v>
      </c>
      <c r="D85" s="497">
        <f t="shared" si="12"/>
        <v>133.64667634671326</v>
      </c>
      <c r="E85" s="496">
        <f t="shared" si="13"/>
        <v>10.288953337676208</v>
      </c>
      <c r="F85" s="491">
        <f t="shared" ca="1" si="0"/>
        <v>25.58657803785632</v>
      </c>
      <c r="G85" s="497">
        <f t="shared" ca="1" si="14"/>
        <v>1.279328901892816E-2</v>
      </c>
      <c r="H85" s="497">
        <f t="shared" si="1"/>
        <v>149.2050043576134</v>
      </c>
      <c r="I85" s="496">
        <f t="shared" si="15"/>
        <v>7.4602502178806707E-2</v>
      </c>
      <c r="J85" s="491">
        <f t="shared" ca="1" si="2"/>
        <v>44.129341985819885</v>
      </c>
      <c r="K85" s="497">
        <f t="shared" ca="1" si="16"/>
        <v>2.2064670992909943E-2</v>
      </c>
    </row>
    <row r="86" spans="1:11">
      <c r="A86" s="95" t="s">
        <v>824</v>
      </c>
      <c r="B86" s="496">
        <f t="shared" si="10"/>
        <v>0.85806726992727533</v>
      </c>
      <c r="C86" s="498">
        <f t="shared" ca="1" si="11"/>
        <v>0.60673571647596514</v>
      </c>
      <c r="D86" s="497">
        <f t="shared" si="12"/>
        <v>3.4861169064115822</v>
      </c>
      <c r="E86" s="496">
        <f t="shared" si="13"/>
        <v>1.3736912953723162</v>
      </c>
      <c r="F86" s="491">
        <f t="shared" ca="1" si="0"/>
        <v>2.8384942817755565</v>
      </c>
      <c r="G86" s="497">
        <f t="shared" ca="1" si="14"/>
        <v>1.4192471408877782E-3</v>
      </c>
      <c r="H86" s="497">
        <f t="shared" si="1"/>
        <v>5.7178754717111735</v>
      </c>
      <c r="I86" s="496">
        <f t="shared" si="15"/>
        <v>2.8589377358555867E-3</v>
      </c>
      <c r="J86" s="491">
        <f t="shared" ca="1" si="2"/>
        <v>3.2704014602658993</v>
      </c>
      <c r="K86" s="497">
        <f t="shared" ca="1" si="16"/>
        <v>1.6352007301329496E-3</v>
      </c>
    </row>
    <row r="87" spans="1:11" s="64" customFormat="1">
      <c r="A87" s="230" t="s">
        <v>825</v>
      </c>
      <c r="B87" s="349">
        <f t="shared" si="10"/>
        <v>0.74437882838834657</v>
      </c>
      <c r="C87" s="347">
        <f t="shared" ca="1" si="11"/>
        <v>0.53808165684381537</v>
      </c>
      <c r="D87" s="348">
        <f t="shared" si="12"/>
        <v>3.0865768301762411</v>
      </c>
      <c r="E87" s="349">
        <f t="shared" si="13"/>
        <v>1.2079280276484363</v>
      </c>
      <c r="F87" s="494">
        <f t="shared" ca="1" si="0"/>
        <v>2.4903885128805983</v>
      </c>
      <c r="G87" s="348">
        <f t="shared" ca="1" si="14"/>
        <v>1.2451942564402991E-3</v>
      </c>
      <c r="H87" s="348">
        <f t="shared" si="1"/>
        <v>5.0388836862130244</v>
      </c>
      <c r="I87" s="349">
        <f t="shared" si="15"/>
        <v>2.519441843106512E-3</v>
      </c>
      <c r="J87" s="494">
        <f t="shared" ca="1" si="2"/>
        <v>2.8726627888804623</v>
      </c>
      <c r="K87" s="348">
        <f t="shared" ca="1" si="16"/>
        <v>1.4363313944402312E-3</v>
      </c>
    </row>
    <row r="88" spans="1:11">
      <c r="A88" s="95" t="s">
        <v>826</v>
      </c>
      <c r="B88" s="496">
        <f t="shared" si="10"/>
        <v>2.9851191141889593</v>
      </c>
      <c r="C88" s="498">
        <f t="shared" ca="1" si="11"/>
        <v>3.1366238938812812</v>
      </c>
      <c r="D88" s="497">
        <f t="shared" si="12"/>
        <v>27.19311156907952</v>
      </c>
      <c r="E88" s="496">
        <f t="shared" si="13"/>
        <v>10.223000660764436</v>
      </c>
      <c r="F88" s="491">
        <f t="shared" ca="1" si="0"/>
        <v>16.344743668834674</v>
      </c>
      <c r="G88" s="497">
        <f t="shared" ca="1" si="14"/>
        <v>8.1723718344173368E-3</v>
      </c>
      <c r="H88" s="497">
        <f t="shared" si="1"/>
        <v>40.401231344032915</v>
      </c>
      <c r="I88" s="496">
        <f t="shared" si="15"/>
        <v>2.0200615672016458E-2</v>
      </c>
      <c r="J88" s="491">
        <f t="shared" ca="1" si="2"/>
        <v>19.95321682011441</v>
      </c>
      <c r="K88" s="497">
        <f t="shared" ca="1" si="16"/>
        <v>9.9766084100572049E-3</v>
      </c>
    </row>
    <row r="89" spans="1:11">
      <c r="A89" s="230" t="s">
        <v>827</v>
      </c>
      <c r="B89" s="349">
        <f t="shared" si="10"/>
        <v>7.8842088444628075E-2</v>
      </c>
      <c r="C89" s="347">
        <f ca="1">SUM(D56:E56)</f>
        <v>3.9831163544522895E-2</v>
      </c>
      <c r="D89" s="348">
        <f>SUM(F56:G56)</f>
        <v>0.2099041692839716</v>
      </c>
      <c r="E89" s="349">
        <f>SUM(H56:I56)</f>
        <v>6.2251682935120692E-2</v>
      </c>
      <c r="F89" s="494">
        <f ca="1">B89+C89+E89</f>
        <v>0.18092493492427164</v>
      </c>
      <c r="G89" s="348">
        <f t="shared" ca="1" si="14"/>
        <v>9.0462467462135816E-5</v>
      </c>
      <c r="H89" s="348">
        <f>B89+D89+E89</f>
        <v>0.35099794066372036</v>
      </c>
      <c r="I89" s="349">
        <f t="shared" si="15"/>
        <v>1.7549897033186017E-4</v>
      </c>
      <c r="J89" s="494">
        <f ca="1">F89*$A$6+H89*$B$6</f>
        <v>0.20643588578518896</v>
      </c>
      <c r="K89" s="348">
        <f t="shared" ca="1" si="16"/>
        <v>1.0321794289259447E-4</v>
      </c>
    </row>
    <row r="90" spans="1:11">
      <c r="A90" s="539" t="s">
        <v>828</v>
      </c>
      <c r="B90" s="499">
        <f t="shared" si="10"/>
        <v>0.15627373364096744</v>
      </c>
      <c r="C90" s="501">
        <f ca="1">SUM(D57:E57)</f>
        <v>0.19117425816499969</v>
      </c>
      <c r="D90" s="500">
        <f>SUM(F57:G57)</f>
        <v>0.90806085540685588</v>
      </c>
      <c r="E90" s="499">
        <f>SUM(H57:I57)</f>
        <v>0.34547308168153379</v>
      </c>
      <c r="F90" s="492">
        <f ca="1">B90+C90+E90</f>
        <v>0.69292107348750087</v>
      </c>
      <c r="G90" s="500">
        <f t="shared" ca="1" si="14"/>
        <v>3.4646053674375045E-4</v>
      </c>
      <c r="H90" s="500">
        <f>B90+D90+E90</f>
        <v>1.4098076707293572</v>
      </c>
      <c r="I90" s="499">
        <f t="shared" si="15"/>
        <v>7.0490383536467858E-4</v>
      </c>
      <c r="J90" s="492">
        <f ca="1">F90*$A$6+H90*$B$6</f>
        <v>0.80045406307377931</v>
      </c>
      <c r="K90" s="500">
        <f t="shared" ca="1" si="16"/>
        <v>4.0022703153688965E-4</v>
      </c>
    </row>
  </sheetData>
  <mergeCells count="7">
    <mergeCell ref="B14:C14"/>
    <mergeCell ref="D14:E14"/>
    <mergeCell ref="J60:K60"/>
    <mergeCell ref="F14:G14"/>
    <mergeCell ref="F60:G60"/>
    <mergeCell ref="H60:I60"/>
    <mergeCell ref="H14:I14"/>
  </mergeCells>
  <phoneticPr fontId="5" type="noConversion"/>
  <printOptions gridLinesSet="0"/>
  <pageMargins left="0.75" right="0.75" top="1" bottom="1" header="0.5" footer="0.5"/>
  <pageSetup scale="65" orientation="portrait" horizontalDpi="4294967292" r:id="rId1"/>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Y194"/>
  <sheetViews>
    <sheetView showGridLines="0" zoomScale="85" zoomScaleNormal="85" workbookViewId="0"/>
  </sheetViews>
  <sheetFormatPr defaultColWidth="9.140625" defaultRowHeight="12.75"/>
  <cols>
    <col min="1" max="1" width="39.42578125" style="5" customWidth="1"/>
    <col min="2" max="2" width="11.42578125" style="5" customWidth="1"/>
    <col min="3" max="3" width="10.85546875" style="5" bestFit="1" customWidth="1"/>
    <col min="4" max="4" width="11.140625" style="5" customWidth="1"/>
    <col min="5" max="23" width="10.42578125" style="5" customWidth="1"/>
    <col min="24" max="16384" width="9.140625" style="5"/>
  </cols>
  <sheetData>
    <row r="1" spans="1:13" ht="15.75">
      <c r="A1" s="2" t="s">
        <v>871</v>
      </c>
    </row>
    <row r="2" spans="1:13">
      <c r="A2" s="3"/>
    </row>
    <row r="3" spans="1:13" ht="15">
      <c r="A3" s="75" t="s">
        <v>872</v>
      </c>
    </row>
    <row r="4" spans="1:13">
      <c r="A4" s="3" t="s">
        <v>873</v>
      </c>
    </row>
    <row r="5" spans="1:13" ht="10.5" customHeight="1">
      <c r="A5" s="1651" t="str">
        <f>Mat_Inputs!B194</f>
        <v>Hot Rolled</v>
      </c>
      <c r="B5" s="1465" t="str">
        <f>Mat_Inputs!C194</f>
        <v>Cold Rolled</v>
      </c>
      <c r="C5" s="1652" t="str">
        <f>Mat_Inputs!D194</f>
        <v>Extruded</v>
      </c>
    </row>
    <row r="6" spans="1:13" ht="10.5" customHeight="1">
      <c r="A6" s="681">
        <f>Mat_Inputs!B195</f>
        <v>0</v>
      </c>
      <c r="B6" s="682">
        <f>Mat_Inputs!C195</f>
        <v>0.13</v>
      </c>
      <c r="C6" s="683">
        <f>Mat_Inputs!D195</f>
        <v>0.87</v>
      </c>
    </row>
    <row r="7" spans="1:13" ht="10.5" customHeight="1">
      <c r="A7" s="3"/>
    </row>
    <row r="8" spans="1:13">
      <c r="A8" s="3" t="s">
        <v>874</v>
      </c>
    </row>
    <row r="9" spans="1:13" ht="37.5" customHeight="1">
      <c r="A9" s="1653"/>
      <c r="B9" s="1466" t="str">
        <f>Mat_Inputs!C198</f>
        <v>Bauxite Mining</v>
      </c>
      <c r="C9" s="1466" t="str">
        <f>Mat_Inputs!D198</f>
        <v>Bauxite Refining</v>
      </c>
      <c r="D9" s="1466" t="str">
        <f>Mat_Inputs!E198</f>
        <v>Anode Production</v>
      </c>
      <c r="E9" s="1466" t="str">
        <f>Mat_Inputs!F198</f>
        <v>Alumina Reduction</v>
      </c>
      <c r="F9" s="1466" t="str">
        <f>Mat_Inputs!G198</f>
        <v>Primary Ingot Casting</v>
      </c>
      <c r="G9" s="1466" t="str">
        <f>Mat_Inputs!H198</f>
        <v>Scrap Preparation</v>
      </c>
      <c r="H9" s="1466" t="str">
        <f>Mat_Inputs!I198</f>
        <v>Secondary Ingot Casting</v>
      </c>
      <c r="I9" s="1466" t="str">
        <f>Mat_Inputs!J198</f>
        <v>Hot Rolling</v>
      </c>
      <c r="J9" s="1466" t="str">
        <f>Mat_Inputs!K198</f>
        <v>Cold Rolling</v>
      </c>
      <c r="K9" s="1466" t="str">
        <f>Mat_Inputs!L198</f>
        <v>Stamping</v>
      </c>
      <c r="L9" s="1654" t="str">
        <f>Mat_Inputs!M198</f>
        <v>Extrusion</v>
      </c>
    </row>
    <row r="10" spans="1:13">
      <c r="A10" s="383" t="str">
        <f>Mat_Inputs!B199</f>
        <v>Virgin Hot Rolled Wrought Aluminum</v>
      </c>
      <c r="B10" s="377">
        <f>Mat_Inputs!C199</f>
        <v>1</v>
      </c>
      <c r="C10" s="377">
        <f>Mat_Inputs!D199</f>
        <v>1</v>
      </c>
      <c r="D10" s="377">
        <f>Mat_Inputs!E199</f>
        <v>1</v>
      </c>
      <c r="E10" s="377">
        <f>Mat_Inputs!F199</f>
        <v>1</v>
      </c>
      <c r="F10" s="377">
        <f>Mat_Inputs!G199</f>
        <v>1.02</v>
      </c>
      <c r="G10" s="377"/>
      <c r="H10" s="377"/>
      <c r="I10" s="377">
        <f>Mat_Inputs!J199</f>
        <v>1.0349999999999999</v>
      </c>
      <c r="J10" s="377">
        <f>Mat_Inputs!K199</f>
        <v>0</v>
      </c>
      <c r="K10" s="377">
        <f>Mat_Inputs!L199</f>
        <v>1</v>
      </c>
      <c r="L10" s="384">
        <f>Mat_Inputs!M199</f>
        <v>0</v>
      </c>
    </row>
    <row r="11" spans="1:13">
      <c r="A11" s="383" t="str">
        <f>Mat_Inputs!B200</f>
        <v>Virgin Cold Rolled Wrought Aluminum</v>
      </c>
      <c r="B11" s="377">
        <f>Mat_Inputs!C200</f>
        <v>1</v>
      </c>
      <c r="C11" s="377">
        <f>Mat_Inputs!D200</f>
        <v>1</v>
      </c>
      <c r="D11" s="377">
        <f>Mat_Inputs!E200</f>
        <v>1</v>
      </c>
      <c r="E11" s="377">
        <f>Mat_Inputs!F200</f>
        <v>1</v>
      </c>
      <c r="F11" s="377">
        <f>Mat_Inputs!G200</f>
        <v>1.02</v>
      </c>
      <c r="G11" s="377"/>
      <c r="H11" s="377"/>
      <c r="I11" s="377">
        <f>Mat_Inputs!J200</f>
        <v>1.0349999999999999</v>
      </c>
      <c r="J11" s="377">
        <f>Mat_Inputs!K200</f>
        <v>1</v>
      </c>
      <c r="K11" s="377">
        <f>Mat_Inputs!L200</f>
        <v>1</v>
      </c>
      <c r="L11" s="384">
        <f>Mat_Inputs!M200</f>
        <v>0</v>
      </c>
    </row>
    <row r="12" spans="1:13">
      <c r="A12" s="383" t="str">
        <f>Mat_Inputs!B201</f>
        <v>Virgin Extruded Wrought Aluminum</v>
      </c>
      <c r="B12" s="377">
        <f>Mat_Inputs!C201</f>
        <v>1</v>
      </c>
      <c r="C12" s="377">
        <f>Mat_Inputs!D201</f>
        <v>1</v>
      </c>
      <c r="D12" s="377">
        <f>Mat_Inputs!E201</f>
        <v>1</v>
      </c>
      <c r="E12" s="377">
        <f>Mat_Inputs!F201</f>
        <v>1</v>
      </c>
      <c r="F12" s="377">
        <f>Mat_Inputs!G201</f>
        <v>1.02</v>
      </c>
      <c r="G12" s="377"/>
      <c r="H12" s="377"/>
      <c r="I12" s="377">
        <f>Mat_Inputs!J201</f>
        <v>0</v>
      </c>
      <c r="J12" s="377">
        <f>Mat_Inputs!K201</f>
        <v>0</v>
      </c>
      <c r="K12" s="377">
        <f>Mat_Inputs!L201</f>
        <v>0</v>
      </c>
      <c r="L12" s="384">
        <f>Mat_Inputs!M201</f>
        <v>1</v>
      </c>
    </row>
    <row r="13" spans="1:13">
      <c r="A13" s="383" t="str">
        <f>Mat_Inputs!B202</f>
        <v>Recycled Hot Rolled Wrought Aluminum</v>
      </c>
      <c r="B13" s="377"/>
      <c r="C13" s="377"/>
      <c r="D13" s="377"/>
      <c r="E13" s="377"/>
      <c r="F13" s="377"/>
      <c r="G13" s="377">
        <f>Mat_Inputs!H202</f>
        <v>0.96799999999999997</v>
      </c>
      <c r="H13" s="377">
        <f>Mat_Inputs!I202</f>
        <v>1</v>
      </c>
      <c r="I13" s="377">
        <f>Mat_Inputs!J202</f>
        <v>1.0349999999999999</v>
      </c>
      <c r="J13" s="377">
        <f>Mat_Inputs!K202</f>
        <v>0</v>
      </c>
      <c r="K13" s="377">
        <f>Mat_Inputs!L202</f>
        <v>1</v>
      </c>
      <c r="L13" s="384">
        <f>Mat_Inputs!M202</f>
        <v>0</v>
      </c>
    </row>
    <row r="14" spans="1:13">
      <c r="A14" s="383" t="str">
        <f>Mat_Inputs!B203</f>
        <v>Recycled Cold Rolled Wrought Aluminum</v>
      </c>
      <c r="B14" s="377"/>
      <c r="C14" s="377"/>
      <c r="D14" s="377"/>
      <c r="E14" s="377"/>
      <c r="F14" s="377"/>
      <c r="G14" s="377">
        <f>Mat_Inputs!H203</f>
        <v>0.96799999999999997</v>
      </c>
      <c r="H14" s="377">
        <f>Mat_Inputs!I203</f>
        <v>1</v>
      </c>
      <c r="I14" s="377">
        <f>Mat_Inputs!J203</f>
        <v>1.0349999999999999</v>
      </c>
      <c r="J14" s="377">
        <f>Mat_Inputs!K203</f>
        <v>1</v>
      </c>
      <c r="K14" s="377">
        <f>Mat_Inputs!L203</f>
        <v>1</v>
      </c>
      <c r="L14" s="384">
        <f>Mat_Inputs!M203</f>
        <v>0</v>
      </c>
    </row>
    <row r="15" spans="1:13">
      <c r="A15" s="387" t="str">
        <f>Mat_Inputs!B204</f>
        <v>Recycled Extruded Wrought Aluminum</v>
      </c>
      <c r="B15" s="386"/>
      <c r="C15" s="386"/>
      <c r="D15" s="386"/>
      <c r="E15" s="386"/>
      <c r="F15" s="386"/>
      <c r="G15" s="386">
        <f>Mat_Inputs!H204</f>
        <v>0.96799999999999997</v>
      </c>
      <c r="H15" s="386">
        <f>Mat_Inputs!I204</f>
        <v>1</v>
      </c>
      <c r="I15" s="386">
        <f>Mat_Inputs!J204</f>
        <v>0</v>
      </c>
      <c r="J15" s="386">
        <f>Mat_Inputs!K204</f>
        <v>0</v>
      </c>
      <c r="K15" s="386">
        <f>Mat_Inputs!L204</f>
        <v>0</v>
      </c>
      <c r="L15" s="388">
        <f>Mat_Inputs!M204</f>
        <v>1</v>
      </c>
    </row>
    <row r="16" spans="1:13">
      <c r="A16" s="373"/>
      <c r="B16" s="377"/>
      <c r="C16" s="377"/>
      <c r="D16" s="377"/>
      <c r="E16" s="377"/>
      <c r="F16" s="377"/>
      <c r="G16" s="377"/>
      <c r="H16" s="377"/>
      <c r="I16" s="377"/>
      <c r="J16" s="377"/>
      <c r="K16" s="377"/>
      <c r="L16" s="377"/>
      <c r="M16" s="377"/>
    </row>
    <row r="17" spans="1:9">
      <c r="A17" s="111" t="s">
        <v>875</v>
      </c>
      <c r="B17" s="382"/>
      <c r="C17" s="64"/>
      <c r="D17" s="64"/>
      <c r="E17" s="64"/>
      <c r="F17" s="64"/>
      <c r="G17" s="64"/>
      <c r="H17" s="64"/>
      <c r="I17" s="64"/>
    </row>
    <row r="18" spans="1:9">
      <c r="A18" s="1352"/>
      <c r="B18" s="827" t="str">
        <f>INDEX(Mat_Inputs!$C$296:$M$303,ROW($B18)-ROW($B$18)+1,Mat_Inputs!$B$275)</f>
        <v>NA smelter mix</v>
      </c>
      <c r="C18" s="64"/>
      <c r="D18" s="64"/>
      <c r="E18" s="64"/>
      <c r="F18" s="64"/>
      <c r="G18" s="64"/>
      <c r="H18" s="64"/>
      <c r="I18" s="64"/>
    </row>
    <row r="19" spans="1:9">
      <c r="A19" s="33" t="s">
        <v>440</v>
      </c>
      <c r="B19" s="827">
        <f>INDEX(Mat_Inputs!$C$296:$M$303,ROW($B19)-ROW($B$18)+1,Mat_Inputs!$B$275)</f>
        <v>0</v>
      </c>
      <c r="C19" s="64"/>
      <c r="D19" s="64"/>
      <c r="E19" s="64"/>
      <c r="F19" s="64"/>
      <c r="G19" s="64"/>
      <c r="H19" s="64"/>
      <c r="I19" s="64"/>
    </row>
    <row r="20" spans="1:9">
      <c r="A20" s="30" t="s">
        <v>441</v>
      </c>
      <c r="B20" s="1322">
        <f>INDEX(Mat_Inputs!$C$296:$M$303,ROW($B20)-ROW($B$18)+1,Mat_Inputs!$B$275)</f>
        <v>4.1000000000000002E-2</v>
      </c>
      <c r="C20" s="64"/>
      <c r="D20" s="64"/>
      <c r="E20" s="64"/>
      <c r="F20" s="64"/>
      <c r="G20" s="64"/>
      <c r="H20" s="64"/>
      <c r="I20" s="64"/>
    </row>
    <row r="21" spans="1:9">
      <c r="A21" s="30" t="s">
        <v>442</v>
      </c>
      <c r="B21" s="1322">
        <f>INDEX(Mat_Inputs!$C$296:$M$303,ROW($B21)-ROW($B$18)+1,Mat_Inputs!$B$275)</f>
        <v>0.14299999999999999</v>
      </c>
      <c r="C21" s="64"/>
      <c r="D21" s="64"/>
      <c r="E21" s="64"/>
      <c r="F21" s="64"/>
      <c r="G21" s="64"/>
      <c r="H21" s="64"/>
      <c r="I21" s="64"/>
    </row>
    <row r="22" spans="1:9">
      <c r="A22" s="30" t="s">
        <v>443</v>
      </c>
      <c r="B22" s="1322">
        <f>INDEX(Mat_Inputs!$C$296:$M$303,ROW($B22)-ROW($B$18)+1,Mat_Inputs!$B$275)</f>
        <v>0</v>
      </c>
      <c r="C22" s="64"/>
      <c r="D22" s="64"/>
      <c r="E22" s="64"/>
      <c r="F22" s="64"/>
      <c r="G22" s="64"/>
      <c r="H22" s="64"/>
      <c r="I22" s="64"/>
    </row>
    <row r="23" spans="1:9">
      <c r="A23" s="30" t="s">
        <v>444</v>
      </c>
      <c r="B23" s="1322">
        <f>INDEX(Mat_Inputs!$C$296:$M$303,ROW($B23)-ROW($B$18)+1,Mat_Inputs!$B$275)</f>
        <v>5.0000000000000001E-3</v>
      </c>
      <c r="C23" s="64"/>
      <c r="D23" s="64"/>
      <c r="E23" s="64"/>
      <c r="F23" s="64"/>
      <c r="G23" s="64"/>
      <c r="H23" s="64"/>
      <c r="I23" s="64"/>
    </row>
    <row r="24" spans="1:9">
      <c r="A24" s="30" t="s">
        <v>445</v>
      </c>
      <c r="B24" s="1322">
        <f>INDEX(Mat_Inputs!$C$296:$M$303,ROW($B24)-ROW($B$18)+1,Mat_Inputs!$B$275)</f>
        <v>0.81099999999999994</v>
      </c>
      <c r="C24" s="64"/>
      <c r="D24" s="64"/>
      <c r="E24" s="64"/>
      <c r="F24" s="64"/>
      <c r="G24" s="64"/>
      <c r="H24" s="64"/>
      <c r="I24" s="64"/>
    </row>
    <row r="25" spans="1:9">
      <c r="A25" s="31" t="s">
        <v>294</v>
      </c>
      <c r="B25" s="1322">
        <f>INDEX(Mat_Inputs!$C$296:$M$303,ROW($B25)-ROW($B$18)+1,Mat_Inputs!$B$275)</f>
        <v>0</v>
      </c>
      <c r="C25" s="64"/>
      <c r="D25" s="64"/>
      <c r="E25" s="64"/>
      <c r="F25" s="64"/>
      <c r="G25" s="64"/>
      <c r="H25" s="64"/>
      <c r="I25" s="64"/>
    </row>
    <row r="26" spans="1:9">
      <c r="A26" s="291" t="s">
        <v>876</v>
      </c>
      <c r="B26" s="680">
        <f>$B$19*(GREET1_Import_Export!F309+GREET1_Import_Export!G309)+$B$20*(GREET1_Import_Export!J309+GREET1_Import_Export!K309)+$B$21*(GREET1_Import_Export!N309+GREET1_Import_Export!O309)+$B$23*(GREET1_Import_Export!V309+GREET1_Import_Export!W309)+$B$22*(GREET1_Import_Export!R309+GREET1_Import_Export!S309)+$B$24*(GREET1_Import_Export!AH309+GREET1_Import_Export!AI309)+$B$25*(GREET1_Import_Export!AL309+GREET1_Import_Export!AM309)</f>
        <v>1401667.9249065202</v>
      </c>
      <c r="C26" s="64"/>
      <c r="F26" s="64"/>
      <c r="G26" s="64"/>
      <c r="H26" s="64"/>
      <c r="I26" s="64"/>
    </row>
    <row r="27" spans="1:9">
      <c r="A27" s="291" t="s">
        <v>877</v>
      </c>
      <c r="B27" s="1323">
        <f>$B$19*(GREET1_Import_Export!F310+GREET1_Import_Export!G310)+$B$20*(GREET1_Import_Export!J310+GREET1_Import_Export!K310)+$B$21*(GREET1_Import_Export!N310+GREET1_Import_Export!O310)+$B$23*(GREET1_Import_Export!V310+GREET1_Import_Export!W310)+$B$22*(GREET1_Import_Export!R310+GREET1_Import_Export!S310)+$B$24*(GREET1_Import_Export!AH310+GREET1_Import_Export!AI310)+$B$25*(GREET1_Import_Export!AL310+GREET1_Import_Export!AM310)</f>
        <v>543525.59536892758</v>
      </c>
      <c r="C27" s="64"/>
      <c r="D27" s="64"/>
      <c r="E27" s="64"/>
      <c r="F27" s="64"/>
      <c r="G27" s="64"/>
      <c r="H27" s="64"/>
      <c r="I27" s="64"/>
    </row>
    <row r="28" spans="1:9">
      <c r="A28" s="291" t="s">
        <v>442</v>
      </c>
      <c r="B28" s="1323">
        <f>$B$19*(GREET1_Import_Export!F311+GREET1_Import_Export!G311)+$B$20*(GREET1_Import_Export!J311+GREET1_Import_Export!K311)+$B$21*(GREET1_Import_Export!N311+GREET1_Import_Export!O311)+$B$23*(GREET1_Import_Export!V311+GREET1_Import_Export!W311)+$B$22*(GREET1_Import_Export!R311+GREET1_Import_Export!S311)+$B$24*(GREET1_Import_Export!AH311+GREET1_Import_Export!AI311)+$B$25*(GREET1_Import_Export!AL311+GREET1_Import_Export!AM311)</f>
        <v>435689.89248894108</v>
      </c>
      <c r="C28" s="64"/>
      <c r="D28" s="64"/>
      <c r="E28" s="64"/>
      <c r="F28" s="64"/>
      <c r="G28" s="64"/>
      <c r="H28" s="64"/>
      <c r="I28" s="64"/>
    </row>
    <row r="29" spans="1:9">
      <c r="A29" s="291" t="s">
        <v>878</v>
      </c>
      <c r="B29" s="1323">
        <f>$B$19*(GREET1_Import_Export!F312+GREET1_Import_Export!G312)+$B$20*(GREET1_Import_Export!J312+GREET1_Import_Export!K312)+$B$21*(GREET1_Import_Export!N312+GREET1_Import_Export!O312)+$B$23*(GREET1_Import_Export!V312+GREET1_Import_Export!W312)+$B$22*(GREET1_Import_Export!R312+GREET1_Import_Export!S312)+$B$24*(GREET1_Import_Export!AH312+GREET1_Import_Export!AI312)+$B$25*(GREET1_Import_Export!AL312+GREET1_Import_Export!AM312)</f>
        <v>100786.70747755426</v>
      </c>
      <c r="C29" s="64"/>
      <c r="D29" s="64"/>
      <c r="E29" s="64"/>
      <c r="F29" s="64"/>
      <c r="G29" s="64"/>
      <c r="H29" s="64"/>
      <c r="I29" s="64"/>
    </row>
    <row r="30" spans="1:9">
      <c r="A30" s="291" t="s">
        <v>440</v>
      </c>
      <c r="B30" s="1323">
        <f>$B$19*(GREET1_Import_Export!F313+GREET1_Import_Export!G313)+$B$20*(GREET1_Import_Export!J313+GREET1_Import_Export!K313)+$B$21*(GREET1_Import_Export!N313+GREET1_Import_Export!O313)+$B$23*(GREET1_Import_Export!V313+GREET1_Import_Export!W313)+$B$22*(GREET1_Import_Export!R313+GREET1_Import_Export!S313)+$B$24*(GREET1_Import_Export!AH313+GREET1_Import_Export!AI313)+$B$25*(GREET1_Import_Export!AL313+GREET1_Import_Export!AM313)</f>
        <v>7048.9954024323106</v>
      </c>
      <c r="C30" s="64"/>
      <c r="D30" s="64"/>
      <c r="E30" s="64"/>
      <c r="F30" s="64"/>
      <c r="G30" s="64"/>
      <c r="H30" s="64"/>
      <c r="I30" s="64"/>
    </row>
    <row r="31" spans="1:9">
      <c r="A31" s="483" t="s">
        <v>819</v>
      </c>
      <c r="B31" s="1323">
        <f>$B$19*(GREET1_Import_Export!F314+GREET1_Import_Export!G314)+$B$20*(GREET1_Import_Export!J314+GREET1_Import_Export!K314)+$B$21*(GREET1_Import_Export!N314+GREET1_Import_Export!O314)+$B$23*(GREET1_Import_Export!V314+GREET1_Import_Export!W314)+$B$22*(GREET1_Import_Export!R314+GREET1_Import_Export!S314)+$B$24*(GREET1_Import_Export!AH314+GREET1_Import_Export!AI314)+$B$25*(GREET1_Import_Export!AL314+GREET1_Import_Export!AM314)</f>
        <v>467.76068301624423</v>
      </c>
      <c r="C31" s="64"/>
      <c r="D31" s="64"/>
      <c r="E31" s="64"/>
      <c r="F31" s="64"/>
      <c r="G31" s="64"/>
      <c r="H31" s="64"/>
      <c r="I31" s="64"/>
    </row>
    <row r="32" spans="1:9">
      <c r="A32" s="291" t="s">
        <v>879</v>
      </c>
      <c r="B32" s="710">
        <f>$B$19*(GREET1_Import_Export!F315+GREET1_Import_Export!G315)+$B$20*(GREET1_Import_Export!J315+GREET1_Import_Export!K315)+$B$21*(GREET1_Import_Export!N315+GREET1_Import_Export!O315)+$B$23*(GREET1_Import_Export!V315+GREET1_Import_Export!W315)+$B$22*(GREET1_Import_Export!R315+GREET1_Import_Export!S315)+$B$24*(GREET1_Import_Export!AH315+GREET1_Import_Export!AI315)+$B$25*(GREET1_Import_Export!AL315+GREET1_Import_Export!AM315)</f>
        <v>4.5588333694522225</v>
      </c>
      <c r="C32" s="64"/>
      <c r="E32" s="64"/>
      <c r="F32" s="64"/>
      <c r="G32" s="64"/>
      <c r="H32" s="64"/>
      <c r="I32" s="64"/>
    </row>
    <row r="33" spans="1:9">
      <c r="A33" s="291" t="s">
        <v>880</v>
      </c>
      <c r="B33" s="710">
        <f>$B$19*(GREET1_Import_Export!F316+GREET1_Import_Export!G316)+$B$20*(GREET1_Import_Export!J316+GREET1_Import_Export!K316)+$B$21*(GREET1_Import_Export!N316+GREET1_Import_Export!O316)+$B$23*(GREET1_Import_Export!V316+GREET1_Import_Export!W316)+$B$22*(GREET1_Import_Export!R316+GREET1_Import_Export!S316)+$B$24*(GREET1_Import_Export!AH316+GREET1_Import_Export!AI316)+$B$25*(GREET1_Import_Export!AL316+GREET1_Import_Export!AM316)</f>
        <v>9.4649474742555331</v>
      </c>
      <c r="C33" s="64"/>
      <c r="D33" s="64"/>
      <c r="E33" s="64"/>
      <c r="F33" s="64"/>
      <c r="G33" s="64"/>
      <c r="H33" s="64"/>
      <c r="I33" s="64"/>
    </row>
    <row r="34" spans="1:9">
      <c r="A34" s="291" t="s">
        <v>881</v>
      </c>
      <c r="B34" s="710">
        <f>$B$19*(GREET1_Import_Export!F317+GREET1_Import_Export!G317)+$B$20*(GREET1_Import_Export!J317+GREET1_Import_Export!K317)+$B$21*(GREET1_Import_Export!N317+GREET1_Import_Export!O317)+$B$23*(GREET1_Import_Export!V317+GREET1_Import_Export!W317)+$B$22*(GREET1_Import_Export!R317+GREET1_Import_Export!S317)+$B$24*(GREET1_Import_Export!AH317+GREET1_Import_Export!AI317)+$B$25*(GREET1_Import_Export!AL317+GREET1_Import_Export!AM317)</f>
        <v>32.341178119550946</v>
      </c>
      <c r="C34" s="64"/>
      <c r="D34" s="64"/>
      <c r="E34" s="64"/>
      <c r="F34" s="64"/>
      <c r="G34" s="64"/>
      <c r="H34" s="64"/>
      <c r="I34" s="64"/>
    </row>
    <row r="35" spans="1:9">
      <c r="A35" s="291" t="s">
        <v>882</v>
      </c>
      <c r="B35" s="710">
        <f>$B$19*(GREET1_Import_Export!F318+GREET1_Import_Export!G318)+$B$20*(GREET1_Import_Export!J318+GREET1_Import_Export!K318)+$B$21*(GREET1_Import_Export!N318+GREET1_Import_Export!O318)+$B$23*(GREET1_Import_Export!V318+GREET1_Import_Export!W318)+$B$22*(GREET1_Import_Export!R318+GREET1_Import_Export!S318)+$B$24*(GREET1_Import_Export!AH318+GREET1_Import_Export!AI318)+$B$25*(GREET1_Import_Export!AL318+GREET1_Import_Export!AM318)</f>
        <v>7.4279971017419202</v>
      </c>
      <c r="C35" s="64"/>
      <c r="D35" s="64"/>
      <c r="E35" s="64"/>
      <c r="F35" s="64"/>
      <c r="G35" s="64"/>
      <c r="H35" s="64"/>
      <c r="I35" s="64"/>
    </row>
    <row r="36" spans="1:9">
      <c r="A36" s="291" t="s">
        <v>883</v>
      </c>
      <c r="B36" s="710">
        <f>$B$19*(GREET1_Import_Export!F319+GREET1_Import_Export!G319)+$B$20*(GREET1_Import_Export!J319+GREET1_Import_Export!K319)+$B$21*(GREET1_Import_Export!N319+GREET1_Import_Export!O319)+$B$23*(GREET1_Import_Export!V319+GREET1_Import_Export!W319)+$B$22*(GREET1_Import_Export!R319+GREET1_Import_Export!S319)+$B$24*(GREET1_Import_Export!AH319+GREET1_Import_Export!AI319)+$B$25*(GREET1_Import_Export!AL319+GREET1_Import_Export!AM319)</f>
        <v>3.6447474458199109</v>
      </c>
      <c r="C36" s="64"/>
      <c r="D36" s="64"/>
      <c r="E36" s="64"/>
      <c r="F36" s="64"/>
      <c r="G36" s="64"/>
      <c r="H36" s="64"/>
      <c r="I36" s="64"/>
    </row>
    <row r="37" spans="1:9">
      <c r="A37" s="291" t="s">
        <v>884</v>
      </c>
      <c r="B37" s="710">
        <f>$B$19*(GREET1_Import_Export!F320+GREET1_Import_Export!G320)+$B$20*(GREET1_Import_Export!J320+GREET1_Import_Export!K320)+$B$21*(GREET1_Import_Export!N320+GREET1_Import_Export!O320)+$B$23*(GREET1_Import_Export!V320+GREET1_Import_Export!W320)+$B$22*(GREET1_Import_Export!R320+GREET1_Import_Export!S320)+$B$24*(GREET1_Import_Export!AH320+GREET1_Import_Export!AI320)+$B$25*(GREET1_Import_Export!AL320+GREET1_Import_Export!AM320)</f>
        <v>42.183792642599215</v>
      </c>
      <c r="C37" s="64"/>
      <c r="D37" s="64"/>
      <c r="E37" s="64"/>
      <c r="F37" s="64"/>
      <c r="G37" s="64"/>
      <c r="H37" s="64"/>
      <c r="I37" s="64"/>
    </row>
    <row r="38" spans="1:9">
      <c r="A38" s="291" t="s">
        <v>885</v>
      </c>
      <c r="B38" s="710">
        <f>$B$19*(GREET1_Import_Export!F321+GREET1_Import_Export!G321)+$B$20*(GREET1_Import_Export!J321+GREET1_Import_Export!K321)+$B$21*(GREET1_Import_Export!N321+GREET1_Import_Export!O321)+$B$23*(GREET1_Import_Export!V321+GREET1_Import_Export!W321)+$B$22*(GREET1_Import_Export!R321+GREET1_Import_Export!S321)+$B$24*(GREET1_Import_Export!AH321+GREET1_Import_Export!AI321)+$B$25*(GREET1_Import_Export!AL321+GREET1_Import_Export!AM321)</f>
        <v>0.16271541987025437</v>
      </c>
      <c r="C38" s="64"/>
      <c r="D38" s="64"/>
      <c r="E38" s="64"/>
      <c r="F38" s="64"/>
      <c r="G38" s="64"/>
      <c r="H38" s="64"/>
      <c r="I38" s="64"/>
    </row>
    <row r="39" spans="1:9">
      <c r="A39" s="291" t="s">
        <v>886</v>
      </c>
      <c r="B39" s="710">
        <f>$B$19*(GREET1_Import_Export!F322+GREET1_Import_Export!G322)+$B$20*(GREET1_Import_Export!J322+GREET1_Import_Export!K322)+$B$21*(GREET1_Import_Export!N322+GREET1_Import_Export!O322)+$B$23*(GREET1_Import_Export!V322+GREET1_Import_Export!W322)+$B$22*(GREET1_Import_Export!R322+GREET1_Import_Export!S322)+$B$24*(GREET1_Import_Export!AH322+GREET1_Import_Export!AI322)+$B$25*(GREET1_Import_Export!AL322+GREET1_Import_Export!AM322)</f>
        <v>0.43720497785516615</v>
      </c>
      <c r="C39" s="64"/>
      <c r="D39" s="64"/>
      <c r="E39" s="64"/>
      <c r="F39" s="64"/>
      <c r="G39" s="64"/>
      <c r="H39" s="64"/>
      <c r="I39" s="64"/>
    </row>
    <row r="40" spans="1:9">
      <c r="A40" s="291" t="s">
        <v>887</v>
      </c>
      <c r="B40" s="710">
        <f>$B$19*(GREET1_Import_Export!F323+GREET1_Import_Export!G323)+$B$20*(GREET1_Import_Export!J323+GREET1_Import_Export!K323)+$B$21*(GREET1_Import_Export!N323+GREET1_Import_Export!O323)+$B$23*(GREET1_Import_Export!V323+GREET1_Import_Export!W323)+$B$22*(GREET1_Import_Export!R323+GREET1_Import_Export!S323)+$B$24*(GREET1_Import_Export!AH323+GREET1_Import_Export!AI323)+$B$25*(GREET1_Import_Export!AL323+GREET1_Import_Export!AM323)</f>
        <v>88.195432189261538</v>
      </c>
      <c r="C40" s="64"/>
      <c r="D40" s="64"/>
      <c r="E40" s="64"/>
      <c r="F40" s="64"/>
      <c r="G40" s="64"/>
      <c r="H40" s="64"/>
      <c r="I40" s="64"/>
    </row>
    <row r="41" spans="1:9">
      <c r="A41" s="291" t="s">
        <v>888</v>
      </c>
      <c r="B41" s="710">
        <f>$B$19*(GREET1_Import_Export!F324+GREET1_Import_Export!G324)+$B$20*(GREET1_Import_Export!J324+GREET1_Import_Export!K324)+$B$21*(GREET1_Import_Export!N324+GREET1_Import_Export!O324)+$B$23*(GREET1_Import_Export!V324+GREET1_Import_Export!W324)+$B$22*(GREET1_Import_Export!R324+GREET1_Import_Export!S324)+$B$24*(GREET1_Import_Export!AH324+GREET1_Import_Export!AI324)+$B$25*(GREET1_Import_Export!AL324+GREET1_Import_Export!AM324)</f>
        <v>1.1199038271835577</v>
      </c>
      <c r="C41" s="64"/>
      <c r="D41" s="64"/>
      <c r="E41" s="64"/>
      <c r="F41" s="64"/>
      <c r="G41" s="64"/>
      <c r="H41" s="64"/>
      <c r="I41" s="64"/>
    </row>
    <row r="42" spans="1:9">
      <c r="A42" s="291" t="s">
        <v>889</v>
      </c>
      <c r="B42" s="1323">
        <f>$B$19*(GREET1_Import_Export!F325+GREET1_Import_Export!G325)+$B$20*(GREET1_Import_Export!J325+GREET1_Import_Export!K325)+$B$21*(GREET1_Import_Export!N325+GREET1_Import_Export!O325)+$B$23*(GREET1_Import_Export!V325+GREET1_Import_Export!W325)+$B$22*(GREET1_Import_Export!R325+GREET1_Import_Export!S325)+$B$24*(GREET1_Import_Export!AH325+GREET1_Import_Export!AI325)+$B$25*(GREET1_Import_Export!AL325+GREET1_Import_Export!AM325)</f>
        <v>50100.765099734897</v>
      </c>
      <c r="C42" s="64"/>
      <c r="D42" s="64"/>
      <c r="E42" s="64"/>
      <c r="F42" s="64"/>
      <c r="G42" s="64"/>
      <c r="H42" s="64"/>
      <c r="I42" s="64"/>
    </row>
    <row r="43" spans="1:9">
      <c r="A43" s="686" t="s">
        <v>890</v>
      </c>
      <c r="B43" s="673">
        <f>$B$19*(GREET1_Import_Export!H315+GREET1_Import_Export!I315)+$B$20*(GREET1_Import_Export!L315+GREET1_Import_Export!M315)+$B$21*(GREET1_Import_Export!P315+GREET1_Import_Export!Q315)+$B$23*(GREET1_Import_Export!X315+GREET1_Import_Export!Y315)+$B$22*(GREET1_Import_Export!T315+GREET1_Import_Export!U315)+$B$24*(GREET1_Import_Export!AJ315+GREET1_Import_Export!AK315)+$B$25*(GREET1_Import_Export!AN315+GREET1_Import_Export!AO315)</f>
        <v>0.27280076966338329</v>
      </c>
      <c r="C43" s="64"/>
      <c r="D43" s="64"/>
      <c r="E43" s="64"/>
      <c r="F43" s="64"/>
      <c r="G43" s="64"/>
      <c r="H43" s="64"/>
      <c r="I43" s="64"/>
    </row>
    <row r="44" spans="1:9">
      <c r="A44" s="291" t="s">
        <v>891</v>
      </c>
      <c r="B44" s="710">
        <f>$B$19*(GREET1_Import_Export!H316+GREET1_Import_Export!I316)+$B$20*(GREET1_Import_Export!L316+GREET1_Import_Export!M316)+$B$21*(GREET1_Import_Export!P316+GREET1_Import_Export!Q316)+$B$23*(GREET1_Import_Export!X316+GREET1_Import_Export!Y316)+$B$22*(GREET1_Import_Export!T316+GREET1_Import_Export!U316)+$B$24*(GREET1_Import_Export!AJ316+GREET1_Import_Export!AK316)+$B$25*(GREET1_Import_Export!AN316+GREET1_Import_Export!AO316)</f>
        <v>2.6605269860939691</v>
      </c>
      <c r="C44" s="64"/>
      <c r="D44" s="64"/>
      <c r="E44" s="64"/>
      <c r="F44" s="64"/>
      <c r="G44" s="64"/>
      <c r="H44" s="64"/>
      <c r="I44" s="64"/>
    </row>
    <row r="45" spans="1:9">
      <c r="A45" s="291" t="s">
        <v>892</v>
      </c>
      <c r="B45" s="710">
        <f>$B$19*(GREET1_Import_Export!H317+GREET1_Import_Export!I317)+$B$20*(GREET1_Import_Export!L317+GREET1_Import_Export!M317)+$B$21*(GREET1_Import_Export!P317+GREET1_Import_Export!Q317)+$B$23*(GREET1_Import_Export!X317+GREET1_Import_Export!Y317)+$B$22*(GREET1_Import_Export!T317+GREET1_Import_Export!U317)+$B$24*(GREET1_Import_Export!AJ317+GREET1_Import_Export!AK317)+$B$25*(GREET1_Import_Export!AN317+GREET1_Import_Export!AO317)</f>
        <v>10.739566006472405</v>
      </c>
      <c r="C45" s="64"/>
      <c r="D45" s="64"/>
      <c r="E45" s="64"/>
      <c r="F45" s="64"/>
      <c r="G45" s="64"/>
      <c r="H45" s="64"/>
      <c r="I45" s="64"/>
    </row>
    <row r="46" spans="1:9">
      <c r="A46" s="291" t="s">
        <v>893</v>
      </c>
      <c r="B46" s="710">
        <f>$B$19*(GREET1_Import_Export!H318+GREET1_Import_Export!I318)+$B$20*(GREET1_Import_Export!L318+GREET1_Import_Export!M318)+$B$21*(GREET1_Import_Export!P318+GREET1_Import_Export!Q318)+$B$23*(GREET1_Import_Export!X318+GREET1_Import_Export!Y318)+$B$22*(GREET1_Import_Export!T318+GREET1_Import_Export!U318)+$B$24*(GREET1_Import_Export!AJ318+GREET1_Import_Export!AK318)+$B$25*(GREET1_Import_Export!AN318+GREET1_Import_Export!AO318)</f>
        <v>1.3917329169541321</v>
      </c>
      <c r="C46" s="64"/>
      <c r="D46" s="64"/>
      <c r="E46" s="64"/>
      <c r="F46" s="64"/>
      <c r="G46" s="64"/>
      <c r="H46" s="64"/>
      <c r="I46" s="64"/>
    </row>
    <row r="47" spans="1:9">
      <c r="A47" s="291" t="s">
        <v>894</v>
      </c>
      <c r="B47" s="710">
        <f>$B$19*(GREET1_Import_Export!H319+GREET1_Import_Export!I319)+$B$20*(GREET1_Import_Export!L319+GREET1_Import_Export!M319)+$B$21*(GREET1_Import_Export!P319+GREET1_Import_Export!Q319)+$B$23*(GREET1_Import_Export!X319+GREET1_Import_Export!Y319)+$B$22*(GREET1_Import_Export!T319+GREET1_Import_Export!U319)+$B$24*(GREET1_Import_Export!AJ319+GREET1_Import_Export!AK319)+$B$25*(GREET1_Import_Export!AN319+GREET1_Import_Export!AO319)</f>
        <v>1.1648951999514174</v>
      </c>
      <c r="C47" s="64"/>
      <c r="D47" s="64"/>
      <c r="E47" s="64"/>
      <c r="F47" s="64"/>
      <c r="G47" s="64"/>
      <c r="H47" s="64"/>
      <c r="I47" s="64"/>
    </row>
    <row r="48" spans="1:9">
      <c r="A48" s="291" t="s">
        <v>895</v>
      </c>
      <c r="B48" s="710">
        <f>$B$19*(GREET1_Import_Export!H320+GREET1_Import_Export!I320)+$B$20*(GREET1_Import_Export!L320+GREET1_Import_Export!M320)+$B$21*(GREET1_Import_Export!P320+GREET1_Import_Export!Q320)+$B$23*(GREET1_Import_Export!X320+GREET1_Import_Export!Y320)+$B$22*(GREET1_Import_Export!T320+GREET1_Import_Export!U320)+$B$24*(GREET1_Import_Export!AJ320+GREET1_Import_Export!AK320)+$B$25*(GREET1_Import_Export!AN320+GREET1_Import_Export!AO320)</f>
        <v>14.555511750586344</v>
      </c>
      <c r="C48" s="64"/>
      <c r="D48" s="64"/>
      <c r="E48" s="64"/>
      <c r="F48" s="64"/>
      <c r="G48" s="64"/>
      <c r="H48" s="64"/>
      <c r="I48" s="64"/>
    </row>
    <row r="49" spans="1:23">
      <c r="A49" s="291" t="s">
        <v>896</v>
      </c>
      <c r="B49" s="710">
        <f>$B$19*(GREET1_Import_Export!H321+GREET1_Import_Export!I321)+$B$20*(GREET1_Import_Export!L321+GREET1_Import_Export!M321)+$B$21*(GREET1_Import_Export!P321+GREET1_Import_Export!Q321)+$B$23*(GREET1_Import_Export!X321+GREET1_Import_Export!Y321)+$B$22*(GREET1_Import_Export!T321+GREET1_Import_Export!U321)+$B$24*(GREET1_Import_Export!AJ321+GREET1_Import_Export!AK321)+$B$25*(GREET1_Import_Export!AN321+GREET1_Import_Export!AO321)</f>
        <v>5.2206016284991733E-2</v>
      </c>
      <c r="C49" s="64"/>
      <c r="D49" s="64"/>
      <c r="E49" s="64"/>
      <c r="F49" s="64"/>
      <c r="G49" s="64"/>
      <c r="H49" s="64"/>
      <c r="I49" s="64"/>
    </row>
    <row r="50" spans="1:23">
      <c r="A50" s="292" t="s">
        <v>897</v>
      </c>
      <c r="B50" s="1324">
        <f>$B$19*(GREET1_Import_Export!H322+GREET1_Import_Export!I322)+$B$20*(GREET1_Import_Export!L322+GREET1_Import_Export!M322)+$B$21*(GREET1_Import_Export!P322+GREET1_Import_Export!Q322)+$B$23*(GREET1_Import_Export!X322+GREET1_Import_Export!Y322)+$B$22*(GREET1_Import_Export!T322+GREET1_Import_Export!U322)+$B$24*(GREET1_Import_Export!AJ322+GREET1_Import_Export!AK322)+$B$25*(GREET1_Import_Export!AN322+GREET1_Import_Export!AO322)</f>
        <v>0.14054179005070955</v>
      </c>
      <c r="C50" s="64"/>
      <c r="D50" s="64"/>
      <c r="E50" s="64"/>
      <c r="F50" s="64"/>
      <c r="G50" s="64"/>
      <c r="H50" s="64"/>
      <c r="I50" s="64"/>
    </row>
    <row r="51" spans="1:23">
      <c r="A51" s="64"/>
      <c r="B51" s="382"/>
      <c r="C51" s="64"/>
      <c r="D51" s="64"/>
      <c r="E51" s="64"/>
      <c r="F51" s="64"/>
      <c r="G51" s="64"/>
      <c r="H51" s="64"/>
      <c r="I51" s="64"/>
    </row>
    <row r="52" spans="1:23" ht="15">
      <c r="A52" s="75" t="s">
        <v>762</v>
      </c>
    </row>
    <row r="53" spans="1:23">
      <c r="A53" s="393" t="s">
        <v>769</v>
      </c>
      <c r="B53" s="533">
        <v>1</v>
      </c>
      <c r="C53" s="64"/>
      <c r="G53" s="64"/>
      <c r="H53" s="64"/>
      <c r="I53" s="64"/>
    </row>
    <row r="54" spans="1:23">
      <c r="A54" s="230" t="s">
        <v>770</v>
      </c>
      <c r="B54" s="588">
        <v>1</v>
      </c>
      <c r="C54" s="64"/>
      <c r="G54" s="64"/>
      <c r="H54" s="64"/>
      <c r="I54" s="64"/>
    </row>
    <row r="55" spans="1:23">
      <c r="A55" s="160" t="s">
        <v>772</v>
      </c>
      <c r="B55" s="1102">
        <v>0</v>
      </c>
      <c r="G55" s="64"/>
      <c r="H55" s="64"/>
      <c r="I55" s="64"/>
    </row>
    <row r="56" spans="1:23">
      <c r="A56" s="230" t="s">
        <v>773</v>
      </c>
      <c r="B56" s="588">
        <v>1</v>
      </c>
      <c r="C56" s="64"/>
      <c r="G56" s="64"/>
      <c r="H56" s="64"/>
      <c r="I56" s="64"/>
    </row>
    <row r="57" spans="1:23">
      <c r="A57" s="160" t="s">
        <v>780</v>
      </c>
      <c r="B57" s="1102">
        <v>1</v>
      </c>
      <c r="D57" s="489"/>
      <c r="E57" s="489"/>
      <c r="F57" s="1101"/>
      <c r="G57" s="64"/>
      <c r="H57" s="64"/>
      <c r="I57" s="64"/>
    </row>
    <row r="58" spans="1:23">
      <c r="A58" s="160" t="s">
        <v>781</v>
      </c>
      <c r="B58" s="1102">
        <f>1-B57</f>
        <v>0</v>
      </c>
      <c r="D58" s="489"/>
      <c r="E58" s="489"/>
      <c r="F58" s="1101"/>
      <c r="G58" s="64"/>
      <c r="H58" s="64"/>
      <c r="I58" s="64"/>
    </row>
    <row r="59" spans="1:23">
      <c r="A59" s="160" t="s">
        <v>782</v>
      </c>
      <c r="B59" s="1102">
        <v>0</v>
      </c>
      <c r="D59" s="489"/>
      <c r="E59" s="489"/>
      <c r="F59" s="1101"/>
      <c r="G59" s="64"/>
      <c r="H59" s="64"/>
      <c r="I59" s="64"/>
    </row>
    <row r="60" spans="1:23">
      <c r="A60" s="161" t="s">
        <v>783</v>
      </c>
      <c r="B60" s="949">
        <f>1-B59</f>
        <v>1</v>
      </c>
      <c r="D60" s="489"/>
      <c r="E60" s="489"/>
      <c r="F60" s="1101"/>
      <c r="G60" s="64"/>
      <c r="H60" s="64"/>
      <c r="I60" s="64"/>
    </row>
    <row r="61" spans="1:23">
      <c r="A61" s="64"/>
      <c r="B61" s="64"/>
      <c r="C61" s="64"/>
      <c r="D61" s="489"/>
      <c r="E61" s="489"/>
      <c r="F61" s="1101"/>
      <c r="G61" s="64"/>
      <c r="H61" s="64"/>
      <c r="I61" s="64"/>
    </row>
    <row r="62" spans="1:23" ht="15">
      <c r="A62" s="75" t="s">
        <v>784</v>
      </c>
    </row>
    <row r="63" spans="1:23" ht="27" customHeight="1">
      <c r="A63" s="640"/>
      <c r="B63" s="2998" t="s">
        <v>348</v>
      </c>
      <c r="C63" s="2999"/>
      <c r="D63" s="3012" t="s">
        <v>466</v>
      </c>
      <c r="E63" s="3012"/>
      <c r="F63" s="2998" t="s">
        <v>350</v>
      </c>
      <c r="G63" s="2999"/>
      <c r="H63" s="3012" t="s">
        <v>467</v>
      </c>
      <c r="I63" s="3012"/>
      <c r="J63" s="2998" t="s">
        <v>352</v>
      </c>
      <c r="K63" s="2999"/>
      <c r="L63" s="3012" t="s">
        <v>898</v>
      </c>
      <c r="M63" s="3012"/>
      <c r="N63" s="2998" t="s">
        <v>469</v>
      </c>
      <c r="O63" s="2999"/>
      <c r="P63" s="3012" t="s">
        <v>332</v>
      </c>
      <c r="Q63" s="3012"/>
      <c r="R63" s="2998" t="s">
        <v>334</v>
      </c>
      <c r="S63" s="2999"/>
      <c r="T63" s="3012" t="s">
        <v>336</v>
      </c>
      <c r="U63" s="3012"/>
      <c r="V63" s="2998" t="s">
        <v>355</v>
      </c>
      <c r="W63" s="2999"/>
    </row>
    <row r="64" spans="1:23" ht="70.5" customHeight="1">
      <c r="A64" s="95"/>
      <c r="B64" s="519" t="s">
        <v>785</v>
      </c>
      <c r="C64" s="518" t="s">
        <v>786</v>
      </c>
      <c r="D64" s="401" t="s">
        <v>785</v>
      </c>
      <c r="E64" s="401" t="s">
        <v>786</v>
      </c>
      <c r="F64" s="519" t="s">
        <v>785</v>
      </c>
      <c r="G64" s="518" t="s">
        <v>786</v>
      </c>
      <c r="H64" s="401" t="s">
        <v>785</v>
      </c>
      <c r="I64" s="401" t="s">
        <v>786</v>
      </c>
      <c r="J64" s="519" t="s">
        <v>785</v>
      </c>
      <c r="K64" s="518" t="s">
        <v>786</v>
      </c>
      <c r="L64" s="401" t="s">
        <v>785</v>
      </c>
      <c r="M64" s="401" t="s">
        <v>786</v>
      </c>
      <c r="N64" s="519" t="s">
        <v>785</v>
      </c>
      <c r="O64" s="518" t="s">
        <v>786</v>
      </c>
      <c r="P64" s="401" t="s">
        <v>785</v>
      </c>
      <c r="Q64" s="401" t="s">
        <v>786</v>
      </c>
      <c r="R64" s="519" t="s">
        <v>785</v>
      </c>
      <c r="S64" s="518" t="s">
        <v>786</v>
      </c>
      <c r="T64" s="401" t="s">
        <v>785</v>
      </c>
      <c r="U64" s="401" t="s">
        <v>786</v>
      </c>
      <c r="V64" s="519" t="s">
        <v>785</v>
      </c>
      <c r="W64" s="518" t="s">
        <v>786</v>
      </c>
    </row>
    <row r="65" spans="1:24" ht="25.5">
      <c r="A65" s="659" t="s">
        <v>797</v>
      </c>
      <c r="B65" s="663">
        <f>Mat_Inputs!B341</f>
        <v>0.57699999999999996</v>
      </c>
      <c r="C65" s="394"/>
      <c r="D65" s="367">
        <f>Mat_Inputs!B342</f>
        <v>17.835000000000001</v>
      </c>
      <c r="E65" s="392"/>
      <c r="F65" s="663">
        <f>Mat_Inputs!B343</f>
        <v>1.486</v>
      </c>
      <c r="G65" s="394"/>
      <c r="H65" s="367">
        <f>Mat_Inputs!B344</f>
        <v>46.777999999999999</v>
      </c>
      <c r="I65" s="392"/>
      <c r="J65" s="663">
        <f>Mat_Inputs!B345</f>
        <v>1.006</v>
      </c>
      <c r="K65" s="394"/>
      <c r="L65" s="367">
        <f>Mat_Inputs!B346</f>
        <v>1.0920000000000001</v>
      </c>
      <c r="M65" s="392"/>
      <c r="N65" s="663">
        <f>Mat_Inputs!B347</f>
        <v>4.46</v>
      </c>
      <c r="O65" s="394"/>
      <c r="P65" s="367">
        <f>Mat_Inputs!B348</f>
        <v>3.629</v>
      </c>
      <c r="Q65" s="392"/>
      <c r="R65" s="663">
        <f>Mat_Inputs!B349</f>
        <v>3.0219999999999998</v>
      </c>
      <c r="S65" s="394"/>
      <c r="T65" s="367">
        <f>Mat_Inputs!B350</f>
        <v>0.85990521327014224</v>
      </c>
      <c r="U65" s="392"/>
      <c r="V65" s="663">
        <f>Mat_Inputs!B351</f>
        <v>5.8970000000000002</v>
      </c>
      <c r="W65" s="394"/>
      <c r="X65" s="64"/>
    </row>
    <row r="66" spans="1:24">
      <c r="A66" s="660" t="s">
        <v>798</v>
      </c>
      <c r="B66" s="664">
        <v>0</v>
      </c>
      <c r="C66" s="656"/>
      <c r="D66" s="368">
        <v>0</v>
      </c>
      <c r="E66" s="669"/>
      <c r="F66" s="664">
        <v>0</v>
      </c>
      <c r="G66" s="656"/>
      <c r="H66" s="368">
        <v>0</v>
      </c>
      <c r="I66" s="669"/>
      <c r="J66" s="664">
        <v>0</v>
      </c>
      <c r="K66" s="656"/>
      <c r="L66" s="368">
        <v>0</v>
      </c>
      <c r="M66" s="669"/>
      <c r="N66" s="664">
        <v>0</v>
      </c>
      <c r="O66" s="656"/>
      <c r="P66" s="368">
        <v>0</v>
      </c>
      <c r="Q66" s="669"/>
      <c r="R66" s="664">
        <v>0</v>
      </c>
      <c r="S66" s="656"/>
      <c r="T66" s="368">
        <v>0</v>
      </c>
      <c r="U66" s="669"/>
      <c r="V66" s="664">
        <v>0</v>
      </c>
      <c r="W66" s="656"/>
    </row>
    <row r="67" spans="1:24">
      <c r="A67" s="178" t="s">
        <v>799</v>
      </c>
      <c r="B67" s="95"/>
      <c r="C67" s="94"/>
      <c r="F67" s="95"/>
      <c r="G67" s="693"/>
      <c r="J67" s="95"/>
      <c r="K67" s="94"/>
      <c r="N67" s="95"/>
      <c r="O67" s="94"/>
      <c r="R67" s="95"/>
      <c r="S67" s="94"/>
      <c r="V67" s="95"/>
      <c r="W67" s="94"/>
    </row>
    <row r="68" spans="1:24">
      <c r="A68" s="95" t="s">
        <v>800</v>
      </c>
      <c r="B68" s="665">
        <v>0.37</v>
      </c>
      <c r="C68" s="94"/>
      <c r="D68" s="665">
        <v>0.16500000000000001</v>
      </c>
      <c r="E68" s="1"/>
      <c r="F68" s="665">
        <v>0.35099999999999998</v>
      </c>
      <c r="G68" s="51"/>
      <c r="H68" s="665">
        <v>0</v>
      </c>
      <c r="I68" s="1"/>
      <c r="J68" s="665">
        <v>0.105</v>
      </c>
      <c r="K68" s="51"/>
      <c r="L68" s="665">
        <v>0</v>
      </c>
      <c r="M68" s="1"/>
      <c r="N68" s="665">
        <v>0</v>
      </c>
      <c r="O68" s="51"/>
      <c r="P68" s="665">
        <v>0</v>
      </c>
      <c r="Q68" s="1"/>
      <c r="R68" s="665">
        <v>0</v>
      </c>
      <c r="S68" s="51"/>
      <c r="T68" s="665">
        <v>0</v>
      </c>
      <c r="U68" s="1"/>
      <c r="V68" s="665">
        <v>0</v>
      </c>
      <c r="W68" s="51"/>
    </row>
    <row r="69" spans="1:24">
      <c r="A69" s="95" t="s">
        <v>802</v>
      </c>
      <c r="B69" s="665">
        <v>0.60299999999999998</v>
      </c>
      <c r="C69" s="94" t="s">
        <v>861</v>
      </c>
      <c r="D69" s="665">
        <v>0</v>
      </c>
      <c r="E69" s="1"/>
      <c r="F69" s="665">
        <v>6.4000000000000001E-2</v>
      </c>
      <c r="G69" s="51"/>
      <c r="H69" s="665">
        <v>0</v>
      </c>
      <c r="I69" s="1"/>
      <c r="J69" s="665">
        <v>2.9000000000000001E-2</v>
      </c>
      <c r="K69" s="51"/>
      <c r="L69" s="665">
        <v>0</v>
      </c>
      <c r="M69" s="1" t="s">
        <v>861</v>
      </c>
      <c r="N69" s="665">
        <v>0</v>
      </c>
      <c r="O69" s="51"/>
      <c r="P69" s="665">
        <v>0</v>
      </c>
      <c r="Q69" s="1"/>
      <c r="R69" s="665">
        <v>0</v>
      </c>
      <c r="S69" s="51"/>
      <c r="T69" s="665">
        <v>0</v>
      </c>
      <c r="U69" s="1"/>
      <c r="V69" s="665">
        <v>0</v>
      </c>
      <c r="W69" s="51"/>
    </row>
    <row r="70" spans="1:24" s="64" customFormat="1">
      <c r="A70" s="230" t="s">
        <v>801</v>
      </c>
      <c r="B70" s="416">
        <v>0</v>
      </c>
      <c r="C70" s="395"/>
      <c r="D70" s="416">
        <v>0</v>
      </c>
      <c r="E70" s="1"/>
      <c r="F70" s="416">
        <v>0</v>
      </c>
      <c r="G70" s="51"/>
      <c r="H70" s="416">
        <v>0</v>
      </c>
      <c r="I70" s="1"/>
      <c r="J70" s="416">
        <v>0</v>
      </c>
      <c r="K70" s="51"/>
      <c r="L70" s="416">
        <v>0</v>
      </c>
      <c r="M70" s="1"/>
      <c r="N70" s="416">
        <v>0</v>
      </c>
      <c r="O70" s="51"/>
      <c r="P70" s="416">
        <v>0</v>
      </c>
      <c r="Q70" s="1"/>
      <c r="R70" s="416">
        <v>0</v>
      </c>
      <c r="S70" s="51"/>
      <c r="T70" s="416">
        <v>0</v>
      </c>
      <c r="U70" s="1"/>
      <c r="V70" s="416">
        <v>0</v>
      </c>
      <c r="W70" s="51"/>
    </row>
    <row r="71" spans="1:24" s="64" customFormat="1">
      <c r="A71" s="230" t="s">
        <v>804</v>
      </c>
      <c r="B71" s="416">
        <v>0</v>
      </c>
      <c r="C71" s="395"/>
      <c r="D71" s="416">
        <v>0.72399999999999998</v>
      </c>
      <c r="E71" s="1"/>
      <c r="F71" s="416">
        <v>0.47499999999999998</v>
      </c>
      <c r="G71" s="51"/>
      <c r="H71" s="416">
        <v>0</v>
      </c>
      <c r="I71" s="1"/>
      <c r="J71" s="416">
        <v>0.65500000000000003</v>
      </c>
      <c r="K71" s="51"/>
      <c r="L71" s="416">
        <v>0.68400000000000005</v>
      </c>
      <c r="M71" s="1"/>
      <c r="N71" s="416">
        <v>0.92300000000000004</v>
      </c>
      <c r="O71" s="51"/>
      <c r="P71" s="416">
        <v>0.90300000000000002</v>
      </c>
      <c r="Q71" s="1"/>
      <c r="R71" s="416">
        <v>0.625</v>
      </c>
      <c r="S71" s="51"/>
      <c r="T71" s="416">
        <v>0</v>
      </c>
      <c r="U71" s="1"/>
      <c r="V71" s="416">
        <v>0.89700000000000002</v>
      </c>
      <c r="W71" s="51"/>
    </row>
    <row r="72" spans="1:24" s="64" customFormat="1">
      <c r="A72" s="230" t="s">
        <v>805</v>
      </c>
      <c r="B72" s="416">
        <v>0</v>
      </c>
      <c r="C72" s="395"/>
      <c r="D72" s="416">
        <v>7.4999999999999997E-2</v>
      </c>
      <c r="E72" s="1"/>
      <c r="F72" s="416">
        <v>0</v>
      </c>
      <c r="G72" s="51"/>
      <c r="H72" s="416">
        <v>0</v>
      </c>
      <c r="I72" s="1"/>
      <c r="J72" s="416">
        <v>0</v>
      </c>
      <c r="K72" s="51"/>
      <c r="L72" s="416">
        <v>0</v>
      </c>
      <c r="M72" s="1"/>
      <c r="N72" s="416">
        <v>0</v>
      </c>
      <c r="O72" s="51"/>
      <c r="P72" s="416">
        <v>0</v>
      </c>
      <c r="Q72" s="1"/>
      <c r="R72" s="416">
        <v>0</v>
      </c>
      <c r="S72" s="51"/>
      <c r="T72" s="416">
        <v>0</v>
      </c>
      <c r="U72" s="1"/>
      <c r="V72" s="416">
        <v>0</v>
      </c>
      <c r="W72" s="51"/>
    </row>
    <row r="73" spans="1:24" s="64" customFormat="1">
      <c r="A73" s="230" t="s">
        <v>899</v>
      </c>
      <c r="B73" s="416">
        <v>0</v>
      </c>
      <c r="C73" s="395"/>
      <c r="D73" s="416">
        <v>0</v>
      </c>
      <c r="E73" s="1"/>
      <c r="F73" s="416">
        <v>0</v>
      </c>
      <c r="G73" s="51"/>
      <c r="H73" s="416">
        <v>0</v>
      </c>
      <c r="I73" s="1"/>
      <c r="J73" s="416">
        <v>3.0000000000000001E-3</v>
      </c>
      <c r="K73" s="51"/>
      <c r="L73" s="416">
        <v>0</v>
      </c>
      <c r="M73" s="1"/>
      <c r="N73" s="416">
        <v>0</v>
      </c>
      <c r="O73" s="51"/>
      <c r="P73" s="416">
        <v>0</v>
      </c>
      <c r="Q73" s="1"/>
      <c r="R73" s="416">
        <v>0</v>
      </c>
      <c r="S73" s="51"/>
      <c r="T73" s="416">
        <v>0</v>
      </c>
      <c r="U73" s="1"/>
      <c r="V73" s="416">
        <v>0</v>
      </c>
      <c r="W73" s="51"/>
    </row>
    <row r="74" spans="1:24" s="64" customFormat="1">
      <c r="A74" s="230" t="s">
        <v>806</v>
      </c>
      <c r="B74" s="416">
        <f>1-SUM(B68:B73)</f>
        <v>2.7000000000000024E-2</v>
      </c>
      <c r="C74" s="395"/>
      <c r="D74" s="382">
        <f>1-SUM(D68:D73)</f>
        <v>3.6000000000000032E-2</v>
      </c>
      <c r="E74" s="417"/>
      <c r="F74" s="416">
        <f>1-SUM(F68:F73)</f>
        <v>0.1100000000000001</v>
      </c>
      <c r="G74" s="694"/>
      <c r="H74" s="382">
        <f>1-SUM(H68:H73)</f>
        <v>1</v>
      </c>
      <c r="J74" s="416">
        <f>1-SUM(J68:J73)</f>
        <v>0.20799999999999996</v>
      </c>
      <c r="K74" s="395"/>
      <c r="L74" s="382">
        <f>1-SUM(L68:L73)</f>
        <v>0.31599999999999995</v>
      </c>
      <c r="N74" s="416">
        <f>1-SUM(N68:N73)</f>
        <v>7.6999999999999957E-2</v>
      </c>
      <c r="O74" s="395"/>
      <c r="P74" s="382">
        <f>1-SUM(P68:P73)</f>
        <v>9.6999999999999975E-2</v>
      </c>
      <c r="R74" s="416">
        <f>1-SUM(R68:R73)</f>
        <v>0.375</v>
      </c>
      <c r="S74" s="395"/>
      <c r="T74" s="382">
        <f>1-SUM(T68:T73)</f>
        <v>1</v>
      </c>
      <c r="V74" s="416">
        <f>1-SUM(V68:V73)</f>
        <v>0.10299999999999998</v>
      </c>
      <c r="W74" s="395"/>
    </row>
    <row r="75" spans="1:24" s="64" customFormat="1" ht="25.5">
      <c r="A75" s="659" t="s">
        <v>807</v>
      </c>
      <c r="B75" s="393"/>
      <c r="C75" s="394"/>
      <c r="D75" s="392"/>
      <c r="E75" s="392"/>
      <c r="F75" s="393"/>
      <c r="G75" s="695"/>
      <c r="H75" s="392"/>
      <c r="I75" s="392"/>
      <c r="J75" s="393"/>
      <c r="K75" s="394"/>
      <c r="L75" s="392"/>
      <c r="M75" s="392"/>
      <c r="N75" s="393"/>
      <c r="O75" s="394"/>
      <c r="P75" s="392"/>
      <c r="Q75" s="392"/>
      <c r="R75" s="393"/>
      <c r="S75" s="394"/>
      <c r="T75" s="392"/>
      <c r="U75" s="392"/>
      <c r="V75" s="393"/>
      <c r="W75" s="394"/>
    </row>
    <row r="76" spans="1:24" s="64" customFormat="1">
      <c r="A76" s="230" t="s">
        <v>800</v>
      </c>
      <c r="B76" s="390">
        <f t="shared" ref="B76:B82" si="0">B$65*B68</f>
        <v>0.21348999999999999</v>
      </c>
      <c r="C76" s="348"/>
      <c r="D76" s="389">
        <f t="shared" ref="D76:D82" si="1">D$65*D68</f>
        <v>2.9427750000000001</v>
      </c>
      <c r="E76" s="349"/>
      <c r="F76" s="1112">
        <f t="shared" ref="F76:F82" si="2">F$65*F68</f>
        <v>0.52158599999999999</v>
      </c>
      <c r="G76" s="348"/>
      <c r="H76" s="389">
        <f t="shared" ref="H76:H82" si="3">H$65*H68</f>
        <v>0</v>
      </c>
      <c r="I76" s="349"/>
      <c r="J76" s="390">
        <f t="shared" ref="J76:J82" si="4">J$65*J68</f>
        <v>0.10563</v>
      </c>
      <c r="K76" s="348"/>
      <c r="L76" s="389">
        <f t="shared" ref="L76:L82" si="5">L$65*L68</f>
        <v>0</v>
      </c>
      <c r="M76" s="349"/>
      <c r="N76" s="390">
        <f t="shared" ref="N76:N82" si="6">N$65*N68</f>
        <v>0</v>
      </c>
      <c r="O76" s="348"/>
      <c r="P76" s="389">
        <f t="shared" ref="P76:P82" si="7">P$65*P68</f>
        <v>0</v>
      </c>
      <c r="Q76" s="349"/>
      <c r="R76" s="390">
        <f t="shared" ref="R76:R82" si="8">R$65*R68</f>
        <v>0</v>
      </c>
      <c r="S76" s="348"/>
      <c r="T76" s="389">
        <f t="shared" ref="T76:T82" si="9">T$65*T68</f>
        <v>0</v>
      </c>
      <c r="U76" s="349"/>
      <c r="V76" s="390">
        <f t="shared" ref="V76:V82" si="10">V$65*V68</f>
        <v>0</v>
      </c>
      <c r="W76" s="348"/>
    </row>
    <row r="77" spans="1:24" s="64" customFormat="1">
      <c r="A77" s="230" t="s">
        <v>802</v>
      </c>
      <c r="B77" s="390">
        <f t="shared" si="0"/>
        <v>0.34793099999999999</v>
      </c>
      <c r="C77" s="348"/>
      <c r="D77" s="389">
        <f t="shared" si="1"/>
        <v>0</v>
      </c>
      <c r="E77" s="349"/>
      <c r="F77" s="1112">
        <f t="shared" si="2"/>
        <v>9.5104000000000008E-2</v>
      </c>
      <c r="G77" s="348"/>
      <c r="H77" s="389">
        <f t="shared" si="3"/>
        <v>0</v>
      </c>
      <c r="I77" s="349"/>
      <c r="J77" s="390">
        <f t="shared" si="4"/>
        <v>2.9174000000000002E-2</v>
      </c>
      <c r="K77" s="348"/>
      <c r="L77" s="389">
        <f t="shared" si="5"/>
        <v>0</v>
      </c>
      <c r="M77" s="349"/>
      <c r="N77" s="390">
        <f t="shared" si="6"/>
        <v>0</v>
      </c>
      <c r="O77" s="348"/>
      <c r="P77" s="389">
        <f t="shared" si="7"/>
        <v>0</v>
      </c>
      <c r="Q77" s="349"/>
      <c r="R77" s="390">
        <f t="shared" si="8"/>
        <v>0</v>
      </c>
      <c r="S77" s="348"/>
      <c r="T77" s="389">
        <f t="shared" si="9"/>
        <v>0</v>
      </c>
      <c r="U77" s="349"/>
      <c r="V77" s="390">
        <f t="shared" si="10"/>
        <v>0</v>
      </c>
      <c r="W77" s="348"/>
    </row>
    <row r="78" spans="1:24" s="64" customFormat="1">
      <c r="A78" s="230" t="s">
        <v>801</v>
      </c>
      <c r="B78" s="390">
        <f t="shared" si="0"/>
        <v>0</v>
      </c>
      <c r="C78" s="348"/>
      <c r="D78" s="389">
        <f t="shared" si="1"/>
        <v>0</v>
      </c>
      <c r="E78" s="349"/>
      <c r="F78" s="390">
        <f t="shared" si="2"/>
        <v>0</v>
      </c>
      <c r="G78" s="348"/>
      <c r="H78" s="389">
        <f t="shared" si="3"/>
        <v>0</v>
      </c>
      <c r="I78" s="349"/>
      <c r="J78" s="390">
        <f t="shared" si="4"/>
        <v>0</v>
      </c>
      <c r="K78" s="348"/>
      <c r="L78" s="389">
        <f t="shared" si="5"/>
        <v>0</v>
      </c>
      <c r="M78" s="349"/>
      <c r="N78" s="390">
        <f t="shared" si="6"/>
        <v>0</v>
      </c>
      <c r="O78" s="348"/>
      <c r="P78" s="389">
        <f t="shared" si="7"/>
        <v>0</v>
      </c>
      <c r="Q78" s="349"/>
      <c r="R78" s="390">
        <f t="shared" si="8"/>
        <v>0</v>
      </c>
      <c r="S78" s="348"/>
      <c r="T78" s="389">
        <f t="shared" si="9"/>
        <v>0</v>
      </c>
      <c r="U78" s="349"/>
      <c r="V78" s="390">
        <f t="shared" si="10"/>
        <v>0</v>
      </c>
      <c r="W78" s="348"/>
    </row>
    <row r="79" spans="1:24" s="64" customFormat="1">
      <c r="A79" s="230" t="s">
        <v>808</v>
      </c>
      <c r="B79" s="390">
        <f t="shared" si="0"/>
        <v>0</v>
      </c>
      <c r="C79" s="348"/>
      <c r="D79" s="389">
        <f t="shared" si="1"/>
        <v>12.91254</v>
      </c>
      <c r="E79" s="349"/>
      <c r="F79" s="718">
        <f t="shared" si="2"/>
        <v>0.70584999999999998</v>
      </c>
      <c r="G79" s="348"/>
      <c r="H79" s="389">
        <f t="shared" si="3"/>
        <v>0</v>
      </c>
      <c r="I79" s="349"/>
      <c r="J79" s="390">
        <f t="shared" si="4"/>
        <v>0.65893000000000002</v>
      </c>
      <c r="K79" s="348"/>
      <c r="L79" s="389">
        <f t="shared" si="5"/>
        <v>0.74692800000000015</v>
      </c>
      <c r="M79" s="349"/>
      <c r="N79" s="390">
        <f t="shared" si="6"/>
        <v>4.1165799999999999</v>
      </c>
      <c r="O79" s="348"/>
      <c r="P79" s="389">
        <f t="shared" si="7"/>
        <v>3.2769870000000001</v>
      </c>
      <c r="Q79" s="349"/>
      <c r="R79" s="390">
        <f t="shared" si="8"/>
        <v>1.8887499999999999</v>
      </c>
      <c r="S79" s="348"/>
      <c r="T79" s="389">
        <f t="shared" si="9"/>
        <v>0</v>
      </c>
      <c r="U79" s="349"/>
      <c r="V79" s="390">
        <f t="shared" si="10"/>
        <v>5.2896090000000004</v>
      </c>
      <c r="W79" s="348"/>
    </row>
    <row r="80" spans="1:24" s="64" customFormat="1">
      <c r="A80" s="230" t="s">
        <v>805</v>
      </c>
      <c r="B80" s="390">
        <f t="shared" si="0"/>
        <v>0</v>
      </c>
      <c r="C80" s="348"/>
      <c r="D80" s="389">
        <f t="shared" si="1"/>
        <v>1.3376250000000001</v>
      </c>
      <c r="E80" s="349"/>
      <c r="F80" s="390">
        <f t="shared" si="2"/>
        <v>0</v>
      </c>
      <c r="G80" s="348"/>
      <c r="H80" s="389">
        <f t="shared" si="3"/>
        <v>0</v>
      </c>
      <c r="I80" s="349"/>
      <c r="J80" s="390">
        <f t="shared" si="4"/>
        <v>0</v>
      </c>
      <c r="K80" s="348"/>
      <c r="L80" s="389">
        <f t="shared" si="5"/>
        <v>0</v>
      </c>
      <c r="M80" s="349"/>
      <c r="N80" s="390">
        <f t="shared" si="6"/>
        <v>0</v>
      </c>
      <c r="O80" s="348"/>
      <c r="P80" s="389">
        <f t="shared" si="7"/>
        <v>0</v>
      </c>
      <c r="Q80" s="349"/>
      <c r="R80" s="390">
        <f t="shared" si="8"/>
        <v>0</v>
      </c>
      <c r="S80" s="348"/>
      <c r="T80" s="389">
        <f t="shared" si="9"/>
        <v>0</v>
      </c>
      <c r="U80" s="349"/>
      <c r="V80" s="390">
        <f t="shared" si="10"/>
        <v>0</v>
      </c>
      <c r="W80" s="348"/>
    </row>
    <row r="81" spans="1:25" s="64" customFormat="1">
      <c r="A81" s="230" t="s">
        <v>899</v>
      </c>
      <c r="B81" s="390">
        <f t="shared" si="0"/>
        <v>0</v>
      </c>
      <c r="C81" s="348"/>
      <c r="D81" s="389">
        <f t="shared" si="1"/>
        <v>0</v>
      </c>
      <c r="E81" s="349"/>
      <c r="F81" s="390">
        <f t="shared" si="2"/>
        <v>0</v>
      </c>
      <c r="G81" s="348"/>
      <c r="H81" s="389">
        <f t="shared" si="3"/>
        <v>0</v>
      </c>
      <c r="I81" s="349"/>
      <c r="J81" s="390">
        <f t="shared" si="4"/>
        <v>3.0180000000000003E-3</v>
      </c>
      <c r="K81" s="348"/>
      <c r="L81" s="389">
        <f t="shared" si="5"/>
        <v>0</v>
      </c>
      <c r="M81" s="349"/>
      <c r="N81" s="390">
        <f t="shared" si="6"/>
        <v>0</v>
      </c>
      <c r="O81" s="348"/>
      <c r="P81" s="389">
        <f t="shared" si="7"/>
        <v>0</v>
      </c>
      <c r="Q81" s="349"/>
      <c r="R81" s="390">
        <f t="shared" si="8"/>
        <v>0</v>
      </c>
      <c r="S81" s="348"/>
      <c r="T81" s="389">
        <f t="shared" si="9"/>
        <v>0</v>
      </c>
      <c r="U81" s="349"/>
      <c r="V81" s="390">
        <f t="shared" si="10"/>
        <v>0</v>
      </c>
      <c r="W81" s="348"/>
    </row>
    <row r="82" spans="1:25" s="64" customFormat="1">
      <c r="A82" s="230" t="s">
        <v>806</v>
      </c>
      <c r="B82" s="390">
        <f t="shared" si="0"/>
        <v>1.5579000000000013E-2</v>
      </c>
      <c r="C82" s="348"/>
      <c r="D82" s="389">
        <f t="shared" si="1"/>
        <v>0.64206000000000063</v>
      </c>
      <c r="E82" s="349"/>
      <c r="F82" s="1112">
        <f t="shared" si="2"/>
        <v>0.16346000000000013</v>
      </c>
      <c r="G82" s="348"/>
      <c r="H82" s="389">
        <f t="shared" si="3"/>
        <v>46.777999999999999</v>
      </c>
      <c r="I82" s="349"/>
      <c r="J82" s="390">
        <f t="shared" si="4"/>
        <v>0.20924799999999996</v>
      </c>
      <c r="K82" s="348"/>
      <c r="L82" s="389">
        <f t="shared" si="5"/>
        <v>0.34507199999999999</v>
      </c>
      <c r="M82" s="349"/>
      <c r="N82" s="390">
        <f t="shared" si="6"/>
        <v>0.34341999999999978</v>
      </c>
      <c r="O82" s="348"/>
      <c r="P82" s="389">
        <f t="shared" si="7"/>
        <v>0.35201299999999991</v>
      </c>
      <c r="Q82" s="349"/>
      <c r="R82" s="390">
        <f t="shared" si="8"/>
        <v>1.1332499999999999</v>
      </c>
      <c r="S82" s="348"/>
      <c r="T82" s="389">
        <f t="shared" si="9"/>
        <v>0.85990521327014224</v>
      </c>
      <c r="U82" s="349"/>
      <c r="V82" s="390">
        <f t="shared" si="10"/>
        <v>0.6073909999999999</v>
      </c>
      <c r="W82" s="348"/>
    </row>
    <row r="83" spans="1:25" s="64" customFormat="1">
      <c r="A83" s="230" t="s">
        <v>900</v>
      </c>
      <c r="B83" s="390"/>
      <c r="C83" s="348"/>
      <c r="D83" s="228">
        <v>0.30599999999999999</v>
      </c>
      <c r="E83" s="349"/>
      <c r="F83" s="390"/>
      <c r="G83" s="348"/>
      <c r="H83" s="716"/>
      <c r="I83" s="717"/>
      <c r="J83" s="718"/>
      <c r="K83" s="719"/>
      <c r="L83" s="716"/>
      <c r="M83" s="717"/>
      <c r="N83" s="713">
        <v>3.836E-4</v>
      </c>
      <c r="O83" s="714"/>
      <c r="P83" s="715">
        <v>2.0999999999999999E-5</v>
      </c>
      <c r="Q83" s="715"/>
      <c r="R83" s="713">
        <v>1.076E-4</v>
      </c>
      <c r="S83" s="714"/>
      <c r="T83" s="715"/>
      <c r="U83" s="715"/>
      <c r="V83" s="713">
        <v>7.7866000000000003E-3</v>
      </c>
      <c r="W83" s="714"/>
    </row>
    <row r="84" spans="1:25" s="64" customFormat="1">
      <c r="A84" s="230" t="s">
        <v>901</v>
      </c>
      <c r="B84" s="390"/>
      <c r="C84" s="348"/>
      <c r="D84" s="228">
        <v>7.8E-2</v>
      </c>
      <c r="E84" s="349"/>
      <c r="F84" s="390"/>
      <c r="G84" s="348"/>
      <c r="H84" s="716"/>
      <c r="I84" s="717"/>
      <c r="J84" s="718"/>
      <c r="K84" s="719"/>
      <c r="L84" s="715">
        <v>8.9599999999999999E-4</v>
      </c>
      <c r="M84" s="717"/>
      <c r="N84" s="713">
        <v>3.9871999999999998E-3</v>
      </c>
      <c r="O84" s="714"/>
      <c r="P84" s="715">
        <v>2.0010000000000001E-4</v>
      </c>
      <c r="Q84" s="715"/>
      <c r="R84" s="713">
        <v>3.235E-4</v>
      </c>
      <c r="S84" s="714"/>
      <c r="T84" s="715"/>
      <c r="U84" s="715"/>
      <c r="V84" s="713"/>
      <c r="W84" s="714"/>
    </row>
    <row r="85" spans="1:25" customFormat="1">
      <c r="A85" s="173" t="s">
        <v>902</v>
      </c>
      <c r="B85" s="234"/>
      <c r="C85" s="235"/>
      <c r="D85" s="228"/>
      <c r="E85" s="228"/>
      <c r="F85" s="234">
        <v>0.28599999999999998</v>
      </c>
      <c r="G85" s="235"/>
      <c r="H85" s="715"/>
      <c r="I85" s="715"/>
      <c r="J85" s="713"/>
      <c r="K85" s="714"/>
      <c r="L85" s="715"/>
      <c r="M85" s="715"/>
      <c r="N85" s="713"/>
      <c r="O85" s="714"/>
      <c r="P85" s="715"/>
      <c r="Q85" s="715"/>
      <c r="R85" s="713"/>
      <c r="S85" s="714"/>
      <c r="T85" s="715"/>
      <c r="U85" s="715"/>
      <c r="V85" s="713"/>
      <c r="W85" s="714"/>
      <c r="X85" s="1321"/>
      <c r="Y85" s="1321"/>
    </row>
    <row r="86" spans="1:25">
      <c r="A86" s="230" t="s">
        <v>863</v>
      </c>
      <c r="B86" s="712"/>
      <c r="C86" s="497"/>
      <c r="D86" s="601"/>
      <c r="E86" s="496"/>
      <c r="F86" s="234">
        <v>6.3E-2</v>
      </c>
      <c r="G86" s="497"/>
      <c r="H86" s="715">
        <v>6.0000000000000001E-3</v>
      </c>
      <c r="I86" s="720"/>
      <c r="J86" s="721"/>
      <c r="K86" s="722"/>
      <c r="L86" s="723"/>
      <c r="M86" s="720"/>
      <c r="N86" s="713"/>
      <c r="O86" s="714"/>
      <c r="P86" s="715"/>
      <c r="Q86" s="715"/>
      <c r="R86" s="713"/>
      <c r="S86" s="714"/>
      <c r="T86" s="715"/>
      <c r="U86" s="715"/>
      <c r="V86" s="713"/>
      <c r="W86" s="714"/>
    </row>
    <row r="87" spans="1:25" s="64" customFormat="1">
      <c r="A87" s="230" t="s">
        <v>903</v>
      </c>
      <c r="B87" s="390"/>
      <c r="C87" s="348"/>
      <c r="D87" s="389"/>
      <c r="E87" s="349"/>
      <c r="F87" s="234">
        <v>3.0000000000000001E-3</v>
      </c>
      <c r="G87" s="348"/>
      <c r="H87" s="715">
        <v>4.0000000000000001E-3</v>
      </c>
      <c r="I87" s="717"/>
      <c r="J87" s="718"/>
      <c r="K87" s="719"/>
      <c r="L87" s="716"/>
      <c r="M87" s="717"/>
      <c r="N87" s="713">
        <v>9.1299999999999997E-5</v>
      </c>
      <c r="O87" s="714"/>
      <c r="P87" s="715">
        <v>1.08E-5</v>
      </c>
      <c r="Q87" s="715"/>
      <c r="R87" s="713">
        <v>1.7650000000000001E-4</v>
      </c>
      <c r="S87" s="714"/>
      <c r="T87" s="715"/>
      <c r="U87" s="715"/>
      <c r="V87" s="713">
        <v>7.6480000000000005E-4</v>
      </c>
      <c r="W87" s="714"/>
    </row>
    <row r="88" spans="1:25" customFormat="1">
      <c r="A88" s="173" t="s">
        <v>904</v>
      </c>
      <c r="B88" s="578"/>
      <c r="C88" s="478"/>
      <c r="D88" s="479"/>
      <c r="E88" s="479"/>
      <c r="F88" s="578"/>
      <c r="G88" s="478"/>
      <c r="H88" s="724"/>
      <c r="I88" s="724"/>
      <c r="J88" s="725"/>
      <c r="K88" s="726"/>
      <c r="L88" s="724"/>
      <c r="M88" s="724"/>
      <c r="N88" s="725">
        <v>7.9923300000000003E-2</v>
      </c>
      <c r="O88" s="726"/>
      <c r="P88" s="724"/>
      <c r="Q88" s="724"/>
      <c r="R88" s="725"/>
      <c r="S88" s="726"/>
      <c r="T88" s="724"/>
      <c r="U88" s="724"/>
      <c r="V88" s="725"/>
      <c r="W88" s="726"/>
      <c r="X88" s="8"/>
      <c r="Y88" s="1321"/>
    </row>
    <row r="89" spans="1:25" s="64" customFormat="1">
      <c r="A89" s="393" t="s">
        <v>816</v>
      </c>
      <c r="B89" s="510">
        <f ca="1">B$76*(1+(GREET1_Import_Export!$F$179*GREET1_Import_Export!$B180+GREET1_Import_Export!$F180)/1000000)+B$77*(1+(GREET1_Import_Export!$H$179*GREET1_Import_Export!$B180+GREET1_Import_Export!$H180)/1000000)+B$78*(1+(GREET1_Import_Export!$C$179*GREET1_Import_Export!$B180+GREET1_Import_Export!$C180)/1000000)+B$79*(1+GREET1_Import_Export!$B216/1000000)+B$80*(1+GREET1_Import_Export!$B284/1000000)+B$81*GREET1_Import_Export!$B$10*(1+(GREET1_Import_Export!$F$215*GREET1_Import_Export!$B216+GREET1_Import_Export!$F216)/1000000)+B$81*GREET1_Import_Export!$C$10*(1+(GREET1_Import_Export!$E$179*GREET1_Import_Export!$B180+GREET1_Import_Export!$E180)/1000000)+B$82*(GREET1_Import_Export!$B309+GREET1_Import_Export!$C309)/1000000+B$83*0.5*GREET1_Import_Export!$B525+B$84*GREET1_Import_Export!$C494+B$86*Steel!$B108+B$87*Steel!$I108</f>
        <v>0.68454435979339279</v>
      </c>
      <c r="C89" s="509"/>
      <c r="D89" s="512">
        <f ca="1">D$76*(1+(GREET1_Import_Export!$F$179*GREET1_Import_Export!$B180+GREET1_Import_Export!$F180)/1000000)+D$77*(1+(GREET1_Import_Export!$G$179*GREET1_Import_Export!$B180+GREET1_Import_Export!$G180)/1000000)+D$78*(1+(GREET1_Import_Export!$C$179*GREET1_Import_Export!$B180+GREET1_Import_Export!$C180)/1000000)+D$79*(1+GREET1_Import_Export!$B216/1000000)+D$80*(1+GREET1_Import_Export!$B284/1000000)+D$81*GREET1_Import_Export!$B$10*(1+(GREET1_Import_Export!$F$215*GREET1_Import_Export!$B216+GREET1_Import_Export!$F216)/1000000)+D$81*GREET1_Import_Export!$C$10*(1+(GREET1_Import_Export!$E$179*GREET1_Import_Export!$B180+GREET1_Import_Export!$E180)/1000000)+D$82*(GREET1_Import_Export!$B309+GREET1_Import_Export!$C309)/1000000+D$83*0.5*GREET1_Import_Export!$B525+D$84*GREET1_Import_Export!$C494+D$86*Steel!$B108+D$87*Steel!$I108</f>
        <v>24.809133118047917</v>
      </c>
      <c r="E89" s="512"/>
      <c r="F89" s="510">
        <f ca="1">F$76*(1+(GREET1_Import_Export!$F$179*GREET1_Import_Export!$B180+GREET1_Import_Export!$F180)/1000000)+F$77*(1+(GREET1_Import_Export!$G$179*GREET1_Import_Export!$B180+GREET1_Import_Export!$G180)/1000000)+F$78*(1+(GREET1_Import_Export!$C$179*GREET1_Import_Export!$B180+GREET1_Import_Export!$C180)/1000000)+F$79*(1+GREET1_Import_Export!$B216/1000000)+F$80*(1+GREET1_Import_Export!$B284/1000000)+F$81*GREET1_Import_Export!$B$10*(1+(GREET1_Import_Export!$F$215*GREET1_Import_Export!$B216+GREET1_Import_Export!$F216)/1000000)+F$81*GREET1_Import_Export!$C$10*(1+(GREET1_Import_Export!$E$179*GREET1_Import_Export!$B180+GREET1_Import_Export!$E180)/1000000)+F$82*(GREET1_Import_Export!$B309+GREET1_Import_Export!$C309)/1000000+F$83*0.5*GREET1_Import_Export!$B525+F$84*GREET1_Import_Export!$C494+F$85*GREET1_Import_Export!$B$41*(1+(GREET1_Import_Export!$I$179*GREET1_Import_Export!$B180+GREET1_Import_Export!$I180)/1000000)/1000000+F$86*Steel!$B108+F$87*Steel!$I108</f>
        <v>12.440552255727628</v>
      </c>
      <c r="G89" s="509"/>
      <c r="H89" s="512">
        <f ca="1">H$76*(1+(GREET1_Import_Export!$F$179*GREET1_Import_Export!$B180+GREET1_Import_Export!$F180)/1000000)+H$77*(1+(GREET1_Import_Export!$G$179*GREET1_Import_Export!$B180+GREET1_Import_Export!$G180)/1000000)+H$78*(1+(GREET1_Import_Export!$C$179*GREET1_Import_Export!$B180+GREET1_Import_Export!$C180)/1000000)+H$79*(1+GREET1_Import_Export!$B216/1000000)+H$80*(1+GREET1_Import_Export!$B284/1000000)+H$81*GREET1_Import_Export!$B$10*(1+(GREET1_Import_Export!$F$215*GREET1_Import_Export!$B216+GREET1_Import_Export!$F216)/1000000)+H$81*GREET1_Import_Export!$C$10*(1+(GREET1_Import_Export!$E$179*GREET1_Import_Export!$B180+GREET1_Import_Export!$E180)/1000000)+H$82*W.Al!$B26/1000000+H$83*0.5*GREET1_Import_Export!$B525+H$84*GREET1_Import_Export!$C494+H$86*Steel!$B108+H$87*Steel!$I108</f>
        <v>65.817972929625753</v>
      </c>
      <c r="I89" s="512"/>
      <c r="J89" s="510">
        <f ca="1">J$76*(1+(GREET1_Import_Export!$F$179*GREET1_Import_Export!$B180+GREET1_Import_Export!$F180)/1000000)+J$77*(1+(GREET1_Import_Export!$G$179*GREET1_Import_Export!$B180+GREET1_Import_Export!$G180)/1000000)+J$78*(1+(GREET1_Import_Export!$C$179*GREET1_Import_Export!$B180+GREET1_Import_Export!$C180)/1000000)+J$79*(1+GREET1_Import_Export!$B216/1000000)+J$80*(1+GREET1_Import_Export!$B284/1000000)+J$81*GREET1_Import_Export!$B$10*(1+(GREET1_Import_Export!$F$215*GREET1_Import_Export!$B216+GREET1_Import_Export!$F216)/1000000)+J$81*GREET1_Import_Export!$C$10*(1+(GREET1_Import_Export!$E$179*GREET1_Import_Export!$B180+GREET1_Import_Export!$E180)/1000000)+J$82*(GREET1_Import_Export!$B309+GREET1_Import_Export!$C309)/1000000+J$83*0.5*GREET1_Import_Export!$B525+J$84*GREET1_Import_Export!$C494+J$85*GREET1_Import_Export!$B$41*(1+(GREET1_Import_Export!$I$179*GREET1_Import_Export!$B180+GREET1_Import_Export!$I180)/1000000)/1000000+J$86*Steel!$B108+J$87*Steel!$I108</f>
        <v>1.3094835347968221</v>
      </c>
      <c r="K89" s="509"/>
      <c r="L89" s="512">
        <f ca="1">L$76*(1+(GREET1_Import_Export!$F$179*GREET1_Import_Export!$B180+GREET1_Import_Export!$F180)/1000000)+L$77*(1+(GREET1_Import_Export!$G$179*GREET1_Import_Export!$B180+GREET1_Import_Export!$G180)/1000000)+L$78*(1+(GREET1_Import_Export!$C$179*GREET1_Import_Export!$B180+GREET1_Import_Export!$C180)/1000000)+L$79*(1+GREET1_Import_Export!$B216/1000000)+L$80*(1+GREET1_Import_Export!$B284/1000000)+L$81*GREET1_Import_Export!$B$10*(1+(GREET1_Import_Export!$F$215*GREET1_Import_Export!$B216+GREET1_Import_Export!$F216)/1000000)+L$81*GREET1_Import_Export!$C$10*(1+(GREET1_Import_Export!$E$179*GREET1_Import_Export!$B180+GREET1_Import_Export!$E180)/1000000)+L$82*(GREET1_Import_Export!$B309+GREET1_Import_Export!$C309)/1000000+L$83*0.5*GREET1_Import_Export!$B525+L$84*GREET1_Import_Export!$C494+L$85*GREET1_Import_Export!$B$41*(1+(GREET1_Import_Export!$I$179*GREET1_Import_Export!$B180+GREET1_Import_Export!$I180)/1000000)/1000000+L$86*Steel!$B108+L$87*Steel!$I108</f>
        <v>1.5284560671933123</v>
      </c>
      <c r="M89" s="512"/>
      <c r="N89" s="510">
        <f ca="1">N$76*(1+(GREET1_Import_Export!$F$179*GREET1_Import_Export!$B180+GREET1_Import_Export!$F180)/1000000)+N$77*(1+(GREET1_Import_Export!$G$179*GREET1_Import_Export!$B180+GREET1_Import_Export!$G180)/1000000)+N$78*(1+(GREET1_Import_Export!$C$179*GREET1_Import_Export!$B180+GREET1_Import_Export!$C180)/1000000)+N$79*(1+GREET1_Import_Export!$B216/1000000)+N$80*(1+GREET1_Import_Export!$B284/1000000)+N$81*GREET1_Import_Export!$B$10*(1+(GREET1_Import_Export!$F$215*GREET1_Import_Export!$B216+GREET1_Import_Export!$F216)/1000000)+N$81*GREET1_Import_Export!$C$10*(1+(GREET1_Import_Export!$E$179*GREET1_Import_Export!$B180+GREET1_Import_Export!$E180)/1000000)+N$82*(GREET1_Import_Export!$B309+GREET1_Import_Export!$C309)/1000000+N$83*0.5*GREET1_Import_Export!$B525+N$84*GREET1_Import_Export!$C494+N$85*GREET1_Import_Export!$B$41*(1+(GREET1_Import_Export!$I$179*GREET1_Import_Export!$B180+GREET1_Import_Export!$I180)/1000000)/1000000+N$86*Steel!$B108+N$87*Steel!$I108+N$88*(SUM($B126:$E126)*$F$122+$F126)</f>
        <v>13.829380067061894</v>
      </c>
      <c r="O89" s="509"/>
      <c r="P89" s="512">
        <f ca="1">P$76*(1+(GREET1_Import_Export!$F$179*GREET1_Import_Export!$B180+GREET1_Import_Export!$F180)/1000000)+P$77*(1+(GREET1_Import_Export!$G$179*GREET1_Import_Export!$B180+GREET1_Import_Export!$G180)/1000000)+P$78*(1+(GREET1_Import_Export!$C$179*GREET1_Import_Export!$B180+GREET1_Import_Export!$C180)/1000000)+P$79*(1+GREET1_Import_Export!$B216/1000000)+P$80*(1+GREET1_Import_Export!$B284/1000000)+P$81*GREET1_Import_Export!$B$10*(1+(GREET1_Import_Export!$F$215*GREET1_Import_Export!$B216+GREET1_Import_Export!$F216)/1000000)+P$81*GREET1_Import_Export!$C$10*(1+(GREET1_Import_Export!$E$179*GREET1_Import_Export!$B180+GREET1_Import_Export!$E180)/1000000)+P$82*(GREET1_Import_Export!$B309+GREET1_Import_Export!$C309)/1000000+P$83*0.5*GREET1_Import_Export!$B525+P$84*GREET1_Import_Export!$C494+P$86*Steel!$B108+P$87*Steel!$I108</f>
        <v>4.3339269587282194</v>
      </c>
      <c r="Q89" s="512"/>
      <c r="R89" s="510">
        <f ca="1">R$76*(1+(GREET1_Import_Export!$F$179*GREET1_Import_Export!$B180+GREET1_Import_Export!$F180)/1000000)+R$77*(1+(GREET1_Import_Export!$G$179*GREET1_Import_Export!$B180+GREET1_Import_Export!$G180)/1000000)+R$78*(1+(GREET1_Import_Export!$C$179*GREET1_Import_Export!$B180+GREET1_Import_Export!$C180)/1000000)+R$79*(1+GREET1_Import_Export!$B216/1000000)+R$80*(1+GREET1_Import_Export!$B284/1000000)+R$81*GREET1_Import_Export!$B$10*(1+(GREET1_Import_Export!$F$215*GREET1_Import_Export!$B216+GREET1_Import_Export!$F216)/1000000)+R$81*GREET1_Import_Export!$C$10*(1+(GREET1_Import_Export!$E$179*GREET1_Import_Export!$B180+GREET1_Import_Export!$E180)/1000000)+R$82*(GREET1_Import_Export!$B309+GREET1_Import_Export!$C309)/1000000+R$83*0.5*GREET1_Import_Export!$B525+R$84*GREET1_Import_Export!$C494+R$86*Steel!$B108+R$87*Steel!$I108</f>
        <v>4.3908585750147875</v>
      </c>
      <c r="S89" s="509"/>
      <c r="T89" s="512">
        <f ca="1">T$76*(1+(GREET1_Import_Export!$F$179*GREET1_Import_Export!$B180+GREET1_Import_Export!$F180)/1000000)+T$77*(1+(GREET1_Import_Export!$G$179*GREET1_Import_Export!$B180+GREET1_Import_Export!$G180)/1000000)+T$78*(1+(GREET1_Import_Export!$C$179*GREET1_Import_Export!$B180+GREET1_Import_Export!$C180)/1000000)+T$79*(1+GREET1_Import_Export!$B216/1000000)+T$80*(1+GREET1_Import_Export!$B284/1000000)+T$81*GREET1_Import_Export!$B$10*(1+(GREET1_Import_Export!$F$215*GREET1_Import_Export!$B216+GREET1_Import_Export!$F216)/1000000)+T$81*GREET1_Import_Export!$C$10*(1+(GREET1_Import_Export!$E$179*GREET1_Import_Export!$B180+GREET1_Import_Export!$E180)/1000000)+T$82*(GREET1_Import_Export!$B309+GREET1_Import_Export!$C309)/1000000+T$83*0.5*GREET1_Import_Export!$B525+T$84*GREET1_Import_Export!$C494+T$86*Steel!$B108+T$87*Steel!$I108</f>
        <v>1.7439352936944958</v>
      </c>
      <c r="U89" s="512"/>
      <c r="V89" s="510">
        <f ca="1">V$76*(1+(GREET1_Import_Export!$F$179*GREET1_Import_Export!$B180+GREET1_Import_Export!$F180)/1000000)+V$77*(1+(GREET1_Import_Export!$G$179*GREET1_Import_Export!$B180+GREET1_Import_Export!$G180)/1000000)+V$78*(1+(GREET1_Import_Export!$C$179*GREET1_Import_Export!$B180+GREET1_Import_Export!$C180)/1000000)+V$79*(1+GREET1_Import_Export!$B216/1000000)+V$80*(1+GREET1_Import_Export!$B284/1000000)+V$81*GREET1_Import_Export!$B$10*(1+(GREET1_Import_Export!$F$215*GREET1_Import_Export!$B216+GREET1_Import_Export!$F216)/1000000)+V$81*GREET1_Import_Export!$C$10*(1+(GREET1_Import_Export!$E$179*GREET1_Import_Export!$B180+GREET1_Import_Export!$E180)/1000000)+V$82*(GREET1_Import_Export!$B309+GREET1_Import_Export!$C309)/1000000+V$83*0.5*GREET1_Import_Export!$B525+V$84*GREET1_Import_Export!$C494+V$86*Steel!$B108+V$87*Steel!$I108</f>
        <v>7.1977703716665005</v>
      </c>
      <c r="W89" s="509"/>
      <c r="Y89" s="1321"/>
    </row>
    <row r="90" spans="1:25" s="64" customFormat="1">
      <c r="A90" s="230" t="s">
        <v>817</v>
      </c>
      <c r="B90" s="347">
        <f ca="1">B$76*(1+(GREET1_Import_Export!$F$179*GREET1_Import_Export!$B181+GREET1_Import_Export!$F181)/1000000)+B$77*(1+(GREET1_Import_Export!$H$179*GREET1_Import_Export!$B181+GREET1_Import_Export!$H181)/1000000)+B$78*(1+(GREET1_Import_Export!$C$179*GREET1_Import_Export!$B181+GREET1_Import_Export!$C181)/1000000)+B$79*(1+GREET1_Import_Export!$B217/1000000)+B$80*(1+GREET1_Import_Export!$B285/1000000)+B$81*GREET1_Import_Export!$B$10*(1+(GREET1_Import_Export!$F$215*GREET1_Import_Export!$B217+GREET1_Import_Export!$F217)/1000000)+B$81*GREET1_Import_Export!$C$10*(1+(GREET1_Import_Export!$E$179*GREET1_Import_Export!$B181+GREET1_Import_Export!$E181)/1000000)+B$82*(GREET1_Import_Export!$B310+GREET1_Import_Export!$C310)/1000000+B$83*0.5*GREET1_Import_Export!$B526+B$84*GREET1_Import_Export!$C495+B$86*Steel!$B109+B$87*Steel!$I109</f>
        <v>0.67496085950170837</v>
      </c>
      <c r="C90" s="348"/>
      <c r="D90" s="349">
        <f ca="1">D$76*(1+(GREET1_Import_Export!$F$179*GREET1_Import_Export!$B181+GREET1_Import_Export!$F181)/1000000)+D$77*(1+(GREET1_Import_Export!$G$179*GREET1_Import_Export!$B181+GREET1_Import_Export!$G181)/1000000)+D$78*(1+(GREET1_Import_Export!$C$179*GREET1_Import_Export!$B181+GREET1_Import_Export!$C181)/1000000)+D$79*(1+GREET1_Import_Export!$B217/1000000)+D$80*(1+GREET1_Import_Export!$B285/1000000)+D$81*GREET1_Import_Export!$B$10*(1+(GREET1_Import_Export!$F$215*GREET1_Import_Export!$B217+GREET1_Import_Export!$F217)/1000000)+D$81*GREET1_Import_Export!$C$10*(1+(GREET1_Import_Export!$E$179*GREET1_Import_Export!$B181+GREET1_Import_Export!$E181)/1000000)+D$82*(GREET1_Import_Export!$B310+GREET1_Import_Export!$C310)/1000000+D$83*0.5*GREET1_Import_Export!$B526+D$84*GREET1_Import_Export!$C495+D$86*Steel!$B109+D$87*Steel!$I109</f>
        <v>24.053439739946107</v>
      </c>
      <c r="E90" s="349"/>
      <c r="F90" s="347">
        <f ca="1">F$76*(1+(GREET1_Import_Export!$F$179*GREET1_Import_Export!$B181+GREET1_Import_Export!$F181)/1000000)+F$77*(1+(GREET1_Import_Export!$G$179*GREET1_Import_Export!$B181+GREET1_Import_Export!$G181)/1000000)+F$78*(1+(GREET1_Import_Export!$C$179*GREET1_Import_Export!$B181+GREET1_Import_Export!$C181)/1000000)+F$79*(1+GREET1_Import_Export!$B217/1000000)+F$80*(1+GREET1_Import_Export!$B285/1000000)+F$81*GREET1_Import_Export!$B$10*(1+(GREET1_Import_Export!$F$215*GREET1_Import_Export!$B217+GREET1_Import_Export!$F217)/1000000)+F$81*GREET1_Import_Export!$C$10*(1+(GREET1_Import_Export!$E$179*GREET1_Import_Export!$B181+GREET1_Import_Export!$E181)/1000000)+F$82*(GREET1_Import_Export!$B310+GREET1_Import_Export!$C310)/1000000+F$83*0.5*GREET1_Import_Export!$B526+F$84*GREET1_Import_Export!$C495+F$85*GREET1_Import_Export!$B$41*(1+(GREET1_Import_Export!$I$179*GREET1_Import_Export!$B181+GREET1_Import_Export!$I181)/1000000)/1000000+F$86*Steel!$B109+F$87*Steel!$I109</f>
        <v>12.322318118995017</v>
      </c>
      <c r="G90" s="348"/>
      <c r="H90" s="349">
        <f ca="1">H$76*(1+(GREET1_Import_Export!$F$179*GREET1_Import_Export!$B181+GREET1_Import_Export!$F181)/1000000)+H$77*(1+(GREET1_Import_Export!$G$179*GREET1_Import_Export!$B181+GREET1_Import_Export!$G181)/1000000)+H$78*(1+(GREET1_Import_Export!$C$179*GREET1_Import_Export!$B181+GREET1_Import_Export!$C181)/1000000)+H$79*(1+GREET1_Import_Export!$B217/1000000)+H$80*(1+GREET1_Import_Export!$B285/1000000)+H$81*GREET1_Import_Export!$B$10*(1+(GREET1_Import_Export!$F$215*GREET1_Import_Export!$B217+GREET1_Import_Export!$F217)/1000000)+H$81*GREET1_Import_Export!$C$10*(1+(GREET1_Import_Export!$E$179*GREET1_Import_Export!$B181+GREET1_Import_Export!$E181)/1000000)+H$82*W.Al!$B27/1000000+H$83*0.5*GREET1_Import_Export!$B526+H$84*GREET1_Import_Export!$C495+H$86*Steel!$B109+H$87*Steel!$I109</f>
        <v>25.672651864922052</v>
      </c>
      <c r="I90" s="349"/>
      <c r="J90" s="347">
        <f ca="1">J$76*(1+(GREET1_Import_Export!$F$179*GREET1_Import_Export!$B181+GREET1_Import_Export!$F181)/1000000)+J$77*(1+(GREET1_Import_Export!$G$179*GREET1_Import_Export!$B181+GREET1_Import_Export!$G181)/1000000)+J$78*(1+(GREET1_Import_Export!$C$179*GREET1_Import_Export!$B181+GREET1_Import_Export!$C181)/1000000)+J$79*(1+GREET1_Import_Export!$B217/1000000)+J$80*(1+GREET1_Import_Export!$B285/1000000)+J$81*GREET1_Import_Export!$B$10*(1+(GREET1_Import_Export!$F$215*GREET1_Import_Export!$B217+GREET1_Import_Export!$F217)/1000000)+J$81*GREET1_Import_Export!$C$10*(1+(GREET1_Import_Export!$E$179*GREET1_Import_Export!$B181+GREET1_Import_Export!$E181)/1000000)+J$82*(GREET1_Import_Export!$B310+GREET1_Import_Export!$C310)/1000000+J$83*0.5*GREET1_Import_Export!$B526+J$84*GREET1_Import_Export!$C495+J$85*GREET1_Import_Export!$B$41*(1+(GREET1_Import_Export!$I$179*GREET1_Import_Export!$B181+GREET1_Import_Export!$I181)/1000000)/1000000+J$86*Steel!$B109+J$87*Steel!$I109</f>
        <v>1.2200432119038398</v>
      </c>
      <c r="K90" s="348"/>
      <c r="L90" s="349">
        <f ca="1">L$76*(1+(GREET1_Import_Export!$F$179*GREET1_Import_Export!$B181+GREET1_Import_Export!$F181)/1000000)+L$77*(1+(GREET1_Import_Export!$G$179*GREET1_Import_Export!$B181+GREET1_Import_Export!$G181)/1000000)+L$78*(1+(GREET1_Import_Export!$C$179*GREET1_Import_Export!$B181+GREET1_Import_Export!$C181)/1000000)+L$79*(1+GREET1_Import_Export!$B217/1000000)+L$80*(1+GREET1_Import_Export!$B285/1000000)+L$81*GREET1_Import_Export!$B$10*(1+(GREET1_Import_Export!$F$215*GREET1_Import_Export!$B217+GREET1_Import_Export!$F217)/1000000)+L$81*GREET1_Import_Export!$C$10*(1+(GREET1_Import_Export!$E$179*GREET1_Import_Export!$B181+GREET1_Import_Export!$E181)/1000000)+L$82*(GREET1_Import_Export!$B310+GREET1_Import_Export!$C310)/1000000+L$83*0.5*GREET1_Import_Export!$B526+L$84*GREET1_Import_Export!$C495+L$85*GREET1_Import_Export!$B$41*(1+(GREET1_Import_Export!$I$179*GREET1_Import_Export!$B181+GREET1_Import_Export!$I181)/1000000)/1000000+L$86*Steel!$B109+L$87*Steel!$I109</f>
        <v>1.3822678428819997</v>
      </c>
      <c r="M90" s="349"/>
      <c r="N90" s="347">
        <f ca="1">N$76*(1+(GREET1_Import_Export!$F$179*GREET1_Import_Export!$B181+GREET1_Import_Export!$F181)/1000000)+N$77*(1+(GREET1_Import_Export!$G$179*GREET1_Import_Export!$B181+GREET1_Import_Export!$G181)/1000000)+N$78*(1+(GREET1_Import_Export!$C$179*GREET1_Import_Export!$B181+GREET1_Import_Export!$C181)/1000000)+N$79*(1+GREET1_Import_Export!$B217/1000000)+N$80*(1+GREET1_Import_Export!$B285/1000000)+N$81*GREET1_Import_Export!$B$10*(1+(GREET1_Import_Export!$F$215*GREET1_Import_Export!$B217+GREET1_Import_Export!$F217)/1000000)+N$81*GREET1_Import_Export!$C$10*(1+(GREET1_Import_Export!$E$179*GREET1_Import_Export!$B181+GREET1_Import_Export!$E181)/1000000)+N$82*(GREET1_Import_Export!$B310+GREET1_Import_Export!$C310)/1000000+N$83*0.5*GREET1_Import_Export!$B526+N$84*GREET1_Import_Export!$C495+N$85*GREET1_Import_Export!$B$41*(1+(GREET1_Import_Export!$I$179*GREET1_Import_Export!$B181+GREET1_Import_Export!$I181)/1000000)/1000000+N$86*Steel!$B109+N$87*Steel!$I109+N$88*(SUM($B127:$E127)*$F$122+$F127)</f>
        <v>10.328586692790664</v>
      </c>
      <c r="O90" s="348"/>
      <c r="P90" s="349">
        <f ca="1">P$76*(1+(GREET1_Import_Export!$F$179*GREET1_Import_Export!$B181+GREET1_Import_Export!$F181)/1000000)+P$77*(1+(GREET1_Import_Export!$G$179*GREET1_Import_Export!$B181+GREET1_Import_Export!$G181)/1000000)+P$78*(1+(GREET1_Import_Export!$C$179*GREET1_Import_Export!$B181+GREET1_Import_Export!$C181)/1000000)+P$79*(1+GREET1_Import_Export!$B217/1000000)+P$80*(1+GREET1_Import_Export!$B285/1000000)+P$81*GREET1_Import_Export!$B$10*(1+(GREET1_Import_Export!$F$215*GREET1_Import_Export!$B217+GREET1_Import_Export!$F217)/1000000)+P$81*GREET1_Import_Export!$C$10*(1+(GREET1_Import_Export!$E$179*GREET1_Import_Export!$B181+GREET1_Import_Export!$E181)/1000000)+P$82*(GREET1_Import_Export!$B310+GREET1_Import_Export!$C310)/1000000+P$83*0.5*GREET1_Import_Export!$B526+P$84*GREET1_Import_Export!$C495+P$86*Steel!$B109+P$87*Steel!$I109</f>
        <v>4.1829435829130404</v>
      </c>
      <c r="Q90" s="349"/>
      <c r="R90" s="347">
        <f ca="1">R$76*(1+(GREET1_Import_Export!$F$179*GREET1_Import_Export!$B181+GREET1_Import_Export!$F181)/1000000)+R$77*(1+(GREET1_Import_Export!$G$179*GREET1_Import_Export!$B181+GREET1_Import_Export!$G181)/1000000)+R$78*(1+(GREET1_Import_Export!$C$179*GREET1_Import_Export!$B181+GREET1_Import_Export!$C181)/1000000)+R$79*(1+GREET1_Import_Export!$B217/1000000)+R$80*(1+GREET1_Import_Export!$B285/1000000)+R$81*GREET1_Import_Export!$B$10*(1+(GREET1_Import_Export!$F$215*GREET1_Import_Export!$B217+GREET1_Import_Export!$F217)/1000000)+R$81*GREET1_Import_Export!$C$10*(1+(GREET1_Import_Export!$E$179*GREET1_Import_Export!$B181+GREET1_Import_Export!$E181)/1000000)+R$82*(GREET1_Import_Export!$B310+GREET1_Import_Export!$C310)/1000000+R$83*0.5*GREET1_Import_Export!$B526+R$84*GREET1_Import_Export!$C495+R$86*Steel!$B109+R$87*Steel!$I109</f>
        <v>3.9111310646929551</v>
      </c>
      <c r="S90" s="348"/>
      <c r="T90" s="349">
        <f ca="1">T$76*(1+(GREET1_Import_Export!$F$179*GREET1_Import_Export!$B181+GREET1_Import_Export!$F181)/1000000)+T$77*(1+(GREET1_Import_Export!$G$179*GREET1_Import_Export!$B181+GREET1_Import_Export!$G181)/1000000)+T$78*(1+(GREET1_Import_Export!$C$179*GREET1_Import_Export!$B181+GREET1_Import_Export!$C181)/1000000)+T$79*(1+GREET1_Import_Export!$B217/1000000)+T$80*(1+GREET1_Import_Export!$B285/1000000)+T$81*GREET1_Import_Export!$B$10*(1+(GREET1_Import_Export!$F$215*GREET1_Import_Export!$B217+GREET1_Import_Export!$F217)/1000000)+T$81*GREET1_Import_Export!$C$10*(1+(GREET1_Import_Export!$E$179*GREET1_Import_Export!$B181+GREET1_Import_Export!$E181)/1000000)+T$82*(GREET1_Import_Export!$B310+GREET1_Import_Export!$C310)/1000000+T$83*0.5*GREET1_Import_Export!$B526+T$84*GREET1_Import_Export!$C495+T$86*Steel!$B109+T$87*Steel!$I109</f>
        <v>1.3812218153682407</v>
      </c>
      <c r="U90" s="349"/>
      <c r="V90" s="347">
        <f ca="1">V$76*(1+(GREET1_Import_Export!$F$179*GREET1_Import_Export!$B181+GREET1_Import_Export!$F181)/1000000)+V$77*(1+(GREET1_Import_Export!$G$179*GREET1_Import_Export!$B181+GREET1_Import_Export!$G181)/1000000)+V$78*(1+(GREET1_Import_Export!$C$179*GREET1_Import_Export!$B181+GREET1_Import_Export!$C181)/1000000)+V$79*(1+GREET1_Import_Export!$B217/1000000)+V$80*(1+GREET1_Import_Export!$B285/1000000)+V$81*GREET1_Import_Export!$B$10*(1+(GREET1_Import_Export!$F$215*GREET1_Import_Export!$B217+GREET1_Import_Export!$F217)/1000000)+V$81*GREET1_Import_Export!$C$10*(1+(GREET1_Import_Export!$E$179*GREET1_Import_Export!$B181+GREET1_Import_Export!$E181)/1000000)+V$82*(GREET1_Import_Export!$B310+GREET1_Import_Export!$C310)/1000000+V$83*0.5*GREET1_Import_Export!$B526+V$84*GREET1_Import_Export!$C495+V$86*Steel!$B109+V$87*Steel!$I109</f>
        <v>6.9255742983505613</v>
      </c>
      <c r="W90" s="348"/>
      <c r="Y90" s="1321"/>
    </row>
    <row r="91" spans="1:25" s="64" customFormat="1">
      <c r="A91" s="230" t="s">
        <v>805</v>
      </c>
      <c r="B91" s="347">
        <f ca="1">B$76*(GREET1_Import_Export!$F$179*GREET1_Import_Export!$B182+GREET1_Import_Export!$F182)/1000000+B$77*(GREET1_Import_Export!$H$179*GREET1_Import_Export!$B182+GREET1_Import_Export!$H182)/1000000+B$78*(GREET1_Import_Export!$C$179*GREET1_Import_Export!$B182+GREET1_Import_Export!$C182)/1000000+B$79*GREET1_Import_Export!$B218/1000000+B$80*(1+GREET1_Import_Export!$B286/1000000)+B$81*GREET1_Import_Export!$B$10*(GREET1_Import_Export!$F$215*GREET1_Import_Export!$B218+GREET1_Import_Export!$F218)/1000000+B$81*GREET1_Import_Export!$C$10*(GREET1_Import_Export!$E$179*GREET1_Import_Export!$B182+GREET1_Import_Export!$E182)/1000000+B$82*(GREET1_Import_Export!$B311+GREET1_Import_Export!$C311)/1000000+B$83*0.5*GREET1_Import_Export!$B527+B$84*GREET1_Import_Export!$C496+B$86*Steel!$B110+B$87*Steel!$I110</f>
        <v>1.2501639495719813E-2</v>
      </c>
      <c r="C91" s="348"/>
      <c r="D91" s="349">
        <f ca="1">D$76*(GREET1_Import_Export!$F$179*GREET1_Import_Export!$B182+GREET1_Import_Export!$F182)/1000000+D$77*(GREET1_Import_Export!$G$179*GREET1_Import_Export!$B182+GREET1_Import_Export!$G182)/1000000+D$78*(GREET1_Import_Export!$C$179*GREET1_Import_Export!$B182+GREET1_Import_Export!$C182)/1000000+D$79*GREET1_Import_Export!$B218/1000000+D$80*(1+GREET1_Import_Export!$B286/1000000)+D$81*GREET1_Import_Export!$B$10*(GREET1_Import_Export!$F$215*GREET1_Import_Export!$B218+GREET1_Import_Export!$F218)/1000000+D$81*GREET1_Import_Export!$C$10*(GREET1_Import_Export!$E$179*GREET1_Import_Export!$B182+GREET1_Import_Export!$E182)/1000000+D$82*(GREET1_Import_Export!$B311+GREET1_Import_Export!$C311)/1000000+D$83*0.5*GREET1_Import_Export!$B527+D$84*GREET1_Import_Export!$C496+D$86*Steel!$B110+D$87*Steel!$I110</f>
        <v>2.688092088344701</v>
      </c>
      <c r="E91" s="349"/>
      <c r="F91" s="347">
        <f ca="1">F$76*(GREET1_Import_Export!$F$179*GREET1_Import_Export!$B182+GREET1_Import_Export!$F182)/1000000+F$77*(GREET1_Import_Export!$G$179*GREET1_Import_Export!$B182+GREET1_Import_Export!$G182)/1000000+F$78*(GREET1_Import_Export!$C$179*GREET1_Import_Export!$B182+GREET1_Import_Export!$C182)/1000000+F$79*GREET1_Import_Export!$B218/1000000+F$80*(1+GREET1_Import_Export!$B286/1000000)+F$81*GREET1_Import_Export!$B$10*(GREET1_Import_Export!$F$215*GREET1_Import_Export!$B218+GREET1_Import_Export!$F218)/1000000+F$81*GREET1_Import_Export!$C$10*(GREET1_Import_Export!$E$179*GREET1_Import_Export!$B182+GREET1_Import_Export!$E182)/1000000+F$82*(GREET1_Import_Export!$B311+GREET1_Import_Export!$C311)/1000000+F$83*0.5*GREET1_Import_Export!$B527+F$84*GREET1_Import_Export!$C496+F$85*GREET1_Import_Export!$B$41*(GREET1_Import_Export!$I$179*GREET1_Import_Export!$B182+GREET1_Import_Export!$I182)/1000000/1000000+F$86*Steel!$B110+F$87*Steel!$I110</f>
        <v>1.8013330910438319</v>
      </c>
      <c r="G91" s="348"/>
      <c r="H91" s="349">
        <f ca="1">H$76*(GREET1_Import_Export!$F$179*GREET1_Import_Export!$B182+GREET1_Import_Export!$F182)/1000000+H$77*(GREET1_Import_Export!$G$179*GREET1_Import_Export!$B182+GREET1_Import_Export!$G182)/1000000+H$78*(GREET1_Import_Export!$C$179*GREET1_Import_Export!$B182+GREET1_Import_Export!$C182)/1000000+H$79*GREET1_Import_Export!$B218/1000000+H$80*(1+GREET1_Import_Export!$B286/1000000)+H$81*GREET1_Import_Export!$B$10*(GREET1_Import_Export!$F$215*GREET1_Import_Export!$B218+GREET1_Import_Export!$F218)/1000000+H$81*GREET1_Import_Export!$C$10*(GREET1_Import_Export!$E$179*GREET1_Import_Export!$B182+GREET1_Import_Export!$E182)/1000000+H$82*W.Al!$B28/1000000+H$83*0.5*GREET1_Import_Export!$B527+H$84*GREET1_Import_Export!$C496+H$86*Steel!$B110+H$87*Steel!$I110</f>
        <v>20.60382071774184</v>
      </c>
      <c r="I91" s="349"/>
      <c r="J91" s="347">
        <f ca="1">J$76*(GREET1_Import_Export!$F$179*GREET1_Import_Export!$B182+GREET1_Import_Export!$F182)/1000000+J$77*(GREET1_Import_Export!$G$179*GREET1_Import_Export!$B182+GREET1_Import_Export!$G182)/1000000+J$78*(GREET1_Import_Export!$C$179*GREET1_Import_Export!$B182+GREET1_Import_Export!$C182)/1000000+J$79*GREET1_Import_Export!$B218/1000000+J$80*(1+GREET1_Import_Export!$B286/1000000)+J$81*GREET1_Import_Export!$B$10*(GREET1_Import_Export!$F$215*GREET1_Import_Export!$B218+GREET1_Import_Export!$F218)/1000000+J$81*GREET1_Import_Export!$C$10*(GREET1_Import_Export!$E$179*GREET1_Import_Export!$B182+GREET1_Import_Export!$E182)/1000000+J$82*(GREET1_Import_Export!$B311+GREET1_Import_Export!$C311)/1000000+J$83*0.5*GREET1_Import_Export!$B527+J$84*GREET1_Import_Export!$C496+J$85*GREET1_Import_Export!$B$41*(GREET1_Import_Export!$I$179*GREET1_Import_Export!$B182+GREET1_Import_Export!$I182)/1000000/1000000+J$86*Steel!$B110+J$87*Steel!$I110</f>
        <v>0.11819226494186701</v>
      </c>
      <c r="K91" s="348"/>
      <c r="L91" s="349">
        <f ca="1">L$76*(GREET1_Import_Export!$F$179*GREET1_Import_Export!$B182+GREET1_Import_Export!$F182)/1000000+L$77*(GREET1_Import_Export!$G$179*GREET1_Import_Export!$B182+GREET1_Import_Export!$G182)/1000000+L$78*(GREET1_Import_Export!$C$179*GREET1_Import_Export!$B182+GREET1_Import_Export!$C182)/1000000+L$79*GREET1_Import_Export!$B218/1000000+L$80*(1+GREET1_Import_Export!$B286/1000000)+L$81*GREET1_Import_Export!$B$10*(GREET1_Import_Export!$F$215*GREET1_Import_Export!$B218+GREET1_Import_Export!$F218)/1000000+L$81*GREET1_Import_Export!$C$10*(GREET1_Import_Export!$E$179*GREET1_Import_Export!$B182+GREET1_Import_Export!$E182)/1000000+L$82*(GREET1_Import_Export!$B311+GREET1_Import_Export!$C311)/1000000+L$83*0.5*GREET1_Import_Export!$B527+L$84*GREET1_Import_Export!$C496+L$85*GREET1_Import_Export!$B$41*(GREET1_Import_Export!$I$179*GREET1_Import_Export!$B182+GREET1_Import_Export!$I182)/1000000/1000000+L$86*Steel!$B110+L$87*Steel!$I110</f>
        <v>0.19628501140534405</v>
      </c>
      <c r="M91" s="349"/>
      <c r="N91" s="347">
        <f ca="1">N$76*(GREET1_Import_Export!$F$179*GREET1_Import_Export!$B182+GREET1_Import_Export!$F182)/1000000+N$77*(GREET1_Import_Export!$G$179*GREET1_Import_Export!$B182+GREET1_Import_Export!$G182)/1000000+N$78*(GREET1_Import_Export!$C$179*GREET1_Import_Export!$B182+GREET1_Import_Export!$C182)/1000000+N$79*GREET1_Import_Export!$B218/1000000+N$80*(1+GREET1_Import_Export!$B286/1000000)+N$81*GREET1_Import_Export!$B$10*(GREET1_Import_Export!$F$215*GREET1_Import_Export!$B218+GREET1_Import_Export!$F218)/1000000+N$81*GREET1_Import_Export!$C$10*(GREET1_Import_Export!$E$179*GREET1_Import_Export!$B182+GREET1_Import_Export!$E182)/1000000+N$82*(GREET1_Import_Export!$B311+GREET1_Import_Export!$C311)/1000000+N$83*0.5*GREET1_Import_Export!$B527+N$84*GREET1_Import_Export!$C496+N$85*GREET1_Import_Export!$B$41*(GREET1_Import_Export!$I$179*GREET1_Import_Export!$B182+GREET1_Import_Export!$I182)/1000000/1000000+N$86*Steel!$B110+N$87*Steel!$I110+N$88*(SUM($B128:$E128)*$F$122+$F128)</f>
        <v>2.2680897728850296</v>
      </c>
      <c r="O91" s="348"/>
      <c r="P91" s="349">
        <f ca="1">P$76*(GREET1_Import_Export!$F$179*GREET1_Import_Export!$B182+GREET1_Import_Export!$F182)/1000000+P$77*(GREET1_Import_Export!$G$179*GREET1_Import_Export!$B182+GREET1_Import_Export!$G182)/1000000+P$78*(GREET1_Import_Export!$C$179*GREET1_Import_Export!$B182+GREET1_Import_Export!$C182)/1000000+P$79*GREET1_Import_Export!$B218/1000000+P$80*(1+GREET1_Import_Export!$B286/1000000)+P$81*GREET1_Import_Export!$B$10*(GREET1_Import_Export!$F$215*GREET1_Import_Export!$B218+GREET1_Import_Export!$F218)/1000000+P$81*GREET1_Import_Export!$C$10*(GREET1_Import_Export!$E$179*GREET1_Import_Export!$B182+GREET1_Import_Export!$E182)/1000000+P$82*(GREET1_Import_Export!$B311+GREET1_Import_Export!$C311)/1000000+P$83*0.5*GREET1_Import_Export!$B527+P$84*GREET1_Import_Export!$C496+P$86*Steel!$B110+P$87*Steel!$I110</f>
        <v>0.20044926327457588</v>
      </c>
      <c r="Q91" s="349"/>
      <c r="R91" s="347">
        <f ca="1">R$76*(GREET1_Import_Export!$F$179*GREET1_Import_Export!$B182+GREET1_Import_Export!$F182)/1000000+R$77*(GREET1_Import_Export!$G$179*GREET1_Import_Export!$B182+GREET1_Import_Export!$G182)/1000000+R$78*(GREET1_Import_Export!$C$179*GREET1_Import_Export!$B182+GREET1_Import_Export!$C182)/1000000+R$79*GREET1_Import_Export!$B218/1000000+R$80*(1+GREET1_Import_Export!$B286/1000000)+R$81*GREET1_Import_Export!$B$10*(GREET1_Import_Export!$F$215*GREET1_Import_Export!$B218+GREET1_Import_Export!$F218)/1000000+R$81*GREET1_Import_Export!$C$10*(GREET1_Import_Export!$E$179*GREET1_Import_Export!$B182+GREET1_Import_Export!$E182)/1000000+R$82*(GREET1_Import_Export!$B311+GREET1_Import_Export!$C311)/1000000+R$83*0.5*GREET1_Import_Export!$B527+R$84*GREET1_Import_Export!$C496+R$86*Steel!$B110+R$87*Steel!$I110</f>
        <v>0.63823693967762329</v>
      </c>
      <c r="S91" s="348"/>
      <c r="T91" s="349">
        <f ca="1">T$76*(GREET1_Import_Export!$F$179*GREET1_Import_Export!$B182+GREET1_Import_Export!$F182)/1000000+T$77*(GREET1_Import_Export!$G$179*GREET1_Import_Export!$B182+GREET1_Import_Export!$G182)/1000000+T$78*(GREET1_Import_Export!$C$179*GREET1_Import_Export!$B182+GREET1_Import_Export!$C182)/1000000+T$79*GREET1_Import_Export!$B218/1000000+T$80*(1+GREET1_Import_Export!$B286/1000000)+T$81*GREET1_Import_Export!$B$10*(GREET1_Import_Export!$F$215*GREET1_Import_Export!$B218+GREET1_Import_Export!$F218)/1000000+T$81*GREET1_Import_Export!$C$10*(GREET1_Import_Export!$E$179*GREET1_Import_Export!$B182+GREET1_Import_Export!$E182)/1000000+T$82*(GREET1_Import_Export!$B311+GREET1_Import_Export!$C311)/1000000+T$83*0.5*GREET1_Import_Export!$B527+T$84*GREET1_Import_Export!$C496+T$86*Steel!$B110+T$87*Steel!$I110</f>
        <v>0.47947948035230242</v>
      </c>
      <c r="U91" s="349"/>
      <c r="V91" s="347">
        <f ca="1">V$76*(GREET1_Import_Export!$F$179*GREET1_Import_Export!$B182+GREET1_Import_Export!$F182)/1000000+V$77*(GREET1_Import_Export!$G$179*GREET1_Import_Export!$B182+GREET1_Import_Export!$G182)/1000000+V$78*(GREET1_Import_Export!$C$179*GREET1_Import_Export!$B182+GREET1_Import_Export!$C182)/1000000+V$79*GREET1_Import_Export!$B218/1000000+V$80*(1+GREET1_Import_Export!$B286/1000000)+V$81*GREET1_Import_Export!$B$10*(GREET1_Import_Export!$F$215*GREET1_Import_Export!$B218+GREET1_Import_Export!$F218)/1000000+V$81*GREET1_Import_Export!$C$10*(GREET1_Import_Export!$E$179*GREET1_Import_Export!$B182+GREET1_Import_Export!$E182)/1000000+V$82*(GREET1_Import_Export!$B311+GREET1_Import_Export!$C311)/1000000+V$83*0.5*GREET1_Import_Export!$B527+V$84*GREET1_Import_Export!$C496+V$86*Steel!$B110+V$87*Steel!$I110</f>
        <v>0.37481498435048272</v>
      </c>
      <c r="W91" s="348"/>
      <c r="Y91" s="1321"/>
    </row>
    <row r="92" spans="1:25" s="64" customFormat="1">
      <c r="A92" s="230" t="s">
        <v>804</v>
      </c>
      <c r="B92" s="347">
        <f ca="1">B90-B91-B93</f>
        <v>7.5821119818310967E-2</v>
      </c>
      <c r="C92" s="348"/>
      <c r="D92" s="349">
        <f ca="1">D90-D91-D93</f>
        <v>18.056627488835225</v>
      </c>
      <c r="E92" s="349"/>
      <c r="F92" s="347">
        <f ca="1">F90-F91-F93</f>
        <v>1.7363994191049521</v>
      </c>
      <c r="G92" s="348"/>
      <c r="H92" s="349">
        <f ca="1">H90-H91-H93</f>
        <v>4.7379971354938757</v>
      </c>
      <c r="I92" s="349"/>
      <c r="J92" s="347">
        <f ca="1">J90-J91-J93</f>
        <v>0.9542297146916987</v>
      </c>
      <c r="K92" s="348"/>
      <c r="L92" s="349">
        <f ca="1">L90-L91-L93</f>
        <v>1.1767669016865596</v>
      </c>
      <c r="M92" s="349"/>
      <c r="N92" s="347">
        <f ca="1">N90-N91-N93</f>
        <v>6.9644806513310744</v>
      </c>
      <c r="O92" s="348"/>
      <c r="P92" s="349">
        <f ca="1">P90-P91-P93</f>
        <v>3.9631474966939853</v>
      </c>
      <c r="Q92" s="349"/>
      <c r="R92" s="347">
        <f ca="1">R90-R91-R93</f>
        <v>3.2454628785532313</v>
      </c>
      <c r="S92" s="348"/>
      <c r="T92" s="349">
        <f ca="1">T90-T91-T93</f>
        <v>0.88674198715332919</v>
      </c>
      <c r="U92" s="349"/>
      <c r="V92" s="347">
        <f ca="1">V90-V91-V93</f>
        <v>6.5154424120565659</v>
      </c>
      <c r="W92" s="348"/>
      <c r="Y92" s="1321"/>
    </row>
    <row r="93" spans="1:25" s="64" customFormat="1">
      <c r="A93" s="589" t="s">
        <v>818</v>
      </c>
      <c r="B93" s="503">
        <f ca="1">B$76*(1+(GREET1_Import_Export!$F$179*GREET1_Import_Export!$B184+GREET1_Import_Export!$F184)/1000000)+B$77*(1+(GREET1_Import_Export!$H$179*GREET1_Import_Export!$B184+GREET1_Import_Export!$H184)/1000000)+B$78*(1+(GREET1_Import_Export!$C$179*GREET1_Import_Export!$B184+GREET1_Import_Export!$C184)/1000000)+B$79*GREET1_Import_Export!$B220/1000000+B$80*GREET1_Import_Export!$B288/1000000+B$81*GREET1_Import_Export!$B$10*(GREET1_Import_Export!$F$215*GREET1_Import_Export!$B220+GREET1_Import_Export!$F220)/1000000+B$81*GREET1_Import_Export!$C$10*(1+(GREET1_Import_Export!$E$179*GREET1_Import_Export!$B184+GREET1_Import_Export!$E184)/1000000)+B$82*(GREET1_Import_Export!$B313+GREET1_Import_Export!$C313)/1000000+B$83*0.5*GREET1_Import_Export!$B529+B$84*GREET1_Import_Export!$C498+B$86*Steel!$B112+B$87*Steel!$I112</f>
        <v>0.58663810018767759</v>
      </c>
      <c r="C93" s="502"/>
      <c r="D93" s="505">
        <f ca="1">D$76*(1+(GREET1_Import_Export!$F$179*GREET1_Import_Export!$B184+GREET1_Import_Export!$F184)/1000000)+D$77*(1+(GREET1_Import_Export!$G$179*GREET1_Import_Export!$B184+GREET1_Import_Export!$G184)/1000000)+D$78*(1+(GREET1_Import_Export!$C$179*GREET1_Import_Export!$B184+GREET1_Import_Export!$C184)/1000000)+D$79*GREET1_Import_Export!$B220/1000000+D$80*GREET1_Import_Export!$B288/1000000+D$81*GREET1_Import_Export!$B$10*(GREET1_Import_Export!$F$215*GREET1_Import_Export!$B220+GREET1_Import_Export!$F220)/1000000+D$81*GREET1_Import_Export!$C$10*(1+(GREET1_Import_Export!$E$179*GREET1_Import_Export!$B184+GREET1_Import_Export!$E184)/1000000)+D$82*(GREET1_Import_Export!$B313+GREET1_Import_Export!$C313)/1000000+D$83*0.5*GREET1_Import_Export!$B529+D$84*GREET1_Import_Export!$C498+D$86*Steel!$B112+D$87*Steel!$I112</f>
        <v>3.3087201627661815</v>
      </c>
      <c r="E93" s="505"/>
      <c r="F93" s="503">
        <f ca="1">F$76*(1+(GREET1_Import_Export!$F$179*GREET1_Import_Export!$B184+GREET1_Import_Export!$F184)/1000000)+F$77*(1+(GREET1_Import_Export!$G$179*GREET1_Import_Export!$B184+GREET1_Import_Export!$G184)/1000000)+F$78*(1+(GREET1_Import_Export!$C$179*GREET1_Import_Export!$B184+GREET1_Import_Export!$C184)/1000000)+F$79*GREET1_Import_Export!$B220/1000000+F$80*GREET1_Import_Export!$B288/1000000+F$81*GREET1_Import_Export!$B$10*(GREET1_Import_Export!$F$215*GREET1_Import_Export!$B220+GREET1_Import_Export!$F220)/1000000+F$81*GREET1_Import_Export!$C$10*(1+(GREET1_Import_Export!$E$179*GREET1_Import_Export!$B184+GREET1_Import_Export!$E184)/1000000)+F$82*(GREET1_Import_Export!$B313+GREET1_Import_Export!$C313)/1000000+F$83*0.5*GREET1_Import_Export!$B529+F$84*GREET1_Import_Export!$C498+F$85*GREET1_Import_Export!$B$41*(1+(GREET1_Import_Export!$I$179*GREET1_Import_Export!$B184+GREET1_Import_Export!$I184)/1000000)/1000000+F$86*Steel!$B112+F$87*Steel!$I112</f>
        <v>8.7845856088462337</v>
      </c>
      <c r="G93" s="502"/>
      <c r="H93" s="505">
        <f ca="1">H$76*(1+(GREET1_Import_Export!$F$179*GREET1_Import_Export!$B184+GREET1_Import_Export!$F184)/1000000)+H$77*(1+(GREET1_Import_Export!$G$179*GREET1_Import_Export!$B184+GREET1_Import_Export!$G184)/1000000)+H$78*(1+(GREET1_Import_Export!$C$179*GREET1_Import_Export!$B184+GREET1_Import_Export!$C184)/1000000)+H$79*GREET1_Import_Export!$B220/1000000+H$80*GREET1_Import_Export!$B288/1000000+H$81*GREET1_Import_Export!$B$10*(GREET1_Import_Export!$F$215*GREET1_Import_Export!$B220+GREET1_Import_Export!$F220)/1000000+H$81*GREET1_Import_Export!$C$10*(1+(GREET1_Import_Export!$E$179*GREET1_Import_Export!$B184+GREET1_Import_Export!$E184)/1000000)+H$82*W.Al!$B30/1000000+H$83*0.5*GREET1_Import_Export!$B529+H$84*GREET1_Import_Export!$C498+H$86*Steel!$B112+H$87*Steel!$I112</f>
        <v>0.33083401168633675</v>
      </c>
      <c r="I93" s="505"/>
      <c r="J93" s="503">
        <f ca="1">J$76*(1+(GREET1_Import_Export!$F$179*GREET1_Import_Export!$B184+GREET1_Import_Export!$F184)/1000000)+J$77*(1+(GREET1_Import_Export!$G$179*GREET1_Import_Export!$B184+GREET1_Import_Export!$G184)/1000000)+J$78*(1+(GREET1_Import_Export!$C$179*GREET1_Import_Export!$B184+GREET1_Import_Export!$C184)/1000000)+J$79*GREET1_Import_Export!$B220/1000000+J$80*GREET1_Import_Export!$B288/1000000+J$81*GREET1_Import_Export!$B$10*(GREET1_Import_Export!$F$215*GREET1_Import_Export!$B220+GREET1_Import_Export!$F220)/1000000+J$81*GREET1_Import_Export!$C$10*(1+(GREET1_Import_Export!$E$179*GREET1_Import_Export!$B184+GREET1_Import_Export!$E184)/1000000)+J$82*(GREET1_Import_Export!$B313+GREET1_Import_Export!$C313)/1000000+J$83*0.5*GREET1_Import_Export!$B529+J$84*GREET1_Import_Export!$C498+J$85*GREET1_Import_Export!$B$41*(1+(GREET1_Import_Export!$I$179*GREET1_Import_Export!$B184+GREET1_Import_Export!$I184)/1000000)/1000000+J$86*Steel!$B112+J$87*Steel!$I112</f>
        <v>0.14762123227027418</v>
      </c>
      <c r="K93" s="502"/>
      <c r="L93" s="505">
        <f ca="1">L$76*(1+(GREET1_Import_Export!$F$179*GREET1_Import_Export!$B184+GREET1_Import_Export!$F184)/1000000)+L$77*(1+(GREET1_Import_Export!$G$179*GREET1_Import_Export!$B184+GREET1_Import_Export!$G184)/1000000)+L$78*(1+(GREET1_Import_Export!$C$179*GREET1_Import_Export!$B184+GREET1_Import_Export!$C184)/1000000)+L$79*GREET1_Import_Export!$B220/1000000+L$80*GREET1_Import_Export!$B288/1000000+L$81*GREET1_Import_Export!$B$10*(GREET1_Import_Export!$F$215*GREET1_Import_Export!$B220+GREET1_Import_Export!$F220)/1000000+L$81*GREET1_Import_Export!$C$10*(1+(GREET1_Import_Export!$E$179*GREET1_Import_Export!$B184+GREET1_Import_Export!$E184)/1000000)+L$82*(GREET1_Import_Export!$B313+GREET1_Import_Export!$C313)/1000000+L$83*0.5*GREET1_Import_Export!$B529+L$84*GREET1_Import_Export!$C498+L$85*GREET1_Import_Export!$B$41*(1+(GREET1_Import_Export!$I$179*GREET1_Import_Export!$B184+GREET1_Import_Export!$I184)/1000000)/1000000+L$86*Steel!$B112+L$87*Steel!$I112</f>
        <v>9.2159297900960384E-3</v>
      </c>
      <c r="M93" s="505"/>
      <c r="N93" s="503">
        <f ca="1">N$76*(1+(GREET1_Import_Export!$F$179*GREET1_Import_Export!$B184+GREET1_Import_Export!$F184)/1000000)+N$77*(1+(GREET1_Import_Export!$G$179*GREET1_Import_Export!$B184+GREET1_Import_Export!$G184)/1000000)+N$78*(1+(GREET1_Import_Export!$C$179*GREET1_Import_Export!$B184+GREET1_Import_Export!$C184)/1000000)+N$79*GREET1_Import_Export!$B220/1000000+N$80*GREET1_Import_Export!$B288/1000000+N$81*GREET1_Import_Export!$B$10*(GREET1_Import_Export!$F$215*GREET1_Import_Export!$B220+GREET1_Import_Export!$F220)/1000000+N$81*GREET1_Import_Export!$C$10*(1+(GREET1_Import_Export!$E$179*GREET1_Import_Export!$B184+GREET1_Import_Export!$E184)/1000000)+N$82*(GREET1_Import_Export!$B313+GREET1_Import_Export!$C313)/1000000+N$83*0.5*GREET1_Import_Export!$B529+N$84*GREET1_Import_Export!$C498+N$85*GREET1_Import_Export!$B$41*(1+(GREET1_Import_Export!$I$179*GREET1_Import_Export!$B184+GREET1_Import_Export!$I184)/1000000)/1000000+N$86*Steel!$B112+N$87*Steel!$I112+N$88*(SUM($B130:$E130)*$F$122+$F130)</f>
        <v>1.0960162685745605</v>
      </c>
      <c r="O93" s="502"/>
      <c r="P93" s="505">
        <f ca="1">P$76*(1+(GREET1_Import_Export!$F$179*GREET1_Import_Export!$B184+GREET1_Import_Export!$F184)/1000000)+P$77*(1+(GREET1_Import_Export!$G$179*GREET1_Import_Export!$B184+GREET1_Import_Export!$G184)/1000000)+P$78*(1+(GREET1_Import_Export!$C$179*GREET1_Import_Export!$B184+GREET1_Import_Export!$C184)/1000000)+P$79*GREET1_Import_Export!$B220/1000000+P$80*GREET1_Import_Export!$B288/1000000+P$81*GREET1_Import_Export!$B$10*(GREET1_Import_Export!$F$215*GREET1_Import_Export!$B220+GREET1_Import_Export!$F220)/1000000+P$81*GREET1_Import_Export!$C$10*(1+(GREET1_Import_Export!$E$179*GREET1_Import_Export!$B184+GREET1_Import_Export!$E184)/1000000)+P$82*(GREET1_Import_Export!$B313+GREET1_Import_Export!$C313)/1000000+P$83*0.5*GREET1_Import_Export!$B529+P$84*GREET1_Import_Export!$C498+P$86*Steel!$B112+P$87*Steel!$I112</f>
        <v>1.9346822944479494E-2</v>
      </c>
      <c r="Q93" s="505"/>
      <c r="R93" s="503">
        <f ca="1">R$76*(1+(GREET1_Import_Export!$F$179*GREET1_Import_Export!$B184+GREET1_Import_Export!$F184)/1000000)+R$77*(1+(GREET1_Import_Export!$G$179*GREET1_Import_Export!$B184+GREET1_Import_Export!$G184)/1000000)+R$78*(1+(GREET1_Import_Export!$C$179*GREET1_Import_Export!$B184+GREET1_Import_Export!$C184)/1000000)+R$79*GREET1_Import_Export!$B220/1000000+R$80*GREET1_Import_Export!$B288/1000000+R$81*GREET1_Import_Export!$B$10*(GREET1_Import_Export!$F$215*GREET1_Import_Export!$B220+GREET1_Import_Export!$F220)/1000000+R$81*GREET1_Import_Export!$C$10*(1+(GREET1_Import_Export!$E$179*GREET1_Import_Export!$B184+GREET1_Import_Export!$E184)/1000000)+R$82*(GREET1_Import_Export!$B313+GREET1_Import_Export!$C313)/1000000+R$83*0.5*GREET1_Import_Export!$B529+R$84*GREET1_Import_Export!$C498+R$86*Steel!$B112+R$87*Steel!$I112</f>
        <v>2.74312464621006E-2</v>
      </c>
      <c r="S93" s="502"/>
      <c r="T93" s="505">
        <f ca="1">T$76*(1+(GREET1_Import_Export!$F$179*GREET1_Import_Export!$B184+GREET1_Import_Export!$F184)/1000000)+T$77*(1+(GREET1_Import_Export!$G$179*GREET1_Import_Export!$B184+GREET1_Import_Export!$G184)/1000000)+T$78*(1+(GREET1_Import_Export!$C$179*GREET1_Import_Export!$B184+GREET1_Import_Export!$C184)/1000000)+T$79*GREET1_Import_Export!$B220/1000000+T$80*GREET1_Import_Export!$B288/1000000+T$81*GREET1_Import_Export!$B$10*(GREET1_Import_Export!$F$215*GREET1_Import_Export!$B220+GREET1_Import_Export!$F220)/1000000+T$81*GREET1_Import_Export!$C$10*(1+(GREET1_Import_Export!$E$179*GREET1_Import_Export!$B184+GREET1_Import_Export!$E184)/1000000)+T$82*(GREET1_Import_Export!$B313+GREET1_Import_Export!$C313)/1000000+T$83*0.5*GREET1_Import_Export!$B529+T$84*GREET1_Import_Export!$C498+T$86*Steel!$B112+T$87*Steel!$I112</f>
        <v>1.5000347862609176E-2</v>
      </c>
      <c r="U93" s="505"/>
      <c r="V93" s="503">
        <f ca="1">V$76*(1+(GREET1_Import_Export!$F$179*GREET1_Import_Export!$B184+GREET1_Import_Export!$F184)/1000000)+V$77*(1+(GREET1_Import_Export!$G$179*GREET1_Import_Export!$B184+GREET1_Import_Export!$G184)/1000000)+V$78*(1+(GREET1_Import_Export!$C$179*GREET1_Import_Export!$B184+GREET1_Import_Export!$C184)/1000000)+V$79*GREET1_Import_Export!$B220/1000000+V$80*GREET1_Import_Export!$B288/1000000+V$81*GREET1_Import_Export!$B$10*(GREET1_Import_Export!$F$215*GREET1_Import_Export!$B220+GREET1_Import_Export!$F220)/1000000+V$81*GREET1_Import_Export!$C$10*(1+(GREET1_Import_Export!$E$179*GREET1_Import_Export!$B184+GREET1_Import_Export!$E184)/1000000)+V$82*(GREET1_Import_Export!$B313+GREET1_Import_Export!$C313)/1000000+V$83*0.5*GREET1_Import_Export!$B529+V$84*GREET1_Import_Export!$C498+V$86*Steel!$B112+V$87*Steel!$I112</f>
        <v>3.5316901943513036E-2</v>
      </c>
      <c r="W93" s="502"/>
      <c r="Y93" s="1321"/>
    </row>
    <row r="94" spans="1:25" s="64" customFormat="1">
      <c r="A94" s="661" t="s">
        <v>819</v>
      </c>
      <c r="B94" s="650">
        <f ca="1">B$76*((GREET1_Import_Export!$F$179*GREET1_Import_Export!$B185+GREET1_Import_Export!$F185))+B$77*((GREET1_Import_Export!$H$179*GREET1_Import_Export!$B185+GREET1_Import_Export!$H185))+B$78*((GREET1_Import_Export!$C$179*GREET1_Import_Export!$B185+GREET1_Import_Export!$C185))+B$79*GREET1_Import_Export!$B221+B$80*GREET1_Import_Export!$B289+B$81*GREET1_Import_Export!$B$10*(GREET1_Import_Export!$F$215*GREET1_Import_Export!$B221+GREET1_Import_Export!$F221)+B$81*GREET1_Import_Export!$C$10*((GREET1_Import_Export!$E$179*GREET1_Import_Export!$B185+GREET1_Import_Export!$E185))+B$82*(GREET1_Import_Export!$B314+GREET1_Import_Export!$C314)+B$83*0.5*GREET1_Import_Export!$B530+B$84*GREET1_Import_Export!$C499+B$86*Steel!$B113+B$87*Steel!$I113</f>
        <v>13.597066511398644</v>
      </c>
      <c r="C94" s="159">
        <v>1486</v>
      </c>
      <c r="D94" s="158">
        <f ca="1">D$76*((GREET1_Import_Export!$F$179*GREET1_Import_Export!$B185+GREET1_Import_Export!$F185))+D$77*((GREET1_Import_Export!$G$179*GREET1_Import_Export!$B185+GREET1_Import_Export!$G185))+D$78*((GREET1_Import_Export!$C$179*GREET1_Import_Export!$B185+GREET1_Import_Export!$C185))+D$79*GREET1_Import_Export!$B221+D$80*GREET1_Import_Export!$B289+D$81*GREET1_Import_Export!$B$10*(GREET1_Import_Export!$F$215*GREET1_Import_Export!$B221+GREET1_Import_Export!$F221)+D$81*GREET1_Import_Export!$C$10*((GREET1_Import_Export!$E$179*GREET1_Import_Export!$B185+GREET1_Import_Export!$E185))+D$82*(GREET1_Import_Export!$B314+GREET1_Import_Export!$C314)+D$83*0.5*GREET1_Import_Export!$B530+D$84*GREET1_Import_Export!$C499+D$86*Steel!$B113+D$87*Steel!$I113</f>
        <v>690.39544263508083</v>
      </c>
      <c r="E94" s="158">
        <v>824</v>
      </c>
      <c r="F94" s="650">
        <f ca="1">F$76*((GREET1_Import_Export!$F$179*GREET1_Import_Export!$B185+GREET1_Import_Export!$F185))+F$77*((GREET1_Import_Export!$G$179*GREET1_Import_Export!$B185+GREET1_Import_Export!$G185))+F$78*((GREET1_Import_Export!$C$179*GREET1_Import_Export!$B185+GREET1_Import_Export!$C185))+F$79*GREET1_Import_Export!$B221+F$80*GREET1_Import_Export!$B289+F$81*GREET1_Import_Export!$B$10*(GREET1_Import_Export!$F$215*GREET1_Import_Export!$B221+GREET1_Import_Export!$F221)+F$81*GREET1_Import_Export!$C$10*((GREET1_Import_Export!$E$179*GREET1_Import_Export!$B185+GREET1_Import_Export!$E185))+F$82*(GREET1_Import_Export!$B314+GREET1_Import_Export!$C314)+F$83*0.5*GREET1_Import_Export!$B530+F$84*GREET1_Import_Export!$C499+F$85*GREET1_Import_Export!$B$41*(GREET1_Import_Export!$I$179*GREET1_Import_Export!$B185+GREET1_Import_Export!$I185)/1000000+F$86*Steel!$B113+F$87*Steel!$I113</f>
        <v>198.98034129895223</v>
      </c>
      <c r="G94" s="159">
        <v>11.3</v>
      </c>
      <c r="H94" s="158">
        <f ca="1">H$76*((GREET1_Import_Export!$F$179*GREET1_Import_Export!$B185+GREET1_Import_Export!$F185))+H$77*((GREET1_Import_Export!$G$179*GREET1_Import_Export!$B185+GREET1_Import_Export!$G185))+H$78*((GREET1_Import_Export!$C$179*GREET1_Import_Export!$B185+GREET1_Import_Export!$C185))+H$79*GREET1_Import_Export!$B221+H$80*GREET1_Import_Export!$B289+H$81*GREET1_Import_Export!$B$10*(GREET1_Import_Export!$F$215*GREET1_Import_Export!$B221+GREET1_Import_Export!$F221)+H$81*GREET1_Import_Export!$C$10*((GREET1_Import_Export!$E$179*GREET1_Import_Export!$B185+GREET1_Import_Export!$E185))+H$82*W.Al!$B31+H$83*0.5*GREET1_Import_Export!$B530+H$84*GREET1_Import_Export!$C499+H$86*Steel!$B113+H$87*Steel!$I113</f>
        <v>21882.70472559339</v>
      </c>
      <c r="I94" s="158">
        <v>57.5</v>
      </c>
      <c r="J94" s="650">
        <f ca="1">J$76*((GREET1_Import_Export!$F$179*GREET1_Import_Export!$B185+GREET1_Import_Export!$F185))+J$77*((GREET1_Import_Export!$G$179*GREET1_Import_Export!$B185+GREET1_Import_Export!$G185))+J$78*((GREET1_Import_Export!$C$179*GREET1_Import_Export!$B185+GREET1_Import_Export!$C185))+J$79*GREET1_Import_Export!$B221+J$80*GREET1_Import_Export!$B289+J$81*GREET1_Import_Export!$B$10*(GREET1_Import_Export!$F$215*GREET1_Import_Export!$B221+GREET1_Import_Export!$F221)+J$81*GREET1_Import_Export!$C$10*((GREET1_Import_Export!$E$179*GREET1_Import_Export!$B185+GREET1_Import_Export!$E185))+J$82*(GREET1_Import_Export!$B314+GREET1_Import_Export!$C314)+J$83*0.5*GREET1_Import_Export!$B530+J$84*GREET1_Import_Export!$C499+J$85*GREET1_Import_Export!$B$41*(GREET1_Import_Export!$I$179*GREET1_Import_Export!$B185+GREET1_Import_Export!$I185)/1000000+J$86*Steel!$B113+J$87*Steel!$I113</f>
        <v>27.571350503798143</v>
      </c>
      <c r="K94" s="159">
        <v>55.1</v>
      </c>
      <c r="L94" s="158">
        <f ca="1">L$76*((GREET1_Import_Export!$F$179*GREET1_Import_Export!$B185+GREET1_Import_Export!$F185))+L$77*((GREET1_Import_Export!$G$179*GREET1_Import_Export!$B185+GREET1_Import_Export!$G185))+L$78*((GREET1_Import_Export!$C$179*GREET1_Import_Export!$B185+GREET1_Import_Export!$C185))+L$79*GREET1_Import_Export!$B221+L$80*GREET1_Import_Export!$B289+L$81*GREET1_Import_Export!$B$10*(GREET1_Import_Export!$F$215*GREET1_Import_Export!$B221+GREET1_Import_Export!$F221)+L$81*GREET1_Import_Export!$C$10*((GREET1_Import_Export!$E$179*GREET1_Import_Export!$B185+GREET1_Import_Export!$E185))+L$82*(GREET1_Import_Export!$B314+GREET1_Import_Export!$C314)+L$83*0.5*GREET1_Import_Export!$B530+L$84*GREET1_Import_Export!$C499+L$85*GREET1_Import_Export!$B$41*(GREET1_Import_Export!$I$179*GREET1_Import_Export!$B185+GREET1_Import_Export!$I185)/1000000+L$86*Steel!$B113+L$87*Steel!$I113</f>
        <v>40.793959301649188</v>
      </c>
      <c r="M94" s="158">
        <v>0.105</v>
      </c>
      <c r="N94" s="650">
        <f ca="1">N$76*((GREET1_Import_Export!$F$179*GREET1_Import_Export!$B185+GREET1_Import_Export!$F185))+N$77*((GREET1_Import_Export!$G$179*GREET1_Import_Export!$B185+GREET1_Import_Export!$G185))+N$78*((GREET1_Import_Export!$C$179*GREET1_Import_Export!$B185+GREET1_Import_Export!$C185))+N$79*GREET1_Import_Export!$B221+N$80*GREET1_Import_Export!$B289+N$81*GREET1_Import_Export!$B$10*(GREET1_Import_Export!$F$215*GREET1_Import_Export!$B221+GREET1_Import_Export!$F221)+N$81*GREET1_Import_Export!$C$10*((GREET1_Import_Export!$E$179*GREET1_Import_Export!$B185+GREET1_Import_Export!$E185))+N$82*(GREET1_Import_Export!$B314+GREET1_Import_Export!$C314)+N$83*0.5*GREET1_Import_Export!$B530+N$84*GREET1_Import_Export!$C499+N$85*GREET1_Import_Export!$B$41*(GREET1_Import_Export!$I$179*GREET1_Import_Export!$B185+GREET1_Import_Export!$I185)/1000000+N$86*Steel!$B113+N$87*Steel!$I113+N$88*(SUM($B131:$E131)*$F$122+$F131)</f>
        <v>2113.034114005367</v>
      </c>
      <c r="O94" s="159">
        <v>73.099999999999994</v>
      </c>
      <c r="P94" s="158">
        <f ca="1">P$76*((GREET1_Import_Export!$F$179*GREET1_Import_Export!$B185+GREET1_Import_Export!$F185))+P$77*((GREET1_Import_Export!$G$179*GREET1_Import_Export!$B185+GREET1_Import_Export!$G185))+P$78*((GREET1_Import_Export!$C$179*GREET1_Import_Export!$B185+GREET1_Import_Export!$C185))+P$79*GREET1_Import_Export!$B221+P$80*GREET1_Import_Export!$B289+P$81*GREET1_Import_Export!$B$10*(GREET1_Import_Export!$F$215*GREET1_Import_Export!$B221+GREET1_Import_Export!$F221)+P$81*GREET1_Import_Export!$C$10*((GREET1_Import_Export!$E$179*GREET1_Import_Export!$B185+GREET1_Import_Export!$E185))+P$82*(GREET1_Import_Export!$B314+GREET1_Import_Export!$C314)+P$83*0.5*GREET1_Import_Export!$B530+P$84*GREET1_Import_Export!$C499+P$86*Steel!$B113+P$87*Steel!$I113</f>
        <v>48.611727948214622</v>
      </c>
      <c r="Q94" s="158">
        <v>19.7</v>
      </c>
      <c r="R94" s="650">
        <f ca="1">R$76*((GREET1_Import_Export!$F$179*GREET1_Import_Export!$B185+GREET1_Import_Export!$F185))+R$77*((GREET1_Import_Export!$G$179*GREET1_Import_Export!$B185+GREET1_Import_Export!$G185))+R$78*((GREET1_Import_Export!$C$179*GREET1_Import_Export!$B185+GREET1_Import_Export!$C185))+R$79*GREET1_Import_Export!$B221+R$80*GREET1_Import_Export!$B289+R$81*GREET1_Import_Export!$B$10*(GREET1_Import_Export!$F$215*GREET1_Import_Export!$B221+GREET1_Import_Export!$F221)+R$81*GREET1_Import_Export!$C$10*((GREET1_Import_Export!$E$179*GREET1_Import_Export!$B185+GREET1_Import_Export!$E185))+R$82*(GREET1_Import_Export!$B314+GREET1_Import_Export!$C314)+R$83*0.5*GREET1_Import_Export!$B530+R$84*GREET1_Import_Export!$C499+R$86*Steel!$B113+R$87*Steel!$I113</f>
        <v>129.54998919727529</v>
      </c>
      <c r="S94" s="159">
        <v>65.3</v>
      </c>
      <c r="T94" s="158">
        <f ca="1">T$76*((GREET1_Import_Export!$F$179*GREET1_Import_Export!$B185+GREET1_Import_Export!$F185))+T$77*((GREET1_Import_Export!$G$179*GREET1_Import_Export!$B185+GREET1_Import_Export!$G185))+T$78*((GREET1_Import_Export!$C$179*GREET1_Import_Export!$B185+GREET1_Import_Export!$C185))+T$79*GREET1_Import_Export!$B221+T$80*GREET1_Import_Export!$B289+T$81*GREET1_Import_Export!$B$10*(GREET1_Import_Export!$F$215*GREET1_Import_Export!$B221+GREET1_Import_Export!$F221)+T$81*GREET1_Import_Export!$C$10*((GREET1_Import_Export!$E$179*GREET1_Import_Export!$B185+GREET1_Import_Export!$E185))+T$82*(GREET1_Import_Export!$B314+GREET1_Import_Export!$C314)+T$83*0.5*GREET1_Import_Export!$B530+T$84*GREET1_Import_Export!$C499+T$86*Steel!$B113+T$87*Steel!$I113</f>
        <v>93.45911796857979</v>
      </c>
      <c r="U94" s="158"/>
      <c r="V94" s="650">
        <f ca="1">V$76*((GREET1_Import_Export!$F$179*GREET1_Import_Export!$B185+GREET1_Import_Export!$F185))+V$77*((GREET1_Import_Export!$G$179*GREET1_Import_Export!$B185+GREET1_Import_Export!$G185))+V$78*((GREET1_Import_Export!$C$179*GREET1_Import_Export!$B185+GREET1_Import_Export!$C185))+V$79*GREET1_Import_Export!$B221+V$80*GREET1_Import_Export!$B289+V$81*GREET1_Import_Export!$B$10*(GREET1_Import_Export!$F$215*GREET1_Import_Export!$B221+GREET1_Import_Export!$F221)+V$81*GREET1_Import_Export!$C$10*((GREET1_Import_Export!$E$179*GREET1_Import_Export!$B185+GREET1_Import_Export!$E185))+V$82*(GREET1_Import_Export!$B314+GREET1_Import_Export!$C314)+V$83*0.5*GREET1_Import_Export!$B530+V$84*GREET1_Import_Export!$C499+V$86*Steel!$B113+V$87*Steel!$I113</f>
        <v>93.498666912100305</v>
      </c>
      <c r="W94" s="159">
        <v>105</v>
      </c>
      <c r="Y94" s="1321"/>
    </row>
    <row r="95" spans="1:25" s="64" customFormat="1">
      <c r="A95" s="238" t="s">
        <v>820</v>
      </c>
      <c r="B95" s="623"/>
      <c r="C95" s="673"/>
      <c r="D95" s="615"/>
      <c r="E95" s="615"/>
      <c r="F95" s="623"/>
      <c r="G95" s="673"/>
      <c r="H95" s="615"/>
      <c r="I95" s="615"/>
      <c r="J95" s="623"/>
      <c r="K95" s="673"/>
      <c r="L95" s="615"/>
      <c r="M95" s="615"/>
      <c r="N95" s="623"/>
      <c r="O95" s="673"/>
      <c r="P95" s="615"/>
      <c r="Q95" s="615"/>
      <c r="R95" s="623"/>
      <c r="S95" s="673"/>
      <c r="T95" s="615"/>
      <c r="U95" s="615"/>
      <c r="V95" s="623"/>
      <c r="W95" s="673"/>
      <c r="Y95" s="1321"/>
    </row>
    <row r="96" spans="1:25" s="64" customFormat="1">
      <c r="A96" s="230" t="s">
        <v>821</v>
      </c>
      <c r="B96" s="347">
        <f ca="1">B$76*(B$53*GREET1_Import_Export!$K72+GREET1_Import_Export!$F$179*GREET1_Import_Export!$B186+GREET1_Import_Export!$F186)+B$77*(B$59*GREET1_Import_Export!$R72+B$60*GREET1_Import_Export!$C146+GREET1_Import_Export!$H$179*GREET1_Import_Export!$B186+GREET1_Import_Export!$H186)+B$78*(B$57*GREET1_Import_Export!$T72+B$58*GREET1_Import_Export!$C132+GREET1_Import_Export!$C$179*GREET1_Import_Export!$B186+GREET1_Import_Export!$C186)+B$79*(B$54*GREET1_Import_Export!$B72+B$55*GREET1_Import_Export!$C118+GREET1_Import_Export!$B222)+B$80*(B$56*GREET1_Import_Export!$AA72+GREET1_Import_Export!$B290)+B$81*(GREET1_Import_Export!$X72+GREET1_Import_Export!$B$10*(GREET1_Import_Export!$F$215*GREET1_Import_Export!$B222+GREET1_Import_Export!$F222)+GREET1_Import_Export!$C$10*(GREET1_Import_Export!$E$179*GREET1_Import_Export!$B186+GREET1_Import_Export!$E186))+B$82*(GREET1_Import_Export!$B315+GREET1_Import_Export!$C315)+B$83*0.5*GREET1_Import_Export!$B532+B$84*GREET1_Import_Export!$C501+B$86*Steel!$B115+B$87*Steel!$I115</f>
        <v>14.103941572634085</v>
      </c>
      <c r="C96" s="348"/>
      <c r="D96" s="349">
        <f ca="1">D$76*(GREET1_Import_Export!$K72+GREET1_Import_Export!$F$179*GREET1_Import_Export!$B186+GREET1_Import_Export!$F186)+D$77*(GREET1_Import_Export!$O72+GREET1_Import_Export!$G$179*GREET1_Import_Export!$B186+GREET1_Import_Export!$G186)+D$78*(GREET1_Import_Export!$T72+GREET1_Import_Export!$C$179*GREET1_Import_Export!$B186+GREET1_Import_Export!$C186)+D$79*(GREET1_Import_Export!$B72+GREET1_Import_Export!$B222)+D$80*(GREET1_Import_Export!$AA72+GREET1_Import_Export!$B290)+D$81*(GREET1_Import_Export!$X72+GREET1_Import_Export!$B$10*(GREET1_Import_Export!$F$215*GREET1_Import_Export!$B222+GREET1_Import_Export!$F222)+GREET1_Import_Export!$C$10*(GREET1_Import_Export!$E$179*GREET1_Import_Export!$B186+GREET1_Import_Export!$E186))+D$82*(GREET1_Import_Export!$B315+GREET1_Import_Export!$C315)+D$83*0.5*GREET1_Import_Export!$B532+D$84*GREET1_Import_Export!$C501+D$86*Steel!$B115+D$87*Steel!$I115</f>
        <v>249.89396671133065</v>
      </c>
      <c r="E96" s="349"/>
      <c r="F96" s="347">
        <f ca="1">F$76*(GREET1_Import_Export!$K72+GREET1_Import_Export!$F$179*GREET1_Import_Export!$B186+GREET1_Import_Export!$F186)+F$77*(GREET1_Import_Export!$O72+GREET1_Import_Export!$G$179*GREET1_Import_Export!$B186+GREET1_Import_Export!$G186)+F$78*(GREET1_Import_Export!$T72+GREET1_Import_Export!$C$179*GREET1_Import_Export!$B186+GREET1_Import_Export!$C186)+F$79*(GREET1_Import_Export!$B72+GREET1_Import_Export!$B222)+F$80*(GREET1_Import_Export!$AA72+GREET1_Import_Export!$B290)+F$81*(GREET1_Import_Export!$X72+GREET1_Import_Export!$B$10*(GREET1_Import_Export!$F$215*GREET1_Import_Export!$B222+GREET1_Import_Export!$F222)+GREET1_Import_Export!$C$10*(GREET1_Import_Export!$E$179*GREET1_Import_Export!$B186+GREET1_Import_Export!$E186))+F$82*(GREET1_Import_Export!$B315+GREET1_Import_Export!$C315)+F$83*0.5*GREET1_Import_Export!$B532+F$84*GREET1_Import_Export!$C501+F$85*GREET1_Import_Export!$B$41*(GREET1_Import_Export!$I$179*GREET1_Import_Export!$B186+GREET1_Import_Export!$I186)/1000000+F$86*Steel!$B115+F$87*Steel!$I115</f>
        <v>213.88161220850009</v>
      </c>
      <c r="G96" s="348"/>
      <c r="H96" s="349">
        <f ca="1">H$76*(GREET1_Import_Export!$K72+GREET1_Import_Export!$F$179*GREET1_Import_Export!$B186+GREET1_Import_Export!$F186)+H$77*(GREET1_Import_Export!$O72+GREET1_Import_Export!$G$179*GREET1_Import_Export!$B186+GREET1_Import_Export!$G186)+H$78*(GREET1_Import_Export!$T72+GREET1_Import_Export!$C$179*GREET1_Import_Export!$B186+GREET1_Import_Export!$C186)+H$79*(GREET1_Import_Export!$B72+GREET1_Import_Export!$B222)+H$80*(GREET1_Import_Export!$AA72+GREET1_Import_Export!$B290)+H$81*(GREET1_Import_Export!$X72+GREET1_Import_Export!$B$10*(GREET1_Import_Export!$F$215*GREET1_Import_Export!$B222+GREET1_Import_Export!$F222)+GREET1_Import_Export!$C$10*(GREET1_Import_Export!$E$179*GREET1_Import_Export!$B186+GREET1_Import_Export!$E186))+H$82*W.Al!$B32+H$83*0.5*GREET1_Import_Export!$B532+H$84*GREET1_Import_Export!$C501+H$86*Steel!$B115+H$87*Steel!$I115</f>
        <v>238.60533652962718</v>
      </c>
      <c r="I96" s="349"/>
      <c r="J96" s="347">
        <f ca="1">J$76*(GREET1_Import_Export!$K72+GREET1_Import_Export!$F$179*GREET1_Import_Export!$B186+GREET1_Import_Export!$F186)+J$77*(GREET1_Import_Export!$O72+GREET1_Import_Export!$G$179*GREET1_Import_Export!$B186+GREET1_Import_Export!$G186)+J$78*(GREET1_Import_Export!$T72+GREET1_Import_Export!$C$179*GREET1_Import_Export!$B186+GREET1_Import_Export!$C186)+J$79*(GREET1_Import_Export!$B72+GREET1_Import_Export!$B222)+J$80*(GREET1_Import_Export!$AA72+GREET1_Import_Export!$B290)+J$81*(GREET1_Import_Export!$X72+GREET1_Import_Export!$B$10*(GREET1_Import_Export!$F$215*GREET1_Import_Export!$B222+GREET1_Import_Export!$F222)+GREET1_Import_Export!$C$10*(GREET1_Import_Export!$E$179*GREET1_Import_Export!$B186+GREET1_Import_Export!$E186))+J$82*(GREET1_Import_Export!$B315+GREET1_Import_Export!$C315)+J$83*0.5*GREET1_Import_Export!$B532+J$84*GREET1_Import_Export!$C501+J$85*GREET1_Import_Export!$B$41*(GREET1_Import_Export!$I$179*GREET1_Import_Export!$B186+GREET1_Import_Export!$I186)/1000000+J$86*Steel!$B115+J$87*Steel!$I115</f>
        <v>12.407197653502605</v>
      </c>
      <c r="K96" s="348"/>
      <c r="L96" s="349">
        <f ca="1">L$76*(GREET1_Import_Export!$K72+GREET1_Import_Export!$F$179*GREET1_Import_Export!$B186+GREET1_Import_Export!$F186)+L$77*(GREET1_Import_Export!$O72+GREET1_Import_Export!$G$179*GREET1_Import_Export!$B186+GREET1_Import_Export!$G186)+L$78*(GREET1_Import_Export!$T72+GREET1_Import_Export!$C$179*GREET1_Import_Export!$B186+GREET1_Import_Export!$C186)+L$79*(GREET1_Import_Export!$B72+GREET1_Import_Export!$B222)+L$80*(GREET1_Import_Export!$AA72+GREET1_Import_Export!$B290)+L$81*(GREET1_Import_Export!$X72+GREET1_Import_Export!$B$10*(GREET1_Import_Export!$F$215*GREET1_Import_Export!$B222+GREET1_Import_Export!$F222)+GREET1_Import_Export!$C$10*(GREET1_Import_Export!$E$179*GREET1_Import_Export!$B186+GREET1_Import_Export!$E186))+L$82*(GREET1_Import_Export!$B315+GREET1_Import_Export!$C315)+L$83*0.5*GREET1_Import_Export!$B532+L$84*GREET1_Import_Export!$C501+L$85*GREET1_Import_Export!$B$41*(GREET1_Import_Export!$I$179*GREET1_Import_Export!$B186+GREET1_Import_Export!$I186)/1000000+L$86*Steel!$B115+L$87*Steel!$I115</f>
        <v>14.443048288408258</v>
      </c>
      <c r="M96" s="349"/>
      <c r="N96" s="347">
        <f ca="1">N$76*(GREET1_Import_Export!$K72+GREET1_Import_Export!$F$179*GREET1_Import_Export!$B186+GREET1_Import_Export!$F186)+N$77*(GREET1_Import_Export!$O72+GREET1_Import_Export!$G$179*GREET1_Import_Export!$B186+GREET1_Import_Export!$G186)+N$78*(GREET1_Import_Export!$T72+GREET1_Import_Export!$C$179*GREET1_Import_Export!$B186+GREET1_Import_Export!$C186)+N$79*(GREET1_Import_Export!$B72+GREET1_Import_Export!$B222)+N$80*(GREET1_Import_Export!$AA72+GREET1_Import_Export!$B290)+N$81*(GREET1_Import_Export!$X72+GREET1_Import_Export!$B$10*(GREET1_Import_Export!$F$215*GREET1_Import_Export!$B222+GREET1_Import_Export!$F222)+GREET1_Import_Export!$C$10*(GREET1_Import_Export!$E$179*GREET1_Import_Export!$B186+GREET1_Import_Export!$E186))+N$82*(GREET1_Import_Export!$B315+GREET1_Import_Export!$C315)+N$83*0.5*GREET1_Import_Export!$B532+N$84*GREET1_Import_Export!$C501+N$85*GREET1_Import_Export!$B$41*(GREET1_Import_Export!$I$179*GREET1_Import_Export!$B186+GREET1_Import_Export!$I186)/1000000+N$86*Steel!$B115+N$87*Steel!$I115+N$88*(SUM($B133:$E133)*$F$122+$F133)</f>
        <v>117.64120288568003</v>
      </c>
      <c r="O96" s="478">
        <v>69.5541840445877</v>
      </c>
      <c r="P96" s="349">
        <f ca="1">P$76*(GREET1_Import_Export!$K72+GREET1_Import_Export!$F$179*GREET1_Import_Export!$B186+GREET1_Import_Export!$F186)+P$77*(GREET1_Import_Export!$O72+GREET1_Import_Export!$G$179*GREET1_Import_Export!$B186+GREET1_Import_Export!$G186)+P$78*(GREET1_Import_Export!$T72+GREET1_Import_Export!$C$179*GREET1_Import_Export!$B186+GREET1_Import_Export!$C186)+P$79*(GREET1_Import_Export!$B72+GREET1_Import_Export!$B222)+P$80*(GREET1_Import_Export!$AA72+GREET1_Import_Export!$B290)+P$81*(GREET1_Import_Export!$X72+GREET1_Import_Export!$B$10*(GREET1_Import_Export!$F$215*GREET1_Import_Export!$B222+GREET1_Import_Export!$F222)+GREET1_Import_Export!$C$10*(GREET1_Import_Export!$E$179*GREET1_Import_Export!$B186+GREET1_Import_Export!$E186))+P$82*(GREET1_Import_Export!$B315+GREET1_Import_Export!$C315)+P$83*0.5*GREET1_Import_Export!$B532+P$84*GREET1_Import_Export!$C501+P$86*Steel!$B115+P$87*Steel!$I115</f>
        <v>46.964122346266258</v>
      </c>
      <c r="Q96" s="479">
        <v>256.39425696045498</v>
      </c>
      <c r="R96" s="347">
        <f ca="1">R$76*(GREET1_Import_Export!$K72+GREET1_Import_Export!$F$179*GREET1_Import_Export!$B186+GREET1_Import_Export!$F186)+R$77*(GREET1_Import_Export!$O72+GREET1_Import_Export!$G$179*GREET1_Import_Export!$B186+GREET1_Import_Export!$G186)+R$78*(GREET1_Import_Export!$T72+GREET1_Import_Export!$C$179*GREET1_Import_Export!$B186+GREET1_Import_Export!$C186)+R$79*(GREET1_Import_Export!$B72+GREET1_Import_Export!$B222)+R$80*(GREET1_Import_Export!$AA72+GREET1_Import_Export!$B290)+R$81*(GREET1_Import_Export!$X72+GREET1_Import_Export!$B$10*(GREET1_Import_Export!$F$215*GREET1_Import_Export!$B222+GREET1_Import_Export!$F222)+GREET1_Import_Export!$C$10*(GREET1_Import_Export!$E$179*GREET1_Import_Export!$B186+GREET1_Import_Export!$E186))+R$82*(GREET1_Import_Export!$B315+GREET1_Import_Export!$C315)+R$83*0.5*GREET1_Import_Export!$B532+R$84*GREET1_Import_Export!$C501+R$86*Steel!$B115+R$87*Steel!$I115</f>
        <v>40.499541667635945</v>
      </c>
      <c r="S96" s="478">
        <v>235.43001525565899</v>
      </c>
      <c r="T96" s="349">
        <f ca="1">T$76*(GREET1_Import_Export!$K72+GREET1_Import_Export!$F$179*GREET1_Import_Export!$B186+GREET1_Import_Export!$F186)+T$77*(GREET1_Import_Export!$O72+GREET1_Import_Export!$G$179*GREET1_Import_Export!$B186+GREET1_Import_Export!$G186)+T$78*(GREET1_Import_Export!$T72+GREET1_Import_Export!$C$179*GREET1_Import_Export!$B186+GREET1_Import_Export!$C186)+T$79*(GREET1_Import_Export!$B72+GREET1_Import_Export!$B222)+T$80*(GREET1_Import_Export!$AA72+GREET1_Import_Export!$B290)+T$81*(GREET1_Import_Export!$X72+GREET1_Import_Export!$B$10*(GREET1_Import_Export!$F$215*GREET1_Import_Export!$B222+GREET1_Import_Export!$F222)+GREET1_Import_Export!$C$10*(GREET1_Import_Export!$E$179*GREET1_Import_Export!$B186+GREET1_Import_Export!$E186))+T$82*(GREET1_Import_Export!$B315+GREET1_Import_Export!$C315)+T$83*0.5*GREET1_Import_Export!$B532+T$84*GREET1_Import_Export!$C501+T$86*Steel!$B115+T$87*Steel!$I115</f>
        <v>11.915593522352985</v>
      </c>
      <c r="U96" s="349"/>
      <c r="V96" s="347">
        <f ca="1">V$76*(GREET1_Import_Export!$K72+GREET1_Import_Export!$F$179*GREET1_Import_Export!$B186+GREET1_Import_Export!$F186)+V$77*(GREET1_Import_Export!$O72+GREET1_Import_Export!$G$179*GREET1_Import_Export!$B186+GREET1_Import_Export!$G186)+V$78*(GREET1_Import_Export!$T72+GREET1_Import_Export!$C$179*GREET1_Import_Export!$B186+GREET1_Import_Export!$C186)+V$79*(GREET1_Import_Export!$B72+GREET1_Import_Export!$B222)+V$80*(GREET1_Import_Export!$AA72+GREET1_Import_Export!$B290)+V$81*(GREET1_Import_Export!$X72+GREET1_Import_Export!$B$10*(GREET1_Import_Export!$F$215*GREET1_Import_Export!$B222+GREET1_Import_Export!$F222)+GREET1_Import_Export!$C$10*(GREET1_Import_Export!$E$179*GREET1_Import_Export!$B186+GREET1_Import_Export!$E186))+V$82*(GREET1_Import_Export!$B315+GREET1_Import_Export!$C315)+V$83*0.5*GREET1_Import_Export!$B532+V$84*GREET1_Import_Export!$C501+V$86*Steel!$B115+V$87*Steel!$I115</f>
        <v>79.507804913829574</v>
      </c>
      <c r="W96" s="478">
        <v>243.397446491875</v>
      </c>
      <c r="Y96" s="1321"/>
    </row>
    <row r="97" spans="1:25" s="64" customFormat="1">
      <c r="A97" s="230" t="s">
        <v>822</v>
      </c>
      <c r="B97" s="347">
        <f ca="1">B$76*(B$53*GREET1_Import_Export!$K73+GREET1_Import_Export!$F$179*GREET1_Import_Export!$B187+GREET1_Import_Export!$F187)+B$77*(B$59*GREET1_Import_Export!$R73+B$60*GREET1_Import_Export!$C147+GREET1_Import_Export!$H$179*GREET1_Import_Export!$B187+GREET1_Import_Export!$H187)+B$78*(B$57*GREET1_Import_Export!$T73+B$58*GREET1_Import_Export!$C133+GREET1_Import_Export!$C$179*GREET1_Import_Export!$B187+GREET1_Import_Export!$C187)+B$79*(B$54*GREET1_Import_Export!$B73+B$55*GREET1_Import_Export!$C119+GREET1_Import_Export!$B223)+B$80*(B$56*GREET1_Import_Export!$AA73+GREET1_Import_Export!$B291)+B$81*(GREET1_Import_Export!$X73+GREET1_Import_Export!$B$10*(GREET1_Import_Export!$F$215*GREET1_Import_Export!$B223+GREET1_Import_Export!$F223)+GREET1_Import_Export!$C$10*(GREET1_Import_Export!$E$179*GREET1_Import_Export!$B187+GREET1_Import_Export!$E187))+B$82*(GREET1_Import_Export!$B316+GREET1_Import_Export!$C316)+B$83*0.5*GREET1_Import_Export!$B533+B$84*GREET1_Import_Export!$C502+B$86*Steel!$B116+B$87*Steel!$I116</f>
        <v>40.286761288321777</v>
      </c>
      <c r="C97" s="348"/>
      <c r="D97" s="349">
        <f ca="1">D$76*(GREET1_Import_Export!$K73+GREET1_Import_Export!$F$179*GREET1_Import_Export!$B187+GREET1_Import_Export!$F187)+D$77*(GREET1_Import_Export!$O73+GREET1_Import_Export!$G$179*GREET1_Import_Export!$B187+GREET1_Import_Export!$G187)+D$78*(GREET1_Import_Export!$T73+GREET1_Import_Export!$C$179*GREET1_Import_Export!$B187+GREET1_Import_Export!$C187)+D$79*(GREET1_Import_Export!$B73+GREET1_Import_Export!$B223)+D$80*(GREET1_Import_Export!$AA73+GREET1_Import_Export!$B291)+D$81*(GREET1_Import_Export!$X73+GREET1_Import_Export!$B$10*(GREET1_Import_Export!$F$215*GREET1_Import_Export!$B223+GREET1_Import_Export!$F223)+GREET1_Import_Export!$C$10*(GREET1_Import_Export!$E$179*GREET1_Import_Export!$B187+GREET1_Import_Export!$E187))+D$82*(GREET1_Import_Export!$B316+GREET1_Import_Export!$C316)+D$83*0.5*GREET1_Import_Export!$B533+D$84*GREET1_Import_Export!$C502+D$86*Steel!$B116+D$87*Steel!$I116</f>
        <v>1057.7496414933585</v>
      </c>
      <c r="E97" s="349"/>
      <c r="F97" s="347">
        <f ca="1">F$76*(GREET1_Import_Export!$K73+GREET1_Import_Export!$F$179*GREET1_Import_Export!$B187+GREET1_Import_Export!$F187)+F$77*(GREET1_Import_Export!$O73+GREET1_Import_Export!$G$179*GREET1_Import_Export!$B187+GREET1_Import_Export!$G187)+F$78*(GREET1_Import_Export!$T73+GREET1_Import_Export!$C$179*GREET1_Import_Export!$B187+GREET1_Import_Export!$C187)+F$79*(GREET1_Import_Export!$B73+GREET1_Import_Export!$B223)+F$80*(GREET1_Import_Export!$AA73+GREET1_Import_Export!$B291)+F$81*(GREET1_Import_Export!$X73+GREET1_Import_Export!$B$10*(GREET1_Import_Export!$F$215*GREET1_Import_Export!$B223+GREET1_Import_Export!$F223)+GREET1_Import_Export!$C$10*(GREET1_Import_Export!$E$179*GREET1_Import_Export!$B187+GREET1_Import_Export!$E187))+F$82*(GREET1_Import_Export!$B316+GREET1_Import_Export!$C316)+F$83*0.5*GREET1_Import_Export!$B533+F$84*GREET1_Import_Export!$C502+F$85*GREET1_Import_Export!$B$41*(GREET1_Import_Export!$I$179*GREET1_Import_Export!$B187+GREET1_Import_Export!$I187)/1000000+F$86*Steel!$B116+F$87*Steel!$I116</f>
        <v>301.44000598533142</v>
      </c>
      <c r="G97" s="348"/>
      <c r="H97" s="349">
        <f ca="1">H$76*(GREET1_Import_Export!$K73+GREET1_Import_Export!$F$179*GREET1_Import_Export!$B187+GREET1_Import_Export!$F187)+H$77*(GREET1_Import_Export!$O73+GREET1_Import_Export!$G$179*GREET1_Import_Export!$B187+GREET1_Import_Export!$G187)+H$78*(GREET1_Import_Export!$T73+GREET1_Import_Export!$C$179*GREET1_Import_Export!$B187+GREET1_Import_Export!$C187)+H$79*(GREET1_Import_Export!$B73+GREET1_Import_Export!$B223)+H$80*(GREET1_Import_Export!$AA73+GREET1_Import_Export!$B291)+H$81*(GREET1_Import_Export!$X73+GREET1_Import_Export!$B$10*(GREET1_Import_Export!$F$215*GREET1_Import_Export!$B223+GREET1_Import_Export!$F223)+GREET1_Import_Export!$C$10*(GREET1_Import_Export!$E$179*GREET1_Import_Export!$B187+GREET1_Import_Export!$E187))+H$82*W.Al!$B33+H$83*0.5*GREET1_Import_Export!$B533+H$84*GREET1_Import_Export!$C502+H$86*Steel!$B116+H$87*Steel!$I116</f>
        <v>530.89612102870342</v>
      </c>
      <c r="I97" s="349"/>
      <c r="J97" s="347">
        <f ca="1">J$76*(GREET1_Import_Export!$K73+GREET1_Import_Export!$F$179*GREET1_Import_Export!$B187+GREET1_Import_Export!$F187)+J$77*(GREET1_Import_Export!$O73+GREET1_Import_Export!$G$179*GREET1_Import_Export!$B187+GREET1_Import_Export!$G187)+J$78*(GREET1_Import_Export!$T73+GREET1_Import_Export!$C$179*GREET1_Import_Export!$B187+GREET1_Import_Export!$C187)+J$79*(GREET1_Import_Export!$B73+GREET1_Import_Export!$B223)+J$80*(GREET1_Import_Export!$AA73+GREET1_Import_Export!$B291)+J$81*(GREET1_Import_Export!$X73+GREET1_Import_Export!$B$10*(GREET1_Import_Export!$F$215*GREET1_Import_Export!$B223+GREET1_Import_Export!$F223)+GREET1_Import_Export!$C$10*(GREET1_Import_Export!$E$179*GREET1_Import_Export!$B187+GREET1_Import_Export!$E187))+J$82*(GREET1_Import_Export!$B316+GREET1_Import_Export!$C316)+J$83*0.5*GREET1_Import_Export!$B533+J$84*GREET1_Import_Export!$C502+J$85*GREET1_Import_Export!$B$41*(GREET1_Import_Export!$I$179*GREET1_Import_Export!$B187+GREET1_Import_Export!$I187)/1000000+J$86*Steel!$B116+J$87*Steel!$I116</f>
        <v>63.733452663009182</v>
      </c>
      <c r="K97" s="348"/>
      <c r="L97" s="349">
        <f ca="1">L$76*(GREET1_Import_Export!$K73+GREET1_Import_Export!$F$179*GREET1_Import_Export!$B187+GREET1_Import_Export!$F187)+L$77*(GREET1_Import_Export!$O73+GREET1_Import_Export!$G$179*GREET1_Import_Export!$B187+GREET1_Import_Export!$G187)+L$78*(GREET1_Import_Export!$T73+GREET1_Import_Export!$C$179*GREET1_Import_Export!$B187+GREET1_Import_Export!$C187)+L$79*(GREET1_Import_Export!$B73+GREET1_Import_Export!$B223)+L$80*(GREET1_Import_Export!$AA73+GREET1_Import_Export!$B291)+L$81*(GREET1_Import_Export!$X73+GREET1_Import_Export!$B$10*(GREET1_Import_Export!$F$215*GREET1_Import_Export!$B223+GREET1_Import_Export!$F223)+GREET1_Import_Export!$C$10*(GREET1_Import_Export!$E$179*GREET1_Import_Export!$B187+GREET1_Import_Export!$E187))+L$82*(GREET1_Import_Export!$B316+GREET1_Import_Export!$C316)+L$83*0.5*GREET1_Import_Export!$B533+L$84*GREET1_Import_Export!$C502+L$85*GREET1_Import_Export!$B$41*(GREET1_Import_Export!$I$179*GREET1_Import_Export!$B187+GREET1_Import_Export!$I187)/1000000+L$86*Steel!$B116+L$87*Steel!$I116</f>
        <v>53.229183684608017</v>
      </c>
      <c r="M97" s="349"/>
      <c r="N97" s="347">
        <f ca="1">N$76*(GREET1_Import_Export!$K73+GREET1_Import_Export!$F$179*GREET1_Import_Export!$B187+GREET1_Import_Export!$F187)+N$77*(GREET1_Import_Export!$O73+GREET1_Import_Export!$G$179*GREET1_Import_Export!$B187+GREET1_Import_Export!$G187)+N$78*(GREET1_Import_Export!$T73+GREET1_Import_Export!$C$179*GREET1_Import_Export!$B187+GREET1_Import_Export!$C187)+N$79*(GREET1_Import_Export!$B73+GREET1_Import_Export!$B223)+N$80*(GREET1_Import_Export!$AA73+GREET1_Import_Export!$B291)+N$81*(GREET1_Import_Export!$X73+GREET1_Import_Export!$B$10*(GREET1_Import_Export!$F$215*GREET1_Import_Export!$B223+GREET1_Import_Export!$F223)+GREET1_Import_Export!$C$10*(GREET1_Import_Export!$E$179*GREET1_Import_Export!$B187+GREET1_Import_Export!$E187))+N$82*(GREET1_Import_Export!$B316+GREET1_Import_Export!$C316)+N$83*0.5*GREET1_Import_Export!$B533+N$84*GREET1_Import_Export!$C502+N$85*GREET1_Import_Export!$B$41*(GREET1_Import_Export!$I$179*GREET1_Import_Export!$B187+GREET1_Import_Export!$I187)/1000000+N$86*Steel!$B116+N$87*Steel!$I116+N$88*(SUM($B134:$E134)*$F$122+$F134)</f>
        <v>399.16447303685163</v>
      </c>
      <c r="O97" s="478"/>
      <c r="P97" s="349">
        <f ca="1">P$76*(GREET1_Import_Export!$K73+GREET1_Import_Export!$F$179*GREET1_Import_Export!$B187+GREET1_Import_Export!$F187)+P$77*(GREET1_Import_Export!$O73+GREET1_Import_Export!$G$179*GREET1_Import_Export!$B187+GREET1_Import_Export!$G187)+P$78*(GREET1_Import_Export!$T73+GREET1_Import_Export!$C$179*GREET1_Import_Export!$B187+GREET1_Import_Export!$C187)+P$79*(GREET1_Import_Export!$B73+GREET1_Import_Export!$B223)+P$80*(GREET1_Import_Export!$AA73+GREET1_Import_Export!$B291)+P$81*(GREET1_Import_Export!$X73+GREET1_Import_Export!$B$10*(GREET1_Import_Export!$F$215*GREET1_Import_Export!$B223+GREET1_Import_Export!$F223)+GREET1_Import_Export!$C$10*(GREET1_Import_Export!$E$179*GREET1_Import_Export!$B187+GREET1_Import_Export!$E187))+P$82*(GREET1_Import_Export!$B316+GREET1_Import_Export!$C316)+P$83*0.5*GREET1_Import_Export!$B533+P$84*GREET1_Import_Export!$C502+P$86*Steel!$B116+P$87*Steel!$I116</f>
        <v>188.68125018253426</v>
      </c>
      <c r="Q97" s="479"/>
      <c r="R97" s="347">
        <f ca="1">R$76*(GREET1_Import_Export!$K73+GREET1_Import_Export!$F$179*GREET1_Import_Export!$B187+GREET1_Import_Export!$F187)+R$77*(GREET1_Import_Export!$O73+GREET1_Import_Export!$G$179*GREET1_Import_Export!$B187+GREET1_Import_Export!$G187)+R$78*(GREET1_Import_Export!$T73+GREET1_Import_Export!$C$179*GREET1_Import_Export!$B187+GREET1_Import_Export!$C187)+R$79*(GREET1_Import_Export!$B73+GREET1_Import_Export!$B223)+R$80*(GREET1_Import_Export!$AA73+GREET1_Import_Export!$B291)+R$81*(GREET1_Import_Export!$X73+GREET1_Import_Export!$B$10*(GREET1_Import_Export!$F$215*GREET1_Import_Export!$B223+GREET1_Import_Export!$F223)+GREET1_Import_Export!$C$10*(GREET1_Import_Export!$E$179*GREET1_Import_Export!$B187+GREET1_Import_Export!$E187))+R$82*(GREET1_Import_Export!$B316+GREET1_Import_Export!$C316)+R$83*0.5*GREET1_Import_Export!$B533+R$84*GREET1_Import_Export!$C502+R$86*Steel!$B116+R$87*Steel!$I116</f>
        <v>147.33201270125713</v>
      </c>
      <c r="S97" s="478">
        <v>3.7195200000000002</v>
      </c>
      <c r="T97" s="349">
        <f ca="1">T$76*(GREET1_Import_Export!$K73+GREET1_Import_Export!$F$179*GREET1_Import_Export!$B187+GREET1_Import_Export!$F187)+T$77*(GREET1_Import_Export!$O73+GREET1_Import_Export!$G$179*GREET1_Import_Export!$B187+GREET1_Import_Export!$G187)+T$78*(GREET1_Import_Export!$T73+GREET1_Import_Export!$C$179*GREET1_Import_Export!$B187+GREET1_Import_Export!$C187)+T$79*(GREET1_Import_Export!$B73+GREET1_Import_Export!$B223)+T$80*(GREET1_Import_Export!$AA73+GREET1_Import_Export!$B291)+T$81*(GREET1_Import_Export!$X73+GREET1_Import_Export!$B$10*(GREET1_Import_Export!$F$215*GREET1_Import_Export!$B223+GREET1_Import_Export!$F223)+GREET1_Import_Export!$C$10*(GREET1_Import_Export!$E$179*GREET1_Import_Export!$B187+GREET1_Import_Export!$E187))+T$82*(GREET1_Import_Export!$B316+GREET1_Import_Export!$C316)+T$83*0.5*GREET1_Import_Export!$B533+T$84*GREET1_Import_Export!$C502+T$86*Steel!$B116+T$87*Steel!$I116</f>
        <v>32.207721927340408</v>
      </c>
      <c r="U97" s="349"/>
      <c r="V97" s="347">
        <f ca="1">V$76*(GREET1_Import_Export!$K73+GREET1_Import_Export!$F$179*GREET1_Import_Export!$B187+GREET1_Import_Export!$F187)+V$77*(GREET1_Import_Export!$O73+GREET1_Import_Export!$G$179*GREET1_Import_Export!$B187+GREET1_Import_Export!$G187)+V$78*(GREET1_Import_Export!$T73+GREET1_Import_Export!$C$179*GREET1_Import_Export!$B187+GREET1_Import_Export!$C187)+V$79*(GREET1_Import_Export!$B73+GREET1_Import_Export!$B223)+V$80*(GREET1_Import_Export!$AA73+GREET1_Import_Export!$B291)+V$81*(GREET1_Import_Export!$X73+GREET1_Import_Export!$B$10*(GREET1_Import_Export!$F$215*GREET1_Import_Export!$B223+GREET1_Import_Export!$F223)+GREET1_Import_Export!$C$10*(GREET1_Import_Export!$E$179*GREET1_Import_Export!$B187+GREET1_Import_Export!$E187))+V$82*(GREET1_Import_Export!$B316+GREET1_Import_Export!$C316)+V$83*0.5*GREET1_Import_Export!$B533+V$84*GREET1_Import_Export!$C502+V$86*Steel!$B116+V$87*Steel!$I116</f>
        <v>325.26455811153886</v>
      </c>
      <c r="W97" s="478"/>
      <c r="Y97" s="1321"/>
    </row>
    <row r="98" spans="1:25" s="64" customFormat="1">
      <c r="A98" s="230" t="s">
        <v>823</v>
      </c>
      <c r="B98" s="347">
        <f ca="1">B$76*(B$53*GREET1_Import_Export!$K74+GREET1_Import_Export!$F$179*GREET1_Import_Export!$B188+GREET1_Import_Export!$F188)+B$77*(B$59*GREET1_Import_Export!$R74+B$60*GREET1_Import_Export!$C148+GREET1_Import_Export!$H$179*GREET1_Import_Export!$B188+GREET1_Import_Export!$H188)+B$78*(B$57*GREET1_Import_Export!$T74+B$58*GREET1_Import_Export!$C134+GREET1_Import_Export!$C$179*GREET1_Import_Export!$B188+GREET1_Import_Export!$C188)+B$79*(B$54*GREET1_Import_Export!$B74+B$55*GREET1_Import_Export!$C120+GREET1_Import_Export!$B224)+B$80*(B$56*GREET1_Import_Export!$AA74+GREET1_Import_Export!$B292)+B$81*(GREET1_Import_Export!$X74+GREET1_Import_Export!$B$10*(GREET1_Import_Export!$F$215*GREET1_Import_Export!$B224+GREET1_Import_Export!$F224)+GREET1_Import_Export!$C$10*(GREET1_Import_Export!$E$179*GREET1_Import_Export!$B188+GREET1_Import_Export!$E188))+B$82*(GREET1_Import_Export!$B317+GREET1_Import_Export!$C317)+B$83*0.5*GREET1_Import_Export!$B534+B$84*GREET1_Import_Export!$C503+B$86*Steel!$B117+B$87*Steel!$I117</f>
        <v>154.87052837337771</v>
      </c>
      <c r="C98" s="348"/>
      <c r="D98" s="349">
        <f ca="1">D$76*(GREET1_Import_Export!$K74+GREET1_Import_Export!$F$179*GREET1_Import_Export!$B188+GREET1_Import_Export!$F188)+D$77*(GREET1_Import_Export!$O74+GREET1_Import_Export!$G$179*GREET1_Import_Export!$B188+GREET1_Import_Export!$G188)+D$78*(GREET1_Import_Export!$T74+GREET1_Import_Export!$C$179*GREET1_Import_Export!$B188+GREET1_Import_Export!$C188)+D$79*(GREET1_Import_Export!$B74+GREET1_Import_Export!$B224)+D$80*(GREET1_Import_Export!$AA74+GREET1_Import_Export!$B292)+D$81*(GREET1_Import_Export!$X74+GREET1_Import_Export!$B$10*(GREET1_Import_Export!$F$215*GREET1_Import_Export!$B224+GREET1_Import_Export!$F224)+GREET1_Import_Export!$C$10*(GREET1_Import_Export!$E$179*GREET1_Import_Export!$B188+GREET1_Import_Export!$E188))+D$82*(GREET1_Import_Export!$B317+GREET1_Import_Export!$C317)+D$83*0.5*GREET1_Import_Export!$B534+D$84*GREET1_Import_Export!$C503+D$86*Steel!$B117+D$87*Steel!$I117</f>
        <v>1870.5188178096525</v>
      </c>
      <c r="E98" s="479">
        <v>19.7257467877353</v>
      </c>
      <c r="F98" s="347">
        <f ca="1">F$76*(GREET1_Import_Export!$K74+GREET1_Import_Export!$F$179*GREET1_Import_Export!$B188+GREET1_Import_Export!$F188)+F$77*(GREET1_Import_Export!$O74+GREET1_Import_Export!$G$179*GREET1_Import_Export!$B188+GREET1_Import_Export!$G188)+F$78*(GREET1_Import_Export!$T74+GREET1_Import_Export!$C$179*GREET1_Import_Export!$B188+GREET1_Import_Export!$C188)+F$79*(GREET1_Import_Export!$B74+GREET1_Import_Export!$B224)+F$80*(GREET1_Import_Export!$AA74+GREET1_Import_Export!$B292)+F$81*(GREET1_Import_Export!$X74+GREET1_Import_Export!$B$10*(GREET1_Import_Export!$F$215*GREET1_Import_Export!$B224+GREET1_Import_Export!$F224)+GREET1_Import_Export!$C$10*(GREET1_Import_Export!$E$179*GREET1_Import_Export!$B188+GREET1_Import_Export!$E188))+F$82*(GREET1_Import_Export!$B317+GREET1_Import_Export!$C317)+F$83*0.5*GREET1_Import_Export!$B534+F$84*GREET1_Import_Export!$C503+F$85*GREET1_Import_Export!$B$41*(GREET1_Import_Export!$I$179*GREET1_Import_Export!$B188+GREET1_Import_Export!$I188)/1000000+F$86*Steel!$B117+F$87*Steel!$I117</f>
        <v>358.39967012125771</v>
      </c>
      <c r="G98" s="478">
        <v>120.63789155888099</v>
      </c>
      <c r="H98" s="349">
        <f ca="1">H$76*(GREET1_Import_Export!$K74+GREET1_Import_Export!$F$179*GREET1_Import_Export!$B188+GREET1_Import_Export!$F188)+H$77*(GREET1_Import_Export!$O74+GREET1_Import_Export!$G$179*GREET1_Import_Export!$B188+GREET1_Import_Export!$G188)+H$78*(GREET1_Import_Export!$T74+GREET1_Import_Export!$C$179*GREET1_Import_Export!$B188+GREET1_Import_Export!$C188)+H$79*(GREET1_Import_Export!$B74+GREET1_Import_Export!$B224)+H$80*(GREET1_Import_Export!$AA74+GREET1_Import_Export!$B292)+H$81*(GREET1_Import_Export!$X74+GREET1_Import_Export!$B$10*(GREET1_Import_Export!$F$215*GREET1_Import_Export!$B224+GREET1_Import_Export!$F224)+GREET1_Import_Export!$C$10*(GREET1_Import_Export!$E$179*GREET1_Import_Export!$B188+GREET1_Import_Export!$E188))+H$82*W.Al!$B34+H$83*0.5*GREET1_Import_Export!$B534+H$84*GREET1_Import_Export!$C503+H$86*Steel!$B117+H$87*Steel!$I117</f>
        <v>1527.4780285946626</v>
      </c>
      <c r="I98" s="479">
        <v>235.87200000000001</v>
      </c>
      <c r="J98" s="347">
        <f ca="1">J$76*(GREET1_Import_Export!$K74+GREET1_Import_Export!$F$179*GREET1_Import_Export!$B188+GREET1_Import_Export!$F188)+J$77*(GREET1_Import_Export!$O74+GREET1_Import_Export!$G$179*GREET1_Import_Export!$B188+GREET1_Import_Export!$G188)+J$78*(GREET1_Import_Export!$T74+GREET1_Import_Export!$C$179*GREET1_Import_Export!$B188+GREET1_Import_Export!$C188)+J$79*(GREET1_Import_Export!$B74+GREET1_Import_Export!$B224)+J$80*(GREET1_Import_Export!$AA74+GREET1_Import_Export!$B292)+J$81*(GREET1_Import_Export!$X74+GREET1_Import_Export!$B$10*(GREET1_Import_Export!$F$215*GREET1_Import_Export!$B224+GREET1_Import_Export!$F224)+GREET1_Import_Export!$C$10*(GREET1_Import_Export!$E$179*GREET1_Import_Export!$B188+GREET1_Import_Export!$E188))+J$82*(GREET1_Import_Export!$B317+GREET1_Import_Export!$C317)+J$83*0.5*GREET1_Import_Export!$B534+J$84*GREET1_Import_Export!$C503+J$85*GREET1_Import_Export!$B$41*(GREET1_Import_Export!$I$179*GREET1_Import_Export!$B188+GREET1_Import_Export!$I188)/1000000+J$86*Steel!$B117+J$87*Steel!$I117</f>
        <v>89.14886752378861</v>
      </c>
      <c r="K98" s="478">
        <v>26.6437206463393</v>
      </c>
      <c r="L98" s="349">
        <f ca="1">L$76*(GREET1_Import_Export!$K74+GREET1_Import_Export!$F$179*GREET1_Import_Export!$B188+GREET1_Import_Export!$F188)+L$77*(GREET1_Import_Export!$O74+GREET1_Import_Export!$G$179*GREET1_Import_Export!$B188+GREET1_Import_Export!$G188)+L$78*(GREET1_Import_Export!$T74+GREET1_Import_Export!$C$179*GREET1_Import_Export!$B188+GREET1_Import_Export!$C188)+L$79*(GREET1_Import_Export!$B74+GREET1_Import_Export!$B224)+L$80*(GREET1_Import_Export!$AA74+GREET1_Import_Export!$B292)+L$81*(GREET1_Import_Export!$X74+GREET1_Import_Export!$B$10*(GREET1_Import_Export!$F$215*GREET1_Import_Export!$B224+GREET1_Import_Export!$F224)+GREET1_Import_Export!$C$10*(GREET1_Import_Export!$E$179*GREET1_Import_Export!$B188+GREET1_Import_Export!$E188))+L$82*(GREET1_Import_Export!$B317+GREET1_Import_Export!$C317)+L$83*0.5*GREET1_Import_Export!$B534+L$84*GREET1_Import_Export!$C503+L$85*GREET1_Import_Export!$B$41*(GREET1_Import_Export!$I$179*GREET1_Import_Export!$B188+GREET1_Import_Export!$I188)/1000000+L$86*Steel!$B117+L$87*Steel!$I117</f>
        <v>81.116188142851811</v>
      </c>
      <c r="M98" s="349"/>
      <c r="N98" s="347">
        <f ca="1">N$76*(GREET1_Import_Export!$K74+GREET1_Import_Export!$F$179*GREET1_Import_Export!$B188+GREET1_Import_Export!$F188)+N$77*(GREET1_Import_Export!$O74+GREET1_Import_Export!$G$179*GREET1_Import_Export!$B188+GREET1_Import_Export!$G188)+N$78*(GREET1_Import_Export!$T74+GREET1_Import_Export!$C$179*GREET1_Import_Export!$B188+GREET1_Import_Export!$C188)+N$79*(GREET1_Import_Export!$B74+GREET1_Import_Export!$B224)+N$80*(GREET1_Import_Export!$AA74+GREET1_Import_Export!$B292)+N$81*(GREET1_Import_Export!$X74+GREET1_Import_Export!$B$10*(GREET1_Import_Export!$F$215*GREET1_Import_Export!$B224+GREET1_Import_Export!$F224)+GREET1_Import_Export!$C$10*(GREET1_Import_Export!$E$179*GREET1_Import_Export!$B188+GREET1_Import_Export!$E188))+N$82*(GREET1_Import_Export!$B317+GREET1_Import_Export!$C317)+N$83*0.5*GREET1_Import_Export!$B534+N$84*GREET1_Import_Export!$C503+N$85*GREET1_Import_Export!$B$41*(GREET1_Import_Export!$I$179*GREET1_Import_Export!$B188+GREET1_Import_Export!$I188)/1000000+N$86*Steel!$B117+N$87*Steel!$I117+N$88*(SUM($B135:$E135)*$F$122+$F135)</f>
        <v>685.87370444700593</v>
      </c>
      <c r="O98" s="478">
        <v>42.750584953933597</v>
      </c>
      <c r="P98" s="349">
        <f ca="1">P$76*(GREET1_Import_Export!$K74+GREET1_Import_Export!$F$179*GREET1_Import_Export!$B188+GREET1_Import_Export!$F188)+P$77*(GREET1_Import_Export!$O74+GREET1_Import_Export!$G$179*GREET1_Import_Export!$B188+GREET1_Import_Export!$G188)+P$78*(GREET1_Import_Export!$T74+GREET1_Import_Export!$C$179*GREET1_Import_Export!$B188+GREET1_Import_Export!$C188)+P$79*(GREET1_Import_Export!$B74+GREET1_Import_Export!$B224)+P$80*(GREET1_Import_Export!$AA74+GREET1_Import_Export!$B292)+P$81*(GREET1_Import_Export!$X74+GREET1_Import_Export!$B$10*(GREET1_Import_Export!$F$215*GREET1_Import_Export!$B224+GREET1_Import_Export!$F224)+GREET1_Import_Export!$C$10*(GREET1_Import_Export!$E$179*GREET1_Import_Export!$B188+GREET1_Import_Export!$E188))+P$82*(GREET1_Import_Export!$B317+GREET1_Import_Export!$C317)+P$83*0.5*GREET1_Import_Export!$B534+P$84*GREET1_Import_Export!$C503+P$86*Steel!$B117+P$87*Steel!$I117</f>
        <v>265.38782381444224</v>
      </c>
      <c r="Q98" s="479">
        <v>85.881084630142198</v>
      </c>
      <c r="R98" s="347">
        <f ca="1">R$76*(GREET1_Import_Export!$K74+GREET1_Import_Export!$F$179*GREET1_Import_Export!$B188+GREET1_Import_Export!$F188)+R$77*(GREET1_Import_Export!$O74+GREET1_Import_Export!$G$179*GREET1_Import_Export!$B188+GREET1_Import_Export!$G188)+R$78*(GREET1_Import_Export!$T74+GREET1_Import_Export!$C$179*GREET1_Import_Export!$B188+GREET1_Import_Export!$C188)+R$79*(GREET1_Import_Export!$B74+GREET1_Import_Export!$B224)+R$80*(GREET1_Import_Export!$AA74+GREET1_Import_Export!$B292)+R$81*(GREET1_Import_Export!$X74+GREET1_Import_Export!$B$10*(GREET1_Import_Export!$F$215*GREET1_Import_Export!$B224+GREET1_Import_Export!$F224)+GREET1_Import_Export!$C$10*(GREET1_Import_Export!$E$179*GREET1_Import_Export!$B188+GREET1_Import_Export!$E188))+R$82*(GREET1_Import_Export!$B317+GREET1_Import_Export!$C317)+R$83*0.5*GREET1_Import_Export!$B534+R$84*GREET1_Import_Export!$C503+R$86*Steel!$B117+R$87*Steel!$I117</f>
        <v>225.25936722742239</v>
      </c>
      <c r="S98" s="478"/>
      <c r="T98" s="349">
        <f ca="1">T$76*(GREET1_Import_Export!$K74+GREET1_Import_Export!$F$179*GREET1_Import_Export!$B188+GREET1_Import_Export!$F188)+T$77*(GREET1_Import_Export!$O74+GREET1_Import_Export!$G$179*GREET1_Import_Export!$B188+GREET1_Import_Export!$G188)+T$78*(GREET1_Import_Export!$T74+GREET1_Import_Export!$C$179*GREET1_Import_Export!$B188+GREET1_Import_Export!$C188)+T$79*(GREET1_Import_Export!$B74+GREET1_Import_Export!$B224)+T$80*(GREET1_Import_Export!$AA74+GREET1_Import_Export!$B292)+T$81*(GREET1_Import_Export!$X74+GREET1_Import_Export!$B$10*(GREET1_Import_Export!$F$215*GREET1_Import_Export!$B224+GREET1_Import_Export!$F224)+GREET1_Import_Export!$C$10*(GREET1_Import_Export!$E$179*GREET1_Import_Export!$B188+GREET1_Import_Export!$E188))+T$82*(GREET1_Import_Export!$B317+GREET1_Import_Export!$C317)+T$83*0.5*GREET1_Import_Export!$B534+T$84*GREET1_Import_Export!$C503+T$86*Steel!$B117+T$87*Steel!$I117</f>
        <v>66.349908848759256</v>
      </c>
      <c r="U98" s="349"/>
      <c r="V98" s="347">
        <f ca="1">V$76*(GREET1_Import_Export!$K74+GREET1_Import_Export!$F$179*GREET1_Import_Export!$B188+GREET1_Import_Export!$F188)+V$77*(GREET1_Import_Export!$O74+GREET1_Import_Export!$G$179*GREET1_Import_Export!$B188+GREET1_Import_Export!$G188)+V$78*(GREET1_Import_Export!$T74+GREET1_Import_Export!$C$179*GREET1_Import_Export!$B188+GREET1_Import_Export!$C188)+V$79*(GREET1_Import_Export!$B74+GREET1_Import_Export!$B224)+V$80*(GREET1_Import_Export!$AA74+GREET1_Import_Export!$B292)+V$81*(GREET1_Import_Export!$X74+GREET1_Import_Export!$B$10*(GREET1_Import_Export!$F$215*GREET1_Import_Export!$B224+GREET1_Import_Export!$F224)+GREET1_Import_Export!$C$10*(GREET1_Import_Export!$E$179*GREET1_Import_Export!$B188+GREET1_Import_Export!$E188))+V$82*(GREET1_Import_Export!$B317+GREET1_Import_Export!$C317)+V$83*0.5*GREET1_Import_Export!$B534+V$84*GREET1_Import_Export!$C503+V$86*Steel!$B117+V$87*Steel!$I117</f>
        <v>439.00218483338102</v>
      </c>
      <c r="W98" s="478"/>
      <c r="Y98" s="1321"/>
    </row>
    <row r="99" spans="1:25">
      <c r="A99" s="230" t="s">
        <v>824</v>
      </c>
      <c r="B99" s="347">
        <f ca="1">B$76*(B$53*GREET1_Import_Export!$K75+GREET1_Import_Export!$F$179*GREET1_Import_Export!$B189+GREET1_Import_Export!$F189)+B$77*(B$59*GREET1_Import_Export!$R75+B$60*GREET1_Import_Export!$C149+GREET1_Import_Export!$H$179*GREET1_Import_Export!$B189+GREET1_Import_Export!$H189)+B$78*(B$57*GREET1_Import_Export!$T75+B$58*GREET1_Import_Export!$C135+GREET1_Import_Export!$C$179*GREET1_Import_Export!$B189+GREET1_Import_Export!$C189)+B$79*(B$54*GREET1_Import_Export!$B75+B$55*GREET1_Import_Export!$C121+GREET1_Import_Export!$B225)+B$80*(B$56*GREET1_Import_Export!$AA75+GREET1_Import_Export!$B293)+B$81*(GREET1_Import_Export!$X75+GREET1_Import_Export!$B$10*(GREET1_Import_Export!$F$215*GREET1_Import_Export!$B225+GREET1_Import_Export!$F225)+GREET1_Import_Export!$C$10*(GREET1_Import_Export!$E$179*GREET1_Import_Export!$B189+GREET1_Import_Export!$E189))+B$82*(GREET1_Import_Export!$B318+GREET1_Import_Export!$C318)+B$83*0.5*GREET1_Import_Export!$B535+B$84*GREET1_Import_Export!$C504+B$86*Steel!$B118+B$87*Steel!$I118</f>
        <v>10.425703631465201</v>
      </c>
      <c r="C99" s="478">
        <v>852.21807889424099</v>
      </c>
      <c r="D99" s="349">
        <f ca="1">D$76*(GREET1_Import_Export!$K75+GREET1_Import_Export!$F$179*GREET1_Import_Export!$B189+GREET1_Import_Export!$F189)+D$77*(GREET1_Import_Export!$O75+GREET1_Import_Export!$G$179*GREET1_Import_Export!$B189+GREET1_Import_Export!$G189)+D$78*(GREET1_Import_Export!$T75+GREET1_Import_Export!$C$179*GREET1_Import_Export!$B189+GREET1_Import_Export!$C189)+D$79*(GREET1_Import_Export!$B75+GREET1_Import_Export!$B225)+D$80*(GREET1_Import_Export!$AA75+GREET1_Import_Export!$B293)+D$81*(GREET1_Import_Export!$X75+GREET1_Import_Export!$B$10*(GREET1_Import_Export!$F$215*GREET1_Import_Export!$B225+GREET1_Import_Export!$F225)+GREET1_Import_Export!$C$10*(GREET1_Import_Export!$E$179*GREET1_Import_Export!$B189+GREET1_Import_Export!$E189))+D$82*(GREET1_Import_Export!$B318+GREET1_Import_Export!$C318)+D$83*0.5*GREET1_Import_Export!$B535+D$84*GREET1_Import_Export!$C504+D$86*Steel!$B118+D$87*Steel!$I118</f>
        <v>197.51453739600819</v>
      </c>
      <c r="E99" s="479">
        <v>790.78538038236002</v>
      </c>
      <c r="F99" s="347">
        <f ca="1">F$76*(GREET1_Import_Export!$K75+GREET1_Import_Export!$F$179*GREET1_Import_Export!$B189+GREET1_Import_Export!$F189)+F$77*(GREET1_Import_Export!$O75+GREET1_Import_Export!$G$179*GREET1_Import_Export!$B189+GREET1_Import_Export!$G189)+F$78*(GREET1_Import_Export!$T75+GREET1_Import_Export!$C$179*GREET1_Import_Export!$B189+GREET1_Import_Export!$C189)+F$79*(GREET1_Import_Export!$B75+GREET1_Import_Export!$B225)+F$80*(GREET1_Import_Export!$AA75+GREET1_Import_Export!$B293)+F$81*(GREET1_Import_Export!$X75+GREET1_Import_Export!$B$10*(GREET1_Import_Export!$F$215*GREET1_Import_Export!$B225+GREET1_Import_Export!$F225)+GREET1_Import_Export!$C$10*(GREET1_Import_Export!$E$179*GREET1_Import_Export!$B189+GREET1_Import_Export!$E189))+F$82*(GREET1_Import_Export!$B318+GREET1_Import_Export!$C318)+F$83*0.5*GREET1_Import_Export!$B535+F$84*GREET1_Import_Export!$C504+F$85*GREET1_Import_Export!$B$41*(GREET1_Import_Export!$I$179*GREET1_Import_Export!$B189+GREET1_Import_Export!$I189)/1000000+F$86*Steel!$B118+F$87*Steel!$I118</f>
        <v>107.64712326003459</v>
      </c>
      <c r="G99" s="478">
        <v>72.040998192995104</v>
      </c>
      <c r="H99" s="349">
        <f ca="1">H$76*(GREET1_Import_Export!$K75+GREET1_Import_Export!$F$179*GREET1_Import_Export!$B189+GREET1_Import_Export!$F189)+H$77*(GREET1_Import_Export!$O75+GREET1_Import_Export!$G$179*GREET1_Import_Export!$B189+GREET1_Import_Export!$G189)+H$78*(GREET1_Import_Export!$T75+GREET1_Import_Export!$C$179*GREET1_Import_Export!$B189+GREET1_Import_Export!$C189)+H$79*(GREET1_Import_Export!$B75+GREET1_Import_Export!$B225)+H$80*(GREET1_Import_Export!$AA75+GREET1_Import_Export!$B293)+H$81*(GREET1_Import_Export!$X75+GREET1_Import_Export!$B$10*(GREET1_Import_Export!$F$215*GREET1_Import_Export!$B225+GREET1_Import_Export!$F225)+GREET1_Import_Export!$C$10*(GREET1_Import_Export!$E$179*GREET1_Import_Export!$B189+GREET1_Import_Export!$E189))+H$82*W.Al!$B35+H$83*0.5*GREET1_Import_Export!$B535+H$84*GREET1_Import_Export!$C504+H$86*Steel!$B118+H$87*Steel!$I118</f>
        <v>359.98163332598523</v>
      </c>
      <c r="I99" s="479">
        <v>1759.9680000000001</v>
      </c>
      <c r="J99" s="347">
        <f ca="1">J$76*(GREET1_Import_Export!$K75+GREET1_Import_Export!$F$179*GREET1_Import_Export!$B189+GREET1_Import_Export!$F189)+J$77*(GREET1_Import_Export!$O75+GREET1_Import_Export!$G$179*GREET1_Import_Export!$B189+GREET1_Import_Export!$G189)+J$78*(GREET1_Import_Export!$T75+GREET1_Import_Export!$C$179*GREET1_Import_Export!$B189+GREET1_Import_Export!$C189)+J$79*(GREET1_Import_Export!$B75+GREET1_Import_Export!$B225)+J$80*(GREET1_Import_Export!$AA75+GREET1_Import_Export!$B293)+J$81*(GREET1_Import_Export!$X75+GREET1_Import_Export!$B$10*(GREET1_Import_Export!$F$215*GREET1_Import_Export!$B225+GREET1_Import_Export!$F225)+GREET1_Import_Export!$C$10*(GREET1_Import_Export!$E$179*GREET1_Import_Export!$B189+GREET1_Import_Export!$E189))+J$82*(GREET1_Import_Export!$B318+GREET1_Import_Export!$C318)+J$83*0.5*GREET1_Import_Export!$B535+J$84*GREET1_Import_Export!$C504+J$85*GREET1_Import_Export!$B$41*(GREET1_Import_Export!$I$179*GREET1_Import_Export!$B189+GREET1_Import_Export!$I189)/1000000+J$86*Steel!$B118+J$87*Steel!$I118</f>
        <v>9.1200892419134529</v>
      </c>
      <c r="K99" s="478">
        <v>27.5105641596057</v>
      </c>
      <c r="L99" s="349">
        <f ca="1">L$76*(GREET1_Import_Export!$K75+GREET1_Import_Export!$F$179*GREET1_Import_Export!$B189+GREET1_Import_Export!$F189)+L$77*(GREET1_Import_Export!$O75+GREET1_Import_Export!$G$179*GREET1_Import_Export!$B189+GREET1_Import_Export!$G189)+L$78*(GREET1_Import_Export!$T75+GREET1_Import_Export!$C$179*GREET1_Import_Export!$B189+GREET1_Import_Export!$C189)+L$79*(GREET1_Import_Export!$B75+GREET1_Import_Export!$B225)+L$80*(GREET1_Import_Export!$AA75+GREET1_Import_Export!$B293)+L$81*(GREET1_Import_Export!$X75+GREET1_Import_Export!$B$10*(GREET1_Import_Export!$F$215*GREET1_Import_Export!$B225+GREET1_Import_Export!$F225)+GREET1_Import_Export!$C$10*(GREET1_Import_Export!$E$179*GREET1_Import_Export!$B189+GREET1_Import_Export!$E189))+L$82*(GREET1_Import_Export!$B318+GREET1_Import_Export!$C318)+L$83*0.5*GREET1_Import_Export!$B535+L$84*GREET1_Import_Export!$C504+L$85*GREET1_Import_Export!$B$41*(GREET1_Import_Export!$I$179*GREET1_Import_Export!$B189+GREET1_Import_Export!$I189)/1000000+L$86*Steel!$B118+L$87*Steel!$I118</f>
        <v>7.3077381371597676</v>
      </c>
      <c r="M99" s="349"/>
      <c r="N99" s="347">
        <f ca="1">N$76*(GREET1_Import_Export!$K75+GREET1_Import_Export!$F$179*GREET1_Import_Export!$B189+GREET1_Import_Export!$F189)+N$77*(GREET1_Import_Export!$O75+GREET1_Import_Export!$G$179*GREET1_Import_Export!$B189+GREET1_Import_Export!$G189)+N$78*(GREET1_Import_Export!$T75+GREET1_Import_Export!$C$179*GREET1_Import_Export!$B189+GREET1_Import_Export!$C189)+N$79*(GREET1_Import_Export!$B75+GREET1_Import_Export!$B225)+N$80*(GREET1_Import_Export!$AA75+GREET1_Import_Export!$B293)+N$81*(GREET1_Import_Export!$X75+GREET1_Import_Export!$B$10*(GREET1_Import_Export!$F$215*GREET1_Import_Export!$B225+GREET1_Import_Export!$F225)+GREET1_Import_Export!$C$10*(GREET1_Import_Export!$E$179*GREET1_Import_Export!$B189+GREET1_Import_Export!$E189))+N$82*(GREET1_Import_Export!$B318+GREET1_Import_Export!$C318)+N$83*0.5*GREET1_Import_Export!$B535+N$84*GREET1_Import_Export!$C504+N$85*GREET1_Import_Export!$B$41*(GREET1_Import_Export!$I$179*GREET1_Import_Export!$B189+GREET1_Import_Export!$I189)/1000000+N$86*Steel!$B118+N$87*Steel!$I118+N$88*(SUM($B136:$E136)*$F$122+$F136)</f>
        <v>362.36012572796596</v>
      </c>
      <c r="O99" s="478">
        <v>242.20348557652301</v>
      </c>
      <c r="P99" s="349">
        <f ca="1">P$76*(GREET1_Import_Export!$K75+GREET1_Import_Export!$F$179*GREET1_Import_Export!$B189+GREET1_Import_Export!$F189)+P$77*(GREET1_Import_Export!$O75+GREET1_Import_Export!$G$179*GREET1_Import_Export!$B189+GREET1_Import_Export!$G189)+P$78*(GREET1_Import_Export!$T75+GREET1_Import_Export!$C$179*GREET1_Import_Export!$B189+GREET1_Import_Export!$C189)+P$79*(GREET1_Import_Export!$B75+GREET1_Import_Export!$B225)+P$80*(GREET1_Import_Export!$AA75+GREET1_Import_Export!$B293)+P$81*(GREET1_Import_Export!$X75+GREET1_Import_Export!$B$10*(GREET1_Import_Export!$F$215*GREET1_Import_Export!$B225+GREET1_Import_Export!$F225)+GREET1_Import_Export!$C$10*(GREET1_Import_Export!$E$179*GREET1_Import_Export!$B189+GREET1_Import_Export!$E189))+P$82*(GREET1_Import_Export!$B318+GREET1_Import_Export!$C318)+P$83*0.5*GREET1_Import_Export!$B535+P$84*GREET1_Import_Export!$C504+P$86*Steel!$B118+P$87*Steel!$I118</f>
        <v>17.259087068791938</v>
      </c>
      <c r="Q99" s="479">
        <v>98.818768992250199</v>
      </c>
      <c r="R99" s="347">
        <f ca="1">R$76*(GREET1_Import_Export!$K75+GREET1_Import_Export!$F$179*GREET1_Import_Export!$B189+GREET1_Import_Export!$F189)+R$77*(GREET1_Import_Export!$O75+GREET1_Import_Export!$G$179*GREET1_Import_Export!$B189+GREET1_Import_Export!$G189)+R$78*(GREET1_Import_Export!$T75+GREET1_Import_Export!$C$179*GREET1_Import_Export!$B189+GREET1_Import_Export!$C189)+R$79*(GREET1_Import_Export!$B75+GREET1_Import_Export!$B225)+R$80*(GREET1_Import_Export!$AA75+GREET1_Import_Export!$B293)+R$81*(GREET1_Import_Export!$X75+GREET1_Import_Export!$B$10*(GREET1_Import_Export!$F$215*GREET1_Import_Export!$B225+GREET1_Import_Export!$F225)+GREET1_Import_Export!$C$10*(GREET1_Import_Export!$E$179*GREET1_Import_Export!$B189+GREET1_Import_Export!$E189))+R$82*(GREET1_Import_Export!$B318+GREET1_Import_Export!$C318)+R$83*0.5*GREET1_Import_Export!$B535+R$84*GREET1_Import_Export!$C504+R$86*Steel!$B118+R$87*Steel!$I118</f>
        <v>21.718447609523832</v>
      </c>
      <c r="S99" s="478">
        <v>53.5247291266123</v>
      </c>
      <c r="T99" s="349">
        <f ca="1">T$76*(GREET1_Import_Export!$K75+GREET1_Import_Export!$F$179*GREET1_Import_Export!$B189+GREET1_Import_Export!$F189)+T$77*(GREET1_Import_Export!$O75+GREET1_Import_Export!$G$179*GREET1_Import_Export!$B189+GREET1_Import_Export!$G189)+T$78*(GREET1_Import_Export!$T75+GREET1_Import_Export!$C$179*GREET1_Import_Export!$B189+GREET1_Import_Export!$C189)+T$79*(GREET1_Import_Export!$B75+GREET1_Import_Export!$B225)+T$80*(GREET1_Import_Export!$AA75+GREET1_Import_Export!$B293)+T$81*(GREET1_Import_Export!$X75+GREET1_Import_Export!$B$10*(GREET1_Import_Export!$F$215*GREET1_Import_Export!$B225+GREET1_Import_Export!$F225)+GREET1_Import_Export!$C$10*(GREET1_Import_Export!$E$179*GREET1_Import_Export!$B189+GREET1_Import_Export!$E189))+T$82*(GREET1_Import_Export!$B318+GREET1_Import_Export!$C318)+T$83*0.5*GREET1_Import_Export!$B535+T$84*GREET1_Import_Export!$C504+T$86*Steel!$B118+T$87*Steel!$I118</f>
        <v>10.621045880234171</v>
      </c>
      <c r="U99" s="349"/>
      <c r="V99" s="347">
        <f ca="1">V$76*(GREET1_Import_Export!$K75+GREET1_Import_Export!$F$179*GREET1_Import_Export!$B189+GREET1_Import_Export!$F189)+V$77*(GREET1_Import_Export!$O75+GREET1_Import_Export!$G$179*GREET1_Import_Export!$B189+GREET1_Import_Export!$G189)+V$78*(GREET1_Import_Export!$T75+GREET1_Import_Export!$C$179*GREET1_Import_Export!$B189+GREET1_Import_Export!$C189)+V$79*(GREET1_Import_Export!$B75+GREET1_Import_Export!$B225)+V$80*(GREET1_Import_Export!$AA75+GREET1_Import_Export!$B293)+V$81*(GREET1_Import_Export!$X75+GREET1_Import_Export!$B$10*(GREET1_Import_Export!$F$215*GREET1_Import_Export!$B225+GREET1_Import_Export!$F225)+GREET1_Import_Export!$C$10*(GREET1_Import_Export!$E$179*GREET1_Import_Export!$B189+GREET1_Import_Export!$E189))+V$82*(GREET1_Import_Export!$B318+GREET1_Import_Export!$C318)+V$83*0.5*GREET1_Import_Export!$B535+V$84*GREET1_Import_Export!$C504+V$86*Steel!$B118+V$87*Steel!$I118</f>
        <v>29.988289602502665</v>
      </c>
      <c r="W99" s="478"/>
      <c r="X99" s="64"/>
      <c r="Y99" s="1321"/>
    </row>
    <row r="100" spans="1:25" s="64" customFormat="1">
      <c r="A100" s="230" t="s">
        <v>825</v>
      </c>
      <c r="B100" s="347">
        <f ca="1">B$76*(B$53*GREET1_Import_Export!$K76+GREET1_Import_Export!$F$179*GREET1_Import_Export!$B190+GREET1_Import_Export!$F190)+B$77*(B$59*GREET1_Import_Export!$R76+B$60*GREET1_Import_Export!$C150+GREET1_Import_Export!$H$179*GREET1_Import_Export!$B190+GREET1_Import_Export!$H190)+B$78*(B$57*GREET1_Import_Export!$T76+B$58*GREET1_Import_Export!$C136+GREET1_Import_Export!$C$179*GREET1_Import_Export!$B190+GREET1_Import_Export!$C190)+B$79*(B$54*GREET1_Import_Export!$B76+B$55*GREET1_Import_Export!$C122+GREET1_Import_Export!$B226)+B$80*(B$56*GREET1_Import_Export!$AA76+GREET1_Import_Export!$B294)+B$81*(GREET1_Import_Export!$X76+GREET1_Import_Export!$B$10*(GREET1_Import_Export!$F$215*GREET1_Import_Export!$B226+GREET1_Import_Export!$F226)+GREET1_Import_Export!$C$10*(GREET1_Import_Export!$E$179*GREET1_Import_Export!$B190+GREET1_Import_Export!$E190))+B$82*(GREET1_Import_Export!$B319+GREET1_Import_Export!$C319)+B$83*0.5*GREET1_Import_Export!$B536+B$84*GREET1_Import_Export!$C505+B$86*Steel!$B119+B$87*Steel!$I119</f>
        <v>7.0782367620247406</v>
      </c>
      <c r="C100" s="478">
        <v>429.87896532000002</v>
      </c>
      <c r="D100" s="349">
        <f ca="1">D$76*(GREET1_Import_Export!$K76+GREET1_Import_Export!$F$179*GREET1_Import_Export!$B190+GREET1_Import_Export!$F190)+D$77*(GREET1_Import_Export!$O76+GREET1_Import_Export!$G$179*GREET1_Import_Export!$B190+GREET1_Import_Export!$G190)+D$78*(GREET1_Import_Export!$T76+GREET1_Import_Export!$C$179*GREET1_Import_Export!$B190+GREET1_Import_Export!$C190)+D$79*(GREET1_Import_Export!$B76+GREET1_Import_Export!$B226)+D$80*(GREET1_Import_Export!$AA76+GREET1_Import_Export!$B294)+D$81*(GREET1_Import_Export!$X76+GREET1_Import_Export!$B$10*(GREET1_Import_Export!$F$215*GREET1_Import_Export!$B226+GREET1_Import_Export!$F226)+GREET1_Import_Export!$C$10*(GREET1_Import_Export!$E$179*GREET1_Import_Export!$B190+GREET1_Import_Export!$E190))+D$82*(GREET1_Import_Export!$B319+GREET1_Import_Export!$C319)+D$83*0.5*GREET1_Import_Export!$B536+D$84*GREET1_Import_Export!$C505+D$86*Steel!$B119+D$87*Steel!$I119</f>
        <v>131.08656852118185</v>
      </c>
      <c r="E100" s="479">
        <v>365.75929967151899</v>
      </c>
      <c r="F100" s="347">
        <f ca="1">F$76*(GREET1_Import_Export!$K76+GREET1_Import_Export!$F$179*GREET1_Import_Export!$B190+GREET1_Import_Export!$F190)+F$77*(GREET1_Import_Export!$O76+GREET1_Import_Export!$G$179*GREET1_Import_Export!$B190+GREET1_Import_Export!$G190)+F$78*(GREET1_Import_Export!$T76+GREET1_Import_Export!$C$179*GREET1_Import_Export!$B190+GREET1_Import_Export!$C190)+F$79*(GREET1_Import_Export!$B76+GREET1_Import_Export!$B226)+F$80*(GREET1_Import_Export!$AA76+GREET1_Import_Export!$B294)+F$81*(GREET1_Import_Export!$X76+GREET1_Import_Export!$B$10*(GREET1_Import_Export!$F$215*GREET1_Import_Export!$B226+GREET1_Import_Export!$F226)+GREET1_Import_Export!$C$10*(GREET1_Import_Export!$E$179*GREET1_Import_Export!$B190+GREET1_Import_Export!$E190))+F$82*(GREET1_Import_Export!$B319+GREET1_Import_Export!$C319)+F$83*0.5*GREET1_Import_Export!$B536+F$84*GREET1_Import_Export!$C505+F$85*GREET1_Import_Export!$B$41*(GREET1_Import_Export!$I$179*GREET1_Import_Export!$B190+GREET1_Import_Export!$I190)/1000000+F$86*Steel!$B119+F$87*Steel!$I119</f>
        <v>56.053332224796343</v>
      </c>
      <c r="G100" s="478">
        <v>35.564012085509098</v>
      </c>
      <c r="H100" s="349">
        <f ca="1">H$76*(GREET1_Import_Export!$K76+GREET1_Import_Export!$F$179*GREET1_Import_Export!$B190+GREET1_Import_Export!$F190)+H$77*(GREET1_Import_Export!$O76+GREET1_Import_Export!$G$179*GREET1_Import_Export!$B190+GREET1_Import_Export!$G190)+H$78*(GREET1_Import_Export!$T76+GREET1_Import_Export!$C$179*GREET1_Import_Export!$B190+GREET1_Import_Export!$C190)+H$79*(GREET1_Import_Export!$B76+GREET1_Import_Export!$B226)+H$80*(GREET1_Import_Export!$AA76+GREET1_Import_Export!$B294)+H$81*(GREET1_Import_Export!$X76+GREET1_Import_Export!$B$10*(GREET1_Import_Export!$F$215*GREET1_Import_Export!$B226+GREET1_Import_Export!$F226)+GREET1_Import_Export!$C$10*(GREET1_Import_Export!$E$179*GREET1_Import_Export!$B190+GREET1_Import_Export!$E190))+H$82*W.Al!$B36+H$83*0.5*GREET1_Import_Export!$B536+H$84*GREET1_Import_Export!$C505+H$86*Steel!$B119+H$87*Steel!$I119</f>
        <v>176.24081454597095</v>
      </c>
      <c r="I100" s="479">
        <v>879.98400000000004</v>
      </c>
      <c r="J100" s="347">
        <f ca="1">J$76*(GREET1_Import_Export!$K76+GREET1_Import_Export!$F$179*GREET1_Import_Export!$B190+GREET1_Import_Export!$F190)+J$77*(GREET1_Import_Export!$O76+GREET1_Import_Export!$G$179*GREET1_Import_Export!$B190+GREET1_Import_Export!$G190)+J$78*(GREET1_Import_Export!$T76+GREET1_Import_Export!$C$179*GREET1_Import_Export!$B190+GREET1_Import_Export!$C190)+J$79*(GREET1_Import_Export!$B76+GREET1_Import_Export!$B226)+J$80*(GREET1_Import_Export!$AA76+GREET1_Import_Export!$B294)+J$81*(GREET1_Import_Export!$X76+GREET1_Import_Export!$B$10*(GREET1_Import_Export!$F$215*GREET1_Import_Export!$B226+GREET1_Import_Export!$F226)+GREET1_Import_Export!$C$10*(GREET1_Import_Export!$E$179*GREET1_Import_Export!$B190+GREET1_Import_Export!$E190))+J$82*(GREET1_Import_Export!$B319+GREET1_Import_Export!$C319)+J$83*0.5*GREET1_Import_Export!$B536+J$84*GREET1_Import_Export!$C505+J$85*GREET1_Import_Export!$B$41*(GREET1_Import_Export!$I$179*GREET1_Import_Export!$B190+GREET1_Import_Export!$I190)/1000000+J$86*Steel!$B119+J$87*Steel!$I119</f>
        <v>6.5092416306063905</v>
      </c>
      <c r="K100" s="478">
        <v>12.752846743325099</v>
      </c>
      <c r="L100" s="349">
        <f ca="1">L$76*(GREET1_Import_Export!$K76+GREET1_Import_Export!$F$179*GREET1_Import_Export!$B190+GREET1_Import_Export!$F190)+L$77*(GREET1_Import_Export!$O76+GREET1_Import_Export!$G$179*GREET1_Import_Export!$B190+GREET1_Import_Export!$G190)+L$78*(GREET1_Import_Export!$T76+GREET1_Import_Export!$C$179*GREET1_Import_Export!$B190+GREET1_Import_Export!$C190)+L$79*(GREET1_Import_Export!$B76+GREET1_Import_Export!$B226)+L$80*(GREET1_Import_Export!$AA76+GREET1_Import_Export!$B294)+L$81*(GREET1_Import_Export!$X76+GREET1_Import_Export!$B$10*(GREET1_Import_Export!$F$215*GREET1_Import_Export!$B226+GREET1_Import_Export!$F226)+GREET1_Import_Export!$C$10*(GREET1_Import_Export!$E$179*GREET1_Import_Export!$B190+GREET1_Import_Export!$E190))+L$82*(GREET1_Import_Export!$B319+GREET1_Import_Export!$C319)+L$83*0.5*GREET1_Import_Export!$B536+L$84*GREET1_Import_Export!$C505+L$85*GREET1_Import_Export!$B$41*(GREET1_Import_Export!$I$179*GREET1_Import_Export!$B190+GREET1_Import_Export!$I190)/1000000+L$86*Steel!$B119+L$87*Steel!$I119</f>
        <v>5.5460455099505452</v>
      </c>
      <c r="M100" s="349"/>
      <c r="N100" s="347">
        <f ca="1">N$76*(GREET1_Import_Export!$K76+GREET1_Import_Export!$F$179*GREET1_Import_Export!$B190+GREET1_Import_Export!$F190)+N$77*(GREET1_Import_Export!$O76+GREET1_Import_Export!$G$179*GREET1_Import_Export!$B190+GREET1_Import_Export!$G190)+N$78*(GREET1_Import_Export!$T76+GREET1_Import_Export!$C$179*GREET1_Import_Export!$B190+GREET1_Import_Export!$C190)+N$79*(GREET1_Import_Export!$B76+GREET1_Import_Export!$B226)+N$80*(GREET1_Import_Export!$AA76+GREET1_Import_Export!$B294)+N$81*(GREET1_Import_Export!$X76+GREET1_Import_Export!$B$10*(GREET1_Import_Export!$F$215*GREET1_Import_Export!$B226+GREET1_Import_Export!$F226)+GREET1_Import_Export!$C$10*(GREET1_Import_Export!$E$179*GREET1_Import_Export!$B190+GREET1_Import_Export!$E190))+N$82*(GREET1_Import_Export!$B319+GREET1_Import_Export!$C319)+N$83*0.5*GREET1_Import_Export!$B536+N$84*GREET1_Import_Export!$C505+N$85*GREET1_Import_Export!$B$41*(GREET1_Import_Export!$I$179*GREET1_Import_Export!$B190+GREET1_Import_Export!$I190)/1000000+N$86*Steel!$B119+N$87*Steel!$I119+N$88*(SUM($B137:$E137)*$F$122+$F137)</f>
        <v>190.24365221981691</v>
      </c>
      <c r="O100" s="478">
        <v>113.880045576523</v>
      </c>
      <c r="P100" s="349">
        <f ca="1">P$76*(GREET1_Import_Export!$K76+GREET1_Import_Export!$F$179*GREET1_Import_Export!$B190+GREET1_Import_Export!$F190)+P$77*(GREET1_Import_Export!$O76+GREET1_Import_Export!$G$179*GREET1_Import_Export!$B190+GREET1_Import_Export!$G190)+P$78*(GREET1_Import_Export!$T76+GREET1_Import_Export!$C$179*GREET1_Import_Export!$B190+GREET1_Import_Export!$C190)+P$79*(GREET1_Import_Export!$B76+GREET1_Import_Export!$B226)+P$80*(GREET1_Import_Export!$AA76+GREET1_Import_Export!$B294)+P$81*(GREET1_Import_Export!$X76+GREET1_Import_Export!$B$10*(GREET1_Import_Export!$F$215*GREET1_Import_Export!$B226+GREET1_Import_Export!$F226)+GREET1_Import_Export!$C$10*(GREET1_Import_Export!$E$179*GREET1_Import_Export!$B190+GREET1_Import_Export!$E190))+P$82*(GREET1_Import_Export!$B319+GREET1_Import_Export!$C319)+P$83*0.5*GREET1_Import_Export!$B536+P$84*GREET1_Import_Export!$C505+P$86*Steel!$B119+P$87*Steel!$I119</f>
        <v>15.370863155781473</v>
      </c>
      <c r="Q100" s="479">
        <v>43.661008992250203</v>
      </c>
      <c r="R100" s="347">
        <f ca="1">R$76*(GREET1_Import_Export!$K76+GREET1_Import_Export!$F$179*GREET1_Import_Export!$B190+GREET1_Import_Export!$F190)+R$77*(GREET1_Import_Export!$O76+GREET1_Import_Export!$G$179*GREET1_Import_Export!$B190+GREET1_Import_Export!$G190)+R$78*(GREET1_Import_Export!$T76+GREET1_Import_Export!$C$179*GREET1_Import_Export!$B190+GREET1_Import_Export!$C190)+R$79*(GREET1_Import_Export!$B76+GREET1_Import_Export!$B226)+R$80*(GREET1_Import_Export!$AA76+GREET1_Import_Export!$B294)+R$81*(GREET1_Import_Export!$X76+GREET1_Import_Export!$B$10*(GREET1_Import_Export!$F$215*GREET1_Import_Export!$B226+GREET1_Import_Export!$F226)+GREET1_Import_Export!$C$10*(GREET1_Import_Export!$E$179*GREET1_Import_Export!$B190+GREET1_Import_Export!$E190))+R$82*(GREET1_Import_Export!$B319+GREET1_Import_Export!$C319)+R$83*0.5*GREET1_Import_Export!$B536+R$84*GREET1_Import_Export!$C505+R$86*Steel!$B119+R$87*Steel!$I119</f>
        <v>15.89911621760942</v>
      </c>
      <c r="S100" s="478">
        <v>23.4510491266123</v>
      </c>
      <c r="T100" s="349">
        <f ca="1">T$76*(GREET1_Import_Export!$K76+GREET1_Import_Export!$F$179*GREET1_Import_Export!$B190+GREET1_Import_Export!$F190)+T$77*(GREET1_Import_Export!$O76+GREET1_Import_Export!$G$179*GREET1_Import_Export!$B190+GREET1_Import_Export!$G190)+T$78*(GREET1_Import_Export!$T76+GREET1_Import_Export!$C$179*GREET1_Import_Export!$B190+GREET1_Import_Export!$C190)+T$79*(GREET1_Import_Export!$B76+GREET1_Import_Export!$B226)+T$80*(GREET1_Import_Export!$AA76+GREET1_Import_Export!$B294)+T$81*(GREET1_Import_Export!$X76+GREET1_Import_Export!$B$10*(GREET1_Import_Export!$F$215*GREET1_Import_Export!$B226+GREET1_Import_Export!$F226)+GREET1_Import_Export!$C$10*(GREET1_Import_Export!$E$179*GREET1_Import_Export!$B190+GREET1_Import_Export!$E190))+T$82*(GREET1_Import_Export!$B319+GREET1_Import_Export!$C319)+T$83*0.5*GREET1_Import_Export!$B536+T$84*GREET1_Import_Export!$C505+T$86*Steel!$B119+T$87*Steel!$I119</f>
        <v>6.3754901502345698</v>
      </c>
      <c r="U100" s="349"/>
      <c r="V100" s="347">
        <f ca="1">V$76*(GREET1_Import_Export!$K76+GREET1_Import_Export!$F$179*GREET1_Import_Export!$B190+GREET1_Import_Export!$F190)+V$77*(GREET1_Import_Export!$O76+GREET1_Import_Export!$G$179*GREET1_Import_Export!$B190+GREET1_Import_Export!$G190)+V$78*(GREET1_Import_Export!$T76+GREET1_Import_Export!$C$179*GREET1_Import_Export!$B190+GREET1_Import_Export!$C190)+V$79*(GREET1_Import_Export!$B76+GREET1_Import_Export!$B226)+V$80*(GREET1_Import_Export!$AA76+GREET1_Import_Export!$B294)+V$81*(GREET1_Import_Export!$X76+GREET1_Import_Export!$B$10*(GREET1_Import_Export!$F$215*GREET1_Import_Export!$B226+GREET1_Import_Export!$F226)+GREET1_Import_Export!$C$10*(GREET1_Import_Export!$E$179*GREET1_Import_Export!$B190+GREET1_Import_Export!$E190))+V$82*(GREET1_Import_Export!$B319+GREET1_Import_Export!$C319)+V$83*0.5*GREET1_Import_Export!$B536+V$84*GREET1_Import_Export!$C505+V$86*Steel!$B119+V$87*Steel!$I119</f>
        <v>25.99954188392671</v>
      </c>
      <c r="W100" s="478"/>
      <c r="Y100" s="1321"/>
    </row>
    <row r="101" spans="1:25">
      <c r="A101" s="230" t="s">
        <v>826</v>
      </c>
      <c r="B101" s="347">
        <f ca="1">B$76*(B$53*GREET1_Import_Export!$K77+GREET1_Import_Export!$F$179*GREET1_Import_Export!$B191+GREET1_Import_Export!$F191)+B$77*(B$59*GREET1_Import_Export!$R77+B$60*GREET1_Import_Export!$C151+GREET1_Import_Export!$H$179*GREET1_Import_Export!$B191+GREET1_Import_Export!$H191)+B$78*(B$57*GREET1_Import_Export!$T77+B$58*GREET1_Import_Export!$C137+GREET1_Import_Export!$C$179*GREET1_Import_Export!$B191+GREET1_Import_Export!$C191)+B$79*(B$54*GREET1_Import_Export!$B77+B$55*GREET1_Import_Export!$C123+GREET1_Import_Export!$B227)+B$80*(B$56*GREET1_Import_Export!$AA77+GREET1_Import_Export!$B295)+B$81*(GREET1_Import_Export!$X77+GREET1_Import_Export!$B$10*(GREET1_Import_Export!$F$215*GREET1_Import_Export!$B227+GREET1_Import_Export!$F227)+GREET1_Import_Export!$C$10*(GREET1_Import_Export!$E$179*GREET1_Import_Export!$B191+GREET1_Import_Export!$E191))+B$82*(GREET1_Import_Export!$B320+GREET1_Import_Export!$C320)+B$83*0.5*GREET1_Import_Export!$B537+B$84*GREET1_Import_Export!$C506+B$86*Steel!$B120+B$87*Steel!$I120</f>
        <v>28.723131328310583</v>
      </c>
      <c r="C101" s="348"/>
      <c r="D101" s="349">
        <f ca="1">D$76*(GREET1_Import_Export!$K77+GREET1_Import_Export!$F$179*GREET1_Import_Export!$B191+GREET1_Import_Export!$F191)+D$77*(GREET1_Import_Export!$O77+GREET1_Import_Export!$G$179*GREET1_Import_Export!$B191+GREET1_Import_Export!$G191)+D$78*(GREET1_Import_Export!$T77+GREET1_Import_Export!$C$179*GREET1_Import_Export!$B191+GREET1_Import_Export!$C191)+D$79*(GREET1_Import_Export!$B77+GREET1_Import_Export!$B227)+D$80*(GREET1_Import_Export!$AA77+GREET1_Import_Export!$B295)+D$81*(GREET1_Import_Export!$X77+GREET1_Import_Export!$B$10*(GREET1_Import_Export!$F$215*GREET1_Import_Export!$B227+GREET1_Import_Export!$F227)+GREET1_Import_Export!$C$10*(GREET1_Import_Export!$E$179*GREET1_Import_Export!$B191+GREET1_Import_Export!$E191))+D$82*(GREET1_Import_Export!$B320+GREET1_Import_Export!$C320)+D$83*0.5*GREET1_Import_Export!$B537+D$84*GREET1_Import_Export!$C506+D$86*Steel!$B120+D$87*Steel!$I120</f>
        <v>976.55991858538403</v>
      </c>
      <c r="E101" s="479">
        <v>1465.61586624962</v>
      </c>
      <c r="F101" s="347">
        <f ca="1">F$76*(GREET1_Import_Export!$K77+GREET1_Import_Export!$F$179*GREET1_Import_Export!$B191+GREET1_Import_Export!$F191)+F$77*(GREET1_Import_Export!$O77+GREET1_Import_Export!$G$179*GREET1_Import_Export!$B191+GREET1_Import_Export!$G191)+F$78*(GREET1_Import_Export!$T77+GREET1_Import_Export!$C$179*GREET1_Import_Export!$B191+GREET1_Import_Export!$C191)+F$79*(GREET1_Import_Export!$B77+GREET1_Import_Export!$B227)+F$80*(GREET1_Import_Export!$AA77+GREET1_Import_Export!$B295)+F$81*(GREET1_Import_Export!$X77+GREET1_Import_Export!$B$10*(GREET1_Import_Export!$F$215*GREET1_Import_Export!$B227+GREET1_Import_Export!$F227)+GREET1_Import_Export!$C$10*(GREET1_Import_Export!$E$179*GREET1_Import_Export!$B191+GREET1_Import_Export!$E191))+F$82*(GREET1_Import_Export!$B320+GREET1_Import_Export!$C320)+F$83*0.5*GREET1_Import_Export!$B537+F$84*GREET1_Import_Export!$C506+F$85*GREET1_Import_Export!$B$41*(GREET1_Import_Export!$I$179*GREET1_Import_Export!$B191+GREET1_Import_Export!$I191)/1000000+F$86*Steel!$B120+F$87*Steel!$I120</f>
        <v>389.62413753387926</v>
      </c>
      <c r="G101" s="478">
        <v>829.74927334021504</v>
      </c>
      <c r="H101" s="349">
        <f ca="1">H$76*(GREET1_Import_Export!$K77+GREET1_Import_Export!$F$179*GREET1_Import_Export!$B191+GREET1_Import_Export!$F191)+H$77*(GREET1_Import_Export!$O77+GREET1_Import_Export!$G$179*GREET1_Import_Export!$B191+GREET1_Import_Export!$G191)+H$78*(GREET1_Import_Export!$T77+GREET1_Import_Export!$C$179*GREET1_Import_Export!$B191+GREET1_Import_Export!$C191)+H$79*(GREET1_Import_Export!$B77+GREET1_Import_Export!$B227)+H$80*(GREET1_Import_Export!$AA77+GREET1_Import_Export!$B295)+H$81*(GREET1_Import_Export!$X77+GREET1_Import_Export!$B$10*(GREET1_Import_Export!$F$215*GREET1_Import_Export!$B227+GREET1_Import_Export!$F227)+GREET1_Import_Export!$C$10*(GREET1_Import_Export!$E$179*GREET1_Import_Export!$B191+GREET1_Import_Export!$E191))+H$82*W.Al!$B37+H$83*0.5*GREET1_Import_Export!$B537+H$84*GREET1_Import_Export!$C506+H$86*Steel!$B120+H$87*Steel!$I120</f>
        <v>2035.8021199193697</v>
      </c>
      <c r="I101" s="479">
        <v>13862.016</v>
      </c>
      <c r="J101" s="347">
        <f ca="1">J$76*(GREET1_Import_Export!$K77+GREET1_Import_Export!$F$179*GREET1_Import_Export!$B191+GREET1_Import_Export!$F191)+J$77*(GREET1_Import_Export!$O77+GREET1_Import_Export!$G$179*GREET1_Import_Export!$B191+GREET1_Import_Export!$G191)+J$78*(GREET1_Import_Export!$T77+GREET1_Import_Export!$C$179*GREET1_Import_Export!$B191+GREET1_Import_Export!$C191)+J$79*(GREET1_Import_Export!$B77+GREET1_Import_Export!$B227)+J$80*(GREET1_Import_Export!$AA77+GREET1_Import_Export!$B295)+J$81*(GREET1_Import_Export!$X77+GREET1_Import_Export!$B$10*(GREET1_Import_Export!$F$215*GREET1_Import_Export!$B227+GREET1_Import_Export!$F227)+GREET1_Import_Export!$C$10*(GREET1_Import_Export!$E$179*GREET1_Import_Export!$B191+GREET1_Import_Export!$E191))+J$82*(GREET1_Import_Export!$B320+GREET1_Import_Export!$C320)+J$83*0.5*GREET1_Import_Export!$B537+J$84*GREET1_Import_Export!$C506+J$85*GREET1_Import_Export!$B$41*(GREET1_Import_Export!$I$179*GREET1_Import_Export!$B191+GREET1_Import_Export!$I191)/1000000+J$86*Steel!$B120+J$87*Steel!$I120</f>
        <v>34.105178370978635</v>
      </c>
      <c r="K101" s="478">
        <v>27.423201466832602</v>
      </c>
      <c r="L101" s="349">
        <f ca="1">L$76*(GREET1_Import_Export!$K77+GREET1_Import_Export!$F$179*GREET1_Import_Export!$B191+GREET1_Import_Export!$F191)+L$77*(GREET1_Import_Export!$O77+GREET1_Import_Export!$G$179*GREET1_Import_Export!$B191+GREET1_Import_Export!$G191)+L$78*(GREET1_Import_Export!$T77+GREET1_Import_Export!$C$179*GREET1_Import_Export!$B191+GREET1_Import_Export!$C191)+L$79*(GREET1_Import_Export!$B77+GREET1_Import_Export!$B227)+L$80*(GREET1_Import_Export!$AA77+GREET1_Import_Export!$B295)+L$81*(GREET1_Import_Export!$X77+GREET1_Import_Export!$B$10*(GREET1_Import_Export!$F$215*GREET1_Import_Export!$B227+GREET1_Import_Export!$F227)+GREET1_Import_Export!$C$10*(GREET1_Import_Export!$E$179*GREET1_Import_Export!$B191+GREET1_Import_Export!$E191))+L$82*(GREET1_Import_Export!$B320+GREET1_Import_Export!$C320)+L$83*0.5*GREET1_Import_Export!$B537+L$84*GREET1_Import_Export!$C506+L$85*GREET1_Import_Export!$B$41*(GREET1_Import_Export!$I$179*GREET1_Import_Export!$B191+GREET1_Import_Export!$I191)/1000000+L$86*Steel!$B120+L$87*Steel!$I120</f>
        <v>30.957799244709321</v>
      </c>
      <c r="M101" s="349"/>
      <c r="N101" s="347">
        <f ca="1">N$76*(GREET1_Import_Export!$K77+GREET1_Import_Export!$F$179*GREET1_Import_Export!$B191+GREET1_Import_Export!$F191)+N$77*(GREET1_Import_Export!$O77+GREET1_Import_Export!$G$179*GREET1_Import_Export!$B191+GREET1_Import_Export!$G191)+N$78*(GREET1_Import_Export!$T77+GREET1_Import_Export!$C$179*GREET1_Import_Export!$B191+GREET1_Import_Export!$C191)+N$79*(GREET1_Import_Export!$B77+GREET1_Import_Export!$B227)+N$80*(GREET1_Import_Export!$AA77+GREET1_Import_Export!$B295)+N$81*(GREET1_Import_Export!$X77+GREET1_Import_Export!$B$10*(GREET1_Import_Export!$F$215*GREET1_Import_Export!$B227+GREET1_Import_Export!$F227)+GREET1_Import_Export!$C$10*(GREET1_Import_Export!$E$179*GREET1_Import_Export!$B191+GREET1_Import_Export!$E191))+N$82*(GREET1_Import_Export!$B320+GREET1_Import_Export!$C320)+N$83*0.5*GREET1_Import_Export!$B537+N$84*GREET1_Import_Export!$C506+N$85*GREET1_Import_Export!$B$41*(GREET1_Import_Export!$I$179*GREET1_Import_Export!$B191+GREET1_Import_Export!$I191)/1000000+N$86*Steel!$B120+N$87*Steel!$I120+N$88*(SUM($B138:$E138)*$F$122+$F138)</f>
        <v>1672.3569294976448</v>
      </c>
      <c r="O101" s="478">
        <v>20.458070685852899</v>
      </c>
      <c r="P101" s="349">
        <f ca="1">P$76*(GREET1_Import_Export!$K77+GREET1_Import_Export!$F$179*GREET1_Import_Export!$B191+GREET1_Import_Export!$F191)+P$77*(GREET1_Import_Export!$O77+GREET1_Import_Export!$G$179*GREET1_Import_Export!$B191+GREET1_Import_Export!$G191)+P$78*(GREET1_Import_Export!$T77+GREET1_Import_Export!$C$179*GREET1_Import_Export!$B191+GREET1_Import_Export!$C191)+P$79*(GREET1_Import_Export!$B77+GREET1_Import_Export!$B227)+P$80*(GREET1_Import_Export!$AA77+GREET1_Import_Export!$B295)+P$81*(GREET1_Import_Export!$X77+GREET1_Import_Export!$B$10*(GREET1_Import_Export!$F$215*GREET1_Import_Export!$B227+GREET1_Import_Export!$F227)+GREET1_Import_Export!$C$10*(GREET1_Import_Export!$E$179*GREET1_Import_Export!$B191+GREET1_Import_Export!$E191))+P$82*(GREET1_Import_Export!$B320+GREET1_Import_Export!$C320)+P$83*0.5*GREET1_Import_Export!$B537+P$84*GREET1_Import_Export!$C506+P$86*Steel!$B120+P$87*Steel!$I120</f>
        <v>60.199903906501632</v>
      </c>
      <c r="Q101" s="479">
        <v>6.5586202651212799</v>
      </c>
      <c r="R101" s="347">
        <f ca="1">R$76*(GREET1_Import_Export!$K77+GREET1_Import_Export!$F$179*GREET1_Import_Export!$B191+GREET1_Import_Export!$F191)+R$77*(GREET1_Import_Export!$O77+GREET1_Import_Export!$G$179*GREET1_Import_Export!$B191+GREET1_Import_Export!$G191)+R$78*(GREET1_Import_Export!$T77+GREET1_Import_Export!$C$179*GREET1_Import_Export!$B191+GREET1_Import_Export!$C191)+R$79*(GREET1_Import_Export!$B77+GREET1_Import_Export!$B227)+R$80*(GREET1_Import_Export!$AA77+GREET1_Import_Export!$B295)+R$81*(GREET1_Import_Export!$X77+GREET1_Import_Export!$B$10*(GREET1_Import_Export!$F$215*GREET1_Import_Export!$B227+GREET1_Import_Export!$F227)+GREET1_Import_Export!$C$10*(GREET1_Import_Export!$E$179*GREET1_Import_Export!$B191+GREET1_Import_Export!$E191))+R$82*(GREET1_Import_Export!$B320+GREET1_Import_Export!$C320)+R$83*0.5*GREET1_Import_Export!$B537+R$84*GREET1_Import_Export!$C506+R$86*Steel!$B120+R$87*Steel!$I120</f>
        <v>96.69981346901568</v>
      </c>
      <c r="S101" s="478"/>
      <c r="T101" s="349">
        <f ca="1">T$76*(GREET1_Import_Export!$K77+GREET1_Import_Export!$F$179*GREET1_Import_Export!$B191+GREET1_Import_Export!$F191)+T$77*(GREET1_Import_Export!$O77+GREET1_Import_Export!$G$179*GREET1_Import_Export!$B191+GREET1_Import_Export!$G191)+T$78*(GREET1_Import_Export!$T77+GREET1_Import_Export!$C$179*GREET1_Import_Export!$B191+GREET1_Import_Export!$C191)+T$79*(GREET1_Import_Export!$B77+GREET1_Import_Export!$B227)+T$80*(GREET1_Import_Export!$AA77+GREET1_Import_Export!$B295)+T$81*(GREET1_Import_Export!$X77+GREET1_Import_Export!$B$10*(GREET1_Import_Export!$F$215*GREET1_Import_Export!$B227+GREET1_Import_Export!$F227)+GREET1_Import_Export!$C$10*(GREET1_Import_Export!$E$179*GREET1_Import_Export!$B191+GREET1_Import_Export!$E191))+T$82*(GREET1_Import_Export!$B320+GREET1_Import_Export!$C320)+T$83*0.5*GREET1_Import_Export!$B537+T$84*GREET1_Import_Export!$C506+T$86*Steel!$B120+T$87*Steel!$I120</f>
        <v>55.709899657095093</v>
      </c>
      <c r="U101" s="349"/>
      <c r="V101" s="347">
        <f ca="1">V$76*(GREET1_Import_Export!$K77+GREET1_Import_Export!$F$179*GREET1_Import_Export!$B191+GREET1_Import_Export!$F191)+V$77*(GREET1_Import_Export!$O77+GREET1_Import_Export!$G$179*GREET1_Import_Export!$B191+GREET1_Import_Export!$G191)+V$78*(GREET1_Import_Export!$T77+GREET1_Import_Export!$C$179*GREET1_Import_Export!$B191+GREET1_Import_Export!$C191)+V$79*(GREET1_Import_Export!$B77+GREET1_Import_Export!$B227)+V$80*(GREET1_Import_Export!$AA77+GREET1_Import_Export!$B295)+V$81*(GREET1_Import_Export!$X77+GREET1_Import_Export!$B$10*(GREET1_Import_Export!$F$215*GREET1_Import_Export!$B227+GREET1_Import_Export!$F227)+GREET1_Import_Export!$C$10*(GREET1_Import_Export!$E$179*GREET1_Import_Export!$B191+GREET1_Import_Export!$E191))+V$82*(GREET1_Import_Export!$B320+GREET1_Import_Export!$C320)+V$83*0.5*GREET1_Import_Export!$B537+V$84*GREET1_Import_Export!$C506+V$86*Steel!$B120+V$87*Steel!$I120</f>
        <v>110.02588060173169</v>
      </c>
      <c r="W101" s="478">
        <v>5.0210133819238001</v>
      </c>
      <c r="X101" s="64"/>
      <c r="Y101" s="1321"/>
    </row>
    <row r="102" spans="1:25">
      <c r="A102" s="661" t="s">
        <v>827</v>
      </c>
      <c r="B102" s="347">
        <f ca="1">B$76*(B$53*GREET1_Import_Export!$K78+GREET1_Import_Export!$F$179*GREET1_Import_Export!$B192+GREET1_Import_Export!$F192)+B$77*(B$59*GREET1_Import_Export!$R78+B$60*GREET1_Import_Export!$C152+GREET1_Import_Export!$H$179*GREET1_Import_Export!$B192+GREET1_Import_Export!$H192)+B$78*(B$57*GREET1_Import_Export!$T78+B$58*GREET1_Import_Export!$C138+GREET1_Import_Export!$C$179*GREET1_Import_Export!$B192+GREET1_Import_Export!$C192)+B$79*(B$54*GREET1_Import_Export!$B78+B$55*GREET1_Import_Export!$C124+GREET1_Import_Export!$B228)+B$80*(B$56*GREET1_Import_Export!$AA78+GREET1_Import_Export!$B296)+B$81*(GREET1_Import_Export!$X78+GREET1_Import_Export!$B$10*(GREET1_Import_Export!$F$215*GREET1_Import_Export!$B228+GREET1_Import_Export!$F228)+GREET1_Import_Export!$C$10*(GREET1_Import_Export!$E$179*GREET1_Import_Export!$B192+GREET1_Import_Export!$E192))+B$82*(GREET1_Import_Export!$B321+GREET1_Import_Export!$C321)+B$83*0.5*GREET1_Import_Export!$B538+B$84*GREET1_Import_Export!$C507+B$86*Steel!$B121+B$87*Steel!$I121</f>
        <v>2.7292685548287601</v>
      </c>
      <c r="C102" s="348"/>
      <c r="D102" s="349">
        <f ca="1">D$76*(GREET1_Import_Export!$K78+GREET1_Import_Export!$F$179*GREET1_Import_Export!$B192+GREET1_Import_Export!$F192)+D$77*(GREET1_Import_Export!$O78+GREET1_Import_Export!$G$179*GREET1_Import_Export!$B192+GREET1_Import_Export!$G192)+D$78*(GREET1_Import_Export!$T78+GREET1_Import_Export!$C$179*GREET1_Import_Export!$B192+GREET1_Import_Export!$C192)+D$79*(GREET1_Import_Export!$B78+GREET1_Import_Export!$B228)+D$80*(GREET1_Import_Export!$AA78+GREET1_Import_Export!$B296)+D$81*(GREET1_Import_Export!$X78+GREET1_Import_Export!$B$10*(GREET1_Import_Export!$F$215*GREET1_Import_Export!$B228+GREET1_Import_Export!$F228)+GREET1_Import_Export!$C$10*(GREET1_Import_Export!$E$179*GREET1_Import_Export!$B192+GREET1_Import_Export!$E192))+D$82*(GREET1_Import_Export!$B321+GREET1_Import_Export!$C321)+D$83*0.5*GREET1_Import_Export!$B538+D$84*GREET1_Import_Export!$C507+D$86*Steel!$B121+D$87*Steel!$I121</f>
        <v>14.892837178972826</v>
      </c>
      <c r="E102" s="349"/>
      <c r="F102" s="347">
        <f ca="1">F$76*(GREET1_Import_Export!$K78+GREET1_Import_Export!$F$179*GREET1_Import_Export!$B192+GREET1_Import_Export!$F192)+F$77*(GREET1_Import_Export!$O78+GREET1_Import_Export!$G$179*GREET1_Import_Export!$B192+GREET1_Import_Export!$G192)+F$78*(GREET1_Import_Export!$T78+GREET1_Import_Export!$C$179*GREET1_Import_Export!$B192+GREET1_Import_Export!$C192)+F$79*(GREET1_Import_Export!$B78+GREET1_Import_Export!$B228)+F$80*(GREET1_Import_Export!$AA78+GREET1_Import_Export!$B296)+F$81*(GREET1_Import_Export!$X78+GREET1_Import_Export!$B$10*(GREET1_Import_Export!$F$215*GREET1_Import_Export!$B228+GREET1_Import_Export!$F228)+GREET1_Import_Export!$C$10*(GREET1_Import_Export!$E$179*GREET1_Import_Export!$B192+GREET1_Import_Export!$E192))+F$82*(GREET1_Import_Export!$B321+GREET1_Import_Export!$C321)+F$83*0.5*GREET1_Import_Export!$B538+F$84*GREET1_Import_Export!$C507+F$85*GREET1_Import_Export!$B$41*(GREET1_Import_Export!$I$179*GREET1_Import_Export!$B192+GREET1_Import_Export!$I192)/1000000+F$86*Steel!$B121+F$87*Steel!$I121</f>
        <v>4.2882765406328112</v>
      </c>
      <c r="G102" s="348"/>
      <c r="H102" s="349">
        <f ca="1">H$76*(GREET1_Import_Export!$K78+GREET1_Import_Export!$F$179*GREET1_Import_Export!$B192+GREET1_Import_Export!$F192)+H$77*(GREET1_Import_Export!$O78+GREET1_Import_Export!$G$179*GREET1_Import_Export!$B192+GREET1_Import_Export!$G192)+H$78*(GREET1_Import_Export!$T78+GREET1_Import_Export!$C$179*GREET1_Import_Export!$B192+GREET1_Import_Export!$C192)+H$79*(GREET1_Import_Export!$B78+GREET1_Import_Export!$B228)+H$80*(GREET1_Import_Export!$AA78+GREET1_Import_Export!$B296)+H$81*(GREET1_Import_Export!$X78+GREET1_Import_Export!$B$10*(GREET1_Import_Export!$F$215*GREET1_Import_Export!$B228+GREET1_Import_Export!$F228)+GREET1_Import_Export!$C$10*(GREET1_Import_Export!$E$179*GREET1_Import_Export!$B192+GREET1_Import_Export!$E192))+H$82*W.Al!$B38+H$83*0.5*GREET1_Import_Export!$B538+H$84*GREET1_Import_Export!$C507+H$86*Steel!$B121+H$87*Steel!$I121</f>
        <v>7.6559930131095699</v>
      </c>
      <c r="I102" s="479"/>
      <c r="J102" s="347">
        <f ca="1">J$76*(GREET1_Import_Export!$K78+GREET1_Import_Export!$F$179*GREET1_Import_Export!$B192+GREET1_Import_Export!$F192)+J$77*(GREET1_Import_Export!$O78+GREET1_Import_Export!$G$179*GREET1_Import_Export!$B192+GREET1_Import_Export!$G192)+J$78*(GREET1_Import_Export!$T78+GREET1_Import_Export!$C$179*GREET1_Import_Export!$B192+GREET1_Import_Export!$C192)+J$79*(GREET1_Import_Export!$B78+GREET1_Import_Export!$B228)+J$80*(GREET1_Import_Export!$AA78+GREET1_Import_Export!$B296)+J$81*(GREET1_Import_Export!$X78+GREET1_Import_Export!$B$10*(GREET1_Import_Export!$F$215*GREET1_Import_Export!$B228+GREET1_Import_Export!$F228)+GREET1_Import_Export!$C$10*(GREET1_Import_Export!$E$179*GREET1_Import_Export!$B192+GREET1_Import_Export!$E192))+J$82*(GREET1_Import_Export!$B321+GREET1_Import_Export!$C321)+J$83*0.5*GREET1_Import_Export!$B538+J$84*GREET1_Import_Export!$C507+J$85*GREET1_Import_Export!$B$41*(GREET1_Import_Export!$I$179*GREET1_Import_Export!$B192+GREET1_Import_Export!$I192)/1000000+J$86*Steel!$B121+J$87*Steel!$I121</f>
        <v>1.196274660678099</v>
      </c>
      <c r="K102" s="348"/>
      <c r="L102" s="349">
        <f ca="1">L$76*(GREET1_Import_Export!$K78+GREET1_Import_Export!$F$179*GREET1_Import_Export!$B192+GREET1_Import_Export!$F192)+L$77*(GREET1_Import_Export!$O78+GREET1_Import_Export!$G$179*GREET1_Import_Export!$B192+GREET1_Import_Export!$G192)+L$78*(GREET1_Import_Export!$T78+GREET1_Import_Export!$C$179*GREET1_Import_Export!$B192+GREET1_Import_Export!$C192)+L$79*(GREET1_Import_Export!$B78+GREET1_Import_Export!$B228)+L$80*(GREET1_Import_Export!$AA78+GREET1_Import_Export!$B296)+L$81*(GREET1_Import_Export!$X78+GREET1_Import_Export!$B$10*(GREET1_Import_Export!$F$215*GREET1_Import_Export!$B228+GREET1_Import_Export!$F228)+GREET1_Import_Export!$C$10*(GREET1_Import_Export!$E$179*GREET1_Import_Export!$B192+GREET1_Import_Export!$E192))+L$82*(GREET1_Import_Export!$B321+GREET1_Import_Export!$C321)+L$83*0.5*GREET1_Import_Export!$B538+L$84*GREET1_Import_Export!$C507+L$85*GREET1_Import_Export!$B$41*(GREET1_Import_Export!$I$179*GREET1_Import_Export!$B192+GREET1_Import_Export!$I192)/1000000+L$86*Steel!$B121+L$87*Steel!$I121</f>
        <v>0.66942724126412367</v>
      </c>
      <c r="M102" s="349"/>
      <c r="N102" s="347">
        <f ca="1">N$76*(GREET1_Import_Export!$K78+GREET1_Import_Export!$F$179*GREET1_Import_Export!$B192+GREET1_Import_Export!$F192)+N$77*(GREET1_Import_Export!$O78+GREET1_Import_Export!$G$179*GREET1_Import_Export!$B192+GREET1_Import_Export!$G192)+N$78*(GREET1_Import_Export!$T78+GREET1_Import_Export!$C$179*GREET1_Import_Export!$B192+GREET1_Import_Export!$C192)+N$79*(GREET1_Import_Export!$B78+GREET1_Import_Export!$B228)+N$80*(GREET1_Import_Export!$AA78+GREET1_Import_Export!$B296)+N$81*(GREET1_Import_Export!$X78+GREET1_Import_Export!$B$10*(GREET1_Import_Export!$F$215*GREET1_Import_Export!$B228+GREET1_Import_Export!$F228)+GREET1_Import_Export!$C$10*(GREET1_Import_Export!$E$179*GREET1_Import_Export!$B192+GREET1_Import_Export!$E192))+N$82*(GREET1_Import_Export!$B321+GREET1_Import_Export!$C321)+N$83*0.5*GREET1_Import_Export!$B538+N$84*GREET1_Import_Export!$C507+N$85*GREET1_Import_Export!$B$41*(GREET1_Import_Export!$I$179*GREET1_Import_Export!$B192+GREET1_Import_Export!$I192)/1000000+N$86*Steel!$B121+N$87*Steel!$I121+N$88*(SUM($B139:$E139)*$F$122+$F139)</f>
        <v>5.4858131425664496</v>
      </c>
      <c r="O102" s="478"/>
      <c r="P102" s="349">
        <f ca="1">P$76*(GREET1_Import_Export!$K78+GREET1_Import_Export!$F$179*GREET1_Import_Export!$B192+GREET1_Import_Export!$F192)+P$77*(GREET1_Import_Export!$O78+GREET1_Import_Export!$G$179*GREET1_Import_Export!$B192+GREET1_Import_Export!$G192)+P$78*(GREET1_Import_Export!$T78+GREET1_Import_Export!$C$179*GREET1_Import_Export!$B192+GREET1_Import_Export!$C192)+P$79*(GREET1_Import_Export!$B78+GREET1_Import_Export!$B228)+P$80*(GREET1_Import_Export!$AA78+GREET1_Import_Export!$B296)+P$81*(GREET1_Import_Export!$X78+GREET1_Import_Export!$B$10*(GREET1_Import_Export!$F$215*GREET1_Import_Export!$B228+GREET1_Import_Export!$F228)+GREET1_Import_Export!$C$10*(GREET1_Import_Export!$E$179*GREET1_Import_Export!$B192+GREET1_Import_Export!$E192))+P$82*(GREET1_Import_Export!$B321+GREET1_Import_Export!$C321)+P$83*0.5*GREET1_Import_Export!$B538+P$84*GREET1_Import_Export!$C507+P$86*Steel!$B121+P$87*Steel!$I121</f>
        <v>2.3824196747380744</v>
      </c>
      <c r="Q102" s="349"/>
      <c r="R102" s="347">
        <f ca="1">R$76*(GREET1_Import_Export!$K78+GREET1_Import_Export!$F$179*GREET1_Import_Export!$B192+GREET1_Import_Export!$F192)+R$77*(GREET1_Import_Export!$O78+GREET1_Import_Export!$G$179*GREET1_Import_Export!$B192+GREET1_Import_Export!$G192)+R$78*(GREET1_Import_Export!$T78+GREET1_Import_Export!$C$179*GREET1_Import_Export!$B192+GREET1_Import_Export!$C192)+R$79*(GREET1_Import_Export!$B78+GREET1_Import_Export!$B228)+R$80*(GREET1_Import_Export!$AA78+GREET1_Import_Export!$B296)+R$81*(GREET1_Import_Export!$X78+GREET1_Import_Export!$B$10*(GREET1_Import_Export!$F$215*GREET1_Import_Export!$B228+GREET1_Import_Export!$F228)+GREET1_Import_Export!$C$10*(GREET1_Import_Export!$E$179*GREET1_Import_Export!$B192+GREET1_Import_Export!$E192))+R$82*(GREET1_Import_Export!$B321+GREET1_Import_Export!$C321)+R$83*0.5*GREET1_Import_Export!$B538+R$84*GREET1_Import_Export!$C507+R$86*Steel!$B121+R$87*Steel!$I121</f>
        <v>1.7974431755922773</v>
      </c>
      <c r="S102" s="478"/>
      <c r="T102" s="349">
        <f ca="1">T$76*(GREET1_Import_Export!$K78+GREET1_Import_Export!$F$179*GREET1_Import_Export!$B192+GREET1_Import_Export!$F192)+T$77*(GREET1_Import_Export!$O78+GREET1_Import_Export!$G$179*GREET1_Import_Export!$B192+GREET1_Import_Export!$G192)+T$78*(GREET1_Import_Export!$T78+GREET1_Import_Export!$C$179*GREET1_Import_Export!$B192+GREET1_Import_Export!$C192)+T$79*(GREET1_Import_Export!$B78+GREET1_Import_Export!$B228)+T$80*(GREET1_Import_Export!$AA78+GREET1_Import_Export!$B296)+T$81*(GREET1_Import_Export!$X78+GREET1_Import_Export!$B$10*(GREET1_Import_Export!$F$215*GREET1_Import_Export!$B228+GREET1_Import_Export!$F228)+GREET1_Import_Export!$C$10*(GREET1_Import_Export!$E$179*GREET1_Import_Export!$B192+GREET1_Import_Export!$E192))+T$82*(GREET1_Import_Export!$B321+GREET1_Import_Export!$C321)+T$83*0.5*GREET1_Import_Export!$B538+T$84*GREET1_Import_Export!$C507+T$86*Steel!$B121+T$87*Steel!$I121</f>
        <v>0.38899796164258693</v>
      </c>
      <c r="U102" s="349"/>
      <c r="V102" s="347">
        <f ca="1">V$76*(GREET1_Import_Export!$K78+GREET1_Import_Export!$F$179*GREET1_Import_Export!$B192+GREET1_Import_Export!$F192)+V$77*(GREET1_Import_Export!$O78+GREET1_Import_Export!$G$179*GREET1_Import_Export!$B192+GREET1_Import_Export!$G192)+V$78*(GREET1_Import_Export!$T78+GREET1_Import_Export!$C$179*GREET1_Import_Export!$B192+GREET1_Import_Export!$C192)+V$79*(GREET1_Import_Export!$B78+GREET1_Import_Export!$B228)+V$80*(GREET1_Import_Export!$AA78+GREET1_Import_Export!$B296)+V$81*(GREET1_Import_Export!$X78+GREET1_Import_Export!$B$10*(GREET1_Import_Export!$F$215*GREET1_Import_Export!$B228+GREET1_Import_Export!$F228)+GREET1_Import_Export!$C$10*(GREET1_Import_Export!$E$179*GREET1_Import_Export!$B192+GREET1_Import_Export!$E192))+V$82*(GREET1_Import_Export!$B321+GREET1_Import_Export!$C321)+V$83*0.5*GREET1_Import_Export!$B538+V$84*GREET1_Import_Export!$C507+V$86*Steel!$B121+V$87*Steel!$I121</f>
        <v>3.9103878545395609</v>
      </c>
      <c r="W102" s="348"/>
      <c r="X102" s="64"/>
      <c r="Y102" s="1321"/>
    </row>
    <row r="103" spans="1:25">
      <c r="A103" s="661" t="s">
        <v>828</v>
      </c>
      <c r="B103" s="347">
        <f ca="1">B$76*(B$53*GREET1_Import_Export!$K79+GREET1_Import_Export!$F$179*GREET1_Import_Export!$B193+GREET1_Import_Export!$F193)+B$77*(B$59*GREET1_Import_Export!$R79+B$60*GREET1_Import_Export!$C153+GREET1_Import_Export!$H$179*GREET1_Import_Export!$B193+GREET1_Import_Export!$H193)+B$78*(B$57*GREET1_Import_Export!$T79+B$58*GREET1_Import_Export!$C139+GREET1_Import_Export!$C$179*GREET1_Import_Export!$B193+GREET1_Import_Export!$C193)+B$79*(B$54*GREET1_Import_Export!$B79+B$55*GREET1_Import_Export!$C125+GREET1_Import_Export!$B229)+B$80*(B$56*GREET1_Import_Export!$AA79+GREET1_Import_Export!$B297)+B$81*(GREET1_Import_Export!$X79+GREET1_Import_Export!$B$10*(GREET1_Import_Export!$F$215*GREET1_Import_Export!$B229+GREET1_Import_Export!$F229)+GREET1_Import_Export!$C$10*(GREET1_Import_Export!$E$179*GREET1_Import_Export!$B193+GREET1_Import_Export!$E193))+B$82*(GREET1_Import_Export!$B322+GREET1_Import_Export!$C322)+B$83*0.5*GREET1_Import_Export!$B539+B$84*GREET1_Import_Export!$C508+B$86*Steel!$B122+B$87*Steel!$I122</f>
        <v>1.0165803940101168</v>
      </c>
      <c r="C103" s="348"/>
      <c r="D103" s="349">
        <f ca="1">D$76*(GREET1_Import_Export!$K79+GREET1_Import_Export!$F$179*GREET1_Import_Export!$B193+GREET1_Import_Export!$F193)+D$77*(GREET1_Import_Export!$O79+GREET1_Import_Export!$G$179*GREET1_Import_Export!$B193+GREET1_Import_Export!$G193)+D$78*(GREET1_Import_Export!$T79+GREET1_Import_Export!$C$179*GREET1_Import_Export!$B193+GREET1_Import_Export!$C193)+D$79*(GREET1_Import_Export!$B79+GREET1_Import_Export!$B229)+D$80*(GREET1_Import_Export!$AA79+GREET1_Import_Export!$B297)+D$81*(GREET1_Import_Export!$X79+GREET1_Import_Export!$B$10*(GREET1_Import_Export!$F$215*GREET1_Import_Export!$B229+GREET1_Import_Export!$F229)+GREET1_Import_Export!$C$10*(GREET1_Import_Export!$E$179*GREET1_Import_Export!$B193+GREET1_Import_Export!$E193))+D$82*(GREET1_Import_Export!$B322+GREET1_Import_Export!$C322)+D$83*0.5*GREET1_Import_Export!$B539+D$84*GREET1_Import_Export!$C508+D$86*Steel!$B122+D$87*Steel!$I122</f>
        <v>32.30659246092479</v>
      </c>
      <c r="E103" s="349"/>
      <c r="F103" s="347">
        <f ca="1">F$76*(GREET1_Import_Export!$K79+GREET1_Import_Export!$F$179*GREET1_Import_Export!$B193+GREET1_Import_Export!$F193)+F$77*(GREET1_Import_Export!$O79+GREET1_Import_Export!$G$179*GREET1_Import_Export!$B193+GREET1_Import_Export!$G193)+F$78*(GREET1_Import_Export!$T79+GREET1_Import_Export!$C$179*GREET1_Import_Export!$B193+GREET1_Import_Export!$C193)+F$79*(GREET1_Import_Export!$B79+GREET1_Import_Export!$B229)+F$80*(GREET1_Import_Export!$AA79+GREET1_Import_Export!$B297)+F$81*(GREET1_Import_Export!$X79+GREET1_Import_Export!$B$10*(GREET1_Import_Export!$F$215*GREET1_Import_Export!$B229+GREET1_Import_Export!$F229)+GREET1_Import_Export!$C$10*(GREET1_Import_Export!$E$179*GREET1_Import_Export!$B193+GREET1_Import_Export!$E193))+F$82*(GREET1_Import_Export!$B322+GREET1_Import_Export!$C322)+F$83*0.5*GREET1_Import_Export!$B539+F$84*GREET1_Import_Export!$C508+F$85*GREET1_Import_Export!$B$41*(GREET1_Import_Export!$I$179*GREET1_Import_Export!$B193+GREET1_Import_Export!$I193)/1000000+F$86*Steel!$B122+F$87*Steel!$I122</f>
        <v>4.9868867959751206</v>
      </c>
      <c r="G103" s="348"/>
      <c r="H103" s="349">
        <f ca="1">H$76*(GREET1_Import_Export!$K79+GREET1_Import_Export!$F$179*GREET1_Import_Export!$B193+GREET1_Import_Export!$F193)+H$77*(GREET1_Import_Export!$O79+GREET1_Import_Export!$G$179*GREET1_Import_Export!$B193+GREET1_Import_Export!$G193)+H$78*(GREET1_Import_Export!$T79+GREET1_Import_Export!$C$179*GREET1_Import_Export!$B193+GREET1_Import_Export!$C193)+H$79*(GREET1_Import_Export!$B79+GREET1_Import_Export!$B229)+H$80*(GREET1_Import_Export!$AA79+GREET1_Import_Export!$B297)+H$81*(GREET1_Import_Export!$X79+GREET1_Import_Export!$B$10*(GREET1_Import_Export!$F$215*GREET1_Import_Export!$B229+GREET1_Import_Export!$F229)+GREET1_Import_Export!$C$10*(GREET1_Import_Export!$E$179*GREET1_Import_Export!$B193+GREET1_Import_Export!$E193))+H$82*W.Al!$B39+H$83*0.5*GREET1_Import_Export!$B539+H$84*GREET1_Import_Export!$C508+H$86*Steel!$B122+H$87*Steel!$I122</f>
        <v>20.564933592249279</v>
      </c>
      <c r="I103" s="479"/>
      <c r="J103" s="347">
        <f ca="1">J$76*(GREET1_Import_Export!$K79+GREET1_Import_Export!$F$179*GREET1_Import_Export!$B193+GREET1_Import_Export!$F193)+J$77*(GREET1_Import_Export!$O79+GREET1_Import_Export!$G$179*GREET1_Import_Export!$B193+GREET1_Import_Export!$G193)+J$78*(GREET1_Import_Export!$T79+GREET1_Import_Export!$C$179*GREET1_Import_Export!$B193+GREET1_Import_Export!$C193)+J$79*(GREET1_Import_Export!$B79+GREET1_Import_Export!$B229)+J$80*(GREET1_Import_Export!$AA79+GREET1_Import_Export!$B297)+J$81*(GREET1_Import_Export!$X79+GREET1_Import_Export!$B$10*(GREET1_Import_Export!$F$215*GREET1_Import_Export!$B229+GREET1_Import_Export!$F229)+GREET1_Import_Export!$C$10*(GREET1_Import_Export!$E$179*GREET1_Import_Export!$B193+GREET1_Import_Export!$E193))+J$82*(GREET1_Import_Export!$B322+GREET1_Import_Export!$C322)+J$83*0.5*GREET1_Import_Export!$B539+J$84*GREET1_Import_Export!$C508+J$85*GREET1_Import_Export!$B$41*(GREET1_Import_Export!$I$179*GREET1_Import_Export!$B193+GREET1_Import_Export!$I193)/1000000+J$86*Steel!$B122+J$87*Steel!$I122</f>
        <v>1.7733453161102681</v>
      </c>
      <c r="K103" s="348"/>
      <c r="L103" s="349">
        <f ca="1">L$76*(GREET1_Import_Export!$K79+GREET1_Import_Export!$F$179*GREET1_Import_Export!$B193+GREET1_Import_Export!$F193)+L$77*(GREET1_Import_Export!$O79+GREET1_Import_Export!$G$179*GREET1_Import_Export!$B193+GREET1_Import_Export!$G193)+L$78*(GREET1_Import_Export!$T79+GREET1_Import_Export!$C$179*GREET1_Import_Export!$B193+GREET1_Import_Export!$C193)+L$79*(GREET1_Import_Export!$B79+GREET1_Import_Export!$B229)+L$80*(GREET1_Import_Export!$AA79+GREET1_Import_Export!$B297)+L$81*(GREET1_Import_Export!$X79+GREET1_Import_Export!$B$10*(GREET1_Import_Export!$F$215*GREET1_Import_Export!$B229+GREET1_Import_Export!$F229)+GREET1_Import_Export!$C$10*(GREET1_Import_Export!$E$179*GREET1_Import_Export!$B193+GREET1_Import_Export!$E193))+L$82*(GREET1_Import_Export!$B322+GREET1_Import_Export!$C322)+L$83*0.5*GREET1_Import_Export!$B539+L$84*GREET1_Import_Export!$C508+L$85*GREET1_Import_Export!$B$41*(GREET1_Import_Export!$I$179*GREET1_Import_Export!$B193+GREET1_Import_Export!$I193)/1000000+L$86*Steel!$B122+L$87*Steel!$I122</f>
        <v>1.9845025422616864</v>
      </c>
      <c r="M103" s="349"/>
      <c r="N103" s="347">
        <f ca="1">N$76*(GREET1_Import_Export!$K79+GREET1_Import_Export!$F$179*GREET1_Import_Export!$B193+GREET1_Import_Export!$F193)+N$77*(GREET1_Import_Export!$O79+GREET1_Import_Export!$G$179*GREET1_Import_Export!$B193+GREET1_Import_Export!$G193)+N$78*(GREET1_Import_Export!$T79+GREET1_Import_Export!$C$179*GREET1_Import_Export!$B193+GREET1_Import_Export!$C193)+N$79*(GREET1_Import_Export!$B79+GREET1_Import_Export!$B229)+N$80*(GREET1_Import_Export!$AA79+GREET1_Import_Export!$B297)+N$81*(GREET1_Import_Export!$X79+GREET1_Import_Export!$B$10*(GREET1_Import_Export!$F$215*GREET1_Import_Export!$B229+GREET1_Import_Export!$F229)+GREET1_Import_Export!$C$10*(GREET1_Import_Export!$E$179*GREET1_Import_Export!$B193+GREET1_Import_Export!$E193))+N$82*(GREET1_Import_Export!$B322+GREET1_Import_Export!$C322)+N$83*0.5*GREET1_Import_Export!$B539+N$84*GREET1_Import_Export!$C508+N$85*GREET1_Import_Export!$B$41*(GREET1_Import_Export!$I$179*GREET1_Import_Export!$B193+GREET1_Import_Export!$I193)/1000000+N$86*Steel!$B122+N$87*Steel!$I122+N$88*(SUM($B140:$E140)*$F$122+$F140)</f>
        <v>12.517142994098787</v>
      </c>
      <c r="O103" s="478"/>
      <c r="P103" s="349">
        <f ca="1">P$76*(GREET1_Import_Export!$K79+GREET1_Import_Export!$F$179*GREET1_Import_Export!$B193+GREET1_Import_Export!$F193)+P$77*(GREET1_Import_Export!$O79+GREET1_Import_Export!$G$179*GREET1_Import_Export!$B193+GREET1_Import_Export!$G193)+P$78*(GREET1_Import_Export!$T79+GREET1_Import_Export!$C$179*GREET1_Import_Export!$B193+GREET1_Import_Export!$C193)+P$79*(GREET1_Import_Export!$B79+GREET1_Import_Export!$B229)+P$80*(GREET1_Import_Export!$AA79+GREET1_Import_Export!$B297)+P$81*(GREET1_Import_Export!$X79+GREET1_Import_Export!$B$10*(GREET1_Import_Export!$F$215*GREET1_Import_Export!$B229+GREET1_Import_Export!$F229)+GREET1_Import_Export!$C$10*(GREET1_Import_Export!$E$179*GREET1_Import_Export!$B193+GREET1_Import_Export!$E193))+P$82*(GREET1_Import_Export!$B322+GREET1_Import_Export!$C322)+P$83*0.5*GREET1_Import_Export!$B539+P$84*GREET1_Import_Export!$C508+P$86*Steel!$B122+P$87*Steel!$I122</f>
        <v>6.1497583020380935</v>
      </c>
      <c r="Q103" s="349"/>
      <c r="R103" s="347">
        <f ca="1">R$76*(GREET1_Import_Export!$K79+GREET1_Import_Export!$F$179*GREET1_Import_Export!$B193+GREET1_Import_Export!$F193)+R$77*(GREET1_Import_Export!$O79+GREET1_Import_Export!$G$179*GREET1_Import_Export!$B193+GREET1_Import_Export!$G193)+R$78*(GREET1_Import_Export!$T79+GREET1_Import_Export!$C$179*GREET1_Import_Export!$B193+GREET1_Import_Export!$C193)+R$79*(GREET1_Import_Export!$B79+GREET1_Import_Export!$B229)+R$80*(GREET1_Import_Export!$AA79+GREET1_Import_Export!$B297)+R$81*(GREET1_Import_Export!$X79+GREET1_Import_Export!$B$10*(GREET1_Import_Export!$F$215*GREET1_Import_Export!$B229+GREET1_Import_Export!$F229)+GREET1_Import_Export!$C$10*(GREET1_Import_Export!$E$179*GREET1_Import_Export!$B193+GREET1_Import_Export!$E193))+R$82*(GREET1_Import_Export!$B322+GREET1_Import_Export!$C322)+R$83*0.5*GREET1_Import_Export!$B539+R$84*GREET1_Import_Export!$C508+R$86*Steel!$B122+R$87*Steel!$I122</f>
        <v>5.5556985420685372</v>
      </c>
      <c r="S103" s="478"/>
      <c r="T103" s="349">
        <f ca="1">T$76*(GREET1_Import_Export!$K79+GREET1_Import_Export!$F$179*GREET1_Import_Export!$B193+GREET1_Import_Export!$F193)+T$77*(GREET1_Import_Export!$O79+GREET1_Import_Export!$G$179*GREET1_Import_Export!$B193+GREET1_Import_Export!$G193)+T$78*(GREET1_Import_Export!$T79+GREET1_Import_Export!$C$179*GREET1_Import_Export!$B193+GREET1_Import_Export!$C193)+T$79*(GREET1_Import_Export!$B79+GREET1_Import_Export!$B229)+T$80*(GREET1_Import_Export!$AA79+GREET1_Import_Export!$B297)+T$81*(GREET1_Import_Export!$X79+GREET1_Import_Export!$B$10*(GREET1_Import_Export!$F$215*GREET1_Import_Export!$B229+GREET1_Import_Export!$F229)+GREET1_Import_Export!$C$10*(GREET1_Import_Export!$E$179*GREET1_Import_Export!$B193+GREET1_Import_Export!$E193))+T$82*(GREET1_Import_Export!$B322+GREET1_Import_Export!$C322)+T$83*0.5*GREET1_Import_Export!$B539+T$84*GREET1_Import_Export!$C508+T$86*Steel!$B122+T$87*Steel!$I122</f>
        <v>1.8515360548206214</v>
      </c>
      <c r="U103" s="349"/>
      <c r="V103" s="347">
        <f ca="1">V$76*(GREET1_Import_Export!$K79+GREET1_Import_Export!$F$179*GREET1_Import_Export!$B193+GREET1_Import_Export!$F193)+V$77*(GREET1_Import_Export!$O79+GREET1_Import_Export!$G$179*GREET1_Import_Export!$B193+GREET1_Import_Export!$G193)+V$78*(GREET1_Import_Export!$T79+GREET1_Import_Export!$C$179*GREET1_Import_Export!$B193+GREET1_Import_Export!$C193)+V$79*(GREET1_Import_Export!$B79+GREET1_Import_Export!$B229)+V$80*(GREET1_Import_Export!$AA79+GREET1_Import_Export!$B297)+V$81*(GREET1_Import_Export!$X79+GREET1_Import_Export!$B$10*(GREET1_Import_Export!$F$215*GREET1_Import_Export!$B229+GREET1_Import_Export!$F229)+GREET1_Import_Export!$C$10*(GREET1_Import_Export!$E$179*GREET1_Import_Export!$B193+GREET1_Import_Export!$E193))+V$82*(GREET1_Import_Export!$B322+GREET1_Import_Export!$C322)+V$83*0.5*GREET1_Import_Export!$B539+V$84*GREET1_Import_Export!$C508+V$86*Steel!$B122+V$87*Steel!$I122</f>
        <v>10.15131368496171</v>
      </c>
      <c r="W103" s="348"/>
      <c r="X103" s="64"/>
      <c r="Y103" s="1321"/>
    </row>
    <row r="104" spans="1:25" s="64" customFormat="1">
      <c r="A104" s="230" t="s">
        <v>829</v>
      </c>
      <c r="B104" s="347">
        <f ca="1">B$76*(B$53*GREET1_Import_Export!$K80+GREET1_Import_Export!$F$179*GREET1_Import_Export!$B194+GREET1_Import_Export!$F194)+B$77*(B$59*GREET1_Import_Export!$R80+B$60*GREET1_Import_Export!$C154+GREET1_Import_Export!$H$179*GREET1_Import_Export!$B194+GREET1_Import_Export!$H194)+B$78*(B$57*GREET1_Import_Export!$T80+B$58*GREET1_Import_Export!$C140+GREET1_Import_Export!$C$179*GREET1_Import_Export!$B194+GREET1_Import_Export!$C194)+B$79*(B$54*GREET1_Import_Export!$B80+B$55*GREET1_Import_Export!$C126+GREET1_Import_Export!$B230)+B$80*(B$56*GREET1_Import_Export!$AA80+GREET1_Import_Export!$B298)+B$81*(GREET1_Import_Export!$X80+GREET1_Import_Export!$B$10*(GREET1_Import_Export!$F$215*GREET1_Import_Export!$B230+GREET1_Import_Export!$F230)+GREET1_Import_Export!$C$10*(GREET1_Import_Export!$E$179*GREET1_Import_Export!$B194+GREET1_Import_Export!$E194))+B$82*(GREET1_Import_Export!$B323+GREET1_Import_Export!$C323)+B$83*0.5*GREET1_Import_Export!$B540+B$84*GREET1_Import_Export!$C509+B$86*Steel!$B123+B$87*Steel!$I123</f>
        <v>65.310300802730978</v>
      </c>
      <c r="C104" s="348"/>
      <c r="D104" s="349">
        <f ca="1">D$76*(GREET1_Import_Export!$K80+GREET1_Import_Export!$F$179*GREET1_Import_Export!$B194+GREET1_Import_Export!$F194)+D$77*(GREET1_Import_Export!$O80+GREET1_Import_Export!$G$179*GREET1_Import_Export!$B194+GREET1_Import_Export!$G194)+D$78*(GREET1_Import_Export!$T80+GREET1_Import_Export!$C$179*GREET1_Import_Export!$B194+GREET1_Import_Export!$C194)+D$79*(GREET1_Import_Export!$B80+GREET1_Import_Export!$B230)+D$80*(GREET1_Import_Export!$AA80+GREET1_Import_Export!$B298)+D$81*(GREET1_Import_Export!$X80+GREET1_Import_Export!$B$10*(GREET1_Import_Export!$F$215*GREET1_Import_Export!$B230+GREET1_Import_Export!$F230)+GREET1_Import_Export!$C$10*(GREET1_Import_Export!$E$179*GREET1_Import_Export!$B194+GREET1_Import_Export!$E194))+D$82*(GREET1_Import_Export!$B323+GREET1_Import_Export!$C323)+D$83*0.5*GREET1_Import_Export!$B540+D$84*GREET1_Import_Export!$C509+D$86*Steel!$B123+D$87*Steel!$I123</f>
        <v>4205.6430350012424</v>
      </c>
      <c r="E104" s="349"/>
      <c r="F104" s="347">
        <f ca="1">F$76*(GREET1_Import_Export!$K80+GREET1_Import_Export!$F$179*GREET1_Import_Export!$B194+GREET1_Import_Export!$F194)+F$77*(GREET1_Import_Export!$O80+GREET1_Import_Export!$G$179*GREET1_Import_Export!$B194+GREET1_Import_Export!$G194)+F$78*(GREET1_Import_Export!$T80+GREET1_Import_Export!$C$179*GREET1_Import_Export!$B194+GREET1_Import_Export!$C194)+F$79*(GREET1_Import_Export!$B80+GREET1_Import_Export!$B230)+F$80*(GREET1_Import_Export!$AA80+GREET1_Import_Export!$B298)+F$81*(GREET1_Import_Export!$X80+GREET1_Import_Export!$B$10*(GREET1_Import_Export!$F$215*GREET1_Import_Export!$B230+GREET1_Import_Export!$F230)+GREET1_Import_Export!$C$10*(GREET1_Import_Export!$E$179*GREET1_Import_Export!$B194+GREET1_Import_Export!$E194))+F$82*(GREET1_Import_Export!$B323+GREET1_Import_Export!$C323)+F$83*0.5*GREET1_Import_Export!$B540+F$84*GREET1_Import_Export!$C509+F$85*GREET1_Import_Export!$B$41*(GREET1_Import_Export!$I$179*GREET1_Import_Export!$B194+GREET1_Import_Export!$I194)/1000000+F$86*Steel!$B123+F$87*Steel!$I123</f>
        <v>1286.2277403302521</v>
      </c>
      <c r="G104" s="348"/>
      <c r="H104" s="349">
        <f ca="1">H$76*(GREET1_Import_Export!$K80+GREET1_Import_Export!$F$179*GREET1_Import_Export!$B194+GREET1_Import_Export!$F194)+H$77*(GREET1_Import_Export!$O80+GREET1_Import_Export!$G$179*GREET1_Import_Export!$B194+GREET1_Import_Export!$G194)+H$78*(GREET1_Import_Export!$T80+GREET1_Import_Export!$C$179*GREET1_Import_Export!$B194+GREET1_Import_Export!$C194)+H$79*(GREET1_Import_Export!$B80+GREET1_Import_Export!$B230)+H$80*(GREET1_Import_Export!$AA80+GREET1_Import_Export!$B298)+H$81*(GREET1_Import_Export!$X80+GREET1_Import_Export!$B$10*(GREET1_Import_Export!$F$215*GREET1_Import_Export!$B230+GREET1_Import_Export!$F230)+GREET1_Import_Export!$C$10*(GREET1_Import_Export!$E$179*GREET1_Import_Export!$B194+GREET1_Import_Export!$E194))+H$82*W.Al!$B40+H$83*0.5*GREET1_Import_Export!$B540+H$84*GREET1_Import_Export!$C509+H$86*Steel!$B123+H$87*Steel!$I123</f>
        <v>4160.6038295132767</v>
      </c>
      <c r="I104" s="479"/>
      <c r="J104" s="347">
        <f ca="1">J$76*(GREET1_Import_Export!$K80+GREET1_Import_Export!$F$179*GREET1_Import_Export!$B194+GREET1_Import_Export!$F194)+J$77*(GREET1_Import_Export!$O80+GREET1_Import_Export!$G$179*GREET1_Import_Export!$B194+GREET1_Import_Export!$G194)+J$78*(GREET1_Import_Export!$T80+GREET1_Import_Export!$C$179*GREET1_Import_Export!$B194+GREET1_Import_Export!$C194)+J$79*(GREET1_Import_Export!$B80+GREET1_Import_Export!$B230)+J$80*(GREET1_Import_Export!$AA80+GREET1_Import_Export!$B298)+J$81*(GREET1_Import_Export!$X80+GREET1_Import_Export!$B$10*(GREET1_Import_Export!$F$215*GREET1_Import_Export!$B230+GREET1_Import_Export!$F230)+GREET1_Import_Export!$C$10*(GREET1_Import_Export!$E$179*GREET1_Import_Export!$B194+GREET1_Import_Export!$E194))+J$82*(GREET1_Import_Export!$B323+GREET1_Import_Export!$C323)+J$83*0.5*GREET1_Import_Export!$B540+J$84*GREET1_Import_Export!$C509+J$85*GREET1_Import_Export!$B$41*(GREET1_Import_Export!$I$179*GREET1_Import_Export!$B194+GREET1_Import_Export!$I194)/1000000+J$86*Steel!$B123+J$87*Steel!$I123</f>
        <v>214.24438627790502</v>
      </c>
      <c r="K104" s="348"/>
      <c r="L104" s="349">
        <f ca="1">L$76*(GREET1_Import_Export!$K80+GREET1_Import_Export!$F$179*GREET1_Import_Export!$B194+GREET1_Import_Export!$F194)+L$77*(GREET1_Import_Export!$O80+GREET1_Import_Export!$G$179*GREET1_Import_Export!$B194+GREET1_Import_Export!$G194)+L$78*(GREET1_Import_Export!$T80+GREET1_Import_Export!$C$179*GREET1_Import_Export!$B194+GREET1_Import_Export!$C194)+L$79*(GREET1_Import_Export!$B80+GREET1_Import_Export!$B230)+L$80*(GREET1_Import_Export!$AA80+GREET1_Import_Export!$B298)+L$81*(GREET1_Import_Export!$X80+GREET1_Import_Export!$B$10*(GREET1_Import_Export!$F$215*GREET1_Import_Export!$B230+GREET1_Import_Export!$F230)+GREET1_Import_Export!$C$10*(GREET1_Import_Export!$E$179*GREET1_Import_Export!$B194+GREET1_Import_Export!$E194))+L$82*(GREET1_Import_Export!$B323+GREET1_Import_Export!$C323)+L$83*0.5*GREET1_Import_Export!$B540+L$84*GREET1_Import_Export!$C509+L$85*GREET1_Import_Export!$B$41*(GREET1_Import_Export!$I$179*GREET1_Import_Export!$B194+GREET1_Import_Export!$I194)/1000000+L$86*Steel!$B123+L$87*Steel!$I123</f>
        <v>255.39784469106743</v>
      </c>
      <c r="M104" s="349"/>
      <c r="N104" s="347">
        <f ca="1">N$76*(GREET1_Import_Export!$K80+GREET1_Import_Export!$F$179*GREET1_Import_Export!$B194+GREET1_Import_Export!$F194)+N$77*(GREET1_Import_Export!$O80+GREET1_Import_Export!$G$179*GREET1_Import_Export!$B194+GREET1_Import_Export!$G194)+N$78*(GREET1_Import_Export!$T80+GREET1_Import_Export!$C$179*GREET1_Import_Export!$B194+GREET1_Import_Export!$C194)+N$79*(GREET1_Import_Export!$B80+GREET1_Import_Export!$B230)+N$80*(GREET1_Import_Export!$AA80+GREET1_Import_Export!$B298)+N$81*(GREET1_Import_Export!$X80+GREET1_Import_Export!$B$10*(GREET1_Import_Export!$F$215*GREET1_Import_Export!$B230+GREET1_Import_Export!$F230)+GREET1_Import_Export!$C$10*(GREET1_Import_Export!$E$179*GREET1_Import_Export!$B194+GREET1_Import_Export!$E194))+N$82*(GREET1_Import_Export!$B323+GREET1_Import_Export!$C323)+N$83*0.5*GREET1_Import_Export!$B540+N$84*GREET1_Import_Export!$C509+N$85*GREET1_Import_Export!$B$41*(GREET1_Import_Export!$I$179*GREET1_Import_Export!$B194+GREET1_Import_Export!$I194)/1000000+N$86*Steel!$B123+N$87*Steel!$I123+N$88*(SUM($B141:$E141)*$F$122+$F141)</f>
        <v>1800.0216427178486</v>
      </c>
      <c r="O104" s="478">
        <v>0.35380800000000001</v>
      </c>
      <c r="P104" s="349">
        <f ca="1">P$76*(GREET1_Import_Export!$K80+GREET1_Import_Export!$F$179*GREET1_Import_Export!$B194+GREET1_Import_Export!$F194)+P$77*(GREET1_Import_Export!$O80+GREET1_Import_Export!$G$179*GREET1_Import_Export!$B194+GREET1_Import_Export!$G194)+P$78*(GREET1_Import_Export!$T80+GREET1_Import_Export!$C$179*GREET1_Import_Export!$B194+GREET1_Import_Export!$C194)+P$79*(GREET1_Import_Export!$B80+GREET1_Import_Export!$B230)+P$80*(GREET1_Import_Export!$AA80+GREET1_Import_Export!$B298)+P$81*(GREET1_Import_Export!$X80+GREET1_Import_Export!$B$10*(GREET1_Import_Export!$F$215*GREET1_Import_Export!$B230+GREET1_Import_Export!$F230)+GREET1_Import_Export!$C$10*(GREET1_Import_Export!$E$179*GREET1_Import_Export!$B194+GREET1_Import_Export!$E194))+P$82*(GREET1_Import_Export!$B323+GREET1_Import_Export!$C323)+P$83*0.5*GREET1_Import_Export!$B540+P$84*GREET1_Import_Export!$C509+P$86*Steel!$B123+P$87*Steel!$I123</f>
        <v>807.00951227598023</v>
      </c>
      <c r="Q104" s="349"/>
      <c r="R104" s="347">
        <f ca="1">R$76*(GREET1_Import_Export!$K80+GREET1_Import_Export!$F$179*GREET1_Import_Export!$B194+GREET1_Import_Export!$F194)+R$77*(GREET1_Import_Export!$O80+GREET1_Import_Export!$G$179*GREET1_Import_Export!$B194+GREET1_Import_Export!$G194)+R$78*(GREET1_Import_Export!$T80+GREET1_Import_Export!$C$179*GREET1_Import_Export!$B194+GREET1_Import_Export!$C194)+R$79*(GREET1_Import_Export!$B80+GREET1_Import_Export!$B230)+R$80*(GREET1_Import_Export!$AA80+GREET1_Import_Export!$B298)+R$81*(GREET1_Import_Export!$X80+GREET1_Import_Export!$B$10*(GREET1_Import_Export!$F$215*GREET1_Import_Export!$B230+GREET1_Import_Export!$F230)+GREET1_Import_Export!$C$10*(GREET1_Import_Export!$E$179*GREET1_Import_Export!$B194+GREET1_Import_Export!$E194))+R$82*(GREET1_Import_Export!$B323+GREET1_Import_Export!$C323)+R$83*0.5*GREET1_Import_Export!$B540+R$84*GREET1_Import_Export!$C509+R$86*Steel!$B123+R$87*Steel!$I123</f>
        <v>715.34819549366227</v>
      </c>
      <c r="S104" s="478">
        <v>1.0886400000000001</v>
      </c>
      <c r="T104" s="349">
        <f ca="1">T$76*(GREET1_Import_Export!$K80+GREET1_Import_Export!$F$179*GREET1_Import_Export!$B194+GREET1_Import_Export!$F194)+T$77*(GREET1_Import_Export!$O80+GREET1_Import_Export!$G$179*GREET1_Import_Export!$B194+GREET1_Import_Export!$G194)+T$78*(GREET1_Import_Export!$T80+GREET1_Import_Export!$C$179*GREET1_Import_Export!$B194+GREET1_Import_Export!$C194)+T$79*(GREET1_Import_Export!$B80+GREET1_Import_Export!$B230)+T$80*(GREET1_Import_Export!$AA80+GREET1_Import_Export!$B298)+T$81*(GREET1_Import_Export!$X80+GREET1_Import_Export!$B$10*(GREET1_Import_Export!$F$215*GREET1_Import_Export!$B230+GREET1_Import_Export!$F230)+GREET1_Import_Export!$C$10*(GREET1_Import_Export!$E$179*GREET1_Import_Export!$B194+GREET1_Import_Export!$E194))+T$82*(GREET1_Import_Export!$B323+GREET1_Import_Export!$C323)+T$83*0.5*GREET1_Import_Export!$B540+T$84*GREET1_Import_Export!$C509+T$86*Steel!$B123+T$87*Steel!$I123</f>
        <v>230.36876588616292</v>
      </c>
      <c r="U104" s="349"/>
      <c r="V104" s="347">
        <f ca="1">V$76*(GREET1_Import_Export!$K80+GREET1_Import_Export!$F$179*GREET1_Import_Export!$B194+GREET1_Import_Export!$F194)+V$77*(GREET1_Import_Export!$O80+GREET1_Import_Export!$G$179*GREET1_Import_Export!$B194+GREET1_Import_Export!$G194)+V$78*(GREET1_Import_Export!$T80+GREET1_Import_Export!$C$179*GREET1_Import_Export!$B194+GREET1_Import_Export!$C194)+V$79*(GREET1_Import_Export!$B80+GREET1_Import_Export!$B230)+V$80*(GREET1_Import_Export!$AA80+GREET1_Import_Export!$B298)+V$81*(GREET1_Import_Export!$X80+GREET1_Import_Export!$B$10*(GREET1_Import_Export!$F$215*GREET1_Import_Export!$B230+GREET1_Import_Export!$F230)+GREET1_Import_Export!$C$10*(GREET1_Import_Export!$E$179*GREET1_Import_Export!$B194+GREET1_Import_Export!$E194))+V$82*(GREET1_Import_Export!$B323+GREET1_Import_Export!$C323)+V$83*0.5*GREET1_Import_Export!$B540+V$84*GREET1_Import_Export!$C509+V$86*Steel!$B123+V$87*Steel!$I123</f>
        <v>1332.7532109670594</v>
      </c>
      <c r="W104" s="348"/>
      <c r="Y104" s="1321"/>
    </row>
    <row r="105" spans="1:25" s="64" customFormat="1">
      <c r="A105" s="230" t="s">
        <v>830</v>
      </c>
      <c r="B105" s="347">
        <f ca="1">B$76*(B$53*GREET1_Import_Export!$K81+GREET1_Import_Export!$F$179*GREET1_Import_Export!$B195+GREET1_Import_Export!$F195)+B$77*(B$59*GREET1_Import_Export!$R81+B$60*GREET1_Import_Export!$C155+GREET1_Import_Export!$H$179*GREET1_Import_Export!$B195+GREET1_Import_Export!$H195)+B$78*(B$57*GREET1_Import_Export!$T81+B$58*GREET1_Import_Export!$C141+GREET1_Import_Export!$C$179*GREET1_Import_Export!$B195+GREET1_Import_Export!$C195)+B$79*(B$54*GREET1_Import_Export!$B81+B$55*GREET1_Import_Export!$C127+GREET1_Import_Export!$B231)+B$80*(B$56*GREET1_Import_Export!$AA81+GREET1_Import_Export!$B299)+B$81*(GREET1_Import_Export!$X81+GREET1_Import_Export!$B$10*(GREET1_Import_Export!$F$215*GREET1_Import_Export!$B231+GREET1_Import_Export!$F231)+GREET1_Import_Export!$C$10*(GREET1_Import_Export!$E$179*GREET1_Import_Export!$B195+GREET1_Import_Export!$E195))+B$82*(GREET1_Import_Export!$B324+GREET1_Import_Export!$C324)+B$83*0.5*GREET1_Import_Export!$B541+B$84*GREET1_Import_Export!$C510+B$86*Steel!$B124+B$87*Steel!$I124</f>
        <v>1.2186223510411494</v>
      </c>
      <c r="C105" s="348"/>
      <c r="D105" s="349">
        <f ca="1">D$76*(GREET1_Import_Export!$K81+GREET1_Import_Export!$F$179*GREET1_Import_Export!$B195+GREET1_Import_Export!$F195)+D$77*(GREET1_Import_Export!$O81+GREET1_Import_Export!$G$179*GREET1_Import_Export!$B195+GREET1_Import_Export!$G195)+D$78*(GREET1_Import_Export!$T81+GREET1_Import_Export!$C$179*GREET1_Import_Export!$B195+GREET1_Import_Export!$C195)+D$79*(GREET1_Import_Export!$B81+GREET1_Import_Export!$B231)+D$80*(GREET1_Import_Export!$AA81+GREET1_Import_Export!$B299)+D$81*(GREET1_Import_Export!$X81+GREET1_Import_Export!$B$10*(GREET1_Import_Export!$F$215*GREET1_Import_Export!$B231+GREET1_Import_Export!$F231)+GREET1_Import_Export!$C$10*(GREET1_Import_Export!$E$179*GREET1_Import_Export!$B195+GREET1_Import_Export!$E195))+D$82*(GREET1_Import_Export!$B324+GREET1_Import_Export!$C324)+D$83*0.5*GREET1_Import_Export!$B541+D$84*GREET1_Import_Export!$C510+D$86*Steel!$B124+D$87*Steel!$I124</f>
        <v>42.514731700825408</v>
      </c>
      <c r="E105" s="349"/>
      <c r="F105" s="347">
        <f ca="1">F$76*(GREET1_Import_Export!$K81+GREET1_Import_Export!$F$179*GREET1_Import_Export!$B195+GREET1_Import_Export!$F195)+F$77*(GREET1_Import_Export!$O81+GREET1_Import_Export!$G$179*GREET1_Import_Export!$B195+GREET1_Import_Export!$G195)+F$78*(GREET1_Import_Export!$T81+GREET1_Import_Export!$C$179*GREET1_Import_Export!$B195+GREET1_Import_Export!$C195)+F$79*(GREET1_Import_Export!$B81+GREET1_Import_Export!$B231)+F$80*(GREET1_Import_Export!$AA81+GREET1_Import_Export!$B299)+F$81*(GREET1_Import_Export!$X81+GREET1_Import_Export!$B$10*(GREET1_Import_Export!$F$215*GREET1_Import_Export!$B231+GREET1_Import_Export!$F231)+GREET1_Import_Export!$C$10*(GREET1_Import_Export!$E$179*GREET1_Import_Export!$B195+GREET1_Import_Export!$E195))+F$82*(GREET1_Import_Export!$B324+GREET1_Import_Export!$C324)+F$83*0.5*GREET1_Import_Export!$B541+F$84*GREET1_Import_Export!$C510+F$85*GREET1_Import_Export!$B$41*(GREET1_Import_Export!$I$179*GREET1_Import_Export!$B195+GREET1_Import_Export!$I195)/1000000+F$86*Steel!$B124+F$87*Steel!$I124</f>
        <v>4.6809048711268755</v>
      </c>
      <c r="G105" s="348"/>
      <c r="H105" s="349">
        <f ca="1">H$76*(GREET1_Import_Export!$K81+GREET1_Import_Export!$F$179*GREET1_Import_Export!$B195+GREET1_Import_Export!$F195)+H$77*(GREET1_Import_Export!$O81+GREET1_Import_Export!$G$179*GREET1_Import_Export!$B195+GREET1_Import_Export!$G195)+H$78*(GREET1_Import_Export!$T81+GREET1_Import_Export!$C$179*GREET1_Import_Export!$B195+GREET1_Import_Export!$C195)+H$79*(GREET1_Import_Export!$B81+GREET1_Import_Export!$B231)+H$80*(GREET1_Import_Export!$AA81+GREET1_Import_Export!$B299)+H$81*(GREET1_Import_Export!$X81+GREET1_Import_Export!$B$10*(GREET1_Import_Export!$F$215*GREET1_Import_Export!$B231+GREET1_Import_Export!$F231)+GREET1_Import_Export!$C$10*(GREET1_Import_Export!$E$179*GREET1_Import_Export!$B195+GREET1_Import_Export!$E195))+H$82*W.Al!$B41+H$83*0.5*GREET1_Import_Export!$B541+H$84*GREET1_Import_Export!$C510+H$86*Steel!$B124+H$87*Steel!$I124</f>
        <v>52.472600720827259</v>
      </c>
      <c r="I105" s="479"/>
      <c r="J105" s="347">
        <f ca="1">J$76*(GREET1_Import_Export!$K81+GREET1_Import_Export!$F$179*GREET1_Import_Export!$B195+GREET1_Import_Export!$F195)+J$77*(GREET1_Import_Export!$O81+GREET1_Import_Export!$G$179*GREET1_Import_Export!$B195+GREET1_Import_Export!$G195)+J$78*(GREET1_Import_Export!$T81+GREET1_Import_Export!$C$179*GREET1_Import_Export!$B195+GREET1_Import_Export!$C195)+J$79*(GREET1_Import_Export!$B81+GREET1_Import_Export!$B231)+J$80*(GREET1_Import_Export!$AA81+GREET1_Import_Export!$B299)+J$81*(GREET1_Import_Export!$X81+GREET1_Import_Export!$B$10*(GREET1_Import_Export!$F$215*GREET1_Import_Export!$B231+GREET1_Import_Export!$F231)+GREET1_Import_Export!$C$10*(GREET1_Import_Export!$E$179*GREET1_Import_Export!$B195+GREET1_Import_Export!$E195))+J$82*(GREET1_Import_Export!$B324+GREET1_Import_Export!$C324)+J$83*0.5*GREET1_Import_Export!$B541+J$84*GREET1_Import_Export!$C510+J$85*GREET1_Import_Export!$B$41*(GREET1_Import_Export!$I$179*GREET1_Import_Export!$B195+GREET1_Import_Export!$I195)/1000000+J$86*Steel!$B124+J$87*Steel!$I124</f>
        <v>2.1784378448726276</v>
      </c>
      <c r="K105" s="348"/>
      <c r="L105" s="349">
        <f ca="1">L$76*(GREET1_Import_Export!$K81+GREET1_Import_Export!$F$179*GREET1_Import_Export!$B195+GREET1_Import_Export!$F195)+L$77*(GREET1_Import_Export!$O81+GREET1_Import_Export!$G$179*GREET1_Import_Export!$B195+GREET1_Import_Export!$G195)+L$78*(GREET1_Import_Export!$T81+GREET1_Import_Export!$C$179*GREET1_Import_Export!$B195+GREET1_Import_Export!$C195)+L$79*(GREET1_Import_Export!$B81+GREET1_Import_Export!$B231)+L$80*(GREET1_Import_Export!$AA81+GREET1_Import_Export!$B299)+L$81*(GREET1_Import_Export!$X81+GREET1_Import_Export!$B$10*(GREET1_Import_Export!$F$215*GREET1_Import_Export!$B231+GREET1_Import_Export!$F231)+GREET1_Import_Export!$C$10*(GREET1_Import_Export!$E$179*GREET1_Import_Export!$B195+GREET1_Import_Export!$E195))+L$82*(GREET1_Import_Export!$B324+GREET1_Import_Export!$C324)+L$83*0.5*GREET1_Import_Export!$B541+L$84*GREET1_Import_Export!$C510+L$85*GREET1_Import_Export!$B$41*(GREET1_Import_Export!$I$179*GREET1_Import_Export!$B195+GREET1_Import_Export!$I195)/1000000+L$86*Steel!$B124+L$87*Steel!$I124</f>
        <v>2.4603369180725125</v>
      </c>
      <c r="M105" s="349"/>
      <c r="N105" s="347">
        <f ca="1">N$76*(GREET1_Import_Export!$K81+GREET1_Import_Export!$F$179*GREET1_Import_Export!$B195+GREET1_Import_Export!$F195)+N$77*(GREET1_Import_Export!$O81+GREET1_Import_Export!$G$179*GREET1_Import_Export!$B195+GREET1_Import_Export!$G195)+N$78*(GREET1_Import_Export!$T81+GREET1_Import_Export!$C$179*GREET1_Import_Export!$B195+GREET1_Import_Export!$C195)+N$79*(GREET1_Import_Export!$B81+GREET1_Import_Export!$B231)+N$80*(GREET1_Import_Export!$AA81+GREET1_Import_Export!$B299)+N$81*(GREET1_Import_Export!$X81+GREET1_Import_Export!$B$10*(GREET1_Import_Export!$F$215*GREET1_Import_Export!$B231+GREET1_Import_Export!$F231)+GREET1_Import_Export!$C$10*(GREET1_Import_Export!$E$179*GREET1_Import_Export!$B195+GREET1_Import_Export!$E195))+N$82*(GREET1_Import_Export!$B324+GREET1_Import_Export!$C324)+N$83*0.5*GREET1_Import_Export!$B541+N$84*GREET1_Import_Export!$C510+N$85*GREET1_Import_Export!$B$41*(GREET1_Import_Export!$I$179*GREET1_Import_Export!$B195+GREET1_Import_Export!$I195)/1000000+N$86*Steel!$B124+N$87*Steel!$I124+N$88*(SUM($B142:$E142)*$F$122+$F142)</f>
        <v>18.178649166092459</v>
      </c>
      <c r="O105" s="478">
        <v>0.33566400000000002</v>
      </c>
      <c r="P105" s="349">
        <f ca="1">P$76*(GREET1_Import_Export!$K81+GREET1_Import_Export!$F$179*GREET1_Import_Export!$B195+GREET1_Import_Export!$F195)+P$77*(GREET1_Import_Export!$O81+GREET1_Import_Export!$G$179*GREET1_Import_Export!$B195+GREET1_Import_Export!$G195)+P$78*(GREET1_Import_Export!$T81+GREET1_Import_Export!$C$179*GREET1_Import_Export!$B195+GREET1_Import_Export!$C195)+P$79*(GREET1_Import_Export!$B81+GREET1_Import_Export!$B231)+P$80*(GREET1_Import_Export!$AA81+GREET1_Import_Export!$B299)+P$81*(GREET1_Import_Export!$X81+GREET1_Import_Export!$B$10*(GREET1_Import_Export!$F$215*GREET1_Import_Export!$B231+GREET1_Import_Export!$F231)+GREET1_Import_Export!$C$10*(GREET1_Import_Export!$E$179*GREET1_Import_Export!$B195+GREET1_Import_Export!$E195))+P$82*(GREET1_Import_Export!$B324+GREET1_Import_Export!$C324)+P$83*0.5*GREET1_Import_Export!$B541+P$84*GREET1_Import_Export!$C510+P$86*Steel!$B124+P$87*Steel!$I124</f>
        <v>7.9665979975946799</v>
      </c>
      <c r="Q105" s="349"/>
      <c r="R105" s="347">
        <f ca="1">R$76*(GREET1_Import_Export!$K81+GREET1_Import_Export!$F$179*GREET1_Import_Export!$B195+GREET1_Import_Export!$F195)+R$77*(GREET1_Import_Export!$O81+GREET1_Import_Export!$G$179*GREET1_Import_Export!$B195+GREET1_Import_Export!$G195)+R$78*(GREET1_Import_Export!$T81+GREET1_Import_Export!$C$179*GREET1_Import_Export!$B195+GREET1_Import_Export!$C195)+R$79*(GREET1_Import_Export!$B81+GREET1_Import_Export!$B231)+R$80*(GREET1_Import_Export!$AA81+GREET1_Import_Export!$B299)+R$81*(GREET1_Import_Export!$X81+GREET1_Import_Export!$B$10*(GREET1_Import_Export!$F$215*GREET1_Import_Export!$B231+GREET1_Import_Export!$F231)+GREET1_Import_Export!$C$10*(GREET1_Import_Export!$E$179*GREET1_Import_Export!$B195+GREET1_Import_Export!$E195))+R$82*(GREET1_Import_Export!$B324+GREET1_Import_Export!$C324)+R$83*0.5*GREET1_Import_Export!$B541+R$84*GREET1_Import_Export!$C510+R$86*Steel!$B124+R$87*Steel!$I124</f>
        <v>6.8578960202617889</v>
      </c>
      <c r="S105" s="478">
        <v>0.99792000000000003</v>
      </c>
      <c r="T105" s="349">
        <f ca="1">T$76*(GREET1_Import_Export!$K81+GREET1_Import_Export!$F$179*GREET1_Import_Export!$B195+GREET1_Import_Export!$F195)+T$77*(GREET1_Import_Export!$O81+GREET1_Import_Export!$G$179*GREET1_Import_Export!$B195+GREET1_Import_Export!$G195)+T$78*(GREET1_Import_Export!$T81+GREET1_Import_Export!$C$179*GREET1_Import_Export!$B195+GREET1_Import_Export!$C195)+T$79*(GREET1_Import_Export!$B81+GREET1_Import_Export!$B231)+T$80*(GREET1_Import_Export!$AA81+GREET1_Import_Export!$B299)+T$81*(GREET1_Import_Export!$X81+GREET1_Import_Export!$B$10*(GREET1_Import_Export!$F$215*GREET1_Import_Export!$B231+GREET1_Import_Export!$F231)+GREET1_Import_Export!$C$10*(GREET1_Import_Export!$E$179*GREET1_Import_Export!$B195+GREET1_Import_Export!$E195))+T$82*(GREET1_Import_Export!$B324+GREET1_Import_Export!$C324)+T$83*0.5*GREET1_Import_Export!$B541+T$84*GREET1_Import_Export!$C510+T$86*Steel!$B124+T$87*Steel!$I124</f>
        <v>2.090091004206593</v>
      </c>
      <c r="U105" s="349"/>
      <c r="V105" s="347">
        <f ca="1">V$76*(GREET1_Import_Export!$K81+GREET1_Import_Export!$F$179*GREET1_Import_Export!$B195+GREET1_Import_Export!$F195)+V$77*(GREET1_Import_Export!$O81+GREET1_Import_Export!$G$179*GREET1_Import_Export!$B195+GREET1_Import_Export!$G195)+V$78*(GREET1_Import_Export!$T81+GREET1_Import_Export!$C$179*GREET1_Import_Export!$B195+GREET1_Import_Export!$C195)+V$79*(GREET1_Import_Export!$B81+GREET1_Import_Export!$B231)+V$80*(GREET1_Import_Export!$AA81+GREET1_Import_Export!$B299)+V$81*(GREET1_Import_Export!$X81+GREET1_Import_Export!$B$10*(GREET1_Import_Export!$F$215*GREET1_Import_Export!$B231+GREET1_Import_Export!$F231)+GREET1_Import_Export!$C$10*(GREET1_Import_Export!$E$179*GREET1_Import_Export!$B195+GREET1_Import_Export!$E195))+V$82*(GREET1_Import_Export!$B324+GREET1_Import_Export!$C324)+V$83*0.5*GREET1_Import_Export!$B541+V$84*GREET1_Import_Export!$C510+V$86*Steel!$B124+V$87*Steel!$I124</f>
        <v>13.121892439167178</v>
      </c>
      <c r="W105" s="348"/>
      <c r="Y105" s="1321"/>
    </row>
    <row r="106" spans="1:25">
      <c r="A106" s="230" t="s">
        <v>905</v>
      </c>
      <c r="B106" s="347">
        <v>0</v>
      </c>
      <c r="C106" s="391"/>
      <c r="D106" s="349">
        <v>0</v>
      </c>
      <c r="E106" s="389"/>
      <c r="F106" s="347">
        <v>0</v>
      </c>
      <c r="G106" s="348"/>
      <c r="H106" s="349">
        <v>0</v>
      </c>
      <c r="I106" s="479">
        <v>69.763679999999994</v>
      </c>
      <c r="J106" s="347">
        <v>0</v>
      </c>
      <c r="K106" s="391"/>
      <c r="L106" s="349">
        <v>0</v>
      </c>
      <c r="M106" s="389"/>
      <c r="N106" s="578">
        <f>+N$88*(SUM($B143:$E143)*$F$122+$F143)</f>
        <v>5.687258396258879</v>
      </c>
      <c r="O106" s="478"/>
      <c r="P106" s="349">
        <v>0</v>
      </c>
      <c r="Q106" s="389"/>
      <c r="R106" s="347">
        <v>0</v>
      </c>
      <c r="S106" s="391"/>
      <c r="T106" s="349">
        <v>0</v>
      </c>
      <c r="U106" s="389"/>
      <c r="V106" s="347">
        <v>0</v>
      </c>
      <c r="W106" s="348"/>
      <c r="X106" s="8"/>
      <c r="Y106" s="1321"/>
    </row>
    <row r="107" spans="1:25">
      <c r="A107" s="230" t="s">
        <v>906</v>
      </c>
      <c r="B107" s="347">
        <v>0</v>
      </c>
      <c r="C107" s="391"/>
      <c r="D107" s="349">
        <v>0</v>
      </c>
      <c r="E107" s="389"/>
      <c r="F107" s="347">
        <v>0</v>
      </c>
      <c r="G107" s="348"/>
      <c r="H107" s="349">
        <v>0</v>
      </c>
      <c r="I107" s="479">
        <v>9.61632</v>
      </c>
      <c r="J107" s="347">
        <v>0</v>
      </c>
      <c r="K107" s="391"/>
      <c r="L107" s="349">
        <v>0</v>
      </c>
      <c r="M107" s="389"/>
      <c r="N107" s="578">
        <f>+N$88*(SUM($B144:$E144)*$F$122+$F144)</f>
        <v>0.78393938882112013</v>
      </c>
      <c r="O107" s="478"/>
      <c r="P107" s="349">
        <v>0</v>
      </c>
      <c r="Q107" s="389"/>
      <c r="R107" s="347">
        <v>0</v>
      </c>
      <c r="S107" s="391"/>
      <c r="T107" s="349">
        <v>0</v>
      </c>
      <c r="U107" s="389"/>
      <c r="V107" s="347">
        <v>0</v>
      </c>
      <c r="W107" s="348"/>
      <c r="X107" s="8"/>
      <c r="Y107" s="1321"/>
    </row>
    <row r="108" spans="1:25">
      <c r="A108" s="95" t="s">
        <v>831</v>
      </c>
      <c r="B108" s="517">
        <f ca="1">B$76*(B$53*GREET1_Import_Export!$K82+GREET1_Import_Export!$F$179*GREET1_Import_Export!$B196+GREET1_Import_Export!$F196)+B$77*(B$59*GREET1_Import_Export!$R82+B$60*GREET1_Import_Export!$C156+GREET1_Import_Export!$H$179*GREET1_Import_Export!$B196+GREET1_Import_Export!$H196)+B$78*(B$57*GREET1_Import_Export!$T82+B$58*GREET1_Import_Export!$C142+GREET1_Import_Export!$C$179*GREET1_Import_Export!$B196+GREET1_Import_Export!$C196)+B$79*(B$54*GREET1_Import_Export!$B82+B$55*GREET1_Import_Export!$C128+GREET1_Import_Export!$B232)+B$80*(B$56*GREET1_Import_Export!$AA82+GREET1_Import_Export!$B300)+B$81*(GREET1_Import_Export!$X82+GREET1_Import_Export!$B$10*(GREET1_Import_Export!$F$215*GREET1_Import_Export!$B232+GREET1_Import_Export!$F232)+GREET1_Import_Export!$C$10*(GREET1_Import_Export!$E$179*GREET1_Import_Export!$B196+GREET1_Import_Export!$E196))+B$82*(GREET1_Import_Export!$B325+GREET1_Import_Export!$C325)+B$83*0.5*GREET1_Import_Export!$B542+B$84*GREET1_Import_Export!$C511+B$86*Steel!$B125+B$87*Steel!$I125</f>
        <v>53720.171247678947</v>
      </c>
      <c r="C108" s="247"/>
      <c r="D108" s="419">
        <f ca="1">D$76*(GREET1_Import_Export!$K82+GREET1_Import_Export!$F$179*GREET1_Import_Export!$B196+GREET1_Import_Export!$F196)+D$77*(GREET1_Import_Export!$O82+GREET1_Import_Export!$G$179*GREET1_Import_Export!$B196+GREET1_Import_Export!$G196)+D$78*(GREET1_Import_Export!$T82+GREET1_Import_Export!$C$179*GREET1_Import_Export!$B196+GREET1_Import_Export!$C196)+D$79*(GREET1_Import_Export!$B82+GREET1_Import_Export!$B232)+D$80*(GREET1_Import_Export!$AA82+GREET1_Import_Export!$B300)+D$81*(GREET1_Import_Export!$X82+GREET1_Import_Export!$B$10*(GREET1_Import_Export!$F$215*GREET1_Import_Export!$B232+GREET1_Import_Export!$F232)+GREET1_Import_Export!$C$10*(GREET1_Import_Export!$E$179*GREET1_Import_Export!$B196+GREET1_Import_Export!$E196))+D$82*(GREET1_Import_Export!$B325+GREET1_Import_Export!$C325)+D$83*0.5*GREET1_Import_Export!$B542+D$84*GREET1_Import_Export!$C511+D$86*Steel!$B125+D$87*Steel!$I125</f>
        <v>1680820.5053000967</v>
      </c>
      <c r="E108" s="246"/>
      <c r="F108" s="517">
        <f ca="1">F$76*(GREET1_Import_Export!$K82+GREET1_Import_Export!$F$179*GREET1_Import_Export!$B196+GREET1_Import_Export!$F196)+F$77*(GREET1_Import_Export!$O82+GREET1_Import_Export!$G$179*GREET1_Import_Export!$B196+GREET1_Import_Export!$G196)+F$78*(GREET1_Import_Export!$T82+GREET1_Import_Export!$C$179*GREET1_Import_Export!$B196+GREET1_Import_Export!$C196)+F$79*(GREET1_Import_Export!$B82+GREET1_Import_Export!$B232)+F$80*(GREET1_Import_Export!$AA82+GREET1_Import_Export!$B300)+F$81*(GREET1_Import_Export!$X82+GREET1_Import_Export!$B$10*(GREET1_Import_Export!$F$215*GREET1_Import_Export!$B232+GREET1_Import_Export!$F232)+GREET1_Import_Export!$C$10*(GREET1_Import_Export!$E$179*GREET1_Import_Export!$B196+GREET1_Import_Export!$E196))+F$82*(GREET1_Import_Export!$B325+GREET1_Import_Export!$C325)+F$83*0.5*GREET1_Import_Export!$B542+F$84*GREET1_Import_Export!$C511+F$85*GREET1_Import_Export!$B$41*(GREET1_Import_Export!$I$179*GREET1_Import_Export!$B196+GREET1_Import_Export!$I196)/1000000+F$86*Steel!$B125+F$87*Steel!$I125</f>
        <v>225670.57374621611</v>
      </c>
      <c r="G108" s="159">
        <v>41915.434176000097</v>
      </c>
      <c r="H108" s="419">
        <f ca="1">H$76*(GREET1_Import_Export!$K82+GREET1_Import_Export!$F$179*GREET1_Import_Export!$B196+GREET1_Import_Export!$F196)+H$77*(GREET1_Import_Export!$O82+GREET1_Import_Export!$G$179*GREET1_Import_Export!$B196+GREET1_Import_Export!$G196)+H$78*(GREET1_Import_Export!$T82+GREET1_Import_Export!$C$179*GREET1_Import_Export!$B196+GREET1_Import_Export!$C196)+H$79*(GREET1_Import_Export!$B82+GREET1_Import_Export!$B232)+H$80*(GREET1_Import_Export!$AA82+GREET1_Import_Export!$B300)+H$81*(GREET1_Import_Export!$X82+GREET1_Import_Export!$B$10*(GREET1_Import_Export!$F$215*GREET1_Import_Export!$B232+GREET1_Import_Export!$F232)+GREET1_Import_Export!$C$10*(GREET1_Import_Export!$E$179*GREET1_Import_Export!$B196+GREET1_Import_Export!$E196))+H$82*W.Al!$B42+H$83*0.5*GREET1_Import_Export!$B542+H$84*GREET1_Import_Export!$C511+H$86*Steel!$B125+H$87*Steel!$I125</f>
        <v>2353502.2637156434</v>
      </c>
      <c r="I108" s="158">
        <v>1391644.8</v>
      </c>
      <c r="J108" s="517">
        <f ca="1">J$76*(GREET1_Import_Export!$K82+GREET1_Import_Export!$F$179*GREET1_Import_Export!$B196+GREET1_Import_Export!$F196)+J$77*(GREET1_Import_Export!$O82+GREET1_Import_Export!$G$179*GREET1_Import_Export!$B196+GREET1_Import_Export!$G196)+J$78*(GREET1_Import_Export!$T82+GREET1_Import_Export!$C$179*GREET1_Import_Export!$B196+GREET1_Import_Export!$C196)+J$79*(GREET1_Import_Export!$B82+GREET1_Import_Export!$B232)+J$80*(GREET1_Import_Export!$AA82+GREET1_Import_Export!$B300)+J$81*(GREET1_Import_Export!$X82+GREET1_Import_Export!$B$10*(GREET1_Import_Export!$F$215*GREET1_Import_Export!$B232+GREET1_Import_Export!$F232)+GREET1_Import_Export!$C$10*(GREET1_Import_Export!$E$179*GREET1_Import_Export!$B196+GREET1_Import_Export!$E196))+J$82*(GREET1_Import_Export!$B325+GREET1_Import_Export!$C325)+J$83*0.5*GREET1_Import_Export!$B542+J$84*GREET1_Import_Export!$C511+J$85*GREET1_Import_Export!$B$41*(GREET1_Import_Export!$I$179*GREET1_Import_Export!$B196+GREET1_Import_Export!$I196)/1000000+J$86*Steel!$B125+J$87*Steel!$I125</f>
        <v>80818.531301992349</v>
      </c>
      <c r="K108" s="247"/>
      <c r="L108" s="419">
        <f ca="1">L$76*(GREET1_Import_Export!$K82+GREET1_Import_Export!$F$179*GREET1_Import_Export!$B196+GREET1_Import_Export!$F196)+L$77*(GREET1_Import_Export!$O82+GREET1_Import_Export!$G$179*GREET1_Import_Export!$B196+GREET1_Import_Export!$G196)+L$78*(GREET1_Import_Export!$T82+GREET1_Import_Export!$C$179*GREET1_Import_Export!$B196+GREET1_Import_Export!$C196)+L$79*(GREET1_Import_Export!$B82+GREET1_Import_Export!$B232)+L$80*(GREET1_Import_Export!$AA82+GREET1_Import_Export!$B300)+L$81*(GREET1_Import_Export!$X82+GREET1_Import_Export!$B$10*(GREET1_Import_Export!$F$215*GREET1_Import_Export!$B232+GREET1_Import_Export!$F232)+GREET1_Import_Export!$C$10*(GREET1_Import_Export!$E$179*GREET1_Import_Export!$B196+GREET1_Import_Export!$E196))+L$82*(GREET1_Import_Export!$B325+GREET1_Import_Export!$C325)+L$83*0.5*GREET1_Import_Export!$B542+L$84*GREET1_Import_Export!$C511+L$85*GREET1_Import_Export!$B$41*(GREET1_Import_Export!$I$179*GREET1_Import_Export!$B196+GREET1_Import_Export!$I196)/1000000+L$86*Steel!$B125+L$87*Steel!$I125</f>
        <v>90795.277595661217</v>
      </c>
      <c r="M108" s="419"/>
      <c r="N108" s="517">
        <f ca="1">N$76*(GREET1_Import_Export!$K82+GREET1_Import_Export!$F$179*GREET1_Import_Export!$B196+GREET1_Import_Export!$F196)+N$77*(GREET1_Import_Export!$O82+GREET1_Import_Export!$G$179*GREET1_Import_Export!$B196+GREET1_Import_Export!$G196)+N$78*(GREET1_Import_Export!$T82+GREET1_Import_Export!$C$179*GREET1_Import_Export!$B196+GREET1_Import_Export!$C196)+N$79*(GREET1_Import_Export!$B82+GREET1_Import_Export!$B232)+N$80*(GREET1_Import_Export!$AA82+GREET1_Import_Export!$B300)+N$81*(GREET1_Import_Export!$X82+GREET1_Import_Export!$B$10*(GREET1_Import_Export!$F$215*GREET1_Import_Export!$B232+GREET1_Import_Export!$F232)+GREET1_Import_Export!$C$10*(GREET1_Import_Export!$E$179*GREET1_Import_Export!$B196+GREET1_Import_Export!$E196))+N$82*(GREET1_Import_Export!$B325+GREET1_Import_Export!$C325)+N$83*0.5*GREET1_Import_Export!$B542+N$84*GREET1_Import_Export!$C511+N$85*GREET1_Import_Export!$B$41*(GREET1_Import_Export!$I$179*GREET1_Import_Export!$B196+GREET1_Import_Export!$I196)/1000000+N$86*Steel!$B125+N$87*Steel!$I125+N$88*(SUM($B145:$E145)*$F$122+$F145)</f>
        <v>790343.37325298879</v>
      </c>
      <c r="O108" s="159">
        <v>6.6134880000000003</v>
      </c>
      <c r="P108" s="419">
        <f ca="1">P$76*(GREET1_Import_Export!$K82+GREET1_Import_Export!$F$179*GREET1_Import_Export!$B196+GREET1_Import_Export!$F196)+P$77*(GREET1_Import_Export!$O82+GREET1_Import_Export!$G$179*GREET1_Import_Export!$B196+GREET1_Import_Export!$G196)+P$78*(GREET1_Import_Export!$T82+GREET1_Import_Export!$C$179*GREET1_Import_Export!$B196+GREET1_Import_Export!$C196)+P$79*(GREET1_Import_Export!$B82+GREET1_Import_Export!$B232)+P$80*(GREET1_Import_Export!$AA82+GREET1_Import_Export!$B300)+P$81*(GREET1_Import_Export!$X82+GREET1_Import_Export!$B$10*(GREET1_Import_Export!$F$215*GREET1_Import_Export!$B232+GREET1_Import_Export!$F232)+GREET1_Import_Export!$C$10*(GREET1_Import_Export!$E$179*GREET1_Import_Export!$B196+GREET1_Import_Export!$E196))+P$82*(GREET1_Import_Export!$B325+GREET1_Import_Export!$C325)+P$83*0.5*GREET1_Import_Export!$B542+P$84*GREET1_Import_Export!$C511+P$86*Steel!$B125+P$87*Steel!$I125</f>
        <v>256579.28397573091</v>
      </c>
      <c r="Q108" s="246"/>
      <c r="R108" s="517">
        <f ca="1">R$76*(GREET1_Import_Export!$K82+GREET1_Import_Export!$F$179*GREET1_Import_Export!$B196+GREET1_Import_Export!$F196)+R$77*(GREET1_Import_Export!$O82+GREET1_Import_Export!$G$179*GREET1_Import_Export!$B196+GREET1_Import_Export!$G196)+R$78*(GREET1_Import_Export!$T82+GREET1_Import_Export!$C$179*GREET1_Import_Export!$B196+GREET1_Import_Export!$C196)+R$79*(GREET1_Import_Export!$B82+GREET1_Import_Export!$B232)+R$80*(GREET1_Import_Export!$AA82+GREET1_Import_Export!$B300)+R$81*(GREET1_Import_Export!$X82+GREET1_Import_Export!$B$10*(GREET1_Import_Export!$F$215*GREET1_Import_Export!$B232+GREET1_Import_Export!$F232)+GREET1_Import_Export!$C$10*(GREET1_Import_Export!$E$179*GREET1_Import_Export!$B196+GREET1_Import_Export!$E196))+R$82*(GREET1_Import_Export!$B325+GREET1_Import_Export!$C325)+R$83*0.5*GREET1_Import_Export!$B542+R$84*GREET1_Import_Export!$C511+R$86*Steel!$B125+R$87*Steel!$I125</f>
        <v>258687.97947380762</v>
      </c>
      <c r="S108" s="247"/>
      <c r="T108" s="419">
        <f ca="1">T$76*(GREET1_Import_Export!$K82+GREET1_Import_Export!$F$179*GREET1_Import_Export!$B196+GREET1_Import_Export!$F196)+T$77*(GREET1_Import_Export!$O82+GREET1_Import_Export!$G$179*GREET1_Import_Export!$B196+GREET1_Import_Export!$G196)+T$78*(GREET1_Import_Export!$T82+GREET1_Import_Export!$C$179*GREET1_Import_Export!$B196+GREET1_Import_Export!$C196)+T$79*(GREET1_Import_Export!$B82+GREET1_Import_Export!$B232)+T$80*(GREET1_Import_Export!$AA82+GREET1_Import_Export!$B300)+T$81*(GREET1_Import_Export!$X82+GREET1_Import_Export!$B$10*(GREET1_Import_Export!$F$215*GREET1_Import_Export!$B232+GREET1_Import_Export!$F232)+GREET1_Import_Export!$C$10*(GREET1_Import_Export!$E$179*GREET1_Import_Export!$B196+GREET1_Import_Export!$E196))+T$82*(GREET1_Import_Export!$B325+GREET1_Import_Export!$C325)+T$83*0.5*GREET1_Import_Export!$B542+T$84*GREET1_Import_Export!$C511+T$86*Steel!$B125+T$87*Steel!$I125</f>
        <v>101789.5866313571</v>
      </c>
      <c r="U108" s="246"/>
      <c r="V108" s="517">
        <f ca="1">V$76*(GREET1_Import_Export!$K82+GREET1_Import_Export!$F$179*GREET1_Import_Export!$B196+GREET1_Import_Export!$F196)+V$77*(GREET1_Import_Export!$O82+GREET1_Import_Export!$G$179*GREET1_Import_Export!$B196+GREET1_Import_Export!$G196)+V$78*(GREET1_Import_Export!$T82+GREET1_Import_Export!$C$179*GREET1_Import_Export!$B196+GREET1_Import_Export!$C196)+V$79*(GREET1_Import_Export!$B82+GREET1_Import_Export!$B232)+V$80*(GREET1_Import_Export!$AA82+GREET1_Import_Export!$B300)+V$81*(GREET1_Import_Export!$X82+GREET1_Import_Export!$B$10*(GREET1_Import_Export!$F$215*GREET1_Import_Export!$B232+GREET1_Import_Export!$F232)+GREET1_Import_Export!$C$10*(GREET1_Import_Export!$E$179*GREET1_Import_Export!$B196+GREET1_Import_Export!$E196))+V$82*(GREET1_Import_Export!$B325+GREET1_Import_Export!$C325)+V$83*0.5*GREET1_Import_Export!$B542+V$84*GREET1_Import_Export!$C511+V$86*Steel!$B125+V$87*Steel!$I125</f>
        <v>426454.25531456532</v>
      </c>
      <c r="W108" s="247"/>
      <c r="X108" s="64"/>
      <c r="Y108" s="1321"/>
    </row>
    <row r="109" spans="1:25">
      <c r="A109" s="178" t="s">
        <v>832</v>
      </c>
      <c r="B109" s="515"/>
      <c r="C109" s="514"/>
      <c r="D109" s="513"/>
      <c r="E109" s="513"/>
      <c r="F109" s="515"/>
      <c r="G109" s="514"/>
      <c r="H109" s="513"/>
      <c r="I109" s="513"/>
      <c r="J109" s="515"/>
      <c r="K109" s="514"/>
      <c r="L109" s="513"/>
      <c r="M109" s="512"/>
      <c r="N109" s="515"/>
      <c r="O109" s="509"/>
      <c r="P109" s="513"/>
      <c r="Q109" s="513"/>
      <c r="R109" s="515"/>
      <c r="S109" s="514"/>
      <c r="T109" s="513"/>
      <c r="U109" s="513"/>
      <c r="V109" s="515"/>
      <c r="W109" s="514"/>
      <c r="X109" s="64"/>
      <c r="Y109" s="1321"/>
    </row>
    <row r="110" spans="1:25" s="64" customFormat="1">
      <c r="A110" s="95" t="s">
        <v>821</v>
      </c>
      <c r="B110" s="347">
        <f ca="1">B$76*(B$66*(B$53*GREET1_Import_Export!$K72)+GREET1_Import_Export!$F$200*GREET1_Import_Export!$B201+GREET1_Import_Export!$F201)+B$77*(B$66*(B$59*GREET1_Import_Export!$R72+B$60*GREET1_Import_Export!$C146)+GREET1_Import_Export!$H$200*GREET1_Import_Export!$B201+GREET1_Import_Export!$H201)+B$78*(B$66*(B$57*GREET1_Import_Export!$T72+B$58*GREET1_Import_Export!$C132)+GREET1_Import_Export!$C$200*GREET1_Import_Export!$B201+GREET1_Import_Export!$C201)+B$79*(B$66*(B$54*GREET1_Import_Export!$B72+B$55*GREET1_Import_Export!$C118)+GREET1_Import_Export!$B237)+B$80*(B$66*(B$56*GREET1_Import_Export!$AA72)+GREET1_Import_Export!$C290)+B$81*(B$66*(GREET1_Import_Export!$X72)+GREET1_Import_Export!$B$10*(GREET1_Import_Export!$F$215*GREET1_Import_Export!$B237+GREET1_Import_Export!$F237)+GREET1_Import_Export!$C$10*(GREET1_Import_Export!$E$200*GREET1_Import_Export!$B201+GREET1_Import_Export!$E201))+B$82*(GREET1_Import_Export!$D315+GREET1_Import_Export!$E315)+B$83*0.5*GREET1_Import_Export!$B544+B$84*GREET1_Import_Export!$C513+B$86*Steel!$B129+B$87*Steel!$I129</f>
        <v>1.4011854970944819</v>
      </c>
      <c r="C110" s="391">
        <f t="shared" ref="C110:C117" si="11">C96*B$66</f>
        <v>0</v>
      </c>
      <c r="D110" s="349">
        <f ca="1">D$76*(D$66*(GREET1_Import_Export!$K72)+GREET1_Import_Export!$F$200*GREET1_Import_Export!$B201+GREET1_Import_Export!$F201)+D$77*(D$66*(GREET1_Import_Export!$O72)+GREET1_Import_Export!$G$200*GREET1_Import_Export!$B201+GREET1_Import_Export!$G201)+D$78*(D$66*(GREET1_Import_Export!$T72)+GREET1_Import_Export!$C$200*GREET1_Import_Export!$B201+GREET1_Import_Export!$C201)+D$79*(D$66*(GREET1_Import_Export!$B72)+GREET1_Import_Export!$B237)+D$80*(D$66*(GREET1_Import_Export!$AA72)+GREET1_Import_Export!$C290)+D$81*(D$66*(GREET1_Import_Export!$X72)+GREET1_Import_Export!$B$10*(GREET1_Import_Export!$F$215*GREET1_Import_Export!$B237+GREET1_Import_Export!$F237)+GREET1_Import_Export!$C$10*(GREET1_Import_Export!$E$200*GREET1_Import_Export!$B201+GREET1_Import_Export!$E201))+D$82*(GREET1_Import_Export!$D315+GREET1_Import_Export!$E315)+D$83*0.5*GREET1_Import_Export!$B544+D$84*GREET1_Import_Export!$C513+D$86*Steel!$B129+D$87*Steel!$I129</f>
        <v>16.470353939027177</v>
      </c>
      <c r="E110" s="389">
        <f t="shared" ref="E110:E117" si="12">E96*D$66</f>
        <v>0</v>
      </c>
      <c r="F110" s="347">
        <f ca="1">F$76*(F$66*(GREET1_Import_Export!$K72)+GREET1_Import_Export!$F$200*GREET1_Import_Export!$B201+GREET1_Import_Export!$F201)+F$77*(F$66*(GREET1_Import_Export!$O72)+GREET1_Import_Export!$G$200*GREET1_Import_Export!$B201+GREET1_Import_Export!$G201)+F$78*(F$66*(GREET1_Import_Export!$T72)+GREET1_Import_Export!$C$200*GREET1_Import_Export!$B201+GREET1_Import_Export!$C201)+F$79*(F$66*(GREET1_Import_Export!$B72)+GREET1_Import_Export!$B237)+F$80*(F$66*(GREET1_Import_Export!$AA72)+GREET1_Import_Export!$C290)+F$81*(F$66*(GREET1_Import_Export!$X72)+GREET1_Import_Export!$B$10*(GREET1_Import_Export!$F$215*GREET1_Import_Export!$B237+GREET1_Import_Export!$F237)+GREET1_Import_Export!$C$10*(GREET1_Import_Export!$E$200*GREET1_Import_Export!$B201+GREET1_Import_Export!$E201))+F$82*(GREET1_Import_Export!$D315+GREET1_Import_Export!$E315)+F$83*0.5*GREET1_Import_Export!$B544+F$84*GREET1_Import_Export!$C513+F$85*GREET1_Import_Export!$B$41*(GREET1_Import_Export!$I$200*GREET1_Import_Export!$B201+GREET1_Import_Export!$I201)/1000000+F$86*Steel!$B129+F$87*Steel!$I129</f>
        <v>19.398284066790588</v>
      </c>
      <c r="G110" s="391">
        <f t="shared" ref="G110:G117" si="13">G96*F$66</f>
        <v>0</v>
      </c>
      <c r="H110" s="349">
        <f ca="1">H$76*(H$66*(GREET1_Import_Export!$K72)+GREET1_Import_Export!$F$200*GREET1_Import_Export!$B201+GREET1_Import_Export!$F201)+H$77*(H$66*(GREET1_Import_Export!$O72)+GREET1_Import_Export!$G$200*GREET1_Import_Export!$B201+GREET1_Import_Export!$G201)+H$78*(H$66*(GREET1_Import_Export!$T72)+GREET1_Import_Export!$C$200*GREET1_Import_Export!$B201+GREET1_Import_Export!$C201)+H$79*(H$66*(GREET1_Import_Export!$B72)+GREET1_Import_Export!$B237)+H$80*(H$66*(GREET1_Import_Export!$AA72)+GREET1_Import_Export!$C290)+H$81*(H$66*(GREET1_Import_Export!$X72)+GREET1_Import_Export!$B$10*(GREET1_Import_Export!$F$215*GREET1_Import_Export!$B237+GREET1_Import_Export!$F237)+GREET1_Import_Export!$C$10*(GREET1_Import_Export!$E$200*GREET1_Import_Export!$B201+GREET1_Import_Export!$E201))+H$82*W.Al!$B43+H$83*0.5*GREET1_Import_Export!$B544+H$84*GREET1_Import_Export!$C513+H$86*Steel!$B129+H$87*Steel!$I129</f>
        <v>12.782468730969342</v>
      </c>
      <c r="I110" s="389">
        <f t="shared" ref="I110:I117" si="14">I96*H$66</f>
        <v>0</v>
      </c>
      <c r="J110" s="347">
        <f ca="1">J$76*(J$66*(GREET1_Import_Export!$K72)+GREET1_Import_Export!$F$200*GREET1_Import_Export!$B201+GREET1_Import_Export!$F201)+J$77*(J$66*(GREET1_Import_Export!$O72)+GREET1_Import_Export!$G$200*GREET1_Import_Export!$B201+GREET1_Import_Export!$G201)+J$78*(J$66*(GREET1_Import_Export!$T72)+GREET1_Import_Export!$C$200*GREET1_Import_Export!$B201+GREET1_Import_Export!$C201)+J$79*(J$66*(GREET1_Import_Export!$B72)+GREET1_Import_Export!$B237)+J$80*(J$66*(GREET1_Import_Export!$AA72)+GREET1_Import_Export!$C290)+J$81*(J$66*(GREET1_Import_Export!$X72)+GREET1_Import_Export!$B$10*(GREET1_Import_Export!$F$215*GREET1_Import_Export!$B237+GREET1_Import_Export!$F237)+GREET1_Import_Export!$C$10*(GREET1_Import_Export!$E$200*GREET1_Import_Export!$B201+GREET1_Import_Export!$E201))+J$82*(GREET1_Import_Export!$D315+GREET1_Import_Export!$E315)+J$83*0.5*GREET1_Import_Export!$B544+J$84*GREET1_Import_Export!$C513+J$85*GREET1_Import_Export!$B$41*(GREET1_Import_Export!$I$200*GREET1_Import_Export!$B201+GREET1_Import_Export!$I201)/1000000+J$86*Steel!$B129+J$87*Steel!$I129</f>
        <v>0.87177368925282617</v>
      </c>
      <c r="K110" s="391">
        <f t="shared" ref="K110:K117" si="15">K96*J$66</f>
        <v>0</v>
      </c>
      <c r="L110" s="349">
        <f ca="1">L$76*(L$66*(GREET1_Import_Export!$K72)+GREET1_Import_Export!$F$200*GREET1_Import_Export!$B201+GREET1_Import_Export!$F201)+L$77*(L$66*(GREET1_Import_Export!$O72)+GREET1_Import_Export!$G$200*GREET1_Import_Export!$B201+GREET1_Import_Export!$G201)+L$78*(L$66*(GREET1_Import_Export!$T72)+GREET1_Import_Export!$C$200*GREET1_Import_Export!$B201+GREET1_Import_Export!$C201)+L$79*(L$66*(GREET1_Import_Export!$B72)+GREET1_Import_Export!$B237)+L$80*(L$66*(GREET1_Import_Export!$AA72)+GREET1_Import_Export!$C290)+L$81*(L$66*(GREET1_Import_Export!$X72)+GREET1_Import_Export!$B$10*(GREET1_Import_Export!$F$215*GREET1_Import_Export!$B237+GREET1_Import_Export!$F237)+GREET1_Import_Export!$C$10*(GREET1_Import_Export!$E$200*GREET1_Import_Export!$B201+GREET1_Import_Export!$E201))+L$82*(GREET1_Import_Export!$D315+GREET1_Import_Export!$E315)+L$83*0.5*GREET1_Import_Export!$B544+L$84*GREET1_Import_Export!$C513+L$85*GREET1_Import_Export!$B$41*(GREET1_Import_Export!$I$200*GREET1_Import_Export!$B201+GREET1_Import_Export!$I201)/1000000+L$86*Steel!$B129+L$87*Steel!$I129</f>
        <v>0.74581525104165891</v>
      </c>
      <c r="M110" s="389">
        <f t="shared" ref="M110:M117" si="16">M96*L$66</f>
        <v>0</v>
      </c>
      <c r="N110" s="347">
        <f ca="1">N$76*(N$66*(GREET1_Import_Export!$K72)+GREET1_Import_Export!$F$200*GREET1_Import_Export!$B201+GREET1_Import_Export!$F201)+N$77*(N$66*(GREET1_Import_Export!$O72)+GREET1_Import_Export!$G$200*GREET1_Import_Export!$B201+GREET1_Import_Export!$G201)+N$78*(N$66*(GREET1_Import_Export!$T72)+GREET1_Import_Export!$C$200*GREET1_Import_Export!$B201+GREET1_Import_Export!$C201)+N$79*(N$66*(GREET1_Import_Export!$B72)+GREET1_Import_Export!$B237)+N$80*(N$66*(GREET1_Import_Export!$AA72)+GREET1_Import_Export!$C290)+N$81*(N$66*(GREET1_Import_Export!$X72)+GREET1_Import_Export!$B$10*(GREET1_Import_Export!$F$215*GREET1_Import_Export!$B237+GREET1_Import_Export!$F237)+GREET1_Import_Export!$C$10*(GREET1_Import_Export!$E$200*GREET1_Import_Export!$B201+GREET1_Import_Export!$E201))+N$82*(GREET1_Import_Export!$D315+GREET1_Import_Export!$E315)+N$83*0.5*GREET1_Import_Export!$B544+N$84*GREET1_Import_Export!$C513+N$85*GREET1_Import_Export!$B$41*(GREET1_Import_Export!$I$200*GREET1_Import_Export!$B201+GREET1_Import_Export!$I201)/1000000+N$86*Steel!$B129+N$87*Steel!$I129+N$88*(SUM($B149:$E149)*$F$122+$F149)</f>
        <v>6.9158694447506157</v>
      </c>
      <c r="O110" s="391">
        <f t="shared" ref="O110:O117" si="17">O96*N$66</f>
        <v>0</v>
      </c>
      <c r="P110" s="349">
        <f ca="1">P$76*(P$66*(GREET1_Import_Export!$K72)+GREET1_Import_Export!$F$200*GREET1_Import_Export!$B201+GREET1_Import_Export!$F201)+P$77*(P$66*(GREET1_Import_Export!$O72)+GREET1_Import_Export!$G$200*GREET1_Import_Export!$B201+GREET1_Import_Export!$G201)+P$78*(P$66*(GREET1_Import_Export!$T72)+GREET1_Import_Export!$C$200*GREET1_Import_Export!$B201+GREET1_Import_Export!$C201)+P$79*(P$66*(GREET1_Import_Export!$B72)+GREET1_Import_Export!$B237)+P$80*(P$66*(GREET1_Import_Export!$AA72)+GREET1_Import_Export!$C290)+P$81*(P$66*(GREET1_Import_Export!$X72)+GREET1_Import_Export!$B$10*(GREET1_Import_Export!$F$215*GREET1_Import_Export!$B237+GREET1_Import_Export!$F237)+GREET1_Import_Export!$C$10*(GREET1_Import_Export!$E$200*GREET1_Import_Export!$B201+GREET1_Import_Export!$E201))+P$82*(GREET1_Import_Export!$D315+GREET1_Import_Export!$E315)+P$83*0.5*GREET1_Import_Export!$B544+P$84*GREET1_Import_Export!$C513+P$86*Steel!$B129+P$87*Steel!$I129</f>
        <v>2.2645932791555183</v>
      </c>
      <c r="Q110" s="389">
        <f t="shared" ref="Q110:Q117" si="18">Q96*P$66</f>
        <v>0</v>
      </c>
      <c r="R110" s="347">
        <f ca="1">R$76*(R$66*(GREET1_Import_Export!$K72)+GREET1_Import_Export!$F$200*GREET1_Import_Export!$B201+GREET1_Import_Export!$F201)+R$77*(R$66*(GREET1_Import_Export!$O72)+GREET1_Import_Export!$G$200*GREET1_Import_Export!$B201+GREET1_Import_Export!$G201)+R$78*(R$66*(GREET1_Import_Export!$T72)+GREET1_Import_Export!$C$200*GREET1_Import_Export!$B201+GREET1_Import_Export!$C201)+R$79*(R$66*(GREET1_Import_Export!$B72)+GREET1_Import_Export!$B237)+R$80*(R$66*(GREET1_Import_Export!$AA72)+GREET1_Import_Export!$C290)+R$81*(R$66*(GREET1_Import_Export!$X72)+GREET1_Import_Export!$B$10*(GREET1_Import_Export!$F$215*GREET1_Import_Export!$B237+GREET1_Import_Export!$F237)+GREET1_Import_Export!$C$10*(GREET1_Import_Export!$E$200*GREET1_Import_Export!$B201+GREET1_Import_Export!$E201))+R$82*(GREET1_Import_Export!$D315+GREET1_Import_Export!$E315)+R$83*0.5*GREET1_Import_Export!$B544+R$84*GREET1_Import_Export!$C513+R$86*Steel!$B129+R$87*Steel!$I129</f>
        <v>2.1105079171379941</v>
      </c>
      <c r="S110" s="391">
        <f t="shared" ref="S110:S117" si="19">S96*R$66</f>
        <v>0</v>
      </c>
      <c r="T110" s="349">
        <f ca="1">T$76*(T$66*(GREET1_Import_Export!$K72)+GREET1_Import_Export!$F$200*GREET1_Import_Export!$B201+GREET1_Import_Export!$F201)+T$77*(T$66*(GREET1_Import_Export!$O72)+GREET1_Import_Export!$G$200*GREET1_Import_Export!$B201+GREET1_Import_Export!$G201)+T$78*(T$66*(GREET1_Import_Export!$T72)+GREET1_Import_Export!$C$200*GREET1_Import_Export!$B201+GREET1_Import_Export!$C201)+T$79*(T$66*(GREET1_Import_Export!$B72)+GREET1_Import_Export!$B237)+T$80*(T$66*(GREET1_Import_Export!$AA72)+GREET1_Import_Export!$C290)+T$81*(T$66*(GREET1_Import_Export!$X72)+GREET1_Import_Export!$B$10*(GREET1_Import_Export!$F$215*GREET1_Import_Export!$B237+GREET1_Import_Export!$F237)+GREET1_Import_Export!$C$10*(GREET1_Import_Export!$E$200*GREET1_Import_Export!$B201+GREET1_Import_Export!$E201))+T$82*(GREET1_Import_Export!$D315+GREET1_Import_Export!$E315)+T$83*0.5*GREET1_Import_Export!$B544+T$84*GREET1_Import_Export!$C513+T$86*Steel!$B129+T$87*Steel!$I129</f>
        <v>0.74305081884301971</v>
      </c>
      <c r="U110" s="389">
        <f t="shared" ref="U110:U117" si="20">U96*T$66</f>
        <v>0</v>
      </c>
      <c r="V110" s="347">
        <f ca="1">V$76*(V$66*(GREET1_Import_Export!$K72)+GREET1_Import_Export!$F$200*GREET1_Import_Export!$B201+GREET1_Import_Export!$F201)+V$77*(V$66*(GREET1_Import_Export!$O72)+GREET1_Import_Export!$G$200*GREET1_Import_Export!$B201+GREET1_Import_Export!$G201)+V$78*(V$66*(GREET1_Import_Export!$T72)+GREET1_Import_Export!$C$200*GREET1_Import_Export!$B201+GREET1_Import_Export!$C201)+V$79*(V$66*(GREET1_Import_Export!$B72)+GREET1_Import_Export!$B237)+V$80*(V$66*(GREET1_Import_Export!$AA72)+GREET1_Import_Export!$C290)+V$81*(V$66*(GREET1_Import_Export!$X72)+GREET1_Import_Export!$B$10*(GREET1_Import_Export!$F$215*GREET1_Import_Export!$B237+GREET1_Import_Export!$F237)+GREET1_Import_Export!$C$10*(GREET1_Import_Export!$E$200*GREET1_Import_Export!$B201+GREET1_Import_Export!$E201))+V$82*(GREET1_Import_Export!$D315+GREET1_Import_Export!$E315)+V$83*0.5*GREET1_Import_Export!$B544+V$84*GREET1_Import_Export!$C513+V$86*Steel!$B129+V$87*Steel!$I129</f>
        <v>3.7456201922635608</v>
      </c>
      <c r="W110" s="391">
        <f t="shared" ref="W110:W117" si="21">W96*V$66</f>
        <v>0</v>
      </c>
      <c r="Y110" s="1321"/>
    </row>
    <row r="111" spans="1:25" s="64" customFormat="1">
      <c r="A111" s="95" t="s">
        <v>822</v>
      </c>
      <c r="B111" s="347">
        <f ca="1">B$76*(B$66*(B$53*GREET1_Import_Export!$K73)+GREET1_Import_Export!$F$200*GREET1_Import_Export!$B202+GREET1_Import_Export!$F202)+B$77*(B$66*(B$59*GREET1_Import_Export!$R73+B$60*GREET1_Import_Export!$C147)+GREET1_Import_Export!$H$200*GREET1_Import_Export!$B202+GREET1_Import_Export!$H202)+B$78*(B$66*(B$57*GREET1_Import_Export!$T73+B$58*GREET1_Import_Export!$C133)+GREET1_Import_Export!$C$200*GREET1_Import_Export!$B202+GREET1_Import_Export!$C202)+B$79*(B$66*(B$54*GREET1_Import_Export!$B73+B$55*GREET1_Import_Export!$C119)+GREET1_Import_Export!$B238)+B$80*(B$66*(B$56*GREET1_Import_Export!$AA73)+GREET1_Import_Export!$C291)+B$81*(B$66*(GREET1_Import_Export!$X73)+GREET1_Import_Export!$B$10*(GREET1_Import_Export!$F$215*GREET1_Import_Export!$B238+GREET1_Import_Export!$F238)+GREET1_Import_Export!$C$10*(GREET1_Import_Export!$E$200*GREET1_Import_Export!$B202+GREET1_Import_Export!$E202))+B$82*(GREET1_Import_Export!$D316+GREET1_Import_Export!$E316)+B$83*0.5*GREET1_Import_Export!$B545+B$84*GREET1_Import_Export!$C514+B$86*Steel!$B130+B$87*Steel!$I130</f>
        <v>1.0015935134345568</v>
      </c>
      <c r="C111" s="391">
        <f t="shared" si="11"/>
        <v>0</v>
      </c>
      <c r="D111" s="349">
        <f ca="1">D$76*(D$66*(GREET1_Import_Export!$K73)+GREET1_Import_Export!$F$200*GREET1_Import_Export!$B202+GREET1_Import_Export!$F202)+D$77*(D$66*(GREET1_Import_Export!$O73)+GREET1_Import_Export!$G$200*GREET1_Import_Export!$B202+GREET1_Import_Export!$G202)+D$78*(D$66*(GREET1_Import_Export!$T73)+GREET1_Import_Export!$C$200*GREET1_Import_Export!$B202+GREET1_Import_Export!$C202)+D$79*(D$66*(GREET1_Import_Export!$B73)+GREET1_Import_Export!$B238)+D$80*(D$66*(GREET1_Import_Export!$AA73)+GREET1_Import_Export!$C291)+D$81*(D$66*(GREET1_Import_Export!$X73)+GREET1_Import_Export!$B$10*(GREET1_Import_Export!$F$215*GREET1_Import_Export!$B238+GREET1_Import_Export!$F238)+GREET1_Import_Export!$C$10*(GREET1_Import_Export!$E$200*GREET1_Import_Export!$B202+GREET1_Import_Export!$E202))+D$82*(GREET1_Import_Export!$D316+GREET1_Import_Export!$E316)+D$83*0.5*GREET1_Import_Export!$B545+D$84*GREET1_Import_Export!$C514+D$86*Steel!$B130+D$87*Steel!$I130</f>
        <v>57.036554599534128</v>
      </c>
      <c r="E111" s="389">
        <f t="shared" si="12"/>
        <v>0</v>
      </c>
      <c r="F111" s="347">
        <f ca="1">F$76*(F$66*(GREET1_Import_Export!$K73)+GREET1_Import_Export!$F$200*GREET1_Import_Export!$B202+GREET1_Import_Export!$F202)+F$77*(F$66*(GREET1_Import_Export!$O73)+GREET1_Import_Export!$G$200*GREET1_Import_Export!$B202+GREET1_Import_Export!$G202)+F$78*(F$66*(GREET1_Import_Export!$T73)+GREET1_Import_Export!$C$200*GREET1_Import_Export!$B202+GREET1_Import_Export!$C202)+F$79*(F$66*(GREET1_Import_Export!$B73)+GREET1_Import_Export!$B238)+F$80*(F$66*(GREET1_Import_Export!$AA73)+GREET1_Import_Export!$C291)+F$81*(F$66*(GREET1_Import_Export!$X73)+GREET1_Import_Export!$B$10*(GREET1_Import_Export!$F$215*GREET1_Import_Export!$B238+GREET1_Import_Export!$F238)+GREET1_Import_Export!$C$10*(GREET1_Import_Export!$E$200*GREET1_Import_Export!$B202+GREET1_Import_Export!$E202))+F$82*(GREET1_Import_Export!$D316+GREET1_Import_Export!$E316)+F$83*0.5*GREET1_Import_Export!$B545+F$84*GREET1_Import_Export!$C514+F$85*GREET1_Import_Export!$B$41*(GREET1_Import_Export!$I$200*GREET1_Import_Export!$B202+GREET1_Import_Export!$I202)/1000000+F$86*Steel!$B130+F$87*Steel!$I130</f>
        <v>17.219184015238916</v>
      </c>
      <c r="G111" s="391">
        <f t="shared" si="13"/>
        <v>0</v>
      </c>
      <c r="H111" s="349">
        <f ca="1">H$76*(H$66*(GREET1_Import_Export!$K73)+GREET1_Import_Export!$F$200*GREET1_Import_Export!$B202+GREET1_Import_Export!$F202)+H$77*(H$66*(GREET1_Import_Export!$O73)+GREET1_Import_Export!$G$200*GREET1_Import_Export!$B202+GREET1_Import_Export!$G202)+H$78*(H$66*(GREET1_Import_Export!$T73)+GREET1_Import_Export!$C$200*GREET1_Import_Export!$B202+GREET1_Import_Export!$C202)+H$79*(H$66*(GREET1_Import_Export!$B73)+GREET1_Import_Export!$B238)+H$80*(H$66*(GREET1_Import_Export!$AA73)+GREET1_Import_Export!$C291)+H$81*(H$66*(GREET1_Import_Export!$X73)+GREET1_Import_Export!$B$10*(GREET1_Import_Export!$F$215*GREET1_Import_Export!$B238+GREET1_Import_Export!$F238)+GREET1_Import_Export!$C$10*(GREET1_Import_Export!$E$200*GREET1_Import_Export!$B202+GREET1_Import_Export!$E202))+H$82*W.Al!$B44+H$83*0.5*GREET1_Import_Export!$B545+H$84*GREET1_Import_Export!$C514+H$86*Steel!$B130+H$87*Steel!$I130</f>
        <v>124.5512552196103</v>
      </c>
      <c r="I111" s="389">
        <f t="shared" si="14"/>
        <v>0</v>
      </c>
      <c r="J111" s="347">
        <f ca="1">J$76*(J$66*(GREET1_Import_Export!$K73)+GREET1_Import_Export!$F$200*GREET1_Import_Export!$B202+GREET1_Import_Export!$F202)+J$77*(J$66*(GREET1_Import_Export!$O73)+GREET1_Import_Export!$G$200*GREET1_Import_Export!$B202+GREET1_Import_Export!$G202)+J$78*(J$66*(GREET1_Import_Export!$T73)+GREET1_Import_Export!$C$200*GREET1_Import_Export!$B202+GREET1_Import_Export!$C202)+J$79*(J$66*(GREET1_Import_Export!$B73)+GREET1_Import_Export!$B238)+J$80*(J$66*(GREET1_Import_Export!$AA73)+GREET1_Import_Export!$C291)+J$81*(J$66*(GREET1_Import_Export!$X73)+GREET1_Import_Export!$B$10*(GREET1_Import_Export!$F$215*GREET1_Import_Export!$B238+GREET1_Import_Export!$F238)+GREET1_Import_Export!$C$10*(GREET1_Import_Export!$E$200*GREET1_Import_Export!$B202+GREET1_Import_Export!$E202))+J$82*(GREET1_Import_Export!$D316+GREET1_Import_Export!$E316)+J$83*0.5*GREET1_Import_Export!$B545+J$84*GREET1_Import_Export!$C514+J$85*GREET1_Import_Export!$B$41*(GREET1_Import_Export!$I$200*GREET1_Import_Export!$B202+GREET1_Import_Export!$I202)/1000000+J$86*Steel!$B130+J$87*Steel!$I130</f>
        <v>3.426452963575163</v>
      </c>
      <c r="K111" s="391">
        <f t="shared" si="15"/>
        <v>0</v>
      </c>
      <c r="L111" s="349">
        <f ca="1">L$76*(L$66*(GREET1_Import_Export!$K73)+GREET1_Import_Export!$F$200*GREET1_Import_Export!$B202+GREET1_Import_Export!$F202)+L$77*(L$66*(GREET1_Import_Export!$O73)+GREET1_Import_Export!$G$200*GREET1_Import_Export!$B202+GREET1_Import_Export!$G202)+L$78*(L$66*(GREET1_Import_Export!$T73)+GREET1_Import_Export!$C$200*GREET1_Import_Export!$B202+GREET1_Import_Export!$C202)+L$79*(L$66*(GREET1_Import_Export!$B73)+GREET1_Import_Export!$B238)+L$80*(L$66*(GREET1_Import_Export!$AA73)+GREET1_Import_Export!$C291)+L$81*(L$66*(GREET1_Import_Export!$X73)+GREET1_Import_Export!$B$10*(GREET1_Import_Export!$F$215*GREET1_Import_Export!$B238+GREET1_Import_Export!$F238)+GREET1_Import_Export!$C$10*(GREET1_Import_Export!$E$200*GREET1_Import_Export!$B202+GREET1_Import_Export!$E202))+L$82*(GREET1_Import_Export!$D316+GREET1_Import_Export!$E316)+L$83*0.5*GREET1_Import_Export!$B545+L$84*GREET1_Import_Export!$C514+L$86*Steel!$B130+L$87*Steel!$I130</f>
        <v>4.349926858256052</v>
      </c>
      <c r="M111" s="389">
        <f t="shared" si="16"/>
        <v>0</v>
      </c>
      <c r="N111" s="347">
        <f ca="1">N$76*(N$66*(GREET1_Import_Export!$K73)+GREET1_Import_Export!$F$200*GREET1_Import_Export!$B202+GREET1_Import_Export!$F202)+N$77*(N$66*(GREET1_Import_Export!$O73)+GREET1_Import_Export!$G$200*GREET1_Import_Export!$B202+GREET1_Import_Export!$G202)+N$78*(N$66*(GREET1_Import_Export!$T73)+GREET1_Import_Export!$C$200*GREET1_Import_Export!$B202+GREET1_Import_Export!$C202)+N$79*(N$66*(GREET1_Import_Export!$B73)+GREET1_Import_Export!$B238)+N$80*(N$66*(GREET1_Import_Export!$AA73)+GREET1_Import_Export!$C291)+N$81*(N$66*(GREET1_Import_Export!$X73)+GREET1_Import_Export!$B$10*(GREET1_Import_Export!$F$215*GREET1_Import_Export!$B238+GREET1_Import_Export!$F238)+GREET1_Import_Export!$C$10*(GREET1_Import_Export!$E$200*GREET1_Import_Export!$B202+GREET1_Import_Export!$E202))+N$82*(GREET1_Import_Export!$D316+GREET1_Import_Export!$E316)+N$83*0.5*GREET1_Import_Export!$B545+N$84*GREET1_Import_Export!$C514+N$85*GREET1_Import_Export!$B$41*(GREET1_Import_Export!$I$200*GREET1_Import_Export!$B202+GREET1_Import_Export!$I202)/1000000+N$86*Steel!$B130+N$87*Steel!$I130+N$88*(SUM($B150:$E150)*$F$122+$F150)</f>
        <v>30.609226787981065</v>
      </c>
      <c r="O111" s="391">
        <f t="shared" si="17"/>
        <v>0</v>
      </c>
      <c r="P111" s="349">
        <f ca="1">P$76*(P$66*(GREET1_Import_Export!$K73)+GREET1_Import_Export!$F$200*GREET1_Import_Export!$B202+GREET1_Import_Export!$F202)+P$77*(P$66*(GREET1_Import_Export!$O73)+GREET1_Import_Export!$G$200*GREET1_Import_Export!$B202+GREET1_Import_Export!$G202)+P$78*(P$66*(GREET1_Import_Export!$T73)+GREET1_Import_Export!$C$200*GREET1_Import_Export!$B202+GREET1_Import_Export!$C202)+P$79*(P$66*(GREET1_Import_Export!$B73)+GREET1_Import_Export!$B238)+P$80*(P$66*(GREET1_Import_Export!$AA73)+GREET1_Import_Export!$C291)+P$81*(P$66*(GREET1_Import_Export!$X73)+GREET1_Import_Export!$B$10*(GREET1_Import_Export!$F$215*GREET1_Import_Export!$B238+GREET1_Import_Export!$F238)+GREET1_Import_Export!$C$10*(GREET1_Import_Export!$E$200*GREET1_Import_Export!$B202+GREET1_Import_Export!$E202))+P$82*(GREET1_Import_Export!$D316+GREET1_Import_Export!$E316)+P$83*0.5*GREET1_Import_Export!$B545+P$84*GREET1_Import_Export!$C514+P$86*Steel!$B130+P$87*Steel!$I130</f>
        <v>11.664233303341822</v>
      </c>
      <c r="Q111" s="389">
        <f t="shared" si="18"/>
        <v>0</v>
      </c>
      <c r="R111" s="347">
        <f ca="1">R$76*(R$66*(GREET1_Import_Export!$K73)+GREET1_Import_Export!$F$200*GREET1_Import_Export!$B202+GREET1_Import_Export!$F202)+R$77*(R$66*(GREET1_Import_Export!$O73)+GREET1_Import_Export!$G$200*GREET1_Import_Export!$B202+GREET1_Import_Export!$G202)+R$78*(R$66*(GREET1_Import_Export!$T73)+GREET1_Import_Export!$C$200*GREET1_Import_Export!$B202+GREET1_Import_Export!$C202)+R$79*(R$66*(GREET1_Import_Export!$B73)+GREET1_Import_Export!$B238)+R$80*(R$66*(GREET1_Import_Export!$AA73)+GREET1_Import_Export!$C291)+R$81*(R$66*(GREET1_Import_Export!$X73)+GREET1_Import_Export!$B$10*(GREET1_Import_Export!$F$215*GREET1_Import_Export!$B238+GREET1_Import_Export!$F238)+GREET1_Import_Export!$C$10*(GREET1_Import_Export!$E$200*GREET1_Import_Export!$B202+GREET1_Import_Export!$E202))+R$82*(GREET1_Import_Export!$D316+GREET1_Import_Export!$E316)+R$83*0.5*GREET1_Import_Export!$B545+R$84*GREET1_Import_Export!$C514+R$86*Steel!$B130+R$87*Steel!$I130</f>
        <v>12.665323632209537</v>
      </c>
      <c r="S111" s="391">
        <f t="shared" si="19"/>
        <v>0</v>
      </c>
      <c r="T111" s="349">
        <f ca="1">T$76*(T$66*(GREET1_Import_Export!$K73)+GREET1_Import_Export!$F$200*GREET1_Import_Export!$B202+GREET1_Import_Export!$F202)+T$77*(T$66*(GREET1_Import_Export!$O73)+GREET1_Import_Export!$G$200*GREET1_Import_Export!$B202+GREET1_Import_Export!$G202)+T$78*(T$66*(GREET1_Import_Export!$T73)+GREET1_Import_Export!$C$200*GREET1_Import_Export!$B202+GREET1_Import_Export!$C202)+T$79*(T$66*(GREET1_Import_Export!$B73)+GREET1_Import_Export!$B238)+T$80*(T$66*(GREET1_Import_Export!$AA73)+GREET1_Import_Export!$C291)+T$81*(T$66*(GREET1_Import_Export!$X73)+GREET1_Import_Export!$B$10*(GREET1_Import_Export!$F$215*GREET1_Import_Export!$B238+GREET1_Import_Export!$F238)+GREET1_Import_Export!$C$10*(GREET1_Import_Export!$E$200*GREET1_Import_Export!$B202+GREET1_Import_Export!$E202))+T$82*(GREET1_Import_Export!$D316+GREET1_Import_Export!$E316)+T$83*0.5*GREET1_Import_Export!$B545+T$84*GREET1_Import_Export!$C514+T$86*Steel!$B130+T$87*Steel!$I130</f>
        <v>5.4856268341994499</v>
      </c>
      <c r="U111" s="389">
        <f t="shared" si="20"/>
        <v>0</v>
      </c>
      <c r="V111" s="347">
        <f ca="1">V$76*(V$66*(GREET1_Import_Export!$K73)+GREET1_Import_Export!$F$200*GREET1_Import_Export!$B202+GREET1_Import_Export!$F202)+V$77*(V$66*(GREET1_Import_Export!$O73)+GREET1_Import_Export!$G$200*GREET1_Import_Export!$B202+GREET1_Import_Export!$G202)+V$78*(V$66*(GREET1_Import_Export!$T73)+GREET1_Import_Export!$C$200*GREET1_Import_Export!$B202+GREET1_Import_Export!$C202)+V$79*(V$66*(GREET1_Import_Export!$B73)+GREET1_Import_Export!$B238)+V$80*(V$66*(GREET1_Import_Export!$AA73)+GREET1_Import_Export!$C291)+V$81*(V$66*(GREET1_Import_Export!$X73)+GREET1_Import_Export!$B$10*(GREET1_Import_Export!$F$215*GREET1_Import_Export!$B238+GREET1_Import_Export!$F238)+GREET1_Import_Export!$C$10*(GREET1_Import_Export!$E$200*GREET1_Import_Export!$B202+GREET1_Import_Export!$E202))+V$82*(GREET1_Import_Export!$D316+GREET1_Import_Export!$E316)+V$83*0.5*GREET1_Import_Export!$B545+V$84*GREET1_Import_Export!$C514+V$86*Steel!$B130+V$87*Steel!$I130</f>
        <v>19.388969927080222</v>
      </c>
      <c r="W111" s="391">
        <f t="shared" si="21"/>
        <v>0</v>
      </c>
      <c r="Y111" s="1321"/>
    </row>
    <row r="112" spans="1:25" s="64" customFormat="1">
      <c r="A112" s="95" t="s">
        <v>823</v>
      </c>
      <c r="B112" s="347">
        <f ca="1">B$76*(B$66*(B$53*GREET1_Import_Export!$K74)+GREET1_Import_Export!$F$200*GREET1_Import_Export!$B203+GREET1_Import_Export!$F203)+B$77*(B$66*(B$59*GREET1_Import_Export!$R74+B$60*GREET1_Import_Export!$C148)+GREET1_Import_Export!$H$200*GREET1_Import_Export!$B203+GREET1_Import_Export!$H203)+B$78*(B$66*(B$57*GREET1_Import_Export!$T74+B$58*GREET1_Import_Export!$C134)+GREET1_Import_Export!$C$200*GREET1_Import_Export!$B203+GREET1_Import_Export!$C203)+B$79*(B$66*(B$54*GREET1_Import_Export!$B74+B$55*GREET1_Import_Export!$C120)+GREET1_Import_Export!$B239)+B$80*(B$66*(B$56*GREET1_Import_Export!$AA74)+GREET1_Import_Export!$C292)+B$81*(B$66*(GREET1_Import_Export!$X74)+GREET1_Import_Export!$B$10*(GREET1_Import_Export!$F$215*GREET1_Import_Export!$B239+GREET1_Import_Export!$F239)+GREET1_Import_Export!$C$10*(GREET1_Import_Export!$E$200*GREET1_Import_Export!$B203+GREET1_Import_Export!$E203))+B$82*(GREET1_Import_Export!$D317+GREET1_Import_Export!$E317)+B$83*0.5*GREET1_Import_Export!$B546+B$84*GREET1_Import_Export!$C515+B$86*Steel!$B131+B$87*Steel!$I131</f>
        <v>1.7316054452976171</v>
      </c>
      <c r="C112" s="391">
        <f t="shared" si="11"/>
        <v>0</v>
      </c>
      <c r="D112" s="349">
        <f ca="1">D$76*(D$66*(GREET1_Import_Export!$K74)+GREET1_Import_Export!$F$200*GREET1_Import_Export!$B203+GREET1_Import_Export!$F203)+D$77*(D$66*(GREET1_Import_Export!$O74)+GREET1_Import_Export!$G$200*GREET1_Import_Export!$B203+GREET1_Import_Export!$G203)+D$78*(D$66*(GREET1_Import_Export!$T74)+GREET1_Import_Export!$C$200*GREET1_Import_Export!$B203+GREET1_Import_Export!$C203)+D$79*(D$66*(GREET1_Import_Export!$B74)+GREET1_Import_Export!$B239)+D$80*(D$66*(GREET1_Import_Export!$AA74)+GREET1_Import_Export!$C292)+D$81*(D$66*(GREET1_Import_Export!$X74)+GREET1_Import_Export!$B$10*(GREET1_Import_Export!$F$215*GREET1_Import_Export!$B239+GREET1_Import_Export!$F239)+GREET1_Import_Export!$C$10*(GREET1_Import_Export!$E$200*GREET1_Import_Export!$B203+GREET1_Import_Export!$E203))+D$82*(GREET1_Import_Export!$D317+GREET1_Import_Export!$E317)+D$83*0.5*GREET1_Import_Export!$B546+D$84*GREET1_Import_Export!$C515+D$86*Steel!$B131+D$87*Steel!$I131</f>
        <v>89.857886665992183</v>
      </c>
      <c r="E112" s="389">
        <f t="shared" si="12"/>
        <v>0</v>
      </c>
      <c r="F112" s="347">
        <f ca="1">F$76*(F$66*(GREET1_Import_Export!$K74)+GREET1_Import_Export!$F$200*GREET1_Import_Export!$B203+GREET1_Import_Export!$F203)+F$77*(F$66*(GREET1_Import_Export!$O74)+GREET1_Import_Export!$G$200*GREET1_Import_Export!$B203+GREET1_Import_Export!$G203)+F$78*(F$66*(GREET1_Import_Export!$T74)+GREET1_Import_Export!$C$200*GREET1_Import_Export!$B203+GREET1_Import_Export!$C203)+F$79*(F$66*(GREET1_Import_Export!$B74)+GREET1_Import_Export!$B239)+F$80*(F$66*(GREET1_Import_Export!$AA74)+GREET1_Import_Export!$C292)+F$81*(F$66*(GREET1_Import_Export!$X74)+GREET1_Import_Export!$B$10*(GREET1_Import_Export!$F$215*GREET1_Import_Export!$B239+GREET1_Import_Export!$F239)+GREET1_Import_Export!$C$10*(GREET1_Import_Export!$E$200*GREET1_Import_Export!$B203+GREET1_Import_Export!$E203))+F$82*(GREET1_Import_Export!$D317+GREET1_Import_Export!$E317)+F$83*0.5*GREET1_Import_Export!$B546+F$84*GREET1_Import_Export!$C515+F$85*GREET1_Import_Export!$B$41*(GREET1_Import_Export!$I$200*GREET1_Import_Export!$B203+GREET1_Import_Export!$I203)/1000000+F$86*Steel!$B131+F$87*Steel!$I131</f>
        <v>27.79925595518861</v>
      </c>
      <c r="G112" s="391">
        <f t="shared" si="13"/>
        <v>0</v>
      </c>
      <c r="H112" s="349">
        <f ca="1">H$76*(H$66*(GREET1_Import_Export!$K74)+GREET1_Import_Export!$F$200*GREET1_Import_Export!$B203+GREET1_Import_Export!$F203)+H$77*(H$66*(GREET1_Import_Export!$O74)+GREET1_Import_Export!$G$200*GREET1_Import_Export!$B203+GREET1_Import_Export!$G203)+H$78*(H$66*(GREET1_Import_Export!$T74)+GREET1_Import_Export!$C$200*GREET1_Import_Export!$B203+GREET1_Import_Export!$C203)+H$79*(H$66*(GREET1_Import_Export!$B74)+GREET1_Import_Export!$B239)+H$80*(H$66*(GREET1_Import_Export!$AA74)+GREET1_Import_Export!$C292)+H$81*(H$66*(GREET1_Import_Export!$X74)+GREET1_Import_Export!$B$10*(GREET1_Import_Export!$F$215*GREET1_Import_Export!$B239+GREET1_Import_Export!$F239)+GREET1_Import_Export!$C$10*(GREET1_Import_Export!$E$200*GREET1_Import_Export!$B203+GREET1_Import_Export!$E203))+H$82*W.Al!$B45+H$83*0.5*GREET1_Import_Export!$B546+H$84*GREET1_Import_Export!$C515+H$86*Steel!$B131+H$87*Steel!$I131</f>
        <v>502.62502549552994</v>
      </c>
      <c r="I112" s="389">
        <f t="shared" si="14"/>
        <v>0</v>
      </c>
      <c r="J112" s="347">
        <f ca="1">J$76*(J$66*(GREET1_Import_Export!$K74)+GREET1_Import_Export!$F$200*GREET1_Import_Export!$B203+GREET1_Import_Export!$F203)+J$77*(J$66*(GREET1_Import_Export!$O74)+GREET1_Import_Export!$G$200*GREET1_Import_Export!$B203+GREET1_Import_Export!$G203)+J$78*(J$66*(GREET1_Import_Export!$T74)+GREET1_Import_Export!$C$200*GREET1_Import_Export!$B203+GREET1_Import_Export!$C203)+J$79*(J$66*(GREET1_Import_Export!$B74)+GREET1_Import_Export!$B239)+J$80*(J$66*(GREET1_Import_Export!$AA74)+GREET1_Import_Export!$C292)+J$81*(J$66*(GREET1_Import_Export!$X74)+GREET1_Import_Export!$B$10*(GREET1_Import_Export!$F$215*GREET1_Import_Export!$B239+GREET1_Import_Export!$F239)+GREET1_Import_Export!$C$10*(GREET1_Import_Export!$E$200*GREET1_Import_Export!$B203+GREET1_Import_Export!$E203))+J$82*(GREET1_Import_Export!$D317+GREET1_Import_Export!$E317)+J$83*0.5*GREET1_Import_Export!$B546+J$84*GREET1_Import_Export!$C515+J$85*GREET1_Import_Export!$B$41*(GREET1_Import_Export!$I$200*GREET1_Import_Export!$B203+GREET1_Import_Export!$I203)/1000000+J$86*Steel!$B131+J$87*Steel!$I131</f>
        <v>6.5526268056182833</v>
      </c>
      <c r="K112" s="391">
        <f t="shared" si="15"/>
        <v>0</v>
      </c>
      <c r="L112" s="349">
        <f ca="1">L$76*(L$66*(GREET1_Import_Export!$K74)+GREET1_Import_Export!$F$200*GREET1_Import_Export!$B203+GREET1_Import_Export!$F203)+L$77*(L$66*(GREET1_Import_Export!$O74)+GREET1_Import_Export!$G$200*GREET1_Import_Export!$B203+GREET1_Import_Export!$G203)+L$78*(L$66*(GREET1_Import_Export!$T74)+GREET1_Import_Export!$C$200*GREET1_Import_Export!$B203+GREET1_Import_Export!$C203)+L$79*(L$66*(GREET1_Import_Export!$B74)+GREET1_Import_Export!$B239)+L$80*(L$66*(GREET1_Import_Export!$AA74)+GREET1_Import_Export!$C292)+L$81*(L$66*(GREET1_Import_Export!$X74)+GREET1_Import_Export!$B$10*(GREET1_Import_Export!$F$215*GREET1_Import_Export!$B239+GREET1_Import_Export!$F239)+GREET1_Import_Export!$C$10*(GREET1_Import_Export!$E$200*GREET1_Import_Export!$B203+GREET1_Import_Export!$E203))+L$82*(GREET1_Import_Export!$D317+GREET1_Import_Export!$E317)+L$83*0.5*GREET1_Import_Export!$B546+L$84*GREET1_Import_Export!$C515+L$86*Steel!$B131+L$87*Steel!$I131</f>
        <v>9.1245603254155867</v>
      </c>
      <c r="M112" s="389">
        <f t="shared" si="16"/>
        <v>0</v>
      </c>
      <c r="N112" s="347">
        <f ca="1">N$76*(N$66*(GREET1_Import_Export!$K74)+GREET1_Import_Export!$F$200*GREET1_Import_Export!$B203+GREET1_Import_Export!$F203)+N$77*(N$66*(GREET1_Import_Export!$O74)+GREET1_Import_Export!$G$200*GREET1_Import_Export!$B203+GREET1_Import_Export!$G203)+N$78*(N$66*(GREET1_Import_Export!$T74)+GREET1_Import_Export!$C$200*GREET1_Import_Export!$B203+GREET1_Import_Export!$C203)+N$79*(N$66*(GREET1_Import_Export!$B74)+GREET1_Import_Export!$B239)+N$80*(N$66*(GREET1_Import_Export!$AA74)+GREET1_Import_Export!$C292)+N$81*(N$66*(GREET1_Import_Export!$X74)+GREET1_Import_Export!$B$10*(GREET1_Import_Export!$F$215*GREET1_Import_Export!$B239+GREET1_Import_Export!$F239)+GREET1_Import_Export!$C$10*(GREET1_Import_Export!$E$200*GREET1_Import_Export!$B203+GREET1_Import_Export!$E203))+N$82*(GREET1_Import_Export!$D317+GREET1_Import_Export!$E317)+N$83*0.5*GREET1_Import_Export!$B546+N$84*GREET1_Import_Export!$C515+N$85*GREET1_Import_Export!$B$41*(GREET1_Import_Export!$I$200*GREET1_Import_Export!$B203+GREET1_Import_Export!$I203)/1000000+N$86*Steel!$B131+N$87*Steel!$I131+N$88*(SUM($B151:$E151)*$F$122+$F151)</f>
        <v>71.858268946099869</v>
      </c>
      <c r="O112" s="391">
        <f t="shared" si="17"/>
        <v>0</v>
      </c>
      <c r="P112" s="349">
        <f ca="1">P$76*(P$66*(GREET1_Import_Export!$K74)+GREET1_Import_Export!$F$200*GREET1_Import_Export!$B203+GREET1_Import_Export!$F203)+P$77*(P$66*(GREET1_Import_Export!$O74)+GREET1_Import_Export!$G$200*GREET1_Import_Export!$B203+GREET1_Import_Export!$G203)+P$78*(P$66*(GREET1_Import_Export!$T74)+GREET1_Import_Export!$C$200*GREET1_Import_Export!$B203+GREET1_Import_Export!$C203)+P$79*(P$66*(GREET1_Import_Export!$B74)+GREET1_Import_Export!$B239)+P$80*(P$66*(GREET1_Import_Export!$AA74)+GREET1_Import_Export!$C292)+P$81*(P$66*(GREET1_Import_Export!$X74)+GREET1_Import_Export!$B$10*(GREET1_Import_Export!$F$215*GREET1_Import_Export!$B239+GREET1_Import_Export!$F239)+GREET1_Import_Export!$C$10*(GREET1_Import_Export!$E$200*GREET1_Import_Export!$B203+GREET1_Import_Export!$E203))+P$82*(GREET1_Import_Export!$D317+GREET1_Import_Export!$E317)+P$83*0.5*GREET1_Import_Export!$B546+P$84*GREET1_Import_Export!$C515+P$86*Steel!$B131+P$87*Steel!$I131</f>
        <v>17.87292672858387</v>
      </c>
      <c r="Q112" s="389">
        <f t="shared" si="18"/>
        <v>0</v>
      </c>
      <c r="R112" s="347">
        <f ca="1">R$76*(R$66*(GREET1_Import_Export!$K74)+GREET1_Import_Export!$F$200*GREET1_Import_Export!$B203+GREET1_Import_Export!$F203)+R$77*(R$66*(GREET1_Import_Export!$O74)+GREET1_Import_Export!$G$200*GREET1_Import_Export!$B203+GREET1_Import_Export!$G203)+R$78*(R$66*(GREET1_Import_Export!$T74)+GREET1_Import_Export!$C$200*GREET1_Import_Export!$B203+GREET1_Import_Export!$C203)+R$79*(R$66*(GREET1_Import_Export!$B74)+GREET1_Import_Export!$B239)+R$80*(R$66*(GREET1_Import_Export!$AA74)+GREET1_Import_Export!$C292)+R$81*(R$66*(GREET1_Import_Export!$X74)+GREET1_Import_Export!$B$10*(GREET1_Import_Export!$F$215*GREET1_Import_Export!$B239+GREET1_Import_Export!$F239)+GREET1_Import_Export!$C$10*(GREET1_Import_Export!$E$200*GREET1_Import_Export!$B203+GREET1_Import_Export!$E203))+R$82*(GREET1_Import_Export!$D317+GREET1_Import_Export!$E317)+R$83*0.5*GREET1_Import_Export!$B546+R$84*GREET1_Import_Export!$C515+R$86*Steel!$B131+R$87*Steel!$I131</f>
        <v>28.045181761565505</v>
      </c>
      <c r="S112" s="391">
        <f t="shared" si="19"/>
        <v>0</v>
      </c>
      <c r="T112" s="349">
        <f ca="1">T$76*(T$66*(GREET1_Import_Export!$K74)+GREET1_Import_Export!$F$200*GREET1_Import_Export!$B203+GREET1_Import_Export!$F203)+T$77*(T$66*(GREET1_Import_Export!$O74)+GREET1_Import_Export!$G$200*GREET1_Import_Export!$B203+GREET1_Import_Export!$G203)+T$78*(T$66*(GREET1_Import_Export!$T74)+GREET1_Import_Export!$C$200*GREET1_Import_Export!$B203+GREET1_Import_Export!$C203)+T$79*(T$66*(GREET1_Import_Export!$B74)+GREET1_Import_Export!$B239)+T$80*(T$66*(GREET1_Import_Export!$AA74)+GREET1_Import_Export!$C292)+T$81*(T$66*(GREET1_Import_Export!$X74)+GREET1_Import_Export!$B$10*(GREET1_Import_Export!$F$215*GREET1_Import_Export!$B239+GREET1_Import_Export!$F239)+GREET1_Import_Export!$C$10*(GREET1_Import_Export!$E$200*GREET1_Import_Export!$B203+GREET1_Import_Export!$E203))+T$82*(GREET1_Import_Export!$D317+GREET1_Import_Export!$E317)+T$83*0.5*GREET1_Import_Export!$B546+T$84*GREET1_Import_Export!$C515+T$86*Steel!$B131+T$87*Steel!$I131</f>
        <v>16.384304841038894</v>
      </c>
      <c r="U112" s="389">
        <f t="shared" si="20"/>
        <v>0</v>
      </c>
      <c r="V112" s="347">
        <f ca="1">V$76*(V$66*(GREET1_Import_Export!$K74)+GREET1_Import_Export!$F$200*GREET1_Import_Export!$B203+GREET1_Import_Export!$F203)+V$77*(V$66*(GREET1_Import_Export!$O74)+GREET1_Import_Export!$G$200*GREET1_Import_Export!$B203+GREET1_Import_Export!$G203)+V$78*(V$66*(GREET1_Import_Export!$T74)+GREET1_Import_Export!$C$200*GREET1_Import_Export!$B203+GREET1_Import_Export!$C203)+V$79*(V$66*(GREET1_Import_Export!$B74)+GREET1_Import_Export!$B239)+V$80*(V$66*(GREET1_Import_Export!$AA74)+GREET1_Import_Export!$C292)+V$81*(V$66*(GREET1_Import_Export!$X74)+GREET1_Import_Export!$B$10*(GREET1_Import_Export!$F$215*GREET1_Import_Export!$B239+GREET1_Import_Export!$F239)+GREET1_Import_Export!$C$10*(GREET1_Import_Export!$E$200*GREET1_Import_Export!$B203+GREET1_Import_Export!$E203))+V$82*(GREET1_Import_Export!$D317+GREET1_Import_Export!$E317)+V$83*0.5*GREET1_Import_Export!$B546+V$84*GREET1_Import_Export!$C515+V$86*Steel!$B131+V$87*Steel!$I131</f>
        <v>30.294723013544203</v>
      </c>
      <c r="W112" s="391">
        <f t="shared" si="21"/>
        <v>0</v>
      </c>
      <c r="Y112" s="1321"/>
    </row>
    <row r="113" spans="1:25" s="64" customFormat="1">
      <c r="A113" s="95" t="s">
        <v>824</v>
      </c>
      <c r="B113" s="347">
        <f ca="1">B$76*(B$66*(B$53*GREET1_Import_Export!$K75)+GREET1_Import_Export!$F$200*GREET1_Import_Export!$B204+GREET1_Import_Export!$F204)+B$77*(B$66*(B$59*GREET1_Import_Export!$R75+B$60*GREET1_Import_Export!$C149)+GREET1_Import_Export!$H$200*GREET1_Import_Export!$B204+GREET1_Import_Export!$H204)+B$78*(B$66*(B$57*GREET1_Import_Export!$T75+B$58*GREET1_Import_Export!$C135)+GREET1_Import_Export!$C$200*GREET1_Import_Export!$B204+GREET1_Import_Export!$C204)+B$79*(B$66*(B$54*GREET1_Import_Export!$B75+B$55*GREET1_Import_Export!$C121)+GREET1_Import_Export!$B240)+B$80*(B$66*(B$56*GREET1_Import_Export!$AA75)+GREET1_Import_Export!$C293)+B$81*(B$66*(GREET1_Import_Export!$X75)+GREET1_Import_Export!$B$10*(GREET1_Import_Export!$F$215*GREET1_Import_Export!$B240+GREET1_Import_Export!$F240)+GREET1_Import_Export!$C$10*(GREET1_Import_Export!$E$200*GREET1_Import_Export!$B204+GREET1_Import_Export!$E204))+B$82*(GREET1_Import_Export!$D318+GREET1_Import_Export!$E318)+B$83*0.5*GREET1_Import_Export!$B547+B$84*GREET1_Import_Export!$C516+B$86*Steel!$B132+B$87*Steel!$I132</f>
        <v>0.29915834092700511</v>
      </c>
      <c r="C113" s="391">
        <f t="shared" si="11"/>
        <v>0</v>
      </c>
      <c r="D113" s="349">
        <f ca="1">D$76*(D$66*(GREET1_Import_Export!$K75)+GREET1_Import_Export!$F$200*GREET1_Import_Export!$B204+GREET1_Import_Export!$F204)+D$77*(D$66*(GREET1_Import_Export!$O75)+GREET1_Import_Export!$G$200*GREET1_Import_Export!$B204+GREET1_Import_Export!$G204)+D$78*(D$66*(GREET1_Import_Export!$T75)+GREET1_Import_Export!$C$200*GREET1_Import_Export!$B204+GREET1_Import_Export!$C204)+D$79*(D$66*(GREET1_Import_Export!$B75)+GREET1_Import_Export!$B240)+D$80*(D$66*(GREET1_Import_Export!$AA75)+GREET1_Import_Export!$C293)+D$81*(D$66*(GREET1_Import_Export!$X75)+GREET1_Import_Export!$B$10*(GREET1_Import_Export!$F$215*GREET1_Import_Export!$B240+GREET1_Import_Export!$F240)+GREET1_Import_Export!$C$10*(GREET1_Import_Export!$E$200*GREET1_Import_Export!$B204+GREET1_Import_Export!$E204))+D$82*(GREET1_Import_Export!$D318+GREET1_Import_Export!$E318)+D$83*0.5*GREET1_Import_Export!$B547+D$84*GREET1_Import_Export!$C516+D$86*Steel!$B132+D$87*Steel!$I132</f>
        <v>5.878880486395766</v>
      </c>
      <c r="E113" s="389">
        <f t="shared" si="12"/>
        <v>0</v>
      </c>
      <c r="F113" s="347">
        <f ca="1">F$76*(F$66*(GREET1_Import_Export!$K75)+GREET1_Import_Export!$F$200*GREET1_Import_Export!$B204+GREET1_Import_Export!$F204)+F$77*(F$66*(GREET1_Import_Export!$O75)+GREET1_Import_Export!$G$200*GREET1_Import_Export!$B204+GREET1_Import_Export!$G204)+F$78*(F$66*(GREET1_Import_Export!$T75)+GREET1_Import_Export!$C$200*GREET1_Import_Export!$B204+GREET1_Import_Export!$C204)+F$79*(F$66*(GREET1_Import_Export!$B75)+GREET1_Import_Export!$B240)+F$80*(F$66*(GREET1_Import_Export!$AA75)+GREET1_Import_Export!$C293)+F$81*(F$66*(GREET1_Import_Export!$X75)+GREET1_Import_Export!$B$10*(GREET1_Import_Export!$F$215*GREET1_Import_Export!$B240+GREET1_Import_Export!$F240)+GREET1_Import_Export!$C$10*(GREET1_Import_Export!$E$200*GREET1_Import_Export!$B204+GREET1_Import_Export!$E204))+F$82*(GREET1_Import_Export!$D318+GREET1_Import_Export!$E318)+F$83*0.5*GREET1_Import_Export!$B547+F$84*GREET1_Import_Export!$C516+F$85*GREET1_Import_Export!$B$41*(GREET1_Import_Export!$I$200*GREET1_Import_Export!$B204+GREET1_Import_Export!$I204)/1000000+F$86*Steel!$B132+F$87*Steel!$I132</f>
        <v>4.715271286673377</v>
      </c>
      <c r="G113" s="391">
        <f t="shared" si="13"/>
        <v>0</v>
      </c>
      <c r="H113" s="349">
        <f ca="1">H$76*(H$66*(GREET1_Import_Export!$K75)+GREET1_Import_Export!$F$200*GREET1_Import_Export!$B204+GREET1_Import_Export!$F204)+H$77*(H$66*(GREET1_Import_Export!$O75)+GREET1_Import_Export!$G$200*GREET1_Import_Export!$B204+GREET1_Import_Export!$G204)+H$78*(H$66*(GREET1_Import_Export!$T75)+GREET1_Import_Export!$C$200*GREET1_Import_Export!$B204+GREET1_Import_Export!$C204)+H$79*(H$66*(GREET1_Import_Export!$B75)+GREET1_Import_Export!$B240)+H$80*(H$66*(GREET1_Import_Export!$AA75)+GREET1_Import_Export!$C293)+H$81*(H$66*(GREET1_Import_Export!$X75)+GREET1_Import_Export!$B$10*(GREET1_Import_Export!$F$215*GREET1_Import_Export!$B240+GREET1_Import_Export!$F240)+GREET1_Import_Export!$C$10*(GREET1_Import_Export!$E$200*GREET1_Import_Export!$B204+GREET1_Import_Export!$E204))+H$82*W.Al!$B46+H$83*0.5*GREET1_Import_Export!$B547+H$84*GREET1_Import_Export!$C516+H$86*Steel!$B132+H$87*Steel!$I132</f>
        <v>65.122723929484607</v>
      </c>
      <c r="I113" s="389">
        <f t="shared" si="14"/>
        <v>0</v>
      </c>
      <c r="J113" s="347">
        <f ca="1">J$76*(J$66*(GREET1_Import_Export!$K75)+GREET1_Import_Export!$F$200*GREET1_Import_Export!$B204+GREET1_Import_Export!$F204)+J$77*(J$66*(GREET1_Import_Export!$O75)+GREET1_Import_Export!$G$200*GREET1_Import_Export!$B204+GREET1_Import_Export!$G204)+J$78*(J$66*(GREET1_Import_Export!$T75)+GREET1_Import_Export!$C$200*GREET1_Import_Export!$B204+GREET1_Import_Export!$C204)+J$79*(J$66*(GREET1_Import_Export!$B75)+GREET1_Import_Export!$B240)+J$80*(J$66*(GREET1_Import_Export!$AA75)+GREET1_Import_Export!$C293)+J$81*(J$66*(GREET1_Import_Export!$X75)+GREET1_Import_Export!$B$10*(GREET1_Import_Export!$F$215*GREET1_Import_Export!$B240+GREET1_Import_Export!$F240)+GREET1_Import_Export!$C$10*(GREET1_Import_Export!$E$200*GREET1_Import_Export!$B204+GREET1_Import_Export!$E204))+J$82*(GREET1_Import_Export!$D318+GREET1_Import_Export!$E318)+J$83*0.5*GREET1_Import_Export!$B547+J$84*GREET1_Import_Export!$C516+J$85*GREET1_Import_Export!$B$41*(GREET1_Import_Export!$I$200*GREET1_Import_Export!$B204+GREET1_Import_Export!$I204)/1000000+J$86*Steel!$B132+J$87*Steel!$I132</f>
        <v>0.59997683116797107</v>
      </c>
      <c r="K113" s="391">
        <f t="shared" si="15"/>
        <v>0</v>
      </c>
      <c r="L113" s="349">
        <f ca="1">L$76*(L$66*(GREET1_Import_Export!$K75)+GREET1_Import_Export!$F$200*GREET1_Import_Export!$B204+GREET1_Import_Export!$F204)+L$77*(L$66*(GREET1_Import_Export!$O75)+GREET1_Import_Export!$G$200*GREET1_Import_Export!$B204+GREET1_Import_Export!$G204)+L$78*(L$66*(GREET1_Import_Export!$T75)+GREET1_Import_Export!$C$200*GREET1_Import_Export!$B204+GREET1_Import_Export!$C204)+L$79*(L$66*(GREET1_Import_Export!$B75)+GREET1_Import_Export!$B240)+L$80*(L$66*(GREET1_Import_Export!$AA75)+GREET1_Import_Export!$C293)+L$81*(L$66*(GREET1_Import_Export!$X75)+GREET1_Import_Export!$B$10*(GREET1_Import_Export!$F$215*GREET1_Import_Export!$B240+GREET1_Import_Export!$F240)+GREET1_Import_Export!$C$10*(GREET1_Import_Export!$E$200*GREET1_Import_Export!$B204+GREET1_Import_Export!$E204))+L$82*(GREET1_Import_Export!$D318+GREET1_Import_Export!$E318)+L$83*0.5*GREET1_Import_Export!$B547+L$84*GREET1_Import_Export!$C516+L$86*Steel!$B132+L$87*Steel!$I132</f>
        <v>0.8893000424828621</v>
      </c>
      <c r="M113" s="389">
        <f t="shared" si="16"/>
        <v>0</v>
      </c>
      <c r="N113" s="347">
        <f ca="1">N$76*(N$66*(GREET1_Import_Export!$K75)+GREET1_Import_Export!$F$200*GREET1_Import_Export!$B204+GREET1_Import_Export!$F204)+N$77*(N$66*(GREET1_Import_Export!$O75)+GREET1_Import_Export!$G$200*GREET1_Import_Export!$B204+GREET1_Import_Export!$G204)+N$78*(N$66*(GREET1_Import_Export!$T75)+GREET1_Import_Export!$C$200*GREET1_Import_Export!$B204+GREET1_Import_Export!$C204)+N$79*(N$66*(GREET1_Import_Export!$B75)+GREET1_Import_Export!$B240)+N$80*(N$66*(GREET1_Import_Export!$AA75)+GREET1_Import_Export!$C293)+N$81*(N$66*(GREET1_Import_Export!$X75)+GREET1_Import_Export!$B$10*(GREET1_Import_Export!$F$215*GREET1_Import_Export!$B240+GREET1_Import_Export!$F240)+GREET1_Import_Export!$C$10*(GREET1_Import_Export!$E$200*GREET1_Import_Export!$B204+GREET1_Import_Export!$E204))+N$82*(GREET1_Import_Export!$D318+GREET1_Import_Export!$E318)+N$83*0.5*GREET1_Import_Export!$B547+N$84*GREET1_Import_Export!$C516+N$85*GREET1_Import_Export!$B$41*(GREET1_Import_Export!$I$200*GREET1_Import_Export!$B204+GREET1_Import_Export!$I204)/1000000+N$86*Steel!$B132+N$87*Steel!$I132+N$88*(SUM($B152:$E152)*$F$122+$F152)</f>
        <v>7.1850700448960536</v>
      </c>
      <c r="O113" s="391">
        <f t="shared" si="17"/>
        <v>0</v>
      </c>
      <c r="P113" s="349">
        <f ca="1">P$76*(P$66*(GREET1_Import_Export!$K75)+GREET1_Import_Export!$F$200*GREET1_Import_Export!$B204+GREET1_Import_Export!$F204)+P$77*(P$66*(GREET1_Import_Export!$O75)+GREET1_Import_Export!$G$200*GREET1_Import_Export!$B204+GREET1_Import_Export!$G204)+P$78*(P$66*(GREET1_Import_Export!$T75)+GREET1_Import_Export!$C$200*GREET1_Import_Export!$B204+GREET1_Import_Export!$C204)+P$79*(P$66*(GREET1_Import_Export!$B75)+GREET1_Import_Export!$B240)+P$80*(P$66*(GREET1_Import_Export!$AA75)+GREET1_Import_Export!$C293)+P$81*(P$66*(GREET1_Import_Export!$X75)+GREET1_Import_Export!$B$10*(GREET1_Import_Export!$F$215*GREET1_Import_Export!$B240+GREET1_Import_Export!$F240)+GREET1_Import_Export!$C$10*(GREET1_Import_Export!$E$200*GREET1_Import_Export!$B204+GREET1_Import_Export!$E204))+P$82*(GREET1_Import_Export!$D318+GREET1_Import_Export!$E318)+P$83*0.5*GREET1_Import_Export!$B547+P$84*GREET1_Import_Export!$C516+P$86*Steel!$B132+P$87*Steel!$I132</f>
        <v>0.94372211446330645</v>
      </c>
      <c r="Q113" s="389">
        <f t="shared" si="18"/>
        <v>0</v>
      </c>
      <c r="R113" s="347">
        <f ca="1">R$76*(R$66*(GREET1_Import_Export!$K75)+GREET1_Import_Export!$F$200*GREET1_Import_Export!$B204+GREET1_Import_Export!$F204)+R$77*(R$66*(GREET1_Import_Export!$O75)+GREET1_Import_Export!$G$200*GREET1_Import_Export!$B204+GREET1_Import_Export!$G204)+R$78*(R$66*(GREET1_Import_Export!$T75)+GREET1_Import_Export!$C$200*GREET1_Import_Export!$B204+GREET1_Import_Export!$C204)+R$79*(R$66*(GREET1_Import_Export!$B75)+GREET1_Import_Export!$B240)+R$80*(R$66*(GREET1_Import_Export!$AA75)+GREET1_Import_Export!$C293)+R$81*(R$66*(GREET1_Import_Export!$X75)+GREET1_Import_Export!$B$10*(GREET1_Import_Export!$F$215*GREET1_Import_Export!$B240+GREET1_Import_Export!$F240)+GREET1_Import_Export!$C$10*(GREET1_Import_Export!$E$200*GREET1_Import_Export!$B204+GREET1_Import_Export!$E204))+R$82*(GREET1_Import_Export!$D318+GREET1_Import_Export!$E318)+R$83*0.5*GREET1_Import_Export!$B547+R$84*GREET1_Import_Export!$C516+R$86*Steel!$B132+R$87*Steel!$I132</f>
        <v>2.912332047721105</v>
      </c>
      <c r="S113" s="391">
        <f t="shared" si="19"/>
        <v>0</v>
      </c>
      <c r="T113" s="349">
        <f ca="1">T$76*(T$66*(GREET1_Import_Export!$K75)+GREET1_Import_Export!$F$200*GREET1_Import_Export!$B204+GREET1_Import_Export!$F204)+T$77*(T$66*(GREET1_Import_Export!$O75)+GREET1_Import_Export!$G$200*GREET1_Import_Export!$B204+GREET1_Import_Export!$G204)+T$78*(T$66*(GREET1_Import_Export!$T75)+GREET1_Import_Export!$C$200*GREET1_Import_Export!$B204+GREET1_Import_Export!$C204)+T$79*(T$66*(GREET1_Import_Export!$B75)+GREET1_Import_Export!$B240)+T$80*(T$66*(GREET1_Import_Export!$AA75)+GREET1_Import_Export!$C293)+T$81*(T$66*(GREET1_Import_Export!$X75)+GREET1_Import_Export!$B$10*(GREET1_Import_Export!$F$215*GREET1_Import_Export!$B240+GREET1_Import_Export!$F240)+GREET1_Import_Export!$C$10*(GREET1_Import_Export!$E$200*GREET1_Import_Export!$B204+GREET1_Import_Export!$E204))+T$82*(GREET1_Import_Export!$D318+GREET1_Import_Export!$E318)+T$83*0.5*GREET1_Import_Export!$B547+T$84*GREET1_Import_Export!$C516+T$86*Steel!$B132+T$87*Steel!$I132</f>
        <v>2.1874894561379064</v>
      </c>
      <c r="U113" s="389">
        <f t="shared" si="20"/>
        <v>0</v>
      </c>
      <c r="V113" s="347">
        <f ca="1">V$76*(V$66*(GREET1_Import_Export!$K75)+GREET1_Import_Export!$F$200*GREET1_Import_Export!$B204+GREET1_Import_Export!$F204)+V$77*(V$66*(GREET1_Import_Export!$O75)+GREET1_Import_Export!$G$200*GREET1_Import_Export!$B204+GREET1_Import_Export!$G204)+V$78*(V$66*(GREET1_Import_Export!$T75)+GREET1_Import_Export!$C$200*GREET1_Import_Export!$B204+GREET1_Import_Export!$C204)+V$79*(V$66*(GREET1_Import_Export!$B75)+GREET1_Import_Export!$B240)+V$80*(V$66*(GREET1_Import_Export!$AA75)+GREET1_Import_Export!$C293)+V$81*(V$66*(GREET1_Import_Export!$X75)+GREET1_Import_Export!$B$10*(GREET1_Import_Export!$F$215*GREET1_Import_Export!$B240+GREET1_Import_Export!$F240)+GREET1_Import_Export!$C$10*(GREET1_Import_Export!$E$200*GREET1_Import_Export!$B204+GREET1_Import_Export!$E204))+V$82*(GREET1_Import_Export!$D318+GREET1_Import_Export!$E318)+V$83*0.5*GREET1_Import_Export!$B547+V$84*GREET1_Import_Export!$C516+V$86*Steel!$B132+V$87*Steel!$I132</f>
        <v>1.6965725325519025</v>
      </c>
      <c r="W113" s="391">
        <f t="shared" si="21"/>
        <v>0</v>
      </c>
      <c r="Y113" s="1321"/>
    </row>
    <row r="114" spans="1:25" s="64" customFormat="1">
      <c r="A114" s="230" t="s">
        <v>825</v>
      </c>
      <c r="B114" s="347">
        <f ca="1">B$76*(B$66*(B$53*GREET1_Import_Export!$K76)+GREET1_Import_Export!$F$200*GREET1_Import_Export!$B205+GREET1_Import_Export!$F205)+B$77*(B$66*(B$59*GREET1_Import_Export!$R76+B$60*GREET1_Import_Export!$C150)+GREET1_Import_Export!$H$200*GREET1_Import_Export!$B205+GREET1_Import_Export!$H205)+B$78*(B$66*(B$57*GREET1_Import_Export!$T76+B$58*GREET1_Import_Export!$C136)+GREET1_Import_Export!$C$200*GREET1_Import_Export!$B205+GREET1_Import_Export!$C205)+B$79*(B$66*(B$54*GREET1_Import_Export!$B76+B$55*GREET1_Import_Export!$C122)+GREET1_Import_Export!$B241)+B$80*(B$66*(B$56*GREET1_Import_Export!$AA76)+GREET1_Import_Export!$C294)+B$81*(B$66*(GREET1_Import_Export!$X76)+GREET1_Import_Export!$B$10*(GREET1_Import_Export!$F$215*GREET1_Import_Export!$B241+GREET1_Import_Export!$F241)+GREET1_Import_Export!$C$10*(GREET1_Import_Export!$E$200*GREET1_Import_Export!$B205+GREET1_Import_Export!$E205))+B$82*(GREET1_Import_Export!$D319+GREET1_Import_Export!$E319)+B$83*0.5*GREET1_Import_Export!$B548+B$84*GREET1_Import_Export!$C517+B$86*Steel!$B133+B$87*Steel!$I133</f>
        <v>0.26040897695807869</v>
      </c>
      <c r="C114" s="391">
        <f t="shared" si="11"/>
        <v>0</v>
      </c>
      <c r="D114" s="349">
        <f ca="1">D$76*(D$66*(GREET1_Import_Export!$K76)+GREET1_Import_Export!$F$200*GREET1_Import_Export!$B205+GREET1_Import_Export!$F205)+D$77*(D$66*(GREET1_Import_Export!$O76)+GREET1_Import_Export!$G$200*GREET1_Import_Export!$B205+GREET1_Import_Export!$G205)+D$78*(D$66*(GREET1_Import_Export!$T76)+GREET1_Import_Export!$C$200*GREET1_Import_Export!$B205+GREET1_Import_Export!$C205)+D$79*(D$66*(GREET1_Import_Export!$B76)+GREET1_Import_Export!$B241)+D$80*(D$66*(GREET1_Import_Export!$AA76)+GREET1_Import_Export!$C294)+D$81*(D$66*(GREET1_Import_Export!$X76)+GREET1_Import_Export!$B$10*(GREET1_Import_Export!$F$215*GREET1_Import_Export!$B241+GREET1_Import_Export!$F241)+GREET1_Import_Export!$C$10*(GREET1_Import_Export!$E$200*GREET1_Import_Export!$B205+GREET1_Import_Export!$E205))+D$82*(GREET1_Import_Export!$D319+GREET1_Import_Export!$E319)+D$83*0.5*GREET1_Import_Export!$B548+D$84*GREET1_Import_Export!$C517+D$86*Steel!$B133+D$87*Steel!$I133</f>
        <v>5.1817974440505834</v>
      </c>
      <c r="E114" s="389">
        <f t="shared" si="12"/>
        <v>0</v>
      </c>
      <c r="F114" s="347">
        <f ca="1">F$76*(F$66*(GREET1_Import_Export!$K76)+GREET1_Import_Export!$F$200*GREET1_Import_Export!$B205+GREET1_Import_Export!$F205)+F$77*(F$66*(GREET1_Import_Export!$O76)+GREET1_Import_Export!$G$200*GREET1_Import_Export!$B205+GREET1_Import_Export!$G205)+F$78*(F$66*(GREET1_Import_Export!$T76)+GREET1_Import_Export!$C$200*GREET1_Import_Export!$B205+GREET1_Import_Export!$C205)+F$79*(F$66*(GREET1_Import_Export!$B76)+GREET1_Import_Export!$B241)+F$80*(F$66*(GREET1_Import_Export!$AA76)+GREET1_Import_Export!$C294)+F$81*(F$66*(GREET1_Import_Export!$X76)+GREET1_Import_Export!$B$10*(GREET1_Import_Export!$F$215*GREET1_Import_Export!$B241+GREET1_Import_Export!$F241)+GREET1_Import_Export!$C$10*(GREET1_Import_Export!$E$200*GREET1_Import_Export!$B205+GREET1_Import_Export!$E205))+F$82*(GREET1_Import_Export!$D319+GREET1_Import_Export!$E319)+F$83*0.5*GREET1_Import_Export!$B548+F$84*GREET1_Import_Export!$C517+F$85*GREET1_Import_Export!$B$41*(GREET1_Import_Export!$I$200*GREET1_Import_Export!$B205+GREET1_Import_Export!$I205)/1000000+F$86*Steel!$B133+F$87*Steel!$I133</f>
        <v>3.9528876836325839</v>
      </c>
      <c r="G114" s="391">
        <f t="shared" si="13"/>
        <v>0</v>
      </c>
      <c r="H114" s="349">
        <f ca="1">H$76*(H$66*(GREET1_Import_Export!$K76)+GREET1_Import_Export!$F$200*GREET1_Import_Export!$B205+GREET1_Import_Export!$F205)+H$77*(H$66*(GREET1_Import_Export!$O76)+GREET1_Import_Export!$G$200*GREET1_Import_Export!$B205+GREET1_Import_Export!$G205)+H$78*(H$66*(GREET1_Import_Export!$T76)+GREET1_Import_Export!$C$200*GREET1_Import_Export!$B205+GREET1_Import_Export!$C205)+H$79*(H$66*(GREET1_Import_Export!$B76)+GREET1_Import_Export!$B241)+H$80*(H$66*(GREET1_Import_Export!$AA76)+GREET1_Import_Export!$C294)+H$81*(H$66*(GREET1_Import_Export!$X76)+GREET1_Import_Export!$B$10*(GREET1_Import_Export!$F$215*GREET1_Import_Export!$B241+GREET1_Import_Export!$F241)+GREET1_Import_Export!$C$10*(GREET1_Import_Export!$E$200*GREET1_Import_Export!$B205+GREET1_Import_Export!$E205))+H$82*W.Al!$B47+H$83*0.5*GREET1_Import_Export!$B548+H$84*GREET1_Import_Export!$C517+H$86*Steel!$B133+H$87*Steel!$I133</f>
        <v>54.509319567530753</v>
      </c>
      <c r="I114" s="389">
        <f t="shared" si="14"/>
        <v>0</v>
      </c>
      <c r="J114" s="347">
        <f ca="1">J$76*(J$66*(GREET1_Import_Export!$K76)+GREET1_Import_Export!$F$200*GREET1_Import_Export!$B205+GREET1_Import_Export!$F205)+J$77*(J$66*(GREET1_Import_Export!$O76)+GREET1_Import_Export!$G$200*GREET1_Import_Export!$B205+GREET1_Import_Export!$G205)+J$78*(J$66*(GREET1_Import_Export!$T76)+GREET1_Import_Export!$C$200*GREET1_Import_Export!$B205+GREET1_Import_Export!$C205)+J$79*(J$66*(GREET1_Import_Export!$B76)+GREET1_Import_Export!$B241)+J$80*(J$66*(GREET1_Import_Export!$AA76)+GREET1_Import_Export!$C294)+J$81*(J$66*(GREET1_Import_Export!$X76)+GREET1_Import_Export!$B$10*(GREET1_Import_Export!$F$215*GREET1_Import_Export!$B241+GREET1_Import_Export!$F241)+GREET1_Import_Export!$C$10*(GREET1_Import_Export!$E$200*GREET1_Import_Export!$B205+GREET1_Import_Export!$E205))+J$82*(GREET1_Import_Export!$D319+GREET1_Import_Export!$E319)+J$83*0.5*GREET1_Import_Export!$B548+J$84*GREET1_Import_Export!$C517+J$85*GREET1_Import_Export!$B$41*(GREET1_Import_Export!$I$200*GREET1_Import_Export!$B205+GREET1_Import_Export!$I205)/1000000+J$86*Steel!$B133+J$87*Steel!$I133</f>
        <v>0.52784743228048969</v>
      </c>
      <c r="K114" s="391">
        <f t="shared" si="15"/>
        <v>0</v>
      </c>
      <c r="L114" s="349">
        <f ca="1">L$76*(L$66*(GREET1_Import_Export!$K76)+GREET1_Import_Export!$F$200*GREET1_Import_Export!$B205+GREET1_Import_Export!$F205)+L$77*(L$66*(GREET1_Import_Export!$O76)+GREET1_Import_Export!$G$200*GREET1_Import_Export!$B205+GREET1_Import_Export!$G205)+L$78*(L$66*(GREET1_Import_Export!$T76)+GREET1_Import_Export!$C$200*GREET1_Import_Export!$B205+GREET1_Import_Export!$C205)+L$79*(L$66*(GREET1_Import_Export!$B76)+GREET1_Import_Export!$B241)+L$80*(L$66*(GREET1_Import_Export!$AA76)+GREET1_Import_Export!$C294)+L$81*(L$66*(GREET1_Import_Export!$X76)+GREET1_Import_Export!$B$10*(GREET1_Import_Export!$F$215*GREET1_Import_Export!$B241+GREET1_Import_Export!$F241)+GREET1_Import_Export!$C$10*(GREET1_Import_Export!$E$200*GREET1_Import_Export!$B205+GREET1_Import_Export!$E205))+L$82*(GREET1_Import_Export!$D319+GREET1_Import_Export!$E319)+L$83*0.5*GREET1_Import_Export!$B548+L$84*GREET1_Import_Export!$C517+L$86*Steel!$B133+L$87*Steel!$I133</f>
        <v>0.78247206656299673</v>
      </c>
      <c r="M114" s="389">
        <f t="shared" si="16"/>
        <v>0</v>
      </c>
      <c r="N114" s="347">
        <f ca="1">N$76*(N$66*(GREET1_Import_Export!$K76)+GREET1_Import_Export!$F$200*GREET1_Import_Export!$B205+GREET1_Import_Export!$F205)+N$77*(N$66*(GREET1_Import_Export!$O76)+GREET1_Import_Export!$G$200*GREET1_Import_Export!$B205+GREET1_Import_Export!$G205)+N$78*(N$66*(GREET1_Import_Export!$T76)+GREET1_Import_Export!$C$200*GREET1_Import_Export!$B205+GREET1_Import_Export!$C205)+N$79*(N$66*(GREET1_Import_Export!$B76)+GREET1_Import_Export!$B241)+N$80*(N$66*(GREET1_Import_Export!$AA76)+GREET1_Import_Export!$C294)+N$81*(N$66*(GREET1_Import_Export!$X76)+GREET1_Import_Export!$B$10*(GREET1_Import_Export!$F$215*GREET1_Import_Export!$B241+GREET1_Import_Export!$F241)+GREET1_Import_Export!$C$10*(GREET1_Import_Export!$E$200*GREET1_Import_Export!$B205+GREET1_Import_Export!$E205))+N$82*(GREET1_Import_Export!$D319+GREET1_Import_Export!$E319)+N$83*0.5*GREET1_Import_Export!$B548+N$84*GREET1_Import_Export!$C517+N$85*GREET1_Import_Export!$B$41*(GREET1_Import_Export!$I$200*GREET1_Import_Export!$B205+GREET1_Import_Export!$I205)/1000000+N$86*Steel!$B133+N$87*Steel!$I133+N$88*(SUM($B153:$E153)*$F$122+$F153)</f>
        <v>6.0811642662961392</v>
      </c>
      <c r="O114" s="391">
        <f t="shared" si="17"/>
        <v>0</v>
      </c>
      <c r="P114" s="349">
        <f ca="1">P$76*(P$66*(GREET1_Import_Export!$K76)+GREET1_Import_Export!$F$200*GREET1_Import_Export!$B205+GREET1_Import_Export!$F205)+P$77*(P$66*(GREET1_Import_Export!$O76)+GREET1_Import_Export!$G$200*GREET1_Import_Export!$B205+GREET1_Import_Export!$G205)+P$78*(P$66*(GREET1_Import_Export!$T76)+GREET1_Import_Export!$C$200*GREET1_Import_Export!$B205+GREET1_Import_Export!$C205)+P$79*(P$66*(GREET1_Import_Export!$B76)+GREET1_Import_Export!$B241)+P$80*(P$66*(GREET1_Import_Export!$AA76)+GREET1_Import_Export!$C294)+P$81*(P$66*(GREET1_Import_Export!$X76)+GREET1_Import_Export!$B$10*(GREET1_Import_Export!$F$215*GREET1_Import_Export!$B241+GREET1_Import_Export!$F241)+GREET1_Import_Export!$C$10*(GREET1_Import_Export!$E$200*GREET1_Import_Export!$B205+GREET1_Import_Export!$E205))+P$82*(GREET1_Import_Export!$D319+GREET1_Import_Export!$E319)+P$83*0.5*GREET1_Import_Export!$B548+P$84*GREET1_Import_Export!$C517+P$86*Steel!$B133+P$87*Steel!$I133</f>
        <v>0.83196612217558363</v>
      </c>
      <c r="Q114" s="389">
        <f t="shared" si="18"/>
        <v>0</v>
      </c>
      <c r="R114" s="347">
        <f ca="1">R$76*(R$66*(GREET1_Import_Export!$K76)+GREET1_Import_Export!$F$200*GREET1_Import_Export!$B205+GREET1_Import_Export!$F205)+R$77*(R$66*(GREET1_Import_Export!$O76)+GREET1_Import_Export!$G$200*GREET1_Import_Export!$B205+GREET1_Import_Export!$G205)+R$78*(R$66*(GREET1_Import_Export!$T76)+GREET1_Import_Export!$C$200*GREET1_Import_Export!$B205+GREET1_Import_Export!$C205)+R$79*(R$66*(GREET1_Import_Export!$B76)+GREET1_Import_Export!$B241)+R$80*(R$66*(GREET1_Import_Export!$AA76)+GREET1_Import_Export!$C294)+R$81*(R$66*(GREET1_Import_Export!$X76)+GREET1_Import_Export!$B$10*(GREET1_Import_Export!$F$215*GREET1_Import_Export!$B241+GREET1_Import_Export!$F241)+GREET1_Import_Export!$C$10*(GREET1_Import_Export!$E$200*GREET1_Import_Export!$B205+GREET1_Import_Export!$E205))+R$82*(GREET1_Import_Export!$D319+GREET1_Import_Export!$E319)+R$83*0.5*GREET1_Import_Export!$B548+R$84*GREET1_Import_Export!$C517+R$86*Steel!$B133+R$87*Steel!$I133</f>
        <v>2.5621258487451732</v>
      </c>
      <c r="S114" s="391">
        <f t="shared" si="19"/>
        <v>0</v>
      </c>
      <c r="T114" s="349">
        <f ca="1">T$76*(T$66*(GREET1_Import_Export!$K76)+GREET1_Import_Export!$F$200*GREET1_Import_Export!$B205+GREET1_Import_Export!$F205)+T$77*(T$66*(GREET1_Import_Export!$O76)+GREET1_Import_Export!$G$200*GREET1_Import_Export!$B205+GREET1_Import_Export!$G205)+T$78*(T$66*(GREET1_Import_Export!$T76)+GREET1_Import_Export!$C$200*GREET1_Import_Export!$B205+GREET1_Import_Export!$C205)+T$79*(T$66*(GREET1_Import_Export!$B76)+GREET1_Import_Export!$B241)+T$80*(T$66*(GREET1_Import_Export!$AA76)+GREET1_Import_Export!$C294)+T$81*(T$66*(GREET1_Import_Export!$X76)+GREET1_Import_Export!$B$10*(GREET1_Import_Export!$F$215*GREET1_Import_Export!$B241+GREET1_Import_Export!$F241)+GREET1_Import_Export!$C$10*(GREET1_Import_Export!$E$200*GREET1_Import_Export!$B205+GREET1_Import_Export!$E205))+T$82*(GREET1_Import_Export!$D319+GREET1_Import_Export!$E319)+T$83*0.5*GREET1_Import_Export!$B548+T$84*GREET1_Import_Export!$C517+T$86*Steel!$B133+T$87*Steel!$I133</f>
        <v>1.923525200425946</v>
      </c>
      <c r="U114" s="389">
        <f t="shared" si="20"/>
        <v>0</v>
      </c>
      <c r="V114" s="347">
        <f ca="1">V$76*(V$66*(GREET1_Import_Export!$K76)+GREET1_Import_Export!$F$200*GREET1_Import_Export!$B205+GREET1_Import_Export!$F205)+V$77*(V$66*(GREET1_Import_Export!$O76)+GREET1_Import_Export!$G$200*GREET1_Import_Export!$B205+GREET1_Import_Export!$G205)+V$78*(V$66*(GREET1_Import_Export!$T76)+GREET1_Import_Export!$C$200*GREET1_Import_Export!$B205+GREET1_Import_Export!$C205)+V$79*(V$66*(GREET1_Import_Export!$B76)+GREET1_Import_Export!$B241)+V$80*(V$66*(GREET1_Import_Export!$AA76)+GREET1_Import_Export!$C294)+V$81*(V$66*(GREET1_Import_Export!$X76)+GREET1_Import_Export!$B$10*(GREET1_Import_Export!$F$215*GREET1_Import_Export!$B241+GREET1_Import_Export!$F241)+GREET1_Import_Export!$C$10*(GREET1_Import_Export!$E$200*GREET1_Import_Export!$B205+GREET1_Import_Export!$E205))+V$82*(GREET1_Import_Export!$D319+GREET1_Import_Export!$E319)+V$83*0.5*GREET1_Import_Export!$B548+V$84*GREET1_Import_Export!$C517+V$86*Steel!$B133+V$87*Steel!$I133</f>
        <v>1.4953055427513697</v>
      </c>
      <c r="W114" s="391">
        <f t="shared" si="21"/>
        <v>0</v>
      </c>
      <c r="Y114" s="1321"/>
    </row>
    <row r="115" spans="1:25" s="64" customFormat="1">
      <c r="A115" s="95" t="s">
        <v>826</v>
      </c>
      <c r="B115" s="347">
        <f ca="1">B$76*(B$66*(B$53*GREET1_Import_Export!$K77)+GREET1_Import_Export!$F$200*GREET1_Import_Export!$B206+GREET1_Import_Export!$F206)+B$77*(B$66*(B$59*GREET1_Import_Export!$R77+B$60*GREET1_Import_Export!$C151)+GREET1_Import_Export!$H$200*GREET1_Import_Export!$B206+GREET1_Import_Export!$H206)+B$78*(B$66*(B$57*GREET1_Import_Export!$T77+B$58*GREET1_Import_Export!$C137)+GREET1_Import_Export!$C$200*GREET1_Import_Export!$B206+GREET1_Import_Export!$C206)+B$79*(B$66*(B$54*GREET1_Import_Export!$B77+B$55*GREET1_Import_Export!$C123)+GREET1_Import_Export!$B242)+B$80*(B$66*(B$56*GREET1_Import_Export!$AA77)+GREET1_Import_Export!$C295)+B$81*(B$66*(GREET1_Import_Export!$X77)+GREET1_Import_Export!$B$10*(GREET1_Import_Export!$F$215*GREET1_Import_Export!$B242+GREET1_Import_Export!$F242)+GREET1_Import_Export!$C$10*(GREET1_Import_Export!$E$200*GREET1_Import_Export!$B206+GREET1_Import_Export!$E206))+B$82*(GREET1_Import_Export!$D320+GREET1_Import_Export!$E320)+B$83*0.5*GREET1_Import_Export!$B549+B$84*GREET1_Import_Export!$C518+B$86*Steel!$B134+B$87*Steel!$I134</f>
        <v>0.82797408805979944</v>
      </c>
      <c r="C115" s="391">
        <f t="shared" si="11"/>
        <v>0</v>
      </c>
      <c r="D115" s="349">
        <f ca="1">D$76*(D$66*(GREET1_Import_Export!$K77)+GREET1_Import_Export!$F$200*GREET1_Import_Export!$B206+GREET1_Import_Export!$F206)+D$77*(D$66*(GREET1_Import_Export!$O77)+GREET1_Import_Export!$G$200*GREET1_Import_Export!$B206+GREET1_Import_Export!$G206)+D$78*(D$66*(GREET1_Import_Export!$T77)+GREET1_Import_Export!$C$200*GREET1_Import_Export!$B206+GREET1_Import_Export!$C206)+D$79*(D$66*(GREET1_Import_Export!$B77)+GREET1_Import_Export!$B242)+D$80*(D$66*(GREET1_Import_Export!$AA77)+GREET1_Import_Export!$C295)+D$81*(D$66*(GREET1_Import_Export!$X77)+GREET1_Import_Export!$B$10*(GREET1_Import_Export!$F$215*GREET1_Import_Export!$B242+GREET1_Import_Export!$F242)+GREET1_Import_Export!$C$10*(GREET1_Import_Export!$E$200*GREET1_Import_Export!$B206+GREET1_Import_Export!$E206))+D$82*(GREET1_Import_Export!$D320+GREET1_Import_Export!$E320)+D$83*0.5*GREET1_Import_Export!$B549+D$84*GREET1_Import_Export!$C518+D$86*Steel!$B134+D$87*Steel!$I134</f>
        <v>37.726665934616271</v>
      </c>
      <c r="E115" s="389">
        <f t="shared" si="12"/>
        <v>0</v>
      </c>
      <c r="F115" s="347">
        <f ca="1">F$76*(F$66*(GREET1_Import_Export!$K77)+GREET1_Import_Export!$F$200*GREET1_Import_Export!$B206+GREET1_Import_Export!$F206)+F$77*(F$66*(GREET1_Import_Export!$O77)+GREET1_Import_Export!$G$200*GREET1_Import_Export!$B206+GREET1_Import_Export!$G206)+F$78*(F$66*(GREET1_Import_Export!$T77)+GREET1_Import_Export!$C$200*GREET1_Import_Export!$B206+GREET1_Import_Export!$C206)+F$79*(F$66*(GREET1_Import_Export!$B77)+GREET1_Import_Export!$B242)+F$80*(F$66*(GREET1_Import_Export!$AA77)+GREET1_Import_Export!$C295)+F$81*(F$66*(GREET1_Import_Export!$X77)+GREET1_Import_Export!$B$10*(GREET1_Import_Export!$F$215*GREET1_Import_Export!$B242+GREET1_Import_Export!$F242)+GREET1_Import_Export!$C$10*(GREET1_Import_Export!$E$200*GREET1_Import_Export!$B206+GREET1_Import_Export!$E206))+F$82*(GREET1_Import_Export!$D320+GREET1_Import_Export!$E320)+F$83*0.5*GREET1_Import_Export!$B549+F$84*GREET1_Import_Export!$C518+F$85*GREET1_Import_Export!$B$41*(GREET1_Import_Export!$I$200*GREET1_Import_Export!$B206+GREET1_Import_Export!$I206)/1000000+F$86*Steel!$B134+F$87*Steel!$I134</f>
        <v>11.887935084305154</v>
      </c>
      <c r="G115" s="391">
        <f t="shared" si="13"/>
        <v>0</v>
      </c>
      <c r="H115" s="349">
        <f ca="1">H$76*(H$66*(GREET1_Import_Export!$K77)+GREET1_Import_Export!$F$200*GREET1_Import_Export!$B206+GREET1_Import_Export!$F206)+H$77*(H$66*(GREET1_Import_Export!$O77)+GREET1_Import_Export!$G$200*GREET1_Import_Export!$B206+GREET1_Import_Export!$G206)+H$78*(H$66*(GREET1_Import_Export!$T77)+GREET1_Import_Export!$C$200*GREET1_Import_Export!$B206+GREET1_Import_Export!$C206)+H$79*(H$66*(GREET1_Import_Export!$B77)+GREET1_Import_Export!$B242)+H$80*(H$66*(GREET1_Import_Export!$AA77)+GREET1_Import_Export!$C295)+H$81*(H$66*(GREET1_Import_Export!$X77)+GREET1_Import_Export!$B$10*(GREET1_Import_Export!$F$215*GREET1_Import_Export!$B242+GREET1_Import_Export!$F242)+GREET1_Import_Export!$C$10*(GREET1_Import_Export!$E$200*GREET1_Import_Export!$B206+GREET1_Import_Export!$E206))+H$82*W.Al!$B48+H$83*0.5*GREET1_Import_Export!$B549+H$84*GREET1_Import_Export!$C518+H$86*Steel!$B134+H$87*Steel!$I134</f>
        <v>681.02018876810268</v>
      </c>
      <c r="I115" s="389">
        <f t="shared" si="14"/>
        <v>0</v>
      </c>
      <c r="J115" s="347">
        <f ca="1">J$76*(J$66*(GREET1_Import_Export!$K77)+GREET1_Import_Export!$F$200*GREET1_Import_Export!$B206+GREET1_Import_Export!$F206)+J$77*(J$66*(GREET1_Import_Export!$O77)+GREET1_Import_Export!$G$200*GREET1_Import_Export!$B206+GREET1_Import_Export!$G206)+J$78*(J$66*(GREET1_Import_Export!$T77)+GREET1_Import_Export!$C$200*GREET1_Import_Export!$B206+GREET1_Import_Export!$C206)+J$79*(J$66*(GREET1_Import_Export!$B77)+GREET1_Import_Export!$B242)+J$80*(J$66*(GREET1_Import_Export!$AA77)+GREET1_Import_Export!$C295)+J$81*(J$66*(GREET1_Import_Export!$X77)+GREET1_Import_Export!$B$10*(GREET1_Import_Export!$F$215*GREET1_Import_Export!$B242+GREET1_Import_Export!$F242)+GREET1_Import_Export!$C$10*(GREET1_Import_Export!$E$200*GREET1_Import_Export!$B206+GREET1_Import_Export!$E206))+J$82*(GREET1_Import_Export!$D320+GREET1_Import_Export!$E320)+J$83*0.5*GREET1_Import_Export!$B549+J$84*GREET1_Import_Export!$C518+J$85*GREET1_Import_Export!$B$41*(GREET1_Import_Export!$I$200*GREET1_Import_Export!$B206+GREET1_Import_Export!$I206)/1000000+J$86*Steel!$B134+J$87*Steel!$I134</f>
        <v>4.1856735412254631</v>
      </c>
      <c r="K115" s="391">
        <f t="shared" si="15"/>
        <v>0</v>
      </c>
      <c r="L115" s="349">
        <f ca="1">L$76*(L$66*(GREET1_Import_Export!$K77)+GREET1_Import_Export!$F$200*GREET1_Import_Export!$B206+GREET1_Import_Export!$F206)+L$77*(L$66*(GREET1_Import_Export!$O77)+GREET1_Import_Export!$G$200*GREET1_Import_Export!$B206+GREET1_Import_Export!$G206)+L$78*(L$66*(GREET1_Import_Export!$T77)+GREET1_Import_Export!$C$200*GREET1_Import_Export!$B206+GREET1_Import_Export!$C206)+L$79*(L$66*(GREET1_Import_Export!$B77)+GREET1_Import_Export!$B242)+L$80*(L$66*(GREET1_Import_Export!$AA77)+GREET1_Import_Export!$C295)+L$81*(L$66*(GREET1_Import_Export!$X77)+GREET1_Import_Export!$B$10*(GREET1_Import_Export!$F$215*GREET1_Import_Export!$B242+GREET1_Import_Export!$F242)+GREET1_Import_Export!$C$10*(GREET1_Import_Export!$E$200*GREET1_Import_Export!$B206+GREET1_Import_Export!$E206))+L$82*(GREET1_Import_Export!$D320+GREET1_Import_Export!$E320)+L$83*0.5*GREET1_Import_Export!$B549+L$84*GREET1_Import_Export!$C518+L$86*Steel!$B134+L$87*Steel!$I134</f>
        <v>6.6461763811926513</v>
      </c>
      <c r="M115" s="389">
        <f t="shared" si="16"/>
        <v>0</v>
      </c>
      <c r="N115" s="347">
        <f ca="1">N$76*(N$66*(GREET1_Import_Export!$K77)+GREET1_Import_Export!$F$200*GREET1_Import_Export!$B206+GREET1_Import_Export!$F206)+N$77*(N$66*(GREET1_Import_Export!$O77)+GREET1_Import_Export!$G$200*GREET1_Import_Export!$B206+GREET1_Import_Export!$G206)+N$78*(N$66*(GREET1_Import_Export!$T77)+GREET1_Import_Export!$C$200*GREET1_Import_Export!$B206+GREET1_Import_Export!$C206)+N$79*(N$66*(GREET1_Import_Export!$B77)+GREET1_Import_Export!$B242)+N$80*(N$66*(GREET1_Import_Export!$AA77)+GREET1_Import_Export!$C295)+N$81*(N$66*(GREET1_Import_Export!$X77)+GREET1_Import_Export!$B$10*(GREET1_Import_Export!$F$215*GREET1_Import_Export!$B242+GREET1_Import_Export!$F242)+GREET1_Import_Export!$C$10*(GREET1_Import_Export!$E$200*GREET1_Import_Export!$B206+GREET1_Import_Export!$E206))+N$82*(GREET1_Import_Export!$D320+GREET1_Import_Export!$E320)+N$83*0.5*GREET1_Import_Export!$B549+N$84*GREET1_Import_Export!$C518+N$85*GREET1_Import_Export!$B$41*(GREET1_Import_Export!$I$200*GREET1_Import_Export!$B206+GREET1_Import_Export!$I206)/1000000+N$86*Steel!$B134+N$87*Steel!$I134+N$88*(SUM($B154:$E154)*$F$122+$F154)</f>
        <v>67.116131731649787</v>
      </c>
      <c r="O115" s="391">
        <f t="shared" si="17"/>
        <v>0</v>
      </c>
      <c r="P115" s="349">
        <f ca="1">P$76*(P$66*(GREET1_Import_Export!$K77)+GREET1_Import_Export!$F$200*GREET1_Import_Export!$B206+GREET1_Import_Export!$F206)+P$77*(P$66*(GREET1_Import_Export!$O77)+GREET1_Import_Export!$G$200*GREET1_Import_Export!$B206+GREET1_Import_Export!$G206)+P$78*(P$66*(GREET1_Import_Export!$T77)+GREET1_Import_Export!$C$200*GREET1_Import_Export!$B206+GREET1_Import_Export!$C206)+P$79*(P$66*(GREET1_Import_Export!$B77)+GREET1_Import_Export!$B242)+P$80*(P$66*(GREET1_Import_Export!$AA77)+GREET1_Import_Export!$C295)+P$81*(P$66*(GREET1_Import_Export!$X77)+GREET1_Import_Export!$B$10*(GREET1_Import_Export!$F$215*GREET1_Import_Export!$B242+GREET1_Import_Export!$F242)+GREET1_Import_Export!$C$10*(GREET1_Import_Export!$E$200*GREET1_Import_Export!$B206+GREET1_Import_Export!$E206))+P$82*(GREET1_Import_Export!$D320+GREET1_Import_Export!$E320)+P$83*0.5*GREET1_Import_Export!$B549+P$84*GREET1_Import_Export!$C518+P$86*Steel!$B134+P$87*Steel!$I134</f>
        <v>7.1485582787363242</v>
      </c>
      <c r="Q115" s="389">
        <f t="shared" si="18"/>
        <v>0</v>
      </c>
      <c r="R115" s="347">
        <f ca="1">R$76*(R$66*(GREET1_Import_Export!$K77)+GREET1_Import_Export!$F$200*GREET1_Import_Export!$B206+GREET1_Import_Export!$F206)+R$77*(R$66*(GREET1_Import_Export!$O77)+GREET1_Import_Export!$G$200*GREET1_Import_Export!$B206+GREET1_Import_Export!$G206)+R$78*(R$66*(GREET1_Import_Export!$T77)+GREET1_Import_Export!$C$200*GREET1_Import_Export!$B206+GREET1_Import_Export!$C206)+R$79*(R$66*(GREET1_Import_Export!$B77)+GREET1_Import_Export!$B242)+R$80*(R$66*(GREET1_Import_Export!$AA77)+GREET1_Import_Export!$C295)+R$81*(R$66*(GREET1_Import_Export!$X77)+GREET1_Import_Export!$B$10*(GREET1_Import_Export!$F$215*GREET1_Import_Export!$B242+GREET1_Import_Export!$F242)+GREET1_Import_Export!$C$10*(GREET1_Import_Export!$E$200*GREET1_Import_Export!$B206+GREET1_Import_Export!$E206))+R$82*(GREET1_Import_Export!$D320+GREET1_Import_Export!$E320)+R$83*0.5*GREET1_Import_Export!$B549+R$84*GREET1_Import_Export!$C518+R$86*Steel!$B134+R$87*Steel!$I134</f>
        <v>21.745695522691818</v>
      </c>
      <c r="S115" s="391">
        <f t="shared" si="19"/>
        <v>0</v>
      </c>
      <c r="T115" s="349">
        <f ca="1">T$76*(T$66*(GREET1_Import_Export!$K77)+GREET1_Import_Export!$F$200*GREET1_Import_Export!$B206+GREET1_Import_Export!$F206)+T$77*(T$66*(GREET1_Import_Export!$O77)+GREET1_Import_Export!$G$200*GREET1_Import_Export!$B206+GREET1_Import_Export!$G206)+T$78*(T$66*(GREET1_Import_Export!$T77)+GREET1_Import_Export!$C$200*GREET1_Import_Export!$B206+GREET1_Import_Export!$C206)+T$79*(T$66*(GREET1_Import_Export!$B77)+GREET1_Import_Export!$B242)+T$80*(T$66*(GREET1_Import_Export!$AA77)+GREET1_Import_Export!$C295)+T$81*(T$66*(GREET1_Import_Export!$X77)+GREET1_Import_Export!$B$10*(GREET1_Import_Export!$F$215*GREET1_Import_Export!$B242+GREET1_Import_Export!$F242)+GREET1_Import_Export!$C$10*(GREET1_Import_Export!$E$200*GREET1_Import_Export!$B206+GREET1_Import_Export!$E206))+T$82*(GREET1_Import_Export!$D320+GREET1_Import_Export!$E320)+T$83*0.5*GREET1_Import_Export!$B549+T$84*GREET1_Import_Export!$C518+T$86*Steel!$B134+T$87*Steel!$I134</f>
        <v>16.279280673065642</v>
      </c>
      <c r="U115" s="389">
        <f t="shared" si="20"/>
        <v>0</v>
      </c>
      <c r="V115" s="347">
        <f ca="1">V$76*(V$66*(GREET1_Import_Export!$K77)+GREET1_Import_Export!$F$200*GREET1_Import_Export!$B206+GREET1_Import_Export!$F206)+V$77*(V$66*(GREET1_Import_Export!$O77)+GREET1_Import_Export!$G$200*GREET1_Import_Export!$B206+GREET1_Import_Export!$G206)+V$78*(V$66*(GREET1_Import_Export!$T77)+GREET1_Import_Export!$C$200*GREET1_Import_Export!$B206+GREET1_Import_Export!$C206)+V$79*(V$66*(GREET1_Import_Export!$B77)+GREET1_Import_Export!$B242)+V$80*(V$66*(GREET1_Import_Export!$AA77)+GREET1_Import_Export!$C295)+V$81*(V$66*(GREET1_Import_Export!$X77)+GREET1_Import_Export!$B$10*(GREET1_Import_Export!$F$215*GREET1_Import_Export!$B242+GREET1_Import_Export!$F242)+GREET1_Import_Export!$C$10*(GREET1_Import_Export!$E$200*GREET1_Import_Export!$B206+GREET1_Import_Export!$E206))+V$82*(GREET1_Import_Export!$D320+GREET1_Import_Export!$E320)+V$83*0.5*GREET1_Import_Export!$B549+V$84*GREET1_Import_Export!$C518+V$86*Steel!$B134+V$87*Steel!$I134</f>
        <v>12.824075631020252</v>
      </c>
      <c r="W115" s="391">
        <f t="shared" si="21"/>
        <v>0</v>
      </c>
      <c r="Y115" s="1321"/>
    </row>
    <row r="116" spans="1:25" s="64" customFormat="1">
      <c r="A116" s="230" t="s">
        <v>827</v>
      </c>
      <c r="B116" s="347">
        <f ca="1">B$76*(B$66*(B$53*GREET1_Import_Export!$K78)+GREET1_Import_Export!$F$200*GREET1_Import_Export!$B207+GREET1_Import_Export!$F207)+B$77*(B$66*(B$59*GREET1_Import_Export!$R78+B$60*GREET1_Import_Export!$C152)+GREET1_Import_Export!$H$200*GREET1_Import_Export!$B207+GREET1_Import_Export!$H207)+B$78*(B$66*(B$57*GREET1_Import_Export!$T78+B$58*GREET1_Import_Export!$C138)+GREET1_Import_Export!$C$200*GREET1_Import_Export!$B207+GREET1_Import_Export!$C207)+B$79*(B$66*(B$54*GREET1_Import_Export!$B78+B$55*GREET1_Import_Export!$C124)+GREET1_Import_Export!$B243)+B$80*(B$66*(B$56*GREET1_Import_Export!$AA78)+GREET1_Import_Export!$C296)+B$81*(B$66*(GREET1_Import_Export!$X78)+GREET1_Import_Export!$B$10*(GREET1_Import_Export!$F$215*GREET1_Import_Export!$B243+GREET1_Import_Export!$F243)+GREET1_Import_Export!$C$10*(GREET1_Import_Export!$E$200*GREET1_Import_Export!$B207+GREET1_Import_Export!$E207))+B$82*(GREET1_Import_Export!$D321+GREET1_Import_Export!$E321)+B$83*0.5*GREET1_Import_Export!$B550+B$84*GREET1_Import_Export!$C519+B$86*Steel!$B135+B$87*Steel!$I135</f>
        <v>2.8979248999643329E-2</v>
      </c>
      <c r="C116" s="391">
        <f t="shared" si="11"/>
        <v>0</v>
      </c>
      <c r="D116" s="349">
        <f ca="1">D$76*(D$66*(GREET1_Import_Export!$K78)+GREET1_Import_Export!$F$200*GREET1_Import_Export!$B207+GREET1_Import_Export!$F207)+D$77*(D$66*(GREET1_Import_Export!$O78)+GREET1_Import_Export!$G$200*GREET1_Import_Export!$B207+GREET1_Import_Export!$G207)+D$78*(D$66*(GREET1_Import_Export!$T78)+GREET1_Import_Export!$C$200*GREET1_Import_Export!$B207+GREET1_Import_Export!$C207)+D$79*(D$66*(GREET1_Import_Export!$B78)+GREET1_Import_Export!$B243)+D$80*(D$66*(GREET1_Import_Export!$AA78)+GREET1_Import_Export!$C296)+D$81*(D$66*(GREET1_Import_Export!$X78)+GREET1_Import_Export!$B$10*(GREET1_Import_Export!$F$215*GREET1_Import_Export!$B243+GREET1_Import_Export!$F243)+GREET1_Import_Export!$C$10*(GREET1_Import_Export!$E$200*GREET1_Import_Export!$B207+GREET1_Import_Export!$E207))+D$82*(GREET1_Import_Export!$D321+GREET1_Import_Export!$E321)+D$83*0.5*GREET1_Import_Export!$B550+D$84*GREET1_Import_Export!$C519+D$86*Steel!$B135+D$87*Steel!$I135</f>
        <v>0.35216403608577934</v>
      </c>
      <c r="E116" s="389">
        <f t="shared" si="12"/>
        <v>0</v>
      </c>
      <c r="F116" s="347">
        <f ca="1">F$76*(F$66*(GREET1_Import_Export!$K78)+GREET1_Import_Export!$F$200*GREET1_Import_Export!$B207+GREET1_Import_Export!$F207)+F$77*(F$66*(GREET1_Import_Export!$O78)+GREET1_Import_Export!$G$200*GREET1_Import_Export!$B207+GREET1_Import_Export!$G207)+F$78*(F$66*(GREET1_Import_Export!$T78)+GREET1_Import_Export!$C$200*GREET1_Import_Export!$B207+GREET1_Import_Export!$C207)+F$79*(F$66*(GREET1_Import_Export!$B78)+GREET1_Import_Export!$B243)+F$80*(F$66*(GREET1_Import_Export!$AA78)+GREET1_Import_Export!$C296)+F$81*(F$66*(GREET1_Import_Export!$X78)+GREET1_Import_Export!$B$10*(GREET1_Import_Export!$F$215*GREET1_Import_Export!$B243+GREET1_Import_Export!$F243)+GREET1_Import_Export!$C$10*(GREET1_Import_Export!$E$200*GREET1_Import_Export!$B207+GREET1_Import_Export!$E207))+F$82*(GREET1_Import_Export!$D321+GREET1_Import_Export!$E321)+F$83*0.5*GREET1_Import_Export!$B550+F$84*GREET1_Import_Export!$C519+F$85*GREET1_Import_Export!$B$41*(GREET1_Import_Export!$I$200*GREET1_Import_Export!$B207+GREET1_Import_Export!$I207)/1000000+F$86*Steel!$B135+F$87*Steel!$I135</f>
        <v>0.46449108108245796</v>
      </c>
      <c r="G116" s="391">
        <f t="shared" si="13"/>
        <v>0</v>
      </c>
      <c r="H116" s="349">
        <f ca="1">H$76*(H$66*(GREET1_Import_Export!$K78)+GREET1_Import_Export!$F$200*GREET1_Import_Export!$B207+GREET1_Import_Export!$F207)+H$77*(H$66*(GREET1_Import_Export!$O78)+GREET1_Import_Export!$G$200*GREET1_Import_Export!$B207+GREET1_Import_Export!$G207)+H$78*(H$66*(GREET1_Import_Export!$T78)+GREET1_Import_Export!$C$200*GREET1_Import_Export!$B207+GREET1_Import_Export!$C207)+H$79*(H$66*(GREET1_Import_Export!$B78)+GREET1_Import_Export!$B243)+H$80*(H$66*(GREET1_Import_Export!$AA78)+GREET1_Import_Export!$C296)+H$81*(H$66*(GREET1_Import_Export!$X78)+GREET1_Import_Export!$B$10*(GREET1_Import_Export!$F$215*GREET1_Import_Export!$B243+GREET1_Import_Export!$F243)+GREET1_Import_Export!$C$10*(GREET1_Import_Export!$E$200*GREET1_Import_Export!$B207+GREET1_Import_Export!$E207))+H$82*W.Al!$B49+H$83*0.5*GREET1_Import_Export!$B550+H$84*GREET1_Import_Export!$C519+H$86*Steel!$B135+H$87*Steel!$I135</f>
        <v>2.4431008179494818</v>
      </c>
      <c r="I116" s="389">
        <f t="shared" si="14"/>
        <v>0</v>
      </c>
      <c r="J116" s="347">
        <f ca="1">J$76*(J$66*(GREET1_Import_Export!$K78)+GREET1_Import_Export!$F$200*GREET1_Import_Export!$B207+GREET1_Import_Export!$F207)+J$77*(J$66*(GREET1_Import_Export!$O78)+GREET1_Import_Export!$G$200*GREET1_Import_Export!$B207+GREET1_Import_Export!$G207)+J$78*(J$66*(GREET1_Import_Export!$T78)+GREET1_Import_Export!$C$200*GREET1_Import_Export!$B207+GREET1_Import_Export!$C207)+J$79*(J$66*(GREET1_Import_Export!$B78)+GREET1_Import_Export!$B243)+J$80*(J$66*(GREET1_Import_Export!$AA78)+GREET1_Import_Export!$C296)+J$81*(J$66*(GREET1_Import_Export!$X78)+GREET1_Import_Export!$B$10*(GREET1_Import_Export!$F$215*GREET1_Import_Export!$B243+GREET1_Import_Export!$F243)+GREET1_Import_Export!$C$10*(GREET1_Import_Export!$E$200*GREET1_Import_Export!$B207+GREET1_Import_Export!$E207))+J$82*(GREET1_Import_Export!$D321+GREET1_Import_Export!$E321)+J$83*0.5*GREET1_Import_Export!$B550+J$84*GREET1_Import_Export!$C519+J$85*GREET1_Import_Export!$B$41*(GREET1_Import_Export!$I$200*GREET1_Import_Export!$B207+GREET1_Import_Export!$I207)/1000000+J$86*Steel!$B135+J$87*Steel!$I135</f>
        <v>3.1301721650814886E-2</v>
      </c>
      <c r="K116" s="391">
        <f t="shared" si="15"/>
        <v>0</v>
      </c>
      <c r="L116" s="349">
        <f ca="1">L$76*(L$66*(GREET1_Import_Export!$K78)+GREET1_Import_Export!$F$200*GREET1_Import_Export!$B207+GREET1_Import_Export!$F207)+L$77*(L$66*(GREET1_Import_Export!$O78)+GREET1_Import_Export!$G$200*GREET1_Import_Export!$B207+GREET1_Import_Export!$G207)+L$78*(L$66*(GREET1_Import_Export!$T78)+GREET1_Import_Export!$C$200*GREET1_Import_Export!$B207+GREET1_Import_Export!$C207)+L$79*(L$66*(GREET1_Import_Export!$B78)+GREET1_Import_Export!$B243)+L$80*(L$66*(GREET1_Import_Export!$AA78)+GREET1_Import_Export!$C296)+L$81*(L$66*(GREET1_Import_Export!$X78)+GREET1_Import_Export!$B$10*(GREET1_Import_Export!$F$215*GREET1_Import_Export!$B243+GREET1_Import_Export!$F243)+GREET1_Import_Export!$C$10*(GREET1_Import_Export!$E$200*GREET1_Import_Export!$B207+GREET1_Import_Export!$E207))+L$82*(GREET1_Import_Export!$D321+GREET1_Import_Export!$E321)+L$83*0.5*GREET1_Import_Export!$B550+L$84*GREET1_Import_Export!$C519+L$86*Steel!$B135+L$87*Steel!$I135</f>
        <v>4.1495981680035696E-2</v>
      </c>
      <c r="M116" s="389">
        <f t="shared" si="16"/>
        <v>0</v>
      </c>
      <c r="N116" s="347">
        <f ca="1">N$76*(N$66*(GREET1_Import_Export!$K78)+GREET1_Import_Export!$F$200*GREET1_Import_Export!$B207+GREET1_Import_Export!$F207)+N$77*(N$66*(GREET1_Import_Export!$O78)+GREET1_Import_Export!$G$200*GREET1_Import_Export!$B207+GREET1_Import_Export!$G207)+N$78*(N$66*(GREET1_Import_Export!$T78)+GREET1_Import_Export!$C$200*GREET1_Import_Export!$B207+GREET1_Import_Export!$C207)+N$79*(N$66*(GREET1_Import_Export!$B78)+GREET1_Import_Export!$B243)+N$80*(N$66*(GREET1_Import_Export!$AA78)+GREET1_Import_Export!$C296)+N$81*(N$66*(GREET1_Import_Export!$X78)+GREET1_Import_Export!$B$10*(GREET1_Import_Export!$F$215*GREET1_Import_Export!$B243+GREET1_Import_Export!$F243)+GREET1_Import_Export!$C$10*(GREET1_Import_Export!$E$200*GREET1_Import_Export!$B207+GREET1_Import_Export!$E207))+N$82*(GREET1_Import_Export!$D321+GREET1_Import_Export!$E321)+N$83*0.5*GREET1_Import_Export!$B550+N$84*GREET1_Import_Export!$C519+N$85*GREET1_Import_Export!$B$41*(GREET1_Import_Export!$I$200*GREET1_Import_Export!$B207+GREET1_Import_Export!$I207)/1000000+N$86*Steel!$B135+N$87*Steel!$I135+N$88*(SUM($B155:$E155)*$F$122+$F155)</f>
        <v>0.3197987281698913</v>
      </c>
      <c r="O116" s="391">
        <f t="shared" si="17"/>
        <v>0</v>
      </c>
      <c r="P116" s="349">
        <f ca="1">P$76*(P$66*(GREET1_Import_Export!$K78)+GREET1_Import_Export!$F$200*GREET1_Import_Export!$B207+GREET1_Import_Export!$F207)+P$77*(P$66*(GREET1_Import_Export!$O78)+GREET1_Import_Export!$G$200*GREET1_Import_Export!$B207+GREET1_Import_Export!$G207)+P$78*(P$66*(GREET1_Import_Export!$T78)+GREET1_Import_Export!$C$200*GREET1_Import_Export!$B207+GREET1_Import_Export!$C207)+P$79*(P$66*(GREET1_Import_Export!$B78)+GREET1_Import_Export!$B243)+P$80*(P$66*(GREET1_Import_Export!$AA78)+GREET1_Import_Export!$C296)+P$81*(P$66*(GREET1_Import_Export!$X78)+GREET1_Import_Export!$B$10*(GREET1_Import_Export!$F$215*GREET1_Import_Export!$B243+GREET1_Import_Export!$F243)+GREET1_Import_Export!$C$10*(GREET1_Import_Export!$E$200*GREET1_Import_Export!$B207+GREET1_Import_Export!$E207))+P$82*(GREET1_Import_Export!$D321+GREET1_Import_Export!$E321)+P$83*0.5*GREET1_Import_Export!$B550+P$84*GREET1_Import_Export!$C519+P$86*Steel!$B135+P$87*Steel!$I135</f>
        <v>4.7985070275350823E-2</v>
      </c>
      <c r="Q116" s="389">
        <f t="shared" si="18"/>
        <v>0</v>
      </c>
      <c r="R116" s="347">
        <f ca="1">R$76*(R$66*(GREET1_Import_Export!$K78)+GREET1_Import_Export!$F$200*GREET1_Import_Export!$B207+GREET1_Import_Export!$F207)+R$77*(R$66*(GREET1_Import_Export!$O78)+GREET1_Import_Export!$G$200*GREET1_Import_Export!$B207+GREET1_Import_Export!$G207)+R$78*(R$66*(GREET1_Import_Export!$T78)+GREET1_Import_Export!$C$200*GREET1_Import_Export!$B207+GREET1_Import_Export!$C207)+R$79*(R$66*(GREET1_Import_Export!$B78)+GREET1_Import_Export!$B243)+R$80*(R$66*(GREET1_Import_Export!$AA78)+GREET1_Import_Export!$C296)+R$81*(R$66*(GREET1_Import_Export!$X78)+GREET1_Import_Export!$B$10*(GREET1_Import_Export!$F$215*GREET1_Import_Export!$B243+GREET1_Import_Export!$F243)+GREET1_Import_Export!$C$10*(GREET1_Import_Export!$E$200*GREET1_Import_Export!$B207+GREET1_Import_Export!$E207))+R$82*(GREET1_Import_Export!$D321+GREET1_Import_Export!$E321)+R$83*0.5*GREET1_Import_Export!$B550+R$84*GREET1_Import_Export!$C519+R$86*Steel!$B135+R$87*Steel!$I135</f>
        <v>0.13498926861035415</v>
      </c>
      <c r="S116" s="391">
        <f t="shared" si="19"/>
        <v>0</v>
      </c>
      <c r="T116" s="349">
        <f ca="1">T$76*(T$66*(GREET1_Import_Export!$K78)+GREET1_Import_Export!$F$200*GREET1_Import_Export!$B207+GREET1_Import_Export!$F207)+T$77*(T$66*(GREET1_Import_Export!$O78)+GREET1_Import_Export!$G$200*GREET1_Import_Export!$B207+GREET1_Import_Export!$G207)+T$78*(T$66*(GREET1_Import_Export!$T78)+GREET1_Import_Export!$C$200*GREET1_Import_Export!$B207+GREET1_Import_Export!$C207)+T$79*(T$66*(GREET1_Import_Export!$B78)+GREET1_Import_Export!$B243)+T$80*(T$66*(GREET1_Import_Export!$AA78)+GREET1_Import_Export!$C296)+T$81*(T$66*(GREET1_Import_Export!$X78)+GREET1_Import_Export!$B$10*(GREET1_Import_Export!$F$215*GREET1_Import_Export!$B243+GREET1_Import_Export!$F243)+GREET1_Import_Export!$C$10*(GREET1_Import_Export!$E$200*GREET1_Import_Export!$B207+GREET1_Import_Export!$E207))+T$82*(GREET1_Import_Export!$D321+GREET1_Import_Export!$E321)+T$83*0.5*GREET1_Import_Export!$B550+T$84*GREET1_Import_Export!$C519+T$86*Steel!$B135+T$87*Steel!$I135</f>
        <v>9.913064201990783E-2</v>
      </c>
      <c r="U116" s="389">
        <f t="shared" si="20"/>
        <v>0</v>
      </c>
      <c r="V116" s="347">
        <f ca="1">V$76*(V$66*(GREET1_Import_Export!$K78)+GREET1_Import_Export!$F$200*GREET1_Import_Export!$B207+GREET1_Import_Export!$F207)+V$77*(V$66*(GREET1_Import_Export!$O78)+GREET1_Import_Export!$G$200*GREET1_Import_Export!$B207+GREET1_Import_Export!$G207)+V$78*(V$66*(GREET1_Import_Export!$T78)+GREET1_Import_Export!$C$200*GREET1_Import_Export!$B207+GREET1_Import_Export!$C207)+V$79*(V$66*(GREET1_Import_Export!$B78)+GREET1_Import_Export!$B243)+V$80*(V$66*(GREET1_Import_Export!$AA78)+GREET1_Import_Export!$C296)+V$81*(V$66*(GREET1_Import_Export!$X78)+GREET1_Import_Export!$B$10*(GREET1_Import_Export!$F$215*GREET1_Import_Export!$B243+GREET1_Import_Export!$F243)+GREET1_Import_Export!$C$10*(GREET1_Import_Export!$E$200*GREET1_Import_Export!$B207+GREET1_Import_Export!$E207))+V$82*(GREET1_Import_Export!$D321+GREET1_Import_Export!$E321)+V$83*0.5*GREET1_Import_Export!$B550+V$84*GREET1_Import_Export!$C519+V$86*Steel!$B135+V$87*Steel!$I135</f>
        <v>8.54337219213476E-2</v>
      </c>
      <c r="W116" s="391">
        <f t="shared" si="21"/>
        <v>0</v>
      </c>
      <c r="Y116" s="1321"/>
    </row>
    <row r="117" spans="1:25" s="64" customFormat="1">
      <c r="A117" s="539" t="s">
        <v>828</v>
      </c>
      <c r="B117" s="503">
        <f ca="1">B$76*(B$66*(B$53*GREET1_Import_Export!$K79)+GREET1_Import_Export!$F$200*GREET1_Import_Export!$B208+GREET1_Import_Export!$F208)+B$77*(B$66*(B$59*GREET1_Import_Export!$R79+B$60*GREET1_Import_Export!$C153)+GREET1_Import_Export!$H$200*GREET1_Import_Export!$B208+GREET1_Import_Export!$H208)+B$78*(B$66*(B$57*GREET1_Import_Export!$T79+B$58*GREET1_Import_Export!$C139)+GREET1_Import_Export!$C$200*GREET1_Import_Export!$B208+GREET1_Import_Export!$C208)+B$79*(B$66*(B$54*GREET1_Import_Export!$B79+B$55*GREET1_Import_Export!$C125)+GREET1_Import_Export!$B244)+B$80*(B$66*(B$56*GREET1_Import_Export!$AA79)+GREET1_Import_Export!$C297)+B$81*(B$66*(GREET1_Import_Export!$X79)+GREET1_Import_Export!$B$10*(GREET1_Import_Export!$F$215*GREET1_Import_Export!$B244+GREET1_Import_Export!$F244)+GREET1_Import_Export!$C$10*(GREET1_Import_Export!$E$200*GREET1_Import_Export!$B208+GREET1_Import_Export!$E208))+B$82*(GREET1_Import_Export!$D322+GREET1_Import_Export!$E322)+B$83*0.5*GREET1_Import_Export!$B551+B$84*GREET1_Import_Export!$C520+B$86*Steel!$B136+B$87*Steel!$I136</f>
        <v>4.9255394015787074E-2</v>
      </c>
      <c r="C117" s="657">
        <f t="shared" si="11"/>
        <v>0</v>
      </c>
      <c r="D117" s="505">
        <f ca="1">D$76*(D$66*(GREET1_Import_Export!$K79)+GREET1_Import_Export!$F$200*GREET1_Import_Export!$B208+GREET1_Import_Export!$F208)+D$77*(D$66*(GREET1_Import_Export!$O79)+GREET1_Import_Export!$G$200*GREET1_Import_Export!$B208+GREET1_Import_Export!$G208)+D$78*(D$66*(GREET1_Import_Export!$T79)+GREET1_Import_Export!$C$200*GREET1_Import_Export!$B208+GREET1_Import_Export!$C208)+D$79*(D$66*(GREET1_Import_Export!$B79)+GREET1_Import_Export!$B244)+D$80*(D$66*(GREET1_Import_Export!$AA79)+GREET1_Import_Export!$C297)+D$81*(D$66*(GREET1_Import_Export!$X79)+GREET1_Import_Export!$B$10*(GREET1_Import_Export!$F$215*GREET1_Import_Export!$B244+GREET1_Import_Export!$F244)+GREET1_Import_Export!$C$10*(GREET1_Import_Export!$E$200*GREET1_Import_Export!$B208+GREET1_Import_Export!$E208))+D$82*(GREET1_Import_Export!$D322+GREET1_Import_Export!$E322)+D$83*0.5*GREET1_Import_Export!$B551+D$84*GREET1_Import_Export!$C520+D$86*Steel!$B136+D$87*Steel!$I136</f>
        <v>1.3615686704826244</v>
      </c>
      <c r="E117" s="603">
        <f t="shared" si="12"/>
        <v>0</v>
      </c>
      <c r="F117" s="503">
        <f ca="1">F$76*(F$66*(GREET1_Import_Export!$K79)+GREET1_Import_Export!$F$200*GREET1_Import_Export!$B208+GREET1_Import_Export!$F208)+F$77*(F$66*(GREET1_Import_Export!$O79)+GREET1_Import_Export!$G$200*GREET1_Import_Export!$B208+GREET1_Import_Export!$G208)+F$78*(F$66*(GREET1_Import_Export!$T79)+GREET1_Import_Export!$C$200*GREET1_Import_Export!$B208+GREET1_Import_Export!$C208)+F$79*(F$66*(GREET1_Import_Export!$B79)+GREET1_Import_Export!$B244)+F$80*(F$66*(GREET1_Import_Export!$AA79)+GREET1_Import_Export!$C297)+F$81*(F$66*(GREET1_Import_Export!$X79)+GREET1_Import_Export!$B$10*(GREET1_Import_Export!$F$215*GREET1_Import_Export!$B244+GREET1_Import_Export!$F244)+GREET1_Import_Export!$C$10*(GREET1_Import_Export!$E$200*GREET1_Import_Export!$B208+GREET1_Import_Export!$E208))+F$82*(GREET1_Import_Export!$D322+GREET1_Import_Export!$E322)+F$83*0.5*GREET1_Import_Export!$B551+F$84*GREET1_Import_Export!$C520+F$85*GREET1_Import_Export!$B$41*(GREET1_Import_Export!$I$200*GREET1_Import_Export!$B208+GREET1_Import_Export!$I208)/1000000+F$86*Steel!$B136+F$87*Steel!$I136</f>
        <v>0.73053115407021318</v>
      </c>
      <c r="G117" s="657">
        <f t="shared" si="13"/>
        <v>0</v>
      </c>
      <c r="H117" s="505">
        <f ca="1">H$76*(H$66*(GREET1_Import_Export!$K79)+GREET1_Import_Export!$F$200*GREET1_Import_Export!$B208+GREET1_Import_Export!$F208)+H$77*(H$66*(GREET1_Import_Export!$O79)+GREET1_Import_Export!$G$200*GREET1_Import_Export!$B208+GREET1_Import_Export!$G208)+H$78*(H$66*(GREET1_Import_Export!$T79)+GREET1_Import_Export!$C$200*GREET1_Import_Export!$B208+GREET1_Import_Export!$C208)+H$79*(H$66*(GREET1_Import_Export!$B79)+GREET1_Import_Export!$B244)+H$80*(H$66*(GREET1_Import_Export!$AA79)+GREET1_Import_Export!$C297)+H$81*(H$66*(GREET1_Import_Export!$X79)+GREET1_Import_Export!$B$10*(GREET1_Import_Export!$F$215*GREET1_Import_Export!$B244+GREET1_Import_Export!$F244)+GREET1_Import_Export!$C$10*(GREET1_Import_Export!$E$200*GREET1_Import_Export!$B208+GREET1_Import_Export!$E208))+H$82*W.Al!$B50+H$83*0.5*GREET1_Import_Export!$B551+H$84*GREET1_Import_Export!$C520+H$86*Steel!$B136+H$87*Steel!$I136</f>
        <v>6.5799381201329403</v>
      </c>
      <c r="I117" s="603">
        <f t="shared" si="14"/>
        <v>0</v>
      </c>
      <c r="J117" s="503">
        <f ca="1">J$76*(J$66*(GREET1_Import_Export!$K79)+GREET1_Import_Export!$F$200*GREET1_Import_Export!$B208+GREET1_Import_Export!$F208)+J$77*(J$66*(GREET1_Import_Export!$O79)+GREET1_Import_Export!$G$200*GREET1_Import_Export!$B208+GREET1_Import_Export!$G208)+J$78*(J$66*(GREET1_Import_Export!$T79)+GREET1_Import_Export!$C$200*GREET1_Import_Export!$B208+GREET1_Import_Export!$C208)+J$79*(J$66*(GREET1_Import_Export!$B79)+GREET1_Import_Export!$B244)+J$80*(J$66*(GREET1_Import_Export!$AA79)+GREET1_Import_Export!$C297)+J$81*(J$66*(GREET1_Import_Export!$X79)+GREET1_Import_Export!$B$10*(GREET1_Import_Export!$F$215*GREET1_Import_Export!$B244+GREET1_Import_Export!$F244)+GREET1_Import_Export!$C$10*(GREET1_Import_Export!$E$200*GREET1_Import_Export!$B208+GREET1_Import_Export!$E208))+J$82*(GREET1_Import_Export!$D322+GREET1_Import_Export!$E322)+J$83*0.5*GREET1_Import_Export!$B551+J$84*GREET1_Import_Export!$C520+J$85*GREET1_Import_Export!$B$41*(GREET1_Import_Export!$I$200*GREET1_Import_Export!$B208+GREET1_Import_Export!$I208)/1000000+J$86*Steel!$B136+J$87*Steel!$I136</f>
        <v>0.1453957440824275</v>
      </c>
      <c r="K117" s="657">
        <f t="shared" si="15"/>
        <v>0</v>
      </c>
      <c r="L117" s="505">
        <f ca="1">L$76*(L$66*(GREET1_Import_Export!$K79)+GREET1_Import_Export!$F$200*GREET1_Import_Export!$B208+GREET1_Import_Export!$F208)+L$77*(L$66*(GREET1_Import_Export!$O79)+GREET1_Import_Export!$G$200*GREET1_Import_Export!$B208+GREET1_Import_Export!$G208)+L$78*(L$66*(GREET1_Import_Export!$T79)+GREET1_Import_Export!$C$200*GREET1_Import_Export!$B208+GREET1_Import_Export!$C208)+L$79*(L$66*(GREET1_Import_Export!$B79)+GREET1_Import_Export!$B244)+L$80*(L$66*(GREET1_Import_Export!$AA79)+GREET1_Import_Export!$C297)+L$81*(L$66*(GREET1_Import_Export!$X79)+GREET1_Import_Export!$B$10*(GREET1_Import_Export!$F$215*GREET1_Import_Export!$B244+GREET1_Import_Export!$F244)+GREET1_Import_Export!$C$10*(GREET1_Import_Export!$E$200*GREET1_Import_Export!$B208+GREET1_Import_Export!$E208))+L$82*(GREET1_Import_Export!$D322+GREET1_Import_Export!$E322)+L$83*0.5*GREET1_Import_Export!$B551+L$84*GREET1_Import_Export!$C520+L$86*Steel!$B136+L$87*Steel!$I136</f>
        <v>0.22436932598950346</v>
      </c>
      <c r="M117" s="603">
        <f t="shared" si="16"/>
        <v>0</v>
      </c>
      <c r="N117" s="503">
        <f ca="1">N$76*(N$66*(GREET1_Import_Export!$K79)+GREET1_Import_Export!$F$200*GREET1_Import_Export!$B208+GREET1_Import_Export!$F208)+N$77*(N$66*(GREET1_Import_Export!$O79)+GREET1_Import_Export!$G$200*GREET1_Import_Export!$B208+GREET1_Import_Export!$G208)+N$78*(N$66*(GREET1_Import_Export!$T79)+GREET1_Import_Export!$C$200*GREET1_Import_Export!$B208+GREET1_Import_Export!$C208)+N$79*(N$66*(GREET1_Import_Export!$B79)+GREET1_Import_Export!$B244)+N$80*(N$66*(GREET1_Import_Export!$AA79)+GREET1_Import_Export!$C297)+N$81*(N$66*(GREET1_Import_Export!$X79)+GREET1_Import_Export!$B$10*(GREET1_Import_Export!$F$215*GREET1_Import_Export!$B244+GREET1_Import_Export!$F244)+GREET1_Import_Export!$C$10*(GREET1_Import_Export!$E$200*GREET1_Import_Export!$B208+GREET1_Import_Export!$E208))+N$82*(GREET1_Import_Export!$D322+GREET1_Import_Export!$E322)+N$83*0.5*GREET1_Import_Export!$B551+N$84*GREET1_Import_Export!$C520+N$85*GREET1_Import_Export!$B$41*(GREET1_Import_Export!$I$200*GREET1_Import_Export!$B208+GREET1_Import_Export!$I208)/1000000+N$86*Steel!$B136+N$87*Steel!$I136+N$88*(SUM($B156:$E156)*$F$122+$F156)</f>
        <v>0.96299324995109992</v>
      </c>
      <c r="O117" s="657">
        <f t="shared" si="17"/>
        <v>0</v>
      </c>
      <c r="P117" s="505">
        <f ca="1">P$76*(P$66*(GREET1_Import_Export!$K79)+GREET1_Import_Export!$F$200*GREET1_Import_Export!$B208+GREET1_Import_Export!$F208)+P$77*(P$66*(GREET1_Import_Export!$O79)+GREET1_Import_Export!$G$200*GREET1_Import_Export!$B208+GREET1_Import_Export!$G208)+P$78*(P$66*(GREET1_Import_Export!$T79)+GREET1_Import_Export!$C$200*GREET1_Import_Export!$B208+GREET1_Import_Export!$C208)+P$79*(P$66*(GREET1_Import_Export!$B79)+GREET1_Import_Export!$B244)+P$80*(P$66*(GREET1_Import_Export!$AA79)+GREET1_Import_Export!$C297)+P$81*(P$66*(GREET1_Import_Export!$X79)+GREET1_Import_Export!$B$10*(GREET1_Import_Export!$F$215*GREET1_Import_Export!$B244+GREET1_Import_Export!$F244)+GREET1_Import_Export!$C$10*(GREET1_Import_Export!$E$200*GREET1_Import_Export!$B208+GREET1_Import_Export!$E208))+P$82*(GREET1_Import_Export!$D322+GREET1_Import_Export!$E322)+P$83*0.5*GREET1_Import_Export!$B551+P$84*GREET1_Import_Export!$C520+P$86*Steel!$B136+P$87*Steel!$I136</f>
        <v>0.24048702066217956</v>
      </c>
      <c r="Q117" s="603">
        <f t="shared" si="18"/>
        <v>0</v>
      </c>
      <c r="R117" s="503">
        <f ca="1">R$76*(R$66*(GREET1_Import_Export!$K79)+GREET1_Import_Export!$F$200*GREET1_Import_Export!$B208+GREET1_Import_Export!$F208)+R$77*(R$66*(GREET1_Import_Export!$O79)+GREET1_Import_Export!$G$200*GREET1_Import_Export!$B208+GREET1_Import_Export!$G208)+R$78*(R$66*(GREET1_Import_Export!$T79)+GREET1_Import_Export!$C$200*GREET1_Import_Export!$B208+GREET1_Import_Export!$C208)+R$79*(R$66*(GREET1_Import_Export!$B79)+GREET1_Import_Export!$B244)+R$80*(R$66*(GREET1_Import_Export!$AA79)+GREET1_Import_Export!$C297)+R$81*(R$66*(GREET1_Import_Export!$X79)+GREET1_Import_Export!$B$10*(GREET1_Import_Export!$F$215*GREET1_Import_Export!$B244+GREET1_Import_Export!$F244)+GREET1_Import_Export!$C$10*(GREET1_Import_Export!$E$200*GREET1_Import_Export!$B208+GREET1_Import_Export!$E208))+R$82*(GREET1_Import_Export!$D322+GREET1_Import_Export!$E322)+R$83*0.5*GREET1_Import_Export!$B551+R$84*GREET1_Import_Export!$C520+R$86*Steel!$B136+R$87*Steel!$I136</f>
        <v>0.73425613156977809</v>
      </c>
      <c r="S117" s="657">
        <f t="shared" si="19"/>
        <v>0</v>
      </c>
      <c r="T117" s="505">
        <f ca="1">T$76*(T$66*(GREET1_Import_Export!$K79)+GREET1_Import_Export!$F$200*GREET1_Import_Export!$B208+GREET1_Import_Export!$F208)+T$77*(T$66*(GREET1_Import_Export!$O79)+GREET1_Import_Export!$G$200*GREET1_Import_Export!$B208+GREET1_Import_Export!$G208)+T$78*(T$66*(GREET1_Import_Export!$T79)+GREET1_Import_Export!$C$200*GREET1_Import_Export!$B208+GREET1_Import_Export!$C208)+T$79*(T$66*(GREET1_Import_Export!$B79)+GREET1_Import_Export!$B244)+T$80*(T$66*(GREET1_Import_Export!$AA79)+GREET1_Import_Export!$C297)+T$81*(T$66*(GREET1_Import_Export!$X79)+GREET1_Import_Export!$B$10*(GREET1_Import_Export!$F$215*GREET1_Import_Export!$B244+GREET1_Import_Export!$F244)+GREET1_Import_Export!$C$10*(GREET1_Import_Export!$E$200*GREET1_Import_Export!$B208+GREET1_Import_Export!$E208))+T$82*(GREET1_Import_Export!$D322+GREET1_Import_Export!$E322)+T$83*0.5*GREET1_Import_Export!$B551+T$84*GREET1_Import_Export!$C520+T$86*Steel!$B136+T$87*Steel!$I136</f>
        <v>0.5501372295971344</v>
      </c>
      <c r="U117" s="603">
        <f t="shared" si="20"/>
        <v>0</v>
      </c>
      <c r="V117" s="503">
        <f ca="1">V$76*(V$66*(GREET1_Import_Export!$K79)+GREET1_Import_Export!$F$200*GREET1_Import_Export!$B208+GREET1_Import_Export!$F208)+V$77*(V$66*(GREET1_Import_Export!$O79)+GREET1_Import_Export!$G$200*GREET1_Import_Export!$B208+GREET1_Import_Export!$G208)+V$78*(V$66*(GREET1_Import_Export!$T79)+GREET1_Import_Export!$C$200*GREET1_Import_Export!$B208+GREET1_Import_Export!$C208)+V$79*(V$66*(GREET1_Import_Export!$B79)+GREET1_Import_Export!$B244)+V$80*(V$66*(GREET1_Import_Export!$AA79)+GREET1_Import_Export!$C297)+V$81*(V$66*(GREET1_Import_Export!$X79)+GREET1_Import_Export!$B$10*(GREET1_Import_Export!$F$215*GREET1_Import_Export!$B244+GREET1_Import_Export!$F244)+GREET1_Import_Export!$C$10*(GREET1_Import_Export!$E$200*GREET1_Import_Export!$B208+GREET1_Import_Export!$E208))+V$82*(GREET1_Import_Export!$D322+GREET1_Import_Export!$E322)+V$83*0.5*GREET1_Import_Export!$B551+V$84*GREET1_Import_Export!$C520+V$86*Steel!$B136+V$87*Steel!$I136</f>
        <v>0.43173313704014116</v>
      </c>
      <c r="W117" s="657">
        <f t="shared" si="21"/>
        <v>0</v>
      </c>
      <c r="Y117" s="1321"/>
    </row>
    <row r="118" spans="1:25">
      <c r="B118" s="64"/>
      <c r="C118" s="64"/>
      <c r="D118" s="377"/>
      <c r="E118" s="64"/>
      <c r="F118" s="377"/>
      <c r="G118" s="64"/>
      <c r="H118" s="377"/>
      <c r="I118" s="64"/>
      <c r="J118" s="377"/>
      <c r="K118" s="64"/>
      <c r="L118" s="377"/>
      <c r="M118" s="64"/>
      <c r="N118" s="64"/>
      <c r="O118" s="64"/>
      <c r="P118" s="64"/>
      <c r="Q118" s="64"/>
      <c r="R118" s="64"/>
      <c r="S118" s="64"/>
      <c r="T118" s="64"/>
      <c r="U118" s="64"/>
      <c r="V118" s="64"/>
      <c r="W118" s="64"/>
      <c r="X118" s="64"/>
    </row>
    <row r="119" spans="1:25" ht="15">
      <c r="A119" s="75" t="s">
        <v>833</v>
      </c>
      <c r="B119" s="64"/>
      <c r="C119" s="64"/>
      <c r="D119" s="64"/>
      <c r="E119" s="64"/>
      <c r="F119" s="64"/>
      <c r="G119" s="64"/>
      <c r="H119" s="64"/>
      <c r="I119" s="64"/>
      <c r="J119" s="64"/>
      <c r="K119" s="64"/>
      <c r="L119" s="64"/>
      <c r="M119" s="64"/>
      <c r="N119" s="64"/>
      <c r="O119" s="64"/>
      <c r="P119" s="64"/>
      <c r="Q119" s="64"/>
      <c r="R119" s="64"/>
      <c r="S119" s="64"/>
      <c r="T119" s="64"/>
      <c r="U119" s="64"/>
      <c r="V119" s="64"/>
      <c r="W119" s="64"/>
      <c r="X119" s="64"/>
    </row>
    <row r="120" spans="1:25">
      <c r="A120" s="3" t="s">
        <v>907</v>
      </c>
      <c r="T120" s="92"/>
    </row>
    <row r="121" spans="1:25" ht="39.75" customHeight="1">
      <c r="A121" s="1424"/>
      <c r="B121" s="1655" t="str">
        <f>W.Al!B9</f>
        <v>Bauxite Mining</v>
      </c>
      <c r="C121" s="1655" t="str">
        <f>W.Al!C9</f>
        <v>Bauxite Refining</v>
      </c>
      <c r="D121" s="1655" t="str">
        <f>W.Al!D9</f>
        <v>Anode Production</v>
      </c>
      <c r="E121" s="1655" t="str">
        <f>W.Al!E9</f>
        <v>Alumina Reduction</v>
      </c>
      <c r="F121" s="1655" t="str">
        <f>W.Al!F9</f>
        <v>Primary Ingot Casting</v>
      </c>
      <c r="G121" s="1656" t="str">
        <f>W.Al!I9</f>
        <v>Hot Rolling</v>
      </c>
      <c r="H121" s="1657" t="str">
        <f>W.Al!J9</f>
        <v>Cold Rolling</v>
      </c>
      <c r="I121" s="1655" t="str">
        <f>W.Al!K9</f>
        <v>Stamping</v>
      </c>
      <c r="J121" s="1655" t="str">
        <f>W.Al!L9</f>
        <v>Extrusion</v>
      </c>
      <c r="K121" s="2980" t="s">
        <v>908</v>
      </c>
      <c r="L121" s="3057"/>
      <c r="M121" s="3013" t="s">
        <v>909</v>
      </c>
      <c r="N121" s="3056"/>
      <c r="O121" s="2980" t="s">
        <v>910</v>
      </c>
      <c r="P121" s="3057"/>
      <c r="Q121" s="3013" t="s">
        <v>911</v>
      </c>
      <c r="R121" s="3056"/>
      <c r="S121" s="2980" t="s">
        <v>912</v>
      </c>
      <c r="T121" s="3057"/>
      <c r="U121" s="3013" t="s">
        <v>913</v>
      </c>
      <c r="V121" s="3056"/>
      <c r="W121" s="2980" t="s">
        <v>914</v>
      </c>
      <c r="X121" s="3057"/>
    </row>
    <row r="122" spans="1:25" ht="25.5">
      <c r="A122" s="696" t="s">
        <v>915</v>
      </c>
      <c r="B122" s="377">
        <f>W.Al!B10</f>
        <v>1</v>
      </c>
      <c r="C122" s="377">
        <f>W.Al!C10</f>
        <v>1</v>
      </c>
      <c r="D122" s="377">
        <f>W.Al!D10</f>
        <v>1</v>
      </c>
      <c r="E122" s="377">
        <f>W.Al!E10</f>
        <v>1</v>
      </c>
      <c r="F122" s="377">
        <f>W.Al!F10</f>
        <v>1.02</v>
      </c>
      <c r="G122" s="383">
        <f>W.Al!I10</f>
        <v>1.0349999999999999</v>
      </c>
      <c r="H122" s="384">
        <f>W.Al!J10</f>
        <v>0</v>
      </c>
      <c r="I122" s="377">
        <f>W.Al!K10</f>
        <v>1</v>
      </c>
      <c r="J122" s="377">
        <f>W.Al!L10</f>
        <v>0</v>
      </c>
      <c r="K122" s="383"/>
      <c r="L122" s="384"/>
      <c r="M122" s="377"/>
      <c r="N122" s="377"/>
      <c r="O122" s="383"/>
      <c r="P122" s="384"/>
      <c r="Q122" s="377"/>
      <c r="R122" s="377"/>
      <c r="S122" s="383"/>
      <c r="T122" s="384"/>
      <c r="U122" s="377"/>
      <c r="V122" s="377"/>
      <c r="W122" s="383"/>
      <c r="X122" s="384"/>
    </row>
    <row r="123" spans="1:25" ht="25.5">
      <c r="A123" s="696" t="s">
        <v>916</v>
      </c>
      <c r="B123" s="377">
        <f>W.Al!B11</f>
        <v>1</v>
      </c>
      <c r="C123" s="377">
        <f>W.Al!C11</f>
        <v>1</v>
      </c>
      <c r="D123" s="377">
        <f>W.Al!D11</f>
        <v>1</v>
      </c>
      <c r="E123" s="377">
        <f>W.Al!E11</f>
        <v>1</v>
      </c>
      <c r="F123" s="377">
        <f>W.Al!F11</f>
        <v>1.02</v>
      </c>
      <c r="G123" s="383">
        <f>W.Al!I11</f>
        <v>1.0349999999999999</v>
      </c>
      <c r="H123" s="384">
        <f>W.Al!J11</f>
        <v>1</v>
      </c>
      <c r="I123" s="377">
        <f>W.Al!K11</f>
        <v>1</v>
      </c>
      <c r="J123" s="377">
        <f>W.Al!L11</f>
        <v>0</v>
      </c>
      <c r="K123" s="383"/>
      <c r="L123" s="384"/>
      <c r="M123" s="377"/>
      <c r="N123" s="377"/>
      <c r="O123" s="383"/>
      <c r="P123" s="384"/>
      <c r="Q123" s="377"/>
      <c r="R123" s="377"/>
      <c r="S123" s="383"/>
      <c r="T123" s="384"/>
      <c r="U123" s="377"/>
      <c r="V123" s="377"/>
      <c r="W123" s="383"/>
      <c r="X123" s="384"/>
    </row>
    <row r="124" spans="1:25" ht="25.5">
      <c r="A124" s="697" t="s">
        <v>917</v>
      </c>
      <c r="B124" s="386">
        <f>W.Al!B12</f>
        <v>1</v>
      </c>
      <c r="C124" s="386">
        <f>W.Al!C12</f>
        <v>1</v>
      </c>
      <c r="D124" s="386">
        <f>W.Al!D12</f>
        <v>1</v>
      </c>
      <c r="E124" s="386">
        <f>W.Al!E12</f>
        <v>1</v>
      </c>
      <c r="F124" s="386">
        <f>W.Al!F12</f>
        <v>1.02</v>
      </c>
      <c r="G124" s="387">
        <f>W.Al!I12</f>
        <v>0</v>
      </c>
      <c r="H124" s="388">
        <f>W.Al!J12</f>
        <v>0</v>
      </c>
      <c r="I124" s="386">
        <f>W.Al!K12</f>
        <v>0</v>
      </c>
      <c r="J124" s="386">
        <f>W.Al!L12</f>
        <v>1</v>
      </c>
      <c r="K124" s="387"/>
      <c r="L124" s="388"/>
      <c r="M124" s="386"/>
      <c r="N124" s="386"/>
      <c r="O124" s="387"/>
      <c r="P124" s="388"/>
      <c r="Q124" s="386"/>
      <c r="R124" s="386"/>
      <c r="S124" s="387"/>
      <c r="T124" s="388"/>
      <c r="U124" s="377"/>
      <c r="V124" s="377"/>
      <c r="W124" s="383"/>
      <c r="X124" s="384"/>
    </row>
    <row r="125" spans="1:25">
      <c r="A125" s="571" t="s">
        <v>918</v>
      </c>
      <c r="B125" s="377"/>
      <c r="C125" s="377"/>
      <c r="D125" s="377"/>
      <c r="E125" s="377"/>
      <c r="F125" s="377"/>
      <c r="G125" s="383"/>
      <c r="H125" s="384"/>
      <c r="I125" s="377"/>
      <c r="J125" s="377"/>
      <c r="K125" s="698" t="s">
        <v>845</v>
      </c>
      <c r="L125" s="468" t="s">
        <v>846</v>
      </c>
      <c r="M125" s="468" t="s">
        <v>845</v>
      </c>
      <c r="N125" s="414" t="s">
        <v>846</v>
      </c>
      <c r="O125" s="698" t="s">
        <v>845</v>
      </c>
      <c r="P125" s="468" t="s">
        <v>846</v>
      </c>
      <c r="Q125" s="468" t="s">
        <v>845</v>
      </c>
      <c r="R125" s="414" t="s">
        <v>846</v>
      </c>
      <c r="S125" s="698" t="s">
        <v>845</v>
      </c>
      <c r="T125" s="468" t="s">
        <v>846</v>
      </c>
      <c r="U125" s="466" t="s">
        <v>845</v>
      </c>
      <c r="V125" s="465" t="s">
        <v>846</v>
      </c>
      <c r="W125" s="676" t="s">
        <v>845</v>
      </c>
      <c r="X125" s="466" t="s">
        <v>846</v>
      </c>
    </row>
    <row r="126" spans="1:25">
      <c r="A126" s="230" t="s">
        <v>816</v>
      </c>
      <c r="B126" s="349">
        <f ca="1">B89</f>
        <v>0.68454435979339279</v>
      </c>
      <c r="C126" s="349">
        <f ca="1">D89</f>
        <v>24.809133118047917</v>
      </c>
      <c r="D126" s="349">
        <f ca="1">F89</f>
        <v>12.440552255727628</v>
      </c>
      <c r="E126" s="349">
        <f ca="1">H89</f>
        <v>65.817972929625753</v>
      </c>
      <c r="F126" s="349">
        <f ca="1">J89</f>
        <v>1.3094835347968221</v>
      </c>
      <c r="G126" s="347">
        <f ca="1">P89</f>
        <v>4.3339269587282194</v>
      </c>
      <c r="H126" s="348">
        <f ca="1">R89</f>
        <v>4.3908585750147875</v>
      </c>
      <c r="I126" s="349">
        <f ca="1">T89</f>
        <v>1.7439352936944958</v>
      </c>
      <c r="J126" s="349">
        <f ca="1">V89</f>
        <v>7.1977703716665005</v>
      </c>
      <c r="K126" s="173">
        <f ca="1">(SUMPRODUCT($B$122:$E$122,$B126:$E126)*$F$122+$F126)*$G$122+$G126</f>
        <v>115.22044276877756</v>
      </c>
      <c r="L126" s="494">
        <f ca="1">K126/2000</f>
        <v>5.7610221384388781E-2</v>
      </c>
      <c r="M126" s="1">
        <f ca="1">((SUMPRODUCT($B$123:$E$123,$B126:$E126)*$F$123+$F126)*$G$123+$G126)*$H$123+$H126</f>
        <v>119.61130134379235</v>
      </c>
      <c r="N126" s="494">
        <f ca="1">M126/2000</f>
        <v>5.9805650671896173E-2</v>
      </c>
      <c r="O126" s="173">
        <f ca="1">$K126*$I$122+$I126</f>
        <v>116.96437806247205</v>
      </c>
      <c r="P126" s="494">
        <f ca="1">O126/2000</f>
        <v>5.8482189031236025E-2</v>
      </c>
      <c r="Q126" s="348">
        <f t="shared" ref="Q126:Q156" ca="1" si="22">$M126*$I$123+$I126</f>
        <v>121.35523663748684</v>
      </c>
      <c r="R126" s="349">
        <f ca="1">Q126/2000</f>
        <v>6.0677618318743423E-2</v>
      </c>
      <c r="S126" s="173">
        <f ca="1">(SUMPRODUCT($B$124:$E$124,$B126:$E126)*$F$124+$F126)*$J$124+$J126</f>
        <v>114.33450062292192</v>
      </c>
      <c r="T126" s="494">
        <f ca="1">S126/2000</f>
        <v>5.7167250311460964E-2</v>
      </c>
      <c r="U126" s="1">
        <f ca="1">O126*W.Al!$A$6+Q126*W.Al!$B$6+S126*W.Al!$C$6</f>
        <v>115.24719630481536</v>
      </c>
      <c r="V126" s="494">
        <f ca="1">U126/2000</f>
        <v>5.7623598152407682E-2</v>
      </c>
      <c r="W126" s="494">
        <f t="shared" ref="W126:W156" ca="1" si="23">SUM($B126:$C126)/1.9154</f>
        <v>13.309845190477869</v>
      </c>
      <c r="X126" s="348">
        <f ca="1">W126/2000</f>
        <v>6.6549225952389343E-3</v>
      </c>
    </row>
    <row r="127" spans="1:25">
      <c r="A127" s="230" t="s">
        <v>817</v>
      </c>
      <c r="B127" s="349">
        <f ca="1">B90</f>
        <v>0.67496085950170837</v>
      </c>
      <c r="C127" s="349">
        <f ca="1">D90</f>
        <v>24.053439739946107</v>
      </c>
      <c r="D127" s="349">
        <f ca="1">F90</f>
        <v>12.322318118995017</v>
      </c>
      <c r="E127" s="349">
        <f ca="1">H90</f>
        <v>25.672651864922052</v>
      </c>
      <c r="F127" s="349">
        <f ca="1">J90</f>
        <v>1.2200432119038398</v>
      </c>
      <c r="G127" s="347">
        <f ca="1">P90</f>
        <v>4.1829435829130404</v>
      </c>
      <c r="H127" s="348">
        <f ca="1">R90</f>
        <v>3.9111310646929551</v>
      </c>
      <c r="I127" s="349">
        <f ca="1">T90</f>
        <v>1.3812218153682407</v>
      </c>
      <c r="J127" s="349">
        <f ca="1">V90</f>
        <v>6.9255742983505613</v>
      </c>
      <c r="K127" s="494">
        <f t="shared" ref="K127:K156" ca="1" si="24">(SUMPRODUCT($B$122:$E$122,$B127:$E127)*$F$122+$F127)*$G$122+$G127</f>
        <v>71.662750632091829</v>
      </c>
      <c r="L127" s="348">
        <f t="shared" ref="L127:L156" ca="1" si="25">K127/2000</f>
        <v>3.5831375316045917E-2</v>
      </c>
      <c r="M127" s="348">
        <f t="shared" ref="M127:M156" ca="1" si="26">((SUMPRODUCT($B$123:$E$123,$B127:$E127)*$F$123+$F127)*$G$123+$G127)*$H$123+$H127</f>
        <v>75.573881696784781</v>
      </c>
      <c r="N127" s="349">
        <f t="shared" ref="N127:N156" ca="1" si="27">M127/2000</f>
        <v>3.7786940848392389E-2</v>
      </c>
      <c r="O127" s="494">
        <f t="shared" ref="O127:O156" ca="1" si="28">$K127*$I$122+$I127</f>
        <v>73.043972447460064</v>
      </c>
      <c r="P127" s="348">
        <f t="shared" ref="P127:P156" ca="1" si="29">O127/2000</f>
        <v>3.6521986223730034E-2</v>
      </c>
      <c r="Q127" s="348">
        <f t="shared" ca="1" si="22"/>
        <v>76.955103512153016</v>
      </c>
      <c r="R127" s="349">
        <f t="shared" ref="R127:R156" ca="1" si="30">Q127/2000</f>
        <v>3.8477551756076506E-2</v>
      </c>
      <c r="S127" s="494">
        <f t="shared" ref="S127:S156" ca="1" si="31">(SUMPRODUCT($B$124:$E$124,$B127:$E127)*$F$124+$F127)*$J$124+$J127</f>
        <v>72.123455505286586</v>
      </c>
      <c r="T127" s="348">
        <f t="shared" ref="T127:T156" ca="1" si="32">S127/2000</f>
        <v>3.606172775264329E-2</v>
      </c>
      <c r="U127" s="348">
        <f ca="1">O127*W.Al!$A$6+Q127*W.Al!$B$6+S127*W.Al!$C$6</f>
        <v>72.751569746179229</v>
      </c>
      <c r="V127" s="349">
        <f t="shared" ref="V127:V156" ca="1" si="33">U127/2000</f>
        <v>3.6375784873089616E-2</v>
      </c>
      <c r="W127" s="494">
        <f t="shared" ca="1" si="23"/>
        <v>12.91030625427995</v>
      </c>
      <c r="X127" s="348">
        <f t="shared" ref="X127:X156" ca="1" si="34">W127/2000</f>
        <v>6.4551531271399756E-3</v>
      </c>
    </row>
    <row r="128" spans="1:25">
      <c r="A128" s="230" t="s">
        <v>805</v>
      </c>
      <c r="B128" s="349">
        <f ca="1">B91</f>
        <v>1.2501639495719813E-2</v>
      </c>
      <c r="C128" s="349">
        <f ca="1">D91</f>
        <v>2.688092088344701</v>
      </c>
      <c r="D128" s="349">
        <f ca="1">F91</f>
        <v>1.8013330910438319</v>
      </c>
      <c r="E128" s="349">
        <f ca="1">H91</f>
        <v>20.60382071774184</v>
      </c>
      <c r="F128" s="349">
        <f ca="1">J91</f>
        <v>0.11819226494186701</v>
      </c>
      <c r="G128" s="347">
        <f ca="1">P91</f>
        <v>0.20044926327457588</v>
      </c>
      <c r="H128" s="348">
        <f ca="1">R91</f>
        <v>0.63823693967762329</v>
      </c>
      <c r="I128" s="349">
        <f ca="1">T91</f>
        <v>0.47947948035230242</v>
      </c>
      <c r="J128" s="349">
        <f ca="1">V91</f>
        <v>0.37481498435048272</v>
      </c>
      <c r="K128" s="494">
        <f t="shared" ca="1" si="24"/>
        <v>26.826915931905575</v>
      </c>
      <c r="L128" s="348">
        <f t="shared" ca="1" si="25"/>
        <v>1.3413457965952787E-2</v>
      </c>
      <c r="M128" s="348">
        <f t="shared" ca="1" si="26"/>
        <v>27.465152871583197</v>
      </c>
      <c r="N128" s="349">
        <f t="shared" ca="1" si="27"/>
        <v>1.3732576435791599E-2</v>
      </c>
      <c r="O128" s="494">
        <f t="shared" ca="1" si="28"/>
        <v>27.306395412257878</v>
      </c>
      <c r="P128" s="348">
        <f t="shared" ca="1" si="29"/>
        <v>1.3653197706128939E-2</v>
      </c>
      <c r="Q128" s="348">
        <f t="shared" ca="1" si="22"/>
        <v>27.9446323519355</v>
      </c>
      <c r="R128" s="349">
        <f t="shared" ca="1" si="30"/>
        <v>1.3972316175967749E-2</v>
      </c>
      <c r="S128" s="494">
        <f t="shared" ca="1" si="31"/>
        <v>26.100869736650967</v>
      </c>
      <c r="T128" s="348">
        <f t="shared" ca="1" si="32"/>
        <v>1.3050434868325484E-2</v>
      </c>
      <c r="U128" s="348">
        <f ca="1">O128*W.Al!$A$6+Q128*W.Al!$B$6+S128*W.Al!$C$6</f>
        <v>26.340558876637957</v>
      </c>
      <c r="V128" s="349">
        <f t="shared" ca="1" si="33"/>
        <v>1.3170279438318978E-2</v>
      </c>
      <c r="W128" s="494">
        <f t="shared" ca="1" si="23"/>
        <v>1.4099372078105987</v>
      </c>
      <c r="X128" s="348">
        <f t="shared" ca="1" si="34"/>
        <v>7.049686039052994E-4</v>
      </c>
    </row>
    <row r="129" spans="1:24">
      <c r="A129" s="230" t="s">
        <v>804</v>
      </c>
      <c r="B129" s="349">
        <f t="shared" ref="B129:J129" ca="1" si="35">B127-B128-B130</f>
        <v>7.5821119818310967E-2</v>
      </c>
      <c r="C129" s="349">
        <f t="shared" ca="1" si="35"/>
        <v>18.056627488835225</v>
      </c>
      <c r="D129" s="349">
        <f t="shared" ca="1" si="35"/>
        <v>1.7363994191049521</v>
      </c>
      <c r="E129" s="349">
        <f t="shared" ca="1" si="35"/>
        <v>4.7379971354938757</v>
      </c>
      <c r="F129" s="349">
        <f t="shared" ca="1" si="35"/>
        <v>0.9542297146916987</v>
      </c>
      <c r="G129" s="347">
        <f t="shared" ca="1" si="35"/>
        <v>3.9631474966939853</v>
      </c>
      <c r="H129" s="348">
        <f t="shared" ca="1" si="35"/>
        <v>3.2454628785532313</v>
      </c>
      <c r="I129" s="349">
        <f t="shared" ca="1" si="35"/>
        <v>0.88674198715332919</v>
      </c>
      <c r="J129" s="349">
        <f t="shared" ca="1" si="35"/>
        <v>6.5154424120565659</v>
      </c>
      <c r="K129" s="494">
        <f t="shared" ca="1" si="24"/>
        <v>30.928221690245415</v>
      </c>
      <c r="L129" s="348">
        <f t="shared" ca="1" si="25"/>
        <v>1.5464110845122708E-2</v>
      </c>
      <c r="M129" s="348">
        <f t="shared" ca="1" si="26"/>
        <v>34.173684568798649</v>
      </c>
      <c r="N129" s="349">
        <f t="shared" ca="1" si="27"/>
        <v>1.7086842284399325E-2</v>
      </c>
      <c r="O129" s="494">
        <f t="shared" ca="1" si="28"/>
        <v>31.814963677398744</v>
      </c>
      <c r="P129" s="348">
        <f t="shared" ca="1" si="29"/>
        <v>1.5907481838699371E-2</v>
      </c>
      <c r="Q129" s="348">
        <f t="shared" ca="1" si="22"/>
        <v>35.060426555951977</v>
      </c>
      <c r="R129" s="349">
        <f t="shared" ca="1" si="30"/>
        <v>1.7530213277975989E-2</v>
      </c>
      <c r="S129" s="494">
        <f t="shared" ca="1" si="31"/>
        <v>32.568654193265679</v>
      </c>
      <c r="T129" s="348">
        <f t="shared" ca="1" si="32"/>
        <v>1.6284327096632838E-2</v>
      </c>
      <c r="U129" s="348">
        <f ca="1">O129*W.Al!$A$6+Q129*W.Al!$B$6+S129*W.Al!$C$6</f>
        <v>32.892584600414899</v>
      </c>
      <c r="V129" s="349">
        <f t="shared" ca="1" si="33"/>
        <v>1.644629230020745E-2</v>
      </c>
      <c r="W129" s="494">
        <f t="shared" ca="1" si="23"/>
        <v>9.4666641999861838</v>
      </c>
      <c r="X129" s="348">
        <f t="shared" ca="1" si="34"/>
        <v>4.7333320999930917E-3</v>
      </c>
    </row>
    <row r="130" spans="1:24">
      <c r="A130" s="230" t="s">
        <v>818</v>
      </c>
      <c r="B130" s="349">
        <f ca="1">B93</f>
        <v>0.58663810018767759</v>
      </c>
      <c r="C130" s="349">
        <f ca="1">D93</f>
        <v>3.3087201627661815</v>
      </c>
      <c r="D130" s="349">
        <f ca="1">F93</f>
        <v>8.7845856088462337</v>
      </c>
      <c r="E130" s="349">
        <f ca="1">H93</f>
        <v>0.33083401168633675</v>
      </c>
      <c r="F130" s="349">
        <f ca="1">J93</f>
        <v>0.14762123227027418</v>
      </c>
      <c r="G130" s="347">
        <f ca="1">P93</f>
        <v>1.9346822944479494E-2</v>
      </c>
      <c r="H130" s="348">
        <f ca="1">R93</f>
        <v>2.74312464621006E-2</v>
      </c>
      <c r="I130" s="349">
        <f ca="1">T93</f>
        <v>1.5000347862609176E-2</v>
      </c>
      <c r="J130" s="349">
        <f ca="1">V93</f>
        <v>3.5316901943513036E-2</v>
      </c>
      <c r="K130" s="494">
        <f t="shared" ca="1" si="24"/>
        <v>13.907613009940837</v>
      </c>
      <c r="L130" s="348">
        <f t="shared" ca="1" si="25"/>
        <v>6.9538065049704187E-3</v>
      </c>
      <c r="M130" s="348">
        <f t="shared" ca="1" si="26"/>
        <v>13.935044256402938</v>
      </c>
      <c r="N130" s="349">
        <f t="shared" ca="1" si="27"/>
        <v>6.9675221282014688E-3</v>
      </c>
      <c r="O130" s="494">
        <f t="shared" ca="1" si="28"/>
        <v>13.922613357803446</v>
      </c>
      <c r="P130" s="348">
        <f t="shared" ca="1" si="29"/>
        <v>6.9613066789017226E-3</v>
      </c>
      <c r="Q130" s="348">
        <f t="shared" ca="1" si="22"/>
        <v>13.950044604265546</v>
      </c>
      <c r="R130" s="349">
        <f t="shared" ca="1" si="30"/>
        <v>6.9750223021327728E-3</v>
      </c>
      <c r="S130" s="494">
        <f t="shared" ca="1" si="31"/>
        <v>13.453931575369948</v>
      </c>
      <c r="T130" s="348">
        <f t="shared" ca="1" si="32"/>
        <v>6.7269657876849742E-3</v>
      </c>
      <c r="U130" s="348">
        <f ca="1">O130*W.Al!$A$6+Q130*W.Al!$B$6+S130*W.Al!$C$6</f>
        <v>13.518426269126376</v>
      </c>
      <c r="V130" s="349">
        <f t="shared" ca="1" si="33"/>
        <v>6.7592131345631879E-3</v>
      </c>
      <c r="W130" s="494">
        <f t="shared" ca="1" si="23"/>
        <v>2.0337048464831673</v>
      </c>
      <c r="X130" s="348">
        <f t="shared" ca="1" si="34"/>
        <v>1.0168524232415837E-3</v>
      </c>
    </row>
    <row r="131" spans="1:24">
      <c r="A131" s="230" t="s">
        <v>819</v>
      </c>
      <c r="B131" s="47">
        <f t="shared" ref="B131:B145" ca="1" si="36">SUM(B94:C94)</f>
        <v>1499.5970665113987</v>
      </c>
      <c r="C131" s="47">
        <f ca="1">SUM(D94:E94)</f>
        <v>1514.3954426350808</v>
      </c>
      <c r="D131" s="47">
        <f ca="1">SUM(F94:G94)</f>
        <v>210.28034129895224</v>
      </c>
      <c r="E131" s="47">
        <f ca="1">SUM(H94:I94)</f>
        <v>21940.20472559339</v>
      </c>
      <c r="F131" s="47">
        <f ca="1">SUM(J94:K94)</f>
        <v>82.671350503798152</v>
      </c>
      <c r="G131" s="250">
        <f ca="1">SUM(P94:Q94)</f>
        <v>68.311727948214624</v>
      </c>
      <c r="H131" s="245">
        <f ca="1">SUM(R94:S94)</f>
        <v>194.84998919727531</v>
      </c>
      <c r="I131" s="47">
        <f ca="1">SUM(T94:U94)</f>
        <v>93.45911796857979</v>
      </c>
      <c r="J131" s="47">
        <f ca="1">SUM(V94:W94)</f>
        <v>198.4986669121003</v>
      </c>
      <c r="K131" s="250">
        <f t="shared" ca="1" si="24"/>
        <v>26720.015552743829</v>
      </c>
      <c r="L131" s="79">
        <f t="shared" ca="1" si="25"/>
        <v>13.360007776371914</v>
      </c>
      <c r="M131" s="250">
        <f t="shared" ca="1" si="26"/>
        <v>26914.865541941104</v>
      </c>
      <c r="N131" s="79">
        <f t="shared" ca="1" si="27"/>
        <v>13.457432770970552</v>
      </c>
      <c r="O131" s="252">
        <f t="shared" ca="1" si="28"/>
        <v>26813.47467071241</v>
      </c>
      <c r="P131" s="76">
        <f t="shared" ca="1" si="29"/>
        <v>13.406737335356205</v>
      </c>
      <c r="Q131" s="252">
        <f t="shared" ca="1" si="22"/>
        <v>27008.324659909686</v>
      </c>
      <c r="R131" s="76">
        <f t="shared" ca="1" si="30"/>
        <v>13.504162329954843</v>
      </c>
      <c r="S131" s="252">
        <f t="shared" ca="1" si="31"/>
        <v>25948.937144975498</v>
      </c>
      <c r="T131" s="76">
        <f t="shared" ca="1" si="32"/>
        <v>12.97446857248775</v>
      </c>
      <c r="U131" s="252">
        <f ca="1">O131*W.Al!$A$6+Q131*W.Al!$B$6+S131*W.Al!$C$6</f>
        <v>26086.657521916943</v>
      </c>
      <c r="V131" s="76">
        <f t="shared" ca="1" si="33"/>
        <v>13.043328760958472</v>
      </c>
      <c r="W131" s="252">
        <f t="shared" ca="1" si="23"/>
        <v>1573.5577472833243</v>
      </c>
      <c r="X131" s="76">
        <f t="shared" ca="1" si="34"/>
        <v>0.7867788736416621</v>
      </c>
    </row>
    <row r="132" spans="1:24">
      <c r="A132" s="238" t="s">
        <v>919</v>
      </c>
      <c r="B132" s="512"/>
      <c r="C132" s="512"/>
      <c r="D132" s="512"/>
      <c r="E132" s="512"/>
      <c r="F132" s="512"/>
      <c r="G132" s="510"/>
      <c r="H132" s="509"/>
      <c r="I132" s="512"/>
      <c r="J132" s="512"/>
      <c r="K132" s="679" t="s">
        <v>845</v>
      </c>
      <c r="L132" s="673" t="s">
        <v>846</v>
      </c>
      <c r="M132" s="673" t="s">
        <v>845</v>
      </c>
      <c r="N132" s="615" t="s">
        <v>846</v>
      </c>
      <c r="O132" s="679" t="s">
        <v>845</v>
      </c>
      <c r="P132" s="673" t="s">
        <v>846</v>
      </c>
      <c r="Q132" s="673" t="s">
        <v>845</v>
      </c>
      <c r="R132" s="615" t="s">
        <v>846</v>
      </c>
      <c r="S132" s="679" t="s">
        <v>845</v>
      </c>
      <c r="T132" s="673" t="s">
        <v>846</v>
      </c>
      <c r="U132" s="673" t="s">
        <v>845</v>
      </c>
      <c r="V132" s="615" t="s">
        <v>846</v>
      </c>
      <c r="W132" s="679" t="s">
        <v>845</v>
      </c>
      <c r="X132" s="673" t="s">
        <v>846</v>
      </c>
    </row>
    <row r="133" spans="1:24">
      <c r="A133" s="230" t="s">
        <v>821</v>
      </c>
      <c r="B133" s="349">
        <f t="shared" ca="1" si="36"/>
        <v>14.103941572634085</v>
      </c>
      <c r="C133" s="349">
        <f t="shared" ref="C133:C145" ca="1" si="37">SUM(D96:E96)</f>
        <v>249.89396671133065</v>
      </c>
      <c r="D133" s="349">
        <f t="shared" ref="D133:D145" ca="1" si="38">SUM(F96:G96)</f>
        <v>213.88161220850009</v>
      </c>
      <c r="E133" s="349">
        <f t="shared" ref="E133:E145" ca="1" si="39">SUM(H96:I96)</f>
        <v>238.60533652962718</v>
      </c>
      <c r="F133" s="349">
        <f t="shared" ref="F133:F145" ca="1" si="40">SUM(J96:K96)</f>
        <v>12.407197653502605</v>
      </c>
      <c r="G133" s="347">
        <f t="shared" ref="G133:G145" ca="1" si="41">SUM(P96:Q96)</f>
        <v>303.35837930672125</v>
      </c>
      <c r="H133" s="348">
        <f t="shared" ref="H133:H145" ca="1" si="42">SUM(R96:S96)</f>
        <v>275.92955692329491</v>
      </c>
      <c r="I133" s="349">
        <f t="shared" ref="I133:I145" ca="1" si="43">SUM(T96:U96)</f>
        <v>11.915593522352985</v>
      </c>
      <c r="J133" s="349">
        <f t="shared" ref="J133:J145" ca="1" si="44">SUM(V96:W96)</f>
        <v>322.90525140570458</v>
      </c>
      <c r="K133" s="494">
        <f t="shared" ca="1" si="24"/>
        <v>1072.5928924363191</v>
      </c>
      <c r="L133" s="348">
        <f t="shared" ca="1" si="25"/>
        <v>0.53629644621815953</v>
      </c>
      <c r="M133" s="348">
        <f t="shared" ca="1" si="26"/>
        <v>1348.522449359614</v>
      </c>
      <c r="N133" s="349">
        <f t="shared" ca="1" si="27"/>
        <v>0.67426122467980698</v>
      </c>
      <c r="O133" s="494">
        <f t="shared" ca="1" si="28"/>
        <v>1084.5084859586721</v>
      </c>
      <c r="P133" s="348">
        <f t="shared" ca="1" si="29"/>
        <v>0.542254242979336</v>
      </c>
      <c r="Q133" s="348">
        <f t="shared" ca="1" si="22"/>
        <v>1360.438042881967</v>
      </c>
      <c r="R133" s="349">
        <f t="shared" ca="1" si="30"/>
        <v>0.68021902144098356</v>
      </c>
      <c r="S133" s="494">
        <f t="shared" ca="1" si="31"/>
        <v>1066.1270032217412</v>
      </c>
      <c r="T133" s="348">
        <f t="shared" ca="1" si="32"/>
        <v>0.53306350161087057</v>
      </c>
      <c r="U133" s="348">
        <f ca="1">O133*W.Al!$A$6+Q133*W.Al!$B$6+S133*W.Al!$C$6</f>
        <v>1104.3874383775706</v>
      </c>
      <c r="V133" s="349">
        <f t="shared" ca="1" si="33"/>
        <v>0.55219371918878524</v>
      </c>
      <c r="W133" s="494">
        <f t="shared" ca="1" si="23"/>
        <v>137.82912617936972</v>
      </c>
      <c r="X133" s="348">
        <f t="shared" ca="1" si="34"/>
        <v>6.8914563089684855E-2</v>
      </c>
    </row>
    <row r="134" spans="1:24">
      <c r="A134" s="230" t="s">
        <v>822</v>
      </c>
      <c r="B134" s="349">
        <f t="shared" ca="1" si="36"/>
        <v>40.286761288321777</v>
      </c>
      <c r="C134" s="349">
        <f t="shared" ca="1" si="37"/>
        <v>1057.7496414933585</v>
      </c>
      <c r="D134" s="349">
        <f t="shared" ca="1" si="38"/>
        <v>301.44000598533142</v>
      </c>
      <c r="E134" s="349">
        <f t="shared" ca="1" si="39"/>
        <v>530.89612102870342</v>
      </c>
      <c r="F134" s="349">
        <f t="shared" ca="1" si="40"/>
        <v>63.733452663009182</v>
      </c>
      <c r="G134" s="347">
        <f t="shared" ca="1" si="41"/>
        <v>188.68125018253426</v>
      </c>
      <c r="H134" s="348">
        <f t="shared" ca="1" si="42"/>
        <v>151.05153270125712</v>
      </c>
      <c r="I134" s="349">
        <f t="shared" ca="1" si="43"/>
        <v>32.207721927340408</v>
      </c>
      <c r="J134" s="349">
        <f t="shared" ca="1" si="44"/>
        <v>325.26455811153886</v>
      </c>
      <c r="K134" s="494">
        <f t="shared" ca="1" si="24"/>
        <v>2292.5396533940848</v>
      </c>
      <c r="L134" s="348">
        <f t="shared" ca="1" si="25"/>
        <v>1.1462698266970424</v>
      </c>
      <c r="M134" s="348">
        <f t="shared" ca="1" si="26"/>
        <v>2443.591186095342</v>
      </c>
      <c r="N134" s="349">
        <f t="shared" ca="1" si="27"/>
        <v>1.2217955930476709</v>
      </c>
      <c r="O134" s="494">
        <f t="shared" ca="1" si="28"/>
        <v>2324.7473753214254</v>
      </c>
      <c r="P134" s="348">
        <f t="shared" ca="1" si="29"/>
        <v>1.1623736876607127</v>
      </c>
      <c r="Q134" s="348">
        <f t="shared" ca="1" si="22"/>
        <v>2475.7989080226826</v>
      </c>
      <c r="R134" s="349">
        <f t="shared" ca="1" si="30"/>
        <v>1.2378994540113413</v>
      </c>
      <c r="S134" s="494">
        <f t="shared" ca="1" si="31"/>
        <v>2357.9779911661772</v>
      </c>
      <c r="T134" s="348">
        <f t="shared" ca="1" si="32"/>
        <v>1.1789889955830886</v>
      </c>
      <c r="U134" s="348">
        <f ca="1">O134*W.Al!$A$6+Q134*W.Al!$B$6+S134*W.Al!$C$6</f>
        <v>2373.2947103575225</v>
      </c>
      <c r="V134" s="349">
        <f t="shared" ca="1" si="33"/>
        <v>1.1866473551787613</v>
      </c>
      <c r="W134" s="494">
        <f t="shared" ca="1" si="23"/>
        <v>573.26741295900604</v>
      </c>
      <c r="X134" s="348">
        <f t="shared" ca="1" si="34"/>
        <v>0.28663370647950304</v>
      </c>
    </row>
    <row r="135" spans="1:24">
      <c r="A135" s="230" t="s">
        <v>849</v>
      </c>
      <c r="B135" s="349">
        <f t="shared" ca="1" si="36"/>
        <v>154.87052837337771</v>
      </c>
      <c r="C135" s="349">
        <f t="shared" ca="1" si="37"/>
        <v>1890.2445645973878</v>
      </c>
      <c r="D135" s="349">
        <f t="shared" ca="1" si="38"/>
        <v>479.03756168013871</v>
      </c>
      <c r="E135" s="349">
        <f t="shared" ca="1" si="39"/>
        <v>1763.3500285946627</v>
      </c>
      <c r="F135" s="349">
        <f t="shared" ca="1" si="40"/>
        <v>115.79258817012791</v>
      </c>
      <c r="G135" s="347">
        <f t="shared" ca="1" si="41"/>
        <v>351.26890844458444</v>
      </c>
      <c r="H135" s="348">
        <f t="shared" ca="1" si="42"/>
        <v>225.25936722742239</v>
      </c>
      <c r="I135" s="349">
        <f t="shared" ca="1" si="43"/>
        <v>66.349908848759256</v>
      </c>
      <c r="J135" s="349">
        <f t="shared" ca="1" si="44"/>
        <v>439.00218483338102</v>
      </c>
      <c r="K135" s="494">
        <f t="shared" ca="1" si="24"/>
        <v>4997.4308199030111</v>
      </c>
      <c r="L135" s="348">
        <f t="shared" ca="1" si="25"/>
        <v>2.4987154099515054</v>
      </c>
      <c r="M135" s="348">
        <f t="shared" ca="1" si="26"/>
        <v>5222.6901871304335</v>
      </c>
      <c r="N135" s="349">
        <f t="shared" ca="1" si="27"/>
        <v>2.6113450935652169</v>
      </c>
      <c r="O135" s="494">
        <f t="shared" ca="1" si="28"/>
        <v>5063.7807287517708</v>
      </c>
      <c r="P135" s="348">
        <f t="shared" ca="1" si="29"/>
        <v>2.5318903643758852</v>
      </c>
      <c r="Q135" s="348">
        <f t="shared" ca="1" si="22"/>
        <v>5289.0400959791932</v>
      </c>
      <c r="R135" s="349">
        <f t="shared" ca="1" si="30"/>
        <v>2.6445200479895967</v>
      </c>
      <c r="S135" s="494">
        <f t="shared" ca="1" si="31"/>
        <v>4928.0475099139867</v>
      </c>
      <c r="T135" s="348">
        <f t="shared" ca="1" si="32"/>
        <v>2.4640237549569934</v>
      </c>
      <c r="U135" s="348">
        <f ca="1">O135*W.Al!$A$6+Q135*W.Al!$B$6+S135*W.Al!$C$6</f>
        <v>4974.9765461024635</v>
      </c>
      <c r="V135" s="349">
        <f t="shared" ca="1" si="33"/>
        <v>2.4874882730512318</v>
      </c>
      <c r="W135" s="494">
        <f t="shared" ca="1" si="23"/>
        <v>1067.7221953486298</v>
      </c>
      <c r="X135" s="348">
        <f t="shared" ca="1" si="34"/>
        <v>0.53386109767431489</v>
      </c>
    </row>
    <row r="136" spans="1:24">
      <c r="A136" s="230" t="s">
        <v>824</v>
      </c>
      <c r="B136" s="349">
        <f t="shared" ca="1" si="36"/>
        <v>862.64378252570623</v>
      </c>
      <c r="C136" s="349">
        <f t="shared" ca="1" si="37"/>
        <v>988.29991777836824</v>
      </c>
      <c r="D136" s="349">
        <f t="shared" ca="1" si="38"/>
        <v>179.68812145302968</v>
      </c>
      <c r="E136" s="349">
        <f t="shared" ca="1" si="39"/>
        <v>2119.9496333259854</v>
      </c>
      <c r="F136" s="349">
        <f t="shared" ca="1" si="40"/>
        <v>36.630653401519154</v>
      </c>
      <c r="G136" s="347">
        <f t="shared" ca="1" si="41"/>
        <v>116.07785606104214</v>
      </c>
      <c r="H136" s="348">
        <f t="shared" ca="1" si="42"/>
        <v>75.243176736136135</v>
      </c>
      <c r="I136" s="349">
        <f t="shared" ca="1" si="43"/>
        <v>10.621045880234171</v>
      </c>
      <c r="J136" s="349">
        <f t="shared" ca="1" si="44"/>
        <v>29.988289602502665</v>
      </c>
      <c r="K136" s="494">
        <f t="shared" ca="1" si="24"/>
        <v>4535.7594244628317</v>
      </c>
      <c r="L136" s="348">
        <f t="shared" ca="1" si="25"/>
        <v>2.2678797122314158</v>
      </c>
      <c r="M136" s="348">
        <f t="shared" ca="1" si="26"/>
        <v>4611.0026011989676</v>
      </c>
      <c r="N136" s="349">
        <f t="shared" ca="1" si="27"/>
        <v>2.305501300599484</v>
      </c>
      <c r="O136" s="494">
        <f t="shared" ca="1" si="28"/>
        <v>4546.380470343066</v>
      </c>
      <c r="P136" s="348">
        <f t="shared" ca="1" si="29"/>
        <v>2.273190235171533</v>
      </c>
      <c r="Q136" s="348">
        <f t="shared" ca="1" si="22"/>
        <v>4621.6236470792019</v>
      </c>
      <c r="R136" s="349">
        <f t="shared" ca="1" si="30"/>
        <v>2.3108118235396011</v>
      </c>
      <c r="S136" s="494">
        <f t="shared" ca="1" si="31"/>
        <v>4300.2120271887734</v>
      </c>
      <c r="T136" s="348">
        <f t="shared" ca="1" si="32"/>
        <v>2.1501060135943866</v>
      </c>
      <c r="U136" s="348">
        <f ca="1">O136*W.Al!$A$6+Q136*W.Al!$B$6+S136*W.Al!$C$6</f>
        <v>4341.9955377745291</v>
      </c>
      <c r="V136" s="349">
        <f t="shared" ca="1" si="33"/>
        <v>2.1709977688872644</v>
      </c>
      <c r="W136" s="494">
        <f t="shared" ca="1" si="23"/>
        <v>966.34838691869811</v>
      </c>
      <c r="X136" s="348">
        <f t="shared" ca="1" si="34"/>
        <v>0.48317419345934903</v>
      </c>
    </row>
    <row r="137" spans="1:24" s="64" customFormat="1">
      <c r="A137" s="230" t="s">
        <v>825</v>
      </c>
      <c r="B137" s="349">
        <f t="shared" ca="1" si="36"/>
        <v>436.95720208202476</v>
      </c>
      <c r="C137" s="349">
        <f t="shared" ca="1" si="37"/>
        <v>496.84586819270083</v>
      </c>
      <c r="D137" s="349">
        <f t="shared" ca="1" si="38"/>
        <v>91.617344310305441</v>
      </c>
      <c r="E137" s="349">
        <f t="shared" ca="1" si="39"/>
        <v>1056.224814545971</v>
      </c>
      <c r="F137" s="349">
        <f t="shared" ca="1" si="40"/>
        <v>19.262088373931491</v>
      </c>
      <c r="G137" s="347">
        <f t="shared" ca="1" si="41"/>
        <v>59.031872148031674</v>
      </c>
      <c r="H137" s="348">
        <f t="shared" ca="1" si="42"/>
        <v>39.350165344221722</v>
      </c>
      <c r="I137" s="349">
        <f t="shared" ca="1" si="43"/>
        <v>6.3754901502345698</v>
      </c>
      <c r="J137" s="349">
        <f t="shared" ca="1" si="44"/>
        <v>25.99954188392671</v>
      </c>
      <c r="K137" s="494">
        <f t="shared" ca="1" si="24"/>
        <v>2276.5610020086492</v>
      </c>
      <c r="L137" s="348">
        <f t="shared" ca="1" si="25"/>
        <v>1.1382805010043247</v>
      </c>
      <c r="M137" s="348">
        <f t="shared" ca="1" si="26"/>
        <v>2315.911167352871</v>
      </c>
      <c r="N137" s="349">
        <f t="shared" ca="1" si="27"/>
        <v>1.1579555836764355</v>
      </c>
      <c r="O137" s="494">
        <f t="shared" ca="1" si="28"/>
        <v>2282.936492158884</v>
      </c>
      <c r="P137" s="348">
        <f t="shared" ca="1" si="29"/>
        <v>1.1414682460794421</v>
      </c>
      <c r="Q137" s="348">
        <f t="shared" ca="1" si="22"/>
        <v>2322.2866575031057</v>
      </c>
      <c r="R137" s="349">
        <f t="shared" ca="1" si="30"/>
        <v>1.1611433287515529</v>
      </c>
      <c r="S137" s="494">
        <f t="shared" ca="1" si="31"/>
        <v>2168.5397639714802</v>
      </c>
      <c r="T137" s="348">
        <f t="shared" ca="1" si="32"/>
        <v>1.0842698819857401</v>
      </c>
      <c r="U137" s="348">
        <f ca="1">O137*W.Al!$A$6+Q137*W.Al!$B$6+S137*W.Al!$C$6</f>
        <v>2188.5268601305916</v>
      </c>
      <c r="V137" s="349">
        <f t="shared" ca="1" si="33"/>
        <v>1.0942634300652958</v>
      </c>
      <c r="W137" s="494">
        <f t="shared" ca="1" si="23"/>
        <v>487.52379151859952</v>
      </c>
      <c r="X137" s="348">
        <f t="shared" ca="1" si="34"/>
        <v>0.24376189575929977</v>
      </c>
    </row>
    <row r="138" spans="1:24" s="64" customFormat="1">
      <c r="A138" s="230" t="s">
        <v>826</v>
      </c>
      <c r="B138" s="349">
        <f t="shared" ca="1" si="36"/>
        <v>28.723131328310583</v>
      </c>
      <c r="C138" s="349">
        <f t="shared" ca="1" si="37"/>
        <v>2442.1757848350039</v>
      </c>
      <c r="D138" s="349">
        <f t="shared" ca="1" si="38"/>
        <v>1219.3734108740944</v>
      </c>
      <c r="E138" s="349">
        <f t="shared" ca="1" si="39"/>
        <v>15897.81811991937</v>
      </c>
      <c r="F138" s="349">
        <f t="shared" ca="1" si="40"/>
        <v>61.528379837811237</v>
      </c>
      <c r="G138" s="347">
        <f t="shared" ca="1" si="41"/>
        <v>66.758524171622909</v>
      </c>
      <c r="H138" s="348">
        <f t="shared" ca="1" si="42"/>
        <v>96.69981346901568</v>
      </c>
      <c r="I138" s="349">
        <f t="shared" ca="1" si="43"/>
        <v>55.709899657095093</v>
      </c>
      <c r="J138" s="349">
        <f t="shared" ca="1" si="44"/>
        <v>115.04689398365548</v>
      </c>
      <c r="K138" s="494">
        <f t="shared" ca="1" si="24"/>
        <v>20809.587482156028</v>
      </c>
      <c r="L138" s="348">
        <f t="shared" ca="1" si="25"/>
        <v>10.404793741078015</v>
      </c>
      <c r="M138" s="348">
        <f t="shared" ca="1" si="26"/>
        <v>20906.287295625043</v>
      </c>
      <c r="N138" s="349">
        <f t="shared" ca="1" si="27"/>
        <v>10.453143647812521</v>
      </c>
      <c r="O138" s="494">
        <f t="shared" ca="1" si="28"/>
        <v>20865.297381813125</v>
      </c>
      <c r="P138" s="348">
        <f t="shared" ca="1" si="29"/>
        <v>10.432648690906563</v>
      </c>
      <c r="Q138" s="348">
        <f t="shared" ca="1" si="22"/>
        <v>20961.99719528214</v>
      </c>
      <c r="R138" s="349">
        <f t="shared" ca="1" si="30"/>
        <v>10.48099859764107</v>
      </c>
      <c r="S138" s="494">
        <f t="shared" ca="1" si="31"/>
        <v>20156.427529717381</v>
      </c>
      <c r="T138" s="348">
        <f t="shared" ca="1" si="32"/>
        <v>10.07821376485869</v>
      </c>
      <c r="U138" s="348">
        <f ca="1">O138*W.Al!$A$6+Q138*W.Al!$B$6+S138*W.Al!$C$6</f>
        <v>20261.151586240801</v>
      </c>
      <c r="V138" s="349">
        <f t="shared" ca="1" si="33"/>
        <v>10.1305757931204</v>
      </c>
      <c r="W138" s="494">
        <f t="shared" ca="1" si="23"/>
        <v>1290.0171850074732</v>
      </c>
      <c r="X138" s="348">
        <f t="shared" ca="1" si="34"/>
        <v>0.64500859250373666</v>
      </c>
    </row>
    <row r="139" spans="1:24" s="64" customFormat="1">
      <c r="A139" s="230" t="s">
        <v>827</v>
      </c>
      <c r="B139" s="349">
        <f t="shared" ca="1" si="36"/>
        <v>2.7292685548287601</v>
      </c>
      <c r="C139" s="349">
        <f t="shared" ca="1" si="37"/>
        <v>14.892837178972826</v>
      </c>
      <c r="D139" s="349">
        <f t="shared" ca="1" si="38"/>
        <v>4.2882765406328112</v>
      </c>
      <c r="E139" s="349">
        <f t="shared" ca="1" si="39"/>
        <v>7.6559930131095699</v>
      </c>
      <c r="F139" s="349">
        <f t="shared" ca="1" si="40"/>
        <v>1.196274660678099</v>
      </c>
      <c r="G139" s="347">
        <f t="shared" ca="1" si="41"/>
        <v>2.3824196747380744</v>
      </c>
      <c r="H139" s="348">
        <f t="shared" ca="1" si="42"/>
        <v>1.7974431755922773</v>
      </c>
      <c r="I139" s="349">
        <f t="shared" ca="1" si="43"/>
        <v>0.38899796164258693</v>
      </c>
      <c r="J139" s="349">
        <f t="shared" ca="1" si="44"/>
        <v>3.9103878545395609</v>
      </c>
      <c r="K139" s="494">
        <f t="shared" ca="1" si="24"/>
        <v>34.833786339600067</v>
      </c>
      <c r="L139" s="348">
        <f t="shared" ca="1" si="25"/>
        <v>1.7416893169800034E-2</v>
      </c>
      <c r="M139" s="348">
        <f t="shared" ca="1" si="26"/>
        <v>36.631229515192345</v>
      </c>
      <c r="N139" s="349">
        <f t="shared" ca="1" si="27"/>
        <v>1.8315614757596174E-2</v>
      </c>
      <c r="O139" s="494">
        <f t="shared" ca="1" si="28"/>
        <v>35.222784301242655</v>
      </c>
      <c r="P139" s="348">
        <f t="shared" ca="1" si="29"/>
        <v>1.7611392150621328E-2</v>
      </c>
      <c r="Q139" s="348">
        <f t="shared" ca="1" si="22"/>
        <v>37.020227476834933</v>
      </c>
      <c r="R139" s="349">
        <f t="shared" ca="1" si="30"/>
        <v>1.8510113738417468E-2</v>
      </c>
      <c r="S139" s="494">
        <f t="shared" ca="1" si="31"/>
        <v>35.26436530851251</v>
      </c>
      <c r="T139" s="348">
        <f t="shared" ca="1" si="32"/>
        <v>1.7632182654256253E-2</v>
      </c>
      <c r="U139" s="348">
        <f ca="1">O139*W.Al!$A$6+Q139*W.Al!$B$6+S139*W.Al!$C$6</f>
        <v>35.492627390394425</v>
      </c>
      <c r="V139" s="349">
        <f t="shared" ca="1" si="33"/>
        <v>1.7746313695197212E-2</v>
      </c>
      <c r="W139" s="494">
        <f t="shared" ca="1" si="23"/>
        <v>9.200222268874171</v>
      </c>
      <c r="X139" s="348">
        <f t="shared" ca="1" si="34"/>
        <v>4.6001111344370852E-3</v>
      </c>
    </row>
    <row r="140" spans="1:24" s="64" customFormat="1">
      <c r="A140" s="230" t="s">
        <v>828</v>
      </c>
      <c r="B140" s="349">
        <f t="shared" ca="1" si="36"/>
        <v>1.0165803940101168</v>
      </c>
      <c r="C140" s="349">
        <f t="shared" ca="1" si="37"/>
        <v>32.30659246092479</v>
      </c>
      <c r="D140" s="349">
        <f t="shared" ca="1" si="38"/>
        <v>4.9868867959751206</v>
      </c>
      <c r="E140" s="349">
        <f t="shared" ca="1" si="39"/>
        <v>20.564933592249279</v>
      </c>
      <c r="F140" s="349">
        <f t="shared" ca="1" si="40"/>
        <v>1.7733453161102681</v>
      </c>
      <c r="G140" s="347">
        <f t="shared" ca="1" si="41"/>
        <v>6.1497583020380935</v>
      </c>
      <c r="H140" s="348">
        <f t="shared" ca="1" si="42"/>
        <v>5.5556985420685372</v>
      </c>
      <c r="I140" s="349">
        <f t="shared" ca="1" si="43"/>
        <v>1.8515360548206214</v>
      </c>
      <c r="J140" s="349">
        <f t="shared" ca="1" si="44"/>
        <v>10.15131368496171</v>
      </c>
      <c r="K140" s="494">
        <f t="shared" ca="1" si="24"/>
        <v>70.139501071015488</v>
      </c>
      <c r="L140" s="348">
        <f t="shared" ca="1" si="25"/>
        <v>3.5069750535507746E-2</v>
      </c>
      <c r="M140" s="348">
        <f t="shared" ca="1" si="26"/>
        <v>75.695199613084029</v>
      </c>
      <c r="N140" s="349">
        <f t="shared" ca="1" si="27"/>
        <v>3.7847599806542016E-2</v>
      </c>
      <c r="O140" s="494">
        <f t="shared" ca="1" si="28"/>
        <v>71.991037125836115</v>
      </c>
      <c r="P140" s="348">
        <f t="shared" ca="1" si="29"/>
        <v>3.5995518562918057E-2</v>
      </c>
      <c r="Q140" s="348">
        <f t="shared" ca="1" si="22"/>
        <v>77.546735667904656</v>
      </c>
      <c r="R140" s="349">
        <f t="shared" ca="1" si="30"/>
        <v>3.8773367833952327E-2</v>
      </c>
      <c r="S140" s="494">
        <f t="shared" ca="1" si="31"/>
        <v>71.977152109094476</v>
      </c>
      <c r="T140" s="348">
        <f t="shared" ca="1" si="32"/>
        <v>3.5988576054547236E-2</v>
      </c>
      <c r="U140" s="348">
        <f ca="1">O140*W.Al!$A$6+Q140*W.Al!$B$6+S140*W.Al!$C$6</f>
        <v>72.701197971739802</v>
      </c>
      <c r="V140" s="349">
        <f t="shared" ca="1" si="33"/>
        <v>3.6350598985869904E-2</v>
      </c>
      <c r="W140" s="494">
        <f t="shared" ca="1" si="23"/>
        <v>17.397500707390055</v>
      </c>
      <c r="X140" s="348">
        <f t="shared" ca="1" si="34"/>
        <v>8.698750353695028E-3</v>
      </c>
    </row>
    <row r="141" spans="1:24" s="64" customFormat="1">
      <c r="A141" s="230" t="s">
        <v>829</v>
      </c>
      <c r="B141" s="349">
        <f t="shared" ca="1" si="36"/>
        <v>65.310300802730978</v>
      </c>
      <c r="C141" s="349">
        <f t="shared" ca="1" si="37"/>
        <v>4205.6430350012424</v>
      </c>
      <c r="D141" s="349">
        <f t="shared" ca="1" si="38"/>
        <v>1286.2277403302521</v>
      </c>
      <c r="E141" s="349">
        <f t="shared" ca="1" si="39"/>
        <v>4160.6038295132767</v>
      </c>
      <c r="F141" s="349">
        <f t="shared" ca="1" si="40"/>
        <v>214.24438627790502</v>
      </c>
      <c r="G141" s="347">
        <f t="shared" ca="1" si="41"/>
        <v>807.00951227598023</v>
      </c>
      <c r="H141" s="348">
        <f t="shared" ca="1" si="42"/>
        <v>716.43683549366233</v>
      </c>
      <c r="I141" s="349">
        <f t="shared" ca="1" si="43"/>
        <v>230.36876588616292</v>
      </c>
      <c r="J141" s="349">
        <f t="shared" ca="1" si="44"/>
        <v>1332.7532109670594</v>
      </c>
      <c r="K141" s="494">
        <f t="shared" ca="1" si="24"/>
        <v>11287.817976965678</v>
      </c>
      <c r="L141" s="348">
        <f t="shared" ca="1" si="25"/>
        <v>5.6439089884828393</v>
      </c>
      <c r="M141" s="348">
        <f t="shared" ca="1" si="26"/>
        <v>12004.254812459341</v>
      </c>
      <c r="N141" s="349">
        <f t="shared" ca="1" si="27"/>
        <v>6.002127406229671</v>
      </c>
      <c r="O141" s="494">
        <f t="shared" ca="1" si="28"/>
        <v>11518.186742851842</v>
      </c>
      <c r="P141" s="348">
        <f t="shared" ca="1" si="29"/>
        <v>5.7590933714259211</v>
      </c>
      <c r="Q141" s="348">
        <f t="shared" ca="1" si="22"/>
        <v>12234.623578345505</v>
      </c>
      <c r="R141" s="349">
        <f t="shared" ca="1" si="30"/>
        <v>6.1173117891727529</v>
      </c>
      <c r="S141" s="494">
        <f t="shared" ca="1" si="31"/>
        <v>11459.138201005417</v>
      </c>
      <c r="T141" s="348">
        <f t="shared" ca="1" si="32"/>
        <v>5.7295691005027081</v>
      </c>
      <c r="U141" s="348">
        <f ca="1">O141*W.Al!$A$6+Q141*W.Al!$B$6+S141*W.Al!$C$6</f>
        <v>11559.951300059627</v>
      </c>
      <c r="V141" s="349">
        <f t="shared" ca="1" si="33"/>
        <v>5.7799756500298134</v>
      </c>
      <c r="W141" s="494">
        <f t="shared" ca="1" si="23"/>
        <v>2229.7970845797086</v>
      </c>
      <c r="X141" s="348">
        <f t="shared" ca="1" si="34"/>
        <v>1.1148985422898543</v>
      </c>
    </row>
    <row r="142" spans="1:24" s="64" customFormat="1">
      <c r="A142" s="230" t="s">
        <v>830</v>
      </c>
      <c r="B142" s="349">
        <f t="shared" ca="1" si="36"/>
        <v>1.2186223510411494</v>
      </c>
      <c r="C142" s="349">
        <f t="shared" ca="1" si="37"/>
        <v>42.514731700825408</v>
      </c>
      <c r="D142" s="349">
        <f t="shared" ca="1" si="38"/>
        <v>4.6809048711268755</v>
      </c>
      <c r="E142" s="349">
        <f t="shared" ca="1" si="39"/>
        <v>52.472600720827259</v>
      </c>
      <c r="F142" s="349">
        <f t="shared" ca="1" si="40"/>
        <v>2.1784378448726276</v>
      </c>
      <c r="G142" s="347">
        <f t="shared" ca="1" si="41"/>
        <v>7.9665979975946799</v>
      </c>
      <c r="H142" s="348">
        <f t="shared" ca="1" si="42"/>
        <v>7.8558160202617886</v>
      </c>
      <c r="I142" s="349">
        <f t="shared" ca="1" si="43"/>
        <v>2.090091004206593</v>
      </c>
      <c r="J142" s="349">
        <f t="shared" ca="1" si="44"/>
        <v>13.121892439167178</v>
      </c>
      <c r="K142" s="494">
        <f t="shared" ca="1" si="24"/>
        <v>116.72753889301933</v>
      </c>
      <c r="L142" s="348">
        <f t="shared" ca="1" si="25"/>
        <v>5.8363769446509665E-2</v>
      </c>
      <c r="M142" s="348">
        <f t="shared" ca="1" si="26"/>
        <v>124.58335491328111</v>
      </c>
      <c r="N142" s="349">
        <f t="shared" ca="1" si="27"/>
        <v>6.2291677456640555E-2</v>
      </c>
      <c r="O142" s="494">
        <f t="shared" ca="1" si="28"/>
        <v>118.81762989722593</v>
      </c>
      <c r="P142" s="348">
        <f t="shared" ca="1" si="29"/>
        <v>5.9408814948612963E-2</v>
      </c>
      <c r="Q142" s="348">
        <f t="shared" ca="1" si="22"/>
        <v>126.67344591748771</v>
      </c>
      <c r="R142" s="349">
        <f t="shared" ca="1" si="30"/>
        <v>6.333672295874386E-2</v>
      </c>
      <c r="S142" s="494">
        <f t="shared" ca="1" si="31"/>
        <v>118.20492712073691</v>
      </c>
      <c r="T142" s="348">
        <f t="shared" ca="1" si="32"/>
        <v>5.9102463560368454E-2</v>
      </c>
      <c r="U142" s="348">
        <f ca="1">O142*W.Al!$A$6+Q142*W.Al!$B$6+S142*W.Al!$C$6</f>
        <v>119.30583456431452</v>
      </c>
      <c r="V142" s="349">
        <f t="shared" ca="1" si="33"/>
        <v>5.9652917282157263E-2</v>
      </c>
      <c r="W142" s="494">
        <f t="shared" ca="1" si="23"/>
        <v>22.832491412690068</v>
      </c>
      <c r="X142" s="348">
        <f t="shared" ca="1" si="34"/>
        <v>1.1416245706345035E-2</v>
      </c>
    </row>
    <row r="143" spans="1:24" s="64" customFormat="1">
      <c r="A143" s="230" t="s">
        <v>905</v>
      </c>
      <c r="B143" s="349">
        <f t="shared" si="36"/>
        <v>0</v>
      </c>
      <c r="C143" s="389">
        <f t="shared" si="37"/>
        <v>0</v>
      </c>
      <c r="D143" s="389">
        <f t="shared" si="38"/>
        <v>0</v>
      </c>
      <c r="E143" s="389">
        <f t="shared" si="39"/>
        <v>69.763679999999994</v>
      </c>
      <c r="F143" s="389">
        <f t="shared" si="40"/>
        <v>0</v>
      </c>
      <c r="G143" s="390">
        <f t="shared" si="41"/>
        <v>0</v>
      </c>
      <c r="H143" s="391">
        <f t="shared" si="42"/>
        <v>0</v>
      </c>
      <c r="I143" s="389">
        <f t="shared" si="43"/>
        <v>0</v>
      </c>
      <c r="J143" s="389">
        <f t="shared" si="44"/>
        <v>0</v>
      </c>
      <c r="K143" s="494">
        <f t="shared" si="24"/>
        <v>73.649516975999987</v>
      </c>
      <c r="L143" s="391">
        <f t="shared" si="25"/>
        <v>3.6824758487999994E-2</v>
      </c>
      <c r="M143" s="348">
        <f t="shared" si="26"/>
        <v>73.649516975999987</v>
      </c>
      <c r="N143" s="389">
        <f t="shared" si="27"/>
        <v>3.6824758487999994E-2</v>
      </c>
      <c r="O143" s="494">
        <f t="shared" si="28"/>
        <v>73.649516975999987</v>
      </c>
      <c r="P143" s="391">
        <f t="shared" si="29"/>
        <v>3.6824758487999994E-2</v>
      </c>
      <c r="Q143" s="348">
        <f t="shared" si="22"/>
        <v>73.649516975999987</v>
      </c>
      <c r="R143" s="389">
        <f t="shared" si="30"/>
        <v>3.6824758487999994E-2</v>
      </c>
      <c r="S143" s="494">
        <f t="shared" si="31"/>
        <v>71.15895359999999</v>
      </c>
      <c r="T143" s="348">
        <f t="shared" si="32"/>
        <v>3.5579476799999996E-2</v>
      </c>
      <c r="U143" s="348">
        <f>O143*W.Al!$A$6+Q143*W.Al!$B$6+S143*W.Al!$C$6</f>
        <v>71.482726838879984</v>
      </c>
      <c r="V143" s="349">
        <f t="shared" si="33"/>
        <v>3.5741363419439995E-2</v>
      </c>
      <c r="W143" s="494">
        <f t="shared" si="23"/>
        <v>0</v>
      </c>
      <c r="X143" s="348">
        <f t="shared" si="34"/>
        <v>0</v>
      </c>
    </row>
    <row r="144" spans="1:24" s="64" customFormat="1">
      <c r="A144" s="230" t="s">
        <v>906</v>
      </c>
      <c r="B144" s="389">
        <f t="shared" si="36"/>
        <v>0</v>
      </c>
      <c r="C144" s="389">
        <f t="shared" si="37"/>
        <v>0</v>
      </c>
      <c r="D144" s="389">
        <f t="shared" si="38"/>
        <v>0</v>
      </c>
      <c r="E144" s="389">
        <f t="shared" si="39"/>
        <v>9.61632</v>
      </c>
      <c r="F144" s="389">
        <f t="shared" si="40"/>
        <v>0</v>
      </c>
      <c r="G144" s="390">
        <f t="shared" si="41"/>
        <v>0</v>
      </c>
      <c r="H144" s="391">
        <f t="shared" si="42"/>
        <v>0</v>
      </c>
      <c r="I144" s="389">
        <f t="shared" si="43"/>
        <v>0</v>
      </c>
      <c r="J144" s="389">
        <f t="shared" si="44"/>
        <v>0</v>
      </c>
      <c r="K144" s="494">
        <f t="shared" si="24"/>
        <v>10.151949024</v>
      </c>
      <c r="L144" s="391">
        <f t="shared" si="25"/>
        <v>5.0759745120000001E-3</v>
      </c>
      <c r="M144" s="348">
        <f t="shared" si="26"/>
        <v>10.151949024</v>
      </c>
      <c r="N144" s="389">
        <f t="shared" si="27"/>
        <v>5.0759745120000001E-3</v>
      </c>
      <c r="O144" s="494">
        <f t="shared" si="28"/>
        <v>10.151949024</v>
      </c>
      <c r="P144" s="391">
        <f t="shared" si="29"/>
        <v>5.0759745120000001E-3</v>
      </c>
      <c r="Q144" s="348">
        <f t="shared" si="22"/>
        <v>10.151949024</v>
      </c>
      <c r="R144" s="389">
        <f t="shared" si="30"/>
        <v>5.0759745120000001E-3</v>
      </c>
      <c r="S144" s="494">
        <f t="shared" si="31"/>
        <v>9.8086464000000007</v>
      </c>
      <c r="T144" s="348">
        <f t="shared" si="32"/>
        <v>4.9043232000000004E-3</v>
      </c>
      <c r="U144" s="348">
        <f>O144*W.Al!$A$6+Q144*W.Al!$B$6+S144*W.Al!$C$6</f>
        <v>9.8532757411200009</v>
      </c>
      <c r="V144" s="349">
        <f t="shared" si="33"/>
        <v>4.9266378705600002E-3</v>
      </c>
      <c r="W144" s="494">
        <f t="shared" si="23"/>
        <v>0</v>
      </c>
      <c r="X144" s="348">
        <f t="shared" si="34"/>
        <v>0</v>
      </c>
    </row>
    <row r="145" spans="1:24" s="64" customFormat="1">
      <c r="A145" s="230" t="s">
        <v>831</v>
      </c>
      <c r="B145" s="246">
        <f t="shared" ca="1" si="36"/>
        <v>53720.171247678947</v>
      </c>
      <c r="C145" s="246">
        <f t="shared" ca="1" si="37"/>
        <v>1680820.5053000967</v>
      </c>
      <c r="D145" s="246">
        <f t="shared" ca="1" si="38"/>
        <v>267586.0079222162</v>
      </c>
      <c r="E145" s="246">
        <f t="shared" ca="1" si="39"/>
        <v>3745147.0637156432</v>
      </c>
      <c r="F145" s="246">
        <f t="shared" ca="1" si="40"/>
        <v>80818.531301992349</v>
      </c>
      <c r="G145" s="251">
        <f t="shared" ca="1" si="41"/>
        <v>256579.28397573091</v>
      </c>
      <c r="H145" s="247">
        <f t="shared" ca="1" si="42"/>
        <v>258687.97947380762</v>
      </c>
      <c r="I145" s="246">
        <f t="shared" ca="1" si="43"/>
        <v>101789.5866313571</v>
      </c>
      <c r="J145" s="246">
        <f t="shared" ca="1" si="44"/>
        <v>426454.25531456532</v>
      </c>
      <c r="K145" s="630">
        <f t="shared" ca="1" si="24"/>
        <v>6407623.3598328661</v>
      </c>
      <c r="L145" s="247">
        <f t="shared" ca="1" si="25"/>
        <v>3203.8116799164331</v>
      </c>
      <c r="M145" s="516">
        <f t="shared" ca="1" si="26"/>
        <v>6666311.339306674</v>
      </c>
      <c r="N145" s="246">
        <f t="shared" ca="1" si="27"/>
        <v>3333.1556696533371</v>
      </c>
      <c r="O145" s="630">
        <f t="shared" ca="1" si="28"/>
        <v>6509412.9464642229</v>
      </c>
      <c r="P145" s="247">
        <f t="shared" ca="1" si="29"/>
        <v>3254.7064732321114</v>
      </c>
      <c r="Q145" s="516">
        <f t="shared" ca="1" si="22"/>
        <v>6768100.9259380307</v>
      </c>
      <c r="R145" s="246">
        <f t="shared" ca="1" si="30"/>
        <v>3384.0504629690154</v>
      </c>
      <c r="S145" s="630">
        <f t="shared" ca="1" si="31"/>
        <v>6369492.0097659044</v>
      </c>
      <c r="T145" s="247">
        <f t="shared" ca="1" si="32"/>
        <v>3184.7460048829521</v>
      </c>
      <c r="U145" s="516">
        <f ca="1">O145*W.Al!$A$6+Q145*W.Al!$B$6+S145*W.Al!$C$6</f>
        <v>6421311.1688682809</v>
      </c>
      <c r="V145" s="246">
        <f t="shared" ca="1" si="33"/>
        <v>3210.6555844341406</v>
      </c>
      <c r="W145" s="630">
        <f t="shared" ca="1" si="23"/>
        <v>905576.21204332029</v>
      </c>
      <c r="X145" s="247">
        <f t="shared" ca="1" si="34"/>
        <v>452.78810602166016</v>
      </c>
    </row>
    <row r="146" spans="1:24" s="64" customFormat="1">
      <c r="A146" s="230" t="s">
        <v>850</v>
      </c>
      <c r="B146" s="246">
        <f ca="1">B145+B133*GREET1_Import_Export!$B$62/GREET1_Import_Export!$B$65+B134*GREET1_Import_Export!$B$63/GREET1_Import_Export!$B$65</f>
        <v>53827.436299985784</v>
      </c>
      <c r="C146" s="246">
        <f ca="1">C145+C133*GREET1_Import_Export!$B$62/GREET1_Import_Export!$B$65+C134*GREET1_Import_Export!$B$63/GREET1_Import_Export!$B$65</f>
        <v>1683261.5195044079</v>
      </c>
      <c r="D146" s="246">
        <f ca="1">D145+D133*GREET1_Import_Export!$B$62/GREET1_Import_Export!$B$65+D134*GREET1_Import_Export!$B$63/GREET1_Import_Export!$B$65</f>
        <v>268726.29705157632</v>
      </c>
      <c r="E146" s="246">
        <f ca="1">E145+E133*GREET1_Import_Export!$B$62/GREET1_Import_Export!$B$65+E134*GREET1_Import_Export!$B$63/GREET1_Import_Export!$B$65</f>
        <v>3746724.9823475392</v>
      </c>
      <c r="F146" s="246">
        <f ca="1">F145+F133*GREET1_Import_Export!$B$62/GREET1_Import_Export!$B$65+F134*GREET1_Import_Export!$B$63/GREET1_Import_Export!$B$65</f>
        <v>80957.352969816202</v>
      </c>
      <c r="G146" s="251">
        <f ca="1">G145+G133*GREET1_Import_Export!$B$62/GREET1_Import_Export!$B$65+G134*GREET1_Import_Export!$B$63/GREET1_Import_Export!$B$65</f>
        <v>257821.25003199989</v>
      </c>
      <c r="H146" s="247">
        <f ca="1">H145+H133*GREET1_Import_Export!$B$62/GREET1_Import_Export!$B$65+H134*GREET1_Import_Export!$B$63/GREET1_Import_Export!$B$65</f>
        <v>259785.3266204634</v>
      </c>
      <c r="I146" s="246">
        <f ca="1">I145+I133*GREET1_Import_Export!$B$62/GREET1_Import_Export!$B$65+I134*GREET1_Import_Export!$B$63/GREET1_Import_Export!$B$65</f>
        <v>101877.33569895901</v>
      </c>
      <c r="J146" s="246">
        <f ca="1">J145+J133*GREET1_Import_Export!$B$62/GREET1_Import_Export!$B$65+J134*GREET1_Import_Export!$B$63/GREET1_Import_Export!$B$65</f>
        <v>427971.77336800267</v>
      </c>
      <c r="K146" s="630">
        <f t="shared" ca="1" si="24"/>
        <v>6414568.8366601039</v>
      </c>
      <c r="L146" s="247">
        <f t="shared" ca="1" si="25"/>
        <v>3207.2844183300517</v>
      </c>
      <c r="M146" s="516">
        <f t="shared" ca="1" si="26"/>
        <v>6674354.1632805672</v>
      </c>
      <c r="N146" s="246">
        <f t="shared" ca="1" si="27"/>
        <v>3337.1770816402836</v>
      </c>
      <c r="O146" s="630">
        <f t="shared" ca="1" si="28"/>
        <v>6516446.1723590633</v>
      </c>
      <c r="P146" s="247">
        <f t="shared" ca="1" si="29"/>
        <v>3258.2230861795315</v>
      </c>
      <c r="Q146" s="516">
        <f t="shared" ca="1" si="22"/>
        <v>6776231.4989795266</v>
      </c>
      <c r="R146" s="246">
        <f t="shared" ca="1" si="30"/>
        <v>3388.1157494897634</v>
      </c>
      <c r="S146" s="630">
        <f t="shared" ca="1" si="31"/>
        <v>6376520.1662453981</v>
      </c>
      <c r="T146" s="247">
        <f t="shared" ca="1" si="32"/>
        <v>3188.2600831226991</v>
      </c>
      <c r="U146" s="516">
        <f ca="1">O146*W.Al!$A$6+Q146*W.Al!$B$6+S146*W.Al!$C$6</f>
        <v>6428482.639500835</v>
      </c>
      <c r="V146" s="246">
        <f t="shared" ca="1" si="33"/>
        <v>3214.2413197504175</v>
      </c>
      <c r="W146" s="630">
        <f t="shared" ca="1" si="23"/>
        <v>906906.62827837199</v>
      </c>
      <c r="X146" s="247">
        <f t="shared" ca="1" si="34"/>
        <v>453.45331413918598</v>
      </c>
    </row>
    <row r="147" spans="1:24" s="64" customFormat="1">
      <c r="A147" s="230" t="s">
        <v>851</v>
      </c>
      <c r="B147" s="294">
        <f ca="1">B146+SUMPRODUCT(B141:B142,GREET1_Import_Export!$B$51:$B$52)+SUMPRODUCT(B133:B135,GREET1_Import_Export!$B$55:$B$57)+SUMPRODUCT(B139:B140,GREET1_Import_Export!$B$58:$B$59)+SUMPRODUCT(B143:B144,'GREET2_Factors_T&amp;D'!$B$6:$B$7)</f>
        <v>56109.680247093616</v>
      </c>
      <c r="C147" s="246">
        <f ca="1">C146+SUMPRODUCT(C141:C142,GREET1_Import_Export!$B$51:$B$52)+SUMPRODUCT(C133:C135,GREET1_Import_Export!$B$55:$B$57)+SUMPRODUCT(C139:C140,GREET1_Import_Export!$B$58:$B$59)+SUMPRODUCT(C143:C144,'GREET2_Factors_T&amp;D'!$B$6:$B$7)</f>
        <v>1820697.2144551638</v>
      </c>
      <c r="D147" s="246">
        <f ca="1">D146+SUMPRODUCT(D141:D142,GREET1_Import_Export!$B$51:$B$52)+SUMPRODUCT(D133:D135,GREET1_Import_Export!$B$55:$B$57)+SUMPRODUCT(D139:D140,GREET1_Import_Export!$B$58:$B$59)+SUMPRODUCT(D143:D144,'GREET2_Factors_T&amp;D'!$B$6:$B$7)</f>
        <v>308553.56905233249</v>
      </c>
      <c r="E147" s="246">
        <f ca="1">E146+SUMPRODUCT(E141:E142,GREET1_Import_Export!$B$51:$B$52)+SUMPRODUCT(E133:E135,GREET1_Import_Export!$B$55:$B$57)+SUMPRODUCT(E139:E140,GREET1_Import_Export!$B$58:$B$59)+SUMPRODUCT(E143:E144,'GREET2_Factors_T&amp;D'!$B$6:$B$7)</f>
        <v>4454722.6868239567</v>
      </c>
      <c r="F147" s="246">
        <f ca="1">F146+SUMPRODUCT(F141:F142,GREET1_Import_Export!$B$51:$B$52)+SUMPRODUCT(F133:F135,GREET1_Import_Export!$B$55:$B$57)+SUMPRODUCT(F139:F140,GREET1_Import_Export!$B$58:$B$59)+SUMPRODUCT(F143:F144,'GREET2_Factors_T&amp;D'!$B$6:$B$7)</f>
        <v>87961.970587044605</v>
      </c>
      <c r="G147" s="251">
        <f ca="1">G146+SUMPRODUCT(G141:G142,GREET1_Import_Export!$B$51:$B$52)+SUMPRODUCT(G133:G135,GREET1_Import_Export!$B$55:$B$57)+SUMPRODUCT(G139:G140,GREET1_Import_Export!$B$58:$B$59)+SUMPRODUCT(G143:G144,'GREET2_Factors_T&amp;D'!$B$6:$B$7)</f>
        <v>284142.68386964191</v>
      </c>
      <c r="H147" s="247">
        <f ca="1">H146+SUMPRODUCT(H141:H142,GREET1_Import_Export!$B$51:$B$52)+SUMPRODUCT(H133:H135,GREET1_Import_Export!$B$55:$B$57)+SUMPRODUCT(H139:H140,GREET1_Import_Export!$B$58:$B$59)+SUMPRODUCT(H143:H144,'GREET2_Factors_T&amp;D'!$B$6:$B$7)</f>
        <v>283360.22293064266</v>
      </c>
      <c r="I147" s="246">
        <f ca="1">I146+SUMPRODUCT(I141:I142,GREET1_Import_Export!$B$51:$B$52)+SUMPRODUCT(I133:I135,GREET1_Import_Export!$B$55:$B$57)+SUMPRODUCT(I139:I140,GREET1_Import_Export!$B$58:$B$59)+SUMPRODUCT(I143:I144,'GREET2_Factors_T&amp;D'!$B$6:$B$7)</f>
        <v>109342.27279165864</v>
      </c>
      <c r="J147" s="246">
        <f ca="1">J146+SUMPRODUCT(J141:J142,GREET1_Import_Export!$B$51:$B$52)+SUMPRODUCT(J133:J135,GREET1_Import_Export!$B$55:$B$57)+SUMPRODUCT(J139:J140,GREET1_Import_Export!$B$58:$B$59)+SUMPRODUCT(J143:J144,'GREET2_Factors_T&amp;D'!$B$6:$B$7)</f>
        <v>471431.67119339376</v>
      </c>
      <c r="K147" s="630">
        <f t="shared" ca="1" si="24"/>
        <v>7385119.1054930054</v>
      </c>
      <c r="L147" s="247">
        <f t="shared" ca="1" si="25"/>
        <v>3692.5595527465025</v>
      </c>
      <c r="M147" s="516">
        <f t="shared" ca="1" si="26"/>
        <v>7668479.3284236481</v>
      </c>
      <c r="N147" s="246">
        <f t="shared" ca="1" si="27"/>
        <v>3834.2396642118242</v>
      </c>
      <c r="O147" s="630">
        <f t="shared" ca="1" si="28"/>
        <v>7494461.3782846639</v>
      </c>
      <c r="P147" s="247">
        <f t="shared" ca="1" si="29"/>
        <v>3747.2306891423318</v>
      </c>
      <c r="Q147" s="516">
        <f t="shared" ca="1" si="22"/>
        <v>7777821.6012153067</v>
      </c>
      <c r="R147" s="246">
        <f t="shared" ca="1" si="30"/>
        <v>3888.9108006076535</v>
      </c>
      <c r="S147" s="630">
        <f t="shared" ca="1" si="31"/>
        <v>7332278.4553705566</v>
      </c>
      <c r="T147" s="247">
        <f t="shared" ca="1" si="32"/>
        <v>3666.1392276852785</v>
      </c>
      <c r="U147" s="516">
        <f ca="1">O147*W.Al!$A$6+Q147*W.Al!$B$6+S147*W.Al!$C$6</f>
        <v>7390199.0643303739</v>
      </c>
      <c r="V147" s="246">
        <f t="shared" ca="1" si="33"/>
        <v>3695.0995321651872</v>
      </c>
      <c r="W147" s="630">
        <f t="shared" ca="1" si="23"/>
        <v>979851.15104012599</v>
      </c>
      <c r="X147" s="247">
        <f t="shared" ca="1" si="34"/>
        <v>489.92557552006298</v>
      </c>
    </row>
    <row r="148" spans="1:24" s="64" customFormat="1">
      <c r="A148" s="238" t="s">
        <v>920</v>
      </c>
      <c r="B148" s="392"/>
      <c r="C148" s="392"/>
      <c r="D148" s="392"/>
      <c r="E148" s="392"/>
      <c r="F148" s="392"/>
      <c r="G148" s="393"/>
      <c r="H148" s="394"/>
      <c r="I148" s="392"/>
      <c r="J148" s="392"/>
      <c r="K148" s="676" t="s">
        <v>845</v>
      </c>
      <c r="L148" s="466" t="s">
        <v>846</v>
      </c>
      <c r="M148" s="466" t="s">
        <v>845</v>
      </c>
      <c r="N148" s="465" t="s">
        <v>846</v>
      </c>
      <c r="O148" s="676" t="s">
        <v>845</v>
      </c>
      <c r="P148" s="466" t="s">
        <v>846</v>
      </c>
      <c r="Q148" s="466" t="s">
        <v>845</v>
      </c>
      <c r="R148" s="465" t="s">
        <v>846</v>
      </c>
      <c r="S148" s="676" t="s">
        <v>845</v>
      </c>
      <c r="T148" s="466" t="s">
        <v>846</v>
      </c>
      <c r="U148" s="466" t="s">
        <v>845</v>
      </c>
      <c r="V148" s="465" t="s">
        <v>846</v>
      </c>
      <c r="W148" s="676" t="s">
        <v>845</v>
      </c>
      <c r="X148" s="466" t="s">
        <v>846</v>
      </c>
    </row>
    <row r="149" spans="1:24" s="64" customFormat="1">
      <c r="A149" s="230" t="s">
        <v>821</v>
      </c>
      <c r="B149" s="349">
        <f t="shared" ref="B149:B156" ca="1" si="45">SUM(B110:C110)</f>
        <v>1.4011854970944819</v>
      </c>
      <c r="C149" s="349">
        <f t="shared" ref="C149:C156" ca="1" si="46">SUM(D110:E110)</f>
        <v>16.470353939027177</v>
      </c>
      <c r="D149" s="349">
        <f t="shared" ref="D149:D156" ca="1" si="47">SUM(F110:G110)</f>
        <v>19.398284066790588</v>
      </c>
      <c r="E149" s="349">
        <f t="shared" ref="E149:E156" ca="1" si="48">SUM(H110:I110)</f>
        <v>12.782468730969342</v>
      </c>
      <c r="F149" s="349">
        <f t="shared" ref="F149:F156" ca="1" si="49">SUM(J110:K110)</f>
        <v>0.87177368925282617</v>
      </c>
      <c r="G149" s="347">
        <f t="shared" ref="G149:G156" ca="1" si="50">SUM(P110:Q110)</f>
        <v>2.2645932791555183</v>
      </c>
      <c r="H149" s="348">
        <f t="shared" ref="H149:H156" ca="1" si="51">SUM(R110:S110)</f>
        <v>2.1105079171379941</v>
      </c>
      <c r="I149" s="349">
        <f t="shared" ref="I149:I156" ca="1" si="52">SUM(T110:U110)</f>
        <v>0.74305081884301971</v>
      </c>
      <c r="J149" s="349">
        <f t="shared" ref="J149:J156" ca="1" si="53">SUM(V110:W110)</f>
        <v>3.7456201922635608</v>
      </c>
      <c r="K149" s="494">
        <f t="shared" ca="1" si="24"/>
        <v>56.007083958840987</v>
      </c>
      <c r="L149" s="348">
        <f t="shared" ca="1" si="25"/>
        <v>2.8003541979420492E-2</v>
      </c>
      <c r="M149" s="348">
        <f t="shared" ca="1" si="26"/>
        <v>58.117591875978981</v>
      </c>
      <c r="N149" s="349">
        <f t="shared" ca="1" si="27"/>
        <v>2.905879593798949E-2</v>
      </c>
      <c r="O149" s="494">
        <f t="shared" ca="1" si="28"/>
        <v>56.750134777684003</v>
      </c>
      <c r="P149" s="348">
        <f t="shared" ca="1" si="29"/>
        <v>2.8375067388842001E-2</v>
      </c>
      <c r="Q149" s="348">
        <f t="shared" ca="1" si="22"/>
        <v>58.860642694821998</v>
      </c>
      <c r="R149" s="349">
        <f t="shared" ca="1" si="30"/>
        <v>2.9430321347410998E-2</v>
      </c>
      <c r="S149" s="494">
        <f t="shared" ca="1" si="31"/>
        <v>55.670731960075607</v>
      </c>
      <c r="T149" s="348">
        <f t="shared" ca="1" si="32"/>
        <v>2.7835365980037802E-2</v>
      </c>
      <c r="U149" s="348">
        <f ca="1">O149*W.Al!$A$6+Q149*W.Al!$B$6+S149*W.Al!$C$6</f>
        <v>56.085420355592632</v>
      </c>
      <c r="V149" s="349">
        <f t="shared" ca="1" si="33"/>
        <v>2.8042710177796314E-2</v>
      </c>
      <c r="W149" s="494">
        <f t="shared" ca="1" si="23"/>
        <v>9.3304476538173002</v>
      </c>
      <c r="X149" s="348">
        <f t="shared" ca="1" si="34"/>
        <v>4.6652238269086505E-3</v>
      </c>
    </row>
    <row r="150" spans="1:24" s="64" customFormat="1">
      <c r="A150" s="230" t="s">
        <v>822</v>
      </c>
      <c r="B150" s="349">
        <f t="shared" ca="1" si="45"/>
        <v>1.0015935134345568</v>
      </c>
      <c r="C150" s="349">
        <f t="shared" ca="1" si="46"/>
        <v>57.036554599534128</v>
      </c>
      <c r="D150" s="349">
        <f t="shared" ca="1" si="47"/>
        <v>17.219184015238916</v>
      </c>
      <c r="E150" s="349">
        <f t="shared" ca="1" si="48"/>
        <v>124.5512552196103</v>
      </c>
      <c r="F150" s="349">
        <f t="shared" ca="1" si="49"/>
        <v>3.426452963575163</v>
      </c>
      <c r="G150" s="347">
        <f t="shared" ca="1" si="50"/>
        <v>11.664233303341822</v>
      </c>
      <c r="H150" s="348">
        <f t="shared" ca="1" si="51"/>
        <v>12.665323632209537</v>
      </c>
      <c r="I150" s="349">
        <f t="shared" ca="1" si="52"/>
        <v>5.4856268341994499</v>
      </c>
      <c r="J150" s="349">
        <f t="shared" ca="1" si="53"/>
        <v>19.388969927080222</v>
      </c>
      <c r="K150" s="494">
        <f t="shared" ca="1" si="24"/>
        <v>226.14853778373345</v>
      </c>
      <c r="L150" s="348">
        <f t="shared" ca="1" si="25"/>
        <v>0.11307426889186672</v>
      </c>
      <c r="M150" s="348">
        <f t="shared" ca="1" si="26"/>
        <v>238.81386141594299</v>
      </c>
      <c r="N150" s="349">
        <f t="shared" ca="1" si="27"/>
        <v>0.1194069307079715</v>
      </c>
      <c r="O150" s="494">
        <f t="shared" ca="1" si="28"/>
        <v>231.6341646179329</v>
      </c>
      <c r="P150" s="348">
        <f t="shared" ca="1" si="29"/>
        <v>0.11581708230896645</v>
      </c>
      <c r="Q150" s="348">
        <f t="shared" ca="1" si="22"/>
        <v>244.29948825014245</v>
      </c>
      <c r="R150" s="349">
        <f t="shared" ca="1" si="30"/>
        <v>0.12214974412507122</v>
      </c>
      <c r="S150" s="494">
        <f t="shared" ca="1" si="31"/>
        <v>226.62018198542961</v>
      </c>
      <c r="T150" s="348">
        <f t="shared" ca="1" si="32"/>
        <v>0.1133100909927148</v>
      </c>
      <c r="U150" s="348">
        <f ca="1">O150*W.Al!$A$6+Q150*W.Al!$B$6+S150*W.Al!$C$6</f>
        <v>228.91849179984229</v>
      </c>
      <c r="V150" s="349">
        <f t="shared" ca="1" si="33"/>
        <v>0.11445924589992114</v>
      </c>
      <c r="W150" s="494">
        <f t="shared" ca="1" si="23"/>
        <v>30.300797803575591</v>
      </c>
      <c r="X150" s="348">
        <f t="shared" ca="1" si="34"/>
        <v>1.5150398901787796E-2</v>
      </c>
    </row>
    <row r="151" spans="1:24" s="64" customFormat="1">
      <c r="A151" s="230" t="s">
        <v>823</v>
      </c>
      <c r="B151" s="349">
        <f t="shared" ca="1" si="45"/>
        <v>1.7316054452976171</v>
      </c>
      <c r="C151" s="349">
        <f t="shared" ca="1" si="46"/>
        <v>89.857886665992183</v>
      </c>
      <c r="D151" s="349">
        <f t="shared" ca="1" si="47"/>
        <v>27.79925595518861</v>
      </c>
      <c r="E151" s="349">
        <f t="shared" ca="1" si="48"/>
        <v>502.62502549552994</v>
      </c>
      <c r="F151" s="349">
        <f t="shared" ca="1" si="49"/>
        <v>6.5526268056182833</v>
      </c>
      <c r="G151" s="347">
        <f t="shared" ca="1" si="50"/>
        <v>17.87292672858387</v>
      </c>
      <c r="H151" s="348">
        <f t="shared" ca="1" si="51"/>
        <v>28.045181761565505</v>
      </c>
      <c r="I151" s="349">
        <f t="shared" ca="1" si="52"/>
        <v>16.384304841038894</v>
      </c>
      <c r="J151" s="349">
        <f t="shared" ca="1" si="53"/>
        <v>30.294723013544203</v>
      </c>
      <c r="K151" s="494">
        <f t="shared" ca="1" si="24"/>
        <v>681.31483622181099</v>
      </c>
      <c r="L151" s="348">
        <f t="shared" ca="1" si="25"/>
        <v>0.3406574181109055</v>
      </c>
      <c r="M151" s="348">
        <f t="shared" ca="1" si="26"/>
        <v>709.36001798337645</v>
      </c>
      <c r="N151" s="349">
        <f t="shared" ca="1" si="27"/>
        <v>0.35468000899168822</v>
      </c>
      <c r="O151" s="494">
        <f t="shared" ca="1" si="28"/>
        <v>697.69914106284989</v>
      </c>
      <c r="P151" s="348">
        <f t="shared" ca="1" si="29"/>
        <v>0.34884957053142496</v>
      </c>
      <c r="Q151" s="348">
        <f t="shared" ca="1" si="22"/>
        <v>725.74432282441535</v>
      </c>
      <c r="R151" s="349">
        <f t="shared" ca="1" si="30"/>
        <v>0.36287216141220768</v>
      </c>
      <c r="S151" s="494">
        <f t="shared" ca="1" si="31"/>
        <v>671.30139885241101</v>
      </c>
      <c r="T151" s="348">
        <f t="shared" ca="1" si="32"/>
        <v>0.33565069942620551</v>
      </c>
      <c r="U151" s="348">
        <f ca="1">O151*W.Al!$A$6+Q151*W.Al!$B$6+S151*W.Al!$C$6</f>
        <v>678.37897896877155</v>
      </c>
      <c r="V151" s="349">
        <f t="shared" ca="1" si="33"/>
        <v>0.33918948948438576</v>
      </c>
      <c r="W151" s="494">
        <f t="shared" ca="1" si="23"/>
        <v>47.817423050689044</v>
      </c>
      <c r="X151" s="348">
        <f t="shared" ca="1" si="34"/>
        <v>2.3908711525344521E-2</v>
      </c>
    </row>
    <row r="152" spans="1:24" s="64" customFormat="1">
      <c r="A152" s="230" t="s">
        <v>824</v>
      </c>
      <c r="B152" s="349">
        <f t="shared" ca="1" si="45"/>
        <v>0.29915834092700511</v>
      </c>
      <c r="C152" s="349">
        <f t="shared" ca="1" si="46"/>
        <v>5.878880486395766</v>
      </c>
      <c r="D152" s="349">
        <f t="shared" ca="1" si="47"/>
        <v>4.715271286673377</v>
      </c>
      <c r="E152" s="349">
        <f t="shared" ca="1" si="48"/>
        <v>65.122723929484607</v>
      </c>
      <c r="F152" s="349">
        <f t="shared" ca="1" si="49"/>
        <v>0.59997683116797107</v>
      </c>
      <c r="G152" s="347">
        <f t="shared" ca="1" si="50"/>
        <v>0.94372211446330645</v>
      </c>
      <c r="H152" s="348">
        <f t="shared" ca="1" si="51"/>
        <v>2.912332047721105</v>
      </c>
      <c r="I152" s="349">
        <f t="shared" ca="1" si="52"/>
        <v>2.1874894561379064</v>
      </c>
      <c r="J152" s="349">
        <f t="shared" ca="1" si="53"/>
        <v>1.6965725325519025</v>
      </c>
      <c r="K152" s="494">
        <f t="shared" ca="1" si="24"/>
        <v>81.814825274424791</v>
      </c>
      <c r="L152" s="348">
        <f t="shared" ca="1" si="25"/>
        <v>4.0907412637212398E-2</v>
      </c>
      <c r="M152" s="348">
        <f t="shared" ca="1" si="26"/>
        <v>84.727157322145899</v>
      </c>
      <c r="N152" s="349">
        <f t="shared" ca="1" si="27"/>
        <v>4.2363578661072952E-2</v>
      </c>
      <c r="O152" s="494">
        <f t="shared" ca="1" si="28"/>
        <v>84.002314730562702</v>
      </c>
      <c r="P152" s="348">
        <f t="shared" ca="1" si="29"/>
        <v>4.2001157365281351E-2</v>
      </c>
      <c r="Q152" s="348">
        <f t="shared" ca="1" si="22"/>
        <v>86.91464677828381</v>
      </c>
      <c r="R152" s="349">
        <f t="shared" ca="1" si="30"/>
        <v>4.3457323389141905E-2</v>
      </c>
      <c r="S152" s="494">
        <f t="shared" ca="1" si="31"/>
        <v>79.832904088070237</v>
      </c>
      <c r="T152" s="348">
        <f t="shared" ca="1" si="32"/>
        <v>3.9916452044035121E-2</v>
      </c>
      <c r="U152" s="348">
        <f ca="1">O152*W.Al!$A$6+Q152*W.Al!$B$6+S152*W.Al!$C$6</f>
        <v>80.753530637798008</v>
      </c>
      <c r="V152" s="349">
        <f t="shared" ca="1" si="33"/>
        <v>4.0376765318899006E-2</v>
      </c>
      <c r="W152" s="494">
        <f t="shared" ca="1" si="23"/>
        <v>3.2254562114037646</v>
      </c>
      <c r="X152" s="348">
        <f t="shared" ca="1" si="34"/>
        <v>1.6127281057018823E-3</v>
      </c>
    </row>
    <row r="153" spans="1:24" s="64" customFormat="1">
      <c r="A153" s="230" t="s">
        <v>825</v>
      </c>
      <c r="B153" s="349">
        <f t="shared" ca="1" si="45"/>
        <v>0.26040897695807869</v>
      </c>
      <c r="C153" s="349">
        <f t="shared" ca="1" si="46"/>
        <v>5.1817974440505834</v>
      </c>
      <c r="D153" s="349">
        <f t="shared" ca="1" si="47"/>
        <v>3.9528876836325839</v>
      </c>
      <c r="E153" s="349">
        <f t="shared" ca="1" si="48"/>
        <v>54.509319567530753</v>
      </c>
      <c r="F153" s="349">
        <f t="shared" ca="1" si="49"/>
        <v>0.52784743228048969</v>
      </c>
      <c r="G153" s="347">
        <f t="shared" ca="1" si="50"/>
        <v>0.83196612217558363</v>
      </c>
      <c r="H153" s="348">
        <f t="shared" ca="1" si="51"/>
        <v>2.5621258487451732</v>
      </c>
      <c r="I153" s="349">
        <f t="shared" ca="1" si="52"/>
        <v>1.923525200425946</v>
      </c>
      <c r="J153" s="349">
        <f t="shared" ca="1" si="53"/>
        <v>1.4953055427513697</v>
      </c>
      <c r="K153" s="494">
        <f t="shared" ca="1" si="24"/>
        <v>68.842177728297884</v>
      </c>
      <c r="L153" s="348">
        <f t="shared" ca="1" si="25"/>
        <v>3.4421088864148942E-2</v>
      </c>
      <c r="M153" s="348">
        <f t="shared" ca="1" si="26"/>
        <v>71.404303577043052</v>
      </c>
      <c r="N153" s="349">
        <f t="shared" ca="1" si="27"/>
        <v>3.5702151788521527E-2</v>
      </c>
      <c r="O153" s="494">
        <f t="shared" ca="1" si="28"/>
        <v>70.765702928723826</v>
      </c>
      <c r="P153" s="348">
        <f t="shared" ca="1" si="29"/>
        <v>3.538285146436191E-2</v>
      </c>
      <c r="Q153" s="348">
        <f t="shared" ca="1" si="22"/>
        <v>73.327828777468994</v>
      </c>
      <c r="R153" s="349">
        <f t="shared" ca="1" si="30"/>
        <v>3.6663914388734495E-2</v>
      </c>
      <c r="S153" s="494">
        <f t="shared" ca="1" si="31"/>
        <v>67.205654920647305</v>
      </c>
      <c r="T153" s="348">
        <f t="shared" ca="1" si="32"/>
        <v>3.3602827460323656E-2</v>
      </c>
      <c r="U153" s="348">
        <f ca="1">O153*W.Al!$A$6+Q153*W.Al!$B$6+S153*W.Al!$C$6</f>
        <v>68.001537522034127</v>
      </c>
      <c r="V153" s="349">
        <f t="shared" ca="1" si="33"/>
        <v>3.4000768761017063E-2</v>
      </c>
      <c r="W153" s="494">
        <f t="shared" ca="1" si="23"/>
        <v>2.8412897676770714</v>
      </c>
      <c r="X153" s="348">
        <f t="shared" ca="1" si="34"/>
        <v>1.4206448838385358E-3</v>
      </c>
    </row>
    <row r="154" spans="1:24">
      <c r="A154" s="230" t="s">
        <v>826</v>
      </c>
      <c r="B154" s="349">
        <f t="shared" ca="1" si="45"/>
        <v>0.82797408805979944</v>
      </c>
      <c r="C154" s="349">
        <f t="shared" ca="1" si="46"/>
        <v>37.726665934616271</v>
      </c>
      <c r="D154" s="349">
        <f t="shared" ca="1" si="47"/>
        <v>11.887935084305154</v>
      </c>
      <c r="E154" s="349">
        <f t="shared" ca="1" si="48"/>
        <v>681.02018876810268</v>
      </c>
      <c r="F154" s="349">
        <f t="shared" ca="1" si="49"/>
        <v>4.1856735412254631</v>
      </c>
      <c r="G154" s="347">
        <f t="shared" ca="1" si="50"/>
        <v>7.1485582787363242</v>
      </c>
      <c r="H154" s="348">
        <f t="shared" ca="1" si="51"/>
        <v>21.745695522691818</v>
      </c>
      <c r="I154" s="349">
        <f t="shared" ca="1" si="52"/>
        <v>16.279280673065642</v>
      </c>
      <c r="J154" s="349">
        <f t="shared" ca="1" si="53"/>
        <v>12.824075631020252</v>
      </c>
      <c r="K154" s="494">
        <f t="shared" ca="1" si="24"/>
        <v>783.68597021683081</v>
      </c>
      <c r="L154" s="348">
        <f t="shared" ca="1" si="25"/>
        <v>0.39184298510841542</v>
      </c>
      <c r="M154" s="348">
        <f t="shared" ca="1" si="26"/>
        <v>805.4316657395226</v>
      </c>
      <c r="N154" s="349">
        <f t="shared" ca="1" si="27"/>
        <v>0.40271583286976131</v>
      </c>
      <c r="O154" s="494">
        <f t="shared" ca="1" si="28"/>
        <v>799.96525088989642</v>
      </c>
      <c r="P154" s="348">
        <f t="shared" ca="1" si="29"/>
        <v>0.39998262544494823</v>
      </c>
      <c r="Q154" s="348">
        <f t="shared" ca="1" si="22"/>
        <v>821.71094641258821</v>
      </c>
      <c r="R154" s="349">
        <f t="shared" ca="1" si="30"/>
        <v>0.41085547320629412</v>
      </c>
      <c r="S154" s="494">
        <f t="shared" ca="1" si="31"/>
        <v>763.10176832483137</v>
      </c>
      <c r="T154" s="348">
        <f t="shared" ca="1" si="32"/>
        <v>0.38155088416241567</v>
      </c>
      <c r="U154" s="348">
        <f ca="1">O154*W.Al!$A$6+Q154*W.Al!$B$6+S154*W.Al!$C$6</f>
        <v>770.72096147623972</v>
      </c>
      <c r="V154" s="349">
        <f t="shared" ca="1" si="33"/>
        <v>0.38536048073811985</v>
      </c>
      <c r="W154" s="494">
        <f t="shared" ca="1" si="23"/>
        <v>20.128766849052976</v>
      </c>
      <c r="X154" s="348">
        <f t="shared" ca="1" si="34"/>
        <v>1.0064383424526488E-2</v>
      </c>
    </row>
    <row r="155" spans="1:24">
      <c r="A155" s="230" t="s">
        <v>827</v>
      </c>
      <c r="B155" s="349">
        <f t="shared" ca="1" si="45"/>
        <v>2.8979248999643329E-2</v>
      </c>
      <c r="C155" s="349">
        <f t="shared" ca="1" si="46"/>
        <v>0.35216403608577934</v>
      </c>
      <c r="D155" s="349">
        <f t="shared" ca="1" si="47"/>
        <v>0.46449108108245796</v>
      </c>
      <c r="E155" s="349">
        <f t="shared" ca="1" si="48"/>
        <v>2.4431008179494818</v>
      </c>
      <c r="F155" s="349">
        <f t="shared" ca="1" si="49"/>
        <v>3.1301721650814886E-2</v>
      </c>
      <c r="G155" s="347">
        <f t="shared" ca="1" si="50"/>
        <v>4.7985070275350823E-2</v>
      </c>
      <c r="H155" s="348">
        <f t="shared" ca="1" si="51"/>
        <v>0.13498926861035415</v>
      </c>
      <c r="I155" s="349">
        <f t="shared" ca="1" si="52"/>
        <v>9.913064201990783E-2</v>
      </c>
      <c r="J155" s="349">
        <f t="shared" ca="1" si="53"/>
        <v>8.54337219213476E-2</v>
      </c>
      <c r="K155" s="494">
        <f t="shared" ca="1" si="24"/>
        <v>3.5523000860566434</v>
      </c>
      <c r="L155" s="348">
        <f t="shared" ca="1" si="25"/>
        <v>1.7761500430283218E-3</v>
      </c>
      <c r="M155" s="348">
        <f t="shared" ca="1" si="26"/>
        <v>3.6872893546669974</v>
      </c>
      <c r="N155" s="349">
        <f t="shared" ca="1" si="27"/>
        <v>1.8436446773334987E-3</v>
      </c>
      <c r="O155" s="494">
        <f t="shared" ca="1" si="28"/>
        <v>3.651430728076551</v>
      </c>
      <c r="P155" s="348">
        <f t="shared" ca="1" si="29"/>
        <v>1.8257153640382755E-3</v>
      </c>
      <c r="Q155" s="348">
        <f t="shared" ca="1" si="22"/>
        <v>3.786419996686905</v>
      </c>
      <c r="R155" s="349">
        <f t="shared" ca="1" si="30"/>
        <v>1.8932099983434525E-3</v>
      </c>
      <c r="S155" s="494">
        <f t="shared" ca="1" si="31"/>
        <v>3.4712453313718719</v>
      </c>
      <c r="T155" s="348">
        <f t="shared" ca="1" si="32"/>
        <v>1.7356226656859359E-3</v>
      </c>
      <c r="U155" s="348">
        <f ca="1">O155*W.Al!$A$6+Q155*W.Al!$B$6+S155*W.Al!$C$6</f>
        <v>3.512218037862826</v>
      </c>
      <c r="V155" s="349">
        <f t="shared" ca="1" si="33"/>
        <v>1.7561090189314129E-3</v>
      </c>
      <c r="W155" s="494">
        <f t="shared" ca="1" si="23"/>
        <v>0.19898887182072814</v>
      </c>
      <c r="X155" s="348">
        <f t="shared" ca="1" si="34"/>
        <v>9.9494435910364072E-5</v>
      </c>
    </row>
    <row r="156" spans="1:24">
      <c r="A156" s="589" t="s">
        <v>828</v>
      </c>
      <c r="B156" s="505">
        <f t="shared" ca="1" si="45"/>
        <v>4.9255394015787074E-2</v>
      </c>
      <c r="C156" s="505">
        <f t="shared" ca="1" si="46"/>
        <v>1.3615686704826244</v>
      </c>
      <c r="D156" s="505">
        <f t="shared" ca="1" si="47"/>
        <v>0.73053115407021318</v>
      </c>
      <c r="E156" s="505">
        <f t="shared" ca="1" si="48"/>
        <v>6.5799381201329403</v>
      </c>
      <c r="F156" s="505">
        <f t="shared" ca="1" si="49"/>
        <v>0.1453957440824275</v>
      </c>
      <c r="G156" s="503">
        <f t="shared" ca="1" si="50"/>
        <v>0.24048702066217956</v>
      </c>
      <c r="H156" s="502">
        <f t="shared" ca="1" si="51"/>
        <v>0.73425613156977809</v>
      </c>
      <c r="I156" s="505">
        <f t="shared" ca="1" si="52"/>
        <v>0.5501372295971344</v>
      </c>
      <c r="J156" s="505">
        <f t="shared" ca="1" si="53"/>
        <v>0.43173313704014116</v>
      </c>
      <c r="K156" s="504">
        <f t="shared" ca="1" si="24"/>
        <v>9.5980409934547346</v>
      </c>
      <c r="L156" s="502">
        <f t="shared" ca="1" si="25"/>
        <v>4.7990204967273669E-3</v>
      </c>
      <c r="M156" s="502">
        <f t="shared" ca="1" si="26"/>
        <v>10.332297125024512</v>
      </c>
      <c r="N156" s="505">
        <f t="shared" ca="1" si="27"/>
        <v>5.1661485625122561E-3</v>
      </c>
      <c r="O156" s="504">
        <f t="shared" ca="1" si="28"/>
        <v>10.148178223051868</v>
      </c>
      <c r="P156" s="502">
        <f t="shared" ca="1" si="29"/>
        <v>5.0740891115259338E-3</v>
      </c>
      <c r="Q156" s="502">
        <f t="shared" ca="1" si="22"/>
        <v>10.882434354621646</v>
      </c>
      <c r="R156" s="505">
        <f t="shared" ca="1" si="30"/>
        <v>5.4412171773108231E-3</v>
      </c>
      <c r="S156" s="504">
        <f t="shared" ca="1" si="31"/>
        <v>9.4728480865981659</v>
      </c>
      <c r="T156" s="502">
        <f t="shared" ca="1" si="32"/>
        <v>4.7364240432990826E-3</v>
      </c>
      <c r="U156" s="502">
        <f ca="1">O156*W.Al!$A$6+Q156*W.Al!$B$6+S156*W.Al!$C$6</f>
        <v>9.6560943014412182</v>
      </c>
      <c r="V156" s="505">
        <f t="shared" ca="1" si="33"/>
        <v>4.828047150720609E-3</v>
      </c>
      <c r="W156" s="504">
        <f t="shared" ca="1" si="23"/>
        <v>0.73656889657429858</v>
      </c>
      <c r="X156" s="502">
        <f t="shared" ca="1" si="34"/>
        <v>3.6828444828714929E-4</v>
      </c>
    </row>
    <row r="158" spans="1:24">
      <c r="A158" s="3" t="s">
        <v>921</v>
      </c>
    </row>
    <row r="159" spans="1:24" ht="40.5" customHeight="1">
      <c r="A159" s="1424"/>
      <c r="B159" s="1658" t="str">
        <f>W.Al!G9</f>
        <v>Scrap Preparation</v>
      </c>
      <c r="C159" s="1658" t="str">
        <f>W.Al!H9</f>
        <v>Secondary Ingot Casting</v>
      </c>
      <c r="D159" s="1225" t="str">
        <f>W.Al!I9</f>
        <v>Hot Rolling</v>
      </c>
      <c r="E159" s="1226" t="str">
        <f>W.Al!J9</f>
        <v>Cold Rolling</v>
      </c>
      <c r="F159" s="1658" t="str">
        <f>W.Al!K9</f>
        <v>Stamping</v>
      </c>
      <c r="G159" s="1658" t="str">
        <f>W.Al!L9</f>
        <v>Extrusion</v>
      </c>
      <c r="H159" s="2980" t="s">
        <v>908</v>
      </c>
      <c r="I159" s="3057"/>
      <c r="J159" s="2980" t="s">
        <v>909</v>
      </c>
      <c r="K159" s="3057"/>
      <c r="L159" s="2980" t="s">
        <v>910</v>
      </c>
      <c r="M159" s="3057"/>
      <c r="N159" s="2980" t="s">
        <v>911</v>
      </c>
      <c r="O159" s="3057"/>
      <c r="P159" s="2980" t="s">
        <v>912</v>
      </c>
      <c r="Q159" s="3057"/>
      <c r="R159" s="3013" t="s">
        <v>913</v>
      </c>
      <c r="S159" s="3057"/>
    </row>
    <row r="160" spans="1:24" ht="25.5">
      <c r="A160" s="696" t="s">
        <v>915</v>
      </c>
      <c r="B160" s="377">
        <f>W.Al!G13</f>
        <v>0.96799999999999997</v>
      </c>
      <c r="C160" s="377">
        <f>W.Al!H13</f>
        <v>1</v>
      </c>
      <c r="D160" s="383">
        <f>W.Al!I13</f>
        <v>1.0349999999999999</v>
      </c>
      <c r="E160" s="384">
        <f>W.Al!J13</f>
        <v>0</v>
      </c>
      <c r="F160" s="377">
        <f>W.Al!K13</f>
        <v>1</v>
      </c>
      <c r="G160" s="377">
        <f>W.Al!L13</f>
        <v>0</v>
      </c>
      <c r="H160" s="383"/>
      <c r="I160" s="384"/>
      <c r="J160" s="383"/>
      <c r="K160" s="384"/>
      <c r="L160" s="383"/>
      <c r="M160" s="384"/>
      <c r="N160" s="383"/>
      <c r="O160" s="384"/>
      <c r="P160" s="383"/>
      <c r="Q160" s="384"/>
      <c r="R160" s="377"/>
      <c r="S160" s="384"/>
    </row>
    <row r="161" spans="1:19" ht="25.5">
      <c r="A161" s="696" t="s">
        <v>916</v>
      </c>
      <c r="B161" s="377">
        <f>W.Al!G14</f>
        <v>0.96799999999999997</v>
      </c>
      <c r="C161" s="377">
        <f>W.Al!H14</f>
        <v>1</v>
      </c>
      <c r="D161" s="383">
        <f>W.Al!I14</f>
        <v>1.0349999999999999</v>
      </c>
      <c r="E161" s="384">
        <f>W.Al!J14</f>
        <v>1</v>
      </c>
      <c r="F161" s="377">
        <f>W.Al!K14</f>
        <v>1</v>
      </c>
      <c r="G161" s="377">
        <f>W.Al!L14</f>
        <v>0</v>
      </c>
      <c r="H161" s="383"/>
      <c r="I161" s="384"/>
      <c r="J161" s="383"/>
      <c r="K161" s="384"/>
      <c r="L161" s="383"/>
      <c r="M161" s="384"/>
      <c r="N161" s="383"/>
      <c r="O161" s="384"/>
      <c r="P161" s="383"/>
      <c r="Q161" s="384"/>
      <c r="R161" s="377"/>
      <c r="S161" s="384"/>
    </row>
    <row r="162" spans="1:19" ht="25.5">
      <c r="A162" s="697" t="s">
        <v>917</v>
      </c>
      <c r="B162" s="386">
        <f>W.Al!G15</f>
        <v>0.96799999999999997</v>
      </c>
      <c r="C162" s="386">
        <f>W.Al!H15</f>
        <v>1</v>
      </c>
      <c r="D162" s="387">
        <f>W.Al!I15</f>
        <v>0</v>
      </c>
      <c r="E162" s="388">
        <f>W.Al!J15</f>
        <v>0</v>
      </c>
      <c r="F162" s="386">
        <f>W.Al!K15</f>
        <v>0</v>
      </c>
      <c r="G162" s="386">
        <f>W.Al!L15</f>
        <v>1</v>
      </c>
      <c r="H162" s="387"/>
      <c r="I162" s="388"/>
      <c r="J162" s="387"/>
      <c r="K162" s="388"/>
      <c r="L162" s="387"/>
      <c r="M162" s="388"/>
      <c r="N162" s="387"/>
      <c r="O162" s="388"/>
      <c r="P162" s="387"/>
      <c r="Q162" s="388"/>
      <c r="R162" s="386"/>
      <c r="S162" s="388"/>
    </row>
    <row r="163" spans="1:19">
      <c r="A163" s="571" t="s">
        <v>918</v>
      </c>
      <c r="B163" s="64"/>
      <c r="C163" s="64"/>
      <c r="D163" s="230"/>
      <c r="E163" s="395"/>
      <c r="F163" s="64"/>
      <c r="G163" s="64"/>
      <c r="H163" s="676" t="s">
        <v>845</v>
      </c>
      <c r="I163" s="466" t="s">
        <v>846</v>
      </c>
      <c r="J163" s="676" t="s">
        <v>845</v>
      </c>
      <c r="K163" s="466" t="s">
        <v>846</v>
      </c>
      <c r="L163" s="676" t="s">
        <v>845</v>
      </c>
      <c r="M163" s="466" t="s">
        <v>846</v>
      </c>
      <c r="N163" s="676" t="s">
        <v>845</v>
      </c>
      <c r="O163" s="466" t="s">
        <v>846</v>
      </c>
      <c r="P163" s="676" t="s">
        <v>845</v>
      </c>
      <c r="Q163" s="466" t="s">
        <v>846</v>
      </c>
      <c r="R163" s="466" t="s">
        <v>845</v>
      </c>
      <c r="S163" s="466" t="s">
        <v>846</v>
      </c>
    </row>
    <row r="164" spans="1:19" s="496" customFormat="1">
      <c r="A164" s="347" t="s">
        <v>816</v>
      </c>
      <c r="B164" s="349">
        <f ca="1">L89</f>
        <v>1.5284560671933123</v>
      </c>
      <c r="C164" s="349">
        <f ca="1">N89</f>
        <v>13.829380067061894</v>
      </c>
      <c r="D164" s="347">
        <f ca="1">P89</f>
        <v>4.3339269587282194</v>
      </c>
      <c r="E164" s="348">
        <f ca="1">R89</f>
        <v>4.3908585750147875</v>
      </c>
      <c r="F164" s="349">
        <f ca="1">T89</f>
        <v>1.7439352936944958</v>
      </c>
      <c r="G164" s="349">
        <f ca="1">V89</f>
        <v>7.1977703716665005</v>
      </c>
      <c r="H164" s="494">
        <f t="shared" ref="H164:H169" ca="1" si="54">SUMPRODUCT($B$160:$C$160,$B164:$C164)*$D$160+$D164</f>
        <v>20.178664892736915</v>
      </c>
      <c r="I164" s="348">
        <f t="shared" ref="I164:I169" ca="1" si="55">H164/2000</f>
        <v>1.0089332446368457E-2</v>
      </c>
      <c r="J164" s="494">
        <f t="shared" ref="J164:J169" ca="1" si="56">(SUMPRODUCT($B$161:$C$161,$B164:$C164)*$D$161+$D164)*$E$161+$E164</f>
        <v>24.569523467751701</v>
      </c>
      <c r="K164" s="348">
        <f t="shared" ref="K164:K169" ca="1" si="57">J164/2000</f>
        <v>1.2284761733875851E-2</v>
      </c>
      <c r="L164" s="494">
        <f t="shared" ref="L164:L169" ca="1" si="58">$H164*$F$160+$F164</f>
        <v>21.92260018643141</v>
      </c>
      <c r="M164" s="348">
        <f t="shared" ref="M164:M169" ca="1" si="59">L164/2000</f>
        <v>1.0961300093215704E-2</v>
      </c>
      <c r="N164" s="494">
        <f t="shared" ref="N164:N169" ca="1" si="60">$J164*$F$161+$F164</f>
        <v>26.313458761446196</v>
      </c>
      <c r="O164" s="348">
        <f t="shared" ref="O164:O169" ca="1" si="61">N164/2000</f>
        <v>1.3156729380723098E-2</v>
      </c>
      <c r="P164" s="494">
        <f t="shared" ref="P164:P169" ca="1" si="62">SUMPRODUCT($B$162:$C$162,$B164:$C164)*$G$162+$G$162*$G164</f>
        <v>22.506695911771523</v>
      </c>
      <c r="Q164" s="348">
        <f t="shared" ref="Q164:Q169" ca="1" si="63">P164/2000</f>
        <v>1.1253347955885762E-2</v>
      </c>
      <c r="R164" s="348">
        <f ca="1">L164*W.Al!$A$6+N164*W.Al!$B$6+P164*W.Al!$C$6</f>
        <v>23.00157508222923</v>
      </c>
      <c r="S164" s="348">
        <f ca="1">R164/2000</f>
        <v>1.1500787541114615E-2</v>
      </c>
    </row>
    <row r="165" spans="1:19" s="496" customFormat="1">
      <c r="A165" s="347" t="s">
        <v>817</v>
      </c>
      <c r="B165" s="349">
        <f ca="1">L90</f>
        <v>1.3822678428819997</v>
      </c>
      <c r="C165" s="349">
        <f ca="1">N90</f>
        <v>10.328586692790664</v>
      </c>
      <c r="D165" s="347">
        <f ca="1">P90</f>
        <v>4.1829435829130404</v>
      </c>
      <c r="E165" s="348">
        <f ca="1">R90</f>
        <v>3.9111310646929551</v>
      </c>
      <c r="F165" s="349">
        <f ca="1">T90</f>
        <v>1.3812218153682407</v>
      </c>
      <c r="G165" s="349">
        <f ca="1">V90</f>
        <v>6.9255742983505613</v>
      </c>
      <c r="H165" s="494">
        <f t="shared" ca="1" si="54"/>
        <v>16.257897316377992</v>
      </c>
      <c r="I165" s="348">
        <f t="shared" ca="1" si="55"/>
        <v>8.1289486581889968E-3</v>
      </c>
      <c r="J165" s="494">
        <f t="shared" ca="1" si="56"/>
        <v>20.169028381070948</v>
      </c>
      <c r="K165" s="348">
        <f t="shared" ca="1" si="57"/>
        <v>1.0084514190535474E-2</v>
      </c>
      <c r="L165" s="494">
        <f t="shared" ca="1" si="58"/>
        <v>17.639119131746234</v>
      </c>
      <c r="M165" s="348">
        <f t="shared" ca="1" si="59"/>
        <v>8.8195595658731168E-3</v>
      </c>
      <c r="N165" s="494">
        <f t="shared" ca="1" si="60"/>
        <v>21.55025019643919</v>
      </c>
      <c r="O165" s="348">
        <f t="shared" ca="1" si="61"/>
        <v>1.0775125098219596E-2</v>
      </c>
      <c r="P165" s="494">
        <f t="shared" ca="1" si="62"/>
        <v>18.592196263051001</v>
      </c>
      <c r="Q165" s="348">
        <f t="shared" ca="1" si="63"/>
        <v>9.2960981315254997E-3</v>
      </c>
      <c r="R165" s="348">
        <f ca="1">L165*W.Al!$A$6+N165*W.Al!$B$6+P165*W.Al!$C$6</f>
        <v>18.976743274391467</v>
      </c>
      <c r="S165" s="348">
        <f ca="1">R165/2000</f>
        <v>9.4883716371957326E-3</v>
      </c>
    </row>
    <row r="166" spans="1:19" s="496" customFormat="1">
      <c r="A166" s="347" t="s">
        <v>805</v>
      </c>
      <c r="B166" s="349">
        <f ca="1">L91</f>
        <v>0.19628501140534405</v>
      </c>
      <c r="C166" s="349">
        <f ca="1">N91</f>
        <v>2.2680897728850296</v>
      </c>
      <c r="D166" s="347">
        <f ca="1">P91</f>
        <v>0.20044926327457588</v>
      </c>
      <c r="E166" s="348">
        <f ca="1">R91</f>
        <v>0.63823693967762329</v>
      </c>
      <c r="F166" s="349">
        <f ca="1">T91</f>
        <v>0.47947948035230242</v>
      </c>
      <c r="G166" s="349">
        <f ca="1">V91</f>
        <v>0.37481498435048272</v>
      </c>
      <c r="H166" s="494">
        <f t="shared" ca="1" si="54"/>
        <v>2.744576205437367</v>
      </c>
      <c r="I166" s="348">
        <f t="shared" ca="1" si="55"/>
        <v>1.3722881027186835E-3</v>
      </c>
      <c r="J166" s="494">
        <f t="shared" ca="1" si="56"/>
        <v>3.3828131451149903</v>
      </c>
      <c r="K166" s="348">
        <f t="shared" ca="1" si="57"/>
        <v>1.6914065725574952E-3</v>
      </c>
      <c r="L166" s="494">
        <f t="shared" ca="1" si="58"/>
        <v>3.2240556857896694</v>
      </c>
      <c r="M166" s="348">
        <f t="shared" ca="1" si="59"/>
        <v>1.6120278428948347E-3</v>
      </c>
      <c r="N166" s="494">
        <f t="shared" ca="1" si="60"/>
        <v>3.8622926254672927</v>
      </c>
      <c r="O166" s="348">
        <f t="shared" ca="1" si="61"/>
        <v>1.9311463127336464E-3</v>
      </c>
      <c r="P166" s="494">
        <f t="shared" ca="1" si="62"/>
        <v>2.8329086482758852</v>
      </c>
      <c r="Q166" s="348">
        <f t="shared" ca="1" si="63"/>
        <v>1.4164543241379425E-3</v>
      </c>
      <c r="R166" s="348">
        <f ca="1">L166*W.Al!$A$6+N166*W.Al!$B$6+P166*W.Al!$C$6</f>
        <v>2.9667285653107678</v>
      </c>
      <c r="S166" s="348">
        <f ca="1">R166/2000</f>
        <v>1.4833642826553839E-3</v>
      </c>
    </row>
    <row r="167" spans="1:19" s="496" customFormat="1">
      <c r="A167" s="347" t="s">
        <v>804</v>
      </c>
      <c r="B167" s="349">
        <f t="shared" ref="B167:G167" ca="1" si="64">B165-B166-B168</f>
        <v>1.1767669016865596</v>
      </c>
      <c r="C167" s="349">
        <f t="shared" ca="1" si="64"/>
        <v>6.9644806513310744</v>
      </c>
      <c r="D167" s="347">
        <f t="shared" ca="1" si="64"/>
        <v>3.9631474966939853</v>
      </c>
      <c r="E167" s="348">
        <f t="shared" ca="1" si="64"/>
        <v>3.2454628785532313</v>
      </c>
      <c r="F167" s="349">
        <f t="shared" ca="1" si="64"/>
        <v>0.88674198715332919</v>
      </c>
      <c r="G167" s="349">
        <f t="shared" ca="1" si="64"/>
        <v>6.5154424120565659</v>
      </c>
      <c r="H167" s="494">
        <f t="shared" ca="1" si="54"/>
        <v>12.350364194283376</v>
      </c>
      <c r="I167" s="348">
        <f t="shared" ca="1" si="55"/>
        <v>6.1751820971416883E-3</v>
      </c>
      <c r="J167" s="494">
        <f t="shared" ca="1" si="56"/>
        <v>15.595827072836608</v>
      </c>
      <c r="K167" s="348">
        <f t="shared" ca="1" si="57"/>
        <v>7.7979135364183039E-3</v>
      </c>
      <c r="L167" s="494">
        <f t="shared" ca="1" si="58"/>
        <v>13.237106181436705</v>
      </c>
      <c r="M167" s="348">
        <f t="shared" ca="1" si="59"/>
        <v>6.6185530907183522E-3</v>
      </c>
      <c r="N167" s="494">
        <f t="shared" ca="1" si="60"/>
        <v>16.482569059989938</v>
      </c>
      <c r="O167" s="348">
        <f t="shared" ca="1" si="61"/>
        <v>8.2412845299949695E-3</v>
      </c>
      <c r="P167" s="494">
        <f t="shared" ca="1" si="62"/>
        <v>14.61903342422023</v>
      </c>
      <c r="Q167" s="348">
        <f t="shared" ca="1" si="63"/>
        <v>7.3095167121101151E-3</v>
      </c>
      <c r="R167" s="348">
        <f ca="1">L167*W.Al!$A$6+N167*W.Al!$B$6+P167*W.Al!$C$6</f>
        <v>14.861293056870291</v>
      </c>
      <c r="S167" s="348">
        <f ca="1">S165-S166-S168</f>
        <v>7.4306465284351454E-3</v>
      </c>
    </row>
    <row r="168" spans="1:19" s="496" customFormat="1">
      <c r="A168" s="347" t="s">
        <v>818</v>
      </c>
      <c r="B168" s="349">
        <f ca="1">L93</f>
        <v>9.2159297900960384E-3</v>
      </c>
      <c r="C168" s="349">
        <f ca="1">N93</f>
        <v>1.0960162685745605</v>
      </c>
      <c r="D168" s="347">
        <f ca="1">P93</f>
        <v>1.9346822944479494E-2</v>
      </c>
      <c r="E168" s="348">
        <f ca="1">R93</f>
        <v>2.74312464621006E-2</v>
      </c>
      <c r="F168" s="349">
        <f ca="1">T93</f>
        <v>1.5000347862609176E-2</v>
      </c>
      <c r="G168" s="349">
        <f ca="1">V93</f>
        <v>3.5316901943513036E-2</v>
      </c>
      <c r="H168" s="494">
        <f t="shared" ca="1" si="54"/>
        <v>1.1629569166572511</v>
      </c>
      <c r="I168" s="348">
        <f t="shared" ca="1" si="55"/>
        <v>5.8147845832862556E-4</v>
      </c>
      <c r="J168" s="494">
        <f t="shared" ca="1" si="56"/>
        <v>1.1903881631193518</v>
      </c>
      <c r="K168" s="348">
        <f t="shared" ca="1" si="57"/>
        <v>5.9519408155967585E-4</v>
      </c>
      <c r="L168" s="494">
        <f t="shared" ca="1" si="58"/>
        <v>1.1779572645198604</v>
      </c>
      <c r="M168" s="348">
        <f t="shared" ca="1" si="59"/>
        <v>5.8897863225993016E-4</v>
      </c>
      <c r="N168" s="494">
        <f t="shared" ca="1" si="60"/>
        <v>1.2053885109819609</v>
      </c>
      <c r="O168" s="348">
        <f t="shared" ca="1" si="61"/>
        <v>6.0269425549098045E-4</v>
      </c>
      <c r="P168" s="494">
        <f t="shared" ca="1" si="62"/>
        <v>1.1402541905548866</v>
      </c>
      <c r="Q168" s="348">
        <f t="shared" ca="1" si="63"/>
        <v>5.701270952774433E-4</v>
      </c>
      <c r="R168" s="348">
        <f ca="1">L168*W.Al!$A$6+N168*W.Al!$B$6+P168*W.Al!$C$6</f>
        <v>1.1487216522104062</v>
      </c>
      <c r="S168" s="348">
        <f ca="1">R168/2000</f>
        <v>5.7436082610520312E-4</v>
      </c>
    </row>
    <row r="169" spans="1:19" s="496" customFormat="1">
      <c r="A169" s="347" t="s">
        <v>819</v>
      </c>
      <c r="B169" s="47">
        <f ca="1">SUM(L94:M94)</f>
        <v>40.898959301649185</v>
      </c>
      <c r="C169" s="47">
        <f ca="1">SUM(N94:O94)</f>
        <v>2186.1341140053669</v>
      </c>
      <c r="D169" s="242">
        <f ca="1">SUM(P94:Q94)</f>
        <v>68.311727948214624</v>
      </c>
      <c r="E169" s="243">
        <f ca="1">SUM(R94:S94)</f>
        <v>194.84998919727531</v>
      </c>
      <c r="F169" s="242">
        <f ca="1">SUM(T94:U94)</f>
        <v>93.45911796857979</v>
      </c>
      <c r="G169" s="243">
        <f ca="1">SUM(V94:W94)</f>
        <v>198.4986669121003</v>
      </c>
      <c r="H169" s="78">
        <f t="shared" ca="1" si="54"/>
        <v>2371.9363852889055</v>
      </c>
      <c r="I169" s="79">
        <f t="shared" ca="1" si="55"/>
        <v>1.1859681926444527</v>
      </c>
      <c r="J169" s="78">
        <f t="shared" ca="1" si="56"/>
        <v>2566.7863744861806</v>
      </c>
      <c r="K169" s="79">
        <f t="shared" ca="1" si="57"/>
        <v>1.2833931872430904</v>
      </c>
      <c r="L169" s="78">
        <f t="shared" ca="1" si="58"/>
        <v>2465.3955032574854</v>
      </c>
      <c r="M169" s="79">
        <f t="shared" ca="1" si="59"/>
        <v>1.2326977516287427</v>
      </c>
      <c r="N169" s="78">
        <f t="shared" ca="1" si="60"/>
        <v>2660.2454924547606</v>
      </c>
      <c r="O169" s="79">
        <f t="shared" ca="1" si="61"/>
        <v>1.3301227462273804</v>
      </c>
      <c r="P169" s="78">
        <f t="shared" ca="1" si="62"/>
        <v>2424.2229735214637</v>
      </c>
      <c r="Q169" s="79">
        <f t="shared" ca="1" si="63"/>
        <v>1.2121114867607319</v>
      </c>
      <c r="R169" s="78">
        <f ca="1">L169*W.Al!$A$6+N169*W.Al!$B$6+P169*W.Al!$C$6</f>
        <v>2454.9059009827924</v>
      </c>
      <c r="S169" s="79">
        <f ca="1">R169/2000</f>
        <v>1.2274529504913962</v>
      </c>
    </row>
    <row r="170" spans="1:19" s="496" customFormat="1">
      <c r="A170" s="699" t="s">
        <v>919</v>
      </c>
      <c r="B170" s="512"/>
      <c r="C170" s="512"/>
      <c r="D170" s="510"/>
      <c r="E170" s="509"/>
      <c r="F170" s="512"/>
      <c r="G170" s="512"/>
      <c r="H170" s="679" t="s">
        <v>845</v>
      </c>
      <c r="I170" s="673" t="s">
        <v>846</v>
      </c>
      <c r="J170" s="679" t="s">
        <v>845</v>
      </c>
      <c r="K170" s="673" t="s">
        <v>846</v>
      </c>
      <c r="L170" s="679" t="s">
        <v>845</v>
      </c>
      <c r="M170" s="673" t="s">
        <v>846</v>
      </c>
      <c r="N170" s="679" t="s">
        <v>845</v>
      </c>
      <c r="O170" s="673" t="s">
        <v>846</v>
      </c>
      <c r="P170" s="679" t="s">
        <v>845</v>
      </c>
      <c r="Q170" s="673" t="s">
        <v>846</v>
      </c>
      <c r="R170" s="673" t="s">
        <v>845</v>
      </c>
      <c r="S170" s="673" t="s">
        <v>846</v>
      </c>
    </row>
    <row r="171" spans="1:19" s="496" customFormat="1">
      <c r="A171" s="347" t="s">
        <v>821</v>
      </c>
      <c r="B171" s="349">
        <f t="shared" ref="B171:B183" ca="1" si="65">SUM(L96:M96)</f>
        <v>14.443048288408258</v>
      </c>
      <c r="C171" s="349">
        <f t="shared" ref="C171:C183" ca="1" si="66">SUM(N96:O96)</f>
        <v>187.19538693026772</v>
      </c>
      <c r="D171" s="347">
        <f t="shared" ref="D171:D183" ca="1" si="67">SUM(P96:Q96)</f>
        <v>303.35837930672125</v>
      </c>
      <c r="E171" s="348">
        <f t="shared" ref="E171:E183" ca="1" si="68">SUM(R96:S96)</f>
        <v>275.92955692329491</v>
      </c>
      <c r="F171" s="349">
        <f t="shared" ref="F171:F183" ca="1" si="69">SUM(T96:U96)</f>
        <v>11.915593522352985</v>
      </c>
      <c r="G171" s="349">
        <f t="shared" ref="G171:G183" ca="1" si="70">SUM(V96:W96)</f>
        <v>322.90525140570458</v>
      </c>
      <c r="H171" s="494">
        <f t="shared" ref="H171:H184" ca="1" si="71">SUMPRODUCT($B$160:$C$160,$B171:$C171)*$D$160+$D171</f>
        <v>511.57580599873882</v>
      </c>
      <c r="I171" s="348">
        <f t="shared" ref="I171:I184" ca="1" si="72">H171/2000</f>
        <v>0.25578790299936943</v>
      </c>
      <c r="J171" s="494">
        <f t="shared" ref="J171:J184" ca="1" si="73">(SUMPRODUCT($B$161:$C$161,$B171:$C171)*$D$161+$D171)*$E$161+$E171</f>
        <v>787.50536292203378</v>
      </c>
      <c r="K171" s="348">
        <f t="shared" ref="K171:K184" ca="1" si="74">J171/2000</f>
        <v>0.39375268146101688</v>
      </c>
      <c r="L171" s="494">
        <f t="shared" ref="L171:L184" ca="1" si="75">$H171*$F$160+$F171</f>
        <v>523.49139952109181</v>
      </c>
      <c r="M171" s="348">
        <f t="shared" ref="M171:M184" ca="1" si="76">L171/2000</f>
        <v>0.2617456997605459</v>
      </c>
      <c r="N171" s="494">
        <f t="shared" ref="N171:N184" ca="1" si="77">$J171*$F$161+$F171</f>
        <v>799.42095644438677</v>
      </c>
      <c r="O171" s="348">
        <f t="shared" ref="O171:O184" ca="1" si="78">N171/2000</f>
        <v>0.39971047822219341</v>
      </c>
      <c r="P171" s="494">
        <f t="shared" ref="P171:P184" ca="1" si="79">SUMPRODUCT($B$162:$C$162,$B171:$C171)*$G$162+$G$162*$G171</f>
        <v>524.08150907915149</v>
      </c>
      <c r="Q171" s="348">
        <f t="shared" ref="Q171:Q184" ca="1" si="80">P171/2000</f>
        <v>0.26204075453957576</v>
      </c>
      <c r="R171" s="348">
        <f ca="1">L171*W.Al!$A$6+N171*W.Al!$B$6+P171*W.Al!$C$6</f>
        <v>559.87563723663209</v>
      </c>
      <c r="S171" s="348">
        <f t="shared" ref="S171:S184" ca="1" si="81">R171/2000</f>
        <v>0.27993781861831607</v>
      </c>
    </row>
    <row r="172" spans="1:19" s="496" customFormat="1">
      <c r="A172" s="347" t="s">
        <v>822</v>
      </c>
      <c r="B172" s="349">
        <f t="shared" ca="1" si="65"/>
        <v>53.229183684608017</v>
      </c>
      <c r="C172" s="349">
        <f t="shared" ca="1" si="66"/>
        <v>399.16447303685163</v>
      </c>
      <c r="D172" s="347">
        <f t="shared" ca="1" si="67"/>
        <v>188.68125018253426</v>
      </c>
      <c r="E172" s="348">
        <f t="shared" ca="1" si="68"/>
        <v>151.05153270125712</v>
      </c>
      <c r="F172" s="349">
        <f t="shared" ca="1" si="69"/>
        <v>32.207721927340408</v>
      </c>
      <c r="G172" s="349">
        <f t="shared" ca="1" si="70"/>
        <v>325.26455811153886</v>
      </c>
      <c r="H172" s="494">
        <f t="shared" ca="1" si="71"/>
        <v>655.14573432561065</v>
      </c>
      <c r="I172" s="348">
        <f t="shared" ca="1" si="72"/>
        <v>0.32757286716280531</v>
      </c>
      <c r="J172" s="494">
        <f t="shared" ca="1" si="73"/>
        <v>806.19726702686773</v>
      </c>
      <c r="K172" s="348">
        <f t="shared" ca="1" si="74"/>
        <v>0.40309863351343389</v>
      </c>
      <c r="L172" s="494">
        <f t="shared" ca="1" si="75"/>
        <v>687.3534562529511</v>
      </c>
      <c r="M172" s="348">
        <f t="shared" ca="1" si="76"/>
        <v>0.34367672812647554</v>
      </c>
      <c r="N172" s="494">
        <f t="shared" ca="1" si="77"/>
        <v>838.40498895420819</v>
      </c>
      <c r="O172" s="348">
        <f t="shared" ca="1" si="78"/>
        <v>0.41920249447710412</v>
      </c>
      <c r="P172" s="494">
        <f t="shared" ca="1" si="79"/>
        <v>775.95488095509108</v>
      </c>
      <c r="Q172" s="348">
        <f t="shared" ca="1" si="80"/>
        <v>0.38797744047754557</v>
      </c>
      <c r="R172" s="348">
        <f ca="1">L172*W.Al!$A$6+N172*W.Al!$B$6+P172*W.Al!$C$6</f>
        <v>784.0733949949763</v>
      </c>
      <c r="S172" s="348">
        <f t="shared" ca="1" si="81"/>
        <v>0.39203669749748815</v>
      </c>
    </row>
    <row r="173" spans="1:19" s="496" customFormat="1">
      <c r="A173" s="347" t="s">
        <v>849</v>
      </c>
      <c r="B173" s="349">
        <f t="shared" ca="1" si="65"/>
        <v>81.116188142851811</v>
      </c>
      <c r="C173" s="349">
        <f t="shared" ca="1" si="66"/>
        <v>728.62428940093957</v>
      </c>
      <c r="D173" s="347">
        <f t="shared" ca="1" si="67"/>
        <v>351.26890844458444</v>
      </c>
      <c r="E173" s="348">
        <f t="shared" ca="1" si="68"/>
        <v>225.25936722742239</v>
      </c>
      <c r="F173" s="349">
        <f t="shared" ca="1" si="69"/>
        <v>66.349908848759256</v>
      </c>
      <c r="G173" s="349">
        <f t="shared" ca="1" si="70"/>
        <v>439.00218483338102</v>
      </c>
      <c r="H173" s="494">
        <f t="shared" ca="1" si="71"/>
        <v>1186.6637345511172</v>
      </c>
      <c r="I173" s="348">
        <f t="shared" ca="1" si="72"/>
        <v>0.59333186727555853</v>
      </c>
      <c r="J173" s="494">
        <f t="shared" ca="1" si="73"/>
        <v>1411.9231017785396</v>
      </c>
      <c r="K173" s="348">
        <f t="shared" ca="1" si="74"/>
        <v>0.70596155088926982</v>
      </c>
      <c r="L173" s="494">
        <f t="shared" ca="1" si="75"/>
        <v>1253.0136433998764</v>
      </c>
      <c r="M173" s="348">
        <f t="shared" ca="1" si="76"/>
        <v>0.62650682169993821</v>
      </c>
      <c r="N173" s="494">
        <f t="shared" ca="1" si="77"/>
        <v>1478.2730106272988</v>
      </c>
      <c r="O173" s="348">
        <f t="shared" ca="1" si="78"/>
        <v>0.73913650531364938</v>
      </c>
      <c r="P173" s="494">
        <f t="shared" ca="1" si="79"/>
        <v>1246.1469443566011</v>
      </c>
      <c r="Q173" s="348">
        <f t="shared" ca="1" si="80"/>
        <v>0.62307347217830056</v>
      </c>
      <c r="R173" s="348">
        <f ca="1">L173*W.Al!$A$6+N173*W.Al!$B$6+P173*W.Al!$C$6</f>
        <v>1276.3233329717918</v>
      </c>
      <c r="S173" s="348">
        <f t="shared" ca="1" si="81"/>
        <v>0.6381616664858959</v>
      </c>
    </row>
    <row r="174" spans="1:19" s="496" customFormat="1">
      <c r="A174" s="347" t="s">
        <v>824</v>
      </c>
      <c r="B174" s="349">
        <f t="shared" ca="1" si="65"/>
        <v>7.3077381371597676</v>
      </c>
      <c r="C174" s="349">
        <f t="shared" ca="1" si="66"/>
        <v>604.56361130448897</v>
      </c>
      <c r="D174" s="347">
        <f t="shared" ca="1" si="67"/>
        <v>116.07785606104214</v>
      </c>
      <c r="E174" s="348">
        <f t="shared" ca="1" si="68"/>
        <v>75.243176736136135</v>
      </c>
      <c r="F174" s="349">
        <f t="shared" ca="1" si="69"/>
        <v>10.621045880234171</v>
      </c>
      <c r="G174" s="349">
        <f t="shared" ca="1" si="70"/>
        <v>29.988289602502665</v>
      </c>
      <c r="H174" s="494">
        <f t="shared" ca="1" si="71"/>
        <v>749.12267044604584</v>
      </c>
      <c r="I174" s="348">
        <f t="shared" ca="1" si="72"/>
        <v>0.37456133522302293</v>
      </c>
      <c r="J174" s="494">
        <f t="shared" ca="1" si="73"/>
        <v>824.36584718218194</v>
      </c>
      <c r="K174" s="348">
        <f t="shared" ca="1" si="74"/>
        <v>0.41218292359109099</v>
      </c>
      <c r="L174" s="494">
        <f t="shared" ca="1" si="75"/>
        <v>759.74371632628004</v>
      </c>
      <c r="M174" s="348">
        <f t="shared" ca="1" si="76"/>
        <v>0.37987185816314001</v>
      </c>
      <c r="N174" s="494">
        <f t="shared" ca="1" si="77"/>
        <v>834.98689306241613</v>
      </c>
      <c r="O174" s="348">
        <f t="shared" ca="1" si="78"/>
        <v>0.41749344653120807</v>
      </c>
      <c r="P174" s="494">
        <f t="shared" ca="1" si="79"/>
        <v>641.62579142376228</v>
      </c>
      <c r="Q174" s="348">
        <f t="shared" ca="1" si="80"/>
        <v>0.32081289571188115</v>
      </c>
      <c r="R174" s="348">
        <f ca="1">L174*W.Al!$A$6+N174*W.Al!$B$6+P174*W.Al!$C$6</f>
        <v>666.76273463678729</v>
      </c>
      <c r="S174" s="348">
        <f t="shared" ca="1" si="81"/>
        <v>0.33338136731839363</v>
      </c>
    </row>
    <row r="175" spans="1:19" s="349" customFormat="1">
      <c r="A175" s="347" t="s">
        <v>825</v>
      </c>
      <c r="B175" s="349">
        <f t="shared" ca="1" si="65"/>
        <v>5.5460455099505452</v>
      </c>
      <c r="C175" s="349">
        <f t="shared" ca="1" si="66"/>
        <v>304.12369779633991</v>
      </c>
      <c r="D175" s="347">
        <f t="shared" ca="1" si="67"/>
        <v>59.031872148031674</v>
      </c>
      <c r="E175" s="348">
        <f t="shared" ca="1" si="68"/>
        <v>39.350165344221722</v>
      </c>
      <c r="F175" s="349">
        <f t="shared" ca="1" si="69"/>
        <v>6.3754901502345698</v>
      </c>
      <c r="G175" s="349">
        <f t="shared" ca="1" si="70"/>
        <v>25.99954188392671</v>
      </c>
      <c r="H175" s="494">
        <f t="shared" ca="1" si="71"/>
        <v>379.35637144275267</v>
      </c>
      <c r="I175" s="348">
        <f t="shared" ca="1" si="72"/>
        <v>0.18967818572137635</v>
      </c>
      <c r="J175" s="494">
        <f t="shared" ca="1" si="73"/>
        <v>418.70653678697443</v>
      </c>
      <c r="K175" s="348">
        <f t="shared" ca="1" si="74"/>
        <v>0.20935326839348722</v>
      </c>
      <c r="L175" s="494">
        <f t="shared" ca="1" si="75"/>
        <v>385.73186159298723</v>
      </c>
      <c r="M175" s="348">
        <f t="shared" ca="1" si="76"/>
        <v>0.19286593079649361</v>
      </c>
      <c r="N175" s="494">
        <f t="shared" ca="1" si="77"/>
        <v>425.08202693720898</v>
      </c>
      <c r="O175" s="348">
        <f t="shared" ca="1" si="78"/>
        <v>0.21254101346860449</v>
      </c>
      <c r="P175" s="494">
        <f t="shared" ca="1" si="79"/>
        <v>335.49181173389877</v>
      </c>
      <c r="Q175" s="348">
        <f t="shared" ca="1" si="80"/>
        <v>0.16774590586694937</v>
      </c>
      <c r="R175" s="348">
        <f ca="1">L175*W.Al!$A$6+N175*W.Al!$B$6+P175*W.Al!$C$6</f>
        <v>347.13853971032916</v>
      </c>
      <c r="S175" s="348">
        <f t="shared" ca="1" si="81"/>
        <v>0.17356926985516458</v>
      </c>
    </row>
    <row r="176" spans="1:19" s="349" customFormat="1">
      <c r="A176" s="347" t="s">
        <v>826</v>
      </c>
      <c r="B176" s="349">
        <f t="shared" ca="1" si="65"/>
        <v>30.957799244709321</v>
      </c>
      <c r="C176" s="349">
        <f t="shared" ca="1" si="66"/>
        <v>1692.8150001834977</v>
      </c>
      <c r="D176" s="347">
        <f t="shared" ca="1" si="67"/>
        <v>66.758524171622909</v>
      </c>
      <c r="E176" s="348">
        <f t="shared" ca="1" si="68"/>
        <v>96.69981346901568</v>
      </c>
      <c r="F176" s="349">
        <f t="shared" ca="1" si="69"/>
        <v>55.709899657095093</v>
      </c>
      <c r="G176" s="349">
        <f t="shared" ca="1" si="70"/>
        <v>115.04689398365548</v>
      </c>
      <c r="H176" s="494">
        <f t="shared" ca="1" si="71"/>
        <v>1849.8380492688323</v>
      </c>
      <c r="I176" s="348">
        <f t="shared" ca="1" si="72"/>
        <v>0.92491902463441611</v>
      </c>
      <c r="J176" s="494">
        <f t="shared" ca="1" si="73"/>
        <v>1946.5378627378479</v>
      </c>
      <c r="K176" s="348">
        <f t="shared" ca="1" si="74"/>
        <v>0.97326893136892401</v>
      </c>
      <c r="L176" s="494">
        <f t="shared" ca="1" si="75"/>
        <v>1905.5479489259274</v>
      </c>
      <c r="M176" s="348">
        <f t="shared" ca="1" si="76"/>
        <v>0.95277397446296364</v>
      </c>
      <c r="N176" s="494">
        <f t="shared" ca="1" si="77"/>
        <v>2002.247762394943</v>
      </c>
      <c r="O176" s="348">
        <f t="shared" ca="1" si="78"/>
        <v>1.0011238811974714</v>
      </c>
      <c r="P176" s="494">
        <f t="shared" ca="1" si="79"/>
        <v>1837.8290438360318</v>
      </c>
      <c r="Q176" s="348">
        <f t="shared" ca="1" si="80"/>
        <v>0.91891452191801593</v>
      </c>
      <c r="R176" s="348">
        <f ca="1">L176*W.Al!$A$6+N176*W.Al!$B$6+P176*W.Al!$C$6</f>
        <v>1859.2034772486902</v>
      </c>
      <c r="S176" s="348">
        <f t="shared" ca="1" si="81"/>
        <v>0.92960173862434514</v>
      </c>
    </row>
    <row r="177" spans="1:19" s="349" customFormat="1">
      <c r="A177" s="347" t="s">
        <v>827</v>
      </c>
      <c r="B177" s="349">
        <f t="shared" ca="1" si="65"/>
        <v>0.66942724126412367</v>
      </c>
      <c r="C177" s="349">
        <f t="shared" ca="1" si="66"/>
        <v>5.4858131425664496</v>
      </c>
      <c r="D177" s="347">
        <f t="shared" ca="1" si="67"/>
        <v>2.3824196747380744</v>
      </c>
      <c r="E177" s="348">
        <f t="shared" ca="1" si="68"/>
        <v>1.7974431755922773</v>
      </c>
      <c r="F177" s="349">
        <f t="shared" ca="1" si="69"/>
        <v>0.38899796164258693</v>
      </c>
      <c r="G177" s="349">
        <f t="shared" ca="1" si="70"/>
        <v>3.9103878545395609</v>
      </c>
      <c r="H177" s="494">
        <f t="shared" ca="1" si="71"/>
        <v>8.7309220417720503</v>
      </c>
      <c r="I177" s="348">
        <f t="shared" ca="1" si="72"/>
        <v>4.3654610208860248E-3</v>
      </c>
      <c r="J177" s="494">
        <f t="shared" ca="1" si="73"/>
        <v>10.528365217364328</v>
      </c>
      <c r="K177" s="348">
        <f t="shared" ca="1" si="74"/>
        <v>5.2641826086821638E-3</v>
      </c>
      <c r="L177" s="494">
        <f t="shared" ca="1" si="75"/>
        <v>9.1199200034146379</v>
      </c>
      <c r="M177" s="348">
        <f t="shared" ca="1" si="76"/>
        <v>4.5599600017073192E-3</v>
      </c>
      <c r="N177" s="494">
        <f t="shared" ca="1" si="77"/>
        <v>10.917363179006916</v>
      </c>
      <c r="O177" s="348">
        <f t="shared" ca="1" si="78"/>
        <v>5.4586815895034582E-3</v>
      </c>
      <c r="P177" s="494">
        <f t="shared" ca="1" si="79"/>
        <v>10.044206566649683</v>
      </c>
      <c r="Q177" s="348">
        <f t="shared" ca="1" si="80"/>
        <v>5.022103283324841E-3</v>
      </c>
      <c r="R177" s="348">
        <f ca="1">L177*W.Al!$A$6+N177*W.Al!$B$6+P177*W.Al!$C$6</f>
        <v>10.157716926256123</v>
      </c>
      <c r="S177" s="348">
        <f t="shared" ca="1" si="81"/>
        <v>5.0788584631280614E-3</v>
      </c>
    </row>
    <row r="178" spans="1:19" s="349" customFormat="1">
      <c r="A178" s="347" t="s">
        <v>828</v>
      </c>
      <c r="B178" s="349">
        <f t="shared" ca="1" si="65"/>
        <v>1.9845025422616864</v>
      </c>
      <c r="C178" s="349">
        <f t="shared" ca="1" si="66"/>
        <v>12.517142994098787</v>
      </c>
      <c r="D178" s="347">
        <f t="shared" ca="1" si="67"/>
        <v>6.1497583020380935</v>
      </c>
      <c r="E178" s="348">
        <f t="shared" ca="1" si="68"/>
        <v>5.5556985420685372</v>
      </c>
      <c r="F178" s="349">
        <f t="shared" ca="1" si="69"/>
        <v>1.8515360548206214</v>
      </c>
      <c r="G178" s="349">
        <f t="shared" ca="1" si="70"/>
        <v>10.15131368496171</v>
      </c>
      <c r="H178" s="494">
        <f t="shared" ca="1" si="71"/>
        <v>21.093234707971476</v>
      </c>
      <c r="I178" s="348">
        <f t="shared" ca="1" si="72"/>
        <v>1.0546617353985738E-2</v>
      </c>
      <c r="J178" s="494">
        <f t="shared" ca="1" si="73"/>
        <v>26.648933250040013</v>
      </c>
      <c r="K178" s="348">
        <f t="shared" ca="1" si="74"/>
        <v>1.3324466625020006E-2</v>
      </c>
      <c r="L178" s="494">
        <f t="shared" ca="1" si="75"/>
        <v>22.944770762792096</v>
      </c>
      <c r="M178" s="348">
        <f t="shared" ca="1" si="76"/>
        <v>1.1472385381396048E-2</v>
      </c>
      <c r="N178" s="494">
        <f t="shared" ca="1" si="77"/>
        <v>28.500469304860633</v>
      </c>
      <c r="O178" s="348">
        <f t="shared" ca="1" si="78"/>
        <v>1.4250234652430317E-2</v>
      </c>
      <c r="P178" s="494">
        <f t="shared" ca="1" si="79"/>
        <v>24.589455139969811</v>
      </c>
      <c r="Q178" s="348">
        <f t="shared" ca="1" si="80"/>
        <v>1.2294727569984905E-2</v>
      </c>
      <c r="R178" s="348">
        <f ca="1">L178*W.Al!$A$6+N178*W.Al!$B$6+P178*W.Al!$C$6</f>
        <v>25.097886981405619</v>
      </c>
      <c r="S178" s="348">
        <f t="shared" ca="1" si="81"/>
        <v>1.254894349070281E-2</v>
      </c>
    </row>
    <row r="179" spans="1:19" s="349" customFormat="1">
      <c r="A179" s="347" t="s">
        <v>829</v>
      </c>
      <c r="B179" s="349">
        <f t="shared" ca="1" si="65"/>
        <v>255.39784469106743</v>
      </c>
      <c r="C179" s="349">
        <f t="shared" ca="1" si="66"/>
        <v>1800.3754507178487</v>
      </c>
      <c r="D179" s="347">
        <f t="shared" ca="1" si="67"/>
        <v>807.00951227598023</v>
      </c>
      <c r="E179" s="348">
        <f t="shared" ca="1" si="68"/>
        <v>716.43683549366233</v>
      </c>
      <c r="F179" s="349">
        <f t="shared" ca="1" si="69"/>
        <v>230.36876588616292</v>
      </c>
      <c r="G179" s="349">
        <f t="shared" ca="1" si="70"/>
        <v>1332.7532109670594</v>
      </c>
      <c r="H179" s="494">
        <f t="shared" ca="1" si="71"/>
        <v>2926.2760964080403</v>
      </c>
      <c r="I179" s="348">
        <f t="shared" ca="1" si="72"/>
        <v>1.4631380482040202</v>
      </c>
      <c r="J179" s="494">
        <f t="shared" ca="1" si="73"/>
        <v>3642.7129319017026</v>
      </c>
      <c r="K179" s="348">
        <f t="shared" ca="1" si="74"/>
        <v>1.8213564659508512</v>
      </c>
      <c r="L179" s="494">
        <f t="shared" ca="1" si="75"/>
        <v>3156.6448622942034</v>
      </c>
      <c r="M179" s="348">
        <f t="shared" ca="1" si="76"/>
        <v>1.5783224311471018</v>
      </c>
      <c r="N179" s="494">
        <f t="shared" ca="1" si="77"/>
        <v>3873.0816977878658</v>
      </c>
      <c r="O179" s="348">
        <f t="shared" ca="1" si="78"/>
        <v>1.9365408488939329</v>
      </c>
      <c r="P179" s="494">
        <f t="shared" ca="1" si="79"/>
        <v>3380.3537753458613</v>
      </c>
      <c r="Q179" s="348">
        <f t="shared" ca="1" si="80"/>
        <v>1.6901768876729306</v>
      </c>
      <c r="R179" s="348">
        <f ca="1">L179*W.Al!$A$6+N179*W.Al!$B$6+P179*W.Al!$C$6</f>
        <v>3444.4084052633216</v>
      </c>
      <c r="S179" s="348">
        <f t="shared" ca="1" si="81"/>
        <v>1.7222042026316609</v>
      </c>
    </row>
    <row r="180" spans="1:19" s="349" customFormat="1">
      <c r="A180" s="347" t="s">
        <v>830</v>
      </c>
      <c r="B180" s="349">
        <f t="shared" ca="1" si="65"/>
        <v>2.4603369180725125</v>
      </c>
      <c r="C180" s="349">
        <f t="shared" ca="1" si="66"/>
        <v>18.51431316609246</v>
      </c>
      <c r="D180" s="347">
        <f t="shared" ca="1" si="67"/>
        <v>7.9665979975946799</v>
      </c>
      <c r="E180" s="348">
        <f t="shared" ca="1" si="68"/>
        <v>7.8558160202617886</v>
      </c>
      <c r="F180" s="349">
        <f t="shared" ca="1" si="69"/>
        <v>2.090091004206593</v>
      </c>
      <c r="G180" s="349">
        <f t="shared" ca="1" si="70"/>
        <v>13.121892439167178</v>
      </c>
      <c r="H180" s="494">
        <f t="shared" ca="1" si="71"/>
        <v>29.593874475978861</v>
      </c>
      <c r="I180" s="348">
        <f t="shared" ca="1" si="72"/>
        <v>1.479693723798943E-2</v>
      </c>
      <c r="J180" s="494">
        <f t="shared" ca="1" si="73"/>
        <v>37.449690496240649</v>
      </c>
      <c r="K180" s="348">
        <f t="shared" ca="1" si="74"/>
        <v>1.8724845248120323E-2</v>
      </c>
      <c r="L180" s="494">
        <f t="shared" ca="1" si="75"/>
        <v>31.683965480185453</v>
      </c>
      <c r="M180" s="348">
        <f t="shared" ca="1" si="76"/>
        <v>1.5841982740092728E-2</v>
      </c>
      <c r="N180" s="494">
        <f t="shared" ca="1" si="77"/>
        <v>39.539781500447241</v>
      </c>
      <c r="O180" s="348">
        <f t="shared" ca="1" si="78"/>
        <v>1.9769890750223621E-2</v>
      </c>
      <c r="P180" s="494">
        <f t="shared" ca="1" si="79"/>
        <v>34.017811741953828</v>
      </c>
      <c r="Q180" s="348">
        <f t="shared" ca="1" si="80"/>
        <v>1.7008905870976913E-2</v>
      </c>
      <c r="R180" s="348">
        <f ca="1">L180*W.Al!$A$6+N180*W.Al!$B$6+P180*W.Al!$C$6</f>
        <v>34.73566781055797</v>
      </c>
      <c r="S180" s="348">
        <f t="shared" ca="1" si="81"/>
        <v>1.7367833905278986E-2</v>
      </c>
    </row>
    <row r="181" spans="1:19" s="349" customFormat="1">
      <c r="A181" s="347" t="s">
        <v>905</v>
      </c>
      <c r="B181" s="389">
        <f t="shared" si="65"/>
        <v>0</v>
      </c>
      <c r="C181" s="389">
        <f t="shared" si="66"/>
        <v>5.687258396258879</v>
      </c>
      <c r="D181" s="390">
        <f t="shared" si="67"/>
        <v>0</v>
      </c>
      <c r="E181" s="391">
        <f t="shared" si="68"/>
        <v>0</v>
      </c>
      <c r="F181" s="389">
        <f t="shared" si="69"/>
        <v>0</v>
      </c>
      <c r="G181" s="389">
        <f t="shared" si="70"/>
        <v>0</v>
      </c>
      <c r="H181" s="494">
        <f t="shared" si="71"/>
        <v>5.8863124401279396</v>
      </c>
      <c r="I181" s="348">
        <f t="shared" si="72"/>
        <v>2.9431562200639698E-3</v>
      </c>
      <c r="J181" s="494">
        <f t="shared" si="73"/>
        <v>5.8863124401279396</v>
      </c>
      <c r="K181" s="348">
        <f t="shared" si="74"/>
        <v>2.9431562200639698E-3</v>
      </c>
      <c r="L181" s="494">
        <f t="shared" si="75"/>
        <v>5.8863124401279396</v>
      </c>
      <c r="M181" s="348">
        <f t="shared" si="76"/>
        <v>2.9431562200639698E-3</v>
      </c>
      <c r="N181" s="494">
        <f t="shared" si="77"/>
        <v>5.8863124401279396</v>
      </c>
      <c r="O181" s="348">
        <f t="shared" si="78"/>
        <v>2.9431562200639698E-3</v>
      </c>
      <c r="P181" s="494">
        <f t="shared" si="79"/>
        <v>5.687258396258879</v>
      </c>
      <c r="Q181" s="348">
        <f t="shared" si="80"/>
        <v>2.8436291981294394E-3</v>
      </c>
      <c r="R181" s="348">
        <f>L181*W.Al!$A$6+N181*W.Al!$B$6+P181*W.Al!$C$6</f>
        <v>5.7131354219618569</v>
      </c>
      <c r="S181" s="348">
        <f t="shared" si="81"/>
        <v>2.8565677109809286E-3</v>
      </c>
    </row>
    <row r="182" spans="1:19" s="349" customFormat="1">
      <c r="A182" s="347" t="s">
        <v>906</v>
      </c>
      <c r="B182" s="389">
        <f t="shared" si="65"/>
        <v>0</v>
      </c>
      <c r="C182" s="389">
        <f t="shared" si="66"/>
        <v>0.78393938882112013</v>
      </c>
      <c r="D182" s="390">
        <f t="shared" si="67"/>
        <v>0</v>
      </c>
      <c r="E182" s="391">
        <f t="shared" si="68"/>
        <v>0</v>
      </c>
      <c r="F182" s="389">
        <f t="shared" si="69"/>
        <v>0</v>
      </c>
      <c r="G182" s="389">
        <f t="shared" si="70"/>
        <v>0</v>
      </c>
      <c r="H182" s="494">
        <f t="shared" si="71"/>
        <v>0.81137726742985927</v>
      </c>
      <c r="I182" s="348">
        <f t="shared" si="72"/>
        <v>4.0568863371492962E-4</v>
      </c>
      <c r="J182" s="494">
        <f t="shared" si="73"/>
        <v>0.81137726742985927</v>
      </c>
      <c r="K182" s="348">
        <f t="shared" si="74"/>
        <v>4.0568863371492962E-4</v>
      </c>
      <c r="L182" s="494">
        <f t="shared" si="75"/>
        <v>0.81137726742985927</v>
      </c>
      <c r="M182" s="348">
        <f t="shared" si="76"/>
        <v>4.0568863371492962E-4</v>
      </c>
      <c r="N182" s="494">
        <f t="shared" si="77"/>
        <v>0.81137726742985927</v>
      </c>
      <c r="O182" s="348">
        <f t="shared" si="78"/>
        <v>4.0568863371492962E-4</v>
      </c>
      <c r="P182" s="494">
        <f t="shared" si="79"/>
        <v>0.78393938882112013</v>
      </c>
      <c r="Q182" s="348">
        <f t="shared" si="80"/>
        <v>3.9196969441056007E-4</v>
      </c>
      <c r="R182" s="348">
        <f>L182*W.Al!$A$6+N182*W.Al!$B$6+P182*W.Al!$C$6</f>
        <v>0.7875063130402562</v>
      </c>
      <c r="S182" s="348">
        <f t="shared" si="81"/>
        <v>3.9375315652012813E-4</v>
      </c>
    </row>
    <row r="183" spans="1:19" s="64" customFormat="1">
      <c r="A183" s="230" t="s">
        <v>831</v>
      </c>
      <c r="B183" s="246">
        <f t="shared" ca="1" si="65"/>
        <v>90795.277595661217</v>
      </c>
      <c r="C183" s="246">
        <f t="shared" ca="1" si="66"/>
        <v>790349.9867409888</v>
      </c>
      <c r="D183" s="251">
        <f t="shared" ca="1" si="67"/>
        <v>256579.28397573091</v>
      </c>
      <c r="E183" s="247">
        <f t="shared" ca="1" si="68"/>
        <v>258687.97947380762</v>
      </c>
      <c r="F183" s="246">
        <f t="shared" ca="1" si="69"/>
        <v>101789.5866313571</v>
      </c>
      <c r="G183" s="246">
        <f t="shared" ca="1" si="70"/>
        <v>426454.25531456532</v>
      </c>
      <c r="H183" s="630">
        <f t="shared" ca="1" si="71"/>
        <v>1165557.4929701954</v>
      </c>
      <c r="I183" s="247">
        <f t="shared" ca="1" si="72"/>
        <v>582.77874648509771</v>
      </c>
      <c r="J183" s="630">
        <f t="shared" ca="1" si="73"/>
        <v>1424245.472444003</v>
      </c>
      <c r="K183" s="247">
        <f t="shared" ca="1" si="74"/>
        <v>712.12273622200144</v>
      </c>
      <c r="L183" s="630">
        <f t="shared" ca="1" si="75"/>
        <v>1267347.0796015526</v>
      </c>
      <c r="M183" s="247">
        <f t="shared" ca="1" si="76"/>
        <v>633.67353980077633</v>
      </c>
      <c r="N183" s="630">
        <f t="shared" ca="1" si="77"/>
        <v>1526035.0590753602</v>
      </c>
      <c r="O183" s="247">
        <f t="shared" ca="1" si="78"/>
        <v>763.01752953768005</v>
      </c>
      <c r="P183" s="630">
        <f t="shared" ca="1" si="79"/>
        <v>1304694.0707681542</v>
      </c>
      <c r="Q183" s="247">
        <f t="shared" ca="1" si="80"/>
        <v>652.34703538407712</v>
      </c>
      <c r="R183" s="516">
        <f ca="1">L183*W.Al!$A$6+N183*W.Al!$B$6+P183*W.Al!$C$6</f>
        <v>1333468.399248091</v>
      </c>
      <c r="S183" s="247">
        <f t="shared" ca="1" si="81"/>
        <v>666.73419962404557</v>
      </c>
    </row>
    <row r="184" spans="1:19" s="64" customFormat="1">
      <c r="A184" s="230" t="s">
        <v>850</v>
      </c>
      <c r="B184" s="246">
        <f ca="1">B183+B171*GREET1_Import_Export!$B$62/GREET1_Import_Export!$B$65+B172*GREET1_Import_Export!$B$63/GREET1_Import_Export!$B$65</f>
        <v>90923.93762290258</v>
      </c>
      <c r="C184" s="246">
        <f ca="1">C183+C171*GREET1_Import_Export!$B$62/GREET1_Import_Export!$B$65+C172*GREET1_Import_Export!$B$63/GREET1_Import_Export!$B$65</f>
        <v>791560.67082121747</v>
      </c>
      <c r="D184" s="251">
        <f ca="1">D183+D171*GREET1_Import_Export!$B$62/GREET1_Import_Export!$B$65+D172*GREET1_Import_Export!$B$63/GREET1_Import_Export!$B$65</f>
        <v>257821.25003199989</v>
      </c>
      <c r="E184" s="247">
        <f ca="1">E183+E171*GREET1_Import_Export!$B$62/GREET1_Import_Export!$B$65+E172*GREET1_Import_Export!$B$63/GREET1_Import_Export!$B$65</f>
        <v>259785.3266204634</v>
      </c>
      <c r="F184" s="246">
        <f ca="1">F183+F171*GREET1_Import_Export!$B$62/GREET1_Import_Export!$B$65+F172*GREET1_Import_Export!$B$63/GREET1_Import_Export!$B$65</f>
        <v>101877.33569895901</v>
      </c>
      <c r="G184" s="246">
        <f ca="1">G183+G171*GREET1_Import_Export!$B$62/GREET1_Import_Export!$B$65+G172*GREET1_Import_Export!$B$63/GREET1_Import_Export!$B$65</f>
        <v>427971.77336800267</v>
      </c>
      <c r="H184" s="630">
        <f t="shared" ca="1" si="71"/>
        <v>1168181.4189575936</v>
      </c>
      <c r="I184" s="247">
        <f t="shared" ca="1" si="72"/>
        <v>584.09070947879684</v>
      </c>
      <c r="J184" s="630">
        <f t="shared" ca="1" si="73"/>
        <v>1427966.7455780571</v>
      </c>
      <c r="K184" s="247">
        <f t="shared" ca="1" si="74"/>
        <v>713.98337278902852</v>
      </c>
      <c r="L184" s="630">
        <f t="shared" ca="1" si="75"/>
        <v>1270058.7546565526</v>
      </c>
      <c r="M184" s="247">
        <f t="shared" ca="1" si="76"/>
        <v>635.02937732827627</v>
      </c>
      <c r="N184" s="630">
        <f t="shared" ca="1" si="77"/>
        <v>1529844.0812770161</v>
      </c>
      <c r="O184" s="247">
        <f t="shared" ca="1" si="78"/>
        <v>764.92204063850807</v>
      </c>
      <c r="P184" s="630">
        <f t="shared" ca="1" si="79"/>
        <v>1307546.8158081898</v>
      </c>
      <c r="Q184" s="247">
        <f t="shared" ca="1" si="80"/>
        <v>653.77340790409494</v>
      </c>
      <c r="R184" s="516">
        <f ca="1">L184*W.Al!$A$6+N184*W.Al!$B$6+P184*W.Al!$C$6</f>
        <v>1336445.4603191372</v>
      </c>
      <c r="S184" s="247">
        <f t="shared" ca="1" si="81"/>
        <v>668.22273015956864</v>
      </c>
    </row>
    <row r="185" spans="1:19" s="64" customFormat="1">
      <c r="A185" s="230" t="s">
        <v>851</v>
      </c>
      <c r="B185" s="294">
        <f ca="1">B184+SUMPRODUCT(B179:B180,GREET1_Import_Export!$B$51:$B$52)+SUMPRODUCT(B171:B173,GREET1_Import_Export!$B$55:$B$57)+SUMPRODUCT(B177:B178,GREET1_Import_Export!$B$58:$B$59)+SUMPRODUCT(B181:B182,'GREET2_Factors_T&amp;D'!$B$6:$B$7)</f>
        <v>99237.862246923818</v>
      </c>
      <c r="C185" s="294">
        <f ca="1">C184+SUMPRODUCT(C179:C180,GREET1_Import_Export!$B$51:$B$52)+SUMPRODUCT(C171:C173,GREET1_Import_Export!$B$55:$B$57)+SUMPRODUCT(C177:C178,GREET1_Import_Export!$B$58:$B$59)+SUMPRODUCT(C181:C182,'GREET2_Factors_T&amp;D'!$B$6:$B$7)</f>
        <v>896886.47771487827</v>
      </c>
      <c r="D185" s="295">
        <f ca="1">D184+SUMPRODUCT(D179:D180,GREET1_Import_Export!$B$51:$B$52)+SUMPRODUCT(D171:D173,GREET1_Import_Export!$B$55:$B$57)+SUMPRODUCT(D177:D178,GREET1_Import_Export!$B$58:$B$59)+SUMPRODUCT(D181:D182,'GREET2_Factors_T&amp;D'!$B$6:$B$7)</f>
        <v>284142.68386964191</v>
      </c>
      <c r="E185" s="296">
        <f ca="1">E184+SUMPRODUCT(E179:E180,GREET1_Import_Export!$B$51:$B$52)+SUMPRODUCT(E171:E173,GREET1_Import_Export!$B$55:$B$57)+SUMPRODUCT(E177:E178,GREET1_Import_Export!$B$58:$B$59)+SUMPRODUCT(E181:E182,'GREET2_Factors_T&amp;D'!$B$6:$B$7)</f>
        <v>283360.22293064266</v>
      </c>
      <c r="F185" s="294">
        <f ca="1">F184+SUMPRODUCT(F179:F180,GREET1_Import_Export!$B$51:$B$52)+SUMPRODUCT(F171:F173,GREET1_Import_Export!$B$55:$B$57)+SUMPRODUCT(F177:F178,GREET1_Import_Export!$B$58:$B$59)+SUMPRODUCT(F181:F182,'GREET2_Factors_T&amp;D'!$B$6:$B$7)</f>
        <v>109342.27279165864</v>
      </c>
      <c r="G185" s="294">
        <f ca="1">G184+SUMPRODUCT(G179:G180,GREET1_Import_Export!$B$51:$B$52)+SUMPRODUCT(G171:G173,GREET1_Import_Export!$B$55:$B$57)+SUMPRODUCT(G177:G178,GREET1_Import_Export!$B$58:$B$59)+SUMPRODUCT(G181:G182,'GREET2_Factors_T&amp;D'!$B$6:$B$7)</f>
        <v>471431.67119339376</v>
      </c>
      <c r="H185" s="630">
        <f ca="1">H184+SUMPRODUCT(H179:H180,GREET1_Import_Export!$B$51:$B$52)+SUMPRODUCT(H171:H173,GREET1_Import_Export!$B$55:$B$57)+SUMPRODUCT(H177:H178,GREET1_Import_Export!$B$58:$B$59)+SUMPRODUCT(H181:H182,'GREET2_Factors_T&amp;D'!$B$6:$B$7)</f>
        <v>1311844.617732489</v>
      </c>
      <c r="I185" s="247">
        <f ca="1">I184+SUMPRODUCT(I179:I180,GREET1_Import_Export!$B$51:$B$52)+SUMPRODUCT(I171:I173,GREET1_Import_Export!$B$55:$B$57)+SUMPRODUCT(I177:I178,GREET1_Import_Export!$B$58:$B$59)+SUMPRODUCT(I181:I182,'GREET2_Factors_T&amp;D'!$B$6:$B$7)</f>
        <v>655.92230886624441</v>
      </c>
      <c r="J185" s="630">
        <f ca="1">J184+SUMPRODUCT(J179:J180,GREET1_Import_Export!$B$51:$B$52)+SUMPRODUCT(J171:J173,GREET1_Import_Export!$B$55:$B$57)+SUMPRODUCT(J177:J178,GREET1_Import_Export!$B$58:$B$59)+SUMPRODUCT(J181:J182,'GREET2_Factors_T&amp;D'!$B$6:$B$7)</f>
        <v>1595204.8406631318</v>
      </c>
      <c r="K185" s="247">
        <f ca="1">K184+SUMPRODUCT(K179:K180,GREET1_Import_Export!$B$51:$B$52)+SUMPRODUCT(K171:K173,GREET1_Import_Export!$B$55:$B$57)+SUMPRODUCT(K177:K178,GREET1_Import_Export!$B$58:$B$59)+SUMPRODUCT(K181:K182,'GREET2_Factors_T&amp;D'!$B$6:$B$7)</f>
        <v>797.60242033156578</v>
      </c>
      <c r="L185" s="630">
        <f ca="1">L184+SUMPRODUCT(L179:L180,GREET1_Import_Export!$B$51:$B$52)+SUMPRODUCT(L171:L173,GREET1_Import_Export!$B$55:$B$57)+SUMPRODUCT(L177:L178,GREET1_Import_Export!$B$58:$B$59)+SUMPRODUCT(L181:L182,'GREET2_Factors_T&amp;D'!$B$6:$B$7)</f>
        <v>1421186.8905241475</v>
      </c>
      <c r="M185" s="247">
        <f ca="1">M184+SUMPRODUCT(M179:M180,GREET1_Import_Export!$B$51:$B$52)+SUMPRODUCT(M171:M173,GREET1_Import_Export!$B$55:$B$57)+SUMPRODUCT(M177:M178,GREET1_Import_Export!$B$58:$B$59)+SUMPRODUCT(M181:M182,'GREET2_Factors_T&amp;D'!$B$6:$B$7)</f>
        <v>710.59344526207371</v>
      </c>
      <c r="N185" s="630">
        <f ca="1">N184+SUMPRODUCT(N179:N180,GREET1_Import_Export!$B$51:$B$52)+SUMPRODUCT(N171:N173,GREET1_Import_Export!$B$55:$B$57)+SUMPRODUCT(N177:N178,GREET1_Import_Export!$B$58:$B$59)+SUMPRODUCT(N181:N182,'GREET2_Factors_T&amp;D'!$B$6:$B$7)</f>
        <v>1704547.1134547903</v>
      </c>
      <c r="O185" s="247">
        <f ca="1">O184+SUMPRODUCT(O179:O180,GREET1_Import_Export!$B$51:$B$52)+SUMPRODUCT(O171:O173,GREET1_Import_Export!$B$55:$B$57)+SUMPRODUCT(O177:O178,GREET1_Import_Export!$B$58:$B$59)+SUMPRODUCT(O181:O182,'GREET2_Factors_T&amp;D'!$B$6:$B$7)</f>
        <v>852.27355672739509</v>
      </c>
      <c r="P185" s="630">
        <f ca="1">P184+SUMPRODUCT(P179:P180,GREET1_Import_Export!$B$51:$B$52)+SUMPRODUCT(P171:P173,GREET1_Import_Export!$B$55:$B$57)+SUMPRODUCT(P177:P178,GREET1_Import_Export!$B$58:$B$59)+SUMPRODUCT(P181:P182,'GREET2_Factors_T&amp;D'!$B$6:$B$7)</f>
        <v>1464380.3995632941</v>
      </c>
      <c r="Q185" s="247">
        <f ca="1">Q184+SUMPRODUCT(Q179:Q180,GREET1_Import_Export!$B$51:$B$52)+SUMPRODUCT(Q171:Q173,GREET1_Import_Export!$B$55:$B$57)+SUMPRODUCT(Q177:Q178,GREET1_Import_Export!$B$58:$B$59)+SUMPRODUCT(Q181:Q182,'GREET2_Factors_T&amp;D'!$B$6:$B$7)</f>
        <v>732.19019978164715</v>
      </c>
      <c r="R185" s="516">
        <f ca="1">R184+SUMPRODUCT(R179:R180,GREET1_Import_Export!$B$51:$B$52)+SUMPRODUCT(R171:R173,GREET1_Import_Export!$B$55:$B$57)+SUMPRODUCT(R177:R178,GREET1_Import_Export!$B$58:$B$59)+SUMPRODUCT(R181:R182,'GREET2_Factors_T&amp;D'!$B$6:$B$7)</f>
        <v>1495602.0723691888</v>
      </c>
      <c r="S185" s="247">
        <f ca="1">S184+SUMPRODUCT(S179:S180,GREET1_Import_Export!$B$51:$B$52)+SUMPRODUCT(S171:S173,GREET1_Import_Export!$B$55:$B$57)+SUMPRODUCT(S177:S178,GREET1_Import_Export!$B$58:$B$59)+SUMPRODUCT(S181:S182,'GREET2_Factors_T&amp;D'!$B$6:$B$7)</f>
        <v>747.80103618459441</v>
      </c>
    </row>
    <row r="186" spans="1:19" s="64" customFormat="1">
      <c r="A186" s="238" t="s">
        <v>920</v>
      </c>
      <c r="D186" s="230"/>
      <c r="E186" s="395"/>
      <c r="H186" s="676" t="s">
        <v>845</v>
      </c>
      <c r="I186" s="466" t="s">
        <v>846</v>
      </c>
      <c r="J186" s="676" t="s">
        <v>845</v>
      </c>
      <c r="K186" s="466" t="s">
        <v>846</v>
      </c>
      <c r="L186" s="676" t="s">
        <v>845</v>
      </c>
      <c r="M186" s="466" t="s">
        <v>846</v>
      </c>
      <c r="N186" s="676" t="s">
        <v>845</v>
      </c>
      <c r="O186" s="466" t="s">
        <v>846</v>
      </c>
      <c r="P186" s="676" t="s">
        <v>845</v>
      </c>
      <c r="Q186" s="466" t="s">
        <v>846</v>
      </c>
      <c r="R186" s="466" t="s">
        <v>845</v>
      </c>
      <c r="S186" s="466" t="s">
        <v>846</v>
      </c>
    </row>
    <row r="187" spans="1:19" s="349" customFormat="1">
      <c r="A187" s="347" t="s">
        <v>821</v>
      </c>
      <c r="B187" s="349">
        <f t="shared" ref="B187:B194" ca="1" si="82">SUM(L110:M110)</f>
        <v>0.74581525104165891</v>
      </c>
      <c r="C187" s="349">
        <f t="shared" ref="C187:C194" ca="1" si="83">SUM(N110:O110)</f>
        <v>6.9158694447506157</v>
      </c>
      <c r="D187" s="347">
        <f t="shared" ref="D187:D194" ca="1" si="84">SUM(P110:Q110)</f>
        <v>2.2645932791555183</v>
      </c>
      <c r="E187" s="348">
        <f t="shared" ref="E187:E194" ca="1" si="85">SUM(R110:S110)</f>
        <v>2.1105079171379941</v>
      </c>
      <c r="F187" s="349">
        <f t="shared" ref="F187:F194" ca="1" si="86">SUM(T110:U110)</f>
        <v>0.74305081884301971</v>
      </c>
      <c r="G187" s="349">
        <f t="shared" ref="G187:G194" ca="1" si="87">SUM(V110:W110)</f>
        <v>3.7456201922635608</v>
      </c>
      <c r="H187" s="494">
        <f t="shared" ref="H187:H194" ca="1" si="88">SUMPRODUCT($B$160:$C$160,$B187:$C187)*$D$160+$D187</f>
        <v>10.169735538186021</v>
      </c>
      <c r="I187" s="348">
        <f t="shared" ref="I187:I194" ca="1" si="89">H187/2000</f>
        <v>5.0848677690930105E-3</v>
      </c>
      <c r="J187" s="494">
        <f t="shared" ref="J187:J194" ca="1" si="90">(SUMPRODUCT($B$161:$C$161,$B187:$C187)*$D$161+$D187)*$E$161+$E187</f>
        <v>12.280243455324015</v>
      </c>
      <c r="K187" s="348">
        <f t="shared" ref="K187:K194" ca="1" si="91">J187/2000</f>
        <v>6.140121727662008E-3</v>
      </c>
      <c r="L187" s="494">
        <f t="shared" ref="L187:L194" ca="1" si="92">$H187*$F$160+$F187</f>
        <v>10.912786357029042</v>
      </c>
      <c r="M187" s="348">
        <f t="shared" ref="M187:M194" ca="1" si="93">L187/2000</f>
        <v>5.4563931785145204E-3</v>
      </c>
      <c r="N187" s="494">
        <f t="shared" ref="N187:N194" ca="1" si="94">$J187*$F$161+$F187</f>
        <v>13.023294274167036</v>
      </c>
      <c r="O187" s="348">
        <f t="shared" ref="O187:O194" ca="1" si="95">N187/2000</f>
        <v>6.5116471370835179E-3</v>
      </c>
      <c r="P187" s="494">
        <f t="shared" ref="P187:P194" ca="1" si="96">SUMPRODUCT($B$162:$C$162,$B187:$C187)*$G$162+$G$162*$G187</f>
        <v>11.383438800022502</v>
      </c>
      <c r="Q187" s="348">
        <f t="shared" ref="Q187:Q194" ca="1" si="97">P187/2000</f>
        <v>5.6917194000112512E-3</v>
      </c>
      <c r="R187" s="348">
        <f ca="1">L187*W.Al!$A$6+N187*W.Al!$B$6+P187*W.Al!$C$6</f>
        <v>11.59662001166129</v>
      </c>
      <c r="S187" s="348">
        <f t="shared" ref="S187:S194" ca="1" si="98">R187/2000</f>
        <v>5.7983100058306451E-3</v>
      </c>
    </row>
    <row r="188" spans="1:19" s="349" customFormat="1">
      <c r="A188" s="347" t="s">
        <v>822</v>
      </c>
      <c r="B188" s="349">
        <f t="shared" ca="1" si="82"/>
        <v>4.349926858256052</v>
      </c>
      <c r="C188" s="349">
        <f t="shared" ca="1" si="83"/>
        <v>30.609226787981065</v>
      </c>
      <c r="D188" s="347">
        <f t="shared" ca="1" si="84"/>
        <v>11.664233303341822</v>
      </c>
      <c r="E188" s="348">
        <f t="shared" ca="1" si="85"/>
        <v>12.665323632209537</v>
      </c>
      <c r="F188" s="349">
        <f t="shared" ca="1" si="86"/>
        <v>5.4856268341994499</v>
      </c>
      <c r="G188" s="349">
        <f t="shared" ca="1" si="87"/>
        <v>19.388969927080222</v>
      </c>
      <c r="H188" s="494">
        <f t="shared" ca="1" si="88"/>
        <v>47.702887749651801</v>
      </c>
      <c r="I188" s="348">
        <f t="shared" ca="1" si="89"/>
        <v>2.3851443874825899E-2</v>
      </c>
      <c r="J188" s="494">
        <f t="shared" ca="1" si="90"/>
        <v>60.368211381861336</v>
      </c>
      <c r="K188" s="348">
        <f t="shared" ca="1" si="91"/>
        <v>3.018410569093067E-2</v>
      </c>
      <c r="L188" s="494">
        <f t="shared" ca="1" si="92"/>
        <v>53.188514583851251</v>
      </c>
      <c r="M188" s="348">
        <f t="shared" ca="1" si="93"/>
        <v>2.6594257291925626E-2</v>
      </c>
      <c r="N188" s="494">
        <f t="shared" ca="1" si="94"/>
        <v>65.85383821606078</v>
      </c>
      <c r="O188" s="348">
        <f t="shared" ca="1" si="95"/>
        <v>3.2926919108030389E-2</v>
      </c>
      <c r="P188" s="494">
        <f t="shared" ca="1" si="96"/>
        <v>54.20892591385315</v>
      </c>
      <c r="Q188" s="348">
        <f t="shared" ca="1" si="97"/>
        <v>2.7104462956926575E-2</v>
      </c>
      <c r="R188" s="348">
        <f ca="1">L188*W.Al!$A$6+N188*W.Al!$B$6+P188*W.Al!$C$6</f>
        <v>55.722764513140142</v>
      </c>
      <c r="S188" s="348">
        <f t="shared" ca="1" si="98"/>
        <v>2.7861382256570071E-2</v>
      </c>
    </row>
    <row r="189" spans="1:19" s="349" customFormat="1">
      <c r="A189" s="347" t="s">
        <v>823</v>
      </c>
      <c r="B189" s="349">
        <f t="shared" ca="1" si="82"/>
        <v>9.1245603254155867</v>
      </c>
      <c r="C189" s="349">
        <f t="shared" ca="1" si="83"/>
        <v>71.858268946099869</v>
      </c>
      <c r="D189" s="347">
        <f t="shared" ca="1" si="84"/>
        <v>17.87292672858387</v>
      </c>
      <c r="E189" s="348">
        <f t="shared" ca="1" si="85"/>
        <v>28.045181761565505</v>
      </c>
      <c r="F189" s="349">
        <f t="shared" ca="1" si="86"/>
        <v>16.384304841038894</v>
      </c>
      <c r="G189" s="349">
        <f t="shared" ca="1" si="87"/>
        <v>30.294723013544203</v>
      </c>
      <c r="H189" s="494">
        <f t="shared" ca="1" si="88"/>
        <v>101.38794958662459</v>
      </c>
      <c r="I189" s="348">
        <f t="shared" ca="1" si="89"/>
        <v>5.0693974793312294E-2</v>
      </c>
      <c r="J189" s="494">
        <f t="shared" ca="1" si="90"/>
        <v>129.4331313481901</v>
      </c>
      <c r="K189" s="348">
        <f t="shared" ca="1" si="91"/>
        <v>6.4716565674095047E-2</v>
      </c>
      <c r="L189" s="494">
        <f t="shared" ca="1" si="92"/>
        <v>117.77225442766348</v>
      </c>
      <c r="M189" s="348">
        <f t="shared" ca="1" si="93"/>
        <v>5.888612721383174E-2</v>
      </c>
      <c r="N189" s="494">
        <f t="shared" ca="1" si="94"/>
        <v>145.817436189229</v>
      </c>
      <c r="O189" s="348">
        <f t="shared" ca="1" si="95"/>
        <v>7.2908718094614494E-2</v>
      </c>
      <c r="P189" s="494">
        <f t="shared" ca="1" si="96"/>
        <v>110.98556635464635</v>
      </c>
      <c r="Q189" s="348">
        <f t="shared" ca="1" si="97"/>
        <v>5.5492783177323174E-2</v>
      </c>
      <c r="R189" s="348">
        <f ca="1">L189*W.Al!$A$6+N189*W.Al!$B$6+P189*W.Al!$C$6</f>
        <v>115.5137094331421</v>
      </c>
      <c r="S189" s="348">
        <f t="shared" ca="1" si="98"/>
        <v>5.7756854716571049E-2</v>
      </c>
    </row>
    <row r="190" spans="1:19" s="349" customFormat="1">
      <c r="A190" s="347" t="s">
        <v>824</v>
      </c>
      <c r="B190" s="349">
        <f t="shared" ca="1" si="82"/>
        <v>0.8893000424828621</v>
      </c>
      <c r="C190" s="349">
        <f t="shared" ca="1" si="83"/>
        <v>7.1850700448960536</v>
      </c>
      <c r="D190" s="347">
        <f t="shared" ca="1" si="84"/>
        <v>0.94372211446330645</v>
      </c>
      <c r="E190" s="348">
        <f t="shared" ca="1" si="85"/>
        <v>2.912332047721105</v>
      </c>
      <c r="F190" s="349">
        <f t="shared" ca="1" si="86"/>
        <v>2.1874894561379064</v>
      </c>
      <c r="G190" s="349">
        <f t="shared" ca="1" si="87"/>
        <v>1.6965725325519025</v>
      </c>
      <c r="H190" s="494">
        <f t="shared" ca="1" si="88"/>
        <v>9.2712415374934505</v>
      </c>
      <c r="I190" s="348">
        <f t="shared" ca="1" si="89"/>
        <v>4.6356207687467251E-3</v>
      </c>
      <c r="J190" s="494">
        <f t="shared" ca="1" si="90"/>
        <v>12.183573585214555</v>
      </c>
      <c r="K190" s="348">
        <f t="shared" ca="1" si="91"/>
        <v>6.0917867926072776E-3</v>
      </c>
      <c r="L190" s="494">
        <f t="shared" ca="1" si="92"/>
        <v>11.458730993631356</v>
      </c>
      <c r="M190" s="348">
        <f t="shared" ca="1" si="93"/>
        <v>5.7293654968156782E-3</v>
      </c>
      <c r="N190" s="494">
        <f t="shared" ca="1" si="94"/>
        <v>14.37106304135246</v>
      </c>
      <c r="O190" s="348">
        <f t="shared" ca="1" si="95"/>
        <v>7.1855315206762306E-3</v>
      </c>
      <c r="P190" s="494">
        <f t="shared" ca="1" si="96"/>
        <v>9.742485018571367</v>
      </c>
      <c r="Q190" s="348">
        <f t="shared" ca="1" si="97"/>
        <v>4.8712425092856835E-3</v>
      </c>
      <c r="R190" s="348">
        <f ca="1">L190*W.Al!$A$6+N190*W.Al!$B$6+P190*W.Al!$C$6</f>
        <v>10.344200161532909</v>
      </c>
      <c r="S190" s="348">
        <f t="shared" ca="1" si="98"/>
        <v>5.1721000807664541E-3</v>
      </c>
    </row>
    <row r="191" spans="1:19" s="349" customFormat="1">
      <c r="A191" s="347" t="s">
        <v>825</v>
      </c>
      <c r="B191" s="349">
        <f t="shared" ca="1" si="82"/>
        <v>0.78247206656299673</v>
      </c>
      <c r="C191" s="349">
        <f t="shared" ca="1" si="83"/>
        <v>6.0811642662961392</v>
      </c>
      <c r="D191" s="347">
        <f t="shared" ca="1" si="84"/>
        <v>0.83196612217558363</v>
      </c>
      <c r="E191" s="348">
        <f t="shared" ca="1" si="85"/>
        <v>2.5621258487451732</v>
      </c>
      <c r="F191" s="349">
        <f t="shared" ca="1" si="86"/>
        <v>1.923525200425946</v>
      </c>
      <c r="G191" s="349">
        <f t="shared" ca="1" si="87"/>
        <v>1.4953055427513697</v>
      </c>
      <c r="H191" s="494">
        <f t="shared" ca="1" si="88"/>
        <v>7.9099142518402221</v>
      </c>
      <c r="I191" s="348">
        <f t="shared" ca="1" si="89"/>
        <v>3.9549571259201114E-3</v>
      </c>
      <c r="J191" s="494">
        <f t="shared" ca="1" si="90"/>
        <v>10.472040100585396</v>
      </c>
      <c r="K191" s="348">
        <f t="shared" ca="1" si="91"/>
        <v>5.236020050292698E-3</v>
      </c>
      <c r="L191" s="494">
        <f t="shared" ca="1" si="92"/>
        <v>9.8334394522661679</v>
      </c>
      <c r="M191" s="348">
        <f t="shared" ca="1" si="93"/>
        <v>4.9167197261330842E-3</v>
      </c>
      <c r="N191" s="494">
        <f t="shared" ca="1" si="94"/>
        <v>12.395565301011342</v>
      </c>
      <c r="O191" s="348">
        <f t="shared" ca="1" si="95"/>
        <v>6.1977826505056708E-3</v>
      </c>
      <c r="P191" s="494">
        <f t="shared" ca="1" si="96"/>
        <v>8.3339027694804901</v>
      </c>
      <c r="Q191" s="348">
        <f t="shared" ca="1" si="97"/>
        <v>4.1669513847402452E-3</v>
      </c>
      <c r="R191" s="348">
        <f ca="1">L191*W.Al!$A$6+N191*W.Al!$B$6+P191*W.Al!$C$6</f>
        <v>8.8619188985795017</v>
      </c>
      <c r="S191" s="348">
        <f t="shared" ca="1" si="98"/>
        <v>4.4309594492897512E-3</v>
      </c>
    </row>
    <row r="192" spans="1:19" s="496" customFormat="1">
      <c r="A192" s="347" t="s">
        <v>826</v>
      </c>
      <c r="B192" s="349">
        <f t="shared" ca="1" si="82"/>
        <v>6.6461763811926513</v>
      </c>
      <c r="C192" s="349">
        <f t="shared" ca="1" si="83"/>
        <v>67.116131731649787</v>
      </c>
      <c r="D192" s="347">
        <f t="shared" ca="1" si="84"/>
        <v>7.1485582787363242</v>
      </c>
      <c r="E192" s="348">
        <f t="shared" ca="1" si="85"/>
        <v>21.745695522691818</v>
      </c>
      <c r="F192" s="349">
        <f t="shared" ca="1" si="86"/>
        <v>16.279280673065642</v>
      </c>
      <c r="G192" s="349">
        <f t="shared" ca="1" si="87"/>
        <v>12.824075631020252</v>
      </c>
      <c r="H192" s="494">
        <f t="shared" ca="1" si="88"/>
        <v>83.272425813783144</v>
      </c>
      <c r="I192" s="348">
        <f t="shared" ca="1" si="89"/>
        <v>4.1636212906891575E-2</v>
      </c>
      <c r="J192" s="494">
        <f t="shared" ca="1" si="90"/>
        <v>105.01812133647496</v>
      </c>
      <c r="K192" s="348">
        <f t="shared" ca="1" si="91"/>
        <v>5.2509060668237482E-2</v>
      </c>
      <c r="L192" s="494">
        <f t="shared" ca="1" si="92"/>
        <v>99.551706486848786</v>
      </c>
      <c r="M192" s="348">
        <f t="shared" ca="1" si="93"/>
        <v>4.9775853243424394E-2</v>
      </c>
      <c r="N192" s="494">
        <f t="shared" ca="1" si="94"/>
        <v>121.2974020095406</v>
      </c>
      <c r="O192" s="348">
        <f t="shared" ca="1" si="95"/>
        <v>6.0648701004770302E-2</v>
      </c>
      <c r="P192" s="494">
        <f t="shared" ca="1" si="96"/>
        <v>86.373706099664517</v>
      </c>
      <c r="Q192" s="348">
        <f t="shared" ca="1" si="97"/>
        <v>4.3186853049832261E-2</v>
      </c>
      <c r="R192" s="348">
        <f ca="1">L192*W.Al!$A$6+N192*W.Al!$B$6+P192*W.Al!$C$6</f>
        <v>90.913786567948407</v>
      </c>
      <c r="S192" s="348">
        <f t="shared" ca="1" si="98"/>
        <v>4.5456893283974203E-2</v>
      </c>
    </row>
    <row r="193" spans="1:19" s="496" customFormat="1">
      <c r="A193" s="347" t="s">
        <v>827</v>
      </c>
      <c r="B193" s="349">
        <f t="shared" ca="1" si="82"/>
        <v>4.1495981680035696E-2</v>
      </c>
      <c r="C193" s="349">
        <f t="shared" ca="1" si="83"/>
        <v>0.3197987281698913</v>
      </c>
      <c r="D193" s="347">
        <f t="shared" ca="1" si="84"/>
        <v>4.7985070275350823E-2</v>
      </c>
      <c r="E193" s="348">
        <f t="shared" ca="1" si="85"/>
        <v>0.13498926861035415</v>
      </c>
      <c r="F193" s="349">
        <f t="shared" ca="1" si="86"/>
        <v>9.913064201990783E-2</v>
      </c>
      <c r="G193" s="349">
        <f t="shared" ca="1" si="87"/>
        <v>8.54337219213476E-2</v>
      </c>
      <c r="H193" s="494">
        <f t="shared" ca="1" si="88"/>
        <v>0.42055074805678244</v>
      </c>
      <c r="I193" s="348">
        <f t="shared" ca="1" si="89"/>
        <v>2.1027537402839121E-4</v>
      </c>
      <c r="J193" s="494">
        <f t="shared" ca="1" si="90"/>
        <v>0.55554001666713659</v>
      </c>
      <c r="K193" s="348">
        <f t="shared" ca="1" si="91"/>
        <v>2.7777000833356831E-4</v>
      </c>
      <c r="L193" s="494">
        <f t="shared" ca="1" si="92"/>
        <v>0.51968139007669023</v>
      </c>
      <c r="M193" s="348">
        <f t="shared" ca="1" si="93"/>
        <v>2.5984069503834513E-4</v>
      </c>
      <c r="N193" s="494">
        <f t="shared" ca="1" si="94"/>
        <v>0.65467065868704444</v>
      </c>
      <c r="O193" s="348">
        <f t="shared" ca="1" si="95"/>
        <v>3.2733532934352223E-4</v>
      </c>
      <c r="P193" s="494">
        <f t="shared" ca="1" si="96"/>
        <v>0.44540056035751341</v>
      </c>
      <c r="Q193" s="348">
        <f t="shared" ca="1" si="97"/>
        <v>2.2270028017875671E-4</v>
      </c>
      <c r="R193" s="348">
        <f ca="1">L193*W.Al!$A$6+N193*W.Al!$B$6+P193*W.Al!$C$6</f>
        <v>0.47260567314035246</v>
      </c>
      <c r="S193" s="348">
        <f t="shared" ca="1" si="98"/>
        <v>2.3630283657017623E-4</v>
      </c>
    </row>
    <row r="194" spans="1:19" s="496" customFormat="1">
      <c r="A194" s="503" t="s">
        <v>828</v>
      </c>
      <c r="B194" s="505">
        <f t="shared" ca="1" si="82"/>
        <v>0.22436932598950346</v>
      </c>
      <c r="C194" s="505">
        <f t="shared" ca="1" si="83"/>
        <v>0.96299324995109992</v>
      </c>
      <c r="D194" s="503">
        <f t="shared" ca="1" si="84"/>
        <v>0.24048702066217956</v>
      </c>
      <c r="E194" s="502">
        <f t="shared" ca="1" si="85"/>
        <v>0.73425613156977809</v>
      </c>
      <c r="F194" s="505">
        <f t="shared" ca="1" si="86"/>
        <v>0.5501372295971344</v>
      </c>
      <c r="G194" s="505">
        <f t="shared" ca="1" si="87"/>
        <v>0.43173313704014116</v>
      </c>
      <c r="H194" s="504">
        <f t="shared" ca="1" si="88"/>
        <v>1.4619761746839317</v>
      </c>
      <c r="I194" s="502">
        <f t="shared" ca="1" si="89"/>
        <v>7.3098808734196581E-4</v>
      </c>
      <c r="J194" s="504">
        <f t="shared" ca="1" si="90"/>
        <v>2.1962323062537097</v>
      </c>
      <c r="K194" s="502">
        <f t="shared" ca="1" si="91"/>
        <v>1.0981161531268548E-3</v>
      </c>
      <c r="L194" s="504">
        <f t="shared" ca="1" si="92"/>
        <v>2.0121134042810662</v>
      </c>
      <c r="M194" s="502">
        <f t="shared" ca="1" si="93"/>
        <v>1.0060567021405332E-3</v>
      </c>
      <c r="N194" s="504">
        <f t="shared" ca="1" si="94"/>
        <v>2.7463695358508442</v>
      </c>
      <c r="O194" s="502">
        <f t="shared" ca="1" si="95"/>
        <v>1.3731847679254222E-3</v>
      </c>
      <c r="P194" s="504">
        <f t="shared" ca="1" si="96"/>
        <v>1.6119158945490804</v>
      </c>
      <c r="Q194" s="502">
        <f t="shared" ca="1" si="97"/>
        <v>8.0595794727454022E-4</v>
      </c>
      <c r="R194" s="502">
        <f ca="1">L194*W.Al!$A$6+N194*W.Al!$B$6+P194*W.Al!$C$6</f>
        <v>1.7593948679183098</v>
      </c>
      <c r="S194" s="502">
        <f t="shared" ca="1" si="98"/>
        <v>8.7969743395915488E-4</v>
      </c>
    </row>
  </sheetData>
  <mergeCells count="24">
    <mergeCell ref="K121:L121"/>
    <mergeCell ref="R159:S159"/>
    <mergeCell ref="H159:I159"/>
    <mergeCell ref="J159:K159"/>
    <mergeCell ref="L159:M159"/>
    <mergeCell ref="N159:O159"/>
    <mergeCell ref="P159:Q159"/>
    <mergeCell ref="B63:C63"/>
    <mergeCell ref="D63:E63"/>
    <mergeCell ref="R63:S63"/>
    <mergeCell ref="F63:G63"/>
    <mergeCell ref="H63:I63"/>
    <mergeCell ref="N63:O63"/>
    <mergeCell ref="J63:K63"/>
    <mergeCell ref="L63:M63"/>
    <mergeCell ref="V63:W63"/>
    <mergeCell ref="U121:V121"/>
    <mergeCell ref="Q121:R121"/>
    <mergeCell ref="M121:N121"/>
    <mergeCell ref="T63:U63"/>
    <mergeCell ref="P63:Q63"/>
    <mergeCell ref="S121:T121"/>
    <mergeCell ref="O121:P121"/>
    <mergeCell ref="W121:X121"/>
  </mergeCells>
  <phoneticPr fontId="5" type="noConversion"/>
  <printOptions gridLinesSet="0"/>
  <pageMargins left="0.2" right="0.2" top="1" bottom="1" header="0.5" footer="0.5"/>
  <pageSetup orientation="landscape" r:id="rId1"/>
  <headerFooter alignWithMargins="0">
    <oddHeader>&amp;A</oddHeader>
    <oddFooter>Page &amp;P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
  <dimension ref="A1:U181"/>
  <sheetViews>
    <sheetView showGridLines="0" zoomScale="85" zoomScaleNormal="85" workbookViewId="0"/>
  </sheetViews>
  <sheetFormatPr defaultColWidth="9.140625" defaultRowHeight="12.75"/>
  <cols>
    <col min="1" max="1" width="39.42578125" style="5" customWidth="1"/>
    <col min="2" max="2" width="13.140625" style="5" bestFit="1" customWidth="1"/>
    <col min="3" max="3" width="10.42578125" style="5" customWidth="1"/>
    <col min="4" max="4" width="11.42578125" style="5" customWidth="1"/>
    <col min="5" max="25" width="10.42578125" style="5" customWidth="1"/>
    <col min="26" max="16384" width="9.140625" style="5"/>
  </cols>
  <sheetData>
    <row r="1" spans="1:10" ht="15.75">
      <c r="A1" s="2" t="s">
        <v>922</v>
      </c>
    </row>
    <row r="2" spans="1:10">
      <c r="A2" s="3"/>
    </row>
    <row r="3" spans="1:10" ht="15">
      <c r="A3" s="75" t="s">
        <v>872</v>
      </c>
    </row>
    <row r="4" spans="1:10">
      <c r="A4" s="3" t="s">
        <v>923</v>
      </c>
    </row>
    <row r="5" spans="1:10" ht="38.25">
      <c r="A5" s="1424"/>
      <c r="B5" s="1659" t="str">
        <f>Mat_Inputs!C207</f>
        <v>Bauxite Mining</v>
      </c>
      <c r="C5" s="1659" t="str">
        <f>Mat_Inputs!D207</f>
        <v>Bauxite Refining</v>
      </c>
      <c r="D5" s="1659" t="str">
        <f>Mat_Inputs!E207</f>
        <v>Anode Production</v>
      </c>
      <c r="E5" s="1659" t="str">
        <f>Mat_Inputs!F207</f>
        <v>Alumina Reduction</v>
      </c>
      <c r="F5" s="1659" t="str">
        <f>Mat_Inputs!G207</f>
        <v>Primary Ingot Casting</v>
      </c>
      <c r="G5" s="1659" t="str">
        <f>Mat_Inputs!H207</f>
        <v>Scrap Preparation</v>
      </c>
      <c r="H5" s="1659" t="str">
        <f>Mat_Inputs!I207</f>
        <v>Secondary Ingot Casting</v>
      </c>
      <c r="I5" s="1659" t="str">
        <f>Mat_Inputs!J207</f>
        <v>Shape Casting</v>
      </c>
      <c r="J5" s="1660" t="str">
        <f>Mat_Inputs!K207</f>
        <v>Machining</v>
      </c>
    </row>
    <row r="6" spans="1:10">
      <c r="A6" s="383" t="str">
        <f>Mat_Inputs!B208</f>
        <v>Virgin Cast Aluminum</v>
      </c>
      <c r="B6" s="377">
        <f>Mat_Inputs!C208</f>
        <v>1</v>
      </c>
      <c r="C6" s="377">
        <f>Mat_Inputs!D208</f>
        <v>1</v>
      </c>
      <c r="D6" s="377">
        <f>Mat_Inputs!E208</f>
        <v>1</v>
      </c>
      <c r="E6" s="377">
        <f>Mat_Inputs!F208</f>
        <v>1</v>
      </c>
      <c r="F6" s="377">
        <f>Mat_Inputs!G208</f>
        <v>1.02</v>
      </c>
      <c r="G6" s="377">
        <f>Mat_Inputs!H208</f>
        <v>0</v>
      </c>
      <c r="H6" s="377">
        <f>Mat_Inputs!I208</f>
        <v>0</v>
      </c>
      <c r="I6" s="377">
        <f>Mat_Inputs!J208</f>
        <v>1.107</v>
      </c>
      <c r="J6" s="384">
        <f>Mat_Inputs!K208</f>
        <v>1</v>
      </c>
    </row>
    <row r="7" spans="1:10">
      <c r="A7" s="387" t="str">
        <f>Mat_Inputs!B209</f>
        <v>Recycled Cast Aluminum</v>
      </c>
      <c r="B7" s="386">
        <f>Mat_Inputs!C209</f>
        <v>0</v>
      </c>
      <c r="C7" s="386">
        <f>Mat_Inputs!D209</f>
        <v>0</v>
      </c>
      <c r="D7" s="386">
        <f>Mat_Inputs!E209</f>
        <v>0</v>
      </c>
      <c r="E7" s="386">
        <f>Mat_Inputs!F209</f>
        <v>0</v>
      </c>
      <c r="F7" s="386">
        <f>Mat_Inputs!G209</f>
        <v>0</v>
      </c>
      <c r="G7" s="386">
        <f>Mat_Inputs!H209</f>
        <v>0.96799999999999997</v>
      </c>
      <c r="H7" s="386">
        <f>Mat_Inputs!I209</f>
        <v>1</v>
      </c>
      <c r="I7" s="386">
        <f>Mat_Inputs!J209</f>
        <v>1.107</v>
      </c>
      <c r="J7" s="388">
        <f>Mat_Inputs!K209</f>
        <v>1</v>
      </c>
    </row>
    <row r="8" spans="1:10">
      <c r="A8" s="377"/>
      <c r="B8" s="377"/>
      <c r="C8" s="377"/>
      <c r="D8" s="377"/>
      <c r="E8" s="377"/>
      <c r="F8" s="377"/>
      <c r="G8" s="377"/>
      <c r="H8" s="377"/>
      <c r="I8" s="377"/>
    </row>
    <row r="9" spans="1:10">
      <c r="A9" s="111" t="s">
        <v>924</v>
      </c>
      <c r="B9" s="382"/>
      <c r="C9" s="64"/>
      <c r="D9" s="64"/>
      <c r="E9" s="64"/>
      <c r="F9" s="64"/>
      <c r="G9" s="64"/>
      <c r="H9" s="64"/>
      <c r="I9" s="64"/>
    </row>
    <row r="10" spans="1:10">
      <c r="A10" s="1424"/>
      <c r="B10" s="1299" t="str">
        <f>INDEX(Mat_Inputs!$N$296:$R$303,ROW($B18)-ROW($B$18)+1,Mat_Inputs!$B$288)</f>
        <v>NA smelter mix</v>
      </c>
      <c r="C10" s="64"/>
      <c r="D10" s="64"/>
      <c r="E10" s="64"/>
      <c r="F10" s="64"/>
      <c r="G10" s="64"/>
      <c r="H10" s="64"/>
      <c r="I10" s="64"/>
    </row>
    <row r="11" spans="1:10">
      <c r="A11" s="859" t="s">
        <v>925</v>
      </c>
      <c r="B11" s="1422">
        <f>INDEX(Mat_Inputs!$N$296:$R$303,ROW($B19)-ROW($B$18)+1,Mat_Inputs!$B$288)</f>
        <v>0</v>
      </c>
      <c r="C11" s="64"/>
      <c r="D11" s="64"/>
      <c r="E11" s="64"/>
      <c r="F11" s="64"/>
      <c r="G11" s="64"/>
      <c r="H11" s="64"/>
      <c r="I11" s="64"/>
    </row>
    <row r="12" spans="1:10">
      <c r="A12" s="859" t="s">
        <v>878</v>
      </c>
      <c r="B12" s="1422">
        <f>INDEX(Mat_Inputs!$N$296:$R$303,ROW($B20)-ROW($B$18)+1,Mat_Inputs!$B$288)</f>
        <v>4.1000000000000002E-2</v>
      </c>
      <c r="C12" s="64"/>
      <c r="D12" s="64"/>
      <c r="E12" s="64"/>
      <c r="F12" s="64"/>
      <c r="G12" s="64"/>
      <c r="H12" s="64"/>
      <c r="I12" s="64"/>
    </row>
    <row r="13" spans="1:10">
      <c r="A13" s="859" t="s">
        <v>442</v>
      </c>
      <c r="B13" s="1422">
        <f>INDEX(Mat_Inputs!$N$296:$R$303,ROW($B21)-ROW($B$18)+1,Mat_Inputs!$B$288)</f>
        <v>0.14299999999999999</v>
      </c>
      <c r="C13" s="64"/>
      <c r="D13" s="64"/>
      <c r="E13" s="64"/>
      <c r="F13" s="64"/>
      <c r="G13" s="64"/>
      <c r="H13" s="64"/>
      <c r="I13" s="64"/>
    </row>
    <row r="14" spans="1:10">
      <c r="A14" s="859" t="s">
        <v>443</v>
      </c>
      <c r="B14" s="1422">
        <f>INDEX(Mat_Inputs!$N$296:$R$303,ROW($B22)-ROW($B$18)+1,Mat_Inputs!$B$288)</f>
        <v>0</v>
      </c>
      <c r="C14" s="64"/>
      <c r="D14" s="64"/>
      <c r="E14" s="64"/>
      <c r="F14" s="64"/>
      <c r="G14" s="64"/>
      <c r="H14" s="64"/>
      <c r="I14" s="64"/>
    </row>
    <row r="15" spans="1:10">
      <c r="A15" s="859" t="s">
        <v>926</v>
      </c>
      <c r="B15" s="1422">
        <f>INDEX(Mat_Inputs!$N$296:$R$303,ROW($B23)-ROW($B$18)+1,Mat_Inputs!$B$288)</f>
        <v>5.0000000000000001E-3</v>
      </c>
      <c r="C15" s="64"/>
      <c r="D15" s="64"/>
      <c r="E15" s="64"/>
      <c r="F15" s="64"/>
      <c r="G15" s="64"/>
      <c r="H15" s="64"/>
      <c r="I15" s="64"/>
    </row>
    <row r="16" spans="1:10">
      <c r="A16" s="861" t="s">
        <v>294</v>
      </c>
      <c r="B16" s="1423">
        <f>INDEX(Mat_Inputs!$N$296:$R$303,ROW($B24)-ROW($B$18)+1,Mat_Inputs!$B$288)</f>
        <v>0.81099999999999994</v>
      </c>
      <c r="C16" s="64"/>
      <c r="D16" s="64"/>
      <c r="E16" s="64"/>
      <c r="F16" s="64"/>
      <c r="G16" s="64"/>
      <c r="H16" s="64"/>
      <c r="I16" s="64"/>
    </row>
    <row r="17" spans="1:9">
      <c r="A17" s="702" t="s">
        <v>876</v>
      </c>
      <c r="B17" s="703">
        <f>$B$11*(GREET1_Import_Export!F309+GREET1_Import_Export!G309)+$B$12*(GREET1_Import_Export!J309+GREET1_Import_Export!K309)+$B$13*(GREET1_Import_Export!N309+GREET1_Import_Export!O309)+$B$15*(GREET1_Import_Export!V309+GREET1_Import_Export!W309)+$B$14*(GREET1_Import_Export!R309+GREET1_Import_Export!S309)+$B$16*(GREET1_Import_Export!AH309+GREET1_Import_Export!AI309)</f>
        <v>1401667.9249065202</v>
      </c>
      <c r="C17" s="64"/>
      <c r="D17" s="64"/>
      <c r="E17" s="64"/>
      <c r="F17" s="64"/>
      <c r="G17" s="64"/>
      <c r="H17" s="64"/>
      <c r="I17" s="64"/>
    </row>
    <row r="18" spans="1:9">
      <c r="A18" s="291" t="s">
        <v>877</v>
      </c>
      <c r="B18" s="684">
        <f>$B$11*(GREET1_Import_Export!F310+GREET1_Import_Export!G310)+$B$12*(GREET1_Import_Export!J310+GREET1_Import_Export!K310)+$B$13*(GREET1_Import_Export!N310+GREET1_Import_Export!O310)+$B$15*(GREET1_Import_Export!V310+GREET1_Import_Export!W310)+$B$14*(GREET1_Import_Export!R310+GREET1_Import_Export!S310)+$B$16*(GREET1_Import_Export!AH310+GREET1_Import_Export!AI310)</f>
        <v>543525.59536892758</v>
      </c>
      <c r="C18" s="64"/>
      <c r="D18" s="64"/>
      <c r="E18" s="64"/>
      <c r="F18" s="64"/>
      <c r="G18" s="64"/>
      <c r="H18" s="64"/>
      <c r="I18" s="64"/>
    </row>
    <row r="19" spans="1:9">
      <c r="A19" s="291" t="s">
        <v>442</v>
      </c>
      <c r="B19" s="684">
        <f>$B$11*(GREET1_Import_Export!F311+GREET1_Import_Export!G311)+$B$12*(GREET1_Import_Export!J311+GREET1_Import_Export!K311)+$B$13*(GREET1_Import_Export!N311+GREET1_Import_Export!O311)+$B$15*(GREET1_Import_Export!V311+GREET1_Import_Export!W311)+$B$14*(GREET1_Import_Export!R311+GREET1_Import_Export!S311)+$B$16*(GREET1_Import_Export!AH311+GREET1_Import_Export!AI311)</f>
        <v>435689.89248894108</v>
      </c>
      <c r="C19" s="64"/>
      <c r="D19" s="64"/>
      <c r="E19" s="64"/>
      <c r="F19" s="64"/>
      <c r="G19" s="64"/>
      <c r="H19" s="64"/>
      <c r="I19" s="64"/>
    </row>
    <row r="20" spans="1:9">
      <c r="A20" s="291" t="s">
        <v>878</v>
      </c>
      <c r="B20" s="684">
        <f>$B$11*(GREET1_Import_Export!F312+GREET1_Import_Export!G312)+$B$12*(GREET1_Import_Export!J312+GREET1_Import_Export!K312)+$B$13*(GREET1_Import_Export!N312+GREET1_Import_Export!O312)+$B$15*(GREET1_Import_Export!V312+GREET1_Import_Export!W312)+$B$14*(GREET1_Import_Export!R312+GREET1_Import_Export!S312)+$B$16*(GREET1_Import_Export!AH312+GREET1_Import_Export!AI312)</f>
        <v>100786.70747755426</v>
      </c>
      <c r="C20" s="64"/>
      <c r="D20" s="64"/>
      <c r="E20" s="64"/>
      <c r="F20" s="64"/>
      <c r="G20" s="64"/>
      <c r="H20" s="64"/>
      <c r="I20" s="64"/>
    </row>
    <row r="21" spans="1:9">
      <c r="A21" s="291" t="s">
        <v>440</v>
      </c>
      <c r="B21" s="684">
        <f>$B$11*(GREET1_Import_Export!F313+GREET1_Import_Export!G313)+$B$12*(GREET1_Import_Export!J313+GREET1_Import_Export!K313)+$B$13*(GREET1_Import_Export!N313+GREET1_Import_Export!O313)+$B$15*(GREET1_Import_Export!V313+GREET1_Import_Export!W313)+$B$14*(GREET1_Import_Export!R313+GREET1_Import_Export!S313)+$B$16*(GREET1_Import_Export!AH313+GREET1_Import_Export!AI313)</f>
        <v>7048.9954024323106</v>
      </c>
      <c r="C21" s="64"/>
      <c r="D21" s="64"/>
      <c r="E21" s="64"/>
      <c r="F21" s="64"/>
      <c r="G21" s="64"/>
      <c r="H21" s="64"/>
      <c r="I21" s="64"/>
    </row>
    <row r="22" spans="1:9">
      <c r="A22" s="483" t="s">
        <v>819</v>
      </c>
      <c r="B22" s="684">
        <f>$B$11*(GREET1_Import_Export!F314+GREET1_Import_Export!G314)+$B$12*(GREET1_Import_Export!J314+GREET1_Import_Export!K314)+$B$13*(GREET1_Import_Export!N314+GREET1_Import_Export!O314)+$B$15*(GREET1_Import_Export!V314+GREET1_Import_Export!W314)+$B$14*(GREET1_Import_Export!R314+GREET1_Import_Export!S314)+$B$16*(GREET1_Import_Export!AH314+GREET1_Import_Export!AI314)</f>
        <v>467.76068301624423</v>
      </c>
      <c r="C22" s="64"/>
      <c r="D22" s="64"/>
      <c r="E22" s="64"/>
      <c r="F22" s="64"/>
      <c r="G22" s="64"/>
      <c r="H22" s="64"/>
      <c r="I22" s="64"/>
    </row>
    <row r="23" spans="1:9">
      <c r="A23" s="291" t="s">
        <v>879</v>
      </c>
      <c r="B23" s="685">
        <f>$B$11*(GREET1_Import_Export!F315+GREET1_Import_Export!G315)+$B$12*(GREET1_Import_Export!J315+GREET1_Import_Export!K315)+$B$13*(GREET1_Import_Export!N315+GREET1_Import_Export!O315)+$B$15*(GREET1_Import_Export!V315+GREET1_Import_Export!W315)+$B$14*(GREET1_Import_Export!R315+GREET1_Import_Export!S315)+$B$16*(GREET1_Import_Export!AH315+GREET1_Import_Export!AI315)</f>
        <v>4.5588333694522225</v>
      </c>
      <c r="C23" s="64"/>
      <c r="D23" s="64"/>
      <c r="E23" s="64"/>
      <c r="F23" s="64"/>
      <c r="G23" s="64"/>
      <c r="H23" s="64"/>
      <c r="I23" s="64"/>
    </row>
    <row r="24" spans="1:9">
      <c r="A24" s="291" t="s">
        <v>880</v>
      </c>
      <c r="B24" s="685">
        <f>$B$11*(GREET1_Import_Export!F316+GREET1_Import_Export!G316)+$B$12*(GREET1_Import_Export!J316+GREET1_Import_Export!K316)+$B$13*(GREET1_Import_Export!N316+GREET1_Import_Export!O316)+$B$15*(GREET1_Import_Export!V316+GREET1_Import_Export!W316)+$B$14*(GREET1_Import_Export!R316+GREET1_Import_Export!S316)+$B$16*(GREET1_Import_Export!AH316+GREET1_Import_Export!AI316)</f>
        <v>9.4649474742555331</v>
      </c>
      <c r="C24" s="64"/>
      <c r="D24" s="64"/>
      <c r="E24" s="64"/>
      <c r="F24" s="64"/>
      <c r="G24" s="64"/>
      <c r="H24" s="64"/>
      <c r="I24" s="64"/>
    </row>
    <row r="25" spans="1:9">
      <c r="A25" s="291" t="s">
        <v>881</v>
      </c>
      <c r="B25" s="685">
        <f>$B$11*(GREET1_Import_Export!F317+GREET1_Import_Export!G317)+$B$12*(GREET1_Import_Export!J317+GREET1_Import_Export!K317)+$B$13*(GREET1_Import_Export!N317+GREET1_Import_Export!O317)+$B$15*(GREET1_Import_Export!V317+GREET1_Import_Export!W317)+$B$14*(GREET1_Import_Export!R317+GREET1_Import_Export!S317)+$B$16*(GREET1_Import_Export!AH317+GREET1_Import_Export!AI317)</f>
        <v>32.341178119550946</v>
      </c>
      <c r="C25" s="64"/>
      <c r="D25" s="64"/>
      <c r="E25" s="64"/>
      <c r="F25" s="64"/>
      <c r="G25" s="64"/>
      <c r="H25" s="64"/>
      <c r="I25" s="64"/>
    </row>
    <row r="26" spans="1:9">
      <c r="A26" s="291" t="s">
        <v>882</v>
      </c>
      <c r="B26" s="685">
        <f>$B$11*(GREET1_Import_Export!F318+GREET1_Import_Export!G318)+$B$12*(GREET1_Import_Export!J318+GREET1_Import_Export!K318)+$B$13*(GREET1_Import_Export!N318+GREET1_Import_Export!O318)+$B$15*(GREET1_Import_Export!V318+GREET1_Import_Export!W318)+$B$14*(GREET1_Import_Export!R318+GREET1_Import_Export!S318)+$B$16*(GREET1_Import_Export!AH318+GREET1_Import_Export!AI318)</f>
        <v>7.4279971017419202</v>
      </c>
      <c r="C26" s="64"/>
      <c r="D26" s="64"/>
      <c r="E26" s="64"/>
      <c r="F26" s="64"/>
      <c r="G26" s="64"/>
      <c r="H26" s="64"/>
      <c r="I26" s="64"/>
    </row>
    <row r="27" spans="1:9">
      <c r="A27" s="291" t="s">
        <v>883</v>
      </c>
      <c r="B27" s="685">
        <f>$B$11*(GREET1_Import_Export!F319+GREET1_Import_Export!G319)+$B$12*(GREET1_Import_Export!J319+GREET1_Import_Export!K319)+$B$13*(GREET1_Import_Export!N319+GREET1_Import_Export!O319)+$B$15*(GREET1_Import_Export!V319+GREET1_Import_Export!W319)+$B$14*(GREET1_Import_Export!R319+GREET1_Import_Export!S319)+$B$16*(GREET1_Import_Export!AH319+GREET1_Import_Export!AI319)</f>
        <v>3.6447474458199109</v>
      </c>
      <c r="C27" s="64"/>
      <c r="D27" s="64"/>
      <c r="E27" s="64"/>
      <c r="F27" s="64"/>
      <c r="G27" s="64"/>
      <c r="H27" s="64"/>
      <c r="I27" s="64"/>
    </row>
    <row r="28" spans="1:9">
      <c r="A28" s="291" t="s">
        <v>884</v>
      </c>
      <c r="B28" s="685">
        <f>$B$11*(GREET1_Import_Export!F320+GREET1_Import_Export!G320)+$B$12*(GREET1_Import_Export!J320+GREET1_Import_Export!K320)+$B$13*(GREET1_Import_Export!N320+GREET1_Import_Export!O320)+$B$15*(GREET1_Import_Export!V320+GREET1_Import_Export!W320)+$B$14*(GREET1_Import_Export!R320+GREET1_Import_Export!S320)+$B$16*(GREET1_Import_Export!AH320+GREET1_Import_Export!AI320)</f>
        <v>42.183792642599215</v>
      </c>
      <c r="C28" s="64"/>
      <c r="D28" s="64"/>
      <c r="E28" s="64"/>
      <c r="F28" s="64"/>
      <c r="G28" s="64"/>
      <c r="H28" s="64"/>
      <c r="I28" s="64"/>
    </row>
    <row r="29" spans="1:9">
      <c r="A29" s="291" t="s">
        <v>885</v>
      </c>
      <c r="B29" s="685">
        <f>$B$11*(GREET1_Import_Export!F321+GREET1_Import_Export!G321)+$B$12*(GREET1_Import_Export!J321+GREET1_Import_Export!K321)+$B$13*(GREET1_Import_Export!N321+GREET1_Import_Export!O321)+$B$15*(GREET1_Import_Export!V321+GREET1_Import_Export!W321)+$B$14*(GREET1_Import_Export!R321+GREET1_Import_Export!S321)+$B$16*(GREET1_Import_Export!AH321+GREET1_Import_Export!AI321)</f>
        <v>0.16271541987025437</v>
      </c>
      <c r="C29" s="64"/>
      <c r="D29" s="64"/>
      <c r="E29" s="64"/>
      <c r="F29" s="64"/>
      <c r="G29" s="64"/>
      <c r="H29" s="64"/>
      <c r="I29" s="64"/>
    </row>
    <row r="30" spans="1:9">
      <c r="A30" s="291" t="s">
        <v>886</v>
      </c>
      <c r="B30" s="685">
        <f>$B$11*(GREET1_Import_Export!F322+GREET1_Import_Export!G322)+$B$12*(GREET1_Import_Export!J322+GREET1_Import_Export!K322)+$B$13*(GREET1_Import_Export!N322+GREET1_Import_Export!O322)+$B$15*(GREET1_Import_Export!V322+GREET1_Import_Export!W322)+$B$14*(GREET1_Import_Export!R322+GREET1_Import_Export!S322)+$B$16*(GREET1_Import_Export!AH322+GREET1_Import_Export!AI322)</f>
        <v>0.43720497785516615</v>
      </c>
      <c r="C30" s="64"/>
      <c r="D30" s="64"/>
      <c r="E30" s="64"/>
      <c r="F30" s="64"/>
      <c r="G30" s="64"/>
      <c r="H30" s="64"/>
      <c r="I30" s="64"/>
    </row>
    <row r="31" spans="1:9">
      <c r="A31" s="291" t="s">
        <v>887</v>
      </c>
      <c r="B31" s="685">
        <f>$B$11*(GREET1_Import_Export!F323+GREET1_Import_Export!G323)+$B$12*(GREET1_Import_Export!J323+GREET1_Import_Export!K323)+$B$13*(GREET1_Import_Export!N323+GREET1_Import_Export!O323)+$B$15*(GREET1_Import_Export!V323+GREET1_Import_Export!W323)+$B$14*(GREET1_Import_Export!R323+GREET1_Import_Export!S323)+$B$16*(GREET1_Import_Export!AH323+GREET1_Import_Export!AI323)</f>
        <v>88.195432189261538</v>
      </c>
      <c r="C31" s="64"/>
      <c r="D31" s="64"/>
      <c r="E31" s="64"/>
      <c r="F31" s="64"/>
      <c r="G31" s="64"/>
      <c r="H31" s="64"/>
      <c r="I31" s="64"/>
    </row>
    <row r="32" spans="1:9">
      <c r="A32" s="291" t="s">
        <v>888</v>
      </c>
      <c r="B32" s="685">
        <f>$B$11*(GREET1_Import_Export!F324+GREET1_Import_Export!G324)+$B$12*(GREET1_Import_Export!J324+GREET1_Import_Export!K324)+$B$13*(GREET1_Import_Export!N324+GREET1_Import_Export!O324)+$B$15*(GREET1_Import_Export!V324+GREET1_Import_Export!W324)+$B$14*(GREET1_Import_Export!R324+GREET1_Import_Export!S324)+$B$16*(GREET1_Import_Export!AH324+GREET1_Import_Export!AI324)</f>
        <v>1.1199038271835577</v>
      </c>
      <c r="C32" s="64"/>
      <c r="D32" s="64"/>
      <c r="E32" s="64"/>
      <c r="F32" s="64"/>
      <c r="G32" s="64"/>
      <c r="H32" s="64"/>
      <c r="I32" s="64"/>
    </row>
    <row r="33" spans="1:9">
      <c r="A33" s="291" t="s">
        <v>889</v>
      </c>
      <c r="B33" s="684">
        <f>$B$11*(GREET1_Import_Export!F325+GREET1_Import_Export!G325)+$B$12*(GREET1_Import_Export!J325+GREET1_Import_Export!K325)+$B$13*(GREET1_Import_Export!N325+GREET1_Import_Export!O325)+$B$15*(GREET1_Import_Export!V325+GREET1_Import_Export!W325)+$B$14*(GREET1_Import_Export!R325+GREET1_Import_Export!S325)+$B$16*(GREET1_Import_Export!AH325+GREET1_Import_Export!AI325)</f>
        <v>50100.765099734897</v>
      </c>
      <c r="C33" s="64"/>
      <c r="D33" s="64"/>
      <c r="E33" s="64"/>
      <c r="F33" s="64"/>
      <c r="G33" s="64"/>
      <c r="H33" s="64"/>
      <c r="I33" s="64"/>
    </row>
    <row r="34" spans="1:9">
      <c r="A34" s="686" t="s">
        <v>890</v>
      </c>
      <c r="B34" s="687">
        <f>$B$11*(GREET1_Import_Export!H315+GREET1_Import_Export!I315)+$B$12*(GREET1_Import_Export!L315+GREET1_Import_Export!M315)+$B$13*(GREET1_Import_Export!P315+GREET1_Import_Export!Q315)+$B$15*(GREET1_Import_Export!X315+GREET1_Import_Export!Y315)+$B$14*(GREET1_Import_Export!T315+GREET1_Import_Export!U315)+$B$16*(GREET1_Import_Export!AJ315+GREET1_Import_Export!AK315)</f>
        <v>0.27280076966338329</v>
      </c>
      <c r="C34" s="64"/>
      <c r="D34" s="64"/>
      <c r="E34" s="64"/>
      <c r="F34" s="64"/>
      <c r="G34" s="64"/>
      <c r="H34" s="64"/>
      <c r="I34" s="64"/>
    </row>
    <row r="35" spans="1:9">
      <c r="A35" s="291" t="s">
        <v>891</v>
      </c>
      <c r="B35" s="685">
        <f>$B$11*(GREET1_Import_Export!H316+GREET1_Import_Export!I316)+$B$12*(GREET1_Import_Export!L316+GREET1_Import_Export!M316)+$B$13*(GREET1_Import_Export!P316+GREET1_Import_Export!Q316)+$B$15*(GREET1_Import_Export!X316+GREET1_Import_Export!Y316)+$B$14*(GREET1_Import_Export!T316+GREET1_Import_Export!U316)+$B$16*(GREET1_Import_Export!AJ316+GREET1_Import_Export!AK316)</f>
        <v>2.6605269860939691</v>
      </c>
      <c r="C35" s="64"/>
      <c r="D35" s="64"/>
      <c r="E35" s="64"/>
      <c r="F35" s="64"/>
      <c r="G35" s="64"/>
      <c r="H35" s="64"/>
      <c r="I35" s="64"/>
    </row>
    <row r="36" spans="1:9">
      <c r="A36" s="291" t="s">
        <v>892</v>
      </c>
      <c r="B36" s="685">
        <f>$B$11*(GREET1_Import_Export!H317+GREET1_Import_Export!I317)+$B$12*(GREET1_Import_Export!L317+GREET1_Import_Export!M317)+$B$13*(GREET1_Import_Export!P317+GREET1_Import_Export!Q317)+$B$15*(GREET1_Import_Export!X317+GREET1_Import_Export!Y317)+$B$14*(GREET1_Import_Export!T317+GREET1_Import_Export!U317)+$B$16*(GREET1_Import_Export!AJ317+GREET1_Import_Export!AK317)</f>
        <v>10.739566006472405</v>
      </c>
      <c r="C36" s="64"/>
      <c r="D36" s="64"/>
      <c r="E36" s="64"/>
      <c r="F36" s="64"/>
      <c r="G36" s="64"/>
      <c r="H36" s="64"/>
      <c r="I36" s="64"/>
    </row>
    <row r="37" spans="1:9">
      <c r="A37" s="291" t="s">
        <v>893</v>
      </c>
      <c r="B37" s="685">
        <f>$B$11*(GREET1_Import_Export!H318+GREET1_Import_Export!I318)+$B$12*(GREET1_Import_Export!L318+GREET1_Import_Export!M318)+$B$13*(GREET1_Import_Export!P318+GREET1_Import_Export!Q318)+$B$15*(GREET1_Import_Export!X318+GREET1_Import_Export!Y318)+$B$14*(GREET1_Import_Export!T318+GREET1_Import_Export!U318)+$B$16*(GREET1_Import_Export!AJ318+GREET1_Import_Export!AK318)</f>
        <v>1.3917329169541321</v>
      </c>
      <c r="C37" s="64"/>
      <c r="D37" s="64"/>
      <c r="E37" s="64"/>
      <c r="F37" s="64"/>
      <c r="G37" s="64"/>
      <c r="H37" s="64"/>
      <c r="I37" s="64"/>
    </row>
    <row r="38" spans="1:9">
      <c r="A38" s="291" t="s">
        <v>894</v>
      </c>
      <c r="B38" s="685">
        <f>$B$11*(GREET1_Import_Export!H319+GREET1_Import_Export!I319)+$B$12*(GREET1_Import_Export!L319+GREET1_Import_Export!M319)+$B$13*(GREET1_Import_Export!P319+GREET1_Import_Export!Q319)+$B$15*(GREET1_Import_Export!X319+GREET1_Import_Export!Y319)+$B$14*(GREET1_Import_Export!T319+GREET1_Import_Export!U319)+$B$16*(GREET1_Import_Export!AJ319+GREET1_Import_Export!AK319)</f>
        <v>1.1648951999514174</v>
      </c>
      <c r="C38" s="64"/>
      <c r="D38" s="64"/>
      <c r="E38" s="64"/>
      <c r="F38" s="64"/>
      <c r="G38" s="64"/>
      <c r="H38" s="64"/>
      <c r="I38" s="64"/>
    </row>
    <row r="39" spans="1:9">
      <c r="A39" s="291" t="s">
        <v>895</v>
      </c>
      <c r="B39" s="704">
        <f>$B$11*(GREET1_Import_Export!H320+GREET1_Import_Export!I320)+$B$12*(GREET1_Import_Export!L320+GREET1_Import_Export!M320)+$B$13*(GREET1_Import_Export!P320+GREET1_Import_Export!Q320)+$B$15*(GREET1_Import_Export!X320+GREET1_Import_Export!Y320)+$B$14*(GREET1_Import_Export!T320+GREET1_Import_Export!U320)+$B$16*(GREET1_Import_Export!AJ320+GREET1_Import_Export!AK320)</f>
        <v>14.555511750586344</v>
      </c>
      <c r="C39" s="64"/>
      <c r="D39" s="64"/>
      <c r="E39" s="64"/>
      <c r="F39" s="64"/>
      <c r="G39" s="64"/>
      <c r="H39" s="64"/>
      <c r="I39" s="64"/>
    </row>
    <row r="40" spans="1:9">
      <c r="A40" s="291" t="s">
        <v>896</v>
      </c>
      <c r="B40" s="704">
        <f>$B$11*(GREET1_Import_Export!H321+GREET1_Import_Export!I321)+$B$12*(GREET1_Import_Export!L321+GREET1_Import_Export!M321)+$B$13*(GREET1_Import_Export!P321+GREET1_Import_Export!Q321)+$B$15*(GREET1_Import_Export!X321+GREET1_Import_Export!Y321)+$B$14*(GREET1_Import_Export!T321+GREET1_Import_Export!U321)+$B$16*(GREET1_Import_Export!AJ321+GREET1_Import_Export!AK321)</f>
        <v>5.2206016284991733E-2</v>
      </c>
      <c r="C40" s="64"/>
      <c r="D40" s="64"/>
      <c r="E40" s="64"/>
      <c r="F40" s="64"/>
      <c r="G40" s="64"/>
      <c r="H40" s="64"/>
      <c r="I40" s="64"/>
    </row>
    <row r="41" spans="1:9">
      <c r="A41" s="292" t="s">
        <v>897</v>
      </c>
      <c r="B41" s="705">
        <f>$B$11*(GREET1_Import_Export!H322+GREET1_Import_Export!I322)+$B$12*(GREET1_Import_Export!L322+GREET1_Import_Export!M322)+$B$13*(GREET1_Import_Export!P322+GREET1_Import_Export!Q322)+$B$15*(GREET1_Import_Export!X322+GREET1_Import_Export!Y322)+$B$14*(GREET1_Import_Export!T322+GREET1_Import_Export!U322)+$B$16*(GREET1_Import_Export!AJ322+GREET1_Import_Export!AK322)</f>
        <v>0.14054179005070955</v>
      </c>
      <c r="C41" s="64"/>
      <c r="D41" s="64"/>
      <c r="E41" s="64"/>
      <c r="F41" s="64"/>
      <c r="G41" s="64"/>
      <c r="H41" s="64"/>
      <c r="I41" s="64"/>
    </row>
    <row r="42" spans="1:9">
      <c r="A42" s="397"/>
      <c r="B42" s="398"/>
      <c r="C42" s="64"/>
      <c r="D42" s="64"/>
      <c r="E42" s="64"/>
      <c r="F42" s="64"/>
      <c r="G42" s="64"/>
      <c r="H42" s="64"/>
      <c r="I42" s="64"/>
    </row>
    <row r="43" spans="1:9" ht="15">
      <c r="A43" s="75" t="s">
        <v>762</v>
      </c>
      <c r="C43" s="64"/>
      <c r="G43" s="64"/>
      <c r="H43" s="64"/>
      <c r="I43" s="64"/>
    </row>
    <row r="44" spans="1:9">
      <c r="A44" s="393" t="s">
        <v>769</v>
      </c>
      <c r="B44" s="533">
        <v>1</v>
      </c>
      <c r="C44" s="64"/>
      <c r="G44" s="64"/>
      <c r="H44" s="64"/>
      <c r="I44" s="64"/>
    </row>
    <row r="45" spans="1:9">
      <c r="A45" s="230" t="s">
        <v>770</v>
      </c>
      <c r="B45" s="588">
        <v>1</v>
      </c>
      <c r="C45" s="64"/>
      <c r="G45" s="64"/>
      <c r="H45" s="64"/>
      <c r="I45" s="64"/>
    </row>
    <row r="46" spans="1:9">
      <c r="A46" s="160" t="s">
        <v>772</v>
      </c>
      <c r="B46" s="1102">
        <v>0</v>
      </c>
      <c r="G46" s="64"/>
      <c r="H46" s="64"/>
      <c r="I46" s="64"/>
    </row>
    <row r="47" spans="1:9">
      <c r="A47" s="230" t="s">
        <v>773</v>
      </c>
      <c r="B47" s="588">
        <v>1</v>
      </c>
      <c r="C47" s="64"/>
      <c r="G47" s="64"/>
      <c r="H47" s="64"/>
      <c r="I47" s="64"/>
    </row>
    <row r="48" spans="1:9">
      <c r="A48" s="160" t="s">
        <v>780</v>
      </c>
      <c r="B48" s="1102">
        <v>1</v>
      </c>
      <c r="D48" s="489"/>
      <c r="E48" s="489"/>
      <c r="F48" s="1101"/>
      <c r="G48" s="64"/>
      <c r="H48" s="64"/>
      <c r="I48" s="64"/>
    </row>
    <row r="49" spans="1:19">
      <c r="A49" s="160" t="s">
        <v>781</v>
      </c>
      <c r="B49" s="1102">
        <f>1-B48</f>
        <v>0</v>
      </c>
      <c r="D49" s="489"/>
      <c r="E49" s="489"/>
      <c r="F49" s="1101"/>
      <c r="G49" s="64"/>
      <c r="H49" s="64"/>
      <c r="I49" s="64"/>
    </row>
    <row r="50" spans="1:19">
      <c r="A50" s="160" t="s">
        <v>782</v>
      </c>
      <c r="B50" s="1102">
        <v>0</v>
      </c>
      <c r="D50" s="489"/>
      <c r="E50" s="489"/>
      <c r="F50" s="1101"/>
      <c r="G50" s="64"/>
      <c r="H50" s="64"/>
      <c r="I50" s="64"/>
    </row>
    <row r="51" spans="1:19">
      <c r="A51" s="161" t="s">
        <v>783</v>
      </c>
      <c r="B51" s="949">
        <f>1-B50</f>
        <v>1</v>
      </c>
      <c r="D51" s="489"/>
      <c r="E51" s="489"/>
      <c r="F51" s="1101"/>
      <c r="G51" s="64"/>
      <c r="H51" s="64"/>
      <c r="I51" s="64"/>
    </row>
    <row r="52" spans="1:19">
      <c r="A52" s="64"/>
      <c r="B52" s="64"/>
      <c r="C52" s="64"/>
      <c r="D52" s="489"/>
      <c r="E52" s="489"/>
      <c r="F52" s="1101"/>
      <c r="G52" s="64"/>
      <c r="H52" s="64"/>
      <c r="I52" s="64"/>
    </row>
    <row r="53" spans="1:19" ht="15">
      <c r="A53" s="75" t="s">
        <v>784</v>
      </c>
    </row>
    <row r="54" spans="1:19" ht="36.75" customHeight="1">
      <c r="A54" s="640"/>
      <c r="B54" s="2998" t="s">
        <v>348</v>
      </c>
      <c r="C54" s="2999"/>
      <c r="D54" s="3012" t="s">
        <v>466</v>
      </c>
      <c r="E54" s="3012"/>
      <c r="F54" s="2998" t="s">
        <v>350</v>
      </c>
      <c r="G54" s="2999"/>
      <c r="H54" s="3012" t="s">
        <v>467</v>
      </c>
      <c r="I54" s="3012"/>
      <c r="J54" s="2998" t="s">
        <v>352</v>
      </c>
      <c r="K54" s="2999"/>
      <c r="L54" s="3012" t="s">
        <v>898</v>
      </c>
      <c r="M54" s="3012"/>
      <c r="N54" s="2998" t="s">
        <v>469</v>
      </c>
      <c r="O54" s="2999"/>
      <c r="P54" s="2998" t="s">
        <v>363</v>
      </c>
      <c r="Q54" s="2999"/>
      <c r="R54" s="3012" t="s">
        <v>339</v>
      </c>
      <c r="S54" s="2999"/>
    </row>
    <row r="55" spans="1:19" ht="68.099999999999994" customHeight="1">
      <c r="A55" s="95"/>
      <c r="B55" s="519" t="s">
        <v>785</v>
      </c>
      <c r="C55" s="518" t="s">
        <v>786</v>
      </c>
      <c r="D55" s="401" t="s">
        <v>785</v>
      </c>
      <c r="E55" s="401" t="s">
        <v>786</v>
      </c>
      <c r="F55" s="519" t="s">
        <v>785</v>
      </c>
      <c r="G55" s="518" t="s">
        <v>786</v>
      </c>
      <c r="H55" s="401" t="s">
        <v>785</v>
      </c>
      <c r="I55" s="401" t="s">
        <v>786</v>
      </c>
      <c r="J55" s="70" t="s">
        <v>785</v>
      </c>
      <c r="K55" s="71" t="s">
        <v>786</v>
      </c>
      <c r="L55" s="401" t="s">
        <v>785</v>
      </c>
      <c r="M55" s="401" t="s">
        <v>786</v>
      </c>
      <c r="N55" s="519" t="s">
        <v>785</v>
      </c>
      <c r="O55" s="518" t="s">
        <v>786</v>
      </c>
      <c r="P55" s="519" t="s">
        <v>785</v>
      </c>
      <c r="Q55" s="518" t="s">
        <v>786</v>
      </c>
      <c r="R55" s="401" t="s">
        <v>785</v>
      </c>
      <c r="S55" s="518" t="s">
        <v>786</v>
      </c>
    </row>
    <row r="56" spans="1:19" ht="25.5">
      <c r="A56" s="659" t="s">
        <v>797</v>
      </c>
      <c r="B56" s="663">
        <f>Mat_Inputs!B354</f>
        <v>0.57699999999999996</v>
      </c>
      <c r="C56" s="394"/>
      <c r="D56" s="367">
        <f>Mat_Inputs!B355</f>
        <v>17.835000000000001</v>
      </c>
      <c r="E56" s="392"/>
      <c r="F56" s="663">
        <f>Mat_Inputs!B356</f>
        <v>1.486</v>
      </c>
      <c r="G56" s="394"/>
      <c r="H56" s="367">
        <f>Mat_Inputs!B357</f>
        <v>46.777999999999999</v>
      </c>
      <c r="I56" s="392"/>
      <c r="J56" s="663">
        <f>Mat_Inputs!B358</f>
        <v>1.006</v>
      </c>
      <c r="K56" s="394"/>
      <c r="L56" s="367">
        <f>Mat_Inputs!B359</f>
        <v>1.0920000000000001</v>
      </c>
      <c r="M56" s="49"/>
      <c r="N56" s="663">
        <f>Mat_Inputs!B360</f>
        <v>4.46</v>
      </c>
      <c r="O56" s="52"/>
      <c r="P56" s="663">
        <f>Mat_Inputs!B361</f>
        <v>7.569</v>
      </c>
      <c r="Q56" s="394"/>
      <c r="R56" s="367">
        <f>Mat_Inputs!B362</f>
        <v>0.54</v>
      </c>
      <c r="S56" s="394"/>
    </row>
    <row r="57" spans="1:19">
      <c r="A57" s="660" t="s">
        <v>798</v>
      </c>
      <c r="B57" s="664">
        <v>0</v>
      </c>
      <c r="C57" s="656"/>
      <c r="D57" s="368">
        <v>0</v>
      </c>
      <c r="E57" s="669"/>
      <c r="F57" s="664">
        <v>0</v>
      </c>
      <c r="G57" s="656"/>
      <c r="H57" s="368">
        <v>0</v>
      </c>
      <c r="I57" s="669"/>
      <c r="J57" s="664">
        <v>0</v>
      </c>
      <c r="K57" s="707"/>
      <c r="L57" s="368">
        <v>0</v>
      </c>
      <c r="M57" s="669"/>
      <c r="N57" s="664">
        <v>0</v>
      </c>
      <c r="O57" s="656"/>
      <c r="P57" s="664">
        <v>0</v>
      </c>
      <c r="Q57" s="656"/>
      <c r="R57" s="368">
        <v>0</v>
      </c>
      <c r="S57" s="656"/>
    </row>
    <row r="58" spans="1:19">
      <c r="A58" s="178" t="s">
        <v>799</v>
      </c>
      <c r="B58" s="95"/>
      <c r="C58" s="94"/>
      <c r="F58" s="95"/>
      <c r="G58" s="94"/>
      <c r="J58" s="230"/>
      <c r="K58" s="395"/>
      <c r="N58" s="95"/>
      <c r="O58" s="94"/>
      <c r="P58" s="95"/>
      <c r="Q58" s="94"/>
      <c r="S58" s="94"/>
    </row>
    <row r="59" spans="1:19">
      <c r="A59" s="95" t="s">
        <v>800</v>
      </c>
      <c r="B59" s="173">
        <v>0.37</v>
      </c>
      <c r="C59" s="51"/>
      <c r="D59" s="1">
        <v>0.16500000000000001</v>
      </c>
      <c r="E59" s="1"/>
      <c r="F59" s="173">
        <v>0.35099999999999998</v>
      </c>
      <c r="G59" s="51"/>
      <c r="H59" s="1">
        <v>0</v>
      </c>
      <c r="I59" s="1"/>
      <c r="J59" s="173">
        <v>0.105</v>
      </c>
      <c r="K59" s="51"/>
      <c r="L59" s="1">
        <v>0</v>
      </c>
      <c r="M59" s="1"/>
      <c r="N59" s="173">
        <v>0</v>
      </c>
      <c r="O59" s="51"/>
      <c r="P59" s="173">
        <v>0</v>
      </c>
      <c r="Q59" s="51"/>
      <c r="R59" s="1">
        <v>0</v>
      </c>
      <c r="S59" s="51"/>
    </row>
    <row r="60" spans="1:19">
      <c r="A60" s="95" t="s">
        <v>802</v>
      </c>
      <c r="B60" s="173">
        <v>0.60299999999999998</v>
      </c>
      <c r="C60" s="51" t="s">
        <v>861</v>
      </c>
      <c r="D60" s="1">
        <v>0</v>
      </c>
      <c r="E60" s="1"/>
      <c r="F60" s="173">
        <v>6.4000000000000001E-2</v>
      </c>
      <c r="G60" s="51"/>
      <c r="H60" s="1">
        <v>0</v>
      </c>
      <c r="I60" s="1"/>
      <c r="J60" s="173">
        <v>2.9000000000000001E-2</v>
      </c>
      <c r="K60" s="51"/>
      <c r="L60" s="1">
        <v>0</v>
      </c>
      <c r="M60" s="1" t="s">
        <v>861</v>
      </c>
      <c r="N60" s="173">
        <v>0</v>
      </c>
      <c r="O60" s="51"/>
      <c r="P60" s="173">
        <v>0</v>
      </c>
      <c r="Q60" s="51"/>
      <c r="R60" s="1">
        <v>0</v>
      </c>
      <c r="S60" s="51"/>
    </row>
    <row r="61" spans="1:19" s="64" customFormat="1">
      <c r="A61" s="230" t="s">
        <v>801</v>
      </c>
      <c r="B61" s="173">
        <v>0</v>
      </c>
      <c r="C61" s="51"/>
      <c r="D61" s="1">
        <v>0</v>
      </c>
      <c r="E61" s="1"/>
      <c r="F61" s="173">
        <v>0</v>
      </c>
      <c r="G61" s="51"/>
      <c r="H61" s="1">
        <v>0</v>
      </c>
      <c r="I61" s="1"/>
      <c r="J61" s="173">
        <v>0</v>
      </c>
      <c r="K61" s="51"/>
      <c r="L61" s="1">
        <v>0</v>
      </c>
      <c r="M61" s="1"/>
      <c r="N61" s="173">
        <v>0</v>
      </c>
      <c r="O61" s="51"/>
      <c r="P61" s="173">
        <v>0</v>
      </c>
      <c r="Q61" s="51"/>
      <c r="R61" s="1">
        <v>0</v>
      </c>
      <c r="S61" s="51"/>
    </row>
    <row r="62" spans="1:19" s="64" customFormat="1">
      <c r="A62" s="230" t="s">
        <v>804</v>
      </c>
      <c r="B62" s="173">
        <v>0</v>
      </c>
      <c r="C62" s="51"/>
      <c r="D62" s="1">
        <v>0.72399999999999998</v>
      </c>
      <c r="E62" s="1"/>
      <c r="F62" s="173">
        <v>0.47499999999999998</v>
      </c>
      <c r="G62" s="51"/>
      <c r="H62" s="1">
        <v>0</v>
      </c>
      <c r="I62" s="1"/>
      <c r="J62" s="173">
        <v>0.65500000000000003</v>
      </c>
      <c r="K62" s="51"/>
      <c r="L62" s="1">
        <v>0.68400000000000005</v>
      </c>
      <c r="M62" s="1"/>
      <c r="N62" s="173">
        <v>0.92300000000000004</v>
      </c>
      <c r="O62" s="51"/>
      <c r="P62" s="173">
        <v>1</v>
      </c>
      <c r="Q62" s="51"/>
      <c r="R62" s="1">
        <v>0</v>
      </c>
      <c r="S62" s="51"/>
    </row>
    <row r="63" spans="1:19" s="64" customFormat="1">
      <c r="A63" s="230" t="s">
        <v>805</v>
      </c>
      <c r="B63" s="173">
        <v>0</v>
      </c>
      <c r="C63" s="51"/>
      <c r="D63" s="1">
        <v>7.4999999999999997E-2</v>
      </c>
      <c r="E63" s="1"/>
      <c r="F63" s="173">
        <v>0</v>
      </c>
      <c r="G63" s="51"/>
      <c r="H63" s="1">
        <v>0</v>
      </c>
      <c r="I63" s="1"/>
      <c r="J63" s="173">
        <v>0</v>
      </c>
      <c r="K63" s="51"/>
      <c r="L63" s="1">
        <v>0</v>
      </c>
      <c r="M63" s="1"/>
      <c r="N63" s="173">
        <v>0</v>
      </c>
      <c r="O63" s="51"/>
      <c r="P63" s="173">
        <v>0</v>
      </c>
      <c r="Q63" s="51"/>
      <c r="R63" s="1">
        <v>0</v>
      </c>
      <c r="S63" s="51"/>
    </row>
    <row r="64" spans="1:19" s="64" customFormat="1">
      <c r="A64" s="230" t="s">
        <v>899</v>
      </c>
      <c r="B64" s="173">
        <v>0</v>
      </c>
      <c r="C64" s="51"/>
      <c r="D64" s="1">
        <v>0</v>
      </c>
      <c r="E64" s="1"/>
      <c r="F64" s="173">
        <v>0</v>
      </c>
      <c r="G64" s="51"/>
      <c r="H64" s="1">
        <v>0</v>
      </c>
      <c r="I64" s="1"/>
      <c r="J64" s="173">
        <v>3.0000000000000001E-3</v>
      </c>
      <c r="K64" s="51"/>
      <c r="L64" s="1">
        <v>0</v>
      </c>
      <c r="M64" s="1"/>
      <c r="N64" s="173">
        <v>0</v>
      </c>
      <c r="O64" s="51"/>
      <c r="P64" s="173">
        <v>0</v>
      </c>
      <c r="Q64" s="51"/>
      <c r="R64" s="1">
        <v>0</v>
      </c>
      <c r="S64" s="51"/>
    </row>
    <row r="65" spans="1:21" s="64" customFormat="1">
      <c r="A65" s="230" t="s">
        <v>806</v>
      </c>
      <c r="B65" s="416">
        <f>1-SUM(B59:B64)</f>
        <v>2.7000000000000024E-2</v>
      </c>
      <c r="C65" s="395"/>
      <c r="D65" s="382">
        <f>1-SUM(D59:D64)</f>
        <v>3.6000000000000032E-2</v>
      </c>
      <c r="E65" s="417"/>
      <c r="F65" s="416">
        <f>1-SUM(F59:F64)</f>
        <v>0.1100000000000001</v>
      </c>
      <c r="G65" s="694"/>
      <c r="H65" s="382">
        <f>1-SUM(H59:H64)</f>
        <v>1</v>
      </c>
      <c r="J65" s="416">
        <f>1-SUM(J59:J64)</f>
        <v>0.20799999999999996</v>
      </c>
      <c r="K65" s="395"/>
      <c r="L65" s="382">
        <f>1-SUM(L59:L64)</f>
        <v>0.31599999999999995</v>
      </c>
      <c r="N65" s="416">
        <f>1-SUM(N59:N64)</f>
        <v>7.6999999999999957E-2</v>
      </c>
      <c r="O65" s="395"/>
      <c r="P65" s="416">
        <f>1-SUM(P59:P64)</f>
        <v>0</v>
      </c>
      <c r="Q65" s="588"/>
      <c r="R65" s="382">
        <f>1-SUM(R59:R64)</f>
        <v>1</v>
      </c>
      <c r="S65" s="588"/>
    </row>
    <row r="66" spans="1:21" s="64" customFormat="1" ht="25.5">
      <c r="A66" s="659" t="s">
        <v>807</v>
      </c>
      <c r="B66" s="393"/>
      <c r="C66" s="394"/>
      <c r="D66" s="392"/>
      <c r="E66" s="392"/>
      <c r="F66" s="393"/>
      <c r="G66" s="394"/>
      <c r="H66" s="392"/>
      <c r="I66" s="392"/>
      <c r="J66" s="393"/>
      <c r="K66" s="394"/>
      <c r="L66" s="392"/>
      <c r="M66" s="392"/>
      <c r="N66" s="393"/>
      <c r="O66" s="394"/>
      <c r="P66" s="393"/>
      <c r="Q66" s="394"/>
      <c r="R66" s="392"/>
      <c r="S66" s="394"/>
    </row>
    <row r="67" spans="1:21" s="64" customFormat="1">
      <c r="A67" s="230" t="s">
        <v>800</v>
      </c>
      <c r="B67" s="691">
        <f t="shared" ref="B67:B73" si="0">B$56*B59</f>
        <v>0.21348999999999999</v>
      </c>
      <c r="C67" s="395"/>
      <c r="D67" s="689">
        <f t="shared" ref="D67:D73" si="1">D$56*D59</f>
        <v>2.9427750000000001</v>
      </c>
      <c r="F67" s="691">
        <f t="shared" ref="F67:F73" si="2">F$56*F59</f>
        <v>0.52158599999999999</v>
      </c>
      <c r="G67" s="395"/>
      <c r="H67" s="689">
        <f t="shared" ref="H67:H73" si="3">H$56*H59</f>
        <v>0</v>
      </c>
      <c r="J67" s="691">
        <f t="shared" ref="J67:J73" si="4">J$56*J59</f>
        <v>0.10563</v>
      </c>
      <c r="K67" s="395"/>
      <c r="L67" s="689">
        <f t="shared" ref="L67:L73" si="5">L$56*L59</f>
        <v>0</v>
      </c>
      <c r="N67" s="691">
        <f t="shared" ref="N67:N73" si="6">N$56*N59</f>
        <v>0</v>
      </c>
      <c r="O67" s="395"/>
      <c r="P67" s="691">
        <f t="shared" ref="P67:P73" si="7">P$56*P59</f>
        <v>0</v>
      </c>
      <c r="Q67" s="395"/>
      <c r="R67" s="689">
        <f t="shared" ref="R67:R73" si="8">R$56*R59</f>
        <v>0</v>
      </c>
      <c r="S67" s="395"/>
    </row>
    <row r="68" spans="1:21" s="64" customFormat="1">
      <c r="A68" s="230" t="s">
        <v>802</v>
      </c>
      <c r="B68" s="691">
        <f t="shared" si="0"/>
        <v>0.34793099999999999</v>
      </c>
      <c r="C68" s="395"/>
      <c r="D68" s="689">
        <f t="shared" si="1"/>
        <v>0</v>
      </c>
      <c r="F68" s="691">
        <f t="shared" si="2"/>
        <v>9.5104000000000008E-2</v>
      </c>
      <c r="G68" s="395"/>
      <c r="H68" s="689">
        <f t="shared" si="3"/>
        <v>0</v>
      </c>
      <c r="J68" s="691">
        <f t="shared" si="4"/>
        <v>2.9174000000000002E-2</v>
      </c>
      <c r="K68" s="395"/>
      <c r="L68" s="689">
        <f t="shared" si="5"/>
        <v>0</v>
      </c>
      <c r="N68" s="691">
        <f t="shared" si="6"/>
        <v>0</v>
      </c>
      <c r="O68" s="395"/>
      <c r="P68" s="691">
        <f t="shared" si="7"/>
        <v>0</v>
      </c>
      <c r="Q68" s="395"/>
      <c r="R68" s="689">
        <f t="shared" si="8"/>
        <v>0</v>
      </c>
      <c r="S68" s="395"/>
    </row>
    <row r="69" spans="1:21" s="64" customFormat="1">
      <c r="A69" s="230" t="s">
        <v>801</v>
      </c>
      <c r="B69" s="691">
        <f t="shared" si="0"/>
        <v>0</v>
      </c>
      <c r="C69" s="395"/>
      <c r="D69" s="689">
        <f t="shared" si="1"/>
        <v>0</v>
      </c>
      <c r="F69" s="691">
        <f t="shared" si="2"/>
        <v>0</v>
      </c>
      <c r="G69" s="395"/>
      <c r="H69" s="689">
        <f t="shared" si="3"/>
        <v>0</v>
      </c>
      <c r="J69" s="691">
        <f t="shared" si="4"/>
        <v>0</v>
      </c>
      <c r="K69" s="395"/>
      <c r="L69" s="689">
        <f t="shared" si="5"/>
        <v>0</v>
      </c>
      <c r="N69" s="691">
        <f t="shared" si="6"/>
        <v>0</v>
      </c>
      <c r="O69" s="395"/>
      <c r="P69" s="691">
        <f t="shared" si="7"/>
        <v>0</v>
      </c>
      <c r="Q69" s="395"/>
      <c r="R69" s="689">
        <f t="shared" si="8"/>
        <v>0</v>
      </c>
      <c r="S69" s="395"/>
    </row>
    <row r="70" spans="1:21" s="64" customFormat="1">
      <c r="A70" s="230" t="s">
        <v>808</v>
      </c>
      <c r="B70" s="691">
        <f t="shared" si="0"/>
        <v>0</v>
      </c>
      <c r="C70" s="395"/>
      <c r="D70" s="689">
        <f t="shared" si="1"/>
        <v>12.91254</v>
      </c>
      <c r="F70" s="691">
        <f t="shared" si="2"/>
        <v>0.70584999999999998</v>
      </c>
      <c r="G70" s="395"/>
      <c r="H70" s="689">
        <f t="shared" si="3"/>
        <v>0</v>
      </c>
      <c r="J70" s="691">
        <f t="shared" si="4"/>
        <v>0.65893000000000002</v>
      </c>
      <c r="K70" s="395"/>
      <c r="L70" s="689">
        <f t="shared" si="5"/>
        <v>0.74692800000000015</v>
      </c>
      <c r="N70" s="691">
        <f t="shared" si="6"/>
        <v>4.1165799999999999</v>
      </c>
      <c r="O70" s="395"/>
      <c r="P70" s="691">
        <f t="shared" si="7"/>
        <v>7.569</v>
      </c>
      <c r="Q70" s="395"/>
      <c r="R70" s="689">
        <f t="shared" si="8"/>
        <v>0</v>
      </c>
      <c r="S70" s="395"/>
    </row>
    <row r="71" spans="1:21" s="64" customFormat="1">
      <c r="A71" s="230" t="s">
        <v>805</v>
      </c>
      <c r="B71" s="691">
        <f t="shared" si="0"/>
        <v>0</v>
      </c>
      <c r="C71" s="395"/>
      <c r="D71" s="689">
        <f t="shared" si="1"/>
        <v>1.3376250000000001</v>
      </c>
      <c r="F71" s="691">
        <f t="shared" si="2"/>
        <v>0</v>
      </c>
      <c r="G71" s="395"/>
      <c r="H71" s="689">
        <f t="shared" si="3"/>
        <v>0</v>
      </c>
      <c r="J71" s="691">
        <f t="shared" si="4"/>
        <v>0</v>
      </c>
      <c r="K71" s="395"/>
      <c r="L71" s="689">
        <f t="shared" si="5"/>
        <v>0</v>
      </c>
      <c r="N71" s="691">
        <f t="shared" si="6"/>
        <v>0</v>
      </c>
      <c r="O71" s="395"/>
      <c r="P71" s="691">
        <f t="shared" si="7"/>
        <v>0</v>
      </c>
      <c r="Q71" s="395"/>
      <c r="R71" s="689">
        <f t="shared" si="8"/>
        <v>0</v>
      </c>
      <c r="S71" s="395"/>
    </row>
    <row r="72" spans="1:21" s="64" customFormat="1">
      <c r="A72" s="230" t="s">
        <v>899</v>
      </c>
      <c r="B72" s="691">
        <f t="shared" si="0"/>
        <v>0</v>
      </c>
      <c r="C72" s="395"/>
      <c r="D72" s="689">
        <f t="shared" si="1"/>
        <v>0</v>
      </c>
      <c r="F72" s="691">
        <f t="shared" si="2"/>
        <v>0</v>
      </c>
      <c r="G72" s="395"/>
      <c r="H72" s="689">
        <f t="shared" si="3"/>
        <v>0</v>
      </c>
      <c r="J72" s="691">
        <f t="shared" si="4"/>
        <v>3.0180000000000003E-3</v>
      </c>
      <c r="K72" s="395"/>
      <c r="L72" s="689">
        <f t="shared" si="5"/>
        <v>0</v>
      </c>
      <c r="N72" s="691">
        <f t="shared" si="6"/>
        <v>0</v>
      </c>
      <c r="O72" s="395"/>
      <c r="P72" s="691">
        <f t="shared" si="7"/>
        <v>0</v>
      </c>
      <c r="Q72" s="395"/>
      <c r="R72" s="689">
        <f t="shared" si="8"/>
        <v>0</v>
      </c>
      <c r="S72" s="395"/>
    </row>
    <row r="73" spans="1:21" s="64" customFormat="1">
      <c r="A73" s="230" t="s">
        <v>806</v>
      </c>
      <c r="B73" s="691">
        <f t="shared" si="0"/>
        <v>1.5579000000000013E-2</v>
      </c>
      <c r="C73" s="395"/>
      <c r="D73" s="689">
        <f t="shared" si="1"/>
        <v>0.64206000000000063</v>
      </c>
      <c r="F73" s="691">
        <f t="shared" si="2"/>
        <v>0.16346000000000013</v>
      </c>
      <c r="G73" s="395"/>
      <c r="H73" s="689">
        <f t="shared" si="3"/>
        <v>46.777999999999999</v>
      </c>
      <c r="J73" s="691">
        <f t="shared" si="4"/>
        <v>0.20924799999999996</v>
      </c>
      <c r="K73" s="395"/>
      <c r="L73" s="689">
        <f t="shared" si="5"/>
        <v>0.34507199999999999</v>
      </c>
      <c r="N73" s="691">
        <f t="shared" si="6"/>
        <v>0.34341999999999978</v>
      </c>
      <c r="O73" s="395"/>
      <c r="P73" s="691">
        <f t="shared" si="7"/>
        <v>0</v>
      </c>
      <c r="Q73" s="395"/>
      <c r="R73" s="689">
        <f t="shared" si="8"/>
        <v>0.54</v>
      </c>
      <c r="S73" s="395"/>
    </row>
    <row r="74" spans="1:21" s="64" customFormat="1">
      <c r="A74" s="230" t="s">
        <v>900</v>
      </c>
      <c r="B74" s="691"/>
      <c r="C74" s="395"/>
      <c r="D74" s="1">
        <v>0.30599999999999999</v>
      </c>
      <c r="E74" s="1"/>
      <c r="F74" s="173"/>
      <c r="G74" s="51"/>
      <c r="H74" s="1"/>
      <c r="I74" s="1"/>
      <c r="J74" s="173"/>
      <c r="K74" s="51"/>
      <c r="L74" s="1"/>
      <c r="M74" s="1"/>
      <c r="N74" s="173">
        <v>3.836E-4</v>
      </c>
      <c r="O74" s="51"/>
      <c r="P74" s="173"/>
      <c r="Q74" s="51"/>
      <c r="R74" s="1"/>
      <c r="S74" s="51"/>
    </row>
    <row r="75" spans="1:21" s="64" customFormat="1">
      <c r="A75" s="230" t="s">
        <v>901</v>
      </c>
      <c r="B75" s="691"/>
      <c r="C75" s="395"/>
      <c r="D75" s="1">
        <v>7.8E-2</v>
      </c>
      <c r="E75" s="1"/>
      <c r="F75" s="173"/>
      <c r="G75" s="51"/>
      <c r="H75" s="1"/>
      <c r="I75" s="1"/>
      <c r="J75" s="173"/>
      <c r="K75" s="51"/>
      <c r="L75" s="1">
        <v>8.9599999999999999E-4</v>
      </c>
      <c r="M75" s="1"/>
      <c r="N75" s="173">
        <v>3.9871999999999998E-3</v>
      </c>
      <c r="O75" s="51"/>
      <c r="P75" s="173"/>
      <c r="Q75" s="51"/>
      <c r="R75" s="1"/>
      <c r="S75" s="51"/>
    </row>
    <row r="76" spans="1:21" customFormat="1">
      <c r="A76" s="173" t="s">
        <v>902</v>
      </c>
      <c r="B76" s="173"/>
      <c r="C76" s="51"/>
      <c r="D76" s="1"/>
      <c r="E76" s="1"/>
      <c r="F76" s="173">
        <v>0.28599999999999998</v>
      </c>
      <c r="G76" s="51"/>
      <c r="H76" s="1"/>
      <c r="I76" s="1"/>
      <c r="J76" s="173"/>
      <c r="K76" s="51"/>
      <c r="L76" s="1"/>
      <c r="M76" s="1"/>
      <c r="N76" s="173"/>
      <c r="O76" s="51"/>
      <c r="P76" s="173"/>
      <c r="Q76" s="51"/>
      <c r="R76" s="1"/>
      <c r="S76" s="51"/>
      <c r="T76" s="1321"/>
      <c r="U76" s="1321"/>
    </row>
    <row r="77" spans="1:21">
      <c r="A77" s="173" t="s">
        <v>863</v>
      </c>
      <c r="B77" s="666"/>
      <c r="C77" s="94"/>
      <c r="D77" s="1"/>
      <c r="E77" s="1"/>
      <c r="F77" s="173">
        <v>6.3E-2</v>
      </c>
      <c r="G77" s="51"/>
      <c r="H77" s="1">
        <v>6.0000000000000001E-3</v>
      </c>
      <c r="I77" s="1"/>
      <c r="J77" s="173"/>
      <c r="K77" s="51"/>
      <c r="L77" s="1"/>
      <c r="M77" s="1"/>
      <c r="N77" s="173"/>
      <c r="O77" s="51"/>
      <c r="P77" s="173"/>
      <c r="Q77" s="51"/>
      <c r="R77" s="1"/>
      <c r="S77" s="51"/>
    </row>
    <row r="78" spans="1:21">
      <c r="A78" s="173" t="s">
        <v>903</v>
      </c>
      <c r="B78" s="666"/>
      <c r="C78" s="94"/>
      <c r="D78" s="1"/>
      <c r="E78" s="1"/>
      <c r="F78" s="173">
        <v>3.0000000000000001E-3</v>
      </c>
      <c r="G78" s="51"/>
      <c r="H78" s="1">
        <v>4.0000000000000001E-3</v>
      </c>
      <c r="I78" s="1"/>
      <c r="J78" s="173"/>
      <c r="K78" s="51"/>
      <c r="L78" s="1"/>
      <c r="M78" s="1"/>
      <c r="N78" s="173">
        <v>9.1299999999999997E-5</v>
      </c>
      <c r="O78" s="51"/>
      <c r="P78" s="173"/>
      <c r="Q78" s="51"/>
      <c r="R78" s="1"/>
      <c r="S78" s="51"/>
    </row>
    <row r="79" spans="1:21" customFormat="1">
      <c r="A79" s="173" t="s">
        <v>904</v>
      </c>
      <c r="B79" s="173"/>
      <c r="C79" s="51"/>
      <c r="D79" s="1"/>
      <c r="E79" s="1"/>
      <c r="F79" s="173"/>
      <c r="G79" s="51"/>
      <c r="H79" s="1"/>
      <c r="I79" s="1"/>
      <c r="J79" s="173"/>
      <c r="K79" s="51"/>
      <c r="L79" s="1"/>
      <c r="M79" s="1"/>
      <c r="N79" s="173">
        <v>7.9923300000000003E-2</v>
      </c>
      <c r="O79" s="51"/>
      <c r="P79" s="173"/>
      <c r="Q79" s="51"/>
      <c r="R79" s="1"/>
      <c r="S79" s="51"/>
      <c r="T79" s="1321"/>
      <c r="U79" s="1321"/>
    </row>
    <row r="80" spans="1:21" s="64" customFormat="1">
      <c r="A80" s="393" t="s">
        <v>816</v>
      </c>
      <c r="B80" s="510">
        <f ca="1">B$67*(1+(GREET1_Import_Export!$F$179*GREET1_Import_Export!$B180+GREET1_Import_Export!$F180)/1000000)+B$68*(1+(GREET1_Import_Export!$H$179*GREET1_Import_Export!$B180+GREET1_Import_Export!$H180)/1000000)+B$69*(1+(GREET1_Import_Export!$C$179*GREET1_Import_Export!$B180+GREET1_Import_Export!$C180)/1000000)+B$70*(1+GREET1_Import_Export!$B216/1000000)+B$71*(1+GREET1_Import_Export!$B284/1000000)+B$72*GREET1_Import_Export!$B$10*(1+(GREET1_Import_Export!$F$215*GREET1_Import_Export!$B216+GREET1_Import_Export!$F216)/1000000)+B$72*GREET1_Import_Export!$C$10*(1+(GREET1_Import_Export!$E$179*GREET1_Import_Export!$B180+GREET1_Import_Export!$E180)/1000000)+B$73*(GREET1_Import_Export!$B309+GREET1_Import_Export!$C309)/1000000+B$74*0.5*GREET1_Import_Export!$B525+B$75*GREET1_Import_Export!$C494+B$77*Steel!$B108+B$78*Steel!$I108</f>
        <v>0.68454435979339279</v>
      </c>
      <c r="C80" s="509"/>
      <c r="D80" s="512">
        <f ca="1">D$67*(1+(GREET1_Import_Export!$F$179*GREET1_Import_Export!$B180+GREET1_Import_Export!$F180)/1000000)+D$68*(1+(GREET1_Import_Export!$G$179*GREET1_Import_Export!$B180+GREET1_Import_Export!$G180)/1000000)+D$69*(1+(GREET1_Import_Export!$C$179*GREET1_Import_Export!$B180+GREET1_Import_Export!$C180)/1000000)+D$70*(1+GREET1_Import_Export!$B216/1000000)+D$71*(1+GREET1_Import_Export!$B284/1000000)+D$72*GREET1_Import_Export!$B$10*(1+(GREET1_Import_Export!$F$215*GREET1_Import_Export!$B216+GREET1_Import_Export!$F216)/1000000)+D$72*GREET1_Import_Export!$C$10*(1+(GREET1_Import_Export!$E$179*GREET1_Import_Export!$B180+GREET1_Import_Export!$E180)/1000000)+D$73*(GREET1_Import_Export!$B309+GREET1_Import_Export!$C309)/1000000+D$74*0.5*GREET1_Import_Export!$B525+D$75*GREET1_Import_Export!$C494+D$77*Steel!$B108+D$78*Steel!$I108</f>
        <v>24.809133118047917</v>
      </c>
      <c r="E80" s="512"/>
      <c r="F80" s="510">
        <f ca="1">F$67*(1+(GREET1_Import_Export!$F$179*GREET1_Import_Export!$B180+GREET1_Import_Export!$F180)/1000000)+F$68*(1+(GREET1_Import_Export!$G$179*GREET1_Import_Export!$B180+GREET1_Import_Export!$G180)/1000000)+F$69*(1+(GREET1_Import_Export!$C$179*GREET1_Import_Export!$B180+GREET1_Import_Export!$C180)/1000000)+F$70*(1+GREET1_Import_Export!$B216/1000000)+F$71*(1+GREET1_Import_Export!$B284/1000000)+F$72*GREET1_Import_Export!$B$10*(1+(GREET1_Import_Export!$F$215*GREET1_Import_Export!$B216+GREET1_Import_Export!$F216)/1000000)+F$72*GREET1_Import_Export!$C$10*(1+(GREET1_Import_Export!$E$179*GREET1_Import_Export!$B180+GREET1_Import_Export!$E180)/1000000)+F$73*(GREET1_Import_Export!$B309+GREET1_Import_Export!$C309)/1000000+F$74*0.5*GREET1_Import_Export!$B525+F$75*GREET1_Import_Export!$C494+F$76*GREET1_Import_Export!$B$41*(1+(GREET1_Import_Export!$I$179*GREET1_Import_Export!$B180+GREET1_Import_Export!$I180)/1000000)/1000000+F$77*Steel!$B108+F$78*Steel!$I108</f>
        <v>12.440552255727628</v>
      </c>
      <c r="G80" s="509"/>
      <c r="H80" s="512">
        <f ca="1">H$67*(1+(GREET1_Import_Export!$F$179*GREET1_Import_Export!$B180+GREET1_Import_Export!$F180)/1000000)+H$68*(1+(GREET1_Import_Export!$G$179*GREET1_Import_Export!$B180+GREET1_Import_Export!$G180)/1000000)+H$69*(1+(GREET1_Import_Export!$C$179*GREET1_Import_Export!$B180+GREET1_Import_Export!$C180)/1000000)+H$70*(1+GREET1_Import_Export!$B216/1000000)+H$71*(1+GREET1_Import_Export!$B284/1000000)+H$72*GREET1_Import_Export!$B$10*(1+(GREET1_Import_Export!$F$215*GREET1_Import_Export!$B216+GREET1_Import_Export!$F216)/1000000)+H$72*GREET1_Import_Export!$C$10*(1+(GREET1_Import_Export!$E$179*GREET1_Import_Export!$B180+GREET1_Import_Export!$E180)/1000000)+H$73*$B17/1000000+H$74*0.5*GREET1_Import_Export!$B525+H$75*GREET1_Import_Export!$C494+H$77*Steel!$B108+H$78*Steel!$I108</f>
        <v>65.817972929625753</v>
      </c>
      <c r="I80" s="512"/>
      <c r="J80" s="510">
        <f ca="1">J$67*(1+(GREET1_Import_Export!$F$179*GREET1_Import_Export!$B180+GREET1_Import_Export!$F180)/1000000)+J$68*(1+(GREET1_Import_Export!$G$179*GREET1_Import_Export!$B180+GREET1_Import_Export!$G180)/1000000)+J$69*(1+(GREET1_Import_Export!$C$179*GREET1_Import_Export!$B180+GREET1_Import_Export!$C180)/1000000)+J$70*(1+GREET1_Import_Export!$B216/1000000)+J$71*(1+GREET1_Import_Export!$B284/1000000)+J$72*GREET1_Import_Export!$B$10*(1+(GREET1_Import_Export!$F$215*GREET1_Import_Export!$B216+GREET1_Import_Export!$F216)/1000000)+J$72*GREET1_Import_Export!$C$10*(1+(GREET1_Import_Export!$E$179*GREET1_Import_Export!$B180+GREET1_Import_Export!$E180)/1000000)+J$73*(GREET1_Import_Export!$B309+GREET1_Import_Export!$C309)/1000000+J$74*0.5*GREET1_Import_Export!$B525+J$75*GREET1_Import_Export!$C494+J$76*GREET1_Import_Export!$B$41*(1+(GREET1_Import_Export!$I$179*GREET1_Import_Export!$B180+GREET1_Import_Export!$I180)/1000000)/1000000+J$77*Steel!$B108+J$78*Steel!$I108</f>
        <v>1.3094835347968221</v>
      </c>
      <c r="K80" s="509"/>
      <c r="L80" s="512">
        <f ca="1">L$67*(1+(GREET1_Import_Export!$F$179*GREET1_Import_Export!$B180+GREET1_Import_Export!$F180)/1000000)+L$68*(1+(GREET1_Import_Export!$G$179*GREET1_Import_Export!$B180+GREET1_Import_Export!$G180)/1000000)+L$69*(1+(GREET1_Import_Export!$C$179*GREET1_Import_Export!$B180+GREET1_Import_Export!$C180)/1000000)+L$70*(1+GREET1_Import_Export!$B216/1000000)+L$71*(1+GREET1_Import_Export!$B284/1000000)+L$72*GREET1_Import_Export!$B$10*(1+(GREET1_Import_Export!$F$215*GREET1_Import_Export!$B216+GREET1_Import_Export!$F216)/1000000)+L$72*GREET1_Import_Export!$C$10*(1+(GREET1_Import_Export!$E$179*GREET1_Import_Export!$B180+GREET1_Import_Export!$E180)/1000000)+L$73*(GREET1_Import_Export!$B309+GREET1_Import_Export!$C309)/1000000+L$74*0.5*GREET1_Import_Export!$B525+L$75*GREET1_Import_Export!$C494+L$76*GREET1_Import_Export!$B$41*(1+(GREET1_Import_Export!$I$179*GREET1_Import_Export!$B180+GREET1_Import_Export!$I180)/1000000)/1000000+L$77*Steel!$B108+L$78*Steel!$I108</f>
        <v>1.5284560671933123</v>
      </c>
      <c r="M80" s="512"/>
      <c r="N80" s="510">
        <f ca="1">N$67*(1+(GREET1_Import_Export!$F$179*GREET1_Import_Export!$B180+GREET1_Import_Export!$F180)/1000000)+N$68*(1+(GREET1_Import_Export!$G$179*GREET1_Import_Export!$B180+GREET1_Import_Export!$G180)/1000000)+N$69*(1+(GREET1_Import_Export!$C$179*GREET1_Import_Export!$B180+GREET1_Import_Export!$C180)/1000000)+N$70*(1+GREET1_Import_Export!$B216/1000000)+N$71*(1+GREET1_Import_Export!$B284/1000000)+N$72*GREET1_Import_Export!$B$10*(1+(GREET1_Import_Export!$F$215*GREET1_Import_Export!$B216+GREET1_Import_Export!$F216)/1000000)+N$72*GREET1_Import_Export!$C$10*(1+(GREET1_Import_Export!$E$179*GREET1_Import_Export!$B180+GREET1_Import_Export!$E180)/1000000)+N$73*(GREET1_Import_Export!$B309+GREET1_Import_Export!$C309)/1000000+N$74*0.5*GREET1_Import_Export!$B525+N$75*GREET1_Import_Export!$C494+N$76*GREET1_Import_Export!$B$41*(1+(GREET1_Import_Export!$I$179*GREET1_Import_Export!$B180+GREET1_Import_Export!$I180)/1000000)/1000000+N$77*Steel!$B108+N$78*Steel!$I108+N$79*(SUM($B115:$E115)*$F$113+$F115)</f>
        <v>13.829380067061894</v>
      </c>
      <c r="O80" s="509"/>
      <c r="P80" s="510">
        <f ca="1">P$67*(1+(GREET1_Import_Export!$F$179*GREET1_Import_Export!$B180+GREET1_Import_Export!$F180)/1000000)+P$68*(1+(GREET1_Import_Export!$G$179*GREET1_Import_Export!$B180+GREET1_Import_Export!$G180)/1000000)+P$69*(1+(GREET1_Import_Export!$C$179*GREET1_Import_Export!$B180+GREET1_Import_Export!$C180)/1000000)+P$70*(1+GREET1_Import_Export!$B216/1000000)+P$71*(1+GREET1_Import_Export!$B284/1000000)+P$72*GREET1_Import_Export!$B$10*(1+(GREET1_Import_Export!$F$215*GREET1_Import_Export!$B216+GREET1_Import_Export!$F216)/1000000)+P$72*GREET1_Import_Export!$C$10*(1+(GREET1_Import_Export!$E$179*GREET1_Import_Export!$B180+GREET1_Import_Export!$E180)/1000000)+P$73*(GREET1_Import_Export!$B309+GREET1_Import_Export!$C309)/1000000+P$74*0.5*GREET1_Import_Export!$B525+P$75*GREET1_Import_Export!$C494+P$77*Steel!$B108+P$78*Steel!$I108</f>
        <v>8.3581149233194392</v>
      </c>
      <c r="Q80" s="509"/>
      <c r="R80" s="512">
        <f ca="1">R$67*(1+(GREET1_Import_Export!$F$179*GREET1_Import_Export!$B180+GREET1_Import_Export!$F180)/1000000)+R$68*(1+(GREET1_Import_Export!$G$179*GREET1_Import_Export!$B180+GREET1_Import_Export!$G180)/1000000)+R$69*(1+(GREET1_Import_Export!$C$179*GREET1_Import_Export!$B180+GREET1_Import_Export!$C180)/1000000)+R$70*(1+GREET1_Import_Export!$B216/1000000)+R$71*(1+GREET1_Import_Export!$B284/1000000)+R$72*GREET1_Import_Export!$B$10*(1+(GREET1_Import_Export!$F$215*GREET1_Import_Export!$B216+GREET1_Import_Export!$F216)/1000000)+R$72*GREET1_Import_Export!$C$10*(1+(GREET1_Import_Export!$E$179*GREET1_Import_Export!$B180+GREET1_Import_Export!$E180)/1000000)+R$73*(GREET1_Import_Export!$B309+GREET1_Import_Export!$C309)/1000000+R$74*0.5*GREET1_Import_Export!$B525+R$75*GREET1_Import_Export!$C494+R$77*Steel!$B108+R$78*Steel!$I108</f>
        <v>1.095149842171246</v>
      </c>
      <c r="S80" s="509"/>
      <c r="T80" s="1321"/>
      <c r="U80" s="1321"/>
    </row>
    <row r="81" spans="1:21" s="64" customFormat="1">
      <c r="A81" s="230" t="s">
        <v>817</v>
      </c>
      <c r="B81" s="347">
        <f ca="1">B$67*(1+(GREET1_Import_Export!$F$179*GREET1_Import_Export!$B181+GREET1_Import_Export!$F181)/1000000)+B$68*(1+(GREET1_Import_Export!$H$179*GREET1_Import_Export!$B181+GREET1_Import_Export!$H181)/1000000)+B$69*(1+(GREET1_Import_Export!$C$179*GREET1_Import_Export!$B181+GREET1_Import_Export!$C181)/1000000)+B$70*(1+GREET1_Import_Export!$B217/1000000)+B$71*(1+GREET1_Import_Export!$B285/1000000)+B$72*GREET1_Import_Export!$B$10*(1+(GREET1_Import_Export!$F$215*GREET1_Import_Export!$B217+GREET1_Import_Export!$F217)/1000000)+B$72*GREET1_Import_Export!$C$10*(1+(GREET1_Import_Export!$E$179*GREET1_Import_Export!$B181+GREET1_Import_Export!$E181)/1000000)+B$73*(GREET1_Import_Export!$B310+GREET1_Import_Export!$C310)/1000000+B$74*0.5*GREET1_Import_Export!$B526+B$75*GREET1_Import_Export!$C495+B$77*Steel!$B109+B$78*Steel!$I109</f>
        <v>0.67496085950170837</v>
      </c>
      <c r="C81" s="348"/>
      <c r="D81" s="349">
        <f ca="1">D$67*(1+(GREET1_Import_Export!$F$179*GREET1_Import_Export!$B181+GREET1_Import_Export!$F181)/1000000)+D$68*(1+(GREET1_Import_Export!$G$179*GREET1_Import_Export!$B181+GREET1_Import_Export!$G181)/1000000)+D$69*(1+(GREET1_Import_Export!$C$179*GREET1_Import_Export!$B181+GREET1_Import_Export!$C181)/1000000)+D$70*(1+GREET1_Import_Export!$B217/1000000)+D$71*(1+GREET1_Import_Export!$B285/1000000)+D$72*GREET1_Import_Export!$B$10*(1+(GREET1_Import_Export!$F$215*GREET1_Import_Export!$B217+GREET1_Import_Export!$F217)/1000000)+D$72*GREET1_Import_Export!$C$10*(1+(GREET1_Import_Export!$E$179*GREET1_Import_Export!$B181+GREET1_Import_Export!$E181)/1000000)+D$73*(GREET1_Import_Export!$B310+GREET1_Import_Export!$C310)/1000000+D$74*0.5*GREET1_Import_Export!$B526+D$75*GREET1_Import_Export!$C495+D$77*Steel!$B109+D$78*Steel!$I109</f>
        <v>24.053439739946107</v>
      </c>
      <c r="E81" s="349"/>
      <c r="F81" s="347">
        <f ca="1">F$67*(1+(GREET1_Import_Export!$F$179*GREET1_Import_Export!$B181+GREET1_Import_Export!$F181)/1000000)+F$68*(1+(GREET1_Import_Export!$G$179*GREET1_Import_Export!$B181+GREET1_Import_Export!$G181)/1000000)+F$69*(1+(GREET1_Import_Export!$C$179*GREET1_Import_Export!$B181+GREET1_Import_Export!$C181)/1000000)+F$70*(1+GREET1_Import_Export!$B217/1000000)+F$71*(1+GREET1_Import_Export!$B285/1000000)+F$72*GREET1_Import_Export!$B$10*(1+(GREET1_Import_Export!$F$215*GREET1_Import_Export!$B217+GREET1_Import_Export!$F217)/1000000)+F$72*GREET1_Import_Export!$C$10*(1+(GREET1_Import_Export!$E$179*GREET1_Import_Export!$B181+GREET1_Import_Export!$E181)/1000000)+F$73*(GREET1_Import_Export!$B310+GREET1_Import_Export!$C310)/1000000+F$74*0.5*GREET1_Import_Export!$B526+F$75*GREET1_Import_Export!$C495+F$76*GREET1_Import_Export!$B$41*(1+(GREET1_Import_Export!$I$179*GREET1_Import_Export!$B181+GREET1_Import_Export!$I181)/1000000)/1000000+F$77*Steel!$B109+F$78*Steel!$I109</f>
        <v>12.322318118995017</v>
      </c>
      <c r="G81" s="348"/>
      <c r="H81" s="349">
        <f ca="1">H$67*(1+(GREET1_Import_Export!$F$179*GREET1_Import_Export!$B181+GREET1_Import_Export!$F181)/1000000)+H$68*(1+(GREET1_Import_Export!$G$179*GREET1_Import_Export!$B181+GREET1_Import_Export!$G181)/1000000)+H$69*(1+(GREET1_Import_Export!$C$179*GREET1_Import_Export!$B181+GREET1_Import_Export!$C181)/1000000)+H$70*(1+GREET1_Import_Export!$B217/1000000)+H$71*(1+GREET1_Import_Export!$B285/1000000)+H$72*GREET1_Import_Export!$B$10*(1+(GREET1_Import_Export!$F$215*GREET1_Import_Export!$B217+GREET1_Import_Export!$F217)/1000000)+H$72*GREET1_Import_Export!$C$10*(1+(GREET1_Import_Export!$E$179*GREET1_Import_Export!$B181+GREET1_Import_Export!$E181)/1000000)+H$73*$B18/1000000+H$74*0.5*GREET1_Import_Export!$B526+H$75*GREET1_Import_Export!$C495+H$77*Steel!$B109+H$78*Steel!$I109</f>
        <v>25.672651864922052</v>
      </c>
      <c r="I81" s="349"/>
      <c r="J81" s="347">
        <f ca="1">J$67*(1+(GREET1_Import_Export!$F$179*GREET1_Import_Export!$B181+GREET1_Import_Export!$F181)/1000000)+J$68*(1+(GREET1_Import_Export!$G$179*GREET1_Import_Export!$B181+GREET1_Import_Export!$G181)/1000000)+J$69*(1+(GREET1_Import_Export!$C$179*GREET1_Import_Export!$B181+GREET1_Import_Export!$C181)/1000000)+J$70*(1+GREET1_Import_Export!$B217/1000000)+J$71*(1+GREET1_Import_Export!$B285/1000000)+J$72*GREET1_Import_Export!$B$10*(1+(GREET1_Import_Export!$F$215*GREET1_Import_Export!$B217+GREET1_Import_Export!$F217)/1000000)+J$72*GREET1_Import_Export!$C$10*(1+(GREET1_Import_Export!$E$179*GREET1_Import_Export!$B181+GREET1_Import_Export!$E181)/1000000)+J$73*(GREET1_Import_Export!$B310+GREET1_Import_Export!$C310)/1000000+J$74*0.5*GREET1_Import_Export!$B526+J$75*GREET1_Import_Export!$C495+J$76*GREET1_Import_Export!$B$41*(1+(GREET1_Import_Export!$I$179*GREET1_Import_Export!$B181+GREET1_Import_Export!$I181)/1000000)/1000000+J$77*Steel!$B109+J$78*Steel!$I109</f>
        <v>1.2200432119038398</v>
      </c>
      <c r="K81" s="348"/>
      <c r="L81" s="349">
        <f ca="1">L$67*(1+(GREET1_Import_Export!$F$179*GREET1_Import_Export!$B181+GREET1_Import_Export!$F181)/1000000)+L$68*(1+(GREET1_Import_Export!$G$179*GREET1_Import_Export!$B181+GREET1_Import_Export!$G181)/1000000)+L$69*(1+(GREET1_Import_Export!$C$179*GREET1_Import_Export!$B181+GREET1_Import_Export!$C181)/1000000)+L$70*(1+GREET1_Import_Export!$B217/1000000)+L$71*(1+GREET1_Import_Export!$B285/1000000)+L$72*GREET1_Import_Export!$B$10*(1+(GREET1_Import_Export!$F$215*GREET1_Import_Export!$B217+GREET1_Import_Export!$F217)/1000000)+L$72*GREET1_Import_Export!$C$10*(1+(GREET1_Import_Export!$E$179*GREET1_Import_Export!$B181+GREET1_Import_Export!$E181)/1000000)+L$73*(GREET1_Import_Export!$B310+GREET1_Import_Export!$C310)/1000000+L$74*0.5*GREET1_Import_Export!$B526+L$75*GREET1_Import_Export!$C495+L$76*GREET1_Import_Export!$B$41*(1+(GREET1_Import_Export!$I$179*GREET1_Import_Export!$B181+GREET1_Import_Export!$I181)/1000000)/1000000+L$77*Steel!$B109+L$78*Steel!$I109</f>
        <v>1.3822678428819997</v>
      </c>
      <c r="M81" s="349"/>
      <c r="N81" s="347">
        <f ca="1">N$67*(1+(GREET1_Import_Export!$F$179*GREET1_Import_Export!$B181+GREET1_Import_Export!$F181)/1000000)+N$68*(1+(GREET1_Import_Export!$G$179*GREET1_Import_Export!$B181+GREET1_Import_Export!$G181)/1000000)+N$69*(1+(GREET1_Import_Export!$C$179*GREET1_Import_Export!$B181+GREET1_Import_Export!$C181)/1000000)+N$70*(1+GREET1_Import_Export!$B217/1000000)+N$71*(1+GREET1_Import_Export!$B285/1000000)+N$72*GREET1_Import_Export!$B$10*(1+(GREET1_Import_Export!$F$215*GREET1_Import_Export!$B217+GREET1_Import_Export!$F217)/1000000)+N$72*GREET1_Import_Export!$C$10*(1+(GREET1_Import_Export!$E$179*GREET1_Import_Export!$B181+GREET1_Import_Export!$E181)/1000000)+N$73*(GREET1_Import_Export!$B310+GREET1_Import_Export!$C310)/1000000+N$74*0.5*GREET1_Import_Export!$B526+N$75*GREET1_Import_Export!$C495+N$76*GREET1_Import_Export!$B$41*(1+(GREET1_Import_Export!$I$179*GREET1_Import_Export!$B181+GREET1_Import_Export!$I181)/1000000)/1000000+N$77*Steel!$B109+N$78*Steel!$I109+N$79*(SUM($B116:$E116)*$F$113+$F116)</f>
        <v>10.328586692790664</v>
      </c>
      <c r="O81" s="348"/>
      <c r="P81" s="347">
        <f ca="1">P$67*(1+(GREET1_Import_Export!$F$179*GREET1_Import_Export!$B181+GREET1_Import_Export!$F181)/1000000)+P$68*(1+(GREET1_Import_Export!$G$179*GREET1_Import_Export!$B181+GREET1_Import_Export!$G181)/1000000)+P$69*(1+(GREET1_Import_Export!$C$179*GREET1_Import_Export!$B181+GREET1_Import_Export!$C181)/1000000)+P$70*(1+GREET1_Import_Export!$B217/1000000)+P$71*(1+GREET1_Import_Export!$B285/1000000)+P$72*GREET1_Import_Export!$B$10*(1+(GREET1_Import_Export!$F$215*GREET1_Import_Export!$B217+GREET1_Import_Export!$F217)/1000000)+P$72*GREET1_Import_Export!$C$10*(1+(GREET1_Import_Export!$E$179*GREET1_Import_Export!$B181+GREET1_Import_Export!$E181)/1000000)+P$73*(GREET1_Import_Export!$B310+GREET1_Import_Export!$C310)/1000000+P$74*0.5*GREET1_Import_Export!$B526+P$75*GREET1_Import_Export!$C495+P$77*Steel!$B109+P$78*Steel!$I109</f>
        <v>8.3524640916354791</v>
      </c>
      <c r="Q81" s="348"/>
      <c r="R81" s="349">
        <f ca="1">R$67*(1+(GREET1_Import_Export!$F$179*GREET1_Import_Export!$B181+GREET1_Import_Export!$F181)/1000000)+R$68*(1+(GREET1_Import_Export!$G$179*GREET1_Import_Export!$B181+GREET1_Import_Export!$G181)/1000000)+R$69*(1+(GREET1_Import_Export!$C$179*GREET1_Import_Export!$B181+GREET1_Import_Export!$C181)/1000000)+R$70*(1+GREET1_Import_Export!$B217/1000000)+R$71*(1+GREET1_Import_Export!$B285/1000000)+R$72*GREET1_Import_Export!$B$10*(1+(GREET1_Import_Export!$F$215*GREET1_Import_Export!$B217+GREET1_Import_Export!$F217)/1000000)+R$72*GREET1_Import_Export!$C$10*(1+(GREET1_Import_Export!$E$179*GREET1_Import_Export!$B181+GREET1_Import_Export!$E181)/1000000)+R$73*(GREET1_Import_Export!$B310+GREET1_Import_Export!$C310)/1000000+R$74*0.5*GREET1_Import_Export!$B526+R$75*GREET1_Import_Export!$C495+R$77*Steel!$B109+R$78*Steel!$I109</f>
        <v>0.86737441381755587</v>
      </c>
      <c r="S81" s="348"/>
      <c r="T81" s="1321"/>
      <c r="U81" s="1321"/>
    </row>
    <row r="82" spans="1:21" s="64" customFormat="1">
      <c r="A82" s="230" t="s">
        <v>805</v>
      </c>
      <c r="B82" s="347">
        <f ca="1">B$67*(GREET1_Import_Export!$F$179*GREET1_Import_Export!$B182+GREET1_Import_Export!$F182)/1000000+B$68*(GREET1_Import_Export!$H$179*GREET1_Import_Export!$B182+GREET1_Import_Export!$H182)/1000000+B$69*(GREET1_Import_Export!$C$179*GREET1_Import_Export!$B182+GREET1_Import_Export!$C182)/1000000+B$70*GREET1_Import_Export!$B218/1000000+B$71*(1+GREET1_Import_Export!$B286/1000000)+B$72*GREET1_Import_Export!$B$10*(GREET1_Import_Export!$F$215*GREET1_Import_Export!$B218+GREET1_Import_Export!$F218)/1000000+B$72*GREET1_Import_Export!$C$10*(GREET1_Import_Export!$E$179*GREET1_Import_Export!$B182+GREET1_Import_Export!$E182)/1000000+B$73*(GREET1_Import_Export!$B311+GREET1_Import_Export!$C311)/1000000+B$74*0.5*GREET1_Import_Export!$B527+B$75*GREET1_Import_Export!$C496+B$77*Steel!$B110+B$78*Steel!$I110</f>
        <v>1.2501639495719813E-2</v>
      </c>
      <c r="C82" s="348"/>
      <c r="D82" s="349">
        <f ca="1">D$67*(GREET1_Import_Export!$F$179*GREET1_Import_Export!$B182+GREET1_Import_Export!$F182)/1000000+D$68*(GREET1_Import_Export!$G$179*GREET1_Import_Export!$B182+GREET1_Import_Export!$G182)/1000000+D$69*(GREET1_Import_Export!$C$179*GREET1_Import_Export!$B182+GREET1_Import_Export!$C182)/1000000+D$70*GREET1_Import_Export!$B218/1000000+D$71*(1+GREET1_Import_Export!$B286/1000000)+D$72*GREET1_Import_Export!$B$10*(GREET1_Import_Export!$F$215*GREET1_Import_Export!$B218+GREET1_Import_Export!$F218)/1000000+D$72*GREET1_Import_Export!$C$10*(GREET1_Import_Export!$E$179*GREET1_Import_Export!$B182+GREET1_Import_Export!$E182)/1000000+D$73*(GREET1_Import_Export!$B311+GREET1_Import_Export!$C311)/1000000+D$74*0.5*GREET1_Import_Export!$B527+D$75*GREET1_Import_Export!$C496+D$77*Steel!$B110+D$78*Steel!$I110</f>
        <v>2.688092088344701</v>
      </c>
      <c r="E82" s="349"/>
      <c r="F82" s="347">
        <f ca="1">F$67*(GREET1_Import_Export!$F$179*GREET1_Import_Export!$B182+GREET1_Import_Export!$F182)/1000000+F$68*(GREET1_Import_Export!$G$179*GREET1_Import_Export!$B182+GREET1_Import_Export!$G182)/1000000+F$69*(GREET1_Import_Export!$C$179*GREET1_Import_Export!$B182+GREET1_Import_Export!$C182)/1000000+F$70*GREET1_Import_Export!$B218/1000000+F$71*(1+GREET1_Import_Export!$B286/1000000)+F$72*GREET1_Import_Export!$B$10*(GREET1_Import_Export!$F$215*GREET1_Import_Export!$B218+GREET1_Import_Export!$F218)/1000000+F$72*GREET1_Import_Export!$C$10*(GREET1_Import_Export!$E$179*GREET1_Import_Export!$B182+GREET1_Import_Export!$E182)/1000000+F$73*(GREET1_Import_Export!$B311+GREET1_Import_Export!$C311)/1000000+F$74*0.5*GREET1_Import_Export!$B527+F$75*GREET1_Import_Export!$C496+F$76*GREET1_Import_Export!$B$41*(GREET1_Import_Export!$I$179*GREET1_Import_Export!$B182+GREET1_Import_Export!$I182)/1000000/1000000+F$77*Steel!$B110+F$78*Steel!$I110</f>
        <v>1.8013330910438319</v>
      </c>
      <c r="G82" s="348"/>
      <c r="H82" s="349">
        <f ca="1">H$67*(GREET1_Import_Export!$F$179*GREET1_Import_Export!$B182+GREET1_Import_Export!$F182)/1000000+H$68*(GREET1_Import_Export!$G$179*GREET1_Import_Export!$B182+GREET1_Import_Export!$G182)/1000000+H$69*(GREET1_Import_Export!$C$179*GREET1_Import_Export!$B182+GREET1_Import_Export!$C182)/1000000+H$70*GREET1_Import_Export!$B218/1000000+H$71*(1+GREET1_Import_Export!$B286/1000000)+H$72*GREET1_Import_Export!$B$10*(GREET1_Import_Export!$F$215*GREET1_Import_Export!$B218+GREET1_Import_Export!$F218)/1000000+H$72*GREET1_Import_Export!$C$10*(GREET1_Import_Export!$E$179*GREET1_Import_Export!$B182+GREET1_Import_Export!$E182)/1000000+H$73*$B19/1000000+H$74*0.5*GREET1_Import_Export!$B527+H$75*GREET1_Import_Export!$C496+H$77*Steel!$B110+H$78*Steel!$I110</f>
        <v>20.60382071774184</v>
      </c>
      <c r="I82" s="349"/>
      <c r="J82" s="347">
        <f ca="1">J$67*(GREET1_Import_Export!$F$179*GREET1_Import_Export!$B182+GREET1_Import_Export!$F182)/1000000+J$68*(GREET1_Import_Export!$G$179*GREET1_Import_Export!$B182+GREET1_Import_Export!$G182)/1000000+J$69*(GREET1_Import_Export!$C$179*GREET1_Import_Export!$B182+GREET1_Import_Export!$C182)/1000000+J$70*GREET1_Import_Export!$B218/1000000+J$71*(1+GREET1_Import_Export!$B286/1000000)+J$72*GREET1_Import_Export!$B$10*(GREET1_Import_Export!$F$215*GREET1_Import_Export!$B218+GREET1_Import_Export!$F218)/1000000+J$72*GREET1_Import_Export!$C$10*(GREET1_Import_Export!$E$179*GREET1_Import_Export!$B182+GREET1_Import_Export!$E182)/1000000+J$73*(GREET1_Import_Export!$B311+GREET1_Import_Export!$C311)/1000000+J$74*0.5*GREET1_Import_Export!$B527+J$75*GREET1_Import_Export!$C496+J$76*GREET1_Import_Export!$B$41*(GREET1_Import_Export!$I$179*GREET1_Import_Export!$B182+GREET1_Import_Export!$I182)/1000000/1000000+J$77*Steel!$B110+J$78*Steel!$I110</f>
        <v>0.11819226494186701</v>
      </c>
      <c r="K82" s="348"/>
      <c r="L82" s="349">
        <f ca="1">L$67*(GREET1_Import_Export!$F$179*GREET1_Import_Export!$B182+GREET1_Import_Export!$F182)/1000000+L$68*(GREET1_Import_Export!$G$179*GREET1_Import_Export!$B182+GREET1_Import_Export!$G182)/1000000+L$69*(GREET1_Import_Export!$C$179*GREET1_Import_Export!$B182+GREET1_Import_Export!$C182)/1000000+L$70*GREET1_Import_Export!$B218/1000000+L$71*(1+GREET1_Import_Export!$B286/1000000)+L$72*GREET1_Import_Export!$B$10*(GREET1_Import_Export!$F$215*GREET1_Import_Export!$B218+GREET1_Import_Export!$F218)/1000000+L$72*GREET1_Import_Export!$C$10*(GREET1_Import_Export!$E$179*GREET1_Import_Export!$B182+GREET1_Import_Export!$E182)/1000000+L$73*(GREET1_Import_Export!$B311+GREET1_Import_Export!$C311)/1000000+L$74*0.5*GREET1_Import_Export!$B527+L$75*GREET1_Import_Export!$C496+L$76*GREET1_Import_Export!$B$41*(GREET1_Import_Export!$I$179*GREET1_Import_Export!$B182+GREET1_Import_Export!$I182)/1000000/1000000+L$77*Steel!$B110+L$78*Steel!$I110</f>
        <v>0.19628501140534405</v>
      </c>
      <c r="M82" s="349"/>
      <c r="N82" s="347">
        <f ca="1">N$67*(GREET1_Import_Export!$F$179*GREET1_Import_Export!$B182+GREET1_Import_Export!$F182)/1000000+N$68*(GREET1_Import_Export!$G$179*GREET1_Import_Export!$B182+GREET1_Import_Export!$G182)/1000000+N$69*(GREET1_Import_Export!$C$179*GREET1_Import_Export!$B182+GREET1_Import_Export!$C182)/1000000+N$70*GREET1_Import_Export!$B218/1000000+N$71*(1+GREET1_Import_Export!$B286/1000000)+N$72*GREET1_Import_Export!$B$10*(GREET1_Import_Export!$F$215*GREET1_Import_Export!$B218+GREET1_Import_Export!$F218)/1000000+N$72*GREET1_Import_Export!$C$10*(GREET1_Import_Export!$E$179*GREET1_Import_Export!$B182+GREET1_Import_Export!$E182)/1000000+N$73*(GREET1_Import_Export!$B311+GREET1_Import_Export!$C311)/1000000+N$74*0.5*GREET1_Import_Export!$B527+N$75*GREET1_Import_Export!$C496+N$76*GREET1_Import_Export!$B$41*(GREET1_Import_Export!$I$179*GREET1_Import_Export!$B182+GREET1_Import_Export!$I182)/1000000/1000000+N$77*Steel!$B110+N$78*Steel!$I110+N$79*(SUM($B117:$E117)*$F$113+$F117)</f>
        <v>2.2680897728850296</v>
      </c>
      <c r="O82" s="348"/>
      <c r="P82" s="347">
        <f ca="1">P$67*(GREET1_Import_Export!$F$179*GREET1_Import_Export!$B182+GREET1_Import_Export!$F182)/1000000+P$68*(GREET1_Import_Export!$G$179*GREET1_Import_Export!$B182+GREET1_Import_Export!$G182)/1000000+P$69*(GREET1_Import_Export!$C$179*GREET1_Import_Export!$B182+GREET1_Import_Export!$C182)/1000000+P$70*GREET1_Import_Export!$B218/1000000+P$71*(1+GREET1_Import_Export!$B286/1000000)+P$72*GREET1_Import_Export!$B$10*(GREET1_Import_Export!$F$215*GREET1_Import_Export!$B218+GREET1_Import_Export!$F218)/1000000+P$72*GREET1_Import_Export!$C$10*(GREET1_Import_Export!$E$179*GREET1_Import_Export!$B182+GREET1_Import_Export!$E182)/1000000+P$73*(GREET1_Import_Export!$B311+GREET1_Import_Export!$C311)/1000000+P$74*0.5*GREET1_Import_Export!$B527+P$75*GREET1_Import_Export!$C496+P$77*Steel!$B110+P$78*Steel!$I110</f>
        <v>7.4613787469592465E-3</v>
      </c>
      <c r="Q82" s="348"/>
      <c r="R82" s="349">
        <f ca="1">R$67*(GREET1_Import_Export!$F$179*GREET1_Import_Export!$B182+GREET1_Import_Export!$F182)/1000000+R$68*(GREET1_Import_Export!$G$179*GREET1_Import_Export!$B182+GREET1_Import_Export!$G182)/1000000+R$69*(GREET1_Import_Export!$C$179*GREET1_Import_Export!$B182+GREET1_Import_Export!$C182)/1000000+R$70*GREET1_Import_Export!$B218/1000000+R$71*(1+GREET1_Import_Export!$B286/1000000)+R$72*GREET1_Import_Export!$B$10*(GREET1_Import_Export!$F$215*GREET1_Import_Export!$B218+GREET1_Import_Export!$F218)/1000000+R$72*GREET1_Import_Export!$C$10*(GREET1_Import_Export!$E$179*GREET1_Import_Export!$B182+GREET1_Import_Export!$E182)/1000000+R$73*(GREET1_Import_Export!$B311+GREET1_Import_Export!$C311)/1000000+R$74*0.5*GREET1_Import_Export!$B527+R$75*GREET1_Import_Export!$C496+R$77*Steel!$B110+R$78*Steel!$I110</f>
        <v>0.30110169748314225</v>
      </c>
      <c r="S82" s="348"/>
      <c r="T82" s="1321"/>
      <c r="U82" s="1321"/>
    </row>
    <row r="83" spans="1:21" s="64" customFormat="1">
      <c r="A83" s="230" t="s">
        <v>804</v>
      </c>
      <c r="B83" s="347">
        <f ca="1">B81-B82-B84</f>
        <v>7.5821119818310967E-2</v>
      </c>
      <c r="C83" s="348"/>
      <c r="D83" s="349">
        <f ca="1">D81-D82-D84</f>
        <v>18.056627488835225</v>
      </c>
      <c r="E83" s="349"/>
      <c r="F83" s="347">
        <f ca="1">F81-F82-F84</f>
        <v>1.7363994191049521</v>
      </c>
      <c r="G83" s="348"/>
      <c r="H83" s="349">
        <f ca="1">H81-H82-H84</f>
        <v>4.7379971354938757</v>
      </c>
      <c r="I83" s="349"/>
      <c r="J83" s="347">
        <f ca="1">J81-J82-J84</f>
        <v>0.9542297146916987</v>
      </c>
      <c r="K83" s="348"/>
      <c r="L83" s="349">
        <f ca="1">L81-L82-L84</f>
        <v>1.1767669016865596</v>
      </c>
      <c r="M83" s="349"/>
      <c r="N83" s="347">
        <f ca="1">N81-N82-N84</f>
        <v>6.9644806513310744</v>
      </c>
      <c r="O83" s="348"/>
      <c r="P83" s="347">
        <f ca="1">P81-P82-P84</f>
        <v>8.3146188297386807</v>
      </c>
      <c r="Q83" s="348"/>
      <c r="R83" s="349">
        <f ca="1">R81-R82-R84</f>
        <v>0.55685285502783466</v>
      </c>
      <c r="S83" s="348"/>
      <c r="T83" s="1321"/>
      <c r="U83" s="1321"/>
    </row>
    <row r="84" spans="1:21" s="64" customFormat="1">
      <c r="A84" s="589" t="s">
        <v>818</v>
      </c>
      <c r="B84" s="503">
        <f ca="1">B$67*(1+(GREET1_Import_Export!$F$179*GREET1_Import_Export!$B184+GREET1_Import_Export!$F184)/1000000)+B$68*(1+(GREET1_Import_Export!$H$179*GREET1_Import_Export!$B184+GREET1_Import_Export!$H184)/1000000)+B$69*(1+(GREET1_Import_Export!$C$179*GREET1_Import_Export!$B184+GREET1_Import_Export!$C184)/1000000)+B$70*GREET1_Import_Export!$B220/1000000+B$71*GREET1_Import_Export!$B288/1000000+B$72*GREET1_Import_Export!$B$10*(GREET1_Import_Export!$F$215*GREET1_Import_Export!$B220+GREET1_Import_Export!$F220)/1000000+B$72*GREET1_Import_Export!$C$10*(1+(GREET1_Import_Export!$E$179*GREET1_Import_Export!$B184+GREET1_Import_Export!$E184)/1000000)+B$73*(GREET1_Import_Export!$B313+GREET1_Import_Export!$C313)/1000000+B$74*0.5*GREET1_Import_Export!$B529+B$75*GREET1_Import_Export!$C498+B$77*Steel!$B112+B$78*Steel!$I112</f>
        <v>0.58663810018767759</v>
      </c>
      <c r="C84" s="502"/>
      <c r="D84" s="505">
        <f ca="1">D$67*(1+(GREET1_Import_Export!$F$179*GREET1_Import_Export!$B184+GREET1_Import_Export!$F184)/1000000)+D$68*(1+(GREET1_Import_Export!$G$179*GREET1_Import_Export!$B184+GREET1_Import_Export!$G184)/1000000)+D$69*(1+(GREET1_Import_Export!$C$179*GREET1_Import_Export!$B184+GREET1_Import_Export!$C184)/1000000)+D$70*GREET1_Import_Export!$B220/1000000+D$71*GREET1_Import_Export!$B288/1000000+D$72*GREET1_Import_Export!$B$10*(GREET1_Import_Export!$F$215*GREET1_Import_Export!$B220+GREET1_Import_Export!$F220)/1000000+D$72*GREET1_Import_Export!$C$10*(1+(GREET1_Import_Export!$E$179*GREET1_Import_Export!$B184+GREET1_Import_Export!$E184)/1000000)+D$73*(GREET1_Import_Export!$B313+GREET1_Import_Export!$C313)/1000000+D$74*0.5*GREET1_Import_Export!$B529+D$75*GREET1_Import_Export!$C498+D$77*Steel!$B112+D$78*Steel!$I112</f>
        <v>3.3087201627661815</v>
      </c>
      <c r="E84" s="505"/>
      <c r="F84" s="503">
        <f ca="1">F$67*(1+(GREET1_Import_Export!$F$179*GREET1_Import_Export!$B184+GREET1_Import_Export!$F184)/1000000)+F$68*(1+(GREET1_Import_Export!$G$179*GREET1_Import_Export!$B184+GREET1_Import_Export!$G184)/1000000)+F$69*(1+(GREET1_Import_Export!$C$179*GREET1_Import_Export!$B184+GREET1_Import_Export!$C184)/1000000)+F$70*GREET1_Import_Export!$B220/1000000+F$71*GREET1_Import_Export!$B288/1000000+F$72*GREET1_Import_Export!$B$10*(GREET1_Import_Export!$F$215*GREET1_Import_Export!$B220+GREET1_Import_Export!$F220)/1000000+F$72*GREET1_Import_Export!$C$10*(1+(GREET1_Import_Export!$E$179*GREET1_Import_Export!$B184+GREET1_Import_Export!$E184)/1000000)+F$73*(GREET1_Import_Export!$B313+GREET1_Import_Export!$C313)/1000000+F$74*0.5*GREET1_Import_Export!$B529+F$75*GREET1_Import_Export!$C498+F$76*GREET1_Import_Export!$B$41*(1+(GREET1_Import_Export!$I$179*GREET1_Import_Export!$B184+GREET1_Import_Export!$I184)/1000000)/1000000+F$77*Steel!$B112+F$78*Steel!$I112</f>
        <v>8.7845856088462337</v>
      </c>
      <c r="G84" s="502"/>
      <c r="H84" s="505">
        <f ca="1">H$67*(1+(GREET1_Import_Export!$F$179*GREET1_Import_Export!$B184+GREET1_Import_Export!$F184)/1000000)+H$68*(1+(GREET1_Import_Export!$G$179*GREET1_Import_Export!$B184+GREET1_Import_Export!$G184)/1000000)+H$69*(1+(GREET1_Import_Export!$C$179*GREET1_Import_Export!$B184+GREET1_Import_Export!$C184)/1000000)+H$70*GREET1_Import_Export!$B220/1000000+H$71*GREET1_Import_Export!$B288/1000000+H$72*GREET1_Import_Export!$B$10*(GREET1_Import_Export!$F$215*GREET1_Import_Export!$B220+GREET1_Import_Export!$F220)/1000000+H$72*GREET1_Import_Export!$C$10*(1+(GREET1_Import_Export!$E$179*GREET1_Import_Export!$B184+GREET1_Import_Export!$E184)/1000000)+H$73*$B21/1000000+H$74*0.5*GREET1_Import_Export!$B529+H$75*GREET1_Import_Export!$C498+H$77*Steel!$B112+H$78*Steel!$I112</f>
        <v>0.33083401168633675</v>
      </c>
      <c r="I84" s="505"/>
      <c r="J84" s="503">
        <f ca="1">J$67*(1+(GREET1_Import_Export!$F$179*GREET1_Import_Export!$B184+GREET1_Import_Export!$F184)/1000000)+J$68*(1+(GREET1_Import_Export!$G$179*GREET1_Import_Export!$B184+GREET1_Import_Export!$G184)/1000000)+J$69*(1+(GREET1_Import_Export!$C$179*GREET1_Import_Export!$B184+GREET1_Import_Export!$C184)/1000000)+J$70*GREET1_Import_Export!$B220/1000000+J$71*GREET1_Import_Export!$B288/1000000+J$72*GREET1_Import_Export!$B$10*(GREET1_Import_Export!$F$215*GREET1_Import_Export!$B220+GREET1_Import_Export!$F220)/1000000+J$72*GREET1_Import_Export!$C$10*(1+(GREET1_Import_Export!$E$179*GREET1_Import_Export!$B184+GREET1_Import_Export!$E184)/1000000)+J$73*(GREET1_Import_Export!$B313+GREET1_Import_Export!$C313)/1000000+J$74*0.5*GREET1_Import_Export!$B529+J$75*GREET1_Import_Export!$C498+J$76*GREET1_Import_Export!$B$41*(1+(GREET1_Import_Export!$I$179*GREET1_Import_Export!$B184+GREET1_Import_Export!$I184)/1000000)/1000000+J$77*Steel!$B112+J$78*Steel!$I112</f>
        <v>0.14762123227027418</v>
      </c>
      <c r="K84" s="502"/>
      <c r="L84" s="505">
        <f ca="1">L$67*(1+(GREET1_Import_Export!$F$179*GREET1_Import_Export!$B184+GREET1_Import_Export!$F184)/1000000)+L$68*(1+(GREET1_Import_Export!$G$179*GREET1_Import_Export!$B184+GREET1_Import_Export!$G184)/1000000)+L$69*(1+(GREET1_Import_Export!$C$179*GREET1_Import_Export!$B184+GREET1_Import_Export!$C184)/1000000)+L$70*GREET1_Import_Export!$B220/1000000+L$71*GREET1_Import_Export!$B288/1000000+L$72*GREET1_Import_Export!$B$10*(GREET1_Import_Export!$F$215*GREET1_Import_Export!$B220+GREET1_Import_Export!$F220)/1000000+L$72*GREET1_Import_Export!$C$10*(1+(GREET1_Import_Export!$E$179*GREET1_Import_Export!$B184+GREET1_Import_Export!$E184)/1000000)+L$73*(GREET1_Import_Export!$B313+GREET1_Import_Export!$C313)/1000000+L$74*0.5*GREET1_Import_Export!$B529+L$75*GREET1_Import_Export!$C498+L$76*GREET1_Import_Export!$B$41*(1+(GREET1_Import_Export!$I$179*GREET1_Import_Export!$B184+GREET1_Import_Export!$I184)/1000000)/1000000+L$77*Steel!$B112+L$78*Steel!$I112</f>
        <v>9.2159297900960384E-3</v>
      </c>
      <c r="M84" s="505"/>
      <c r="N84" s="503">
        <f ca="1">N$67*(1+(GREET1_Import_Export!$F$179*GREET1_Import_Export!$B184+GREET1_Import_Export!$F184)/1000000)+N$68*(1+(GREET1_Import_Export!$G$179*GREET1_Import_Export!$B184+GREET1_Import_Export!$G184)/1000000)+N$69*(1+(GREET1_Import_Export!$C$179*GREET1_Import_Export!$B184+GREET1_Import_Export!$C184)/1000000)+N$70*GREET1_Import_Export!$B220/1000000+N$71*GREET1_Import_Export!$B288/1000000+N$72*GREET1_Import_Export!$B$10*(GREET1_Import_Export!$F$215*GREET1_Import_Export!$B220+GREET1_Import_Export!$F220)/1000000+N$72*GREET1_Import_Export!$C$10*(1+(GREET1_Import_Export!$E$179*GREET1_Import_Export!$B184+GREET1_Import_Export!$E184)/1000000)+N$73*(GREET1_Import_Export!$B313+GREET1_Import_Export!$C313)/1000000+N$74*0.5*GREET1_Import_Export!$B529+N$75*GREET1_Import_Export!$C498+N$76*GREET1_Import_Export!$B$41*(1+(GREET1_Import_Export!$I$179*GREET1_Import_Export!$B184+GREET1_Import_Export!$I184)/1000000)/1000000+N$77*Steel!$B112+N$78*Steel!$I112+N$79*(SUM($B119:$E119)*$F$113+$F119)</f>
        <v>1.0960162685745605</v>
      </c>
      <c r="O84" s="502"/>
      <c r="P84" s="503">
        <f ca="1">P$67*(1+(GREET1_Import_Export!$F$179*GREET1_Import_Export!$B184+GREET1_Import_Export!$F184)/1000000)+P$68*(1+(GREET1_Import_Export!$G$179*GREET1_Import_Export!$B184+GREET1_Import_Export!$G184)/1000000)+P$69*(1+(GREET1_Import_Export!$C$179*GREET1_Import_Export!$B184+GREET1_Import_Export!$C184)/1000000)+P$70*GREET1_Import_Export!$B220/1000000+P$71*GREET1_Import_Export!$B288/1000000+P$72*GREET1_Import_Export!$B$10*(GREET1_Import_Export!$F$215*GREET1_Import_Export!$B220+GREET1_Import_Export!$F220)/1000000+P$72*GREET1_Import_Export!$C$10*(1+(GREET1_Import_Export!$E$179*GREET1_Import_Export!$B184+GREET1_Import_Export!$E184)/1000000)+P$73*(GREET1_Import_Export!$B313+GREET1_Import_Export!$C313)/1000000+P$74*0.5*GREET1_Import_Export!$B529+P$75*GREET1_Import_Export!$C498+P$77*Steel!$B112+P$78*Steel!$I112</f>
        <v>3.0383883149839162E-2</v>
      </c>
      <c r="Q84" s="502"/>
      <c r="R84" s="505">
        <f ca="1">R$67*(1+(GREET1_Import_Export!$F$179*GREET1_Import_Export!$B184+GREET1_Import_Export!$F184)/1000000)+R$68*(1+(GREET1_Import_Export!$G$179*GREET1_Import_Export!$B184+GREET1_Import_Export!$G184)/1000000)+R$69*(1+(GREET1_Import_Export!$C$179*GREET1_Import_Export!$B184+GREET1_Import_Export!$C184)/1000000)+R$70*GREET1_Import_Export!$B220/1000000+R$71*GREET1_Import_Export!$B288/1000000+R$72*GREET1_Import_Export!$B$10*(GREET1_Import_Export!$F$215*GREET1_Import_Export!$B220+GREET1_Import_Export!$F220)/1000000+R$72*GREET1_Import_Export!$C$10*(1+(GREET1_Import_Export!$E$179*GREET1_Import_Export!$B184+GREET1_Import_Export!$E184)/1000000)+R$73*(GREET1_Import_Export!$B313+GREET1_Import_Export!$C313)/1000000+R$74*0.5*GREET1_Import_Export!$B529+R$75*GREET1_Import_Export!$C498+R$77*Steel!$B112+R$78*Steel!$I112</f>
        <v>9.4198613065789756E-3</v>
      </c>
      <c r="S84" s="502"/>
      <c r="T84" s="1321"/>
      <c r="U84" s="1321"/>
    </row>
    <row r="85" spans="1:21" s="64" customFormat="1">
      <c r="A85" s="1426" t="s">
        <v>819</v>
      </c>
      <c r="B85" s="1309">
        <f ca="1">B$67*((GREET1_Import_Export!$F$179*GREET1_Import_Export!$B185+GREET1_Import_Export!$F185))+B$68*((GREET1_Import_Export!$H$179*GREET1_Import_Export!$B185+GREET1_Import_Export!$H185))+B$69*((GREET1_Import_Export!$C$179*GREET1_Import_Export!$B185+GREET1_Import_Export!$C185))+B$70*GREET1_Import_Export!$B221+B$71*GREET1_Import_Export!$B289+B$72*GREET1_Import_Export!$B$10*(GREET1_Import_Export!$F$215*GREET1_Import_Export!$B221+GREET1_Import_Export!$F221)+B$72*GREET1_Import_Export!$C$10*((GREET1_Import_Export!$E$179*GREET1_Import_Export!$B185+GREET1_Import_Export!$E185))+B$73*(GREET1_Import_Export!$B314+GREET1_Import_Export!$C314)+B$74*0.5*GREET1_Import_Export!$B530+B$75*GREET1_Import_Export!$C499+B$77*Steel!$B113+B$78*Steel!$I113</f>
        <v>13.597066511398644</v>
      </c>
      <c r="C85" s="1559">
        <v>1486</v>
      </c>
      <c r="D85" s="1356">
        <f ca="1">D$67*((GREET1_Import_Export!$F$179*GREET1_Import_Export!$B185+GREET1_Import_Export!$F185))+D$68*((GREET1_Import_Export!$G$179*GREET1_Import_Export!$B185+GREET1_Import_Export!$G185))+D$69*((GREET1_Import_Export!$C$179*GREET1_Import_Export!$B185+GREET1_Import_Export!$C185))+D$70*GREET1_Import_Export!$B221+D$71*GREET1_Import_Export!$B289+D$72*GREET1_Import_Export!$B$10*(GREET1_Import_Export!$F$215*GREET1_Import_Export!$B221+GREET1_Import_Export!$F221)+D$72*GREET1_Import_Export!$C$10*((GREET1_Import_Export!$E$179*GREET1_Import_Export!$B185+GREET1_Import_Export!$E185))+D$73*(GREET1_Import_Export!$B314+GREET1_Import_Export!$C314)+D$74*0.5*GREET1_Import_Export!$B530+D$75*GREET1_Import_Export!$C499+D$77*Steel!$B113+D$78*Steel!$I113</f>
        <v>690.39544263508083</v>
      </c>
      <c r="E85" s="1356">
        <v>824</v>
      </c>
      <c r="F85" s="1661">
        <f ca="1">F$67*((GREET1_Import_Export!$F$179*GREET1_Import_Export!$B185+GREET1_Import_Export!$F185))+F$68*((GREET1_Import_Export!$G$179*GREET1_Import_Export!$B185+GREET1_Import_Export!$G185))+F$69*((GREET1_Import_Export!$C$179*GREET1_Import_Export!$B185+GREET1_Import_Export!$C185))+F$70*GREET1_Import_Export!$B221+F$71*GREET1_Import_Export!$B289+F$72*GREET1_Import_Export!$B$10*(GREET1_Import_Export!$F$215*GREET1_Import_Export!$B221+GREET1_Import_Export!$F221)+F$72*GREET1_Import_Export!$C$10*((GREET1_Import_Export!$E$179*GREET1_Import_Export!$B185+GREET1_Import_Export!$E185))+F$73*(GREET1_Import_Export!$B314+GREET1_Import_Export!$C314)+F$74*0.5*GREET1_Import_Export!$B530+F$75*GREET1_Import_Export!$C499+F$76*GREET1_Import_Export!$B$41*(GREET1_Import_Export!$I$179*GREET1_Import_Export!$B185+GREET1_Import_Export!$I185)/1000000+F$77*Steel!$B113+F$78*Steel!$I113</f>
        <v>198.98034129895223</v>
      </c>
      <c r="G85" s="1559">
        <v>11.3</v>
      </c>
      <c r="H85" s="1356">
        <f ca="1">H$67*((GREET1_Import_Export!$F$179*GREET1_Import_Export!$B185+GREET1_Import_Export!$F185))+H$68*((GREET1_Import_Export!$G$179*GREET1_Import_Export!$B185+GREET1_Import_Export!$G185))+H$69*((GREET1_Import_Export!$C$179*GREET1_Import_Export!$B185+GREET1_Import_Export!$C185))+H$70*GREET1_Import_Export!$B221+H$71*GREET1_Import_Export!$B289+H$72*GREET1_Import_Export!$B$10*(GREET1_Import_Export!$F$215*GREET1_Import_Export!$B221+GREET1_Import_Export!$F221)+H$72*GREET1_Import_Export!$C$10*((GREET1_Import_Export!$E$179*GREET1_Import_Export!$B185+GREET1_Import_Export!$E185))+H$73*$B22+H$74*0.5*GREET1_Import_Export!$B530+H$75*GREET1_Import_Export!$C499+H$77*Steel!$B113+H$78*Steel!$I113</f>
        <v>21882.70472559339</v>
      </c>
      <c r="I85" s="1356">
        <v>57.5</v>
      </c>
      <c r="J85" s="1661">
        <f ca="1">J$67*((GREET1_Import_Export!$F$179*GREET1_Import_Export!$B185+GREET1_Import_Export!$F185))+J$68*((GREET1_Import_Export!$G$179*GREET1_Import_Export!$B185+GREET1_Import_Export!$G185))+J$69*((GREET1_Import_Export!$C$179*GREET1_Import_Export!$B185+GREET1_Import_Export!$C185))+J$70*GREET1_Import_Export!$B221+J$71*GREET1_Import_Export!$B289+J$72*GREET1_Import_Export!$B$10*(GREET1_Import_Export!$F$215*GREET1_Import_Export!$B221+GREET1_Import_Export!$F221)+J$72*GREET1_Import_Export!$C$10*((GREET1_Import_Export!$E$179*GREET1_Import_Export!$B185+GREET1_Import_Export!$E185))+J$73*(GREET1_Import_Export!$B314+GREET1_Import_Export!$C314)+J$74*0.5*GREET1_Import_Export!$B530+J$75*GREET1_Import_Export!$C499+J$76*GREET1_Import_Export!$B$41*(GREET1_Import_Export!$I$179*GREET1_Import_Export!$B185+GREET1_Import_Export!$I185)/1000000+J$77*Steel!$B113+J$78*Steel!$I113</f>
        <v>27.571350503798143</v>
      </c>
      <c r="K85" s="1559">
        <v>55.1</v>
      </c>
      <c r="L85" s="1356">
        <f ca="1">L$67*((GREET1_Import_Export!$F$179*GREET1_Import_Export!$B185+GREET1_Import_Export!$F185))+L$68*((GREET1_Import_Export!$G$179*GREET1_Import_Export!$B185+GREET1_Import_Export!$G185))+L$69*((GREET1_Import_Export!$C$179*GREET1_Import_Export!$B185+GREET1_Import_Export!$C185))+L$70*GREET1_Import_Export!$B221+L$71*GREET1_Import_Export!$B289+L$72*GREET1_Import_Export!$B$10*(GREET1_Import_Export!$F$215*GREET1_Import_Export!$B221+GREET1_Import_Export!$F221)+L$72*GREET1_Import_Export!$C$10*((GREET1_Import_Export!$E$179*GREET1_Import_Export!$B185+GREET1_Import_Export!$E185))+L$73*(GREET1_Import_Export!$B314+GREET1_Import_Export!$C314)+L$74*0.5*GREET1_Import_Export!$B530+L$75*GREET1_Import_Export!$C499+L$76*GREET1_Import_Export!$B$41*(GREET1_Import_Export!$I$179*GREET1_Import_Export!$B185+GREET1_Import_Export!$I185)/1000000+L$77*Steel!$B113+L$78*Steel!$I113</f>
        <v>40.793959301649188</v>
      </c>
      <c r="M85" s="1356">
        <v>0.105</v>
      </c>
      <c r="N85" s="1661">
        <f ca="1">N$67*((GREET1_Import_Export!$F$179*GREET1_Import_Export!$B185+GREET1_Import_Export!$F185))+N$68*((GREET1_Import_Export!$G$179*GREET1_Import_Export!$B185+GREET1_Import_Export!$G185))+N$69*((GREET1_Import_Export!$C$179*GREET1_Import_Export!$B185+GREET1_Import_Export!$C185))+N$70*GREET1_Import_Export!$B221+N$71*GREET1_Import_Export!$B289+N$72*GREET1_Import_Export!$B$10*(GREET1_Import_Export!$F$215*GREET1_Import_Export!$B221+GREET1_Import_Export!$F221)+N$72*GREET1_Import_Export!$C$10*((GREET1_Import_Export!$E$179*GREET1_Import_Export!$B185+GREET1_Import_Export!$E185))+N$73*(GREET1_Import_Export!$B314+GREET1_Import_Export!$C314)+N$74*0.5*GREET1_Import_Export!$B530+N$75*GREET1_Import_Export!$C499+N$76*GREET1_Import_Export!$B$41*(GREET1_Import_Export!$I$179*GREET1_Import_Export!$B185+GREET1_Import_Export!$I185)/1000000+N$77*Steel!$B113+N$78*Steel!$I113+N$79*(SUM($B120:$E120)*$F$113+$F120)</f>
        <v>2113.034114005367</v>
      </c>
      <c r="O85" s="1559">
        <v>73.099999999999994</v>
      </c>
      <c r="P85" s="1661">
        <f ca="1">P$67*((GREET1_Import_Export!$F$179*GREET1_Import_Export!$B185+GREET1_Import_Export!$F185))+P$68*((GREET1_Import_Export!$G$179*GREET1_Import_Export!$B185+GREET1_Import_Export!$G185))+P$69*((GREET1_Import_Export!$C$179*GREET1_Import_Export!$B185+GREET1_Import_Export!$C185))+P$70*GREET1_Import_Export!$B221+P$71*GREET1_Import_Export!$B289+P$72*GREET1_Import_Export!$B$10*(GREET1_Import_Export!$F$215*GREET1_Import_Export!$B221+GREET1_Import_Export!$F221)+P$72*GREET1_Import_Export!$C$10*((GREET1_Import_Export!$E$179*GREET1_Import_Export!$B185+GREET1_Import_Export!$E185))+P$73*(GREET1_Import_Export!$B314+GREET1_Import_Export!$C314)+P$74*0.5*GREET1_Import_Export!$B530+P$75*GREET1_Import_Export!$C499+P$77*Steel!$B113+P$78*Steel!$I113</f>
        <v>23.327734888847036</v>
      </c>
      <c r="Q85" s="1559"/>
      <c r="R85" s="1356">
        <f ca="1">R$67*((GREET1_Import_Export!$F$179*GREET1_Import_Export!$B185+GREET1_Import_Export!$F185))+R$68*((GREET1_Import_Export!$G$179*GREET1_Import_Export!$B185+GREET1_Import_Export!$G185))+R$69*((GREET1_Import_Export!$C$179*GREET1_Import_Export!$B185+GREET1_Import_Export!$C185))+R$70*GREET1_Import_Export!$B221+R$71*GREET1_Import_Export!$B289+R$72*GREET1_Import_Export!$B$10*(GREET1_Import_Export!$F$215*GREET1_Import_Export!$B221+GREET1_Import_Export!$F221)+R$72*GREET1_Import_Export!$C$10*((GREET1_Import_Export!$E$179*GREET1_Import_Export!$B185+GREET1_Import_Export!$E185))+R$73*(GREET1_Import_Export!$B314+GREET1_Import_Export!$C314)+R$74*0.5*GREET1_Import_Export!$B530+R$75*GREET1_Import_Export!$C499+R$77*Steel!$B113+R$78*Steel!$I113</f>
        <v>58.690100867173619</v>
      </c>
      <c r="S85" s="1559"/>
      <c r="T85" s="1321"/>
      <c r="U85" s="1321"/>
    </row>
    <row r="86" spans="1:21" s="64" customFormat="1">
      <c r="A86" s="571" t="s">
        <v>820</v>
      </c>
      <c r="B86" s="709"/>
      <c r="C86" s="140"/>
      <c r="D86" s="618"/>
      <c r="E86" s="489"/>
      <c r="F86" s="709"/>
      <c r="G86" s="140"/>
      <c r="H86" s="618"/>
      <c r="I86" s="489"/>
      <c r="J86" s="709"/>
      <c r="K86" s="140"/>
      <c r="L86" s="618"/>
      <c r="M86" s="618"/>
      <c r="N86" s="709"/>
      <c r="O86" s="478"/>
      <c r="P86" s="709"/>
      <c r="Q86" s="710"/>
      <c r="R86" s="618"/>
      <c r="S86" s="710"/>
      <c r="U86" s="1321"/>
    </row>
    <row r="87" spans="1:21" s="64" customFormat="1">
      <c r="A87" s="230" t="s">
        <v>821</v>
      </c>
      <c r="B87" s="347">
        <f ca="1">B$67*(B$44*GREET1_Import_Export!$K72+GREET1_Import_Export!$F$179*GREET1_Import_Export!$B186+GREET1_Import_Export!$F186)+B$68*(B$50*GREET1_Import_Export!$R72+B$51*GREET1_Import_Export!$C146+GREET1_Import_Export!$H$179*GREET1_Import_Export!$B186+GREET1_Import_Export!$H186)+B$69*(B$48*GREET1_Import_Export!$T72+B$49*GREET1_Import_Export!$C132+GREET1_Import_Export!$C$179*GREET1_Import_Export!$B186+GREET1_Import_Export!$C186)+B$70*(B$45*GREET1_Import_Export!$B72+B$46*GREET1_Import_Export!$C118+GREET1_Import_Export!$B222)+B$71*(B$47*GREET1_Import_Export!$AA72+GREET1_Import_Export!$B290)+B$72*(GREET1_Import_Export!$X72+GREET1_Import_Export!$B$10*(GREET1_Import_Export!$F$215*GREET1_Import_Export!$B222+GREET1_Import_Export!$F222)+GREET1_Import_Export!$C$10*(GREET1_Import_Export!$E$179*GREET1_Import_Export!$B186+GREET1_Import_Export!$E186))+B$73*(GREET1_Import_Export!$B315+GREET1_Import_Export!$C315)+B$74*0.5*GREET1_Import_Export!$B532+B$75*GREET1_Import_Export!$C501+B$77*Steel!$B115+B$78*Steel!$I115</f>
        <v>14.103941572634085</v>
      </c>
      <c r="C87" s="140"/>
      <c r="D87" s="349">
        <f ca="1">D$67*(GREET1_Import_Export!$K72+GREET1_Import_Export!$F$179*GREET1_Import_Export!$B186+GREET1_Import_Export!$F186)+D$68*(GREET1_Import_Export!$O72+GREET1_Import_Export!$G$179*GREET1_Import_Export!$B186+GREET1_Import_Export!$G186)+D$69*(GREET1_Import_Export!$T72+GREET1_Import_Export!$C$179*GREET1_Import_Export!$B186+GREET1_Import_Export!$C186)+D$70*(GREET1_Import_Export!$B72+GREET1_Import_Export!$B222)+D$71*(GREET1_Import_Export!$AA72+GREET1_Import_Export!$B290)+D$72*(GREET1_Import_Export!$X72+GREET1_Import_Export!$B$10*(GREET1_Import_Export!$F$215*GREET1_Import_Export!$B222+GREET1_Import_Export!$F222)+GREET1_Import_Export!$C$10*(GREET1_Import_Export!$E$179*GREET1_Import_Export!$B186+GREET1_Import_Export!$E186))+D$73*(GREET1_Import_Export!$B315+GREET1_Import_Export!$C315)+D$74*0.5*GREET1_Import_Export!$B532+D$75*GREET1_Import_Export!$C501+D$77*Steel!$B115+D$78*Steel!$I115</f>
        <v>249.89396671133065</v>
      </c>
      <c r="E87" s="479"/>
      <c r="F87" s="347">
        <f ca="1">F$67*(GREET1_Import_Export!$K72+GREET1_Import_Export!$F$179*GREET1_Import_Export!$B186+GREET1_Import_Export!$F186)+F$68*(GREET1_Import_Export!$O72+GREET1_Import_Export!$G$179*GREET1_Import_Export!$B186+GREET1_Import_Export!$G186)+F$69*(GREET1_Import_Export!$T72+GREET1_Import_Export!$C$179*GREET1_Import_Export!$B186+GREET1_Import_Export!$C186)+F$70*(GREET1_Import_Export!$B72+GREET1_Import_Export!$B222)+F$71*(GREET1_Import_Export!$AA72+GREET1_Import_Export!$B290)+F$72*(GREET1_Import_Export!$X72+GREET1_Import_Export!$B$10*(GREET1_Import_Export!$F$215*GREET1_Import_Export!$B222+GREET1_Import_Export!$F222)+GREET1_Import_Export!$C$10*(GREET1_Import_Export!$E$179*GREET1_Import_Export!$B186+GREET1_Import_Export!$E186))+F$73*(GREET1_Import_Export!$B315+GREET1_Import_Export!$C315)+F$74*0.5*GREET1_Import_Export!$B532+F$75*GREET1_Import_Export!$C501+F$76*GREET1_Import_Export!$B$41*(GREET1_Import_Export!$I$179*GREET1_Import_Export!$B186+GREET1_Import_Export!$I186)/1000000+F$77*Steel!$B115+F$78*Steel!$I115</f>
        <v>213.88161220850009</v>
      </c>
      <c r="G87" s="140"/>
      <c r="H87" s="349">
        <f ca="1">H$67*(GREET1_Import_Export!$K72+GREET1_Import_Export!$F$179*GREET1_Import_Export!$B186+GREET1_Import_Export!$F186)+H$68*(GREET1_Import_Export!$O72+GREET1_Import_Export!$G$179*GREET1_Import_Export!$B186+GREET1_Import_Export!$G186)+H$69*(GREET1_Import_Export!$T72+GREET1_Import_Export!$C$179*GREET1_Import_Export!$B186+GREET1_Import_Export!$C186)+H$70*(GREET1_Import_Export!$B72+GREET1_Import_Export!$B222)+H$71*(GREET1_Import_Export!$AA72+GREET1_Import_Export!$B290)+H$72*(GREET1_Import_Export!$X72+GREET1_Import_Export!$B$10*(GREET1_Import_Export!$F$215*GREET1_Import_Export!$B222+GREET1_Import_Export!$F222)+GREET1_Import_Export!$C$10*(GREET1_Import_Export!$E$179*GREET1_Import_Export!$B186+GREET1_Import_Export!$E186))+H$73*$B23+H$74*0.5*GREET1_Import_Export!$B532+H$75*GREET1_Import_Export!$C501+H$77*Steel!$B115+H$78*Steel!$I115</f>
        <v>238.60533652962718</v>
      </c>
      <c r="I87" s="489"/>
      <c r="J87" s="347">
        <f ca="1">J$67*(GREET1_Import_Export!$K72+GREET1_Import_Export!$F$179*GREET1_Import_Export!$B186+GREET1_Import_Export!$F186)+J$68*(GREET1_Import_Export!$O72+GREET1_Import_Export!$G$179*GREET1_Import_Export!$B186+GREET1_Import_Export!$G186)+J$69*(GREET1_Import_Export!$T72+GREET1_Import_Export!$C$179*GREET1_Import_Export!$B186+GREET1_Import_Export!$C186)+J$70*(GREET1_Import_Export!$B72+GREET1_Import_Export!$B222)+J$71*(GREET1_Import_Export!$AA72+GREET1_Import_Export!$B290)+J$72*(GREET1_Import_Export!$X72+GREET1_Import_Export!$B$10*(GREET1_Import_Export!$F$215*GREET1_Import_Export!$B222+GREET1_Import_Export!$F222)+GREET1_Import_Export!$C$10*(GREET1_Import_Export!$E$179*GREET1_Import_Export!$B186+GREET1_Import_Export!$E186))+J$73*(GREET1_Import_Export!$B315+GREET1_Import_Export!$C315)+J$74*0.5*GREET1_Import_Export!$B532+J$75*GREET1_Import_Export!$C501+J$76*GREET1_Import_Export!$B$41*(GREET1_Import_Export!$I$179*GREET1_Import_Export!$B186+GREET1_Import_Export!$I186)/1000000+J$77*Steel!$B115+J$78*Steel!$I115</f>
        <v>12.407197653502605</v>
      </c>
      <c r="K87" s="140"/>
      <c r="L87" s="349">
        <f ca="1">L$67*(GREET1_Import_Export!$K72+GREET1_Import_Export!$F$179*GREET1_Import_Export!$B186+GREET1_Import_Export!$F186)+L$68*(GREET1_Import_Export!$O72+GREET1_Import_Export!$G$179*GREET1_Import_Export!$B186+GREET1_Import_Export!$G186)+L$69*(GREET1_Import_Export!$T72+GREET1_Import_Export!$C$179*GREET1_Import_Export!$B186+GREET1_Import_Export!$C186)+L$70*(GREET1_Import_Export!$B72+GREET1_Import_Export!$B222)+L$71*(GREET1_Import_Export!$AA72+GREET1_Import_Export!$B290)+L$72*(GREET1_Import_Export!$X72+GREET1_Import_Export!$B$10*(GREET1_Import_Export!$F$215*GREET1_Import_Export!$B222+GREET1_Import_Export!$F222)+GREET1_Import_Export!$C$10*(GREET1_Import_Export!$E$179*GREET1_Import_Export!$B186+GREET1_Import_Export!$E186))+L$73*(GREET1_Import_Export!$B315+GREET1_Import_Export!$C315)+L$74*0.5*GREET1_Import_Export!$B532+L$75*GREET1_Import_Export!$C501+L$76*GREET1_Import_Export!$B$41*(GREET1_Import_Export!$I$179*GREET1_Import_Export!$B186+GREET1_Import_Export!$I186)/1000000+L$77*Steel!$B115+L$78*Steel!$I115</f>
        <v>14.443048288408258</v>
      </c>
      <c r="M87" s="349"/>
      <c r="N87" s="347">
        <f ca="1">N$67*(GREET1_Import_Export!$K72+GREET1_Import_Export!$F$179*GREET1_Import_Export!$B186+GREET1_Import_Export!$F186)+N$68*(GREET1_Import_Export!$O72+GREET1_Import_Export!$G$179*GREET1_Import_Export!$B186+GREET1_Import_Export!$G186)+N$69*(GREET1_Import_Export!$T72+GREET1_Import_Export!$C$179*GREET1_Import_Export!$B186+GREET1_Import_Export!$C186)+N$70*(GREET1_Import_Export!$B72+GREET1_Import_Export!$B222)+N$71*(GREET1_Import_Export!$AA72+GREET1_Import_Export!$B290)+N$72*(GREET1_Import_Export!$X72+GREET1_Import_Export!$B$10*(GREET1_Import_Export!$F$215*GREET1_Import_Export!$B222+GREET1_Import_Export!$F222)+GREET1_Import_Export!$C$10*(GREET1_Import_Export!$E$179*GREET1_Import_Export!$B186+GREET1_Import_Export!$E186))+N$73*(GREET1_Import_Export!$B315+GREET1_Import_Export!$C315)+N$74*0.5*GREET1_Import_Export!$B532+N$75*GREET1_Import_Export!$C501+N$76*GREET1_Import_Export!$B$41*(GREET1_Import_Export!$I$179*GREET1_Import_Export!$B186+GREET1_Import_Export!$I186)/1000000+N$77*Steel!$B115+N$78*Steel!$I115+N$79*(SUM($B122:$E122)*$F$113+$F122)</f>
        <v>117.64120288568003</v>
      </c>
      <c r="O87" s="478">
        <v>69.5541840445877</v>
      </c>
      <c r="P87" s="347">
        <f ca="1">P$67*(GREET1_Import_Export!$K72+GREET1_Import_Export!$F$179*GREET1_Import_Export!$B186+GREET1_Import_Export!$F186)+P$68*(GREET1_Import_Export!$O72+GREET1_Import_Export!$G$179*GREET1_Import_Export!$B186+GREET1_Import_Export!$G186)+P$69*(GREET1_Import_Export!$T72+GREET1_Import_Export!$C$179*GREET1_Import_Export!$B186+GREET1_Import_Export!$C186)+P$70*(GREET1_Import_Export!$B72+GREET1_Import_Export!$B222)+P$71*(GREET1_Import_Export!$AA72+GREET1_Import_Export!$B290)+P$72*(GREET1_Import_Export!$X72+GREET1_Import_Export!$B$10*(GREET1_Import_Export!$F$215*GREET1_Import_Export!$B222+GREET1_Import_Export!$F222)+GREET1_Import_Export!$C$10*(GREET1_Import_Export!$E$179*GREET1_Import_Export!$B186+GREET1_Import_Export!$E186))+P$73*(GREET1_Import_Export!$B315+GREET1_Import_Export!$C315)+P$74*0.5*GREET1_Import_Export!$B532+P$75*GREET1_Import_Export!$C501+P$77*Steel!$B115+P$78*Steel!$I115</f>
        <v>97.086531973484483</v>
      </c>
      <c r="Q87" s="348"/>
      <c r="R87" s="349">
        <f ca="1">R$67*(GREET1_Import_Export!$K72+GREET1_Import_Export!$F$179*GREET1_Import_Export!$B186+GREET1_Import_Export!$F186)+R$68*(GREET1_Import_Export!$O72+GREET1_Import_Export!$G$179*GREET1_Import_Export!$B186+GREET1_Import_Export!$G186)+R$69*(GREET1_Import_Export!$T72+GREET1_Import_Export!$C$179*GREET1_Import_Export!$B186+GREET1_Import_Export!$C186)+R$70*(GREET1_Import_Export!$B72+GREET1_Import_Export!$B222)+R$71*(GREET1_Import_Export!$AA72+GREET1_Import_Export!$B290)+R$72*(GREET1_Import_Export!$X72+GREET1_Import_Export!$B$10*(GREET1_Import_Export!$F$215*GREET1_Import_Export!$B222+GREET1_Import_Export!$F222)+GREET1_Import_Export!$C$10*(GREET1_Import_Export!$E$179*GREET1_Import_Export!$B186+GREET1_Import_Export!$E186))+R$73*(GREET1_Import_Export!$B315+GREET1_Import_Export!$C315)+R$74*0.5*GREET1_Import_Export!$B532+R$75*GREET1_Import_Export!$C501+R$77*Steel!$B115+R$78*Steel!$I115</f>
        <v>7.4827090274299994</v>
      </c>
      <c r="S87" s="348"/>
      <c r="T87" s="1321"/>
      <c r="U87" s="1321"/>
    </row>
    <row r="88" spans="1:21" s="64" customFormat="1">
      <c r="A88" s="230" t="s">
        <v>822</v>
      </c>
      <c r="B88" s="347">
        <f ca="1">B$67*(B$44*GREET1_Import_Export!$K73+GREET1_Import_Export!$F$179*GREET1_Import_Export!$B187+GREET1_Import_Export!$F187)+B$68*(B$50*GREET1_Import_Export!$R73+B$51*GREET1_Import_Export!$C147+GREET1_Import_Export!$H$179*GREET1_Import_Export!$B187+GREET1_Import_Export!$H187)+B$69*(B$48*GREET1_Import_Export!$T73+B$49*GREET1_Import_Export!$C133+GREET1_Import_Export!$C$179*GREET1_Import_Export!$B187+GREET1_Import_Export!$C187)+B$70*(B$45*GREET1_Import_Export!$B73+B$46*GREET1_Import_Export!$C119+GREET1_Import_Export!$B223)+B$71*(B$47*GREET1_Import_Export!$AA73+GREET1_Import_Export!$B291)+B$72*(GREET1_Import_Export!$X73+GREET1_Import_Export!$B$10*(GREET1_Import_Export!$F$215*GREET1_Import_Export!$B223+GREET1_Import_Export!$F223)+GREET1_Import_Export!$C$10*(GREET1_Import_Export!$E$179*GREET1_Import_Export!$B187+GREET1_Import_Export!$E187))+B$73*(GREET1_Import_Export!$B316+GREET1_Import_Export!$C316)+B$74*0.5*GREET1_Import_Export!$B533+B$75*GREET1_Import_Export!$C502+B$77*Steel!$B116+B$78*Steel!$I116</f>
        <v>40.286761288321777</v>
      </c>
      <c r="C88" s="140"/>
      <c r="D88" s="349">
        <f ca="1">D$67*(GREET1_Import_Export!$K73+GREET1_Import_Export!$F$179*GREET1_Import_Export!$B187+GREET1_Import_Export!$F187)+D$68*(GREET1_Import_Export!$O73+GREET1_Import_Export!$G$179*GREET1_Import_Export!$B187+GREET1_Import_Export!$G187)+D$69*(GREET1_Import_Export!$T73+GREET1_Import_Export!$C$179*GREET1_Import_Export!$B187+GREET1_Import_Export!$C187)+D$70*(GREET1_Import_Export!$B73+GREET1_Import_Export!$B223)+D$71*(GREET1_Import_Export!$AA73+GREET1_Import_Export!$B291)+D$72*(GREET1_Import_Export!$X73+GREET1_Import_Export!$B$10*(GREET1_Import_Export!$F$215*GREET1_Import_Export!$B223+GREET1_Import_Export!$F223)+GREET1_Import_Export!$C$10*(GREET1_Import_Export!$E$179*GREET1_Import_Export!$B187+GREET1_Import_Export!$E187))+D$73*(GREET1_Import_Export!$B316+GREET1_Import_Export!$C316)+D$74*0.5*GREET1_Import_Export!$B533+D$75*GREET1_Import_Export!$C502+D$77*Steel!$B116+D$78*Steel!$I116</f>
        <v>1057.7496414933585</v>
      </c>
      <c r="E88" s="479"/>
      <c r="F88" s="347">
        <f ca="1">F$67*(GREET1_Import_Export!$K73+GREET1_Import_Export!$F$179*GREET1_Import_Export!$B187+GREET1_Import_Export!$F187)+F$68*(GREET1_Import_Export!$O73+GREET1_Import_Export!$G$179*GREET1_Import_Export!$B187+GREET1_Import_Export!$G187)+F$69*(GREET1_Import_Export!$T73+GREET1_Import_Export!$C$179*GREET1_Import_Export!$B187+GREET1_Import_Export!$C187)+F$70*(GREET1_Import_Export!$B73+GREET1_Import_Export!$B223)+F$71*(GREET1_Import_Export!$AA73+GREET1_Import_Export!$B291)+F$72*(GREET1_Import_Export!$X73+GREET1_Import_Export!$B$10*(GREET1_Import_Export!$F$215*GREET1_Import_Export!$B223+GREET1_Import_Export!$F223)+GREET1_Import_Export!$C$10*(GREET1_Import_Export!$E$179*GREET1_Import_Export!$B187+GREET1_Import_Export!$E187))+F$73*(GREET1_Import_Export!$B316+GREET1_Import_Export!$C316)+F$74*0.5*GREET1_Import_Export!$B533+F$75*GREET1_Import_Export!$C502+F$76*GREET1_Import_Export!$B$41*(GREET1_Import_Export!$I$179*GREET1_Import_Export!$B187+GREET1_Import_Export!$I187)/1000000+F$77*Steel!$B116+F$78*Steel!$I116</f>
        <v>301.44000598533142</v>
      </c>
      <c r="G88" s="478"/>
      <c r="H88" s="349">
        <f ca="1">H$67*(GREET1_Import_Export!$K73+GREET1_Import_Export!$F$176*GREET1_Import_Export!$B184+GREET1_Import_Export!$F184)+H$68*(GREET1_Import_Export!$O73+GREET1_Import_Export!$G$176*GREET1_Import_Export!$B184+GREET1_Import_Export!$G184)+H$69*(GREET1_Import_Export!$T73+GREET1_Import_Export!$C$176*GREET1_Import_Export!$B184+GREET1_Import_Export!$C184)+H$70*(GREET1_Import_Export!$B73+GREET1_Import_Export!$B220)+H$71*(GREET1_Import_Export!$AA73+GREET1_Import_Export!$B288)+H$72*(GREET1_Import_Export!$X73+GREET1_Import_Export!$B$10*(GREET1_Import_Export!$F$212*GREET1_Import_Export!$B220+GREET1_Import_Export!$F220)+GREET1_Import_Export!$C$10*(GREET1_Import_Export!$E$176*GREET1_Import_Export!$B184+GREET1_Import_Export!$E184))+H$73*$B24+H$74*0.5*GREET1_Import_Export!$B530+H$75*GREET1_Import_Export!$C499+H$77*Steel!$B116+H$78*Steel!$I116</f>
        <v>530.89612102870342</v>
      </c>
      <c r="I88" s="479"/>
      <c r="J88" s="347">
        <f ca="1">J$67*(GREET1_Import_Export!$K73+GREET1_Import_Export!$F$179*GREET1_Import_Export!$B187+GREET1_Import_Export!$F187)+J$68*(GREET1_Import_Export!$O73+GREET1_Import_Export!$G$179*GREET1_Import_Export!$B187+GREET1_Import_Export!$G187)+J$69*(GREET1_Import_Export!$T73+GREET1_Import_Export!$C$179*GREET1_Import_Export!$B187+GREET1_Import_Export!$C187)+J$70*(GREET1_Import_Export!$B73+GREET1_Import_Export!$B223)+J$71*(GREET1_Import_Export!$AA73+GREET1_Import_Export!$B291)+J$72*(GREET1_Import_Export!$X73+GREET1_Import_Export!$B$10*(GREET1_Import_Export!$F$215*GREET1_Import_Export!$B223+GREET1_Import_Export!$F223)+GREET1_Import_Export!$C$10*(GREET1_Import_Export!$E$179*GREET1_Import_Export!$B187+GREET1_Import_Export!$E187))+J$73*(GREET1_Import_Export!$B316+GREET1_Import_Export!$C316)+J$74*0.5*GREET1_Import_Export!$B533+J$75*GREET1_Import_Export!$C502+J$76*GREET1_Import_Export!$B$41*(GREET1_Import_Export!$I$179*GREET1_Import_Export!$B187+GREET1_Import_Export!$I187)/1000000+J$77*Steel!$B116+J$78*Steel!$I116</f>
        <v>63.733452663009182</v>
      </c>
      <c r="K88" s="478"/>
      <c r="L88" s="349">
        <f ca="1">L$67*(GREET1_Import_Export!$K73+GREET1_Import_Export!$F$179*GREET1_Import_Export!$B187+GREET1_Import_Export!$F187)+L$68*(GREET1_Import_Export!$O73+GREET1_Import_Export!$G$179*GREET1_Import_Export!$B187+GREET1_Import_Export!$G187)+L$69*(GREET1_Import_Export!$T73+GREET1_Import_Export!$C$179*GREET1_Import_Export!$B187+GREET1_Import_Export!$C187)+L$70*(GREET1_Import_Export!$B73+GREET1_Import_Export!$B223)+L$71*(GREET1_Import_Export!$AA73+GREET1_Import_Export!$B291)+L$72*(GREET1_Import_Export!$X73+GREET1_Import_Export!$B$10*(GREET1_Import_Export!$F$215*GREET1_Import_Export!$B223+GREET1_Import_Export!$F223)+GREET1_Import_Export!$C$10*(GREET1_Import_Export!$E$179*GREET1_Import_Export!$B187+GREET1_Import_Export!$E187))+L$73*(GREET1_Import_Export!$B316+GREET1_Import_Export!$C316)+L$74*0.5*GREET1_Import_Export!$B533+L$75*GREET1_Import_Export!$C502+L$76*GREET1_Import_Export!$B$41*(GREET1_Import_Export!$I$179*GREET1_Import_Export!$B187+GREET1_Import_Export!$I187)/1000000+L$77*Steel!$B116+L$78*Steel!$I116</f>
        <v>53.229183684608017</v>
      </c>
      <c r="M88" s="349"/>
      <c r="N88" s="347">
        <f ca="1">N$67*(GREET1_Import_Export!$K73+GREET1_Import_Export!$F$179*GREET1_Import_Export!$B187+GREET1_Import_Export!$F187)+N$68*(GREET1_Import_Export!$O73+GREET1_Import_Export!$G$179*GREET1_Import_Export!$B187+GREET1_Import_Export!$G187)+N$69*(GREET1_Import_Export!$T73+GREET1_Import_Export!$C$179*GREET1_Import_Export!$B187+GREET1_Import_Export!$C187)+N$70*(GREET1_Import_Export!$B73+GREET1_Import_Export!$B223)+N$71*(GREET1_Import_Export!$AA73+GREET1_Import_Export!$B291)+N$72*(GREET1_Import_Export!$X73+GREET1_Import_Export!$B$10*(GREET1_Import_Export!$F$215*GREET1_Import_Export!$B223+GREET1_Import_Export!$F223)+GREET1_Import_Export!$C$10*(GREET1_Import_Export!$E$179*GREET1_Import_Export!$B187+GREET1_Import_Export!$E187))+N$73*(GREET1_Import_Export!$B316+GREET1_Import_Export!$C316)+N$74*0.5*GREET1_Import_Export!$B533+N$75*GREET1_Import_Export!$C502+N$76*GREET1_Import_Export!$B$41*(GREET1_Import_Export!$I$179*GREET1_Import_Export!$B187+GREET1_Import_Export!$I187)/1000000+N$77*Steel!$B116+N$78*Steel!$I116+N$79*(SUM($B123:$E123)*$F$113+$F123)</f>
        <v>399.16447303685163</v>
      </c>
      <c r="O88" s="478"/>
      <c r="P88" s="347">
        <f ca="1">P$67*(GREET1_Import_Export!$K73+GREET1_Import_Export!$F$179*GREET1_Import_Export!$B187+GREET1_Import_Export!$F187)+P$68*(GREET1_Import_Export!$O73+GREET1_Import_Export!$G$179*GREET1_Import_Export!$B187+GREET1_Import_Export!$G187)+P$69*(GREET1_Import_Export!$T73+GREET1_Import_Export!$C$179*GREET1_Import_Export!$B187+GREET1_Import_Export!$C187)+P$70*(GREET1_Import_Export!$B73+GREET1_Import_Export!$B223)+P$71*(GREET1_Import_Export!$AA73+GREET1_Import_Export!$B291)+P$72*(GREET1_Import_Export!$X73+GREET1_Import_Export!$B$10*(GREET1_Import_Export!$F$215*GREET1_Import_Export!$B223+GREET1_Import_Export!$F223)+GREET1_Import_Export!$C$10*(GREET1_Import_Export!$E$179*GREET1_Import_Export!$B187+GREET1_Import_Export!$E187))+P$73*(GREET1_Import_Export!$B316+GREET1_Import_Export!$C316)+P$74*0.5*GREET1_Import_Export!$B533+P$75*GREET1_Import_Export!$C502+P$77*Steel!$B116+P$78*Steel!$I116</f>
        <v>404.60758424601403</v>
      </c>
      <c r="Q88" s="348"/>
      <c r="R88" s="349">
        <f ca="1">R$67*(GREET1_Import_Export!$K73+GREET1_Import_Export!$F$179*GREET1_Import_Export!$B187+GREET1_Import_Export!$F187)+R$68*(GREET1_Import_Export!$O73+GREET1_Import_Export!$G$179*GREET1_Import_Export!$B187+GREET1_Import_Export!$G187)+R$69*(GREET1_Import_Export!$T73+GREET1_Import_Export!$C$179*GREET1_Import_Export!$B187+GREET1_Import_Export!$C187)+R$70*(GREET1_Import_Export!$B73+GREET1_Import_Export!$B223)+R$71*(GREET1_Import_Export!$AA73+GREET1_Import_Export!$B291)+R$72*(GREET1_Import_Export!$X73+GREET1_Import_Export!$B$10*(GREET1_Import_Export!$F$215*GREET1_Import_Export!$B223+GREET1_Import_Export!$F223)+GREET1_Import_Export!$C$10*(GREET1_Import_Export!$E$179*GREET1_Import_Export!$B187+GREET1_Import_Export!$E187))+R$73*(GREET1_Import_Export!$B316+GREET1_Import_Export!$C316)+R$74*0.5*GREET1_Import_Export!$B533+R$75*GREET1_Import_Export!$C502+R$77*Steel!$B116+R$78*Steel!$I116</f>
        <v>20.225682519847698</v>
      </c>
      <c r="S88" s="348"/>
      <c r="T88" s="1321"/>
      <c r="U88" s="1321"/>
    </row>
    <row r="89" spans="1:21" s="64" customFormat="1">
      <c r="A89" s="230" t="s">
        <v>823</v>
      </c>
      <c r="B89" s="347">
        <f ca="1">B$67*(B$44*GREET1_Import_Export!$K74+GREET1_Import_Export!$F$179*GREET1_Import_Export!$B188+GREET1_Import_Export!$F188)+B$68*(B$50*GREET1_Import_Export!$R74+B$51*GREET1_Import_Export!$C148+GREET1_Import_Export!$H$179*GREET1_Import_Export!$B188+GREET1_Import_Export!$H188)+B$69*(B$48*GREET1_Import_Export!$T74+B$49*GREET1_Import_Export!$C134+GREET1_Import_Export!$C$179*GREET1_Import_Export!$B188+GREET1_Import_Export!$C188)+B$70*(B$45*GREET1_Import_Export!$B74+B$46*GREET1_Import_Export!$C120+GREET1_Import_Export!$B224)+B$71*(B$47*GREET1_Import_Export!$AA74+GREET1_Import_Export!$B292)+B$72*(GREET1_Import_Export!$X74+GREET1_Import_Export!$B$10*(GREET1_Import_Export!$F$215*GREET1_Import_Export!$B224+GREET1_Import_Export!$F224)+GREET1_Import_Export!$C$10*(GREET1_Import_Export!$E$179*GREET1_Import_Export!$B188+GREET1_Import_Export!$E188))+B$73*(GREET1_Import_Export!$B317+GREET1_Import_Export!$C317)+B$74*0.5*GREET1_Import_Export!$B534+B$75*GREET1_Import_Export!$C503+B$77*Steel!$B117+B$78*Steel!$I117</f>
        <v>154.87052837337771</v>
      </c>
      <c r="C89" s="478"/>
      <c r="D89" s="349">
        <f ca="1">D$67*(GREET1_Import_Export!$K74+GREET1_Import_Export!$F$179*GREET1_Import_Export!$B188+GREET1_Import_Export!$F188)+D$68*(GREET1_Import_Export!$O74+GREET1_Import_Export!$G$179*GREET1_Import_Export!$B188+GREET1_Import_Export!$G188)+D$69*(GREET1_Import_Export!$T74+GREET1_Import_Export!$C$179*GREET1_Import_Export!$B188+GREET1_Import_Export!$C188)+D$70*(GREET1_Import_Export!$B74+GREET1_Import_Export!$B224)+D$71*(GREET1_Import_Export!$AA74+GREET1_Import_Export!$B292)+D$72*(GREET1_Import_Export!$X74+GREET1_Import_Export!$B$10*(GREET1_Import_Export!$F$215*GREET1_Import_Export!$B224+GREET1_Import_Export!$F224)+GREET1_Import_Export!$C$10*(GREET1_Import_Export!$E$179*GREET1_Import_Export!$B188+GREET1_Import_Export!$E188))+D$73*(GREET1_Import_Export!$B317+GREET1_Import_Export!$C317)+D$74*0.5*GREET1_Import_Export!$B534+D$75*GREET1_Import_Export!$C503+D$77*Steel!$B117+D$78*Steel!$I117</f>
        <v>1870.5188178096525</v>
      </c>
      <c r="E89" s="479">
        <v>19.7257467877353</v>
      </c>
      <c r="F89" s="347">
        <f ca="1">F$67*(GREET1_Import_Export!$K74+GREET1_Import_Export!$F$179*GREET1_Import_Export!$B188+GREET1_Import_Export!$F188)+F$68*(GREET1_Import_Export!$O74+GREET1_Import_Export!$G$179*GREET1_Import_Export!$B188+GREET1_Import_Export!$G188)+F$69*(GREET1_Import_Export!$T74+GREET1_Import_Export!$C$179*GREET1_Import_Export!$B188+GREET1_Import_Export!$C188)+F$70*(GREET1_Import_Export!$B74+GREET1_Import_Export!$B224)+F$71*(GREET1_Import_Export!$AA74+GREET1_Import_Export!$B292)+F$72*(GREET1_Import_Export!$X74+GREET1_Import_Export!$B$10*(GREET1_Import_Export!$F$215*GREET1_Import_Export!$B224+GREET1_Import_Export!$F224)+GREET1_Import_Export!$C$10*(GREET1_Import_Export!$E$179*GREET1_Import_Export!$B188+GREET1_Import_Export!$E188))+F$73*(GREET1_Import_Export!$B317+GREET1_Import_Export!$C317)+F$74*0.5*GREET1_Import_Export!$B534+F$75*GREET1_Import_Export!$C503+F$76*GREET1_Import_Export!$B$41*(GREET1_Import_Export!$I$179*GREET1_Import_Export!$B188+GREET1_Import_Export!$I188)/1000000+F$77*Steel!$B117+F$78*Steel!$I117</f>
        <v>358.39967012125771</v>
      </c>
      <c r="G89" s="478">
        <v>120.63789155888099</v>
      </c>
      <c r="H89" s="349">
        <f ca="1">H$67*(GREET1_Import_Export!$K74+GREET1_Import_Export!$F$176*GREET1_Import_Export!$B185+GREET1_Import_Export!$F185)+H$68*(GREET1_Import_Export!$O74+GREET1_Import_Export!$G$176*GREET1_Import_Export!$B185+GREET1_Import_Export!$G185)+H$69*(GREET1_Import_Export!$T74+GREET1_Import_Export!$C$176*GREET1_Import_Export!$B185+GREET1_Import_Export!$C185)+H$70*(GREET1_Import_Export!$B74+GREET1_Import_Export!$B221)+H$71*(GREET1_Import_Export!$AA74+GREET1_Import_Export!$B289)+H$72*(GREET1_Import_Export!$X74+GREET1_Import_Export!$B$10*(GREET1_Import_Export!$F$212*GREET1_Import_Export!$B221+GREET1_Import_Export!$F221)+GREET1_Import_Export!$C$10*(GREET1_Import_Export!$E$176*GREET1_Import_Export!$B185+GREET1_Import_Export!$E185))+H$73*$B25+H$74*0.5*GREET1_Import_Export!$B531+H$75*GREET1_Import_Export!$C500+H$77*Steel!$B117+H$78*Steel!$I117</f>
        <v>1527.4780285946626</v>
      </c>
      <c r="I89" s="479">
        <v>235.87200000000001</v>
      </c>
      <c r="J89" s="347">
        <f ca="1">J$67*(GREET1_Import_Export!$K74+GREET1_Import_Export!$F$179*GREET1_Import_Export!$B188+GREET1_Import_Export!$F188)+J$68*(GREET1_Import_Export!$O74+GREET1_Import_Export!$G$179*GREET1_Import_Export!$B188+GREET1_Import_Export!$G188)+J$69*(GREET1_Import_Export!$T74+GREET1_Import_Export!$C$179*GREET1_Import_Export!$B188+GREET1_Import_Export!$C188)+J$70*(GREET1_Import_Export!$B74+GREET1_Import_Export!$B224)+J$71*(GREET1_Import_Export!$AA74+GREET1_Import_Export!$B292)+J$72*(GREET1_Import_Export!$X74+GREET1_Import_Export!$B$10*(GREET1_Import_Export!$F$215*GREET1_Import_Export!$B224+GREET1_Import_Export!$F224)+GREET1_Import_Export!$C$10*(GREET1_Import_Export!$E$179*GREET1_Import_Export!$B188+GREET1_Import_Export!$E188))+J$73*(GREET1_Import_Export!$B317+GREET1_Import_Export!$C317)+J$74*0.5*GREET1_Import_Export!$B534+J$75*GREET1_Import_Export!$C503+J$76*GREET1_Import_Export!$B$41*(GREET1_Import_Export!$I$179*GREET1_Import_Export!$B188+GREET1_Import_Export!$I188)/1000000+J$77*Steel!$B117+J$78*Steel!$I117</f>
        <v>89.14886752378861</v>
      </c>
      <c r="K89" s="478">
        <v>26.6437206463393</v>
      </c>
      <c r="L89" s="349">
        <f ca="1">L$67*(GREET1_Import_Export!$K74+GREET1_Import_Export!$F$179*GREET1_Import_Export!$B188+GREET1_Import_Export!$F188)+L$68*(GREET1_Import_Export!$O74+GREET1_Import_Export!$G$179*GREET1_Import_Export!$B188+GREET1_Import_Export!$G188)+L$69*(GREET1_Import_Export!$T74+GREET1_Import_Export!$C$179*GREET1_Import_Export!$B188+GREET1_Import_Export!$C188)+L$70*(GREET1_Import_Export!$B74+GREET1_Import_Export!$B224)+L$71*(GREET1_Import_Export!$AA74+GREET1_Import_Export!$B292)+L$72*(GREET1_Import_Export!$X74+GREET1_Import_Export!$B$10*(GREET1_Import_Export!$F$215*GREET1_Import_Export!$B224+GREET1_Import_Export!$F224)+GREET1_Import_Export!$C$10*(GREET1_Import_Export!$E$179*GREET1_Import_Export!$B188+GREET1_Import_Export!$E188))+L$73*(GREET1_Import_Export!$B317+GREET1_Import_Export!$C317)+L$74*0.5*GREET1_Import_Export!$B534+L$75*GREET1_Import_Export!$C503+L$76*GREET1_Import_Export!$B$41*(GREET1_Import_Export!$I$179*GREET1_Import_Export!$B188+GREET1_Import_Export!$I188)/1000000+L$77*Steel!$B117+L$78*Steel!$I117</f>
        <v>81.116188142851811</v>
      </c>
      <c r="M89" s="349"/>
      <c r="N89" s="347">
        <f ca="1">N$67*(GREET1_Import_Export!$K74+GREET1_Import_Export!$F$179*GREET1_Import_Export!$B188+GREET1_Import_Export!$F188)+N$68*(GREET1_Import_Export!$O74+GREET1_Import_Export!$G$179*GREET1_Import_Export!$B188+GREET1_Import_Export!$G188)+N$69*(GREET1_Import_Export!$T74+GREET1_Import_Export!$C$179*GREET1_Import_Export!$B188+GREET1_Import_Export!$C188)+N$70*(GREET1_Import_Export!$B74+GREET1_Import_Export!$B224)+N$71*(GREET1_Import_Export!$AA74+GREET1_Import_Export!$B292)+N$72*(GREET1_Import_Export!$X74+GREET1_Import_Export!$B$10*(GREET1_Import_Export!$F$215*GREET1_Import_Export!$B224+GREET1_Import_Export!$F224)+GREET1_Import_Export!$C$10*(GREET1_Import_Export!$E$179*GREET1_Import_Export!$B188+GREET1_Import_Export!$E188))+N$73*(GREET1_Import_Export!$B317+GREET1_Import_Export!$C317)+N$74*0.5*GREET1_Import_Export!$B534+N$75*GREET1_Import_Export!$C503+N$76*GREET1_Import_Export!$B$41*(GREET1_Import_Export!$I$179*GREET1_Import_Export!$B188+GREET1_Import_Export!$I188)/1000000+N$77*Steel!$B117+N$78*Steel!$I117+N$79*(SUM($B124:$E124)*$F$113+$F124)</f>
        <v>685.87370444700593</v>
      </c>
      <c r="O89" s="478">
        <v>42.750584953933597</v>
      </c>
      <c r="P89" s="347">
        <f ca="1">P$67*(GREET1_Import_Export!$K74+GREET1_Import_Export!$F$179*GREET1_Import_Export!$B188+GREET1_Import_Export!$F188)+P$68*(GREET1_Import_Export!$O74+GREET1_Import_Export!$G$179*GREET1_Import_Export!$B188+GREET1_Import_Export!$G188)+P$69*(GREET1_Import_Export!$T74+GREET1_Import_Export!$C$179*GREET1_Import_Export!$B188+GREET1_Import_Export!$C188)+P$70*(GREET1_Import_Export!$B74+GREET1_Import_Export!$B224)+P$71*(GREET1_Import_Export!$AA74+GREET1_Import_Export!$B292)+P$72*(GREET1_Import_Export!$X74+GREET1_Import_Export!$B$10*(GREET1_Import_Export!$F$215*GREET1_Import_Export!$B224+GREET1_Import_Export!$F224)+GREET1_Import_Export!$C$10*(GREET1_Import_Export!$E$179*GREET1_Import_Export!$B188+GREET1_Import_Export!$E188))+P$73*(GREET1_Import_Export!$B317+GREET1_Import_Export!$C317)+P$74*0.5*GREET1_Import_Export!$B534+P$75*GREET1_Import_Export!$C503+P$77*Steel!$B117+P$78*Steel!$I117</f>
        <v>550.03911257638811</v>
      </c>
      <c r="Q89" s="348"/>
      <c r="R89" s="349">
        <f ca="1">R$67*(GREET1_Import_Export!$K74+GREET1_Import_Export!$F$179*GREET1_Import_Export!$B188+GREET1_Import_Export!$F188)+R$68*(GREET1_Import_Export!$O74+GREET1_Import_Export!$G$179*GREET1_Import_Export!$B188+GREET1_Import_Export!$G188)+R$69*(GREET1_Import_Export!$T74+GREET1_Import_Export!$C$179*GREET1_Import_Export!$B188+GREET1_Import_Export!$C188)+R$70*(GREET1_Import_Export!$B74+GREET1_Import_Export!$B224)+R$71*(GREET1_Import_Export!$AA74+GREET1_Import_Export!$B292)+R$72*(GREET1_Import_Export!$X74+GREET1_Import_Export!$B$10*(GREET1_Import_Export!$F$215*GREET1_Import_Export!$B224+GREET1_Import_Export!$F224)+GREET1_Import_Export!$C$10*(GREET1_Import_Export!$E$179*GREET1_Import_Export!$B188+GREET1_Import_Export!$E188))+R$73*(GREET1_Import_Export!$B317+GREET1_Import_Export!$C317)+R$74*0.5*GREET1_Import_Export!$B534+R$75*GREET1_Import_Export!$C503+R$77*Steel!$B117+R$78*Steel!$I117</f>
        <v>41.666162997286321</v>
      </c>
      <c r="S89" s="348"/>
      <c r="T89" s="1321"/>
      <c r="U89" s="1321"/>
    </row>
    <row r="90" spans="1:21" s="64" customFormat="1">
      <c r="A90" s="230" t="s">
        <v>824</v>
      </c>
      <c r="B90" s="347">
        <f ca="1">B$67*(B$44*GREET1_Import_Export!$K75+GREET1_Import_Export!$F$179*GREET1_Import_Export!$B189+GREET1_Import_Export!$F189)+B$68*(B$50*GREET1_Import_Export!$R75+B$51*GREET1_Import_Export!$C149+GREET1_Import_Export!$H$179*GREET1_Import_Export!$B189+GREET1_Import_Export!$H189)+B$69*(B$48*GREET1_Import_Export!$T75+B$49*GREET1_Import_Export!$C135+GREET1_Import_Export!$C$179*GREET1_Import_Export!$B189+GREET1_Import_Export!$C189)+B$70*(B$45*GREET1_Import_Export!$B75+B$46*GREET1_Import_Export!$C121+GREET1_Import_Export!$B225)+B$71*(B$47*GREET1_Import_Export!$AA75+GREET1_Import_Export!$B293)+B$72*(GREET1_Import_Export!$X75+GREET1_Import_Export!$B$10*(GREET1_Import_Export!$F$215*GREET1_Import_Export!$B225+GREET1_Import_Export!$F225)+GREET1_Import_Export!$C$10*(GREET1_Import_Export!$E$179*GREET1_Import_Export!$B189+GREET1_Import_Export!$E189))+B$73*(GREET1_Import_Export!$B318+GREET1_Import_Export!$C318)+B$74*0.5*GREET1_Import_Export!$B535+B$75*GREET1_Import_Export!$C504+B$77*Steel!$B118+B$78*Steel!$I118</f>
        <v>10.425703631465201</v>
      </c>
      <c r="C90" s="478">
        <v>852.21807889424099</v>
      </c>
      <c r="D90" s="349">
        <f ca="1">D$67*(GREET1_Import_Export!$K75+GREET1_Import_Export!$F$179*GREET1_Import_Export!$B189+GREET1_Import_Export!$F189)+D$68*(GREET1_Import_Export!$O75+GREET1_Import_Export!$G$179*GREET1_Import_Export!$B189+GREET1_Import_Export!$G189)+D$69*(GREET1_Import_Export!$T75+GREET1_Import_Export!$C$179*GREET1_Import_Export!$B189+GREET1_Import_Export!$C189)+D$70*(GREET1_Import_Export!$B75+GREET1_Import_Export!$B225)+D$71*(GREET1_Import_Export!$AA75+GREET1_Import_Export!$B293)+D$72*(GREET1_Import_Export!$X75+GREET1_Import_Export!$B$10*(GREET1_Import_Export!$F$215*GREET1_Import_Export!$B225+GREET1_Import_Export!$F225)+GREET1_Import_Export!$C$10*(GREET1_Import_Export!$E$179*GREET1_Import_Export!$B189+GREET1_Import_Export!$E189))+D$73*(GREET1_Import_Export!$B318+GREET1_Import_Export!$C318)+D$74*0.5*GREET1_Import_Export!$B535+D$75*GREET1_Import_Export!$C504+D$77*Steel!$B118+D$78*Steel!$I118</f>
        <v>197.51453739600819</v>
      </c>
      <c r="E90" s="479">
        <v>790.78538038236002</v>
      </c>
      <c r="F90" s="347">
        <f ca="1">F$67*(GREET1_Import_Export!$K75+GREET1_Import_Export!$F$179*GREET1_Import_Export!$B189+GREET1_Import_Export!$F189)+F$68*(GREET1_Import_Export!$O75+GREET1_Import_Export!$G$179*GREET1_Import_Export!$B189+GREET1_Import_Export!$G189)+F$69*(GREET1_Import_Export!$T75+GREET1_Import_Export!$C$179*GREET1_Import_Export!$B189+GREET1_Import_Export!$C189)+F$70*(GREET1_Import_Export!$B75+GREET1_Import_Export!$B225)+F$71*(GREET1_Import_Export!$AA75+GREET1_Import_Export!$B293)+F$72*(GREET1_Import_Export!$X75+GREET1_Import_Export!$B$10*(GREET1_Import_Export!$F$215*GREET1_Import_Export!$B225+GREET1_Import_Export!$F225)+GREET1_Import_Export!$C$10*(GREET1_Import_Export!$E$179*GREET1_Import_Export!$B189+GREET1_Import_Export!$E189))+F$73*(GREET1_Import_Export!$B318+GREET1_Import_Export!$C318)+F$74*0.5*GREET1_Import_Export!$B535+F$75*GREET1_Import_Export!$C504+F$76*GREET1_Import_Export!$B$41*(GREET1_Import_Export!$I$179*GREET1_Import_Export!$B189+GREET1_Import_Export!$I189)/1000000+F$77*Steel!$B118+F$78*Steel!$I118</f>
        <v>107.64712326003459</v>
      </c>
      <c r="G90" s="478">
        <v>72.040998192995104</v>
      </c>
      <c r="H90" s="349">
        <f ca="1">H$67*(GREET1_Import_Export!$K75+GREET1_Import_Export!$F$176*GREET1_Import_Export!$B186+GREET1_Import_Export!$F186)+H$68*(GREET1_Import_Export!$O75+GREET1_Import_Export!$G$176*GREET1_Import_Export!$B186+GREET1_Import_Export!$G186)+H$69*(GREET1_Import_Export!$T75+GREET1_Import_Export!$C$176*GREET1_Import_Export!$B186+GREET1_Import_Export!$C186)+H$70*(GREET1_Import_Export!$B75+GREET1_Import_Export!$B222)+H$71*(GREET1_Import_Export!$AA75+GREET1_Import_Export!$B290)+H$72*(GREET1_Import_Export!$X75+GREET1_Import_Export!$B$10*(GREET1_Import_Export!$F$212*GREET1_Import_Export!$B222+GREET1_Import_Export!$F222)+GREET1_Import_Export!$C$10*(GREET1_Import_Export!$E$176*GREET1_Import_Export!$B186+GREET1_Import_Export!$E186))+H$73*$B26+H$74*0.5*GREET1_Import_Export!$B532+H$75*GREET1_Import_Export!$C501+H$77*Steel!$B118+H$78*Steel!$I118</f>
        <v>359.98163332598523</v>
      </c>
      <c r="I90" s="479">
        <v>1759.9680000000001</v>
      </c>
      <c r="J90" s="347">
        <f ca="1">J$67*(GREET1_Import_Export!$K75+GREET1_Import_Export!$F$179*GREET1_Import_Export!$B189+GREET1_Import_Export!$F189)+J$68*(GREET1_Import_Export!$O75+GREET1_Import_Export!$G$179*GREET1_Import_Export!$B189+GREET1_Import_Export!$G189)+J$69*(GREET1_Import_Export!$T75+GREET1_Import_Export!$C$179*GREET1_Import_Export!$B189+GREET1_Import_Export!$C189)+J$70*(GREET1_Import_Export!$B75+GREET1_Import_Export!$B225)+J$71*(GREET1_Import_Export!$AA75+GREET1_Import_Export!$B293)+J$72*(GREET1_Import_Export!$X75+GREET1_Import_Export!$B$10*(GREET1_Import_Export!$F$215*GREET1_Import_Export!$B225+GREET1_Import_Export!$F225)+GREET1_Import_Export!$C$10*(GREET1_Import_Export!$E$179*GREET1_Import_Export!$B189+GREET1_Import_Export!$E189))+J$73*(GREET1_Import_Export!$B318+GREET1_Import_Export!$C318)+J$74*0.5*GREET1_Import_Export!$B535+J$75*GREET1_Import_Export!$C504+J$76*GREET1_Import_Export!$B$41*(GREET1_Import_Export!$I$179*GREET1_Import_Export!$B189+GREET1_Import_Export!$I189)/1000000+J$77*Steel!$B118+J$78*Steel!$I118</f>
        <v>9.1200892419134529</v>
      </c>
      <c r="K90" s="478">
        <v>27.5105641596057</v>
      </c>
      <c r="L90" s="349">
        <f ca="1">L$67*(GREET1_Import_Export!$K75+GREET1_Import_Export!$F$179*GREET1_Import_Export!$B189+GREET1_Import_Export!$F189)+L$68*(GREET1_Import_Export!$O75+GREET1_Import_Export!$G$179*GREET1_Import_Export!$B189+GREET1_Import_Export!$G189)+L$69*(GREET1_Import_Export!$T75+GREET1_Import_Export!$C$179*GREET1_Import_Export!$B189+GREET1_Import_Export!$C189)+L$70*(GREET1_Import_Export!$B75+GREET1_Import_Export!$B225)+L$71*(GREET1_Import_Export!$AA75+GREET1_Import_Export!$B293)+L$72*(GREET1_Import_Export!$X75+GREET1_Import_Export!$B$10*(GREET1_Import_Export!$F$215*GREET1_Import_Export!$B225+GREET1_Import_Export!$F225)+GREET1_Import_Export!$C$10*(GREET1_Import_Export!$E$179*GREET1_Import_Export!$B189+GREET1_Import_Export!$E189))+L$73*(GREET1_Import_Export!$B318+GREET1_Import_Export!$C318)+L$74*0.5*GREET1_Import_Export!$B535+L$75*GREET1_Import_Export!$C504+L$76*GREET1_Import_Export!$B$41*(GREET1_Import_Export!$I$179*GREET1_Import_Export!$B189+GREET1_Import_Export!$I189)/1000000+L$77*Steel!$B118+L$78*Steel!$I118</f>
        <v>7.3077381371597676</v>
      </c>
      <c r="M90" s="349"/>
      <c r="N90" s="347">
        <f ca="1">N$67*(GREET1_Import_Export!$K75+GREET1_Import_Export!$F$179*GREET1_Import_Export!$B189+GREET1_Import_Export!$F189)+N$68*(GREET1_Import_Export!$O75+GREET1_Import_Export!$G$179*GREET1_Import_Export!$B189+GREET1_Import_Export!$G189)+N$69*(GREET1_Import_Export!$T75+GREET1_Import_Export!$C$179*GREET1_Import_Export!$B189+GREET1_Import_Export!$C189)+N$70*(GREET1_Import_Export!$B75+GREET1_Import_Export!$B225)+N$71*(GREET1_Import_Export!$AA75+GREET1_Import_Export!$B293)+N$72*(GREET1_Import_Export!$X75+GREET1_Import_Export!$B$10*(GREET1_Import_Export!$F$215*GREET1_Import_Export!$B225+GREET1_Import_Export!$F225)+GREET1_Import_Export!$C$10*(GREET1_Import_Export!$E$179*GREET1_Import_Export!$B189+GREET1_Import_Export!$E189))+N$73*(GREET1_Import_Export!$B318+GREET1_Import_Export!$C318)+N$74*0.5*GREET1_Import_Export!$B535+N$75*GREET1_Import_Export!$C504+N$76*GREET1_Import_Export!$B$41*(GREET1_Import_Export!$I$179*GREET1_Import_Export!$B189+GREET1_Import_Export!$I189)/1000000+N$77*Steel!$B118+N$78*Steel!$I118+N$79*(SUM($B125:$E125)*$F$113+$F125)</f>
        <v>362.36012572796596</v>
      </c>
      <c r="O90" s="478">
        <v>242.20348557652301</v>
      </c>
      <c r="P90" s="347">
        <f ca="1">P$67*(GREET1_Import_Export!$K75+GREET1_Import_Export!$F$179*GREET1_Import_Export!$B189+GREET1_Import_Export!$F189)+P$68*(GREET1_Import_Export!$O75+GREET1_Import_Export!$G$179*GREET1_Import_Export!$B189+GREET1_Import_Export!$G189)+P$69*(GREET1_Import_Export!$T75+GREET1_Import_Export!$C$179*GREET1_Import_Export!$B189+GREET1_Import_Export!$C189)+P$70*(GREET1_Import_Export!$B75+GREET1_Import_Export!$B225)+P$71*(GREET1_Import_Export!$AA75+GREET1_Import_Export!$B293)+P$72*(GREET1_Import_Export!$X75+GREET1_Import_Export!$B$10*(GREET1_Import_Export!$F$215*GREET1_Import_Export!$B225+GREET1_Import_Export!$F225)+GREET1_Import_Export!$C$10*(GREET1_Import_Export!$E$179*GREET1_Import_Export!$B189+GREET1_Import_Export!$E189))+P$73*(GREET1_Import_Export!$B318+GREET1_Import_Export!$C318)+P$74*0.5*GREET1_Import_Export!$B535+P$75*GREET1_Import_Export!$C504+P$77*Steel!$B118+P$78*Steel!$I118</f>
        <v>29.723823179210161</v>
      </c>
      <c r="Q90" s="348"/>
      <c r="R90" s="349">
        <f ca="1">R$67*(GREET1_Import_Export!$K75+GREET1_Import_Export!$F$179*GREET1_Import_Export!$B189+GREET1_Import_Export!$F189)+R$68*(GREET1_Import_Export!$O75+GREET1_Import_Export!$G$179*GREET1_Import_Export!$B189+GREET1_Import_Export!$G189)+R$69*(GREET1_Import_Export!$T75+GREET1_Import_Export!$C$179*GREET1_Import_Export!$B189+GREET1_Import_Export!$C189)+R$70*(GREET1_Import_Export!$B75+GREET1_Import_Export!$B225)+R$71*(GREET1_Import_Export!$AA75+GREET1_Import_Export!$B293)+R$72*(GREET1_Import_Export!$X75+GREET1_Import_Export!$B$10*(GREET1_Import_Export!$F$215*GREET1_Import_Export!$B225+GREET1_Import_Export!$F225)+GREET1_Import_Export!$C$10*(GREET1_Import_Export!$E$179*GREET1_Import_Export!$B189+GREET1_Import_Export!$E189))+R$73*(GREET1_Import_Export!$B318+GREET1_Import_Export!$C318)+R$74*0.5*GREET1_Import_Export!$B535+R$75*GREET1_Import_Export!$C504+R$77*Steel!$B118+R$78*Steel!$I118</f>
        <v>6.6697639307422918</v>
      </c>
      <c r="S90" s="348"/>
      <c r="T90" s="1321"/>
      <c r="U90" s="1321"/>
    </row>
    <row r="91" spans="1:21" s="64" customFormat="1">
      <c r="A91" s="230" t="s">
        <v>825</v>
      </c>
      <c r="B91" s="347">
        <f ca="1">B$67*(B$44*GREET1_Import_Export!$K76+GREET1_Import_Export!$F$179*GREET1_Import_Export!$B190+GREET1_Import_Export!$F190)+B$68*(B$50*GREET1_Import_Export!$R76+B$51*GREET1_Import_Export!$C150+GREET1_Import_Export!$H$179*GREET1_Import_Export!$B190+GREET1_Import_Export!$H190)+B$69*(B$48*GREET1_Import_Export!$T76+B$49*GREET1_Import_Export!$C136+GREET1_Import_Export!$C$179*GREET1_Import_Export!$B190+GREET1_Import_Export!$C190)+B$70*(B$45*GREET1_Import_Export!$B76+B$46*GREET1_Import_Export!$C122+GREET1_Import_Export!$B226)+B$71*(B$47*GREET1_Import_Export!$AA76+GREET1_Import_Export!$B294)+B$72*(GREET1_Import_Export!$X76+GREET1_Import_Export!$B$10*(GREET1_Import_Export!$F$215*GREET1_Import_Export!$B226+GREET1_Import_Export!$F226)+GREET1_Import_Export!$C$10*(GREET1_Import_Export!$E$179*GREET1_Import_Export!$B190+GREET1_Import_Export!$E190))+B$73*(GREET1_Import_Export!$B319+GREET1_Import_Export!$C319)+B$74*0.5*GREET1_Import_Export!$B536+B$75*GREET1_Import_Export!$C505+B$77*Steel!$B119+B$78*Steel!$I119</f>
        <v>7.0782367620247406</v>
      </c>
      <c r="C91" s="478">
        <v>429.87896532000002</v>
      </c>
      <c r="D91" s="349">
        <f ca="1">D$67*(GREET1_Import_Export!$K76+GREET1_Import_Export!$F$179*GREET1_Import_Export!$B190+GREET1_Import_Export!$F190)+D$68*(GREET1_Import_Export!$O76+GREET1_Import_Export!$G$179*GREET1_Import_Export!$B190+GREET1_Import_Export!$G190)+D$69*(GREET1_Import_Export!$T76+GREET1_Import_Export!$C$179*GREET1_Import_Export!$B190+GREET1_Import_Export!$C190)+D$70*(GREET1_Import_Export!$B76+GREET1_Import_Export!$B226)+D$71*(GREET1_Import_Export!$AA76+GREET1_Import_Export!$B294)+D$72*(GREET1_Import_Export!$X76+GREET1_Import_Export!$B$10*(GREET1_Import_Export!$F$215*GREET1_Import_Export!$B226+GREET1_Import_Export!$F226)+GREET1_Import_Export!$C$10*(GREET1_Import_Export!$E$179*GREET1_Import_Export!$B190+GREET1_Import_Export!$E190))+D$73*(GREET1_Import_Export!$B319+GREET1_Import_Export!$C319)+D$74*0.5*GREET1_Import_Export!$B536+D$75*GREET1_Import_Export!$C505+D$77*Steel!$B119+D$78*Steel!$I119</f>
        <v>131.08656852118185</v>
      </c>
      <c r="E91" s="479">
        <v>365.75929967151899</v>
      </c>
      <c r="F91" s="347">
        <f ca="1">F$67*(GREET1_Import_Export!$K76+GREET1_Import_Export!$F$179*GREET1_Import_Export!$B190+GREET1_Import_Export!$F190)+F$68*(GREET1_Import_Export!$O76+GREET1_Import_Export!$G$179*GREET1_Import_Export!$B190+GREET1_Import_Export!$G190)+F$69*(GREET1_Import_Export!$T76+GREET1_Import_Export!$C$179*GREET1_Import_Export!$B190+GREET1_Import_Export!$C190)+F$70*(GREET1_Import_Export!$B76+GREET1_Import_Export!$B226)+F$71*(GREET1_Import_Export!$AA76+GREET1_Import_Export!$B294)+F$72*(GREET1_Import_Export!$X76+GREET1_Import_Export!$B$10*(GREET1_Import_Export!$F$215*GREET1_Import_Export!$B226+GREET1_Import_Export!$F226)+GREET1_Import_Export!$C$10*(GREET1_Import_Export!$E$179*GREET1_Import_Export!$B190+GREET1_Import_Export!$E190))+F$73*(GREET1_Import_Export!$B319+GREET1_Import_Export!$C319)+F$74*0.5*GREET1_Import_Export!$B536+F$75*GREET1_Import_Export!$C505+F$76*GREET1_Import_Export!$B$41*(GREET1_Import_Export!$I$179*GREET1_Import_Export!$B190+GREET1_Import_Export!$I190)/1000000+F$77*Steel!$B119+F$78*Steel!$I119</f>
        <v>56.053332224796343</v>
      </c>
      <c r="G91" s="478">
        <v>35.564012085509098</v>
      </c>
      <c r="H91" s="349">
        <f ca="1">H$67*(GREET1_Import_Export!$K76+GREET1_Import_Export!$F$179*GREET1_Import_Export!$B190+GREET1_Import_Export!$F190)+H$68*(GREET1_Import_Export!$O76+GREET1_Import_Export!$G$179*GREET1_Import_Export!$B190+GREET1_Import_Export!$G190)+H$69*(GREET1_Import_Export!$T76+GREET1_Import_Export!$C$179*GREET1_Import_Export!$B190+GREET1_Import_Export!$C190)+H$70*(GREET1_Import_Export!$B76+GREET1_Import_Export!$B226)+H$71*(GREET1_Import_Export!$AA76+GREET1_Import_Export!$B294)+H$72*(GREET1_Import_Export!$X76+GREET1_Import_Export!$B$10*(GREET1_Import_Export!$F$215*GREET1_Import_Export!$B226+GREET1_Import_Export!$F226)+GREET1_Import_Export!$C$10*(GREET1_Import_Export!$E$179*GREET1_Import_Export!$B190+GREET1_Import_Export!$E190))+H$73*$B27+H$74*0.5*GREET1_Import_Export!$B536+H$75*GREET1_Import_Export!$C505+H$77*Steel!$B119+H$78*Steel!$I119</f>
        <v>176.24081454597095</v>
      </c>
      <c r="I91" s="479">
        <v>879.98400000000004</v>
      </c>
      <c r="J91" s="347">
        <f ca="1">J$67*(GREET1_Import_Export!$K76+GREET1_Import_Export!$F$179*GREET1_Import_Export!$B190+GREET1_Import_Export!$F190)+J$68*(GREET1_Import_Export!$O76+GREET1_Import_Export!$G$179*GREET1_Import_Export!$B190+GREET1_Import_Export!$G190)+J$69*(GREET1_Import_Export!$T76+GREET1_Import_Export!$C$179*GREET1_Import_Export!$B190+GREET1_Import_Export!$C190)+J$70*(GREET1_Import_Export!$B76+GREET1_Import_Export!$B226)+J$71*(GREET1_Import_Export!$AA76+GREET1_Import_Export!$B294)+J$72*(GREET1_Import_Export!$X76+GREET1_Import_Export!$B$10*(GREET1_Import_Export!$F$215*GREET1_Import_Export!$B226+GREET1_Import_Export!$F226)+GREET1_Import_Export!$C$10*(GREET1_Import_Export!$E$179*GREET1_Import_Export!$B190+GREET1_Import_Export!$E190))+J$73*(GREET1_Import_Export!$B319+GREET1_Import_Export!$C319)+J$74*0.5*GREET1_Import_Export!$B536+J$75*GREET1_Import_Export!$C505+J$76*GREET1_Import_Export!$B$41*(GREET1_Import_Export!$I$179*GREET1_Import_Export!$B190+GREET1_Import_Export!$I190)/1000000+J$77*Steel!$B119+J$78*Steel!$I119</f>
        <v>6.5092416306063905</v>
      </c>
      <c r="K91" s="478">
        <v>12.752846743325099</v>
      </c>
      <c r="L91" s="349">
        <f ca="1">L$67*(GREET1_Import_Export!$K76+GREET1_Import_Export!$F$179*GREET1_Import_Export!$B190+GREET1_Import_Export!$F190)+L$68*(GREET1_Import_Export!$O76+GREET1_Import_Export!$G$179*GREET1_Import_Export!$B190+GREET1_Import_Export!$G190)+L$69*(GREET1_Import_Export!$T76+GREET1_Import_Export!$C$179*GREET1_Import_Export!$B190+GREET1_Import_Export!$C190)+L$70*(GREET1_Import_Export!$B76+GREET1_Import_Export!$B226)+L$71*(GREET1_Import_Export!$AA76+GREET1_Import_Export!$B294)+L$72*(GREET1_Import_Export!$X76+GREET1_Import_Export!$B$10*(GREET1_Import_Export!$F$215*GREET1_Import_Export!$B226+GREET1_Import_Export!$F226)+GREET1_Import_Export!$C$10*(GREET1_Import_Export!$E$179*GREET1_Import_Export!$B190+GREET1_Import_Export!$E190))+L$73*(GREET1_Import_Export!$B319+GREET1_Import_Export!$C319)+L$74*0.5*GREET1_Import_Export!$B536+L$75*GREET1_Import_Export!$C505+L$76*GREET1_Import_Export!$B$41*(GREET1_Import_Export!$I$179*GREET1_Import_Export!$B190+GREET1_Import_Export!$I190)/1000000+L$77*Steel!$B119+L$78*Steel!$I119</f>
        <v>5.5460455099505452</v>
      </c>
      <c r="M91" s="349"/>
      <c r="N91" s="347">
        <f ca="1">N$67*(GREET1_Import_Export!$K76+GREET1_Import_Export!$F$179*GREET1_Import_Export!$B190+GREET1_Import_Export!$F190)+N$68*(GREET1_Import_Export!$O76+GREET1_Import_Export!$G$179*GREET1_Import_Export!$B190+GREET1_Import_Export!$G190)+N$69*(GREET1_Import_Export!$T76+GREET1_Import_Export!$C$179*GREET1_Import_Export!$B190+GREET1_Import_Export!$C190)+N$70*(GREET1_Import_Export!$B76+GREET1_Import_Export!$B226)+N$71*(GREET1_Import_Export!$AA76+GREET1_Import_Export!$B294)+N$72*(GREET1_Import_Export!$X76+GREET1_Import_Export!$B$10*(GREET1_Import_Export!$F$215*GREET1_Import_Export!$B226+GREET1_Import_Export!$F226)+GREET1_Import_Export!$C$10*(GREET1_Import_Export!$E$179*GREET1_Import_Export!$B190+GREET1_Import_Export!$E190))+N$73*(GREET1_Import_Export!$B319+GREET1_Import_Export!$C319)+N$74*0.5*GREET1_Import_Export!$B536+N$75*GREET1_Import_Export!$C505+N$76*GREET1_Import_Export!$B$41*(GREET1_Import_Export!$I$179*GREET1_Import_Export!$B190+GREET1_Import_Export!$I190)/1000000+N$77*Steel!$B119+N$78*Steel!$I119+N$79*(SUM($B126:$E126)*$F$113+$F126)</f>
        <v>190.24365221981691</v>
      </c>
      <c r="O91" s="478">
        <v>113.880045576523</v>
      </c>
      <c r="P91" s="347">
        <f ca="1">P$67*(GREET1_Import_Export!$K76+GREET1_Import_Export!$F$179*GREET1_Import_Export!$B190+GREET1_Import_Export!$F190)+P$68*(GREET1_Import_Export!$O76+GREET1_Import_Export!$G$179*GREET1_Import_Export!$B190+GREET1_Import_Export!$G190)+P$69*(GREET1_Import_Export!$T76+GREET1_Import_Export!$C$179*GREET1_Import_Export!$B190+GREET1_Import_Export!$C190)+P$70*(GREET1_Import_Export!$B76+GREET1_Import_Export!$B226)+P$71*(GREET1_Import_Export!$AA76+GREET1_Import_Export!$B294)+P$72*(GREET1_Import_Export!$X76+GREET1_Import_Export!$B$10*(GREET1_Import_Export!$F$215*GREET1_Import_Export!$B226+GREET1_Import_Export!$F226)+GREET1_Import_Export!$C$10*(GREET1_Import_Export!$E$179*GREET1_Import_Export!$B190+GREET1_Import_Export!$E190))+P$73*(GREET1_Import_Export!$B319+GREET1_Import_Export!$C319)+P$74*0.5*GREET1_Import_Export!$B536+P$75*GREET1_Import_Export!$C505+P$77*Steel!$B119+P$78*Steel!$I119</f>
        <v>29.410848122741189</v>
      </c>
      <c r="Q91" s="348"/>
      <c r="R91" s="349">
        <f ca="1">R$67*(GREET1_Import_Export!$K76+GREET1_Import_Export!$F$179*GREET1_Import_Export!$B190+GREET1_Import_Export!$F190)+R$68*(GREET1_Import_Export!$O76+GREET1_Import_Export!$G$179*GREET1_Import_Export!$B190+GREET1_Import_Export!$G190)+R$69*(GREET1_Import_Export!$T76+GREET1_Import_Export!$C$179*GREET1_Import_Export!$B190+GREET1_Import_Export!$C190)+R$70*(GREET1_Import_Export!$B76+GREET1_Import_Export!$B226)+R$71*(GREET1_Import_Export!$AA76+GREET1_Import_Export!$B294)+R$72*(GREET1_Import_Export!$X76+GREET1_Import_Export!$B$10*(GREET1_Import_Export!$F$215*GREET1_Import_Export!$B226+GREET1_Import_Export!$F226)+GREET1_Import_Export!$C$10*(GREET1_Import_Export!$E$179*GREET1_Import_Export!$B190+GREET1_Import_Export!$E190))+R$73*(GREET1_Import_Export!$B319+GREET1_Import_Export!$C319)+R$74*0.5*GREET1_Import_Export!$B536+R$75*GREET1_Import_Export!$C505+R$77*Steel!$B119+R$78*Steel!$I119</f>
        <v>4.0036560169627808</v>
      </c>
      <c r="S91" s="348"/>
      <c r="T91" s="1321"/>
      <c r="U91" s="1321"/>
    </row>
    <row r="92" spans="1:21">
      <c r="A92" s="230" t="s">
        <v>826</v>
      </c>
      <c r="B92" s="347">
        <f ca="1">B$67*(B$44*GREET1_Import_Export!$K77+GREET1_Import_Export!$F$179*GREET1_Import_Export!$B191+GREET1_Import_Export!$F191)+B$68*(B$50*GREET1_Import_Export!$R77+B$51*GREET1_Import_Export!$C151+GREET1_Import_Export!$H$179*GREET1_Import_Export!$B191+GREET1_Import_Export!$H191)+B$69*(B$48*GREET1_Import_Export!$T77+B$49*GREET1_Import_Export!$C137+GREET1_Import_Export!$C$179*GREET1_Import_Export!$B191+GREET1_Import_Export!$C191)+B$70*(B$45*GREET1_Import_Export!$B77+B$46*GREET1_Import_Export!$C123+GREET1_Import_Export!$B227)+B$71*(B$47*GREET1_Import_Export!$AA77+GREET1_Import_Export!$B295)+B$72*(GREET1_Import_Export!$X77+GREET1_Import_Export!$B$10*(GREET1_Import_Export!$F$215*GREET1_Import_Export!$B227+GREET1_Import_Export!$F227)+GREET1_Import_Export!$C$10*(GREET1_Import_Export!$E$179*GREET1_Import_Export!$B191+GREET1_Import_Export!$E191))+B$73*(GREET1_Import_Export!$B320+GREET1_Import_Export!$C320)+B$74*0.5*GREET1_Import_Export!$B537+B$75*GREET1_Import_Export!$C506+B$77*Steel!$B120+B$78*Steel!$I120</f>
        <v>28.723131328310583</v>
      </c>
      <c r="C92" s="348"/>
      <c r="D92" s="349">
        <f ca="1">D$67*(GREET1_Import_Export!$K77+GREET1_Import_Export!$F$179*GREET1_Import_Export!$B191+GREET1_Import_Export!$F191)+D$68*(GREET1_Import_Export!$O77+GREET1_Import_Export!$G$179*GREET1_Import_Export!$B191+GREET1_Import_Export!$G191)+D$69*(GREET1_Import_Export!$T77+GREET1_Import_Export!$C$179*GREET1_Import_Export!$B191+GREET1_Import_Export!$C191)+D$70*(GREET1_Import_Export!$B77+GREET1_Import_Export!$B227)+D$71*(GREET1_Import_Export!$AA77+GREET1_Import_Export!$B295)+D$72*(GREET1_Import_Export!$X77+GREET1_Import_Export!$B$10*(GREET1_Import_Export!$F$215*GREET1_Import_Export!$B227+GREET1_Import_Export!$F227)+GREET1_Import_Export!$C$10*(GREET1_Import_Export!$E$179*GREET1_Import_Export!$B191+GREET1_Import_Export!$E191))+D$73*(GREET1_Import_Export!$B320+GREET1_Import_Export!$C320)+D$74*0.5*GREET1_Import_Export!$B537+D$75*GREET1_Import_Export!$C506+D$77*Steel!$B120+D$78*Steel!$I120</f>
        <v>976.55991858538403</v>
      </c>
      <c r="E92" s="479">
        <v>1465.61586624962</v>
      </c>
      <c r="F92" s="347">
        <f ca="1">F$67*(GREET1_Import_Export!$K77+GREET1_Import_Export!$F$179*GREET1_Import_Export!$B191+GREET1_Import_Export!$F191)+F$68*(GREET1_Import_Export!$O77+GREET1_Import_Export!$G$179*GREET1_Import_Export!$B191+GREET1_Import_Export!$G191)+F$69*(GREET1_Import_Export!$T77+GREET1_Import_Export!$C$179*GREET1_Import_Export!$B191+GREET1_Import_Export!$C191)+F$70*(GREET1_Import_Export!$B77+GREET1_Import_Export!$B227)+F$71*(GREET1_Import_Export!$AA77+GREET1_Import_Export!$B295)+F$72*(GREET1_Import_Export!$X77+GREET1_Import_Export!$B$10*(GREET1_Import_Export!$F$215*GREET1_Import_Export!$B227+GREET1_Import_Export!$F227)+GREET1_Import_Export!$C$10*(GREET1_Import_Export!$E$179*GREET1_Import_Export!$B191+GREET1_Import_Export!$E191))+F$73*(GREET1_Import_Export!$B320+GREET1_Import_Export!$C320)+F$74*0.5*GREET1_Import_Export!$B537+F$75*GREET1_Import_Export!$C506+F$76*GREET1_Import_Export!$B$41*(GREET1_Import_Export!$I$179*GREET1_Import_Export!$B191+GREET1_Import_Export!$I191)/1000000+F$77*Steel!$B120+F$78*Steel!$I120</f>
        <v>389.62413753387926</v>
      </c>
      <c r="G92" s="478">
        <v>829.74927334021504</v>
      </c>
      <c r="H92" s="349">
        <f ca="1">H$67*(GREET1_Import_Export!$K77+GREET1_Import_Export!$F$176*GREET1_Import_Export!$B188+GREET1_Import_Export!$F188)+H$68*(GREET1_Import_Export!$O77+GREET1_Import_Export!$G$176*GREET1_Import_Export!$B188+GREET1_Import_Export!$G188)+H$69*(GREET1_Import_Export!$T77+GREET1_Import_Export!$C$176*GREET1_Import_Export!$B188+GREET1_Import_Export!$C188)+H$70*(GREET1_Import_Export!$B77+GREET1_Import_Export!$B226)+H$71*(GREET1_Import_Export!$AA77+GREET1_Import_Export!$B292)+H$72*(GREET1_Import_Export!$X77+GREET1_Import_Export!$B$10*(GREET1_Import_Export!$F$212*GREET1_Import_Export!$B226+GREET1_Import_Export!$F226)+GREET1_Import_Export!$C$10*(GREET1_Import_Export!$E$176*GREET1_Import_Export!$B188+GREET1_Import_Export!$E188))+H$73*$B28+H$74*0.5*GREET1_Import_Export!$B534+H$75*GREET1_Import_Export!$C503+H$77*Steel!$B120+H$78*Steel!$I120</f>
        <v>2035.8021199193697</v>
      </c>
      <c r="I92" s="479">
        <v>13862.016</v>
      </c>
      <c r="J92" s="347">
        <f ca="1">J$67*(GREET1_Import_Export!$K77+GREET1_Import_Export!$F$179*GREET1_Import_Export!$B191+GREET1_Import_Export!$F191)+J$68*(GREET1_Import_Export!$O77+GREET1_Import_Export!$G$179*GREET1_Import_Export!$B191+GREET1_Import_Export!$G191)+J$69*(GREET1_Import_Export!$T77+GREET1_Import_Export!$C$179*GREET1_Import_Export!$B191+GREET1_Import_Export!$C191)+J$70*(GREET1_Import_Export!$B77+GREET1_Import_Export!$B227)+J$71*(GREET1_Import_Export!$AA77+GREET1_Import_Export!$B295)+J$72*(GREET1_Import_Export!$X77+GREET1_Import_Export!$B$10*(GREET1_Import_Export!$F$215*GREET1_Import_Export!$B227+GREET1_Import_Export!$F227)+GREET1_Import_Export!$C$10*(GREET1_Import_Export!$E$179*GREET1_Import_Export!$B191+GREET1_Import_Export!$E191))+J$73*(GREET1_Import_Export!$B320+GREET1_Import_Export!$C320)+J$74*0.5*GREET1_Import_Export!$B537+J$75*GREET1_Import_Export!$C506+J$76*GREET1_Import_Export!$B$41*(GREET1_Import_Export!$I$179*GREET1_Import_Export!$B191+GREET1_Import_Export!$I191)/1000000+J$77*Steel!$B120+J$78*Steel!$I120</f>
        <v>34.105178370978635</v>
      </c>
      <c r="K92" s="478">
        <v>27.423201466832602</v>
      </c>
      <c r="L92" s="349">
        <f ca="1">L$67*(GREET1_Import_Export!$K77+GREET1_Import_Export!$F$179*GREET1_Import_Export!$B191+GREET1_Import_Export!$F191)+L$68*(GREET1_Import_Export!$O77+GREET1_Import_Export!$G$179*GREET1_Import_Export!$B191+GREET1_Import_Export!$G191)+L$69*(GREET1_Import_Export!$T77+GREET1_Import_Export!$C$179*GREET1_Import_Export!$B191+GREET1_Import_Export!$C191)+L$70*(GREET1_Import_Export!$B77+GREET1_Import_Export!$B227)+L$71*(GREET1_Import_Export!$AA77+GREET1_Import_Export!$B295)+L$72*(GREET1_Import_Export!$X77+GREET1_Import_Export!$B$10*(GREET1_Import_Export!$F$215*GREET1_Import_Export!$B227+GREET1_Import_Export!$F227)+GREET1_Import_Export!$C$10*(GREET1_Import_Export!$E$179*GREET1_Import_Export!$B191+GREET1_Import_Export!$E191))+L$73*(GREET1_Import_Export!$B320+GREET1_Import_Export!$C320)+L$74*0.5*GREET1_Import_Export!$B537+L$75*GREET1_Import_Export!$C506+L$76*GREET1_Import_Export!$B$41*(GREET1_Import_Export!$I$179*GREET1_Import_Export!$B191+GREET1_Import_Export!$I191)/1000000+L$77*Steel!$B120+L$78*Steel!$I120</f>
        <v>30.957799244709321</v>
      </c>
      <c r="M92" s="349"/>
      <c r="N92" s="347">
        <f ca="1">N$67*(GREET1_Import_Export!$K77+GREET1_Import_Export!$F$179*GREET1_Import_Export!$B191+GREET1_Import_Export!$F191)+N$68*(GREET1_Import_Export!$O77+GREET1_Import_Export!$G$179*GREET1_Import_Export!$B191+GREET1_Import_Export!$G191)+N$69*(GREET1_Import_Export!$T77+GREET1_Import_Export!$C$179*GREET1_Import_Export!$B191+GREET1_Import_Export!$C191)+N$70*(GREET1_Import_Export!$B77+GREET1_Import_Export!$B227)+N$71*(GREET1_Import_Export!$AA77+GREET1_Import_Export!$B295)+N$72*(GREET1_Import_Export!$X77+GREET1_Import_Export!$B$10*(GREET1_Import_Export!$F$215*GREET1_Import_Export!$B227+GREET1_Import_Export!$F227)+GREET1_Import_Export!$C$10*(GREET1_Import_Export!$E$179*GREET1_Import_Export!$B191+GREET1_Import_Export!$E191))+N$73*(GREET1_Import_Export!$B320+GREET1_Import_Export!$C320)+N$74*0.5*GREET1_Import_Export!$B537+N$75*GREET1_Import_Export!$C506+N$76*GREET1_Import_Export!$B$41*(GREET1_Import_Export!$I$179*GREET1_Import_Export!$B191+GREET1_Import_Export!$I191)/1000000+N$77*Steel!$B120+N$78*Steel!$I120+N$79*(SUM($B127:$E127)*$F$113+$F127)</f>
        <v>1672.3569294976448</v>
      </c>
      <c r="O92" s="478">
        <v>20.458070685852899</v>
      </c>
      <c r="P92" s="347">
        <f ca="1">P$67*(GREET1_Import_Export!$K77+GREET1_Import_Export!$F$179*GREET1_Import_Export!$B191+GREET1_Import_Export!$F191)+P$68*(GREET1_Import_Export!$O77+GREET1_Import_Export!$G$179*GREET1_Import_Export!$B191+GREET1_Import_Export!$G191)+P$69*(GREET1_Import_Export!$T77+GREET1_Import_Export!$C$179*GREET1_Import_Export!$B191+GREET1_Import_Export!$C191)+P$70*(GREET1_Import_Export!$B77+GREET1_Import_Export!$B227)+P$71*(GREET1_Import_Export!$AA77+GREET1_Import_Export!$B295)+P$72*(GREET1_Import_Export!$X77+GREET1_Import_Export!$B$10*(GREET1_Import_Export!$F$215*GREET1_Import_Export!$B227+GREET1_Import_Export!$F227)+GREET1_Import_Export!$C$10*(GREET1_Import_Export!$E$179*GREET1_Import_Export!$B191+GREET1_Import_Export!$E191))+P$73*(GREET1_Import_Export!$B320+GREET1_Import_Export!$C320)+P$74*0.5*GREET1_Import_Export!$B537+P$75*GREET1_Import_Export!$C506+P$77*Steel!$B120+P$78*Steel!$I120</f>
        <v>86.051588474875132</v>
      </c>
      <c r="Q92" s="348"/>
      <c r="R92" s="349">
        <f ca="1">R$67*(GREET1_Import_Export!$K77+GREET1_Import_Export!$F$179*GREET1_Import_Export!$B191+GREET1_Import_Export!$F191)+R$68*(GREET1_Import_Export!$O77+GREET1_Import_Export!$G$179*GREET1_Import_Export!$B191+GREET1_Import_Export!$G191)+R$69*(GREET1_Import_Export!$T77+GREET1_Import_Export!$C$179*GREET1_Import_Export!$B191+GREET1_Import_Export!$C191)+R$70*(GREET1_Import_Export!$B77+GREET1_Import_Export!$B227)+R$71*(GREET1_Import_Export!$AA77+GREET1_Import_Export!$B295)+R$72*(GREET1_Import_Export!$X77+GREET1_Import_Export!$B$10*(GREET1_Import_Export!$F$215*GREET1_Import_Export!$B227+GREET1_Import_Export!$F227)+GREET1_Import_Export!$C$10*(GREET1_Import_Export!$E$179*GREET1_Import_Export!$B191+GREET1_Import_Export!$E191))+R$73*(GREET1_Import_Export!$B320+GREET1_Import_Export!$C320)+R$74*0.5*GREET1_Import_Export!$B537+R$75*GREET1_Import_Export!$C506+R$77*Steel!$B120+R$78*Steel!$I120</f>
        <v>34.984490558473404</v>
      </c>
      <c r="S92" s="348"/>
      <c r="T92" s="1321"/>
      <c r="U92" s="1321"/>
    </row>
    <row r="93" spans="1:21">
      <c r="A93" s="661" t="s">
        <v>827</v>
      </c>
      <c r="B93" s="347">
        <f ca="1">B$67*(B$44*GREET1_Import_Export!$K78+GREET1_Import_Export!$F$179*GREET1_Import_Export!$B192+GREET1_Import_Export!$F192)+B$68*(B$50*GREET1_Import_Export!$R78+B$51*GREET1_Import_Export!$C152+GREET1_Import_Export!$H$179*GREET1_Import_Export!$B192+GREET1_Import_Export!$H192)+B$69*(B$48*GREET1_Import_Export!$T78+B$49*GREET1_Import_Export!$C138+GREET1_Import_Export!$C$179*GREET1_Import_Export!$B192+GREET1_Import_Export!$C192)+B$70*(B$45*GREET1_Import_Export!$B78+B$46*GREET1_Import_Export!$C124+GREET1_Import_Export!$B228)+B$71*(B$47*GREET1_Import_Export!$AA78+GREET1_Import_Export!$B296)+B$72*(GREET1_Import_Export!$X78+GREET1_Import_Export!$B$10*(GREET1_Import_Export!$F$215*GREET1_Import_Export!$B228+GREET1_Import_Export!$F228)+GREET1_Import_Export!$C$10*(GREET1_Import_Export!$E$179*GREET1_Import_Export!$B192+GREET1_Import_Export!$E192))+B$73*(GREET1_Import_Export!$B321+GREET1_Import_Export!$C321)+B$74*0.5*GREET1_Import_Export!$B538+B$75*GREET1_Import_Export!$C507+B$77*Steel!$B121+B$78*Steel!$I121</f>
        <v>2.7292685548287601</v>
      </c>
      <c r="C93" s="348"/>
      <c r="D93" s="349">
        <f ca="1">D$67*(GREET1_Import_Export!$K78+GREET1_Import_Export!$F$179*GREET1_Import_Export!$B192+GREET1_Import_Export!$F192)+D$68*(GREET1_Import_Export!$O78+GREET1_Import_Export!$G$179*GREET1_Import_Export!$B192+GREET1_Import_Export!$G192)+D$69*(GREET1_Import_Export!$T78+GREET1_Import_Export!$C$179*GREET1_Import_Export!$B192+GREET1_Import_Export!$C192)+D$70*(GREET1_Import_Export!$B78+GREET1_Import_Export!$B228)+D$71*(GREET1_Import_Export!$AA78+GREET1_Import_Export!$B296)+D$72*(GREET1_Import_Export!$X78+GREET1_Import_Export!$B$10*(GREET1_Import_Export!$F$215*GREET1_Import_Export!$B228+GREET1_Import_Export!$F228)+GREET1_Import_Export!$C$10*(GREET1_Import_Export!$E$179*GREET1_Import_Export!$B192+GREET1_Import_Export!$E192))+D$73*(GREET1_Import_Export!$B321+GREET1_Import_Export!$C321)+D$74*0.5*GREET1_Import_Export!$B538+D$75*GREET1_Import_Export!$C507+D$77*Steel!$B121+D$78*Steel!$I121</f>
        <v>14.892837178972826</v>
      </c>
      <c r="E93" s="349"/>
      <c r="F93" s="347">
        <f ca="1">F$67*(GREET1_Import_Export!$K78+GREET1_Import_Export!$F$179*GREET1_Import_Export!$B192+GREET1_Import_Export!$F192)+F$68*(GREET1_Import_Export!$O78+GREET1_Import_Export!$G$179*GREET1_Import_Export!$B192+GREET1_Import_Export!$G192)+F$69*(GREET1_Import_Export!$T78+GREET1_Import_Export!$C$179*GREET1_Import_Export!$B192+GREET1_Import_Export!$C192)+F$70*(GREET1_Import_Export!$B78+GREET1_Import_Export!$B228)+F$71*(GREET1_Import_Export!$AA78+GREET1_Import_Export!$B296)+F$72*(GREET1_Import_Export!$X78+GREET1_Import_Export!$B$10*(GREET1_Import_Export!$F$215*GREET1_Import_Export!$B228+GREET1_Import_Export!$F228)+GREET1_Import_Export!$C$10*(GREET1_Import_Export!$E$179*GREET1_Import_Export!$B192+GREET1_Import_Export!$E192))+F$73*(GREET1_Import_Export!$B321+GREET1_Import_Export!$C321)+F$74*0.5*GREET1_Import_Export!$B538+F$75*GREET1_Import_Export!$C507+F$76*GREET1_Import_Export!$B$41*(GREET1_Import_Export!$I$179*GREET1_Import_Export!$B192+GREET1_Import_Export!$I192)/1000000+F$77*Steel!$B121+F$78*Steel!$I121</f>
        <v>4.2882765406328112</v>
      </c>
      <c r="G93" s="478"/>
      <c r="H93" s="349">
        <f ca="1">H$67*(GREET1_Import_Export!$K78+GREET1_Import_Export!$F$179*GREET1_Import_Export!$B192+GREET1_Import_Export!$F192)+H$68*(GREET1_Import_Export!$O78+GREET1_Import_Export!$G$179*GREET1_Import_Export!$B192+GREET1_Import_Export!$G192)+H$69*(GREET1_Import_Export!$T78+GREET1_Import_Export!$C$179*GREET1_Import_Export!$B192+GREET1_Import_Export!$C192)+H$70*(GREET1_Import_Export!$B78+GREET1_Import_Export!$B228)+H$71*(GREET1_Import_Export!$AA78+GREET1_Import_Export!$B296)+H$72*(GREET1_Import_Export!$X78+GREET1_Import_Export!$B$10*(GREET1_Import_Export!$F$215*GREET1_Import_Export!$B228+GREET1_Import_Export!$F228)+GREET1_Import_Export!$C$10*(GREET1_Import_Export!$E$179*GREET1_Import_Export!$B192+GREET1_Import_Export!$E192))+H$73*$B29+H$74*0.5*GREET1_Import_Export!$B538+H$75*GREET1_Import_Export!$C507+H$77*Steel!$B121+H$78*Steel!$I121</f>
        <v>7.6559930131095699</v>
      </c>
      <c r="I93" s="479"/>
      <c r="J93" s="347">
        <f ca="1">J$67*(GREET1_Import_Export!$K78+GREET1_Import_Export!$F$179*GREET1_Import_Export!$B192+GREET1_Import_Export!$F192)+J$68*(GREET1_Import_Export!$O78+GREET1_Import_Export!$G$179*GREET1_Import_Export!$B192+GREET1_Import_Export!$G192)+J$69*(GREET1_Import_Export!$T78+GREET1_Import_Export!$C$179*GREET1_Import_Export!$B192+GREET1_Import_Export!$C192)+J$70*(GREET1_Import_Export!$B78+GREET1_Import_Export!$B228)+J$71*(GREET1_Import_Export!$AA78+GREET1_Import_Export!$B296)+J$72*(GREET1_Import_Export!$X78+GREET1_Import_Export!$B$10*(GREET1_Import_Export!$F$215*GREET1_Import_Export!$B228+GREET1_Import_Export!$F228)+GREET1_Import_Export!$C$10*(GREET1_Import_Export!$E$179*GREET1_Import_Export!$B192+GREET1_Import_Export!$E192))+J$73*(GREET1_Import_Export!$B321+GREET1_Import_Export!$C321)+J$74*0.5*GREET1_Import_Export!$B538+J$75*GREET1_Import_Export!$C507+J$76*GREET1_Import_Export!$B$41*(GREET1_Import_Export!$I$179*GREET1_Import_Export!$B192+GREET1_Import_Export!$I192)/1000000+J$77*Steel!$B121+J$78*Steel!$I121</f>
        <v>1.196274660678099</v>
      </c>
      <c r="K93" s="348"/>
      <c r="L93" s="349">
        <f ca="1">L$67*(GREET1_Import_Export!$K78+GREET1_Import_Export!$F$179*GREET1_Import_Export!$B192+GREET1_Import_Export!$F192)+L$68*(GREET1_Import_Export!$O78+GREET1_Import_Export!$G$179*GREET1_Import_Export!$B192+GREET1_Import_Export!$G192)+L$69*(GREET1_Import_Export!$T78+GREET1_Import_Export!$C$179*GREET1_Import_Export!$B192+GREET1_Import_Export!$C192)+L$70*(GREET1_Import_Export!$B78+GREET1_Import_Export!$B228)+L$71*(GREET1_Import_Export!$AA78+GREET1_Import_Export!$B296)+L$72*(GREET1_Import_Export!$X78+GREET1_Import_Export!$B$10*(GREET1_Import_Export!$F$215*GREET1_Import_Export!$B228+GREET1_Import_Export!$F228)+GREET1_Import_Export!$C$10*(GREET1_Import_Export!$E$179*GREET1_Import_Export!$B192+GREET1_Import_Export!$E192))+L$73*(GREET1_Import_Export!$B321+GREET1_Import_Export!$C321)+L$74*0.5*GREET1_Import_Export!$B538+L$75*GREET1_Import_Export!$C507+L$76*GREET1_Import_Export!$B$41*(GREET1_Import_Export!$I$179*GREET1_Import_Export!$B192+GREET1_Import_Export!$I192)/1000000+L$77*Steel!$B121+L$78*Steel!$I121</f>
        <v>0.66942724126412367</v>
      </c>
      <c r="M93" s="349"/>
      <c r="N93" s="347">
        <f ca="1">N$67*(GREET1_Import_Export!$K78+GREET1_Import_Export!$F$179*GREET1_Import_Export!$B192+GREET1_Import_Export!$F192)+N$68*(GREET1_Import_Export!$O78+GREET1_Import_Export!$G$179*GREET1_Import_Export!$B192+GREET1_Import_Export!$G192)+N$69*(GREET1_Import_Export!$T78+GREET1_Import_Export!$C$179*GREET1_Import_Export!$B192+GREET1_Import_Export!$C192)+N$70*(GREET1_Import_Export!$B78+GREET1_Import_Export!$B228)+N$71*(GREET1_Import_Export!$AA78+GREET1_Import_Export!$B296)+N$72*(GREET1_Import_Export!$X78+GREET1_Import_Export!$B$10*(GREET1_Import_Export!$F$215*GREET1_Import_Export!$B228+GREET1_Import_Export!$F228)+GREET1_Import_Export!$C$10*(GREET1_Import_Export!$E$179*GREET1_Import_Export!$B192+GREET1_Import_Export!$E192))+N$73*(GREET1_Import_Export!$B321+GREET1_Import_Export!$C321)+N$74*0.5*GREET1_Import_Export!$B538+N$75*GREET1_Import_Export!$C507+N$76*GREET1_Import_Export!$B$41*(GREET1_Import_Export!$I$179*GREET1_Import_Export!$B192+GREET1_Import_Export!$I192)/1000000+N$77*Steel!$B121+N$78*Steel!$I121+N$79*(SUM($B128:$E128)*$F$113+$F128)</f>
        <v>5.4858131425664496</v>
      </c>
      <c r="O93" s="478"/>
      <c r="P93" s="347">
        <f ca="1">P$67*(GREET1_Import_Export!$K78+GREET1_Import_Export!$F$179*GREET1_Import_Export!$B192+GREET1_Import_Export!$F192)+P$68*(GREET1_Import_Export!$O78+GREET1_Import_Export!$G$179*GREET1_Import_Export!$B192+GREET1_Import_Export!$G192)+P$69*(GREET1_Import_Export!$T78+GREET1_Import_Export!$C$179*GREET1_Import_Export!$B192+GREET1_Import_Export!$C192)+P$70*(GREET1_Import_Export!$B78+GREET1_Import_Export!$B228)+P$71*(GREET1_Import_Export!$AA78+GREET1_Import_Export!$B296)+P$72*(GREET1_Import_Export!$X78+GREET1_Import_Export!$B$10*(GREET1_Import_Export!$F$215*GREET1_Import_Export!$B228+GREET1_Import_Export!$F228)+GREET1_Import_Export!$C$10*(GREET1_Import_Export!$E$179*GREET1_Import_Export!$B192+GREET1_Import_Export!$E192))+P$73*(GREET1_Import_Export!$B321+GREET1_Import_Export!$C321)+P$74*0.5*GREET1_Import_Export!$B538+P$75*GREET1_Import_Export!$C507+P$77*Steel!$B121+P$78*Steel!$I121</f>
        <v>5.130904590632464</v>
      </c>
      <c r="Q93" s="348"/>
      <c r="R93" s="349">
        <f ca="1">R$67*(GREET1_Import_Export!$K78+GREET1_Import_Export!$F$179*GREET1_Import_Export!$B192+GREET1_Import_Export!$F192)+R$68*(GREET1_Import_Export!$O78+GREET1_Import_Export!$G$179*GREET1_Import_Export!$B192+GREET1_Import_Export!$G192)+R$69*(GREET1_Import_Export!$T78+GREET1_Import_Export!$C$179*GREET1_Import_Export!$B192+GREET1_Import_Export!$C192)+R$70*(GREET1_Import_Export!$B78+GREET1_Import_Export!$B228)+R$71*(GREET1_Import_Export!$AA78+GREET1_Import_Export!$B296)+R$72*(GREET1_Import_Export!$X78+GREET1_Import_Export!$B$10*(GREET1_Import_Export!$F$215*GREET1_Import_Export!$B228+GREET1_Import_Export!$F228)+GREET1_Import_Export!$C$10*(GREET1_Import_Export!$E$179*GREET1_Import_Export!$B192+GREET1_Import_Export!$E192))+R$73*(GREET1_Import_Export!$B321+GREET1_Import_Export!$C321)+R$74*0.5*GREET1_Import_Export!$B538+R$75*GREET1_Import_Export!$C507+R$77*Steel!$B121+R$78*Steel!$I121</f>
        <v>0.24428145805531498</v>
      </c>
      <c r="S93" s="348"/>
      <c r="T93" s="1321"/>
      <c r="U93" s="1321"/>
    </row>
    <row r="94" spans="1:21">
      <c r="A94" s="661" t="s">
        <v>828</v>
      </c>
      <c r="B94" s="347">
        <f ca="1">B$67*(B$44*GREET1_Import_Export!$K79+GREET1_Import_Export!$F$179*GREET1_Import_Export!$B193+GREET1_Import_Export!$F193)+B$68*(B$50*GREET1_Import_Export!$R79+B$51*GREET1_Import_Export!$C153+GREET1_Import_Export!$H$179*GREET1_Import_Export!$B193+GREET1_Import_Export!$H193)+B$69*(B$48*GREET1_Import_Export!$T79+B$49*GREET1_Import_Export!$C139+GREET1_Import_Export!$C$179*GREET1_Import_Export!$B193+GREET1_Import_Export!$C193)+B$70*(B$45*GREET1_Import_Export!$B79+B$46*GREET1_Import_Export!$C125+GREET1_Import_Export!$B229)+B$71*(B$47*GREET1_Import_Export!$AA79+GREET1_Import_Export!$B297)+B$72*(GREET1_Import_Export!$X79+GREET1_Import_Export!$B$10*(GREET1_Import_Export!$F$215*GREET1_Import_Export!$B229+GREET1_Import_Export!$F229)+GREET1_Import_Export!$C$10*(GREET1_Import_Export!$E$179*GREET1_Import_Export!$B193+GREET1_Import_Export!$E193))+B$73*(GREET1_Import_Export!$B322+GREET1_Import_Export!$C322)+B$74*0.5*GREET1_Import_Export!$B539+B$75*GREET1_Import_Export!$C508+B$77*Steel!$B122+B$78*Steel!$I122</f>
        <v>1.0165803940101168</v>
      </c>
      <c r="C94" s="348"/>
      <c r="D94" s="349">
        <f ca="1">D$67*(GREET1_Import_Export!$K79+GREET1_Import_Export!$F$179*GREET1_Import_Export!$B193+GREET1_Import_Export!$F193)+D$68*(GREET1_Import_Export!$O79+GREET1_Import_Export!$G$179*GREET1_Import_Export!$B193+GREET1_Import_Export!$G193)+D$69*(GREET1_Import_Export!$T79+GREET1_Import_Export!$C$179*GREET1_Import_Export!$B193+GREET1_Import_Export!$C193)+D$70*(GREET1_Import_Export!$B79+GREET1_Import_Export!$B229)+D$71*(GREET1_Import_Export!$AA79+GREET1_Import_Export!$B297)+D$72*(GREET1_Import_Export!$X79+GREET1_Import_Export!$B$10*(GREET1_Import_Export!$F$215*GREET1_Import_Export!$B229+GREET1_Import_Export!$F229)+GREET1_Import_Export!$C$10*(GREET1_Import_Export!$E$179*GREET1_Import_Export!$B193+GREET1_Import_Export!$E193))+D$73*(GREET1_Import_Export!$B322+GREET1_Import_Export!$C322)+D$74*0.5*GREET1_Import_Export!$B539+D$75*GREET1_Import_Export!$C508+D$77*Steel!$B122+D$78*Steel!$I122</f>
        <v>32.30659246092479</v>
      </c>
      <c r="E94" s="349"/>
      <c r="F94" s="347">
        <f ca="1">F$67*(GREET1_Import_Export!$K79+GREET1_Import_Export!$F$179*GREET1_Import_Export!$B193+GREET1_Import_Export!$F193)+F$68*(GREET1_Import_Export!$O79+GREET1_Import_Export!$G$179*GREET1_Import_Export!$B193+GREET1_Import_Export!$G193)+F$69*(GREET1_Import_Export!$T79+GREET1_Import_Export!$C$179*GREET1_Import_Export!$B193+GREET1_Import_Export!$C193)+F$70*(GREET1_Import_Export!$B79+GREET1_Import_Export!$B229)+F$71*(GREET1_Import_Export!$AA79+GREET1_Import_Export!$B297)+F$72*(GREET1_Import_Export!$X79+GREET1_Import_Export!$B$10*(GREET1_Import_Export!$F$215*GREET1_Import_Export!$B229+GREET1_Import_Export!$F229)+GREET1_Import_Export!$C$10*(GREET1_Import_Export!$E$179*GREET1_Import_Export!$B193+GREET1_Import_Export!$E193))+F$73*(GREET1_Import_Export!$B322+GREET1_Import_Export!$C322)+F$74*0.5*GREET1_Import_Export!$B539+F$75*GREET1_Import_Export!$C508+F$76*GREET1_Import_Export!$B$41*(GREET1_Import_Export!$I$179*GREET1_Import_Export!$B193+GREET1_Import_Export!$I193)/1000000+F$77*Steel!$B122+F$78*Steel!$I122</f>
        <v>4.9868867959751206</v>
      </c>
      <c r="G94" s="478"/>
      <c r="H94" s="349">
        <f ca="1">H$67*(GREET1_Import_Export!$K79+GREET1_Import_Export!$F$179*GREET1_Import_Export!$B193+GREET1_Import_Export!$F193)+H$68*(GREET1_Import_Export!$O79+GREET1_Import_Export!$G$179*GREET1_Import_Export!$B193+GREET1_Import_Export!$G193)+H$69*(GREET1_Import_Export!$T79+GREET1_Import_Export!$C$179*GREET1_Import_Export!$B193+GREET1_Import_Export!$C193)+H$70*(GREET1_Import_Export!$B79+GREET1_Import_Export!$B229)+H$71*(GREET1_Import_Export!$AA79+GREET1_Import_Export!$B297)+H$72*(GREET1_Import_Export!$X79+GREET1_Import_Export!$B$10*(GREET1_Import_Export!$F$215*GREET1_Import_Export!$B229+GREET1_Import_Export!$F229)+GREET1_Import_Export!$C$10*(GREET1_Import_Export!$E$179*GREET1_Import_Export!$B193+GREET1_Import_Export!$E193))+H$73*$B30+H$74*0.5*GREET1_Import_Export!$B539+H$75*GREET1_Import_Export!$C508+H$77*Steel!$B122+H$78*Steel!$I122</f>
        <v>20.564933592249279</v>
      </c>
      <c r="I94" s="479"/>
      <c r="J94" s="347">
        <f ca="1">J$67*(GREET1_Import_Export!$K79+GREET1_Import_Export!$F$179*GREET1_Import_Export!$B193+GREET1_Import_Export!$F193)+J$68*(GREET1_Import_Export!$O79+GREET1_Import_Export!$G$179*GREET1_Import_Export!$B193+GREET1_Import_Export!$G193)+J$69*(GREET1_Import_Export!$T79+GREET1_Import_Export!$C$179*GREET1_Import_Export!$B193+GREET1_Import_Export!$C193)+J$70*(GREET1_Import_Export!$B79+GREET1_Import_Export!$B229)+J$71*(GREET1_Import_Export!$AA79+GREET1_Import_Export!$B297)+J$72*(GREET1_Import_Export!$X79+GREET1_Import_Export!$B$10*(GREET1_Import_Export!$F$215*GREET1_Import_Export!$B229+GREET1_Import_Export!$F229)+GREET1_Import_Export!$C$10*(GREET1_Import_Export!$E$179*GREET1_Import_Export!$B193+GREET1_Import_Export!$E193))+J$73*(GREET1_Import_Export!$B322+GREET1_Import_Export!$C322)+J$74*0.5*GREET1_Import_Export!$B539+J$75*GREET1_Import_Export!$C508+J$76*GREET1_Import_Export!$B$41*(GREET1_Import_Export!$I$179*GREET1_Import_Export!$B193+GREET1_Import_Export!$I193)/1000000+J$77*Steel!$B122+J$78*Steel!$I122</f>
        <v>1.7733453161102681</v>
      </c>
      <c r="K94" s="348"/>
      <c r="L94" s="349">
        <f ca="1">L$67*(GREET1_Import_Export!$K79+GREET1_Import_Export!$F$179*GREET1_Import_Export!$B193+GREET1_Import_Export!$F193)+L$68*(GREET1_Import_Export!$O79+GREET1_Import_Export!$G$179*GREET1_Import_Export!$B193+GREET1_Import_Export!$G193)+L$69*(GREET1_Import_Export!$T79+GREET1_Import_Export!$C$179*GREET1_Import_Export!$B193+GREET1_Import_Export!$C193)+L$70*(GREET1_Import_Export!$B79+GREET1_Import_Export!$B229)+L$71*(GREET1_Import_Export!$AA79+GREET1_Import_Export!$B297)+L$72*(GREET1_Import_Export!$X79+GREET1_Import_Export!$B$10*(GREET1_Import_Export!$F$215*GREET1_Import_Export!$B229+GREET1_Import_Export!$F229)+GREET1_Import_Export!$C$10*(GREET1_Import_Export!$E$179*GREET1_Import_Export!$B193+GREET1_Import_Export!$E193))+L$73*(GREET1_Import_Export!$B322+GREET1_Import_Export!$C322)+L$74*0.5*GREET1_Import_Export!$B539+L$75*GREET1_Import_Export!$C508+L$76*GREET1_Import_Export!$B$41*(GREET1_Import_Export!$I$179*GREET1_Import_Export!$B193+GREET1_Import_Export!$I193)/1000000+L$77*Steel!$B122+L$78*Steel!$I122</f>
        <v>1.9845025422616864</v>
      </c>
      <c r="M94" s="349"/>
      <c r="N94" s="347">
        <f ca="1">N$67*(GREET1_Import_Export!$K79+GREET1_Import_Export!$F$179*GREET1_Import_Export!$B193+GREET1_Import_Export!$F193)+N$68*(GREET1_Import_Export!$O79+GREET1_Import_Export!$G$179*GREET1_Import_Export!$B193+GREET1_Import_Export!$G193)+N$69*(GREET1_Import_Export!$T79+GREET1_Import_Export!$C$179*GREET1_Import_Export!$B193+GREET1_Import_Export!$C193)+N$70*(GREET1_Import_Export!$B79+GREET1_Import_Export!$B229)+N$71*(GREET1_Import_Export!$AA79+GREET1_Import_Export!$B297)+N$72*(GREET1_Import_Export!$X79+GREET1_Import_Export!$B$10*(GREET1_Import_Export!$F$215*GREET1_Import_Export!$B229+GREET1_Import_Export!$F229)+GREET1_Import_Export!$C$10*(GREET1_Import_Export!$E$179*GREET1_Import_Export!$B193+GREET1_Import_Export!$E193))+N$73*(GREET1_Import_Export!$B322+GREET1_Import_Export!$C322)+N$74*0.5*GREET1_Import_Export!$B539+N$75*GREET1_Import_Export!$C508+N$76*GREET1_Import_Export!$B$41*(GREET1_Import_Export!$I$179*GREET1_Import_Export!$B193+GREET1_Import_Export!$I193)/1000000+N$77*Steel!$B122+N$78*Steel!$I122+N$79*(SUM($B129:$E129)*$F$113+$F129)</f>
        <v>12.517142994098787</v>
      </c>
      <c r="O94" s="478"/>
      <c r="P94" s="347">
        <f ca="1">P$67*(GREET1_Import_Export!$K79+GREET1_Import_Export!$F$179*GREET1_Import_Export!$B193+GREET1_Import_Export!$F193)+P$68*(GREET1_Import_Export!$O79+GREET1_Import_Export!$G$179*GREET1_Import_Export!$B193+GREET1_Import_Export!$G193)+P$69*(GREET1_Import_Export!$T79+GREET1_Import_Export!$C$179*GREET1_Import_Export!$B193+GREET1_Import_Export!$C193)+P$70*(GREET1_Import_Export!$B79+GREET1_Import_Export!$B229)+P$71*(GREET1_Import_Export!$AA79+GREET1_Import_Export!$B297)+P$72*(GREET1_Import_Export!$X79+GREET1_Import_Export!$B$10*(GREET1_Import_Export!$F$215*GREET1_Import_Export!$B229+GREET1_Import_Export!$F229)+GREET1_Import_Export!$C$10*(GREET1_Import_Export!$E$179*GREET1_Import_Export!$B193+GREET1_Import_Export!$E193))+P$73*(GREET1_Import_Export!$B322+GREET1_Import_Export!$C322)+P$74*0.5*GREET1_Import_Export!$B539+P$75*GREET1_Import_Export!$C508+P$77*Steel!$B122+P$78*Steel!$I122</f>
        <v>12.445522755943259</v>
      </c>
      <c r="Q94" s="348"/>
      <c r="R94" s="349">
        <f ca="1">R$67*(GREET1_Import_Export!$K79+GREET1_Import_Export!$F$179*GREET1_Import_Export!$B193+GREET1_Import_Export!$F193)+R$68*(GREET1_Import_Export!$O79+GREET1_Import_Export!$G$179*GREET1_Import_Export!$B193+GREET1_Import_Export!$G193)+R$69*(GREET1_Import_Export!$T79+GREET1_Import_Export!$C$179*GREET1_Import_Export!$B193+GREET1_Import_Export!$C193)+R$70*(GREET1_Import_Export!$B79+GREET1_Import_Export!$B229)+R$71*(GREET1_Import_Export!$AA79+GREET1_Import_Export!$B297)+R$72*(GREET1_Import_Export!$X79+GREET1_Import_Export!$B$10*(GREET1_Import_Export!$F$215*GREET1_Import_Export!$B229+GREET1_Import_Export!$F229)+GREET1_Import_Export!$C$10*(GREET1_Import_Export!$E$179*GREET1_Import_Export!$B193+GREET1_Import_Export!$E193))+R$73*(GREET1_Import_Export!$B322+GREET1_Import_Export!$C322)+R$74*0.5*GREET1_Import_Export!$B539+R$75*GREET1_Import_Export!$C508+R$77*Steel!$B122+R$78*Steel!$I122</f>
        <v>1.1627205582355689</v>
      </c>
      <c r="S94" s="348"/>
      <c r="T94" s="1321"/>
      <c r="U94" s="1321"/>
    </row>
    <row r="95" spans="1:21">
      <c r="A95" s="230" t="s">
        <v>829</v>
      </c>
      <c r="B95" s="347">
        <f ca="1">B$67*(B$44*GREET1_Import_Export!$K80+GREET1_Import_Export!$F$179*GREET1_Import_Export!$B194+GREET1_Import_Export!$F194)+B$68*(B$50*GREET1_Import_Export!$R80+B$51*GREET1_Import_Export!$C154+GREET1_Import_Export!$H$179*GREET1_Import_Export!$B194+GREET1_Import_Export!$H194)+B$69*(B$48*GREET1_Import_Export!$T80+B$49*GREET1_Import_Export!$C140+GREET1_Import_Export!$C$179*GREET1_Import_Export!$B194+GREET1_Import_Export!$C194)+B$70*(B$45*GREET1_Import_Export!$B80+B$46*GREET1_Import_Export!$C126+GREET1_Import_Export!$B230)+B$71*(B$47*GREET1_Import_Export!$AA80+GREET1_Import_Export!$B298)+B$72*(GREET1_Import_Export!$X80+GREET1_Import_Export!$B$10*(GREET1_Import_Export!$F$215*GREET1_Import_Export!$B230+GREET1_Import_Export!$F230)+GREET1_Import_Export!$C$10*(GREET1_Import_Export!$E$179*GREET1_Import_Export!$B194+GREET1_Import_Export!$E194))+B$73*(GREET1_Import_Export!$B323+GREET1_Import_Export!$C323)+B$74*0.5*GREET1_Import_Export!$B540+B$75*GREET1_Import_Export!$C509+B$77*Steel!$B123+B$78*Steel!$I123</f>
        <v>65.310300802730978</v>
      </c>
      <c r="C95" s="348"/>
      <c r="D95" s="349">
        <f ca="1">D$67*(GREET1_Import_Export!$K80+GREET1_Import_Export!$F$179*GREET1_Import_Export!$B194+GREET1_Import_Export!$F194)+D$68*(GREET1_Import_Export!$O80+GREET1_Import_Export!$G$179*GREET1_Import_Export!$B194+GREET1_Import_Export!$G194)+D$69*(GREET1_Import_Export!$T80+GREET1_Import_Export!$C$179*GREET1_Import_Export!$B194+GREET1_Import_Export!$C194)+D$70*(GREET1_Import_Export!$B80+GREET1_Import_Export!$B230)+D$71*(GREET1_Import_Export!$AA80+GREET1_Import_Export!$B298)+D$72*(GREET1_Import_Export!$X80+GREET1_Import_Export!$B$10*(GREET1_Import_Export!$F$215*GREET1_Import_Export!$B230+GREET1_Import_Export!$F230)+GREET1_Import_Export!$C$10*(GREET1_Import_Export!$E$179*GREET1_Import_Export!$B194+GREET1_Import_Export!$E194))+D$73*(GREET1_Import_Export!$B323+GREET1_Import_Export!$C323)+D$74*0.5*GREET1_Import_Export!$B540+D$75*GREET1_Import_Export!$C509+D$77*Steel!$B123+D$78*Steel!$I123</f>
        <v>4205.6430350012424</v>
      </c>
      <c r="E95" s="349"/>
      <c r="F95" s="347">
        <f ca="1">F$67*(GREET1_Import_Export!$K80+GREET1_Import_Export!$F$179*GREET1_Import_Export!$B194+GREET1_Import_Export!$F194)+F$68*(GREET1_Import_Export!$O80+GREET1_Import_Export!$G$179*GREET1_Import_Export!$B194+GREET1_Import_Export!$G194)+F$69*(GREET1_Import_Export!$T80+GREET1_Import_Export!$C$179*GREET1_Import_Export!$B194+GREET1_Import_Export!$C194)+F$70*(GREET1_Import_Export!$B80+GREET1_Import_Export!$B230)+F$71*(GREET1_Import_Export!$AA80+GREET1_Import_Export!$B298)+F$72*(GREET1_Import_Export!$X80+GREET1_Import_Export!$B$10*(GREET1_Import_Export!$F$215*GREET1_Import_Export!$B230+GREET1_Import_Export!$F230)+GREET1_Import_Export!$C$10*(GREET1_Import_Export!$E$179*GREET1_Import_Export!$B194+GREET1_Import_Export!$E194))+F$73*(GREET1_Import_Export!$B323+GREET1_Import_Export!$C323)+F$74*0.5*GREET1_Import_Export!$B540+F$75*GREET1_Import_Export!$C509+F$76*GREET1_Import_Export!$B$41*(GREET1_Import_Export!$I$179*GREET1_Import_Export!$B194+GREET1_Import_Export!$I194)/1000000+F$77*Steel!$B123+F$78*Steel!$I123</f>
        <v>1286.2277403302521</v>
      </c>
      <c r="G95" s="478"/>
      <c r="H95" s="349">
        <f ca="1">H$67*(GREET1_Import_Export!$K80+GREET1_Import_Export!$F$176*GREET1_Import_Export!$B191+GREET1_Import_Export!$F191)+H$68*(GREET1_Import_Export!$O80+GREET1_Import_Export!$G$176*GREET1_Import_Export!$B191+GREET1_Import_Export!$G191)+H$69*(GREET1_Import_Export!$T80+GREET1_Import_Export!$C$176*GREET1_Import_Export!$B191+GREET1_Import_Export!$C191)+H$70*(GREET1_Import_Export!$B80+GREET1_Import_Export!$B227)+H$71*(GREET1_Import_Export!$AA80+GREET1_Import_Export!$B295)+H$72*(GREET1_Import_Export!$X80+GREET1_Import_Export!$B$10*(GREET1_Import_Export!$F$212*GREET1_Import_Export!$B227+GREET1_Import_Export!$F227)+GREET1_Import_Export!$C$10*(GREET1_Import_Export!$E$176*GREET1_Import_Export!$B191+GREET1_Import_Export!$E191))+H$73*$B31+H$74*0.5*GREET1_Import_Export!$B537+H$75*GREET1_Import_Export!$C506+H$77*Steel!$B123+H$78*Steel!$I123</f>
        <v>4160.6038295132767</v>
      </c>
      <c r="I95" s="479"/>
      <c r="J95" s="347">
        <f ca="1">J$67*(GREET1_Import_Export!$K80+GREET1_Import_Export!$F$179*GREET1_Import_Export!$B194+GREET1_Import_Export!$F194)+J$68*(GREET1_Import_Export!$O80+GREET1_Import_Export!$G$179*GREET1_Import_Export!$B194+GREET1_Import_Export!$G194)+J$69*(GREET1_Import_Export!$T80+GREET1_Import_Export!$C$179*GREET1_Import_Export!$B194+GREET1_Import_Export!$C194)+J$70*(GREET1_Import_Export!$B80+GREET1_Import_Export!$B230)+J$71*(GREET1_Import_Export!$AA80+GREET1_Import_Export!$B298)+J$72*(GREET1_Import_Export!$X80+GREET1_Import_Export!$B$10*(GREET1_Import_Export!$F$215*GREET1_Import_Export!$B230+GREET1_Import_Export!$F230)+GREET1_Import_Export!$C$10*(GREET1_Import_Export!$E$179*GREET1_Import_Export!$B194+GREET1_Import_Export!$E194))+J$73*(GREET1_Import_Export!$B323+GREET1_Import_Export!$C323)+J$74*0.5*GREET1_Import_Export!$B540+J$75*GREET1_Import_Export!$C509+J$76*GREET1_Import_Export!$B$41*(GREET1_Import_Export!$I$179*GREET1_Import_Export!$B194+GREET1_Import_Export!$I194)/1000000+J$77*Steel!$B123+J$78*Steel!$I123</f>
        <v>214.24438627790502</v>
      </c>
      <c r="K95" s="348"/>
      <c r="L95" s="349">
        <f ca="1">L$67*(GREET1_Import_Export!$K80+GREET1_Import_Export!$F$179*GREET1_Import_Export!$B194+GREET1_Import_Export!$F194)+L$68*(GREET1_Import_Export!$O80+GREET1_Import_Export!$G$179*GREET1_Import_Export!$B194+GREET1_Import_Export!$G194)+L$69*(GREET1_Import_Export!$T80+GREET1_Import_Export!$C$179*GREET1_Import_Export!$B194+GREET1_Import_Export!$C194)+L$70*(GREET1_Import_Export!$B80+GREET1_Import_Export!$B230)+L$71*(GREET1_Import_Export!$AA80+GREET1_Import_Export!$B298)+L$72*(GREET1_Import_Export!$X80+GREET1_Import_Export!$B$10*(GREET1_Import_Export!$F$215*GREET1_Import_Export!$B230+GREET1_Import_Export!$F230)+GREET1_Import_Export!$C$10*(GREET1_Import_Export!$E$179*GREET1_Import_Export!$B194+GREET1_Import_Export!$E194))+L$73*(GREET1_Import_Export!$B323+GREET1_Import_Export!$C323)+L$74*0.5*GREET1_Import_Export!$B540+L$75*GREET1_Import_Export!$C509+L$76*GREET1_Import_Export!$B$41*(GREET1_Import_Export!$I$179*GREET1_Import_Export!$B194+GREET1_Import_Export!$I194)/1000000+L$77*Steel!$B123+L$78*Steel!$I123</f>
        <v>255.39784469106743</v>
      </c>
      <c r="M95" s="349"/>
      <c r="N95" s="347">
        <f ca="1">N$67*(GREET1_Import_Export!$K80+GREET1_Import_Export!$F$179*GREET1_Import_Export!$B194+GREET1_Import_Export!$F194)+N$68*(GREET1_Import_Export!$O80+GREET1_Import_Export!$G$179*GREET1_Import_Export!$B194+GREET1_Import_Export!$G194)+N$69*(GREET1_Import_Export!$T80+GREET1_Import_Export!$C$179*GREET1_Import_Export!$B194+GREET1_Import_Export!$C194)+N$70*(GREET1_Import_Export!$B80+GREET1_Import_Export!$B230)+N$71*(GREET1_Import_Export!$AA80+GREET1_Import_Export!$B298)+N$72*(GREET1_Import_Export!$X80+GREET1_Import_Export!$B$10*(GREET1_Import_Export!$F$215*GREET1_Import_Export!$B230+GREET1_Import_Export!$F230)+GREET1_Import_Export!$C$10*(GREET1_Import_Export!$E$179*GREET1_Import_Export!$B194+GREET1_Import_Export!$E194))+N$73*(GREET1_Import_Export!$B323+GREET1_Import_Export!$C323)+N$74*0.5*GREET1_Import_Export!$B540+N$75*GREET1_Import_Export!$C509+N$76*GREET1_Import_Export!$B$41*(GREET1_Import_Export!$I$179*GREET1_Import_Export!$B194+GREET1_Import_Export!$I194)/1000000+N$77*Steel!$B123+N$78*Steel!$I123+N$79*(SUM($B130:$E130)*$F$113+$F130)</f>
        <v>1800.0216427178486</v>
      </c>
      <c r="O95" s="478">
        <v>0.35380800000000001</v>
      </c>
      <c r="P95" s="347">
        <f ca="1">P$67*(GREET1_Import_Export!$K80+GREET1_Import_Export!$F$179*GREET1_Import_Export!$B194+GREET1_Import_Export!$F194)+P$68*(GREET1_Import_Export!$O80+GREET1_Import_Export!$G$179*GREET1_Import_Export!$B194+GREET1_Import_Export!$G194)+P$69*(GREET1_Import_Export!$T80+GREET1_Import_Export!$C$179*GREET1_Import_Export!$B194+GREET1_Import_Export!$C194)+P$70*(GREET1_Import_Export!$B80+GREET1_Import_Export!$B230)+P$71*(GREET1_Import_Export!$AA80+GREET1_Import_Export!$B298)+P$72*(GREET1_Import_Export!$X80+GREET1_Import_Export!$B$10*(GREET1_Import_Export!$F$215*GREET1_Import_Export!$B230+GREET1_Import_Export!$F230)+GREET1_Import_Export!$C$10*(GREET1_Import_Export!$E$179*GREET1_Import_Export!$B194+GREET1_Import_Export!$E194))+P$73*(GREET1_Import_Export!$B323+GREET1_Import_Export!$C323)+P$74*0.5*GREET1_Import_Export!$B540+P$75*GREET1_Import_Export!$C509+P$77*Steel!$B123+P$78*Steel!$I123</f>
        <v>1645.6819088440611</v>
      </c>
      <c r="Q95" s="348"/>
      <c r="R95" s="349">
        <f ca="1">R$67*(GREET1_Import_Export!$K80+GREET1_Import_Export!$F$179*GREET1_Import_Export!$B194+GREET1_Import_Export!$F194)+R$68*(GREET1_Import_Export!$O80+GREET1_Import_Export!$G$179*GREET1_Import_Export!$B194+GREET1_Import_Export!$G194)+R$69*(GREET1_Import_Export!$T80+GREET1_Import_Export!$C$179*GREET1_Import_Export!$B194+GREET1_Import_Export!$C194)+R$70*(GREET1_Import_Export!$B80+GREET1_Import_Export!$B230)+R$71*(GREET1_Import_Export!$AA80+GREET1_Import_Export!$B298)+R$72*(GREET1_Import_Export!$X80+GREET1_Import_Export!$B$10*(GREET1_Import_Export!$F$215*GREET1_Import_Export!$B230+GREET1_Import_Export!$F230)+GREET1_Import_Export!$C$10*(GREET1_Import_Export!$E$179*GREET1_Import_Export!$B194+GREET1_Import_Export!$E194))+R$73*(GREET1_Import_Export!$B323+GREET1_Import_Export!$C323)+R$74*0.5*GREET1_Import_Export!$B540+R$75*GREET1_Import_Export!$C509+R$77*Steel!$B123+R$78*Steel!$I123</f>
        <v>144.66610000589398</v>
      </c>
      <c r="S95" s="348"/>
      <c r="T95" s="1321"/>
      <c r="U95" s="1321"/>
    </row>
    <row r="96" spans="1:21">
      <c r="A96" s="230" t="s">
        <v>830</v>
      </c>
      <c r="B96" s="347">
        <f ca="1">B$67*(B$44*GREET1_Import_Export!$K81+GREET1_Import_Export!$F$179*GREET1_Import_Export!$B195+GREET1_Import_Export!$F195)+B$68*(B$50*GREET1_Import_Export!$R81+B$51*GREET1_Import_Export!$C155+GREET1_Import_Export!$H$179*GREET1_Import_Export!$B195+GREET1_Import_Export!$H195)+B$69*(B$48*GREET1_Import_Export!$T81+B$49*GREET1_Import_Export!$C141+GREET1_Import_Export!$C$179*GREET1_Import_Export!$B195+GREET1_Import_Export!$C195)+B$70*(B$45*GREET1_Import_Export!$B81+B$46*GREET1_Import_Export!$C127+GREET1_Import_Export!$B231)+B$71*(B$47*GREET1_Import_Export!$AA81+GREET1_Import_Export!$B299)+B$72*(GREET1_Import_Export!$X81+GREET1_Import_Export!$B$10*(GREET1_Import_Export!$F$215*GREET1_Import_Export!$B231+GREET1_Import_Export!$F231)+GREET1_Import_Export!$C$10*(GREET1_Import_Export!$E$179*GREET1_Import_Export!$B195+GREET1_Import_Export!$E195))+B$73*(GREET1_Import_Export!$B324+GREET1_Import_Export!$C324)+B$74*0.5*GREET1_Import_Export!$B541+B$75*GREET1_Import_Export!$C510+B$77*Steel!$B124+B$78*Steel!$I124</f>
        <v>1.2186223510411494</v>
      </c>
      <c r="C96" s="348"/>
      <c r="D96" s="349">
        <f ca="1">D$67*(GREET1_Import_Export!$K81+GREET1_Import_Export!$F$179*GREET1_Import_Export!$B195+GREET1_Import_Export!$F195)+D$68*(GREET1_Import_Export!$O81+GREET1_Import_Export!$G$179*GREET1_Import_Export!$B195+GREET1_Import_Export!$G195)+D$69*(GREET1_Import_Export!$T81+GREET1_Import_Export!$C$179*GREET1_Import_Export!$B195+GREET1_Import_Export!$C195)+D$70*(GREET1_Import_Export!$B81+GREET1_Import_Export!$B231)+D$71*(GREET1_Import_Export!$AA81+GREET1_Import_Export!$B299)+D$72*(GREET1_Import_Export!$X81+GREET1_Import_Export!$B$10*(GREET1_Import_Export!$F$215*GREET1_Import_Export!$B231+GREET1_Import_Export!$F231)+GREET1_Import_Export!$C$10*(GREET1_Import_Export!$E$179*GREET1_Import_Export!$B195+GREET1_Import_Export!$E195))+D$73*(GREET1_Import_Export!$B324+GREET1_Import_Export!$C324)+D$74*0.5*GREET1_Import_Export!$B541+D$75*GREET1_Import_Export!$C510+D$77*Steel!$B124+D$78*Steel!$I124</f>
        <v>42.514731700825408</v>
      </c>
      <c r="E96" s="349"/>
      <c r="F96" s="347">
        <f ca="1">F$67*(GREET1_Import_Export!$K81+GREET1_Import_Export!$F$179*GREET1_Import_Export!$B195+GREET1_Import_Export!$F195)+F$68*(GREET1_Import_Export!$O81+GREET1_Import_Export!$G$179*GREET1_Import_Export!$B195+GREET1_Import_Export!$G195)+F$69*(GREET1_Import_Export!$T81+GREET1_Import_Export!$C$179*GREET1_Import_Export!$B195+GREET1_Import_Export!$C195)+F$70*(GREET1_Import_Export!$B81+GREET1_Import_Export!$B231)+F$71*(GREET1_Import_Export!$AA81+GREET1_Import_Export!$B299)+F$72*(GREET1_Import_Export!$X81+GREET1_Import_Export!$B$10*(GREET1_Import_Export!$F$215*GREET1_Import_Export!$B231+GREET1_Import_Export!$F231)+GREET1_Import_Export!$C$10*(GREET1_Import_Export!$E$179*GREET1_Import_Export!$B195+GREET1_Import_Export!$E195))+F$73*(GREET1_Import_Export!$B324+GREET1_Import_Export!$C324)+F$74*0.5*GREET1_Import_Export!$B541+F$75*GREET1_Import_Export!$C510+F$76*GREET1_Import_Export!$B$41*(GREET1_Import_Export!$I$179*GREET1_Import_Export!$B195+GREET1_Import_Export!$I195)/1000000+F$77*Steel!$B124+F$78*Steel!$I124</f>
        <v>4.6809048711268755</v>
      </c>
      <c r="G96" s="478"/>
      <c r="H96" s="349">
        <f ca="1">H$67*(GREET1_Import_Export!$K81+GREET1_Import_Export!$F$176*GREET1_Import_Export!$B192+GREET1_Import_Export!$F192)+H$68*(GREET1_Import_Export!$O81+GREET1_Import_Export!$G$176*GREET1_Import_Export!$B192+GREET1_Import_Export!$G192)+H$69*(GREET1_Import_Export!$T81+GREET1_Import_Export!$C$176*GREET1_Import_Export!$B192+GREET1_Import_Export!$C192)+H$70*(GREET1_Import_Export!$B81+GREET1_Import_Export!$B228)+H$71*(GREET1_Import_Export!$AA81+GREET1_Import_Export!$B296)+H$72*(GREET1_Import_Export!$X81+GREET1_Import_Export!$B$10*(GREET1_Import_Export!$F$212*GREET1_Import_Export!$B228+GREET1_Import_Export!$F228)+GREET1_Import_Export!$C$10*(GREET1_Import_Export!$E$176*GREET1_Import_Export!$B192+GREET1_Import_Export!$E192))+H$73*$B32+H$74*0.5*GREET1_Import_Export!$B538+H$75*GREET1_Import_Export!$C507+H$77*Steel!$B124+H$78*Steel!$I124</f>
        <v>52.472600720827259</v>
      </c>
      <c r="I96" s="479"/>
      <c r="J96" s="347">
        <f ca="1">J$67*(GREET1_Import_Export!$K81+GREET1_Import_Export!$F$179*GREET1_Import_Export!$B195+GREET1_Import_Export!$F195)+J$68*(GREET1_Import_Export!$O81+GREET1_Import_Export!$G$179*GREET1_Import_Export!$B195+GREET1_Import_Export!$G195)+J$69*(GREET1_Import_Export!$T81+GREET1_Import_Export!$C$179*GREET1_Import_Export!$B195+GREET1_Import_Export!$C195)+J$70*(GREET1_Import_Export!$B81+GREET1_Import_Export!$B231)+J$71*(GREET1_Import_Export!$AA81+GREET1_Import_Export!$B299)+J$72*(GREET1_Import_Export!$X81+GREET1_Import_Export!$B$10*(GREET1_Import_Export!$F$215*GREET1_Import_Export!$B231+GREET1_Import_Export!$F231)+GREET1_Import_Export!$C$10*(GREET1_Import_Export!$E$179*GREET1_Import_Export!$B195+GREET1_Import_Export!$E195))+J$73*(GREET1_Import_Export!$B324+GREET1_Import_Export!$C324)+J$74*0.5*GREET1_Import_Export!$B541+J$75*GREET1_Import_Export!$C510+J$76*GREET1_Import_Export!$B$41*(GREET1_Import_Export!$I$179*GREET1_Import_Export!$B195+GREET1_Import_Export!$I195)/1000000+J$77*Steel!$B124+J$78*Steel!$I124</f>
        <v>2.1784378448726276</v>
      </c>
      <c r="K96" s="348"/>
      <c r="L96" s="349">
        <f ca="1">L$67*(GREET1_Import_Export!$K81+GREET1_Import_Export!$F$179*GREET1_Import_Export!$B195+GREET1_Import_Export!$F195)+L$68*(GREET1_Import_Export!$O81+GREET1_Import_Export!$G$179*GREET1_Import_Export!$B195+GREET1_Import_Export!$G195)+L$69*(GREET1_Import_Export!$T81+GREET1_Import_Export!$C$179*GREET1_Import_Export!$B195+GREET1_Import_Export!$C195)+L$70*(GREET1_Import_Export!$B81+GREET1_Import_Export!$B231)+L$71*(GREET1_Import_Export!$AA81+GREET1_Import_Export!$B299)+L$72*(GREET1_Import_Export!$X81+GREET1_Import_Export!$B$10*(GREET1_Import_Export!$F$215*GREET1_Import_Export!$B231+GREET1_Import_Export!$F231)+GREET1_Import_Export!$C$10*(GREET1_Import_Export!$E$179*GREET1_Import_Export!$B195+GREET1_Import_Export!$E195))+L$73*(GREET1_Import_Export!$B324+GREET1_Import_Export!$C324)+L$74*0.5*GREET1_Import_Export!$B541+L$75*GREET1_Import_Export!$C510+L$76*GREET1_Import_Export!$B$41*(GREET1_Import_Export!$I$179*GREET1_Import_Export!$B195+GREET1_Import_Export!$I195)/1000000+L$77*Steel!$B124+L$78*Steel!$I124</f>
        <v>2.4603369180725125</v>
      </c>
      <c r="M96" s="349"/>
      <c r="N96" s="347">
        <f ca="1">N$67*(GREET1_Import_Export!$K81+GREET1_Import_Export!$F$179*GREET1_Import_Export!$B195+GREET1_Import_Export!$F195)+N$68*(GREET1_Import_Export!$O81+GREET1_Import_Export!$G$179*GREET1_Import_Export!$B195+GREET1_Import_Export!$G195)+N$69*(GREET1_Import_Export!$T81+GREET1_Import_Export!$C$179*GREET1_Import_Export!$B195+GREET1_Import_Export!$C195)+N$70*(GREET1_Import_Export!$B81+GREET1_Import_Export!$B231)+N$71*(GREET1_Import_Export!$AA81+GREET1_Import_Export!$B299)+N$72*(GREET1_Import_Export!$X81+GREET1_Import_Export!$B$10*(GREET1_Import_Export!$F$215*GREET1_Import_Export!$B231+GREET1_Import_Export!$F231)+GREET1_Import_Export!$C$10*(GREET1_Import_Export!$E$179*GREET1_Import_Export!$B195+GREET1_Import_Export!$E195))+N$73*(GREET1_Import_Export!$B324+GREET1_Import_Export!$C324)+N$74*0.5*GREET1_Import_Export!$B541+N$75*GREET1_Import_Export!$C510+N$76*GREET1_Import_Export!$B$41*(GREET1_Import_Export!$I$179*GREET1_Import_Export!$B195+GREET1_Import_Export!$I195)/1000000+N$77*Steel!$B124+N$78*Steel!$I124+N$79*(SUM($B131:$E131)*$F$113+$F131)</f>
        <v>18.178649166092459</v>
      </c>
      <c r="O96" s="478">
        <v>0.33566400000000002</v>
      </c>
      <c r="P96" s="347">
        <f ca="1">P$67*(GREET1_Import_Export!$K81+GREET1_Import_Export!$F$179*GREET1_Import_Export!$B195+GREET1_Import_Export!$F195)+P$68*(GREET1_Import_Export!$O81+GREET1_Import_Export!$G$179*GREET1_Import_Export!$B195+GREET1_Import_Export!$G195)+P$69*(GREET1_Import_Export!$T81+GREET1_Import_Export!$C$179*GREET1_Import_Export!$B195+GREET1_Import_Export!$C195)+P$70*(GREET1_Import_Export!$B81+GREET1_Import_Export!$B231)+P$71*(GREET1_Import_Export!$AA81+GREET1_Import_Export!$B299)+P$72*(GREET1_Import_Export!$X81+GREET1_Import_Export!$B$10*(GREET1_Import_Export!$F$215*GREET1_Import_Export!$B231+GREET1_Import_Export!$F231)+GREET1_Import_Export!$C$10*(GREET1_Import_Export!$E$179*GREET1_Import_Export!$B195+GREET1_Import_Export!$E195))+P$73*(GREET1_Import_Export!$B324+GREET1_Import_Export!$C324)+P$74*0.5*GREET1_Import_Export!$B541+P$75*GREET1_Import_Export!$C510+P$77*Steel!$B124+P$78*Steel!$I124</f>
        <v>16.422698661263713</v>
      </c>
      <c r="Q96" s="348"/>
      <c r="R96" s="349">
        <f ca="1">R$67*(GREET1_Import_Export!$K81+GREET1_Import_Export!$F$179*GREET1_Import_Export!$B195+GREET1_Import_Export!$F195)+R$68*(GREET1_Import_Export!$O81+GREET1_Import_Export!$G$179*GREET1_Import_Export!$B195+GREET1_Import_Export!$G195)+R$69*(GREET1_Import_Export!$T81+GREET1_Import_Export!$C$179*GREET1_Import_Export!$B195+GREET1_Import_Export!$C195)+R$70*(GREET1_Import_Export!$B81+GREET1_Import_Export!$B231)+R$71*(GREET1_Import_Export!$AA81+GREET1_Import_Export!$B299)+R$72*(GREET1_Import_Export!$X81+GREET1_Import_Export!$B$10*(GREET1_Import_Export!$F$215*GREET1_Import_Export!$B231+GREET1_Import_Export!$F231)+GREET1_Import_Export!$C$10*(GREET1_Import_Export!$E$179*GREET1_Import_Export!$B195+GREET1_Import_Export!$E195))+R$73*(GREET1_Import_Export!$B324+GREET1_Import_Export!$C324)+R$74*0.5*GREET1_Import_Export!$B541+R$75*GREET1_Import_Export!$C510+R$77*Steel!$B124+R$78*Steel!$I124</f>
        <v>1.3125273865702118</v>
      </c>
      <c r="S96" s="348"/>
      <c r="T96" s="1321"/>
      <c r="U96" s="1321"/>
    </row>
    <row r="97" spans="1:21">
      <c r="A97" s="230" t="s">
        <v>905</v>
      </c>
      <c r="B97" s="347">
        <v>0</v>
      </c>
      <c r="C97" s="391"/>
      <c r="D97" s="349">
        <v>0</v>
      </c>
      <c r="E97" s="389"/>
      <c r="F97" s="347">
        <v>0</v>
      </c>
      <c r="G97" s="478"/>
      <c r="H97" s="349">
        <v>0</v>
      </c>
      <c r="I97" s="479">
        <v>69.763679999999994</v>
      </c>
      <c r="J97" s="347">
        <v>0</v>
      </c>
      <c r="K97" s="391"/>
      <c r="L97" s="349">
        <v>0</v>
      </c>
      <c r="M97" s="389"/>
      <c r="N97" s="160">
        <f>+N$79*(SUM($B132:$E132)*$F$113+$F132)</f>
        <v>5.687258396258879</v>
      </c>
      <c r="O97" s="478"/>
      <c r="P97" s="347">
        <v>0</v>
      </c>
      <c r="Q97" s="391"/>
      <c r="R97" s="349">
        <v>0</v>
      </c>
      <c r="S97" s="391"/>
      <c r="T97" s="1321"/>
      <c r="U97" s="1321"/>
    </row>
    <row r="98" spans="1:21">
      <c r="A98" s="230" t="s">
        <v>906</v>
      </c>
      <c r="B98" s="347">
        <v>0</v>
      </c>
      <c r="C98" s="391"/>
      <c r="D98" s="349">
        <v>0</v>
      </c>
      <c r="E98" s="389"/>
      <c r="F98" s="347">
        <v>0</v>
      </c>
      <c r="G98" s="478"/>
      <c r="H98" s="349">
        <v>0</v>
      </c>
      <c r="I98" s="479">
        <v>9.61632</v>
      </c>
      <c r="J98" s="347">
        <v>0</v>
      </c>
      <c r="K98" s="391"/>
      <c r="L98" s="349">
        <v>0</v>
      </c>
      <c r="M98" s="389"/>
      <c r="N98" s="160">
        <f>+N$79*(SUM($B133:$E133)*$F$113+$F133)</f>
        <v>0.78393938882112013</v>
      </c>
      <c r="O98" s="140"/>
      <c r="P98" s="347">
        <v>0</v>
      </c>
      <c r="Q98" s="391"/>
      <c r="R98" s="349">
        <v>0</v>
      </c>
      <c r="S98" s="391"/>
      <c r="T98" s="1321"/>
      <c r="U98" s="1321"/>
    </row>
    <row r="99" spans="1:21">
      <c r="A99" s="95" t="s">
        <v>831</v>
      </c>
      <c r="B99" s="517">
        <f ca="1">B$67*(B$44*GREET1_Import_Export!$K82+GREET1_Import_Export!$F$179*GREET1_Import_Export!$B196+GREET1_Import_Export!$F196)+B$68*(B$50*GREET1_Import_Export!$R82+B$51*GREET1_Import_Export!$C156+GREET1_Import_Export!$H$179*GREET1_Import_Export!$B196+GREET1_Import_Export!$H196)+B$69*(B$48*GREET1_Import_Export!$T82+B$49*GREET1_Import_Export!$C142+GREET1_Import_Export!$C$179*GREET1_Import_Export!$B196+GREET1_Import_Export!$C196)+B$70*(B$45*GREET1_Import_Export!$B82+B$46*GREET1_Import_Export!$C128+GREET1_Import_Export!$B232)+B$71*(B$47*GREET1_Import_Export!$AA82+GREET1_Import_Export!$B300)+B$72*(GREET1_Import_Export!$X82+GREET1_Import_Export!$B$10*(GREET1_Import_Export!$F$215*GREET1_Import_Export!$B232+GREET1_Import_Export!$F232)+GREET1_Import_Export!$C$10*(GREET1_Import_Export!$E$179*GREET1_Import_Export!$B196+GREET1_Import_Export!$E196))+B$73*(GREET1_Import_Export!$B325+GREET1_Import_Export!$C325)+B$74*0.5*GREET1_Import_Export!$B542+B$75*GREET1_Import_Export!$C511+B$77*Steel!$B125+B$78*Steel!$I125</f>
        <v>53720.171247678947</v>
      </c>
      <c r="C99" s="247"/>
      <c r="D99" s="419">
        <f ca="1">D$67*(GREET1_Import_Export!$K82+GREET1_Import_Export!$F$179*GREET1_Import_Export!$B196+GREET1_Import_Export!$F196)+D$68*(GREET1_Import_Export!$O82+GREET1_Import_Export!$G$179*GREET1_Import_Export!$B196+GREET1_Import_Export!$G196)+D$69*(GREET1_Import_Export!$T82+GREET1_Import_Export!$C$179*GREET1_Import_Export!$B196+GREET1_Import_Export!$C196)+D$70*(GREET1_Import_Export!$B82+GREET1_Import_Export!$B232)+D$71*(GREET1_Import_Export!$AA82+GREET1_Import_Export!$B300)+D$72*(GREET1_Import_Export!$X82+GREET1_Import_Export!$B$10*(GREET1_Import_Export!$F$215*GREET1_Import_Export!$B232+GREET1_Import_Export!$F232)+GREET1_Import_Export!$C$10*(GREET1_Import_Export!$E$179*GREET1_Import_Export!$B196+GREET1_Import_Export!$E196))+D$73*(GREET1_Import_Export!$B325+GREET1_Import_Export!$C325)+D$74*0.5*GREET1_Import_Export!$B542+D$75*GREET1_Import_Export!$C511+D$77*Steel!$B125+D$78*Steel!$I125</f>
        <v>1680820.5053000967</v>
      </c>
      <c r="E99" s="246"/>
      <c r="F99" s="517">
        <f ca="1">F$67*(GREET1_Import_Export!$K82+GREET1_Import_Export!$F$179*GREET1_Import_Export!$B196+GREET1_Import_Export!$F196)+F$68*(GREET1_Import_Export!$O82+GREET1_Import_Export!$G$179*GREET1_Import_Export!$B196+GREET1_Import_Export!$G196)+F$69*(GREET1_Import_Export!$T82+GREET1_Import_Export!$C$179*GREET1_Import_Export!$B196+GREET1_Import_Export!$C196)+F$70*(GREET1_Import_Export!$B82+GREET1_Import_Export!$B232)+F$71*(GREET1_Import_Export!$AA82+GREET1_Import_Export!$B300)+F$72*(GREET1_Import_Export!$X82+GREET1_Import_Export!$B$10*(GREET1_Import_Export!$F$215*GREET1_Import_Export!$B232+GREET1_Import_Export!$F232)+GREET1_Import_Export!$C$10*(GREET1_Import_Export!$E$179*GREET1_Import_Export!$B196+GREET1_Import_Export!$E196))+F$73*(GREET1_Import_Export!$B325+GREET1_Import_Export!$C325)+F$74*0.5*GREET1_Import_Export!$B542+F$75*GREET1_Import_Export!$C511+F$76*GREET1_Import_Export!$B$41*(GREET1_Import_Export!$I$179*GREET1_Import_Export!$B196+GREET1_Import_Export!$I196)/1000000+F$77*Steel!$B125+F$78*Steel!$I125</f>
        <v>225670.57374621611</v>
      </c>
      <c r="G99" s="159">
        <v>41915.434176000097</v>
      </c>
      <c r="H99" s="419">
        <f ca="1">H$67*(GREET1_Import_Export!$K82+GREET1_Import_Export!$F$176*GREET1_Import_Export!$B193+GREET1_Import_Export!$F193)+H$68*(GREET1_Import_Export!$O82+GREET1_Import_Export!$G$176*GREET1_Import_Export!$B193+GREET1_Import_Export!$G193)+H$69*(GREET1_Import_Export!$T82+GREET1_Import_Export!$C$176*GREET1_Import_Export!$B193+GREET1_Import_Export!$C193)+H$70*(GREET1_Import_Export!$B82+GREET1_Import_Export!$B229)+H$71*(GREET1_Import_Export!$AA82+GREET1_Import_Export!$B297)+H$72*(GREET1_Import_Export!$X82+GREET1_Import_Export!$B$10*(GREET1_Import_Export!$F$212*GREET1_Import_Export!$B229+GREET1_Import_Export!$F229)+GREET1_Import_Export!$C$10*(GREET1_Import_Export!$E$176*GREET1_Import_Export!$B193+GREET1_Import_Export!$E193))+H$73*$B33+H$74*0.5*GREET1_Import_Export!$B539+H$75*GREET1_Import_Export!$C508+H$77*Steel!$B125+H$78*Steel!$I125</f>
        <v>2353502.2637156434</v>
      </c>
      <c r="I99" s="158">
        <v>1391644.8</v>
      </c>
      <c r="J99" s="517">
        <f ca="1">J$67*(GREET1_Import_Export!$K82+GREET1_Import_Export!$F$179*GREET1_Import_Export!$B196+GREET1_Import_Export!$F196)+J$68*(GREET1_Import_Export!$O82+GREET1_Import_Export!$G$179*GREET1_Import_Export!$B196+GREET1_Import_Export!$G196)+J$69*(GREET1_Import_Export!$T82+GREET1_Import_Export!$C$179*GREET1_Import_Export!$B196+GREET1_Import_Export!$C196)+J$70*(GREET1_Import_Export!$B82+GREET1_Import_Export!$B232)+J$71*(GREET1_Import_Export!$AA82+GREET1_Import_Export!$B300)+J$72*(GREET1_Import_Export!$X82+GREET1_Import_Export!$B$10*(GREET1_Import_Export!$F$215*GREET1_Import_Export!$B232+GREET1_Import_Export!$F232)+GREET1_Import_Export!$C$10*(GREET1_Import_Export!$E$179*GREET1_Import_Export!$B196+GREET1_Import_Export!$E196))+J$73*(GREET1_Import_Export!$B325+GREET1_Import_Export!$C325)+J$74*0.5*GREET1_Import_Export!$B542+J$75*GREET1_Import_Export!$C511+J$76*GREET1_Import_Export!$B$41*(GREET1_Import_Export!$I$179*GREET1_Import_Export!$B196+GREET1_Import_Export!$I196)/1000000+J$77*Steel!$B125+J$78*Steel!$I125</f>
        <v>80818.531301992349</v>
      </c>
      <c r="K99" s="706"/>
      <c r="L99" s="419">
        <f ca="1">L$67*(GREET1_Import_Export!$K82+GREET1_Import_Export!$F$179*GREET1_Import_Export!$B196+GREET1_Import_Export!$F196)+L$68*(GREET1_Import_Export!$O82+GREET1_Import_Export!$G$179*GREET1_Import_Export!$B196+GREET1_Import_Export!$G196)+L$69*(GREET1_Import_Export!$T82+GREET1_Import_Export!$C$179*GREET1_Import_Export!$B196+GREET1_Import_Export!$C196)+L$70*(GREET1_Import_Export!$B82+GREET1_Import_Export!$B232)+L$71*(GREET1_Import_Export!$AA82+GREET1_Import_Export!$B300)+L$72*(GREET1_Import_Export!$X82+GREET1_Import_Export!$B$10*(GREET1_Import_Export!$F$215*GREET1_Import_Export!$B232+GREET1_Import_Export!$F232)+GREET1_Import_Export!$C$10*(GREET1_Import_Export!$E$179*GREET1_Import_Export!$B196+GREET1_Import_Export!$E196))+L$73*(GREET1_Import_Export!$B325+GREET1_Import_Export!$C325)+L$74*0.5*GREET1_Import_Export!$B542+L$75*GREET1_Import_Export!$C511+L$76*GREET1_Import_Export!$B$41*(GREET1_Import_Export!$I$179*GREET1_Import_Export!$B196+GREET1_Import_Export!$I196)/1000000+L$77*Steel!$B125+L$78*Steel!$I125</f>
        <v>90795.277595661217</v>
      </c>
      <c r="M99" s="376"/>
      <c r="N99" s="517">
        <f ca="1">N$67*(GREET1_Import_Export!$K82+GREET1_Import_Export!$F$179*GREET1_Import_Export!$B196+GREET1_Import_Export!$F196)+N$68*(GREET1_Import_Export!$O82+GREET1_Import_Export!$G$179*GREET1_Import_Export!$B196+GREET1_Import_Export!$G196)+N$69*(GREET1_Import_Export!$T82+GREET1_Import_Export!$C$179*GREET1_Import_Export!$B196+GREET1_Import_Export!$C196)+N$70*(GREET1_Import_Export!$B82+GREET1_Import_Export!$B232)+N$71*(GREET1_Import_Export!$AA82+GREET1_Import_Export!$B300)+N$72*(GREET1_Import_Export!$X82+GREET1_Import_Export!$B$10*(GREET1_Import_Export!$F$215*GREET1_Import_Export!$B232+GREET1_Import_Export!$F232)+GREET1_Import_Export!$C$10*(GREET1_Import_Export!$E$179*GREET1_Import_Export!$B196+GREET1_Import_Export!$E196))+N$73*(GREET1_Import_Export!$B325+GREET1_Import_Export!$C325)+N$74*0.5*GREET1_Import_Export!$B542+N$75*GREET1_Import_Export!$C511+N$76*GREET1_Import_Export!$B$41*(GREET1_Import_Export!$I$179*GREET1_Import_Export!$B196+GREET1_Import_Export!$I196)/1000000+N$77*Steel!$B125+N$78*Steel!$I125+N$79*(SUM($B134:$E134)*$F$113+$F134)</f>
        <v>790343.37325298879</v>
      </c>
      <c r="O99" s="159">
        <v>6.6134880000000003</v>
      </c>
      <c r="P99" s="517">
        <f ca="1">P$67*(GREET1_Import_Export!$K82+GREET1_Import_Export!$F$179*GREET1_Import_Export!$B196+GREET1_Import_Export!$F196)+P$68*(GREET1_Import_Export!$O82+GREET1_Import_Export!$G$179*GREET1_Import_Export!$B196+GREET1_Import_Export!$G196)+P$69*(GREET1_Import_Export!$T82+GREET1_Import_Export!$C$179*GREET1_Import_Export!$B196+GREET1_Import_Export!$C196)+P$70*(GREET1_Import_Export!$B82+GREET1_Import_Export!$B232)+P$71*(GREET1_Import_Export!$AA82+GREET1_Import_Export!$B300)+P$72*(GREET1_Import_Export!$X82+GREET1_Import_Export!$B$10*(GREET1_Import_Export!$F$215*GREET1_Import_Export!$B232+GREET1_Import_Export!$F232)+GREET1_Import_Export!$C$10*(GREET1_Import_Export!$E$179*GREET1_Import_Export!$B196+GREET1_Import_Export!$E196))+P$73*(GREET1_Import_Export!$B325+GREET1_Import_Export!$C325)+P$74*0.5*GREET1_Import_Export!$B542+P$75*GREET1_Import_Export!$C511+P$77*Steel!$B125+P$78*Steel!$I125</f>
        <v>495766.88736471668</v>
      </c>
      <c r="Q99" s="706"/>
      <c r="R99" s="419">
        <f ca="1">R$67*(GREET1_Import_Export!$K82+GREET1_Import_Export!$F$179*GREET1_Import_Export!$B196+GREET1_Import_Export!$F196)+R$68*(GREET1_Import_Export!$O82+GREET1_Import_Export!$G$179*GREET1_Import_Export!$B196+GREET1_Import_Export!$G196)+R$69*(GREET1_Import_Export!$T82+GREET1_Import_Export!$C$179*GREET1_Import_Export!$B196+GREET1_Import_Export!$C196)+R$70*(GREET1_Import_Export!$B82+GREET1_Import_Export!$B232)+R$71*(GREET1_Import_Export!$AA82+GREET1_Import_Export!$B300)+R$72*(GREET1_Import_Export!$X82+GREET1_Import_Export!$B$10*(GREET1_Import_Export!$F$215*GREET1_Import_Export!$B232+GREET1_Import_Export!$F232)+GREET1_Import_Export!$C$10*(GREET1_Import_Export!$E$179*GREET1_Import_Export!$B196+GREET1_Import_Export!$E196))+R$73*(GREET1_Import_Export!$B325+GREET1_Import_Export!$C325)+R$74*0.5*GREET1_Import_Export!$B542+R$75*GREET1_Import_Export!$C511+R$77*Steel!$B125+R$78*Steel!$I125</f>
        <v>63921.436842905794</v>
      </c>
      <c r="S99" s="706"/>
      <c r="T99" s="1321"/>
      <c r="U99" s="1321"/>
    </row>
    <row r="100" spans="1:21">
      <c r="A100" s="178" t="s">
        <v>832</v>
      </c>
      <c r="B100" s="692"/>
      <c r="C100" s="688"/>
      <c r="D100" s="690"/>
      <c r="E100" s="690"/>
      <c r="F100" s="692"/>
      <c r="G100" s="688"/>
      <c r="H100" s="690"/>
      <c r="I100" s="513"/>
      <c r="J100" s="692"/>
      <c r="K100" s="688"/>
      <c r="L100" s="690"/>
      <c r="M100" s="690"/>
      <c r="N100" s="692"/>
      <c r="O100" s="688"/>
      <c r="P100" s="692"/>
      <c r="Q100" s="688"/>
      <c r="R100" s="690"/>
      <c r="S100" s="688"/>
      <c r="T100" s="1321"/>
      <c r="U100" s="1321"/>
    </row>
    <row r="101" spans="1:21">
      <c r="A101" s="95" t="s">
        <v>821</v>
      </c>
      <c r="B101" s="347">
        <f ca="1">B$67*(B$57*(B$44*GREET1_Import_Export!$K72)+GREET1_Import_Export!$F$200*GREET1_Import_Export!$B201+GREET1_Import_Export!$F201)+B$68*(B$57*(B$50*GREET1_Import_Export!$R72+B$51*GREET1_Import_Export!$C146)+GREET1_Import_Export!$H$200*GREET1_Import_Export!$B201+GREET1_Import_Export!$H201)+B$69*(B$57*(B$48*GREET1_Import_Export!$T72+B$49*GREET1_Import_Export!$C132)+GREET1_Import_Export!$C$200*GREET1_Import_Export!$B201+GREET1_Import_Export!$C201)+B$70*(B$57*(B$45*GREET1_Import_Export!$B72+B$46*GREET1_Import_Export!$C118)+GREET1_Import_Export!$B237)+B$71*(B$57*(B$47*GREET1_Import_Export!$AA72)+GREET1_Import_Export!$C290)+B$72*(B$57*(GREET1_Import_Export!$X72)+GREET1_Import_Export!$B$10*(GREET1_Import_Export!$F$215*GREET1_Import_Export!$B237+GREET1_Import_Export!$F237)+GREET1_Import_Export!$C$10*(GREET1_Import_Export!$E$200*GREET1_Import_Export!$B201+GREET1_Import_Export!$E201))+B$73*(GREET1_Import_Export!$D315+GREET1_Import_Export!$E315)+B$74*0.5*GREET1_Import_Export!$B544+B$75*GREET1_Import_Export!$C513+B$77*Steel!$B129+B$78*Steel!$I129</f>
        <v>1.4011854970944819</v>
      </c>
      <c r="C101" s="391">
        <f t="shared" ref="C101:C108" si="9">C87*B$57</f>
        <v>0</v>
      </c>
      <c r="D101" s="349">
        <f ca="1">D$67*(D$57*(GREET1_Import_Export!$K72)+GREET1_Import_Export!$F$200*GREET1_Import_Export!$B201+GREET1_Import_Export!$F201)+D$68*(D$57*(GREET1_Import_Export!$O72)+GREET1_Import_Export!$G$200*GREET1_Import_Export!$B201+GREET1_Import_Export!$G201)+D$69*(D$57*(GREET1_Import_Export!$T72)+GREET1_Import_Export!$C$200*GREET1_Import_Export!$B201+GREET1_Import_Export!$C201)+D$70*(D$57*(GREET1_Import_Export!$B72)+GREET1_Import_Export!$B237)+D$71*(D$57*(GREET1_Import_Export!$AA72)+GREET1_Import_Export!$C290)+D$72*(D$57*(GREET1_Import_Export!$X72)+GREET1_Import_Export!$B$10*(GREET1_Import_Export!$F$215*GREET1_Import_Export!$B237+GREET1_Import_Export!$F237)+GREET1_Import_Export!$C$10*(GREET1_Import_Export!$E$200*GREET1_Import_Export!$B201+GREET1_Import_Export!$E201))+D$73*(GREET1_Import_Export!$D315+GREET1_Import_Export!$E315)+D$74*0.5*GREET1_Import_Export!$B544+D$75*GREET1_Import_Export!$C513+D$77*Steel!$B129+D$78*Steel!$I129</f>
        <v>16.470353939027177</v>
      </c>
      <c r="E101" s="389">
        <f t="shared" ref="E101:E108" si="10">E87*D$57</f>
        <v>0</v>
      </c>
      <c r="F101" s="347">
        <f ca="1">F$67*(F$57*(GREET1_Import_Export!$K72)+GREET1_Import_Export!$F$200*GREET1_Import_Export!$B201+GREET1_Import_Export!$F201)+F$68*(F$57*(GREET1_Import_Export!$O72)+GREET1_Import_Export!$G$200*GREET1_Import_Export!$B201+GREET1_Import_Export!$G201)+F$69*(F$57*(GREET1_Import_Export!$T72)+GREET1_Import_Export!$C$200*GREET1_Import_Export!$B201+GREET1_Import_Export!$C201)+F$70*(F$57*(GREET1_Import_Export!$B72)+GREET1_Import_Export!$B237)+F$71*(F$57*(GREET1_Import_Export!$AA72)+GREET1_Import_Export!$C290)+F$72*(F$57*(GREET1_Import_Export!$X72)+GREET1_Import_Export!$B$10*(GREET1_Import_Export!$F$215*GREET1_Import_Export!$B237+GREET1_Import_Export!$F237)+GREET1_Import_Export!$C$10*(GREET1_Import_Export!$E$200*GREET1_Import_Export!$B201+GREET1_Import_Export!$E201))+F$73*(GREET1_Import_Export!$D315+GREET1_Import_Export!$E315)+F$74*0.5*GREET1_Import_Export!$B544+F$75*GREET1_Import_Export!$C513+F$76*GREET1_Import_Export!$B$41*(GREET1_Import_Export!$I$200*GREET1_Import_Export!$B201+GREET1_Import_Export!$I201)/1000000+F$77*Steel!$B129+F$78*Steel!$I129</f>
        <v>19.398284066790588</v>
      </c>
      <c r="G101" s="391">
        <f t="shared" ref="G101:G108" si="11">G87*F$57</f>
        <v>0</v>
      </c>
      <c r="H101" s="349">
        <f ca="1">H$67*(H$57*(GREET1_Import_Export!$K72)+GREET1_Import_Export!$F$200*GREET1_Import_Export!$B201+GREET1_Import_Export!$F201)+H$68*(H$57*(GREET1_Import_Export!$O72)+GREET1_Import_Export!$G$200*GREET1_Import_Export!$B201+GREET1_Import_Export!$G201)+H$69*(H$57*(GREET1_Import_Export!$T72)+GREET1_Import_Export!$C$200*GREET1_Import_Export!$B201+GREET1_Import_Export!$C201)+H$70*(H$57*(GREET1_Import_Export!$B72)+GREET1_Import_Export!$B237)+H$71*(H$57*(GREET1_Import_Export!$AA72)+GREET1_Import_Export!$C290)+H$72*(H$57*(GREET1_Import_Export!$X72)+GREET1_Import_Export!$B$10*(GREET1_Import_Export!$F$215*GREET1_Import_Export!$B237+GREET1_Import_Export!$F237)+GREET1_Import_Export!$C$10*(GREET1_Import_Export!$E$200*GREET1_Import_Export!$B201+GREET1_Import_Export!$E201))+H$73*$B34+H$74*0.5*GREET1_Import_Export!$B544+H$75*GREET1_Import_Export!$C513+H$77*Steel!$B129+H$78*Steel!$I129</f>
        <v>12.782468730969342</v>
      </c>
      <c r="I101" s="389">
        <f t="shared" ref="I101:I108" si="12">I87*H$57</f>
        <v>0</v>
      </c>
      <c r="J101" s="347">
        <f ca="1">J$67*(J$57*(GREET1_Import_Export!$K72)+GREET1_Import_Export!$F$200*GREET1_Import_Export!$B201+GREET1_Import_Export!$F201)+J$68*(J$57*(GREET1_Import_Export!$O72)+GREET1_Import_Export!$G$200*GREET1_Import_Export!$B201+GREET1_Import_Export!$G201)+J$69*(J$57*(GREET1_Import_Export!$T72)+GREET1_Import_Export!$C$200*GREET1_Import_Export!$B201+GREET1_Import_Export!$C201)+J$70*(J$57*(GREET1_Import_Export!$B72)+GREET1_Import_Export!$B237)+J$71*(J$57*(GREET1_Import_Export!$AA72)+GREET1_Import_Export!$C290)+J$72*(J$57*(GREET1_Import_Export!$X72)+GREET1_Import_Export!$B$10*(GREET1_Import_Export!$F$215*GREET1_Import_Export!$B237+GREET1_Import_Export!$F237)+GREET1_Import_Export!$C$10*(GREET1_Import_Export!$E$200*GREET1_Import_Export!$B201+GREET1_Import_Export!$E201))+J$73*(GREET1_Import_Export!$D315+GREET1_Import_Export!$E315)+J$74*0.5*GREET1_Import_Export!$B544+J$75*GREET1_Import_Export!$C513+J$76*GREET1_Import_Export!$B$41*(GREET1_Import_Export!$I$200*GREET1_Import_Export!$B201+GREET1_Import_Export!$I201)/1000000+J$77*Steel!$B129+J$78*Steel!$I129</f>
        <v>0.87177368925282617</v>
      </c>
      <c r="K101" s="391">
        <f t="shared" ref="K101:K108" si="13">K87*J$57</f>
        <v>0</v>
      </c>
      <c r="L101" s="349">
        <f ca="1">L$67*(L$57*(GREET1_Import_Export!$K72)+GREET1_Import_Export!$F$200*GREET1_Import_Export!$B201+GREET1_Import_Export!$F201)+L$68*(L$57*(GREET1_Import_Export!$O72)+GREET1_Import_Export!$G$200*GREET1_Import_Export!$B201+GREET1_Import_Export!$G201)+L$69*(L$57*(GREET1_Import_Export!$T72)+GREET1_Import_Export!$C$200*GREET1_Import_Export!$B201+GREET1_Import_Export!$C201)+L$70*(L$57*(GREET1_Import_Export!$B72)+GREET1_Import_Export!$B237)+L$71*(L$57*(GREET1_Import_Export!$AA72)+GREET1_Import_Export!$C290)+L$72*(L$57*(GREET1_Import_Export!$X72)+GREET1_Import_Export!$B$10*(GREET1_Import_Export!$F$215*GREET1_Import_Export!$B237+GREET1_Import_Export!$F237)+GREET1_Import_Export!$C$10*(GREET1_Import_Export!$E$200*GREET1_Import_Export!$B201+GREET1_Import_Export!$E201))+L$73*(GREET1_Import_Export!$D315+GREET1_Import_Export!$E315)+L$74*0.5*GREET1_Import_Export!$B544+L$75*GREET1_Import_Export!$C513+L$76*GREET1_Import_Export!$B$41*(GREET1_Import_Export!$I$200*GREET1_Import_Export!$B201+GREET1_Import_Export!$I201)/1000000+L$77*Steel!$B129+L$78*Steel!$I129</f>
        <v>0.74581525104165891</v>
      </c>
      <c r="M101" s="389">
        <f t="shared" ref="M101:M108" si="14">M87*L$57</f>
        <v>0</v>
      </c>
      <c r="N101" s="347">
        <f ca="1">N$67*(N$57*(GREET1_Import_Export!$K72)+GREET1_Import_Export!$F$200*GREET1_Import_Export!$B201+GREET1_Import_Export!$F201)+N$68*(N$57*(GREET1_Import_Export!$O72)+GREET1_Import_Export!$G$200*GREET1_Import_Export!$B201+GREET1_Import_Export!$G201)+N$69*(N$57*(GREET1_Import_Export!$T72)+GREET1_Import_Export!$C$200*GREET1_Import_Export!$B201+GREET1_Import_Export!$C201)+N$70*(N$57*(GREET1_Import_Export!$B72)+GREET1_Import_Export!$B237)+N$71*(N$57*(GREET1_Import_Export!$AA72)+GREET1_Import_Export!$C290)+N$72*(N$57*(GREET1_Import_Export!$X72)+GREET1_Import_Export!$B$10*(GREET1_Import_Export!$F$215*GREET1_Import_Export!$B237+GREET1_Import_Export!$F237)+GREET1_Import_Export!$C$10*(GREET1_Import_Export!$E$200*GREET1_Import_Export!$B201+GREET1_Import_Export!$E201))+N$73*(GREET1_Import_Export!$D315+GREET1_Import_Export!$E315)+N$74*0.5*GREET1_Import_Export!$B544+N$75*GREET1_Import_Export!$C513+N$76*GREET1_Import_Export!$B$41*(GREET1_Import_Export!$I$200*GREET1_Import_Export!$B201+GREET1_Import_Export!$I201)/1000000+N$77*Steel!$B129+N$78*Steel!$I129+N$79*(SUM($B138:$E138)*$F$113+$F138)</f>
        <v>6.9158694447506157</v>
      </c>
      <c r="O101" s="391">
        <f t="shared" ref="O101:O108" si="15">O87*N$57</f>
        <v>0</v>
      </c>
      <c r="P101" s="347">
        <f ca="1">P$67*(P$57*(GREET1_Import_Export!$K72)+GREET1_Import_Export!$F$200*GREET1_Import_Export!$B201+GREET1_Import_Export!$F201)+P$68*(P$57*(GREET1_Import_Export!$O72)+GREET1_Import_Export!$G$200*GREET1_Import_Export!$B201+GREET1_Import_Export!$G201)+P$69*(P$57*(GREET1_Import_Export!$T72)+GREET1_Import_Export!$C$200*GREET1_Import_Export!$B201+GREET1_Import_Export!$C201)+P$70*(P$57*(GREET1_Import_Export!$B72)+GREET1_Import_Export!$B237)+P$71*(P$57*(GREET1_Import_Export!$AA72)+GREET1_Import_Export!$C290)+P$72*(P$57*(GREET1_Import_Export!$X72)+GREET1_Import_Export!$B$10*(GREET1_Import_Export!$F$215*GREET1_Import_Export!$B237+GREET1_Import_Export!$F237)+GREET1_Import_Export!$C$10*(GREET1_Import_Export!$E$200*GREET1_Import_Export!$B201+GREET1_Import_Export!$E201))+P$73*(GREET1_Import_Export!$D315+GREET1_Import_Export!$E315)+P$74*0.5*GREET1_Import_Export!$B544+P$75*GREET1_Import_Export!$C513+P$77*Steel!$B129+P$78*Steel!$I129</f>
        <v>4.5271952596789564</v>
      </c>
      <c r="Q101" s="391">
        <f t="shared" ref="Q101:Q108" si="16">Q87*P$57</f>
        <v>0</v>
      </c>
      <c r="R101" s="349">
        <f ca="1">R$67*(R$57*(GREET1_Import_Export!$K72)+GREET1_Import_Export!$F$200*GREET1_Import_Export!$B201+GREET1_Import_Export!$F201)+R$68*(R$57*(GREET1_Import_Export!$O72)+GREET1_Import_Export!$G$200*GREET1_Import_Export!$B201+GREET1_Import_Export!$G201)+R$69*(R$57*(GREET1_Import_Export!$T72)+GREET1_Import_Export!$C$200*GREET1_Import_Export!$B201+GREET1_Import_Export!$C201)+R$70*(R$57*(GREET1_Import_Export!$B72)+GREET1_Import_Export!$B237)+R$71*(R$57*(GREET1_Import_Export!$AA72)+GREET1_Import_Export!$C290)+R$72*(R$57*(GREET1_Import_Export!$X72)+GREET1_Import_Export!$B$10*(GREET1_Import_Export!$F$215*GREET1_Import_Export!$B237+GREET1_Import_Export!$F237)+GREET1_Import_Export!$C$10*(GREET1_Import_Export!$E$200*GREET1_Import_Export!$B201+GREET1_Import_Export!$E201))+R$73*(GREET1_Import_Export!$D315+GREET1_Import_Export!$E315)+R$74*0.5*GREET1_Import_Export!$B544+R$75*GREET1_Import_Export!$C513+R$77*Steel!$B129+R$78*Steel!$I129</f>
        <v>0.46661822254725344</v>
      </c>
      <c r="S101" s="391">
        <f t="shared" ref="S101:S108" si="17">S87*R$57</f>
        <v>0</v>
      </c>
      <c r="T101" s="1321"/>
      <c r="U101" s="1321"/>
    </row>
    <row r="102" spans="1:21">
      <c r="A102" s="95" t="s">
        <v>822</v>
      </c>
      <c r="B102" s="347">
        <f ca="1">B$67*(B$57*(B$44*GREET1_Import_Export!$K73)+GREET1_Import_Export!$F$200*GREET1_Import_Export!$B202+GREET1_Import_Export!$F202)+B$68*(B$57*(B$50*GREET1_Import_Export!$R73+B$51*GREET1_Import_Export!$C147)+GREET1_Import_Export!$H$200*GREET1_Import_Export!$B202+GREET1_Import_Export!$H202)+B$69*(B$57*(B$48*GREET1_Import_Export!$T73+B$49*GREET1_Import_Export!$C133)+GREET1_Import_Export!$C$200*GREET1_Import_Export!$B202+GREET1_Import_Export!$C202)+B$70*(B$57*(B$45*GREET1_Import_Export!$B73+B$46*GREET1_Import_Export!$C119)+GREET1_Import_Export!$B238)+B$71*(B$57*(B$47*GREET1_Import_Export!$AA73)+GREET1_Import_Export!$C291)+B$72*(B$57*(GREET1_Import_Export!$X73)+GREET1_Import_Export!$B$10*(GREET1_Import_Export!$F$215*GREET1_Import_Export!$B238+GREET1_Import_Export!$F238)+GREET1_Import_Export!$C$10*(GREET1_Import_Export!$E$200*GREET1_Import_Export!$B202+GREET1_Import_Export!$E202))+B$73*(GREET1_Import_Export!$D316+GREET1_Import_Export!$E316)+B$74*0.5*GREET1_Import_Export!$B545+B$75*GREET1_Import_Export!$C514+B$77*Steel!$B130+B$78*Steel!$I130</f>
        <v>1.0015935134345568</v>
      </c>
      <c r="C102" s="391">
        <f t="shared" si="9"/>
        <v>0</v>
      </c>
      <c r="D102" s="349">
        <f ca="1">D$67*(D$57*(GREET1_Import_Export!$K73)+GREET1_Import_Export!$F$200*GREET1_Import_Export!$B202+GREET1_Import_Export!$F202)+D$68*(D$57*(GREET1_Import_Export!$O73)+GREET1_Import_Export!$G$200*GREET1_Import_Export!$B202+GREET1_Import_Export!$G202)+D$69*(D$57*(GREET1_Import_Export!$T73)+GREET1_Import_Export!$C$200*GREET1_Import_Export!$B202+GREET1_Import_Export!$C202)+D$70*(D$57*(GREET1_Import_Export!$B73)+GREET1_Import_Export!$B238)+D$71*(D$57*(GREET1_Import_Export!$AA73)+GREET1_Import_Export!$C291)+D$72*(D$57*(GREET1_Import_Export!$X73)+GREET1_Import_Export!$B$10*(GREET1_Import_Export!$F$215*GREET1_Import_Export!$B238+GREET1_Import_Export!$F238)+GREET1_Import_Export!$C$10*(GREET1_Import_Export!$E$200*GREET1_Import_Export!$B202+GREET1_Import_Export!$E202))+D$73*(GREET1_Import_Export!$D316+GREET1_Import_Export!$E316)+D$74*0.5*GREET1_Import_Export!$B545+D$75*GREET1_Import_Export!$C514+D$77*Steel!$B130+D$78*Steel!$I130</f>
        <v>57.036554599534128</v>
      </c>
      <c r="E102" s="389">
        <f t="shared" si="10"/>
        <v>0</v>
      </c>
      <c r="F102" s="347">
        <f ca="1">F$67*(F$57*(GREET1_Import_Export!$K73)+GREET1_Import_Export!$F$200*GREET1_Import_Export!$B202+GREET1_Import_Export!$F202)+F$68*(F$57*(GREET1_Import_Export!$O73)+GREET1_Import_Export!$G$200*GREET1_Import_Export!$B202+GREET1_Import_Export!$G202)+F$69*(F$57*(GREET1_Import_Export!$T73)+GREET1_Import_Export!$C$200*GREET1_Import_Export!$B202+GREET1_Import_Export!$C202)+F$70*(F$57*(GREET1_Import_Export!$B73)+GREET1_Import_Export!$B238)+F$71*(F$57*(GREET1_Import_Export!$AA73)+GREET1_Import_Export!$C291)+F$72*(F$57*(GREET1_Import_Export!$X73)+GREET1_Import_Export!$B$10*(GREET1_Import_Export!$F$215*GREET1_Import_Export!$B238+GREET1_Import_Export!$F238)+GREET1_Import_Export!$C$10*(GREET1_Import_Export!$E$200*GREET1_Import_Export!$B202+GREET1_Import_Export!$E202))+F$73*(GREET1_Import_Export!$D316+GREET1_Import_Export!$E316)+F$74*0.5*GREET1_Import_Export!$B545+F$75*GREET1_Import_Export!$C514+F$76*GREET1_Import_Export!$B$41*(GREET1_Import_Export!$I$200*GREET1_Import_Export!$B202+GREET1_Import_Export!$I202)/1000000+F$77*Steel!$B130+F$78*Steel!$I130</f>
        <v>17.219184015238916</v>
      </c>
      <c r="G102" s="391">
        <f t="shared" si="11"/>
        <v>0</v>
      </c>
      <c r="H102" s="349">
        <f ca="1">H$67*(H$57*(GREET1_Import_Export!$K73)+GREET1_Import_Export!$F$200*GREET1_Import_Export!$B202+GREET1_Import_Export!$F202)+H$68*(H$57*(GREET1_Import_Export!$O73)+GREET1_Import_Export!$G$200*GREET1_Import_Export!$B202+GREET1_Import_Export!$G202)+H$69*(H$57*(GREET1_Import_Export!$T73)+GREET1_Import_Export!$C$200*GREET1_Import_Export!$B202+GREET1_Import_Export!$C202)+H$70*(H$57*(GREET1_Import_Export!$B73)+GREET1_Import_Export!$B238)+H$71*(H$57*(GREET1_Import_Export!$AA73)+GREET1_Import_Export!$C291)+H$72*(H$57*(GREET1_Import_Export!$X73)+GREET1_Import_Export!$B$10*(GREET1_Import_Export!$F$215*GREET1_Import_Export!$B238+GREET1_Import_Export!$F238)+GREET1_Import_Export!$C$10*(GREET1_Import_Export!$E$200*GREET1_Import_Export!$B202+GREET1_Import_Export!$E202))+H$73*$B35+H$74*0.5*GREET1_Import_Export!$B545+H$75*GREET1_Import_Export!$C514+H$77*Steel!$B130+H$78*Steel!$I130</f>
        <v>124.5512552196103</v>
      </c>
      <c r="I102" s="389">
        <f t="shared" si="12"/>
        <v>0</v>
      </c>
      <c r="J102" s="347">
        <f ca="1">J$67*(J$57*(GREET1_Import_Export!$K73)+GREET1_Import_Export!$F$200*GREET1_Import_Export!$B202+GREET1_Import_Export!$F202)+J$68*(J$57*(GREET1_Import_Export!$O73)+GREET1_Import_Export!$G$200*GREET1_Import_Export!$B202+GREET1_Import_Export!$G202)+J$69*(J$57*(GREET1_Import_Export!$T73)+GREET1_Import_Export!$C$200*GREET1_Import_Export!$B202+GREET1_Import_Export!$C202)+J$70*(J$57*(GREET1_Import_Export!$B73)+GREET1_Import_Export!$B238)+J$71*(J$57*(GREET1_Import_Export!$AA73)+GREET1_Import_Export!$C291)+J$72*(J$57*(GREET1_Import_Export!$X73)+GREET1_Import_Export!$B$10*(GREET1_Import_Export!$F$215*GREET1_Import_Export!$B238+GREET1_Import_Export!$F238)+GREET1_Import_Export!$C$10*(GREET1_Import_Export!$E$200*GREET1_Import_Export!$B202+GREET1_Import_Export!$E202))+J$73*(GREET1_Import_Export!$D316+GREET1_Import_Export!$E316)+J$74*0.5*GREET1_Import_Export!$B545+J$75*GREET1_Import_Export!$C514+J$76*GREET1_Import_Export!$B$41*(GREET1_Import_Export!$I$200*GREET1_Import_Export!$B202+GREET1_Import_Export!$I202)/1000000+J$77*Steel!$B130+J$78*Steel!$I130</f>
        <v>3.426452963575163</v>
      </c>
      <c r="K102" s="391">
        <f t="shared" si="13"/>
        <v>0</v>
      </c>
      <c r="L102" s="349">
        <f ca="1">L$67*(L$57*(GREET1_Import_Export!$K73)+GREET1_Import_Export!$F$200*GREET1_Import_Export!$B202+GREET1_Import_Export!$F202)+L$68*(L$57*(GREET1_Import_Export!$O73)+GREET1_Import_Export!$G$200*GREET1_Import_Export!$B202+GREET1_Import_Export!$G202)+L$69*(L$57*(GREET1_Import_Export!$T73)+GREET1_Import_Export!$C$200*GREET1_Import_Export!$B202+GREET1_Import_Export!$C202)+L$70*(L$57*(GREET1_Import_Export!$B73)+GREET1_Import_Export!$B238)+L$71*(L$57*(GREET1_Import_Export!$AA73)+GREET1_Import_Export!$C291)+L$72*(L$57*(GREET1_Import_Export!$X73)+GREET1_Import_Export!$B$10*(GREET1_Import_Export!$F$215*GREET1_Import_Export!$B238+GREET1_Import_Export!$F238)+GREET1_Import_Export!$C$10*(GREET1_Import_Export!$E$200*GREET1_Import_Export!$B202+GREET1_Import_Export!$E202))+L$73*(GREET1_Import_Export!$D316+GREET1_Import_Export!$E316)+L$74*0.5*GREET1_Import_Export!$B545+L$75*GREET1_Import_Export!$C514+L$76*GREET1_Import_Export!$B$41*(GREET1_Import_Export!$I$200*GREET1_Import_Export!$B202+GREET1_Import_Export!$I202)/1000000+L$77*Steel!$B130+L$78*Steel!$I130</f>
        <v>4.349926858256052</v>
      </c>
      <c r="M102" s="389">
        <f t="shared" si="14"/>
        <v>0</v>
      </c>
      <c r="N102" s="347">
        <f ca="1">N$67*(N$57*(GREET1_Import_Export!$K73)+GREET1_Import_Export!$F$200*GREET1_Import_Export!$B202+GREET1_Import_Export!$F202)+N$68*(N$57*(GREET1_Import_Export!$O73)+GREET1_Import_Export!$G$200*GREET1_Import_Export!$B202+GREET1_Import_Export!$G202)+N$69*(N$57*(GREET1_Import_Export!$T73)+GREET1_Import_Export!$C$200*GREET1_Import_Export!$B202+GREET1_Import_Export!$C202)+N$70*(N$57*(GREET1_Import_Export!$B73)+GREET1_Import_Export!$B238)+N$71*(N$57*(GREET1_Import_Export!$AA73)+GREET1_Import_Export!$C291)+N$72*(N$57*(GREET1_Import_Export!$X73)+GREET1_Import_Export!$B$10*(GREET1_Import_Export!$F$215*GREET1_Import_Export!$B238+GREET1_Import_Export!$F238)+GREET1_Import_Export!$C$10*(GREET1_Import_Export!$E$200*GREET1_Import_Export!$B202+GREET1_Import_Export!$E202))+N$73*(GREET1_Import_Export!$D316+GREET1_Import_Export!$E316)+N$74*0.5*GREET1_Import_Export!$B545+N$75*GREET1_Import_Export!$C514+N$76*GREET1_Import_Export!$B$41*(GREET1_Import_Export!$I$200*GREET1_Import_Export!$B202+GREET1_Import_Export!$I202)/1000000+N$77*Steel!$B130+N$78*Steel!$I130+N$79*(SUM($B139:$E139)*$F$113+$F139)</f>
        <v>30.609226787981065</v>
      </c>
      <c r="O102" s="391">
        <f t="shared" si="15"/>
        <v>0</v>
      </c>
      <c r="P102" s="347">
        <f ca="1">P$67*(P$57*(GREET1_Import_Export!$K73)+GREET1_Import_Export!$F$200*GREET1_Import_Export!$B202+GREET1_Import_Export!$F202)+P$68*(P$57*(GREET1_Import_Export!$O73)+GREET1_Import_Export!$G$200*GREET1_Import_Export!$B202+GREET1_Import_Export!$G202)+P$69*(P$57*(GREET1_Import_Export!$T73)+GREET1_Import_Export!$C$200*GREET1_Import_Export!$B202+GREET1_Import_Export!$C202)+P$70*(P$57*(GREET1_Import_Export!$B73)+GREET1_Import_Export!$B238)+P$71*(P$57*(GREET1_Import_Export!$AA73)+GREET1_Import_Export!$C291)+P$72*(P$57*(GREET1_Import_Export!$X73)+GREET1_Import_Export!$B$10*(GREET1_Import_Export!$F$215*GREET1_Import_Export!$B238+GREET1_Import_Export!$F238)+GREET1_Import_Export!$C$10*(GREET1_Import_Export!$E$200*GREET1_Import_Export!$B202+GREET1_Import_Export!$E202))+P$73*(GREET1_Import_Export!$D316+GREET1_Import_Export!$E316)+P$74*0.5*GREET1_Import_Export!$B545+P$75*GREET1_Import_Export!$C514+P$77*Steel!$B130+P$78*Steel!$I130</f>
        <v>21.751174616172509</v>
      </c>
      <c r="Q102" s="391">
        <f t="shared" si="16"/>
        <v>0</v>
      </c>
      <c r="R102" s="349">
        <f ca="1">R$67*(R$57*(GREET1_Import_Export!$K73)+GREET1_Import_Export!$F$200*GREET1_Import_Export!$B202+GREET1_Import_Export!$F202)+R$68*(R$57*(GREET1_Import_Export!$O73)+GREET1_Import_Export!$G$200*GREET1_Import_Export!$B202+GREET1_Import_Export!$G202)+R$69*(R$57*(GREET1_Import_Export!$T73)+GREET1_Import_Export!$C$200*GREET1_Import_Export!$B202+GREET1_Import_Export!$C202)+R$70*(R$57*(GREET1_Import_Export!$B73)+GREET1_Import_Export!$B238)+R$71*(R$57*(GREET1_Import_Export!$AA73)+GREET1_Import_Export!$C291)+R$72*(R$57*(GREET1_Import_Export!$X73)+GREET1_Import_Export!$B$10*(GREET1_Import_Export!$F$215*GREET1_Import_Export!$B238+GREET1_Import_Export!$F238)+GREET1_Import_Export!$C$10*(GREET1_Import_Export!$E$200*GREET1_Import_Export!$B202+GREET1_Import_Export!$E202))+R$73*(GREET1_Import_Export!$D316+GREET1_Import_Export!$E316)+R$74*0.5*GREET1_Import_Export!$B545+R$75*GREET1_Import_Export!$C514+R$77*Steel!$B130+R$78*Steel!$I130</f>
        <v>3.4448430417145355</v>
      </c>
      <c r="S102" s="391">
        <f t="shared" si="17"/>
        <v>0</v>
      </c>
      <c r="T102" s="1321"/>
      <c r="U102" s="1321"/>
    </row>
    <row r="103" spans="1:21">
      <c r="A103" s="95" t="s">
        <v>823</v>
      </c>
      <c r="B103" s="347">
        <f ca="1">B$67*(B$57*(B$44*GREET1_Import_Export!$K74)+GREET1_Import_Export!$F$200*GREET1_Import_Export!$B203+GREET1_Import_Export!$F203)+B$68*(B$57*(B$50*GREET1_Import_Export!$R74+B$51*GREET1_Import_Export!$C148)+GREET1_Import_Export!$H$200*GREET1_Import_Export!$B203+GREET1_Import_Export!$H203)+B$69*(B$57*(B$48*GREET1_Import_Export!$T74+B$49*GREET1_Import_Export!$C134)+GREET1_Import_Export!$C$200*GREET1_Import_Export!$B203+GREET1_Import_Export!$C203)+B$70*(B$57*(B$45*GREET1_Import_Export!$B74+B$46*GREET1_Import_Export!$C120)+GREET1_Import_Export!$B239)+B$71*(B$57*(B$47*GREET1_Import_Export!$AA74)+GREET1_Import_Export!$C292)+B$72*(B$57*(GREET1_Import_Export!$X74)+GREET1_Import_Export!$B$10*(GREET1_Import_Export!$F$215*GREET1_Import_Export!$B239+GREET1_Import_Export!$F239)+GREET1_Import_Export!$C$10*(GREET1_Import_Export!$E$200*GREET1_Import_Export!$B203+GREET1_Import_Export!$E203))+B$73*(GREET1_Import_Export!$D317+GREET1_Import_Export!$E317)+B$74*0.5*GREET1_Import_Export!$B546+B$75*GREET1_Import_Export!$C515+B$77*Steel!$B131+B$78*Steel!$I131</f>
        <v>1.7316054452976171</v>
      </c>
      <c r="C103" s="391">
        <f t="shared" si="9"/>
        <v>0</v>
      </c>
      <c r="D103" s="349">
        <f ca="1">D$67*(D$57*(GREET1_Import_Export!$K74)+GREET1_Import_Export!$F$200*GREET1_Import_Export!$B203+GREET1_Import_Export!$F203)+D$68*(D$57*(GREET1_Import_Export!$O74)+GREET1_Import_Export!$G$200*GREET1_Import_Export!$B203+GREET1_Import_Export!$G203)+D$69*(D$57*(GREET1_Import_Export!$T74)+GREET1_Import_Export!$C$200*GREET1_Import_Export!$B203+GREET1_Import_Export!$C203)+D$70*(D$57*(GREET1_Import_Export!$B74)+GREET1_Import_Export!$B239)+D$71*(D$57*(GREET1_Import_Export!$AA74)+GREET1_Import_Export!$C292)+D$72*(D$57*(GREET1_Import_Export!$X74)+GREET1_Import_Export!$B$10*(GREET1_Import_Export!$F$215*GREET1_Import_Export!$B239+GREET1_Import_Export!$F239)+GREET1_Import_Export!$C$10*(GREET1_Import_Export!$E$200*GREET1_Import_Export!$B203+GREET1_Import_Export!$E203))+D$73*(GREET1_Import_Export!$D317+GREET1_Import_Export!$E317)+D$74*0.5*GREET1_Import_Export!$B546+D$75*GREET1_Import_Export!$C515+D$77*Steel!$B131+D$78*Steel!$I131</f>
        <v>89.857886665992183</v>
      </c>
      <c r="E103" s="389">
        <f t="shared" si="10"/>
        <v>0</v>
      </c>
      <c r="F103" s="347">
        <f ca="1">F$67*(F$57*(GREET1_Import_Export!$K74)+GREET1_Import_Export!$F$200*GREET1_Import_Export!$B203+GREET1_Import_Export!$F203)+F$68*(F$57*(GREET1_Import_Export!$O74)+GREET1_Import_Export!$G$200*GREET1_Import_Export!$B203+GREET1_Import_Export!$G203)+F$69*(F$57*(GREET1_Import_Export!$T74)+GREET1_Import_Export!$C$200*GREET1_Import_Export!$B203+GREET1_Import_Export!$C203)+F$70*(F$57*(GREET1_Import_Export!$B74)+GREET1_Import_Export!$B239)+F$71*(F$57*(GREET1_Import_Export!$AA74)+GREET1_Import_Export!$C292)+F$72*(F$57*(GREET1_Import_Export!$X74)+GREET1_Import_Export!$B$10*(GREET1_Import_Export!$F$215*GREET1_Import_Export!$B239+GREET1_Import_Export!$F239)+GREET1_Import_Export!$C$10*(GREET1_Import_Export!$E$200*GREET1_Import_Export!$B203+GREET1_Import_Export!$E203))+F$73*(GREET1_Import_Export!$D317+GREET1_Import_Export!$E317)+F$74*0.5*GREET1_Import_Export!$B546+F$75*GREET1_Import_Export!$C515+F$76*GREET1_Import_Export!$B$41*(GREET1_Import_Export!$I$200*GREET1_Import_Export!$B203+GREET1_Import_Export!$I203)/1000000+F$77*Steel!$B131+F$78*Steel!$I131</f>
        <v>27.79925595518861</v>
      </c>
      <c r="G103" s="391">
        <f t="shared" si="11"/>
        <v>0</v>
      </c>
      <c r="H103" s="349">
        <f ca="1">H$67*(H$57*(GREET1_Import_Export!$K74)+GREET1_Import_Export!$F$197*GREET1_Import_Export!$B200+GREET1_Import_Export!$F200)+H$68*(H$57*(GREET1_Import_Export!$O74)+GREET1_Import_Export!$G$197*GREET1_Import_Export!$B200+GREET1_Import_Export!$G200)+H$69*(H$57*(GREET1_Import_Export!$T74)+GREET1_Import_Export!$C$197*GREET1_Import_Export!$B200+GREET1_Import_Export!$C200)+H$70*(H$57*(GREET1_Import_Export!$B74)+GREET1_Import_Export!$B236)+H$71*(H$57*(GREET1_Import_Export!$AA74)+GREET1_Import_Export!$C289)+H$72*(H$57*(GREET1_Import_Export!$X74)+GREET1_Import_Export!$B$10*(GREET1_Import_Export!$F$212*GREET1_Import_Export!$B236+GREET1_Import_Export!$F236)+GREET1_Import_Export!$C$10*(GREET1_Import_Export!$E$197*GREET1_Import_Export!$B200+GREET1_Import_Export!$E200))+H$73*$B36+H$74*0.5*GREET1_Import_Export!$B543+H$75*GREET1_Import_Export!$C512+H$77*Steel!$B131+H$78*Steel!$I131</f>
        <v>502.62502549552994</v>
      </c>
      <c r="I103" s="389">
        <f t="shared" si="12"/>
        <v>0</v>
      </c>
      <c r="J103" s="347">
        <f ca="1">J$67*(J$57*(GREET1_Import_Export!$K74)+GREET1_Import_Export!$F$200*GREET1_Import_Export!$B203+GREET1_Import_Export!$F203)+J$68*(J$57*(GREET1_Import_Export!$O74)+GREET1_Import_Export!$G$200*GREET1_Import_Export!$B203+GREET1_Import_Export!$G203)+J$69*(J$57*(GREET1_Import_Export!$T74)+GREET1_Import_Export!$C$200*GREET1_Import_Export!$B203+GREET1_Import_Export!$C203)+J$70*(J$57*(GREET1_Import_Export!$B74)+GREET1_Import_Export!$B239)+J$71*(J$57*(GREET1_Import_Export!$AA74)+GREET1_Import_Export!$C292)+J$72*(J$57*(GREET1_Import_Export!$X74)+GREET1_Import_Export!$B$10*(GREET1_Import_Export!$F$215*GREET1_Import_Export!$B239+GREET1_Import_Export!$F239)+GREET1_Import_Export!$C$10*(GREET1_Import_Export!$E$200*GREET1_Import_Export!$B203+GREET1_Import_Export!$E203))+J$73*(GREET1_Import_Export!$D317+GREET1_Import_Export!$E317)+J$74*0.5*GREET1_Import_Export!$B546+J$75*GREET1_Import_Export!$C515+J$76*GREET1_Import_Export!$B$41*(GREET1_Import_Export!$I$200*GREET1_Import_Export!$B203+GREET1_Import_Export!$I203)/1000000+J$77*Steel!$B131+J$78*Steel!$I131</f>
        <v>6.5526268056182833</v>
      </c>
      <c r="K103" s="391">
        <f t="shared" si="13"/>
        <v>0</v>
      </c>
      <c r="L103" s="349">
        <f ca="1">L$67*(L$57*(GREET1_Import_Export!$K74)+GREET1_Import_Export!$F$200*GREET1_Import_Export!$B203+GREET1_Import_Export!$F203)+L$68*(L$57*(GREET1_Import_Export!$O74)+GREET1_Import_Export!$G$200*GREET1_Import_Export!$B203+GREET1_Import_Export!$G203)+L$69*(L$57*(GREET1_Import_Export!$T74)+GREET1_Import_Export!$C$200*GREET1_Import_Export!$B203+GREET1_Import_Export!$C203)+L$70*(L$57*(GREET1_Import_Export!$B74)+GREET1_Import_Export!$B239)+L$71*(L$57*(GREET1_Import_Export!$AA74)+GREET1_Import_Export!$C292)+L$72*(L$57*(GREET1_Import_Export!$X74)+GREET1_Import_Export!$B$10*(GREET1_Import_Export!$F$215*GREET1_Import_Export!$B239+GREET1_Import_Export!$F239)+GREET1_Import_Export!$C$10*(GREET1_Import_Export!$E$200*GREET1_Import_Export!$B203+GREET1_Import_Export!$E203))+L$73*(GREET1_Import_Export!$D317+GREET1_Import_Export!$E317)+L$74*0.5*GREET1_Import_Export!$B546+L$75*GREET1_Import_Export!$C515+L$76*GREET1_Import_Export!$B$41*(GREET1_Import_Export!$I$200*GREET1_Import_Export!$B203+GREET1_Import_Export!$I203)/1000000+L$77*Steel!$B131+L$78*Steel!$I131</f>
        <v>9.1245603254155867</v>
      </c>
      <c r="M103" s="389">
        <f t="shared" si="14"/>
        <v>0</v>
      </c>
      <c r="N103" s="347">
        <f ca="1">N$67*(N$57*(GREET1_Import_Export!$K74)+GREET1_Import_Export!$F$200*GREET1_Import_Export!$B203+GREET1_Import_Export!$F203)+N$68*(N$57*(GREET1_Import_Export!$O74)+GREET1_Import_Export!$G$200*GREET1_Import_Export!$B203+GREET1_Import_Export!$G203)+N$69*(N$57*(GREET1_Import_Export!$T74)+GREET1_Import_Export!$C$200*GREET1_Import_Export!$B203+GREET1_Import_Export!$C203)+N$70*(N$57*(GREET1_Import_Export!$B74)+GREET1_Import_Export!$B239)+N$71*(N$57*(GREET1_Import_Export!$AA74)+GREET1_Import_Export!$C292)+N$72*(N$57*(GREET1_Import_Export!$X74)+GREET1_Import_Export!$B$10*(GREET1_Import_Export!$F$215*GREET1_Import_Export!$B239+GREET1_Import_Export!$F239)+GREET1_Import_Export!$C$10*(GREET1_Import_Export!$E$200*GREET1_Import_Export!$B203+GREET1_Import_Export!$E203))+N$73*(GREET1_Import_Export!$D317+GREET1_Import_Export!$E317)+N$74*0.5*GREET1_Import_Export!$B546+N$75*GREET1_Import_Export!$C515+N$76*GREET1_Import_Export!$B$41*(GREET1_Import_Export!$I$200*GREET1_Import_Export!$B203+GREET1_Import_Export!$I203)/1000000+N$77*Steel!$B131+N$78*Steel!$I131+N$79*(SUM($B140:$E140)*$F$113+$F140)</f>
        <v>71.858268946099869</v>
      </c>
      <c r="O103" s="391">
        <f t="shared" si="15"/>
        <v>0</v>
      </c>
      <c r="P103" s="347">
        <f ca="1">P$67*(P$57*(GREET1_Import_Export!$K74)+GREET1_Import_Export!$F$200*GREET1_Import_Export!$B203+GREET1_Import_Export!$F203)+P$68*(P$57*(GREET1_Import_Export!$O74)+GREET1_Import_Export!$G$200*GREET1_Import_Export!$B203+GREET1_Import_Export!$G203)+P$69*(P$57*(GREET1_Import_Export!$T74)+GREET1_Import_Export!$C$200*GREET1_Import_Export!$B203+GREET1_Import_Export!$C203)+P$70*(P$57*(GREET1_Import_Export!$B74)+GREET1_Import_Export!$B239)+P$71*(P$57*(GREET1_Import_Export!$AA74)+GREET1_Import_Export!$C292)+P$72*(P$57*(GREET1_Import_Export!$X74)+GREET1_Import_Export!$B$10*(GREET1_Import_Export!$F$215*GREET1_Import_Export!$B239+GREET1_Import_Export!$F239)+GREET1_Import_Export!$C$10*(GREET1_Import_Export!$E$200*GREET1_Import_Export!$B203+GREET1_Import_Export!$E203))+P$73*(GREET1_Import_Export!$D317+GREET1_Import_Export!$E317)+P$74*0.5*GREET1_Import_Export!$B546+P$75*GREET1_Import_Export!$C515+P$77*Steel!$B131+P$78*Steel!$I131</f>
        <v>25.782054050194315</v>
      </c>
      <c r="Q103" s="391">
        <f t="shared" si="16"/>
        <v>0</v>
      </c>
      <c r="R103" s="349">
        <f ca="1">R$67*(R$57*(GREET1_Import_Export!$K74)+GREET1_Import_Export!$F$200*GREET1_Import_Export!$B203+GREET1_Import_Export!$F203)+R$68*(R$57*(GREET1_Import_Export!$O74)+GREET1_Import_Export!$G$200*GREET1_Import_Export!$B203+GREET1_Import_Export!$G203)+R$69*(R$57*(GREET1_Import_Export!$T74)+GREET1_Import_Export!$C$200*GREET1_Import_Export!$B203+GREET1_Import_Export!$C203)+R$70*(R$57*(GREET1_Import_Export!$B74)+GREET1_Import_Export!$B239)+R$71*(R$57*(GREET1_Import_Export!$AA74)+GREET1_Import_Export!$C292)+R$72*(R$57*(GREET1_Import_Export!$X74)+GREET1_Import_Export!$B$10*(GREET1_Import_Export!$F$215*GREET1_Import_Export!$B239+GREET1_Import_Export!$F239)+GREET1_Import_Export!$C$10*(GREET1_Import_Export!$E$200*GREET1_Import_Export!$B203+GREET1_Import_Export!$E203))+R$73*(GREET1_Import_Export!$D317+GREET1_Import_Export!$E317)+R$74*0.5*GREET1_Import_Export!$B546+R$75*GREET1_Import_Export!$C515+R$77*Steel!$B131+R$78*Steel!$I131</f>
        <v>10.288953337676208</v>
      </c>
      <c r="S103" s="391">
        <f t="shared" si="17"/>
        <v>0</v>
      </c>
      <c r="T103" s="1321"/>
      <c r="U103" s="1321"/>
    </row>
    <row r="104" spans="1:21">
      <c r="A104" s="95" t="s">
        <v>824</v>
      </c>
      <c r="B104" s="347">
        <f ca="1">B$67*(B$57*(B$44*GREET1_Import_Export!$K75)+GREET1_Import_Export!$F$200*GREET1_Import_Export!$B204+GREET1_Import_Export!$F204)+B$68*(B$57*(B$50*GREET1_Import_Export!$R75+B$51*GREET1_Import_Export!$C149)+GREET1_Import_Export!$H$200*GREET1_Import_Export!$B204+GREET1_Import_Export!$H204)+B$69*(B$57*(B$48*GREET1_Import_Export!$T75+B$49*GREET1_Import_Export!$C135)+GREET1_Import_Export!$C$200*GREET1_Import_Export!$B204+GREET1_Import_Export!$C204)+B$70*(B$57*(B$45*GREET1_Import_Export!$B75+B$46*GREET1_Import_Export!$C121)+GREET1_Import_Export!$B240)+B$71*(B$57*(B$47*GREET1_Import_Export!$AA75)+GREET1_Import_Export!$C293)+B$72*(B$57*(GREET1_Import_Export!$X75)+GREET1_Import_Export!$B$10*(GREET1_Import_Export!$F$215*GREET1_Import_Export!$B240+GREET1_Import_Export!$F240)+GREET1_Import_Export!$C$10*(GREET1_Import_Export!$E$200*GREET1_Import_Export!$B204+GREET1_Import_Export!$E204))+B$73*(GREET1_Import_Export!$D318+GREET1_Import_Export!$E318)+B$74*0.5*GREET1_Import_Export!$B547+B$75*GREET1_Import_Export!$C516+B$77*Steel!$B132+B$78*Steel!$I132</f>
        <v>0.29915834092700511</v>
      </c>
      <c r="C104" s="391">
        <f t="shared" si="9"/>
        <v>0</v>
      </c>
      <c r="D104" s="349">
        <f ca="1">D$67*(D$57*(GREET1_Import_Export!$K75)+GREET1_Import_Export!$F$200*GREET1_Import_Export!$B204+GREET1_Import_Export!$F204)+D$68*(D$57*(GREET1_Import_Export!$O75)+GREET1_Import_Export!$G$200*GREET1_Import_Export!$B204+GREET1_Import_Export!$G204)+D$69*(D$57*(GREET1_Import_Export!$T75)+GREET1_Import_Export!$C$200*GREET1_Import_Export!$B204+GREET1_Import_Export!$C204)+D$70*(D$57*(GREET1_Import_Export!$B75)+GREET1_Import_Export!$B240)+D$71*(D$57*(GREET1_Import_Export!$AA75)+GREET1_Import_Export!$C293)+D$72*(D$57*(GREET1_Import_Export!$X75)+GREET1_Import_Export!$B$10*(GREET1_Import_Export!$F$215*GREET1_Import_Export!$B240+GREET1_Import_Export!$F240)+GREET1_Import_Export!$C$10*(GREET1_Import_Export!$E$200*GREET1_Import_Export!$B204+GREET1_Import_Export!$E204))+D$73*(GREET1_Import_Export!$D318+GREET1_Import_Export!$E318)+D$74*0.5*GREET1_Import_Export!$B547+D$75*GREET1_Import_Export!$C516+D$77*Steel!$B132+D$78*Steel!$I132</f>
        <v>5.878880486395766</v>
      </c>
      <c r="E104" s="389">
        <f t="shared" si="10"/>
        <v>0</v>
      </c>
      <c r="F104" s="347">
        <f ca="1">F$67*(F$57*(GREET1_Import_Export!$K75)+GREET1_Import_Export!$F$200*GREET1_Import_Export!$B204+GREET1_Import_Export!$F204)+F$68*(F$57*(GREET1_Import_Export!$O75)+GREET1_Import_Export!$G$200*GREET1_Import_Export!$B204+GREET1_Import_Export!$G204)+F$69*(F$57*(GREET1_Import_Export!$T75)+GREET1_Import_Export!$C$200*GREET1_Import_Export!$B204+GREET1_Import_Export!$C204)+F$70*(F$57*(GREET1_Import_Export!$B75)+GREET1_Import_Export!$B240)+F$71*(F$57*(GREET1_Import_Export!$AA75)+GREET1_Import_Export!$C293)+F$72*(F$57*(GREET1_Import_Export!$X75)+GREET1_Import_Export!$B$10*(GREET1_Import_Export!$F$215*GREET1_Import_Export!$B240+GREET1_Import_Export!$F240)+GREET1_Import_Export!$C$10*(GREET1_Import_Export!$E$200*GREET1_Import_Export!$B204+GREET1_Import_Export!$E204))+F$73*(GREET1_Import_Export!$D318+GREET1_Import_Export!$E318)+F$74*0.5*GREET1_Import_Export!$B547+F$75*GREET1_Import_Export!$C516+F$76*GREET1_Import_Export!$B$41*(GREET1_Import_Export!$I$200*GREET1_Import_Export!$B204+GREET1_Import_Export!$I204)/1000000+F$77*Steel!$B132+F$78*Steel!$I132</f>
        <v>4.715271286673377</v>
      </c>
      <c r="G104" s="391">
        <f t="shared" si="11"/>
        <v>0</v>
      </c>
      <c r="H104" s="349">
        <f ca="1">H$67*(H$57*(GREET1_Import_Export!$K75)+GREET1_Import_Export!$F$197*GREET1_Import_Export!$B201+GREET1_Import_Export!$F201)+H$68*(H$57*(GREET1_Import_Export!$O75)+GREET1_Import_Export!$G$197*GREET1_Import_Export!$B201+GREET1_Import_Export!$G201)+H$69*(H$57*(GREET1_Import_Export!$T75)+GREET1_Import_Export!$C$197*GREET1_Import_Export!$B201+GREET1_Import_Export!$C201)+H$70*(H$57*(GREET1_Import_Export!$B75)+GREET1_Import_Export!$B237)+H$71*(H$57*(GREET1_Import_Export!$AA75)+GREET1_Import_Export!$C290)+H$72*(H$57*(GREET1_Import_Export!$X75)+GREET1_Import_Export!$B$10*(GREET1_Import_Export!$F$212*GREET1_Import_Export!$B237+GREET1_Import_Export!$F237)+GREET1_Import_Export!$C$10*(GREET1_Import_Export!$E$197*GREET1_Import_Export!$B201+GREET1_Import_Export!$E201))+H$73*$B37+H$74*0.5*GREET1_Import_Export!$B544+H$75*GREET1_Import_Export!$C513+H$77*Steel!$B132+H$78*Steel!$I132</f>
        <v>65.122723929484607</v>
      </c>
      <c r="I104" s="389">
        <f t="shared" si="12"/>
        <v>0</v>
      </c>
      <c r="J104" s="347">
        <f ca="1">J$67*(J$57*(GREET1_Import_Export!$K75)+GREET1_Import_Export!$F$200*GREET1_Import_Export!$B204+GREET1_Import_Export!$F204)+J$68*(J$57*(GREET1_Import_Export!$O75)+GREET1_Import_Export!$G$200*GREET1_Import_Export!$B204+GREET1_Import_Export!$G204)+J$69*(J$57*(GREET1_Import_Export!$T75)+GREET1_Import_Export!$C$200*GREET1_Import_Export!$B204+GREET1_Import_Export!$C204)+J$70*(J$57*(GREET1_Import_Export!$B75)+GREET1_Import_Export!$B240)+J$71*(J$57*(GREET1_Import_Export!$AA75)+GREET1_Import_Export!$C293)+J$72*(J$57*(GREET1_Import_Export!$X75)+GREET1_Import_Export!$B$10*(GREET1_Import_Export!$F$215*GREET1_Import_Export!$B240+GREET1_Import_Export!$F240)+GREET1_Import_Export!$C$10*(GREET1_Import_Export!$E$200*GREET1_Import_Export!$B204+GREET1_Import_Export!$E204))+J$73*(GREET1_Import_Export!$D318+GREET1_Import_Export!$E318)+J$74*0.5*GREET1_Import_Export!$B547+J$75*GREET1_Import_Export!$C516+J$76*GREET1_Import_Export!$B$41*(GREET1_Import_Export!$I$200*GREET1_Import_Export!$B204+GREET1_Import_Export!$I204)/1000000+J$77*Steel!$B132+J$78*Steel!$I132</f>
        <v>0.59997683116797107</v>
      </c>
      <c r="K104" s="391">
        <f t="shared" si="13"/>
        <v>0</v>
      </c>
      <c r="L104" s="349">
        <f ca="1">L$67*(L$57*(GREET1_Import_Export!$K75)+GREET1_Import_Export!$F$200*GREET1_Import_Export!$B204+GREET1_Import_Export!$F204)+L$68*(L$57*(GREET1_Import_Export!$O75)+GREET1_Import_Export!$G$200*GREET1_Import_Export!$B204+GREET1_Import_Export!$G204)+L$69*(L$57*(GREET1_Import_Export!$T75)+GREET1_Import_Export!$C$200*GREET1_Import_Export!$B204+GREET1_Import_Export!$C204)+L$70*(L$57*(GREET1_Import_Export!$B75)+GREET1_Import_Export!$B240)+L$71*(L$57*(GREET1_Import_Export!$AA75)+GREET1_Import_Export!$C293)+L$72*(L$57*(GREET1_Import_Export!$X75)+GREET1_Import_Export!$B$10*(GREET1_Import_Export!$F$215*GREET1_Import_Export!$B240+GREET1_Import_Export!$F240)+GREET1_Import_Export!$C$10*(GREET1_Import_Export!$E$200*GREET1_Import_Export!$B204+GREET1_Import_Export!$E204))+L$73*(GREET1_Import_Export!$D318+GREET1_Import_Export!$E318)+L$74*0.5*GREET1_Import_Export!$B547+L$75*GREET1_Import_Export!$C516+L$76*GREET1_Import_Export!$B$41*(GREET1_Import_Export!$I$200*GREET1_Import_Export!$B204+GREET1_Import_Export!$I204)/1000000+L$77*Steel!$B132+L$78*Steel!$I132</f>
        <v>0.8893000424828621</v>
      </c>
      <c r="M104" s="389">
        <f t="shared" si="14"/>
        <v>0</v>
      </c>
      <c r="N104" s="347">
        <f ca="1">N$67*(N$57*(GREET1_Import_Export!$K75)+GREET1_Import_Export!$F$200*GREET1_Import_Export!$B204+GREET1_Import_Export!$F204)+N$68*(N$57*(GREET1_Import_Export!$O75)+GREET1_Import_Export!$G$200*GREET1_Import_Export!$B204+GREET1_Import_Export!$G204)+N$69*(N$57*(GREET1_Import_Export!$T75)+GREET1_Import_Export!$C$200*GREET1_Import_Export!$B204+GREET1_Import_Export!$C204)+N$70*(N$57*(GREET1_Import_Export!$B75)+GREET1_Import_Export!$B240)+N$71*(N$57*(GREET1_Import_Export!$AA75)+GREET1_Import_Export!$C293)+N$72*(N$57*(GREET1_Import_Export!$X75)+GREET1_Import_Export!$B$10*(GREET1_Import_Export!$F$215*GREET1_Import_Export!$B240+GREET1_Import_Export!$F240)+GREET1_Import_Export!$C$10*(GREET1_Import_Export!$E$200*GREET1_Import_Export!$B204+GREET1_Import_Export!$E204))+N$73*(GREET1_Import_Export!$D318+GREET1_Import_Export!$E318)+N$74*0.5*GREET1_Import_Export!$B547+N$75*GREET1_Import_Export!$C516+N$76*GREET1_Import_Export!$B$41*(GREET1_Import_Export!$I$200*GREET1_Import_Export!$B204+GREET1_Import_Export!$I204)/1000000+N$77*Steel!$B132+N$78*Steel!$I132+N$79*(SUM($B141:$E141)*$F$113+$F141)</f>
        <v>7.1850700448960536</v>
      </c>
      <c r="O104" s="391">
        <f t="shared" si="15"/>
        <v>0</v>
      </c>
      <c r="P104" s="347">
        <f ca="1">P$67*(P$57*(GREET1_Import_Export!$K75)+GREET1_Import_Export!$F$200*GREET1_Import_Export!$B204+GREET1_Import_Export!$F204)+P$68*(P$57*(GREET1_Import_Export!$O75)+GREET1_Import_Export!$G$200*GREET1_Import_Export!$B204+GREET1_Import_Export!$G204)+P$69*(P$57*(GREET1_Import_Export!$T75)+GREET1_Import_Export!$C$200*GREET1_Import_Export!$B204+GREET1_Import_Export!$C204)+P$70*(P$57*(GREET1_Import_Export!$B75)+GREET1_Import_Export!$B240)+P$71*(P$57*(GREET1_Import_Export!$AA75)+GREET1_Import_Export!$C293)+P$72*(P$57*(GREET1_Import_Export!$X75)+GREET1_Import_Export!$B$10*(GREET1_Import_Export!$F$215*GREET1_Import_Export!$B240+GREET1_Import_Export!$F240)+GREET1_Import_Export!$C$10*(GREET1_Import_Export!$E$200*GREET1_Import_Export!$B204+GREET1_Import_Export!$E204))+P$73*(GREET1_Import_Export!$D318+GREET1_Import_Export!$E318)+P$74*0.5*GREET1_Import_Export!$B547+P$75*GREET1_Import_Export!$C516+P$77*Steel!$B132+P$78*Steel!$I132</f>
        <v>0.11060117046678213</v>
      </c>
      <c r="Q104" s="391">
        <f t="shared" si="16"/>
        <v>0</v>
      </c>
      <c r="R104" s="349">
        <f ca="1">R$67*(R$57*(GREET1_Import_Export!$K75)+GREET1_Import_Export!$F$200*GREET1_Import_Export!$B204+GREET1_Import_Export!$F204)+R$68*(R$57*(GREET1_Import_Export!$O75)+GREET1_Import_Export!$G$200*GREET1_Import_Export!$B204+GREET1_Import_Export!$G204)+R$69*(R$57*(GREET1_Import_Export!$T75)+GREET1_Import_Export!$C$200*GREET1_Import_Export!$B204+GREET1_Import_Export!$C204)+R$70*(R$57*(GREET1_Import_Export!$B75)+GREET1_Import_Export!$B240)+R$71*(R$57*(GREET1_Import_Export!$AA75)+GREET1_Import_Export!$C293)+R$72*(R$57*(GREET1_Import_Export!$X75)+GREET1_Import_Export!$B$10*(GREET1_Import_Export!$F$215*GREET1_Import_Export!$B240+GREET1_Import_Export!$F240)+GREET1_Import_Export!$C$10*(GREET1_Import_Export!$E$200*GREET1_Import_Export!$B204+GREET1_Import_Export!$E204))+R$73*(GREET1_Import_Export!$D318+GREET1_Import_Export!$E318)+R$74*0.5*GREET1_Import_Export!$B547+R$75*GREET1_Import_Export!$C516+R$77*Steel!$B132+R$78*Steel!$I132</f>
        <v>1.3736912953723162</v>
      </c>
      <c r="S104" s="391">
        <f t="shared" si="17"/>
        <v>0</v>
      </c>
      <c r="T104" s="1321"/>
      <c r="U104" s="1321"/>
    </row>
    <row r="105" spans="1:21" s="64" customFormat="1">
      <c r="A105" s="230" t="s">
        <v>825</v>
      </c>
      <c r="B105" s="347">
        <f ca="1">B$67*(B$57*(B$44*GREET1_Import_Export!$K76)+GREET1_Import_Export!$F$200*GREET1_Import_Export!$B205+GREET1_Import_Export!$F205)+B$68*(B$57*(B$50*GREET1_Import_Export!$R76+B$51*GREET1_Import_Export!$C150)+GREET1_Import_Export!$H$200*GREET1_Import_Export!$B205+GREET1_Import_Export!$H205)+B$69*(B$57*(B$48*GREET1_Import_Export!$T76+B$49*GREET1_Import_Export!$C136)+GREET1_Import_Export!$C$200*GREET1_Import_Export!$B205+GREET1_Import_Export!$C205)+B$70*(B$57*(B$45*GREET1_Import_Export!$B76+B$46*GREET1_Import_Export!$C122)+GREET1_Import_Export!$B241)+B$71*(B$57*(B$47*GREET1_Import_Export!$AA76)+GREET1_Import_Export!$C294)+B$72*(B$57*(GREET1_Import_Export!$X76)+GREET1_Import_Export!$B$10*(GREET1_Import_Export!$F$215*GREET1_Import_Export!$B241+GREET1_Import_Export!$F241)+GREET1_Import_Export!$C$10*(GREET1_Import_Export!$E$200*GREET1_Import_Export!$B205+GREET1_Import_Export!$E205))+B$73*(GREET1_Import_Export!$D319+GREET1_Import_Export!$E319)+B$74*0.5*GREET1_Import_Export!$B548+B$75*GREET1_Import_Export!$C517+B$77*Steel!$B133+B$78*Steel!$I133</f>
        <v>0.26040897695807869</v>
      </c>
      <c r="C105" s="391">
        <f t="shared" si="9"/>
        <v>0</v>
      </c>
      <c r="D105" s="349">
        <f ca="1">D$67*(D$57*(GREET1_Import_Export!$K76)+GREET1_Import_Export!$F$200*GREET1_Import_Export!$B205+GREET1_Import_Export!$F205)+D$68*(D$57*(GREET1_Import_Export!$O76)+GREET1_Import_Export!$G$200*GREET1_Import_Export!$B205+GREET1_Import_Export!$G205)+D$69*(D$57*(GREET1_Import_Export!$T76)+GREET1_Import_Export!$C$200*GREET1_Import_Export!$B205+GREET1_Import_Export!$C205)+D$70*(D$57*(GREET1_Import_Export!$B76)+GREET1_Import_Export!$B241)+D$71*(D$57*(GREET1_Import_Export!$AA76)+GREET1_Import_Export!$C294)+D$72*(D$57*(GREET1_Import_Export!$X76)+GREET1_Import_Export!$B$10*(GREET1_Import_Export!$F$215*GREET1_Import_Export!$B241+GREET1_Import_Export!$F241)+GREET1_Import_Export!$C$10*(GREET1_Import_Export!$E$200*GREET1_Import_Export!$B205+GREET1_Import_Export!$E205))+D$73*(GREET1_Import_Export!$D319+GREET1_Import_Export!$E319)+D$74*0.5*GREET1_Import_Export!$B548+D$75*GREET1_Import_Export!$C517+D$77*Steel!$B133+D$78*Steel!$I133</f>
        <v>5.1817974440505834</v>
      </c>
      <c r="E105" s="389">
        <f t="shared" si="10"/>
        <v>0</v>
      </c>
      <c r="F105" s="347">
        <f ca="1">F$67*(F$57*(GREET1_Import_Export!$K76)+GREET1_Import_Export!$F$200*GREET1_Import_Export!$B205+GREET1_Import_Export!$F205)+F$68*(F$57*(GREET1_Import_Export!$O76)+GREET1_Import_Export!$G$200*GREET1_Import_Export!$B205+GREET1_Import_Export!$G205)+F$69*(F$57*(GREET1_Import_Export!$T76)+GREET1_Import_Export!$C$200*GREET1_Import_Export!$B205+GREET1_Import_Export!$C205)+F$70*(F$57*(GREET1_Import_Export!$B76)+GREET1_Import_Export!$B241)+F$71*(F$57*(GREET1_Import_Export!$AA76)+GREET1_Import_Export!$C294)+F$72*(F$57*(GREET1_Import_Export!$X76)+GREET1_Import_Export!$B$10*(GREET1_Import_Export!$F$215*GREET1_Import_Export!$B241+GREET1_Import_Export!$F241)+GREET1_Import_Export!$C$10*(GREET1_Import_Export!$E$200*GREET1_Import_Export!$B205+GREET1_Import_Export!$E205))+F$73*(GREET1_Import_Export!$D319+GREET1_Import_Export!$E319)+F$74*0.5*GREET1_Import_Export!$B548+F$75*GREET1_Import_Export!$C517+F$76*GREET1_Import_Export!$B$41*(GREET1_Import_Export!$I$200*GREET1_Import_Export!$B205+GREET1_Import_Export!$I205)/1000000+F$77*Steel!$B133+F$78*Steel!$I133</f>
        <v>3.9528876836325839</v>
      </c>
      <c r="G105" s="391">
        <f t="shared" si="11"/>
        <v>0</v>
      </c>
      <c r="H105" s="349">
        <f ca="1">H$67*(H$57*(GREET1_Import_Export!$K76)+GREET1_Import_Export!$F$200*GREET1_Import_Export!$B205+GREET1_Import_Export!$F205)+H$68*(H$57*(GREET1_Import_Export!$O76)+GREET1_Import_Export!$G$200*GREET1_Import_Export!$B205+GREET1_Import_Export!$G205)+H$69*(H$57*(GREET1_Import_Export!$T76)+GREET1_Import_Export!$C$200*GREET1_Import_Export!$B205+GREET1_Import_Export!$C205)+H$70*(H$57*(GREET1_Import_Export!$B76)+GREET1_Import_Export!$B241)+H$71*(H$57*(GREET1_Import_Export!$AA76)+GREET1_Import_Export!$C294)+H$72*(H$57*(GREET1_Import_Export!$X76)+GREET1_Import_Export!$B$10*(GREET1_Import_Export!$F$215*GREET1_Import_Export!$B241+GREET1_Import_Export!$F241)+GREET1_Import_Export!$C$10*(GREET1_Import_Export!$E$200*GREET1_Import_Export!$B205+GREET1_Import_Export!$E205))+H$73*$B38+H$74*0.5*GREET1_Import_Export!$B548+H$75*GREET1_Import_Export!$C517+H$77*Steel!$B133+H$78*Steel!$I133</f>
        <v>54.509319567530753</v>
      </c>
      <c r="I105" s="389">
        <f t="shared" si="12"/>
        <v>0</v>
      </c>
      <c r="J105" s="347">
        <f ca="1">J$67*(J$57*(GREET1_Import_Export!$K76)+GREET1_Import_Export!$F$200*GREET1_Import_Export!$B205+GREET1_Import_Export!$F205)+J$68*(J$57*(GREET1_Import_Export!$O76)+GREET1_Import_Export!$G$200*GREET1_Import_Export!$B205+GREET1_Import_Export!$G205)+J$69*(J$57*(GREET1_Import_Export!$T76)+GREET1_Import_Export!$C$200*GREET1_Import_Export!$B205+GREET1_Import_Export!$C205)+J$70*(J$57*(GREET1_Import_Export!$B76)+GREET1_Import_Export!$B241)+J$71*(J$57*(GREET1_Import_Export!$AA76)+GREET1_Import_Export!$C294)+J$72*(J$57*(GREET1_Import_Export!$X76)+GREET1_Import_Export!$B$10*(GREET1_Import_Export!$F$215*GREET1_Import_Export!$B241+GREET1_Import_Export!$F241)+GREET1_Import_Export!$C$10*(GREET1_Import_Export!$E$200*GREET1_Import_Export!$B205+GREET1_Import_Export!$E205))+J$73*(GREET1_Import_Export!$D319+GREET1_Import_Export!$E319)+J$74*0.5*GREET1_Import_Export!$B548+J$75*GREET1_Import_Export!$C517+J$76*GREET1_Import_Export!$B$41*(GREET1_Import_Export!$I$200*GREET1_Import_Export!$B205+GREET1_Import_Export!$I205)/1000000+J$77*Steel!$B133+J$78*Steel!$I133</f>
        <v>0.52784743228048969</v>
      </c>
      <c r="K105" s="391">
        <f t="shared" si="13"/>
        <v>0</v>
      </c>
      <c r="L105" s="349">
        <f ca="1">L$67*(L$57*(GREET1_Import_Export!$K76)+GREET1_Import_Export!$F$200*GREET1_Import_Export!$B205+GREET1_Import_Export!$F205)+L$68*(L$57*(GREET1_Import_Export!$O76)+GREET1_Import_Export!$G$200*GREET1_Import_Export!$B205+GREET1_Import_Export!$G205)+L$69*(L$57*(GREET1_Import_Export!$T76)+GREET1_Import_Export!$C$200*GREET1_Import_Export!$B205+GREET1_Import_Export!$C205)+L$70*(L$57*(GREET1_Import_Export!$B76)+GREET1_Import_Export!$B241)+L$71*(L$57*(GREET1_Import_Export!$AA76)+GREET1_Import_Export!$C294)+L$72*(L$57*(GREET1_Import_Export!$X76)+GREET1_Import_Export!$B$10*(GREET1_Import_Export!$F$215*GREET1_Import_Export!$B241+GREET1_Import_Export!$F241)+GREET1_Import_Export!$C$10*(GREET1_Import_Export!$E$200*GREET1_Import_Export!$B205+GREET1_Import_Export!$E205))+L$73*(GREET1_Import_Export!$D319+GREET1_Import_Export!$E319)+L$74*0.5*GREET1_Import_Export!$B548+L$75*GREET1_Import_Export!$C517+L$76*GREET1_Import_Export!$B$41*(GREET1_Import_Export!$I$200*GREET1_Import_Export!$B205+GREET1_Import_Export!$I205)/1000000+L$77*Steel!$B133+L$78*Steel!$I133</f>
        <v>0.78247206656299673</v>
      </c>
      <c r="M105" s="389">
        <f t="shared" si="14"/>
        <v>0</v>
      </c>
      <c r="N105" s="347">
        <f ca="1">N$67*(N$57*(GREET1_Import_Export!$K76)+GREET1_Import_Export!$F$200*GREET1_Import_Export!$B205+GREET1_Import_Export!$F205)+N$68*(N$57*(GREET1_Import_Export!$O76)+GREET1_Import_Export!$G$200*GREET1_Import_Export!$B205+GREET1_Import_Export!$G205)+N$69*(N$57*(GREET1_Import_Export!$T76)+GREET1_Import_Export!$C$200*GREET1_Import_Export!$B205+GREET1_Import_Export!$C205)+N$70*(N$57*(GREET1_Import_Export!$B76)+GREET1_Import_Export!$B241)+N$71*(N$57*(GREET1_Import_Export!$AA76)+GREET1_Import_Export!$C294)+N$72*(N$57*(GREET1_Import_Export!$X76)+GREET1_Import_Export!$B$10*(GREET1_Import_Export!$F$215*GREET1_Import_Export!$B241+GREET1_Import_Export!$F241)+GREET1_Import_Export!$C$10*(GREET1_Import_Export!$E$200*GREET1_Import_Export!$B205+GREET1_Import_Export!$E205))+N$73*(GREET1_Import_Export!$D319+GREET1_Import_Export!$E319)+N$74*0.5*GREET1_Import_Export!$B548+N$75*GREET1_Import_Export!$C517+N$76*GREET1_Import_Export!$B$41*(GREET1_Import_Export!$I$200*GREET1_Import_Export!$B205+GREET1_Import_Export!$I205)/1000000+N$77*Steel!$B133+N$78*Steel!$I133+N$79*(SUM($B142:$E142)*$F$113+$F142)</f>
        <v>6.0811642662961392</v>
      </c>
      <c r="O105" s="391">
        <f t="shared" si="15"/>
        <v>0</v>
      </c>
      <c r="P105" s="347">
        <f ca="1">P$67*(P$57*(GREET1_Import_Export!$K76)+GREET1_Import_Export!$F$200*GREET1_Import_Export!$B205+GREET1_Import_Export!$F205)+P$68*(P$57*(GREET1_Import_Export!$O76)+GREET1_Import_Export!$G$200*GREET1_Import_Export!$B205+GREET1_Import_Export!$G205)+P$69*(P$57*(GREET1_Import_Export!$T76)+GREET1_Import_Export!$C$200*GREET1_Import_Export!$B205+GREET1_Import_Export!$C205)+P$70*(P$57*(GREET1_Import_Export!$B76)+GREET1_Import_Export!$B241)+P$71*(P$57*(GREET1_Import_Export!$AA76)+GREET1_Import_Export!$C294)+P$72*(P$57*(GREET1_Import_Export!$X76)+GREET1_Import_Export!$B$10*(GREET1_Import_Export!$F$215*GREET1_Import_Export!$B241+GREET1_Import_Export!$F241)+GREET1_Import_Export!$C$10*(GREET1_Import_Export!$E$200*GREET1_Import_Export!$B205+GREET1_Import_Export!$E205))+P$73*(GREET1_Import_Export!$D319+GREET1_Import_Export!$E319)+P$74*0.5*GREET1_Import_Export!$B548+P$75*GREET1_Import_Export!$C517+P$77*Steel!$B133+P$78*Steel!$I133</f>
        <v>0.10215803254598647</v>
      </c>
      <c r="Q105" s="391">
        <f t="shared" si="16"/>
        <v>0</v>
      </c>
      <c r="R105" s="349">
        <f ca="1">R$67*(R$57*(GREET1_Import_Export!$K76)+GREET1_Import_Export!$F$200*GREET1_Import_Export!$B205+GREET1_Import_Export!$F205)+R$68*(R$57*(GREET1_Import_Export!$O76)+GREET1_Import_Export!$G$200*GREET1_Import_Export!$B205+GREET1_Import_Export!$G205)+R$69*(R$57*(GREET1_Import_Export!$T76)+GREET1_Import_Export!$C$200*GREET1_Import_Export!$B205+GREET1_Import_Export!$C205)+R$70*(R$57*(GREET1_Import_Export!$B76)+GREET1_Import_Export!$B241)+R$71*(R$57*(GREET1_Import_Export!$AA76)+GREET1_Import_Export!$C294)+R$72*(R$57*(GREET1_Import_Export!$X76)+GREET1_Import_Export!$B$10*(GREET1_Import_Export!$F$215*GREET1_Import_Export!$B241+GREET1_Import_Export!$F241)+GREET1_Import_Export!$C$10*(GREET1_Import_Export!$E$200*GREET1_Import_Export!$B205+GREET1_Import_Export!$E205))+R$73*(GREET1_Import_Export!$D319+GREET1_Import_Export!$E319)+R$74*0.5*GREET1_Import_Export!$B548+R$75*GREET1_Import_Export!$C517+R$77*Steel!$B133+R$78*Steel!$I133</f>
        <v>1.2079280276484363</v>
      </c>
      <c r="S105" s="391">
        <f t="shared" si="17"/>
        <v>0</v>
      </c>
      <c r="T105" s="1321"/>
      <c r="U105" s="1321"/>
    </row>
    <row r="106" spans="1:21">
      <c r="A106" s="95" t="s">
        <v>826</v>
      </c>
      <c r="B106" s="347">
        <f ca="1">B$67*(B$57*(B$44*GREET1_Import_Export!$K77)+GREET1_Import_Export!$F$200*GREET1_Import_Export!$B206+GREET1_Import_Export!$F206)+B$68*(B$57*(B$50*GREET1_Import_Export!$R77+B$51*GREET1_Import_Export!$C151)+GREET1_Import_Export!$H$200*GREET1_Import_Export!$B206+GREET1_Import_Export!$H206)+B$69*(B$57*(B$48*GREET1_Import_Export!$T77+B$49*GREET1_Import_Export!$C137)+GREET1_Import_Export!$C$200*GREET1_Import_Export!$B206+GREET1_Import_Export!$C206)+B$70*(B$57*(B$45*GREET1_Import_Export!$B77+B$46*GREET1_Import_Export!$C123)+GREET1_Import_Export!$B242)+B$71*(B$57*(B$47*GREET1_Import_Export!$AA77)+GREET1_Import_Export!$C295)+B$72*(B$57*(GREET1_Import_Export!$X77)+GREET1_Import_Export!$B$10*(GREET1_Import_Export!$F$215*GREET1_Import_Export!$B242+GREET1_Import_Export!$F242)+GREET1_Import_Export!$C$10*(GREET1_Import_Export!$E$200*GREET1_Import_Export!$B206+GREET1_Import_Export!$E206))+B$73*(GREET1_Import_Export!$D320+GREET1_Import_Export!$E320)+B$74*0.5*GREET1_Import_Export!$B549+B$75*GREET1_Import_Export!$C518+B$77*Steel!$B134+B$78*Steel!$I134</f>
        <v>0.82797408805979944</v>
      </c>
      <c r="C106" s="391">
        <f t="shared" si="9"/>
        <v>0</v>
      </c>
      <c r="D106" s="349">
        <f ca="1">D$67*(D$57*(GREET1_Import_Export!$K77)+GREET1_Import_Export!$F$200*GREET1_Import_Export!$B206+GREET1_Import_Export!$F206)+D$68*(D$57*(GREET1_Import_Export!$O77)+GREET1_Import_Export!$G$200*GREET1_Import_Export!$B206+GREET1_Import_Export!$G206)+D$69*(D$57*(GREET1_Import_Export!$T77)+GREET1_Import_Export!$C$200*GREET1_Import_Export!$B206+GREET1_Import_Export!$C206)+D$70*(D$57*(GREET1_Import_Export!$B77)+GREET1_Import_Export!$B242)+D$71*(D$57*(GREET1_Import_Export!$AA77)+GREET1_Import_Export!$C295)+D$72*(D$57*(GREET1_Import_Export!$X77)+GREET1_Import_Export!$B$10*(GREET1_Import_Export!$F$215*GREET1_Import_Export!$B242+GREET1_Import_Export!$F242)+GREET1_Import_Export!$C$10*(GREET1_Import_Export!$E$200*GREET1_Import_Export!$B206+GREET1_Import_Export!$E206))+D$73*(GREET1_Import_Export!$D320+GREET1_Import_Export!$E320)+D$74*0.5*GREET1_Import_Export!$B549+D$75*GREET1_Import_Export!$C518+D$77*Steel!$B134+D$78*Steel!$I134</f>
        <v>37.726665934616271</v>
      </c>
      <c r="E106" s="389">
        <f t="shared" si="10"/>
        <v>0</v>
      </c>
      <c r="F106" s="347">
        <f ca="1">F$67*(F$57*(GREET1_Import_Export!$K77)+GREET1_Import_Export!$F$200*GREET1_Import_Export!$B206+GREET1_Import_Export!$F206)+F$68*(F$57*(GREET1_Import_Export!$O77)+GREET1_Import_Export!$G$200*GREET1_Import_Export!$B206+GREET1_Import_Export!$G206)+F$69*(F$57*(GREET1_Import_Export!$T77)+GREET1_Import_Export!$C$200*GREET1_Import_Export!$B206+GREET1_Import_Export!$C206)+F$70*(F$57*(GREET1_Import_Export!$B77)+GREET1_Import_Export!$B242)+F$71*(F$57*(GREET1_Import_Export!$AA77)+GREET1_Import_Export!$C295)+F$72*(F$57*(GREET1_Import_Export!$X77)+GREET1_Import_Export!$B$10*(GREET1_Import_Export!$F$215*GREET1_Import_Export!$B242+GREET1_Import_Export!$F242)+GREET1_Import_Export!$C$10*(GREET1_Import_Export!$E$200*GREET1_Import_Export!$B206+GREET1_Import_Export!$E206))+F$73*(GREET1_Import_Export!$D320+GREET1_Import_Export!$E320)+F$74*0.5*GREET1_Import_Export!$B549+F$75*GREET1_Import_Export!$C518+F$76*GREET1_Import_Export!$B$41*(GREET1_Import_Export!$I$200*GREET1_Import_Export!$B206+GREET1_Import_Export!$I206)/1000000+F$77*Steel!$B134+F$78*Steel!$I134</f>
        <v>11.887935084305154</v>
      </c>
      <c r="G106" s="391">
        <f t="shared" si="11"/>
        <v>0</v>
      </c>
      <c r="H106" s="349">
        <f ca="1">H$67*(H$57*(GREET1_Import_Export!$K77)+GREET1_Import_Export!$F$200*GREET1_Import_Export!$B206+GREET1_Import_Export!$F206)+H$68*(H$57*(GREET1_Import_Export!$O77)+GREET1_Import_Export!$G$200*GREET1_Import_Export!$B206+GREET1_Import_Export!$G206)+H$69*(H$57*(GREET1_Import_Export!$T77)+GREET1_Import_Export!$C$200*GREET1_Import_Export!$B206+GREET1_Import_Export!$C206)+H$70*(H$57*(GREET1_Import_Export!$B77)+GREET1_Import_Export!$B242)+H$71*(H$57*(GREET1_Import_Export!$AA77)+GREET1_Import_Export!$C295)+H$72*(H$57*(GREET1_Import_Export!$X77)+GREET1_Import_Export!$B$10*(GREET1_Import_Export!$F$215*GREET1_Import_Export!$B242+GREET1_Import_Export!$F242)+GREET1_Import_Export!$C$10*(GREET1_Import_Export!$E$200*GREET1_Import_Export!$B206+GREET1_Import_Export!$E206))+H$73*$B39+H$74*0.5*GREET1_Import_Export!$B549+H$75*GREET1_Import_Export!$C518+H$77*Steel!$B134+H$78*Steel!$I134</f>
        <v>681.02018876810268</v>
      </c>
      <c r="I106" s="389">
        <f t="shared" si="12"/>
        <v>0</v>
      </c>
      <c r="J106" s="347">
        <f ca="1">J$67*(J$57*(GREET1_Import_Export!$K77)+GREET1_Import_Export!$F$200*GREET1_Import_Export!$B206+GREET1_Import_Export!$F206)+J$68*(J$57*(GREET1_Import_Export!$O77)+GREET1_Import_Export!$G$200*GREET1_Import_Export!$B206+GREET1_Import_Export!$G206)+J$69*(J$57*(GREET1_Import_Export!$T77)+GREET1_Import_Export!$C$200*GREET1_Import_Export!$B206+GREET1_Import_Export!$C206)+J$70*(J$57*(GREET1_Import_Export!$B77)+GREET1_Import_Export!$B242)+J$71*(J$57*(GREET1_Import_Export!$AA77)+GREET1_Import_Export!$C295)+J$72*(J$57*(GREET1_Import_Export!$X77)+GREET1_Import_Export!$B$10*(GREET1_Import_Export!$F$215*GREET1_Import_Export!$B242+GREET1_Import_Export!$F242)+GREET1_Import_Export!$C$10*(GREET1_Import_Export!$E$200*GREET1_Import_Export!$B206+GREET1_Import_Export!$E206))+J$73*(GREET1_Import_Export!$D320+GREET1_Import_Export!$E320)+J$74*0.5*GREET1_Import_Export!$B549+J$75*GREET1_Import_Export!$C518+J$76*GREET1_Import_Export!$B$41*(GREET1_Import_Export!$I$200*GREET1_Import_Export!$B206+GREET1_Import_Export!$I206)/1000000+J$77*Steel!$B134+J$78*Steel!$I134</f>
        <v>4.1856735412254631</v>
      </c>
      <c r="K106" s="391">
        <f t="shared" si="13"/>
        <v>0</v>
      </c>
      <c r="L106" s="349">
        <f ca="1">L$67*(L$57*(GREET1_Import_Export!$K77)+GREET1_Import_Export!$F$200*GREET1_Import_Export!$B206+GREET1_Import_Export!$F206)+L$68*(L$57*(GREET1_Import_Export!$O77)+GREET1_Import_Export!$G$200*GREET1_Import_Export!$B206+GREET1_Import_Export!$G206)+L$69*(L$57*(GREET1_Import_Export!$T77)+GREET1_Import_Export!$C$200*GREET1_Import_Export!$B206+GREET1_Import_Export!$C206)+L$70*(L$57*(GREET1_Import_Export!$B77)+GREET1_Import_Export!$B242)+L$71*(L$57*(GREET1_Import_Export!$AA77)+GREET1_Import_Export!$C295)+L$72*(L$57*(GREET1_Import_Export!$X77)+GREET1_Import_Export!$B$10*(GREET1_Import_Export!$F$215*GREET1_Import_Export!$B242+GREET1_Import_Export!$F242)+GREET1_Import_Export!$C$10*(GREET1_Import_Export!$E$200*GREET1_Import_Export!$B206+GREET1_Import_Export!$E206))+L$73*(GREET1_Import_Export!$D320+GREET1_Import_Export!$E320)+L$74*0.5*GREET1_Import_Export!$B549+L$75*GREET1_Import_Export!$C518+L$76*GREET1_Import_Export!$B$41*(GREET1_Import_Export!$I$200*GREET1_Import_Export!$B206+GREET1_Import_Export!$I206)/1000000+L$77*Steel!$B134+L$78*Steel!$I134</f>
        <v>6.6461763811926513</v>
      </c>
      <c r="M106" s="389">
        <f t="shared" si="14"/>
        <v>0</v>
      </c>
      <c r="N106" s="347">
        <f ca="1">N$67*(N$57*(GREET1_Import_Export!$K77)+GREET1_Import_Export!$F$200*GREET1_Import_Export!$B206+GREET1_Import_Export!$F206)+N$68*(N$57*(GREET1_Import_Export!$O77)+GREET1_Import_Export!$G$200*GREET1_Import_Export!$B206+GREET1_Import_Export!$G206)+N$69*(N$57*(GREET1_Import_Export!$T77)+GREET1_Import_Export!$C$200*GREET1_Import_Export!$B206+GREET1_Import_Export!$C206)+N$70*(N$57*(GREET1_Import_Export!$B77)+GREET1_Import_Export!$B242)+N$71*(N$57*(GREET1_Import_Export!$AA77)+GREET1_Import_Export!$C295)+N$72*(N$57*(GREET1_Import_Export!$X77)+GREET1_Import_Export!$B$10*(GREET1_Import_Export!$F$215*GREET1_Import_Export!$B242+GREET1_Import_Export!$F242)+GREET1_Import_Export!$C$10*(GREET1_Import_Export!$E$200*GREET1_Import_Export!$B206+GREET1_Import_Export!$E206))+N$73*(GREET1_Import_Export!$D320+GREET1_Import_Export!$E320)+N$74*0.5*GREET1_Import_Export!$B549+N$75*GREET1_Import_Export!$C518+N$76*GREET1_Import_Export!$B$41*(GREET1_Import_Export!$I$200*GREET1_Import_Export!$B206+GREET1_Import_Export!$I206)/1000000+N$77*Steel!$B134+N$78*Steel!$I134+N$79*(SUM($B143:$E143)*$F$113+$F143)</f>
        <v>67.116131731649787</v>
      </c>
      <c r="O106" s="391">
        <f t="shared" si="15"/>
        <v>0</v>
      </c>
      <c r="P106" s="347">
        <f ca="1">P$67*(P$57*(GREET1_Import_Export!$K77)+GREET1_Import_Export!$F$200*GREET1_Import_Export!$B206+GREET1_Import_Export!$F206)+P$68*(P$57*(GREET1_Import_Export!$O77)+GREET1_Import_Export!$G$200*GREET1_Import_Export!$B206+GREET1_Import_Export!$G206)+P$69*(P$57*(GREET1_Import_Export!$T77)+GREET1_Import_Export!$C$200*GREET1_Import_Export!$B206+GREET1_Import_Export!$C206)+P$70*(P$57*(GREET1_Import_Export!$B77)+GREET1_Import_Export!$B242)+P$71*(P$57*(GREET1_Import_Export!$AA77)+GREET1_Import_Export!$C295)+P$72*(P$57*(GREET1_Import_Export!$X77)+GREET1_Import_Export!$B$10*(GREET1_Import_Export!$F$215*GREET1_Import_Export!$B242+GREET1_Import_Export!$F242)+GREET1_Import_Export!$C$10*(GREET1_Import_Export!$E$200*GREET1_Import_Export!$B206+GREET1_Import_Export!$E206))+P$73*(GREET1_Import_Export!$D320+GREET1_Import_Export!$E320)+P$74*0.5*GREET1_Import_Export!$B549+P$75*GREET1_Import_Export!$C518+P$77*Steel!$B134+P$78*Steel!$I134</f>
        <v>1.1130291479765804</v>
      </c>
      <c r="Q106" s="391">
        <f t="shared" si="16"/>
        <v>0</v>
      </c>
      <c r="R106" s="349">
        <f ca="1">R$67*(R$57*(GREET1_Import_Export!$K77)+GREET1_Import_Export!$F$200*GREET1_Import_Export!$B206+GREET1_Import_Export!$F206)+R$68*(R$57*(GREET1_Import_Export!$O77)+GREET1_Import_Export!$G$200*GREET1_Import_Export!$B206+GREET1_Import_Export!$G206)+R$69*(R$57*(GREET1_Import_Export!$T77)+GREET1_Import_Export!$C$200*GREET1_Import_Export!$B206+GREET1_Import_Export!$C206)+R$70*(R$57*(GREET1_Import_Export!$B77)+GREET1_Import_Export!$B242)+R$71*(R$57*(GREET1_Import_Export!$AA77)+GREET1_Import_Export!$C295)+R$72*(R$57*(GREET1_Import_Export!$X77)+GREET1_Import_Export!$B$10*(GREET1_Import_Export!$F$215*GREET1_Import_Export!$B242+GREET1_Import_Export!$F242)+GREET1_Import_Export!$C$10*(GREET1_Import_Export!$E$200*GREET1_Import_Export!$B206+GREET1_Import_Export!$E206))+R$73*(GREET1_Import_Export!$D320+GREET1_Import_Export!$E320)+R$74*0.5*GREET1_Import_Export!$B549+R$75*GREET1_Import_Export!$C518+R$77*Steel!$B134+R$78*Steel!$I134</f>
        <v>10.223000660764436</v>
      </c>
      <c r="S106" s="391">
        <f t="shared" si="17"/>
        <v>0</v>
      </c>
      <c r="T106" s="1321"/>
      <c r="U106" s="1321"/>
    </row>
    <row r="107" spans="1:21">
      <c r="A107" s="230" t="s">
        <v>827</v>
      </c>
      <c r="B107" s="347">
        <f ca="1">B$67*(B$57*(B$44*GREET1_Import_Export!$K78)+GREET1_Import_Export!$F$200*GREET1_Import_Export!$B207+GREET1_Import_Export!$F207)+B$68*(B$57*(B$50*GREET1_Import_Export!$R78+B$51*GREET1_Import_Export!$C152)+GREET1_Import_Export!$H$200*GREET1_Import_Export!$B207+GREET1_Import_Export!$H207)+B$69*(B$57*(B$48*GREET1_Import_Export!$T78+B$49*GREET1_Import_Export!$C138)+GREET1_Import_Export!$C$200*GREET1_Import_Export!$B207+GREET1_Import_Export!$C207)+B$70*(B$57*(B$45*GREET1_Import_Export!$B78+B$46*GREET1_Import_Export!$C124)+GREET1_Import_Export!$B243)+B$71*(B$57*(B$47*GREET1_Import_Export!$AA78)+GREET1_Import_Export!$C296)+B$72*(B$57*(GREET1_Import_Export!$X78)+GREET1_Import_Export!$B$10*(GREET1_Import_Export!$F$215*GREET1_Import_Export!$B243+GREET1_Import_Export!$F243)+GREET1_Import_Export!$C$10*(GREET1_Import_Export!$E$200*GREET1_Import_Export!$B207+GREET1_Import_Export!$E207))+B$73*(GREET1_Import_Export!$D321+GREET1_Import_Export!$E321)+B$74*0.5*GREET1_Import_Export!$B550+B$75*GREET1_Import_Export!$C519+B$77*Steel!$B135+B$78*Steel!$I135</f>
        <v>2.8979248999643329E-2</v>
      </c>
      <c r="C107" s="391">
        <f t="shared" si="9"/>
        <v>0</v>
      </c>
      <c r="D107" s="349">
        <f ca="1">D$67*(D$57*(GREET1_Import_Export!$K78)+GREET1_Import_Export!$F$200*GREET1_Import_Export!$B207+GREET1_Import_Export!$F207)+D$68*(D$57*(GREET1_Import_Export!$O78)+GREET1_Import_Export!$G$200*GREET1_Import_Export!$B207+GREET1_Import_Export!$G207)+D$69*(D$57*(GREET1_Import_Export!$T78)+GREET1_Import_Export!$C$200*GREET1_Import_Export!$B207+GREET1_Import_Export!$C207)+D$70*(D$57*(GREET1_Import_Export!$B78)+GREET1_Import_Export!$B243)+D$71*(D$57*(GREET1_Import_Export!$AA78)+GREET1_Import_Export!$C296)+D$72*(D$57*(GREET1_Import_Export!$X78)+GREET1_Import_Export!$B$10*(GREET1_Import_Export!$F$215*GREET1_Import_Export!$B243+GREET1_Import_Export!$F243)+GREET1_Import_Export!$C$10*(GREET1_Import_Export!$E$200*GREET1_Import_Export!$B207+GREET1_Import_Export!$E207))+D$73*(GREET1_Import_Export!$D321+GREET1_Import_Export!$E321)+D$74*0.5*GREET1_Import_Export!$B550+D$75*GREET1_Import_Export!$C519+D$77*Steel!$B135+D$78*Steel!$I135</f>
        <v>0.35216403608577934</v>
      </c>
      <c r="E107" s="389">
        <f t="shared" si="10"/>
        <v>0</v>
      </c>
      <c r="F107" s="347">
        <f ca="1">F$67*(F$57*(GREET1_Import_Export!$K78)+GREET1_Import_Export!$F$200*GREET1_Import_Export!$B207+GREET1_Import_Export!$F207)+F$68*(F$57*(GREET1_Import_Export!$O78)+GREET1_Import_Export!$G$200*GREET1_Import_Export!$B207+GREET1_Import_Export!$G207)+F$69*(F$57*(GREET1_Import_Export!$T78)+GREET1_Import_Export!$C$200*GREET1_Import_Export!$B207+GREET1_Import_Export!$C207)+F$70*(F$57*(GREET1_Import_Export!$B78)+GREET1_Import_Export!$B243)+F$71*(F$57*(GREET1_Import_Export!$AA78)+GREET1_Import_Export!$C296)+F$72*(F$57*(GREET1_Import_Export!$X78)+GREET1_Import_Export!$B$10*(GREET1_Import_Export!$F$215*GREET1_Import_Export!$B243+GREET1_Import_Export!$F243)+GREET1_Import_Export!$C$10*(GREET1_Import_Export!$E$200*GREET1_Import_Export!$B207+GREET1_Import_Export!$E207))+F$73*(GREET1_Import_Export!$D321+GREET1_Import_Export!$E321)+F$74*0.5*GREET1_Import_Export!$B550+F$75*GREET1_Import_Export!$C519+F$76*GREET1_Import_Export!$B$41*(GREET1_Import_Export!$I$200*GREET1_Import_Export!$B207+GREET1_Import_Export!$I207)/1000000+F$77*Steel!$B135+F$78*Steel!$I135</f>
        <v>0.46449108108245796</v>
      </c>
      <c r="G107" s="391">
        <f t="shared" si="11"/>
        <v>0</v>
      </c>
      <c r="H107" s="349">
        <f ca="1">H$67*(H$57*(GREET1_Import_Export!$K78)+GREET1_Import_Export!$F$200*GREET1_Import_Export!$B207+GREET1_Import_Export!$F207)+H$68*(H$57*(GREET1_Import_Export!$O78)+GREET1_Import_Export!$G$200*GREET1_Import_Export!$B207+GREET1_Import_Export!$G207)+H$69*(H$57*(GREET1_Import_Export!$T78)+GREET1_Import_Export!$C$200*GREET1_Import_Export!$B207+GREET1_Import_Export!$C207)+H$70*(H$57*(GREET1_Import_Export!$B78)+GREET1_Import_Export!$B243)+H$71*(H$57*(GREET1_Import_Export!$AA78)+GREET1_Import_Export!$C296)+H$72*(H$57*(GREET1_Import_Export!$X78)+GREET1_Import_Export!$B$10*(GREET1_Import_Export!$F$215*GREET1_Import_Export!$B243+GREET1_Import_Export!$F243)+GREET1_Import_Export!$C$10*(GREET1_Import_Export!$E$200*GREET1_Import_Export!$B207+GREET1_Import_Export!$E207))+H$73*$B40+H$74*0.5*GREET1_Import_Export!$B550+H$75*GREET1_Import_Export!$C519+H$77*Steel!$B135+H$78*Steel!$I135</f>
        <v>2.4431008179494818</v>
      </c>
      <c r="I107" s="389">
        <f t="shared" si="12"/>
        <v>0</v>
      </c>
      <c r="J107" s="347">
        <f ca="1">J$67*(J$57*(GREET1_Import_Export!$K78)+GREET1_Import_Export!$F$200*GREET1_Import_Export!$B207+GREET1_Import_Export!$F207)+J$68*(J$57*(GREET1_Import_Export!$O78)+GREET1_Import_Export!$G$200*GREET1_Import_Export!$B207+GREET1_Import_Export!$G207)+J$69*(J$57*(GREET1_Import_Export!$T78)+GREET1_Import_Export!$C$200*GREET1_Import_Export!$B207+GREET1_Import_Export!$C207)+J$70*(J$57*(GREET1_Import_Export!$B78)+GREET1_Import_Export!$B243)+J$71*(J$57*(GREET1_Import_Export!$AA78)+GREET1_Import_Export!$C296)+J$72*(J$57*(GREET1_Import_Export!$X78)+GREET1_Import_Export!$B$10*(GREET1_Import_Export!$F$215*GREET1_Import_Export!$B243+GREET1_Import_Export!$F243)+GREET1_Import_Export!$C$10*(GREET1_Import_Export!$E$200*GREET1_Import_Export!$B207+GREET1_Import_Export!$E207))+J$73*(GREET1_Import_Export!$D321+GREET1_Import_Export!$E321)+J$74*0.5*GREET1_Import_Export!$B550+J$75*GREET1_Import_Export!$C519+J$76*GREET1_Import_Export!$B$41*(GREET1_Import_Export!$I$200*GREET1_Import_Export!$B207+GREET1_Import_Export!$I207)/1000000+J$77*Steel!$B135+J$78*Steel!$I135</f>
        <v>3.1301721650814886E-2</v>
      </c>
      <c r="K107" s="391">
        <f t="shared" si="13"/>
        <v>0</v>
      </c>
      <c r="L107" s="349">
        <f ca="1">L$67*(L$57*(GREET1_Import_Export!$K78)+GREET1_Import_Export!$F$200*GREET1_Import_Export!$B207+GREET1_Import_Export!$F207)+L$68*(L$57*(GREET1_Import_Export!$O78)+GREET1_Import_Export!$G$200*GREET1_Import_Export!$B207+GREET1_Import_Export!$G207)+L$69*(L$57*(GREET1_Import_Export!$T78)+GREET1_Import_Export!$C$200*GREET1_Import_Export!$B207+GREET1_Import_Export!$C207)+L$70*(L$57*(GREET1_Import_Export!$B78)+GREET1_Import_Export!$B243)+L$71*(L$57*(GREET1_Import_Export!$AA78)+GREET1_Import_Export!$C296)+L$72*(L$57*(GREET1_Import_Export!$X78)+GREET1_Import_Export!$B$10*(GREET1_Import_Export!$F$215*GREET1_Import_Export!$B243+GREET1_Import_Export!$F243)+GREET1_Import_Export!$C$10*(GREET1_Import_Export!$E$200*GREET1_Import_Export!$B207+GREET1_Import_Export!$E207))+L$73*(GREET1_Import_Export!$D321+GREET1_Import_Export!$E321)+L$74*0.5*GREET1_Import_Export!$B550+L$75*GREET1_Import_Export!$C519+L$76*GREET1_Import_Export!$B$41*(GREET1_Import_Export!$I$200*GREET1_Import_Export!$B207+GREET1_Import_Export!$I207)/1000000+L$77*Steel!$B135+L$78*Steel!$I135</f>
        <v>4.1495981680035696E-2</v>
      </c>
      <c r="M107" s="389">
        <f t="shared" si="14"/>
        <v>0</v>
      </c>
      <c r="N107" s="347">
        <f ca="1">N$67*(N$57*(GREET1_Import_Export!$K78)+GREET1_Import_Export!$F$200*GREET1_Import_Export!$B207+GREET1_Import_Export!$F207)+N$68*(N$57*(GREET1_Import_Export!$O78)+GREET1_Import_Export!$G$200*GREET1_Import_Export!$B207+GREET1_Import_Export!$G207)+N$69*(N$57*(GREET1_Import_Export!$T78)+GREET1_Import_Export!$C$200*GREET1_Import_Export!$B207+GREET1_Import_Export!$C207)+N$70*(N$57*(GREET1_Import_Export!$B78)+GREET1_Import_Export!$B243)+N$71*(N$57*(GREET1_Import_Export!$AA78)+GREET1_Import_Export!$C296)+N$72*(N$57*(GREET1_Import_Export!$X78)+GREET1_Import_Export!$B$10*(GREET1_Import_Export!$F$215*GREET1_Import_Export!$B243+GREET1_Import_Export!$F243)+GREET1_Import_Export!$C$10*(GREET1_Import_Export!$E$200*GREET1_Import_Export!$B207+GREET1_Import_Export!$E207))+N$73*(GREET1_Import_Export!$D321+GREET1_Import_Export!$E321)+N$74*0.5*GREET1_Import_Export!$B550+N$75*GREET1_Import_Export!$C519+N$76*GREET1_Import_Export!$B$41*(GREET1_Import_Export!$I$200*GREET1_Import_Export!$B207+GREET1_Import_Export!$I207)/1000000+N$77*Steel!$B135+N$78*Steel!$I135+N$79*(SUM($B144:$E144)*$F$113+$F144)</f>
        <v>0.3197987281698913</v>
      </c>
      <c r="O107" s="391">
        <f t="shared" si="15"/>
        <v>0</v>
      </c>
      <c r="P107" s="347">
        <f ca="1">P$67*(P$57*(GREET1_Import_Export!$K78)+GREET1_Import_Export!$F$200*GREET1_Import_Export!$B207+GREET1_Import_Export!$F207)+P$68*(P$57*(GREET1_Import_Export!$O78)+GREET1_Import_Export!$G$200*GREET1_Import_Export!$B207+GREET1_Import_Export!$G207)+P$69*(P$57*(GREET1_Import_Export!$T78)+GREET1_Import_Export!$C$200*GREET1_Import_Export!$B207+GREET1_Import_Export!$C207)+P$70*(P$57*(GREET1_Import_Export!$B78)+GREET1_Import_Export!$B243)+P$71*(P$57*(GREET1_Import_Export!$AA78)+GREET1_Import_Export!$C296)+P$72*(P$57*(GREET1_Import_Export!$X78)+GREET1_Import_Export!$B$10*(GREET1_Import_Export!$F$215*GREET1_Import_Export!$B243+GREET1_Import_Export!$F243)+GREET1_Import_Export!$C$10*(GREET1_Import_Export!$E$200*GREET1_Import_Export!$B207+GREET1_Import_Export!$E207))+P$73*(GREET1_Import_Export!$D321+GREET1_Import_Export!$E321)+P$74*0.5*GREET1_Import_Export!$B550+P$75*GREET1_Import_Export!$C519+P$77*Steel!$B135+P$78*Steel!$I135</f>
        <v>1.7060976956070697E-2</v>
      </c>
      <c r="Q107" s="391">
        <f t="shared" si="16"/>
        <v>0</v>
      </c>
      <c r="R107" s="349">
        <f ca="1">R$67*(R$57*(GREET1_Import_Export!$K78)+GREET1_Import_Export!$F$200*GREET1_Import_Export!$B207+GREET1_Import_Export!$F207)+R$68*(R$57*(GREET1_Import_Export!$O78)+GREET1_Import_Export!$G$200*GREET1_Import_Export!$B207+GREET1_Import_Export!$G207)+R$69*(R$57*(GREET1_Import_Export!$T78)+GREET1_Import_Export!$C$200*GREET1_Import_Export!$B207+GREET1_Import_Export!$C207)+R$70*(R$57*(GREET1_Import_Export!$B78)+GREET1_Import_Export!$B243)+R$71*(R$57*(GREET1_Import_Export!$AA78)+GREET1_Import_Export!$C296)+R$72*(R$57*(GREET1_Import_Export!$X78)+GREET1_Import_Export!$B$10*(GREET1_Import_Export!$F$215*GREET1_Import_Export!$B243+GREET1_Import_Export!$F243)+GREET1_Import_Export!$C$10*(GREET1_Import_Export!$E$200*GREET1_Import_Export!$B207+GREET1_Import_Export!$E207))+R$73*(GREET1_Import_Export!$D321+GREET1_Import_Export!$E321)+R$74*0.5*GREET1_Import_Export!$B550+R$75*GREET1_Import_Export!$C519+R$77*Steel!$B135+R$78*Steel!$I135</f>
        <v>6.2251682935120692E-2</v>
      </c>
      <c r="S107" s="391">
        <f t="shared" si="17"/>
        <v>0</v>
      </c>
      <c r="T107" s="1321"/>
      <c r="U107" s="1321"/>
    </row>
    <row r="108" spans="1:21">
      <c r="A108" s="539" t="s">
        <v>828</v>
      </c>
      <c r="B108" s="503">
        <f ca="1">B$67*(B$57*(B$44*GREET1_Import_Export!$K79)+GREET1_Import_Export!$F$200*GREET1_Import_Export!$B208+GREET1_Import_Export!$F208)+B$68*(B$57*(B$50*GREET1_Import_Export!$R79+B$51*GREET1_Import_Export!$C153)+GREET1_Import_Export!$H$200*GREET1_Import_Export!$B208+GREET1_Import_Export!$H208)+B$69*(B$57*(B$48*GREET1_Import_Export!$T79+B$49*GREET1_Import_Export!$C139)+GREET1_Import_Export!$C$200*GREET1_Import_Export!$B208+GREET1_Import_Export!$C208)+B$70*(B$57*(B$45*GREET1_Import_Export!$B79+B$46*GREET1_Import_Export!$C125)+GREET1_Import_Export!$B244)+B$71*(B$57*(B$47*GREET1_Import_Export!$AA79)+GREET1_Import_Export!$C297)+B$72*(B$57*(GREET1_Import_Export!$X79)+GREET1_Import_Export!$B$10*(GREET1_Import_Export!$F$215*GREET1_Import_Export!$B244+GREET1_Import_Export!$F244)+GREET1_Import_Export!$C$10*(GREET1_Import_Export!$E$200*GREET1_Import_Export!$B208+GREET1_Import_Export!$E208))+B$73*(GREET1_Import_Export!$D322+GREET1_Import_Export!$E322)+B$74*0.5*GREET1_Import_Export!$B551+B$75*GREET1_Import_Export!$C520+B$77*Steel!$B136+B$78*Steel!$I136</f>
        <v>4.9255394015787074E-2</v>
      </c>
      <c r="C108" s="657">
        <f t="shared" si="9"/>
        <v>0</v>
      </c>
      <c r="D108" s="505">
        <f ca="1">D$67*(D$57*(GREET1_Import_Export!$K79)+GREET1_Import_Export!$F$200*GREET1_Import_Export!$B208+GREET1_Import_Export!$F208)+D$68*(D$57*(GREET1_Import_Export!$O79)+GREET1_Import_Export!$G$200*GREET1_Import_Export!$B208+GREET1_Import_Export!$G208)+D$69*(D$57*(GREET1_Import_Export!$T79)+GREET1_Import_Export!$C$200*GREET1_Import_Export!$B208+GREET1_Import_Export!$C208)+D$70*(D$57*(GREET1_Import_Export!$B79)+GREET1_Import_Export!$B244)+D$71*(D$57*(GREET1_Import_Export!$AA79)+GREET1_Import_Export!$C297)+D$72*(D$57*(GREET1_Import_Export!$X79)+GREET1_Import_Export!$B$10*(GREET1_Import_Export!$F$215*GREET1_Import_Export!$B244+GREET1_Import_Export!$F244)+GREET1_Import_Export!$C$10*(GREET1_Import_Export!$E$200*GREET1_Import_Export!$B208+GREET1_Import_Export!$E208))+D$73*(GREET1_Import_Export!$D322+GREET1_Import_Export!$E322)+D$74*0.5*GREET1_Import_Export!$B551+D$75*GREET1_Import_Export!$C520+D$77*Steel!$B136+D$78*Steel!$I136</f>
        <v>1.3615686704826244</v>
      </c>
      <c r="E108" s="603">
        <f t="shared" si="10"/>
        <v>0</v>
      </c>
      <c r="F108" s="503">
        <f ca="1">F$67*(F$57*(GREET1_Import_Export!$K79)+GREET1_Import_Export!$F$200*GREET1_Import_Export!$B208+GREET1_Import_Export!$F208)+F$68*(F$57*(GREET1_Import_Export!$O79)+GREET1_Import_Export!$G$200*GREET1_Import_Export!$B208+GREET1_Import_Export!$G208)+F$69*(F$57*(GREET1_Import_Export!$T79)+GREET1_Import_Export!$C$200*GREET1_Import_Export!$B208+GREET1_Import_Export!$C208)+F$70*(F$57*(GREET1_Import_Export!$B79)+GREET1_Import_Export!$B244)+F$71*(F$57*(GREET1_Import_Export!$AA79)+GREET1_Import_Export!$C297)+F$72*(F$57*(GREET1_Import_Export!$X79)+GREET1_Import_Export!$B$10*(GREET1_Import_Export!$F$215*GREET1_Import_Export!$B244+GREET1_Import_Export!$F244)+GREET1_Import_Export!$C$10*(GREET1_Import_Export!$E$200*GREET1_Import_Export!$B208+GREET1_Import_Export!$E208))+F$73*(GREET1_Import_Export!$D322+GREET1_Import_Export!$E322)+F$74*0.5*GREET1_Import_Export!$B551+F$75*GREET1_Import_Export!$C520+F$76*GREET1_Import_Export!$B$41*(GREET1_Import_Export!$I$200*GREET1_Import_Export!$B208+GREET1_Import_Export!$I208)/1000000+F$77*Steel!$B136+F$78*Steel!$I136</f>
        <v>0.73053115407021318</v>
      </c>
      <c r="G108" s="657">
        <f t="shared" si="11"/>
        <v>0</v>
      </c>
      <c r="H108" s="505">
        <f ca="1">H$67*(H$57*(GREET1_Import_Export!$K79)+GREET1_Import_Export!$F$200*GREET1_Import_Export!$B208+GREET1_Import_Export!$F208)+H$68*(H$57*(GREET1_Import_Export!$O79)+GREET1_Import_Export!$G$200*GREET1_Import_Export!$B208+GREET1_Import_Export!$G208)+H$69*(H$57*(GREET1_Import_Export!$T79)+GREET1_Import_Export!$C$200*GREET1_Import_Export!$B208+GREET1_Import_Export!$C208)+H$70*(H$57*(GREET1_Import_Export!$B79)+GREET1_Import_Export!$B244)+H$71*(H$57*(GREET1_Import_Export!$AA79)+GREET1_Import_Export!$C297)+H$72*(H$57*(GREET1_Import_Export!$X79)+GREET1_Import_Export!$B$10*(GREET1_Import_Export!$F$215*GREET1_Import_Export!$B244+GREET1_Import_Export!$F244)+GREET1_Import_Export!$C$10*(GREET1_Import_Export!$E$200*GREET1_Import_Export!$B208+GREET1_Import_Export!$E208))+H$73*$B41+H$74*0.5*GREET1_Import_Export!$B551+H$75*GREET1_Import_Export!$C520+H$77*Steel!$B136+H$78*Steel!$I136</f>
        <v>6.5799381201329403</v>
      </c>
      <c r="I108" s="603">
        <f t="shared" si="12"/>
        <v>0</v>
      </c>
      <c r="J108" s="503">
        <f ca="1">J$67*(J$57*(GREET1_Import_Export!$K79)+GREET1_Import_Export!$F$200*GREET1_Import_Export!$B208+GREET1_Import_Export!$F208)+J$68*(J$57*(GREET1_Import_Export!$O79)+GREET1_Import_Export!$G$200*GREET1_Import_Export!$B208+GREET1_Import_Export!$G208)+J$69*(J$57*(GREET1_Import_Export!$T79)+GREET1_Import_Export!$C$200*GREET1_Import_Export!$B208+GREET1_Import_Export!$C208)+J$70*(J$57*(GREET1_Import_Export!$B79)+GREET1_Import_Export!$B244)+J$71*(J$57*(GREET1_Import_Export!$AA79)+GREET1_Import_Export!$C297)+J$72*(J$57*(GREET1_Import_Export!$X79)+GREET1_Import_Export!$B$10*(GREET1_Import_Export!$F$215*GREET1_Import_Export!$B244+GREET1_Import_Export!$F244)+GREET1_Import_Export!$C$10*(GREET1_Import_Export!$E$200*GREET1_Import_Export!$B208+GREET1_Import_Export!$E208))+J$73*(GREET1_Import_Export!$D322+GREET1_Import_Export!$E322)+J$74*0.5*GREET1_Import_Export!$B551+J$75*GREET1_Import_Export!$C520+J$76*GREET1_Import_Export!$B$41*(GREET1_Import_Export!$I$200*GREET1_Import_Export!$B208+GREET1_Import_Export!$I208)/1000000+J$77*Steel!$B136+J$78*Steel!$I136</f>
        <v>0.1453957440824275</v>
      </c>
      <c r="K108" s="657">
        <f t="shared" si="13"/>
        <v>0</v>
      </c>
      <c r="L108" s="505">
        <f ca="1">L$67*(L$57*(GREET1_Import_Export!$K79)+GREET1_Import_Export!$F$200*GREET1_Import_Export!$B208+GREET1_Import_Export!$F208)+L$68*(L$57*(GREET1_Import_Export!$O79)+GREET1_Import_Export!$G$200*GREET1_Import_Export!$B208+GREET1_Import_Export!$G208)+L$69*(L$57*(GREET1_Import_Export!$T79)+GREET1_Import_Export!$C$200*GREET1_Import_Export!$B208+GREET1_Import_Export!$C208)+L$70*(L$57*(GREET1_Import_Export!$B79)+GREET1_Import_Export!$B244)+L$71*(L$57*(GREET1_Import_Export!$AA79)+GREET1_Import_Export!$C297)+L$72*(L$57*(GREET1_Import_Export!$X79)+GREET1_Import_Export!$B$10*(GREET1_Import_Export!$F$215*GREET1_Import_Export!$B244+GREET1_Import_Export!$F244)+GREET1_Import_Export!$C$10*(GREET1_Import_Export!$E$200*GREET1_Import_Export!$B208+GREET1_Import_Export!$E208))+L$73*(GREET1_Import_Export!$D322+GREET1_Import_Export!$E322)+L$74*0.5*GREET1_Import_Export!$B551+L$75*GREET1_Import_Export!$C520+L$76*GREET1_Import_Export!$B$41*(GREET1_Import_Export!$I$200*GREET1_Import_Export!$B208+GREET1_Import_Export!$I208)/1000000+L$77*Steel!$B136+L$78*Steel!$I136</f>
        <v>0.22436932598950346</v>
      </c>
      <c r="M108" s="603">
        <f t="shared" si="14"/>
        <v>0</v>
      </c>
      <c r="N108" s="503">
        <f ca="1">N$67*(N$57*(GREET1_Import_Export!$K79)+GREET1_Import_Export!$F$200*GREET1_Import_Export!$B208+GREET1_Import_Export!$F208)+N$68*(N$57*(GREET1_Import_Export!$O79)+GREET1_Import_Export!$G$200*GREET1_Import_Export!$B208+GREET1_Import_Export!$G208)+N$69*(N$57*(GREET1_Import_Export!$T79)+GREET1_Import_Export!$C$200*GREET1_Import_Export!$B208+GREET1_Import_Export!$C208)+N$70*(N$57*(GREET1_Import_Export!$B79)+GREET1_Import_Export!$B244)+N$71*(N$57*(GREET1_Import_Export!$AA79)+GREET1_Import_Export!$C297)+N$72*(N$57*(GREET1_Import_Export!$X79)+GREET1_Import_Export!$B$10*(GREET1_Import_Export!$F$215*GREET1_Import_Export!$B244+GREET1_Import_Export!$F244)+GREET1_Import_Export!$C$10*(GREET1_Import_Export!$E$200*GREET1_Import_Export!$B208+GREET1_Import_Export!$E208))+N$73*(GREET1_Import_Export!$D322+GREET1_Import_Export!$E322)+N$74*0.5*GREET1_Import_Export!$B551+N$75*GREET1_Import_Export!$C520+N$76*GREET1_Import_Export!$B$41*(GREET1_Import_Export!$I$200*GREET1_Import_Export!$B208+GREET1_Import_Export!$I208)/1000000+N$77*Steel!$B136+N$78*Steel!$I136+N$79*(SUM($B145:$E145)*$F$113+$F145)</f>
        <v>0.96299324995109992</v>
      </c>
      <c r="O108" s="657">
        <f t="shared" si="15"/>
        <v>0</v>
      </c>
      <c r="P108" s="503">
        <f ca="1">P$67*(P$57*(GREET1_Import_Export!$K79)+GREET1_Import_Export!$F$200*GREET1_Import_Export!$B208+GREET1_Import_Export!$F208)+P$68*(P$57*(GREET1_Import_Export!$O79)+GREET1_Import_Export!$G$200*GREET1_Import_Export!$B208+GREET1_Import_Export!$G208)+P$69*(P$57*(GREET1_Import_Export!$T79)+GREET1_Import_Export!$C$200*GREET1_Import_Export!$B208+GREET1_Import_Export!$C208)+P$70*(P$57*(GREET1_Import_Export!$B79)+GREET1_Import_Export!$B244)+P$71*(P$57*(GREET1_Import_Export!$AA79)+GREET1_Import_Export!$C297)+P$72*(P$57*(GREET1_Import_Export!$X79)+GREET1_Import_Export!$B$10*(GREET1_Import_Export!$F$215*GREET1_Import_Export!$B244+GREET1_Import_Export!$F244)+GREET1_Import_Export!$C$10*(GREET1_Import_Export!$E$200*GREET1_Import_Export!$B208+GREET1_Import_Export!$E208))+P$73*(GREET1_Import_Export!$D322+GREET1_Import_Export!$E322)+P$74*0.5*GREET1_Import_Export!$B551+P$75*GREET1_Import_Export!$C520+P$77*Steel!$B136+P$78*Steel!$I136</f>
        <v>3.5085155521968184E-2</v>
      </c>
      <c r="Q108" s="657">
        <f t="shared" si="16"/>
        <v>0</v>
      </c>
      <c r="R108" s="505">
        <f ca="1">R$67*(R$57*(GREET1_Import_Export!$K79)+GREET1_Import_Export!$F$200*GREET1_Import_Export!$B208+GREET1_Import_Export!$F208)+R$68*(R$57*(GREET1_Import_Export!$O79)+GREET1_Import_Export!$G$200*GREET1_Import_Export!$B208+GREET1_Import_Export!$G208)+R$69*(R$57*(GREET1_Import_Export!$T79)+GREET1_Import_Export!$C$200*GREET1_Import_Export!$B208+GREET1_Import_Export!$C208)+R$70*(R$57*(GREET1_Import_Export!$B79)+GREET1_Import_Export!$B244)+R$71*(R$57*(GREET1_Import_Export!$AA79)+GREET1_Import_Export!$C297)+R$72*(R$57*(GREET1_Import_Export!$X79)+GREET1_Import_Export!$B$10*(GREET1_Import_Export!$F$215*GREET1_Import_Export!$B244+GREET1_Import_Export!$F244)+GREET1_Import_Export!$C$10*(GREET1_Import_Export!$E$200*GREET1_Import_Export!$B208+GREET1_Import_Export!$E208))+R$73*(GREET1_Import_Export!$D322+GREET1_Import_Export!$E322)+R$74*0.5*GREET1_Import_Export!$B551+R$75*GREET1_Import_Export!$C520+R$77*Steel!$B136+R$78*Steel!$I136</f>
        <v>0.34547308168153379</v>
      </c>
      <c r="S108" s="657">
        <f t="shared" si="17"/>
        <v>0</v>
      </c>
      <c r="T108" s="1321"/>
      <c r="U108" s="1321"/>
    </row>
    <row r="109" spans="1:21">
      <c r="B109" s="64"/>
      <c r="C109" s="64"/>
      <c r="D109" s="377"/>
      <c r="E109" s="64"/>
      <c r="F109" s="377"/>
      <c r="G109" s="64"/>
      <c r="H109" s="377"/>
      <c r="I109" s="64"/>
      <c r="J109" s="377"/>
      <c r="K109" s="64"/>
      <c r="L109" s="377"/>
      <c r="M109" s="64"/>
      <c r="N109" s="64"/>
      <c r="O109" s="64"/>
      <c r="P109" s="64"/>
      <c r="Q109" s="64"/>
      <c r="R109" s="64"/>
      <c r="S109" s="64"/>
      <c r="T109" s="1321"/>
    </row>
    <row r="110" spans="1:21" ht="15">
      <c r="A110" s="75" t="s">
        <v>833</v>
      </c>
      <c r="B110" s="64"/>
      <c r="C110" s="64"/>
      <c r="D110" s="64"/>
      <c r="E110" s="64"/>
      <c r="F110" s="64"/>
      <c r="G110" s="64"/>
      <c r="H110" s="64"/>
      <c r="I110" s="64"/>
      <c r="J110" s="64"/>
      <c r="K110" s="64"/>
      <c r="L110" s="64"/>
      <c r="M110" s="64"/>
      <c r="N110" s="64"/>
      <c r="O110" s="64"/>
      <c r="P110" s="64"/>
      <c r="Q110" s="64"/>
      <c r="R110" s="64"/>
      <c r="S110" s="64"/>
      <c r="T110" s="1321"/>
    </row>
    <row r="111" spans="1:21">
      <c r="A111" s="3" t="s">
        <v>927</v>
      </c>
      <c r="C111" s="64"/>
      <c r="D111" s="64"/>
      <c r="E111" s="64"/>
      <c r="F111" s="64"/>
      <c r="G111" s="64"/>
      <c r="H111" s="377"/>
      <c r="I111" s="64"/>
      <c r="J111" s="64"/>
      <c r="K111" s="64"/>
      <c r="L111" s="64"/>
      <c r="M111" s="64"/>
      <c r="N111" s="64"/>
      <c r="O111" s="64"/>
      <c r="P111" s="64"/>
      <c r="Q111" s="64"/>
      <c r="R111" s="64"/>
      <c r="S111" s="64"/>
      <c r="T111" s="1321"/>
      <c r="U111" s="1321"/>
    </row>
    <row r="112" spans="1:21" ht="41.45" customHeight="1">
      <c r="A112" s="393"/>
      <c r="B112" s="1655" t="str">
        <f t="shared" ref="B112:F113" si="18">B5</f>
        <v>Bauxite Mining</v>
      </c>
      <c r="C112" s="1655" t="str">
        <f t="shared" si="18"/>
        <v>Bauxite Refining</v>
      </c>
      <c r="D112" s="1655" t="str">
        <f t="shared" si="18"/>
        <v>Anode Production</v>
      </c>
      <c r="E112" s="1655" t="str">
        <f t="shared" si="18"/>
        <v>Alumina Reduction</v>
      </c>
      <c r="F112" s="1655" t="str">
        <f t="shared" si="18"/>
        <v>Primary Ingot Casting</v>
      </c>
      <c r="G112" s="708" t="str">
        <f>I5</f>
        <v>Shape Casting</v>
      </c>
      <c r="H112" s="672" t="str">
        <f>J5</f>
        <v>Machining</v>
      </c>
      <c r="I112" s="2982" t="s">
        <v>928</v>
      </c>
      <c r="J112" s="2994"/>
      <c r="K112" s="64"/>
      <c r="L112" s="64"/>
      <c r="M112" s="64"/>
      <c r="N112" s="64"/>
      <c r="O112" s="64"/>
      <c r="P112" s="64"/>
      <c r="Q112" s="64"/>
      <c r="R112" s="64"/>
      <c r="S112" s="64"/>
    </row>
    <row r="113" spans="1:19">
      <c r="A113" s="1424" t="s">
        <v>929</v>
      </c>
      <c r="B113" s="1662">
        <f t="shared" si="18"/>
        <v>1</v>
      </c>
      <c r="C113" s="1662">
        <f t="shared" si="18"/>
        <v>1</v>
      </c>
      <c r="D113" s="1662">
        <f t="shared" si="18"/>
        <v>1</v>
      </c>
      <c r="E113" s="1662">
        <f t="shared" si="18"/>
        <v>1</v>
      </c>
      <c r="F113" s="1662">
        <f t="shared" si="18"/>
        <v>1.02</v>
      </c>
      <c r="G113" s="1663">
        <f>I6</f>
        <v>1.107</v>
      </c>
      <c r="H113" s="1664">
        <f>J6</f>
        <v>1</v>
      </c>
      <c r="I113" s="1665"/>
      <c r="J113" s="1664"/>
      <c r="K113" s="64"/>
      <c r="L113" s="64"/>
      <c r="M113" s="64"/>
      <c r="N113" s="64"/>
      <c r="O113" s="64"/>
      <c r="P113" s="64"/>
      <c r="Q113" s="64"/>
      <c r="R113" s="64"/>
      <c r="S113" s="64"/>
    </row>
    <row r="114" spans="1:19">
      <c r="A114" s="238" t="s">
        <v>918</v>
      </c>
      <c r="B114" s="377"/>
      <c r="C114" s="377"/>
      <c r="D114" s="377"/>
      <c r="E114" s="377"/>
      <c r="F114" s="377"/>
      <c r="G114" s="711"/>
      <c r="H114" s="711"/>
      <c r="I114" s="676" t="s">
        <v>845</v>
      </c>
      <c r="J114" s="676" t="s">
        <v>846</v>
      </c>
      <c r="K114" s="64"/>
      <c r="L114" s="64"/>
      <c r="M114" s="64"/>
      <c r="N114" s="64"/>
      <c r="O114" s="64"/>
      <c r="P114" s="64"/>
      <c r="Q114" s="64"/>
      <c r="R114" s="64"/>
      <c r="S114" s="64"/>
    </row>
    <row r="115" spans="1:19">
      <c r="A115" s="230" t="s">
        <v>816</v>
      </c>
      <c r="B115" s="349">
        <f ca="1">B80</f>
        <v>0.68454435979339279</v>
      </c>
      <c r="C115" s="349">
        <f ca="1">D80</f>
        <v>24.809133118047917</v>
      </c>
      <c r="D115" s="349">
        <f ca="1">F80</f>
        <v>12.440552255727628</v>
      </c>
      <c r="E115" s="349">
        <f ca="1">H80</f>
        <v>65.817972929625753</v>
      </c>
      <c r="F115" s="349">
        <f ca="1">J80</f>
        <v>1.3094835347968221</v>
      </c>
      <c r="G115" s="494">
        <f ca="1">P80</f>
        <v>8.3581149233194392</v>
      </c>
      <c r="H115" s="494">
        <f ca="1">R80</f>
        <v>1.095149842171246</v>
      </c>
      <c r="I115" s="490">
        <f t="shared" ref="I115:I120" ca="1" si="19">(((SUMPRODUCT(B$113:E$113,$B115:$E115)*$F$113+$F115))*$G$113+$G115)*$H$113+$H115</f>
        <v>128.05362515363043</v>
      </c>
      <c r="J115" s="494">
        <f ca="1">I115/2000</f>
        <v>6.4026812576815223E-2</v>
      </c>
      <c r="K115" s="64"/>
      <c r="L115" s="64"/>
      <c r="M115" s="64"/>
      <c r="N115" s="64"/>
      <c r="O115" s="64"/>
      <c r="P115" s="64"/>
      <c r="Q115" s="64"/>
      <c r="R115" s="64"/>
      <c r="S115" s="64"/>
    </row>
    <row r="116" spans="1:19">
      <c r="A116" s="230" t="s">
        <v>817</v>
      </c>
      <c r="B116" s="349">
        <f ca="1">B81</f>
        <v>0.67496085950170837</v>
      </c>
      <c r="C116" s="349">
        <f ca="1">D81</f>
        <v>24.053439739946107</v>
      </c>
      <c r="D116" s="349">
        <f ca="1">F81</f>
        <v>12.322318118995017</v>
      </c>
      <c r="E116" s="349">
        <f ca="1">H81</f>
        <v>25.672651864922052</v>
      </c>
      <c r="F116" s="349">
        <f ca="1">J81</f>
        <v>1.2200432119038398</v>
      </c>
      <c r="G116" s="494">
        <f ca="1">P81</f>
        <v>8.3524640916354791</v>
      </c>
      <c r="H116" s="494">
        <f ca="1">R81</f>
        <v>0.86737441381755587</v>
      </c>
      <c r="I116" s="494">
        <f t="shared" ca="1" si="19"/>
        <v>81.393893001531225</v>
      </c>
      <c r="J116" s="494">
        <f ca="1">I116/2000</f>
        <v>4.0696946500765614E-2</v>
      </c>
      <c r="K116" s="64"/>
      <c r="L116" s="64"/>
      <c r="M116" s="64"/>
      <c r="N116" s="64"/>
      <c r="O116" s="64"/>
      <c r="P116" s="64"/>
      <c r="Q116" s="64"/>
      <c r="R116" s="64"/>
      <c r="S116" s="64"/>
    </row>
    <row r="117" spans="1:19">
      <c r="A117" s="230" t="s">
        <v>805</v>
      </c>
      <c r="B117" s="349">
        <f ca="1">B82</f>
        <v>1.2501639495719813E-2</v>
      </c>
      <c r="C117" s="349">
        <f ca="1">D82</f>
        <v>2.688092088344701</v>
      </c>
      <c r="D117" s="349">
        <f ca="1">F82</f>
        <v>1.8013330910438319</v>
      </c>
      <c r="E117" s="349">
        <f ca="1">H82</f>
        <v>20.60382071774184</v>
      </c>
      <c r="F117" s="349">
        <f ca="1">J82</f>
        <v>0.11819226494186701</v>
      </c>
      <c r="G117" s="494">
        <f ca="1">P82</f>
        <v>7.4613787469592465E-3</v>
      </c>
      <c r="H117" s="494">
        <f ca="1">R82</f>
        <v>0.30110169748314225</v>
      </c>
      <c r="I117" s="494">
        <f t="shared" ca="1" si="19"/>
        <v>28.787305687026738</v>
      </c>
      <c r="J117" s="494">
        <f ca="1">I117/2000</f>
        <v>1.4393652843513368E-2</v>
      </c>
      <c r="K117" s="64"/>
      <c r="L117" s="64"/>
      <c r="M117" s="64"/>
      <c r="N117" s="64"/>
      <c r="O117" s="64"/>
      <c r="P117" s="64"/>
      <c r="Q117" s="64"/>
      <c r="R117" s="64"/>
      <c r="S117" s="64"/>
    </row>
    <row r="118" spans="1:19">
      <c r="A118" s="230" t="s">
        <v>804</v>
      </c>
      <c r="B118" s="349">
        <f t="shared" ref="B118:H118" ca="1" si="20">B116-B117-B119</f>
        <v>7.5821119818310967E-2</v>
      </c>
      <c r="C118" s="349">
        <f t="shared" ca="1" si="20"/>
        <v>18.056627488835225</v>
      </c>
      <c r="D118" s="349">
        <f t="shared" ca="1" si="20"/>
        <v>1.7363994191049521</v>
      </c>
      <c r="E118" s="349">
        <f t="shared" ca="1" si="20"/>
        <v>4.7379971354938757</v>
      </c>
      <c r="F118" s="349">
        <f t="shared" ca="1" si="20"/>
        <v>0.9542297146916987</v>
      </c>
      <c r="G118" s="494">
        <f t="shared" ca="1" si="20"/>
        <v>8.3146188297386807</v>
      </c>
      <c r="H118" s="494">
        <f t="shared" ca="1" si="20"/>
        <v>0.55685285502783466</v>
      </c>
      <c r="I118" s="494">
        <f t="shared" ca="1" si="19"/>
        <v>37.712377126565009</v>
      </c>
      <c r="J118" s="494">
        <f ca="1">J116-J117-J119</f>
        <v>1.8856188563282503E-2</v>
      </c>
    </row>
    <row r="119" spans="1:19">
      <c r="A119" s="230" t="s">
        <v>818</v>
      </c>
      <c r="B119" s="349">
        <f ca="1">B84</f>
        <v>0.58663810018767759</v>
      </c>
      <c r="C119" s="349">
        <f ca="1">D84</f>
        <v>3.3087201627661815</v>
      </c>
      <c r="D119" s="349">
        <f ca="1">F84</f>
        <v>8.7845856088462337</v>
      </c>
      <c r="E119" s="349">
        <f ca="1">H84</f>
        <v>0.33083401168633675</v>
      </c>
      <c r="F119" s="349">
        <f ca="1">J84</f>
        <v>0.14762123227027418</v>
      </c>
      <c r="G119" s="494">
        <f ca="1">P84</f>
        <v>3.0383883149839162E-2</v>
      </c>
      <c r="H119" s="494">
        <f ca="1">R84</f>
        <v>9.4198613065789756E-3</v>
      </c>
      <c r="I119" s="494">
        <f t="shared" ca="1" si="19"/>
        <v>14.894210187939482</v>
      </c>
      <c r="J119" s="494">
        <f ca="1">I119/2000</f>
        <v>7.4471050939697407E-3</v>
      </c>
    </row>
    <row r="120" spans="1:19">
      <c r="A120" s="230" t="s">
        <v>819</v>
      </c>
      <c r="B120" s="47">
        <f t="shared" ref="B120:B131" ca="1" si="21">SUM(B85:C85)</f>
        <v>1499.5970665113987</v>
      </c>
      <c r="C120" s="47">
        <f ca="1">SUM(D85:E85)</f>
        <v>1514.3954426350808</v>
      </c>
      <c r="D120" s="47">
        <f ca="1">SUM(F85:G85)</f>
        <v>210.28034129895224</v>
      </c>
      <c r="E120" s="47">
        <f ca="1">SUM(H85:I85)</f>
        <v>21940.20472559339</v>
      </c>
      <c r="F120" s="47">
        <f ca="1">SUM(J85:K85)</f>
        <v>82.671350503798152</v>
      </c>
      <c r="G120" s="78">
        <f ca="1">SUM(P85:Q85)</f>
        <v>23.327734888847036</v>
      </c>
      <c r="H120" s="78">
        <f ca="1">SUM(R85:S85)</f>
        <v>58.690100867173619</v>
      </c>
      <c r="I120" s="78">
        <f t="shared" ca="1" si="19"/>
        <v>28587.753230972205</v>
      </c>
      <c r="J120" s="79">
        <f ca="1">I120/2000</f>
        <v>14.293876615486102</v>
      </c>
    </row>
    <row r="121" spans="1:19">
      <c r="A121" s="238" t="s">
        <v>919</v>
      </c>
      <c r="B121" s="512"/>
      <c r="C121" s="512"/>
      <c r="D121" s="512"/>
      <c r="E121" s="512"/>
      <c r="F121" s="512"/>
      <c r="G121" s="511"/>
      <c r="H121" s="509"/>
      <c r="I121" s="679" t="s">
        <v>845</v>
      </c>
      <c r="J121" s="673" t="s">
        <v>846</v>
      </c>
    </row>
    <row r="122" spans="1:19">
      <c r="A122" s="230" t="s">
        <v>821</v>
      </c>
      <c r="B122" s="349">
        <f t="shared" ca="1" si="21"/>
        <v>14.103941572634085</v>
      </c>
      <c r="C122" s="349">
        <f t="shared" ref="C122:C131" ca="1" si="22">SUM(D87:E87)</f>
        <v>249.89396671133065</v>
      </c>
      <c r="D122" s="349">
        <f t="shared" ref="D122:D131" ca="1" si="23">SUM(F87:G87)</f>
        <v>213.88161220850009</v>
      </c>
      <c r="E122" s="349">
        <f t="shared" ref="E122:E134" ca="1" si="24">SUM(H87:I87)</f>
        <v>238.60533652962718</v>
      </c>
      <c r="F122" s="349">
        <f t="shared" ref="F122:F134" ca="1" si="25">SUM(J87:K87)</f>
        <v>12.407197653502605</v>
      </c>
      <c r="G122" s="494">
        <f t="shared" ref="G122:G134" ca="1" si="26">SUM(P87:Q87)</f>
        <v>97.086531973484483</v>
      </c>
      <c r="H122" s="348">
        <f t="shared" ref="H122:H134" ca="1" si="27">SUM(R87:S87)</f>
        <v>7.4827090274299994</v>
      </c>
      <c r="I122" s="494">
        <f t="shared" ref="I122:I136" ca="1" si="28">(((SUMPRODUCT(B$113:E$113,$B122:$E122)*$F$113+$F122))*$G$113+$G122)*$H$113+$H122</f>
        <v>927.31572026126696</v>
      </c>
      <c r="J122" s="348">
        <f t="shared" ref="J122:J135" ca="1" si="29">I122/2000</f>
        <v>0.46365786013063348</v>
      </c>
    </row>
    <row r="123" spans="1:19">
      <c r="A123" s="230" t="s">
        <v>822</v>
      </c>
      <c r="B123" s="349">
        <f t="shared" ca="1" si="21"/>
        <v>40.286761288321777</v>
      </c>
      <c r="C123" s="349">
        <f t="shared" ca="1" si="22"/>
        <v>1057.7496414933585</v>
      </c>
      <c r="D123" s="349">
        <f t="shared" ca="1" si="23"/>
        <v>301.44000598533142</v>
      </c>
      <c r="E123" s="349">
        <f t="shared" ca="1" si="24"/>
        <v>530.89612102870342</v>
      </c>
      <c r="F123" s="349">
        <f t="shared" ca="1" si="25"/>
        <v>63.733452663009182</v>
      </c>
      <c r="G123" s="494">
        <f t="shared" ca="1" si="26"/>
        <v>404.60758424601403</v>
      </c>
      <c r="H123" s="348">
        <f t="shared" ca="1" si="27"/>
        <v>20.225682519847698</v>
      </c>
      <c r="I123" s="494">
        <f t="shared" ca="1" si="28"/>
        <v>2675.0470371573465</v>
      </c>
      <c r="J123" s="348">
        <f t="shared" ca="1" si="29"/>
        <v>1.3375235185786734</v>
      </c>
    </row>
    <row r="124" spans="1:19">
      <c r="A124" s="230" t="s">
        <v>849</v>
      </c>
      <c r="B124" s="349">
        <f t="shared" ca="1" si="21"/>
        <v>154.87052837337771</v>
      </c>
      <c r="C124" s="349">
        <f t="shared" ca="1" si="22"/>
        <v>1890.2445645973878</v>
      </c>
      <c r="D124" s="349">
        <f t="shared" ca="1" si="23"/>
        <v>479.03756168013871</v>
      </c>
      <c r="E124" s="349">
        <f t="shared" ca="1" si="24"/>
        <v>1763.3500285946627</v>
      </c>
      <c r="F124" s="349">
        <f t="shared" ca="1" si="25"/>
        <v>115.79258817012791</v>
      </c>
      <c r="G124" s="494">
        <f t="shared" ca="1" si="26"/>
        <v>550.03911257638811</v>
      </c>
      <c r="H124" s="348">
        <f t="shared" ca="1" si="27"/>
        <v>41.666162997286321</v>
      </c>
      <c r="I124" s="494">
        <f t="shared" ca="1" si="28"/>
        <v>5561.0784504379044</v>
      </c>
      <c r="J124" s="348">
        <f t="shared" ca="1" si="29"/>
        <v>2.780539225218952</v>
      </c>
    </row>
    <row r="125" spans="1:19">
      <c r="A125" s="230" t="s">
        <v>824</v>
      </c>
      <c r="B125" s="349">
        <f t="shared" ca="1" si="21"/>
        <v>862.64378252570623</v>
      </c>
      <c r="C125" s="349">
        <f t="shared" ca="1" si="22"/>
        <v>988.29991777836824</v>
      </c>
      <c r="D125" s="349">
        <f t="shared" ca="1" si="23"/>
        <v>179.68812145302968</v>
      </c>
      <c r="E125" s="349">
        <f t="shared" ca="1" si="24"/>
        <v>2119.9496333259854</v>
      </c>
      <c r="F125" s="349">
        <f t="shared" ca="1" si="25"/>
        <v>36.630653401519154</v>
      </c>
      <c r="G125" s="494">
        <f t="shared" ca="1" si="26"/>
        <v>29.723823179210161</v>
      </c>
      <c r="H125" s="348">
        <f t="shared" ca="1" si="27"/>
        <v>6.6697639307422918</v>
      </c>
      <c r="I125" s="494">
        <f t="shared" ca="1" si="28"/>
        <v>4763.5312646179536</v>
      </c>
      <c r="J125" s="348">
        <f t="shared" ca="1" si="29"/>
        <v>2.3817656323089769</v>
      </c>
    </row>
    <row r="126" spans="1:19" s="64" customFormat="1">
      <c r="A126" s="230" t="s">
        <v>825</v>
      </c>
      <c r="B126" s="349">
        <f t="shared" ca="1" si="21"/>
        <v>436.95720208202476</v>
      </c>
      <c r="C126" s="349">
        <f t="shared" ca="1" si="22"/>
        <v>496.84586819270083</v>
      </c>
      <c r="D126" s="349">
        <f t="shared" ca="1" si="23"/>
        <v>91.617344310305441</v>
      </c>
      <c r="E126" s="349">
        <f t="shared" ca="1" si="24"/>
        <v>1056.224814545971</v>
      </c>
      <c r="F126" s="349">
        <f t="shared" ca="1" si="25"/>
        <v>19.262088373931491</v>
      </c>
      <c r="G126" s="494">
        <f t="shared" ca="1" si="26"/>
        <v>29.410848122741189</v>
      </c>
      <c r="H126" s="348">
        <f t="shared" ca="1" si="27"/>
        <v>4.0036560169627808</v>
      </c>
      <c r="I126" s="494">
        <f t="shared" ca="1" si="28"/>
        <v>2405.2065299906258</v>
      </c>
      <c r="J126" s="348">
        <f t="shared" ca="1" si="29"/>
        <v>1.2026032649953129</v>
      </c>
    </row>
    <row r="127" spans="1:19" s="64" customFormat="1">
      <c r="A127" s="230" t="s">
        <v>826</v>
      </c>
      <c r="B127" s="349">
        <f t="shared" ca="1" si="21"/>
        <v>28.723131328310583</v>
      </c>
      <c r="C127" s="349">
        <f t="shared" ca="1" si="22"/>
        <v>2442.1757848350039</v>
      </c>
      <c r="D127" s="349">
        <f t="shared" ca="1" si="23"/>
        <v>1219.3734108740944</v>
      </c>
      <c r="E127" s="349">
        <f t="shared" ca="1" si="24"/>
        <v>15897.81811991937</v>
      </c>
      <c r="F127" s="349">
        <f t="shared" ca="1" si="25"/>
        <v>61.528379837811237</v>
      </c>
      <c r="G127" s="494">
        <f t="shared" ca="1" si="26"/>
        <v>86.051588474875132</v>
      </c>
      <c r="H127" s="348">
        <f t="shared" ca="1" si="27"/>
        <v>34.984490558473404</v>
      </c>
      <c r="I127" s="494">
        <f t="shared" ca="1" si="28"/>
        <v>22306.844442790582</v>
      </c>
      <c r="J127" s="348">
        <f t="shared" ca="1" si="29"/>
        <v>11.15342222139529</v>
      </c>
    </row>
    <row r="128" spans="1:19" s="64" customFormat="1">
      <c r="A128" s="230" t="s">
        <v>827</v>
      </c>
      <c r="B128" s="349">
        <f t="shared" ca="1" si="21"/>
        <v>2.7292685548287601</v>
      </c>
      <c r="C128" s="349">
        <f t="shared" ca="1" si="22"/>
        <v>14.892837178972826</v>
      </c>
      <c r="D128" s="349">
        <f t="shared" ca="1" si="23"/>
        <v>4.2882765406328112</v>
      </c>
      <c r="E128" s="349">
        <f t="shared" ca="1" si="24"/>
        <v>7.6559930131095699</v>
      </c>
      <c r="F128" s="349">
        <f t="shared" ca="1" si="25"/>
        <v>1.196274660678099</v>
      </c>
      <c r="G128" s="494">
        <f t="shared" ca="1" si="26"/>
        <v>5.130904590632464</v>
      </c>
      <c r="H128" s="348">
        <f t="shared" ca="1" si="27"/>
        <v>0.24428145805531498</v>
      </c>
      <c r="I128" s="494">
        <f t="shared" ca="1" si="28"/>
        <v>40.084039090235819</v>
      </c>
      <c r="J128" s="348">
        <f t="shared" ca="1" si="29"/>
        <v>2.004201954511791E-2</v>
      </c>
    </row>
    <row r="129" spans="1:10" s="64" customFormat="1">
      <c r="A129" s="230" t="s">
        <v>828</v>
      </c>
      <c r="B129" s="349">
        <f t="shared" ca="1" si="21"/>
        <v>1.0165803940101168</v>
      </c>
      <c r="C129" s="349">
        <f t="shared" ca="1" si="22"/>
        <v>32.30659246092479</v>
      </c>
      <c r="D129" s="349">
        <f t="shared" ca="1" si="23"/>
        <v>4.9868867959751206</v>
      </c>
      <c r="E129" s="349">
        <f t="shared" ca="1" si="24"/>
        <v>20.564933592249279</v>
      </c>
      <c r="F129" s="349">
        <f t="shared" ca="1" si="25"/>
        <v>1.7733453161102681</v>
      </c>
      <c r="G129" s="494">
        <f t="shared" ca="1" si="26"/>
        <v>12.445522755943259</v>
      </c>
      <c r="H129" s="348">
        <f t="shared" ca="1" si="27"/>
        <v>1.1627205582355689</v>
      </c>
      <c r="I129" s="494">
        <f t="shared" ca="1" si="28"/>
        <v>82.049446449693789</v>
      </c>
      <c r="J129" s="348">
        <f t="shared" ca="1" si="29"/>
        <v>4.1024723224846897E-2</v>
      </c>
    </row>
    <row r="130" spans="1:10" s="64" customFormat="1">
      <c r="A130" s="230" t="s">
        <v>829</v>
      </c>
      <c r="B130" s="349">
        <f t="shared" ca="1" si="21"/>
        <v>65.310300802730978</v>
      </c>
      <c r="C130" s="349">
        <f t="shared" ca="1" si="22"/>
        <v>4205.6430350012424</v>
      </c>
      <c r="D130" s="349">
        <f t="shared" ca="1" si="23"/>
        <v>1286.2277403302521</v>
      </c>
      <c r="E130" s="349">
        <f t="shared" ca="1" si="24"/>
        <v>4160.6038295132767</v>
      </c>
      <c r="F130" s="349">
        <f t="shared" ca="1" si="25"/>
        <v>214.24438627790502</v>
      </c>
      <c r="G130" s="494">
        <f t="shared" ca="1" si="26"/>
        <v>1645.6819088440611</v>
      </c>
      <c r="H130" s="348">
        <f t="shared" ca="1" si="27"/>
        <v>144.66610000589398</v>
      </c>
      <c r="I130" s="494">
        <f t="shared" ca="1" si="28"/>
        <v>13000.256192822417</v>
      </c>
      <c r="J130" s="348">
        <f t="shared" ca="1" si="29"/>
        <v>6.500128096411208</v>
      </c>
    </row>
    <row r="131" spans="1:10" s="64" customFormat="1">
      <c r="A131" s="230" t="s">
        <v>830</v>
      </c>
      <c r="B131" s="349">
        <f t="shared" ca="1" si="21"/>
        <v>1.2186223510411494</v>
      </c>
      <c r="C131" s="349">
        <f t="shared" ca="1" si="22"/>
        <v>42.514731700825408</v>
      </c>
      <c r="D131" s="349">
        <f t="shared" ca="1" si="23"/>
        <v>4.6809048711268755</v>
      </c>
      <c r="E131" s="349">
        <f t="shared" ca="1" si="24"/>
        <v>52.472600720827259</v>
      </c>
      <c r="F131" s="349">
        <f t="shared" ca="1" si="25"/>
        <v>2.1784378448726276</v>
      </c>
      <c r="G131" s="494">
        <f t="shared" ca="1" si="26"/>
        <v>16.422698661263713</v>
      </c>
      <c r="H131" s="348">
        <f t="shared" ca="1" si="27"/>
        <v>1.3125273865702118</v>
      </c>
      <c r="I131" s="494">
        <f t="shared" ca="1" si="28"/>
        <v>134.06214544033162</v>
      </c>
      <c r="J131" s="348">
        <f t="shared" ca="1" si="29"/>
        <v>6.7031072720165813E-2</v>
      </c>
    </row>
    <row r="132" spans="1:10" s="64" customFormat="1">
      <c r="A132" s="230" t="s">
        <v>905</v>
      </c>
      <c r="B132" s="389">
        <f t="shared" ref="B132:D133" si="30">SUM(E97:F97)</f>
        <v>0</v>
      </c>
      <c r="C132" s="389">
        <f t="shared" si="30"/>
        <v>0</v>
      </c>
      <c r="D132" s="389">
        <f t="shared" si="30"/>
        <v>0</v>
      </c>
      <c r="E132" s="389">
        <f t="shared" si="24"/>
        <v>69.763679999999994</v>
      </c>
      <c r="F132" s="349">
        <f t="shared" si="25"/>
        <v>0</v>
      </c>
      <c r="G132" s="494">
        <f t="shared" si="26"/>
        <v>0</v>
      </c>
      <c r="H132" s="348">
        <f t="shared" si="27"/>
        <v>0</v>
      </c>
      <c r="I132" s="494">
        <f t="shared" si="28"/>
        <v>78.772961635199991</v>
      </c>
      <c r="J132" s="348">
        <f t="shared" si="29"/>
        <v>3.9386480817599996E-2</v>
      </c>
    </row>
    <row r="133" spans="1:10" s="64" customFormat="1">
      <c r="A133" s="230" t="s">
        <v>906</v>
      </c>
      <c r="B133" s="389">
        <f t="shared" si="30"/>
        <v>0</v>
      </c>
      <c r="C133" s="389">
        <f t="shared" si="30"/>
        <v>0</v>
      </c>
      <c r="D133" s="389">
        <f t="shared" si="30"/>
        <v>0</v>
      </c>
      <c r="E133" s="389">
        <f t="shared" si="24"/>
        <v>9.61632</v>
      </c>
      <c r="F133" s="349">
        <f t="shared" si="25"/>
        <v>0</v>
      </c>
      <c r="G133" s="494">
        <f t="shared" si="26"/>
        <v>0</v>
      </c>
      <c r="H133" s="348">
        <f t="shared" si="27"/>
        <v>0</v>
      </c>
      <c r="I133" s="494">
        <f t="shared" si="28"/>
        <v>10.858171564800001</v>
      </c>
      <c r="J133" s="348">
        <f t="shared" si="29"/>
        <v>5.4290857824000009E-3</v>
      </c>
    </row>
    <row r="134" spans="1:10" s="64" customFormat="1">
      <c r="A134" s="230" t="s">
        <v>831</v>
      </c>
      <c r="B134" s="246">
        <f ca="1">SUM(B99:C99)</f>
        <v>53720.171247678947</v>
      </c>
      <c r="C134" s="246">
        <f ca="1">SUM(D99:E99)</f>
        <v>1680820.5053000967</v>
      </c>
      <c r="D134" s="246">
        <f ca="1">SUM(F99:G99)</f>
        <v>267586.0079222162</v>
      </c>
      <c r="E134" s="246">
        <f t="shared" ca="1" si="24"/>
        <v>3745147.0637156432</v>
      </c>
      <c r="F134" s="246">
        <f t="shared" ca="1" si="25"/>
        <v>80818.531301992349</v>
      </c>
      <c r="G134" s="253">
        <f t="shared" ca="1" si="26"/>
        <v>495766.88736471668</v>
      </c>
      <c r="H134" s="247">
        <f t="shared" ca="1" si="27"/>
        <v>63921.436842905794</v>
      </c>
      <c r="I134" s="630">
        <f t="shared" ca="1" si="28"/>
        <v>7138631.1183852544</v>
      </c>
      <c r="J134" s="247">
        <f t="shared" ca="1" si="29"/>
        <v>3569.315559192627</v>
      </c>
    </row>
    <row r="135" spans="1:10" s="64" customFormat="1">
      <c r="A135" s="230" t="s">
        <v>850</v>
      </c>
      <c r="B135" s="246">
        <f ca="1">B134+B122*GREET1_Import_Export!$B$62/GREET1_Import_Export!$B$65+B123*GREET1_Import_Export!$B$63/GREET1_Import_Export!$B$65</f>
        <v>53827.436299985784</v>
      </c>
      <c r="C135" s="246">
        <f ca="1">C134+C122*GREET1_Import_Export!$B$62/GREET1_Import_Export!$B$65+C123*GREET1_Import_Export!$B$63/GREET1_Import_Export!$B$65</f>
        <v>1683261.5195044079</v>
      </c>
      <c r="D135" s="246">
        <f ca="1">D134+D122*GREET1_Import_Export!$B$62/GREET1_Import_Export!$B$65+D123*GREET1_Import_Export!$B$63/GREET1_Import_Export!$B$65</f>
        <v>268726.29705157632</v>
      </c>
      <c r="E135" s="246">
        <f ca="1">E134+E122*GREET1_Import_Export!$B$62/GREET1_Import_Export!$B$65+E123*GREET1_Import_Export!$B$63/GREET1_Import_Export!$B$65</f>
        <v>3746724.9823475392</v>
      </c>
      <c r="F135" s="246">
        <f ca="1">F134+F122*GREET1_Import_Export!$B$62/GREET1_Import_Export!$B$65+F123*GREET1_Import_Export!$B$63/GREET1_Import_Export!$B$65</f>
        <v>80957.352969816202</v>
      </c>
      <c r="G135" s="253">
        <f ca="1">G134+G122*GREET1_Import_Export!$B$62/GREET1_Import_Export!$B$65+G123*GREET1_Import_Export!$B$63/GREET1_Import_Export!$B$65</f>
        <v>496705.28564080159</v>
      </c>
      <c r="H135" s="247">
        <f ca="1">H134+H122*GREET1_Import_Export!$B$62/GREET1_Import_Export!$B$65+H123*GREET1_Import_Export!$B$63/GREET1_Import_Export!$B$65</f>
        <v>63976.541168096286</v>
      </c>
      <c r="I135" s="630">
        <f t="shared" ca="1" si="28"/>
        <v>7145724.897724174</v>
      </c>
      <c r="J135" s="247">
        <f t="shared" ca="1" si="29"/>
        <v>3572.8624488620871</v>
      </c>
    </row>
    <row r="136" spans="1:10" s="64" customFormat="1">
      <c r="A136" s="589" t="s">
        <v>851</v>
      </c>
      <c r="B136" s="294">
        <f ca="1">B135+SUMPRODUCT(B130:B131,GREET1_Import_Export!$B$51:$B$52)+SUMPRODUCT(B122:B124,GREET1_Import_Export!$B$55:$B$57)+SUMPRODUCT(B128:B129,GREET1_Import_Export!$B$58:$B$59)+SUMPRODUCT(B132:B133,'GREET2_Factors_T&amp;D'!$B$6:$B$7)</f>
        <v>56109.680247093616</v>
      </c>
      <c r="C136" s="294">
        <f ca="1">C135+SUMPRODUCT(C130:C131,GREET1_Import_Export!$B$51:$B$52)+SUMPRODUCT(C122:C124,GREET1_Import_Export!$B$55:$B$57)+SUMPRODUCT(C128:C129,GREET1_Import_Export!$B$58:$B$59)+SUMPRODUCT(C132:C133,'GREET2_Factors_T&amp;D'!$B$6:$B$7)</f>
        <v>1820697.2144551638</v>
      </c>
      <c r="D136" s="294">
        <f ca="1">D135+SUMPRODUCT(D130:D131,GREET1_Import_Export!$B$51:$B$52)+SUMPRODUCT(D122:D124,GREET1_Import_Export!$B$55:$B$57)+SUMPRODUCT(D128:D129,GREET1_Import_Export!$B$58:$B$59)+SUMPRODUCT(D132:D133,'GREET2_Factors_T&amp;D'!$B$6:$B$7)</f>
        <v>308553.56905233249</v>
      </c>
      <c r="E136" s="294">
        <f ca="1">E135+SUMPRODUCT(E130:E131,GREET1_Import_Export!$B$51:$B$52)+SUMPRODUCT(E122:E124,GREET1_Import_Export!$B$55:$B$57)+SUMPRODUCT(E128:E129,GREET1_Import_Export!$B$58:$B$59)+SUMPRODUCT(E132:E133,'GREET2_Factors_T&amp;D'!$B$6:$B$7)</f>
        <v>4454722.6868239567</v>
      </c>
      <c r="F136" s="294">
        <f ca="1">F135+SUMPRODUCT(F130:F131,GREET1_Import_Export!$B$51:$B$52)+SUMPRODUCT(F122:F124,GREET1_Import_Export!$B$55:$B$57)+SUMPRODUCT(F128:F129,GREET1_Import_Export!$B$58:$B$59)+SUMPRODUCT(F132:F133,'GREET2_Factors_T&amp;D'!$B$6:$B$7)</f>
        <v>87961.970587044605</v>
      </c>
      <c r="G136" s="400">
        <f ca="1">G135+SUMPRODUCT(G130:G131,GREET1_Import_Export!$B$51:$B$52)+SUMPRODUCT(G122:G124,GREET1_Import_Export!$B$55:$B$57)+SUMPRODUCT(G128:G129,GREET1_Import_Export!$B$58:$B$59)+SUMPRODUCT(G132:G133,'GREET2_Factors_T&amp;D'!$B$6:$B$7)</f>
        <v>550427.75805135828</v>
      </c>
      <c r="H136" s="296">
        <f ca="1">H135+SUMPRODUCT(H130:H131,GREET1_Import_Export!$B$51:$B$52)+SUMPRODUCT(H122:H124,GREET1_Import_Export!$B$55:$B$57)+SUMPRODUCT(H128:H129,GREET1_Import_Export!$B$58:$B$59)+SUMPRODUCT(H132:H133,'GREET2_Factors_T&amp;D'!$B$6:$B$7)</f>
        <v>68664.343925714216</v>
      </c>
      <c r="I136" s="630">
        <f t="shared" ca="1" si="28"/>
        <v>8214049.4920611912</v>
      </c>
      <c r="J136" s="296">
        <f ca="1">J135+SUMPRODUCT(J130:J131,GREET1_Import_Export!$B$51:$B$52)+SUMPRODUCT(J122:J124,GREET1_Import_Export!$B$55:$B$57)+SUMPRODUCT(J128:J129,GREET1_Import_Export!$B$58:$B$59)+SUMPRODUCT(J132:J133,'GREET2_Factors_T&amp;D'!$B$6:$B$7)</f>
        <v>4107.0247460305955</v>
      </c>
    </row>
    <row r="137" spans="1:10" s="64" customFormat="1">
      <c r="A137" s="571" t="s">
        <v>920</v>
      </c>
      <c r="G137" s="291"/>
      <c r="H137" s="395"/>
      <c r="I137" s="676" t="s">
        <v>845</v>
      </c>
      <c r="J137" s="468" t="s">
        <v>846</v>
      </c>
    </row>
    <row r="138" spans="1:10" s="64" customFormat="1">
      <c r="A138" s="230" t="s">
        <v>821</v>
      </c>
      <c r="B138" s="349">
        <f t="shared" ref="B138:B145" ca="1" si="31">SUM(B101:C101)</f>
        <v>1.4011854970944819</v>
      </c>
      <c r="C138" s="349">
        <f t="shared" ref="C138:C145" ca="1" si="32">SUM(D101:E101)</f>
        <v>16.470353939027177</v>
      </c>
      <c r="D138" s="349">
        <f t="shared" ref="D138:D145" ca="1" si="33">SUM(F101:G101)</f>
        <v>19.398284066790588</v>
      </c>
      <c r="E138" s="349">
        <f t="shared" ref="E138:E145" ca="1" si="34">SUM(H101:I101)</f>
        <v>12.782468730969342</v>
      </c>
      <c r="F138" s="349">
        <f t="shared" ref="F138:F145" ca="1" si="35">SUM(J101:K101)</f>
        <v>0.87177368925282617</v>
      </c>
      <c r="G138" s="494">
        <f t="shared" ref="G138:G145" ca="1" si="36">SUM(P101:Q101)</f>
        <v>4.5271952596789564</v>
      </c>
      <c r="H138" s="348">
        <f t="shared" ref="H138:H145" ca="1" si="37">SUM(R101:S101)</f>
        <v>0.46661822254725344</v>
      </c>
      <c r="I138" s="494">
        <f t="shared" ref="I138:I145" ca="1" si="38">(((SUMPRODUCT(B$113:E$113,$B138:$E138)*$F$113+$F138))*$G$113+$G138)*$H$113+$H138</f>
        <v>62.474912209194144</v>
      </c>
      <c r="J138" s="348">
        <f t="shared" ref="J138:J145" ca="1" si="39">I138/2000</f>
        <v>3.1237456104597071E-2</v>
      </c>
    </row>
    <row r="139" spans="1:10" s="64" customFormat="1">
      <c r="A139" s="230" t="s">
        <v>822</v>
      </c>
      <c r="B139" s="349">
        <f t="shared" ca="1" si="31"/>
        <v>1.0015935134345568</v>
      </c>
      <c r="C139" s="349">
        <f t="shared" ca="1" si="32"/>
        <v>57.036554599534128</v>
      </c>
      <c r="D139" s="349">
        <f t="shared" ca="1" si="33"/>
        <v>17.219184015238916</v>
      </c>
      <c r="E139" s="349">
        <f t="shared" ca="1" si="34"/>
        <v>124.5512552196103</v>
      </c>
      <c r="F139" s="349">
        <f t="shared" ca="1" si="35"/>
        <v>3.426452963575163</v>
      </c>
      <c r="G139" s="494">
        <f t="shared" ca="1" si="36"/>
        <v>21.751174616172509</v>
      </c>
      <c r="H139" s="348">
        <f t="shared" ca="1" si="37"/>
        <v>3.4448430417145355</v>
      </c>
      <c r="I139" s="494">
        <f t="shared" ca="1" si="38"/>
        <v>254.60096940647983</v>
      </c>
      <c r="J139" s="348">
        <f t="shared" ca="1" si="39"/>
        <v>0.12730048470323993</v>
      </c>
    </row>
    <row r="140" spans="1:10" s="64" customFormat="1">
      <c r="A140" s="230" t="s">
        <v>823</v>
      </c>
      <c r="B140" s="349">
        <f t="shared" ca="1" si="31"/>
        <v>1.7316054452976171</v>
      </c>
      <c r="C140" s="349">
        <f t="shared" ca="1" si="32"/>
        <v>89.857886665992183</v>
      </c>
      <c r="D140" s="349">
        <f t="shared" ca="1" si="33"/>
        <v>27.79925595518861</v>
      </c>
      <c r="E140" s="349">
        <f t="shared" ca="1" si="34"/>
        <v>502.62502549552994</v>
      </c>
      <c r="F140" s="349">
        <f t="shared" ca="1" si="35"/>
        <v>6.5526268056182833</v>
      </c>
      <c r="G140" s="494">
        <f t="shared" ca="1" si="36"/>
        <v>25.782054050194315</v>
      </c>
      <c r="H140" s="348">
        <f t="shared" ca="1" si="37"/>
        <v>10.288953337676208</v>
      </c>
      <c r="I140" s="494">
        <f t="shared" ca="1" si="38"/>
        <v>745.66539754149608</v>
      </c>
      <c r="J140" s="348">
        <f t="shared" ca="1" si="39"/>
        <v>0.37283269877074804</v>
      </c>
    </row>
    <row r="141" spans="1:10" s="64" customFormat="1">
      <c r="A141" s="230" t="s">
        <v>824</v>
      </c>
      <c r="B141" s="349">
        <f t="shared" ca="1" si="31"/>
        <v>0.29915834092700511</v>
      </c>
      <c r="C141" s="349">
        <f t="shared" ca="1" si="32"/>
        <v>5.878880486395766</v>
      </c>
      <c r="D141" s="349">
        <f t="shared" ca="1" si="33"/>
        <v>4.715271286673377</v>
      </c>
      <c r="E141" s="349">
        <f t="shared" ca="1" si="34"/>
        <v>65.122723929484607</v>
      </c>
      <c r="F141" s="349">
        <f t="shared" ca="1" si="35"/>
        <v>0.59997683116797107</v>
      </c>
      <c r="G141" s="494">
        <f t="shared" ca="1" si="36"/>
        <v>0.11060117046678213</v>
      </c>
      <c r="H141" s="348">
        <f t="shared" ca="1" si="37"/>
        <v>1.3736912953723162</v>
      </c>
      <c r="I141" s="494">
        <f t="shared" ca="1" si="38"/>
        <v>87.981211497797887</v>
      </c>
      <c r="J141" s="348">
        <f t="shared" ca="1" si="39"/>
        <v>4.3990605748898945E-2</v>
      </c>
    </row>
    <row r="142" spans="1:10" s="64" customFormat="1">
      <c r="A142" s="230" t="s">
        <v>825</v>
      </c>
      <c r="B142" s="349">
        <f t="shared" ca="1" si="31"/>
        <v>0.26040897695807869</v>
      </c>
      <c r="C142" s="349">
        <f t="shared" ca="1" si="32"/>
        <v>5.1817974440505834</v>
      </c>
      <c r="D142" s="349">
        <f t="shared" ca="1" si="33"/>
        <v>3.9528876836325839</v>
      </c>
      <c r="E142" s="349">
        <f t="shared" ca="1" si="34"/>
        <v>54.509319567530753</v>
      </c>
      <c r="F142" s="349">
        <f t="shared" ca="1" si="35"/>
        <v>0.52784743228048969</v>
      </c>
      <c r="G142" s="494">
        <f t="shared" ca="1" si="36"/>
        <v>0.10215803254598647</v>
      </c>
      <c r="H142" s="348">
        <f t="shared" ca="1" si="37"/>
        <v>1.2079280276484363</v>
      </c>
      <c r="I142" s="494">
        <f t="shared" ca="1" si="38"/>
        <v>74.051442821525228</v>
      </c>
      <c r="J142" s="348">
        <f t="shared" ca="1" si="39"/>
        <v>3.7025721410762616E-2</v>
      </c>
    </row>
    <row r="143" spans="1:10">
      <c r="A143" s="230" t="s">
        <v>826</v>
      </c>
      <c r="B143" s="349">
        <f t="shared" ca="1" si="31"/>
        <v>0.82797408805979944</v>
      </c>
      <c r="C143" s="349">
        <f t="shared" ca="1" si="32"/>
        <v>37.726665934616271</v>
      </c>
      <c r="D143" s="349">
        <f t="shared" ca="1" si="33"/>
        <v>11.887935084305154</v>
      </c>
      <c r="E143" s="349">
        <f t="shared" ca="1" si="34"/>
        <v>681.02018876810268</v>
      </c>
      <c r="F143" s="349">
        <f t="shared" ca="1" si="35"/>
        <v>4.1856735412254631</v>
      </c>
      <c r="G143" s="494">
        <f t="shared" ca="1" si="36"/>
        <v>1.1130291479765804</v>
      </c>
      <c r="H143" s="348">
        <f t="shared" ca="1" si="37"/>
        <v>10.223000660764436</v>
      </c>
      <c r="I143" s="494">
        <f t="shared" ca="1" si="38"/>
        <v>841.89343562078989</v>
      </c>
      <c r="J143" s="348">
        <f t="shared" ca="1" si="39"/>
        <v>0.42094671781039494</v>
      </c>
    </row>
    <row r="144" spans="1:10">
      <c r="A144" s="230" t="s">
        <v>827</v>
      </c>
      <c r="B144" s="349">
        <f t="shared" ca="1" si="31"/>
        <v>2.8979248999643329E-2</v>
      </c>
      <c r="C144" s="349">
        <f t="shared" ca="1" si="32"/>
        <v>0.35216403608577934</v>
      </c>
      <c r="D144" s="349">
        <f t="shared" ca="1" si="33"/>
        <v>0.46449108108245796</v>
      </c>
      <c r="E144" s="349">
        <f t="shared" ca="1" si="34"/>
        <v>2.4431008179494818</v>
      </c>
      <c r="F144" s="349">
        <f t="shared" ca="1" si="35"/>
        <v>3.1301721650814886E-2</v>
      </c>
      <c r="G144" s="494">
        <f t="shared" ca="1" si="36"/>
        <v>1.7060976956070697E-2</v>
      </c>
      <c r="H144" s="348">
        <f t="shared" ca="1" si="37"/>
        <v>6.2251682935120692E-2</v>
      </c>
      <c r="I144" s="494">
        <f t="shared" ca="1" si="38"/>
        <v>3.8274061115529214</v>
      </c>
      <c r="J144" s="348">
        <f t="shared" ca="1" si="39"/>
        <v>1.9137030557764608E-3</v>
      </c>
    </row>
    <row r="145" spans="1:11">
      <c r="A145" s="589" t="s">
        <v>828</v>
      </c>
      <c r="B145" s="505">
        <f t="shared" ca="1" si="31"/>
        <v>4.9255394015787074E-2</v>
      </c>
      <c r="C145" s="505">
        <f t="shared" ca="1" si="32"/>
        <v>1.3615686704826244</v>
      </c>
      <c r="D145" s="505">
        <f t="shared" ca="1" si="33"/>
        <v>0.73053115407021318</v>
      </c>
      <c r="E145" s="505">
        <f t="shared" ca="1" si="34"/>
        <v>6.5799381201329403</v>
      </c>
      <c r="F145" s="505">
        <f t="shared" ca="1" si="35"/>
        <v>0.1453957440824275</v>
      </c>
      <c r="G145" s="504">
        <f t="shared" ca="1" si="36"/>
        <v>3.5085155521968184E-2</v>
      </c>
      <c r="H145" s="502">
        <f t="shared" ca="1" si="37"/>
        <v>0.34547308168153379</v>
      </c>
      <c r="I145" s="504">
        <f t="shared" ca="1" si="38"/>
        <v>10.389072486364237</v>
      </c>
      <c r="J145" s="502">
        <f t="shared" ca="1" si="39"/>
        <v>5.1945362431821181E-3</v>
      </c>
    </row>
    <row r="146" spans="1:11">
      <c r="A146" s="64"/>
      <c r="B146" s="64"/>
      <c r="C146" s="64"/>
      <c r="D146" s="64"/>
      <c r="E146" s="64"/>
      <c r="F146" s="64"/>
      <c r="G146" s="64"/>
      <c r="H146" s="64"/>
      <c r="I146" s="64"/>
      <c r="J146" s="64"/>
      <c r="K146" s="64"/>
    </row>
    <row r="147" spans="1:11">
      <c r="A147" s="111" t="s">
        <v>930</v>
      </c>
      <c r="B147" s="64"/>
      <c r="C147" s="64"/>
      <c r="D147" s="64"/>
      <c r="E147" s="64"/>
      <c r="F147" s="64"/>
      <c r="G147" s="64"/>
      <c r="H147" s="64"/>
      <c r="I147" s="64"/>
      <c r="J147" s="64"/>
      <c r="K147" s="64"/>
    </row>
    <row r="148" spans="1:11" ht="42.75" customHeight="1">
      <c r="A148" s="393"/>
      <c r="B148" s="670" t="str">
        <f>G5</f>
        <v>Scrap Preparation</v>
      </c>
      <c r="C148" s="670" t="str">
        <f>H5</f>
        <v>Secondary Ingot Casting</v>
      </c>
      <c r="D148" s="670" t="str">
        <f>I5</f>
        <v>Shape Casting</v>
      </c>
      <c r="E148" s="672" t="str">
        <f>J5</f>
        <v>Machining</v>
      </c>
      <c r="F148" s="2982" t="s">
        <v>928</v>
      </c>
      <c r="G148" s="3058"/>
      <c r="H148" s="64"/>
      <c r="I148" s="64"/>
      <c r="J148" s="64"/>
    </row>
    <row r="149" spans="1:11">
      <c r="A149" s="1424" t="s">
        <v>929</v>
      </c>
      <c r="B149" s="1571">
        <f>G7</f>
        <v>0.96799999999999997</v>
      </c>
      <c r="C149" s="1571">
        <f>H7</f>
        <v>1</v>
      </c>
      <c r="D149" s="1571">
        <f>I7</f>
        <v>1.107</v>
      </c>
      <c r="E149" s="1573">
        <f>J7</f>
        <v>1</v>
      </c>
      <c r="F149" s="1666"/>
      <c r="G149" s="1667"/>
      <c r="H149" s="64"/>
      <c r="I149" s="64"/>
      <c r="J149" s="64"/>
    </row>
    <row r="150" spans="1:11">
      <c r="A150" s="238" t="s">
        <v>918</v>
      </c>
      <c r="B150" s="600"/>
      <c r="C150" s="600"/>
      <c r="D150" s="600"/>
      <c r="E150" s="685"/>
      <c r="F150" s="679" t="s">
        <v>845</v>
      </c>
      <c r="G150" s="673" t="s">
        <v>846</v>
      </c>
      <c r="H150" s="64"/>
      <c r="I150" s="64"/>
      <c r="J150" s="64"/>
    </row>
    <row r="151" spans="1:11">
      <c r="A151" s="230" t="s">
        <v>816</v>
      </c>
      <c r="B151" s="349">
        <f ca="1">L80</f>
        <v>1.5284560671933123</v>
      </c>
      <c r="C151" s="349">
        <f ca="1">N80</f>
        <v>13.829380067061894</v>
      </c>
      <c r="D151" s="349">
        <f ca="1">P80</f>
        <v>8.3581149233194392</v>
      </c>
      <c r="E151" s="348">
        <f ca="1">R80</f>
        <v>1.095149842171246</v>
      </c>
      <c r="F151" s="494">
        <f t="shared" ref="F151:F156" ca="1" si="40">((SUMPRODUCT(B$149:C$149,$B151:$C151))*$D$149+$D151)*$E$149+$E151</f>
        <v>26.400245338386945</v>
      </c>
      <c r="G151" s="348">
        <f ca="1">F151/2000</f>
        <v>1.3200122669193473E-2</v>
      </c>
      <c r="H151" s="64"/>
      <c r="I151" s="64"/>
      <c r="J151" s="64"/>
    </row>
    <row r="152" spans="1:11">
      <c r="A152" s="230" t="s">
        <v>817</v>
      </c>
      <c r="B152" s="349">
        <f ca="1">L81</f>
        <v>1.3822678428819997</v>
      </c>
      <c r="C152" s="349">
        <f ca="1">N81</f>
        <v>10.328586692790664</v>
      </c>
      <c r="D152" s="349">
        <f ca="1">P81</f>
        <v>8.3524640916354791</v>
      </c>
      <c r="E152" s="348">
        <f ca="1">R81</f>
        <v>0.86737441381755587</v>
      </c>
      <c r="F152" s="494">
        <f t="shared" ca="1" si="40"/>
        <v>22.13478902037642</v>
      </c>
      <c r="G152" s="348">
        <f ca="1">F152/2000</f>
        <v>1.1067394510188211E-2</v>
      </c>
      <c r="H152" s="64"/>
      <c r="I152" s="64"/>
      <c r="J152" s="64"/>
    </row>
    <row r="153" spans="1:11">
      <c r="A153" s="230" t="s">
        <v>805</v>
      </c>
      <c r="B153" s="349">
        <f ca="1">L82</f>
        <v>0.19628501140534405</v>
      </c>
      <c r="C153" s="349">
        <f ca="1">N82</f>
        <v>2.2680897728850296</v>
      </c>
      <c r="D153" s="349">
        <f ca="1">P82</f>
        <v>7.4613787469592465E-3</v>
      </c>
      <c r="E153" s="348">
        <f ca="1">R82</f>
        <v>0.30110169748314225</v>
      </c>
      <c r="F153" s="494">
        <f t="shared" ca="1" si="40"/>
        <v>3.0296727621955224</v>
      </c>
      <c r="G153" s="348">
        <f ca="1">F153/2000</f>
        <v>1.5148363810977613E-3</v>
      </c>
      <c r="H153" s="64"/>
      <c r="I153" s="64"/>
      <c r="J153" s="64"/>
    </row>
    <row r="154" spans="1:11">
      <c r="A154" s="230" t="s">
        <v>804</v>
      </c>
      <c r="B154" s="349">
        <f ca="1">B152-B153-B155</f>
        <v>1.1767669016865596</v>
      </c>
      <c r="C154" s="349">
        <f ca="1">C152-C153-C155</f>
        <v>6.9644806513310744</v>
      </c>
      <c r="D154" s="349">
        <f ca="1">D152-D153-D155</f>
        <v>8.3146188297386807</v>
      </c>
      <c r="E154" s="348">
        <f ca="1">E152-E153-E155</f>
        <v>0.55685285502783466</v>
      </c>
      <c r="F154" s="494">
        <f t="shared" ca="1" si="40"/>
        <v>17.842146935231689</v>
      </c>
      <c r="G154" s="348">
        <f ca="1">G152-G153-G155</f>
        <v>8.9210734676158452E-3</v>
      </c>
      <c r="H154" s="64"/>
      <c r="I154" s="64"/>
      <c r="J154" s="64"/>
    </row>
    <row r="155" spans="1:11">
      <c r="A155" s="230" t="s">
        <v>818</v>
      </c>
      <c r="B155" s="349">
        <f ca="1">L84</f>
        <v>9.2159297900960384E-3</v>
      </c>
      <c r="C155" s="349">
        <f ca="1">N84</f>
        <v>1.0960162685745605</v>
      </c>
      <c r="D155" s="349">
        <f ca="1">P84</f>
        <v>3.0383883149839162E-2</v>
      </c>
      <c r="E155" s="348">
        <f ca="1">R84</f>
        <v>9.4198613065789756E-3</v>
      </c>
      <c r="F155" s="494">
        <f t="shared" ca="1" si="40"/>
        <v>1.2629693229492085</v>
      </c>
      <c r="G155" s="494">
        <f ca="1">F155/2000</f>
        <v>6.3148466147460423E-4</v>
      </c>
      <c r="H155" s="64"/>
      <c r="I155" s="64"/>
      <c r="J155" s="64"/>
    </row>
    <row r="156" spans="1:11">
      <c r="A156" s="230" t="s">
        <v>819</v>
      </c>
      <c r="B156" s="47">
        <f ca="1">SUM(L85:M85)</f>
        <v>40.898959301649185</v>
      </c>
      <c r="C156" s="47">
        <f ca="1">SUM(N85:O85)</f>
        <v>2186.1341140053669</v>
      </c>
      <c r="D156" s="47">
        <f ca="1">SUM(P85:Q85)</f>
        <v>23.327734888847036</v>
      </c>
      <c r="E156" s="245">
        <f ca="1">SUM(R85:S85)</f>
        <v>58.690100867173619</v>
      </c>
      <c r="F156" s="252">
        <f t="shared" ca="1" si="40"/>
        <v>2545.8946431725853</v>
      </c>
      <c r="G156" s="494">
        <f ca="1">F156/2000</f>
        <v>1.2729473215862928</v>
      </c>
      <c r="H156" s="64"/>
      <c r="I156" s="64"/>
      <c r="J156" s="64"/>
    </row>
    <row r="157" spans="1:11">
      <c r="A157" s="238" t="s">
        <v>919</v>
      </c>
      <c r="B157" s="512"/>
      <c r="C157" s="512"/>
      <c r="D157" s="512"/>
      <c r="E157" s="509"/>
      <c r="F157" s="679" t="s">
        <v>845</v>
      </c>
      <c r="G157" s="679" t="s">
        <v>846</v>
      </c>
      <c r="H157" s="64"/>
      <c r="I157" s="64"/>
      <c r="J157" s="64"/>
    </row>
    <row r="158" spans="1:11">
      <c r="A158" s="230" t="s">
        <v>821</v>
      </c>
      <c r="B158" s="349">
        <f t="shared" ref="B158:B170" ca="1" si="41">SUM(L87:M87)</f>
        <v>14.443048288408258</v>
      </c>
      <c r="C158" s="349">
        <f t="shared" ref="C158:C167" ca="1" si="42">SUM(N87:O87)</f>
        <v>187.19538693026772</v>
      </c>
      <c r="D158" s="349">
        <f t="shared" ref="D158:D167" ca="1" si="43">SUM(P87:Q87)</f>
        <v>97.086531973484483</v>
      </c>
      <c r="E158" s="348">
        <f t="shared" ref="E158:E167" ca="1" si="44">SUM(R87:S87)</f>
        <v>7.4827090274299994</v>
      </c>
      <c r="F158" s="494">
        <f t="shared" ref="F158:F171" ca="1" si="45">((SUMPRODUCT(B$149:C$149,$B158:$C158))*$D$149+$D158)*$E$149+$E158</f>
        <v>327.27135824542023</v>
      </c>
      <c r="G158" s="348">
        <f t="shared" ref="G158:G171" ca="1" si="46">F158/2000</f>
        <v>0.16363567912271013</v>
      </c>
      <c r="H158" s="64"/>
      <c r="I158" s="64"/>
      <c r="J158" s="64"/>
    </row>
    <row r="159" spans="1:11">
      <c r="A159" s="230" t="s">
        <v>822</v>
      </c>
      <c r="B159" s="349">
        <f t="shared" ca="1" si="41"/>
        <v>53.229183684608017</v>
      </c>
      <c r="C159" s="349">
        <f t="shared" ca="1" si="42"/>
        <v>399.16447303685163</v>
      </c>
      <c r="D159" s="349">
        <f t="shared" ca="1" si="43"/>
        <v>404.60758424601403</v>
      </c>
      <c r="E159" s="348">
        <f t="shared" ca="1" si="44"/>
        <v>20.225682519847698</v>
      </c>
      <c r="F159" s="494">
        <f t="shared" ca="1" si="45"/>
        <v>923.74745415367408</v>
      </c>
      <c r="G159" s="348">
        <f t="shared" ca="1" si="46"/>
        <v>0.46187372707683705</v>
      </c>
      <c r="H159" s="64"/>
      <c r="I159" s="64"/>
      <c r="J159" s="64"/>
    </row>
    <row r="160" spans="1:11">
      <c r="A160" s="230" t="s">
        <v>849</v>
      </c>
      <c r="B160" s="349">
        <f t="shared" ca="1" si="41"/>
        <v>81.116188142851811</v>
      </c>
      <c r="C160" s="349">
        <f t="shared" ca="1" si="42"/>
        <v>728.62428940093957</v>
      </c>
      <c r="D160" s="349">
        <f t="shared" ca="1" si="43"/>
        <v>550.03911257638811</v>
      </c>
      <c r="E160" s="348">
        <f t="shared" ca="1" si="44"/>
        <v>41.666162997286321</v>
      </c>
      <c r="F160" s="494">
        <f t="shared" ca="1" si="45"/>
        <v>1485.2145243658792</v>
      </c>
      <c r="G160" s="348">
        <f t="shared" ca="1" si="46"/>
        <v>0.7426072621829396</v>
      </c>
      <c r="H160" s="64"/>
      <c r="I160" s="64"/>
      <c r="J160" s="64"/>
    </row>
    <row r="161" spans="1:10">
      <c r="A161" s="230" t="s">
        <v>824</v>
      </c>
      <c r="B161" s="349">
        <f t="shared" ca="1" si="41"/>
        <v>7.3077381371597676</v>
      </c>
      <c r="C161" s="349">
        <f t="shared" ca="1" si="42"/>
        <v>604.56361130448897</v>
      </c>
      <c r="D161" s="349">
        <f t="shared" ca="1" si="43"/>
        <v>29.723823179210161</v>
      </c>
      <c r="E161" s="348">
        <f t="shared" ca="1" si="44"/>
        <v>6.6697639307422918</v>
      </c>
      <c r="F161" s="494">
        <f t="shared" ca="1" si="45"/>
        <v>713.47630162608687</v>
      </c>
      <c r="G161" s="348">
        <f t="shared" ca="1" si="46"/>
        <v>0.35673815081304344</v>
      </c>
      <c r="H161" s="64"/>
      <c r="I161" s="64"/>
      <c r="J161" s="64"/>
    </row>
    <row r="162" spans="1:10" s="64" customFormat="1">
      <c r="A162" s="230" t="s">
        <v>825</v>
      </c>
      <c r="B162" s="349">
        <f t="shared" ca="1" si="41"/>
        <v>5.5460455099505452</v>
      </c>
      <c r="C162" s="349">
        <f t="shared" ca="1" si="42"/>
        <v>304.12369779633991</v>
      </c>
      <c r="D162" s="349">
        <f t="shared" ca="1" si="43"/>
        <v>29.410848122741189</v>
      </c>
      <c r="E162" s="348">
        <f t="shared" ca="1" si="44"/>
        <v>4.0036560169627808</v>
      </c>
      <c r="F162" s="494">
        <f t="shared" ca="1" si="45"/>
        <v>376.02244686362303</v>
      </c>
      <c r="G162" s="348">
        <f t="shared" ca="1" si="46"/>
        <v>0.18801122343181151</v>
      </c>
    </row>
    <row r="163" spans="1:10" s="64" customFormat="1">
      <c r="A163" s="230" t="s">
        <v>826</v>
      </c>
      <c r="B163" s="349">
        <f t="shared" ca="1" si="41"/>
        <v>30.957799244709321</v>
      </c>
      <c r="C163" s="349">
        <f t="shared" ca="1" si="42"/>
        <v>1692.8150001834977</v>
      </c>
      <c r="D163" s="349">
        <f t="shared" ca="1" si="43"/>
        <v>86.051588474875132</v>
      </c>
      <c r="E163" s="348">
        <f t="shared" ca="1" si="44"/>
        <v>34.984490558473404</v>
      </c>
      <c r="F163" s="494">
        <f t="shared" ca="1" si="45"/>
        <v>2028.1559189199293</v>
      </c>
      <c r="G163" s="348">
        <f t="shared" ca="1" si="46"/>
        <v>1.0140779594599647</v>
      </c>
    </row>
    <row r="164" spans="1:10" s="64" customFormat="1">
      <c r="A164" s="230" t="s">
        <v>827</v>
      </c>
      <c r="B164" s="349">
        <f t="shared" ca="1" si="41"/>
        <v>0.66942724126412367</v>
      </c>
      <c r="C164" s="349">
        <f t="shared" ca="1" si="42"/>
        <v>5.4858131425664496</v>
      </c>
      <c r="D164" s="349">
        <f t="shared" ca="1" si="43"/>
        <v>5.130904590632464</v>
      </c>
      <c r="E164" s="348">
        <f t="shared" ca="1" si="44"/>
        <v>0.24428145805531498</v>
      </c>
      <c r="F164" s="494">
        <f t="shared" ca="1" si="45"/>
        <v>12.165323362993684</v>
      </c>
      <c r="G164" s="348">
        <f t="shared" ca="1" si="46"/>
        <v>6.0826616814968421E-3</v>
      </c>
    </row>
    <row r="165" spans="1:10" s="64" customFormat="1">
      <c r="A165" s="230" t="s">
        <v>828</v>
      </c>
      <c r="B165" s="349">
        <f t="shared" ca="1" si="41"/>
        <v>1.9845025422616864</v>
      </c>
      <c r="C165" s="349">
        <f t="shared" ca="1" si="42"/>
        <v>12.517142994098787</v>
      </c>
      <c r="D165" s="349">
        <f t="shared" ca="1" si="43"/>
        <v>12.445522755943259</v>
      </c>
      <c r="E165" s="348">
        <f t="shared" ca="1" si="44"/>
        <v>1.1627205582355689</v>
      </c>
      <c r="F165" s="494">
        <f t="shared" ca="1" si="45"/>
        <v>29.591265904872795</v>
      </c>
      <c r="G165" s="348">
        <f t="shared" ca="1" si="46"/>
        <v>1.4795632952436398E-2</v>
      </c>
    </row>
    <row r="166" spans="1:10" s="64" customFormat="1">
      <c r="A166" s="230" t="s">
        <v>829</v>
      </c>
      <c r="B166" s="349">
        <f t="shared" ca="1" si="41"/>
        <v>255.39784469106743</v>
      </c>
      <c r="C166" s="349">
        <f t="shared" ca="1" si="42"/>
        <v>1800.3754507178487</v>
      </c>
      <c r="D166" s="349">
        <f t="shared" ca="1" si="43"/>
        <v>1645.6819088440611</v>
      </c>
      <c r="E166" s="348">
        <f t="shared" ca="1" si="44"/>
        <v>144.66610000589398</v>
      </c>
      <c r="F166" s="494">
        <f t="shared" ca="1" si="45"/>
        <v>4057.0418336172888</v>
      </c>
      <c r="G166" s="348">
        <f t="shared" ca="1" si="46"/>
        <v>2.0285209168086444</v>
      </c>
    </row>
    <row r="167" spans="1:10" s="64" customFormat="1">
      <c r="A167" s="230" t="s">
        <v>830</v>
      </c>
      <c r="B167" s="349">
        <f t="shared" ca="1" si="41"/>
        <v>2.4603369180725125</v>
      </c>
      <c r="C167" s="349">
        <f t="shared" ca="1" si="42"/>
        <v>18.51431316609246</v>
      </c>
      <c r="D167" s="349">
        <f t="shared" ca="1" si="43"/>
        <v>16.422698661263713</v>
      </c>
      <c r="E167" s="348">
        <f t="shared" ca="1" si="44"/>
        <v>1.3125273865702118</v>
      </c>
      <c r="F167" s="494">
        <f t="shared" ca="1" si="45"/>
        <v>40.867008716018745</v>
      </c>
      <c r="G167" s="348">
        <f t="shared" ca="1" si="46"/>
        <v>2.0433504358009374E-2</v>
      </c>
    </row>
    <row r="168" spans="1:10" s="64" customFormat="1">
      <c r="A168" s="230" t="s">
        <v>905</v>
      </c>
      <c r="B168" s="389">
        <f t="shared" si="41"/>
        <v>0</v>
      </c>
      <c r="C168" s="389">
        <f>SUM(N97:O97)</f>
        <v>5.687258396258879</v>
      </c>
      <c r="D168" s="389">
        <f>SUM(P97:Q97)</f>
        <v>0</v>
      </c>
      <c r="E168" s="391">
        <f>SUM(R97:S97)</f>
        <v>0</v>
      </c>
      <c r="F168" s="494">
        <f t="shared" si="45"/>
        <v>6.2957950446585791</v>
      </c>
      <c r="G168" s="348">
        <f t="shared" si="46"/>
        <v>3.1478975223292894E-3</v>
      </c>
    </row>
    <row r="169" spans="1:10" s="64" customFormat="1">
      <c r="A169" s="230" t="s">
        <v>906</v>
      </c>
      <c r="B169" s="389">
        <f t="shared" si="41"/>
        <v>0</v>
      </c>
      <c r="C169" s="389">
        <f>SUM(N98:O98)</f>
        <v>0.78393938882112013</v>
      </c>
      <c r="D169" s="389">
        <f>SUM(P98:Q98)</f>
        <v>0</v>
      </c>
      <c r="E169" s="391">
        <f>SUM(R98:S98)</f>
        <v>0</v>
      </c>
      <c r="F169" s="494">
        <f t="shared" si="45"/>
        <v>0.86782090342497997</v>
      </c>
      <c r="G169" s="348">
        <f t="shared" si="46"/>
        <v>4.3391045171248997E-4</v>
      </c>
    </row>
    <row r="170" spans="1:10" s="64" customFormat="1">
      <c r="A170" s="230" t="s">
        <v>831</v>
      </c>
      <c r="B170" s="246">
        <f t="shared" ca="1" si="41"/>
        <v>90795.277595661217</v>
      </c>
      <c r="C170" s="246">
        <f ca="1">SUM(N99:O99)</f>
        <v>790349.9867409888</v>
      </c>
      <c r="D170" s="246">
        <f ca="1">SUM(P99:Q99)</f>
        <v>495766.88736471668</v>
      </c>
      <c r="E170" s="247">
        <f ca="1">SUM(R99:S99)</f>
        <v>63921.436842905794</v>
      </c>
      <c r="F170" s="630">
        <f t="shared" ca="1" si="45"/>
        <v>1531899.7999147454</v>
      </c>
      <c r="G170" s="247">
        <f t="shared" ca="1" si="46"/>
        <v>765.94989995737274</v>
      </c>
    </row>
    <row r="171" spans="1:10" s="64" customFormat="1">
      <c r="A171" s="230" t="s">
        <v>850</v>
      </c>
      <c r="B171" s="246">
        <f ca="1">B170+B158*GREET1_Import_Export!$B$62/GREET1_Import_Export!$B$65+B159*GREET1_Import_Export!$B$63/GREET1_Import_Export!$B$65</f>
        <v>90923.93762290258</v>
      </c>
      <c r="C171" s="246">
        <f ca="1">C170+C158*GREET1_Import_Export!$B$62/GREET1_Import_Export!$B$65+C159*GREET1_Import_Export!$B$63/GREET1_Import_Export!$B$65</f>
        <v>791560.67082121747</v>
      </c>
      <c r="D171" s="246">
        <f ca="1">D170+D158*GREET1_Import_Export!$B$62/GREET1_Import_Export!$B$65+D159*GREET1_Import_Export!$B$63/GREET1_Import_Export!$B$65</f>
        <v>496705.28564080159</v>
      </c>
      <c r="E171" s="247">
        <f ca="1">E170+E158*GREET1_Import_Export!$B$62/GREET1_Import_Export!$B$65+E159*GREET1_Import_Export!$B$63/GREET1_Import_Export!$B$65</f>
        <v>63976.541168096286</v>
      </c>
      <c r="F171" s="630">
        <f t="shared" ca="1" si="45"/>
        <v>1534371.3987901851</v>
      </c>
      <c r="G171" s="247">
        <f t="shared" ca="1" si="46"/>
        <v>767.18569939509257</v>
      </c>
    </row>
    <row r="172" spans="1:10" s="64" customFormat="1">
      <c r="A172" s="589" t="s">
        <v>851</v>
      </c>
      <c r="B172" s="294">
        <f ca="1">B171+SUMPRODUCT(B166:B167,GREET1_Import_Export!$B$51:$B$52)+SUMPRODUCT(B158:B160,GREET1_Import_Export!$B$55:$B$57)+SUMPRODUCT(B164:B165,GREET1_Import_Export!$B$58:$B$59)+SUMPRODUCT(B168:B169,'GREET2_Factors_T&amp;D'!$B$6:$B$7)</f>
        <v>99237.862246923818</v>
      </c>
      <c r="C172" s="294">
        <f ca="1">C171+SUMPRODUCT(C166:C167,GREET1_Import_Export!$B$51:$B$52)+SUMPRODUCT(C158:C160,GREET1_Import_Export!$B$55:$B$57)+SUMPRODUCT(C164:C165,GREET1_Import_Export!$B$58:$B$59)+SUMPRODUCT(C168:C169,'GREET2_Factors_T&amp;D'!$B$6:$B$7)</f>
        <v>896886.47771487827</v>
      </c>
      <c r="D172" s="294">
        <f ca="1">D171+SUMPRODUCT(D166:D167,GREET1_Import_Export!$B$51:$B$52)+SUMPRODUCT(D158:D160,GREET1_Import_Export!$B$55:$B$57)+SUMPRODUCT(D164:D165,GREET1_Import_Export!$B$58:$B$59)+SUMPRODUCT(D168:D169,'GREET2_Factors_T&amp;D'!$B$6:$B$7)</f>
        <v>550427.75805135828</v>
      </c>
      <c r="E172" s="296">
        <f ca="1">E171+SUMPRODUCT(E166:E167,GREET1_Import_Export!$B$51:$B$52)+SUMPRODUCT(E158:E160,GREET1_Import_Export!$B$55:$B$57)+SUMPRODUCT(E164:E165,GREET1_Import_Export!$B$58:$B$59)+SUMPRODUCT(E168:E169,'GREET2_Factors_T&amp;D'!$B$6:$B$7)</f>
        <v>68664.343925714216</v>
      </c>
      <c r="F172" s="630">
        <f ca="1">F171+SUMPRODUCT(F166:F167,GREET1_Import_Export!$B$51:$B$52)+SUMPRODUCT(F158:F160,GREET1_Import_Export!$B$55:$B$57)+SUMPRODUCT(F164:F165,GREET1_Import_Export!$B$58:$B$59)+SUMPRODUCT(F168:F169,'GREET2_Factors_T&amp;D'!$B$6:$B$7)</f>
        <v>1718286.3442825524</v>
      </c>
      <c r="G172" s="296">
        <f ca="1">G171+SUMPRODUCT(G166:G167,GREET1_Import_Export!$B$51:$B$52)+SUMPRODUCT(G158:G160,GREET1_Import_Export!$B$55:$B$57)+SUMPRODUCT(G164:G165,GREET1_Import_Export!$B$58:$B$59)+SUMPRODUCT(G168:G169,'GREET2_Factors_T&amp;D'!$B$6:$B$7)</f>
        <v>859.1431721412763</v>
      </c>
    </row>
    <row r="173" spans="1:10" s="64" customFormat="1">
      <c r="A173" s="571" t="s">
        <v>920</v>
      </c>
      <c r="B173" s="377"/>
      <c r="C173" s="377"/>
      <c r="D173" s="377"/>
      <c r="E173" s="384"/>
      <c r="F173" s="676" t="s">
        <v>845</v>
      </c>
      <c r="G173" s="468" t="s">
        <v>846</v>
      </c>
    </row>
    <row r="174" spans="1:10" s="64" customFormat="1">
      <c r="A174" s="230" t="s">
        <v>821</v>
      </c>
      <c r="B174" s="349">
        <f t="shared" ref="B174:B181" ca="1" si="47">SUM(L101:M101)</f>
        <v>0.74581525104165891</v>
      </c>
      <c r="C174" s="349">
        <f t="shared" ref="C174:C181" ca="1" si="48">SUM(N101:O101)</f>
        <v>6.9158694447506157</v>
      </c>
      <c r="D174" s="349">
        <f t="shared" ref="D174:D181" ca="1" si="49">SUM(P101:Q101)</f>
        <v>4.5271952596789564</v>
      </c>
      <c r="E174" s="348">
        <f t="shared" ref="E174:E181" ca="1" si="50">SUM(R101:S101)</f>
        <v>0.46661822254725344</v>
      </c>
      <c r="F174" s="494">
        <f t="shared" ref="F174:F181" ca="1" si="51">((SUMPRODUCT(B$149:C$149,$B174:$C174))*$D$149+$D174)*$E$149+$E174</f>
        <v>13.448878681015358</v>
      </c>
      <c r="G174" s="348">
        <f t="shared" ref="G174:G181" ca="1" si="52">F174/2000</f>
        <v>6.7244393405076789E-3</v>
      </c>
    </row>
    <row r="175" spans="1:10" s="64" customFormat="1">
      <c r="A175" s="230" t="s">
        <v>822</v>
      </c>
      <c r="B175" s="349">
        <f t="shared" ca="1" si="47"/>
        <v>4.349926858256052</v>
      </c>
      <c r="C175" s="349">
        <f t="shared" ca="1" si="48"/>
        <v>30.609226787981065</v>
      </c>
      <c r="D175" s="349">
        <f t="shared" ca="1" si="49"/>
        <v>21.751174616172509</v>
      </c>
      <c r="E175" s="348">
        <f t="shared" ca="1" si="50"/>
        <v>3.4448430417145355</v>
      </c>
      <c r="F175" s="494">
        <f t="shared" ca="1" si="51"/>
        <v>63.741708935244674</v>
      </c>
      <c r="G175" s="348">
        <f t="shared" ca="1" si="52"/>
        <v>3.1870854467622334E-2</v>
      </c>
    </row>
    <row r="176" spans="1:10" s="64" customFormat="1">
      <c r="A176" s="230" t="s">
        <v>823</v>
      </c>
      <c r="B176" s="349">
        <f t="shared" ca="1" si="47"/>
        <v>9.1245603254155867</v>
      </c>
      <c r="C176" s="349">
        <f t="shared" ca="1" si="48"/>
        <v>71.858268946099869</v>
      </c>
      <c r="D176" s="349">
        <f t="shared" ca="1" si="49"/>
        <v>25.782054050194315</v>
      </c>
      <c r="E176" s="348">
        <f t="shared" ca="1" si="50"/>
        <v>10.288953337676208</v>
      </c>
      <c r="F176" s="494">
        <f t="shared" ca="1" si="51"/>
        <v>125.39577096647061</v>
      </c>
      <c r="G176" s="348">
        <f t="shared" ca="1" si="52"/>
        <v>6.2697885483235308E-2</v>
      </c>
    </row>
    <row r="177" spans="1:10" s="64" customFormat="1">
      <c r="A177" s="230" t="s">
        <v>824</v>
      </c>
      <c r="B177" s="349">
        <f t="shared" ca="1" si="47"/>
        <v>0.8893000424828621</v>
      </c>
      <c r="C177" s="349">
        <f t="shared" ca="1" si="48"/>
        <v>7.1850700448960536</v>
      </c>
      <c r="D177" s="349">
        <f t="shared" ca="1" si="49"/>
        <v>0.11060117046678213</v>
      </c>
      <c r="E177" s="348">
        <f t="shared" ca="1" si="50"/>
        <v>1.3736912953723162</v>
      </c>
      <c r="F177" s="494">
        <f t="shared" ca="1" si="51"/>
        <v>10.391117587862645</v>
      </c>
      <c r="G177" s="348">
        <f t="shared" ca="1" si="52"/>
        <v>5.1955587939313229E-3</v>
      </c>
    </row>
    <row r="178" spans="1:10" s="64" customFormat="1">
      <c r="A178" s="230" t="s">
        <v>825</v>
      </c>
      <c r="B178" s="349">
        <f t="shared" ca="1" si="47"/>
        <v>0.78247206656299673</v>
      </c>
      <c r="C178" s="349">
        <f t="shared" ca="1" si="48"/>
        <v>6.0811642662961392</v>
      </c>
      <c r="D178" s="349">
        <f t="shared" ca="1" si="49"/>
        <v>0.10215803254598647</v>
      </c>
      <c r="E178" s="348">
        <f t="shared" ca="1" si="50"/>
        <v>1.2079280276484363</v>
      </c>
      <c r="F178" s="494">
        <f t="shared" ca="1" si="51"/>
        <v>8.8804131901835586</v>
      </c>
      <c r="G178" s="348">
        <f t="shared" ca="1" si="52"/>
        <v>4.4402065950917792E-3</v>
      </c>
    </row>
    <row r="179" spans="1:10">
      <c r="A179" s="230" t="s">
        <v>826</v>
      </c>
      <c r="B179" s="349">
        <f t="shared" ca="1" si="47"/>
        <v>6.6461763811926513</v>
      </c>
      <c r="C179" s="349">
        <f t="shared" ca="1" si="48"/>
        <v>67.116131731649787</v>
      </c>
      <c r="D179" s="349">
        <f t="shared" ca="1" si="49"/>
        <v>1.1130291479765804</v>
      </c>
      <c r="E179" s="348">
        <f t="shared" ca="1" si="50"/>
        <v>10.223000660764436</v>
      </c>
      <c r="F179" s="494">
        <f t="shared" ca="1" si="51"/>
        <v>92.755470737530217</v>
      </c>
      <c r="G179" s="348">
        <f t="shared" ca="1" si="52"/>
        <v>4.6377735368765112E-2</v>
      </c>
      <c r="H179" s="64"/>
      <c r="I179" s="64"/>
      <c r="J179" s="64"/>
    </row>
    <row r="180" spans="1:10">
      <c r="A180" s="230" t="s">
        <v>827</v>
      </c>
      <c r="B180" s="349">
        <f t="shared" ca="1" si="47"/>
        <v>4.1495981680035696E-2</v>
      </c>
      <c r="C180" s="349">
        <f t="shared" ca="1" si="48"/>
        <v>0.3197987281698913</v>
      </c>
      <c r="D180" s="349">
        <f t="shared" ca="1" si="49"/>
        <v>1.7060976956070697E-2</v>
      </c>
      <c r="E180" s="348">
        <f t="shared" ca="1" si="50"/>
        <v>6.2251682935120692E-2</v>
      </c>
      <c r="F180" s="494">
        <f t="shared" ca="1" si="51"/>
        <v>0.47779595004002695</v>
      </c>
      <c r="G180" s="348">
        <f t="shared" ca="1" si="52"/>
        <v>2.3889797502001347E-4</v>
      </c>
    </row>
    <row r="181" spans="1:10">
      <c r="A181" s="589" t="s">
        <v>828</v>
      </c>
      <c r="B181" s="505">
        <f t="shared" ca="1" si="47"/>
        <v>0.22436932598950346</v>
      </c>
      <c r="C181" s="505">
        <f t="shared" ca="1" si="48"/>
        <v>0.96299324995109992</v>
      </c>
      <c r="D181" s="505">
        <f t="shared" ca="1" si="49"/>
        <v>3.5085155521968184E-2</v>
      </c>
      <c r="E181" s="502">
        <f t="shared" ca="1" si="50"/>
        <v>0.34547308168153379</v>
      </c>
      <c r="F181" s="504">
        <f t="shared" ca="1" si="51"/>
        <v>1.6870205497658977</v>
      </c>
      <c r="G181" s="502">
        <f t="shared" ca="1" si="52"/>
        <v>8.4351027488294887E-4</v>
      </c>
    </row>
  </sheetData>
  <mergeCells count="11">
    <mergeCell ref="L54:M54"/>
    <mergeCell ref="R54:S54"/>
    <mergeCell ref="P54:Q54"/>
    <mergeCell ref="J54:K54"/>
    <mergeCell ref="N54:O54"/>
    <mergeCell ref="F148:G148"/>
    <mergeCell ref="B54:C54"/>
    <mergeCell ref="D54:E54"/>
    <mergeCell ref="H54:I54"/>
    <mergeCell ref="F54:G54"/>
    <mergeCell ref="I112:J112"/>
  </mergeCells>
  <phoneticPr fontId="4" type="noConversion"/>
  <printOptions gridLinesSet="0"/>
  <pageMargins left="0.2" right="0.2" top="1" bottom="1" header="0.5" footer="0.5"/>
  <pageSetup orientation="landscape" r:id="rId1"/>
  <headerFooter alignWithMargins="0">
    <oddHeader>&amp;A</oddHeader>
    <oddFooter>Page &amp;P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6"/>
  <dimension ref="A1:BF145"/>
  <sheetViews>
    <sheetView showGridLines="0" topLeftCell="F90" zoomScale="85" zoomScaleNormal="85" workbookViewId="0">
      <selection activeCell="V107" sqref="V107"/>
    </sheetView>
  </sheetViews>
  <sheetFormatPr defaultColWidth="8.85546875" defaultRowHeight="12.75"/>
  <cols>
    <col min="1" max="1" width="29.140625" style="1321" customWidth="1"/>
    <col min="2" max="30" width="12.85546875" style="1321" customWidth="1"/>
    <col min="31" max="31" width="9.85546875" style="1321" customWidth="1"/>
    <col min="32" max="36" width="8.85546875" style="1321"/>
    <col min="37" max="37" width="10" style="1321" customWidth="1"/>
    <col min="38" max="39" width="8.85546875" style="1321"/>
    <col min="40" max="42" width="9.28515625" style="1321" bestFit="1" customWidth="1"/>
    <col min="43" max="43" width="10.28515625" style="1321" customWidth="1"/>
    <col min="44" max="16384" width="8.85546875" style="1321"/>
  </cols>
  <sheetData>
    <row r="1" spans="1:12" ht="15.75">
      <c r="A1" s="81" t="s">
        <v>1606</v>
      </c>
    </row>
    <row r="3" spans="1:12" ht="15">
      <c r="A3" s="120" t="s">
        <v>872</v>
      </c>
    </row>
    <row r="4" spans="1:12">
      <c r="A4" s="172" t="s">
        <v>1607</v>
      </c>
    </row>
    <row r="5" spans="1:12">
      <c r="A5" s="1611"/>
      <c r="B5" s="1617" t="s">
        <v>1608</v>
      </c>
      <c r="C5" s="1618" t="s">
        <v>1609</v>
      </c>
      <c r="D5" s="1619" t="s">
        <v>1610</v>
      </c>
    </row>
    <row r="6" spans="1:12">
      <c r="A6" s="1617" t="s">
        <v>1611</v>
      </c>
      <c r="B6" s="1783">
        <v>0.45</v>
      </c>
      <c r="C6" s="1784">
        <v>0</v>
      </c>
      <c r="D6" s="1186">
        <f>1-B6-C6</f>
        <v>0.55000000000000004</v>
      </c>
    </row>
    <row r="7" spans="1:12">
      <c r="A7" s="1617" t="s">
        <v>1612</v>
      </c>
      <c r="B7" s="1783">
        <v>0.2</v>
      </c>
      <c r="C7" s="1782" t="s">
        <v>1613</v>
      </c>
      <c r="D7" s="1186">
        <f>1-B7</f>
        <v>0.8</v>
      </c>
    </row>
    <row r="9" spans="1:12">
      <c r="A9" s="172" t="s">
        <v>1614</v>
      </c>
    </row>
    <row r="10" spans="1:12" ht="157.9" customHeight="1">
      <c r="A10" s="1429"/>
      <c r="B10" s="1430" t="s">
        <v>1615</v>
      </c>
      <c r="C10" s="1430" t="s">
        <v>1616</v>
      </c>
      <c r="D10" s="1430" t="s">
        <v>1617</v>
      </c>
      <c r="E10" s="1556" t="s">
        <v>1618</v>
      </c>
      <c r="F10" s="2692" t="s">
        <v>1619</v>
      </c>
      <c r="G10" s="2692" t="s">
        <v>1620</v>
      </c>
      <c r="H10" s="2693" t="s">
        <v>1621</v>
      </c>
      <c r="K10" s="1431"/>
      <c r="L10" s="1431"/>
    </row>
    <row r="11" spans="1:12" ht="15.75">
      <c r="A11" s="173" t="s">
        <v>1622</v>
      </c>
      <c r="B11" s="1785"/>
      <c r="C11" s="1786"/>
      <c r="D11" s="1787">
        <f>6.78*1000000/GREET1_Import_Export!$B$38*GREET1_Import_Export!$E$38/907185</f>
        <v>6.5716740664043538E-2</v>
      </c>
      <c r="E11" s="1432"/>
      <c r="F11" s="2694"/>
      <c r="G11" s="1785"/>
      <c r="H11" s="558"/>
      <c r="K11" s="1433"/>
      <c r="L11" s="1433"/>
    </row>
    <row r="12" spans="1:12">
      <c r="A12" s="173" t="s">
        <v>1623</v>
      </c>
      <c r="B12" s="1788">
        <v>1.7499999999999998E-2</v>
      </c>
      <c r="C12" s="1778"/>
      <c r="D12" s="1288"/>
      <c r="E12" s="1433"/>
      <c r="F12" s="2695"/>
      <c r="G12" s="1076"/>
      <c r="H12" s="1067"/>
      <c r="K12" s="1433"/>
      <c r="L12" s="1433"/>
    </row>
    <row r="13" spans="1:12" ht="15.75">
      <c r="A13" s="173" t="s">
        <v>1624</v>
      </c>
      <c r="B13" s="1788">
        <v>2</v>
      </c>
      <c r="C13" s="1789">
        <v>2.4</v>
      </c>
      <c r="D13" s="1288"/>
      <c r="E13" s="1433"/>
      <c r="F13" s="2696">
        <v>0.01</v>
      </c>
      <c r="G13" s="2697">
        <v>2.0748987854251011</v>
      </c>
      <c r="H13" s="2698">
        <v>4.4338458944484065E-2</v>
      </c>
      <c r="K13" s="1433"/>
      <c r="L13" s="1433"/>
    </row>
    <row r="14" spans="1:12">
      <c r="A14" s="173" t="s">
        <v>1625</v>
      </c>
      <c r="B14" s="1788">
        <v>4</v>
      </c>
      <c r="C14" s="1778"/>
      <c r="D14" s="1288"/>
      <c r="E14" s="1433"/>
      <c r="F14" s="2695"/>
      <c r="G14" s="1076"/>
      <c r="H14" s="1067"/>
      <c r="K14" s="1433"/>
      <c r="L14" s="1433"/>
    </row>
    <row r="15" spans="1:12">
      <c r="A15" s="173" t="s">
        <v>1626</v>
      </c>
      <c r="B15" s="1788">
        <v>4.5999999999999999E-2</v>
      </c>
      <c r="C15" s="1789">
        <v>1.9</v>
      </c>
      <c r="D15" s="1288"/>
      <c r="E15" s="1790">
        <v>2.015094282108906</v>
      </c>
      <c r="F15" s="2695"/>
      <c r="G15" s="1076"/>
      <c r="H15" s="1067"/>
      <c r="K15" s="1433"/>
      <c r="L15" s="112"/>
    </row>
    <row r="16" spans="1:12">
      <c r="A16" s="173" t="s">
        <v>1627</v>
      </c>
      <c r="B16" s="1788">
        <v>5.0000000000000001E-3</v>
      </c>
      <c r="C16" s="1778"/>
      <c r="D16" s="1288"/>
      <c r="E16" s="1433"/>
      <c r="F16" s="2695"/>
      <c r="G16" s="1076"/>
      <c r="H16" s="1067"/>
      <c r="K16" s="1433"/>
      <c r="L16" s="1433"/>
    </row>
    <row r="17" spans="1:12" ht="15.75">
      <c r="A17" s="173" t="s">
        <v>1535</v>
      </c>
      <c r="B17" s="1788">
        <v>1.4999999999999999E-2</v>
      </c>
      <c r="C17" s="1778"/>
      <c r="D17" s="1288"/>
      <c r="E17" s="1433"/>
      <c r="F17" s="2695"/>
      <c r="G17" s="2697">
        <v>1.7448979591836735</v>
      </c>
      <c r="H17" s="2698">
        <v>2.71778465732524</v>
      </c>
      <c r="K17" s="1433"/>
      <c r="L17" s="1433"/>
    </row>
    <row r="18" spans="1:12">
      <c r="A18" s="173" t="s">
        <v>1628</v>
      </c>
      <c r="B18" s="1788">
        <v>1E-3</v>
      </c>
      <c r="C18" s="1778"/>
      <c r="D18" s="1288"/>
      <c r="E18" s="1433"/>
      <c r="F18" s="2695"/>
      <c r="G18" s="1076"/>
      <c r="H18" s="1067"/>
      <c r="K18" s="1433"/>
      <c r="L18" s="1433"/>
    </row>
    <row r="19" spans="1:12" ht="15.75">
      <c r="A19" s="173" t="s">
        <v>1629</v>
      </c>
      <c r="B19" s="1791"/>
      <c r="C19" s="1778"/>
      <c r="D19" s="1288"/>
      <c r="E19" s="1434"/>
      <c r="F19" s="2695"/>
      <c r="G19" s="1076"/>
      <c r="H19" s="1067"/>
      <c r="K19" s="1434"/>
      <c r="L19" s="1434"/>
    </row>
    <row r="20" spans="1:12">
      <c r="A20" s="173" t="s">
        <v>1630</v>
      </c>
      <c r="B20" s="1791"/>
      <c r="C20" s="1778"/>
      <c r="D20" s="1288"/>
      <c r="E20" s="1434"/>
      <c r="F20" s="2695"/>
      <c r="G20" s="2697">
        <v>0.7142857142857143</v>
      </c>
      <c r="H20" s="2698">
        <v>1.0728097331547</v>
      </c>
      <c r="K20" s="1434"/>
      <c r="L20" s="1434"/>
    </row>
    <row r="21" spans="1:12">
      <c r="A21" s="173" t="s">
        <v>1586</v>
      </c>
      <c r="B21" s="1791"/>
      <c r="C21" s="1778"/>
      <c r="D21" s="1288"/>
      <c r="E21" s="1434"/>
      <c r="F21" s="2695"/>
      <c r="G21" s="1076"/>
      <c r="H21" s="1067"/>
      <c r="K21" s="1434"/>
      <c r="L21" s="1434"/>
    </row>
    <row r="22" spans="1:12" ht="15" customHeight="1">
      <c r="A22" s="173" t="s">
        <v>1587</v>
      </c>
      <c r="B22" s="1076"/>
      <c r="C22" s="1778"/>
      <c r="D22" s="1288"/>
      <c r="E22" s="1790">
        <v>1.8398686923603056</v>
      </c>
      <c r="F22" s="2695"/>
      <c r="G22" s="1076"/>
      <c r="H22" s="1067"/>
      <c r="K22" s="1433"/>
      <c r="L22" s="112"/>
    </row>
    <row r="23" spans="1:12" ht="15.75">
      <c r="A23" s="59" t="s">
        <v>1588</v>
      </c>
      <c r="B23" s="1076"/>
      <c r="C23" s="1778"/>
      <c r="D23" s="1288"/>
      <c r="E23" s="1434"/>
      <c r="F23" s="2695"/>
      <c r="G23" s="1076"/>
      <c r="H23" s="1067"/>
      <c r="K23" s="1434"/>
    </row>
    <row r="24" spans="1:12">
      <c r="A24" s="2700" t="s">
        <v>2700</v>
      </c>
      <c r="B24" s="1076"/>
      <c r="C24" s="1778"/>
      <c r="D24" s="1288"/>
      <c r="E24" s="1434"/>
      <c r="F24" s="2695"/>
      <c r="G24" s="2697">
        <v>5.2083333333333336E-2</v>
      </c>
      <c r="H24" s="2698">
        <v>2.1538145406598876</v>
      </c>
    </row>
    <row r="25" spans="1:12">
      <c r="A25" s="2700" t="s">
        <v>2701</v>
      </c>
      <c r="B25" s="1076"/>
      <c r="C25" s="1778"/>
      <c r="D25" s="1288"/>
      <c r="E25" s="1434"/>
      <c r="F25" s="2696">
        <v>5.0000000000000001E-3</v>
      </c>
      <c r="G25" s="1076"/>
      <c r="H25" s="1067"/>
    </row>
    <row r="26" spans="1:12">
      <c r="A26" s="2700" t="s">
        <v>2702</v>
      </c>
      <c r="B26" s="1076"/>
      <c r="C26" s="1778"/>
      <c r="D26" s="1288"/>
      <c r="E26" s="1434"/>
      <c r="F26" s="2696">
        <v>5.0000000000000001E-3</v>
      </c>
      <c r="G26" s="1076"/>
      <c r="H26" s="1067"/>
    </row>
    <row r="27" spans="1:12">
      <c r="A27" s="2700" t="s">
        <v>2703</v>
      </c>
      <c r="B27" s="1076"/>
      <c r="C27" s="1778"/>
      <c r="D27" s="1288"/>
      <c r="E27" s="1434"/>
      <c r="F27" s="2695"/>
      <c r="G27" s="2697">
        <v>7.3</v>
      </c>
      <c r="H27" s="2698">
        <v>11.249482861860185</v>
      </c>
    </row>
    <row r="28" spans="1:12">
      <c r="A28" s="2701" t="s">
        <v>2704</v>
      </c>
      <c r="B28" s="1097"/>
      <c r="C28" s="1780"/>
      <c r="D28" s="1070"/>
      <c r="E28" s="1435"/>
      <c r="F28" s="2699"/>
      <c r="G28" s="1097"/>
      <c r="H28" s="1068"/>
    </row>
    <row r="30" spans="1:12" ht="15.75">
      <c r="A30" s="1321" t="s">
        <v>1633</v>
      </c>
      <c r="C30" s="116" t="s">
        <v>1634</v>
      </c>
    </row>
    <row r="32" spans="1:12" ht="15">
      <c r="A32" s="120" t="s">
        <v>762</v>
      </c>
    </row>
    <row r="33" spans="1:16" ht="111.75">
      <c r="A33" s="1299"/>
      <c r="B33" s="1338" t="s">
        <v>1635</v>
      </c>
      <c r="C33" s="1338" t="s">
        <v>1636</v>
      </c>
      <c r="D33" s="1338" t="s">
        <v>1637</v>
      </c>
      <c r="E33" s="1338" t="s">
        <v>1638</v>
      </c>
      <c r="F33" s="1338" t="s">
        <v>1639</v>
      </c>
      <c r="G33" s="1338" t="s">
        <v>1640</v>
      </c>
      <c r="H33" s="1343" t="s">
        <v>1618</v>
      </c>
      <c r="I33" s="1719" t="s">
        <v>1619</v>
      </c>
      <c r="J33" s="2692" t="s">
        <v>1620</v>
      </c>
      <c r="K33" s="2693" t="s">
        <v>1621</v>
      </c>
    </row>
    <row r="34" spans="1:16">
      <c r="A34" s="59" t="s">
        <v>769</v>
      </c>
      <c r="B34" s="1159">
        <v>1</v>
      </c>
      <c r="C34" s="1159">
        <v>1</v>
      </c>
      <c r="D34" s="1159">
        <v>1</v>
      </c>
      <c r="E34" s="1159">
        <v>1</v>
      </c>
      <c r="F34" s="1159">
        <v>1</v>
      </c>
      <c r="G34" s="1159">
        <v>1</v>
      </c>
      <c r="H34" s="1064">
        <v>1</v>
      </c>
      <c r="I34" s="2629">
        <v>1</v>
      </c>
      <c r="J34" s="2704">
        <v>1</v>
      </c>
      <c r="K34" s="2705">
        <v>1</v>
      </c>
    </row>
    <row r="35" spans="1:16">
      <c r="A35" s="59" t="s">
        <v>1546</v>
      </c>
      <c r="B35" s="1159">
        <f t="shared" ref="B35:G35" si="0">1-B34</f>
        <v>0</v>
      </c>
      <c r="C35" s="1159">
        <f t="shared" si="0"/>
        <v>0</v>
      </c>
      <c r="D35" s="1159">
        <f t="shared" si="0"/>
        <v>0</v>
      </c>
      <c r="E35" s="1159">
        <f t="shared" si="0"/>
        <v>0</v>
      </c>
      <c r="F35" s="1159">
        <f t="shared" si="0"/>
        <v>0</v>
      </c>
      <c r="G35" s="1159">
        <f t="shared" si="0"/>
        <v>0</v>
      </c>
      <c r="H35" s="1064">
        <f t="shared" ref="H35" si="1">1-SUM(H34)</f>
        <v>0</v>
      </c>
      <c r="I35" s="2629">
        <v>0</v>
      </c>
      <c r="J35" s="1061">
        <v>0</v>
      </c>
      <c r="K35" s="1064">
        <v>0</v>
      </c>
      <c r="N35" s="8"/>
      <c r="O35" s="8"/>
      <c r="P35" s="8"/>
    </row>
    <row r="36" spans="1:16">
      <c r="A36" s="58" t="s">
        <v>1547</v>
      </c>
      <c r="B36" s="179">
        <v>0</v>
      </c>
      <c r="C36" s="179">
        <v>0.23</v>
      </c>
      <c r="D36" s="179">
        <v>1</v>
      </c>
      <c r="E36" s="179">
        <v>0</v>
      </c>
      <c r="F36" s="179">
        <v>1</v>
      </c>
      <c r="G36" s="179">
        <v>0</v>
      </c>
      <c r="H36" s="2705">
        <v>1</v>
      </c>
      <c r="I36" s="2704">
        <v>0.34363344283652003</v>
      </c>
      <c r="J36" s="2704">
        <v>1</v>
      </c>
      <c r="K36" s="2705">
        <v>1</v>
      </c>
      <c r="N36" s="1456"/>
      <c r="O36" s="1457"/>
      <c r="P36" s="1457"/>
    </row>
    <row r="37" spans="1:16">
      <c r="A37" s="59" t="s">
        <v>1214</v>
      </c>
      <c r="B37" s="1159">
        <v>0</v>
      </c>
      <c r="C37" s="1159">
        <v>0.77</v>
      </c>
      <c r="D37" s="1159">
        <v>0</v>
      </c>
      <c r="E37" s="1159">
        <v>0</v>
      </c>
      <c r="F37" s="1159">
        <v>0</v>
      </c>
      <c r="G37" s="1159">
        <v>0</v>
      </c>
      <c r="H37" s="1064">
        <v>0</v>
      </c>
      <c r="I37" s="1061">
        <v>0</v>
      </c>
      <c r="J37" s="1061">
        <v>0</v>
      </c>
      <c r="K37" s="1064">
        <v>0</v>
      </c>
      <c r="N37" s="1456"/>
      <c r="O37" s="1457"/>
      <c r="P37" s="1457"/>
    </row>
    <row r="38" spans="1:16">
      <c r="A38" s="118" t="s">
        <v>1548</v>
      </c>
      <c r="B38" s="129">
        <f t="shared" ref="B38:G38" si="2">1-B36-B37</f>
        <v>1</v>
      </c>
      <c r="C38" s="129">
        <f t="shared" si="2"/>
        <v>0</v>
      </c>
      <c r="D38" s="129">
        <f t="shared" si="2"/>
        <v>0</v>
      </c>
      <c r="E38" s="129">
        <f t="shared" si="2"/>
        <v>1</v>
      </c>
      <c r="F38" s="129">
        <f t="shared" si="2"/>
        <v>0</v>
      </c>
      <c r="G38" s="129">
        <f t="shared" si="2"/>
        <v>1</v>
      </c>
      <c r="H38" s="1060">
        <f t="shared" ref="H38" si="3">1-SUM(H36:H37)</f>
        <v>0</v>
      </c>
      <c r="I38" s="1428">
        <v>0.65636655716348002</v>
      </c>
      <c r="J38" s="1428">
        <v>0</v>
      </c>
      <c r="K38" s="1060">
        <v>0</v>
      </c>
      <c r="N38" s="1456"/>
      <c r="O38" s="1457"/>
      <c r="P38" s="1457"/>
    </row>
    <row r="39" spans="1:16">
      <c r="A39" s="59" t="s">
        <v>1549</v>
      </c>
      <c r="B39" s="1159">
        <v>1</v>
      </c>
      <c r="C39" s="1159">
        <v>1</v>
      </c>
      <c r="D39" s="1159">
        <v>1</v>
      </c>
      <c r="E39" s="1159">
        <v>1</v>
      </c>
      <c r="F39" s="1159">
        <v>1</v>
      </c>
      <c r="G39" s="1159">
        <v>1</v>
      </c>
      <c r="H39" s="1064">
        <v>1</v>
      </c>
      <c r="I39" s="2629">
        <v>1</v>
      </c>
      <c r="J39" s="1061">
        <v>1</v>
      </c>
      <c r="K39" s="1064">
        <v>1</v>
      </c>
    </row>
    <row r="40" spans="1:16">
      <c r="A40" s="1299" t="s">
        <v>1550</v>
      </c>
      <c r="B40" s="1340">
        <v>1</v>
      </c>
      <c r="C40" s="1340">
        <v>1</v>
      </c>
      <c r="D40" s="1340">
        <v>1</v>
      </c>
      <c r="E40" s="1340">
        <v>1</v>
      </c>
      <c r="F40" s="1340">
        <v>1</v>
      </c>
      <c r="G40" s="1340">
        <v>1</v>
      </c>
      <c r="H40" s="2706">
        <v>1</v>
      </c>
      <c r="I40" s="2707">
        <v>1</v>
      </c>
      <c r="J40" s="2708">
        <v>1</v>
      </c>
      <c r="K40" s="2706">
        <v>1</v>
      </c>
    </row>
    <row r="41" spans="1:16">
      <c r="A41" s="59" t="s">
        <v>1551</v>
      </c>
      <c r="B41" s="1159">
        <v>1</v>
      </c>
      <c r="C41" s="1159">
        <v>0</v>
      </c>
      <c r="D41" s="1159">
        <v>0</v>
      </c>
      <c r="E41" s="1159">
        <v>1</v>
      </c>
      <c r="F41" s="1159">
        <v>0</v>
      </c>
      <c r="G41" s="1159">
        <v>1</v>
      </c>
      <c r="H41" s="1064">
        <v>0</v>
      </c>
      <c r="I41" s="2629">
        <v>0</v>
      </c>
      <c r="J41" s="1061">
        <v>0</v>
      </c>
      <c r="K41" s="1064">
        <v>0</v>
      </c>
    </row>
    <row r="42" spans="1:16">
      <c r="A42" s="59" t="s">
        <v>1042</v>
      </c>
      <c r="B42" s="1159">
        <v>0</v>
      </c>
      <c r="C42" s="1159">
        <v>1</v>
      </c>
      <c r="D42" s="1159">
        <v>0</v>
      </c>
      <c r="E42" s="1159">
        <v>0</v>
      </c>
      <c r="F42" s="1159">
        <v>0</v>
      </c>
      <c r="G42" s="1159">
        <v>0</v>
      </c>
      <c r="H42" s="1064">
        <v>0</v>
      </c>
      <c r="I42" s="2629">
        <v>0</v>
      </c>
      <c r="J42" s="1061">
        <v>0</v>
      </c>
      <c r="K42" s="1064">
        <v>0</v>
      </c>
    </row>
    <row r="43" spans="1:16">
      <c r="A43" s="59" t="s">
        <v>1552</v>
      </c>
      <c r="B43" s="1159">
        <v>0</v>
      </c>
      <c r="C43" s="1159">
        <v>0</v>
      </c>
      <c r="D43" s="1159">
        <v>0</v>
      </c>
      <c r="E43" s="1159">
        <v>0</v>
      </c>
      <c r="F43" s="1159">
        <v>0</v>
      </c>
      <c r="G43" s="1159">
        <v>0</v>
      </c>
      <c r="H43" s="1064">
        <v>0</v>
      </c>
      <c r="I43" s="2629">
        <v>0</v>
      </c>
      <c r="J43" s="1061">
        <v>0</v>
      </c>
      <c r="K43" s="1064">
        <v>0</v>
      </c>
    </row>
    <row r="44" spans="1:16">
      <c r="A44" s="59" t="s">
        <v>1553</v>
      </c>
      <c r="B44" s="1159">
        <v>0</v>
      </c>
      <c r="C44" s="1159">
        <v>0</v>
      </c>
      <c r="D44" s="1159">
        <v>0</v>
      </c>
      <c r="E44" s="1159">
        <v>0</v>
      </c>
      <c r="F44" s="1159">
        <v>0</v>
      </c>
      <c r="G44" s="1159">
        <v>0</v>
      </c>
      <c r="H44" s="1064">
        <v>0</v>
      </c>
      <c r="I44" s="2629">
        <v>0</v>
      </c>
      <c r="J44" s="1061">
        <v>0</v>
      </c>
      <c r="K44" s="1064">
        <v>0</v>
      </c>
    </row>
    <row r="45" spans="1:16">
      <c r="A45" s="59" t="s">
        <v>1554</v>
      </c>
      <c r="B45" s="1159">
        <v>0</v>
      </c>
      <c r="C45" s="1159">
        <v>0</v>
      </c>
      <c r="D45" s="1159">
        <v>0</v>
      </c>
      <c r="E45" s="1159">
        <v>0</v>
      </c>
      <c r="F45" s="1159">
        <v>0</v>
      </c>
      <c r="G45" s="1159">
        <v>0</v>
      </c>
      <c r="H45" s="1064">
        <v>0</v>
      </c>
      <c r="I45" s="2629">
        <v>0</v>
      </c>
      <c r="J45" s="1061">
        <v>0</v>
      </c>
      <c r="K45" s="1064">
        <v>0</v>
      </c>
    </row>
    <row r="46" spans="1:16">
      <c r="A46" s="59" t="s">
        <v>1555</v>
      </c>
      <c r="B46" s="1159">
        <v>0</v>
      </c>
      <c r="C46" s="1159">
        <v>0</v>
      </c>
      <c r="D46" s="1159">
        <v>1</v>
      </c>
      <c r="E46" s="1159">
        <v>0</v>
      </c>
      <c r="F46" s="1159">
        <v>1</v>
      </c>
      <c r="G46" s="1159">
        <v>0</v>
      </c>
      <c r="H46" s="1064">
        <v>1</v>
      </c>
      <c r="I46" s="2629">
        <v>1</v>
      </c>
      <c r="J46" s="1061">
        <v>1</v>
      </c>
      <c r="K46" s="1064">
        <v>1</v>
      </c>
    </row>
    <row r="47" spans="1:16">
      <c r="A47" s="59" t="s">
        <v>1589</v>
      </c>
      <c r="B47" s="1159">
        <f>1-SUM(B41:B46)</f>
        <v>0</v>
      </c>
      <c r="C47" s="1159">
        <f>1-SUM(C41:C46)</f>
        <v>0</v>
      </c>
      <c r="D47" s="1159">
        <f>1-SUM(D41:D46)</f>
        <v>0</v>
      </c>
      <c r="E47" s="1159">
        <f>1-SUM(E41:E46)</f>
        <v>0</v>
      </c>
      <c r="F47" s="1159">
        <f>1-SUM(F41:F46)</f>
        <v>0</v>
      </c>
      <c r="G47" s="1159">
        <f t="shared" ref="G47:H47" si="4">1-SUM(G41:G46)</f>
        <v>0</v>
      </c>
      <c r="H47" s="1064">
        <f t="shared" si="4"/>
        <v>0</v>
      </c>
      <c r="I47" s="2629">
        <v>0</v>
      </c>
      <c r="J47" s="1061">
        <v>0</v>
      </c>
      <c r="K47" s="1064">
        <v>0</v>
      </c>
    </row>
    <row r="48" spans="1:16">
      <c r="A48" s="58" t="s">
        <v>773</v>
      </c>
      <c r="B48" s="179">
        <v>0</v>
      </c>
      <c r="C48" s="179">
        <v>1</v>
      </c>
      <c r="D48" s="179">
        <v>1</v>
      </c>
      <c r="E48" s="179">
        <v>0</v>
      </c>
      <c r="F48" s="179">
        <v>1</v>
      </c>
      <c r="G48" s="179">
        <v>1</v>
      </c>
      <c r="H48" s="2705">
        <v>0</v>
      </c>
      <c r="I48" s="1062">
        <v>1</v>
      </c>
      <c r="J48" s="2704">
        <v>0.39003481769211162</v>
      </c>
      <c r="K48" s="2705">
        <v>0.540307972560501</v>
      </c>
    </row>
    <row r="49" spans="1:46">
      <c r="A49" s="118" t="s">
        <v>1556</v>
      </c>
      <c r="B49" s="129">
        <f t="shared" ref="B49:H49" si="5">1-B48</f>
        <v>1</v>
      </c>
      <c r="C49" s="129">
        <f t="shared" si="5"/>
        <v>0</v>
      </c>
      <c r="D49" s="129">
        <f t="shared" si="5"/>
        <v>0</v>
      </c>
      <c r="E49" s="129">
        <f t="shared" si="5"/>
        <v>1</v>
      </c>
      <c r="F49" s="129">
        <f t="shared" si="5"/>
        <v>0</v>
      </c>
      <c r="G49" s="129">
        <f t="shared" si="5"/>
        <v>0</v>
      </c>
      <c r="H49" s="1060">
        <f t="shared" si="5"/>
        <v>1</v>
      </c>
      <c r="I49" s="1051">
        <v>0</v>
      </c>
      <c r="J49" s="1428">
        <v>0.60996518230788843</v>
      </c>
      <c r="K49" s="1060">
        <v>0.459692027439499</v>
      </c>
    </row>
    <row r="51" spans="1:46" ht="15" customHeight="1">
      <c r="A51" s="120" t="s">
        <v>784</v>
      </c>
      <c r="H51" s="1773"/>
      <c r="R51" s="1436"/>
    </row>
    <row r="52" spans="1:46" ht="15.75">
      <c r="A52" s="334"/>
      <c r="B52" s="3060" t="s">
        <v>1601</v>
      </c>
      <c r="C52" s="3061"/>
      <c r="D52" s="3061"/>
      <c r="E52" s="3061"/>
      <c r="F52" s="3061"/>
      <c r="G52" s="3062"/>
      <c r="H52" s="3060" t="s">
        <v>1641</v>
      </c>
      <c r="I52" s="3061"/>
      <c r="J52" s="3061"/>
      <c r="K52" s="3061"/>
      <c r="L52" s="3061"/>
      <c r="M52" s="3061"/>
      <c r="N52" s="3061"/>
      <c r="O52" s="3061"/>
      <c r="P52" s="3061"/>
      <c r="Q52" s="3061"/>
      <c r="R52" s="3061"/>
      <c r="S52" s="3062"/>
      <c r="T52" s="3060" t="s">
        <v>1642</v>
      </c>
      <c r="U52" s="3061"/>
      <c r="V52" s="3061"/>
      <c r="W52" s="3061"/>
      <c r="X52" s="3061"/>
      <c r="Y52" s="3061"/>
      <c r="Z52" s="3061"/>
      <c r="AA52" s="3061"/>
      <c r="AB52" s="3062"/>
      <c r="AC52" s="659"/>
      <c r="AD52" s="2702"/>
      <c r="AO52" s="1437"/>
      <c r="AP52" s="1437"/>
      <c r="AQ52" s="1437"/>
      <c r="AR52" s="1437"/>
      <c r="AS52" s="1437"/>
      <c r="AT52" s="1437"/>
    </row>
    <row r="53" spans="1:46" ht="15.75" customHeight="1">
      <c r="A53" s="335"/>
      <c r="B53" s="3063"/>
      <c r="C53" s="3064"/>
      <c r="D53" s="3064"/>
      <c r="E53" s="3064"/>
      <c r="F53" s="3064"/>
      <c r="G53" s="3065"/>
      <c r="H53" s="3063"/>
      <c r="I53" s="3064"/>
      <c r="J53" s="3064"/>
      <c r="K53" s="3064"/>
      <c r="L53" s="3064"/>
      <c r="M53" s="3064"/>
      <c r="N53" s="3064"/>
      <c r="O53" s="3064"/>
      <c r="P53" s="3064"/>
      <c r="Q53" s="3064"/>
      <c r="R53" s="3064"/>
      <c r="S53" s="3065"/>
      <c r="T53" s="3063"/>
      <c r="U53" s="3064"/>
      <c r="V53" s="3064"/>
      <c r="W53" s="3064"/>
      <c r="X53" s="3064"/>
      <c r="Y53" s="3064"/>
      <c r="Z53" s="3064"/>
      <c r="AA53" s="3064"/>
      <c r="AB53" s="3065"/>
      <c r="AC53" s="227"/>
      <c r="AD53" s="2703"/>
      <c r="AO53" s="1437"/>
      <c r="AP53" s="1437"/>
      <c r="AQ53" s="1437"/>
      <c r="AR53" s="1437"/>
      <c r="AS53" s="1437"/>
      <c r="AT53" s="1437"/>
    </row>
    <row r="54" spans="1:46" ht="26.25" customHeight="1">
      <c r="A54" s="1364"/>
      <c r="B54" s="2980" t="s">
        <v>1643</v>
      </c>
      <c r="C54" s="3013"/>
      <c r="D54" s="3013"/>
      <c r="E54" s="2980" t="s">
        <v>1644</v>
      </c>
      <c r="F54" s="3013"/>
      <c r="G54" s="2981"/>
      <c r="H54" s="3013" t="s">
        <v>1636</v>
      </c>
      <c r="I54" s="3013"/>
      <c r="J54" s="2981"/>
      <c r="K54" s="2980" t="s">
        <v>1645</v>
      </c>
      <c r="L54" s="3013"/>
      <c r="M54" s="2981"/>
      <c r="N54" s="2980" t="s">
        <v>1646</v>
      </c>
      <c r="O54" s="3013"/>
      <c r="P54" s="3013"/>
      <c r="Q54" s="2980" t="s">
        <v>1647</v>
      </c>
      <c r="R54" s="3013"/>
      <c r="S54" s="2981"/>
      <c r="T54" s="3052" t="s">
        <v>2288</v>
      </c>
      <c r="U54" s="3059"/>
      <c r="V54" s="3059"/>
      <c r="W54" s="2980" t="s">
        <v>1648</v>
      </c>
      <c r="X54" s="3013"/>
      <c r="Y54" s="2981"/>
      <c r="Z54" s="3059" t="s">
        <v>1649</v>
      </c>
      <c r="AA54" s="3059"/>
      <c r="AB54" s="3053"/>
      <c r="AC54" s="3052" t="s">
        <v>1640</v>
      </c>
      <c r="AD54" s="3053"/>
      <c r="AO54" s="1437"/>
      <c r="AP54" s="1437"/>
      <c r="AQ54" s="1437"/>
      <c r="AR54" s="1437"/>
      <c r="AS54" s="1437"/>
      <c r="AT54" s="1437"/>
    </row>
    <row r="55" spans="1:46" ht="81.75" customHeight="1">
      <c r="A55" s="1429"/>
      <c r="B55" s="1345" t="s">
        <v>785</v>
      </c>
      <c r="C55" s="1345" t="s">
        <v>786</v>
      </c>
      <c r="D55" s="1345" t="s">
        <v>1057</v>
      </c>
      <c r="E55" s="1562" t="s">
        <v>785</v>
      </c>
      <c r="F55" s="1345" t="s">
        <v>786</v>
      </c>
      <c r="G55" s="1343" t="s">
        <v>1057</v>
      </c>
      <c r="H55" s="1345" t="s">
        <v>785</v>
      </c>
      <c r="I55" s="1345" t="s">
        <v>786</v>
      </c>
      <c r="J55" s="1343" t="s">
        <v>1057</v>
      </c>
      <c r="K55" s="1345" t="s">
        <v>785</v>
      </c>
      <c r="L55" s="1345" t="s">
        <v>786</v>
      </c>
      <c r="M55" s="1343" t="s">
        <v>1057</v>
      </c>
      <c r="N55" s="1562" t="s">
        <v>785</v>
      </c>
      <c r="O55" s="1345" t="s">
        <v>786</v>
      </c>
      <c r="P55" s="1345" t="s">
        <v>1057</v>
      </c>
      <c r="Q55" s="1562" t="s">
        <v>785</v>
      </c>
      <c r="R55" s="1345" t="s">
        <v>786</v>
      </c>
      <c r="S55" s="1343" t="s">
        <v>1057</v>
      </c>
      <c r="T55" s="1562" t="s">
        <v>785</v>
      </c>
      <c r="U55" s="1345" t="s">
        <v>786</v>
      </c>
      <c r="V55" s="1345" t="s">
        <v>1057</v>
      </c>
      <c r="W55" s="1562" t="s">
        <v>785</v>
      </c>
      <c r="X55" s="1345" t="s">
        <v>786</v>
      </c>
      <c r="Y55" s="1343" t="s">
        <v>1057</v>
      </c>
      <c r="Z55" s="1345" t="s">
        <v>785</v>
      </c>
      <c r="AA55" s="1345" t="s">
        <v>786</v>
      </c>
      <c r="AB55" s="1343" t="s">
        <v>1057</v>
      </c>
      <c r="AC55" s="1562" t="s">
        <v>785</v>
      </c>
      <c r="AD55" s="1343" t="s">
        <v>786</v>
      </c>
      <c r="AO55" s="1438"/>
      <c r="AP55" s="1438"/>
      <c r="AQ55" s="1438"/>
      <c r="AR55" s="1438"/>
      <c r="AS55" s="1438"/>
      <c r="AT55" s="1438"/>
    </row>
    <row r="56" spans="1:46">
      <c r="A56" s="1439" t="s">
        <v>1559</v>
      </c>
      <c r="B56" s="1126">
        <v>4.6500000000000004</v>
      </c>
      <c r="E56" s="1440">
        <v>4.6500000000000004</v>
      </c>
      <c r="G56" s="51"/>
      <c r="H56" s="1790">
        <v>0.68703169570066636</v>
      </c>
      <c r="J56" s="51"/>
      <c r="K56" s="1790">
        <v>4.0412725709372319</v>
      </c>
      <c r="M56" s="51"/>
      <c r="N56" s="1441">
        <v>39.200000000000003</v>
      </c>
      <c r="P56" s="1"/>
      <c r="Q56" s="1793">
        <v>43.693397271792058</v>
      </c>
      <c r="R56" s="1"/>
      <c r="S56" s="51"/>
      <c r="T56" s="753">
        <v>3.8693035253654346</v>
      </c>
      <c r="U56" s="1288"/>
      <c r="V56" s="1288"/>
      <c r="W56" s="1791">
        <v>122.41681240797107</v>
      </c>
      <c r="X56" s="1288"/>
      <c r="Y56" s="1067"/>
      <c r="Z56" s="1085">
        <v>126.47377059791508</v>
      </c>
      <c r="AA56" s="1085"/>
      <c r="AB56" s="1067"/>
      <c r="AC56" s="173">
        <v>4.08</v>
      </c>
      <c r="AD56" s="51"/>
    </row>
    <row r="57" spans="1:46">
      <c r="A57" s="487" t="s">
        <v>798</v>
      </c>
      <c r="B57" s="1159">
        <v>0</v>
      </c>
      <c r="C57" s="1159"/>
      <c r="D57" s="1159"/>
      <c r="E57" s="232">
        <v>0</v>
      </c>
      <c r="F57" s="1159"/>
      <c r="G57" s="128"/>
      <c r="H57" s="1775">
        <v>0</v>
      </c>
      <c r="I57" s="1159"/>
      <c r="J57" s="128"/>
      <c r="K57" s="1775">
        <v>0</v>
      </c>
      <c r="L57" s="1159"/>
      <c r="M57" s="128"/>
      <c r="N57" s="232">
        <v>0</v>
      </c>
      <c r="O57" s="1159"/>
      <c r="P57" s="127"/>
      <c r="Q57" s="1057"/>
      <c r="R57" s="127"/>
      <c r="S57" s="128"/>
      <c r="T57" s="1057">
        <v>0</v>
      </c>
      <c r="U57" s="1775"/>
      <c r="V57" s="1775"/>
      <c r="W57" s="1057">
        <v>0</v>
      </c>
      <c r="X57" s="1775"/>
      <c r="Y57" s="1056"/>
      <c r="Z57" s="1775">
        <v>0</v>
      </c>
      <c r="AA57" s="1775"/>
      <c r="AB57" s="1056"/>
      <c r="AC57" s="232">
        <v>0</v>
      </c>
      <c r="AD57" s="128"/>
      <c r="AO57" s="1159"/>
      <c r="AP57" s="1159"/>
      <c r="AQ57" s="1159"/>
      <c r="AR57" s="1159"/>
      <c r="AS57" s="1159"/>
      <c r="AT57" s="1159"/>
    </row>
    <row r="58" spans="1:46">
      <c r="A58" s="482" t="s">
        <v>799</v>
      </c>
      <c r="B58" s="131"/>
      <c r="C58" s="131"/>
      <c r="D58" s="131"/>
      <c r="E58" s="80"/>
      <c r="F58" s="131"/>
      <c r="G58" s="50"/>
      <c r="H58" s="557"/>
      <c r="I58" s="131"/>
      <c r="J58" s="50"/>
      <c r="K58" s="557"/>
      <c r="L58" s="131"/>
      <c r="M58" s="50"/>
      <c r="N58" s="80"/>
      <c r="O58" s="131"/>
      <c r="P58" s="131"/>
      <c r="Q58" s="1075"/>
      <c r="R58" s="131"/>
      <c r="S58" s="50"/>
      <c r="T58" s="1075"/>
      <c r="U58" s="557"/>
      <c r="V58" s="557"/>
      <c r="W58" s="1075"/>
      <c r="X58" s="557"/>
      <c r="Y58" s="558"/>
      <c r="Z58" s="557"/>
      <c r="AA58" s="557"/>
      <c r="AB58" s="558"/>
      <c r="AC58" s="80"/>
      <c r="AD58" s="50"/>
    </row>
    <row r="59" spans="1:46">
      <c r="A59" s="100" t="s">
        <v>800</v>
      </c>
      <c r="B59" s="946">
        <v>8.6999999999999994E-2</v>
      </c>
      <c r="C59" s="1159"/>
      <c r="D59" s="1159"/>
      <c r="E59" s="928">
        <v>8.6999999999999994E-2</v>
      </c>
      <c r="F59" s="1159"/>
      <c r="G59" s="128"/>
      <c r="H59" s="1775"/>
      <c r="I59" s="1159"/>
      <c r="J59" s="128"/>
      <c r="K59" s="1775"/>
      <c r="L59" s="1159"/>
      <c r="M59" s="128"/>
      <c r="N59" s="928">
        <v>0.81499999999999995</v>
      </c>
      <c r="O59" s="1159"/>
      <c r="P59" s="127"/>
      <c r="Q59" s="1794">
        <v>0</v>
      </c>
      <c r="R59" s="127"/>
      <c r="S59" s="128"/>
      <c r="T59" s="1057">
        <v>0</v>
      </c>
      <c r="U59" s="1775"/>
      <c r="V59" s="1775"/>
      <c r="W59" s="1057">
        <v>0</v>
      </c>
      <c r="X59" s="1775"/>
      <c r="Y59" s="1056"/>
      <c r="Z59" s="1775">
        <v>0</v>
      </c>
      <c r="AA59" s="1775"/>
      <c r="AB59" s="1056"/>
      <c r="AC59" s="244">
        <v>5.0999999999999997E-2</v>
      </c>
      <c r="AD59" s="51"/>
      <c r="AO59" s="1159"/>
      <c r="AP59" s="1159"/>
      <c r="AQ59" s="1159"/>
      <c r="AR59" s="1159"/>
    </row>
    <row r="60" spans="1:46">
      <c r="A60" s="100" t="s">
        <v>802</v>
      </c>
      <c r="B60" s="946">
        <v>3.7000000000000002E-3</v>
      </c>
      <c r="C60" s="1159"/>
      <c r="D60" s="1159"/>
      <c r="E60" s="928">
        <v>3.7000000000000002E-3</v>
      </c>
      <c r="F60" s="1159"/>
      <c r="G60" s="128"/>
      <c r="H60" s="1065">
        <v>0.40907056933665648</v>
      </c>
      <c r="I60" s="1159"/>
      <c r="J60" s="128"/>
      <c r="K60" s="1065">
        <v>8.5106382978723402E-2</v>
      </c>
      <c r="L60" s="1159"/>
      <c r="M60" s="128"/>
      <c r="N60" s="928">
        <v>0.13500000000000001</v>
      </c>
      <c r="O60" s="1159"/>
      <c r="P60" s="127"/>
      <c r="Q60" s="1794">
        <v>0.10340000000000001</v>
      </c>
      <c r="R60" s="127"/>
      <c r="S60" s="128"/>
      <c r="T60" s="1057">
        <v>1</v>
      </c>
      <c r="U60" s="1775"/>
      <c r="V60" s="1775"/>
      <c r="W60" s="1057">
        <v>0</v>
      </c>
      <c r="X60" s="1775"/>
      <c r="Y60" s="1056"/>
      <c r="Z60" s="1775">
        <v>0</v>
      </c>
      <c r="AA60" s="1775"/>
      <c r="AB60" s="1056"/>
      <c r="AC60" s="173"/>
      <c r="AD60" s="51"/>
      <c r="AO60" s="1159"/>
      <c r="AP60" s="1159"/>
      <c r="AQ60" s="1159"/>
      <c r="AR60" s="1159"/>
    </row>
    <row r="61" spans="1:46">
      <c r="A61" s="100" t="s">
        <v>801</v>
      </c>
      <c r="B61" s="946">
        <v>2.9999999999999997E-4</v>
      </c>
      <c r="C61" s="1159"/>
      <c r="D61" s="1159"/>
      <c r="E61" s="928">
        <v>2.9999999999999997E-4</v>
      </c>
      <c r="F61" s="1159"/>
      <c r="G61" s="128"/>
      <c r="H61" s="1159"/>
      <c r="I61" s="1159"/>
      <c r="J61" s="128"/>
      <c r="K61" s="1775"/>
      <c r="L61" s="1159"/>
      <c r="M61" s="128"/>
      <c r="N61" s="232"/>
      <c r="O61" s="1159"/>
      <c r="P61" s="127"/>
      <c r="Q61" s="1794">
        <v>0</v>
      </c>
      <c r="R61" s="127"/>
      <c r="S61" s="128"/>
      <c r="T61" s="1057">
        <v>0</v>
      </c>
      <c r="U61" s="1775"/>
      <c r="V61" s="1775"/>
      <c r="W61" s="1057">
        <v>0</v>
      </c>
      <c r="X61" s="1775"/>
      <c r="Y61" s="1056"/>
      <c r="Z61" s="1775">
        <v>0</v>
      </c>
      <c r="AA61" s="1775"/>
      <c r="AB61" s="1056"/>
      <c r="AC61" s="173"/>
      <c r="AD61" s="51"/>
      <c r="AO61" s="1159"/>
      <c r="AP61" s="1159"/>
      <c r="AQ61" s="1159"/>
      <c r="AR61" s="1159"/>
    </row>
    <row r="62" spans="1:46">
      <c r="A62" s="100" t="s">
        <v>1319</v>
      </c>
      <c r="B62" s="946">
        <v>0</v>
      </c>
      <c r="C62" s="1159"/>
      <c r="D62" s="1159"/>
      <c r="E62" s="928">
        <v>0</v>
      </c>
      <c r="F62" s="1159"/>
      <c r="G62" s="128"/>
      <c r="H62" s="1159"/>
      <c r="I62" s="1159"/>
      <c r="J62" s="128"/>
      <c r="K62" s="1775"/>
      <c r="L62" s="1159"/>
      <c r="M62" s="128"/>
      <c r="N62" s="928">
        <v>0.05</v>
      </c>
      <c r="O62" s="1159"/>
      <c r="P62" s="127"/>
      <c r="Q62" s="1794">
        <v>0</v>
      </c>
      <c r="R62" s="127"/>
      <c r="S62" s="128"/>
      <c r="T62" s="1057">
        <v>0</v>
      </c>
      <c r="U62" s="1775"/>
      <c r="V62" s="1775"/>
      <c r="W62" s="1057">
        <v>0</v>
      </c>
      <c r="X62" s="1775"/>
      <c r="Y62" s="1056"/>
      <c r="Z62" s="1775">
        <v>0</v>
      </c>
      <c r="AA62" s="1775"/>
      <c r="AB62" s="1056"/>
      <c r="AC62" s="173"/>
      <c r="AD62" s="51"/>
      <c r="AO62" s="1159"/>
      <c r="AP62" s="1159"/>
      <c r="AQ62" s="1159"/>
      <c r="AR62" s="1159"/>
    </row>
    <row r="63" spans="1:46">
      <c r="A63" s="100" t="s">
        <v>804</v>
      </c>
      <c r="B63" s="946">
        <v>0</v>
      </c>
      <c r="C63" s="1159"/>
      <c r="D63" s="1159"/>
      <c r="E63" s="928">
        <v>0</v>
      </c>
      <c r="F63" s="1159"/>
      <c r="G63" s="128"/>
      <c r="H63" s="1159"/>
      <c r="I63" s="1159"/>
      <c r="J63" s="128"/>
      <c r="K63" s="1065">
        <v>0.5957446808510638</v>
      </c>
      <c r="L63" s="1159"/>
      <c r="M63" s="128"/>
      <c r="N63" s="232"/>
      <c r="O63" s="1159"/>
      <c r="P63" s="127"/>
      <c r="Q63" s="1794">
        <v>0.72409999999999997</v>
      </c>
      <c r="R63" s="127"/>
      <c r="S63" s="128"/>
      <c r="T63" s="1057">
        <v>0</v>
      </c>
      <c r="U63" s="1775"/>
      <c r="V63" s="1775"/>
      <c r="W63" s="1057">
        <v>0</v>
      </c>
      <c r="X63" s="1775"/>
      <c r="Y63" s="1056"/>
      <c r="Z63" s="1775">
        <v>0</v>
      </c>
      <c r="AA63" s="1775"/>
      <c r="AB63" s="1056"/>
      <c r="AC63" s="1442">
        <v>0.52400000000000002</v>
      </c>
      <c r="AD63" s="51"/>
      <c r="AO63" s="1159"/>
      <c r="AP63" s="1159"/>
      <c r="AQ63" s="1159"/>
      <c r="AR63" s="1159"/>
      <c r="AS63" s="1443"/>
    </row>
    <row r="64" spans="1:46">
      <c r="A64" s="100" t="s">
        <v>805</v>
      </c>
      <c r="B64" s="946">
        <v>0.90900000000000003</v>
      </c>
      <c r="C64" s="1159"/>
      <c r="D64" s="1159"/>
      <c r="E64" s="928">
        <v>0.90900000000000003</v>
      </c>
      <c r="F64" s="1159"/>
      <c r="G64" s="128"/>
      <c r="H64" s="1159"/>
      <c r="I64" s="1159"/>
      <c r="J64" s="128"/>
      <c r="K64" s="1159"/>
      <c r="L64" s="1159"/>
      <c r="M64" s="128"/>
      <c r="N64" s="232"/>
      <c r="O64" s="1159"/>
      <c r="P64" s="127"/>
      <c r="Q64" s="1794">
        <v>0</v>
      </c>
      <c r="R64" s="127"/>
      <c r="S64" s="128"/>
      <c r="T64" s="1057">
        <v>0</v>
      </c>
      <c r="U64" s="1775"/>
      <c r="V64" s="1775"/>
      <c r="W64" s="1057">
        <v>0.9544850337076759</v>
      </c>
      <c r="X64" s="1775"/>
      <c r="Y64" s="1056"/>
      <c r="Z64" s="1775">
        <v>0.84989751046756901</v>
      </c>
      <c r="AA64" s="1775"/>
      <c r="AB64" s="1056"/>
      <c r="AC64" s="173"/>
      <c r="AD64" s="51"/>
      <c r="AO64" s="1159"/>
      <c r="AP64" s="1159"/>
      <c r="AQ64" s="1159"/>
      <c r="AR64" s="1159"/>
    </row>
    <row r="65" spans="1:58">
      <c r="A65" s="484" t="s">
        <v>806</v>
      </c>
      <c r="B65" s="129">
        <f>1-SUM(B59:B64)</f>
        <v>0</v>
      </c>
      <c r="C65" s="129"/>
      <c r="D65" s="129"/>
      <c r="E65" s="239">
        <f>1-SUM(E59:E64)</f>
        <v>0</v>
      </c>
      <c r="F65" s="129"/>
      <c r="G65" s="130"/>
      <c r="H65" s="129">
        <f>1-SUM(H59:H64)</f>
        <v>0.59092943066334347</v>
      </c>
      <c r="I65" s="129"/>
      <c r="J65" s="130"/>
      <c r="K65" s="129">
        <f>1-SUM(K59:K64)</f>
        <v>0.31914893617021278</v>
      </c>
      <c r="L65" s="129"/>
      <c r="M65" s="130"/>
      <c r="N65" s="239">
        <f>1-SUM(N59:N64)</f>
        <v>0</v>
      </c>
      <c r="O65" s="129"/>
      <c r="P65" s="129"/>
      <c r="Q65" s="239">
        <f>1-SUM(Q59:Q64)</f>
        <v>0.17249999999999999</v>
      </c>
      <c r="R65" s="129"/>
      <c r="S65" s="130"/>
      <c r="T65" s="1054">
        <f>1-SUM(T59:T64)</f>
        <v>0</v>
      </c>
      <c r="U65" s="1052"/>
      <c r="V65" s="1052"/>
      <c r="W65" s="1054">
        <f>1-SUM(W59:W64)</f>
        <v>4.5514966292324099E-2</v>
      </c>
      <c r="X65" s="1052"/>
      <c r="Y65" s="1053"/>
      <c r="Z65" s="1052">
        <f>1-SUM(Z59:Z64)</f>
        <v>0.15010248953243099</v>
      </c>
      <c r="AA65" s="1052"/>
      <c r="AB65" s="1053"/>
      <c r="AC65" s="239">
        <f>1-SUM(AC59:AC64)</f>
        <v>0.42499999999999993</v>
      </c>
      <c r="AD65" s="85"/>
      <c r="AO65" s="1159"/>
      <c r="AP65" s="1159"/>
      <c r="AQ65" s="1159"/>
      <c r="AR65" s="1159"/>
    </row>
    <row r="66" spans="1:58">
      <c r="A66" s="487" t="s">
        <v>862</v>
      </c>
      <c r="E66" s="173"/>
      <c r="G66" s="51"/>
      <c r="J66" s="51"/>
      <c r="M66" s="51"/>
      <c r="N66" s="173"/>
      <c r="Q66" s="173"/>
      <c r="R66" s="1"/>
      <c r="S66" s="51"/>
      <c r="T66" s="477"/>
      <c r="U66" s="1288"/>
      <c r="V66" s="1288"/>
      <c r="W66" s="477"/>
      <c r="X66" s="1288"/>
      <c r="Y66" s="1067"/>
      <c r="Z66" s="1288"/>
      <c r="AA66" s="1288"/>
      <c r="AB66" s="1067"/>
      <c r="AC66" s="173"/>
      <c r="AD66" s="51"/>
    </row>
    <row r="67" spans="1:58">
      <c r="A67" s="100" t="s">
        <v>800</v>
      </c>
      <c r="B67" s="112">
        <f>B$56*B59</f>
        <v>0.40455000000000002</v>
      </c>
      <c r="E67" s="233">
        <f t="shared" ref="E67:E73" si="6">E$56*E59</f>
        <v>0.40455000000000002</v>
      </c>
      <c r="G67" s="51"/>
      <c r="H67" s="112">
        <f>H$56*H59</f>
        <v>0</v>
      </c>
      <c r="J67" s="51"/>
      <c r="K67" s="112">
        <f>K$56*K59</f>
        <v>0</v>
      </c>
      <c r="M67" s="51"/>
      <c r="N67" s="233">
        <f>N$56*N59</f>
        <v>31.948</v>
      </c>
      <c r="Q67" s="233">
        <f>Q$56*Q59</f>
        <v>0</v>
      </c>
      <c r="R67" s="1"/>
      <c r="S67" s="51"/>
      <c r="T67" s="1076">
        <f t="shared" ref="T67:T73" si="7">T$56*T59</f>
        <v>0</v>
      </c>
      <c r="U67" s="1288"/>
      <c r="V67" s="1288"/>
      <c r="W67" s="753">
        <f t="shared" ref="W67:W73" si="8">W$56*W59</f>
        <v>0</v>
      </c>
      <c r="X67" s="1085"/>
      <c r="Y67" s="1082"/>
      <c r="Z67" s="1085">
        <f t="shared" ref="Z67:Z73" si="9">Z$56*Z59</f>
        <v>0</v>
      </c>
      <c r="AA67" s="1288"/>
      <c r="AB67" s="1067"/>
      <c r="AC67" s="233">
        <f t="shared" ref="AC67:AC73" si="10">AC$56*AC59</f>
        <v>0.20807999999999999</v>
      </c>
      <c r="AD67" s="51"/>
      <c r="AO67" s="112"/>
      <c r="AR67" s="112"/>
    </row>
    <row r="68" spans="1:58">
      <c r="A68" s="100" t="s">
        <v>802</v>
      </c>
      <c r="B68" s="112">
        <f t="shared" ref="B68:B73" si="11">B$56*B60</f>
        <v>1.7205000000000002E-2</v>
      </c>
      <c r="E68" s="233">
        <f t="shared" si="6"/>
        <v>1.7205000000000002E-2</v>
      </c>
      <c r="G68" s="51"/>
      <c r="H68" s="112">
        <f t="shared" ref="H68:H73" si="12">H$56*H60</f>
        <v>0.28104444691260011</v>
      </c>
      <c r="J68" s="51"/>
      <c r="K68" s="112">
        <f t="shared" ref="K68:K73" si="13">K$56*K60</f>
        <v>0.34393809114359419</v>
      </c>
      <c r="M68" s="51"/>
      <c r="N68" s="233">
        <f t="shared" ref="N68:N73" si="14">N$56*N60</f>
        <v>5.2920000000000007</v>
      </c>
      <c r="Q68" s="233">
        <f t="shared" ref="Q68:Q73" si="15">Q$56*Q60</f>
        <v>4.5178972779032991</v>
      </c>
      <c r="R68" s="1"/>
      <c r="S68" s="51"/>
      <c r="T68" s="1076">
        <f t="shared" si="7"/>
        <v>3.8693035253654346</v>
      </c>
      <c r="U68" s="1288"/>
      <c r="V68" s="1288"/>
      <c r="W68" s="753">
        <f t="shared" si="8"/>
        <v>0</v>
      </c>
      <c r="X68" s="1085"/>
      <c r="Y68" s="1082"/>
      <c r="Z68" s="1085">
        <f t="shared" si="9"/>
        <v>0</v>
      </c>
      <c r="AA68" s="1288"/>
      <c r="AB68" s="1067"/>
      <c r="AC68" s="233">
        <f t="shared" si="10"/>
        <v>0</v>
      </c>
      <c r="AD68" s="51"/>
      <c r="AO68" s="112"/>
      <c r="AR68" s="112"/>
    </row>
    <row r="69" spans="1:58">
      <c r="A69" s="100" t="s">
        <v>801</v>
      </c>
      <c r="B69" s="112">
        <f t="shared" si="11"/>
        <v>1.395E-3</v>
      </c>
      <c r="E69" s="233">
        <f t="shared" si="6"/>
        <v>1.395E-3</v>
      </c>
      <c r="G69" s="51"/>
      <c r="H69" s="112">
        <f t="shared" si="12"/>
        <v>0</v>
      </c>
      <c r="J69" s="51"/>
      <c r="K69" s="112">
        <f t="shared" si="13"/>
        <v>0</v>
      </c>
      <c r="M69" s="51"/>
      <c r="N69" s="233">
        <f t="shared" si="14"/>
        <v>0</v>
      </c>
      <c r="Q69" s="233">
        <f t="shared" si="15"/>
        <v>0</v>
      </c>
      <c r="R69" s="1"/>
      <c r="S69" s="51"/>
      <c r="T69" s="1076">
        <f t="shared" si="7"/>
        <v>0</v>
      </c>
      <c r="U69" s="1288"/>
      <c r="V69" s="1288"/>
      <c r="W69" s="753">
        <f t="shared" si="8"/>
        <v>0</v>
      </c>
      <c r="X69" s="1085"/>
      <c r="Y69" s="1082"/>
      <c r="Z69" s="1085">
        <f t="shared" si="9"/>
        <v>0</v>
      </c>
      <c r="AA69" s="1288"/>
      <c r="AB69" s="1067"/>
      <c r="AC69" s="233">
        <f t="shared" si="10"/>
        <v>0</v>
      </c>
      <c r="AD69" s="51"/>
      <c r="AO69" s="112"/>
      <c r="AR69" s="112"/>
    </row>
    <row r="70" spans="1:58">
      <c r="A70" s="100" t="s">
        <v>1319</v>
      </c>
      <c r="B70" s="112">
        <f t="shared" si="11"/>
        <v>0</v>
      </c>
      <c r="E70" s="233">
        <f t="shared" si="6"/>
        <v>0</v>
      </c>
      <c r="G70" s="51"/>
      <c r="H70" s="112">
        <f t="shared" si="12"/>
        <v>0</v>
      </c>
      <c r="J70" s="51"/>
      <c r="K70" s="112">
        <f t="shared" si="13"/>
        <v>0</v>
      </c>
      <c r="M70" s="51"/>
      <c r="N70" s="233">
        <f t="shared" si="14"/>
        <v>1.9600000000000002</v>
      </c>
      <c r="Q70" s="233">
        <f t="shared" si="15"/>
        <v>0</v>
      </c>
      <c r="R70" s="1"/>
      <c r="S70" s="51"/>
      <c r="T70" s="1076">
        <f t="shared" si="7"/>
        <v>0</v>
      </c>
      <c r="U70" s="1288"/>
      <c r="V70" s="1288"/>
      <c r="W70" s="753">
        <f t="shared" si="8"/>
        <v>0</v>
      </c>
      <c r="X70" s="1085"/>
      <c r="Y70" s="1082"/>
      <c r="Z70" s="1085">
        <f t="shared" si="9"/>
        <v>0</v>
      </c>
      <c r="AA70" s="1288"/>
      <c r="AB70" s="1067"/>
      <c r="AC70" s="233">
        <f t="shared" si="10"/>
        <v>0</v>
      </c>
      <c r="AD70" s="51"/>
      <c r="AO70" s="112"/>
      <c r="AR70" s="112"/>
    </row>
    <row r="71" spans="1:58">
      <c r="A71" s="100" t="s">
        <v>804</v>
      </c>
      <c r="B71" s="112">
        <f t="shared" si="11"/>
        <v>0</v>
      </c>
      <c r="E71" s="233">
        <f t="shared" si="6"/>
        <v>0</v>
      </c>
      <c r="G71" s="51"/>
      <c r="H71" s="112">
        <f t="shared" si="12"/>
        <v>0</v>
      </c>
      <c r="J71" s="51"/>
      <c r="K71" s="112">
        <f t="shared" si="13"/>
        <v>2.4075666380051595</v>
      </c>
      <c r="M71" s="51"/>
      <c r="N71" s="233">
        <f t="shared" si="14"/>
        <v>0</v>
      </c>
      <c r="Q71" s="233">
        <f t="shared" si="15"/>
        <v>31.638388964504628</v>
      </c>
      <c r="R71" s="1"/>
      <c r="S71" s="51"/>
      <c r="T71" s="1076">
        <f t="shared" si="7"/>
        <v>0</v>
      </c>
      <c r="U71" s="1288"/>
      <c r="V71" s="1288"/>
      <c r="W71" s="753">
        <f t="shared" si="8"/>
        <v>0</v>
      </c>
      <c r="X71" s="1085"/>
      <c r="Y71" s="1082"/>
      <c r="Z71" s="1085">
        <f t="shared" si="9"/>
        <v>0</v>
      </c>
      <c r="AA71" s="1288"/>
      <c r="AB71" s="1067"/>
      <c r="AC71" s="233">
        <f t="shared" si="10"/>
        <v>2.1379200000000003</v>
      </c>
      <c r="AD71" s="51"/>
      <c r="AO71" s="112"/>
      <c r="AR71" s="112"/>
    </row>
    <row r="72" spans="1:58">
      <c r="A72" s="100" t="s">
        <v>805</v>
      </c>
      <c r="B72" s="112">
        <f t="shared" si="11"/>
        <v>4.2268500000000007</v>
      </c>
      <c r="E72" s="233">
        <f t="shared" si="6"/>
        <v>4.2268500000000007</v>
      </c>
      <c r="G72" s="51"/>
      <c r="H72" s="112">
        <f t="shared" si="12"/>
        <v>0</v>
      </c>
      <c r="J72" s="51"/>
      <c r="K72" s="112">
        <f t="shared" si="13"/>
        <v>0</v>
      </c>
      <c r="M72" s="51"/>
      <c r="N72" s="233">
        <f t="shared" si="14"/>
        <v>0</v>
      </c>
      <c r="Q72" s="233">
        <f t="shared" si="15"/>
        <v>0</v>
      </c>
      <c r="R72" s="1"/>
      <c r="S72" s="51"/>
      <c r="T72" s="1076">
        <f t="shared" si="7"/>
        <v>0</v>
      </c>
      <c r="U72" s="1288"/>
      <c r="V72" s="1288"/>
      <c r="W72" s="753">
        <f t="shared" si="8"/>
        <v>116.8450153176085</v>
      </c>
      <c r="X72" s="1085"/>
      <c r="Y72" s="1082"/>
      <c r="Z72" s="1085">
        <f t="shared" si="9"/>
        <v>107.48974277061446</v>
      </c>
      <c r="AA72" s="1288"/>
      <c r="AB72" s="1067"/>
      <c r="AC72" s="233">
        <f t="shared" si="10"/>
        <v>0</v>
      </c>
      <c r="AD72" s="51"/>
      <c r="AO72" s="112"/>
      <c r="AR72" s="112"/>
    </row>
    <row r="73" spans="1:58">
      <c r="A73" s="100" t="s">
        <v>806</v>
      </c>
      <c r="B73" s="112">
        <f t="shared" si="11"/>
        <v>0</v>
      </c>
      <c r="E73" s="233">
        <f t="shared" si="6"/>
        <v>0</v>
      </c>
      <c r="G73" s="51"/>
      <c r="H73" s="112">
        <f t="shared" si="12"/>
        <v>0.40598724878806619</v>
      </c>
      <c r="J73" s="51"/>
      <c r="K73" s="112">
        <f t="shared" si="13"/>
        <v>1.2897678417884784</v>
      </c>
      <c r="M73" s="51"/>
      <c r="N73" s="233">
        <f t="shared" si="14"/>
        <v>0</v>
      </c>
      <c r="Q73" s="233">
        <f t="shared" si="15"/>
        <v>7.5371110293841292</v>
      </c>
      <c r="R73" s="1"/>
      <c r="S73" s="51"/>
      <c r="T73" s="1076">
        <f t="shared" si="7"/>
        <v>0</v>
      </c>
      <c r="U73" s="1288"/>
      <c r="V73" s="1288"/>
      <c r="W73" s="753">
        <f t="shared" si="8"/>
        <v>5.5717970903625655</v>
      </c>
      <c r="X73" s="1085"/>
      <c r="Y73" s="1082"/>
      <c r="Z73" s="1085">
        <f t="shared" si="9"/>
        <v>18.984027827300626</v>
      </c>
      <c r="AA73" s="1288"/>
      <c r="AB73" s="1067"/>
      <c r="AC73" s="233">
        <f t="shared" si="10"/>
        <v>1.7339999999999998</v>
      </c>
      <c r="AD73" s="51"/>
      <c r="AO73" s="112"/>
      <c r="AR73" s="112"/>
    </row>
    <row r="74" spans="1:58">
      <c r="A74" s="481" t="s">
        <v>816</v>
      </c>
      <c r="B74" s="241">
        <f>Li_Chemicals!B$67*(1+(GREET1_Import_Export!$J180*GREET1_Import_Export!$L$179+GREET1_Import_Export!$L180)/1000000)+Li_Chemicals!B$68*(1+(GREET1_Import_Export!$J180*GREET1_Import_Export!$M$179+GREET1_Import_Export!$M180)/1000000)+Li_Chemicals!B$69*(1+(GREET1_Import_Export!$J180*GREET1_Import_Export!$K$179+GREET1_Import_Export!$K180)/1000000)+Li_Chemicals!B$70*(1+(GREET1_Import_Export!$J216*GREET1_Import_Export!$K$215+GREET1_Import_Export!$K216)/1000000)+Li_Chemicals!B$71*(1+GREET1_Import_Export!$G216/1000000)+Li_Chemicals!B$72*(1+GREET1_Import_Export!$D284/1000000)+Li_Chemicals!B$73*GREET1_Import_Export!$B342/1000000</f>
        <v>4.8372109146274633</v>
      </c>
      <c r="C74" s="131"/>
      <c r="D74" s="241">
        <f>SUM('GREET2_Factors_T&amp;D'!H53:I53)/1000000</f>
        <v>1.7740513442199553</v>
      </c>
      <c r="E74" s="240">
        <f>Li_Chemicals!E$67*(1+(GREET1_Import_Export!$B180*GREET1_Import_Export!$F$179+GREET1_Import_Export!$F180)/1000000)+Li_Chemicals!E$68*(1+(GREET1_Import_Export!$B180*GREET1_Import_Export!$G$179+GREET1_Import_Export!$G180)/1000000)+Li_Chemicals!E$69*(1+(GREET1_Import_Export!$B180*GREET1_Import_Export!$C$179+GREET1_Import_Export!$C180)/1000000)+Li_Chemicals!E$70*(1+(GREET1_Import_Export!$E216*GREET1_Import_Export!$F$215+GREET1_Import_Export!$F216)/1000000)+Li_Chemicals!E$71*(1+GREET1_Import_Export!$B216/1000000)+Li_Chemicals!E$72*(1+GREET1_Import_Export!$B284/1000000)+Li_Chemicals!E$73*SUM(GREET1_Import_Export!$B309:$C309)/1000000</f>
        <v>4.7970726836004367</v>
      </c>
      <c r="F74" s="131"/>
      <c r="G74" s="248">
        <f>'GREET2_Factors_T&amp;D'!B53/1000000</f>
        <v>0.28157296970437851</v>
      </c>
      <c r="H74" s="241">
        <f>Li_Chemicals!H$67*(1+(GREET1_Import_Export!$J180*GREET1_Import_Export!$L$179+GREET1_Import_Export!$L180)/1000000)+Li_Chemicals!H$68*(1+(GREET1_Import_Export!$J180*GREET1_Import_Export!$M$179+GREET1_Import_Export!$M180)/1000000)+Li_Chemicals!H$69*(1+(GREET1_Import_Export!$J180*GREET1_Import_Export!$K$179+GREET1_Import_Export!$K180)/1000000)+Li_Chemicals!H$70*(1+(GREET1_Import_Export!$J216*GREET1_Import_Export!$K$215+GREET1_Import_Export!$K216)/1000000)+Li_Chemicals!H$71*(1+GREET1_Import_Export!$G216/1000000)+Li_Chemicals!H$72*(1+GREET1_Import_Export!$D284/1000000)+Li_Chemicals!H$73*GREET1_Import_Export!$S342/1000000</f>
        <v>1.2945635162841156</v>
      </c>
      <c r="I74" s="131"/>
      <c r="J74" s="248">
        <f>'GREET2_Factors_T&amp;D'!G53/1000000</f>
        <v>0.20273253818715251</v>
      </c>
      <c r="K74" s="241">
        <f>Li_Chemicals!K$67*(1+(GREET1_Import_Export!$J180*GREET1_Import_Export!$L$179+GREET1_Import_Export!$L180)/1000000)
+Li_Chemicals!K$68*(1+(GREET1_Import_Export!$J180*GREET1_Import_Export!$M$179+GREET1_Import_Export!$M180)/1000000)
+Li_Chemicals!K$69*(1+(GREET1_Import_Export!$J180*GREET1_Import_Export!$K$179+GREET1_Import_Export!$K180)/1000000)
+Li_Chemicals!K$70*(1+(GREET1_Import_Export!$J216*GREET1_Import_Export!$K$215+GREET1_Import_Export!$K216)/1000000)
+Li_Chemicals!K$71*(1+GREET1_Import_Export!$G216/1000000)
+Li_Chemicals!K$72*(1+GREET1_Import_Export!$D284/1000000)
+Li_Chemicals!K$73*GREET1_Import_Export!$S342/1000000</f>
        <v>6.1682108271387239</v>
      </c>
      <c r="L74" s="131"/>
      <c r="M74" s="248">
        <f>SUM('GREET2_Factors_T&amp;D'!J53:K53)/1000000</f>
        <v>1.1579104085393142</v>
      </c>
      <c r="N74" s="240">
        <f>Li_Chemicals!N$67*(1+(GREET1_Import_Export!$B180*GREET1_Import_Export!$F$179+GREET1_Import_Export!$F180)/1000000)+Li_Chemicals!N$68*(1+(GREET1_Import_Export!$B180*GREET1_Import_Export!$G$179+GREET1_Import_Export!$G180)/1000000)+Li_Chemicals!N$69*(1+(GREET1_Import_Export!$B180*GREET1_Import_Export!$C$179+GREET1_Import_Export!$C180)/1000000)+Li_Chemicals!N$70*(1+(GREET1_Import_Export!$E216*GREET1_Import_Export!$F$215+GREET1_Import_Export!$F216)/1000000)+Li_Chemicals!N$71*(1+GREET1_Import_Export!$B216/1000000)+Li_Chemicals!N$72*(1+GREET1_Import_Export!$B284/1000000)+Li_Chemicals!N$73*SUM(GREET1_Import_Export!$B309:$C309)/1000000</f>
        <v>44.592691420177111</v>
      </c>
      <c r="O74" s="131"/>
      <c r="P74" s="241">
        <f>SUM('GREET2_Factors_T&amp;D'!C53:D53)/1000000</f>
        <v>1.1855826279715058</v>
      </c>
      <c r="Q74" s="240">
        <f>Q$67*(1+(GREET1_Import_Export!$J180*GREET1_Import_Export!$L$179+GREET1_Import_Export!$L180)/1000000)
+Q$68*(1+(GREET1_Import_Export!$J180*GREET1_Import_Export!$M$179+GREET1_Import_Export!$M180)/1000000)
+Q$69*(1+(GREET1_Import_Export!$J180*GREET1_Import_Export!$K$179+GREET1_Import_Export!$K180)/1000000)
+Q$70*(1+(GREET1_Import_Export!$J216*GREET1_Import_Export!$K$215+GREET1_Import_Export!$K216)/1000000)
+Q$71*(1+GREET1_Import_Export!$G216/1000000)
+Q$72*(1+GREET1_Import_Export!$D284/1000000)
+Q$73*GREET1_Import_Export!$S342/1000000</f>
        <v>58.630520241317349</v>
      </c>
      <c r="R74" s="131"/>
      <c r="S74" s="248">
        <f>SUM('GREET2_Factors_T&amp;D'!Z53:AA53)/1000000</f>
        <v>1.1726728562659661</v>
      </c>
      <c r="T74" s="1078">
        <f>T$67*(1+(GREET1_Import_Export!$B180*GREET1_Import_Export!$F$179+GREET1_Import_Export!$F180)/1000000)+T$68*(1+(GREET1_Import_Export!$B180*GREET1_Import_Export!$G$179+GREET1_Import_Export!$G180)/1000000)+T$69*(1+(GREET1_Import_Export!$B180*GREET1_Import_Export!$C$179+GREET1_Import_Export!$C180)/1000000)+T$70*(1+(GREET1_Import_Export!$E216*GREET1_Import_Export!$F$215+GREET1_Import_Export!$F216)/1000000)+T$71*(1+GREET1_Import_Export!$B216/1000000)+T$72*(1+GREET1_Import_Export!$B284/1000000)+T$73*GREET1_Import_Export!$D342/1000000</f>
        <v>4.575991310436156</v>
      </c>
      <c r="U74" s="557"/>
      <c r="V74" s="1141">
        <f>SUM('GREET2_Factors_T&amp;D'!AB53:AG53)/1000000</f>
        <v>0.85413059213654907</v>
      </c>
      <c r="W74" s="1078">
        <f>W$67*(1+(GREET1_Import_Export!$B180*GREET1_Import_Export!$F$179+GREET1_Import_Export!$F180)/1000000)+W$68*(1+(GREET1_Import_Export!$B180*GREET1_Import_Export!$G$179+GREET1_Import_Export!$G180)/1000000)+W$69*(1+(GREET1_Import_Export!$B180*GREET1_Import_Export!$C$179+GREET1_Import_Export!$C180)/1000000)+W$70*(1+(GREET1_Import_Export!$E216*GREET1_Import_Export!$F$215+GREET1_Import_Export!$F216)/1000000)+W$71*(1+GREET1_Import_Export!$B216/1000000)+W$72*(1+GREET1_Import_Export!$B284/1000000)+W$73*GREET1_Import_Export!$L342/1000000</f>
        <v>133.67472368400752</v>
      </c>
      <c r="X74" s="557"/>
      <c r="Y74" s="1079">
        <f>SUM('GREET2_Factors_T&amp;D'!AH53:AI53)/1000000</f>
        <v>0.10558986363914194</v>
      </c>
      <c r="Z74" s="1293">
        <f>Z$67*(1+(GREET1_Import_Export!$B180*GREET1_Import_Export!$F$179+GREET1_Import_Export!$F180)/1000000)+Z$68*(1+(GREET1_Import_Export!$B180*GREET1_Import_Export!$G$179+GREET1_Import_Export!$G180)/1000000)+Z$69*(1+(GREET1_Import_Export!$B180*GREET1_Import_Export!$C$179+GREET1_Import_Export!$C180)/1000000)+Z$70*(1+(GREET1_Import_Export!$E216*GREET1_Import_Export!$F$215+GREET1_Import_Export!$F216)/1000000)+Z$71*(1+GREET1_Import_Export!$B216/1000000)+Z$72*(1+GREET1_Import_Export!$B284/1000000)+Z$73*GREET1_Import_Export!$L342/1000000</f>
        <v>158.60222320659815</v>
      </c>
      <c r="AA74" s="557"/>
      <c r="AB74" s="1079">
        <f>SUM('GREET2_Factors_T&amp;D'!AJ53:AK53)/1000000</f>
        <v>0.10558986363914194</v>
      </c>
      <c r="AC74" s="240">
        <f>Li_Chemicals!AC$67*(1+(GREET1_Import_Export!$B180*GREET1_Import_Export!$F$179+GREET1_Import_Export!$F180)/1000000)+Li_Chemicals!AC$68*(1+(GREET1_Import_Export!$B180*GREET1_Import_Export!$G$179+GREET1_Import_Export!$G180)/1000000)+Li_Chemicals!AC$69*(1+(GREET1_Import_Export!$B180*GREET1_Import_Export!$C$179+GREET1_Import_Export!$C180)/1000000)+Li_Chemicals!AC$70*(1+(GREET1_Import_Export!$E216*GREET1_Import_Export!$F$215+GREET1_Import_Export!$F216)/1000000)+Li_Chemicals!AC$71*(1+GREET1_Import_Export!$B216/1000000)+Li_Chemicals!AC$72*(1+GREET1_Import_Export!$B284/1000000)+Li_Chemicals!AC$73*SUM(GREET1_Import_Export!$B309:$C309)/1000000</f>
        <v>6.1128066216128438</v>
      </c>
      <c r="AD74" s="50"/>
      <c r="AO74" s="1318"/>
      <c r="AQ74" s="1318"/>
      <c r="AR74" s="1318"/>
      <c r="AT74" s="1318"/>
    </row>
    <row r="75" spans="1:58">
      <c r="A75" s="100" t="s">
        <v>817</v>
      </c>
      <c r="B75" s="1318">
        <f>Li_Chemicals!B$67*(1+(GREET1_Import_Export!$J181*GREET1_Import_Export!$L$179+GREET1_Import_Export!$L181)/1000000)+Li_Chemicals!B$68*(1+(GREET1_Import_Export!$J181*GREET1_Import_Export!$M$179+GREET1_Import_Export!$M181)/1000000)+Li_Chemicals!B$69*(1+(GREET1_Import_Export!$J181*GREET1_Import_Export!$K$179+GREET1_Import_Export!$K181)/1000000)+Li_Chemicals!B$70*(1+(GREET1_Import_Export!$J217*GREET1_Import_Export!$K$215+GREET1_Import_Export!$K217)/1000000)+Li_Chemicals!B$71*(1+GREET1_Import_Export!$G217/1000000)+Li_Chemicals!B$72*(1+GREET1_Import_Export!$D285/1000000)+Li_Chemicals!B$73*GREET1_Import_Export!$B343/1000000</f>
        <v>4.8317699397616032</v>
      </c>
      <c r="D75" s="1318">
        <f>SUM('GREET2_Factors_T&amp;D'!H54:I54)/1000000</f>
        <v>1.7658253527231091</v>
      </c>
      <c r="E75" s="234">
        <f>Li_Chemicals!E$67*(1+(GREET1_Import_Export!$B181*GREET1_Import_Export!$F$179+GREET1_Import_Export!$F181)/1000000)+Li_Chemicals!E$68*(1+(GREET1_Import_Export!$B181*GREET1_Import_Export!$G$179+GREET1_Import_Export!$G181)/1000000)+Li_Chemicals!E$69*(1+(GREET1_Import_Export!$B181*GREET1_Import_Export!$C$179+GREET1_Import_Export!$C181)/1000000)+Li_Chemicals!E$70*(1+(GREET1_Import_Export!$E217*GREET1_Import_Export!$F$215+GREET1_Import_Export!$F217)/1000000)+Li_Chemicals!E$71*(1+GREET1_Import_Export!$B217/1000000)+Li_Chemicals!E$72*(1+GREET1_Import_Export!$B285/1000000)+Li_Chemicals!E$73*SUM(GREET1_Import_Export!$B310:$C310)/1000000</f>
        <v>4.7916427759171372</v>
      </c>
      <c r="G75" s="235">
        <f>'GREET2_Factors_T&amp;D'!B54/1000000</f>
        <v>0.28021743669653953</v>
      </c>
      <c r="H75" s="1318">
        <f>Li_Chemicals!H$67*(1+(GREET1_Import_Export!$J181*GREET1_Import_Export!$L$179+GREET1_Import_Export!$L181)/1000000)+Li_Chemicals!H$68*(1+(GREET1_Import_Export!$J181*GREET1_Import_Export!$M$179+GREET1_Import_Export!$M181)/1000000)+Li_Chemicals!H$69*(1+(GREET1_Import_Export!$J181*GREET1_Import_Export!$K$179+GREET1_Import_Export!$K181)/1000000)+Li_Chemicals!H$70*(1+(GREET1_Import_Export!$J217*GREET1_Import_Export!$K$215+GREET1_Import_Export!$K217)/1000000)+Li_Chemicals!H$71*(1+GREET1_Import_Export!$G217/1000000)+Li_Chemicals!H$72*(1+GREET1_Import_Export!$D285/1000000)+Li_Chemicals!H$73*GREET1_Import_Export!$S343/1000000</f>
        <v>0.9718227024235091</v>
      </c>
      <c r="J75" s="235">
        <f>'GREET2_Factors_T&amp;D'!G54/1000000</f>
        <v>0.20175655442150844</v>
      </c>
      <c r="K75" s="1318">
        <f>Li_Chemicals!K$67*(1+(GREET1_Import_Export!$J181*GREET1_Import_Export!$L$179+GREET1_Import_Export!$L181)/1000000)+Li_Chemicals!K$68*(1+(GREET1_Import_Export!$J181*GREET1_Import_Export!$M$179+GREET1_Import_Export!$M181)/1000000)+Li_Chemicals!K$69*(1+(GREET1_Import_Export!$J181*GREET1_Import_Export!$K$179+GREET1_Import_Export!$K181)/1000000)+Li_Chemicals!K$70*(1+(GREET1_Import_Export!$J217*GREET1_Import_Export!$K$215+GREET1_Import_Export!$K217)/1000000)+Li_Chemicals!K$71*(1+GREET1_Import_Export!$G217/1000000)+Li_Chemicals!K$72*(1+GREET1_Import_Export!$D285/1000000)+Li_Chemicals!K$73*GREET1_Import_Export!$S343/1000000</f>
        <v>5.1431090948389642</v>
      </c>
      <c r="M75" s="235">
        <f>SUM('GREET2_Factors_T&amp;D'!J54:K54)/1000000</f>
        <v>1.1529477132205641</v>
      </c>
      <c r="N75" s="234">
        <f>Li_Chemicals!N$67*(1+(GREET1_Import_Export!$B181*GREET1_Import_Export!$F$179+GREET1_Import_Export!$F181)/1000000)+Li_Chemicals!N$68*(1+(GREET1_Import_Export!$B181*GREET1_Import_Export!$G$179+GREET1_Import_Export!$G181)/1000000)+Li_Chemicals!N$69*(1+(GREET1_Import_Export!$B181*GREET1_Import_Export!$C$179+GREET1_Import_Export!$C181)/1000000)+Li_Chemicals!N$70*(1+(GREET1_Import_Export!$E217*GREET1_Import_Export!$F$215+GREET1_Import_Export!$F217)/1000000)+Li_Chemicals!N$71*(1+GREET1_Import_Export!$B217/1000000)+Li_Chemicals!N$72*(1+GREET1_Import_Export!$B285/1000000)+Li_Chemicals!N$73*SUM(GREET1_Import_Export!$B310:$C310)/1000000</f>
        <v>44.404310014819409</v>
      </c>
      <c r="P75" s="1318">
        <f>SUM('GREET2_Factors_T&amp;D'!C54:D54)/1000000</f>
        <v>1.1798750616968625</v>
      </c>
      <c r="Q75" s="234">
        <f>Q$67*(1+(GREET1_Import_Export!$J181*GREET1_Import_Export!$L$179+GREET1_Import_Export!$L181)/1000000)
+Q$68*(1+(GREET1_Import_Export!$J181*GREET1_Import_Export!$M$179+GREET1_Import_Export!$M181)/1000000)
+Q$69*(1+(GREET1_Import_Export!$J181*GREET1_Import_Export!$K$179+GREET1_Import_Export!$K181)/1000000)
+Q$70*(1+(GREET1_Import_Export!$J217*GREET1_Import_Export!$K$215+GREET1_Import_Export!$K217)/1000000)
+Q$71*(1+GREET1_Import_Export!$G217/1000000)
+Q$72*(1+GREET1_Import_Export!$D285/1000000)
+Q$73*GREET1_Import_Export!$S343/1000000</f>
        <v>52.607712462959867</v>
      </c>
      <c r="R75" s="1"/>
      <c r="S75" s="235">
        <f>SUM('GREET2_Factors_T&amp;D'!Z54:AA54)/1000000</f>
        <v>1.1676471349490687</v>
      </c>
      <c r="T75" s="753">
        <f>T$67*(1+(GREET1_Import_Export!$B181*GREET1_Import_Export!$F$179+GREET1_Import_Export!$F181)/1000000)+T$68*(1+(GREET1_Import_Export!$B181*GREET1_Import_Export!$G$179+GREET1_Import_Export!$G181)/1000000)+T$69*(1+(GREET1_Import_Export!$B181*GREET1_Import_Export!$C$179+GREET1_Import_Export!$C181)/1000000)+T$70*(1+(GREET1_Import_Export!$E217*GREET1_Import_Export!$F$215+GREET1_Import_Export!$F217)/1000000)+T$71*(1+GREET1_Import_Export!$B217/1000000)+T$72*(1+GREET1_Import_Export!$B285/1000000)+T$73*GREET1_Import_Export!$D343/1000000</f>
        <v>4.5539618263155992</v>
      </c>
      <c r="U75" s="1288"/>
      <c r="V75" s="1463">
        <f>SUM('GREET2_Factors_T&amp;D'!AB54:AG54)/1000000</f>
        <v>0.85029622653093961</v>
      </c>
      <c r="W75" s="753">
        <f>W$67*(1+(GREET1_Import_Export!$B181*GREET1_Import_Export!$F$179+GREET1_Import_Export!$F181)/1000000)+W$68*(1+(GREET1_Import_Export!$B181*GREET1_Import_Export!$G$179+GREET1_Import_Export!$G181)/1000000)+W$69*(1+(GREET1_Import_Export!$B181*GREET1_Import_Export!$C$179+GREET1_Import_Export!$C181)/1000000)+W$70*(1+(GREET1_Import_Export!$E217*GREET1_Import_Export!$F$215+GREET1_Import_Export!$F217)/1000000)+W$71*(1+GREET1_Import_Export!$B217/1000000)+W$72*(1+GREET1_Import_Export!$B285/1000000)+W$73*GREET1_Import_Export!$L343/1000000</f>
        <v>131.78081958256146</v>
      </c>
      <c r="X75" s="1288"/>
      <c r="Y75" s="1082">
        <f>SUM('GREET2_Factors_T&amp;D'!AH54:AI54)/1000000</f>
        <v>0.10508153876120233</v>
      </c>
      <c r="Z75" s="1085">
        <f>Z$67*(1+(GREET1_Import_Export!$B181*GREET1_Import_Export!$F$179+GREET1_Import_Export!$F181)/1000000)+Z$68*(1+(GREET1_Import_Export!$B181*GREET1_Import_Export!$G$179+GREET1_Import_Export!$G181)/1000000)+Z$69*(1+(GREET1_Import_Export!$B181*GREET1_Import_Export!$C$179+GREET1_Import_Export!$C181)/1000000)+Z$70*(1+(GREET1_Import_Export!$E217*GREET1_Import_Export!$F$215+GREET1_Import_Export!$F217)/1000000)+Z$71*(1+GREET1_Import_Export!$B217/1000000)+Z$72*(1+GREET1_Import_Export!$B285/1000000)+Z$73*GREET1_Import_Export!$L343/1000000</f>
        <v>152.38105315342165</v>
      </c>
      <c r="AA75" s="1288"/>
      <c r="AB75" s="1082">
        <f>SUM('GREET2_Factors_T&amp;D'!AJ54:AK54)/1000000</f>
        <v>0.10508153876120233</v>
      </c>
      <c r="AC75" s="234">
        <f>Li_Chemicals!AC$67*(1+(GREET1_Import_Export!$B181*GREET1_Import_Export!$F$179+GREET1_Import_Export!$F181)/1000000)+Li_Chemicals!AC$68*(1+(GREET1_Import_Export!$B181*GREET1_Import_Export!$G$179+GREET1_Import_Export!$G181)/1000000)+Li_Chemicals!AC$69*(1+(GREET1_Import_Export!$B181*GREET1_Import_Export!$C$179+GREET1_Import_Export!$C181)/1000000)+Li_Chemicals!AC$70*(1+(GREET1_Import_Export!$E217*GREET1_Import_Export!$F$215+GREET1_Import_Export!$F217)/1000000)+Li_Chemicals!AC$71*(1+GREET1_Import_Export!$B217/1000000)+Li_Chemicals!AC$72*(1+GREET1_Import_Export!$B285/1000000)+Li_Chemicals!AC$73*SUM(GREET1_Import_Export!$B310:$C310)/1000000</f>
        <v>5.3787935138900878</v>
      </c>
      <c r="AD75" s="51"/>
      <c r="AO75" s="1318"/>
      <c r="AQ75" s="1318"/>
      <c r="AR75" s="1318"/>
      <c r="AT75" s="1318"/>
    </row>
    <row r="76" spans="1:58">
      <c r="A76" s="100" t="s">
        <v>805</v>
      </c>
      <c r="B76" s="1318">
        <f>Li_Chemicals!B$67*((GREET1_Import_Export!$J182*GREET1_Import_Export!$L$179+GREET1_Import_Export!$L182)/1000000)+Li_Chemicals!B$68*((GREET1_Import_Export!$J182*GREET1_Import_Export!$M$179+GREET1_Import_Export!$M182)/1000000)+Li_Chemicals!B$69*((GREET1_Import_Export!$J182*GREET1_Import_Export!$K$179+GREET1_Import_Export!$K182)/1000000)+Li_Chemicals!B$70*((GREET1_Import_Export!$J218*GREET1_Import_Export!$K$215+GREET1_Import_Export!$K218)/1000000)+Li_Chemicals!B$71*(GREET1_Import_Export!$G218/1000000)+Li_Chemicals!B$72*(1+GREET1_Import_Export!$D286/1000000)+Li_Chemicals!B$73*(GREET1_Import_Export!$B344/1000000)</f>
        <v>4.2366903221336036</v>
      </c>
      <c r="D76" s="1318">
        <f>SUM('GREET2_Factors_T&amp;D'!H55:I55)/1000000</f>
        <v>1.0421153695175741E-2</v>
      </c>
      <c r="E76" s="234">
        <f>Li_Chemicals!E$67*((GREET1_Import_Export!$B182*GREET1_Import_Export!$F$179+GREET1_Import_Export!$F182)/1000000)+Li_Chemicals!E$68*((GREET1_Import_Export!$B182*GREET1_Import_Export!$G$179+GREET1_Import_Export!$G182)/1000000)+Li_Chemicals!E$69*((GREET1_Import_Export!$B182*GREET1_Import_Export!$C$179+GREET1_Import_Export!$C182)/1000000)+Li_Chemicals!E$70*((GREET1_Import_Export!$E218*GREET1_Import_Export!$F$215+GREET1_Import_Export!$F218)/1000000)+Li_Chemicals!E$71*(GREET1_Import_Export!$B218/1000000)+Li_Chemicals!E$72*(1+GREET1_Import_Export!$B286/1000000)+Li_Chemicals!E$73*(SUM(GREET1_Import_Export!$B311:$C311)/1000000)</f>
        <v>4.2365673524531564</v>
      </c>
      <c r="G76" s="235">
        <f>'GREET2_Factors_T&amp;D'!B55/1000000</f>
        <v>1.7209468927527379E-3</v>
      </c>
      <c r="H76" s="1318">
        <f>Li_Chemicals!H$67*((GREET1_Import_Export!$J182*GREET1_Import_Export!$L$179+GREET1_Import_Export!$L182)/1000000)+Li_Chemicals!H$68*((GREET1_Import_Export!$J182*GREET1_Import_Export!$M$179+GREET1_Import_Export!$M182)/1000000)+Li_Chemicals!H$69*((GREET1_Import_Export!$J182*GREET1_Import_Export!$K$179+GREET1_Import_Export!$K182)/1000000)+Li_Chemicals!H$70*((GREET1_Import_Export!$J218*GREET1_Import_Export!$K$215+GREET1_Import_Export!$K218)/1000000)+Li_Chemicals!H$71*(GREET1_Import_Export!$G218/1000000)+Li_Chemicals!H$72*(1+GREET1_Import_Export!$D286/1000000)+Li_Chemicals!H$73*(GREET1_Import_Export!$S344/1000000)</f>
        <v>0.4523909051387367</v>
      </c>
      <c r="J76" s="235">
        <f>'GREET2_Factors_T&amp;D'!G55/1000000</f>
        <v>1.2390817627819712E-3</v>
      </c>
      <c r="K76" s="1318">
        <f>Li_Chemicals!K$67*((GREET1_Import_Export!$J182*GREET1_Import_Export!$L$179+GREET1_Import_Export!$L182)/1000000)+Li_Chemicals!K$68*((GREET1_Import_Export!$J182*GREET1_Import_Export!$M$179+GREET1_Import_Export!$M182)/1000000)+Li_Chemicals!K$69*((GREET1_Import_Export!$J182*GREET1_Import_Export!$K$179+GREET1_Import_Export!$K182)/1000000)+Li_Chemicals!K$70*((GREET1_Import_Export!$J218*GREET1_Import_Export!$K$215+GREET1_Import_Export!$K218)/1000000)+Li_Chemicals!K$71*(GREET1_Import_Export!$G218/1000000)+Li_Chemicals!K$72*(1+GREET1_Import_Export!$D286/1000000)+Li_Chemicals!K$73*(GREET1_Import_Export!$S344/1000000)</f>
        <v>1.4370331635660494</v>
      </c>
      <c r="M76" s="235">
        <f>SUM('GREET2_Factors_T&amp;D'!J55:K55)/1000000</f>
        <v>6.2570669180931297E-3</v>
      </c>
      <c r="N76" s="234">
        <f>Li_Chemicals!N$67*((GREET1_Import_Export!$B182*GREET1_Import_Export!$F$179+GREET1_Import_Export!$F182)/1000000)+Li_Chemicals!N$68*((GREET1_Import_Export!$B182*GREET1_Import_Export!$G$179+GREET1_Import_Export!$G182)/1000000)+Li_Chemicals!N$69*((GREET1_Import_Export!$B182*GREET1_Import_Export!$C$179+GREET1_Import_Export!$C182)/1000000)+Li_Chemicals!N$70*((GREET1_Import_Export!$E218*GREET1_Import_Export!$F$215+GREET1_Import_Export!$F218)/1000000)+Li_Chemicals!N$71*(GREET1_Import_Export!$B218/1000000)+Li_Chemicals!N$72*(1+GREET1_Import_Export!$B286/1000000)+Li_Chemicals!N$73*(SUM(GREET1_Import_Export!$B311:$C311)/1000000)</f>
        <v>0.23796978448243036</v>
      </c>
      <c r="P76" s="1318">
        <f>SUM('GREET2_Factors_T&amp;D'!C55:D55)/1000000</f>
        <v>7.2461669238041947E-3</v>
      </c>
      <c r="Q76" s="234">
        <f>Q$67*((GREET1_Import_Export!$J182*GREET1_Import_Export!$L$179+GREET1_Import_Export!$L182)/1000000)
+Q$68*((GREET1_Import_Export!$J182*GREET1_Import_Export!$M$179+GREET1_Import_Export!$M182)/1000000)
+Q$69*((GREET1_Import_Export!$J182*GREET1_Import_Export!$K$179+GREET1_Import_Export!$K182)/1000000)
+Q$70*((GREET1_Import_Export!$J218*GREET1_Import_Export!$K$215+GREET1_Import_Export!$K218)/1000000)
+Q$71*(GREET1_Import_Export!$G218/1000000)
+Q$72*(1+GREET1_Import_Export!$D286/1000000)
+Q$73*GREET1_Import_Export!$S344/1000000</f>
        <v>8.4412139278122549</v>
      </c>
      <c r="R76" s="1"/>
      <c r="S76" s="235">
        <f>SUM('GREET2_Factors_T&amp;D'!Z55:AA55)/1000000</f>
        <v>6.3365118761396968E-3</v>
      </c>
      <c r="T76" s="753">
        <f>T$67*((GREET1_Import_Export!$B182*GREET1_Import_Export!$F$179+GREET1_Import_Export!$F182)/1000000)+T$68*((GREET1_Import_Export!$B182*GREET1_Import_Export!$G$179+GREET1_Import_Export!$G182)/1000000)+T$69*((GREET1_Import_Export!$B182*GREET1_Import_Export!$C$179+GREET1_Import_Export!$C182)/1000000)+T$70*((GREET1_Import_Export!$E218*GREET1_Import_Export!$F$215+GREET1_Import_Export!$F218)/1000000)+T$71*(GREET1_Import_Export!$B218/1000000)+T$72*(1+GREET1_Import_Export!$B286/1000000)+T$73*GREET1_Import_Export!$D344/1000000</f>
        <v>2.7968018504143276E-2</v>
      </c>
      <c r="U76" s="1288"/>
      <c r="V76" s="1463">
        <f>SUM('GREET2_Factors_T&amp;D'!AB55:AG55)/1000000</f>
        <v>4.8482956945814504E-3</v>
      </c>
      <c r="W76" s="753">
        <f>W$67*((GREET1_Import_Export!$B182*GREET1_Import_Export!$F$179+GREET1_Import_Export!$F182)/1000000)+W$68*((GREET1_Import_Export!$B182*GREET1_Import_Export!$G$179+GREET1_Import_Export!$G182)/1000000)+W$69*((GREET1_Import_Export!$B182*GREET1_Import_Export!$C$179+GREET1_Import_Export!$C182)/1000000)+W$70*((GREET1_Import_Export!$E218*GREET1_Import_Export!$F$215+GREET1_Import_Export!$F218)/1000000)+W$71*(GREET1_Import_Export!$B218/1000000)+W$72*(1+GREET1_Import_Export!$B286/1000000)+W$73*GREET1_Import_Export!$L344/1000000</f>
        <v>128.96099621012942</v>
      </c>
      <c r="X76" s="1288"/>
      <c r="Y76" s="1082">
        <f>SUM('GREET2_Factors_T&amp;D'!AH55:AI55)/1000000</f>
        <v>6.4535508478227681E-4</v>
      </c>
      <c r="Z76" s="1085">
        <f>Z$67*((GREET1_Import_Export!$B182*GREET1_Import_Export!$F$179+GREET1_Import_Export!$F182)/1000000)+Z$68*((GREET1_Import_Export!$B182*GREET1_Import_Export!$G$179+GREET1_Import_Export!$G182)/1000000)+Z$69*((GREET1_Import_Export!$B182*GREET1_Import_Export!$C$179+GREET1_Import_Export!$C182)/1000000)+Z$70*((GREET1_Import_Export!$E218*GREET1_Import_Export!$F$215+GREET1_Import_Export!$F218)/1000000)+Z$71*(GREET1_Import_Export!$B218/1000000)+Z$72*(1+GREET1_Import_Export!$B286/1000000)+Z$73*GREET1_Import_Export!$L344/1000000</f>
        <v>148.28139566060983</v>
      </c>
      <c r="AA76" s="1288"/>
      <c r="AB76" s="1082">
        <f>SUM('GREET2_Factors_T&amp;D'!AJ55:AK55)/1000000</f>
        <v>6.4535508478227681E-4</v>
      </c>
      <c r="AC76" s="234">
        <f>Li_Chemicals!AC$67*((GREET1_Import_Export!$B182*GREET1_Import_Export!$F$179+GREET1_Import_Export!$F182)/1000000)+Li_Chemicals!AC$68*((GREET1_Import_Export!$B182*GREET1_Import_Export!$G$179+GREET1_Import_Export!$G182)/1000000)+Li_Chemicals!AC$69*((GREET1_Import_Export!$B182*GREET1_Import_Export!$C$179+GREET1_Import_Export!$C182)/1000000)+Li_Chemicals!AC$70*((GREET1_Import_Export!$E218*GREET1_Import_Export!$F$215+GREET1_Import_Export!$F218)/1000000)+Li_Chemicals!AC$71*(GREET1_Import_Export!$B218/1000000)+Li_Chemicals!AC$72*(1+GREET1_Import_Export!$B286/1000000)+Li_Chemicals!AC$73*(SUM(GREET1_Import_Export!$B311:$C311)/1000000)</f>
        <v>0.97024506373717068</v>
      </c>
      <c r="AD76" s="51"/>
      <c r="AO76" s="1318"/>
      <c r="AQ76" s="1318"/>
      <c r="AR76" s="1318"/>
      <c r="AT76" s="1318"/>
    </row>
    <row r="77" spans="1:58">
      <c r="A77" s="100" t="s">
        <v>804</v>
      </c>
      <c r="B77" s="1318">
        <f>Li_Chemicals!B$67*((GREET1_Import_Export!$J183*GREET1_Import_Export!$L$179+GREET1_Import_Export!$L183)/1000000)+Li_Chemicals!B$68*((GREET1_Import_Export!$J183*GREET1_Import_Export!$M$179+GREET1_Import_Export!$M183)/1000000)+Li_Chemicals!B$69*((GREET1_Import_Export!$J183*GREET1_Import_Export!$K$179+GREET1_Import_Export!$K183)/1000000)+Li_Chemicals!B$70*(1+(GREET1_Import_Export!$J219*GREET1_Import_Export!$K$215+GREET1_Import_Export!$K219)/1000000)+Li_Chemicals!B$71*(1+GREET1_Import_Export!$G219/1000000)+Li_Chemicals!B$72*(GREET1_Import_Export!$D287/1000000)+Li_Chemicals!B$73*GREET1_Import_Export!$B345/1000000</f>
        <v>4.7045376506892812E-2</v>
      </c>
      <c r="D77" s="1318">
        <f>SUM('GREET2_Factors_T&amp;D'!H56:I56)/1000000</f>
        <v>0.16505945570947475</v>
      </c>
      <c r="E77" s="234">
        <f>Li_Chemicals!E$67*((GREET1_Import_Export!$B183*GREET1_Import_Export!$F$179+GREET1_Import_Export!$F183)/1000000)+Li_Chemicals!E$68*((GREET1_Import_Export!$B183*GREET1_Import_Export!$G$179+GREET1_Import_Export!$G183)/1000000)+Li_Chemicals!E$69*((GREET1_Import_Export!$B183*GREET1_Import_Export!$C$179+GREET1_Import_Export!$C183)/1000000)+Li_Chemicals!E$70*(1+(GREET1_Import_Export!$E219*GREET1_Import_Export!$F$215+GREET1_Import_Export!$F219)/1000000)+Li_Chemicals!E$71*(1+GREET1_Import_Export!$B219/1000000)+Li_Chemicals!E$72*(GREET1_Import_Export!$B287/1000000)+Li_Chemicals!E$73*SUM(GREET1_Import_Export!$B312:$C312)/1000000</f>
        <v>4.9531114743048645E-2</v>
      </c>
      <c r="G77" s="235">
        <f>'GREET2_Factors_T&amp;D'!B56/1000000</f>
        <v>2.9348389985402405E-2</v>
      </c>
      <c r="H77" s="1318">
        <f>Li_Chemicals!H$67*((GREET1_Import_Export!$J183*GREET1_Import_Export!$L$179+GREET1_Import_Export!$L183)/1000000)+Li_Chemicals!H$68*((GREET1_Import_Export!$J183*GREET1_Import_Export!$M$179+GREET1_Import_Export!$M183)/1000000)+Li_Chemicals!H$69*((GREET1_Import_Export!$J183*GREET1_Import_Export!$K$179+GREET1_Import_Export!$K183)/1000000)+Li_Chemicals!H$70*(1+(GREET1_Import_Export!$J219*GREET1_Import_Export!$K$215+GREET1_Import_Export!$K219)/1000000)+Li_Chemicals!H$71*(1+GREET1_Import_Export!$G219/1000000)+Li_Chemicals!H$72*(GREET1_Import_Export!$D287/1000000)+Li_Chemicals!H$73*GREET1_Import_Export!$S345/1000000</f>
        <v>0.189719691476887</v>
      </c>
      <c r="J77" s="235">
        <f>'GREET2_Factors_T&amp;D'!G56/1000000</f>
        <v>2.1130840789489711E-2</v>
      </c>
      <c r="K77" s="1318">
        <f>Li_Chemicals!K$67*((GREET1_Import_Export!$J183*GREET1_Import_Export!$L$179+GREET1_Import_Export!$L183)/1000000)+Li_Chemicals!K$68*((GREET1_Import_Export!$J183*GREET1_Import_Export!$M$179+GREET1_Import_Export!$M183)/1000000)+Li_Chemicals!K$69*((GREET1_Import_Export!$J183*GREET1_Import_Export!$K$179+GREET1_Import_Export!$K183)/1000000)+Li_Chemicals!K$70*(1+(GREET1_Import_Export!$J219*GREET1_Import_Export!$K$215+GREET1_Import_Export!$K219)/1000000)+Li_Chemicals!K$71*(1+GREET1_Import_Export!$G219/1000000)+Li_Chemicals!K$72*(GREET1_Import_Export!$D287/1000000)+Li_Chemicals!K$73*GREET1_Import_Export!$S345/1000000</f>
        <v>3.223295595098695</v>
      </c>
      <c r="M77" s="235">
        <f>SUM('GREET2_Factors_T&amp;D'!J56:K56)/1000000</f>
        <v>8.2089654874406198E-2</v>
      </c>
      <c r="N77" s="234">
        <f>Li_Chemicals!N$67*((GREET1_Import_Export!$B183*GREET1_Import_Export!$F$179+GREET1_Import_Export!$F183)/1000000)+Li_Chemicals!N$68*((GREET1_Import_Export!$B183*GREET1_Import_Export!$G$179+GREET1_Import_Export!$G183)/1000000)+Li_Chemicals!N$69*((GREET1_Import_Export!$B183*GREET1_Import_Export!$C$179+GREET1_Import_Export!$C183)/1000000)+Li_Chemicals!N$70*(1+(GREET1_Import_Export!$E219*GREET1_Import_Export!$F$215+GREET1_Import_Export!$F219)/1000000)+Li_Chemicals!N$71*(1+GREET1_Import_Export!$B219/1000000)+Li_Chemicals!N$72*(GREET1_Import_Export!$B287/1000000)+Li_Chemicals!N$73*SUM(GREET1_Import_Export!$B312:$C312)/1000000</f>
        <v>5.3506293474283764</v>
      </c>
      <c r="P77" s="1318">
        <f>SUM('GREET2_Factors_T&amp;D'!C56:D56)/1000000</f>
        <v>0.12357344301250571</v>
      </c>
      <c r="Q77" s="234">
        <f>Q$67*((GREET1_Import_Export!$J183*GREET1_Import_Export!$L$179+GREET1_Import_Export!$L183)/1000000)
+Q$68*((GREET1_Import_Export!$J183*GREET1_Import_Export!$M$179+GREET1_Import_Export!$M183)/1000000)
+Q$69*((GREET1_Import_Export!$J183*GREET1_Import_Export!$K$179+GREET1_Import_Export!$K183)/1000000)
+Q$70*(1+(GREET1_Import_Export!$J219*GREET1_Import_Export!$K$215+GREET1_Import_Export!$K219)/1000000)
+Q$71*(1+GREET1_Import_Export!$G219/1000000)
+Q$72*(GREET1_Import_Export!$D287/1000000)
+Q$73*GREET1_Import_Export!$S345/1000000</f>
        <v>38.647464697091976</v>
      </c>
      <c r="R77" s="1"/>
      <c r="S77" s="235">
        <f>SUM('GREET2_Factors_T&amp;D'!Z56:AA56)/1000000</f>
        <v>8.3120805905883E-2</v>
      </c>
      <c r="T77" s="753">
        <f>T$67*((GREET1_Import_Export!$B183*GREET1_Import_Export!$F$179+GREET1_Import_Export!$F183)/1000000)+T$68*((GREET1_Import_Export!$B183*GREET1_Import_Export!$G$179+GREET1_Import_Export!$G183)/1000000)+T$69*((GREET1_Import_Export!$B183*GREET1_Import_Export!$C$179+GREET1_Import_Export!$C183)/1000000)+T$70*(1+(GREET1_Import_Export!$E219*GREET1_Import_Export!$F$215+GREET1_Import_Export!$F219)/1000000)+T$71*(1+GREET1_Import_Export!$B219/1000000)+T$72*(GREET1_Import_Export!$B287/1000000)+T$73*GREET1_Import_Export!$D345/1000000</f>
        <v>0.47695621383505371</v>
      </c>
      <c r="U77" s="1288"/>
      <c r="V77" s="1463">
        <f>SUM('GREET2_Factors_T&amp;D'!AB56:AG56)/1000000</f>
        <v>7.1511300543432396E-2</v>
      </c>
      <c r="W77" s="753">
        <f>W$67*((GREET1_Import_Export!$B183*GREET1_Import_Export!$F$179+GREET1_Import_Export!$F183)/1000000)+W$68*((GREET1_Import_Export!$B183*GREET1_Import_Export!$G$179+GREET1_Import_Export!$G183)/1000000)+W$69*((GREET1_Import_Export!$B183*GREET1_Import_Export!$C$179+GREET1_Import_Export!$C183)/1000000)+W$70*(1+(GREET1_Import_Export!$E219*GREET1_Import_Export!$F$215+GREET1_Import_Export!$F219)/1000000)+W$71*(1+GREET1_Import_Export!$B219/1000000)+W$72*(GREET1_Import_Export!$B287/1000000)+W$73*GREET1_Import_Export!$L345/1000000</f>
        <v>0.80483966009652774</v>
      </c>
      <c r="X77" s="1288"/>
      <c r="Y77" s="1082">
        <f>SUM('GREET2_Factors_T&amp;D'!AH56:AI56)/1000000</f>
        <v>1.100564624452588E-2</v>
      </c>
      <c r="Z77" s="1085">
        <f>Z$67*((GREET1_Import_Export!$B183*GREET1_Import_Export!$F$179+GREET1_Import_Export!$F183)/1000000)+Z$68*((GREET1_Import_Export!$B183*GREET1_Import_Export!$G$179+GREET1_Import_Export!$G183)/1000000)+Z$69*((GREET1_Import_Export!$B183*GREET1_Import_Export!$C$179+GREET1_Import_Export!$C183)/1000000)+Z$70*(1+(GREET1_Import_Export!$E219*GREET1_Import_Export!$F$215+GREET1_Import_Export!$F219)/1000000)+Z$71*(1+GREET1_Import_Export!$B219/1000000)+Z$72*(GREET1_Import_Export!$B287/1000000)+Z$73*GREET1_Import_Export!$L345/1000000</f>
        <v>1.6934759969667161</v>
      </c>
      <c r="AA77" s="1288"/>
      <c r="AB77" s="1082">
        <f>SUM('GREET2_Factors_T&amp;D'!AJ56:AK56)/1000000</f>
        <v>1.100564624452588E-2</v>
      </c>
      <c r="AC77" s="234">
        <f>Li_Chemicals!AC$67*((GREET1_Import_Export!$B183*GREET1_Import_Export!$F$179+GREET1_Import_Export!$F183)/1000000)+Li_Chemicals!AC$68*((GREET1_Import_Export!$B183*GREET1_Import_Export!$G$179+GREET1_Import_Export!$G183)/1000000)+Li_Chemicals!AC$69*((GREET1_Import_Export!$B183*GREET1_Import_Export!$C$179+GREET1_Import_Export!$C183)/1000000)+Li_Chemicals!AC$70*(1+(GREET1_Import_Export!$E219*GREET1_Import_Export!$F$215+GREET1_Import_Export!$F219)/1000000)+Li_Chemicals!AC$71*(1+GREET1_Import_Export!$B219/1000000)+Li_Chemicals!AC$72*(GREET1_Import_Export!$B287/1000000)+Li_Chemicals!AC$73*SUM(GREET1_Import_Export!$B312:$C312)/1000000</f>
        <v>4.1530808648828295</v>
      </c>
      <c r="AD77" s="51"/>
      <c r="AO77" s="1318"/>
      <c r="AQ77" s="1318"/>
      <c r="AR77" s="1318"/>
      <c r="AT77" s="1318"/>
    </row>
    <row r="78" spans="1:58">
      <c r="A78" s="100" t="s">
        <v>818</v>
      </c>
      <c r="B78" s="231">
        <f>Li_Chemicals!B$67*(1+(GREET1_Import_Export!$J184*GREET1_Import_Export!$L$179+GREET1_Import_Export!$L184)/1000000)+Li_Chemicals!B$68*(1+(GREET1_Import_Export!$J184*GREET1_Import_Export!$M$179+GREET1_Import_Export!$M184)/1000000)+Li_Chemicals!B$69*(1+(GREET1_Import_Export!$J184*GREET1_Import_Export!$K$179+GREET1_Import_Export!$K184)/1000000)+Li_Chemicals!B$70*((GREET1_Import_Export!$J220*GREET1_Import_Export!$K$215+GREET1_Import_Export!$K220)/1000000)+Li_Chemicals!B$71*(GREET1_Import_Export!$G220/1000000)+Li_Chemicals!B$72*(GREET1_Import_Export!$D288/1000000)+Li_Chemicals!B$73*GREET1_Import_Export!$B346/1000000</f>
        <v>0.54803424112110577</v>
      </c>
      <c r="C78" s="125"/>
      <c r="D78" s="231">
        <f>SUM('GREET2_Factors_T&amp;D'!H57:I57)/1000000</f>
        <v>1.5903447433184585</v>
      </c>
      <c r="E78" s="249">
        <f>Li_Chemicals!E$67*(1+(GREET1_Import_Export!$B184*GREET1_Import_Export!$F$179+GREET1_Import_Export!$F184)/1000000)+Li_Chemicals!E$68*(1+(GREET1_Import_Export!$B184*GREET1_Import_Export!$G$179+GREET1_Import_Export!$G184)/1000000)+Li_Chemicals!E$69*(1+(GREET1_Import_Export!$B184*GREET1_Import_Export!$C$179+GREET1_Import_Export!$C184)/1000000)+Li_Chemicals!E$70*((GREET1_Import_Export!$E220*GREET1_Import_Export!$F$215+GREET1_Import_Export!$F220)/1000000)+Li_Chemicals!E$71*(GREET1_Import_Export!$B220/1000000)+Li_Chemicals!E$72*(GREET1_Import_Export!$B288/1000000)+Li_Chemicals!E$73*SUM(GREET1_Import_Export!$B313:$C313)/1000000</f>
        <v>0.5055443087209327</v>
      </c>
      <c r="F78" s="125"/>
      <c r="G78" s="237">
        <f>'GREET2_Factors_T&amp;D'!B57/1000000</f>
        <v>0.2491480998183844</v>
      </c>
      <c r="H78" s="231">
        <f>Li_Chemicals!H$67*(1+(GREET1_Import_Export!$J184*GREET1_Import_Export!$L$179+GREET1_Import_Export!$L184)/1000000)+Li_Chemicals!H$68*(1+(GREET1_Import_Export!$J184*GREET1_Import_Export!$M$179+GREET1_Import_Export!$M184)/1000000)+Li_Chemicals!H$69*(1+(GREET1_Import_Export!$J184*GREET1_Import_Export!$K$179+GREET1_Import_Export!$K184)/1000000)+Li_Chemicals!H$70*((GREET1_Import_Export!$J220*GREET1_Import_Export!$K$215+GREET1_Import_Export!$K220)/1000000)+Li_Chemicals!H$71*(GREET1_Import_Export!$G220/1000000)+Li_Chemicals!H$72*(GREET1_Import_Export!$D288/1000000)+Li_Chemicals!H$73*GREET1_Import_Export!$S346/1000000</f>
        <v>0.32971210580788535</v>
      </c>
      <c r="I78" s="125"/>
      <c r="J78" s="237">
        <f>'GREET2_Factors_T&amp;D'!G57/1000000</f>
        <v>0.17938663186923676</v>
      </c>
      <c r="K78" s="231">
        <f>Li_Chemicals!K$67*(1+(GREET1_Import_Export!$J184*GREET1_Import_Export!$L$179+GREET1_Import_Export!$L184)/1000000)+Li_Chemicals!K$68*(1+(GREET1_Import_Export!$J184*GREET1_Import_Export!$M$179+GREET1_Import_Export!$M184)/1000000)+Li_Chemicals!K$69*(1+(GREET1_Import_Export!$J184*GREET1_Import_Export!$K$179+GREET1_Import_Export!$K184)/1000000)+Li_Chemicals!K$70*((GREET1_Import_Export!$J220*GREET1_Import_Export!$K$215+GREET1_Import_Export!$K220)/1000000)+Li_Chemicals!K$71*(GREET1_Import_Export!$G220/1000000)+Li_Chemicals!K$72*(GREET1_Import_Export!$D288/1000000)+Li_Chemicals!K$73*GREET1_Import_Export!$S346/1000000</f>
        <v>0.48278033617421978</v>
      </c>
      <c r="L78" s="125"/>
      <c r="M78" s="237">
        <f>SUM('GREET2_Factors_T&amp;D'!J57:K57)/1000000</f>
        <v>1.064600991428065</v>
      </c>
      <c r="N78" s="249">
        <f>Li_Chemicals!N$67*(1+(GREET1_Import_Export!$B184*GREET1_Import_Export!$F$179+GREET1_Import_Export!$F184)/1000000)+Li_Chemicals!N$68*(1+(GREET1_Import_Export!$B184*GREET1_Import_Export!$G$179+GREET1_Import_Export!$G184)/1000000)+Li_Chemicals!N$69*(1+(GREET1_Import_Export!$B184*GREET1_Import_Export!$C$179+GREET1_Import_Export!$C184)/1000000)+Li_Chemicals!N$70*((GREET1_Import_Export!$E220*GREET1_Import_Export!$F$215+GREET1_Import_Export!$F220)/1000000)+Li_Chemicals!N$71*(GREET1_Import_Export!$B220/1000000)+Li_Chemicals!N$72*(GREET1_Import_Export!$B288/1000000)+Li_Chemicals!N$73*SUM(GREET1_Import_Export!$B313:$C313)/1000000</f>
        <v>38.815710882908597</v>
      </c>
      <c r="O78" s="125"/>
      <c r="P78" s="231">
        <f>SUM('GREET2_Factors_T&amp;D'!C57:D57)/1000000</f>
        <v>1.0490554517605528</v>
      </c>
      <c r="Q78" s="249">
        <f>Q$67*(1+(GREET1_Import_Export!$J184*GREET1_Import_Export!$L$179+GREET1_Import_Export!$L184)/1000000)
+Q$68*(1+(GREET1_Import_Export!$J184*GREET1_Import_Export!$M$179+GREET1_Import_Export!$M184)/1000000)
+Q$69*(1+(GREET1_Import_Export!$J184*GREET1_Import_Export!$K$179+GREET1_Import_Export!$K184)/1000000)
+Q$70*((GREET1_Import_Export!$J220*GREET1_Import_Export!$K$215+GREET1_Import_Export!$K220)/1000000)
+Q$71*(GREET1_Import_Export!$G220/1000000)
+Q$72*(GREET1_Import_Export!$D288/1000000)
+Q$73*GREET1_Import_Export!$S346/1000000</f>
        <v>5.5190338380556581</v>
      </c>
      <c r="R78" s="125"/>
      <c r="S78" s="237">
        <f>SUM('GREET2_Factors_T&amp;D'!Z57:AA57)/1000000</f>
        <v>1.0781898171670463</v>
      </c>
      <c r="T78" s="748">
        <f>T$67*(1+(GREET1_Import_Export!$B184*GREET1_Import_Export!$F$179+GREET1_Import_Export!$F184)/1000000)+T$68*(1+(GREET1_Import_Export!$B184*GREET1_Import_Export!$G$179+GREET1_Import_Export!$G184)/1000000)+T$69*(1+(GREET1_Import_Export!$B184*GREET1_Import_Export!$C$179+GREET1_Import_Export!$C184)/1000000)+T$70*((GREET1_Import_Export!$E220*GREET1_Import_Export!$F$215+GREET1_Import_Export!$F220)/1000000)+T$71*(GREET1_Import_Export!$B220/1000000)+T$72*(GREET1_Import_Export!$B288/1000000)+T$73*GREET1_Import_Export!$D346/1000000</f>
        <v>4.0490375939764016</v>
      </c>
      <c r="U78" s="1070"/>
      <c r="V78" s="1069">
        <f>SUM('GREET2_Factors_T&amp;D'!AB57:AG57)/1000000</f>
        <v>0.7739366302929257</v>
      </c>
      <c r="W78" s="748">
        <f>W$67*(1+(GREET1_Import_Export!$B184*GREET1_Import_Export!$F$179+GREET1_Import_Export!$F184)/1000000)+W$68*(1+(GREET1_Import_Export!$B184*GREET1_Import_Export!$G$179+GREET1_Import_Export!$G184)/1000000)+W$69*(1+(GREET1_Import_Export!$B184*GREET1_Import_Export!$C$179+GREET1_Import_Export!$C184)/1000000)+W$70*((GREET1_Import_Export!$E220*GREET1_Import_Export!$F$215+GREET1_Import_Export!$F220)/1000000)+W$71*(GREET1_Import_Export!$B220/1000000)+W$72*(GREET1_Import_Export!$B288/1000000)+W$73*GREET1_Import_Export!$L346/1000000</f>
        <v>2.0149837123355234</v>
      </c>
      <c r="X78" s="1070"/>
      <c r="Y78" s="1083">
        <f>SUM('GREET2_Factors_T&amp;D'!AH57:AI57)/1000000</f>
        <v>9.3430537431894167E-2</v>
      </c>
      <c r="Z78" s="1251">
        <f>Z$67*(1+(GREET1_Import_Export!$B184*GREET1_Import_Export!$F$179+GREET1_Import_Export!$F184)/1000000)+Z$68*(1+(GREET1_Import_Export!$B184*GREET1_Import_Export!$G$179+GREET1_Import_Export!$G184)/1000000)+Z$69*(1+(GREET1_Import_Export!$B184*GREET1_Import_Export!$C$179+GREET1_Import_Export!$C184)/1000000)+Z$70*((GREET1_Import_Export!$E220*GREET1_Import_Export!$F$215+GREET1_Import_Export!$F220)/1000000)+Z$71*(GREET1_Import_Export!$B220/1000000)+Z$72*(GREET1_Import_Export!$B288/1000000)+Z$73*GREET1_Import_Export!$L346/1000000</f>
        <v>2.4061814958451331</v>
      </c>
      <c r="AA78" s="1070"/>
      <c r="AB78" s="1083">
        <f>SUM('GREET2_Factors_T&amp;D'!AJ57:AK57)/1000000</f>
        <v>9.3430537431894167E-2</v>
      </c>
      <c r="AC78" s="249">
        <f>Li_Chemicals!AC$67*(1+(GREET1_Import_Export!$B184*GREET1_Import_Export!$F$179+GREET1_Import_Export!$F184)/1000000)+Li_Chemicals!AC$68*(1+(GREET1_Import_Export!$B184*GREET1_Import_Export!$G$179+GREET1_Import_Export!$G184)/1000000)+Li_Chemicals!AC$69*(1+(GREET1_Import_Export!$B184*GREET1_Import_Export!$C$179+GREET1_Import_Export!$C184)/1000000)+Li_Chemicals!AC$70*((GREET1_Import_Export!$E220*GREET1_Import_Export!$F$215+GREET1_Import_Export!$F220)/1000000)+Li_Chemicals!AC$71*(GREET1_Import_Export!$B220/1000000)+Li_Chemicals!AC$72*(GREET1_Import_Export!$B288/1000000)+Li_Chemicals!AC$73*SUM(GREET1_Import_Export!$B313:$C313)/1000000</f>
        <v>0.25546758527008739</v>
      </c>
      <c r="AD78" s="85"/>
      <c r="AO78" s="1318"/>
      <c r="AQ78" s="1318"/>
      <c r="AR78" s="1318"/>
      <c r="AT78" s="1318"/>
    </row>
    <row r="79" spans="1:58" s="631" customFormat="1">
      <c r="A79" s="1309" t="s">
        <v>819</v>
      </c>
      <c r="B79" s="1309">
        <f>Li_Chemicals!B$67*((GREET1_Import_Export!$J185*GREET1_Import_Export!$L$179+GREET1_Import_Export!$L185))+Li_Chemicals!B$68*((GREET1_Import_Export!$J185*GREET1_Import_Export!$M$179+GREET1_Import_Export!$M185))+Li_Chemicals!B$69*((GREET1_Import_Export!$J185*GREET1_Import_Export!$K$179+GREET1_Import_Export!$K185))+Li_Chemicals!B$70*((GREET1_Import_Export!$J221*GREET1_Import_Export!$K$215+GREET1_Import_Export!$K221))+Li_Chemicals!B$71*(GREET1_Import_Export!$G221)+Li_Chemicals!B$72*(GREET1_Import_Export!$D289)+Li_Chemicals!B$73*GREET1_Import_Export!$B347</f>
        <v>26.525683466518785</v>
      </c>
      <c r="C79" s="1310"/>
      <c r="D79" s="1310">
        <f>SUM('GREET2_Factors_T&amp;D'!H58:I58)</f>
        <v>32.387073809397378</v>
      </c>
      <c r="E79" s="250">
        <f>Li_Chemicals!E$67*((GREET1_Import_Export!$B185*GREET1_Import_Export!$F$179+GREET1_Import_Export!$F185))+Li_Chemicals!E$68*((GREET1_Import_Export!$B185*GREET1_Import_Export!$G$179+GREET1_Import_Export!$G185))+Li_Chemicals!E$69*((GREET1_Import_Export!$B185*GREET1_Import_Export!$C$179+GREET1_Import_Export!$C185))+Li_Chemicals!E$70*((GREET1_Import_Export!$E221*GREET1_Import_Export!$F$215+GREET1_Import_Export!$F221))+Li_Chemicals!E$71*(GREET1_Import_Export!$B221)+Li_Chemicals!E$72*(GREET1_Import_Export!$B289)+Li_Chemicals!E$73*SUM(GREET1_Import_Export!$B314:$C314)</f>
        <v>24.388562856129973</v>
      </c>
      <c r="F79" s="53"/>
      <c r="G79" s="245">
        <f>'GREET2_Factors_T&amp;D'!B58</f>
        <v>5.1924114340333247</v>
      </c>
      <c r="H79" s="1309">
        <f>Li_Chemicals!H$67*((GREET1_Import_Export!$J185*GREET1_Import_Export!$L$179+GREET1_Import_Export!$L185))+Li_Chemicals!H$68*((GREET1_Import_Export!$J185*GREET1_Import_Export!$M$179+GREET1_Import_Export!$M185))+Li_Chemicals!H$69*((GREET1_Import_Export!$J185*GREET1_Import_Export!$K$179+GREET1_Import_Export!$K185))+Li_Chemicals!H$70*((GREET1_Import_Export!$J221*GREET1_Import_Export!$K$215+GREET1_Import_Export!$K221))+Li_Chemicals!H$71*(GREET1_Import_Export!$G221)+Li_Chemicals!H$72*(GREET1_Import_Export!$D289)+Li_Chemicals!H$73*GREET1_Import_Export!$S347</f>
        <v>102.2001396554475</v>
      </c>
      <c r="I79" s="1790">
        <v>564.14000447751539</v>
      </c>
      <c r="J79" s="631">
        <f>'GREET2_Factors_T&amp;D'!G58</f>
        <v>3.7385362325039937</v>
      </c>
      <c r="K79" s="1309">
        <f>Li_Chemicals!K$67*((GREET1_Import_Export!$J185*GREET1_Import_Export!$L$179+GREET1_Import_Export!$L185))+Li_Chemicals!K$68*((GREET1_Import_Export!$J185*GREET1_Import_Export!$M$179+GREET1_Import_Export!$M185))+Li_Chemicals!K$69*((GREET1_Import_Export!$J185*GREET1_Import_Export!$K$179+GREET1_Import_Export!$K185))+Li_Chemicals!K$70*((GREET1_Import_Export!$J221*GREET1_Import_Export!$K$215+GREET1_Import_Export!$K221))+Li_Chemicals!K$71*(GREET1_Import_Export!$G221)+Li_Chemicals!K$72*(GREET1_Import_Export!$D289)+Li_Chemicals!K$73*GREET1_Import_Export!$S347</f>
        <v>318.85586930777231</v>
      </c>
      <c r="L79" s="1310"/>
      <c r="M79" s="1444">
        <f>SUM('GREET2_Factors_T&amp;D'!J58:K58)</f>
        <v>20.71542911720648</v>
      </c>
      <c r="N79" s="1309">
        <f>Li_Chemicals!N$67*((GREET1_Import_Export!$B185*GREET1_Import_Export!$F$179+GREET1_Import_Export!$F185))+Li_Chemicals!N$68*((GREET1_Import_Export!$B185*GREET1_Import_Export!$G$179+GREET1_Import_Export!$G185))+Li_Chemicals!N$69*((GREET1_Import_Export!$B185*GREET1_Import_Export!$C$179+GREET1_Import_Export!$C185))+Li_Chemicals!N$70*((GREET1_Import_Export!$E221*GREET1_Import_Export!$F$215+GREET1_Import_Export!$F221))+Li_Chemicals!N$71*(GREET1_Import_Export!$B221)+Li_Chemicals!N$72*(GREET1_Import_Export!$B289)+Li_Chemicals!N$73*SUM(GREET1_Import_Export!$B314:$C314)</f>
        <v>768.16142670176191</v>
      </c>
      <c r="O79" s="1310"/>
      <c r="P79" s="1310">
        <f>SUM('GREET2_Factors_T&amp;D'!C58:D58)</f>
        <v>21.863010501092131</v>
      </c>
      <c r="Q79" s="1309">
        <f>Q$67*((GREET1_Import_Export!$J185*GREET1_Import_Export!$L$179+GREET1_Import_Export!$L185))
+Q$68*((GREET1_Import_Export!$J185*GREET1_Import_Export!$M$179+GREET1_Import_Export!$M185))
+Q$69*((GREET1_Import_Export!$J185*GREET1_Import_Export!$K$179+GREET1_Import_Export!$K185))
+Q$70*((GREET1_Import_Export!$J221*GREET1_Import_Export!$K$215+GREET1_Import_Export!$K221))
+Q$71*(GREET1_Import_Export!$G221)
+Q$72*(GREET1_Import_Export!$D289)
+Q$73*GREET1_Import_Export!$S347</f>
        <v>1982.2814913744874</v>
      </c>
      <c r="R79" s="1795">
        <v>209.96656394071033</v>
      </c>
      <c r="S79" s="1444">
        <f>SUM('GREET2_Factors_T&amp;D'!Z58:AA58)</f>
        <v>20.979279846595954</v>
      </c>
      <c r="T79" s="1718">
        <f>T$67*((GREET1_Import_Export!$B185*GREET1_Import_Export!$F$179+GREET1_Import_Export!$F185))
+T$68*((GREET1_Import_Export!$B185*GREET1_Import_Export!$G$179+GREET1_Import_Export!$G185))
+T$69*((GREET1_Import_Export!$B185*GREET1_Import_Export!$C$179+GREET1_Import_Export!$C185))
+T$70*((GREET1_Import_Export!$E221*GREET1_Import_Export!$F$215+GREET1_Import_Export!$F221))
+T$71*(GREET1_Import_Export!$B221)
+T$72*(GREET1_Import_Export!$B289)
+T$73*GREET1_Import_Export!$D347</f>
        <v>84.384625510366774</v>
      </c>
      <c r="U79" s="1795">
        <v>718.95856390137999</v>
      </c>
      <c r="V79" s="1482">
        <f>SUM('GREET2_Factors_T&amp;D'!AB58:AG58)</f>
        <v>15.461619018875595</v>
      </c>
      <c r="W79" s="1718">
        <f>W$67*((GREET1_Import_Export!$B185*GREET1_Import_Export!$F$179+GREET1_Import_Export!$F185))+W$68*((GREET1_Import_Export!$B185*GREET1_Import_Export!$G$179+GREET1_Import_Export!$G185))+W$69*((GREET1_Import_Export!$B185*GREET1_Import_Export!$C$179+GREET1_Import_Export!$C185))+W$70*((GREET1_Import_Export!$E221*GREET1_Import_Export!$F$215+GREET1_Import_Export!$F221))+W$71*(GREET1_Import_Export!$B221)+W$72*(GREET1_Import_Export!$B289)+W$73*GREET1_Import_Export!$L347</f>
        <v>1627.5635543051465</v>
      </c>
      <c r="X79" s="1795">
        <v>9586.1141853517311</v>
      </c>
      <c r="Y79" s="1796">
        <f>SUM('GREET2_Factors_T&amp;D'!AH58:AI58)</f>
        <v>1.9471542877624968</v>
      </c>
      <c r="Z79" s="1797">
        <f>Z$67*((GREET1_Import_Export!$B185*GREET1_Import_Export!$F$179+GREET1_Import_Export!$F185))+Z$68*((GREET1_Import_Export!$B185*GREET1_Import_Export!$G$179+GREET1_Import_Export!$G185))+Z$69*((GREET1_Import_Export!$B185*GREET1_Import_Export!$C$179+GREET1_Import_Export!$C185))+Z$70*((GREET1_Import_Export!$E221*GREET1_Import_Export!$F$215+GREET1_Import_Export!$F221))+Z$71*(GREET1_Import_Export!$B221)+Z$72*(GREET1_Import_Export!$B289)+Z$73*GREET1_Import_Export!$L347</f>
        <v>4459.0894465677347</v>
      </c>
      <c r="AA79" s="1795">
        <v>4720.0483573871807</v>
      </c>
      <c r="AB79" s="1796">
        <f>SUM('GREET2_Factors_T&amp;D'!AJ58:AK58)</f>
        <v>1.9471542877624968</v>
      </c>
      <c r="AC79" s="250">
        <f>Li_Chemicals!AC$67*((GREET1_Import_Export!$B185*GREET1_Import_Export!$F$179+GREET1_Import_Export!$F185))+Li_Chemicals!AC$68*((GREET1_Import_Export!$B185*GREET1_Import_Export!$G$179+GREET1_Import_Export!$G185))+Li_Chemicals!AC$69*((GREET1_Import_Export!$B185*GREET1_Import_Export!$C$179+GREET1_Import_Export!$C185))+Li_Chemicals!AC$70*((GREET1_Import_Export!$E221*GREET1_Import_Export!$F$215+GREET1_Import_Export!$F221))+Li_Chemicals!AC$71*(GREET1_Import_Export!$B221)+Li_Chemicals!AC$72*(GREET1_Import_Export!$B289)+Li_Chemicals!AC$73*SUM(GREET1_Import_Export!$B314:$C314)</f>
        <v>199.25591510387659</v>
      </c>
      <c r="AD79" s="243"/>
      <c r="AE79" s="1321"/>
      <c r="AF79" s="1321"/>
      <c r="AG79" s="1321"/>
      <c r="AH79" s="1321"/>
      <c r="AI79" s="1321"/>
      <c r="AJ79" s="1321"/>
      <c r="AK79" s="1321"/>
      <c r="AL79" s="1321"/>
      <c r="AM79" s="1321"/>
      <c r="AN79" s="1321"/>
      <c r="AU79" s="1321"/>
      <c r="AV79" s="1321"/>
      <c r="AW79" s="1321"/>
      <c r="AX79" s="1321"/>
      <c r="AY79" s="1321"/>
      <c r="AZ79" s="1321"/>
      <c r="BA79" s="1321"/>
      <c r="BB79" s="1321"/>
      <c r="BC79" s="1321"/>
      <c r="BD79" s="1321"/>
      <c r="BE79" s="1321"/>
      <c r="BF79" s="1321"/>
    </row>
    <row r="80" spans="1:58">
      <c r="A80" s="482" t="s">
        <v>864</v>
      </c>
      <c r="B80" s="241"/>
      <c r="C80" s="131"/>
      <c r="D80" s="131"/>
      <c r="E80" s="240"/>
      <c r="F80" s="131"/>
      <c r="G80" s="50"/>
      <c r="H80" s="241"/>
      <c r="I80" s="131"/>
      <c r="J80" s="50"/>
      <c r="K80" s="241"/>
      <c r="L80" s="131"/>
      <c r="M80" s="50"/>
      <c r="N80" s="240"/>
      <c r="O80" s="131"/>
      <c r="P80" s="131"/>
      <c r="Q80" s="240"/>
      <c r="R80" s="557"/>
      <c r="S80" s="50"/>
      <c r="T80" s="1078"/>
      <c r="U80" s="557"/>
      <c r="V80" s="524"/>
      <c r="W80" s="1078"/>
      <c r="X80" s="557"/>
      <c r="Y80" s="558"/>
      <c r="Z80" s="1293"/>
      <c r="AA80" s="557"/>
      <c r="AB80" s="558"/>
      <c r="AC80" s="240"/>
      <c r="AD80" s="50"/>
      <c r="AO80" s="1318"/>
      <c r="AR80" s="1318"/>
    </row>
    <row r="81" spans="1:46">
      <c r="A81" s="100" t="s">
        <v>821</v>
      </c>
      <c r="B81" s="1318">
        <f>Li_Chemicals!B$67*(Li_Chemicals!B$34*GREET1_Import_Export!$K72+GREET1_Import_Export!$J186*GREET1_Import_Export!$L$179+GREET1_Import_Export!$L186)+Li_Chemicals!B$68*(Li_Chemicals!B$36*GREET1_Import_Export!$Q72+Li_Chemicals!B$37*GREET1_Import_Export!$O72+Li_Chemicals!B$38*GREET1_Import_Export!$M72+GREET1_Import_Export!$J186*GREET1_Import_Export!$M$179+GREET1_Import_Export!$M186)+Li_Chemicals!B$69*(Li_Chemicals!B$39*GREET1_Import_Export!$T72+GREET1_Import_Export!$J186*GREET1_Import_Export!$K$179+GREET1_Import_Export!$K186)+Li_Chemicals!B$70*(Li_Chemicals!B$40*GREET1_Import_Export!$W72+GREET1_Import_Export!$J222*GREET1_Import_Export!$K$215+GREET1_Import_Export!$K222)+Li_Chemicals!B$71*(Li_Chemicals!B$41*GREET1_Import_Export!$B72+Li_Chemicals!B$42*GREET1_Import_Export!$C72+Li_Chemicals!B$43*GREET1_Import_Export!$G72+Li_Chemicals!B$45*'GREET2_Factors_T&amp;D'!$F15+Li_Chemicals!B$46*'GREET2_Factors_T&amp;D'!$G15+GREET1_Import_Export!$G222)+Li_Chemicals!B$72*(Li_Chemicals!B$48*GREET1_Import_Export!$AA72+Li_Chemicals!B$49*GREET1_Import_Export!$AB72+GREET1_Import_Export!$D290)+Li_Chemicals!B$73*GREET1_Import_Export!$B348</f>
        <v>78.126467223139059</v>
      </c>
      <c r="D81" s="1318">
        <f>SUM('GREET2_Factors_T&amp;D'!H60:I60)</f>
        <v>57.834475066572928</v>
      </c>
      <c r="E81" s="234">
        <f t="array" ref="E81">Li_Chemicals!E$67*(Li_Chemicals!E$34*GREET1_Import_Export!$K72+GREET1_Import_Export!$B186*GREET1_Import_Export!$F$179+GREET1_Import_Export!$F186)+Li_Chemicals!E$68*(Li_Chemicals!E$36*GREET1_Import_Export!$Q72+Li_Chemicals!E$37*GREET1_Import_Export!$O72+Li_Chemicals!E$38*GREET1_Import_Export!$M72+GREET1_Import_Export!$B186*GREET1_Import_Export!$G$179+GREET1_Import_Export!$G186)+Li_Chemicals!E$69*(Li_Chemicals!E$39*GREET1_Import_Export!$T72+GREET1_Import_Export!$B186*GREET1_Import_Export!$C$179+GREET1_Import_Export!$C186)+Li_Chemicals!E$70*(Li_Chemicals!E$40*GREET1_Import_Export!$W72+GREET1_Import_Export!$E222*GREET1_Import_Export!$F$215+GREET1_Import_Export!$F222)+Li_Chemicals!E$71*(Li_Chemicals!E$41*GREET1_Import_Export!$B72+Li_Chemicals!E$42*GREET1_Import_Export!$C72+Li_Chemicals!E$43*GREET1_Import_Export!$G72+(MMULT('GREET2_Factors_T&amp;D'!$F15:$H15+0,Li_Chemicals!E$45:E$47+0))+GREET1_Import_Export!$B222)+Li_Chemicals!E$72*(Li_Chemicals!E$48*GREET1_Import_Export!$AA72+Li_Chemicals!E$49*GREET1_Import_Export!$AB72+GREET1_Import_Export!$B290)+Li_Chemicals!E$73*SUM(GREET1_Import_Export!$B315:$C315)</f>
        <v>77.213437094403076</v>
      </c>
      <c r="G81" s="235">
        <f>'GREET2_Factors_T&amp;D'!B60</f>
        <v>3.2961497480006012</v>
      </c>
      <c r="H81" s="1318">
        <f>Li_Chemicals!H$67*(Li_Chemicals!C$34*GREET1_Import_Export!$K72+GREET1_Import_Export!$J186*GREET1_Import_Export!$L$179+GREET1_Import_Export!$L186)+Li_Chemicals!H$68*(Li_Chemicals!C$36*GREET1_Import_Export!$Q72+Li_Chemicals!C$37*GREET1_Import_Export!$O72+Li_Chemicals!C$38*GREET1_Import_Export!$M72+GREET1_Import_Export!$J186*GREET1_Import_Export!$M$179+GREET1_Import_Export!$M186)+Li_Chemicals!H$69*(Li_Chemicals!C$39*GREET1_Import_Export!$T72+GREET1_Import_Export!$J186*GREET1_Import_Export!$K$179+GREET1_Import_Export!$K186)+Li_Chemicals!H$70*(Li_Chemicals!C$40*GREET1_Import_Export!$W72+GREET1_Import_Export!$J222*GREET1_Import_Export!$K$215+GREET1_Import_Export!$K222)+Li_Chemicals!H$71*(Li_Chemicals!C$41*GREET1_Import_Export!$T72+Li_Chemicals!C$42*GREET1_Import_Export!$C72+Li_Chemicals!C$43*GREET1_Import_Export!$G72+Li_Chemicals!C$45*'GREET2_Factors_T&amp;D'!$F15+Li_Chemicals!C$46*'GREET2_Factors_T&amp;D'!$G15+GREET1_Import_Export!$G222)+Li_Chemicals!H$72*(Li_Chemicals!C$48*GREET1_Import_Export!$AA72+Li_Chemicals!C$49*GREET1_Import_Export!$AB72+GREET1_Import_Export!$D290)+Li_Chemicals!H$73*GREET1_Import_Export!$S348</f>
        <v>10.933402799548272</v>
      </c>
      <c r="J81" s="235">
        <f>'GREET2_Factors_T&amp;D'!G60</f>
        <v>2.3732278185604332</v>
      </c>
      <c r="K81" s="1318">
        <f>Li_Chemicals!K$67*(Li_Chemicals!D$34*GREET1_Import_Export!$K72+GREET1_Import_Export!$J186*GREET1_Import_Export!$L$179+GREET1_Import_Export!$L186)+Li_Chemicals!K$68*(Li_Chemicals!D$36*GREET1_Import_Export!$Q72+Li_Chemicals!D$37*GREET1_Import_Export!$O72+Li_Chemicals!D$38*GREET1_Import_Export!$M72+GREET1_Import_Export!$J186*GREET1_Import_Export!$M$179+GREET1_Import_Export!$M186)+Li_Chemicals!K$69*(Li_Chemicals!D$39*GREET1_Import_Export!$T72+GREET1_Import_Export!$J186*GREET1_Import_Export!$K$179+GREET1_Import_Export!$K186)+Li_Chemicals!K$70*(Li_Chemicals!D$40*GREET1_Import_Export!$W72+GREET1_Import_Export!$J222*GREET1_Import_Export!$K$215+GREET1_Import_Export!$K222)+Li_Chemicals!K$71*(Li_Chemicals!D$41*GREET1_Import_Export!$T72+Li_Chemicals!D$42*GREET1_Import_Export!$C72+Li_Chemicals!D$43*GREET1_Import_Export!$G72+Li_Chemicals!D$45*'GREET2_Factors_T&amp;D'!$F15+Li_Chemicals!D$46*'GREET2_Factors_T&amp;D'!$G15+GREET1_Import_Export!$G222)+Li_Chemicals!K$72*(Li_Chemicals!D$48*GREET1_Import_Export!$AA72+Li_Chemicals!D$49*GREET1_Import_Export!$AB72+GREET1_Import_Export!$D290)+Li_Chemicals!K$73*GREET1_Import_Export!$S348</f>
        <v>303.41415939962519</v>
      </c>
      <c r="M81" s="235">
        <f>SUM('GREET2_Factors_T&amp;D'!J60:K60)</f>
        <v>85.6332722686099</v>
      </c>
      <c r="N81" s="234">
        <f t="array" ref="N81">Li_Chemicals!N$67*(Li_Chemicals!F$34*GREET1_Import_Export!$K72+GREET1_Import_Export!$B186*GREET1_Import_Export!$F$179+GREET1_Import_Export!$F186)+Li_Chemicals!N$68*(Li_Chemicals!F$36*GREET1_Import_Export!$Q72+Li_Chemicals!F$37*GREET1_Import_Export!$O72+Li_Chemicals!F$38*GREET1_Import_Export!$M72+GREET1_Import_Export!$B186*GREET1_Import_Export!$G$179+GREET1_Import_Export!$G186)+Li_Chemicals!N$69*(Li_Chemicals!F$39*GREET1_Import_Export!$T72+GREET1_Import_Export!$B186*GREET1_Import_Export!$C$179+GREET1_Import_Export!$C186)+Li_Chemicals!N$70*(Li_Chemicals!F$40*GREET1_Import_Export!$W72+GREET1_Import_Export!$E222*GREET1_Import_Export!$F$215+GREET1_Import_Export!$F222)+Li_Chemicals!N$71*(Li_Chemicals!F$41*GREET1_Import_Export!$B72+Li_Chemicals!F$42*GREET1_Import_Export!$C72+Li_Chemicals!F$43*GREET1_Import_Export!$G72+(MMULT('GREET2_Factors_T&amp;D'!$F15:$H15+0,Li_Chemicals!F$45:F$47+0))+GREET1_Import_Export!$B222)+Li_Chemicals!N$72*(Li_Chemicals!F$48*GREET1_Import_Export!$AA72+Li_Chemicals!F$49*GREET1_Import_Export!$AB72+GREET1_Import_Export!$B290)+Li_Chemicals!N$73*SUM(GREET1_Import_Export!$B315:$C315)</f>
        <v>511.5933355905342</v>
      </c>
      <c r="O81" s="1445">
        <v>2.4</v>
      </c>
      <c r="P81" s="228">
        <f>SUM('GREET2_Factors_T&amp;D'!C60:D60)</f>
        <v>30.930451036641806</v>
      </c>
      <c r="Q81" s="234">
        <f>Q$67*(H$34*GREET1_Import_Export!$K72+GREET1_Import_Export!$J186*GREET1_Import_Export!$L$179+GREET1_Import_Export!$L186)
+Q$68*(H$36*GREET1_Import_Export!$Q72+H$37*GREET1_Import_Export!$O72+H$38*GREET1_Import_Export!$M72+GREET1_Import_Export!$J186*GREET1_Import_Export!$M$179+GREET1_Import_Export!$M186)+Q$69*(H$39*GREET1_Import_Export!$T72+GREET1_Import_Export!$J186*GREET1_Import_Export!$K$179+GREET1_Import_Export!$K186)+Q$70*(H$40*GREET1_Import_Export!$W72+GREET1_Import_Export!$J222*GREET1_Import_Export!$K$215+GREET1_Import_Export!$K222)+Q$71*(H$41*GREET1_Import_Export!$B72+H$42*GREET1_Import_Export!$C72+H$43*GREET1_Import_Export!$G72+H$45*'GREET2_Factors_T&amp;D'!$F15+H$46*'GREET2_Factors_T&amp;D'!$G15+GREET1_Import_Export!$G222)+Q$72*(H$48*GREET1_Import_Export!$AA72+H$49*GREET1_Import_Export!$AB72+GREET1_Import_Export!$D290)+Q$73*GREET1_Import_Export!$S348</f>
        <v>3856.9792107714807</v>
      </c>
      <c r="R81" s="1778"/>
      <c r="S81" s="235">
        <f>SUM('GREET2_Factors_T&amp;D'!Z60:AA60)</f>
        <v>86.75383773679512</v>
      </c>
      <c r="T81" s="1798" cm="1">
        <f t="array" ref="T81">T$67*(I$34*GREET1_Import_Export!$K72+GREET1_Import_Export!$B186*GREET1_Import_Export!$F$179+GREET1_Import_Export!$F186)
+T$68*(I$36*GREET1_Import_Export!$B146+I$37*GREET1_Import_Export!$O72+I$38*GREET1_Import_Export!$M72+GREET1_Import_Export!$B186*GREET1_Import_Export!$G$179+GREET1_Import_Export!$G186)
+T$69*(I$39*GREET1_Import_Export!$T72+GREET1_Import_Export!$B186*GREET1_Import_Export!$C$179+GREET1_Import_Export!$C186)
+T$70*(I$40*GREET1_Import_Export!$W72+GREET1_Import_Export!$E222*GREET1_Import_Export!$F$215+GREET1_Import_Export!$F222)
+T$71*(I$41*GREET1_Import_Export!$B72+I$42*GREET1_Import_Export!$C72+I$43*GREET1_Import_Export!$G72+(MMULT('GREET2_Factors_T&amp;D'!$F15:$H15+0,I$45:I$47+0))+GREET1_Import_Export!$B222)
+T$72*(I$48*GREET1_Import_Export!$AA72+I$49*GREET1_Import_Export!$AB72+GREET1_Import_Export!$B290)
+T$73*GREET1_Import_Export!$D348</f>
        <v>70.033117369116695</v>
      </c>
      <c r="U81" s="1288"/>
      <c r="V81" s="1463">
        <f>SUM('GREET2_Factors_T&amp;D'!AB60:AG60)</f>
        <v>44.227346339479148</v>
      </c>
      <c r="W81" s="1798" cm="1">
        <f t="array" ref="W81">W$67*(J$34*GREET1_Import_Export!$K72+GREET1_Import_Export!$B186*GREET1_Import_Export!$F$179+GREET1_Import_Export!$F186)
+W$68*(J$36*GREET1_Import_Export!$Q72+J$37*GREET1_Import_Export!$O72+J$38*GREET1_Import_Export!$M72+GREET1_Import_Export!$B186*GREET1_Import_Export!$G$179+GREET1_Import_Export!$G186)
+W$69*(J$39*GREET1_Import_Export!$T72+GREET1_Import_Export!$B186*GREET1_Import_Export!$C$179+GREET1_Import_Export!$C186)
+W$70*(J$40*GREET1_Import_Export!$W72+GREET1_Import_Export!$E222*GREET1_Import_Export!$F$215+GREET1_Import_Export!$F222)
+W$71*(J$41*GREET1_Import_Export!$B72+J$42*GREET1_Import_Export!$C72+J$43*GREET1_Import_Export!$G72+(MMULT('GREET2_Factors_T&amp;D'!$F15:$H15+0,J$45:J$47+0))+GREET1_Import_Export!$B222)+W$72*(J$48*GREET1_Import_Export!$AA72+J$49*GREET1_Import_Export!$AB72+GREET1_Import_Export!$B290)
+W$73*GREET1_Import_Export!$L348</f>
        <v>1700.2091543022318</v>
      </c>
      <c r="X81" s="1288"/>
      <c r="Y81" s="1082">
        <f>SUM('GREET2_Factors_T&amp;D'!AH60:AI60)</f>
        <v>1.2360561555002254</v>
      </c>
      <c r="Z81" s="1799" cm="1">
        <f t="array" ref="Z81">Z$67*(K$34*GREET1_Import_Export!$K72+GREET1_Import_Export!$B186*GREET1_Import_Export!$F$179+GREET1_Import_Export!$F186)
+Z$68*(K$36*GREET1_Import_Export!$Q72+K$37*GREET1_Import_Export!$O72+K$38*GREET1_Import_Export!$M72+GREET1_Import_Export!$B186*GREET1_Import_Export!$G$179+GREET1_Import_Export!$G186)
+Z$69*(K$39*GREET1_Import_Export!$T72+GREET1_Import_Export!$B186*GREET1_Import_Export!$C$179+GREET1_Import_Export!$C186)
+Z$70*(K$40*GREET1_Import_Export!$W72+GREET1_Import_Export!$E222*GREET1_Import_Export!$F$215+GREET1_Import_Export!$F222)
+Z$71*(K$41*GREET1_Import_Export!$B72+K$42*GREET1_Import_Export!$C72+K$43*GREET1_Import_Export!$G72+(MMULT('GREET2_Factors_T&amp;D'!$F15:$H15+0,K$45:K$47+0))+GREET1_Import_Export!$B222)+Z$72*(K$48*GREET1_Import_Export!$AA72+K$49*GREET1_Import_Export!$AB72+GREET1_Import_Export!$B290)
+Z$73*GREET1_Import_Export!$L348</f>
        <v>1671.2958736563737</v>
      </c>
      <c r="AA81" s="1288"/>
      <c r="AB81" s="1082">
        <f>SUM('GREET2_Factors_T&amp;D'!AJ60:AK60)</f>
        <v>1.2360561555002254</v>
      </c>
      <c r="AC81" s="234">
        <f t="array" ref="AC81">Li_Chemicals!AC$67*(Li_Chemicals!G$34*GREET1_Import_Export!$K72+GREET1_Import_Export!$B186*GREET1_Import_Export!$F$179+GREET1_Import_Export!$F186)+Li_Chemicals!AC$68*(Li_Chemicals!G$36*GREET1_Import_Export!$Q72+Li_Chemicals!G$37*GREET1_Import_Export!$O72+Li_Chemicals!G$38*GREET1_Import_Export!$M72+GREET1_Import_Export!$B186*GREET1_Import_Export!$G$179+GREET1_Import_Export!$G186)+Li_Chemicals!AC$69*(Li_Chemicals!G$39*GREET1_Import_Export!$T72+GREET1_Import_Export!$B186*GREET1_Import_Export!$C$179+GREET1_Import_Export!$C186)+Li_Chemicals!AC$70*(Li_Chemicals!G$40*GREET1_Import_Export!$W72+GREET1_Import_Export!$E222*GREET1_Import_Export!$F$215+GREET1_Import_Export!$F222)+Li_Chemicals!AC$71*(Li_Chemicals!G$41*GREET1_Import_Export!$B72+Li_Chemicals!G$42*GREET1_Import_Export!$C72+Li_Chemicals!G$43*GREET1_Import_Export!$G72+(MMULT('GREET2_Factors_T&amp;D'!$F15:$H15+0,Li_Chemicals!G$45:G$47+0))+GREET1_Import_Export!$B222)+Li_Chemicals!AC$72*(Li_Chemicals!G$48*GREET1_Import_Export!$AA72+Li_Chemicals!G$49*GREET1_Import_Export!$AB72+GREET1_Import_Export!$B290)+Li_Chemicals!AC$73*SUM(GREET1_Import_Export!$B315:$C315)</f>
        <v>52.879608250827005</v>
      </c>
      <c r="AD81" s="51"/>
      <c r="AO81" s="1318"/>
      <c r="AQ81" s="1318"/>
      <c r="AR81" s="1318"/>
      <c r="AT81" s="1318"/>
    </row>
    <row r="82" spans="1:46">
      <c r="A82" s="100" t="s">
        <v>822</v>
      </c>
      <c r="B82" s="1318">
        <f>Li_Chemicals!B$67*(Li_Chemicals!B$34*GREET1_Import_Export!$K73+GREET1_Import_Export!$J187*GREET1_Import_Export!$L$179+GREET1_Import_Export!$L187)+Li_Chemicals!B$68*(Li_Chemicals!B$36*GREET1_Import_Export!$Q73+Li_Chemicals!B$37*GREET1_Import_Export!$O73+Li_Chemicals!B$38*GREET1_Import_Export!$M73+GREET1_Import_Export!$J187*GREET1_Import_Export!$M$179+GREET1_Import_Export!$M187)+Li_Chemicals!B$69*(Li_Chemicals!B$39*GREET1_Import_Export!$T73+GREET1_Import_Export!$J187*GREET1_Import_Export!$K$179+GREET1_Import_Export!$K187)+Li_Chemicals!B$70*(Li_Chemicals!B$40*GREET1_Import_Export!$W73+GREET1_Import_Export!$J223*GREET1_Import_Export!$K$215+GREET1_Import_Export!$K223)+Li_Chemicals!B$71*(Li_Chemicals!B$41*GREET1_Import_Export!$B73+Li_Chemicals!B$42*GREET1_Import_Export!$C73+Li_Chemicals!B$43*GREET1_Import_Export!$G73+Li_Chemicals!B$45*'GREET2_Factors_T&amp;D'!$F16+Li_Chemicals!B$46*'GREET2_Factors_T&amp;D'!$G16+GREET1_Import_Export!$G223)+Li_Chemicals!B$72*(Li_Chemicals!B$48*GREET1_Import_Export!$AA73+Li_Chemicals!B$49*GREET1_Import_Export!$AB73+GREET1_Import_Export!$D291)+Li_Chemicals!B$73*GREET1_Import_Export!$B349</f>
        <v>458.6055707241739</v>
      </c>
      <c r="D82" s="1318">
        <f>SUM('GREET2_Factors_T&amp;D'!H61:I61)</f>
        <v>292.13880684715167</v>
      </c>
      <c r="E82" s="234">
        <f t="array" ref="E82">Li_Chemicals!E$67*(Li_Chemicals!E$34*GREET1_Import_Export!$K73+GREET1_Import_Export!$B187*GREET1_Import_Export!$F$179+GREET1_Import_Export!$F187)+Li_Chemicals!E$68*(Li_Chemicals!E$36*GREET1_Import_Export!$Q73+Li_Chemicals!E$37*GREET1_Import_Export!$O73+Li_Chemicals!E$38*GREET1_Import_Export!$M73+GREET1_Import_Export!$B187*GREET1_Import_Export!$G$179+GREET1_Import_Export!$G187)+Li_Chemicals!E$69*(Li_Chemicals!E$39*GREET1_Import_Export!$T73+GREET1_Import_Export!$B187*GREET1_Import_Export!$C$179+GREET1_Import_Export!$C187)+Li_Chemicals!E$70*(Li_Chemicals!E$40*GREET1_Import_Export!$W73+GREET1_Import_Export!$E223*GREET1_Import_Export!$F$215+GREET1_Import_Export!$F223)+Li_Chemicals!E$71*(Li_Chemicals!E$41*GREET1_Import_Export!$B73+Li_Chemicals!E$42*GREET1_Import_Export!$C73+Li_Chemicals!E$43*GREET1_Import_Export!$G73+(MMULT('GREET2_Factors_T&amp;D'!$F16:$H16+0,Li_Chemicals!E$45:E$47+0))+GREET1_Import_Export!$B223)+Li_Chemicals!E$72*(Li_Chemicals!E$48*GREET1_Import_Export!$AA73+Li_Chemicals!E$49*GREET1_Import_Export!$AB73+GREET1_Import_Export!$B291)+Li_Chemicals!E$73*SUM(GREET1_Import_Export!$B316:$C316)</f>
        <v>451.39008566900463</v>
      </c>
      <c r="G82" s="235">
        <f>'GREET2_Factors_T&amp;D'!B61</f>
        <v>45.707534745853565</v>
      </c>
      <c r="H82" s="1318">
        <f>Li_Chemicals!H$67*(Li_Chemicals!C$34*GREET1_Import_Export!$K73+GREET1_Import_Export!$J187*GREET1_Import_Export!$L$179+GREET1_Import_Export!$L187)+Li_Chemicals!H$68*(Li_Chemicals!C$36*GREET1_Import_Export!$Q73+Li_Chemicals!C$37*GREET1_Import_Export!$O73+Li_Chemicals!C$38*GREET1_Import_Export!$M73+GREET1_Import_Export!$J187*GREET1_Import_Export!$M$179+GREET1_Import_Export!$M187)+Li_Chemicals!H$69*(Li_Chemicals!C$39*GREET1_Import_Export!$T73+GREET1_Import_Export!$J187*GREET1_Import_Export!$K$179+GREET1_Import_Export!$K187)+Li_Chemicals!H$70*(Li_Chemicals!C$40*GREET1_Import_Export!$W73+GREET1_Import_Export!$J223*GREET1_Import_Export!$K$215+GREET1_Import_Export!$K223)+Li_Chemicals!H$71*(Li_Chemicals!C$41*GREET1_Import_Export!$T73+Li_Chemicals!C$42*GREET1_Import_Export!$C73+Li_Chemicals!C$43*GREET1_Import_Export!$G73+Li_Chemicals!C$45*'GREET2_Factors_T&amp;D'!$F16+Li_Chemicals!C$46*'GREET2_Factors_T&amp;D'!$G16+GREET1_Import_Export!$G223)+Li_Chemicals!H$72*(Li_Chemicals!C$48*GREET1_Import_Export!$AA73+Li_Chemicals!C$49*GREET1_Import_Export!$AB73+GREET1_Import_Export!$D291)+Li_Chemicals!H$73*GREET1_Import_Export!$S349</f>
        <v>152.54105185073252</v>
      </c>
      <c r="J82" s="235">
        <f>'GREET2_Factors_T&amp;D'!G61</f>
        <v>32.90942501701457</v>
      </c>
      <c r="K82" s="1318">
        <f>Li_Chemicals!K$67*(Li_Chemicals!D$34*GREET1_Import_Export!$K73+GREET1_Import_Export!$J187*GREET1_Import_Export!$L$179+GREET1_Import_Export!$L187)+Li_Chemicals!K$68*(Li_Chemicals!D$36*GREET1_Import_Export!$Q73+Li_Chemicals!D$37*GREET1_Import_Export!$O73+Li_Chemicals!D$38*GREET1_Import_Export!$M73+GREET1_Import_Export!$J187*GREET1_Import_Export!$M$179+GREET1_Import_Export!$M187)+Li_Chemicals!K$69*(Li_Chemicals!D$39*GREET1_Import_Export!$T73+GREET1_Import_Export!$J187*GREET1_Import_Export!$K$179+GREET1_Import_Export!$K187)+Li_Chemicals!K$70*(Li_Chemicals!D$40*GREET1_Import_Export!$W73+GREET1_Import_Export!$J223*GREET1_Import_Export!$K$215+GREET1_Import_Export!$K223)+Li_Chemicals!K$71*(Li_Chemicals!D$41*GREET1_Import_Export!$T73+Li_Chemicals!D$42*GREET1_Import_Export!$C73+Li_Chemicals!D$43*GREET1_Import_Export!$G73+Li_Chemicals!D$45*'GREET2_Factors_T&amp;D'!$F16+Li_Chemicals!D$46*'GREET2_Factors_T&amp;D'!$G16+GREET1_Import_Export!$G223)+Li_Chemicals!K$72*(Li_Chemicals!D$48*GREET1_Import_Export!$AA73+Li_Chemicals!D$49*GREET1_Import_Export!$AB73+GREET1_Import_Export!$D291)+Li_Chemicals!K$73*GREET1_Import_Export!$S349</f>
        <v>355.28219448899603</v>
      </c>
      <c r="M82" s="235">
        <f>SUM('GREET2_Factors_T&amp;D'!J61:K61)</f>
        <v>196.04883773358259</v>
      </c>
      <c r="N82" s="234">
        <f t="array" ref="N82">Li_Chemicals!N$67*(Li_Chemicals!F$34*GREET1_Import_Export!$K73+GREET1_Import_Export!$B187*GREET1_Import_Export!$F$179+GREET1_Import_Export!$F187)+Li_Chemicals!N$68*(Li_Chemicals!F$36*GREET1_Import_Export!$Q73+Li_Chemicals!F$37*GREET1_Import_Export!$O73+Li_Chemicals!F$38*GREET1_Import_Export!$M73+GREET1_Import_Export!$B187*GREET1_Import_Export!$G$179+GREET1_Import_Export!$G187)+Li_Chemicals!N$69*(Li_Chemicals!F$39*GREET1_Import_Export!$T73+GREET1_Import_Export!$B187*GREET1_Import_Export!$C$179+GREET1_Import_Export!$C187)+Li_Chemicals!N$70*(Li_Chemicals!F$40*GREET1_Import_Export!$W73+GREET1_Import_Export!$E223*GREET1_Import_Export!$F$215+GREET1_Import_Export!$F223)+Li_Chemicals!N$71*(Li_Chemicals!F$41*GREET1_Import_Export!$B73+Li_Chemicals!F$42*GREET1_Import_Export!$C73+Li_Chemicals!F$43*GREET1_Import_Export!$G73+(MMULT('GREET2_Factors_T&amp;D'!$F16:$H16+0,Li_Chemicals!F$45:F$47+0))+GREET1_Import_Export!$B223)+Li_Chemicals!N$72*(Li_Chemicals!F$48*GREET1_Import_Export!$AA73+Li_Chemicals!F$49*GREET1_Import_Export!$AB73+GREET1_Import_Export!$B291)+Li_Chemicals!N$73*SUM(GREET1_Import_Export!$B316:$C316)</f>
        <v>2636.1721445898775</v>
      </c>
      <c r="O82" s="1445">
        <v>19</v>
      </c>
      <c r="P82" s="228">
        <f>SUM('GREET2_Factors_T&amp;D'!C61:D61)</f>
        <v>92.355947698933534</v>
      </c>
      <c r="Q82" s="234">
        <f>Q$67*(H$34*GREET1_Import_Export!$K73+GREET1_Import_Export!$J187*GREET1_Import_Export!$L$179+GREET1_Import_Export!$L187)+Q$68*(H$36*GREET1_Import_Export!$Q73+H$37*GREET1_Import_Export!$O73+H$38*GREET1_Import_Export!$M73+GREET1_Import_Export!$J187*GREET1_Import_Export!$M$179+GREET1_Import_Export!$M187)+Q$69*(H$39*GREET1_Import_Export!$T73+GREET1_Import_Export!$J187*GREET1_Import_Export!$K$179+GREET1_Import_Export!$K187)+Q$70*(H$40*GREET1_Import_Export!$W73+GREET1_Import_Export!$J223*GREET1_Import_Export!$K$215+GREET1_Import_Export!$K223)+Q$71*(H$41*GREET1_Import_Export!$B73+H$42*GREET1_Import_Export!$C73+H$43*GREET1_Import_Export!$G73+H$45*'GREET2_Factors_T&amp;D'!$F16+H$46*'GREET2_Factors_T&amp;D'!$G16+GREET1_Import_Export!$G223)+Q$72*(H$48*GREET1_Import_Export!$AA73+H$49*GREET1_Import_Export!$AB73+GREET1_Import_Export!$D291)+Q$73*GREET1_Import_Export!$S349</f>
        <v>4149.7490497057343</v>
      </c>
      <c r="R82" s="1778"/>
      <c r="S82" s="235">
        <f>SUM('GREET2_Factors_T&amp;D'!Z61:AA61)</f>
        <v>198.55153821172891</v>
      </c>
      <c r="T82" s="1798" cm="1">
        <f t="array" ref="T82">T$67*(I$34*GREET1_Import_Export!$K73+GREET1_Import_Export!$B187*GREET1_Import_Export!$F$179+GREET1_Import_Export!$F187)
+T$68*(I$36*GREET1_Import_Export!$B147+I$37*GREET1_Import_Export!$O73+I$38*GREET1_Import_Export!$M73+GREET1_Import_Export!$B187*GREET1_Import_Export!$G$179+GREET1_Import_Export!$G187)
+T$69*(I$39*GREET1_Import_Export!$T73+GREET1_Import_Export!$B187*GREET1_Import_Export!$C$179+GREET1_Import_Export!$C187)
+T$70*(I$40*GREET1_Import_Export!$W73+GREET1_Import_Export!$E223*GREET1_Import_Export!$F$215+GREET1_Import_Export!$F223)
+T$71*(I$41*GREET1_Import_Export!$B73+I$42*GREET1_Import_Export!$C73+I$43*GREET1_Import_Export!$G73+(MMULT('GREET2_Factors_T&amp;D'!$F16:$H16+0,I$45:I$47+0))+GREET1_Import_Export!$B223)
+T$72*(I$48*GREET1_Import_Export!$AA73+I$49*GREET1_Import_Export!$AB73+GREET1_Import_Export!$B291)
+T$73*GREET1_Import_Export!$D349</f>
        <v>180.89984877846626</v>
      </c>
      <c r="U82" s="1288"/>
      <c r="V82" s="1463">
        <f>SUM('GREET2_Factors_T&amp;D'!AB61:AG61)</f>
        <v>133.38213085146663</v>
      </c>
      <c r="W82" s="1798" cm="1">
        <f t="array" ref="W82">W$67*(J$34*GREET1_Import_Export!$K73+GREET1_Import_Export!$B187*GREET1_Import_Export!$F$179+GREET1_Import_Export!$F187)
+W$68*(J$36*GREET1_Import_Export!$Q73+J$37*GREET1_Import_Export!$O73+J$38*GREET1_Import_Export!$M73+GREET1_Import_Export!$B187*GREET1_Import_Export!$G$179+GREET1_Import_Export!$G187)
+W$69*(J$39*GREET1_Import_Export!$T73+GREET1_Import_Export!$B187*GREET1_Import_Export!$C$179+GREET1_Import_Export!$C187)
+W$70*(J$40*GREET1_Import_Export!$W73+GREET1_Import_Export!$E223*GREET1_Import_Export!$F$215+GREET1_Import_Export!$F223)
+W$71*(J$41*GREET1_Import_Export!$B73+J$42*GREET1_Import_Export!$C73+J$43*GREET1_Import_Export!$G73+(MMULT('GREET2_Factors_T&amp;D'!$F16:$H16+0,J$45:J$47+0))+GREET1_Import_Export!$B223)+W$72*(J$48*GREET1_Import_Export!$AA73+J$49*GREET1_Import_Export!$AB73+GREET1_Import_Export!$B291)
+W$73*GREET1_Import_Export!$L349</f>
        <v>8645.6943465548629</v>
      </c>
      <c r="X82" s="1288"/>
      <c r="Y82" s="1082">
        <f>SUM('GREET2_Factors_T&amp;D'!AH61:AI61)</f>
        <v>17.140325529695087</v>
      </c>
      <c r="Z82" s="1799" cm="1">
        <f t="array" ref="Z82">Z$67*(K$34*GREET1_Import_Export!$K73+GREET1_Import_Export!$B187*GREET1_Import_Export!$F$179+GREET1_Import_Export!$F187)
+Z$68*(K$36*GREET1_Import_Export!$Q73+K$37*GREET1_Import_Export!$O73+K$38*GREET1_Import_Export!$M73+GREET1_Import_Export!$B187*GREET1_Import_Export!$G$179+GREET1_Import_Export!$G187)
+Z$69*(K$39*GREET1_Import_Export!$T73+GREET1_Import_Export!$B187*GREET1_Import_Export!$C$179+GREET1_Import_Export!$C187)
+Z$70*(K$40*GREET1_Import_Export!$W73+GREET1_Import_Export!$E223*GREET1_Import_Export!$F$215+GREET1_Import_Export!$F223)
+Z$71*(K$41*GREET1_Import_Export!$B73+K$42*GREET1_Import_Export!$C73+K$43*GREET1_Import_Export!$G73+(MMULT('GREET2_Factors_T&amp;D'!$F16:$H16+0,K$45:K$47+0))+GREET1_Import_Export!$B223)+Z$72*(K$48*GREET1_Import_Export!$AA73+K$49*GREET1_Import_Export!$AB73+GREET1_Import_Export!$B291)
+Z$73*GREET1_Import_Export!$L349</f>
        <v>7259.1003912678934</v>
      </c>
      <c r="AA82" s="1288"/>
      <c r="AB82" s="1082">
        <f>SUM('GREET2_Factors_T&amp;D'!AJ61:AK61)</f>
        <v>17.140325529695087</v>
      </c>
      <c r="AC82" s="234">
        <f t="array" ref="AC82">Li_Chemicals!AC$67*(Li_Chemicals!G$34*GREET1_Import_Export!$K73+GREET1_Import_Export!$B187*GREET1_Import_Export!$F$179+GREET1_Import_Export!$F187)+Li_Chemicals!AC$68*(Li_Chemicals!G$36*GREET1_Import_Export!$Q73+Li_Chemicals!G$37*GREET1_Import_Export!$O73+Li_Chemicals!G$38*GREET1_Import_Export!$M73+GREET1_Import_Export!$B187*GREET1_Import_Export!$G$179+GREET1_Import_Export!$G187)+Li_Chemicals!AC$69*(Li_Chemicals!G$39*GREET1_Import_Export!$T73+GREET1_Import_Export!$B187*GREET1_Import_Export!$C$179+GREET1_Import_Export!$C187)+Li_Chemicals!AC$70*(Li_Chemicals!G$40*GREET1_Import_Export!$W73+GREET1_Import_Export!$E223*GREET1_Import_Export!$F$215+GREET1_Import_Export!$F223)+Li_Chemicals!AC$71*(Li_Chemicals!G$41*GREET1_Import_Export!$B73+Li_Chemicals!G$42*GREET1_Import_Export!$C73+Li_Chemicals!G$43*GREET1_Import_Export!$G73+(MMULT('GREET2_Factors_T&amp;D'!$F16:$H16+0,Li_Chemicals!G$45:G$47+0))+GREET1_Import_Export!$B223)+Li_Chemicals!AC$72*(Li_Chemicals!G$48*GREET1_Import_Export!$AA73+Li_Chemicals!G$49*GREET1_Import_Export!$AB73+GREET1_Import_Export!$B291)+Li_Chemicals!AC$73*SUM(GREET1_Import_Export!$B316:$C316)</f>
        <v>188.85261850072186</v>
      </c>
      <c r="AD82" s="51"/>
      <c r="AO82" s="1318"/>
      <c r="AQ82" s="1318"/>
      <c r="AR82" s="1318"/>
      <c r="AT82" s="1318"/>
    </row>
    <row r="83" spans="1:46">
      <c r="A83" s="100" t="s">
        <v>823</v>
      </c>
      <c r="B83" s="1318">
        <f>Li_Chemicals!B$67*(Li_Chemicals!B$34*GREET1_Import_Export!$K74+GREET1_Import_Export!$J188*GREET1_Import_Export!$L$179+GREET1_Import_Export!$L188)+Li_Chemicals!B$68*(Li_Chemicals!B$36*GREET1_Import_Export!$Q74+Li_Chemicals!B$37*GREET1_Import_Export!$O74+Li_Chemicals!B$38*GREET1_Import_Export!$M74+GREET1_Import_Export!$J188*GREET1_Import_Export!$M$179+GREET1_Import_Export!$M188)+Li_Chemicals!B$69*(Li_Chemicals!B$39*GREET1_Import_Export!$T74+GREET1_Import_Export!$J188*GREET1_Import_Export!$K$179+GREET1_Import_Export!$K188)+Li_Chemicals!B$70*(Li_Chemicals!B$40*GREET1_Import_Export!$W74+GREET1_Import_Export!$J224*GREET1_Import_Export!$K$215+GREET1_Import_Export!$K224)+Li_Chemicals!B$71*(Li_Chemicals!B$41*GREET1_Import_Export!$B74+Li_Chemicals!B$42*GREET1_Import_Export!$C74+Li_Chemicals!B$43*GREET1_Import_Export!$G74+Li_Chemicals!B$45*'GREET2_Factors_T&amp;D'!$F17+Li_Chemicals!B$46*'GREET2_Factors_T&amp;D'!$G17+GREET1_Import_Export!$G224)+Li_Chemicals!B$72*(Li_Chemicals!B$48*GREET1_Import_Export!$AA74+Li_Chemicals!B$49*GREET1_Import_Export!$AB74+GREET1_Import_Export!$D292)+Li_Chemicals!B$73*GREET1_Import_Export!$B350</f>
        <v>274.45600495741434</v>
      </c>
      <c r="D83" s="1318">
        <f>SUM('GREET2_Factors_T&amp;D'!H62:I62)</f>
        <v>1191.0143556266548</v>
      </c>
      <c r="E83" s="234">
        <f t="array" ref="E83">Li_Chemicals!E$67*(Li_Chemicals!E$34*GREET1_Import_Export!$K74+GREET1_Import_Export!$B188*GREET1_Import_Export!$F$179+GREET1_Import_Export!$F188)+Li_Chemicals!E$68*(Li_Chemicals!E$36*GREET1_Import_Export!$Q74+Li_Chemicals!E$37*GREET1_Import_Export!$O74+Li_Chemicals!E$38*GREET1_Import_Export!$M74+GREET1_Import_Export!$B188*GREET1_Import_Export!$G$179+GREET1_Import_Export!$G188)+Li_Chemicals!E$69*(Li_Chemicals!E$39*GREET1_Import_Export!$T74+GREET1_Import_Export!$B188*GREET1_Import_Export!$C$179+GREET1_Import_Export!$C188)+Li_Chemicals!E$70*(Li_Chemicals!E$40*GREET1_Import_Export!$W74+GREET1_Import_Export!$E224*GREET1_Import_Export!$F$215+GREET1_Import_Export!$F224)+Li_Chemicals!E$71*(Li_Chemicals!E$41*GREET1_Import_Export!$B74+Li_Chemicals!E$42*GREET1_Import_Export!$C74+Li_Chemicals!E$43*GREET1_Import_Export!$G74+(MMULT('GREET2_Factors_T&amp;D'!$F17:$H17+0,Li_Chemicals!E$45:E$47+0))+GREET1_Import_Export!$B224)+Li_Chemicals!E$72*(Li_Chemicals!E$48*GREET1_Import_Export!$AA74+Li_Chemicals!E$49*GREET1_Import_Export!$AB74+GREET1_Import_Export!$B292)+Li_Chemicals!E$73*SUM(GREET1_Import_Export!$B317:$C317)</f>
        <v>257.02553488869825</v>
      </c>
      <c r="G83" s="235">
        <f>'GREET2_Factors_T&amp;D'!B62</f>
        <v>31.169621998423796</v>
      </c>
      <c r="H83" s="1318">
        <f>Li_Chemicals!H$67*(Li_Chemicals!C$34*GREET1_Import_Export!$K74+GREET1_Import_Export!$J188*GREET1_Import_Export!$L$179+GREET1_Import_Export!$L188)+Li_Chemicals!H$68*(Li_Chemicals!C$36*GREET1_Import_Export!$Q74+Li_Chemicals!C$37*GREET1_Import_Export!$O74+Li_Chemicals!C$38*GREET1_Import_Export!$M74+GREET1_Import_Export!$J188*GREET1_Import_Export!$M$179+GREET1_Import_Export!$M188)+Li_Chemicals!H$69*(Li_Chemicals!C$39*GREET1_Import_Export!$T74+GREET1_Import_Export!$J188*GREET1_Import_Export!$K$179+GREET1_Import_Export!$K188)+Li_Chemicals!H$70*(Li_Chemicals!C$40*GREET1_Import_Export!$W74+GREET1_Import_Export!$J224*GREET1_Import_Export!$K$215+GREET1_Import_Export!$K224)+Li_Chemicals!H$71*(Li_Chemicals!C$41*GREET1_Import_Export!$T74+Li_Chemicals!C$42*GREET1_Import_Export!$C74+Li_Chemicals!C$43*GREET1_Import_Export!$G74+Li_Chemicals!C$45*'GREET2_Factors_T&amp;D'!$F17+Li_Chemicals!C$46*'GREET2_Factors_T&amp;D'!$G17+GREET1_Import_Export!$G224)+Li_Chemicals!H$72*(Li_Chemicals!C$48*GREET1_Import_Export!$AA74+Li_Chemicals!C$49*GREET1_Import_Export!$AB74+GREET1_Import_Export!$D292)+Li_Chemicals!H$73*GREET1_Import_Export!$S350</f>
        <v>148.37722914217946</v>
      </c>
      <c r="J83" s="235">
        <f>'GREET2_Factors_T&amp;D'!G62</f>
        <v>22.442127838865137</v>
      </c>
      <c r="K83" s="1318">
        <f>Li_Chemicals!K$67*(Li_Chemicals!D$34*GREET1_Import_Export!$K74+GREET1_Import_Export!$J188*GREET1_Import_Export!$L$179+GREET1_Import_Export!$L188)+Li_Chemicals!K$68*(Li_Chemicals!D$36*GREET1_Import_Export!$Q74+Li_Chemicals!D$37*GREET1_Import_Export!$O74+Li_Chemicals!D$38*GREET1_Import_Export!$M74+GREET1_Import_Export!$J188*GREET1_Import_Export!$M$179+GREET1_Import_Export!$M188)+Li_Chemicals!K$69*(Li_Chemicals!D$39*GREET1_Import_Export!$T74+GREET1_Import_Export!$J188*GREET1_Import_Export!$K$179+GREET1_Import_Export!$K188)+Li_Chemicals!K$70*(Li_Chemicals!D$40*GREET1_Import_Export!$W74+GREET1_Import_Export!$J224*GREET1_Import_Export!$K$215+GREET1_Import_Export!$K224)+Li_Chemicals!K$71*(Li_Chemicals!D$41*GREET1_Import_Export!$T74+Li_Chemicals!D$42*GREET1_Import_Export!$C74+Li_Chemicals!D$43*GREET1_Import_Export!$G74+Li_Chemicals!D$45*'GREET2_Factors_T&amp;D'!$F17+Li_Chemicals!D$46*'GREET2_Factors_T&amp;D'!$G17+GREET1_Import_Export!$G224)+Li_Chemicals!K$72*(Li_Chemicals!D$48*GREET1_Import_Export!$AA74+Li_Chemicals!D$49*GREET1_Import_Export!$AB74+GREET1_Import_Export!$D292)+Li_Chemicals!K$73*GREET1_Import_Export!$S350</f>
        <v>679.34587336126833</v>
      </c>
      <c r="M83" s="235">
        <f>SUM('GREET2_Factors_T&amp;D'!J62:K62)</f>
        <v>2062.2801055952659</v>
      </c>
      <c r="N83" s="234">
        <f t="array" ref="N83">Li_Chemicals!N$67*(Li_Chemicals!F$34*GREET1_Import_Export!$K74+GREET1_Import_Export!$B188*GREET1_Import_Export!$F$179+GREET1_Import_Export!$F188)+Li_Chemicals!N$68*(Li_Chemicals!F$36*GREET1_Import_Export!$Q74+Li_Chemicals!F$37*GREET1_Import_Export!$O74+Li_Chemicals!F$38*GREET1_Import_Export!$M74+GREET1_Import_Export!$B188*GREET1_Import_Export!$G$179+GREET1_Import_Export!$G188)+Li_Chemicals!N$69*(Li_Chemicals!F$39*GREET1_Import_Export!$T74+GREET1_Import_Export!$B188*GREET1_Import_Export!$C$179+GREET1_Import_Export!$C188)+Li_Chemicals!N$70*(Li_Chemicals!F$40*GREET1_Import_Export!$W74+GREET1_Import_Export!$E224*GREET1_Import_Export!$F$215+GREET1_Import_Export!$F224)+Li_Chemicals!N$71*(Li_Chemicals!F$41*GREET1_Import_Export!$B74+Li_Chemicals!F$42*GREET1_Import_Export!$C74+Li_Chemicals!F$43*GREET1_Import_Export!$G74+(MMULT('GREET2_Factors_T&amp;D'!$F17:$H17+0,Li_Chemicals!F$45:F$47+0))+GREET1_Import_Export!$B224)+Li_Chemicals!N$72*(Li_Chemicals!F$48*GREET1_Import_Export!$AA74+Li_Chemicals!F$49*GREET1_Import_Export!$AB74+GREET1_Import_Export!$B292)+Li_Chemicals!N$73*SUM(GREET1_Import_Export!$B317:$C317)</f>
        <v>7547.6995926260979</v>
      </c>
      <c r="O83" s="1445">
        <v>115</v>
      </c>
      <c r="P83" s="228">
        <f>SUM('GREET2_Factors_T&amp;D'!C62:D62)</f>
        <v>363.08053317596301</v>
      </c>
      <c r="Q83" s="234">
        <f>Q$67*(H$34*GREET1_Import_Export!$K74+GREET1_Import_Export!$J188*GREET1_Import_Export!$L$179+GREET1_Import_Export!$L188)+Q$68*(H$36*GREET1_Import_Export!$Q74+H$37*GREET1_Import_Export!$O74+H$38*GREET1_Import_Export!$M74+GREET1_Import_Export!$J188*GREET1_Import_Export!$M$179+GREET1_Import_Export!$M188)+Q$69*(H$39*GREET1_Import_Export!$T74+GREET1_Import_Export!$J188*GREET1_Import_Export!$K$179+GREET1_Import_Export!$K188)+Q$70*(H$40*GREET1_Import_Export!$W74+GREET1_Import_Export!$J224*GREET1_Import_Export!$K$215+GREET1_Import_Export!$K224)+Q$71*(H$41*GREET1_Import_Export!$B74+H$42*GREET1_Import_Export!$C74+H$43*GREET1_Import_Export!$G74+H$45*'GREET2_Factors_T&amp;D'!$F17+H$46*'GREET2_Factors_T&amp;D'!$G17+GREET1_Import_Export!$G224)+Q$72*(H$48*GREET1_Import_Export!$AA74+H$49*GREET1_Import_Export!$AB74+GREET1_Import_Export!$D292)+Q$73*GREET1_Import_Export!$S350</f>
        <v>7655.57638597611</v>
      </c>
      <c r="R83" s="1778"/>
      <c r="S83" s="235">
        <f>SUM('GREET2_Factors_T&amp;D'!Z62:AA62)</f>
        <v>2089.3455831106921</v>
      </c>
      <c r="T83" s="1798" cm="1">
        <f t="array" ref="T83">T$67*(I$34*GREET1_Import_Export!$K74+GREET1_Import_Export!$B188*GREET1_Import_Export!$F$179+GREET1_Import_Export!$F188)
+T$68*(I$36*GREET1_Import_Export!$B148+I$37*GREET1_Import_Export!$O74+I$38*GREET1_Import_Export!$M74+GREET1_Import_Export!$B188*GREET1_Import_Export!$G$179+GREET1_Import_Export!$G188)
+T$69*(I$39*GREET1_Import_Export!$T74+GREET1_Import_Export!$B188*GREET1_Import_Export!$C$179+GREET1_Import_Export!$C188)
+T$70*(I$40*GREET1_Import_Export!$W74+GREET1_Import_Export!$E224*GREET1_Import_Export!$F$215+GREET1_Import_Export!$F224)
+T$71*(I$41*GREET1_Import_Export!$B74+I$42*GREET1_Import_Export!$C74+I$43*GREET1_Import_Export!$G74+(MMULT('GREET2_Factors_T&amp;D'!$F17:$H17+0,I$45:I$47+0))+GREET1_Import_Export!$B224)
+T$72*(I$48*GREET1_Import_Export!$AA74+I$49*GREET1_Import_Export!$AB74+GREET1_Import_Export!$B292)
+T$73*GREET1_Import_Export!$D350</f>
        <v>757.48708146222339</v>
      </c>
      <c r="U83" s="1288"/>
      <c r="V83" s="1463">
        <f>SUM('GREET2_Factors_T&amp;D'!AB62:AG62)</f>
        <v>992.86536058371973</v>
      </c>
      <c r="W83" s="1798" cm="1">
        <f t="array" ref="W83">W$67*(J$34*GREET1_Import_Export!$K74+GREET1_Import_Export!$B188*GREET1_Import_Export!$F$179+GREET1_Import_Export!$F188)
+W$68*(J$36*GREET1_Import_Export!$Q74+J$37*GREET1_Import_Export!$O74+J$38*GREET1_Import_Export!$M74+GREET1_Import_Export!$B188*GREET1_Import_Export!$G$179+GREET1_Import_Export!$G188)
+W$69*(J$39*GREET1_Import_Export!$T74+GREET1_Import_Export!$B188*GREET1_Import_Export!$C$179+GREET1_Import_Export!$C188)
+W$70*(J$40*GREET1_Import_Export!$W74+GREET1_Import_Export!$E224*GREET1_Import_Export!$F$215+GREET1_Import_Export!$F224)
+W$71*(J$41*GREET1_Import_Export!$B74+J$42*GREET1_Import_Export!$C74+J$43*GREET1_Import_Export!$G74+(MMULT('GREET2_Factors_T&amp;D'!$F17:$H17+0,J$45:J$47+0))+GREET1_Import_Export!$B224)+W$72*(J$48*GREET1_Import_Export!$AA74+J$49*GREET1_Import_Export!$AB74+GREET1_Import_Export!$B292)
+W$73*GREET1_Import_Export!$L350</f>
        <v>9856.6171297763758</v>
      </c>
      <c r="X83" s="1288"/>
      <c r="Y83" s="1082">
        <f>SUM('GREET2_Factors_T&amp;D'!AH62:AI62)</f>
        <v>11.688608249408922</v>
      </c>
      <c r="Z83" s="1799" cm="1">
        <f t="array" ref="Z83">Z$67*(K$34*GREET1_Import_Export!$K74+GREET1_Import_Export!$B188*GREET1_Import_Export!$F$179+GREET1_Import_Export!$F188)
+Z$68*(K$36*GREET1_Import_Export!$Q74+K$37*GREET1_Import_Export!$O74+K$38*GREET1_Import_Export!$M74+GREET1_Import_Export!$B188*GREET1_Import_Export!$G$179+GREET1_Import_Export!$G188)
+Z$69*(K$39*GREET1_Import_Export!$T74+GREET1_Import_Export!$B188*GREET1_Import_Export!$C$179+GREET1_Import_Export!$C188)
+Z$70*(K$40*GREET1_Import_Export!$W74+GREET1_Import_Export!$E224*GREET1_Import_Export!$F$215+GREET1_Import_Export!$F224)
+Z$71*(K$41*GREET1_Import_Export!$B74+K$42*GREET1_Import_Export!$C74+K$43*GREET1_Import_Export!$G74+(MMULT('GREET2_Factors_T&amp;D'!$F17:$H17+0,K$45:K$47+0))+GREET1_Import_Export!$B224)+Z$72*(K$48*GREET1_Import_Export!$AA74+K$49*GREET1_Import_Export!$AB74+GREET1_Import_Export!$B292)
+Z$73*GREET1_Import_Export!$L350</f>
        <v>12443.147589176071</v>
      </c>
      <c r="AA83" s="1288"/>
      <c r="AB83" s="1082">
        <f>SUM('GREET2_Factors_T&amp;D'!AJ62:AK62)</f>
        <v>11.688608249408922</v>
      </c>
      <c r="AC83" s="234">
        <f t="array" ref="AC83">Li_Chemicals!AC$67*(Li_Chemicals!G$34*GREET1_Import_Export!$K74+GREET1_Import_Export!$B188*GREET1_Import_Export!$F$179+GREET1_Import_Export!$F188)+Li_Chemicals!AC$68*(Li_Chemicals!G$36*GREET1_Import_Export!$Q74+Li_Chemicals!G$37*GREET1_Import_Export!$O74+Li_Chemicals!G$38*GREET1_Import_Export!$M74+GREET1_Import_Export!$B188*GREET1_Import_Export!$G$179+GREET1_Import_Export!$G188)+Li_Chemicals!AC$69*(Li_Chemicals!G$39*GREET1_Import_Export!$T74+GREET1_Import_Export!$B188*GREET1_Import_Export!$C$179+GREET1_Import_Export!$C188)+Li_Chemicals!AC$70*(Li_Chemicals!G$40*GREET1_Import_Export!$W74+GREET1_Import_Export!$E224*GREET1_Import_Export!$F$215+GREET1_Import_Export!$F224)+Li_Chemicals!AC$71*(Li_Chemicals!G$41*GREET1_Import_Export!$B74+Li_Chemicals!G$42*GREET1_Import_Export!$C74+Li_Chemicals!G$43*GREET1_Import_Export!$G74+(MMULT('GREET2_Factors_T&amp;D'!$F17:$H17+0,Li_Chemicals!G$45:G$47+0))+GREET1_Import_Export!$B224)+Li_Chemicals!AC$72*(Li_Chemicals!G$48*GREET1_Import_Export!$AA74+Li_Chemicals!G$49*GREET1_Import_Export!$AB74+GREET1_Import_Export!$B292)+Li_Chemicals!AC$73*SUM(GREET1_Import_Export!$B317:$C317)</f>
        <v>321.60046104947651</v>
      </c>
      <c r="AD83" s="51"/>
      <c r="AO83" s="1318"/>
      <c r="AQ83" s="1318"/>
      <c r="AR83" s="1318"/>
      <c r="AT83" s="1318"/>
    </row>
    <row r="84" spans="1:46">
      <c r="A84" s="100" t="s">
        <v>824</v>
      </c>
      <c r="B84" s="1318">
        <f>Li_Chemicals!B$67*(Li_Chemicals!B$34*GREET1_Import_Export!$K75+GREET1_Import_Export!$J189*GREET1_Import_Export!$L$179+GREET1_Import_Export!$L189)+Li_Chemicals!B$68*(Li_Chemicals!B$36*GREET1_Import_Export!$Q75+Li_Chemicals!B$37*GREET1_Import_Export!$O75+Li_Chemicals!B$38*GREET1_Import_Export!$M75+GREET1_Import_Export!$J189*GREET1_Import_Export!$M$179+GREET1_Import_Export!$M189)+Li_Chemicals!B$69*(Li_Chemicals!B$39*GREET1_Import_Export!$T75+GREET1_Import_Export!$J189*GREET1_Import_Export!$K$179+GREET1_Import_Export!$K189)+Li_Chemicals!B$70*(Li_Chemicals!B$40*GREET1_Import_Export!$W75+GREET1_Import_Export!$J225*GREET1_Import_Export!$K$215+GREET1_Import_Export!$K225)+Li_Chemicals!B$71*(Li_Chemicals!B$41*GREET1_Import_Export!$B75+Li_Chemicals!B$42*GREET1_Import_Export!$C75+Li_Chemicals!B$43*GREET1_Import_Export!$G75+Li_Chemicals!B$45*'GREET2_Factors_T&amp;D'!$F18+Li_Chemicals!B$46*'GREET2_Factors_T&amp;D'!$G18+GREET1_Import_Export!$G225)+Li_Chemicals!B$72*(Li_Chemicals!B$48*GREET1_Import_Export!$AA75+Li_Chemicals!B$49*GREET1_Import_Export!$AB75+GREET1_Import_Export!$D293)+Li_Chemicals!B$73*GREET1_Import_Export!$B351</f>
        <v>133.95604764313808</v>
      </c>
      <c r="C84" s="1445">
        <v>17.5</v>
      </c>
      <c r="D84" s="1318">
        <f>SUM('GREET2_Factors_T&amp;D'!H63:I63)</f>
        <v>100.61426067066301</v>
      </c>
      <c r="E84" s="234">
        <f t="array" ref="E84">Li_Chemicals!E$67*(Li_Chemicals!E$34*GREET1_Import_Export!$K75+GREET1_Import_Export!$B189*GREET1_Import_Export!$F$179+GREET1_Import_Export!$F189)+Li_Chemicals!E$68*(Li_Chemicals!E$36*GREET1_Import_Export!$Q75+Li_Chemicals!E$37*GREET1_Import_Export!$O75+Li_Chemicals!E$38*GREET1_Import_Export!$M75+GREET1_Import_Export!$B189*GREET1_Import_Export!$G$179+GREET1_Import_Export!$G189)+Li_Chemicals!E$69*(Li_Chemicals!E$39*GREET1_Import_Export!$T75+GREET1_Import_Export!$B189*GREET1_Import_Export!$C$179+GREET1_Import_Export!$C189)+Li_Chemicals!E$70*(Li_Chemicals!E$40*GREET1_Import_Export!$W75+GREET1_Import_Export!$E225*GREET1_Import_Export!$F$215+GREET1_Import_Export!$F225)+Li_Chemicals!E$71*(Li_Chemicals!E$41*GREET1_Import_Export!$B75+Li_Chemicals!E$42*GREET1_Import_Export!$C75+Li_Chemicals!E$43*GREET1_Import_Export!$G75+(MMULT('GREET2_Factors_T&amp;D'!$F18:$H18+0,Li_Chemicals!E$45:E$47+0))+GREET1_Import_Export!$B225)+Li_Chemicals!E$72*(Li_Chemicals!E$48*GREET1_Import_Export!$AA75+Li_Chemicals!E$49*GREET1_Import_Export!$AB75+GREET1_Import_Export!$B293)+Li_Chemicals!E$73*SUM(GREET1_Import_Export!$B318:$C318)</f>
        <v>133.1468365106042</v>
      </c>
      <c r="F84" s="1445">
        <v>17.5</v>
      </c>
      <c r="G84" s="235">
        <f>'GREET2_Factors_T&amp;D'!B63</f>
        <v>1.7523339859794316</v>
      </c>
      <c r="H84" s="1318">
        <f>Li_Chemicals!H$67*(Li_Chemicals!C$34*GREET1_Import_Export!$K75+GREET1_Import_Export!$J189*GREET1_Import_Export!$L$179+GREET1_Import_Export!$L189)+Li_Chemicals!H$68*(Li_Chemicals!C$36*GREET1_Import_Export!$Q75+Li_Chemicals!C$37*GREET1_Import_Export!$O75+Li_Chemicals!C$38*GREET1_Import_Export!$M75+GREET1_Import_Export!$J189*GREET1_Import_Export!$M$179+GREET1_Import_Export!$M189)+Li_Chemicals!H$69*(Li_Chemicals!C$39*GREET1_Import_Export!$T75+GREET1_Import_Export!$J189*GREET1_Import_Export!$K$179+GREET1_Import_Export!$K189)+Li_Chemicals!H$70*(Li_Chemicals!C$40*GREET1_Import_Export!$W75+GREET1_Import_Export!$J225*GREET1_Import_Export!$K$215+GREET1_Import_Export!$K225)+Li_Chemicals!H$71*(Li_Chemicals!C$41*GREET1_Import_Export!$T75+Li_Chemicals!C$42*GREET1_Import_Export!$C75+Li_Chemicals!C$43*GREET1_Import_Export!$G75+Li_Chemicals!C$45*'GREET2_Factors_T&amp;D'!$F18+Li_Chemicals!C$46*'GREET2_Factors_T&amp;D'!$G18+GREET1_Import_Export!$G225)+Li_Chemicals!H$72*(Li_Chemicals!C$48*GREET1_Import_Export!$AA75+Li_Chemicals!C$49*GREET1_Import_Export!$AB75+GREET1_Import_Export!$D293)+Li_Chemicals!H$73*GREET1_Import_Export!$S351</f>
        <v>16.043135398823836</v>
      </c>
      <c r="J84" s="235">
        <f>'GREET2_Factors_T&amp;D'!G63</f>
        <v>1.2616804699051907</v>
      </c>
      <c r="K84" s="1318">
        <f>Li_Chemicals!K$67*(Li_Chemicals!D$34*GREET1_Import_Export!$K75+GREET1_Import_Export!$J189*GREET1_Import_Export!$L$179+GREET1_Import_Export!$L189)+Li_Chemicals!K$68*(Li_Chemicals!D$36*GREET1_Import_Export!$Q75+Li_Chemicals!D$37*GREET1_Import_Export!$O75+Li_Chemicals!D$38*GREET1_Import_Export!$M75+GREET1_Import_Export!$J189*GREET1_Import_Export!$M$179+GREET1_Import_Export!$M189)+Li_Chemicals!K$69*(Li_Chemicals!D$39*GREET1_Import_Export!$T75+GREET1_Import_Export!$J189*GREET1_Import_Export!$K$179+GREET1_Import_Export!$K189)+Li_Chemicals!K$70*(Li_Chemicals!D$40*GREET1_Import_Export!$W75+GREET1_Import_Export!$J225*GREET1_Import_Export!$K$215+GREET1_Import_Export!$K225)+Li_Chemicals!K$71*(Li_Chemicals!D$41*GREET1_Import_Export!$T75+Li_Chemicals!D$42*GREET1_Import_Export!$C75+Li_Chemicals!D$43*GREET1_Import_Export!$G75+Li_Chemicals!D$45*'GREET2_Factors_T&amp;D'!$F18+Li_Chemicals!D$46*'GREET2_Factors_T&amp;D'!$G18+GREET1_Import_Export!$G225)+Li_Chemicals!K$72*(Li_Chemicals!D$48*GREET1_Import_Export!$AA75+Li_Chemicals!D$49*GREET1_Import_Export!$AB75+GREET1_Import_Export!$D293)+Li_Chemicals!K$73*GREET1_Import_Export!$S351</f>
        <v>256.17488430719897</v>
      </c>
      <c r="L84" s="1792">
        <v>700</v>
      </c>
      <c r="M84" s="235">
        <f>SUM('GREET2_Factors_T&amp;D'!J63:K63)</f>
        <v>181.38602555901443</v>
      </c>
      <c r="N84" s="234">
        <f t="array" ref="N84">Li_Chemicals!N$67*(Li_Chemicals!F$34*GREET1_Import_Export!$K75+GREET1_Import_Export!$B189*GREET1_Import_Export!$F$179+GREET1_Import_Export!$F189)+Li_Chemicals!N$68*(Li_Chemicals!F$36*GREET1_Import_Export!$Q75+Li_Chemicals!F$37*GREET1_Import_Export!$O75+Li_Chemicals!F$38*GREET1_Import_Export!$M75+GREET1_Import_Export!$B189*GREET1_Import_Export!$G$179+GREET1_Import_Export!$G189)+Li_Chemicals!N$69*(Li_Chemicals!F$39*GREET1_Import_Export!$T75+GREET1_Import_Export!$B189*GREET1_Import_Export!$C$179+GREET1_Import_Export!$C189)+Li_Chemicals!N$70*(Li_Chemicals!F$40*GREET1_Import_Export!$W75+GREET1_Import_Export!$E225*GREET1_Import_Export!$F$215+GREET1_Import_Export!$F225)+Li_Chemicals!N$71*(Li_Chemicals!F$41*GREET1_Import_Export!$B75+Li_Chemicals!F$42*GREET1_Import_Export!$C75+Li_Chemicals!F$43*GREET1_Import_Export!$G75+(MMULT('GREET2_Factors_T&amp;D'!$F18:$H18+0,Li_Chemicals!F$45:F$47+0))+GREET1_Import_Export!$B225)+Li_Chemicals!N$72*(Li_Chemicals!F$48*GREET1_Import_Export!$AA75+Li_Chemicals!F$49*GREET1_Import_Export!$AB75+GREET1_Import_Export!$B293)+Li_Chemicals!N$73*SUM(GREET1_Import_Export!$B318:$C318)</f>
        <v>1152.743366100322</v>
      </c>
      <c r="O84" s="1445">
        <v>970</v>
      </c>
      <c r="P84" s="228">
        <f>SUM('GREET2_Factors_T&amp;D'!C63:D63)</f>
        <v>7.9867660806560856</v>
      </c>
      <c r="Q84" s="234">
        <f>Q$67*(H$34*GREET1_Import_Export!$K75+GREET1_Import_Export!$J189*GREET1_Import_Export!$L$179+GREET1_Import_Export!$L189)+Q$68*(H$36*GREET1_Import_Export!$Q75+H$37*GREET1_Import_Export!$O75+H$38*GREET1_Import_Export!$M75+GREET1_Import_Export!$J189*GREET1_Import_Export!$M$179+GREET1_Import_Export!$M189)+Q$69*(H$39*GREET1_Import_Export!$T75+GREET1_Import_Export!$J189*GREET1_Import_Export!$K$179+GREET1_Import_Export!$K189)+Q$70*(H$40*GREET1_Import_Export!$W75+GREET1_Import_Export!$J225*GREET1_Import_Export!$K$215+GREET1_Import_Export!$K225)+Q$71*(H$41*GREET1_Import_Export!$B75+H$42*GREET1_Import_Export!$C75+H$43*GREET1_Import_Export!$G75+H$45*'GREET2_Factors_T&amp;D'!$F18+H$46*'GREET2_Factors_T&amp;D'!$G18+GREET1_Import_Export!$G225)+Q$72*(H$48*GREET1_Import_Export!$AA75+H$49*GREET1_Import_Export!$AB75+GREET1_Import_Export!$D293)+Q$73*GREET1_Import_Export!$S351</f>
        <v>3166.2721258983274</v>
      </c>
      <c r="R84" s="1790">
        <v>100</v>
      </c>
      <c r="S84" s="235">
        <f>SUM('GREET2_Factors_T&amp;D'!Z63:AA63)</f>
        <v>183.76817153289696</v>
      </c>
      <c r="T84" s="1798" cm="1">
        <f t="array" ref="T84">T$67*(I$34*GREET1_Import_Export!$K75+GREET1_Import_Export!$B189*GREET1_Import_Export!$F$179+GREET1_Import_Export!$F189)
+T$68*(I$36*GREET1_Import_Export!$B149+I$37*GREET1_Import_Export!$O75+I$38*GREET1_Import_Export!$M75+GREET1_Import_Export!$B189*GREET1_Import_Export!$G$179+GREET1_Import_Export!$G189)
+T$69*(I$39*GREET1_Import_Export!$T75+GREET1_Import_Export!$B189*GREET1_Import_Export!$C$179+GREET1_Import_Export!$C189)
+T$70*(I$40*GREET1_Import_Export!$W75+GREET1_Import_Export!$E225*GREET1_Import_Export!$F$215+GREET1_Import_Export!$F225)
+T$71*(I$41*GREET1_Import_Export!$B75+I$42*GREET1_Import_Export!$C75+I$43*GREET1_Import_Export!$G75+(MMULT('GREET2_Factors_T&amp;D'!$F18:$H18+0,I$45:I$47+0))+GREET1_Import_Export!$B225)
+T$72*(I$48*GREET1_Import_Export!$AA75+I$49*GREET1_Import_Export!$AB75+GREET1_Import_Export!$B293)
+T$73*GREET1_Import_Export!$D351</f>
        <v>32.402596978682055</v>
      </c>
      <c r="U84" s="1778"/>
      <c r="V84" s="1463">
        <f>SUM('GREET2_Factors_T&amp;D'!AB63:AG63)</f>
        <v>84.405495214227443</v>
      </c>
      <c r="W84" s="1798" cm="1">
        <f t="array" ref="W84">W$67*(J$34*GREET1_Import_Export!$K75+GREET1_Import_Export!$B189*GREET1_Import_Export!$F$179+GREET1_Import_Export!$F189)
+W$68*(J$36*GREET1_Import_Export!$Q75+J$37*GREET1_Import_Export!$O75+J$38*GREET1_Import_Export!$M75+GREET1_Import_Export!$B189*GREET1_Import_Export!$G$179+GREET1_Import_Export!$G189)
+W$69*(J$39*GREET1_Import_Export!$T75+GREET1_Import_Export!$B189*GREET1_Import_Export!$C$179+GREET1_Import_Export!$C189)
+W$70*(J$40*GREET1_Import_Export!$W75+GREET1_Import_Export!$E225*GREET1_Import_Export!$F$215+GREET1_Import_Export!$F225)
+W$71*(J$41*GREET1_Import_Export!$B75+J$42*GREET1_Import_Export!$C75+J$43*GREET1_Import_Export!$G75+(MMULT('GREET2_Factors_T&amp;D'!$F18:$H18+0,J$45:J$47+0))+GREET1_Import_Export!$B225)+W$72*(J$48*GREET1_Import_Export!$AA75+J$49*GREET1_Import_Export!$AB75+GREET1_Import_Export!$B293)
+W$73*GREET1_Import_Export!$L351</f>
        <v>2739.1161022746537</v>
      </c>
      <c r="X84" s="1778"/>
      <c r="Y84" s="1082">
        <f>SUM('GREET2_Factors_T&amp;D'!AH63:AI63)</f>
        <v>0.65712524474228673</v>
      </c>
      <c r="Z84" s="1799" cm="1">
        <f t="array" ref="Z84">Z$67*(K$34*GREET1_Import_Export!$K75+GREET1_Import_Export!$B189*GREET1_Import_Export!$F$179+GREET1_Import_Export!$F189)
+Z$68*(K$36*GREET1_Import_Export!$Q75+K$37*GREET1_Import_Export!$O75+K$38*GREET1_Import_Export!$M75+GREET1_Import_Export!$B189*GREET1_Import_Export!$G$179+GREET1_Import_Export!$G189)
+Z$69*(K$39*GREET1_Import_Export!$T75+GREET1_Import_Export!$B189*GREET1_Import_Export!$C$179+GREET1_Import_Export!$C189)
+Z$70*(K$40*GREET1_Import_Export!$W75+GREET1_Import_Export!$E225*GREET1_Import_Export!$F$215+GREET1_Import_Export!$F225)
+Z$71*(K$41*GREET1_Import_Export!$B75+K$42*GREET1_Import_Export!$C75+K$43*GREET1_Import_Export!$G75+(MMULT('GREET2_Factors_T&amp;D'!$F18:$H18+0,K$45:K$47+0))+GREET1_Import_Export!$B225)+Z$72*(K$48*GREET1_Import_Export!$AA75+K$49*GREET1_Import_Export!$AB75+GREET1_Import_Export!$B293)
+Z$73*GREET1_Import_Export!$L351</f>
        <v>2730.2061303134551</v>
      </c>
      <c r="AA84" s="1778"/>
      <c r="AB84" s="1082">
        <f>SUM('GREET2_Factors_T&amp;D'!AJ63:AK63)</f>
        <v>0.65712524474228673</v>
      </c>
      <c r="AC84" s="234">
        <f t="array" ref="AC84">Li_Chemicals!AC$67*(Li_Chemicals!G$34*GREET1_Import_Export!$K75+GREET1_Import_Export!$B189*GREET1_Import_Export!$F$179+GREET1_Import_Export!$F189)+Li_Chemicals!AC$68*(Li_Chemicals!G$36*GREET1_Import_Export!$Q75+Li_Chemicals!G$37*GREET1_Import_Export!$O75+Li_Chemicals!G$38*GREET1_Import_Export!$M75+GREET1_Import_Export!$B189*GREET1_Import_Export!$G$179+GREET1_Import_Export!$G189)+Li_Chemicals!AC$69*(Li_Chemicals!G$39*GREET1_Import_Export!$T75+GREET1_Import_Export!$B189*GREET1_Import_Export!$C$179+GREET1_Import_Export!$C189)+Li_Chemicals!AC$70*(Li_Chemicals!G$40*GREET1_Import_Export!$W75+GREET1_Import_Export!$E225*GREET1_Import_Export!$F$215+GREET1_Import_Export!$F225)+Li_Chemicals!AC$71*(Li_Chemicals!G$41*GREET1_Import_Export!$B75+Li_Chemicals!G$42*GREET1_Import_Export!$C75+Li_Chemicals!G$43*GREET1_Import_Export!$G75+(MMULT('GREET2_Factors_T&amp;D'!$F18:$H18+0,Li_Chemicals!G$45:G$47+0))+GREET1_Import_Export!$B225)+Li_Chemicals!AC$72*(Li_Chemicals!G$48*GREET1_Import_Export!$AA75+Li_Chemicals!G$49*GREET1_Import_Export!$AB75+GREET1_Import_Export!$B293)+Li_Chemicals!AC$73*SUM(GREET1_Import_Export!$B318:$C318)</f>
        <v>36.192392343197241</v>
      </c>
      <c r="AD84" s="51"/>
      <c r="AO84" s="1318"/>
      <c r="AQ84" s="1318"/>
      <c r="AR84" s="1318"/>
      <c r="AT84" s="1318"/>
    </row>
    <row r="85" spans="1:46">
      <c r="A85" s="100" t="s">
        <v>825</v>
      </c>
      <c r="B85" s="1318">
        <f>Li_Chemicals!B$67*(Li_Chemicals!B$34*GREET1_Import_Export!$K76+GREET1_Import_Export!$J190*GREET1_Import_Export!$L$179+GREET1_Import_Export!$L190)+Li_Chemicals!B$68*(Li_Chemicals!B$36*GREET1_Import_Export!$Q76+Li_Chemicals!B$37*GREET1_Import_Export!$O76+Li_Chemicals!B$38*GREET1_Import_Export!$M76+GREET1_Import_Export!$J190*GREET1_Import_Export!$M$179+GREET1_Import_Export!$M190)+Li_Chemicals!B$69*(Li_Chemicals!B$39*GREET1_Import_Export!$T76+GREET1_Import_Export!$J190*GREET1_Import_Export!$K$179+GREET1_Import_Export!$K190)+Li_Chemicals!B$70*(Li_Chemicals!B$40*GREET1_Import_Export!$W76+GREET1_Import_Export!$J226*GREET1_Import_Export!$K$215+GREET1_Import_Export!$K226)+Li_Chemicals!B$71*(Li_Chemicals!B$41*GREET1_Import_Export!$B76+Li_Chemicals!B$42*GREET1_Import_Export!$C76+Li_Chemicals!B$43*GREET1_Import_Export!$G76+Li_Chemicals!B$45*'GREET2_Factors_T&amp;D'!$F19+Li_Chemicals!B$46*'GREET2_Factors_T&amp;D'!$G19+GREET1_Import_Export!$G226)+Li_Chemicals!B$72*(Li_Chemicals!B$48*GREET1_Import_Export!$AA76+Li_Chemicals!B$49*GREET1_Import_Export!$AB76+GREET1_Import_Export!$D294)+Li_Chemicals!B$73*GREET1_Import_Export!$B352</f>
        <v>96.951305368792987</v>
      </c>
      <c r="D85" s="1318">
        <f>SUM('GREET2_Factors_T&amp;D'!H64:I64)</f>
        <v>87.864633617604525</v>
      </c>
      <c r="E85" s="234">
        <f t="array" ref="E85">Li_Chemicals!E$67*(Li_Chemicals!E$34*GREET1_Import_Export!$K76+GREET1_Import_Export!$B190*GREET1_Import_Export!$F$179+GREET1_Import_Export!$F190)+Li_Chemicals!E$68*(Li_Chemicals!E$36*GREET1_Import_Export!$Q76+Li_Chemicals!E$37*GREET1_Import_Export!$O76+Li_Chemicals!E$38*GREET1_Import_Export!$M76+GREET1_Import_Export!$B190*GREET1_Import_Export!$G$179+GREET1_Import_Export!$G190)+Li_Chemicals!E$69*(Li_Chemicals!E$39*GREET1_Import_Export!$T76+GREET1_Import_Export!$B190*GREET1_Import_Export!$C$179+GREET1_Import_Export!$C190)+Li_Chemicals!E$70*(Li_Chemicals!E$40*GREET1_Import_Export!$W76+GREET1_Import_Export!$E226*GREET1_Import_Export!$F$215+GREET1_Import_Export!$F226)+Li_Chemicals!E$71*(Li_Chemicals!E$41*GREET1_Import_Export!$B76+Li_Chemicals!E$42*GREET1_Import_Export!$C76+Li_Chemicals!E$43*GREET1_Import_Export!$G76+(MMULT('GREET2_Factors_T&amp;D'!$F19:$H19+0,Li_Chemicals!E$45:E$47+0))+GREET1_Import_Export!$B226)+Li_Chemicals!E$72*(Li_Chemicals!E$48*GREET1_Import_Export!$AA76+Li_Chemicals!E$49*GREET1_Import_Export!$AB76+GREET1_Import_Export!$B294)+Li_Chemicals!E$73*SUM(GREET1_Import_Export!$B319:$C319)</f>
        <v>96.28455766002665</v>
      </c>
      <c r="G85" s="235">
        <f>'GREET2_Factors_T&amp;D'!B64</f>
        <v>0.50910091178334582</v>
      </c>
      <c r="H85" s="1318">
        <f>Li_Chemicals!H$67*(Li_Chemicals!C$34*GREET1_Import_Export!$K76+GREET1_Import_Export!$J190*GREET1_Import_Export!$L$179+GREET1_Import_Export!$L190)+Li_Chemicals!H$68*(Li_Chemicals!C$36*GREET1_Import_Export!$Q76+Li_Chemicals!C$37*GREET1_Import_Export!$O76+Li_Chemicals!C$38*GREET1_Import_Export!$M76+GREET1_Import_Export!$J190*GREET1_Import_Export!$M$179+GREET1_Import_Export!$M190)+Li_Chemicals!H$69*(Li_Chemicals!C$39*GREET1_Import_Export!$T76+GREET1_Import_Export!$J190*GREET1_Import_Export!$K$179+GREET1_Import_Export!$K190)+Li_Chemicals!H$70*(Li_Chemicals!C$40*GREET1_Import_Export!$W76+GREET1_Import_Export!$J226*GREET1_Import_Export!$K$215+GREET1_Import_Export!$K226)+Li_Chemicals!H$71*(Li_Chemicals!C$41*GREET1_Import_Export!$T76+Li_Chemicals!C$42*GREET1_Import_Export!$C76+Li_Chemicals!C$43*GREET1_Import_Export!$G76+Li_Chemicals!C$45*'GREET2_Factors_T&amp;D'!$F19+Li_Chemicals!C$46*'GREET2_Factors_T&amp;D'!$G19+GREET1_Import_Export!$G226)+Li_Chemicals!H$72*(Li_Chemicals!C$48*GREET1_Import_Export!$AA76+Li_Chemicals!C$49*GREET1_Import_Export!$AB76+GREET1_Import_Export!$D294)+Li_Chemicals!H$73*GREET1_Import_Export!$S352</f>
        <v>11.83132279085137</v>
      </c>
      <c r="J85" s="235">
        <f>'GREET2_Factors_T&amp;D'!G64</f>
        <v>0.36655265648400898</v>
      </c>
      <c r="K85" s="1318">
        <f>Li_Chemicals!K$67*(Li_Chemicals!D$34*GREET1_Import_Export!$K76+GREET1_Import_Export!$J190*GREET1_Import_Export!$L$179+GREET1_Import_Export!$L190)+Li_Chemicals!K$68*(Li_Chemicals!D$36*GREET1_Import_Export!$Q76+Li_Chemicals!D$37*GREET1_Import_Export!$O76+Li_Chemicals!D$38*GREET1_Import_Export!$M76+GREET1_Import_Export!$J190*GREET1_Import_Export!$M$179+GREET1_Import_Export!$M190)+Li_Chemicals!K$69*(Li_Chemicals!D$39*GREET1_Import_Export!$T76+GREET1_Import_Export!$J190*GREET1_Import_Export!$K$179+GREET1_Import_Export!$K190)+Li_Chemicals!K$70*(Li_Chemicals!D$40*GREET1_Import_Export!$W76+GREET1_Import_Export!$J226*GREET1_Import_Export!$K$215+GREET1_Import_Export!$K226)+Li_Chemicals!K$71*(Li_Chemicals!D$41*GREET1_Import_Export!$T76+Li_Chemicals!D$42*GREET1_Import_Export!$C76+Li_Chemicals!D$43*GREET1_Import_Export!$G76+Li_Chemicals!D$45*'GREET2_Factors_T&amp;D'!$F19+Li_Chemicals!D$46*'GREET2_Factors_T&amp;D'!$G19+GREET1_Import_Export!$G226)+Li_Chemicals!K$72*(Li_Chemicals!D$48*GREET1_Import_Export!$AA76+Li_Chemicals!D$49*GREET1_Import_Export!$AB76+GREET1_Import_Export!$D294)+Li_Chemicals!K$73*GREET1_Import_Export!$S352</f>
        <v>242.86492873258572</v>
      </c>
      <c r="L85" s="1792">
        <v>400</v>
      </c>
      <c r="M85" s="235">
        <f>SUM('GREET2_Factors_T&amp;D'!J64:K64)</f>
        <v>166.71287971970554</v>
      </c>
      <c r="N85" s="234">
        <f t="array" ref="N85">Li_Chemicals!N$67*(Li_Chemicals!F$34*GREET1_Import_Export!$K76+GREET1_Import_Export!$B190*GREET1_Import_Export!$F$179+GREET1_Import_Export!$F190)+Li_Chemicals!N$68*(Li_Chemicals!F$36*GREET1_Import_Export!$Q76+Li_Chemicals!F$37*GREET1_Import_Export!$O76+Li_Chemicals!F$38*GREET1_Import_Export!$M76+GREET1_Import_Export!$B190*GREET1_Import_Export!$G$179+GREET1_Import_Export!$G190)+Li_Chemicals!N$69*(Li_Chemicals!F$39*GREET1_Import_Export!$T76+GREET1_Import_Export!$B190*GREET1_Import_Export!$C$179+GREET1_Import_Export!$C190)+Li_Chemicals!N$70*(Li_Chemicals!F$40*GREET1_Import_Export!$W76+GREET1_Import_Export!$E226*GREET1_Import_Export!$F$215+GREET1_Import_Export!$F226)+Li_Chemicals!N$71*(Li_Chemicals!F$41*GREET1_Import_Export!$B76+Li_Chemicals!F$42*GREET1_Import_Export!$C76+Li_Chemicals!F$43*GREET1_Import_Export!$G76+(MMULT('GREET2_Factors_T&amp;D'!$F19:$H19+0,Li_Chemicals!F$45:F$47+0))+GREET1_Import_Export!$B226)+Li_Chemicals!N$72*(Li_Chemicals!F$48*GREET1_Import_Export!$AA76+Li_Chemicals!F$49*GREET1_Import_Export!$AB76+GREET1_Import_Export!$B294)+Li_Chemicals!N$73*SUM(GREET1_Import_Export!$B319:$C319)</f>
        <v>681.79997157245566</v>
      </c>
      <c r="O85" s="112"/>
      <c r="P85" s="228">
        <f>SUM('GREET2_Factors_T&amp;D'!C64:D64)</f>
        <v>6.4410623975625896</v>
      </c>
      <c r="Q85" s="234">
        <f>Q$67*(H$34*GREET1_Import_Export!$K76+GREET1_Import_Export!$J190*GREET1_Import_Export!$L$179+GREET1_Import_Export!$L190)+Q$68*(H$36*GREET1_Import_Export!$Q76+H$37*GREET1_Import_Export!$O76+H$38*GREET1_Import_Export!$M76+GREET1_Import_Export!$J190*GREET1_Import_Export!$M$179+GREET1_Import_Export!$M190)+Q$69*(H$39*GREET1_Import_Export!$T76+GREET1_Import_Export!$J190*GREET1_Import_Export!$K$179+GREET1_Import_Export!$K190)+Q$70*(H$40*GREET1_Import_Export!$W76+GREET1_Import_Export!$J226*GREET1_Import_Export!$K$215+GREET1_Import_Export!$K226)+Q$71*(H$41*GREET1_Import_Export!$B76+H$42*GREET1_Import_Export!$C76+H$43*GREET1_Import_Export!$G76+H$45*'GREET2_Factors_T&amp;D'!$F19+H$46*'GREET2_Factors_T&amp;D'!$G19+GREET1_Import_Export!$G226)+Q$72*(H$48*GREET1_Import_Export!$AA76+H$49*GREET1_Import_Export!$AB76+GREET1_Import_Export!$D294)+Q$73*GREET1_Import_Export!$S352</f>
        <v>3084.7843421890843</v>
      </c>
      <c r="R85" s="1790">
        <v>50</v>
      </c>
      <c r="S85" s="235">
        <f>SUM('GREET2_Factors_T&amp;D'!Z64:AA64)</f>
        <v>168.90413340612449</v>
      </c>
      <c r="T85" s="1798" cm="1">
        <f t="array" ref="T85">T$67*(I$34*GREET1_Import_Export!$K76+GREET1_Import_Export!$B190*GREET1_Import_Export!$F$179+GREET1_Import_Export!$F190)
+T$68*(I$36*GREET1_Import_Export!$B150+I$37*GREET1_Import_Export!$O76+I$38*GREET1_Import_Export!$M76+GREET1_Import_Export!$B190*GREET1_Import_Export!$G$179+GREET1_Import_Export!$G190)
+T$69*(I$39*GREET1_Import_Export!$T76+GREET1_Import_Export!$B190*GREET1_Import_Export!$C$179+GREET1_Import_Export!$C190)
+T$70*(I$40*GREET1_Import_Export!$W76+GREET1_Import_Export!$E226*GREET1_Import_Export!$F$215+GREET1_Import_Export!$F226)
+T$71*(I$41*GREET1_Import_Export!$B76+I$42*GREET1_Import_Export!$C76+I$43*GREET1_Import_Export!$G76+(MMULT('GREET2_Factors_T&amp;D'!$F19:$H19+0,I$45:I$47+0))+GREET1_Import_Export!$B226)
+T$72*(I$48*GREET1_Import_Export!$AA76+I$49*GREET1_Import_Export!$AB76+GREET1_Import_Export!$B294)
+T$73*GREET1_Import_Export!$D352</f>
        <v>27.81358156277982</v>
      </c>
      <c r="U85" s="1288"/>
      <c r="V85" s="1463">
        <f>SUM('GREET2_Factors_T&amp;D'!AB64:AG64)</f>
        <v>76.625411001868841</v>
      </c>
      <c r="W85" s="1798" cm="1">
        <f t="array" ref="W85">W$67*(J$34*GREET1_Import_Export!$K76+GREET1_Import_Export!$B190*GREET1_Import_Export!$F$179+GREET1_Import_Export!$F190)
+W$68*(J$36*GREET1_Import_Export!$Q76+J$37*GREET1_Import_Export!$O76+J$38*GREET1_Import_Export!$M76+GREET1_Import_Export!$B190*GREET1_Import_Export!$G$179+GREET1_Import_Export!$G190)
+W$69*(J$39*GREET1_Import_Export!$T76+GREET1_Import_Export!$B190*GREET1_Import_Export!$C$179+GREET1_Import_Export!$C190)
+W$70*(J$40*GREET1_Import_Export!$W76+GREET1_Import_Export!$E226*GREET1_Import_Export!$F$215+GREET1_Import_Export!$F226)
+W$71*(J$41*GREET1_Import_Export!$B76+J$42*GREET1_Import_Export!$C76+J$43*GREET1_Import_Export!$G76+(MMULT('GREET2_Factors_T&amp;D'!$F19:$H19+0,J$45:J$47+0))+GREET1_Import_Export!$B226)+W$72*(J$48*GREET1_Import_Export!$AA76+J$49*GREET1_Import_Export!$AB76+GREET1_Import_Export!$B294)
+W$73*GREET1_Import_Export!$L352</f>
        <v>1773.7146631503749</v>
      </c>
      <c r="X85" s="1288"/>
      <c r="Y85" s="1082">
        <f>SUM('GREET2_Factors_T&amp;D'!AH64:AI64)</f>
        <v>0.19091284191875471</v>
      </c>
      <c r="Z85" s="1799" cm="1">
        <f t="array" ref="Z85">Z$67*(K$34*GREET1_Import_Export!$K76+GREET1_Import_Export!$B190*GREET1_Import_Export!$F$179+GREET1_Import_Export!$F190)
+Z$68*(K$36*GREET1_Import_Export!$Q76+K$37*GREET1_Import_Export!$O76+K$38*GREET1_Import_Export!$M76+GREET1_Import_Export!$B190*GREET1_Import_Export!$G$179+GREET1_Import_Export!$G190)
+Z$69*(K$39*GREET1_Import_Export!$T76+GREET1_Import_Export!$B190*GREET1_Import_Export!$C$179+GREET1_Import_Export!$C190)
+Z$70*(K$40*GREET1_Import_Export!$W76+GREET1_Import_Export!$E226*GREET1_Import_Export!$F$215+GREET1_Import_Export!$F226)
+Z$71*(K$41*GREET1_Import_Export!$B76+K$42*GREET1_Import_Export!$C76+K$43*GREET1_Import_Export!$G76+(MMULT('GREET2_Factors_T&amp;D'!$F19:$H19+0,K$45:K$47+0))+GREET1_Import_Export!$B226)+Z$72*(K$48*GREET1_Import_Export!$AA76+K$49*GREET1_Import_Export!$AB76+GREET1_Import_Export!$B294)
+Z$73*GREET1_Import_Export!$L352</f>
        <v>1582.4728542894873</v>
      </c>
      <c r="AA85" s="1288"/>
      <c r="AB85" s="1082">
        <f>SUM('GREET2_Factors_T&amp;D'!AJ64:AK64)</f>
        <v>0.19091284191875471</v>
      </c>
      <c r="AC85" s="234">
        <f t="array" ref="AC85">Li_Chemicals!AC$67*(Li_Chemicals!G$34*GREET1_Import_Export!$K76+GREET1_Import_Export!$B190*GREET1_Import_Export!$F$179+GREET1_Import_Export!$F190)+Li_Chemicals!AC$68*(Li_Chemicals!G$36*GREET1_Import_Export!$Q76+Li_Chemicals!G$37*GREET1_Import_Export!$O76+Li_Chemicals!G$38*GREET1_Import_Export!$M76+GREET1_Import_Export!$B190*GREET1_Import_Export!$G$179+GREET1_Import_Export!$G190)+Li_Chemicals!AC$69*(Li_Chemicals!G$39*GREET1_Import_Export!$T76+GREET1_Import_Export!$B190*GREET1_Import_Export!$C$179+GREET1_Import_Export!$C190)+Li_Chemicals!AC$70*(Li_Chemicals!G$40*GREET1_Import_Export!$W76+GREET1_Import_Export!$E226*GREET1_Import_Export!$F$215+GREET1_Import_Export!$F226)+Li_Chemicals!AC$71*(Li_Chemicals!G$41*GREET1_Import_Export!$B76+Li_Chemicals!G$42*GREET1_Import_Export!$C76+Li_Chemicals!G$43*GREET1_Import_Export!$G76+(MMULT('GREET2_Factors_T&amp;D'!$F19:$H19+0,Li_Chemicals!G$45:G$47+0))+GREET1_Import_Export!$B226)+Li_Chemicals!AC$72*(Li_Chemicals!G$48*GREET1_Import_Export!$AA76+Li_Chemicals!G$49*GREET1_Import_Export!$AB76+GREET1_Import_Export!$B294)+Li_Chemicals!AC$73*SUM(GREET1_Import_Export!$B319:$C319)</f>
        <v>24.513916085457272</v>
      </c>
      <c r="AD85" s="51"/>
      <c r="AO85" s="1318"/>
      <c r="AQ85" s="1318"/>
      <c r="AR85" s="1318"/>
      <c r="AT85" s="1318"/>
    </row>
    <row r="86" spans="1:46">
      <c r="A86" s="100" t="s">
        <v>826</v>
      </c>
      <c r="B86" s="1318">
        <f>Li_Chemicals!B$67*(Li_Chemicals!B$34*GREET1_Import_Export!$K77+GREET1_Import_Export!$J191*GREET1_Import_Export!$L$179+GREET1_Import_Export!$L191)+Li_Chemicals!B$68*(Li_Chemicals!B$36*GREET1_Import_Export!$Q77+Li_Chemicals!B$37*GREET1_Import_Export!$O77+Li_Chemicals!B$38*GREET1_Import_Export!$M77+GREET1_Import_Export!$J191*GREET1_Import_Export!$M$179+GREET1_Import_Export!$M191)+Li_Chemicals!B$69*(Li_Chemicals!B$39*GREET1_Import_Export!$T77+GREET1_Import_Export!$J191*GREET1_Import_Export!$K$179+GREET1_Import_Export!$K191)+Li_Chemicals!B$70*(Li_Chemicals!B$40*GREET1_Import_Export!$W77+GREET1_Import_Export!$J227*GREET1_Import_Export!$K$215+GREET1_Import_Export!$K227)+Li_Chemicals!B$71*(Li_Chemicals!B$41*GREET1_Import_Export!$B77+Li_Chemicals!B$42*GREET1_Import_Export!$C77+Li_Chemicals!B$43*GREET1_Import_Export!$G77+Li_Chemicals!B$45*'GREET2_Factors_T&amp;D'!$F20+Li_Chemicals!B$46*'GREET2_Factors_T&amp;D'!$G20+GREET1_Import_Export!$G227)+Li_Chemicals!B$72*(Li_Chemicals!B$48*GREET1_Import_Export!$AA77+Li_Chemicals!B$49*GREET1_Import_Export!$AB77+GREET1_Import_Export!$D295)+Li_Chemicals!B$73*GREET1_Import_Export!$B353</f>
        <v>165.15770310710985</v>
      </c>
      <c r="D86" s="1318">
        <f>SUM('GREET2_Factors_T&amp;D'!H65:I65)</f>
        <v>745.25479885489483</v>
      </c>
      <c r="E86" s="234">
        <f t="array" ref="E86">Li_Chemicals!E$67*(Li_Chemicals!E$34*GREET1_Import_Export!$K77+GREET1_Import_Export!$B191*GREET1_Import_Export!$F$179+GREET1_Import_Export!$F191)+Li_Chemicals!E$68*(Li_Chemicals!E$36*GREET1_Import_Export!$Q77+Li_Chemicals!E$37*GREET1_Import_Export!$O77+Li_Chemicals!E$38*GREET1_Import_Export!$M77+GREET1_Import_Export!$B191*GREET1_Import_Export!$G$179+GREET1_Import_Export!$G191)+Li_Chemicals!E$69*(Li_Chemicals!E$39*GREET1_Import_Export!$T77+GREET1_Import_Export!$B191*GREET1_Import_Export!$C$179+GREET1_Import_Export!$C191)+Li_Chemicals!E$70*(Li_Chemicals!E$40*GREET1_Import_Export!$W77+GREET1_Import_Export!$E227*GREET1_Import_Export!$F$215+GREET1_Import_Export!$F227)+Li_Chemicals!E$71*(Li_Chemicals!E$41*GREET1_Import_Export!$B77+Li_Chemicals!E$42*GREET1_Import_Export!$C77+Li_Chemicals!E$43*GREET1_Import_Export!$G77+(MMULT('GREET2_Factors_T&amp;D'!$F20:$H20+0,Li_Chemicals!E$45:E$47+0))+GREET1_Import_Export!$B227)+Li_Chemicals!E$72*(Li_Chemicals!E$48*GREET1_Import_Export!$AA77+Li_Chemicals!E$49*GREET1_Import_Export!$AB77+GREET1_Import_Export!$B295)+Li_Chemicals!E$73*SUM(GREET1_Import_Export!$B320:$C320)</f>
        <v>162.56687924966545</v>
      </c>
      <c r="G86" s="235">
        <f>'GREET2_Factors_T&amp;D'!B65</f>
        <v>1.22553203572348</v>
      </c>
      <c r="H86" s="1318">
        <f>Li_Chemicals!H$67*(Li_Chemicals!C$34*GREET1_Import_Export!$K77+GREET1_Import_Export!$J191*GREET1_Import_Export!$L$179+GREET1_Import_Export!$L191)+Li_Chemicals!H$68*(Li_Chemicals!C$36*GREET1_Import_Export!$Q77+Li_Chemicals!C$37*GREET1_Import_Export!$O77+Li_Chemicals!C$38*GREET1_Import_Export!$M77+GREET1_Import_Export!$J191*GREET1_Import_Export!$M$179+GREET1_Import_Export!$M191)+Li_Chemicals!H$69*(Li_Chemicals!C$39*GREET1_Import_Export!$T77+GREET1_Import_Export!$J191*GREET1_Import_Export!$K$179+GREET1_Import_Export!$K191)+Li_Chemicals!H$70*(Li_Chemicals!C$40*GREET1_Import_Export!$W77+GREET1_Import_Export!$J227*GREET1_Import_Export!$K$215+GREET1_Import_Export!$K227)+Li_Chemicals!H$71*(Li_Chemicals!C$41*GREET1_Import_Export!$T77+Li_Chemicals!C$42*GREET1_Import_Export!$C77+Li_Chemicals!C$43*GREET1_Import_Export!$G77+Li_Chemicals!C$45*'GREET2_Factors_T&amp;D'!$F20+Li_Chemicals!C$46*'GREET2_Factors_T&amp;D'!$G20+GREET1_Import_Export!$G227)+Li_Chemicals!H$72*(Li_Chemicals!C$48*GREET1_Import_Export!$AA77+Li_Chemicals!C$49*GREET1_Import_Export!$AB77+GREET1_Import_Export!$D295)+Li_Chemicals!H$73*GREET1_Import_Export!$S353</f>
        <v>58.859699574679084</v>
      </c>
      <c r="J86" s="235">
        <f>'GREET2_Factors_T&amp;D'!G65</f>
        <v>0.88238306572090552</v>
      </c>
      <c r="K86" s="1318">
        <f>Li_Chemicals!K$67*(Li_Chemicals!D$34*GREET1_Import_Export!$K77+GREET1_Import_Export!$J191*GREET1_Import_Export!$L$179+GREET1_Import_Export!$L191)+Li_Chemicals!K$68*(Li_Chemicals!D$36*GREET1_Import_Export!$Q77+Li_Chemicals!D$37*GREET1_Import_Export!$O77+Li_Chemicals!D$38*GREET1_Import_Export!$M77+GREET1_Import_Export!$J191*GREET1_Import_Export!$M$179+GREET1_Import_Export!$M191)+Li_Chemicals!K$69*(Li_Chemicals!D$39*GREET1_Import_Export!$T77+GREET1_Import_Export!$J191*GREET1_Import_Export!$K$179+GREET1_Import_Export!$K191)+Li_Chemicals!K$70*(Li_Chemicals!D$40*GREET1_Import_Export!$W77+GREET1_Import_Export!$J227*GREET1_Import_Export!$K$215+GREET1_Import_Export!$K227)+Li_Chemicals!K$71*(Li_Chemicals!D$41*GREET1_Import_Export!$T77+Li_Chemicals!D$42*GREET1_Import_Export!$C77+Li_Chemicals!D$43*GREET1_Import_Export!$G77+Li_Chemicals!D$45*'GREET2_Factors_T&amp;D'!$F20+Li_Chemicals!D$46*'GREET2_Factors_T&amp;D'!$G20+GREET1_Import_Export!$G227)+Li_Chemicals!K$72*(Li_Chemicals!D$48*GREET1_Import_Export!$AA77+Li_Chemicals!D$49*GREET1_Import_Export!$AB77+GREET1_Import_Export!$D295)+Li_Chemicals!K$73*GREET1_Import_Export!$S353</f>
        <v>279.65278152368626</v>
      </c>
      <c r="M86" s="235">
        <f>SUM('GREET2_Factors_T&amp;D'!J65:K65)</f>
        <v>1439.2054557341594</v>
      </c>
      <c r="N86" s="234">
        <f t="array" ref="N86">Li_Chemicals!N$67*(Li_Chemicals!F$34*GREET1_Import_Export!$K77+GREET1_Import_Export!$B191*GREET1_Import_Export!$F$179+GREET1_Import_Export!$F191)+Li_Chemicals!N$68*(Li_Chemicals!F$36*GREET1_Import_Export!$Q77+Li_Chemicals!F$37*GREET1_Import_Export!$O77+Li_Chemicals!F$38*GREET1_Import_Export!$M77+GREET1_Import_Export!$B191*GREET1_Import_Export!$G$179+GREET1_Import_Export!$G191)+Li_Chemicals!N$69*(Li_Chemicals!F$39*GREET1_Import_Export!$T77+GREET1_Import_Export!$B191*GREET1_Import_Export!$C$179+GREET1_Import_Export!$C191)+Li_Chemicals!N$70*(Li_Chemicals!F$40*GREET1_Import_Export!$W77+GREET1_Import_Export!$E227*GREET1_Import_Export!$F$215+GREET1_Import_Export!$F227)+Li_Chemicals!N$71*(Li_Chemicals!F$41*GREET1_Import_Export!$B77+Li_Chemicals!F$42*GREET1_Import_Export!$C77+Li_Chemicals!F$43*GREET1_Import_Export!$G77+(MMULT('GREET2_Factors_T&amp;D'!$F20:$H20+0,Li_Chemicals!F$45:F$47+0))+GREET1_Import_Export!$B227)+Li_Chemicals!N$72*(Li_Chemicals!F$48*GREET1_Import_Export!$AA77+Li_Chemicals!F$49*GREET1_Import_Export!$AB77+GREET1_Import_Export!$B295)+Li_Chemicals!N$73*SUM(GREET1_Import_Export!$B320:$C320)</f>
        <v>3957.1012958647561</v>
      </c>
      <c r="O86" s="1445">
        <v>0.76</v>
      </c>
      <c r="P86" s="228">
        <f>SUM('GREET2_Factors_T&amp;D'!C65:D65)</f>
        <v>5.1584463613828762</v>
      </c>
      <c r="Q86" s="234">
        <f>Q$67*(H$34*GREET1_Import_Export!$K77+GREET1_Import_Export!$J191*GREET1_Import_Export!$L$179+GREET1_Import_Export!$L191)+Q$68*(H$36*GREET1_Import_Export!$Q77+H$37*GREET1_Import_Export!$O77+H$38*GREET1_Import_Export!$M77+GREET1_Import_Export!$J191*GREET1_Import_Export!$M$179+GREET1_Import_Export!$M191)+Q$69*(H$39*GREET1_Import_Export!$T77+GREET1_Import_Export!$J191*GREET1_Import_Export!$K$179+GREET1_Import_Export!$K191)+Q$70*(H$40*GREET1_Import_Export!$W77+GREET1_Import_Export!$J227*GREET1_Import_Export!$K$215+GREET1_Import_Export!$K227)+Q$71*(H$41*GREET1_Import_Export!$B77+H$42*GREET1_Import_Export!$C77+H$43*GREET1_Import_Export!$G77+H$45*'GREET2_Factors_T&amp;D'!$F20+H$46*'GREET2_Factors_T&amp;D'!$G20+GREET1_Import_Export!$G227)+Q$72*(H$48*GREET1_Import_Export!$AA77+H$49*GREET1_Import_Export!$AB77+GREET1_Import_Export!$D295)+Q$73*GREET1_Import_Export!$S353</f>
        <v>2391.0747773890021</v>
      </c>
      <c r="R86" s="122"/>
      <c r="S86" s="235">
        <f>SUM('GREET2_Factors_T&amp;D'!Z65:AA65)</f>
        <v>1458.1274054478113</v>
      </c>
      <c r="T86" s="1798" cm="1">
        <f t="array" ref="T86">T$67*(I$34*GREET1_Import_Export!$K77+GREET1_Import_Export!$B191*GREET1_Import_Export!$F$179+GREET1_Import_Export!$F191)
+T$68*(I$36*GREET1_Import_Export!$B151+I$37*GREET1_Import_Export!$O77+I$38*GREET1_Import_Export!$M77+GREET1_Import_Export!$B191*GREET1_Import_Export!$G$179+GREET1_Import_Export!$G191)
+T$69*(I$39*GREET1_Import_Export!$T77+GREET1_Import_Export!$B191*GREET1_Import_Export!$C$179+GREET1_Import_Export!$C191)
+T$70*(I$40*GREET1_Import_Export!$W77+GREET1_Import_Export!$E227*GREET1_Import_Export!$F$215+GREET1_Import_Export!$F227)
+T$71*(I$41*GREET1_Import_Export!$B77+I$42*GREET1_Import_Export!$C77+I$43*GREET1_Import_Export!$G77+(MMULT('GREET2_Factors_T&amp;D'!$F20:$H20+0,I$45:I$47+0))+GREET1_Import_Export!$B227)
+T$72*(I$48*GREET1_Import_Export!$AA77+I$49*GREET1_Import_Export!$AB77+GREET1_Import_Export!$B295)
+T$73*GREET1_Import_Export!$D353</f>
        <v>19.696384339717163</v>
      </c>
      <c r="U86" s="1288"/>
      <c r="V86" s="1463">
        <f>SUM('GREET2_Factors_T&amp;D'!AB65:AG65)</f>
        <v>654.4821079098142</v>
      </c>
      <c r="W86" s="1798" cm="1">
        <f t="array" ref="W86">W$67*(J$34*GREET1_Import_Export!$K77+GREET1_Import_Export!$B191*GREET1_Import_Export!$F$179+GREET1_Import_Export!$F191)
+W$68*(J$36*GREET1_Import_Export!$Q77+J$37*GREET1_Import_Export!$O77+J$38*GREET1_Import_Export!$M77+GREET1_Import_Export!$B191*GREET1_Import_Export!$G$179+GREET1_Import_Export!$G191)
+W$69*(J$39*GREET1_Import_Export!$T77+GREET1_Import_Export!$B191*GREET1_Import_Export!$C$179+GREET1_Import_Export!$C191)
+W$70*(J$40*GREET1_Import_Export!$W77+GREET1_Import_Export!$E227*GREET1_Import_Export!$F$215+GREET1_Import_Export!$F227)
+W$71*(J$41*GREET1_Import_Export!$B77+J$42*GREET1_Import_Export!$C77+J$43*GREET1_Import_Export!$G77+(MMULT('GREET2_Factors_T&amp;D'!$F20:$H20+0,J$45:J$47+0))+GREET1_Import_Export!$B227)+W$72*(J$48*GREET1_Import_Export!$AA77+J$49*GREET1_Import_Export!$AB77+GREET1_Import_Export!$B295)
+W$73*GREET1_Import_Export!$L353</f>
        <v>13285.323155635735</v>
      </c>
      <c r="X86" s="1288"/>
      <c r="Y86" s="1082">
        <f>SUM('GREET2_Factors_T&amp;D'!AH65:AI65)</f>
        <v>0.45957451339630495</v>
      </c>
      <c r="Z86" s="1799" cm="1">
        <f t="array" ref="Z86">Z$67*(K$34*GREET1_Import_Export!$K77+GREET1_Import_Export!$B191*GREET1_Import_Export!$F$179+GREET1_Import_Export!$F191)
+Z$68*(K$36*GREET1_Import_Export!$Q77+K$37*GREET1_Import_Export!$O77+K$38*GREET1_Import_Export!$M77+GREET1_Import_Export!$B191*GREET1_Import_Export!$G$179+GREET1_Import_Export!$G191)
+Z$69*(K$39*GREET1_Import_Export!$T77+GREET1_Import_Export!$B191*GREET1_Import_Export!$C$179+GREET1_Import_Export!$C191)
+Z$70*(K$40*GREET1_Import_Export!$W77+GREET1_Import_Export!$E227*GREET1_Import_Export!$F$215+GREET1_Import_Export!$F227)
+Z$71*(K$41*GREET1_Import_Export!$B77+K$42*GREET1_Import_Export!$C77+K$43*GREET1_Import_Export!$G77+(MMULT('GREET2_Factors_T&amp;D'!$F20:$H20+0,K$45:K$47+0))+GREET1_Import_Export!$B227)+Z$72*(K$48*GREET1_Import_Export!$AA77+K$49*GREET1_Import_Export!$AB77+GREET1_Import_Export!$B295)
+Z$73*GREET1_Import_Export!$L353</f>
        <v>18263.754074888038</v>
      </c>
      <c r="AA86" s="1288"/>
      <c r="AB86" s="1082">
        <f>SUM('GREET2_Factors_T&amp;D'!AJ65:AK65)</f>
        <v>0.45957451339630495</v>
      </c>
      <c r="AC86" s="234">
        <f t="array" ref="AC86">Li_Chemicals!AC$67*(Li_Chemicals!G$34*GREET1_Import_Export!$K77+GREET1_Import_Export!$B191*GREET1_Import_Export!$F$179+GREET1_Import_Export!$F191)+Li_Chemicals!AC$68*(Li_Chemicals!G$36*GREET1_Import_Export!$Q77+Li_Chemicals!G$37*GREET1_Import_Export!$O77+Li_Chemicals!G$38*GREET1_Import_Export!$M77+GREET1_Import_Export!$B191*GREET1_Import_Export!$G$179+GREET1_Import_Export!$G191)+Li_Chemicals!AC$69*(Li_Chemicals!G$39*GREET1_Import_Export!$T77+GREET1_Import_Export!$B191*GREET1_Import_Export!$C$179+GREET1_Import_Export!$C191)+Li_Chemicals!AC$70*(Li_Chemicals!G$40*GREET1_Import_Export!$W77+GREET1_Import_Export!$E227*GREET1_Import_Export!$F$215+GREET1_Import_Export!$F227)+Li_Chemicals!AC$71*(Li_Chemicals!G$41*GREET1_Import_Export!$B77+Li_Chemicals!G$42*GREET1_Import_Export!$C77+Li_Chemicals!G$43*GREET1_Import_Export!$G77+(MMULT('GREET2_Factors_T&amp;D'!$F20:$H20+0,Li_Chemicals!G$45:G$47+0))+GREET1_Import_Export!$B227)+Li_Chemicals!AC$72*(Li_Chemicals!G$48*GREET1_Import_Export!$AA77+Li_Chemicals!G$49*GREET1_Import_Export!$AB77+GREET1_Import_Export!$B295)+Li_Chemicals!AC$73*SUM(GREET1_Import_Export!$B320:$C320)</f>
        <v>161.96258773359676</v>
      </c>
      <c r="AD86" s="51"/>
      <c r="AO86" s="1318"/>
      <c r="AQ86" s="1318"/>
      <c r="AR86" s="1318"/>
      <c r="AT86" s="1318"/>
    </row>
    <row r="87" spans="1:46">
      <c r="A87" s="59" t="s">
        <v>827</v>
      </c>
      <c r="B87" s="1318">
        <f>Li_Chemicals!B$67*(Li_Chemicals!B$34*GREET1_Import_Export!$K78+GREET1_Import_Export!$J192*GREET1_Import_Export!$L$179+GREET1_Import_Export!$L192)+Li_Chemicals!B$68*(Li_Chemicals!B$36*GREET1_Import_Export!$Q78+Li_Chemicals!B$37*GREET1_Import_Export!$O78+Li_Chemicals!B$38*GREET1_Import_Export!$M78+GREET1_Import_Export!$J192*GREET1_Import_Export!$M$179+GREET1_Import_Export!$M192)+Li_Chemicals!B$69*(Li_Chemicals!B$39*GREET1_Import_Export!$T78+GREET1_Import_Export!$J192*GREET1_Import_Export!$K$179+GREET1_Import_Export!$K192)+Li_Chemicals!B$70*(Li_Chemicals!B$40*GREET1_Import_Export!$W78+GREET1_Import_Export!$J228*GREET1_Import_Export!$K$215+GREET1_Import_Export!$K228)+Li_Chemicals!B$71*(Li_Chemicals!B$41*GREET1_Import_Export!$B78+Li_Chemicals!B$42*GREET1_Import_Export!$C78+Li_Chemicals!B$43*GREET1_Import_Export!$G78+Li_Chemicals!B$45*'GREET2_Factors_T&amp;D'!$F21+Li_Chemicals!B$46*'GREET2_Factors_T&amp;D'!$G21+GREET1_Import_Export!$G228)+Li_Chemicals!B$72*(Li_Chemicals!B$48*GREET1_Import_Export!$AA78+Li_Chemicals!B$49*GREET1_Import_Export!$AB78+GREET1_Import_Export!$D296)+Li_Chemicals!B$73*GREET1_Import_Export!$B354</f>
        <v>4.3590546887663706</v>
      </c>
      <c r="D87" s="1318">
        <f>SUM('GREET2_Factors_T&amp;D'!H66:I66)</f>
        <v>13.062416235436105</v>
      </c>
      <c r="E87" s="234">
        <f t="array" ref="E87">Li_Chemicals!E$67*(Li_Chemicals!E$34*GREET1_Import_Export!$K78+GREET1_Import_Export!$B192*GREET1_Import_Export!$F$179+GREET1_Import_Export!$F192)+Li_Chemicals!E$68*(Li_Chemicals!E$36*GREET1_Import_Export!$Q78+Li_Chemicals!E$37*GREET1_Import_Export!$O78+Li_Chemicals!E$38*GREET1_Import_Export!$M78+GREET1_Import_Export!$B192*GREET1_Import_Export!$G$179+GREET1_Import_Export!$G192)+Li_Chemicals!E$69*(Li_Chemicals!E$39*GREET1_Import_Export!$T78+GREET1_Import_Export!$B192*GREET1_Import_Export!$C$179+GREET1_Import_Export!$C192)+Li_Chemicals!E$70*(Li_Chemicals!E$40*GREET1_Import_Export!$W78+GREET1_Import_Export!$E228*GREET1_Import_Export!$F$215+GREET1_Import_Export!$F228)+Li_Chemicals!E$71*(Li_Chemicals!E$41*GREET1_Import_Export!$B78+Li_Chemicals!E$42*GREET1_Import_Export!$C78+Li_Chemicals!E$43*GREET1_Import_Export!$G78+(MMULT('GREET2_Factors_T&amp;D'!$F21:$H21+0,Li_Chemicals!E$45:E$47+0))+GREET1_Import_Export!$B228)+Li_Chemicals!E$72*(Li_Chemicals!E$48*GREET1_Import_Export!$AA78+Li_Chemicals!E$49*GREET1_Import_Export!$AB78+GREET1_Import_Export!$B296)+Li_Chemicals!E$73*SUM(GREET1_Import_Export!$B321:$C321)</f>
        <v>4.2612875338570433</v>
      </c>
      <c r="G87" s="235">
        <f>'GREET2_Factors_T&amp;D'!B66</f>
        <v>4.903553582135857E-2</v>
      </c>
      <c r="H87" s="1318">
        <f>Li_Chemicals!H$67*(Li_Chemicals!C$34*GREET1_Import_Export!$K78+GREET1_Import_Export!$J192*GREET1_Import_Export!$L$179+GREET1_Import_Export!$L192)+Li_Chemicals!H$68*(Li_Chemicals!C$36*GREET1_Import_Export!$Q78+Li_Chemicals!C$37*GREET1_Import_Export!$O78+Li_Chemicals!C$38*GREET1_Import_Export!$M78+GREET1_Import_Export!$J192*GREET1_Import_Export!$M$179+GREET1_Import_Export!$M192)+Li_Chemicals!H$69*(Li_Chemicals!C$39*GREET1_Import_Export!$T78+GREET1_Import_Export!$J192*GREET1_Import_Export!$K$179+GREET1_Import_Export!$K192)+Li_Chemicals!H$70*(Li_Chemicals!C$40*GREET1_Import_Export!$W78+GREET1_Import_Export!$J228*GREET1_Import_Export!$K$215+GREET1_Import_Export!$K228)+Li_Chemicals!H$71*(Li_Chemicals!C$41*GREET1_Import_Export!$T78+Li_Chemicals!C$42*GREET1_Import_Export!$C78+Li_Chemicals!C$43*GREET1_Import_Export!$G78+Li_Chemicals!C$45*'GREET2_Factors_T&amp;D'!$F21+Li_Chemicals!C$46*'GREET2_Factors_T&amp;D'!$G21+GREET1_Import_Export!$G228)+Li_Chemicals!H$72*(Li_Chemicals!C$48*GREET1_Import_Export!$AA78+Li_Chemicals!C$49*GREET1_Import_Export!$AB78+GREET1_Import_Export!$D296)+Li_Chemicals!H$73*GREET1_Import_Export!$S354</f>
        <v>5.3376110705926081</v>
      </c>
      <c r="J87" s="235">
        <f>'GREET2_Factors_T&amp;D'!G66</f>
        <v>3.5305585791378172E-2</v>
      </c>
      <c r="K87" s="1318">
        <f>Li_Chemicals!K$67*(Li_Chemicals!D$34*GREET1_Import_Export!$K78+GREET1_Import_Export!$J192*GREET1_Import_Export!$L$179+GREET1_Import_Export!$L192)+Li_Chemicals!K$68*(Li_Chemicals!D$36*GREET1_Import_Export!$Q78+Li_Chemicals!D$37*GREET1_Import_Export!$O78+Li_Chemicals!D$38*GREET1_Import_Export!$M78+GREET1_Import_Export!$J192*GREET1_Import_Export!$M$179+GREET1_Import_Export!$M192)+Li_Chemicals!K$69*(Li_Chemicals!D$39*GREET1_Import_Export!$T78+GREET1_Import_Export!$J192*GREET1_Import_Export!$K$179+GREET1_Import_Export!$K192)+Li_Chemicals!K$70*(Li_Chemicals!D$40*GREET1_Import_Export!$W78+GREET1_Import_Export!$J228*GREET1_Import_Export!$K$215+GREET1_Import_Export!$K228)+Li_Chemicals!K$71*(Li_Chemicals!D$41*GREET1_Import_Export!$T78+Li_Chemicals!D$42*GREET1_Import_Export!$C78+Li_Chemicals!D$43*GREET1_Import_Export!$G78+Li_Chemicals!D$45*'GREET2_Factors_T&amp;D'!$F21+Li_Chemicals!D$46*'GREET2_Factors_T&amp;D'!$G21+GREET1_Import_Export!$G228)+Li_Chemicals!K$72*(Li_Chemicals!D$48*GREET1_Import_Export!$AA78+Li_Chemicals!D$49*GREET1_Import_Export!$AB78+GREET1_Import_Export!$D296)+Li_Chemicals!K$73*GREET1_Import_Export!$S354</f>
        <v>42.589669975775912</v>
      </c>
      <c r="M87" s="235">
        <f>SUM('GREET2_Factors_T&amp;D'!J66:K66)</f>
        <v>25.001322306478915</v>
      </c>
      <c r="N87" s="234">
        <f t="array" ref="N87">Li_Chemicals!N$67*(Li_Chemicals!F$34*GREET1_Import_Export!$K78+GREET1_Import_Export!$B192*GREET1_Import_Export!$F$179+GREET1_Import_Export!$F192)+Li_Chemicals!N$68*(Li_Chemicals!F$36*GREET1_Import_Export!$Q78+Li_Chemicals!F$37*GREET1_Import_Export!$O78+Li_Chemicals!F$38*GREET1_Import_Export!$M78+GREET1_Import_Export!$B192*GREET1_Import_Export!$G$179+GREET1_Import_Export!$G192)+Li_Chemicals!N$69*(Li_Chemicals!F$39*GREET1_Import_Export!$T78+GREET1_Import_Export!$B192*GREET1_Import_Export!$C$179+GREET1_Import_Export!$C192)+Li_Chemicals!N$70*(Li_Chemicals!F$40*GREET1_Import_Export!$W78+GREET1_Import_Export!$E228*GREET1_Import_Export!$F$215+GREET1_Import_Export!$F228)+Li_Chemicals!N$71*(Li_Chemicals!F$41*GREET1_Import_Export!$B78+Li_Chemicals!F$42*GREET1_Import_Export!$C78+Li_Chemicals!F$43*GREET1_Import_Export!$G78+(MMULT('GREET2_Factors_T&amp;D'!$F21:$H21+0,Li_Chemicals!F$45:F$47+0))+GREET1_Import_Export!$B228)+Li_Chemicals!N$72*(Li_Chemicals!F$48*GREET1_Import_Export!$AA78+Li_Chemicals!F$49*GREET1_Import_Export!$AB78+GREET1_Import_Export!$B296)+Li_Chemicals!N$73*SUM(GREET1_Import_Export!$B321:$C321)</f>
        <v>124.46590173839746</v>
      </c>
      <c r="O87" s="112"/>
      <c r="P87" s="228">
        <f>SUM('GREET2_Factors_T&amp;D'!C66:D66)</f>
        <v>0.60699578930448994</v>
      </c>
      <c r="Q87" s="234">
        <f>Q$67*(H$34*GREET1_Import_Export!$K78+GREET1_Import_Export!$J192*GREET1_Import_Export!$L$179+GREET1_Import_Export!$L192)+Q$68*(H$36*GREET1_Import_Export!$Q78+H$37*GREET1_Import_Export!$O78+H$38*GREET1_Import_Export!$M78+GREET1_Import_Export!$J192*GREET1_Import_Export!$M$179+GREET1_Import_Export!$M192)+Q$69*(H$39*GREET1_Import_Export!$T78+GREET1_Import_Export!$J192*GREET1_Import_Export!$K$179+GREET1_Import_Export!$K192)+Q$70*(H$40*GREET1_Import_Export!$W78+GREET1_Import_Export!$J228*GREET1_Import_Export!$K$215+GREET1_Import_Export!$K228)+Q$71*(H$41*GREET1_Import_Export!$B78+H$42*GREET1_Import_Export!$C78+H$43*GREET1_Import_Export!$G78+H$45*'GREET2_Factors_T&amp;D'!$F21+H$46*'GREET2_Factors_T&amp;D'!$G21+GREET1_Import_Export!$G228)+Q$72*(H$48*GREET1_Import_Export!$AA78+H$49*GREET1_Import_Export!$AB78+GREET1_Import_Export!$D296)+Q$73*GREET1_Import_Export!$S354</f>
        <v>553.18326807525818</v>
      </c>
      <c r="R87" s="122"/>
      <c r="S87" s="235">
        <f>SUM('GREET2_Factors_T&amp;D'!Z66:AA66)</f>
        <v>25.329981517976208</v>
      </c>
      <c r="T87" s="1798" cm="1">
        <f t="array" ref="T87">T$67*(I$34*GREET1_Import_Export!$K78+GREET1_Import_Export!$B192*GREET1_Import_Export!$F$179+GREET1_Import_Export!$F192)
+T$68*(I$36*GREET1_Import_Export!$B152+I$37*GREET1_Import_Export!$O78+I$38*GREET1_Import_Export!$M78+GREET1_Import_Export!$B192*GREET1_Import_Export!$G$179+GREET1_Import_Export!$G192)
+T$69*(I$39*GREET1_Import_Export!$T78+GREET1_Import_Export!$B192*GREET1_Import_Export!$C$179+GREET1_Import_Export!$C192)
+T$70*(I$40*GREET1_Import_Export!$W78+GREET1_Import_Export!$E228*GREET1_Import_Export!$F$215+GREET1_Import_Export!$F228)
+T$71*(I$41*GREET1_Import_Export!$B78+I$42*GREET1_Import_Export!$C78+I$43*GREET1_Import_Export!$G78+(MMULT('GREET2_Factors_T&amp;D'!$F21:$H21+0,I$45:I$47+0))+GREET1_Import_Export!$B228)
+T$72*(I$48*GREET1_Import_Export!$AA78+I$49*GREET1_Import_Export!$AB78+GREET1_Import_Export!$B296)
+T$73*GREET1_Import_Export!$D354</f>
        <v>10.244906149213499</v>
      </c>
      <c r="U87" s="1288"/>
      <c r="V87" s="1463">
        <f>SUM('GREET2_Factors_T&amp;D'!AB66:AG66)</f>
        <v>11.437566819486038</v>
      </c>
      <c r="W87" s="1798" cm="1">
        <f t="array" ref="W87">W$67*(J$34*GREET1_Import_Export!$K78+GREET1_Import_Export!$B192*GREET1_Import_Export!$F$179+GREET1_Import_Export!$F192)
+W$68*(J$36*GREET1_Import_Export!$Q78+J$37*GREET1_Import_Export!$O78+J$38*GREET1_Import_Export!$M78+GREET1_Import_Export!$B192*GREET1_Import_Export!$G$179+GREET1_Import_Export!$G192)
+W$69*(J$39*GREET1_Import_Export!$T78+GREET1_Import_Export!$B192*GREET1_Import_Export!$C$179+GREET1_Import_Export!$C192)
+W$70*(J$40*GREET1_Import_Export!$W78+GREET1_Import_Export!$E228*GREET1_Import_Export!$F$215+GREET1_Import_Export!$F228)
+W$71*(J$41*GREET1_Import_Export!$B78+J$42*GREET1_Import_Export!$C78+J$43*GREET1_Import_Export!$G78+(MMULT('GREET2_Factors_T&amp;D'!$F21:$H21+0,J$45:J$47+0))+GREET1_Import_Export!$B228)+W$72*(J$48*GREET1_Import_Export!$AA78+J$49*GREET1_Import_Export!$AB78+GREET1_Import_Export!$B296)
+W$73*GREET1_Import_Export!$L354</f>
        <v>74.438728916236755</v>
      </c>
      <c r="X87" s="1288"/>
      <c r="Y87" s="1082">
        <f>SUM('GREET2_Factors_T&amp;D'!AH66:AI66)</f>
        <v>1.8388325933009462E-2</v>
      </c>
      <c r="Z87" s="1799" cm="1">
        <f t="array" ref="Z87">Z$67*(K$34*GREET1_Import_Export!$K78+GREET1_Import_Export!$B192*GREET1_Import_Export!$F$179+GREET1_Import_Export!$F192)
+Z$68*(K$36*GREET1_Import_Export!$Q78+K$37*GREET1_Import_Export!$O78+K$38*GREET1_Import_Export!$M78+GREET1_Import_Export!$B192*GREET1_Import_Export!$G$179+GREET1_Import_Export!$G192)
+Z$69*(K$39*GREET1_Import_Export!$T78+GREET1_Import_Export!$B192*GREET1_Import_Export!$C$179+GREET1_Import_Export!$C192)
+Z$70*(K$40*GREET1_Import_Export!$W78+GREET1_Import_Export!$E228*GREET1_Import_Export!$F$215+GREET1_Import_Export!$F228)
+Z$71*(K$41*GREET1_Import_Export!$B78+K$42*GREET1_Import_Export!$C78+K$43*GREET1_Import_Export!$G78+(MMULT('GREET2_Factors_T&amp;D'!$F21:$H21+0,K$45:K$47+0))+GREET1_Import_Export!$B228)+Z$72*(K$48*GREET1_Import_Export!$AA78+K$49*GREET1_Import_Export!$AB78+GREET1_Import_Export!$B296)
+Z$73*GREET1_Import_Export!$L354</f>
        <v>66.284728497796905</v>
      </c>
      <c r="AA87" s="1288"/>
      <c r="AB87" s="1082">
        <f>SUM('GREET2_Factors_T&amp;D'!AJ66:AK66)</f>
        <v>1.8388325933009462E-2</v>
      </c>
      <c r="AC87" s="234">
        <f t="array" ref="AC87">Li_Chemicals!AC$67*(Li_Chemicals!G$34*GREET1_Import_Export!$K78+GREET1_Import_Export!$B192*GREET1_Import_Export!$F$179+GREET1_Import_Export!$F192)+Li_Chemicals!AC$68*(Li_Chemicals!G$36*GREET1_Import_Export!$Q78+Li_Chemicals!G$37*GREET1_Import_Export!$O78+Li_Chemicals!G$38*GREET1_Import_Export!$M78+GREET1_Import_Export!$B192*GREET1_Import_Export!$G$179+GREET1_Import_Export!$G192)+Li_Chemicals!AC$69*(Li_Chemicals!G$39*GREET1_Import_Export!$T78+GREET1_Import_Export!$B192*GREET1_Import_Export!$C$179+GREET1_Import_Export!$C192)+Li_Chemicals!AC$70*(Li_Chemicals!G$40*GREET1_Import_Export!$W78+GREET1_Import_Export!$E228*GREET1_Import_Export!$F$215+GREET1_Import_Export!$F228)+Li_Chemicals!AC$71*(Li_Chemicals!G$41*GREET1_Import_Export!$B78+Li_Chemicals!G$42*GREET1_Import_Export!$C78+Li_Chemicals!G$43*GREET1_Import_Export!$G78+(MMULT('GREET2_Factors_T&amp;D'!$F21:$H21+0,Li_Chemicals!G$45:G$47+0))+GREET1_Import_Export!$B228)+Li_Chemicals!AC$72*(Li_Chemicals!G$48*GREET1_Import_Export!$AA78+Li_Chemicals!G$49*GREET1_Import_Export!$AB78+GREET1_Import_Export!$B296)+Li_Chemicals!AC$73*SUM(GREET1_Import_Export!$B321:$C321)</f>
        <v>2.4676104879742571</v>
      </c>
      <c r="AD87" s="51"/>
      <c r="AO87" s="1318"/>
      <c r="AQ87" s="1318"/>
      <c r="AR87" s="1318"/>
      <c r="AT87" s="1318"/>
    </row>
    <row r="88" spans="1:46">
      <c r="A88" s="59" t="s">
        <v>828</v>
      </c>
      <c r="B88" s="1318">
        <f>Li_Chemicals!B$67*(Li_Chemicals!B$34*GREET1_Import_Export!$K79+GREET1_Import_Export!$J193*GREET1_Import_Export!$L$179+GREET1_Import_Export!$L193)+Li_Chemicals!B$68*(Li_Chemicals!B$36*GREET1_Import_Export!$Q79+Li_Chemicals!B$37*GREET1_Import_Export!$O79+Li_Chemicals!B$38*GREET1_Import_Export!$M79+GREET1_Import_Export!$J193*GREET1_Import_Export!$M$179+GREET1_Import_Export!$M193)+Li_Chemicals!B$69*(Li_Chemicals!B$39*GREET1_Import_Export!$T79+GREET1_Import_Export!$J193*GREET1_Import_Export!$K$179+GREET1_Import_Export!$K193)+Li_Chemicals!B$70*(Li_Chemicals!B$40*GREET1_Import_Export!$W79+GREET1_Import_Export!$J229*GREET1_Import_Export!$K$215+GREET1_Import_Export!$K229)+Li_Chemicals!B$71*(Li_Chemicals!B$41*GREET1_Import_Export!$B79+Li_Chemicals!B$42*GREET1_Import_Export!$C79+Li_Chemicals!B$43*GREET1_Import_Export!$G79+Li_Chemicals!B$45*'GREET2_Factors_T&amp;D'!$F22+Li_Chemicals!B$46*'GREET2_Factors_T&amp;D'!$G22+GREET1_Import_Export!$G229)+Li_Chemicals!B$72*(Li_Chemicals!B$48*GREET1_Import_Export!$AA79+Li_Chemicals!B$49*GREET1_Import_Export!$AB79+GREET1_Import_Export!$D297)+Li_Chemicals!B$73*GREET1_Import_Export!$B355</f>
        <v>7.9007102021618154</v>
      </c>
      <c r="D88" s="1318">
        <f>SUM('GREET2_Factors_T&amp;D'!H67:I67)</f>
        <v>33.734083057856971</v>
      </c>
      <c r="E88" s="234">
        <f t="array" ref="E88">Li_Chemicals!E$67*(Li_Chemicals!E$34*GREET1_Import_Export!$K79+GREET1_Import_Export!$B193*GREET1_Import_Export!$F$179+GREET1_Import_Export!$F193)+Li_Chemicals!E$68*(Li_Chemicals!E$36*GREET1_Import_Export!$Q79+Li_Chemicals!E$37*GREET1_Import_Export!$O79+Li_Chemicals!E$38*GREET1_Import_Export!$M79+GREET1_Import_Export!$B193*GREET1_Import_Export!$G$179+GREET1_Import_Export!$G193)+Li_Chemicals!E$69*(Li_Chemicals!E$39*GREET1_Import_Export!$T79+GREET1_Import_Export!$B193*GREET1_Import_Export!$C$179+GREET1_Import_Export!$C193)+Li_Chemicals!E$70*(Li_Chemicals!E$40*GREET1_Import_Export!$W79+GREET1_Import_Export!$E229*GREET1_Import_Export!$F$215+GREET1_Import_Export!$F229)+Li_Chemicals!E$71*(Li_Chemicals!E$41*GREET1_Import_Export!$B79+Li_Chemicals!E$42*GREET1_Import_Export!$C79+Li_Chemicals!E$43*GREET1_Import_Export!$G79+(MMULT('GREET2_Factors_T&amp;D'!$F22:$H22+0,Li_Chemicals!E$45:E$47+0))+GREET1_Import_Export!$B229)+Li_Chemicals!E$72*(Li_Chemicals!E$48*GREET1_Import_Export!$AA79+Li_Chemicals!E$49*GREET1_Import_Export!$AB79+GREET1_Import_Export!$B297)+Li_Chemicals!E$73*SUM(GREET1_Import_Export!$B322:$C322)</f>
        <v>7.6444287643029902</v>
      </c>
      <c r="G88" s="235">
        <f>'GREET2_Factors_T&amp;D'!B67</f>
        <v>8.7002539276104254E-2</v>
      </c>
      <c r="H88" s="1318">
        <f>Li_Chemicals!H$67*(Li_Chemicals!C$34*GREET1_Import_Export!$K79+GREET1_Import_Export!$J193*GREET1_Import_Export!$L$179+GREET1_Import_Export!$L193)+Li_Chemicals!H$68*(Li_Chemicals!C$36*GREET1_Import_Export!$Q79+Li_Chemicals!C$37*GREET1_Import_Export!$O79+Li_Chemicals!C$38*GREET1_Import_Export!$M79+GREET1_Import_Export!$J193*GREET1_Import_Export!$M$179+GREET1_Import_Export!$M193)+Li_Chemicals!H$69*(Li_Chemicals!C$39*GREET1_Import_Export!$T79+GREET1_Import_Export!$J193*GREET1_Import_Export!$K$179+GREET1_Import_Export!$K193)+Li_Chemicals!H$70*(Li_Chemicals!C$40*GREET1_Import_Export!$W79+GREET1_Import_Export!$J229*GREET1_Import_Export!$K$215+GREET1_Import_Export!$K229)+Li_Chemicals!H$71*(Li_Chemicals!C$41*GREET1_Import_Export!$T79+Li_Chemicals!C$42*GREET1_Import_Export!$C79+Li_Chemicals!C$43*GREET1_Import_Export!$G79+Li_Chemicals!C$45*'GREET2_Factors_T&amp;D'!$F22+Li_Chemicals!C$46*'GREET2_Factors_T&amp;D'!$G22+GREET1_Import_Export!$G229)+Li_Chemicals!H$72*(Li_Chemicals!C$48*GREET1_Import_Export!$AA79+Li_Chemicals!C$49*GREET1_Import_Export!$AB79+GREET1_Import_Export!$D297)+Li_Chemicals!H$73*GREET1_Import_Export!$S355</f>
        <v>2.3917881265077989</v>
      </c>
      <c r="J88" s="235">
        <f>'GREET2_Factors_T&amp;D'!G67</f>
        <v>6.2641828278795067E-2</v>
      </c>
      <c r="K88" s="1318">
        <f>Li_Chemicals!K$67*(Li_Chemicals!D$34*GREET1_Import_Export!$K79+GREET1_Import_Export!$J193*GREET1_Import_Export!$L$179+GREET1_Import_Export!$L193)+Li_Chemicals!K$68*(Li_Chemicals!D$36*GREET1_Import_Export!$Q79+Li_Chemicals!D$37*GREET1_Import_Export!$O79+Li_Chemicals!D$38*GREET1_Import_Export!$M79+GREET1_Import_Export!$J193*GREET1_Import_Export!$M$179+GREET1_Import_Export!$M193)+Li_Chemicals!K$69*(Li_Chemicals!D$39*GREET1_Import_Export!$T79+GREET1_Import_Export!$J193*GREET1_Import_Export!$K$179+GREET1_Import_Export!$K193)+Li_Chemicals!K$70*(Li_Chemicals!D$40*GREET1_Import_Export!$W79+GREET1_Import_Export!$J229*GREET1_Import_Export!$K$215+GREET1_Import_Export!$K229)+Li_Chemicals!K$71*(Li_Chemicals!D$41*GREET1_Import_Export!$T79+Li_Chemicals!D$42*GREET1_Import_Export!$C79+Li_Chemicals!D$43*GREET1_Import_Export!$G79+Li_Chemicals!D$45*'GREET2_Factors_T&amp;D'!$F22+Li_Chemicals!D$46*'GREET2_Factors_T&amp;D'!$G22+GREET1_Import_Export!$G229)+Li_Chemicals!K$72*(Li_Chemicals!D$48*GREET1_Import_Export!$AA79+Li_Chemicals!D$49*GREET1_Import_Export!$AB79+GREET1_Import_Export!$D297)+Li_Chemicals!K$73*GREET1_Import_Export!$S355</f>
        <v>98.991558070760036</v>
      </c>
      <c r="M88" s="235">
        <f>SUM('GREET2_Factors_T&amp;D'!J67:K67)</f>
        <v>64.889254277058015</v>
      </c>
      <c r="N88" s="234">
        <f t="array" ref="N88">Li_Chemicals!N$67*(Li_Chemicals!F$34*GREET1_Import_Export!$K79+GREET1_Import_Export!$B193*GREET1_Import_Export!$F$179+GREET1_Import_Export!$F193)+Li_Chemicals!N$68*(Li_Chemicals!F$36*GREET1_Import_Export!$Q79+Li_Chemicals!F$37*GREET1_Import_Export!$O79+Li_Chemicals!F$38*GREET1_Import_Export!$M79+GREET1_Import_Export!$B193*GREET1_Import_Export!$G$179+GREET1_Import_Export!$G193)+Li_Chemicals!N$69*(Li_Chemicals!F$39*GREET1_Import_Export!$T79+GREET1_Import_Export!$B193*GREET1_Import_Export!$C$179+GREET1_Import_Export!$C193)+Li_Chemicals!N$70*(Li_Chemicals!F$40*GREET1_Import_Export!$W79+GREET1_Import_Export!$E229*GREET1_Import_Export!$F$215+GREET1_Import_Export!$F229)+Li_Chemicals!N$71*(Li_Chemicals!F$41*GREET1_Import_Export!$B79+Li_Chemicals!F$42*GREET1_Import_Export!$C79+Li_Chemicals!F$43*GREET1_Import_Export!$G79+(MMULT('GREET2_Factors_T&amp;D'!$F22:$H22+0,Li_Chemicals!F$45:F$47+0))+GREET1_Import_Export!$B229)+Li_Chemicals!N$72*(Li_Chemicals!F$48*GREET1_Import_Export!$AA79+Li_Chemicals!F$49*GREET1_Import_Export!$AB79+GREET1_Import_Export!$B297)+Li_Chemicals!N$73*SUM(GREET1_Import_Export!$B322:$C322)</f>
        <v>91.036981611494625</v>
      </c>
      <c r="O88" s="112"/>
      <c r="P88" s="228">
        <f>SUM('GREET2_Factors_T&amp;D'!C67:D67)</f>
        <v>4.824849738899192</v>
      </c>
      <c r="Q88" s="234">
        <f>Q$67*(H$34*GREET1_Import_Export!$K79+GREET1_Import_Export!$J193*GREET1_Import_Export!$L$179+GREET1_Import_Export!$L193)+Q$68*(H$36*GREET1_Import_Export!$Q79+H$37*GREET1_Import_Export!$O79+H$38*GREET1_Import_Export!$M79+GREET1_Import_Export!$J193*GREET1_Import_Export!$M$179+GREET1_Import_Export!$M193)+Q$69*(H$39*GREET1_Import_Export!$T79+GREET1_Import_Export!$J193*GREET1_Import_Export!$K$179+GREET1_Import_Export!$K193)+Q$70*(H$40*GREET1_Import_Export!$W79+GREET1_Import_Export!$J229*GREET1_Import_Export!$K$215+GREET1_Import_Export!$K229)+Q$71*(H$41*GREET1_Import_Export!$B79+H$42*GREET1_Import_Export!$C79+H$43*GREET1_Import_Export!$G79+H$45*'GREET2_Factors_T&amp;D'!$F22+H$46*'GREET2_Factors_T&amp;D'!$G22+GREET1_Import_Export!$G229)+Q$72*(H$48*GREET1_Import_Export!$AA79+H$49*GREET1_Import_Export!$AB79+GREET1_Import_Export!$D297)+Q$73*GREET1_Import_Export!$S355</f>
        <v>1284.7149178459388</v>
      </c>
      <c r="R88" s="122"/>
      <c r="S88" s="235">
        <f>SUM('GREET2_Factors_T&amp;D'!Z67:AA67)</f>
        <v>65.742333386616863</v>
      </c>
      <c r="T88" s="1798" cm="1">
        <f t="array" ref="T88">T$67*(I$34*GREET1_Import_Export!$K79+GREET1_Import_Export!$B193*GREET1_Import_Export!$F$179+GREET1_Import_Export!$F193)
+T$68*(I$36*GREET1_Import_Export!$B153+I$37*GREET1_Import_Export!$O79+I$38*GREET1_Import_Export!$M79+GREET1_Import_Export!$B193*GREET1_Import_Export!$G$179+GREET1_Import_Export!$G193)
+T$69*(I$39*GREET1_Import_Export!$T79+GREET1_Import_Export!$B193*GREET1_Import_Export!$C$179+GREET1_Import_Export!$C193)
+T$70*(I$40*GREET1_Import_Export!$W79+GREET1_Import_Export!$E229*GREET1_Import_Export!$F$215+GREET1_Import_Export!$F229)
+T$71*(I$41*GREET1_Import_Export!$B79+I$42*GREET1_Import_Export!$C79+I$43*GREET1_Import_Export!$G79+(MMULT('GREET2_Factors_T&amp;D'!$F22:$H22+0,I$45:I$47+0))+GREET1_Import_Export!$B229)
+T$72*(I$48*GREET1_Import_Export!$AA79+I$49*GREET1_Import_Export!$AB79+GREET1_Import_Export!$B297)
+T$73*GREET1_Import_Export!$D355</f>
        <v>6.6240924711000444</v>
      </c>
      <c r="U88" s="1288"/>
      <c r="V88" s="1463">
        <f>SUM('GREET2_Factors_T&amp;D'!AB67:AG67)</f>
        <v>29.943694833672321</v>
      </c>
      <c r="W88" s="1798" cm="1">
        <f t="array" ref="W88">W$67*(J$34*GREET1_Import_Export!$K79+GREET1_Import_Export!$B193*GREET1_Import_Export!$F$179+GREET1_Import_Export!$F193)
+W$68*(J$36*GREET1_Import_Export!$Q79+J$37*GREET1_Import_Export!$O79+J$38*GREET1_Import_Export!$M79+GREET1_Import_Export!$B193*GREET1_Import_Export!$G$179+GREET1_Import_Export!$G193)
+W$69*(J$39*GREET1_Import_Export!$T79+GREET1_Import_Export!$B193*GREET1_Import_Export!$C$179+GREET1_Import_Export!$C193)
+W$70*(J$40*GREET1_Import_Export!$W79+GREET1_Import_Export!$E229*GREET1_Import_Export!$F$215+GREET1_Import_Export!$F229)
+W$71*(J$41*GREET1_Import_Export!$B79+J$42*GREET1_Import_Export!$C79+J$43*GREET1_Import_Export!$G79+(MMULT('GREET2_Factors_T&amp;D'!$F22:$H22+0,J$45:J$47+0))+GREET1_Import_Export!$B229)+W$72*(J$48*GREET1_Import_Export!$AA79+J$49*GREET1_Import_Export!$AB79+GREET1_Import_Export!$B297)
+W$73*GREET1_Import_Export!$L355</f>
        <v>142.08796481907439</v>
      </c>
      <c r="X88" s="1288"/>
      <c r="Y88" s="1082">
        <f>SUM('GREET2_Factors_T&amp;D'!AH67:AI67)</f>
        <v>3.2625952228539097E-2</v>
      </c>
      <c r="Z88" s="1799" cm="1">
        <f t="array" ref="Z88">Z$67*(K$34*GREET1_Import_Export!$K79+GREET1_Import_Export!$B193*GREET1_Import_Export!$F$179+GREET1_Import_Export!$F193)
+Z$68*(K$36*GREET1_Import_Export!$Q79+K$37*GREET1_Import_Export!$O79+K$38*GREET1_Import_Export!$M79+GREET1_Import_Export!$B193*GREET1_Import_Export!$G$179+GREET1_Import_Export!$G193)
+Z$69*(K$39*GREET1_Import_Export!$T79+GREET1_Import_Export!$B193*GREET1_Import_Export!$C$179+GREET1_Import_Export!$C193)
+Z$70*(K$40*GREET1_Import_Export!$W79+GREET1_Import_Export!$E229*GREET1_Import_Export!$F$215+GREET1_Import_Export!$F229)
+Z$71*(K$41*GREET1_Import_Export!$B79+K$42*GREET1_Import_Export!$C79+K$43*GREET1_Import_Export!$G79+(MMULT('GREET2_Factors_T&amp;D'!$F22:$H22+0,K$45:K$47+0))+GREET1_Import_Export!$B229)+Z$72*(K$48*GREET1_Import_Export!$AA79+K$49*GREET1_Import_Export!$AB79+GREET1_Import_Export!$B297)
+Z$73*GREET1_Import_Export!$L355</f>
        <v>127.84908441266256</v>
      </c>
      <c r="AA88" s="1288"/>
      <c r="AB88" s="1082">
        <f>SUM('GREET2_Factors_T&amp;D'!AJ67:AK67)</f>
        <v>3.2625952228539097E-2</v>
      </c>
      <c r="AC88" s="234">
        <f t="array" ref="AC88">Li_Chemicals!AC$67*(Li_Chemicals!G$34*GREET1_Import_Export!$K79+GREET1_Import_Export!$B193*GREET1_Import_Export!$F$179+GREET1_Import_Export!$F193)+Li_Chemicals!AC$68*(Li_Chemicals!G$36*GREET1_Import_Export!$Q79+Li_Chemicals!G$37*GREET1_Import_Export!$O79+Li_Chemicals!G$38*GREET1_Import_Export!$M79+GREET1_Import_Export!$B193*GREET1_Import_Export!$G$179+GREET1_Import_Export!$G193)+Li_Chemicals!AC$69*(Li_Chemicals!G$39*GREET1_Import_Export!$T79+GREET1_Import_Export!$B193*GREET1_Import_Export!$C$179+GREET1_Import_Export!$C193)+Li_Chemicals!AC$70*(Li_Chemicals!G$40*GREET1_Import_Export!$W79+GREET1_Import_Export!$E229*GREET1_Import_Export!$F$215+GREET1_Import_Export!$F229)+Li_Chemicals!AC$71*(Li_Chemicals!G$41*GREET1_Import_Export!$B79+Li_Chemicals!G$42*GREET1_Import_Export!$C79+Li_Chemicals!G$43*GREET1_Import_Export!$G79+(MMULT('GREET2_Factors_T&amp;D'!$F22:$H22+0,Li_Chemicals!G$45:G$47+0))+GREET1_Import_Export!$B229)+Li_Chemicals!AC$72*(Li_Chemicals!G$48*GREET1_Import_Export!$AA79+Li_Chemicals!G$49*GREET1_Import_Export!$AB79+GREET1_Import_Export!$B297)+Li_Chemicals!AC$73*SUM(GREET1_Import_Export!$B322:$C322)</f>
        <v>7.4601088718156667</v>
      </c>
      <c r="AD88" s="51"/>
      <c r="AO88" s="1318"/>
      <c r="AQ88" s="1318"/>
      <c r="AR88" s="1318"/>
      <c r="AT88" s="1318"/>
    </row>
    <row r="89" spans="1:46">
      <c r="A89" s="100" t="s">
        <v>829</v>
      </c>
      <c r="B89" s="1318">
        <f>Li_Chemicals!B$67*(Li_Chemicals!B$34*GREET1_Import_Export!$K80+GREET1_Import_Export!$J194*GREET1_Import_Export!$L$179+GREET1_Import_Export!$L194)+Li_Chemicals!B$68*(Li_Chemicals!B$36*GREET1_Import_Export!$Q80+Li_Chemicals!B$37*GREET1_Import_Export!$O80+Li_Chemicals!B$38*GREET1_Import_Export!$M80+GREET1_Import_Export!$J194*GREET1_Import_Export!$M$179+GREET1_Import_Export!$M194)+Li_Chemicals!B$69*(Li_Chemicals!B$39*GREET1_Import_Export!$T80+GREET1_Import_Export!$J194*GREET1_Import_Export!$K$179+GREET1_Import_Export!$K194)+Li_Chemicals!B$70*(Li_Chemicals!B$40*GREET1_Import_Export!$W80+GREET1_Import_Export!$J230*GREET1_Import_Export!$K$215+GREET1_Import_Export!$K230)+Li_Chemicals!B$71*(Li_Chemicals!B$41*GREET1_Import_Export!$B80+Li_Chemicals!B$42*GREET1_Import_Export!$C80+Li_Chemicals!B$43*GREET1_Import_Export!$G80+Li_Chemicals!B$45*'GREET2_Factors_T&amp;D'!$F23+Li_Chemicals!B$46*'GREET2_Factors_T&amp;D'!$G23+GREET1_Import_Export!$G230)+Li_Chemicals!B$72*(Li_Chemicals!B$48*GREET1_Import_Export!$AA80+Li_Chemicals!B$49*GREET1_Import_Export!$AB80+GREET1_Import_Export!$D298)+Li_Chemicals!B$73*GREET1_Import_Export!$B356</f>
        <v>672.09621335044187</v>
      </c>
      <c r="D89" s="1318">
        <f>SUM('GREET2_Factors_T&amp;D'!H68:I68)</f>
        <v>165.56747463314895</v>
      </c>
      <c r="E89" s="234">
        <f t="array" ref="E89">Li_Chemicals!E$67*(Li_Chemicals!E$34*GREET1_Import_Export!$K80+GREET1_Import_Export!$B194*GREET1_Import_Export!$F$179+GREET1_Import_Export!$F194)+Li_Chemicals!E$68*(Li_Chemicals!E$36*GREET1_Import_Export!$Q80+Li_Chemicals!E$37*GREET1_Import_Export!$O80+Li_Chemicals!E$38*GREET1_Import_Export!$M80+GREET1_Import_Export!$B194*GREET1_Import_Export!$G$179+GREET1_Import_Export!$G194)+Li_Chemicals!E$69*(Li_Chemicals!E$39*GREET1_Import_Export!$T80+GREET1_Import_Export!$B194*GREET1_Import_Export!$C$179+GREET1_Import_Export!$C194)+Li_Chemicals!E$70*(Li_Chemicals!E$40*GREET1_Import_Export!$W80+GREET1_Import_Export!$E230*GREET1_Import_Export!$F$215+GREET1_Import_Export!$F230)+Li_Chemicals!E$71*(Li_Chemicals!E$41*GREET1_Import_Export!$B80+Li_Chemicals!E$42*GREET1_Import_Export!$C80+Li_Chemicals!E$43*GREET1_Import_Export!$G80+(MMULT('GREET2_Factors_T&amp;D'!$F23:$H23+0,Li_Chemicals!E$45:E$47+0))+GREET1_Import_Export!$B230)+Li_Chemicals!E$72*(Li_Chemicals!E$48*GREET1_Import_Export!$AA80+Li_Chemicals!E$49*GREET1_Import_Export!$AB80+GREET1_Import_Export!$B298)+Li_Chemicals!E$73*SUM(GREET1_Import_Export!$B323:$C323)</f>
        <v>668.91250083663579</v>
      </c>
      <c r="G89" s="235">
        <f>'GREET2_Factors_T&amp;D'!B68</f>
        <v>26.292796850597114</v>
      </c>
      <c r="H89" s="1318">
        <f>Li_Chemicals!H$67*(Li_Chemicals!C$34*GREET1_Import_Export!$K80+GREET1_Import_Export!$J194*GREET1_Import_Export!$L$179+GREET1_Import_Export!$L194)+Li_Chemicals!H$68*(Li_Chemicals!C$36*GREET1_Import_Export!$Q80+Li_Chemicals!C$37*GREET1_Import_Export!$O80+Li_Chemicals!C$38*GREET1_Import_Export!$M80+GREET1_Import_Export!$J194*GREET1_Import_Export!$M$179+GREET1_Import_Export!$M194)+Li_Chemicals!H$69*(Li_Chemicals!C$39*GREET1_Import_Export!$T80+GREET1_Import_Export!$J194*GREET1_Import_Export!$K$179+GREET1_Import_Export!$K194)+Li_Chemicals!H$70*(Li_Chemicals!C$40*GREET1_Import_Export!$W80+GREET1_Import_Export!$J230*GREET1_Import_Export!$K$215+GREET1_Import_Export!$K230)+Li_Chemicals!H$71*(Li_Chemicals!C$41*GREET1_Import_Export!$T80+Li_Chemicals!C$42*GREET1_Import_Export!$C80+Li_Chemicals!C$43*GREET1_Import_Export!$G80+Li_Chemicals!C$45*'GREET2_Factors_T&amp;D'!$F23+Li_Chemicals!C$46*'GREET2_Factors_T&amp;D'!$G23+GREET1_Import_Export!$G230)+Li_Chemicals!H$72*(Li_Chemicals!C$48*GREET1_Import_Export!$AA80+Li_Chemicals!C$49*GREET1_Import_Export!$AB80+GREET1_Import_Export!$D298)+Li_Chemicals!H$73*GREET1_Import_Export!$S356</f>
        <v>135.69940082769796</v>
      </c>
      <c r="J89" s="235">
        <f>'GREET2_Factors_T&amp;D'!G68</f>
        <v>18.930813732429922</v>
      </c>
      <c r="K89" s="1318">
        <f>Li_Chemicals!K$67*(Li_Chemicals!D$34*GREET1_Import_Export!$K80+GREET1_Import_Export!$J194*GREET1_Import_Export!$L$179+GREET1_Import_Export!$L194)+Li_Chemicals!K$68*(Li_Chemicals!D$36*GREET1_Import_Export!$Q80+Li_Chemicals!D$37*GREET1_Import_Export!$O80+Li_Chemicals!D$38*GREET1_Import_Export!$M80+GREET1_Import_Export!$J194*GREET1_Import_Export!$M$179+GREET1_Import_Export!$M194)+Li_Chemicals!K$69*(Li_Chemicals!D$39*GREET1_Import_Export!$T80+GREET1_Import_Export!$J194*GREET1_Import_Export!$K$179+GREET1_Import_Export!$K194)+Li_Chemicals!K$70*(Li_Chemicals!D$40*GREET1_Import_Export!$W80+GREET1_Import_Export!$J230*GREET1_Import_Export!$K$215+GREET1_Import_Export!$K230)+Li_Chemicals!K$71*(Li_Chemicals!D$41*GREET1_Import_Export!$T80+Li_Chemicals!D$42*GREET1_Import_Export!$C80+Li_Chemicals!D$43*GREET1_Import_Export!$G80+Li_Chemicals!D$45*'GREET2_Factors_T&amp;D'!$F23+Li_Chemicals!D$46*'GREET2_Factors_T&amp;D'!$G23+GREET1_Import_Export!$G230)+Li_Chemicals!K$72*(Li_Chemicals!D$48*GREET1_Import_Export!$AA80+Li_Chemicals!D$49*GREET1_Import_Export!$AB80+GREET1_Import_Export!$D298)+Li_Chemicals!K$73*GREET1_Import_Export!$S356</f>
        <v>1134.784307641959</v>
      </c>
      <c r="M89" s="235">
        <f>SUM('GREET2_Factors_T&amp;D'!J68:K68)</f>
        <v>107.94794034583002</v>
      </c>
      <c r="N89" s="234">
        <f t="array" ref="N89">Li_Chemicals!N$67*(Li_Chemicals!F$34*GREET1_Import_Export!$K80+GREET1_Import_Export!$B194*GREET1_Import_Export!$F$179+GREET1_Import_Export!$F194)+Li_Chemicals!N$68*(Li_Chemicals!F$36*GREET1_Import_Export!$Q80+Li_Chemicals!F$37*GREET1_Import_Export!$O80+Li_Chemicals!F$38*GREET1_Import_Export!$M80+GREET1_Import_Export!$B194*GREET1_Import_Export!$G$179+GREET1_Import_Export!$G194)+Li_Chemicals!N$69*(Li_Chemicals!F$39*GREET1_Import_Export!$T80+GREET1_Import_Export!$B194*GREET1_Import_Export!$C$179+GREET1_Import_Export!$C194)+Li_Chemicals!N$70*(Li_Chemicals!F$40*GREET1_Import_Export!$W80+GREET1_Import_Export!$E230*GREET1_Import_Export!$F$215+GREET1_Import_Export!$F230)+Li_Chemicals!N$71*(Li_Chemicals!F$41*GREET1_Import_Export!$B80+Li_Chemicals!F$42*GREET1_Import_Export!$C80+Li_Chemicals!F$43*GREET1_Import_Export!$G80+(MMULT('GREET2_Factors_T&amp;D'!$F23:$H23+0,Li_Chemicals!F$45:F$47+0))+GREET1_Import_Export!$B230)+Li_Chemicals!N$72*(Li_Chemicals!F$48*GREET1_Import_Export!$AA80+Li_Chemicals!F$49*GREET1_Import_Export!$AB80+GREET1_Import_Export!$B298)+Li_Chemicals!N$73*SUM(GREET1_Import_Export!$B323:$C323)</f>
        <v>4228.1526146730876</v>
      </c>
      <c r="P89" s="228">
        <f>SUM('GREET2_Factors_T&amp;D'!C68:D68)</f>
        <v>115.24509921843527</v>
      </c>
      <c r="Q89" s="234">
        <f>Q$67*(H$34*GREET1_Import_Export!$K80+GREET1_Import_Export!$J194*GREET1_Import_Export!$L$179+GREET1_Import_Export!$L194)+Q$68*(H$36*GREET1_Import_Export!$Q80+H$37*GREET1_Import_Export!$O80+H$38*GREET1_Import_Export!$M80+GREET1_Import_Export!$J194*GREET1_Import_Export!$M$179+GREET1_Import_Export!$M194)+Q$69*(H$39*GREET1_Import_Export!$T80+GREET1_Import_Export!$J194*GREET1_Import_Export!$K$179+GREET1_Import_Export!$K194)+Q$70*(H$40*GREET1_Import_Export!$W80+GREET1_Import_Export!$J230*GREET1_Import_Export!$K$215+GREET1_Import_Export!$K230)+Q$71*(H$41*GREET1_Import_Export!$B80+H$42*GREET1_Import_Export!$C80+H$43*GREET1_Import_Export!$G80+H$45*'GREET2_Factors_T&amp;D'!$F23+H$46*'GREET2_Factors_T&amp;D'!$G23+GREET1_Import_Export!$G230)+Q$72*(H$48*GREET1_Import_Export!$AA80+H$49*GREET1_Import_Export!$AB80+GREET1_Import_Export!$D298)+Q$73*GREET1_Import_Export!$S356</f>
        <v>12482.210932352929</v>
      </c>
      <c r="R89" s="1"/>
      <c r="S89" s="235">
        <f>SUM('GREET2_Factors_T&amp;D'!Z68:AA68)</f>
        <v>109.32412151427172</v>
      </c>
      <c r="T89" s="1798" cm="1">
        <f t="array" ref="T89">T$67*(I$34*GREET1_Import_Export!$K80+GREET1_Import_Export!$B194*GREET1_Import_Export!$F$179+GREET1_Import_Export!$F194)
+T$68*(I$36*GREET1_Import_Export!$B154+I$37*GREET1_Import_Export!$O80+I$38*GREET1_Import_Export!$M80+GREET1_Import_Export!$B194*GREET1_Import_Export!$G$179+GREET1_Import_Export!$G194)
+T$69*(I$39*GREET1_Import_Export!$T80+GREET1_Import_Export!$B194*GREET1_Import_Export!$C$179+GREET1_Import_Export!$C194)
+T$70*(I$40*GREET1_Import_Export!$W80+GREET1_Import_Export!$E230*GREET1_Import_Export!$F$215+GREET1_Import_Export!$F230)
+T$71*(I$41*GREET1_Import_Export!$B80+I$42*GREET1_Import_Export!$C80+I$43*GREET1_Import_Export!$G80+(MMULT('GREET2_Factors_T&amp;D'!$F23:$H23+0,I$45:I$47+0))+GREET1_Import_Export!$B230)
+T$72*(I$48*GREET1_Import_Export!$AA80+I$49*GREET1_Import_Export!$AB80+GREET1_Import_Export!$B298)
+T$73*GREET1_Import_Export!$D356</f>
        <v>427.50189779388251</v>
      </c>
      <c r="U89" s="1288"/>
      <c r="V89" s="1463">
        <f>SUM('GREET2_Factors_T&amp;D'!AB68:AG68)</f>
        <v>80.08262691768654</v>
      </c>
      <c r="W89" s="1798" cm="1">
        <f t="array" ref="W89">W$67*(J$34*GREET1_Import_Export!$K80+GREET1_Import_Export!$B194*GREET1_Import_Export!$F$179+GREET1_Import_Export!$F194)
+W$68*(J$36*GREET1_Import_Export!$Q80+J$37*GREET1_Import_Export!$O80+J$38*GREET1_Import_Export!$M80+GREET1_Import_Export!$B194*GREET1_Import_Export!$G$179+GREET1_Import_Export!$G194)
+W$69*(J$39*GREET1_Import_Export!$T80+GREET1_Import_Export!$B194*GREET1_Import_Export!$C$179+GREET1_Import_Export!$C194)
+W$70*(J$40*GREET1_Import_Export!$W80+GREET1_Import_Export!$E230*GREET1_Import_Export!$F$215+GREET1_Import_Export!$F230)
+W$71*(J$41*GREET1_Import_Export!$B80+J$42*GREET1_Import_Export!$C80+J$43*GREET1_Import_Export!$G80+(MMULT('GREET2_Factors_T&amp;D'!$F23:$H23+0,J$45:J$47+0))+GREET1_Import_Export!$B230)+W$72*(J$48*GREET1_Import_Export!$AA80+J$49*GREET1_Import_Export!$AB80+GREET1_Import_Export!$B298)
+W$73*GREET1_Import_Export!$L356</f>
        <v>19340.335403452344</v>
      </c>
      <c r="X89" s="1288"/>
      <c r="Y89" s="1082">
        <f>SUM('GREET2_Factors_T&amp;D'!AH68:AI68)</f>
        <v>9.8597988189739176</v>
      </c>
      <c r="Z89" s="1799" cm="1">
        <f t="array" ref="Z89">Z$67*(K$34*GREET1_Import_Export!$K80+GREET1_Import_Export!$B194*GREET1_Import_Export!$F$179+GREET1_Import_Export!$F194)
+Z$68*(K$36*GREET1_Import_Export!$Q80+K$37*GREET1_Import_Export!$O80+K$38*GREET1_Import_Export!$M80+GREET1_Import_Export!$B194*GREET1_Import_Export!$G$179+GREET1_Import_Export!$G194)
+Z$69*(K$39*GREET1_Import_Export!$T80+GREET1_Import_Export!$B194*GREET1_Import_Export!$C$179+GREET1_Import_Export!$C194)
+Z$70*(K$40*GREET1_Import_Export!$W80+GREET1_Import_Export!$E230*GREET1_Import_Export!$F$215+GREET1_Import_Export!$F230)
+Z$71*(K$41*GREET1_Import_Export!$B80+K$42*GREET1_Import_Export!$C80+K$43*GREET1_Import_Export!$G80+(MMULT('GREET2_Factors_T&amp;D'!$F23:$H23+0,K$45:K$47+0))+GREET1_Import_Export!$B230)+Z$72*(K$48*GREET1_Import_Export!$AA80+K$49*GREET1_Import_Export!$AB80+GREET1_Import_Export!$B298)
+Z$73*GREET1_Import_Export!$L356</f>
        <v>22819.374336707337</v>
      </c>
      <c r="AA89" s="1288"/>
      <c r="AB89" s="1082">
        <f>SUM('GREET2_Factors_T&amp;D'!AJ68:AK68)</f>
        <v>9.8597988189739176</v>
      </c>
      <c r="AC89" s="234">
        <f t="array" ref="AC89">Li_Chemicals!AC$67*(Li_Chemicals!G$34*GREET1_Import_Export!$K80+GREET1_Import_Export!$B194*GREET1_Import_Export!$F$179+GREET1_Import_Export!$F194)+Li_Chemicals!AC$68*(Li_Chemicals!G$36*GREET1_Import_Export!$Q80+Li_Chemicals!G$37*GREET1_Import_Export!$O80+Li_Chemicals!G$38*GREET1_Import_Export!$M80+GREET1_Import_Export!$B194*GREET1_Import_Export!$G$179+GREET1_Import_Export!$G194)+Li_Chemicals!AC$69*(Li_Chemicals!G$39*GREET1_Import_Export!$T80+GREET1_Import_Export!$B194*GREET1_Import_Export!$C$179+GREET1_Import_Export!$C194)+Li_Chemicals!AC$70*(Li_Chemicals!G$40*GREET1_Import_Export!$W80+GREET1_Import_Export!$E230*GREET1_Import_Export!$F$215+GREET1_Import_Export!$F230)+Li_Chemicals!AC$71*(Li_Chemicals!G$41*GREET1_Import_Export!$B80+Li_Chemicals!G$42*GREET1_Import_Export!$C80+Li_Chemicals!G$43*GREET1_Import_Export!$G80+(MMULT('GREET2_Factors_T&amp;D'!$F23:$H23+0,Li_Chemicals!G$45:G$47+0))+GREET1_Import_Export!$B230)+Li_Chemicals!AC$72*(Li_Chemicals!G$48*GREET1_Import_Export!$AA80+Li_Chemicals!G$49*GREET1_Import_Export!$AB80+GREET1_Import_Export!$B298)+Li_Chemicals!AC$73*SUM(GREET1_Import_Export!$B323:$C323)</f>
        <v>951.03253382051571</v>
      </c>
      <c r="AD89" s="51"/>
      <c r="AO89" s="1318"/>
      <c r="AQ89" s="1318"/>
      <c r="AR89" s="1318"/>
      <c r="AT89" s="1318"/>
    </row>
    <row r="90" spans="1:46">
      <c r="A90" s="100" t="s">
        <v>830</v>
      </c>
      <c r="B90" s="1318">
        <f>Li_Chemicals!B$67*(Li_Chemicals!B$34*GREET1_Import_Export!$K81+GREET1_Import_Export!$J195*GREET1_Import_Export!$L$179+GREET1_Import_Export!$L195)+Li_Chemicals!B$68*(Li_Chemicals!B$36*GREET1_Import_Export!$Q81+Li_Chemicals!B$37*GREET1_Import_Export!$O81+Li_Chemicals!B$38*GREET1_Import_Export!$M81+GREET1_Import_Export!$J195*GREET1_Import_Export!$M$179+GREET1_Import_Export!$M195)+Li_Chemicals!B$69*(Li_Chemicals!B$39*GREET1_Import_Export!$T81+GREET1_Import_Export!$J195*GREET1_Import_Export!$K$179+GREET1_Import_Export!$K195)+Li_Chemicals!B$70*(Li_Chemicals!B$40*GREET1_Import_Export!$W81+GREET1_Import_Export!$J231*GREET1_Import_Export!$K$215+GREET1_Import_Export!$K231)+Li_Chemicals!B$71*(Li_Chemicals!B$41*GREET1_Import_Export!$B81+Li_Chemicals!B$42*GREET1_Import_Export!$C81+Li_Chemicals!B$43*GREET1_Import_Export!$G81+Li_Chemicals!B$45*'GREET2_Factors_T&amp;D'!$F24+Li_Chemicals!B$46*'GREET2_Factors_T&amp;D'!$G24+GREET1_Import_Export!$G231)+Li_Chemicals!B$72*(Li_Chemicals!B$48*GREET1_Import_Export!$AA81+Li_Chemicals!B$49*GREET1_Import_Export!$AB81+GREET1_Import_Export!$D299)+Li_Chemicals!B$73*GREET1_Import_Export!$B357</f>
        <v>0.94497819585371945</v>
      </c>
      <c r="D90" s="1318">
        <f>SUM('GREET2_Factors_T&amp;D'!H69:I69)</f>
        <v>1.4505024871364787</v>
      </c>
      <c r="E90" s="234">
        <f t="array" ref="E90">Li_Chemicals!E$67*(Li_Chemicals!E$34*GREET1_Import_Export!$K81+GREET1_Import_Export!$B195*GREET1_Import_Export!$F$179+GREET1_Import_Export!$F195)+Li_Chemicals!E$68*(Li_Chemicals!E$36*GREET1_Import_Export!$Q81+Li_Chemicals!E$37*GREET1_Import_Export!$O81+Li_Chemicals!E$38*GREET1_Import_Export!$M81+GREET1_Import_Export!$B195*GREET1_Import_Export!$G$179+GREET1_Import_Export!$G195)+Li_Chemicals!E$69*(Li_Chemicals!E$39*GREET1_Import_Export!$T81+GREET1_Import_Export!$B195*GREET1_Import_Export!$C$179+GREET1_Import_Export!$C195)+Li_Chemicals!E$70*(Li_Chemicals!E$40*GREET1_Import_Export!$W81+GREET1_Import_Export!$E231*GREET1_Import_Export!$F$215+GREET1_Import_Export!$F231)+Li_Chemicals!E$71*(Li_Chemicals!E$41*GREET1_Import_Export!$B81+Li_Chemicals!E$42*GREET1_Import_Export!$C81+Li_Chemicals!E$43*GREET1_Import_Export!$G81+(MMULT('GREET2_Factors_T&amp;D'!$F24:$H24+0,Li_Chemicals!E$45:E$47+0))+GREET1_Import_Export!$B231)+Li_Chemicals!E$72*(Li_Chemicals!E$48*GREET1_Import_Export!$AA81+Li_Chemicals!E$49*GREET1_Import_Export!$AB81+GREET1_Import_Export!$B299)+Li_Chemicals!E$73*SUM(GREET1_Import_Export!$B324:$C324)</f>
        <v>0.90784001393054348</v>
      </c>
      <c r="G90" s="235">
        <f>'GREET2_Factors_T&amp;D'!B69</f>
        <v>8.1376792621820043E-2</v>
      </c>
      <c r="H90" s="1318">
        <f>Li_Chemicals!H$67*(Li_Chemicals!C$34*GREET1_Import_Export!$K81+GREET1_Import_Export!$J195*GREET1_Import_Export!$L$179+GREET1_Import_Export!$L195)+Li_Chemicals!H$68*(Li_Chemicals!C$36*GREET1_Import_Export!$Q81+Li_Chemicals!C$37*GREET1_Import_Export!$O81+Li_Chemicals!C$38*GREET1_Import_Export!$M81+GREET1_Import_Export!$J195*GREET1_Import_Export!$M$179+GREET1_Import_Export!$M195)+Li_Chemicals!H$69*(Li_Chemicals!C$39*GREET1_Import_Export!$T81+GREET1_Import_Export!$J195*GREET1_Import_Export!$K$179+GREET1_Import_Export!$K195)+Li_Chemicals!H$70*(Li_Chemicals!C$40*GREET1_Import_Export!$W81+GREET1_Import_Export!$J231*GREET1_Import_Export!$K$215+GREET1_Import_Export!$K231)+Li_Chemicals!H$71*(Li_Chemicals!C$41*GREET1_Import_Export!$T81+Li_Chemicals!C$42*GREET1_Import_Export!$C81+Li_Chemicals!C$43*GREET1_Import_Export!$G81+Li_Chemicals!C$45*'GREET2_Factors_T&amp;D'!$F24+Li_Chemicals!C$46*'GREET2_Factors_T&amp;D'!$G24+GREET1_Import_Export!$G231)+Li_Chemicals!H$72*(Li_Chemicals!C$48*GREET1_Import_Export!$AA81+Li_Chemicals!C$49*GREET1_Import_Export!$AB81+GREET1_Import_Export!$D299)+Li_Chemicals!H$73*GREET1_Import_Export!$S357</f>
        <v>2.9635356309245227</v>
      </c>
      <c r="J90" s="235">
        <f>'GREET2_Factors_T&amp;D'!G69</f>
        <v>5.8591290687710428E-2</v>
      </c>
      <c r="K90" s="1318">
        <f>Li_Chemicals!K$67*(Li_Chemicals!D$34*GREET1_Import_Export!$K81+GREET1_Import_Export!$J195*GREET1_Import_Export!$L$179+GREET1_Import_Export!$L195)+Li_Chemicals!K$68*(Li_Chemicals!D$36*GREET1_Import_Export!$Q81+Li_Chemicals!D$37*GREET1_Import_Export!$O81+Li_Chemicals!D$38*GREET1_Import_Export!$M81+GREET1_Import_Export!$J195*GREET1_Import_Export!$M$179+GREET1_Import_Export!$M195)+Li_Chemicals!K$69*(Li_Chemicals!D$39*GREET1_Import_Export!$T81+GREET1_Import_Export!$J195*GREET1_Import_Export!$K$179+GREET1_Import_Export!$K195)+Li_Chemicals!K$70*(Li_Chemicals!D$40*GREET1_Import_Export!$W81+GREET1_Import_Export!$J231*GREET1_Import_Export!$K$215+GREET1_Import_Export!$K231)+Li_Chemicals!K$71*(Li_Chemicals!D$41*GREET1_Import_Export!$T81+Li_Chemicals!D$42*GREET1_Import_Export!$C81+Li_Chemicals!D$43*GREET1_Import_Export!$G81+Li_Chemicals!D$45*'GREET2_Factors_T&amp;D'!$F24+Li_Chemicals!D$46*'GREET2_Factors_T&amp;D'!$G24+GREET1_Import_Export!$G231)+Li_Chemicals!K$72*(Li_Chemicals!D$48*GREET1_Import_Export!$AA81+Li_Chemicals!D$49*GREET1_Import_Export!$AB81+GREET1_Import_Export!$D299)+Li_Chemicals!K$73*GREET1_Import_Export!$S357</f>
        <v>13.528604005540846</v>
      </c>
      <c r="M90" s="235">
        <f>SUM('GREET2_Factors_T&amp;D'!J69:K69)</f>
        <v>2.158214349497209</v>
      </c>
      <c r="N90" s="234">
        <f t="array" ref="N90">Li_Chemicals!N$67*(Li_Chemicals!F$34*GREET1_Import_Export!$K81+GREET1_Import_Export!$B195*GREET1_Import_Export!$F$179+GREET1_Import_Export!$F195)+Li_Chemicals!N$68*(Li_Chemicals!F$36*GREET1_Import_Export!$Q81+Li_Chemicals!F$37*GREET1_Import_Export!$O81+Li_Chemicals!F$38*GREET1_Import_Export!$M81+GREET1_Import_Export!$B195*GREET1_Import_Export!$G$179+GREET1_Import_Export!$G195)+Li_Chemicals!N$69*(Li_Chemicals!F$39*GREET1_Import_Export!$T81+GREET1_Import_Export!$B195*GREET1_Import_Export!$C$179+GREET1_Import_Export!$C195)+Li_Chemicals!N$70*(Li_Chemicals!F$40*GREET1_Import_Export!$W81+GREET1_Import_Export!$E231*GREET1_Import_Export!$F$215+GREET1_Import_Export!$F231)+Li_Chemicals!N$71*(Li_Chemicals!F$41*GREET1_Import_Export!$B81+Li_Chemicals!F$42*GREET1_Import_Export!$C81+Li_Chemicals!F$43*GREET1_Import_Export!$G81+(MMULT('GREET2_Factors_T&amp;D'!$F24:$H24+0,Li_Chemicals!F$45:F$47+0))+GREET1_Import_Export!$B231)+Li_Chemicals!N$72*(Li_Chemicals!F$48*GREET1_Import_Export!$AA81+Li_Chemicals!F$49*GREET1_Import_Export!$AB81+GREET1_Import_Export!$B299)+Li_Chemicals!N$73*SUM(GREET1_Import_Export!$B324:$C324)</f>
        <v>75.728189775514394</v>
      </c>
      <c r="P90" s="228">
        <f>SUM('GREET2_Factors_T&amp;D'!C69:D69)</f>
        <v>1.8812859044501615</v>
      </c>
      <c r="Q90" s="234">
        <f>Q$67*(H$34*GREET1_Import_Export!$K81+GREET1_Import_Export!$J195*GREET1_Import_Export!$L$179+GREET1_Import_Export!$L195)+Q$68*(H$36*GREET1_Import_Export!$Q81+H$37*GREET1_Import_Export!$O81+H$38*GREET1_Import_Export!$M81+GREET1_Import_Export!$J195*GREET1_Import_Export!$M$179+GREET1_Import_Export!$M195)+Q$69*(H$39*GREET1_Import_Export!$T81+GREET1_Import_Export!$J195*GREET1_Import_Export!$K$179+GREET1_Import_Export!$K195)+Q$70*(H$40*GREET1_Import_Export!$W81+GREET1_Import_Export!$J231*GREET1_Import_Export!$K$215+GREET1_Import_Export!$K231)+Q$71*(H$41*GREET1_Import_Export!$B81+H$42*GREET1_Import_Export!$C81+H$43*GREET1_Import_Export!$G81+H$45*'GREET2_Factors_T&amp;D'!$F24+H$46*'GREET2_Factors_T&amp;D'!$G24+GREET1_Import_Export!$G231)+Q$72*(H$48*GREET1_Import_Export!$AA81+H$49*GREET1_Import_Export!$AB81+GREET1_Import_Export!$D299)+Q$73*GREET1_Import_Export!$S357</f>
        <v>114.7536647040076</v>
      </c>
      <c r="R90" s="1"/>
      <c r="S90" s="235">
        <f>SUM('GREET2_Factors_T&amp;D'!Z69:AA69)</f>
        <v>2.1864587353722373</v>
      </c>
      <c r="T90" s="1798" cm="1">
        <f t="array" ref="T90">T$67*(I$34*GREET1_Import_Export!$K81+GREET1_Import_Export!$B195*GREET1_Import_Export!$F$179+GREET1_Import_Export!$F195)
+T$68*(I$36*GREET1_Import_Export!$B155+I$37*GREET1_Import_Export!$O81+I$38*GREET1_Import_Export!$M81+GREET1_Import_Export!$B195*GREET1_Import_Export!$G$179+GREET1_Import_Export!$G195)
+T$69*(I$39*GREET1_Import_Export!$T81+GREET1_Import_Export!$B195*GREET1_Import_Export!$C$179+GREET1_Import_Export!$C195)
+T$70*(I$40*GREET1_Import_Export!$W81+GREET1_Import_Export!$E231*GREET1_Import_Export!$F$215+GREET1_Import_Export!$F231)
+T$71*(I$41*GREET1_Import_Export!$B81+I$42*GREET1_Import_Export!$C81+I$43*GREET1_Import_Export!$G81+(MMULT('GREET2_Factors_T&amp;D'!$F24:$H24+0,I$45:I$47+0))+GREET1_Import_Export!$B231)
+T$72*(I$48*GREET1_Import_Export!$AA81+I$49*GREET1_Import_Export!$AB81+GREET1_Import_Export!$B299)
+T$73*GREET1_Import_Export!$D357</f>
        <v>4.537351617739632</v>
      </c>
      <c r="U90" s="1288"/>
      <c r="V90" s="1463">
        <f>SUM('GREET2_Factors_T&amp;D'!AB69:AG69)</f>
        <v>1.2116890771587479</v>
      </c>
      <c r="W90" s="1798" cm="1">
        <f t="array" ref="W90">W$67*(J$34*GREET1_Import_Export!$K81+GREET1_Import_Export!$B195*GREET1_Import_Export!$F$179+GREET1_Import_Export!$F195)
+W$68*(J$36*GREET1_Import_Export!$Q81+J$37*GREET1_Import_Export!$O81+J$38*GREET1_Import_Export!$M81+GREET1_Import_Export!$B195*GREET1_Import_Export!$G$179+GREET1_Import_Export!$G195)
+W$69*(J$39*GREET1_Import_Export!$T81+GREET1_Import_Export!$B195*GREET1_Import_Export!$C$179+GREET1_Import_Export!$C195)
+W$70*(J$40*GREET1_Import_Export!$W81+GREET1_Import_Export!$E231*GREET1_Import_Export!$F$215+GREET1_Import_Export!$F231)
+W$71*(J$41*GREET1_Import_Export!$B81+J$42*GREET1_Import_Export!$C81+J$43*GREET1_Import_Export!$G81+(MMULT('GREET2_Factors_T&amp;D'!$F24:$H24+0,J$45:J$47+0))+GREET1_Import_Export!$B231)+W$72*(J$48*GREET1_Import_Export!$AA81+J$49*GREET1_Import_Export!$AB81+GREET1_Import_Export!$B299)
+W$73*GREET1_Import_Export!$L357</f>
        <v>73.548873093779179</v>
      </c>
      <c r="X90" s="1288"/>
      <c r="Y90" s="1082">
        <f>SUM('GREET2_Factors_T&amp;D'!AH69:AI69)</f>
        <v>3.0516297233182516E-2</v>
      </c>
      <c r="Z90" s="1799" cm="1">
        <f t="array" ref="Z90">Z$67*(K$34*GREET1_Import_Export!$K81+GREET1_Import_Export!$B195*GREET1_Import_Export!$F$179+GREET1_Import_Export!$F195)
+Z$68*(K$36*GREET1_Import_Export!$Q81+K$37*GREET1_Import_Export!$O81+K$38*GREET1_Import_Export!$M81+GREET1_Import_Export!$B195*GREET1_Import_Export!$G$179+GREET1_Import_Export!$G195)
+Z$69*(K$39*GREET1_Import_Export!$T81+GREET1_Import_Export!$B195*GREET1_Import_Export!$C$179+GREET1_Import_Export!$C195)
+Z$70*(K$40*GREET1_Import_Export!$W81+GREET1_Import_Export!$E231*GREET1_Import_Export!$F$215+GREET1_Import_Export!$F231)
+Z$71*(K$41*GREET1_Import_Export!$B81+K$42*GREET1_Import_Export!$C81+K$43*GREET1_Import_Export!$G81+(MMULT('GREET2_Factors_T&amp;D'!$F24:$H24+0,K$45:K$47+0))+GREET1_Import_Export!$B231)+Z$72*(K$48*GREET1_Import_Export!$AA81+K$49*GREET1_Import_Export!$AB81+GREET1_Import_Export!$B299)
+Z$73*GREET1_Import_Export!$L357</f>
        <v>157.86449056061826</v>
      </c>
      <c r="AA90" s="1288"/>
      <c r="AB90" s="1082">
        <f>SUM('GREET2_Factors_T&amp;D'!AJ69:AK69)</f>
        <v>3.0516297233182516E-2</v>
      </c>
      <c r="AC90" s="234">
        <f t="array" ref="AC90">Li_Chemicals!AC$67*(Li_Chemicals!G$34*GREET1_Import_Export!$K81+GREET1_Import_Export!$B195*GREET1_Import_Export!$F$179+GREET1_Import_Export!$F195)+Li_Chemicals!AC$68*(Li_Chemicals!G$36*GREET1_Import_Export!$Q81+Li_Chemicals!G$37*GREET1_Import_Export!$O81+Li_Chemicals!G$38*GREET1_Import_Export!$M81+GREET1_Import_Export!$B195*GREET1_Import_Export!$G$179+GREET1_Import_Export!$G195)+Li_Chemicals!AC$69*(Li_Chemicals!G$39*GREET1_Import_Export!$T81+GREET1_Import_Export!$B195*GREET1_Import_Export!$C$179+GREET1_Import_Export!$C195)+Li_Chemicals!AC$70*(Li_Chemicals!G$40*GREET1_Import_Export!$W81+GREET1_Import_Export!$E231*GREET1_Import_Export!$F$215+GREET1_Import_Export!$F231)+Li_Chemicals!AC$71*(Li_Chemicals!G$41*GREET1_Import_Export!$B81+Li_Chemicals!G$42*GREET1_Import_Export!$C81+Li_Chemicals!G$43*GREET1_Import_Export!$G81+(MMULT('GREET2_Factors_T&amp;D'!$F24:$H24+0,Li_Chemicals!G$45:G$47+0))+GREET1_Import_Export!$B231)+Li_Chemicals!AC$72*(Li_Chemicals!G$48*GREET1_Import_Export!$AA81+Li_Chemicals!G$49*GREET1_Import_Export!$AB81+GREET1_Import_Export!$B299)+Li_Chemicals!AC$73*SUM(GREET1_Import_Export!$B324:$C324)</f>
        <v>9.2437374968173085</v>
      </c>
      <c r="AD90" s="51"/>
      <c r="AO90" s="1318"/>
      <c r="AQ90" s="1318"/>
      <c r="AR90" s="1318"/>
      <c r="AT90" s="1318"/>
    </row>
    <row r="91" spans="1:46">
      <c r="A91" s="484" t="s">
        <v>831</v>
      </c>
      <c r="B91" s="53">
        <f>Li_Chemicals!B$67*(Li_Chemicals!B$34*GREET1_Import_Export!$K82+GREET1_Import_Export!$J196*GREET1_Import_Export!$L$179+GREET1_Import_Export!$L196)+Li_Chemicals!B$68*(Li_Chemicals!B$36*GREET1_Import_Export!$Q82+Li_Chemicals!B$37*GREET1_Import_Export!$O82+Li_Chemicals!B$38*GREET1_Import_Export!$M82+GREET1_Import_Export!$J196*GREET1_Import_Export!$M$179+GREET1_Import_Export!$M196)+Li_Chemicals!B$69*(Li_Chemicals!B$39*GREET1_Import_Export!$T82+GREET1_Import_Export!$J196*GREET1_Import_Export!$K$179+GREET1_Import_Export!$K196)+Li_Chemicals!B$70*(Li_Chemicals!B$40*GREET1_Import_Export!$W82+GREET1_Import_Export!$J232*GREET1_Import_Export!$K$215+GREET1_Import_Export!$K232)+Li_Chemicals!B$71*(Li_Chemicals!B$41*GREET1_Import_Export!$B82+Li_Chemicals!B$42*GREET1_Import_Export!$C82+Li_Chemicals!B$43*GREET1_Import_Export!$G82+Li_Chemicals!B$45*'GREET2_Factors_T&amp;D'!$F25+Li_Chemicals!B$46*'GREET2_Factors_T&amp;D'!$G25+GREET1_Import_Export!$G232)+Li_Chemicals!B$72*(Li_Chemicals!B$48*GREET1_Import_Export!$AA82+Li_Chemicals!B$49*GREET1_Import_Export!$AB82+GREET1_Import_Export!$D300)+Li_Chemicals!B$73*GREET1_Import_Export!$B358</f>
        <v>471944.18061585055</v>
      </c>
      <c r="C91" s="162">
        <v>127273</v>
      </c>
      <c r="D91" s="53">
        <f>SUM('GREET2_Factors_T&amp;D'!H70:I70)</f>
        <v>140056.87308069083</v>
      </c>
      <c r="E91" s="242">
        <f t="array" ref="E91">Li_Chemicals!E$67*(Li_Chemicals!E$34*GREET1_Import_Export!$K82+GREET1_Import_Export!$B196*GREET1_Import_Export!$F$179+GREET1_Import_Export!$F196)+Li_Chemicals!E$68*(Li_Chemicals!E$36*GREET1_Import_Export!$Q82+Li_Chemicals!E$37*GREET1_Import_Export!$O82+Li_Chemicals!E$38*GREET1_Import_Export!$M82+GREET1_Import_Export!$B196*GREET1_Import_Export!$G$179+GREET1_Import_Export!$G196)+Li_Chemicals!E$69*(Li_Chemicals!E$39*GREET1_Import_Export!$T82+GREET1_Import_Export!$B196*GREET1_Import_Export!$C$179+GREET1_Import_Export!$C196)+Li_Chemicals!E$70*(Li_Chemicals!E$40*GREET1_Import_Export!$W82+GREET1_Import_Export!$E232*GREET1_Import_Export!$F$215+GREET1_Import_Export!$F232)+Li_Chemicals!E$71*(Li_Chemicals!E$41*GREET1_Import_Export!$B82+Li_Chemicals!E$42*GREET1_Import_Export!$C82+Li_Chemicals!E$43*GREET1_Import_Export!$G82+(MMULT('GREET2_Factors_T&amp;D'!$F25:$H25+0,Li_Chemicals!E$45:E$47+0))+GREET1_Import_Export!$B232)+Li_Chemicals!E$72*(Li_Chemicals!E$48*GREET1_Import_Export!$AA82+Li_Chemicals!E$49*GREET1_Import_Export!$AB82+GREET1_Import_Export!$B300)+Li_Chemicals!E$73*SUM(GREET1_Import_Export!$B325:$C325)</f>
        <v>468896.52087161713</v>
      </c>
      <c r="F91" s="162">
        <v>127273</v>
      </c>
      <c r="G91" s="243">
        <f>'GREET2_Factors_T&amp;D'!B70</f>
        <v>21621.471071373158</v>
      </c>
      <c r="H91" s="53">
        <f>Li_Chemicals!H$67*(Li_Chemicals!C$34*GREET1_Import_Export!$K82+GREET1_Import_Export!$J196*GREET1_Import_Export!$L$179+GREET1_Import_Export!$L196)+Li_Chemicals!H$68*(Li_Chemicals!C$36*GREET1_Import_Export!$Q82+Li_Chemicals!C$37*GREET1_Import_Export!$O82+Li_Chemicals!C$38*GREET1_Import_Export!$M82+GREET1_Import_Export!$J196*GREET1_Import_Export!$M$179+GREET1_Import_Export!$M196)+Li_Chemicals!H$69*(Li_Chemicals!C$39*GREET1_Import_Export!$T82+GREET1_Import_Export!$J196*GREET1_Import_Export!$K$179+GREET1_Import_Export!$K196)+Li_Chemicals!H$70*(Li_Chemicals!C$40*GREET1_Import_Export!$W82+GREET1_Import_Export!$J232*GREET1_Import_Export!$K$215+GREET1_Import_Export!$K232)+Li_Chemicals!H$71*(Li_Chemicals!C$41*GREET1_Import_Export!$T82+Li_Chemicals!C$42*GREET1_Import_Export!$C82+Li_Chemicals!C$43*GREET1_Import_Export!$G82+Li_Chemicals!C$45*'GREET2_Factors_T&amp;D'!$F25+Li_Chemicals!C$46*'GREET2_Factors_T&amp;D'!$G25+GREET1_Import_Export!$G232)+Li_Chemicals!H$72*(Li_Chemicals!C$48*GREET1_Import_Export!$AA82+Li_Chemicals!C$49*GREET1_Import_Export!$AB82+GREET1_Import_Export!$D300)+Li_Chemicals!H$73*GREET1_Import_Export!$S358</f>
        <v>82481.485349839393</v>
      </c>
      <c r="I91" s="125"/>
      <c r="J91" s="243">
        <f>'GREET2_Factors_T&amp;D'!G70</f>
        <v>15567.459171388673</v>
      </c>
      <c r="K91" s="53">
        <f>Li_Chemicals!K$67*(Li_Chemicals!D$34*GREET1_Import_Export!$K82+GREET1_Import_Export!$J196*GREET1_Import_Export!$L$179+GREET1_Import_Export!$L196)+Li_Chemicals!K$68*(Li_Chemicals!D$36*GREET1_Import_Export!$Q82+Li_Chemicals!D$37*GREET1_Import_Export!$O82+Li_Chemicals!D$38*GREET1_Import_Export!$M82+GREET1_Import_Export!$J196*GREET1_Import_Export!$M$179+GREET1_Import_Export!$M196)+Li_Chemicals!K$69*(Li_Chemicals!D$39*GREET1_Import_Export!$T82+GREET1_Import_Export!$J196*GREET1_Import_Export!$K$179+GREET1_Import_Export!$K196)+Li_Chemicals!K$70*(Li_Chemicals!D$40*GREET1_Import_Export!$W82+GREET1_Import_Export!$J232*GREET1_Import_Export!$K$215+GREET1_Import_Export!$K232)+Li_Chemicals!K$71*(Li_Chemicals!D$41*GREET1_Import_Export!$T82+Li_Chemicals!D$42*GREET1_Import_Export!$C82+Li_Chemicals!D$43*GREET1_Import_Export!$G82+Li_Chemicals!D$45*'GREET2_Factors_T&amp;D'!$F25+Li_Chemicals!D$46*'GREET2_Factors_T&amp;D'!$G25+GREET1_Import_Export!$G232)+Li_Chemicals!K$72*(Li_Chemicals!D$48*GREET1_Import_Export!$AA82+Li_Chemicals!D$49*GREET1_Import_Export!$AB82+GREET1_Import_Export!$D300)+Li_Chemicals!K$73*GREET1_Import_Export!$S358</f>
        <v>371645.34403234883</v>
      </c>
      <c r="L91" s="125"/>
      <c r="M91" s="243">
        <f>SUM('GREET2_Factors_T&amp;D'!J70:K70)</f>
        <v>96362.83345723449</v>
      </c>
      <c r="N91" s="242">
        <f t="array" ref="N91">Li_Chemicals!N$67*(Li_Chemicals!F$34*GREET1_Import_Export!$K82+GREET1_Import_Export!$B196*GREET1_Import_Export!$F$179+GREET1_Import_Export!$F196)+Li_Chemicals!N$68*(Li_Chemicals!F$36*GREET1_Import_Export!$Q82+Li_Chemicals!F$37*GREET1_Import_Export!$O82+Li_Chemicals!F$38*GREET1_Import_Export!$M82+GREET1_Import_Export!$B196*GREET1_Import_Export!$G$179+GREET1_Import_Export!$G196)+Li_Chemicals!N$69*(Li_Chemicals!F$39*GREET1_Import_Export!$T82+GREET1_Import_Export!$B196*GREET1_Import_Export!$C$179+GREET1_Import_Export!$C196)+Li_Chemicals!N$70*(Li_Chemicals!F$40*GREET1_Import_Export!$W82+GREET1_Import_Export!$E232*GREET1_Import_Export!$F$215+GREET1_Import_Export!$F232)+Li_Chemicals!N$71*(Li_Chemicals!F$41*GREET1_Import_Export!$B82+Li_Chemicals!F$42*GREET1_Import_Export!$C82+Li_Chemicals!F$43*GREET1_Import_Export!$G82+(MMULT('GREET2_Factors_T&amp;D'!$F25:$H25+0,Li_Chemicals!F$45:F$47+0))+GREET1_Import_Export!$B232)+Li_Chemicals!N$72*(Li_Chemicals!F$48*GREET1_Import_Export!$AA82+Li_Chemicals!F$49*GREET1_Import_Export!$AB82+GREET1_Import_Export!$B300)+Li_Chemicals!N$73*SUM(GREET1_Import_Export!$B325:$C325)</f>
        <v>3658449.9017688325</v>
      </c>
      <c r="O91" s="125"/>
      <c r="P91" s="53">
        <f>SUM('GREET2_Factors_T&amp;D'!C70:D70)</f>
        <v>91130.387435416167</v>
      </c>
      <c r="Q91" s="242">
        <f>Q$67*(H$34*GREET1_Import_Export!$K82+GREET1_Import_Export!$J196*GREET1_Import_Export!$L$179+GREET1_Import_Export!$L196)+Q$68*(H$36*GREET1_Import_Export!$Q82+H$37*GREET1_Import_Export!$O82+H$38*GREET1_Import_Export!$M82+GREET1_Import_Export!$J196*GREET1_Import_Export!$M$179+GREET1_Import_Export!$M196)+Q$69*(H$39*GREET1_Import_Export!$T82+GREET1_Import_Export!$J196*GREET1_Import_Export!$K$179+GREET1_Import_Export!$K196)+Q$70*(H$40*GREET1_Import_Export!$W82+GREET1_Import_Export!$J232*GREET1_Import_Export!$K$215+GREET1_Import_Export!$K232)+Q$71*(H$41*GREET1_Import_Export!$B82+H$42*GREET1_Import_Export!$C82+H$43*GREET1_Import_Export!$G82+H$45*'GREET2_Factors_T&amp;D'!$F25+H$46*'GREET2_Factors_T&amp;D'!$G25+GREET1_Import_Export!$G232)+Q$72*(H$48*GREET1_Import_Export!$AA82+H$49*GREET1_Import_Export!$AB82+GREET1_Import_Export!$D300)+Q$73*GREET1_Import_Export!$S358</f>
        <v>3550723.2552308729</v>
      </c>
      <c r="R91" s="125"/>
      <c r="S91" s="243">
        <f>SUM('GREET2_Factors_T&amp;D'!Z70:AA70)</f>
        <v>97594.361098343463</v>
      </c>
      <c r="T91" s="1800" cm="1">
        <f t="array" ref="T91">T$67*(I$34*GREET1_Import_Export!$K82+GREET1_Import_Export!$B196*GREET1_Import_Export!$F$179+GREET1_Import_Export!$F196)
+T$68*(I$36*GREET1_Import_Export!$B156+I$37*GREET1_Import_Export!$O82+I$38*GREET1_Import_Export!$M82+GREET1_Import_Export!$B196*GREET1_Import_Export!$G$179+GREET1_Import_Export!$G196)
+T$69*(I$39*GREET1_Import_Export!$T82+GREET1_Import_Export!$B196*GREET1_Import_Export!$C$179+GREET1_Import_Export!$C196)
+T$70*(I$40*GREET1_Import_Export!$W82+GREET1_Import_Export!$E232*GREET1_Import_Export!$F$215+GREET1_Import_Export!$F232)
+T$71*(I$41*GREET1_Import_Export!$B82+I$42*GREET1_Import_Export!$C82+I$43*GREET1_Import_Export!$G82+(MMULT('GREET2_Factors_T&amp;D'!$F25:$H25+0,I$45:I$47+0))+GREET1_Import_Export!$B232)
+T$72*(I$48*GREET1_Import_Export!$AA82+I$49*GREET1_Import_Export!$AB82+GREET1_Import_Export!$B300)
+T$73*GREET1_Import_Export!$D358</f>
        <v>352213.10122880957</v>
      </c>
      <c r="U91" s="1086"/>
      <c r="V91" s="526">
        <f>SUM('GREET2_Factors_T&amp;D'!AB70:AG70)</f>
        <v>68975.359753279758</v>
      </c>
      <c r="W91" s="1800" cm="1">
        <f t="array" ref="W91">W$67*(J$34*GREET1_Import_Export!$K82+GREET1_Import_Export!$B196*GREET1_Import_Export!$F$179+GREET1_Import_Export!$F196)
+W$68*(J$36*GREET1_Import_Export!$Q82+J$37*GREET1_Import_Export!$O82+J$38*GREET1_Import_Export!$M82+GREET1_Import_Export!$B196*GREET1_Import_Export!$G$179+GREET1_Import_Export!$G196)
+W$69*(J$39*GREET1_Import_Export!$T82+GREET1_Import_Export!$B196*GREET1_Import_Export!$C$179+GREET1_Import_Export!$C196)
+W$70*(J$40*GREET1_Import_Export!$W82+GREET1_Import_Export!$E232*GREET1_Import_Export!$F$215+GREET1_Import_Export!$F232)
+W$71*(J$41*GREET1_Import_Export!$B82+J$42*GREET1_Import_Export!$C82+J$43*GREET1_Import_Export!$G82+(MMULT('GREET2_Factors_T&amp;D'!$F25:$H25+0,J$45:J$47+0))+GREET1_Import_Export!$B232)+W$72*(J$48*GREET1_Import_Export!$AA82+J$49*GREET1_Import_Export!$AB82+GREET1_Import_Export!$B300)
+W$73*GREET1_Import_Export!$L358</f>
        <v>13093436.588936044</v>
      </c>
      <c r="X91" s="1086"/>
      <c r="Y91" s="1087">
        <f>SUM('GREET2_Factors_T&amp;D'!AH70:AI70)</f>
        <v>8108.0516517649339</v>
      </c>
      <c r="Z91" s="1801" cm="1">
        <f t="array" ref="Z91">Z$67*(K$34*GREET1_Import_Export!$K82+GREET1_Import_Export!$B196*GREET1_Import_Export!$F$179+GREET1_Import_Export!$F196)
+Z$68*(K$36*GREET1_Import_Export!$Q82+K$37*GREET1_Import_Export!$O82+K$38*GREET1_Import_Export!$M82+GREET1_Import_Export!$B196*GREET1_Import_Export!$G$179+GREET1_Import_Export!$G196)
+Z$69*(K$39*GREET1_Import_Export!$T82+GREET1_Import_Export!$B196*GREET1_Import_Export!$C$179+GREET1_Import_Export!$C196)
+Z$70*(K$40*GREET1_Import_Export!$W82+GREET1_Import_Export!$E232*GREET1_Import_Export!$F$215+GREET1_Import_Export!$F232)
+Z$71*(K$41*GREET1_Import_Export!$B82+K$42*GREET1_Import_Export!$C82+K$43*GREET1_Import_Export!$G82+(MMULT('GREET2_Factors_T&amp;D'!$F25:$H25+0,K$45:K$47+0))+GREET1_Import_Export!$B232)+Z$72*(K$48*GREET1_Import_Export!$AA82+K$49*GREET1_Import_Export!$AB82+GREET1_Import_Export!$B300)
+Z$73*GREET1_Import_Export!$L358</f>
        <v>15112152.550755728</v>
      </c>
      <c r="AA91" s="1086"/>
      <c r="AB91" s="1087">
        <f>SUM('GREET2_Factors_T&amp;D'!AJ70:AK70)</f>
        <v>8108.0516517649339</v>
      </c>
      <c r="AC91" s="242">
        <f t="array" ref="AC91">Li_Chemicals!AC$67*(Li_Chemicals!G$34*GREET1_Import_Export!$K82+GREET1_Import_Export!$B196*GREET1_Import_Export!$F$179+GREET1_Import_Export!$F196)+Li_Chemicals!AC$68*(Li_Chemicals!G$36*GREET1_Import_Export!$Q82+Li_Chemicals!G$37*GREET1_Import_Export!$O82+Li_Chemicals!G$38*GREET1_Import_Export!$M82+GREET1_Import_Export!$B196*GREET1_Import_Export!$G$179+GREET1_Import_Export!$G196)+Li_Chemicals!AC$69*(Li_Chemicals!G$39*GREET1_Import_Export!$T82+GREET1_Import_Export!$B196*GREET1_Import_Export!$C$179+GREET1_Import_Export!$C196)+Li_Chemicals!AC$70*(Li_Chemicals!G$40*GREET1_Import_Export!$W82+GREET1_Import_Export!$E232*GREET1_Import_Export!$F$215+GREET1_Import_Export!$F232)+Li_Chemicals!AC$71*(Li_Chemicals!G$41*GREET1_Import_Export!$B82+Li_Chemicals!G$42*GREET1_Import_Export!$C82+Li_Chemicals!G$43*GREET1_Import_Export!$G82+(MMULT('GREET2_Factors_T&amp;D'!$F25:$H25+0,Li_Chemicals!G$45:G$47+0))+GREET1_Import_Export!$B232)+Li_Chemicals!AC$72*(Li_Chemicals!G$48*GREET1_Import_Export!$AA82+Li_Chemicals!G$49*GREET1_Import_Export!$AB82+GREET1_Import_Export!$B300)+Li_Chemicals!AC$73*SUM(GREET1_Import_Export!$B325:$C325)</f>
        <v>365024.8231697937</v>
      </c>
      <c r="AD91" s="243"/>
      <c r="AO91" s="631"/>
      <c r="AP91" s="631"/>
      <c r="AQ91" s="631"/>
      <c r="AR91" s="631"/>
      <c r="AS91" s="631"/>
      <c r="AT91" s="631"/>
    </row>
    <row r="92" spans="1:46">
      <c r="A92" s="487" t="s">
        <v>865</v>
      </c>
      <c r="E92" s="173"/>
      <c r="G92" s="51"/>
      <c r="J92" s="51"/>
      <c r="M92" s="51"/>
      <c r="N92" s="173"/>
      <c r="P92" s="1"/>
      <c r="Q92" s="173"/>
      <c r="R92" s="1"/>
      <c r="S92" s="51"/>
      <c r="T92" s="477"/>
      <c r="U92" s="1288"/>
      <c r="V92" s="521"/>
      <c r="W92" s="1802"/>
      <c r="X92" s="1288"/>
      <c r="Y92" s="1067"/>
      <c r="Z92" s="1803"/>
      <c r="AA92" s="1288"/>
      <c r="AB92" s="1067"/>
      <c r="AC92" s="173"/>
      <c r="AD92" s="51"/>
    </row>
    <row r="93" spans="1:46">
      <c r="A93" s="100" t="s">
        <v>821</v>
      </c>
      <c r="B93" s="112">
        <f>Li_Chemicals!B$67*(Li_Chemicals!B$57*Li_Chemicals!B$34*GREET1_Import_Export!$K72+GREET1_Import_Export!$J201*GREET1_Import_Export!$L$179+GREET1_Import_Export!$L201)+Li_Chemicals!B$68*(Li_Chemicals!B$57*(Li_Chemicals!B$36*GREET1_Import_Export!$Q72+Li_Chemicals!B$37*GREET1_Import_Export!$O72+Li_Chemicals!B$38*GREET1_Import_Export!$M72)+GREET1_Import_Export!$J201*GREET1_Import_Export!$M$179+GREET1_Import_Export!$M201)+Li_Chemicals!B$69*(Li_Chemicals!B$57*Li_Chemicals!B$39*GREET1_Import_Export!$T72+GREET1_Import_Export!$J201*GREET1_Import_Export!$K$179+GREET1_Import_Export!$K201)+Li_Chemicals!B$70*(Li_Chemicals!B$57*Li_Chemicals!B$40*GREET1_Import_Export!$W72+GREET1_Import_Export!$J237*GREET1_Import_Export!$K$215+GREET1_Import_Export!$K237)+Li_Chemicals!B$71*(Li_Chemicals!B$57*(Li_Chemicals!B$41*GREET1_Import_Export!$B72+Li_Chemicals!B$42*GREET1_Import_Export!$C72+Li_Chemicals!B$43*GREET1_Import_Export!$G72+Li_Chemicals!B$45*'GREET2_Factors_T&amp;D'!$F15+Li_Chemicals!B$46*'GREET2_Factors_T&amp;D'!$G15)+GREET1_Import_Export!$G237)+Li_Chemicals!B$72*(Li_Chemicals!B$57*(Li_Chemicals!B$48*GREET1_Import_Export!$AA72+Li_Chemicals!B$49*GREET1_Import_Export!$AB72)+GREET1_Import_Export!$E290)+Li_Chemicals!B$73*GREET1_Import_Export!$B363</f>
        <v>1.2933203635546859</v>
      </c>
      <c r="D93" s="1318">
        <f>SUM('GREET2_Factors_T&amp;D'!H72:I72)</f>
        <v>3.8154155243199197</v>
      </c>
      <c r="E93" s="233">
        <f t="array" ref="E93">Li_Chemicals!E$67*(Li_Chemicals!E$57*Li_Chemicals!E$34*GREET1_Import_Export!$K72+GREET1_Import_Export!$B201*GREET1_Import_Export!$F$179+GREET1_Import_Export!$F201)+Li_Chemicals!E$68*(Li_Chemicals!E$57*(Li_Chemicals!E$36*GREET1_Import_Export!$Q72+Li_Chemicals!E$37*GREET1_Import_Export!$O72+Li_Chemicals!E$38*GREET1_Import_Export!$M72)+GREET1_Import_Export!$B201*GREET1_Import_Export!$G$179+GREET1_Import_Export!$G201)+Li_Chemicals!E$69*(Li_Chemicals!E$57*Li_Chemicals!E$39*GREET1_Import_Export!$T72+GREET1_Import_Export!$B201*GREET1_Import_Export!$C$179+GREET1_Import_Export!$C201)+Li_Chemicals!E$70*(Li_Chemicals!E$57*Li_Chemicals!E$40*GREET1_Import_Export!$W72+GREET1_Import_Export!$E237*GREET1_Import_Export!$F$215+GREET1_Import_Export!$F237)+Li_Chemicals!E$71*(Li_Chemicals!E$57*(Li_Chemicals!E$41*GREET1_Import_Export!$B72+Li_Chemicals!E$42*GREET1_Import_Export!$C72+Li_Chemicals!E$43*GREET1_Import_Export!$G72+(MMULT('GREET2_Factors_T&amp;D'!$F15:$H15+0,Li_Chemicals!E$45:E$47+0)))+GREET1_Import_Export!$B237)+Li_Chemicals!E$72*(Li_Chemicals!E$57*(Li_Chemicals!E$48*GREET1_Import_Export!$AA72+Li_Chemicals!E$49*GREET1_Import_Export!$AB72)+GREET1_Import_Export!$C290)+Li_Chemicals!E$73*SUM(GREET1_Import_Export!$D315:$E315)</f>
        <v>1.1475106144261082</v>
      </c>
      <c r="G93" s="235">
        <f>'GREET2_Factors_T&amp;D'!B72</f>
        <v>0.65799853853000734</v>
      </c>
      <c r="H93" s="112">
        <f>Li_Chemicals!H$67*(Li_Chemicals!H$57*Li_Chemicals!C$34*GREET1_Import_Export!$K72+GREET1_Import_Export!$J201*GREET1_Import_Export!$L$179+GREET1_Import_Export!$L201)+Li_Chemicals!H$68*(Li_Chemicals!H$57*(Li_Chemicals!C$36*GREET1_Import_Export!$Q72+Li_Chemicals!C$37*GREET1_Import_Export!$O72+Li_Chemicals!C$38*GREET1_Import_Export!$M72)+GREET1_Import_Export!$J201*GREET1_Import_Export!$M$179+GREET1_Import_Export!$M201)+Li_Chemicals!H$69*(Li_Chemicals!H$57*Li_Chemicals!C$39*GREET1_Import_Export!$T72+GREET1_Import_Export!$J201*GREET1_Import_Export!$K$179+GREET1_Import_Export!$K201)+Li_Chemicals!H$70*(Li_Chemicals!H$57*Li_Chemicals!C$40*GREET1_Import_Export!$W72+GREET1_Import_Export!$J237*GREET1_Import_Export!$K$215+GREET1_Import_Export!$K237)+Li_Chemicals!H$71*(Li_Chemicals!H$57*(Li_Chemicals!C$41*GREET1_Import_Export!$T72+Li_Chemicals!C$42*GREET1_Import_Export!$C72+Li_Chemicals!C$43*GREET1_Import_Export!$G72+Li_Chemicals!C$45*'GREET2_Factors_T&amp;D'!$F15+Li_Chemicals!C$46*'GREET2_Factors_T&amp;D'!$G15)+GREET1_Import_Export!$G237)+Li_Chemicals!H$72*(Li_Chemicals!H$57*(Li_Chemicals!C$48*GREET1_Import_Export!$AA72+Li_Chemicals!C$49*GREET1_Import_Export!$AB72)+GREET1_Import_Export!$E290)+Li_Chemicals!H$73*GREET1_Import_Export!$S363</f>
        <v>1.1488365114027763</v>
      </c>
      <c r="J93" s="235">
        <f>'GREET2_Factors_T&amp;D'!G72</f>
        <v>0.47375894774160526</v>
      </c>
      <c r="K93" s="112">
        <f>Li_Chemicals!K$67*(Li_Chemicals!K$57*Li_Chemicals!D$34*GREET1_Import_Export!$K72+GREET1_Import_Export!$J201*GREET1_Import_Export!$L$179+GREET1_Import_Export!$L201)+Li_Chemicals!K$68*(Li_Chemicals!K$57*(Li_Chemicals!D$36*GREET1_Import_Export!$Q72+Li_Chemicals!D$37*GREET1_Import_Export!$O72+Li_Chemicals!D$38*GREET1_Import_Export!$M72)+GREET1_Import_Export!$J201*GREET1_Import_Export!$M$179+GREET1_Import_Export!$M201)+Li_Chemicals!K$69*(Li_Chemicals!K$57*Li_Chemicals!D$39*GREET1_Import_Export!$T72+GREET1_Import_Export!$J201*GREET1_Import_Export!$K$179+GREET1_Import_Export!$K201)+Li_Chemicals!K$70*(Li_Chemicals!K$57*Li_Chemicals!D$40*GREET1_Import_Export!$W72+GREET1_Import_Export!$J237*GREET1_Import_Export!$K$215+GREET1_Import_Export!$K237)+Li_Chemicals!K$71*(Li_Chemicals!K$57*(Li_Chemicals!D$41*GREET1_Import_Export!$T72+Li_Chemicals!D$42*GREET1_Import_Export!$C72+Li_Chemicals!D$43*GREET1_Import_Export!$G72+Li_Chemicals!D$45*'GREET2_Factors_T&amp;D'!$F15+Li_Chemicals!D$46*'GREET2_Factors_T&amp;D'!$G15)+GREET1_Import_Export!$G237)+Li_Chemicals!K$72*(Li_Chemicals!K$57*(Li_Chemicals!D$48*GREET1_Import_Export!$AA72+Li_Chemicals!D$49*GREET1_Import_Export!$AB72)+GREET1_Import_Export!$E290)+Li_Chemicals!K$73*GREET1_Import_Export!$S363</f>
        <v>2.3721631987744729</v>
      </c>
      <c r="M93" s="235">
        <f>SUM('GREET2_Factors_T&amp;D'!J72:K72)</f>
        <v>2.0635875457873905</v>
      </c>
      <c r="N93" s="233">
        <f t="array" ref="N93">Li_Chemicals!N$67*(Li_Chemicals!N$57*Li_Chemicals!F$34*GREET1_Import_Export!$K72+GREET1_Import_Export!$B201*GREET1_Import_Export!$F$179+GREET1_Import_Export!$F201)+Li_Chemicals!N$68*(Li_Chemicals!N$57*(Li_Chemicals!F$36*GREET1_Import_Export!$Q72+Li_Chemicals!F$37*GREET1_Import_Export!$O72+Li_Chemicals!F$38*GREET1_Import_Export!$M72)+GREET1_Import_Export!$B201*GREET1_Import_Export!$G$179+GREET1_Import_Export!$G201)+Li_Chemicals!N$69*(Li_Chemicals!N$57*Li_Chemicals!F$39*GREET1_Import_Export!$T72+GREET1_Import_Export!$B201*GREET1_Import_Export!$C$179+GREET1_Import_Export!$C201)+Li_Chemicals!N$70*(Li_Chemicals!N$57*Li_Chemicals!F$40*GREET1_Import_Export!$W72+GREET1_Import_Export!$E237*GREET1_Import_Export!$F$215+GREET1_Import_Export!$F237)+Li_Chemicals!N$71*(Li_Chemicals!N$57*(Li_Chemicals!F$41*GREET1_Import_Export!$B72+Li_Chemicals!F$42*GREET1_Import_Export!$C72+Li_Chemicals!F$43*GREET1_Import_Export!$G72+(MMULT('GREET2_Factors_T&amp;D'!$F15:$H15+0,Li_Chemicals!F$45:F$47+0)))+GREET1_Import_Export!$B237)+Li_Chemicals!N$72*(Li_Chemicals!N$57*(Li_Chemicals!F$48*GREET1_Import_Export!$AA72+Li_Chemicals!F$49*GREET1_Import_Export!$AB72)+GREET1_Import_Export!$C290)+Li_Chemicals!N$73*SUM(GREET1_Import_Export!$D315:$E315)</f>
        <v>80.487212546610479</v>
      </c>
      <c r="P93" s="228">
        <f>SUM('GREET2_Factors_T&amp;D'!C72:D72)</f>
        <v>2.7705487402816042</v>
      </c>
      <c r="Q93" s="233">
        <f>Q$67*(Q$57*H$34*GREET1_Import_Export!$K72+GREET1_Import_Export!$J201*GREET1_Import_Export!$L$179+GREET1_Import_Export!$L201)+Q$68*(Q$57*(H$36*GREET1_Import_Export!$Q72+H$37*GREET1_Import_Export!$O72+H$38*GREET1_Import_Export!$M72)+GREET1_Import_Export!$J201*GREET1_Import_Export!$M$179+GREET1_Import_Export!$M201)+Q$69*(Q$57*H$39*GREET1_Import_Export!$T72+GREET1_Import_Export!$J201*GREET1_Import_Export!$K$179+GREET1_Import_Export!$K201)+Q$70*(Q$57*H$40*GREET1_Import_Export!$W72+GREET1_Import_Export!$J237*GREET1_Import_Export!$K$215+GREET1_Import_Export!$K237)+Q$71*(Q$57*(H$41*GREET1_Import_Export!$B72+H$42*GREET1_Import_Export!$C72+H$43*GREET1_Import_Export!$G72+H$45*'GREET2_Factors_T&amp;D'!$F15+H$46*'GREET2_Factors_T&amp;D'!$G15)+GREET1_Import_Export!$G237)+Q$72*(Q$57*(H$48*GREET1_Import_Export!$AA72+H$49*GREET1_Import_Export!$AB72)+GREET1_Import_Export!$E290)+Q$73*GREET1_Import_Export!$S363</f>
        <v>22.568139078109013</v>
      </c>
      <c r="R93" s="1"/>
      <c r="S93" s="235">
        <f>SUM('GREET2_Factors_T&amp;D'!Z72:AA72)</f>
        <v>2.0896399511070545</v>
      </c>
      <c r="T93" s="1804" cm="1">
        <f t="array" ref="T93">T$67*(T$57*I$34*GREET1_Import_Export!$K72+GREET1_Import_Export!$B201*GREET1_Import_Export!$F$179+GREET1_Import_Export!$F201)
+T$68*(T$57*(I$36*GREET1_Import_Export!$Q72+I$37*GREET1_Import_Export!$O72+I$38*GREET1_Import_Export!$M72)+GREET1_Import_Export!$B201*GREET1_Import_Export!$G$179+GREET1_Import_Export!$G201)
+T$69*(T$57*I$39*GREET1_Import_Export!$T72+GREET1_Import_Export!$B201*GREET1_Import_Export!$C$179+GREET1_Import_Export!$C201)
+T$70*(T$57*I$40*GREET1_Import_Export!$W72+GREET1_Import_Export!$E237*GREET1_Import_Export!$F$215+GREET1_Import_Export!$F237)
+T$71*(T$57*(I$41*GREET1_Import_Export!$B72+I$42*GREET1_Import_Export!$C72+I$43*GREET1_Import_Export!$G72+(MMULT('GREET2_Factors_T&amp;D'!$F15:$H15+0,I$45:I$47+0)))+GREET1_Import_Export!$B237)
+T$72*(T$57*(I$48*GREET1_Import_Export!$AA72+I$49*GREET1_Import_Export!$AB72)+GREET1_Import_Export!$C290)
+T$73*GREET1_Import_Export!$D363</f>
        <v>10.693482395537563</v>
      </c>
      <c r="U93" s="1288"/>
      <c r="V93" s="1463">
        <f>SUM('GREET2_Factors_T&amp;D'!AB72:AG72)</f>
        <v>1.7045427738062224</v>
      </c>
      <c r="W93" s="753" cm="1">
        <f t="array" ref="W93">W$67*(W$57*J$34*GREET1_Import_Export!$K72+GREET1_Import_Export!$B201*GREET1_Import_Export!$F$179+GREET1_Import_Export!$F201)+W$68*(W$57*(J$36*GREET1_Import_Export!$Q72+J$37*GREET1_Import_Export!$O72+J$38*GREET1_Import_Export!$M72)+GREET1_Import_Export!$B201*GREET1_Import_Export!$G$179+GREET1_Import_Export!$G201)+W$69*(W$57*J$39*GREET1_Import_Export!$T72+GREET1_Import_Export!$B201*GREET1_Import_Export!$C$179+GREET1_Import_Export!$C201)+W$70*(W$57*J$40*GREET1_Import_Export!$W72+GREET1_Import_Export!$E237*GREET1_Import_Export!$F$215+GREET1_Import_Export!$F237)+W$71*(W$57*(J$41*GREET1_Import_Export!$B72+J$42*GREET1_Import_Export!$C72+J$43*GREET1_Import_Export!$G72+(MMULT('GREET2_Factors_T&amp;D'!$F15:$H15+0,J$45:J$47+0)))+GREET1_Import_Export!$B237)+W$72*(W$57*(J$48*GREET1_Import_Export!$AA72+J$49*GREET1_Import_Export!$AB72)+GREET1_Import_Export!$C290)+W$73*GREET1_Import_Export!$L363</f>
        <v>13.691291411371481</v>
      </c>
      <c r="X93" s="1288"/>
      <c r="Y93" s="1082">
        <f>SUM('GREET2_Factors_T&amp;D'!AH72:AI72)</f>
        <v>0.24674945194875272</v>
      </c>
      <c r="Z93" s="1085" cm="1">
        <f t="array" ref="Z93">Z$67*(Z$57*K$34*GREET1_Import_Export!$K72+GREET1_Import_Export!$B201*GREET1_Import_Export!$F$179+GREET1_Import_Export!$F201)+Z$68*(Z$57*(K$36*GREET1_Import_Export!$Q72+K$37*GREET1_Import_Export!$O72+K$38*GREET1_Import_Export!$M72)+GREET1_Import_Export!$B201*GREET1_Import_Export!$G$179+GREET1_Import_Export!$G201)+Z$69*(Z$57*K$39*GREET1_Import_Export!$T72+GREET1_Import_Export!$B201*GREET1_Import_Export!$C$179+GREET1_Import_Export!$C201)+Z$70*(Z$57*K$40*GREET1_Import_Export!$W72+GREET1_Import_Export!$E237*GREET1_Import_Export!$F$215+GREET1_Import_Export!$F237)+Z$71*(Z$57*(K$41*GREET1_Import_Export!$B72+K$42*GREET1_Import_Export!$C72+K$43*GREET1_Import_Export!$G72+(MMULT('GREET2_Factors_T&amp;D'!$F15:$H15+0,K$45:K$47+0)))+GREET1_Import_Export!$B237)+Z$72*(Z$57*(K$48*GREET1_Import_Export!$AA72+K$49*GREET1_Import_Export!$AB72)+GREET1_Import_Export!$C290)+Z$73*GREET1_Import_Export!$L363</f>
        <v>28.072341098570828</v>
      </c>
      <c r="AA93" s="1288"/>
      <c r="AB93" s="1082">
        <f>SUM('GREET2_Factors_T&amp;D'!AJ72:AK72)</f>
        <v>0.24674945194875272</v>
      </c>
      <c r="AC93" s="233">
        <f t="array" ref="AC93">Li_Chemicals!AC$67*(Li_Chemicals!AC$57*Li_Chemicals!G$34*GREET1_Import_Export!$K72+GREET1_Import_Export!$B201*GREET1_Import_Export!$F$179+GREET1_Import_Export!$F201)+Li_Chemicals!AC$68*(Li_Chemicals!AC$57*(Li_Chemicals!G$36*GREET1_Import_Export!$Q72+Li_Chemicals!G$37*GREET1_Import_Export!$O72+Li_Chemicals!G$38*GREET1_Import_Export!$M72)+GREET1_Import_Export!$B201*GREET1_Import_Export!$G$179+GREET1_Import_Export!$G201)+Li_Chemicals!AC$69*(Li_Chemicals!AC$57*Li_Chemicals!G$39*GREET1_Import_Export!$T72+GREET1_Import_Export!$B201*GREET1_Import_Export!$C$179+GREET1_Import_Export!$C201)+Li_Chemicals!AC$70*(Li_Chemicals!AC$57*Li_Chemicals!G$40*GREET1_Import_Export!$W72+GREET1_Import_Export!$E237*GREET1_Import_Export!$F$215+GREET1_Import_Export!$F237)+Li_Chemicals!AC$71*(Li_Chemicals!AC$57*(Li_Chemicals!G$41*GREET1_Import_Export!$B72+Li_Chemicals!G$42*GREET1_Import_Export!$C72+Li_Chemicals!G$43*GREET1_Import_Export!$G72+(MMULT('GREET2_Factors_T&amp;D'!$F15:$H15+0,Li_Chemicals!G$45:G$47+0)))+GREET1_Import_Export!$B237)+Li_Chemicals!AC$72*(Li_Chemicals!AC$57*(Li_Chemicals!G$48*GREET1_Import_Export!$AA72+Li_Chemicals!G$49*GREET1_Import_Export!$AB72)+GREET1_Import_Export!$C290)+Li_Chemicals!AC$73*SUM(GREET1_Import_Export!$D315:$E315)</f>
        <v>3.1924381302646347</v>
      </c>
      <c r="AD93" s="51"/>
      <c r="AO93" s="112"/>
      <c r="AQ93" s="1318"/>
      <c r="AR93" s="112"/>
      <c r="AT93" s="1318"/>
    </row>
    <row r="94" spans="1:46">
      <c r="A94" s="100" t="s">
        <v>822</v>
      </c>
      <c r="B94" s="112">
        <f>Li_Chemicals!B$67*(Li_Chemicals!B$57*Li_Chemicals!B$34*GREET1_Import_Export!$K73+GREET1_Import_Export!$J202*GREET1_Import_Export!$L$179+GREET1_Import_Export!$L202)+Li_Chemicals!B$68*(Li_Chemicals!B$57*(Li_Chemicals!B$36*GREET1_Import_Export!$Q73+Li_Chemicals!B$37*GREET1_Import_Export!$O73+Li_Chemicals!B$38*GREET1_Import_Export!$M73)+GREET1_Import_Export!$J202*GREET1_Import_Export!$M$179+GREET1_Import_Export!$M202)+Li_Chemicals!B$69*(Li_Chemicals!B$57*Li_Chemicals!B$39*GREET1_Import_Export!$T73+GREET1_Import_Export!$J202*GREET1_Import_Export!$K$179+GREET1_Import_Export!$K202)+Li_Chemicals!B$70*(Li_Chemicals!B$57*Li_Chemicals!B$40*GREET1_Import_Export!$W73+GREET1_Import_Export!$J238*GREET1_Import_Export!$K$215+GREET1_Import_Export!$K238)+Li_Chemicals!B$71*(Li_Chemicals!B$57*(Li_Chemicals!B$41*GREET1_Import_Export!$B73+Li_Chemicals!B$42*GREET1_Import_Export!$C73+Li_Chemicals!B$43*GREET1_Import_Export!$G73+Li_Chemicals!B$45*'GREET2_Factors_T&amp;D'!$F16+Li_Chemicals!B$46*'GREET2_Factors_T&amp;D'!$G16)+GREET1_Import_Export!$G238)+Li_Chemicals!B$72*(Li_Chemicals!B$57*(Li_Chemicals!B$48*GREET1_Import_Export!$AA73+Li_Chemicals!B$49*GREET1_Import_Export!$AB73)+GREET1_Import_Export!$E291)+Li_Chemicals!B$73*GREET1_Import_Export!$B364</f>
        <v>1.3897505616340724</v>
      </c>
      <c r="D94" s="1318">
        <f>SUM('GREET2_Factors_T&amp;D'!H73:I73)</f>
        <v>2.4807904439884636</v>
      </c>
      <c r="E94" s="233">
        <f t="array" ref="E94">Li_Chemicals!E$67*(Li_Chemicals!E$57*Li_Chemicals!E$34*GREET1_Import_Export!$K73+GREET1_Import_Export!$B202*GREET1_Import_Export!$F$179+GREET1_Import_Export!$F202)+Li_Chemicals!E$68*(Li_Chemicals!E$57*(Li_Chemicals!E$36*GREET1_Import_Export!$Q73+Li_Chemicals!E$37*GREET1_Import_Export!$O73+Li_Chemicals!E$38*GREET1_Import_Export!$M73)+GREET1_Import_Export!$B202*GREET1_Import_Export!$G$179+GREET1_Import_Export!$G202)+Li_Chemicals!E$69*(Li_Chemicals!E$57*Li_Chemicals!E$39*GREET1_Import_Export!$T73+GREET1_Import_Export!$B202*GREET1_Import_Export!$C$179+GREET1_Import_Export!$C202)+Li_Chemicals!E$70*(Li_Chemicals!E$57*Li_Chemicals!E$40*GREET1_Import_Export!$W73+GREET1_Import_Export!$E238*GREET1_Import_Export!$F$215+GREET1_Import_Export!$F238)+Li_Chemicals!E$71*(Li_Chemicals!E$57*(Li_Chemicals!E$41*GREET1_Import_Export!$B73+Li_Chemicals!E$42*GREET1_Import_Export!$C73+Li_Chemicals!E$43*GREET1_Import_Export!$G73+(MMULT('GREET2_Factors_T&amp;D'!$F16:$H16+0,Li_Chemicals!E$45:E$47+0)))+GREET1_Import_Export!$B238)+Li_Chemicals!E$72*(Li_Chemicals!E$57*(Li_Chemicals!E$48*GREET1_Import_Export!$AA73+Li_Chemicals!E$49*GREET1_Import_Export!$AB73)+GREET1_Import_Export!$C291)+Li_Chemicals!E$73*SUM(GREET1_Import_Export!$D316:$E316)</f>
        <v>0.87303176140835992</v>
      </c>
      <c r="G94" s="235">
        <f>'GREET2_Factors_T&amp;D'!B73</f>
        <v>0.42884499927357167</v>
      </c>
      <c r="H94" s="112">
        <f>Li_Chemicals!H$67*(Li_Chemicals!H$57*Li_Chemicals!C$34*GREET1_Import_Export!$K73+GREET1_Import_Export!$J202*GREET1_Import_Export!$L$179+GREET1_Import_Export!$L202)+Li_Chemicals!H$68*(Li_Chemicals!H$57*(Li_Chemicals!C$36*GREET1_Import_Export!$Q73+Li_Chemicals!C$37*GREET1_Import_Export!$O73+Li_Chemicals!C$38*GREET1_Import_Export!$M73)+GREET1_Import_Export!$J202*GREET1_Import_Export!$M$179+GREET1_Import_Export!$M202)+Li_Chemicals!H$69*(Li_Chemicals!H$57*Li_Chemicals!C$39*GREET1_Import_Export!$T73+GREET1_Import_Export!$J202*GREET1_Import_Export!$K$179+GREET1_Import_Export!$K202)+Li_Chemicals!H$70*(Li_Chemicals!H$57*Li_Chemicals!C$40*GREET1_Import_Export!$W73+GREET1_Import_Export!$J238*GREET1_Import_Export!$K$215+GREET1_Import_Export!$K238)+Li_Chemicals!H$71*(Li_Chemicals!H$57*(Li_Chemicals!C$41*GREET1_Import_Export!$T73+Li_Chemicals!C$42*GREET1_Import_Export!$C73+Li_Chemicals!C$43*GREET1_Import_Export!$G73+Li_Chemicals!C$45*'GREET2_Factors_T&amp;D'!$F16+Li_Chemicals!C$46*'GREET2_Factors_T&amp;D'!$G16)+GREET1_Import_Export!$G238)+Li_Chemicals!H$72*(Li_Chemicals!H$57*(Li_Chemicals!C$48*GREET1_Import_Export!$AA73+Li_Chemicals!C$49*GREET1_Import_Export!$AB73)+GREET1_Import_Export!$E291)+Li_Chemicals!H$73*GREET1_Import_Export!$S364</f>
        <v>3.5704703008900704</v>
      </c>
      <c r="J94" s="235">
        <f>'GREET2_Factors_T&amp;D'!G73</f>
        <v>0.3087683994769716</v>
      </c>
      <c r="K94" s="112">
        <f>Li_Chemicals!K$67*(Li_Chemicals!K$57*Li_Chemicals!D$34*GREET1_Import_Export!$K73+GREET1_Import_Export!$J202*GREET1_Import_Export!$L$179+GREET1_Import_Export!$L202)+Li_Chemicals!K$68*(Li_Chemicals!K$57*(Li_Chemicals!D$36*GREET1_Import_Export!$Q73+Li_Chemicals!D$37*GREET1_Import_Export!$O73+Li_Chemicals!D$38*GREET1_Import_Export!$M73)+GREET1_Import_Export!$J202*GREET1_Import_Export!$M$179+GREET1_Import_Export!$M202)+Li_Chemicals!K$69*(Li_Chemicals!K$57*Li_Chemicals!D$39*GREET1_Import_Export!$T73+GREET1_Import_Export!$J202*GREET1_Import_Export!$K$179+GREET1_Import_Export!$K202)+Li_Chemicals!K$70*(Li_Chemicals!K$57*Li_Chemicals!D$40*GREET1_Import_Export!$W73+GREET1_Import_Export!$J238*GREET1_Import_Export!$K$215+GREET1_Import_Export!$K238)+Li_Chemicals!K$71*(Li_Chemicals!K$57*(Li_Chemicals!D$41*GREET1_Import_Export!$T73+Li_Chemicals!D$42*GREET1_Import_Export!$C73+Li_Chemicals!D$43*GREET1_Import_Export!$G73+Li_Chemicals!D$45*'GREET2_Factors_T&amp;D'!$F16+Li_Chemicals!D$46*'GREET2_Factors_T&amp;D'!$G16)+GREET1_Import_Export!$G238)+Li_Chemicals!K$72*(Li_Chemicals!K$57*(Li_Chemicals!D$48*GREET1_Import_Export!$AA73+Li_Chemicals!D$49*GREET1_Import_Export!$AB73)+GREET1_Import_Export!$E291)+Li_Chemicals!K$73*GREET1_Import_Export!$S364</f>
        <v>11.010669930971597</v>
      </c>
      <c r="M94" s="235">
        <f>SUM('GREET2_Factors_T&amp;D'!J73:K73)</f>
        <v>1.333502653790873</v>
      </c>
      <c r="N94" s="233">
        <f t="array" ref="N94">Li_Chemicals!N$67*(Li_Chemicals!N$57*Li_Chemicals!F$34*GREET1_Import_Export!$K73+GREET1_Import_Export!$B202*GREET1_Import_Export!$F$179+GREET1_Import_Export!$F202)+Li_Chemicals!N$68*(Li_Chemicals!N$57*(Li_Chemicals!F$36*GREET1_Import_Export!$Q73+Li_Chemicals!F$37*GREET1_Import_Export!$O73+Li_Chemicals!F$38*GREET1_Import_Export!$M73)+GREET1_Import_Export!$B202*GREET1_Import_Export!$G$179+GREET1_Import_Export!$G202)+Li_Chemicals!N$69*(Li_Chemicals!N$57*Li_Chemicals!F$39*GREET1_Import_Export!$T73+GREET1_Import_Export!$B202*GREET1_Import_Export!$C$179+GREET1_Import_Export!$C202)+Li_Chemicals!N$70*(Li_Chemicals!N$57*Li_Chemicals!F$40*GREET1_Import_Export!$W73+GREET1_Import_Export!$E238*GREET1_Import_Export!$F$215+GREET1_Import_Export!$F238)+Li_Chemicals!N$71*(Li_Chemicals!N$57*(Li_Chemicals!F$41*GREET1_Import_Export!$B73+Li_Chemicals!F$42*GREET1_Import_Export!$C73+Li_Chemicals!F$43*GREET1_Import_Export!$G73+(MMULT('GREET2_Factors_T&amp;D'!$F16:$H16+0,Li_Chemicals!F$45:F$47+0)))+GREET1_Import_Export!$B238)+Li_Chemicals!N$72*(Li_Chemicals!N$57*(Li_Chemicals!F$48*GREET1_Import_Export!$AA73+Li_Chemicals!F$49*GREET1_Import_Export!$AB73)+GREET1_Import_Export!$C291)+Li_Chemicals!N$73*SUM(GREET1_Import_Export!$D316:$E316)</f>
        <v>51.824869558258243</v>
      </c>
      <c r="P94" s="228">
        <f>SUM('GREET2_Factors_T&amp;D'!C73:D73)</f>
        <v>1.805681780339206</v>
      </c>
      <c r="Q94" s="233">
        <f>Q$67*(Q$57*H$34*GREET1_Import_Export!$K73+GREET1_Import_Export!$J202*GREET1_Import_Export!$L$179+GREET1_Import_Export!$L202)+Q$68*(Q$57*(H$36*GREET1_Import_Export!$Q73+H$37*GREET1_Import_Export!$O73+H$38*GREET1_Import_Export!$M73)+GREET1_Import_Export!$J202*GREET1_Import_Export!$M$179+GREET1_Import_Export!$M202)+Q$69*(Q$57*H$39*GREET1_Import_Export!$T73+GREET1_Import_Export!$J202*GREET1_Import_Export!$K$179+GREET1_Import_Export!$K202)+Q$70*(Q$57*H$40*GREET1_Import_Export!$W73+GREET1_Import_Export!$J238*GREET1_Import_Export!$K$215+GREET1_Import_Export!$K238)+Q$71*(Q$57*(H$41*GREET1_Import_Export!$B73+H$42*GREET1_Import_Export!$C73+H$43*GREET1_Import_Export!$G73+H$45*'GREET2_Factors_T&amp;D'!$F16+H$46*'GREET2_Factors_T&amp;D'!$G16)+GREET1_Import_Export!$G238)+Q$72*(Q$57*(H$48*GREET1_Import_Export!$AA73+H$49*GREET1_Import_Export!$AB73)+GREET1_Import_Export!$E291)+Q$73*GREET1_Import_Export!$S364</f>
        <v>72.581906399436576</v>
      </c>
      <c r="R94" s="1"/>
      <c r="S94" s="235">
        <f>SUM('GREET2_Factors_T&amp;D'!Z73:AA73)</f>
        <v>1.3503318877395893</v>
      </c>
      <c r="T94" s="1076" cm="1">
        <f t="array" ref="T94">T$67*(T$57*I$34*GREET1_Import_Export!$K73+GREET1_Import_Export!$B202*GREET1_Import_Export!$F$179+GREET1_Import_Export!$F202)+T$68*(T$57*(I$36*GREET1_Import_Export!$Q73+I$37*GREET1_Import_Export!$O73+I$38*GREET1_Import_Export!$M73)+GREET1_Import_Export!$B202*GREET1_Import_Export!$G$179+GREET1_Import_Export!$G202)+T$69*(T$57*I$39*GREET1_Import_Export!$T73+GREET1_Import_Export!$B202*GREET1_Import_Export!$C$179+GREET1_Import_Export!$C202)+T$70*(T$57*I$40*GREET1_Import_Export!$W73+GREET1_Import_Export!$E238*GREET1_Import_Export!$F$215+GREET1_Import_Export!$F238)+T$71*(T$57*(I$41*GREET1_Import_Export!$B73+I$42*GREET1_Import_Export!$C73+I$43*GREET1_Import_Export!$G73+(MMULT('GREET2_Factors_T&amp;D'!$F16:$H16+0,I$45:I$47+0)))+GREET1_Import_Export!$B238)+T$72*(T$57*(I$48*GREET1_Import_Export!$AA73+I$49*GREET1_Import_Export!$AB73)+GREET1_Import_Export!$C291)+T$73*GREET1_Import_Export!$D364</f>
        <v>6.9693869843407334</v>
      </c>
      <c r="U94" s="1288"/>
      <c r="V94" s="1463">
        <f>SUM('GREET2_Factors_T&amp;D'!AB73:AG73)</f>
        <v>1.1057380396910717</v>
      </c>
      <c r="W94" s="753" cm="1">
        <f t="array" ref="W94">W$67*(W$57*J$34*GREET1_Import_Export!$K73+GREET1_Import_Export!$B202*GREET1_Import_Export!$F$179+GREET1_Import_Export!$F202)+W$68*(W$57*(J$36*GREET1_Import_Export!$Q73+J$37*GREET1_Import_Export!$O73+J$38*GREET1_Import_Export!$M73)+GREET1_Import_Export!$B202*GREET1_Import_Export!$G$179+GREET1_Import_Export!$G202)+W$69*(W$57*J$39*GREET1_Import_Export!$T73+GREET1_Import_Export!$B202*GREET1_Import_Export!$C$179+GREET1_Import_Export!$C202)+W$70*(W$57*J$40*GREET1_Import_Export!$W73+GREET1_Import_Export!$E238*GREET1_Import_Export!$F$215+GREET1_Import_Export!$F238)+W$71*(W$57*(J$41*GREET1_Import_Export!$B73+J$42*GREET1_Import_Export!$C73+J$43*GREET1_Import_Export!$G73+(MMULT('GREET2_Factors_T&amp;D'!$F16:$H16+0,J$45:J$47+0)))+GREET1_Import_Export!$B238)+W$72*(W$57*(J$48*GREET1_Import_Export!$AA73+J$49*GREET1_Import_Export!$AB73)+GREET1_Import_Export!$C291)+W$73*GREET1_Import_Export!$L364</f>
        <v>74.023239736606456</v>
      </c>
      <c r="X94" s="1288"/>
      <c r="Y94" s="1082">
        <f>SUM('GREET2_Factors_T&amp;D'!AH73:AI73)</f>
        <v>0.16081687472758938</v>
      </c>
      <c r="Z94" s="1085" cm="1">
        <f t="array" ref="Z94">Z$67*(Z$57*K$34*GREET1_Import_Export!$K73+GREET1_Import_Export!$B202*GREET1_Import_Export!$F$179+GREET1_Import_Export!$F202)+Z$68*(Z$57*(K$36*GREET1_Import_Export!$Q73+K$37*GREET1_Import_Export!$O73+K$38*GREET1_Import_Export!$M73)+GREET1_Import_Export!$B202*GREET1_Import_Export!$G$179+GREET1_Import_Export!$G202)+Z$69*(Z$57*K$39*GREET1_Import_Export!$T73+GREET1_Import_Export!$B202*GREET1_Import_Export!$C$179+GREET1_Import_Export!$C202)+Z$70*(Z$57*K$40*GREET1_Import_Export!$W73+GREET1_Import_Export!$E238*GREET1_Import_Export!$F$215+GREET1_Import_Export!$F238)+Z$71*(Z$57*(K$41*GREET1_Import_Export!$B73+K$42*GREET1_Import_Export!$C73+K$43*GREET1_Import_Export!$G73+(MMULT('GREET2_Factors_T&amp;D'!$F16:$H16+0,K$45:K$47+0)))+GREET1_Import_Export!$B238)+Z$72*(Z$57*(K$48*GREET1_Import_Export!$AA73+K$49*GREET1_Import_Export!$AB73)+GREET1_Import_Export!$C291)+Z$73*GREET1_Import_Export!$L364</f>
        <v>230.44589431633244</v>
      </c>
      <c r="AA94" s="1288"/>
      <c r="AB94" s="1082">
        <f>SUM('GREET2_Factors_T&amp;D'!AJ73:AK73)</f>
        <v>0.16081687472758938</v>
      </c>
      <c r="AC94" s="233">
        <f t="array" ref="AC94">Li_Chemicals!AC$67*(Li_Chemicals!AC$57*Li_Chemicals!G$34*GREET1_Import_Export!$K73+GREET1_Import_Export!$B202*GREET1_Import_Export!$F$179+GREET1_Import_Export!$F202)+Li_Chemicals!AC$68*(Li_Chemicals!AC$57*(Li_Chemicals!G$36*GREET1_Import_Export!$Q73+Li_Chemicals!G$37*GREET1_Import_Export!$O73+Li_Chemicals!G$38*GREET1_Import_Export!$M73)+GREET1_Import_Export!$B202*GREET1_Import_Export!$G$179+GREET1_Import_Export!$G202)+Li_Chemicals!AC$69*(Li_Chemicals!AC$57*Li_Chemicals!G$39*GREET1_Import_Export!$T73+GREET1_Import_Export!$B202*GREET1_Import_Export!$C$179+GREET1_Import_Export!$C202)+Li_Chemicals!AC$70*(Li_Chemicals!AC$57*Li_Chemicals!G$40*GREET1_Import_Export!$W73+GREET1_Import_Export!$E238*GREET1_Import_Export!$F$215+GREET1_Import_Export!$F238)+Li_Chemicals!AC$71*(Li_Chemicals!AC$57*(Li_Chemicals!G$41*GREET1_Import_Export!$B73+Li_Chemicals!G$42*GREET1_Import_Export!$C73+Li_Chemicals!G$43*GREET1_Import_Export!$G73+(MMULT('GREET2_Factors_T&amp;D'!$F16:$H16+0,Li_Chemicals!G$45:G$47+0)))+GREET1_Import_Export!$B238)+Li_Chemicals!AC$72*(Li_Chemicals!AC$57*(Li_Chemicals!G$48*GREET1_Import_Export!$AA73+Li_Chemicals!G$49*GREET1_Import_Export!$AB73)+GREET1_Import_Export!$C291)+Li_Chemicals!AC$73*SUM(GREET1_Import_Export!$D316:$E316)</f>
        <v>17.473850611421025</v>
      </c>
      <c r="AD94" s="51"/>
      <c r="AO94" s="112"/>
      <c r="AQ94" s="1318"/>
      <c r="AR94" s="112"/>
      <c r="AT94" s="1318"/>
    </row>
    <row r="95" spans="1:46">
      <c r="A95" s="100" t="s">
        <v>823</v>
      </c>
      <c r="B95" s="112">
        <f>Li_Chemicals!B$67*(Li_Chemicals!B$57*Li_Chemicals!B$34*GREET1_Import_Export!$K74+GREET1_Import_Export!$J203*GREET1_Import_Export!$L$179+GREET1_Import_Export!$L203)+Li_Chemicals!B$68*(Li_Chemicals!B$57*(Li_Chemicals!B$36*GREET1_Import_Export!$Q74+Li_Chemicals!B$37*GREET1_Import_Export!$O74+Li_Chemicals!B$38*GREET1_Import_Export!$M74)+GREET1_Import_Export!$J203*GREET1_Import_Export!$M$179+GREET1_Import_Export!$M203)+Li_Chemicals!B$69*(Li_Chemicals!B$57*Li_Chemicals!B$39*GREET1_Import_Export!$T74+GREET1_Import_Export!$J203*GREET1_Import_Export!$K$179+GREET1_Import_Export!$K203)+Li_Chemicals!B$70*(Li_Chemicals!B$57*Li_Chemicals!B$40*GREET1_Import_Export!$W74+GREET1_Import_Export!$J239*GREET1_Import_Export!$K$215+GREET1_Import_Export!$K239)+Li_Chemicals!B$71*(Li_Chemicals!B$57*(Li_Chemicals!B$41*GREET1_Import_Export!$B74+Li_Chemicals!B$42*GREET1_Import_Export!$C74+Li_Chemicals!B$43*GREET1_Import_Export!$G74+Li_Chemicals!B$45*'GREET2_Factors_T&amp;D'!$F17+Li_Chemicals!B$46*'GREET2_Factors_T&amp;D'!$G17)+GREET1_Import_Export!$G239)+Li_Chemicals!B$72*(Li_Chemicals!B$57*(Li_Chemicals!B$48*GREET1_Import_Export!$AA74+Li_Chemicals!B$49*GREET1_Import_Export!$AB74)+GREET1_Import_Export!$E292)+Li_Chemicals!B$73*GREET1_Import_Export!$B365</f>
        <v>3.4386281878344054</v>
      </c>
      <c r="D95" s="1318">
        <f>SUM('GREET2_Factors_T&amp;D'!H74:I74)</f>
        <v>3.9330665333902814</v>
      </c>
      <c r="E95" s="233">
        <f t="array" ref="E95">Li_Chemicals!E$67*(Li_Chemicals!E$57*Li_Chemicals!E$34*GREET1_Import_Export!$K74+GREET1_Import_Export!$B203*GREET1_Import_Export!$F$179+GREET1_Import_Export!$F203)+Li_Chemicals!E$68*(Li_Chemicals!E$57*(Li_Chemicals!E$36*GREET1_Import_Export!$Q74+Li_Chemicals!E$37*GREET1_Import_Export!$O74+Li_Chemicals!E$38*GREET1_Import_Export!$M74)+GREET1_Import_Export!$B203*GREET1_Import_Export!$G$179+GREET1_Import_Export!$G203)+Li_Chemicals!E$69*(Li_Chemicals!E$57*Li_Chemicals!E$39*GREET1_Import_Export!$T74+GREET1_Import_Export!$B203*GREET1_Import_Export!$C$179+GREET1_Import_Export!$C203)+Li_Chemicals!E$70*(Li_Chemicals!E$57*Li_Chemicals!E$40*GREET1_Import_Export!$W74+GREET1_Import_Export!$E239*GREET1_Import_Export!$F$215+GREET1_Import_Export!$F239)+Li_Chemicals!E$71*(Li_Chemicals!E$57*(Li_Chemicals!E$41*GREET1_Import_Export!$B74+Li_Chemicals!E$42*GREET1_Import_Export!$C74+Li_Chemicals!E$43*GREET1_Import_Export!$G74+(MMULT('GREET2_Factors_T&amp;D'!$F17:$H17+0,Li_Chemicals!E$45:E$47+0)))+GREET1_Import_Export!$B239)+Li_Chemicals!E$72*(Li_Chemicals!E$57*(Li_Chemicals!E$48*GREET1_Import_Export!$AA74+Li_Chemicals!E$49*GREET1_Import_Export!$AB74)+GREET1_Import_Export!$C292)+Li_Chemicals!E$73*SUM(GREET1_Import_Export!$D317:$E317)</f>
        <v>2.4468998634831753</v>
      </c>
      <c r="G95" s="235">
        <f>'GREET2_Factors_T&amp;D'!B74</f>
        <v>0.66579635202282361</v>
      </c>
      <c r="H95" s="112">
        <f>Li_Chemicals!H$67*(Li_Chemicals!H$57*Li_Chemicals!C$34*GREET1_Import_Export!$K74+GREET1_Import_Export!$J203*GREET1_Import_Export!$L$179+GREET1_Import_Export!$L203)+Li_Chemicals!H$68*(Li_Chemicals!H$57*(Li_Chemicals!C$36*GREET1_Import_Export!$Q74+Li_Chemicals!C$37*GREET1_Import_Export!$O74+Li_Chemicals!C$38*GREET1_Import_Export!$M74)+GREET1_Import_Export!$J203*GREET1_Import_Export!$M$179+GREET1_Import_Export!$M203)+Li_Chemicals!H$69*(Li_Chemicals!H$57*Li_Chemicals!C$39*GREET1_Import_Export!$T74+GREET1_Import_Export!$J203*GREET1_Import_Export!$K$179+GREET1_Import_Export!$K203)+Li_Chemicals!H$70*(Li_Chemicals!H$57*Li_Chemicals!C$40*GREET1_Import_Export!$W74+GREET1_Import_Export!$J239*GREET1_Import_Export!$K$215+GREET1_Import_Export!$K239)+Li_Chemicals!H$71*(Li_Chemicals!H$57*(Li_Chemicals!C$41*GREET1_Import_Export!$T74+Li_Chemicals!C$42*GREET1_Import_Export!$C74+Li_Chemicals!C$43*GREET1_Import_Export!$G74+Li_Chemicals!C$45*'GREET2_Factors_T&amp;D'!$F17+Li_Chemicals!C$46*'GREET2_Factors_T&amp;D'!$G17)+GREET1_Import_Export!$G239)+Li_Chemicals!H$72*(Li_Chemicals!H$57*(Li_Chemicals!C$48*GREET1_Import_Export!$AA74+Li_Chemicals!C$49*GREET1_Import_Export!$AB74)+GREET1_Import_Export!$E292)+Li_Chemicals!H$73*GREET1_Import_Export!$S365</f>
        <v>12.434213273204326</v>
      </c>
      <c r="J95" s="235">
        <f>'GREET2_Factors_T&amp;D'!G74</f>
        <v>0.47937337345643305</v>
      </c>
      <c r="K95" s="112">
        <f>Li_Chemicals!K$67*(Li_Chemicals!K$57*Li_Chemicals!D$34*GREET1_Import_Export!$K74+GREET1_Import_Export!$J203*GREET1_Import_Export!$L$179+GREET1_Import_Export!$L203)+Li_Chemicals!K$68*(Li_Chemicals!K$57*(Li_Chemicals!D$36*GREET1_Import_Export!$Q74+Li_Chemicals!D$37*GREET1_Import_Export!$O74+Li_Chemicals!D$38*GREET1_Import_Export!$M74)+GREET1_Import_Export!$J203*GREET1_Import_Export!$M$179+GREET1_Import_Export!$M203)+Li_Chemicals!K$69*(Li_Chemicals!K$57*Li_Chemicals!D$39*GREET1_Import_Export!$T74+GREET1_Import_Export!$J203*GREET1_Import_Export!$K$179+GREET1_Import_Export!$K203)+Li_Chemicals!K$70*(Li_Chemicals!K$57*Li_Chemicals!D$40*GREET1_Import_Export!$W74+GREET1_Import_Export!$J239*GREET1_Import_Export!$K$215+GREET1_Import_Export!$K239)+Li_Chemicals!K$71*(Li_Chemicals!K$57*(Li_Chemicals!D$41*GREET1_Import_Export!$T74+Li_Chemicals!D$42*GREET1_Import_Export!$C74+Li_Chemicals!D$43*GREET1_Import_Export!$G74+Li_Chemicals!D$45*'GREET2_Factors_T&amp;D'!$F17+Li_Chemicals!D$46*'GREET2_Factors_T&amp;D'!$G17)+GREET1_Import_Export!$G239)+Li_Chemicals!K$72*(Li_Chemicals!K$57*(Li_Chemicals!D$48*GREET1_Import_Export!$AA74+Li_Chemicals!D$49*GREET1_Import_Export!$AB74)+GREET1_Import_Export!$E292)+Li_Chemicals!K$73*GREET1_Import_Export!$S365</f>
        <v>38.794123488343139</v>
      </c>
      <c r="M95" s="235">
        <f>SUM('GREET2_Factors_T&amp;D'!J74:K74)</f>
        <v>2.228896237889646</v>
      </c>
      <c r="N95" s="233">
        <f t="array" ref="N95">Li_Chemicals!N$67*(Li_Chemicals!N$57*Li_Chemicals!F$34*GREET1_Import_Export!$K74+GREET1_Import_Export!$B203*GREET1_Import_Export!$F$179+GREET1_Import_Export!$F203)+Li_Chemicals!N$68*(Li_Chemicals!N$57*(Li_Chemicals!F$36*GREET1_Import_Export!$Q74+Li_Chemicals!F$37*GREET1_Import_Export!$O74+Li_Chemicals!F$38*GREET1_Import_Export!$M74)+GREET1_Import_Export!$B203*GREET1_Import_Export!$G$179+GREET1_Import_Export!$G203)+Li_Chemicals!N$69*(Li_Chemicals!N$57*Li_Chemicals!F$39*GREET1_Import_Export!$T74+GREET1_Import_Export!$B203*GREET1_Import_Export!$C$179+GREET1_Import_Export!$C203)+Li_Chemicals!N$70*(Li_Chemicals!N$57*Li_Chemicals!F$40*GREET1_Import_Export!$W74+GREET1_Import_Export!$E239*GREET1_Import_Export!$F$215+GREET1_Import_Export!$F239)+Li_Chemicals!N$71*(Li_Chemicals!N$57*(Li_Chemicals!F$41*GREET1_Import_Export!$B74+Li_Chemicals!F$42*GREET1_Import_Export!$C74+Li_Chemicals!F$43*GREET1_Import_Export!$G74+(MMULT('GREET2_Factors_T&amp;D'!$F17:$H17+0,Li_Chemicals!F$45:F$47+0)))+GREET1_Import_Export!$B239)+Li_Chemicals!N$72*(Li_Chemicals!N$57*(Li_Chemicals!F$48*GREET1_Import_Export!$AA74+Li_Chemicals!F$49*GREET1_Import_Export!$AB74)+GREET1_Import_Export!$C292)+Li_Chemicals!N$73*SUM(GREET1_Import_Export!$D317:$E317)</f>
        <v>85.316459550432612</v>
      </c>
      <c r="P95" s="228">
        <f>SUM('GREET2_Factors_T&amp;D'!C74:D74)</f>
        <v>2.8033819778716724</v>
      </c>
      <c r="Q95" s="233">
        <f>Q$67*(Q$57*H$34*GREET1_Import_Export!$K74+GREET1_Import_Export!$J203*GREET1_Import_Export!$L$179+GREET1_Import_Export!$L203)+Q$68*(Q$57*(H$36*GREET1_Import_Export!$Q74+H$37*GREET1_Import_Export!$O74+H$38*GREET1_Import_Export!$M74)+GREET1_Import_Export!$J203*GREET1_Import_Export!$M$179+GREET1_Import_Export!$M203)+Q$69*(Q$57*H$39*GREET1_Import_Export!$T74+GREET1_Import_Export!$J203*GREET1_Import_Export!$K$179+GREET1_Import_Export!$K203)+Q$70*(Q$57*H$40*GREET1_Import_Export!$W74+GREET1_Import_Export!$J239*GREET1_Import_Export!$K$215+GREET1_Import_Export!$K239)+Q$71*(Q$57*(H$41*GREET1_Import_Export!$B74+H$42*GREET1_Import_Export!$C74+H$43*GREET1_Import_Export!$G74+H$45*'GREET2_Factors_T&amp;D'!$F17+H$46*'GREET2_Factors_T&amp;D'!$G17)+GREET1_Import_Export!$G239)+Q$72*(Q$57*(H$48*GREET1_Import_Export!$AA74+H$49*GREET1_Import_Export!$AB74)+GREET1_Import_Export!$E292)+Q$73*GREET1_Import_Export!$S365</f>
        <v>238.55225462215105</v>
      </c>
      <c r="R95" s="1"/>
      <c r="S95" s="235">
        <f>SUM('GREET2_Factors_T&amp;D'!Z74:AA74)</f>
        <v>2.2571094535614655</v>
      </c>
      <c r="T95" s="1076" cm="1">
        <f t="array" ref="T95">T$67*(T$57*I$34*GREET1_Import_Export!$K74+GREET1_Import_Export!$B203*GREET1_Import_Export!$F$179+GREET1_Import_Export!$F203)+T$68*(T$57*(I$36*GREET1_Import_Export!$Q74+I$37*GREET1_Import_Export!$O74+I$38*GREET1_Import_Export!$M74)+GREET1_Import_Export!$B203*GREET1_Import_Export!$G$179+GREET1_Import_Export!$G203)+T$69*(T$57*I$39*GREET1_Import_Export!$T74+GREET1_Import_Export!$B203*GREET1_Import_Export!$C$179+GREET1_Import_Export!$C203)+T$70*(T$57*I$40*GREET1_Import_Export!$W74+GREET1_Import_Export!$E239*GREET1_Import_Export!$F$215+GREET1_Import_Export!$F239)+T$71*(T$57*(I$41*GREET1_Import_Export!$B74+I$42*GREET1_Import_Export!$C74+I$43*GREET1_Import_Export!$G74+(MMULT('GREET2_Factors_T&amp;D'!$F17:$H17+0,I$45:I$47+0)))+GREET1_Import_Export!$B239)+T$72*(T$57*(I$48*GREET1_Import_Export!$AA74+I$49*GREET1_Import_Export!$AB74)+GREET1_Import_Export!$C292)+T$73*GREET1_Import_Export!$D365</f>
        <v>10.820208788418928</v>
      </c>
      <c r="U95" s="1288"/>
      <c r="V95" s="1463">
        <f>SUM('GREET2_Factors_T&amp;D'!AB74:AG74)</f>
        <v>1.7886564429662584</v>
      </c>
      <c r="W95" s="753" cm="1">
        <f t="array" ref="W95">W$67*(W$57*J$34*GREET1_Import_Export!$K74+GREET1_Import_Export!$B203*GREET1_Import_Export!$F$179+GREET1_Import_Export!$F203)+W$68*(W$57*(J$36*GREET1_Import_Export!$Q74+J$37*GREET1_Import_Export!$O74+J$38*GREET1_Import_Export!$M74)+GREET1_Import_Export!$B203*GREET1_Import_Export!$G$179+GREET1_Import_Export!$G203)+W$69*(W$57*J$39*GREET1_Import_Export!$T74+GREET1_Import_Export!$B203*GREET1_Import_Export!$C$179+GREET1_Import_Export!$C203)+W$70*(W$57*J$40*GREET1_Import_Export!$W74+GREET1_Import_Export!$E239*GREET1_Import_Export!$F$215+GREET1_Import_Export!$F239)+W$71*(W$57*(J$41*GREET1_Import_Export!$B74+J$42*GREET1_Import_Export!$C74+J$43*GREET1_Import_Export!$G74+(MMULT('GREET2_Factors_T&amp;D'!$F17:$H17+0,J$45:J$47+0)))+GREET1_Import_Export!$B239)+W$72*(W$57*(J$48*GREET1_Import_Export!$AA74+J$49*GREET1_Import_Export!$AB74)+GREET1_Import_Export!$C292)+W$73*GREET1_Import_Export!$L365</f>
        <v>322.27460061171701</v>
      </c>
      <c r="X95" s="1288"/>
      <c r="Y95" s="1082">
        <f>SUM('GREET2_Factors_T&amp;D'!AH74:AI74)</f>
        <v>0.24967363200855888</v>
      </c>
      <c r="Z95" s="1085" cm="1">
        <f t="array" ref="Z95">Z$67*(Z$57*K$34*GREET1_Import_Export!$K74+GREET1_Import_Export!$B203*GREET1_Import_Export!$F$179+GREET1_Import_Export!$F203)+Z$68*(Z$57*(K$36*GREET1_Import_Export!$Q74+K$37*GREET1_Import_Export!$O74+K$38*GREET1_Import_Export!$M74)+GREET1_Import_Export!$B203*GREET1_Import_Export!$G$179+GREET1_Import_Export!$G203)+Z$69*(Z$57*K$39*GREET1_Import_Export!$T74+GREET1_Import_Export!$B203*GREET1_Import_Export!$C$179+GREET1_Import_Export!$C203)+Z$70*(Z$57*K$40*GREET1_Import_Export!$W74+GREET1_Import_Export!$E239*GREET1_Import_Export!$F$215+GREET1_Import_Export!$F239)+Z$71*(Z$57*(K$41*GREET1_Import_Export!$B74+K$42*GREET1_Import_Export!$C74+K$43*GREET1_Import_Export!$G74+(MMULT('GREET2_Factors_T&amp;D'!$F17:$H17+0,K$45:K$47+0)))+GREET1_Import_Export!$B239)+Z$72*(Z$57*(K$48*GREET1_Import_Export!$AA74+K$49*GREET1_Import_Export!$AB74)+GREET1_Import_Export!$C292)+Z$73*GREET1_Import_Export!$L365</f>
        <v>993.64886259652656</v>
      </c>
      <c r="AA95" s="1288"/>
      <c r="AB95" s="1082">
        <f>SUM('GREET2_Factors_T&amp;D'!AJ74:AK74)</f>
        <v>0.24967363200855888</v>
      </c>
      <c r="AC95" s="233">
        <f t="array" ref="AC95">Li_Chemicals!AC$67*(Li_Chemicals!AC$57*Li_Chemicals!G$34*GREET1_Import_Export!$K74+GREET1_Import_Export!$B203*GREET1_Import_Export!$F$179+GREET1_Import_Export!$F203)+Li_Chemicals!AC$68*(Li_Chemicals!AC$57*(Li_Chemicals!G$36*GREET1_Import_Export!$Q74+Li_Chemicals!G$37*GREET1_Import_Export!$O74+Li_Chemicals!G$38*GREET1_Import_Export!$M74)+GREET1_Import_Export!$B203*GREET1_Import_Export!$G$179+GREET1_Import_Export!$G203)+Li_Chemicals!AC$69*(Li_Chemicals!AC$57*Li_Chemicals!G$39*GREET1_Import_Export!$T74+GREET1_Import_Export!$B203*GREET1_Import_Export!$C$179+GREET1_Import_Export!$C203)+Li_Chemicals!AC$70*(Li_Chemicals!AC$57*Li_Chemicals!G$40*GREET1_Import_Export!$W74+GREET1_Import_Export!$E239*GREET1_Import_Export!$F$215+GREET1_Import_Export!$F239)+Li_Chemicals!AC$71*(Li_Chemicals!AC$57*(Li_Chemicals!G$41*GREET1_Import_Export!$B74+Li_Chemicals!G$42*GREET1_Import_Export!$C74+Li_Chemicals!G$43*GREET1_Import_Export!$G74+(MMULT('GREET2_Factors_T&amp;D'!$F17:$H17+0,Li_Chemicals!G$45:G$47+0)))+GREET1_Import_Export!$B239)+Li_Chemicals!AC$72*(Li_Chemicals!AC$57*(Li_Chemicals!G$48*GREET1_Import_Export!$AA74+Li_Chemicals!G$49*GREET1_Import_Export!$AB74)+GREET1_Import_Export!$C292)+Li_Chemicals!AC$73*SUM(GREET1_Import_Export!$D317:$E317)</f>
        <v>40.771087835476379</v>
      </c>
      <c r="AD95" s="51"/>
      <c r="AO95" s="112"/>
      <c r="AQ95" s="1318"/>
      <c r="AR95" s="112"/>
      <c r="AT95" s="1318"/>
    </row>
    <row r="96" spans="1:46">
      <c r="A96" s="100" t="s">
        <v>824</v>
      </c>
      <c r="B96" s="112">
        <f>Li_Chemicals!B$67*(Li_Chemicals!B$57*Li_Chemicals!B$34*GREET1_Import_Export!$K75+GREET1_Import_Export!$J204*GREET1_Import_Export!$L$179+GREET1_Import_Export!$L204)+Li_Chemicals!B$68*(Li_Chemicals!B$57*(Li_Chemicals!B$36*GREET1_Import_Export!$Q75+Li_Chemicals!B$37*GREET1_Import_Export!$O75+Li_Chemicals!B$38*GREET1_Import_Export!$M75)+GREET1_Import_Export!$J204*GREET1_Import_Export!$M$179+GREET1_Import_Export!$M204)+Li_Chemicals!B$69*(Li_Chemicals!B$57*Li_Chemicals!B$39*GREET1_Import_Export!$T75+GREET1_Import_Export!$J204*GREET1_Import_Export!$K$179+GREET1_Import_Export!$K204)+Li_Chemicals!B$70*(Li_Chemicals!B$57*Li_Chemicals!B$40*GREET1_Import_Export!$W75+GREET1_Import_Export!$J240*GREET1_Import_Export!$K$215+GREET1_Import_Export!$K240)+Li_Chemicals!B$71*(Li_Chemicals!B$57*(Li_Chemicals!B$41*GREET1_Import_Export!$B75+Li_Chemicals!B$42*GREET1_Import_Export!$C75+Li_Chemicals!B$43*GREET1_Import_Export!$G75+Li_Chemicals!B$45*'GREET2_Factors_T&amp;D'!$F18+Li_Chemicals!B$46*'GREET2_Factors_T&amp;D'!$G18)+GREET1_Import_Export!$G240)+Li_Chemicals!B$72*(Li_Chemicals!B$57*(Li_Chemicals!B$48*GREET1_Import_Export!$AA75+Li_Chemicals!B$49*GREET1_Import_Export!$AB75)+GREET1_Import_Export!$E293)+Li_Chemicals!B$73*GREET1_Import_Export!$B366</f>
        <v>0.28981319429870489</v>
      </c>
      <c r="D96" s="1318">
        <f>SUM('GREET2_Factors_T&amp;D'!H75:I75)</f>
        <v>0.71003730623900907</v>
      </c>
      <c r="E96" s="233">
        <f t="array" ref="E96">Li_Chemicals!E$67*(Li_Chemicals!E$57*Li_Chemicals!E$34*GREET1_Import_Export!$K75+GREET1_Import_Export!$B204*GREET1_Import_Export!$F$179+GREET1_Import_Export!$F204)+Li_Chemicals!E$68*(Li_Chemicals!E$57*(Li_Chemicals!E$36*GREET1_Import_Export!$Q75+Li_Chemicals!E$37*GREET1_Import_Export!$O75+Li_Chemicals!E$38*GREET1_Import_Export!$M75)+GREET1_Import_Export!$B204*GREET1_Import_Export!$G$179+GREET1_Import_Export!$G204)+Li_Chemicals!E$69*(Li_Chemicals!E$57*Li_Chemicals!E$39*GREET1_Import_Export!$T75+GREET1_Import_Export!$B204*GREET1_Import_Export!$C$179+GREET1_Import_Export!$C204)+Li_Chemicals!E$70*(Li_Chemicals!E$57*Li_Chemicals!E$40*GREET1_Import_Export!$W75+GREET1_Import_Export!$E240*GREET1_Import_Export!$F$215+GREET1_Import_Export!$F240)+Li_Chemicals!E$71*(Li_Chemicals!E$57*(Li_Chemicals!E$41*GREET1_Import_Export!$B75+Li_Chemicals!E$42*GREET1_Import_Export!$C75+Li_Chemicals!E$43*GREET1_Import_Export!$G75+(MMULT('GREET2_Factors_T&amp;D'!$F18:$H18+0,Li_Chemicals!E$45:E$47+0)))+GREET1_Import_Export!$B240)+Li_Chemicals!E$72*(Li_Chemicals!E$57*(Li_Chemicals!E$48*GREET1_Import_Export!$AA75+Li_Chemicals!E$49*GREET1_Import_Export!$AB75)+GREET1_Import_Export!$C293)+Li_Chemicals!E$73*SUM(GREET1_Import_Export!$D318:$E318)</f>
        <v>0.24318883623955745</v>
      </c>
      <c r="G96" s="235">
        <f>'GREET2_Factors_T&amp;D'!B75</f>
        <v>0.11845748394466137</v>
      </c>
      <c r="H96" s="112">
        <f>Li_Chemicals!H$67*(Li_Chemicals!H$57*Li_Chemicals!C$34*GREET1_Import_Export!$K75+GREET1_Import_Export!$J204*GREET1_Import_Export!$L$179+GREET1_Import_Export!$L204)+Li_Chemicals!H$68*(Li_Chemicals!H$57*(Li_Chemicals!C$36*GREET1_Import_Export!$Q75+Li_Chemicals!C$37*GREET1_Import_Export!$O75+Li_Chemicals!C$38*GREET1_Import_Export!$M75)+GREET1_Import_Export!$J204*GREET1_Import_Export!$M$179+GREET1_Import_Export!$M204)+Li_Chemicals!H$69*(Li_Chemicals!H$57*Li_Chemicals!C$39*GREET1_Import_Export!$T75+GREET1_Import_Export!$J204*GREET1_Import_Export!$K$179+GREET1_Import_Export!$K204)+Li_Chemicals!H$70*(Li_Chemicals!H$57*Li_Chemicals!C$40*GREET1_Import_Export!$W75+GREET1_Import_Export!$J240*GREET1_Import_Export!$K$215+GREET1_Import_Export!$K240)+Li_Chemicals!H$71*(Li_Chemicals!H$57*(Li_Chemicals!C$41*GREET1_Import_Export!$T75+Li_Chemicals!C$42*GREET1_Import_Export!$C75+Li_Chemicals!C$43*GREET1_Import_Export!$G75+Li_Chemicals!C$45*'GREET2_Factors_T&amp;D'!$F18+Li_Chemicals!C$46*'GREET2_Factors_T&amp;D'!$G18)+GREET1_Import_Export!$G240)+Li_Chemicals!H$72*(Li_Chemicals!H$57*(Li_Chemicals!C$48*GREET1_Import_Export!$AA75+Li_Chemicals!C$49*GREET1_Import_Export!$AB75)+GREET1_Import_Export!$E293)+Li_Chemicals!H$73*GREET1_Import_Export!$S366</f>
        <v>1.6408173952877216</v>
      </c>
      <c r="J96" s="235">
        <f>'GREET2_Factors_T&amp;D'!G75</f>
        <v>8.5289388440156183E-2</v>
      </c>
      <c r="K96" s="112">
        <f>Li_Chemicals!K$67*(Li_Chemicals!K$57*Li_Chemicals!D$34*GREET1_Import_Export!$K75+GREET1_Import_Export!$J204*GREET1_Import_Export!$L$179+GREET1_Import_Export!$L204)+Li_Chemicals!K$68*(Li_Chemicals!K$57*(Li_Chemicals!D$36*GREET1_Import_Export!$Q75+Li_Chemicals!D$37*GREET1_Import_Export!$O75+Li_Chemicals!D$38*GREET1_Import_Export!$M75)+GREET1_Import_Export!$J204*GREET1_Import_Export!$M$179+GREET1_Import_Export!$M204)+Li_Chemicals!K$69*(Li_Chemicals!K$57*Li_Chemicals!D$39*GREET1_Import_Export!$T75+GREET1_Import_Export!$J204*GREET1_Import_Export!$K$179+GREET1_Import_Export!$K204)+Li_Chemicals!K$70*(Li_Chemicals!K$57*Li_Chemicals!D$40*GREET1_Import_Export!$W75+GREET1_Import_Export!$J240*GREET1_Import_Export!$K$215+GREET1_Import_Export!$K240)+Li_Chemicals!K$71*(Li_Chemicals!K$57*(Li_Chemicals!D$41*GREET1_Import_Export!$T75+Li_Chemicals!D$42*GREET1_Import_Export!$C75+Li_Chemicals!D$43*GREET1_Import_Export!$G75+Li_Chemicals!D$45*'GREET2_Factors_T&amp;D'!$F18+Li_Chemicals!D$46*'GREET2_Factors_T&amp;D'!$G18)+GREET1_Import_Export!$G240)+Li_Chemicals!K$72*(Li_Chemicals!K$57*(Li_Chemicals!D$48*GREET1_Import_Export!$AA75+Li_Chemicals!D$49*GREET1_Import_Export!$AB75)+GREET1_Import_Export!$E293)+Li_Chemicals!K$73*GREET1_Import_Export!$S366</f>
        <v>4.9721587493039667</v>
      </c>
      <c r="M96" s="235">
        <f>SUM('GREET2_Factors_T&amp;D'!J75:K75)</f>
        <v>0.41653627812875088</v>
      </c>
      <c r="N96" s="233">
        <f t="array" ref="N96">Li_Chemicals!N$67*(Li_Chemicals!N$57*Li_Chemicals!F$34*GREET1_Import_Export!$K75+GREET1_Import_Export!$B204*GREET1_Import_Export!$F$179+GREET1_Import_Export!$F204)+Li_Chemicals!N$68*(Li_Chemicals!N$57*(Li_Chemicals!F$36*GREET1_Import_Export!$Q75+Li_Chemicals!F$37*GREET1_Import_Export!$O75+Li_Chemicals!F$38*GREET1_Import_Export!$M75)+GREET1_Import_Export!$B204*GREET1_Import_Export!$G$179+GREET1_Import_Export!$G204)+Li_Chemicals!N$69*(Li_Chemicals!N$57*Li_Chemicals!F$39*GREET1_Import_Export!$T75+GREET1_Import_Export!$B204*GREET1_Import_Export!$C$179+GREET1_Import_Export!$C204)+Li_Chemicals!N$70*(Li_Chemicals!N$57*Li_Chemicals!F$40*GREET1_Import_Export!$W75+GREET1_Import_Export!$E240*GREET1_Import_Export!$F$215+GREET1_Import_Export!$F240)+Li_Chemicals!N$71*(Li_Chemicals!N$57*(Li_Chemicals!F$41*GREET1_Import_Export!$B75+Li_Chemicals!F$42*GREET1_Import_Export!$C75+Li_Chemicals!F$43*GREET1_Import_Export!$G75+(MMULT('GREET2_Factors_T&amp;D'!$F18:$H18+0,Li_Chemicals!F$45:F$47+0)))+GREET1_Import_Export!$B240)+Li_Chemicals!N$72*(Li_Chemicals!N$57*(Li_Chemicals!F$48*GREET1_Import_Export!$AA75+Li_Chemicals!F$49*GREET1_Import_Export!$AB75)+GREET1_Import_Export!$C293)+Li_Chemicals!N$73*SUM(GREET1_Import_Export!$D318:$E318)</f>
        <v>15.623709928907642</v>
      </c>
      <c r="P96" s="228">
        <f>SUM('GREET2_Factors_T&amp;D'!C75:D75)</f>
        <v>0.49877349827098905</v>
      </c>
      <c r="Q96" s="233">
        <f>Q$67*(Q$57*H$34*GREET1_Import_Export!$K75+GREET1_Import_Export!$J204*GREET1_Import_Export!$L$179+GREET1_Import_Export!$L204)+Q$68*(Q$57*(H$36*GREET1_Import_Export!$Q75+H$37*GREET1_Import_Export!$O75+H$38*GREET1_Import_Export!$M75)+GREET1_Import_Export!$J204*GREET1_Import_Export!$M$179+GREET1_Import_Export!$M204)+Q$69*(Q$57*H$39*GREET1_Import_Export!$T75+GREET1_Import_Export!$J204*GREET1_Import_Export!$K$179+GREET1_Import_Export!$K204)+Q$70*(Q$57*H$40*GREET1_Import_Export!$W75+GREET1_Import_Export!$J240*GREET1_Import_Export!$K$215+GREET1_Import_Export!$K240)+Q$71*(Q$57*(H$41*GREET1_Import_Export!$B75+H$42*GREET1_Import_Export!$C75+H$43*GREET1_Import_Export!$G75+H$45*'GREET2_Factors_T&amp;D'!$F18+H$46*'GREET2_Factors_T&amp;D'!$G18)+GREET1_Import_Export!$G240)+Q$72*(Q$57*(H$48*GREET1_Import_Export!$AA75+H$49*GREET1_Import_Export!$AB75)+GREET1_Import_Export!$E293)+Q$73*GREET1_Import_Export!$S366</f>
        <v>30.484813021403973</v>
      </c>
      <c r="R96" s="1"/>
      <c r="S96" s="235">
        <f>SUM('GREET2_Factors_T&amp;D'!Z75:AA75)</f>
        <v>0.42181857250979066</v>
      </c>
      <c r="T96" s="1076" cm="1">
        <f t="array" ref="T96">T$67*(T$57*I$34*GREET1_Import_Export!$K75+GREET1_Import_Export!$B204*GREET1_Import_Export!$F$179+GREET1_Import_Export!$F204)+T$68*(T$57*(I$36*GREET1_Import_Export!$Q75+I$37*GREET1_Import_Export!$O75+I$38*GREET1_Import_Export!$M75)+GREET1_Import_Export!$B204*GREET1_Import_Export!$G$179+GREET1_Import_Export!$G204)+T$69*(T$57*I$39*GREET1_Import_Export!$T75+GREET1_Import_Export!$B204*GREET1_Import_Export!$C$179+GREET1_Import_Export!$C204)+T$70*(T$57*I$40*GREET1_Import_Export!$W75+GREET1_Import_Export!$E240*GREET1_Import_Export!$F$215+GREET1_Import_Export!$F240)+T$71*(T$57*(I$41*GREET1_Import_Export!$B75+I$42*GREET1_Import_Export!$C75+I$43*GREET1_Import_Export!$G75+(MMULT('GREET2_Factors_T&amp;D'!$F18:$H18+0,I$45:I$47+0)))+GREET1_Import_Export!$B240)+T$72*(T$57*(I$48*GREET1_Import_Export!$AA75+I$49*GREET1_Import_Export!$AB75)+GREET1_Import_Export!$C293)+T$73*GREET1_Import_Export!$D366</f>
        <v>1.9251152472341584</v>
      </c>
      <c r="U96" s="1288"/>
      <c r="V96" s="1463">
        <f>SUM('GREET2_Factors_T&amp;D'!AB75:AG75)</f>
        <v>0.32729861890407003</v>
      </c>
      <c r="W96" s="753" cm="1">
        <f t="array" ref="W96">W$67*(W$57*J$34*GREET1_Import_Export!$K75+GREET1_Import_Export!$B204*GREET1_Import_Export!$F$179+GREET1_Import_Export!$F204)+W$68*(W$57*(J$36*GREET1_Import_Export!$Q75+J$37*GREET1_Import_Export!$O75+J$38*GREET1_Import_Export!$M75)+GREET1_Import_Export!$B204*GREET1_Import_Export!$G$179+GREET1_Import_Export!$G204)+W$69*(W$57*J$39*GREET1_Import_Export!$T75+GREET1_Import_Export!$B204*GREET1_Import_Export!$C$179+GREET1_Import_Export!$C204)+W$70*(W$57*J$40*GREET1_Import_Export!$W75+GREET1_Import_Export!$E240*GREET1_Import_Export!$F$215+GREET1_Import_Export!$F240)+W$71*(W$57*(J$41*GREET1_Import_Export!$B75+J$42*GREET1_Import_Export!$C75+J$43*GREET1_Import_Export!$G75+(MMULT('GREET2_Factors_T&amp;D'!$F18:$H18+0,J$45:J$47+0)))+GREET1_Import_Export!$B240)+W$72*(W$57*(J$48*GREET1_Import_Export!$AA75+J$49*GREET1_Import_Export!$AB75)+GREET1_Import_Export!$C293)+W$73*GREET1_Import_Export!$L366</f>
        <v>38.019351202828496</v>
      </c>
      <c r="X96" s="1288"/>
      <c r="Y96" s="1082">
        <f>SUM('GREET2_Factors_T&amp;D'!AH75:AI75)</f>
        <v>4.4421556479248017E-2</v>
      </c>
      <c r="Z96" s="1085" cm="1">
        <f t="array" ref="Z96">Z$67*(Z$57*K$34*GREET1_Import_Export!$K75+GREET1_Import_Export!$B204*GREET1_Import_Export!$F$179+GREET1_Import_Export!$F204)+Z$68*(Z$57*(K$36*GREET1_Import_Export!$Q75+K$37*GREET1_Import_Export!$O75+K$38*GREET1_Import_Export!$M75)+GREET1_Import_Export!$B204*GREET1_Import_Export!$G$179+GREET1_Import_Export!$G204)+Z$69*(Z$57*K$39*GREET1_Import_Export!$T75+GREET1_Import_Export!$B204*GREET1_Import_Export!$C$179+GREET1_Import_Export!$C204)+Z$70*(Z$57*K$40*GREET1_Import_Export!$W75+GREET1_Import_Export!$E240*GREET1_Import_Export!$F$215+GREET1_Import_Export!$F240)+Z$71*(Z$57*(K$41*GREET1_Import_Export!$B75+K$42*GREET1_Import_Export!$C75+K$43*GREET1_Import_Export!$G75+(MMULT('GREET2_Factors_T&amp;D'!$F18:$H18+0,K$45:K$47+0)))+GREET1_Import_Export!$B240)+Z$72*(Z$57*(K$48*GREET1_Import_Export!$AA75+K$49*GREET1_Import_Export!$AB75)+GREET1_Import_Export!$C293)+Z$73*GREET1_Import_Export!$L366</f>
        <v>124.75056919307504</v>
      </c>
      <c r="AA96" s="1288"/>
      <c r="AB96" s="1082">
        <f>SUM('GREET2_Factors_T&amp;D'!AJ75:AK75)</f>
        <v>4.4421556479248017E-2</v>
      </c>
      <c r="AC96" s="233">
        <f t="array" ref="AC96">Li_Chemicals!AC$67*(Li_Chemicals!AC$57*Li_Chemicals!G$34*GREET1_Import_Export!$K75+GREET1_Import_Export!$B204*GREET1_Import_Export!$F$179+GREET1_Import_Export!$F204)+Li_Chemicals!AC$68*(Li_Chemicals!AC$57*(Li_Chemicals!G$36*GREET1_Import_Export!$Q75+Li_Chemicals!G$37*GREET1_Import_Export!$O75+Li_Chemicals!G$38*GREET1_Import_Export!$M75)+GREET1_Import_Export!$B204*GREET1_Import_Export!$G$179+GREET1_Import_Export!$G204)+Li_Chemicals!AC$69*(Li_Chemicals!AC$57*Li_Chemicals!G$39*GREET1_Import_Export!$T75+GREET1_Import_Export!$B204*GREET1_Import_Export!$C$179+GREET1_Import_Export!$C204)+Li_Chemicals!AC$70*(Li_Chemicals!AC$57*Li_Chemicals!G$40*GREET1_Import_Export!$W75+GREET1_Import_Export!$E240*GREET1_Import_Export!$F$215+GREET1_Import_Export!$F240)+Li_Chemicals!AC$71*(Li_Chemicals!AC$57*(Li_Chemicals!G$41*GREET1_Import_Export!$B75+Li_Chemicals!G$42*GREET1_Import_Export!$C75+Li_Chemicals!G$43*GREET1_Import_Export!$G75+(MMULT('GREET2_Factors_T&amp;D'!$F18:$H18+0,Li_Chemicals!G$45:G$47+0)))+GREET1_Import_Export!$B240)+Li_Chemicals!AC$72*(Li_Chemicals!AC$57*(Li_Chemicals!G$48*GREET1_Import_Export!$AA75+Li_Chemicals!G$49*GREET1_Import_Export!$AB75)+GREET1_Import_Export!$C293)+Li_Chemicals!AC$73*SUM(GREET1_Import_Export!$D318:$E318)</f>
        <v>4.5265274508300299</v>
      </c>
      <c r="AD96" s="51"/>
      <c r="AO96" s="112"/>
      <c r="AQ96" s="1318"/>
      <c r="AR96" s="112"/>
      <c r="AT96" s="1318"/>
    </row>
    <row r="97" spans="1:46">
      <c r="A97" s="100" t="s">
        <v>825</v>
      </c>
      <c r="B97" s="112">
        <f>Li_Chemicals!B$67*(Li_Chemicals!B$57*Li_Chemicals!B$34*GREET1_Import_Export!$K76+GREET1_Import_Export!$J205*GREET1_Import_Export!$L$179+GREET1_Import_Export!$L205)+Li_Chemicals!B$68*(Li_Chemicals!B$57*(Li_Chemicals!B$36*GREET1_Import_Export!$Q76+Li_Chemicals!B$37*GREET1_Import_Export!$O76+Li_Chemicals!B$38*GREET1_Import_Export!$M76)+GREET1_Import_Export!$J205*GREET1_Import_Export!$M$179+GREET1_Import_Export!$M205)+Li_Chemicals!B$69*(Li_Chemicals!B$57*Li_Chemicals!B$39*GREET1_Import_Export!$T76+GREET1_Import_Export!$J205*GREET1_Import_Export!$K$179+GREET1_Import_Export!$K205)+Li_Chemicals!B$70*(Li_Chemicals!B$57*Li_Chemicals!B$40*GREET1_Import_Export!$W76+GREET1_Import_Export!$J241*GREET1_Import_Export!$K$215+GREET1_Import_Export!$K241)+Li_Chemicals!B$71*(Li_Chemicals!B$57*(Li_Chemicals!B$41*GREET1_Import_Export!$B76+Li_Chemicals!B$42*GREET1_Import_Export!$C76+Li_Chemicals!B$43*GREET1_Import_Export!$G76+Li_Chemicals!B$45*'GREET2_Factors_T&amp;D'!$F19+Li_Chemicals!B$46*'GREET2_Factors_T&amp;D'!$G19)+GREET1_Import_Export!$G241)+Li_Chemicals!B$72*(Li_Chemicals!B$57*(Li_Chemicals!B$48*GREET1_Import_Export!$AA76+Li_Chemicals!B$49*GREET1_Import_Export!$AB76)+GREET1_Import_Export!$E294)+Li_Chemicals!B$73*GREET1_Import_Export!$B367</f>
        <v>0.25192292127021881</v>
      </c>
      <c r="D97" s="1318">
        <f>SUM('GREET2_Factors_T&amp;D'!H76:I76)</f>
        <v>0.6165664641769264</v>
      </c>
      <c r="E97" s="233">
        <f t="array" ref="E97">Li_Chemicals!E$67*(Li_Chemicals!E$57*Li_Chemicals!E$34*GREET1_Import_Export!$K76+GREET1_Import_Export!$B205*GREET1_Import_Export!$F$179+GREET1_Import_Export!$F205)+Li_Chemicals!E$68*(Li_Chemicals!E$57*(Li_Chemicals!E$36*GREET1_Import_Export!$Q76+Li_Chemicals!E$37*GREET1_Import_Export!$O76+Li_Chemicals!E$38*GREET1_Import_Export!$M76)+GREET1_Import_Export!$B205*GREET1_Import_Export!$G$179+GREET1_Import_Export!$G205)+Li_Chemicals!E$69*(Li_Chemicals!E$57*Li_Chemicals!E$39*GREET1_Import_Export!$T76+GREET1_Import_Export!$B205*GREET1_Import_Export!$C$179+GREET1_Import_Export!$C205)+Li_Chemicals!E$70*(Li_Chemicals!E$57*Li_Chemicals!E$40*GREET1_Import_Export!$W76+GREET1_Import_Export!$E241*GREET1_Import_Export!$F$215+GREET1_Import_Export!$F241)+Li_Chemicals!E$71*(Li_Chemicals!E$57*(Li_Chemicals!E$41*GREET1_Import_Export!$B76+Li_Chemicals!E$42*GREET1_Import_Export!$C76+Li_Chemicals!E$43*GREET1_Import_Export!$G76+(MMULT('GREET2_Factors_T&amp;D'!$F19:$H19+0,Li_Chemicals!E$45:E$47+0)))+GREET1_Import_Export!$B241)+Li_Chemicals!E$72*(Li_Chemicals!E$57*(Li_Chemicals!E$48*GREET1_Import_Export!$AA76+Li_Chemicals!E$49*GREET1_Import_Export!$AB76)+GREET1_Import_Export!$C294)+Li_Chemicals!E$73*SUM(GREET1_Import_Export!$D319:$E319)</f>
        <v>0.21504295852059221</v>
      </c>
      <c r="G97" s="235">
        <f>'GREET2_Factors_T&amp;D'!B76</f>
        <v>0.10222619261197349</v>
      </c>
      <c r="H97" s="112">
        <f>Li_Chemicals!H$67*(Li_Chemicals!H$57*Li_Chemicals!C$34*GREET1_Import_Export!$K76+GREET1_Import_Export!$J205*GREET1_Import_Export!$L$179+GREET1_Import_Export!$L205)+Li_Chemicals!H$68*(Li_Chemicals!H$57*(Li_Chemicals!C$36*GREET1_Import_Export!$Q76+Li_Chemicals!C$37*GREET1_Import_Export!$O76+Li_Chemicals!C$38*GREET1_Import_Export!$M76)+GREET1_Import_Export!$J205*GREET1_Import_Export!$M$179+GREET1_Import_Export!$M205)+Li_Chemicals!H$69*(Li_Chemicals!H$57*Li_Chemicals!C$39*GREET1_Import_Export!$T76+GREET1_Import_Export!$J205*GREET1_Import_Export!$K$179+GREET1_Import_Export!$K205)+Li_Chemicals!H$70*(Li_Chemicals!H$57*Li_Chemicals!C$40*GREET1_Import_Export!$W76+GREET1_Import_Export!$J241*GREET1_Import_Export!$K$215+GREET1_Import_Export!$K241)+Li_Chemicals!H$71*(Li_Chemicals!H$57*(Li_Chemicals!C$41*GREET1_Import_Export!$T76+Li_Chemicals!C$42*GREET1_Import_Export!$C76+Li_Chemicals!C$43*GREET1_Import_Export!$G76+Li_Chemicals!C$45*'GREET2_Factors_T&amp;D'!$F19+Li_Chemicals!C$46*'GREET2_Factors_T&amp;D'!$G19)+GREET1_Import_Export!$G241)+Li_Chemicals!H$72*(Li_Chemicals!H$57*(Li_Chemicals!C$48*GREET1_Import_Export!$AA76+Li_Chemicals!C$49*GREET1_Import_Export!$AB76)+GREET1_Import_Export!$E294)+Li_Chemicals!H$73*GREET1_Import_Export!$S367</f>
        <v>1.3844791299748067</v>
      </c>
      <c r="J97" s="235">
        <f>'GREET2_Factors_T&amp;D'!G76</f>
        <v>7.3602858680620914E-2</v>
      </c>
      <c r="K97" s="112">
        <f>Li_Chemicals!K$67*(Li_Chemicals!K$57*Li_Chemicals!D$34*GREET1_Import_Export!$K76+GREET1_Import_Export!$J205*GREET1_Import_Export!$L$179+GREET1_Import_Export!$L205)+Li_Chemicals!K$68*(Li_Chemicals!K$57*(Li_Chemicals!D$36*GREET1_Import_Export!$Q76+Li_Chemicals!D$37*GREET1_Import_Export!$O76+Li_Chemicals!D$38*GREET1_Import_Export!$M76)+GREET1_Import_Export!$J205*GREET1_Import_Export!$M$179+GREET1_Import_Export!$M205)+Li_Chemicals!K$69*(Li_Chemicals!K$57*Li_Chemicals!D$39*GREET1_Import_Export!$T76+GREET1_Import_Export!$J205*GREET1_Import_Export!$K$179+GREET1_Import_Export!$K205)+Li_Chemicals!K$70*(Li_Chemicals!K$57*Li_Chemicals!D$40*GREET1_Import_Export!$W76+GREET1_Import_Export!$J241*GREET1_Import_Export!$K$215+GREET1_Import_Export!$K241)+Li_Chemicals!K$71*(Li_Chemicals!K$57*(Li_Chemicals!D$41*GREET1_Import_Export!$T76+Li_Chemicals!D$42*GREET1_Import_Export!$C76+Li_Chemicals!D$43*GREET1_Import_Export!$G76+Li_Chemicals!D$45*'GREET2_Factors_T&amp;D'!$F19+Li_Chemicals!D$46*'GREET2_Factors_T&amp;D'!$G19)+GREET1_Import_Export!$G241)+Li_Chemicals!K$72*(Li_Chemicals!K$57*(Li_Chemicals!D$48*GREET1_Import_Export!$AA76+Li_Chemicals!D$49*GREET1_Import_Export!$AB76)+GREET1_Import_Export!$E294)+Li_Chemicals!K$73*GREET1_Import_Export!$S367</f>
        <v>4.1895582916917427</v>
      </c>
      <c r="M97" s="235">
        <f>SUM('GREET2_Factors_T&amp;D'!J76:K76)</f>
        <v>0.36688966740899498</v>
      </c>
      <c r="N97" s="233">
        <f t="array" ref="N97">Li_Chemicals!N$67*(Li_Chemicals!N$57*Li_Chemicals!F$34*GREET1_Import_Export!$K76+GREET1_Import_Export!$B205*GREET1_Import_Export!$F$179+GREET1_Import_Export!$F205)+Li_Chemicals!N$68*(Li_Chemicals!N$57*(Li_Chemicals!F$36*GREET1_Import_Export!$Q76+Li_Chemicals!F$37*GREET1_Import_Export!$O76+Li_Chemicals!F$38*GREET1_Import_Export!$M76)+GREET1_Import_Export!$B205*GREET1_Import_Export!$G$179+GREET1_Import_Export!$G205)+Li_Chemicals!N$69*(Li_Chemicals!N$57*Li_Chemicals!F$39*GREET1_Import_Export!$T76+GREET1_Import_Export!$B205*GREET1_Import_Export!$C$179+GREET1_Import_Export!$C205)+Li_Chemicals!N$70*(Li_Chemicals!N$57*Li_Chemicals!F$40*GREET1_Import_Export!$W76+GREET1_Import_Export!$E241*GREET1_Import_Export!$F$215+GREET1_Import_Export!$F241)+Li_Chemicals!N$71*(Li_Chemicals!N$57*(Li_Chemicals!F$41*GREET1_Import_Export!$B76+Li_Chemicals!F$42*GREET1_Import_Export!$C76+Li_Chemicals!F$43*GREET1_Import_Export!$G76+(MMULT('GREET2_Factors_T&amp;D'!$F19:$H19+0,Li_Chemicals!F$45:F$47+0)))+GREET1_Import_Export!$B241)+Li_Chemicals!N$72*(Li_Chemicals!N$57*(Li_Chemicals!F$48*GREET1_Import_Export!$AA76+Li_Chemicals!F$49*GREET1_Import_Export!$AB76)+GREET1_Import_Export!$C294)+Li_Chemicals!N$73*SUM(GREET1_Import_Export!$D319:$E319)</f>
        <v>13.716949765584848</v>
      </c>
      <c r="P97" s="228">
        <f>SUM('GREET2_Factors_T&amp;D'!C76:D76)</f>
        <v>0.43043051402153187</v>
      </c>
      <c r="Q97" s="233">
        <f>Q$67*(Q$57*H$34*GREET1_Import_Export!$K76+GREET1_Import_Export!$J205*GREET1_Import_Export!$L$179+GREET1_Import_Export!$L205)+Q$68*(Q$57*(H$36*GREET1_Import_Export!$Q76+H$37*GREET1_Import_Export!$O76+H$38*GREET1_Import_Export!$M76)+GREET1_Import_Export!$J205*GREET1_Import_Export!$M$179+GREET1_Import_Export!$M205)+Q$69*(Q$57*H$39*GREET1_Import_Export!$T76+GREET1_Import_Export!$J205*GREET1_Import_Export!$K$179+GREET1_Import_Export!$K205)+Q$70*(Q$57*H$40*GREET1_Import_Export!$W76+GREET1_Import_Export!$J241*GREET1_Import_Export!$K$215+GREET1_Import_Export!$K241)+Q$71*(Q$57*(H$41*GREET1_Import_Export!$B76+H$42*GREET1_Import_Export!$C76+H$43*GREET1_Import_Export!$G76+H$45*'GREET2_Factors_T&amp;D'!$F19+H$46*'GREET2_Factors_T&amp;D'!$G19)+GREET1_Import_Export!$G241)+Q$72*(Q$57*(H$48*GREET1_Import_Export!$AA76+H$49*GREET1_Import_Export!$AB76)+GREET1_Import_Export!$E294)+Q$73*GREET1_Import_Export!$S367</f>
        <v>25.726735959131005</v>
      </c>
      <c r="R97" s="1"/>
      <c r="S97" s="235">
        <f>SUM('GREET2_Factors_T&amp;D'!Z76:AA76)</f>
        <v>0.37154584157599468</v>
      </c>
      <c r="T97" s="1076" cm="1">
        <f t="array" ref="T97">T$67*(T$57*I$34*GREET1_Import_Export!$K76+GREET1_Import_Export!$B205*GREET1_Import_Export!$F$179+GREET1_Import_Export!$F205)+T$68*(T$57*(I$36*GREET1_Import_Export!$Q76+I$37*GREET1_Import_Export!$O76+I$38*GREET1_Import_Export!$M76)+GREET1_Import_Export!$B205*GREET1_Import_Export!$G$179+GREET1_Import_Export!$G205)+T$69*(T$57*I$39*GREET1_Import_Export!$T76+GREET1_Import_Export!$B205*GREET1_Import_Export!$C$179+GREET1_Import_Export!$C205)+T$70*(T$57*I$40*GREET1_Import_Export!$W76+GREET1_Import_Export!$E241*GREET1_Import_Export!$F$215+GREET1_Import_Export!$F241)+T$71*(T$57*(I$41*GREET1_Import_Export!$B76+I$42*GREET1_Import_Export!$C76+I$43*GREET1_Import_Export!$G76+(MMULT('GREET2_Factors_T&amp;D'!$F19:$H19+0,I$45:I$47+0)))+GREET1_Import_Export!$B241)+T$72*(T$57*(I$48*GREET1_Import_Export!$AA76+I$49*GREET1_Import_Export!$AB76)+GREET1_Import_Export!$C294)+T$73*GREET1_Import_Export!$D367</f>
        <v>1.6613319438385328</v>
      </c>
      <c r="U97" s="1288"/>
      <c r="V97" s="1463">
        <f>SUM('GREET2_Factors_T&amp;D'!AB76:AG76)</f>
        <v>0.28582202364482312</v>
      </c>
      <c r="W97" s="753" cm="1">
        <f t="array" ref="W97">W$67*(W$57*J$34*GREET1_Import_Export!$K76+GREET1_Import_Export!$B205*GREET1_Import_Export!$F$179+GREET1_Import_Export!$F205)+W$68*(W$57*(J$36*GREET1_Import_Export!$Q76+J$37*GREET1_Import_Export!$O76+J$38*GREET1_Import_Export!$M76)+GREET1_Import_Export!$B205*GREET1_Import_Export!$G$179+GREET1_Import_Export!$G205)+W$69*(W$57*J$39*GREET1_Import_Export!$T76+GREET1_Import_Export!$B205*GREET1_Import_Export!$C$179+GREET1_Import_Export!$C205)+W$70*(W$57*J$40*GREET1_Import_Export!$W76+GREET1_Import_Export!$E241*GREET1_Import_Export!$F$215+GREET1_Import_Export!$F241)+W$71*(W$57*(J$41*GREET1_Import_Export!$B76+J$42*GREET1_Import_Export!$C76+J$43*GREET1_Import_Export!$G76+(MMULT('GREET2_Factors_T&amp;D'!$F19:$H19+0,J$45:J$47+0)))+GREET1_Import_Export!$B241)+W$72*(W$57*(J$48*GREET1_Import_Export!$AA76+J$49*GREET1_Import_Export!$AB76)+GREET1_Import_Export!$C294)+W$73*GREET1_Import_Export!$L367</f>
        <v>31.647814235162333</v>
      </c>
      <c r="X97" s="1288"/>
      <c r="Y97" s="1082">
        <f>SUM('GREET2_Factors_T&amp;D'!AH76:AI76)</f>
        <v>3.833482222949007E-2</v>
      </c>
      <c r="Z97" s="1085" cm="1">
        <f t="array" ref="Z97">Z$67*(Z$57*K$34*GREET1_Import_Export!$K76+GREET1_Import_Export!$B205*GREET1_Import_Export!$F$179+GREET1_Import_Export!$F205)+Z$68*(Z$57*(K$36*GREET1_Import_Export!$Q76+K$37*GREET1_Import_Export!$O76+K$38*GREET1_Import_Export!$M76)+GREET1_Import_Export!$B205*GREET1_Import_Export!$G$179+GREET1_Import_Export!$G205)+Z$69*(Z$57*K$39*GREET1_Import_Export!$T76+GREET1_Import_Export!$B205*GREET1_Import_Export!$C$179+GREET1_Import_Export!$C205)+Z$70*(Z$57*K$40*GREET1_Import_Export!$W76+GREET1_Import_Export!$E241*GREET1_Import_Export!$F$215+GREET1_Import_Export!$F241)+Z$71*(Z$57*(K$41*GREET1_Import_Export!$B76+K$42*GREET1_Import_Export!$C76+K$43*GREET1_Import_Export!$G76+(MMULT('GREET2_Factors_T&amp;D'!$F19:$H19+0,K$45:K$47+0)))+GREET1_Import_Export!$B241)+Z$72*(Z$57*(K$48*GREET1_Import_Export!$AA76+K$49*GREET1_Import_Export!$AB76)+GREET1_Import_Export!$C294)+Z$73*GREET1_Import_Export!$L367</f>
        <v>103.55080095339255</v>
      </c>
      <c r="AA97" s="1288"/>
      <c r="AB97" s="1082">
        <f>SUM('GREET2_Factors_T&amp;D'!AJ76:AK76)</f>
        <v>3.833482222949007E-2</v>
      </c>
      <c r="AC97" s="233">
        <f t="array" ref="AC97">Li_Chemicals!AC$67*(Li_Chemicals!AC$57*Li_Chemicals!G$34*GREET1_Import_Export!$K76+GREET1_Import_Export!$B205*GREET1_Import_Export!$F$179+GREET1_Import_Export!$F205)+Li_Chemicals!AC$68*(Li_Chemicals!AC$57*(Li_Chemicals!G$36*GREET1_Import_Export!$Q76+Li_Chemicals!G$37*GREET1_Import_Export!$O76+Li_Chemicals!G$38*GREET1_Import_Export!$M76)+GREET1_Import_Export!$B205*GREET1_Import_Export!$G$179+GREET1_Import_Export!$G205)+Li_Chemicals!AC$69*(Li_Chemicals!AC$57*Li_Chemicals!G$39*GREET1_Import_Export!$T76+GREET1_Import_Export!$B205*GREET1_Import_Export!$C$179+GREET1_Import_Export!$C205)+Li_Chemicals!AC$70*(Li_Chemicals!AC$57*Li_Chemicals!G$40*GREET1_Import_Export!$W76+GREET1_Import_Export!$E241*GREET1_Import_Export!$F$215+GREET1_Import_Export!$F241)+Li_Chemicals!AC$71*(Li_Chemicals!AC$57*(Li_Chemicals!G$41*GREET1_Import_Export!$B76+Li_Chemicals!G$42*GREET1_Import_Export!$C76+Li_Chemicals!G$43*GREET1_Import_Export!$G76+(MMULT('GREET2_Factors_T&amp;D'!$F19:$H19+0,Li_Chemicals!G$45:G$47+0)))+GREET1_Import_Export!$B241)+Li_Chemicals!AC$72*(Li_Chemicals!AC$57*(Li_Chemicals!G$48*GREET1_Import_Export!$AA76+Li_Chemicals!G$49*GREET1_Import_Export!$AB76)+GREET1_Import_Export!$C294)+Li_Chemicals!AC$73*SUM(GREET1_Import_Export!$D319:$E319)</f>
        <v>3.9818765535668268</v>
      </c>
      <c r="AD97" s="51"/>
      <c r="AO97" s="112"/>
      <c r="AQ97" s="1318"/>
      <c r="AR97" s="112"/>
      <c r="AT97" s="1318"/>
    </row>
    <row r="98" spans="1:46">
      <c r="A98" s="100" t="s">
        <v>826</v>
      </c>
      <c r="B98" s="112">
        <f>Li_Chemicals!B$67*(Li_Chemicals!B$57*Li_Chemicals!B$34*GREET1_Import_Export!$K77+GREET1_Import_Export!$J206*GREET1_Import_Export!$L$179+GREET1_Import_Export!$L206)+Li_Chemicals!B$68*(Li_Chemicals!B$57*(Li_Chemicals!B$36*GREET1_Import_Export!$Q77+Li_Chemicals!B$37*GREET1_Import_Export!$O77+Li_Chemicals!B$38*GREET1_Import_Export!$M77)+GREET1_Import_Export!$J206*GREET1_Import_Export!$M$179+GREET1_Import_Export!$M206)+Li_Chemicals!B$69*(Li_Chemicals!B$57*Li_Chemicals!B$39*GREET1_Import_Export!$T77+GREET1_Import_Export!$J206*GREET1_Import_Export!$K$179+GREET1_Import_Export!$K206)+Li_Chemicals!B$70*(Li_Chemicals!B$57*Li_Chemicals!B$40*GREET1_Import_Export!$W77+GREET1_Import_Export!$J242*GREET1_Import_Export!$K$215+GREET1_Import_Export!$K242)+Li_Chemicals!B$71*(Li_Chemicals!B$57*(Li_Chemicals!B$41*GREET1_Import_Export!$B77+Li_Chemicals!B$42*GREET1_Import_Export!$C77+Li_Chemicals!B$43*GREET1_Import_Export!$G77+Li_Chemicals!B$45*'GREET2_Factors_T&amp;D'!$F20+Li_Chemicals!B$46*'GREET2_Factors_T&amp;D'!$G20)+GREET1_Import_Export!$G242)+Li_Chemicals!B$72*(Li_Chemicals!B$57*(Li_Chemicals!B$48*GREET1_Import_Export!$AA77+Li_Chemicals!B$49*GREET1_Import_Export!$AB77)+GREET1_Import_Export!$E295)+Li_Chemicals!B$73*GREET1_Import_Export!$B368</f>
        <v>0.57938988719364581</v>
      </c>
      <c r="D98" s="1318">
        <f>SUM('GREET2_Factors_T&amp;D'!H77:I77)</f>
        <v>1.4493625969704254</v>
      </c>
      <c r="E98" s="233">
        <f t="array" ref="E98">Li_Chemicals!E$67*(Li_Chemicals!E$57*Li_Chemicals!E$34*GREET1_Import_Export!$K77+GREET1_Import_Export!$B206*GREET1_Import_Export!$F$179+GREET1_Import_Export!$F206)+Li_Chemicals!E$68*(Li_Chemicals!E$57*(Li_Chemicals!E$36*GREET1_Import_Export!$Q77+Li_Chemicals!E$37*GREET1_Import_Export!$O77+Li_Chemicals!E$38*GREET1_Import_Export!$M77)+GREET1_Import_Export!$B206*GREET1_Import_Export!$G$179+GREET1_Import_Export!$G206)+Li_Chemicals!E$69*(Li_Chemicals!E$57*Li_Chemicals!E$39*GREET1_Import_Export!$T77+GREET1_Import_Export!$B206*GREET1_Import_Export!$C$179+GREET1_Import_Export!$C206)+Li_Chemicals!E$70*(Li_Chemicals!E$57*Li_Chemicals!E$40*GREET1_Import_Export!$W77+GREET1_Import_Export!$E242*GREET1_Import_Export!$F$215+GREET1_Import_Export!$F242)+Li_Chemicals!E$71*(Li_Chemicals!E$57*(Li_Chemicals!E$41*GREET1_Import_Export!$B77+Li_Chemicals!E$42*GREET1_Import_Export!$C77+Li_Chemicals!E$43*GREET1_Import_Export!$G77+(MMULT('GREET2_Factors_T&amp;D'!$F20:$H20+0,Li_Chemicals!E$45:E$47+0)))+GREET1_Import_Export!$B242)+Li_Chemicals!E$72*(Li_Chemicals!E$57*(Li_Chemicals!E$48*GREET1_Import_Export!$AA77+Li_Chemicals!E$49*GREET1_Import_Export!$AB77)+GREET1_Import_Export!$C295)+Li_Chemicals!E$73*SUM(GREET1_Import_Export!$D320:$E320)</f>
        <v>0.58561213631524955</v>
      </c>
      <c r="G98" s="235">
        <f>'GREET2_Factors_T&amp;D'!B77</f>
        <v>0.23144372552468867</v>
      </c>
      <c r="H98" s="112">
        <f>Li_Chemicals!H$67*(Li_Chemicals!H$57*Li_Chemicals!C$34*GREET1_Import_Export!$K77+GREET1_Import_Export!$J206*GREET1_Import_Export!$L$179+GREET1_Import_Export!$L206)+Li_Chemicals!H$68*(Li_Chemicals!H$57*(Li_Chemicals!C$36*GREET1_Import_Export!$Q77+Li_Chemicals!C$37*GREET1_Import_Export!$O77+Li_Chemicals!C$38*GREET1_Import_Export!$M77)+GREET1_Import_Export!$J206*GREET1_Import_Export!$M$179+GREET1_Import_Export!$M206)+Li_Chemicals!H$69*(Li_Chemicals!H$57*Li_Chemicals!C$39*GREET1_Import_Export!$T77+GREET1_Import_Export!$J206*GREET1_Import_Export!$K$179+GREET1_Import_Export!$K206)+Li_Chemicals!H$70*(Li_Chemicals!H$57*Li_Chemicals!C$40*GREET1_Import_Export!$W77+GREET1_Import_Export!$J242*GREET1_Import_Export!$K$215+GREET1_Import_Export!$K242)+Li_Chemicals!H$71*(Li_Chemicals!H$57*(Li_Chemicals!C$41*GREET1_Import_Export!$T77+Li_Chemicals!C$42*GREET1_Import_Export!$C77+Li_Chemicals!C$43*GREET1_Import_Export!$G77+Li_Chemicals!C$45*'GREET2_Factors_T&amp;D'!$F20+Li_Chemicals!C$46*'GREET2_Factors_T&amp;D'!$G20)+GREET1_Import_Export!$G242)+Li_Chemicals!H$72*(Li_Chemicals!H$57*(Li_Chemicals!C$48*GREET1_Import_Export!$AA77+Li_Chemicals!C$49*GREET1_Import_Export!$AB77)+GREET1_Import_Export!$E295)+Li_Chemicals!H$73*GREET1_Import_Export!$S368</f>
        <v>15.485048046276544</v>
      </c>
      <c r="J98" s="235">
        <f>'GREET2_Factors_T&amp;D'!G77</f>
        <v>0.16663948237777582</v>
      </c>
      <c r="K98" s="112">
        <f>Li_Chemicals!K$67*(Li_Chemicals!K$57*Li_Chemicals!D$34*GREET1_Import_Export!$K77+GREET1_Import_Export!$J206*GREET1_Import_Export!$L$179+GREET1_Import_Export!$L206)+Li_Chemicals!K$68*(Li_Chemicals!K$57*(Li_Chemicals!D$36*GREET1_Import_Export!$Q77+Li_Chemicals!D$37*GREET1_Import_Export!$O77+Li_Chemicals!D$38*GREET1_Import_Export!$M77)+GREET1_Import_Export!$J206*GREET1_Import_Export!$M$179+GREET1_Import_Export!$M206)+Li_Chemicals!K$69*(Li_Chemicals!K$57*Li_Chemicals!D$39*GREET1_Import_Export!$T77+GREET1_Import_Export!$J206*GREET1_Import_Export!$K$179+GREET1_Import_Export!$K206)+Li_Chemicals!K$70*(Li_Chemicals!K$57*Li_Chemicals!D$40*GREET1_Import_Export!$W77+GREET1_Import_Export!$J242*GREET1_Import_Export!$K$215+GREET1_Import_Export!$K242)+Li_Chemicals!K$71*(Li_Chemicals!K$57*(Li_Chemicals!D$41*GREET1_Import_Export!$T77+Li_Chemicals!D$42*GREET1_Import_Export!$C77+Li_Chemicals!D$43*GREET1_Import_Export!$G77+Li_Chemicals!D$45*'GREET2_Factors_T&amp;D'!$F20+Li_Chemicals!D$46*'GREET2_Factors_T&amp;D'!$G20)+GREET1_Import_Export!$G242)+Li_Chemicals!K$72*(Li_Chemicals!K$57*(Li_Chemicals!D$48*GREET1_Import_Export!$AA77+Li_Chemicals!D$49*GREET1_Import_Export!$AB77)+GREET1_Import_Export!$E295)+Li_Chemicals!K$73*GREET1_Import_Export!$S368</f>
        <v>49.062346490418626</v>
      </c>
      <c r="M98" s="235">
        <f>SUM('GREET2_Factors_T&amp;D'!J77:K77)</f>
        <v>0.93455645780728003</v>
      </c>
      <c r="N98" s="233">
        <f t="array" ref="N98">Li_Chemicals!N$67*(Li_Chemicals!N$57*Li_Chemicals!F$34*GREET1_Import_Export!$K77+GREET1_Import_Export!$B206*GREET1_Import_Export!$F$179+GREET1_Import_Export!$F206)+Li_Chemicals!N$68*(Li_Chemicals!N$57*(Li_Chemicals!F$36*GREET1_Import_Export!$Q77+Li_Chemicals!F$37*GREET1_Import_Export!$O77+Li_Chemicals!F$38*GREET1_Import_Export!$M77)+GREET1_Import_Export!$B206*GREET1_Import_Export!$G$179+GREET1_Import_Export!$G206)+Li_Chemicals!N$69*(Li_Chemicals!N$57*Li_Chemicals!F$39*GREET1_Import_Export!$T77+GREET1_Import_Export!$B206*GREET1_Import_Export!$C$179+GREET1_Import_Export!$C206)+Li_Chemicals!N$70*(Li_Chemicals!N$57*Li_Chemicals!F$40*GREET1_Import_Export!$W77+GREET1_Import_Export!$E242*GREET1_Import_Export!$F$215+GREET1_Import_Export!$F242)+Li_Chemicals!N$71*(Li_Chemicals!N$57*(Li_Chemicals!F$41*GREET1_Import_Export!$B77+Li_Chemicals!F$42*GREET1_Import_Export!$C77+Li_Chemicals!F$43*GREET1_Import_Export!$G77+(MMULT('GREET2_Factors_T&amp;D'!$F20:$H20+0,Li_Chemicals!F$45:F$47+0)))+GREET1_Import_Export!$B242)+Li_Chemicals!N$72*(Li_Chemicals!N$57*(Li_Chemicals!F$48*GREET1_Import_Export!$AA77+Li_Chemicals!F$49*GREET1_Import_Export!$AB77)+GREET1_Import_Export!$C295)+Li_Chemicals!N$73*SUM(GREET1_Import_Export!$D320:$E320)</f>
        <v>34.939877751685245</v>
      </c>
      <c r="P98" s="228">
        <f>SUM('GREET2_Factors_T&amp;D'!C77:D77)</f>
        <v>0.9745099489598108</v>
      </c>
      <c r="Q98" s="233">
        <f>Q$67*(Q$57*H$34*GREET1_Import_Export!$K77+GREET1_Import_Export!$J206*GREET1_Import_Export!$L$179+GREET1_Import_Export!$L206)+Q$68*(Q$57*(H$36*GREET1_Import_Export!$Q77+H$37*GREET1_Import_Export!$O77+H$38*GREET1_Import_Export!$M77)+GREET1_Import_Export!$J206*GREET1_Import_Export!$M$179+GREET1_Import_Export!$M206)+Q$69*(Q$57*H$39*GREET1_Import_Export!$T77+GREET1_Import_Export!$J206*GREET1_Import_Export!$K$179+GREET1_Import_Export!$K206)+Q$70*(Q$57*H$40*GREET1_Import_Export!$W77+GREET1_Import_Export!$J242*GREET1_Import_Export!$K$215+GREET1_Import_Export!$K242)+Q$71*(Q$57*(H$41*GREET1_Import_Export!$B77+H$42*GREET1_Import_Export!$C77+H$43*GREET1_Import_Export!$G77+H$45*'GREET2_Factors_T&amp;D'!$F20+H$46*'GREET2_Factors_T&amp;D'!$G20)+GREET1_Import_Export!$G242)+Q$72*(Q$57*(H$48*GREET1_Import_Export!$AA77+H$49*GREET1_Import_Export!$AB77)+GREET1_Import_Export!$E295)+Q$73*GREET1_Import_Export!$S368</f>
        <v>292.01843485077541</v>
      </c>
      <c r="R98" s="1"/>
      <c r="S98" s="235">
        <f>SUM('GREET2_Factors_T&amp;D'!Z77:AA77)</f>
        <v>0.9464644405179572</v>
      </c>
      <c r="T98" s="1076" cm="1">
        <f t="array" ref="T98">T$67*(T$57*I$34*GREET1_Import_Export!$K77+GREET1_Import_Export!$B206*GREET1_Import_Export!$F$179+GREET1_Import_Export!$F206)+T$68*(T$57*(I$36*GREET1_Import_Export!$Q77+I$37*GREET1_Import_Export!$O77+I$38*GREET1_Import_Export!$M77)+GREET1_Import_Export!$B206*GREET1_Import_Export!$G$179+GREET1_Import_Export!$G206)+T$69*(T$57*I$39*GREET1_Import_Export!$T77+GREET1_Import_Export!$B206*GREET1_Import_Export!$C$179+GREET1_Import_Export!$C206)+T$70*(T$57*I$40*GREET1_Import_Export!$W77+GREET1_Import_Export!$E242*GREET1_Import_Export!$F$215+GREET1_Import_Export!$F242)+T$71*(T$57*(I$41*GREET1_Import_Export!$B77+I$42*GREET1_Import_Export!$C77+I$43*GREET1_Import_Export!$G77+(MMULT('GREET2_Factors_T&amp;D'!$F20:$H20+0,I$45:I$47+0)))+GREET1_Import_Export!$B242)+T$72*(T$57*(I$48*GREET1_Import_Export!$AA77+I$49*GREET1_Import_Export!$AB77)+GREET1_Import_Export!$C295)+T$73*GREET1_Import_Export!$D368</f>
        <v>3.761314439975795</v>
      </c>
      <c r="U98" s="1288"/>
      <c r="V98" s="1463">
        <f>SUM('GREET2_Factors_T&amp;D'!AB77:AG77)</f>
        <v>0.69425907075082849</v>
      </c>
      <c r="W98" s="753" cm="1">
        <f t="array" ref="W98">W$67*(W$57*J$34*GREET1_Import_Export!$K77+GREET1_Import_Export!$B206*GREET1_Import_Export!$F$179+GREET1_Import_Export!$F206)+W$68*(W$57*(J$36*GREET1_Import_Export!$Q77+J$37*GREET1_Import_Export!$O77+J$38*GREET1_Import_Export!$M77)+GREET1_Import_Export!$B206*GREET1_Import_Export!$G$179+GREET1_Import_Export!$G206)+W$69*(W$57*J$39*GREET1_Import_Export!$T77+GREET1_Import_Export!$B206*GREET1_Import_Export!$C$179+GREET1_Import_Export!$C206)+W$70*(W$57*J$40*GREET1_Import_Export!$W77+GREET1_Import_Export!$E242*GREET1_Import_Export!$F$215+GREET1_Import_Export!$F242)+W$71*(W$57*(J$41*GREET1_Import_Export!$B77+J$42*GREET1_Import_Export!$C77+J$43*GREET1_Import_Export!$G77+(MMULT('GREET2_Factors_T&amp;D'!$F20:$H20+0,J$45:J$47+0)))+GREET1_Import_Export!$B242)+W$72*(W$57*(J$48*GREET1_Import_Export!$AA77+J$49*GREET1_Import_Export!$AB77)+GREET1_Import_Export!$C295)+W$73*GREET1_Import_Export!$L368</f>
        <v>403.12316794461276</v>
      </c>
      <c r="X98" s="1288"/>
      <c r="Y98" s="1082">
        <f>SUM('GREET2_Factors_T&amp;D'!AH77:AI77)</f>
        <v>8.6791397071758244E-2</v>
      </c>
      <c r="Z98" s="1085" cm="1">
        <f t="array" ref="Z98">Z$67*(Z$57*K$34*GREET1_Import_Export!$K77+GREET1_Import_Export!$B206*GREET1_Import_Export!$F$179+GREET1_Import_Export!$F206)+Z$68*(Z$57*(K$36*GREET1_Import_Export!$Q77+K$37*GREET1_Import_Export!$O77+K$38*GREET1_Import_Export!$M77)+GREET1_Import_Export!$B206*GREET1_Import_Export!$G$179+GREET1_Import_Export!$G206)+Z$69*(Z$57*K$39*GREET1_Import_Export!$T77+GREET1_Import_Export!$B206*GREET1_Import_Export!$C$179+GREET1_Import_Export!$C206)+Z$70*(Z$57*K$40*GREET1_Import_Export!$W77+GREET1_Import_Export!$E242*GREET1_Import_Export!$F$215+GREET1_Import_Export!$F242)+Z$71*(Z$57*(K$41*GREET1_Import_Export!$B77+K$42*GREET1_Import_Export!$C77+K$43*GREET1_Import_Export!$G77+(MMULT('GREET2_Factors_T&amp;D'!$F20:$H20+0,K$45:K$47+0)))+GREET1_Import_Export!$B242)+Z$72*(Z$57*(K$48*GREET1_Import_Export!$AA77+K$49*GREET1_Import_Export!$AB77)+GREET1_Import_Export!$C295)+Z$73*GREET1_Import_Export!$L368</f>
        <v>1359.9187622223528</v>
      </c>
      <c r="AA98" s="1288"/>
      <c r="AB98" s="1082">
        <f>SUM('GREET2_Factors_T&amp;D'!AJ77:AK77)</f>
        <v>8.6791397071758244E-2</v>
      </c>
      <c r="AC98" s="233">
        <f t="array" ref="AC98">Li_Chemicals!AC$67*(Li_Chemicals!AC$57*Li_Chemicals!G$34*GREET1_Import_Export!$K77+GREET1_Import_Export!$B206*GREET1_Import_Export!$F$179+GREET1_Import_Export!$F206)+Li_Chemicals!AC$68*(Li_Chemicals!AC$57*(Li_Chemicals!G$36*GREET1_Import_Export!$Q77+Li_Chemicals!G$37*GREET1_Import_Export!$O77+Li_Chemicals!G$38*GREET1_Import_Export!$M77)+GREET1_Import_Export!$B206*GREET1_Import_Export!$G$179+GREET1_Import_Export!$G206)+Li_Chemicals!AC$69*(Li_Chemicals!AC$57*Li_Chemicals!G$39*GREET1_Import_Export!$T77+GREET1_Import_Export!$B206*GREET1_Import_Export!$C$179+GREET1_Import_Export!$C206)+Li_Chemicals!AC$70*(Li_Chemicals!AC$57*Li_Chemicals!G$40*GREET1_Import_Export!$W77+GREET1_Import_Export!$E242*GREET1_Import_Export!$F$215+GREET1_Import_Export!$F242)+Li_Chemicals!AC$71*(Li_Chemicals!AC$57*(Li_Chemicals!G$41*GREET1_Import_Export!$B77+Li_Chemicals!G$42*GREET1_Import_Export!$C77+Li_Chemicals!G$43*GREET1_Import_Export!$G77+(MMULT('GREET2_Factors_T&amp;D'!$F20:$H20+0,Li_Chemicals!G$45:G$47+0)))+GREET1_Import_Export!$B242)+Li_Chemicals!AC$72*(Li_Chemicals!AC$57*(Li_Chemicals!G$48*GREET1_Import_Export!$AA77+Li_Chemicals!G$49*GREET1_Import_Export!$AB77)+GREET1_Import_Export!$C295)+Li_Chemicals!AC$73*SUM(GREET1_Import_Export!$D320:$E320)</f>
        <v>33.331415019511475</v>
      </c>
      <c r="AD98" s="51"/>
      <c r="AO98" s="112"/>
      <c r="AQ98" s="1318"/>
      <c r="AR98" s="112"/>
      <c r="AT98" s="1318"/>
    </row>
    <row r="99" spans="1:46">
      <c r="A99" s="100" t="s">
        <v>827</v>
      </c>
      <c r="B99" s="112">
        <f>Li_Chemicals!B$67*(Li_Chemicals!B$57*Li_Chemicals!B$34*GREET1_Import_Export!$K78+GREET1_Import_Export!$J207*GREET1_Import_Export!$L$179+GREET1_Import_Export!$L207)+Li_Chemicals!B$68*(Li_Chemicals!B$57*(Li_Chemicals!B$36*GREET1_Import_Export!$Q78+Li_Chemicals!B$37*GREET1_Import_Export!$O78+Li_Chemicals!B$38*GREET1_Import_Export!$M78)+GREET1_Import_Export!$J207*GREET1_Import_Export!$M$179+GREET1_Import_Export!$M207)+Li_Chemicals!B$69*(Li_Chemicals!B$57*Li_Chemicals!B$39*GREET1_Import_Export!$T78+GREET1_Import_Export!$J207*GREET1_Import_Export!$K$179+GREET1_Import_Export!$K207)+Li_Chemicals!B$70*(Li_Chemicals!B$57*Li_Chemicals!B$40*GREET1_Import_Export!$W78+GREET1_Import_Export!$J243*GREET1_Import_Export!$K$215+GREET1_Import_Export!$K243)+Li_Chemicals!B$71*(Li_Chemicals!B$57*(Li_Chemicals!B$41*GREET1_Import_Export!$B78+Li_Chemicals!B$42*GREET1_Import_Export!$C78+Li_Chemicals!B$43*GREET1_Import_Export!$G78+Li_Chemicals!B$45*'GREET2_Factors_T&amp;D'!$F21+Li_Chemicals!B$46*'GREET2_Factors_T&amp;D'!$G21)+GREET1_Import_Export!$G243)+Li_Chemicals!B$72*(Li_Chemicals!B$57*(Li_Chemicals!B$48*GREET1_Import_Export!$AA78+Li_Chemicals!B$49*GREET1_Import_Export!$AB78)+GREET1_Import_Export!$E296)+Li_Chemicals!B$73*GREET1_Import_Export!$B369</f>
        <v>2.7386911737982293E-2</v>
      </c>
      <c r="D99" s="1318">
        <f>SUM('GREET2_Factors_T&amp;D'!H78:I78)</f>
        <v>7.4824871811437987E-2</v>
      </c>
      <c r="E99" s="233">
        <f t="array" ref="E99">Li_Chemicals!E$67*(Li_Chemicals!E$57*Li_Chemicals!E$34*GREET1_Import_Export!$K78+GREET1_Import_Export!$B207*GREET1_Import_Export!$F$179+GREET1_Import_Export!$F207)+Li_Chemicals!E$68*(Li_Chemicals!E$57*(Li_Chemicals!E$36*GREET1_Import_Export!$Q78+Li_Chemicals!E$37*GREET1_Import_Export!$O78+Li_Chemicals!E$38*GREET1_Import_Export!$M78)+GREET1_Import_Export!$B207*GREET1_Import_Export!$G$179+GREET1_Import_Export!$G207)+Li_Chemicals!E$69*(Li_Chemicals!E$57*Li_Chemicals!E$39*GREET1_Import_Export!$T78+GREET1_Import_Export!$B207*GREET1_Import_Export!$C$179+GREET1_Import_Export!$C207)+Li_Chemicals!E$70*(Li_Chemicals!E$57*Li_Chemicals!E$40*GREET1_Import_Export!$W78+GREET1_Import_Export!$E243*GREET1_Import_Export!$F$215+GREET1_Import_Export!$F243)+Li_Chemicals!E$71*(Li_Chemicals!E$57*(Li_Chemicals!E$41*GREET1_Import_Export!$B78+Li_Chemicals!E$42*GREET1_Import_Export!$C78+Li_Chemicals!E$43*GREET1_Import_Export!$G78+(MMULT('GREET2_Factors_T&amp;D'!$F21:$H21+0,Li_Chemicals!E$45:E$47+0)))+GREET1_Import_Export!$B243)+Li_Chemicals!E$72*(Li_Chemicals!E$57*(Li_Chemicals!E$48*GREET1_Import_Export!$AA78+Li_Chemicals!E$49*GREET1_Import_Export!$AB78)+GREET1_Import_Export!$C296)+Li_Chemicals!E$73*SUM(GREET1_Import_Export!$D321:$E321)</f>
        <v>2.2423166973971755E-2</v>
      </c>
      <c r="G99" s="235">
        <f>'GREET2_Factors_T&amp;D'!B78</f>
        <v>1.3007285568992591E-2</v>
      </c>
      <c r="H99" s="112">
        <f>Li_Chemicals!H$67*(Li_Chemicals!H$57*Li_Chemicals!C$34*GREET1_Import_Export!$K78+GREET1_Import_Export!$J207*GREET1_Import_Export!$L$179+GREET1_Import_Export!$L207)+Li_Chemicals!H$68*(Li_Chemicals!H$57*(Li_Chemicals!C$36*GREET1_Import_Export!$Q78+Li_Chemicals!C$37*GREET1_Import_Export!$O78+Li_Chemicals!C$38*GREET1_Import_Export!$M78)+GREET1_Import_Export!$J207*GREET1_Import_Export!$M$179+GREET1_Import_Export!$M207)+Li_Chemicals!H$69*(Li_Chemicals!H$57*Li_Chemicals!C$39*GREET1_Import_Export!$T78+GREET1_Import_Export!$J207*GREET1_Import_Export!$K$179+GREET1_Import_Export!$K207)+Li_Chemicals!H$70*(Li_Chemicals!H$57*Li_Chemicals!C$40*GREET1_Import_Export!$W78+GREET1_Import_Export!$J243*GREET1_Import_Export!$K$215+GREET1_Import_Export!$K243)+Li_Chemicals!H$71*(Li_Chemicals!H$57*(Li_Chemicals!C$41*GREET1_Import_Export!$T78+Li_Chemicals!C$42*GREET1_Import_Export!$C78+Li_Chemicals!C$43*GREET1_Import_Export!$G78+Li_Chemicals!C$45*'GREET2_Factors_T&amp;D'!$F21+Li_Chemicals!C$46*'GREET2_Factors_T&amp;D'!$G21)+GREET1_Import_Export!$G243)+Li_Chemicals!H$72*(Li_Chemicals!H$57*(Li_Chemicals!C$48*GREET1_Import_Export!$AA78+Li_Chemicals!C$49*GREET1_Import_Export!$AB78)+GREET1_Import_Export!$E296)+Li_Chemicals!H$73*GREET1_Import_Export!$S369</f>
        <v>7.3930868258025945E-2</v>
      </c>
      <c r="J99" s="235">
        <f>'GREET2_Factors_T&amp;D'!G78</f>
        <v>9.3652456096746661E-3</v>
      </c>
      <c r="K99" s="112">
        <f>Li_Chemicals!K$67*(Li_Chemicals!K$57*Li_Chemicals!D$34*GREET1_Import_Export!$K78+GREET1_Import_Export!$J207*GREET1_Import_Export!$L$179+GREET1_Import_Export!$L207)+Li_Chemicals!K$68*(Li_Chemicals!K$57*(Li_Chemicals!D$36*GREET1_Import_Export!$Q78+Li_Chemicals!D$37*GREET1_Import_Export!$O78+Li_Chemicals!D$38*GREET1_Import_Export!$M78)+GREET1_Import_Export!$J207*GREET1_Import_Export!$M$179+GREET1_Import_Export!$M207)+Li_Chemicals!K$69*(Li_Chemicals!K$57*Li_Chemicals!D$39*GREET1_Import_Export!$T78+GREET1_Import_Export!$J207*GREET1_Import_Export!$K$179+GREET1_Import_Export!$K207)+Li_Chemicals!K$70*(Li_Chemicals!K$57*Li_Chemicals!D$40*GREET1_Import_Export!$W78+GREET1_Import_Export!$J243*GREET1_Import_Export!$K$215+GREET1_Import_Export!$K243)+Li_Chemicals!K$71*(Li_Chemicals!K$57*(Li_Chemicals!D$41*GREET1_Import_Export!$T78+Li_Chemicals!D$42*GREET1_Import_Export!$C78+Li_Chemicals!D$43*GREET1_Import_Export!$G78+Li_Chemicals!D$45*'GREET2_Factors_T&amp;D'!$F21+Li_Chemicals!D$46*'GREET2_Factors_T&amp;D'!$G21)+GREET1_Import_Export!$G243)+Li_Chemicals!K$72*(Li_Chemicals!K$57*(Li_Chemicals!D$48*GREET1_Import_Export!$AA78+Li_Chemicals!D$49*GREET1_Import_Export!$AB78)+GREET1_Import_Export!$E296)+Li_Chemicals!K$73*GREET1_Import_Export!$S369</f>
        <v>0.20849950475932838</v>
      </c>
      <c r="M99" s="235">
        <f>SUM('GREET2_Factors_T&amp;D'!J78:K78)</f>
        <v>3.9629891977740403E-2</v>
      </c>
      <c r="N99" s="233">
        <f t="array" ref="N99">Li_Chemicals!N$67*(Li_Chemicals!N$57*Li_Chemicals!F$34*GREET1_Import_Export!$K78+GREET1_Import_Export!$B207*GREET1_Import_Export!$F$179+GREET1_Import_Export!$F207)+Li_Chemicals!N$68*(Li_Chemicals!N$57*(Li_Chemicals!F$36*GREET1_Import_Export!$Q78+Li_Chemicals!F$37*GREET1_Import_Export!$O78+Li_Chemicals!F$38*GREET1_Import_Export!$M78)+GREET1_Import_Export!$B207*GREET1_Import_Export!$G$179+GREET1_Import_Export!$G207)+Li_Chemicals!N$69*(Li_Chemicals!N$57*Li_Chemicals!F$39*GREET1_Import_Export!$T78+GREET1_Import_Export!$B207*GREET1_Import_Export!$C$179+GREET1_Import_Export!$C207)+Li_Chemicals!N$70*(Li_Chemicals!N$57*Li_Chemicals!F$40*GREET1_Import_Export!$W78+GREET1_Import_Export!$E243*GREET1_Import_Export!$F$215+GREET1_Import_Export!$F243)+Li_Chemicals!N$71*(Li_Chemicals!N$57*(Li_Chemicals!F$41*GREET1_Import_Export!$B78+Li_Chemicals!F$42*GREET1_Import_Export!$C78+Li_Chemicals!F$43*GREET1_Import_Export!$G78+(MMULT('GREET2_Factors_T&amp;D'!$F21:$H21+0,Li_Chemicals!F$45:F$47+0)))+GREET1_Import_Export!$B243)+Li_Chemicals!N$72*(Li_Chemicals!N$57*(Li_Chemicals!F$48*GREET1_Import_Export!$AA78+Li_Chemicals!F$49*GREET1_Import_Export!$AB78)+GREET1_Import_Export!$C296)+Li_Chemicals!N$73*SUM(GREET1_Import_Export!$D321:$E321)</f>
        <v>1.5176057650605579</v>
      </c>
      <c r="P99" s="228">
        <f>SUM('GREET2_Factors_T&amp;D'!C78:D78)</f>
        <v>5.4768083114841243E-2</v>
      </c>
      <c r="Q99" s="233">
        <f>Q$67*(Q$57*H$34*GREET1_Import_Export!$K78+GREET1_Import_Export!$J207*GREET1_Import_Export!$L$179+GREET1_Import_Export!$L207)+Q$68*(Q$57*(H$36*GREET1_Import_Export!$Q78+H$37*GREET1_Import_Export!$O78+H$38*GREET1_Import_Export!$M78)+GREET1_Import_Export!$J207*GREET1_Import_Export!$M$179+GREET1_Import_Export!$M207)+Q$69*(Q$57*H$39*GREET1_Import_Export!$T78+GREET1_Import_Export!$J207*GREET1_Import_Export!$K$179+GREET1_Import_Export!$K207)+Q$70*(Q$57*H$40*GREET1_Import_Export!$W78+GREET1_Import_Export!$J243*GREET1_Import_Export!$K$215+GREET1_Import_Export!$K243)+Q$71*(Q$57*(H$41*GREET1_Import_Export!$B78+H$42*GREET1_Import_Export!$C78+H$43*GREET1_Import_Export!$G78+H$45*'GREET2_Factors_T&amp;D'!$F21+H$46*'GREET2_Factors_T&amp;D'!$G21)+GREET1_Import_Export!$G243)+Q$72*(Q$57*(H$48*GREET1_Import_Export!$AA78+H$49*GREET1_Import_Export!$AB78)+GREET1_Import_Export!$E296)+Q$73*GREET1_Import_Export!$S369</f>
        <v>1.3793228971886295</v>
      </c>
      <c r="R99" s="1"/>
      <c r="S99" s="235">
        <f>SUM('GREET2_Factors_T&amp;D'!Z78:AA78)</f>
        <v>4.0129602405640834E-2</v>
      </c>
      <c r="T99" s="1076" cm="1">
        <f t="array" ref="T99">T$67*(T$57*I$34*GREET1_Import_Export!$K78+GREET1_Import_Export!$B207*GREET1_Import_Export!$F$179+GREET1_Import_Export!$F207)+T$68*(T$57*(I$36*GREET1_Import_Export!$Q78+I$37*GREET1_Import_Export!$O78+I$38*GREET1_Import_Export!$M78)+GREET1_Import_Export!$B207*GREET1_Import_Export!$G$179+GREET1_Import_Export!$G207)+T$69*(T$57*I$39*GREET1_Import_Export!$T78+GREET1_Import_Export!$B207*GREET1_Import_Export!$C$179+GREET1_Import_Export!$C207)+T$70*(T$57*I$40*GREET1_Import_Export!$W78+GREET1_Import_Export!$E243*GREET1_Import_Export!$F$215+GREET1_Import_Export!$F243)+T$71*(T$57*(I$41*GREET1_Import_Export!$B78+I$42*GREET1_Import_Export!$C78+I$43*GREET1_Import_Export!$G78+(MMULT('GREET2_Factors_T&amp;D'!$F21:$H21+0,I$45:I$47+0)))+GREET1_Import_Export!$B243)+T$72*(T$57*(I$48*GREET1_Import_Export!$AA78+I$49*GREET1_Import_Export!$AB78)+GREET1_Import_Export!$C296)+T$73*GREET1_Import_Export!$D369</f>
        <v>0.21138827991395134</v>
      </c>
      <c r="U99" s="1288"/>
      <c r="V99" s="1463">
        <f>SUM('GREET2_Factors_T&amp;D'!AB78:AG78)</f>
        <v>3.3167597691205225E-2</v>
      </c>
      <c r="W99" s="753" cm="1">
        <f t="array" ref="W99">W$67*(W$57*J$34*GREET1_Import_Export!$K78+GREET1_Import_Export!$B207*GREET1_Import_Export!$F$179+GREET1_Import_Export!$F207)+W$68*(W$57*(J$36*GREET1_Import_Export!$Q78+J$37*GREET1_Import_Export!$O78+J$38*GREET1_Import_Export!$M78)+GREET1_Import_Export!$B207*GREET1_Import_Export!$G$179+GREET1_Import_Export!$G207)+W$69*(W$57*J$39*GREET1_Import_Export!$T78+GREET1_Import_Export!$B207*GREET1_Import_Export!$C$179+GREET1_Import_Export!$C207)+W$70*(W$57*J$40*GREET1_Import_Export!$W78+GREET1_Import_Export!$E243*GREET1_Import_Export!$F$215+GREET1_Import_Export!$F243)+W$71*(W$57*(J$41*GREET1_Import_Export!$B78+J$42*GREET1_Import_Export!$C78+J$43*GREET1_Import_Export!$G78+(MMULT('GREET2_Factors_T&amp;D'!$F21:$H21+0,J$45:J$47+0)))+GREET1_Import_Export!$B243)+W$72*(W$57*(J$48*GREET1_Import_Export!$AA78+J$49*GREET1_Import_Export!$AB78)+GREET1_Import_Export!$C296)+W$73*GREET1_Import_Export!$L369</f>
        <v>1.4657915748594343</v>
      </c>
      <c r="X99" s="1288"/>
      <c r="Y99" s="1082">
        <f>SUM('GREET2_Factors_T&amp;D'!AH78:AI78)</f>
        <v>4.8777320883722219E-3</v>
      </c>
      <c r="Z99" s="1085" cm="1">
        <f t="array" ref="Z99">Z$67*(Z$57*K$34*GREET1_Import_Export!$K78+GREET1_Import_Export!$B207*GREET1_Import_Export!$F$179+GREET1_Import_Export!$F207)+Z$68*(Z$57*(K$36*GREET1_Import_Export!$Q78+K$37*GREET1_Import_Export!$O78+K$38*GREET1_Import_Export!$M78)+GREET1_Import_Export!$B207*GREET1_Import_Export!$G$179+GREET1_Import_Export!$G207)+Z$69*(Z$57*K$39*GREET1_Import_Export!$T78+GREET1_Import_Export!$B207*GREET1_Import_Export!$C$179+GREET1_Import_Export!$C207)+Z$70*(Z$57*K$40*GREET1_Import_Export!$W78+GREET1_Import_Export!$E243*GREET1_Import_Export!$F$215+GREET1_Import_Export!$F243)+Z$71*(Z$57*(K$41*GREET1_Import_Export!$B78+K$42*GREET1_Import_Export!$C78+K$43*GREET1_Import_Export!$G78+(MMULT('GREET2_Factors_T&amp;D'!$F21:$H21+0,K$45:K$47+0)))+GREET1_Import_Export!$B243)+Z$72*(Z$57*(K$48*GREET1_Import_Export!$AA78+K$49*GREET1_Import_Export!$AB78)+GREET1_Import_Export!$C296)+Z$73*GREET1_Import_Export!$L369</f>
        <v>4.5907547104209998</v>
      </c>
      <c r="AA99" s="1288"/>
      <c r="AB99" s="1082">
        <f>SUM('GREET2_Factors_T&amp;D'!AJ78:AK78)</f>
        <v>4.8777320883722219E-3</v>
      </c>
      <c r="AC99" s="233">
        <f t="array" ref="AC99">Li_Chemicals!AC$67*(Li_Chemicals!AC$57*Li_Chemicals!G$34*GREET1_Import_Export!$K78+GREET1_Import_Export!$B207*GREET1_Import_Export!$F$179+GREET1_Import_Export!$F207)+Li_Chemicals!AC$68*(Li_Chemicals!AC$57*(Li_Chemicals!G$36*GREET1_Import_Export!$Q78+Li_Chemicals!G$37*GREET1_Import_Export!$O78+Li_Chemicals!G$38*GREET1_Import_Export!$M78)+GREET1_Import_Export!$B207*GREET1_Import_Export!$G$179+GREET1_Import_Export!$G207)+Li_Chemicals!AC$69*(Li_Chemicals!AC$57*Li_Chemicals!G$39*GREET1_Import_Export!$T78+GREET1_Import_Export!$B207*GREET1_Import_Export!$C$179+GREET1_Import_Export!$C207)+Li_Chemicals!AC$70*(Li_Chemicals!AC$57*Li_Chemicals!G$40*GREET1_Import_Export!$W78+GREET1_Import_Export!$E243*GREET1_Import_Export!$F$215+GREET1_Import_Export!$F243)+Li_Chemicals!AC$71*(Li_Chemicals!AC$57*(Li_Chemicals!G$41*GREET1_Import_Export!$B78+Li_Chemicals!G$42*GREET1_Import_Export!$C78+Li_Chemicals!G$43*GREET1_Import_Export!$G78+(MMULT('GREET2_Factors_T&amp;D'!$F21:$H21+0,Li_Chemicals!G$45:G$47+0)))+GREET1_Import_Export!$B243)+Li_Chemicals!AC$72*(Li_Chemicals!AC$57*(Li_Chemicals!G$48*GREET1_Import_Export!$AA78+Li_Chemicals!G$49*GREET1_Import_Export!$AB78)+GREET1_Import_Export!$C296)+Li_Chemicals!AC$73*SUM(GREET1_Import_Export!$D321:$E321)</f>
        <v>0.21268260612664164</v>
      </c>
      <c r="AD99" s="51"/>
      <c r="AO99" s="112"/>
      <c r="AQ99" s="1318"/>
      <c r="AR99" s="112"/>
      <c r="AT99" s="1318"/>
    </row>
    <row r="100" spans="1:46">
      <c r="A100" s="484" t="s">
        <v>828</v>
      </c>
      <c r="B100" s="124">
        <f>Li_Chemicals!B$67*(Li_Chemicals!B$57*Li_Chemicals!B$34*GREET1_Import_Export!$K79+GREET1_Import_Export!$J208*GREET1_Import_Export!$L$179+GREET1_Import_Export!$L208)+Li_Chemicals!B$68*(Li_Chemicals!B$57*(Li_Chemicals!B$36*GREET1_Import_Export!$Q79+Li_Chemicals!B$37*GREET1_Import_Export!$O79+Li_Chemicals!B$38*GREET1_Import_Export!$M79)+GREET1_Import_Export!$J208*GREET1_Import_Export!$M$179+GREET1_Import_Export!$M208)+Li_Chemicals!B$69*(Li_Chemicals!B$57*Li_Chemicals!B$39*GREET1_Import_Export!$T79+GREET1_Import_Export!$J208*GREET1_Import_Export!$K$179+GREET1_Import_Export!$K208)+Li_Chemicals!B$70*(Li_Chemicals!B$57*Li_Chemicals!B$40*GREET1_Import_Export!$W79+GREET1_Import_Export!$J244*GREET1_Import_Export!$K$215+GREET1_Import_Export!$K244)+Li_Chemicals!B$71*(Li_Chemicals!B$57*(Li_Chemicals!B$41*GREET1_Import_Export!$B79+Li_Chemicals!B$42*GREET1_Import_Export!$C79+Li_Chemicals!B$43*GREET1_Import_Export!$G79+Li_Chemicals!B$45*'GREET2_Factors_T&amp;D'!$F22+Li_Chemicals!B$46*'GREET2_Factors_T&amp;D'!$G22)+GREET1_Import_Export!$G244)+Li_Chemicals!B$72*(Li_Chemicals!B$57*(Li_Chemicals!B$48*GREET1_Import_Export!$AA79+Li_Chemicals!B$49*GREET1_Import_Export!$AB79)+GREET1_Import_Export!$E297)+Li_Chemicals!B$73*GREET1_Import_Export!$B370</f>
        <v>6.2156354143816657E-2</v>
      </c>
      <c r="C100" s="125"/>
      <c r="D100" s="231">
        <f>SUM('GREET2_Factors_T&amp;D'!H79:I79)</f>
        <v>0.10784777532023312</v>
      </c>
      <c r="E100" s="236">
        <f t="array" ref="E100">Li_Chemicals!E$67*(Li_Chemicals!E$57*Li_Chemicals!E$34*GREET1_Import_Export!$K79+GREET1_Import_Export!$B208*GREET1_Import_Export!$F$179+GREET1_Import_Export!$F208)+Li_Chemicals!E$68*(Li_Chemicals!E$57*(Li_Chemicals!E$36*GREET1_Import_Export!$Q79+Li_Chemicals!E$37*GREET1_Import_Export!$O79+Li_Chemicals!E$38*GREET1_Import_Export!$M79)+GREET1_Import_Export!$B208*GREET1_Import_Export!$G$179+GREET1_Import_Export!$G208)+Li_Chemicals!E$69*(Li_Chemicals!E$57*Li_Chemicals!E$39*GREET1_Import_Export!$T79+GREET1_Import_Export!$B208*GREET1_Import_Export!$C$179+GREET1_Import_Export!$C208)+Li_Chemicals!E$70*(Li_Chemicals!E$57*Li_Chemicals!E$40*GREET1_Import_Export!$W79+GREET1_Import_Export!$E244*GREET1_Import_Export!$F$215+GREET1_Import_Export!$F244)+Li_Chemicals!E$71*(Li_Chemicals!E$57*(Li_Chemicals!E$41*GREET1_Import_Export!$B79+Li_Chemicals!E$42*GREET1_Import_Export!$C79+Li_Chemicals!E$43*GREET1_Import_Export!$G79+(MMULT('GREET2_Factors_T&amp;D'!$F22:$H22+0,Li_Chemicals!E$45:E$47+0)))+GREET1_Import_Export!$B244)+Li_Chemicals!E$72*(Li_Chemicals!E$57*(Li_Chemicals!E$48*GREET1_Import_Export!$AA79+Li_Chemicals!E$49*GREET1_Import_Export!$AB79)+GREET1_Import_Export!$C297)+Li_Chemicals!E$73*SUM(GREET1_Import_Export!$D322:$E322)</f>
        <v>5.1278507393566736E-2</v>
      </c>
      <c r="F100" s="125"/>
      <c r="G100" s="237">
        <f>'GREET2_Factors_T&amp;D'!B79</f>
        <v>1.8411039939317347E-2</v>
      </c>
      <c r="H100" s="124">
        <f>Li_Chemicals!H$67*(Li_Chemicals!H$57*Li_Chemicals!C$34*GREET1_Import_Export!$K79+GREET1_Import_Export!$J208*GREET1_Import_Export!$L$179+GREET1_Import_Export!$L208)+Li_Chemicals!H$68*(Li_Chemicals!H$57*(Li_Chemicals!C$36*GREET1_Import_Export!$Q79+Li_Chemicals!C$37*GREET1_Import_Export!$O79+Li_Chemicals!C$38*GREET1_Import_Export!$M79)+GREET1_Import_Export!$J208*GREET1_Import_Export!$M$179+GREET1_Import_Export!$M208)+Li_Chemicals!H$69*(Li_Chemicals!H$57*Li_Chemicals!C$39*GREET1_Import_Export!$T79+GREET1_Import_Export!$J208*GREET1_Import_Export!$K$179+GREET1_Import_Export!$K208)+Li_Chemicals!H$70*(Li_Chemicals!H$57*Li_Chemicals!C$40*GREET1_Import_Export!$W79+GREET1_Import_Export!$J244*GREET1_Import_Export!$K$215+GREET1_Import_Export!$K244)+Li_Chemicals!H$71*(Li_Chemicals!H$57*(Li_Chemicals!C$41*GREET1_Import_Export!$T79+Li_Chemicals!C$42*GREET1_Import_Export!$C79+Li_Chemicals!C$43*GREET1_Import_Export!$G79+Li_Chemicals!C$45*'GREET2_Factors_T&amp;D'!$F22+Li_Chemicals!C$46*'GREET2_Factors_T&amp;D'!$G22)+GREET1_Import_Export!$G244)+Li_Chemicals!H$72*(Li_Chemicals!H$57*(Li_Chemicals!C$48*GREET1_Import_Export!$AA79+Li_Chemicals!C$49*GREET1_Import_Export!$AB79)+GREET1_Import_Export!$E297)+Li_Chemicals!H$73*GREET1_Import_Export!$S370</f>
        <v>0.19706004730282337</v>
      </c>
      <c r="I100" s="125"/>
      <c r="J100" s="237">
        <f>'GREET2_Factors_T&amp;D'!G79</f>
        <v>1.3255948756308488E-2</v>
      </c>
      <c r="K100" s="124">
        <f>Li_Chemicals!K$67*(Li_Chemicals!K$57*Li_Chemicals!D$34*GREET1_Import_Export!$K79+GREET1_Import_Export!$J208*GREET1_Import_Export!$L$179+GREET1_Import_Export!$L208)+Li_Chemicals!K$68*(Li_Chemicals!K$57*(Li_Chemicals!D$36*GREET1_Import_Export!$Q79+Li_Chemicals!D$37*GREET1_Import_Export!$O79+Li_Chemicals!D$38*GREET1_Import_Export!$M79)+GREET1_Import_Export!$J208*GREET1_Import_Export!$M$179+GREET1_Import_Export!$M208)+Li_Chemicals!K$69*(Li_Chemicals!K$57*Li_Chemicals!D$39*GREET1_Import_Export!$T79+GREET1_Import_Export!$J208*GREET1_Import_Export!$K$179+GREET1_Import_Export!$K208)+Li_Chemicals!K$70*(Li_Chemicals!K$57*Li_Chemicals!D$40*GREET1_Import_Export!$W79+GREET1_Import_Export!$J244*GREET1_Import_Export!$K$215+GREET1_Import_Export!$K244)+Li_Chemicals!K$71*(Li_Chemicals!K$57*(Li_Chemicals!D$41*GREET1_Import_Export!$T79+Li_Chemicals!D$42*GREET1_Import_Export!$C79+Li_Chemicals!D$43*GREET1_Import_Export!$G79+Li_Chemicals!D$45*'GREET2_Factors_T&amp;D'!$F22+Li_Chemicals!D$46*'GREET2_Factors_T&amp;D'!$G22)+GREET1_Import_Export!$G244)+Li_Chemicals!K$72*(Li_Chemicals!K$57*(Li_Chemicals!D$48*GREET1_Import_Export!$AA79+Li_Chemicals!D$49*GREET1_Import_Export!$AB79)+GREET1_Import_Export!$E297)+Li_Chemicals!K$73*GREET1_Import_Export!$S370</f>
        <v>0.59115030545227576</v>
      </c>
      <c r="L100" s="125"/>
      <c r="M100" s="237">
        <f>SUM('GREET2_Factors_T&amp;D'!J79:K79)</f>
        <v>5.9861533932328528E-2</v>
      </c>
      <c r="N100" s="236">
        <f t="array" ref="N100">Li_Chemicals!N$67*(Li_Chemicals!N$57*Li_Chemicals!F$34*GREET1_Import_Export!$K79+GREET1_Import_Export!$B208*GREET1_Import_Export!$F$179+GREET1_Import_Export!$F208)+Li_Chemicals!N$68*(Li_Chemicals!N$57*(Li_Chemicals!F$36*GREET1_Import_Export!$Q79+Li_Chemicals!F$37*GREET1_Import_Export!$O79+Li_Chemicals!F$38*GREET1_Import_Export!$M79)+GREET1_Import_Export!$B208*GREET1_Import_Export!$G$179+GREET1_Import_Export!$G208)+Li_Chemicals!N$69*(Li_Chemicals!N$57*Li_Chemicals!F$39*GREET1_Import_Export!$T79+GREET1_Import_Export!$B208*GREET1_Import_Export!$C$179+GREET1_Import_Export!$C208)+Li_Chemicals!N$70*(Li_Chemicals!N$57*Li_Chemicals!F$40*GREET1_Import_Export!$W79+GREET1_Import_Export!$E244*GREET1_Import_Export!$F$215+GREET1_Import_Export!$F244)+Li_Chemicals!N$71*(Li_Chemicals!N$57*(Li_Chemicals!F$41*GREET1_Import_Export!$B79+Li_Chemicals!F$42*GREET1_Import_Export!$C79+Li_Chemicals!F$43*GREET1_Import_Export!$G79+(MMULT('GREET2_Factors_T&amp;D'!$F22:$H22+0,Li_Chemicals!F$45:F$47+0)))+GREET1_Import_Export!$B244)+Li_Chemicals!N$72*(Li_Chemicals!N$57*(Li_Chemicals!F$48*GREET1_Import_Export!$AA79+Li_Chemicals!F$49*GREET1_Import_Export!$AB79)+GREET1_Import_Export!$C297)+Li_Chemicals!N$73*SUM(GREET1_Import_Export!$D322:$E322)</f>
        <v>2.2777495626639435</v>
      </c>
      <c r="O100" s="125"/>
      <c r="P100" s="231">
        <f>SUM('GREET2_Factors_T&amp;D'!C79:D79)</f>
        <v>7.7520967789845283E-2</v>
      </c>
      <c r="Q100" s="236">
        <f>Q$67*(Q$57*H$34*GREET1_Import_Export!$K79+GREET1_Import_Export!$J208*GREET1_Import_Export!$L$179+GREET1_Import_Export!$L208)+Q$68*(Q$57*(H$36*GREET1_Import_Export!$Q79+H$37*GREET1_Import_Export!$O79+H$38*GREET1_Import_Export!$M79)+GREET1_Import_Export!$J208*GREET1_Import_Export!$M$179+GREET1_Import_Export!$M208)+Q$69*(Q$57*H$39*GREET1_Import_Export!$T79+GREET1_Import_Export!$J208*GREET1_Import_Export!$K$179+GREET1_Import_Export!$K208)+Q$70*(Q$57*H$40*GREET1_Import_Export!$W79+GREET1_Import_Export!$J244*GREET1_Import_Export!$K$215+GREET1_Import_Export!$K244)+Q$71*(Q$57*(H$41*GREET1_Import_Export!$B79+H$42*GREET1_Import_Export!$C79+H$43*GREET1_Import_Export!$G79+H$45*'GREET2_Factors_T&amp;D'!$F22+H$46*'GREET2_Factors_T&amp;D'!$G22)+GREET1_Import_Export!$G244)+Q$72*(Q$57*(H$48*GREET1_Import_Export!$AA79+H$49*GREET1_Import_Export!$AB79)+GREET1_Import_Export!$E297)+Q$73*GREET1_Import_Export!$S370</f>
        <v>3.6913422172858414</v>
      </c>
      <c r="R100" s="125"/>
      <c r="S100" s="237">
        <f>SUM('GREET2_Factors_T&amp;D'!Z79:AA79)</f>
        <v>6.0618386456336139E-2</v>
      </c>
      <c r="T100" s="1097" cm="1">
        <f t="array" ref="T100">T$67*(T$57*I$34*GREET1_Import_Export!$K79+GREET1_Import_Export!$B208*GREET1_Import_Export!$F$179+GREET1_Import_Export!$F208)+T$68*(T$57*(I$36*GREET1_Import_Export!$Q79+I$37*GREET1_Import_Export!$O79+I$38*GREET1_Import_Export!$M79)+GREET1_Import_Export!$B208*GREET1_Import_Export!$G$179+GREET1_Import_Export!$G208)+T$69*(T$57*I$39*GREET1_Import_Export!$T79+GREET1_Import_Export!$B208*GREET1_Import_Export!$C$179+GREET1_Import_Export!$C208)+T$70*(T$57*I$40*GREET1_Import_Export!$W79+GREET1_Import_Export!$E244*GREET1_Import_Export!$F$215+GREET1_Import_Export!$F244)+T$71*(T$57*(I$41*GREET1_Import_Export!$B79+I$42*GREET1_Import_Export!$C79+I$43*GREET1_Import_Export!$G79+(MMULT('GREET2_Factors_T&amp;D'!$F22:$H22+0,I$45:I$47+0)))+GREET1_Import_Export!$B244)+T$72*(T$57*(I$48*GREET1_Import_Export!$AA79+I$49*GREET1_Import_Export!$AB79)+GREET1_Import_Export!$C297)+T$73*GREET1_Import_Export!$D370</f>
        <v>0.29920755130317139</v>
      </c>
      <c r="U100" s="1070"/>
      <c r="V100" s="1069">
        <f>SUM('GREET2_Factors_T&amp;D'!AB79:AG79)</f>
        <v>4.8656424053328269E-2</v>
      </c>
      <c r="W100" s="748" cm="1">
        <f t="array" ref="W100">W$67*(W$57*J$34*GREET1_Import_Export!$K79+GREET1_Import_Export!$B208*GREET1_Import_Export!$F$179+GREET1_Import_Export!$F208)+W$68*(W$57*(J$36*GREET1_Import_Export!$Q79+J$37*GREET1_Import_Export!$O79+J$38*GREET1_Import_Export!$M79)+GREET1_Import_Export!$B208*GREET1_Import_Export!$G$179+GREET1_Import_Export!$G208)+W$69*(W$57*J$39*GREET1_Import_Export!$T79+GREET1_Import_Export!$B208*GREET1_Import_Export!$C$179+GREET1_Import_Export!$C208)+W$70*(W$57*J$40*GREET1_Import_Export!$W79+GREET1_Import_Export!$E244*GREET1_Import_Export!$F$215+GREET1_Import_Export!$F244)+W$71*(W$57*(J$41*GREET1_Import_Export!$B79+J$42*GREET1_Import_Export!$C79+J$43*GREET1_Import_Export!$G79+(MMULT('GREET2_Factors_T&amp;D'!$F22:$H22+0,J$45:J$47+0)))+GREET1_Import_Export!$B244)+W$72*(W$57*(J$48*GREET1_Import_Export!$AA79+J$49*GREET1_Import_Export!$AB79)+GREET1_Import_Export!$C297)+W$73*GREET1_Import_Export!$L370</f>
        <v>3.3635416897740718</v>
      </c>
      <c r="X100" s="1070"/>
      <c r="Y100" s="1083">
        <f>SUM('GREET2_Factors_T&amp;D'!AH79:AI79)</f>
        <v>6.9041399772440028E-3</v>
      </c>
      <c r="Z100" s="1251" cm="1">
        <f t="array" ref="Z100">Z$67*(Z$57*K$34*GREET1_Import_Export!$K79+GREET1_Import_Export!$B208*GREET1_Import_Export!$F$179+GREET1_Import_Export!$F208)+Z$68*(Z$57*(K$36*GREET1_Import_Export!$Q79+K$37*GREET1_Import_Export!$O79+K$38*GREET1_Import_Export!$M79)+GREET1_Import_Export!$B208*GREET1_Import_Export!$G$179+GREET1_Import_Export!$G208)+Z$69*(Z$57*K$39*GREET1_Import_Export!$T79+GREET1_Import_Export!$B208*GREET1_Import_Export!$C$179+GREET1_Import_Export!$C208)+Z$70*(Z$57*K$40*GREET1_Import_Export!$W79+GREET1_Import_Export!$E244*GREET1_Import_Export!$F$215+GREET1_Import_Export!$F244)+Z$71*(Z$57*(K$41*GREET1_Import_Export!$B79+K$42*GREET1_Import_Export!$C79+K$43*GREET1_Import_Export!$G79+(MMULT('GREET2_Factors_T&amp;D'!$F22:$H22+0,K$45:K$47+0)))+GREET1_Import_Export!$B244)+Z$72*(Z$57*(K$48*GREET1_Import_Export!$AA79+K$49*GREET1_Import_Export!$AB79)+GREET1_Import_Export!$C297)+Z$73*GREET1_Import_Export!$L370</f>
        <v>9.6505137957798315</v>
      </c>
      <c r="AA100" s="1070"/>
      <c r="AB100" s="1083">
        <f>SUM('GREET2_Factors_T&amp;D'!AJ79:AK79)</f>
        <v>6.9041399772440028E-3</v>
      </c>
      <c r="AC100" s="236">
        <f t="array" ref="AC100">Li_Chemicals!AC$67*(Li_Chemicals!AC$57*Li_Chemicals!G$34*GREET1_Import_Export!$K79+GREET1_Import_Export!$B208*GREET1_Import_Export!$F$179+GREET1_Import_Export!$F208)+Li_Chemicals!AC$68*(Li_Chemicals!AC$57*(Li_Chemicals!G$36*GREET1_Import_Export!$Q79+Li_Chemicals!G$37*GREET1_Import_Export!$O79+Li_Chemicals!G$38*GREET1_Import_Export!$M79)+GREET1_Import_Export!$B208*GREET1_Import_Export!$G$179+GREET1_Import_Export!$G208)+Li_Chemicals!AC$69*(Li_Chemicals!AC$57*Li_Chemicals!G$39*GREET1_Import_Export!$T79+GREET1_Import_Export!$B208*GREET1_Import_Export!$C$179+GREET1_Import_Export!$C208)+Li_Chemicals!AC$70*(Li_Chemicals!AC$57*Li_Chemicals!G$40*GREET1_Import_Export!$W79+GREET1_Import_Export!$E244*GREET1_Import_Export!$F$215+GREET1_Import_Export!$F244)+Li_Chemicals!AC$71*(Li_Chemicals!AC$57*(Li_Chemicals!G$41*GREET1_Import_Export!$B79+Li_Chemicals!G$42*GREET1_Import_Export!$C79+Li_Chemicals!G$43*GREET1_Import_Export!$G79+(MMULT('GREET2_Factors_T&amp;D'!$F22:$H22+0,Li_Chemicals!G$45:G$47+0)))+GREET1_Import_Export!$B244)+Li_Chemicals!AC$72*(Li_Chemicals!AC$57*(Li_Chemicals!G$48*GREET1_Import_Export!$AA79+Li_Chemicals!G$49*GREET1_Import_Export!$AB79)+GREET1_Import_Export!$C297)+Li_Chemicals!AC$73*SUM(GREET1_Import_Export!$D322:$E322)</f>
        <v>1.1313284868740718</v>
      </c>
      <c r="AD100" s="85"/>
      <c r="AO100" s="112"/>
      <c r="AQ100" s="1318"/>
      <c r="AR100" s="112"/>
      <c r="AT100" s="1318"/>
    </row>
    <row r="101" spans="1:46">
      <c r="B101" s="112"/>
      <c r="D101" s="1318"/>
      <c r="E101" s="112"/>
      <c r="G101" s="1318"/>
      <c r="H101" s="112"/>
      <c r="J101" s="1318"/>
      <c r="K101" s="112"/>
      <c r="M101" s="1318"/>
      <c r="N101" s="112"/>
      <c r="P101" s="1318"/>
      <c r="Q101" s="112"/>
      <c r="S101" s="112"/>
      <c r="U101" s="112"/>
      <c r="W101" s="112"/>
      <c r="Y101" s="112"/>
      <c r="AA101" s="112"/>
      <c r="AC101" s="112"/>
      <c r="AE101" s="1318"/>
      <c r="AF101" s="112"/>
      <c r="AH101" s="1318"/>
      <c r="AI101" s="112"/>
      <c r="AK101" s="112"/>
      <c r="AM101" s="112"/>
      <c r="AO101" s="112"/>
      <c r="AQ101" s="112"/>
      <c r="AS101" s="112"/>
    </row>
    <row r="102" spans="1:46" ht="15" customHeight="1">
      <c r="A102" s="120" t="s">
        <v>1650</v>
      </c>
    </row>
    <row r="103" spans="1:46" ht="15.75" customHeight="1">
      <c r="A103" s="132"/>
      <c r="B103" s="3007" t="s">
        <v>1651</v>
      </c>
      <c r="C103" s="3005"/>
      <c r="D103" s="3005"/>
      <c r="E103" s="3005"/>
      <c r="F103" s="3005"/>
      <c r="G103" s="3005"/>
      <c r="H103" s="3005"/>
      <c r="I103" s="3005"/>
      <c r="J103" s="3005"/>
      <c r="K103" s="3005"/>
      <c r="L103" s="3005"/>
      <c r="M103" s="3005"/>
      <c r="N103" s="3005"/>
      <c r="O103" s="3005"/>
      <c r="P103" s="3005"/>
      <c r="Q103" s="3005"/>
      <c r="R103" s="3005"/>
      <c r="S103" s="3005"/>
      <c r="T103" s="3005"/>
      <c r="U103" s="3006"/>
      <c r="V103" s="2982" t="s">
        <v>1652</v>
      </c>
      <c r="W103" s="2994"/>
    </row>
    <row r="104" spans="1:46">
      <c r="A104" s="173"/>
      <c r="B104" s="3052" t="s">
        <v>1653</v>
      </c>
      <c r="C104" s="3059"/>
      <c r="D104" s="3059"/>
      <c r="E104" s="3059"/>
      <c r="F104" s="3059"/>
      <c r="G104" s="3059"/>
      <c r="H104" s="3059"/>
      <c r="I104" s="3059"/>
      <c r="J104" s="3059"/>
      <c r="K104" s="3053"/>
      <c r="L104" s="3052" t="s">
        <v>1598</v>
      </c>
      <c r="M104" s="3059"/>
      <c r="N104" s="3053"/>
      <c r="O104" s="2980" t="s">
        <v>1654</v>
      </c>
      <c r="P104" s="3013"/>
      <c r="Q104" s="3013"/>
      <c r="R104" s="3013"/>
      <c r="S104" s="3013"/>
      <c r="T104" s="2981"/>
      <c r="U104" s="2992" t="s">
        <v>1595</v>
      </c>
      <c r="V104" s="3052"/>
      <c r="W104" s="3053"/>
    </row>
    <row r="105" spans="1:46" ht="64.5">
      <c r="A105" s="173"/>
      <c r="B105" s="2535" t="s">
        <v>1655</v>
      </c>
      <c r="C105" s="2537" t="s">
        <v>1656</v>
      </c>
      <c r="D105" s="2537" t="s">
        <v>1657</v>
      </c>
      <c r="E105" s="2537" t="s">
        <v>1658</v>
      </c>
      <c r="F105" s="2537" t="s">
        <v>1659</v>
      </c>
      <c r="G105" s="2537" t="s">
        <v>1660</v>
      </c>
      <c r="H105" s="2537" t="s">
        <v>1661</v>
      </c>
      <c r="I105" s="2537" t="s">
        <v>1662</v>
      </c>
      <c r="J105" s="2537" t="s">
        <v>1600</v>
      </c>
      <c r="K105" s="2537" t="s">
        <v>1663</v>
      </c>
      <c r="L105" s="2535" t="s">
        <v>1601</v>
      </c>
      <c r="M105" s="2537" t="s">
        <v>992</v>
      </c>
      <c r="N105" s="2537" t="s">
        <v>1600</v>
      </c>
      <c r="O105" s="2535" t="s">
        <v>1664</v>
      </c>
      <c r="P105" s="2537" t="s">
        <v>1632</v>
      </c>
      <c r="Q105" s="2537" t="s">
        <v>1631</v>
      </c>
      <c r="R105" s="2537" t="s">
        <v>2288</v>
      </c>
      <c r="S105" s="2537" t="s">
        <v>1600</v>
      </c>
      <c r="T105" s="2536" t="s">
        <v>1663</v>
      </c>
      <c r="U105" s="3053"/>
      <c r="V105" s="1755" t="s">
        <v>1665</v>
      </c>
      <c r="W105" s="2536" t="s">
        <v>1666</v>
      </c>
    </row>
    <row r="106" spans="1:46">
      <c r="A106" s="178" t="s">
        <v>870</v>
      </c>
      <c r="B106" s="135"/>
      <c r="C106" s="1608"/>
      <c r="D106" s="1608"/>
      <c r="E106" s="1608"/>
      <c r="F106" s="1608"/>
      <c r="G106" s="1608"/>
      <c r="H106" s="1608"/>
      <c r="I106" s="1608"/>
      <c r="J106" s="1608"/>
      <c r="K106" s="1608"/>
      <c r="L106" s="80"/>
      <c r="M106" s="131"/>
      <c r="N106" s="131"/>
      <c r="O106" s="160"/>
      <c r="P106" s="8"/>
      <c r="Q106" s="1608"/>
      <c r="R106" s="8"/>
      <c r="S106" s="8"/>
      <c r="T106" s="140"/>
      <c r="U106" s="50"/>
      <c r="V106" s="570"/>
      <c r="W106" s="570"/>
    </row>
    <row r="107" spans="1:46">
      <c r="A107" s="100" t="s">
        <v>816</v>
      </c>
      <c r="B107" s="578">
        <f>SUM(GREET1_Import_Export!B250:C250)*GREET1_Import_Export!$B$38/GREET1_Import_Export!$E$38*907185/1000000000000</f>
        <v>135.69876769996668</v>
      </c>
      <c r="C107" s="1553">
        <f>GREET1_Import_Export!F494</f>
        <v>29.249082687244254</v>
      </c>
      <c r="D107" s="1553">
        <f t="shared" ref="D107:D112" si="16">SUM(B74:D74)</f>
        <v>6.6112622588474181</v>
      </c>
      <c r="E107" s="1553">
        <f t="shared" ref="E107:E111" si="17">SUM(H74:J74)</f>
        <v>1.4972960544712681</v>
      </c>
      <c r="F107" s="1553">
        <f>GREET1_Import_Export!C494+SUM('GREET2_Factors_T&amp;D'!X53:Y53)/1000000</f>
        <v>5.1459605769487125</v>
      </c>
      <c r="G107" s="1553">
        <v>0</v>
      </c>
      <c r="H107" s="1553">
        <f>GREET1_Import_Export!H494</f>
        <v>1.2056463627591429</v>
      </c>
      <c r="I107" s="1553">
        <f>IF(Li_Chemicals!$C$30="Methanol",SUM(GREET1_Import_Export!H216:I216,1000000)*GREET1_Import_Export!$B$29/GREET1_Import_Export!$E$29,SUM(GREET1_Import_Export!B461:C461,1000000)*GREET1_Import_Export!$B$30/GREET1_Import_Export!$E$30)*907185/1000000000000</f>
        <v>62.757032846114157</v>
      </c>
      <c r="J107" s="1553">
        <f>MMULT(C107:I107+0,Li_Chemicals!B$12:B$18+0)+SUM(K74:M74)</f>
        <v>27.367244833111862</v>
      </c>
      <c r="K107" s="478">
        <f t="shared" ref="K107:K112" si="18">$F107*$E$15+J107*$E$22+SUM($Q74:$S74)</f>
        <v>120.52492579675237</v>
      </c>
      <c r="L107" s="234">
        <f t="shared" ref="L107:L112" si="19">SUM(E74:G74)</f>
        <v>5.0786456533048154</v>
      </c>
      <c r="M107" s="1318">
        <f>GREET1_Import_Export!C494</f>
        <v>4.2758164530245066</v>
      </c>
      <c r="N107" s="1318">
        <f>L107*Li_Chemicals!C$13+M107*Li_Chemicals!C$15+SUM(N74:P74)</f>
        <v>66.091074876826738</v>
      </c>
      <c r="O107" s="749">
        <f>(GREET1_Import_Export!$B180*GREET1_Import_Export!$G$179+GREET1_Import_Export!$G180+1000000)*GREET1_Import_Export!$B$32/GREET1_Import_Export!$E$32*907185/1000000000000</f>
        <v>43.514530089005731</v>
      </c>
      <c r="P107" s="1463">
        <v>0</v>
      </c>
      <c r="Q107" s="1463">
        <v>0</v>
      </c>
      <c r="R107" s="1463">
        <f>$F$13*$L107+$F$25*$O107++$F$26*$Q107+SUM($T74:$V74)</f>
        <v>5.6984810095507816</v>
      </c>
      <c r="S107" s="1463">
        <f>$G$12*GREET1_Import_Export!$E494
+$G$13*$L107
+$G$17*GREET1_Import_Export!$G494
+$G$19*$U107
+$G$20*GREET1_Import_Export!$B494
+$G$24*Other_Cathodes!$H152
+$G$27*$R107
+$G$28*$P107
+SUM($W74:$Y74)</f>
        <v>188.32706237051065</v>
      </c>
      <c r="T107" s="817">
        <f>$H$12*GREET1_Import_Export!$E494
+$H$13*$L107
+$H$17*GREET1_Import_Export!$G494
+$H$19*$U107
+$H$20*GREET1_Import_Export!$B494
+$H$24*Other_Cathodes!$H152
+$H$27*$R107
+$H$28*$P107
+SUM($Z74:$AB74)</f>
        <v>283.9564576405545</v>
      </c>
      <c r="U107" s="235">
        <f>B107*Li_Chemicals!$D$11+SUM(AC74:AD74)</f>
        <v>15.030487346981841</v>
      </c>
      <c r="V107" s="914">
        <f>$B$6*J107+$C$6*N107+$D$6*S107</f>
        <v>115.8951444786812</v>
      </c>
      <c r="W107" s="914">
        <f t="shared" ref="W107:W112" si="20">$B$7*K107+$D$7*T107</f>
        <v>251.27015127179408</v>
      </c>
    </row>
    <row r="108" spans="1:46">
      <c r="A108" s="100" t="s">
        <v>817</v>
      </c>
      <c r="B108" s="578">
        <f>SUM(GREET1_Import_Export!B251:C251)*GREET1_Import_Export!$B$38/GREET1_Import_Export!$E$38*907185/1000000000000</f>
        <v>135.3421172174034</v>
      </c>
      <c r="C108" s="1553">
        <f>GREET1_Import_Export!F495</f>
        <v>24.557159317814673</v>
      </c>
      <c r="D108" s="1553">
        <f t="shared" si="16"/>
        <v>6.5975952924847121</v>
      </c>
      <c r="E108" s="1553">
        <f t="shared" si="17"/>
        <v>1.1735792568450176</v>
      </c>
      <c r="F108" s="1553">
        <f>GREET1_Import_Export!C495+SUM('GREET2_Factors_T&amp;D'!X54:Y54)/1000000</f>
        <v>5.056113884425506</v>
      </c>
      <c r="G108" s="1553">
        <v>0</v>
      </c>
      <c r="H108" s="1553">
        <f>GREET1_Import_Export!H495</f>
        <v>1.1489996119701806</v>
      </c>
      <c r="I108" s="1553">
        <f>IF(Li_Chemicals!$C$30="Methanol",SUM(GREET1_Import_Export!H217:I217)*GREET1_Import_Export!$B$29/GREET1_Import_Export!$E$29,SUM(GREET1_Import_Export!B462:C462)*GREET1_Import_Export!$B$30/GREET1_Import_Export!$E$30)*907185/1000000000000</f>
        <v>4.0732097193279255</v>
      </c>
      <c r="J108" s="1553">
        <f>MMULT(C108:I108+0,Li_Chemicals!B$12:B$18+0)+SUM(K75:M75)</f>
        <v>24.869204151053232</v>
      </c>
      <c r="K108" s="478">
        <f t="shared" si="18"/>
        <v>109.71997589754602</v>
      </c>
      <c r="L108" s="234">
        <f t="shared" si="19"/>
        <v>5.0718602126136769</v>
      </c>
      <c r="M108" s="1318">
        <f>GREET1_Import_Export!C495</f>
        <v>4.1898503794963649</v>
      </c>
      <c r="N108" s="1318">
        <f>L108*Li_Chemicals!C$13+M108*Li_Chemicals!C$15+SUM(N75:P75)</f>
        <v>65.717365307832182</v>
      </c>
      <c r="O108" s="749">
        <f>(GREET1_Import_Export!$B181*GREET1_Import_Export!$G$179+GREET1_Import_Export!$G181+1000000)*GREET1_Import_Export!$B$32/GREET1_Import_Export!$E$32*907185/1000000000000</f>
        <v>43.305044846447906</v>
      </c>
      <c r="P108" s="1463">
        <v>0</v>
      </c>
      <c r="Q108" s="1463">
        <v>0</v>
      </c>
      <c r="R108" s="1463">
        <f t="shared" ref="R108:R111" si="21">$F$13*$L108+$F$25*$O108++$F$26*$Q108+SUM($T75:$V75)</f>
        <v>5.6715018792049152</v>
      </c>
      <c r="S108" s="1463">
        <f>$G$12*GREET1_Import_Export!$E495
+$G$13*$L108
+$G$17*GREET1_Import_Export!$G495
+$G$19*$U108
+$G$20*GREET1_Import_Export!$B495
+$G$24*Other_Cathodes!$H153
+$G$27*$R108
+$G$28*$P108
+SUM($W75:$Y75)</f>
        <v>186.01592241901488</v>
      </c>
      <c r="T108" s="817">
        <f>$H$12*GREET1_Import_Export!$E495
+$H$13*$L108
+$H$17*GREET1_Import_Export!$G495
+$H$19*$U108
+$H$20*GREET1_Import_Export!$B495
+$H$24*Other_Cathodes!$H153
+$H$27*$R108
+$H$28*$P108
+SUM($Z75:$AB75)</f>
        <v>270.97047863815527</v>
      </c>
      <c r="U108" s="235">
        <f>B108*Li_Chemicals!$D$11+SUM(AC75:AD75)</f>
        <v>14.273036331988768</v>
      </c>
      <c r="V108" s="914">
        <f t="shared" ref="V108:V135" si="22">$B$6*J108+$C$6*N108+$D$6*S108</f>
        <v>113.49989919843215</v>
      </c>
      <c r="W108" s="914">
        <f t="shared" si="20"/>
        <v>238.72037809003345</v>
      </c>
    </row>
    <row r="109" spans="1:46">
      <c r="A109" s="100" t="s">
        <v>805</v>
      </c>
      <c r="B109" s="578">
        <f>SUM(GREET1_Import_Export!B252:C252)*GREET1_Import_Export!$B$38/GREET1_Import_Export!$E$38*907185/1000000000000</f>
        <v>0.4713265359012152</v>
      </c>
      <c r="C109" s="1553">
        <f>GREET1_Import_Export!F496</f>
        <v>7.1087200248754714</v>
      </c>
      <c r="D109" s="1553">
        <f t="shared" si="16"/>
        <v>4.2471114758287793</v>
      </c>
      <c r="E109" s="1553">
        <f t="shared" si="17"/>
        <v>0.45362998690151868</v>
      </c>
      <c r="F109" s="1553">
        <f>GREET1_Import_Export!C496+SUM('GREET2_Factors_T&amp;D'!X55:Y55)/1000000</f>
        <v>3.507168110668947</v>
      </c>
      <c r="G109" s="1553">
        <v>0</v>
      </c>
      <c r="H109" s="1553">
        <f>GREET1_Import_Export!H496</f>
        <v>7.8773039248976814E-2</v>
      </c>
      <c r="I109" s="1553">
        <f>IF(Li_Chemicals!$C$30="Methanol",SUM(GREET1_Import_Export!H218:I218)*GREET1_Import_Export!$B$29/GREET1_Import_Export!$E$29,SUM(GREET1_Import_Export!B463:C463)*GREET1_Import_Export!$B$30/GREET1_Import_Export!$E$30)*907185/1000000000000</f>
        <v>7.5129379782182967E-2</v>
      </c>
      <c r="J109" s="1553">
        <f>MMULT(C109:I109+0,Li_Chemicals!B$12:B$18+0)+SUM(K76:M76)</f>
        <v>12.039022188242386</v>
      </c>
      <c r="K109" s="478">
        <f t="shared" si="18"/>
        <v>37.665044856670306</v>
      </c>
      <c r="L109" s="234">
        <f t="shared" si="19"/>
        <v>4.2382882993459088</v>
      </c>
      <c r="M109" s="1318">
        <f>GREET1_Import_Export!C496</f>
        <v>3.5022632827296989</v>
      </c>
      <c r="N109" s="1318">
        <f>L109*Li_Chemicals!C$13+M109*Li_Chemicals!C$15+SUM(N76:P76)</f>
        <v>17.071408107022844</v>
      </c>
      <c r="O109" s="749">
        <f>(GREET1_Import_Export!$B182*GREET1_Import_Export!$G$179+GREET1_Import_Export!$G182)*GREET1_Import_Export!$B$32/GREET1_Import_Export!$E$32*907185/1000000000000</f>
        <v>0.26595662014323473</v>
      </c>
      <c r="P109" s="1463">
        <v>0</v>
      </c>
      <c r="Q109" s="1463">
        <v>0</v>
      </c>
      <c r="R109" s="1463">
        <f t="shared" si="21"/>
        <v>7.6528980292899992E-2</v>
      </c>
      <c r="S109" s="1463">
        <f>$G$12*GREET1_Import_Export!$E496
+$G$13*$L109
+$G$17*GREET1_Import_Export!$G496
+$G$19*$U109
+$G$20*GREET1_Import_Export!$B496
+$G$24*Other_Cathodes!$H154
+$G$27*$R109
+$G$28*$P109
+SUM($W76:$Y76)</f>
        <v>138.61824578120959</v>
      </c>
      <c r="T109" s="817">
        <f>$H$12*GREET1_Import_Export!$E496
+$H$13*$L109
+$H$17*GREET1_Import_Export!$G496
+$H$19*$U109
+$H$20*GREET1_Import_Export!$B496
+$H$24*Other_Cathodes!$H154
+$H$27*$R109
+$H$28*$P109
+SUM($Z76:$AB76)</f>
        <v>159.10256605573008</v>
      </c>
      <c r="U109" s="235">
        <f>B109*Li_Chemicals!$D$11+SUM(AC76:AD76)</f>
        <v>1.0012191074650729</v>
      </c>
      <c r="V109" s="914">
        <f t="shared" si="22"/>
        <v>81.657595164374357</v>
      </c>
      <c r="W109" s="914">
        <f t="shared" si="20"/>
        <v>134.81506181591814</v>
      </c>
    </row>
    <row r="110" spans="1:46">
      <c r="A110" s="100" t="s">
        <v>804</v>
      </c>
      <c r="B110" s="578">
        <f>SUM(GREET1_Import_Export!B253:C253)*GREET1_Import_Export!$B$38/GREET1_Import_Export!$E$38*907185/1000000000000</f>
        <v>134.37114522849959</v>
      </c>
      <c r="C110" s="1553">
        <f>GREET1_Import_Export!F497</f>
        <v>16.363208567371363</v>
      </c>
      <c r="D110" s="1553">
        <f t="shared" si="16"/>
        <v>0.21210483221636756</v>
      </c>
      <c r="E110" s="1553">
        <f t="shared" si="17"/>
        <v>0.21085053226637671</v>
      </c>
      <c r="F110" s="1553">
        <f>GREET1_Import_Export!C497+SUM('GREET2_Factors_T&amp;D'!X56:Y56)/1000000</f>
        <v>0.53776011895199338</v>
      </c>
      <c r="G110" s="1553">
        <v>0</v>
      </c>
      <c r="H110" s="1553">
        <f>GREET1_Import_Export!H497</f>
        <v>0.16345586980666998</v>
      </c>
      <c r="I110" s="1553">
        <f>IF(Li_Chemicals!$C$30="Methanol",SUM(GREET1_Import_Export!H219:I219)*GREET1_Import_Export!$B$29/GREET1_Import_Export!$E$29,SUM(GREET1_Import_Export!B464:C464)*GREET1_Import_Export!$B$30/GREET1_Import_Export!$E$30)*907185/1000000000000</f>
        <v>1.4538817896346126</v>
      </c>
      <c r="J110" s="1553">
        <f>MMULT(C110:I110+0,Li_Chemicals!B$12:B$18+0)+SUM(K77:M77)</f>
        <v>4.8879958787088684</v>
      </c>
      <c r="K110" s="478">
        <f t="shared" si="18"/>
        <v>48.807493429466874</v>
      </c>
      <c r="L110" s="234">
        <f t="shared" si="19"/>
        <v>7.8879504728451053E-2</v>
      </c>
      <c r="M110" s="1318">
        <f>GREET1_Import_Export!C497</f>
        <v>0.466525820246666</v>
      </c>
      <c r="N110" s="1318">
        <f>L110*Li_Chemicals!C$13+M110*Li_Chemicals!C$15+SUM(N77:P77)</f>
        <v>6.5499126602578297</v>
      </c>
      <c r="O110" s="749">
        <f>(GREET1_Import_Export!$B183*GREET1_Import_Export!$G$179+GREET1_Import_Export!$G183)*GREET1_Import_Export!$B$32/GREET1_Import_Export!$E$32*907185/1000000000000</f>
        <v>4.5355255528414666</v>
      </c>
      <c r="P110" s="1463">
        <v>0</v>
      </c>
      <c r="Q110" s="1463">
        <v>0</v>
      </c>
      <c r="R110" s="1463">
        <f t="shared" si="21"/>
        <v>0.57193393718997787</v>
      </c>
      <c r="S110" s="1463">
        <f>$G$12*GREET1_Import_Export!$E497
+$G$13*$L110
+$G$17*GREET1_Import_Export!$G497
+$G$19*$U110
+$G$20*GREET1_Import_Export!$B497
+$G$24*Other_Cathodes!$H155
+$G$27*$R110
+$G$28*$P110
+SUM($W77:$Y77)</f>
        <v>6.3915855760129983</v>
      </c>
      <c r="T110" s="817">
        <f>$H$12*GREET1_Import_Export!$E497
+$H$13*$L110
+$H$17*GREET1_Import_Export!$G497
+$H$19*$U110
+$H$20*GREET1_Import_Export!$B497
+$H$24*Other_Cathodes!$H155
+$H$27*$R110
+$H$28*$P110
+SUM($Z77:$AB77)</f>
        <v>49.845890920819727</v>
      </c>
      <c r="U110" s="235">
        <f>B110*Li_Chemicals!$D$11+SUM(AC77:AD77)</f>
        <v>12.983514568594668</v>
      </c>
      <c r="V110" s="914">
        <f t="shared" si="22"/>
        <v>5.7149702122261399</v>
      </c>
      <c r="W110" s="914">
        <f t="shared" si="20"/>
        <v>49.638211422549162</v>
      </c>
    </row>
    <row r="111" spans="1:46">
      <c r="A111" s="484" t="s">
        <v>818</v>
      </c>
      <c r="B111" s="584">
        <f>SUM(GREET1_Import_Export!B254:C254)*GREET1_Import_Export!$B$38/GREET1_Import_Export!$E$38*907185/1000000000000</f>
        <v>0.49964545300262364</v>
      </c>
      <c r="C111" s="637">
        <f>GREET1_Import_Export!F498</f>
        <v>1.0852307255678384</v>
      </c>
      <c r="D111" s="637">
        <f t="shared" si="16"/>
        <v>2.1383789844395644</v>
      </c>
      <c r="E111" s="637">
        <f t="shared" si="17"/>
        <v>0.5090987376771221</v>
      </c>
      <c r="F111" s="637">
        <f>GREET1_Import_Export!C498+SUM('GREET2_Factors_T&amp;D'!X57:Y57)/1000000</f>
        <v>1.0111856548045655</v>
      </c>
      <c r="G111" s="637">
        <v>0</v>
      </c>
      <c r="H111" s="637">
        <f>GREET1_Import_Export!H498</f>
        <v>0.90677070291453388</v>
      </c>
      <c r="I111" s="637">
        <f>IF(Li_Chemicals!$C$30="Methanol",SUM(GREET1_Import_Export!H220:I220)*GREET1_Import_Export!$B$29/GREET1_Import_Export!$E$29,SUM(GREET1_Import_Export!B465:C465)*GREET1_Import_Export!$B$30/GREET1_Import_Export!$E$30)*907185/1000000000000</f>
        <v>2.5441985499111297</v>
      </c>
      <c r="J111" s="637">
        <f>MMULT(C111:I111+0,Li_Chemicals!B$12:B$18+0)+SUM(K78:M78)</f>
        <v>7.9421860841019782</v>
      </c>
      <c r="K111" s="478">
        <f t="shared" si="18"/>
        <v>23.247437611408856</v>
      </c>
      <c r="L111" s="249">
        <f t="shared" si="19"/>
        <v>0.75469240853931707</v>
      </c>
      <c r="M111" s="231">
        <f>GREET1_Import_Export!C498</f>
        <v>0.22106127651999968</v>
      </c>
      <c r="N111" s="231">
        <f>L111*Li_Chemicals!C$13+M111*Li_Chemicals!C$15+SUM(N78:P78)</f>
        <v>42.09604454055151</v>
      </c>
      <c r="O111" s="749">
        <f>(GREET1_Import_Export!$B184*GREET1_Import_Export!$G$179+GREET1_Import_Export!$G184+1000000)*GREET1_Import_Export!$B$32/GREET1_Import_Export!$E$32*907185/1000000000000</f>
        <v>38.503562673463193</v>
      </c>
      <c r="P111" s="1463">
        <v>0</v>
      </c>
      <c r="Q111" s="1463">
        <v>0</v>
      </c>
      <c r="R111" s="1463">
        <f t="shared" si="21"/>
        <v>5.0230389617220359</v>
      </c>
      <c r="S111" s="1463">
        <f>$G$12*GREET1_Import_Export!$E498
+$G$13*$L111
+$G$17*GREET1_Import_Export!$G498
+$G$19*$U111
+$G$20*GREET1_Import_Export!$B498
+$G$24*Other_Cathodes!$H156
+$G$27*$R111
+$G$28*$P111
+SUM($W78:$Y78)</f>
        <v>41.006091061792311</v>
      </c>
      <c r="T111" s="817">
        <f>$H$12*GREET1_Import_Export!$E498
+$H$13*$L111
+$H$17*GREET1_Import_Export!$G498
+$H$19*$U111
+$H$20*GREET1_Import_Export!$B498
+$H$24*Other_Cathodes!$H156
+$H$27*$R111
+$H$28*$P111
+SUM($Z78:$AB78)</f>
        <v>62.022021661605464</v>
      </c>
      <c r="U111" s="237">
        <f>B111*Li_Chemicals!$D$11+SUM(AC78:AD78)</f>
        <v>0.28830265592902937</v>
      </c>
      <c r="V111" s="916">
        <f t="shared" si="22"/>
        <v>26.127333821831662</v>
      </c>
      <c r="W111" s="916">
        <f t="shared" si="20"/>
        <v>54.267104851566145</v>
      </c>
    </row>
    <row r="112" spans="1:46" s="631" customFormat="1">
      <c r="A112" s="796" t="s">
        <v>819</v>
      </c>
      <c r="B112" s="137">
        <f>SUM(GREET1_Import_Export!B255:C255)*GREET1_Import_Export!$B$38/GREET1_Import_Export!$E$38*907185/1000000</f>
        <v>2622.7602839235433</v>
      </c>
      <c r="C112" s="138">
        <f>GREET1_Import_Export!F499</f>
        <v>1486.4997927118548</v>
      </c>
      <c r="D112" s="138">
        <f t="shared" si="16"/>
        <v>58.912757275916164</v>
      </c>
      <c r="E112" s="138">
        <f>SUM(H79:J79)</f>
        <v>670.07868036546688</v>
      </c>
      <c r="F112" s="138">
        <f>GREET1_Import_Export!C499+SUM('GREET2_Factors_T&amp;D'!X58:Y58)</f>
        <v>1118.0026240903419</v>
      </c>
      <c r="G112" s="138">
        <v>0</v>
      </c>
      <c r="H112" s="138">
        <f>GREET1_Import_Export!H499</f>
        <v>34.196962363374084</v>
      </c>
      <c r="I112" s="138">
        <f>IF(Li_Chemicals!$C$30="Methanol",SUM(GREET1_Import_Export!H221:I221)*GREET1_Import_Export!$B$29/GREET1_Import_Export!$E$29,SUM(GREET1_Import_Export!B466:C466)*GREET1_Import_Export!$B$30/GREET1_Import_Export!$E$30)*907185/1000000</f>
        <v>255.67855192198323</v>
      </c>
      <c r="J112" s="138">
        <f>MMULT(C112:I112+0,Li_Chemicals!B$12:B$18+0)+SUM(K79:M79)</f>
        <v>3215.9220345066642</v>
      </c>
      <c r="K112" s="1559">
        <f t="shared" si="18"/>
        <v>10382.982298709463</v>
      </c>
      <c r="L112" s="242">
        <f t="shared" si="19"/>
        <v>29.580974290163297</v>
      </c>
      <c r="M112" s="53">
        <f>GREET1_Import_Export!C499</f>
        <v>1102.2778342369234</v>
      </c>
      <c r="N112" s="53">
        <f>L112*Li_Chemicals!C$13+M112*Li_Chemicals!C$15+SUM(N79:P79)</f>
        <v>2955.3466605494004</v>
      </c>
      <c r="O112" s="1272">
        <f>(GREET1_Import_Export!$B185*GREET1_Import_Export!$G$179+GREET1_Import_Export!$G185)*GREET1_Import_Export!$B$32/GREET1_Import_Export!$E$32*907185/1000000</f>
        <v>802.43975058386786</v>
      </c>
      <c r="P112" s="1482">
        <v>0</v>
      </c>
      <c r="Q112" s="1482">
        <v>0</v>
      </c>
      <c r="R112" s="1806">
        <f>$F$13*$L112+$F$25*$O112++$F$26*$Q112+SUM($T79:$V79)</f>
        <v>823.11281692644332</v>
      </c>
      <c r="S112" s="1482">
        <f>$G$12*GREET1_Import_Export!$E499
+$G$13*$L112
+$G$17*GREET1_Import_Export!$G499
+$G$19*$U112
+$G$20*GREET1_Import_Export!$B499
+$G$24*Other_Cathodes!$H157
+$G$27*$R112
+$G$28*$P112
+SUM($W79:$Y79)</f>
        <v>17575.997162770323</v>
      </c>
      <c r="T112" s="1483">
        <f>$H$12*GREET1_Import_Export!$E499
+$H$13*$L112
+$H$17*GREET1_Import_Export!$G499
+$H$19*$U112
+$H$20*GREET1_Import_Export!$B499
+$H$24*Other_Cathodes!$H157
+$H$27*$R112
+$H$28*$P112
+SUM($Z79:$AB79)</f>
        <v>24723.007883376591</v>
      </c>
      <c r="U112" s="243">
        <f>B112*Li_Chemicals!$D$11+SUM(AC79:AD79)</f>
        <v>371.61517250643328</v>
      </c>
      <c r="V112" s="1554">
        <f t="shared" si="22"/>
        <v>11113.963355051677</v>
      </c>
      <c r="W112" s="1554">
        <f t="shared" si="20"/>
        <v>21855.002766443169</v>
      </c>
      <c r="Y112" s="1321"/>
      <c r="Z112" s="1321"/>
      <c r="AA112" s="1321"/>
    </row>
    <row r="113" spans="1:23">
      <c r="A113" s="482" t="s">
        <v>1030</v>
      </c>
      <c r="B113" s="578"/>
      <c r="C113" s="1553"/>
      <c r="D113" s="1553"/>
      <c r="E113" s="1553"/>
      <c r="F113" s="1553"/>
      <c r="G113" s="1553"/>
      <c r="H113" s="1553"/>
      <c r="I113" s="1553"/>
      <c r="J113" s="1553"/>
      <c r="K113" s="583"/>
      <c r="L113" s="234"/>
      <c r="M113" s="1318"/>
      <c r="N113" s="1318"/>
      <c r="O113" s="1080"/>
      <c r="P113" s="1141"/>
      <c r="Q113" s="1141"/>
      <c r="R113" s="1141"/>
      <c r="S113" s="1141"/>
      <c r="T113" s="1081"/>
      <c r="U113" s="235"/>
      <c r="V113" s="914"/>
      <c r="W113" s="914"/>
    </row>
    <row r="114" spans="1:23">
      <c r="A114" s="100" t="s">
        <v>821</v>
      </c>
      <c r="B114" s="578">
        <f>SUM(GREET1_Import_Export!B256:C256)*GREET1_Import_Export!$B$38/GREET1_Import_Export!$E$38*907185/1000000</f>
        <v>1059.8467541507018</v>
      </c>
      <c r="C114" s="1553">
        <f>GREET1_Import_Export!F501</f>
        <v>245.58439249726143</v>
      </c>
      <c r="D114" s="1553">
        <f t="shared" ref="D114:D124" si="23">SUM(B81:D81)</f>
        <v>135.96094228971199</v>
      </c>
      <c r="E114" s="1553">
        <f t="shared" ref="E114:E124" si="24">SUM(H81:J81)</f>
        <v>13.306630618108706</v>
      </c>
      <c r="F114" s="1553">
        <f>GREET1_Import_Export!C501+SUM('GREET2_Factors_T&amp;D'!X60:Y60)</f>
        <v>136.57905750991546</v>
      </c>
      <c r="G114" s="1553">
        <v>0</v>
      </c>
      <c r="H114" s="1553">
        <f>GREET1_Import_Export!H501</f>
        <v>13.223245275381981</v>
      </c>
      <c r="I114" s="1553">
        <f>IF(Li_Chemicals!$C$30="Methanol",SUM(GREET1_Import_Export!H222:I222)*GREET1_Import_Export!$B$29/GREET1_Import_Export!$E$29,SUM(GREET1_Import_Export!B467:C467)*GREET1_Import_Export!$B$30/GREET1_Import_Export!$E$30)*907185/1000000</f>
        <v>1376.6493030255297</v>
      </c>
      <c r="J114" s="1553">
        <f>MMULT(C114:I114+0,Li_Chemicals!B$12:B$18+0)+SUM(K81:M81)</f>
        <v>726.35120021640842</v>
      </c>
      <c r="K114" s="478">
        <f t="shared" ref="K114:K124" si="25">$F114*$E$15+J114*$E$22+SUM($Q81:$S81)</f>
        <v>5555.3435592888318</v>
      </c>
      <c r="L114" s="234">
        <f t="shared" ref="L114:L124" si="26">SUM(E81:G81)</f>
        <v>80.509586842403678</v>
      </c>
      <c r="M114" s="1318">
        <f>GREET1_Import_Export!C501</f>
        <v>90.052707313868567</v>
      </c>
      <c r="N114" s="1318">
        <f>L114*Li_Chemicals!C$13+M114*Li_Chemicals!C$15+SUM(N81:P81)</f>
        <v>909.24693894529514</v>
      </c>
      <c r="O114" s="749">
        <f>(GREET1_Import_Export!$B186*GREET1_Import_Export!$G$179+GREET1_Import_Export!$G186)*GREET1_Import_Export!$B$32/GREET1_Import_Export!$E$32*907185/1000000</f>
        <v>270.92407357947434</v>
      </c>
      <c r="P114" s="1463">
        <v>0</v>
      </c>
      <c r="Q114" s="1463">
        <v>0</v>
      </c>
      <c r="R114" s="1463">
        <f t="shared" ref="R114:R124" si="27">$F$13*$L114+$F$25*$O114++$F$26*$Q114+SUM($T81:$V81)</f>
        <v>116.42017994491724</v>
      </c>
      <c r="S114" s="1463">
        <f>$G$12*GREET1_Import_Export!$E501
+$G$13*$L114
+$G$17*GREET1_Import_Export!$G501
+$G$19*$U114
+$G$20*GREET1_Import_Export!$B501
+$G$24*Other_Cathodes!$H159
+$G$27*$R114
+$G$28*$P114
+SUM($W81:$Y81)</f>
        <v>2761.9137335992987</v>
      </c>
      <c r="T114" s="817">
        <f>$H$12*GREET1_Import_Export!$E501
+$H$13*$L114
+$H$17*GREET1_Import_Export!$G501
+$H$19*$U114
+$H$20*GREET1_Import_Export!$B501
+$H$24*Other_Cathodes!$H159
+$H$27*$R114
+$H$28*$P114
+SUM($Z81:$AB81)</f>
        <v>3563.507699436755</v>
      </c>
      <c r="U114" s="235">
        <f>B114*Li_Chemicals!$D$11+SUM(AC81:AD81)</f>
        <v>122.52928253697699</v>
      </c>
      <c r="V114" s="914">
        <f t="shared" si="22"/>
        <v>1845.9105935769981</v>
      </c>
      <c r="W114" s="914">
        <f t="shared" ref="W114:W126" si="28">$B$7*K114+$D$7*T114</f>
        <v>3961.8748714071708</v>
      </c>
    </row>
    <row r="115" spans="1:23">
      <c r="A115" s="100" t="s">
        <v>822</v>
      </c>
      <c r="B115" s="578">
        <f>SUM(GREET1_Import_Export!B257:C257)*GREET1_Import_Export!$B$38/GREET1_Import_Export!$E$38*907185/1000000</f>
        <v>1646.7007434744939</v>
      </c>
      <c r="C115" s="1553">
        <f>GREET1_Import_Export!F502</f>
        <v>958.18287074375576</v>
      </c>
      <c r="D115" s="1553">
        <f t="shared" si="23"/>
        <v>750.74437757132557</v>
      </c>
      <c r="E115" s="1553">
        <f t="shared" si="24"/>
        <v>185.45047686774708</v>
      </c>
      <c r="F115" s="1553">
        <f>GREET1_Import_Export!C502+SUM('GREET2_Factors_T&amp;D'!X61:Y61)</f>
        <v>565.89223258935499</v>
      </c>
      <c r="G115" s="1553">
        <v>0</v>
      </c>
      <c r="H115" s="1553">
        <f>GREET1_Import_Export!H502</f>
        <v>170.62357719230678</v>
      </c>
      <c r="I115" s="1553">
        <f>IF(Li_Chemicals!$C$30="Methanol",SUM(GREET1_Import_Export!H223:I223)*GREET1_Import_Export!$B$29/GREET1_Import_Export!$E$29,SUM(GREET1_Import_Export!B468:C468)*GREET1_Import_Export!$B$30/GREET1_Import_Export!$E$30)*907185/1000000</f>
        <v>3816.6394560164199</v>
      </c>
      <c r="J115" s="1553">
        <f>MMULT(C115:I115+0,Li_Chemicals!B$12:B$18+0)+SUM(K82:M82)</f>
        <v>2843.7969308872453</v>
      </c>
      <c r="K115" s="478">
        <f t="shared" si="25"/>
        <v>10720.839730667882</v>
      </c>
      <c r="L115" s="234">
        <f t="shared" si="26"/>
        <v>497.09762041485817</v>
      </c>
      <c r="M115" s="1318">
        <f>GREET1_Import_Export!C502</f>
        <v>420.56556155670182</v>
      </c>
      <c r="N115" s="1318">
        <f>L115*Li_Chemicals!C$13+M115*Li_Chemicals!C$15+SUM(N82:P82)</f>
        <v>4739.6369482422042</v>
      </c>
      <c r="O115" s="749">
        <f>(GREET1_Import_Export!$B187*GREET1_Import_Export!$G$179+GREET1_Import_Export!$G187)*GREET1_Import_Export!$B$32/GREET1_Import_Export!$E$32*907185/1000000</f>
        <v>426.41687310825381</v>
      </c>
      <c r="P115" s="1463">
        <v>0</v>
      </c>
      <c r="Q115" s="1463">
        <v>0</v>
      </c>
      <c r="R115" s="1463">
        <f t="shared" si="27"/>
        <v>321.38504019962272</v>
      </c>
      <c r="S115" s="1463">
        <f>$G$12*GREET1_Import_Export!$E502
+$G$13*$L115
+$G$17*GREET1_Import_Export!$G502
+$G$19*$U115
+$G$20*GREET1_Import_Export!$B502
+$G$24*Other_Cathodes!$H160
+$G$27*$R115
+$G$28*$P115
+SUM($W82:$Y82)</f>
        <v>12164.124360035365</v>
      </c>
      <c r="T115" s="817">
        <f>$H$12*GREET1_Import_Export!$E502
+$H$13*$L115
+$H$17*GREET1_Import_Export!$G502
+$H$19*$U115
+$H$20*GREET1_Import_Export!$B502
+$H$24*Other_Cathodes!$H160
+$H$27*$R115
+$H$28*$P115
+SUM($Z82:$AB82)</f>
        <v>13003.735053878843</v>
      </c>
      <c r="U115" s="235">
        <f>B115*Li_Chemicals!$D$11+SUM(AC82:AD82)</f>
        <v>297.06842421092284</v>
      </c>
      <c r="V115" s="914">
        <f t="shared" si="22"/>
        <v>7969.9770169187113</v>
      </c>
      <c r="W115" s="914">
        <f t="shared" si="28"/>
        <v>12547.155989236653</v>
      </c>
    </row>
    <row r="116" spans="1:23">
      <c r="A116" s="100" t="s">
        <v>849</v>
      </c>
      <c r="B116" s="578">
        <f>SUM(GREET1_Import_Export!B258:C258)*GREET1_Import_Export!$B$38/GREET1_Import_Export!$E$38*907185/1000000</f>
        <v>2157.1590386387165</v>
      </c>
      <c r="C116" s="1553">
        <f>GREET1_Import_Export!F503</f>
        <v>1719.7509942687502</v>
      </c>
      <c r="D116" s="1553">
        <f t="shared" si="23"/>
        <v>1465.4703605840691</v>
      </c>
      <c r="E116" s="1553">
        <f t="shared" si="24"/>
        <v>170.81935698104459</v>
      </c>
      <c r="F116" s="1553">
        <f>GREET1_Import_Export!C503+SUM('GREET2_Factors_T&amp;D'!X62:Y62)</f>
        <v>1307.3190922663277</v>
      </c>
      <c r="G116" s="1553">
        <v>0</v>
      </c>
      <c r="H116" s="1553">
        <f>GREET1_Import_Export!H503</f>
        <v>123.8826327161168</v>
      </c>
      <c r="I116" s="1553">
        <f>IF(Li_Chemicals!$C$30="Methanol",SUM(GREET1_Import_Export!H224:I224)*GREET1_Import_Export!$B$29/GREET1_Import_Export!$E$29,SUM(GREET1_Import_Export!B469:C469)*GREET1_Import_Export!$B$30/GREET1_Import_Export!$E$30)*907185/1000000</f>
        <v>6164.4678542679003</v>
      </c>
      <c r="J116" s="1553">
        <f>MMULT(C116:I116+0,Li_Chemicals!B$12:B$18+0)+SUM(K83:M83)</f>
        <v>6454.0991560378152</v>
      </c>
      <c r="K116" s="478">
        <f t="shared" si="25"/>
        <v>24253.988171387529</v>
      </c>
      <c r="L116" s="234">
        <f t="shared" si="26"/>
        <v>288.19515688712204</v>
      </c>
      <c r="M116" s="1318">
        <f>GREET1_Import_Export!C503</f>
        <v>235.86819253415379</v>
      </c>
      <c r="N116" s="1318">
        <f>L116*Li_Chemicals!C$13+M116*Li_Chemicals!C$15+SUM(N83:P83)</f>
        <v>9165.598068146046</v>
      </c>
      <c r="O116" s="749">
        <f>(GREET1_Import_Export!$B188*GREET1_Import_Export!$G$179+GREET1_Import_Export!$G188)*GREET1_Import_Export!$B$32/GREET1_Import_Export!$E$32*907185/1000000</f>
        <v>651.25562499701653</v>
      </c>
      <c r="P116" s="1463">
        <v>0</v>
      </c>
      <c r="Q116" s="1463">
        <v>0</v>
      </c>
      <c r="R116" s="1463">
        <f t="shared" si="27"/>
        <v>1756.4906717397994</v>
      </c>
      <c r="S116" s="1463">
        <f>$G$12*GREET1_Import_Export!$E503
+$G$13*$L116
+$G$17*GREET1_Import_Export!$G503
+$G$19*$U116
+$G$20*GREET1_Import_Export!$B503
+$G$24*Other_Cathodes!$H161
+$G$27*$R116
+$G$28*$P116
+SUM($W83:$Y83)</f>
        <v>23883.760936461233</v>
      </c>
      <c r="T116" s="817">
        <f>$H$12*GREET1_Import_Export!$E503
+$H$13*$L116
+$H$17*GREET1_Import_Export!$G503
+$H$19*$U116
+$H$20*GREET1_Import_Export!$B503
+$H$24*Other_Cathodes!$H161
+$H$27*$R116
+$H$28*$P116
+SUM($Z83:$AB83)</f>
        <v>36342.848877883443</v>
      </c>
      <c r="U116" s="235">
        <f>B116*Li_Chemicals!$D$11+SUM(AC83:AD83)</f>
        <v>463.36192216279449</v>
      </c>
      <c r="V116" s="914">
        <f t="shared" si="22"/>
        <v>16040.413135270697</v>
      </c>
      <c r="W116" s="914">
        <f t="shared" si="28"/>
        <v>33925.076736584262</v>
      </c>
    </row>
    <row r="117" spans="1:23">
      <c r="A117" s="100" t="s">
        <v>824</v>
      </c>
      <c r="B117" s="578">
        <f>SUM(GREET1_Import_Export!B259:C259)*GREET1_Import_Export!$B$38/GREET1_Import_Export!$E$38*907185/1000000</f>
        <v>292.30275767958801</v>
      </c>
      <c r="C117" s="1553">
        <f>GREET1_Import_Export!F504</f>
        <v>186.941193988121</v>
      </c>
      <c r="D117" s="1553">
        <f t="shared" si="23"/>
        <v>252.07030831380109</v>
      </c>
      <c r="E117" s="1553">
        <f t="shared" si="24"/>
        <v>17.304815868729026</v>
      </c>
      <c r="F117" s="1553">
        <f>GREET1_Import_Export!C504+SUM('GREET2_Factors_T&amp;D'!X63:Y63)</f>
        <v>218.66667836640619</v>
      </c>
      <c r="G117" s="1553">
        <v>0</v>
      </c>
      <c r="H117" s="1553">
        <f>GREET1_Import_Export!H504</f>
        <v>7.8381422086762802</v>
      </c>
      <c r="I117" s="1553">
        <f>IF(Li_Chemicals!$C$30="Methanol",SUM(GREET1_Import_Export!H225:I225)*GREET1_Import_Export!$B$29/GREET1_Import_Export!$E$29,SUM(GREET1_Import_Export!B470:C470)*GREET1_Import_Export!$B$30/GREET1_Import_Export!$E$30)*907185/1000000</f>
        <v>3972.257679794292</v>
      </c>
      <c r="J117" s="1553">
        <f>MMULT(C117:I117+0,Li_Chemicals!B$12:B$18+0)+SUM(K84:M84)</f>
        <v>1728.3407578813028</v>
      </c>
      <c r="K117" s="478">
        <f t="shared" si="25"/>
        <v>7070.594320851209</v>
      </c>
      <c r="L117" s="234">
        <f t="shared" si="26"/>
        <v>152.39917049658362</v>
      </c>
      <c r="M117" s="1318">
        <f>GREET1_Import_Export!C504</f>
        <v>125.43411723973426</v>
      </c>
      <c r="N117" s="1318">
        <f>L117*Li_Chemicals!C$13+M117*Li_Chemicals!C$15+SUM(N84:P84)</f>
        <v>2734.812964128274</v>
      </c>
      <c r="O117" s="749">
        <f>(GREET1_Import_Export!$B189*GREET1_Import_Export!$G$179+GREET1_Import_Export!$G189)*GREET1_Import_Export!$B$32/GREET1_Import_Export!$E$32*907185/1000000</f>
        <v>47.577172749191739</v>
      </c>
      <c r="P117" s="1463">
        <v>0</v>
      </c>
      <c r="Q117" s="1463">
        <v>0</v>
      </c>
      <c r="R117" s="1463">
        <f t="shared" si="27"/>
        <v>118.56996976162129</v>
      </c>
      <c r="S117" s="1463">
        <f>$G$12*GREET1_Import_Export!$E504
+$G$13*$L117
+$G$17*GREET1_Import_Export!$G504
+$G$19*$U117
+$G$20*GREET1_Import_Export!$B504
+$G$24*Other_Cathodes!$H162
+$G$27*$R117
+$G$28*$P117
+SUM($W84:$Y84)</f>
        <v>3965.5679484003658</v>
      </c>
      <c r="T117" s="817">
        <f>$H$12*GREET1_Import_Export!$E504
+$H$13*$L117
+$H$17*GREET1_Import_Export!$G504
+$H$19*$U117
+$H$20*GREET1_Import_Export!$B504
+$H$24*Other_Cathodes!$H162
+$H$27*$R117
+$H$28*$P117
+SUM($Z84:$AB84)</f>
        <v>4463.9280531708173</v>
      </c>
      <c r="U117" s="235">
        <f>B117*Li_Chemicals!$D$11+SUM(AC84:AD84)</f>
        <v>55.401576865011492</v>
      </c>
      <c r="V117" s="914">
        <f t="shared" si="22"/>
        <v>2958.8157126667875</v>
      </c>
      <c r="W117" s="914">
        <f t="shared" si="28"/>
        <v>4985.261306706896</v>
      </c>
    </row>
    <row r="118" spans="1:23">
      <c r="A118" s="100" t="s">
        <v>825</v>
      </c>
      <c r="B118" s="578">
        <f>SUM(GREET1_Import_Export!B260:C260)*GREET1_Import_Export!$B$38/GREET1_Import_Export!$E$38*907185/1000000</f>
        <v>279.62786380729125</v>
      </c>
      <c r="C118" s="1553">
        <f>GREET1_Import_Export!F505</f>
        <v>117.90496600561342</v>
      </c>
      <c r="D118" s="1553">
        <f t="shared" si="23"/>
        <v>184.8159389863975</v>
      </c>
      <c r="E118" s="1553">
        <f t="shared" si="24"/>
        <v>12.197875447335379</v>
      </c>
      <c r="F118" s="1553">
        <f>GREET1_Import_Export!C505+SUM('GREET2_Factors_T&amp;D'!X64:Y64)</f>
        <v>179.75308837201854</v>
      </c>
      <c r="G118" s="1553">
        <v>0</v>
      </c>
      <c r="H118" s="1553">
        <f>GREET1_Import_Export!H505</f>
        <v>2.6925910170325222</v>
      </c>
      <c r="I118" s="1553">
        <f>IF(Li_Chemicals!$C$30="Methanol",SUM(GREET1_Import_Export!H226:I226)*GREET1_Import_Export!$B$29/GREET1_Import_Export!$E$29,SUM(GREET1_Import_Export!B471:C471)*GREET1_Import_Export!$B$30/GREET1_Import_Export!$E$30)*907185/1000000</f>
        <v>1572.5891806479872</v>
      </c>
      <c r="J118" s="1553">
        <f>MMULT(C118:I118+0,Li_Chemicals!B$12:B$18+0)+SUM(K85:M85)</f>
        <v>1239.9461452305422</v>
      </c>
      <c r="K118" s="478">
        <f t="shared" si="25"/>
        <v>5947.245988987599</v>
      </c>
      <c r="L118" s="234">
        <f t="shared" si="26"/>
        <v>96.793658571809999</v>
      </c>
      <c r="M118" s="1318">
        <f>GREET1_Import_Export!C505</f>
        <v>95.182715522071618</v>
      </c>
      <c r="N118" s="1318">
        <f>L118*Li_Chemicals!C$13+M118*Li_Chemicals!C$15+SUM(N85:P85)</f>
        <v>1101.3929740342983</v>
      </c>
      <c r="O118" s="749">
        <f>(GREET1_Import_Export!$B190*GREET1_Import_Export!$G$179+GREET1_Import_Export!$G190)*GREET1_Import_Export!$B$32/GREET1_Import_Export!$E$32*907185/1000000</f>
        <v>40.593263257331103</v>
      </c>
      <c r="P118" s="1463">
        <v>0</v>
      </c>
      <c r="Q118" s="1463">
        <v>0</v>
      </c>
      <c r="R118" s="1463">
        <f t="shared" si="27"/>
        <v>105.60989546665341</v>
      </c>
      <c r="S118" s="1463">
        <f>$G$12*GREET1_Import_Export!$E505
+$G$13*$L118
+$G$17*GREET1_Import_Export!$G505
+$G$19*$U118
+$G$20*GREET1_Import_Export!$B505
+$G$24*Other_Cathodes!$H163
+$G$27*$R118
+$G$28*$P118
+SUM($W85:$Y85)</f>
        <v>2782.3114145443719</v>
      </c>
      <c r="T118" s="817">
        <f>$H$12*GREET1_Import_Export!$E505
+$H$13*$L118
+$H$17*GREET1_Import_Export!$G505
+$H$19*$U118
+$H$20*GREET1_Import_Export!$B505
+$H$24*Other_Cathodes!$H163
+$H$27*$R118
+$H$28*$P118
+SUM($Z85:$AB85)</f>
        <v>3053.8304734909684</v>
      </c>
      <c r="U118" s="235">
        <f>B118*Li_Chemicals!$D$11+SUM(AC85:AD85)</f>
        <v>42.890147893721519</v>
      </c>
      <c r="V118" s="914">
        <f t="shared" si="22"/>
        <v>2088.2470433531489</v>
      </c>
      <c r="W118" s="914">
        <f t="shared" si="28"/>
        <v>3632.5135765902946</v>
      </c>
    </row>
    <row r="119" spans="1:23">
      <c r="A119" s="100" t="s">
        <v>826</v>
      </c>
      <c r="B119" s="578">
        <f>SUM(GREET1_Import_Export!B261:C261)*GREET1_Import_Export!$B$38/GREET1_Import_Export!$E$38*907185/1000000</f>
        <v>1394.6117704714286</v>
      </c>
      <c r="C119" s="1553">
        <f>GREET1_Import_Export!F506</f>
        <v>1110.6609115125023</v>
      </c>
      <c r="D119" s="1553">
        <f t="shared" si="23"/>
        <v>910.41250196200463</v>
      </c>
      <c r="E119" s="1553">
        <f t="shared" si="24"/>
        <v>59.742082640399992</v>
      </c>
      <c r="F119" s="1553">
        <f>GREET1_Import_Export!C506+SUM('GREET2_Factors_T&amp;D'!X65:Y65)</f>
        <v>849.78847492948955</v>
      </c>
      <c r="G119" s="1553">
        <v>0</v>
      </c>
      <c r="H119" s="1553">
        <f>GREET1_Import_Export!H506</f>
        <v>1828.0437386709966</v>
      </c>
      <c r="I119" s="1553">
        <f>IF(Li_Chemicals!$C$30="Methanol",SUM(GREET1_Import_Export!H227:I227)*GREET1_Import_Export!$B$29/GREET1_Import_Export!$E$29,SUM(GREET1_Import_Export!B472:C472)*GREET1_Import_Export!$B$30/GREET1_Import_Export!$E$30)*907185/1000000</f>
        <v>2919.9705806208935</v>
      </c>
      <c r="J119" s="1553">
        <f>MMULT(C119:I119+0,Li_Chemicals!B$12:B$18+0)+SUM(K86:M86)</f>
        <v>3867.5190342023661</v>
      </c>
      <c r="K119" s="478">
        <f t="shared" si="25"/>
        <v>12677.333267805774</v>
      </c>
      <c r="L119" s="234">
        <f t="shared" si="26"/>
        <v>163.79241128538894</v>
      </c>
      <c r="M119" s="1318">
        <f>GREET1_Import_Export!C506</f>
        <v>122.92932415142776</v>
      </c>
      <c r="N119" s="1318">
        <f>L119*Li_Chemicals!C$13+M119*Li_Chemicals!C$15+SUM(N86:P86)</f>
        <v>4589.6872451987856</v>
      </c>
      <c r="O119" s="749">
        <f>(GREET1_Import_Export!$B191*GREET1_Import_Export!$G$179+GREET1_Import_Export!$G191)*GREET1_Import_Export!$B$32/GREET1_Import_Export!$E$32*907185/1000000</f>
        <v>169.35287064795642</v>
      </c>
      <c r="P119" s="1463">
        <v>0</v>
      </c>
      <c r="Q119" s="1463">
        <v>0</v>
      </c>
      <c r="R119" s="1463">
        <f t="shared" si="27"/>
        <v>676.663180715625</v>
      </c>
      <c r="S119" s="1463">
        <f>$G$12*GREET1_Import_Export!$E506
+$G$13*$L119
+$G$17*GREET1_Import_Export!$G506
+$G$19*$U119
+$G$20*GREET1_Import_Export!$B506
+$G$24*Other_Cathodes!$H164
+$G$27*$R119
+$G$28*$P119
+SUM($W86:$Y86)</f>
        <v>22010.98859662117</v>
      </c>
      <c r="T119" s="817">
        <f>$H$12*GREET1_Import_Export!$E506
+$H$13*$L119
+$H$17*GREET1_Import_Export!$G506
+$H$19*$U119
+$H$20*GREET1_Import_Export!$B506
+$H$24*Other_Cathodes!$H164
+$H$27*$R119
+$H$28*$P119
+SUM($Z86:$AB86)</f>
        <v>32879.425018789516</v>
      </c>
      <c r="U119" s="235">
        <f>B119*Li_Chemicals!$D$11+SUM(AC86:AD86)</f>
        <v>253.61192778069025</v>
      </c>
      <c r="V119" s="914">
        <f t="shared" si="22"/>
        <v>13846.427293532708</v>
      </c>
      <c r="W119" s="914">
        <f t="shared" si="28"/>
        <v>28839.006668592767</v>
      </c>
    </row>
    <row r="120" spans="1:23">
      <c r="A120" s="59" t="s">
        <v>827</v>
      </c>
      <c r="B120" s="578">
        <f>SUM(GREET1_Import_Export!B262:C262)*GREET1_Import_Export!$B$38/GREET1_Import_Export!$E$38*907185/1000000</f>
        <v>34.584576897309574</v>
      </c>
      <c r="C120" s="1553">
        <f>GREET1_Import_Export!F507</f>
        <v>11.555067895706532</v>
      </c>
      <c r="D120" s="1553">
        <f t="shared" si="23"/>
        <v>17.421470924202474</v>
      </c>
      <c r="E120" s="1553">
        <f t="shared" si="24"/>
        <v>5.3729166563839863</v>
      </c>
      <c r="F120" s="1553">
        <f>GREET1_Import_Export!C507+SUM('GREET2_Factors_T&amp;D'!X66:Y66)</f>
        <v>20.462257798555409</v>
      </c>
      <c r="G120" s="1553">
        <v>0</v>
      </c>
      <c r="H120" s="1553">
        <f>GREET1_Import_Export!H507</f>
        <v>0.24154965238111176</v>
      </c>
      <c r="I120" s="1553">
        <f>IF(Li_Chemicals!$C$30="Methanol",SUM(GREET1_Import_Export!H228:I228)*GREET1_Import_Export!$B$29/GREET1_Import_Export!$E$29,SUM(GREET1_Import_Export!B473:C473)*GREET1_Import_Export!$B$30/GREET1_Import_Export!$E$30)*907185/1000000</f>
        <v>177.86921556886</v>
      </c>
      <c r="J120" s="1553">
        <f>MMULT(C120:I120+0,Li_Chemicals!B$12:B$18+0)+SUM(K87:M87)</f>
        <v>125.25057076345871</v>
      </c>
      <c r="K120" s="478">
        <f t="shared" si="25"/>
        <v>850.19123213008845</v>
      </c>
      <c r="L120" s="234">
        <f t="shared" si="26"/>
        <v>4.3103230696784021</v>
      </c>
      <c r="M120" s="1318">
        <f>GREET1_Import_Export!C507</f>
        <v>7.8073237255591943</v>
      </c>
      <c r="N120" s="1318">
        <f>L120*Li_Chemicals!C$13+M120*Li_Chemicals!C$15+SUM(N87:P87)</f>
        <v>150.25158797349258</v>
      </c>
      <c r="O120" s="749">
        <f>(GREET1_Import_Export!$B192*GREET1_Import_Export!$G$179+GREET1_Import_Export!$G192)*GREET1_Import_Export!$B$32/GREET1_Import_Export!$E$32*907185/1000000</f>
        <v>6.2823154238470051</v>
      </c>
      <c r="P120" s="1463">
        <v>0</v>
      </c>
      <c r="Q120" s="1463">
        <v>0</v>
      </c>
      <c r="R120" s="1463">
        <f t="shared" si="27"/>
        <v>21.756987776515555</v>
      </c>
      <c r="S120" s="1463">
        <f>$G$12*GREET1_Import_Export!$E507
+$G$13*$L120
+$G$17*GREET1_Import_Export!$G507
+$G$19*$U120
+$G$20*GREET1_Import_Export!$B507
+$G$24*Other_Cathodes!$H165
+$G$27*$R120
+$G$28*$P120
+SUM($W87:$Y87)</f>
        <v>247.27693192712189</v>
      </c>
      <c r="T120" s="817">
        <f>$H$12*GREET1_Import_Export!$E507
+$H$13*$L120
+$H$17*GREET1_Import_Export!$G507
+$H$19*$U120
+$H$20*GREET1_Import_Export!$B507
+$H$24*Other_Cathodes!$H165
+$H$27*$R120
+$H$28*$P120
+SUM($Z87:$AB87)</f>
        <v>342.66433135603273</v>
      </c>
      <c r="U120" s="235">
        <f>B120*Li_Chemicals!$D$11+SUM(AC87:AD87)</f>
        <v>4.7403961589104213</v>
      </c>
      <c r="V120" s="914">
        <f t="shared" si="22"/>
        <v>192.36506940347346</v>
      </c>
      <c r="W120" s="914">
        <f t="shared" si="28"/>
        <v>444.16971151084385</v>
      </c>
    </row>
    <row r="121" spans="1:23">
      <c r="A121" s="59" t="s">
        <v>828</v>
      </c>
      <c r="B121" s="578">
        <f>SUM(GREET1_Import_Export!B263:C263)*GREET1_Import_Export!$B$38/GREET1_Import_Export!$E$38*907185/1000000</f>
        <v>76.748677163718995</v>
      </c>
      <c r="C121" s="1553">
        <f>GREET1_Import_Export!F508</f>
        <v>28.196772944619227</v>
      </c>
      <c r="D121" s="1553">
        <f t="shared" si="23"/>
        <v>41.634793260018789</v>
      </c>
      <c r="E121" s="1553">
        <f t="shared" si="24"/>
        <v>2.454429954786594</v>
      </c>
      <c r="F121" s="1553">
        <f>GREET1_Import_Export!C508+SUM('GREET2_Factors_T&amp;D'!X67:Y67)</f>
        <v>47.695498880776711</v>
      </c>
      <c r="G121" s="1553">
        <v>0</v>
      </c>
      <c r="H121" s="1553">
        <f>GREET1_Import_Export!H508</f>
        <v>0.47347654107933645</v>
      </c>
      <c r="I121" s="1553">
        <f>IF(Li_Chemicals!$C$30="Methanol",SUM(GREET1_Import_Export!H229:I229)*GREET1_Import_Export!$B$29/GREET1_Import_Export!$E$29,SUM(GREET1_Import_Export!B474:C474)*GREET1_Import_Export!$B$30/GREET1_Import_Export!$E$30)*907185/1000000</f>
        <v>406.92178754303131</v>
      </c>
      <c r="J121" s="1553">
        <f>MMULT(C121:I121+0,Li_Chemicals!B$12:B$18+0)+SUM(K88:M88)</f>
        <v>260.06957909770779</v>
      </c>
      <c r="K121" s="478">
        <f t="shared" si="25"/>
        <v>1925.0620547267351</v>
      </c>
      <c r="L121" s="234">
        <f t="shared" si="26"/>
        <v>7.7314313035790949</v>
      </c>
      <c r="M121" s="1318">
        <f>GREET1_Import_Export!C508</f>
        <v>14.891416269796229</v>
      </c>
      <c r="N121" s="1318">
        <f>L121*Li_Chemicals!C$13+M121*Li_Chemicals!C$15+SUM(N88:P88)</f>
        <v>142.71095739159648</v>
      </c>
      <c r="O121" s="749">
        <f>(GREET1_Import_Export!$B193*GREET1_Import_Export!$G$179+GREET1_Import_Export!$G193)*GREET1_Import_Export!$B$32/GREET1_Import_Export!$E$32*907185/1000000</f>
        <v>11.037911789947589</v>
      </c>
      <c r="P121" s="1463">
        <v>0</v>
      </c>
      <c r="Q121" s="1463">
        <v>0</v>
      </c>
      <c r="R121" s="1463">
        <f t="shared" si="27"/>
        <v>36.700291176757894</v>
      </c>
      <c r="S121" s="1463">
        <f>$G$12*GREET1_Import_Export!$E508
+$G$13*$L121
+$G$17*GREET1_Import_Export!$G508
+$G$19*$U121
+$G$20*GREET1_Import_Export!$B508
+$G$24*Other_Cathodes!$H166
+$G$27*$R121
+$G$28*$P121
+SUM($W88:$Y88)</f>
        <v>440.83475044953616</v>
      </c>
      <c r="T121" s="817">
        <f>$H$12*GREET1_Import_Export!$E508
+$H$13*$L121
+$H$17*GREET1_Import_Export!$G508
+$H$19*$U121
+$H$20*GREET1_Import_Export!$B508
+$H$24*Other_Cathodes!$H166
+$H$27*$R121
+$H$28*$P121
+SUM($Z88:$AB88)</f>
        <v>634.04265507700632</v>
      </c>
      <c r="U121" s="235">
        <f>B121*Li_Chemicals!$D$11+SUM(AC88:AD88)</f>
        <v>12.503781785292189</v>
      </c>
      <c r="V121" s="914">
        <f t="shared" si="22"/>
        <v>359.49042334121344</v>
      </c>
      <c r="W121" s="914">
        <f t="shared" si="28"/>
        <v>892.24653500695217</v>
      </c>
    </row>
    <row r="122" spans="1:23">
      <c r="A122" s="100" t="s">
        <v>829</v>
      </c>
      <c r="B122" s="578">
        <f>SUM(GREET1_Import_Export!B264:C264)*GREET1_Import_Export!$B$38/GREET1_Import_Export!$E$38*907185/1000000</f>
        <v>19506.544035629497</v>
      </c>
      <c r="C122" s="1553">
        <f>GREET1_Import_Export!F509</f>
        <v>4853.4223761591002</v>
      </c>
      <c r="D122" s="1553">
        <f t="shared" si="23"/>
        <v>837.66368798359076</v>
      </c>
      <c r="E122" s="1553">
        <f t="shared" si="24"/>
        <v>154.63021456012788</v>
      </c>
      <c r="F122" s="1553">
        <f>GREET1_Import_Export!C509+SUM('GREET2_Factors_T&amp;D'!X68:Y68)</f>
        <v>698.29874334924807</v>
      </c>
      <c r="G122" s="1553">
        <v>0</v>
      </c>
      <c r="H122" s="1553">
        <f>GREET1_Import_Export!H509</f>
        <v>120.91325997257937</v>
      </c>
      <c r="I122" s="1553">
        <f>IF(Li_Chemicals!$C$30="Methanol",SUM(GREET1_Import_Export!H230:I230)*GREET1_Import_Export!$B$29/GREET1_Import_Export!$E$29,SUM(GREET1_Import_Export!B475:C475)*GREET1_Import_Export!$B$30/GREET1_Import_Export!$E$30)*907185/1000000</f>
        <v>1603.0884443489858</v>
      </c>
      <c r="J122" s="1553">
        <f>MMULT(C122:I122+0,Li_Chemicals!B$12:B$18+0)+SUM(K89:M89)</f>
        <v>3657.0539033162695</v>
      </c>
      <c r="K122" s="478">
        <f t="shared" si="25"/>
        <v>20727.17184177976</v>
      </c>
      <c r="L122" s="234">
        <f t="shared" si="26"/>
        <v>695.20529768723293</v>
      </c>
      <c r="M122" s="1318">
        <f>GREET1_Import_Export!C509</f>
        <v>617.13478939951381</v>
      </c>
      <c r="N122" s="1318">
        <f>L122*Li_Chemicals!C$13+M122*Li_Chemicals!C$15+SUM(N89:P89)</f>
        <v>7184.4465281999574</v>
      </c>
      <c r="O122" s="749">
        <f>(GREET1_Import_Export!$B194*GREET1_Import_Export!$G$179+GREET1_Import_Export!$G194)*GREET1_Import_Export!$B$32/GREET1_Import_Export!$E$32*907185/1000000</f>
        <v>4030.6176532369877</v>
      </c>
      <c r="P122" s="1463">
        <v>0</v>
      </c>
      <c r="Q122" s="1463">
        <v>0</v>
      </c>
      <c r="R122" s="1463">
        <f t="shared" si="27"/>
        <v>534.68966595462632</v>
      </c>
      <c r="S122" s="1463">
        <f>$G$12*GREET1_Import_Export!$E509
+$G$13*$L122
+$G$17*GREET1_Import_Export!$G509
+$G$19*$U122
+$G$20*GREET1_Import_Export!$B509
+$G$24*Other_Cathodes!$H167
+$G$27*$R122
+$G$28*$P122
+SUM($W89:$Y89)</f>
        <v>25032.453332848592</v>
      </c>
      <c r="T122" s="817">
        <f>$H$12*GREET1_Import_Export!$E509
+$H$13*$L122
+$H$17*GREET1_Import_Export!$G509
+$H$19*$U122
+$H$20*GREET1_Import_Export!$B509
+$H$24*Other_Cathodes!$H167
+$H$27*$R122
+$H$28*$P122
+SUM($Z89:$AB89)</f>
        <v>38506.757775454367</v>
      </c>
      <c r="U122" s="235">
        <f>B122*Li_Chemicals!$D$11+SUM(AC89:AD89)</f>
        <v>2232.9390294617247</v>
      </c>
      <c r="V122" s="914">
        <f t="shared" si="22"/>
        <v>15413.523589559047</v>
      </c>
      <c r="W122" s="914">
        <f t="shared" si="28"/>
        <v>34950.840588719446</v>
      </c>
    </row>
    <row r="123" spans="1:23">
      <c r="A123" s="100" t="s">
        <v>830</v>
      </c>
      <c r="B123" s="578">
        <f>SUM(GREET1_Import_Export!B265:C265)*GREET1_Import_Export!$B$38/GREET1_Import_Export!$E$38*907185/1000000</f>
        <v>60.763717025699179</v>
      </c>
      <c r="C123" s="1553">
        <f>GREET1_Import_Export!F510</f>
        <v>61.971709689620333</v>
      </c>
      <c r="D123" s="1553">
        <f t="shared" si="23"/>
        <v>2.3954806829901982</v>
      </c>
      <c r="E123" s="1553">
        <f t="shared" si="24"/>
        <v>3.0221269216122333</v>
      </c>
      <c r="F123" s="1553">
        <f>GREET1_Import_Export!C510+SUM('GREET2_Factors_T&amp;D'!X69:Y69)</f>
        <v>2.2528518960862973</v>
      </c>
      <c r="G123" s="1553">
        <v>0</v>
      </c>
      <c r="H123" s="1553">
        <f>GREET1_Import_Export!H510</f>
        <v>0.80059138590309131</v>
      </c>
      <c r="I123" s="1553">
        <f>IF(Li_Chemicals!$C$30="Methanol",SUM(GREET1_Import_Export!H231:I231)*GREET1_Import_Export!$B$29/GREET1_Import_Export!$E$29,SUM(GREET1_Import_Export!B476:C476)*GREET1_Import_Export!$B$30/GREET1_Import_Export!$E$30)*907185/1000000</f>
        <v>606.95760020812668</v>
      </c>
      <c r="J123" s="1553">
        <f>MMULT(C123:I123+0,Li_Chemicals!B$12:B$18+0)+SUM(K90:M90)</f>
        <v>34.373389985252381</v>
      </c>
      <c r="K123" s="478">
        <f t="shared" si="25"/>
        <v>184.72235649777866</v>
      </c>
      <c r="L123" s="234">
        <f t="shared" si="26"/>
        <v>0.98921680655236355</v>
      </c>
      <c r="M123" s="1318">
        <f>GREET1_Import_Export!C510</f>
        <v>1.081973667413807</v>
      </c>
      <c r="N123" s="1318">
        <f>L123*Li_Chemicals!C$13+M123*Li_Chemicals!C$15+SUM(N90:P90)</f>
        <v>82.039345983776471</v>
      </c>
      <c r="O123" s="749">
        <f>(GREET1_Import_Export!$B195*GREET1_Import_Export!$G$179+GREET1_Import_Export!$G195)*GREET1_Import_Export!$B$32/GREET1_Import_Export!$E$32*907185/1000000</f>
        <v>8.1878912481456609</v>
      </c>
      <c r="P123" s="1463">
        <v>0</v>
      </c>
      <c r="Q123" s="1463">
        <v>0</v>
      </c>
      <c r="R123" s="1463">
        <f t="shared" si="27"/>
        <v>5.7998723192046313</v>
      </c>
      <c r="S123" s="1463">
        <f>$G$12*GREET1_Import_Export!$E510
+$G$13*$L123
+$G$17*GREET1_Import_Export!$G510
+$G$19*$U123
+$G$20*GREET1_Import_Export!$B510
+$G$24*Other_Cathodes!$H168
+$G$27*$R123
+$G$28*$P123
+SUM($W90:$Y90)</f>
        <v>121.67865842902577</v>
      </c>
      <c r="T123" s="817">
        <f>$H$12*GREET1_Import_Export!$E510
+$H$13*$L123
+$H$17*GREET1_Import_Export!$G510
+$H$19*$U123
+$H$20*GREET1_Import_Export!$B510
+$H$24*Other_Cathodes!$H168
+$H$27*$R123
+$H$28*$P123
+SUM($Z90:$AB90)</f>
        <v>312.17174524392891</v>
      </c>
      <c r="U123" s="235">
        <f>B123*Li_Chemicals!$D$11+SUM(AC90:AD90)</f>
        <v>13.236930930378509</v>
      </c>
      <c r="V123" s="914">
        <f t="shared" si="22"/>
        <v>82.391287629327749</v>
      </c>
      <c r="W123" s="914">
        <f t="shared" si="28"/>
        <v>286.68186749469885</v>
      </c>
    </row>
    <row r="124" spans="1:23">
      <c r="A124" s="100" t="s">
        <v>831</v>
      </c>
      <c r="B124" s="650">
        <f>SUM(GREET1_Import_Export!B266:C266)*GREET1_Import_Export!$B$38/GREET1_Import_Export!$E$38*907185/1000000</f>
        <v>8077449.7450958844</v>
      </c>
      <c r="C124" s="522">
        <f>GREET1_Import_Export!F511</f>
        <v>1769901.7206287128</v>
      </c>
      <c r="D124" s="522">
        <f t="shared" si="23"/>
        <v>739274.05369654135</v>
      </c>
      <c r="E124" s="522">
        <f t="shared" si="24"/>
        <v>98048.94452122807</v>
      </c>
      <c r="F124" s="522">
        <f>GREET1_Import_Export!C511+SUM('GREET2_Factors_T&amp;D'!X70:Y70)</f>
        <v>1214024.1694429915</v>
      </c>
      <c r="G124" s="522">
        <v>0</v>
      </c>
      <c r="H124" s="522">
        <f>GREET1_Import_Export!H511</f>
        <v>89315.415521881427</v>
      </c>
      <c r="I124" s="522">
        <f>IF(Li_Chemicals!$C$30="Methanol",SUM(GREET1_Import_Export!H232:I232)*GREET1_Import_Export!$B$29/GREET1_Import_Export!$E$29,SUM(GREET1_Import_Export!B477:C477)*GREET1_Import_Export!$B$30/GREET1_Import_Export!$E$30)*907185/1000000+IF(Li_Chemicals!$C$30="Methanol",GREET1_Import_Export!F29,GREET1_Import_Export!F30)/GREET1_Import_Export!B65*907185</f>
        <v>2048845.5876444005</v>
      </c>
      <c r="J124" s="522">
        <f>MMULT(C124:I124+0,Li_Chemicals!B$12:B$18+0)+SUM(K91:M91)</f>
        <v>2428959.0316934311</v>
      </c>
      <c r="K124" s="159">
        <f t="shared" si="25"/>
        <v>10563656.455954351</v>
      </c>
      <c r="L124" s="250">
        <f t="shared" si="26"/>
        <v>617790.99194299034</v>
      </c>
      <c r="M124" s="631">
        <f>GREET1_Import_Export!C511</f>
        <v>1143451.7836002663</v>
      </c>
      <c r="N124" s="631">
        <f>L124*Li_Chemicals!C$13+M124*Li_Chemicals!C$15+SUM(N91:P91)</f>
        <v>7404837.058707932</v>
      </c>
      <c r="O124" s="1092">
        <f>(GREET1_Import_Export!$B196*GREET1_Import_Export!$G$179+GREET1_Import_Export!$G196)*GREET1_Import_Export!$B$32/GREET1_Import_Export!$E$32*907185/1000000</f>
        <v>475375.51526265137</v>
      </c>
      <c r="P124" s="971">
        <v>0</v>
      </c>
      <c r="Q124" s="971">
        <v>0</v>
      </c>
      <c r="R124" s="971">
        <f t="shared" si="27"/>
        <v>429743.24847783247</v>
      </c>
      <c r="S124" s="971">
        <f>$G$12*GREET1_Import_Export!$E511
+$G$13*$L124
+$G$17*GREET1_Import_Export!$G511
+$G$19*$U124
+$G$20*GREET1_Import_Export!$B511
+$G$24*Other_Cathodes!$H169
+$G$27*$R124
+$G$28*$P124
+SUM($W91:$Y91)</f>
        <v>17678108.073095206</v>
      </c>
      <c r="T124" s="969">
        <f>$H$12*GREET1_Import_Export!$E511
+$H$13*$L124
+$H$17*GREET1_Import_Export!$G511
+$H$19*$U124
+$H$20*GREET1_Import_Export!$B511
+$H$24*Other_Cathodes!$H169
+$H$27*$R124
+$H$28*$P124
+SUM($Z91:$AB91)</f>
        <v>23680057.183039274</v>
      </c>
      <c r="U124" s="245">
        <f>B124*Li_Chemicals!$D$11+SUM(AC91:AD91)</f>
        <v>895848.49329510448</v>
      </c>
      <c r="V124" s="1127">
        <f t="shared" si="22"/>
        <v>10815991.004464408</v>
      </c>
      <c r="W124" s="1127">
        <f t="shared" si="28"/>
        <v>21056777.037622292</v>
      </c>
    </row>
    <row r="125" spans="1:23">
      <c r="A125" s="100" t="s">
        <v>850</v>
      </c>
      <c r="B125" s="251">
        <f>B124+B114*GREET1_Import_Export!$B$62/GREET1_Import_Export!$B$65+B115*GREET1_Import_Export!$B$63/GREET1_Import_Export!$B$65</f>
        <v>8083340.6067432091</v>
      </c>
      <c r="C125" s="246">
        <f>C124+C114*GREET1_Import_Export!$B$62/GREET1_Import_Export!$B$65+C115*GREET1_Import_Export!$B$63/GREET1_Import_Export!$B$65</f>
        <v>1772172.8412584027</v>
      </c>
      <c r="D125" s="246">
        <f>D124+D114*GREET1_Import_Export!$B$62/GREET1_Import_Export!$B$65+D115*GREET1_Import_Export!$B$63/GREET1_Import_Export!$B$65</f>
        <v>740877.5397980992</v>
      </c>
      <c r="E125" s="246">
        <f>E124+E114*GREET1_Import_Export!$B$62/GREET1_Import_Export!$B$65+E115*GREET1_Import_Export!$B$63/GREET1_Import_Export!$B$65</f>
        <v>98381.839031256211</v>
      </c>
      <c r="F125" s="246">
        <f>F124+F114*GREET1_Import_Export!$B$62/GREET1_Import_Export!$B$65+F115*GREET1_Import_Export!$B$63/GREET1_Import_Export!$B$65</f>
        <v>1215339.1000615379</v>
      </c>
      <c r="G125" s="246">
        <f>G124+G114*GREET1_Import_Export!$B$62/GREET1_Import_Export!$B$65+G115*GREET1_Import_Export!$B$63/GREET1_Import_Export!$B$65</f>
        <v>0</v>
      </c>
      <c r="H125" s="246">
        <f>H124+H114*GREET1_Import_Export!$B$62/GREET1_Import_Export!$B$65+H115*GREET1_Import_Export!$B$63/GREET1_Import_Export!$B$65</f>
        <v>89624.750733815716</v>
      </c>
      <c r="I125" s="246">
        <f>I124+I114*GREET1_Import_Export!$B$62/GREET1_Import_Export!$B$65+I115*GREET1_Import_Export!$B$63/GREET1_Import_Export!$B$65</f>
        <v>2059133.7209268559</v>
      </c>
      <c r="J125" s="246">
        <f>J124+J114*GREET1_Import_Export!$B$62/GREET1_Import_Export!$B$65+J115*GREET1_Import_Export!$B$63/GREET1_Import_Export!$B$65</f>
        <v>2435691.6500159758</v>
      </c>
      <c r="K125" s="247">
        <f>K124+K114*GREET1_Import_Export!$B$62/GREET1_Import_Export!$B$65+K115*GREET1_Import_Export!$B$63/GREET1_Import_Export!$B$65</f>
        <v>10597817.643909946</v>
      </c>
      <c r="L125" s="251">
        <f>L124+L114*GREET1_Import_Export!$B$62/GREET1_Import_Export!$B$65+L115*GREET1_Import_Export!$B$63/GREET1_Import_Export!$B$65</f>
        <v>618823.06689215824</v>
      </c>
      <c r="M125" s="246">
        <f>M124+M114*GREET1_Import_Export!$B$62/GREET1_Import_Export!$B$65+M115*GREET1_Import_Export!$B$63/GREET1_Import_Export!$B$65</f>
        <v>1144393.3366109836</v>
      </c>
      <c r="N125" s="246">
        <f>N124+N114*GREET1_Import_Export!$B$62/GREET1_Import_Export!$B$65+N115*GREET1_Import_Export!$B$63/GREET1_Import_Export!$B$65</f>
        <v>7415118.8792529777</v>
      </c>
      <c r="O125" s="1506">
        <f>O124+O114*GREET1_Import_Export!$B$62/GREET1_Import_Export!$B$65+O115*GREET1_Import_Export!$B$63/GREET1_Import_Export!$B$65</f>
        <v>476889.97894971562</v>
      </c>
      <c r="P125" s="1291">
        <f>P124+P114*GREET1_Import_Export!$B$62/GREET1_Import_Export!$B$65+P115*GREET1_Import_Export!$B$63/GREET1_Import_Export!$B$65</f>
        <v>0</v>
      </c>
      <c r="Q125" s="1291">
        <f>Q124+Q114*GREET1_Import_Export!$B$62/GREET1_Import_Export!$B$65+Q115*GREET1_Import_Export!$B$63/GREET1_Import_Export!$B$65</f>
        <v>0</v>
      </c>
      <c r="R125" s="1291">
        <f>R124+R114*GREET1_Import_Export!$B$62/GREET1_Import_Export!$B$65+R115*GREET1_Import_Export!$B$63/GREET1_Import_Export!$B$65</f>
        <v>430611.12500659353</v>
      </c>
      <c r="S125" s="1291">
        <f>S124+S114*GREET1_Import_Export!$B$62/GREET1_Import_Export!$B$65+S115*GREET1_Import_Export!$B$63/GREET1_Import_Export!$B$65</f>
        <v>17705831.090130694</v>
      </c>
      <c r="T125" s="1093">
        <f>T124+T114*GREET1_Import_Export!$B$62/GREET1_Import_Export!$B$65+T115*GREET1_Import_Export!$B$63/GREET1_Import_Export!$B$65</f>
        <v>23711597.889501471</v>
      </c>
      <c r="U125" s="247">
        <f>U124+U114*GREET1_Import_Export!$B$62/GREET1_Import_Export!$B$65+U115*GREET1_Import_Export!$B$63/GREET1_Import_Export!$B$65</f>
        <v>896697.19803515228</v>
      </c>
      <c r="V125" s="253">
        <f t="shared" si="22"/>
        <v>10834268.342079071</v>
      </c>
      <c r="W125" s="253">
        <f t="shared" si="28"/>
        <v>21088841.840383165</v>
      </c>
    </row>
    <row r="126" spans="1:23">
      <c r="A126" s="484" t="s">
        <v>851</v>
      </c>
      <c r="B126" s="251">
        <f>B125+SUMPRODUCT(B122:B123,GREET1_Import_Export!$B$51:$B$52)+SUMPRODUCT(B114:B116,GREET1_Import_Export!$B$55:$B$57)+SUMPRODUCT(B120:B121,GREET1_Import_Export!$B$58:$B$59)</f>
        <v>8684639.3128239047</v>
      </c>
      <c r="C126" s="246">
        <f>C125+SUMPRODUCT(C122:C123,GREET1_Import_Export!$B$51:$B$52)+SUMPRODUCT(C114:C116,GREET1_Import_Export!$B$55:$B$57)+SUMPRODUCT(C120:C121,GREET1_Import_Export!$B$58:$B$59)</f>
        <v>1934198.0156109252</v>
      </c>
      <c r="D126" s="246">
        <f>D125+SUMPRODUCT(D122:D123,GREET1_Import_Export!$B$51:$B$52)+SUMPRODUCT(D114:D116,GREET1_Import_Export!$B$55:$B$57)+SUMPRODUCT(D120:D121,GREET1_Import_Export!$B$58:$B$59)</f>
        <v>766642.25281859934</v>
      </c>
      <c r="E126" s="246">
        <f>E125+SUMPRODUCT(E122:E123,GREET1_Import_Export!$B$51:$B$52)+SUMPRODUCT(E114:E116,GREET1_Import_Export!$B$55:$B$57)+SUMPRODUCT(E120:E121,GREET1_Import_Export!$B$58:$B$59)</f>
        <v>103821.60910228729</v>
      </c>
      <c r="F126" s="246">
        <f>F125+SUMPRODUCT(F122:F123,GREET1_Import_Export!$B$51:$B$52)+SUMPRODUCT(F114:F116,GREET1_Import_Export!$B$55:$B$57)+SUMPRODUCT(F120:F121,GREET1_Import_Export!$B$58:$B$59)</f>
        <v>1236885.0681144781</v>
      </c>
      <c r="G126" s="246">
        <f>G125+SUMPRODUCT(G122:G123,GREET1_Import_Export!$B$51:$B$52)+SUMPRODUCT(G114:G116,GREET1_Import_Export!$B$55:$B$57)+SUMPRODUCT(G120:G121,GREET1_Import_Export!$B$58:$B$59)</f>
        <v>0</v>
      </c>
      <c r="H126" s="246">
        <f>H125+SUMPRODUCT(H122:H123,GREET1_Import_Export!$B$51:$B$52)+SUMPRODUCT(H114:H116,GREET1_Import_Export!$B$55:$B$57)+SUMPRODUCT(H120:H121,GREET1_Import_Export!$B$58:$B$59)</f>
        <v>93464.305250257414</v>
      </c>
      <c r="I126" s="246">
        <f>I125+SUMPRODUCT(I122:I123,GREET1_Import_Export!$B$51:$B$52)+SUMPRODUCT(I114:I116,GREET1_Import_Export!$B$55:$B$57)+SUMPRODUCT(I120:I121,GREET1_Import_Export!$B$58:$B$59)</f>
        <v>2268070.138312479</v>
      </c>
      <c r="J126" s="246">
        <f>J125+SUMPRODUCT(J122:J123,GREET1_Import_Export!$B$51:$B$52)+SUMPRODUCT(J114:J116,GREET1_Import_Export!$B$55:$B$57)+SUMPRODUCT(J120:J121,GREET1_Import_Export!$B$58:$B$59)</f>
        <v>2554512.2154615559</v>
      </c>
      <c r="K126" s="296">
        <f>K125+SUMPRODUCT(K122:K123,GREET1_Import_Export!$B$51:$B$52)+SUMPRODUCT(K114:K116,GREET1_Import_Export!$B$55:$B$57)+SUMPRODUCT(K120:K121,GREET1_Import_Export!$B$58:$B$59)</f>
        <v>11268584.223635251</v>
      </c>
      <c r="L126" s="251">
        <f>L125+SUMPRODUCT(L122:L123,GREET1_Import_Export!$B$51:$B$52)+SUMPRODUCT(L114:L116,GREET1_Import_Export!$B$55:$B$57)+SUMPRODUCT(L120:L121,GREET1_Import_Export!$B$58:$B$59)</f>
        <v>639941.36827651155</v>
      </c>
      <c r="M126" s="246">
        <f>M125+SUMPRODUCT(M122:M123,GREET1_Import_Export!$B$51:$B$52)+SUMPRODUCT(M114:M116,GREET1_Import_Export!$B$55:$B$57)+SUMPRODUCT(M120:M121,GREET1_Import_Export!$B$58:$B$59)</f>
        <v>1163194.1033148337</v>
      </c>
      <c r="N126" s="246">
        <f>N125+SUMPRODUCT(N122:N123,GREET1_Import_Export!$B$51:$B$52)+SUMPRODUCT(N114:N116,GREET1_Import_Export!$B$55:$B$57)+SUMPRODUCT(N120:N121,GREET1_Import_Export!$B$58:$B$59)</f>
        <v>7652392.7017846769</v>
      </c>
      <c r="O126" s="1492">
        <f>O125+SUMPRODUCT(O122:O123,GREET1_Import_Export!$B$51:$B$52)+SUMPRODUCT(O114:O116,GREET1_Import_Export!$B$55:$B$57)+SUMPRODUCT(O120:O121,GREET1_Import_Export!$B$58:$B$59)</f>
        <v>599978.29972758389</v>
      </c>
      <c r="P126" s="1292">
        <f>P125+SUMPRODUCT(P122:P123,GREET1_Import_Export!$B$51:$B$52)+SUMPRODUCT(P114:P116,GREET1_Import_Export!$B$55:$B$57)+SUMPRODUCT(P120:P121,GREET1_Import_Export!$B$58:$B$59)</f>
        <v>0</v>
      </c>
      <c r="Q126" s="1292">
        <f>Q125+SUMPRODUCT(Q122:Q123,GREET1_Import_Export!$B$51:$B$52)+SUMPRODUCT(Q114:Q116,GREET1_Import_Export!$B$55:$B$57)+SUMPRODUCT(Q120:Q121,GREET1_Import_Export!$B$58:$B$59)</f>
        <v>0</v>
      </c>
      <c r="R126" s="1292">
        <f>R125+SUMPRODUCT(R122:R123,GREET1_Import_Export!$B$51:$B$52)+SUMPRODUCT(R114:R116,GREET1_Import_Export!$B$55:$B$57)+SUMPRODUCT(R120:R121,GREET1_Import_Export!$B$58:$B$59)</f>
        <v>448188.78114982153</v>
      </c>
      <c r="S126" s="1292">
        <f>S125+SUMPRODUCT(S122:S123,GREET1_Import_Export!$B$51:$B$52)+SUMPRODUCT(S114:S116,GREET1_Import_Export!$B$55:$B$57)+SUMPRODUCT(S120:S121,GREET1_Import_Export!$B$58:$B$59)</f>
        <v>18489049.534599844</v>
      </c>
      <c r="T126" s="1493">
        <f>T125+SUMPRODUCT(T122:T123,GREET1_Import_Export!$B$51:$B$52)+SUMPRODUCT(T114:T116,GREET1_Import_Export!$B$55:$B$57)+SUMPRODUCT(T120:T121,GREET1_Import_Export!$B$58:$B$59)</f>
        <v>24949526.135254744</v>
      </c>
      <c r="U126" s="247">
        <f>U125+SUMPRODUCT(U122:U123,GREET1_Import_Export!$B$51:$B$52)+SUMPRODUCT(U114:U116,GREET1_Import_Export!$B$55:$B$57)+SUMPRODUCT(U120:U121,GREET1_Import_Export!$B$58:$B$59)</f>
        <v>967193.15561555431</v>
      </c>
      <c r="V126" s="253">
        <f t="shared" si="22"/>
        <v>11318507.740987616</v>
      </c>
      <c r="W126" s="253">
        <f t="shared" si="28"/>
        <v>22213337.752930846</v>
      </c>
    </row>
    <row r="127" spans="1:23">
      <c r="A127" s="487" t="s">
        <v>1031</v>
      </c>
      <c r="B127" s="582"/>
      <c r="C127" s="649"/>
      <c r="D127" s="649"/>
      <c r="E127" s="649"/>
      <c r="F127" s="649"/>
      <c r="G127" s="649"/>
      <c r="H127" s="649"/>
      <c r="I127" s="649"/>
      <c r="J127" s="649"/>
      <c r="K127" s="478"/>
      <c r="L127" s="240"/>
      <c r="M127" s="241"/>
      <c r="N127" s="241"/>
      <c r="O127" s="749"/>
      <c r="P127" s="1463"/>
      <c r="Q127" s="1463"/>
      <c r="R127" s="1463"/>
      <c r="S127" s="1463"/>
      <c r="T127" s="817"/>
      <c r="U127" s="248"/>
      <c r="V127" s="915"/>
      <c r="W127" s="915"/>
    </row>
    <row r="128" spans="1:23">
      <c r="A128" s="100" t="s">
        <v>821</v>
      </c>
      <c r="B128" s="578">
        <f>SUM(GREET1_Import_Export!B271:C271)*GREET1_Import_Export!$B$38/GREET1_Import_Export!$E$38*907185/1000000</f>
        <v>65.102502638714554</v>
      </c>
      <c r="C128" s="1553">
        <f>GREET1_Import_Export!F513</f>
        <v>10.520118231111306</v>
      </c>
      <c r="D128" s="1553">
        <f t="shared" ref="D128:D135" si="29">SUM(B93:D93)</f>
        <v>5.1087358878746052</v>
      </c>
      <c r="E128" s="1553">
        <f t="shared" ref="E128:E135" si="30">SUM(H93:J93)</f>
        <v>1.6225954591443816</v>
      </c>
      <c r="F128" s="1553">
        <f>GREET1_Import_Export!C513+SUM('GREET2_Factors_T&amp;D'!X72:Y72)</f>
        <v>2.6926138023441397</v>
      </c>
      <c r="G128" s="1553">
        <v>0</v>
      </c>
      <c r="H128" s="1553">
        <f>GREET1_Import_Export!H513</f>
        <v>2.4419277628374165</v>
      </c>
      <c r="I128" s="1553">
        <f>IF(Li_Chemicals!$C$30="Methanol",SUM(GREET1_Import_Export!H237:I237)*GREET1_Import_Export!$B$29/GREET1_Import_Export!$E$29,SUM(GREET1_Import_Export!B482:C482)*GREET1_Import_Export!$B$30/GREET1_Import_Export!$E$30)*907185/1000000</f>
        <v>2.4839424873103351</v>
      </c>
      <c r="J128" s="1553">
        <f>MMULT(C128:I128+0,Li_Chemicals!B$12:B$18+0)+SUM(K93:M93)</f>
        <v>21.490679519770751</v>
      </c>
      <c r="K128" s="478">
        <f t="shared" ref="K128:K135" si="31">$F128*$E$15+J128*$E$22+SUM($Q93:$S93)</f>
        <v>69.623678132222267</v>
      </c>
      <c r="L128" s="234">
        <f t="shared" ref="L128:L135" si="32">SUM(E93:G93)</f>
        <v>1.8055091529561156</v>
      </c>
      <c r="M128" s="1318">
        <f>GREET1_Import_Export!C513</f>
        <v>0.98303250272448806</v>
      </c>
      <c r="N128" s="1318">
        <f>L128*Li_Chemicals!C$13+M128*Li_Chemicals!C$15+SUM(N93:P93)</f>
        <v>89.45874500916328</v>
      </c>
      <c r="O128" s="749">
        <f>(GREET1_Import_Export!$B201*GREET1_Import_Export!$G$179+GREET1_Import_Export!$G201)*GREET1_Import_Export!$B$32/GREET1_Import_Export!$E$32*907185/1000000</f>
        <v>101.68766282305741</v>
      </c>
      <c r="P128" s="1463">
        <v>0</v>
      </c>
      <c r="Q128" s="1463">
        <v>0</v>
      </c>
      <c r="R128" s="1463">
        <f t="shared" ref="R128:R135" si="33">$F$13*$L128+$F$25*$O128++$F$26*$Q128+SUM($T93:$V93)</f>
        <v>12.924518574988634</v>
      </c>
      <c r="S128" s="1463">
        <f>$G$12*GREET1_Import_Export!$E513
+$G$13*$L128
+$G$17*GREET1_Import_Export!$G513
+$G$19*$U128+
$G$20*GREET1_Import_Export!$B513
+$G$24*Other_Cathodes!$H171
+$G$27*$R128
+$G$28*$P128
+SUM($W93:$Y93)</f>
        <v>115.55353792784172</v>
      </c>
      <c r="T128" s="817">
        <f>$H$12*GREET1_Import_Export!$E513
+$H$13*$L128
+$H$17*GREET1_Import_Export!$G513
+$H$19*$U128+
$H$20*GREET1_Import_Export!$B513
+$H$24*Other_Cathodes!$H171
+$H$27*$R128
+$H$28*$P128
+SUM($Z93:$AB93)</f>
        <v>208.47535093820485</v>
      </c>
      <c r="U128" s="235">
        <f>B128*Li_Chemicals!$D$11+SUM(AC93:AD93)</f>
        <v>7.470762412753249</v>
      </c>
      <c r="V128" s="914">
        <f t="shared" si="22"/>
        <v>73.225251644209791</v>
      </c>
      <c r="W128" s="914">
        <f t="shared" ref="W128:W135" si="34">$B$7*K128+$D$7*T128</f>
        <v>180.70501637700835</v>
      </c>
    </row>
    <row r="129" spans="1:23">
      <c r="A129" s="100" t="s">
        <v>822</v>
      </c>
      <c r="B129" s="578">
        <f>SUM(GREET1_Import_Export!B272:C272)*GREET1_Import_Export!$B$38/GREET1_Import_Export!$E$38*907185/1000000</f>
        <v>31.267872523163941</v>
      </c>
      <c r="C129" s="1553">
        <f>GREET1_Import_Export!F514</f>
        <v>55.938971972883472</v>
      </c>
      <c r="D129" s="1553">
        <f t="shared" si="29"/>
        <v>3.870541005622536</v>
      </c>
      <c r="E129" s="1553">
        <f t="shared" si="30"/>
        <v>3.8792387003670421</v>
      </c>
      <c r="F129" s="1553">
        <f>GREET1_Import_Export!C514+SUM('GREET2_Factors_T&amp;D'!X73:Y73)</f>
        <v>3.4911031414864713</v>
      </c>
      <c r="G129" s="1553">
        <v>0</v>
      </c>
      <c r="H129" s="1553">
        <f>GREET1_Import_Export!H514</f>
        <v>2.0580637849257619</v>
      </c>
      <c r="I129" s="1553">
        <f>IF(Li_Chemicals!$C$30="Methanol",SUM(GREET1_Import_Export!H238:I238)*GREET1_Import_Export!$B$29/GREET1_Import_Export!$E$29,SUM(GREET1_Import_Export!B483:C483)*GREET1_Import_Export!$B$30/GREET1_Import_Export!$E$30)*907185/1000000</f>
        <v>1.6514644544588766</v>
      </c>
      <c r="J129" s="1553">
        <f>MMULT(C129:I129+0,Li_Chemicals!B$12:B$18+0)+SUM(K94:M94)</f>
        <v>36.774254572737895</v>
      </c>
      <c r="K129" s="478">
        <f t="shared" si="31"/>
        <v>148.62693993910625</v>
      </c>
      <c r="L129" s="234">
        <f t="shared" si="32"/>
        <v>1.3018767606819317</v>
      </c>
      <c r="M129" s="1318">
        <f>GREET1_Import_Export!C514</f>
        <v>2.3826572118045588</v>
      </c>
      <c r="N129" s="1318">
        <f>L129*Li_Chemicals!C$13+M129*Li_Chemicals!C$15+SUM(N94:P94)</f>
        <v>61.282104266662749</v>
      </c>
      <c r="O129" s="749">
        <f>(GREET1_Import_Export!$B202*GREET1_Import_Export!$G$179+GREET1_Import_Export!$G202)*GREET1_Import_Export!$B$32/GREET1_Import_Export!$E$32*907185/1000000</f>
        <v>66.274076819239838</v>
      </c>
      <c r="P129" s="1463">
        <v>0</v>
      </c>
      <c r="Q129" s="1463">
        <v>0</v>
      </c>
      <c r="R129" s="1463">
        <f t="shared" si="33"/>
        <v>8.4195141757348235</v>
      </c>
      <c r="S129" s="1463">
        <f>$G$12*GREET1_Import_Export!$E514
+$G$13*$L129
+$G$17*GREET1_Import_Export!$G514
+$G$19*$U129+
$G$20*GREET1_Import_Export!$B514
+$G$24*Other_Cathodes!$H172
+$G$27*$R129
+$G$28*$P129
+SUM($W94:$Y94)</f>
        <v>146.71162840064792</v>
      </c>
      <c r="T129" s="817">
        <f>$H$12*GREET1_Import_Export!$E514
+$H$13*$L129
+$H$17*GREET1_Import_Export!$G514
+$H$19*$U129+
$H$20*GREET1_Import_Export!$B514
+$H$24*Other_Cathodes!$H172
+$H$27*$R129
+$H$28*$P129
+SUM($Z94:$AB94)</f>
        <v>497.62138004386304</v>
      </c>
      <c r="U129" s="235">
        <f>B129*Li_Chemicals!$D$11+SUM(AC94:AD94)</f>
        <v>19.528673281142161</v>
      </c>
      <c r="V129" s="914">
        <f t="shared" si="22"/>
        <v>97.239810178088419</v>
      </c>
      <c r="W129" s="914">
        <f t="shared" si="34"/>
        <v>427.82249202291172</v>
      </c>
    </row>
    <row r="130" spans="1:23">
      <c r="A130" s="100" t="s">
        <v>823</v>
      </c>
      <c r="B130" s="578">
        <f>SUM(GREET1_Import_Export!B273:C273)*GREET1_Import_Export!$B$38/GREET1_Import_Export!$E$38*907185/1000000</f>
        <v>112.56592668750287</v>
      </c>
      <c r="C130" s="1553">
        <f>GREET1_Import_Export!F515</f>
        <v>186.20924112745982</v>
      </c>
      <c r="D130" s="1553">
        <f t="shared" si="29"/>
        <v>7.3716947212246868</v>
      </c>
      <c r="E130" s="1553">
        <f t="shared" si="30"/>
        <v>12.913586646660759</v>
      </c>
      <c r="F130" s="1553">
        <f>GREET1_Import_Export!C515+SUM('GREET2_Factors_T&amp;D'!X74:Y74)</f>
        <v>7.8861395872695006</v>
      </c>
      <c r="G130" s="1553">
        <v>0</v>
      </c>
      <c r="H130" s="1553">
        <f>GREET1_Import_Export!H515</f>
        <v>4.2993952844985772</v>
      </c>
      <c r="I130" s="1553">
        <f>IF(Li_Chemicals!$C$30="Methanol",SUM(GREET1_Import_Export!H239:I239)*GREET1_Import_Export!$B$29/GREET1_Import_Export!$E$29,SUM(GREET1_Import_Export!B484:C484)*GREET1_Import_Export!$B$30/GREET1_Import_Export!$E$30)*907185/1000000</f>
        <v>2.7947455166849169</v>
      </c>
      <c r="J130" s="1553">
        <f>MMULT(C130:I130+0,Li_Chemicals!B$12:B$18+0)+SUM(K95:M95)</f>
        <v>111.1094655708543</v>
      </c>
      <c r="K130" s="478">
        <f t="shared" si="31"/>
        <v>461.12750599463209</v>
      </c>
      <c r="L130" s="234">
        <f t="shared" si="32"/>
        <v>3.112696215505999</v>
      </c>
      <c r="M130" s="1318">
        <f>GREET1_Import_Export!C515</f>
        <v>6.0852834120914387</v>
      </c>
      <c r="N130" s="1318">
        <f>L130*Li_Chemicals!C$13+M130*Li_Chemicals!C$15+SUM(N95:P95)</f>
        <v>107.15235092849241</v>
      </c>
      <c r="O130" s="749">
        <f>(GREET1_Import_Export!$B203*GREET1_Import_Export!$G$179+GREET1_Import_Export!$G203)*GREET1_Import_Export!$B$32/GREET1_Import_Export!$E$32*907185/1000000</f>
        <v>102.89274365953777</v>
      </c>
      <c r="P130" s="1463">
        <v>0</v>
      </c>
      <c r="Q130" s="1463">
        <v>0</v>
      </c>
      <c r="R130" s="1463">
        <f t="shared" si="33"/>
        <v>13.154455911837935</v>
      </c>
      <c r="S130" s="1463">
        <f>$G$12*GREET1_Import_Export!$E515
+$G$13*$L130
+$G$17*GREET1_Import_Export!$G515
+$G$19*$U130+
$G$20*GREET1_Import_Export!$B515
+$G$24*Other_Cathodes!$H173
+$G$27*$R130
+$G$28*$P130
+SUM($W95:$Y95)</f>
        <v>461.97308931022633</v>
      </c>
      <c r="T130" s="817">
        <f>$H$12*GREET1_Import_Export!$E515
+$H$13*$L130
+$H$17*GREET1_Import_Export!$G515
+$H$19*$U130+
$H$20*GREET1_Import_Export!$B515
+$H$24*Other_Cathodes!$H173
+$H$27*$R130
+$H$28*$P130
+SUM($Z95:$AB95)</f>
        <v>1556.1973501293214</v>
      </c>
      <c r="U130" s="235">
        <f>B130*Li_Chemicals!$D$11+SUM(AC95:AD95)</f>
        <v>48.168553647206743</v>
      </c>
      <c r="V130" s="914">
        <f t="shared" si="22"/>
        <v>304.08445862750892</v>
      </c>
      <c r="W130" s="914">
        <f t="shared" si="34"/>
        <v>1337.1833813023836</v>
      </c>
    </row>
    <row r="131" spans="1:23">
      <c r="A131" s="59" t="s">
        <v>824</v>
      </c>
      <c r="B131" s="578">
        <f>SUM(GREET1_Import_Export!B274:C274)*GREET1_Import_Export!$B$38/GREET1_Import_Export!$E$38*907185/1000000</f>
        <v>62.106890626422327</v>
      </c>
      <c r="C131" s="1553">
        <f>GREET1_Import_Export!F516</f>
        <v>24.295567226485108</v>
      </c>
      <c r="D131" s="1553">
        <f t="shared" si="29"/>
        <v>0.99985050053771396</v>
      </c>
      <c r="E131" s="1553">
        <f t="shared" si="30"/>
        <v>1.7261067837278778</v>
      </c>
      <c r="F131" s="1553">
        <f>GREET1_Import_Export!C516+SUM('GREET2_Factors_T&amp;D'!X75:Y75)</f>
        <v>0.96259226655456609</v>
      </c>
      <c r="G131" s="1553">
        <v>0</v>
      </c>
      <c r="H131" s="1553">
        <f>GREET1_Import_Export!H516</f>
        <v>0.67067544099813825</v>
      </c>
      <c r="I131" s="1553">
        <f>IF(Li_Chemicals!$C$30="Methanol",SUM(GREET1_Import_Export!H240:I240)*GREET1_Import_Export!$B$29/GREET1_Import_Export!$E$29,SUM(GREET1_Import_Export!B485:C485)*GREET1_Import_Export!$B$30/GREET1_Import_Export!$E$30)*907185/1000000</f>
        <v>0.51202230659761616</v>
      </c>
      <c r="J131" s="1553">
        <f>MMULT(C131:I131+0,Li_Chemicals!B$12:B$18+0)+SUM(K96:M96)</f>
        <v>14.772846988066227</v>
      </c>
      <c r="K131" s="478">
        <f t="shared" si="31"/>
        <v>60.026444436622413</v>
      </c>
      <c r="L131" s="234">
        <f t="shared" si="32"/>
        <v>0.36164632018421883</v>
      </c>
      <c r="M131" s="1318">
        <f>GREET1_Import_Export!C516</f>
        <v>0.63211602754707863</v>
      </c>
      <c r="N131" s="1318">
        <f>L131*Li_Chemicals!C$13+M131*Li_Chemicals!C$15+SUM(N96:P96)</f>
        <v>18.191455047960208</v>
      </c>
      <c r="O131" s="749">
        <f>(GREET1_Import_Export!$B204*GREET1_Import_Export!$G$179+GREET1_Import_Export!$G204)*GREET1_Import_Export!$B$32/GREET1_Import_Export!$E$32*907185/1000000</f>
        <v>18.306521946299327</v>
      </c>
      <c r="P131" s="1463">
        <v>0</v>
      </c>
      <c r="Q131" s="1463">
        <v>0</v>
      </c>
      <c r="R131" s="1463">
        <f t="shared" si="33"/>
        <v>2.3475629390715671</v>
      </c>
      <c r="S131" s="1463">
        <f>$G$12*GREET1_Import_Export!$E516
+$G$13*$L131
+$G$17*GREET1_Import_Export!$G516
+$G$19*$U131+
$G$20*GREET1_Import_Export!$B516
+$G$24*Other_Cathodes!$H174
+$G$27*$R131
+$G$28*$P131
+SUM($W96:$Y96)</f>
        <v>59.040563333168578</v>
      </c>
      <c r="T131" s="817">
        <f>$H$12*GREET1_Import_Export!$E516
+$H$13*$L131
+$H$17*GREET1_Import_Export!$G516
+$H$19*$U131+
$H$20*GREET1_Import_Export!$B516
+$H$24*Other_Cathodes!$H174
+$H$27*$R131
+$H$28*$P131
+SUM($Z96:$AB96)</f>
        <v>193.8877528277489</v>
      </c>
      <c r="U131" s="235">
        <f>B131*Li_Chemicals!$D$11+SUM(AC96:AD96)</f>
        <v>8.6079898755767417</v>
      </c>
      <c r="V131" s="914">
        <f t="shared" si="22"/>
        <v>39.120090977872522</v>
      </c>
      <c r="W131" s="914">
        <f t="shared" si="34"/>
        <v>167.11549114952362</v>
      </c>
    </row>
    <row r="132" spans="1:23">
      <c r="A132" s="100" t="s">
        <v>825</v>
      </c>
      <c r="B132" s="578">
        <f>SUM(GREET1_Import_Export!B275:C275)*GREET1_Import_Export!$B$38/GREET1_Import_Export!$E$38*907185/1000000</f>
        <v>60.64504305200991</v>
      </c>
      <c r="C132" s="1553">
        <f>GREET1_Import_Export!F517</f>
        <v>20.753212315119033</v>
      </c>
      <c r="D132" s="1553">
        <f t="shared" si="29"/>
        <v>0.86848938544714516</v>
      </c>
      <c r="E132" s="1553">
        <f t="shared" si="30"/>
        <v>1.4580819886554277</v>
      </c>
      <c r="F132" s="1553">
        <f>GREET1_Import_Export!C517+SUM('GREET2_Factors_T&amp;D'!X76:Y76)</f>
        <v>0.84474441199715478</v>
      </c>
      <c r="G132" s="1553">
        <v>0</v>
      </c>
      <c r="H132" s="1553">
        <f>GREET1_Import_Export!H517</f>
        <v>0.57357426157881031</v>
      </c>
      <c r="I132" s="1553">
        <f>IF(Li_Chemicals!$C$30="Methanol",SUM(GREET1_Import_Export!H241:I241)*GREET1_Import_Export!$B$29/GREET1_Import_Export!$E$29,SUM(GREET1_Import_Export!B486:C486)*GREET1_Import_Export!$B$30/GREET1_Import_Export!$E$30)*907185/1000000</f>
        <v>0.45010787990649131</v>
      </c>
      <c r="J132" s="1553">
        <f>MMULT(C132:I132+0,Li_Chemicals!B$12:B$18+0)+SUM(K97:M97)</f>
        <v>12.536847864886781</v>
      </c>
      <c r="K132" s="478">
        <f t="shared" si="31"/>
        <v>50.866675322655247</v>
      </c>
      <c r="L132" s="234">
        <f t="shared" si="32"/>
        <v>0.31726915113256571</v>
      </c>
      <c r="M132" s="1318">
        <f>GREET1_Import_Export!C517</f>
        <v>0.5558056675291263</v>
      </c>
      <c r="N132" s="1318">
        <f>L132*Li_Chemicals!C$13+M132*Li_Chemicals!C$15+SUM(N97:P97)</f>
        <v>15.964857010629878</v>
      </c>
      <c r="O132" s="749">
        <f>(GREET1_Import_Export!$B205*GREET1_Import_Export!$G$179+GREET1_Import_Export!$G205)*GREET1_Import_Export!$B$32/GREET1_Import_Export!$E$32*907185/1000000</f>
        <v>15.798124155768509</v>
      </c>
      <c r="P132" s="1463">
        <v>0</v>
      </c>
      <c r="Q132" s="1463">
        <v>0</v>
      </c>
      <c r="R132" s="1463">
        <f t="shared" si="33"/>
        <v>2.0293172797735242</v>
      </c>
      <c r="S132" s="1463">
        <f>$G$12*GREET1_Import_Export!$E517
+$G$13*$L132
+$G$17*GREET1_Import_Export!$G517
+$G$19*$U132+
$G$20*GREET1_Import_Export!$B517
+$G$24*Other_Cathodes!$H175
+$G$27*$R132
+$G$28*$P132
+SUM($W97:$Y97)</f>
        <v>49.943353140582317</v>
      </c>
      <c r="T132" s="817">
        <f>$H$12*GREET1_Import_Export!$E517
+$H$13*$L132
+$H$17*GREET1_Import_Export!$G517
+$H$19*$U132+
$H$20*GREET1_Import_Export!$B517
+$H$24*Other_Cathodes!$H175
+$H$27*$R132
+$H$28*$P132
+SUM($Z97:$AB97)</f>
        <v>164.07261976127248</v>
      </c>
      <c r="U132" s="235">
        <f>B132*Li_Chemicals!$D$11+SUM(AC97:AD97)</f>
        <v>7.9672711203755178</v>
      </c>
      <c r="V132" s="914">
        <f t="shared" si="22"/>
        <v>33.110425766519327</v>
      </c>
      <c r="W132" s="914">
        <f t="shared" si="34"/>
        <v>141.43143087354903</v>
      </c>
    </row>
    <row r="133" spans="1:23">
      <c r="A133" s="59" t="s">
        <v>826</v>
      </c>
      <c r="B133" s="578">
        <f>SUM(GREET1_Import_Export!B276:C276)*GREET1_Import_Export!$B$38/GREET1_Import_Export!$E$38*907185/1000000</f>
        <v>30.54927098062981</v>
      </c>
      <c r="C133" s="1553">
        <f>GREET1_Import_Export!F518</f>
        <v>223.20434422276813</v>
      </c>
      <c r="D133" s="1553">
        <f t="shared" si="29"/>
        <v>2.0287524841640714</v>
      </c>
      <c r="E133" s="1553">
        <f t="shared" si="30"/>
        <v>15.651687528654319</v>
      </c>
      <c r="F133" s="1553">
        <f>GREET1_Import_Export!C518+SUM('GREET2_Factors_T&amp;D'!X77:Y77)</f>
        <v>4.7414414959622784</v>
      </c>
      <c r="G133" s="1553">
        <v>0</v>
      </c>
      <c r="H133" s="1553">
        <f>GREET1_Import_Export!H518</f>
        <v>3.2905438203151762</v>
      </c>
      <c r="I133" s="1553">
        <f>IF(Li_Chemicals!$C$30="Methanol",SUM(GREET1_Import_Export!H242:I242)*GREET1_Import_Export!$B$29/GREET1_Import_Export!$E$29,SUM(GREET1_Import_Export!B487:C487)*GREET1_Import_Export!$B$30/GREET1_Import_Export!$E$30)*907185/1000000</f>
        <v>1.2263470398963903</v>
      </c>
      <c r="J133" s="1553">
        <f>MMULT(C133:I133+0,Li_Chemicals!B$12:B$18+0)+SUM(K98:M98)</f>
        <v>120.83592486822867</v>
      </c>
      <c r="K133" s="478">
        <f t="shared" si="31"/>
        <v>524.84158601621687</v>
      </c>
      <c r="L133" s="234">
        <f t="shared" si="32"/>
        <v>0.81705586183993817</v>
      </c>
      <c r="M133" s="1318">
        <f>GREET1_Import_Export!C518</f>
        <v>4.0348874062284592</v>
      </c>
      <c r="N133" s="1318">
        <f>L133*Li_Chemicals!C$13+M133*Li_Chemicals!C$15+SUM(N98:P98)</f>
        <v>45.541607840894983</v>
      </c>
      <c r="O133" s="749">
        <f>(GREET1_Import_Export!$B206*GREET1_Import_Export!$G$179+GREET1_Import_Export!$G206)*GREET1_Import_Export!$B$32/GREET1_Import_Export!$E$32*907185/1000000</f>
        <v>35.767513369018673</v>
      </c>
      <c r="P133" s="1463">
        <v>0</v>
      </c>
      <c r="Q133" s="1463">
        <v>0</v>
      </c>
      <c r="R133" s="1463">
        <f t="shared" si="33"/>
        <v>4.6425816361901155</v>
      </c>
      <c r="S133" s="1463">
        <f>$G$12*GREET1_Import_Export!$E518
+$G$13*$L133
+$G$17*GREET1_Import_Export!$G518
+$G$19*$U133+
$G$20*GREET1_Import_Export!$B518
+$G$24*Other_Cathodes!$H176
+$G$27*$R133
+$G$28*$P133
+SUM($W98:$Y98)</f>
        <v>459.89807004073089</v>
      </c>
      <c r="T133" s="817">
        <f>$H$12*GREET1_Import_Export!$E518
+$H$13*$L133
+$H$17*GREET1_Import_Export!$G518
+$H$19*$U133+
$H$20*GREET1_Import_Export!$B518
+$H$24*Other_Cathodes!$H176
+$H$27*$R133
+$H$28*$P133
+SUM($Z98:$AB98)</f>
        <v>1724.344631928976</v>
      </c>
      <c r="U133" s="235">
        <f>B133*Li_Chemicals!$D$11+SUM(AC98:AD98)</f>
        <v>35.339013538021113</v>
      </c>
      <c r="V133" s="914">
        <f t="shared" si="22"/>
        <v>307.32010471310491</v>
      </c>
      <c r="W133" s="914">
        <f t="shared" si="34"/>
        <v>1484.4440227464243</v>
      </c>
    </row>
    <row r="134" spans="1:23">
      <c r="A134" s="100" t="s">
        <v>827</v>
      </c>
      <c r="B134" s="578">
        <f>SUM(GREET1_Import_Export!B277:C277)*GREET1_Import_Export!$B$38/GREET1_Import_Export!$E$38*907185/1000000</f>
        <v>5.977777523680416</v>
      </c>
      <c r="C134" s="1553">
        <f>GREET1_Import_Export!F519</f>
        <v>1.0813451371081595</v>
      </c>
      <c r="D134" s="1553">
        <f t="shared" si="29"/>
        <v>0.10221178354942029</v>
      </c>
      <c r="E134" s="1553">
        <f t="shared" si="30"/>
        <v>8.3296113867700611E-2</v>
      </c>
      <c r="F134" s="1553">
        <f>GREET1_Import_Export!C519+SUM('GREET2_Factors_T&amp;D'!X78:Y78)</f>
        <v>6.9093272806340894E-2</v>
      </c>
      <c r="G134" s="1553">
        <v>0</v>
      </c>
      <c r="H134" s="1553">
        <f>GREET1_Import_Export!H519</f>
        <v>5.6521552352692253E-2</v>
      </c>
      <c r="I134" s="1553">
        <f>IF(Li_Chemicals!$C$30="Methanol",SUM(GREET1_Import_Export!H243:I243)*GREET1_Import_Export!$B$29/GREET1_Import_Export!$E$29,SUM(GREET1_Import_Export!B488:C488)*GREET1_Import_Export!$B$30/GREET1_Import_Export!$E$30)*907185/1000000</f>
        <v>4.8047367723872449E-2</v>
      </c>
      <c r="J134" s="1553">
        <f>MMULT(C134:I134+0,Li_Chemicals!B$12:B$18+0)+SUM(K99:M99)</f>
        <v>0.80873512040821061</v>
      </c>
      <c r="K134" s="478">
        <f t="shared" si="31"/>
        <v>3.0466483870098271</v>
      </c>
      <c r="L134" s="234">
        <f t="shared" si="32"/>
        <v>3.5430452542964348E-2</v>
      </c>
      <c r="M134" s="1318">
        <f>GREET1_Import_Export!C519</f>
        <v>3.5884710133770592E-2</v>
      </c>
      <c r="N134" s="1318">
        <f>L134*Li_Chemicals!C$13+M134*Li_Chemicals!C$15+SUM(N99:P99)</f>
        <v>1.7255878835326777</v>
      </c>
      <c r="O134" s="749">
        <f>(GREET1_Import_Export!$B207*GREET1_Import_Export!$G$179+GREET1_Import_Export!$G207)*GREET1_Import_Export!$B$32/GREET1_Import_Export!$E$32*907185/1000000</f>
        <v>2.0101571534457441</v>
      </c>
      <c r="P134" s="1463">
        <v>0</v>
      </c>
      <c r="Q134" s="1463">
        <v>0</v>
      </c>
      <c r="R134" s="1463">
        <f t="shared" si="33"/>
        <v>0.25496096789781492</v>
      </c>
      <c r="S134" s="1463">
        <f>$G$12*GREET1_Import_Export!$E519
+$G$13*$L134
+$G$17*GREET1_Import_Export!$G519
+$G$19*$U134+
$G$20*GREET1_Import_Export!$B519
+$G$24*Other_Cathodes!$H177
+$G$27*$R134
+$G$28*$P134
+SUM($W99:$Y99)</f>
        <v>3.7032124888183944</v>
      </c>
      <c r="T134" s="817">
        <f>$H$12*GREET1_Import_Export!$E519
+$H$13*$L134
+$H$17*GREET1_Import_Export!$G519
+$H$19*$U134+
$H$20*GREET1_Import_Export!$B519
+$H$24*Other_Cathodes!$H177
+$H$27*$R134
+$H$28*$P134
+SUM($Z99:$AB99)</f>
        <v>9.7134402776934685</v>
      </c>
      <c r="U134" s="235">
        <f>B134*Li_Chemicals!$D$11+SUM(AC99:AD99)</f>
        <v>0.60552266139769584</v>
      </c>
      <c r="V134" s="914">
        <f t="shared" si="22"/>
        <v>2.4006976730338119</v>
      </c>
      <c r="W134" s="914">
        <f t="shared" si="34"/>
        <v>8.3800818995567408</v>
      </c>
    </row>
    <row r="135" spans="1:23">
      <c r="A135" s="484" t="s">
        <v>828</v>
      </c>
      <c r="B135" s="584">
        <f>SUM(GREET1_Import_Export!B278:C278)*GREET1_Import_Export!$B$38/GREET1_Import_Export!$E$38*907185/1000000</f>
        <v>15.616910504651731</v>
      </c>
      <c r="C135" s="637">
        <f>GREET1_Import_Export!F520</f>
        <v>3.3282108480291184</v>
      </c>
      <c r="D135" s="637">
        <f t="shared" si="29"/>
        <v>0.17000412946404977</v>
      </c>
      <c r="E135" s="637">
        <f t="shared" si="30"/>
        <v>0.21031599605913184</v>
      </c>
      <c r="F135" s="637">
        <f>GREET1_Import_Export!C520+SUM('GREET2_Factors_T&amp;D'!X79:Y79)</f>
        <v>0.20745127328666085</v>
      </c>
      <c r="G135" s="637">
        <v>0</v>
      </c>
      <c r="H135" s="637">
        <f>GREET1_Import_Export!H520</f>
        <v>9.4959077404743519E-2</v>
      </c>
      <c r="I135" s="637">
        <f>IF(Li_Chemicals!$C$30="Methanol",SUM(GREET1_Import_Export!H244:I244)*GREET1_Import_Export!$B$29/GREET1_Import_Export!$E$29,SUM(GREET1_Import_Export!B489:C489)*GREET1_Import_Export!$B$30/GREET1_Import_Export!$E$30)*907185/1000000</f>
        <v>7.3427879496100454E-2</v>
      </c>
      <c r="J135" s="637">
        <f>MMULT(C135:I135+0,Li_Chemicals!B$12:B$18+0)+SUM(K100:M100)</f>
        <v>1.9015683450014946</v>
      </c>
      <c r="K135" s="585">
        <f t="shared" si="31"/>
        <v>7.668630542709991</v>
      </c>
      <c r="L135" s="249">
        <f t="shared" si="32"/>
        <v>6.9689547332884086E-2</v>
      </c>
      <c r="M135" s="231">
        <f>GREET1_Import_Export!C520</f>
        <v>0.15854690350696832</v>
      </c>
      <c r="N135" s="231">
        <f>L135*Li_Chemicals!C$13+M135*Li_Chemicals!C$15+SUM(N100:P100)</f>
        <v>2.8237645607159503</v>
      </c>
      <c r="O135" s="771">
        <f>(GREET1_Import_Export!$B208*GREET1_Import_Export!$G$179+GREET1_Import_Export!$G208)*GREET1_Import_Export!$B$32/GREET1_Import_Export!$E$32*907185/1000000</f>
        <v>2.8452580240583112</v>
      </c>
      <c r="P135" s="1069">
        <v>0</v>
      </c>
      <c r="Q135" s="1069">
        <v>0</v>
      </c>
      <c r="R135" s="1069">
        <f t="shared" si="33"/>
        <v>0.36278716095012004</v>
      </c>
      <c r="S135" s="1069">
        <f>$G$12*GREET1_Import_Export!$E520
+$G$13*$L135
+$G$17*GREET1_Import_Export!$G520
+$G$19*$U135+
$G$20*GREET1_Import_Export!$B520
+$G$24*Other_Cathodes!$H178
+$G$27*$R135
+$G$28*$P135
+SUM($W100:$Y100)</f>
        <v>7.1391875599102903</v>
      </c>
      <c r="T135" s="1084">
        <f>$H$12*GREET1_Import_Export!$E520
+$H$13*$L135
+$H$17*GREET1_Import_Export!$G520
+$H$19*$U135+
$H$20*GREET1_Import_Export!$B520
+$H$24*Other_Cathodes!$H178
+$H$27*$R135
+$H$28*$P135
+SUM($Z100:$AB100)</f>
        <v>24.738847364771381</v>
      </c>
      <c r="U135" s="237">
        <f>B135*Li_Chemicals!$D$11+SUM(AC100:AD100)</f>
        <v>2.157620944481847</v>
      </c>
      <c r="V135" s="916">
        <f t="shared" si="22"/>
        <v>4.782258913201332</v>
      </c>
      <c r="W135" s="916">
        <f t="shared" si="34"/>
        <v>21.324804000359105</v>
      </c>
    </row>
    <row r="136" spans="1:23" ht="15">
      <c r="O136" s="1288"/>
      <c r="S136" s="1458"/>
      <c r="T136" s="1460"/>
    </row>
    <row r="137" spans="1:23" ht="15">
      <c r="S137" s="1458"/>
      <c r="T137" s="1458"/>
    </row>
    <row r="138" spans="1:23" ht="15">
      <c r="S138" s="1458"/>
      <c r="T138" s="1461"/>
    </row>
    <row r="139" spans="1:23">
      <c r="R139" s="1805"/>
    </row>
    <row r="140" spans="1:23">
      <c r="R140" s="1805"/>
    </row>
    <row r="141" spans="1:23">
      <c r="R141" s="1805"/>
    </row>
    <row r="142" spans="1:23">
      <c r="R142" s="1805"/>
      <c r="T142" s="1805"/>
    </row>
    <row r="143" spans="1:23">
      <c r="R143" s="1805"/>
    </row>
    <row r="145" spans="18:18">
      <c r="R145" s="1805"/>
    </row>
  </sheetData>
  <mergeCells count="19">
    <mergeCell ref="B52:G53"/>
    <mergeCell ref="H52:S53"/>
    <mergeCell ref="T52:AB53"/>
    <mergeCell ref="B54:D54"/>
    <mergeCell ref="E54:G54"/>
    <mergeCell ref="H54:J54"/>
    <mergeCell ref="K54:M54"/>
    <mergeCell ref="N54:P54"/>
    <mergeCell ref="Q54:S54"/>
    <mergeCell ref="T54:V54"/>
    <mergeCell ref="W54:Y54"/>
    <mergeCell ref="Z54:AB54"/>
    <mergeCell ref="AC54:AD54"/>
    <mergeCell ref="B104:K104"/>
    <mergeCell ref="L104:N104"/>
    <mergeCell ref="U104:U105"/>
    <mergeCell ref="O104:T104"/>
    <mergeCell ref="V103:W104"/>
    <mergeCell ref="B103:U103"/>
  </mergeCells>
  <dataValidations disablePrompts="1" count="1">
    <dataValidation type="list" allowBlank="1" showInputMessage="1" showErrorMessage="1" sqref="C30" xr:uid="{00000000-0002-0000-2600-000000000000}">
      <formula1>"Ethanol,Methanol"</formula1>
    </dataValidation>
  </dataValidations>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H88"/>
  <sheetViews>
    <sheetView showGridLines="0" zoomScale="85" zoomScaleNormal="85" workbookViewId="0"/>
  </sheetViews>
  <sheetFormatPr defaultColWidth="9.140625" defaultRowHeight="12.75"/>
  <cols>
    <col min="1" max="1" width="23" style="5" customWidth="1"/>
    <col min="2" max="2" width="10.140625" style="5" customWidth="1"/>
    <col min="3" max="3" width="10.28515625" style="5" customWidth="1"/>
    <col min="4" max="4" width="10.42578125" style="5" customWidth="1"/>
    <col min="5" max="5" width="9.7109375" style="5" bestFit="1" customWidth="1"/>
    <col min="6" max="6" width="9.28515625" style="5" bestFit="1" customWidth="1"/>
    <col min="7" max="7" width="9.85546875" style="5" customWidth="1"/>
    <col min="8" max="8" width="9.28515625" style="5" bestFit="1" customWidth="1"/>
    <col min="9" max="16384" width="9.140625" style="5"/>
  </cols>
  <sheetData>
    <row r="1" spans="1:7" ht="15.75">
      <c r="A1" s="2" t="s">
        <v>931</v>
      </c>
    </row>
    <row r="2" spans="1:7" ht="12.75" customHeight="1">
      <c r="A2" s="3"/>
    </row>
    <row r="3" spans="1:7" ht="15">
      <c r="A3" s="75" t="s">
        <v>932</v>
      </c>
    </row>
    <row r="4" spans="1:7">
      <c r="A4" s="393" t="s">
        <v>769</v>
      </c>
      <c r="B4" s="533">
        <v>1</v>
      </c>
      <c r="C4" s="64"/>
    </row>
    <row r="5" spans="1:7">
      <c r="A5" s="230" t="s">
        <v>770</v>
      </c>
      <c r="B5" s="588">
        <v>1</v>
      </c>
      <c r="C5" s="64"/>
    </row>
    <row r="6" spans="1:7">
      <c r="A6" s="160" t="s">
        <v>772</v>
      </c>
      <c r="B6" s="1102">
        <v>0</v>
      </c>
    </row>
    <row r="7" spans="1:7">
      <c r="A7" s="230" t="s">
        <v>773</v>
      </c>
      <c r="B7" s="588">
        <v>1</v>
      </c>
      <c r="C7" s="64"/>
    </row>
    <row r="8" spans="1:7">
      <c r="A8" s="160" t="s">
        <v>782</v>
      </c>
      <c r="B8" s="1102">
        <v>0</v>
      </c>
    </row>
    <row r="9" spans="1:7">
      <c r="A9" s="161" t="s">
        <v>783</v>
      </c>
      <c r="B9" s="949">
        <f>1-B8</f>
        <v>1</v>
      </c>
    </row>
    <row r="11" spans="1:7" ht="15">
      <c r="A11" s="75" t="s">
        <v>933</v>
      </c>
    </row>
    <row r="12" spans="1:7" ht="25.5" customHeight="1">
      <c r="A12" s="178"/>
      <c r="B12" s="2998" t="s">
        <v>473</v>
      </c>
      <c r="C12" s="2999"/>
      <c r="D12" s="3012" t="s">
        <v>474</v>
      </c>
      <c r="E12" s="3012"/>
      <c r="F12" s="2998" t="s">
        <v>475</v>
      </c>
      <c r="G12" s="2999"/>
    </row>
    <row r="13" spans="1:7" ht="64.5" customHeight="1">
      <c r="A13" s="177"/>
      <c r="B13" s="519" t="s">
        <v>785</v>
      </c>
      <c r="C13" s="518" t="s">
        <v>786</v>
      </c>
      <c r="D13" s="401" t="s">
        <v>785</v>
      </c>
      <c r="E13" s="401" t="s">
        <v>786</v>
      </c>
      <c r="F13" s="519" t="s">
        <v>785</v>
      </c>
      <c r="G13" s="518" t="s">
        <v>786</v>
      </c>
    </row>
    <row r="14" spans="1:7" ht="51">
      <c r="A14" s="659" t="s">
        <v>797</v>
      </c>
      <c r="B14" s="663">
        <f>Mat_Inputs!B365</f>
        <v>2.59</v>
      </c>
      <c r="C14" s="394"/>
      <c r="D14" s="367">
        <f>Mat_Inputs!B366</f>
        <v>0</v>
      </c>
      <c r="E14" s="392"/>
      <c r="F14" s="663">
        <f>Mat_Inputs!B367</f>
        <v>4.1399999999999997</v>
      </c>
      <c r="G14" s="52"/>
    </row>
    <row r="15" spans="1:7">
      <c r="A15" s="660" t="s">
        <v>798</v>
      </c>
      <c r="B15" s="664">
        <v>0</v>
      </c>
      <c r="C15" s="656"/>
      <c r="D15" s="368">
        <v>0</v>
      </c>
      <c r="E15" s="669"/>
      <c r="F15" s="664">
        <v>0</v>
      </c>
      <c r="G15" s="656"/>
    </row>
    <row r="16" spans="1:7">
      <c r="A16" s="178" t="s">
        <v>799</v>
      </c>
      <c r="B16" s="95"/>
      <c r="C16" s="94"/>
      <c r="F16" s="95"/>
      <c r="G16" s="94"/>
    </row>
    <row r="17" spans="1:7">
      <c r="A17" s="95" t="s">
        <v>800</v>
      </c>
      <c r="B17" s="665">
        <v>0</v>
      </c>
      <c r="C17" s="94"/>
      <c r="D17" s="369">
        <v>0</v>
      </c>
      <c r="F17" s="665">
        <v>0</v>
      </c>
      <c r="G17" s="94"/>
    </row>
    <row r="18" spans="1:7">
      <c r="A18" s="95" t="s">
        <v>802</v>
      </c>
      <c r="B18" s="665">
        <v>0.19</v>
      </c>
      <c r="C18" s="94" t="s">
        <v>861</v>
      </c>
      <c r="D18" s="369">
        <v>0</v>
      </c>
      <c r="F18" s="665">
        <v>0</v>
      </c>
      <c r="G18" s="94"/>
    </row>
    <row r="19" spans="1:7">
      <c r="A19" s="95" t="s">
        <v>804</v>
      </c>
      <c r="B19" s="665">
        <v>0</v>
      </c>
      <c r="C19" s="94"/>
      <c r="D19" s="369">
        <v>0</v>
      </c>
      <c r="F19" s="665">
        <v>0</v>
      </c>
      <c r="G19" s="94"/>
    </row>
    <row r="20" spans="1:7">
      <c r="A20" s="95" t="s">
        <v>805</v>
      </c>
      <c r="B20" s="665">
        <v>0</v>
      </c>
      <c r="C20" s="94"/>
      <c r="D20" s="369">
        <v>0</v>
      </c>
      <c r="F20" s="665">
        <v>1</v>
      </c>
      <c r="G20" s="94"/>
    </row>
    <row r="21" spans="1:7">
      <c r="A21" s="95" t="s">
        <v>806</v>
      </c>
      <c r="B21" s="665">
        <f>1-SUM(B17:B20)</f>
        <v>0.81</v>
      </c>
      <c r="C21" s="94"/>
      <c r="D21" s="369">
        <f>1-SUM(D17:D20)</f>
        <v>1</v>
      </c>
      <c r="F21" s="665">
        <f>1-SUM(F17:F20)</f>
        <v>0</v>
      </c>
      <c r="G21" s="94"/>
    </row>
    <row r="22" spans="1:7">
      <c r="A22" s="178" t="s">
        <v>862</v>
      </c>
      <c r="B22" s="640"/>
      <c r="C22" s="52"/>
      <c r="D22" s="49"/>
      <c r="E22" s="49"/>
      <c r="F22" s="640"/>
      <c r="G22" s="52"/>
    </row>
    <row r="23" spans="1:7">
      <c r="A23" s="95" t="s">
        <v>800</v>
      </c>
      <c r="B23" s="666">
        <f>B$14*B17</f>
        <v>0</v>
      </c>
      <c r="C23" s="94"/>
      <c r="D23" s="370">
        <f>D$14*D17</f>
        <v>0</v>
      </c>
      <c r="F23" s="666">
        <f>F$14*F17</f>
        <v>0</v>
      </c>
      <c r="G23" s="94"/>
    </row>
    <row r="24" spans="1:7">
      <c r="A24" s="95" t="s">
        <v>802</v>
      </c>
      <c r="B24" s="666">
        <f>B$14*B18</f>
        <v>0.49209999999999998</v>
      </c>
      <c r="C24" s="94"/>
      <c r="D24" s="370">
        <f>D$14*D18</f>
        <v>0</v>
      </c>
      <c r="F24" s="666">
        <f>F$14*F18</f>
        <v>0</v>
      </c>
      <c r="G24" s="94"/>
    </row>
    <row r="25" spans="1:7">
      <c r="A25" s="95" t="s">
        <v>804</v>
      </c>
      <c r="B25" s="666">
        <f>B$14*B19</f>
        <v>0</v>
      </c>
      <c r="C25" s="94"/>
      <c r="D25" s="370">
        <f>D$14*D19</f>
        <v>0</v>
      </c>
      <c r="F25" s="666">
        <f>F$14*F19</f>
        <v>0</v>
      </c>
      <c r="G25" s="94"/>
    </row>
    <row r="26" spans="1:7">
      <c r="A26" s="95" t="s">
        <v>805</v>
      </c>
      <c r="B26" s="666">
        <f>B$14*B20</f>
        <v>0</v>
      </c>
      <c r="C26" s="94"/>
      <c r="D26" s="370">
        <f>D$14*D20</f>
        <v>0</v>
      </c>
      <c r="F26" s="666">
        <f>F$14*F20</f>
        <v>4.1399999999999997</v>
      </c>
      <c r="G26" s="94"/>
    </row>
    <row r="27" spans="1:7">
      <c r="A27" s="95" t="s">
        <v>806</v>
      </c>
      <c r="B27" s="666">
        <f>B$14*B21</f>
        <v>2.0979000000000001</v>
      </c>
      <c r="C27" s="94"/>
      <c r="D27" s="370">
        <f>D$14*D21</f>
        <v>0</v>
      </c>
      <c r="F27" s="666">
        <f>F$14*F21</f>
        <v>0</v>
      </c>
      <c r="G27" s="94"/>
    </row>
    <row r="28" spans="1:7">
      <c r="A28" s="539" t="s">
        <v>863</v>
      </c>
      <c r="B28" s="734"/>
      <c r="C28" s="656"/>
      <c r="D28" s="733">
        <v>0.61</v>
      </c>
      <c r="E28" s="669"/>
      <c r="F28" s="739"/>
      <c r="G28" s="656"/>
    </row>
    <row r="29" spans="1:7">
      <c r="A29" s="640" t="s">
        <v>816</v>
      </c>
      <c r="B29" s="735">
        <f>B$23*(1+(GREET1_Import_Export!$F$179*GREET1_Import_Export!$B180+GREET1_Import_Export!$F180)/1000000)+B$24*(1+(GREET1_Import_Export!$H$179*GREET1_Import_Export!$B180+GREET1_Import_Export!$H180)/1000000)+B$25*(1+GREET1_Import_Export!$B216/1000000)+B$26*(1+GREET1_Import_Export!$B284/1000000)+B$27*(GREET1_Import_Export!$B309+GREET1_Import_Export!$C309)/1000000</f>
        <v>4.8366424471863851</v>
      </c>
      <c r="C29" s="94"/>
      <c r="D29" s="372">
        <f ca="1">D$23*(1+(GREET1_Import_Export!$F$179*GREET1_Import_Export!$B180+GREET1_Import_Export!$F180)/1000000)+D$24*(1+(GREET1_Import_Export!$G$179*GREET1_Import_Export!$B180+GREET1_Import_Export!$G180)/1000000)+D$25*(1+GREET1_Import_Export!$B216/1000000)+D$26*(1+GREET1_Import_Export!$B284/1000000)+D$27*(GREET1_Import_Export!$B309+GREET1_Import_Export!$C309)/1000000+D$28*Steel!B108</f>
        <v>16.198458462758023</v>
      </c>
      <c r="F29" s="740">
        <f>F$23*(1+(GREET1_Import_Export!$F$179*GREET1_Import_Export!$B180+GREET1_Import_Export!$F180)/1000000)+F$24*(1+(GREET1_Import_Export!$G$179*GREET1_Import_Export!$B180+GREET1_Import_Export!$G180)/1000000)+F$25*(1+GREET1_Import_Export!$B216/1000000)+F$26*(1+GREET1_Import_Export!$B284/1000000)+F$27*(GREET1_Import_Export!$B309+GREET1_Import_Export!$C309)/1000000</f>
        <v>4.2287359362870536</v>
      </c>
      <c r="G29" s="94"/>
    </row>
    <row r="30" spans="1:7">
      <c r="A30" s="95" t="s">
        <v>817</v>
      </c>
      <c r="B30" s="735">
        <f>B$23*(1+(GREET1_Import_Export!$F$179*GREET1_Import_Export!$B181+GREET1_Import_Export!$F181)/1000000)+B$24*(1+(GREET1_Import_Export!$H$179*GREET1_Import_Export!$B181+GREET1_Import_Export!$H181)/1000000)+B$25*(1+GREET1_Import_Export!$B217/1000000)+B$26*(1+GREET1_Import_Export!$B285/1000000)+B$27*(GREET1_Import_Export!$B310+GREET1_Import_Export!$C310)/1000000</f>
        <v>3.9489326693339937</v>
      </c>
      <c r="C30" s="94"/>
      <c r="D30" s="372">
        <f ca="1">D$23*(1+(GREET1_Import_Export!$F$179*GREET1_Import_Export!$B181+GREET1_Import_Export!$F181)/1000000)+D$24*(1+(GREET1_Import_Export!$G$179*GREET1_Import_Export!$B181+GREET1_Import_Export!$G181)/1000000)+D$25*(1+GREET1_Import_Export!$B217/1000000)+D$26*(1+GREET1_Import_Export!$B285/1000000)+D$27*(GREET1_Import_Export!$B310+GREET1_Import_Export!$C310)/1000000+D$28*Steel!B109</f>
        <v>16.15161167490955</v>
      </c>
      <c r="F30" s="740">
        <f>F$23*(1+(GREET1_Import_Export!$F$179*GREET1_Import_Export!$B181+GREET1_Import_Export!$F181)/1000000)+F$24*(1+(GREET1_Import_Export!$G$179*GREET1_Import_Export!$B181+GREET1_Import_Export!$G181)/1000000)+F$25*(1+GREET1_Import_Export!$B217/1000000)+F$26*(1+GREET1_Import_Export!$B285/1000000)+F$27*(GREET1_Import_Export!$B310+GREET1_Import_Export!$C310)/1000000</f>
        <v>4.2254356751627755</v>
      </c>
      <c r="G30" s="94"/>
    </row>
    <row r="31" spans="1:7">
      <c r="A31" s="95" t="s">
        <v>805</v>
      </c>
      <c r="B31" s="735">
        <f>B$23*(GREET1_Import_Export!$F$179*GREET1_Import_Export!$B182+GREET1_Import_Export!$F182)/1000000+B$24*(GREET1_Import_Export!$H$179*GREET1_Import_Export!$B182+GREET1_Import_Export!$H182)/1000000+B$25*GREET1_Import_Export!$B218/1000000+B$26*(1+GREET1_Import_Export!$B286/1000000)+B$27*(GREET1_Import_Export!$B311+GREET1_Import_Export!$C311)/1000000</f>
        <v>1.1733377643749443</v>
      </c>
      <c r="C31" s="94"/>
      <c r="D31" s="372">
        <f ca="1">D$23*(GREET1_Import_Export!$F$179*GREET1_Import_Export!$B182+GREET1_Import_Export!$F182)/1000000+D$24*(GREET1_Import_Export!$G$179*GREET1_Import_Export!$B182+GREET1_Import_Export!$G182)/1000000+D$25*GREET1_Import_Export!$B218/1000000+D$26*(1+GREET1_Import_Export!$B286/1000000)+D$27*(GREET1_Import_Export!$B311+GREET1_Import_Export!$C311)/1000000+D$28*Steel!B110</f>
        <v>15.528870624281216</v>
      </c>
      <c r="F31" s="740">
        <f>F$23*(GREET1_Import_Export!$F$179*GREET1_Import_Export!$B182+GREET1_Import_Export!$F182)/1000000+F$24*(GREET1_Import_Export!$G$179*GREET1_Import_Export!$B182+GREET1_Import_Export!$G182)/1000000+F$25*GREET1_Import_Export!$B218/1000000+F$26*(1+GREET1_Import_Export!$B286/1000000)+F$27*(GREET1_Import_Export!$B311+GREET1_Import_Export!$C311)/1000000</f>
        <v>4.1469728885411614</v>
      </c>
      <c r="G31" s="94"/>
    </row>
    <row r="32" spans="1:7">
      <c r="A32" s="95" t="s">
        <v>804</v>
      </c>
      <c r="B32" s="735">
        <f>B30-B31-B33</f>
        <v>2.2240346927590524</v>
      </c>
      <c r="C32" s="94"/>
      <c r="D32" s="372">
        <f ca="1">D30-D31-D33</f>
        <v>0.41570362083174395</v>
      </c>
      <c r="F32" s="740">
        <f>F30-F31-F33</f>
        <v>1.493977614248139E-2</v>
      </c>
      <c r="G32" s="94"/>
    </row>
    <row r="33" spans="1:7">
      <c r="A33" s="95" t="s">
        <v>818</v>
      </c>
      <c r="B33" s="735">
        <f>B$23*(1+(GREET1_Import_Export!$F$179*GREET1_Import_Export!$B184+GREET1_Import_Export!$F184)/1000000)+B$24*(1+(GREET1_Import_Export!$H$179*GREET1_Import_Export!$B184+GREET1_Import_Export!$H184)/1000000)+B$25*GREET1_Import_Export!$B220/1000000+B$26*GREET1_Import_Export!$B288/1000000+B$27*(GREET1_Import_Export!$B313+GREET1_Import_Export!$C313)/1000000</f>
        <v>0.55156021219999685</v>
      </c>
      <c r="C33" s="94"/>
      <c r="D33" s="372">
        <f ca="1">D$23*(1+(GREET1_Import_Export!$F$179*GREET1_Import_Export!$B184+GREET1_Import_Export!$F184)/1000000)+D$24*(1+(GREET1_Import_Export!$G$179*GREET1_Import_Export!$B184+GREET1_Import_Export!$G184)/1000000)+D$25*GREET1_Import_Export!$B220/1000000+D$26*GREET1_Import_Export!$B288/1000000+D$27*(GREET1_Import_Export!$B313+GREET1_Import_Export!$C313)/1000000+D$28*Steel!B112</f>
        <v>0.20703742979658912</v>
      </c>
      <c r="F33" s="740">
        <f>F$23*(1+(GREET1_Import_Export!$F$179*GREET1_Import_Export!$B184+GREET1_Import_Export!$F184)/1000000)+F$24*(1+(GREET1_Import_Export!$G$179*GREET1_Import_Export!$B184+GREET1_Import_Export!$G184)/1000000)+F$25*GREET1_Import_Export!$B220/1000000+F$26*GREET1_Import_Export!$B288/1000000+F$27*(GREET1_Import_Export!$B313+GREET1_Import_Export!$C313)/1000000</f>
        <v>6.352301047913271E-2</v>
      </c>
      <c r="G33" s="94"/>
    </row>
    <row r="34" spans="1:7">
      <c r="A34" s="731" t="s">
        <v>819</v>
      </c>
      <c r="B34" s="650">
        <f>B$23*((GREET1_Import_Export!$F$179*GREET1_Import_Export!$B185+GREET1_Import_Export!$F185))+B$24*((GREET1_Import_Export!$H$179*GREET1_Import_Export!$B185+GREET1_Import_Export!$H185))+B$25*GREET1_Import_Export!$B221+B$26*GREET1_Import_Export!$B289+B$27*(GREET1_Import_Export!$B314+GREET1_Import_Export!$C314)</f>
        <v>238.74335895052062</v>
      </c>
      <c r="C34" s="245"/>
      <c r="D34" s="47">
        <f ca="1">D$23*((GREET1_Import_Export!$F$179*GREET1_Import_Export!$B185+GREET1_Import_Export!$F185))+D$24*((GREET1_Import_Export!$G$179*GREET1_Import_Export!$B185+GREET1_Import_Export!$G185))+D$25*GREET1_Import_Export!$B221+D$26*GREET1_Import_Export!$B289+D$27*(GREET1_Import_Export!$B314+GREET1_Import_Export!$C314)+D$28*Steel!B113</f>
        <v>59.891885907719214</v>
      </c>
      <c r="E34" s="47"/>
      <c r="F34" s="250">
        <f>F$23*((GREET1_Import_Export!$F$179*GREET1_Import_Export!$B185+GREET1_Import_Export!$F185))+F$24*((GREET1_Import_Export!$G$179*GREET1_Import_Export!$B185+GREET1_Import_Export!$G185))+F$25*GREET1_Import_Export!$B221+F$26*GREET1_Import_Export!$B289+F$27*(GREET1_Import_Export!$B314+GREET1_Import_Export!$C314)</f>
        <v>15.474576229148715</v>
      </c>
      <c r="G34" s="245"/>
    </row>
    <row r="35" spans="1:7">
      <c r="A35" s="178" t="s">
        <v>864</v>
      </c>
      <c r="B35" s="652"/>
      <c r="C35" s="653"/>
      <c r="D35" s="402"/>
      <c r="E35" s="402"/>
      <c r="F35" s="652"/>
      <c r="G35" s="653"/>
    </row>
    <row r="36" spans="1:7">
      <c r="A36" s="95" t="s">
        <v>821</v>
      </c>
      <c r="B36" s="383">
        <f>B$23*(B$4*GREET1_Import_Export!$K72+GREET1_Import_Export!$F$179*GREET1_Import_Export!$B186+GREET1_Import_Export!$F186)+B$24*(B$8*GREET1_Import_Export!$R72+B$9*GREET1_Import_Export!$D146+GREET1_Import_Export!$H$179*GREET1_Import_Export!$B186+GREET1_Import_Export!$H186)+B$25*(B$5*GREET1_Import_Export!$B72+B$6*GREET1_Import_Export!$D118+GREET1_Import_Export!$B222)+B$26*(B$7*GREET1_Import_Export!$AA72+GREET1_Import_Export!$B290)+B$27*(GREET1_Import_Export!$B315+GREET1_Import_Export!$C315)</f>
        <v>47.423387673295636</v>
      </c>
      <c r="C36" s="94"/>
      <c r="D36" s="377">
        <f ca="1">D$23*(GREET1_Import_Export!$K72+GREET1_Import_Export!$F$179*GREET1_Import_Export!$B186+GREET1_Import_Export!$F186)+D$24*(GREET1_Import_Export!$O72+GREET1_Import_Export!$G$179*GREET1_Import_Export!$B186+GREET1_Import_Export!$G186)+D$25*(GREET1_Import_Export!$B72+GREET1_Import_Export!$B222)+D$26*(GREET1_Import_Export!$AA72+GREET1_Import_Export!$B290)+D$27*(GREET1_Import_Export!$B315+GREET1_Import_Export!$C315)+D$28*Steel!B115</f>
        <v>1362.9237392931968</v>
      </c>
      <c r="F36" s="383">
        <f>F$23*(GREET1_Import_Export!$K72+GREET1_Import_Export!$F$179*GREET1_Import_Export!$B186+GREET1_Import_Export!$F186)+F$24*(GREET1_Import_Export!$O72+GREET1_Import_Export!$G$179*GREET1_Import_Export!$B186+GREET1_Import_Export!$G186)+F$25*(GREET1_Import_Export!$B72+GREET1_Import_Export!$B222)+F$26*(GREET1_Import_Export!$AA72+GREET1_Import_Export!$B290)+F$27*(GREET1_Import_Export!$B315+GREET1_Import_Export!$C315)</f>
        <v>32.459410563458881</v>
      </c>
      <c r="G36" s="94"/>
    </row>
    <row r="37" spans="1:7">
      <c r="A37" s="95" t="s">
        <v>822</v>
      </c>
      <c r="B37" s="383">
        <f>B$23*(B$4*GREET1_Import_Export!$K73+GREET1_Import_Export!$F$179*GREET1_Import_Export!$B187+GREET1_Import_Export!$F187)+B$24*(B$8*GREET1_Import_Export!$R73+B$9*GREET1_Import_Export!$D147+GREET1_Import_Export!$H$179*GREET1_Import_Export!$B187+GREET1_Import_Export!$H187)+B$25*(B$5*GREET1_Import_Export!$B73+B$6*GREET1_Import_Export!$D119+GREET1_Import_Export!$B223)+B$26*(B$7*GREET1_Import_Export!$AA73+GREET1_Import_Export!$B291)+B$27*(GREET1_Import_Export!$B316+GREET1_Import_Export!$C316)</f>
        <v>123.93159118110964</v>
      </c>
      <c r="C37" s="94"/>
      <c r="D37" s="377">
        <f ca="1">D$23*(GREET1_Import_Export!$K73+GREET1_Import_Export!$F$179*GREET1_Import_Export!$B187+GREET1_Import_Export!$F187)+D$24*(GREET1_Import_Export!$O73+GREET1_Import_Export!$G$179*GREET1_Import_Export!$B187+GREET1_Import_Export!$G187)+D$25*(GREET1_Import_Export!$B73+GREET1_Import_Export!$B223)+D$26*(GREET1_Import_Export!$AA73+GREET1_Import_Export!$B291)+D$27*(GREET1_Import_Export!$B316+GREET1_Import_Export!$C316)+D$28*Steel!B116</f>
        <v>353.30046149263728</v>
      </c>
      <c r="F37" s="383">
        <f>F$23*(GREET1_Import_Export!$K73+GREET1_Import_Export!$F$179*GREET1_Import_Export!$B187+GREET1_Import_Export!$F187)+F$24*(GREET1_Import_Export!$O73+GREET1_Import_Export!$G$179*GREET1_Import_Export!$B187+GREET1_Import_Export!$G187)+F$25*(GREET1_Import_Export!$B73+GREET1_Import_Export!$B223)+F$26*(GREET1_Import_Export!$AA73+GREET1_Import_Export!$B291)+F$27*(GREET1_Import_Export!$B316+GREET1_Import_Export!$C316)</f>
        <v>106.69012701306326</v>
      </c>
      <c r="G37" s="94"/>
    </row>
    <row r="38" spans="1:7">
      <c r="A38" s="95" t="s">
        <v>823</v>
      </c>
      <c r="B38" s="383">
        <f>B$23*(B$4*GREET1_Import_Export!$K74+GREET1_Import_Export!$F$179*GREET1_Import_Export!$B188+GREET1_Import_Export!$F188)+B$24*(B$8*GREET1_Import_Export!$R74+B$9*GREET1_Import_Export!$D148+GREET1_Import_Export!$H$179*GREET1_Import_Export!$B188+GREET1_Import_Export!$H188)+B$25*(B$5*GREET1_Import_Export!$B74+B$6*GREET1_Import_Export!$D120+GREET1_Import_Export!$B224)+B$26*(B$7*GREET1_Import_Export!$AA74+GREET1_Import_Export!$B292)+B$27*(GREET1_Import_Export!$B317+GREET1_Import_Export!$C317)</f>
        <v>356.75624989243988</v>
      </c>
      <c r="C38" s="94"/>
      <c r="D38" s="377">
        <f ca="1">D$23*(GREET1_Import_Export!$K74+GREET1_Import_Export!$F$179*GREET1_Import_Export!$B188+GREET1_Import_Export!$F188)+D$24*(GREET1_Import_Export!$O74+GREET1_Import_Export!$G$179*GREET1_Import_Export!$B188+GREET1_Import_Export!$G188)+D$25*(GREET1_Import_Export!$B74+GREET1_Import_Export!$B224)+D$26*(GREET1_Import_Export!$AA74+GREET1_Import_Export!$B292)+D$27*(GREET1_Import_Export!$B317+GREET1_Import_Export!$C317)+D$28*Steel!B117</f>
        <v>556.29022320211027</v>
      </c>
      <c r="F38" s="383">
        <f>F$23*(GREET1_Import_Export!$K74+GREET1_Import_Export!$F$179*GREET1_Import_Export!$B188+GREET1_Import_Export!$F188)+F$24*(GREET1_Import_Export!$O74+GREET1_Import_Export!$G$179*GREET1_Import_Export!$B188+GREET1_Import_Export!$G188)+F$25*(GREET1_Import_Export!$B74+GREET1_Import_Export!$B224)+F$26*(GREET1_Import_Export!$AA74+GREET1_Import_Export!$B292)+F$27*(GREET1_Import_Export!$B317+GREET1_Import_Export!$C317)</f>
        <v>526.06934325920395</v>
      </c>
      <c r="G38" s="94"/>
    </row>
    <row r="39" spans="1:7">
      <c r="A39" s="95" t="s">
        <v>824</v>
      </c>
      <c r="B39" s="383">
        <f>B$23*(B$4*GREET1_Import_Export!$K75+GREET1_Import_Export!$F$179*GREET1_Import_Export!$B189+GREET1_Import_Export!$F189)+B$24*(B$8*GREET1_Import_Export!$R75+B$9*GREET1_Import_Export!$D149+GREET1_Import_Export!$H$179*GREET1_Import_Export!$B189+GREET1_Import_Export!$H189)+B$25*(B$5*GREET1_Import_Export!$B75+B$6*GREET1_Import_Export!$D121+GREET1_Import_Export!$B225)+B$26*(B$7*GREET1_Import_Export!$AA75+GREET1_Import_Export!$B293)+B$27*(GREET1_Import_Export!$B318+GREET1_Import_Export!$C318)</f>
        <v>31.321781834118198</v>
      </c>
      <c r="C39" s="736">
        <f>2724*0.6</f>
        <v>1634.3999999999999</v>
      </c>
      <c r="D39" s="377">
        <f ca="1">D$23*(GREET1_Import_Export!$K75+GREET1_Import_Export!$F$179*GREET1_Import_Export!$B189+GREET1_Import_Export!$F189)+D$24*(GREET1_Import_Export!$O75+GREET1_Import_Export!$G$179*GREET1_Import_Export!$B189+GREET1_Import_Export!$G189)+D$25*(GREET1_Import_Export!$B75+GREET1_Import_Export!$B225)+D$26*(GREET1_Import_Export!$AA75+GREET1_Import_Export!$B293)+D$27*(GREET1_Import_Export!$B318+GREET1_Import_Export!$C318)+D$28*Steel!B118</f>
        <v>684.78363840500401</v>
      </c>
      <c r="E39" s="429">
        <v>2143</v>
      </c>
      <c r="F39" s="383">
        <f>F$23*(GREET1_Import_Export!$K75+GREET1_Import_Export!$F$179*GREET1_Import_Export!$B189+GREET1_Import_Export!$F189)+F$24*(GREET1_Import_Export!$O75+GREET1_Import_Export!$G$179*GREET1_Import_Export!$B189+GREET1_Import_Export!$G189)+F$25*(GREET1_Import_Export!$B75+GREET1_Import_Export!$B225)+F$26*(GREET1_Import_Export!$AA75+GREET1_Import_Export!$B293)+F$27*(GREET1_Import_Export!$B318+GREET1_Import_Export!$C318)</f>
        <v>46.285358291222515</v>
      </c>
      <c r="G39" s="94"/>
    </row>
    <row r="40" spans="1:7" s="64" customFormat="1">
      <c r="A40" s="230" t="s">
        <v>825</v>
      </c>
      <c r="B40" s="383">
        <f>B$23*(B$4*GREET1_Import_Export!$K76+GREET1_Import_Export!$F$179*GREET1_Import_Export!$B190+GREET1_Import_Export!$F190)+B$24*(B$8*GREET1_Import_Export!$R76+B$9*GREET1_Import_Export!$D150+GREET1_Import_Export!$H$179*GREET1_Import_Export!$B190+GREET1_Import_Export!$H190)+B$25*(B$5*GREET1_Import_Export!$B76+B$6*GREET1_Import_Export!$D122+GREET1_Import_Export!$B226)+B$26*(B$7*GREET1_Import_Export!$AA76+GREET1_Import_Export!$B294)+B$27*(GREET1_Import_Export!$B319+GREET1_Import_Export!$C319)</f>
        <v>20.727643046622408</v>
      </c>
      <c r="C40" s="395">
        <f>C39/2</f>
        <v>817.19999999999993</v>
      </c>
      <c r="D40" s="377">
        <f ca="1">D$23*(GREET1_Import_Export!$K76+GREET1_Import_Export!$F$179*GREET1_Import_Export!$B190+GREET1_Import_Export!$F190)+D$24*(GREET1_Import_Export!$O76+GREET1_Import_Export!$G$179*GREET1_Import_Export!$B190+GREET1_Import_Export!$G190)+D$25*(GREET1_Import_Export!$B76+GREET1_Import_Export!$B226)+D$26*(GREET1_Import_Export!$AA76+GREET1_Import_Export!$B294)+D$27*(GREET1_Import_Export!$B319+GREET1_Import_Export!$C319)+D$28*Steel!B119</f>
        <v>304.68943349461932</v>
      </c>
      <c r="E40" s="377">
        <f>E39/2</f>
        <v>1071.5</v>
      </c>
      <c r="F40" s="383">
        <f>F$23*(GREET1_Import_Export!$K76+GREET1_Import_Export!$F$179*GREET1_Import_Export!$B190+GREET1_Import_Export!$F190)+F$24*(GREET1_Import_Export!$O76+GREET1_Import_Export!$G$179*GREET1_Import_Export!$B190+GREET1_Import_Export!$G190)+F$25*(GREET1_Import_Export!$B76+GREET1_Import_Export!$B226)+F$26*(GREET1_Import_Export!$AA76+GREET1_Import_Export!$B294)+F$27*(GREET1_Import_Export!$B319+GREET1_Import_Export!$C319)</f>
        <v>15.386046569483838</v>
      </c>
      <c r="G40" s="395"/>
    </row>
    <row r="41" spans="1:7">
      <c r="A41" s="230" t="s">
        <v>826</v>
      </c>
      <c r="B41" s="383">
        <f>B$23*(B$4*GREET1_Import_Export!$K77+GREET1_Import_Export!$F$179*GREET1_Import_Export!$B191+GREET1_Import_Export!$F191)+B$24*(B$8*GREET1_Import_Export!$R77+B$9*GREET1_Import_Export!$D151+GREET1_Import_Export!$H$179*GREET1_Import_Export!$B191+GREET1_Import_Export!$H191)+B$25*(B$5*GREET1_Import_Export!$B77+B$6*GREET1_Import_Export!$D123+GREET1_Import_Export!$B227)+B$26*(B$7*GREET1_Import_Export!$AA77+GREET1_Import_Export!$B295)+B$27*(GREET1_Import_Export!$B320+GREET1_Import_Export!$C320)</f>
        <v>138.37226354216753</v>
      </c>
      <c r="C41" s="94"/>
      <c r="D41" s="377">
        <f ca="1">D$23*(GREET1_Import_Export!$K77+GREET1_Import_Export!$F$179*GREET1_Import_Export!$B191+GREET1_Import_Export!$F191)+D$24*(GREET1_Import_Export!$O77+GREET1_Import_Export!$G$179*GREET1_Import_Export!$B191+GREET1_Import_Export!$G191)+D$25*(GREET1_Import_Export!$B77+GREET1_Import_Export!$B227)+D$26*(GREET1_Import_Export!$AA77+GREET1_Import_Export!$B295)+D$27*(GREET1_Import_Export!$B320+GREET1_Import_Export!$C320)+D$28*Steel!B120</f>
        <v>2380.696356622494</v>
      </c>
      <c r="E41" s="429">
        <f ca="1">27240-D41</f>
        <v>24859.303643377505</v>
      </c>
      <c r="F41" s="383">
        <f>F$23*(GREET1_Import_Export!$K77+GREET1_Import_Export!$F$179*GREET1_Import_Export!$B191+GREET1_Import_Export!$F191)+F$24*(GREET1_Import_Export!$O77+GREET1_Import_Export!$G$179*GREET1_Import_Export!$B191+GREET1_Import_Export!$G191)+F$25*(GREET1_Import_Export!$B77+GREET1_Import_Export!$B227)+F$26*(GREET1_Import_Export!$AA77+GREET1_Import_Export!$B295)+F$27*(GREET1_Import_Export!$B320+GREET1_Import_Export!$C320)</f>
        <v>929.34855132801397</v>
      </c>
      <c r="G41" s="729">
        <v>3632</v>
      </c>
    </row>
    <row r="42" spans="1:7">
      <c r="A42" s="661" t="s">
        <v>827</v>
      </c>
      <c r="B42" s="383">
        <f>B$23*(B$4*GREET1_Import_Export!$K78+GREET1_Import_Export!$F$179*GREET1_Import_Export!$B192+GREET1_Import_Export!$F192)+B$24*(B$8*GREET1_Import_Export!$R78+B$9*GREET1_Import_Export!$D152+GREET1_Import_Export!$H$179*GREET1_Import_Export!$B192+GREET1_Import_Export!$H192)+B$25*(B$5*GREET1_Import_Export!$B78+B$6*GREET1_Import_Export!$D124+GREET1_Import_Export!$B228)+B$26*(B$7*GREET1_Import_Export!$AA78+GREET1_Import_Export!$B296)+B$27*(GREET1_Import_Export!$B321+GREET1_Import_Export!$C321)</f>
        <v>4.6044068477032312</v>
      </c>
      <c r="C42" s="94"/>
      <c r="D42" s="377">
        <f ca="1">D$23*(GREET1_Import_Export!$K78+GREET1_Import_Export!$F$179*GREET1_Import_Export!$B192+GREET1_Import_Export!$F192)+D$24*(GREET1_Import_Export!$O78+GREET1_Import_Export!$G$179*GREET1_Import_Export!$B192+GREET1_Import_Export!$G192)+D$25*(GREET1_Import_Export!$B78+GREET1_Import_Export!$B228)+D$26*(GREET1_Import_Export!$AA78+GREET1_Import_Export!$B296)+D$27*(GREET1_Import_Export!$B321+GREET1_Import_Export!$C321)+D$28*Steel!B121</f>
        <v>1.5261293161709255</v>
      </c>
      <c r="E42" s="377"/>
      <c r="F42" s="383">
        <f>F$23*(GREET1_Import_Export!$K78+GREET1_Import_Export!$F$179*GREET1_Import_Export!$B192+GREET1_Import_Export!$F192)+F$24*(GREET1_Import_Export!$O78+GREET1_Import_Export!$G$179*GREET1_Import_Export!$B192+GREET1_Import_Export!$G192)+F$25*(GREET1_Import_Export!$B78+GREET1_Import_Export!$B228)+F$26*(GREET1_Import_Export!$AA78+GREET1_Import_Export!$B296)+F$27*(GREET1_Import_Export!$B321+GREET1_Import_Export!$C321)</f>
        <v>0.5978245640297627</v>
      </c>
      <c r="G42" s="384"/>
    </row>
    <row r="43" spans="1:7">
      <c r="A43" s="661" t="s">
        <v>828</v>
      </c>
      <c r="B43" s="383">
        <f>B$23*(B$4*GREET1_Import_Export!$K79+GREET1_Import_Export!$F$179*GREET1_Import_Export!$B193+GREET1_Import_Export!$F193)+B$24*(B$8*GREET1_Import_Export!$R79+B$9*GREET1_Import_Export!$D153+GREET1_Import_Export!$H$179*GREET1_Import_Export!$B193+GREET1_Import_Export!$H193)+B$25*(B$5*GREET1_Import_Export!$B79+B$6*GREET1_Import_Export!$D125+GREET1_Import_Export!$B229)+B$26*(B$7*GREET1_Import_Export!$AA79+GREET1_Import_Export!$B297)+B$27*(GREET1_Import_Export!$B322+GREET1_Import_Export!$C322)</f>
        <v>5.6406444563497757</v>
      </c>
      <c r="C43" s="94"/>
      <c r="D43" s="377">
        <f ca="1">D$23*(GREET1_Import_Export!$K79+GREET1_Import_Export!$F$179*GREET1_Import_Export!$B193+GREET1_Import_Export!$F193)+D$24*(GREET1_Import_Export!$O79+GREET1_Import_Export!$G$179*GREET1_Import_Export!$B193+GREET1_Import_Export!$G193)+D$25*(GREET1_Import_Export!$B79+GREET1_Import_Export!$B229)+D$26*(GREET1_Import_Export!$AA79+GREET1_Import_Export!$B297)+D$27*(GREET1_Import_Export!$B322+GREET1_Import_Export!$C322)+D$28*Steel!B122</f>
        <v>3.827199354873029</v>
      </c>
      <c r="E43" s="377"/>
      <c r="F43" s="383">
        <f>F$23*(GREET1_Import_Export!$K79+GREET1_Import_Export!$F$179*GREET1_Import_Export!$B193+GREET1_Import_Export!$F193)+F$24*(GREET1_Import_Export!$O79+GREET1_Import_Export!$G$179*GREET1_Import_Export!$B193+GREET1_Import_Export!$G193)+F$25*(GREET1_Import_Export!$B79+GREET1_Import_Export!$B229)+F$26*(GREET1_Import_Export!$AA79+GREET1_Import_Export!$B297)+F$27*(GREET1_Import_Export!$B322+GREET1_Import_Export!$C322)</f>
        <v>1.1741587519727767</v>
      </c>
      <c r="G43" s="384"/>
    </row>
    <row r="44" spans="1:7">
      <c r="A44" s="230" t="s">
        <v>829</v>
      </c>
      <c r="B44" s="383">
        <f>B$23*(B$4*GREET1_Import_Export!$K80+GREET1_Import_Export!$F$179*GREET1_Import_Export!$B194+GREET1_Import_Export!$F194)+B$24*(B$8*GREET1_Import_Export!$R80+B$9*GREET1_Import_Export!$D154+GREET1_Import_Export!$H$179*GREET1_Import_Export!$B194+GREET1_Import_Export!$H194)+B$25*(B$5*GREET1_Import_Export!$B80+B$6*GREET1_Import_Export!$D126+GREET1_Import_Export!$B230)+B$26*(B$7*GREET1_Import_Export!$AA80+GREET1_Import_Export!$B298)+B$27*(GREET1_Import_Export!$B323+GREET1_Import_Export!$C323)</f>
        <v>617.1204726866473</v>
      </c>
      <c r="C44" s="94"/>
      <c r="D44" s="377">
        <f ca="1">D$23*(GREET1_Import_Export!$K80+GREET1_Import_Export!$F$179*GREET1_Import_Export!$B194+GREET1_Import_Export!$F194)+D$24*(GREET1_Import_Export!$O80+GREET1_Import_Export!$G$179*GREET1_Import_Export!$B194+GREET1_Import_Export!$G194)+D$25*(GREET1_Import_Export!$B80+GREET1_Import_Export!$B230)+D$26*(GREET1_Import_Export!$AA80+GREET1_Import_Export!$B298)+D$27*(GREET1_Import_Export!$B323+GREET1_Import_Export!$C323)+D$28*Steel!B123</f>
        <v>2049.506334933546</v>
      </c>
      <c r="E44" s="429">
        <v>3632</v>
      </c>
      <c r="F44" s="383">
        <f>F$23*(GREET1_Import_Export!$K80+GREET1_Import_Export!$F$179*GREET1_Import_Export!$B194+GREET1_Import_Export!$F194)+F$24*(GREET1_Import_Export!$O80+GREET1_Import_Export!$G$179*GREET1_Import_Export!$B194+GREET1_Import_Export!$G194)+F$25*(GREET1_Import_Export!$B80+GREET1_Import_Export!$B230)+F$26*(GREET1_Import_Export!$AA80+GREET1_Import_Export!$B298)+F$27*(GREET1_Import_Export!$B323+GREET1_Import_Export!$C323)</f>
        <v>617.07205354686516</v>
      </c>
      <c r="G44" s="94"/>
    </row>
    <row r="45" spans="1:7">
      <c r="A45" s="230" t="s">
        <v>830</v>
      </c>
      <c r="B45" s="383">
        <f>B$23*(B$4*GREET1_Import_Export!$K81+GREET1_Import_Export!$F$179*GREET1_Import_Export!$B195+GREET1_Import_Export!$F195)+B$24*(B$8*GREET1_Import_Export!$R81+B$9*GREET1_Import_Export!$D155+GREET1_Import_Export!$H$179*GREET1_Import_Export!$B195+GREET1_Import_Export!$H195)+B$25*(B$5*GREET1_Import_Export!$B81+B$6*GREET1_Import_Export!$D127+GREET1_Import_Export!$B231)+B$26*(B$7*GREET1_Import_Export!$AA81+GREET1_Import_Export!$B299)+B$27*(GREET1_Import_Export!$B324+GREET1_Import_Export!$C324)</f>
        <v>6.2027286568071185</v>
      </c>
      <c r="C45" s="94"/>
      <c r="D45" s="377">
        <f ca="1">D$23*(GREET1_Import_Export!$K81+GREET1_Import_Export!$F$179*GREET1_Import_Export!$B195+GREET1_Import_Export!$F195)+D$24*(GREET1_Import_Export!$O81+GREET1_Import_Export!$G$179*GREET1_Import_Export!$B195+GREET1_Import_Export!$G195)+D$25*(GREET1_Import_Export!$B81+GREET1_Import_Export!$B231)+D$26*(GREET1_Import_Export!$AA81+GREET1_Import_Export!$B299)+D$27*(GREET1_Import_Export!$B324+GREET1_Import_Export!$C324)+D$28*Steel!B124</f>
        <v>2.2173982374304568</v>
      </c>
      <c r="F45" s="383">
        <f>F$23*(GREET1_Import_Export!$K81+GREET1_Import_Export!$F$179*GREET1_Import_Export!$B195+GREET1_Import_Export!$F195)+F$24*(GREET1_Import_Export!$O81+GREET1_Import_Export!$G$179*GREET1_Import_Export!$B195+GREET1_Import_Export!$G195)+F$25*(GREET1_Import_Export!$B81+GREET1_Import_Export!$B231)+F$26*(GREET1_Import_Export!$AA81+GREET1_Import_Export!$B299)+F$27*(GREET1_Import_Export!$B324+GREET1_Import_Export!$C324)</f>
        <v>3.6822974075931123</v>
      </c>
      <c r="G45" s="94"/>
    </row>
    <row r="46" spans="1:7">
      <c r="A46" s="589" t="s">
        <v>831</v>
      </c>
      <c r="B46" s="737">
        <f>B$23*(B$4*GREET1_Import_Export!$K82+GREET1_Import_Export!$F$179*GREET1_Import_Export!$B196+GREET1_Import_Export!$F196)+B$24*(B$8*GREET1_Import_Export!$R82+B$9*GREET1_Import_Export!$D156+GREET1_Import_Export!$H$179*GREET1_Import_Export!$B196+GREET1_Import_Export!$H196)+B$25*(B$5*GREET1_Import_Export!$B82+B$6*GREET1_Import_Export!$D128+GREET1_Import_Export!$B232)+B$26*(B$7*GREET1_Import_Export!$AA82+GREET1_Import_Export!$B300)+B$27*(GREET1_Import_Export!$B325+GREET1_Import_Export!$C325)</f>
        <v>293063.49263852969</v>
      </c>
      <c r="C46" s="738"/>
      <c r="D46" s="403">
        <f ca="1">D$23*(GREET1_Import_Export!$K82+GREET1_Import_Export!$F$179*GREET1_Import_Export!$B196+GREET1_Import_Export!$F196)+D$24*(GREET1_Import_Export!$O82+GREET1_Import_Export!$G$179*GREET1_Import_Export!$B196+GREET1_Import_Export!$G196)+D$25*(GREET1_Import_Export!$B82+GREET1_Import_Export!$B232)+D$26*(GREET1_Import_Export!$AA82+GREET1_Import_Export!$B300)+D$27*(GREET1_Import_Export!$B325+GREET1_Import_Export!$C325)+D$28*Steel!B125</f>
        <v>153452.90517949461</v>
      </c>
      <c r="E46" s="732"/>
      <c r="F46" s="737">
        <f>F$23*(GREET1_Import_Export!$K82+GREET1_Import_Export!$F$179*GREET1_Import_Export!$B196+GREET1_Import_Export!$F196)+F$24*(GREET1_Import_Export!$O82+GREET1_Import_Export!$G$179*GREET1_Import_Export!$B196+GREET1_Import_Export!$G196)+F$25*(GREET1_Import_Export!$B82+GREET1_Import_Export!$B232)+F$26*(GREET1_Import_Export!$AA82+GREET1_Import_Export!$B300)+F$27*(GREET1_Import_Export!$B325+GREET1_Import_Export!$C325)</f>
        <v>420631.0832894668</v>
      </c>
      <c r="G46" s="656"/>
    </row>
    <row r="47" spans="1:7">
      <c r="A47" s="571" t="s">
        <v>865</v>
      </c>
      <c r="B47" s="230"/>
      <c r="C47" s="94"/>
      <c r="D47" s="64"/>
      <c r="E47" s="730"/>
      <c r="F47" s="741"/>
      <c r="G47" s="94"/>
    </row>
    <row r="48" spans="1:7">
      <c r="A48" s="230" t="s">
        <v>821</v>
      </c>
      <c r="B48" s="383">
        <f>B$23*(B$15*(B$4*GREET1_Import_Export!$K72)+GREET1_Import_Export!$F$200*GREET1_Import_Export!$B201+GREET1_Import_Export!$F201)+B$24*(B$15*(B$8*GREET1_Import_Export!$R72+B$9*GREET1_Import_Export!$D146)+GREET1_Import_Export!$H$200*GREET1_Import_Export!$B201+GREET1_Import_Export!$H201)+B$25*(B$15*(B$5*GREET1_Import_Export!$B72+B$6*GREET1_Import_Export!$D118)+GREET1_Import_Export!$B237)+B$26*(B$15*(B$7*GREET1_Import_Export!$AA72)+GREET1_Import_Export!$C290)+B$27*(GREET1_Import_Export!$D315+GREET1_Import_Export!$E315)</f>
        <v>3.1728465138584974</v>
      </c>
      <c r="C48" s="96">
        <f t="shared" ref="C48:C55" si="0">C36*B$15</f>
        <v>0</v>
      </c>
      <c r="D48" s="377">
        <f ca="1">D$23*(D$15*(GREET1_Import_Export!$K72)+GREET1_Import_Export!$E$200*GREET1_Import_Export!$B201+GREET1_Import_Export!$E201)+D$24*(D$15*(GREET1_Import_Export!$O72)+GREET1_Import_Export!$G$200*GREET1_Import_Export!$B201+GREET1_Import_Export!$G201)+D$25*(D$15*(GREET1_Import_Export!$B72)+GREET1_Import_Export!$B237)+D$26*(D$15*(GREET1_Import_Export!$AA72)+GREET1_Import_Export!$C290)+D$27*(GREET1_Import_Export!$D315+GREET1_Import_Export!$E315)+D$28*Steel!B129</f>
        <v>1.0780191707412867</v>
      </c>
      <c r="E48" s="92">
        <f t="shared" ref="E48:E55" si="1">E36*D$15</f>
        <v>0</v>
      </c>
      <c r="F48" s="383">
        <f>F$23*(F$15*(GREET1_Import_Export!$K72)+GREET1_Import_Export!$F$200*GREET1_Import_Export!$B201+GREET1_Import_Export!$F201)+F$24*(F$15*(GREET1_Import_Export!$O72)+GREET1_Import_Export!$G$200*GREET1_Import_Export!$B201+GREET1_Import_Export!$G201)+F$25*(F$15*(GREET1_Import_Export!$B72)+GREET1_Import_Export!$B237)+F$26*(F$15*(GREET1_Import_Export!$AA72)+GREET1_Import_Export!$C290)+F$27*(GREET1_Import_Export!$D315+GREET1_Import_Export!$E315)</f>
        <v>0.26462424859930861</v>
      </c>
      <c r="G48" s="96">
        <f t="shared" ref="G48:G55" si="2">G36*F$15</f>
        <v>0</v>
      </c>
    </row>
    <row r="49" spans="1:8">
      <c r="A49" s="230" t="s">
        <v>822</v>
      </c>
      <c r="B49" s="383">
        <f>B$23*(B$15*(B$4*GREET1_Import_Export!$K73)+GREET1_Import_Export!$F$200*GREET1_Import_Export!$B202+GREET1_Import_Export!$F202)+B$24*(B$15*(B$8*GREET1_Import_Export!$R73+B$9*GREET1_Import_Export!$D147)+GREET1_Import_Export!$H$200*GREET1_Import_Export!$B202+GREET1_Import_Export!$H202)+B$25*(B$15*(B$5*GREET1_Import_Export!$B73+B$6*GREET1_Import_Export!$D119)+GREET1_Import_Export!$B238)+B$26*(B$15*(B$7*GREET1_Import_Export!$AA73)+GREET1_Import_Export!$C291)+B$27*(GREET1_Import_Export!$D316+GREET1_Import_Export!$E316)</f>
        <v>14.269930942750589</v>
      </c>
      <c r="C49" s="96">
        <f t="shared" si="0"/>
        <v>0</v>
      </c>
      <c r="D49" s="377">
        <f ca="1">D$23*(D$15*(GREET1_Import_Export!$K73)+GREET1_Import_Export!$E$200*GREET1_Import_Export!$B202+GREET1_Import_Export!$E202)+D$24*(D$15*(GREET1_Import_Export!$O73)+GREET1_Import_Export!$G$200*GREET1_Import_Export!$B202+GREET1_Import_Export!$G202)+D$25*(D$15*(GREET1_Import_Export!$B73)+GREET1_Import_Export!$B238)+D$26*(D$15*(GREET1_Import_Export!$AA73)+GREET1_Import_Export!$C291)+D$27*(GREET1_Import_Export!$D316+GREET1_Import_Export!$E316)+D$28*Steel!B130</f>
        <v>2.2743466955083402</v>
      </c>
      <c r="E49" s="92">
        <f t="shared" si="1"/>
        <v>0</v>
      </c>
      <c r="F49" s="383">
        <f>F$23*(F$15*(GREET1_Import_Export!$K73)+GREET1_Import_Export!$F$200*GREET1_Import_Export!$B202+GREET1_Import_Export!$F202)+F$24*(F$15*(GREET1_Import_Export!$O73)+GREET1_Import_Export!$G$200*GREET1_Import_Export!$B202+GREET1_Import_Export!$G202)+F$25*(F$15*(GREET1_Import_Export!$B73)+GREET1_Import_Export!$B238)+F$26*(F$15*(GREET1_Import_Export!$AA73)+GREET1_Import_Export!$C291)+F$27*(GREET1_Import_Export!$D316+GREET1_Import_Export!$E316)</f>
        <v>0.31002862371916423</v>
      </c>
      <c r="G49" s="96">
        <f t="shared" si="2"/>
        <v>0</v>
      </c>
    </row>
    <row r="50" spans="1:8">
      <c r="A50" s="230" t="s">
        <v>823</v>
      </c>
      <c r="B50" s="383">
        <f>B$23*(B$15*(B$4*GREET1_Import_Export!$K74)+GREET1_Import_Export!$F$200*GREET1_Import_Export!$B203+GREET1_Import_Export!$F203)+B$24*(B$15*(B$8*GREET1_Import_Export!$R74+B$9*GREET1_Import_Export!$D148)+GREET1_Import_Export!$H$200*GREET1_Import_Export!$B203+GREET1_Import_Export!$H203)+B$25*(B$15*(B$5*GREET1_Import_Export!$B74+B$6*GREET1_Import_Export!$D120)+GREET1_Import_Export!$B239)+B$26*(B$15*(B$7*GREET1_Import_Export!$AA74)+GREET1_Import_Export!$C292)+B$27*(GREET1_Import_Export!$D317+GREET1_Import_Export!$E317)</f>
        <v>41.34916877644919</v>
      </c>
      <c r="C50" s="96">
        <f t="shared" si="0"/>
        <v>0</v>
      </c>
      <c r="D50" s="377">
        <f ca="1">D$23*(D$15*(GREET1_Import_Export!$K74)+GREET1_Import_Export!$E$200*GREET1_Import_Export!$B203+GREET1_Import_Export!$E203)+D$24*(D$15*(GREET1_Import_Export!$O74)+GREET1_Import_Export!$G$200*GREET1_Import_Export!$B203+GREET1_Import_Export!$G203)+D$25*(D$15*(GREET1_Import_Export!$B74)+GREET1_Import_Export!$B239)+D$26*(D$15*(GREET1_Import_Export!$AA74)+GREET1_Import_Export!$C292)+D$27*(GREET1_Import_Export!$D317+GREET1_Import_Export!$E317)+D$28*Steel!B131</f>
        <v>7.2824196624324609</v>
      </c>
      <c r="E50" s="92">
        <f t="shared" si="1"/>
        <v>0</v>
      </c>
      <c r="F50" s="383">
        <f>F$23*(F$15*(GREET1_Import_Export!$K74)+GREET1_Import_Export!$F$200*GREET1_Import_Export!$B203+GREET1_Import_Export!$F203)+F$24*(F$15*(GREET1_Import_Export!$O74)+GREET1_Import_Export!$G$200*GREET1_Import_Export!$B203+GREET1_Import_Export!$G203)+F$25*(F$15*(GREET1_Import_Export!$B74)+GREET1_Import_Export!$B239)+F$26*(F$15*(GREET1_Import_Export!$AA74)+GREET1_Import_Export!$C292)+F$27*(GREET1_Import_Export!$D317+GREET1_Import_Export!$E317)</f>
        <v>1.4871276081249296</v>
      </c>
      <c r="G50" s="96">
        <f t="shared" si="2"/>
        <v>0</v>
      </c>
    </row>
    <row r="51" spans="1:8">
      <c r="A51" s="230" t="s">
        <v>824</v>
      </c>
      <c r="B51" s="383">
        <f>B$23*(B$15*(B$4*GREET1_Import_Export!$K75)+GREET1_Import_Export!$F$200*GREET1_Import_Export!$B204+GREET1_Import_Export!$F204)+B$24*(B$15*(B$8*GREET1_Import_Export!$R75+B$9*GREET1_Import_Export!$D149)+GREET1_Import_Export!$H$200*GREET1_Import_Export!$B204+GREET1_Import_Export!$H204)+B$25*(B$15*(B$5*GREET1_Import_Export!$B75+B$6*GREET1_Import_Export!$D121)+GREET1_Import_Export!$B240)+B$26*(B$15*(B$7*GREET1_Import_Export!$AA75)+GREET1_Import_Export!$C293)+B$27*(GREET1_Import_Export!$D318+GREET1_Import_Export!$E318)</f>
        <v>5.5816532103588461</v>
      </c>
      <c r="C51" s="96">
        <f t="shared" si="0"/>
        <v>0</v>
      </c>
      <c r="D51" s="377">
        <f ca="1">D$23*(D$15*(GREET1_Import_Export!$K75)+GREET1_Import_Export!$E$200*GREET1_Import_Export!$B204+GREET1_Import_Export!$E204)+D$24*(D$15*(GREET1_Import_Export!$O75)+GREET1_Import_Export!$G$200*GREET1_Import_Export!$B204+GREET1_Import_Export!$G204)+D$25*(D$15*(GREET1_Import_Export!$B75)+GREET1_Import_Export!$B240)+D$26*(D$15*(GREET1_Import_Export!$AA75)+GREET1_Import_Export!$C293)+D$27*(GREET1_Import_Export!$D318+GREET1_Import_Export!$E318)+D$28*Steel!B132</f>
        <v>0.44060569886945083</v>
      </c>
      <c r="E51" s="92">
        <f t="shared" si="1"/>
        <v>0</v>
      </c>
      <c r="F51" s="383">
        <f>F$23*(F$15*(GREET1_Import_Export!$K75)+GREET1_Import_Export!$F$200*GREET1_Import_Export!$B204+GREET1_Import_Export!$F204)+F$24*(F$15*(GREET1_Import_Export!$O75)+GREET1_Import_Export!$G$200*GREET1_Import_Export!$B204+GREET1_Import_Export!$G204)+F$25*(F$15*(GREET1_Import_Export!$B75)+GREET1_Import_Export!$B240)+F$26*(F$15*(GREET1_Import_Export!$AA75)+GREET1_Import_Export!$C293)+F$27*(GREET1_Import_Export!$D318+GREET1_Import_Export!$E318)</f>
        <v>6.8201279064497175E-2</v>
      </c>
      <c r="G51" s="96">
        <f t="shared" si="2"/>
        <v>0</v>
      </c>
    </row>
    <row r="52" spans="1:8" s="64" customFormat="1">
      <c r="A52" s="230" t="s">
        <v>825</v>
      </c>
      <c r="B52" s="383">
        <f>B$23*(B$15*(B$4*GREET1_Import_Export!$K76)+GREET1_Import_Export!$F$200*GREET1_Import_Export!$B205+GREET1_Import_Export!$F205)+B$24*(B$15*(B$8*GREET1_Import_Export!$R76+B$9*GREET1_Import_Export!$D150)+GREET1_Import_Export!$H$200*GREET1_Import_Export!$B205+GREET1_Import_Export!$H205)+B$25*(B$15*(B$5*GREET1_Import_Export!$B76+B$6*GREET1_Import_Export!$D122)+GREET1_Import_Export!$B241)+B$26*(B$15*(B$7*GREET1_Import_Export!$AA76)+GREET1_Import_Export!$C294)+B$27*(GREET1_Import_Export!$D319+GREET1_Import_Export!$E319)</f>
        <v>4.904106112589429</v>
      </c>
      <c r="C52" s="384">
        <f t="shared" si="0"/>
        <v>0</v>
      </c>
      <c r="D52" s="377">
        <f ca="1">D$23*(D$15*(GREET1_Import_Export!$K76)+GREET1_Import_Export!$E$200*GREET1_Import_Export!$B205+GREET1_Import_Export!$E205)+D$24*(D$15*(GREET1_Import_Export!$O76)+GREET1_Import_Export!$G$200*GREET1_Import_Export!$B205+GREET1_Import_Export!$G205)+D$25*(D$15*(GREET1_Import_Export!$B76)+GREET1_Import_Export!$B241)+D$26*(D$15*(GREET1_Import_Export!$AA76)+GREET1_Import_Export!$C294)+D$27*(GREET1_Import_Export!$D319+GREET1_Import_Export!$E319)+D$28*Steel!B133</f>
        <v>0.39074977461277066</v>
      </c>
      <c r="E52" s="377">
        <f t="shared" si="1"/>
        <v>0</v>
      </c>
      <c r="F52" s="383">
        <f>F$23*(F$15*(GREET1_Import_Export!$K76)+GREET1_Import_Export!$F$200*GREET1_Import_Export!$B205+GREET1_Import_Export!$F205)+F$24*(F$15*(GREET1_Import_Export!$O76)+GREET1_Import_Export!$G$200*GREET1_Import_Export!$B205+GREET1_Import_Export!$G205)+F$25*(F$15*(GREET1_Import_Export!$B76)+GREET1_Import_Export!$B241)+F$26*(F$15*(GREET1_Import_Export!$AA76)+GREET1_Import_Export!$C294)+F$27*(GREET1_Import_Export!$D319+GREET1_Import_Export!$E319)</f>
        <v>6.0948886056913766E-2</v>
      </c>
      <c r="G52" s="384">
        <f t="shared" si="2"/>
        <v>0</v>
      </c>
    </row>
    <row r="53" spans="1:8">
      <c r="A53" s="230" t="s">
        <v>826</v>
      </c>
      <c r="B53" s="383">
        <f>B$23*(B$15*(B$4*GREET1_Import_Export!$K77)+GREET1_Import_Export!$F$200*GREET1_Import_Export!$B206+GREET1_Import_Export!$F206)+B$24*(B$15*(B$8*GREET1_Import_Export!$R77+B$9*GREET1_Import_Export!$D151)+GREET1_Import_Export!$H$200*GREET1_Import_Export!$B206+GREET1_Import_Export!$H206)+B$25*(B$15*(B$5*GREET1_Import_Export!$B77+B$6*GREET1_Import_Export!$D123)+GREET1_Import_Export!$B242)+B$26*(B$15*(B$7*GREET1_Import_Export!$AA77)+GREET1_Import_Export!$C295)+B$27*(GREET1_Import_Export!$D320+GREET1_Import_Export!$E320)</f>
        <v>40.19478499029627</v>
      </c>
      <c r="C53" s="96">
        <f t="shared" si="0"/>
        <v>0</v>
      </c>
      <c r="D53" s="377">
        <f ca="1">D$23*(D$15*(GREET1_Import_Export!$K77)+GREET1_Import_Export!$E$200*GREET1_Import_Export!$B206+GREET1_Import_Export!$E206)+D$24*(D$15*(GREET1_Import_Export!$O77)+GREET1_Import_Export!$G$200*GREET1_Import_Export!$B206+GREET1_Import_Export!$G206)+D$25*(D$15*(GREET1_Import_Export!$B77)+GREET1_Import_Export!$B242)+D$26*(D$15*(GREET1_Import_Export!$AA77)+GREET1_Import_Export!$C295)+D$27*(GREET1_Import_Export!$D320+GREET1_Import_Export!$E320)+D$28*Steel!B134</f>
        <v>2.2777863991280736</v>
      </c>
      <c r="E53" s="92">
        <f t="shared" ca="1" si="1"/>
        <v>0</v>
      </c>
      <c r="F53" s="383">
        <f>F$23*(F$15*(GREET1_Import_Export!$K77)+GREET1_Import_Export!$F$200*GREET1_Import_Export!$B206+GREET1_Import_Export!$F206)+F$24*(F$15*(GREET1_Import_Export!$O77)+GREET1_Import_Export!$G$200*GREET1_Import_Export!$B206+GREET1_Import_Export!$G206)+F$25*(F$15*(GREET1_Import_Export!$B77)+GREET1_Import_Export!$B242)+F$26*(F$15*(GREET1_Import_Export!$AA77)+GREET1_Import_Export!$C295)+F$27*(GREET1_Import_Export!$D320+GREET1_Import_Export!$E320)</f>
        <v>0.19356747271688793</v>
      </c>
      <c r="G53" s="96">
        <f t="shared" si="2"/>
        <v>0</v>
      </c>
    </row>
    <row r="54" spans="1:8">
      <c r="A54" s="230" t="s">
        <v>827</v>
      </c>
      <c r="B54" s="383">
        <f>B$23*(B$15*(B$4*GREET1_Import_Export!$K78)+GREET1_Import_Export!$F$200*GREET1_Import_Export!$B207+GREET1_Import_Export!$F207)+B$24*(B$15*(B$8*GREET1_Import_Export!$R78+B$9*GREET1_Import_Export!$D152)+GREET1_Import_Export!$H$200*GREET1_Import_Export!$B207+GREET1_Import_Export!$H207)+B$25*(B$15*(B$5*GREET1_Import_Export!$B78+B$6*GREET1_Import_Export!$D124)+GREET1_Import_Export!$B243)+B$26*(B$15*(B$7*GREET1_Import_Export!$AA78)+GREET1_Import_Export!$C296)+B$27*(GREET1_Import_Export!$D321+GREET1_Import_Export!$E321)</f>
        <v>0.26873425805210988</v>
      </c>
      <c r="C54" s="384">
        <f t="shared" si="0"/>
        <v>0</v>
      </c>
      <c r="D54" s="377">
        <f ca="1">D$23*(D$15*(GREET1_Import_Export!$K78)+GREET1_Import_Export!$E$200*GREET1_Import_Export!$B207+GREET1_Import_Export!$E207)+D$24*(D$15*(GREET1_Import_Export!$O78)+GREET1_Import_Export!$G$200*GREET1_Import_Export!$B207+GREET1_Import_Export!$G207)+D$25*(D$15*(GREET1_Import_Export!$B78)+GREET1_Import_Export!$B243)+D$26*(D$15*(GREET1_Import_Export!$AA78)+GREET1_Import_Export!$C296)+D$27*(GREET1_Import_Export!$D321+GREET1_Import_Export!$E321)+D$28*Steel!B135</f>
        <v>2.892501162161782E-2</v>
      </c>
      <c r="E54" s="377">
        <f t="shared" si="1"/>
        <v>0</v>
      </c>
      <c r="F54" s="383">
        <f>F$23*(F$15*(GREET1_Import_Export!$K78)+GREET1_Import_Export!$F$200*GREET1_Import_Export!$B207+GREET1_Import_Export!$F207)+F$24*(F$15*(GREET1_Import_Export!$O78)+GREET1_Import_Export!$G$200*GREET1_Import_Export!$B207+GREET1_Import_Export!$G207)+F$25*(F$15*(GREET1_Import_Export!$B78)+GREET1_Import_Export!$B243)+F$26*(F$15*(GREET1_Import_Export!$AA78)+GREET1_Import_Export!$C296)+F$27*(GREET1_Import_Export!$D321+GREET1_Import_Export!$E321)</f>
        <v>5.7471290997325678E-3</v>
      </c>
      <c r="G54" s="384">
        <f t="shared" si="2"/>
        <v>0</v>
      </c>
      <c r="H54" s="64"/>
    </row>
    <row r="55" spans="1:8">
      <c r="A55" s="589" t="s">
        <v>828</v>
      </c>
      <c r="B55" s="387">
        <f>B$23*(B$15*(B$4*GREET1_Import_Export!$K79)+GREET1_Import_Export!$F$200*GREET1_Import_Export!$B208+GREET1_Import_Export!$F208)+B$24*(B$15*(B$8*GREET1_Import_Export!$R79+B$9*GREET1_Import_Export!$D153)+GREET1_Import_Export!$H$200*GREET1_Import_Export!$B208+GREET1_Import_Export!$H208)+B$25*(B$15*(B$5*GREET1_Import_Export!$B79+B$6*GREET1_Import_Export!$D125)+GREET1_Import_Export!$B244)+B$26*(B$15*(B$7*GREET1_Import_Export!$AA79)+GREET1_Import_Export!$C297)+B$27*(GREET1_Import_Export!$D322+GREET1_Import_Export!$E322)</f>
        <v>1.3802216919446995</v>
      </c>
      <c r="C55" s="98">
        <f t="shared" si="0"/>
        <v>0</v>
      </c>
      <c r="D55" s="386">
        <f ca="1">D$23*(D$15*(GREET1_Import_Export!$K79)+GREET1_Import_Export!$E$200*GREET1_Import_Export!$B208+GREET1_Import_Export!$E208)+D$24*(D$15*(GREET1_Import_Export!$O79)+GREET1_Import_Export!$G$200*GREET1_Import_Export!$B208+GREET1_Import_Export!$G208)+D$25*(D$15*(GREET1_Import_Export!$B79)+GREET1_Import_Export!$B244)+D$26*(D$15*(GREET1_Import_Export!$AA79)+GREET1_Import_Export!$C297)+D$27*(GREET1_Import_Export!$D322+GREET1_Import_Export!$E322)+D$28*Steel!B136</f>
        <v>0.13882892557220217</v>
      </c>
      <c r="E55" s="97">
        <f t="shared" si="1"/>
        <v>0</v>
      </c>
      <c r="F55" s="387">
        <f>F$23*(F$15*(GREET1_Import_Export!$K79)+GREET1_Import_Export!$F$200*GREET1_Import_Export!$B208+GREET1_Import_Export!$F208)+F$24*(F$15*(GREET1_Import_Export!$O79)+GREET1_Import_Export!$G$200*GREET1_Import_Export!$B208+GREET1_Import_Export!$G208)+F$25*(F$15*(GREET1_Import_Export!$B79)+GREET1_Import_Export!$B244)+F$26*(F$15*(GREET1_Import_Export!$AA79)+GREET1_Import_Export!$C297)+F$27*(GREET1_Import_Export!$D322+GREET1_Import_Export!$E322)</f>
        <v>2.5778809296269703E-2</v>
      </c>
      <c r="G55" s="98">
        <f t="shared" si="2"/>
        <v>0</v>
      </c>
    </row>
    <row r="56" spans="1:8">
      <c r="A56" s="64"/>
    </row>
    <row r="57" spans="1:8" ht="15">
      <c r="A57" s="381" t="s">
        <v>866</v>
      </c>
    </row>
    <row r="58" spans="1:8" ht="45" customHeight="1">
      <c r="A58" s="393">
        <v>1</v>
      </c>
      <c r="B58" s="742" t="s">
        <v>473</v>
      </c>
      <c r="C58" s="742" t="s">
        <v>474</v>
      </c>
      <c r="D58" s="742" t="s">
        <v>475</v>
      </c>
      <c r="E58" s="2998" t="s">
        <v>934</v>
      </c>
      <c r="F58" s="2999"/>
      <c r="G58" s="3012" t="s">
        <v>935</v>
      </c>
      <c r="H58" s="2999"/>
    </row>
    <row r="59" spans="1:8">
      <c r="A59" s="238" t="s">
        <v>870</v>
      </c>
      <c r="B59" s="404"/>
      <c r="C59" s="405"/>
      <c r="D59" s="405"/>
      <c r="E59" s="744" t="s">
        <v>845</v>
      </c>
      <c r="F59" s="543" t="s">
        <v>846</v>
      </c>
      <c r="G59" s="543" t="s">
        <v>845</v>
      </c>
      <c r="H59" s="543" t="s">
        <v>846</v>
      </c>
    </row>
    <row r="60" spans="1:8">
      <c r="A60" s="230" t="s">
        <v>816</v>
      </c>
      <c r="B60" s="92">
        <f>B29</f>
        <v>4.8366424471863851</v>
      </c>
      <c r="C60" s="92">
        <f ca="1">D29</f>
        <v>16.198458462758023</v>
      </c>
      <c r="D60" s="92">
        <f>F29</f>
        <v>4.2287359362870536</v>
      </c>
      <c r="E60" s="101">
        <f ca="1">SUM(B60:C60)</f>
        <v>21.035100909944408</v>
      </c>
      <c r="F60" s="96">
        <f ca="1">E60/2000</f>
        <v>1.0517550454972205E-2</v>
      </c>
      <c r="G60" s="96">
        <f>D60</f>
        <v>4.2287359362870536</v>
      </c>
      <c r="H60" s="96">
        <f>G60/2000</f>
        <v>2.114367968143527E-3</v>
      </c>
    </row>
    <row r="61" spans="1:8">
      <c r="A61" s="230" t="s">
        <v>817</v>
      </c>
      <c r="B61" s="92">
        <f>B30</f>
        <v>3.9489326693339937</v>
      </c>
      <c r="C61" s="92">
        <f ca="1">D30</f>
        <v>16.15161167490955</v>
      </c>
      <c r="D61" s="92">
        <f>F30</f>
        <v>4.2254356751627755</v>
      </c>
      <c r="E61" s="101">
        <f ca="1">SUM(B61:C61)</f>
        <v>20.100544344243545</v>
      </c>
      <c r="F61" s="96">
        <f ca="1">E61/2000</f>
        <v>1.0050272172121772E-2</v>
      </c>
      <c r="G61" s="96">
        <f>D61</f>
        <v>4.2254356751627755</v>
      </c>
      <c r="H61" s="96">
        <f>G61/2000</f>
        <v>2.1127178375813876E-3</v>
      </c>
    </row>
    <row r="62" spans="1:8">
      <c r="A62" s="230" t="s">
        <v>805</v>
      </c>
      <c r="B62" s="92">
        <f>B31</f>
        <v>1.1733377643749443</v>
      </c>
      <c r="C62" s="92">
        <f ca="1">D31</f>
        <v>15.528870624281216</v>
      </c>
      <c r="D62" s="92">
        <f>F31</f>
        <v>4.1469728885411614</v>
      </c>
      <c r="E62" s="101">
        <f ca="1">SUM(B62:C62)</f>
        <v>16.70220838865616</v>
      </c>
      <c r="F62" s="96">
        <f ca="1">E62/2000</f>
        <v>8.3511041943280795E-3</v>
      </c>
      <c r="G62" s="96">
        <f>D62</f>
        <v>4.1469728885411614</v>
      </c>
      <c r="H62" s="96">
        <f>G62/2000</f>
        <v>2.0734864442705806E-3</v>
      </c>
    </row>
    <row r="63" spans="1:8">
      <c r="A63" s="230" t="s">
        <v>804</v>
      </c>
      <c r="B63" s="92">
        <f t="shared" ref="B63:H63" si="3">B61-B62-B64</f>
        <v>2.2240346927590524</v>
      </c>
      <c r="C63" s="92">
        <f t="shared" ca="1" si="3"/>
        <v>0.41570362083174395</v>
      </c>
      <c r="D63" s="92">
        <f t="shared" si="3"/>
        <v>1.493977614248139E-2</v>
      </c>
      <c r="E63" s="101">
        <f t="shared" ca="1" si="3"/>
        <v>2.6397383135907986</v>
      </c>
      <c r="F63" s="96">
        <f t="shared" ca="1" si="3"/>
        <v>1.3198691567954E-3</v>
      </c>
      <c r="G63" s="96">
        <f t="shared" si="3"/>
        <v>1.493977614248139E-2</v>
      </c>
      <c r="H63" s="96">
        <f t="shared" si="3"/>
        <v>7.4698880712405615E-6</v>
      </c>
    </row>
    <row r="64" spans="1:8">
      <c r="A64" s="589" t="s">
        <v>818</v>
      </c>
      <c r="B64" s="97">
        <f>B33</f>
        <v>0.55156021219999685</v>
      </c>
      <c r="C64" s="97">
        <f ca="1">D33</f>
        <v>0.20703742979658912</v>
      </c>
      <c r="D64" s="97">
        <f>F33</f>
        <v>6.352301047913271E-2</v>
      </c>
      <c r="E64" s="102">
        <f ca="1">SUM(B64:C64)</f>
        <v>0.75859764199658597</v>
      </c>
      <c r="F64" s="98">
        <f ca="1">E64/2000</f>
        <v>3.7929882099829298E-4</v>
      </c>
      <c r="G64" s="98">
        <f>D64</f>
        <v>6.352301047913271E-2</v>
      </c>
      <c r="H64" s="98">
        <f>G64/2000</f>
        <v>3.1761505239566353E-5</v>
      </c>
    </row>
    <row r="65" spans="1:8">
      <c r="A65" s="477" t="s">
        <v>819</v>
      </c>
      <c r="B65" s="535">
        <f>B34</f>
        <v>238.74335895052062</v>
      </c>
      <c r="C65" s="535">
        <f ca="1">D34</f>
        <v>59.891885907719214</v>
      </c>
      <c r="D65" s="535">
        <f>F34</f>
        <v>15.474576229148715</v>
      </c>
      <c r="E65" s="745">
        <f ca="1">SUM(B65:C65)</f>
        <v>298.63524485823984</v>
      </c>
      <c r="F65" s="96">
        <f ca="1">E65/2000</f>
        <v>0.14931762242911992</v>
      </c>
      <c r="G65" s="599">
        <f>D65</f>
        <v>15.474576229148715</v>
      </c>
      <c r="H65" s="96">
        <f>G65/2000</f>
        <v>7.7372881145743571E-3</v>
      </c>
    </row>
    <row r="66" spans="1:8">
      <c r="A66" s="238" t="s">
        <v>864</v>
      </c>
      <c r="B66" s="406"/>
      <c r="C66" s="406"/>
      <c r="D66" s="406"/>
      <c r="E66" s="744" t="s">
        <v>845</v>
      </c>
      <c r="F66" s="543" t="s">
        <v>846</v>
      </c>
      <c r="G66" s="543" t="s">
        <v>845</v>
      </c>
      <c r="H66" s="543" t="s">
        <v>846</v>
      </c>
    </row>
    <row r="67" spans="1:8">
      <c r="A67" s="230" t="s">
        <v>821</v>
      </c>
      <c r="B67" s="92">
        <f t="shared" ref="B67:B77" si="4">SUM(B36:C36)</f>
        <v>47.423387673295636</v>
      </c>
      <c r="C67" s="92">
        <f t="shared" ref="C67:C77" ca="1" si="5">SUM(D36:E36)</f>
        <v>1362.9237392931968</v>
      </c>
      <c r="D67" s="92">
        <f t="shared" ref="D67:D77" si="6">SUM(F36:G36)</f>
        <v>32.459410563458881</v>
      </c>
      <c r="E67" s="101">
        <f t="shared" ref="E67:E78" ca="1" si="7">SUM(B67:C67)</f>
        <v>1410.3471269664924</v>
      </c>
      <c r="F67" s="96">
        <f t="shared" ref="F67:F78" ca="1" si="8">E67/2000</f>
        <v>0.70517356348324622</v>
      </c>
      <c r="G67" s="96">
        <f t="shared" ref="G67:G78" si="9">D67</f>
        <v>32.459410563458881</v>
      </c>
      <c r="H67" s="96">
        <f t="shared" ref="H67:H78" si="10">G67/2000</f>
        <v>1.6229705281729442E-2</v>
      </c>
    </row>
    <row r="68" spans="1:8">
      <c r="A68" s="230" t="s">
        <v>822</v>
      </c>
      <c r="B68" s="92">
        <f t="shared" si="4"/>
        <v>123.93159118110964</v>
      </c>
      <c r="C68" s="92">
        <f t="shared" ca="1" si="5"/>
        <v>353.30046149263728</v>
      </c>
      <c r="D68" s="92">
        <f t="shared" si="6"/>
        <v>106.69012701306326</v>
      </c>
      <c r="E68" s="101">
        <f t="shared" ca="1" si="7"/>
        <v>477.23205267374692</v>
      </c>
      <c r="F68" s="96">
        <f t="shared" ca="1" si="8"/>
        <v>0.23861602633687345</v>
      </c>
      <c r="G68" s="96">
        <f t="shared" si="9"/>
        <v>106.69012701306326</v>
      </c>
      <c r="H68" s="96">
        <f t="shared" si="10"/>
        <v>5.3345063506531627E-2</v>
      </c>
    </row>
    <row r="69" spans="1:8">
      <c r="A69" s="230" t="s">
        <v>849</v>
      </c>
      <c r="B69" s="92">
        <f t="shared" si="4"/>
        <v>356.75624989243988</v>
      </c>
      <c r="C69" s="92">
        <f t="shared" ca="1" si="5"/>
        <v>556.29022320211027</v>
      </c>
      <c r="D69" s="92">
        <f t="shared" si="6"/>
        <v>526.06934325920395</v>
      </c>
      <c r="E69" s="101">
        <f t="shared" ca="1" si="7"/>
        <v>913.04647309455015</v>
      </c>
      <c r="F69" s="96">
        <f t="shared" ca="1" si="8"/>
        <v>0.45652323654727506</v>
      </c>
      <c r="G69" s="96">
        <f t="shared" si="9"/>
        <v>526.06934325920395</v>
      </c>
      <c r="H69" s="96">
        <f t="shared" si="10"/>
        <v>0.26303467162960198</v>
      </c>
    </row>
    <row r="70" spans="1:8">
      <c r="A70" s="230" t="s">
        <v>824</v>
      </c>
      <c r="B70" s="92">
        <f t="shared" si="4"/>
        <v>1665.721781834118</v>
      </c>
      <c r="C70" s="92">
        <f t="shared" ca="1" si="5"/>
        <v>2827.7836384050042</v>
      </c>
      <c r="D70" s="92">
        <f t="shared" si="6"/>
        <v>46.285358291222515</v>
      </c>
      <c r="E70" s="101">
        <f t="shared" ca="1" si="7"/>
        <v>4493.505420239122</v>
      </c>
      <c r="F70" s="96">
        <f t="shared" ca="1" si="8"/>
        <v>2.2467527101195612</v>
      </c>
      <c r="G70" s="96">
        <f t="shared" si="9"/>
        <v>46.285358291222515</v>
      </c>
      <c r="H70" s="96">
        <f t="shared" si="10"/>
        <v>2.3142679145611258E-2</v>
      </c>
    </row>
    <row r="71" spans="1:8" s="64" customFormat="1">
      <c r="A71" s="230" t="s">
        <v>825</v>
      </c>
      <c r="B71" s="377">
        <f t="shared" si="4"/>
        <v>837.92764304662239</v>
      </c>
      <c r="C71" s="377">
        <f t="shared" ca="1" si="5"/>
        <v>1376.1894334946194</v>
      </c>
      <c r="D71" s="377">
        <f t="shared" si="6"/>
        <v>15.386046569483838</v>
      </c>
      <c r="E71" s="399">
        <f t="shared" ca="1" si="7"/>
        <v>2214.1170765412417</v>
      </c>
      <c r="F71" s="384">
        <f t="shared" ca="1" si="8"/>
        <v>1.1070585382706208</v>
      </c>
      <c r="G71" s="384">
        <f t="shared" si="9"/>
        <v>15.386046569483838</v>
      </c>
      <c r="H71" s="384">
        <f t="shared" si="10"/>
        <v>7.6930232847419195E-3</v>
      </c>
    </row>
    <row r="72" spans="1:8" s="64" customFormat="1">
      <c r="A72" s="95" t="s">
        <v>826</v>
      </c>
      <c r="B72" s="377">
        <f t="shared" si="4"/>
        <v>138.37226354216753</v>
      </c>
      <c r="C72" s="377">
        <f t="shared" ca="1" si="5"/>
        <v>27240</v>
      </c>
      <c r="D72" s="377">
        <f t="shared" si="6"/>
        <v>4561.3485513280139</v>
      </c>
      <c r="E72" s="399">
        <f t="shared" ca="1" si="7"/>
        <v>27378.372263542169</v>
      </c>
      <c r="F72" s="384">
        <f t="shared" ca="1" si="8"/>
        <v>13.689186131771084</v>
      </c>
      <c r="G72" s="384">
        <f t="shared" si="9"/>
        <v>4561.3485513280139</v>
      </c>
      <c r="H72" s="384">
        <f t="shared" si="10"/>
        <v>2.280674275664007</v>
      </c>
    </row>
    <row r="73" spans="1:8" s="64" customFormat="1">
      <c r="A73" s="661" t="s">
        <v>827</v>
      </c>
      <c r="B73" s="377">
        <f t="shared" si="4"/>
        <v>4.6044068477032312</v>
      </c>
      <c r="C73" s="377">
        <f t="shared" ca="1" si="5"/>
        <v>1.5261293161709255</v>
      </c>
      <c r="D73" s="377">
        <f t="shared" si="6"/>
        <v>0.5978245640297627</v>
      </c>
      <c r="E73" s="399">
        <f t="shared" ca="1" si="7"/>
        <v>6.1305361638741562</v>
      </c>
      <c r="F73" s="384">
        <f t="shared" ca="1" si="8"/>
        <v>3.0652680819370781E-3</v>
      </c>
      <c r="G73" s="384">
        <f t="shared" si="9"/>
        <v>0.5978245640297627</v>
      </c>
      <c r="H73" s="384">
        <f t="shared" si="10"/>
        <v>2.9891228201488136E-4</v>
      </c>
    </row>
    <row r="74" spans="1:8" s="64" customFormat="1">
      <c r="A74" s="661" t="s">
        <v>828</v>
      </c>
      <c r="B74" s="377">
        <f t="shared" si="4"/>
        <v>5.6406444563497757</v>
      </c>
      <c r="C74" s="377">
        <f t="shared" ca="1" si="5"/>
        <v>3.827199354873029</v>
      </c>
      <c r="D74" s="377">
        <f t="shared" si="6"/>
        <v>1.1741587519727767</v>
      </c>
      <c r="E74" s="399">
        <f t="shared" ca="1" si="7"/>
        <v>9.4678438112228047</v>
      </c>
      <c r="F74" s="384">
        <f t="shared" ca="1" si="8"/>
        <v>4.7339219056114022E-3</v>
      </c>
      <c r="G74" s="384">
        <f t="shared" si="9"/>
        <v>1.1741587519727767</v>
      </c>
      <c r="H74" s="384">
        <f t="shared" si="10"/>
        <v>5.8707937598638841E-4</v>
      </c>
    </row>
    <row r="75" spans="1:8" s="64" customFormat="1">
      <c r="A75" s="95" t="s">
        <v>829</v>
      </c>
      <c r="B75" s="377">
        <f t="shared" si="4"/>
        <v>617.1204726866473</v>
      </c>
      <c r="C75" s="377">
        <f t="shared" ca="1" si="5"/>
        <v>5681.506334933546</v>
      </c>
      <c r="D75" s="377">
        <f t="shared" si="6"/>
        <v>617.07205354686516</v>
      </c>
      <c r="E75" s="399">
        <f t="shared" ca="1" si="7"/>
        <v>6298.6268076201932</v>
      </c>
      <c r="F75" s="384">
        <f t="shared" ca="1" si="8"/>
        <v>3.1493134038100967</v>
      </c>
      <c r="G75" s="384">
        <f t="shared" si="9"/>
        <v>617.07205354686516</v>
      </c>
      <c r="H75" s="384">
        <f t="shared" si="10"/>
        <v>0.30853602677343256</v>
      </c>
    </row>
    <row r="76" spans="1:8" s="64" customFormat="1">
      <c r="A76" s="95" t="s">
        <v>830</v>
      </c>
      <c r="B76" s="377">
        <f t="shared" si="4"/>
        <v>6.2027286568071185</v>
      </c>
      <c r="C76" s="396">
        <f t="shared" ca="1" si="5"/>
        <v>2.2173982374304568</v>
      </c>
      <c r="D76" s="396">
        <f t="shared" si="6"/>
        <v>3.6822974075931123</v>
      </c>
      <c r="E76" s="399">
        <f t="shared" ca="1" si="7"/>
        <v>8.4201268942375762</v>
      </c>
      <c r="F76" s="384">
        <f t="shared" ca="1" si="8"/>
        <v>4.2100634471187882E-3</v>
      </c>
      <c r="G76" s="743">
        <f t="shared" si="9"/>
        <v>3.6822974075931123</v>
      </c>
      <c r="H76" s="384">
        <f t="shared" si="10"/>
        <v>1.8411487037965561E-3</v>
      </c>
    </row>
    <row r="77" spans="1:8" s="64" customFormat="1">
      <c r="A77" s="230" t="s">
        <v>831</v>
      </c>
      <c r="B77" s="246">
        <f t="shared" si="4"/>
        <v>293063.49263852969</v>
      </c>
      <c r="C77" s="246">
        <f t="shared" ca="1" si="5"/>
        <v>153452.90517949461</v>
      </c>
      <c r="D77" s="246">
        <f t="shared" si="6"/>
        <v>420631.0832894668</v>
      </c>
      <c r="E77" s="253">
        <f t="shared" ca="1" si="7"/>
        <v>446516.39781802427</v>
      </c>
      <c r="F77" s="247">
        <f t="shared" ca="1" si="8"/>
        <v>223.25819890901212</v>
      </c>
      <c r="G77" s="247">
        <f t="shared" si="9"/>
        <v>420631.0832894668</v>
      </c>
      <c r="H77" s="247">
        <f t="shared" si="10"/>
        <v>210.3155416447334</v>
      </c>
    </row>
    <row r="78" spans="1:8" s="64" customFormat="1">
      <c r="A78" s="230" t="s">
        <v>850</v>
      </c>
      <c r="B78" s="246">
        <f>B77+B67*GREET1_Import_Export!$B$62/GREET1_Import_Export!$B$65+B68*GREET1_Import_Export!$B$63/GREET1_Import_Export!$B$65</f>
        <v>293406.04517339607</v>
      </c>
      <c r="C78" s="246">
        <f ca="1">C77+C67*GREET1_Import_Export!$B$62/GREET1_Import_Export!$B$65+C68*GREET1_Import_Export!$B$63/GREET1_Import_Export!$B$65</f>
        <v>158255.87060644684</v>
      </c>
      <c r="D78" s="246">
        <f>D77+D67*GREET1_Import_Export!$B$62/GREET1_Import_Export!$B$65+D68*GREET1_Import_Export!$B$63/GREET1_Import_Export!$B$65</f>
        <v>420899.9043662672</v>
      </c>
      <c r="E78" s="253">
        <f t="shared" ca="1" si="7"/>
        <v>451661.91577984288</v>
      </c>
      <c r="F78" s="247">
        <f t="shared" ca="1" si="8"/>
        <v>225.83095788992145</v>
      </c>
      <c r="G78" s="247">
        <f t="shared" si="9"/>
        <v>420899.9043662672</v>
      </c>
      <c r="H78" s="247">
        <f t="shared" si="10"/>
        <v>210.4499521831336</v>
      </c>
    </row>
    <row r="79" spans="1:8" s="64" customFormat="1">
      <c r="A79" s="589" t="s">
        <v>851</v>
      </c>
      <c r="B79" s="294">
        <f>B78+SUMPRODUCT(B75:B76,GREET1_Import_Export!$B$51:$B$52)+SUMPRODUCT(B67:B69,GREET1_Import_Export!$B$55:$B$57)+SUMPRODUCT(B73:B74,GREET1_Import_Export!$B$58:$B$59)</f>
        <v>313563.38244804938</v>
      </c>
      <c r="C79" s="294">
        <f ca="1">C78+SUMPRODUCT(C75:C76,GREET1_Import_Export!$B$51:$B$52)+SUMPRODUCT(C67:C69,GREET1_Import_Export!$B$55:$B$57)+SUMPRODUCT(C73:C74,GREET1_Import_Export!$B$58:$B$59)</f>
        <v>329288.6711873723</v>
      </c>
      <c r="D79" s="294">
        <f>D78+SUMPRODUCT(D75:D76,GREET1_Import_Export!$B$51:$B$52)+SUMPRODUCT(D67:D69,GREET1_Import_Export!$B$55:$B$57)+SUMPRODUCT(D73:D74,GREET1_Import_Export!$B$58:$B$59)</f>
        <v>440387.87478568533</v>
      </c>
      <c r="E79" s="400">
        <f ca="1">E78+SUMPRODUCT(E75:E76,GREET1_Import_Export!$B$51:$B$52)+SUMPRODUCT(E67:E69,GREET1_Import_Export!$B$55:$B$57)+SUMPRODUCT(E73:E74,GREET1_Import_Export!$B$58:$B$59)</f>
        <v>642852.05363542167</v>
      </c>
      <c r="F79" s="296">
        <f ca="1">F78+SUMPRODUCT(F75:F76,GREET1_Import_Export!$B$51:$B$52)+SUMPRODUCT(F67:F69,GREET1_Import_Export!$B$55:$B$57)+SUMPRODUCT(F73:F74,GREET1_Import_Export!$B$58:$B$59)</f>
        <v>321.42602681771086</v>
      </c>
      <c r="G79" s="296">
        <f>G78+SUMPRODUCT(G75:G76,GREET1_Import_Export!$B$51:$B$52)+SUMPRODUCT(G67:G69,GREET1_Import_Export!$B$55:$B$57)+SUMPRODUCT(G73:G74,GREET1_Import_Export!$B$58:$B$59)</f>
        <v>440387.87478568533</v>
      </c>
      <c r="H79" s="296">
        <f>H78+SUMPRODUCT(H75:H76,GREET1_Import_Export!$B$51:$B$52)+SUMPRODUCT(H67:H69,GREET1_Import_Export!$B$55:$B$57)+SUMPRODUCT(H73:H74,GREET1_Import_Export!$B$58:$B$59)</f>
        <v>220.19393739284266</v>
      </c>
    </row>
    <row r="80" spans="1:8" s="64" customFormat="1">
      <c r="A80" s="177" t="s">
        <v>865</v>
      </c>
      <c r="E80" s="698" t="s">
        <v>845</v>
      </c>
      <c r="F80" s="468" t="s">
        <v>846</v>
      </c>
      <c r="G80" s="468" t="s">
        <v>845</v>
      </c>
      <c r="H80" s="468" t="s">
        <v>846</v>
      </c>
    </row>
    <row r="81" spans="1:8" s="64" customFormat="1">
      <c r="A81" s="95" t="s">
        <v>821</v>
      </c>
      <c r="B81" s="377">
        <f t="shared" ref="B81:B88" si="11">SUM(B48:C48)</f>
        <v>3.1728465138584974</v>
      </c>
      <c r="C81" s="377">
        <f t="shared" ref="C81:C88" ca="1" si="12">SUM(D48:E48)</f>
        <v>1.0780191707412867</v>
      </c>
      <c r="D81" s="377">
        <f t="shared" ref="D81:D88" si="13">SUM(F48:G48)</f>
        <v>0.26462424859930861</v>
      </c>
      <c r="E81" s="399">
        <f t="shared" ref="E81:E88" ca="1" si="14">SUM(B81:C81)</f>
        <v>4.2508656845997841</v>
      </c>
      <c r="F81" s="384">
        <f t="shared" ref="F81:F88" ca="1" si="15">E81/2000</f>
        <v>2.1254328422998922E-3</v>
      </c>
      <c r="G81" s="384">
        <f t="shared" ref="G81:G88" si="16">D81</f>
        <v>0.26462424859930861</v>
      </c>
      <c r="H81" s="384">
        <f t="shared" ref="H81:H88" si="17">G81/2000</f>
        <v>1.323121242996543E-4</v>
      </c>
    </row>
    <row r="82" spans="1:8" s="64" customFormat="1">
      <c r="A82" s="95" t="s">
        <v>822</v>
      </c>
      <c r="B82" s="377">
        <f t="shared" si="11"/>
        <v>14.269930942750589</v>
      </c>
      <c r="C82" s="377">
        <f t="shared" ca="1" si="12"/>
        <v>2.2743466955083402</v>
      </c>
      <c r="D82" s="377">
        <f t="shared" si="13"/>
        <v>0.31002862371916423</v>
      </c>
      <c r="E82" s="399">
        <f t="shared" ca="1" si="14"/>
        <v>16.544277638258929</v>
      </c>
      <c r="F82" s="384">
        <f t="shared" ca="1" si="15"/>
        <v>8.272138819129464E-3</v>
      </c>
      <c r="G82" s="384">
        <f t="shared" si="16"/>
        <v>0.31002862371916423</v>
      </c>
      <c r="H82" s="384">
        <f t="shared" si="17"/>
        <v>1.5501431185958211E-4</v>
      </c>
    </row>
    <row r="83" spans="1:8" s="64" customFormat="1">
      <c r="A83" s="95" t="s">
        <v>823</v>
      </c>
      <c r="B83" s="377">
        <f t="shared" si="11"/>
        <v>41.34916877644919</v>
      </c>
      <c r="C83" s="377">
        <f t="shared" ca="1" si="12"/>
        <v>7.2824196624324609</v>
      </c>
      <c r="D83" s="377">
        <f t="shared" si="13"/>
        <v>1.4871276081249296</v>
      </c>
      <c r="E83" s="399">
        <f t="shared" ca="1" si="14"/>
        <v>48.63158843888165</v>
      </c>
      <c r="F83" s="384">
        <f t="shared" ca="1" si="15"/>
        <v>2.4315794219440825E-2</v>
      </c>
      <c r="G83" s="384">
        <f t="shared" si="16"/>
        <v>1.4871276081249296</v>
      </c>
      <c r="H83" s="384">
        <f t="shared" si="17"/>
        <v>7.4356380406246476E-4</v>
      </c>
    </row>
    <row r="84" spans="1:8" s="64" customFormat="1">
      <c r="A84" s="95" t="s">
        <v>824</v>
      </c>
      <c r="B84" s="377">
        <f t="shared" si="11"/>
        <v>5.5816532103588461</v>
      </c>
      <c r="C84" s="377">
        <f t="shared" ca="1" si="12"/>
        <v>0.44060569886945083</v>
      </c>
      <c r="D84" s="377">
        <f t="shared" si="13"/>
        <v>6.8201279064497175E-2</v>
      </c>
      <c r="E84" s="399">
        <f t="shared" ca="1" si="14"/>
        <v>6.022258909228297</v>
      </c>
      <c r="F84" s="384">
        <f t="shared" ca="1" si="15"/>
        <v>3.0111294546141484E-3</v>
      </c>
      <c r="G84" s="384">
        <f t="shared" si="16"/>
        <v>6.8201279064497175E-2</v>
      </c>
      <c r="H84" s="384">
        <f t="shared" si="17"/>
        <v>3.4100639532248585E-5</v>
      </c>
    </row>
    <row r="85" spans="1:8" s="64" customFormat="1">
      <c r="A85" s="230" t="s">
        <v>825</v>
      </c>
      <c r="B85" s="377">
        <f t="shared" si="11"/>
        <v>4.904106112589429</v>
      </c>
      <c r="C85" s="377">
        <f t="shared" ca="1" si="12"/>
        <v>0.39074977461277066</v>
      </c>
      <c r="D85" s="377">
        <f t="shared" si="13"/>
        <v>6.0948886056913766E-2</v>
      </c>
      <c r="E85" s="399">
        <f t="shared" ca="1" si="14"/>
        <v>5.2948558872021998</v>
      </c>
      <c r="F85" s="384">
        <f t="shared" ca="1" si="15"/>
        <v>2.6474279436011E-3</v>
      </c>
      <c r="G85" s="384">
        <f t="shared" si="16"/>
        <v>6.0948886056913766E-2</v>
      </c>
      <c r="H85" s="384">
        <f t="shared" si="17"/>
        <v>3.0474443028456883E-5</v>
      </c>
    </row>
    <row r="86" spans="1:8">
      <c r="A86" s="95" t="s">
        <v>826</v>
      </c>
      <c r="B86" s="377">
        <f t="shared" si="11"/>
        <v>40.19478499029627</v>
      </c>
      <c r="C86" s="377">
        <f t="shared" ca="1" si="12"/>
        <v>2.2777863991280736</v>
      </c>
      <c r="D86" s="377">
        <f t="shared" si="13"/>
        <v>0.19356747271688793</v>
      </c>
      <c r="E86" s="399">
        <f t="shared" ca="1" si="14"/>
        <v>42.472571389424346</v>
      </c>
      <c r="F86" s="384">
        <f t="shared" ca="1" si="15"/>
        <v>2.1236285694712174E-2</v>
      </c>
      <c r="G86" s="384">
        <f t="shared" si="16"/>
        <v>0.19356747271688793</v>
      </c>
      <c r="H86" s="384">
        <f t="shared" si="17"/>
        <v>9.6783736358443958E-5</v>
      </c>
    </row>
    <row r="87" spans="1:8">
      <c r="A87" s="230" t="s">
        <v>827</v>
      </c>
      <c r="B87" s="377">
        <f t="shared" si="11"/>
        <v>0.26873425805210988</v>
      </c>
      <c r="C87" s="377">
        <f t="shared" ca="1" si="12"/>
        <v>2.892501162161782E-2</v>
      </c>
      <c r="D87" s="377">
        <f t="shared" si="13"/>
        <v>5.7471290997325678E-3</v>
      </c>
      <c r="E87" s="399">
        <f t="shared" ca="1" si="14"/>
        <v>0.29765926967372769</v>
      </c>
      <c r="F87" s="384">
        <f t="shared" ca="1" si="15"/>
        <v>1.4882963483686386E-4</v>
      </c>
      <c r="G87" s="384">
        <f t="shared" si="16"/>
        <v>5.7471290997325678E-3</v>
      </c>
      <c r="H87" s="384">
        <f t="shared" si="17"/>
        <v>2.8735645498662838E-6</v>
      </c>
    </row>
    <row r="88" spans="1:8">
      <c r="A88" s="539" t="s">
        <v>828</v>
      </c>
      <c r="B88" s="97">
        <f t="shared" si="11"/>
        <v>1.3802216919446995</v>
      </c>
      <c r="C88" s="97">
        <f t="shared" ca="1" si="12"/>
        <v>0.13882892557220217</v>
      </c>
      <c r="D88" s="97">
        <f t="shared" si="13"/>
        <v>2.5778809296269703E-2</v>
      </c>
      <c r="E88" s="102">
        <f t="shared" ca="1" si="14"/>
        <v>1.5190506175169016</v>
      </c>
      <c r="F88" s="98">
        <f t="shared" ca="1" si="15"/>
        <v>7.5952530875845082E-4</v>
      </c>
      <c r="G88" s="98">
        <f t="shared" si="16"/>
        <v>2.5778809296269703E-2</v>
      </c>
      <c r="H88" s="98">
        <f t="shared" si="17"/>
        <v>1.2889404648134851E-5</v>
      </c>
    </row>
  </sheetData>
  <mergeCells count="5">
    <mergeCell ref="B12:C12"/>
    <mergeCell ref="D12:E12"/>
    <mergeCell ref="F12:G12"/>
    <mergeCell ref="E58:F58"/>
    <mergeCell ref="G58:H58"/>
  </mergeCells>
  <phoneticPr fontId="5" type="noConversion"/>
  <printOptions gridLinesSet="0"/>
  <pageMargins left="0.75" right="0.75" top="1" bottom="1" header="0.5" footer="0.5"/>
  <pageSetup orientation="landscape" r:id="rId1"/>
  <headerFooter alignWithMargins="0">
    <oddHeader>&amp;A</oddHeader>
    <oddFooter>Page &amp;P</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F145"/>
  <sheetViews>
    <sheetView showGridLines="0" topLeftCell="A81" zoomScale="85" zoomScaleNormal="85" workbookViewId="0">
      <pane xSplit="1" topLeftCell="B1" activePane="topRight" state="frozen"/>
      <selection pane="topRight" activeCell="G93" sqref="G93"/>
    </sheetView>
  </sheetViews>
  <sheetFormatPr defaultColWidth="9.140625" defaultRowHeight="12.75"/>
  <cols>
    <col min="1" max="1" width="27.7109375" style="64" customWidth="1"/>
    <col min="2" max="2" width="10.42578125" style="64" customWidth="1"/>
    <col min="3" max="3" width="13.85546875" style="64" bestFit="1" customWidth="1"/>
    <col min="4" max="4" width="11.42578125" style="64" customWidth="1"/>
    <col min="5" max="5" width="13.85546875" style="64" bestFit="1" customWidth="1"/>
    <col min="6" max="6" width="16" style="64" customWidth="1"/>
    <col min="7" max="7" width="11.42578125" style="64" customWidth="1"/>
    <col min="8" max="8" width="12.42578125" style="64" customWidth="1"/>
    <col min="9" max="9" width="11" style="64" customWidth="1"/>
    <col min="10" max="10" width="9.140625" style="64"/>
    <col min="11" max="11" width="11.42578125" style="64" customWidth="1"/>
    <col min="12" max="12" width="11" style="64" customWidth="1"/>
    <col min="13" max="13" width="11.140625" style="64" customWidth="1"/>
    <col min="14" max="14" width="9.140625" style="64"/>
    <col min="15" max="15" width="10.85546875" style="64" customWidth="1"/>
    <col min="16" max="16" width="9.140625" style="64"/>
    <col min="17" max="17" width="13" style="64" customWidth="1"/>
    <col min="18" max="18" width="11.42578125" style="64" bestFit="1" customWidth="1"/>
    <col min="19" max="19" width="11.28515625" style="64" bestFit="1" customWidth="1"/>
    <col min="20" max="27" width="9.140625" style="64"/>
    <col min="28" max="28" width="25.7109375" style="64" customWidth="1"/>
    <col min="29" max="52" width="9.140625" style="64"/>
    <col min="53" max="53" width="26.85546875" style="64" customWidth="1"/>
    <col min="54" max="16384" width="9.140625" style="64"/>
  </cols>
  <sheetData>
    <row r="1" spans="1:9" s="5" customFormat="1" ht="15.75">
      <c r="A1" s="2" t="s">
        <v>1032</v>
      </c>
    </row>
    <row r="2" spans="1:9" s="5" customFormat="1" ht="15">
      <c r="A2" s="75" t="s">
        <v>1033</v>
      </c>
    </row>
    <row r="3" spans="1:9" s="5" customFormat="1">
      <c r="A3" s="1668">
        <f>Mat_Inputs!B306</f>
        <v>1</v>
      </c>
      <c r="B3" s="8" t="s">
        <v>447</v>
      </c>
    </row>
    <row r="4" spans="1:9" s="5" customFormat="1" ht="15.75">
      <c r="A4" s="2"/>
      <c r="B4" s="8" t="s">
        <v>448</v>
      </c>
    </row>
    <row r="5" spans="1:9">
      <c r="A5" s="407"/>
    </row>
    <row r="6" spans="1:9" ht="15">
      <c r="A6" s="529" t="s">
        <v>938</v>
      </c>
    </row>
    <row r="7" spans="1:9">
      <c r="A7" s="3" t="s">
        <v>1034</v>
      </c>
    </row>
    <row r="8" spans="1:9" ht="79.5" customHeight="1">
      <c r="A8" s="1669"/>
      <c r="B8" s="1129" t="s">
        <v>488</v>
      </c>
      <c r="C8" s="1130" t="s">
        <v>489</v>
      </c>
      <c r="D8" s="1130" t="s">
        <v>1035</v>
      </c>
      <c r="E8" s="1130" t="s">
        <v>1036</v>
      </c>
      <c r="F8" s="1130" t="s">
        <v>1037</v>
      </c>
      <c r="G8" s="1130" t="s">
        <v>1038</v>
      </c>
      <c r="H8" s="1130" t="s">
        <v>1039</v>
      </c>
      <c r="I8" s="1131" t="s">
        <v>1040</v>
      </c>
    </row>
    <row r="9" spans="1:9">
      <c r="A9" s="393" t="s">
        <v>769</v>
      </c>
      <c r="B9" s="784">
        <v>1</v>
      </c>
      <c r="C9" s="591">
        <v>1</v>
      </c>
      <c r="D9" s="591">
        <v>1</v>
      </c>
      <c r="E9" s="591">
        <v>1</v>
      </c>
      <c r="F9" s="591">
        <v>1</v>
      </c>
      <c r="G9" s="591">
        <v>1</v>
      </c>
      <c r="H9" s="591">
        <v>1</v>
      </c>
      <c r="I9" s="533">
        <v>1</v>
      </c>
    </row>
    <row r="10" spans="1:9">
      <c r="A10" s="30" t="s">
        <v>1041</v>
      </c>
      <c r="B10" s="416">
        <v>1</v>
      </c>
      <c r="C10" s="382">
        <v>1</v>
      </c>
      <c r="D10" s="382">
        <v>1</v>
      </c>
      <c r="E10" s="382">
        <v>1</v>
      </c>
      <c r="F10" s="382">
        <v>1</v>
      </c>
      <c r="G10" s="382">
        <v>0.5</v>
      </c>
      <c r="H10" s="382">
        <v>1</v>
      </c>
      <c r="I10" s="588">
        <v>1</v>
      </c>
    </row>
    <row r="11" spans="1:9">
      <c r="A11" s="30" t="s">
        <v>1042</v>
      </c>
      <c r="B11" s="579">
        <v>0</v>
      </c>
      <c r="C11" s="151">
        <v>0</v>
      </c>
      <c r="D11" s="151">
        <v>0</v>
      </c>
      <c r="E11" s="151">
        <v>0</v>
      </c>
      <c r="F11" s="151">
        <v>0</v>
      </c>
      <c r="G11" s="151">
        <v>0.5</v>
      </c>
      <c r="H11" s="151">
        <v>0</v>
      </c>
      <c r="I11" s="1064">
        <v>0</v>
      </c>
    </row>
    <row r="12" spans="1:9">
      <c r="A12" s="230" t="s">
        <v>773</v>
      </c>
      <c r="B12" s="416">
        <v>1</v>
      </c>
      <c r="C12" s="382">
        <v>1</v>
      </c>
      <c r="D12" s="382">
        <v>1</v>
      </c>
      <c r="E12" s="382">
        <v>1</v>
      </c>
      <c r="F12" s="382">
        <v>1</v>
      </c>
      <c r="G12" s="382">
        <v>1</v>
      </c>
      <c r="H12" s="382">
        <v>1</v>
      </c>
      <c r="I12" s="588">
        <v>1</v>
      </c>
    </row>
    <row r="13" spans="1:9">
      <c r="A13" s="160" t="s">
        <v>782</v>
      </c>
      <c r="B13" s="579">
        <v>0</v>
      </c>
      <c r="C13" s="382">
        <v>1</v>
      </c>
      <c r="D13" s="382">
        <v>1</v>
      </c>
      <c r="E13" s="382">
        <v>1</v>
      </c>
      <c r="F13" s="382">
        <v>1</v>
      </c>
      <c r="G13" s="382">
        <v>1</v>
      </c>
      <c r="H13" s="382">
        <v>1</v>
      </c>
      <c r="I13" s="588">
        <v>1</v>
      </c>
    </row>
    <row r="14" spans="1:9">
      <c r="A14" s="161" t="s">
        <v>783</v>
      </c>
      <c r="B14" s="580">
        <f>1-B13</f>
        <v>1</v>
      </c>
      <c r="C14" s="153">
        <f>1-C13</f>
        <v>0</v>
      </c>
      <c r="D14" s="153">
        <f t="shared" ref="D14:G14" si="0">1-D13</f>
        <v>0</v>
      </c>
      <c r="E14" s="153">
        <f t="shared" si="0"/>
        <v>0</v>
      </c>
      <c r="F14" s="153">
        <f t="shared" si="0"/>
        <v>0</v>
      </c>
      <c r="G14" s="153">
        <f t="shared" si="0"/>
        <v>0</v>
      </c>
      <c r="H14" s="153">
        <f t="shared" ref="H14:I14" si="1">1-H13</f>
        <v>0</v>
      </c>
      <c r="I14" s="154">
        <f t="shared" si="1"/>
        <v>0</v>
      </c>
    </row>
    <row r="15" spans="1:9">
      <c r="A15" s="489"/>
      <c r="B15" s="1101"/>
      <c r="C15" s="151"/>
      <c r="D15" s="151"/>
      <c r="E15" s="151"/>
      <c r="F15" s="151"/>
      <c r="G15" s="151"/>
    </row>
    <row r="16" spans="1:9">
      <c r="A16" s="111" t="s">
        <v>1043</v>
      </c>
      <c r="B16" s="1101"/>
      <c r="C16" s="151"/>
      <c r="D16" s="151"/>
      <c r="E16" s="151"/>
      <c r="F16" s="151"/>
      <c r="G16" s="151"/>
    </row>
    <row r="17" spans="1:25" ht="25.5">
      <c r="A17" s="702"/>
      <c r="B17" s="1151" t="s">
        <v>1044</v>
      </c>
      <c r="C17" s="1152" t="s">
        <v>1045</v>
      </c>
      <c r="D17" s="1153" t="s">
        <v>1046</v>
      </c>
      <c r="E17" s="1154" t="s">
        <v>1047</v>
      </c>
      <c r="F17" s="1154" t="s">
        <v>1048</v>
      </c>
      <c r="G17" s="1155" t="s">
        <v>1049</v>
      </c>
    </row>
    <row r="18" spans="1:25">
      <c r="A18" s="905" t="s">
        <v>1050</v>
      </c>
      <c r="B18" s="1156">
        <v>0.35</v>
      </c>
      <c r="C18" s="1156">
        <v>0.38023988799205105</v>
      </c>
      <c r="D18" s="1156">
        <v>0.4539138739765699</v>
      </c>
      <c r="E18" s="1156">
        <v>0.73423036192611968</v>
      </c>
      <c r="F18" s="1156">
        <v>0.78648641434900979</v>
      </c>
      <c r="G18" s="1157">
        <v>1</v>
      </c>
      <c r="H18" s="1321"/>
      <c r="I18" s="1321"/>
      <c r="J18" s="1321"/>
      <c r="K18" s="1321"/>
    </row>
    <row r="19" spans="1:25">
      <c r="A19" s="363"/>
      <c r="B19" s="1325"/>
      <c r="C19" s="1325"/>
      <c r="D19" s="1325"/>
      <c r="E19" s="1325"/>
      <c r="F19" s="1325"/>
      <c r="G19" s="1325"/>
      <c r="H19" s="1321"/>
      <c r="I19" s="1321"/>
      <c r="J19" s="1321"/>
      <c r="K19" s="1321"/>
    </row>
    <row r="20" spans="1:25">
      <c r="A20" s="111" t="s">
        <v>1051</v>
      </c>
      <c r="G20" s="1325"/>
      <c r="H20" s="1321"/>
      <c r="I20" s="1321"/>
      <c r="J20" s="1321"/>
      <c r="K20" s="1321"/>
    </row>
    <row r="21" spans="1:25">
      <c r="A21" s="686"/>
      <c r="B21" s="1326" t="s">
        <v>1052</v>
      </c>
      <c r="C21" s="1326" t="s">
        <v>953</v>
      </c>
      <c r="D21" s="1326" t="s">
        <v>442</v>
      </c>
      <c r="E21" s="1326" t="s">
        <v>445</v>
      </c>
      <c r="F21" s="1327" t="s">
        <v>1053</v>
      </c>
      <c r="G21" s="1325"/>
      <c r="H21" s="1321"/>
      <c r="I21" s="1321"/>
      <c r="J21" s="1321"/>
      <c r="K21" s="1321"/>
    </row>
    <row r="22" spans="1:25">
      <c r="A22" s="905" t="s">
        <v>1054</v>
      </c>
      <c r="B22" s="1236">
        <v>0</v>
      </c>
      <c r="C22" s="1236">
        <v>1</v>
      </c>
      <c r="D22" s="1236">
        <v>0</v>
      </c>
      <c r="E22" s="1236">
        <v>0</v>
      </c>
      <c r="F22" s="1328">
        <f>1-SUM(B22:E22)</f>
        <v>0</v>
      </c>
      <c r="G22" s="1325"/>
      <c r="H22" s="1321"/>
      <c r="I22" s="1321"/>
      <c r="J22" s="1321"/>
      <c r="K22" s="1321"/>
    </row>
    <row r="24" spans="1:25" ht="15">
      <c r="A24" s="75" t="s">
        <v>784</v>
      </c>
    </row>
    <row r="25" spans="1:25" ht="15">
      <c r="A25" s="75"/>
      <c r="B25" s="3066" t="s">
        <v>1055</v>
      </c>
      <c r="C25" s="3067"/>
      <c r="D25" s="3067"/>
      <c r="E25" s="3067"/>
      <c r="F25" s="3067"/>
      <c r="G25" s="3067"/>
      <c r="H25" s="3067"/>
      <c r="I25" s="3067"/>
      <c r="J25" s="3067"/>
      <c r="K25" s="3067"/>
      <c r="L25" s="3067"/>
      <c r="M25" s="3067"/>
      <c r="N25" s="3067"/>
      <c r="O25" s="3067"/>
      <c r="P25" s="3068"/>
      <c r="Q25" s="3066" t="s">
        <v>1056</v>
      </c>
      <c r="R25" s="3067"/>
      <c r="S25" s="3067"/>
      <c r="T25" s="3067"/>
      <c r="U25" s="3067"/>
      <c r="V25" s="3067"/>
      <c r="W25" s="3067"/>
      <c r="X25" s="3067"/>
      <c r="Y25" s="3068"/>
    </row>
    <row r="26" spans="1:25" ht="24.75" customHeight="1">
      <c r="A26" s="238"/>
      <c r="B26" s="2982" t="s">
        <v>488</v>
      </c>
      <c r="C26" s="2983"/>
      <c r="D26" s="2994"/>
      <c r="E26" s="2982" t="s">
        <v>489</v>
      </c>
      <c r="F26" s="2983"/>
      <c r="G26" s="2994"/>
      <c r="H26" s="2982" t="s">
        <v>1035</v>
      </c>
      <c r="I26" s="2983"/>
      <c r="J26" s="2994"/>
      <c r="K26" s="2982" t="s">
        <v>1036</v>
      </c>
      <c r="L26" s="2983"/>
      <c r="M26" s="2994"/>
      <c r="N26" s="2982" t="s">
        <v>492</v>
      </c>
      <c r="O26" s="2983"/>
      <c r="P26" s="2994"/>
      <c r="Q26" s="2982" t="s">
        <v>1038</v>
      </c>
      <c r="R26" s="2983"/>
      <c r="S26" s="2994"/>
      <c r="T26" s="2982" t="s">
        <v>1039</v>
      </c>
      <c r="U26" s="2983"/>
      <c r="V26" s="2994"/>
      <c r="W26" s="2982" t="s">
        <v>1040</v>
      </c>
      <c r="X26" s="2983"/>
      <c r="Y26" s="2994"/>
    </row>
    <row r="27" spans="1:25" ht="83.25" customHeight="1">
      <c r="A27" s="571"/>
      <c r="B27" s="1265" t="s">
        <v>785</v>
      </c>
      <c r="C27" s="1307" t="s">
        <v>786</v>
      </c>
      <c r="D27" s="1223" t="s">
        <v>1057</v>
      </c>
      <c r="E27" s="1265" t="s">
        <v>785</v>
      </c>
      <c r="F27" s="1307" t="s">
        <v>786</v>
      </c>
      <c r="G27" s="1223" t="s">
        <v>1057</v>
      </c>
      <c r="H27" s="1265" t="s">
        <v>785</v>
      </c>
      <c r="I27" s="1307" t="s">
        <v>786</v>
      </c>
      <c r="J27" s="1223" t="s">
        <v>1057</v>
      </c>
      <c r="K27" s="1265" t="s">
        <v>785</v>
      </c>
      <c r="L27" s="1307" t="s">
        <v>786</v>
      </c>
      <c r="M27" s="1223" t="s">
        <v>1057</v>
      </c>
      <c r="N27" s="1265" t="s">
        <v>785</v>
      </c>
      <c r="O27" s="1307" t="s">
        <v>786</v>
      </c>
      <c r="P27" s="1223" t="s">
        <v>1057</v>
      </c>
      <c r="Q27" s="1265" t="s">
        <v>785</v>
      </c>
      <c r="R27" s="1307" t="s">
        <v>786</v>
      </c>
      <c r="S27" s="1223" t="s">
        <v>1057</v>
      </c>
      <c r="T27" s="1265" t="s">
        <v>785</v>
      </c>
      <c r="U27" s="1307" t="s">
        <v>786</v>
      </c>
      <c r="V27" s="1223" t="s">
        <v>1057</v>
      </c>
      <c r="W27" s="1265" t="s">
        <v>785</v>
      </c>
      <c r="X27" s="1307" t="s">
        <v>786</v>
      </c>
      <c r="Y27" s="1223" t="s">
        <v>1057</v>
      </c>
    </row>
    <row r="28" spans="1:25" ht="38.25">
      <c r="A28" s="659" t="s">
        <v>797</v>
      </c>
      <c r="B28" s="663">
        <f>IF($A$3=1,Mat_Inputs!C380,Mat_Inputs!D380)</f>
        <v>21.570692097725999</v>
      </c>
      <c r="C28" s="367"/>
      <c r="D28" s="394"/>
      <c r="E28" s="663">
        <f>IF($A$3=1,Mat_Inputs!C381,Mat_Inputs!D381)</f>
        <v>6.7060813649289104</v>
      </c>
      <c r="F28" s="367"/>
      <c r="G28" s="394"/>
      <c r="H28" s="663">
        <f>Mat_Inputs!B382</f>
        <v>37.1776491351633</v>
      </c>
      <c r="I28" s="367"/>
      <c r="J28" s="394"/>
      <c r="K28" s="663">
        <f>Mat_Inputs!B383</f>
        <v>18.600278503969914</v>
      </c>
      <c r="L28" s="367"/>
      <c r="M28" s="394"/>
      <c r="N28" s="663">
        <f>Mat_Inputs!B384</f>
        <v>10.525239810426541</v>
      </c>
      <c r="O28" s="367"/>
      <c r="P28" s="394"/>
      <c r="Q28" s="663">
        <v>0.28702708583744641</v>
      </c>
      <c r="R28" s="367"/>
      <c r="S28" s="394"/>
      <c r="T28" s="663">
        <f>Mat_Inputs!T379</f>
        <v>0</v>
      </c>
      <c r="U28" s="367"/>
      <c r="V28" s="394"/>
      <c r="W28" s="663">
        <f>Mat_Inputs!W379</f>
        <v>0</v>
      </c>
      <c r="X28" s="367"/>
      <c r="Y28" s="394"/>
    </row>
    <row r="29" spans="1:25">
      <c r="A29" s="660" t="s">
        <v>798</v>
      </c>
      <c r="B29" s="664">
        <v>0</v>
      </c>
      <c r="C29" s="368"/>
      <c r="D29" s="707"/>
      <c r="E29" s="664">
        <v>0</v>
      </c>
      <c r="F29" s="368"/>
      <c r="G29" s="707"/>
      <c r="H29" s="664">
        <v>0</v>
      </c>
      <c r="I29" s="368"/>
      <c r="J29" s="707"/>
      <c r="K29" s="664">
        <v>0</v>
      </c>
      <c r="L29" s="368"/>
      <c r="M29" s="707"/>
      <c r="N29" s="664">
        <v>0</v>
      </c>
      <c r="O29" s="368"/>
      <c r="P29" s="707"/>
      <c r="Q29" s="664">
        <v>0</v>
      </c>
      <c r="R29" s="368"/>
      <c r="S29" s="707"/>
      <c r="T29" s="664">
        <v>0</v>
      </c>
      <c r="U29" s="368"/>
      <c r="V29" s="707"/>
      <c r="W29" s="664">
        <v>0</v>
      </c>
      <c r="X29" s="368"/>
      <c r="Y29" s="707"/>
    </row>
    <row r="30" spans="1:25">
      <c r="A30" s="177" t="s">
        <v>799</v>
      </c>
      <c r="B30" s="383"/>
      <c r="C30" s="377"/>
      <c r="D30" s="395"/>
      <c r="E30" s="383"/>
      <c r="F30" s="377"/>
      <c r="G30" s="395"/>
      <c r="H30" s="383"/>
      <c r="I30" s="377"/>
      <c r="J30" s="395"/>
      <c r="K30" s="383"/>
      <c r="L30" s="377"/>
      <c r="M30" s="395"/>
      <c r="N30" s="383"/>
      <c r="O30" s="377"/>
      <c r="P30" s="395"/>
      <c r="Q30" s="383"/>
      <c r="R30" s="377"/>
      <c r="S30" s="395"/>
      <c r="T30" s="383"/>
      <c r="U30" s="377"/>
      <c r="V30" s="395"/>
      <c r="W30" s="383"/>
      <c r="X30" s="377"/>
      <c r="Y30" s="395"/>
    </row>
    <row r="31" spans="1:25">
      <c r="A31" s="230" t="s">
        <v>800</v>
      </c>
      <c r="B31" s="416">
        <v>0</v>
      </c>
      <c r="C31" s="382"/>
      <c r="D31" s="395"/>
      <c r="E31" s="416">
        <v>0</v>
      </c>
      <c r="F31" s="382"/>
      <c r="G31" s="395"/>
      <c r="H31" s="416">
        <v>0</v>
      </c>
      <c r="I31" s="382"/>
      <c r="J31" s="395"/>
      <c r="K31" s="416">
        <v>0</v>
      </c>
      <c r="L31" s="382"/>
      <c r="M31" s="395"/>
      <c r="N31" s="416">
        <v>0</v>
      </c>
      <c r="O31" s="382"/>
      <c r="P31" s="395"/>
      <c r="Q31" s="416">
        <v>0</v>
      </c>
      <c r="R31" s="382"/>
      <c r="S31" s="395"/>
      <c r="T31" s="416">
        <v>0</v>
      </c>
      <c r="U31" s="382"/>
      <c r="V31" s="395"/>
      <c r="W31" s="416">
        <v>0</v>
      </c>
      <c r="X31" s="382"/>
      <c r="Y31" s="395"/>
    </row>
    <row r="32" spans="1:25">
      <c r="A32" s="230" t="s">
        <v>802</v>
      </c>
      <c r="B32" s="416">
        <v>1</v>
      </c>
      <c r="C32" s="382"/>
      <c r="D32" s="94"/>
      <c r="E32" s="416">
        <v>0</v>
      </c>
      <c r="F32" s="382"/>
      <c r="G32" s="94"/>
      <c r="H32" s="416">
        <v>0</v>
      </c>
      <c r="I32" s="382"/>
      <c r="J32" s="94"/>
      <c r="K32" s="416">
        <v>0</v>
      </c>
      <c r="L32" s="382"/>
      <c r="M32" s="94"/>
      <c r="N32" s="416">
        <v>0</v>
      </c>
      <c r="O32" s="382"/>
      <c r="P32" s="94"/>
      <c r="Q32" s="416">
        <v>0</v>
      </c>
      <c r="R32" s="382"/>
      <c r="S32" s="94"/>
      <c r="T32" s="416">
        <v>0</v>
      </c>
      <c r="U32" s="382"/>
      <c r="V32" s="94"/>
      <c r="W32" s="416">
        <v>0</v>
      </c>
      <c r="X32" s="382"/>
      <c r="Y32" s="94"/>
    </row>
    <row r="33" spans="1:32">
      <c r="A33" s="230" t="s">
        <v>804</v>
      </c>
      <c r="B33" s="416">
        <v>0</v>
      </c>
      <c r="C33" s="382"/>
      <c r="D33" s="395"/>
      <c r="E33" s="416">
        <v>0</v>
      </c>
      <c r="F33" s="382"/>
      <c r="G33" s="395"/>
      <c r="H33" s="416">
        <v>0.72188934682852524</v>
      </c>
      <c r="I33" s="382"/>
      <c r="J33" s="395"/>
      <c r="K33" s="416">
        <v>0.99429380199789685</v>
      </c>
      <c r="L33" s="382"/>
      <c r="M33" s="395"/>
      <c r="N33" s="416">
        <v>0</v>
      </c>
      <c r="O33" s="382"/>
      <c r="P33" s="395"/>
      <c r="Q33" s="416">
        <v>0.30275229357798167</v>
      </c>
      <c r="R33" s="382"/>
      <c r="S33" s="395"/>
      <c r="T33" s="416">
        <v>0</v>
      </c>
      <c r="U33" s="382"/>
      <c r="V33" s="395"/>
      <c r="W33" s="416">
        <v>0</v>
      </c>
      <c r="X33" s="382"/>
      <c r="Y33" s="395"/>
    </row>
    <row r="34" spans="1:32">
      <c r="A34" s="230" t="s">
        <v>805</v>
      </c>
      <c r="B34" s="416">
        <v>0</v>
      </c>
      <c r="C34" s="382"/>
      <c r="D34" s="395"/>
      <c r="E34" s="416">
        <v>0</v>
      </c>
      <c r="F34" s="382"/>
      <c r="G34" s="395"/>
      <c r="H34" s="416">
        <v>0</v>
      </c>
      <c r="I34" s="382"/>
      <c r="J34" s="395"/>
      <c r="K34" s="416">
        <v>0</v>
      </c>
      <c r="L34" s="382"/>
      <c r="M34" s="395"/>
      <c r="N34" s="416">
        <v>0</v>
      </c>
      <c r="O34" s="382"/>
      <c r="P34" s="395"/>
      <c r="Q34" s="416">
        <v>0</v>
      </c>
      <c r="R34" s="382"/>
      <c r="S34" s="395"/>
      <c r="T34" s="416">
        <v>0</v>
      </c>
      <c r="U34" s="382"/>
      <c r="V34" s="395"/>
      <c r="W34" s="416">
        <v>0</v>
      </c>
      <c r="X34" s="382"/>
      <c r="Y34" s="395"/>
    </row>
    <row r="35" spans="1:32">
      <c r="A35" s="230" t="s">
        <v>806</v>
      </c>
      <c r="B35" s="416">
        <f>1-SUM(B31:B34)</f>
        <v>0</v>
      </c>
      <c r="C35" s="382"/>
      <c r="D35" s="395"/>
      <c r="E35" s="416">
        <f>1-SUM(E31:E34)</f>
        <v>1</v>
      </c>
      <c r="F35" s="382"/>
      <c r="G35" s="395"/>
      <c r="H35" s="416">
        <f>1-SUM(H31:H34)</f>
        <v>0.27811065317147476</v>
      </c>
      <c r="I35" s="382"/>
      <c r="J35" s="395"/>
      <c r="K35" s="416">
        <f>1-SUM(K31:K34)</f>
        <v>5.7061980021031466E-3</v>
      </c>
      <c r="L35" s="382"/>
      <c r="M35" s="395"/>
      <c r="N35" s="416">
        <f>1-SUM(N31:N34)</f>
        <v>1</v>
      </c>
      <c r="O35" s="382"/>
      <c r="P35" s="395"/>
      <c r="Q35" s="416">
        <f>1-SUM(Q31:Q34)</f>
        <v>0.69724770642201839</v>
      </c>
      <c r="R35" s="382"/>
      <c r="S35" s="395"/>
      <c r="T35" s="416">
        <f>1-SUM(T31:T34)</f>
        <v>1</v>
      </c>
      <c r="U35" s="382"/>
      <c r="V35" s="395"/>
      <c r="W35" s="416">
        <f>1-SUM(W31:W34)</f>
        <v>1</v>
      </c>
      <c r="X35" s="382"/>
      <c r="Y35" s="395"/>
    </row>
    <row r="36" spans="1:32">
      <c r="A36" s="178" t="s">
        <v>862</v>
      </c>
      <c r="B36" s="663"/>
      <c r="C36" s="367"/>
      <c r="D36" s="394"/>
      <c r="E36" s="663"/>
      <c r="F36" s="367"/>
      <c r="G36" s="394"/>
      <c r="H36" s="663"/>
      <c r="I36" s="367"/>
      <c r="J36" s="394"/>
      <c r="K36" s="663"/>
      <c r="L36" s="367"/>
      <c r="M36" s="394"/>
      <c r="N36" s="663"/>
      <c r="O36" s="367"/>
      <c r="P36" s="394"/>
      <c r="Q36" s="663"/>
      <c r="R36" s="367"/>
      <c r="S36" s="394"/>
      <c r="T36" s="663"/>
      <c r="U36" s="367"/>
      <c r="V36" s="394"/>
      <c r="W36" s="663"/>
      <c r="X36" s="367"/>
      <c r="Y36" s="394"/>
    </row>
    <row r="37" spans="1:32" s="349" customFormat="1">
      <c r="A37" s="498" t="s">
        <v>800</v>
      </c>
      <c r="B37" s="390">
        <f>B$28*B31</f>
        <v>0</v>
      </c>
      <c r="C37" s="389"/>
      <c r="D37" s="348"/>
      <c r="E37" s="390">
        <f>E$28*E31</f>
        <v>0</v>
      </c>
      <c r="F37" s="389"/>
      <c r="G37" s="348"/>
      <c r="H37" s="390">
        <f>H$28*H31</f>
        <v>0</v>
      </c>
      <c r="I37" s="389"/>
      <c r="J37" s="348"/>
      <c r="K37" s="390">
        <f>K$28*K31</f>
        <v>0</v>
      </c>
      <c r="L37" s="389"/>
      <c r="M37" s="348"/>
      <c r="N37" s="390">
        <f>N$28*N31</f>
        <v>0</v>
      </c>
      <c r="O37" s="389"/>
      <c r="P37" s="348"/>
      <c r="Q37" s="390">
        <f>Q$28*Q31</f>
        <v>0</v>
      </c>
      <c r="R37" s="389"/>
      <c r="S37" s="348"/>
      <c r="T37" s="390">
        <f>T$28*T31</f>
        <v>0</v>
      </c>
      <c r="U37" s="389"/>
      <c r="V37" s="348"/>
      <c r="W37" s="390">
        <f>W$28*W31</f>
        <v>0</v>
      </c>
      <c r="X37" s="389"/>
      <c r="Y37" s="348"/>
    </row>
    <row r="38" spans="1:32" s="349" customFormat="1">
      <c r="A38" s="347" t="s">
        <v>802</v>
      </c>
      <c r="B38" s="390">
        <f>B$28*B32</f>
        <v>21.570692097725999</v>
      </c>
      <c r="C38" s="389"/>
      <c r="D38" s="348"/>
      <c r="E38" s="390">
        <f>E$28*E32</f>
        <v>0</v>
      </c>
      <c r="F38" s="389"/>
      <c r="G38" s="348"/>
      <c r="H38" s="390">
        <f>H$28*H32</f>
        <v>0</v>
      </c>
      <c r="I38" s="389"/>
      <c r="J38" s="348"/>
      <c r="K38" s="390">
        <f>K$28*K32</f>
        <v>0</v>
      </c>
      <c r="L38" s="389"/>
      <c r="M38" s="348"/>
      <c r="N38" s="390">
        <f>N$28*N32</f>
        <v>0</v>
      </c>
      <c r="O38" s="389"/>
      <c r="P38" s="348"/>
      <c r="Q38" s="390">
        <f>Q$28*Q32</f>
        <v>0</v>
      </c>
      <c r="R38" s="389"/>
      <c r="S38" s="348"/>
      <c r="T38" s="390">
        <f>T$28*T32</f>
        <v>0</v>
      </c>
      <c r="U38" s="389"/>
      <c r="V38" s="348"/>
      <c r="W38" s="390">
        <f>W$28*W32</f>
        <v>0</v>
      </c>
      <c r="X38" s="389"/>
      <c r="Y38" s="348"/>
    </row>
    <row r="39" spans="1:32" s="349" customFormat="1">
      <c r="A39" s="498" t="s">
        <v>804</v>
      </c>
      <c r="B39" s="390">
        <f>B$28*B33</f>
        <v>0</v>
      </c>
      <c r="C39" s="389"/>
      <c r="D39" s="348"/>
      <c r="E39" s="390">
        <f>E$28*E33</f>
        <v>0</v>
      </c>
      <c r="F39" s="389"/>
      <c r="G39" s="348"/>
      <c r="H39" s="390">
        <f>H$28*H33</f>
        <v>26.838148850803119</v>
      </c>
      <c r="I39" s="389"/>
      <c r="J39" s="348"/>
      <c r="K39" s="390">
        <f>K$28*K33</f>
        <v>18.494141631931999</v>
      </c>
      <c r="L39" s="389"/>
      <c r="M39" s="348"/>
      <c r="N39" s="390">
        <f>N$28*N33</f>
        <v>0</v>
      </c>
      <c r="O39" s="389"/>
      <c r="P39" s="348"/>
      <c r="Q39" s="390">
        <f>Q$28*Q33</f>
        <v>8.6898108556291112E-2</v>
      </c>
      <c r="R39" s="389"/>
      <c r="S39" s="348"/>
      <c r="T39" s="390">
        <f>T$28*T33</f>
        <v>0</v>
      </c>
      <c r="U39" s="389"/>
      <c r="V39" s="348"/>
      <c r="W39" s="390">
        <f>W$28*W33</f>
        <v>0</v>
      </c>
      <c r="X39" s="389"/>
      <c r="Y39" s="348"/>
    </row>
    <row r="40" spans="1:32" s="349" customFormat="1">
      <c r="A40" s="498" t="s">
        <v>805</v>
      </c>
      <c r="B40" s="390">
        <f>B$28*B34</f>
        <v>0</v>
      </c>
      <c r="C40" s="389"/>
      <c r="D40" s="348"/>
      <c r="E40" s="390">
        <f>E$28*E34</f>
        <v>0</v>
      </c>
      <c r="F40" s="389"/>
      <c r="G40" s="348"/>
      <c r="H40" s="390">
        <f>H$28*H34</f>
        <v>0</v>
      </c>
      <c r="I40" s="389"/>
      <c r="J40" s="348"/>
      <c r="K40" s="390">
        <f>K$28*K34</f>
        <v>0</v>
      </c>
      <c r="L40" s="389"/>
      <c r="M40" s="348"/>
      <c r="N40" s="390">
        <f>N$28*N34</f>
        <v>0</v>
      </c>
      <c r="O40" s="389"/>
      <c r="P40" s="348"/>
      <c r="Q40" s="390">
        <f>Q$28*Q34</f>
        <v>0</v>
      </c>
      <c r="R40" s="389"/>
      <c r="S40" s="348"/>
      <c r="T40" s="390">
        <f>T$28*T34</f>
        <v>0</v>
      </c>
      <c r="U40" s="389"/>
      <c r="V40" s="348"/>
      <c r="W40" s="390">
        <f>W$28*W34</f>
        <v>0</v>
      </c>
      <c r="X40" s="389"/>
      <c r="Y40" s="348"/>
      <c r="AB40" s="1670"/>
      <c r="AC40" s="3076" t="s">
        <v>1058</v>
      </c>
      <c r="AD40" s="3077"/>
      <c r="AE40" s="3076" t="s">
        <v>1059</v>
      </c>
      <c r="AF40" s="3077"/>
    </row>
    <row r="41" spans="1:32" s="349" customFormat="1">
      <c r="A41" s="501" t="s">
        <v>806</v>
      </c>
      <c r="B41" s="751">
        <f>B$28*B35</f>
        <v>0</v>
      </c>
      <c r="C41" s="603"/>
      <c r="D41" s="502"/>
      <c r="E41" s="751">
        <f>E$28*E35</f>
        <v>6.7060813649289104</v>
      </c>
      <c r="F41" s="603"/>
      <c r="G41" s="502"/>
      <c r="H41" s="751">
        <f>H$28*H35</f>
        <v>10.339500284360179</v>
      </c>
      <c r="I41" s="603"/>
      <c r="J41" s="502"/>
      <c r="K41" s="751">
        <f>K$28*K35</f>
        <v>0.10613687203791523</v>
      </c>
      <c r="L41" s="603"/>
      <c r="M41" s="502"/>
      <c r="N41" s="751">
        <f>N$28*N35</f>
        <v>10.525239810426541</v>
      </c>
      <c r="O41" s="603"/>
      <c r="P41" s="502"/>
      <c r="Q41" s="751">
        <f>Q$28*Q35</f>
        <v>0.20012897728115531</v>
      </c>
      <c r="R41" s="603"/>
      <c r="S41" s="502"/>
      <c r="T41" s="751">
        <f>T$28*T35</f>
        <v>0</v>
      </c>
      <c r="U41" s="603"/>
      <c r="V41" s="502"/>
      <c r="W41" s="751">
        <f>W$28*W35</f>
        <v>0</v>
      </c>
      <c r="X41" s="603"/>
      <c r="Y41" s="502"/>
      <c r="AB41" s="510"/>
      <c r="AC41" s="1080" t="s">
        <v>1060</v>
      </c>
      <c r="AD41" s="1081" t="s">
        <v>1061</v>
      </c>
      <c r="AE41" s="1141" t="s">
        <v>1060</v>
      </c>
      <c r="AF41" s="1081" t="s">
        <v>1061</v>
      </c>
    </row>
    <row r="42" spans="1:32" s="349" customFormat="1">
      <c r="A42" s="753" t="s">
        <v>1062</v>
      </c>
      <c r="B42" s="390"/>
      <c r="C42" s="389"/>
      <c r="D42" s="348"/>
      <c r="E42" s="390">
        <f>IF($A$3=1,AE42,AF42)</f>
        <v>0.72082285714285699</v>
      </c>
      <c r="F42" s="389"/>
      <c r="G42" s="348"/>
      <c r="H42" s="390"/>
      <c r="I42" s="389"/>
      <c r="J42" s="348"/>
      <c r="K42" s="390"/>
      <c r="L42" s="389"/>
      <c r="M42" s="348"/>
      <c r="N42" s="390"/>
      <c r="O42" s="389"/>
      <c r="P42" s="348"/>
      <c r="Q42" s="1321"/>
      <c r="R42" s="389"/>
      <c r="S42" s="348"/>
      <c r="T42" s="1321"/>
      <c r="U42" s="389"/>
      <c r="V42" s="348"/>
      <c r="W42" s="1321"/>
      <c r="X42" s="389"/>
      <c r="Y42" s="348"/>
      <c r="AB42" s="753" t="s">
        <v>1062</v>
      </c>
      <c r="AC42" s="347"/>
      <c r="AD42" s="348"/>
      <c r="AE42" s="377">
        <v>0.72082285714285699</v>
      </c>
      <c r="AF42" s="384">
        <v>3.1529314856166502</v>
      </c>
    </row>
    <row r="43" spans="1:32" s="349" customFormat="1">
      <c r="A43" s="753" t="s">
        <v>1063</v>
      </c>
      <c r="B43" s="390"/>
      <c r="C43" s="389"/>
      <c r="D43" s="348"/>
      <c r="E43" s="390">
        <f>IF($A$3=1,AE43,AF43)</f>
        <v>0.9377856</v>
      </c>
      <c r="F43" s="389"/>
      <c r="G43" s="348"/>
      <c r="H43" s="1139">
        <v>5.6000000000000001E-2</v>
      </c>
      <c r="I43" s="389"/>
      <c r="J43" s="348"/>
      <c r="K43" s="390"/>
      <c r="L43" s="389"/>
      <c r="M43" s="348"/>
      <c r="N43" s="390"/>
      <c r="O43" s="389"/>
      <c r="P43" s="348"/>
      <c r="Q43" s="1321"/>
      <c r="R43" s="389"/>
      <c r="S43" s="348"/>
      <c r="T43" s="1321"/>
      <c r="U43" s="389"/>
      <c r="V43" s="348"/>
      <c r="W43" s="1321"/>
      <c r="X43" s="389"/>
      <c r="Y43" s="348"/>
      <c r="AB43" s="753" t="s">
        <v>1063</v>
      </c>
      <c r="AC43" s="347"/>
      <c r="AD43" s="348"/>
      <c r="AE43" s="377">
        <v>0.9377856</v>
      </c>
      <c r="AF43" s="384">
        <v>4.1019422673661197</v>
      </c>
    </row>
    <row r="44" spans="1:32" s="349" customFormat="1">
      <c r="A44" s="753" t="s">
        <v>1064</v>
      </c>
      <c r="B44" s="390"/>
      <c r="C44" s="389"/>
      <c r="D44" s="348"/>
      <c r="E44" s="390">
        <f>IF($A$3=1,AE44,AF44)</f>
        <v>0.34152191999999998</v>
      </c>
      <c r="F44" s="389"/>
      <c r="G44" s="348"/>
      <c r="H44" s="1139">
        <v>2.2444444444444399E-2</v>
      </c>
      <c r="I44" s="389"/>
      <c r="J44" s="348"/>
      <c r="K44" s="390"/>
      <c r="L44" s="389"/>
      <c r="M44" s="348"/>
      <c r="N44" s="390"/>
      <c r="O44" s="389"/>
      <c r="P44" s="348"/>
      <c r="Q44" s="1321"/>
      <c r="R44" s="389"/>
      <c r="S44" s="348"/>
      <c r="T44" s="1321"/>
      <c r="U44" s="389"/>
      <c r="V44" s="348"/>
      <c r="W44" s="1321"/>
      <c r="X44" s="389"/>
      <c r="Y44" s="348"/>
      <c r="AB44" s="753" t="s">
        <v>1064</v>
      </c>
      <c r="AC44" s="347"/>
      <c r="AD44" s="348"/>
      <c r="AE44" s="377">
        <v>0.34152191999999998</v>
      </c>
      <c r="AF44" s="384">
        <v>1.4938416615482599</v>
      </c>
    </row>
    <row r="45" spans="1:32" s="349" customFormat="1">
      <c r="A45" s="753" t="s">
        <v>1065</v>
      </c>
      <c r="B45" s="390"/>
      <c r="C45" s="389"/>
      <c r="D45" s="348"/>
      <c r="E45" s="390">
        <f>IF($A$3=1,AE45,AF45)</f>
        <v>4.1152319999999999E-2</v>
      </c>
      <c r="F45" s="389"/>
      <c r="G45" s="348"/>
      <c r="H45" s="1139">
        <v>2.7351822222222202</v>
      </c>
      <c r="I45" s="389"/>
      <c r="J45" s="348"/>
      <c r="K45" s="1139">
        <v>0.64</v>
      </c>
      <c r="L45" s="389">
        <f>K45*E18</f>
        <v>0.46990743163271659</v>
      </c>
      <c r="M45" s="348"/>
      <c r="N45" s="390"/>
      <c r="O45" s="389"/>
      <c r="P45" s="348"/>
      <c r="Q45" s="1321"/>
      <c r="R45" s="389"/>
      <c r="S45" s="348"/>
      <c r="T45" s="1137">
        <v>0.42105263157894701</v>
      </c>
      <c r="U45" s="389"/>
      <c r="V45" s="348"/>
      <c r="W45" s="1321"/>
      <c r="X45" s="389"/>
      <c r="Y45" s="348"/>
      <c r="AB45" s="753" t="s">
        <v>1065</v>
      </c>
      <c r="AC45" s="347"/>
      <c r="AD45" s="348"/>
      <c r="AE45" s="377">
        <v>4.1152319999999999E-2</v>
      </c>
      <c r="AF45" s="384">
        <v>0.18000323401017901</v>
      </c>
    </row>
    <row r="46" spans="1:32" s="349" customFormat="1">
      <c r="A46" s="753" t="s">
        <v>1066</v>
      </c>
      <c r="B46" s="390"/>
      <c r="C46" s="389"/>
      <c r="D46" s="348"/>
      <c r="E46" s="390">
        <f>IF($A$3=1,AE46,AF46)</f>
        <v>1.1745000000000001</v>
      </c>
      <c r="F46" s="389"/>
      <c r="G46" s="348"/>
      <c r="H46" s="1139"/>
      <c r="I46" s="389"/>
      <c r="J46" s="348"/>
      <c r="K46" s="1139"/>
      <c r="L46" s="389"/>
      <c r="M46" s="348"/>
      <c r="N46" s="390"/>
      <c r="O46" s="389"/>
      <c r="P46" s="348"/>
      <c r="Q46" s="1321"/>
      <c r="R46" s="389"/>
      <c r="S46" s="348"/>
      <c r="T46" s="1321"/>
      <c r="U46" s="389"/>
      <c r="V46" s="348"/>
      <c r="W46" s="1321"/>
      <c r="X46" s="389"/>
      <c r="Y46" s="348"/>
      <c r="AB46" s="753" t="s">
        <v>1066</v>
      </c>
      <c r="AC46" s="347"/>
      <c r="AD46" s="348"/>
      <c r="AE46" s="377">
        <v>1.1745000000000001</v>
      </c>
      <c r="AF46" s="384">
        <v>1.1745000000000001</v>
      </c>
    </row>
    <row r="47" spans="1:32" s="349" customFormat="1">
      <c r="A47" s="753" t="s">
        <v>1067</v>
      </c>
      <c r="B47" s="390"/>
      <c r="C47" s="389"/>
      <c r="D47" s="348"/>
      <c r="E47" s="390"/>
      <c r="F47" s="389"/>
      <c r="G47" s="348"/>
      <c r="H47" s="1139">
        <v>2.5695600000000001</v>
      </c>
      <c r="I47" s="389"/>
      <c r="J47" s="348"/>
      <c r="K47" s="1139"/>
      <c r="L47" s="389"/>
      <c r="M47" s="348"/>
      <c r="N47" s="390"/>
      <c r="O47" s="389"/>
      <c r="P47" s="348"/>
      <c r="Q47" s="1321"/>
      <c r="R47" s="389"/>
      <c r="S47" s="348"/>
      <c r="T47" s="1321"/>
      <c r="U47" s="389"/>
      <c r="V47" s="348"/>
      <c r="W47" s="1321"/>
      <c r="X47" s="389"/>
      <c r="Y47" s="348"/>
      <c r="AB47" s="753" t="s">
        <v>1067</v>
      </c>
      <c r="AC47" s="347"/>
      <c r="AD47" s="348"/>
      <c r="AF47" s="348"/>
    </row>
    <row r="48" spans="1:32" s="349" customFormat="1">
      <c r="A48" s="753" t="s">
        <v>1068</v>
      </c>
      <c r="B48" s="390"/>
      <c r="C48" s="389"/>
      <c r="D48" s="348"/>
      <c r="E48" s="390"/>
      <c r="F48" s="389"/>
      <c r="G48" s="348"/>
      <c r="H48" s="1139">
        <v>1.40946666666667</v>
      </c>
      <c r="I48" s="389"/>
      <c r="J48" s="348"/>
      <c r="K48" s="1139"/>
      <c r="L48" s="389"/>
      <c r="M48" s="348"/>
      <c r="N48" s="390"/>
      <c r="O48" s="389"/>
      <c r="P48" s="348"/>
      <c r="Q48" s="1321"/>
      <c r="R48" s="389"/>
      <c r="S48" s="348"/>
      <c r="T48" s="1321"/>
      <c r="U48" s="389"/>
      <c r="V48" s="348"/>
      <c r="W48" s="1321"/>
      <c r="X48" s="389"/>
      <c r="Y48" s="348"/>
      <c r="AB48" s="753" t="s">
        <v>1068</v>
      </c>
      <c r="AC48" s="347"/>
      <c r="AD48" s="348"/>
      <c r="AF48" s="348"/>
    </row>
    <row r="49" spans="1:32" s="349" customFormat="1">
      <c r="A49" s="753" t="s">
        <v>1069</v>
      </c>
      <c r="B49" s="390"/>
      <c r="C49" s="389"/>
      <c r="D49" s="348"/>
      <c r="E49" s="390"/>
      <c r="F49" s="389"/>
      <c r="G49" s="348"/>
      <c r="H49" s="1139">
        <v>4.7022222222222201E-2</v>
      </c>
      <c r="I49" s="389"/>
      <c r="J49" s="348"/>
      <c r="K49" s="1139"/>
      <c r="L49" s="389"/>
      <c r="M49" s="348"/>
      <c r="N49" s="390"/>
      <c r="O49" s="389"/>
      <c r="P49" s="348"/>
      <c r="Q49" s="1321"/>
      <c r="R49" s="389"/>
      <c r="S49" s="348"/>
      <c r="T49" s="1321"/>
      <c r="U49" s="389"/>
      <c r="V49" s="348"/>
      <c r="W49" s="1321"/>
      <c r="X49" s="389"/>
      <c r="Y49" s="348"/>
      <c r="AB49" s="753" t="s">
        <v>1069</v>
      </c>
      <c r="AC49" s="347"/>
      <c r="AD49" s="348"/>
      <c r="AF49" s="348"/>
    </row>
    <row r="50" spans="1:32" s="349" customFormat="1">
      <c r="A50" s="753" t="s">
        <v>1070</v>
      </c>
      <c r="B50" s="390"/>
      <c r="C50" s="389"/>
      <c r="D50" s="348"/>
      <c r="E50" s="390"/>
      <c r="F50" s="389"/>
      <c r="G50" s="348"/>
      <c r="H50" s="1139">
        <v>0.08</v>
      </c>
      <c r="I50" s="389"/>
      <c r="J50" s="348"/>
      <c r="K50" s="1139"/>
      <c r="L50" s="389"/>
      <c r="M50" s="348"/>
      <c r="N50" s="390"/>
      <c r="O50" s="389"/>
      <c r="P50" s="348"/>
      <c r="Q50" s="1321"/>
      <c r="R50" s="389"/>
      <c r="S50" s="348"/>
      <c r="T50" s="1321"/>
      <c r="U50" s="389"/>
      <c r="V50" s="348"/>
      <c r="W50" s="1321"/>
      <c r="X50" s="389"/>
      <c r="Y50" s="348"/>
      <c r="AB50" s="753" t="s">
        <v>1070</v>
      </c>
      <c r="AC50" s="347"/>
      <c r="AD50" s="348"/>
      <c r="AF50" s="348"/>
    </row>
    <row r="51" spans="1:32" s="349" customFormat="1">
      <c r="A51" s="753" t="s">
        <v>1071</v>
      </c>
      <c r="B51" s="390"/>
      <c r="C51" s="389"/>
      <c r="D51" s="348"/>
      <c r="E51" s="390"/>
      <c r="F51" s="389"/>
      <c r="G51" s="348"/>
      <c r="H51" s="1139">
        <v>0.57399999999999995</v>
      </c>
      <c r="I51" s="389"/>
      <c r="J51" s="348"/>
      <c r="K51" s="1139">
        <v>1.85</v>
      </c>
      <c r="L51" s="389"/>
      <c r="M51" s="348"/>
      <c r="N51" s="390"/>
      <c r="O51" s="389"/>
      <c r="P51" s="348"/>
      <c r="Q51" s="1321"/>
      <c r="R51" s="389"/>
      <c r="S51" s="348"/>
      <c r="T51" s="1321"/>
      <c r="U51" s="389"/>
      <c r="V51" s="348"/>
      <c r="W51" s="1321"/>
      <c r="X51" s="389"/>
      <c r="Y51" s="348"/>
      <c r="AB51" s="753" t="s">
        <v>1071</v>
      </c>
      <c r="AC51" s="347"/>
      <c r="AD51" s="348"/>
      <c r="AF51" s="348"/>
    </row>
    <row r="52" spans="1:32" s="349" customFormat="1">
      <c r="A52" s="753" t="s">
        <v>1072</v>
      </c>
      <c r="B52" s="390"/>
      <c r="C52" s="389"/>
      <c r="D52" s="348"/>
      <c r="E52" s="390"/>
      <c r="F52" s="389"/>
      <c r="G52" s="348"/>
      <c r="H52" s="1139">
        <v>8.8444444444444451E-2</v>
      </c>
      <c r="I52" s="389"/>
      <c r="J52" s="348"/>
      <c r="K52" s="390"/>
      <c r="L52" s="389"/>
      <c r="M52" s="348"/>
      <c r="N52" s="390"/>
      <c r="O52" s="389"/>
      <c r="P52" s="348"/>
      <c r="Q52" s="1321"/>
      <c r="R52" s="389"/>
      <c r="S52" s="348"/>
      <c r="T52" s="1321"/>
      <c r="U52" s="389"/>
      <c r="V52" s="348"/>
      <c r="W52" s="1321"/>
      <c r="X52" s="389"/>
      <c r="Y52" s="348"/>
      <c r="AB52" s="753" t="s">
        <v>1072</v>
      </c>
      <c r="AC52" s="347"/>
      <c r="AD52" s="348"/>
      <c r="AF52" s="348"/>
    </row>
    <row r="53" spans="1:32" s="349" customFormat="1">
      <c r="A53" s="919" t="s">
        <v>1073</v>
      </c>
      <c r="B53" s="751"/>
      <c r="C53" s="603"/>
      <c r="D53" s="502"/>
      <c r="E53" s="751"/>
      <c r="F53" s="603"/>
      <c r="G53" s="502"/>
      <c r="H53" s="751"/>
      <c r="I53" s="603"/>
      <c r="J53" s="502"/>
      <c r="K53" s="751"/>
      <c r="L53" s="603"/>
      <c r="M53" s="502"/>
      <c r="N53" s="751"/>
      <c r="O53" s="603"/>
      <c r="P53" s="502"/>
      <c r="Q53" s="174"/>
      <c r="R53" s="603"/>
      <c r="S53" s="502"/>
      <c r="T53" s="174"/>
      <c r="U53" s="603"/>
      <c r="V53" s="502"/>
      <c r="W53" s="1138">
        <v>0.215189873417722</v>
      </c>
      <c r="X53" s="603"/>
      <c r="Y53" s="502"/>
      <c r="AB53" s="749" t="s">
        <v>1073</v>
      </c>
      <c r="AC53" s="347"/>
      <c r="AD53" s="348"/>
      <c r="AF53" s="348"/>
    </row>
    <row r="54" spans="1:32" s="349" customFormat="1">
      <c r="A54" s="508" t="s">
        <v>816</v>
      </c>
      <c r="B54" s="347">
        <f t="array" aca="1" ref="B54" ca="1">B$37*(1+(GREET1_Import_Export!$F$179*GREET1_Import_Export!$B180+GREET1_Import_Export!$F180)/1000000)+B$38*(1+(GREET1_Import_Export!$G$179*GREET1_Import_Export!$B180+GREET1_Import_Export!$G180)/1000000)+B$39*(1+GREET1_Import_Export!$B216/1000000)+B$40*(1+GREET1_Import_Export!$B284/1000000)+B$41*GREET1_Import_Export!$M342/1000000+(MMULT($B119:$M119+0,B$42:B$53+0))</f>
        <v>25.510353207549322</v>
      </c>
      <c r="D54" s="348">
        <f>($B$38*1000000/GREET1_Import_Export!$B$32*GREET1_Import_Export!$E$32/1000/907.2)*'GREET2_Factors_T&amp;D'!L53/1000000</f>
        <v>0.25478195194664116</v>
      </c>
      <c r="E54" s="347">
        <f t="array" aca="1" ref="E54" ca="1">E$37*(1+(GREET1_Import_Export!$F$179*GREET1_Import_Export!$B180+GREET1_Import_Export!$F180)/1000000)+E$38*(1+(GREET1_Import_Export!$H$179*GREET1_Import_Export!$B180+GREET1_Import_Export!$H180)/1000000)+E$39*(1+GREET1_Import_Export!$B216/1000000)+E$40*(1+GREET1_Import_Export!$B284/1000000)+E$41*GREET1_Import_Export!$M342/1000000+(MMULT($B119:$M119+0,E$42:E$53+0))</f>
        <v>21.680513488637189</v>
      </c>
      <c r="G54" s="348">
        <f>($E$42*('GREET2_Factors_T&amp;D'!M53+'GREET2_Factors_T&amp;D'!N53)+$E$44*'GREET2_Factors_T&amp;D'!O53+$E$45*'GREET2_Factors_T&amp;D'!P53+$E$46*'GREET2_Factors_T&amp;D'!Q53)/1000000</f>
        <v>2.7503753394463168</v>
      </c>
      <c r="H54" s="347">
        <f t="array" aca="1" ref="H54" ca="1">H$37*(1+(GREET1_Import_Export!$F$179*GREET1_Import_Export!$B180+GREET1_Import_Export!$F180)/1000000)+H$38*(1+(GREET1_Import_Export!$H$179*GREET1_Import_Export!$B180+GREET1_Import_Export!$H180)/1000000)+H$39*(1+GREET1_Import_Export!$B216/1000000)+H$40*(1+GREET1_Import_Export!$B284/1000000)+H$41*($B$22*(GREET1_Import_Export!B309+GREET1_Import_Export!C309)+$C$22*GREET1_Import_Export!$L342+SUMPRODUCT($D$22:$F$22,GREET1_Import_Export!N342:P342))/1000000+(MMULT($B119:$M119+0,H$42:H$53+0))</f>
        <v>179.20824167324804</v>
      </c>
      <c r="J54" s="348">
        <f>1/$B$18*('GREET2_Factors_T&amp;D'!R53+'GREET2_Factors_T&amp;D'!S53)/1000000</f>
        <v>5.4626325955120745</v>
      </c>
      <c r="K54" s="347">
        <f t="array" aca="1" ref="K54" ca="1">K$37*(1+(GREET1_Import_Export!$F$179*GREET1_Import_Export!$B180+GREET1_Import_Export!$F180)/1000000)+K$38*(1+(GREET1_Import_Export!$H$179*GREET1_Import_Export!$B180+GREET1_Import_Export!$H180)/1000000)+K$39*(1+GREET1_Import_Export!$B216/1000000)+K$40*(1+GREET1_Import_Export!$B284/1000000)+K$41*GREET1_Import_Export!$L342/1000000+(MMULT($B119:$M119+0,K$42:K$53+0))</f>
        <v>52.811452690037783</v>
      </c>
      <c r="M54" s="348"/>
      <c r="N54" s="347">
        <f t="array" aca="1" ref="N54" ca="1">N$37*(1+(GREET1_Import_Export!$F$179*GREET1_Import_Export!$B180+GREET1_Import_Export!$F180)/1000000)+N$38*(1+(GREET1_Import_Export!$H$179*GREET1_Import_Export!$B180+GREET1_Import_Export!$H180)/1000000)+N$39*(1+GREET1_Import_Export!$B216/1000000)+N$40*(1+GREET1_Import_Export!$B284/1000000)+N$41*GREET1_Import_Export!$L342/1000000+(MMULT($B119:$M119+0,N$42:N$53+0))</f>
        <v>27.060741468686164</v>
      </c>
      <c r="P54" s="348"/>
      <c r="Q54" s="347">
        <f t="array" aca="1" ref="Q54" ca="1">Q$37*(1+(GREET1_Import_Export!$F$179*GREET1_Import_Export!$B180+GREET1_Import_Export!$F180)/1000000)+Q$38*(1+(GREET1_Import_Export!$H$179*GREET1_Import_Export!$B180+GREET1_Import_Export!$H180)/1000000)+Q$39*(1+GREET1_Import_Export!$B216/1000000)+Q$40*(1+GREET1_Import_Export!$B284/1000000)+Q$41*(GREET1_Import_Export!$B309+GREET1_Import_Export!$C309)/1000000+(MMULT(B119:M119+0,$Q$42:$Q$53+0))</f>
        <v>0.50183039792982687</v>
      </c>
      <c r="S54" s="348"/>
      <c r="T54" s="347">
        <f t="array" aca="1" ref="T54" ca="1">T$37*(1+(GREET1_Import_Export!$F$179*GREET1_Import_Export!$B180+GREET1_Import_Export!$F180)/1000000)+T$38*(1+(GREET1_Import_Export!$H$179*GREET1_Import_Export!$B180+GREET1_Import_Export!$H180)/1000000)+T$39*(1+GREET1_Import_Export!$B216/1000000)+T$40*(1+GREET1_Import_Export!$B284/1000000)+T$41*(GREET1_Import_Export!$B309+GREET1_Import_Export!$C309)/1000000+(MMULT(B119:M119+0,$T$42:$T$53+0))</f>
        <v>11.613439438457583</v>
      </c>
      <c r="V54" s="348"/>
      <c r="W54" s="347">
        <f t="array" aca="1" ref="W54" ca="1">W$37*(1+(GREET1_Import_Export!$F$179*GREET1_Import_Export!$B180+GREET1_Import_Export!$F180)/1000000)+W$38*(1+(GREET1_Import_Export!$H$179*GREET1_Import_Export!$B180+GREET1_Import_Export!$H180)/1000000)+W$39*(1+GREET1_Import_Export!$B216/1000000)+W$40*(1+GREET1_Import_Export!$B284/1000000)+W$41*(GREET1_Import_Export!$B309+GREET1_Import_Export!$C309)/1000000+(MMULT(B119:M119+0,$W$42:$W$53+0))</f>
        <v>7.8183099340905988</v>
      </c>
      <c r="Y54" s="348"/>
      <c r="Z54" s="1321"/>
      <c r="AB54" s="1144" t="s">
        <v>1074</v>
      </c>
      <c r="AC54" s="1150">
        <v>1759.8389261371699</v>
      </c>
      <c r="AD54" s="1146">
        <v>5785.1185763880303</v>
      </c>
      <c r="AE54" s="1671">
        <v>8997.4322396576299</v>
      </c>
      <c r="AF54" s="1146">
        <v>39355.421539437499</v>
      </c>
    </row>
    <row r="55" spans="1:32" s="349" customFormat="1">
      <c r="A55" s="498" t="s">
        <v>817</v>
      </c>
      <c r="B55" s="347">
        <f t="array" aca="1" ref="B55" ca="1">B$37*(1+(GREET1_Import_Export!$F$179*GREET1_Import_Export!$B181+GREET1_Import_Export!$F181)/1000000)+B$38*(1+(GREET1_Import_Export!$G$179*GREET1_Import_Export!$B181+GREET1_Import_Export!$G181)/1000000)+B$39*(1+GREET1_Import_Export!$B217/1000000)+B$40*(1+GREET1_Import_Export!$B285/1000000)+B$41*GREET1_Import_Export!$M343/1000000+(MMULT($B120:$M120+0,B$42:B$53+0))</f>
        <v>25.387542676940615</v>
      </c>
      <c r="D55" s="348">
        <f>($B$38*1000000/GREET1_Import_Export!$B$32*GREET1_Import_Export!$E$32/1000/907.2)*'GREET2_Factors_T&amp;D'!L54/1000000</f>
        <v>0.25355539477381345</v>
      </c>
      <c r="E55" s="347">
        <f t="array" aca="1" ref="E55" ca="1">E$37*(1+(GREET1_Import_Export!$F$179*GREET1_Import_Export!$B181+GREET1_Import_Export!$F181)/1000000)+E$38*(1+(GREET1_Import_Export!$H$179*GREET1_Import_Export!$B181+GREET1_Import_Export!$H181)/1000000)+E$39*(1+GREET1_Import_Export!$B217/1000000)+E$40*(1+GREET1_Import_Export!$B285/1000000)+E$41*GREET1_Import_Export!$M343/1000000+(MMULT($B120:$M120+0,E$42:E$53+0))</f>
        <v>12.971818014071882</v>
      </c>
      <c r="G55" s="348">
        <f>($E$42*('GREET2_Factors_T&amp;D'!M54+'GREET2_Factors_T&amp;D'!N54)+$E$44*'GREET2_Factors_T&amp;D'!O54+$E$45*'GREET2_Factors_T&amp;D'!P54+$E$46*'GREET2_Factors_T&amp;D'!Q54)/1000000</f>
        <v>2.7371346346994088</v>
      </c>
      <c r="H55" s="347">
        <f t="array" aca="1" ref="H55" ca="1">H$37*(1+(GREET1_Import_Export!$F$179*GREET1_Import_Export!$B181+GREET1_Import_Export!$F181)/1000000)+H$38*(1+(GREET1_Import_Export!$H$179*GREET1_Import_Export!$B181+GREET1_Import_Export!$H181)/1000000)+H$39*(1+GREET1_Import_Export!$B217/1000000)+H$40*(1+GREET1_Import_Export!$B285/1000000)+H$41*($B$22*(GREET1_Import_Export!B310+GREET1_Import_Export!C310)+$C$22*GREET1_Import_Export!$L343+SUMPRODUCT($D$22:$F$22,GREET1_Import_Export!N343:P343))/1000000+(MMULT($B120:$M120+0,H$42:H$53+0))</f>
        <v>163.81068112677966</v>
      </c>
      <c r="J55" s="348">
        <f>1/$B$18*('GREET2_Factors_T&amp;D'!R54+'GREET2_Factors_T&amp;D'!S54)/1000000</f>
        <v>5.4371051702004483</v>
      </c>
      <c r="K55" s="347">
        <f t="array" aca="1" ref="K55" ca="1">K$37*(1+(GREET1_Import_Export!$F$179*GREET1_Import_Export!$B181+GREET1_Import_Export!$F181)/1000000)+K$38*(1+(GREET1_Import_Export!$H$179*GREET1_Import_Export!$B181+GREET1_Import_Export!$H181)/1000000)+K$39*(1+GREET1_Import_Export!$B217/1000000)+K$40*(1+GREET1_Import_Export!$B285/1000000)+K$41*GREET1_Import_Export!$L343/1000000+(MMULT($B120:$M120+0,K$42:K$53+0))</f>
        <v>50.788800613135479</v>
      </c>
      <c r="M55" s="348"/>
      <c r="N55" s="347">
        <f t="array" aca="1" ref="N55" ca="1">N$37*(1+(GREET1_Import_Export!$F$179*GREET1_Import_Export!$B181+GREET1_Import_Export!$F181)/1000000)+N$38*(1+(GREET1_Import_Export!$H$179*GREET1_Import_Export!$B181+GREET1_Import_Export!$H181)/1000000)+N$39*(1+GREET1_Import_Export!$B217/1000000)+N$40*(1+GREET1_Import_Export!$B285/1000000)+N$41*GREET1_Import_Export!$L343/1000000+(MMULT($B120:$M120+0,N$42:N$53+0))</f>
        <v>23.65906975944819</v>
      </c>
      <c r="P55" s="348"/>
      <c r="Q55" s="347">
        <f t="array" aca="1" ref="Q55" ca="1">Q$37*(1+(GREET1_Import_Export!$F$179*GREET1_Import_Export!$B181+GREET1_Import_Export!$F181)/1000000)+Q$38*(1+(GREET1_Import_Export!$H$179*GREET1_Import_Export!$B181+GREET1_Import_Export!$H181)/1000000)+Q$39*(1+GREET1_Import_Export!$B217/1000000)+Q$40*(1+GREET1_Import_Export!$B285/1000000)+Q$41*(GREET1_Import_Export!$B310+GREET1_Import_Export!$C310)/1000000+(MMULT(B120:M120+0,$Q$42:$Q$53+0))</f>
        <v>0.41734984871451564</v>
      </c>
      <c r="S55" s="348"/>
      <c r="T55" s="347">
        <f t="array" aca="1" ref="T55" ca="1">T$37*(1+(GREET1_Import_Export!$F$179*GREET1_Import_Export!$B181+GREET1_Import_Export!$F181)/1000000)+T$38*(1+(GREET1_Import_Export!$H$179*GREET1_Import_Export!$B181+GREET1_Import_Export!$H181)/1000000)+T$39*(1+GREET1_Import_Export!$B217/1000000)+T$40*(1+GREET1_Import_Export!$B285/1000000)+T$41*(GREET1_Import_Export!$B310+GREET1_Import_Export!$C310)/1000000+(MMULT(B120:M120+0,$T$42:$T$53+0))</f>
        <v>10.366115243441609</v>
      </c>
      <c r="V55" s="348"/>
      <c r="W55" s="347">
        <f t="array" aca="1" ref="W55" ca="1">W$37*(1+(GREET1_Import_Export!$F$179*GREET1_Import_Export!$B181+GREET1_Import_Export!$F181)/1000000)+W$38*(1+(GREET1_Import_Export!$H$179*GREET1_Import_Export!$B181+GREET1_Import_Export!$H181)/1000000)+W$39*(1+GREET1_Import_Export!$B217/1000000)+W$40*(1+GREET1_Import_Export!$B285/1000000)+W$41*(GREET1_Import_Export!$B310+GREET1_Import_Export!$C310)/1000000+(MMULT(B120:M120+0,$W$42:$W$53+0))</f>
        <v>7.7758183387551023</v>
      </c>
      <c r="Y55" s="348"/>
      <c r="Z55" s="1321"/>
      <c r="AB55" s="749" t="s">
        <v>1075</v>
      </c>
      <c r="AC55" s="347"/>
      <c r="AD55" s="348"/>
      <c r="AF55" s="348"/>
    </row>
    <row r="56" spans="1:32" s="349" customFormat="1">
      <c r="A56" s="498" t="s">
        <v>805</v>
      </c>
      <c r="B56" s="347">
        <f t="array" aca="1" ref="B56" ca="1">B$37*(GREET1_Import_Export!$F$179*GREET1_Import_Export!$B182+GREET1_Import_Export!$F182)/1000000+B$38*(GREET1_Import_Export!$G$179*GREET1_Import_Export!$B182+GREET1_Import_Export!$G182)/1000000+B$39*GREET1_Import_Export!$B218/1000000+B$40*(1+GREET1_Import_Export!$B286/1000000)+B$41*GREET1_Import_Export!$M344/1000000+(MMULT($B121:$M121+0,B$42:B$53+0))</f>
        <v>0.15591682373364607</v>
      </c>
      <c r="D56" s="348">
        <f>($B$38*1000000/GREET1_Import_Export!$B$32*GREET1_Import_Export!$E$32/1000/907.2)*'GREET2_Factors_T&amp;D'!L55/1000000</f>
        <v>1.5572027705372151E-3</v>
      </c>
      <c r="E56" s="347">
        <f t="array" aca="1" ref="E56" ca="1">E$37*(GREET1_Import_Export!$F$179*GREET1_Import_Export!$B182+GREET1_Import_Export!$F182)/1000000+E$38*(GREET1_Import_Export!$H$179*GREET1_Import_Export!$B182+GREET1_Import_Export!$H182)/1000000+E$39*GREET1_Import_Export!$B218/1000000+E$40*(1+GREET1_Import_Export!$B286/1000000)+E$41*GREET1_Import_Export!$M344/1000000+(MMULT($B121:$M121+0,E$42:E$53+0))</f>
        <v>1.4747547832576251</v>
      </c>
      <c r="G56" s="348">
        <f>($E$42*('GREET2_Factors_T&amp;D'!M55+'GREET2_Factors_T&amp;D'!N55)+$E$44*'GREET2_Factors_T&amp;D'!O55+$E$45*'GREET2_Factors_T&amp;D'!P55+$E$46*'GREET2_Factors_T&amp;D'!Q55)/1000000</f>
        <v>1.6810029383478472E-2</v>
      </c>
      <c r="H56" s="347">
        <f t="array" aca="1" ref="H56" ca="1">H$37*(GREET1_Import_Export!$F$179*GREET1_Import_Export!$B182+GREET1_Import_Export!$F182)/1000000+H$38*(GREET1_Import_Export!$H$179*GREET1_Import_Export!$B182+GREET1_Import_Export!$H182)/1000000+H$39*GREET1_Import_Export!$B218/1000000+H$40*(1+GREET1_Import_Export!$B286/1000000)+H$41*($B$22*(GREET1_Import_Export!B311+GREET1_Import_Export!C311)+$C$22*GREET1_Import_Export!$L344+SUMPRODUCT($D$22:$F$22,GREET1_Import_Export!N344:P344))/1000000+(MMULT($B121:$M121+0,H$42:H$53+0))</f>
        <v>40.864809591619967</v>
      </c>
      <c r="J56" s="348">
        <f>1/$B$18*('GREET2_Factors_T&amp;D'!R55+'GREET2_Factors_T&amp;D'!S55)/1000000</f>
        <v>3.2354196477538413E-2</v>
      </c>
      <c r="K56" s="347">
        <f t="array" aca="1" ref="K56" ca="1">K$37*(GREET1_Import_Export!$F$179*GREET1_Import_Export!$B182+GREET1_Import_Export!$F182)/1000000+K$38*(GREET1_Import_Export!$H$179*GREET1_Import_Export!$B182+GREET1_Import_Export!$H182)/1000000+K$39*GREET1_Import_Export!$B218/1000000+K$40*(1+GREET1_Import_Export!$B286/1000000)+K$41*GREET1_Import_Export!$L344/1000000+(MMULT($B121:$M121+0,K$42:K$53+0))</f>
        <v>3.2202378586455311</v>
      </c>
      <c r="M56" s="348"/>
      <c r="N56" s="347">
        <f t="array" aca="1" ref="N56" ca="1">N$37*(GREET1_Import_Export!$F$179*GREET1_Import_Export!$B182+GREET1_Import_Export!$F182)/1000000+N$38*(GREET1_Import_Export!$H$179*GREET1_Import_Export!$B182+GREET1_Import_Export!$H182)/1000000+N$39*GREET1_Import_Export!$B218/1000000+N$40*(1+GREET1_Import_Export!$B286/1000000)+N$41*GREET1_Import_Export!$L344/1000000+(MMULT($B121:$M121+0,N$42:N$53+0))</f>
        <v>22.515581101097617</v>
      </c>
      <c r="P56" s="348"/>
      <c r="Q56" s="347">
        <f t="array" aca="1" ref="Q56" ca="1">Q$37*(GREET1_Import_Export!$F$179*GREET1_Import_Export!$B182+GREET1_Import_Export!$F182)/1000000+Q$38*(GREET1_Import_Export!$H$179*GREET1_Import_Export!$B182+GREET1_Import_Export!$H182)/1000000+Q$39*GREET1_Import_Export!$B218/1000000+Q$40*(1+GREET1_Import_Export!$B286/1000000)+Q$41*(GREET1_Import_Export!$B311+GREET1_Import_Export!$C311)/1000000+(MMULT(B121:M121+0,$Q$42:$Q$53+0))</f>
        <v>0.11167672692942396</v>
      </c>
      <c r="S56" s="348"/>
      <c r="T56" s="347">
        <f t="array" aca="1" ref="T56" ca="1">T$37*(GREET1_Import_Export!$F$179*GREET1_Import_Export!$B182+GREET1_Import_Export!$F182)/1000000+T$38*(GREET1_Import_Export!$H$179*GREET1_Import_Export!$B182+GREET1_Import_Export!$H182)/1000000+T$39*GREET1_Import_Export!$B218/1000000+T$40*(1+GREET1_Import_Export!$B286/1000000)+T$41*(GREET1_Import_Export!$B311+GREET1_Import_Export!$C311)/1000000+(MMULT(B121:M121+0,$T$42:$T$53+0))</f>
        <v>1.888921262807193</v>
      </c>
      <c r="V56" s="348"/>
      <c r="W56" s="347">
        <f t="array" aca="1" ref="W56" ca="1">W$37*(GREET1_Import_Export!$F$179*GREET1_Import_Export!$B182+GREET1_Import_Export!$F182)/1000000+W$38*(GREET1_Import_Export!$H$179*GREET1_Import_Export!$B182+GREET1_Import_Export!$H182)/1000000+W$39*GREET1_Import_Export!$B218/1000000+W$40*(1+GREET1_Import_Export!$B286/1000000)+W$41*(GREET1_Import_Export!$B311+GREET1_Import_Export!$C311)/1000000+(MMULT(B121:M121+0,$W$42:$W$53+0))</f>
        <v>5.6107288289378776E-2</v>
      </c>
      <c r="Y56" s="348"/>
      <c r="Z56" s="1321"/>
      <c r="AB56" s="1142" t="s">
        <v>970</v>
      </c>
      <c r="AC56" s="347"/>
      <c r="AD56" s="348"/>
      <c r="AE56" s="1149">
        <v>6575.04</v>
      </c>
      <c r="AF56" s="1145">
        <v>28759.702095684701</v>
      </c>
    </row>
    <row r="57" spans="1:32" s="349" customFormat="1">
      <c r="A57" s="498" t="s">
        <v>804</v>
      </c>
      <c r="B57" s="347">
        <f ca="1">B55-B56-B58</f>
        <v>2.6589476801930267</v>
      </c>
      <c r="D57" s="348">
        <f>($B$38*1000000/GREET1_Import_Export!$B$32*GREET1_Import_Export!$E$32/1000/907.2)*'GREET2_Factors_T&amp;D'!L56/1000000</f>
        <v>2.6555958460155429E-2</v>
      </c>
      <c r="E57" s="347">
        <f ca="1">E55-E56-E58</f>
        <v>11.171492428351012</v>
      </c>
      <c r="G57" s="348">
        <f>($E$42*('GREET2_Factors_T&amp;D'!M56+'GREET2_Factors_T&amp;D'!N56)+$E$44*'GREET2_Factors_T&amp;D'!O56+$E$45*'GREET2_Factors_T&amp;D'!P56+$E$46*'GREET2_Factors_T&amp;D'!Q56)/1000000</f>
        <v>0.28667200602760423</v>
      </c>
      <c r="H57" s="347">
        <f ca="1">H55-H56-H58</f>
        <v>116.0337962316861</v>
      </c>
      <c r="J57" s="348">
        <f>1/$B$18*('GREET2_Factors_T&amp;D'!R56+'GREET2_Factors_T&amp;D'!S56)/1000000</f>
        <v>0.52074847837509985</v>
      </c>
      <c r="K57" s="347">
        <f ca="1">K55-K56-K58</f>
        <v>46.47258115033361</v>
      </c>
      <c r="M57" s="348"/>
      <c r="N57" s="347">
        <f ca="1">N55-N56-N58</f>
        <v>0.72384982033691037</v>
      </c>
      <c r="P57" s="348"/>
      <c r="Q57" s="347">
        <f ca="1">Q55-Q56-Q58</f>
        <v>0.30183320334210528</v>
      </c>
      <c r="S57" s="348"/>
      <c r="T57" s="347">
        <f ca="1">T55-T56-T58</f>
        <v>8.0805698247151589</v>
      </c>
      <c r="V57" s="348"/>
      <c r="W57" s="347">
        <f ca="1">W55-W56-W58</f>
        <v>7.4955807444524112</v>
      </c>
      <c r="Y57" s="348"/>
      <c r="Z57" s="1321"/>
      <c r="AB57" s="1142" t="s">
        <v>968</v>
      </c>
      <c r="AC57" s="1147">
        <v>55848.724573312</v>
      </c>
      <c r="AD57" s="1145">
        <v>183591.51465403099</v>
      </c>
      <c r="AF57" s="348"/>
    </row>
    <row r="58" spans="1:32" s="349" customFormat="1">
      <c r="A58" s="498" t="s">
        <v>818</v>
      </c>
      <c r="B58" s="347">
        <f t="array" aca="1" ref="B58" ca="1">B$37*(1+(GREET1_Import_Export!$F$179*GREET1_Import_Export!$B184+GREET1_Import_Export!$F184)/1000000)+B$38*(1+(GREET1_Import_Export!$G$179*GREET1_Import_Export!$B184+GREET1_Import_Export!$G184)/1000000)+B$39*GREET1_Import_Export!$B220/1000000+B$40*GREET1_Import_Export!$B288/1000000+B$41*GREET1_Import_Export!$M346/1000000+(MMULT($B123:$M123+0,B$42:B$53+0))</f>
        <v>22.572678173013944</v>
      </c>
      <c r="D58" s="348">
        <f>($B$38*1000000/GREET1_Import_Export!$B$32*GREET1_Import_Export!$E$32/1000/907.2)*'GREET2_Factors_T&amp;D'!L57/1000000</f>
        <v>0.22544223354312079</v>
      </c>
      <c r="E58" s="347">
        <f t="array" aca="1" ref="E58" ca="1">E$37*(1+(GREET1_Import_Export!$F$179*GREET1_Import_Export!$B184+GREET1_Import_Export!$F184)/1000000)+E$38*(1+(GREET1_Import_Export!$H$179*GREET1_Import_Export!$B184+GREET1_Import_Export!$H184)/1000000)+E$39*GREET1_Import_Export!$B220/1000000+E$40*GREET1_Import_Export!$B288/1000000+E$41*GREET1_Import_Export!$M346/1000000+(MMULT($B123:$M123+0,E$42:E$53+0))</f>
        <v>0.32557080246324582</v>
      </c>
      <c r="G58" s="348">
        <f>($E$42*('GREET2_Factors_T&amp;D'!M57+'GREET2_Factors_T&amp;D'!N57)+$E$44*'GREET2_Factors_T&amp;D'!O57+$E$45*'GREET2_Factors_T&amp;D'!P57+$E$46*'GREET2_Factors_T&amp;D'!Q57)/1000000</f>
        <v>2.4336525992883256</v>
      </c>
      <c r="H58" s="347">
        <f t="array" aca="1" ref="H58" ca="1">H$37*(1+(GREET1_Import_Export!$F$179*GREET1_Import_Export!$B184+GREET1_Import_Export!$F184)/1000000)+H$38*(1+(GREET1_Import_Export!$H$179*GREET1_Import_Export!$B184+GREET1_Import_Export!$H184)/1000000)+H$39*GREET1_Import_Export!$B220/1000000+H$40*GREET1_Import_Export!$B288/1000000+H$41*($B$22*(GREET1_Import_Export!B313+GREET1_Import_Export!C313)+$C$22*GREET1_Import_Export!$L346+SUMPRODUCT($D$22:$F$22,GREET1_Import_Export!N346:P346))/1000000+(MMULT($B123:$M123+0,H$42:H$53+0))</f>
        <v>6.9120753034735785</v>
      </c>
      <c r="J58" s="348">
        <f>1/$B$18*('GREET2_Factors_T&amp;D'!R57+'GREET2_Factors_T&amp;D'!S57)/1000000</f>
        <v>4.8840024953478096</v>
      </c>
      <c r="K58" s="347">
        <f t="array" aca="1" ref="K58" ca="1">K$37*(1+(GREET1_Import_Export!$F$179*GREET1_Import_Export!$B184+GREET1_Import_Export!$F184)/1000000)+K$38*(1+(GREET1_Import_Export!$H$179*GREET1_Import_Export!$B184+GREET1_Import_Export!$H184)/1000000)+K$39*GREET1_Import_Export!$B220/1000000+K$40*GREET1_Import_Export!$B288/1000000+K$41*GREET1_Import_Export!$L346/1000000+(MMULT($B123:$M123+0,K$42:K$53+0))</f>
        <v>1.0959816041563393</v>
      </c>
      <c r="M58" s="348"/>
      <c r="N58" s="347">
        <f t="array" aca="1" ref="N58" ca="1">N$37*(1+(GREET1_Import_Export!$F$179*GREET1_Import_Export!$B184+GREET1_Import_Export!$F184)/1000000)+N$38*(1+(GREET1_Import_Export!$H$179*GREET1_Import_Export!$B184+GREET1_Import_Export!$H184)/1000000)+N$39*GREET1_Import_Export!$B220/1000000+N$40*GREET1_Import_Export!$B288/1000000+N$41*GREET1_Import_Export!$L346/1000000+(MMULT($B123:$M123+0,N$42:N$53+0))</f>
        <v>0.41963883801366331</v>
      </c>
      <c r="P58" s="348"/>
      <c r="Q58" s="347">
        <f t="array" aca="1" ref="Q58" ca="1">Q$37*(1+(GREET1_Import_Export!$F$179*GREET1_Import_Export!$B184+GREET1_Import_Export!$F184)/1000000)+Q$38*(1+(GREET1_Import_Export!$H$179*GREET1_Import_Export!$B184+GREET1_Import_Export!$H184)/1000000)+Q$39*GREET1_Import_Export!$B220/1000000+Q$40*GREET1_Import_Export!$B288/1000000+Q$41*(GREET1_Import_Export!$B313+GREET1_Import_Export!$C313)/1000000+(MMULT(B123:M123+0,$Q$42:$Q$53+0))</f>
        <v>3.8399184429863493E-3</v>
      </c>
      <c r="S58" s="348"/>
      <c r="T58" s="347">
        <f t="array" aca="1" ref="T58" ca="1">T$37*(1+(GREET1_Import_Export!$F$179*GREET1_Import_Export!$B184+GREET1_Import_Export!$F184)/1000000)+T$38*(1+(GREET1_Import_Export!$H$179*GREET1_Import_Export!$B184+GREET1_Import_Export!$H184)/1000000)+T$39*GREET1_Import_Export!$B220/1000000+T$40*GREET1_Import_Export!$B288/1000000+T$41*(GREET1_Import_Export!$B313+GREET1_Import_Export!$C313)/1000000+(MMULT(B123:M123+0,$T$42:$T$53+0))</f>
        <v>0.3966241559192567</v>
      </c>
      <c r="V58" s="348"/>
      <c r="W58" s="347">
        <f t="array" aca="1" ref="W58" ca="1">W$37*(1+(GREET1_Import_Export!$F$179*GREET1_Import_Export!$B184+GREET1_Import_Export!$F184)/1000000)+W$38*(1+(GREET1_Import_Export!$H$179*GREET1_Import_Export!$B184+GREET1_Import_Export!$H184)/1000000)+W$39*GREET1_Import_Export!$B220/1000000+W$40*GREET1_Import_Export!$B288/1000000+W$41*(GREET1_Import_Export!$B313+GREET1_Import_Export!$C313)/1000000+(MMULT(B123:M123+0,$W$42:$W$53+0))</f>
        <v>0.22413030601331177</v>
      </c>
      <c r="Y58" s="348"/>
      <c r="Z58" s="1321"/>
      <c r="AB58" s="1143" t="s">
        <v>969</v>
      </c>
      <c r="AC58" s="1148">
        <v>5764.3427596092797</v>
      </c>
      <c r="AD58" s="894">
        <v>18949.124197679099</v>
      </c>
      <c r="AE58" s="505"/>
      <c r="AF58" s="502"/>
    </row>
    <row r="59" spans="1:32" s="349" customFormat="1">
      <c r="A59" s="748" t="s">
        <v>819</v>
      </c>
      <c r="B59" s="650">
        <f t="array" aca="1" ref="B59" ca="1">B$37*((GREET1_Import_Export!$F$179*GREET1_Import_Export!$B185+GREET1_Import_Export!$F185))+B$38*((GREET1_Import_Export!$G$179*GREET1_Import_Export!$B185+GREET1_Import_Export!$G185))+B$39*GREET1_Import_Export!$B221+B$40*GREET1_Import_Export!$B289+B$41*GREET1_Import_Export!$M347+(MMULT($B124:$M124+0,B$42:B$53+0))</f>
        <v>470.42956509702225</v>
      </c>
      <c r="C59" s="158">
        <f>IF($A$3=1,AC54,AD54)</f>
        <v>1759.8389261371699</v>
      </c>
      <c r="D59" s="516">
        <f>($B$38*1000000/GREET1_Import_Export!$B$32*GREET1_Import_Export!$E$32/1000/907.2)*'GREET2_Factors_T&amp;D'!L58</f>
        <v>4.6983654782701842</v>
      </c>
      <c r="E59" s="650">
        <f t="array" aca="1" ref="E59" ca="1">E$37*((GREET1_Import_Export!$F$179*GREET1_Import_Export!$B185+GREET1_Import_Export!$F185))+E$38*((GREET1_Import_Export!$H$179*GREET1_Import_Export!$B185+GREET1_Import_Export!$H185))+E$39*GREET1_Import_Export!$B221+E$40*GREET1_Import_Export!$B289+E$41*GREET1_Import_Export!$M347+(MMULT($B124:$M124+0,E$42:E$53+0))</f>
        <v>5113.4894122220749</v>
      </c>
      <c r="F59" s="158">
        <f>IF($A$3=1,AE54,AF54)</f>
        <v>8997.4322396576299</v>
      </c>
      <c r="G59" s="516">
        <f>$E$42*('GREET2_Factors_T&amp;D'!M58+'GREET2_Factors_T&amp;D'!N58)+$E$44*'GREET2_Factors_T&amp;D'!O58+$E$45*'GREET2_Factors_T&amp;D'!P58+$E$46*'GREET2_Factors_T&amp;D'!Q58</f>
        <v>50.718932202256305</v>
      </c>
      <c r="H59" s="650">
        <f t="array" aca="1" ref="H59" ca="1">H$37*((GREET1_Import_Export!$F$179*GREET1_Import_Export!$B185+GREET1_Import_Export!$F185))+H$38*((GREET1_Import_Export!$H$179*GREET1_Import_Export!$B185+GREET1_Import_Export!$H185))+H$39*GREET1_Import_Export!$B221+H$40*GREET1_Import_Export!$B289+H$41*($B$22*(GREET1_Import_Export!B314+GREET1_Import_Export!C314)+$C$22*GREET1_Import_Export!$L347+SUMPRODUCT($D$22:$F$22,GREET1_Import_Export!N347:P347))+(MMULT($B124:$M124+0,H$42:H$53+0))</f>
        <v>11521.192272612399</v>
      </c>
      <c r="I59" s="1140">
        <v>13092.3819612671</v>
      </c>
      <c r="J59" s="516">
        <f>1/$B$18*('GREET2_Factors_T&amp;D'!R58+'GREET2_Factors_T&amp;D'!S58)</f>
        <v>74.655243072592484</v>
      </c>
      <c r="K59" s="650">
        <f t="array" aca="1" ref="K59" ca="1">K$37*((GREET1_Import_Export!$F$179*GREET1_Import_Export!$B185+GREET1_Import_Export!$F185))+K$38*((GREET1_Import_Export!$H$179*GREET1_Import_Export!$B185+GREET1_Import_Export!$H185))+K$39*GREET1_Import_Export!$B221+K$40*GREET1_Import_Export!$B289+K$41*GREET1_Import_Export!$L347+(MMULT($B124:$M124+0,K$42:K$53+0))</f>
        <v>2148.9454586432157</v>
      </c>
      <c r="L59" s="1140">
        <v>3286.72455559636</v>
      </c>
      <c r="M59" s="516"/>
      <c r="N59" s="650">
        <f t="array" aca="1" ref="N59" ca="1">N$37*((GREET1_Import_Export!$F$179*GREET1_Import_Export!$B185+GREET1_Import_Export!$F185))+N$38*((GREET1_Import_Export!$H$179*GREET1_Import_Export!$B185+GREET1_Import_Export!$H185))+N$39*GREET1_Import_Export!$B221+N$40*GREET1_Import_Export!$B289+N$41*GREET1_Import_Export!$L347+(MMULT($B124:$M124+0,N$42:N$53+0))</f>
        <v>2249.4795739695246</v>
      </c>
      <c r="O59" s="158"/>
      <c r="P59" s="516"/>
      <c r="Q59" s="650">
        <f t="array" aca="1" ref="Q59" ca="1">Q$37*((GREET1_Import_Export!$F$179*GREET1_Import_Export!$B185+GREET1_Import_Export!$F185))+Q$38*((GREET1_Import_Export!$H$179*GREET1_Import_Export!$B185+GREET1_Import_Export!$H185))+Q$39*GREET1_Import_Export!$B221+Q$40*GREET1_Import_Export!$B289+Q$41*(GREET1_Import_Export!$B314+GREET1_Import_Export!$C314)+(MMULT(B124:M124+0,$Q$42:$Q$53+0))</f>
        <v>22.018913192343625</v>
      </c>
      <c r="R59" s="158">
        <v>177.625</v>
      </c>
      <c r="S59" s="516"/>
      <c r="T59" s="650">
        <f t="array" aca="1" ref="T59" ca="1">T$37*((GREET1_Import_Export!$F$179*GREET1_Import_Export!$B185+GREET1_Import_Export!$F185))+T$38*((GREET1_Import_Export!$H$179*GREET1_Import_Export!$B185+GREET1_Import_Export!$H185))+T$39*GREET1_Import_Export!$B221+T$40*GREET1_Import_Export!$B289+T$41*(GREET1_Import_Export!$B314+GREET1_Import_Export!$C314)+(MMULT(B124:M124+0,$T$42:$T$53+0))</f>
        <v>1184.3135380683009</v>
      </c>
      <c r="U59" s="158"/>
      <c r="V59" s="516"/>
      <c r="W59" s="650">
        <f t="array" aca="1" ref="W59" ca="1">W$37*((GREET1_Import_Export!$F$179*GREET1_Import_Export!$B185+GREET1_Import_Export!$F185))+W$38*((GREET1_Import_Export!$H$179*GREET1_Import_Export!$B185+GREET1_Import_Export!$H185))+W$39*GREET1_Import_Export!$B221+W$40*GREET1_Import_Export!$B289+W$41*(GREET1_Import_Export!$B314+GREET1_Import_Export!$C314)+(MMULT(B124:M124+0,$W$42:$W$53+0))</f>
        <v>90.857123476920691</v>
      </c>
      <c r="X59" s="728">
        <v>54.605536394662202</v>
      </c>
      <c r="Y59" s="516"/>
      <c r="Z59" s="1321"/>
    </row>
    <row r="60" spans="1:32" s="349" customFormat="1">
      <c r="A60" s="609" t="s">
        <v>864</v>
      </c>
      <c r="B60" s="510"/>
      <c r="C60" s="512"/>
      <c r="D60" s="509"/>
      <c r="E60" s="510"/>
      <c r="F60" s="512"/>
      <c r="G60" s="509"/>
      <c r="H60" s="510"/>
      <c r="I60" s="512"/>
      <c r="J60" s="509"/>
      <c r="K60" s="510"/>
      <c r="L60" s="512"/>
      <c r="M60" s="509"/>
      <c r="N60" s="510"/>
      <c r="O60" s="512"/>
      <c r="P60" s="509"/>
      <c r="Q60" s="510"/>
      <c r="R60" s="512"/>
      <c r="S60" s="509"/>
      <c r="T60" s="510"/>
      <c r="U60" s="512"/>
      <c r="V60" s="509"/>
      <c r="W60" s="510"/>
      <c r="X60" s="512"/>
      <c r="Y60" s="509"/>
      <c r="Z60" s="1321"/>
    </row>
    <row r="61" spans="1:32" s="349" customFormat="1">
      <c r="A61" s="498" t="s">
        <v>821</v>
      </c>
      <c r="B61" s="347">
        <f t="array" aca="1" ref="B61" ca="1">B$37*(B$9*GREET1_Import_Export!$K72+GREET1_Import_Export!$F$179*GREET1_Import_Export!$B186+GREET1_Import_Export!$F186)+B$38*(B$13*GREET1_Import_Export!$R72+B$14*GREET1_Import_Export!$F146+GREET1_Import_Export!$G$179*GREET1_Import_Export!$B186+GREET1_Import_Export!$G186)+B$39*(B$10*GREET1_Import_Export!$B72+B$11*GREET1_Import_Export!$C72+GREET1_Import_Export!$B222)+B$40*(B$12*GREET1_Import_Export!$AA72+GREET1_Import_Export!$B290)+B$41*GREET1_Import_Export!$M348+(MMULT($B126:$M126+0,B$42:B$53+0))</f>
        <v>682.26954112172723</v>
      </c>
      <c r="D61" s="348">
        <f>($B$38*1000000/GREET1_Import_Export!$B$32*GREET1_Import_Export!$E$32/1000/907.2)*'GREET2_Factors_T&amp;D'!L60</f>
        <v>2.9825287121335631</v>
      </c>
      <c r="E61" s="347">
        <f t="array" aca="1" ref="E61" ca="1">E$37*(C$9*GREET1_Import_Export!$K72+GREET1_Import_Export!$F$179*GREET1_Import_Export!$B186+GREET1_Import_Export!$F186)+E$38*(C$13*GREET1_Import_Export!$R72+C$14*GREET1_Import_Export!$O72+GREET1_Import_Export!$H$179*GREET1_Import_Export!$B186+GREET1_Import_Export!$H186)+E$39*(C$10*GREET1_Import_Export!$B72+C$11*GREET1_Import_Export!$C72+GREET1_Import_Export!$B222)+E$40*(C$12*GREET1_Import_Export!$AA72+GREET1_Import_Export!$B290)+E$41*GREET1_Import_Export!$M348+(MMULT($B126:$M126+0,E$42:E$53+0))</f>
        <v>164.21718815808015</v>
      </c>
      <c r="G61" s="348">
        <f>$E$42*('GREET2_Factors_T&amp;D'!M60+'GREET2_Factors_T&amp;D'!N60)+$E$44*'GREET2_Factors_T&amp;D'!O60+$E$45*'GREET2_Factors_T&amp;D'!P60+$E$46*'GREET2_Factors_T&amp;D'!Q60</f>
        <v>36.344497496913526</v>
      </c>
      <c r="H61" s="347">
        <f t="array" aca="1" ref="H61" ca="1">H$37*(D$9*GREET1_Import_Export!$K72+GREET1_Import_Export!$F$179*GREET1_Import_Export!$B186+GREET1_Import_Export!$F186)+H$38*(D$13*GREET1_Import_Export!$R72+D$14*GREET1_Import_Export!$O72+GREET1_Import_Export!$H$179*GREET1_Import_Export!$B186+GREET1_Import_Export!$H186)+H$39*(D$10*GREET1_Import_Export!$B72+D$11*GREET1_Import_Export!$C72+GREET1_Import_Export!$B222)+H$40*(D$12*GREET1_Import_Export!$AA72+GREET1_Import_Export!$B290)
+H$41*($B$22*(GREET1_Import_Export!B315+GREET1_Import_Export!C315)+$C$22*GREET1_Import_Export!$L348+SUMPRODUCT($D$22:$F$22,GREET1_Import_Export!N348:P348))
+(MMULT($B126:$M126+0,H$42:H$53+0))</f>
        <v>2191.8277913045786</v>
      </c>
      <c r="J61" s="348">
        <f>1/$B$18*('GREET2_Factors_T&amp;D'!R60+'GREET2_Factors_T&amp;D'!S60)</f>
        <v>152.45254074184385</v>
      </c>
      <c r="K61" s="347">
        <f t="array" aca="1" ref="K61" ca="1">K$37*(E$9*GREET1_Import_Export!$K72+GREET1_Import_Export!$F$179*GREET1_Import_Export!$B186+GREET1_Import_Export!$F186)+K$38*(E$13*GREET1_Import_Export!$R72+E$14*GREET1_Import_Export!$O72+GREET1_Import_Export!$H$179*GREET1_Import_Export!$B186+GREET1_Import_Export!$H186)+K$39*(E$10*GREET1_Import_Export!$B72+E$11*GREET1_Import_Export!$C72+GREET1_Import_Export!$B222)+K$40*(E$12*GREET1_Import_Export!$AA72+GREET1_Import_Export!$B290)+K$41*GREET1_Import_Export!$L348+(MMULT($B126:$M126+0,K$42:K$53+0))</f>
        <v>2247.1364560225438</v>
      </c>
      <c r="M61" s="348"/>
      <c r="N61" s="347">
        <f t="array" aca="1" ref="N61" ca="1">N$37*(F$9*GREET1_Import_Export!$K72+GREET1_Import_Export!$F$179*GREET1_Import_Export!$B186+GREET1_Import_Export!$F186)+N$38*(F$13*GREET1_Import_Export!$R72+F$14*GREET1_Import_Export!$O72+GREET1_Import_Export!$H$179*GREET1_Import_Export!$B186+GREET1_Import_Export!$H186)+N$39*(F$10*GREET1_Import_Export!$B72+F$11*GREET1_Import_Export!$C72+GREET1_Import_Export!$B222)+N$40*(F$12*GREET1_Import_Export!$AA72+GREET1_Import_Export!$B290)+N$41*GREET1_Import_Export!$L348+(MMULT($B126:$M126+0,N$42:N$53+0))</f>
        <v>198.3223973114587</v>
      </c>
      <c r="P61" s="348"/>
      <c r="Q61" s="347">
        <f t="array" aca="1" ref="Q61" ca="1">Q$37*(G$9*GREET1_Import_Export!$K72+GREET1_Import_Export!$F$179*GREET1_Import_Export!$B186+GREET1_Import_Export!$F186)+Q$38*(G$13*GREET1_Import_Export!$R72+G$14*GREET1_Import_Export!$O72+GREET1_Import_Export!$H$179*GREET1_Import_Export!$B186+GREET1_Import_Export!$H186)+Q$39*(G$10*GREET1_Import_Export!$B72+G$11*GREET1_Import_Export!$C72+GREET1_Import_Export!$B222)+Q$40*(G$12*GREET1_Import_Export!$AA72+GREET1_Import_Export!$B290)+Q$41*(GREET1_Import_Export!$B315+GREET1_Import_Export!$C315)+(MMULT(B126:M126+0,$Q$42:$Q$53+0))</f>
        <v>3.8877911365477642</v>
      </c>
      <c r="S61" s="348"/>
      <c r="T61" s="347">
        <f t="array" aca="1" ref="T61" ca="1">T$37*(H$9*GREET1_Import_Export!$K72+GREET1_Import_Export!$F$179*GREET1_Import_Export!$B186+GREET1_Import_Export!$F186)+T$38*(H$13*GREET1_Import_Export!$R72+H$14*GREET1_Import_Export!$O72+GREET1_Import_Export!$H$179*GREET1_Import_Export!$B186+GREET1_Import_Export!$H186)+T$39*(H$10*GREET1_Import_Export!$B72+H$11*GREET1_Import_Export!$C72+GREET1_Import_Export!$B222)+T$40*(H$12*GREET1_Import_Export!$AA72+GREET1_Import_Export!$B290)+T$41*(GREET1_Import_Export!$B315+GREET1_Import_Export!$C315)+(MMULT(B126:M126+0,$T$42:$T$53+0))</f>
        <v>103.60770184106914</v>
      </c>
      <c r="V61" s="348"/>
      <c r="W61" s="347">
        <f t="array" aca="1" ref="W61" ca="1">W$37*(I$9*GREET1_Import_Export!$K72+GREET1_Import_Export!$F$179*GREET1_Import_Export!$B186+GREET1_Import_Export!$F186)+W$38*(I$13*GREET1_Import_Export!$R72+I$14*GREET1_Import_Export!$O72+GREET1_Import_Export!$H$179*GREET1_Import_Export!$B186+GREET1_Import_Export!$H186)+W$39*(I$10*GREET1_Import_Export!$B72+I$11*GREET1_Import_Export!$C72+GREET1_Import_Export!$B222)+W$40*(I$12*GREET1_Import_Export!$AA72+GREET1_Import_Export!$B290)+W$41*(GREET1_Import_Export!$B315+GREET1_Import_Export!$C315)+(MMULT(B126:M126+0,$W$42:$W$53+0))</f>
        <v>1000.2329859498019</v>
      </c>
      <c r="Y61" s="348"/>
      <c r="Z61" s="1321"/>
    </row>
    <row r="62" spans="1:32" s="349" customFormat="1">
      <c r="A62" s="498" t="s">
        <v>822</v>
      </c>
      <c r="B62" s="347">
        <f t="array" aca="1" ref="B62" ca="1">B$37*(B$9*GREET1_Import_Export!$K73+GREET1_Import_Export!$F$179*GREET1_Import_Export!$B187+GREET1_Import_Export!$F187)+B$38*(B$13*GREET1_Import_Export!$R73+B$14*GREET1_Import_Export!$F147+GREET1_Import_Export!$G$179*GREET1_Import_Export!$B187+GREET1_Import_Export!$G187)+B$39*(B$10*GREET1_Import_Export!$B73+B$11*GREET1_Import_Export!$C73+GREET1_Import_Export!$B223)+B$40*(B$12*GREET1_Import_Export!$AA73+GREET1_Import_Export!$B291)+B$41*GREET1_Import_Export!$M349+(MMULT($B127:$M127+0,B$42:B$53+0))</f>
        <v>2047.8910053374434</v>
      </c>
      <c r="D62" s="348">
        <f>($B$38*1000000/GREET1_Import_Export!$B$32*GREET1_Import_Export!$E$32/1000/907.2)*'GREET2_Factors_T&amp;D'!L61</f>
        <v>41.358568379074079</v>
      </c>
      <c r="E62" s="347">
        <f t="array" aca="1" ref="E62" ca="1">E$37*(C$9*GREET1_Import_Export!$K73+GREET1_Import_Export!$F$179*GREET1_Import_Export!$B187+GREET1_Import_Export!$F187)+E$38*(C$13*GREET1_Import_Export!$R73+C$14*GREET1_Import_Export!$O73+GREET1_Import_Export!$H$179*GREET1_Import_Export!$B187+GREET1_Import_Export!$H187)+E$39*(C$10*GREET1_Import_Export!$B73+C$11*GREET1_Import_Export!$C73+GREET1_Import_Export!$B223)+E$40*(C$12*GREET1_Import_Export!$AA73+GREET1_Import_Export!$B291)+E$41*GREET1_Import_Export!$M349+(MMULT($B127:$M127+0,E$42:E$53+0))</f>
        <v>721.25467500104503</v>
      </c>
      <c r="G62" s="348">
        <f>$E$42*('GREET2_Factors_T&amp;D'!M61+'GREET2_Factors_T&amp;D'!N61)+$E$44*'GREET2_Factors_T&amp;D'!O61+$E$45*'GREET2_Factors_T&amp;D'!P61+$E$46*'GREET2_Factors_T&amp;D'!Q61</f>
        <v>375.29821086789724</v>
      </c>
      <c r="H62" s="347">
        <f t="array" aca="1" ref="H62" ca="1">H$37*(D$9*GREET1_Import_Export!$K73+GREET1_Import_Export!$F$179*GREET1_Import_Export!$B187+GREET1_Import_Export!$F187)+H$38*(D$13*GREET1_Import_Export!$R73+D$14*GREET1_Import_Export!$O73+GREET1_Import_Export!$H$179*GREET1_Import_Export!$B187+GREET1_Import_Export!$H187)+H$39*(D$10*GREET1_Import_Export!$B73+D$11*GREET1_Import_Export!$C73+GREET1_Import_Export!$B223)+H$40*(D$12*GREET1_Import_Export!$AA73+GREET1_Import_Export!$B291)
+H$41*($B$22*(GREET1_Import_Export!B316+GREET1_Import_Export!C316)+$C$22*GREET1_Import_Export!$L349+SUMPRODUCT($D$22:$F$22,GREET1_Import_Export!N349:P349))
+(MMULT($B127:$M127+0,H$42:H$53+0))</f>
        <v>6278.846798712746</v>
      </c>
      <c r="J62" s="348">
        <f>1/$B$18*('GREET2_Factors_T&amp;D'!R61+'GREET2_Factors_T&amp;D'!S61)</f>
        <v>833.22060060236845</v>
      </c>
      <c r="K62" s="347">
        <f t="array" aca="1" ref="K62" ca="1">K$37*(E$9*GREET1_Import_Export!$K73+GREET1_Import_Export!$F$179*GREET1_Import_Export!$B187+GREET1_Import_Export!$F187)+K$38*(E$13*GREET1_Import_Export!$R73+E$14*GREET1_Import_Export!$O73+GREET1_Import_Export!$H$179*GREET1_Import_Export!$B187+GREET1_Import_Export!$H187)+K$39*(E$10*GREET1_Import_Export!$B73+E$11*GREET1_Import_Export!$C73+GREET1_Import_Export!$B223)+K$40*(E$12*GREET1_Import_Export!$AA73+GREET1_Import_Export!$B291)+K$41*GREET1_Import_Export!$L349+(MMULT($B127:$M127+0,K$42:K$53+0))</f>
        <v>3504.240458922628</v>
      </c>
      <c r="M62" s="348"/>
      <c r="N62" s="347">
        <f t="array" aca="1" ref="N62" ca="1">N$37*(F$9*GREET1_Import_Export!$K73+GREET1_Import_Export!$F$179*GREET1_Import_Export!$B187+GREET1_Import_Export!$F187)+N$38*(F$13*GREET1_Import_Export!$R73+F$14*GREET1_Import_Export!$O73+GREET1_Import_Export!$H$179*GREET1_Import_Export!$B187+GREET1_Import_Export!$H187)+N$39*(F$10*GREET1_Import_Export!$B73+F$11*GREET1_Import_Export!$C73+GREET1_Import_Export!$B223)+N$40*(F$12*GREET1_Import_Export!$AA73+GREET1_Import_Export!$B291)+N$41*GREET1_Import_Export!$L349+(MMULT($B127:$M127+0,N$42:N$53+0))</f>
        <v>405.54648906909483</v>
      </c>
      <c r="P62" s="348"/>
      <c r="Q62" s="347">
        <f t="array" aca="1" ref="Q62" ca="1">Q$37*(G$9*GREET1_Import_Export!$K73+GREET1_Import_Export!$F$179*GREET1_Import_Export!$B187+GREET1_Import_Export!$F187)+Q$38*(G$13*GREET1_Import_Export!$R73+G$14*GREET1_Import_Export!$O73+GREET1_Import_Export!$H$179*GREET1_Import_Export!$B187+GREET1_Import_Export!$H187)+Q$39*(G$10*GREET1_Import_Export!$B73+G$11*GREET1_Import_Export!$C73+GREET1_Import_Export!$B223)+Q$40*(G$12*GREET1_Import_Export!$AA73+GREET1_Import_Export!$B291)+Q$41*(GREET1_Import_Export!$B316+GREET1_Import_Export!$C316)+(MMULT(B127:M127+0,$Q$42:$Q$53+0))</f>
        <v>12.260958946281074</v>
      </c>
      <c r="S62" s="348"/>
      <c r="T62" s="347">
        <f t="array" aca="1" ref="T62" ca="1">T$37*(H$9*GREET1_Import_Export!$K73+GREET1_Import_Export!$F$179*GREET1_Import_Export!$B187+GREET1_Import_Export!$F187)+T$38*(H$13*GREET1_Import_Export!$R73+H$14*GREET1_Import_Export!$O73+GREET1_Import_Export!$H$179*GREET1_Import_Export!$B187+GREET1_Import_Export!$H187)+T$39*(H$10*GREET1_Import_Export!$B73+H$11*GREET1_Import_Export!$C73+GREET1_Import_Export!$B223)+T$40*(H$12*GREET1_Import_Export!$AA73+GREET1_Import_Export!$B291)+T$41*(GREET1_Import_Export!$B316+GREET1_Import_Export!$C316)+(MMULT(B127:M127+0,$T$42:$T$53+0))</f>
        <v>385.56637433399811</v>
      </c>
      <c r="V62" s="348"/>
      <c r="W62" s="347">
        <f t="array" aca="1" ref="W62" ca="1">W$37*(I$9*GREET1_Import_Export!$K73+GREET1_Import_Export!$F$179*GREET1_Import_Export!$B187+GREET1_Import_Export!$F187)+W$38*(I$13*GREET1_Import_Export!$R73+I$14*GREET1_Import_Export!$O73+GREET1_Import_Export!$H$179*GREET1_Import_Export!$B187+GREET1_Import_Export!$H187)+W$39*(I$10*GREET1_Import_Export!$B73+I$11*GREET1_Import_Export!$C73+GREET1_Import_Export!$B223)+W$40*(I$12*GREET1_Import_Export!$AA73+GREET1_Import_Export!$B291)+W$41*(GREET1_Import_Export!$B316+GREET1_Import_Export!$C316)+(MMULT(B127:M127+0,$W$42:$W$53+0))</f>
        <v>1040.7942378525197</v>
      </c>
      <c r="Y62" s="348"/>
      <c r="Z62" s="1321"/>
    </row>
    <row r="63" spans="1:32" s="349" customFormat="1">
      <c r="A63" s="498" t="s">
        <v>823</v>
      </c>
      <c r="B63" s="347">
        <f t="array" aca="1" ref="B63" ca="1">B$37*(B$9*GREET1_Import_Export!$K74+GREET1_Import_Export!$F$179*GREET1_Import_Export!$B188+GREET1_Import_Export!$F188)+B$38*(B$13*GREET1_Import_Export!$R74+B$14*GREET1_Import_Export!$F148+GREET1_Import_Export!$G$179*GREET1_Import_Export!$B188+GREET1_Import_Export!$G188)+B$39*(B$10*GREET1_Import_Export!$B74+B$11*GREET1_Import_Export!$C74+GREET1_Import_Export!$B224)+B$40*(B$12*GREET1_Import_Export!$AA74+GREET1_Import_Export!$B292)+B$41*GREET1_Import_Export!$M350+(MMULT($B128:$M128+0,B$42:B$53+0))</f>
        <v>4758.6713599681671</v>
      </c>
      <c r="D63" s="348">
        <f>($B$38*1000000/GREET1_Import_Export!$B$32*GREET1_Import_Export!$E$32/1000/907.2)*'GREET2_Factors_T&amp;D'!L62</f>
        <v>28.203904453382236</v>
      </c>
      <c r="E63" s="347">
        <f t="array" aca="1" ref="E63" ca="1">E$37*(C$9*GREET1_Import_Export!$K74+GREET1_Import_Export!$F$179*GREET1_Import_Export!$B188+GREET1_Import_Export!$F188)+E$38*(C$13*GREET1_Import_Export!$R74+C$14*GREET1_Import_Export!$O74+GREET1_Import_Export!$H$179*GREET1_Import_Export!$B188+GREET1_Import_Export!$H188)+E$39*(C$10*GREET1_Import_Export!$B74+C$11*GREET1_Import_Export!$C74+GREET1_Import_Export!$B224)+E$40*(C$12*GREET1_Import_Export!$AA74+GREET1_Import_Export!$B292)+E$41*GREET1_Import_Export!$M350+(MMULT($B128:$M128+0,E$42:E$53+0))</f>
        <v>866.11585135251869</v>
      </c>
      <c r="G63" s="348">
        <f>$E$42*('GREET2_Factors_T&amp;D'!M62+'GREET2_Factors_T&amp;D'!N62)+$E$44*'GREET2_Factors_T&amp;D'!O62+$E$45*'GREET2_Factors_T&amp;D'!P62+$E$46*'GREET2_Factors_T&amp;D'!Q62</f>
        <v>355.47952723188791</v>
      </c>
      <c r="H63" s="347">
        <f t="array" aca="1" ref="H63" ca="1">H$37*(D$9*GREET1_Import_Export!$K74+GREET1_Import_Export!$F$179*GREET1_Import_Export!$B188+GREET1_Import_Export!$F188)+H$38*(D$13*GREET1_Import_Export!$R74+D$14*GREET1_Import_Export!$O74+GREET1_Import_Export!$H$179*GREET1_Import_Export!$B188+GREET1_Import_Export!$H188)+H$39*(D$10*GREET1_Import_Export!$B74+D$11*GREET1_Import_Export!$C74+GREET1_Import_Export!$B224)+H$40*(D$12*GREET1_Import_Export!$AA74+GREET1_Import_Export!$B292)
+H$41*($B$22*(GREET1_Import_Export!B317+GREET1_Import_Export!C317)+$C$22*GREET1_Import_Export!$L350+SUMPRODUCT($D$22:$F$22,GREET1_Import_Export!N350:P350))
+(MMULT($B128:$M128+0,H$42:H$53+0))</f>
        <v>10679.050574117027</v>
      </c>
      <c r="J63" s="348">
        <f>1/$B$18*('GREET2_Factors_T&amp;D'!R62+'GREET2_Factors_T&amp;D'!S62)</f>
        <v>3001.0387978731328</v>
      </c>
      <c r="K63" s="347">
        <f t="array" aca="1" ref="K63" ca="1">K$37*(E$9*GREET1_Import_Export!$K74+GREET1_Import_Export!$F$179*GREET1_Import_Export!$B188+GREET1_Import_Export!$F188)+K$38*(E$13*GREET1_Import_Export!$R74+E$14*GREET1_Import_Export!$O74+GREET1_Import_Export!$H$179*GREET1_Import_Export!$B188+GREET1_Import_Export!$H188)+K$39*(E$10*GREET1_Import_Export!$B74+E$11*GREET1_Import_Export!$C74+GREET1_Import_Export!$B224)+K$40*(E$12*GREET1_Import_Export!$AA74+GREET1_Import_Export!$B292)+K$41*GREET1_Import_Export!$L350+(MMULT($B128:$M128+0,K$42:K$53+0))</f>
        <v>3110.0050160423648</v>
      </c>
      <c r="M63" s="348"/>
      <c r="N63" s="347">
        <f t="array" aca="1" ref="N63" ca="1">N$37*(F$9*GREET1_Import_Export!$K74+GREET1_Import_Export!$F$179*GREET1_Import_Export!$B188+GREET1_Import_Export!$F188)+N$38*(F$13*GREET1_Import_Export!$R74+F$14*GREET1_Import_Export!$O74+GREET1_Import_Export!$H$179*GREET1_Import_Export!$B188+GREET1_Import_Export!$H188)+N$39*(F$10*GREET1_Import_Export!$B74+F$11*GREET1_Import_Export!$C74+GREET1_Import_Export!$B224)+N$40*(F$12*GREET1_Import_Export!$AA74+GREET1_Import_Export!$B292)+N$41*GREET1_Import_Export!$L350+(MMULT($B128:$M128+0,N$42:N$53+0))</f>
        <v>1562.3710534108939</v>
      </c>
      <c r="P63" s="348"/>
      <c r="Q63" s="347">
        <f t="array" aca="1" ref="Q63" ca="1">Q$37*(G$9*GREET1_Import_Export!$K74+GREET1_Import_Export!$F$179*GREET1_Import_Export!$B188+GREET1_Import_Export!$F188)+Q$38*(G$13*GREET1_Import_Export!$R74+G$14*GREET1_Import_Export!$O74+GREET1_Import_Export!$H$179*GREET1_Import_Export!$B188+GREET1_Import_Export!$H188)+Q$39*(G$10*GREET1_Import_Export!$B74+G$11*GREET1_Import_Export!$C74+GREET1_Import_Export!$B224)+Q$40*(G$12*GREET1_Import_Export!$AA74+GREET1_Import_Export!$B292)+Q$41*(GREET1_Import_Export!$B317+GREET1_Import_Export!$C317)+(MMULT(B128:M128+0,$Q$42:$Q$53+0))</f>
        <v>21.958786354686836</v>
      </c>
      <c r="S63" s="348"/>
      <c r="T63" s="347">
        <f t="array" aca="1" ref="T63" ca="1">T$37*(H$9*GREET1_Import_Export!$K74+GREET1_Import_Export!$F$179*GREET1_Import_Export!$B188+GREET1_Import_Export!$F188)+T$38*(H$13*GREET1_Import_Export!$R74+H$14*GREET1_Import_Export!$O74+GREET1_Import_Export!$H$179*GREET1_Import_Export!$B188+GREET1_Import_Export!$H188)+T$39*(H$10*GREET1_Import_Export!$B74+H$11*GREET1_Import_Export!$C74+GREET1_Import_Export!$B224)+T$40*(H$12*GREET1_Import_Export!$AA74+GREET1_Import_Export!$B292)+T$41*(GREET1_Import_Export!$B317+GREET1_Import_Export!$C317)+(MMULT(B128:M128+0,$T$42:$T$53+0))</f>
        <v>647.88720040624764</v>
      </c>
      <c r="V63" s="348"/>
      <c r="W63" s="347">
        <f t="array" aca="1" ref="W63" ca="1">W$37*(I$9*GREET1_Import_Export!$K74+GREET1_Import_Export!$F$179*GREET1_Import_Export!$B188+GREET1_Import_Export!$F188)+W$38*(I$13*GREET1_Import_Export!$R74+I$14*GREET1_Import_Export!$O74+GREET1_Import_Export!$H$179*GREET1_Import_Export!$B188+GREET1_Import_Export!$H188)+W$39*(I$10*GREET1_Import_Export!$B74+I$11*GREET1_Import_Export!$C74+GREET1_Import_Export!$B224)+W$40*(I$12*GREET1_Import_Export!$AA74+GREET1_Import_Export!$B292)+W$41*(GREET1_Import_Export!$B317+GREET1_Import_Export!$C317)+(MMULT(B128:M128+0,$W$42:$W$53+0))</f>
        <v>413.77972093334199</v>
      </c>
      <c r="Y63" s="348"/>
      <c r="Z63" s="1321"/>
    </row>
    <row r="64" spans="1:32" s="349" customFormat="1">
      <c r="A64" s="498" t="s">
        <v>824</v>
      </c>
      <c r="B64" s="347">
        <f t="array" aca="1" ref="B64" ca="1">B$37*(B$9*GREET1_Import_Export!$K75+GREET1_Import_Export!$F$179*GREET1_Import_Export!$B189+GREET1_Import_Export!$F189)+B$38*(B$13*GREET1_Import_Export!$R75+B$14*GREET1_Import_Export!$F149+GREET1_Import_Export!$G$179*GREET1_Import_Export!$B189+GREET1_Import_Export!$G189)+B$39*(B$10*GREET1_Import_Export!$B75+B$11*GREET1_Import_Export!$C75+GREET1_Import_Export!$B225)+B$40*(B$12*GREET1_Import_Export!$AA75+GREET1_Import_Export!$B293)+B$41*GREET1_Import_Export!$M351+(MMULT($B129:$M129+0,B$42:B$53+0))</f>
        <v>292.11576125664936</v>
      </c>
      <c r="C64" s="349">
        <f>IF($A$3=1,AC57,AD57)</f>
        <v>55848.724573312</v>
      </c>
      <c r="D64" s="348">
        <f>($B$38*1000000/GREET1_Import_Export!$B$32*GREET1_Import_Export!$E$32/1000/907.2)*'GREET2_Factors_T&amp;D'!L63</f>
        <v>1.5856034543337598</v>
      </c>
      <c r="E64" s="347">
        <f t="array" aca="1" ref="E64" ca="1">E$37*(C$9*GREET1_Import_Export!$K75+GREET1_Import_Export!$F$179*GREET1_Import_Export!$B189+GREET1_Import_Export!$F189)+E$38*(C$13*GREET1_Import_Export!$R75+C$14*GREET1_Import_Export!$O75+GREET1_Import_Export!$H$179*GREET1_Import_Export!$B189+GREET1_Import_Export!$H189)+E$39*(C$10*GREET1_Import_Export!$B75+C$11*GREET1_Import_Export!$C75+GREET1_Import_Export!$B225)+E$40*(C$12*GREET1_Import_Export!$AA75+GREET1_Import_Export!$B293)+E$41*GREET1_Import_Export!$M351+(MMULT($B129:$M129+0,E$42:E$53+0))</f>
        <v>90.487431382682345</v>
      </c>
      <c r="G64" s="348">
        <f>$E$42*('GREET2_Factors_T&amp;D'!M63+'GREET2_Factors_T&amp;D'!N63)+$E$44*'GREET2_Factors_T&amp;D'!O63+$E$45*'GREET2_Factors_T&amp;D'!P63+$E$46*'GREET2_Factors_T&amp;D'!Q63</f>
        <v>16.013829966929727</v>
      </c>
      <c r="H64" s="347">
        <f t="array" aca="1" ref="H64" ca="1">H$37*(D$9*GREET1_Import_Export!$K75+GREET1_Import_Export!$F$179*GREET1_Import_Export!$B189+GREET1_Import_Export!$F189)+H$38*(D$13*GREET1_Import_Export!$R75+D$14*GREET1_Import_Export!$O75+GREET1_Import_Export!$H$179*GREET1_Import_Export!$B189+GREET1_Import_Export!$H189)+H$39*(D$10*GREET1_Import_Export!$B75+D$11*GREET1_Import_Export!$C75+GREET1_Import_Export!$B225)+H$40*(D$12*GREET1_Import_Export!$AA75+GREET1_Import_Export!$B293)
+H$41*($B$22*(GREET1_Import_Export!B318+GREET1_Import_Export!C318)+$C$22*GREET1_Import_Export!$L351+SUMPRODUCT($D$22:$F$22,GREET1_Import_Export!N351:P351))
+(MMULT($B129:$M129+0,H$42:H$53+0))</f>
        <v>1176.1872676525732</v>
      </c>
      <c r="J64" s="348">
        <f>1/$B$18*('GREET2_Factors_T&amp;D'!R63+'GREET2_Factors_T&amp;D'!S63)</f>
        <v>251.26172825720192</v>
      </c>
      <c r="K64" s="347">
        <f t="array" aca="1" ref="K64" ca="1">K$37*(E$9*GREET1_Import_Export!$K75+GREET1_Import_Export!$F$179*GREET1_Import_Export!$B189+GREET1_Import_Export!$F189)+K$38*(E$13*GREET1_Import_Export!$R75+E$14*GREET1_Import_Export!$O75+GREET1_Import_Export!$H$179*GREET1_Import_Export!$B189+GREET1_Import_Export!$H189)+K$39*(E$10*GREET1_Import_Export!$B75+E$11*GREET1_Import_Export!$C75+GREET1_Import_Export!$B225)+K$40*(E$12*GREET1_Import_Export!$AA75+GREET1_Import_Export!$B293)+K$41*GREET1_Import_Export!$L351+(MMULT($B129:$M129+0,K$42:K$53+0))</f>
        <v>211.25851976082274</v>
      </c>
      <c r="M64" s="348"/>
      <c r="N64" s="347">
        <f t="array" aca="1" ref="N64" ca="1">N$37*(F$9*GREET1_Import_Export!$K75+GREET1_Import_Export!$F$179*GREET1_Import_Export!$B189+GREET1_Import_Export!$F189)+N$38*(F$13*GREET1_Import_Export!$R75+F$14*GREET1_Import_Export!$O75+GREET1_Import_Export!$H$179*GREET1_Import_Export!$B189+GREET1_Import_Export!$H189)+N$39*(F$10*GREET1_Import_Export!$B75+F$11*GREET1_Import_Export!$C75+GREET1_Import_Export!$B225)+N$40*(F$12*GREET1_Import_Export!$AA75+GREET1_Import_Export!$B293)+N$41*GREET1_Import_Export!$L351+(MMULT($B129:$M129+0,N$42:N$53+0))</f>
        <v>372.47873529201769</v>
      </c>
      <c r="P64" s="348"/>
      <c r="Q64" s="347">
        <f t="array" aca="1" ref="Q64" ca="1">Q$37*(G$9*GREET1_Import_Export!$K75+GREET1_Import_Export!$F$179*GREET1_Import_Export!$B189+GREET1_Import_Export!$F189)+Q$38*(G$13*GREET1_Import_Export!$R75+G$14*GREET1_Import_Export!$O75+GREET1_Import_Export!$H$179*GREET1_Import_Export!$B189+GREET1_Import_Export!$H189)+Q$39*(G$10*GREET1_Import_Export!$B75+G$11*GREET1_Import_Export!$C75+GREET1_Import_Export!$B225)+Q$40*(G$12*GREET1_Import_Export!$AA75+GREET1_Import_Export!$B293)+Q$41*(GREET1_Import_Export!$B318+GREET1_Import_Export!$C318)+(MMULT(B129:M129+0,$Q$42:$Q$53+0))</f>
        <v>2.8131289966395139</v>
      </c>
      <c r="S64" s="348"/>
      <c r="T64" s="347">
        <f t="array" aca="1" ref="T64" ca="1">T$37*(H$9*GREET1_Import_Export!$K75+GREET1_Import_Export!$F$179*GREET1_Import_Export!$B189+GREET1_Import_Export!$F189)+T$38*(H$13*GREET1_Import_Export!$R75+H$14*GREET1_Import_Export!$O75+GREET1_Import_Export!$H$179*GREET1_Import_Export!$B189+GREET1_Import_Export!$H189)+T$39*(H$10*GREET1_Import_Export!$B75+H$11*GREET1_Import_Export!$C75+GREET1_Import_Export!$B225)+T$40*(H$12*GREET1_Import_Export!$AA75+GREET1_Import_Export!$B293)+T$41*(GREET1_Import_Export!$B318+GREET1_Import_Export!$C318)+(MMULT(B129:M129+0,$T$42:$T$53+0))</f>
        <v>65.821108098613479</v>
      </c>
      <c r="V64" s="348"/>
      <c r="W64" s="347">
        <f t="array" aca="1" ref="W64" ca="1">W$37*(I$9*GREET1_Import_Export!$K75+GREET1_Import_Export!$F$179*GREET1_Import_Export!$B189+GREET1_Import_Export!$F189)+W$38*(I$13*GREET1_Import_Export!$R75+I$14*GREET1_Import_Export!$O75+GREET1_Import_Export!$H$179*GREET1_Import_Export!$B189+GREET1_Import_Export!$H189)+W$39*(I$10*GREET1_Import_Export!$B75+I$11*GREET1_Import_Export!$C75+GREET1_Import_Export!$B225)+W$40*(I$12*GREET1_Import_Export!$AA75+GREET1_Import_Export!$B293)+W$41*(GREET1_Import_Export!$B318+GREET1_Import_Export!$C318)+(MMULT(B129:M129+0,$W$42:$W$53+0))</f>
        <v>18.82539087093766</v>
      </c>
      <c r="Y64" s="348"/>
      <c r="Z64" s="1321"/>
    </row>
    <row r="65" spans="1:26" s="349" customFormat="1">
      <c r="A65" s="347" t="s">
        <v>825</v>
      </c>
      <c r="B65" s="347">
        <f t="array" aca="1" ref="B65" ca="1">B$37*(B$9*GREET1_Import_Export!$K76+GREET1_Import_Export!$F$179*GREET1_Import_Export!$B190+GREET1_Import_Export!$F190)+B$38*(B$13*GREET1_Import_Export!$R76+B$14*GREET1_Import_Export!$F150+GREET1_Import_Export!$G$179*GREET1_Import_Export!$B190+GREET1_Import_Export!$G190)+B$39*(B$10*GREET1_Import_Export!$B76+B$11*GREET1_Import_Export!$C76+GREET1_Import_Export!$B226)+B$40*(B$12*GREET1_Import_Export!$AA76+GREET1_Import_Export!$B294)+B$41*GREET1_Import_Export!$M352+(MMULT($B130:$M130+0,B$42:B$53+0))</f>
        <v>280.05605103586743</v>
      </c>
      <c r="C65" s="349">
        <f>IF($A$3=1,AC58,AD58)</f>
        <v>5764.3427596092797</v>
      </c>
      <c r="D65" s="348">
        <f>($B$38*1000000/GREET1_Import_Export!$B$32*GREET1_Import_Export!$E$32/1000/907.2)*'GREET2_Factors_T&amp;D'!L64</f>
        <v>0.46066113582620155</v>
      </c>
      <c r="E65" s="347">
        <f t="array" aca="1" ref="E65" ca="1">E$37*(C$9*GREET1_Import_Export!$K76+GREET1_Import_Export!$F$179*GREET1_Import_Export!$B190+GREET1_Import_Export!$F190)+E$38*(C$13*GREET1_Import_Export!$R76+C$14*GREET1_Import_Export!$O76+GREET1_Import_Export!$H$179*GREET1_Import_Export!$B190+GREET1_Import_Export!$H190)+E$39*(C$10*GREET1_Import_Export!$B76+C$11*GREET1_Import_Export!$C76+GREET1_Import_Export!$B226)+E$40*(C$12*GREET1_Import_Export!$AA76+GREET1_Import_Export!$B294)+E$41*GREET1_Import_Export!$M352+(MMULT($B130:$M130+0,E$42:E$53+0))</f>
        <v>74.223985447272625</v>
      </c>
      <c r="G65" s="348">
        <f>$E$42*('GREET2_Factors_T&amp;D'!M64+'GREET2_Factors_T&amp;D'!N64)+$E$44*'GREET2_Factors_T&amp;D'!O64+$E$45*'GREET2_Factors_T&amp;D'!P64+$E$46*'GREET2_Factors_T&amp;D'!Q64</f>
        <v>6.1464973961755032</v>
      </c>
      <c r="H65" s="347">
        <f t="array" aca="1" ref="H65" ca="1">H$37*(D$9*GREET1_Import_Export!$K76+GREET1_Import_Export!$F$179*GREET1_Import_Export!$B190+GREET1_Import_Export!$F190)+H$38*(D$13*GREET1_Import_Export!$R76+D$14*GREET1_Import_Export!$O76+GREET1_Import_Export!$H$179*GREET1_Import_Export!$B190+GREET1_Import_Export!$H190)+H$39*(D$10*GREET1_Import_Export!$B76+D$11*GREET1_Import_Export!$C76+GREET1_Import_Export!$B226)+H$40*(D$12*GREET1_Import_Export!$AA76+GREET1_Import_Export!$B294)
+H$41*($B$22*(GREET1_Import_Export!B319+GREET1_Import_Export!C319)+$C$22*GREET1_Import_Export!$L352+SUMPRODUCT($D$22:$F$22,GREET1_Import_Export!N352:P352))
+(MMULT($B130:$M130+0,H$42:H$53+0))</f>
        <v>776.83916961185435</v>
      </c>
      <c r="J65" s="348">
        <f>1/$B$18*('GREET2_Factors_T&amp;D'!R64+'GREET2_Factors_T&amp;D'!S64)</f>
        <v>216.87651820927945</v>
      </c>
      <c r="K65" s="347">
        <f t="array" aca="1" ref="K65" ca="1">K$37*(E$9*GREET1_Import_Export!$K76+GREET1_Import_Export!$F$179*GREET1_Import_Export!$B190+GREET1_Import_Export!$F190)+K$38*(E$13*GREET1_Import_Export!$R76+E$14*GREET1_Import_Export!$O76+GREET1_Import_Export!$H$179*GREET1_Import_Export!$B190+GREET1_Import_Export!$H190)+K$39*(E$10*GREET1_Import_Export!$B76+E$11*GREET1_Import_Export!$C76+GREET1_Import_Export!$B226)+K$40*(E$12*GREET1_Import_Export!$AA76+GREET1_Import_Export!$B294)+K$41*GREET1_Import_Export!$L352+(MMULT($B130:$M130+0,K$42:K$53+0))</f>
        <v>173.57040442594428</v>
      </c>
      <c r="M65" s="348"/>
      <c r="N65" s="347">
        <f t="array" aca="1" ref="N65" ca="1">N$37*(F$9*GREET1_Import_Export!$K76+GREET1_Import_Export!$F$179*GREET1_Import_Export!$B190+GREET1_Import_Export!$F190)+N$38*(F$13*GREET1_Import_Export!$R76+F$14*GREET1_Import_Export!$O76+GREET1_Import_Export!$H$179*GREET1_Import_Export!$B190+GREET1_Import_Export!$H190)+N$39*(F$10*GREET1_Import_Export!$B76+F$11*GREET1_Import_Export!$C76+GREET1_Import_Export!$B226)+N$40*(F$12*GREET1_Import_Export!$AA76+GREET1_Import_Export!$B294)+N$41*GREET1_Import_Export!$L352+(MMULT($B130:$M130+0,N$42:N$53+0))</f>
        <v>177.04087788550683</v>
      </c>
      <c r="P65" s="348"/>
      <c r="Q65" s="347">
        <f t="array" aca="1" ref="Q65" ca="1">Q$37*(G$9*GREET1_Import_Export!$K76+GREET1_Import_Export!$F$179*GREET1_Import_Export!$B190+GREET1_Import_Export!$F190)+Q$38*(G$13*GREET1_Import_Export!$R76+G$14*GREET1_Import_Export!$O76+GREET1_Import_Export!$H$179*GREET1_Import_Export!$B190+GREET1_Import_Export!$H190)+Q$39*(G$10*GREET1_Import_Export!$B76+G$11*GREET1_Import_Export!$C76+GREET1_Import_Export!$B226)+Q$40*(G$12*GREET1_Import_Export!$AA76+GREET1_Import_Export!$B294)+Q$41*(GREET1_Import_Export!$B319+GREET1_Import_Export!$C319)+(MMULT(B130:M130+0,$Q$42:$Q$53+0))</f>
        <v>1.8214516285041391</v>
      </c>
      <c r="S65" s="348"/>
      <c r="T65" s="347">
        <f t="array" aca="1" ref="T65" ca="1">T$37*(H$9*GREET1_Import_Export!$K76+GREET1_Import_Export!$F$179*GREET1_Import_Export!$B190+GREET1_Import_Export!$F190)+T$38*(H$13*GREET1_Import_Export!$R76+H$14*GREET1_Import_Export!$O76+GREET1_Import_Export!$H$179*GREET1_Import_Export!$B190+GREET1_Import_Export!$H190)+T$39*(H$10*GREET1_Import_Export!$B76+H$11*GREET1_Import_Export!$C76+GREET1_Import_Export!$B226)+T$40*(H$12*GREET1_Import_Export!$AA76+GREET1_Import_Export!$B294)+T$41*(GREET1_Import_Export!$B319+GREET1_Import_Export!$C319)+(MMULT(B130:M130+0,$T$42:$T$53+0))</f>
        <v>45.05858565019166</v>
      </c>
      <c r="V65" s="348"/>
      <c r="W65" s="347">
        <f t="array" aca="1" ref="W65" ca="1">W$37*(I$9*GREET1_Import_Export!$K76+GREET1_Import_Export!$F$179*GREET1_Import_Export!$B190+GREET1_Import_Export!$F190)+W$38*(I$13*GREET1_Import_Export!$R76+I$14*GREET1_Import_Export!$O76+GREET1_Import_Export!$H$179*GREET1_Import_Export!$B190+GREET1_Import_Export!$H190)+W$39*(I$10*GREET1_Import_Export!$B76+I$11*GREET1_Import_Export!$C76+GREET1_Import_Export!$B226)+W$40*(I$12*GREET1_Import_Export!$AA76+GREET1_Import_Export!$B294)+W$41*(GREET1_Import_Export!$B319+GREET1_Import_Export!$C319)+(MMULT(B130:M130+0,$W$42:$W$53+0))</f>
        <v>16.991037307628041</v>
      </c>
      <c r="Y65" s="348"/>
      <c r="Z65" s="1321"/>
    </row>
    <row r="66" spans="1:26" s="349" customFormat="1">
      <c r="A66" s="347" t="s">
        <v>826</v>
      </c>
      <c r="B66" s="347">
        <f t="array" aca="1" ref="B66" ca="1">B$37*(B$9*GREET1_Import_Export!$K77+GREET1_Import_Export!$F$179*GREET1_Import_Export!$B191+GREET1_Import_Export!$F191)+B$38*(B$13*GREET1_Import_Export!$R77+B$14*GREET1_Import_Export!$F151+GREET1_Import_Export!$G$179*GREET1_Import_Export!$B191+GREET1_Import_Export!$G191)+B$39*(B$10*GREET1_Import_Export!$B77+B$11*GREET1_Import_Export!$C77+GREET1_Import_Export!$B227)+B$40*(B$12*GREET1_Import_Export!$AA77+GREET1_Import_Export!$B295)+B$41*GREET1_Import_Export!$M353+(MMULT($B131:$M131+0,B$42:B$53+0))</f>
        <v>108.38627847474432</v>
      </c>
      <c r="D66" s="348">
        <f>($B$38*1000000/GREET1_Import_Export!$B$32*GREET1_Import_Export!$E$32/1000/907.2)*'GREET2_Factors_T&amp;D'!L65</f>
        <v>1.1089254929640129</v>
      </c>
      <c r="E66" s="347">
        <f t="array" aca="1" ref="E66" ca="1">E$37*(C$9*GREET1_Import_Export!$K77+GREET1_Import_Export!$F$179*GREET1_Import_Export!$B191+GREET1_Import_Export!$F191)+E$38*(C$13*GREET1_Import_Export!$R77+C$14*GREET1_Import_Export!$O77+GREET1_Import_Export!$H$179*GREET1_Import_Export!$B191+GREET1_Import_Export!$H191)+E$39*(C$10*GREET1_Import_Export!$B77+C$11*GREET1_Import_Export!$C77+GREET1_Import_Export!$B227)+E$40*(C$12*GREET1_Import_Export!$AA77+GREET1_Import_Export!$B295)+E$41*GREET1_Import_Export!$M353+(MMULT($B131:$M131+0,E$42:E$53+0))</f>
        <v>40278.247855228823</v>
      </c>
      <c r="F66" s="349">
        <f>IF($A$3=1,AE56,AF56)</f>
        <v>6575.04</v>
      </c>
      <c r="G66" s="348">
        <f>$E$42*('GREET2_Factors_T&amp;D'!M65+'GREET2_Factors_T&amp;D'!N65)+$E$44*'GREET2_Factors_T&amp;D'!O65+$E$45*'GREET2_Factors_T&amp;D'!P65+$E$46*'GREET2_Factors_T&amp;D'!Q65</f>
        <v>11.970303245098968</v>
      </c>
      <c r="H66" s="347">
        <f t="array" aca="1" ref="H66" ca="1">H$37*(D$9*GREET1_Import_Export!$K77+GREET1_Import_Export!$F$179*GREET1_Import_Export!$B191+GREET1_Import_Export!$F191)+H$38*(D$13*GREET1_Import_Export!$R77+D$14*GREET1_Import_Export!$O77+GREET1_Import_Export!$H$179*GREET1_Import_Export!$B191+GREET1_Import_Export!$H191)+H$39*(D$10*GREET1_Import_Export!$B77+D$11*GREET1_Import_Export!$C77+GREET1_Import_Export!$B227)+H$40*(D$12*GREET1_Import_Export!$AA77+GREET1_Import_Export!$B295)
+H$41*($B$22*(GREET1_Import_Export!B320+GREET1_Import_Export!C320)+$C$22*GREET1_Import_Export!$L353+SUMPRODUCT($D$22:$F$22,GREET1_Import_Export!N353:P353))
+(MMULT($B131:$M131+0,H$42:H$53+0))</f>
        <v>10728.815210981229</v>
      </c>
      <c r="J66" s="348">
        <f>1/$B$18*('GREET2_Factors_T&amp;D'!R65+'GREET2_Factors_T&amp;D'!S65)</f>
        <v>1830.3453020000932</v>
      </c>
      <c r="K66" s="347">
        <f t="array" aca="1" ref="K66" ca="1">K$37*(E$9*GREET1_Import_Export!$K77+GREET1_Import_Export!$F$179*GREET1_Import_Export!$B191+GREET1_Import_Export!$F191)+K$38*(E$13*GREET1_Import_Export!$R77+E$14*GREET1_Import_Export!$O77+GREET1_Import_Export!$H$179*GREET1_Import_Export!$B191+GREET1_Import_Export!$H191)+K$39*(E$10*GREET1_Import_Export!$B77+E$11*GREET1_Import_Export!$C77+GREET1_Import_Export!$B227)+K$40*(E$12*GREET1_Import_Export!$AA77+GREET1_Import_Export!$B295)+K$41*GREET1_Import_Export!$L353+(MMULT($B131:$M131+0,K$42:K$53+0))</f>
        <v>1000.301586449214</v>
      </c>
      <c r="M66" s="348"/>
      <c r="N66" s="347">
        <f t="array" aca="1" ref="N66" ca="1">N$37*(F$9*GREET1_Import_Export!$K77+GREET1_Import_Export!$F$179*GREET1_Import_Export!$B191+GREET1_Import_Export!$F191)+N$38*(F$13*GREET1_Import_Export!$R77+F$14*GREET1_Import_Export!$O77+GREET1_Import_Export!$H$179*GREET1_Import_Export!$B191+GREET1_Import_Export!$H191)+N$39*(F$10*GREET1_Import_Export!$B77+F$11*GREET1_Import_Export!$C77+GREET1_Import_Export!$B227)+N$40*(F$12*GREET1_Import_Export!$AA77+GREET1_Import_Export!$B295)+N$41*GREET1_Import_Export!$L353+(MMULT($B131:$M131+0,N$42:N$53+0))</f>
        <v>2163.7120989581431</v>
      </c>
      <c r="P66" s="348"/>
      <c r="Q66" s="347">
        <f t="array" aca="1" ref="Q66" ca="1">Q$37*(G$9*GREET1_Import_Export!$K77+GREET1_Import_Export!$F$179*GREET1_Import_Export!$B191+GREET1_Import_Export!$F191)+Q$38*(G$13*GREET1_Import_Export!$R77+G$14*GREET1_Import_Export!$O77+GREET1_Import_Export!$H$179*GREET1_Import_Export!$B191+GREET1_Import_Export!$H191)+Q$39*(G$10*GREET1_Import_Export!$B77+G$11*GREET1_Import_Export!$C77+GREET1_Import_Export!$B227)+Q$40*(G$12*GREET1_Import_Export!$AA77+GREET1_Import_Export!$B295)+Q$41*(GREET1_Import_Export!$B320+GREET1_Import_Export!$C320)+(MMULT(B131:M131+0,$Q$42:$Q$53+0))</f>
        <v>13.953514978866476</v>
      </c>
      <c r="R66" s="1158">
        <v>55615</v>
      </c>
      <c r="S66" s="348"/>
      <c r="T66" s="347">
        <f t="array" aca="1" ref="T66" ca="1">T$37*(H$9*GREET1_Import_Export!$K77+GREET1_Import_Export!$F$179*GREET1_Import_Export!$B191+GREET1_Import_Export!$F191)+T$38*(H$13*GREET1_Import_Export!$R77+H$14*GREET1_Import_Export!$O77+GREET1_Import_Export!$H$179*GREET1_Import_Export!$B191+GREET1_Import_Export!$H191)+T$39*(H$10*GREET1_Import_Export!$B77+H$11*GREET1_Import_Export!$C77+GREET1_Import_Export!$B227)+T$40*(H$12*GREET1_Import_Export!$AA77+GREET1_Import_Export!$B295)+T$41*(GREET1_Import_Export!$B320+GREET1_Import_Export!$C320)+(MMULT(B131:M131+0,$T$42:$T$53+0))</f>
        <v>330.91938276207719</v>
      </c>
      <c r="V66" s="348"/>
      <c r="W66" s="347">
        <f t="array" aca="1" ref="W66" ca="1">W$37*(I$9*GREET1_Import_Export!$K77+GREET1_Import_Export!$F$179*GREET1_Import_Export!$B191+GREET1_Import_Export!$F191)+W$38*(I$13*GREET1_Import_Export!$R77+I$14*GREET1_Import_Export!$O77+GREET1_Import_Export!$H$179*GREET1_Import_Export!$B191+GREET1_Import_Export!$H191)+W$39*(I$10*GREET1_Import_Export!$B77+I$11*GREET1_Import_Export!$C77+GREET1_Import_Export!$B227)+W$40*(I$12*GREET1_Import_Export!$AA77+GREET1_Import_Export!$B295)+W$41*(GREET1_Import_Export!$B320+GREET1_Import_Export!$C320)+(MMULT(B131:M131+0,$W$42:$W$53+0))</f>
        <v>143.36550980103442</v>
      </c>
      <c r="Y66" s="348"/>
      <c r="Z66" s="1321"/>
    </row>
    <row r="67" spans="1:26" s="349" customFormat="1">
      <c r="A67" s="749" t="s">
        <v>827</v>
      </c>
      <c r="B67" s="347">
        <f t="array" aca="1" ref="B67" ca="1">B$37*(B$9*GREET1_Import_Export!$K78+GREET1_Import_Export!$F$179*GREET1_Import_Export!$B192+GREET1_Import_Export!$F192)+B$38*(B$13*GREET1_Import_Export!$R78+B$14*GREET1_Import_Export!$F152+GREET1_Import_Export!$G$179*GREET1_Import_Export!$B192+GREET1_Import_Export!$G192)+B$39*(B$10*GREET1_Import_Export!$B78+B$11*GREET1_Import_Export!$C78+GREET1_Import_Export!$B228)+B$40*(B$12*GREET1_Import_Export!$AA78+GREET1_Import_Export!$B296)+B$41*GREET1_Import_Export!$M354+(MMULT($B132:$M132+0,B$42:B$53+0))</f>
        <v>201.32901211281805</v>
      </c>
      <c r="D67" s="348">
        <f>($B$38*1000000/GREET1_Import_Export!$B$32*GREET1_Import_Export!$E$32/1000/907.2)*'GREET2_Factors_T&amp;D'!L66</f>
        <v>4.4369917838462544E-2</v>
      </c>
      <c r="E67" s="347">
        <f t="array" aca="1" ref="E67" ca="1">E$37*(C$9*GREET1_Import_Export!$K78+GREET1_Import_Export!$F$179*GREET1_Import_Export!$B192+GREET1_Import_Export!$F192)+E$38*(C$13*GREET1_Import_Export!$R78+C$14*GREET1_Import_Export!$O78+GREET1_Import_Export!$H$179*GREET1_Import_Export!$B192+GREET1_Import_Export!$H192)+E$39*(C$10*GREET1_Import_Export!$B78+C$11*GREET1_Import_Export!$C78+GREET1_Import_Export!$B228)+E$40*(C$12*GREET1_Import_Export!$AA78+GREET1_Import_Export!$B296)+E$41*GREET1_Import_Export!$M354+(MMULT($B132:$M132+0,E$42:E$53+0))</f>
        <v>9.5225612607774508</v>
      </c>
      <c r="G67" s="348">
        <f>$E$42*('GREET2_Factors_T&amp;D'!M66+'GREET2_Factors_T&amp;D'!N66)+$E$44*'GREET2_Factors_T&amp;D'!O66+$E$45*'GREET2_Factors_T&amp;D'!P66+$E$46*'GREET2_Factors_T&amp;D'!Q66</f>
        <v>0.60148850286557132</v>
      </c>
      <c r="H67" s="347">
        <f t="array" aca="1" ref="H67" ca="1">H$37*(D$9*GREET1_Import_Export!$K78+GREET1_Import_Export!$F$179*GREET1_Import_Export!$B192+GREET1_Import_Export!$F192)+H$38*(D$13*GREET1_Import_Export!$R78+D$14*GREET1_Import_Export!$O78+GREET1_Import_Export!$H$179*GREET1_Import_Export!$B192+GREET1_Import_Export!$H192)+H$39*(D$10*GREET1_Import_Export!$B78+D$11*GREET1_Import_Export!$C78+GREET1_Import_Export!$B228)+H$40*(D$12*GREET1_Import_Export!$AA78+GREET1_Import_Export!$B296)
+H$41*($B$22*(GREET1_Import_Export!B321+GREET1_Import_Export!C321)+$C$22*GREET1_Import_Export!$L354+SUMPRODUCT($D$22:$F$22,GREET1_Import_Export!N354:P354))
+(MMULT($B132:$M132+0,H$42:H$53+0))</f>
        <v>80.36283709357447</v>
      </c>
      <c r="J67" s="348">
        <f>1/$B$18*('GREET2_Factors_T&amp;D'!R66+'GREET2_Factors_T&amp;D'!S66)</f>
        <v>32.178173264493275</v>
      </c>
      <c r="K67" s="347">
        <f t="array" aca="1" ref="K67" ca="1">K$37*(E$9*GREET1_Import_Export!$K78+GREET1_Import_Export!$F$179*GREET1_Import_Export!$B192+GREET1_Import_Export!$F192)+K$38*(E$13*GREET1_Import_Export!$R78+E$14*GREET1_Import_Export!$O78+GREET1_Import_Export!$H$179*GREET1_Import_Export!$B192+GREET1_Import_Export!$H192)+K$39*(E$10*GREET1_Import_Export!$B78+E$11*GREET1_Import_Export!$C78+GREET1_Import_Export!$B228)+K$40*(E$12*GREET1_Import_Export!$AA78+GREET1_Import_Export!$B296)+K$41*GREET1_Import_Export!$L354+(MMULT($B132:$M132+0,K$42:K$53+0))</f>
        <v>25.149806449361787</v>
      </c>
      <c r="M67" s="348"/>
      <c r="N67" s="347">
        <f t="array" aca="1" ref="N67" ca="1">N$37*(F$9*GREET1_Import_Export!$K78+GREET1_Import_Export!$F$179*GREET1_Import_Export!$B192+GREET1_Import_Export!$F192)+N$38*(F$13*GREET1_Import_Export!$R78+F$14*GREET1_Import_Export!$O78+GREET1_Import_Export!$H$179*GREET1_Import_Export!$B192+GREET1_Import_Export!$H192)+N$39*(F$10*GREET1_Import_Export!$B78+F$11*GREET1_Import_Export!$C78+GREET1_Import_Export!$B228)+N$40*(F$12*GREET1_Import_Export!$AA78+GREET1_Import_Export!$B296)+N$41*GREET1_Import_Export!$L354+(MMULT($B132:$M132+0,N$42:N$53+0))</f>
        <v>7.5541230327248874</v>
      </c>
      <c r="P67" s="348"/>
      <c r="Q67" s="347">
        <f t="array" aca="1" ref="Q67" ca="1">Q$37*(G$9*GREET1_Import_Export!$K78+GREET1_Import_Export!$F$179*GREET1_Import_Export!$B192+GREET1_Import_Export!$F192)+Q$38*(G$13*GREET1_Import_Export!$R78+G$14*GREET1_Import_Export!$O78+GREET1_Import_Export!$H$179*GREET1_Import_Export!$B192+GREET1_Import_Export!$H192)+Q$39*(G$10*GREET1_Import_Export!$B78+G$11*GREET1_Import_Export!$C78+GREET1_Import_Export!$B228)+Q$40*(G$12*GREET1_Import_Export!$AA78+GREET1_Import_Export!$B296)+Q$41*(GREET1_Import_Export!$B321+GREET1_Import_Export!$C321)+(MMULT(B132:M132+0,$Q$42:$Q$53+0))</f>
        <v>0.14943980419068256</v>
      </c>
      <c r="S67" s="348"/>
      <c r="T67" s="347">
        <f t="array" aca="1" ref="T67" ca="1">T$37*(H$9*GREET1_Import_Export!$K78+GREET1_Import_Export!$F$179*GREET1_Import_Export!$B192+GREET1_Import_Export!$F192)+T$38*(H$13*GREET1_Import_Export!$R78+H$14*GREET1_Import_Export!$O78+GREET1_Import_Export!$H$179*GREET1_Import_Export!$B192+GREET1_Import_Export!$H192)+T$39*(H$10*GREET1_Import_Export!$B78+H$11*GREET1_Import_Export!$C78+GREET1_Import_Export!$B228)+T$40*(H$12*GREET1_Import_Export!$AA78+GREET1_Import_Export!$B296)+T$41*(GREET1_Import_Export!$B321+GREET1_Import_Export!$C321)+(MMULT(B132:M132+0,$T$42:$T$53+0))</f>
        <v>4.7847084179461765</v>
      </c>
      <c r="V67" s="348"/>
      <c r="W67" s="347">
        <f t="array" aca="1" ref="W67" ca="1">W$37*(I$9*GREET1_Import_Export!$K78+GREET1_Import_Export!$F$179*GREET1_Import_Export!$B192+GREET1_Import_Export!$F192)+W$38*(I$13*GREET1_Import_Export!$R78+I$14*GREET1_Import_Export!$O78+GREET1_Import_Export!$H$179*GREET1_Import_Export!$B192+GREET1_Import_Export!$H192)+W$39*(I$10*GREET1_Import_Export!$B78+I$11*GREET1_Import_Export!$C78+GREET1_Import_Export!$B228)+W$40*(I$12*GREET1_Import_Export!$AA78+GREET1_Import_Export!$B296)+W$41*(GREET1_Import_Export!$B321+GREET1_Import_Export!$C321)+(MMULT(B132:M132+0,$W$42:$W$53+0))</f>
        <v>2.8453997105687798</v>
      </c>
      <c r="Y67" s="348"/>
      <c r="Z67" s="1321"/>
    </row>
    <row r="68" spans="1:26" s="349" customFormat="1">
      <c r="A68" s="749" t="s">
        <v>828</v>
      </c>
      <c r="B68" s="347">
        <f t="array" aca="1" ref="B68" ca="1">B$37*(B$9*GREET1_Import_Export!$K79+GREET1_Import_Export!$F$179*GREET1_Import_Export!$B193+GREET1_Import_Export!$F193)+B$38*(B$13*GREET1_Import_Export!$R79+B$14*GREET1_Import_Export!$F153+GREET1_Import_Export!$G$179*GREET1_Import_Export!$B193+GREET1_Import_Export!$G193)+B$39*(B$10*GREET1_Import_Export!$B79+B$11*GREET1_Import_Export!$C79+GREET1_Import_Export!$B229)+B$40*(B$12*GREET1_Import_Export!$AA79+GREET1_Import_Export!$B297)+B$41*GREET1_Import_Export!$M355+(MMULT($B133:$M133+0,B$42:B$53+0))</f>
        <v>60.474477636144336</v>
      </c>
      <c r="D68" s="348">
        <f>($B$38*1000000/GREET1_Import_Export!$B$32*GREET1_Import_Export!$E$32/1000/907.2)*'GREET2_Factors_T&amp;D'!L67</f>
        <v>7.872444860155714E-2</v>
      </c>
      <c r="E68" s="347">
        <f t="array" aca="1" ref="E68" ca="1">E$37*(C$9*GREET1_Import_Export!$K79+GREET1_Import_Export!$F$179*GREET1_Import_Export!$B193+GREET1_Import_Export!$F193)+E$38*(C$13*GREET1_Import_Export!$R79+C$14*GREET1_Import_Export!$O79+GREET1_Import_Export!$H$179*GREET1_Import_Export!$B193+GREET1_Import_Export!$H193)+E$39*(C$10*GREET1_Import_Export!$B79+C$11*GREET1_Import_Export!$C79+GREET1_Import_Export!$B229)+E$40*(C$12*GREET1_Import_Export!$AA79+GREET1_Import_Export!$B297)+E$41*GREET1_Import_Export!$M355+(MMULT($B133:$M133+0,E$42:E$53+0))</f>
        <v>21.952959093426799</v>
      </c>
      <c r="G68" s="348">
        <f>$E$42*('GREET2_Factors_T&amp;D'!M67+'GREET2_Factors_T&amp;D'!N67)+$E$44*'GREET2_Factors_T&amp;D'!O67+$E$45*'GREET2_Factors_T&amp;D'!P67+$E$46*'GREET2_Factors_T&amp;D'!Q67</f>
        <v>2.2836065267073522</v>
      </c>
      <c r="H68" s="347">
        <f t="array" aca="1" ref="H68" ca="1">H$37*(D$9*GREET1_Import_Export!$K79+GREET1_Import_Export!$F$179*GREET1_Import_Export!$B193+GREET1_Import_Export!$F193)+H$38*(D$13*GREET1_Import_Export!$R79+D$14*GREET1_Import_Export!$O79+GREET1_Import_Export!$H$179*GREET1_Import_Export!$B193+GREET1_Import_Export!$H193)+H$39*(D$10*GREET1_Import_Export!$B79+D$11*GREET1_Import_Export!$C79+GREET1_Import_Export!$B229)+H$40*(D$12*GREET1_Import_Export!$AA79+GREET1_Import_Export!$B297)
+H$41*($B$22*(GREET1_Import_Export!B322+GREET1_Import_Export!C322)+$C$22*GREET1_Import_Export!$L355+SUMPRODUCT($D$22:$F$22,GREET1_Import_Export!N355:P355))
+(MMULT($B133:$M133+0,H$42:H$53+0))</f>
        <v>220.04669186589371</v>
      </c>
      <c r="J68" s="348">
        <f>1/$B$18*('GREET2_Factors_T&amp;D'!R67+'GREET2_Factors_T&amp;D'!S67)</f>
        <v>82.952865961967845</v>
      </c>
      <c r="K68" s="347">
        <f t="array" aca="1" ref="K68" ca="1">K$37*(E$9*GREET1_Import_Export!$K79+GREET1_Import_Export!$F$179*GREET1_Import_Export!$B193+GREET1_Import_Export!$F193)+K$38*(E$13*GREET1_Import_Export!$R79+E$14*GREET1_Import_Export!$O79+GREET1_Import_Export!$H$179*GREET1_Import_Export!$B193+GREET1_Import_Export!$H193)+K$39*(E$10*GREET1_Import_Export!$B79+E$11*GREET1_Import_Export!$C79+GREET1_Import_Export!$B229)+K$40*(E$12*GREET1_Import_Export!$AA79+GREET1_Import_Export!$B297)+K$41*GREET1_Import_Export!$L355+(MMULT($B133:$M133+0,K$42:K$53+0))</f>
        <v>64.868116944933519</v>
      </c>
      <c r="M68" s="348"/>
      <c r="N68" s="347">
        <f t="array" aca="1" ref="N68" ca="1">N$37*(F$9*GREET1_Import_Export!$K79+GREET1_Import_Export!$F$179*GREET1_Import_Export!$B193+GREET1_Import_Export!$F193)+N$38*(F$13*GREET1_Import_Export!$R79+F$14*GREET1_Import_Export!$O79+GREET1_Import_Export!$H$179*GREET1_Import_Export!$B193+GREET1_Import_Export!$H193)+N$39*(F$10*GREET1_Import_Export!$B79+F$11*GREET1_Import_Export!$C79+GREET1_Import_Export!$B229)+N$40*(F$12*GREET1_Import_Export!$AA79+GREET1_Import_Export!$B297)+N$41*GREET1_Import_Export!$L355+(MMULT($B133:$M133+0,N$42:N$53+0))</f>
        <v>15.194710801914805</v>
      </c>
      <c r="P68" s="348"/>
      <c r="Q68" s="347">
        <f t="array" aca="1" ref="Q68" ca="1">Q$37*(G$9*GREET1_Import_Export!$K79+GREET1_Import_Export!$F$179*GREET1_Import_Export!$B193+GREET1_Import_Export!$F193)+Q$38*(G$13*GREET1_Import_Export!$R79+G$14*GREET1_Import_Export!$O79+GREET1_Import_Export!$H$179*GREET1_Import_Export!$B193+GREET1_Import_Export!$H193)+Q$39*(G$10*GREET1_Import_Export!$B79+G$11*GREET1_Import_Export!$C79+GREET1_Import_Export!$B229)+Q$40*(G$12*GREET1_Import_Export!$AA79+GREET1_Import_Export!$B297)+Q$41*(GREET1_Import_Export!$B322+GREET1_Import_Export!$C322)+(MMULT(B133:M133+0,$Q$42:$Q$53+0))</f>
        <v>0.57379940397109563</v>
      </c>
      <c r="S68" s="348"/>
      <c r="T68" s="347">
        <f t="array" aca="1" ref="T68" ca="1">T$37*(H$9*GREET1_Import_Export!$K79+GREET1_Import_Export!$F$179*GREET1_Import_Export!$B193+GREET1_Import_Export!$F193)+T$38*(H$13*GREET1_Import_Export!$R79+H$14*GREET1_Import_Export!$O79+GREET1_Import_Export!$H$179*GREET1_Import_Export!$B193+GREET1_Import_Export!$H193)+T$39*(H$10*GREET1_Import_Export!$B79+H$11*GREET1_Import_Export!$C79+GREET1_Import_Export!$B229)+T$40*(H$12*GREET1_Import_Export!$AA79+GREET1_Import_Export!$B297)+T$41*(GREET1_Import_Export!$B322+GREET1_Import_Export!$C322)+(MMULT(B133:M133+0,$T$42:$T$53+0))</f>
        <v>14.21449830942527</v>
      </c>
      <c r="V68" s="348"/>
      <c r="W68" s="347">
        <f t="array" aca="1" ref="W68" ca="1">W$37*(I$9*GREET1_Import_Export!$K79+GREET1_Import_Export!$F$179*GREET1_Import_Export!$B193+GREET1_Import_Export!$F193)+W$38*(I$13*GREET1_Import_Export!$R79+I$14*GREET1_Import_Export!$O79+GREET1_Import_Export!$H$179*GREET1_Import_Export!$B193+GREET1_Import_Export!$H193)+W$39*(I$10*GREET1_Import_Export!$B79+I$11*GREET1_Import_Export!$C79+GREET1_Import_Export!$B229)+W$40*(I$12*GREET1_Import_Export!$AA79+GREET1_Import_Export!$B297)+W$41*(GREET1_Import_Export!$B322+GREET1_Import_Export!$C322)+(MMULT(B133:M133+0,$W$42:$W$53+0))</f>
        <v>6.8645340025942909</v>
      </c>
      <c r="Y68" s="348"/>
      <c r="Z68" s="1321"/>
    </row>
    <row r="69" spans="1:26" s="349" customFormat="1">
      <c r="A69" s="347" t="s">
        <v>829</v>
      </c>
      <c r="B69" s="347">
        <f t="array" aca="1" ref="B69" ca="1">B$37*(B$9*GREET1_Import_Export!$K80+GREET1_Import_Export!$F$179*GREET1_Import_Export!$B194+GREET1_Import_Export!$F194)+B$38*(B$13*GREET1_Import_Export!$R80+B$14*GREET1_Import_Export!$F154+GREET1_Import_Export!$G$179*GREET1_Import_Export!$B194+GREET1_Import_Export!$G194)+B$39*(B$10*GREET1_Import_Export!$B80+B$11*GREET1_Import_Export!$C80+GREET1_Import_Export!$B230)+B$40*(B$12*GREET1_Import_Export!$AA80+GREET1_Import_Export!$B298)+B$41*GREET1_Import_Export!$M356+(MMULT($B134:$M134+0,B$42:B$53+0))</f>
        <v>2405.7314644270441</v>
      </c>
      <c r="D69" s="348">
        <f>($B$38*1000000/GREET1_Import_Export!$B$32*GREET1_Import_Export!$E$32/1000/907.2)*'GREET2_Factors_T&amp;D'!L68</f>
        <v>23.791097955051548</v>
      </c>
      <c r="E69" s="347">
        <f t="array" aca="1" ref="E69" ca="1">E$37*(C$9*GREET1_Import_Export!$K80+GREET1_Import_Export!$F$179*GREET1_Import_Export!$B194+GREET1_Import_Export!$F194)+E$38*(C$13*GREET1_Import_Export!$R80+C$14*GREET1_Import_Export!$O80+GREET1_Import_Export!$H$179*GREET1_Import_Export!$B194+GREET1_Import_Export!$H194)+E$39*(C$10*GREET1_Import_Export!$B80+C$11*GREET1_Import_Export!$C80+GREET1_Import_Export!$B230)+E$40*(C$12*GREET1_Import_Export!$AA80+GREET1_Import_Export!$B298)+E$41*GREET1_Import_Export!$M356+(MMULT($B134:$M134+0,E$42:E$53+0))</f>
        <v>2438.747603307635</v>
      </c>
      <c r="G69" s="348">
        <f>$E$42*('GREET2_Factors_T&amp;D'!M68+'GREET2_Factors_T&amp;D'!N68)+$E$44*'GREET2_Factors_T&amp;D'!O68+$E$45*'GREET2_Factors_T&amp;D'!P68+$E$46*'GREET2_Factors_T&amp;D'!Q68</f>
        <v>258.10827093374417</v>
      </c>
      <c r="H69" s="347">
        <f t="array" aca="1" ref="H69" ca="1">H$37*(D$9*GREET1_Import_Export!$K80+GREET1_Import_Export!$F$179*GREET1_Import_Export!$B194+GREET1_Import_Export!$F194)+H$38*(D$13*GREET1_Import_Export!$R80+D$14*GREET1_Import_Export!$O80+GREET1_Import_Export!$H$179*GREET1_Import_Export!$B194+GREET1_Import_Export!$H194)+H$39*(D$10*GREET1_Import_Export!$B80+D$11*GREET1_Import_Export!$C80+GREET1_Import_Export!$B230)+H$40*(D$12*GREET1_Import_Export!$AA80+GREET1_Import_Export!$B298)
+H$41*($B$22*(GREET1_Import_Export!B323+GREET1_Import_Export!C323)+$C$22*GREET1_Import_Export!$L356+SUMPRODUCT($D$22:$F$22,GREET1_Import_Export!N356:P356))
+(MMULT($B134:$M134+0,H$42:H$53+0))</f>
        <v>28942.122433804754</v>
      </c>
      <c r="J69" s="348">
        <f>1/$B$18*('GREET2_Factors_T&amp;D'!R68+'GREET2_Factors_T&amp;D'!S68)</f>
        <v>509.55599581259679</v>
      </c>
      <c r="K69" s="347">
        <f t="array" aca="1" ref="K69" ca="1">K$37*(E$9*GREET1_Import_Export!$K80+GREET1_Import_Export!$F$179*GREET1_Import_Export!$B194+GREET1_Import_Export!$F194)+K$38*(E$13*GREET1_Import_Export!$R80+E$14*GREET1_Import_Export!$O80+GREET1_Import_Export!$H$179*GREET1_Import_Export!$B194+GREET1_Import_Export!$H194)+K$39*(E$10*GREET1_Import_Export!$B80+E$11*GREET1_Import_Export!$C80+GREET1_Import_Export!$B230)+K$40*(E$12*GREET1_Import_Export!$AA80+GREET1_Import_Export!$B298)+K$41*GREET1_Import_Export!$L356+(MMULT($B134:$M134+0,K$42:K$53+0))</f>
        <v>9520.1433344489542</v>
      </c>
      <c r="M69" s="348"/>
      <c r="N69" s="347">
        <f t="array" aca="1" ref="N69" ca="1">N$37*(F$9*GREET1_Import_Export!$K80+GREET1_Import_Export!$F$179*GREET1_Import_Export!$B194+GREET1_Import_Export!$F194)+N$38*(F$13*GREET1_Import_Export!$R80+F$14*GREET1_Import_Export!$O80+GREET1_Import_Export!$H$179*GREET1_Import_Export!$B194+GREET1_Import_Export!$H194)+N$39*(F$10*GREET1_Import_Export!$B80+F$11*GREET1_Import_Export!$C80+GREET1_Import_Export!$B230)+N$40*(F$12*GREET1_Import_Export!$AA80+GREET1_Import_Export!$B298)+N$41*GREET1_Import_Export!$L356+(MMULT($B134:$M134+0,N$42:N$53+0))</f>
        <v>3803.0659208241946</v>
      </c>
      <c r="P69" s="348"/>
      <c r="Q69" s="347">
        <f t="array" aca="1" ref="Q69" ca="1">Q$37*(G$9*GREET1_Import_Export!$K80+GREET1_Import_Export!$F$179*GREET1_Import_Export!$B194+GREET1_Import_Export!$F194)+Q$38*(G$13*GREET1_Import_Export!$R80+G$14*GREET1_Import_Export!$O80+GREET1_Import_Export!$H$179*GREET1_Import_Export!$B194+GREET1_Import_Export!$H194)+Q$39*(G$10*GREET1_Import_Export!$B80+G$11*GREET1_Import_Export!$C80+GREET1_Import_Export!$B230)+Q$40*(G$12*GREET1_Import_Export!$AA80+GREET1_Import_Export!$B298)+Q$41*(GREET1_Import_Export!$B323+GREET1_Import_Export!$C323)+(MMULT(B134:M134+0,$Q$42:$Q$53+0))</f>
        <v>72.508320445845769</v>
      </c>
      <c r="S69" s="348"/>
      <c r="T69" s="347">
        <f t="array" aca="1" ref="T69" ca="1">T$37*(H$9*GREET1_Import_Export!$K80+GREET1_Import_Export!$F$179*GREET1_Import_Export!$B194+GREET1_Import_Export!$F194)+T$38*(H$13*GREET1_Import_Export!$R80+H$14*GREET1_Import_Export!$O80+GREET1_Import_Export!$H$179*GREET1_Import_Export!$B194+GREET1_Import_Export!$H194)+T$39*(H$10*GREET1_Import_Export!$B80+H$11*GREET1_Import_Export!$C80+GREET1_Import_Export!$B230)+T$40*(H$12*GREET1_Import_Export!$AA80+GREET1_Import_Export!$B298)+T$41*(GREET1_Import_Export!$B323+GREET1_Import_Export!$C323)+(MMULT(B134:M134+0,$T$42:$T$53+0))</f>
        <v>1850.21358995128</v>
      </c>
      <c r="V69" s="348"/>
      <c r="W69" s="347">
        <f t="array" aca="1" ref="W69" ca="1">W$37*(I$9*GREET1_Import_Export!$K80+GREET1_Import_Export!$F$179*GREET1_Import_Export!$B194+GREET1_Import_Export!$F194)+W$38*(I$13*GREET1_Import_Export!$R80+I$14*GREET1_Import_Export!$O80+GREET1_Import_Export!$H$179*GREET1_Import_Export!$B194+GREET1_Import_Export!$H194)+W$39*(I$10*GREET1_Import_Export!$B80+I$11*GREET1_Import_Export!$C80+GREET1_Import_Export!$B230)+W$40*(I$12*GREET1_Import_Export!$AA80+GREET1_Import_Export!$B298)+W$41*(GREET1_Import_Export!$B323+GREET1_Import_Export!$C323)+(MMULT(B134:M134+0,$W$42:$W$53+0))</f>
        <v>1431.5670438946277</v>
      </c>
      <c r="Y69" s="348"/>
      <c r="Z69" s="1321"/>
    </row>
    <row r="70" spans="1:26" s="349" customFormat="1">
      <c r="A70" s="347" t="s">
        <v>830</v>
      </c>
      <c r="B70" s="347">
        <f t="array" aca="1" ref="B70" ca="1">B$37*(B$9*GREET1_Import_Export!$K81+GREET1_Import_Export!$F$179*GREET1_Import_Export!$B195+GREET1_Import_Export!$F195)+B$38*(B$13*GREET1_Import_Export!$R81+B$14*GREET1_Import_Export!$F155+GREET1_Import_Export!$G$179*GREET1_Import_Export!$B195+GREET1_Import_Export!$G195)+B$39*(B$10*GREET1_Import_Export!$B81+B$11*GREET1_Import_Export!$C81+GREET1_Import_Export!$B231)+B$40*(B$12*GREET1_Import_Export!$AA81+GREET1_Import_Export!$B299)+B$41*GREET1_Import_Export!$M357+(MMULT($B135:$M135+0,B$42:B$53+0))</f>
        <v>48.372941744300689</v>
      </c>
      <c r="D70" s="348">
        <f>($B$38*1000000/GREET1_Import_Export!$B$32*GREET1_Import_Export!$E$32/1000/907.2)*'GREET2_Factors_T&amp;D'!L69</f>
        <v>7.3633978748429293E-2</v>
      </c>
      <c r="E70" s="347">
        <f t="array" aca="1" ref="E70" ca="1">E$37*(C$9*GREET1_Import_Export!$K81+GREET1_Import_Export!$F$179*GREET1_Import_Export!$B195+GREET1_Import_Export!$F195)+E$38*(C$13*GREET1_Import_Export!$R81+C$14*GREET1_Import_Export!$O81+GREET1_Import_Export!$H$179*GREET1_Import_Export!$B195+GREET1_Import_Export!$H195)+E$39*(C$10*GREET1_Import_Export!$B81+C$11*GREET1_Import_Export!$C81+GREET1_Import_Export!$B231)+E$40*(C$12*GREET1_Import_Export!$AA81+GREET1_Import_Export!$B299)+E$41*GREET1_Import_Export!$M357+(MMULT($B135:$M135+0,E$42:E$53+0))</f>
        <v>20.483616938165063</v>
      </c>
      <c r="G70" s="348">
        <f>$E$42*('GREET2_Factors_T&amp;D'!M69+'GREET2_Factors_T&amp;D'!N69)+$E$44*'GREET2_Factors_T&amp;D'!O69+$E$45*'GREET2_Factors_T&amp;D'!P69+$E$46*'GREET2_Factors_T&amp;D'!Q69</f>
        <v>1.2689562733194333</v>
      </c>
      <c r="H70" s="347">
        <f t="array" aca="1" ref="H70" ca="1">H$37*(D$9*GREET1_Import_Export!$K81+GREET1_Import_Export!$F$179*GREET1_Import_Export!$B195+GREET1_Import_Export!$F195)+H$38*(D$13*GREET1_Import_Export!$R81+D$14*GREET1_Import_Export!$O81+GREET1_Import_Export!$H$179*GREET1_Import_Export!$B195+GREET1_Import_Export!$H195)+H$39*(D$10*GREET1_Import_Export!$B81+D$11*GREET1_Import_Export!$C81+GREET1_Import_Export!$B231)+H$40*(D$12*GREET1_Import_Export!$AA81+GREET1_Import_Export!$B299)
+H$41*($B$22*(GREET1_Import_Export!B324+GREET1_Import_Export!C324)+$C$22*GREET1_Import_Export!$L357+SUMPRODUCT($D$22:$F$22,GREET1_Import_Export!N357:P357))
+(MMULT($B135:$M135+0,H$42:H$53+0))</f>
        <v>284.32908752957803</v>
      </c>
      <c r="J70" s="348">
        <f>1/$B$18*('GREET2_Factors_T&amp;D'!R69+'GREET2_Factors_T&amp;D'!S69)</f>
        <v>3.8337099561730925</v>
      </c>
      <c r="K70" s="347">
        <f t="array" aca="1" ref="K70" ca="1">K$37*(E$9*GREET1_Import_Export!$K81+GREET1_Import_Export!$F$179*GREET1_Import_Export!$B195+GREET1_Import_Export!$F195)+K$38*(E$13*GREET1_Import_Export!$R81+E$14*GREET1_Import_Export!$O81+GREET1_Import_Export!$H$179*GREET1_Import_Export!$B195+GREET1_Import_Export!$H195)+K$39*(E$10*GREET1_Import_Export!$B81+E$11*GREET1_Import_Export!$C81+GREET1_Import_Export!$B231)+K$40*(E$12*GREET1_Import_Export!$AA81+GREET1_Import_Export!$B299)+K$41*GREET1_Import_Export!$L357+(MMULT($B135:$M135+0,K$42:K$53+0))</f>
        <v>84.22775816144275</v>
      </c>
      <c r="M70" s="348"/>
      <c r="N70" s="347">
        <f t="array" aca="1" ref="N70" ca="1">N$37*(F$9*GREET1_Import_Export!$K81+GREET1_Import_Export!$F$179*GREET1_Import_Export!$B195+GREET1_Import_Export!$F195)+N$38*(F$13*GREET1_Import_Export!$R81+F$14*GREET1_Import_Export!$O81+GREET1_Import_Export!$H$179*GREET1_Import_Export!$B195+GREET1_Import_Export!$H195)+N$39*(F$10*GREET1_Import_Export!$B81+F$11*GREET1_Import_Export!$C81+GREET1_Import_Export!$B231)+N$40*(F$12*GREET1_Import_Export!$AA81+GREET1_Import_Export!$B299)+N$41*GREET1_Import_Export!$L357+(MMULT($B135:$M135+0,N$42:N$53+0))</f>
        <v>57.995538565728431</v>
      </c>
      <c r="P70" s="348"/>
      <c r="Q70" s="347">
        <f t="array" aca="1" ref="Q70" ca="1">Q$37*(G$9*GREET1_Import_Export!$K81+GREET1_Import_Export!$F$179*GREET1_Import_Export!$B195+GREET1_Import_Export!$F195)+Q$38*(G$13*GREET1_Import_Export!$R81+G$14*GREET1_Import_Export!$O81+GREET1_Import_Export!$H$179*GREET1_Import_Export!$B195+GREET1_Import_Export!$H195)+Q$39*(G$10*GREET1_Import_Export!$B81+G$11*GREET1_Import_Export!$C81+GREET1_Import_Export!$B231)+Q$40*(G$12*GREET1_Import_Export!$AA81+GREET1_Import_Export!$B299)+Q$41*(GREET1_Import_Export!$B324+GREET1_Import_Export!$C324)+(MMULT(B135:M135+0,$Q$42:$Q$53+0))</f>
        <v>0.6576006997537267</v>
      </c>
      <c r="S70" s="348"/>
      <c r="T70" s="347">
        <f t="array" aca="1" ref="T70" ca="1">T$37*(H$9*GREET1_Import_Export!$K81+GREET1_Import_Export!$F$179*GREET1_Import_Export!$B195+GREET1_Import_Export!$F195)+T$38*(H$13*GREET1_Import_Export!$R81+H$14*GREET1_Import_Export!$O81+GREET1_Import_Export!$H$179*GREET1_Import_Export!$B195+GREET1_Import_Export!$H195)+T$39*(H$10*GREET1_Import_Export!$B81+H$11*GREET1_Import_Export!$C81+GREET1_Import_Export!$B231)+T$40*(H$12*GREET1_Import_Export!$AA81+GREET1_Import_Export!$B299)+T$41*(GREET1_Import_Export!$B324+GREET1_Import_Export!$C324)+(MMULT(B135:M135+0,$T$42:$T$53+0))</f>
        <v>16.904497113766187</v>
      </c>
      <c r="V70" s="348"/>
      <c r="W70" s="347">
        <f t="array" aca="1" ref="W70" ca="1">W$37*(I$9*GREET1_Import_Export!$K81+GREET1_Import_Export!$F$179*GREET1_Import_Export!$B195+GREET1_Import_Export!$F195)+W$38*(I$13*GREET1_Import_Export!$R81+I$14*GREET1_Import_Export!$O81+GREET1_Import_Export!$H$179*GREET1_Import_Export!$B195+GREET1_Import_Export!$H195)+W$39*(I$10*GREET1_Import_Export!$B81+I$11*GREET1_Import_Export!$C81+GREET1_Import_Export!$B231)+W$40*(I$12*GREET1_Import_Export!$AA81+GREET1_Import_Export!$B299)+W$41*(GREET1_Import_Export!$B324+GREET1_Import_Export!$C324)+(MMULT(B135:M135+0,$W$42:$W$53+0))</f>
        <v>9.6328484500483782</v>
      </c>
      <c r="Y70" s="348"/>
      <c r="Z70" s="1321"/>
    </row>
    <row r="71" spans="1:26" s="419" customFormat="1">
      <c r="A71" s="668" t="s">
        <v>831</v>
      </c>
      <c r="B71" s="295">
        <f t="array" aca="1" ref="B71" ca="1">B$37*(B$9*GREET1_Import_Export!$K82+GREET1_Import_Export!$F$179*GREET1_Import_Export!$B196+GREET1_Import_Export!$F196)+B$38*(B$13*GREET1_Import_Export!$R82+B$14*GREET1_Import_Export!$F156+GREET1_Import_Export!$G$179*GREET1_Import_Export!$B196+GREET1_Import_Export!$G196)+B$39*(B$10*GREET1_Import_Export!$B82+B$11*GREET1_Import_Export!$C82+GREET1_Import_Export!$B232)+B$40*(B$12*GREET1_Import_Export!$AA82+GREET1_Import_Export!$B300)+B$41*GREET1_Import_Export!$M358+(MMULT($B136:$M136+0,B$42:B$53+0))</f>
        <v>1960921.8201334081</v>
      </c>
      <c r="C71" s="294"/>
      <c r="D71" s="752">
        <f>($B$38*1000000/GREET1_Import_Export!$B$32*GREET1_Import_Export!$E$32/1000/907.2)*'GREET2_Factors_T&amp;D'!L70</f>
        <v>19564.238035014147</v>
      </c>
      <c r="E71" s="295">
        <f t="array" aca="1" ref="E71" ca="1">E$37*(C$9*GREET1_Import_Export!$K82+GREET1_Import_Export!$F$179*GREET1_Import_Export!$B196+GREET1_Import_Export!$F196)+E$38*(C$13*GREET1_Import_Export!$R82+C$14*GREET1_Import_Export!$O82+GREET1_Import_Export!$H$179*GREET1_Import_Export!$B196+GREET1_Import_Export!$H196)+E$39*(C$10*GREET1_Import_Export!$B82+C$11*GREET1_Import_Export!$C82+GREET1_Import_Export!$B232)+E$40*(C$12*GREET1_Import_Export!$AA82+GREET1_Import_Export!$B300)+E$41*GREET1_Import_Export!$M358+(MMULT($B136:$M136+0,E$42:E$53+0))</f>
        <v>1090839.678200427</v>
      </c>
      <c r="F71" s="294"/>
      <c r="G71" s="752">
        <f>$E$42*('GREET2_Factors_T&amp;D'!M70+'GREET2_Factors_T&amp;D'!N70)+$E$44*'GREET2_Factors_T&amp;D'!O70+$E$45*'GREET2_Factors_T&amp;D'!P70+$E$46*'GREET2_Factors_T&amp;D'!Q70</f>
        <v>211291.64912968423</v>
      </c>
      <c r="H71" s="295">
        <f t="array" aca="1" ref="H71" ca="1">H$37*(D$9*GREET1_Import_Export!$K82+GREET1_Import_Export!$F$179*GREET1_Import_Export!$B196+GREET1_Import_Export!$F196)+H$38*(D$13*GREET1_Import_Export!$R82+D$14*GREET1_Import_Export!$O82+GREET1_Import_Export!$H$179*GREET1_Import_Export!$B196+GREET1_Import_Export!$H196)+H$39*(D$10*GREET1_Import_Export!$B82+D$11*GREET1_Import_Export!$C82+GREET1_Import_Export!$B232)+H$40*(D$12*GREET1_Import_Export!$AA82+GREET1_Import_Export!$B300)
+H$41*($B$22*(GREET1_Import_Export!B325+GREET1_Import_Export!C325)+$C$22*GREET1_Import_Export!$L358+SUMPRODUCT($D$22:$F$22,GREET1_Import_Export!N358:P358))
+(MMULT($B136:$M136+0,H$42:H$53+0))</f>
        <v>11421125.338448675</v>
      </c>
      <c r="I71" s="294"/>
      <c r="J71" s="752">
        <f>1/$B$18*('GREET2_Factors_T&amp;D'!R70+'GREET2_Factors_T&amp;D'!S70)</f>
        <v>428956.91109197662</v>
      </c>
      <c r="K71" s="295">
        <f t="array" aca="1" ref="K71" ca="1">K$37*(E$9*GREET1_Import_Export!$K82+GREET1_Import_Export!$F$179*GREET1_Import_Export!$B196+GREET1_Import_Export!$F196)+K$38*(E$13*GREET1_Import_Export!$R82+E$14*GREET1_Import_Export!$O82+GREET1_Import_Export!$H$179*GREET1_Import_Export!$B196+GREET1_Import_Export!$H196)+K$39*(E$10*GREET1_Import_Export!$B82+E$11*GREET1_Import_Export!$C82+GREET1_Import_Export!$B232)+K$40*(E$12*GREET1_Import_Export!$AA82+GREET1_Import_Export!$B300)+K$41*GREET1_Import_Export!$L358+(MMULT($B136:$M136+0,K$42:K$53+0))</f>
        <v>3159552.465614439</v>
      </c>
      <c r="L71" s="403">
        <v>680400</v>
      </c>
      <c r="M71" s="752"/>
      <c r="N71" s="295">
        <f t="array" aca="1" ref="N71" ca="1">N$37*(F$9*GREET1_Import_Export!$K82+GREET1_Import_Export!$F$179*GREET1_Import_Export!$B196+GREET1_Import_Export!$F196)+N$38*(F$13*GREET1_Import_Export!$R82+F$14*GREET1_Import_Export!$O82+GREET1_Import_Export!$H$179*GREET1_Import_Export!$B196+GREET1_Import_Export!$H196)+N$39*(F$10*GREET1_Import_Export!$B82+F$11*GREET1_Import_Export!$C82+GREET1_Import_Export!$B232)+N$40*(F$12*GREET1_Import_Export!$AA82+GREET1_Import_Export!$B300)+N$41*GREET1_Import_Export!$L358+(MMULT($B136:$M136+0,N$42:N$53+0))</f>
        <v>2327599.0356565076</v>
      </c>
      <c r="O71" s="294"/>
      <c r="P71" s="752"/>
      <c r="Q71" s="295">
        <f t="array" aca="1" ref="Q71" ca="1">Q$37*(G$9*GREET1_Import_Export!$K82+GREET1_Import_Export!$F$179*GREET1_Import_Export!$B196+GREET1_Import_Export!$F196)+Q$38*(G$13*GREET1_Import_Export!$R82+G$14*GREET1_Import_Export!$O82+GREET1_Import_Export!$H$179*GREET1_Import_Export!$B196+GREET1_Import_Export!$H196)+Q$39*(G$10*GREET1_Import_Export!$B82+G$11*GREET1_Import_Export!$C82+GREET1_Import_Export!$B232)+Q$40*(G$12*GREET1_Import_Export!$AA82+GREET1_Import_Export!$B300)+Q$41*(GREET1_Import_Export!$B325+GREET1_Import_Export!$C325)+(MMULT(B136:M136+0,$Q$42:$Q$53+0))</f>
        <v>29381.481340399827</v>
      </c>
      <c r="R71" s="294"/>
      <c r="S71" s="752"/>
      <c r="T71" s="295">
        <f t="array" aca="1" ref="T71" ca="1">T$37*(H$9*GREET1_Import_Export!$K82+GREET1_Import_Export!$F$179*GREET1_Import_Export!$B196+GREET1_Import_Export!$F196)+T$38*(H$13*GREET1_Import_Export!$R82+H$14*GREET1_Import_Export!$O82+GREET1_Import_Export!$H$179*GREET1_Import_Export!$B196+GREET1_Import_Export!$H196)+T$39*(H$10*GREET1_Import_Export!$B82+H$11*GREET1_Import_Export!$C82+GREET1_Import_Export!$B232)+T$40*(H$12*GREET1_Import_Export!$AA82+GREET1_Import_Export!$B300)+T$41*(GREET1_Import_Export!$B325+GREET1_Import_Export!$C325)+(MMULT(B136:M136+0,$T$42:$T$53+0))</f>
        <v>701432.34054320084</v>
      </c>
      <c r="U71" s="294"/>
      <c r="V71" s="752"/>
      <c r="W71" s="295">
        <f t="array" aca="1" ref="W71" ca="1">W$37*(I$9*GREET1_Import_Export!$K82+GREET1_Import_Export!$F$179*GREET1_Import_Export!$B196+GREET1_Import_Export!$F196)+W$38*(I$13*GREET1_Import_Export!$R82+I$14*GREET1_Import_Export!$O82+GREET1_Import_Export!$H$179*GREET1_Import_Export!$B196+GREET1_Import_Export!$H196)+W$39*(I$10*GREET1_Import_Export!$B82+I$11*GREET1_Import_Export!$C82+GREET1_Import_Export!$B232)+W$40*(I$12*GREET1_Import_Export!$AA82+GREET1_Import_Export!$B300)+W$41*(GREET1_Import_Export!$B325+GREET1_Import_Export!$C325)+(MMULT(B136:M136+0,$W$42:$W$53+0))</f>
        <v>464077.74481747497</v>
      </c>
      <c r="X71" s="294"/>
      <c r="Y71" s="752"/>
      <c r="Z71" s="1321"/>
    </row>
    <row r="72" spans="1:26" s="349" customFormat="1">
      <c r="A72" s="758" t="s">
        <v>865</v>
      </c>
      <c r="B72" s="347"/>
      <c r="D72" s="348"/>
      <c r="E72" s="347"/>
      <c r="G72" s="348"/>
      <c r="H72" s="347"/>
      <c r="J72" s="348"/>
      <c r="K72" s="347"/>
      <c r="M72" s="348"/>
      <c r="N72" s="347"/>
      <c r="P72" s="348"/>
      <c r="Q72" s="347"/>
      <c r="S72" s="348"/>
      <c r="T72" s="347"/>
      <c r="V72" s="348"/>
      <c r="W72" s="347"/>
      <c r="Y72" s="348"/>
      <c r="Z72" s="1321"/>
    </row>
    <row r="73" spans="1:26" s="349" customFormat="1">
      <c r="A73" s="347" t="s">
        <v>821</v>
      </c>
      <c r="B73" s="347">
        <f t="array" aca="1" ref="B73" ca="1">B$37*(B$29*(B$9*GREET1_Import_Export!$K72)+GREET1_Import_Export!$F$200*GREET1_Import_Export!$B201+GREET1_Import_Export!$F201)+B$38*(B$29*(B$13*GREET1_Import_Export!$R72+B$14*GREET1_Import_Export!$F146)+GREET1_Import_Export!$G$200*GREET1_Import_Export!$B201+GREET1_Import_Export!$G201)+B$39*(B$29*(B$10*GREET1_Import_Export!$B72+B$11*GREET1_Import_Export!$C72)+GREET1_Import_Export!$B237)+B$40*(B$29*(B$12*GREET1_Import_Export!$AA72)+GREET1_Import_Export!$C290)+B$41*GREET1_Import_Export!$M363+(MMULT($B138:$M138+0,B$42:B$53+0))</f>
        <v>59.614298721837564</v>
      </c>
      <c r="D73" s="348">
        <f>($B$38*1000000/GREET1_Import_Export!$B$32*GREET1_Import_Export!$E$32/1000/907.2)*'GREET2_Factors_T&amp;D'!L72</f>
        <v>0.59539149727590324</v>
      </c>
      <c r="E73" s="347">
        <f t="array" aca="1" ref="E73" ca="1">E$37*(E$29*(C$9*GREET1_Import_Export!$K72)+GREET1_Import_Export!$F$200*GREET1_Import_Export!$B201+GREET1_Import_Export!$F201)+E$38*(E$29*(C$13*GREET1_Import_Export!$R72+C$14*GREET1_Import_Export!$O72)+GREET1_Import_Export!$H$200*GREET1_Import_Export!$B201+GREET1_Import_Export!$H201)+E$39*(E$29*(C$10*GREET1_Import_Export!$B72+C$11*GREET1_Import_Export!$C72)+GREET1_Import_Export!$B237)+E$40*(E$29*(C$12*GREET1_Import_Export!$AA72)+GREET1_Import_Export!$C290)+E$41*GREET1_Import_Export!$M363+(MMULT($B138:$M138+0,E$42:E$53+0))</f>
        <v>6.9976235621448595</v>
      </c>
      <c r="G73" s="348">
        <f>$E$42*('GREET2_Factors_T&amp;D'!M72+'GREET2_Factors_T&amp;D'!N72)+$E$44*'GREET2_Factors_T&amp;D'!O72+$E$45*'GREET2_Factors_T&amp;D'!P72+$E$46*'GREET2_Factors_T&amp;D'!Q72</f>
        <v>6.427260953580471</v>
      </c>
      <c r="H73" s="347">
        <f t="array" aca="1" ref="H73" ca="1">H$37*(H$29*(D$9*GREET1_Import_Export!$K72)+GREET1_Import_Export!$F$200*GREET1_Import_Export!$B201+GREET1_Import_Export!$F201)+H$38*(H$29*(D$13*GREET1_Import_Export!$R72+D$14*GREET1_Import_Export!$O72)+GREET1_Import_Export!$H$200*GREET1_Import_Export!$B201+GREET1_Import_Export!$H201)+H$39*(H$29*(D$10*GREET1_Import_Export!$B72+D$11*GREET1_Import_Export!$C72)+GREET1_Import_Export!$B237)+H$40*(H$29*(D$12*GREET1_Import_Export!$AA72)+GREET1_Import_Export!$C290)+
+H$41*($B$22*(GREET1_Import_Export!D315+GREET1_Import_Export!E315)+$C$22*GREET1_Import_Export!$L363+SUMPRODUCT($D$22:$F$22,GREET1_Import_Export!N363:P363))
+(MMULT($B138:$M138+0,H$42:H$53+0))</f>
        <v>96.853748360971224</v>
      </c>
      <c r="J73" s="348">
        <f>1/$B$18*('GREET2_Factors_T&amp;D'!R72+'GREET2_Factors_T&amp;D'!S72)</f>
        <v>11.956368110839032</v>
      </c>
      <c r="K73" s="347">
        <f t="array" aca="1" ref="K73" ca="1">K$37*(K$29*(E$9*GREET1_Import_Export!$K72)+GREET1_Import_Export!$F$200*GREET1_Import_Export!$B201+GREET1_Import_Export!$F201)+K$38*(K$29*(E$13*GREET1_Import_Export!$R72+E$14*GREET1_Import_Export!$O72)+GREET1_Import_Export!$H$200*GREET1_Import_Export!$B201+GREET1_Import_Export!$H201)+K$39*(K$29*(E$10*GREET1_Import_Export!$B72+E$11*GREET1_Import_Export!$C72)+GREET1_Import_Export!$B237)+K$40*(K$29*(E$12*GREET1_Import_Export!$AA72)+GREET1_Import_Export!$C290)+K$41*GREET1_Import_Export!$L363+(MMULT($B138:$M138+0,K$42:K$53+0))</f>
        <v>28.184962899458313</v>
      </c>
      <c r="M73" s="348"/>
      <c r="N73" s="347">
        <f t="array" aca="1" ref="N73" ca="1">N$37*(N$29*(F$9*GREET1_Import_Export!$K72)+GREET1_Import_Export!$F$200*GREET1_Import_Export!$B201+GREET1_Import_Export!$F201)+N$38*(N$29*(F$13*GREET1_Import_Export!$R72+F$14*GREET1_Import_Export!$O72)+GREET1_Import_Export!$H$200*GREET1_Import_Export!$B201+GREET1_Import_Export!$H201)+N$39*(N$29*(F$10*GREET1_Import_Export!$B72+F$11*GREET1_Import_Export!$C72)+GREET1_Import_Export!$B237)+N$40*(N$29*(F$12*GREET1_Import_Export!$AA72)+GREET1_Import_Export!$C290)+N$41*GREET1_Import_Export!$L363+(MMULT($B138:$M138+0,N$42:N$53+0))</f>
        <v>11.7547833299716</v>
      </c>
      <c r="P73" s="348"/>
      <c r="Q73" s="347">
        <f t="array" aca="1" ref="Q73" ca="1">Q$37*(Q$29*(G$9*GREET1_Import_Export!$K72)+GREET1_Import_Export!$F$200*GREET1_Import_Export!$B201+GREET1_Import_Export!$F201)+Q$38*(Q$29*(G$13*GREET1_Import_Export!$R72+G$14*GREET1_Import_Export!$O72)+GREET1_Import_Export!$H$200*GREET1_Import_Export!$B201+GREET1_Import_Export!$H201)+Q$39*(Q$29*(G$10*GREET1_Import_Export!$B72+G$11*GREET1_Import_Export!$C72)+GREET1_Import_Export!$B237)+Q$40*(Q$29*(G$12*GREET1_Import_Export!$AA72)+GREET1_Import_Export!$C290)+Q$41*(GREET1_Import_Export!$D315+GREET1_Import_Export!$E315)+(MMULT(B138:M138+0,$Q$42:$Q$53+0))</f>
        <v>0.22490879765974547</v>
      </c>
      <c r="S73" s="348"/>
      <c r="T73" s="347">
        <f t="array" aca="1" ref="T73" ca="1">T$37*(T$29*(H$9*GREET1_Import_Export!$K72)+GREET1_Import_Export!$F$200*GREET1_Import_Export!$B201+GREET1_Import_Export!$F201)+T$38*(T$29*(H$13*GREET1_Import_Export!$R72+H$14*GREET1_Import_Export!$O72)+GREET1_Import_Export!$H$200*GREET1_Import_Export!$B201+GREET1_Import_Export!$H201)+T$39*(T$29*(H$10*GREET1_Import_Export!$B72+H$11*GREET1_Import_Export!$C72)+GREET1_Import_Export!$B237)+T$40*(T$29*(H$12*GREET1_Import_Export!$AA72)+GREET1_Import_Export!$C290)+T$41*(GREET1_Import_Export!$D315+GREET1_Import_Export!$E315)+(MMULT(B138:M138+0,$T$42:$T$53+0))</f>
        <v>5.9337863799583097</v>
      </c>
      <c r="V73" s="348"/>
      <c r="W73" s="347">
        <f t="array" aca="1" ref="W73" ca="1">W$37*(W$29*(I$9*GREET1_Import_Export!$K72)+GREET1_Import_Export!$F$200*GREET1_Import_Export!$B201+GREET1_Import_Export!$F201)+W$38*(W$29*(I$13*GREET1_Import_Export!$R72+I$14*GREET1_Import_Export!$O72)+GREET1_Import_Export!$H$200*GREET1_Import_Export!$B201+GREET1_Import_Export!$H201)+W$39*(W$29*(I$10*GREET1_Import_Export!$B72+I$11*GREET1_Import_Export!$C72)+GREET1_Import_Export!$B237)+W$40*(W$29*(I$12*GREET1_Import_Export!$AA72)+GREET1_Import_Export!$C290)+W$41*(GREET1_Import_Export!$D315+GREET1_Import_Export!$E315)+(MMULT(B138:M138+0,$W$42:$W$53+0))</f>
        <v>4.316375645032176</v>
      </c>
      <c r="Y73" s="348"/>
      <c r="Z73" s="1321"/>
    </row>
    <row r="74" spans="1:26" s="349" customFormat="1">
      <c r="A74" s="347" t="s">
        <v>822</v>
      </c>
      <c r="B74" s="347">
        <f t="array" aca="1" ref="B74" ca="1">B$37*(B$29*(B$9*GREET1_Import_Export!$K73)+GREET1_Import_Export!$F$200*GREET1_Import_Export!$B202+GREET1_Import_Export!$F202)+B$38*(B$29*(B$13*GREET1_Import_Export!$R73+B$14*GREET1_Import_Export!$F147)+GREET1_Import_Export!$G$200*GREET1_Import_Export!$B202+GREET1_Import_Export!$G202)+B$39*(B$29*(B$10*GREET1_Import_Export!$B73+B$11*GREET1_Import_Export!$C73)+GREET1_Import_Export!$B238)+B$40*(B$29*(B$12*GREET1_Import_Export!$AA73)+GREET1_Import_Export!$C291)+B$41*GREET1_Import_Export!$M364+(MMULT($B139:$M139+0,B$42:B$53+0))</f>
        <v>38.853116526937441</v>
      </c>
      <c r="D74" s="348">
        <f>($B$38*1000000/GREET1_Import_Export!$B$32*GREET1_Import_Export!$E$32/1000/907.2)*'GREET2_Factors_T&amp;D'!L73</f>
        <v>0.38804138803589655</v>
      </c>
      <c r="E74" s="347">
        <f t="array" aca="1" ref="E74" ca="1">E$37*(E$29*(C$9*GREET1_Import_Export!$K73)+GREET1_Import_Export!$F$200*GREET1_Import_Export!$B202+GREET1_Import_Export!$F202)+E$38*(E$29*(C$13*GREET1_Import_Export!$R73+C$14*GREET1_Import_Export!$O73)+GREET1_Import_Export!$H$200*GREET1_Import_Export!$B202+GREET1_Import_Export!$H202)+E$39*(E$29*(C$10*GREET1_Import_Export!$B73+C$11*GREET1_Import_Export!$C73)+GREET1_Import_Export!$B238)+E$40*(E$29*(C$12*GREET1_Import_Export!$AA73)+GREET1_Import_Export!$C291)+E$41*GREET1_Import_Export!$M364+(MMULT($B139:$M139+0,E$42:E$53+0))</f>
        <v>31.493637295308169</v>
      </c>
      <c r="G74" s="348">
        <f>$E$42*('GREET2_Factors_T&amp;D'!M73+'GREET2_Factors_T&amp;D'!N73)+$E$44*'GREET2_Factors_T&amp;D'!O73+$E$45*'GREET2_Factors_T&amp;D'!P73+$E$46*'GREET2_Factors_T&amp;D'!Q73</f>
        <v>4.1889131321278379</v>
      </c>
      <c r="H74" s="347">
        <f t="array" aca="1" ref="H74" ca="1">H$37*(H$29*(D$9*GREET1_Import_Export!$K73)+GREET1_Import_Export!$F$200*GREET1_Import_Export!$B202+GREET1_Import_Export!$F202)+H$38*(H$29*(D$13*GREET1_Import_Export!$R73+D$14*GREET1_Import_Export!$O73)+GREET1_Import_Export!$H$200*GREET1_Import_Export!$B202+GREET1_Import_Export!$H202)+H$39*(H$29*(D$10*GREET1_Import_Export!$B73+D$11*GREET1_Import_Export!$C73)+GREET1_Import_Export!$B238)+H$40*(H$29*(D$12*GREET1_Import_Export!$AA73)+GREET1_Import_Export!$C291)+
+H$41*($B$22*(GREET1_Import_Export!D316+GREET1_Import_Export!E316)+$C$22*GREET1_Import_Export!$L364+SUMPRODUCT($D$22:$F$22,GREET1_Import_Export!N364:P364))
+(MMULT($B139:$M139+0,H$42:H$53+0))</f>
        <v>523.92801924710284</v>
      </c>
      <c r="J74" s="348">
        <f>1/$B$18*('GREET2_Factors_T&amp;D'!R73+'GREET2_Factors_T&amp;D'!S73)</f>
        <v>7.7780727758320491</v>
      </c>
      <c r="K74" s="347">
        <f t="array" aca="1" ref="K74" ca="1">K$37*(K$29*(E$9*GREET1_Import_Export!$K73)+GREET1_Import_Export!$F$200*GREET1_Import_Export!$B202+GREET1_Import_Export!$F202)+K$38*(K$29*(E$13*GREET1_Import_Export!$R73+E$14*GREET1_Import_Export!$O73)+GREET1_Import_Export!$H$200*GREET1_Import_Export!$B202+GREET1_Import_Export!$H202)+K$39*(K$29*(E$10*GREET1_Import_Export!$B73+E$11*GREET1_Import_Export!$C73)+GREET1_Import_Export!$B238)+K$40*(K$29*(E$12*GREET1_Import_Export!$AA73)+GREET1_Import_Export!$C291)+K$41*GREET1_Import_Export!$L364+(MMULT($B139:$M139+0,K$42:K$53+0))</f>
        <v>138.1186631785956</v>
      </c>
      <c r="M74" s="348"/>
      <c r="N74" s="347">
        <f t="array" aca="1" ref="N74" ca="1">N$37*(N$29*(F$9*GREET1_Import_Export!$K73)+GREET1_Import_Export!$F$200*GREET1_Import_Export!$B202+GREET1_Import_Export!$F202)+N$38*(N$29*(F$13*GREET1_Import_Export!$R73+F$14*GREET1_Import_Export!$O73)+GREET1_Import_Export!$H$200*GREET1_Import_Export!$B202+GREET1_Import_Export!$H202)+N$39*(N$29*(F$10*GREET1_Import_Export!$B73+F$11*GREET1_Import_Export!$C73)+GREET1_Import_Export!$B238)+N$40*(N$29*(F$12*GREET1_Import_Export!$AA73)+GREET1_Import_Export!$C291)+N$41*GREET1_Import_Export!$L364+(MMULT($B139:$M139+0,N$42:N$53+0))</f>
        <v>123.30236176991892</v>
      </c>
      <c r="P74" s="348"/>
      <c r="Q74" s="347">
        <f t="array" aca="1" ref="Q74" ca="1">Q$37*(Q$29*(G$9*GREET1_Import_Export!$K73)+GREET1_Import_Export!$F$200*GREET1_Import_Export!$B202+GREET1_Import_Export!$F202)+Q$38*(Q$29*(G$13*GREET1_Import_Export!$R73+G$14*GREET1_Import_Export!$O73)+GREET1_Import_Export!$H$200*GREET1_Import_Export!$B202+GREET1_Import_Export!$H202)+Q$39*(Q$29*(G$10*GREET1_Import_Export!$B73+G$11*GREET1_Import_Export!$C73)+GREET1_Import_Export!$B238)+Q$40*(Q$29*(G$12*GREET1_Import_Export!$AA73)+GREET1_Import_Export!$C291)+Q$41*(GREET1_Import_Export!$D316+GREET1_Import_Export!$E316)+(MMULT(B139:M139+0,$Q$42:$Q$53+0))</f>
        <v>1.5264112770411267</v>
      </c>
      <c r="S74" s="348"/>
      <c r="T74" s="347">
        <f t="array" aca="1" ref="T74" ca="1">T$37*(T$29*(H$9*GREET1_Import_Export!$K73)+GREET1_Import_Export!$F$200*GREET1_Import_Export!$B202+GREET1_Import_Export!$F202)+T$38*(T$29*(H$13*GREET1_Import_Export!$R73+H$14*GREET1_Import_Export!$O73)+GREET1_Import_Export!$H$200*GREET1_Import_Export!$B202+GREET1_Import_Export!$H202)+T$39*(T$29*(H$10*GREET1_Import_Export!$B73+H$11*GREET1_Import_Export!$C73)+GREET1_Import_Export!$B238)+T$40*(T$29*(H$12*GREET1_Import_Export!$AA73)+GREET1_Import_Export!$C291)+T$41*(GREET1_Import_Export!$D316+GREET1_Import_Export!$E316)+(MMULT(B139:M139+0,$T$42:$T$53+0))</f>
        <v>32.344612408745434</v>
      </c>
      <c r="V74" s="348"/>
      <c r="W74" s="347">
        <f t="array" aca="1" ref="W74" ca="1">W$37*(W$29*(I$9*GREET1_Import_Export!$K73)+GREET1_Import_Export!$F$200*GREET1_Import_Export!$B202+GREET1_Import_Export!$F202)+W$38*(W$29*(I$13*GREET1_Import_Export!$R73+I$14*GREET1_Import_Export!$O73)+GREET1_Import_Export!$H$200*GREET1_Import_Export!$B202+GREET1_Import_Export!$H202)+W$39*(W$29*(I$10*GREET1_Import_Export!$B73+I$11*GREET1_Import_Export!$C73)+GREET1_Import_Export!$B238)+W$40*(W$29*(I$12*GREET1_Import_Export!$AA73)+GREET1_Import_Export!$C291)+W$41*(GREET1_Import_Export!$D316+GREET1_Import_Export!$E316)+(MMULT(B139:M139+0,$W$42:$W$53+0))</f>
        <v>18.683519969142083</v>
      </c>
      <c r="Y74" s="348"/>
      <c r="Z74" s="1321"/>
    </row>
    <row r="75" spans="1:26" s="349" customFormat="1">
      <c r="A75" s="347" t="s">
        <v>823</v>
      </c>
      <c r="B75" s="347">
        <f t="array" aca="1" ref="B75" ca="1">B$37*(B$29*(B$9*GREET1_Import_Export!$K74)+GREET1_Import_Export!$F$200*GREET1_Import_Export!$B203+GREET1_Import_Export!$F203)+B$38*(B$29*(B$13*GREET1_Import_Export!$R74+B$14*GREET1_Import_Export!$F148)+GREET1_Import_Export!$G$200*GREET1_Import_Export!$B203+GREET1_Import_Export!$G203)+B$39*(B$29*(B$10*GREET1_Import_Export!$B74+B$11*GREET1_Import_Export!$C74)+GREET1_Import_Export!$B239)+B$40*(B$29*(B$12*GREET1_Import_Export!$AA74)+GREET1_Import_Export!$C292)+B$41*GREET1_Import_Export!$M365+(MMULT($B140:$M140+0,B$42:B$53+0))</f>
        <v>60.320776252891733</v>
      </c>
      <c r="D75" s="348">
        <f>($B$38*1000000/GREET1_Import_Export!$B$32*GREET1_Import_Export!$E$32/1000/907.2)*'GREET2_Factors_T&amp;D'!L74</f>
        <v>0.60244736682439526</v>
      </c>
      <c r="E75" s="347">
        <f t="array" aca="1" ref="E75" ca="1">E$37*(E$29*(C$9*GREET1_Import_Export!$K74)+GREET1_Import_Export!$F$200*GREET1_Import_Export!$B203+GREET1_Import_Export!$F203)+E$38*(E$29*(C$13*GREET1_Import_Export!$R74+C$14*GREET1_Import_Export!$O74)+GREET1_Import_Export!$H$200*GREET1_Import_Export!$B203+GREET1_Import_Export!$H203)+E$39*(E$29*(C$10*GREET1_Import_Export!$B74+C$11*GREET1_Import_Export!$C74)+GREET1_Import_Export!$B239)+E$40*(E$29*(C$12*GREET1_Import_Export!$AA74)+GREET1_Import_Export!$C292)+E$41*GREET1_Import_Export!$M365+(MMULT($B140:$M140+0,E$42:E$53+0))</f>
        <v>43.547817690151604</v>
      </c>
      <c r="G75" s="348">
        <f>$E$42*('GREET2_Factors_T&amp;D'!M74+'GREET2_Factors_T&amp;D'!N74)+$E$44*'GREET2_Factors_T&amp;D'!O74+$E$45*'GREET2_Factors_T&amp;D'!P74+$E$46*'GREET2_Factors_T&amp;D'!Q74</f>
        <v>6.5034291807890741</v>
      </c>
      <c r="H75" s="347">
        <f t="array" aca="1" ref="H75" ca="1">H$37*(H$29*(D$9*GREET1_Import_Export!$K74)+GREET1_Import_Export!$F$200*GREET1_Import_Export!$B203+GREET1_Import_Export!$F203)+H$38*(H$29*(D$13*GREET1_Import_Export!$R74+D$14*GREET1_Import_Export!$O74)+GREET1_Import_Export!$H$200*GREET1_Import_Export!$B203+GREET1_Import_Export!$H203)+H$39*(H$29*(D$10*GREET1_Import_Export!$B74+D$11*GREET1_Import_Export!$C74)+GREET1_Import_Export!$B239)+H$40*(H$29*(D$12*GREET1_Import_Export!$AA74)+GREET1_Import_Export!$C292)+
+H$41*($B$22*(GREET1_Import_Export!D317+GREET1_Import_Export!E317)+$C$22*GREET1_Import_Export!$L365+SUMPRODUCT($D$22:$F$22,GREET1_Import_Export!N365:P365))
+(MMULT($B140:$M140+0,H$42:H$53+0))</f>
        <v>1363.5782199355986</v>
      </c>
      <c r="J75" s="348">
        <f>1/$B$18*('GREET2_Factors_T&amp;D'!R74+'GREET2_Factors_T&amp;D'!S74)</f>
        <v>12.275489071442896</v>
      </c>
      <c r="K75" s="347">
        <f t="array" aca="1" ref="K75" ca="1">K$37*(K$29*(E$9*GREET1_Import_Export!$K74)+GREET1_Import_Export!$F$200*GREET1_Import_Export!$B203+GREET1_Import_Export!$F203)+K$38*(K$29*(E$13*GREET1_Import_Export!$R74+E$14*GREET1_Import_Export!$O74)+GREET1_Import_Export!$H$200*GREET1_Import_Export!$B203+GREET1_Import_Export!$H203)+K$39*(K$29*(E$10*GREET1_Import_Export!$B74+E$11*GREET1_Import_Export!$C74)+GREET1_Import_Export!$B239)+K$40*(K$29*(E$12*GREET1_Import_Export!$AA74)+GREET1_Import_Export!$C292)+K$41*GREET1_Import_Export!$L365+(MMULT($B140:$M140+0,K$42:K$53+0))</f>
        <v>228.83866901227111</v>
      </c>
      <c r="M75" s="348"/>
      <c r="N75" s="347">
        <f t="array" aca="1" ref="N75" ca="1">N$37*(N$29*(F$9*GREET1_Import_Export!$K74)+GREET1_Import_Export!$F$200*GREET1_Import_Export!$B203+GREET1_Import_Export!$F203)+N$38*(N$29*(F$13*GREET1_Import_Export!$R74+F$14*GREET1_Import_Export!$O74)+GREET1_Import_Export!$H$200*GREET1_Import_Export!$B203+GREET1_Import_Export!$H203)+N$39*(N$29*(F$10*GREET1_Import_Export!$B74+F$11*GREET1_Import_Export!$C74)+GREET1_Import_Export!$B239)+N$40*(N$29*(F$12*GREET1_Import_Export!$AA74)+GREET1_Import_Export!$C292)+N$41*GREET1_Import_Export!$L365+(MMULT($B140:$M140+0,N$42:N$53+0))</f>
        <v>529.49769157894389</v>
      </c>
      <c r="P75" s="348"/>
      <c r="Q75" s="347">
        <f t="array" aca="1" ref="Q75" ca="1">Q$37*(Q$29*(G$9*GREET1_Import_Export!$K74)+GREET1_Import_Export!$F$200*GREET1_Import_Export!$B203+GREET1_Import_Export!$F203)+Q$38*(Q$29*(G$13*GREET1_Import_Export!$R74+G$14*GREET1_Import_Export!$O74)+GREET1_Import_Export!$H$200*GREET1_Import_Export!$B203+GREET1_Import_Export!$H203)+Q$39*(Q$29*(G$10*GREET1_Import_Export!$B74+G$11*GREET1_Import_Export!$C74)+GREET1_Import_Export!$B239)+Q$40*(Q$29*(G$12*GREET1_Import_Export!$AA74)+GREET1_Import_Export!$C292)+Q$41*(GREET1_Import_Export!$D317+GREET1_Import_Export!$E317)+(MMULT(B140:M140+0,$Q$42:$Q$53+0))</f>
        <v>4.1091793212861267</v>
      </c>
      <c r="S75" s="348"/>
      <c r="T75" s="347">
        <f t="array" aca="1" ref="T75" ca="1">T$37*(T$29*(H$9*GREET1_Import_Export!$K74)+GREET1_Import_Export!$F$200*GREET1_Import_Export!$B203+GREET1_Import_Export!$F203)+T$38*(T$29*(H$13*GREET1_Import_Export!$R74+H$14*GREET1_Import_Export!$O74)+GREET1_Import_Export!$H$200*GREET1_Import_Export!$B203+GREET1_Import_Export!$H203)+T$39*(T$29*(H$10*GREET1_Import_Export!$B74+H$11*GREET1_Import_Export!$C74)+GREET1_Import_Export!$B239)+T$40*(T$29*(H$12*GREET1_Import_Export!$AA74)+GREET1_Import_Export!$C292)+T$41*(GREET1_Import_Export!$D317+GREET1_Import_Export!$E317)+(MMULT(B140:M140+0,$T$42:$T$53+0))</f>
        <v>72.444488506760322</v>
      </c>
      <c r="V75" s="348"/>
      <c r="W75" s="347">
        <f t="array" aca="1" ref="W75" ca="1">W$37*(W$29*(I$9*GREET1_Import_Export!$K74)+GREET1_Import_Export!$F$200*GREET1_Import_Export!$B203+GREET1_Import_Export!$F203)+W$38*(W$29*(I$13*GREET1_Import_Export!$R74+I$14*GREET1_Import_Export!$O74)+GREET1_Import_Export!$H$200*GREET1_Import_Export!$B203+GREET1_Import_Export!$H203)+W$39*(W$29*(I$10*GREET1_Import_Export!$B74+I$11*GREET1_Import_Export!$C74)+GREET1_Import_Export!$B239)+W$40*(W$29*(I$12*GREET1_Import_Export!$AA74)+GREET1_Import_Export!$C292)+W$41*(GREET1_Import_Export!$D317+GREET1_Import_Export!$E317)+(MMULT(B140:M140+0,$W$42:$W$53+0))</f>
        <v>27.236509671454034</v>
      </c>
      <c r="Y75" s="348"/>
      <c r="Z75" s="1321"/>
    </row>
    <row r="76" spans="1:26" s="349" customFormat="1">
      <c r="A76" s="347" t="s">
        <v>824</v>
      </c>
      <c r="B76" s="347">
        <f t="array" aca="1" ref="B76" ca="1">B$37*(B$29*(B$9*GREET1_Import_Export!$K75)+GREET1_Import_Export!$F$200*GREET1_Import_Export!$B204+GREET1_Import_Export!$F204)+B$38*(B$29*(B$13*GREET1_Import_Export!$R75+B$14*GREET1_Import_Export!$F149)+GREET1_Import_Export!$G$200*GREET1_Import_Export!$B204+GREET1_Import_Export!$G204)+B$39*(B$29*(B$10*GREET1_Import_Export!$B75+B$11*GREET1_Import_Export!$C75)+GREET1_Import_Export!$B240)+B$40*(B$29*(B$12*GREET1_Import_Export!$AA75)+GREET1_Import_Export!$C293)+B$41*GREET1_Import_Export!$M366+(MMULT($B141:$M141+0,B$42:B$53+0))</f>
        <v>10.732181639020883</v>
      </c>
      <c r="D76" s="348">
        <f>($B$38*1000000/GREET1_Import_Export!$B$32*GREET1_Import_Export!$E$32/1000/907.2)*'GREET2_Factors_T&amp;D'!L75</f>
        <v>0.1071865279319793</v>
      </c>
      <c r="E76" s="347">
        <f t="array" aca="1" ref="E76" ca="1">E$37*(E$29*(C$9*GREET1_Import_Export!$K75)+GREET1_Import_Export!$F$200*GREET1_Import_Export!$B204+GREET1_Import_Export!$F204)+E$38*(E$29*(C$13*GREET1_Import_Export!$R75+C$14*GREET1_Import_Export!$O75)+GREET1_Import_Export!$H$200*GREET1_Import_Export!$B204+GREET1_Import_Export!$H204)+E$39*(E$29*(C$10*GREET1_Import_Export!$B75+C$11*GREET1_Import_Export!$C75)+GREET1_Import_Export!$B240)+E$40*(E$29*(C$12*GREET1_Import_Export!$AA75)+GREET1_Import_Export!$C293)+E$41*GREET1_Import_Export!$M366+(MMULT($B141:$M141+0,E$42:E$53+0))</f>
        <v>1.5514305034183753</v>
      </c>
      <c r="G76" s="348">
        <f>$E$42*('GREET2_Factors_T&amp;D'!M75+'GREET2_Factors_T&amp;D'!N75)+$E$44*'GREET2_Factors_T&amp;D'!O75+$E$45*'GREET2_Factors_T&amp;D'!P75+$E$46*'GREET2_Factors_T&amp;D'!Q75</f>
        <v>1.1570803225761068</v>
      </c>
      <c r="H76" s="347">
        <f t="array" aca="1" ref="H76" ca="1">H$37*(H$29*(D$9*GREET1_Import_Export!$K75)+GREET1_Import_Export!$F$200*GREET1_Import_Export!$B204+GREET1_Import_Export!$F204)+H$38*(H$29*(D$13*GREET1_Import_Export!$R75+D$14*GREET1_Import_Export!$O75)+GREET1_Import_Export!$H$200*GREET1_Import_Export!$B204+GREET1_Import_Export!$H204)+H$39*(H$29*(D$10*GREET1_Import_Export!$B75+D$11*GREET1_Import_Export!$C75)+GREET1_Import_Export!$B240)+H$40*(H$29*(D$12*GREET1_Import_Export!$AA75)+GREET1_Import_Export!$C293)+
+H$41*($B$22*(GREET1_Import_Export!D318+GREET1_Import_Export!E318)+$C$22*GREET1_Import_Export!$L366+SUMPRODUCT($D$22:$F$22,GREET1_Import_Export!N366:P366))
+(MMULT($B141:$M141+0,H$42:H$53+0))</f>
        <v>147.27207345193534</v>
      </c>
      <c r="J76" s="348">
        <f>1/$B$18*('GREET2_Factors_T&amp;D'!R75+'GREET2_Factors_T&amp;D'!S75)</f>
        <v>2.2091976128057147</v>
      </c>
      <c r="K76" s="347">
        <f t="array" aca="1" ref="K76" ca="1">K$37*(K$29*(E$9*GREET1_Import_Export!$K75)+GREET1_Import_Export!$F$200*GREET1_Import_Export!$B204+GREET1_Import_Export!$F204)+K$38*(K$29*(E$13*GREET1_Import_Export!$R75+E$14*GREET1_Import_Export!$O75)+GREET1_Import_Export!$H$200*GREET1_Import_Export!$B204+GREET1_Import_Export!$H204)+K$39*(K$29*(E$10*GREET1_Import_Export!$B75+E$11*GREET1_Import_Export!$C75)+GREET1_Import_Export!$B240)+K$40*(K$29*(E$12*GREET1_Import_Export!$AA75)+GREET1_Import_Export!$C293)+K$41*GREET1_Import_Export!$L366+(MMULT($B141:$M141+0,K$42:K$53+0))</f>
        <v>14.134491091006453</v>
      </c>
      <c r="M76" s="348"/>
      <c r="N76" s="347">
        <f t="array" aca="1" ref="N76" ca="1">N$37*(N$29*(F$9*GREET1_Import_Export!$K75)+GREET1_Import_Export!$F$200*GREET1_Import_Export!$B204+GREET1_Import_Export!$F204)+N$38*(N$29*(F$13*GREET1_Import_Export!$R75+F$14*GREET1_Import_Export!$O75)+GREET1_Import_Export!$H$200*GREET1_Import_Export!$B204+GREET1_Import_Export!$H204)+N$39*(N$29*(F$10*GREET1_Import_Export!$B75+F$11*GREET1_Import_Export!$C75)+GREET1_Import_Export!$B240)+N$40*(N$29*(F$12*GREET1_Import_Export!$AA75)+GREET1_Import_Export!$C293)+N$41*GREET1_Import_Export!$L366+(MMULT($B141:$M141+0,N$42:N$53+0))</f>
        <v>68.183212586527873</v>
      </c>
      <c r="P76" s="348"/>
      <c r="Q76" s="347">
        <f t="array" aca="1" ref="Q76" ca="1">Q$37*(Q$29*(G$9*GREET1_Import_Export!$K75)+GREET1_Import_Export!$F$200*GREET1_Import_Export!$B204+GREET1_Import_Export!$F204)+Q$38*(Q$29*(G$13*GREET1_Import_Export!$R75+G$14*GREET1_Import_Export!$O75)+GREET1_Import_Export!$H$200*GREET1_Import_Export!$B204+GREET1_Import_Export!$H204)+Q$39*(Q$29*(G$10*GREET1_Import_Export!$B75+G$11*GREET1_Import_Export!$C75)+GREET1_Import_Export!$B240)+Q$40*(Q$29*(G$12*GREET1_Import_Export!$AA75)+GREET1_Import_Export!$C293)+Q$41*(GREET1_Import_Export!$D318+GREET1_Import_Export!$E318)+(MMULT(B141:M141+0,$Q$42:$Q$53+0))</f>
        <v>0.51037244457904729</v>
      </c>
      <c r="S76" s="348"/>
      <c r="T76" s="347">
        <f t="array" aca="1" ref="T76" ca="1">T$37*(T$29*(H$9*GREET1_Import_Export!$K75)+GREET1_Import_Export!$F$200*GREET1_Import_Export!$B204+GREET1_Import_Export!$F204)+T$38*(T$29*(H$13*GREET1_Import_Export!$R75+H$14*GREET1_Import_Export!$O75)+GREET1_Import_Export!$H$200*GREET1_Import_Export!$B204+GREET1_Import_Export!$H204)+T$39*(T$29*(H$10*GREET1_Import_Export!$B75+H$11*GREET1_Import_Export!$C75)+GREET1_Import_Export!$B240)+T$40*(T$29*(H$12*GREET1_Import_Export!$AA75)+GREET1_Import_Export!$C293)+T$41*(GREET1_Import_Export!$D318+GREET1_Import_Export!$E318)+(MMULT(B141:M141+0,$T$42:$T$53+0))</f>
        <v>7.6905917434285405</v>
      </c>
      <c r="V76" s="348"/>
      <c r="W76" s="347">
        <f t="array" aca="1" ref="W76" ca="1">W$37*(W$29*(I$9*GREET1_Import_Export!$K75)+GREET1_Import_Export!$F$200*GREET1_Import_Export!$B204+GREET1_Import_Export!$F204)+W$38*(W$29*(I$13*GREET1_Import_Export!$R75+I$14*GREET1_Import_Export!$O75)+GREET1_Import_Export!$H$200*GREET1_Import_Export!$B204+GREET1_Import_Export!$H204)+W$39*(W$29*(I$10*GREET1_Import_Export!$B75+I$11*GREET1_Import_Export!$C75)+GREET1_Import_Export!$B240)+W$40*(W$29*(I$12*GREET1_Import_Export!$AA75)+GREET1_Import_Export!$C293)+W$41*(GREET1_Import_Export!$D318+GREET1_Import_Export!$E318)+(MMULT(B141:M141+0,$W$42:$W$53+0))</f>
        <v>0.80377634931481501</v>
      </c>
      <c r="Y76" s="348"/>
      <c r="Z76" s="1321"/>
    </row>
    <row r="77" spans="1:26" s="349" customFormat="1">
      <c r="A77" s="347" t="s">
        <v>825</v>
      </c>
      <c r="B77" s="347">
        <f t="array" aca="1" ref="B77" ca="1">B$37*(B$29*(B$9*GREET1_Import_Export!$K76)+GREET1_Import_Export!$F$200*GREET1_Import_Export!$B205+GREET1_Import_Export!$F205)+B$38*(B$29*(B$13*GREET1_Import_Export!$R76+B$14*GREET1_Import_Export!$F150)+GREET1_Import_Export!$G$200*GREET1_Import_Export!$B205+GREET1_Import_Export!$G205)+B$39*(B$29*(B$10*GREET1_Import_Export!$B76+B$11*GREET1_Import_Export!$C76)+GREET1_Import_Export!$B241)+B$40*(B$29*(B$12*GREET1_Import_Export!$AA76)+GREET1_Import_Export!$C294)+B$41*GREET1_Import_Export!$M367+(MMULT($B142:$M142+0,B$42:B$53+0))</f>
        <v>9.2616357434179548</v>
      </c>
      <c r="D77" s="348">
        <f>($B$38*1000000/GREET1_Import_Export!$B$32*GREET1_Import_Export!$E$32/1000/907.2)*'GREET2_Factors_T&amp;D'!L76</f>
        <v>9.2499606482457419E-2</v>
      </c>
      <c r="E77" s="347">
        <f t="array" aca="1" ref="E77" ca="1">E$37*(E$29*(C$9*GREET1_Import_Export!$K76)+GREET1_Import_Export!$F$200*GREET1_Import_Export!$B205+GREET1_Import_Export!$F205)+E$38*(E$29*(C$13*GREET1_Import_Export!$R76+C$14*GREET1_Import_Export!$O76)+GREET1_Import_Export!$H$200*GREET1_Import_Export!$B205+GREET1_Import_Export!$H205)+E$39*(E$29*(C$10*GREET1_Import_Export!$B76+C$11*GREET1_Import_Export!$C76)+GREET1_Import_Export!$B241)+E$40*(E$29*(C$12*GREET1_Import_Export!$AA76)+GREET1_Import_Export!$C294)+E$41*GREET1_Import_Export!$M367+(MMULT($B142:$M142+0,E$42:E$53+0))</f>
        <v>1.3691135518512103</v>
      </c>
      <c r="G77" s="348">
        <f>$E$42*('GREET2_Factors_T&amp;D'!M76+'GREET2_Factors_T&amp;D'!N76)+$E$44*'GREET2_Factors_T&amp;D'!O76+$E$45*'GREET2_Factors_T&amp;D'!P76+$E$46*'GREET2_Factors_T&amp;D'!Q76</f>
        <v>0.9985347652533888</v>
      </c>
      <c r="H77" s="347">
        <f t="array" aca="1" ref="H77" ca="1">H$37*(H$29*(D$9*GREET1_Import_Export!$K76)+GREET1_Import_Export!$F$200*GREET1_Import_Export!$B205+GREET1_Import_Export!$F205)+H$38*(H$29*(D$13*GREET1_Import_Export!$R76+D$14*GREET1_Import_Export!$O76)+GREET1_Import_Export!$H$200*GREET1_Import_Export!$B205+GREET1_Import_Export!$H205)+H$39*(H$29*(D$10*GREET1_Import_Export!$B76+D$11*GREET1_Import_Export!$C76)+GREET1_Import_Export!$B241)+H$40*(H$29*(D$12*GREET1_Import_Export!$AA76)+GREET1_Import_Export!$C294)+
+H$41*($B$22*(GREET1_Import_Export!D319+GREET1_Import_Export!E319)+$C$22*GREET1_Import_Export!$L367+SUMPRODUCT($D$22:$F$22,GREET1_Import_Export!N367:P367))
+(MMULT($B142:$M142+0,H$42:H$53+0))</f>
        <v>126.51082401208846</v>
      </c>
      <c r="J77" s="348">
        <f>1/$B$18*('GREET2_Factors_T&amp;D'!R76+'GREET2_Factors_T&amp;D'!S76)</f>
        <v>1.9158456223982994</v>
      </c>
      <c r="K77" s="347">
        <f t="array" aca="1" ref="K77" ca="1">K$37*(K$29*(E$9*GREET1_Import_Export!$K76)+GREET1_Import_Export!$F$200*GREET1_Import_Export!$B205+GREET1_Import_Export!$F205)+K$38*(K$29*(E$13*GREET1_Import_Export!$R76+E$14*GREET1_Import_Export!$O76)+GREET1_Import_Export!$H$200*GREET1_Import_Export!$B205+GREET1_Import_Export!$H205)+K$39*(K$29*(E$10*GREET1_Import_Export!$B76+E$11*GREET1_Import_Export!$C76)+GREET1_Import_Export!$B241)+K$40*(K$29*(E$12*GREET1_Import_Export!$AA76)+GREET1_Import_Export!$C294)+K$41*GREET1_Import_Export!$L367+(MMULT($B142:$M142+0,K$42:K$53+0))</f>
        <v>12.404010983864389</v>
      </c>
      <c r="M77" s="348"/>
      <c r="N77" s="347">
        <f t="array" aca="1" ref="N77" ca="1">N$37*(N$29*(F$9*GREET1_Import_Export!$K76)+GREET1_Import_Export!$F$200*GREET1_Import_Export!$B205+GREET1_Import_Export!$F205)+N$38*(N$29*(F$13*GREET1_Import_Export!$R76+F$14*GREET1_Import_Export!$O76)+GREET1_Import_Export!$H$200*GREET1_Import_Export!$B205+GREET1_Import_Export!$H205)+N$39*(N$29*(F$10*GREET1_Import_Export!$B76+F$11*GREET1_Import_Export!$C76)+GREET1_Import_Export!$B241)+N$40*(N$29*(F$12*GREET1_Import_Export!$AA76)+GREET1_Import_Export!$C294)+N$41*GREET1_Import_Export!$L367+(MMULT($B142:$M142+0,N$42:N$53+0))</f>
        <v>56.533906415477468</v>
      </c>
      <c r="P77" s="348"/>
      <c r="Q77" s="347">
        <f t="array" aca="1" ref="Q77" ca="1">Q$37*(Q$29*(G$9*GREET1_Import_Export!$K76)+GREET1_Import_Export!$F$200*GREET1_Import_Export!$B205+GREET1_Import_Export!$F205)+Q$38*(Q$29*(G$13*GREET1_Import_Export!$R76+G$14*GREET1_Import_Export!$O76)+GREET1_Import_Export!$H$200*GREET1_Import_Export!$B205+GREET1_Import_Export!$H205)+Q$39*(Q$29*(G$10*GREET1_Import_Export!$B76+G$11*GREET1_Import_Export!$C76)+GREET1_Import_Export!$B241)+Q$40*(Q$29*(G$12*GREET1_Import_Export!$AA76)+GREET1_Import_Export!$C294)+Q$41*(GREET1_Import_Export!$D319+GREET1_Import_Export!$E319)+(MMULT(B142:M142+0,$Q$42:$Q$53+0))</f>
        <v>0.44884211578598654</v>
      </c>
      <c r="S77" s="348"/>
      <c r="T77" s="347">
        <f t="array" aca="1" ref="T77" ca="1">T$37*(T$29*(H$9*GREET1_Import_Export!$K76)+GREET1_Import_Export!$F$200*GREET1_Import_Export!$B205+GREET1_Import_Export!$F205)+T$38*(T$29*(H$13*GREET1_Import_Export!$R76+H$14*GREET1_Import_Export!$O76)+GREET1_Import_Export!$H$200*GREET1_Import_Export!$B205+GREET1_Import_Export!$H205)+T$39*(T$29*(H$10*GREET1_Import_Export!$B76+H$11*GREET1_Import_Export!$C76)+GREET1_Import_Export!$B241)+T$40*(T$29*(H$12*GREET1_Import_Export!$AA76)+GREET1_Import_Export!$C294)+T$41*(GREET1_Import_Export!$D319+GREET1_Import_Export!$E319)+(MMULT(B142:M142+0,$T$42:$T$53+0))</f>
        <v>6.7655872666261878</v>
      </c>
      <c r="V77" s="348"/>
      <c r="W77" s="347">
        <f t="array" aca="1" ref="W77" ca="1">W$37*(W$29*(I$9*GREET1_Import_Export!$K76)+GREET1_Import_Export!$F$200*GREET1_Import_Export!$B205+GREET1_Import_Export!$F205)+W$38*(W$29*(I$13*GREET1_Import_Export!$R76+I$14*GREET1_Import_Export!$O76)+GREET1_Import_Export!$H$200*GREET1_Import_Export!$B205+GREET1_Import_Export!$H205)+W$39*(W$29*(I$10*GREET1_Import_Export!$B76+I$11*GREET1_Import_Export!$C76)+GREET1_Import_Export!$B241)+W$40*(W$29*(I$12*GREET1_Import_Export!$AA76)+GREET1_Import_Export!$C294)+W$41*(GREET1_Import_Export!$D319+GREET1_Import_Export!$E319)+(MMULT(B142:M142+0,$W$42:$W$53+0))</f>
        <v>0.70303511053588974</v>
      </c>
      <c r="Y77" s="348"/>
      <c r="Z77" s="1321"/>
    </row>
    <row r="78" spans="1:26" s="349" customFormat="1">
      <c r="A78" s="347" t="s">
        <v>826</v>
      </c>
      <c r="B78" s="347">
        <f t="array" aca="1" ref="B78" ca="1">B$37*(B$29*(B$9*GREET1_Import_Export!$K77)+GREET1_Import_Export!$F$200*GREET1_Import_Export!$B206+GREET1_Import_Export!$F206)+B$38*(B$29*(B$13*GREET1_Import_Export!$R77+B$14*GREET1_Import_Export!$F151)+GREET1_Import_Export!$G$200*GREET1_Import_Export!$B206+GREET1_Import_Export!$G206)+B$39*(B$29*(B$10*GREET1_Import_Export!$B77+B$11*GREET1_Import_Export!$C77)+GREET1_Import_Export!$B242)+B$40*(B$29*(B$12*GREET1_Import_Export!$AA77)+GREET1_Import_Export!$C295)+B$41*GREET1_Import_Export!$M368+(MMULT($B143:$M143+0,B$42:B$53+0))</f>
        <v>20.968671786942817</v>
      </c>
      <c r="D78" s="348">
        <f>($B$38*1000000/GREET1_Import_Export!$B$32*GREET1_Import_Export!$E$32/1000/907.2)*'GREET2_Factors_T&amp;D'!L77</f>
        <v>0.2094223895741576</v>
      </c>
      <c r="E78" s="347">
        <f t="array" aca="1" ref="E78" ca="1">E$37*(E$29*(C$9*GREET1_Import_Export!$K77)+GREET1_Import_Export!$F$200*GREET1_Import_Export!$B206+GREET1_Import_Export!$F206)+E$38*(E$29*(C$13*GREET1_Import_Export!$R77+C$14*GREET1_Import_Export!$O77)+GREET1_Import_Export!$H$200*GREET1_Import_Export!$B206+GREET1_Import_Export!$H206)+E$39*(E$29*(C$10*GREET1_Import_Export!$B77+C$11*GREET1_Import_Export!$C77)+GREET1_Import_Export!$B242)+E$40*(E$29*(C$12*GREET1_Import_Export!$AA77)+GREET1_Import_Export!$C295)+E$41*GREET1_Import_Export!$M368+(MMULT($B143:$M143+0,E$42:E$53+0))</f>
        <v>11.163852032831221</v>
      </c>
      <c r="G78" s="348">
        <f>$E$42*('GREET2_Factors_T&amp;D'!M77+'GREET2_Factors_T&amp;D'!N77)+$E$44*'GREET2_Factors_T&amp;D'!O77+$E$45*'GREET2_Factors_T&amp;D'!P77+$E$46*'GREET2_Factors_T&amp;D'!Q77</f>
        <v>2.260718121561891</v>
      </c>
      <c r="H78" s="347">
        <f t="array" aca="1" ref="H78" ca="1">H$37*(H$29*(D$9*GREET1_Import_Export!$K77)+GREET1_Import_Export!$F$200*GREET1_Import_Export!$B206+GREET1_Import_Export!$F206)+H$38*(H$29*(D$13*GREET1_Import_Export!$R77+D$14*GREET1_Import_Export!$O77)+GREET1_Import_Export!$H$200*GREET1_Import_Export!$B206+GREET1_Import_Export!$H206)+H$39*(H$29*(D$10*GREET1_Import_Export!$B77+D$11*GREET1_Import_Export!$C77)+GREET1_Import_Export!$B242)+H$40*(H$29*(D$12*GREET1_Import_Export!$AA77)+GREET1_Import_Export!$C295)+
+H$41*($B$22*(GREET1_Import_Export!D320+GREET1_Import_Export!E320)+$C$22*GREET1_Import_Export!$L368+SUMPRODUCT($D$22:$F$22,GREET1_Import_Export!N368:P368))
+(MMULT($B143:$M143+0,H$42:H$53+0))</f>
        <v>1309.6591206840483</v>
      </c>
      <c r="J78" s="348">
        <f>1/$B$18*('GREET2_Factors_T&amp;D'!R77+'GREET2_Factors_T&amp;D'!S77)</f>
        <v>4.4684283088623813</v>
      </c>
      <c r="K78" s="347">
        <f t="array" aca="1" ref="K78" ca="1">K$37*(K$29*(E$9*GREET1_Import_Export!$K77)+GREET1_Import_Export!$F$200*GREET1_Import_Export!$B206+GREET1_Import_Export!$F206)+K$38*(K$29*(E$13*GREET1_Import_Export!$R77+E$14*GREET1_Import_Export!$O77)+GREET1_Import_Export!$H$200*GREET1_Import_Export!$B206+GREET1_Import_Export!$H206)+K$39*(K$29*(E$10*GREET1_Import_Export!$B77+E$11*GREET1_Import_Export!$C77)+GREET1_Import_Export!$B242)+K$40*(K$29*(E$12*GREET1_Import_Export!$AA77)+GREET1_Import_Export!$C295)+K$41*GREET1_Import_Export!$L368+(MMULT($B143:$M143+0,K$42:K$53+0))</f>
        <v>106.87835743206881</v>
      </c>
      <c r="M78" s="348"/>
      <c r="N78" s="347">
        <f t="array" aca="1" ref="N78" ca="1">N$37*(N$29*(F$9*GREET1_Import_Export!$K77)+GREET1_Import_Export!$F$200*GREET1_Import_Export!$B206+GREET1_Import_Export!$F206)+N$38*(N$29*(F$13*GREET1_Import_Export!$R77+F$14*GREET1_Import_Export!$O77)+GREET1_Import_Export!$H$200*GREET1_Import_Export!$B206+GREET1_Import_Export!$H206)+N$39*(N$29*(F$10*GREET1_Import_Export!$B77+F$11*GREET1_Import_Export!$C77)+GREET1_Import_Export!$B242)+N$40*(N$29*(F$12*GREET1_Import_Export!$AA77)+GREET1_Import_Export!$C295)+N$41*GREET1_Import_Export!$L368+(MMULT($B143:$M143+0,N$42:N$53+0))</f>
        <v>751.18801038442848</v>
      </c>
      <c r="P78" s="348"/>
      <c r="Q78" s="347">
        <f t="array" aca="1" ref="Q78" ca="1">Q$37*(Q$29*(G$9*GREET1_Import_Export!$K77)+GREET1_Import_Export!$F$200*GREET1_Import_Export!$B206+GREET1_Import_Export!$F206)+Q$38*(Q$29*(G$13*GREET1_Import_Export!$R77+G$14*GREET1_Import_Export!$O77)+GREET1_Import_Export!$H$200*GREET1_Import_Export!$B206+GREET1_Import_Export!$H206)+Q$39*(Q$29*(G$10*GREET1_Import_Export!$B77+G$11*GREET1_Import_Export!$C77)+GREET1_Import_Export!$B242)+Q$40*(Q$29*(G$12*GREET1_Import_Export!$AA77)+GREET1_Import_Export!$C295)+Q$41*(GREET1_Import_Export!$D320+GREET1_Import_Export!$E320)+(MMULT(B143:M143+0,$Q$42:$Q$53+0))</f>
        <v>3.8015167274334747</v>
      </c>
      <c r="S78" s="348"/>
      <c r="T78" s="347">
        <f t="array" aca="1" ref="T78" ca="1">T$37*(T$29*(H$9*GREET1_Import_Export!$K77)+GREET1_Import_Export!$F$200*GREET1_Import_Export!$B206+GREET1_Import_Export!$F206)+T$38*(T$29*(H$13*GREET1_Import_Export!$R77+H$14*GREET1_Import_Export!$O77)+GREET1_Import_Export!$H$200*GREET1_Import_Export!$B206+GREET1_Import_Export!$H206)+T$39*(T$29*(H$10*GREET1_Import_Export!$B77+H$11*GREET1_Import_Export!$C77)+GREET1_Import_Export!$B242)+T$40*(T$29*(H$12*GREET1_Import_Export!$AA77)+GREET1_Import_Export!$C295)+T$41*(GREET1_Import_Export!$D320+GREET1_Import_Export!$E320)+(MMULT(B143:M143+0,$T$42:$T$53+0))</f>
        <v>56.719995044570453</v>
      </c>
      <c r="V78" s="348"/>
      <c r="W78" s="347">
        <f t="array" aca="1" ref="W78" ca="1">W$37*(W$29*(I$9*GREET1_Import_Export!$K77)+GREET1_Import_Export!$F$200*GREET1_Import_Export!$B206+GREET1_Import_Export!$F206)+W$38*(W$29*(I$13*GREET1_Import_Export!$R77+I$14*GREET1_Import_Export!$O77)+GREET1_Import_Export!$H$200*GREET1_Import_Export!$B206+GREET1_Import_Export!$H206)+W$39*(W$29*(I$10*GREET1_Import_Export!$B77+I$11*GREET1_Import_Export!$C77)+GREET1_Import_Export!$B242)+W$40*(W$29*(I$12*GREET1_Import_Export!$AA77)+GREET1_Import_Export!$C295)+W$41*(GREET1_Import_Export!$D320+GREET1_Import_Export!$E320)+(MMULT(B143:M143+0,$W$42:$W$53+0))</f>
        <v>5.6050689088261896</v>
      </c>
      <c r="Y78" s="348"/>
      <c r="Z78" s="1321"/>
    </row>
    <row r="79" spans="1:26" s="349" customFormat="1">
      <c r="A79" s="347" t="s">
        <v>827</v>
      </c>
      <c r="B79" s="347">
        <f t="array" aca="1" ref="B79" ca="1">B$37*(B$29*(B$9*GREET1_Import_Export!$K78)+GREET1_Import_Export!$F$200*GREET1_Import_Export!$B207+GREET1_Import_Export!$F207)+B$38*(B$29*(B$13*GREET1_Import_Export!$R78+B$14*GREET1_Import_Export!$F152)+GREET1_Import_Export!$G$200*GREET1_Import_Export!$B207+GREET1_Import_Export!$G207)+B$39*(B$29*(B$10*GREET1_Import_Export!$B78+B$11*GREET1_Import_Export!$C78)+GREET1_Import_Export!$B243)+B$40*(B$29*(B$12*GREET1_Import_Export!$AA78)+GREET1_Import_Export!$C296)+B$41*GREET1_Import_Export!$M369+(MMULT($B144:$M144+0,B$42:B$53+0))</f>
        <v>1.1784527807652707</v>
      </c>
      <c r="D79" s="348">
        <f>($B$38*1000000/GREET1_Import_Export!$B$32*GREET1_Import_Export!$E$32/1000/907.2)*'GREET2_Factors_T&amp;D'!L78</f>
        <v>1.176967238820785E-2</v>
      </c>
      <c r="E79" s="347">
        <f t="array" aca="1" ref="E79" ca="1">E$37*(E$29*(C$9*GREET1_Import_Export!$K78)+GREET1_Import_Export!$F$200*GREET1_Import_Export!$B207+GREET1_Import_Export!$F207)+E$38*(E$29*(C$13*GREET1_Import_Export!$R78+C$14*GREET1_Import_Export!$O78)+GREET1_Import_Export!$H$200*GREET1_Import_Export!$B207+GREET1_Import_Export!$H207)+E$39*(E$29*(C$10*GREET1_Import_Export!$B78+C$11*GREET1_Import_Export!$C78)+GREET1_Import_Export!$B243)+E$40*(E$29*(C$12*GREET1_Import_Export!$AA78)+GREET1_Import_Export!$C296)+E$41*GREET1_Import_Export!$M369+(MMULT($B144:$M144+0,E$42:E$53+0))</f>
        <v>9.4008871551124168E-2</v>
      </c>
      <c r="G79" s="348">
        <f>$E$42*('GREET2_Factors_T&amp;D'!M78+'GREET2_Factors_T&amp;D'!N78)+$E$44*'GREET2_Factors_T&amp;D'!O78+$E$45*'GREET2_Factors_T&amp;D'!P78+$E$46*'GREET2_Factors_T&amp;D'!Q78</f>
        <v>0.12705380598021543</v>
      </c>
      <c r="H79" s="347">
        <f t="array" aca="1" ref="H79" ca="1">H$37*(H$29*(D$9*GREET1_Import_Export!$K78)+GREET1_Import_Export!$F$200*GREET1_Import_Export!$B207+GREET1_Import_Export!$F207)+H$38*(H$29*(D$13*GREET1_Import_Export!$R78+D$14*GREET1_Import_Export!$O78)+GREET1_Import_Export!$H$200*GREET1_Import_Export!$B207+GREET1_Import_Export!$H207)+H$39*(H$29*(D$10*GREET1_Import_Export!$B78+D$11*GREET1_Import_Export!$C78)+GREET1_Import_Export!$B243)+H$40*(H$29*(D$12*GREET1_Import_Export!$AA78)+GREET1_Import_Export!$C296)+
+H$41*($B$22*(GREET1_Import_Export!D321+GREET1_Import_Export!E321)+$C$22*GREET1_Import_Export!$L369+SUMPRODUCT($D$22:$F$22,GREET1_Import_Export!N369:P369))
+(MMULT($B144:$M144+0,H$42:H$53+0))</f>
        <v>6.6399185341977756</v>
      </c>
      <c r="J79" s="348">
        <f>1/$B$18*('GREET2_Factors_T&amp;D'!R78+'GREET2_Factors_T&amp;D'!S78)</f>
        <v>0.23488793911746259</v>
      </c>
      <c r="K79" s="347">
        <f t="array" aca="1" ref="K79" ca="1">K$37*(K$29*(E$9*GREET1_Import_Export!$K78)+GREET1_Import_Export!$F$200*GREET1_Import_Export!$B207+GREET1_Import_Export!$F207)+K$38*(K$29*(E$13*GREET1_Import_Export!$R78+E$14*GREET1_Import_Export!$O78)+GREET1_Import_Export!$H$200*GREET1_Import_Export!$B207+GREET1_Import_Export!$H207)+K$39*(K$29*(E$10*GREET1_Import_Export!$B78+E$11*GREET1_Import_Export!$C78)+GREET1_Import_Export!$B243)+K$40*(K$29*(E$12*GREET1_Import_Export!$AA78)+GREET1_Import_Export!$C296)+K$41*GREET1_Import_Export!$L369+(MMULT($B144:$M144+0,K$42:K$53+0))</f>
        <v>0.77316227541317828</v>
      </c>
      <c r="M79" s="348"/>
      <c r="N79" s="347">
        <f t="array" aca="1" ref="N79" ca="1">N$37*(N$29*(F$9*GREET1_Import_Export!$K78)+GREET1_Import_Export!$F$200*GREET1_Import_Export!$B207+GREET1_Import_Export!$F207)+N$38*(N$29*(F$13*GREET1_Import_Export!$R78+F$14*GREET1_Import_Export!$O78)+GREET1_Import_Export!$H$200*GREET1_Import_Export!$B207+GREET1_Import_Export!$H207)+N$39*(N$29*(F$10*GREET1_Import_Export!$B78+F$11*GREET1_Import_Export!$C78)+GREET1_Import_Export!$B243)+N$40*(N$29*(F$12*GREET1_Import_Export!$AA78)+GREET1_Import_Export!$C296)+N$41*GREET1_Import_Export!$L369+(MMULT($B144:$M144+0,N$42:N$53+0))</f>
        <v>2.462504394392945</v>
      </c>
      <c r="P79" s="348"/>
      <c r="Q79" s="347">
        <f t="array" aca="1" ref="Q79" ca="1">Q$37*(Q$29*(G$9*GREET1_Import_Export!$K78)+GREET1_Import_Export!$F$200*GREET1_Import_Export!$B207+GREET1_Import_Export!$F207)+Q$38*(Q$29*(G$13*GREET1_Import_Export!$R78+G$14*GREET1_Import_Export!$O78)+GREET1_Import_Export!$H$200*GREET1_Import_Export!$B207+GREET1_Import_Export!$H207)+Q$39*(Q$29*(G$10*GREET1_Import_Export!$B78+G$11*GREET1_Import_Export!$C78)+GREET1_Import_Export!$B243)+Q$40*(Q$29*(G$12*GREET1_Import_Export!$AA78)+GREET1_Import_Export!$C296)+Q$41*(GREET1_Import_Export!$D321+GREET1_Import_Export!$E321)+(MMULT(B144:M144+0,$Q$42:$Q$53+0))</f>
        <v>2.326692099519698E-2</v>
      </c>
      <c r="S79" s="348"/>
      <c r="T79" s="347">
        <f t="array" aca="1" ref="T79" ca="1">T$37*(T$29*(H$9*GREET1_Import_Export!$K78)+GREET1_Import_Export!$F$200*GREET1_Import_Export!$B207+GREET1_Import_Export!$F207)+T$38*(T$29*(H$13*GREET1_Import_Export!$R78+H$14*GREET1_Import_Export!$O78)+GREET1_Import_Export!$H$200*GREET1_Import_Export!$B207+GREET1_Import_Export!$H207)+T$39*(T$29*(H$10*GREET1_Import_Export!$B78+H$11*GREET1_Import_Export!$C78)+GREET1_Import_Export!$B243)+T$40*(T$29*(H$12*GREET1_Import_Export!$AA78)+GREET1_Import_Export!$C296)+T$41*(GREET1_Import_Export!$D321+GREET1_Import_Export!$E321)+(MMULT(B144:M144+0,$T$42:$T$53+0))</f>
        <v>0.36248608368348367</v>
      </c>
      <c r="V79" s="348"/>
      <c r="W79" s="347">
        <f t="array" aca="1" ref="W79" ca="1">W$37*(W$29*(I$9*GREET1_Import_Export!$K78)+GREET1_Import_Export!$F$200*GREET1_Import_Export!$B207+GREET1_Import_Export!$F207)+W$38*(W$29*(I$13*GREET1_Import_Export!$R78+I$14*GREET1_Import_Export!$O78)+GREET1_Import_Export!$H$200*GREET1_Import_Export!$B207+GREET1_Import_Export!$H207)+W$39*(W$29*(I$10*GREET1_Import_Export!$B78+I$11*GREET1_Import_Export!$C78)+GREET1_Import_Export!$B243)+W$40*(W$29*(I$12*GREET1_Import_Export!$AA78)+GREET1_Import_Export!$C296)+W$41*(GREET1_Import_Export!$D321+GREET1_Import_Export!$E321)+(MMULT(B144:M144+0,$W$42:$W$53+0))</f>
        <v>8.4143002173365997E-2</v>
      </c>
      <c r="Y79" s="348"/>
      <c r="Z79" s="1321"/>
    </row>
    <row r="80" spans="1:26" s="349" customFormat="1">
      <c r="A80" s="503" t="s">
        <v>828</v>
      </c>
      <c r="B80" s="503">
        <f t="array" aca="1" ref="B80" ca="1">B$37*(B$29*(B$9*GREET1_Import_Export!$K79)+GREET1_Import_Export!$F$200*GREET1_Import_Export!$B208+GREET1_Import_Export!$F208)+B$38*(B$29*(B$13*GREET1_Import_Export!$R79+B$14*GREET1_Import_Export!$F153)+GREET1_Import_Export!$G$200*GREET1_Import_Export!$B208+GREET1_Import_Export!$G208)+B$39*(B$29*(B$10*GREET1_Import_Export!$B79+B$11*GREET1_Import_Export!$C79)+GREET1_Import_Export!$B244)+B$40*(B$29*(B$12*GREET1_Import_Export!$AA79)+GREET1_Import_Export!$C297)+B$41*GREET1_Import_Export!$M370+(MMULT($B145:$M145+0,B$42:B$53+0))</f>
        <v>1.6680298974130519</v>
      </c>
      <c r="C80" s="505"/>
      <c r="D80" s="502">
        <f>($B$38*1000000/GREET1_Import_Export!$B$32*GREET1_Import_Export!$E$32/1000/907.2)*'GREET2_Factors_T&amp;D'!L79</f>
        <v>1.66592720104905E-2</v>
      </c>
      <c r="E80" s="503">
        <f t="array" aca="1" ref="E80" ca="1">E$37*(E$29*(C$9*GREET1_Import_Export!$K79)+GREET1_Import_Export!$F$200*GREET1_Import_Export!$B208+GREET1_Import_Export!$F208)+E$38*(E$29*(C$13*GREET1_Import_Export!$R79+C$14*GREET1_Import_Export!$O79)+GREET1_Import_Export!$H$200*GREET1_Import_Export!$B208+GREET1_Import_Export!$H208)+E$39*(E$29*(C$10*GREET1_Import_Export!$B79+C$11*GREET1_Import_Export!$C79)+GREET1_Import_Export!$B244)+E$40*(E$29*(C$12*GREET1_Import_Export!$AA79)+GREET1_Import_Export!$C297)+E$41*GREET1_Import_Export!$M370+(MMULT($B145:$M145+0,E$42:E$53+0))</f>
        <v>0.38997821385264214</v>
      </c>
      <c r="F80" s="505"/>
      <c r="G80" s="502">
        <f>$E$42*('GREET2_Factors_T&amp;D'!M79+'GREET2_Factors_T&amp;D'!N79)+$E$44*'GREET2_Factors_T&amp;D'!O79+$E$45*'GREET2_Factors_T&amp;D'!P79+$E$46*'GREET2_Factors_T&amp;D'!Q79</f>
        <v>0.179837113895639</v>
      </c>
      <c r="H80" s="503">
        <f t="array" aca="1" ref="H80" ca="1">H$37*(H$29*(D$9*GREET1_Import_Export!$K79)+GREET1_Import_Export!$F$200*GREET1_Import_Export!$B208+GREET1_Import_Export!$F208)+H$38*(H$29*(D$13*GREET1_Import_Export!$R79+D$14*GREET1_Import_Export!$O79)+GREET1_Import_Export!$H$200*GREET1_Import_Export!$B208+GREET1_Import_Export!$H208)+H$39*(H$29*(D$10*GREET1_Import_Export!$B79+D$11*GREET1_Import_Export!$C79)+GREET1_Import_Export!$B244)+H$40*(H$29*(D$12*GREET1_Import_Export!$AA79)+GREET1_Import_Export!$C297)+
+H$41*($B$22*(GREET1_Import_Export!D322+GREET1_Import_Export!E322)+$C$22*GREET1_Import_Export!$L370+SUMPRODUCT($D$22:$F$22,GREET1_Import_Export!N370:P370))
+(MMULT($B145:$M145+0,H$42:H$53+0))</f>
        <v>25.306164626728435</v>
      </c>
      <c r="I80" s="505"/>
      <c r="J80" s="502">
        <f>1/$B$18*('GREET2_Factors_T&amp;D'!R79+'GREET2_Factors_T&amp;D'!S79)</f>
        <v>0.33721606165258838</v>
      </c>
      <c r="K80" s="503">
        <f t="array" aca="1" ref="K80" ca="1">K$37*(K$29*(E$9*GREET1_Import_Export!$K79)+GREET1_Import_Export!$F$200*GREET1_Import_Export!$B208+GREET1_Import_Export!$F208)+K$38*(K$29*(E$13*GREET1_Import_Export!$R79+E$14*GREET1_Import_Export!$O79)+GREET1_Import_Export!$H$200*GREET1_Import_Export!$B208+GREET1_Import_Export!$H208)+K$39*(K$29*(E$10*GREET1_Import_Export!$B79+E$11*GREET1_Import_Export!$C79)+GREET1_Import_Export!$B244)+K$40*(K$29*(E$12*GREET1_Import_Export!$AA79)+GREET1_Import_Export!$C297)+K$41*GREET1_Import_Export!$L370+(MMULT($B145:$M145+0,K$42:K$53+0))</f>
        <v>3.5031809139228902</v>
      </c>
      <c r="L80" s="505"/>
      <c r="M80" s="502"/>
      <c r="N80" s="503">
        <f t="array" aca="1" ref="N80" ca="1">N$37*(N$29*(F$9*GREET1_Import_Export!$K79)+GREET1_Import_Export!$F$200*GREET1_Import_Export!$B208+GREET1_Import_Export!$F208)+N$38*(N$29*(F$13*GREET1_Import_Export!$R79+F$14*GREET1_Import_Export!$O79)+GREET1_Import_Export!$H$200*GREET1_Import_Export!$B208+GREET1_Import_Export!$H208)+N$39*(N$29*(F$10*GREET1_Import_Export!$B79+F$11*GREET1_Import_Export!$C79)+GREET1_Import_Export!$B244)+N$40*(N$29*(F$12*GREET1_Import_Export!$AA79)+GREET1_Import_Export!$C297)+N$41*GREET1_Import_Export!$L370+(MMULT($B145:$M145+0,N$42:N$53+0))</f>
        <v>4.9794115635596254</v>
      </c>
      <c r="O80" s="505"/>
      <c r="P80" s="502"/>
      <c r="Q80" s="503">
        <f t="array" aca="1" ref="Q80" ca="1">Q$37*(Q$29*(G$9*GREET1_Import_Export!$K79)+GREET1_Import_Export!$F$200*GREET1_Import_Export!$B208+GREET1_Import_Export!$F208)+Q$38*(Q$29*(G$13*GREET1_Import_Export!$R79+G$14*GREET1_Import_Export!$O79)+GREET1_Import_Export!$H$200*GREET1_Import_Export!$B208+GREET1_Import_Export!$H208)+Q$39*(Q$29*(G$10*GREET1_Import_Export!$B79+G$11*GREET1_Import_Export!$C79)+GREET1_Import_Export!$B244)+Q$40*(Q$29*(G$12*GREET1_Import_Export!$AA79)+GREET1_Import_Export!$C297)+Q$41*(GREET1_Import_Export!$D322+GREET1_Import_Export!$E322)+(MMULT(B145:M145+0,$Q$42:$Q$53+0))</f>
        <v>0.12843831370588391</v>
      </c>
      <c r="R80" s="505"/>
      <c r="S80" s="502"/>
      <c r="T80" s="503">
        <f t="array" aca="1" ref="T80" ca="1">T$37*(T$29*(H$9*GREET1_Import_Export!$K79)+GREET1_Import_Export!$F$200*GREET1_Import_Export!$B208+GREET1_Import_Export!$F208)+T$38*(T$29*(H$13*GREET1_Import_Export!$R79+H$14*GREET1_Import_Export!$O79)+GREET1_Import_Export!$H$200*GREET1_Import_Export!$B208+GREET1_Import_Export!$H208)+T$39*(T$29*(H$10*GREET1_Import_Export!$B79+H$11*GREET1_Import_Export!$C79)+GREET1_Import_Export!$B244)+T$40*(T$29*(H$12*GREET1_Import_Export!$AA79)+GREET1_Import_Export!$C297)+T$41*(GREET1_Import_Export!$D322+GREET1_Import_Export!$E322)+(MMULT(B145:M145+0,$T$42:$T$53+0))</f>
        <v>1.9253050524246946</v>
      </c>
      <c r="U80" s="505"/>
      <c r="V80" s="502"/>
      <c r="W80" s="503">
        <f t="array" aca="1" ref="W80" ca="1">W$37*(W$29*(I$9*GREET1_Import_Export!$K79)+GREET1_Import_Export!$F$200*GREET1_Import_Export!$B208+GREET1_Import_Export!$F208)+W$38*(W$29*(I$13*GREET1_Import_Export!$R79+I$14*GREET1_Import_Export!$O79)+GREET1_Import_Export!$H$200*GREET1_Import_Export!$B208+GREET1_Import_Export!$H208)+W$39*(W$29*(I$10*GREET1_Import_Export!$B79+I$11*GREET1_Import_Export!$C79)+GREET1_Import_Export!$B244)+W$40*(W$29*(I$12*GREET1_Import_Export!$AA79)+GREET1_Import_Export!$C297)+W$41*(GREET1_Import_Export!$D322+GREET1_Import_Export!$E322)+(MMULT(B145:M145+0,$W$42:$W$53+0))</f>
        <v>0.23825805061740851</v>
      </c>
      <c r="X80" s="505"/>
      <c r="Y80" s="502"/>
      <c r="Z80" s="1321"/>
    </row>
    <row r="81" spans="1:19" s="349" customFormat="1"/>
    <row r="82" spans="1:19" s="349" customFormat="1" ht="15">
      <c r="A82" s="602" t="s">
        <v>1076</v>
      </c>
    </row>
    <row r="83" spans="1:19" s="349" customFormat="1" ht="15">
      <c r="A83" s="602"/>
      <c r="B83" s="3069" t="s">
        <v>1077</v>
      </c>
      <c r="C83" s="3070"/>
      <c r="D83" s="3070"/>
      <c r="E83" s="3070"/>
      <c r="F83" s="3070"/>
      <c r="G83" s="3069" t="s">
        <v>1078</v>
      </c>
      <c r="H83" s="3070"/>
      <c r="I83" s="3070"/>
      <c r="J83" s="3070"/>
      <c r="K83" s="3070"/>
      <c r="L83" s="3070"/>
      <c r="M83" s="3070"/>
      <c r="N83" s="3070"/>
      <c r="O83" s="3070"/>
      <c r="P83" s="3071"/>
      <c r="Q83" s="1321"/>
      <c r="R83" s="1321"/>
      <c r="S83" s="1321"/>
    </row>
    <row r="84" spans="1:19" s="349" customFormat="1" ht="38.25" customHeight="1">
      <c r="A84" s="510"/>
      <c r="B84" s="759" t="s">
        <v>488</v>
      </c>
      <c r="C84" s="610" t="s">
        <v>489</v>
      </c>
      <c r="D84" s="610" t="s">
        <v>1035</v>
      </c>
      <c r="E84" s="610" t="s">
        <v>1036</v>
      </c>
      <c r="F84" s="1135" t="s">
        <v>492</v>
      </c>
      <c r="G84" s="3074" t="s">
        <v>1079</v>
      </c>
      <c r="H84" s="3075"/>
      <c r="I84" s="3072" t="s">
        <v>1080</v>
      </c>
      <c r="J84" s="3073"/>
      <c r="K84" s="3072" t="s">
        <v>1081</v>
      </c>
      <c r="L84" s="3073"/>
      <c r="M84" s="3072" t="s">
        <v>1082</v>
      </c>
      <c r="N84" s="3073"/>
      <c r="O84" s="3072" t="s">
        <v>1083</v>
      </c>
      <c r="P84" s="3073"/>
      <c r="Q84" s="1321"/>
      <c r="R84" s="1321"/>
      <c r="S84" s="1321"/>
    </row>
    <row r="85" spans="1:19" s="349" customFormat="1">
      <c r="A85" s="699" t="s">
        <v>1029</v>
      </c>
      <c r="B85" s="761"/>
      <c r="C85" s="605"/>
      <c r="D85" s="605"/>
      <c r="E85" s="605"/>
      <c r="F85" s="605"/>
      <c r="G85" s="679" t="s">
        <v>845</v>
      </c>
      <c r="H85" s="615" t="s">
        <v>846</v>
      </c>
      <c r="I85" s="679" t="s">
        <v>845</v>
      </c>
      <c r="J85" s="673" t="s">
        <v>846</v>
      </c>
      <c r="K85" s="679" t="s">
        <v>845</v>
      </c>
      <c r="L85" s="673" t="s">
        <v>846</v>
      </c>
      <c r="M85" s="679" t="s">
        <v>845</v>
      </c>
      <c r="N85" s="673" t="s">
        <v>846</v>
      </c>
      <c r="O85" s="679" t="s">
        <v>845</v>
      </c>
      <c r="P85" s="673" t="s">
        <v>846</v>
      </c>
      <c r="Q85" s="1321"/>
      <c r="R85" s="1321"/>
      <c r="S85" s="1321"/>
    </row>
    <row r="86" spans="1:19" s="349" customFormat="1">
      <c r="A86" s="494" t="s">
        <v>816</v>
      </c>
      <c r="B86" s="349">
        <f ca="1">SUM(B54:D54)</f>
        <v>25.765135159495962</v>
      </c>
      <c r="C86" s="349">
        <f ca="1">SUM(E54:G54)</f>
        <v>24.430888828083507</v>
      </c>
      <c r="D86" s="349">
        <f ca="1">SUM(H54:J54)</f>
        <v>184.67087426876012</v>
      </c>
      <c r="E86" s="349">
        <f ca="1">SUM(K54:M54)</f>
        <v>52.811452690037783</v>
      </c>
      <c r="F86" s="349">
        <f ca="1">SUM(N54:P54)</f>
        <v>27.060741468686164</v>
      </c>
      <c r="G86" s="494">
        <f t="shared" ref="G86:G91" ca="1" si="2">SUM(B86:D86)*$C$18</f>
        <v>89.305763086031021</v>
      </c>
      <c r="H86" s="349">
        <f ca="1">G86/2000</f>
        <v>4.4652881543015513E-2</v>
      </c>
      <c r="I86" s="494">
        <f t="shared" ref="I86:I91" ca="1" si="3">SUM(B86:D86)*$D$18</f>
        <v>106.60934365639599</v>
      </c>
      <c r="J86" s="348">
        <f ca="1">I86/2000</f>
        <v>5.3304671828197994E-2</v>
      </c>
      <c r="K86" s="494">
        <f ca="1">SUM(B86:E86)*$E$18</f>
        <v>211.22217973366793</v>
      </c>
      <c r="L86" s="348">
        <f ca="1">K86/2000</f>
        <v>0.10561108986683397</v>
      </c>
      <c r="M86" s="494">
        <f t="shared" ref="M86:M91" ca="1" si="4">SUM(B86:E86)*$F$18</f>
        <v>226.25511472165238</v>
      </c>
      <c r="N86" s="348">
        <f ca="1">M86/2000</f>
        <v>0.11312755736082619</v>
      </c>
      <c r="O86" s="494">
        <f ca="1">(SUM(B86:D86)+F86)*$G$18</f>
        <v>261.92763972502576</v>
      </c>
      <c r="P86" s="348">
        <f ca="1">O86/2000</f>
        <v>0.13096381986251288</v>
      </c>
      <c r="Q86" s="1321"/>
      <c r="R86" s="1321"/>
      <c r="S86" s="1321"/>
    </row>
    <row r="87" spans="1:19" s="349" customFormat="1">
      <c r="A87" s="494" t="s">
        <v>817</v>
      </c>
      <c r="B87" s="349">
        <f t="shared" ref="B87:B102" ca="1" si="5">SUM(B55:D55)</f>
        <v>25.641098071714428</v>
      </c>
      <c r="C87" s="349">
        <f t="shared" ref="C87:C90" ca="1" si="6">SUM(E55:G55)</f>
        <v>15.708952648771291</v>
      </c>
      <c r="D87" s="349">
        <f t="shared" ref="D87:D103" ca="1" si="7">SUM(H55:J55)</f>
        <v>169.24778629698011</v>
      </c>
      <c r="E87" s="349">
        <f t="shared" ref="E87:E103" ca="1" si="8">SUM(K55:M55)</f>
        <v>50.788800613135479</v>
      </c>
      <c r="F87" s="349">
        <f t="shared" ref="F87:F103" ca="1" si="9">SUM(N55:P55)</f>
        <v>23.65906975944819</v>
      </c>
      <c r="G87" s="494">
        <f t="shared" ca="1" si="2"/>
        <v>80.077697958889431</v>
      </c>
      <c r="H87" s="349">
        <f ca="1">G87/2000</f>
        <v>4.0038848979444715E-2</v>
      </c>
      <c r="I87" s="494">
        <f t="shared" ca="1" si="3"/>
        <v>95.593280051684189</v>
      </c>
      <c r="J87" s="348">
        <f ca="1">I87/2000</f>
        <v>4.7796640025842094E-2</v>
      </c>
      <c r="K87" s="494">
        <f t="shared" ref="K87:K91" ca="1" si="10">SUM(B87:E87)*$E$18</f>
        <v>191.91800555016786</v>
      </c>
      <c r="L87" s="348">
        <f ca="1">K87/2000</f>
        <v>9.5959002775083929E-2</v>
      </c>
      <c r="M87" s="494">
        <f t="shared" ca="1" si="4"/>
        <v>205.57703938883554</v>
      </c>
      <c r="N87" s="348">
        <f ca="1">M87/2000</f>
        <v>0.10278851969441777</v>
      </c>
      <c r="O87" s="494">
        <f t="shared" ref="O87:O91" ca="1" si="11">(SUM(B87:D87)+F87)*$G$18</f>
        <v>234.25690677691401</v>
      </c>
      <c r="P87" s="348">
        <f ca="1">O87/2000</f>
        <v>0.11712845338845701</v>
      </c>
      <c r="Q87" s="1321"/>
      <c r="R87" s="1321"/>
      <c r="S87" s="1321"/>
    </row>
    <row r="88" spans="1:19" s="349" customFormat="1">
      <c r="A88" s="494" t="s">
        <v>805</v>
      </c>
      <c r="B88" s="349">
        <f t="shared" ca="1" si="5"/>
        <v>0.1574740265041833</v>
      </c>
      <c r="C88" s="349">
        <f t="shared" ca="1" si="6"/>
        <v>1.4915648126411036</v>
      </c>
      <c r="D88" s="349">
        <f t="shared" ca="1" si="7"/>
        <v>40.897163788097508</v>
      </c>
      <c r="E88" s="349">
        <f t="shared" ca="1" si="8"/>
        <v>3.2202378586455311</v>
      </c>
      <c r="F88" s="349">
        <f t="shared" ca="1" si="9"/>
        <v>22.515581101097617</v>
      </c>
      <c r="G88" s="494">
        <f t="shared" ca="1" si="2"/>
        <v>16.177763321469907</v>
      </c>
      <c r="H88" s="349">
        <f ca="1">G88/2000</f>
        <v>8.0888816607349538E-3</v>
      </c>
      <c r="I88" s="494">
        <f t="shared" ca="1" si="3"/>
        <v>19.312311657523892</v>
      </c>
      <c r="J88" s="348">
        <f ca="1">I88/2000</f>
        <v>9.6561558287619458E-3</v>
      </c>
      <c r="K88" s="494">
        <f t="shared" ca="1" si="10"/>
        <v>33.603110162024002</v>
      </c>
      <c r="L88" s="348">
        <f ca="1">K88/2000</f>
        <v>1.6801555081012002E-2</v>
      </c>
      <c r="M88" s="494">
        <f t="shared" ca="1" si="4"/>
        <v>35.994683675263659</v>
      </c>
      <c r="N88" s="348">
        <f ca="1">M88/2000</f>
        <v>1.7997341837631829E-2</v>
      </c>
      <c r="O88" s="494">
        <f t="shared" ca="1" si="11"/>
        <v>65.061783728340401</v>
      </c>
      <c r="P88" s="348">
        <f ca="1">O88/2000</f>
        <v>3.25308918641702E-2</v>
      </c>
      <c r="Q88" s="1321"/>
      <c r="R88" s="1321"/>
      <c r="S88" s="1321"/>
    </row>
    <row r="89" spans="1:19" s="349" customFormat="1">
      <c r="A89" s="494" t="s">
        <v>804</v>
      </c>
      <c r="B89" s="349">
        <f t="shared" ca="1" si="5"/>
        <v>2.6855036386531821</v>
      </c>
      <c r="C89" s="349">
        <f t="shared" ca="1" si="6"/>
        <v>11.458164434378617</v>
      </c>
      <c r="D89" s="349">
        <f t="shared" ca="1" si="7"/>
        <v>116.55454471006119</v>
      </c>
      <c r="E89" s="349">
        <f t="shared" ca="1" si="8"/>
        <v>46.47258115033361</v>
      </c>
      <c r="F89" s="349">
        <f t="shared" ca="1" si="9"/>
        <v>0.72384982033691037</v>
      </c>
      <c r="G89" s="494">
        <f t="shared" ca="1" si="2"/>
        <v>49.696673789404535</v>
      </c>
      <c r="H89" s="349">
        <f t="shared" ref="H89:P89" ca="1" si="12">H87-H88-H90</f>
        <v>2.4848336894702273E-2</v>
      </c>
      <c r="I89" s="494">
        <f t="shared" ca="1" si="3"/>
        <v>59.325732086187791</v>
      </c>
      <c r="J89" s="348">
        <f t="shared" ca="1" si="12"/>
        <v>2.9662866043093896E-2</v>
      </c>
      <c r="K89" s="494">
        <f t="shared" ca="1" si="10"/>
        <v>130.0841761524778</v>
      </c>
      <c r="L89" s="348">
        <f t="shared" ca="1" si="12"/>
        <v>6.5042088076238888E-2</v>
      </c>
      <c r="M89" s="494">
        <f t="shared" ca="1" si="4"/>
        <v>139.34242244806799</v>
      </c>
      <c r="N89" s="348">
        <f t="shared" ca="1" si="12"/>
        <v>6.9671211224033983E-2</v>
      </c>
      <c r="O89" s="494">
        <f t="shared" ca="1" si="11"/>
        <v>131.42206260342991</v>
      </c>
      <c r="P89" s="348">
        <f t="shared" ca="1" si="12"/>
        <v>6.5711031301714962E-2</v>
      </c>
      <c r="Q89" s="1321"/>
      <c r="R89" s="1321"/>
      <c r="S89" s="1321"/>
    </row>
    <row r="90" spans="1:19" s="349" customFormat="1">
      <c r="A90" s="494" t="s">
        <v>818</v>
      </c>
      <c r="B90" s="349">
        <f t="shared" ca="1" si="5"/>
        <v>22.798120406557064</v>
      </c>
      <c r="C90" s="349">
        <f t="shared" ca="1" si="6"/>
        <v>2.7592234017515715</v>
      </c>
      <c r="D90" s="349">
        <f t="shared" ca="1" si="7"/>
        <v>11.796077798821388</v>
      </c>
      <c r="E90" s="349">
        <f t="shared" ca="1" si="8"/>
        <v>1.0959816041563393</v>
      </c>
      <c r="F90" s="349">
        <f t="shared" ca="1" si="9"/>
        <v>0.41963883801366331</v>
      </c>
      <c r="G90" s="494">
        <f t="shared" ca="1" si="2"/>
        <v>14.203260848014979</v>
      </c>
      <c r="H90" s="349">
        <f ca="1">G90/2000</f>
        <v>7.10163042400749E-3</v>
      </c>
      <c r="I90" s="494">
        <f t="shared" ca="1" si="3"/>
        <v>16.955236307972502</v>
      </c>
      <c r="J90" s="348">
        <f ca="1">I90/2000</f>
        <v>8.4776181539862501E-3</v>
      </c>
      <c r="K90" s="494">
        <f t="shared" ca="1" si="10"/>
        <v>28.230719235666097</v>
      </c>
      <c r="L90" s="348">
        <f ca="1">K90/2000</f>
        <v>1.4115359617833048E-2</v>
      </c>
      <c r="M90" s="494">
        <f t="shared" ca="1" si="4"/>
        <v>30.239933265503918</v>
      </c>
      <c r="N90" s="348">
        <f ca="1">M90/2000</f>
        <v>1.5119966632751959E-2</v>
      </c>
      <c r="O90" s="494">
        <f t="shared" ca="1" si="11"/>
        <v>37.773060445143685</v>
      </c>
      <c r="P90" s="348">
        <f ca="1">O90/2000</f>
        <v>1.8886530222571841E-2</v>
      </c>
      <c r="Q90" s="1321"/>
      <c r="R90" s="1321"/>
      <c r="S90" s="1321"/>
    </row>
    <row r="91" spans="1:19" s="349" customFormat="1">
      <c r="A91" s="1504" t="s">
        <v>819</v>
      </c>
      <c r="B91" s="1505">
        <f t="shared" ca="1" si="5"/>
        <v>2234.9668567124622</v>
      </c>
      <c r="C91" s="1505">
        <f ca="1">SUM(E59:G59)</f>
        <v>14161.640584081961</v>
      </c>
      <c r="D91" s="1505">
        <f t="shared" ca="1" si="7"/>
        <v>24688.229476952092</v>
      </c>
      <c r="E91" s="1505">
        <f t="shared" ca="1" si="8"/>
        <v>5435.6700142395757</v>
      </c>
      <c r="F91" s="1505">
        <f t="shared" ca="1" si="9"/>
        <v>2249.4795739695246</v>
      </c>
      <c r="G91" s="1504">
        <f t="shared" ca="1" si="2"/>
        <v>15622.093787775619</v>
      </c>
      <c r="H91" s="1571">
        <f ca="1">G91/2000</f>
        <v>7.8110468938878093</v>
      </c>
      <c r="I91" s="1504">
        <f t="shared" ca="1" si="3"/>
        <v>18648.977487029919</v>
      </c>
      <c r="J91" s="1573">
        <f ca="1">I91/2000</f>
        <v>9.3244887435149586</v>
      </c>
      <c r="K91" s="1504">
        <f t="shared" ca="1" si="10"/>
        <v>34156.768641658709</v>
      </c>
      <c r="L91" s="1573">
        <f ca="1">K91/2000</f>
        <v>17.078384320829354</v>
      </c>
      <c r="M91" s="1504">
        <f t="shared" ca="1" si="4"/>
        <v>36587.746690635999</v>
      </c>
      <c r="N91" s="1573">
        <f ca="1">M91/2000</f>
        <v>18.293873345317998</v>
      </c>
      <c r="O91" s="1504">
        <f t="shared" ca="1" si="11"/>
        <v>43334.316491716039</v>
      </c>
      <c r="P91" s="1573">
        <f ca="1">O91/2000</f>
        <v>21.667158245858019</v>
      </c>
      <c r="Q91" s="1321"/>
      <c r="R91" s="1321"/>
      <c r="S91" s="1321"/>
    </row>
    <row r="92" spans="1:19" s="349" customFormat="1">
      <c r="A92" s="795" t="s">
        <v>1030</v>
      </c>
      <c r="B92" s="512"/>
      <c r="C92" s="512"/>
      <c r="D92" s="512"/>
      <c r="E92" s="512"/>
      <c r="F92" s="512"/>
      <c r="G92" s="679" t="s">
        <v>845</v>
      </c>
      <c r="H92" s="615" t="s">
        <v>846</v>
      </c>
      <c r="I92" s="679" t="s">
        <v>845</v>
      </c>
      <c r="J92" s="673" t="s">
        <v>846</v>
      </c>
      <c r="K92" s="679" t="s">
        <v>845</v>
      </c>
      <c r="L92" s="673" t="s">
        <v>846</v>
      </c>
      <c r="M92" s="679" t="s">
        <v>845</v>
      </c>
      <c r="N92" s="673" t="s">
        <v>846</v>
      </c>
      <c r="O92" s="679" t="s">
        <v>845</v>
      </c>
      <c r="P92" s="673" t="s">
        <v>846</v>
      </c>
      <c r="Q92" s="1321"/>
      <c r="R92" s="1321"/>
      <c r="S92" s="1321"/>
    </row>
    <row r="93" spans="1:19" s="349" customFormat="1">
      <c r="A93" s="494" t="s">
        <v>821</v>
      </c>
      <c r="B93" s="349">
        <f t="shared" ca="1" si="5"/>
        <v>685.25206983386079</v>
      </c>
      <c r="C93" s="349">
        <f ca="1">SUM(E61:G61)</f>
        <v>200.56168565499368</v>
      </c>
      <c r="D93" s="349">
        <f t="shared" ca="1" si="7"/>
        <v>2344.2803320464222</v>
      </c>
      <c r="E93" s="349">
        <f t="shared" ca="1" si="8"/>
        <v>2247.1364560225438</v>
      </c>
      <c r="F93" s="349">
        <f t="shared" ca="1" si="9"/>
        <v>198.3223973114587</v>
      </c>
      <c r="G93" s="494">
        <f t="shared" ref="G93:G105" ca="1" si="13">SUM(B93:D93)*$C$18</f>
        <v>1228.2106140481999</v>
      </c>
      <c r="H93" s="349">
        <f t="shared" ref="H93:H104" ca="1" si="14">G93/2000</f>
        <v>0.61410530702409993</v>
      </c>
      <c r="I93" s="494">
        <f t="shared" ref="I93:I105" ca="1" si="15">SUM(B93:D93)*$D$18</f>
        <v>1466.1845205819511</v>
      </c>
      <c r="J93" s="348">
        <f t="shared" ref="J93:J104" ca="1" si="16">I93/2000</f>
        <v>0.73309226029097552</v>
      </c>
      <c r="K93" s="494">
        <f ca="1">SUM(B93:E93)*$E$18</f>
        <v>4021.5489643492556</v>
      </c>
      <c r="L93" s="348">
        <f t="shared" ref="L93:L104" ca="1" si="17">K93/2000</f>
        <v>2.0107744821746278</v>
      </c>
      <c r="M93" s="494">
        <f t="shared" ref="M93:M105" ca="1" si="18">SUM(B93:E93)*$F$18</f>
        <v>4307.7674107656676</v>
      </c>
      <c r="N93" s="348">
        <f t="shared" ref="N93:N104" ca="1" si="19">M93/2000</f>
        <v>2.1538837053828339</v>
      </c>
      <c r="O93" s="494">
        <f ca="1">(SUM(B93:D93)+F93)*$G$18</f>
        <v>3428.4164848467353</v>
      </c>
      <c r="P93" s="348">
        <f t="shared" ref="P93:P104" ca="1" si="20">O93/2000</f>
        <v>1.7142082424233676</v>
      </c>
      <c r="Q93" s="1321"/>
      <c r="R93" s="1321"/>
      <c r="S93" s="1321"/>
    </row>
    <row r="94" spans="1:19" s="349" customFormat="1">
      <c r="A94" s="494" t="s">
        <v>822</v>
      </c>
      <c r="B94" s="349">
        <f t="shared" ca="1" si="5"/>
        <v>2089.2495737165173</v>
      </c>
      <c r="C94" s="349">
        <f t="shared" ref="C94:C103" ca="1" si="21">SUM(E62:G62)</f>
        <v>1096.5528858689422</v>
      </c>
      <c r="D94" s="349">
        <f t="shared" ca="1" si="7"/>
        <v>7112.067399315114</v>
      </c>
      <c r="E94" s="349">
        <f t="shared" ca="1" si="8"/>
        <v>3504.240458922628</v>
      </c>
      <c r="F94" s="349">
        <f t="shared" ca="1" si="9"/>
        <v>405.54648906909483</v>
      </c>
      <c r="G94" s="494">
        <f t="shared" ca="1" si="13"/>
        <v>3915.6608817050724</v>
      </c>
      <c r="H94" s="349">
        <f t="shared" ca="1" si="14"/>
        <v>1.9578304408525362</v>
      </c>
      <c r="I94" s="494">
        <f t="shared" ca="1" si="15"/>
        <v>4674.3460013601125</v>
      </c>
      <c r="J94" s="348">
        <f t="shared" ca="1" si="16"/>
        <v>2.3371730006800564</v>
      </c>
      <c r="K94" s="494">
        <f t="shared" ref="K94:K105" ca="1" si="22">SUM(B94:E94)*$E$18</f>
        <v>10133.928453999559</v>
      </c>
      <c r="L94" s="348">
        <f t="shared" ca="1" si="17"/>
        <v>5.0669642269997794</v>
      </c>
      <c r="M94" s="494">
        <f t="shared" ca="1" si="18"/>
        <v>10855.17225431424</v>
      </c>
      <c r="N94" s="348">
        <f t="shared" ca="1" si="19"/>
        <v>5.4275861271571202</v>
      </c>
      <c r="O94" s="494">
        <f t="shared" ref="O94:O105" ca="1" si="23">(SUM(B94:D94)+F94)*$G$18</f>
        <v>10703.416347969667</v>
      </c>
      <c r="P94" s="348">
        <f t="shared" ca="1" si="20"/>
        <v>5.351708173984834</v>
      </c>
      <c r="Q94" s="1321"/>
      <c r="R94" s="1321"/>
      <c r="S94" s="1321"/>
    </row>
    <row r="95" spans="1:19" s="349" customFormat="1">
      <c r="A95" s="494" t="s">
        <v>849</v>
      </c>
      <c r="B95" s="349">
        <f t="shared" ca="1" si="5"/>
        <v>4786.8752644215492</v>
      </c>
      <c r="C95" s="349">
        <f t="shared" ca="1" si="21"/>
        <v>1221.5953785844067</v>
      </c>
      <c r="D95" s="349">
        <f t="shared" ca="1" si="7"/>
        <v>13680.08937199016</v>
      </c>
      <c r="E95" s="349">
        <f t="shared" ca="1" si="8"/>
        <v>3110.0050160423648</v>
      </c>
      <c r="F95" s="349">
        <f t="shared" ca="1" si="9"/>
        <v>1562.3710534108939</v>
      </c>
      <c r="G95" s="494">
        <f t="shared" ca="1" si="13"/>
        <v>7486.3758548268988</v>
      </c>
      <c r="H95" s="349">
        <f t="shared" ca="1" si="14"/>
        <v>3.7431879274134494</v>
      </c>
      <c r="I95" s="494">
        <f t="shared" ca="1" si="15"/>
        <v>8936.9105494270807</v>
      </c>
      <c r="J95" s="348">
        <f t="shared" ca="1" si="16"/>
        <v>4.4684552747135404</v>
      </c>
      <c r="K95" s="494">
        <f t="shared" ca="1" si="22"/>
        <v>16739.398654135559</v>
      </c>
      <c r="L95" s="348">
        <f t="shared" ca="1" si="17"/>
        <v>8.3696993270677797</v>
      </c>
      <c r="M95" s="494">
        <f t="shared" ca="1" si="18"/>
        <v>17930.761663564175</v>
      </c>
      <c r="N95" s="348">
        <f t="shared" ca="1" si="19"/>
        <v>8.9653808317820882</v>
      </c>
      <c r="O95" s="494">
        <f t="shared" ca="1" si="23"/>
        <v>21250.931068407011</v>
      </c>
      <c r="P95" s="348">
        <f t="shared" ca="1" si="20"/>
        <v>10.625465534203506</v>
      </c>
      <c r="Q95" s="1321"/>
      <c r="R95" s="1321"/>
      <c r="S95" s="1321"/>
    </row>
    <row r="96" spans="1:19" s="349" customFormat="1">
      <c r="A96" s="494" t="s">
        <v>824</v>
      </c>
      <c r="B96" s="349">
        <f t="shared" ca="1" si="5"/>
        <v>56142.425938022978</v>
      </c>
      <c r="C96" s="349">
        <f t="shared" ca="1" si="21"/>
        <v>106.50126134961207</v>
      </c>
      <c r="D96" s="349">
        <f t="shared" ca="1" si="7"/>
        <v>1427.448995909775</v>
      </c>
      <c r="E96" s="349">
        <f t="shared" ca="1" si="8"/>
        <v>211.25851976082274</v>
      </c>
      <c r="F96" s="349">
        <f t="shared" ca="1" si="9"/>
        <v>372.47873529201769</v>
      </c>
      <c r="G96" s="494">
        <f t="shared" ca="1" si="13"/>
        <v>21930.858824281568</v>
      </c>
      <c r="H96" s="349">
        <f t="shared" ca="1" si="14"/>
        <v>10.965429412140784</v>
      </c>
      <c r="I96" s="494">
        <f t="shared" ca="1" si="15"/>
        <v>26180.107355730637</v>
      </c>
      <c r="J96" s="348">
        <f t="shared" ca="1" si="16"/>
        <v>13.090053677865319</v>
      </c>
      <c r="K96" s="494">
        <f t="shared" ca="1" si="22"/>
        <v>42502.858987873173</v>
      </c>
      <c r="L96" s="348">
        <f t="shared" ca="1" si="17"/>
        <v>21.251429493936588</v>
      </c>
      <c r="M96" s="494">
        <f t="shared" ca="1" si="18"/>
        <v>45527.838262179583</v>
      </c>
      <c r="N96" s="348">
        <f t="shared" ca="1" si="19"/>
        <v>22.763919131089793</v>
      </c>
      <c r="O96" s="494">
        <f t="shared" ca="1" si="23"/>
        <v>58048.854930574387</v>
      </c>
      <c r="P96" s="348">
        <f t="shared" ca="1" si="20"/>
        <v>29.024427465287193</v>
      </c>
      <c r="Q96" s="1321"/>
      <c r="R96" s="1321"/>
      <c r="S96" s="1321"/>
    </row>
    <row r="97" spans="1:19" s="349" customFormat="1">
      <c r="A97" s="494" t="s">
        <v>825</v>
      </c>
      <c r="B97" s="349">
        <f t="shared" ca="1" si="5"/>
        <v>6044.8594717809729</v>
      </c>
      <c r="C97" s="349">
        <f t="shared" ca="1" si="21"/>
        <v>80.37048284344813</v>
      </c>
      <c r="D97" s="349">
        <f t="shared" ca="1" si="7"/>
        <v>993.71568782113377</v>
      </c>
      <c r="E97" s="349">
        <f t="shared" ca="1" si="8"/>
        <v>173.57040442594428</v>
      </c>
      <c r="F97" s="349">
        <f t="shared" ca="1" si="9"/>
        <v>177.04087788550683</v>
      </c>
      <c r="G97" s="494">
        <f t="shared" ca="1" si="13"/>
        <v>2706.9070937049978</v>
      </c>
      <c r="H97" s="349">
        <f t="shared" ca="1" si="14"/>
        <v>1.3534535468524989</v>
      </c>
      <c r="I97" s="494">
        <f t="shared" ca="1" si="15"/>
        <v>3231.388195191083</v>
      </c>
      <c r="J97" s="348">
        <f t="shared" ca="1" si="16"/>
        <v>1.6156940975955416</v>
      </c>
      <c r="K97" s="494">
        <f t="shared" ca="1" si="22"/>
        <v>5354.3866964464969</v>
      </c>
      <c r="L97" s="348">
        <f t="shared" ca="1" si="17"/>
        <v>2.6771933482232484</v>
      </c>
      <c r="M97" s="494">
        <f t="shared" ca="1" si="18"/>
        <v>5735.4647972865805</v>
      </c>
      <c r="N97" s="348">
        <f t="shared" ca="1" si="19"/>
        <v>2.8677323986432901</v>
      </c>
      <c r="O97" s="494">
        <f t="shared" ca="1" si="23"/>
        <v>7295.9865203310619</v>
      </c>
      <c r="P97" s="348">
        <f t="shared" ca="1" si="20"/>
        <v>3.6479932601655309</v>
      </c>
      <c r="Q97" s="1321"/>
      <c r="R97" s="1321"/>
      <c r="S97" s="1321"/>
    </row>
    <row r="98" spans="1:19" s="349" customFormat="1">
      <c r="A98" s="494" t="s">
        <v>826</v>
      </c>
      <c r="B98" s="349">
        <f t="shared" ca="1" si="5"/>
        <v>109.49520396770833</v>
      </c>
      <c r="C98" s="349">
        <f t="shared" ca="1" si="21"/>
        <v>46865.258158473924</v>
      </c>
      <c r="D98" s="349">
        <f t="shared" ca="1" si="7"/>
        <v>12559.160512981322</v>
      </c>
      <c r="E98" s="349">
        <f t="shared" ca="1" si="8"/>
        <v>1000.301586449214</v>
      </c>
      <c r="F98" s="349">
        <f t="shared" ca="1" si="9"/>
        <v>2163.7120989581431</v>
      </c>
      <c r="G98" s="494">
        <f t="shared" ca="1" si="13"/>
        <v>22637.168743719238</v>
      </c>
      <c r="H98" s="349">
        <f t="shared" ca="1" si="14"/>
        <v>11.318584371859618</v>
      </c>
      <c r="I98" s="494">
        <f t="shared" ca="1" si="15"/>
        <v>27023.269480180697</v>
      </c>
      <c r="J98" s="348">
        <f t="shared" ca="1" si="16"/>
        <v>13.511634740090349</v>
      </c>
      <c r="K98" s="494">
        <f t="shared" ca="1" si="22"/>
        <v>44446.058927484104</v>
      </c>
      <c r="L98" s="348">
        <f t="shared" ca="1" si="17"/>
        <v>22.223029463742051</v>
      </c>
      <c r="M98" s="494">
        <f t="shared" ca="1" si="18"/>
        <v>47609.338064038224</v>
      </c>
      <c r="N98" s="348">
        <f t="shared" ca="1" si="19"/>
        <v>23.804669032019113</v>
      </c>
      <c r="O98" s="494">
        <f t="shared" ca="1" si="23"/>
        <v>61697.625974381095</v>
      </c>
      <c r="P98" s="348">
        <f t="shared" ca="1" si="20"/>
        <v>30.848812987190549</v>
      </c>
      <c r="Q98" s="1321"/>
      <c r="R98" s="1321"/>
      <c r="S98" s="1321"/>
    </row>
    <row r="99" spans="1:19" s="349" customFormat="1">
      <c r="A99" s="794" t="s">
        <v>827</v>
      </c>
      <c r="B99" s="349">
        <f t="shared" ca="1" si="5"/>
        <v>201.3733820306565</v>
      </c>
      <c r="C99" s="349">
        <f t="shared" ca="1" si="21"/>
        <v>10.124049763643022</v>
      </c>
      <c r="D99" s="349">
        <f t="shared" ca="1" si="7"/>
        <v>112.54101035806775</v>
      </c>
      <c r="E99" s="349">
        <f t="shared" ca="1" si="8"/>
        <v>25.149806449361787</v>
      </c>
      <c r="F99" s="349">
        <f t="shared" ca="1" si="9"/>
        <v>7.5541230327248874</v>
      </c>
      <c r="G99" s="494">
        <f t="shared" ca="1" si="13"/>
        <v>123.21234094913486</v>
      </c>
      <c r="H99" s="349">
        <f t="shared" ca="1" si="14"/>
        <v>6.1606170474567429E-2</v>
      </c>
      <c r="I99" s="494">
        <f t="shared" ca="1" si="15"/>
        <v>147.08554459471367</v>
      </c>
      <c r="J99" s="348">
        <f t="shared" ca="1" si="16"/>
        <v>7.354277229735684E-2</v>
      </c>
      <c r="K99" s="494">
        <f t="shared" ca="1" si="22"/>
        <v>256.38461415119536</v>
      </c>
      <c r="L99" s="348">
        <f t="shared" ca="1" si="17"/>
        <v>0.12819230707559767</v>
      </c>
      <c r="M99" s="494">
        <f t="shared" ca="1" si="18"/>
        <v>274.63181357558454</v>
      </c>
      <c r="N99" s="348">
        <f t="shared" ca="1" si="19"/>
        <v>0.13731590678779226</v>
      </c>
      <c r="O99" s="494">
        <f t="shared" ca="1" si="23"/>
        <v>331.59256518509216</v>
      </c>
      <c r="P99" s="348">
        <f t="shared" ca="1" si="20"/>
        <v>0.16579628259254608</v>
      </c>
      <c r="Q99" s="1321"/>
      <c r="R99" s="1321"/>
      <c r="S99" s="1321"/>
    </row>
    <row r="100" spans="1:19" s="349" customFormat="1">
      <c r="A100" s="794" t="s">
        <v>828</v>
      </c>
      <c r="B100" s="349">
        <f t="shared" ca="1" si="5"/>
        <v>60.553202084745891</v>
      </c>
      <c r="C100" s="349">
        <f t="shared" ca="1" si="21"/>
        <v>24.236565620134151</v>
      </c>
      <c r="D100" s="349">
        <f t="shared" ca="1" si="7"/>
        <v>302.99955782786157</v>
      </c>
      <c r="E100" s="349">
        <f t="shared" ca="1" si="8"/>
        <v>64.868116944933519</v>
      </c>
      <c r="F100" s="349">
        <f t="shared" ca="1" si="9"/>
        <v>15.194710801914805</v>
      </c>
      <c r="G100" s="494">
        <f t="shared" ca="1" si="13"/>
        <v>147.45296970508269</v>
      </c>
      <c r="H100" s="349">
        <f t="shared" ca="1" si="14"/>
        <v>7.3726484852541352E-2</v>
      </c>
      <c r="I100" s="494">
        <f t="shared" ca="1" si="15"/>
        <v>176.02295503932791</v>
      </c>
      <c r="J100" s="348">
        <f t="shared" ca="1" si="16"/>
        <v>8.8011477519663955E-2</v>
      </c>
      <c r="K100" s="494">
        <f t="shared" ca="1" si="22"/>
        <v>332.3548378189351</v>
      </c>
      <c r="L100" s="348">
        <f t="shared" ca="1" si="17"/>
        <v>0.16617741890946755</v>
      </c>
      <c r="M100" s="494">
        <f t="shared" ca="1" si="18"/>
        <v>356.00892886265984</v>
      </c>
      <c r="N100" s="348">
        <f t="shared" ca="1" si="19"/>
        <v>0.17800446443132992</v>
      </c>
      <c r="O100" s="494">
        <f t="shared" ca="1" si="23"/>
        <v>402.98403633465642</v>
      </c>
      <c r="P100" s="348">
        <f t="shared" ca="1" si="20"/>
        <v>0.2014920181673282</v>
      </c>
      <c r="Q100" s="1321"/>
      <c r="R100" s="1321"/>
      <c r="S100" s="1321"/>
    </row>
    <row r="101" spans="1:19" s="349" customFormat="1">
      <c r="A101" s="494" t="s">
        <v>829</v>
      </c>
      <c r="B101" s="349">
        <f t="shared" ca="1" si="5"/>
        <v>2429.5225623820957</v>
      </c>
      <c r="C101" s="349">
        <f t="shared" ca="1" si="21"/>
        <v>2696.8558742413793</v>
      </c>
      <c r="D101" s="349">
        <f t="shared" ca="1" si="7"/>
        <v>29451.67842961735</v>
      </c>
      <c r="E101" s="349">
        <f t="shared" ca="1" si="8"/>
        <v>9520.1433344489542</v>
      </c>
      <c r="F101" s="349">
        <f t="shared" ca="1" si="9"/>
        <v>3803.0659208241946</v>
      </c>
      <c r="G101" s="494">
        <f t="shared" ca="1" si="13"/>
        <v>13147.956469802184</v>
      </c>
      <c r="H101" s="349">
        <f t="shared" ca="1" si="14"/>
        <v>6.5739782349010918</v>
      </c>
      <c r="I101" s="494">
        <f t="shared" ca="1" si="15"/>
        <v>15695.459746737506</v>
      </c>
      <c r="J101" s="348">
        <f t="shared" ca="1" si="16"/>
        <v>7.8477298733687526</v>
      </c>
      <c r="K101" s="494">
        <f t="shared" ca="1" si="22"/>
        <v>32378.237493642941</v>
      </c>
      <c r="L101" s="348">
        <f t="shared" ca="1" si="17"/>
        <v>16.189118746821471</v>
      </c>
      <c r="M101" s="494">
        <f t="shared" ca="1" si="18"/>
        <v>34682.635355085287</v>
      </c>
      <c r="N101" s="348">
        <f t="shared" ca="1" si="19"/>
        <v>17.341317677542644</v>
      </c>
      <c r="O101" s="494">
        <f t="shared" ca="1" si="23"/>
        <v>38381.122787065018</v>
      </c>
      <c r="P101" s="348">
        <f t="shared" ca="1" si="20"/>
        <v>19.190561393532509</v>
      </c>
      <c r="Q101" s="1321"/>
      <c r="R101" s="1321"/>
      <c r="S101" s="1321"/>
    </row>
    <row r="102" spans="1:19" s="349" customFormat="1">
      <c r="A102" s="494" t="s">
        <v>830</v>
      </c>
      <c r="B102" s="349">
        <f t="shared" ca="1" si="5"/>
        <v>48.446575723049122</v>
      </c>
      <c r="C102" s="349">
        <f t="shared" ca="1" si="21"/>
        <v>21.752573211484496</v>
      </c>
      <c r="D102" s="349">
        <f t="shared" ca="1" si="7"/>
        <v>288.16279748575113</v>
      </c>
      <c r="E102" s="349">
        <f t="shared" ca="1" si="8"/>
        <v>84.22775816144275</v>
      </c>
      <c r="F102" s="349">
        <f t="shared" ca="1" si="9"/>
        <v>57.995538565728431</v>
      </c>
      <c r="G102" s="494">
        <f t="shared" ca="1" si="13"/>
        <v>136.26350636746247</v>
      </c>
      <c r="H102" s="349">
        <f t="shared" ca="1" si="14"/>
        <v>6.8131753183731228E-2</v>
      </c>
      <c r="I102" s="494">
        <f t="shared" ca="1" si="15"/>
        <v>162.66545938541543</v>
      </c>
      <c r="J102" s="348">
        <f t="shared" ca="1" si="16"/>
        <v>8.1332729692707717E-2</v>
      </c>
      <c r="K102" s="494">
        <f t="shared" ca="1" si="22"/>
        <v>324.96279897981617</v>
      </c>
      <c r="L102" s="348">
        <f t="shared" ca="1" si="17"/>
        <v>0.16248139948990808</v>
      </c>
      <c r="M102" s="494">
        <f t="shared" ca="1" si="18"/>
        <v>348.09078978427038</v>
      </c>
      <c r="N102" s="348">
        <f t="shared" ca="1" si="19"/>
        <v>0.17404539489213519</v>
      </c>
      <c r="O102" s="494">
        <f t="shared" ca="1" si="23"/>
        <v>416.35748498601322</v>
      </c>
      <c r="P102" s="348">
        <f t="shared" ca="1" si="20"/>
        <v>0.20817874249300661</v>
      </c>
      <c r="Q102" s="1321"/>
      <c r="R102" s="1321"/>
      <c r="S102" s="1321"/>
    </row>
    <row r="103" spans="1:19" s="419" customFormat="1">
      <c r="A103" s="630" t="s">
        <v>831</v>
      </c>
      <c r="B103" s="246">
        <f ca="1">SUM(B71:D71)</f>
        <v>1980486.0581684222</v>
      </c>
      <c r="C103" s="246">
        <f t="shared" ca="1" si="21"/>
        <v>1302131.3273301113</v>
      </c>
      <c r="D103" s="246">
        <f t="shared" ca="1" si="7"/>
        <v>11850082.249540651</v>
      </c>
      <c r="E103" s="246">
        <f t="shared" ca="1" si="8"/>
        <v>3839952.465614439</v>
      </c>
      <c r="F103" s="246">
        <f t="shared" ca="1" si="9"/>
        <v>2327599.0356565076</v>
      </c>
      <c r="G103" s="253">
        <f t="shared" ca="1" si="13"/>
        <v>5754056.0142446514</v>
      </c>
      <c r="H103" s="246">
        <f t="shared" ca="1" si="14"/>
        <v>2877.0280071223256</v>
      </c>
      <c r="I103" s="253">
        <f t="shared" ca="1" si="15"/>
        <v>6868942.3150644619</v>
      </c>
      <c r="J103" s="247">
        <f t="shared" ca="1" si="16"/>
        <v>3434.4711575322308</v>
      </c>
      <c r="K103" s="253">
        <f t="shared" ca="1" si="22"/>
        <v>13930297.218561264</v>
      </c>
      <c r="L103" s="247">
        <f t="shared" ca="1" si="17"/>
        <v>6965.1486092806317</v>
      </c>
      <c r="M103" s="253">
        <f t="shared" ca="1" si="18"/>
        <v>14921733.121334275</v>
      </c>
      <c r="N103" s="247">
        <f t="shared" ca="1" si="19"/>
        <v>7460.8665606671375</v>
      </c>
      <c r="O103" s="253">
        <f t="shared" ca="1" si="23"/>
        <v>17460298.670695692</v>
      </c>
      <c r="P103" s="247">
        <f t="shared" ca="1" si="20"/>
        <v>8730.1493353478454</v>
      </c>
      <c r="Q103" s="1321"/>
      <c r="R103" s="1321"/>
      <c r="S103" s="1321"/>
    </row>
    <row r="104" spans="1:19" s="419" customFormat="1">
      <c r="A104" s="630" t="s">
        <v>850</v>
      </c>
      <c r="B104" s="246">
        <f ca="1">B103+B93*GREET1_Import_Export!$B$62/GREET1_Import_Export!$B$65+B94*GREET1_Import_Export!$B$63/GREET1_Import_Export!$B$65</f>
        <v>1985904.8669257208</v>
      </c>
      <c r="C104" s="246">
        <f ca="1">C103+C93*GREET1_Import_Export!$B$62/GREET1_Import_Export!$B$65+C94*GREET1_Import_Export!$B$63/GREET1_Import_Export!$B$65</f>
        <v>1304479.5657853396</v>
      </c>
      <c r="D104" s="246">
        <f ca="1">D103+D93*GREET1_Import_Export!$B$62/GREET1_Import_Export!$B$65+D94*GREET1_Import_Export!$B$63/GREET1_Import_Export!$B$65</f>
        <v>11868564.695822071</v>
      </c>
      <c r="E104" s="246">
        <f ca="1">E103+E93*GREET1_Import_Export!$B$62/GREET1_Import_Export!$B$65+E94*GREET1_Import_Export!$B$63/GREET1_Import_Export!$B$65</f>
        <v>3852462.7044806825</v>
      </c>
      <c r="F104" s="246">
        <f ca="1">F103+F93*GREET1_Import_Export!$B$62/GREET1_Import_Export!$B$65+F94*GREET1_Import_Export!$B$63/GREET1_Import_Export!$B$65</f>
        <v>2328854.4278014274</v>
      </c>
      <c r="G104" s="253">
        <f t="shared" ca="1" si="13"/>
        <v>5764037.118710638</v>
      </c>
      <c r="H104" s="246">
        <f t="shared" ca="1" si="14"/>
        <v>2882.0185593553192</v>
      </c>
      <c r="I104" s="253">
        <f t="shared" ca="1" si="15"/>
        <v>6880857.324346222</v>
      </c>
      <c r="J104" s="247">
        <f t="shared" ca="1" si="16"/>
        <v>3440.4286621731112</v>
      </c>
      <c r="K104" s="253">
        <f t="shared" ca="1" si="22"/>
        <v>13958755.790880246</v>
      </c>
      <c r="L104" s="247">
        <f t="shared" ca="1" si="17"/>
        <v>6979.3778954401232</v>
      </c>
      <c r="M104" s="253">
        <f t="shared" ca="1" si="18"/>
        <v>14952217.124259369</v>
      </c>
      <c r="N104" s="247">
        <f t="shared" ca="1" si="19"/>
        <v>7476.1085621296843</v>
      </c>
      <c r="O104" s="253">
        <f t="shared" ca="1" si="23"/>
        <v>17487803.556334559</v>
      </c>
      <c r="P104" s="247">
        <f t="shared" ca="1" si="20"/>
        <v>8743.9017781672792</v>
      </c>
      <c r="Q104" s="1321"/>
      <c r="R104" s="1321"/>
      <c r="S104" s="1321"/>
    </row>
    <row r="105" spans="1:19" s="419" customFormat="1">
      <c r="A105" s="756" t="s">
        <v>851</v>
      </c>
      <c r="B105" s="294">
        <f ca="1">B104+SUMPRODUCT(B101:B102,GREET1_Import_Export!$B$51:$B$52)+SUMPRODUCT(B93:B95,GREET1_Import_Export!$B$55:$B$57)+SUMPRODUCT(B99:B100,GREET1_Import_Export!$B$58:$B$59)</f>
        <v>2071628.8863637918</v>
      </c>
      <c r="C105" s="294">
        <f ca="1">C104+SUMPRODUCT(C101:C102,GREET1_Import_Export!$B$51:$B$52)+SUMPRODUCT(C93:C95,GREET1_Import_Export!$B$55:$B$57)+SUMPRODUCT(C99:C100,GREET1_Import_Export!$B$58:$B$59)</f>
        <v>1391149.6739136244</v>
      </c>
      <c r="D105" s="294">
        <f ca="1">D104+SUMPRODUCT(D101:D102,GREET1_Import_Export!$B$51:$B$52)+SUMPRODUCT(D93:D95,GREET1_Import_Export!$B$55:$B$57)+SUMPRODUCT(D99:D100,GREET1_Import_Export!$B$58:$B$59)</f>
        <v>12828478.190044316</v>
      </c>
      <c r="E105" s="294">
        <f ca="1">E104+SUMPRODUCT(E101:E102,GREET1_Import_Export!$B$51:$B$52)+SUMPRODUCT(E93:E95,GREET1_Import_Export!$B$55:$B$57)+SUMPRODUCT(E99:E100,GREET1_Import_Export!$B$58:$B$59)</f>
        <v>4160387.3604269335</v>
      </c>
      <c r="F105" s="294">
        <f ca="1">F104+SUMPRODUCT(F101:F102,GREET1_Import_Export!$B$51:$B$52)+SUMPRODUCT(F93:F95,GREET1_Import_Export!$B$55:$B$57)+SUMPRODUCT(F99:F100,GREET1_Import_Export!$B$58:$B$59)</f>
        <v>2458315.2231460712</v>
      </c>
      <c r="G105" s="400">
        <f t="shared" ca="1" si="13"/>
        <v>6194585.641992081</v>
      </c>
      <c r="H105" s="294">
        <f ca="1">H104+SUMPRODUCT(H101:H102,GREET1_Import_Export!$B$51:$B$52)+SUMPRODUCT(H93:H95,GREET1_Import_Export!$B$55:$B$57)+SUMPRODUCT(H99:H100,GREET1_Import_Export!$B$58:$B$59)</f>
        <v>3097.292820996041</v>
      </c>
      <c r="I105" s="400">
        <f t="shared" ca="1" si="15"/>
        <v>7394827.4634854821</v>
      </c>
      <c r="J105" s="296">
        <f ca="1">J104+SUMPRODUCT(J101:J102,GREET1_Import_Export!$B$51:$B$52)+SUMPRODUCT(J93:J95,GREET1_Import_Export!$B$55:$B$57)+SUMPRODUCT(J99:J100,GREET1_Import_Export!$B$58:$B$59)</f>
        <v>3697.4137317427412</v>
      </c>
      <c r="K105" s="400">
        <f t="shared" ca="1" si="22"/>
        <v>15016218.057419185</v>
      </c>
      <c r="L105" s="296">
        <f ca="1">L104+SUMPRODUCT(L101:L102,GREET1_Import_Export!$B$51:$B$52)+SUMPRODUCT(L93:L95,GREET1_Import_Export!$B$55:$B$57)+SUMPRODUCT(L99:L100,GREET1_Import_Export!$B$58:$B$59)</f>
        <v>7508.1090287095931</v>
      </c>
      <c r="M105" s="400">
        <f t="shared" ca="1" si="18"/>
        <v>16084940.24420476</v>
      </c>
      <c r="N105" s="296">
        <f ca="1">N104+SUMPRODUCT(N101:N102,GREET1_Import_Export!$B$51:$B$52)+SUMPRODUCT(N93:N95,GREET1_Import_Export!$B$55:$B$57)+SUMPRODUCT(N99:N100,GREET1_Import_Export!$B$58:$B$59)</f>
        <v>8042.4701221023797</v>
      </c>
      <c r="O105" s="400">
        <f t="shared" ca="1" si="23"/>
        <v>18749571.973467801</v>
      </c>
      <c r="P105" s="296">
        <f ca="1">P104+SUMPRODUCT(P101:P102,GREET1_Import_Export!$B$51:$B$52)+SUMPRODUCT(P93:P95,GREET1_Import_Export!$B$55:$B$57)+SUMPRODUCT(P99:P100,GREET1_Import_Export!$B$58:$B$59)</f>
        <v>9374.7859867339012</v>
      </c>
      <c r="Q105" s="1321"/>
      <c r="R105" s="1321"/>
      <c r="S105" s="1321"/>
    </row>
    <row r="106" spans="1:19" s="349" customFormat="1">
      <c r="A106" s="797" t="s">
        <v>1031</v>
      </c>
      <c r="G106" s="762" t="s">
        <v>845</v>
      </c>
      <c r="H106" s="618" t="s">
        <v>846</v>
      </c>
      <c r="I106" s="762" t="s">
        <v>845</v>
      </c>
      <c r="J106" s="710" t="s">
        <v>846</v>
      </c>
      <c r="K106" s="762" t="s">
        <v>845</v>
      </c>
      <c r="L106" s="710" t="s">
        <v>846</v>
      </c>
      <c r="M106" s="762" t="s">
        <v>845</v>
      </c>
      <c r="N106" s="710" t="s">
        <v>846</v>
      </c>
      <c r="O106" s="762" t="s">
        <v>845</v>
      </c>
      <c r="P106" s="710" t="s">
        <v>846</v>
      </c>
      <c r="Q106" s="1321"/>
      <c r="R106" s="1321"/>
      <c r="S106" s="1321"/>
    </row>
    <row r="107" spans="1:19" s="349" customFormat="1">
      <c r="A107" s="494" t="s">
        <v>821</v>
      </c>
      <c r="B107" s="349">
        <f ca="1">SUM(B73:D73)</f>
        <v>60.209690219113469</v>
      </c>
      <c r="C107" s="349">
        <f ca="1">SUM(E73:G73)</f>
        <v>13.424884515725331</v>
      </c>
      <c r="D107" s="349">
        <f ca="1">SUM(H73:J73)</f>
        <v>108.81011647181026</v>
      </c>
      <c r="E107" s="349">
        <f ca="1">SUM(K73:M73)</f>
        <v>28.184962899458313</v>
      </c>
      <c r="F107" s="349">
        <f ca="1">SUM(N73:P73)</f>
        <v>11.7547833299716</v>
      </c>
      <c r="G107" s="494">
        <f t="shared" ref="G107:G114" ca="1" si="24">SUM(B107:D107)*$C$18</f>
        <v>69.372748949160581</v>
      </c>
      <c r="H107" s="349">
        <f t="shared" ref="H107:H114" ca="1" si="25">G107/2000</f>
        <v>3.4686374474580291E-2</v>
      </c>
      <c r="I107" s="494">
        <f t="shared" ref="I107:I114" ca="1" si="26">SUM(B107:D107)*$D$18</f>
        <v>82.814176572069115</v>
      </c>
      <c r="J107" s="348">
        <f t="shared" ref="J107:J114" ca="1" si="27">I107/2000</f>
        <v>4.1407088286034559E-2</v>
      </c>
      <c r="K107" s="494">
        <f ca="1">SUM(B107:E107)*$E$18</f>
        <v>154.65068716670061</v>
      </c>
      <c r="L107" s="348">
        <f t="shared" ref="L107:L114" ca="1" si="28">K107/2000</f>
        <v>7.7325343583350303E-2</v>
      </c>
      <c r="M107" s="494">
        <f t="shared" ref="M107:M114" ca="1" si="29">SUM(B107:E107)*$F$18</f>
        <v>165.65736141348455</v>
      </c>
      <c r="N107" s="348">
        <f t="shared" ref="N107:N114" ca="1" si="30">M107/2000</f>
        <v>8.2828680706742278E-2</v>
      </c>
      <c r="O107" s="494">
        <f ca="1">(SUM(B107:D107)+F107)*$G$18</f>
        <v>194.19947453662064</v>
      </c>
      <c r="P107" s="348">
        <f t="shared" ref="P107:P114" ca="1" si="31">O107/2000</f>
        <v>9.7099737268310324E-2</v>
      </c>
      <c r="Q107" s="1321"/>
      <c r="R107" s="1321"/>
      <c r="S107" s="1321"/>
    </row>
    <row r="108" spans="1:19" s="349" customFormat="1">
      <c r="A108" s="494" t="s">
        <v>822</v>
      </c>
      <c r="B108" s="349">
        <f t="shared" ref="B108:B114" ca="1" si="32">SUM(B74:D74)</f>
        <v>39.241157914973336</v>
      </c>
      <c r="C108" s="349">
        <f t="shared" ref="C108:C114" ca="1" si="33">SUM(E74:G74)</f>
        <v>35.682550427436006</v>
      </c>
      <c r="D108" s="349">
        <f t="shared" ref="D108:D114" ca="1" si="34">SUM(H74:J74)</f>
        <v>531.70609202293485</v>
      </c>
      <c r="E108" s="349">
        <f t="shared" ref="E108:E114" ca="1" si="35">SUM(K74:M74)</f>
        <v>138.1186631785956</v>
      </c>
      <c r="F108" s="349">
        <f t="shared" ref="F108:F114" ca="1" si="36">SUM(N74:P74)</f>
        <v>123.30236176991892</v>
      </c>
      <c r="G108" s="494">
        <f t="shared" ca="1" si="24"/>
        <v>230.66484734355876</v>
      </c>
      <c r="H108" s="349">
        <f t="shared" ca="1" si="25"/>
        <v>0.11533242367177939</v>
      </c>
      <c r="I108" s="494">
        <f t="shared" ca="1" si="26"/>
        <v>275.35768275346658</v>
      </c>
      <c r="J108" s="348">
        <f t="shared" ca="1" si="27"/>
        <v>0.13767884137673328</v>
      </c>
      <c r="K108" s="494">
        <f t="shared" ref="K108:K114" ca="1" si="37">SUM(B108:E108)*$E$18</f>
        <v>546.81693393178853</v>
      </c>
      <c r="L108" s="348">
        <f t="shared" ca="1" si="28"/>
        <v>0.27340846696589427</v>
      </c>
      <c r="M108" s="494">
        <f t="shared" ca="1" si="29"/>
        <v>585.73454868460749</v>
      </c>
      <c r="N108" s="348">
        <f t="shared" ca="1" si="30"/>
        <v>0.29286727434230375</v>
      </c>
      <c r="O108" s="494">
        <f t="shared" ref="O108:O114" ca="1" si="38">(SUM(B108:D108)+F108)*$G$18</f>
        <v>729.93216213526307</v>
      </c>
      <c r="P108" s="348">
        <f t="shared" ca="1" si="31"/>
        <v>0.36496608106763151</v>
      </c>
      <c r="Q108" s="1321"/>
      <c r="R108" s="1321"/>
      <c r="S108" s="1321"/>
    </row>
    <row r="109" spans="1:19" s="349" customFormat="1">
      <c r="A109" s="494" t="s">
        <v>823</v>
      </c>
      <c r="B109" s="349">
        <f t="shared" ca="1" si="32"/>
        <v>60.923223619716126</v>
      </c>
      <c r="C109" s="349">
        <f t="shared" ca="1" si="33"/>
        <v>50.05124687094068</v>
      </c>
      <c r="D109" s="349">
        <f t="shared" ca="1" si="34"/>
        <v>1375.8537090070415</v>
      </c>
      <c r="E109" s="349">
        <f t="shared" ca="1" si="35"/>
        <v>228.83866901227111</v>
      </c>
      <c r="F109" s="349">
        <f t="shared" ca="1" si="36"/>
        <v>529.49769157894389</v>
      </c>
      <c r="G109" s="494">
        <f t="shared" ca="1" si="24"/>
        <v>565.35138043562995</v>
      </c>
      <c r="H109" s="349">
        <f t="shared" ca="1" si="25"/>
        <v>0.28267569021781497</v>
      </c>
      <c r="I109" s="494">
        <f t="shared" ca="1" si="26"/>
        <v>674.89193889333114</v>
      </c>
      <c r="J109" s="348">
        <f t="shared" ca="1" si="27"/>
        <v>0.33744596944666555</v>
      </c>
      <c r="K109" s="494">
        <f t="shared" ca="1" si="37"/>
        <v>1259.69469112612</v>
      </c>
      <c r="L109" s="348">
        <f t="shared" ca="1" si="28"/>
        <v>0.62984734556305999</v>
      </c>
      <c r="M109" s="494">
        <f t="shared" ca="1" si="29"/>
        <v>1349.3486679020716</v>
      </c>
      <c r="N109" s="348">
        <f t="shared" ca="1" si="30"/>
        <v>0.67467433395103582</v>
      </c>
      <c r="O109" s="494">
        <f t="shared" ca="1" si="38"/>
        <v>2016.3258710766422</v>
      </c>
      <c r="P109" s="348">
        <f t="shared" ca="1" si="31"/>
        <v>1.008162935538321</v>
      </c>
      <c r="Q109" s="1321"/>
      <c r="R109" s="1321"/>
      <c r="S109" s="1321"/>
    </row>
    <row r="110" spans="1:19" s="349" customFormat="1">
      <c r="A110" s="794" t="s">
        <v>824</v>
      </c>
      <c r="B110" s="349">
        <f t="shared" ca="1" si="32"/>
        <v>10.839368166952863</v>
      </c>
      <c r="C110" s="349">
        <f t="shared" ca="1" si="33"/>
        <v>2.7085108259944821</v>
      </c>
      <c r="D110" s="349">
        <f t="shared" ca="1" si="34"/>
        <v>149.48127106474107</v>
      </c>
      <c r="E110" s="349">
        <f t="shared" ca="1" si="35"/>
        <v>14.134491091006453</v>
      </c>
      <c r="F110" s="349">
        <f t="shared" ca="1" si="36"/>
        <v>68.183212586527873</v>
      </c>
      <c r="G110" s="494">
        <f t="shared" ca="1" si="24"/>
        <v>61.990185757374725</v>
      </c>
      <c r="H110" s="349">
        <f t="shared" ca="1" si="25"/>
        <v>3.0995092878687361E-2</v>
      </c>
      <c r="I110" s="494">
        <f t="shared" ca="1" si="26"/>
        <v>74.001193073792876</v>
      </c>
      <c r="J110" s="348">
        <f t="shared" ca="1" si="27"/>
        <v>3.7000596536896441E-2</v>
      </c>
      <c r="K110" s="494">
        <f t="shared" ca="1" si="37"/>
        <v>130.07892436075542</v>
      </c>
      <c r="L110" s="348">
        <f t="shared" ca="1" si="28"/>
        <v>6.5039462180377705E-2</v>
      </c>
      <c r="M110" s="494">
        <f t="shared" ca="1" si="29"/>
        <v>139.33679688005171</v>
      </c>
      <c r="N110" s="348">
        <f t="shared" ca="1" si="30"/>
        <v>6.9668398440025855E-2</v>
      </c>
      <c r="O110" s="494">
        <f t="shared" ca="1" si="38"/>
        <v>231.21236264421628</v>
      </c>
      <c r="P110" s="348">
        <f t="shared" ca="1" si="31"/>
        <v>0.11560618132210815</v>
      </c>
      <c r="Q110" s="1321"/>
      <c r="R110" s="1321"/>
      <c r="S110" s="1321"/>
    </row>
    <row r="111" spans="1:19" s="349" customFormat="1">
      <c r="A111" s="494" t="s">
        <v>825</v>
      </c>
      <c r="B111" s="349">
        <f t="shared" ca="1" si="32"/>
        <v>9.3541353499004121</v>
      </c>
      <c r="C111" s="349">
        <f t="shared" ca="1" si="33"/>
        <v>2.367648317104599</v>
      </c>
      <c r="D111" s="349">
        <f t="shared" ca="1" si="34"/>
        <v>128.42666963448676</v>
      </c>
      <c r="E111" s="349">
        <f t="shared" ca="1" si="35"/>
        <v>12.404010983864389</v>
      </c>
      <c r="F111" s="349">
        <f t="shared" ca="1" si="36"/>
        <v>56.533906415477468</v>
      </c>
      <c r="G111" s="494">
        <f t="shared" ca="1" si="24"/>
        <v>53.290032185618429</v>
      </c>
      <c r="H111" s="349">
        <f t="shared" ca="1" si="25"/>
        <v>2.6645016092809216E-2</v>
      </c>
      <c r="I111" s="494">
        <f t="shared" ca="1" si="26"/>
        <v>63.615327369904527</v>
      </c>
      <c r="J111" s="348">
        <f t="shared" ca="1" si="27"/>
        <v>3.1807663684952261E-2</v>
      </c>
      <c r="K111" s="494">
        <f t="shared" ca="1" si="37"/>
        <v>112.0086510649585</v>
      </c>
      <c r="L111" s="348">
        <f t="shared" ca="1" si="28"/>
        <v>5.6004325532479249E-2</v>
      </c>
      <c r="M111" s="494">
        <f t="shared" ca="1" si="29"/>
        <v>119.98044063589515</v>
      </c>
      <c r="N111" s="348">
        <f t="shared" ca="1" si="30"/>
        <v>5.9990220317947575E-2</v>
      </c>
      <c r="O111" s="494">
        <f t="shared" ca="1" si="38"/>
        <v>196.68235971696924</v>
      </c>
      <c r="P111" s="348">
        <f t="shared" ca="1" si="31"/>
        <v>9.8341179858484618E-2</v>
      </c>
      <c r="Q111" s="1321"/>
      <c r="R111" s="1321"/>
      <c r="S111" s="1321"/>
    </row>
    <row r="112" spans="1:19" s="349" customFormat="1">
      <c r="A112" s="794" t="s">
        <v>826</v>
      </c>
      <c r="B112" s="349">
        <f t="shared" ca="1" si="32"/>
        <v>21.178094176516975</v>
      </c>
      <c r="C112" s="349">
        <f t="shared" ca="1" si="33"/>
        <v>13.424570154393113</v>
      </c>
      <c r="D112" s="349">
        <f t="shared" ca="1" si="34"/>
        <v>1314.1275489929108</v>
      </c>
      <c r="E112" s="349">
        <f t="shared" ca="1" si="35"/>
        <v>106.87835743206881</v>
      </c>
      <c r="F112" s="349">
        <f t="shared" ca="1" si="36"/>
        <v>751.18801038442848</v>
      </c>
      <c r="G112" s="494">
        <f t="shared" ca="1" si="24"/>
        <v>512.84102524574473</v>
      </c>
      <c r="H112" s="349">
        <f t="shared" ca="1" si="25"/>
        <v>0.25642051262287235</v>
      </c>
      <c r="I112" s="494">
        <f t="shared" ca="1" si="26"/>
        <v>612.20735607906101</v>
      </c>
      <c r="J112" s="348">
        <f t="shared" ca="1" si="27"/>
        <v>0.30610367803953048</v>
      </c>
      <c r="K112" s="494">
        <f t="shared" ca="1" si="37"/>
        <v>1068.7520077288586</v>
      </c>
      <c r="L112" s="348">
        <f t="shared" ca="1" si="28"/>
        <v>0.53437600386442929</v>
      </c>
      <c r="M112" s="494">
        <f t="shared" ca="1" si="29"/>
        <v>1144.8163655094866</v>
      </c>
      <c r="N112" s="348">
        <f t="shared" ca="1" si="30"/>
        <v>0.57240818275474326</v>
      </c>
      <c r="O112" s="494">
        <f t="shared" ca="1" si="38"/>
        <v>2099.9182237082496</v>
      </c>
      <c r="P112" s="348">
        <f t="shared" ca="1" si="31"/>
        <v>1.0499591118541247</v>
      </c>
      <c r="Q112" s="1321"/>
      <c r="R112" s="1321"/>
      <c r="S112" s="1321"/>
    </row>
    <row r="113" spans="1:19" s="349" customFormat="1">
      <c r="A113" s="494" t="s">
        <v>827</v>
      </c>
      <c r="B113" s="349">
        <f t="shared" ca="1" si="32"/>
        <v>1.1902224531534786</v>
      </c>
      <c r="C113" s="349">
        <f t="shared" ca="1" si="33"/>
        <v>0.2210626775313396</v>
      </c>
      <c r="D113" s="349">
        <f t="shared" ca="1" si="34"/>
        <v>6.8748064733152381</v>
      </c>
      <c r="E113" s="349">
        <f t="shared" ca="1" si="35"/>
        <v>0.77316227541317828</v>
      </c>
      <c r="F113" s="349">
        <f t="shared" ca="1" si="36"/>
        <v>2.462504394392945</v>
      </c>
      <c r="G113" s="494">
        <f t="shared" ca="1" si="24"/>
        <v>3.1507025433968558</v>
      </c>
      <c r="H113" s="349">
        <f t="shared" ca="1" si="25"/>
        <v>1.5753512716984279E-3</v>
      </c>
      <c r="I113" s="494">
        <f t="shared" ca="1" si="26"/>
        <v>3.7611719400963954</v>
      </c>
      <c r="J113" s="348">
        <f t="shared" ca="1" si="27"/>
        <v>1.8805859700481977E-3</v>
      </c>
      <c r="K113" s="494">
        <f t="shared" ca="1" si="37"/>
        <v>6.6515792546621828</v>
      </c>
      <c r="L113" s="348">
        <f t="shared" ca="1" si="28"/>
        <v>3.3257896273310916E-3</v>
      </c>
      <c r="M113" s="494">
        <f t="shared" ca="1" si="29"/>
        <v>7.124980100297071</v>
      </c>
      <c r="N113" s="348">
        <f t="shared" ca="1" si="30"/>
        <v>3.5624900501485357E-3</v>
      </c>
      <c r="O113" s="494">
        <f t="shared" ca="1" si="38"/>
        <v>10.748595998393</v>
      </c>
      <c r="P113" s="348">
        <f t="shared" ca="1" si="31"/>
        <v>5.3742979991964999E-3</v>
      </c>
      <c r="Q113" s="1321"/>
      <c r="R113" s="1321"/>
      <c r="S113" s="1321"/>
    </row>
    <row r="114" spans="1:19" s="349" customFormat="1">
      <c r="A114" s="492" t="s">
        <v>828</v>
      </c>
      <c r="B114" s="505">
        <f t="shared" ca="1" si="32"/>
        <v>1.6846891694235424</v>
      </c>
      <c r="C114" s="505">
        <f t="shared" ca="1" si="33"/>
        <v>0.56981532774828114</v>
      </c>
      <c r="D114" s="505">
        <f t="shared" ca="1" si="34"/>
        <v>25.643380688381022</v>
      </c>
      <c r="E114" s="505">
        <f t="shared" ca="1" si="35"/>
        <v>3.5031809139228902</v>
      </c>
      <c r="F114" s="505">
        <f t="shared" ca="1" si="36"/>
        <v>4.9794115635596254</v>
      </c>
      <c r="G114" s="504">
        <f t="shared" ca="1" si="24"/>
        <v>10.607888738169715</v>
      </c>
      <c r="H114" s="505">
        <f t="shared" ca="1" si="25"/>
        <v>5.303944369084857E-3</v>
      </c>
      <c r="I114" s="504">
        <f t="shared" ca="1" si="26"/>
        <v>12.663237140327851</v>
      </c>
      <c r="J114" s="502">
        <f t="shared" ca="1" si="27"/>
        <v>6.3316185701639254E-3</v>
      </c>
      <c r="K114" s="504">
        <f t="shared" ca="1" si="37"/>
        <v>23.055616127084075</v>
      </c>
      <c r="L114" s="502">
        <f t="shared" ca="1" si="28"/>
        <v>1.1527808063542038E-2</v>
      </c>
      <c r="M114" s="504">
        <f t="shared" ca="1" si="29"/>
        <v>24.696511883312915</v>
      </c>
      <c r="N114" s="502">
        <f t="shared" ca="1" si="30"/>
        <v>1.2348255941656458E-2</v>
      </c>
      <c r="O114" s="504">
        <f t="shared" ca="1" si="38"/>
        <v>32.877296749112467</v>
      </c>
      <c r="P114" s="502">
        <f t="shared" ca="1" si="31"/>
        <v>1.6438648374556233E-2</v>
      </c>
      <c r="Q114" s="1321"/>
      <c r="R114" s="1321"/>
      <c r="S114" s="1321"/>
    </row>
    <row r="116" spans="1:19" ht="15">
      <c r="A116" s="602" t="s">
        <v>1084</v>
      </c>
    </row>
    <row r="117" spans="1:19" ht="26.25">
      <c r="A117" s="510"/>
      <c r="B117" s="1134" t="s">
        <v>994</v>
      </c>
      <c r="C117" s="1672" t="s">
        <v>993</v>
      </c>
      <c r="D117" s="1672" t="s">
        <v>992</v>
      </c>
      <c r="E117" s="1672" t="s">
        <v>996</v>
      </c>
      <c r="F117" s="1672" t="s">
        <v>1085</v>
      </c>
      <c r="G117" s="1672" t="s">
        <v>1000</v>
      </c>
      <c r="H117" s="1672" t="s">
        <v>1002</v>
      </c>
      <c r="I117" s="1672" t="s">
        <v>1003</v>
      </c>
      <c r="J117" s="1672" t="s">
        <v>1086</v>
      </c>
      <c r="K117" s="1672" t="s">
        <v>1087</v>
      </c>
      <c r="L117" s="1672" t="s">
        <v>1001</v>
      </c>
      <c r="M117" s="1135" t="s">
        <v>998</v>
      </c>
    </row>
    <row r="118" spans="1:19">
      <c r="A118" s="795" t="s">
        <v>1029</v>
      </c>
      <c r="B118" s="600"/>
      <c r="C118" s="1133"/>
      <c r="D118" s="1133"/>
      <c r="E118" s="1133"/>
      <c r="F118" s="1133"/>
      <c r="G118" s="1133"/>
      <c r="H118" s="1133"/>
      <c r="I118" s="1133"/>
      <c r="J118" s="1133"/>
      <c r="K118" s="1133"/>
      <c r="L118" s="1133"/>
      <c r="M118" s="1132"/>
    </row>
    <row r="119" spans="1:19">
      <c r="A119" s="494" t="s">
        <v>816</v>
      </c>
      <c r="B119" s="349">
        <f ca="1">SUM(Q54:S54)</f>
        <v>0.50183039792982687</v>
      </c>
      <c r="C119" s="349">
        <f>GREET1_Import_Export!B494</f>
        <v>0.10780072572602144</v>
      </c>
      <c r="D119" s="349">
        <f>GREET1_Import_Export!C494</f>
        <v>4.2758164530245066</v>
      </c>
      <c r="E119" s="349">
        <f>GREET1_Import_Export!B525</f>
        <v>27.581918666336783</v>
      </c>
      <c r="F119" s="349">
        <f>GREET1_Import_Export!L525</f>
        <v>8.628040121627647</v>
      </c>
      <c r="G119" s="349">
        <f>GREET1_Import_Export!G494</f>
        <v>0.5138426396398883</v>
      </c>
      <c r="H119" s="349">
        <f>GREET1_Import_Export!E494</f>
        <v>27.171021888442034</v>
      </c>
      <c r="I119" s="349">
        <f>((GREET1_Import_Export!G461*GREET1_Import_Export!$H$460+GREET1_Import_Export!H461)/1000000+1)/(1000000/GREET1_Import_Export!$B$33*GREET1_Import_Export!$E$33/1000/907.2)</f>
        <v>41.731553603874836</v>
      </c>
      <c r="J119" s="349">
        <f ca="1">SUM(T54:V54)</f>
        <v>11.613439438457583</v>
      </c>
      <c r="K119" s="349">
        <f ca="1">SUM(W54:Y54)</f>
        <v>7.8183099340905988</v>
      </c>
      <c r="L119" s="349">
        <f>GREET1_Import_Export!V556</f>
        <v>5.0786456533048154</v>
      </c>
      <c r="M119" s="348">
        <f>GREET1_Import_Export!J494</f>
        <v>36.332146164303289</v>
      </c>
    </row>
    <row r="120" spans="1:19">
      <c r="A120" s="494" t="s">
        <v>817</v>
      </c>
      <c r="B120" s="349">
        <f t="shared" ref="B120:B145" ca="1" si="39">SUM(Q55:S55)</f>
        <v>0.41734984871451564</v>
      </c>
      <c r="C120" s="349">
        <f>GREET1_Import_Export!B495</f>
        <v>0.10719526757869353</v>
      </c>
      <c r="D120" s="349">
        <f>GREET1_Import_Export!C495</f>
        <v>4.1898503794963649</v>
      </c>
      <c r="E120" s="349">
        <f>GREET1_Import_Export!B526</f>
        <v>24.61952370317384</v>
      </c>
      <c r="F120" s="349">
        <f>GREET1_Import_Export!L526</f>
        <v>8.6218648459523024</v>
      </c>
      <c r="G120" s="349">
        <f>GREET1_Import_Export!G495</f>
        <v>0.48462781003145922</v>
      </c>
      <c r="H120" s="349">
        <f>GREET1_Import_Export!E495</f>
        <v>24.52973321585894</v>
      </c>
      <c r="I120" s="349">
        <f>((GREET1_Import_Export!G462*GREET1_Import_Export!$H$460+GREET1_Import_Export!H462)/1000000+1)/(1000000/GREET1_Import_Export!$B$33*GREET1_Import_Export!$E$33/1000/907.2)</f>
        <v>41.549206242816844</v>
      </c>
      <c r="J120" s="349">
        <f t="shared" ref="J120:J145" ca="1" si="40">SUM(T55:V55)</f>
        <v>10.366115243441609</v>
      </c>
      <c r="K120" s="349">
        <f t="shared" ref="K120:K145" ca="1" si="41">SUM(W55:Y55)</f>
        <v>7.7758183387551023</v>
      </c>
      <c r="L120" s="349">
        <f>GREET1_Import_Export!V557</f>
        <v>5.0718602126136769</v>
      </c>
      <c r="M120" s="348">
        <f>GREET1_Import_Export!J495</f>
        <v>36.134685221273628</v>
      </c>
    </row>
    <row r="121" spans="1:19">
      <c r="A121" s="494" t="s">
        <v>805</v>
      </c>
      <c r="B121" s="349">
        <f t="shared" ca="1" si="39"/>
        <v>0.11167672692942396</v>
      </c>
      <c r="C121" s="349">
        <f>GREET1_Import_Export!B496</f>
        <v>4.2504034000769506E-3</v>
      </c>
      <c r="D121" s="349">
        <f>GREET1_Import_Export!C496</f>
        <v>3.5022632827296989</v>
      </c>
      <c r="E121" s="349">
        <f>GREET1_Import_Export!B527</f>
        <v>4.486187999167087</v>
      </c>
      <c r="F121" s="349">
        <f>GREET1_Import_Export!L527</f>
        <v>8.1336347279510526E-3</v>
      </c>
      <c r="G121" s="349">
        <f>GREET1_Import_Export!G496</f>
        <v>3.8530498315894418E-2</v>
      </c>
      <c r="H121" s="349">
        <f>GREET1_Import_Export!E496</f>
        <v>4.0460128080585509</v>
      </c>
      <c r="I121" s="349">
        <f>(GREET1_Import_Export!G463*GREET1_Import_Export!$H$460+GREET1_Import_Export!H463)/1000000/(1000000/GREET1_Import_Export!$B$33*GREET1_Import_Export!$E$33/1000/907.2)</f>
        <v>0.23011971331188869</v>
      </c>
      <c r="J121" s="349">
        <f t="shared" ca="1" si="40"/>
        <v>1.888921262807193</v>
      </c>
      <c r="K121" s="349">
        <f t="shared" ca="1" si="41"/>
        <v>5.6107288289378776E-2</v>
      </c>
      <c r="L121" s="349">
        <f>GREET1_Import_Export!V558</f>
        <v>4.2382882993459088</v>
      </c>
      <c r="M121" s="348">
        <f>GREET1_Import_Export!J496</f>
        <v>0.2607338691094655</v>
      </c>
    </row>
    <row r="122" spans="1:19">
      <c r="A122" s="494" t="s">
        <v>804</v>
      </c>
      <c r="B122" s="349">
        <f t="shared" ca="1" si="39"/>
        <v>0.30183320334210528</v>
      </c>
      <c r="C122" s="349">
        <f>GREET1_Import_Export!B497</f>
        <v>1.1051329900043733E-2</v>
      </c>
      <c r="D122" s="349">
        <f>GREET1_Import_Export!C497</f>
        <v>0.466525820246666</v>
      </c>
      <c r="E122" s="349">
        <f>GREET1_Import_Export!B528</f>
        <v>19.191353333698519</v>
      </c>
      <c r="F122" s="349">
        <f>GREET1_Import_Export!L528</f>
        <v>8.5095469313023582</v>
      </c>
      <c r="G122" s="349">
        <f>GREET1_Import_Export!G497</f>
        <v>0.13153323869335384</v>
      </c>
      <c r="H122" s="349">
        <f>GREET1_Import_Export!E497</f>
        <v>19.798523406029425</v>
      </c>
      <c r="I122" s="349">
        <f>(GREET1_Import_Export!G464*GREET1_Import_Export!$H$460+GREET1_Import_Export!H464)/1000000/(1000000/GREET1_Import_Export!$B$33*GREET1_Import_Export!$E$33/1000/907.2)</f>
        <v>2.9473783612109878</v>
      </c>
      <c r="J122" s="349">
        <f t="shared" ca="1" si="40"/>
        <v>8.0805698247151589</v>
      </c>
      <c r="K122" s="349">
        <f t="shared" ca="1" si="41"/>
        <v>7.4955807444524112</v>
      </c>
      <c r="L122" s="349">
        <f>GREET1_Import_Export!V559</f>
        <v>7.8879504728451053E-2</v>
      </c>
      <c r="M122" s="348">
        <f>GREET1_Import_Export!J497</f>
        <v>34.832404635984659</v>
      </c>
    </row>
    <row r="123" spans="1:19">
      <c r="A123" s="494" t="s">
        <v>818</v>
      </c>
      <c r="B123" s="349">
        <f t="shared" ca="1" si="39"/>
        <v>3.8399184429863493E-3</v>
      </c>
      <c r="C123" s="349">
        <f>GREET1_Import_Export!B498</f>
        <v>9.1893534278572858E-2</v>
      </c>
      <c r="D123" s="349">
        <f>GREET1_Import_Export!C498</f>
        <v>0.22106127651999968</v>
      </c>
      <c r="E123" s="349">
        <f>GREET1_Import_Export!B529</f>
        <v>0.94198237030823551</v>
      </c>
      <c r="F123" s="349">
        <f>GREET1_Import_Export!L529</f>
        <v>0.10418427992199286</v>
      </c>
      <c r="G123" s="349">
        <f>GREET1_Import_Export!G498</f>
        <v>0.31456407302221095</v>
      </c>
      <c r="H123" s="349">
        <f>GREET1_Import_Export!E498</f>
        <v>0.68519700177096265</v>
      </c>
      <c r="I123" s="349">
        <f>((GREET1_Import_Export!G465*GREET1_Import_Export!$H$460+GREET1_Import_Export!H465)/1000000+1)/(1000000/GREET1_Import_Export!$B$33*GREET1_Import_Export!$E$33/1000/907.2)</f>
        <v>38.371708168293971</v>
      </c>
      <c r="J123" s="349">
        <f t="shared" ca="1" si="40"/>
        <v>0.3966241559192567</v>
      </c>
      <c r="K123" s="349">
        <f t="shared" ca="1" si="41"/>
        <v>0.22413030601331177</v>
      </c>
      <c r="L123" s="349">
        <f>GREET1_Import_Export!V560</f>
        <v>0.75469240853931707</v>
      </c>
      <c r="M123" s="348">
        <f>GREET1_Import_Export!J498</f>
        <v>1.0415467161795053</v>
      </c>
    </row>
    <row r="124" spans="1:19">
      <c r="A124" s="1504" t="s">
        <v>819</v>
      </c>
      <c r="B124" s="1505">
        <f t="shared" ca="1" si="39"/>
        <v>199.64391319234363</v>
      </c>
      <c r="C124" s="1505">
        <f>GREET1_Import_Export!B499</f>
        <v>26.409569078578205</v>
      </c>
      <c r="D124" s="1505">
        <f>GREET1_Import_Export!C499</f>
        <v>1102.2778342369234</v>
      </c>
      <c r="E124" s="1505">
        <f>GREET1_Import_Export!B530</f>
        <v>2812.7446529122171</v>
      </c>
      <c r="F124" s="1505">
        <f>GREET1_Import_Export!L530</f>
        <v>25.37432547874074</v>
      </c>
      <c r="G124" s="1505">
        <f>GREET1_Import_Export!G499</f>
        <v>71.585895167352376</v>
      </c>
      <c r="H124" s="1505">
        <f>GREET1_Import_Export!E499</f>
        <v>787.45867821343597</v>
      </c>
      <c r="I124" s="1505">
        <f>(GREET1_Import_Export!G466*GREET1_Import_Export!$H$460+GREET1_Import_Export!H466)/(1000000/GREET1_Import_Export!$B$33*GREET1_Import_Export!$E$33/1000/907.2)</f>
        <v>731.7369205159664</v>
      </c>
      <c r="J124" s="1505">
        <f t="shared" ca="1" si="40"/>
        <v>1184.3135380683009</v>
      </c>
      <c r="K124" s="1505">
        <f t="shared" ca="1" si="41"/>
        <v>145.4626598715829</v>
      </c>
      <c r="L124" s="1505">
        <f>GREET1_Import_Export!V561</f>
        <v>29.580974290163297</v>
      </c>
      <c r="M124" s="1136">
        <f>GREET1_Import_Export!J499</f>
        <v>422.2183973339246</v>
      </c>
    </row>
    <row r="125" spans="1:19">
      <c r="A125" s="795" t="s">
        <v>1030</v>
      </c>
      <c r="B125" s="512"/>
      <c r="C125" s="512"/>
      <c r="D125" s="512"/>
      <c r="E125" s="512"/>
      <c r="F125" s="512"/>
      <c r="G125" s="512"/>
      <c r="H125" s="512"/>
      <c r="I125" s="512"/>
      <c r="J125" s="512"/>
      <c r="K125" s="512"/>
      <c r="L125" s="512"/>
      <c r="M125" s="509"/>
    </row>
    <row r="126" spans="1:19">
      <c r="A126" s="494" t="s">
        <v>821</v>
      </c>
      <c r="B126" s="349">
        <f t="shared" ca="1" si="39"/>
        <v>3.8877911365477642</v>
      </c>
      <c r="C126" s="349">
        <f>GREET1_Import_Export!B501</f>
        <v>3.0007778627888633</v>
      </c>
      <c r="D126" s="349">
        <f>GREET1_Import_Export!C501</f>
        <v>90.052707313868567</v>
      </c>
      <c r="E126" s="349">
        <f>GREET1_Import_Export!B532</f>
        <v>246.06829187253942</v>
      </c>
      <c r="F126" s="349">
        <f>GREET1_Import_Export!L532</f>
        <v>100.22940705194921</v>
      </c>
      <c r="G126" s="349">
        <f>GREET1_Import_Export!G501</f>
        <v>16.386342714946565</v>
      </c>
      <c r="H126" s="349">
        <f>GREET1_Import_Export!E501</f>
        <v>236.94023959186924</v>
      </c>
      <c r="I126" s="349">
        <f>(GREET1_Import_Export!G467*GREET1_Import_Export!$H$460+GREET1_Import_Export!H467)/(1000000/GREET1_Import_Export!$B$33*GREET1_Import_Export!$E$33/1000/907.2)</f>
        <v>253.43424382574733</v>
      </c>
      <c r="J126" s="349">
        <f t="shared" ca="1" si="40"/>
        <v>103.60770184106914</v>
      </c>
      <c r="K126" s="349">
        <f t="shared" ca="1" si="41"/>
        <v>1000.2329859498019</v>
      </c>
      <c r="L126" s="349">
        <f>GREET1_Import_Export!V563</f>
        <v>80.509586842403678</v>
      </c>
      <c r="M126" s="348">
        <f>GREET1_Import_Export!J501</f>
        <v>4648.1415229431868</v>
      </c>
    </row>
    <row r="127" spans="1:19">
      <c r="A127" s="494" t="s">
        <v>822</v>
      </c>
      <c r="B127" s="349">
        <f t="shared" ca="1" si="39"/>
        <v>12.260958946281074</v>
      </c>
      <c r="C127" s="349">
        <f>GREET1_Import_Export!B502</f>
        <v>18.066358060290298</v>
      </c>
      <c r="D127" s="349">
        <f>GREET1_Import_Export!C502</f>
        <v>420.56556155670182</v>
      </c>
      <c r="E127" s="349">
        <f>GREET1_Import_Export!B533</f>
        <v>915.72013904324626</v>
      </c>
      <c r="F127" s="349">
        <f>GREET1_Import_Export!L533</f>
        <v>437.76752562589706</v>
      </c>
      <c r="G127" s="349">
        <f>GREET1_Import_Export!G502</f>
        <v>36.193146201590267</v>
      </c>
      <c r="H127" s="349">
        <f>GREET1_Import_Export!E502</f>
        <v>814.73130258495576</v>
      </c>
      <c r="I127" s="349">
        <f>(GREET1_Import_Export!G468*GREET1_Import_Export!$H$460+GREET1_Import_Export!H468)/(1000000/GREET1_Import_Export!$B$33*GREET1_Import_Export!$E$33/1000/907.2)</f>
        <v>364.16241908825441</v>
      </c>
      <c r="J127" s="349">
        <f t="shared" ca="1" si="40"/>
        <v>385.56637433399811</v>
      </c>
      <c r="K127" s="349">
        <f t="shared" ca="1" si="41"/>
        <v>1040.7942378525197</v>
      </c>
      <c r="L127" s="349">
        <f>GREET1_Import_Export!V564</f>
        <v>497.09762041485817</v>
      </c>
      <c r="M127" s="348">
        <f>GREET1_Import_Export!J502</f>
        <v>4836.6320464911105</v>
      </c>
    </row>
    <row r="128" spans="1:19">
      <c r="A128" s="494" t="s">
        <v>849</v>
      </c>
      <c r="B128" s="349">
        <f t="shared" ca="1" si="39"/>
        <v>21.958786354686836</v>
      </c>
      <c r="C128" s="349">
        <f>GREET1_Import_Export!B503</f>
        <v>14.969385706424767</v>
      </c>
      <c r="D128" s="349">
        <f>GREET1_Import_Export!C503</f>
        <v>235.86819253415379</v>
      </c>
      <c r="E128" s="349">
        <f>GREET1_Import_Export!B534</f>
        <v>1538.7321009648394</v>
      </c>
      <c r="F128" s="349">
        <f>GREET1_Import_Export!L534</f>
        <v>589.50432361195533</v>
      </c>
      <c r="G128" s="349">
        <f>GREET1_Import_Export!G503</f>
        <v>288.99271490543373</v>
      </c>
      <c r="H128" s="349">
        <f>GREET1_Import_Export!E503</f>
        <v>1344.5598268288322</v>
      </c>
      <c r="I128" s="349">
        <f>(GREET1_Import_Export!G469*GREET1_Import_Export!$H$460+GREET1_Import_Export!H469)/(1000000/GREET1_Import_Export!$B$33*GREET1_Import_Export!$E$33/1000/907.2)</f>
        <v>564.66570666833877</v>
      </c>
      <c r="J128" s="349">
        <f t="shared" ca="1" si="40"/>
        <v>647.88720040624764</v>
      </c>
      <c r="K128" s="349">
        <f t="shared" ca="1" si="41"/>
        <v>413.77972093334199</v>
      </c>
      <c r="L128" s="349">
        <f>GREET1_Import_Export!V565</f>
        <v>288.19515688712204</v>
      </c>
      <c r="M128" s="348">
        <f>GREET1_Import_Export!J503</f>
        <v>1922.8587031608201</v>
      </c>
    </row>
    <row r="129" spans="1:13">
      <c r="A129" s="494" t="s">
        <v>824</v>
      </c>
      <c r="B129" s="349">
        <f t="shared" ca="1" si="39"/>
        <v>2.8131289966395139</v>
      </c>
      <c r="C129" s="349">
        <f>GREET1_Import_Export!B504</f>
        <v>3.0828975820344748</v>
      </c>
      <c r="D129" s="349">
        <f>GREET1_Import_Export!C504</f>
        <v>125.43411723973426</v>
      </c>
      <c r="E129" s="349">
        <f>GREET1_Import_Export!B535</f>
        <v>156.32513173420713</v>
      </c>
      <c r="F129" s="349">
        <f>GREET1_Import_Export!L535</f>
        <v>30.904150144503273</v>
      </c>
      <c r="G129" s="349">
        <f>GREET1_Import_Export!G504</f>
        <v>19.300317267717091</v>
      </c>
      <c r="H129" s="349">
        <f>GREET1_Import_Export!E504</f>
        <v>137.26759404572465</v>
      </c>
      <c r="I129" s="349">
        <f>(GREET1_Import_Export!G470*GREET1_Import_Export!$H$460+GREET1_Import_Export!H470)/(1000000/GREET1_Import_Export!$B$33*GREET1_Import_Export!$E$33/1000/907.2)</f>
        <v>36.229505759054781</v>
      </c>
      <c r="J129" s="349">
        <f t="shared" ca="1" si="40"/>
        <v>65.821108098613479</v>
      </c>
      <c r="K129" s="349">
        <f t="shared" ca="1" si="41"/>
        <v>18.82539087093766</v>
      </c>
      <c r="L129" s="349">
        <f>GREET1_Import_Export!V566</f>
        <v>152.39917049658362</v>
      </c>
      <c r="M129" s="348">
        <f>GREET1_Import_Export!J504</f>
        <v>87.482698753180699</v>
      </c>
    </row>
    <row r="130" spans="1:13">
      <c r="A130" s="494" t="s">
        <v>825</v>
      </c>
      <c r="B130" s="349">
        <f t="shared" ca="1" si="39"/>
        <v>1.8214516285041391</v>
      </c>
      <c r="C130" s="349">
        <f>GREET1_Import_Export!B505</f>
        <v>0.5412854216344879</v>
      </c>
      <c r="D130" s="349">
        <f>GREET1_Import_Export!C505</f>
        <v>95.182715522071618</v>
      </c>
      <c r="E130" s="349">
        <f>GREET1_Import_Export!B536</f>
        <v>107.01414091920527</v>
      </c>
      <c r="F130" s="349">
        <f>GREET1_Import_Export!L536</f>
        <v>30.219300024541578</v>
      </c>
      <c r="G130" s="349">
        <f>GREET1_Import_Export!G505</f>
        <v>17.569091223792814</v>
      </c>
      <c r="H130" s="349">
        <f>GREET1_Import_Export!E505</f>
        <v>95.956988988933361</v>
      </c>
      <c r="I130" s="349">
        <f>(GREET1_Import_Export!G471*GREET1_Import_Export!$H$460+GREET1_Import_Export!H471)/(1000000/GREET1_Import_Export!$B$33*GREET1_Import_Export!$E$33/1000/907.2)</f>
        <v>30.972065196532231</v>
      </c>
      <c r="J130" s="349">
        <f t="shared" ca="1" si="40"/>
        <v>45.05858565019166</v>
      </c>
      <c r="K130" s="349">
        <f t="shared" ca="1" si="41"/>
        <v>16.991037307628041</v>
      </c>
      <c r="L130" s="349">
        <f>GREET1_Import_Export!V567</f>
        <v>96.793658571809999</v>
      </c>
      <c r="M130" s="348">
        <f>GREET1_Import_Export!J505</f>
        <v>78.958349841330133</v>
      </c>
    </row>
    <row r="131" spans="1:13">
      <c r="A131" s="494" t="s">
        <v>826</v>
      </c>
      <c r="B131" s="349">
        <f t="shared" ca="1" si="39"/>
        <v>55628.953514978864</v>
      </c>
      <c r="C131" s="349">
        <f>GREET1_Import_Export!B506</f>
        <v>1.6483951101043521</v>
      </c>
      <c r="D131" s="349">
        <f>GREET1_Import_Export!C506</f>
        <v>122.92932415142776</v>
      </c>
      <c r="E131" s="349">
        <f>GREET1_Import_Export!B537</f>
        <v>785.933534059934</v>
      </c>
      <c r="F131" s="349">
        <f>GREET1_Import_Export!L537</f>
        <v>88.339509916009874</v>
      </c>
      <c r="G131" s="349">
        <f>GREET1_Import_Export!G506</f>
        <v>1950.6014611258231</v>
      </c>
      <c r="H131" s="349">
        <f>GREET1_Import_Export!E506</f>
        <v>712.12055898957874</v>
      </c>
      <c r="I131" s="349">
        <f>(GREET1_Import_Export!G472*GREET1_Import_Export!$H$460+GREET1_Import_Export!H472)/(1000000/GREET1_Import_Export!$B$33*GREET1_Import_Export!$E$33/1000/907.2)</f>
        <v>138.06853940316958</v>
      </c>
      <c r="J131" s="349">
        <f t="shared" ca="1" si="40"/>
        <v>330.91938276207719</v>
      </c>
      <c r="K131" s="349">
        <f t="shared" ca="1" si="41"/>
        <v>143.36550980103442</v>
      </c>
      <c r="L131" s="349">
        <f>GREET1_Import_Export!V568</f>
        <v>163.79241128538894</v>
      </c>
      <c r="M131" s="348">
        <f>GREET1_Import_Export!J506</f>
        <v>666.22795731068788</v>
      </c>
    </row>
    <row r="132" spans="1:13">
      <c r="A132" s="794" t="s">
        <v>827</v>
      </c>
      <c r="B132" s="349">
        <f t="shared" ca="1" si="39"/>
        <v>0.14943980419068256</v>
      </c>
      <c r="C132" s="349">
        <f>GREET1_Import_Export!B507</f>
        <v>0.1094505527701294</v>
      </c>
      <c r="D132" s="349">
        <f>GREET1_Import_Export!C507</f>
        <v>7.8073237255591943</v>
      </c>
      <c r="E132" s="349">
        <f>GREET1_Import_Export!B538</f>
        <v>11.363682492622178</v>
      </c>
      <c r="F132" s="349">
        <f>GREET1_Import_Export!L538</f>
        <v>5.2602693867353523</v>
      </c>
      <c r="G132" s="349">
        <f>GREET1_Import_Export!G507</f>
        <v>2.510337273218286</v>
      </c>
      <c r="H132" s="349">
        <f>GREET1_Import_Export!E507</f>
        <v>10.21975488022491</v>
      </c>
      <c r="I132" s="349">
        <f>(GREET1_Import_Export!G473*GREET1_Import_Export!$H$460+GREET1_Import_Export!H473)/(1000000/GREET1_Import_Export!$B$33*GREET1_Import_Export!$E$33/1000/907.2)</f>
        <v>4.9687013161634459</v>
      </c>
      <c r="J132" s="349">
        <f t="shared" ca="1" si="40"/>
        <v>4.7847084179461765</v>
      </c>
      <c r="K132" s="349">
        <f t="shared" ca="1" si="41"/>
        <v>2.8453997105687798</v>
      </c>
      <c r="L132" s="349">
        <f>GREET1_Import_Export!V569</f>
        <v>4.3103230696784021</v>
      </c>
      <c r="M132" s="348">
        <f>GREET1_Import_Export!J507</f>
        <v>13.222739831466653</v>
      </c>
    </row>
    <row r="133" spans="1:13">
      <c r="A133" s="794" t="s">
        <v>828</v>
      </c>
      <c r="B133" s="349">
        <f t="shared" ca="1" si="39"/>
        <v>0.57379940397109563</v>
      </c>
      <c r="C133" s="349">
        <f>GREET1_Import_Export!B508</f>
        <v>9.5465744912783562E-2</v>
      </c>
      <c r="D133" s="349">
        <f>GREET1_Import_Export!C508</f>
        <v>14.891416269796229</v>
      </c>
      <c r="E133" s="349">
        <f>GREET1_Import_Export!B539</f>
        <v>33.759433484885044</v>
      </c>
      <c r="F133" s="349">
        <f>GREET1_Import_Export!L539</f>
        <v>12.749936893136017</v>
      </c>
      <c r="G133" s="349">
        <f>GREET1_Import_Export!G508</f>
        <v>7.412240328039009</v>
      </c>
      <c r="H133" s="349">
        <f>GREET1_Import_Export!E508</f>
        <v>30.558939824876735</v>
      </c>
      <c r="I133" s="349">
        <f>(GREET1_Import_Export!G474*GREET1_Import_Export!$H$460+GREET1_Import_Export!H474)/(1000000/GREET1_Import_Export!$B$33*GREET1_Import_Export!$E$33/1000/907.2)</f>
        <v>9.2258784709924306</v>
      </c>
      <c r="J133" s="349">
        <f t="shared" ca="1" si="40"/>
        <v>14.21449830942527</v>
      </c>
      <c r="K133" s="349">
        <f t="shared" ca="1" si="41"/>
        <v>6.8645340025942909</v>
      </c>
      <c r="L133" s="349">
        <f>GREET1_Import_Export!V570</f>
        <v>7.7314313035790949</v>
      </c>
      <c r="M133" s="348">
        <f>GREET1_Import_Export!J508</f>
        <v>31.899893306173396</v>
      </c>
    </row>
    <row r="134" spans="1:13">
      <c r="A134" s="494" t="s">
        <v>829</v>
      </c>
      <c r="B134" s="349">
        <f t="shared" ca="1" si="39"/>
        <v>72.508320445845769</v>
      </c>
      <c r="C134" s="349">
        <f>GREET1_Import_Export!B509</f>
        <v>10.295662027028325</v>
      </c>
      <c r="D134" s="349">
        <f>GREET1_Import_Export!C509</f>
        <v>617.13478939951381</v>
      </c>
      <c r="E134" s="349">
        <f>GREET1_Import_Export!B540</f>
        <v>4394.2572761342935</v>
      </c>
      <c r="F134" s="349">
        <f>GREET1_Import_Export!L540</f>
        <v>1690.2749129344336</v>
      </c>
      <c r="G134" s="349">
        <f>GREET1_Import_Export!G509</f>
        <v>57.494095868365036</v>
      </c>
      <c r="H134" s="349">
        <f>GREET1_Import_Export!E509</f>
        <v>4245.2020170345586</v>
      </c>
      <c r="I134" s="349">
        <f>(GREET1_Import_Export!G475*GREET1_Import_Export!$H$460+GREET1_Import_Export!H475)/(1000000/GREET1_Import_Export!$B$33*GREET1_Import_Export!$E$33/1000/907.2)</f>
        <v>3720.8349549693285</v>
      </c>
      <c r="J134" s="349">
        <f t="shared" ca="1" si="40"/>
        <v>1850.21358995128</v>
      </c>
      <c r="K134" s="349">
        <f t="shared" ca="1" si="41"/>
        <v>1431.5670438946277</v>
      </c>
      <c r="L134" s="349">
        <f>GREET1_Import_Export!V571</f>
        <v>695.20529768723293</v>
      </c>
      <c r="M134" s="348">
        <f>GREET1_Import_Export!J509</f>
        <v>6652.5762628044313</v>
      </c>
    </row>
    <row r="135" spans="1:13">
      <c r="A135" s="494" t="s">
        <v>830</v>
      </c>
      <c r="B135" s="349">
        <f t="shared" ca="1" si="39"/>
        <v>0.6576006997537267</v>
      </c>
      <c r="C135" s="349">
        <f>GREET1_Import_Export!B510</f>
        <v>6.0745354337307655E-2</v>
      </c>
      <c r="D135" s="349">
        <f>GREET1_Import_Export!C510</f>
        <v>1.081973667413807</v>
      </c>
      <c r="E135" s="349">
        <f>GREET1_Import_Export!B541</f>
        <v>40.148180645194728</v>
      </c>
      <c r="F135" s="349">
        <f>GREET1_Import_Export!L541</f>
        <v>15.26686139015032</v>
      </c>
      <c r="G135" s="349">
        <f>GREET1_Import_Export!G510</f>
        <v>0.90162048446381204</v>
      </c>
      <c r="H135" s="349">
        <f>GREET1_Import_Export!E510</f>
        <v>35.285608281649488</v>
      </c>
      <c r="I135" s="349">
        <f>(GREET1_Import_Export!G476*GREET1_Import_Export!$H$460+GREET1_Import_Export!H476)/(1000000/GREET1_Import_Export!$B$33*GREET1_Import_Export!$E$33/1000/907.2)</f>
        <v>5.6437408111942213</v>
      </c>
      <c r="J135" s="349">
        <f t="shared" ca="1" si="40"/>
        <v>16.904497113766187</v>
      </c>
      <c r="K135" s="349">
        <f t="shared" ca="1" si="41"/>
        <v>9.6328484500483782</v>
      </c>
      <c r="L135" s="349">
        <f>GREET1_Import_Export!V572</f>
        <v>0.98921680655236355</v>
      </c>
      <c r="M135" s="348">
        <f>GREET1_Import_Export!J510</f>
        <v>44.764413385518836</v>
      </c>
    </row>
    <row r="136" spans="1:13">
      <c r="A136" s="630" t="s">
        <v>831</v>
      </c>
      <c r="B136" s="246">
        <f t="shared" ca="1" si="39"/>
        <v>29381.481340399827</v>
      </c>
      <c r="C136" s="246">
        <f>GREET1_Import_Export!B511</f>
        <v>8351.9011348439562</v>
      </c>
      <c r="D136" s="246">
        <f>GREET1_Import_Export!C511</f>
        <v>1143451.7836002663</v>
      </c>
      <c r="E136" s="246">
        <f>GREET1_Import_Export!B542</f>
        <v>1665901.8087901033</v>
      </c>
      <c r="F136" s="246">
        <f>GREET1_Import_Export!L542</f>
        <v>513204.7419073421</v>
      </c>
      <c r="G136" s="246">
        <f>GREET1_Import_Export!G511</f>
        <v>37166.973904260427</v>
      </c>
      <c r="H136" s="246">
        <f>GREET1_Import_Export!E511</f>
        <v>1636030.8555933388</v>
      </c>
      <c r="I136" s="419">
        <f>(GREET1_Import_Export!G477*GREET1_Import_Export!$H$460+GREET1_Import_Export!H477)/(1000000/GREET1_Import_Export!$B$33*GREET1_Import_Export!$E$33/1000/907.2)</f>
        <v>328910.79046208801</v>
      </c>
      <c r="J136" s="246">
        <f t="shared" ca="1" si="40"/>
        <v>701432.34054320084</v>
      </c>
      <c r="K136" s="246">
        <f t="shared" ca="1" si="41"/>
        <v>464077.74481747497</v>
      </c>
      <c r="L136" s="246">
        <f>GREET1_Import_Export!V573</f>
        <v>617790.99194299034</v>
      </c>
      <c r="M136" s="247">
        <f>GREET1_Import_Export!J511</f>
        <v>2156596.5788576729</v>
      </c>
    </row>
    <row r="137" spans="1:13">
      <c r="A137" s="797" t="s">
        <v>1031</v>
      </c>
      <c r="B137" s="349"/>
      <c r="C137" s="349"/>
      <c r="D137" s="349"/>
      <c r="E137" s="349"/>
      <c r="F137" s="349"/>
      <c r="G137" s="349"/>
      <c r="H137" s="349"/>
      <c r="I137" s="349"/>
      <c r="J137" s="349"/>
      <c r="K137" s="349"/>
      <c r="L137" s="349"/>
      <c r="M137" s="348"/>
    </row>
    <row r="138" spans="1:13">
      <c r="A138" s="494" t="s">
        <v>821</v>
      </c>
      <c r="B138" s="349">
        <f t="shared" ca="1" si="39"/>
        <v>0.22490879765974547</v>
      </c>
      <c r="C138" s="349">
        <f>GREET1_Import_Export!B513</f>
        <v>0.27371203838695446</v>
      </c>
      <c r="D138" s="349">
        <f>GREET1_Import_Export!C513</f>
        <v>0.98303250272448806</v>
      </c>
      <c r="E138" s="349">
        <f>GREET1_Import_Export!B544</f>
        <v>14.092742652400997</v>
      </c>
      <c r="F138" s="349">
        <f>GREET1_Import_Export!L544</f>
        <v>4.821749466846434</v>
      </c>
      <c r="G138" s="349">
        <f>GREET1_Import_Export!G513</f>
        <v>1.4847613827115975</v>
      </c>
      <c r="H138" s="349">
        <f>GREET1_Import_Export!E513</f>
        <v>13.550778888195858</v>
      </c>
      <c r="I138" s="349">
        <f>(GREET1_Import_Export!G482*GREET1_Import_Export!$H$460+GREET1_Import_Export!H482)/(1000000/GREET1_Import_Export!$B$33*GREET1_Import_Export!$E$33/1000/907.2)</f>
        <v>98.755970042853107</v>
      </c>
      <c r="J138" s="349">
        <f t="shared" ca="1" si="40"/>
        <v>5.9337863799583097</v>
      </c>
      <c r="K138" s="349">
        <f t="shared" ca="1" si="41"/>
        <v>4.316375645032176</v>
      </c>
      <c r="L138" s="349">
        <f>GREET1_Import_Export!V577</f>
        <v>1.8055091529561156</v>
      </c>
      <c r="M138" s="348">
        <f>GREET1_Import_Export!J513</f>
        <v>20.058451526914183</v>
      </c>
    </row>
    <row r="139" spans="1:13">
      <c r="A139" s="494" t="s">
        <v>822</v>
      </c>
      <c r="B139" s="349">
        <f t="shared" ca="1" si="39"/>
        <v>1.5264112770411267</v>
      </c>
      <c r="C139" s="349">
        <f>GREET1_Import_Export!B514</f>
        <v>0.16139065657493154</v>
      </c>
      <c r="D139" s="349">
        <f>GREET1_Import_Export!C514</f>
        <v>2.3826572118045588</v>
      </c>
      <c r="E139" s="349">
        <f>GREET1_Import_Export!B545</f>
        <v>76.818454470770462</v>
      </c>
      <c r="F139" s="349">
        <f>GREET1_Import_Export!L545</f>
        <v>22.364434259465195</v>
      </c>
      <c r="G139" s="349">
        <f>GREET1_Import_Export!G514</f>
        <v>2.434306008450752</v>
      </c>
      <c r="H139" s="349">
        <f>GREET1_Import_Export!E514</f>
        <v>66.456871119805129</v>
      </c>
      <c r="I139" s="349">
        <f>(GREET1_Import_Export!G483*GREET1_Import_Export!$H$460+GREET1_Import_Export!H483)/(1000000/GREET1_Import_Export!$B$33*GREET1_Import_Export!$E$33/1000/907.2)</f>
        <v>45.731987615895903</v>
      </c>
      <c r="J139" s="349">
        <f t="shared" ca="1" si="40"/>
        <v>32.344612408745434</v>
      </c>
      <c r="K139" s="349">
        <f t="shared" ca="1" si="41"/>
        <v>18.683519969142083</v>
      </c>
      <c r="L139" s="349">
        <f>GREET1_Import_Export!V578</f>
        <v>1.3018767606819317</v>
      </c>
      <c r="M139" s="348">
        <f>GREET1_Import_Export!J514</f>
        <v>86.823416327189477</v>
      </c>
    </row>
    <row r="140" spans="1:13">
      <c r="A140" s="494" t="s">
        <v>823</v>
      </c>
      <c r="B140" s="349">
        <f t="shared" ca="1" si="39"/>
        <v>4.1091793212861267</v>
      </c>
      <c r="C140" s="349">
        <f>GREET1_Import_Export!B515</f>
        <v>0.2538141497087702</v>
      </c>
      <c r="D140" s="349">
        <f>GREET1_Import_Export!C515</f>
        <v>6.0852834120914387</v>
      </c>
      <c r="E140" s="349">
        <f>GREET1_Import_Export!B546</f>
        <v>172.0556602035559</v>
      </c>
      <c r="F140" s="349">
        <f>GREET1_Import_Export!L546</f>
        <v>26.555178199614343</v>
      </c>
      <c r="G140" s="349">
        <f>GREET1_Import_Export!G515</f>
        <v>15.943757079445119</v>
      </c>
      <c r="H140" s="349">
        <f>GREET1_Import_Export!E515</f>
        <v>152.76292670980587</v>
      </c>
      <c r="I140" s="349">
        <f>(GREET1_Import_Export!G484*GREET1_Import_Export!$H$460+GREET1_Import_Export!H484)/(1000000/GREET1_Import_Export!$B$33*GREET1_Import_Export!$E$33/1000/907.2)</f>
        <v>69.434178991456207</v>
      </c>
      <c r="J140" s="349">
        <f t="shared" ca="1" si="40"/>
        <v>72.444488506760322</v>
      </c>
      <c r="K140" s="349">
        <f t="shared" ca="1" si="41"/>
        <v>27.236509671454034</v>
      </c>
      <c r="L140" s="349">
        <f>GREET1_Import_Export!V579</f>
        <v>3.112696215505999</v>
      </c>
      <c r="M140" s="348">
        <f>GREET1_Import_Export!J515</f>
        <v>126.56966259087434</v>
      </c>
    </row>
    <row r="141" spans="1:13">
      <c r="A141" s="794" t="s">
        <v>824</v>
      </c>
      <c r="B141" s="349">
        <f t="shared" ca="1" si="39"/>
        <v>0.51037244457904729</v>
      </c>
      <c r="C141" s="349">
        <f>GREET1_Import_Export!B516</f>
        <v>4.5174857869258948E-2</v>
      </c>
      <c r="D141" s="349">
        <f>GREET1_Import_Export!C516</f>
        <v>0.63211602754707863</v>
      </c>
      <c r="E141" s="349">
        <f>GREET1_Import_Export!B547</f>
        <v>18.2651553906428</v>
      </c>
      <c r="F141" s="349">
        <f>GREET1_Import_Export!L547</f>
        <v>0.14784423128307853</v>
      </c>
      <c r="G141" s="349">
        <f>GREET1_Import_Export!G516</f>
        <v>1.2067316973096258</v>
      </c>
      <c r="H141" s="349">
        <f>GREET1_Import_Export!E516</f>
        <v>17.88134440614235</v>
      </c>
      <c r="I141" s="349">
        <f>(GREET1_Import_Export!G485*GREET1_Import_Export!$H$460+GREET1_Import_Export!H485)/(1000000/GREET1_Import_Export!$B$33*GREET1_Import_Export!$E$33/1000/907.2)</f>
        <v>10.891658810222047</v>
      </c>
      <c r="J141" s="349">
        <f t="shared" ca="1" si="40"/>
        <v>7.6905917434285405</v>
      </c>
      <c r="K141" s="349">
        <f t="shared" ca="1" si="41"/>
        <v>0.80377634931481501</v>
      </c>
      <c r="L141" s="349">
        <f>GREET1_Import_Export!V580</f>
        <v>0.36164632018421883</v>
      </c>
      <c r="M141" s="348">
        <f>GREET1_Import_Export!J516</f>
        <v>3.7351959762276614</v>
      </c>
    </row>
    <row r="142" spans="1:13">
      <c r="A142" s="494" t="s">
        <v>825</v>
      </c>
      <c r="B142" s="349">
        <f t="shared" ca="1" si="39"/>
        <v>0.44884211578598654</v>
      </c>
      <c r="C142" s="349">
        <f>GREET1_Import_Export!B517</f>
        <v>3.9030126321925485E-2</v>
      </c>
      <c r="D142" s="349">
        <f>GREET1_Import_Export!C517</f>
        <v>0.5558056675291263</v>
      </c>
      <c r="E142" s="349">
        <f>GREET1_Import_Export!B548</f>
        <v>16.068269758237211</v>
      </c>
      <c r="F142" s="349">
        <f>GREET1_Import_Export!L548</f>
        <v>0.1344483673518081</v>
      </c>
      <c r="G142" s="349">
        <f>GREET1_Import_Export!G517</f>
        <v>1.1004189917429632</v>
      </c>
      <c r="H142" s="349">
        <f>GREET1_Import_Export!E517</f>
        <v>15.895332617876749</v>
      </c>
      <c r="I142" s="349">
        <f>(GREET1_Import_Export!G486*GREET1_Import_Export!$H$460+GREET1_Import_Export!H486)/(1000000/GREET1_Import_Export!$B$33*GREET1_Import_Export!$E$33/1000/907.2)</f>
        <v>9.4349606307148761</v>
      </c>
      <c r="J142" s="349">
        <f t="shared" ca="1" si="40"/>
        <v>6.7655872666261878</v>
      </c>
      <c r="K142" s="349">
        <f t="shared" ca="1" si="41"/>
        <v>0.70303511053588974</v>
      </c>
      <c r="L142" s="349">
        <f>GREET1_Import_Export!V581</f>
        <v>0.31726915113256571</v>
      </c>
      <c r="M142" s="348">
        <f>GREET1_Import_Export!J517</f>
        <v>3.2670455136667744</v>
      </c>
    </row>
    <row r="143" spans="1:13">
      <c r="A143" s="794" t="s">
        <v>826</v>
      </c>
      <c r="B143" s="349">
        <f t="shared" ca="1" si="39"/>
        <v>3.8015167274334747</v>
      </c>
      <c r="C143" s="349">
        <f>GREET1_Import_Export!B518</f>
        <v>9.136272393306541E-2</v>
      </c>
      <c r="D143" s="349">
        <f>GREET1_Import_Export!C518</f>
        <v>4.0348874062284592</v>
      </c>
      <c r="E143" s="349">
        <f>GREET1_Import_Export!B549</f>
        <v>134.70998823085495</v>
      </c>
      <c r="F143" s="349">
        <f>GREET1_Import_Export!L549</f>
        <v>1.2058937421657858</v>
      </c>
      <c r="G143" s="349">
        <f>GREET1_Import_Export!G518</f>
        <v>8.0351702842159529</v>
      </c>
      <c r="H143" s="349">
        <f>GREET1_Import_Export!E518</f>
        <v>120.29862838086358</v>
      </c>
      <c r="I143" s="349">
        <f>(GREET1_Import_Export!G487*GREET1_Import_Export!$H$460+GREET1_Import_Export!H487)/(1000000/GREET1_Import_Export!$B$33*GREET1_Import_Export!$E$33/1000/907.2)</f>
        <v>25.473445727874058</v>
      </c>
      <c r="J143" s="349">
        <f t="shared" ca="1" si="40"/>
        <v>56.719995044570453</v>
      </c>
      <c r="K143" s="349">
        <f t="shared" ca="1" si="41"/>
        <v>5.6050689088261896</v>
      </c>
      <c r="L143" s="349">
        <f>GREET1_Import_Export!V582</f>
        <v>0.81705586183993817</v>
      </c>
      <c r="M143" s="348">
        <f>GREET1_Import_Export!J518</f>
        <v>26.047084929251056</v>
      </c>
    </row>
    <row r="144" spans="1:13">
      <c r="A144" s="494" t="s">
        <v>827</v>
      </c>
      <c r="B144" s="349">
        <f t="shared" ca="1" si="39"/>
        <v>2.326692099519698E-2</v>
      </c>
      <c r="C144" s="349">
        <f>GREET1_Import_Export!B519</f>
        <v>4.887358606919817E-3</v>
      </c>
      <c r="D144" s="349">
        <f>GREET1_Import_Export!C519</f>
        <v>3.5884710133770592E-2</v>
      </c>
      <c r="E144" s="349">
        <f>GREET1_Import_Export!B550</f>
        <v>0.86090444874827443</v>
      </c>
      <c r="F144" s="349">
        <f>GREET1_Import_Export!L550</f>
        <v>2.1260636944233555E-2</v>
      </c>
      <c r="G144" s="349">
        <f>GREET1_Import_Export!G519</f>
        <v>0.14297900238188035</v>
      </c>
      <c r="H144" s="349">
        <f>GREET1_Import_Export!E519</f>
        <v>0.92373820101168835</v>
      </c>
      <c r="I144" s="349">
        <f>(GREET1_Import_Export!G488*GREET1_Import_Export!$H$460+GREET1_Import_Export!H488)/(1000000/GREET1_Import_Export!$B$33*GREET1_Import_Export!$E$33/1000/907.2)</f>
        <v>1.1646353117458421</v>
      </c>
      <c r="J144" s="349">
        <f t="shared" ca="1" si="40"/>
        <v>0.36248608368348367</v>
      </c>
      <c r="K144" s="349">
        <f t="shared" ca="1" si="41"/>
        <v>8.4143002173365997E-2</v>
      </c>
      <c r="L144" s="349">
        <f>GREET1_Import_Export!V583</f>
        <v>3.5430452542964348E-2</v>
      </c>
      <c r="M144" s="348">
        <f>GREET1_Import_Export!J519</f>
        <v>0.39101748068799402</v>
      </c>
    </row>
    <row r="145" spans="1:13">
      <c r="A145" s="492" t="s">
        <v>828</v>
      </c>
      <c r="B145" s="505">
        <f t="shared" ca="1" si="39"/>
        <v>0.12843831370588391</v>
      </c>
      <c r="C145" s="505">
        <f>GREET1_Import_Export!B520</f>
        <v>7.0374479543004352E-3</v>
      </c>
      <c r="D145" s="505">
        <f>GREET1_Import_Export!C520</f>
        <v>0.15854690350696832</v>
      </c>
      <c r="E145" s="505">
        <f>GREET1_Import_Export!B551</f>
        <v>4.5725994995086534</v>
      </c>
      <c r="F145" s="505">
        <f>GREET1_Import_Export!L551</f>
        <v>4.1274587924128893E-2</v>
      </c>
      <c r="G145" s="505">
        <f>GREET1_Import_Export!G520</f>
        <v>0.41986049773161876</v>
      </c>
      <c r="H145" s="505">
        <f>GREET1_Import_Export!E520</f>
        <v>4.4841476838419965</v>
      </c>
      <c r="I145" s="505">
        <f>(GREET1_Import_Export!G489*GREET1_Import_Export!$H$460+GREET1_Import_Export!H489)/(1000000/GREET1_Import_Export!$B$33*GREET1_Import_Export!$E$33/1000/907.2)</f>
        <v>1.7717809500267463</v>
      </c>
      <c r="J145" s="505">
        <f t="shared" ca="1" si="40"/>
        <v>1.9253050524246946</v>
      </c>
      <c r="K145" s="505">
        <f t="shared" ca="1" si="41"/>
        <v>0.23825805061740851</v>
      </c>
      <c r="L145" s="505">
        <f>GREET1_Import_Export!V584</f>
        <v>6.9689547332884086E-2</v>
      </c>
      <c r="M145" s="502">
        <f>GREET1_Import_Export!J520</f>
        <v>1.1071991763985429</v>
      </c>
    </row>
  </sheetData>
  <mergeCells count="19">
    <mergeCell ref="AC40:AD40"/>
    <mergeCell ref="AE40:AF40"/>
    <mergeCell ref="Q26:S26"/>
    <mergeCell ref="T26:V26"/>
    <mergeCell ref="W26:Y26"/>
    <mergeCell ref="Q25:Y25"/>
    <mergeCell ref="B83:F83"/>
    <mergeCell ref="G83:P83"/>
    <mergeCell ref="B25:P25"/>
    <mergeCell ref="I84:J84"/>
    <mergeCell ref="K84:L84"/>
    <mergeCell ref="M84:N84"/>
    <mergeCell ref="O84:P84"/>
    <mergeCell ref="B26:D26"/>
    <mergeCell ref="E26:G26"/>
    <mergeCell ref="H26:J26"/>
    <mergeCell ref="K26:M26"/>
    <mergeCell ref="N26:P26"/>
    <mergeCell ref="G84:H84"/>
  </mergeCells>
  <phoneticPr fontId="5"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N91"/>
  <sheetViews>
    <sheetView showGridLines="0" topLeftCell="A45" zoomScale="85" zoomScaleNormal="85" workbookViewId="0">
      <selection activeCell="M63" sqref="M63"/>
    </sheetView>
  </sheetViews>
  <sheetFormatPr defaultColWidth="9.140625" defaultRowHeight="12.75"/>
  <cols>
    <col min="1" max="1" width="35.42578125" style="5" customWidth="1"/>
    <col min="2" max="2" width="10" style="5" customWidth="1"/>
    <col min="3" max="3" width="11.28515625" style="5" bestFit="1" customWidth="1"/>
    <col min="4" max="5" width="12.7109375" style="5" bestFit="1" customWidth="1"/>
    <col min="6" max="6" width="11.28515625" style="5" bestFit="1" customWidth="1"/>
    <col min="7" max="7" width="12.7109375" style="5" bestFit="1" customWidth="1"/>
    <col min="8" max="8" width="9.140625" style="5"/>
    <col min="9" max="9" width="12.7109375" style="5" bestFit="1" customWidth="1"/>
    <col min="10" max="10" width="9.140625" style="5"/>
    <col min="11" max="11" width="11.28515625" style="5" bestFit="1" customWidth="1"/>
    <col min="12" max="12" width="9.140625" style="5"/>
    <col min="13" max="13" width="11.28515625" style="5" bestFit="1" customWidth="1"/>
    <col min="14" max="14" width="12.7109375" style="5" bestFit="1" customWidth="1"/>
    <col min="15" max="16384" width="9.140625" style="5"/>
  </cols>
  <sheetData>
    <row r="1" spans="1:9" ht="15.75">
      <c r="A1" s="2" t="s">
        <v>52</v>
      </c>
    </row>
    <row r="2" spans="1:9">
      <c r="A2" s="3"/>
    </row>
    <row r="3" spans="1:9" ht="15">
      <c r="A3" s="75" t="s">
        <v>1088</v>
      </c>
    </row>
    <row r="4" spans="1:9">
      <c r="A4" s="640" t="s">
        <v>1089</v>
      </c>
      <c r="B4" s="50">
        <f>Mat_Inputs!C392</f>
        <v>0.84199999999999997</v>
      </c>
    </row>
    <row r="5" spans="1:9">
      <c r="A5" s="539" t="s">
        <v>500</v>
      </c>
      <c r="B5" s="85">
        <f>Mat_Inputs!C393</f>
        <v>0.158</v>
      </c>
    </row>
    <row r="6" spans="1:9">
      <c r="A6" s="3"/>
    </row>
    <row r="7" spans="1:9" ht="15">
      <c r="A7" s="75" t="s">
        <v>762</v>
      </c>
    </row>
    <row r="8" spans="1:9">
      <c r="A8" s="393" t="s">
        <v>769</v>
      </c>
      <c r="B8" s="533">
        <v>1</v>
      </c>
      <c r="C8" s="64"/>
    </row>
    <row r="9" spans="1:9">
      <c r="A9" s="230" t="s">
        <v>770</v>
      </c>
      <c r="B9" s="588">
        <v>1</v>
      </c>
      <c r="C9" s="64"/>
    </row>
    <row r="10" spans="1:9">
      <c r="A10" s="160" t="s">
        <v>772</v>
      </c>
      <c r="B10" s="1102">
        <f>1-B9</f>
        <v>0</v>
      </c>
    </row>
    <row r="11" spans="1:9">
      <c r="A11" s="230" t="s">
        <v>773</v>
      </c>
      <c r="B11" s="588">
        <v>1</v>
      </c>
      <c r="C11" s="64"/>
    </row>
    <row r="12" spans="1:9">
      <c r="A12" s="160" t="s">
        <v>782</v>
      </c>
      <c r="B12" s="1102">
        <v>1</v>
      </c>
    </row>
    <row r="13" spans="1:9">
      <c r="A13" s="161" t="s">
        <v>783</v>
      </c>
      <c r="B13" s="949">
        <f>1-B12</f>
        <v>0</v>
      </c>
    </row>
    <row r="15" spans="1:9" ht="15">
      <c r="A15" s="75" t="s">
        <v>784</v>
      </c>
    </row>
    <row r="16" spans="1:9" ht="23.85" customHeight="1">
      <c r="A16" s="178"/>
      <c r="B16" s="2980" t="s">
        <v>494</v>
      </c>
      <c r="C16" s="2981"/>
      <c r="D16" s="3013" t="s">
        <v>495</v>
      </c>
      <c r="E16" s="3013"/>
      <c r="F16" s="2980" t="s">
        <v>1090</v>
      </c>
      <c r="G16" s="2981"/>
      <c r="H16" s="3012" t="s">
        <v>497</v>
      </c>
      <c r="I16" s="2999"/>
    </row>
    <row r="17" spans="1:9" ht="68.25" customHeight="1">
      <c r="A17" s="177"/>
      <c r="B17" s="1673" t="s">
        <v>785</v>
      </c>
      <c r="C17" s="1674" t="s">
        <v>786</v>
      </c>
      <c r="D17" s="1675" t="s">
        <v>785</v>
      </c>
      <c r="E17" s="1675" t="s">
        <v>786</v>
      </c>
      <c r="F17" s="1673" t="s">
        <v>785</v>
      </c>
      <c r="G17" s="1674" t="s">
        <v>786</v>
      </c>
      <c r="H17" s="1307" t="s">
        <v>785</v>
      </c>
      <c r="I17" s="1223" t="s">
        <v>786</v>
      </c>
    </row>
    <row r="18" spans="1:9" ht="25.5">
      <c r="A18" s="659" t="s">
        <v>797</v>
      </c>
      <c r="B18" s="383">
        <f>Mat_Inputs!B387</f>
        <v>2.15</v>
      </c>
      <c r="C18" s="395"/>
      <c r="D18" s="377">
        <f>Mat_Inputs!B388</f>
        <v>19.782</v>
      </c>
      <c r="E18" s="64"/>
      <c r="F18" s="95">
        <f>Mat_Inputs!B389</f>
        <v>24.338000000000001</v>
      </c>
      <c r="G18" s="94"/>
      <c r="H18" s="367">
        <f>Mat_Inputs!B390</f>
        <v>2.4820000000000002</v>
      </c>
      <c r="I18" s="394"/>
    </row>
    <row r="19" spans="1:9">
      <c r="A19" s="660" t="s">
        <v>798</v>
      </c>
      <c r="B19" s="416">
        <v>0</v>
      </c>
      <c r="C19" s="395"/>
      <c r="D19" s="382">
        <v>0</v>
      </c>
      <c r="E19" s="64"/>
      <c r="F19" s="416">
        <v>0</v>
      </c>
      <c r="G19" s="395"/>
      <c r="H19" s="368">
        <v>0</v>
      </c>
      <c r="I19" s="428"/>
    </row>
    <row r="20" spans="1:9">
      <c r="A20" s="178" t="s">
        <v>799</v>
      </c>
      <c r="B20" s="640"/>
      <c r="C20" s="52"/>
      <c r="D20" s="49"/>
      <c r="E20" s="49"/>
      <c r="F20" s="640"/>
      <c r="G20" s="52"/>
      <c r="H20" s="49"/>
      <c r="I20" s="52"/>
    </row>
    <row r="21" spans="1:9">
      <c r="A21" s="230" t="s">
        <v>800</v>
      </c>
      <c r="B21" s="416">
        <v>0</v>
      </c>
      <c r="C21" s="395"/>
      <c r="D21" s="369">
        <v>0</v>
      </c>
      <c r="F21" s="665">
        <v>0.36117248453676198</v>
      </c>
      <c r="G21" s="94"/>
      <c r="H21" s="369">
        <v>0.33800000000000002</v>
      </c>
      <c r="I21" s="94"/>
    </row>
    <row r="22" spans="1:9">
      <c r="A22" s="230" t="s">
        <v>802</v>
      </c>
      <c r="B22" s="416">
        <v>0.48</v>
      </c>
      <c r="C22" s="94" t="s">
        <v>861</v>
      </c>
      <c r="D22" s="369">
        <v>7.0000000000000007E-2</v>
      </c>
      <c r="F22" s="665">
        <v>7.5773624268391002E-2</v>
      </c>
      <c r="G22" s="94"/>
      <c r="H22" s="369">
        <v>0</v>
      </c>
      <c r="I22" s="94"/>
    </row>
    <row r="23" spans="1:9">
      <c r="A23" s="230" t="s">
        <v>804</v>
      </c>
      <c r="B23" s="416">
        <v>0</v>
      </c>
      <c r="C23" s="395"/>
      <c r="D23" s="369">
        <v>0.435</v>
      </c>
      <c r="F23" s="665">
        <v>7.7134827099559697E-3</v>
      </c>
      <c r="G23" s="94"/>
      <c r="H23" s="369">
        <v>0</v>
      </c>
      <c r="I23" s="94"/>
    </row>
    <row r="24" spans="1:9">
      <c r="A24" s="230" t="s">
        <v>805</v>
      </c>
      <c r="B24" s="416">
        <v>0</v>
      </c>
      <c r="C24" s="395"/>
      <c r="D24" s="369">
        <v>0.16500000000000001</v>
      </c>
      <c r="F24" s="665">
        <v>0</v>
      </c>
      <c r="G24" s="94"/>
      <c r="H24" s="369">
        <v>5.0000000000000001E-3</v>
      </c>
      <c r="I24" s="94"/>
    </row>
    <row r="25" spans="1:9">
      <c r="A25" s="589" t="s">
        <v>806</v>
      </c>
      <c r="B25" s="664">
        <f>1-SUM(B21:B24)</f>
        <v>0.52</v>
      </c>
      <c r="C25" s="707"/>
      <c r="D25" s="426">
        <f>1-SUM(D21:D24)</f>
        <v>0.32999999999999996</v>
      </c>
      <c r="E25" s="669"/>
      <c r="F25" s="664">
        <f>1-SUM(F21:F24)</f>
        <v>0.55534040848489097</v>
      </c>
      <c r="G25" s="707"/>
      <c r="H25" s="426">
        <f>1-SUM(H21:H24)</f>
        <v>0.65700000000000003</v>
      </c>
      <c r="I25" s="656"/>
    </row>
    <row r="26" spans="1:9">
      <c r="A26" s="177" t="s">
        <v>862</v>
      </c>
      <c r="B26" s="230"/>
      <c r="C26" s="94"/>
      <c r="F26" s="230"/>
      <c r="G26" s="395"/>
      <c r="I26" s="94"/>
    </row>
    <row r="27" spans="1:9" s="496" customFormat="1">
      <c r="A27" s="347" t="s">
        <v>800</v>
      </c>
      <c r="B27" s="390">
        <f>B$18*B21</f>
        <v>0</v>
      </c>
      <c r="C27" s="497"/>
      <c r="D27" s="601">
        <f>D$18*D21</f>
        <v>0</v>
      </c>
      <c r="F27" s="390">
        <f>F$18*F21</f>
        <v>8.790215928655714</v>
      </c>
      <c r="G27" s="348"/>
      <c r="H27" s="601">
        <f>H$18*H21</f>
        <v>0.83891600000000011</v>
      </c>
      <c r="I27" s="497"/>
    </row>
    <row r="28" spans="1:9" s="496" customFormat="1">
      <c r="A28" s="347" t="s">
        <v>802</v>
      </c>
      <c r="B28" s="390">
        <f>B$18*B22</f>
        <v>1.032</v>
      </c>
      <c r="C28" s="497"/>
      <c r="D28" s="601">
        <f>D$18*D22</f>
        <v>1.3847400000000001</v>
      </c>
      <c r="F28" s="390">
        <f>F$18*F22</f>
        <v>1.8441784674441002</v>
      </c>
      <c r="G28" s="348"/>
      <c r="H28" s="601">
        <f>H$18*H22</f>
        <v>0</v>
      </c>
      <c r="I28" s="497"/>
    </row>
    <row r="29" spans="1:9" s="496" customFormat="1">
      <c r="A29" s="347" t="s">
        <v>804</v>
      </c>
      <c r="B29" s="390">
        <f>B$18*B23</f>
        <v>0</v>
      </c>
      <c r="C29" s="497"/>
      <c r="D29" s="601">
        <f>D$18*D23</f>
        <v>8.6051699999999993</v>
      </c>
      <c r="F29" s="390">
        <f>F$18*F23</f>
        <v>0.1877307421949084</v>
      </c>
      <c r="G29" s="348"/>
      <c r="H29" s="601">
        <f>H$18*H23</f>
        <v>0</v>
      </c>
      <c r="I29" s="497"/>
    </row>
    <row r="30" spans="1:9" s="496" customFormat="1">
      <c r="A30" s="347" t="s">
        <v>805</v>
      </c>
      <c r="B30" s="390">
        <f>B$18*B24</f>
        <v>0</v>
      </c>
      <c r="C30" s="497"/>
      <c r="D30" s="601">
        <f>D$18*D24</f>
        <v>3.26403</v>
      </c>
      <c r="F30" s="390">
        <f>F$18*F24</f>
        <v>0</v>
      </c>
      <c r="G30" s="348"/>
      <c r="H30" s="601">
        <f>H$18*H24</f>
        <v>1.2410000000000001E-2</v>
      </c>
      <c r="I30" s="497"/>
    </row>
    <row r="31" spans="1:9" s="496" customFormat="1">
      <c r="A31" s="503" t="s">
        <v>806</v>
      </c>
      <c r="B31" s="390">
        <f>B$18*B25</f>
        <v>1.1179999999999999</v>
      </c>
      <c r="C31" s="497"/>
      <c r="D31" s="601">
        <f>D$18*D25</f>
        <v>6.5280599999999991</v>
      </c>
      <c r="F31" s="390">
        <f>F$18*F25</f>
        <v>13.515874861705276</v>
      </c>
      <c r="G31" s="348"/>
      <c r="H31" s="601">
        <f>H$18*H25</f>
        <v>1.6306740000000002</v>
      </c>
      <c r="I31" s="497"/>
    </row>
    <row r="32" spans="1:9" s="496" customFormat="1">
      <c r="A32" s="508" t="s">
        <v>816</v>
      </c>
      <c r="B32" s="510">
        <f>B$27*(1+(GREET1_Import_Export!$F$179*GREET1_Import_Export!$B180+GREET1_Import_Export!$F180)/1000000)+B$28*(1+(GREET1_Import_Export!$H$179*GREET1_Import_Export!$B180+GREET1_Import_Export!$H180)/1000000)+B$29*(1+GREET1_Import_Export!$B216/1000000)+B$30*(1+GREET1_Import_Export!$B284/1000000)+B$31*(GREET1_Import_Export!$B309+GREET1_Import_Export!$C309)/1000000</f>
        <v>3.4878673902856239</v>
      </c>
      <c r="C32" s="507"/>
      <c r="D32" s="506">
        <f>D$27*(1+(GREET1_Import_Export!$F$179*GREET1_Import_Export!$B180+GREET1_Import_Export!$F180)/1000000)+D$28*(1+(GREET1_Import_Export!$G$179*GREET1_Import_Export!$B180+GREET1_Import_Export!$G180)/1000000)+D$29*(1+GREET1_Import_Export!$B216/1000000)+D$30*(1+GREET1_Import_Export!$B284/1000000)+D$31*(GREET1_Import_Export!$B309+GREET1_Import_Export!$C309)/1000000</f>
        <v>27.713217312391226</v>
      </c>
      <c r="E32" s="506"/>
      <c r="F32" s="510">
        <f>F$27*(1+(GREET1_Import_Export!$L$179*GREET1_Import_Export!$J180+GREET1_Import_Export!$L180)/1000000)+F$28*(1+(GREET1_Import_Export!$M$179*GREET1_Import_Export!$J180+GREET1_Import_Export!$M180)/1000000)+F$29*(1+GREET1_Import_Export!$G216/1000000)+F$30*(1+GREET1_Import_Export!$D284/1000000)+F$31*(GREET1_Import_Export!$B342)/1000000</f>
        <v>44.341186149577474</v>
      </c>
      <c r="G32" s="509"/>
      <c r="H32" s="506">
        <f>H$27*(1+(GREET1_Import_Export!$F$179*GREET1_Import_Export!$B180+GREET1_Import_Export!$F180)/1000000)+H$28*(1+(GREET1_Import_Export!$G$179*GREET1_Import_Export!$B180+GREET1_Import_Export!$G180)/1000000)+H$29*(1+GREET1_Import_Export!$B216/1000000)+H$30*(1+GREET1_Import_Export!$B284/1000000)+H$31*(GREET1_Import_Export!$B309+GREET1_Import_Export!$C309)/1000000</f>
        <v>4.2686231497113409</v>
      </c>
      <c r="I32" s="507"/>
    </row>
    <row r="33" spans="1:9" s="496" customFormat="1">
      <c r="A33" s="498" t="s">
        <v>817</v>
      </c>
      <c r="B33" s="347">
        <f>B$27*(1+(GREET1_Import_Export!$F$179*GREET1_Import_Export!$B181+GREET1_Import_Export!$F181)/1000000)+B$28*(1+(GREET1_Import_Export!$H$179*GREET1_Import_Export!$B181+GREET1_Import_Export!$H181)/1000000)+B$29*(1+GREET1_Import_Export!$B217/1000000)+B$30*(1+GREET1_Import_Export!$B285/1000000)+B$31*(GREET1_Import_Export!$B310+GREET1_Import_Export!$C310)/1000000</f>
        <v>3.0104112202313615</v>
      </c>
      <c r="C33" s="497"/>
      <c r="D33" s="496">
        <f>D$27*(1+(GREET1_Import_Export!$F$179*GREET1_Import_Export!$B181+GREET1_Import_Export!$F181)/1000000)+D$28*(1+(GREET1_Import_Export!$G$179*GREET1_Import_Export!$B181+GREET1_Import_Export!$G181)/1000000)+D$29*(1+GREET1_Import_Export!$B217/1000000)+D$30*(1+GREET1_Import_Export!$B285/1000000)+D$31*(GREET1_Import_Export!$B310+GREET1_Import_Export!$C310)/1000000</f>
        <v>24.942729903401627</v>
      </c>
      <c r="F33" s="347">
        <f>F$27*(1+(GREET1_Import_Export!$L$179*GREET1_Import_Export!$J181+GREET1_Import_Export!$L181)/1000000)+F$28*(1+(GREET1_Import_Export!$M$179*GREET1_Import_Export!$J181+GREET1_Import_Export!$M181)/1000000)+F$29*(1+GREET1_Import_Export!$G217/1000000)+F$30*(1+GREET1_Import_Export!$D285/1000000)+F$31*(GREET1_Import_Export!$B343)/1000000</f>
        <v>33.597626369939263</v>
      </c>
      <c r="G33" s="348"/>
      <c r="H33" s="496">
        <f>H$27*(1+(GREET1_Import_Export!$F$179*GREET1_Import_Export!$B181+GREET1_Import_Export!$F181)/1000000)+H$28*(1+(GREET1_Import_Export!$G$179*GREET1_Import_Export!$B181+GREET1_Import_Export!$G181)/1000000)+H$29*(1+GREET1_Import_Export!$B217/1000000)+H$30*(1+GREET1_Import_Export!$B285/1000000)+H$31*(GREET1_Import_Export!$B310+GREET1_Import_Export!$C310)/1000000</f>
        <v>3.5767336411387434</v>
      </c>
      <c r="I33" s="497"/>
    </row>
    <row r="34" spans="1:9" s="496" customFormat="1">
      <c r="A34" s="498" t="s">
        <v>805</v>
      </c>
      <c r="B34" s="347">
        <f>B$27*(GREET1_Import_Export!$F$179*GREET1_Import_Export!$B182+GREET1_Import_Export!$F182)/1000000+B$28*(GREET1_Import_Export!$H$179*GREET1_Import_Export!$B182+GREET1_Import_Export!$H182)/1000000+B$29*GREET1_Import_Export!$B218/1000000+B$30*(1+GREET1_Import_Export!$B286/1000000)+B$31*(GREET1_Import_Export!$B311+GREET1_Import_Export!$C311)/1000000</f>
        <v>0.63085294551978466</v>
      </c>
      <c r="C34" s="497"/>
      <c r="D34" s="496">
        <f>D$27*(GREET1_Import_Export!$F$179*GREET1_Import_Export!$B182+GREET1_Import_Export!$F182)/1000000+D$28*(GREET1_Import_Export!$G$179*GREET1_Import_Export!$B182+GREET1_Import_Export!$G182)/1000000+D$29*GREET1_Import_Export!$B218/1000000+D$30*(1+GREET1_Import_Export!$B286/1000000)+D$31*(GREET1_Import_Export!$B311+GREET1_Import_Export!$C311)/1000000</f>
        <v>6.9280379015135161</v>
      </c>
      <c r="F34" s="347">
        <f>F$27*(GREET1_Import_Export!$L$179*GREET1_Import_Export!$J182+GREET1_Import_Export!$L182)/1000000+F$28*(GREET1_Import_Export!$M$179*GREET1_Import_Export!$J182+GREET1_Import_Export!$M182)/1000000+F$29*GREET1_Import_Export!$G218/1000000+F$30*(1+GREET1_Import_Export!$D286/1000000)+F$31*(GREET1_Import_Export!$B344)/1000000</f>
        <v>15.059493099587543</v>
      </c>
      <c r="G34" s="348"/>
      <c r="H34" s="496">
        <f>H$27*(GREET1_Import_Export!$F$179*GREET1_Import_Export!$B182+GREET1_Import_Export!$F182)/1000000+H$28*(GREET1_Import_Export!$G$179*GREET1_Import_Export!$B182+GREET1_Import_Export!$G182)/1000000+H$29*GREET1_Import_Export!$B218/1000000+H$30*(1+GREET1_Import_Export!$B286/1000000)+H$31*(GREET1_Import_Export!$B311+GREET1_Import_Export!$C311)/1000000</f>
        <v>0.92679406268845355</v>
      </c>
      <c r="I34" s="497"/>
    </row>
    <row r="35" spans="1:9" s="496" customFormat="1">
      <c r="A35" s="498" t="s">
        <v>804</v>
      </c>
      <c r="B35" s="347">
        <f>B33-B34-B36</f>
        <v>1.2801066775280567</v>
      </c>
      <c r="C35" s="497"/>
      <c r="D35" s="496">
        <f>D33-D34-D36</f>
        <v>16.367126662838462</v>
      </c>
      <c r="F35" s="347">
        <f>F33-F34-F36</f>
        <v>6.2708221807704483</v>
      </c>
      <c r="G35" s="348"/>
      <c r="H35" s="496">
        <f>H33-H34-H36</f>
        <v>1.7478872753829671</v>
      </c>
      <c r="I35" s="497"/>
    </row>
    <row r="36" spans="1:9" s="496" customFormat="1">
      <c r="A36" s="498" t="s">
        <v>818</v>
      </c>
      <c r="B36" s="347">
        <f>B$27*(1+(GREET1_Import_Export!$F$179*GREET1_Import_Export!$B184+GREET1_Import_Export!$F184)/1000000)+B$28*(1+(GREET1_Import_Export!$H$179*GREET1_Import_Export!$B184+GREET1_Import_Export!$H184)/1000000)+B$29*GREET1_Import_Export!$B220/1000000+B$30*GREET1_Import_Export!$B288/1000000+B$31*(GREET1_Import_Export!$B313+GREET1_Import_Export!$C313)/1000000</f>
        <v>1.0994515971835201</v>
      </c>
      <c r="C36" s="497"/>
      <c r="D36" s="496">
        <f>D$27*(1+(GREET1_Import_Export!$F$179*GREET1_Import_Export!$B184+GREET1_Import_Export!$F184)/1000000)+D$28*(1+(GREET1_Import_Export!$G$179*GREET1_Import_Export!$B184+GREET1_Import_Export!$G184)/1000000)+D$29*GREET1_Import_Export!$B220/1000000+D$30*GREET1_Import_Export!$B288/1000000+D$31*(GREET1_Import_Export!$B313+GREET1_Import_Export!$C313)/1000000</f>
        <v>1.6475653390496494</v>
      </c>
      <c r="F36" s="347">
        <f>F$27*(1+(GREET1_Import_Export!$L$179*GREET1_Import_Export!$J184+GREET1_Import_Export!$L184)/1000000)+F$28*(1+(GREET1_Import_Export!$M$179*GREET1_Import_Export!$J184+GREET1_Import_Export!$M184)/1000000)+F$29*GREET1_Import_Export!$G220/1000000+F$30*GREET1_Import_Export!$D288/1000000+F$31*(GREET1_Import_Export!$B346)/1000000</f>
        <v>12.267311089581273</v>
      </c>
      <c r="G36" s="348"/>
      <c r="H36" s="496">
        <f>H$27*(1+(GREET1_Import_Export!$F$179*GREET1_Import_Export!$B184+GREET1_Import_Export!$F184)/1000000)+H$28*(1+(GREET1_Import_Export!$G$179*GREET1_Import_Export!$B184+GREET1_Import_Export!$G184)/1000000)+H$29*GREET1_Import_Export!$B220/1000000+H$30*GREET1_Import_Export!$B288/1000000+H$31*(GREET1_Import_Export!$B313+GREET1_Import_Export!$C313)/1000000</f>
        <v>0.90205230306732265</v>
      </c>
      <c r="I36" s="497"/>
    </row>
    <row r="37" spans="1:9" s="496" customFormat="1">
      <c r="A37" s="748" t="s">
        <v>819</v>
      </c>
      <c r="B37" s="650">
        <f>B$27*((GREET1_Import_Export!$F$179*GREET1_Import_Export!$B185+GREET1_Import_Export!$F185))+B$28*((GREET1_Import_Export!$H$179*GREET1_Import_Export!$B185+GREET1_Import_Export!$H185))+B$29*GREET1_Import_Export!$B221+B$30*GREET1_Import_Export!$B289+B$31*(GREET1_Import_Export!$B314+GREET1_Import_Export!$C314)</f>
        <v>144.0173607407325</v>
      </c>
      <c r="C37" s="542"/>
      <c r="D37" s="47">
        <f>D$27*((GREET1_Import_Export!$F$179*GREET1_Import_Export!$B185+GREET1_Import_Export!$F185))+D$28*((GREET1_Import_Export!$G$179*GREET1_Import_Export!$B185+GREET1_Import_Export!$G185))+D$29*GREET1_Import_Export!$B221+D$30*GREET1_Import_Export!$B289+D$31*(GREET1_Import_Export!$B314+GREET1_Import_Export!$C314)</f>
        <v>778.4256398661505</v>
      </c>
      <c r="E37" s="537"/>
      <c r="F37" s="650">
        <f>F$27*((GREET1_Import_Export!$L$179*GREET1_Import_Export!$J185+GREET1_Import_Export!$L185))+F$28*((GREET1_Import_Export!$M$179*GREET1_Import_Export!$J185+GREET1_Import_Export!$M185))+F$29*GREET1_Import_Export!$G221+F$30*GREET1_Import_Export!$D289+F$31*(GREET1_Import_Export!$B347)</f>
        <v>3420.5546171088072</v>
      </c>
      <c r="G37" s="752"/>
      <c r="H37" s="47">
        <f>H$27*((GREET1_Import_Export!$F$179*GREET1_Import_Export!$B185+GREET1_Import_Export!$F185))+H$28*((GREET1_Import_Export!$G$179*GREET1_Import_Export!$B185+GREET1_Import_Export!$G185))+H$29*GREET1_Import_Export!$B221+H$30*GREET1_Import_Export!$B289+H$31*(GREET1_Import_Export!$B314+GREET1_Import_Export!$C314)</f>
        <v>194.23569214954082</v>
      </c>
      <c r="I37" s="542"/>
    </row>
    <row r="38" spans="1:9" s="496" customFormat="1">
      <c r="A38" s="609" t="s">
        <v>864</v>
      </c>
      <c r="B38" s="623"/>
      <c r="C38" s="544"/>
      <c r="D38" s="597"/>
      <c r="E38" s="597"/>
      <c r="F38" s="623"/>
      <c r="G38" s="673"/>
      <c r="H38" s="597"/>
      <c r="I38" s="544"/>
    </row>
    <row r="39" spans="1:9" s="496" customFormat="1">
      <c r="A39" s="498" t="s">
        <v>821</v>
      </c>
      <c r="B39" s="347">
        <f>B$27*(B$8*GREET1_Import_Export!$K72+GREET1_Import_Export!$F$179*GREET1_Import_Export!$B186+GREET1_Import_Export!$F186)+B$28*(B$12*GREET1_Import_Export!$R72+B$13*GREET1_Import_Export!$G146+GREET1_Import_Export!$H$179*GREET1_Import_Export!$B186+GREET1_Import_Export!$H186)+B$29*(B$9*GREET1_Import_Export!$B72+B$10*GREET1_Import_Export!$G118+GREET1_Import_Export!$B222)+B$30*(B$11*GREET1_Import_Export!$AA72+GREET1_Import_Export!$B290)+B$31*(GREET1_Import_Export!$B315+GREET1_Import_Export!$C315)</f>
        <v>29.089417479879508</v>
      </c>
      <c r="C39" s="497"/>
      <c r="D39" s="349">
        <f>D$27*(GREET1_Import_Export!$K72+GREET1_Import_Export!$F$179*GREET1_Import_Export!$B186+GREET1_Import_Export!$F186)+D$28*(GREET1_Import_Export!$O72+GREET1_Import_Export!$G$179*GREET1_Import_Export!$B186+GREET1_Import_Export!$G186)+D$29*(GREET1_Import_Export!$B72+GREET1_Import_Export!$B222)+D$30*(GREET1_Import_Export!$AA72+GREET1_Import_Export!$B290)+D$31*(GREET1_Import_Export!$B315+GREET1_Import_Export!$C315)</f>
        <v>239.43019980297603</v>
      </c>
      <c r="F39" s="347">
        <f>F$27*(GREET1_Import_Export!$K72+GREET1_Import_Export!$L$179*GREET1_Import_Export!$J186+GREET1_Import_Export!$L186)+F$28*(GREET1_Import_Export!$O72+GREET1_Import_Export!$M$179*GREET1_Import_Export!$J186+GREET1_Import_Export!$M186)+F$29*(GREET1_Import_Export!$B72+GREET1_Import_Export!$G222)+F$30*(GREET1_Import_Export!$AA72+GREET1_Import_Export!$D290)+F$31*(GREET1_Import_Export!$B348)</f>
        <v>271.3294224666372</v>
      </c>
      <c r="G39" s="348"/>
      <c r="H39" s="349">
        <f>H$27*(GREET1_Import_Export!$K72+GREET1_Import_Export!$F$179*GREET1_Import_Export!$B186+GREET1_Import_Export!$F186)+H$28*(GREET1_Import_Export!$O72+GREET1_Import_Export!$G$179*GREET1_Import_Export!$B186+GREET1_Import_Export!$G186)+H$29*(GREET1_Import_Export!$B72+GREET1_Import_Export!$B222)+H$30*(GREET1_Import_Export!$AA72+GREET1_Import_Export!$B290)+H$31*(GREET1_Import_Export!$B315+GREET1_Import_Export!$C315)</f>
        <v>28.454591289705348</v>
      </c>
      <c r="I39" s="497"/>
    </row>
    <row r="40" spans="1:9" s="496" customFormat="1">
      <c r="A40" s="498" t="s">
        <v>822</v>
      </c>
      <c r="B40" s="347">
        <f>B$27*(B$8*GREET1_Import_Export!$K73+GREET1_Import_Export!$F$179*GREET1_Import_Export!$B187+GREET1_Import_Export!$F187)+B$28*(B$12*GREET1_Import_Export!$R73+B$13*GREET1_Import_Export!$G147+GREET1_Import_Export!$H$179*GREET1_Import_Export!$B187+GREET1_Import_Export!$H187)+B$29*(B$9*GREET1_Import_Export!$B73+B$10*GREET1_Import_Export!$G119+GREET1_Import_Export!$B223)+B$30*(B$11*GREET1_Import_Export!$AA73+GREET1_Import_Export!$B291)+B$31*(GREET1_Import_Export!$B316+GREET1_Import_Export!$C316)</f>
        <v>220.79004725541816</v>
      </c>
      <c r="C40" s="497"/>
      <c r="D40" s="349">
        <f>D$27*(GREET1_Import_Export!$K73+GREET1_Import_Export!$F$179*GREET1_Import_Export!$B187+GREET1_Import_Export!$F187)+D$28*(GREET1_Import_Export!$O73+GREET1_Import_Export!$G$179*GREET1_Import_Export!$B187+GREET1_Import_Export!$G187)+D$29*(GREET1_Import_Export!$B73+GREET1_Import_Export!$B223)+D$30*(GREET1_Import_Export!$AA73+GREET1_Import_Export!$B291)+D$31*(GREET1_Import_Export!$B316+GREET1_Import_Export!$C316)</f>
        <v>1533.3082336438099</v>
      </c>
      <c r="F40" s="347">
        <f>F$27*(GREET1_Import_Export!$K73+GREET1_Import_Export!$L$179*GREET1_Import_Export!$J187+GREET1_Import_Export!$L187)+F$28*(GREET1_Import_Export!$O73+GREET1_Import_Export!$M$179*GREET1_Import_Export!$J187+GREET1_Import_Export!$M187)+F$29*(GREET1_Import_Export!$B73+GREET1_Import_Export!$G223)+F$30*(GREET1_Import_Export!$AA73+GREET1_Import_Export!$D291)+F$31*(GREET1_Import_Export!$B349)</f>
        <v>2158.0063105579129</v>
      </c>
      <c r="G40" s="348"/>
      <c r="H40" s="349">
        <f>H$27*(GREET1_Import_Export!$K73+GREET1_Import_Export!$F$179*GREET1_Import_Export!$B187+GREET1_Import_Export!$F187)+H$28*(GREET1_Import_Export!$O73+GREET1_Import_Export!$G$179*GREET1_Import_Export!$B187+GREET1_Import_Export!$G187)+H$29*(GREET1_Import_Export!$B73+GREET1_Import_Export!$B223)+H$30*(GREET1_Import_Export!$AA73+GREET1_Import_Export!$B291)+H$31*(GREET1_Import_Export!$B316+GREET1_Import_Export!$C316)</f>
        <v>100.18684994966419</v>
      </c>
      <c r="I40" s="497"/>
    </row>
    <row r="41" spans="1:9" s="496" customFormat="1">
      <c r="A41" s="498" t="s">
        <v>823</v>
      </c>
      <c r="B41" s="347">
        <f>B$27*(B$8*GREET1_Import_Export!$K74+GREET1_Import_Export!$F$179*GREET1_Import_Export!$B188+GREET1_Import_Export!$F188)+B$28*(B$12*GREET1_Import_Export!$R74+B$13*GREET1_Import_Export!$G148+GREET1_Import_Export!$H$179*GREET1_Import_Export!$B188+GREET1_Import_Export!$H188)+B$29*(B$9*GREET1_Import_Export!$B74+B$10*GREET1_Import_Export!$G120+GREET1_Import_Export!$B224)+B$30*(B$11*GREET1_Import_Export!$AA74+GREET1_Import_Export!$B292)+B$31*(GREET1_Import_Export!$B317+GREET1_Import_Export!$C317)</f>
        <v>209.32062178112068</v>
      </c>
      <c r="C41" s="497"/>
      <c r="D41" s="349">
        <f>D$27*(GREET1_Import_Export!$K74+GREET1_Import_Export!$F$179*GREET1_Import_Export!$B188+GREET1_Import_Export!$F188)+D$28*(GREET1_Import_Export!$O74+GREET1_Import_Export!$G$179*GREET1_Import_Export!$B188+GREET1_Import_Export!$G188)+D$29*(GREET1_Import_Export!$B74+GREET1_Import_Export!$B224)+D$30*(GREET1_Import_Export!$AA74+GREET1_Import_Export!$B292)+D$31*(GREET1_Import_Export!$B317+GREET1_Import_Export!$C317)</f>
        <v>1939.2674355150707</v>
      </c>
      <c r="F41" s="347">
        <f>F$27*(GREET1_Import_Export!$K74+GREET1_Import_Export!$L$179*GREET1_Import_Export!$J188+GREET1_Import_Export!$L188)+F$28*(GREET1_Import_Export!$O74+GREET1_Import_Export!$M$179*GREET1_Import_Export!$J188+GREET1_Import_Export!$M188)+F$29*(GREET1_Import_Export!$B74+GREET1_Import_Export!$G224)+F$30*(GREET1_Import_Export!$AA74+GREET1_Import_Export!$D292)+F$31*(GREET1_Import_Export!$B350)</f>
        <v>3812.7364716782149</v>
      </c>
      <c r="G41" s="348"/>
      <c r="H41" s="349">
        <f>H$27*(GREET1_Import_Export!$K74+GREET1_Import_Export!$F$179*GREET1_Import_Export!$B188+GREET1_Import_Export!$F188)+H$28*(GREET1_Import_Export!$O74+GREET1_Import_Export!$G$179*GREET1_Import_Export!$B188+GREET1_Import_Export!$G188)+H$29*(GREET1_Import_Export!$B74+GREET1_Import_Export!$B224)+H$30*(GREET1_Import_Export!$AA74+GREET1_Import_Export!$B292)+H$31*(GREET1_Import_Export!$B317+GREET1_Import_Export!$C317)</f>
        <v>258.20013016088478</v>
      </c>
      <c r="I41" s="497"/>
    </row>
    <row r="42" spans="1:9" s="496" customFormat="1">
      <c r="A42" s="498" t="s">
        <v>824</v>
      </c>
      <c r="B42" s="347">
        <f>B$27*(B$8*GREET1_Import_Export!$K75+GREET1_Import_Export!$F$179*GREET1_Import_Export!$B189+GREET1_Import_Export!$F189)+B$28*(B$12*GREET1_Import_Export!$R75+B$13*GREET1_Import_Export!$G149+GREET1_Import_Export!$H$179*GREET1_Import_Export!$B189+GREET1_Import_Export!$H189)+B$29*(B$9*GREET1_Import_Export!$B75+B$10*GREET1_Import_Export!$G121+GREET1_Import_Export!$B225)+B$30*(B$11*GREET1_Import_Export!$AA75+GREET1_Import_Export!$B293)+B$31*(GREET1_Import_Export!$B318+GREET1_Import_Export!$C318)</f>
        <v>20.758701983606713</v>
      </c>
      <c r="C42" s="339">
        <v>54.447000000000003</v>
      </c>
      <c r="D42" s="349">
        <f>D$27*(GREET1_Import_Export!$K75+GREET1_Import_Export!$F$179*GREET1_Import_Export!$B189+GREET1_Import_Export!$F189)+D$28*(GREET1_Import_Export!$O75+GREET1_Import_Export!$G$179*GREET1_Import_Export!$B189+GREET1_Import_Export!$G189)+D$29*(GREET1_Import_Export!$B75+GREET1_Import_Export!$B225)+D$30*(GREET1_Import_Export!$AA75+GREET1_Import_Export!$B293)+D$31*(GREET1_Import_Export!$B318+GREET1_Import_Export!$C318)</f>
        <v>183.91686714861726</v>
      </c>
      <c r="F42" s="347">
        <f>F$27*(GREET1_Import_Export!$K75+GREET1_Import_Export!$L$179*GREET1_Import_Export!$J189+GREET1_Import_Export!$L189)+F$28*(GREET1_Import_Export!$O75+GREET1_Import_Export!$M$179*GREET1_Import_Export!$J189+GREET1_Import_Export!$M189)+F$29*(GREET1_Import_Export!$B75+GREET1_Import_Export!$G225)+F$30*(GREET1_Import_Export!$AA75+GREET1_Import_Export!$D293)+F$31*(GREET1_Import_Export!$B351)</f>
        <v>608.89404298197928</v>
      </c>
      <c r="G42" s="348">
        <f>C42</f>
        <v>54.447000000000003</v>
      </c>
      <c r="H42" s="349">
        <f>H$27*(GREET1_Import_Export!$K75+GREET1_Import_Export!$F$179*GREET1_Import_Export!$B189+GREET1_Import_Export!$F189)+H$28*(GREET1_Import_Export!$O75+GREET1_Import_Export!$G$179*GREET1_Import_Export!$B189+GREET1_Import_Export!$G189)+H$29*(GREET1_Import_Export!$B75+GREET1_Import_Export!$B225)+H$30*(GREET1_Import_Export!$AA75+GREET1_Import_Export!$B293)+H$31*(GREET1_Import_Export!$B318+GREET1_Import_Export!$C318)</f>
        <v>45.999398328012489</v>
      </c>
      <c r="I42" s="497"/>
    </row>
    <row r="43" spans="1:9" s="349" customFormat="1">
      <c r="A43" s="347" t="s">
        <v>825</v>
      </c>
      <c r="B43" s="347">
        <f>B$27*(B$8*GREET1_Import_Export!$K76+GREET1_Import_Export!$F$179*GREET1_Import_Export!$B190+GREET1_Import_Export!$F190)+B$28*(B$12*GREET1_Import_Export!$R76+B$13*GREET1_Import_Export!$G150+GREET1_Import_Export!$H$179*GREET1_Import_Export!$B190+GREET1_Import_Export!$H190)+B$29*(B$9*GREET1_Import_Export!$B76+B$10*GREET1_Import_Export!$G122+GREET1_Import_Export!$B226)+B$30*(B$11*GREET1_Import_Export!$AA76+GREET1_Import_Export!$B294)+B$31*(GREET1_Import_Export!$B319+GREET1_Import_Export!$C319)</f>
        <v>10.385782824786078</v>
      </c>
      <c r="C43" s="348">
        <f>C42/2</f>
        <v>27.223500000000001</v>
      </c>
      <c r="D43" s="349">
        <f>D$27*(GREET1_Import_Export!$K76+GREET1_Import_Export!$F$179*GREET1_Import_Export!$B190+GREET1_Import_Export!$F190)+D$28*(GREET1_Import_Export!$O76+GREET1_Import_Export!$G$179*GREET1_Import_Export!$B190+GREET1_Import_Export!$G190)+D$29*(GREET1_Import_Export!$B76+GREET1_Import_Export!$B226)+D$30*(GREET1_Import_Export!$AA76+GREET1_Import_Export!$B294)+D$31*(GREET1_Import_Export!$B319+GREET1_Import_Export!$C319)</f>
        <v>126.37525900916489</v>
      </c>
      <c r="F43" s="347">
        <f>F$27*(GREET1_Import_Export!$K76+GREET1_Import_Export!$L$179*GREET1_Import_Export!$J190+GREET1_Import_Export!$L190)+F$28*(GREET1_Import_Export!$O76+GREET1_Import_Export!$M$179*GREET1_Import_Export!$J190+GREET1_Import_Export!$M190)+F$29*(GREET1_Import_Export!$B76+GREET1_Import_Export!$G226)+F$30*(GREET1_Import_Export!$AA76+GREET1_Import_Export!$D294)+F$31*(GREET1_Import_Export!$B352)</f>
        <v>345.36028352463734</v>
      </c>
      <c r="G43" s="348">
        <f>C43</f>
        <v>27.223500000000001</v>
      </c>
      <c r="H43" s="349">
        <f>H$27*(GREET1_Import_Export!$K76+GREET1_Import_Export!$F$179*GREET1_Import_Export!$B190+GREET1_Import_Export!$F190)+H$28*(GREET1_Import_Export!$O76+GREET1_Import_Export!$G$179*GREET1_Import_Export!$B190+GREET1_Import_Export!$G190)+H$29*(GREET1_Import_Export!$B76+GREET1_Import_Export!$B226)+H$30*(GREET1_Import_Export!$AA76+GREET1_Import_Export!$B294)+H$31*(GREET1_Import_Export!$B319+GREET1_Import_Export!$C319)</f>
        <v>25.644115323091732</v>
      </c>
      <c r="I43" s="348"/>
    </row>
    <row r="44" spans="1:9" s="496" customFormat="1">
      <c r="A44" s="347" t="s">
        <v>826</v>
      </c>
      <c r="B44" s="347">
        <f>B$27*(B$8*GREET1_Import_Export!$K77+GREET1_Import_Export!$F$179*GREET1_Import_Export!$B191+GREET1_Import_Export!$F191)+B$28*(B$12*GREET1_Import_Export!$R77+B$13*GREET1_Import_Export!$G151+GREET1_Import_Export!$H$179*GREET1_Import_Export!$B191+GREET1_Import_Export!$H191)+B$29*(B$9*GREET1_Import_Export!$B77+B$10*GREET1_Import_Export!$G123+GREET1_Import_Export!$B227)+B$30*(B$11*GREET1_Import_Export!$AA77+GREET1_Import_Export!$B295)+B$31*(GREET1_Import_Export!$B320+GREET1_Import_Export!$C320)</f>
        <v>77.743866067605978</v>
      </c>
      <c r="C44" s="497"/>
      <c r="D44" s="349">
        <f>D$27*(GREET1_Import_Export!$K77+GREET1_Import_Export!$F$179*GREET1_Import_Export!$B191+GREET1_Import_Export!$F191)+D$28*(GREET1_Import_Export!$O77+GREET1_Import_Export!$G$179*GREET1_Import_Export!$B191+GREET1_Import_Export!$G191)+D$29*(GREET1_Import_Export!$B77+GREET1_Import_Export!$B227)+D$30*(GREET1_Import_Export!$AA77+GREET1_Import_Export!$B295)+D$31*(GREET1_Import_Export!$B320+GREET1_Import_Export!$C320)</f>
        <v>1260.594405940355</v>
      </c>
      <c r="E44" s="338">
        <v>125927.30499999999</v>
      </c>
      <c r="F44" s="347">
        <f>F$27*(GREET1_Import_Export!$K77+GREET1_Import_Export!$L$179*GREET1_Import_Export!$J191+GREET1_Import_Export!$L191)+F$28*(GREET1_Import_Export!$O77+GREET1_Import_Export!$M$179*GREET1_Import_Export!$J191+GREET1_Import_Export!$M191)+F$29*(GREET1_Import_Export!$B77+GREET1_Import_Export!$G227)+F$30*(GREET1_Import_Export!$AA77+GREET1_Import_Export!$D295)+F$31*(GREET1_Import_Export!$B353)</f>
        <v>2987.0543171185218</v>
      </c>
      <c r="G44" s="348">
        <f>E44</f>
        <v>125927.30499999999</v>
      </c>
      <c r="H44" s="349">
        <f>H$27*(GREET1_Import_Export!$K77+GREET1_Import_Export!$F$179*GREET1_Import_Export!$B191+GREET1_Import_Export!$F191)+H$28*(GREET1_Import_Export!$O77+GREET1_Import_Export!$G$179*GREET1_Import_Export!$B191+GREET1_Import_Export!$G191)+H$29*(GREET1_Import_Export!$B77+GREET1_Import_Export!$B227)+H$30*(GREET1_Import_Export!$AA77+GREET1_Import_Export!$B295)+H$31*(GREET1_Import_Export!$B320+GREET1_Import_Export!$C320)</f>
        <v>210.50372698468288</v>
      </c>
      <c r="I44" s="348"/>
    </row>
    <row r="45" spans="1:9" s="496" customFormat="1">
      <c r="A45" s="749" t="s">
        <v>827</v>
      </c>
      <c r="B45" s="347">
        <f>B$27*(B$8*GREET1_Import_Export!$K78+GREET1_Import_Export!$F$179*GREET1_Import_Export!$B192+GREET1_Import_Export!$F192)+B$28*(B$12*GREET1_Import_Export!$R78+B$13*GREET1_Import_Export!$G152+GREET1_Import_Export!$H$179*GREET1_Import_Export!$B192+GREET1_Import_Export!$H192)+B$29*(B$9*GREET1_Import_Export!$B78+B$10*GREET1_Import_Export!$G124+GREET1_Import_Export!$B228)+B$30*(B$11*GREET1_Import_Export!$AA78+GREET1_Import_Export!$B296)+B$31*(GREET1_Import_Export!$B321+GREET1_Import_Export!$C321)</f>
        <v>0.71458130374049289</v>
      </c>
      <c r="C45" s="497"/>
      <c r="D45" s="349">
        <f>D$27*(GREET1_Import_Export!$K78+GREET1_Import_Export!$F$179*GREET1_Import_Export!$B192+GREET1_Import_Export!$F192)+D$28*(GREET1_Import_Export!$O78+GREET1_Import_Export!$G$179*GREET1_Import_Export!$B192+GREET1_Import_Export!$G192)+D$29*(GREET1_Import_Export!$B78+GREET1_Import_Export!$B228)+D$30*(GREET1_Import_Export!$AA78+GREET1_Import_Export!$B296)+D$31*(GREET1_Import_Export!$B321+GREET1_Import_Export!$C321)</f>
        <v>34.599388591152703</v>
      </c>
      <c r="E45" s="349"/>
      <c r="F45" s="347">
        <f>F$27*(GREET1_Import_Export!$K78+GREET1_Import_Export!$L$179*GREET1_Import_Export!$J192+GREET1_Import_Export!$L192)+F$28*(GREET1_Import_Export!$O78+GREET1_Import_Export!$M$179*GREET1_Import_Export!$J192+GREET1_Import_Export!$M192)+F$29*(GREET1_Import_Export!$B78+GREET1_Import_Export!$G228)+F$30*(GREET1_Import_Export!$AA78+GREET1_Import_Export!$D296)+F$31*(GREET1_Import_Export!$B354)</f>
        <v>54.085468335296319</v>
      </c>
      <c r="G45" s="348"/>
      <c r="H45" s="349">
        <f>H$27*(GREET1_Import_Export!$K78+GREET1_Import_Export!$F$179*GREET1_Import_Export!$B192+GREET1_Import_Export!$F192)+H$28*(GREET1_Import_Export!$O78+GREET1_Import_Export!$G$179*GREET1_Import_Export!$B192+GREET1_Import_Export!$G192)+H$29*(GREET1_Import_Export!$B78+GREET1_Import_Export!$B228)+H$30*(GREET1_Import_Export!$AA78+GREET1_Import_Export!$B296)+H$31*(GREET1_Import_Export!$B321+GREET1_Import_Export!$C321)</f>
        <v>1.6826151960868638</v>
      </c>
      <c r="I45" s="348"/>
    </row>
    <row r="46" spans="1:9" s="496" customFormat="1">
      <c r="A46" s="749" t="s">
        <v>828</v>
      </c>
      <c r="B46" s="347">
        <f>B$27*(B$8*GREET1_Import_Export!$K79+GREET1_Import_Export!$F$179*GREET1_Import_Export!$B193+GREET1_Import_Export!$F193)+B$28*(B$12*GREET1_Import_Export!$R79+B$13*GREET1_Import_Export!$G153+GREET1_Import_Export!$H$179*GREET1_Import_Export!$B193+GREET1_Import_Export!$H193)+B$29*(B$9*GREET1_Import_Export!$B79+B$10*GREET1_Import_Export!$G125+GREET1_Import_Export!$B229)+B$30*(B$11*GREET1_Import_Export!$AA79+GREET1_Import_Export!$B297)+B$31*(GREET1_Import_Export!$B322+GREET1_Import_Export!$C322)</f>
        <v>2.7774973273121395</v>
      </c>
      <c r="C46" s="497"/>
      <c r="D46" s="349">
        <f>D$27*(GREET1_Import_Export!$K79+GREET1_Import_Export!$F$179*GREET1_Import_Export!$B193+GREET1_Import_Export!$F193)+D$28*(GREET1_Import_Export!$O79+GREET1_Import_Export!$G$179*GREET1_Import_Export!$B193+GREET1_Import_Export!$G193)+D$29*(GREET1_Import_Export!$B79+GREET1_Import_Export!$B229)+D$30*(GREET1_Import_Export!$AA79+GREET1_Import_Export!$B297)+D$31*(GREET1_Import_Export!$B322+GREET1_Import_Export!$C322)</f>
        <v>35.135755335803594</v>
      </c>
      <c r="E46" s="349"/>
      <c r="F46" s="347">
        <f>F$27*(GREET1_Import_Export!$K79+GREET1_Import_Export!$L$179*GREET1_Import_Export!$J193+GREET1_Import_Export!$L193)+F$28*(GREET1_Import_Export!$O79+GREET1_Import_Export!$M$179*GREET1_Import_Export!$J193+GREET1_Import_Export!$M193)+F$29*(GREET1_Import_Export!$B79+GREET1_Import_Export!$G229)+F$30*(GREET1_Import_Export!$AA79+GREET1_Import_Export!$D297)+F$31*(GREET1_Import_Export!$B355)</f>
        <v>42.951238342868997</v>
      </c>
      <c r="G46" s="348"/>
      <c r="H46" s="349">
        <f>H$27*(GREET1_Import_Export!$K79+GREET1_Import_Export!$F$179*GREET1_Import_Export!$B193+GREET1_Import_Export!$F193)+H$28*(GREET1_Import_Export!$O79+GREET1_Import_Export!$G$179*GREET1_Import_Export!$B193+GREET1_Import_Export!$G193)+H$29*(GREET1_Import_Export!$B79+GREET1_Import_Export!$B229)+H$30*(GREET1_Import_Export!$AA79+GREET1_Import_Export!$B297)+H$31*(GREET1_Import_Export!$B322+GREET1_Import_Export!$C322)</f>
        <v>4.3659741445205977</v>
      </c>
      <c r="I46" s="348"/>
    </row>
    <row r="47" spans="1:9" s="496" customFormat="1">
      <c r="A47" s="347" t="s">
        <v>829</v>
      </c>
      <c r="B47" s="347">
        <f>B$27*(B$8*GREET1_Import_Export!$K80+GREET1_Import_Export!$F$179*GREET1_Import_Export!$B194+GREET1_Import_Export!$F194)+B$28*(B$12*GREET1_Import_Export!$R80+B$13*GREET1_Import_Export!$G154+GREET1_Import_Export!$H$179*GREET1_Import_Export!$B194+GREET1_Import_Export!$H194)+B$29*(B$9*GREET1_Import_Export!$B80+B$10*GREET1_Import_Export!$G126+GREET1_Import_Export!$B230)+B$30*(B$11*GREET1_Import_Export!$AA80+GREET1_Import_Export!$B298)+B$31*(GREET1_Import_Export!$B323+GREET1_Import_Export!$C323)</f>
        <v>413.38632074400135</v>
      </c>
      <c r="C47" s="497"/>
      <c r="D47" s="349">
        <f>D$27*(GREET1_Import_Export!$K80+GREET1_Import_Export!$F$179*GREET1_Import_Export!$B194+GREET1_Import_Export!$F194)+D$28*(GREET1_Import_Export!$O80+GREET1_Import_Export!$G$179*GREET1_Import_Export!$B194+GREET1_Import_Export!$G194)+D$29*(GREET1_Import_Export!$B80+GREET1_Import_Export!$B230)+D$30*(GREET1_Import_Export!$AA80+GREET1_Import_Export!$B298)+D$31*(GREET1_Import_Export!$B323+GREET1_Import_Export!$C323)</f>
        <v>4263.8815570205188</v>
      </c>
      <c r="F47" s="347">
        <f>F$27*(GREET1_Import_Export!$K80+GREET1_Import_Export!$L$179*GREET1_Import_Export!$J194+GREET1_Import_Export!$L194)+F$28*(GREET1_Import_Export!$O80+GREET1_Import_Export!$M$179*GREET1_Import_Export!$J194+GREET1_Import_Export!$M194)+F$29*(GREET1_Import_Export!$B80+GREET1_Import_Export!$G230)+F$30*(GREET1_Import_Export!$AA80+GREET1_Import_Export!$D298)+F$31*(GREET1_Import_Export!$B356)</f>
        <v>4640.8928732384711</v>
      </c>
      <c r="G47" s="348"/>
      <c r="H47" s="349">
        <f>H$27*(GREET1_Import_Export!$K80+GREET1_Import_Export!$F$179*GREET1_Import_Export!$B194+GREET1_Import_Export!$F194)+H$28*(GREET1_Import_Export!$O80+GREET1_Import_Export!$G$179*GREET1_Import_Export!$B194+GREET1_Import_Export!$G194)+H$29*(GREET1_Import_Export!$B80+GREET1_Import_Export!$B230)+H$30*(GREET1_Import_Export!$AA80+GREET1_Import_Export!$B298)+H$31*(GREET1_Import_Export!$B323+GREET1_Import_Export!$C323)</f>
        <v>526.02852614346568</v>
      </c>
      <c r="I47" s="497"/>
    </row>
    <row r="48" spans="1:9" s="496" customFormat="1">
      <c r="A48" s="347" t="s">
        <v>830</v>
      </c>
      <c r="B48" s="347">
        <f>B$27*(B$8*GREET1_Import_Export!$K81+GREET1_Import_Export!$F$179*GREET1_Import_Export!$B195+GREET1_Import_Export!$F195)+B$28*(B$12*GREET1_Import_Export!$R81+B$13*GREET1_Import_Export!$G155+GREET1_Import_Export!$H$179*GREET1_Import_Export!$B195+GREET1_Import_Export!$H195)+B$29*(B$9*GREET1_Import_Export!$B81+B$10*GREET1_Import_Export!$G127+GREET1_Import_Export!$B231)+B$30*(B$11*GREET1_Import_Export!$AA81+GREET1_Import_Export!$B299)+B$31*(GREET1_Import_Export!$B324+GREET1_Import_Export!$C324)</f>
        <v>3.0574704521634275</v>
      </c>
      <c r="C48" s="497"/>
      <c r="D48" s="349">
        <f>D$27*(GREET1_Import_Export!$K81+GREET1_Import_Export!$F$179*GREET1_Import_Export!$B195+GREET1_Import_Export!$F195)+D$28*(GREET1_Import_Export!$O81+GREET1_Import_Export!$G$179*GREET1_Import_Export!$B195+GREET1_Import_Export!$G195)+D$29*(GREET1_Import_Export!$B81+GREET1_Import_Export!$B231)+D$30*(GREET1_Import_Export!$AA81+GREET1_Import_Export!$B299)+D$31*(GREET1_Import_Export!$B324+GREET1_Import_Export!$C324)</f>
        <v>38.580215682034584</v>
      </c>
      <c r="F48" s="347">
        <f>F$27*(GREET1_Import_Export!$K81+GREET1_Import_Export!$L$179*GREET1_Import_Export!$J195+GREET1_Import_Export!$L195)+F$28*(GREET1_Import_Export!$O81+GREET1_Import_Export!$M$179*GREET1_Import_Export!$J195+GREET1_Import_Export!$M195)+F$29*(GREET1_Import_Export!$B81+GREET1_Import_Export!$G231)+F$30*(GREET1_Import_Export!$AA81+GREET1_Import_Export!$D299)+F$31*(GREET1_Import_Export!$B357)</f>
        <v>108.72181313904861</v>
      </c>
      <c r="G48" s="348"/>
      <c r="H48" s="349">
        <f>H$27*(GREET1_Import_Export!$K81+GREET1_Import_Export!$F$179*GREET1_Import_Export!$B195+GREET1_Import_Export!$F195)+H$28*(GREET1_Import_Export!$O81+GREET1_Import_Export!$G$179*GREET1_Import_Export!$B195+GREET1_Import_Export!$G195)+H$29*(GREET1_Import_Export!$B81+GREET1_Import_Export!$B231)+H$30*(GREET1_Import_Export!$AA81+GREET1_Import_Export!$B299)+H$31*(GREET1_Import_Export!$B324+GREET1_Import_Export!$C324)</f>
        <v>5.5483527576916369</v>
      </c>
      <c r="I48" s="497"/>
    </row>
    <row r="49" spans="1:14" s="535" customFormat="1">
      <c r="A49" s="668" t="s">
        <v>831</v>
      </c>
      <c r="B49" s="295">
        <f>B$27*(B$8*GREET1_Import_Export!$K82+GREET1_Import_Export!$F$179*GREET1_Import_Export!$B196+GREET1_Import_Export!$F196)+B$28*(B$12*GREET1_Import_Export!$R82+B$13*GREET1_Import_Export!$G156+GREET1_Import_Export!$H$179*GREET1_Import_Export!$B196+GREET1_Import_Export!$H196)+B$29*(B$9*GREET1_Import_Export!$B82+B$10*GREET1_Import_Export!$G128+GREET1_Import_Export!$B232)+B$30*(B$11*GREET1_Import_Export!$AA82+GREET1_Import_Export!$B300)+B$31*(GREET1_Import_Export!$B325+GREET1_Import_Export!$C325)</f>
        <v>226093.64600151876</v>
      </c>
      <c r="C49" s="765"/>
      <c r="D49" s="294">
        <f>D$27*(GREET1_Import_Export!$K82+GREET1_Import_Export!$F$179*GREET1_Import_Export!$B196+GREET1_Import_Export!$F196)+D$28*(GREET1_Import_Export!$O82+GREET1_Import_Export!$G$179*GREET1_Import_Export!$B196+GREET1_Import_Export!$G196)+D$29*(GREET1_Import_Export!$B82+GREET1_Import_Export!$B232)+D$30*(GREET1_Import_Export!$AA82+GREET1_Import_Export!$B300)+D$31*(GREET1_Import_Export!$B325+GREET1_Import_Export!$C325)</f>
        <v>1793019.0048288358</v>
      </c>
      <c r="E49" s="537"/>
      <c r="F49" s="295">
        <f>F$27*(GREET1_Import_Export!$K82+GREET1_Import_Export!$L$179*GREET1_Import_Export!$J196+GREET1_Import_Export!$L196)+F$28*(GREET1_Import_Export!$O82+GREET1_Import_Export!$M$179*GREET1_Import_Export!$J196+GREET1_Import_Export!$M196)+F$29*(GREET1_Import_Export!$B82+GREET1_Import_Export!$G232)+F$30*(GREET1_Import_Export!$AA82+GREET1_Import_Export!$D300)+F$31*(GREET1_Import_Export!$B358)</f>
        <v>2910850.5017981147</v>
      </c>
      <c r="G49" s="752"/>
      <c r="H49" s="294">
        <f>H$27*(GREET1_Import_Export!$K82+GREET1_Import_Export!$F$179*GREET1_Import_Export!$B196+GREET1_Import_Export!$F196)+H$28*(GREET1_Import_Export!$O82+GREET1_Import_Export!$G$179*GREET1_Import_Export!$B196+GREET1_Import_Export!$G196)+H$29*(GREET1_Import_Export!$B82+GREET1_Import_Export!$B232)+H$30*(GREET1_Import_Export!$AA82+GREET1_Import_Export!$B300)+H$31*(GREET1_Import_Export!$B325+GREET1_Import_Export!$C325)</f>
        <v>273846.08376492118</v>
      </c>
      <c r="I49" s="542"/>
    </row>
    <row r="50" spans="1:14" s="496" customFormat="1">
      <c r="A50" s="758" t="s">
        <v>865</v>
      </c>
      <c r="B50" s="347"/>
      <c r="C50" s="497"/>
      <c r="D50" s="389"/>
      <c r="F50" s="390"/>
      <c r="G50" s="348"/>
      <c r="H50" s="389"/>
      <c r="I50" s="497"/>
    </row>
    <row r="51" spans="1:14" s="496" customFormat="1">
      <c r="A51" s="347" t="s">
        <v>821</v>
      </c>
      <c r="B51" s="347">
        <f>B$27*(B$19*(B$8*GREET1_Import_Export!$K72)+GREET1_Import_Export!$F$200*GREET1_Import_Export!$B201+GREET1_Import_Export!$F201)+B$28*(B$19*(B$12*GREET1_Import_Export!$R72+B$13*GREET1_Import_Export!$G146)+GREET1_Import_Export!$H$200*GREET1_Import_Export!$B201+GREET1_Import_Export!$H201)+B$29*(B$19*(B$9*GREET1_Import_Export!$B72+B$10*GREET1_Import_Export!$G118)+GREET1_Import_Export!$B237)+B$30*(B$19*(B$11*GREET1_Import_Export!$AA72)+GREET1_Import_Export!$C290)+B$31*(GREET1_Import_Export!$D315+GREET1_Import_Export!$E315)</f>
        <v>3.8182485842582925</v>
      </c>
      <c r="C51" s="497">
        <f t="shared" ref="C51:C58" si="0">C39*B$19</f>
        <v>0</v>
      </c>
      <c r="D51" s="349">
        <f>D$27*(D$19*(GREET1_Import_Export!$K72)+GREET1_Import_Export!$F$200*GREET1_Import_Export!$B201+GREET1_Import_Export!$F201)+D$28*(D$19*(GREET1_Import_Export!$O72)+GREET1_Import_Export!$G$200*GREET1_Import_Export!$B201+GREET1_Import_Export!$G201)+D$29*(D$19*(GREET1_Import_Export!$B72)+GREET1_Import_Export!$B237)+D$30*(D$19*(GREET1_Import_Export!$AA72)+GREET1_Import_Export!$C290)+D$31*(GREET1_Import_Export!$D315+GREET1_Import_Export!$E315)</f>
        <v>14.823499523704797</v>
      </c>
      <c r="E51" s="496">
        <f t="shared" ref="E51:E58" si="1">E39*D$19</f>
        <v>0</v>
      </c>
      <c r="F51" s="347">
        <f>F$27*(F$19*(GREET1_Import_Export!$K72)+GREET1_Import_Export!$L$200*GREET1_Import_Export!$J201+GREET1_Import_Export!$L201)+F$28*(F$19*(GREET1_Import_Export!$O72)+GREET1_Import_Export!$M$200*GREET1_Import_Export!$J201+GREET1_Import_Export!$M201)+F$29*(F$19*(GREET1_Import_Export!$B72)+GREET1_Import_Export!$G237)+F$30*(F$19*(GREET1_Import_Export!$AA72)+GREET1_Import_Export!$E290)+F$31*(GREET1_Import_Export!$B363)</f>
        <v>35.056837233572267</v>
      </c>
      <c r="G51" s="348">
        <f t="shared" ref="G51:G58" si="2">G39*F$19</f>
        <v>0</v>
      </c>
      <c r="H51" s="349">
        <f>H$27*(H$19*(GREET1_Import_Export!$K72)+GREET1_Import_Export!$F$200*GREET1_Import_Export!$B201+GREET1_Import_Export!$F201)+H$28*(H$19*(GREET1_Import_Export!$O72)+GREET1_Import_Export!$G$200*GREET1_Import_Export!$B201+GREET1_Import_Export!$G201)+H$29*(H$19*(GREET1_Import_Export!$B72)+GREET1_Import_Export!$B237)+H$30*(H$19*(GREET1_Import_Export!$AA72)+GREET1_Import_Export!$C290)+H$31*(GREET1_Import_Export!$D315+GREET1_Import_Export!$E315)</f>
        <v>3.0843788693499441</v>
      </c>
      <c r="I51" s="497">
        <f t="shared" ref="I51:I58" si="3">I39*H$19</f>
        <v>0</v>
      </c>
    </row>
    <row r="52" spans="1:14" s="496" customFormat="1">
      <c r="A52" s="347" t="s">
        <v>822</v>
      </c>
      <c r="B52" s="347">
        <f>B$27*(B$19*(B$8*GREET1_Import_Export!$K73)+GREET1_Import_Export!$F$200*GREET1_Import_Export!$B202+GREET1_Import_Export!$F202)+B$28*(B$19*(B$12*GREET1_Import_Export!$R73+B$13*GREET1_Import_Export!$G147)+GREET1_Import_Export!$H$200*GREET1_Import_Export!$B202+GREET1_Import_Export!$H202)+B$29*(B$19*(B$9*GREET1_Import_Export!$B73+B$10*GREET1_Import_Export!$G119)+GREET1_Import_Export!$B238)+B$30*(B$19*(B$11*GREET1_Import_Export!$AA73)+GREET1_Import_Export!$C291)+B$31*(GREET1_Import_Export!$D316+GREET1_Import_Export!$E316)</f>
        <v>8.9916633069825629</v>
      </c>
      <c r="C52" s="497">
        <f t="shared" si="0"/>
        <v>0</v>
      </c>
      <c r="D52" s="349">
        <f>D$27*(D$19*(GREET1_Import_Export!$K73)+GREET1_Import_Export!$F$200*GREET1_Import_Export!$B202+GREET1_Import_Export!$F202)+D$28*(D$19*(GREET1_Import_Export!$O73)+GREET1_Import_Export!$G$200*GREET1_Import_Export!$B202+GREET1_Import_Export!$G202)+D$29*(D$19*(GREET1_Import_Export!$B73)+GREET1_Import_Export!$B238)+D$30*(D$19*(GREET1_Import_Export!$AA73)+GREET1_Import_Export!$C291)+D$31*(GREET1_Import_Export!$D316+GREET1_Import_Export!$E316)</f>
        <v>69.112166343316147</v>
      </c>
      <c r="E52" s="496">
        <f t="shared" si="1"/>
        <v>0</v>
      </c>
      <c r="F52" s="347">
        <f>F$27*(F$19*(GREET1_Import_Export!$K73)+GREET1_Import_Export!$L$200*GREET1_Import_Export!$J202+GREET1_Import_Export!$L202)+F$28*(F$19*(GREET1_Import_Export!$O73)+GREET1_Import_Export!$M$200*GREET1_Import_Export!$J202+GREET1_Import_Export!$M202)+F$29*(F$19*(GREET1_Import_Export!$B73)+GREET1_Import_Export!$G238)+F$30*(F$19*(GREET1_Import_Export!$AA73)+GREET1_Import_Export!$E291)+F$31*(GREET1_Import_Export!$B364)</f>
        <v>117.61463109852691</v>
      </c>
      <c r="G52" s="348">
        <f t="shared" si="2"/>
        <v>0</v>
      </c>
      <c r="H52" s="349">
        <f>H$27*(H$19*(GREET1_Import_Export!$K73)+GREET1_Import_Export!$F$200*GREET1_Import_Export!$B202+GREET1_Import_Export!$F202)+H$28*(H$19*(GREET1_Import_Export!$O73)+GREET1_Import_Export!$G$200*GREET1_Import_Export!$B202+GREET1_Import_Export!$G202)+H$29*(H$19*(GREET1_Import_Export!$B73)+GREET1_Import_Export!$B238)+H$30*(H$19*(GREET1_Import_Export!$AA73)+GREET1_Import_Export!$C291)+H$31*(GREET1_Import_Export!$D316+GREET1_Import_Export!$E316)</f>
        <v>11.485243516159652</v>
      </c>
      <c r="I52" s="497">
        <f t="shared" si="3"/>
        <v>0</v>
      </c>
    </row>
    <row r="53" spans="1:14" s="496" customFormat="1">
      <c r="A53" s="347" t="s">
        <v>823</v>
      </c>
      <c r="B53" s="347">
        <f>B$27*(B$19*(B$8*GREET1_Import_Export!$K74)+GREET1_Import_Export!$F$200*GREET1_Import_Export!$B203+GREET1_Import_Export!$F203)+B$28*(B$19*(B$12*GREET1_Import_Export!$R74+B$13*GREET1_Import_Export!$G148)+GREET1_Import_Export!$H$200*GREET1_Import_Export!$B203+GREET1_Import_Export!$H203)+B$29*(B$19*(B$9*GREET1_Import_Export!$B74+B$10*GREET1_Import_Export!$G120)+GREET1_Import_Export!$B239)+B$30*(B$19*(B$11*GREET1_Import_Export!$AA74)+GREET1_Import_Export!$C292)+B$31*(GREET1_Import_Export!$D317+GREET1_Import_Export!$E317)</f>
        <v>24.188828467915709</v>
      </c>
      <c r="C53" s="497">
        <f t="shared" si="0"/>
        <v>0</v>
      </c>
      <c r="D53" s="349">
        <f>D$27*(D$19*(GREET1_Import_Export!$K74)+GREET1_Import_Export!$F$200*GREET1_Import_Export!$B203+GREET1_Import_Export!$F203)+D$28*(D$19*(GREET1_Import_Export!$O74)+GREET1_Import_Export!$G$200*GREET1_Import_Export!$B203+GREET1_Import_Export!$G203)+D$29*(D$19*(GREET1_Import_Export!$B74)+GREET1_Import_Export!$B239)+D$30*(D$19*(GREET1_Import_Export!$AA74)+GREET1_Import_Export!$C292)+D$31*(GREET1_Import_Export!$D317+GREET1_Import_Export!$E317)</f>
        <v>158.7394746248182</v>
      </c>
      <c r="E53" s="496">
        <f t="shared" si="1"/>
        <v>0</v>
      </c>
      <c r="F53" s="347">
        <f>F$27*(F$19*(GREET1_Import_Export!$K74)+GREET1_Import_Export!$L$200*GREET1_Import_Export!$J203+GREET1_Import_Export!$L203)+F$28*(F$19*(GREET1_Import_Export!$O74)+GREET1_Import_Export!$M$200*GREET1_Import_Export!$J203+GREET1_Import_Export!$M203)+F$29*(F$19*(GREET1_Import_Export!$B74)+GREET1_Import_Export!$G239)+F$30*(F$19*(GREET1_Import_Export!$AA74)+GREET1_Import_Export!$E292)+F$31*(GREET1_Import_Export!$B365)</f>
        <v>411.48953624446949</v>
      </c>
      <c r="G53" s="348">
        <f t="shared" si="2"/>
        <v>0</v>
      </c>
      <c r="H53" s="349">
        <f>H$27*(H$19*(GREET1_Import_Export!$K74)+GREET1_Import_Export!$F$200*GREET1_Import_Export!$B203+GREET1_Import_Export!$F203)+H$28*(H$19*(GREET1_Import_Export!$O74)+GREET1_Import_Export!$G$200*GREET1_Import_Export!$B203+GREET1_Import_Export!$G203)+H$29*(H$19*(GREET1_Import_Export!$B74)+GREET1_Import_Export!$B239)+H$30*(H$19*(GREET1_Import_Export!$AA74)+GREET1_Import_Export!$C292)+H$31*(GREET1_Import_Export!$D317+GREET1_Import_Export!$E317)</f>
        <v>32.888088779782073</v>
      </c>
      <c r="I53" s="497">
        <f t="shared" si="3"/>
        <v>0</v>
      </c>
    </row>
    <row r="54" spans="1:14" s="496" customFormat="1">
      <c r="A54" s="347" t="s">
        <v>824</v>
      </c>
      <c r="B54" s="347">
        <f>B$27*(B$19*(B$8*GREET1_Import_Export!$K75)+GREET1_Import_Export!$F$200*GREET1_Import_Export!$B204+GREET1_Import_Export!$F204)+B$28*(B$19*(B$12*GREET1_Import_Export!$R75+B$13*GREET1_Import_Export!$G149)+GREET1_Import_Export!$H$200*GREET1_Import_Export!$B204+GREET1_Import_Export!$H204)+B$29*(B$19*(B$9*GREET1_Import_Export!$B75+B$10*GREET1_Import_Export!$G121)+GREET1_Import_Export!$B240)+B$30*(B$19*(B$11*GREET1_Import_Export!$AA75)+GREET1_Import_Export!$C293)+B$31*(GREET1_Import_Export!$D318+GREET1_Import_Export!$E318)</f>
        <v>3.3575594668629627</v>
      </c>
      <c r="C54" s="497">
        <f t="shared" si="0"/>
        <v>0</v>
      </c>
      <c r="D54" s="349">
        <f>D$27*(D$19*(GREET1_Import_Export!$K75)+GREET1_Import_Export!$F$200*GREET1_Import_Export!$B204+GREET1_Import_Export!$F204)+D$28*(D$19*(GREET1_Import_Export!$O75)+GREET1_Import_Export!$G$200*GREET1_Import_Export!$B204+GREET1_Import_Export!$G204)+D$29*(D$19*(GREET1_Import_Export!$B75)+GREET1_Import_Export!$B240)+D$30*(D$19*(GREET1_Import_Export!$AA75)+GREET1_Import_Export!$C293)+D$31*(GREET1_Import_Export!$D318+GREET1_Import_Export!$E318)</f>
        <v>17.475024024563769</v>
      </c>
      <c r="E54" s="496">
        <f t="shared" si="1"/>
        <v>0</v>
      </c>
      <c r="F54" s="347">
        <f>F$27*(F$19*(GREET1_Import_Export!$K75)+GREET1_Import_Export!$L$200*GREET1_Import_Export!$J204+GREET1_Import_Export!$L204)+F$28*(F$19*(GREET1_Import_Export!$O75)+GREET1_Import_Export!$M$200*GREET1_Import_Export!$J204+GREET1_Import_Export!$M204)+F$29*(F$19*(GREET1_Import_Export!$B75)+GREET1_Import_Export!$G240)+F$30*(F$19*(GREET1_Import_Export!$AA75)+GREET1_Import_Export!$E293)+F$31*(GREET1_Import_Export!$B366)</f>
        <v>54.367160828291937</v>
      </c>
      <c r="G54" s="348">
        <f t="shared" si="2"/>
        <v>0</v>
      </c>
      <c r="H54" s="349">
        <f>H$27*(H$19*(GREET1_Import_Export!$K75)+GREET1_Import_Export!$F$200*GREET1_Import_Export!$B204+GREET1_Import_Export!$F204)+H$28*(H$19*(GREET1_Import_Export!$O75)+GREET1_Import_Export!$G$200*GREET1_Import_Export!$B204+GREET1_Import_Export!$G204)+H$29*(H$19*(GREET1_Import_Export!$B75)+GREET1_Import_Export!$B240)+H$30*(H$19*(GREET1_Import_Export!$AA75)+GREET1_Import_Export!$C293)+H$31*(GREET1_Import_Export!$D318+GREET1_Import_Export!$E318)</f>
        <v>4.4879488904046241</v>
      </c>
      <c r="I54" s="497">
        <f t="shared" si="3"/>
        <v>0</v>
      </c>
    </row>
    <row r="55" spans="1:14" s="496" customFormat="1">
      <c r="A55" s="347" t="s">
        <v>825</v>
      </c>
      <c r="B55" s="347">
        <f>B$27*(B$19*(B$8*GREET1_Import_Export!$K76)+GREET1_Import_Export!$F$200*GREET1_Import_Export!$B205+GREET1_Import_Export!$F205)+B$28*(B$19*(B$12*GREET1_Import_Export!$R76+B$13*GREET1_Import_Export!$G150)+GREET1_Import_Export!$H$200*GREET1_Import_Export!$B205+GREET1_Import_Export!$H205)+B$29*(B$19*(B$9*GREET1_Import_Export!$B76+B$10*GREET1_Import_Export!$G122)+GREET1_Import_Export!$B241)+B$30*(B$19*(B$11*GREET1_Import_Export!$AA76)+GREET1_Import_Export!$C294)+B$31*(GREET1_Import_Export!$D319+GREET1_Import_Export!$E319)</f>
        <v>2.9439949726242962</v>
      </c>
      <c r="C55" s="348">
        <f t="shared" si="0"/>
        <v>0</v>
      </c>
      <c r="D55" s="349">
        <f>D$27*(D$19*(GREET1_Import_Export!$K76)+GREET1_Import_Export!$F$200*GREET1_Import_Export!$B205+GREET1_Import_Export!$F205)+D$28*(D$19*(GREET1_Import_Export!$O76)+GREET1_Import_Export!$G$200*GREET1_Import_Export!$B205+GREET1_Import_Export!$G205)+D$29*(D$19*(GREET1_Import_Export!$B76)+GREET1_Import_Export!$B241)+D$30*(D$19*(GREET1_Import_Export!$AA76)+GREET1_Import_Export!$C294)+D$31*(GREET1_Import_Export!$D319+GREET1_Import_Export!$E319)</f>
        <v>15.361392689403685</v>
      </c>
      <c r="E55" s="349">
        <f t="shared" si="1"/>
        <v>0</v>
      </c>
      <c r="F55" s="347">
        <f>F$27*(F$19*(GREET1_Import_Export!$K76)+GREET1_Import_Export!$L$200*GREET1_Import_Export!$J205+GREET1_Import_Export!$L205)+F$28*(F$19*(GREET1_Import_Export!$O76)+GREET1_Import_Export!$M$200*GREET1_Import_Export!$J205+GREET1_Import_Export!$M205)+F$29*(F$19*(GREET1_Import_Export!$B76)+GREET1_Import_Export!$G241)+F$30*(F$19*(GREET1_Import_Export!$AA76)+GREET1_Import_Export!$E294)+F$31*(GREET1_Import_Export!$B367)</f>
        <v>45.906175093740273</v>
      </c>
      <c r="G55" s="348">
        <f t="shared" si="2"/>
        <v>0</v>
      </c>
      <c r="H55" s="349">
        <f>H$27*(H$19*(GREET1_Import_Export!$K76)+GREET1_Import_Export!$F$200*GREET1_Import_Export!$B205+GREET1_Import_Export!$F205)+H$28*(H$19*(GREET1_Import_Export!$O76)+GREET1_Import_Export!$G$200*GREET1_Import_Export!$B205+GREET1_Import_Export!$G205)+H$29*(H$19*(GREET1_Import_Export!$B76)+GREET1_Import_Export!$B241)+H$30*(H$19*(GREET1_Import_Export!$AA76)+GREET1_Import_Export!$C294)+H$31*(GREET1_Import_Export!$D319+GREET1_Import_Export!$E319)</f>
        <v>3.9471171448108548</v>
      </c>
      <c r="I55" s="348">
        <f t="shared" si="3"/>
        <v>0</v>
      </c>
    </row>
    <row r="56" spans="1:14" s="496" customFormat="1">
      <c r="A56" s="347" t="s">
        <v>826</v>
      </c>
      <c r="B56" s="347">
        <f>B$27*(B$19*(B$8*GREET1_Import_Export!$K77)+GREET1_Import_Export!$F$200*GREET1_Import_Export!$B206+GREET1_Import_Export!$F206)+B$28*(B$19*(B$12*GREET1_Import_Export!$R77+B$13*GREET1_Import_Export!$G151)+GREET1_Import_Export!$H$200*GREET1_Import_Export!$B206+GREET1_Import_Export!$H206)+B$29*(B$19*(B$9*GREET1_Import_Export!$B77+B$10*GREET1_Import_Export!$G123)+GREET1_Import_Export!$B242)+B$30*(B$19*(B$11*GREET1_Import_Export!$AA77)+GREET1_Import_Export!$C295)+B$31*(GREET1_Import_Export!$D320+GREET1_Import_Export!$E320)</f>
        <v>22.168724428740553</v>
      </c>
      <c r="C56" s="497">
        <f t="shared" si="0"/>
        <v>0</v>
      </c>
      <c r="D56" s="349">
        <f>D$27*(D$19*(GREET1_Import_Export!$K77)+GREET1_Import_Export!$F$200*GREET1_Import_Export!$B206+GREET1_Import_Export!$F206)+D$28*(D$19*(GREET1_Import_Export!$O77)+GREET1_Import_Export!$G$200*GREET1_Import_Export!$B206+GREET1_Import_Export!$G206)+D$29*(D$19*(GREET1_Import_Export!$B77)+GREET1_Import_Export!$B242)+D$30*(D$19*(GREET1_Import_Export!$AA77)+GREET1_Import_Export!$C295)+D$31*(GREET1_Import_Export!$D320+GREET1_Import_Export!$E320)</f>
        <v>126.34995815179025</v>
      </c>
      <c r="E56" s="496">
        <f t="shared" si="1"/>
        <v>0</v>
      </c>
      <c r="F56" s="347">
        <f>F$27*(F$19*(GREET1_Import_Export!$K77)+GREET1_Import_Export!$L$200*GREET1_Import_Export!$J206+GREET1_Import_Export!$L206)+F$28*(F$19*(GREET1_Import_Export!$O77)+GREET1_Import_Export!$M$200*GREET1_Import_Export!$J206+GREET1_Import_Export!$M206)+F$29*(F$19*(GREET1_Import_Export!$B77)+GREET1_Import_Export!$G242)+F$30*(F$19*(GREET1_Import_Export!$AA77)+GREET1_Import_Export!$E295)+F$31*(GREET1_Import_Export!$B368)</f>
        <v>515.31857938323083</v>
      </c>
      <c r="G56" s="348">
        <f t="shared" si="2"/>
        <v>0</v>
      </c>
      <c r="H56" s="349">
        <f>H$27*(H$19*(GREET1_Import_Export!$K77)+GREET1_Import_Export!$F$200*GREET1_Import_Export!$B206+GREET1_Import_Export!$F206)+H$28*(H$19*(GREET1_Import_Export!$O77)+GREET1_Import_Export!$G$200*GREET1_Import_Export!$B206+GREET1_Import_Export!$G206)+H$29*(H$19*(GREET1_Import_Export!$B77)+GREET1_Import_Export!$B242)+H$30*(H$19*(GREET1_Import_Export!$AA77)+GREET1_Import_Export!$C295)+H$31*(GREET1_Import_Export!$D320+GREET1_Import_Export!$E320)</f>
        <v>31.637037483551403</v>
      </c>
      <c r="I56" s="497">
        <f t="shared" si="3"/>
        <v>0</v>
      </c>
    </row>
    <row r="57" spans="1:14" s="496" customFormat="1">
      <c r="A57" s="347" t="s">
        <v>827</v>
      </c>
      <c r="B57" s="347">
        <f>B$27*(B$19*(B$8*GREET1_Import_Export!$K78)+GREET1_Import_Export!$F$200*GREET1_Import_Export!$B207+GREET1_Import_Export!$F207)+B$28*(B$19*(B$12*GREET1_Import_Export!$R78+B$13*GREET1_Import_Export!$G152)+GREET1_Import_Export!$H$200*GREET1_Import_Export!$B207+GREET1_Import_Export!$H207)+B$29*(B$19*(B$9*GREET1_Import_Export!$B78+B$10*GREET1_Import_Export!$G124)+GREET1_Import_Export!$B243)+B$30*(B$19*(B$11*GREET1_Import_Export!$AA78)+GREET1_Import_Export!$C296)+B$31*(GREET1_Import_Export!$D321+GREET1_Import_Export!$E321)</f>
        <v>0.18526858950776376</v>
      </c>
      <c r="C57" s="348">
        <f t="shared" si="0"/>
        <v>0</v>
      </c>
      <c r="D57" s="349">
        <f>D$27*(D$19*(GREET1_Import_Export!$K78)+GREET1_Import_Export!$F$200*GREET1_Import_Export!$B207+GREET1_Import_Export!$F207)+D$28*(D$19*(GREET1_Import_Export!$O78)+GREET1_Import_Export!$G$200*GREET1_Import_Export!$B207+GREET1_Import_Export!$G207)+D$29*(D$19*(GREET1_Import_Export!$B78)+GREET1_Import_Export!$B243)+D$30*(D$19*(GREET1_Import_Export!$AA78)+GREET1_Import_Export!$C296)+D$31*(GREET1_Import_Export!$D321+GREET1_Import_Export!$E321)</f>
        <v>0.85213956335668417</v>
      </c>
      <c r="E57" s="349">
        <f t="shared" si="1"/>
        <v>0</v>
      </c>
      <c r="F57" s="347">
        <f>F$27*(F$19*(GREET1_Import_Export!$K78)+GREET1_Import_Export!$L$200*GREET1_Import_Export!$J207+GREET1_Import_Export!$L207)+F$28*(F$19*(GREET1_Import_Export!$O78)+GREET1_Import_Export!$M$200*GREET1_Import_Export!$J207+GREET1_Import_Export!$M207)+F$29*(F$19*(GREET1_Import_Export!$B78)+GREET1_Import_Export!$G243)+F$30*(F$19*(GREET1_Import_Export!$AA78)+GREET1_Import_Export!$E296)+F$31*(GREET1_Import_Export!$B369)</f>
        <v>2.3728045196693053</v>
      </c>
      <c r="G57" s="348">
        <f t="shared" si="2"/>
        <v>0</v>
      </c>
      <c r="H57" s="349">
        <f>H$27*(H$19*(GREET1_Import_Export!$K78)+GREET1_Import_Export!$F$200*GREET1_Import_Export!$B207+GREET1_Import_Export!$F207)+H$28*(H$19*(GREET1_Import_Export!$O78)+GREET1_Import_Export!$G$200*GREET1_Import_Export!$B207+GREET1_Import_Export!$G207)+H$29*(H$19*(GREET1_Import_Export!$B78)+GREET1_Import_Export!$B243)+H$30*(H$19*(GREET1_Import_Export!$AA78)+GREET1_Import_Export!$C296)+H$31*(GREET1_Import_Export!$D321+GREET1_Import_Export!$E321)</f>
        <v>0.22012146382067829</v>
      </c>
      <c r="I57" s="348">
        <f t="shared" si="3"/>
        <v>0</v>
      </c>
    </row>
    <row r="58" spans="1:14" s="496" customFormat="1">
      <c r="A58" s="503" t="s">
        <v>828</v>
      </c>
      <c r="B58" s="503">
        <f>B$27*(B$19*(B$8*GREET1_Import_Export!$K79)+GREET1_Import_Export!$F$200*GREET1_Import_Export!$B208+GREET1_Import_Export!$F208)+B$28*(B$19*(B$12*GREET1_Import_Export!$R79+B$13*GREET1_Import_Export!$G153)+GREET1_Import_Export!$H$200*GREET1_Import_Export!$B208+GREET1_Import_Export!$H208)+B$29*(B$19*(B$9*GREET1_Import_Export!$B79+B$10*GREET1_Import_Export!$G125)+GREET1_Import_Export!$B244)+B$30*(B$19*(B$11*GREET1_Import_Export!$AA79)+GREET1_Import_Export!$C297)+B$31*(GREET1_Import_Export!$D322+GREET1_Import_Export!$E322)</f>
        <v>0.79507159955930407</v>
      </c>
      <c r="C58" s="500">
        <f t="shared" si="0"/>
        <v>0</v>
      </c>
      <c r="D58" s="505">
        <f>D$27*(D$19*(GREET1_Import_Export!$K79)+GREET1_Import_Export!$F$200*GREET1_Import_Export!$B208+GREET1_Import_Export!$F208)+D$28*(D$19*(GREET1_Import_Export!$O79)+GREET1_Import_Export!$G$200*GREET1_Import_Export!$B208+GREET1_Import_Export!$G208)+D$29*(D$19*(GREET1_Import_Export!$B79)+GREET1_Import_Export!$B244)+D$30*(D$19*(GREET1_Import_Export!$AA79)+GREET1_Import_Export!$C297)+D$31*(GREET1_Import_Export!$D322+GREET1_Import_Export!$E322)</f>
        <v>4.3437165340322039</v>
      </c>
      <c r="E58" s="499">
        <f t="shared" si="1"/>
        <v>0</v>
      </c>
      <c r="F58" s="503">
        <f>F$27*(F$19*(GREET1_Import_Export!$K79)+GREET1_Import_Export!$L$200*GREET1_Import_Export!$J208+GREET1_Import_Export!$L208)+F$28*(F$19*(GREET1_Import_Export!$O79)+GREET1_Import_Export!$M$200*GREET1_Import_Export!$J208+GREET1_Import_Export!$M208)+F$29*(F$19*(GREET1_Import_Export!$B79)+GREET1_Import_Export!$G244)+F$30*(F$19*(GREET1_Import_Export!$AA79)+GREET1_Import_Export!$E297)+F$31*(GREET1_Import_Export!$B370)</f>
        <v>6.4498564732361032</v>
      </c>
      <c r="G58" s="502">
        <f t="shared" si="2"/>
        <v>0</v>
      </c>
      <c r="H58" s="505">
        <f>H$27*(H$19*(GREET1_Import_Export!$K79)+GREET1_Import_Export!$F$200*GREET1_Import_Export!$B208+GREET1_Import_Export!$F208)+H$28*(H$19*(GREET1_Import_Export!$O79)+GREET1_Import_Export!$G$200*GREET1_Import_Export!$B208+GREET1_Import_Export!$G208)+H$29*(H$19*(GREET1_Import_Export!$B79)+GREET1_Import_Export!$B244)+H$30*(H$19*(GREET1_Import_Export!$AA79)+GREET1_Import_Export!$C297)+H$31*(GREET1_Import_Export!$D322+GREET1_Import_Export!$E322)</f>
        <v>1.091971750628782</v>
      </c>
      <c r="I58" s="500">
        <f t="shared" si="3"/>
        <v>0</v>
      </c>
    </row>
    <row r="59" spans="1:14" s="496" customFormat="1">
      <c r="A59" s="349"/>
    </row>
    <row r="60" spans="1:14" s="496" customFormat="1" ht="15">
      <c r="A60" s="602" t="s">
        <v>1091</v>
      </c>
    </row>
    <row r="61" spans="1:14" s="496" customFormat="1" ht="38.25">
      <c r="A61" s="510"/>
      <c r="B61" s="1676" t="s">
        <v>561</v>
      </c>
      <c r="C61" s="1677" t="s">
        <v>1092</v>
      </c>
      <c r="D61" s="1678" t="s">
        <v>497</v>
      </c>
      <c r="E61" s="3079" t="s">
        <v>1093</v>
      </c>
      <c r="F61" s="3080"/>
      <c r="G61" s="1676" t="s">
        <v>1094</v>
      </c>
      <c r="H61" s="1678" t="s">
        <v>497</v>
      </c>
      <c r="I61" s="3079" t="s">
        <v>1093</v>
      </c>
      <c r="J61" s="3080"/>
      <c r="K61" s="3072" t="s">
        <v>1095</v>
      </c>
      <c r="L61" s="3078"/>
      <c r="M61" s="496" t="s">
        <v>961</v>
      </c>
      <c r="N61" s="496" t="s">
        <v>1430</v>
      </c>
    </row>
    <row r="62" spans="1:14" s="496" customFormat="1">
      <c r="A62" s="699" t="s">
        <v>1029</v>
      </c>
      <c r="B62" s="767"/>
      <c r="C62" s="606"/>
      <c r="D62" s="497"/>
      <c r="E62" s="766" t="s">
        <v>845</v>
      </c>
      <c r="F62" s="754" t="s">
        <v>846</v>
      </c>
      <c r="G62" s="498"/>
      <c r="H62" s="497"/>
      <c r="I62" s="766" t="s">
        <v>845</v>
      </c>
      <c r="J62" s="754" t="s">
        <v>846</v>
      </c>
      <c r="K62" s="768" t="s">
        <v>845</v>
      </c>
      <c r="L62" s="545" t="s">
        <v>846</v>
      </c>
      <c r="M62" s="496" t="s">
        <v>846</v>
      </c>
      <c r="N62" s="496" t="s">
        <v>846</v>
      </c>
    </row>
    <row r="63" spans="1:14" s="496" customFormat="1">
      <c r="A63" s="347" t="s">
        <v>816</v>
      </c>
      <c r="B63" s="498">
        <f>B32</f>
        <v>3.4878673902856239</v>
      </c>
      <c r="C63" s="496">
        <f>D32</f>
        <v>27.713217312391226</v>
      </c>
      <c r="D63" s="497">
        <f>H32</f>
        <v>4.2686231497113409</v>
      </c>
      <c r="E63" s="496">
        <f t="shared" ref="E63:E68" si="4">SUM(B63:D63)</f>
        <v>35.46970785238819</v>
      </c>
      <c r="F63" s="491">
        <f>E63/2000</f>
        <v>1.7734853926194095E-2</v>
      </c>
      <c r="G63" s="498">
        <f>F32</f>
        <v>44.341186149577474</v>
      </c>
      <c r="H63" s="497">
        <f>H32</f>
        <v>4.2686231497113409</v>
      </c>
      <c r="I63" s="496">
        <f t="shared" ref="I63:I68" si="5">SUM(G63:H63)</f>
        <v>48.609809299288813</v>
      </c>
      <c r="J63" s="491">
        <f>I63/2000</f>
        <v>2.4304904649644406E-2</v>
      </c>
      <c r="K63" s="491">
        <f>$B$4*E63+$B$5*I63</f>
        <v>37.54584388099849</v>
      </c>
      <c r="L63" s="497">
        <f>K63/2000</f>
        <v>1.8772921940499246E-2</v>
      </c>
      <c r="M63" s="496">
        <f>$B$4*B63/2000</f>
        <v>1.4683921713102477E-3</v>
      </c>
      <c r="N63" s="496">
        <f>($B$4*SUM(C63:D63)+$B$5*SUM(G63:H63))/2000</f>
        <v>1.7304529769188996E-2</v>
      </c>
    </row>
    <row r="64" spans="1:14" s="496" customFormat="1">
      <c r="A64" s="347" t="s">
        <v>817</v>
      </c>
      <c r="B64" s="498">
        <f>B33</f>
        <v>3.0104112202313615</v>
      </c>
      <c r="C64" s="496">
        <f>D33</f>
        <v>24.942729903401627</v>
      </c>
      <c r="D64" s="497">
        <f>H33</f>
        <v>3.5767336411387434</v>
      </c>
      <c r="E64" s="496">
        <f t="shared" si="4"/>
        <v>31.529874764771733</v>
      </c>
      <c r="F64" s="491">
        <f>E64/2000</f>
        <v>1.5764937382385866E-2</v>
      </c>
      <c r="G64" s="498">
        <f>F33</f>
        <v>33.597626369939263</v>
      </c>
      <c r="H64" s="497">
        <f>H33</f>
        <v>3.5767336411387434</v>
      </c>
      <c r="I64" s="496">
        <f t="shared" si="5"/>
        <v>37.174360011078008</v>
      </c>
      <c r="J64" s="491">
        <f>I64/2000</f>
        <v>1.8587180005539005E-2</v>
      </c>
      <c r="K64" s="491">
        <f t="shared" ref="K64:K68" si="6">$B$4*E64+$B$5*I64</f>
        <v>32.421703433688123</v>
      </c>
      <c r="L64" s="497">
        <f>K64/2000</f>
        <v>1.6210851716844062E-2</v>
      </c>
      <c r="M64" s="496">
        <f t="shared" ref="M64:M91" si="7">$B$4*B64/2000</f>
        <v>1.267383123717403E-3</v>
      </c>
      <c r="N64" s="496">
        <f t="shared" ref="N64:N91" si="8">($B$4*SUM(C64:D64)+$B$5*SUM(G64:H64))/2000</f>
        <v>1.494346859312666E-2</v>
      </c>
    </row>
    <row r="65" spans="1:14" s="496" customFormat="1">
      <c r="A65" s="347" t="s">
        <v>805</v>
      </c>
      <c r="B65" s="498">
        <f>B34</f>
        <v>0.63085294551978466</v>
      </c>
      <c r="C65" s="496">
        <f>D34</f>
        <v>6.9280379015135161</v>
      </c>
      <c r="D65" s="497">
        <f>H34</f>
        <v>0.92679406268845355</v>
      </c>
      <c r="E65" s="496">
        <f t="shared" si="4"/>
        <v>8.485684909721753</v>
      </c>
      <c r="F65" s="491">
        <f>E65/2000</f>
        <v>4.2428424548608765E-3</v>
      </c>
      <c r="G65" s="498">
        <f>F34</f>
        <v>15.059493099587543</v>
      </c>
      <c r="H65" s="497">
        <f>H34</f>
        <v>0.92679406268845355</v>
      </c>
      <c r="I65" s="496">
        <f t="shared" si="5"/>
        <v>15.986287162275996</v>
      </c>
      <c r="J65" s="491">
        <f>I65/2000</f>
        <v>7.9931435811379983E-3</v>
      </c>
      <c r="K65" s="491">
        <f t="shared" si="6"/>
        <v>9.6707800656253227</v>
      </c>
      <c r="L65" s="497">
        <f>K65/2000</f>
        <v>4.8353900328126616E-3</v>
      </c>
      <c r="M65" s="496">
        <f t="shared" si="7"/>
        <v>2.6558909006382938E-4</v>
      </c>
      <c r="N65" s="496">
        <f t="shared" si="8"/>
        <v>4.5698009427488327E-3</v>
      </c>
    </row>
    <row r="66" spans="1:14" s="496" customFormat="1">
      <c r="A66" s="347" t="s">
        <v>804</v>
      </c>
      <c r="B66" s="498">
        <f>B64-B65-B67</f>
        <v>1.2801066775280567</v>
      </c>
      <c r="C66" s="496">
        <f>C64-C65-C67</f>
        <v>16.367126662838462</v>
      </c>
      <c r="D66" s="497">
        <f>D64-D65-D67</f>
        <v>1.7478872753829671</v>
      </c>
      <c r="E66" s="496">
        <f t="shared" si="4"/>
        <v>19.395120615749487</v>
      </c>
      <c r="F66" s="491">
        <f>F64-F65-F67</f>
        <v>9.697560307874744E-3</v>
      </c>
      <c r="G66" s="498">
        <f>F35</f>
        <v>6.2708221807704483</v>
      </c>
      <c r="H66" s="497">
        <f>H64-H65-H67</f>
        <v>1.7478872753829671</v>
      </c>
      <c r="I66" s="496">
        <f t="shared" si="5"/>
        <v>8.0187094561534149</v>
      </c>
      <c r="J66" s="491">
        <f>J64-J65-J67</f>
        <v>4.0093547280767089E-3</v>
      </c>
      <c r="K66" s="491">
        <f t="shared" si="6"/>
        <v>17.597647652533308</v>
      </c>
      <c r="L66" s="497">
        <f>L64-L65-L67</f>
        <v>8.7988238262666548E-3</v>
      </c>
      <c r="M66" s="496">
        <f t="shared" si="7"/>
        <v>5.3892491123931185E-4</v>
      </c>
      <c r="N66" s="496">
        <f t="shared" si="8"/>
        <v>8.259898915027342E-3</v>
      </c>
    </row>
    <row r="67" spans="1:14" s="496" customFormat="1">
      <c r="A67" s="347" t="s">
        <v>818</v>
      </c>
      <c r="B67" s="498">
        <f>B36</f>
        <v>1.0994515971835201</v>
      </c>
      <c r="C67" s="496">
        <f>D36</f>
        <v>1.6475653390496494</v>
      </c>
      <c r="D67" s="497">
        <f>H36</f>
        <v>0.90205230306732265</v>
      </c>
      <c r="E67" s="496">
        <f t="shared" si="4"/>
        <v>3.6490692393004922</v>
      </c>
      <c r="F67" s="491">
        <f>E67/2000</f>
        <v>1.8245346196502461E-3</v>
      </c>
      <c r="G67" s="498">
        <f>F36</f>
        <v>12.267311089581273</v>
      </c>
      <c r="H67" s="497">
        <f>H36</f>
        <v>0.90205230306732265</v>
      </c>
      <c r="I67" s="496">
        <f t="shared" si="5"/>
        <v>13.169363392648595</v>
      </c>
      <c r="J67" s="491">
        <f>I67/2000</f>
        <v>6.5846816963242979E-3</v>
      </c>
      <c r="K67" s="491">
        <f t="shared" si="6"/>
        <v>5.1532757155294924</v>
      </c>
      <c r="L67" s="497">
        <f>K67/2000</f>
        <v>2.5766378577647461E-3</v>
      </c>
      <c r="M67" s="496">
        <f t="shared" si="7"/>
        <v>4.6286912241426197E-4</v>
      </c>
      <c r="N67" s="496">
        <f t="shared" si="8"/>
        <v>2.1137687353504839E-3</v>
      </c>
    </row>
    <row r="68" spans="1:14" s="496" customFormat="1">
      <c r="A68" s="1570" t="s">
        <v>819</v>
      </c>
      <c r="B68" s="1679">
        <f>B37</f>
        <v>144.0173607407325</v>
      </c>
      <c r="C68" s="1680">
        <f>D37</f>
        <v>778.4256398661505</v>
      </c>
      <c r="D68" s="1681">
        <f>H37</f>
        <v>194.23569214954082</v>
      </c>
      <c r="E68" s="1680">
        <f t="shared" si="4"/>
        <v>1116.678692756424</v>
      </c>
      <c r="F68" s="1682">
        <f>E68/2000</f>
        <v>0.55833934637821203</v>
      </c>
      <c r="G68" s="1679">
        <f>SUM(F37:G37)</f>
        <v>3420.5546171088072</v>
      </c>
      <c r="H68" s="1683">
        <f>H37</f>
        <v>194.23569214954082</v>
      </c>
      <c r="I68" s="1680">
        <f t="shared" si="5"/>
        <v>3614.7903092583479</v>
      </c>
      <c r="J68" s="1682">
        <f>I68/2000</f>
        <v>1.807395154629174</v>
      </c>
      <c r="K68" s="1684">
        <f t="shared" si="6"/>
        <v>1511.3803281637279</v>
      </c>
      <c r="L68" s="1683">
        <f>K68/2000</f>
        <v>0.75569016408186396</v>
      </c>
      <c r="M68" s="496">
        <f t="shared" si="7"/>
        <v>6.063130887184838E-2</v>
      </c>
      <c r="N68" s="496">
        <f t="shared" si="8"/>
        <v>0.69505885521001554</v>
      </c>
    </row>
    <row r="69" spans="1:14" s="496" customFormat="1">
      <c r="A69" s="758" t="s">
        <v>1030</v>
      </c>
      <c r="B69" s="498"/>
      <c r="D69" s="497"/>
      <c r="E69" s="766" t="s">
        <v>845</v>
      </c>
      <c r="F69" s="768" t="s">
        <v>846</v>
      </c>
      <c r="G69" s="498"/>
      <c r="H69" s="497"/>
      <c r="I69" s="766" t="s">
        <v>845</v>
      </c>
      <c r="J69" s="768" t="s">
        <v>846</v>
      </c>
      <c r="K69" s="768" t="s">
        <v>845</v>
      </c>
      <c r="L69" s="545" t="s">
        <v>846</v>
      </c>
      <c r="M69" s="496">
        <f t="shared" si="7"/>
        <v>0</v>
      </c>
      <c r="N69" s="496">
        <f t="shared" si="8"/>
        <v>0</v>
      </c>
    </row>
    <row r="70" spans="1:14" s="496" customFormat="1">
      <c r="A70" s="347" t="s">
        <v>821</v>
      </c>
      <c r="B70" s="498">
        <f t="shared" ref="B70:B80" si="9">SUM(B39:C39)</f>
        <v>29.089417479879508</v>
      </c>
      <c r="C70" s="496">
        <f t="shared" ref="C70:C80" si="10">SUM(D39:E39)</f>
        <v>239.43019980297603</v>
      </c>
      <c r="D70" s="497">
        <f t="shared" ref="D70:D80" si="11">SUM(H39:I39)</f>
        <v>28.454591289705348</v>
      </c>
      <c r="E70" s="496">
        <f t="shared" ref="E70:E80" si="12">SUM(B70:D70)</f>
        <v>296.97420857256088</v>
      </c>
      <c r="F70" s="491">
        <f t="shared" ref="F70:F80" si="13">E70/2000</f>
        <v>0.14848710428628045</v>
      </c>
      <c r="G70" s="498">
        <f>SUM(F39:G39)</f>
        <v>271.3294224666372</v>
      </c>
      <c r="H70" s="497">
        <f t="shared" ref="H70:H80" si="14">SUM(H39:I39)</f>
        <v>28.454591289705348</v>
      </c>
      <c r="I70" s="496">
        <f t="shared" ref="I70:I80" si="15">SUM(G70:H70)</f>
        <v>299.78401375634257</v>
      </c>
      <c r="J70" s="491">
        <f t="shared" ref="J70:J80" si="16">I70/2000</f>
        <v>0.14989200687817128</v>
      </c>
      <c r="K70" s="491">
        <f>$B$4*E70+$B$5*I70</f>
        <v>297.41815779159839</v>
      </c>
      <c r="L70" s="497">
        <f t="shared" ref="L70:L81" si="17">K70/2000</f>
        <v>0.14870907889579921</v>
      </c>
      <c r="M70" s="496">
        <f t="shared" si="7"/>
        <v>1.2246644759029273E-2</v>
      </c>
      <c r="N70" s="496">
        <f t="shared" si="8"/>
        <v>0.13646243413676992</v>
      </c>
    </row>
    <row r="71" spans="1:14" s="496" customFormat="1">
      <c r="A71" s="347" t="s">
        <v>822</v>
      </c>
      <c r="B71" s="498">
        <f t="shared" si="9"/>
        <v>220.79004725541816</v>
      </c>
      <c r="C71" s="496">
        <f t="shared" si="10"/>
        <v>1533.3082336438099</v>
      </c>
      <c r="D71" s="497">
        <f t="shared" si="11"/>
        <v>100.18684994966419</v>
      </c>
      <c r="E71" s="496">
        <f t="shared" si="12"/>
        <v>1854.2851308488923</v>
      </c>
      <c r="F71" s="491">
        <f t="shared" si="13"/>
        <v>0.92714256542444617</v>
      </c>
      <c r="G71" s="498">
        <f t="shared" ref="G71:G80" si="18">SUM(F40:G40)</f>
        <v>2158.0063105579129</v>
      </c>
      <c r="H71" s="497">
        <f t="shared" si="14"/>
        <v>100.18684994966419</v>
      </c>
      <c r="I71" s="496">
        <f t="shared" si="15"/>
        <v>2258.193160507577</v>
      </c>
      <c r="J71" s="491">
        <f t="shared" si="16"/>
        <v>1.1290965802537885</v>
      </c>
      <c r="K71" s="491">
        <f t="shared" ref="K71:K82" si="19">$B$4*E71+$B$5*I71</f>
        <v>1918.1025995349646</v>
      </c>
      <c r="L71" s="497">
        <f t="shared" si="17"/>
        <v>0.95905129976748227</v>
      </c>
      <c r="M71" s="496">
        <f t="shared" si="7"/>
        <v>9.2952609894531038E-2</v>
      </c>
      <c r="N71" s="496">
        <f t="shared" si="8"/>
        <v>0.86609868987295124</v>
      </c>
    </row>
    <row r="72" spans="1:14" s="496" customFormat="1">
      <c r="A72" s="347" t="s">
        <v>849</v>
      </c>
      <c r="B72" s="498">
        <f t="shared" si="9"/>
        <v>209.32062178112068</v>
      </c>
      <c r="C72" s="496">
        <f t="shared" si="10"/>
        <v>1939.2674355150707</v>
      </c>
      <c r="D72" s="497">
        <f t="shared" si="11"/>
        <v>258.20013016088478</v>
      </c>
      <c r="E72" s="496">
        <f t="shared" si="12"/>
        <v>2406.7881874570762</v>
      </c>
      <c r="F72" s="491">
        <f t="shared" si="13"/>
        <v>1.2033940937285381</v>
      </c>
      <c r="G72" s="498">
        <f t="shared" si="18"/>
        <v>3812.7364716782149</v>
      </c>
      <c r="H72" s="497">
        <f t="shared" si="14"/>
        <v>258.20013016088478</v>
      </c>
      <c r="I72" s="496">
        <f t="shared" si="15"/>
        <v>4070.9366018390997</v>
      </c>
      <c r="J72" s="491">
        <f t="shared" si="16"/>
        <v>2.03546830091955</v>
      </c>
      <c r="K72" s="491">
        <f t="shared" si="19"/>
        <v>2669.723636929436</v>
      </c>
      <c r="L72" s="497">
        <f t="shared" si="17"/>
        <v>1.3348618184647181</v>
      </c>
      <c r="M72" s="496">
        <f t="shared" si="7"/>
        <v>8.8123981769851811E-2</v>
      </c>
      <c r="N72" s="496">
        <f t="shared" si="8"/>
        <v>1.246737836694866</v>
      </c>
    </row>
    <row r="73" spans="1:14" s="496" customFormat="1">
      <c r="A73" s="347" t="s">
        <v>824</v>
      </c>
      <c r="B73" s="498">
        <f t="shared" si="9"/>
        <v>75.205701983606716</v>
      </c>
      <c r="C73" s="496">
        <f t="shared" si="10"/>
        <v>183.91686714861726</v>
      </c>
      <c r="D73" s="497">
        <f t="shared" si="11"/>
        <v>45.999398328012489</v>
      </c>
      <c r="E73" s="496">
        <f t="shared" si="12"/>
        <v>305.12196746023648</v>
      </c>
      <c r="F73" s="491">
        <f t="shared" si="13"/>
        <v>0.15256098373011823</v>
      </c>
      <c r="G73" s="498">
        <f t="shared" si="18"/>
        <v>663.34104298197929</v>
      </c>
      <c r="H73" s="497">
        <f t="shared" si="14"/>
        <v>45.999398328012489</v>
      </c>
      <c r="I73" s="496">
        <f t="shared" si="15"/>
        <v>709.34044130999177</v>
      </c>
      <c r="J73" s="491">
        <f t="shared" si="16"/>
        <v>0.35467022065499587</v>
      </c>
      <c r="K73" s="491">
        <f t="shared" si="19"/>
        <v>368.9884863284978</v>
      </c>
      <c r="L73" s="497">
        <f t="shared" si="17"/>
        <v>0.18449424316424889</v>
      </c>
      <c r="M73" s="496">
        <f t="shared" si="7"/>
        <v>3.1661600535098429E-2</v>
      </c>
      <c r="N73" s="496">
        <f t="shared" si="8"/>
        <v>0.15283264262915044</v>
      </c>
    </row>
    <row r="74" spans="1:14" s="349" customFormat="1">
      <c r="A74" s="347" t="s">
        <v>825</v>
      </c>
      <c r="B74" s="347">
        <f t="shared" si="9"/>
        <v>37.609282824786078</v>
      </c>
      <c r="C74" s="349">
        <f t="shared" si="10"/>
        <v>126.37525900916489</v>
      </c>
      <c r="D74" s="348">
        <f t="shared" si="11"/>
        <v>25.644115323091732</v>
      </c>
      <c r="E74" s="496">
        <f t="shared" si="12"/>
        <v>189.62865715704271</v>
      </c>
      <c r="F74" s="494">
        <f t="shared" si="13"/>
        <v>9.4814328578521359E-2</v>
      </c>
      <c r="G74" s="498">
        <f t="shared" si="18"/>
        <v>372.58378352463734</v>
      </c>
      <c r="H74" s="348">
        <f t="shared" si="14"/>
        <v>25.644115323091732</v>
      </c>
      <c r="I74" s="496">
        <f t="shared" si="15"/>
        <v>398.22789884772908</v>
      </c>
      <c r="J74" s="494">
        <f t="shared" si="16"/>
        <v>0.19911394942386454</v>
      </c>
      <c r="K74" s="494">
        <f t="shared" si="19"/>
        <v>222.58733734417115</v>
      </c>
      <c r="L74" s="348">
        <f t="shared" si="17"/>
        <v>0.11129366867208558</v>
      </c>
      <c r="M74" s="496">
        <f t="shared" si="7"/>
        <v>1.5833508069234937E-2</v>
      </c>
      <c r="N74" s="496">
        <f t="shared" si="8"/>
        <v>9.5460160602850633E-2</v>
      </c>
    </row>
    <row r="75" spans="1:14" s="349" customFormat="1">
      <c r="A75" s="347" t="s">
        <v>826</v>
      </c>
      <c r="B75" s="347">
        <f t="shared" si="9"/>
        <v>77.743866067605978</v>
      </c>
      <c r="C75" s="349">
        <f t="shared" si="10"/>
        <v>127187.89940594035</v>
      </c>
      <c r="D75" s="348">
        <f t="shared" si="11"/>
        <v>210.50372698468288</v>
      </c>
      <c r="E75" s="496">
        <f t="shared" si="12"/>
        <v>127476.14699899264</v>
      </c>
      <c r="F75" s="494">
        <f t="shared" si="13"/>
        <v>63.738073499496323</v>
      </c>
      <c r="G75" s="498">
        <f t="shared" si="18"/>
        <v>128914.35931711852</v>
      </c>
      <c r="H75" s="348">
        <f t="shared" si="14"/>
        <v>210.50372698468288</v>
      </c>
      <c r="I75" s="496">
        <f t="shared" si="15"/>
        <v>129124.8630441032</v>
      </c>
      <c r="J75" s="494">
        <f t="shared" si="16"/>
        <v>64.562431522051597</v>
      </c>
      <c r="K75" s="494">
        <f t="shared" si="19"/>
        <v>127736.64413412011</v>
      </c>
      <c r="L75" s="348">
        <f t="shared" si="17"/>
        <v>63.868322067060056</v>
      </c>
      <c r="M75" s="496">
        <f t="shared" si="7"/>
        <v>3.2730167614462118E-2</v>
      </c>
      <c r="N75" s="496">
        <f t="shared" si="8"/>
        <v>63.835591899445589</v>
      </c>
    </row>
    <row r="76" spans="1:14" s="349" customFormat="1">
      <c r="A76" s="749" t="s">
        <v>827</v>
      </c>
      <c r="B76" s="347">
        <f t="shared" si="9"/>
        <v>0.71458130374049289</v>
      </c>
      <c r="C76" s="349">
        <f t="shared" si="10"/>
        <v>34.599388591152703</v>
      </c>
      <c r="D76" s="348">
        <f t="shared" si="11"/>
        <v>1.6826151960868638</v>
      </c>
      <c r="E76" s="496">
        <f t="shared" si="12"/>
        <v>36.996585090980062</v>
      </c>
      <c r="F76" s="494">
        <f t="shared" si="13"/>
        <v>1.8498292545490031E-2</v>
      </c>
      <c r="G76" s="498">
        <f t="shared" si="18"/>
        <v>54.085468335296319</v>
      </c>
      <c r="H76" s="348">
        <f t="shared" si="14"/>
        <v>1.6826151960868638</v>
      </c>
      <c r="I76" s="496">
        <f t="shared" si="15"/>
        <v>55.768083531383184</v>
      </c>
      <c r="J76" s="494">
        <f t="shared" si="16"/>
        <v>2.7884041765691592E-2</v>
      </c>
      <c r="K76" s="494">
        <f t="shared" si="19"/>
        <v>39.962481844563754</v>
      </c>
      <c r="L76" s="348">
        <f t="shared" si="17"/>
        <v>1.9981240922281877E-2</v>
      </c>
      <c r="M76" s="496">
        <f t="shared" si="7"/>
        <v>3.008387288747475E-4</v>
      </c>
      <c r="N76" s="496">
        <f t="shared" si="8"/>
        <v>1.968040219340713E-2</v>
      </c>
    </row>
    <row r="77" spans="1:14" s="349" customFormat="1">
      <c r="A77" s="749" t="s">
        <v>828</v>
      </c>
      <c r="B77" s="347">
        <f t="shared" si="9"/>
        <v>2.7774973273121395</v>
      </c>
      <c r="C77" s="349">
        <f t="shared" si="10"/>
        <v>35.135755335803594</v>
      </c>
      <c r="D77" s="348">
        <f t="shared" si="11"/>
        <v>4.3659741445205977</v>
      </c>
      <c r="E77" s="496">
        <f t="shared" si="12"/>
        <v>42.279226807636334</v>
      </c>
      <c r="F77" s="494">
        <f t="shared" si="13"/>
        <v>2.1139613403818168E-2</v>
      </c>
      <c r="G77" s="498">
        <f t="shared" si="18"/>
        <v>42.951238342868997</v>
      </c>
      <c r="H77" s="348">
        <f t="shared" si="14"/>
        <v>4.3659741445205977</v>
      </c>
      <c r="I77" s="496">
        <f t="shared" si="15"/>
        <v>47.317212487389597</v>
      </c>
      <c r="J77" s="494">
        <f t="shared" si="16"/>
        <v>2.3658606243694799E-2</v>
      </c>
      <c r="K77" s="494">
        <f t="shared" si="19"/>
        <v>43.075228545037348</v>
      </c>
      <c r="L77" s="348">
        <f t="shared" si="17"/>
        <v>2.1537614272518674E-2</v>
      </c>
      <c r="M77" s="496">
        <f t="shared" si="7"/>
        <v>1.1693263747984107E-3</v>
      </c>
      <c r="N77" s="496">
        <f t="shared" si="8"/>
        <v>2.0368287897720265E-2</v>
      </c>
    </row>
    <row r="78" spans="1:14" s="349" customFormat="1">
      <c r="A78" s="347" t="s">
        <v>829</v>
      </c>
      <c r="B78" s="347">
        <f t="shared" si="9"/>
        <v>413.38632074400135</v>
      </c>
      <c r="C78" s="349">
        <f t="shared" si="10"/>
        <v>4263.8815570205188</v>
      </c>
      <c r="D78" s="348">
        <f t="shared" si="11"/>
        <v>526.02852614346568</v>
      </c>
      <c r="E78" s="496">
        <f t="shared" si="12"/>
        <v>5203.2964039079861</v>
      </c>
      <c r="F78" s="494">
        <f t="shared" si="13"/>
        <v>2.601648201953993</v>
      </c>
      <c r="G78" s="498">
        <f t="shared" si="18"/>
        <v>4640.8928732384711</v>
      </c>
      <c r="H78" s="348">
        <f t="shared" si="14"/>
        <v>526.02852614346568</v>
      </c>
      <c r="I78" s="496">
        <f t="shared" si="15"/>
        <v>5166.9213993819367</v>
      </c>
      <c r="J78" s="494">
        <f t="shared" si="16"/>
        <v>2.5834606996909684</v>
      </c>
      <c r="K78" s="494">
        <f t="shared" si="19"/>
        <v>5197.5491531928701</v>
      </c>
      <c r="L78" s="348">
        <f t="shared" si="17"/>
        <v>2.5987745765964352</v>
      </c>
      <c r="M78" s="496">
        <f t="shared" si="7"/>
        <v>0.17403564103322455</v>
      </c>
      <c r="N78" s="496">
        <f t="shared" si="8"/>
        <v>2.4247389355632105</v>
      </c>
    </row>
    <row r="79" spans="1:14" s="349" customFormat="1">
      <c r="A79" s="347" t="s">
        <v>830</v>
      </c>
      <c r="B79" s="347">
        <f t="shared" si="9"/>
        <v>3.0574704521634275</v>
      </c>
      <c r="C79" s="349">
        <f t="shared" si="10"/>
        <v>38.580215682034584</v>
      </c>
      <c r="D79" s="348">
        <f t="shared" si="11"/>
        <v>5.5483527576916369</v>
      </c>
      <c r="E79" s="496">
        <f t="shared" si="12"/>
        <v>47.186038891889652</v>
      </c>
      <c r="F79" s="494">
        <f t="shared" si="13"/>
        <v>2.3593019445944826E-2</v>
      </c>
      <c r="G79" s="498">
        <f t="shared" si="18"/>
        <v>108.72181313904861</v>
      </c>
      <c r="H79" s="348">
        <f t="shared" si="14"/>
        <v>5.5483527576916369</v>
      </c>
      <c r="I79" s="496">
        <f t="shared" si="15"/>
        <v>114.27016589674024</v>
      </c>
      <c r="J79" s="494">
        <f t="shared" si="16"/>
        <v>5.7135082948370122E-2</v>
      </c>
      <c r="K79" s="494">
        <f t="shared" si="19"/>
        <v>57.785330958656047</v>
      </c>
      <c r="L79" s="348">
        <f t="shared" si="17"/>
        <v>2.8892665479328023E-2</v>
      </c>
      <c r="M79" s="496">
        <f t="shared" si="7"/>
        <v>1.2871950603608028E-3</v>
      </c>
      <c r="N79" s="496">
        <f t="shared" si="8"/>
        <v>2.7605470418967215E-2</v>
      </c>
    </row>
    <row r="80" spans="1:14" s="419" customFormat="1">
      <c r="A80" s="517" t="s">
        <v>831</v>
      </c>
      <c r="B80" s="251">
        <f t="shared" si="9"/>
        <v>226093.64600151876</v>
      </c>
      <c r="C80" s="246">
        <f t="shared" si="10"/>
        <v>1793019.0048288358</v>
      </c>
      <c r="D80" s="247">
        <f t="shared" si="11"/>
        <v>273846.08376492118</v>
      </c>
      <c r="E80" s="535">
        <f t="shared" si="12"/>
        <v>2292958.7345952755</v>
      </c>
      <c r="F80" s="253">
        <f t="shared" si="13"/>
        <v>1146.4793672976377</v>
      </c>
      <c r="G80" s="598">
        <f t="shared" si="18"/>
        <v>2910850.5017981147</v>
      </c>
      <c r="H80" s="247">
        <f t="shared" si="14"/>
        <v>273846.08376492118</v>
      </c>
      <c r="I80" s="535">
        <f t="shared" si="15"/>
        <v>3184696.5855630357</v>
      </c>
      <c r="J80" s="253">
        <f t="shared" si="16"/>
        <v>1592.3482927815178</v>
      </c>
      <c r="K80" s="253">
        <f t="shared" si="19"/>
        <v>2433853.3150481815</v>
      </c>
      <c r="L80" s="247">
        <f t="shared" si="17"/>
        <v>1216.9266575240906</v>
      </c>
      <c r="M80" s="496">
        <f t="shared" si="7"/>
        <v>95.185424966639403</v>
      </c>
      <c r="N80" s="496">
        <f t="shared" si="8"/>
        <v>1121.7412325574517</v>
      </c>
    </row>
    <row r="81" spans="1:14" s="419" customFormat="1">
      <c r="A81" s="517" t="s">
        <v>850</v>
      </c>
      <c r="B81" s="251">
        <f>B80+B70*GREET1_Import_Export!$B$62/GREET1_Import_Export!$B$65+B71*GREET1_Import_Export!$B$63/GREET1_Import_Export!$B$65</f>
        <v>226531.26380787528</v>
      </c>
      <c r="C81" s="246">
        <f>C80+C70*GREET1_Import_Export!$B$62/GREET1_Import_Export!$B$65+C71*GREET1_Import_Export!$B$63/GREET1_Import_Export!$B$65</f>
        <v>1796174.7133187097</v>
      </c>
      <c r="D81" s="247">
        <f>D80+D70*GREET1_Import_Export!$B$62/GREET1_Import_Export!$B$65+D71*GREET1_Import_Export!$B$63/GREET1_Import_Export!$B$65</f>
        <v>274092.20371959975</v>
      </c>
      <c r="E81" s="246">
        <f>E80+E70*GREET1_Import_Export!$B$62/GREET1_Import_Export!$B$65+E71*GREET1_Import_Export!$B$63/GREET1_Import_Export!$B$65</f>
        <v>2296798.1808461845</v>
      </c>
      <c r="F81" s="253">
        <f>F80+F70*GREET1_Import_Export!$B$62/GREET1_Import_Export!$B$65+F71*GREET1_Import_Export!$B$63/GREET1_Import_Export!$B$65</f>
        <v>1148.3990904230923</v>
      </c>
      <c r="G81" s="251">
        <f>G80+G70*GREET1_Import_Export!$B$62/GREET1_Import_Export!$B$65+G71*GREET1_Import_Export!$B$63/GREET1_Import_Export!$B$65</f>
        <v>2915087.2979385359</v>
      </c>
      <c r="H81" s="247">
        <f>H80+H70*GREET1_Import_Export!$B$62/GREET1_Import_Export!$B$65+H71*GREET1_Import_Export!$B$63/GREET1_Import_Export!$B$65</f>
        <v>274092.20371959975</v>
      </c>
      <c r="I81" s="246">
        <f>I80+I70*GREET1_Import_Export!$B$62/GREET1_Import_Export!$B$65+I71*GREET1_Import_Export!$B$63/GREET1_Import_Export!$B$65</f>
        <v>3189179.5016581356</v>
      </c>
      <c r="J81" s="253">
        <f>J80+J70*GREET1_Import_Export!$B$62/GREET1_Import_Export!$B$65+J71*GREET1_Import_Export!$B$63/GREET1_Import_Export!$B$65</f>
        <v>1594.5897508290677</v>
      </c>
      <c r="K81" s="253">
        <f t="shared" si="19"/>
        <v>2437794.4295344725</v>
      </c>
      <c r="L81" s="247">
        <f t="shared" si="17"/>
        <v>1218.8972147672362</v>
      </c>
      <c r="M81" s="496">
        <f t="shared" si="7"/>
        <v>95.369662063115499</v>
      </c>
      <c r="N81" s="496">
        <f t="shared" si="8"/>
        <v>1123.527552704121</v>
      </c>
    </row>
    <row r="82" spans="1:14" s="419" customFormat="1">
      <c r="A82" s="668" t="s">
        <v>851</v>
      </c>
      <c r="B82" s="295">
        <f>B81+SUMPRODUCT(B78:B79,GREET1_Import_Export!$B$51:$B$52)+SUMPRODUCT(B70:B72,GREET1_Import_Export!$B$55:$B$57)+SUMPRODUCT(B76:B77,GREET1_Import_Export!$B$58:$B$59)</f>
        <v>239743.08310001862</v>
      </c>
      <c r="C82" s="294">
        <f>C81+SUMPRODUCT(C78:C79,GREET1_Import_Export!$B$51:$B$52)+SUMPRODUCT(C70:C72,GREET1_Import_Export!$B$55:$B$57)+SUMPRODUCT(C76:C77,GREET1_Import_Export!$B$58:$B$59)</f>
        <v>1934314.9171850644</v>
      </c>
      <c r="D82" s="296">
        <f>D81+SUMPRODUCT(D78:D79,GREET1_Import_Export!$B$51:$B$52)+SUMPRODUCT(D70:D72,GREET1_Import_Export!$B$55:$B$57)+SUMPRODUCT(D76:D77,GREET1_Import_Export!$B$58:$B$59)</f>
        <v>291343.37298469199</v>
      </c>
      <c r="E82" s="294">
        <f>E81+SUMPRODUCT(E78:E79,GREET1_Import_Export!$B$51:$B$52)+SUMPRODUCT(E70:E72,GREET1_Import_Export!$B$55:$B$57)+SUMPRODUCT(E76:E77,GREET1_Import_Export!$B$58:$B$59)</f>
        <v>2465401.373269775</v>
      </c>
      <c r="F82" s="400">
        <f>F81+SUMPRODUCT(F78:F79,GREET1_Import_Export!$B$51:$B$52)+SUMPRODUCT(F70:F72,GREET1_Import_Export!$B$55:$B$57)+SUMPRODUCT(F76:F77,GREET1_Import_Export!$B$58:$B$59)</f>
        <v>1232.7006866348875</v>
      </c>
      <c r="G82" s="295">
        <f>G81+SUMPRODUCT(G78:G79,GREET1_Import_Export!$B$51:$B$52)+SUMPRODUCT(G70:G72,GREET1_Import_Export!$B$55:$B$57)+SUMPRODUCT(G76:G77,GREET1_Import_Export!$B$58:$B$59)</f>
        <v>3083125.3646175377</v>
      </c>
      <c r="H82" s="296">
        <f>H81+SUMPRODUCT(H78:H79,GREET1_Import_Export!$B$51:$B$52)+SUMPRODUCT(H70:H72,GREET1_Import_Export!$B$55:$B$57)+SUMPRODUCT(H76:H77,GREET1_Import_Export!$B$58:$B$59)</f>
        <v>291343.37298469199</v>
      </c>
      <c r="I82" s="294">
        <f>I81+SUMPRODUCT(I78:I79,GREET1_Import_Export!$B$51:$B$52)+SUMPRODUCT(I70:I72,GREET1_Import_Export!$B$55:$B$57)+SUMPRODUCT(I76:I77,GREET1_Import_Export!$B$58:$B$59)</f>
        <v>3374468.7376022297</v>
      </c>
      <c r="J82" s="400">
        <f>J81+SUMPRODUCT(J78:J79,GREET1_Import_Export!$B$51:$B$52)+SUMPRODUCT(J70:J72,GREET1_Import_Export!$B$55:$B$57)+SUMPRODUCT(J76:J77,GREET1_Import_Export!$B$58:$B$59)</f>
        <v>1687.2343688011149</v>
      </c>
      <c r="K82" s="400">
        <f t="shared" si="19"/>
        <v>2609034.0168343028</v>
      </c>
      <c r="L82" s="296">
        <f>L81+SUMPRODUCT(L78:L79,GREET1_Import_Export!$B$51:$B$52)+SUMPRODUCT(L70:L72,GREET1_Import_Export!$B$55:$B$57)+SUMPRODUCT(L76:L77,GREET1_Import_Export!$B$58:$B$59)</f>
        <v>1304.5170084171511</v>
      </c>
      <c r="M82" s="496">
        <f t="shared" si="7"/>
        <v>100.93183798510783</v>
      </c>
      <c r="N82" s="496">
        <f t="shared" si="8"/>
        <v>1203.5851704320435</v>
      </c>
    </row>
    <row r="83" spans="1:14" s="349" customFormat="1">
      <c r="A83" s="758" t="s">
        <v>1031</v>
      </c>
      <c r="B83" s="347"/>
      <c r="D83" s="348"/>
      <c r="E83" s="766" t="s">
        <v>845</v>
      </c>
      <c r="F83" s="762" t="s">
        <v>846</v>
      </c>
      <c r="G83" s="347"/>
      <c r="H83" s="348"/>
      <c r="I83" s="766" t="s">
        <v>845</v>
      </c>
      <c r="J83" s="762" t="s">
        <v>846</v>
      </c>
      <c r="K83" s="762" t="s">
        <v>845</v>
      </c>
      <c r="L83" s="710" t="s">
        <v>846</v>
      </c>
      <c r="M83" s="496">
        <f t="shared" si="7"/>
        <v>0</v>
      </c>
      <c r="N83" s="496">
        <f t="shared" si="8"/>
        <v>0</v>
      </c>
    </row>
    <row r="84" spans="1:14" s="349" customFormat="1">
      <c r="A84" s="347" t="s">
        <v>821</v>
      </c>
      <c r="B84" s="347">
        <f t="shared" ref="B84:B91" si="20">SUM(B51:C51)</f>
        <v>3.8182485842582925</v>
      </c>
      <c r="C84" s="349">
        <f t="shared" ref="C84:C91" si="21">SUM(D51:E51)</f>
        <v>14.823499523704797</v>
      </c>
      <c r="D84" s="348">
        <f t="shared" ref="D84:D91" si="22">SUM(H51:I51)</f>
        <v>3.0843788693499441</v>
      </c>
      <c r="E84" s="496">
        <f t="shared" ref="E84:E91" si="23">SUM(B84:D84)</f>
        <v>21.726126977313033</v>
      </c>
      <c r="F84" s="494">
        <f t="shared" ref="F84:F91" si="24">E84/2000</f>
        <v>1.0863063488656517E-2</v>
      </c>
      <c r="G84" s="347">
        <f>SUM(F51:G51)</f>
        <v>35.056837233572267</v>
      </c>
      <c r="H84" s="348">
        <f t="shared" ref="H84:H91" si="25">SUM(H51:I51)</f>
        <v>3.0843788693499441</v>
      </c>
      <c r="I84" s="496">
        <f t="shared" ref="I84:I91" si="26">SUM(G84:H84)</f>
        <v>38.141216102922215</v>
      </c>
      <c r="J84" s="494">
        <f t="shared" ref="J84:J91" si="27">I84/2000</f>
        <v>1.9070608051461109E-2</v>
      </c>
      <c r="K84" s="494">
        <f t="shared" ref="K84:K91" si="28">$B$4*E84+$B$5*I84</f>
        <v>24.319711059159282</v>
      </c>
      <c r="L84" s="348">
        <f t="shared" ref="L84:L91" si="29">K84/2000</f>
        <v>1.2159855529579641E-2</v>
      </c>
      <c r="M84" s="496">
        <f t="shared" si="7"/>
        <v>1.6074826539727411E-3</v>
      </c>
      <c r="N84" s="496">
        <f t="shared" si="8"/>
        <v>1.05523728756069E-2</v>
      </c>
    </row>
    <row r="85" spans="1:14" s="349" customFormat="1">
      <c r="A85" s="347" t="s">
        <v>822</v>
      </c>
      <c r="B85" s="347">
        <f t="shared" si="20"/>
        <v>8.9916633069825629</v>
      </c>
      <c r="C85" s="349">
        <f t="shared" si="21"/>
        <v>69.112166343316147</v>
      </c>
      <c r="D85" s="348">
        <f t="shared" si="22"/>
        <v>11.485243516159652</v>
      </c>
      <c r="E85" s="496">
        <f t="shared" si="23"/>
        <v>89.589073166458363</v>
      </c>
      <c r="F85" s="494">
        <f t="shared" si="24"/>
        <v>4.4794536583229183E-2</v>
      </c>
      <c r="G85" s="347">
        <f t="shared" ref="G85:G91" si="30">SUM(F52:G52)</f>
        <v>117.61463109852691</v>
      </c>
      <c r="H85" s="348">
        <f t="shared" si="25"/>
        <v>11.485243516159652</v>
      </c>
      <c r="I85" s="496">
        <f t="shared" si="26"/>
        <v>129.09987461468657</v>
      </c>
      <c r="J85" s="494">
        <f t="shared" si="27"/>
        <v>6.4549937307343291E-2</v>
      </c>
      <c r="K85" s="494">
        <f t="shared" si="28"/>
        <v>95.831779795278422</v>
      </c>
      <c r="L85" s="348">
        <f t="shared" si="29"/>
        <v>4.7915889897639209E-2</v>
      </c>
      <c r="M85" s="496">
        <f t="shared" si="7"/>
        <v>3.7854902522396587E-3</v>
      </c>
      <c r="N85" s="496">
        <f t="shared" si="8"/>
        <v>4.4130399645399547E-2</v>
      </c>
    </row>
    <row r="86" spans="1:14" s="349" customFormat="1">
      <c r="A86" s="347" t="s">
        <v>823</v>
      </c>
      <c r="B86" s="347">
        <f t="shared" si="20"/>
        <v>24.188828467915709</v>
      </c>
      <c r="C86" s="349">
        <f t="shared" si="21"/>
        <v>158.7394746248182</v>
      </c>
      <c r="D86" s="348">
        <f t="shared" si="22"/>
        <v>32.888088779782073</v>
      </c>
      <c r="E86" s="496">
        <f t="shared" si="23"/>
        <v>215.81639187251596</v>
      </c>
      <c r="F86" s="494">
        <f t="shared" si="24"/>
        <v>0.10790819593625799</v>
      </c>
      <c r="G86" s="347">
        <f t="shared" si="30"/>
        <v>411.48953624446949</v>
      </c>
      <c r="H86" s="348">
        <f t="shared" si="25"/>
        <v>32.888088779782073</v>
      </c>
      <c r="I86" s="496">
        <f t="shared" si="26"/>
        <v>444.37762502425159</v>
      </c>
      <c r="J86" s="494">
        <f t="shared" si="27"/>
        <v>0.2221888125121258</v>
      </c>
      <c r="K86" s="494">
        <f t="shared" si="28"/>
        <v>251.92906671049019</v>
      </c>
      <c r="L86" s="348">
        <f t="shared" si="29"/>
        <v>0.1259645333552451</v>
      </c>
      <c r="M86" s="496">
        <f t="shared" si="7"/>
        <v>1.0183496784992514E-2</v>
      </c>
      <c r="N86" s="496">
        <f t="shared" si="8"/>
        <v>0.11578103657025259</v>
      </c>
    </row>
    <row r="87" spans="1:14" s="349" customFormat="1">
      <c r="A87" s="749" t="s">
        <v>824</v>
      </c>
      <c r="B87" s="347">
        <f t="shared" si="20"/>
        <v>3.3575594668629627</v>
      </c>
      <c r="C87" s="349">
        <f t="shared" si="21"/>
        <v>17.475024024563769</v>
      </c>
      <c r="D87" s="348">
        <f t="shared" si="22"/>
        <v>4.4879488904046241</v>
      </c>
      <c r="E87" s="496">
        <f t="shared" si="23"/>
        <v>25.320532381831356</v>
      </c>
      <c r="F87" s="494">
        <f t="shared" si="24"/>
        <v>1.2660266190915677E-2</v>
      </c>
      <c r="G87" s="347">
        <f t="shared" si="30"/>
        <v>54.367160828291937</v>
      </c>
      <c r="H87" s="348">
        <f t="shared" si="25"/>
        <v>4.4879488904046241</v>
      </c>
      <c r="I87" s="496">
        <f t="shared" si="26"/>
        <v>58.855109718696561</v>
      </c>
      <c r="J87" s="494">
        <f t="shared" si="27"/>
        <v>2.9427554859348282E-2</v>
      </c>
      <c r="K87" s="494">
        <f t="shared" si="28"/>
        <v>30.618995601056056</v>
      </c>
      <c r="L87" s="348">
        <f t="shared" si="29"/>
        <v>1.5309497800528028E-2</v>
      </c>
      <c r="M87" s="496">
        <f t="shared" si="7"/>
        <v>1.4135325355493071E-3</v>
      </c>
      <c r="N87" s="496">
        <f t="shared" si="8"/>
        <v>1.3895965264978721E-2</v>
      </c>
    </row>
    <row r="88" spans="1:14" s="349" customFormat="1">
      <c r="A88" s="347" t="s">
        <v>825</v>
      </c>
      <c r="B88" s="347">
        <f t="shared" si="20"/>
        <v>2.9439949726242962</v>
      </c>
      <c r="C88" s="349">
        <f t="shared" si="21"/>
        <v>15.361392689403685</v>
      </c>
      <c r="D88" s="348">
        <f t="shared" si="22"/>
        <v>3.9471171448108548</v>
      </c>
      <c r="E88" s="496">
        <f t="shared" si="23"/>
        <v>22.252504806838836</v>
      </c>
      <c r="F88" s="494">
        <f t="shared" si="24"/>
        <v>1.1126252403419417E-2</v>
      </c>
      <c r="G88" s="347">
        <f t="shared" si="30"/>
        <v>45.906175093740273</v>
      </c>
      <c r="H88" s="348">
        <f t="shared" si="25"/>
        <v>3.9471171448108548</v>
      </c>
      <c r="I88" s="496">
        <f t="shared" si="26"/>
        <v>49.853292238551127</v>
      </c>
      <c r="J88" s="494">
        <f t="shared" si="27"/>
        <v>2.4926646119275562E-2</v>
      </c>
      <c r="K88" s="494">
        <f t="shared" si="28"/>
        <v>26.61342922104938</v>
      </c>
      <c r="L88" s="348">
        <f t="shared" si="29"/>
        <v>1.3306714610524691E-2</v>
      </c>
      <c r="M88" s="496">
        <f t="shared" si="7"/>
        <v>1.2394218834748288E-3</v>
      </c>
      <c r="N88" s="496">
        <f t="shared" si="8"/>
        <v>1.206729272704986E-2</v>
      </c>
    </row>
    <row r="89" spans="1:14" s="496" customFormat="1">
      <c r="A89" s="749" t="s">
        <v>826</v>
      </c>
      <c r="B89" s="347">
        <f t="shared" si="20"/>
        <v>22.168724428740553</v>
      </c>
      <c r="C89" s="349">
        <f t="shared" si="21"/>
        <v>126.34995815179025</v>
      </c>
      <c r="D89" s="348">
        <f t="shared" si="22"/>
        <v>31.637037483551403</v>
      </c>
      <c r="E89" s="496">
        <f t="shared" si="23"/>
        <v>180.1557200640822</v>
      </c>
      <c r="F89" s="494">
        <f t="shared" si="24"/>
        <v>9.0077860032041102E-2</v>
      </c>
      <c r="G89" s="347">
        <f t="shared" si="30"/>
        <v>515.31857938323083</v>
      </c>
      <c r="H89" s="348">
        <f t="shared" si="25"/>
        <v>31.637037483551403</v>
      </c>
      <c r="I89" s="496">
        <f t="shared" si="26"/>
        <v>546.95561686678218</v>
      </c>
      <c r="J89" s="494">
        <f t="shared" si="27"/>
        <v>0.27347780843339109</v>
      </c>
      <c r="K89" s="494">
        <f t="shared" si="28"/>
        <v>238.11010375890879</v>
      </c>
      <c r="L89" s="348">
        <f t="shared" si="29"/>
        <v>0.11905505187945439</v>
      </c>
      <c r="M89" s="496">
        <f t="shared" si="7"/>
        <v>9.3330329844997732E-3</v>
      </c>
      <c r="N89" s="496">
        <f t="shared" si="8"/>
        <v>0.10972201889495463</v>
      </c>
    </row>
    <row r="90" spans="1:14" s="496" customFormat="1">
      <c r="A90" s="347" t="s">
        <v>827</v>
      </c>
      <c r="B90" s="347">
        <f t="shared" si="20"/>
        <v>0.18526858950776376</v>
      </c>
      <c r="C90" s="349">
        <f t="shared" si="21"/>
        <v>0.85213956335668417</v>
      </c>
      <c r="D90" s="348">
        <f t="shared" si="22"/>
        <v>0.22012146382067829</v>
      </c>
      <c r="E90" s="496">
        <f t="shared" si="23"/>
        <v>1.2575296166851262</v>
      </c>
      <c r="F90" s="494">
        <f t="shared" si="24"/>
        <v>6.2876480834256311E-4</v>
      </c>
      <c r="G90" s="347">
        <f t="shared" si="30"/>
        <v>2.3728045196693053</v>
      </c>
      <c r="H90" s="348">
        <f t="shared" si="25"/>
        <v>0.22012146382067829</v>
      </c>
      <c r="I90" s="496">
        <f t="shared" si="26"/>
        <v>2.5929259834899834</v>
      </c>
      <c r="J90" s="494">
        <f t="shared" si="27"/>
        <v>1.2964629917449916E-3</v>
      </c>
      <c r="K90" s="494">
        <f t="shared" si="28"/>
        <v>1.4685222426402935</v>
      </c>
      <c r="L90" s="348">
        <f t="shared" si="29"/>
        <v>7.342611213201468E-4</v>
      </c>
      <c r="M90" s="496">
        <f t="shared" si="7"/>
        <v>7.799807618276853E-5</v>
      </c>
      <c r="N90" s="496">
        <f t="shared" si="8"/>
        <v>6.5626304513737835E-4</v>
      </c>
    </row>
    <row r="91" spans="1:14" s="496" customFormat="1">
      <c r="A91" s="501" t="s">
        <v>828</v>
      </c>
      <c r="B91" s="501">
        <f t="shared" si="20"/>
        <v>0.79507159955930407</v>
      </c>
      <c r="C91" s="499">
        <f t="shared" si="21"/>
        <v>4.3437165340322039</v>
      </c>
      <c r="D91" s="500">
        <f t="shared" si="22"/>
        <v>1.091971750628782</v>
      </c>
      <c r="E91" s="499">
        <f t="shared" si="23"/>
        <v>6.2307598842202898</v>
      </c>
      <c r="F91" s="492">
        <f t="shared" si="24"/>
        <v>3.1153799421101448E-3</v>
      </c>
      <c r="G91" s="503">
        <f t="shared" si="30"/>
        <v>6.4498564732361032</v>
      </c>
      <c r="H91" s="500">
        <f t="shared" si="25"/>
        <v>1.091971750628782</v>
      </c>
      <c r="I91" s="499">
        <f t="shared" si="26"/>
        <v>7.5418282238648855</v>
      </c>
      <c r="J91" s="492">
        <f t="shared" si="27"/>
        <v>3.7709141119324427E-3</v>
      </c>
      <c r="K91" s="492">
        <f t="shared" si="28"/>
        <v>6.4379086818841351</v>
      </c>
      <c r="L91" s="500">
        <f t="shared" si="29"/>
        <v>3.2189543409420675E-3</v>
      </c>
      <c r="M91" s="496">
        <f t="shared" si="7"/>
        <v>3.3472514341446701E-4</v>
      </c>
      <c r="N91" s="496">
        <f t="shared" si="8"/>
        <v>2.8842291975276009E-3</v>
      </c>
    </row>
  </sheetData>
  <mergeCells count="7">
    <mergeCell ref="K61:L61"/>
    <mergeCell ref="B16:C16"/>
    <mergeCell ref="D16:E16"/>
    <mergeCell ref="H16:I16"/>
    <mergeCell ref="F16:G16"/>
    <mergeCell ref="E61:F61"/>
    <mergeCell ref="I61:J61"/>
  </mergeCells>
  <phoneticPr fontId="5" type="noConversion"/>
  <printOptions gridLinesSet="0"/>
  <pageMargins left="0.75" right="0.75" top="1" bottom="1" header="0.5" footer="0.5"/>
  <pageSetup orientation="landscape" r:id="rId1"/>
  <headerFooter alignWithMargins="0">
    <oddHeader>&amp;A</oddHeader>
    <oddFooter>Page &amp;P</oddFooter>
  </headerFooter>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I100"/>
  <sheetViews>
    <sheetView showGridLines="0" zoomScale="85" zoomScaleNormal="85" workbookViewId="0"/>
  </sheetViews>
  <sheetFormatPr defaultColWidth="9.140625" defaultRowHeight="12.75"/>
  <cols>
    <col min="1" max="1" width="52.42578125" style="5" customWidth="1"/>
    <col min="2" max="2" width="11.28515625" style="5" bestFit="1" customWidth="1"/>
    <col min="3" max="4" width="10.140625" style="5" customWidth="1"/>
    <col min="5" max="5" width="9.28515625" style="5" bestFit="1" customWidth="1"/>
    <col min="6" max="6" width="12.28515625" style="5" bestFit="1" customWidth="1"/>
    <col min="7" max="7" width="10.28515625" style="5" bestFit="1" customWidth="1"/>
    <col min="8" max="16384" width="9.140625" style="5"/>
  </cols>
  <sheetData>
    <row r="1" spans="1:6" ht="15.75">
      <c r="A1" s="2" t="s">
        <v>1096</v>
      </c>
    </row>
    <row r="2" spans="1:6">
      <c r="A2" s="3"/>
    </row>
    <row r="3" spans="1:6" ht="15">
      <c r="A3" s="75" t="s">
        <v>872</v>
      </c>
    </row>
    <row r="4" spans="1:6">
      <c r="A4" s="640" t="s">
        <v>1097</v>
      </c>
      <c r="B4" s="50">
        <v>0.8</v>
      </c>
    </row>
    <row r="5" spans="1:6">
      <c r="A5" s="95" t="s">
        <v>1098</v>
      </c>
      <c r="B5" s="51">
        <v>227.68</v>
      </c>
    </row>
    <row r="6" spans="1:6">
      <c r="A6" s="95" t="s">
        <v>1099</v>
      </c>
      <c r="B6" s="51">
        <v>2947.82</v>
      </c>
    </row>
    <row r="7" spans="1:6">
      <c r="A7" s="173" t="s">
        <v>1100</v>
      </c>
      <c r="B7" s="51">
        <v>0.09</v>
      </c>
    </row>
    <row r="8" spans="1:6">
      <c r="A8" s="173" t="s">
        <v>1101</v>
      </c>
      <c r="B8" s="51">
        <v>1.6E-2</v>
      </c>
    </row>
    <row r="9" spans="1:6">
      <c r="A9" s="174" t="s">
        <v>1102</v>
      </c>
      <c r="B9" s="85">
        <v>0.7</v>
      </c>
    </row>
    <row r="10" spans="1:6">
      <c r="A10" s="3"/>
    </row>
    <row r="11" spans="1:6" ht="15">
      <c r="A11" s="75" t="s">
        <v>762</v>
      </c>
      <c r="D11" s="64"/>
      <c r="E11" s="64"/>
      <c r="F11" s="64"/>
    </row>
    <row r="12" spans="1:6">
      <c r="A12" s="393" t="s">
        <v>769</v>
      </c>
      <c r="B12" s="533">
        <v>1</v>
      </c>
      <c r="C12" s="64"/>
    </row>
    <row r="13" spans="1:6">
      <c r="A13" s="230" t="s">
        <v>770</v>
      </c>
      <c r="B13" s="588">
        <v>1</v>
      </c>
      <c r="C13" s="64"/>
    </row>
    <row r="14" spans="1:6">
      <c r="A14" s="160" t="s">
        <v>772</v>
      </c>
      <c r="B14" s="1102">
        <f>1-B13</f>
        <v>0</v>
      </c>
    </row>
    <row r="15" spans="1:6">
      <c r="A15" s="230" t="s">
        <v>773</v>
      </c>
      <c r="B15" s="588">
        <v>1</v>
      </c>
      <c r="C15" s="64"/>
    </row>
    <row r="16" spans="1:6">
      <c r="A16" s="160" t="s">
        <v>782</v>
      </c>
      <c r="B16" s="1102">
        <v>1</v>
      </c>
    </row>
    <row r="17" spans="1:7">
      <c r="A17" s="161" t="s">
        <v>783</v>
      </c>
      <c r="B17" s="949">
        <f>1-B16</f>
        <v>0</v>
      </c>
    </row>
    <row r="18" spans="1:7">
      <c r="A18" s="64"/>
      <c r="B18" s="64"/>
      <c r="C18" s="64"/>
    </row>
    <row r="19" spans="1:7" ht="15">
      <c r="A19" s="75" t="s">
        <v>784</v>
      </c>
    </row>
    <row r="20" spans="1:7">
      <c r="A20" s="178"/>
      <c r="B20" s="2986" t="s">
        <v>561</v>
      </c>
      <c r="C20" s="2988"/>
      <c r="D20" s="2987" t="s">
        <v>54</v>
      </c>
      <c r="E20" s="2987"/>
      <c r="F20" s="2986" t="s">
        <v>504</v>
      </c>
      <c r="G20" s="2988"/>
    </row>
    <row r="21" spans="1:7" ht="71.25" customHeight="1">
      <c r="A21" s="177"/>
      <c r="B21" s="519" t="s">
        <v>785</v>
      </c>
      <c r="C21" s="518" t="s">
        <v>786</v>
      </c>
      <c r="D21" s="401" t="s">
        <v>785</v>
      </c>
      <c r="E21" s="401" t="s">
        <v>786</v>
      </c>
      <c r="F21" s="519" t="s">
        <v>785</v>
      </c>
      <c r="G21" s="518" t="s">
        <v>786</v>
      </c>
    </row>
    <row r="22" spans="1:7" ht="12.75" customHeight="1">
      <c r="A22" s="1685" t="s">
        <v>1103</v>
      </c>
      <c r="B22" s="3081" t="s">
        <v>1104</v>
      </c>
      <c r="C22" s="3082"/>
      <c r="D22" s="3083" t="s">
        <v>1104</v>
      </c>
      <c r="E22" s="3083"/>
      <c r="F22" s="3081" t="s">
        <v>1105</v>
      </c>
      <c r="G22" s="3082"/>
    </row>
    <row r="23" spans="1:7" ht="25.5">
      <c r="A23" s="227" t="s">
        <v>797</v>
      </c>
      <c r="B23" s="383">
        <f>Mat_Inputs!B396</f>
        <v>3.83</v>
      </c>
      <c r="C23" s="395"/>
      <c r="D23" s="377">
        <f>Mat_Inputs!B397</f>
        <v>14.75</v>
      </c>
      <c r="F23" s="383">
        <f>Mat_Inputs!B398</f>
        <v>22.9</v>
      </c>
      <c r="G23" s="94"/>
    </row>
    <row r="24" spans="1:7">
      <c r="A24" s="571" t="s">
        <v>798</v>
      </c>
      <c r="B24" s="416">
        <v>0</v>
      </c>
      <c r="C24" s="94"/>
      <c r="D24" s="382">
        <v>0</v>
      </c>
      <c r="F24" s="416">
        <v>0</v>
      </c>
      <c r="G24" s="94"/>
    </row>
    <row r="25" spans="1:7">
      <c r="A25" s="571" t="s">
        <v>1106</v>
      </c>
      <c r="B25" s="416"/>
      <c r="C25" s="94"/>
      <c r="D25" s="382"/>
      <c r="F25" s="416"/>
      <c r="G25" s="94"/>
    </row>
    <row r="26" spans="1:7">
      <c r="A26" s="173" t="s">
        <v>1107</v>
      </c>
      <c r="B26" s="416"/>
      <c r="C26" s="94"/>
      <c r="D26" s="1">
        <f>B7</f>
        <v>0.09</v>
      </c>
      <c r="E26" s="1"/>
      <c r="F26" s="173"/>
      <c r="G26" s="51"/>
    </row>
    <row r="27" spans="1:7">
      <c r="A27" s="173" t="s">
        <v>1108</v>
      </c>
      <c r="B27" s="416"/>
      <c r="C27" s="94"/>
      <c r="D27" s="1">
        <f>B8</f>
        <v>1.6E-2</v>
      </c>
      <c r="E27" s="1"/>
      <c r="F27" s="173"/>
      <c r="G27" s="51"/>
    </row>
    <row r="28" spans="1:7">
      <c r="A28" s="173" t="s">
        <v>1109</v>
      </c>
      <c r="B28" s="416"/>
      <c r="C28" s="94"/>
      <c r="D28" s="1"/>
      <c r="E28" s="1"/>
      <c r="F28" s="173">
        <f>B9</f>
        <v>0.7</v>
      </c>
      <c r="G28" s="51"/>
    </row>
    <row r="29" spans="1:7">
      <c r="A29" s="178" t="s">
        <v>799</v>
      </c>
      <c r="B29" s="640"/>
      <c r="C29" s="52"/>
      <c r="D29" s="49"/>
      <c r="E29" s="49"/>
      <c r="F29" s="640"/>
      <c r="G29" s="52"/>
    </row>
    <row r="30" spans="1:7">
      <c r="A30" s="230" t="s">
        <v>800</v>
      </c>
      <c r="B30" s="416">
        <v>0</v>
      </c>
      <c r="C30" s="395"/>
      <c r="D30" s="369">
        <v>0</v>
      </c>
      <c r="F30" s="665">
        <v>0.995</v>
      </c>
      <c r="G30" s="94"/>
    </row>
    <row r="31" spans="1:7">
      <c r="A31" s="230" t="s">
        <v>802</v>
      </c>
      <c r="B31" s="416">
        <v>0.184</v>
      </c>
      <c r="C31" s="94" t="s">
        <v>861</v>
      </c>
      <c r="D31" s="369">
        <v>0</v>
      </c>
      <c r="F31" s="665">
        <v>0</v>
      </c>
      <c r="G31" s="94"/>
    </row>
    <row r="32" spans="1:7">
      <c r="A32" s="230" t="s">
        <v>804</v>
      </c>
      <c r="B32" s="416">
        <v>0</v>
      </c>
      <c r="C32" s="395"/>
      <c r="D32" s="369">
        <v>7.6999999999999999E-2</v>
      </c>
      <c r="F32" s="665">
        <v>0</v>
      </c>
      <c r="G32" s="94"/>
    </row>
    <row r="33" spans="1:7">
      <c r="A33" s="230" t="s">
        <v>805</v>
      </c>
      <c r="B33" s="416">
        <v>0</v>
      </c>
      <c r="C33" s="395"/>
      <c r="D33" s="369">
        <v>0</v>
      </c>
      <c r="F33" s="665">
        <v>0</v>
      </c>
      <c r="G33" s="94"/>
    </row>
    <row r="34" spans="1:7">
      <c r="A34" s="589" t="s">
        <v>806</v>
      </c>
      <c r="B34" s="664">
        <f>1-SUM(B30:B33)</f>
        <v>0.81600000000000006</v>
      </c>
      <c r="C34" s="707"/>
      <c r="D34" s="426">
        <f>1-SUM(D30:D33)</f>
        <v>0.92300000000000004</v>
      </c>
      <c r="E34" s="669"/>
      <c r="F34" s="427">
        <f>1-SUM(F30:F33)</f>
        <v>5.0000000000000044E-3</v>
      </c>
      <c r="G34" s="656"/>
    </row>
    <row r="35" spans="1:7">
      <c r="A35" s="177" t="s">
        <v>862</v>
      </c>
      <c r="B35" s="95"/>
      <c r="C35" s="94"/>
      <c r="F35" s="95"/>
      <c r="G35" s="94"/>
    </row>
    <row r="36" spans="1:7" s="496" customFormat="1">
      <c r="A36" s="347" t="s">
        <v>800</v>
      </c>
      <c r="B36" s="712">
        <f>B$23*B30</f>
        <v>0</v>
      </c>
      <c r="C36" s="497"/>
      <c r="D36" s="601">
        <f>D$23*D30</f>
        <v>0</v>
      </c>
      <c r="F36" s="712">
        <f>F$23*F30</f>
        <v>22.785499999999999</v>
      </c>
      <c r="G36" s="497"/>
    </row>
    <row r="37" spans="1:7" s="496" customFormat="1">
      <c r="A37" s="347" t="s">
        <v>802</v>
      </c>
      <c r="B37" s="712">
        <f>B$23*B31</f>
        <v>0.70472000000000001</v>
      </c>
      <c r="C37" s="497"/>
      <c r="D37" s="601">
        <f>D$23*D31</f>
        <v>0</v>
      </c>
      <c r="F37" s="712">
        <f>F$23*F31</f>
        <v>0</v>
      </c>
      <c r="G37" s="497"/>
    </row>
    <row r="38" spans="1:7" s="496" customFormat="1">
      <c r="A38" s="347" t="s">
        <v>804</v>
      </c>
      <c r="B38" s="712">
        <f>B$23*B32</f>
        <v>0</v>
      </c>
      <c r="C38" s="497"/>
      <c r="D38" s="601">
        <f>D$23*D32</f>
        <v>1.13575</v>
      </c>
      <c r="F38" s="712">
        <f>F$23*F32</f>
        <v>0</v>
      </c>
      <c r="G38" s="497"/>
    </row>
    <row r="39" spans="1:7" s="496" customFormat="1">
      <c r="A39" s="347" t="s">
        <v>805</v>
      </c>
      <c r="B39" s="712">
        <f>B$23*B33</f>
        <v>0</v>
      </c>
      <c r="C39" s="497"/>
      <c r="D39" s="601">
        <f>D$23*D33</f>
        <v>0</v>
      </c>
      <c r="F39" s="712">
        <f>F$23*F33</f>
        <v>0</v>
      </c>
      <c r="G39" s="497"/>
    </row>
    <row r="40" spans="1:7" s="496" customFormat="1">
      <c r="A40" s="503" t="s">
        <v>806</v>
      </c>
      <c r="B40" s="390">
        <f>B$23*B34</f>
        <v>3.1252800000000005</v>
      </c>
      <c r="C40" s="348"/>
      <c r="D40" s="601">
        <f>D$23*D34</f>
        <v>13.61425</v>
      </c>
      <c r="F40" s="712">
        <f>F$23*F34</f>
        <v>0.11450000000000009</v>
      </c>
      <c r="G40" s="497"/>
    </row>
    <row r="41" spans="1:7" s="496" customFormat="1">
      <c r="A41" s="508" t="s">
        <v>816</v>
      </c>
      <c r="B41" s="510">
        <f>B$36*(1+(GREET1_Import_Export!$F$179*GREET1_Import_Export!$B180+GREET1_Import_Export!$F180)/1000000)+B$37*(1+(GREET1_Import_Export!$H$179*GREET1_Import_Export!$B180+GREET1_Import_Export!$H180)/1000000)+B$38*(1+GREET1_Import_Export!$B216/1000000)+B$39*(1+GREET1_Import_Export!$B284/1000000)+B$40*(GREET1_Import_Export!$B309+GREET1_Import_Export!$C309)/1000000</f>
        <v>7.1716823087830663</v>
      </c>
      <c r="C41" s="509"/>
      <c r="D41" s="506">
        <f>D$36*(1+(GREET1_Import_Export!$F$179*GREET1_Import_Export!$B180+GREET1_Import_Export!$F180)/1000000)+D$37*(1+(GREET1_Import_Export!$G$179*GREET1_Import_Export!$B180+GREET1_Import_Export!$G180)/1000000)+D$38*(1+GREET1_Import_Export!$B216/1000000)+D$39*(1+GREET1_Import_Export!$B284/1000000)+D$40*(GREET1_Import_Export!$B309+GREET1_Import_Export!$C309)/1000000+D$26*GREET1_Import_Export!$F525+D$27*GREET1_Import_Export!$C494+D$28*GREET1_Import_Export!$B$40*(1000000+GREET1_Import_Export!$B284)/1000000000000</f>
        <v>29.170305838127522</v>
      </c>
      <c r="E41" s="506"/>
      <c r="F41" s="508">
        <f>F$36*(1+(GREET1_Import_Export!$F$179*GREET1_Import_Export!$B180+GREET1_Import_Export!$F180)/1000000)+F$37*(1+(GREET1_Import_Export!$G$179*GREET1_Import_Export!$B180+GREET1_Import_Export!$G180)/1000000)+F$38*(1+GREET1_Import_Export!$B216/1000000)+F$39*(1+GREET1_Import_Export!$B284/1000000)+F$40*(GREET1_Import_Export!$B309+GREET1_Import_Export!$C309)/1000000+F$26*GREET1_Import_Export!$F525+F$27*GREET1_Import_Export!$C494+F$28*GREET1_Import_Export!$B$40*(1000000+GREET1_Import_Export!$B284)/1000000000000</f>
        <v>42.190791940230199</v>
      </c>
      <c r="G41" s="507"/>
    </row>
    <row r="42" spans="1:7" s="496" customFormat="1">
      <c r="A42" s="498" t="s">
        <v>817</v>
      </c>
      <c r="B42" s="347">
        <f>B$36*(1+(GREET1_Import_Export!$F$179*GREET1_Import_Export!$B181+GREET1_Import_Export!$F181)/1000000)+B$37*(1+(GREET1_Import_Export!$H$179*GREET1_Import_Export!$B181+GREET1_Import_Export!$H181)/1000000)+B$38*(1+GREET1_Import_Export!$B217/1000000)+B$39*(1+GREET1_Import_Export!$B285/1000000)+B$40*(GREET1_Import_Export!$B310+GREET1_Import_Export!$C310)/1000000</f>
        <v>5.8494063704016952</v>
      </c>
      <c r="C42" s="348"/>
      <c r="D42" s="496">
        <f>D$36*(1+(GREET1_Import_Export!$F$179*GREET1_Import_Export!$B181+GREET1_Import_Export!$F181)/1000000)+D$37*(1+(GREET1_Import_Export!$G$179*GREET1_Import_Export!$B181+GREET1_Import_Export!$G181)/1000000)+D$38*(1+GREET1_Import_Export!$B217/1000000)+D$39*(1+GREET1_Import_Export!$B285/1000000)+D$40*(GREET1_Import_Export!$B310+GREET1_Import_Export!$C310)/1000000+D$26*GREET1_Import_Export!$F526+D$27*GREET1_Import_Export!$C495+D$28*GREET1_Import_Export!$B$40*(1000000+GREET1_Import_Export!$B285)/1000000000000</f>
        <v>23.376154030565214</v>
      </c>
      <c r="F42" s="498">
        <f>F$36*(1+(GREET1_Import_Export!$F$179*GREET1_Import_Export!$B181+GREET1_Import_Export!$F181)/1000000)+F$37*(1+(GREET1_Import_Export!$G$179*GREET1_Import_Export!$B181+GREET1_Import_Export!$G181)/1000000)+F$38*(1+GREET1_Import_Export!$B217/1000000)+F$39*(1+GREET1_Import_Export!$B285/1000000)+F$40*(GREET1_Import_Export!$B310+GREET1_Import_Export!$C310)/1000000+F$26*GREET1_Import_Export!$F526+F$27*GREET1_Import_Export!$C495+F$28*GREET1_Import_Export!$B$40*(1000000+GREET1_Import_Export!$B285)/1000000000000</f>
        <v>42.019835076944148</v>
      </c>
      <c r="G42" s="497"/>
    </row>
    <row r="43" spans="1:7" s="496" customFormat="1">
      <c r="A43" s="498" t="s">
        <v>805</v>
      </c>
      <c r="B43" s="347">
        <f>B$36*(GREET1_Import_Export!$F$179*GREET1_Import_Export!$B182+GREET1_Import_Export!$F182)/1000000+B$37*(GREET1_Import_Export!$H$179*GREET1_Import_Export!$B182+GREET1_Import_Export!$H182)/1000000+B$38*GREET1_Import_Export!$B218/1000000+B$39*(1+GREET1_Import_Export!$B286/1000000)+B$40*(GREET1_Import_Export!$B311+GREET1_Import_Export!$C311)/1000000</f>
        <v>1.7477376221285537</v>
      </c>
      <c r="C43" s="348"/>
      <c r="D43" s="496">
        <f>D$36*(GREET1_Import_Export!$F$179*GREET1_Import_Export!$B182+GREET1_Import_Export!$F182)/1000000+D$37*(GREET1_Import_Export!$G$179*GREET1_Import_Export!$B182+GREET1_Import_Export!$G182)/1000000+D$38*GREET1_Import_Export!$B218/1000000+D$39*(1+GREET1_Import_Export!$B286/1000000)+D$40*(GREET1_Import_Export!$B311+GREET1_Import_Export!$C311)/1000000+D$26*GREET1_Import_Export!$F527+D$27*GREET1_Import_Export!$C496+D$28*GREET1_Import_Export!$B$40*(1000000+GREET1_Import_Export!$B286)/1000000000000</f>
        <v>7.7136422646952756</v>
      </c>
      <c r="F43" s="498">
        <f>F$36*(GREET1_Import_Export!$F$179*GREET1_Import_Export!$B182+GREET1_Import_Export!$F182)/1000000+F$37*(GREET1_Import_Export!$G$179*GREET1_Import_Export!$B182+GREET1_Import_Export!$G182)/1000000+F$38*GREET1_Import_Export!$B218/1000000+F$39*(1+GREET1_Import_Export!$B286/1000000)+F$40*(GREET1_Import_Export!$B311+GREET1_Import_Export!$C311)/1000000+F$26*GREET1_Import_Export!$F527+F$27*GREET1_Import_Export!$C496+F$28*GREET1_Import_Export!$B$40*(1000000+GREET1_Import_Export!$B286)/1000000000000</f>
        <v>16.076750421546368</v>
      </c>
      <c r="G43" s="497"/>
    </row>
    <row r="44" spans="1:7" s="496" customFormat="1">
      <c r="A44" s="498" t="s">
        <v>804</v>
      </c>
      <c r="B44" s="347">
        <f>B42-B43-B45</f>
        <v>3.3096879326090884</v>
      </c>
      <c r="C44" s="348"/>
      <c r="D44" s="496">
        <f>D42-D43-D45</f>
        <v>15.414885096223747</v>
      </c>
      <c r="F44" s="498">
        <f>F42-F43-F45</f>
        <v>1.9753821889689611</v>
      </c>
      <c r="G44" s="497"/>
    </row>
    <row r="45" spans="1:7" s="496" customFormat="1">
      <c r="A45" s="498" t="s">
        <v>818</v>
      </c>
      <c r="B45" s="347">
        <f>B$36*(1+(GREET1_Import_Export!$F$179*GREET1_Import_Export!$B184+GREET1_Import_Export!$F184)/1000000)+B$37*(1+(GREET1_Import_Export!$H$179*GREET1_Import_Export!$B184+GREET1_Import_Export!$H184)/1000000)+B$38*GREET1_Import_Export!$B220/1000000+B$39*GREET1_Import_Export!$B288/1000000+B$40*(GREET1_Import_Export!$B313+GREET1_Import_Export!$C313)/1000000</f>
        <v>0.79198081566405276</v>
      </c>
      <c r="C45" s="348"/>
      <c r="D45" s="496">
        <f>D$36*(1+(GREET1_Import_Export!$F$179*GREET1_Import_Export!$B184+GREET1_Import_Export!$F184)/1000000)+D$37*(1+(GREET1_Import_Export!$G$179*GREET1_Import_Export!$B184+GREET1_Import_Export!$G184)/1000000)+D$38*GREET1_Import_Export!$B220/1000000+D$39*GREET1_Import_Export!$B288/1000000+D$40*(GREET1_Import_Export!$B313+GREET1_Import_Export!$C313)/1000000+D$26*GREET1_Import_Export!$F529+D$27*GREET1_Import_Export!$C498+D$28*GREET1_Import_Export!$B$40*GREET1_Import_Export!$B288/1000000000000</f>
        <v>0.24762666964619057</v>
      </c>
      <c r="F45" s="498">
        <f>F$36*(1+(GREET1_Import_Export!$F$179*GREET1_Import_Export!$B184+GREET1_Import_Export!$F184)/1000000)+F$37*(1+(GREET1_Import_Export!$G$179*GREET1_Import_Export!$B184+GREET1_Import_Export!$G184)/1000000)+F$38*GREET1_Import_Export!$B220/1000000+F$39*GREET1_Import_Export!$B288/1000000+F$40*(GREET1_Import_Export!$B313+GREET1_Import_Export!$C313)/1000000+F$26*GREET1_Import_Export!$F529+F$27*GREET1_Import_Export!$C498+F$28*GREET1_Import_Export!$B$40*GREET1_Import_Export!$B288/1000000000000</f>
        <v>23.967702466428818</v>
      </c>
      <c r="G45" s="497"/>
    </row>
    <row r="46" spans="1:7" s="496" customFormat="1">
      <c r="A46" s="748" t="s">
        <v>819</v>
      </c>
      <c r="B46" s="650">
        <f>B$36*((GREET1_Import_Export!$F$179*GREET1_Import_Export!$B185+GREET1_Import_Export!$F185))+B$37*((GREET1_Import_Export!$H$179*GREET1_Import_Export!$B185+GREET1_Import_Export!$H185))+B$38*GREET1_Import_Export!$B221+B$39*GREET1_Import_Export!$B289+B$40*(GREET1_Import_Export!$B314+GREET1_Import_Export!$C314)+B5</f>
        <v>582.72161273311849</v>
      </c>
      <c r="C46" s="752"/>
      <c r="D46" s="47">
        <f>D$36*((GREET1_Import_Export!$F$179*GREET1_Import_Export!$B185+GREET1_Import_Export!$F185))+D$37*((GREET1_Import_Export!$G$179*GREET1_Import_Export!$B185+GREET1_Import_Export!$G185))+D$38*GREET1_Import_Export!$B221+D$39*GREET1_Import_Export!$B289+D$40*(GREET1_Import_Export!$B314+GREET1_Import_Export!$C314)+D$26*GREET1_Import_Export!$F530+D$27*GREET1_Import_Export!$C499+D$28*GREET1_Import_Export!$B$40*GREET1_Import_Export!$B289/1000000+B6</f>
        <v>4461.342852334029</v>
      </c>
      <c r="E46" s="537"/>
      <c r="F46" s="250">
        <f>F$36*((GREET1_Import_Export!$F$179*GREET1_Import_Export!$B185+GREET1_Import_Export!$F185))+F$37*((GREET1_Import_Export!$G$179*GREET1_Import_Export!$B185+GREET1_Import_Export!$G185))+F$38*GREET1_Import_Export!$B221+F$39*GREET1_Import_Export!$B289+F$40*(GREET1_Import_Export!$B314+GREET1_Import_Export!$C314)+F$26*GREET1_Import_Export!$F530+F$27*GREET1_Import_Export!$C499+F$28*GREET1_Import_Export!$B$40*GREET1_Import_Export!$B289/1000000</f>
        <v>532.29422079760695</v>
      </c>
      <c r="G46" s="542"/>
    </row>
    <row r="47" spans="1:7" s="496" customFormat="1">
      <c r="A47" s="609" t="s">
        <v>864</v>
      </c>
      <c r="B47" s="623"/>
      <c r="C47" s="673"/>
      <c r="D47" s="597"/>
      <c r="E47" s="597"/>
      <c r="F47" s="755"/>
      <c r="G47" s="544"/>
    </row>
    <row r="48" spans="1:7" s="496" customFormat="1">
      <c r="A48" s="498" t="s">
        <v>821</v>
      </c>
      <c r="B48" s="347">
        <f>B$36*(B$12*GREET1_Import_Export!$K72+GREET1_Import_Export!$F$179*GREET1_Import_Export!$B186+GREET1_Import_Export!$F186)+B$37*(B$16*GREET1_Import_Export!$R72+B$17*GREET1_Import_Export!$H146+GREET1_Import_Export!$H$179*GREET1_Import_Export!$B186+GREET1_Import_Export!$H186)+B$38*(B$13*GREET1_Import_Export!$B72+B$14*GREET1_Import_Export!$H118+GREET1_Import_Export!$B222)+B$39*(B$15*GREET1_Import_Export!$AA72+GREET1_Import_Export!$B290)+B$40*(GREET1_Import_Export!$B315+GREET1_Import_Export!$C315)</f>
        <v>52.591852732259156</v>
      </c>
      <c r="C48" s="497"/>
      <c r="D48" s="349">
        <f>D$36*(GREET1_Import_Export!$K72+GREET1_Import_Export!$F$179*GREET1_Import_Export!$B186+GREET1_Import_Export!$F186)+D$37*(GREET1_Import_Export!$O72+GREET1_Import_Export!$G$179*GREET1_Import_Export!$B186+GREET1_Import_Export!$G186)+D$38*(GREET1_Import_Export!$B72+GREET1_Import_Export!$B222)+D$39*(GREET1_Import_Export!$AA72+GREET1_Import_Export!$B290)+D$40*(GREET1_Import_Export!$B315+GREET1_Import_Export!$C315)+D$26*GREET1_Import_Export!$F532+D$27*GREET1_Import_Export!$C501+D$28*GREET1_Import_Export!$B$40*GREET1_Import_Export!$B290/1000000</f>
        <v>206.28108040096177</v>
      </c>
      <c r="F48" s="347">
        <f>F$36*(GREET1_Import_Export!$K72+GREET1_Import_Export!$F$179*GREET1_Import_Export!$B186+GREET1_Import_Export!$F186)+F$37*(GREET1_Import_Export!$O72+GREET1_Import_Export!$G$179*GREET1_Import_Export!$B186+GREET1_Import_Export!$G186)+F$38*(GREET1_Import_Export!$B72+GREET1_Import_Export!$B222)+F$39*(GREET1_Import_Export!$AA72+GREET1_Import_Export!$B290)+F$40*(GREET1_Import_Export!$B315+GREET1_Import_Export!$C315)+F$26*GREET1_Import_Export!$F532+F$27*GREET1_Import_Export!$C501+F$28*GREET1_Import_Export!$B$40*GREET1_Import_Export!$B290/1000000</f>
        <v>274.84474633606476</v>
      </c>
      <c r="G48" s="497"/>
    </row>
    <row r="49" spans="1:8" s="496" customFormat="1">
      <c r="A49" s="498" t="s">
        <v>822</v>
      </c>
      <c r="B49" s="347">
        <f>B$36*(B$12*GREET1_Import_Export!$K73+GREET1_Import_Export!$F$179*GREET1_Import_Export!$B187+GREET1_Import_Export!$F187)+B$37*(B$16*GREET1_Import_Export!$R73+B$17*GREET1_Import_Export!$H147+GREET1_Import_Export!$H$179*GREET1_Import_Export!$B187+GREET1_Import_Export!$H187)+B$38*(B$13*GREET1_Import_Export!$B73+B$14*GREET1_Import_Export!$H119+GREET1_Import_Export!$B223)+B$39*(B$15*GREET1_Import_Export!$AA73+GREET1_Import_Export!$B291)+B$40*(GREET1_Import_Export!$B316+GREET1_Import_Export!$C316)</f>
        <v>239.23289695854811</v>
      </c>
      <c r="C49" s="497"/>
      <c r="D49" s="349">
        <f>D$36*(GREET1_Import_Export!$K73+GREET1_Import_Export!$F$179*GREET1_Import_Export!$B187+GREET1_Import_Export!$F187)+D$37*(GREET1_Import_Export!$O73+GREET1_Import_Export!$G$179*GREET1_Import_Export!$B187+GREET1_Import_Export!$G187)+D$38*(GREET1_Import_Export!$B73+GREET1_Import_Export!$B223)+D$39*(GREET1_Import_Export!$AA73+GREET1_Import_Export!$B291)+D$40*(GREET1_Import_Export!$B316+GREET1_Import_Export!$C316)+D$26*GREET1_Import_Export!$F533+D$27*GREET1_Import_Export!$C502+D$28*GREET1_Import_Export!$B$40*GREET1_Import_Export!$B291/1000000</f>
        <v>581.74509323579582</v>
      </c>
      <c r="F49" s="347">
        <f>F$36*(GREET1_Import_Export!$K73+GREET1_Import_Export!$F$179*GREET1_Import_Export!$B187+GREET1_Import_Export!$F187)+F$37*(GREET1_Import_Export!$O73+GREET1_Import_Export!$G$179*GREET1_Import_Export!$B187+GREET1_Import_Export!$G187)+F$38*(GREET1_Import_Export!$B73+GREET1_Import_Export!$B223)+F$39*(GREET1_Import_Export!$AA73+GREET1_Import_Export!$B291)+F$40*(GREET1_Import_Export!$B316+GREET1_Import_Export!$C316)+F$26*GREET1_Import_Export!$F533+F$27*GREET1_Import_Export!$C502+F$28*GREET1_Import_Export!$B$40*GREET1_Import_Export!$B291/1000000</f>
        <v>1086.6305204296773</v>
      </c>
      <c r="G49" s="497"/>
    </row>
    <row r="50" spans="1:8" s="496" customFormat="1">
      <c r="A50" s="498" t="s">
        <v>823</v>
      </c>
      <c r="B50" s="347">
        <f>B$36*(B$12*GREET1_Import_Export!$K74+GREET1_Import_Export!$F$179*GREET1_Import_Export!$B188+GREET1_Import_Export!$F188)+B$37*(B$16*GREET1_Import_Export!$R74+B$17*GREET1_Import_Export!$H148+GREET1_Import_Export!$H$179*GREET1_Import_Export!$B188+GREET1_Import_Export!$H188)+B$38*(B$13*GREET1_Import_Export!$B74+B$14*GREET1_Import_Export!$H120+GREET1_Import_Export!$B224)+B$39*(B$15*GREET1_Import_Export!$AA74+GREET1_Import_Export!$B292)+B$40*(GREET1_Import_Export!$B317+GREET1_Import_Export!$C317)</f>
        <v>325.17642319408736</v>
      </c>
      <c r="C50" s="497"/>
      <c r="D50" s="349">
        <f>D$36*(GREET1_Import_Export!$K74+GREET1_Import_Export!$F$179*GREET1_Import_Export!$B188+GREET1_Import_Export!$F188)+D$37*(GREET1_Import_Export!$O74+GREET1_Import_Export!$G$179*GREET1_Import_Export!$B188+GREET1_Import_Export!$G188)+D$38*(GREET1_Import_Export!$B74+GREET1_Import_Export!$B224)+D$39*(GREET1_Import_Export!$AA74+GREET1_Import_Export!$B292)+D$40*(GREET1_Import_Export!$B317+GREET1_Import_Export!$C317)+D$26*GREET1_Import_Export!$F534+D$27*GREET1_Import_Export!$C503+D$28*GREET1_Import_Export!$B$40*GREET1_Import_Export!$B292/1000000</f>
        <v>1145.8060493987396</v>
      </c>
      <c r="F50" s="347">
        <f>F$36*(GREET1_Import_Export!$K74+GREET1_Import_Export!$F$179*GREET1_Import_Export!$B188+GREET1_Import_Export!$F188)+F$37*(GREET1_Import_Export!$O74+GREET1_Import_Export!$G$179*GREET1_Import_Export!$B188+GREET1_Import_Export!$G188)+F$38*(GREET1_Import_Export!$B74+GREET1_Import_Export!$B224)+F$39*(GREET1_Import_Export!$AA74+GREET1_Import_Export!$B292)+F$40*(GREET1_Import_Export!$B317+GREET1_Import_Export!$C317)+F$26*GREET1_Import_Export!$F534+F$27*GREET1_Import_Export!$C503+F$28*GREET1_Import_Export!$B$40*GREET1_Import_Export!$B292/1000000</f>
        <v>3647.672058353498</v>
      </c>
      <c r="G50" s="497"/>
    </row>
    <row r="51" spans="1:8" s="496" customFormat="1">
      <c r="A51" s="498" t="s">
        <v>824</v>
      </c>
      <c r="B51" s="347">
        <f>B$36*(B$12*GREET1_Import_Export!$K75+GREET1_Import_Export!$F$179*GREET1_Import_Export!$B189+GREET1_Import_Export!$F189)+B$37*(B$16*GREET1_Import_Export!$R75+B$17*GREET1_Import_Export!$H149+GREET1_Import_Export!$H$179*GREET1_Import_Export!$B189+GREET1_Import_Export!$H189)+B$38*(B$13*GREET1_Import_Export!$B75+B$14*GREET1_Import_Export!$H121+GREET1_Import_Export!$B225)+B$39*(B$15*GREET1_Import_Export!$AA75+GREET1_Import_Export!$B293)+B$40*(GREET1_Import_Export!$B318+GREET1_Import_Export!$C318)</f>
        <v>43.347440732446145</v>
      </c>
      <c r="C51" s="339">
        <f>2724*0.6</f>
        <v>1634.3999999999999</v>
      </c>
      <c r="D51" s="349">
        <f>D$36*(GREET1_Import_Export!$K75+GREET1_Import_Export!$F$179*GREET1_Import_Export!$B189+GREET1_Import_Export!$F189)+D$37*(GREET1_Import_Export!$O75+GREET1_Import_Export!$G$179*GREET1_Import_Export!$B189+GREET1_Import_Export!$G189)+D$38*(GREET1_Import_Export!$B75+GREET1_Import_Export!$B225)+D$39*(GREET1_Import_Export!$AA75+GREET1_Import_Export!$B293)+D$40*(GREET1_Import_Export!$B318+GREET1_Import_Export!$C318)+D$26*GREET1_Import_Export!$F535+D$27*GREET1_Import_Export!$C504+D$28*GREET1_Import_Export!$B$40*GREET1_Import_Export!$B293/1000000</f>
        <v>176.06745308657597</v>
      </c>
      <c r="F51" s="347">
        <f>F$36*(GREET1_Import_Export!$K75+GREET1_Import_Export!$F$179*GREET1_Import_Export!$B189+GREET1_Import_Export!$F189)+F$37*(GREET1_Import_Export!$O75+GREET1_Import_Export!$G$179*GREET1_Import_Export!$B189+GREET1_Import_Export!$G189)+F$38*(GREET1_Import_Export!$B75+GREET1_Import_Export!$B225)+F$39*(GREET1_Import_Export!$AA75+GREET1_Import_Export!$B293)+F$40*(GREET1_Import_Export!$B318+GREET1_Import_Export!$C318)+F$26*GREET1_Import_Export!$F535+F$27*GREET1_Import_Export!$C504+F$28*GREET1_Import_Export!$B$40*GREET1_Import_Export!$B293/1000000</f>
        <v>834.94069380700284</v>
      </c>
      <c r="G51" s="497"/>
    </row>
    <row r="52" spans="1:8" s="349" customFormat="1">
      <c r="A52" s="347" t="s">
        <v>825</v>
      </c>
      <c r="B52" s="347">
        <f>B$36*(B$12*GREET1_Import_Export!$K76+GREET1_Import_Export!$F$179*GREET1_Import_Export!$B190+GREET1_Import_Export!$F190)+B$37*(B$16*GREET1_Import_Export!$R76+B$17*GREET1_Import_Export!$H150+GREET1_Import_Export!$H$179*GREET1_Import_Export!$B190+GREET1_Import_Export!$H190)+B$38*(B$13*GREET1_Import_Export!$B76+B$14*GREET1_Import_Export!$H122+GREET1_Import_Export!$B226)+B$39*(B$15*GREET1_Import_Export!$AA76+GREET1_Import_Export!$B294)+B$40*(GREET1_Import_Export!$B319+GREET1_Import_Export!$C319)</f>
        <v>24.603173289280502</v>
      </c>
      <c r="C52" s="348">
        <f>C51/2</f>
        <v>817.19999999999993</v>
      </c>
      <c r="D52" s="349">
        <f>D$36*(GREET1_Import_Export!$K76+GREET1_Import_Export!$F$179*GREET1_Import_Export!$B190+GREET1_Import_Export!$F190)+D$37*(GREET1_Import_Export!$O76+GREET1_Import_Export!$G$179*GREET1_Import_Export!$B190+GREET1_Import_Export!$G190)+D$38*(GREET1_Import_Export!$B76+GREET1_Import_Export!$B226)+D$39*(GREET1_Import_Export!$AA76+GREET1_Import_Export!$B294)+D$40*(GREET1_Import_Export!$B319+GREET1_Import_Export!$C319)+D$26*GREET1_Import_Export!$F536+D$27*GREET1_Import_Export!$C505+D$28*GREET1_Import_Export!$B$40*GREET1_Import_Export!$B294/1000000</f>
        <v>107.742033988407</v>
      </c>
      <c r="F52" s="347">
        <f>F$36*(GREET1_Import_Export!$K76+GREET1_Import_Export!$F$179*GREET1_Import_Export!$B190+GREET1_Import_Export!$F190)+F$37*(GREET1_Import_Export!$O76+GREET1_Import_Export!$G$179*GREET1_Import_Export!$B190+GREET1_Import_Export!$G190)+F$38*(GREET1_Import_Export!$B76+GREET1_Import_Export!$B226)+F$39*(GREET1_Import_Export!$AA76+GREET1_Import_Export!$B294)+F$40*(GREET1_Import_Export!$B319+GREET1_Import_Export!$C319)+F$26*GREET1_Import_Export!$F536+F$27*GREET1_Import_Export!$C505+F$28*GREET1_Import_Export!$B$40*GREET1_Import_Export!$B294/1000000</f>
        <v>386.67522760564663</v>
      </c>
      <c r="G52" s="348"/>
    </row>
    <row r="53" spans="1:8" s="496" customFormat="1">
      <c r="A53" s="347" t="s">
        <v>826</v>
      </c>
      <c r="B53" s="347">
        <f>B$36*(B$12*GREET1_Import_Export!$K77+GREET1_Import_Export!$F$179*GREET1_Import_Export!$B191+GREET1_Import_Export!$F191)+B$37*(B$16*GREET1_Import_Export!$R77+B$17*GREET1_Import_Export!$H151+GREET1_Import_Export!$H$179*GREET1_Import_Export!$B191+GREET1_Import_Export!$H191)+B$38*(B$13*GREET1_Import_Export!$B77+B$14*GREET1_Import_Export!$H123+GREET1_Import_Export!$B227)+B$39*(B$15*GREET1_Import_Export!$AA77+GREET1_Import_Export!$B295)+B$40*(GREET1_Import_Export!$B320+GREET1_Import_Export!$C320)</f>
        <v>206.10277067272821</v>
      </c>
      <c r="C53" s="497"/>
      <c r="D53" s="349">
        <f>D$36*(GREET1_Import_Export!$K77+GREET1_Import_Export!$F$179*GREET1_Import_Export!$B191+GREET1_Import_Export!$F191)+D$37*(GREET1_Import_Export!$O77+GREET1_Import_Export!$G$179*GREET1_Import_Export!$B191+GREET1_Import_Export!$G191)+D$38*(GREET1_Import_Export!$B77+GREET1_Import_Export!$B227)+D$39*(GREET1_Import_Export!$AA77+GREET1_Import_Export!$B295)+D$40*(GREET1_Import_Export!$B320+GREET1_Import_Export!$C320)+D$26*GREET1_Import_Export!$F537+D$27*GREET1_Import_Export!$C506+D$28*GREET1_Import_Export!$B$40*GREET1_Import_Export!$B295/1000000</f>
        <v>904.47320315100035</v>
      </c>
      <c r="F53" s="347">
        <f>F$36*(GREET1_Import_Export!$K77+GREET1_Import_Export!$F$179*GREET1_Import_Export!$B191+GREET1_Import_Export!$F191)+F$37*(GREET1_Import_Export!$O77+GREET1_Import_Export!$G$179*GREET1_Import_Export!$B191+GREET1_Import_Export!$G191)+F$38*(GREET1_Import_Export!$B77+GREET1_Import_Export!$B227)+F$39*(GREET1_Import_Export!$AA77+GREET1_Import_Export!$B295)+F$40*(GREET1_Import_Export!$B320+GREET1_Import_Export!$C320)+F$26*GREET1_Import_Export!$F537+F$27*GREET1_Import_Export!$C506+F$28*GREET1_Import_Export!$B$40*GREET1_Import_Export!$B295/1000000</f>
        <v>2887.426157894703</v>
      </c>
      <c r="G53" s="497"/>
    </row>
    <row r="54" spans="1:8" s="496" customFormat="1">
      <c r="A54" s="749" t="s">
        <v>827</v>
      </c>
      <c r="B54" s="347">
        <f>B$36*(B$12*GREET1_Import_Export!$K78+GREET1_Import_Export!$F$179*GREET1_Import_Export!$B192+GREET1_Import_Export!$F192)+B$37*(B$16*GREET1_Import_Export!$R78+B$17*GREET1_Import_Export!$H152+GREET1_Import_Export!$H$179*GREET1_Import_Export!$B192+GREET1_Import_Export!$H192)+B$38*(B$13*GREET1_Import_Export!$B78+B$14*GREET1_Import_Export!$H124+GREET1_Import_Export!$B228)+B$39*(B$15*GREET1_Import_Export!$AA78+GREET1_Import_Export!$B296)+B$40*(GREET1_Import_Export!$B321+GREET1_Import_Export!$C321)</f>
        <v>1.5563946577706029</v>
      </c>
      <c r="C54" s="497"/>
      <c r="D54" s="349">
        <f>D$36*(GREET1_Import_Export!$K78+GREET1_Import_Export!$F$179*GREET1_Import_Export!$B192+GREET1_Import_Export!$F192)+D$37*(GREET1_Import_Export!$O78+GREET1_Import_Export!$G$179*GREET1_Import_Export!$B192+GREET1_Import_Export!$G192)+D$38*(GREET1_Import_Export!$B78+GREET1_Import_Export!$B228)+D$39*(GREET1_Import_Export!$AA78+GREET1_Import_Export!$B296)+D$40*(GREET1_Import_Export!$B321+GREET1_Import_Export!$C321)+D$26*GREET1_Import_Export!$F538+D$27*GREET1_Import_Export!$C507+D$28*GREET1_Import_Export!$B$40*GREET1_Import_Export!$B296/1000000</f>
        <v>7.1064717457649529</v>
      </c>
      <c r="F54" s="347">
        <f>F$36*(GREET1_Import_Export!$K78+GREET1_Import_Export!$F$179*GREET1_Import_Export!$B192+GREET1_Import_Export!$F192)+F$37*(GREET1_Import_Export!$O78+GREET1_Import_Export!$G$179*GREET1_Import_Export!$B192+GREET1_Import_Export!$G192)+F$38*(GREET1_Import_Export!$B78+GREET1_Import_Export!$B228)+F$39*(GREET1_Import_Export!$AA78+GREET1_Import_Export!$B296)+F$40*(GREET1_Import_Export!$B321+GREET1_Import_Export!$C321)+F$26*GREET1_Import_Export!$F538+F$27*GREET1_Import_Export!$C507+F$28*GREET1_Import_Export!$B$40*GREET1_Import_Export!$B296/1000000</f>
        <v>26.238802267408733</v>
      </c>
      <c r="G54" s="497"/>
    </row>
    <row r="55" spans="1:8" s="496" customFormat="1">
      <c r="A55" s="749" t="s">
        <v>828</v>
      </c>
      <c r="B55" s="347">
        <f>B$36*(B$12*GREET1_Import_Export!$K79+GREET1_Import_Export!$F$179*GREET1_Import_Export!$B193+GREET1_Import_Export!$F193)+B$37*(B$16*GREET1_Import_Export!$R79+B$17*GREET1_Import_Export!$H153+GREET1_Import_Export!$H$179*GREET1_Import_Export!$B193+GREET1_Import_Export!$H193)+B$38*(B$13*GREET1_Import_Export!$B79+B$14*GREET1_Import_Export!$H125+GREET1_Import_Export!$B229)+B$39*(B$15*GREET1_Import_Export!$AA79+GREET1_Import_Export!$B297)+B$40*(GREET1_Import_Export!$B322+GREET1_Import_Export!$C322)</f>
        <v>6.9821316325759346</v>
      </c>
      <c r="C55" s="497"/>
      <c r="D55" s="349">
        <f>D$36*(GREET1_Import_Export!$K79+GREET1_Import_Export!$F$179*GREET1_Import_Export!$B193+GREET1_Import_Export!$F193)+D$37*(GREET1_Import_Export!$O79+GREET1_Import_Export!$G$179*GREET1_Import_Export!$B193+GREET1_Import_Export!$G193)+D$38*(GREET1_Import_Export!$B79+GREET1_Import_Export!$B229)+D$39*(GREET1_Import_Export!$AA79+GREET1_Import_Export!$B297)+D$40*(GREET1_Import_Export!$B322+GREET1_Import_Export!$C322)+D$26*GREET1_Import_Export!$F539+D$27*GREET1_Import_Export!$C508+D$28*GREET1_Import_Export!$B$40*GREET1_Import_Export!$B297/1000000</f>
        <v>31.671687053009812</v>
      </c>
      <c r="F55" s="347">
        <f>F$36*(GREET1_Import_Export!$K79+GREET1_Import_Export!$F$179*GREET1_Import_Export!$B193+GREET1_Import_Export!$F193)+F$37*(GREET1_Import_Export!$O79+GREET1_Import_Export!$G$179*GREET1_Import_Export!$B193+GREET1_Import_Export!$G193)+F$38*(GREET1_Import_Export!$B79+GREET1_Import_Export!$B229)+F$39*(GREET1_Import_Export!$AA79+GREET1_Import_Export!$B297)+F$40*(GREET1_Import_Export!$B322+GREET1_Import_Export!$C322)+F$26*GREET1_Import_Export!$F539+F$27*GREET1_Import_Export!$C508+F$28*GREET1_Import_Export!$B$40*GREET1_Import_Export!$B297/1000000</f>
        <v>24.627039767687048</v>
      </c>
      <c r="G55" s="348"/>
      <c r="H55" s="349"/>
    </row>
    <row r="56" spans="1:8" s="496" customFormat="1">
      <c r="A56" s="347" t="s">
        <v>829</v>
      </c>
      <c r="B56" s="347">
        <f>B$36*(B$12*GREET1_Import_Export!$K80+GREET1_Import_Export!$F$179*GREET1_Import_Export!$B194+GREET1_Import_Export!$F194)+B$37*(B$16*GREET1_Import_Export!$R80+B$17*GREET1_Import_Export!$H154+GREET1_Import_Export!$H$179*GREET1_Import_Export!$B194+GREET1_Import_Export!$H194)+B$38*(B$13*GREET1_Import_Export!$B80+B$14*GREET1_Import_Export!$H126+GREET1_Import_Export!$B230)+B$39*(B$15*GREET1_Import_Export!$AA80+GREET1_Import_Export!$B298)+B$40*(GREET1_Import_Export!$B323+GREET1_Import_Export!$C323)</f>
        <v>915.02396720340028</v>
      </c>
      <c r="C56" s="497"/>
      <c r="D56" s="349">
        <f>D$36*(GREET1_Import_Export!$K80+GREET1_Import_Export!$F$179*GREET1_Import_Export!$B194+GREET1_Import_Export!$F194)+D$37*(GREET1_Import_Export!$O80+GREET1_Import_Export!$G$179*GREET1_Import_Export!$B194+GREET1_Import_Export!$G194)+D$38*(GREET1_Import_Export!$B80+GREET1_Import_Export!$B230)+D$39*(GREET1_Import_Export!$AA80+GREET1_Import_Export!$B298)+D$40*(GREET1_Import_Export!$B323+GREET1_Import_Export!$C323)+D$26*GREET1_Import_Export!$F540+D$27*GREET1_Import_Export!$C509+D$28*GREET1_Import_Export!$B$40*GREET1_Import_Export!$B298/1000000</f>
        <v>3935.4178305126024</v>
      </c>
      <c r="F56" s="347">
        <f>F$36*(GREET1_Import_Export!$K80+GREET1_Import_Export!$F$179*GREET1_Import_Export!$B194+GREET1_Import_Export!$F194)+F$37*(GREET1_Import_Export!$O80+GREET1_Import_Export!$G$179*GREET1_Import_Export!$B194+GREET1_Import_Export!$G194)+F$38*(GREET1_Import_Export!$B80+GREET1_Import_Export!$B230)+F$39*(GREET1_Import_Export!$AA80+GREET1_Import_Export!$B298)+F$40*(GREET1_Import_Export!$B323+GREET1_Import_Export!$C323)+F$26*GREET1_Import_Export!$F540+F$27*GREET1_Import_Export!$C509+F$28*GREET1_Import_Export!$B$40*GREET1_Import_Export!$B298/1000000</f>
        <v>4744.7142729526604</v>
      </c>
      <c r="G56" s="348"/>
      <c r="H56" s="349"/>
    </row>
    <row r="57" spans="1:8" s="496" customFormat="1">
      <c r="A57" s="347" t="s">
        <v>830</v>
      </c>
      <c r="B57" s="347">
        <f>B$36*(B$12*GREET1_Import_Export!$K81+GREET1_Import_Export!$F$179*GREET1_Import_Export!$B195+GREET1_Import_Export!$F195)+B$37*(B$16*GREET1_Import_Export!$R81+B$17*GREET1_Import_Export!$H155+GREET1_Import_Export!$H$179*GREET1_Import_Export!$B195+GREET1_Import_Export!$H195)+B$38*(B$13*GREET1_Import_Export!$B81+B$14*GREET1_Import_Export!$H127+GREET1_Import_Export!$B231)+B$39*(B$15*GREET1_Import_Export!$AA81+GREET1_Import_Export!$B299)+B$40*(GREET1_Import_Export!$B324+GREET1_Import_Export!$C324)</f>
        <v>7.8285363084286592</v>
      </c>
      <c r="C57" s="497"/>
      <c r="D57" s="349">
        <f>D$36*(GREET1_Import_Export!$K81+GREET1_Import_Export!$F$179*GREET1_Import_Export!$B195+GREET1_Import_Export!$F195)+D$37*(GREET1_Import_Export!$O81+GREET1_Import_Export!$G$179*GREET1_Import_Export!$B195+GREET1_Import_Export!$G195)+D$38*(GREET1_Import_Export!$B81+GREET1_Import_Export!$B231)+D$39*(GREET1_Import_Export!$AA81+GREET1_Import_Export!$B299)+D$40*(GREET1_Import_Export!$B324+GREET1_Import_Export!$C324)+D$26*GREET1_Import_Export!$F541+D$27*GREET1_Import_Export!$C510+D$28*GREET1_Import_Export!$B$40*GREET1_Import_Export!$B299/1000000</f>
        <v>35.856846635040363</v>
      </c>
      <c r="F57" s="347">
        <f>F$36*(GREET1_Import_Export!$K81+GREET1_Import_Export!$F$179*GREET1_Import_Export!$B195+GREET1_Import_Export!$F195)+F$37*(GREET1_Import_Export!$O81+GREET1_Import_Export!$G$179*GREET1_Import_Export!$B195+GREET1_Import_Export!$G195)+F$38*(GREET1_Import_Export!$B81+GREET1_Import_Export!$B231)+F$39*(GREET1_Import_Export!$AA81+GREET1_Import_Export!$B299)+F$40*(GREET1_Import_Export!$B324+GREET1_Import_Export!$C324)+F$26*GREET1_Import_Export!$F541+F$27*GREET1_Import_Export!$C510+F$28*GREET1_Import_Export!$B$40*GREET1_Import_Export!$B299/1000000</f>
        <v>43.537564804395068</v>
      </c>
      <c r="G57" s="348"/>
      <c r="H57" s="349"/>
    </row>
    <row r="58" spans="1:8" s="535" customFormat="1">
      <c r="A58" s="668" t="s">
        <v>831</v>
      </c>
      <c r="B58" s="295">
        <f>B$36*(B$12*GREET1_Import_Export!$K82+GREET1_Import_Export!$F$179*GREET1_Import_Export!$B196+GREET1_Import_Export!$F196)+B$37*(B$16*GREET1_Import_Export!$R82+B$17*GREET1_Import_Export!$H156+GREET1_Import_Export!$H$179*GREET1_Import_Export!$B196+GREET1_Import_Export!$H196)+B$38*(B$13*GREET1_Import_Export!$B82+B$14*GREET1_Import_Export!$H128+GREET1_Import_Export!$B232)+B$39*(B$15*GREET1_Import_Export!$AA82+GREET1_Import_Export!$B300)+B$40*(GREET1_Import_Export!$B325+GREET1_Import_Export!$C325)</f>
        <v>433969.53576594079</v>
      </c>
      <c r="C58" s="542"/>
      <c r="D58" s="294">
        <f>D$36*(GREET1_Import_Export!$K82+GREET1_Import_Export!$F$179*GREET1_Import_Export!$B196+GREET1_Import_Export!$F196)+D$37*(GREET1_Import_Export!$O82+GREET1_Import_Export!$G$179*GREET1_Import_Export!$B196+GREET1_Import_Export!$G196)+D$38*(GREET1_Import_Export!$B82+GREET1_Import_Export!$B232)+D$39*(GREET1_Import_Export!$AA82+GREET1_Import_Export!$B300)+D$40*(GREET1_Import_Export!$B325+GREET1_Import_Export!$C325)+D$26*GREET1_Import_Export!$F542+D$27*GREET1_Import_Export!$C511+D$28*GREET1_Import_Export!$B$40*GREET1_Import_Export!$B300/1000000</f>
        <v>1718096.1460397048</v>
      </c>
      <c r="E58" s="537"/>
      <c r="F58" s="295">
        <f>F$36*(GREET1_Import_Export!$K82+GREET1_Import_Export!$F$179*GREET1_Import_Export!$B196+GREET1_Import_Export!$F196)+F$37*(GREET1_Import_Export!$O82+GREET1_Import_Export!$G$179*GREET1_Import_Export!$B196+GREET1_Import_Export!$G196)+F$38*(GREET1_Import_Export!$B82+GREET1_Import_Export!$B232)+F$39*(GREET1_Import_Export!$AA82+GREET1_Import_Export!$B300)+F$40*(GREET1_Import_Export!$B325+GREET1_Import_Export!$C325)+F$26*GREET1_Import_Export!$F542+F$27*GREET1_Import_Export!$C511+F$28*GREET1_Import_Export!$B$40*GREET1_Import_Export!$B300/1000000</f>
        <v>2199741.2551381243</v>
      </c>
      <c r="G58" s="752">
        <f>B9*[1]!T2g/GREET1_Import_Export!B65*GREET1_Import_Export!F40</f>
        <v>1425005.789592</v>
      </c>
      <c r="H58" s="8"/>
    </row>
    <row r="59" spans="1:8" s="496" customFormat="1">
      <c r="A59" s="758" t="s">
        <v>865</v>
      </c>
      <c r="B59" s="347"/>
      <c r="C59" s="497"/>
      <c r="D59" s="389"/>
      <c r="F59" s="390"/>
      <c r="G59" s="348"/>
      <c r="H59" s="349"/>
    </row>
    <row r="60" spans="1:8" s="496" customFormat="1">
      <c r="A60" s="347" t="s">
        <v>821</v>
      </c>
      <c r="B60" s="347">
        <f>B$36*(B$24*(B$12*GREET1_Import_Export!$K72)+GREET1_Import_Export!$F$200*GREET1_Import_Export!$B201+GREET1_Import_Export!$F201)+B$37*(B$24*(B$16*GREET1_Import_Export!$R72+B$17*GREET1_Import_Export!$H146)+GREET1_Import_Export!$H$200*GREET1_Import_Export!$B201+GREET1_Import_Export!$H201)+B$38*(B$24*(B$13*GREET1_Import_Export!$B72+B$14*GREET1_Import_Export!$H118)+GREET1_Import_Export!$B237)+B$39*(B$24*(B$15*GREET1_Import_Export!$AA72)+GREET1_Import_Export!$C290)+B$40*(GREET1_Import_Export!$D315+GREET1_Import_Export!$E315)</f>
        <v>4.6482392547669722</v>
      </c>
      <c r="C60" s="497">
        <f t="shared" ref="C60:C67" si="0">C48*B$24</f>
        <v>0</v>
      </c>
      <c r="D60" s="349">
        <f>D$36*(D$24*(GREET1_Import_Export!$K72)+GREET1_Import_Export!$F$200*GREET1_Import_Export!$B201+GREET1_Import_Export!$F201)+D$37*(D$24*(GREET1_Import_Export!$O72)+GREET1_Import_Export!$G$200*GREET1_Import_Export!$B201+GREET1_Import_Export!$G201)+D$38*(D$24*(GREET1_Import_Export!$B72)+GREET1_Import_Export!$B237)+D$39*(D$24*(GREET1_Import_Export!$AA72)+GREET1_Import_Export!$C290)+D$40*(GREET1_Import_Export!$D315+GREET1_Import_Export!$E315)+D$26*GREET1_Import_Export!$F544+D$27*GREET1_Import_Export!$C513+D$28*GREET1_Import_Export!$B$40*GREET1_Import_Export!$C290/1000000</f>
        <v>12.560327555263639</v>
      </c>
      <c r="F60" s="347">
        <f>F$36*(F$24*(GREET1_Import_Export!$K72)+GREET1_Import_Export!$F$200*GREET1_Import_Export!$B201+GREET1_Import_Export!$F201)+F$37*(F$24*(GREET1_Import_Export!$O72)+GREET1_Import_Export!$G$200*GREET1_Import_Export!$B201+GREET1_Import_Export!$G201)+F$38*(F$24*(GREET1_Import_Export!$B72)+GREET1_Import_Export!$B237)+F$39*(F$24*(GREET1_Import_Export!$AA72)+GREET1_Import_Export!$C290)+F$40*(GREET1_Import_Export!$D315+GREET1_Import_Export!$E315)+F$26*GREET1_Import_Export!$F544+F$27*GREET1_Import_Export!$C513+F$28*GREET1_Import_Export!$B$40*GREET1_Import_Export!$C290/1000000</f>
        <v>46.592600582247826</v>
      </c>
      <c r="G60" s="348"/>
      <c r="H60" s="349"/>
    </row>
    <row r="61" spans="1:8" s="496" customFormat="1">
      <c r="A61" s="347" t="s">
        <v>822</v>
      </c>
      <c r="B61" s="347">
        <f>B$36*(B$24*(B$12*GREET1_Import_Export!$K73)+GREET1_Import_Export!$F$200*GREET1_Import_Export!$B202+GREET1_Import_Export!$F202)+B$37*(B$24*(B$16*GREET1_Import_Export!$R73+B$17*GREET1_Import_Export!$H147)+GREET1_Import_Export!$H$200*GREET1_Import_Export!$B202+GREET1_Import_Export!$H202)+B$38*(B$24*(B$13*GREET1_Import_Export!$B73+B$14*GREET1_Import_Export!$H119)+GREET1_Import_Export!$B238)+B$39*(B$24*(B$15*GREET1_Import_Export!$AA73)+GREET1_Import_Export!$C291)+B$40*(GREET1_Import_Export!$D316+GREET1_Import_Export!$E316)</f>
        <v>21.207056505648431</v>
      </c>
      <c r="C61" s="497">
        <f t="shared" si="0"/>
        <v>0</v>
      </c>
      <c r="D61" s="349">
        <f>D$36*(D$24*(GREET1_Import_Export!$K73)+GREET1_Import_Export!$F$200*GREET1_Import_Export!$B202+GREET1_Import_Export!$F202)+D$37*(D$24*(GREET1_Import_Export!$O73)+GREET1_Import_Export!$G$200*GREET1_Import_Export!$B202+GREET1_Import_Export!$G202)+D$38*(D$24*(GREET1_Import_Export!$B73)+GREET1_Import_Export!$B238)+D$39*(D$24*(GREET1_Import_Export!$AA73)+GREET1_Import_Export!$C291)+D$40*(GREET1_Import_Export!$D316+GREET1_Import_Export!$E316)+D$26*GREET1_Import_Export!$F545+D$27*GREET1_Import_Export!$C514+D$28*GREET1_Import_Export!$B$40*GREET1_Import_Export!$C291/1000000</f>
        <v>90.898246373960021</v>
      </c>
      <c r="F61" s="347">
        <f>F$36*(F$24*(GREET1_Import_Export!$K73)+GREET1_Import_Export!$F$200*GREET1_Import_Export!$B202+GREET1_Import_Export!$F202)+F$37*(F$24*(GREET1_Import_Export!$O73)+GREET1_Import_Export!$G$200*GREET1_Import_Export!$B202+GREET1_Import_Export!$G202)+F$38*(F$24*(GREET1_Import_Export!$B73)+GREET1_Import_Export!$B238)+F$39*(F$24*(GREET1_Import_Export!$AA73)+GREET1_Import_Export!$C291)+F$40*(GREET1_Import_Export!$D316+GREET1_Import_Export!$E316)+F$26*GREET1_Import_Export!$F545+F$27*GREET1_Import_Export!$C514+F$28*GREET1_Import_Export!$B$40*GREET1_Import_Export!$C291/1000000</f>
        <v>31.296646801107471</v>
      </c>
      <c r="G61" s="348"/>
      <c r="H61" s="349"/>
    </row>
    <row r="62" spans="1:8" s="496" customFormat="1">
      <c r="A62" s="347" t="s">
        <v>823</v>
      </c>
      <c r="B62" s="347">
        <f>B$36*(B$24*(B$12*GREET1_Import_Export!$K74)+GREET1_Import_Export!$F$200*GREET1_Import_Export!$B203+GREET1_Import_Export!$F203)+B$37*(B$24*(B$16*GREET1_Import_Export!$R74+B$17*GREET1_Import_Export!$H148)+GREET1_Import_Export!$H$200*GREET1_Import_Export!$B203+GREET1_Import_Export!$H203)+B$38*(B$24*(B$13*GREET1_Import_Export!$B74+B$14*GREET1_Import_Export!$H120)+GREET1_Import_Export!$B239)+B$39*(B$24*(B$15*GREET1_Import_Export!$AA74)+GREET1_Import_Export!$C292)+B$40*(GREET1_Import_Export!$D317+GREET1_Import_Export!$E317)</f>
        <v>61.519250609322441</v>
      </c>
      <c r="C62" s="497">
        <f t="shared" si="0"/>
        <v>0</v>
      </c>
      <c r="D62" s="349">
        <f>D$36*(D$24*(GREET1_Import_Export!$K74)+GREET1_Import_Export!$F$200*GREET1_Import_Export!$B203+GREET1_Import_Export!$F203)+D$37*(D$24*(GREET1_Import_Export!$O74)+GREET1_Import_Export!$G$200*GREET1_Import_Export!$B203+GREET1_Import_Export!$G203)+D$38*(D$24*(GREET1_Import_Export!$B74)+GREET1_Import_Export!$B239)+D$39*(D$24*(GREET1_Import_Export!$AA74)+GREET1_Import_Export!$C292)+D$40*(GREET1_Import_Export!$D317+GREET1_Import_Export!$E317)+D$26*GREET1_Import_Export!$F546+D$27*GREET1_Import_Export!$C515+D$28*GREET1_Import_Export!$B$40*GREET1_Import_Export!$C292/1000000</f>
        <v>265.59601759061201</v>
      </c>
      <c r="F62" s="347">
        <f>F$36*(F$24*(GREET1_Import_Export!$K74)+GREET1_Import_Export!$F$200*GREET1_Import_Export!$B203+GREET1_Import_Export!$F203)+F$37*(F$24*(GREET1_Import_Export!$O74)+GREET1_Import_Export!$G$200*GREET1_Import_Export!$B203+GREET1_Import_Export!$G203)+F$38*(F$24*(GREET1_Import_Export!$B74)+GREET1_Import_Export!$B239)+F$39*(F$24*(GREET1_Import_Export!$AA74)+GREET1_Import_Export!$C292)+F$40*(GREET1_Import_Export!$D317+GREET1_Import_Export!$E317)+F$26*GREET1_Import_Export!$F546+F$27*GREET1_Import_Export!$C515+F$28*GREET1_Import_Export!$B$40*GREET1_Import_Export!$C292/1000000</f>
        <v>57.127136565966403</v>
      </c>
      <c r="G62" s="497"/>
    </row>
    <row r="63" spans="1:8" s="496" customFormat="1">
      <c r="A63" s="347" t="s">
        <v>824</v>
      </c>
      <c r="B63" s="347">
        <f>B$36*(B$24*(B$12*GREET1_Import_Export!$K75)+GREET1_Import_Export!$F$200*GREET1_Import_Export!$B204+GREET1_Import_Export!$F204)+B$37*(B$24*(B$16*GREET1_Import_Export!$R75+B$17*GREET1_Import_Export!$H149)+GREET1_Import_Export!$H$200*GREET1_Import_Export!$B204+GREET1_Import_Export!$H204)+B$38*(B$24*(B$13*GREET1_Import_Export!$B75+B$14*GREET1_Import_Export!$H121)+GREET1_Import_Export!$B240)+B$39*(B$24*(B$15*GREET1_Import_Export!$AA75)+GREET1_Import_Export!$C293)+B$40*(GREET1_Import_Export!$D318+GREET1_Import_Export!$E318)</f>
        <v>8.3009741488647872</v>
      </c>
      <c r="C63" s="497">
        <f t="shared" si="0"/>
        <v>0</v>
      </c>
      <c r="D63" s="349">
        <f>D$36*(D$24*(GREET1_Import_Export!$K75)+GREET1_Import_Export!$F$200*GREET1_Import_Export!$B204+GREET1_Import_Export!$F204)+D$37*(D$24*(GREET1_Import_Export!$O75)+GREET1_Import_Export!$G$200*GREET1_Import_Export!$B204+GREET1_Import_Export!$G204)+D$38*(D$24*(GREET1_Import_Export!$B75)+GREET1_Import_Export!$B240)+D$39*(D$24*(GREET1_Import_Export!$AA75)+GREET1_Import_Export!$C293)+D$40*(GREET1_Import_Export!$D318+GREET1_Import_Export!$E318)+D$26*GREET1_Import_Export!$F547+D$27*GREET1_Import_Export!$C516+D$28*GREET1_Import_Export!$B$40*GREET1_Import_Export!$C293/1000000</f>
        <v>34.957262839153522</v>
      </c>
      <c r="F63" s="347">
        <f>F$36*(F$24*(GREET1_Import_Export!$K75)+GREET1_Import_Export!$F$200*GREET1_Import_Export!$B204+GREET1_Import_Export!$F204)+F$37*(F$24*(GREET1_Import_Export!$O75)+GREET1_Import_Export!$G$200*GREET1_Import_Export!$B204+GREET1_Import_Export!$G204)+F$38*(F$24*(GREET1_Import_Export!$B75)+GREET1_Import_Export!$B240)+F$39*(F$24*(GREET1_Import_Export!$AA75)+GREET1_Import_Export!$C293)+F$40*(GREET1_Import_Export!$D318+GREET1_Import_Export!$E318)+F$26*GREET1_Import_Export!$F547+F$27*GREET1_Import_Export!$C516+F$28*GREET1_Import_Export!$B$40*GREET1_Import_Export!$C293/1000000</f>
        <v>9.7738495088987651</v>
      </c>
      <c r="G63" s="497"/>
    </row>
    <row r="64" spans="1:8" s="349" customFormat="1">
      <c r="A64" s="347" t="s">
        <v>825</v>
      </c>
      <c r="B64" s="347">
        <f>B$36*(B$24*(B$12*GREET1_Import_Export!$K76)+GREET1_Import_Export!$F$200*GREET1_Import_Export!$B205+GREET1_Import_Export!$F205)+B$37*(B$24*(B$16*GREET1_Import_Export!$R76+B$17*GREET1_Import_Export!$H150)+GREET1_Import_Export!$H$200*GREET1_Import_Export!$B205+GREET1_Import_Export!$H205)+B$38*(B$24*(B$13*GREET1_Import_Export!$B76+B$14*GREET1_Import_Export!$H122)+GREET1_Import_Export!$B241)+B$39*(B$24*(B$15*GREET1_Import_Export!$AA76)+GREET1_Import_Export!$C294)+B$40*(GREET1_Import_Export!$D319+GREET1_Import_Export!$E319)</f>
        <v>7.2935544497646427</v>
      </c>
      <c r="C64" s="348">
        <f t="shared" si="0"/>
        <v>0</v>
      </c>
      <c r="D64" s="349">
        <f>D$36*(D$24*(GREET1_Import_Export!$K76)+GREET1_Import_Export!$F$200*GREET1_Import_Export!$B205+GREET1_Import_Export!$F205)+D$37*(D$24*(GREET1_Import_Export!$O76)+GREET1_Import_Export!$G$200*GREET1_Import_Export!$B205+GREET1_Import_Export!$G205)+D$38*(D$24*(GREET1_Import_Export!$B76)+GREET1_Import_Export!$B241)+D$39*(D$24*(GREET1_Import_Export!$AA76)+GREET1_Import_Export!$C294)+D$40*(GREET1_Import_Export!$D319+GREET1_Import_Export!$E319)+D$26*GREET1_Import_Export!$F548+D$27*GREET1_Import_Export!$C517+D$28*GREET1_Import_Export!$B$40*GREET1_Import_Export!$C294/1000000</f>
        <v>30.739706678854755</v>
      </c>
      <c r="F64" s="347">
        <f>F$36*(F$24*(GREET1_Import_Export!$K76)+GREET1_Import_Export!$F$200*GREET1_Import_Export!$B205+GREET1_Import_Export!$F205)+F$37*(F$24*(GREET1_Import_Export!$O76)+GREET1_Import_Export!$G$200*GREET1_Import_Export!$B205+GREET1_Import_Export!$G205)+F$38*(F$24*(GREET1_Import_Export!$B76)+GREET1_Import_Export!$B241)+F$39*(F$24*(GREET1_Import_Export!$AA76)+GREET1_Import_Export!$C294)+F$40*(GREET1_Import_Export!$D319+GREET1_Import_Export!$E319)+F$26*GREET1_Import_Export!$F548+F$27*GREET1_Import_Export!$C517+F$28*GREET1_Import_Export!$B$40*GREET1_Import_Export!$C294/1000000</f>
        <v>8.6178975196149352</v>
      </c>
      <c r="G64" s="348"/>
    </row>
    <row r="65" spans="1:9" s="349" customFormat="1">
      <c r="A65" s="347" t="s">
        <v>826</v>
      </c>
      <c r="B65" s="347">
        <f>B$36*(B$24*(B$12*GREET1_Import_Export!$K77)+GREET1_Import_Export!$F$200*GREET1_Import_Export!$B206+GREET1_Import_Export!$F206)+B$37*(B$24*(B$16*GREET1_Import_Export!$R77+B$17*GREET1_Import_Export!$H151)+GREET1_Import_Export!$H$200*GREET1_Import_Export!$B206+GREET1_Import_Export!$H206)+B$38*(B$24*(B$13*GREET1_Import_Export!$B77+B$14*GREET1_Import_Export!$H123)+GREET1_Import_Export!$B242)+B$39*(B$24*(B$15*GREET1_Import_Export!$AA77)+GREET1_Import_Export!$C295)+B$40*(GREET1_Import_Export!$D320+GREET1_Import_Export!$E320)</f>
        <v>59.8513242273957</v>
      </c>
      <c r="C65" s="497">
        <f t="shared" si="0"/>
        <v>0</v>
      </c>
      <c r="D65" s="349">
        <f>D$36*(D$24*(GREET1_Import_Export!$K77)+GREET1_Import_Export!$F$200*GREET1_Import_Export!$B206+GREET1_Import_Export!$F206)+D$37*(D$24*(GREET1_Import_Export!$O77)+GREET1_Import_Export!$G$200*GREET1_Import_Export!$B206+GREET1_Import_Export!$G206)+D$38*(D$24*(GREET1_Import_Export!$B77)+GREET1_Import_Export!$B242)+D$39*(D$24*(GREET1_Import_Export!$AA77)+GREET1_Import_Export!$C295)+D$40*(GREET1_Import_Export!$D320+GREET1_Import_Export!$E320)+D$26*GREET1_Import_Export!$F549+D$27*GREET1_Import_Export!$C518+D$28*GREET1_Import_Export!$B$40*GREET1_Import_Export!$C295/1000000</f>
        <v>260.18449328577265</v>
      </c>
      <c r="E65" s="496"/>
      <c r="F65" s="347">
        <f>F$36*(F$24*(GREET1_Import_Export!$K77)+GREET1_Import_Export!$F$200*GREET1_Import_Export!$B206+GREET1_Import_Export!$F206)+F$37*(F$24*(GREET1_Import_Export!$O77)+GREET1_Import_Export!$G$200*GREET1_Import_Export!$B206+GREET1_Import_Export!$G206)+F$38*(F$24*(GREET1_Import_Export!$B77)+GREET1_Import_Export!$B242)+F$39*(F$24*(GREET1_Import_Export!$AA77)+GREET1_Import_Export!$C295)+F$40*(GREET1_Import_Export!$D320+GREET1_Import_Export!$E320)+F$26*GREET1_Import_Export!$F549+F$27*GREET1_Import_Export!$C518+F$28*GREET1_Import_Export!$B$40*GREET1_Import_Export!$C295/1000000</f>
        <v>23.696844158629169</v>
      </c>
      <c r="G65" s="497"/>
    </row>
    <row r="66" spans="1:9" s="349" customFormat="1">
      <c r="A66" s="347" t="s">
        <v>827</v>
      </c>
      <c r="B66" s="347">
        <f>B$36*(B$24*(B$12*GREET1_Import_Export!$K78)+GREET1_Import_Export!$F$200*GREET1_Import_Export!$B207+GREET1_Import_Export!$F207)+B$37*(B$24*(B$16*GREET1_Import_Export!$R78+B$17*GREET1_Import_Export!$H152)+GREET1_Import_Export!$H$200*GREET1_Import_Export!$B207+GREET1_Import_Export!$H207)+B$38*(B$24*(B$13*GREET1_Import_Export!$B78+B$14*GREET1_Import_Export!$H124)+GREET1_Import_Export!$B243)+B$39*(B$24*(B$15*GREET1_Import_Export!$AA78)+GREET1_Import_Export!$C296)+B$40*(GREET1_Import_Export!$D321+GREET1_Import_Export!$E321)</f>
        <v>0.39878829030492841</v>
      </c>
      <c r="C66" s="348">
        <f t="shared" si="0"/>
        <v>0</v>
      </c>
      <c r="D66" s="349">
        <f>D$36*(D$24*(GREET1_Import_Export!$K78)+GREET1_Import_Export!$F$200*GREET1_Import_Export!$B207+GREET1_Import_Export!$F207)+D$37*(D$24*(GREET1_Import_Export!$O78)+GREET1_Import_Export!$G$200*GREET1_Import_Export!$B207+GREET1_Import_Export!$G207)+D$38*(D$24*(GREET1_Import_Export!$B78)+GREET1_Import_Export!$B243)+D$39*(D$24*(GREET1_Import_Export!$AA78)+GREET1_Import_Export!$C296)+D$40*(GREET1_Import_Export!$D321+GREET1_Import_Export!$E321)+D$26*GREET1_Import_Export!$F550+D$27*GREET1_Import_Export!$C519+D$28*GREET1_Import_Export!$B$40*GREET1_Import_Export!$C296/1000000</f>
        <v>1.5860849837198938</v>
      </c>
      <c r="F66" s="347">
        <f>F$36*(F$24*(GREET1_Import_Export!$K78)+GREET1_Import_Export!$F$200*GREET1_Import_Export!$B207+GREET1_Import_Export!$F207)+F$37*(F$24*(GREET1_Import_Export!$O78)+GREET1_Import_Export!$G$200*GREET1_Import_Export!$B207+GREET1_Import_Export!$G207)+F$38*(F$24*(GREET1_Import_Export!$B78)+GREET1_Import_Export!$B243)+F$39*(F$24*(GREET1_Import_Export!$AA78)+GREET1_Import_Export!$C296)+F$40*(GREET1_Import_Export!$D321+GREET1_Import_Export!$E321)+F$26*GREET1_Import_Export!$F550+F$27*GREET1_Import_Export!$C519+F$28*GREET1_Import_Export!$B$40*GREET1_Import_Export!$C296/1000000</f>
        <v>0.90756318064861918</v>
      </c>
      <c r="G66" s="348"/>
    </row>
    <row r="67" spans="1:9" s="349" customFormat="1">
      <c r="A67" s="503" t="s">
        <v>828</v>
      </c>
      <c r="B67" s="503">
        <f>B$36*(B$24*(B$12*GREET1_Import_Export!$K79)+GREET1_Import_Export!$F$200*GREET1_Import_Export!$B208+GREET1_Import_Export!$F208)+B$37*(B$24*(B$16*GREET1_Import_Export!$R79+B$17*GREET1_Import_Export!$H153)+GREET1_Import_Export!$H$200*GREET1_Import_Export!$B208+GREET1_Import_Export!$H208)+B$38*(B$24*(B$13*GREET1_Import_Export!$B79+B$14*GREET1_Import_Export!$H125)+GREET1_Import_Export!$B244)+B$39*(B$24*(B$15*GREET1_Import_Export!$AA79)+GREET1_Import_Export!$C297)+B$40*(GREET1_Import_Export!$D322+GREET1_Import_Export!$E322)</f>
        <v>2.0539473480008694</v>
      </c>
      <c r="C67" s="502">
        <f t="shared" si="0"/>
        <v>0</v>
      </c>
      <c r="D67" s="505">
        <f>D$36*(D$24*(GREET1_Import_Export!$K79)+GREET1_Import_Export!$F$200*GREET1_Import_Export!$B208+GREET1_Import_Export!$F208)+D$37*(D$24*(GREET1_Import_Export!$O79)+GREET1_Import_Export!$G$200*GREET1_Import_Export!$B208+GREET1_Import_Export!$G208)+D$38*(D$24*(GREET1_Import_Export!$B79)+GREET1_Import_Export!$B244)+D$39*(D$24*(GREET1_Import_Export!$AA79)+GREET1_Import_Export!$C297)+D$40*(GREET1_Import_Export!$D322+GREET1_Import_Export!$E322)+D$26*GREET1_Import_Export!$F551+D$27*GREET1_Import_Export!$C520+D$28*GREET1_Import_Export!$B$40*GREET1_Import_Export!$C297/1000000</f>
        <v>8.7925740683781513</v>
      </c>
      <c r="E67" s="505"/>
      <c r="F67" s="503">
        <f>F$36*(F$24*(GREET1_Import_Export!$K79)+GREET1_Import_Export!$F$200*GREET1_Import_Export!$B208+GREET1_Import_Export!$F208)+F$37*(F$24*(GREET1_Import_Export!$O79)+GREET1_Import_Export!$G$200*GREET1_Import_Export!$B208+GREET1_Import_Export!$G208)+F$38*(F$24*(GREET1_Import_Export!$B79)+GREET1_Import_Export!$B244)+F$39*(F$24*(GREET1_Import_Export!$AA79)+GREET1_Import_Export!$C297)+F$40*(GREET1_Import_Export!$D322+GREET1_Import_Export!$E322)+F$26*GREET1_Import_Export!$F551+F$27*GREET1_Import_Export!$C520+F$28*GREET1_Import_Export!$B$40*GREET1_Import_Export!$C297/1000000</f>
        <v>1.4931989868794013</v>
      </c>
      <c r="G67" s="502"/>
    </row>
    <row r="68" spans="1:9" s="349" customFormat="1"/>
    <row r="69" spans="1:9" s="349" customFormat="1" ht="15">
      <c r="A69" s="602" t="s">
        <v>1110</v>
      </c>
    </row>
    <row r="70" spans="1:9" s="349" customFormat="1" ht="24.75" customHeight="1">
      <c r="A70" s="510"/>
      <c r="B70" s="759" t="s">
        <v>561</v>
      </c>
      <c r="C70" s="610" t="s">
        <v>54</v>
      </c>
      <c r="D70" s="760" t="s">
        <v>504</v>
      </c>
      <c r="E70" s="3079" t="s">
        <v>1111</v>
      </c>
      <c r="F70" s="3080"/>
      <c r="G70" s="3072" t="s">
        <v>1112</v>
      </c>
      <c r="H70" s="3078"/>
      <c r="I70" s="1321"/>
    </row>
    <row r="71" spans="1:9" s="349" customFormat="1">
      <c r="A71" s="699" t="s">
        <v>1029</v>
      </c>
      <c r="B71" s="761"/>
      <c r="C71" s="604"/>
      <c r="D71" s="687"/>
      <c r="E71" s="766" t="s">
        <v>845</v>
      </c>
      <c r="F71" s="755" t="s">
        <v>846</v>
      </c>
      <c r="G71" s="770" t="s">
        <v>845</v>
      </c>
      <c r="H71" s="754" t="s">
        <v>846</v>
      </c>
    </row>
    <row r="72" spans="1:9" s="349" customFormat="1">
      <c r="A72" s="347" t="s">
        <v>816</v>
      </c>
      <c r="B72" s="347">
        <f>B41</f>
        <v>7.1716823087830663</v>
      </c>
      <c r="C72" s="349">
        <f>D41</f>
        <v>29.170305838127522</v>
      </c>
      <c r="D72" s="348">
        <f>F41</f>
        <v>42.190791940230199</v>
      </c>
      <c r="E72" s="496">
        <f>SUM(B72:C72)</f>
        <v>36.341988146910587</v>
      </c>
      <c r="F72" s="498">
        <f>E72/2000</f>
        <v>1.8170994073455293E-2</v>
      </c>
      <c r="G72" s="498">
        <f>E72*$B$4+D72</f>
        <v>71.264382457758671</v>
      </c>
      <c r="H72" s="491">
        <f>G72/2000</f>
        <v>3.5632191228879333E-2</v>
      </c>
    </row>
    <row r="73" spans="1:9" s="349" customFormat="1">
      <c r="A73" s="347" t="s">
        <v>817</v>
      </c>
      <c r="B73" s="347">
        <f>B42</f>
        <v>5.8494063704016952</v>
      </c>
      <c r="C73" s="349">
        <f>D42</f>
        <v>23.376154030565214</v>
      </c>
      <c r="D73" s="348">
        <f>F42</f>
        <v>42.019835076944148</v>
      </c>
      <c r="E73" s="496">
        <f>SUM(B73:C73)</f>
        <v>29.225560400966909</v>
      </c>
      <c r="F73" s="498">
        <f>E73/2000</f>
        <v>1.4612780200483455E-2</v>
      </c>
      <c r="G73" s="498">
        <f t="shared" ref="G73:G100" si="1">E73*$B$4+D73</f>
        <v>65.400283397717672</v>
      </c>
      <c r="H73" s="491">
        <f>G73/2000</f>
        <v>3.2700141698858834E-2</v>
      </c>
    </row>
    <row r="74" spans="1:9" s="349" customFormat="1">
      <c r="A74" s="347" t="s">
        <v>805</v>
      </c>
      <c r="B74" s="347">
        <f>B43</f>
        <v>1.7477376221285537</v>
      </c>
      <c r="C74" s="349">
        <f>D43</f>
        <v>7.7136422646952756</v>
      </c>
      <c r="D74" s="348">
        <f>F43</f>
        <v>16.076750421546368</v>
      </c>
      <c r="E74" s="496">
        <f>SUM(B74:C74)</f>
        <v>9.4613798868238295</v>
      </c>
      <c r="F74" s="498">
        <f>E74/2000</f>
        <v>4.7306899434119152E-3</v>
      </c>
      <c r="G74" s="498">
        <f t="shared" si="1"/>
        <v>23.645854331005431</v>
      </c>
      <c r="H74" s="491">
        <f>G74/2000</f>
        <v>1.1822927165502716E-2</v>
      </c>
    </row>
    <row r="75" spans="1:9" s="349" customFormat="1">
      <c r="A75" s="347" t="s">
        <v>804</v>
      </c>
      <c r="B75" s="347">
        <f>B73-B74-B76</f>
        <v>3.3096879326090884</v>
      </c>
      <c r="C75" s="349">
        <f>C73-C74-C76</f>
        <v>15.414885096223747</v>
      </c>
      <c r="D75" s="348">
        <f>D73-D74-D76</f>
        <v>1.9753821889689611</v>
      </c>
      <c r="E75" s="496">
        <f>E73-E74-E76</f>
        <v>18.724573028832836</v>
      </c>
      <c r="F75" s="498">
        <f>F73-F74-F76</f>
        <v>9.3622865144164184E-3</v>
      </c>
      <c r="G75" s="498">
        <f t="shared" si="1"/>
        <v>16.95504061203523</v>
      </c>
      <c r="H75" s="491">
        <f>H73-H74-H76</f>
        <v>8.4775203060176111E-3</v>
      </c>
    </row>
    <row r="76" spans="1:9" s="349" customFormat="1">
      <c r="A76" s="503" t="s">
        <v>818</v>
      </c>
      <c r="B76" s="503">
        <f>B45</f>
        <v>0.79198081566405276</v>
      </c>
      <c r="C76" s="505">
        <f>D45</f>
        <v>0.24762666964619057</v>
      </c>
      <c r="D76" s="502">
        <f>F45</f>
        <v>23.967702466428818</v>
      </c>
      <c r="E76" s="496">
        <f>SUM(B76:C76)</f>
        <v>1.0396074853102433</v>
      </c>
      <c r="F76" s="498">
        <f>E76/2000</f>
        <v>5.1980374265512164E-4</v>
      </c>
      <c r="G76" s="498">
        <f t="shared" si="1"/>
        <v>24.799388454677015</v>
      </c>
      <c r="H76" s="491">
        <f>G76/2000</f>
        <v>1.2399694227338507E-2</v>
      </c>
    </row>
    <row r="77" spans="1:9" s="349" customFormat="1">
      <c r="A77" s="503" t="s">
        <v>819</v>
      </c>
      <c r="B77" s="173">
        <f>B46</f>
        <v>582.72161273311849</v>
      </c>
      <c r="C77" s="1">
        <f>D46</f>
        <v>4461.342852334029</v>
      </c>
      <c r="D77" s="51">
        <f>F46</f>
        <v>532.29422079760695</v>
      </c>
      <c r="E77" s="1680">
        <f>SUM(B77:C77)</f>
        <v>5044.0644650671475</v>
      </c>
      <c r="F77" s="1686">
        <f>E77/2000</f>
        <v>2.5220322325335736</v>
      </c>
      <c r="G77" s="1679">
        <f t="shared" si="1"/>
        <v>4567.5457928513251</v>
      </c>
      <c r="H77" s="1682">
        <f>G77/2000</f>
        <v>2.2837728964256625</v>
      </c>
    </row>
    <row r="78" spans="1:9" s="349" customFormat="1">
      <c r="A78" s="699" t="s">
        <v>1030</v>
      </c>
      <c r="B78" s="510"/>
      <c r="C78" s="512"/>
      <c r="D78" s="509"/>
      <c r="E78" s="766" t="s">
        <v>845</v>
      </c>
      <c r="F78" s="770" t="s">
        <v>846</v>
      </c>
      <c r="G78" s="770" t="s">
        <v>845</v>
      </c>
      <c r="H78" s="768" t="s">
        <v>846</v>
      </c>
    </row>
    <row r="79" spans="1:9" s="349" customFormat="1">
      <c r="A79" s="347" t="s">
        <v>821</v>
      </c>
      <c r="B79" s="347">
        <f t="shared" ref="B79:B89" si="2">SUM(B48:C48)</f>
        <v>52.591852732259156</v>
      </c>
      <c r="C79" s="349">
        <f t="shared" ref="C79:C89" si="3">SUM(D48:E48)</f>
        <v>206.28108040096177</v>
      </c>
      <c r="D79" s="348">
        <f t="shared" ref="D79:D89" si="4">SUM(F48:G48)</f>
        <v>274.84474633606476</v>
      </c>
      <c r="E79" s="496">
        <f t="shared" ref="E79:E90" si="5">SUM(B79:C79)</f>
        <v>258.87293313322095</v>
      </c>
      <c r="F79" s="498">
        <f t="shared" ref="F79:H90" si="6">E79/2000</f>
        <v>0.12943646656661048</v>
      </c>
      <c r="G79" s="498">
        <f t="shared" si="1"/>
        <v>481.94309284264153</v>
      </c>
      <c r="H79" s="491">
        <f t="shared" si="6"/>
        <v>0.24097154642132076</v>
      </c>
    </row>
    <row r="80" spans="1:9" s="349" customFormat="1">
      <c r="A80" s="347" t="s">
        <v>822</v>
      </c>
      <c r="B80" s="347">
        <f t="shared" si="2"/>
        <v>239.23289695854811</v>
      </c>
      <c r="C80" s="349">
        <f t="shared" si="3"/>
        <v>581.74509323579582</v>
      </c>
      <c r="D80" s="348">
        <f t="shared" si="4"/>
        <v>1086.6305204296773</v>
      </c>
      <c r="E80" s="496">
        <f t="shared" si="5"/>
        <v>820.97799019434387</v>
      </c>
      <c r="F80" s="498">
        <f t="shared" si="6"/>
        <v>0.41048899509717196</v>
      </c>
      <c r="G80" s="498">
        <f t="shared" si="1"/>
        <v>1743.4129125851523</v>
      </c>
      <c r="H80" s="491">
        <f t="shared" si="6"/>
        <v>0.87170645629257615</v>
      </c>
    </row>
    <row r="81" spans="1:8" s="349" customFormat="1">
      <c r="A81" s="347" t="s">
        <v>849</v>
      </c>
      <c r="B81" s="347">
        <f t="shared" si="2"/>
        <v>325.17642319408736</v>
      </c>
      <c r="C81" s="349">
        <f t="shared" si="3"/>
        <v>1145.8060493987396</v>
      </c>
      <c r="D81" s="348">
        <f t="shared" si="4"/>
        <v>3647.672058353498</v>
      </c>
      <c r="E81" s="496">
        <f t="shared" si="5"/>
        <v>1470.982472592827</v>
      </c>
      <c r="F81" s="498">
        <f t="shared" si="6"/>
        <v>0.73549123629641344</v>
      </c>
      <c r="G81" s="498">
        <f t="shared" si="1"/>
        <v>4824.4580364277599</v>
      </c>
      <c r="H81" s="491">
        <f t="shared" si="6"/>
        <v>2.4122290182138801</v>
      </c>
    </row>
    <row r="82" spans="1:8" s="349" customFormat="1">
      <c r="A82" s="347" t="s">
        <v>824</v>
      </c>
      <c r="B82" s="347">
        <f t="shared" si="2"/>
        <v>1677.747440732446</v>
      </c>
      <c r="C82" s="349">
        <f t="shared" si="3"/>
        <v>176.06745308657597</v>
      </c>
      <c r="D82" s="348">
        <f t="shared" si="4"/>
        <v>834.94069380700284</v>
      </c>
      <c r="E82" s="496">
        <f t="shared" si="5"/>
        <v>1853.814893819022</v>
      </c>
      <c r="F82" s="498">
        <f t="shared" si="6"/>
        <v>0.92690744690951099</v>
      </c>
      <c r="G82" s="498">
        <f t="shared" si="1"/>
        <v>2317.9926088622205</v>
      </c>
      <c r="H82" s="491">
        <f t="shared" si="6"/>
        <v>1.1589963044311102</v>
      </c>
    </row>
    <row r="83" spans="1:8" s="349" customFormat="1">
      <c r="A83" s="347" t="s">
        <v>825</v>
      </c>
      <c r="B83" s="347">
        <f t="shared" si="2"/>
        <v>841.80317328928038</v>
      </c>
      <c r="C83" s="349">
        <f t="shared" si="3"/>
        <v>107.742033988407</v>
      </c>
      <c r="D83" s="348">
        <f t="shared" si="4"/>
        <v>386.67522760564663</v>
      </c>
      <c r="E83" s="496">
        <f t="shared" si="5"/>
        <v>949.54520727768738</v>
      </c>
      <c r="F83" s="347">
        <f t="shared" si="6"/>
        <v>0.47477260363884372</v>
      </c>
      <c r="G83" s="498">
        <f t="shared" si="1"/>
        <v>1146.3113934277965</v>
      </c>
      <c r="H83" s="494">
        <f t="shared" si="6"/>
        <v>0.57315569671389821</v>
      </c>
    </row>
    <row r="84" spans="1:8" s="349" customFormat="1">
      <c r="A84" s="347" t="s">
        <v>826</v>
      </c>
      <c r="B84" s="347">
        <f t="shared" si="2"/>
        <v>206.10277067272821</v>
      </c>
      <c r="C84" s="349">
        <f t="shared" si="3"/>
        <v>904.47320315100035</v>
      </c>
      <c r="D84" s="348">
        <f t="shared" si="4"/>
        <v>2887.426157894703</v>
      </c>
      <c r="E84" s="496">
        <f t="shared" si="5"/>
        <v>1110.5759738237286</v>
      </c>
      <c r="F84" s="347">
        <f t="shared" si="6"/>
        <v>0.55528798691186432</v>
      </c>
      <c r="G84" s="498">
        <f t="shared" si="1"/>
        <v>3775.886936953686</v>
      </c>
      <c r="H84" s="494">
        <f t="shared" si="6"/>
        <v>1.887943468476843</v>
      </c>
    </row>
    <row r="85" spans="1:8" s="349" customFormat="1">
      <c r="A85" s="749" t="s">
        <v>827</v>
      </c>
      <c r="B85" s="347">
        <f t="shared" si="2"/>
        <v>1.5563946577706029</v>
      </c>
      <c r="C85" s="349">
        <f t="shared" si="3"/>
        <v>7.1064717457649529</v>
      </c>
      <c r="D85" s="348">
        <f t="shared" si="4"/>
        <v>26.238802267408733</v>
      </c>
      <c r="E85" s="496">
        <f t="shared" si="5"/>
        <v>8.6628664035355563</v>
      </c>
      <c r="F85" s="347">
        <f t="shared" si="6"/>
        <v>4.3314332017677778E-3</v>
      </c>
      <c r="G85" s="498">
        <f t="shared" si="1"/>
        <v>33.169095390237175</v>
      </c>
      <c r="H85" s="494">
        <f t="shared" si="6"/>
        <v>1.6584547695118586E-2</v>
      </c>
    </row>
    <row r="86" spans="1:8" s="349" customFormat="1">
      <c r="A86" s="749" t="s">
        <v>828</v>
      </c>
      <c r="B86" s="347">
        <f t="shared" si="2"/>
        <v>6.9821316325759346</v>
      </c>
      <c r="C86" s="349">
        <f t="shared" si="3"/>
        <v>31.671687053009812</v>
      </c>
      <c r="D86" s="348">
        <f t="shared" si="4"/>
        <v>24.627039767687048</v>
      </c>
      <c r="E86" s="496">
        <f t="shared" si="5"/>
        <v>38.653818685585748</v>
      </c>
      <c r="F86" s="347">
        <f t="shared" si="6"/>
        <v>1.9326909342792874E-2</v>
      </c>
      <c r="G86" s="498">
        <f t="shared" si="1"/>
        <v>55.550094716155648</v>
      </c>
      <c r="H86" s="494">
        <f t="shared" si="6"/>
        <v>2.7775047358077825E-2</v>
      </c>
    </row>
    <row r="87" spans="1:8" s="349" customFormat="1">
      <c r="A87" s="347" t="s">
        <v>829</v>
      </c>
      <c r="B87" s="347">
        <f t="shared" si="2"/>
        <v>915.02396720340028</v>
      </c>
      <c r="C87" s="349">
        <f t="shared" si="3"/>
        <v>3935.4178305126024</v>
      </c>
      <c r="D87" s="348">
        <f t="shared" si="4"/>
        <v>4744.7142729526604</v>
      </c>
      <c r="E87" s="496">
        <f t="shared" si="5"/>
        <v>4850.4417977160028</v>
      </c>
      <c r="F87" s="347">
        <f t="shared" si="6"/>
        <v>2.4252208988580013</v>
      </c>
      <c r="G87" s="498">
        <f t="shared" si="1"/>
        <v>8625.0677111254627</v>
      </c>
      <c r="H87" s="494">
        <f t="shared" si="6"/>
        <v>4.3125338555627311</v>
      </c>
    </row>
    <row r="88" spans="1:8" s="349" customFormat="1">
      <c r="A88" s="347" t="s">
        <v>830</v>
      </c>
      <c r="B88" s="347">
        <f t="shared" si="2"/>
        <v>7.8285363084286592</v>
      </c>
      <c r="C88" s="349">
        <f t="shared" si="3"/>
        <v>35.856846635040363</v>
      </c>
      <c r="D88" s="348">
        <f t="shared" si="4"/>
        <v>43.537564804395068</v>
      </c>
      <c r="E88" s="496">
        <f t="shared" si="5"/>
        <v>43.685382943469023</v>
      </c>
      <c r="F88" s="347">
        <f t="shared" si="6"/>
        <v>2.184269147173451E-2</v>
      </c>
      <c r="G88" s="498">
        <f t="shared" si="1"/>
        <v>78.485871159170287</v>
      </c>
      <c r="H88" s="494">
        <f t="shared" si="6"/>
        <v>3.9242935579585143E-2</v>
      </c>
    </row>
    <row r="89" spans="1:8" s="419" customFormat="1">
      <c r="A89" s="517" t="s">
        <v>831</v>
      </c>
      <c r="B89" s="251">
        <f t="shared" si="2"/>
        <v>433969.53576594079</v>
      </c>
      <c r="C89" s="246">
        <f t="shared" si="3"/>
        <v>1718096.1460397048</v>
      </c>
      <c r="D89" s="247">
        <f t="shared" si="4"/>
        <v>3624747.0447301241</v>
      </c>
      <c r="E89" s="535">
        <f t="shared" si="5"/>
        <v>2152065.6818056456</v>
      </c>
      <c r="F89" s="251">
        <f t="shared" si="6"/>
        <v>1076.0328409028227</v>
      </c>
      <c r="G89" s="598">
        <f t="shared" si="1"/>
        <v>5346399.5901746405</v>
      </c>
      <c r="H89" s="253">
        <f t="shared" si="6"/>
        <v>2673.1997950873201</v>
      </c>
    </row>
    <row r="90" spans="1:8" s="419" customFormat="1">
      <c r="A90" s="517" t="s">
        <v>850</v>
      </c>
      <c r="B90" s="251">
        <f>B89+B79*GREET1_Import_Export!$B$62/GREET1_Import_Export!$B$65+B80*GREET1_Import_Export!$B$63/GREET1_Import_Export!$B$65</f>
        <v>434509.38444979594</v>
      </c>
      <c r="C90" s="246">
        <f>C89+C79*GREET1_Import_Export!$B$62/GREET1_Import_Export!$B$65+C80*GREET1_Import_Export!$B$63/GREET1_Import_Export!$B$65</f>
        <v>1719653.2262677534</v>
      </c>
      <c r="D90" s="247">
        <f>D89+D79*GREET1_Import_Export!$B$62/GREET1_Import_Export!$B$65+D80*GREET1_Import_Export!$B$63/GREET1_Import_Export!$B$65</f>
        <v>3627311.2064359277</v>
      </c>
      <c r="E90" s="246">
        <f t="shared" si="5"/>
        <v>2154162.6107175495</v>
      </c>
      <c r="F90" s="251">
        <f t="shared" si="6"/>
        <v>1077.0813053587747</v>
      </c>
      <c r="G90" s="251">
        <f t="shared" si="1"/>
        <v>5350641.2950099669</v>
      </c>
      <c r="H90" s="253">
        <f t="shared" si="6"/>
        <v>2675.3206475049833</v>
      </c>
    </row>
    <row r="91" spans="1:8" s="419" customFormat="1">
      <c r="A91" s="668" t="s">
        <v>851</v>
      </c>
      <c r="B91" s="295">
        <f>B90+SUMPRODUCT(B87:B88,GREET1_Import_Export!$B$51:$B$52)+SUMPRODUCT(B79:B81,GREET1_Import_Export!$B$55:$B$57)+SUMPRODUCT(B85:B86,GREET1_Import_Export!$B$58:$B$59)</f>
        <v>464034.66558763152</v>
      </c>
      <c r="C91" s="294">
        <f>C90+SUMPRODUCT(C87:C88,GREET1_Import_Export!$B$51:$B$52)+SUMPRODUCT(C79:C81,GREET1_Import_Export!$B$55:$B$57)+SUMPRODUCT(C85:C86,GREET1_Import_Export!$B$58:$B$59)</f>
        <v>1847217.8255414171</v>
      </c>
      <c r="D91" s="296">
        <f>D90+SUMPRODUCT(D87:D88,GREET1_Import_Export!$B$51:$B$52)+SUMPRODUCT(D79:D81,GREET1_Import_Export!$B$55:$B$57)+SUMPRODUCT(D85:D86,GREET1_Import_Export!$B$58:$B$59)</f>
        <v>3781190.0892976723</v>
      </c>
      <c r="E91" s="294">
        <f>E90+SUMPRODUCT(E87:E88,GREET1_Import_Export!$B$51:$B$52)+SUMPRODUCT(E79:E81,GREET1_Import_Export!$B$55:$B$57)+SUMPRODUCT(E85:E86,GREET1_Import_Export!$B$58:$B$59)</f>
        <v>2311252.4911290486</v>
      </c>
      <c r="F91" s="295">
        <f>F90+SUMPRODUCT(F87:F88,GREET1_Import_Export!$B$51:$B$52)+SUMPRODUCT(F79:F81,GREET1_Import_Export!$B$55:$B$57)+SUMPRODUCT(F85:F86,GREET1_Import_Export!$B$58:$B$59)</f>
        <v>1155.6262455645244</v>
      </c>
      <c r="G91" s="295">
        <f>E91*$B$4+D91</f>
        <v>5630192.0822009109</v>
      </c>
      <c r="H91" s="400">
        <f>H90+SUMPRODUCT(H87:H88,GREET1_Import_Export!$B$51:$B$52)+SUMPRODUCT(H79:H81,GREET1_Import_Export!$B$55:$B$57)+SUMPRODUCT(H85:H86,GREET1_Import_Export!$B$58:$B$59)</f>
        <v>2815.0960411004553</v>
      </c>
    </row>
    <row r="92" spans="1:8" s="349" customFormat="1">
      <c r="A92" s="758" t="s">
        <v>1031</v>
      </c>
      <c r="B92" s="347"/>
      <c r="D92" s="348"/>
      <c r="E92" s="766" t="s">
        <v>845</v>
      </c>
      <c r="F92" s="709" t="s">
        <v>846</v>
      </c>
      <c r="G92" s="770" t="s">
        <v>845</v>
      </c>
      <c r="H92" s="762" t="s">
        <v>846</v>
      </c>
    </row>
    <row r="93" spans="1:8" s="349" customFormat="1">
      <c r="A93" s="347" t="s">
        <v>821</v>
      </c>
      <c r="B93" s="347">
        <f t="shared" ref="B93:B100" si="7">SUM(B60:C60)</f>
        <v>4.6482392547669722</v>
      </c>
      <c r="C93" s="349">
        <f t="shared" ref="C93:C100" si="8">SUM(D60:E60)</f>
        <v>12.560327555263639</v>
      </c>
      <c r="D93" s="348">
        <f t="shared" ref="D93:D100" si="9">SUM(F60:G60)</f>
        <v>46.592600582247826</v>
      </c>
      <c r="E93" s="496">
        <f t="shared" ref="E93:E100" si="10">SUM(B93:C93)</f>
        <v>17.208566810030611</v>
      </c>
      <c r="F93" s="347">
        <f t="shared" ref="F93:H100" si="11">E93/2000</f>
        <v>8.604283405015305E-3</v>
      </c>
      <c r="G93" s="498">
        <f t="shared" si="1"/>
        <v>60.359454030272317</v>
      </c>
      <c r="H93" s="494">
        <f t="shared" si="11"/>
        <v>3.017972701513616E-2</v>
      </c>
    </row>
    <row r="94" spans="1:8" s="349" customFormat="1">
      <c r="A94" s="347" t="s">
        <v>822</v>
      </c>
      <c r="B94" s="347">
        <f t="shared" si="7"/>
        <v>21.207056505648431</v>
      </c>
      <c r="C94" s="349">
        <f t="shared" si="8"/>
        <v>90.898246373960021</v>
      </c>
      <c r="D94" s="348">
        <f t="shared" si="9"/>
        <v>31.296646801107471</v>
      </c>
      <c r="E94" s="496">
        <f t="shared" si="10"/>
        <v>112.10530287960844</v>
      </c>
      <c r="F94" s="347">
        <f t="shared" si="11"/>
        <v>5.6052651439804223E-2</v>
      </c>
      <c r="G94" s="498">
        <f t="shared" si="1"/>
        <v>120.98088910479423</v>
      </c>
      <c r="H94" s="494">
        <f t="shared" si="11"/>
        <v>6.0490444552397112E-2</v>
      </c>
    </row>
    <row r="95" spans="1:8" s="349" customFormat="1">
      <c r="A95" s="347" t="s">
        <v>823</v>
      </c>
      <c r="B95" s="347">
        <f t="shared" si="7"/>
        <v>61.519250609322441</v>
      </c>
      <c r="C95" s="349">
        <f t="shared" si="8"/>
        <v>265.59601759061201</v>
      </c>
      <c r="D95" s="348">
        <f t="shared" si="9"/>
        <v>57.127136565966403</v>
      </c>
      <c r="E95" s="496">
        <f t="shared" si="10"/>
        <v>327.11526819993446</v>
      </c>
      <c r="F95" s="347">
        <f t="shared" si="11"/>
        <v>0.16355763409996724</v>
      </c>
      <c r="G95" s="498">
        <f t="shared" si="1"/>
        <v>318.81935112591395</v>
      </c>
      <c r="H95" s="494">
        <f t="shared" si="11"/>
        <v>0.15940967556295699</v>
      </c>
    </row>
    <row r="96" spans="1:8" s="349" customFormat="1">
      <c r="A96" s="749" t="s">
        <v>824</v>
      </c>
      <c r="B96" s="347">
        <f t="shared" si="7"/>
        <v>8.3009741488647872</v>
      </c>
      <c r="C96" s="349">
        <f t="shared" si="8"/>
        <v>34.957262839153522</v>
      </c>
      <c r="D96" s="348">
        <f t="shared" si="9"/>
        <v>9.7738495088987651</v>
      </c>
      <c r="E96" s="496">
        <f t="shared" si="10"/>
        <v>43.258236988018311</v>
      </c>
      <c r="F96" s="347">
        <f t="shared" si="11"/>
        <v>2.1629118494009156E-2</v>
      </c>
      <c r="G96" s="498">
        <f t="shared" si="1"/>
        <v>44.380439099313413</v>
      </c>
      <c r="H96" s="494">
        <f t="shared" si="11"/>
        <v>2.2190219549656706E-2</v>
      </c>
    </row>
    <row r="97" spans="1:8" s="349" customFormat="1">
      <c r="A97" s="347" t="s">
        <v>825</v>
      </c>
      <c r="B97" s="347">
        <f t="shared" si="7"/>
        <v>7.2935544497646427</v>
      </c>
      <c r="C97" s="349">
        <f t="shared" si="8"/>
        <v>30.739706678854755</v>
      </c>
      <c r="D97" s="348">
        <f t="shared" si="9"/>
        <v>8.6178975196149352</v>
      </c>
      <c r="E97" s="496">
        <f t="shared" si="10"/>
        <v>38.033261128619401</v>
      </c>
      <c r="F97" s="347">
        <f t="shared" si="11"/>
        <v>1.9016630564309699E-2</v>
      </c>
      <c r="G97" s="498">
        <f t="shared" si="1"/>
        <v>39.044506422510459</v>
      </c>
      <c r="H97" s="494">
        <f t="shared" si="11"/>
        <v>1.9522253211255228E-2</v>
      </c>
    </row>
    <row r="98" spans="1:8" s="496" customFormat="1">
      <c r="A98" s="749" t="s">
        <v>826</v>
      </c>
      <c r="B98" s="347">
        <f t="shared" si="7"/>
        <v>59.8513242273957</v>
      </c>
      <c r="C98" s="349">
        <f t="shared" si="8"/>
        <v>260.18449328577265</v>
      </c>
      <c r="D98" s="348">
        <f t="shared" si="9"/>
        <v>23.696844158629169</v>
      </c>
      <c r="E98" s="496">
        <f t="shared" si="10"/>
        <v>320.03581751316835</v>
      </c>
      <c r="F98" s="347">
        <f t="shared" si="11"/>
        <v>0.16001790875658417</v>
      </c>
      <c r="G98" s="498">
        <f t="shared" si="1"/>
        <v>279.72549816916387</v>
      </c>
      <c r="H98" s="494">
        <f t="shared" si="11"/>
        <v>0.13986274908458193</v>
      </c>
    </row>
    <row r="99" spans="1:8" s="496" customFormat="1">
      <c r="A99" s="347" t="s">
        <v>827</v>
      </c>
      <c r="B99" s="347">
        <f t="shared" si="7"/>
        <v>0.39878829030492841</v>
      </c>
      <c r="C99" s="349">
        <f t="shared" si="8"/>
        <v>1.5860849837198938</v>
      </c>
      <c r="D99" s="348">
        <f t="shared" si="9"/>
        <v>0.90756318064861918</v>
      </c>
      <c r="E99" s="496">
        <f t="shared" si="10"/>
        <v>1.9848732740248223</v>
      </c>
      <c r="F99" s="347">
        <f t="shared" si="11"/>
        <v>9.9243663701241111E-4</v>
      </c>
      <c r="G99" s="498">
        <f t="shared" si="1"/>
        <v>2.4954617998684769</v>
      </c>
      <c r="H99" s="494">
        <f t="shared" si="11"/>
        <v>1.2477308999342385E-3</v>
      </c>
    </row>
    <row r="100" spans="1:8" s="496" customFormat="1">
      <c r="A100" s="501" t="s">
        <v>828</v>
      </c>
      <c r="B100" s="501">
        <f t="shared" si="7"/>
        <v>2.0539473480008694</v>
      </c>
      <c r="C100" s="499">
        <f t="shared" si="8"/>
        <v>8.7925740683781513</v>
      </c>
      <c r="D100" s="500">
        <f t="shared" si="9"/>
        <v>1.4931989868794013</v>
      </c>
      <c r="E100" s="499">
        <f t="shared" si="10"/>
        <v>10.846521416379021</v>
      </c>
      <c r="F100" s="501">
        <f t="shared" si="11"/>
        <v>5.4232607081895106E-3</v>
      </c>
      <c r="G100" s="501">
        <f t="shared" si="1"/>
        <v>10.170416119982619</v>
      </c>
      <c r="H100" s="492">
        <f t="shared" si="11"/>
        <v>5.0852080599913096E-3</v>
      </c>
    </row>
  </sheetData>
  <mergeCells count="8">
    <mergeCell ref="B20:C20"/>
    <mergeCell ref="D20:E20"/>
    <mergeCell ref="E70:F70"/>
    <mergeCell ref="B22:C22"/>
    <mergeCell ref="D22:E22"/>
    <mergeCell ref="F22:G22"/>
    <mergeCell ref="F20:G20"/>
    <mergeCell ref="G70:H70"/>
  </mergeCells>
  <phoneticPr fontId="5" type="noConversion"/>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3"/>
  <dimension ref="A1:K98"/>
  <sheetViews>
    <sheetView showGridLines="0" zoomScale="85" zoomScaleNormal="85" workbookViewId="0"/>
  </sheetViews>
  <sheetFormatPr defaultColWidth="9.140625" defaultRowHeight="12.75"/>
  <cols>
    <col min="1" max="1" width="22.85546875" style="64" customWidth="1"/>
    <col min="2" max="2" width="10.42578125" style="64" customWidth="1"/>
    <col min="3" max="4" width="13.85546875" style="64" bestFit="1" customWidth="1"/>
    <col min="5" max="5" width="12.140625" style="64" customWidth="1"/>
    <col min="6" max="6" width="14" style="64" bestFit="1" customWidth="1"/>
    <col min="7" max="7" width="10.28515625" style="64" customWidth="1"/>
    <col min="8" max="8" width="12.85546875" style="64" bestFit="1" customWidth="1"/>
    <col min="9" max="9" width="11.28515625" style="64" customWidth="1"/>
    <col min="10" max="10" width="14" style="64" bestFit="1" customWidth="1"/>
    <col min="11" max="11" width="9.28515625" style="64" bestFit="1" customWidth="1"/>
    <col min="12" max="16384" width="9.140625" style="64"/>
  </cols>
  <sheetData>
    <row r="1" spans="1:11" s="5" customFormat="1" ht="15.75">
      <c r="A1" s="2" t="s">
        <v>56</v>
      </c>
    </row>
    <row r="2" spans="1:11">
      <c r="A2" s="407"/>
    </row>
    <row r="3" spans="1:11" ht="15">
      <c r="A3" s="529" t="s">
        <v>1113</v>
      </c>
    </row>
    <row r="4" spans="1:11">
      <c r="A4" s="531" t="s">
        <v>512</v>
      </c>
      <c r="B4" s="533">
        <f>Mat_Inputs!C407</f>
        <v>1</v>
      </c>
    </row>
    <row r="5" spans="1:11">
      <c r="A5" s="532" t="s">
        <v>513</v>
      </c>
      <c r="B5" s="428">
        <f>Mat_Inputs!C408</f>
        <v>0</v>
      </c>
    </row>
    <row r="6" spans="1:11">
      <c r="A6" s="530"/>
    </row>
    <row r="7" spans="1:11" ht="15">
      <c r="A7" s="75" t="s">
        <v>762</v>
      </c>
    </row>
    <row r="8" spans="1:11">
      <c r="A8" s="393" t="s">
        <v>769</v>
      </c>
      <c r="B8" s="533">
        <v>1</v>
      </c>
    </row>
    <row r="9" spans="1:11">
      <c r="A9" s="230" t="s">
        <v>770</v>
      </c>
      <c r="B9" s="588">
        <v>1</v>
      </c>
    </row>
    <row r="10" spans="1:11">
      <c r="A10" s="160" t="s">
        <v>772</v>
      </c>
      <c r="B10" s="1102">
        <f>1-B9</f>
        <v>0</v>
      </c>
    </row>
    <row r="11" spans="1:11">
      <c r="A11" s="230" t="s">
        <v>773</v>
      </c>
      <c r="B11" s="588">
        <v>1</v>
      </c>
    </row>
    <row r="12" spans="1:11">
      <c r="A12" s="160" t="s">
        <v>782</v>
      </c>
      <c r="B12" s="1102">
        <v>1</v>
      </c>
    </row>
    <row r="13" spans="1:11">
      <c r="A13" s="161" t="s">
        <v>783</v>
      </c>
      <c r="B13" s="949">
        <f>1-B12</f>
        <v>0</v>
      </c>
    </row>
    <row r="15" spans="1:11" ht="15">
      <c r="A15" s="75" t="s">
        <v>784</v>
      </c>
    </row>
    <row r="16" spans="1:11" ht="24.75" customHeight="1">
      <c r="A16" s="238"/>
      <c r="B16" s="2980" t="s">
        <v>561</v>
      </c>
      <c r="C16" s="2981"/>
      <c r="D16" s="3013" t="s">
        <v>1114</v>
      </c>
      <c r="E16" s="3013"/>
      <c r="F16" s="2980" t="s">
        <v>1115</v>
      </c>
      <c r="G16" s="2981"/>
      <c r="H16" s="3013" t="s">
        <v>1116</v>
      </c>
      <c r="I16" s="3013"/>
      <c r="J16" s="2980" t="s">
        <v>1117</v>
      </c>
      <c r="K16" s="2981"/>
    </row>
    <row r="17" spans="1:11" ht="64.5" customHeight="1">
      <c r="A17" s="571"/>
      <c r="B17" s="763" t="s">
        <v>785</v>
      </c>
      <c r="C17" s="757" t="s">
        <v>786</v>
      </c>
      <c r="D17" s="408" t="s">
        <v>785</v>
      </c>
      <c r="E17" s="408" t="s">
        <v>786</v>
      </c>
      <c r="F17" s="763" t="s">
        <v>785</v>
      </c>
      <c r="G17" s="757" t="s">
        <v>786</v>
      </c>
      <c r="H17" s="408" t="s">
        <v>785</v>
      </c>
      <c r="I17" s="408" t="s">
        <v>786</v>
      </c>
      <c r="J17" s="763" t="s">
        <v>785</v>
      </c>
      <c r="K17" s="757" t="s">
        <v>786</v>
      </c>
    </row>
    <row r="18" spans="1:11" ht="51">
      <c r="A18" s="659" t="s">
        <v>797</v>
      </c>
      <c r="B18" s="663">
        <f>Mat_Inputs!B401</f>
        <v>0</v>
      </c>
      <c r="C18" s="394"/>
      <c r="D18" s="367">
        <f>Mat_Inputs!B402</f>
        <v>146.27500000000001</v>
      </c>
      <c r="E18" s="392"/>
      <c r="F18" s="663">
        <f>Mat_Inputs!B403</f>
        <v>225.26</v>
      </c>
      <c r="G18" s="394"/>
      <c r="H18" s="367">
        <f>Mat_Inputs!B404</f>
        <v>2.496</v>
      </c>
      <c r="I18" s="392"/>
      <c r="J18" s="663">
        <f>Mat_Inputs!B405</f>
        <v>7.1890000000000001</v>
      </c>
      <c r="K18" s="394"/>
    </row>
    <row r="19" spans="1:11">
      <c r="A19" s="660" t="s">
        <v>798</v>
      </c>
      <c r="B19" s="664">
        <v>0</v>
      </c>
      <c r="C19" s="707"/>
      <c r="D19" s="368">
        <v>0</v>
      </c>
      <c r="E19" s="750"/>
      <c r="F19" s="664">
        <v>0</v>
      </c>
      <c r="G19" s="707"/>
      <c r="H19" s="368">
        <v>0</v>
      </c>
      <c r="I19" s="750"/>
      <c r="J19" s="664">
        <v>0</v>
      </c>
      <c r="K19" s="707"/>
    </row>
    <row r="20" spans="1:11">
      <c r="A20" s="177" t="s">
        <v>799</v>
      </c>
      <c r="B20" s="383"/>
      <c r="C20" s="395"/>
      <c r="D20" s="377"/>
      <c r="F20" s="383"/>
      <c r="G20" s="395"/>
      <c r="H20" s="377"/>
      <c r="J20" s="383"/>
      <c r="K20" s="395"/>
    </row>
    <row r="21" spans="1:11">
      <c r="A21" s="230" t="s">
        <v>800</v>
      </c>
      <c r="B21" s="416">
        <v>0</v>
      </c>
      <c r="C21" s="395"/>
      <c r="D21" s="369">
        <v>0</v>
      </c>
      <c r="F21" s="665">
        <v>0</v>
      </c>
      <c r="G21" s="395"/>
      <c r="H21" s="369">
        <v>0</v>
      </c>
      <c r="J21" s="665">
        <v>0</v>
      </c>
      <c r="K21" s="395"/>
    </row>
    <row r="22" spans="1:11">
      <c r="A22" s="230" t="s">
        <v>802</v>
      </c>
      <c r="B22" s="416">
        <v>0.93</v>
      </c>
      <c r="C22" s="94" t="s">
        <v>861</v>
      </c>
      <c r="D22" s="369">
        <v>4.7999999999999996E-3</v>
      </c>
      <c r="F22" s="665">
        <v>7.5844923003806118E-3</v>
      </c>
      <c r="G22" s="395"/>
      <c r="H22" s="369">
        <v>0</v>
      </c>
      <c r="J22" s="665">
        <v>0</v>
      </c>
      <c r="K22" s="395"/>
    </row>
    <row r="23" spans="1:11">
      <c r="A23" s="230" t="s">
        <v>804</v>
      </c>
      <c r="B23" s="416">
        <v>0</v>
      </c>
      <c r="C23" s="395"/>
      <c r="D23" s="369">
        <v>0.64600000000000002</v>
      </c>
      <c r="F23" s="665">
        <v>0</v>
      </c>
      <c r="G23" s="395"/>
      <c r="H23" s="369">
        <v>0.9577</v>
      </c>
      <c r="J23" s="665">
        <v>0.56940000000000002</v>
      </c>
      <c r="K23" s="395"/>
    </row>
    <row r="24" spans="1:11">
      <c r="A24" s="230" t="s">
        <v>805</v>
      </c>
      <c r="B24" s="416">
        <v>0</v>
      </c>
      <c r="C24" s="395"/>
      <c r="D24" s="369">
        <v>0</v>
      </c>
      <c r="F24" s="665">
        <v>0.54500000000000004</v>
      </c>
      <c r="G24" s="395"/>
      <c r="H24" s="369">
        <v>0</v>
      </c>
      <c r="J24" s="665">
        <v>0</v>
      </c>
      <c r="K24" s="395"/>
    </row>
    <row r="25" spans="1:11">
      <c r="A25" s="661" t="s">
        <v>811</v>
      </c>
      <c r="B25" s="416"/>
      <c r="C25" s="395"/>
      <c r="D25" s="369"/>
      <c r="F25" s="665">
        <v>5.9900000000000002E-2</v>
      </c>
      <c r="G25" s="395"/>
      <c r="H25" s="369">
        <v>0</v>
      </c>
      <c r="J25" s="665">
        <v>0</v>
      </c>
      <c r="K25" s="395"/>
    </row>
    <row r="26" spans="1:11">
      <c r="A26" s="661" t="s">
        <v>815</v>
      </c>
      <c r="B26" s="416"/>
      <c r="C26" s="395"/>
      <c r="D26" s="369"/>
      <c r="F26" s="665">
        <v>0.22159999999999999</v>
      </c>
      <c r="G26" s="395"/>
      <c r="H26" s="369"/>
      <c r="J26" s="665"/>
      <c r="K26" s="395"/>
    </row>
    <row r="27" spans="1:11">
      <c r="A27" s="230" t="s">
        <v>806</v>
      </c>
      <c r="B27" s="416">
        <f>1-SUM(B21:B24)</f>
        <v>6.9999999999999951E-2</v>
      </c>
      <c r="C27" s="395"/>
      <c r="D27" s="382">
        <f>1-SUM(D21:D24)</f>
        <v>0.34919999999999995</v>
      </c>
      <c r="F27" s="416">
        <f>1-SUM(F21:F26)</f>
        <v>0.16591550769961938</v>
      </c>
      <c r="G27" s="395"/>
      <c r="H27" s="382">
        <f>1-SUM(H21:H24)</f>
        <v>4.2300000000000004E-2</v>
      </c>
      <c r="J27" s="416">
        <f>1-SUM(J21:J24)</f>
        <v>0.43059999999999998</v>
      </c>
      <c r="K27" s="395"/>
    </row>
    <row r="28" spans="1:11">
      <c r="A28" s="178" t="s">
        <v>862</v>
      </c>
      <c r="B28" s="663"/>
      <c r="C28" s="394"/>
      <c r="D28" s="392"/>
      <c r="E28" s="392"/>
      <c r="F28" s="393"/>
      <c r="G28" s="394"/>
      <c r="H28" s="392"/>
      <c r="I28" s="392"/>
      <c r="J28" s="393"/>
      <c r="K28" s="394"/>
    </row>
    <row r="29" spans="1:11" s="349" customFormat="1">
      <c r="A29" s="347" t="s">
        <v>800</v>
      </c>
      <c r="B29" s="390">
        <f>B$18*B21</f>
        <v>0</v>
      </c>
      <c r="C29" s="348"/>
      <c r="D29" s="389">
        <f>D$18*D21</f>
        <v>0</v>
      </c>
      <c r="F29" s="390">
        <f t="shared" ref="F29:F35" si="0">F$18*F21</f>
        <v>0</v>
      </c>
      <c r="G29" s="348"/>
      <c r="H29" s="389">
        <f>H$18*H21</f>
        <v>0</v>
      </c>
      <c r="J29" s="390">
        <f>J$18*J21</f>
        <v>0</v>
      </c>
      <c r="K29" s="348"/>
    </row>
    <row r="30" spans="1:11" s="349" customFormat="1">
      <c r="A30" s="347" t="s">
        <v>802</v>
      </c>
      <c r="B30" s="390">
        <f>B$18*B22</f>
        <v>0</v>
      </c>
      <c r="C30" s="348"/>
      <c r="D30" s="389">
        <f>D$18*D22</f>
        <v>0.70211999999999997</v>
      </c>
      <c r="F30" s="390">
        <f t="shared" si="0"/>
        <v>1.7084827355837366</v>
      </c>
      <c r="G30" s="348"/>
      <c r="H30" s="389">
        <f>H$18*H22</f>
        <v>0</v>
      </c>
      <c r="J30" s="390">
        <f>J$18*J22</f>
        <v>0</v>
      </c>
      <c r="K30" s="348"/>
    </row>
    <row r="31" spans="1:11" s="349" customFormat="1">
      <c r="A31" s="347" t="s">
        <v>804</v>
      </c>
      <c r="B31" s="390">
        <f>B$18*B23</f>
        <v>0</v>
      </c>
      <c r="C31" s="348"/>
      <c r="D31" s="389">
        <f>D$18*D23</f>
        <v>94.493650000000002</v>
      </c>
      <c r="F31" s="390">
        <f t="shared" si="0"/>
        <v>0</v>
      </c>
      <c r="G31" s="348"/>
      <c r="H31" s="389">
        <f>H$18*H23</f>
        <v>2.3904192000000002</v>
      </c>
      <c r="J31" s="390">
        <f>J$18*J23</f>
        <v>4.0934166000000003</v>
      </c>
      <c r="K31" s="348"/>
    </row>
    <row r="32" spans="1:11" s="349" customFormat="1">
      <c r="A32" s="347" t="s">
        <v>805</v>
      </c>
      <c r="B32" s="390">
        <f>B$18*B24</f>
        <v>0</v>
      </c>
      <c r="C32" s="348"/>
      <c r="D32" s="389">
        <f>D$18*D24</f>
        <v>0</v>
      </c>
      <c r="F32" s="390">
        <f t="shared" si="0"/>
        <v>122.7667</v>
      </c>
      <c r="G32" s="348"/>
      <c r="H32" s="389">
        <f>H$18*H24</f>
        <v>0</v>
      </c>
      <c r="J32" s="390">
        <f>J$18*J24</f>
        <v>0</v>
      </c>
      <c r="K32" s="348"/>
    </row>
    <row r="33" spans="1:11" s="349" customFormat="1">
      <c r="A33" s="749" t="s">
        <v>811</v>
      </c>
      <c r="B33" s="390"/>
      <c r="C33" s="348"/>
      <c r="D33" s="389"/>
      <c r="F33" s="390">
        <f t="shared" si="0"/>
        <v>13.493074</v>
      </c>
      <c r="G33" s="348"/>
      <c r="H33" s="389">
        <f>H$18*H25</f>
        <v>0</v>
      </c>
      <c r="J33" s="390">
        <f>J$18*J25</f>
        <v>0</v>
      </c>
      <c r="K33" s="348"/>
    </row>
    <row r="34" spans="1:11" s="349" customFormat="1">
      <c r="A34" s="661" t="s">
        <v>815</v>
      </c>
      <c r="B34" s="390"/>
      <c r="C34" s="348"/>
      <c r="D34" s="389"/>
      <c r="F34" s="390">
        <f t="shared" si="0"/>
        <v>49.917615999999995</v>
      </c>
      <c r="G34" s="348"/>
      <c r="H34" s="389"/>
      <c r="J34" s="390"/>
      <c r="K34" s="348"/>
    </row>
    <row r="35" spans="1:11" s="349" customFormat="1">
      <c r="A35" s="503" t="s">
        <v>806</v>
      </c>
      <c r="B35" s="751">
        <f>B$18*B27</f>
        <v>0</v>
      </c>
      <c r="C35" s="502"/>
      <c r="D35" s="603">
        <f>D$18*D27</f>
        <v>51.079229999999995</v>
      </c>
      <c r="E35" s="505"/>
      <c r="F35" s="751">
        <f t="shared" si="0"/>
        <v>37.374127264416259</v>
      </c>
      <c r="G35" s="502"/>
      <c r="H35" s="603">
        <f>H$18*H27</f>
        <v>0.10558080000000002</v>
      </c>
      <c r="I35" s="505"/>
      <c r="J35" s="751">
        <f>J$18*J27</f>
        <v>3.0955833999999998</v>
      </c>
      <c r="K35" s="502"/>
    </row>
    <row r="36" spans="1:11" s="349" customFormat="1">
      <c r="A36" s="510" t="s">
        <v>816</v>
      </c>
      <c r="B36" s="347">
        <f>B$29*(1+(GREET1_Import_Export!$F$179*GREET1_Import_Export!$B180+GREET1_Import_Export!$F180)/1000000)+B$30*(1+(GREET1_Import_Export!$H$179*GREET1_Import_Export!$B180+GREET1_Import_Export!$H180)/1000000)+B$31*(1+GREET1_Import_Export!$B216/1000000)+B$32*(1+GREET1_Import_Export!$B284/1000000)+B$35*(GREET1_Import_Export!$B309+GREET1_Import_Export!$C309)/1000000</f>
        <v>0</v>
      </c>
      <c r="C36" s="348"/>
      <c r="D36" s="349">
        <f>D$29*(1+(GREET1_Import_Export!$F$179*GREET1_Import_Export!$B180+GREET1_Import_Export!$F180)/1000000)+D$30*(1+(GREET1_Import_Export!$G$179*GREET1_Import_Export!$B180+GREET1_Import_Export!$G180)/1000000)+D$31*(1+GREET1_Import_Export!$B216/1000000)+D$32*(1+GREET1_Import_Export!$B284/1000000)+D$35*(GREET1_Import_Export!$B309+GREET1_Import_Export!$C309)/1000000</f>
        <v>208.76705181012653</v>
      </c>
      <c r="F36" s="347">
        <f ca="1">F$29*(1+(GREET1_Import_Export!$F$179*GREET1_Import_Export!$B180+GREET1_Import_Export!$F180)/1000000)+F$30*(1+(GREET1_Import_Export!$G$179*GREET1_Import_Export!$B180+GREET1_Import_Export!$G180)/1000000)+F$31*(1+GREET1_Import_Export!$B216/1000000)+F$32*(1+GREET1_Import_Export!$B284/1000000)+F$33*1000000/GREET1_Import_Export!$B$40*Steel!$B108+F$34*1000000/GREET1_Import_Export!$B$40*Steel!$B108+F$35*(GREET1_Import_Export!$B309+GREET1_Import_Export!$C309)/1000000</f>
        <v>277.59310743537952</v>
      </c>
      <c r="G36" s="348"/>
      <c r="H36" s="349">
        <f>H$29*(1+(GREET1_Import_Export!$F$179*GREET1_Import_Export!$B180+GREET1_Import_Export!$F180)/1000000)+H$30*(1+(GREET1_Import_Export!$G$179*GREET1_Import_Export!$B180+GREET1_Import_Export!$G180)/1000000)+H$31*(1+GREET1_Import_Export!$B216/1000000)+H$32*(1+GREET1_Import_Export!$B284/1000000)+H$33*(1+(GREET1_Import_Export!$B180*GREET1_Import_Export!$I$179+GREET1_Import_Export!$I180)/1000000)+H$35*(GREET1_Import_Export!$B309+GREET1_Import_Export!$C309)/1000000</f>
        <v>2.8537588389710637</v>
      </c>
      <c r="J36" s="347">
        <f>J$29*(1+(GREET1_Import_Export!$F$179*GREET1_Import_Export!$B180+GREET1_Import_Export!$F180)/1000000)+J$30*(1+(GREET1_Import_Export!$G$179*GREET1_Import_Export!$B180+GREET1_Import_Export!$G180)/1000000)+J$31*(1+GREET1_Import_Export!$B216/1000000)+J$32*(1+GREET1_Import_Export!$B284/1000000)+J$33*(1+(GREET1_Import_Export!$B180*GREET1_Import_Export!$I$179+GREET1_Import_Export!$I180)/1000000)+J$35*(GREET1_Import_Export!$B309+GREET1_Import_Export!$C309)/1000000</f>
        <v>10.798194729398883</v>
      </c>
      <c r="K36" s="348"/>
    </row>
    <row r="37" spans="1:11" s="349" customFormat="1">
      <c r="A37" s="347" t="s">
        <v>817</v>
      </c>
      <c r="B37" s="347">
        <f>B$29*(1+(GREET1_Import_Export!$F$179*GREET1_Import_Export!$B181+GREET1_Import_Export!$F181)/1000000)+B$30*(1+(GREET1_Import_Export!$H$179*GREET1_Import_Export!$B181+GREET1_Import_Export!$H181)/1000000)+B$31*(1+GREET1_Import_Export!$B217/1000000)+B$32*(1+GREET1_Import_Export!$B285/1000000)+B$35*(GREET1_Import_Export!$B310+GREET1_Import_Export!$C310)/1000000</f>
        <v>0</v>
      </c>
      <c r="C37" s="348"/>
      <c r="D37" s="349">
        <f>D$29*(1+(GREET1_Import_Export!$F$179*GREET1_Import_Export!$B181+GREET1_Import_Export!$F181)/1000000)+D$30*(1+(GREET1_Import_Export!$G$179*GREET1_Import_Export!$B181+GREET1_Import_Export!$G181)/1000000)+D$31*(1+GREET1_Import_Export!$B217/1000000)+D$32*(1+GREET1_Import_Export!$B285/1000000)+D$35*(GREET1_Import_Export!$B310+GREET1_Import_Export!$C310)/1000000</f>
        <v>187.14696419017426</v>
      </c>
      <c r="F37" s="347">
        <f ca="1">F$29*(1+(GREET1_Import_Export!$F$179*GREET1_Import_Export!$B181+GREET1_Import_Export!$F181)/1000000)+F$30*(1+(GREET1_Import_Export!$G$179*GREET1_Import_Export!$B181+GREET1_Import_Export!$G181)/1000000)+F$31*(1+GREET1_Import_Export!$B217/1000000)+F$32*(1+GREET1_Import_Export!$B285/1000000)+F$33*1000000/GREET1_Import_Export!$B$40*Steel!$B109+F$34*1000000/GREET1_Import_Export!$B$40*Steel!$B109+F$35*(GREET1_Import_Export!$B310+GREET1_Import_Export!$C310)/1000000</f>
        <v>261.50576664861882</v>
      </c>
      <c r="G37" s="348"/>
      <c r="H37" s="349">
        <f>H$29*(1+(GREET1_Import_Export!$F$179*GREET1_Import_Export!$B181+GREET1_Import_Export!$F181)/1000000)+H$30*(1+(GREET1_Import_Export!$G$179*GREET1_Import_Export!$B181+GREET1_Import_Export!$G181)/1000000)+H$31*(1+GREET1_Import_Export!$B217/1000000)+H$32*(1+GREET1_Import_Export!$B285/1000000)+H$33*(1+(GREET1_Import_Export!$B181*GREET1_Import_Export!$I$179+GREET1_Import_Export!$I181)/1000000)+H$35*(GREET1_Import_Export!$B310+GREET1_Import_Export!$C310)/1000000</f>
        <v>2.8074395582652873</v>
      </c>
      <c r="J37" s="347">
        <f>J$29*(1+(GREET1_Import_Export!$F$179*GREET1_Import_Export!$B181+GREET1_Import_Export!$F181)/1000000)+J$30*(1+(GREET1_Import_Export!$G$179*GREET1_Import_Export!$B181+GREET1_Import_Export!$G181)/1000000)+J$31*(1+GREET1_Import_Export!$B217/1000000)+J$32*(1+GREET1_Import_Export!$B285/1000000)+J$33*(1+(GREET1_Import_Export!$B181*GREET1_Import_Export!$I$179+GREET1_Import_Export!$I181)/1000000)+J$35*(GREET1_Import_Export!$B310+GREET1_Import_Export!$C310)/1000000</f>
        <v>9.4894019525518409</v>
      </c>
      <c r="K37" s="348"/>
    </row>
    <row r="38" spans="1:11" s="349" customFormat="1">
      <c r="A38" s="347" t="s">
        <v>805</v>
      </c>
      <c r="B38" s="347">
        <f>B$29*(GREET1_Import_Export!$F$179*GREET1_Import_Export!$B182+GREET1_Import_Export!$F182)/1000000+B$30*(GREET1_Import_Export!$H$179*GREET1_Import_Export!$B182+GREET1_Import_Export!$H182)/1000000+B$31*GREET1_Import_Export!$B218/1000000+B$32*(1+GREET1_Import_Export!$B286/1000000)+B$35*(GREET1_Import_Export!$B311+GREET1_Import_Export!$C311)/1000000</f>
        <v>0</v>
      </c>
      <c r="C38" s="348"/>
      <c r="D38" s="349">
        <f>D$29*(GREET1_Import_Export!$F$179*GREET1_Import_Export!$B182+GREET1_Import_Export!$F182)/1000000+D$30*(GREET1_Import_Export!$G$179*GREET1_Import_Export!$B182+GREET1_Import_Export!$G182)/1000000+D$31*GREET1_Import_Export!$B218/1000000+D$32*(1+GREET1_Import_Export!$B286/1000000)+D$35*(GREET1_Import_Export!$B311+GREET1_Import_Export!$C311)/1000000</f>
        <v>28.57978597351492</v>
      </c>
      <c r="F38" s="347">
        <f ca="1">F$29*((GREET1_Import_Export!$F$179*GREET1_Import_Export!$B182+GREET1_Import_Export!$F182)/1000000)+F$30*((GREET1_Import_Export!$G$179*GREET1_Import_Export!$B182+GREET1_Import_Export!$G182)/1000000)+F$31*(GREET1_Import_Export!$B218/1000000)+F$32*(1+GREET1_Import_Export!$B286/1000000)+F$33*1000000/GREET1_Import_Export!$B$40*Steel!$B110+F$34*1000000/GREET1_Import_Export!$B$40*Steel!$B110+F$35*(GREET1_Import_Export!$B311+GREET1_Import_Export!$C311)/1000000</f>
        <v>215.12869502564459</v>
      </c>
      <c r="G38" s="348"/>
      <c r="H38" s="349">
        <f>H$29*((GREET1_Import_Export!$F$179*GREET1_Import_Export!$B182+GREET1_Import_Export!$F182)/1000000)+H$30*((GREET1_Import_Export!$G$179*GREET1_Import_Export!$B182+GREET1_Import_Export!$G182)/1000000)+H$31*(GREET1_Import_Export!$B218/1000000)+H$32*(1+GREET1_Import_Export!$B286/1000000)+H$33*((GREET1_Import_Export!$B182*GREET1_Import_Export!$I$179+GREET1_Import_Export!$I182)/1000000)+H$35*(GREET1_Import_Export!$B311+GREET1_Import_Export!$C311)/1000000</f>
        <v>6.12278344659829E-2</v>
      </c>
      <c r="J38" s="347">
        <f>J$29*((GREET1_Import_Export!$F$179*GREET1_Import_Export!$B182+GREET1_Import_Export!$F182)/1000000)+J$30*((GREET1_Import_Export!$G$179*GREET1_Import_Export!$B182+GREET1_Import_Export!$G182)/1000000)+J$31*(GREET1_Import_Export!$B218/1000000)+J$32*(1+GREET1_Import_Export!$B286/1000000)+J$33*((GREET1_Import_Export!$B182*GREET1_Import_Export!$I$179+GREET1_Import_Export!$I182)/1000000)+J$35*(GREET1_Import_Export!$B311+GREET1_Import_Export!$C311)/1000000</f>
        <v>1.7301193181042782</v>
      </c>
      <c r="K38" s="348"/>
    </row>
    <row r="39" spans="1:11" s="349" customFormat="1">
      <c r="A39" s="347" t="s">
        <v>804</v>
      </c>
      <c r="B39" s="347">
        <f>B37-B38-B40</f>
        <v>0</v>
      </c>
      <c r="C39" s="348"/>
      <c r="D39" s="349">
        <f>D37-D38-D40</f>
        <v>156.5620867337098</v>
      </c>
      <c r="F39" s="347">
        <f ca="1">F37-F38-F40</f>
        <v>41.102923760619539</v>
      </c>
      <c r="G39" s="348"/>
      <c r="H39" s="349">
        <f>H37-H38-H40</f>
        <v>2.7347742043792489</v>
      </c>
      <c r="J39" s="347">
        <f>J37-J38-J40</f>
        <v>7.6888506858190162</v>
      </c>
      <c r="K39" s="348"/>
    </row>
    <row r="40" spans="1:11" s="349" customFormat="1">
      <c r="A40" s="347" t="s">
        <v>818</v>
      </c>
      <c r="B40" s="347">
        <f>B$29*(1+(GREET1_Import_Export!$F$179*GREET1_Import_Export!$B184+GREET1_Import_Export!$F184)/1000000)+B$30*(1+(GREET1_Import_Export!$H$179*GREET1_Import_Export!$B184+GREET1_Import_Export!$H184)/1000000)+B$31*GREET1_Import_Export!$B220/1000000+B$32*GREET1_Import_Export!$B288/1000000+B$35*(GREET1_Import_Export!$B313+GREET1_Import_Export!$C313)/1000000</f>
        <v>0</v>
      </c>
      <c r="C40" s="348"/>
      <c r="D40" s="349">
        <f>D$29*(1+(GREET1_Import_Export!$F$179*GREET1_Import_Export!$B184+GREET1_Import_Export!$F184)/1000000)+D$30*(1+(GREET1_Import_Export!$G$179*GREET1_Import_Export!$B184+GREET1_Import_Export!$G184)/1000000)+D$31*GREET1_Import_Export!$B220/1000000+D$32*GREET1_Import_Export!$B288/1000000+D$35*(GREET1_Import_Export!$B313+GREET1_Import_Export!$C313)/1000000</f>
        <v>2.0050914829495348</v>
      </c>
      <c r="F40" s="347">
        <f ca="1">F$29*(1+(GREET1_Import_Export!$F$179*GREET1_Import_Export!$B184+GREET1_Import_Export!$F184)/1000000)+F$30*(1+(GREET1_Import_Export!$G$179*GREET1_Import_Export!$B184+GREET1_Import_Export!$G184)/1000000)+F$31*(GREET1_Import_Export!$B220/1000000)+F$32*(GREET1_Import_Export!$B288/1000000)+F$33*1000000/GREET1_Import_Export!$B$40*Steel!$B112+F$34*1000000/GREET1_Import_Export!$B$40*Steel!$B112+F$35*(GREET1_Import_Export!$B313+GREET1_Import_Export!$C313)/1000000</f>
        <v>5.2741478623546909</v>
      </c>
      <c r="G40" s="348"/>
      <c r="H40" s="349">
        <f>H$29*(1+(GREET1_Import_Export!$F$179*GREET1_Import_Export!$B184+GREET1_Import_Export!$F184)/1000000)+H$30*(1+(GREET1_Import_Export!$G$179*GREET1_Import_Export!$B184+GREET1_Import_Export!$G184)/1000000)+H$31*(GREET1_Import_Export!$B220/1000000)+H$32*(GREET1_Import_Export!$B288/1000000)+H$33*(1+(GREET1_Import_Export!$B184*GREET1_Import_Export!$I$179+GREET1_Import_Export!$I184)/1000000)+H$35*(GREET1_Import_Export!$B313+GREET1_Import_Export!$C313)/1000000</f>
        <v>1.1437519420055902E-2</v>
      </c>
      <c r="J40" s="347">
        <f>J$29*(1+(GREET1_Import_Export!$F$179*GREET1_Import_Export!$B184+GREET1_Import_Export!$F184)/1000000)+J$30*(1+(GREET1_Import_Export!$G$179*GREET1_Import_Export!$B184+GREET1_Import_Export!$G184)/1000000)+J$31*(GREET1_Import_Export!$B220/1000000)+J$32*(GREET1_Import_Export!$B288/1000000)+J$33*(1+(GREET1_Import_Export!$B184*GREET1_Import_Export!$I$179+GREET1_Import_Export!$I184)/1000000)+J$35*(GREET1_Import_Export!$B313+GREET1_Import_Export!$C313)/1000000</f>
        <v>7.043194862854657E-2</v>
      </c>
      <c r="K40" s="348"/>
    </row>
    <row r="41" spans="1:11" s="349" customFormat="1">
      <c r="A41" s="771" t="s">
        <v>819</v>
      </c>
      <c r="B41" s="650">
        <f>B$29*((GREET1_Import_Export!$F$179*GREET1_Import_Export!$B185+GREET1_Import_Export!$F185))+B$30*((GREET1_Import_Export!$H$179*GREET1_Import_Export!$B185+GREET1_Import_Export!$H185))+B$31*GREET1_Import_Export!$B221+B$32*GREET1_Import_Export!$B289+B$35*(GREET1_Import_Export!$B314+GREET1_Import_Export!$C314)</f>
        <v>0</v>
      </c>
      <c r="C41" s="516"/>
      <c r="D41" s="158">
        <f>D$29*((GREET1_Import_Export!$F$179*GREET1_Import_Export!$B185+GREET1_Import_Export!$F185))+D$30*((GREET1_Import_Export!$G$179*GREET1_Import_Export!$B185+GREET1_Import_Export!$G185))+D$31*GREET1_Import_Export!$B221+D$32*GREET1_Import_Export!$B289+D$35*(GREET1_Import_Export!$B314+GREET1_Import_Export!$C314)</f>
        <v>5858.1078528991748</v>
      </c>
      <c r="E41" s="419"/>
      <c r="F41" s="250">
        <f ca="1">F$29*((GREET1_Import_Export!$F$179*GREET1_Import_Export!$B185+GREET1_Import_Export!$F185))+F$30*((GREET1_Import_Export!$G$179*GREET1_Import_Export!$B185+GREET1_Import_Export!$G185))+F$31*(GREET1_Import_Export!$B221)+F$32*(GREET1_Import_Export!$B289)+F$33*1000000/GREET1_Import_Export!$B$40*Steel!$B113+F$34*1000000/GREET1_Import_Export!$B$40*Steel!$B113+F$35*(GREET1_Import_Export!$B314+GREET1_Import_Export!$C314)</f>
        <v>4833.1635328402372</v>
      </c>
      <c r="G41" s="516"/>
      <c r="H41" s="47">
        <f>H$29*((GREET1_Import_Export!$F$179*GREET1_Import_Export!$B185+GREET1_Import_Export!$F185))+H$30*((GREET1_Import_Export!$G$179*GREET1_Import_Export!$B185+GREET1_Import_Export!$G185))+H$31*(GREET1_Import_Export!$B221)+H$32*(GREET1_Import_Export!$B289)+H$33*((GREET1_Import_Export!$B185*GREET1_Import_Export!$I$179+GREET1_Import_Export!$I185))+H$35*(GREET1_Import_Export!$B314+GREET1_Import_Export!$C314)</f>
        <v>18.842384778758117</v>
      </c>
      <c r="I41" s="419"/>
      <c r="J41" s="250">
        <f>J$29*((GREET1_Import_Export!$F$179*GREET1_Import_Export!$B185+GREET1_Import_Export!$F185))+J$30*((GREET1_Import_Export!$G$179*GREET1_Import_Export!$B185+GREET1_Import_Export!$G185))+J$31*(GREET1_Import_Export!$B221)+J$32*(GREET1_Import_Export!$B289)+J$33*((GREET1_Import_Export!$B185*GREET1_Import_Export!$I$179+GREET1_Import_Export!$I185))+J$35*(GREET1_Import_Export!$B314+GREET1_Import_Export!$C314)</f>
        <v>349.06058485621531</v>
      </c>
      <c r="K41" s="516"/>
    </row>
    <row r="42" spans="1:11" s="349" customFormat="1">
      <c r="A42" s="795" t="s">
        <v>864</v>
      </c>
      <c r="B42" s="510"/>
      <c r="C42" s="509"/>
      <c r="D42" s="510"/>
      <c r="E42" s="509"/>
      <c r="F42" s="510"/>
      <c r="G42" s="509"/>
      <c r="H42" s="510"/>
      <c r="I42" s="509"/>
      <c r="J42" s="510"/>
      <c r="K42" s="509"/>
    </row>
    <row r="43" spans="1:11" s="349" customFormat="1">
      <c r="A43" s="494" t="s">
        <v>821</v>
      </c>
      <c r="B43" s="347">
        <f>B$29*(B$8*GREET1_Import_Export!$K72+GREET1_Import_Export!$F$179*GREET1_Import_Export!$B186+GREET1_Import_Export!$F186)+B$30*(B$12*GREET1_Import_Export!$R72+B$13*GREET1_Import_Export!$I146+GREET1_Import_Export!$H$179*GREET1_Import_Export!$B186+GREET1_Import_Export!$H186)+B$31*(B$9*GREET1_Import_Export!$B72+B$10*GREET1_Import_Export!$I118+GREET1_Import_Export!$B222)+B$32*(B$11*GREET1_Import_Export!$AA72+GREET1_Import_Export!$B290)+B$35*(GREET1_Import_Export!$B315+GREET1_Import_Export!$C315)</f>
        <v>0</v>
      </c>
      <c r="C43" s="348"/>
      <c r="D43" s="347">
        <f>D$29*(GREET1_Import_Export!$K72+GREET1_Import_Export!$F$179*GREET1_Import_Export!$B186+GREET1_Import_Export!$F186)+D$30*(GREET1_Import_Export!$O72+GREET1_Import_Export!$G$179*GREET1_Import_Export!$B186+GREET1_Import_Export!$G186)+D$31*(GREET1_Import_Export!$B72+GREET1_Import_Export!$B222)+D$32*(GREET1_Import_Export!$AA72+GREET1_Import_Export!$B290)+D$35*(GREET1_Import_Export!$B315+GREET1_Import_Export!$C315)</f>
        <v>1926.4483900795028</v>
      </c>
      <c r="E43" s="348"/>
      <c r="F43" s="347">
        <f ca="1">F$29*(GREET1_Import_Export!$K72+GREET1_Import_Export!$F$179*GREET1_Import_Export!$B186+GREET1_Import_Export!$F186)+F$30*(GREET1_Import_Export!$O72+GREET1_Import_Export!$G$179*GREET1_Import_Export!$B186+GREET1_Import_Export!$G186)+F$31*(GREET1_Import_Export!$B72+GREET1_Import_Export!$B222)+F$32*(GREET1_Import_Export!$AA72+GREET1_Import_Export!$B290)+F$33*(GREET1_Import_Export!$AC72+1000000/GREET1_Import_Export!$B$40*Steel!B115)+F$34*('GREET2_Factors_T&amp;D'!$D15+1000000/GREET1_Import_Export!$B$40*Steel!B115)+F$35*(GREET1_Import_Export!$B315+GREET1_Import_Export!$C315)</f>
        <v>7822.8122355267697</v>
      </c>
      <c r="G43" s="348"/>
      <c r="H43" s="347">
        <f>H$29*(GREET1_Import_Export!$K72+GREET1_Import_Export!$F$179*GREET1_Import_Export!$B186+GREET1_Import_Export!$F186)+H$30*(GREET1_Import_Export!$O72+GREET1_Import_Export!$G$179*GREET1_Import_Export!$B186+GREET1_Import_Export!$G186)+H$31*(GREET1_Import_Export!$B72+GREET1_Import_Export!$B222)+H$32*(GREET1_Import_Export!$AA72+GREET1_Import_Export!$B290)+H$33*(GREET1_Import_Export!$AC72+GREET1_Import_Export!$B186*GREET1_Import_Export!$I$179+GREET1_Import_Export!$I186)+H$35*(GREET1_Import_Export!$B315+GREET1_Import_Export!$C315)</f>
        <v>32.124600731697527</v>
      </c>
      <c r="I43" s="348"/>
      <c r="J43" s="347">
        <f>J$29*(GREET1_Import_Export!$K72+GREET1_Import_Export!$F$179*GREET1_Import_Export!$B186+GREET1_Import_Export!$F186)+J$30*(GREET1_Import_Export!$O72+GREET1_Import_Export!$G$179*GREET1_Import_Export!$B186+GREET1_Import_Export!$G186)+J$31*(GREET1_Import_Export!$B72+GREET1_Import_Export!$B222)+J$32*(GREET1_Import_Export!$AA72+GREET1_Import_Export!$B290)+J$33*(GREET1_Import_Export!$AC72+GREET1_Import_Export!$B186*GREET1_Import_Export!$I$179+GREET1_Import_Export!$I186)+J$35*(GREET1_Import_Export!$B315+GREET1_Import_Export!$C315)</f>
        <v>95.400789454400694</v>
      </c>
      <c r="K43" s="348"/>
    </row>
    <row r="44" spans="1:11" s="349" customFormat="1">
      <c r="A44" s="494" t="s">
        <v>822</v>
      </c>
      <c r="B44" s="347">
        <f>B$29*(B$8*GREET1_Import_Export!$K73+GREET1_Import_Export!$F$179*GREET1_Import_Export!$B187+GREET1_Import_Export!$F187)+B$30*(B$12*GREET1_Import_Export!$R73+B$13*GREET1_Import_Export!$I147+GREET1_Import_Export!$H$179*GREET1_Import_Export!$B187+GREET1_Import_Export!$H187)+B$31*(B$9*GREET1_Import_Export!$B73+B$10*GREET1_Import_Export!$I119+GREET1_Import_Export!$B223)+B$32*(B$11*GREET1_Import_Export!$AA73+GREET1_Import_Export!$B291)+B$35*(GREET1_Import_Export!$B316+GREET1_Import_Export!$C316)</f>
        <v>0</v>
      </c>
      <c r="C44" s="348"/>
      <c r="D44" s="347">
        <f>D$29*(GREET1_Import_Export!$K73+GREET1_Import_Export!$F$179*GREET1_Import_Export!$B187+GREET1_Import_Export!$F187)+D$30*(GREET1_Import_Export!$O73+GREET1_Import_Export!$G$179*GREET1_Import_Export!$B187+GREET1_Import_Export!$G187)+D$31*(GREET1_Import_Export!$B73+GREET1_Import_Export!$B223)+D$32*(GREET1_Import_Export!$AA73+GREET1_Import_Export!$B291)+D$35*(GREET1_Import_Export!$B316+GREET1_Import_Export!$C316)</f>
        <v>7341.9993952072273</v>
      </c>
      <c r="E44" s="348"/>
      <c r="F44" s="347">
        <f ca="1">F$29*(GREET1_Import_Export!$K73+GREET1_Import_Export!$F$179*GREET1_Import_Export!$B187+GREET1_Import_Export!$F187)+F$30*(GREET1_Import_Export!$O73+GREET1_Import_Export!$G$179*GREET1_Import_Export!$B187+GREET1_Import_Export!$G187)+F$31*(GREET1_Import_Export!$B73+GREET1_Import_Export!$B223)+F$32*(GREET1_Import_Export!$AA73+GREET1_Import_Export!$B291)+F$33*(GREET1_Import_Export!$AC73+1000000/GREET1_Import_Export!$B$40*Steel!B116)+F$34*('GREET2_Factors_T&amp;D'!$D16+1000000/GREET1_Import_Export!$B$40*Steel!B116)+F$35*(GREET1_Import_Export!$B316+GREET1_Import_Export!$C316)</f>
        <v>8226.9425476249107</v>
      </c>
      <c r="G44" s="348"/>
      <c r="H44" s="347">
        <f>H$29*(GREET1_Import_Export!$K73+GREET1_Import_Export!$F$179*GREET1_Import_Export!$B187+GREET1_Import_Export!$F187)+H$30*(GREET1_Import_Export!$O73+GREET1_Import_Export!$G$179*GREET1_Import_Export!$B187+GREET1_Import_Export!$G187)+H$31*(GREET1_Import_Export!$B73+GREET1_Import_Export!$B223)+H$32*(GREET1_Import_Export!$AA73+GREET1_Import_Export!$B291)+H$33*(GREET1_Import_Export!$AC73+GREET1_Import_Export!$B187*GREET1_Import_Export!$I$179+GREET1_Import_Export!$I187)+H$35*(GREET1_Import_Export!$B316+GREET1_Import_Export!$C316)</f>
        <v>131.73649636017802</v>
      </c>
      <c r="I44" s="348"/>
      <c r="J44" s="347">
        <f>J$29*(GREET1_Import_Export!$K73+GREET1_Import_Export!$F$179*GREET1_Import_Export!$B187+GREET1_Import_Export!$F187)+J$30*(GREET1_Import_Export!$O73+GREET1_Import_Export!$G$179*GREET1_Import_Export!$B187+GREET1_Import_Export!$G187)+J$31*(GREET1_Import_Export!$B73+GREET1_Import_Export!$B223)+J$32*(GREET1_Import_Export!$AA73+GREET1_Import_Export!$B291)+J$33*(GREET1_Import_Export!$AC73+GREET1_Import_Export!$B187*GREET1_Import_Export!$I$179+GREET1_Import_Export!$I187)+J$35*(GREET1_Import_Export!$B316+GREET1_Import_Export!$C316)</f>
        <v>334.76217802780428</v>
      </c>
      <c r="K44" s="348"/>
    </row>
    <row r="45" spans="1:11" s="349" customFormat="1">
      <c r="A45" s="494" t="s">
        <v>823</v>
      </c>
      <c r="B45" s="347">
        <f>B$29*(B$8*GREET1_Import_Export!$K74+GREET1_Import_Export!$F$179*GREET1_Import_Export!$B188+GREET1_Import_Export!$F188)+B$30*(B$12*GREET1_Import_Export!$R74+B$13*GREET1_Import_Export!$I148+GREET1_Import_Export!$H$179*GREET1_Import_Export!$B188+GREET1_Import_Export!$H188)+B$31*(B$9*GREET1_Import_Export!$B74+B$10*GREET1_Import_Export!$I120+GREET1_Import_Export!$B224)+B$32*(B$11*GREET1_Import_Export!$AA74+GREET1_Import_Export!$B292)+B$35*(GREET1_Import_Export!$B317+GREET1_Import_Export!$C317)</f>
        <v>0</v>
      </c>
      <c r="C45" s="348"/>
      <c r="D45" s="347">
        <f>D$29*(GREET1_Import_Export!$K74+GREET1_Import_Export!$F$179*GREET1_Import_Export!$B188+GREET1_Import_Export!$F188)+D$30*(GREET1_Import_Export!$O74+GREET1_Import_Export!$G$179*GREET1_Import_Export!$B188+GREET1_Import_Export!$G188)+D$31*(GREET1_Import_Export!$B74+GREET1_Import_Export!$B224)+D$32*(GREET1_Import_Export!$AA74+GREET1_Import_Export!$B292)+D$35*(GREET1_Import_Export!$B317+GREET1_Import_Export!$C317)</f>
        <v>11008.621393341104</v>
      </c>
      <c r="E45" s="348"/>
      <c r="F45" s="347">
        <f ca="1">F$29*(GREET1_Import_Export!$K74+GREET1_Import_Export!$F$179*GREET1_Import_Export!$B188+GREET1_Import_Export!$F188)+F$30*(GREET1_Import_Export!$O74+GREET1_Import_Export!$G$179*GREET1_Import_Export!$B188+GREET1_Import_Export!$G188)+F$31*(GREET1_Import_Export!$B74+GREET1_Import_Export!$B224)+F$32*(GREET1_Import_Export!$AA74+GREET1_Import_Export!$B292)+F$33*(GREET1_Import_Export!$AC74+1000000/GREET1_Import_Export!$B$40*Steel!B117)+F$34*('GREET2_Factors_T&amp;D'!$D17+1000000/GREET1_Import_Export!$B$40*Steel!B117)+F$35*(GREET1_Import_Export!$B317+GREET1_Import_Export!$C317)</f>
        <v>30649.61577194772</v>
      </c>
      <c r="G45" s="348"/>
      <c r="H45" s="347">
        <f>H$29*(GREET1_Import_Export!$K74+GREET1_Import_Export!$F$179*GREET1_Import_Export!$B188+GREET1_Import_Export!$F188)+H$30*(GREET1_Import_Export!$O74+GREET1_Import_Export!$G$179*GREET1_Import_Export!$B188+GREET1_Import_Export!$G188)+H$31*(GREET1_Import_Export!$B74+GREET1_Import_Export!$B224)+H$32*(GREET1_Import_Export!$AA74+GREET1_Import_Export!$B292)+H$33*(GREET1_Import_Export!$AC74+GREET1_Import_Export!$B188*GREET1_Import_Export!$I$179+GREET1_Import_Export!$I188)+H$35*(GREET1_Import_Export!$B317+GREET1_Import_Export!$C317)</f>
        <v>181.85829436885152</v>
      </c>
      <c r="I45" s="348"/>
      <c r="J45" s="347">
        <f>J$29*(GREET1_Import_Export!$K74+GREET1_Import_Export!$F$179*GREET1_Import_Export!$B188+GREET1_Import_Export!$F188)+J$30*(GREET1_Import_Export!$O74+GREET1_Import_Export!$G$179*GREET1_Import_Export!$B188+GREET1_Import_Export!$G188)+J$31*(GREET1_Import_Export!$B74+GREET1_Import_Export!$B224)+J$32*(GREET1_Import_Export!$AA74+GREET1_Import_Export!$B292)+J$33*(GREET1_Import_Export!$AC74+GREET1_Import_Export!$B188*GREET1_Import_Export!$I$179+GREET1_Import_Export!$I188)+J$35*(GREET1_Import_Export!$B317+GREET1_Import_Export!$C317)</f>
        <v>536.3223773290224</v>
      </c>
      <c r="K45" s="348"/>
    </row>
    <row r="46" spans="1:11" s="349" customFormat="1">
      <c r="A46" s="494" t="s">
        <v>824</v>
      </c>
      <c r="B46" s="347">
        <f>B$29*(B$8*GREET1_Import_Export!$K75+GREET1_Import_Export!$F$179*GREET1_Import_Export!$B189+GREET1_Import_Export!$F189)+B$30*(B$12*GREET1_Import_Export!$R75+B$13*GREET1_Import_Export!$I149+GREET1_Import_Export!$H$179*GREET1_Import_Export!$B189+GREET1_Import_Export!$H189)+B$31*(B$9*GREET1_Import_Export!$B75+B$10*GREET1_Import_Export!$I121+GREET1_Import_Export!$B225)+B$32*(B$11*GREET1_Import_Export!$AA75+GREET1_Import_Export!$B293)+B$35*(GREET1_Import_Export!$B318+GREET1_Import_Export!$C318)</f>
        <v>0</v>
      </c>
      <c r="C46" s="348"/>
      <c r="D46" s="347">
        <f>D$29*(GREET1_Import_Export!$K75+GREET1_Import_Export!$F$179*GREET1_Import_Export!$B189+GREET1_Import_Export!$F189)+D$30*(GREET1_Import_Export!$O75+GREET1_Import_Export!$G$179*GREET1_Import_Export!$B189+GREET1_Import_Export!$G189)+D$31*(GREET1_Import_Export!$B75+GREET1_Import_Export!$B225)+D$32*(GREET1_Import_Export!$AA75+GREET1_Import_Export!$B293)+D$35*(GREET1_Import_Export!$B318+GREET1_Import_Export!$C318)</f>
        <v>1018.7147736202585</v>
      </c>
      <c r="E46" s="348"/>
      <c r="F46" s="347">
        <f ca="1">F$29*(GREET1_Import_Export!$K75+GREET1_Import_Export!$F$179*GREET1_Import_Export!$B189+GREET1_Import_Export!$F189)+F$30*(GREET1_Import_Export!$O75+GREET1_Import_Export!$G$179*GREET1_Import_Export!$B189+GREET1_Import_Export!$G189)+F$31*(GREET1_Import_Export!$B75+GREET1_Import_Export!$B225)+F$32*(GREET1_Import_Export!$AA75+GREET1_Import_Export!$B293)+F$33*(GREET1_Import_Export!$AC75+1000000/GREET1_Import_Export!$B$40*Steel!B118)+F$34*('GREET2_Factors_T&amp;D'!$D18+1000000/GREET1_Import_Export!$B$40*Steel!B118)+F$35*(GREET1_Import_Export!$B318+GREET1_Import_Export!$C318)</f>
        <v>5177.4023689792994</v>
      </c>
      <c r="G46" s="348"/>
      <c r="H46" s="347">
        <f>H$29*(GREET1_Import_Export!$K75+GREET1_Import_Export!$F$179*GREET1_Import_Export!$B189+GREET1_Import_Export!$F189)+H$30*(GREET1_Import_Export!$O75+GREET1_Import_Export!$G$179*GREET1_Import_Export!$B189+GREET1_Import_Export!$G189)+H$31*(GREET1_Import_Export!$B75+GREET1_Import_Export!$B225)+H$32*(GREET1_Import_Export!$AA75+GREET1_Import_Export!$B293)+H$33*(GREET1_Import_Export!$AC75+GREET1_Import_Export!$B189*GREET1_Import_Export!$I$179+GREET1_Import_Export!$I189)+H$35*(GREET1_Import_Export!$B318+GREET1_Import_Export!$C318)</f>
        <v>10.69136219287191</v>
      </c>
      <c r="I46" s="348"/>
      <c r="J46" s="347">
        <f>J$29*(GREET1_Import_Export!$K75+GREET1_Import_Export!$F$179*GREET1_Import_Export!$B189+GREET1_Import_Export!$F189)+J$30*(GREET1_Import_Export!$O75+GREET1_Import_Export!$G$179*GREET1_Import_Export!$B189+GREET1_Import_Export!$G189)+J$31*(GREET1_Import_Export!$B75+GREET1_Import_Export!$B225)+J$32*(GREET1_Import_Export!$AA75+GREET1_Import_Export!$B293)+J$33*(GREET1_Import_Export!$AC75+GREET1_Import_Export!$B189*GREET1_Import_Export!$I$179+GREET1_Import_Export!$I189)+J$35*(GREET1_Import_Export!$B318+GREET1_Import_Export!$C318)</f>
        <v>54.309876048172796</v>
      </c>
      <c r="K46" s="348"/>
    </row>
    <row r="47" spans="1:11" s="349" customFormat="1">
      <c r="A47" s="494" t="s">
        <v>825</v>
      </c>
      <c r="B47" s="347">
        <f>B$29*(B$8*GREET1_Import_Export!$K76+GREET1_Import_Export!$F$179*GREET1_Import_Export!$B190+GREET1_Import_Export!$F190)+B$30*(B$12*GREET1_Import_Export!$R76+B$13*GREET1_Import_Export!$I150+GREET1_Import_Export!$H$179*GREET1_Import_Export!$B190+GREET1_Import_Export!$H190)+B$31*(B$9*GREET1_Import_Export!$B76+B$10*GREET1_Import_Export!$I122+GREET1_Import_Export!$B226)+B$32*(B$11*GREET1_Import_Export!$AA76+GREET1_Import_Export!$B294)+B$35*(GREET1_Import_Export!$B319+GREET1_Import_Export!$C319)</f>
        <v>0</v>
      </c>
      <c r="C47" s="348"/>
      <c r="D47" s="347">
        <f>D$29*(GREET1_Import_Export!$K76+GREET1_Import_Export!$F$179*GREET1_Import_Export!$B190+GREET1_Import_Export!$F190)+D$30*(GREET1_Import_Export!$O76+GREET1_Import_Export!$G$179*GREET1_Import_Export!$B190+GREET1_Import_Export!$G190)+D$31*(GREET1_Import_Export!$B76+GREET1_Import_Export!$B226)+D$32*(GREET1_Import_Export!$AA76+GREET1_Import_Export!$B294)+D$35*(GREET1_Import_Export!$B319+GREET1_Import_Export!$C319)</f>
        <v>762.31616644669157</v>
      </c>
      <c r="E47" s="348"/>
      <c r="F47" s="347">
        <f ca="1">F$29*(GREET1_Import_Export!$K76+GREET1_Import_Export!$F$179*GREET1_Import_Export!$B190+GREET1_Import_Export!$F190)+F$30*(GREET1_Import_Export!$O76+GREET1_Import_Export!$G$179*GREET1_Import_Export!$B190+GREET1_Import_Export!$G190)+F$31*(GREET1_Import_Export!$B76+GREET1_Import_Export!$B226)+F$32*(GREET1_Import_Export!$AA76+GREET1_Import_Export!$B294)+F$33*(GREET1_Import_Export!$AC76+1000000/GREET1_Import_Export!$B$40*Steel!B119)+F$34*('GREET2_Factors_T&amp;D'!$D19+1000000/GREET1_Import_Export!$B$40*Steel!B119)+F$35*(GREET1_Import_Export!$B319+GREET1_Import_Export!$C319)</f>
        <v>2328.681249991781</v>
      </c>
      <c r="G47" s="348"/>
      <c r="H47" s="347">
        <f>H$29*(GREET1_Import_Export!$K76+GREET1_Import_Export!$F$179*GREET1_Import_Export!$B190+GREET1_Import_Export!$F190)+H$30*(GREET1_Import_Export!$O76+GREET1_Import_Export!$G$179*GREET1_Import_Export!$B190+GREET1_Import_Export!$G190)+H$31*(GREET1_Import_Export!$B76+GREET1_Import_Export!$B226)+H$32*(GREET1_Import_Export!$AA76+GREET1_Import_Export!$B294)+H$33*(GREET1_Import_Export!$AC76+GREET1_Import_Export!$B190*GREET1_Import_Export!$I$179+GREET1_Import_Export!$I190)+H$35*(GREET1_Import_Export!$B319+GREET1_Import_Export!$C319)</f>
        <v>10.071241916639561</v>
      </c>
      <c r="I47" s="348"/>
      <c r="J47" s="347">
        <f>J$29*(GREET1_Import_Export!$K76+GREET1_Import_Export!$F$179*GREET1_Import_Export!$B190+GREET1_Import_Export!$F190)+J$30*(GREET1_Import_Export!$O76+GREET1_Import_Export!$G$179*GREET1_Import_Export!$B190+GREET1_Import_Export!$G190)+J$31*(GREET1_Import_Export!$B76+GREET1_Import_Export!$B226)+J$32*(GREET1_Import_Export!$AA76+GREET1_Import_Export!$B294)+J$33*(GREET1_Import_Export!$AC76+GREET1_Import_Export!$B190*GREET1_Import_Export!$I$179+GREET1_Import_Export!$I190)+J$35*(GREET1_Import_Export!$B319+GREET1_Import_Export!$C319)</f>
        <v>38.856986425333076</v>
      </c>
      <c r="K47" s="348"/>
    </row>
    <row r="48" spans="1:11" s="349" customFormat="1">
      <c r="A48" s="494" t="s">
        <v>826</v>
      </c>
      <c r="B48" s="347">
        <f>B$29*(B$8*GREET1_Import_Export!$K77+GREET1_Import_Export!$F$179*GREET1_Import_Export!$B191+GREET1_Import_Export!$F191)+B$30*(B$12*GREET1_Import_Export!$R77+B$13*GREET1_Import_Export!$I151+GREET1_Import_Export!$H$179*GREET1_Import_Export!$B191+GREET1_Import_Export!$H191)+B$31*(B$9*GREET1_Import_Export!$B77+B$10*GREET1_Import_Export!$I123+GREET1_Import_Export!$B227)+B$32*(B$11*GREET1_Import_Export!$AA77+GREET1_Import_Export!$B295)+B$35*(GREET1_Import_Export!$B320+GREET1_Import_Export!$C320)</f>
        <v>0</v>
      </c>
      <c r="C48" s="348"/>
      <c r="D48" s="347">
        <f>D$29*(GREET1_Import_Export!$K77+GREET1_Import_Export!$F$179*GREET1_Import_Export!$B191+GREET1_Import_Export!$F191)+D$30*(GREET1_Import_Export!$O77+GREET1_Import_Export!$G$179*GREET1_Import_Export!$B191+GREET1_Import_Export!$G191)+D$31*(GREET1_Import_Export!$B77+GREET1_Import_Export!$B227)+D$32*(GREET1_Import_Export!$AA77+GREET1_Import_Export!$B295)+D$35*(GREET1_Import_Export!$B320+GREET1_Import_Export!$C320)</f>
        <v>4387.1299108073654</v>
      </c>
      <c r="E48" s="348"/>
      <c r="F48" s="347">
        <f ca="1">F$29*(GREET1_Import_Export!$K77+GREET1_Import_Export!$F$179*GREET1_Import_Export!$B191+GREET1_Import_Export!$F191)+F$30*(GREET1_Import_Export!$O77+GREET1_Import_Export!$G$179*GREET1_Import_Export!$B191+GREET1_Import_Export!$G191)+F$31*(GREET1_Import_Export!$B77+GREET1_Import_Export!$B227)+F$32*(GREET1_Import_Export!$AA77+GREET1_Import_Export!$B295)+F$33*(GREET1_Import_Export!$AC77+1000000/GREET1_Import_Export!$B$40*Steel!B120)+F$34*('GREET2_Factors_T&amp;D'!$D20+1000000/GREET1_Import_Export!$B$40*Steel!B120)+F$35*(GREET1_Import_Export!$B320+GREET1_Import_Export!$C320)</f>
        <v>77759.288369416754</v>
      </c>
      <c r="G48" s="348"/>
      <c r="H48" s="347">
        <f>H$29*(GREET1_Import_Export!$K77+GREET1_Import_Export!$F$179*GREET1_Import_Export!$B191+GREET1_Import_Export!$F191)+H$30*(GREET1_Import_Export!$O77+GREET1_Import_Export!$G$179*GREET1_Import_Export!$B191+GREET1_Import_Export!$G191)+H$31*(GREET1_Import_Export!$B77+GREET1_Import_Export!$B227)+H$32*(GREET1_Import_Export!$AA77+GREET1_Import_Export!$B295)+H$33*(GREET1_Import_Export!$AC77+GREET1_Import_Export!$B191*GREET1_Import_Export!$I$179+GREET1_Import_Export!$I191)+H$35*(GREET1_Import_Export!$B320+GREET1_Import_Export!$C320)</f>
        <v>34.016725829009275</v>
      </c>
      <c r="I48" s="348"/>
      <c r="J48" s="347">
        <f>J$29*(GREET1_Import_Export!$K77+GREET1_Import_Export!$F$179*GREET1_Import_Export!$B191+GREET1_Import_Export!$F191)+J$30*(GREET1_Import_Export!$O77+GREET1_Import_Export!$G$179*GREET1_Import_Export!$B191+GREET1_Import_Export!$G191)+J$31*(GREET1_Import_Export!$B77+GREET1_Import_Export!$B227)+J$32*(GREET1_Import_Export!$AA77+GREET1_Import_Export!$B295)+J$33*(GREET1_Import_Export!$AC77+GREET1_Import_Export!$B191*GREET1_Import_Export!$I$179+GREET1_Import_Export!$I191)+J$35*(GREET1_Import_Export!$B320+GREET1_Import_Export!$C320)</f>
        <v>247.08860784079775</v>
      </c>
      <c r="K48" s="348"/>
    </row>
    <row r="49" spans="1:11" s="349" customFormat="1">
      <c r="A49" s="794" t="s">
        <v>827</v>
      </c>
      <c r="B49" s="347">
        <f>B$29*(B$8*GREET1_Import_Export!$K78+GREET1_Import_Export!$F$179*GREET1_Import_Export!$B192+GREET1_Import_Export!$F192)+B$30*(B$12*GREET1_Import_Export!$R78+B$13*GREET1_Import_Export!$I152+GREET1_Import_Export!$H$179*GREET1_Import_Export!$B192+GREET1_Import_Export!$H192)+B$31*(B$9*GREET1_Import_Export!$B78+B$10*GREET1_Import_Export!$I124+GREET1_Import_Export!$B228)+B$32*(B$11*GREET1_Import_Export!$AA78+GREET1_Import_Export!$B296)+B$35*(GREET1_Import_Export!$B321+GREET1_Import_Export!$C321)</f>
        <v>0</v>
      </c>
      <c r="C49" s="348"/>
      <c r="D49" s="347">
        <f>D$29*(GREET1_Import_Export!$K78+GREET1_Import_Export!$F$179*GREET1_Import_Export!$B192+GREET1_Import_Export!$F192)+D$30*(GREET1_Import_Export!$O78+GREET1_Import_Export!$G$179*GREET1_Import_Export!$B192+GREET1_Import_Export!$G192)+D$31*(GREET1_Import_Export!$B78+GREET1_Import_Export!$B228)+D$32*(GREET1_Import_Export!$AA78+GREET1_Import_Export!$B296)+D$35*(GREET1_Import_Export!$B321+GREET1_Import_Export!$C321)</f>
        <v>100.01185503465499</v>
      </c>
      <c r="E49" s="348"/>
      <c r="F49" s="347">
        <f ca="1">F$29*(GREET1_Import_Export!$K78+GREET1_Import_Export!$F$179*GREET1_Import_Export!$B192+GREET1_Import_Export!$F192)+F$30*(GREET1_Import_Export!$O78+GREET1_Import_Export!$G$179*GREET1_Import_Export!$B192+GREET1_Import_Export!$G192)+F$31*(GREET1_Import_Export!$B78+GREET1_Import_Export!$B228)+F$32*(GREET1_Import_Export!$AA78+GREET1_Import_Export!$B296)+F$33*(GREET1_Import_Export!$AC78+1000000/GREET1_Import_Export!$B$40*Steel!B121)+F$34*('GREET2_Factors_T&amp;D'!$D21+1000000/GREET1_Import_Export!$B$40*Steel!B121)+F$35*(GREET1_Import_Export!$B321+GREET1_Import_Export!$C321)</f>
        <v>94.550537995536914</v>
      </c>
      <c r="G49" s="348"/>
      <c r="H49" s="347">
        <f>H$29*(GREET1_Import_Export!$K78+GREET1_Import_Export!$F$179*GREET1_Import_Export!$B192+GREET1_Import_Export!$F192)+H$30*(GREET1_Import_Export!$O78+GREET1_Import_Export!$G$179*GREET1_Import_Export!$B192+GREET1_Import_Export!$G192)+H$31*(GREET1_Import_Export!$B78+GREET1_Import_Export!$B228)+H$32*(GREET1_Import_Export!$AA78+GREET1_Import_Export!$B296)+H$33*(GREET1_Import_Export!$AC78+GREET1_Import_Export!$B192*GREET1_Import_Export!$I$179+GREET1_Import_Export!$I192)+H$35*(GREET1_Import_Export!$B321+GREET1_Import_Export!$C321)</f>
        <v>1.6681890274468421</v>
      </c>
      <c r="I49" s="348"/>
      <c r="J49" s="347">
        <f>J$29*(GREET1_Import_Export!$K78+GREET1_Import_Export!$F$179*GREET1_Import_Export!$B192+GREET1_Import_Export!$F192)+J$30*(GREET1_Import_Export!$O78+GREET1_Import_Export!$G$179*GREET1_Import_Export!$B192+GREET1_Import_Export!$G192)+J$31*(GREET1_Import_Export!$B78+GREET1_Import_Export!$B228)+J$32*(GREET1_Import_Export!$AA78+GREET1_Import_Export!$B296)+J$33*(GREET1_Import_Export!$AC78+GREET1_Import_Export!$B192*GREET1_Import_Export!$I$179+GREET1_Import_Export!$I192)+J$35*(GREET1_Import_Export!$B321+GREET1_Import_Export!$C321)</f>
        <v>4.1752205076222495</v>
      </c>
      <c r="K49" s="348"/>
    </row>
    <row r="50" spans="1:11" s="349" customFormat="1">
      <c r="A50" s="794" t="s">
        <v>828</v>
      </c>
      <c r="B50" s="347">
        <f>B$29*(B$8*GREET1_Import_Export!$K79+GREET1_Import_Export!$F$179*GREET1_Import_Export!$B193+GREET1_Import_Export!$F193)+B$30*(B$12*GREET1_Import_Export!$R79+B$13*GREET1_Import_Export!$I153+GREET1_Import_Export!$H$179*GREET1_Import_Export!$B193+GREET1_Import_Export!$H193)+B$31*(B$9*GREET1_Import_Export!$B79+B$10*GREET1_Import_Export!$I125+GREET1_Import_Export!$B229)+B$32*(B$11*GREET1_Import_Export!$AA79+GREET1_Import_Export!$B297)+B$35*(GREET1_Import_Export!$B322+GREET1_Import_Export!$C322)</f>
        <v>0</v>
      </c>
      <c r="C50" s="348"/>
      <c r="D50" s="347">
        <f>D$29*(GREET1_Import_Export!$K79+GREET1_Import_Export!$F$179*GREET1_Import_Export!$B193+GREET1_Import_Export!$F193)+D$30*(GREET1_Import_Export!$O79+GREET1_Import_Export!$G$179*GREET1_Import_Export!$B193+GREET1_Import_Export!$G193)+D$31*(GREET1_Import_Export!$B79+GREET1_Import_Export!$B229)+D$32*(GREET1_Import_Export!$AA79+GREET1_Import_Export!$B297)+D$35*(GREET1_Import_Export!$B322+GREET1_Import_Export!$C322)</f>
        <v>268.40130147229667</v>
      </c>
      <c r="E50" s="348"/>
      <c r="F50" s="347">
        <f ca="1">F$29*(GREET1_Import_Export!$K79+GREET1_Import_Export!$F$179*GREET1_Import_Export!$B193+GREET1_Import_Export!$F193)+F$30*(GREET1_Import_Export!$O79+GREET1_Import_Export!$G$179*GREET1_Import_Export!$B193+GREET1_Import_Export!$G193)+F$31*(GREET1_Import_Export!$B79+GREET1_Import_Export!$B229)+F$32*(GREET1_Import_Export!$AA79+GREET1_Import_Export!$B297)+F$33*(GREET1_Import_Export!$AC79+1000000/GREET1_Import_Export!$B$40*Steel!B122)+F$34*('GREET2_Factors_T&amp;D'!$D22+1000000/GREET1_Import_Export!$B$40*Steel!B122)+F$35*(GREET1_Import_Export!$B322+GREET1_Import_Export!$C322)</f>
        <v>195.3723735827885</v>
      </c>
      <c r="G50" s="348"/>
      <c r="H50" s="347">
        <f>H$29*(GREET1_Import_Export!$K79+GREET1_Import_Export!$F$179*GREET1_Import_Export!$B193+GREET1_Import_Export!$F193)+H$30*(GREET1_Import_Export!$O79+GREET1_Import_Export!$G$179*GREET1_Import_Export!$B193+GREET1_Import_Export!$G193)+H$31*(GREET1_Import_Export!$B79+GREET1_Import_Export!$B229)+H$32*(GREET1_Import_Export!$AA79+GREET1_Import_Export!$B297)+H$33*(GREET1_Import_Export!$AC79+GREET1_Import_Export!$B193*GREET1_Import_Export!$I$179+GREET1_Import_Export!$I193)+H$35*(GREET1_Import_Export!$B322+GREET1_Import_Export!$C322)</f>
        <v>4.1578433214381043</v>
      </c>
      <c r="I50" s="348"/>
      <c r="J50" s="347">
        <f>J$29*(GREET1_Import_Export!$K79+GREET1_Import_Export!$F$179*GREET1_Import_Export!$B193+GREET1_Import_Export!$F193)+J$30*(GREET1_Import_Export!$O79+GREET1_Import_Export!$G$179*GREET1_Import_Export!$B193+GREET1_Import_Export!$G193)+J$31*(GREET1_Import_Export!$B79+GREET1_Import_Export!$B229)+J$32*(GREET1_Import_Export!$AA79+GREET1_Import_Export!$B297)+J$33*(GREET1_Import_Export!$AC79+GREET1_Import_Export!$B193*GREET1_Import_Export!$I$179+GREET1_Import_Export!$I193)+J$35*(GREET1_Import_Export!$B322+GREET1_Import_Export!$C322)</f>
        <v>13.396072952474972</v>
      </c>
      <c r="K50" s="348"/>
    </row>
    <row r="51" spans="1:11" s="349" customFormat="1">
      <c r="A51" s="494" t="s">
        <v>829</v>
      </c>
      <c r="B51" s="347">
        <f>B$29*(B$8*GREET1_Import_Export!$K80+GREET1_Import_Export!$F$179*GREET1_Import_Export!$B194+GREET1_Import_Export!$F194)+B$30*(B$12*GREET1_Import_Export!$R80+B$13*GREET1_Import_Export!$I154+GREET1_Import_Export!$H$179*GREET1_Import_Export!$B194+GREET1_Import_Export!$H194)+B$31*(B$9*GREET1_Import_Export!$B80+B$10*GREET1_Import_Export!$I126+GREET1_Import_Export!$B230)+B$32*(B$11*GREET1_Import_Export!$AA80+GREET1_Import_Export!$B298)+B$35*(GREET1_Import_Export!$B323+GREET1_Import_Export!$C323)</f>
        <v>0</v>
      </c>
      <c r="C51" s="348"/>
      <c r="D51" s="347">
        <f>D$29*(GREET1_Import_Export!$K80+GREET1_Import_Export!$F$179*GREET1_Import_Export!$B194+GREET1_Import_Export!$F194)+D$30*(GREET1_Import_Export!$O80+GREET1_Import_Export!$G$179*GREET1_Import_Export!$B194+GREET1_Import_Export!$G194)+D$31*(GREET1_Import_Export!$B80+GREET1_Import_Export!$B230)+D$32*(GREET1_Import_Export!$AA80+GREET1_Import_Export!$B298)+D$35*(GREET1_Import_Export!$B323+GREET1_Import_Export!$C323)</f>
        <v>34309.195077168915</v>
      </c>
      <c r="E51" s="348"/>
      <c r="F51" s="347">
        <f ca="1">F$29*(GREET1_Import_Export!$K80+GREET1_Import_Export!$F$179*GREET1_Import_Export!$B194+GREET1_Import_Export!$F194)+F$30*(GREET1_Import_Export!$O80+GREET1_Import_Export!$G$179*GREET1_Import_Export!$B194+GREET1_Import_Export!$G194)+F$31*(GREET1_Import_Export!$B80+GREET1_Import_Export!$B230)+F$32*(GREET1_Import_Export!$AA80+GREET1_Import_Export!$B298)+F$33*(GREET1_Import_Export!$AC80+1000000/GREET1_Import_Export!$B$40*Steel!B123)+F$34*('GREET2_Factors_T&amp;D'!$D23+1000000/GREET1_Import_Export!$B$40*Steel!B123)+F$35*(GREET1_Import_Export!$B323+GREET1_Import_Export!$C323)</f>
        <v>37957.382788078467</v>
      </c>
      <c r="G51" s="348"/>
      <c r="H51" s="347">
        <f>H$29*(GREET1_Import_Export!$K80+GREET1_Import_Export!$F$179*GREET1_Import_Export!$B194+GREET1_Import_Export!$F194)+H$30*(GREET1_Import_Export!$O80+GREET1_Import_Export!$G$179*GREET1_Import_Export!$B194+GREET1_Import_Export!$G194)+H$31*(GREET1_Import_Export!$B80+GREET1_Import_Export!$B230)+H$32*(GREET1_Import_Export!$AA80+GREET1_Import_Export!$B298)+H$33*(GREET1_Import_Export!$AC80+GREET1_Import_Export!$B194*GREET1_Import_Export!$I$179+GREET1_Import_Export!$I194)+H$35*(GREET1_Import_Export!$B323+GREET1_Import_Export!$C323)</f>
        <v>548.01951037619028</v>
      </c>
      <c r="I51" s="348"/>
      <c r="J51" s="347">
        <f>J$29*(GREET1_Import_Export!$K80+GREET1_Import_Export!$F$179*GREET1_Import_Export!$B194+GREET1_Import_Export!$F194)+J$30*(GREET1_Import_Export!$O80+GREET1_Import_Export!$G$179*GREET1_Import_Export!$B194+GREET1_Import_Export!$G194)+J$31*(GREET1_Import_Export!$B80+GREET1_Import_Export!$B230)+J$32*(GREET1_Import_Export!$AA80+GREET1_Import_Export!$B298)+J$33*(GREET1_Import_Export!$AC80+GREET1_Import_Export!$B194*GREET1_Import_Export!$I$179+GREET1_Import_Export!$I194)+J$35*(GREET1_Import_Export!$B323+GREET1_Import_Export!$C323)</f>
        <v>1719.3141892417902</v>
      </c>
      <c r="K51" s="348"/>
    </row>
    <row r="52" spans="1:11" s="349" customFormat="1">
      <c r="A52" s="494" t="s">
        <v>830</v>
      </c>
      <c r="B52" s="347">
        <f>B$29*(B$8*GREET1_Import_Export!$K81+GREET1_Import_Export!$F$179*GREET1_Import_Export!$B195+GREET1_Import_Export!$F195)+B$30*(B$12*GREET1_Import_Export!$R81+B$13*GREET1_Import_Export!$I155+GREET1_Import_Export!$H$179*GREET1_Import_Export!$B195+GREET1_Import_Export!$H195)+B$31*(B$9*GREET1_Import_Export!$B81+B$10*GREET1_Import_Export!$I127+GREET1_Import_Export!$B231)+B$32*(B$11*GREET1_Import_Export!$AA81+GREET1_Import_Export!$B299)+B$35*(GREET1_Import_Export!$B324+GREET1_Import_Export!$C324)</f>
        <v>0</v>
      </c>
      <c r="C52" s="348"/>
      <c r="D52" s="347">
        <f>D$29*(GREET1_Import_Export!$K81+GREET1_Import_Export!$F$179*GREET1_Import_Export!$B195+GREET1_Import_Export!$F195)+D$30*(GREET1_Import_Export!$O81+GREET1_Import_Export!$G$179*GREET1_Import_Export!$B195+GREET1_Import_Export!$G195)+D$31*(GREET1_Import_Export!$B81+GREET1_Import_Export!$B231)+D$32*(GREET1_Import_Export!$AA81+GREET1_Import_Export!$B299)+D$35*(GREET1_Import_Export!$B324+GREET1_Import_Export!$C324)</f>
        <v>329.75687277621614</v>
      </c>
      <c r="E52" s="348"/>
      <c r="F52" s="347">
        <f ca="1">F$29*(GREET1_Import_Export!$K81+GREET1_Import_Export!$F$179*GREET1_Import_Export!$B195+GREET1_Import_Export!$F195)+F$30*(GREET1_Import_Export!$O81+GREET1_Import_Export!$G$179*GREET1_Import_Export!$B195+GREET1_Import_Export!$G195)+F$31*(GREET1_Import_Export!$B81+GREET1_Import_Export!$B231)+F$32*(GREET1_Import_Export!$AA81+GREET1_Import_Export!$B299)+F$33*(GREET1_Import_Export!$AC81+1000000/GREET1_Import_Export!$B$40*Steel!B124)+F$34*('GREET2_Factors_T&amp;D'!$D24+1000000/GREET1_Import_Export!$B$40*Steel!B124)+F$35*(GREET1_Import_Export!$B324+GREET1_Import_Export!$C324)</f>
        <v>247.95673453340248</v>
      </c>
      <c r="G52" s="348"/>
      <c r="H52" s="347">
        <f>H$29*(GREET1_Import_Export!$K81+GREET1_Import_Export!$F$179*GREET1_Import_Export!$B195+GREET1_Import_Export!$F195)+H$30*(GREET1_Import_Export!$O81+GREET1_Import_Export!$G$179*GREET1_Import_Export!$B195+GREET1_Import_Export!$G195)+H$31*(GREET1_Import_Export!$B81+GREET1_Import_Export!$B231)+H$32*(GREET1_Import_Export!$AA81+GREET1_Import_Export!$B299)+H$33*(GREET1_Import_Export!$AC81+GREET1_Import_Export!$B195*GREET1_Import_Export!$I$179+GREET1_Import_Export!$I195)+H$35*(GREET1_Import_Export!$B324+GREET1_Import_Export!$C324)</f>
        <v>5.4431934872287711</v>
      </c>
      <c r="I52" s="348"/>
      <c r="J52" s="347">
        <f>J$29*(GREET1_Import_Export!$K81+GREET1_Import_Export!$F$179*GREET1_Import_Export!$B195+GREET1_Import_Export!$F195)+J$30*(GREET1_Import_Export!$O81+GREET1_Import_Export!$G$179*GREET1_Import_Export!$B195+GREET1_Import_Export!$G195)+J$31*(GREET1_Import_Export!$B81+GREET1_Import_Export!$B231)+J$32*(GREET1_Import_Export!$AA81+GREET1_Import_Export!$B299)+J$33*(GREET1_Import_Export!$AC81+GREET1_Import_Export!$B195*GREET1_Import_Export!$I$179+GREET1_Import_Export!$I195)+J$35*(GREET1_Import_Export!$B324+GREET1_Import_Export!$C324)</f>
        <v>16.405759872561283</v>
      </c>
      <c r="K52" s="348"/>
    </row>
    <row r="53" spans="1:11" s="419" customFormat="1">
      <c r="A53" s="630" t="s">
        <v>831</v>
      </c>
      <c r="B53" s="251">
        <f>B$29*(B$8*GREET1_Import_Export!$K82+GREET1_Import_Export!$F$179*GREET1_Import_Export!$B196+GREET1_Import_Export!$F196)+B$30*(B$12*GREET1_Import_Export!$R82+B$13*GREET1_Import_Export!$I156+GREET1_Import_Export!$H$179*GREET1_Import_Export!$B196+GREET1_Import_Export!$H196)+B$31*(B$9*GREET1_Import_Export!$B82+B$10*GREET1_Import_Export!$I128+GREET1_Import_Export!$B232)+B$32*(B$11*GREET1_Import_Export!$AA82+GREET1_Import_Export!$B300)+B$35*(GREET1_Import_Export!$B325+GREET1_Import_Export!$C325)</f>
        <v>0</v>
      </c>
      <c r="C53" s="516"/>
      <c r="D53" s="251">
        <f>D$29*(GREET1_Import_Export!$K82+GREET1_Import_Export!$F$179*GREET1_Import_Export!$B196+GREET1_Import_Export!$F196)+D$30*(GREET1_Import_Export!$O82+GREET1_Import_Export!$G$179*GREET1_Import_Export!$B196+GREET1_Import_Export!$G196)+D$31*(GREET1_Import_Export!$B82+GREET1_Import_Export!$B232)+D$32*(GREET1_Import_Export!$AA82+GREET1_Import_Export!$B300)+D$35*(GREET1_Import_Export!$B325+GREET1_Import_Export!$C325)</f>
        <v>12299087.944623083</v>
      </c>
      <c r="E53" s="956">
        <v>1723651.0060000001</v>
      </c>
      <c r="F53" s="251">
        <f ca="1">F$29*(GREET1_Import_Export!$K82+GREET1_Import_Export!$F$179*GREET1_Import_Export!$B196+GREET1_Import_Export!$F196)+F$30*(GREET1_Import_Export!$O82+GREET1_Import_Export!$G$179*GREET1_Import_Export!$B196+GREET1_Import_Export!$G196)+F$31*(GREET1_Import_Export!$B82+GREET1_Import_Export!$B232)+F$32*(GREET1_Import_Export!$AA82+GREET1_Import_Export!$B300)+F$33*(GREET1_Import_Export!$AC82+1000000/GREET1_Import_Export!$B$40*Steel!B125)+F$34*('GREET2_Factors_T&amp;D'!$D25+1000000/GREET1_Import_Export!$B$40*Steel!B125)+F$35*(GREET1_Import_Export!$B325+GREET1_Import_Export!$C325)</f>
        <v>21520509.921258546</v>
      </c>
      <c r="G53" s="957">
        <v>4590354.7844000002</v>
      </c>
      <c r="H53" s="251">
        <f>H$29*(GREET1_Import_Export!$K82+GREET1_Import_Export!$F$179*GREET1_Import_Export!$B196+GREET1_Import_Export!$F196)+H$30*(GREET1_Import_Export!$O82+GREET1_Import_Export!$G$179*GREET1_Import_Export!$B196+GREET1_Import_Export!$G196)+H$31*(GREET1_Import_Export!$B82+GREET1_Import_Export!$B232)+H$32*(GREET1_Import_Export!$AA82+GREET1_Import_Export!$B300)+H$33*(GREET1_Import_Export!$AC82+GREET1_Import_Export!$B196*GREET1_Import_Export!$I$179+GREET1_Import_Export!$I196)+H$35*(GREET1_Import_Export!$B325+GREET1_Import_Export!$C325)</f>
        <v>169069.55181677482</v>
      </c>
      <c r="I53" s="516"/>
      <c r="J53" s="251">
        <f>J$29*(GREET1_Import_Export!$K82+GREET1_Import_Export!$F$179*GREET1_Import_Export!$B196+GREET1_Import_Export!$F196)+J$30*(GREET1_Import_Export!$O82+GREET1_Import_Export!$G$179*GREET1_Import_Export!$B196+GREET1_Import_Export!$G196)+J$31*(GREET1_Import_Export!$B82+GREET1_Import_Export!$B232)+J$32*(GREET1_Import_Export!$AA82+GREET1_Import_Export!$B300)+J$33*(GREET1_Import_Export!$AC82+GREET1_Import_Export!$B196*GREET1_Import_Export!$I$179+GREET1_Import_Export!$I196)+J$35*(GREET1_Import_Export!$B325+GREET1_Import_Export!$C325)</f>
        <v>634550.96471303713</v>
      </c>
      <c r="K53" s="516"/>
    </row>
    <row r="54" spans="1:11" s="349" customFormat="1">
      <c r="A54" s="794" t="s">
        <v>1118</v>
      </c>
      <c r="B54" s="390"/>
      <c r="C54" s="348"/>
      <c r="D54" s="390"/>
      <c r="E54" s="955">
        <v>0</v>
      </c>
      <c r="F54" s="390"/>
      <c r="G54" s="956">
        <v>0</v>
      </c>
      <c r="H54" s="390"/>
      <c r="I54" s="956">
        <v>210</v>
      </c>
      <c r="J54" s="390"/>
      <c r="K54" s="956">
        <v>690</v>
      </c>
    </row>
    <row r="55" spans="1:11" s="349" customFormat="1">
      <c r="A55" s="954" t="s">
        <v>1119</v>
      </c>
      <c r="B55" s="751"/>
      <c r="C55" s="502"/>
      <c r="D55" s="751"/>
      <c r="E55" s="340">
        <v>760</v>
      </c>
      <c r="F55" s="751"/>
      <c r="G55" s="502"/>
      <c r="H55" s="751"/>
      <c r="I55" s="502"/>
      <c r="J55" s="751"/>
      <c r="K55" s="502"/>
    </row>
    <row r="56" spans="1:11">
      <c r="A56" s="758" t="s">
        <v>865</v>
      </c>
      <c r="B56" s="347"/>
      <c r="C56" s="348"/>
      <c r="D56" s="389"/>
      <c r="E56" s="349"/>
      <c r="F56" s="390"/>
      <c r="G56" s="348"/>
      <c r="H56" s="389"/>
      <c r="I56" s="349"/>
      <c r="J56" s="390"/>
      <c r="K56" s="348"/>
    </row>
    <row r="57" spans="1:11" s="349" customFormat="1">
      <c r="A57" s="347" t="s">
        <v>821</v>
      </c>
      <c r="B57" s="347">
        <f>B$29*(B$19*(B$8*GREET1_Import_Export!$K72)+GREET1_Import_Export!$F$200*GREET1_Import_Export!$B201+GREET1_Import_Export!$F201)+B$30*(B$19*(B$12*GREET1_Import_Export!$R72+B$13*GREET1_Import_Export!$I146)+GREET1_Import_Export!$H$200*GREET1_Import_Export!$B201+GREET1_Import_Export!$H201)+B$31*(B$19*(B$9*GREET1_Import_Export!$B72+B$10*GREET1_Import_Export!$I118)+GREET1_Import_Export!$B237)+B$32*(B$19*(B$11*GREET1_Import_Export!$AA72)+GREET1_Import_Export!$C290)+B$35*(GREET1_Import_Export!$D315+GREET1_Import_Export!$E315)</f>
        <v>0</v>
      </c>
      <c r="C57" s="348"/>
      <c r="D57" s="349">
        <f>D$29*(D$19*(GREET1_Import_Export!$K72)+GREET1_Import_Export!$F$200*GREET1_Import_Export!$B201+GREET1_Import_Export!$F201)+D$30*(D$19*(GREET1_Import_Export!$O72)+GREET1_Import_Export!$G$200*GREET1_Import_Export!$B201+GREET1_Import_Export!$G201)+D$31*(D$19*(GREET1_Import_Export!$B72)+GREET1_Import_Export!$B237)+D$32*(D$19*(GREET1_Import_Export!$AA72)+GREET1_Import_Export!$C290)+D$35*(GREET1_Import_Export!$D315+GREET1_Import_Export!$E315)</f>
        <v>102.59724461501349</v>
      </c>
      <c r="F57" s="347">
        <f ca="1">F$29*(F$19*(GREET1_Import_Export!$K72)+GREET1_Import_Export!$F$200*GREET1_Import_Export!$B201+GREET1_Import_Export!$F201)+F$30*(F$19*(GREET1_Import_Export!$O72)+GREET1_Import_Export!$G$200*GREET1_Import_Export!$B201+GREET1_Import_Export!$G201)+F$31*(F$19*(GREET1_Import_Export!$B72)+GREET1_Import_Export!$B237)+F$32*(F$19*(GREET1_Import_Export!$AA72)+GREET1_Import_Export!$C290)+F$33*(F$19*GREET1_Import_Export!$AC72+1000000/GREET1_Import_Export!$B$40*Steel!B129)+F$34*(F$19*'GREET2_Factors_T&amp;D'!$D15+1000000/GREET1_Import_Export!$B$40*Steel!B129)+F$35*(GREET1_Import_Export!$D315+GREET1_Import_Export!$E315)</f>
        <v>49.813964812810326</v>
      </c>
      <c r="G57" s="348"/>
      <c r="H57" s="349">
        <f>H$29*(H$19*(GREET1_Import_Export!$K72)+GREET1_Import_Export!$F$200*GREET1_Import_Export!$B201+GREET1_Import_Export!$F201)+H$30*(H$19*(GREET1_Import_Export!$O72)+GREET1_Import_Export!$G$200*GREET1_Import_Export!$B201+GREET1_Import_Export!$G201)+H$31*(H$19*(GREET1_Import_Export!$B72)+GREET1_Import_Export!$B237)+H$32*(H$19*(GREET1_Import_Export!$AA72)+GREET1_Import_Export!$C290)+H$33*(H$19*GREET1_Import_Export!$AC72+GREET1_Import_Export!$B201*GREET1_Import_Export!$I$200+GREET1_Import_Export!$I201)+H$35*(GREET1_Import_Export!$D315+GREET1_Import_Export!$E315)</f>
        <v>1.5209986157847872</v>
      </c>
      <c r="J57" s="347">
        <f>J$29*(J$19*(GREET1_Import_Export!$K72)+GREET1_Import_Export!$F$200*GREET1_Import_Export!$B201+GREET1_Import_Export!$F201)+J$30*(J$19*(GREET1_Import_Export!$O72)+GREET1_Import_Export!$G$200*GREET1_Import_Export!$B201+GREET1_Import_Export!$G201)+J$31*(J$19*(GREET1_Import_Export!$B72)+GREET1_Import_Export!$B237)+J$32*(J$19*(GREET1_Import_Export!$AA72)+GREET1_Import_Export!$C290)+J$33*(J$19*GREET1_Import_Export!$AC72+GREET1_Import_Export!$B201*GREET1_Import_Export!$I$200+GREET1_Import_Export!$I201)+J$35*(GREET1_Import_Export!$D315+GREET1_Import_Export!$E315)</f>
        <v>5.1232856680903289</v>
      </c>
      <c r="K57" s="348"/>
    </row>
    <row r="58" spans="1:11" s="349" customFormat="1">
      <c r="A58" s="347" t="s">
        <v>822</v>
      </c>
      <c r="B58" s="347">
        <f>B$29*(B$19*(B$8*GREET1_Import_Export!$K73)+GREET1_Import_Export!$F$200*GREET1_Import_Export!$B202+GREET1_Import_Export!$F202)+B$30*(B$19*(B$12*GREET1_Import_Export!$R73+B$13*GREET1_Import_Export!$I147)+GREET1_Import_Export!$H$200*GREET1_Import_Export!$B202+GREET1_Import_Export!$H202)+B$31*(B$19*(B$9*GREET1_Import_Export!$B73+B$10*GREET1_Import_Export!$I119)+GREET1_Import_Export!$B238)+B$32*(B$19*(B$11*GREET1_Import_Export!$AA73)+GREET1_Import_Export!$C291)+B$35*(GREET1_Import_Export!$D316+GREET1_Import_Export!$E316)</f>
        <v>0</v>
      </c>
      <c r="C58" s="348"/>
      <c r="D58" s="349">
        <f>D$29*(D$19*(GREET1_Import_Export!$K73)+GREET1_Import_Export!$F$200*GREET1_Import_Export!$B202+GREET1_Import_Export!$F202)+D$30*(D$19*(GREET1_Import_Export!$O73)+GREET1_Import_Export!$G$200*GREET1_Import_Export!$B202+GREET1_Import_Export!$G202)+D$31*(D$19*(GREET1_Import_Export!$B73)+GREET1_Import_Export!$B238)+D$32*(D$19*(GREET1_Import_Export!$AA73)+GREET1_Import_Export!$C291)+D$35*(GREET1_Import_Export!$D316+GREET1_Import_Export!$E316)</f>
        <v>598.66452165462829</v>
      </c>
      <c r="F58" s="347">
        <f ca="1">F$29*(F$19*(GREET1_Import_Export!$K73)+GREET1_Import_Export!$F$200*GREET1_Import_Export!$B202+GREET1_Import_Export!$F202)+F$30*(F$19*(GREET1_Import_Export!$O73)+GREET1_Import_Export!$G$200*GREET1_Import_Export!$B202+GREET1_Import_Export!$G202)+F$31*(F$19*(GREET1_Import_Export!$B73)+GREET1_Import_Export!$B238)+F$32*(F$19*(GREET1_Import_Export!$AA73)+GREET1_Import_Export!$C291)+F$33*(F$19*GREET1_Import_Export!$AC73+1000000/GREET1_Import_Export!$B$40*Steel!B130)+F$34*(F$19*'GREET2_Factors_T&amp;D'!$D16+1000000/GREET1_Import_Export!$B$40*Steel!B130)+F$35*(GREET1_Import_Export!$D316+GREET1_Import_Export!$E316)</f>
        <v>261.13608455896042</v>
      </c>
      <c r="G58" s="348"/>
      <c r="H58" s="349">
        <f>H$29*(H$19*(GREET1_Import_Export!$K73)+GREET1_Import_Export!$F$200*GREET1_Import_Export!$B202+GREET1_Import_Export!$F202)+H$30*(H$19*(GREET1_Import_Export!$O73)+GREET1_Import_Export!$G$200*GREET1_Import_Export!$B202+GREET1_Import_Export!$G202)+H$31*(H$19*(GREET1_Import_Export!$B73)+GREET1_Import_Export!$B238)+H$32*(H$19*(GREET1_Import_Export!$AA73)+GREET1_Import_Export!$C291)+H$33*(H$19*GREET1_Import_Export!$AC73+GREET1_Import_Export!$B202*GREET1_Import_Export!$I$200+GREET1_Import_Export!$I202)+H$35*(GREET1_Import_Export!$D316+GREET1_Import_Export!$E316)</f>
        <v>7.5429273649776984</v>
      </c>
      <c r="J58" s="347">
        <f>J$29*(J$19*(GREET1_Import_Export!$K73)+GREET1_Import_Export!$F$200*GREET1_Import_Export!$B202+GREET1_Import_Export!$F202)+J$30*(J$19*(GREET1_Import_Export!$O73)+GREET1_Import_Export!$G$200*GREET1_Import_Export!$B202+GREET1_Import_Export!$G202)+J$31*(J$19*(GREET1_Import_Export!$B73)+GREET1_Import_Export!$B238)+J$32*(J$19*(GREET1_Import_Export!$AA73)+GREET1_Import_Export!$C291)+J$33*(J$19*GREET1_Import_Export!$AC73+GREET1_Import_Export!$B202*GREET1_Import_Export!$I$200+GREET1_Import_Export!$I202)+J$35*(GREET1_Import_Export!$D316+GREET1_Import_Export!$E316)</f>
        <v>31.511102434022519</v>
      </c>
      <c r="K58" s="348"/>
    </row>
    <row r="59" spans="1:11" s="349" customFormat="1">
      <c r="A59" s="347" t="s">
        <v>823</v>
      </c>
      <c r="B59" s="347">
        <f>B$29*(B$19*(B$8*GREET1_Import_Export!$K74)+GREET1_Import_Export!$F$200*GREET1_Import_Export!$B203+GREET1_Import_Export!$F203)+B$30*(B$19*(B$12*GREET1_Import_Export!$R74+B$13*GREET1_Import_Export!$I148)+GREET1_Import_Export!$H$200*GREET1_Import_Export!$B203+GREET1_Import_Export!$H203)+B$31*(B$19*(B$9*GREET1_Import_Export!$B74+B$10*GREET1_Import_Export!$I120)+GREET1_Import_Export!$B239)+B$32*(B$19*(B$11*GREET1_Import_Export!$AA74)+GREET1_Import_Export!$C292)+B$35*(GREET1_Import_Export!$D317+GREET1_Import_Export!$E317)</f>
        <v>0</v>
      </c>
      <c r="C59" s="348"/>
      <c r="D59" s="349">
        <f>D$29*(D$19*(GREET1_Import_Export!$K74)+GREET1_Import_Export!$F$200*GREET1_Import_Export!$B203+GREET1_Import_Export!$F203)+D$30*(D$19*(GREET1_Import_Export!$O74)+GREET1_Import_Export!$G$200*GREET1_Import_Export!$B203+GREET1_Import_Export!$G203)+D$31*(D$19*(GREET1_Import_Export!$B74)+GREET1_Import_Export!$B239)+D$32*(D$19*(GREET1_Import_Export!$AA74)+GREET1_Import_Export!$C292)+D$35*(GREET1_Import_Export!$D317+GREET1_Import_Export!$E317)</f>
        <v>1297.0783648946333</v>
      </c>
      <c r="F59" s="347">
        <f ca="1">F$29*(F$19*(GREET1_Import_Export!$K74)+GREET1_Import_Export!$F$200*GREET1_Import_Export!$B203+GREET1_Import_Export!$F203)+F$30*(F$19*(GREET1_Import_Export!$O74)+GREET1_Import_Export!$G$200*GREET1_Import_Export!$B203+GREET1_Import_Export!$G203)+F$31*(F$19*(GREET1_Import_Export!$B74)+GREET1_Import_Export!$B239)+F$32*(F$19*(GREET1_Import_Export!$AA74)+GREET1_Import_Export!$C292)+F$33*(F$19*GREET1_Import_Export!$AC74+1000000/GREET1_Import_Export!$B$40*Steel!B131)+F$34*(F$19*'GREET2_Factors_T&amp;D'!$D17+1000000/GREET1_Import_Export!$B$40*Steel!B131)+F$35*(GREET1_Import_Export!$D317+GREET1_Import_Export!$E317)</f>
        <v>794.42729080254719</v>
      </c>
      <c r="G59" s="348"/>
      <c r="H59" s="349">
        <f>H$29*(H$19*(GREET1_Import_Export!$K74)+GREET1_Import_Export!$F$200*GREET1_Import_Export!$B203+GREET1_Import_Export!$F203)+H$30*(H$19*(GREET1_Import_Export!$O74)+GREET1_Import_Export!$G$200*GREET1_Import_Export!$B203+GREET1_Import_Export!$G203)+H$31*(H$19*(GREET1_Import_Export!$B74)+GREET1_Import_Export!$B239)+H$32*(H$19*(GREET1_Import_Export!$AA74)+GREET1_Import_Export!$C292)+H$33*(H$19*GREET1_Import_Export!$AC74+GREET1_Import_Export!$B203*GREET1_Import_Export!$I$200+GREET1_Import_Export!$I203)+H$35*(GREET1_Import_Export!$D317+GREET1_Import_Export!$E317)</f>
        <v>10.154108234402807</v>
      </c>
      <c r="J59" s="347">
        <f>J$29*(J$19*(GREET1_Import_Export!$K74)+GREET1_Import_Export!$F$200*GREET1_Import_Export!$B203+GREET1_Import_Export!$F203)+J$30*(J$19*(GREET1_Import_Export!$O74)+GREET1_Import_Export!$G$200*GREET1_Import_Export!$B203+GREET1_Import_Export!$G203)+J$31*(J$19*(GREET1_Import_Export!$B74)+GREET1_Import_Export!$B239)+J$32*(J$19*(GREET1_Import_Export!$AA74)+GREET1_Import_Export!$C292)+J$33*(J$19*GREET1_Import_Export!$AC74+GREET1_Import_Export!$B203*GREET1_Import_Export!$I$200+GREET1_Import_Export!$I203)+J$35*(GREET1_Import_Export!$D317+GREET1_Import_Export!$E317)</f>
        <v>72.925341625121547</v>
      </c>
      <c r="K59" s="348"/>
    </row>
    <row r="60" spans="1:11" s="349" customFormat="1">
      <c r="A60" s="347" t="s">
        <v>824</v>
      </c>
      <c r="B60" s="347">
        <f>B$29*(B$19*(B$8*GREET1_Import_Export!$K75)+GREET1_Import_Export!$F$200*GREET1_Import_Export!$B204+GREET1_Import_Export!$F204)+B$30*(B$19*(B$12*GREET1_Import_Export!$R75+B$13*GREET1_Import_Export!$I149)+GREET1_Import_Export!$H$200*GREET1_Import_Export!$B204+GREET1_Import_Export!$H204)+B$31*(B$19*(B$9*GREET1_Import_Export!$B75+B$10*GREET1_Import_Export!$I121)+GREET1_Import_Export!$B240)+B$32*(B$19*(B$11*GREET1_Import_Export!$AA75)+GREET1_Import_Export!$C293)+B$35*(GREET1_Import_Export!$D318+GREET1_Import_Export!$E318)</f>
        <v>0</v>
      </c>
      <c r="C60" s="348"/>
      <c r="D60" s="349">
        <f>D$29*(D$19*(GREET1_Import_Export!$K75)+GREET1_Import_Export!$F$200*GREET1_Import_Export!$B204+GREET1_Import_Export!$F204)+D$30*(D$19*(GREET1_Import_Export!$O75)+GREET1_Import_Export!$G$200*GREET1_Import_Export!$B204+GREET1_Import_Export!$G204)+D$31*(D$19*(GREET1_Import_Export!$B75)+GREET1_Import_Export!$B240)+D$32*(D$19*(GREET1_Import_Export!$AA75)+GREET1_Import_Export!$C293)+D$35*(GREET1_Import_Export!$D318+GREET1_Import_Export!$E318)</f>
        <v>131.66916973085958</v>
      </c>
      <c r="F60" s="347">
        <f ca="1">F$29*(F$19*(GREET1_Import_Export!$K75)+GREET1_Import_Export!$F$200*GREET1_Import_Export!$B204+GREET1_Import_Export!$F204)+F$30*(F$19*(GREET1_Import_Export!$O75)+GREET1_Import_Export!$G$200*GREET1_Import_Export!$B204+GREET1_Import_Export!$G204)+F$31*(F$19*(GREET1_Import_Export!$B75)+GREET1_Import_Export!$B240)+F$32*(F$19*(GREET1_Import_Export!$AA75)+GREET1_Import_Export!$C293)+F$33*(F$19*GREET1_Import_Export!$AC75+1000000/GREET1_Import_Export!$B$40*Steel!B132)+F$34*(F$19*'GREET2_Factors_T&amp;D'!$D18+1000000/GREET1_Import_Export!$B$40*Steel!B132)+F$35*(GREET1_Import_Export!$D318+GREET1_Import_Export!$E318)</f>
        <v>99.970591161345467</v>
      </c>
      <c r="G60" s="348"/>
      <c r="H60" s="349">
        <f>H$29*(H$19*(GREET1_Import_Export!$K75)+GREET1_Import_Export!$F$200*GREET1_Import_Export!$B204+GREET1_Import_Export!$F204)+H$30*(H$19*(GREET1_Import_Export!$O75)+GREET1_Import_Export!$G$200*GREET1_Import_Export!$B204+GREET1_Import_Export!$G204)+H$31*(H$19*(GREET1_Import_Export!$B75)+GREET1_Import_Export!$B240)+H$32*(H$19*(GREET1_Import_Export!$AA75)+GREET1_Import_Export!$C293)+H$33*(H$19*GREET1_Import_Export!$AC75+GREET1_Import_Export!$B204*GREET1_Import_Export!$I$200+GREET1_Import_Export!$I204)+H$35*(GREET1_Import_Export!$D318+GREET1_Import_Export!$E318)</f>
        <v>0.30351385670275416</v>
      </c>
      <c r="J60" s="347">
        <f>J$29*(J$19*(GREET1_Import_Export!$K75)+GREET1_Import_Export!$F$200*GREET1_Import_Export!$B204+GREET1_Import_Export!$F204)+J$30*(J$19*(GREET1_Import_Export!$O75)+GREET1_Import_Export!$G$200*GREET1_Import_Export!$B204+GREET1_Import_Export!$G204)+J$31*(J$19*(GREET1_Import_Export!$B75)+GREET1_Import_Export!$B240)+J$32*(J$19*(GREET1_Import_Export!$AA75)+GREET1_Import_Export!$C293)+J$33*(J$19*GREET1_Import_Export!$AC75+GREET1_Import_Export!$B204*GREET1_Import_Export!$I$200+GREET1_Import_Export!$I204)+J$35*(GREET1_Import_Export!$D318+GREET1_Import_Export!$E318)</f>
        <v>7.9345849107569482</v>
      </c>
      <c r="K60" s="348"/>
    </row>
    <row r="61" spans="1:11" s="349" customFormat="1">
      <c r="A61" s="347" t="s">
        <v>825</v>
      </c>
      <c r="B61" s="347">
        <f>B$29*(B$19*(B$8*GREET1_Import_Export!$K76)+GREET1_Import_Export!$F$200*GREET1_Import_Export!$B205+GREET1_Import_Export!$F205)+B$30*(B$19*(B$12*GREET1_Import_Export!$R76+B$13*GREET1_Import_Export!$I150)+GREET1_Import_Export!$H$200*GREET1_Import_Export!$B205+GREET1_Import_Export!$H205)+B$31*(B$19*(B$9*GREET1_Import_Export!$B76+B$10*GREET1_Import_Export!$I122)+GREET1_Import_Export!$B241)+B$32*(B$19*(B$11*GREET1_Import_Export!$AA76)+GREET1_Import_Export!$C294)+B$35*(GREET1_Import_Export!$D319+GREET1_Import_Export!$E319)</f>
        <v>0</v>
      </c>
      <c r="C61" s="348"/>
      <c r="D61" s="349">
        <f>D$29*(D$19*(GREET1_Import_Export!$K76)+GREET1_Import_Export!$F$200*GREET1_Import_Export!$B205+GREET1_Import_Export!$F205)+D$30*(D$19*(GREET1_Import_Export!$O76)+GREET1_Import_Export!$G$200*GREET1_Import_Export!$B205+GREET1_Import_Export!$G205)+D$31*(D$19*(GREET1_Import_Export!$B76)+GREET1_Import_Export!$B241)+D$32*(D$19*(GREET1_Import_Export!$AA76)+GREET1_Import_Export!$C294)+D$35*(GREET1_Import_Export!$D319+GREET1_Import_Export!$E319)</f>
        <v>115.83615634029489</v>
      </c>
      <c r="F61" s="347">
        <f ca="1">F$29*(F$19*(GREET1_Import_Export!$K76)+GREET1_Import_Export!$F$200*GREET1_Import_Export!$B205+GREET1_Import_Export!$F205)+F$30*(F$19*(GREET1_Import_Export!$O76)+GREET1_Import_Export!$G$200*GREET1_Import_Export!$B205+GREET1_Import_Export!$G205)+F$31*(F$19*(GREET1_Import_Export!$B76)+GREET1_Import_Export!$B241)+F$32*(F$19*(GREET1_Import_Export!$AA76)+GREET1_Import_Export!$C294)+F$33*(F$19*GREET1_Import_Export!$AC76+1000000/GREET1_Import_Export!$B$40*Steel!B133)+F$34*(F$19*'GREET2_Factors_T&amp;D'!$D19+1000000/GREET1_Import_Export!$B$40*Steel!B133)+F$35*(GREET1_Import_Export!$D319+GREET1_Import_Export!$E319)</f>
        <v>87.937437029902938</v>
      </c>
      <c r="G61" s="348"/>
      <c r="H61" s="349">
        <f>H$29*(H$19*(GREET1_Import_Export!$K76)+GREET1_Import_Export!$F$200*GREET1_Import_Export!$B205+GREET1_Import_Export!$F205)+H$30*(H$19*(GREET1_Import_Export!$O76)+GREET1_Import_Export!$G$200*GREET1_Import_Export!$B205+GREET1_Import_Export!$G205)+H$31*(H$19*(GREET1_Import_Export!$B76)+GREET1_Import_Export!$B241)+H$32*(H$19*(GREET1_Import_Export!$AA76)+GREET1_Import_Export!$C294)+H$33*(H$19*GREET1_Import_Export!$AC76+GREET1_Import_Export!$B205*GREET1_Import_Export!$I$200+GREET1_Import_Export!$I205)+H$35*(GREET1_Import_Export!$D319+GREET1_Import_Export!$E319)</f>
        <v>0.26843733574388423</v>
      </c>
      <c r="J61" s="347">
        <f>J$29*(J$19*(GREET1_Import_Export!$K76)+GREET1_Import_Export!$F$200*GREET1_Import_Export!$B205+GREET1_Import_Export!$F205)+J$30*(J$19*(GREET1_Import_Export!$O76)+GREET1_Import_Export!$G$200*GREET1_Import_Export!$B205+GREET1_Import_Export!$G205)+J$31*(J$19*(GREET1_Import_Export!$B76)+GREET1_Import_Export!$B241)+J$32*(J$19*(GREET1_Import_Export!$AA76)+GREET1_Import_Export!$C294)+J$33*(J$19*GREET1_Import_Export!$AC76+GREET1_Import_Export!$B205*GREET1_Import_Export!$I$200+GREET1_Import_Export!$I205)+J$35*(GREET1_Import_Export!$D319+GREET1_Import_Export!$E319)</f>
        <v>6.9797705636665563</v>
      </c>
      <c r="K61" s="348"/>
    </row>
    <row r="62" spans="1:11" s="349" customFormat="1">
      <c r="A62" s="347" t="s">
        <v>826</v>
      </c>
      <c r="B62" s="347">
        <f>B$29*(B$19*(B$8*GREET1_Import_Export!$K77)+GREET1_Import_Export!$F$200*GREET1_Import_Export!$B206+GREET1_Import_Export!$F206)+B$30*(B$19*(B$12*GREET1_Import_Export!$R77+B$13*GREET1_Import_Export!$I151)+GREET1_Import_Export!$H$200*GREET1_Import_Export!$B206+GREET1_Import_Export!$H206)+B$31*(B$19*(B$9*GREET1_Import_Export!$B77+B$10*GREET1_Import_Export!$I123)+GREET1_Import_Export!$B242)+B$32*(B$19*(B$11*GREET1_Import_Export!$AA77)+GREET1_Import_Export!$C295)+B$35*(GREET1_Import_Export!$D320+GREET1_Import_Export!$E320)</f>
        <v>0</v>
      </c>
      <c r="C62" s="348"/>
      <c r="D62" s="349">
        <f>D$29*(D$19*(GREET1_Import_Export!$K77)+GREET1_Import_Export!$F$200*GREET1_Import_Export!$B206+GREET1_Import_Export!$F206)+D$30*(D$19*(GREET1_Import_Export!$O77)+GREET1_Import_Export!$G$200*GREET1_Import_Export!$B206+GREET1_Import_Export!$G206)+D$31*(D$19*(GREET1_Import_Export!$B77)+GREET1_Import_Export!$B242)+D$32*(D$19*(GREET1_Import_Export!$AA77)+GREET1_Import_Export!$C295)+D$35*(GREET1_Import_Export!$D320+GREET1_Import_Export!$E320)</f>
        <v>981.58347107925863</v>
      </c>
      <c r="F62" s="347">
        <f ca="1">F$29*(F$19*(GREET1_Import_Export!$K77)+GREET1_Import_Export!$F$200*GREET1_Import_Export!$B206+GREET1_Import_Export!$F206)+F$30*(F$19*(GREET1_Import_Export!$O77)+GREET1_Import_Export!$G$200*GREET1_Import_Export!$B206+GREET1_Import_Export!$G206)+F$31*(F$19*(GREET1_Import_Export!$B77)+GREET1_Import_Export!$B242)+F$32*(F$19*(GREET1_Import_Export!$AA77)+GREET1_Import_Export!$C295)+F$33*(F$19*GREET1_Import_Export!$AC77+1000000/GREET1_Import_Export!$B$40*Steel!B134)+F$34*(F$19*'GREET2_Factors_T&amp;D'!$D20+1000000/GREET1_Import_Export!$B$40*Steel!B134)+F$35*(GREET1_Import_Export!$D320+GREET1_Import_Export!$E320)</f>
        <v>725.40726365103001</v>
      </c>
      <c r="G62" s="348"/>
      <c r="H62" s="349">
        <f>H$29*(H$19*(GREET1_Import_Export!$K77)+GREET1_Import_Export!$F$200*GREET1_Import_Export!$B206+GREET1_Import_Export!$F206)+H$30*(H$19*(GREET1_Import_Export!$O77)+GREET1_Import_Export!$G$200*GREET1_Import_Export!$B206+GREET1_Import_Export!$G206)+H$31*(H$19*(GREET1_Import_Export!$B77)+GREET1_Import_Export!$B242)+H$32*(H$19*(GREET1_Import_Export!$AA77)+GREET1_Import_Export!$C295)+H$33*(H$19*GREET1_Import_Export!$AC77+GREET1_Import_Export!$B206*GREET1_Import_Export!$I$200+GREET1_Import_Export!$I206)+H$35*(GREET1_Import_Export!$D320+GREET1_Import_Export!$E320)</f>
        <v>2.3503146637048653</v>
      </c>
      <c r="J62" s="347">
        <f>J$29*(J$19*(GREET1_Import_Export!$K77)+GREET1_Import_Export!$F$200*GREET1_Import_Export!$B206+GREET1_Import_Export!$F206)+J$30*(J$19*(GREET1_Import_Export!$O77)+GREET1_Import_Export!$G$200*GREET1_Import_Export!$B206+GREET1_Import_Export!$G206)+J$31*(J$19*(GREET1_Import_Export!$B77)+GREET1_Import_Export!$B242)+J$32*(J$19*(GREET1_Import_Export!$AA77)+GREET1_Import_Export!$C295)+J$33*(J$19*GREET1_Import_Export!$AC77+GREET1_Import_Export!$B206*GREET1_Import_Export!$I$200+GREET1_Import_Export!$I206)+J$35*(GREET1_Import_Export!$D320+GREET1_Import_Export!$E320)</f>
        <v>59.205924673553334</v>
      </c>
      <c r="K62" s="348"/>
    </row>
    <row r="63" spans="1:11" s="349" customFormat="1">
      <c r="A63" s="347" t="s">
        <v>827</v>
      </c>
      <c r="B63" s="347">
        <f>B$29*(B$19*(B$8*GREET1_Import_Export!$K78)+GREET1_Import_Export!$F$200*GREET1_Import_Export!$B207+GREET1_Import_Export!$F207)+B$30*(B$19*(B$12*GREET1_Import_Export!$R78+B$13*GREET1_Import_Export!$I152)+GREET1_Import_Export!$H$200*GREET1_Import_Export!$B207+GREET1_Import_Export!$H207)+B$31*(B$19*(B$9*GREET1_Import_Export!$B78+B$10*GREET1_Import_Export!$I124)+GREET1_Import_Export!$B243)+B$32*(B$19*(B$11*GREET1_Import_Export!$AA78)+GREET1_Import_Export!$C296)+B$35*(GREET1_Import_Export!$D321+GREET1_Import_Export!$E321)</f>
        <v>0</v>
      </c>
      <c r="C63" s="348"/>
      <c r="D63" s="349">
        <f>D$29*(D$19*(GREET1_Import_Export!$K78)+GREET1_Import_Export!$F$200*GREET1_Import_Export!$B207+GREET1_Import_Export!$F207)+D$30*(D$19*(GREET1_Import_Export!$O78)+GREET1_Import_Export!$G$200*GREET1_Import_Export!$B207+GREET1_Import_Export!$G207)+D$31*(D$19*(GREET1_Import_Export!$B78)+GREET1_Import_Export!$B243)+D$32*(D$19*(GREET1_Import_Export!$AA78)+GREET1_Import_Export!$C296)+D$35*(GREET1_Import_Export!$D321+GREET1_Import_Export!$E321)</f>
        <v>6.1398119414697838</v>
      </c>
      <c r="F63" s="347">
        <f ca="1">F$29*(F$19*(GREET1_Import_Export!$K78)+GREET1_Import_Export!$F$200*GREET1_Import_Export!$B207+GREET1_Import_Export!$F207)+F$30*(F$19*(GREET1_Import_Export!$O78)+GREET1_Import_Export!$G$200*GREET1_Import_Export!$B207+GREET1_Import_Export!$G207)+F$31*(F$19*(GREET1_Import_Export!$B78)+GREET1_Import_Export!$B243)+F$32*(F$19*(GREET1_Import_Export!$AA78)+GREET1_Import_Export!$C296)+F$33*(F$19*GREET1_Import_Export!$AC78+1000000/GREET1_Import_Export!$B$40*Steel!B135)+F$34*(F$19*'GREET2_Factors_T&amp;D'!$D21+1000000/GREET1_Import_Export!$B$40*Steel!B135)+F$35*(GREET1_Import_Export!$D321+GREET1_Import_Export!$E321)</f>
        <v>4.705098712547251</v>
      </c>
      <c r="G63" s="348"/>
      <c r="H63" s="349">
        <f>H$29*(H$19*(GREET1_Import_Export!$K78)+GREET1_Import_Export!$F$200*GREET1_Import_Export!$B207+GREET1_Import_Export!$F207)+H$30*(H$19*(GREET1_Import_Export!$O78)+GREET1_Import_Export!$G$200*GREET1_Import_Export!$B207+GREET1_Import_Export!$G207)+H$31*(H$19*(GREET1_Import_Export!$B78)+GREET1_Import_Export!$B243)+H$32*(H$19*(GREET1_Import_Export!$AA78)+GREET1_Import_Export!$C296)+H$33*(H$19*GREET1_Import_Export!$AC78+GREET1_Import_Export!$B207*GREET1_Import_Export!$I$200+GREET1_Import_Export!$I207)+H$35*(GREET1_Import_Export!$D321+GREET1_Import_Export!$E321)</f>
        <v>1.7559596343887662E-2</v>
      </c>
      <c r="J63" s="347">
        <f>J$29*(J$19*(GREET1_Import_Export!$K78)+GREET1_Import_Export!$F$200*GREET1_Import_Export!$B207+GREET1_Import_Export!$F207)+J$30*(J$19*(GREET1_Import_Export!$O78)+GREET1_Import_Export!$G$200*GREET1_Import_Export!$B207+GREET1_Import_Export!$G207)+J$31*(J$19*(GREET1_Import_Export!$B78)+GREET1_Import_Export!$B243)+J$32*(J$19*(GREET1_Import_Export!$AA78)+GREET1_Import_Export!$C296)+J$33*(J$19*GREET1_Import_Export!$AC78+GREET1_Import_Export!$B207*GREET1_Import_Export!$I$200+GREET1_Import_Export!$I207)+J$35*(GREET1_Import_Export!$D321+GREET1_Import_Export!$E321)</f>
        <v>0.36608842770693412</v>
      </c>
      <c r="K63" s="348"/>
    </row>
    <row r="64" spans="1:11" s="349" customFormat="1">
      <c r="A64" s="503" t="s">
        <v>828</v>
      </c>
      <c r="B64" s="503">
        <f>B$29*(B$19*(B$8*GREET1_Import_Export!$K79)+GREET1_Import_Export!$F$200*GREET1_Import_Export!$B208+GREET1_Import_Export!$F208)+B$30*(B$19*(B$12*GREET1_Import_Export!$R79+B$13*GREET1_Import_Export!$I153)+GREET1_Import_Export!$H$200*GREET1_Import_Export!$B208+GREET1_Import_Export!$H208)+B$31*(B$19*(B$9*GREET1_Import_Export!$B79+B$10*GREET1_Import_Export!$I125)+GREET1_Import_Export!$B244)+B$32*(B$19*(B$11*GREET1_Import_Export!$AA79)+GREET1_Import_Export!$C297)+B$35*(GREET1_Import_Export!$D322+GREET1_Import_Export!$E322)</f>
        <v>0</v>
      </c>
      <c r="C64" s="502"/>
      <c r="D64" s="505">
        <f>D$29*(D$19*(GREET1_Import_Export!$K79)+GREET1_Import_Export!$F$200*GREET1_Import_Export!$B208+GREET1_Import_Export!$F208)+D$30*(D$19*(GREET1_Import_Export!$O79)+GREET1_Import_Export!$G$200*GREET1_Import_Export!$B208+GREET1_Import_Export!$G208)+D$31*(D$19*(GREET1_Import_Export!$B79)+GREET1_Import_Export!$B244)+D$32*(D$19*(GREET1_Import_Export!$AA79)+GREET1_Import_Export!$C297)+D$35*(GREET1_Import_Export!$D322+GREET1_Import_Export!$E322)</f>
        <v>33.171009284898396</v>
      </c>
      <c r="E64" s="505"/>
      <c r="F64" s="503">
        <f ca="1">F$29*(F$19*(GREET1_Import_Export!$K79)+GREET1_Import_Export!$F$200*GREET1_Import_Export!$B208+GREET1_Import_Export!$F208)+F$30*(F$19*(GREET1_Import_Export!$O79)+GREET1_Import_Export!$G$200*GREET1_Import_Export!$B208+GREET1_Import_Export!$G208)+F$31*(F$19*(GREET1_Import_Export!$B79)+GREET1_Import_Export!$B244)+F$32*(F$19*(GREET1_Import_Export!$AA79)+GREET1_Import_Export!$C297)+F$33*(F$19*GREET1_Import_Export!$AC79+1000000/GREET1_Import_Export!$B$40*Steel!B136)+F$34*(F$19*'GREET2_Factors_T&amp;D'!$D22+1000000/GREET1_Import_Export!$B$40*Steel!B136)+F$35*(GREET1_Import_Export!$D322+GREET1_Import_Export!$E322)</f>
        <v>25.444665729732328</v>
      </c>
      <c r="G64" s="502"/>
      <c r="H64" s="505">
        <f>H$29*(H$19*(GREET1_Import_Export!$K79)+GREET1_Import_Export!$F$200*GREET1_Import_Export!$B208+GREET1_Import_Export!$F208)+H$30*(H$19*(GREET1_Import_Export!$O79)+GREET1_Import_Export!$G$200*GREET1_Import_Export!$B208+GREET1_Import_Export!$G208)+H$31*(H$19*(GREET1_Import_Export!$B79)+GREET1_Import_Export!$B244)+H$32*(H$19*(GREET1_Import_Export!$AA79)+GREET1_Import_Export!$C297)+H$33*(H$19*GREET1_Import_Export!$AC79+GREET1_Import_Export!$B208*GREET1_Import_Export!$I$200+GREET1_Import_Export!$I208)+H$35*(GREET1_Import_Export!$D322+GREET1_Import_Export!$E322)</f>
        <v>7.8627387007622646E-2</v>
      </c>
      <c r="I64" s="505"/>
      <c r="J64" s="503">
        <f>J$29*(J$19*(GREET1_Import_Export!$K79)+GREET1_Import_Export!$F$200*GREET1_Import_Export!$B208+GREET1_Import_Export!$F208)+J$30*(J$19*(GREET1_Import_Export!$O79)+GREET1_Import_Export!$G$200*GREET1_Import_Export!$B208+GREET1_Import_Export!$G208)+J$31*(J$19*(GREET1_Import_Export!$B79)+GREET1_Import_Export!$B244)+J$32*(J$19*(GREET1_Import_Export!$AA79)+GREET1_Import_Export!$C297)+J$33*(J$19*GREET1_Import_Export!$AC79+GREET1_Import_Export!$B208*GREET1_Import_Export!$I$200+GREET1_Import_Export!$I208)+J$35*(GREET1_Import_Export!$D322+GREET1_Import_Export!$E322)</f>
        <v>1.9994203310225933</v>
      </c>
      <c r="K64" s="502"/>
    </row>
    <row r="65" spans="1:10" s="349" customFormat="1"/>
    <row r="66" spans="1:10" s="5" customFormat="1" ht="15">
      <c r="A66" s="381" t="s">
        <v>1120</v>
      </c>
    </row>
    <row r="67" spans="1:10" s="5" customFormat="1" ht="15">
      <c r="A67" s="772"/>
      <c r="B67" s="2986" t="s">
        <v>1121</v>
      </c>
      <c r="C67" s="2987"/>
      <c r="D67" s="2988"/>
      <c r="E67" s="2990" t="s">
        <v>1122</v>
      </c>
      <c r="F67" s="2982" t="s">
        <v>1117</v>
      </c>
      <c r="G67" s="2986" t="s">
        <v>1121</v>
      </c>
      <c r="H67" s="2988"/>
      <c r="I67" s="2987" t="s">
        <v>1122</v>
      </c>
      <c r="J67" s="2988"/>
    </row>
    <row r="68" spans="1:10" ht="57" customHeight="1">
      <c r="A68" s="230"/>
      <c r="B68" s="774" t="s">
        <v>561</v>
      </c>
      <c r="C68" s="456" t="s">
        <v>1114</v>
      </c>
      <c r="D68" s="775" t="s">
        <v>1115</v>
      </c>
      <c r="E68" s="3086"/>
      <c r="F68" s="3052"/>
      <c r="G68" s="3084" t="s">
        <v>1123</v>
      </c>
      <c r="H68" s="3085"/>
      <c r="I68" s="3087" t="s">
        <v>1123</v>
      </c>
      <c r="J68" s="3085"/>
    </row>
    <row r="69" spans="1:10">
      <c r="A69" s="238" t="s">
        <v>1029</v>
      </c>
      <c r="B69" s="379"/>
      <c r="C69" s="409"/>
      <c r="D69" s="773"/>
      <c r="E69" s="773"/>
      <c r="F69" s="546"/>
      <c r="G69" s="744" t="s">
        <v>845</v>
      </c>
      <c r="H69" s="543" t="s">
        <v>846</v>
      </c>
      <c r="I69" s="543" t="s">
        <v>845</v>
      </c>
      <c r="J69" s="543" t="s">
        <v>846</v>
      </c>
    </row>
    <row r="70" spans="1:10" s="349" customFormat="1">
      <c r="A70" s="347" t="s">
        <v>816</v>
      </c>
      <c r="B70" s="347">
        <f>B36</f>
        <v>0</v>
      </c>
      <c r="C70" s="349">
        <f>D36</f>
        <v>208.76705181012653</v>
      </c>
      <c r="D70" s="348">
        <f ca="1">F36</f>
        <v>277.59310743537952</v>
      </c>
      <c r="E70" s="348">
        <f>H36</f>
        <v>2.8537588389710637</v>
      </c>
      <c r="F70" s="347">
        <f>J36</f>
        <v>10.798194729398883</v>
      </c>
      <c r="G70" s="494">
        <f t="shared" ref="G70:G75" ca="1" si="1">B70+MMULT($C70:$D70,$B$4:$B$5)+F70</f>
        <v>219.56524653952542</v>
      </c>
      <c r="H70" s="348">
        <f ca="1">G70/2000</f>
        <v>0.10978262326976271</v>
      </c>
      <c r="I70" s="348">
        <f>SUM(E70:F70)</f>
        <v>13.651953568369947</v>
      </c>
      <c r="J70" s="348">
        <f>I70/2000</f>
        <v>6.825976784184974E-3</v>
      </c>
    </row>
    <row r="71" spans="1:10" s="349" customFormat="1">
      <c r="A71" s="347" t="s">
        <v>817</v>
      </c>
      <c r="B71" s="347">
        <f>B37</f>
        <v>0</v>
      </c>
      <c r="C71" s="349">
        <f>D37</f>
        <v>187.14696419017426</v>
      </c>
      <c r="D71" s="348">
        <f ca="1">F37</f>
        <v>261.50576664861882</v>
      </c>
      <c r="E71" s="348">
        <f>H37</f>
        <v>2.8074395582652873</v>
      </c>
      <c r="F71" s="347">
        <f>J37</f>
        <v>9.4894019525518409</v>
      </c>
      <c r="G71" s="494">
        <f t="shared" ca="1" si="1"/>
        <v>196.6363661427261</v>
      </c>
      <c r="H71" s="348">
        <f ca="1">G71/2000</f>
        <v>9.8318183071363058E-2</v>
      </c>
      <c r="I71" s="348">
        <f t="shared" ref="I71:I98" si="2">SUM(E71:F71)</f>
        <v>12.296841510817128</v>
      </c>
      <c r="J71" s="348">
        <f>I71/2000</f>
        <v>6.1484207554085638E-3</v>
      </c>
    </row>
    <row r="72" spans="1:10" s="349" customFormat="1">
      <c r="A72" s="347" t="s">
        <v>805</v>
      </c>
      <c r="B72" s="347">
        <f>B38</f>
        <v>0</v>
      </c>
      <c r="C72" s="349">
        <f>D38</f>
        <v>28.57978597351492</v>
      </c>
      <c r="D72" s="348">
        <f ca="1">F38</f>
        <v>215.12869502564459</v>
      </c>
      <c r="E72" s="348">
        <f>H38</f>
        <v>6.12278344659829E-2</v>
      </c>
      <c r="F72" s="347">
        <f>J38</f>
        <v>1.7301193181042782</v>
      </c>
      <c r="G72" s="494">
        <f t="shared" ca="1" si="1"/>
        <v>30.309905291619199</v>
      </c>
      <c r="H72" s="348">
        <f ca="1">G72/2000</f>
        <v>1.51549526458096E-2</v>
      </c>
      <c r="I72" s="348">
        <f t="shared" si="2"/>
        <v>1.7913471525702611</v>
      </c>
      <c r="J72" s="348">
        <f>I72/2000</f>
        <v>8.9567357628513055E-4</v>
      </c>
    </row>
    <row r="73" spans="1:10" s="349" customFormat="1">
      <c r="A73" s="347" t="s">
        <v>804</v>
      </c>
      <c r="B73" s="347">
        <f>B71-B72-B74</f>
        <v>0</v>
      </c>
      <c r="C73" s="349">
        <f>C71-C72-C74</f>
        <v>156.5620867337098</v>
      </c>
      <c r="D73" s="348">
        <f ca="1">D71-D72-D74</f>
        <v>41.102923760619539</v>
      </c>
      <c r="E73" s="348">
        <f>E71-E72-E74</f>
        <v>2.7347742043792489</v>
      </c>
      <c r="F73" s="347">
        <f>F71-F72-F74</f>
        <v>7.6888506858190162</v>
      </c>
      <c r="G73" s="494">
        <f t="shared" ca="1" si="1"/>
        <v>164.25093741952881</v>
      </c>
      <c r="H73" s="348">
        <f ca="1">H71-H72-H74</f>
        <v>8.2125468709764421E-2</v>
      </c>
      <c r="I73" s="348">
        <f t="shared" si="2"/>
        <v>10.423624890198266</v>
      </c>
      <c r="J73" s="348">
        <f>J71-J72-J74</f>
        <v>5.2118124450991326E-3</v>
      </c>
    </row>
    <row r="74" spans="1:10" s="349" customFormat="1">
      <c r="A74" s="503" t="s">
        <v>818</v>
      </c>
      <c r="B74" s="503">
        <f>B40</f>
        <v>0</v>
      </c>
      <c r="C74" s="505">
        <f>D40</f>
        <v>2.0050914829495348</v>
      </c>
      <c r="D74" s="502">
        <f ca="1">F40</f>
        <v>5.2741478623546909</v>
      </c>
      <c r="E74" s="502">
        <f>H40</f>
        <v>1.1437519420055902E-2</v>
      </c>
      <c r="F74" s="347">
        <f>J40</f>
        <v>7.043194862854657E-2</v>
      </c>
      <c r="G74" s="494">
        <f t="shared" ca="1" si="1"/>
        <v>2.0755234315780813</v>
      </c>
      <c r="H74" s="348">
        <f ca="1">G74/2000</f>
        <v>1.0377617157890406E-3</v>
      </c>
      <c r="I74" s="348">
        <f t="shared" si="2"/>
        <v>8.186946804860247E-2</v>
      </c>
      <c r="J74" s="348">
        <f>I74/2000</f>
        <v>4.0934734024301232E-5</v>
      </c>
    </row>
    <row r="75" spans="1:10" s="349" customFormat="1">
      <c r="A75" s="503" t="s">
        <v>819</v>
      </c>
      <c r="B75" s="668">
        <f>B41</f>
        <v>0</v>
      </c>
      <c r="C75" s="374">
        <f>D41</f>
        <v>5858.1078528991748</v>
      </c>
      <c r="D75" s="752">
        <f ca="1">F41</f>
        <v>4833.1635328402372</v>
      </c>
      <c r="E75" s="752">
        <f>H41</f>
        <v>18.842384778758117</v>
      </c>
      <c r="F75" s="1687">
        <f>J41</f>
        <v>349.06058485621531</v>
      </c>
      <c r="G75" s="1504">
        <f t="shared" ca="1" si="1"/>
        <v>6207.1684377553902</v>
      </c>
      <c r="H75" s="1573">
        <f ca="1">G75/2000</f>
        <v>3.1035842188776952</v>
      </c>
      <c r="I75" s="1136">
        <f t="shared" si="2"/>
        <v>367.90296963497343</v>
      </c>
      <c r="J75" s="1573">
        <f>I75/2000</f>
        <v>0.18395148481748672</v>
      </c>
    </row>
    <row r="76" spans="1:10" s="349" customFormat="1">
      <c r="A76" s="699" t="s">
        <v>1030</v>
      </c>
      <c r="B76" s="510"/>
      <c r="C76" s="512"/>
      <c r="D76" s="509"/>
      <c r="E76" s="509"/>
      <c r="F76" s="510"/>
      <c r="G76" s="754" t="s">
        <v>845</v>
      </c>
      <c r="H76" s="544" t="s">
        <v>846</v>
      </c>
      <c r="I76" s="544" t="s">
        <v>845</v>
      </c>
      <c r="J76" s="544" t="s">
        <v>846</v>
      </c>
    </row>
    <row r="77" spans="1:10" s="349" customFormat="1">
      <c r="A77" s="347" t="s">
        <v>821</v>
      </c>
      <c r="B77" s="347">
        <f t="shared" ref="B77:B87" si="3">SUM(B43:C43)</f>
        <v>0</v>
      </c>
      <c r="C77" s="349">
        <f t="shared" ref="C77:C87" si="4">SUM(D43:E43)</f>
        <v>1926.4483900795028</v>
      </c>
      <c r="D77" s="348">
        <f t="shared" ref="D77:D87" ca="1" si="5">SUM(F43:G43)</f>
        <v>7822.8122355267697</v>
      </c>
      <c r="E77" s="348">
        <f t="shared" ref="E77:E87" si="6">SUM(H43:I43)</f>
        <v>32.124600731697527</v>
      </c>
      <c r="F77" s="347">
        <f t="shared" ref="F77:F87" si="7">SUM(J43:K43)</f>
        <v>95.400789454400694</v>
      </c>
      <c r="G77" s="494">
        <f t="shared" ref="G77:G88" ca="1" si="8">B77+MMULT($C77:$D77,$B$4:$B$5)+F77</f>
        <v>2021.8491795339035</v>
      </c>
      <c r="H77" s="348">
        <f t="shared" ref="H77:H88" ca="1" si="9">G77/2000</f>
        <v>1.0109245897669517</v>
      </c>
      <c r="I77" s="348">
        <f t="shared" si="2"/>
        <v>127.52539018609822</v>
      </c>
      <c r="J77" s="348">
        <f t="shared" ref="J77:J88" si="10">I77/2000</f>
        <v>6.3762695093049104E-2</v>
      </c>
    </row>
    <row r="78" spans="1:10" s="349" customFormat="1">
      <c r="A78" s="347" t="s">
        <v>822</v>
      </c>
      <c r="B78" s="347">
        <f t="shared" si="3"/>
        <v>0</v>
      </c>
      <c r="C78" s="349">
        <f t="shared" si="4"/>
        <v>7341.9993952072273</v>
      </c>
      <c r="D78" s="348">
        <f t="shared" ca="1" si="5"/>
        <v>8226.9425476249107</v>
      </c>
      <c r="E78" s="348">
        <f t="shared" si="6"/>
        <v>131.73649636017802</v>
      </c>
      <c r="F78" s="347">
        <f t="shared" si="7"/>
        <v>334.76217802780428</v>
      </c>
      <c r="G78" s="494">
        <f t="shared" ca="1" si="8"/>
        <v>7676.7615732350314</v>
      </c>
      <c r="H78" s="348">
        <f t="shared" ca="1" si="9"/>
        <v>3.8383807866175159</v>
      </c>
      <c r="I78" s="348">
        <f t="shared" si="2"/>
        <v>466.49867438798231</v>
      </c>
      <c r="J78" s="348">
        <f t="shared" si="10"/>
        <v>0.23324933719399116</v>
      </c>
    </row>
    <row r="79" spans="1:10" s="349" customFormat="1">
      <c r="A79" s="347" t="s">
        <v>849</v>
      </c>
      <c r="B79" s="347">
        <f t="shared" si="3"/>
        <v>0</v>
      </c>
      <c r="C79" s="349">
        <f t="shared" si="4"/>
        <v>11008.621393341104</v>
      </c>
      <c r="D79" s="348">
        <f t="shared" ca="1" si="5"/>
        <v>30649.61577194772</v>
      </c>
      <c r="E79" s="348">
        <f t="shared" si="6"/>
        <v>181.85829436885152</v>
      </c>
      <c r="F79" s="347">
        <f t="shared" si="7"/>
        <v>536.3223773290224</v>
      </c>
      <c r="G79" s="494">
        <f t="shared" ca="1" si="8"/>
        <v>11544.943770670126</v>
      </c>
      <c r="H79" s="348">
        <f t="shared" ca="1" si="9"/>
        <v>5.7724718853350634</v>
      </c>
      <c r="I79" s="348">
        <f t="shared" si="2"/>
        <v>718.18067169787389</v>
      </c>
      <c r="J79" s="348">
        <f t="shared" si="10"/>
        <v>0.35909033584893696</v>
      </c>
    </row>
    <row r="80" spans="1:10" s="349" customFormat="1">
      <c r="A80" s="347" t="s">
        <v>824</v>
      </c>
      <c r="B80" s="347">
        <f t="shared" si="3"/>
        <v>0</v>
      </c>
      <c r="C80" s="349">
        <f t="shared" si="4"/>
        <v>1018.7147736202585</v>
      </c>
      <c r="D80" s="348">
        <f t="shared" ca="1" si="5"/>
        <v>5177.4023689792994</v>
      </c>
      <c r="E80" s="348">
        <f t="shared" si="6"/>
        <v>10.69136219287191</v>
      </c>
      <c r="F80" s="347">
        <f t="shared" si="7"/>
        <v>54.309876048172796</v>
      </c>
      <c r="G80" s="494">
        <f t="shared" ca="1" si="8"/>
        <v>1073.0246496684313</v>
      </c>
      <c r="H80" s="348">
        <f t="shared" ca="1" si="9"/>
        <v>0.53651232483421563</v>
      </c>
      <c r="I80" s="348">
        <f t="shared" si="2"/>
        <v>65.001238241044703</v>
      </c>
      <c r="J80" s="348">
        <f t="shared" si="10"/>
        <v>3.250061912052235E-2</v>
      </c>
    </row>
    <row r="81" spans="1:10" s="349" customFormat="1">
      <c r="A81" s="347" t="s">
        <v>825</v>
      </c>
      <c r="B81" s="347">
        <f t="shared" si="3"/>
        <v>0</v>
      </c>
      <c r="C81" s="349">
        <f t="shared" si="4"/>
        <v>762.31616644669157</v>
      </c>
      <c r="D81" s="348">
        <f t="shared" ca="1" si="5"/>
        <v>2328.681249991781</v>
      </c>
      <c r="E81" s="348">
        <f t="shared" si="6"/>
        <v>10.071241916639561</v>
      </c>
      <c r="F81" s="347">
        <f t="shared" si="7"/>
        <v>38.856986425333076</v>
      </c>
      <c r="G81" s="494">
        <f t="shared" ca="1" si="8"/>
        <v>801.17315287202462</v>
      </c>
      <c r="H81" s="348">
        <f t="shared" ca="1" si="9"/>
        <v>0.40058657643601231</v>
      </c>
      <c r="I81" s="348">
        <f t="shared" si="2"/>
        <v>48.928228341972641</v>
      </c>
      <c r="J81" s="348">
        <f t="shared" si="10"/>
        <v>2.4464114170986321E-2</v>
      </c>
    </row>
    <row r="82" spans="1:10" s="349" customFormat="1">
      <c r="A82" s="347" t="s">
        <v>826</v>
      </c>
      <c r="B82" s="347">
        <f t="shared" si="3"/>
        <v>0</v>
      </c>
      <c r="C82" s="349">
        <f t="shared" si="4"/>
        <v>4387.1299108073654</v>
      </c>
      <c r="D82" s="348">
        <f t="shared" ca="1" si="5"/>
        <v>77759.288369416754</v>
      </c>
      <c r="E82" s="348">
        <f t="shared" si="6"/>
        <v>34.016725829009275</v>
      </c>
      <c r="F82" s="347">
        <f t="shared" si="7"/>
        <v>247.08860784079775</v>
      </c>
      <c r="G82" s="494">
        <f t="shared" ca="1" si="8"/>
        <v>4634.2185186481629</v>
      </c>
      <c r="H82" s="348">
        <f t="shared" ca="1" si="9"/>
        <v>2.3171092593240816</v>
      </c>
      <c r="I82" s="348">
        <f t="shared" si="2"/>
        <v>281.10533366980701</v>
      </c>
      <c r="J82" s="348">
        <f t="shared" si="10"/>
        <v>0.1405526668349035</v>
      </c>
    </row>
    <row r="83" spans="1:10" s="349" customFormat="1">
      <c r="A83" s="749" t="s">
        <v>827</v>
      </c>
      <c r="B83" s="347">
        <f t="shared" si="3"/>
        <v>0</v>
      </c>
      <c r="C83" s="349">
        <f t="shared" si="4"/>
        <v>100.01185503465499</v>
      </c>
      <c r="D83" s="348">
        <f t="shared" ca="1" si="5"/>
        <v>94.550537995536914</v>
      </c>
      <c r="E83" s="348">
        <f t="shared" si="6"/>
        <v>1.6681890274468421</v>
      </c>
      <c r="F83" s="347">
        <f t="shared" si="7"/>
        <v>4.1752205076222495</v>
      </c>
      <c r="G83" s="494">
        <f t="shared" ca="1" si="8"/>
        <v>104.18707554227723</v>
      </c>
      <c r="H83" s="348">
        <f t="shared" ca="1" si="9"/>
        <v>5.2093537771138614E-2</v>
      </c>
      <c r="I83" s="348">
        <f t="shared" si="2"/>
        <v>5.8434095350690916</v>
      </c>
      <c r="J83" s="348">
        <f t="shared" si="10"/>
        <v>2.9217047675345457E-3</v>
      </c>
    </row>
    <row r="84" spans="1:10" s="349" customFormat="1">
      <c r="A84" s="749" t="s">
        <v>828</v>
      </c>
      <c r="B84" s="347">
        <f t="shared" si="3"/>
        <v>0</v>
      </c>
      <c r="C84" s="349">
        <f t="shared" si="4"/>
        <v>268.40130147229667</v>
      </c>
      <c r="D84" s="348">
        <f t="shared" ca="1" si="5"/>
        <v>195.3723735827885</v>
      </c>
      <c r="E84" s="348">
        <f t="shared" si="6"/>
        <v>4.1578433214381043</v>
      </c>
      <c r="F84" s="347">
        <f t="shared" si="7"/>
        <v>13.396072952474972</v>
      </c>
      <c r="G84" s="494">
        <f t="shared" ca="1" si="8"/>
        <v>281.79737442477165</v>
      </c>
      <c r="H84" s="348">
        <f t="shared" ca="1" si="9"/>
        <v>0.14089868721238583</v>
      </c>
      <c r="I84" s="348">
        <f t="shared" si="2"/>
        <v>17.553916273913075</v>
      </c>
      <c r="J84" s="348">
        <f t="shared" si="10"/>
        <v>8.7769581369565378E-3</v>
      </c>
    </row>
    <row r="85" spans="1:10" s="349" customFormat="1">
      <c r="A85" s="347" t="s">
        <v>829</v>
      </c>
      <c r="B85" s="347">
        <f t="shared" si="3"/>
        <v>0</v>
      </c>
      <c r="C85" s="349">
        <f t="shared" si="4"/>
        <v>34309.195077168915</v>
      </c>
      <c r="D85" s="348">
        <f t="shared" ca="1" si="5"/>
        <v>37957.382788078467</v>
      </c>
      <c r="E85" s="348">
        <f t="shared" si="6"/>
        <v>548.01951037619028</v>
      </c>
      <c r="F85" s="347">
        <f t="shared" si="7"/>
        <v>1719.3141892417902</v>
      </c>
      <c r="G85" s="494">
        <f t="shared" ca="1" si="8"/>
        <v>36028.509266410707</v>
      </c>
      <c r="H85" s="348">
        <f t="shared" ca="1" si="9"/>
        <v>18.014254633205354</v>
      </c>
      <c r="I85" s="348">
        <f t="shared" si="2"/>
        <v>2267.3336996179805</v>
      </c>
      <c r="J85" s="348">
        <f t="shared" si="10"/>
        <v>1.1336668498089904</v>
      </c>
    </row>
    <row r="86" spans="1:10" s="349" customFormat="1">
      <c r="A86" s="347" t="s">
        <v>830</v>
      </c>
      <c r="B86" s="347">
        <f t="shared" si="3"/>
        <v>0</v>
      </c>
      <c r="C86" s="349">
        <f t="shared" si="4"/>
        <v>329.75687277621614</v>
      </c>
      <c r="D86" s="348">
        <f t="shared" ca="1" si="5"/>
        <v>247.95673453340248</v>
      </c>
      <c r="E86" s="348">
        <f t="shared" si="6"/>
        <v>5.4431934872287711</v>
      </c>
      <c r="F86" s="347">
        <f t="shared" si="7"/>
        <v>16.405759872561283</v>
      </c>
      <c r="G86" s="494">
        <f t="shared" ca="1" si="8"/>
        <v>346.16263264877745</v>
      </c>
      <c r="H86" s="348">
        <f t="shared" ca="1" si="9"/>
        <v>0.17308131632438872</v>
      </c>
      <c r="I86" s="348">
        <f t="shared" si="2"/>
        <v>21.848953359790055</v>
      </c>
      <c r="J86" s="348">
        <f t="shared" si="10"/>
        <v>1.0924476679895028E-2</v>
      </c>
    </row>
    <row r="87" spans="1:10" s="419" customFormat="1">
      <c r="A87" s="517" t="s">
        <v>831</v>
      </c>
      <c r="B87" s="251">
        <f t="shared" si="3"/>
        <v>0</v>
      </c>
      <c r="C87" s="246">
        <f t="shared" si="4"/>
        <v>14022738.950623084</v>
      </c>
      <c r="D87" s="247">
        <f t="shared" ca="1" si="5"/>
        <v>26110864.705658548</v>
      </c>
      <c r="E87" s="247">
        <f t="shared" si="6"/>
        <v>169069.55181677482</v>
      </c>
      <c r="F87" s="251">
        <f t="shared" si="7"/>
        <v>634550.96471303713</v>
      </c>
      <c r="G87" s="253">
        <f t="shared" ca="1" si="8"/>
        <v>14657289.915336121</v>
      </c>
      <c r="H87" s="247">
        <f t="shared" ca="1" si="9"/>
        <v>7328.6449576680607</v>
      </c>
      <c r="I87" s="247">
        <f t="shared" si="2"/>
        <v>803620.51652981201</v>
      </c>
      <c r="J87" s="247">
        <f t="shared" si="10"/>
        <v>401.810258264906</v>
      </c>
    </row>
    <row r="88" spans="1:10" s="419" customFormat="1">
      <c r="A88" s="517" t="s">
        <v>850</v>
      </c>
      <c r="B88" s="251">
        <f>B87+B77*GREET1_Import_Export!$B$62/GREET1_Import_Export!$B$65+B78*GREET1_Import_Export!$B$63/GREET1_Import_Export!$B$65</f>
        <v>0</v>
      </c>
      <c r="C88" s="246">
        <f>C87+C77*GREET1_Import_Export!$B$62/GREET1_Import_Export!$B$65+C78*GREET1_Import_Export!$B$63/GREET1_Import_Export!$B$65</f>
        <v>14040280.475726539</v>
      </c>
      <c r="D88" s="247">
        <f ca="1">D87+D77*GREET1_Import_Export!$B$62/GREET1_Import_Export!$B$65+D78*GREET1_Import_Export!$B$63/GREET1_Import_Export!$B$65</f>
        <v>26148173.856367446</v>
      </c>
      <c r="E88" s="247">
        <f>E87+E77*GREET1_Import_Export!$B$62/GREET1_Import_Export!$B$65+E78*GREET1_Import_Export!$B$63/GREET1_Import_Export!$B$65</f>
        <v>169376.68798333555</v>
      </c>
      <c r="F88" s="251">
        <f>F87+F77*GREET1_Import_Export!$B$62/GREET1_Import_Export!$B$65+F78*GREET1_Import_Export!$B$63/GREET1_Import_Export!$B$65</f>
        <v>635374.3520246899</v>
      </c>
      <c r="G88" s="253">
        <f t="shared" ca="1" si="8"/>
        <v>14675654.827751229</v>
      </c>
      <c r="H88" s="247">
        <f t="shared" ca="1" si="9"/>
        <v>7337.8274138756142</v>
      </c>
      <c r="I88" s="247">
        <f t="shared" si="2"/>
        <v>804751.04000802548</v>
      </c>
      <c r="J88" s="247">
        <f t="shared" si="10"/>
        <v>402.37552000401274</v>
      </c>
    </row>
    <row r="89" spans="1:10" s="419" customFormat="1">
      <c r="A89" s="668" t="s">
        <v>851</v>
      </c>
      <c r="B89" s="295">
        <f>B88+SUMPRODUCT(B85:B86,GREET1_Import_Export!$B$51:$B$52)+SUMPRODUCT(B77:B79,GREET1_Import_Export!$B$55:$B$57)+SUMPRODUCT(B83:B84,GREET1_Import_Export!$B$58:$B$59)+C54*'GREET2_Factors_T&amp;D'!$B$8</f>
        <v>0</v>
      </c>
      <c r="C89" s="294">
        <f>C88+SUMPRODUCT(C85:C86,GREET1_Import_Export!$B$51:$B$52)+SUMPRODUCT(C77:C79,GREET1_Import_Export!$B$55:$B$57)+SUMPRODUCT(C83:C84,GREET1_Import_Export!$B$58:$B$59)+E54*'GREET2_Factors_T&amp;D'!$B$8+E55*'GREET2_Factors_T&amp;D'!$B$9</f>
        <v>16144941.899327304</v>
      </c>
      <c r="D89" s="296">
        <f ca="1">D88+SUMPRODUCT(D85:D86,GREET1_Import_Export!$B$51:$B$52)+SUMPRODUCT(D77:D79,GREET1_Import_Export!$B$55:$B$57)+SUMPRODUCT(D83:D84,GREET1_Import_Export!$B$58:$B$59)+G54*'GREET2_Factors_T&amp;D'!$B$8+G55*'GREET2_Factors_T&amp;D'!$B$9</f>
        <v>27352603.874661151</v>
      </c>
      <c r="E89" s="296">
        <f>E88+SUMPRODUCT(E85:E86,GREET1_Import_Export!$B$51:$B$52)+SUMPRODUCT(E77:E79,GREET1_Import_Export!$B$55:$B$57)+SUMPRODUCT(E83:E84,GREET1_Import_Export!$B$58:$B$59)+I54*'GREET2_Factors_T&amp;D'!$B$8+I55*'GREET2_Factors_T&amp;D'!$B$9</f>
        <v>5122259.7195687369</v>
      </c>
      <c r="F89" s="295">
        <f>F88+SUMPRODUCT(F85:F86,GREET1_Import_Export!$B$51:$B$52)+SUMPRODUCT(F77:F79,GREET1_Import_Export!$B$55:$B$57)+SUMPRODUCT(F83:F84,GREET1_Import_Export!$B$58:$B$59)+K54*'GREET2_Factors_T&amp;D'!$B$8+K55*'GREET2_Factors_T&amp;D'!$B$9</f>
        <v>16906301.30406817</v>
      </c>
      <c r="G89" s="400">
        <f ca="1">B89+MMULT($C89:$D89,$B$4:$B$5)+F89</f>
        <v>33051243.203395475</v>
      </c>
      <c r="H89" s="296">
        <f ca="1">G89/2000</f>
        <v>16525.621601697738</v>
      </c>
      <c r="I89" s="296">
        <f>SUM(E89:F89)</f>
        <v>22028561.023636907</v>
      </c>
      <c r="J89" s="296">
        <f>I89/2000</f>
        <v>11014.280511818453</v>
      </c>
    </row>
    <row r="90" spans="1:10" s="349" customFormat="1">
      <c r="A90" s="758" t="s">
        <v>1031</v>
      </c>
      <c r="B90" s="347"/>
      <c r="D90" s="348"/>
      <c r="E90" s="348"/>
      <c r="F90" s="347"/>
      <c r="G90" s="768" t="s">
        <v>845</v>
      </c>
      <c r="H90" s="545" t="s">
        <v>846</v>
      </c>
      <c r="I90" s="545" t="s">
        <v>845</v>
      </c>
      <c r="J90" s="545" t="s">
        <v>846</v>
      </c>
    </row>
    <row r="91" spans="1:10" s="349" customFormat="1">
      <c r="A91" s="347" t="s">
        <v>821</v>
      </c>
      <c r="B91" s="347">
        <f t="shared" ref="B91:B98" si="11">SUM(B57:C57)</f>
        <v>0</v>
      </c>
      <c r="C91" s="349">
        <f t="shared" ref="C91:C98" si="12">SUM(D57:E57)</f>
        <v>102.59724461501349</v>
      </c>
      <c r="D91" s="348">
        <f t="shared" ref="D91:D98" ca="1" si="13">SUM(F57:G57)</f>
        <v>49.813964812810326</v>
      </c>
      <c r="E91" s="348">
        <f t="shared" ref="E91:E98" si="14">SUM(H57:I57)</f>
        <v>1.5209986157847872</v>
      </c>
      <c r="F91" s="347">
        <f t="shared" ref="F91:F98" si="15">SUM(J57:K57)</f>
        <v>5.1232856680903289</v>
      </c>
      <c r="G91" s="494">
        <f t="shared" ref="G91:G98" ca="1" si="16">B91+MMULT($C91:$D91,$B$4:$B$5)+F91</f>
        <v>107.72053028310383</v>
      </c>
      <c r="H91" s="348">
        <f t="shared" ref="H91:H98" ca="1" si="17">G91/2000</f>
        <v>5.3860265141551913E-2</v>
      </c>
      <c r="I91" s="348">
        <f t="shared" si="2"/>
        <v>6.6442842838751162</v>
      </c>
      <c r="J91" s="348">
        <f t="shared" ref="J91:J98" si="18">I91/2000</f>
        <v>3.3221421419375582E-3</v>
      </c>
    </row>
    <row r="92" spans="1:10" s="349" customFormat="1">
      <c r="A92" s="347" t="s">
        <v>822</v>
      </c>
      <c r="B92" s="347">
        <f t="shared" si="11"/>
        <v>0</v>
      </c>
      <c r="C92" s="349">
        <f t="shared" si="12"/>
        <v>598.66452165462829</v>
      </c>
      <c r="D92" s="348">
        <f t="shared" ca="1" si="13"/>
        <v>261.13608455896042</v>
      </c>
      <c r="E92" s="348">
        <f t="shared" si="14"/>
        <v>7.5429273649776984</v>
      </c>
      <c r="F92" s="347">
        <f t="shared" si="15"/>
        <v>31.511102434022519</v>
      </c>
      <c r="G92" s="494">
        <f t="shared" ca="1" si="16"/>
        <v>630.17562408865081</v>
      </c>
      <c r="H92" s="348">
        <f t="shared" ca="1" si="17"/>
        <v>0.3150878120443254</v>
      </c>
      <c r="I92" s="348">
        <f t="shared" si="2"/>
        <v>39.054029799000219</v>
      </c>
      <c r="J92" s="348">
        <f t="shared" si="18"/>
        <v>1.9527014899500109E-2</v>
      </c>
    </row>
    <row r="93" spans="1:10" s="349" customFormat="1">
      <c r="A93" s="347" t="s">
        <v>823</v>
      </c>
      <c r="B93" s="347">
        <f t="shared" si="11"/>
        <v>0</v>
      </c>
      <c r="C93" s="349">
        <f t="shared" si="12"/>
        <v>1297.0783648946333</v>
      </c>
      <c r="D93" s="348">
        <f t="shared" ca="1" si="13"/>
        <v>794.42729080254719</v>
      </c>
      <c r="E93" s="348">
        <f t="shared" si="14"/>
        <v>10.154108234402807</v>
      </c>
      <c r="F93" s="347">
        <f t="shared" si="15"/>
        <v>72.925341625121547</v>
      </c>
      <c r="G93" s="494">
        <f t="shared" ca="1" si="16"/>
        <v>1370.0037065197548</v>
      </c>
      <c r="H93" s="348">
        <f t="shared" ca="1" si="17"/>
        <v>0.68500185325987739</v>
      </c>
      <c r="I93" s="348">
        <f t="shared" si="2"/>
        <v>83.07944985952436</v>
      </c>
      <c r="J93" s="348">
        <f t="shared" si="18"/>
        <v>4.1539724929762177E-2</v>
      </c>
    </row>
    <row r="94" spans="1:10" s="349" customFormat="1">
      <c r="A94" s="749" t="s">
        <v>824</v>
      </c>
      <c r="B94" s="347">
        <f t="shared" si="11"/>
        <v>0</v>
      </c>
      <c r="C94" s="349">
        <f t="shared" si="12"/>
        <v>131.66916973085958</v>
      </c>
      <c r="D94" s="348">
        <f t="shared" ca="1" si="13"/>
        <v>99.970591161345467</v>
      </c>
      <c r="E94" s="348">
        <f t="shared" si="14"/>
        <v>0.30351385670275416</v>
      </c>
      <c r="F94" s="347">
        <f t="shared" si="15"/>
        <v>7.9345849107569482</v>
      </c>
      <c r="G94" s="494">
        <f t="shared" ca="1" si="16"/>
        <v>139.60375464161652</v>
      </c>
      <c r="H94" s="348">
        <f t="shared" ca="1" si="17"/>
        <v>6.9801877320808253E-2</v>
      </c>
      <c r="I94" s="348">
        <f t="shared" si="2"/>
        <v>8.2380987674597019</v>
      </c>
      <c r="J94" s="348">
        <f t="shared" si="18"/>
        <v>4.1190493837298513E-3</v>
      </c>
    </row>
    <row r="95" spans="1:10" s="349" customFormat="1">
      <c r="A95" s="347" t="s">
        <v>825</v>
      </c>
      <c r="B95" s="347">
        <f t="shared" si="11"/>
        <v>0</v>
      </c>
      <c r="C95" s="349">
        <f t="shared" si="12"/>
        <v>115.83615634029489</v>
      </c>
      <c r="D95" s="348">
        <f t="shared" ca="1" si="13"/>
        <v>87.937437029902938</v>
      </c>
      <c r="E95" s="348">
        <f t="shared" si="14"/>
        <v>0.26843733574388423</v>
      </c>
      <c r="F95" s="347">
        <f t="shared" si="15"/>
        <v>6.9797705636665563</v>
      </c>
      <c r="G95" s="494">
        <f t="shared" ca="1" si="16"/>
        <v>122.81592690396145</v>
      </c>
      <c r="H95" s="348">
        <f t="shared" ca="1" si="17"/>
        <v>6.1407963451980727E-2</v>
      </c>
      <c r="I95" s="348">
        <f t="shared" si="2"/>
        <v>7.2482078994104402</v>
      </c>
      <c r="J95" s="348">
        <f t="shared" si="18"/>
        <v>3.6241039497052199E-3</v>
      </c>
    </row>
    <row r="96" spans="1:10" s="349" customFormat="1">
      <c r="A96" s="749" t="s">
        <v>826</v>
      </c>
      <c r="B96" s="347">
        <f t="shared" si="11"/>
        <v>0</v>
      </c>
      <c r="C96" s="349">
        <f t="shared" si="12"/>
        <v>981.58347107925863</v>
      </c>
      <c r="D96" s="348">
        <f t="shared" ca="1" si="13"/>
        <v>725.40726365103001</v>
      </c>
      <c r="E96" s="348">
        <f t="shared" si="14"/>
        <v>2.3503146637048653</v>
      </c>
      <c r="F96" s="347">
        <f t="shared" si="15"/>
        <v>59.205924673553334</v>
      </c>
      <c r="G96" s="494">
        <f t="shared" ca="1" si="16"/>
        <v>1040.789395752812</v>
      </c>
      <c r="H96" s="348">
        <f t="shared" ca="1" si="17"/>
        <v>0.52039469787640602</v>
      </c>
      <c r="I96" s="348">
        <f t="shared" si="2"/>
        <v>61.556239337258198</v>
      </c>
      <c r="J96" s="348">
        <f t="shared" si="18"/>
        <v>3.07781196686291E-2</v>
      </c>
    </row>
    <row r="97" spans="1:10" s="349" customFormat="1">
      <c r="A97" s="347" t="s">
        <v>827</v>
      </c>
      <c r="B97" s="347">
        <f t="shared" si="11"/>
        <v>0</v>
      </c>
      <c r="C97" s="349">
        <f t="shared" si="12"/>
        <v>6.1398119414697838</v>
      </c>
      <c r="D97" s="348">
        <f t="shared" ca="1" si="13"/>
        <v>4.705098712547251</v>
      </c>
      <c r="E97" s="348">
        <f t="shared" si="14"/>
        <v>1.7559596343887662E-2</v>
      </c>
      <c r="F97" s="347">
        <f t="shared" si="15"/>
        <v>0.36608842770693412</v>
      </c>
      <c r="G97" s="494">
        <f t="shared" ca="1" si="16"/>
        <v>6.5059003691767181</v>
      </c>
      <c r="H97" s="348">
        <f t="shared" ca="1" si="17"/>
        <v>3.252950184588359E-3</v>
      </c>
      <c r="I97" s="348">
        <f t="shared" si="2"/>
        <v>0.38364802405082177</v>
      </c>
      <c r="J97" s="348">
        <f t="shared" si="18"/>
        <v>1.9182401202541088E-4</v>
      </c>
    </row>
    <row r="98" spans="1:10" s="349" customFormat="1">
      <c r="A98" s="501" t="s">
        <v>828</v>
      </c>
      <c r="B98" s="503">
        <f t="shared" si="11"/>
        <v>0</v>
      </c>
      <c r="C98" s="505">
        <f t="shared" si="12"/>
        <v>33.171009284898396</v>
      </c>
      <c r="D98" s="502">
        <f t="shared" ca="1" si="13"/>
        <v>25.444665729732328</v>
      </c>
      <c r="E98" s="502">
        <f t="shared" si="14"/>
        <v>7.8627387007622646E-2</v>
      </c>
      <c r="F98" s="503">
        <f t="shared" si="15"/>
        <v>1.9994203310225933</v>
      </c>
      <c r="G98" s="504">
        <f t="shared" ca="1" si="16"/>
        <v>35.170429615920987</v>
      </c>
      <c r="H98" s="502">
        <f t="shared" ca="1" si="17"/>
        <v>1.7585214807960495E-2</v>
      </c>
      <c r="I98" s="502">
        <f t="shared" si="2"/>
        <v>2.0780477180302159</v>
      </c>
      <c r="J98" s="502">
        <f t="shared" si="18"/>
        <v>1.039023859015108E-3</v>
      </c>
    </row>
  </sheetData>
  <mergeCells count="12">
    <mergeCell ref="J16:K16"/>
    <mergeCell ref="B67:D67"/>
    <mergeCell ref="B16:C16"/>
    <mergeCell ref="D16:E16"/>
    <mergeCell ref="G68:H68"/>
    <mergeCell ref="F16:G16"/>
    <mergeCell ref="H16:I16"/>
    <mergeCell ref="E67:E68"/>
    <mergeCell ref="F67:F68"/>
    <mergeCell ref="I68:J68"/>
    <mergeCell ref="G67:H67"/>
    <mergeCell ref="I67:J67"/>
  </mergeCells>
  <phoneticPr fontId="4"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Y99"/>
  <sheetViews>
    <sheetView showGridLines="0" zoomScale="85" zoomScaleNormal="85" workbookViewId="0"/>
  </sheetViews>
  <sheetFormatPr defaultColWidth="9.140625" defaultRowHeight="12.75"/>
  <cols>
    <col min="1" max="1" width="37" style="5" customWidth="1"/>
    <col min="2" max="4" width="12.85546875" style="5" bestFit="1" customWidth="1"/>
    <col min="5" max="5" width="10" style="5" customWidth="1"/>
    <col min="6" max="6" width="11.140625" style="5" customWidth="1"/>
    <col min="7" max="7" width="11.42578125" style="5" bestFit="1" customWidth="1"/>
    <col min="8" max="8" width="12.7109375" style="5" bestFit="1" customWidth="1"/>
    <col min="9" max="9" width="9.28515625" style="5" bestFit="1" customWidth="1"/>
    <col min="10" max="10" width="12.7109375" style="5" bestFit="1" customWidth="1"/>
    <col min="11" max="11" width="9.28515625" style="5" bestFit="1" customWidth="1"/>
    <col min="12" max="13" width="12" style="5" bestFit="1" customWidth="1"/>
    <col min="14" max="14" width="11.42578125" style="5" bestFit="1" customWidth="1"/>
    <col min="15" max="15" width="11.140625" style="5" bestFit="1" customWidth="1"/>
    <col min="16" max="16" width="12.7109375" style="5" bestFit="1" customWidth="1"/>
    <col min="17" max="17" width="9.28515625" style="5" bestFit="1" customWidth="1"/>
    <col min="18" max="19" width="9.140625" style="5"/>
    <col min="20" max="20" width="10.85546875" style="5" customWidth="1"/>
    <col min="21" max="16384" width="9.140625" style="5"/>
  </cols>
  <sheetData>
    <row r="1" spans="1:25" ht="15.75">
      <c r="A1" s="2" t="s">
        <v>1124</v>
      </c>
    </row>
    <row r="2" spans="1:25">
      <c r="A2" s="3"/>
    </row>
    <row r="3" spans="1:25" ht="15">
      <c r="A3" s="75" t="s">
        <v>1125</v>
      </c>
    </row>
    <row r="4" spans="1:25">
      <c r="A4" s="178"/>
      <c r="B4" s="402" t="s">
        <v>58</v>
      </c>
      <c r="C4" s="653" t="s">
        <v>368</v>
      </c>
    </row>
    <row r="5" spans="1:25">
      <c r="A5" s="539" t="s">
        <v>1126</v>
      </c>
      <c r="B5" s="368">
        <f>Mat_Inputs!B216</f>
        <v>0</v>
      </c>
      <c r="C5" s="428">
        <f>Mat_Inputs!C216</f>
        <v>1</v>
      </c>
    </row>
    <row r="6" spans="1:25">
      <c r="A6" s="3"/>
    </row>
    <row r="7" spans="1:25" ht="15">
      <c r="A7" s="75" t="s">
        <v>762</v>
      </c>
    </row>
    <row r="8" spans="1:25">
      <c r="A8" s="393" t="s">
        <v>769</v>
      </c>
      <c r="B8" s="533">
        <v>1</v>
      </c>
      <c r="C8" s="64"/>
    </row>
    <row r="9" spans="1:25">
      <c r="A9" s="230" t="s">
        <v>770</v>
      </c>
      <c r="B9" s="588">
        <v>1</v>
      </c>
      <c r="C9" s="64"/>
    </row>
    <row r="10" spans="1:25">
      <c r="A10" s="160" t="s">
        <v>772</v>
      </c>
      <c r="B10" s="1102">
        <f>1-B9</f>
        <v>0</v>
      </c>
    </row>
    <row r="11" spans="1:25">
      <c r="A11" s="230" t="s">
        <v>773</v>
      </c>
      <c r="B11" s="588">
        <v>1</v>
      </c>
      <c r="C11" s="64"/>
    </row>
    <row r="12" spans="1:25">
      <c r="A12" s="160" t="s">
        <v>1127</v>
      </c>
      <c r="B12" s="1102">
        <v>1</v>
      </c>
    </row>
    <row r="13" spans="1:25">
      <c r="A13" s="161" t="s">
        <v>783</v>
      </c>
      <c r="B13" s="949">
        <f>1-B12</f>
        <v>0</v>
      </c>
    </row>
    <row r="15" spans="1:25" ht="15">
      <c r="A15" s="75" t="s">
        <v>784</v>
      </c>
    </row>
    <row r="16" spans="1:25" ht="15.75" customHeight="1">
      <c r="A16" s="178"/>
      <c r="B16" s="3089" t="s">
        <v>1128</v>
      </c>
      <c r="C16" s="3089"/>
      <c r="D16" s="3091" t="s">
        <v>58</v>
      </c>
      <c r="E16" s="3091"/>
      <c r="F16" s="3091"/>
      <c r="G16" s="3091"/>
      <c r="H16" s="3091"/>
      <c r="I16" s="3091"/>
      <c r="J16" s="3091"/>
      <c r="K16" s="3091"/>
      <c r="L16" s="3091"/>
      <c r="M16" s="3091"/>
      <c r="N16" s="3091"/>
      <c r="O16" s="3091"/>
      <c r="P16" s="3091" t="s">
        <v>1129</v>
      </c>
      <c r="Q16" s="3091"/>
      <c r="R16" s="3091" t="s">
        <v>1130</v>
      </c>
      <c r="S16" s="3091"/>
      <c r="T16" s="3091"/>
      <c r="U16" s="3091"/>
      <c r="V16" s="3091"/>
      <c r="W16" s="3091"/>
      <c r="X16" s="3091"/>
      <c r="Y16" s="3091"/>
    </row>
    <row r="17" spans="1:25" customFormat="1" ht="32.25" customHeight="1">
      <c r="A17" s="173"/>
      <c r="B17" s="3089"/>
      <c r="C17" s="3089"/>
      <c r="D17" s="3089" t="s">
        <v>1131</v>
      </c>
      <c r="E17" s="3089"/>
      <c r="F17" s="3089" t="s">
        <v>1132</v>
      </c>
      <c r="G17" s="3089"/>
      <c r="H17" s="3089" t="s">
        <v>1133</v>
      </c>
      <c r="I17" s="3089"/>
      <c r="J17" s="3089" t="s">
        <v>1134</v>
      </c>
      <c r="K17" s="3089"/>
      <c r="L17" s="3089" t="s">
        <v>1135</v>
      </c>
      <c r="M17" s="3089"/>
      <c r="N17" s="3089" t="s">
        <v>1136</v>
      </c>
      <c r="O17" s="3089"/>
      <c r="P17" s="3091"/>
      <c r="Q17" s="3091"/>
      <c r="R17" s="3092" t="s">
        <v>1131</v>
      </c>
      <c r="S17" s="3092"/>
      <c r="T17" s="3092" t="s">
        <v>1132</v>
      </c>
      <c r="U17" s="3092"/>
      <c r="V17" s="3092" t="s">
        <v>1133</v>
      </c>
      <c r="W17" s="3092"/>
      <c r="X17" s="3092" t="s">
        <v>1137</v>
      </c>
      <c r="Y17" s="3092"/>
    </row>
    <row r="18" spans="1:25" ht="72.75" customHeight="1">
      <c r="A18" s="177"/>
      <c r="B18" s="1688" t="s">
        <v>785</v>
      </c>
      <c r="C18" s="1688" t="s">
        <v>786</v>
      </c>
      <c r="D18" s="1688" t="s">
        <v>785</v>
      </c>
      <c r="E18" s="1688" t="s">
        <v>786</v>
      </c>
      <c r="F18" s="1688" t="s">
        <v>785</v>
      </c>
      <c r="G18" s="1688" t="s">
        <v>786</v>
      </c>
      <c r="H18" s="1688" t="s">
        <v>785</v>
      </c>
      <c r="I18" s="1688" t="s">
        <v>786</v>
      </c>
      <c r="J18" s="1688" t="s">
        <v>785</v>
      </c>
      <c r="K18" s="1688" t="s">
        <v>786</v>
      </c>
      <c r="L18" s="1688" t="s">
        <v>785</v>
      </c>
      <c r="M18" s="1688" t="s">
        <v>786</v>
      </c>
      <c r="N18" s="1688" t="s">
        <v>785</v>
      </c>
      <c r="O18" s="1688" t="s">
        <v>786</v>
      </c>
      <c r="P18" s="1688" t="s">
        <v>785</v>
      </c>
      <c r="Q18" s="1688" t="s">
        <v>786</v>
      </c>
      <c r="R18" s="1688" t="s">
        <v>785</v>
      </c>
      <c r="S18" s="1688" t="s">
        <v>786</v>
      </c>
      <c r="T18" s="1688" t="s">
        <v>785</v>
      </c>
      <c r="U18" s="1688" t="s">
        <v>786</v>
      </c>
      <c r="V18" s="1688" t="s">
        <v>785</v>
      </c>
      <c r="W18" s="1688" t="s">
        <v>786</v>
      </c>
      <c r="X18" s="1688" t="s">
        <v>785</v>
      </c>
      <c r="Y18" s="1688" t="s">
        <v>786</v>
      </c>
    </row>
    <row r="19" spans="1:25" ht="25.5">
      <c r="A19" s="659" t="s">
        <v>797</v>
      </c>
      <c r="B19" s="80">
        <v>0.157</v>
      </c>
      <c r="C19" s="50"/>
      <c r="D19" s="80">
        <f>Mat_Inputs!B414</f>
        <v>0.27</v>
      </c>
      <c r="E19" s="50"/>
      <c r="F19" s="80">
        <f>Mat_Inputs!B415</f>
        <v>6.5</v>
      </c>
      <c r="G19" s="50"/>
      <c r="H19" s="80">
        <f>Mat_Inputs!B416</f>
        <v>1.5</v>
      </c>
      <c r="I19" s="50"/>
      <c r="J19" s="80">
        <f>Mat_Inputs!B417</f>
        <v>0.41</v>
      </c>
      <c r="K19" s="50"/>
      <c r="L19" s="80">
        <f>Mat_Inputs!B418</f>
        <v>4.2</v>
      </c>
      <c r="M19" s="50"/>
      <c r="N19" s="80">
        <f>Mat_Inputs!B419</f>
        <v>1.64</v>
      </c>
      <c r="O19" s="50"/>
      <c r="P19" s="80">
        <v>11.351000000000001</v>
      </c>
      <c r="Q19" s="50"/>
      <c r="R19" s="80">
        <f>Mat_Inputs!B420</f>
        <v>1.1499999999999999</v>
      </c>
      <c r="S19" s="50"/>
      <c r="T19" s="80">
        <f>Mat_Inputs!B421</f>
        <v>6.5</v>
      </c>
      <c r="U19" s="50"/>
      <c r="V19" s="80">
        <f>Mat_Inputs!B422</f>
        <v>2</v>
      </c>
      <c r="W19" s="50"/>
      <c r="X19" s="80">
        <f>Mat_Inputs!B423</f>
        <v>3.28</v>
      </c>
      <c r="Y19" s="50"/>
    </row>
    <row r="20" spans="1:25">
      <c r="A20" s="571" t="s">
        <v>798</v>
      </c>
      <c r="B20" s="193">
        <v>0</v>
      </c>
      <c r="C20" s="85"/>
      <c r="D20" s="193">
        <v>0</v>
      </c>
      <c r="E20" s="85"/>
      <c r="F20" s="193">
        <v>0</v>
      </c>
      <c r="G20" s="85"/>
      <c r="H20" s="193">
        <v>0</v>
      </c>
      <c r="I20" s="85"/>
      <c r="J20" s="193">
        <v>0</v>
      </c>
      <c r="K20" s="85"/>
      <c r="L20" s="193">
        <v>0</v>
      </c>
      <c r="M20" s="85"/>
      <c r="N20" s="193">
        <v>0</v>
      </c>
      <c r="O20" s="85"/>
      <c r="P20" s="193">
        <v>0</v>
      </c>
      <c r="Q20" s="85"/>
      <c r="R20" s="193">
        <v>0</v>
      </c>
      <c r="S20" s="85"/>
      <c r="T20" s="193">
        <v>0</v>
      </c>
      <c r="U20" s="85"/>
      <c r="V20" s="193">
        <v>0</v>
      </c>
      <c r="W20" s="85"/>
      <c r="X20" s="193">
        <v>0</v>
      </c>
      <c r="Y20" s="85"/>
    </row>
    <row r="21" spans="1:25">
      <c r="A21" s="178" t="s">
        <v>799</v>
      </c>
      <c r="B21" s="80"/>
      <c r="C21" s="50"/>
      <c r="D21" s="80"/>
      <c r="E21" s="50"/>
      <c r="F21" s="80"/>
      <c r="G21" s="50"/>
      <c r="H21" s="80"/>
      <c r="I21" s="50"/>
      <c r="J21" s="80"/>
      <c r="K21" s="50"/>
      <c r="L21" s="80"/>
      <c r="M21" s="50"/>
      <c r="N21" s="80"/>
      <c r="O21" s="50"/>
      <c r="P21" s="80"/>
      <c r="Q21" s="50"/>
      <c r="R21" s="80"/>
      <c r="S21" s="50"/>
      <c r="T21" s="80"/>
      <c r="U21" s="50"/>
      <c r="V21" s="80"/>
      <c r="W21" s="50"/>
      <c r="X21" s="80"/>
      <c r="Y21" s="50"/>
    </row>
    <row r="22" spans="1:25">
      <c r="A22" s="230" t="s">
        <v>800</v>
      </c>
      <c r="B22" s="212">
        <v>0</v>
      </c>
      <c r="C22" s="51"/>
      <c r="D22" s="212">
        <v>0</v>
      </c>
      <c r="E22" s="51"/>
      <c r="F22" s="212">
        <v>0</v>
      </c>
      <c r="G22" s="51"/>
      <c r="H22" s="212">
        <v>0</v>
      </c>
      <c r="I22" s="51"/>
      <c r="J22" s="212">
        <v>0</v>
      </c>
      <c r="K22" s="51"/>
      <c r="L22" s="212">
        <v>0</v>
      </c>
      <c r="M22" s="51"/>
      <c r="N22" s="212">
        <v>0</v>
      </c>
      <c r="O22" s="51"/>
      <c r="P22" s="212">
        <v>0.17199999999999999</v>
      </c>
      <c r="Q22" s="51"/>
      <c r="R22" s="212">
        <v>0</v>
      </c>
      <c r="S22" s="51"/>
      <c r="T22" s="212">
        <v>0</v>
      </c>
      <c r="U22" s="51"/>
      <c r="V22" s="212">
        <v>0</v>
      </c>
      <c r="W22" s="51"/>
      <c r="X22" s="212">
        <v>0</v>
      </c>
      <c r="Y22" s="51"/>
    </row>
    <row r="23" spans="1:25">
      <c r="A23" s="230" t="s">
        <v>802</v>
      </c>
      <c r="B23" s="212">
        <v>0.94</v>
      </c>
      <c r="C23" s="51"/>
      <c r="D23" s="212">
        <v>0</v>
      </c>
      <c r="E23" s="51"/>
      <c r="F23" s="212">
        <v>0</v>
      </c>
      <c r="G23" s="51"/>
      <c r="H23" s="212">
        <v>0</v>
      </c>
      <c r="I23" s="51"/>
      <c r="J23" s="212">
        <v>0</v>
      </c>
      <c r="K23" s="51"/>
      <c r="L23" s="212">
        <v>0</v>
      </c>
      <c r="M23" s="51"/>
      <c r="N23" s="212">
        <v>0</v>
      </c>
      <c r="O23" s="51"/>
      <c r="P23" s="212">
        <v>1.9E-2</v>
      </c>
      <c r="Q23" s="51"/>
      <c r="R23" s="212">
        <v>0</v>
      </c>
      <c r="S23" s="51"/>
      <c r="T23" s="212">
        <v>0</v>
      </c>
      <c r="U23" s="51"/>
      <c r="V23" s="212">
        <v>0</v>
      </c>
      <c r="W23" s="51"/>
      <c r="X23" s="212">
        <v>0</v>
      </c>
      <c r="Y23" s="51"/>
    </row>
    <row r="24" spans="1:25">
      <c r="A24" s="230" t="s">
        <v>804</v>
      </c>
      <c r="B24" s="212">
        <v>0</v>
      </c>
      <c r="C24" s="51"/>
      <c r="D24" s="212">
        <v>0</v>
      </c>
      <c r="E24" s="51"/>
      <c r="F24" s="212">
        <v>0.98</v>
      </c>
      <c r="G24" s="51"/>
      <c r="H24" s="212">
        <v>0</v>
      </c>
      <c r="I24" s="51"/>
      <c r="J24" s="212">
        <v>0.97599999999999998</v>
      </c>
      <c r="K24" s="51"/>
      <c r="L24" s="212">
        <v>0.95499999999999996</v>
      </c>
      <c r="M24" s="51"/>
      <c r="N24" s="212">
        <v>0.91500000000000004</v>
      </c>
      <c r="O24" s="51"/>
      <c r="P24" s="212">
        <v>0.70099999999999996</v>
      </c>
      <c r="Q24" s="51"/>
      <c r="R24" s="212">
        <v>0</v>
      </c>
      <c r="S24" s="51"/>
      <c r="T24" s="212">
        <v>1</v>
      </c>
      <c r="U24" s="51"/>
      <c r="V24" s="212">
        <v>0</v>
      </c>
      <c r="W24" s="51"/>
      <c r="X24" s="212">
        <v>1</v>
      </c>
      <c r="Y24" s="51"/>
    </row>
    <row r="25" spans="1:25">
      <c r="A25" s="230" t="s">
        <v>805</v>
      </c>
      <c r="B25" s="212">
        <v>0</v>
      </c>
      <c r="C25" s="51"/>
      <c r="D25" s="212">
        <v>0</v>
      </c>
      <c r="E25" s="51"/>
      <c r="F25" s="212">
        <v>0</v>
      </c>
      <c r="G25" s="51"/>
      <c r="H25" s="212">
        <v>0</v>
      </c>
      <c r="I25" s="51"/>
      <c r="J25" s="212">
        <v>0</v>
      </c>
      <c r="K25" s="51"/>
      <c r="L25" s="212">
        <v>0</v>
      </c>
      <c r="M25" s="51"/>
      <c r="N25" s="212">
        <v>0</v>
      </c>
      <c r="O25" s="51"/>
      <c r="P25" s="212">
        <v>7.2999999999999995E-2</v>
      </c>
      <c r="Q25" s="51"/>
      <c r="R25" s="212">
        <v>0</v>
      </c>
      <c r="S25" s="51"/>
      <c r="T25" s="212">
        <v>0</v>
      </c>
      <c r="U25" s="51"/>
      <c r="V25" s="212">
        <v>0</v>
      </c>
      <c r="W25" s="51"/>
      <c r="X25" s="212">
        <v>0</v>
      </c>
      <c r="Y25" s="51"/>
    </row>
    <row r="26" spans="1:25">
      <c r="A26" s="589" t="s">
        <v>806</v>
      </c>
      <c r="B26" s="193">
        <f>1-SUM(B22:B25)</f>
        <v>6.0000000000000053E-2</v>
      </c>
      <c r="C26" s="85"/>
      <c r="D26" s="193">
        <f>1-SUM(D22:D25)</f>
        <v>1</v>
      </c>
      <c r="E26" s="85"/>
      <c r="F26" s="193">
        <f>1-SUM(F22:F25)</f>
        <v>2.0000000000000018E-2</v>
      </c>
      <c r="G26" s="85"/>
      <c r="H26" s="193">
        <f>1-SUM(H22:H25)</f>
        <v>1</v>
      </c>
      <c r="I26" s="85"/>
      <c r="J26" s="193">
        <f>1-SUM(J22:J25)</f>
        <v>2.4000000000000021E-2</v>
      </c>
      <c r="K26" s="85"/>
      <c r="L26" s="193">
        <f>1-SUM(L22:L25)</f>
        <v>4.500000000000004E-2</v>
      </c>
      <c r="M26" s="85"/>
      <c r="N26" s="193">
        <f>1-SUM(N22:N25)</f>
        <v>8.4999999999999964E-2</v>
      </c>
      <c r="O26" s="85"/>
      <c r="P26" s="193">
        <v>3.5000000000000003E-2</v>
      </c>
      <c r="Q26" s="85"/>
      <c r="R26" s="193">
        <v>1</v>
      </c>
      <c r="S26" s="85"/>
      <c r="T26" s="193">
        <v>0</v>
      </c>
      <c r="U26" s="85"/>
      <c r="V26" s="193">
        <v>1</v>
      </c>
      <c r="W26" s="85"/>
      <c r="X26" s="193">
        <v>0</v>
      </c>
      <c r="Y26" s="85"/>
    </row>
    <row r="27" spans="1:25">
      <c r="A27" s="178" t="s">
        <v>862</v>
      </c>
      <c r="B27" s="173"/>
      <c r="C27" s="51"/>
      <c r="D27" s="173"/>
      <c r="E27" s="51"/>
      <c r="F27" s="173"/>
      <c r="G27" s="51"/>
      <c r="H27" s="173"/>
      <c r="I27" s="51"/>
      <c r="J27" s="173"/>
      <c r="K27" s="51"/>
      <c r="L27" s="173"/>
      <c r="M27" s="51"/>
      <c r="N27" s="173"/>
      <c r="O27" s="51"/>
      <c r="P27" s="173"/>
      <c r="Q27" s="51"/>
      <c r="R27" s="173"/>
      <c r="S27" s="51"/>
      <c r="T27" s="173"/>
      <c r="U27" s="51"/>
      <c r="V27" s="173"/>
      <c r="W27" s="51"/>
      <c r="X27" s="173"/>
      <c r="Y27" s="51"/>
    </row>
    <row r="28" spans="1:25" s="496" customFormat="1">
      <c r="A28" s="347" t="s">
        <v>800</v>
      </c>
      <c r="B28" s="233">
        <f>B$19*B22</f>
        <v>0</v>
      </c>
      <c r="C28" s="51"/>
      <c r="D28" s="233">
        <f>D$19*D22</f>
        <v>0</v>
      </c>
      <c r="E28" s="51"/>
      <c r="F28" s="233">
        <f>F$19*F22</f>
        <v>0</v>
      </c>
      <c r="G28" s="51"/>
      <c r="H28" s="233">
        <f>H$19*H22</f>
        <v>0</v>
      </c>
      <c r="I28" s="51"/>
      <c r="J28" s="233">
        <f>J$19*J22</f>
        <v>0</v>
      </c>
      <c r="K28" s="51"/>
      <c r="L28" s="233">
        <f>L$19*L22</f>
        <v>0</v>
      </c>
      <c r="M28" s="51"/>
      <c r="N28" s="233">
        <f>N$19*N22</f>
        <v>0</v>
      </c>
      <c r="O28" s="51"/>
      <c r="P28" s="233">
        <f>P$19*P22</f>
        <v>1.952372</v>
      </c>
      <c r="Q28" s="51"/>
      <c r="R28" s="233">
        <f>R$19*R22</f>
        <v>0</v>
      </c>
      <c r="S28" s="51"/>
      <c r="T28" s="233">
        <f>T$19*T22</f>
        <v>0</v>
      </c>
      <c r="U28" s="51"/>
      <c r="V28" s="233">
        <f>V$19*V22</f>
        <v>0</v>
      </c>
      <c r="W28" s="51"/>
      <c r="X28" s="233">
        <f>X$19*X22</f>
        <v>0</v>
      </c>
      <c r="Y28" s="51"/>
    </row>
    <row r="29" spans="1:25" s="496" customFormat="1">
      <c r="A29" s="347" t="s">
        <v>802</v>
      </c>
      <c r="B29" s="233">
        <f>B$19*B23</f>
        <v>0.14757999999999999</v>
      </c>
      <c r="C29" s="51"/>
      <c r="D29" s="233">
        <f>D$19*D23</f>
        <v>0</v>
      </c>
      <c r="E29" s="51"/>
      <c r="F29" s="233">
        <f>F$19*F23</f>
        <v>0</v>
      </c>
      <c r="G29" s="51"/>
      <c r="H29" s="233">
        <f>H$19*H23</f>
        <v>0</v>
      </c>
      <c r="I29" s="51"/>
      <c r="J29" s="233">
        <f>J$19*J23</f>
        <v>0</v>
      </c>
      <c r="K29" s="51"/>
      <c r="L29" s="233">
        <f>L$19*L23</f>
        <v>0</v>
      </c>
      <c r="M29" s="51"/>
      <c r="N29" s="233">
        <f>N$19*N23</f>
        <v>0</v>
      </c>
      <c r="O29" s="51"/>
      <c r="P29" s="233">
        <f>P$19*P23</f>
        <v>0.215669</v>
      </c>
      <c r="Q29" s="51"/>
      <c r="R29" s="233">
        <f>R$19*R23</f>
        <v>0</v>
      </c>
      <c r="S29" s="51"/>
      <c r="T29" s="233">
        <f>T$19*T23</f>
        <v>0</v>
      </c>
      <c r="U29" s="51"/>
      <c r="V29" s="233">
        <f>V$19*V23</f>
        <v>0</v>
      </c>
      <c r="W29" s="51"/>
      <c r="X29" s="233">
        <f>X$19*X23</f>
        <v>0</v>
      </c>
      <c r="Y29" s="51"/>
    </row>
    <row r="30" spans="1:25" s="496" customFormat="1">
      <c r="A30" s="347" t="s">
        <v>804</v>
      </c>
      <c r="B30" s="233">
        <f>B$19*B24</f>
        <v>0</v>
      </c>
      <c r="C30" s="51"/>
      <c r="D30" s="233">
        <f>D$19*D24</f>
        <v>0</v>
      </c>
      <c r="E30" s="51"/>
      <c r="F30" s="233">
        <f>F$19*F24</f>
        <v>6.37</v>
      </c>
      <c r="G30" s="51"/>
      <c r="H30" s="233">
        <f>H$19*H24</f>
        <v>0</v>
      </c>
      <c r="I30" s="51"/>
      <c r="J30" s="233">
        <f>J$19*J24</f>
        <v>0.40015999999999996</v>
      </c>
      <c r="K30" s="51"/>
      <c r="L30" s="233">
        <f>L$19*L24</f>
        <v>4.0110000000000001</v>
      </c>
      <c r="M30" s="51"/>
      <c r="N30" s="233">
        <f>N$19*N24</f>
        <v>1.5005999999999999</v>
      </c>
      <c r="O30" s="51"/>
      <c r="P30" s="233">
        <f>P$19*P24</f>
        <v>7.9570509999999999</v>
      </c>
      <c r="Q30" s="51"/>
      <c r="R30" s="233">
        <f>R$19*R24</f>
        <v>0</v>
      </c>
      <c r="S30" s="51"/>
      <c r="T30" s="233">
        <f>T$19*T24</f>
        <v>6.5</v>
      </c>
      <c r="U30" s="51"/>
      <c r="V30" s="233">
        <f>V$19*V24</f>
        <v>0</v>
      </c>
      <c r="W30" s="51"/>
      <c r="X30" s="233">
        <f>X$19*X24</f>
        <v>3.28</v>
      </c>
      <c r="Y30" s="51"/>
    </row>
    <row r="31" spans="1:25" s="496" customFormat="1">
      <c r="A31" s="347" t="s">
        <v>805</v>
      </c>
      <c r="B31" s="233">
        <f>B$19*B25</f>
        <v>0</v>
      </c>
      <c r="C31" s="51"/>
      <c r="D31" s="233">
        <f>D$19*D25</f>
        <v>0</v>
      </c>
      <c r="E31" s="51"/>
      <c r="F31" s="233">
        <f>F$19*F25</f>
        <v>0</v>
      </c>
      <c r="G31" s="51"/>
      <c r="H31" s="233">
        <f>H$19*H25</f>
        <v>0</v>
      </c>
      <c r="I31" s="51"/>
      <c r="J31" s="233">
        <f>J$19*J25</f>
        <v>0</v>
      </c>
      <c r="K31" s="51"/>
      <c r="L31" s="233">
        <f>L$19*L25</f>
        <v>0</v>
      </c>
      <c r="M31" s="51"/>
      <c r="N31" s="233">
        <f>N$19*N25</f>
        <v>0</v>
      </c>
      <c r="O31" s="51"/>
      <c r="P31" s="233">
        <f>P$19*P25</f>
        <v>0.828623</v>
      </c>
      <c r="Q31" s="51"/>
      <c r="R31" s="233">
        <f>R$19*R25</f>
        <v>0</v>
      </c>
      <c r="S31" s="51"/>
      <c r="T31" s="233">
        <f>T$19*T25</f>
        <v>0</v>
      </c>
      <c r="U31" s="51"/>
      <c r="V31" s="233">
        <f>V$19*V25</f>
        <v>0</v>
      </c>
      <c r="W31" s="51"/>
      <c r="X31" s="233">
        <f>X$19*X25</f>
        <v>0</v>
      </c>
      <c r="Y31" s="51"/>
    </row>
    <row r="32" spans="1:25" s="496" customFormat="1">
      <c r="A32" s="503" t="s">
        <v>806</v>
      </c>
      <c r="B32" s="233">
        <f>B$19*B26</f>
        <v>9.4200000000000082E-3</v>
      </c>
      <c r="C32" s="51"/>
      <c r="D32" s="233">
        <f>D$19*D26</f>
        <v>0.27</v>
      </c>
      <c r="E32" s="51"/>
      <c r="F32" s="233">
        <f>F$19*F26</f>
        <v>0.13000000000000012</v>
      </c>
      <c r="G32" s="51"/>
      <c r="H32" s="233">
        <f>H$19*H26</f>
        <v>1.5</v>
      </c>
      <c r="I32" s="51"/>
      <c r="J32" s="233">
        <f>J$19*J26</f>
        <v>9.8400000000000085E-3</v>
      </c>
      <c r="K32" s="51"/>
      <c r="L32" s="233">
        <f>L$19*L26</f>
        <v>0.18900000000000017</v>
      </c>
      <c r="M32" s="51"/>
      <c r="N32" s="233">
        <f>N$19*N26</f>
        <v>0.13939999999999994</v>
      </c>
      <c r="O32" s="51"/>
      <c r="P32" s="233">
        <f>P$19*P26</f>
        <v>0.39728500000000005</v>
      </c>
      <c r="Q32" s="51"/>
      <c r="R32" s="233">
        <f>R$19*R26</f>
        <v>1.1499999999999999</v>
      </c>
      <c r="S32" s="51"/>
      <c r="T32" s="233">
        <f>T$19*T26</f>
        <v>0</v>
      </c>
      <c r="U32" s="51"/>
      <c r="V32" s="233">
        <f>V$19*V26</f>
        <v>2</v>
      </c>
      <c r="W32" s="51"/>
      <c r="X32" s="233">
        <f>X$19*X26</f>
        <v>0</v>
      </c>
      <c r="Y32" s="51"/>
    </row>
    <row r="33" spans="1:25" customFormat="1">
      <c r="A33" s="173" t="s">
        <v>1138</v>
      </c>
      <c r="B33" s="80"/>
      <c r="C33" s="50"/>
      <c r="D33" s="80">
        <v>0.72099999999999997</v>
      </c>
      <c r="E33" s="50"/>
      <c r="F33" s="80"/>
      <c r="G33" s="50"/>
      <c r="H33" s="80"/>
      <c r="I33" s="50"/>
      <c r="J33" s="80"/>
      <c r="K33" s="50"/>
      <c r="L33" s="80"/>
      <c r="M33" s="50"/>
      <c r="N33" s="80"/>
      <c r="O33" s="50"/>
      <c r="P33" s="80"/>
      <c r="Q33" s="50"/>
      <c r="R33" s="80">
        <v>0.39300000000000002</v>
      </c>
      <c r="S33" s="50"/>
      <c r="T33" s="80"/>
      <c r="U33" s="50"/>
      <c r="V33" s="80"/>
      <c r="W33" s="50"/>
      <c r="X33" s="80"/>
      <c r="Y33" s="50"/>
    </row>
    <row r="34" spans="1:25" customFormat="1">
      <c r="A34" s="173" t="s">
        <v>809</v>
      </c>
      <c r="B34" s="173"/>
      <c r="C34" s="51"/>
      <c r="D34" s="173">
        <v>9.9000000000000005E-2</v>
      </c>
      <c r="E34" s="51"/>
      <c r="F34" s="173"/>
      <c r="G34" s="51"/>
      <c r="H34" s="173"/>
      <c r="I34" s="51"/>
      <c r="J34" s="173"/>
      <c r="K34" s="51"/>
      <c r="L34" s="173"/>
      <c r="M34" s="51"/>
      <c r="N34" s="173"/>
      <c r="O34" s="51"/>
      <c r="P34" s="173"/>
      <c r="Q34" s="51"/>
      <c r="R34" s="173">
        <v>0.39500000000000002</v>
      </c>
      <c r="S34" s="51"/>
      <c r="T34" s="173"/>
      <c r="U34" s="51"/>
      <c r="V34" s="173"/>
      <c r="W34" s="51"/>
      <c r="X34" s="173"/>
      <c r="Y34" s="51"/>
    </row>
    <row r="35" spans="1:25" customFormat="1">
      <c r="A35" s="173" t="s">
        <v>1139</v>
      </c>
      <c r="B35" s="173"/>
      <c r="C35" s="51"/>
      <c r="D35" s="173">
        <v>0.23200000000000001</v>
      </c>
      <c r="E35" s="51"/>
      <c r="F35" s="173"/>
      <c r="G35" s="51"/>
      <c r="H35" s="173"/>
      <c r="I35" s="51"/>
      <c r="J35" s="173"/>
      <c r="K35" s="51"/>
      <c r="L35" s="173"/>
      <c r="M35" s="51"/>
      <c r="N35" s="173"/>
      <c r="O35" s="51"/>
      <c r="P35" s="173"/>
      <c r="Q35" s="51"/>
      <c r="R35" s="173"/>
      <c r="S35" s="51"/>
      <c r="T35" s="173"/>
      <c r="U35" s="51"/>
      <c r="V35" s="173"/>
      <c r="W35" s="51"/>
      <c r="X35" s="173"/>
      <c r="Y35" s="51"/>
    </row>
    <row r="36" spans="1:25" customFormat="1">
      <c r="A36" s="173" t="s">
        <v>1140</v>
      </c>
      <c r="B36" s="173"/>
      <c r="C36" s="51"/>
      <c r="D36" s="173">
        <v>0.183</v>
      </c>
      <c r="E36" s="51"/>
      <c r="F36" s="173"/>
      <c r="G36" s="51"/>
      <c r="H36" s="173"/>
      <c r="I36" s="51"/>
      <c r="J36" s="173"/>
      <c r="K36" s="51"/>
      <c r="L36" s="173"/>
      <c r="M36" s="51"/>
      <c r="N36" s="173"/>
      <c r="O36" s="51"/>
      <c r="P36" s="173"/>
      <c r="Q36" s="51"/>
      <c r="R36" s="173"/>
      <c r="S36" s="51"/>
      <c r="T36" s="173"/>
      <c r="U36" s="51"/>
      <c r="V36" s="173"/>
      <c r="W36" s="51"/>
      <c r="X36" s="173"/>
      <c r="Y36" s="51"/>
    </row>
    <row r="37" spans="1:25" customFormat="1">
      <c r="A37" s="173" t="s">
        <v>1141</v>
      </c>
      <c r="B37" s="173"/>
      <c r="C37" s="51"/>
      <c r="D37" s="173"/>
      <c r="E37" s="51"/>
      <c r="F37" s="173"/>
      <c r="G37" s="51"/>
      <c r="H37" s="173"/>
      <c r="I37" s="51"/>
      <c r="J37" s="173"/>
      <c r="K37" s="51"/>
      <c r="L37" s="173"/>
      <c r="M37" s="51"/>
      <c r="N37" s="173"/>
      <c r="O37" s="51"/>
      <c r="P37" s="173"/>
      <c r="Q37" s="51"/>
      <c r="R37" s="173">
        <v>0.32700000000000001</v>
      </c>
      <c r="S37" s="51"/>
      <c r="T37" s="173"/>
      <c r="U37" s="51"/>
      <c r="V37" s="173"/>
      <c r="W37" s="51"/>
      <c r="X37" s="173"/>
      <c r="Y37" s="51"/>
    </row>
    <row r="38" spans="1:25" customFormat="1">
      <c r="A38" s="173" t="s">
        <v>1142</v>
      </c>
      <c r="B38" s="174"/>
      <c r="C38" s="85"/>
      <c r="D38" s="174"/>
      <c r="E38" s="85"/>
      <c r="F38" s="174"/>
      <c r="G38" s="85"/>
      <c r="H38" s="174"/>
      <c r="I38" s="85"/>
      <c r="J38" s="174"/>
      <c r="K38" s="85"/>
      <c r="L38" s="174"/>
      <c r="M38" s="85"/>
      <c r="N38" s="174"/>
      <c r="O38" s="85"/>
      <c r="P38" s="174"/>
      <c r="Q38" s="85"/>
      <c r="R38" s="174">
        <v>6.6000000000000003E-2</v>
      </c>
      <c r="S38" s="85"/>
      <c r="T38" s="174"/>
      <c r="U38" s="85"/>
      <c r="V38" s="174"/>
      <c r="W38" s="85"/>
      <c r="X38" s="174"/>
      <c r="Y38" s="85"/>
    </row>
    <row r="39" spans="1:25" s="496" customFormat="1">
      <c r="A39" s="508" t="s">
        <v>816</v>
      </c>
      <c r="B39" s="240">
        <f>B$28*(1+(GREET1_Import_Export!$F$179*GREET1_Import_Export!$B180+GREET1_Import_Export!$F180)/1000000)+B$29*(1+(GREET1_Import_Export!$G$179*GREET1_Import_Export!$B180+GREET1_Import_Export!$G180)/1000000)+B$30*(1+GREET1_Import_Export!$B216/1000000)+B$31*(1+GREET1_Import_Export!$B284/1000000)+B$32*(GREET1_Import_Export!$B309+GREET1_Import_Export!$C309)/1000000</f>
        <v>0.19363822271387998</v>
      </c>
      <c r="C39" s="248"/>
      <c r="D39" s="240">
        <f>D$28*(1+(GREET1_Import_Export!$F$179*GREET1_Import_Export!$B180+GREET1_Import_Export!$F180)/1000000)+D$29*(1+(GREET1_Import_Export!$G$179*GREET1_Import_Export!$B180+GREET1_Import_Export!$G180)/1000000)+D$30*(1+GREET1_Import_Export!$B216/1000000)+D$31*(1+GREET1_Import_Export!$B284/1000000)+D$32*(GREET1_Import_Export!$B309+GREET1_Import_Export!$C309)/1000000+D$33*Silicon!$J72+D$34*GREET1_Import_Export!$B494+D$35*LiMn2O4!$C90+D$36*$B39</f>
        <v>2.0058852344278471</v>
      </c>
      <c r="E39" s="248"/>
      <c r="F39" s="240">
        <f>F$28*(1+(GREET1_Import_Export!$F$179*GREET1_Import_Export!$B180+GREET1_Import_Export!$F180)/1000000)+F$29*(1+(GREET1_Import_Export!$G$179*GREET1_Import_Export!$B180+GREET1_Import_Export!$G180)/1000000)+F$30*(1+GREET1_Import_Export!$B216/1000000)+F$31*(1+GREET1_Import_Export!$B284/1000000)+F$32*(GREET1_Import_Export!$B309+GREET1_Import_Export!$C309)/1000000+F$33*Silicon!$J72+F$34*GREET1_Import_Export!$B494+F$35*LiMn2O4!$C90+F$36*$B39</f>
        <v>7.2977589640579392</v>
      </c>
      <c r="G39" s="248"/>
      <c r="H39" s="240">
        <f>H$28*(1+(GREET1_Import_Export!$F$179*GREET1_Import_Export!$B180+GREET1_Import_Export!$F180)/1000000)+H$29*(1+(GREET1_Import_Export!$G$179*GREET1_Import_Export!$B180+GREET1_Import_Export!$G180)/1000000)+H$30*(1+GREET1_Import_Export!$B216/1000000)+H$31*(1+GREET1_Import_Export!$B284/1000000)+H$32*(GREET1_Import_Export!$B309+GREET1_Import_Export!$C309)/1000000+H$33*Silicon!$J72+H$34*GREET1_Import_Export!$B494+H$35*LiMn2O4!$C90+H$36*$B39</f>
        <v>3.0420828949201275</v>
      </c>
      <c r="I39" s="248"/>
      <c r="J39" s="240">
        <f>J$28*(1+(GREET1_Import_Export!$F$179*GREET1_Import_Export!$B180+GREET1_Import_Export!$F180)/1000000)+J$29*(1+(GREET1_Import_Export!$G$179*GREET1_Import_Export!$B180+GREET1_Import_Export!$G180)/1000000)+J$30*(1+GREET1_Import_Export!$B216/1000000)+J$31*(1+GREET1_Import_Export!$B284/1000000)+J$32*(GREET1_Import_Export!$B309+GREET1_Import_Export!$C309)/1000000+J$33*Silicon!$J72+J$34*GREET1_Import_Export!$B494+J$35*LiMn2O4!$C90+J$36*$B39</f>
        <v>0.46183521132872685</v>
      </c>
      <c r="K39" s="248"/>
      <c r="L39" s="240">
        <f>L$28*(1+(GREET1_Import_Export!$F$179*GREET1_Import_Export!$B180+GREET1_Import_Export!$F180)/1000000)+L$29*(1+(GREET1_Import_Export!$G$179*GREET1_Import_Export!$B180+GREET1_Import_Export!$G180)/1000000)+L$30*(1+GREET1_Import_Export!$B216/1000000)+L$31*(1+GREET1_Import_Export!$B284/1000000)+L$32*(GREET1_Import_Export!$B309+GREET1_Import_Export!$C309)/1000000+L$33*Silicon!$J72+L$34*GREET1_Import_Export!$B494+L$35*LiMn2O4!$C90+L$36*$B39</f>
        <v>4.8124739281044029</v>
      </c>
      <c r="M39" s="248"/>
      <c r="N39" s="240">
        <f>N$28*(1+(GREET1_Import_Export!$F$179*GREET1_Import_Export!$B180+GREET1_Import_Export!$F180)/1000000)+N$29*(1+(GREET1_Import_Export!$G$179*GREET1_Import_Export!$B180+GREET1_Import_Export!$G180)/1000000)+N$30*(1+GREET1_Import_Export!$B216/1000000)+N$31*(1+GREET1_Import_Export!$B284/1000000)+N$32*(GREET1_Import_Export!$B309+GREET1_Import_Export!$C309)/1000000+N$33*Silicon!$J72+N$34*GREET1_Import_Export!$B494+N$35*LiMn2O4!$C90+N$36*$B39</f>
        <v>1.9397577069689342</v>
      </c>
      <c r="O39" s="248"/>
      <c r="P39" s="240">
        <f>P$28*(1+(GREET1_Import_Export!$F$179*GREET1_Import_Export!$B180+GREET1_Import_Export!$F180)/1000000)+P$29*(1+(GREET1_Import_Export!$G$179*GREET1_Import_Export!$B180+GREET1_Import_Export!$G180)/1000000)+P$30*(1+GREET1_Import_Export!$B216/1000000)+P$31*(1+GREET1_Import_Export!$B284/1000000)+P$32*(GREET1_Import_Export!$B309+GREET1_Import_Export!$C309)/1000000</f>
        <v>12.901997707089292</v>
      </c>
      <c r="Q39" s="248"/>
      <c r="R39" s="240">
        <f>R$28*(1+(GREET1_Import_Export!$F$179*GREET1_Import_Export!$B180+GREET1_Import_Export!$F180)/1000000)+R$29*(1+(GREET1_Import_Export!$G$179*GREET1_Import_Export!$B180+GREET1_Import_Export!$G180)/1000000)+R$30*(1+GREET1_Import_Export!$B216/1000000)+R$31*(1+GREET1_Import_Export!$B284/1000000)+R$32*(GREET1_Import_Export!$B309+GREET1_Import_Export!$C309)/1000000+R$33*Silicon!$J72+R$34*GREET1_Import_Export!$B494+R$37*GREET1_Import_Export!$K525+R$38*$P39</f>
        <v>7.9182394720986355</v>
      </c>
      <c r="S39" s="248"/>
      <c r="T39" s="240">
        <f>T$28*(1+(GREET1_Import_Export!$F$179*GREET1_Import_Export!$B180+GREET1_Import_Export!$F180)/1000000)+T$29*(1+(GREET1_Import_Export!$G$179*GREET1_Import_Export!$B180+GREET1_Import_Export!$G180)/1000000)+T$30*(1+GREET1_Import_Export!$B216/1000000)+T$31*(1+GREET1_Import_Export!$B284/1000000)+T$32*(GREET1_Import_Export!$B309+GREET1_Import_Export!$C309)/1000000+T$33*Silicon!$J72+T$34*GREET1_Import_Export!$B494+T$37*GREET1_Import_Export!$K525+T$38*$P39</f>
        <v>7.1776650814607423</v>
      </c>
      <c r="U39" s="248"/>
      <c r="V39" s="240">
        <f>V$28*(1+(GREET1_Import_Export!$F$179*GREET1_Import_Export!$B180+GREET1_Import_Export!$F180)/1000000)+V$29*(1+(GREET1_Import_Export!$G$179*GREET1_Import_Export!$B180+GREET1_Import_Export!$G180)/1000000)+V$30*(1+GREET1_Import_Export!$B216/1000000)+V$31*(1+GREET1_Import_Export!$B284/1000000)+V$32*(GREET1_Import_Export!$B309+GREET1_Import_Export!$C309)/1000000+V$33*Silicon!$J72+V$34*GREET1_Import_Export!$B494+V$37*GREET1_Import_Export!$K525+V$38*$P39</f>
        <v>4.05611052656017</v>
      </c>
      <c r="W39" s="248"/>
      <c r="X39" s="240">
        <f>X$28*(1+(GREET1_Import_Export!$F$179*GREET1_Import_Export!$B180+GREET1_Import_Export!$F180)/1000000)+X$29*(1+(GREET1_Import_Export!$G$179*GREET1_Import_Export!$B180+GREET1_Import_Export!$G180)/1000000)+X$30*(1+GREET1_Import_Export!$B216/1000000)+X$31*(1+GREET1_Import_Export!$B284/1000000)+X$32*(GREET1_Import_Export!$B309+GREET1_Import_Export!$C309)/1000000+X$33*Silicon!$J72+X$34*GREET1_Import_Export!$B494+X$37*GREET1_Import_Export!$K525+X$38*$P39</f>
        <v>3.621960225721728</v>
      </c>
      <c r="Y39" s="248"/>
    </row>
    <row r="40" spans="1:25" s="496" customFormat="1">
      <c r="A40" s="498" t="s">
        <v>817</v>
      </c>
      <c r="B40" s="234">
        <f>B$28*(1+(GREET1_Import_Export!$F$179*GREET1_Import_Export!$B181+GREET1_Import_Export!$F181)/1000000)+B$29*(1+(GREET1_Import_Export!$G$179*GREET1_Import_Export!$B181+GREET1_Import_Export!$G181)/1000000)+B$30*(1+GREET1_Import_Export!$B217/1000000)+B$31*(1+GREET1_Import_Export!$B285/1000000)+B$32*(GREET1_Import_Export!$B310+GREET1_Import_Export!$C310)/1000000</f>
        <v>0.1888245752630538</v>
      </c>
      <c r="C40" s="235"/>
      <c r="D40" s="234">
        <f>D$28*(1+(GREET1_Import_Export!$F$179*GREET1_Import_Export!$B181+GREET1_Import_Export!$F181)/1000000)+D$29*(1+(GREET1_Import_Export!$G$179*GREET1_Import_Export!$B181+GREET1_Import_Export!$G181)/1000000)+D$30*(1+GREET1_Import_Export!$B217/1000000)+D$31*(1+GREET1_Import_Export!$B285/1000000)+D$32*(GREET1_Import_Export!$B310+GREET1_Import_Export!$C310)/1000000+D$33*Silicon!$J73+D$34*GREET1_Import_Export!$B495+D$35*LiMn2O4!$C91+D$36*$B40</f>
        <v>1.840822879772642</v>
      </c>
      <c r="E40" s="235"/>
      <c r="F40" s="234">
        <f>F$28*(1+(GREET1_Import_Export!$F$179*GREET1_Import_Export!$B181+GREET1_Import_Export!$F181)/1000000)+F$29*(1+(GREET1_Import_Export!$G$179*GREET1_Import_Export!$B181+GREET1_Import_Export!$G181)/1000000)+F$30*(1+GREET1_Import_Export!$B217/1000000)+F$31*(1+GREET1_Import_Export!$B285/1000000)+F$32*(GREET1_Import_Export!$B310+GREET1_Import_Export!$C310)/1000000+F$33*Silicon!$J73+F$34*GREET1_Import_Export!$B495+F$35*LiMn2O4!$C91+F$36*$B40</f>
        <v>7.2381684513272413</v>
      </c>
      <c r="G40" s="235"/>
      <c r="H40" s="234">
        <f>H$28*(1+(GREET1_Import_Export!$F$179*GREET1_Import_Export!$B181+GREET1_Import_Export!$F181)/1000000)+H$29*(1+(GREET1_Import_Export!$G$179*GREET1_Import_Export!$B181+GREET1_Import_Export!$G181)/1000000)+H$30*(1+GREET1_Import_Export!$B217/1000000)+H$31*(1+GREET1_Import_Export!$B285/1000000)+H$32*(GREET1_Import_Export!$B310+GREET1_Import_Export!$C310)/1000000+H$33*Silicon!$J73+H$34*GREET1_Import_Export!$B495+H$35*LiMn2O4!$C91+H$36*$B40</f>
        <v>2.4093733717154331</v>
      </c>
      <c r="I40" s="235"/>
      <c r="J40" s="234">
        <f>J$28*(1+(GREET1_Import_Export!$F$179*GREET1_Import_Export!$B181+GREET1_Import_Export!$F181)/1000000)+J$29*(1+(GREET1_Import_Export!$G$179*GREET1_Import_Export!$B181+GREET1_Import_Export!$G181)/1000000)+J$30*(1+GREET1_Import_Export!$B217/1000000)+J$31*(1+GREET1_Import_Export!$B285/1000000)+J$32*(GREET1_Import_Export!$B310+GREET1_Import_Export!$C310)/1000000+J$33*Silicon!$J73+J$34*GREET1_Import_Export!$B495+J$35*LiMn2O4!$C91+J$36*$B40</f>
        <v>0.45738588711325484</v>
      </c>
      <c r="K40" s="235"/>
      <c r="L40" s="234">
        <f>L$28*(1+(GREET1_Import_Export!$F$179*GREET1_Import_Export!$B181+GREET1_Import_Export!$F181)/1000000)+L$29*(1+(GREET1_Import_Export!$G$179*GREET1_Import_Export!$B181+GREET1_Import_Export!$G181)/1000000)+L$30*(1+GREET1_Import_Export!$B217/1000000)+L$31*(1+GREET1_Import_Export!$B285/1000000)+L$32*(GREET1_Import_Export!$B310+GREET1_Import_Export!$C310)/1000000+L$33*Silicon!$J73+L$34*GREET1_Import_Export!$B495+L$35*LiMn2O4!$C91+L$36*$B40</f>
        <v>4.7297580129362782</v>
      </c>
      <c r="M40" s="235"/>
      <c r="N40" s="234">
        <f>N$28*(1+(GREET1_Import_Export!$F$179*GREET1_Import_Export!$B181+GREET1_Import_Export!$F181)/1000000)+N$29*(1+(GREET1_Import_Export!$G$179*GREET1_Import_Export!$B181+GREET1_Import_Export!$G181)/1000000)+N$30*(1+GREET1_Import_Export!$B217/1000000)+N$31*(1+GREET1_Import_Export!$B285/1000000)+N$32*(GREET1_Import_Export!$B310+GREET1_Import_Export!$C310)/1000000+N$33*Silicon!$J73+N$34*GREET1_Import_Export!$B495+N$35*LiMn2O4!$C91+N$36*$B40</f>
        <v>1.8798375904085933</v>
      </c>
      <c r="O40" s="235"/>
      <c r="P40" s="234">
        <f>P$28*(1+(GREET1_Import_Export!$F$179*GREET1_Import_Export!$B181+GREET1_Import_Export!$F181)/1000000)+P$29*(1+(GREET1_Import_Export!$G$179*GREET1_Import_Export!$B181+GREET1_Import_Export!$G181)/1000000)+P$30*(1+GREET1_Import_Export!$B217/1000000)+P$31*(1+GREET1_Import_Export!$B285/1000000)+P$32*(GREET1_Import_Export!$B310+GREET1_Import_Export!$C310)/1000000</f>
        <v>12.717163750203968</v>
      </c>
      <c r="Q40" s="235"/>
      <c r="R40" s="234">
        <f>R$28*(1+(GREET1_Import_Export!$F$179*GREET1_Import_Export!$B181+GREET1_Import_Export!$F181)/1000000)+R$29*(1+(GREET1_Import_Export!$G$179*GREET1_Import_Export!$B181+GREET1_Import_Export!$G181)/1000000)+R$30*(1+GREET1_Import_Export!$B217/1000000)+R$31*(1+GREET1_Import_Export!$B285/1000000)+R$32*(GREET1_Import_Export!$B310+GREET1_Import_Export!$C310)/1000000+R$33*Silicon!$J73+R$34*GREET1_Import_Export!$B495+R$37*GREET1_Import_Export!$K526+R$38*$P40</f>
        <v>6.7644778107847143</v>
      </c>
      <c r="S40" s="235"/>
      <c r="T40" s="234">
        <f>T$28*(1+(GREET1_Import_Export!$F$179*GREET1_Import_Export!$B181+GREET1_Import_Export!$F181)/1000000)+T$29*(1+(GREET1_Import_Export!$G$179*GREET1_Import_Export!$B181+GREET1_Import_Export!$G181)/1000000)+T$30*(1+GREET1_Import_Export!$B217/1000000)+T$31*(1+GREET1_Import_Export!$B285/1000000)+T$32*(GREET1_Import_Export!$B310+GREET1_Import_Export!$C310)/1000000+T$33*Silicon!$J73+T$34*GREET1_Import_Export!$B495+T$37*GREET1_Import_Export!$K526+T$38*$P40</f>
        <v>7.172812339229834</v>
      </c>
      <c r="U40" s="235"/>
      <c r="V40" s="234">
        <f>V$28*(1+(GREET1_Import_Export!$F$179*GREET1_Import_Export!$B181+GREET1_Import_Export!$F181)/1000000)+V$29*(1+(GREET1_Import_Export!$G$179*GREET1_Import_Export!$B181+GREET1_Import_Export!$G181)/1000000)+V$30*(1+GREET1_Import_Export!$B217/1000000)+V$31*(1+GREET1_Import_Export!$B285/1000000)+V$32*(GREET1_Import_Export!$B310+GREET1_Import_Export!$C310)/1000000+V$33*Silicon!$J73+V$34*GREET1_Import_Export!$B495+V$37*GREET1_Import_Export!$K526+V$38*$P40</f>
        <v>3.2124978289539108</v>
      </c>
      <c r="W40" s="235"/>
      <c r="X40" s="234">
        <f>X$28*(1+(GREET1_Import_Export!$F$179*GREET1_Import_Export!$B181+GREET1_Import_Export!$F181)/1000000)+X$29*(1+(GREET1_Import_Export!$G$179*GREET1_Import_Export!$B181+GREET1_Import_Export!$G181)/1000000)+X$30*(1+GREET1_Import_Export!$B217/1000000)+X$31*(1+GREET1_Import_Export!$B285/1000000)+X$32*(GREET1_Import_Export!$B310+GREET1_Import_Export!$C310)/1000000+X$33*Silicon!$J73+X$34*GREET1_Import_Export!$B495+X$37*GREET1_Import_Export!$K526+X$38*$P40</f>
        <v>3.6195114573344394</v>
      </c>
      <c r="Y40" s="235"/>
    </row>
    <row r="41" spans="1:25" s="496" customFormat="1">
      <c r="A41" s="498" t="s">
        <v>805</v>
      </c>
      <c r="B41" s="234">
        <f>B$28*(GREET1_Import_Export!$F$179*GREET1_Import_Export!$B182+GREET1_Import_Export!$F182)/1000000+B$29*(GREET1_Import_Export!$G$179*GREET1_Import_Export!$B182+GREET1_Import_Export!$G182)/1000000+B$30*GREET1_Import_Export!$B218/1000000+B$31*(1+GREET1_Import_Export!$B286/1000000)+B$32*(GREET1_Import_Export!$B311+GREET1_Import_Export!$C311)/1000000</f>
        <v>6.3192864913589573E-3</v>
      </c>
      <c r="C41" s="235"/>
      <c r="D41" s="234">
        <f>D$28*(GREET1_Import_Export!$F$179*GREET1_Import_Export!$B182+GREET1_Import_Export!$F182)/1000000+D$29*(GREET1_Import_Export!$G$179*GREET1_Import_Export!$B182+GREET1_Import_Export!$G182)/1000000+D$30*GREET1_Import_Export!$B218/1000000+D$31*(1+GREET1_Import_Export!$B286/1000000)+D$32*(GREET1_Import_Export!$B311+GREET1_Import_Export!$C311)/1000000+D$33*Silicon!$J74+D$34*GREET1_Import_Export!$B496+D$35*LiMn2O4!$C92+D$36*$B41</f>
        <v>1.1997351976685249</v>
      </c>
      <c r="E41" s="235"/>
      <c r="F41" s="234">
        <f>F$28*(GREET1_Import_Export!$F$179*GREET1_Import_Export!$B182+GREET1_Import_Export!$F182)/1000000+F$29*(GREET1_Import_Export!$G$179*GREET1_Import_Export!$B182+GREET1_Import_Export!$G182)/1000000+F$30*GREET1_Import_Export!$B218/1000000+F$31*(1+GREET1_Import_Export!$B286/1000000)+F$32*(GREET1_Import_Export!$B311+GREET1_Import_Export!$C311)/1000000+F$33*Silicon!$J74+F$34*GREET1_Import_Export!$B496+F$35*LiMn2O4!$C92+F$36*$B41</f>
        <v>7.8766872644822739E-2</v>
      </c>
      <c r="G41" s="235"/>
      <c r="H41" s="234">
        <f>H$28*(GREET1_Import_Export!$F$179*GREET1_Import_Export!$B182+GREET1_Import_Export!$F182)/1000000+H$29*(GREET1_Import_Export!$G$179*GREET1_Import_Export!$B182+GREET1_Import_Export!$G182)/1000000+H$30*GREET1_Import_Export!$B218/1000000+H$31*(1+GREET1_Import_Export!$B286/1000000)+H$32*(GREET1_Import_Export!$B311+GREET1_Import_Export!$C311)/1000000+H$33*Silicon!$J74+H$34*GREET1_Import_Export!$B496+H$35*LiMn2O4!$C92+H$36*$B41</f>
        <v>0.83639360411983965</v>
      </c>
      <c r="I41" s="235"/>
      <c r="J41" s="234">
        <f>J$28*(GREET1_Import_Export!$F$179*GREET1_Import_Export!$B182+GREET1_Import_Export!$F182)/1000000+J$29*(GREET1_Import_Export!$G$179*GREET1_Import_Export!$B182+GREET1_Import_Export!$G182)/1000000+J$30*GREET1_Import_Export!$B218/1000000+J$31*(1+GREET1_Import_Export!$B286/1000000)+J$32*(GREET1_Import_Export!$B311+GREET1_Import_Export!$C311)/1000000+J$33*Silicon!$J74+J$34*GREET1_Import_Export!$B496+J$35*LiMn2O4!$C92+J$36*$B41</f>
        <v>5.8812122926473996E-3</v>
      </c>
      <c r="K41" s="235"/>
      <c r="L41" s="234">
        <f>L$28*(GREET1_Import_Export!$F$179*GREET1_Import_Export!$B182+GREET1_Import_Export!$F182)/1000000+L$29*(GREET1_Import_Export!$G$179*GREET1_Import_Export!$B182+GREET1_Import_Export!$G182)/1000000+L$30*GREET1_Import_Export!$B218/1000000+L$31*(1+GREET1_Import_Export!$B286/1000000)+L$32*(GREET1_Import_Export!$B311+GREET1_Import_Export!$C311)/1000000+L$33*Silicon!$J74+L$34*GREET1_Import_Export!$B496+L$35*LiMn2O4!$C92+L$36*$B41</f>
        <v>0.10933956295964072</v>
      </c>
      <c r="M41" s="235"/>
      <c r="N41" s="234">
        <f>N$28*(GREET1_Import_Export!$F$179*GREET1_Import_Export!$B182+GREET1_Import_Export!$F182)/1000000+N$29*(GREET1_Import_Export!$G$179*GREET1_Import_Export!$B182+GREET1_Import_Export!$G182)/1000000+N$30*GREET1_Import_Export!$B218/1000000+N$31*(1+GREET1_Import_Export!$B286/1000000)+N$32*(GREET1_Import_Export!$B311+GREET1_Import_Export!$C311)/1000000+N$33*Silicon!$J74+N$34*GREET1_Import_Export!$B496+N$35*LiMn2O4!$C92+N$36*$B41</f>
        <v>7.9208109045616731E-2</v>
      </c>
      <c r="O41" s="235"/>
      <c r="P41" s="234">
        <f>P$28*(GREET1_Import_Export!$F$179*GREET1_Import_Export!$B182+GREET1_Import_Export!$F182)/1000000+P$29*(GREET1_Import_Export!$G$179*GREET1_Import_Export!$B182+GREET1_Import_Export!$G182)/1000000+P$30*GREET1_Import_Export!$B218/1000000+P$31*(1+GREET1_Import_Export!$B286/1000000)+P$32*(GREET1_Import_Export!$B311+GREET1_Import_Export!$C311)/1000000</f>
        <v>1.0728295011335414</v>
      </c>
      <c r="Q41" s="235"/>
      <c r="R41" s="234">
        <f>R$28*(GREET1_Import_Export!$F$179*GREET1_Import_Export!$B182+GREET1_Import_Export!$F182)/1000000+R$29*(GREET1_Import_Export!$G$179*GREET1_Import_Export!$B182+GREET1_Import_Export!$G182)/1000000+R$30*GREET1_Import_Export!$B218/1000000+R$31*(1+GREET1_Import_Export!$B286/1000000)+R$32*(GREET1_Import_Export!$B311+GREET1_Import_Export!$C311)/1000000+R$33*Silicon!$J74+R$34*GREET1_Import_Export!$B496+R$37*GREET1_Import_Export!$K527+R$38*$P41</f>
        <v>1.5912978656778438</v>
      </c>
      <c r="S41" s="235"/>
      <c r="T41" s="234">
        <f>T$28*(GREET1_Import_Export!$F$179*GREET1_Import_Export!$B182+GREET1_Import_Export!$F182)/1000000+T$29*(GREET1_Import_Export!$G$179*GREET1_Import_Export!$B182+GREET1_Import_Export!$G182)/1000000+T$30*GREET1_Import_Export!$B218/1000000+T$31*(1+GREET1_Import_Export!$B286/1000000)+T$32*(GREET1_Import_Export!$B311+GREET1_Import_Export!$C311)/1000000+T$33*Silicon!$J74+T$34*GREET1_Import_Export!$B496+T$37*GREET1_Import_Export!$K527+T$38*$P41</f>
        <v>6.4075785249352755E-3</v>
      </c>
      <c r="U41" s="235"/>
      <c r="V41" s="234">
        <f>V$28*(GREET1_Import_Export!$F$179*GREET1_Import_Export!$B182+GREET1_Import_Export!$F182)/1000000+V$29*(GREET1_Import_Export!$G$179*GREET1_Import_Export!$B182+GREET1_Import_Export!$G182)/1000000+V$30*GREET1_Import_Export!$B218/1000000+V$31*(1+GREET1_Import_Export!$B286/1000000)+V$32*(GREET1_Import_Export!$B311+GREET1_Import_Export!$C311)/1000000+V$33*Silicon!$J74+V$34*GREET1_Import_Export!$B496+V$37*GREET1_Import_Export!$K527+V$38*$P41</f>
        <v>1.1151914721597862</v>
      </c>
      <c r="W41" s="235"/>
      <c r="X41" s="234">
        <f>X$28*(GREET1_Import_Export!$F$179*GREET1_Import_Export!$B182+GREET1_Import_Export!$F182)/1000000+X$29*(GREET1_Import_Export!$G$179*GREET1_Import_Export!$B182+GREET1_Import_Export!$G182)/1000000+X$30*GREET1_Import_Export!$B218/1000000+X$31*(1+GREET1_Import_Export!$B286/1000000)+X$32*(GREET1_Import_Export!$B311+GREET1_Import_Export!$C311)/1000000+X$33*Silicon!$J74+X$34*GREET1_Import_Export!$B496+X$37*GREET1_Import_Export!$K527+X$38*$P41</f>
        <v>3.2333627018134923E-3</v>
      </c>
      <c r="Y41" s="235"/>
    </row>
    <row r="42" spans="1:25" s="496" customFormat="1">
      <c r="A42" s="498" t="s">
        <v>804</v>
      </c>
      <c r="B42" s="234">
        <f>B40-B41-B43</f>
        <v>2.7905685875026648E-2</v>
      </c>
      <c r="C42" s="235"/>
      <c r="D42" s="234">
        <f>D40-D41-D43</f>
        <v>0.42188756396395016</v>
      </c>
      <c r="E42" s="235"/>
      <c r="F42" s="234">
        <f>F40-F41-F43</f>
        <v>7.1315630408383246</v>
      </c>
      <c r="G42" s="235"/>
      <c r="H42" s="234">
        <f>H40-H41-H43</f>
        <v>1.5468134861884295</v>
      </c>
      <c r="I42" s="235"/>
      <c r="J42" s="234">
        <f>J40-J41-J43</f>
        <v>0.44972668041816483</v>
      </c>
      <c r="K42" s="235"/>
      <c r="L42" s="234">
        <f>L40-L41-L43</f>
        <v>4.601020328574295</v>
      </c>
      <c r="M42" s="235"/>
      <c r="N42" s="234">
        <f>N40-N41-N43</f>
        <v>1.7921739731243274</v>
      </c>
      <c r="O42" s="235"/>
      <c r="P42" s="234">
        <f>P40-P41-P43</f>
        <v>9.3343984937247413</v>
      </c>
      <c r="Q42" s="235"/>
      <c r="R42" s="234">
        <f>R40-R41-R43</f>
        <v>4.5915829638760473</v>
      </c>
      <c r="S42" s="235"/>
      <c r="T42" s="234">
        <f>T40-T41-T43</f>
        <v>7.1403121143217634</v>
      </c>
      <c r="U42" s="235"/>
      <c r="V42" s="234">
        <f>V40-V41-V43</f>
        <v>2.0624179815845727</v>
      </c>
      <c r="W42" s="235"/>
      <c r="X42" s="234">
        <f>X40-X41-X43</f>
        <v>3.6031113438423668</v>
      </c>
      <c r="Y42" s="235"/>
    </row>
    <row r="43" spans="1:25" s="496" customFormat="1">
      <c r="A43" s="498" t="s">
        <v>818</v>
      </c>
      <c r="B43" s="249">
        <f>B$28*(1+(GREET1_Import_Export!$F$179*GREET1_Import_Export!$B184+GREET1_Import_Export!$F184)/1000000)+B$29*(1+(GREET1_Import_Export!$G$179*GREET1_Import_Export!$B184+GREET1_Import_Export!$G184)/1000000)+B$30*GREET1_Import_Export!$B220/1000000+B$31*GREET1_Import_Export!$B288/1000000+B$32*(GREET1_Import_Export!$B313+GREET1_Import_Export!$C313)/1000000</f>
        <v>0.15459960289666819</v>
      </c>
      <c r="C43" s="237"/>
      <c r="D43" s="249">
        <f>D$28*(1+(GREET1_Import_Export!$F$179*GREET1_Import_Export!$B184+GREET1_Import_Export!$F184)/1000000)+D$29*(1+(GREET1_Import_Export!$G$179*GREET1_Import_Export!$B184+GREET1_Import_Export!$G184)/1000000)+D$30*GREET1_Import_Export!$B220/1000000+D$31*GREET1_Import_Export!$B288/1000000+D$32*(GREET1_Import_Export!$B313+GREET1_Import_Export!$C313)/1000000+D$33*Silicon!$J76+D$34*GREET1_Import_Export!$B498+D$35*LiMn2O4!$C94+D$36*$B43</f>
        <v>0.21920011814016699</v>
      </c>
      <c r="E43" s="237"/>
      <c r="F43" s="249">
        <f>F$28*(1+(GREET1_Import_Export!$F$179*GREET1_Import_Export!$B184+GREET1_Import_Export!$F184)/1000000)+F$29*(1+(GREET1_Import_Export!$G$179*GREET1_Import_Export!$B184+GREET1_Import_Export!$G184)/1000000)+F$30*GREET1_Import_Export!$B220/1000000+F$31*GREET1_Import_Export!$B288/1000000+F$32*(GREET1_Import_Export!$B313+GREET1_Import_Export!$C313)/1000000+F$33*Silicon!$J76+F$34*GREET1_Import_Export!$B498+F$35*LiMn2O4!$C94+F$36*$B43</f>
        <v>2.7838537844093913E-2</v>
      </c>
      <c r="G43" s="237"/>
      <c r="H43" s="249">
        <f>H$28*(1+(GREET1_Import_Export!$F$179*GREET1_Import_Export!$B184+GREET1_Import_Export!$F184)/1000000)+H$29*(1+(GREET1_Import_Export!$G$179*GREET1_Import_Export!$B184+GREET1_Import_Export!$G184)/1000000)+H$30*GREET1_Import_Export!$B220/1000000+H$31*GREET1_Import_Export!$B288/1000000+H$32*(GREET1_Import_Export!$B313+GREET1_Import_Export!$C313)/1000000+H$33*Silicon!$J76+H$34*GREET1_Import_Export!$B498+H$35*LiMn2O4!$C94+H$36*$B43</f>
        <v>2.616628140716382E-2</v>
      </c>
      <c r="I43" s="237"/>
      <c r="J43" s="249">
        <f>J$28*(1+(GREET1_Import_Export!$F$179*GREET1_Import_Export!$B184+GREET1_Import_Export!$F184)/1000000)+J$29*(1+(GREET1_Import_Export!$G$179*GREET1_Import_Export!$B184+GREET1_Import_Export!$G184)/1000000)+J$30*GREET1_Import_Export!$B220/1000000+J$31*GREET1_Import_Export!$B288/1000000+J$32*(GREET1_Import_Export!$B313+GREET1_Import_Export!$C313)/1000000+J$33*Silicon!$J76+J$34*GREET1_Import_Export!$B498+J$35*LiMn2O4!$C94+J$36*$B43</f>
        <v>1.7779944024426261E-3</v>
      </c>
      <c r="K43" s="237"/>
      <c r="L43" s="249">
        <f>L$28*(1+(GREET1_Import_Export!$F$179*GREET1_Import_Export!$B184+GREET1_Import_Export!$F184)/1000000)+L$29*(1+(GREET1_Import_Export!$G$179*GREET1_Import_Export!$B184+GREET1_Import_Export!$G184)/1000000)+L$30*GREET1_Import_Export!$B220/1000000+L$31*GREET1_Import_Export!$B288/1000000+L$32*(GREET1_Import_Export!$B313+GREET1_Import_Export!$C313)/1000000+L$33*Silicon!$J76+L$34*GREET1_Import_Export!$B498+L$35*LiMn2O4!$C94+L$36*$B43</f>
        <v>1.9398121402342264E-2</v>
      </c>
      <c r="M43" s="237"/>
      <c r="N43" s="249">
        <f>N$28*(1+(GREET1_Import_Export!$F$179*GREET1_Import_Export!$B184+GREET1_Import_Export!$F184)/1000000)+N$29*(1+(GREET1_Import_Export!$G$179*GREET1_Import_Export!$B184+GREET1_Import_Export!$G184)/1000000)+N$30*GREET1_Import_Export!$B220/1000000+N$31*GREET1_Import_Export!$B288/1000000+N$32*(GREET1_Import_Export!$B313+GREET1_Import_Export!$C313)/1000000+N$33*Silicon!$J76+N$34*GREET1_Import_Export!$B498+N$35*LiMn2O4!$C94+N$36*$B43</f>
        <v>8.455508238649375E-3</v>
      </c>
      <c r="O43" s="237"/>
      <c r="P43" s="249">
        <f>P$28*(1+(GREET1_Import_Export!$F$179*GREET1_Import_Export!$B184+GREET1_Import_Export!$F184)/1000000)+P$29*(1+(GREET1_Import_Export!$G$179*GREET1_Import_Export!$B184+GREET1_Import_Export!$G184)/1000000)+P$30*GREET1_Import_Export!$B220/1000000+P$31*GREET1_Import_Export!$B288/1000000+P$32*(GREET1_Import_Export!$B313+GREET1_Import_Export!$C313)/1000000</f>
        <v>2.309935755345685</v>
      </c>
      <c r="Q43" s="237"/>
      <c r="R43" s="249">
        <f>R$28*(1+(GREET1_Import_Export!$F$179*GREET1_Import_Export!$B184+GREET1_Import_Export!$F184)/1000000)+R$29*(1+(GREET1_Import_Export!$G$179*GREET1_Import_Export!$B184+GREET1_Import_Export!$G184)/1000000)+R$30*GREET1_Import_Export!$B220/1000000+R$31*GREET1_Import_Export!$B288/1000000+R$32*(GREET1_Import_Export!$B313+GREET1_Import_Export!$C313)/1000000+R$33*Silicon!$J76+R$34*GREET1_Import_Export!$B498+R$37*GREET1_Import_Export!$K529+R$38*$P43</f>
        <v>0.58159698123082315</v>
      </c>
      <c r="S43" s="237"/>
      <c r="T43" s="249">
        <f>T$28*(1+(GREET1_Import_Export!$F$179*GREET1_Import_Export!$B184+GREET1_Import_Export!$F184)/1000000)+T$29*(1+(GREET1_Import_Export!$G$179*GREET1_Import_Export!$B184+GREET1_Import_Export!$G184)/1000000)+T$30*GREET1_Import_Export!$B220/1000000+T$31*GREET1_Import_Export!$B288/1000000+T$32*(GREET1_Import_Export!$B313+GREET1_Import_Export!$C313)/1000000+T$33*Silicon!$J76+T$34*GREET1_Import_Export!$B498+T$37*GREET1_Import_Export!$K529+T$38*$P43</f>
        <v>2.6092646383135756E-2</v>
      </c>
      <c r="U43" s="237"/>
      <c r="V43" s="249">
        <f>V$28*(1+(GREET1_Import_Export!$F$179*GREET1_Import_Export!$B184+GREET1_Import_Export!$F184)/1000000)+V$29*(1+(GREET1_Import_Export!$G$179*GREET1_Import_Export!$B184+GREET1_Import_Export!$G184)/1000000)+V$30*GREET1_Import_Export!$B220/1000000+V$31*GREET1_Import_Export!$B288/1000000+V$32*(GREET1_Import_Export!$B313+GREET1_Import_Export!$C313)/1000000+V$33*Silicon!$J76+V$34*GREET1_Import_Export!$B498+V$37*GREET1_Import_Export!$K529+V$38*$P43</f>
        <v>3.4888375209551764E-2</v>
      </c>
      <c r="W43" s="237"/>
      <c r="X43" s="249">
        <f>X$28*(1+(GREET1_Import_Export!$F$179*GREET1_Import_Export!$B184+GREET1_Import_Export!$F184)/1000000)+X$29*(1+(GREET1_Import_Export!$G$179*GREET1_Import_Export!$B184+GREET1_Import_Export!$G184)/1000000)+X$30*GREET1_Import_Export!$B220/1000000+X$31*GREET1_Import_Export!$B288/1000000+X$32*(GREET1_Import_Export!$B313+GREET1_Import_Export!$C313)/1000000+X$33*Silicon!$J76+X$34*GREET1_Import_Export!$B498+X$37*GREET1_Import_Export!$K529+X$38*$P43</f>
        <v>1.3166750790259274E-2</v>
      </c>
      <c r="Y43" s="237"/>
    </row>
    <row r="44" spans="1:25" s="496" customFormat="1">
      <c r="A44" s="748" t="s">
        <v>819</v>
      </c>
      <c r="B44" s="1309">
        <f>B$28*((GREET1_Import_Export!$F$179*GREET1_Import_Export!$B185+GREET1_Import_Export!$F185))+B$29*((GREET1_Import_Export!$G$179*GREET1_Import_Export!$B185+GREET1_Import_Export!$G185))+B$30*GREET1_Import_Export!$B221+B$31*GREET1_Import_Export!$B289+B$32*(GREET1_Import_Export!$B314+GREET1_Import_Export!$C314)</f>
        <v>4.2423497078317132</v>
      </c>
      <c r="C44" s="1444"/>
      <c r="D44" s="1309">
        <f>D$28*((GREET1_Import_Export!$F$179*GREET1_Import_Export!$B185+GREET1_Import_Export!$F185))+D$29*((GREET1_Import_Export!$G$179*GREET1_Import_Export!$B185+GREET1_Import_Export!$G185))+D$30*GREET1_Import_Export!$B221+D$31*GREET1_Import_Export!$B289+D$32*(GREET1_Import_Export!$B314+GREET1_Import_Export!$C314)+D$33*Silicon!$J77+D$34*GREET1_Import_Export!$B499+D$35*LiMn2O4!$C95+D$36*$B44</f>
        <v>52.136678315397042</v>
      </c>
      <c r="E44" s="1444">
        <v>8.64</v>
      </c>
      <c r="F44" s="1309">
        <f>F$28*((GREET1_Import_Export!$F$179*GREET1_Import_Export!$B185+GREET1_Import_Export!$F185))+F$29*((GREET1_Import_Export!$G$179*GREET1_Import_Export!$B185+GREET1_Import_Export!$G185))+F$30*GREET1_Import_Export!$B221+F$31*GREET1_Import_Export!$B289+F$32*(GREET1_Import_Export!$B314+GREET1_Import_Export!$C314)+F$33*Silicon!$J77+F$34*GREET1_Import_Export!$B499+F$35*LiMn2O4!$C95+F$36*$B44</f>
        <v>33.761503065850697</v>
      </c>
      <c r="G44" s="1444"/>
      <c r="H44" s="1309">
        <f>H$28*((GREET1_Import_Export!$F$179*GREET1_Import_Export!$B185+GREET1_Import_Export!$F185))+H$29*((GREET1_Import_Export!$G$179*GREET1_Import_Export!$B185+GREET1_Import_Export!$G185))+H$30*GREET1_Import_Export!$B221+H$31*GREET1_Import_Export!$B289+H$32*(GREET1_Import_Export!$B314+GREET1_Import_Export!$C314)+H$33*Silicon!$J77+H$34*GREET1_Import_Export!$B499+H$35*LiMn2O4!$C95+H$36*$B44</f>
        <v>163.02805796437116</v>
      </c>
      <c r="I44" s="1444"/>
      <c r="J44" s="1309">
        <f>J$28*((GREET1_Import_Export!$F$179*GREET1_Import_Export!$B185+GREET1_Import_Export!$F185))+J$29*((GREET1_Import_Export!$G$179*GREET1_Import_Export!$B185+GREET1_Import_Export!$G185))+J$30*GREET1_Import_Export!$B221+J$31*GREET1_Import_Export!$B289+J$32*(GREET1_Import_Export!$B314+GREET1_Import_Export!$C314)+J$33*Silicon!$J77+J$34*GREET1_Import_Export!$B499+J$35*LiMn2O4!$C95+J$36*$B44</f>
        <v>2.3027612452272548</v>
      </c>
      <c r="K44" s="1444">
        <v>360</v>
      </c>
      <c r="L44" s="1309">
        <f>L$28*((GREET1_Import_Export!$F$179*GREET1_Import_Export!$B185+GREET1_Import_Export!$F185))+L$29*((GREET1_Import_Export!$G$179*GREET1_Import_Export!$B185+GREET1_Import_Export!$G185))+L$30*GREET1_Import_Export!$B221+L$31*GREET1_Import_Export!$B289+L$32*(GREET1_Import_Export!$B314+GREET1_Import_Export!$C314)+L$33*Silicon!$J77+L$34*GREET1_Import_Export!$B499+L$35*LiMn2O4!$C95+L$36*$B44</f>
        <v>32.903478048809433</v>
      </c>
      <c r="M44" s="1444"/>
      <c r="N44" s="1309">
        <f>N$28*((GREET1_Import_Export!$F$179*GREET1_Import_Export!$B185+GREET1_Import_Export!$F185))+N$29*((GREET1_Import_Export!$G$179*GREET1_Import_Export!$B185+GREET1_Import_Export!$G185))+N$30*GREET1_Import_Export!$B221+N$31*GREET1_Import_Export!$B289+N$32*(GREET1_Import_Export!$B314+GREET1_Import_Export!$C314)+N$33*Silicon!$J77+N$34*GREET1_Import_Export!$B499+N$35*LiMn2O4!$C95+N$36*$B44</f>
        <v>19.775605297167559</v>
      </c>
      <c r="O44" s="1444"/>
      <c r="P44" s="1309">
        <f>P$28*((GREET1_Import_Export!$F$179*GREET1_Import_Export!$B185+GREET1_Import_Export!$F185))+P$29*((GREET1_Import_Export!$G$179*GREET1_Import_Export!$B185+GREET1_Import_Export!$G185))+P$30*GREET1_Import_Export!$B221+P$31*GREET1_Import_Export!$B289+P$32*(GREET1_Import_Export!$B314+GREET1_Import_Export!$C314)</f>
        <v>114.97117800732343</v>
      </c>
      <c r="Q44" s="1444">
        <v>1462</v>
      </c>
      <c r="R44" s="1309">
        <f>R$28*((GREET1_Import_Export!$F$179*GREET1_Import_Export!$B185+GREET1_Import_Export!$F185))+R$29*((GREET1_Import_Export!$G$179*GREET1_Import_Export!$B185+GREET1_Import_Export!$G185))+R$30*GREET1_Import_Export!$B221+R$31*GREET1_Import_Export!$B289+R$32*(GREET1_Import_Export!$B314+GREET1_Import_Export!$C314)+R$33*Silicon!$J77+R$34*GREET1_Import_Export!$B499+R$37*GREET1_Import_Export!$K530+R$38*($P44+$Q44)</f>
        <v>623.90757731482518</v>
      </c>
      <c r="S44" s="1444">
        <v>4.7</v>
      </c>
      <c r="T44" s="1309">
        <f>T$28*((GREET1_Import_Export!$F$179*GREET1_Import_Export!$B185+GREET1_Import_Export!$F185))+T$29*((GREET1_Import_Export!$G$179*GREET1_Import_Export!$B185+GREET1_Import_Export!$G185))+T$30*GREET1_Import_Export!$B221+T$31*GREET1_Import_Export!$B289+T$32*(GREET1_Import_Export!$B314+GREET1_Import_Export!$C314)+T$33*Silicon!$J77+T$34*GREET1_Import_Export!$B499+T$37*GREET1_Import_Export!$K530+T$38*($P44+$Q44)</f>
        <v>20.033066029529099</v>
      </c>
      <c r="U44" s="1444"/>
      <c r="V44" s="1309">
        <f>V$28*((GREET1_Import_Export!$F$179*GREET1_Import_Export!$B185+GREET1_Import_Export!$F185))+V$29*((GREET1_Import_Export!$G$179*GREET1_Import_Export!$B185+GREET1_Import_Export!$G185))+V$30*GREET1_Import_Export!$B221+V$31*GREET1_Import_Export!$B289+V$32*(GREET1_Import_Export!$B314+GREET1_Import_Export!$C314)+V$33*Silicon!$J77+V$34*GREET1_Import_Export!$B499+V$37*GREET1_Import_Export!$K530+V$38*($P44+$Q44)</f>
        <v>217.37074395249488</v>
      </c>
      <c r="W44" s="1444">
        <v>960</v>
      </c>
      <c r="X44" s="1309">
        <f>X$28*((GREET1_Import_Export!$F$179*GREET1_Import_Export!$B185+GREET1_Import_Export!$F185))+X$29*((GREET1_Import_Export!$G$179*GREET1_Import_Export!$B185+GREET1_Import_Export!$G185))+X$30*GREET1_Import_Export!$B221+X$31*GREET1_Import_Export!$B289+X$32*(GREET1_Import_Export!$B314+GREET1_Import_Export!$C314)+X$33*Silicon!$J77+X$34*GREET1_Import_Export!$B499+X$37*GREET1_Import_Export!$K530+X$38*($P44+$Q44)</f>
        <v>10.108993319516221</v>
      </c>
      <c r="Y44" s="1444"/>
    </row>
    <row r="45" spans="1:25" s="496" customFormat="1">
      <c r="A45" s="609" t="s">
        <v>864</v>
      </c>
      <c r="B45" s="578"/>
      <c r="C45" s="235"/>
      <c r="D45" s="234"/>
      <c r="E45" s="235"/>
      <c r="F45" s="234"/>
      <c r="G45" s="235"/>
      <c r="H45" s="234"/>
      <c r="I45" s="235"/>
      <c r="J45" s="234"/>
      <c r="K45" s="235"/>
      <c r="L45" s="234"/>
      <c r="M45" s="235"/>
      <c r="N45" s="234"/>
      <c r="O45" s="235"/>
      <c r="P45" s="234"/>
      <c r="Q45" s="235"/>
      <c r="R45" s="234"/>
      <c r="S45" s="235"/>
      <c r="T45" s="234"/>
      <c r="U45" s="235"/>
      <c r="V45" s="234"/>
      <c r="W45" s="235"/>
      <c r="X45" s="234"/>
      <c r="Y45" s="235"/>
    </row>
    <row r="46" spans="1:25" s="496" customFormat="1">
      <c r="A46" s="498" t="s">
        <v>821</v>
      </c>
      <c r="B46" s="578">
        <f>B$28*(B$8*GREET1_Import_Export!$K72+GREET1_Import_Export!$F$179*GREET1_Import_Export!$B186+GREET1_Import_Export!$F186)+B$29*(B$12*GREET1_Import_Export!$O72+B$13*GREET1_Import_Export!$J146+GREET1_Import_Export!$G$179*GREET1_Import_Export!$B186+GREET1_Import_Export!$G186)+B$30*(B$9*GREET1_Import_Export!$B72+B$10*GREET1_Import_Export!$J118+GREET1_Import_Export!$B222)+B$31*(B$11*GREET1_Import_Export!$AA72+GREET1_Import_Export!$B290)+B$32*(GREET1_Import_Export!$B315+GREET1_Import_Export!$C315)</f>
        <v>1.5163351511606895</v>
      </c>
      <c r="C46" s="235"/>
      <c r="D46" s="234">
        <f>D$28*(GREET1_Import_Export!$K72+GREET1_Import_Export!$F$179*GREET1_Import_Export!$B186+GREET1_Import_Export!$F186)+D$29*(GREET1_Import_Export!$O72+GREET1_Import_Export!$G$179*GREET1_Import_Export!$B186+GREET1_Import_Export!$G186)+D$30*(GREET1_Import_Export!$B72+GREET1_Import_Export!$B222)+D$31*(GREET1_Import_Export!$AA72+GREET1_Import_Export!$B290)+D$32*(GREET1_Import_Export!$B315+GREET1_Import_Export!$C315)+D$33*Silicon!$J79+D$34*GREET1_Import_Export!$B501+D$35*LiMn2O4!$C97+D$36*$B46</f>
        <v>24.592673360387312</v>
      </c>
      <c r="E46" s="235"/>
      <c r="F46" s="234">
        <f>F$28*(GREET1_Import_Export!$K72+GREET1_Import_Export!$F$179*GREET1_Import_Export!$B186+GREET1_Import_Export!$F186)+F$29*(GREET1_Import_Export!$O72+GREET1_Import_Export!$G$179*GREET1_Import_Export!$B186+GREET1_Import_Export!$G186)+F$30*(GREET1_Import_Export!$B72+GREET1_Import_Export!$B222)+F$31*(GREET1_Import_Export!$AA72+GREET1_Import_Export!$B290)+F$32*(GREET1_Import_Export!$B315+GREET1_Import_Export!$C315)+F$33*Silicon!$J79+F$34*GREET1_Import_Export!$B501+F$35*LiMn2O4!$C97+F$36*$B46</f>
        <v>83.50851521168515</v>
      </c>
      <c r="G46" s="235"/>
      <c r="H46" s="234">
        <f>H$28*(GREET1_Import_Export!$K72+GREET1_Import_Export!$F$179*GREET1_Import_Export!$B186+GREET1_Import_Export!$F186)+H$29*(GREET1_Import_Export!$O72+GREET1_Import_Export!$G$179*GREET1_Import_Export!$B186+GREET1_Import_Export!$G186)+H$30*(GREET1_Import_Export!$B72+GREET1_Import_Export!$B222)+H$31*(GREET1_Import_Export!$AA72+GREET1_Import_Export!$B290)+H$32*(GREET1_Import_Export!$B315+GREET1_Import_Export!$C315)+H$33*Silicon!$J79+H$34*GREET1_Import_Export!$B501+H$35*LiMn2O4!$C97+H$36*$B46</f>
        <v>20.785302853972219</v>
      </c>
      <c r="I46" s="235"/>
      <c r="J46" s="234">
        <f>J$28*(GREET1_Import_Export!$K72+GREET1_Import_Export!$F$179*GREET1_Import_Export!$B186+GREET1_Import_Export!$F186)+J$29*(GREET1_Import_Export!$O72+GREET1_Import_Export!$G$179*GREET1_Import_Export!$B186+GREET1_Import_Export!$G186)+J$30*(GREET1_Import_Export!$B72+GREET1_Import_Export!$B222)+J$31*(GREET1_Import_Export!$AA72+GREET1_Import_Export!$B290)+J$32*(GREET1_Import_Export!$B315+GREET1_Import_Export!$C315)+J$33*Silicon!$J79+J$34*GREET1_Import_Export!$B501+J$35*LiMn2O4!$C97+J$36*$B46</f>
        <v>5.2691493981250899</v>
      </c>
      <c r="K46" s="235"/>
      <c r="L46" s="234">
        <f>L$28*(GREET1_Import_Export!$K72+GREET1_Import_Export!$F$179*GREET1_Import_Export!$B186+GREET1_Import_Export!$F186)+L$29*(GREET1_Import_Export!$O72+GREET1_Import_Export!$G$179*GREET1_Import_Export!$B186+GREET1_Import_Export!$G186)+L$30*(GREET1_Import_Export!$B72+GREET1_Import_Export!$B222)+L$31*(GREET1_Import_Export!$AA72+GREET1_Import_Export!$B290)+L$32*(GREET1_Import_Export!$B315+GREET1_Import_Export!$C315)+L$33*Silicon!$J79+L$34*GREET1_Import_Export!$B501+L$35*LiMn2O4!$C97+L$36*$B46</f>
        <v>54.067498793190971</v>
      </c>
      <c r="M46" s="235"/>
      <c r="N46" s="234">
        <f>N$28*(GREET1_Import_Export!$K72+GREET1_Import_Export!$F$179*GREET1_Import_Export!$B186+GREET1_Import_Export!$F186)+N$29*(GREET1_Import_Export!$O72+GREET1_Import_Export!$G$179*GREET1_Import_Export!$B186+GREET1_Import_Export!$G186)+N$30*(GREET1_Import_Export!$B72+GREET1_Import_Export!$B222)+N$31*(GREET1_Import_Export!$AA72+GREET1_Import_Export!$B290)+N$32*(GREET1_Import_Export!$B315+GREET1_Import_Export!$C315)+N$33*Silicon!$J79+N$34*GREET1_Import_Export!$B501+N$35*LiMn2O4!$C97+N$36*$B46</f>
        <v>21.179639271323857</v>
      </c>
      <c r="O46" s="235"/>
      <c r="P46" s="234">
        <f>P$28*(GREET1_Import_Export!$K72+GREET1_Import_Export!$F$179*GREET1_Import_Export!$B186+GREET1_Import_Export!$F186)+P$29*(GREET1_Import_Export!$O72+GREET1_Import_Export!$G$179*GREET1_Import_Export!$B186+GREET1_Import_Export!$G186)+P$30*(GREET1_Import_Export!$B72+GREET1_Import_Export!$B222)+P$31*(GREET1_Import_Export!$AA72+GREET1_Import_Export!$B290)+P$32*(GREET1_Import_Export!$B315+GREET1_Import_Export!$C315)</f>
        <v>129.49898971232906</v>
      </c>
      <c r="Q46" s="235"/>
      <c r="R46" s="234">
        <f>R$28*(GREET1_Import_Export!$K72+GREET1_Import_Export!$F$179*GREET1_Import_Export!$B186+GREET1_Import_Export!$F186)+R$29*(GREET1_Import_Export!$O72+GREET1_Import_Export!$G$179*GREET1_Import_Export!$B186+GREET1_Import_Export!$G186)+R$30*(GREET1_Import_Export!$B72+GREET1_Import_Export!$B222)+R$31*(GREET1_Import_Export!$AA72+GREET1_Import_Export!$B290)+R$32*(GREET1_Import_Export!$B315+GREET1_Import_Export!$C315)+R$33*Silicon!$J79+R$34*GREET1_Import_Export!$B501+R$37*GREET1_Import_Export!$K532+R$38*$P46</f>
        <v>86.190023152640265</v>
      </c>
      <c r="S46" s="235"/>
      <c r="T46" s="234">
        <f>T$28*(GREET1_Import_Export!$K72+GREET1_Import_Export!$F$179*GREET1_Import_Export!$B186+GREET1_Import_Export!$F186)+T$29*(GREET1_Import_Export!$O72+GREET1_Import_Export!$G$179*GREET1_Import_Export!$B186+GREET1_Import_Export!$G186)+T$30*(GREET1_Import_Export!$B72+GREET1_Import_Export!$B222)+T$31*(GREET1_Import_Export!$AA72+GREET1_Import_Export!$B290)+T$32*(GREET1_Import_Export!$B315+GREET1_Import_Export!$C315)+T$33*Silicon!$J79+T$34*GREET1_Import_Export!$B501+T$37*GREET1_Import_Export!$K532+T$38*$P46</f>
        <v>83.374614589463491</v>
      </c>
      <c r="U46" s="235"/>
      <c r="V46" s="234">
        <f>V$28*(GREET1_Import_Export!$K72+GREET1_Import_Export!$F$179*GREET1_Import_Export!$B186+GREET1_Import_Export!$F186)+V$29*(GREET1_Import_Export!$O72+GREET1_Import_Export!$G$179*GREET1_Import_Export!$B186+GREET1_Import_Export!$G186)+V$30*(GREET1_Import_Export!$B72+GREET1_Import_Export!$B222)+V$31*(GREET1_Import_Export!$AA72+GREET1_Import_Export!$B290)+V$32*(GREET1_Import_Export!$B315+GREET1_Import_Export!$C315)+V$33*Silicon!$J79+V$34*GREET1_Import_Export!$B501+V$37*GREET1_Import_Export!$K532+V$38*$P46</f>
        <v>27.713737138629625</v>
      </c>
      <c r="W46" s="235"/>
      <c r="X46" s="234">
        <f>X$28*(GREET1_Import_Export!$K72+GREET1_Import_Export!$F$179*GREET1_Import_Export!$B186+GREET1_Import_Export!$F186)+X$29*(GREET1_Import_Export!$O72+GREET1_Import_Export!$G$179*GREET1_Import_Export!$B186+GREET1_Import_Export!$G186)+X$30*(GREET1_Import_Export!$B72+GREET1_Import_Export!$B222)+X$31*(GREET1_Import_Export!$AA72+GREET1_Import_Export!$B290)+X$32*(GREET1_Import_Export!$B315+GREET1_Import_Export!$C315)+X$33*Silicon!$J79+X$34*GREET1_Import_Export!$B501+X$37*GREET1_Import_Export!$K532+X$38*$P46</f>
        <v>42.072113208221573</v>
      </c>
      <c r="Y46" s="235"/>
    </row>
    <row r="47" spans="1:25" s="496" customFormat="1">
      <c r="A47" s="498" t="s">
        <v>822</v>
      </c>
      <c r="B47" s="578">
        <f>B$28*(B$8*GREET1_Import_Export!$K73+GREET1_Import_Export!$F$179*GREET1_Import_Export!$B187+GREET1_Import_Export!$F187)+B$29*(B$12*GREET1_Import_Export!$O73+B$13*GREET1_Import_Export!$J147+GREET1_Import_Export!$G$179*GREET1_Import_Export!$B187+GREET1_Import_Export!$G187)+B$30*(B$9*GREET1_Import_Export!$B73+B$10*GREET1_Import_Export!$J119+GREET1_Import_Export!$B223)+B$31*(B$11*GREET1_Import_Export!$AA73+GREET1_Import_Export!$B291)+B$32*(GREET1_Import_Export!$B316+GREET1_Import_Export!$C316)</f>
        <v>79.718571421848637</v>
      </c>
      <c r="C47" s="235"/>
      <c r="D47" s="234">
        <f>D$28*(GREET1_Import_Export!$K73+GREET1_Import_Export!$F$179*GREET1_Import_Export!$B187+GREET1_Import_Export!$F187)+D$29*(GREET1_Import_Export!$O73+GREET1_Import_Export!$G$179*GREET1_Import_Export!$B187+GREET1_Import_Export!$G187)+D$30*(GREET1_Import_Export!$B73+GREET1_Import_Export!$B223)+D$31*(GREET1_Import_Export!$AA73+GREET1_Import_Export!$B291)+D$32*(GREET1_Import_Export!$B316+GREET1_Import_Export!$C316)+D$33*Silicon!$J80+D$34*GREET1_Import_Export!$B502+D$35*LiMn2O4!$C98+D$36*$B47</f>
        <v>146.13736228005953</v>
      </c>
      <c r="E47" s="235"/>
      <c r="F47" s="234">
        <f>F$28*(GREET1_Import_Export!$K73+GREET1_Import_Export!$F$179*GREET1_Import_Export!$B187+GREET1_Import_Export!$F187)+F$29*(GREET1_Import_Export!$O73+GREET1_Import_Export!$G$179*GREET1_Import_Export!$B187+GREET1_Import_Export!$G187)+F$30*(GREET1_Import_Export!$B73+GREET1_Import_Export!$B223)+F$31*(GREET1_Import_Export!$AA73+GREET1_Import_Export!$B291)+F$32*(GREET1_Import_Export!$B316+GREET1_Import_Export!$C316)+F$33*Silicon!$J80+F$34*GREET1_Import_Export!$B502+F$35*LiMn2O4!$C98+F$36*$B47</f>
        <v>345.38312539904325</v>
      </c>
      <c r="G47" s="235"/>
      <c r="H47" s="234">
        <f>H$28*(GREET1_Import_Export!$K73+GREET1_Import_Export!$F$179*GREET1_Import_Export!$B187+GREET1_Import_Export!$F187)+H$29*(GREET1_Import_Export!$O73+GREET1_Import_Export!$G$179*GREET1_Import_Export!$B187+GREET1_Import_Export!$G187)+H$30*(GREET1_Import_Export!$B73+GREET1_Import_Export!$B223)+H$31*(GREET1_Import_Export!$AA73+GREET1_Import_Export!$B291)+H$32*(GREET1_Import_Export!$B316+GREET1_Import_Export!$C316)+H$33*Silicon!$J80+H$34*GREET1_Import_Export!$B502+H$35*LiMn2O4!$C98+H$36*$B47</f>
        <v>56.182451444021382</v>
      </c>
      <c r="I47" s="235"/>
      <c r="J47" s="234">
        <f>J$28*(GREET1_Import_Export!$K73+GREET1_Import_Export!$F$179*GREET1_Import_Export!$B187+GREET1_Import_Export!$F187)+J$29*(GREET1_Import_Export!$O73+GREET1_Import_Export!$G$179*GREET1_Import_Export!$B187+GREET1_Import_Export!$G187)+J$30*(GREET1_Import_Export!$B73+GREET1_Import_Export!$B223)+J$31*(GREET1_Import_Export!$AA73+GREET1_Import_Export!$B291)+J$32*(GREET1_Import_Export!$B316+GREET1_Import_Export!$C316)+J$33*Silicon!$J80+J$34*GREET1_Import_Export!$B502+J$35*LiMn2O4!$C98+J$36*$B47</f>
        <v>21.759463330394031</v>
      </c>
      <c r="K47" s="235"/>
      <c r="L47" s="234">
        <f>L$28*(GREET1_Import_Export!$K73+GREET1_Import_Export!$F$179*GREET1_Import_Export!$B187+GREET1_Import_Export!$F187)+L$29*(GREET1_Import_Export!$O73+GREET1_Import_Export!$G$179*GREET1_Import_Export!$B187+GREET1_Import_Export!$G187)+L$30*(GREET1_Import_Export!$B73+GREET1_Import_Export!$B223)+L$31*(GREET1_Import_Export!$AA73+GREET1_Import_Export!$B291)+L$32*(GREET1_Import_Export!$B316+GREET1_Import_Export!$C316)+L$33*Silicon!$J80+L$34*GREET1_Import_Export!$B502+L$35*LiMn2O4!$C98+L$36*$B47</f>
        <v>221.49053867858589</v>
      </c>
      <c r="M47" s="235"/>
      <c r="N47" s="234">
        <f>N$28*(GREET1_Import_Export!$K73+GREET1_Import_Export!$F$179*GREET1_Import_Export!$B187+GREET1_Import_Export!$F187)+N$29*(GREET1_Import_Export!$O73+GREET1_Import_Export!$G$179*GREET1_Import_Export!$B187+GREET1_Import_Export!$G187)+N$30*(GREET1_Import_Export!$B73+GREET1_Import_Export!$B223)+N$31*(GREET1_Import_Export!$AA73+GREET1_Import_Export!$B291)+N$32*(GREET1_Import_Export!$B316+GREET1_Import_Export!$C316)+N$33*Silicon!$J80+N$34*GREET1_Import_Export!$B502+N$35*LiMn2O4!$C98+N$36*$B47</f>
        <v>85.437121670985746</v>
      </c>
      <c r="O47" s="235"/>
      <c r="P47" s="234">
        <f>P$28*(GREET1_Import_Export!$K73+GREET1_Import_Export!$F$179*GREET1_Import_Export!$B187+GREET1_Import_Export!$F187)+P$29*(GREET1_Import_Export!$O73+GREET1_Import_Export!$G$179*GREET1_Import_Export!$B187+GREET1_Import_Export!$G187)+P$30*(GREET1_Import_Export!$B73+GREET1_Import_Export!$B223)+P$31*(GREET1_Import_Export!$AA73+GREET1_Import_Export!$B291)+P$32*(GREET1_Import_Export!$B316+GREET1_Import_Export!$C316)</f>
        <v>667.84299999026371</v>
      </c>
      <c r="Q47" s="235"/>
      <c r="R47" s="234">
        <f>R$28*(GREET1_Import_Export!$K73+GREET1_Import_Export!$F$179*GREET1_Import_Export!$B187+GREET1_Import_Export!$F187)+R$29*(GREET1_Import_Export!$O73+GREET1_Import_Export!$G$179*GREET1_Import_Export!$B187+GREET1_Import_Export!$G187)+R$30*(GREET1_Import_Export!$B73+GREET1_Import_Export!$B223)+R$31*(GREET1_Import_Export!$AA73+GREET1_Import_Export!$B291)+R$32*(GREET1_Import_Export!$B316+GREET1_Import_Export!$C316)+R$33*Silicon!$J80+R$34*GREET1_Import_Export!$B502+R$37*GREET1_Import_Export!$K533+R$38*$P47</f>
        <v>260.85239478902969</v>
      </c>
      <c r="S47" s="235"/>
      <c r="T47" s="234">
        <f>T$28*(GREET1_Import_Export!$K73+GREET1_Import_Export!$F$179*GREET1_Import_Export!$B187+GREET1_Import_Export!$F187)+T$29*(GREET1_Import_Export!$O73+GREET1_Import_Export!$G$179*GREET1_Import_Export!$B187+GREET1_Import_Export!$G187)+T$30*(GREET1_Import_Export!$B73+GREET1_Import_Export!$B223)+T$31*(GREET1_Import_Export!$AA73+GREET1_Import_Export!$B291)+T$32*(GREET1_Import_Export!$B316+GREET1_Import_Export!$C316)+T$33*Silicon!$J80+T$34*GREET1_Import_Export!$B502+T$37*GREET1_Import_Export!$K533+T$38*$P47</f>
        <v>347.4632444971715</v>
      </c>
      <c r="U47" s="235"/>
      <c r="V47" s="234">
        <f>V$28*(GREET1_Import_Export!$K73+GREET1_Import_Export!$F$179*GREET1_Import_Export!$B187+GREET1_Import_Export!$F187)+V$29*(GREET1_Import_Export!$O73+GREET1_Import_Export!$G$179*GREET1_Import_Export!$B187+GREET1_Import_Export!$G187)+V$30*(GREET1_Import_Export!$B73+GREET1_Import_Export!$B223)+V$31*(GREET1_Import_Export!$AA73+GREET1_Import_Export!$B291)+V$32*(GREET1_Import_Export!$B316+GREET1_Import_Export!$C316)+V$33*Silicon!$J80+V$34*GREET1_Import_Export!$B502+V$37*GREET1_Import_Export!$K533+V$38*$P47</f>
        <v>74.909935258695171</v>
      </c>
      <c r="W47" s="235"/>
      <c r="X47" s="234">
        <f>X$28*(GREET1_Import_Export!$K73+GREET1_Import_Export!$F$179*GREET1_Import_Export!$B187+GREET1_Import_Export!$F187)+X$29*(GREET1_Import_Export!$O73+GREET1_Import_Export!$G$179*GREET1_Import_Export!$B187+GREET1_Import_Export!$G187)+X$30*(GREET1_Import_Export!$B73+GREET1_Import_Export!$B223)+X$31*(GREET1_Import_Export!$AA73+GREET1_Import_Export!$B291)+X$32*(GREET1_Import_Export!$B316+GREET1_Import_Export!$C316)+X$33*Silicon!$J80+X$34*GREET1_Import_Export!$B502+X$37*GREET1_Import_Export!$K533+X$38*$P47</f>
        <v>175.3352987616496</v>
      </c>
      <c r="Y47" s="235"/>
    </row>
    <row r="48" spans="1:25" s="496" customFormat="1">
      <c r="A48" s="498" t="s">
        <v>823</v>
      </c>
      <c r="B48" s="578">
        <f>B$28*(B$8*GREET1_Import_Export!$K74+GREET1_Import_Export!$F$179*GREET1_Import_Export!$B188+GREET1_Import_Export!$F188)+B$29*(B$12*GREET1_Import_Export!$O74+B$13*GREET1_Import_Export!$J148+GREET1_Import_Export!$G$179*GREET1_Import_Export!$B188+GREET1_Import_Export!$G188)+B$30*(B$9*GREET1_Import_Export!$B74+B$10*GREET1_Import_Export!$J120+GREET1_Import_Export!$B224)+B$31*(B$11*GREET1_Import_Export!$AA74+GREET1_Import_Export!$B292)+B$32*(GREET1_Import_Export!$B317+GREET1_Import_Export!$C317)</f>
        <v>42.874193102058172</v>
      </c>
      <c r="C48" s="235"/>
      <c r="D48" s="234">
        <f>D$28*(GREET1_Import_Export!$K74+GREET1_Import_Export!$F$179*GREET1_Import_Export!$B188+GREET1_Import_Export!$F188)+D$29*(GREET1_Import_Export!$O74+GREET1_Import_Export!$G$179*GREET1_Import_Export!$B188+GREET1_Import_Export!$G188)+D$30*(GREET1_Import_Export!$B74+GREET1_Import_Export!$B224)+D$31*(GREET1_Import_Export!$AA74+GREET1_Import_Export!$B292)+D$32*(GREET1_Import_Export!$B317+GREET1_Import_Export!$C317)+D$33*Silicon!$J81+D$34*GREET1_Import_Export!$B503+D$35*LiMn2O4!$C99+D$36*$B48</f>
        <v>105.92343138826622</v>
      </c>
      <c r="E48" s="235"/>
      <c r="F48" s="234">
        <f>F$28*(GREET1_Import_Export!$K74+GREET1_Import_Export!$F$179*GREET1_Import_Export!$B188+GREET1_Import_Export!$F188)+F$29*(GREET1_Import_Export!$O74+GREET1_Import_Export!$G$179*GREET1_Import_Export!$B188+GREET1_Import_Export!$G188)+F$30*(GREET1_Import_Export!$B74+GREET1_Import_Export!$B224)+F$31*(GREET1_Import_Export!$AA74+GREET1_Import_Export!$B292)+F$32*(GREET1_Import_Export!$B317+GREET1_Import_Export!$C317)+F$33*Silicon!$J81+F$34*GREET1_Import_Export!$B503+F$35*LiMn2O4!$C99+F$36*$B48</f>
        <v>472.93854412117156</v>
      </c>
      <c r="G48" s="235">
        <v>766</v>
      </c>
      <c r="H48" s="234">
        <f>H$28*(GREET1_Import_Export!$K74+GREET1_Import_Export!$F$179*GREET1_Import_Export!$B188+GREET1_Import_Export!$F188)+H$29*(GREET1_Import_Export!$O74+GREET1_Import_Export!$G$179*GREET1_Import_Export!$B188+GREET1_Import_Export!$G188)+H$30*(GREET1_Import_Export!$B74+GREET1_Import_Export!$B224)+H$31*(GREET1_Import_Export!$AA74+GREET1_Import_Export!$B292)+H$32*(GREET1_Import_Export!$B317+GREET1_Import_Export!$C317)+H$33*Silicon!$J81+H$34*GREET1_Import_Export!$B503+H$35*LiMn2O4!$C99+H$36*$B48</f>
        <v>115.73934165912866</v>
      </c>
      <c r="I48" s="235"/>
      <c r="J48" s="234">
        <f>J$28*(GREET1_Import_Export!$K74+GREET1_Import_Export!$F$179*GREET1_Import_Export!$B188+GREET1_Import_Export!$F188)+J$29*(GREET1_Import_Export!$O74+GREET1_Import_Export!$G$179*GREET1_Import_Export!$B188+GREET1_Import_Export!$G188)+J$30*(GREET1_Import_Export!$B74+GREET1_Import_Export!$B224)+J$31*(GREET1_Import_Export!$AA74+GREET1_Import_Export!$B292)+J$32*(GREET1_Import_Export!$B317+GREET1_Import_Export!$C317)+J$33*Silicon!$J81+J$34*GREET1_Import_Export!$B503+J$35*LiMn2O4!$C99+J$36*$B48</f>
        <v>29.838871073299664</v>
      </c>
      <c r="K48" s="235"/>
      <c r="L48" s="234">
        <f>L$28*(GREET1_Import_Export!$K74+GREET1_Import_Export!$F$179*GREET1_Import_Export!$B188+GREET1_Import_Export!$F188)+L$29*(GREET1_Import_Export!$O74+GREET1_Import_Export!$G$179*GREET1_Import_Export!$B188+GREET1_Import_Export!$G188)+L$30*(GREET1_Import_Export!$B74+GREET1_Import_Export!$B224)+L$31*(GREET1_Import_Export!$AA74+GREET1_Import_Export!$B292)+L$32*(GREET1_Import_Export!$B317+GREET1_Import_Export!$C317)+L$33*Silicon!$J81+L$34*GREET1_Import_Export!$B503+L$35*LiMn2O4!$C99+L$36*$B48</f>
        <v>306.06246482337872</v>
      </c>
      <c r="M48" s="235"/>
      <c r="N48" s="234">
        <f>N$28*(GREET1_Import_Export!$K74+GREET1_Import_Export!$F$179*GREET1_Import_Export!$B188+GREET1_Import_Export!$F188)+N$29*(GREET1_Import_Export!$O74+GREET1_Import_Export!$G$179*GREET1_Import_Export!$B188+GREET1_Import_Export!$G188)+N$30*(GREET1_Import_Export!$B74+GREET1_Import_Export!$B224)+N$31*(GREET1_Import_Export!$AA74+GREET1_Import_Export!$B292)+N$32*(GREET1_Import_Export!$B317+GREET1_Import_Export!$C317)+N$33*Silicon!$J81+N$34*GREET1_Import_Export!$B503+N$35*LiMn2O4!$C99+N$36*$B48</f>
        <v>119.80462153824753</v>
      </c>
      <c r="O48" s="235"/>
      <c r="P48" s="234">
        <f>P$28*(GREET1_Import_Export!$K74+GREET1_Import_Export!$F$179*GREET1_Import_Export!$B188+GREET1_Import_Export!$F188)+P$29*(GREET1_Import_Export!$O74+GREET1_Import_Export!$G$179*GREET1_Import_Export!$B188+GREET1_Import_Export!$G188)+P$30*(GREET1_Import_Export!$B74+GREET1_Import_Export!$B224)+P$31*(GREET1_Import_Export!$AA74+GREET1_Import_Export!$B292)+P$32*(GREET1_Import_Export!$B317+GREET1_Import_Export!$C317)</f>
        <v>1080.1866245827507</v>
      </c>
      <c r="Q48" s="235"/>
      <c r="R48" s="234">
        <f>R$28*(GREET1_Import_Export!$K74+GREET1_Import_Export!$F$179*GREET1_Import_Export!$B188+GREET1_Import_Export!$F188)+R$29*(GREET1_Import_Export!$O74+GREET1_Import_Export!$G$179*GREET1_Import_Export!$B188+GREET1_Import_Export!$G188)+R$30*(GREET1_Import_Export!$B74+GREET1_Import_Export!$B224)+R$31*(GREET1_Import_Export!$AA74+GREET1_Import_Export!$B292)+R$32*(GREET1_Import_Export!$B317+GREET1_Import_Export!$C317)+R$33*Silicon!$J81+R$34*GREET1_Import_Export!$B503+R$37*GREET1_Import_Export!$K534+R$38*$P48</f>
        <v>468.15689392841193</v>
      </c>
      <c r="S48" s="235"/>
      <c r="T48" s="234">
        <f>T$28*(GREET1_Import_Export!$K74+GREET1_Import_Export!$F$179*GREET1_Import_Export!$B188+GREET1_Import_Export!$F188)+T$29*(GREET1_Import_Export!$O74+GREET1_Import_Export!$G$179*GREET1_Import_Export!$B188+GREET1_Import_Export!$G188)+T$30*(GREET1_Import_Export!$B74+GREET1_Import_Export!$B224)+T$31*(GREET1_Import_Export!$AA74+GREET1_Import_Export!$B292)+T$32*(GREET1_Import_Export!$B317+GREET1_Import_Export!$C317)+T$33*Silicon!$J81+T$34*GREET1_Import_Export!$B503+T$37*GREET1_Import_Export!$K534+T$38*$P48</f>
        <v>472.3548991605922</v>
      </c>
      <c r="U48" s="235">
        <v>2217</v>
      </c>
      <c r="V48" s="234">
        <f>V$28*(GREET1_Import_Export!$K74+GREET1_Import_Export!$F$179*GREET1_Import_Export!$B188+GREET1_Import_Export!$F188)+V$29*(GREET1_Import_Export!$O74+GREET1_Import_Export!$G$179*GREET1_Import_Export!$B188+GREET1_Import_Export!$G188)+V$30*(GREET1_Import_Export!$B74+GREET1_Import_Export!$B224)+V$31*(GREET1_Import_Export!$AA74+GREET1_Import_Export!$B292)+V$32*(GREET1_Import_Export!$B317+GREET1_Import_Export!$C317)+V$33*Silicon!$J81+V$34*GREET1_Import_Export!$B503+V$37*GREET1_Import_Export!$K534+V$38*$P48</f>
        <v>154.31912221217155</v>
      </c>
      <c r="W48" s="235"/>
      <c r="X48" s="234">
        <f>X$28*(GREET1_Import_Export!$K74+GREET1_Import_Export!$F$179*GREET1_Import_Export!$B188+GREET1_Import_Export!$F188)+X$29*(GREET1_Import_Export!$O74+GREET1_Import_Export!$G$179*GREET1_Import_Export!$B188+GREET1_Import_Export!$G188)+X$30*(GREET1_Import_Export!$B74+GREET1_Import_Export!$B224)+X$31*(GREET1_Import_Export!$AA74+GREET1_Import_Export!$B292)+X$32*(GREET1_Import_Export!$B317+GREET1_Import_Export!$C317)+X$33*Silicon!$J81+X$34*GREET1_Import_Export!$B503+X$37*GREET1_Import_Export!$K534+X$38*$P48</f>
        <v>238.35754911488345</v>
      </c>
      <c r="Y48" s="235"/>
    </row>
    <row r="49" spans="1:25" s="496" customFormat="1">
      <c r="A49" s="498" t="s">
        <v>824</v>
      </c>
      <c r="B49" s="578">
        <f>B$28*(B$8*GREET1_Import_Export!$K75+GREET1_Import_Export!$F$179*GREET1_Import_Export!$B189+GREET1_Import_Export!$F189)+B$29*(B$12*GREET1_Import_Export!$O75+B$13*GREET1_Import_Export!$J149+GREET1_Import_Export!$G$179*GREET1_Import_Export!$B189+GREET1_Import_Export!$G189)+B$30*(B$9*GREET1_Import_Export!$B75+B$10*GREET1_Import_Export!$J121+GREET1_Import_Export!$B225)+B$31*(B$11*GREET1_Import_Export!$AA75+GREET1_Import_Export!$B293)+B$32*(GREET1_Import_Export!$B318+GREET1_Import_Export!$C318)</f>
        <v>3.6334848832223061</v>
      </c>
      <c r="C49" s="235"/>
      <c r="D49" s="234">
        <f>D$28*(GREET1_Import_Export!$K75+GREET1_Import_Export!$F$179*GREET1_Import_Export!$B189+GREET1_Import_Export!$F189)+D$29*(GREET1_Import_Export!$O75+GREET1_Import_Export!$G$179*GREET1_Import_Export!$B189+GREET1_Import_Export!$G189)+D$30*(GREET1_Import_Export!$B75+GREET1_Import_Export!$B225)+D$31*(GREET1_Import_Export!$AA75+GREET1_Import_Export!$B293)+D$32*(GREET1_Import_Export!$B318+GREET1_Import_Export!$C318)+D$33*Silicon!$J82+D$34*GREET1_Import_Export!$B504+D$35*LiMn2O4!$C100+D$36*$B49</f>
        <v>41.086483313071184</v>
      </c>
      <c r="E49" s="235"/>
      <c r="F49" s="234">
        <f>F$28*(GREET1_Import_Export!$K75+GREET1_Import_Export!$F$179*GREET1_Import_Export!$B189+GREET1_Import_Export!$F189)+F$29*(GREET1_Import_Export!$O75+GREET1_Import_Export!$G$179*GREET1_Import_Export!$B189+GREET1_Import_Export!$G189)+F$30*(GREET1_Import_Export!$B75+GREET1_Import_Export!$B225)+F$31*(GREET1_Import_Export!$AA75+GREET1_Import_Export!$B293)+F$32*(GREET1_Import_Export!$B318+GREET1_Import_Export!$C318)+F$33*Silicon!$J82+F$34*GREET1_Import_Export!$B504+F$35*LiMn2O4!$C100+F$36*$B49</f>
        <v>26.620977032725985</v>
      </c>
      <c r="G49" s="235"/>
      <c r="H49" s="234">
        <f>H$28*(GREET1_Import_Export!$K75+GREET1_Import_Export!$F$179*GREET1_Import_Export!$B189+GREET1_Import_Export!$F189)+H$29*(GREET1_Import_Export!$O75+GREET1_Import_Export!$G$179*GREET1_Import_Export!$B189+GREET1_Import_Export!$G189)+H$30*(GREET1_Import_Export!$B75+GREET1_Import_Export!$B225)+H$31*(GREET1_Import_Export!$AA75+GREET1_Import_Export!$B293)+H$32*(GREET1_Import_Export!$B318+GREET1_Import_Export!$C318)+H$33*Silicon!$J82+H$34*GREET1_Import_Export!$B504+H$35*LiMn2O4!$C100+H$36*$B49</f>
        <v>18.527122029839699</v>
      </c>
      <c r="I49" s="235"/>
      <c r="J49" s="234">
        <f>J$28*(GREET1_Import_Export!$K75+GREET1_Import_Export!$F$179*GREET1_Import_Export!$B189+GREET1_Import_Export!$F189)+J$29*(GREET1_Import_Export!$O75+GREET1_Import_Export!$G$179*GREET1_Import_Export!$B189+GREET1_Import_Export!$G189)+J$30*(GREET1_Import_Export!$B75+GREET1_Import_Export!$B225)+J$31*(GREET1_Import_Export!$AA75+GREET1_Import_Export!$B293)+J$32*(GREET1_Import_Export!$B318+GREET1_Import_Export!$C318)+J$33*Silicon!$J82+J$34*GREET1_Import_Export!$B504+J$35*LiMn2O4!$C100+J$36*$B49</f>
        <v>1.6929852825705427</v>
      </c>
      <c r="K49" s="235"/>
      <c r="L49" s="234">
        <f>L$28*(GREET1_Import_Export!$K75+GREET1_Import_Export!$F$179*GREET1_Import_Export!$B189+GREET1_Import_Export!$F189)+L$29*(GREET1_Import_Export!$O75+GREET1_Import_Export!$G$179*GREET1_Import_Export!$B189+GREET1_Import_Export!$G189)+L$30*(GREET1_Import_Export!$B75+GREET1_Import_Export!$B225)+L$31*(GREET1_Import_Export!$AA75+GREET1_Import_Export!$B293)+L$32*(GREET1_Import_Export!$B318+GREET1_Import_Export!$C318)+L$33*Silicon!$J82+L$34*GREET1_Import_Export!$B504+L$35*LiMn2O4!$C100+L$36*$B49</f>
        <v>18.085805243617113</v>
      </c>
      <c r="M49" s="235"/>
      <c r="N49" s="234">
        <f>N$28*(GREET1_Import_Export!$K75+GREET1_Import_Export!$F$179*GREET1_Import_Export!$B189+GREET1_Import_Export!$F189)+N$29*(GREET1_Import_Export!$O75+GREET1_Import_Export!$G$179*GREET1_Import_Export!$B189+GREET1_Import_Export!$G189)+N$30*(GREET1_Import_Export!$B75+GREET1_Import_Export!$B225)+N$31*(GREET1_Import_Export!$AA75+GREET1_Import_Export!$B293)+N$32*(GREET1_Import_Export!$B318+GREET1_Import_Export!$C318)+N$33*Silicon!$J82+N$34*GREET1_Import_Export!$B504+N$35*LiMn2O4!$C100+N$36*$B49</f>
        <v>7.6147148150119133</v>
      </c>
      <c r="O49" s="235"/>
      <c r="P49" s="234">
        <f>P$28*(GREET1_Import_Export!$K75+GREET1_Import_Export!$F$179*GREET1_Import_Export!$B189+GREET1_Import_Export!$F189)+P$29*(GREET1_Import_Export!$O75+GREET1_Import_Export!$G$179*GREET1_Import_Export!$B189+GREET1_Import_Export!$G189)+P$30*(GREET1_Import_Export!$B75+GREET1_Import_Export!$B225)+P$31*(GREET1_Import_Export!$AA75+GREET1_Import_Export!$B293)+P$32*(GREET1_Import_Export!$B318+GREET1_Import_Export!$C318)</f>
        <v>110.41452761972094</v>
      </c>
      <c r="Q49" s="235"/>
      <c r="R49" s="234">
        <f>R$28*(GREET1_Import_Export!$K75+GREET1_Import_Export!$F$179*GREET1_Import_Export!$B189+GREET1_Import_Export!$F189)+R$29*(GREET1_Import_Export!$O75+GREET1_Import_Export!$G$179*GREET1_Import_Export!$B189+GREET1_Import_Export!$G189)+R$30*(GREET1_Import_Export!$B75+GREET1_Import_Export!$B225)+R$31*(GREET1_Import_Export!$AA75+GREET1_Import_Export!$B293)+R$32*(GREET1_Import_Export!$B318+GREET1_Import_Export!$C318)+R$33*Silicon!$J82+R$34*GREET1_Import_Export!$B504+R$37*GREET1_Import_Export!$K535+R$38*$P49</f>
        <v>73.716596675623137</v>
      </c>
      <c r="S49" s="235"/>
      <c r="T49" s="234">
        <f>T$28*(GREET1_Import_Export!$K75+GREET1_Import_Export!$F$179*GREET1_Import_Export!$B189+GREET1_Import_Export!$F189)+T$29*(GREET1_Import_Export!$O75+GREET1_Import_Export!$G$179*GREET1_Import_Export!$B189+GREET1_Import_Export!$G189)+T$30*(GREET1_Import_Export!$B75+GREET1_Import_Export!$B225)+T$31*(GREET1_Import_Export!$AA75+GREET1_Import_Export!$B293)+T$32*(GREET1_Import_Export!$B318+GREET1_Import_Export!$C318)+T$33*Silicon!$J82+T$34*GREET1_Import_Export!$B504+T$37*GREET1_Import_Export!$K535+T$38*$P49</f>
        <v>25.525809309666542</v>
      </c>
      <c r="U49" s="235">
        <v>1248</v>
      </c>
      <c r="V49" s="234">
        <f>V$28*(GREET1_Import_Export!$K75+GREET1_Import_Export!$F$179*GREET1_Import_Export!$B189+GREET1_Import_Export!$F189)+V$29*(GREET1_Import_Export!$O75+GREET1_Import_Export!$G$179*GREET1_Import_Export!$B189+GREET1_Import_Export!$G189)+V$30*(GREET1_Import_Export!$B75+GREET1_Import_Export!$B225)+V$31*(GREET1_Import_Export!$AA75+GREET1_Import_Export!$B293)+V$32*(GREET1_Import_Export!$B318+GREET1_Import_Export!$C318)+V$33*Silicon!$J82+V$34*GREET1_Import_Export!$B504+V$37*GREET1_Import_Export!$K535+V$38*$P49</f>
        <v>24.702829373119599</v>
      </c>
      <c r="W49" s="235"/>
      <c r="X49" s="234">
        <f>X$28*(GREET1_Import_Export!$K75+GREET1_Import_Export!$F$179*GREET1_Import_Export!$B189+GREET1_Import_Export!$F189)+X$29*(GREET1_Import_Export!$O75+GREET1_Import_Export!$G$179*GREET1_Import_Export!$B189+GREET1_Import_Export!$G189)+X$30*(GREET1_Import_Export!$B75+GREET1_Import_Export!$B225)+X$31*(GREET1_Import_Export!$AA75+GREET1_Import_Export!$B293)+X$32*(GREET1_Import_Export!$B318+GREET1_Import_Export!$C318)+X$33*Silicon!$J82+X$34*GREET1_Import_Export!$B504+X$37*GREET1_Import_Export!$K535+X$38*$P49</f>
        <v>12.880716082416345</v>
      </c>
      <c r="Y49" s="235"/>
    </row>
    <row r="50" spans="1:25" s="496" customFormat="1">
      <c r="A50" s="347" t="s">
        <v>825</v>
      </c>
      <c r="B50" s="578">
        <f>B$28*(B$8*GREET1_Import_Export!$K76+GREET1_Import_Export!$F$179*GREET1_Import_Export!$B190+GREET1_Import_Export!$F190)+B$29*(B$12*GREET1_Import_Export!$O76+B$13*GREET1_Import_Export!$J150+GREET1_Import_Export!$G$179*GREET1_Import_Export!$B190+GREET1_Import_Export!$G190)+B$30*(B$9*GREET1_Import_Export!$B76+B$10*GREET1_Import_Export!$J122+GREET1_Import_Export!$B226)+B$31*(B$11*GREET1_Import_Export!$AA76+GREET1_Import_Export!$B294)+B$32*(GREET1_Import_Export!$B319+GREET1_Import_Export!$C319)</f>
        <v>3.5236924863619179</v>
      </c>
      <c r="C50" s="235"/>
      <c r="D50" s="234">
        <f>D$28*(GREET1_Import_Export!$K76+GREET1_Import_Export!$F$179*GREET1_Import_Export!$B190+GREET1_Import_Export!$F190)+D$29*(GREET1_Import_Export!$O76+GREET1_Import_Export!$G$179*GREET1_Import_Export!$B190+GREET1_Import_Export!$G190)+D$30*(GREET1_Import_Export!$B76+GREET1_Import_Export!$B226)+D$31*(GREET1_Import_Export!$AA76+GREET1_Import_Export!$B294)+D$32*(GREET1_Import_Export!$B319+GREET1_Import_Export!$C319)+D$33*Silicon!$J83+D$34*GREET1_Import_Export!$B505+D$35*LiMn2O4!$C101+D$36*$B50</f>
        <v>26.011679330955555</v>
      </c>
      <c r="E50" s="235"/>
      <c r="F50" s="234">
        <f>F$28*(GREET1_Import_Export!$K76+GREET1_Import_Export!$F$179*GREET1_Import_Export!$B190+GREET1_Import_Export!$F190)+F$29*(GREET1_Import_Export!$O76+GREET1_Import_Export!$G$179*GREET1_Import_Export!$B190+GREET1_Import_Export!$G190)+F$30*(GREET1_Import_Export!$B76+GREET1_Import_Export!$B226)+F$31*(GREET1_Import_Export!$AA76+GREET1_Import_Export!$B294)+F$32*(GREET1_Import_Export!$B319+GREET1_Import_Export!$C319)+F$33*Silicon!$J83+F$34*GREET1_Import_Export!$B505+F$35*LiMn2O4!$C101+F$36*$B50</f>
        <v>25.715739342154897</v>
      </c>
      <c r="G50" s="235"/>
      <c r="H50" s="234">
        <f>H$28*(GREET1_Import_Export!$K76+GREET1_Import_Export!$F$179*GREET1_Import_Export!$B190+GREET1_Import_Export!$F190)+H$29*(GREET1_Import_Export!$O76+GREET1_Import_Export!$G$179*GREET1_Import_Export!$B190+GREET1_Import_Export!$G190)+H$30*(GREET1_Import_Export!$B76+GREET1_Import_Export!$B226)+H$31*(GREET1_Import_Export!$AA76+GREET1_Import_Export!$B294)+H$32*(GREET1_Import_Export!$B319+GREET1_Import_Export!$C319)+H$33*Silicon!$J83+H$34*GREET1_Import_Export!$B505+H$35*LiMn2O4!$C101+H$36*$B50</f>
        <v>11.1212667137855</v>
      </c>
      <c r="I50" s="235"/>
      <c r="J50" s="234">
        <f>J$28*(GREET1_Import_Export!$K76+GREET1_Import_Export!$F$179*GREET1_Import_Export!$B190+GREET1_Import_Export!$F190)+J$29*(GREET1_Import_Export!$O76+GREET1_Import_Export!$G$179*GREET1_Import_Export!$B190+GREET1_Import_Export!$G190)+J$30*(GREET1_Import_Export!$B76+GREET1_Import_Export!$B226)+J$31*(GREET1_Import_Export!$AA76+GREET1_Import_Export!$B294)+J$32*(GREET1_Import_Export!$B319+GREET1_Import_Export!$C319)+J$33*Silicon!$J83+J$34*GREET1_Import_Export!$B505+J$35*LiMn2O4!$C101+J$36*$B50</f>
        <v>1.6278564192468872</v>
      </c>
      <c r="K50" s="235"/>
      <c r="L50" s="234">
        <f>L$28*(GREET1_Import_Export!$K76+GREET1_Import_Export!$F$179*GREET1_Import_Export!$B190+GREET1_Import_Export!$F190)+L$29*(GREET1_Import_Export!$O76+GREET1_Import_Export!$G$179*GREET1_Import_Export!$B190+GREET1_Import_Export!$G190)+L$30*(GREET1_Import_Export!$B76+GREET1_Import_Export!$B226)+L$31*(GREET1_Import_Export!$AA76+GREET1_Import_Export!$B294)+L$32*(GREET1_Import_Export!$B319+GREET1_Import_Export!$C319)+L$33*Silicon!$J83+L$34*GREET1_Import_Export!$B505+L$35*LiMn2O4!$C101+L$36*$B50</f>
        <v>16.986814263132761</v>
      </c>
      <c r="M50" s="235"/>
      <c r="N50" s="234">
        <f>N$28*(GREET1_Import_Export!$K76+GREET1_Import_Export!$F$179*GREET1_Import_Export!$B190+GREET1_Import_Export!$F190)+N$29*(GREET1_Import_Export!$O76+GREET1_Import_Export!$G$179*GREET1_Import_Export!$B190+GREET1_Import_Export!$G190)+N$30*(GREET1_Import_Export!$B76+GREET1_Import_Export!$B226)+N$31*(GREET1_Import_Export!$AA76+GREET1_Import_Export!$B294)+N$32*(GREET1_Import_Export!$B319+GREET1_Import_Export!$C319)+N$33*Silicon!$J83+N$34*GREET1_Import_Export!$B505+N$35*LiMn2O4!$C101+N$36*$B50</f>
        <v>6.8644147976178358</v>
      </c>
      <c r="O50" s="235"/>
      <c r="P50" s="234">
        <f>P$28*(GREET1_Import_Export!$K76+GREET1_Import_Export!$F$179*GREET1_Import_Export!$B190+GREET1_Import_Export!$F190)+P$29*(GREET1_Import_Export!$O76+GREET1_Import_Export!$G$179*GREET1_Import_Export!$B190+GREET1_Import_Export!$G190)+P$30*(GREET1_Import_Export!$B76+GREET1_Import_Export!$B226)+P$31*(GREET1_Import_Export!$AA76+GREET1_Import_Export!$B294)+P$32*(GREET1_Import_Export!$B319+GREET1_Import_Export!$C319)</f>
        <v>73.427425066866178</v>
      </c>
      <c r="Q50" s="235"/>
      <c r="R50" s="234">
        <f>R$28*(GREET1_Import_Export!$K76+GREET1_Import_Export!$F$179*GREET1_Import_Export!$B190+GREET1_Import_Export!$F190)+R$29*(GREET1_Import_Export!$O76+GREET1_Import_Export!$G$179*GREET1_Import_Export!$B190+GREET1_Import_Export!$G190)+R$30*(GREET1_Import_Export!$B76+GREET1_Import_Export!$B226)+R$31*(GREET1_Import_Export!$AA76+GREET1_Import_Export!$B294)+R$32*(GREET1_Import_Export!$B319+GREET1_Import_Export!$C319)+R$33*Silicon!$J83+R$34*GREET1_Import_Export!$B505+R$37*GREET1_Import_Export!$K536+R$38*$P50</f>
        <v>50.794413309083971</v>
      </c>
      <c r="S50" s="235"/>
      <c r="T50" s="234">
        <f>T$28*(GREET1_Import_Export!$K76+GREET1_Import_Export!$F$179*GREET1_Import_Export!$B190+GREET1_Import_Export!$F190)+T$29*(GREET1_Import_Export!$O76+GREET1_Import_Export!$G$179*GREET1_Import_Export!$B190+GREET1_Import_Export!$G190)+T$30*(GREET1_Import_Export!$B76+GREET1_Import_Export!$B226)+T$31*(GREET1_Import_Export!$AA76+GREET1_Import_Export!$B294)+T$32*(GREET1_Import_Export!$B319+GREET1_Import_Export!$C319)+T$33*Silicon!$J83+T$34*GREET1_Import_Export!$B505+T$37*GREET1_Import_Export!$K536+T$38*$P50</f>
        <v>25.257036966285867</v>
      </c>
      <c r="U50" s="235">
        <v>624</v>
      </c>
      <c r="V50" s="234">
        <f>V$28*(GREET1_Import_Export!$K76+GREET1_Import_Export!$F$179*GREET1_Import_Export!$B190+GREET1_Import_Export!$F190)+V$29*(GREET1_Import_Export!$O76+GREET1_Import_Export!$G$179*GREET1_Import_Export!$B190+GREET1_Import_Export!$G190)+V$30*(GREET1_Import_Export!$B76+GREET1_Import_Export!$B226)+V$31*(GREET1_Import_Export!$AA76+GREET1_Import_Export!$B294)+V$32*(GREET1_Import_Export!$B319+GREET1_Import_Export!$C319)+V$33*Silicon!$J83+V$34*GREET1_Import_Export!$B505+V$37*GREET1_Import_Export!$K536+V$38*$P50</f>
        <v>14.828355618380668</v>
      </c>
      <c r="W50" s="235"/>
      <c r="X50" s="234">
        <f>X$28*(GREET1_Import_Export!$K76+GREET1_Import_Export!$F$179*GREET1_Import_Export!$B190+GREET1_Import_Export!$F190)+X$29*(GREET1_Import_Export!$O76+GREET1_Import_Export!$G$179*GREET1_Import_Export!$B190+GREET1_Import_Export!$G190)+X$30*(GREET1_Import_Export!$B76+GREET1_Import_Export!$B226)+X$31*(GREET1_Import_Export!$AA76+GREET1_Import_Export!$B294)+X$32*(GREET1_Import_Export!$B319+GREET1_Import_Export!$C319)+X$33*Silicon!$J83+X$34*GREET1_Import_Export!$B505+X$37*GREET1_Import_Export!$K536+X$38*$P50</f>
        <v>12.745089422987329</v>
      </c>
      <c r="Y50" s="235"/>
    </row>
    <row r="51" spans="1:25" s="496" customFormat="1">
      <c r="A51" s="347" t="s">
        <v>826</v>
      </c>
      <c r="B51" s="578">
        <f>B$28*(B$8*GREET1_Import_Export!$K77+GREET1_Import_Export!$F$179*GREET1_Import_Export!$B191+GREET1_Import_Export!$F191)+B$29*(B$12*GREET1_Import_Export!$O77+B$13*GREET1_Import_Export!$J151+GREET1_Import_Export!$G$179*GREET1_Import_Export!$B191+GREET1_Import_Export!$G191)+B$30*(B$9*GREET1_Import_Export!$B77+B$10*GREET1_Import_Export!$J123+GREET1_Import_Export!$B227)+B$31*(B$11*GREET1_Import_Export!$AA77+GREET1_Import_Export!$B295)+B$32*(GREET1_Import_Export!$B320+GREET1_Import_Export!$C320)</f>
        <v>1.3695988378891457</v>
      </c>
      <c r="C51" s="235"/>
      <c r="D51" s="234">
        <f>D$28*(GREET1_Import_Export!$K77+GREET1_Import_Export!$F$179*GREET1_Import_Export!$B191+GREET1_Import_Export!$F191)+D$29*(GREET1_Import_Export!$O77+GREET1_Import_Export!$G$179*GREET1_Import_Export!$B191+GREET1_Import_Export!$G191)+D$30*(GREET1_Import_Export!$B77+GREET1_Import_Export!$B227)+D$31*(GREET1_Import_Export!$AA77+GREET1_Import_Export!$B295)+D$32*(GREET1_Import_Export!$B320+GREET1_Import_Export!$C320)+D$33*Silicon!$J84+D$34*GREET1_Import_Export!$B506+D$35*LiMn2O4!$C102+D$36*$B51</f>
        <v>63.379636161468937</v>
      </c>
      <c r="E51" s="235"/>
      <c r="F51" s="234">
        <f>F$28*(GREET1_Import_Export!$K77+GREET1_Import_Export!$F$179*GREET1_Import_Export!$B191+GREET1_Import_Export!$F191)+F$29*(GREET1_Import_Export!$O77+GREET1_Import_Export!$G$179*GREET1_Import_Export!$B191+GREET1_Import_Export!$G191)+F$30*(GREET1_Import_Export!$B77+GREET1_Import_Export!$B227)+F$31*(GREET1_Import_Export!$AA77+GREET1_Import_Export!$B295)+F$32*(GREET1_Import_Export!$B320+GREET1_Import_Export!$C320)+F$33*Silicon!$J84+F$34*GREET1_Import_Export!$B506+F$35*LiMn2O4!$C102+F$36*$B51</f>
        <v>80.842408657804143</v>
      </c>
      <c r="G51" s="235">
        <v>452</v>
      </c>
      <c r="H51" s="234">
        <f>H$28*(GREET1_Import_Export!$K77+GREET1_Import_Export!$F$179*GREET1_Import_Export!$B191+GREET1_Import_Export!$F191)+H$29*(GREET1_Import_Export!$O77+GREET1_Import_Export!$G$179*GREET1_Import_Export!$B191+GREET1_Import_Export!$G191)+H$30*(GREET1_Import_Export!$B77+GREET1_Import_Export!$B227)+H$31*(GREET1_Import_Export!$AA77+GREET1_Import_Export!$B295)+H$32*(GREET1_Import_Export!$B320+GREET1_Import_Export!$C320)+H$33*Silicon!$J84+H$34*GREET1_Import_Export!$B506+H$35*LiMn2O4!$C102+H$36*$B51</f>
        <v>97.179140440203895</v>
      </c>
      <c r="I51" s="235"/>
      <c r="J51" s="234">
        <f>J$28*(GREET1_Import_Export!$K77+GREET1_Import_Export!$F$179*GREET1_Import_Export!$B191+GREET1_Import_Export!$F191)+J$29*(GREET1_Import_Export!$O77+GREET1_Import_Export!$G$179*GREET1_Import_Export!$B191+GREET1_Import_Export!$G191)+J$30*(GREET1_Import_Export!$B77+GREET1_Import_Export!$B227)+J$31*(GREET1_Import_Export!$AA77+GREET1_Import_Export!$B295)+J$32*(GREET1_Import_Export!$B320+GREET1_Import_Export!$C320)+J$33*Silicon!$J84+J$34*GREET1_Import_Export!$B506+J$35*LiMn2O4!$C102+J$36*$B51</f>
        <v>5.1868945065256868</v>
      </c>
      <c r="K51" s="235"/>
      <c r="L51" s="234">
        <f>L$28*(GREET1_Import_Export!$K77+GREET1_Import_Export!$F$179*GREET1_Import_Export!$B191+GREET1_Import_Export!$F191)+L$29*(GREET1_Import_Export!$O77+GREET1_Import_Export!$G$179*GREET1_Import_Export!$B191+GREET1_Import_Export!$G191)+L$30*(GREET1_Import_Export!$B77+GREET1_Import_Export!$B227)+L$31*(GREET1_Import_Export!$AA77+GREET1_Import_Export!$B295)+L$32*(GREET1_Import_Export!$B320+GREET1_Import_Export!$C320)+L$33*Silicon!$J84+L$34*GREET1_Import_Export!$B506+L$35*LiMn2O4!$C102+L$36*$B51</f>
        <v>57.845433285203342</v>
      </c>
      <c r="M51" s="235"/>
      <c r="N51" s="234">
        <f>N$28*(GREET1_Import_Export!$K77+GREET1_Import_Export!$F$179*GREET1_Import_Export!$B191+GREET1_Import_Export!$F191)+N$29*(GREET1_Import_Export!$O77+GREET1_Import_Export!$G$179*GREET1_Import_Export!$B191+GREET1_Import_Export!$G191)+N$30*(GREET1_Import_Export!$B77+GREET1_Import_Export!$B227)+N$31*(GREET1_Import_Export!$AA77+GREET1_Import_Export!$B295)+N$32*(GREET1_Import_Export!$B320+GREET1_Import_Export!$C320)+N$33*Silicon!$J84+N$34*GREET1_Import_Export!$B506+N$35*LiMn2O4!$C102+N$36*$B51</f>
        <v>26.091428996218589</v>
      </c>
      <c r="O51" s="235"/>
      <c r="P51" s="234">
        <f>P$28*(GREET1_Import_Export!$K77+GREET1_Import_Export!$F$179*GREET1_Import_Export!$B191+GREET1_Import_Export!$F191)+P$29*(GREET1_Import_Export!$O77+GREET1_Import_Export!$G$179*GREET1_Import_Export!$B191+GREET1_Import_Export!$G191)+P$30*(GREET1_Import_Export!$B77+GREET1_Import_Export!$B227)+P$31*(GREET1_Import_Export!$AA77+GREET1_Import_Export!$B295)+P$32*(GREET1_Import_Export!$B320+GREET1_Import_Export!$C320)</f>
        <v>540.8708620343175</v>
      </c>
      <c r="Q51" s="235"/>
      <c r="R51" s="234">
        <f>R$28*(GREET1_Import_Export!$K77+GREET1_Import_Export!$F$179*GREET1_Import_Export!$B191+GREET1_Import_Export!$F191)+R$29*(GREET1_Import_Export!$O77+GREET1_Import_Export!$G$179*GREET1_Import_Export!$B191+GREET1_Import_Export!$G191)+R$30*(GREET1_Import_Export!$B77+GREET1_Import_Export!$B227)+R$31*(GREET1_Import_Export!$AA77+GREET1_Import_Export!$B295)+R$32*(GREET1_Import_Export!$B320+GREET1_Import_Export!$C320)+R$33*Silicon!$J84+R$34*GREET1_Import_Export!$B506+R$37*GREET1_Import_Export!$K537+R$38*$P51</f>
        <v>407.3441693325276</v>
      </c>
      <c r="S51" s="235"/>
      <c r="T51" s="234">
        <f>T$28*(GREET1_Import_Export!$K77+GREET1_Import_Export!$F$179*GREET1_Import_Export!$B191+GREET1_Import_Export!$F191)+T$29*(GREET1_Import_Export!$O77+GREET1_Import_Export!$G$179*GREET1_Import_Export!$B191+GREET1_Import_Export!$G191)+T$30*(GREET1_Import_Export!$B77+GREET1_Import_Export!$B227)+T$31*(GREET1_Import_Export!$AA77+GREET1_Import_Export!$B295)+T$32*(GREET1_Import_Export!$B320+GREET1_Import_Export!$C320)+T$33*Silicon!$J84+T$34*GREET1_Import_Export!$B506+T$37*GREET1_Import_Export!$K537+T$38*$P51</f>
        <v>73.898180088081432</v>
      </c>
      <c r="U51" s="235">
        <v>679</v>
      </c>
      <c r="V51" s="234">
        <f>V$28*(GREET1_Import_Export!$K77+GREET1_Import_Export!$F$179*GREET1_Import_Export!$B191+GREET1_Import_Export!$F191)+V$29*(GREET1_Import_Export!$O77+GREET1_Import_Export!$G$179*GREET1_Import_Export!$B191+GREET1_Import_Export!$G191)+V$30*(GREET1_Import_Export!$B77+GREET1_Import_Export!$B227)+V$31*(GREET1_Import_Export!$AA77+GREET1_Import_Export!$B295)+V$32*(GREET1_Import_Export!$B320+GREET1_Import_Export!$C320)+V$33*Silicon!$J84+V$34*GREET1_Import_Export!$B506+V$37*GREET1_Import_Export!$K537+V$38*$P51</f>
        <v>129.57218725360519</v>
      </c>
      <c r="W51" s="235"/>
      <c r="X51" s="234">
        <f>X$28*(GREET1_Import_Export!$K77+GREET1_Import_Export!$F$179*GREET1_Import_Export!$B191+GREET1_Import_Export!$F191)+X$29*(GREET1_Import_Export!$O77+GREET1_Import_Export!$G$179*GREET1_Import_Export!$B191+GREET1_Import_Export!$G191)+X$30*(GREET1_Import_Export!$B77+GREET1_Import_Export!$B227)+X$31*(GREET1_Import_Export!$AA77+GREET1_Import_Export!$B295)+X$32*(GREET1_Import_Export!$B320+GREET1_Import_Export!$C320)+X$33*Silicon!$J84+X$34*GREET1_Import_Export!$B506+X$37*GREET1_Import_Export!$K537+X$38*$P51</f>
        <v>37.290158567524166</v>
      </c>
      <c r="Y51" s="235"/>
    </row>
    <row r="52" spans="1:25" s="496" customFormat="1">
      <c r="A52" s="749" t="s">
        <v>827</v>
      </c>
      <c r="B52" s="578">
        <f>B$28*(B$8*GREET1_Import_Export!$K78+GREET1_Import_Export!$F$179*GREET1_Import_Export!$B192+GREET1_Import_Export!$F192)+B$29*(B$12*GREET1_Import_Export!$O78+B$13*GREET1_Import_Export!$J152+GREET1_Import_Export!$G$179*GREET1_Import_Export!$B192+GREET1_Import_Export!$G192)+B$30*(B$9*GREET1_Import_Export!$B78+B$10*GREET1_Import_Export!$J124+GREET1_Import_Export!$B228)+B$31*(B$11*GREET1_Import_Export!$AA78+GREET1_Import_Export!$B296)+B$32*(GREET1_Import_Export!$B321+GREET1_Import_Export!$C321)</f>
        <v>2.7050699537511571</v>
      </c>
      <c r="C52" s="235"/>
      <c r="D52" s="234">
        <f>D$28*(GREET1_Import_Export!$K78+GREET1_Import_Export!$F$179*GREET1_Import_Export!$B192+GREET1_Import_Export!$F192)+D$29*(GREET1_Import_Export!$O78+GREET1_Import_Export!$G$179*GREET1_Import_Export!$B192+GREET1_Import_Export!$G192)+D$30*(GREET1_Import_Export!$B78+GREET1_Import_Export!$B228)+D$31*(GREET1_Import_Export!$AA78+GREET1_Import_Export!$B296)+D$32*(GREET1_Import_Export!$B321+GREET1_Import_Export!$C321)+D$33*Silicon!$J85+D$34*GREET1_Import_Export!$B507+D$35*LiMn2O4!$C103+D$36*$B52</f>
        <v>1.6801848448634942</v>
      </c>
      <c r="E52" s="235"/>
      <c r="F52" s="234">
        <f>F$28*(GREET1_Import_Export!$K78+GREET1_Import_Export!$F$179*GREET1_Import_Export!$B192+GREET1_Import_Export!$F192)+F$29*(GREET1_Import_Export!$O78+GREET1_Import_Export!$G$179*GREET1_Import_Export!$B192+GREET1_Import_Export!$G192)+F$30*(GREET1_Import_Export!$B78+GREET1_Import_Export!$B228)+F$31*(GREET1_Import_Export!$AA78+GREET1_Import_Export!$B296)+F$32*(GREET1_Import_Export!$B321+GREET1_Import_Export!$C321)+F$33*Silicon!$J85+F$34*GREET1_Import_Export!$B507+F$35*LiMn2O4!$C103+F$36*$B52</f>
        <v>4.3769300795986164</v>
      </c>
      <c r="G52" s="235"/>
      <c r="H52" s="234">
        <f>H$28*(GREET1_Import_Export!$K78+GREET1_Import_Export!$F$179*GREET1_Import_Export!$B192+GREET1_Import_Export!$F192)+H$29*(GREET1_Import_Export!$O78+GREET1_Import_Export!$G$179*GREET1_Import_Export!$B192+GREET1_Import_Export!$G192)+H$30*(GREET1_Import_Export!$B78+GREET1_Import_Export!$B228)+H$31*(GREET1_Import_Export!$AA78+GREET1_Import_Export!$B296)+H$32*(GREET1_Import_Export!$B321+GREET1_Import_Export!$C321)+H$33*Silicon!$J85+H$34*GREET1_Import_Export!$B507+H$35*LiMn2O4!$C103+H$36*$B52</f>
        <v>0.67855960570920826</v>
      </c>
      <c r="I52" s="235"/>
      <c r="J52" s="234">
        <f>J$28*(GREET1_Import_Export!$K78+GREET1_Import_Export!$F$179*GREET1_Import_Export!$B192+GREET1_Import_Export!$F192)+J$29*(GREET1_Import_Export!$O78+GREET1_Import_Export!$G$179*GREET1_Import_Export!$B192+GREET1_Import_Export!$G192)+J$30*(GREET1_Import_Export!$B78+GREET1_Import_Export!$B228)+J$31*(GREET1_Import_Export!$AA78+GREET1_Import_Export!$B296)+J$32*(GREET1_Import_Export!$B321+GREET1_Import_Export!$C321)+J$33*Silicon!$J85+J$34*GREET1_Import_Export!$B507+J$35*LiMn2O4!$C103+J$36*$B52</f>
        <v>0.27571344389064711</v>
      </c>
      <c r="K52" s="235"/>
      <c r="L52" s="234">
        <f>L$28*(GREET1_Import_Export!$K78+GREET1_Import_Export!$F$179*GREET1_Import_Export!$B192+GREET1_Import_Export!$F192)+L$29*(GREET1_Import_Export!$O78+GREET1_Import_Export!$G$179*GREET1_Import_Export!$B192+GREET1_Import_Export!$G192)+L$30*(GREET1_Import_Export!$B78+GREET1_Import_Export!$B228)+L$31*(GREET1_Import_Export!$AA78+GREET1_Import_Export!$B296)+L$32*(GREET1_Import_Export!$B321+GREET1_Import_Export!$C321)+L$33*Silicon!$J85+L$34*GREET1_Import_Export!$B507+L$35*LiMn2O4!$C103+L$36*$B52</f>
        <v>2.8044915494297866</v>
      </c>
      <c r="M52" s="235"/>
      <c r="N52" s="234">
        <f>N$28*(GREET1_Import_Export!$K78+GREET1_Import_Export!$F$179*GREET1_Import_Export!$B192+GREET1_Import_Export!$F192)+N$29*(GREET1_Import_Export!$O78+GREET1_Import_Export!$G$179*GREET1_Import_Export!$B192+GREET1_Import_Export!$G192)+N$30*(GREET1_Import_Export!$B78+GREET1_Import_Export!$B228)+N$31*(GREET1_Import_Export!$AA78+GREET1_Import_Export!$B296)+N$32*(GREET1_Import_Export!$B321+GREET1_Import_Export!$C321)+N$33*Silicon!$J85+N$34*GREET1_Import_Export!$B507+N$35*LiMn2O4!$C103+N$36*$B52</f>
        <v>1.0802936543133892</v>
      </c>
      <c r="O52" s="235"/>
      <c r="P52" s="234">
        <f>P$28*(GREET1_Import_Export!$K78+GREET1_Import_Export!$F$179*GREET1_Import_Export!$B192+GREET1_Import_Export!$F192)+P$29*(GREET1_Import_Export!$O78+GREET1_Import_Export!$G$179*GREET1_Import_Export!$B192+GREET1_Import_Export!$G192)+P$30*(GREET1_Import_Export!$B78+GREET1_Import_Export!$B228)+P$31*(GREET1_Import_Export!$AA78+GREET1_Import_Export!$B296)+P$32*(GREET1_Import_Export!$B321+GREET1_Import_Export!$C321)</f>
        <v>11.8351665831253</v>
      </c>
      <c r="Q52" s="235"/>
      <c r="R52" s="234">
        <f>R$28*(GREET1_Import_Export!$K78+GREET1_Import_Export!$F$179*GREET1_Import_Export!$B192+GREET1_Import_Export!$F192)+R$29*(GREET1_Import_Export!$O78+GREET1_Import_Export!$G$179*GREET1_Import_Export!$B192+GREET1_Import_Export!$G192)+R$30*(GREET1_Import_Export!$B78+GREET1_Import_Export!$B228)+R$31*(GREET1_Import_Export!$AA78+GREET1_Import_Export!$B296)+R$32*(GREET1_Import_Export!$B321+GREET1_Import_Export!$C321)+R$33*Silicon!$J85+R$34*GREET1_Import_Export!$B507+R$37*GREET1_Import_Export!$K538+R$38*$P52</f>
        <v>4.8784818990688121</v>
      </c>
      <c r="S52" s="235"/>
      <c r="T52" s="234">
        <f>T$28*(GREET1_Import_Export!$K78+GREET1_Import_Export!$F$179*GREET1_Import_Export!$B192+GREET1_Import_Export!$F192)+T$29*(GREET1_Import_Export!$O78+GREET1_Import_Export!$G$179*GREET1_Import_Export!$B192+GREET1_Import_Export!$G192)+T$30*(GREET1_Import_Export!$B78+GREET1_Import_Export!$B228)+T$31*(GREET1_Import_Export!$AA78+GREET1_Import_Export!$B296)+T$32*(GREET1_Import_Export!$B321+GREET1_Import_Export!$C321)+T$33*Silicon!$J85+T$34*GREET1_Import_Export!$B507+T$37*GREET1_Import_Export!$K538+T$38*$P52</f>
        <v>4.4062465106501545</v>
      </c>
      <c r="U52" s="235"/>
      <c r="V52" s="234">
        <f>V$28*(GREET1_Import_Export!$K78+GREET1_Import_Export!$F$179*GREET1_Import_Export!$B192+GREET1_Import_Export!$F192)+V$29*(GREET1_Import_Export!$O78+GREET1_Import_Export!$G$179*GREET1_Import_Export!$B192+GREET1_Import_Export!$G192)+V$30*(GREET1_Import_Export!$B78+GREET1_Import_Export!$B228)+V$31*(GREET1_Import_Export!$AA78+GREET1_Import_Export!$B296)+V$32*(GREET1_Import_Export!$B321+GREET1_Import_Export!$C321)+V$33*Silicon!$J85+V$34*GREET1_Import_Export!$B507+V$37*GREET1_Import_Export!$K538+V$38*$P52</f>
        <v>0.90474614094561101</v>
      </c>
      <c r="W52" s="235"/>
      <c r="X52" s="234">
        <f>X$28*(GREET1_Import_Export!$K78+GREET1_Import_Export!$F$179*GREET1_Import_Export!$B192+GREET1_Import_Export!$F192)+X$29*(GREET1_Import_Export!$O78+GREET1_Import_Export!$G$179*GREET1_Import_Export!$B192+GREET1_Import_Export!$G192)+X$30*(GREET1_Import_Export!$B78+GREET1_Import_Export!$B228)+X$31*(GREET1_Import_Export!$AA78+GREET1_Import_Export!$B296)+X$32*(GREET1_Import_Export!$B321+GREET1_Import_Export!$C321)+X$33*Silicon!$J85+X$34*GREET1_Import_Export!$B507+X$37*GREET1_Import_Export!$K538+X$38*$P52</f>
        <v>2.2234597776819238</v>
      </c>
      <c r="Y52" s="235"/>
    </row>
    <row r="53" spans="1:25" s="496" customFormat="1">
      <c r="A53" s="749" t="s">
        <v>828</v>
      </c>
      <c r="B53" s="578">
        <f>B$28*(B$8*GREET1_Import_Export!$K79+GREET1_Import_Export!$F$179*GREET1_Import_Export!$B193+GREET1_Import_Export!$F193)+B$29*(B$12*GREET1_Import_Export!$O79+B$13*GREET1_Import_Export!$J153+GREET1_Import_Export!$G$179*GREET1_Import_Export!$B193+GREET1_Import_Export!$G193)+B$30*(B$9*GREET1_Import_Export!$B79+B$10*GREET1_Import_Export!$J125+GREET1_Import_Export!$B229)+B$31*(B$11*GREET1_Import_Export!$AA79+GREET1_Import_Export!$B297)+B$32*(GREET1_Import_Export!$B322+GREET1_Import_Export!$C322)</f>
        <v>0.6602325124704046</v>
      </c>
      <c r="C53" s="235"/>
      <c r="D53" s="234">
        <f>D$28*(GREET1_Import_Export!$K79+GREET1_Import_Export!$F$179*GREET1_Import_Export!$B193+GREET1_Import_Export!$F193)+D$29*(GREET1_Import_Export!$O79+GREET1_Import_Export!$G$179*GREET1_Import_Export!$B193+GREET1_Import_Export!$G193)+D$30*(GREET1_Import_Export!$B79+GREET1_Import_Export!$B229)+D$31*(GREET1_Import_Export!$AA79+GREET1_Import_Export!$B297)+D$32*(GREET1_Import_Export!$B322+GREET1_Import_Export!$C322)+D$33*Silicon!$J86+D$34*GREET1_Import_Export!$B508+D$35*LiMn2O4!$C104+D$36*$B53</f>
        <v>2.7537175622952046</v>
      </c>
      <c r="E53" s="235"/>
      <c r="F53" s="234">
        <f>F$28*(GREET1_Import_Export!$K79+GREET1_Import_Export!$F$179*GREET1_Import_Export!$B193+GREET1_Import_Export!$F193)+F$29*(GREET1_Import_Export!$O79+GREET1_Import_Export!$G$179*GREET1_Import_Export!$B193+GREET1_Import_Export!$G193)+F$30*(GREET1_Import_Export!$B79+GREET1_Import_Export!$B229)+F$31*(GREET1_Import_Export!$AA79+GREET1_Import_Export!$B297)+F$32*(GREET1_Import_Export!$B322+GREET1_Import_Export!$C322)+F$33*Silicon!$J86+F$34*GREET1_Import_Export!$B508+F$35*LiMn2O4!$C104+F$36*$B53</f>
        <v>10.753950402856846</v>
      </c>
      <c r="G53" s="235"/>
      <c r="H53" s="234">
        <f>H$28*(GREET1_Import_Export!$K79+GREET1_Import_Export!$F$179*GREET1_Import_Export!$B193+GREET1_Import_Export!$F193)+H$29*(GREET1_Import_Export!$O79+GREET1_Import_Export!$G$179*GREET1_Import_Export!$B193+GREET1_Import_Export!$G193)+H$30*(GREET1_Import_Export!$B79+GREET1_Import_Export!$B229)+H$31*(GREET1_Import_Export!$AA79+GREET1_Import_Export!$B297)+H$32*(GREET1_Import_Export!$B322+GREET1_Import_Export!$C322)+H$33*Silicon!$J86+H$34*GREET1_Import_Export!$B508+H$35*LiMn2O4!$C104+H$36*$B53</f>
        <v>3.2297793284321354</v>
      </c>
      <c r="I53" s="235"/>
      <c r="J53" s="234">
        <f>J$28*(GREET1_Import_Export!$K79+GREET1_Import_Export!$F$179*GREET1_Import_Export!$B193+GREET1_Import_Export!$F193)+J$29*(GREET1_Import_Export!$O79+GREET1_Import_Export!$G$179*GREET1_Import_Export!$B193+GREET1_Import_Export!$G193)+J$30*(GREET1_Import_Export!$B79+GREET1_Import_Export!$B229)+J$31*(GREET1_Import_Export!$AA79+GREET1_Import_Export!$B297)+J$32*(GREET1_Import_Export!$B322+GREET1_Import_Export!$C322)+J$33*Silicon!$J86+J$34*GREET1_Import_Export!$B508+J$35*LiMn2O4!$C104+J$36*$B53</f>
        <v>0.67916071558889379</v>
      </c>
      <c r="K53" s="235"/>
      <c r="L53" s="234">
        <f>L$28*(GREET1_Import_Export!$K79+GREET1_Import_Export!$F$179*GREET1_Import_Export!$B193+GREET1_Import_Export!$F193)+L$29*(GREET1_Import_Export!$O79+GREET1_Import_Export!$G$179*GREET1_Import_Export!$B193+GREET1_Import_Export!$G193)+L$30*(GREET1_Import_Export!$B79+GREET1_Import_Export!$B229)+L$31*(GREET1_Import_Export!$AA79+GREET1_Import_Export!$B297)+L$32*(GREET1_Import_Export!$B322+GREET1_Import_Export!$C322)+L$33*Silicon!$J86+L$34*GREET1_Import_Export!$B508+L$35*LiMn2O4!$C104+L$36*$B53</f>
        <v>7.0021420188846832</v>
      </c>
      <c r="M53" s="235"/>
      <c r="N53" s="234">
        <f>N$28*(GREET1_Import_Export!$K79+GREET1_Import_Export!$F$179*GREET1_Import_Export!$B193+GREET1_Import_Export!$F193)+N$29*(GREET1_Import_Export!$O79+GREET1_Import_Export!$G$179*GREET1_Import_Export!$B193+GREET1_Import_Export!$G193)+N$30*(GREET1_Import_Export!$B79+GREET1_Import_Export!$B229)+N$31*(GREET1_Import_Export!$AA79+GREET1_Import_Export!$B297)+N$32*(GREET1_Import_Export!$B322+GREET1_Import_Export!$C322)+N$33*Silicon!$J86+N$34*GREET1_Import_Export!$B508+N$35*LiMn2O4!$C104+N$36*$B53</f>
        <v>2.767554270901214</v>
      </c>
      <c r="O53" s="235"/>
      <c r="P53" s="234">
        <f>P$28*(GREET1_Import_Export!$K79+GREET1_Import_Export!$F$179*GREET1_Import_Export!$B193+GREET1_Import_Export!$F193)+P$29*(GREET1_Import_Export!$O79+GREET1_Import_Export!$G$179*GREET1_Import_Export!$B193+GREET1_Import_Export!$G193)+P$30*(GREET1_Import_Export!$B79+GREET1_Import_Export!$B229)+P$31*(GREET1_Import_Export!$AA79+GREET1_Import_Export!$B297)+P$32*(GREET1_Import_Export!$B322+GREET1_Import_Export!$C322)</f>
        <v>17.090441033093331</v>
      </c>
      <c r="Q53" s="235"/>
      <c r="R53" s="234">
        <f>R$28*(GREET1_Import_Export!$K79+GREET1_Import_Export!$F$179*GREET1_Import_Export!$B193+GREET1_Import_Export!$F193)+R$29*(GREET1_Import_Export!$O79+GREET1_Import_Export!$G$179*GREET1_Import_Export!$B193+GREET1_Import_Export!$G193)+R$30*(GREET1_Import_Export!$B79+GREET1_Import_Export!$B229)+R$31*(GREET1_Import_Export!$AA79+GREET1_Import_Export!$B297)+R$32*(GREET1_Import_Export!$B322+GREET1_Import_Export!$C322)+R$33*Silicon!$J86+R$34*GREET1_Import_Export!$B508+R$37*GREET1_Import_Export!$K539+R$38*$P53</f>
        <v>12.50585320202806</v>
      </c>
      <c r="S53" s="235"/>
      <c r="T53" s="234">
        <f>T$28*(GREET1_Import_Export!$K79+GREET1_Import_Export!$F$179*GREET1_Import_Export!$B193+GREET1_Import_Export!$F193)+T$29*(GREET1_Import_Export!$O79+GREET1_Import_Export!$G$179*GREET1_Import_Export!$B193+GREET1_Import_Export!$G193)+T$30*(GREET1_Import_Export!$B79+GREET1_Import_Export!$B229)+T$31*(GREET1_Import_Export!$AA79+GREET1_Import_Export!$B297)+T$32*(GREET1_Import_Export!$B322+GREET1_Import_Export!$C322)+T$33*Silicon!$J86+T$34*GREET1_Import_Export!$B508+T$37*GREET1_Import_Export!$K539+T$38*$P53</f>
        <v>10.687792035094621</v>
      </c>
      <c r="U53" s="235"/>
      <c r="V53" s="234">
        <f>V$28*(GREET1_Import_Export!$K79+GREET1_Import_Export!$F$179*GREET1_Import_Export!$B193+GREET1_Import_Export!$F193)+V$29*(GREET1_Import_Export!$O79+GREET1_Import_Export!$G$179*GREET1_Import_Export!$B193+GREET1_Import_Export!$G193)+V$30*(GREET1_Import_Export!$B79+GREET1_Import_Export!$B229)+V$31*(GREET1_Import_Export!$AA79+GREET1_Import_Export!$B297)+V$32*(GREET1_Import_Export!$B322+GREET1_Import_Export!$C322)+V$33*Silicon!$J86+V$34*GREET1_Import_Export!$B508+V$37*GREET1_Import_Export!$K539+V$38*$P53</f>
        <v>4.3063724379095136</v>
      </c>
      <c r="W53" s="235"/>
      <c r="X53" s="234">
        <f>X$28*(GREET1_Import_Export!$K79+GREET1_Import_Export!$F$179*GREET1_Import_Export!$B193+GREET1_Import_Export!$F193)+X$29*(GREET1_Import_Export!$O79+GREET1_Import_Export!$G$179*GREET1_Import_Export!$B193+GREET1_Import_Export!$G193)+X$30*(GREET1_Import_Export!$B79+GREET1_Import_Export!$B229)+X$31*(GREET1_Import_Export!$AA79+GREET1_Import_Export!$B297)+X$32*(GREET1_Import_Export!$B322+GREET1_Import_Export!$C322)+X$33*Silicon!$J86+X$34*GREET1_Import_Export!$B508+X$37*GREET1_Import_Export!$K539+X$38*$P53</f>
        <v>5.3932242884785158</v>
      </c>
      <c r="Y53" s="235"/>
    </row>
    <row r="54" spans="1:25" s="496" customFormat="1">
      <c r="A54" s="347" t="s">
        <v>829</v>
      </c>
      <c r="B54" s="578">
        <f>B$28*(B$8*GREET1_Import_Export!$K80+GREET1_Import_Export!$F$179*GREET1_Import_Export!$B194+GREET1_Import_Export!$F194)+B$29*(B$12*GREET1_Import_Export!$O80+B$13*GREET1_Import_Export!$J154+GREET1_Import_Export!$G$179*GREET1_Import_Export!$B194+GREET1_Import_Export!$G194)+B$30*(B$9*GREET1_Import_Export!$B80+B$10*GREET1_Import_Export!$J126+GREET1_Import_Export!$B230)+B$31*(B$11*GREET1_Import_Export!$AA80+GREET1_Import_Export!$B298)+B$32*(GREET1_Import_Export!$B323+GREET1_Import_Export!$C323)</f>
        <v>19.313099451502922</v>
      </c>
      <c r="C54" s="235"/>
      <c r="D54" s="234">
        <f>D$28*(GREET1_Import_Export!$K80+GREET1_Import_Export!$F$179*GREET1_Import_Export!$B194+GREET1_Import_Export!$F194)+D$29*(GREET1_Import_Export!$O80+GREET1_Import_Export!$G$179*GREET1_Import_Export!$B194+GREET1_Import_Export!$G194)+D$30*(GREET1_Import_Export!$B80+GREET1_Import_Export!$B230)+D$31*(GREET1_Import_Export!$AA80+GREET1_Import_Export!$B298)+D$32*(GREET1_Import_Export!$B323+GREET1_Import_Export!$C323)+D$33*Silicon!$J87+D$34*GREET1_Import_Export!$B509+D$35*LiMn2O4!$C105+D$36*$B54</f>
        <v>269.07921217090797</v>
      </c>
      <c r="E54" s="235"/>
      <c r="F54" s="234">
        <f>F$28*(GREET1_Import_Export!$K80+GREET1_Import_Export!$F$179*GREET1_Import_Export!$B194+GREET1_Import_Export!$F194)+F$29*(GREET1_Import_Export!$O80+GREET1_Import_Export!$G$179*GREET1_Import_Export!$B194+GREET1_Import_Export!$G194)+F$30*(GREET1_Import_Export!$B80+GREET1_Import_Export!$B230)+F$31*(GREET1_Import_Export!$AA80+GREET1_Import_Export!$B298)+F$32*(GREET1_Import_Export!$B323+GREET1_Import_Export!$C323)+F$33*Silicon!$J87+F$34*GREET1_Import_Export!$B509+F$35*LiMn2O4!$C105+F$36*$B54</f>
        <v>1419.8176119122838</v>
      </c>
      <c r="G54" s="235"/>
      <c r="H54" s="234">
        <f>H$28*(GREET1_Import_Export!$K80+GREET1_Import_Export!$F$179*GREET1_Import_Export!$B194+GREET1_Import_Export!$F194)+H$29*(GREET1_Import_Export!$O80+GREET1_Import_Export!$G$179*GREET1_Import_Export!$B194+GREET1_Import_Export!$G194)+H$30*(GREET1_Import_Export!$B80+GREET1_Import_Export!$B230)+H$31*(GREET1_Import_Export!$AA80+GREET1_Import_Export!$B298)+H$32*(GREET1_Import_Export!$B323+GREET1_Import_Export!$C323)+H$33*Silicon!$J87+H$34*GREET1_Import_Export!$B509+H$35*LiMn2O4!$C105+H$36*$B54</f>
        <v>401.85027779414986</v>
      </c>
      <c r="I54" s="235"/>
      <c r="J54" s="234">
        <f>J$28*(GREET1_Import_Export!$K80+GREET1_Import_Export!$F$179*GREET1_Import_Export!$B194+GREET1_Import_Export!$F194)+J$29*(GREET1_Import_Export!$O80+GREET1_Import_Export!$G$179*GREET1_Import_Export!$B194+GREET1_Import_Export!$G194)+J$30*(GREET1_Import_Export!$B80+GREET1_Import_Export!$B230)+J$31*(GREET1_Import_Export!$AA80+GREET1_Import_Export!$B298)+J$32*(GREET1_Import_Export!$B323+GREET1_Import_Export!$C323)+J$33*Silicon!$J87+J$34*GREET1_Import_Export!$B509+J$35*LiMn2O4!$C105+J$36*$B54</f>
        <v>89.640507308792763</v>
      </c>
      <c r="K54" s="235"/>
      <c r="L54" s="234">
        <f>L$28*(GREET1_Import_Export!$K80+GREET1_Import_Export!$F$179*GREET1_Import_Export!$B194+GREET1_Import_Export!$F194)+L$29*(GREET1_Import_Export!$O80+GREET1_Import_Export!$G$179*GREET1_Import_Export!$B194+GREET1_Import_Export!$G194)+L$30*(GREET1_Import_Export!$B80+GREET1_Import_Export!$B230)+L$31*(GREET1_Import_Export!$AA80+GREET1_Import_Export!$B298)+L$32*(GREET1_Import_Export!$B323+GREET1_Import_Export!$C323)+L$33*Silicon!$J87+L$34*GREET1_Import_Export!$B509+L$35*LiMn2O4!$C105+L$36*$B54</f>
        <v>922.72061503555858</v>
      </c>
      <c r="M54" s="235"/>
      <c r="N54" s="234">
        <f>N$28*(GREET1_Import_Export!$K80+GREET1_Import_Export!$F$179*GREET1_Import_Export!$B194+GREET1_Import_Export!$F194)+N$29*(GREET1_Import_Export!$O80+GREET1_Import_Export!$G$179*GREET1_Import_Export!$B194+GREET1_Import_Export!$G194)+N$30*(GREET1_Import_Export!$B80+GREET1_Import_Export!$B230)+N$31*(GREET1_Import_Export!$AA80+GREET1_Import_Export!$B298)+N$32*(GREET1_Import_Export!$B323+GREET1_Import_Export!$C323)+N$33*Silicon!$J87+N$34*GREET1_Import_Export!$B509+N$35*LiMn2O4!$C105+N$36*$B54</f>
        <v>363.61167139057306</v>
      </c>
      <c r="O54" s="235"/>
      <c r="P54" s="234">
        <f>P$28*(GREET1_Import_Export!$K80+GREET1_Import_Export!$F$179*GREET1_Import_Export!$B194+GREET1_Import_Export!$F194)+P$29*(GREET1_Import_Export!$O80+GREET1_Import_Export!$G$179*GREET1_Import_Export!$B194+GREET1_Import_Export!$G194)+P$30*(GREET1_Import_Export!$B80+GREET1_Import_Export!$B230)+P$31*(GREET1_Import_Export!$AA80+GREET1_Import_Export!$B298)+P$32*(GREET1_Import_Export!$B323+GREET1_Import_Export!$C323)</f>
        <v>2187.7472667689794</v>
      </c>
      <c r="Q54" s="235"/>
      <c r="R54" s="234">
        <f>R$28*(GREET1_Import_Export!$K80+GREET1_Import_Export!$F$179*GREET1_Import_Export!$B194+GREET1_Import_Export!$F194)+R$29*(GREET1_Import_Export!$O80+GREET1_Import_Export!$G$179*GREET1_Import_Export!$B194+GREET1_Import_Export!$G194)+R$30*(GREET1_Import_Export!$B80+GREET1_Import_Export!$B230)+R$31*(GREET1_Import_Export!$AA80+GREET1_Import_Export!$B298)+R$32*(GREET1_Import_Export!$B323+GREET1_Import_Export!$C323)+R$33*Silicon!$J87+R$34*GREET1_Import_Export!$B509+R$37*GREET1_Import_Export!$K540+R$38*$P54</f>
        <v>1135.6691384212866</v>
      </c>
      <c r="S54" s="235"/>
      <c r="T54" s="234">
        <f>T$28*(GREET1_Import_Export!$K80+GREET1_Import_Export!$F$179*GREET1_Import_Export!$B194+GREET1_Import_Export!$F194)+T$29*(GREET1_Import_Export!$O80+GREET1_Import_Export!$G$179*GREET1_Import_Export!$B194+GREET1_Import_Export!$G194)+T$30*(GREET1_Import_Export!$B80+GREET1_Import_Export!$B230)+T$31*(GREET1_Import_Export!$AA80+GREET1_Import_Export!$B298)+T$32*(GREET1_Import_Export!$B323+GREET1_Import_Export!$C323)+T$33*Silicon!$J87+T$34*GREET1_Import_Export!$B509+T$37*GREET1_Import_Export!$K540+T$38*$P54</f>
        <v>1413.2557018742764</v>
      </c>
      <c r="U54" s="235"/>
      <c r="V54" s="234">
        <f>V$28*(GREET1_Import_Export!$K80+GREET1_Import_Export!$F$179*GREET1_Import_Export!$B194+GREET1_Import_Export!$F194)+V$29*(GREET1_Import_Export!$O80+GREET1_Import_Export!$G$179*GREET1_Import_Export!$B194+GREET1_Import_Export!$G194)+V$30*(GREET1_Import_Export!$B80+GREET1_Import_Export!$B230)+V$31*(GREET1_Import_Export!$AA80+GREET1_Import_Export!$B298)+V$32*(GREET1_Import_Export!$B323+GREET1_Import_Export!$C323)+V$33*Silicon!$J87+V$34*GREET1_Import_Export!$B509+V$37*GREET1_Import_Export!$K540+V$38*$P54</f>
        <v>535.80037039219985</v>
      </c>
      <c r="W54" s="235"/>
      <c r="X54" s="234">
        <f>X$28*(GREET1_Import_Export!$K80+GREET1_Import_Export!$F$179*GREET1_Import_Export!$B194+GREET1_Import_Export!$F194)+X$29*(GREET1_Import_Export!$O80+GREET1_Import_Export!$G$179*GREET1_Import_Export!$B194+GREET1_Import_Export!$G194)+X$30*(GREET1_Import_Export!$B80+GREET1_Import_Export!$B230)+X$31*(GREET1_Import_Export!$AA80+GREET1_Import_Export!$B298)+X$32*(GREET1_Import_Export!$B323+GREET1_Import_Export!$C323)+X$33*Silicon!$J87+X$34*GREET1_Import_Export!$B509+X$37*GREET1_Import_Export!$K540+X$38*$P54</f>
        <v>713.15056956117326</v>
      </c>
      <c r="Y54" s="235"/>
    </row>
    <row r="55" spans="1:25" s="496" customFormat="1">
      <c r="A55" s="347" t="s">
        <v>830</v>
      </c>
      <c r="B55" s="578">
        <f>B$28*(B$8*GREET1_Import_Export!$K81+GREET1_Import_Export!$F$179*GREET1_Import_Export!$B195+GREET1_Import_Export!$F195)+B$29*(B$12*GREET1_Import_Export!$O81+B$13*GREET1_Import_Export!$J155+GREET1_Import_Export!$G$179*GREET1_Import_Export!$B195+GREET1_Import_Export!$G195)+B$30*(B$9*GREET1_Import_Export!$B81+B$10*GREET1_Import_Export!$J127+GREET1_Import_Export!$B231)+B$31*(B$11*GREET1_Import_Export!$AA81+GREET1_Import_Export!$B299)+B$32*(GREET1_Import_Export!$B324+GREET1_Import_Export!$C324)</f>
        <v>0.14428540885218835</v>
      </c>
      <c r="C55" s="235"/>
      <c r="D55" s="234">
        <f>D$28*(GREET1_Import_Export!$K81+GREET1_Import_Export!$F$179*GREET1_Import_Export!$B195+GREET1_Import_Export!$F195)+D$29*(GREET1_Import_Export!$O81+GREET1_Import_Export!$G$179*GREET1_Import_Export!$B195+GREET1_Import_Export!$G195)+D$30*(GREET1_Import_Export!$B81+GREET1_Import_Export!$B231)+D$31*(GREET1_Import_Export!$AA81+GREET1_Import_Export!$B299)+D$32*(GREET1_Import_Export!$B324+GREET1_Import_Export!$C324)+D$33*Silicon!$J88+D$34*GREET1_Import_Export!$B510+D$35*LiMn2O4!$C106+D$36*$B55</f>
        <v>1.1985747517763383</v>
      </c>
      <c r="E55" s="235"/>
      <c r="F55" s="234">
        <f>F$28*(GREET1_Import_Export!$K81+GREET1_Import_Export!$F$179*GREET1_Import_Export!$B195+GREET1_Import_Export!$F195)+F$29*(GREET1_Import_Export!$O81+GREET1_Import_Export!$G$179*GREET1_Import_Export!$B195+GREET1_Import_Export!$G195)+F$30*(GREET1_Import_Export!$B81+GREET1_Import_Export!$B231)+F$31*(GREET1_Import_Export!$AA81+GREET1_Import_Export!$B299)+F$32*(GREET1_Import_Export!$B324+GREET1_Import_Export!$C324)+F$33*Silicon!$J88+F$34*GREET1_Import_Export!$B510+F$35*LiMn2O4!$C106+F$36*$B55</f>
        <v>14.13716925949864</v>
      </c>
      <c r="G55" s="235"/>
      <c r="H55" s="234">
        <f>H$28*(GREET1_Import_Export!$K81+GREET1_Import_Export!$F$179*GREET1_Import_Export!$B195+GREET1_Import_Export!$F195)+H$29*(GREET1_Import_Export!$O81+GREET1_Import_Export!$G$179*GREET1_Import_Export!$B195+GREET1_Import_Export!$G195)+H$30*(GREET1_Import_Export!$B81+GREET1_Import_Export!$B231)+H$31*(GREET1_Import_Export!$AA81+GREET1_Import_Export!$B299)+H$32*(GREET1_Import_Export!$B324+GREET1_Import_Export!$C324)+H$33*Silicon!$J88+H$34*GREET1_Import_Export!$B510+H$35*LiMn2O4!$C106+H$36*$B55</f>
        <v>3.6459094071394769</v>
      </c>
      <c r="I55" s="235"/>
      <c r="J55" s="234">
        <f>J$28*(GREET1_Import_Export!$K81+GREET1_Import_Export!$F$179*GREET1_Import_Export!$B195+GREET1_Import_Export!$F195)+J$29*(GREET1_Import_Export!$O81+GREET1_Import_Export!$G$179*GREET1_Import_Export!$B195+GREET1_Import_Export!$G195)+J$30*(GREET1_Import_Export!$B81+GREET1_Import_Export!$B231)+J$31*(GREET1_Import_Export!$AA81+GREET1_Import_Export!$B299)+J$32*(GREET1_Import_Export!$B324+GREET1_Import_Export!$C324)+J$33*Silicon!$J88+J$34*GREET1_Import_Export!$B510+J$35*LiMn2O4!$C106+J$36*$B55</f>
        <v>0.8921569723287881</v>
      </c>
      <c r="K55" s="235"/>
      <c r="L55" s="234">
        <f>L$28*(GREET1_Import_Export!$K81+GREET1_Import_Export!$F$179*GREET1_Import_Export!$B195+GREET1_Import_Export!$F195)+L$29*(GREET1_Import_Export!$O81+GREET1_Import_Export!$G$179*GREET1_Import_Export!$B195+GREET1_Import_Export!$G195)+L$30*(GREET1_Import_Export!$B81+GREET1_Import_Export!$B231)+L$31*(GREET1_Import_Export!$AA81+GREET1_Import_Export!$B299)+L$32*(GREET1_Import_Export!$B324+GREET1_Import_Export!$C324)+L$33*Silicon!$J88+L$34*GREET1_Import_Export!$B510+L$35*LiMn2O4!$C106+L$36*$B55</f>
        <v>9.1621781287437223</v>
      </c>
      <c r="M55" s="235"/>
      <c r="N55" s="234">
        <f>N$28*(GREET1_Import_Export!$K81+GREET1_Import_Export!$F$179*GREET1_Import_Export!$B195+GREET1_Import_Export!$F195)+N$29*(GREET1_Import_Export!$O81+GREET1_Import_Export!$G$179*GREET1_Import_Export!$B195+GREET1_Import_Export!$G195)+N$30*(GREET1_Import_Export!$B81+GREET1_Import_Export!$B231)+N$31*(GREET1_Import_Export!$AA81+GREET1_Import_Export!$B299)+N$32*(GREET1_Import_Export!$B324+GREET1_Import_Export!$C324)+N$33*Silicon!$J88+N$34*GREET1_Import_Export!$B510+N$35*LiMn2O4!$C106+N$36*$B55</f>
        <v>3.5947257890541531</v>
      </c>
      <c r="O55" s="235"/>
      <c r="P55" s="234">
        <f>P$28*(GREET1_Import_Export!$K81+GREET1_Import_Export!$F$179*GREET1_Import_Export!$B195+GREET1_Import_Export!$F195)+P$29*(GREET1_Import_Export!$O81+GREET1_Import_Export!$G$179*GREET1_Import_Export!$B195+GREET1_Import_Export!$G195)+P$30*(GREET1_Import_Export!$B81+GREET1_Import_Export!$B231)+P$31*(GREET1_Import_Export!$AA81+GREET1_Import_Export!$B299)+P$32*(GREET1_Import_Export!$B324+GREET1_Import_Export!$C324)</f>
        <v>22.80732433573684</v>
      </c>
      <c r="Q55" s="235"/>
      <c r="R55" s="234">
        <f>R$28*(GREET1_Import_Export!$K81+GREET1_Import_Export!$F$179*GREET1_Import_Export!$B195+GREET1_Import_Export!$F195)+R$29*(GREET1_Import_Export!$O81+GREET1_Import_Export!$G$179*GREET1_Import_Export!$B195+GREET1_Import_Export!$G195)+R$30*(GREET1_Import_Export!$B81+GREET1_Import_Export!$B231)+R$31*(GREET1_Import_Export!$AA81+GREET1_Import_Export!$B299)+R$32*(GREET1_Import_Export!$B324+GREET1_Import_Export!$C324)+R$33*Silicon!$J88+R$34*GREET1_Import_Export!$B510+R$37*GREET1_Import_Export!$K541+R$38*$P55</f>
        <v>10.487259451282966</v>
      </c>
      <c r="S55" s="235"/>
      <c r="T55" s="234">
        <f>T$28*(GREET1_Import_Export!$K81+GREET1_Import_Export!$F$179*GREET1_Import_Export!$B195+GREET1_Import_Export!$F195)+T$29*(GREET1_Import_Export!$O81+GREET1_Import_Export!$G$179*GREET1_Import_Export!$B195+GREET1_Import_Export!$G195)+T$30*(GREET1_Import_Export!$B81+GREET1_Import_Export!$B231)+T$31*(GREET1_Import_Export!$AA81+GREET1_Import_Export!$B299)+T$32*(GREET1_Import_Export!$B324+GREET1_Import_Export!$C324)+T$33*Silicon!$J88+T$34*GREET1_Import_Export!$B510+T$37*GREET1_Import_Export!$K541+T$38*$P55</f>
        <v>14.103255555319612</v>
      </c>
      <c r="U55" s="235"/>
      <c r="V55" s="234">
        <f>V$28*(GREET1_Import_Export!$K81+GREET1_Import_Export!$F$179*GREET1_Import_Export!$B195+GREET1_Import_Export!$F195)+V$29*(GREET1_Import_Export!$O81+GREET1_Import_Export!$G$179*GREET1_Import_Export!$B195+GREET1_Import_Export!$G195)+V$30*(GREET1_Import_Export!$B81+GREET1_Import_Export!$B231)+V$31*(GREET1_Import_Export!$AA81+GREET1_Import_Export!$B299)+V$32*(GREET1_Import_Export!$B324+GREET1_Import_Export!$C324)+V$33*Silicon!$J88+V$34*GREET1_Import_Export!$B510+V$37*GREET1_Import_Export!$K541+V$38*$P55</f>
        <v>4.8612125428526358</v>
      </c>
      <c r="W55" s="235"/>
      <c r="X55" s="234">
        <f>X$28*(GREET1_Import_Export!$K81+GREET1_Import_Export!$F$179*GREET1_Import_Export!$B195+GREET1_Import_Export!$F195)+X$29*(GREET1_Import_Export!$O81+GREET1_Import_Export!$G$179*GREET1_Import_Export!$B195+GREET1_Import_Export!$G195)+X$30*(GREET1_Import_Export!$B81+GREET1_Import_Export!$B231)+X$31*(GREET1_Import_Export!$AA81+GREET1_Import_Export!$B299)+X$32*(GREET1_Import_Export!$B324+GREET1_Import_Export!$C324)+X$33*Silicon!$J88+X$34*GREET1_Import_Export!$B510+X$37*GREET1_Import_Export!$K541+X$38*$P55</f>
        <v>7.1167197263766653</v>
      </c>
      <c r="Y55" s="235"/>
    </row>
    <row r="56" spans="1:25" s="535" customFormat="1">
      <c r="A56" s="668" t="s">
        <v>831</v>
      </c>
      <c r="B56" s="650">
        <f>B$28*(B$8*GREET1_Import_Export!$K82+GREET1_Import_Export!$F$179*GREET1_Import_Export!$B196+GREET1_Import_Export!$F196)+B$29*(B$12*GREET1_Import_Export!$O82+B$13*GREET1_Import_Export!$J156+GREET1_Import_Export!$G$179*GREET1_Import_Export!$B196+GREET1_Import_Export!$G196)+B$30*(B$9*GREET1_Import_Export!$B82+B$10*GREET1_Import_Export!$J128+GREET1_Import_Export!$B232)+B$31*(B$11*GREET1_Import_Export!$AA82+GREET1_Import_Export!$B300)+B$32*(GREET1_Import_Export!$B325+GREET1_Import_Export!$C325)</f>
        <v>14437.715010367849</v>
      </c>
      <c r="C56" s="245"/>
      <c r="D56" s="250">
        <f>D$28*(GREET1_Import_Export!$K82+GREET1_Import_Export!$F$179*GREET1_Import_Export!$B196+GREET1_Import_Export!$F196)+D$29*(GREET1_Import_Export!$O82+GREET1_Import_Export!$G$179*GREET1_Import_Export!$B196+GREET1_Import_Export!$G196)+D$30*(GREET1_Import_Export!$B82+GREET1_Import_Export!$B232)+D$31*(GREET1_Import_Export!$AA82+GREET1_Import_Export!$B300)+D$32*(GREET1_Import_Export!$B325+GREET1_Import_Export!$C325)+D$33*Silicon!$J89+D$34*GREET1_Import_Export!$B511+D$35*LiMn2O4!$C107+D$36*$B56</f>
        <v>192412.68148961724</v>
      </c>
      <c r="E56" s="245"/>
      <c r="F56" s="250">
        <f>F$28*(GREET1_Import_Export!$K82+GREET1_Import_Export!$F$179*GREET1_Import_Export!$B196+GREET1_Import_Export!$F196)+F$29*(GREET1_Import_Export!$O82+GREET1_Import_Export!$G$179*GREET1_Import_Export!$B196+GREET1_Import_Export!$G196)+F$30*(GREET1_Import_Export!$B82+GREET1_Import_Export!$B232)+F$31*(GREET1_Import_Export!$AA82+GREET1_Import_Export!$B300)+F$32*(GREET1_Import_Export!$B325+GREET1_Import_Export!$C325)+F$33*Silicon!$J89+F$34*GREET1_Import_Export!$B511+F$35*LiMn2O4!$C107+F$36*$B56</f>
        <v>432621.29528521962</v>
      </c>
      <c r="G56" s="245">
        <v>205963</v>
      </c>
      <c r="H56" s="250">
        <f>H$28*(GREET1_Import_Export!$K82+GREET1_Import_Export!$F$179*GREET1_Import_Export!$B196+GREET1_Import_Export!$F196)+H$29*(GREET1_Import_Export!$O82+GREET1_Import_Export!$G$179*GREET1_Import_Export!$B196+GREET1_Import_Export!$G196)+H$30*(GREET1_Import_Export!$B82+GREET1_Import_Export!$B232)+H$31*(GREET1_Import_Export!$AA82+GREET1_Import_Export!$B300)+H$32*(GREET1_Import_Export!$B325+GREET1_Import_Export!$C325)+H$33*Silicon!$J89+H$34*GREET1_Import_Export!$B511+H$35*LiMn2O4!$C107+H$36*$B56</f>
        <v>177559.54678584944</v>
      </c>
      <c r="I56" s="245"/>
      <c r="J56" s="250">
        <f>J$28*(GREET1_Import_Export!$K82+GREET1_Import_Export!$F$179*GREET1_Import_Export!$B196+GREET1_Import_Export!$F196)+J$29*(GREET1_Import_Export!$O82+GREET1_Import_Export!$G$179*GREET1_Import_Export!$B196+GREET1_Import_Export!$G196)+J$30*(GREET1_Import_Export!$B82+GREET1_Import_Export!$B232)+J$31*(GREET1_Import_Export!$AA82+GREET1_Import_Export!$B300)+J$32*(GREET1_Import_Export!$B325+GREET1_Import_Export!$C325)+J$33*Silicon!$J89+J$34*GREET1_Import_Export!$B511+J$35*LiMn2O4!$C107+J$36*$B56</f>
        <v>27375.132501385382</v>
      </c>
      <c r="K56" s="245"/>
      <c r="L56" s="250">
        <f>L$28*(GREET1_Import_Export!$K82+GREET1_Import_Export!$F$179*GREET1_Import_Export!$B196+GREET1_Import_Export!$F196)+L$29*(GREET1_Import_Export!$O82+GREET1_Import_Export!$G$179*GREET1_Import_Export!$B196+GREET1_Import_Export!$G196)+L$30*(GREET1_Import_Export!$B82+GREET1_Import_Export!$B232)+L$31*(GREET1_Import_Export!$AA82+GREET1_Import_Export!$B300)+L$32*(GREET1_Import_Export!$B325+GREET1_Import_Export!$C325)+L$33*Silicon!$J89+L$34*GREET1_Import_Export!$B511+L$35*LiMn2O4!$C107+L$36*$B56</f>
        <v>285091.61839506705</v>
      </c>
      <c r="M56" s="245"/>
      <c r="N56" s="250">
        <f>N$28*(GREET1_Import_Export!$K82+GREET1_Import_Export!$F$179*GREET1_Import_Export!$B196+GREET1_Import_Export!$F196)+N$29*(GREET1_Import_Export!$O82+GREET1_Import_Export!$G$179*GREET1_Import_Export!$B196+GREET1_Import_Export!$G196)+N$30*(GREET1_Import_Export!$B82+GREET1_Import_Export!$B232)+N$31*(GREET1_Import_Export!$AA82+GREET1_Import_Export!$B300)+N$32*(GREET1_Import_Export!$B325+GREET1_Import_Export!$C325)+N$33*Silicon!$J89+N$34*GREET1_Import_Export!$B511+N$35*LiMn2O4!$C107+N$36*$B56</f>
        <v>114789.98257722822</v>
      </c>
      <c r="O56" s="245"/>
      <c r="P56" s="250">
        <f>P$28*(GREET1_Import_Export!$K82+GREET1_Import_Export!$F$179*GREET1_Import_Export!$B196+GREET1_Import_Export!$F196)+P$29*(GREET1_Import_Export!$O82+GREET1_Import_Export!$G$179*GREET1_Import_Export!$B196+GREET1_Import_Export!$G196)+P$30*(GREET1_Import_Export!$B82+GREET1_Import_Export!$B232)+P$31*(GREET1_Import_Export!$AA82+GREET1_Import_Export!$B300)+P$32*(GREET1_Import_Export!$B325+GREET1_Import_Export!$C325)</f>
        <v>857021.11479090515</v>
      </c>
      <c r="Q56" s="245"/>
      <c r="R56" s="250">
        <f>R$28*(GREET1_Import_Export!$K82+GREET1_Import_Export!$F$179*GREET1_Import_Export!$B196+GREET1_Import_Export!$F196)+R$29*(GREET1_Import_Export!$O82+GREET1_Import_Export!$G$179*GREET1_Import_Export!$B196+GREET1_Import_Export!$G196)+R$30*(GREET1_Import_Export!$B82+GREET1_Import_Export!$B232)+R$31*(GREET1_Import_Export!$AA82+GREET1_Import_Export!$B300)+R$32*(GREET1_Import_Export!$B325+GREET1_Import_Export!$C325)+R$33*Silicon!$J89+R$34*GREET1_Import_Export!$B511+R$37*GREET1_Import_Export!$K542+R$38*$P56</f>
        <v>474620.19117467117</v>
      </c>
      <c r="S56" s="245"/>
      <c r="T56" s="250">
        <f>T$28*(GREET1_Import_Export!$K82+GREET1_Import_Export!$F$179*GREET1_Import_Export!$B196+GREET1_Import_Export!$F196)+T$29*(GREET1_Import_Export!$O82+GREET1_Import_Export!$G$179*GREET1_Import_Export!$B196+GREET1_Import_Export!$G196)+T$30*(GREET1_Import_Export!$B82+GREET1_Import_Export!$B232)+T$31*(GREET1_Import_Export!$AA82+GREET1_Import_Export!$B300)+T$32*(GREET1_Import_Export!$B325+GREET1_Import_Export!$C325)+T$33*Silicon!$J89+T$34*GREET1_Import_Export!$B511+T$37*GREET1_Import_Export!$K542+T$38*$P56</f>
        <v>425747.75635759789</v>
      </c>
      <c r="U56" s="245">
        <v>157671</v>
      </c>
      <c r="V56" s="250">
        <f>V$28*(GREET1_Import_Export!$K82+GREET1_Import_Export!$F$179*GREET1_Import_Export!$B196+GREET1_Import_Export!$F196)+V$29*(GREET1_Import_Export!$O82+GREET1_Import_Export!$G$179*GREET1_Import_Export!$B196+GREET1_Import_Export!$G196)+V$30*(GREET1_Import_Export!$B82+GREET1_Import_Export!$B232)+V$31*(GREET1_Import_Export!$AA82+GREET1_Import_Export!$B300)+V$32*(GREET1_Import_Export!$B325+GREET1_Import_Export!$C325)+V$33*Silicon!$J89+V$34*GREET1_Import_Export!$B511+V$37*GREET1_Import_Export!$K542+V$38*$P56</f>
        <v>236746.06238113256</v>
      </c>
      <c r="W56" s="245"/>
      <c r="X56" s="250">
        <f>X$28*(GREET1_Import_Export!$K82+GREET1_Import_Export!$F$179*GREET1_Import_Export!$B196+GREET1_Import_Export!$F196)+X$29*(GREET1_Import_Export!$O82+GREET1_Import_Export!$G$179*GREET1_Import_Export!$B196+GREET1_Import_Export!$G196)+X$30*(GREET1_Import_Export!$B82+GREET1_Import_Export!$B232)+X$31*(GREET1_Import_Export!$AA82+GREET1_Import_Export!$B300)+X$32*(GREET1_Import_Export!$B325+GREET1_Import_Export!$C325)+X$33*Silicon!$J89+X$34*GREET1_Import_Export!$B511+X$37*GREET1_Import_Export!$K542+X$38*$P56</f>
        <v>214838.86782352632</v>
      </c>
      <c r="Y56" s="245"/>
    </row>
    <row r="57" spans="1:25" s="496" customFormat="1">
      <c r="A57" s="758" t="s">
        <v>865</v>
      </c>
      <c r="B57" s="582"/>
      <c r="C57" s="248"/>
      <c r="D57" s="240"/>
      <c r="E57" s="248"/>
      <c r="F57" s="240"/>
      <c r="G57" s="248"/>
      <c r="H57" s="240"/>
      <c r="I57" s="248"/>
      <c r="J57" s="240"/>
      <c r="K57" s="248"/>
      <c r="L57" s="240"/>
      <c r="M57" s="248"/>
      <c r="N57" s="240"/>
      <c r="O57" s="248"/>
      <c r="P57" s="240"/>
      <c r="Q57" s="248"/>
      <c r="R57" s="240"/>
      <c r="S57" s="248"/>
      <c r="T57" s="240"/>
      <c r="U57" s="248"/>
      <c r="V57" s="240"/>
      <c r="W57" s="248"/>
      <c r="X57" s="240"/>
      <c r="Y57" s="248"/>
    </row>
    <row r="58" spans="1:25" s="496" customFormat="1">
      <c r="A58" s="347" t="s">
        <v>821</v>
      </c>
      <c r="B58" s="578">
        <f>B$28*(B$20*(B$8*GREET1_Import_Export!$K72)+GREET1_Import_Export!$F$200*GREET1_Import_Export!$B201+GREET1_Import_Export!$F201)+B$29*(B$20*(B$12*GREET1_Import_Export!$O72+B$13*GREET1_Import_Export!$J146)+GREET1_Import_Export!$G$200*GREET1_Import_Export!$B201+GREET1_Import_Export!$G201)+B$30*(B$20*(B$9*GREET1_Import_Export!$B72+B$10*GREET1_Import_Export!$J118)+GREET1_Import_Export!$B237)+B$31*(B$20*(B$11*GREET1_Import_Export!$AA72)+GREET1_Import_Export!$C290)+B$32*(GREET1_Import_Export!$D315+GREET1_Import_Export!$E315)</f>
        <v>0.41600247909078719</v>
      </c>
      <c r="C58" s="235">
        <f t="shared" ref="C58:C65" si="0">C46*B$20</f>
        <v>0</v>
      </c>
      <c r="D58" s="234">
        <f>D$28*(D$20*(GREET1_Import_Export!$K72)+GREET1_Import_Export!$F$200*GREET1_Import_Export!$B201+GREET1_Import_Export!$F201)+D$29*(D$20*(GREET1_Import_Export!$O72)+GREET1_Import_Export!$G$200*GREET1_Import_Export!$B201+GREET1_Import_Export!$G201)+D$30*(D$20*(GREET1_Import_Export!$B72)+GREET1_Import_Export!$B237)+D$31*(D$20*(GREET1_Import_Export!$AA72)+GREET1_Import_Export!$C290)+D$32*(GREET1_Import_Export!$D315+GREET1_Import_Export!$E315)+D$33*Silicon!$J93+D$34*GREET1_Import_Export!$B513+D$35*LiMn2O4!$C111+D$36*$B58</f>
        <v>0.85509665829457393</v>
      </c>
      <c r="E58" s="235">
        <f t="shared" ref="E58:E65" si="1">E46*D$20</f>
        <v>0</v>
      </c>
      <c r="F58" s="234">
        <f>F$28*(F$20*(GREET1_Import_Export!$K72)+GREET1_Import_Export!$F$200*GREET1_Import_Export!$B201+GREET1_Import_Export!$F201)+F$29*(F$20*(GREET1_Import_Export!$O72)+GREET1_Import_Export!$G$200*GREET1_Import_Export!$B201+GREET1_Import_Export!$G201)+F$30*(F$20*(GREET1_Import_Export!$B72)+GREET1_Import_Export!$B237)+F$31*(F$20*(GREET1_Import_Export!$AA72)+GREET1_Import_Export!$C290)+F$32*(GREET1_Import_Export!$D315+GREET1_Import_Export!$E315)+F$33*Silicon!$J93+F$34*GREET1_Import_Export!$B513+F$35*LiMn2O4!$C111+F$36*$B58</f>
        <v>3.922379439204625</v>
      </c>
      <c r="G58" s="235">
        <f t="shared" ref="G58:G65" si="2">G46*F$20</f>
        <v>0</v>
      </c>
      <c r="H58" s="234">
        <f>H$28*(H$20*(GREET1_Import_Export!$K72)+GREET1_Import_Export!$F$200*GREET1_Import_Export!$B201+GREET1_Import_Export!$F201)+H$29*(H$20*(GREET1_Import_Export!$O72)+GREET1_Import_Export!$G$200*GREET1_Import_Export!$B201+GREET1_Import_Export!$G201)+H$30*(H$20*(GREET1_Import_Export!$B72)+GREET1_Import_Export!$B237)+H$31*(H$20*(GREET1_Import_Export!$AA72)+GREET1_Import_Export!$C290)+H$32*(GREET1_Import_Export!$D315+GREET1_Import_Export!$E315)+H$33*Silicon!$J93+H$34*GREET1_Import_Export!$B513+H$35*LiMn2O4!$C111+H$36*$B58</f>
        <v>1.2961617292979262</v>
      </c>
      <c r="I58" s="235">
        <f t="shared" ref="I58:I65" si="3">I46*H$20</f>
        <v>0</v>
      </c>
      <c r="J58" s="234">
        <f>J$28*(J$20*(GREET1_Import_Export!$K72)+GREET1_Import_Export!$F$200*GREET1_Import_Export!$B201+GREET1_Import_Export!$F201)+J$29*(J$20*(GREET1_Import_Export!$O72)+GREET1_Import_Export!$G$200*GREET1_Import_Export!$B201+GREET1_Import_Export!$G201)+J$30*(J$20*(GREET1_Import_Export!$B72)+GREET1_Import_Export!$B237)+J$31*(J$20*(GREET1_Import_Export!$AA72)+GREET1_Import_Export!$C290)+J$32*(GREET1_Import_Export!$D315+GREET1_Import_Export!$E315)+J$33*Silicon!$J93+J$34*GREET1_Import_Export!$B513+J$35*LiMn2O4!$C111+J$36*$B58</f>
        <v>0.2478478407768184</v>
      </c>
      <c r="K58" s="235">
        <f t="shared" ref="K58:K65" si="4">K46*J$20</f>
        <v>0</v>
      </c>
      <c r="L58" s="234">
        <f>L$28*(L$20*(GREET1_Import_Export!$K72)+GREET1_Import_Export!$F$200*GREET1_Import_Export!$B201+GREET1_Import_Export!$F201)+L$29*(L$20*(GREET1_Import_Export!$O72)+GREET1_Import_Export!$G$200*GREET1_Import_Export!$B201+GREET1_Import_Export!$G201)+L$30*(L$20*(GREET1_Import_Export!$B72)+GREET1_Import_Export!$B237)+L$31*(L$20*(GREET1_Import_Export!$AA72)+GREET1_Import_Export!$C290)+L$32*(GREET1_Import_Export!$D315+GREET1_Import_Export!$E315)+L$33*Silicon!$J93+L$34*GREET1_Import_Export!$B513+L$35*LiMn2O4!$C111+L$36*$B58</f>
        <v>2.5623889352402367</v>
      </c>
      <c r="M58" s="235">
        <f t="shared" ref="M58:M65" si="5">M46*L$20</f>
        <v>0</v>
      </c>
      <c r="N58" s="234">
        <f>N$28*(N$20*(GREET1_Import_Export!$K72)+GREET1_Import_Export!$F$200*GREET1_Import_Export!$B201+GREET1_Import_Export!$F201)+N$29*(N$20*(GREET1_Import_Export!$O72)+GREET1_Import_Export!$G$200*GREET1_Import_Export!$B201+GREET1_Import_Export!$G201)+N$30*(N$20*(GREET1_Import_Export!$B72)+GREET1_Import_Export!$B237)+N$31*(N$20*(GREET1_Import_Export!$AA72)+GREET1_Import_Export!$C290)+N$32*(GREET1_Import_Export!$D315+GREET1_Import_Export!$E315)+N$33*Silicon!$J93+N$34*GREET1_Import_Export!$B513+N$35*LiMn2O4!$C111+N$36*$B58</f>
        <v>1.018000454415094</v>
      </c>
      <c r="O58" s="235">
        <f t="shared" ref="O58:O65" si="6">O46*N$20</f>
        <v>0</v>
      </c>
      <c r="P58" s="234">
        <f>P$28*(P$20*(GREET1_Import_Export!$K72)+GREET1_Import_Export!$F$200*GREET1_Import_Export!$B201+GREET1_Import_Export!$F201)+P$29*(P$20*(GREET1_Import_Export!$O72)+GREET1_Import_Export!$G$200*GREET1_Import_Export!$B201+GREET1_Import_Export!$G201)+P$30*(P$20*(GREET1_Import_Export!$B72)+GREET1_Import_Export!$B237)+P$31*(P$20*(GREET1_Import_Export!$AA72)+GREET1_Import_Export!$C290)+P$32*(GREET1_Import_Export!$D315+GREET1_Import_Export!$E315)</f>
        <v>9.6486045318973179</v>
      </c>
      <c r="Q58" s="235">
        <f t="shared" ref="Q58:Q65" si="7">Q46*P$20</f>
        <v>0</v>
      </c>
      <c r="R58" s="234">
        <f>R$28*(R$20*(GREET1_Import_Export!$K72)+GREET1_Import_Export!$F$200*GREET1_Import_Export!$B201+GREET1_Import_Export!$F201)+R$29*(R$20*(GREET1_Import_Export!$O72)+GREET1_Import_Export!$G$200*GREET1_Import_Export!$B201+GREET1_Import_Export!$G201)+R$30*(R$20*(GREET1_Import_Export!$B72)+GREET1_Import_Export!$B237)+R$31*(R$20*(GREET1_Import_Export!$AA72)+GREET1_Import_Export!$C290)+R$32*(GREET1_Import_Export!$D315+GREET1_Import_Export!$E315)+R$33*Silicon!$J93+R$34*GREET1_Import_Export!$B513+R$37*GREET1_Import_Export!$K544+R$38*$P58</f>
        <v>4.70334744909258</v>
      </c>
      <c r="S58" s="235">
        <f t="shared" ref="S58:S65" si="8">S46*R$20</f>
        <v>0</v>
      </c>
      <c r="T58" s="234">
        <f>T$28*(T$20*(GREET1_Import_Export!$K72)+GREET1_Import_Export!$F$200*GREET1_Import_Export!$B201+GREET1_Import_Export!$F201)+T$29*(T$20*(GREET1_Import_Export!$O72)+GREET1_Import_Export!$G$200*GREET1_Import_Export!$B201+GREET1_Import_Export!$G201)+T$30*(T$20*(GREET1_Import_Export!$B72)+GREET1_Import_Export!$B237)+T$31*(T$20*(GREET1_Import_Export!$AA72)+GREET1_Import_Export!$C290)+T$32*(GREET1_Import_Export!$D315+GREET1_Import_Export!$E315)+T$33*Silicon!$J93+T$34*GREET1_Import_Export!$B513+T$37*GREET1_Import_Export!$K544+T$38*$P58</f>
        <v>3.8878014516994606</v>
      </c>
      <c r="U58" s="235">
        <f t="shared" ref="U58:U65" si="9">U46*T$20</f>
        <v>0</v>
      </c>
      <c r="V58" s="234">
        <f>V$28*(V$20*(GREET1_Import_Export!$K72)+GREET1_Import_Export!$F$200*GREET1_Import_Export!$B201+GREET1_Import_Export!$F201)+V$29*(V$20*(GREET1_Import_Export!$O72)+GREET1_Import_Export!$G$200*GREET1_Import_Export!$B201+GREET1_Import_Export!$G201)+V$30*(V$20*(GREET1_Import_Export!$B72)+GREET1_Import_Export!$B237)+V$31*(V$20*(GREET1_Import_Export!$AA72)+GREET1_Import_Export!$C290)+V$32*(GREET1_Import_Export!$D315+GREET1_Import_Export!$E315)+V$33*Silicon!$J93+V$34*GREET1_Import_Export!$B513+V$37*GREET1_Import_Export!$K544+V$38*$P58</f>
        <v>1.7282156390639014</v>
      </c>
      <c r="W58" s="235">
        <f t="shared" ref="W58:W65" si="10">W46*V$20</f>
        <v>0</v>
      </c>
      <c r="X58" s="234">
        <f>X$28*(X$20*(GREET1_Import_Export!$K72)+GREET1_Import_Export!$F$200*GREET1_Import_Export!$B201+GREET1_Import_Export!$F201)+X$29*(X$20*(GREET1_Import_Export!$O72)+GREET1_Import_Export!$G$200*GREET1_Import_Export!$B201+GREET1_Import_Export!$G201)+X$30*(X$20*(GREET1_Import_Export!$B72)+GREET1_Import_Export!$B237)+X$31*(X$20*(GREET1_Import_Export!$AA72)+GREET1_Import_Export!$C290)+X$32*(GREET1_Import_Export!$D315+GREET1_Import_Export!$E315)+X$33*Silicon!$J93+X$34*GREET1_Import_Export!$B513+X$37*GREET1_Import_Export!$K544+X$38*$P58</f>
        <v>1.9618444248575737</v>
      </c>
      <c r="Y58" s="235">
        <f t="shared" ref="Y58:Y65" si="11">Y46*X$20</f>
        <v>0</v>
      </c>
    </row>
    <row r="59" spans="1:25" s="496" customFormat="1">
      <c r="A59" s="347" t="s">
        <v>822</v>
      </c>
      <c r="B59" s="578">
        <f>B$28*(B$20*(B$8*GREET1_Import_Export!$K73)+GREET1_Import_Export!$F$200*GREET1_Import_Export!$B202+GREET1_Import_Export!$F202)+B$29*(B$20*(B$12*GREET1_Import_Export!$O73+B$13*GREET1_Import_Export!$J147)+GREET1_Import_Export!$G$200*GREET1_Import_Export!$B202+GREET1_Import_Export!$G202)+B$30*(B$20*(B$9*GREET1_Import_Export!$B73+B$10*GREET1_Import_Export!$J119)+GREET1_Import_Export!$B238)+B$31*(B$20*(B$11*GREET1_Import_Export!$AA73)+GREET1_Import_Export!$C291)+B$32*(GREET1_Import_Export!$D316+GREET1_Import_Export!$E316)</f>
        <v>0.32591437273352986</v>
      </c>
      <c r="C59" s="235">
        <f t="shared" si="0"/>
        <v>0</v>
      </c>
      <c r="D59" s="234">
        <f>D$28*(D$20*(GREET1_Import_Export!$K73)+GREET1_Import_Export!$F$200*GREET1_Import_Export!$B202+GREET1_Import_Export!$F202)+D$29*(D$20*(GREET1_Import_Export!$O73)+GREET1_Import_Export!$G$200*GREET1_Import_Export!$B202+GREET1_Import_Export!$G202)+D$30*(D$20*(GREET1_Import_Export!$B73)+GREET1_Import_Export!$B238)+D$31*(D$20*(GREET1_Import_Export!$AA73)+GREET1_Import_Export!$C291)+D$32*(GREET1_Import_Export!$D316+GREET1_Import_Export!$E316)+D$33*Silicon!$J94+D$34*GREET1_Import_Export!$B514+D$35*LiMn2O4!$C112+D$36*$B59</f>
        <v>2.8359974776803125</v>
      </c>
      <c r="E59" s="235">
        <f t="shared" si="1"/>
        <v>0</v>
      </c>
      <c r="F59" s="234">
        <f>F$28*(F$20*(GREET1_Import_Export!$K73)+GREET1_Import_Export!$F$200*GREET1_Import_Export!$B202+GREET1_Import_Export!$F202)+F$29*(F$20*(GREET1_Import_Export!$O73)+GREET1_Import_Export!$G$200*GREET1_Import_Export!$B202+GREET1_Import_Export!$G202)+F$30*(F$20*(GREET1_Import_Export!$B73)+GREET1_Import_Export!$B238)+F$31*(F$20*(GREET1_Import_Export!$AA73)+GREET1_Import_Export!$C291)+F$32*(GREET1_Import_Export!$D316+GREET1_Import_Export!$E316)+F$33*Silicon!$J94+F$34*GREET1_Import_Export!$B514+F$35*LiMn2O4!$C112+F$36*$B59</f>
        <v>19.134900312792936</v>
      </c>
      <c r="G59" s="235">
        <f t="shared" si="2"/>
        <v>0</v>
      </c>
      <c r="H59" s="234">
        <f>H$28*(H$20*(GREET1_Import_Export!$K73)+GREET1_Import_Export!$F$200*GREET1_Import_Export!$B202+GREET1_Import_Export!$F202)+H$29*(H$20*(GREET1_Import_Export!$O73)+GREET1_Import_Export!$G$200*GREET1_Import_Export!$B202+GREET1_Import_Export!$G202)+H$30*(H$20*(GREET1_Import_Export!$B73)+GREET1_Import_Export!$B238)+H$31*(H$20*(GREET1_Import_Export!$AA73)+GREET1_Import_Export!$C291)+H$32*(GREET1_Import_Export!$D316+GREET1_Import_Export!$E316)+H$33*Silicon!$J94+H$34*GREET1_Import_Export!$B514+H$35*LiMn2O4!$C112+H$36*$B59</f>
        <v>9.5690084492070415</v>
      </c>
      <c r="I59" s="235">
        <f t="shared" si="3"/>
        <v>0</v>
      </c>
      <c r="J59" s="234">
        <f>J$28*(J$20*(GREET1_Import_Export!$K73)+GREET1_Import_Export!$F$200*GREET1_Import_Export!$B202+GREET1_Import_Export!$F202)+J$29*(J$20*(GREET1_Import_Export!$O73)+GREET1_Import_Export!$G$200*GREET1_Import_Export!$B202+GREET1_Import_Export!$G202)+J$30*(J$20*(GREET1_Import_Export!$B73)+GREET1_Import_Export!$B238)+J$31*(J$20*(GREET1_Import_Export!$AA73)+GREET1_Import_Export!$C291)+J$32*(GREET1_Import_Export!$D316+GREET1_Import_Export!$E316)+J$33*Silicon!$J94+J$34*GREET1_Import_Export!$B514+J$35*LiMn2O4!$C112+J$36*$B59</f>
        <v>1.2127198528330065</v>
      </c>
      <c r="K59" s="235">
        <f t="shared" si="4"/>
        <v>0</v>
      </c>
      <c r="L59" s="234">
        <f>L$28*(L$20*(GREET1_Import_Export!$K73)+GREET1_Import_Export!$F$200*GREET1_Import_Export!$B202+GREET1_Import_Export!$F202)+L$29*(L$20*(GREET1_Import_Export!$O73)+GREET1_Import_Export!$G$200*GREET1_Import_Export!$B202+GREET1_Import_Export!$G202)+L$30*(L$20*(GREET1_Import_Export!$B73)+GREET1_Import_Export!$B238)+L$31*(L$20*(GREET1_Import_Export!$AA73)+GREET1_Import_Export!$C291)+L$32*(GREET1_Import_Export!$D316+GREET1_Import_Export!$E316)+L$33*Silicon!$J94+L$34*GREET1_Import_Export!$B514+L$35*LiMn2O4!$C112+L$36*$B59</f>
        <v>12.732179591680012</v>
      </c>
      <c r="M59" s="235">
        <f t="shared" si="5"/>
        <v>0</v>
      </c>
      <c r="N59" s="234">
        <f>N$28*(N$20*(GREET1_Import_Export!$K73)+GREET1_Import_Export!$F$200*GREET1_Import_Export!$B202+GREET1_Import_Export!$F202)+N$29*(N$20*(GREET1_Import_Export!$O73)+GREET1_Import_Export!$G$200*GREET1_Import_Export!$B202+GREET1_Import_Export!$G202)+N$30*(N$20*(GREET1_Import_Export!$B73)+GREET1_Import_Export!$B238)+N$31*(N$20*(GREET1_Import_Export!$AA73)+GREET1_Import_Export!$C291)+N$32*(GREET1_Import_Export!$D316+GREET1_Import_Export!$E316)+N$33*Silicon!$J94+N$34*GREET1_Import_Export!$B514+N$35*LiMn2O4!$C112+N$36*$B59</f>
        <v>5.2015816921529225</v>
      </c>
      <c r="O59" s="235">
        <f t="shared" si="6"/>
        <v>0</v>
      </c>
      <c r="P59" s="234">
        <f>P$28*(P$20*(GREET1_Import_Export!$K73)+GREET1_Import_Export!$F$200*GREET1_Import_Export!$B202+GREET1_Import_Export!$F202)+P$29*(P$20*(GREET1_Import_Export!$O73)+GREET1_Import_Export!$G$200*GREET1_Import_Export!$B202+GREET1_Import_Export!$G202)+P$30*(P$20*(GREET1_Import_Export!$B73)+GREET1_Import_Export!$B238)+P$31*(P$20*(GREET1_Import_Export!$AA73)+GREET1_Import_Export!$C291)+P$32*(GREET1_Import_Export!$D316+GREET1_Import_Export!$E316)</f>
        <v>28.368628633283606</v>
      </c>
      <c r="Q59" s="235">
        <f t="shared" si="7"/>
        <v>0</v>
      </c>
      <c r="R59" s="234">
        <f>R$28*(R$20*(GREET1_Import_Export!$K73)+GREET1_Import_Export!$F$200*GREET1_Import_Export!$B202+GREET1_Import_Export!$F202)+R$29*(R$20*(GREET1_Import_Export!$O73)+GREET1_Import_Export!$G$200*GREET1_Import_Export!$B202+GREET1_Import_Export!$G202)+R$30*(R$20*(GREET1_Import_Export!$B73)+GREET1_Import_Export!$B238)+R$31*(R$20*(GREET1_Import_Export!$AA73)+GREET1_Import_Export!$C291)+R$32*(GREET1_Import_Export!$D316+GREET1_Import_Export!$E316)+R$33*Silicon!$J94+R$34*GREET1_Import_Export!$B514+R$37*GREET1_Import_Export!$K545+R$38*$P59</f>
        <v>23.225777691802914</v>
      </c>
      <c r="S59" s="235">
        <f t="shared" si="8"/>
        <v>0</v>
      </c>
      <c r="T59" s="234">
        <f>T$28*(T$20*(GREET1_Import_Export!$K73)+GREET1_Import_Export!$F$200*GREET1_Import_Export!$B202+GREET1_Import_Export!$F202)+T$29*(T$20*(GREET1_Import_Export!$O73)+GREET1_Import_Export!$G$200*GREET1_Import_Export!$B202+GREET1_Import_Export!$G202)+T$30*(T$20*(GREET1_Import_Export!$B73)+GREET1_Import_Export!$B238)+T$31*(T$20*(GREET1_Import_Export!$AA73)+GREET1_Import_Export!$C291)+T$32*(GREET1_Import_Export!$D316+GREET1_Import_Export!$E316)+T$33*Silicon!$J94+T$34*GREET1_Import_Export!$B514+T$37*GREET1_Import_Export!$K545+T$38*$P59</f>
        <v>18.679169639994889</v>
      </c>
      <c r="U59" s="235">
        <f t="shared" si="9"/>
        <v>0</v>
      </c>
      <c r="V59" s="234">
        <f>V$28*(V$20*(GREET1_Import_Export!$K73)+GREET1_Import_Export!$F$200*GREET1_Import_Export!$B202+GREET1_Import_Export!$F202)+V$29*(V$20*(GREET1_Import_Export!$O73)+GREET1_Import_Export!$G$200*GREET1_Import_Export!$B202+GREET1_Import_Export!$G202)+V$30*(V$20*(GREET1_Import_Export!$B73)+GREET1_Import_Export!$B238)+V$31*(V$20*(GREET1_Import_Export!$AA73)+GREET1_Import_Export!$C291)+V$32*(GREET1_Import_Export!$D316+GREET1_Import_Export!$E316)+V$33*Silicon!$J94+V$34*GREET1_Import_Export!$B514+V$37*GREET1_Import_Export!$K545+V$38*$P59</f>
        <v>12.758677932276056</v>
      </c>
      <c r="W59" s="235">
        <f t="shared" si="10"/>
        <v>0</v>
      </c>
      <c r="X59" s="234">
        <f>X$28*(X$20*(GREET1_Import_Export!$K73)+GREET1_Import_Export!$F$200*GREET1_Import_Export!$B202+GREET1_Import_Export!$F202)+X$29*(X$20*(GREET1_Import_Export!$O73)+GREET1_Import_Export!$G$200*GREET1_Import_Export!$B202+GREET1_Import_Export!$G202)+X$30*(X$20*(GREET1_Import_Export!$B73)+GREET1_Import_Export!$B238)+X$31*(X$20*(GREET1_Import_Export!$AA73)+GREET1_Import_Export!$C291)+X$32*(GREET1_Import_Export!$D316+GREET1_Import_Export!$E316)+X$33*Silicon!$J94+X$34*GREET1_Import_Export!$B514+X$37*GREET1_Import_Export!$K545+X$38*$P59</f>
        <v>9.4257963721820364</v>
      </c>
      <c r="Y59" s="235">
        <f t="shared" si="11"/>
        <v>0</v>
      </c>
    </row>
    <row r="60" spans="1:25" s="496" customFormat="1">
      <c r="A60" s="347" t="s">
        <v>823</v>
      </c>
      <c r="B60" s="578">
        <f>B$28*(B$20*(B$8*GREET1_Import_Export!$K74)+GREET1_Import_Export!$F$200*GREET1_Import_Export!$B203+GREET1_Import_Export!$F203)+B$29*(B$20*(B$12*GREET1_Import_Export!$O74+B$13*GREET1_Import_Export!$J148)+GREET1_Import_Export!$G$200*GREET1_Import_Export!$B203+GREET1_Import_Export!$G203)+B$30*(B$20*(B$9*GREET1_Import_Export!$B74+B$10*GREET1_Import_Export!$J120)+GREET1_Import_Export!$B239)+B$31*(B$20*(B$11*GREET1_Import_Export!$AA74)+GREET1_Import_Export!$C292)+B$32*(GREET1_Import_Export!$D317+GREET1_Import_Export!$E317)</f>
        <v>0.59218115896013579</v>
      </c>
      <c r="C60" s="235">
        <f t="shared" si="0"/>
        <v>0</v>
      </c>
      <c r="D60" s="234">
        <f>D$28*(D$20*(GREET1_Import_Export!$K74)+GREET1_Import_Export!$F$200*GREET1_Import_Export!$B203+GREET1_Import_Export!$F203)+D$29*(D$20*(GREET1_Import_Export!$O74)+GREET1_Import_Export!$G$200*GREET1_Import_Export!$B203+GREET1_Import_Export!$G203)+D$30*(D$20*(GREET1_Import_Export!$B74)+GREET1_Import_Export!$B239)+D$31*(D$20*(GREET1_Import_Export!$AA74)+GREET1_Import_Export!$C292)+D$32*(GREET1_Import_Export!$D317+GREET1_Import_Export!$E317)+D$33*Silicon!$J95+D$34*GREET1_Import_Export!$B515+D$35*LiMn2O4!$C113+D$36*$B60</f>
        <v>8.1981442345506785</v>
      </c>
      <c r="E60" s="235">
        <f t="shared" si="1"/>
        <v>0</v>
      </c>
      <c r="F60" s="234">
        <f>F$28*(F$20*(GREET1_Import_Export!$K74)+GREET1_Import_Export!$F$200*GREET1_Import_Export!$B203+GREET1_Import_Export!$F203)+F$29*(F$20*(GREET1_Import_Export!$O74)+GREET1_Import_Export!$G$200*GREET1_Import_Export!$B203+GREET1_Import_Export!$G203)+F$30*(F$20*(GREET1_Import_Export!$B74)+GREET1_Import_Export!$B239)+F$31*(F$20*(GREET1_Import_Export!$AA74)+GREET1_Import_Export!$C292)+F$32*(GREET1_Import_Export!$D317+GREET1_Import_Export!$E317)+F$33*Silicon!$J95+F$34*GREET1_Import_Export!$B515+F$35*LiMn2O4!$C113+F$36*$B60</f>
        <v>24.174907135227919</v>
      </c>
      <c r="G60" s="235">
        <f t="shared" si="2"/>
        <v>0</v>
      </c>
      <c r="H60" s="234">
        <f>H$28*(H$20*(GREET1_Import_Export!$K74)+GREET1_Import_Export!$F$200*GREET1_Import_Export!$B203+GREET1_Import_Export!$F203)+H$29*(H$20*(GREET1_Import_Export!$O74)+GREET1_Import_Export!$G$200*GREET1_Import_Export!$B203+GREET1_Import_Export!$G203)+H$30*(H$20*(GREET1_Import_Export!$B74)+GREET1_Import_Export!$B239)+H$31*(H$20*(GREET1_Import_Export!$AA74)+GREET1_Import_Export!$C292)+H$32*(GREET1_Import_Export!$D317+GREET1_Import_Export!$E317)+H$33*Silicon!$J95+H$34*GREET1_Import_Export!$B515+H$35*LiMn2O4!$C113+H$36*$B60</f>
        <v>28.580425937989467</v>
      </c>
      <c r="I60" s="235">
        <f t="shared" si="3"/>
        <v>0</v>
      </c>
      <c r="J60" s="234">
        <f>J$28*(J$20*(GREET1_Import_Export!$K74)+GREET1_Import_Export!$F$200*GREET1_Import_Export!$B203+GREET1_Import_Export!$F203)+J$29*(J$20*(GREET1_Import_Export!$O74)+GREET1_Import_Export!$G$200*GREET1_Import_Export!$B203+GREET1_Import_Export!$G203)+J$30*(J$20*(GREET1_Import_Export!$B74)+GREET1_Import_Export!$B239)+J$31*(J$20*(GREET1_Import_Export!$AA74)+GREET1_Import_Export!$C292)+J$32*(GREET1_Import_Export!$D317+GREET1_Import_Export!$E317)+J$33*Silicon!$J95+J$34*GREET1_Import_Export!$B515+J$35*LiMn2O4!$C113+J$36*$B60</f>
        <v>1.5505404080950469</v>
      </c>
      <c r="K60" s="235">
        <f t="shared" si="4"/>
        <v>0</v>
      </c>
      <c r="L60" s="234">
        <f>L$28*(L$20*(GREET1_Import_Export!$K74)+GREET1_Import_Export!$F$200*GREET1_Import_Export!$B203+GREET1_Import_Export!$F203)+L$29*(L$20*(GREET1_Import_Export!$O74)+GREET1_Import_Export!$G$200*GREET1_Import_Export!$B203+GREET1_Import_Export!$G203)+L$30*(L$20*(GREET1_Import_Export!$B74)+GREET1_Import_Export!$B239)+L$31*(L$20*(GREET1_Import_Export!$AA74)+GREET1_Import_Export!$C292)+L$32*(GREET1_Import_Export!$D317+GREET1_Import_Export!$E317)+L$33*Silicon!$J95+L$34*GREET1_Import_Export!$B515+L$35*LiMn2O4!$C113+L$36*$B60</f>
        <v>17.263680741159249</v>
      </c>
      <c r="M60" s="235">
        <f t="shared" si="5"/>
        <v>0</v>
      </c>
      <c r="N60" s="234">
        <f>N$28*(N$20*(GREET1_Import_Export!$K74)+GREET1_Import_Export!$F$200*GREET1_Import_Export!$B203+GREET1_Import_Export!$F203)+N$29*(N$20*(GREET1_Import_Export!$O74)+GREET1_Import_Export!$G$200*GREET1_Import_Export!$B203+GREET1_Import_Export!$G203)+N$30*(N$20*(GREET1_Import_Export!$B74)+GREET1_Import_Export!$B239)+N$31*(N$20*(GREET1_Import_Export!$AA74)+GREET1_Import_Export!$C292)+N$32*(GREET1_Import_Export!$D317+GREET1_Import_Export!$E317)+N$33*Silicon!$J95+N$34*GREET1_Import_Export!$B515+N$35*LiMn2O4!$C113+N$36*$B60</f>
        <v>7.7675223027857054</v>
      </c>
      <c r="O60" s="235">
        <f t="shared" si="6"/>
        <v>0</v>
      </c>
      <c r="P60" s="234">
        <f>P$28*(P$20*(GREET1_Import_Export!$K74)+GREET1_Import_Export!$F$200*GREET1_Import_Export!$B203+GREET1_Import_Export!$F203)+P$29*(P$20*(GREET1_Import_Export!$O74)+GREET1_Import_Export!$G$200*GREET1_Import_Export!$B203+GREET1_Import_Export!$G203)+P$30*(P$20*(GREET1_Import_Export!$B74)+GREET1_Import_Export!$B239)+P$31*(P$20*(GREET1_Import_Export!$AA74)+GREET1_Import_Export!$C292)+P$32*(GREET1_Import_Export!$D317+GREET1_Import_Export!$E317)</f>
        <v>39.79455604442353</v>
      </c>
      <c r="Q60" s="235">
        <f t="shared" si="7"/>
        <v>0</v>
      </c>
      <c r="R60" s="234">
        <f>R$28*(R$20*(GREET1_Import_Export!$K74)+GREET1_Import_Export!$F$200*GREET1_Import_Export!$B203+GREET1_Import_Export!$F203)+R$29*(R$20*(GREET1_Import_Export!$O74)+GREET1_Import_Export!$G$200*GREET1_Import_Export!$B203+GREET1_Import_Export!$G203)+R$30*(R$20*(GREET1_Import_Export!$B74)+GREET1_Import_Export!$B239)+R$31*(R$20*(GREET1_Import_Export!$AA74)+GREET1_Import_Export!$C292)+R$32*(GREET1_Import_Export!$D317+GREET1_Import_Export!$E317)+R$33*Silicon!$J95+R$34*GREET1_Import_Export!$B515+R$37*GREET1_Import_Export!$K546+R$38*$P60</f>
        <v>61.558912356163937</v>
      </c>
      <c r="S60" s="235">
        <f t="shared" si="8"/>
        <v>0</v>
      </c>
      <c r="T60" s="234">
        <f>T$28*(T$20*(GREET1_Import_Export!$K74)+GREET1_Import_Export!$F$200*GREET1_Import_Export!$B203+GREET1_Import_Export!$F203)+T$29*(T$20*(GREET1_Import_Export!$O74)+GREET1_Import_Export!$G$200*GREET1_Import_Export!$B203+GREET1_Import_Export!$G203)+T$30*(T$20*(GREET1_Import_Export!$B74)+GREET1_Import_Export!$B239)+T$31*(T$20*(GREET1_Import_Export!$AA74)+GREET1_Import_Export!$C292)+T$32*(GREET1_Import_Export!$D317+GREET1_Import_Export!$E317)+T$33*Silicon!$J95+T$34*GREET1_Import_Export!$B515+T$37*GREET1_Import_Export!$K546+T$38*$P60</f>
        <v>22.140751925784521</v>
      </c>
      <c r="U60" s="235">
        <f t="shared" si="9"/>
        <v>0</v>
      </c>
      <c r="V60" s="234">
        <f>V$28*(V$20*(GREET1_Import_Export!$K74)+GREET1_Import_Export!$F$200*GREET1_Import_Export!$B203+GREET1_Import_Export!$F203)+V$29*(V$20*(GREET1_Import_Export!$O74)+GREET1_Import_Export!$G$200*GREET1_Import_Export!$B203+GREET1_Import_Export!$G203)+V$30*(V$20*(GREET1_Import_Export!$B74)+GREET1_Import_Export!$B239)+V$31*(V$20*(GREET1_Import_Export!$AA74)+GREET1_Import_Export!$C292)+V$32*(GREET1_Import_Export!$D317+GREET1_Import_Export!$E317)+V$33*Silicon!$J95+V$34*GREET1_Import_Export!$B515+V$37*GREET1_Import_Export!$K546+V$38*$P60</f>
        <v>38.107234583985957</v>
      </c>
      <c r="W60" s="235">
        <f t="shared" si="10"/>
        <v>0</v>
      </c>
      <c r="X60" s="234">
        <f>X$28*(X$20*(GREET1_Import_Export!$K74)+GREET1_Import_Export!$F$200*GREET1_Import_Export!$B203+GREET1_Import_Export!$F203)+X$29*(X$20*(GREET1_Import_Export!$O74)+GREET1_Import_Export!$G$200*GREET1_Import_Export!$B203+GREET1_Import_Export!$G203)+X$30*(X$20*(GREET1_Import_Export!$B74)+GREET1_Import_Export!$B239)+X$31*(X$20*(GREET1_Import_Export!$AA74)+GREET1_Import_Export!$C292)+X$32*(GREET1_Import_Export!$D317+GREET1_Import_Export!$E317)+X$33*Silicon!$J95+X$34*GREET1_Import_Export!$B515+X$37*GREET1_Import_Export!$K546+X$38*$P60</f>
        <v>11.172564048703574</v>
      </c>
      <c r="Y60" s="235">
        <f t="shared" si="11"/>
        <v>0</v>
      </c>
    </row>
    <row r="61" spans="1:25" s="496" customFormat="1">
      <c r="A61" s="347" t="s">
        <v>824</v>
      </c>
      <c r="B61" s="578">
        <f>B$28*(B$20*(B$8*GREET1_Import_Export!$K75)+GREET1_Import_Export!$F$200*GREET1_Import_Export!$B204+GREET1_Import_Export!$F204)+B$29*(B$20*(B$12*GREET1_Import_Export!$O75+B$13*GREET1_Import_Export!$J149)+GREET1_Import_Export!$G$200*GREET1_Import_Export!$B204+GREET1_Import_Export!$G204)+B$30*(B$20*(B$9*GREET1_Import_Export!$B75+B$10*GREET1_Import_Export!$J121)+GREET1_Import_Export!$B240)+B$31*(B$20*(B$11*GREET1_Import_Export!$AA75)+GREET1_Import_Export!$C293)+B$32*(GREET1_Import_Export!$D318+GREET1_Import_Export!$E318)</f>
        <v>9.7389547046221131E-2</v>
      </c>
      <c r="C61" s="235">
        <f t="shared" si="0"/>
        <v>0</v>
      </c>
      <c r="D61" s="234">
        <f>D$28*(D$20*(GREET1_Import_Export!$K75)+GREET1_Import_Export!$F$200*GREET1_Import_Export!$B204+GREET1_Import_Export!$F204)+D$29*(D$20*(GREET1_Import_Export!$O75)+GREET1_Import_Export!$G$200*GREET1_Import_Export!$B204+GREET1_Import_Export!$G204)+D$30*(D$20*(GREET1_Import_Export!$B75)+GREET1_Import_Export!$B240)+D$31*(D$20*(GREET1_Import_Export!$AA75)+GREET1_Import_Export!$C293)+D$32*(GREET1_Import_Export!$D318+GREET1_Import_Export!$E318)+D$33*Silicon!$J96+D$34*GREET1_Import_Export!$B516+D$35*LiMn2O4!$C114+D$36*$B61</f>
        <v>1.0865033546632459</v>
      </c>
      <c r="E61" s="235">
        <f t="shared" si="1"/>
        <v>0</v>
      </c>
      <c r="F61" s="234">
        <f>F$28*(F$20*(GREET1_Import_Export!$K75)+GREET1_Import_Export!$F$200*GREET1_Import_Export!$B204+GREET1_Import_Export!$F204)+F$29*(F$20*(GREET1_Import_Export!$O75)+GREET1_Import_Export!$G$200*GREET1_Import_Export!$B204+GREET1_Import_Export!$G204)+F$30*(F$20*(GREET1_Import_Export!$B75)+GREET1_Import_Export!$B240)+F$31*(F$20*(GREET1_Import_Export!$AA75)+GREET1_Import_Export!$C293)+F$32*(GREET1_Import_Export!$D318+GREET1_Import_Export!$E318)+F$33*Silicon!$J96+F$34*GREET1_Import_Export!$B516+F$35*LiMn2O4!$C114+F$36*$B61</f>
        <v>0.42378437634971505</v>
      </c>
      <c r="G61" s="235">
        <f t="shared" si="2"/>
        <v>0</v>
      </c>
      <c r="H61" s="234">
        <f>H$28*(H$20*(GREET1_Import_Export!$K75)+GREET1_Import_Export!$F$200*GREET1_Import_Export!$B204+GREET1_Import_Export!$F204)+H$29*(H$20*(GREET1_Import_Export!$O75)+GREET1_Import_Export!$G$200*GREET1_Import_Export!$B204+GREET1_Import_Export!$G204)+H$30*(H$20*(GREET1_Import_Export!$B75)+GREET1_Import_Export!$B240)+H$31*(H$20*(GREET1_Import_Export!$AA75)+GREET1_Import_Export!$C293)+H$32*(GREET1_Import_Export!$D318+GREET1_Import_Export!$E318)+H$33*Silicon!$J96+H$34*GREET1_Import_Export!$B516+H$35*LiMn2O4!$C114+H$36*$B61</f>
        <v>3.8158091538119892</v>
      </c>
      <c r="I61" s="235">
        <f t="shared" si="3"/>
        <v>0</v>
      </c>
      <c r="J61" s="234">
        <f>J$28*(J$20*(GREET1_Import_Export!$K75)+GREET1_Import_Export!$F$200*GREET1_Import_Export!$B204+GREET1_Import_Export!$F204)+J$29*(J$20*(GREET1_Import_Export!$O75)+GREET1_Import_Export!$G$200*GREET1_Import_Export!$B204+GREET1_Import_Export!$G204)+J$30*(J$20*(GREET1_Import_Export!$B75)+GREET1_Import_Export!$B240)+J$31*(J$20*(GREET1_Import_Export!$AA75)+GREET1_Import_Export!$C293)+J$32*(GREET1_Import_Export!$D318+GREET1_Import_Export!$E318)+J$33*Silicon!$J96+J$34*GREET1_Import_Export!$B516+J$35*LiMn2O4!$C114+J$36*$B61</f>
        <v>3.0879001532159996E-2</v>
      </c>
      <c r="K61" s="235">
        <f t="shared" si="4"/>
        <v>0</v>
      </c>
      <c r="L61" s="234">
        <f>L$28*(L$20*(GREET1_Import_Export!$K75)+GREET1_Import_Export!$F$200*GREET1_Import_Export!$B204+GREET1_Import_Export!$F204)+L$29*(L$20*(GREET1_Import_Export!$O75)+GREET1_Import_Export!$G$200*GREET1_Import_Export!$B204+GREET1_Import_Export!$G204)+L$30*(L$20*(GREET1_Import_Export!$B75)+GREET1_Import_Export!$B240)+L$31*(L$20*(GREET1_Import_Export!$AA75)+GREET1_Import_Export!$C293)+L$32*(GREET1_Import_Export!$D318+GREET1_Import_Export!$E318)+L$33*Silicon!$J96+L$34*GREET1_Import_Export!$B516+L$35*LiMn2O4!$C114+L$36*$B61</f>
        <v>0.53940224466611675</v>
      </c>
      <c r="M61" s="235">
        <f t="shared" si="5"/>
        <v>0</v>
      </c>
      <c r="N61" s="234">
        <f>N$28*(N$20*(GREET1_Import_Export!$K75)+GREET1_Import_Export!$F$200*GREET1_Import_Export!$B204+GREET1_Import_Export!$F204)+N$29*(N$20*(GREET1_Import_Export!$O75)+GREET1_Import_Export!$G$200*GREET1_Import_Export!$B204+GREET1_Import_Export!$G204)+N$30*(N$20*(GREET1_Import_Export!$B75)+GREET1_Import_Export!$B240)+N$31*(N$20*(GREET1_Import_Export!$AA75)+GREET1_Import_Export!$C293)+N$32*(GREET1_Import_Export!$D318+GREET1_Import_Export!$E318)+N$33*Silicon!$J96+N$34*GREET1_Import_Export!$B516+N$35*LiMn2O4!$C114+N$36*$B61</f>
        <v>0.37654321458941903</v>
      </c>
      <c r="O61" s="235">
        <f t="shared" si="6"/>
        <v>0</v>
      </c>
      <c r="P61" s="234">
        <f>P$28*(P$20*(GREET1_Import_Export!$K75)+GREET1_Import_Export!$F$200*GREET1_Import_Export!$B204+GREET1_Import_Export!$F204)+P$29*(P$20*(GREET1_Import_Export!$O75)+GREET1_Import_Export!$G$200*GREET1_Import_Export!$B204+GREET1_Import_Export!$G204)+P$30*(P$20*(GREET1_Import_Export!$B75)+GREET1_Import_Export!$B240)+P$31*(P$20*(GREET1_Import_Export!$AA75)+GREET1_Import_Export!$C293)+P$32*(GREET1_Import_Export!$D318+GREET1_Import_Export!$E318)</f>
        <v>2.0380109620897553</v>
      </c>
      <c r="Q61" s="235">
        <f t="shared" si="7"/>
        <v>0</v>
      </c>
      <c r="R61" s="234">
        <f>R$28*(R$20*(GREET1_Import_Export!$K75)+GREET1_Import_Export!$F$200*GREET1_Import_Export!$B204+GREET1_Import_Export!$F204)+R$29*(R$20*(GREET1_Import_Export!$O75)+GREET1_Import_Export!$G$200*GREET1_Import_Export!$B204+GREET1_Import_Export!$G204)+R$30*(R$20*(GREET1_Import_Export!$B75)+GREET1_Import_Export!$B240)+R$31*(R$20*(GREET1_Import_Export!$AA75)+GREET1_Import_Export!$C293)+R$32*(GREET1_Import_Export!$D318+GREET1_Import_Export!$E318)+R$33*Silicon!$J96+R$34*GREET1_Import_Export!$B516+R$37*GREET1_Import_Export!$K547+R$38*$P61</f>
        <v>7.4097524346632033</v>
      </c>
      <c r="S61" s="235">
        <f t="shared" si="8"/>
        <v>0</v>
      </c>
      <c r="T61" s="234">
        <f>T$28*(T$20*(GREET1_Import_Export!$K75)+GREET1_Import_Export!$F$200*GREET1_Import_Export!$B204+GREET1_Import_Export!$F204)+T$29*(T$20*(GREET1_Import_Export!$O75)+GREET1_Import_Export!$G$200*GREET1_Import_Export!$B204+GREET1_Import_Export!$G204)+T$30*(T$20*(GREET1_Import_Export!$B75)+GREET1_Import_Export!$B240)+T$31*(T$20*(GREET1_Import_Export!$AA75)+GREET1_Import_Export!$C293)+T$32*(GREET1_Import_Export!$D318+GREET1_Import_Export!$E318)+T$33*Silicon!$J96+T$34*GREET1_Import_Export!$B516+T$37*GREET1_Import_Export!$K547+T$38*$P61</f>
        <v>9.4980526890485376E-2</v>
      </c>
      <c r="U61" s="235">
        <f t="shared" si="9"/>
        <v>0</v>
      </c>
      <c r="V61" s="234">
        <f>V$28*(V$20*(GREET1_Import_Export!$K75)+GREET1_Import_Export!$F$200*GREET1_Import_Export!$B204+GREET1_Import_Export!$F204)+V$29*(V$20*(GREET1_Import_Export!$O75)+GREET1_Import_Export!$G$200*GREET1_Import_Export!$B204+GREET1_Import_Export!$G204)+V$30*(V$20*(GREET1_Import_Export!$B75)+GREET1_Import_Export!$B240)+V$31*(V$20*(GREET1_Import_Export!$AA75)+GREET1_Import_Export!$C293)+V$32*(GREET1_Import_Export!$D318+GREET1_Import_Export!$E318)+V$33*Silicon!$J96+V$34*GREET1_Import_Export!$B516+V$37*GREET1_Import_Export!$K547+V$38*$P61</f>
        <v>5.0877455384159855</v>
      </c>
      <c r="W61" s="235">
        <f t="shared" si="10"/>
        <v>0</v>
      </c>
      <c r="X61" s="234">
        <f>X$28*(X$20*(GREET1_Import_Export!$K75)+GREET1_Import_Export!$F$200*GREET1_Import_Export!$B204+GREET1_Import_Export!$F204)+X$29*(X$20*(GREET1_Import_Export!$O75)+GREET1_Import_Export!$G$200*GREET1_Import_Export!$B204+GREET1_Import_Export!$G204)+X$30*(X$20*(GREET1_Import_Export!$B75)+GREET1_Import_Export!$B240)+X$31*(X$20*(GREET1_Import_Export!$AA75)+GREET1_Import_Export!$C293)+X$32*(GREET1_Import_Export!$D318+GREET1_Import_Export!$E318)+X$33*Silicon!$J96+X$34*GREET1_Import_Export!$B516+X$37*GREET1_Import_Export!$K547+X$38*$P61</f>
        <v>4.7928635107814158E-2</v>
      </c>
      <c r="Y61" s="235">
        <f t="shared" si="11"/>
        <v>0</v>
      </c>
    </row>
    <row r="62" spans="1:25" s="349" customFormat="1">
      <c r="A62" s="347" t="s">
        <v>825</v>
      </c>
      <c r="B62" s="578">
        <f>B$28*(B$20*(B$8*GREET1_Import_Export!$K76)+GREET1_Import_Export!$F$200*GREET1_Import_Export!$B205+GREET1_Import_Export!$F205)+B$29*(B$20*(B$12*GREET1_Import_Export!$O76+B$13*GREET1_Import_Export!$J150)+GREET1_Import_Export!$G$200*GREET1_Import_Export!$B205+GREET1_Import_Export!$G205)+B$30*(B$20*(B$9*GREET1_Import_Export!$B76+B$10*GREET1_Import_Export!$J122)+GREET1_Import_Export!$B241)+B$31*(B$20*(B$11*GREET1_Import_Export!$AA76)+GREET1_Import_Export!$C294)+B$32*(GREET1_Import_Export!$D319+GREET1_Import_Export!$E319)</f>
        <v>8.4436878993417452E-2</v>
      </c>
      <c r="C62" s="235">
        <f t="shared" si="0"/>
        <v>0</v>
      </c>
      <c r="D62" s="234">
        <f>D$28*(D$20*(GREET1_Import_Export!$K76)+GREET1_Import_Export!$F$200*GREET1_Import_Export!$B205+GREET1_Import_Export!$F205)+D$29*(D$20*(GREET1_Import_Export!$O76)+GREET1_Import_Export!$G$200*GREET1_Import_Export!$B205+GREET1_Import_Export!$G205)+D$30*(D$20*(GREET1_Import_Export!$B76)+GREET1_Import_Export!$B241)+D$31*(D$20*(GREET1_Import_Export!$AA76)+GREET1_Import_Export!$C294)+D$32*(GREET1_Import_Export!$D319+GREET1_Import_Export!$E319)+D$33*Silicon!$J97+D$34*GREET1_Import_Export!$B517+D$35*LiMn2O4!$C115+D$36*$B62</f>
        <v>0.95493560541442379</v>
      </c>
      <c r="E62" s="235">
        <f t="shared" si="1"/>
        <v>0</v>
      </c>
      <c r="F62" s="234">
        <f>F$28*(F$20*(GREET1_Import_Export!$K76)+GREET1_Import_Export!$F$200*GREET1_Import_Export!$B205+GREET1_Import_Export!$F205)+F$29*(F$20*(GREET1_Import_Export!$O76)+GREET1_Import_Export!$G$200*GREET1_Import_Export!$B205+GREET1_Import_Export!$G205)+F$30*(F$20*(GREET1_Import_Export!$B76)+GREET1_Import_Export!$B241)+F$31*(F$20*(GREET1_Import_Export!$AA76)+GREET1_Import_Export!$C294)+F$32*(GREET1_Import_Export!$D319+GREET1_Import_Export!$E319)+F$33*Silicon!$J97+F$34*GREET1_Import_Export!$B517+F$35*LiMn2O4!$C115+F$36*$B62</f>
        <v>0.37677273814656204</v>
      </c>
      <c r="G62" s="235">
        <f t="shared" si="2"/>
        <v>0</v>
      </c>
      <c r="H62" s="234">
        <f>H$28*(H$20*(GREET1_Import_Export!$K76)+GREET1_Import_Export!$F$200*GREET1_Import_Export!$B205+GREET1_Import_Export!$F205)+H$29*(H$20*(GREET1_Import_Export!$O76)+GREET1_Import_Export!$G$200*GREET1_Import_Export!$B205+GREET1_Import_Export!$G205)+H$30*(H$20*(GREET1_Import_Export!$B76)+GREET1_Import_Export!$B241)+H$31*(H$20*(GREET1_Import_Export!$AA76)+GREET1_Import_Export!$C294)+H$32*(GREET1_Import_Export!$D319+GREET1_Import_Export!$E319)+H$33*Silicon!$J97+H$34*GREET1_Import_Export!$B517+H$35*LiMn2O4!$C115+H$36*$B62</f>
        <v>3.3553556323567673</v>
      </c>
      <c r="I62" s="235">
        <f t="shared" si="3"/>
        <v>0</v>
      </c>
      <c r="J62" s="234">
        <f>J$28*(J$20*(GREET1_Import_Export!$K76)+GREET1_Import_Export!$F$200*GREET1_Import_Export!$B205+GREET1_Import_Export!$F205)+J$29*(J$20*(GREET1_Import_Export!$O76)+GREET1_Import_Export!$G$200*GREET1_Import_Export!$B205+GREET1_Import_Export!$G205)+J$30*(J$20*(GREET1_Import_Export!$B76)+GREET1_Import_Export!$B241)+J$31*(J$20*(GREET1_Import_Export!$AA76)+GREET1_Import_Export!$C294)+J$32*(GREET1_Import_Export!$D319+GREET1_Import_Export!$E319)+J$33*Silicon!$J97+J$34*GREET1_Import_Export!$B517+J$35*LiMn2O4!$C115+J$36*$B62</f>
        <v>2.7412052264365838E-2</v>
      </c>
      <c r="K62" s="235">
        <f t="shared" si="4"/>
        <v>0</v>
      </c>
      <c r="L62" s="234">
        <f>L$28*(L$20*(GREET1_Import_Export!$K76)+GREET1_Import_Export!$F$200*GREET1_Import_Export!$B205+GREET1_Import_Export!$F205)+L$29*(L$20*(GREET1_Import_Export!$O76)+GREET1_Import_Export!$G$200*GREET1_Import_Export!$B205+GREET1_Import_Export!$G205)+L$30*(L$20*(GREET1_Import_Export!$B76)+GREET1_Import_Export!$B241)+L$31*(L$20*(GREET1_Import_Export!$AA76)+GREET1_Import_Export!$C294)+L$32*(GREET1_Import_Export!$D319+GREET1_Import_Export!$E319)+L$33*Silicon!$J97+L$34*GREET1_Import_Export!$B517+L$35*LiMn2O4!$C115+L$36*$B62</f>
        <v>0.47691087369359353</v>
      </c>
      <c r="M62" s="235">
        <f t="shared" si="5"/>
        <v>0</v>
      </c>
      <c r="N62" s="234">
        <f>N$28*(N$20*(GREET1_Import_Export!$K76)+GREET1_Import_Export!$F$200*GREET1_Import_Export!$B205+GREET1_Import_Export!$F205)+N$29*(N$20*(GREET1_Import_Export!$O76)+GREET1_Import_Export!$G$200*GREET1_Import_Export!$B205+GREET1_Import_Export!$G205)+N$30*(N$20*(GREET1_Import_Export!$B76)+GREET1_Import_Export!$B241)+N$31*(N$20*(GREET1_Import_Export!$AA76)+GREET1_Import_Export!$C294)+N$32*(GREET1_Import_Export!$D319+GREET1_Import_Export!$E319)+N$33*Silicon!$J97+N$34*GREET1_Import_Export!$B517+N$35*LiMn2O4!$C115+N$36*$B62</f>
        <v>0.3320778308690841</v>
      </c>
      <c r="O62" s="235">
        <f t="shared" si="6"/>
        <v>0</v>
      </c>
      <c r="P62" s="234">
        <f>P$28*(P$20*(GREET1_Import_Export!$K76)+GREET1_Import_Export!$F$200*GREET1_Import_Export!$B205+GREET1_Import_Export!$F205)+P$29*(P$20*(GREET1_Import_Export!$O76)+GREET1_Import_Export!$G$200*GREET1_Import_Export!$B205+GREET1_Import_Export!$G205)+P$30*(P$20*(GREET1_Import_Export!$B76)+GREET1_Import_Export!$B241)+P$31*(P$20*(GREET1_Import_Export!$AA76)+GREET1_Import_Export!$C294)+P$32*(GREET1_Import_Export!$D319+GREET1_Import_Export!$E319)</f>
        <v>1.7973691473804074</v>
      </c>
      <c r="Q62" s="235">
        <f t="shared" si="7"/>
        <v>0</v>
      </c>
      <c r="R62" s="234">
        <f>R$28*(R$20*(GREET1_Import_Export!$K76)+GREET1_Import_Export!$F$200*GREET1_Import_Export!$B205+GREET1_Import_Export!$F205)+R$29*(R$20*(GREET1_Import_Export!$O76)+GREET1_Import_Export!$G$200*GREET1_Import_Export!$B205+GREET1_Import_Export!$G205)+R$30*(R$20*(GREET1_Import_Export!$B76)+GREET1_Import_Export!$B241)+R$31*(R$20*(GREET1_Import_Export!$AA76)+GREET1_Import_Export!$C294)+R$32*(GREET1_Import_Export!$D319+GREET1_Import_Export!$E319)+R$33*Silicon!$J97+R$34*GREET1_Import_Export!$B517+R$37*GREET1_Import_Export!$K548+R$38*$P62</f>
        <v>6.5167480327801144</v>
      </c>
      <c r="S62" s="235">
        <f t="shared" si="8"/>
        <v>0</v>
      </c>
      <c r="T62" s="234">
        <f>T$28*(T$20*(GREET1_Import_Export!$K76)+GREET1_Import_Export!$F$200*GREET1_Import_Export!$B205+GREET1_Import_Export!$F205)+T$29*(T$20*(GREET1_Import_Export!$O76)+GREET1_Import_Export!$G$200*GREET1_Import_Export!$B205+GREET1_Import_Export!$G205)+T$30*(T$20*(GREET1_Import_Export!$B76)+GREET1_Import_Export!$B241)+T$31*(T$20*(GREET1_Import_Export!$AA76)+GREET1_Import_Export!$C294)+T$32*(GREET1_Import_Export!$D319+GREET1_Import_Export!$E319)+T$33*Silicon!$J97+T$34*GREET1_Import_Export!$B517+T$37*GREET1_Import_Export!$K548+T$38*$P62</f>
        <v>8.7729846947933954E-2</v>
      </c>
      <c r="U62" s="235">
        <f t="shared" si="9"/>
        <v>0</v>
      </c>
      <c r="V62" s="234">
        <f>V$28*(V$20*(GREET1_Import_Export!$K76)+GREET1_Import_Export!$F$200*GREET1_Import_Export!$B205+GREET1_Import_Export!$F205)+V$29*(V$20*(GREET1_Import_Export!$O76)+GREET1_Import_Export!$G$200*GREET1_Import_Export!$B205+GREET1_Import_Export!$G205)+V$30*(V$20*(GREET1_Import_Export!$B76)+GREET1_Import_Export!$B241)+V$31*(V$20*(GREET1_Import_Export!$AA76)+GREET1_Import_Export!$C294)+V$32*(GREET1_Import_Export!$D319+GREET1_Import_Export!$E319)+V$33*Silicon!$J97+V$34*GREET1_Import_Export!$B517+V$37*GREET1_Import_Export!$K548+V$38*$P62</f>
        <v>4.4738075098090233</v>
      </c>
      <c r="W62" s="235">
        <f t="shared" si="10"/>
        <v>0</v>
      </c>
      <c r="X62" s="234">
        <f>X$28*(X$20*(GREET1_Import_Export!$K76)+GREET1_Import_Export!$F$200*GREET1_Import_Export!$B205+GREET1_Import_Export!$F205)+X$29*(X$20*(GREET1_Import_Export!$O76)+GREET1_Import_Export!$G$200*GREET1_Import_Export!$B205+GREET1_Import_Export!$G205)+X$30*(X$20*(GREET1_Import_Export!$B76)+GREET1_Import_Export!$B241)+X$31*(X$20*(GREET1_Import_Export!$AA76)+GREET1_Import_Export!$C294)+X$32*(GREET1_Import_Export!$D319+GREET1_Import_Export!$E319)+X$33*Silicon!$J97+X$34*GREET1_Import_Export!$B517+X$37*GREET1_Import_Export!$K548+X$38*$P62</f>
        <v>4.4269830459880512E-2</v>
      </c>
      <c r="Y62" s="235">
        <f t="shared" si="11"/>
        <v>0</v>
      </c>
    </row>
    <row r="63" spans="1:25" s="496" customFormat="1">
      <c r="A63" s="347" t="s">
        <v>826</v>
      </c>
      <c r="B63" s="578">
        <f>B$28*(B$20*(B$8*GREET1_Import_Export!$K77)+GREET1_Import_Export!$F$200*GREET1_Import_Export!$B206+GREET1_Import_Export!$F206)+B$29*(B$20*(B$12*GREET1_Import_Export!$O77+B$13*GREET1_Import_Export!$J151)+GREET1_Import_Export!$G$200*GREET1_Import_Export!$B206+GREET1_Import_Export!$G206)+B$30*(B$20*(B$9*GREET1_Import_Export!$B77+B$10*GREET1_Import_Export!$J123)+GREET1_Import_Export!$B242)+B$31*(B$20*(B$11*GREET1_Import_Export!$AA77)+GREET1_Import_Export!$C295)+B$32*(GREET1_Import_Export!$D320+GREET1_Import_Export!$E320)</f>
        <v>0.32179573041890042</v>
      </c>
      <c r="C63" s="235">
        <f t="shared" si="0"/>
        <v>0</v>
      </c>
      <c r="D63" s="234">
        <f>D$28*(D$20*(GREET1_Import_Export!$K77)+GREET1_Import_Export!$F$200*GREET1_Import_Export!$B206+GREET1_Import_Export!$F206)+D$29*(D$20*(GREET1_Import_Export!$O77)+GREET1_Import_Export!$G$200*GREET1_Import_Export!$B206+GREET1_Import_Export!$G206)+D$30*(D$20*(GREET1_Import_Export!$B77)+GREET1_Import_Export!$B242)+D$31*(D$20*(GREET1_Import_Export!$AA77)+GREET1_Import_Export!$C295)+D$32*(GREET1_Import_Export!$D320+GREET1_Import_Export!$E320)+D$33*Silicon!$J98+D$34*GREET1_Import_Export!$B518+D$35*LiMn2O4!$C116+D$36*$B63</f>
        <v>7.5529266635276811</v>
      </c>
      <c r="E63" s="235">
        <f t="shared" si="1"/>
        <v>0</v>
      </c>
      <c r="F63" s="234">
        <f>F$28*(F$20*(GREET1_Import_Export!$K77)+GREET1_Import_Export!$F$200*GREET1_Import_Export!$B206+GREET1_Import_Export!$F206)+F$29*(F$20*(GREET1_Import_Export!$O77)+GREET1_Import_Export!$G$200*GREET1_Import_Export!$B206+GREET1_Import_Export!$G206)+F$30*(F$20*(GREET1_Import_Export!$B77)+GREET1_Import_Export!$B242)+F$31*(F$20*(GREET1_Import_Export!$AA77)+GREET1_Import_Export!$C295)+F$32*(GREET1_Import_Export!$D320+GREET1_Import_Export!$E320)+F$33*Silicon!$J98+F$34*GREET1_Import_Export!$B518+F$35*LiMn2O4!$C116+F$36*$B63</f>
        <v>3.3978077302110048</v>
      </c>
      <c r="G63" s="235">
        <f t="shared" si="2"/>
        <v>0</v>
      </c>
      <c r="H63" s="234">
        <f>H$28*(H$20*(GREET1_Import_Export!$K77)+GREET1_Import_Export!$F$200*GREET1_Import_Export!$B206+GREET1_Import_Export!$F206)+H$29*(H$20*(GREET1_Import_Export!$O77)+GREET1_Import_Export!$G$200*GREET1_Import_Export!$B206+GREET1_Import_Export!$G206)+H$30*(H$20*(GREET1_Import_Export!$B77)+GREET1_Import_Export!$B242)+H$31*(H$20*(GREET1_Import_Export!$AA77)+GREET1_Import_Export!$C295)+H$32*(GREET1_Import_Export!$D320+GREET1_Import_Export!$E320)+H$33*Silicon!$J98+H$34*GREET1_Import_Export!$B518+H$35*LiMn2O4!$C116+H$36*$B63</f>
        <v>28.39722405767899</v>
      </c>
      <c r="I63" s="235">
        <f t="shared" si="3"/>
        <v>0</v>
      </c>
      <c r="J63" s="234">
        <f>J$28*(J$20*(GREET1_Import_Export!$K77)+GREET1_Import_Export!$F$200*GREET1_Import_Export!$B206+GREET1_Import_Export!$F206)+J$29*(J$20*(GREET1_Import_Export!$O77)+GREET1_Import_Export!$G$200*GREET1_Import_Export!$B206+GREET1_Import_Export!$G206)+J$30*(J$20*(GREET1_Import_Export!$B77)+GREET1_Import_Export!$B242)+J$31*(J$20*(GREET1_Import_Export!$AA77)+GREET1_Import_Export!$C295)+J$32*(GREET1_Import_Export!$D320+GREET1_Import_Export!$E320)+J$33*Silicon!$J98+J$34*GREET1_Import_Export!$B518+J$35*LiMn2O4!$C116+J$36*$B63</f>
        <v>0.24512972479714409</v>
      </c>
      <c r="K63" s="235">
        <f t="shared" si="4"/>
        <v>0</v>
      </c>
      <c r="L63" s="234">
        <f>L$28*(L$20*(GREET1_Import_Export!$K77)+GREET1_Import_Export!$F$200*GREET1_Import_Export!$B206+GREET1_Import_Export!$F206)+L$29*(L$20*(GREET1_Import_Export!$O77)+GREET1_Import_Export!$G$200*GREET1_Import_Export!$B206+GREET1_Import_Export!$G206)+L$30*(L$20*(GREET1_Import_Export!$B77)+GREET1_Import_Export!$B242)+L$31*(L$20*(GREET1_Import_Export!$AA77)+GREET1_Import_Export!$C295)+L$32*(GREET1_Import_Export!$D320+GREET1_Import_Export!$E320)+L$33*Silicon!$J98+L$34*GREET1_Import_Export!$B518+L$35*LiMn2O4!$C116+L$36*$B63</f>
        <v>4.1678718606154304</v>
      </c>
      <c r="M63" s="235">
        <f t="shared" si="5"/>
        <v>0</v>
      </c>
      <c r="N63" s="234">
        <f>N$28*(N$20*(GREET1_Import_Export!$K77)+GREET1_Import_Export!$F$200*GREET1_Import_Export!$B206+GREET1_Import_Export!$F206)+N$29*(N$20*(GREET1_Import_Export!$O77)+GREET1_Import_Export!$G$200*GREET1_Import_Export!$B206+GREET1_Import_Export!$G206)+N$30*(N$20*(GREET1_Import_Export!$B77)+GREET1_Import_Export!$B242)+N$31*(N$20*(GREET1_Import_Export!$AA77)+GREET1_Import_Export!$C295)+N$32*(GREET1_Import_Export!$D320+GREET1_Import_Export!$E320)+N$33*Silicon!$J98+N$34*GREET1_Import_Export!$B518+N$35*LiMn2O4!$C116+N$36*$B63</f>
        <v>2.8597134452640192</v>
      </c>
      <c r="O63" s="235">
        <f t="shared" si="6"/>
        <v>0</v>
      </c>
      <c r="P63" s="234">
        <f>P$28*(P$20*(GREET1_Import_Export!$K77)+GREET1_Import_Export!$F$200*GREET1_Import_Export!$B206+GREET1_Import_Export!$F206)+P$29*(P$20*(GREET1_Import_Export!$O77)+GREET1_Import_Export!$G$200*GREET1_Import_Export!$B206+GREET1_Import_Export!$G206)+P$30*(P$20*(GREET1_Import_Export!$B77)+GREET1_Import_Export!$B242)+P$31*(P$20*(GREET1_Import_Export!$AA77)+GREET1_Import_Export!$C295)+P$32*(GREET1_Import_Export!$D320+GREET1_Import_Export!$E320)</f>
        <v>10.720915398600324</v>
      </c>
      <c r="Q63" s="235">
        <f t="shared" si="7"/>
        <v>0</v>
      </c>
      <c r="R63" s="234">
        <f>R$28*(R$20*(GREET1_Import_Export!$K77)+GREET1_Import_Export!$F$200*GREET1_Import_Export!$B206+GREET1_Import_Export!$F206)+R$29*(R$20*(GREET1_Import_Export!$O77)+GREET1_Import_Export!$G$200*GREET1_Import_Export!$B206+GREET1_Import_Export!$G206)+R$30*(R$20*(GREET1_Import_Export!$B77)+GREET1_Import_Export!$B242)+R$31*(R$20*(GREET1_Import_Export!$AA77)+GREET1_Import_Export!$C295)+R$32*(GREET1_Import_Export!$D320+GREET1_Import_Export!$E320)+R$33*Silicon!$J98+R$34*GREET1_Import_Export!$B518+R$37*GREET1_Import_Export!$K549+R$38*$P63</f>
        <v>54.058413191411972</v>
      </c>
      <c r="S63" s="235">
        <f t="shared" si="8"/>
        <v>0</v>
      </c>
      <c r="T63" s="234">
        <f>T$28*(T$20*(GREET1_Import_Export!$K77)+GREET1_Import_Export!$F$200*GREET1_Import_Export!$B206+GREET1_Import_Export!$F206)+T$29*(T$20*(GREET1_Import_Export!$O77)+GREET1_Import_Export!$G$200*GREET1_Import_Export!$B206+GREET1_Import_Export!$G206)+T$30*(T$20*(GREET1_Import_Export!$B77)+GREET1_Import_Export!$B242)+T$31*(T$20*(GREET1_Import_Export!$AA77)+GREET1_Import_Export!$C295)+T$32*(GREET1_Import_Export!$D320+GREET1_Import_Export!$E320)+T$33*Silicon!$J98+T$34*GREET1_Import_Export!$B518+T$37*GREET1_Import_Export!$K549+T$38*$P63</f>
        <v>0.95583161076070455</v>
      </c>
      <c r="U63" s="235">
        <f t="shared" si="9"/>
        <v>0</v>
      </c>
      <c r="V63" s="234">
        <f>V$28*(V$20*(GREET1_Import_Export!$K77)+GREET1_Import_Export!$F$200*GREET1_Import_Export!$B206+GREET1_Import_Export!$F206)+V$29*(V$20*(GREET1_Import_Export!$O77)+GREET1_Import_Export!$G$200*GREET1_Import_Export!$B206+GREET1_Import_Export!$G206)+V$30*(V$20*(GREET1_Import_Export!$B77)+GREET1_Import_Export!$B242)+V$31*(V$20*(GREET1_Import_Export!$AA77)+GREET1_Import_Export!$C295)+V$32*(GREET1_Import_Export!$D320+GREET1_Import_Export!$E320)+V$33*Silicon!$J98+V$34*GREET1_Import_Export!$B518+V$37*GREET1_Import_Export!$K549+V$38*$P63</f>
        <v>37.862965410238651</v>
      </c>
      <c r="W63" s="235">
        <f t="shared" si="10"/>
        <v>0</v>
      </c>
      <c r="X63" s="234">
        <f>X$28*(X$20*(GREET1_Import_Export!$K77)+GREET1_Import_Export!$F$200*GREET1_Import_Export!$B206+GREET1_Import_Export!$F206)+X$29*(X$20*(GREET1_Import_Export!$O77)+GREET1_Import_Export!$G$200*GREET1_Import_Export!$B206+GREET1_Import_Export!$G206)+X$30*(X$20*(GREET1_Import_Export!$B77)+GREET1_Import_Export!$B242)+X$31*(X$20*(GREET1_Import_Export!$AA77)+GREET1_Import_Export!$C295)+X$32*(GREET1_Import_Export!$D320+GREET1_Import_Export!$E320)+X$33*Silicon!$J98+X$34*GREET1_Import_Export!$B518+X$37*GREET1_Import_Export!$K549+X$38*$P63</f>
        <v>0.48232733589155552</v>
      </c>
      <c r="Y63" s="235">
        <f t="shared" si="11"/>
        <v>0</v>
      </c>
    </row>
    <row r="64" spans="1:25" s="496" customFormat="1">
      <c r="A64" s="347" t="s">
        <v>827</v>
      </c>
      <c r="B64" s="578">
        <f>B$28*(B$20*(B$8*GREET1_Import_Export!$K78)+GREET1_Import_Export!$F$200*GREET1_Import_Export!$B207+GREET1_Import_Export!$F207)+B$29*(B$20*(B$12*GREET1_Import_Export!$O78+B$13*GREET1_Import_Export!$J152)+GREET1_Import_Export!$G$200*GREET1_Import_Export!$B207+GREET1_Import_Export!$G207)+B$30*(B$20*(B$9*GREET1_Import_Export!$B78+B$10*GREET1_Import_Export!$J124)+GREET1_Import_Export!$B243)+B$31*(B$20*(B$11*GREET1_Import_Export!$AA78)+GREET1_Import_Export!$C296)+B$32*(GREET1_Import_Export!$D321+GREET1_Import_Export!$E321)</f>
        <v>9.148555262913147E-3</v>
      </c>
      <c r="C64" s="235">
        <f t="shared" si="0"/>
        <v>0</v>
      </c>
      <c r="D64" s="234">
        <f>D$28*(D$20*(GREET1_Import_Export!$K78)+GREET1_Import_Export!$F$200*GREET1_Import_Export!$B207+GREET1_Import_Export!$F207)+D$29*(D$20*(GREET1_Import_Export!$O78)+GREET1_Import_Export!$G$200*GREET1_Import_Export!$B207+GREET1_Import_Export!$G207)+D$30*(D$20*(GREET1_Import_Export!$B78)+GREET1_Import_Export!$B243)+D$31*(D$20*(GREET1_Import_Export!$AA78)+GREET1_Import_Export!$C296)+D$32*(GREET1_Import_Export!$D321+GREET1_Import_Export!$E321)+D$33*Silicon!$J99+D$34*GREET1_Import_Export!$B519+D$35*LiMn2O4!$C117+D$36*$B64</f>
        <v>5.4802544541977215E-2</v>
      </c>
      <c r="E64" s="235">
        <f t="shared" si="1"/>
        <v>0</v>
      </c>
      <c r="F64" s="234">
        <f>F$28*(F$20*(GREET1_Import_Export!$K78)+GREET1_Import_Export!$F$200*GREET1_Import_Export!$B207+GREET1_Import_Export!$F207)+F$29*(F$20*(GREET1_Import_Export!$O78)+GREET1_Import_Export!$G$200*GREET1_Import_Export!$B207+GREET1_Import_Export!$G207)+F$30*(F$20*(GREET1_Import_Export!$B78)+GREET1_Import_Export!$B243)+F$31*(F$20*(GREET1_Import_Export!$AA78)+GREET1_Import_Export!$C296)+F$32*(GREET1_Import_Export!$D321+GREET1_Import_Export!$E321)+F$33*Silicon!$J99+F$34*GREET1_Import_Export!$B519+F$35*LiMn2O4!$C117+F$36*$B64</f>
        <v>2.934487578259341E-2</v>
      </c>
      <c r="G64" s="235">
        <f t="shared" si="2"/>
        <v>0</v>
      </c>
      <c r="H64" s="234">
        <f>H$28*(H$20*(GREET1_Import_Export!$K78)+GREET1_Import_Export!$F$200*GREET1_Import_Export!$B207+GREET1_Import_Export!$F207)+H$29*(H$20*(GREET1_Import_Export!$O78)+GREET1_Import_Export!$G$200*GREET1_Import_Export!$B207+GREET1_Import_Export!$G207)+H$30*(H$20*(GREET1_Import_Export!$B78)+GREET1_Import_Export!$B243)+H$31*(H$20*(GREET1_Import_Export!$AA78)+GREET1_Import_Export!$C296)+H$32*(GREET1_Import_Export!$D321+GREET1_Import_Export!$E321)+H$33*Silicon!$J99+H$34*GREET1_Import_Export!$B519+H$35*LiMn2O4!$C117+H$36*$B64</f>
        <v>0.17292134148644636</v>
      </c>
      <c r="I64" s="235">
        <f t="shared" si="3"/>
        <v>0</v>
      </c>
      <c r="J64" s="234">
        <f>J$28*(J$20*(GREET1_Import_Export!$K78)+GREET1_Import_Export!$F$200*GREET1_Import_Export!$B207+GREET1_Import_Export!$F207)+J$29*(J$20*(GREET1_Import_Export!$O78)+GREET1_Import_Export!$G$200*GREET1_Import_Export!$B207+GREET1_Import_Export!$G207)+J$30*(J$20*(GREET1_Import_Export!$B78)+GREET1_Import_Export!$B243)+J$31*(J$20*(GREET1_Import_Export!$AA78)+GREET1_Import_Export!$C296)+J$32*(GREET1_Import_Export!$D321+GREET1_Import_Export!$E321)+J$33*Silicon!$J99+J$34*GREET1_Import_Export!$B519+J$35*LiMn2O4!$C117+J$36*$B64</f>
        <v>2.0363484814222279E-3</v>
      </c>
      <c r="K64" s="235">
        <f t="shared" si="4"/>
        <v>0</v>
      </c>
      <c r="L64" s="234">
        <f>L$28*(L$20*(GREET1_Import_Export!$K78)+GREET1_Import_Export!$F$200*GREET1_Import_Export!$B207+GREET1_Import_Export!$F207)+L$29*(L$20*(GREET1_Import_Export!$O78)+GREET1_Import_Export!$G$200*GREET1_Import_Export!$B207+GREET1_Import_Export!$G207)+L$30*(L$20*(GREET1_Import_Export!$B78)+GREET1_Import_Export!$B243)+L$31*(L$20*(GREET1_Import_Export!$AA78)+GREET1_Import_Export!$C296)+L$32*(GREET1_Import_Export!$D321+GREET1_Import_Export!$E321)+L$33*Silicon!$J99+L$34*GREET1_Import_Export!$B519+L$35*LiMn2O4!$C117+L$36*$B64</f>
        <v>3.0829122000049503E-2</v>
      </c>
      <c r="M64" s="235">
        <f t="shared" si="5"/>
        <v>0</v>
      </c>
      <c r="N64" s="234">
        <f>N$28*(N$20*(GREET1_Import_Export!$K78)+GREET1_Import_Export!$F$200*GREET1_Import_Export!$B207+GREET1_Import_Export!$F207)+N$29*(N$20*(GREET1_Import_Export!$O78)+GREET1_Import_Export!$G$200*GREET1_Import_Export!$B207+GREET1_Import_Export!$G207)+N$30*(N$20*(GREET1_Import_Export!$B78)+GREET1_Import_Export!$B243)+N$31*(N$20*(GREET1_Import_Export!$AA78)+GREET1_Import_Export!$C296)+N$32*(GREET1_Import_Export!$D321+GREET1_Import_Export!$E321)+N$33*Silicon!$J99+N$34*GREET1_Import_Export!$B519+N$35*LiMn2O4!$C117+N$36*$B64</f>
        <v>1.9452598473573845E-2</v>
      </c>
      <c r="O64" s="235">
        <f t="shared" si="6"/>
        <v>0</v>
      </c>
      <c r="P64" s="234">
        <f>P$28*(P$20*(GREET1_Import_Export!$K78)+GREET1_Import_Export!$F$200*GREET1_Import_Export!$B207+GREET1_Import_Export!$F207)+P$29*(P$20*(GREET1_Import_Export!$O78)+GREET1_Import_Export!$G$200*GREET1_Import_Export!$B207+GREET1_Import_Export!$G207)+P$30*(P$20*(GREET1_Import_Export!$B78)+GREET1_Import_Export!$B243)+P$31*(P$20*(GREET1_Import_Export!$AA78)+GREET1_Import_Export!$C296)+P$32*(GREET1_Import_Export!$D321+GREET1_Import_Export!$E321)</f>
        <v>0.15141616160876373</v>
      </c>
      <c r="Q64" s="235">
        <f t="shared" si="7"/>
        <v>0</v>
      </c>
      <c r="R64" s="234">
        <f>R$28*(R$20*(GREET1_Import_Export!$K78)+GREET1_Import_Export!$F$200*GREET1_Import_Export!$B207+GREET1_Import_Export!$F207)+R$29*(R$20*(GREET1_Import_Export!$O78)+GREET1_Import_Export!$G$200*GREET1_Import_Export!$B207+GREET1_Import_Export!$G207)+R$30*(R$20*(GREET1_Import_Export!$B78)+GREET1_Import_Export!$B243)+R$31*(R$20*(GREET1_Import_Export!$AA78)+GREET1_Import_Export!$C296)+R$32*(GREET1_Import_Export!$D321+GREET1_Import_Export!$E321)+R$33*Silicon!$J99+R$34*GREET1_Import_Export!$B519+R$37*GREET1_Import_Export!$K550+R$38*$P64</f>
        <v>0.37108084382638767</v>
      </c>
      <c r="S64" s="235">
        <f t="shared" si="8"/>
        <v>0</v>
      </c>
      <c r="T64" s="234">
        <f>T$28*(T$20*(GREET1_Import_Export!$K78)+GREET1_Import_Export!$F$200*GREET1_Import_Export!$B207+GREET1_Import_Export!$F207)+T$29*(T$20*(GREET1_Import_Export!$O78)+GREET1_Import_Export!$G$200*GREET1_Import_Export!$B207+GREET1_Import_Export!$G207)+T$30*(T$20*(GREET1_Import_Export!$B78)+GREET1_Import_Export!$B243)+T$31*(T$20*(GREET1_Import_Export!$AA78)+GREET1_Import_Export!$C296)+T$32*(GREET1_Import_Export!$D321+GREET1_Import_Export!$E321)+T$33*Silicon!$J99+T$34*GREET1_Import_Export!$B519+T$37*GREET1_Import_Export!$K550+T$38*$P64</f>
        <v>1.4651387265749705E-2</v>
      </c>
      <c r="U64" s="235">
        <f t="shared" si="9"/>
        <v>0</v>
      </c>
      <c r="V64" s="234">
        <f>V$28*(V$20*(GREET1_Import_Export!$K78)+GREET1_Import_Export!$F$200*GREET1_Import_Export!$B207+GREET1_Import_Export!$F207)+V$29*(V$20*(GREET1_Import_Export!$O78)+GREET1_Import_Export!$G$200*GREET1_Import_Export!$B207+GREET1_Import_Export!$G207)+V$30*(V$20*(GREET1_Import_Export!$B78)+GREET1_Import_Export!$B243)+V$31*(V$20*(GREET1_Import_Export!$AA78)+GREET1_Import_Export!$C296)+V$32*(GREET1_Import_Export!$D321+GREET1_Import_Export!$E321)+V$33*Silicon!$J99+V$34*GREET1_Import_Export!$B519+V$37*GREET1_Import_Export!$K550+V$38*$P64</f>
        <v>0.23056178864859514</v>
      </c>
      <c r="W64" s="235">
        <f t="shared" si="10"/>
        <v>0</v>
      </c>
      <c r="X64" s="234">
        <f>X$28*(X$20*(GREET1_Import_Export!$K78)+GREET1_Import_Export!$F$200*GREET1_Import_Export!$B207+GREET1_Import_Export!$F207)+X$29*(X$20*(GREET1_Import_Export!$O78)+GREET1_Import_Export!$G$200*GREET1_Import_Export!$B207+GREET1_Import_Export!$G207)+X$30*(X$20*(GREET1_Import_Export!$B78)+GREET1_Import_Export!$B243)+X$31*(X$20*(GREET1_Import_Export!$AA78)+GREET1_Import_Export!$C296)+X$32*(GREET1_Import_Export!$D321+GREET1_Import_Export!$E321)+X$33*Silicon!$J99+X$34*GREET1_Import_Export!$B519+X$37*GREET1_Import_Export!$K550+X$38*$P64</f>
        <v>7.3933154202552353E-3</v>
      </c>
      <c r="Y64" s="235">
        <f t="shared" si="11"/>
        <v>0</v>
      </c>
    </row>
    <row r="65" spans="1:25" s="496" customFormat="1">
      <c r="A65" s="503" t="s">
        <v>828</v>
      </c>
      <c r="B65" s="584">
        <f>B$28*(B$20*(B$8*GREET1_Import_Export!$K79)+GREET1_Import_Export!$F$200*GREET1_Import_Export!$B208+GREET1_Import_Export!$F208)+B$29*(B$20*(B$12*GREET1_Import_Export!$O79+B$13*GREET1_Import_Export!$J153)+GREET1_Import_Export!$G$200*GREET1_Import_Export!$B208+GREET1_Import_Export!$G208)+B$30*(B$20*(B$9*GREET1_Import_Export!$B79+B$10*GREET1_Import_Export!$J125)+GREET1_Import_Export!$B244)+B$31*(B$20*(B$11*GREET1_Import_Export!$AA79)+GREET1_Import_Export!$C297)+B$32*(GREET1_Import_Export!$D322+GREET1_Import_Export!$E322)</f>
        <v>1.7438730344888433E-2</v>
      </c>
      <c r="C65" s="237">
        <f t="shared" si="0"/>
        <v>0</v>
      </c>
      <c r="D65" s="249">
        <f>D$28*(D$20*(GREET1_Import_Export!$K79)+GREET1_Import_Export!$F$200*GREET1_Import_Export!$B208+GREET1_Import_Export!$F208)+D$29*(D$20*(GREET1_Import_Export!$O79)+GREET1_Import_Export!$G$200*GREET1_Import_Export!$B208+GREET1_Import_Export!$G208)+D$30*(D$20*(GREET1_Import_Export!$B79)+GREET1_Import_Export!$B244)+D$31*(D$20*(GREET1_Import_Export!$AA79)+GREET1_Import_Export!$C297)+D$32*(GREET1_Import_Export!$D322+GREET1_Import_Export!$E322)+D$33*Silicon!$J100+D$34*GREET1_Import_Export!$B520+D$35*LiMn2O4!$C118+D$36*$B65</f>
        <v>0.26659579730921917</v>
      </c>
      <c r="E65" s="237">
        <f t="shared" si="1"/>
        <v>0</v>
      </c>
      <c r="F65" s="249">
        <f>F$28*(F$20*(GREET1_Import_Export!$K79)+GREET1_Import_Export!$F$200*GREET1_Import_Export!$B208+GREET1_Import_Export!$F208)+F$29*(F$20*(GREET1_Import_Export!$O79)+GREET1_Import_Export!$G$200*GREET1_Import_Export!$B208+GREET1_Import_Export!$G208)+F$30*(F$20*(GREET1_Import_Export!$B79)+GREET1_Import_Export!$B244)+F$31*(F$20*(GREET1_Import_Export!$AA79)+GREET1_Import_Export!$C297)+F$32*(GREET1_Import_Export!$D322+GREET1_Import_Export!$E322)+F$33*Silicon!$J100+F$34*GREET1_Import_Export!$B520+F$35*LiMn2O4!$C118+F$36*$B65</f>
        <v>0.11269678614686739</v>
      </c>
      <c r="G65" s="237">
        <f t="shared" si="2"/>
        <v>0</v>
      </c>
      <c r="H65" s="249">
        <f>H$28*(H$20*(GREET1_Import_Export!$K79)+GREET1_Import_Export!$F$200*GREET1_Import_Export!$B208+GREET1_Import_Export!$F208)+H$29*(H$20*(GREET1_Import_Export!$O79)+GREET1_Import_Export!$G$200*GREET1_Import_Export!$B208+GREET1_Import_Export!$G208)+H$30*(H$20*(GREET1_Import_Export!$B79)+GREET1_Import_Export!$B244)+H$31*(H$20*(GREET1_Import_Export!$AA79)+GREET1_Import_Export!$C297)+H$32*(GREET1_Import_Export!$D322+GREET1_Import_Export!$E322)+H$33*Silicon!$J100+H$34*GREET1_Import_Export!$B520+H$35*LiMn2O4!$C118+H$36*$B65</f>
        <v>0.95964744911537148</v>
      </c>
      <c r="I65" s="237">
        <f t="shared" si="3"/>
        <v>0</v>
      </c>
      <c r="J65" s="249">
        <f>J$28*(J$20*(GREET1_Import_Export!$K79)+GREET1_Import_Export!$F$200*GREET1_Import_Export!$B208+GREET1_Import_Export!$F208)+J$29*(J$20*(GREET1_Import_Export!$O79)+GREET1_Import_Export!$G$200*GREET1_Import_Export!$B208+GREET1_Import_Export!$G208)+J$30*(J$20*(GREET1_Import_Export!$B79)+GREET1_Import_Export!$B244)+J$31*(J$20*(GREET1_Import_Export!$AA79)+GREET1_Import_Export!$C297)+J$32*(GREET1_Import_Export!$D322+GREET1_Import_Export!$E322)+J$33*Silicon!$J100+J$34*GREET1_Import_Export!$B520+J$35*LiMn2O4!$C118+J$36*$B65</f>
        <v>8.1501790397033539E-3</v>
      </c>
      <c r="K65" s="237">
        <f t="shared" si="4"/>
        <v>0</v>
      </c>
      <c r="L65" s="249">
        <f>L$28*(L$20*(GREET1_Import_Export!$K79)+GREET1_Import_Export!$F$200*GREET1_Import_Export!$B208+GREET1_Import_Export!$F208)+L$29*(L$20*(GREET1_Import_Export!$O79)+GREET1_Import_Export!$G$200*GREET1_Import_Export!$B208+GREET1_Import_Export!$G208)+L$30*(L$20*(GREET1_Import_Export!$B79)+GREET1_Import_Export!$B244)+L$31*(L$20*(GREET1_Import_Export!$AA79)+GREET1_Import_Export!$C297)+L$32*(GREET1_Import_Export!$D322+GREET1_Import_Export!$E322)+L$33*Silicon!$J100+L$34*GREET1_Import_Export!$B520+L$35*LiMn2O4!$C118+L$36*$B65</f>
        <v>0.13950806885126837</v>
      </c>
      <c r="M65" s="237">
        <f t="shared" si="5"/>
        <v>0</v>
      </c>
      <c r="N65" s="249">
        <f>N$28*(N$20*(GREET1_Import_Export!$K79)+GREET1_Import_Export!$F$200*GREET1_Import_Export!$B208+GREET1_Import_Export!$F208)+N$29*(N$20*(GREET1_Import_Export!$O79)+GREET1_Import_Export!$G$200*GREET1_Import_Export!$B208+GREET1_Import_Export!$G208)+N$30*(N$20*(GREET1_Import_Export!$B79)+GREET1_Import_Export!$B244)+N$31*(N$20*(GREET1_Import_Export!$AA79)+GREET1_Import_Export!$C297)+N$32*(GREET1_Import_Export!$D322+GREET1_Import_Export!$E322)+N$33*Silicon!$J100+N$34*GREET1_Import_Export!$B520+N$35*LiMn2O4!$C118+N$36*$B65</f>
        <v>9.6139080421771245E-2</v>
      </c>
      <c r="O65" s="237">
        <f t="shared" si="6"/>
        <v>0</v>
      </c>
      <c r="P65" s="249">
        <f>P$28*(P$20*(GREET1_Import_Export!$K79)+GREET1_Import_Export!$F$200*GREET1_Import_Export!$B208+GREET1_Import_Export!$F208)+P$29*(P$20*(GREET1_Import_Export!$O79)+GREET1_Import_Export!$G$200*GREET1_Import_Export!$B208+GREET1_Import_Export!$G208)+P$30*(P$20*(GREET1_Import_Export!$B79)+GREET1_Import_Export!$B244)+P$31*(P$20*(GREET1_Import_Export!$AA79)+GREET1_Import_Export!$C297)+P$32*(GREET1_Import_Export!$D322+GREET1_Import_Export!$E322)</f>
        <v>0.42610251288491807</v>
      </c>
      <c r="Q65" s="237">
        <f t="shared" si="7"/>
        <v>0</v>
      </c>
      <c r="R65" s="249">
        <f>R$28*(R$20*(GREET1_Import_Export!$K79)+GREET1_Import_Export!$F$200*GREET1_Import_Export!$B208+GREET1_Import_Export!$F208)+R$29*(R$20*(GREET1_Import_Export!$O79)+GREET1_Import_Export!$G$200*GREET1_Import_Export!$B208+GREET1_Import_Export!$G208)+R$30*(R$20*(GREET1_Import_Export!$B79)+GREET1_Import_Export!$B244)+R$31*(R$20*(GREET1_Import_Export!$AA79)+GREET1_Import_Export!$C297)+R$32*(GREET1_Import_Export!$D322+GREET1_Import_Export!$E322)+R$33*Silicon!$J100+R$34*GREET1_Import_Export!$B520+R$37*GREET1_Import_Export!$K551+R$38*$P65</f>
        <v>1.8658598121344383</v>
      </c>
      <c r="S65" s="237">
        <f t="shared" si="8"/>
        <v>0</v>
      </c>
      <c r="T65" s="249">
        <f>T$28*(T$20*(GREET1_Import_Export!$K79)+GREET1_Import_Export!$F$200*GREET1_Import_Export!$B208+GREET1_Import_Export!$F208)+T$29*(T$20*(GREET1_Import_Export!$O79)+GREET1_Import_Export!$G$200*GREET1_Import_Export!$B208+GREET1_Import_Export!$G208)+T$30*(T$20*(GREET1_Import_Export!$B79)+GREET1_Import_Export!$B244)+T$31*(T$20*(GREET1_Import_Export!$AA79)+GREET1_Import_Export!$C297)+T$32*(GREET1_Import_Export!$D322+GREET1_Import_Export!$E322)+T$33*Silicon!$J100+T$34*GREET1_Import_Export!$B520+T$37*GREET1_Import_Export!$K551+T$38*$P65</f>
        <v>3.0129939343743323E-2</v>
      </c>
      <c r="U65" s="237">
        <f t="shared" si="9"/>
        <v>0</v>
      </c>
      <c r="V65" s="249">
        <f>V$28*(V$20*(GREET1_Import_Export!$K79)+GREET1_Import_Export!$F$200*GREET1_Import_Export!$B208+GREET1_Import_Export!$F208)+V$29*(V$20*(GREET1_Import_Export!$O79)+GREET1_Import_Export!$G$200*GREET1_Import_Export!$B208+GREET1_Import_Export!$G208)+V$30*(V$20*(GREET1_Import_Export!$B79)+GREET1_Import_Export!$B244)+V$31*(V$20*(GREET1_Import_Export!$AA79)+GREET1_Import_Export!$C297)+V$32*(GREET1_Import_Export!$D322+GREET1_Import_Export!$E322)+V$33*Silicon!$J100+V$34*GREET1_Import_Export!$B520+V$37*GREET1_Import_Export!$K551+V$38*$P65</f>
        <v>1.2795299321538287</v>
      </c>
      <c r="W65" s="237">
        <f t="shared" si="10"/>
        <v>0</v>
      </c>
      <c r="X65" s="249">
        <f>X$28*(X$20*(GREET1_Import_Export!$K79)+GREET1_Import_Export!$F$200*GREET1_Import_Export!$B208+GREET1_Import_Export!$F208)+X$29*(X$20*(GREET1_Import_Export!$O79)+GREET1_Import_Export!$G$200*GREET1_Import_Export!$B208+GREET1_Import_Export!$G208)+X$30*(X$20*(GREET1_Import_Export!$B79)+GREET1_Import_Export!$B244)+X$31*(X$20*(GREET1_Import_Export!$AA79)+GREET1_Import_Export!$C297)+X$32*(GREET1_Import_Export!$D322+GREET1_Import_Export!$E322)+X$33*Silicon!$J100+X$34*GREET1_Import_Export!$B520+X$37*GREET1_Import_Export!$K551+X$38*$P65</f>
        <v>1.5204030930381245E-2</v>
      </c>
      <c r="Y65" s="237">
        <f t="shared" si="11"/>
        <v>0</v>
      </c>
    </row>
    <row r="66" spans="1:25" s="496" customFormat="1">
      <c r="A66" s="349"/>
    </row>
    <row r="67" spans="1:25" s="496" customFormat="1" ht="15">
      <c r="A67" s="602" t="s">
        <v>1143</v>
      </c>
    </row>
    <row r="68" spans="1:25" customFormat="1">
      <c r="A68" s="80"/>
      <c r="B68" s="2986" t="s">
        <v>58</v>
      </c>
      <c r="C68" s="2987"/>
      <c r="D68" s="2987"/>
      <c r="E68" s="2987"/>
      <c r="F68" s="2987"/>
      <c r="G68" s="2987"/>
      <c r="H68" s="2985"/>
      <c r="I68" s="2985"/>
      <c r="J68" s="2987"/>
      <c r="K68" s="2988"/>
      <c r="L68" s="2984" t="s">
        <v>1144</v>
      </c>
      <c r="M68" s="2985"/>
      <c r="N68" s="2985"/>
      <c r="O68" s="2985"/>
      <c r="P68" s="2985"/>
      <c r="Q68" s="3004"/>
      <c r="R68" s="1321"/>
      <c r="S68" s="1321"/>
      <c r="T68" s="1321"/>
      <c r="U68" s="1321"/>
      <c r="V68" s="1321"/>
      <c r="W68" s="1321"/>
      <c r="X68" s="1321"/>
      <c r="Y68" s="1321"/>
    </row>
    <row r="69" spans="1:25" s="496" customFormat="1" ht="25.5">
      <c r="A69" s="347"/>
      <c r="B69" s="777" t="s">
        <v>1131</v>
      </c>
      <c r="C69" s="3" t="s">
        <v>1132</v>
      </c>
      <c r="D69" s="3" t="s">
        <v>1133</v>
      </c>
      <c r="E69" s="3" t="s">
        <v>1134</v>
      </c>
      <c r="F69" s="3" t="s">
        <v>1135</v>
      </c>
      <c r="G69" s="3" t="s">
        <v>1136</v>
      </c>
      <c r="H69" s="3088" t="s">
        <v>1145</v>
      </c>
      <c r="I69" s="3088"/>
      <c r="J69" s="3088" t="s">
        <v>1146</v>
      </c>
      <c r="K69" s="3088"/>
      <c r="L69" s="1685" t="s">
        <v>1131</v>
      </c>
      <c r="M69" s="1689" t="s">
        <v>1132</v>
      </c>
      <c r="N69" s="1689" t="s">
        <v>1133</v>
      </c>
      <c r="O69" s="1677" t="s">
        <v>1137</v>
      </c>
      <c r="P69" s="3090" t="s">
        <v>1147</v>
      </c>
      <c r="Q69" s="3090"/>
    </row>
    <row r="70" spans="1:25" s="496" customFormat="1">
      <c r="A70" s="699" t="s">
        <v>1029</v>
      </c>
      <c r="B70" s="778"/>
      <c r="C70" s="131"/>
      <c r="D70" s="131"/>
      <c r="E70" s="131"/>
      <c r="F70" s="131"/>
      <c r="G70" s="131"/>
      <c r="H70" s="754" t="s">
        <v>845</v>
      </c>
      <c r="I70" s="754" t="s">
        <v>846</v>
      </c>
      <c r="J70" s="754" t="s">
        <v>845</v>
      </c>
      <c r="K70" s="754" t="s">
        <v>846</v>
      </c>
      <c r="L70" s="131"/>
      <c r="M70" s="131"/>
      <c r="N70" s="131"/>
      <c r="O70" s="131"/>
      <c r="P70" s="58" t="s">
        <v>845</v>
      </c>
      <c r="Q70" s="58" t="s">
        <v>846</v>
      </c>
    </row>
    <row r="71" spans="1:25" s="496" customFormat="1">
      <c r="A71" s="347" t="s">
        <v>816</v>
      </c>
      <c r="B71" s="498">
        <f>D39</f>
        <v>2.0058852344278471</v>
      </c>
      <c r="C71" s="228">
        <f>F39</f>
        <v>7.2977589640579392</v>
      </c>
      <c r="D71" s="228">
        <f>H39</f>
        <v>3.0420828949201275</v>
      </c>
      <c r="E71" s="228">
        <f>J39</f>
        <v>0.46183521132872685</v>
      </c>
      <c r="F71" s="228">
        <f>L39</f>
        <v>4.8124739281044029</v>
      </c>
      <c r="G71" s="228">
        <f>N39</f>
        <v>1.9397577069689342</v>
      </c>
      <c r="H71" s="491">
        <f>SUM(B71:E71)</f>
        <v>12.807562304734642</v>
      </c>
      <c r="I71" s="491">
        <f>H71/2000</f>
        <v>6.4037811523673209E-3</v>
      </c>
      <c r="J71" s="76">
        <f>SUM(B71:G71)</f>
        <v>19.559793939807978</v>
      </c>
      <c r="K71" s="491">
        <f>J71/2000</f>
        <v>9.7798969699039884E-3</v>
      </c>
      <c r="L71" s="228">
        <f>R39</f>
        <v>7.9182394720986355</v>
      </c>
      <c r="M71" s="228">
        <f>T39</f>
        <v>7.1776650814607423</v>
      </c>
      <c r="N71" s="228">
        <f>V39</f>
        <v>4.05611052656017</v>
      </c>
      <c r="O71" s="228">
        <f>X39</f>
        <v>3.621960225721728</v>
      </c>
      <c r="P71" s="76">
        <f t="shared" ref="P71:P76" si="12">SUM(L71:O71)</f>
        <v>22.773975305841276</v>
      </c>
      <c r="Q71" s="76">
        <f>P71/2000</f>
        <v>1.1386987652920637E-2</v>
      </c>
    </row>
    <row r="72" spans="1:25" s="496" customFormat="1">
      <c r="A72" s="347" t="s">
        <v>817</v>
      </c>
      <c r="B72" s="498">
        <f>D40</f>
        <v>1.840822879772642</v>
      </c>
      <c r="C72" s="228">
        <f>F40</f>
        <v>7.2381684513272413</v>
      </c>
      <c r="D72" s="228">
        <f>H40</f>
        <v>2.4093733717154331</v>
      </c>
      <c r="E72" s="228">
        <f>J40</f>
        <v>0.45738588711325484</v>
      </c>
      <c r="F72" s="228">
        <f>L40</f>
        <v>4.7297580129362782</v>
      </c>
      <c r="G72" s="228">
        <f>N40</f>
        <v>1.8798375904085933</v>
      </c>
      <c r="H72" s="491">
        <f t="shared" ref="H72:H99" si="13">SUM(B72:E72)</f>
        <v>11.945750589928572</v>
      </c>
      <c r="I72" s="491">
        <f>H72/2000</f>
        <v>5.9728752949642864E-3</v>
      </c>
      <c r="J72" s="491">
        <f t="shared" ref="J72:J99" si="14">SUM(B72:G72)</f>
        <v>18.555346193273444</v>
      </c>
      <c r="K72" s="491">
        <f>J72/2000</f>
        <v>9.2776730966367214E-3</v>
      </c>
      <c r="L72" s="228">
        <f>R40</f>
        <v>6.7644778107847143</v>
      </c>
      <c r="M72" s="228">
        <f>T40</f>
        <v>7.172812339229834</v>
      </c>
      <c r="N72" s="228">
        <f>V40</f>
        <v>3.2124978289539108</v>
      </c>
      <c r="O72" s="228">
        <f>X40</f>
        <v>3.6195114573344394</v>
      </c>
      <c r="P72" s="76">
        <f t="shared" si="12"/>
        <v>20.769299436302898</v>
      </c>
      <c r="Q72" s="76">
        <f>P72/2000</f>
        <v>1.0384649718151449E-2</v>
      </c>
    </row>
    <row r="73" spans="1:25" s="496" customFormat="1">
      <c r="A73" s="347" t="s">
        <v>805</v>
      </c>
      <c r="B73" s="498">
        <f>D41</f>
        <v>1.1997351976685249</v>
      </c>
      <c r="C73" s="228">
        <f>F41</f>
        <v>7.8766872644822739E-2</v>
      </c>
      <c r="D73" s="228">
        <f>H41</f>
        <v>0.83639360411983965</v>
      </c>
      <c r="E73" s="228">
        <f>J41</f>
        <v>5.8812122926473996E-3</v>
      </c>
      <c r="F73" s="228">
        <f>L41</f>
        <v>0.10933956295964072</v>
      </c>
      <c r="G73" s="228">
        <f>N41</f>
        <v>7.9208109045616731E-2</v>
      </c>
      <c r="H73" s="491">
        <f t="shared" si="13"/>
        <v>2.1207768867258348</v>
      </c>
      <c r="I73" s="491">
        <f>H73/2000</f>
        <v>1.0603884433629173E-3</v>
      </c>
      <c r="J73" s="491">
        <f t="shared" si="14"/>
        <v>2.3093245587310922</v>
      </c>
      <c r="K73" s="491">
        <f>J73/2000</f>
        <v>1.1546622793655462E-3</v>
      </c>
      <c r="L73" s="228">
        <f>R41</f>
        <v>1.5912978656778438</v>
      </c>
      <c r="M73" s="228">
        <f>T41</f>
        <v>6.4075785249352755E-3</v>
      </c>
      <c r="N73" s="228">
        <f>V41</f>
        <v>1.1151914721597862</v>
      </c>
      <c r="O73" s="228">
        <f>X41</f>
        <v>3.2333627018134923E-3</v>
      </c>
      <c r="P73" s="76">
        <f t="shared" si="12"/>
        <v>2.7161302790643784</v>
      </c>
      <c r="Q73" s="76">
        <f>P73/2000</f>
        <v>1.3580651395321893E-3</v>
      </c>
    </row>
    <row r="74" spans="1:25" s="496" customFormat="1">
      <c r="A74" s="347" t="s">
        <v>804</v>
      </c>
      <c r="B74" s="498">
        <f t="shared" ref="B74:G74" si="15">B72-B73-B75</f>
        <v>0.42188756396395016</v>
      </c>
      <c r="C74" s="228">
        <f t="shared" si="15"/>
        <v>7.1315630408383246</v>
      </c>
      <c r="D74" s="228">
        <f t="shared" si="15"/>
        <v>1.5468134861884295</v>
      </c>
      <c r="E74" s="228">
        <f t="shared" si="15"/>
        <v>0.44972668041816483</v>
      </c>
      <c r="F74" s="228">
        <f t="shared" si="15"/>
        <v>4.601020328574295</v>
      </c>
      <c r="G74" s="228">
        <f t="shared" si="15"/>
        <v>1.7921739731243274</v>
      </c>
      <c r="H74" s="491">
        <f t="shared" si="13"/>
        <v>9.5499907714088685</v>
      </c>
      <c r="I74" s="491">
        <f>I72-I73-I75</f>
        <v>4.7749953857044352E-3</v>
      </c>
      <c r="J74" s="491">
        <f t="shared" si="14"/>
        <v>15.943185073107491</v>
      </c>
      <c r="K74" s="491">
        <f>K72-K73-K75</f>
        <v>7.9715925365537454E-3</v>
      </c>
      <c r="L74" s="228">
        <f>L72-L73-L75</f>
        <v>4.5915829638760473</v>
      </c>
      <c r="M74" s="228">
        <f>M72-M73-M75</f>
        <v>7.1403121143217634</v>
      </c>
      <c r="N74" s="228">
        <f>N72-N73-N75</f>
        <v>2.0624179815845727</v>
      </c>
      <c r="O74" s="228">
        <f>O72-O73-O75</f>
        <v>3.6031113438423668</v>
      </c>
      <c r="P74" s="76">
        <f t="shared" si="12"/>
        <v>17.397424403624751</v>
      </c>
      <c r="Q74" s="76">
        <f>Q72-Q73-Q75</f>
        <v>8.6987122018123749E-3</v>
      </c>
    </row>
    <row r="75" spans="1:25" s="496" customFormat="1">
      <c r="A75" s="347" t="s">
        <v>818</v>
      </c>
      <c r="B75" s="498">
        <f>D43</f>
        <v>0.21920011814016699</v>
      </c>
      <c r="C75" s="496">
        <f>F43</f>
        <v>2.7838537844093913E-2</v>
      </c>
      <c r="D75" s="496">
        <f>H43</f>
        <v>2.616628140716382E-2</v>
      </c>
      <c r="E75" s="496">
        <f>J43</f>
        <v>1.7779944024426261E-3</v>
      </c>
      <c r="F75" s="496">
        <f>L43</f>
        <v>1.9398121402342264E-2</v>
      </c>
      <c r="G75" s="496">
        <f>N43</f>
        <v>8.455508238649375E-3</v>
      </c>
      <c r="H75" s="491">
        <f t="shared" si="13"/>
        <v>0.27498293179386735</v>
      </c>
      <c r="I75" s="491">
        <f>H75/2000</f>
        <v>1.3749146589693366E-4</v>
      </c>
      <c r="J75" s="491">
        <f t="shared" si="14"/>
        <v>0.30283656143485899</v>
      </c>
      <c r="K75" s="491">
        <f>J75/2000</f>
        <v>1.5141828071742951E-4</v>
      </c>
      <c r="L75" s="228">
        <f>R43</f>
        <v>0.58159698123082315</v>
      </c>
      <c r="M75" s="496">
        <f>T43</f>
        <v>2.6092646383135756E-2</v>
      </c>
      <c r="N75" s="496">
        <f>V43</f>
        <v>3.4888375209551764E-2</v>
      </c>
      <c r="O75" s="228">
        <f>X43</f>
        <v>1.3166750790259274E-2</v>
      </c>
      <c r="P75" s="76">
        <f t="shared" si="12"/>
        <v>0.65574475361377005</v>
      </c>
      <c r="Q75" s="76">
        <f>P75/2000</f>
        <v>3.27872376806885E-4</v>
      </c>
    </row>
    <row r="76" spans="1:25" s="496" customFormat="1">
      <c r="A76" s="1570" t="s">
        <v>819</v>
      </c>
      <c r="B76" s="1309">
        <f>SUM(D44:E44)</f>
        <v>60.776678315397042</v>
      </c>
      <c r="C76" s="1680">
        <f>SUM(F44:G44)</f>
        <v>33.761503065850697</v>
      </c>
      <c r="D76" s="1680">
        <f>SUM(H44:I44)</f>
        <v>163.02805796437116</v>
      </c>
      <c r="E76" s="1680">
        <f>SUM(J44:K44)</f>
        <v>362.30276124522726</v>
      </c>
      <c r="F76" s="1680">
        <f>SUM(L44:M44)</f>
        <v>32.903478048809433</v>
      </c>
      <c r="G76" s="1680">
        <f>SUM(N44:O44)</f>
        <v>19.775605297167559</v>
      </c>
      <c r="H76" s="1308">
        <f t="shared" si="13"/>
        <v>619.8690005908461</v>
      </c>
      <c r="I76" s="1690">
        <f>H76/2000</f>
        <v>0.30993450029542308</v>
      </c>
      <c r="J76" s="1308">
        <f t="shared" si="14"/>
        <v>672.5480839368231</v>
      </c>
      <c r="K76" s="1690">
        <f>J76/2000</f>
        <v>0.33627404196841154</v>
      </c>
      <c r="L76" s="1310">
        <f>SUM(R44:S44)</f>
        <v>628.60757731482522</v>
      </c>
      <c r="M76" s="1680">
        <f>SUM(T44:U44)</f>
        <v>20.033066029529099</v>
      </c>
      <c r="N76" s="1680">
        <f>SUM(V44:W44)</f>
        <v>1177.3707439524949</v>
      </c>
      <c r="O76" s="1310">
        <f>SUM(X44:Y44)</f>
        <v>10.108993319516221</v>
      </c>
      <c r="P76" s="1308">
        <f t="shared" si="12"/>
        <v>1836.1203806163653</v>
      </c>
      <c r="Q76" s="1690">
        <f>P76/2000</f>
        <v>0.91806019030818264</v>
      </c>
    </row>
    <row r="77" spans="1:25" s="496" customFormat="1">
      <c r="A77" s="758" t="s">
        <v>1030</v>
      </c>
      <c r="B77" s="498"/>
      <c r="H77" s="76" t="s">
        <v>845</v>
      </c>
      <c r="I77" s="76" t="s">
        <v>846</v>
      </c>
      <c r="J77" s="76" t="s">
        <v>845</v>
      </c>
      <c r="K77" s="76" t="s">
        <v>846</v>
      </c>
      <c r="L77" s="228"/>
      <c r="O77" s="228"/>
      <c r="P77" s="76" t="s">
        <v>845</v>
      </c>
      <c r="Q77" s="76" t="s">
        <v>846</v>
      </c>
    </row>
    <row r="78" spans="1:25" s="496" customFormat="1">
      <c r="A78" s="347" t="s">
        <v>821</v>
      </c>
      <c r="B78" s="498">
        <f t="shared" ref="B78:B88" si="16">SUM(D46:E46)</f>
        <v>24.592673360387312</v>
      </c>
      <c r="C78" s="228">
        <f t="shared" ref="C78:C88" si="17">SUM(F46:G46)</f>
        <v>83.50851521168515</v>
      </c>
      <c r="D78" s="228">
        <f t="shared" ref="D78:D88" si="18">SUM(H46:I46)</f>
        <v>20.785302853972219</v>
      </c>
      <c r="E78" s="228">
        <f t="shared" ref="E78:E88" si="19">SUM(J46:K46)</f>
        <v>5.2691493981250899</v>
      </c>
      <c r="F78" s="228">
        <f t="shared" ref="F78:F88" si="20">SUM(L46:M46)</f>
        <v>54.067498793190971</v>
      </c>
      <c r="G78" s="228">
        <f t="shared" ref="G78:G88" si="21">SUM(N46:O46)</f>
        <v>21.179639271323857</v>
      </c>
      <c r="H78" s="491">
        <f t="shared" si="13"/>
        <v>134.15564082416975</v>
      </c>
      <c r="I78" s="491">
        <f t="shared" ref="I78:I89" si="22">H78/2000</f>
        <v>6.7077820412084876E-2</v>
      </c>
      <c r="J78" s="491">
        <f t="shared" si="14"/>
        <v>209.40277888868457</v>
      </c>
      <c r="K78" s="491">
        <f t="shared" ref="K78:K89" si="23">J78/2000</f>
        <v>0.10470138944434228</v>
      </c>
      <c r="L78" s="228">
        <f t="shared" ref="L78:L88" si="24">SUM(R46:S46)</f>
        <v>86.190023152640265</v>
      </c>
      <c r="M78" s="228">
        <f t="shared" ref="M78:M88" si="25">SUM(T46:U46)</f>
        <v>83.374614589463491</v>
      </c>
      <c r="N78" s="228">
        <f t="shared" ref="N78:N88" si="26">SUM(V46:W46)</f>
        <v>27.713737138629625</v>
      </c>
      <c r="O78" s="228">
        <f t="shared" ref="O78:O88" si="27">SUM(X46:Y46)</f>
        <v>42.072113208221573</v>
      </c>
      <c r="P78" s="76">
        <f t="shared" ref="P78:P90" si="28">SUM(L78:O78)</f>
        <v>239.35048808895493</v>
      </c>
      <c r="Q78" s="76">
        <f t="shared" ref="Q78:Q89" si="29">P78/2000</f>
        <v>0.11967524404447746</v>
      </c>
    </row>
    <row r="79" spans="1:25" s="496" customFormat="1">
      <c r="A79" s="347" t="s">
        <v>822</v>
      </c>
      <c r="B79" s="498">
        <f t="shared" si="16"/>
        <v>146.13736228005953</v>
      </c>
      <c r="C79" s="228">
        <f t="shared" si="17"/>
        <v>345.38312539904325</v>
      </c>
      <c r="D79" s="228">
        <f t="shared" si="18"/>
        <v>56.182451444021382</v>
      </c>
      <c r="E79" s="228">
        <f t="shared" si="19"/>
        <v>21.759463330394031</v>
      </c>
      <c r="F79" s="228">
        <f t="shared" si="20"/>
        <v>221.49053867858589</v>
      </c>
      <c r="G79" s="228">
        <f t="shared" si="21"/>
        <v>85.437121670985746</v>
      </c>
      <c r="H79" s="491">
        <f t="shared" si="13"/>
        <v>569.46240245351817</v>
      </c>
      <c r="I79" s="491">
        <f t="shared" si="22"/>
        <v>0.2847312012267591</v>
      </c>
      <c r="J79" s="491">
        <f t="shared" si="14"/>
        <v>876.3900628030899</v>
      </c>
      <c r="K79" s="491">
        <f t="shared" si="23"/>
        <v>0.43819503140154498</v>
      </c>
      <c r="L79" s="228">
        <f t="shared" si="24"/>
        <v>260.85239478902969</v>
      </c>
      <c r="M79" s="228">
        <f t="shared" si="25"/>
        <v>347.4632444971715</v>
      </c>
      <c r="N79" s="228">
        <f t="shared" si="26"/>
        <v>74.909935258695171</v>
      </c>
      <c r="O79" s="228">
        <f t="shared" si="27"/>
        <v>175.3352987616496</v>
      </c>
      <c r="P79" s="76">
        <f t="shared" si="28"/>
        <v>858.560873306546</v>
      </c>
      <c r="Q79" s="76">
        <f t="shared" si="29"/>
        <v>0.42928043665327298</v>
      </c>
    </row>
    <row r="80" spans="1:25" s="496" customFormat="1">
      <c r="A80" s="347" t="s">
        <v>849</v>
      </c>
      <c r="B80" s="498">
        <f t="shared" si="16"/>
        <v>105.92343138826622</v>
      </c>
      <c r="C80" s="228">
        <f t="shared" si="17"/>
        <v>1238.9385441211716</v>
      </c>
      <c r="D80" s="228">
        <f t="shared" si="18"/>
        <v>115.73934165912866</v>
      </c>
      <c r="E80" s="228">
        <f t="shared" si="19"/>
        <v>29.838871073299664</v>
      </c>
      <c r="F80" s="228">
        <f t="shared" si="20"/>
        <v>306.06246482337872</v>
      </c>
      <c r="G80" s="228">
        <f t="shared" si="21"/>
        <v>119.80462153824753</v>
      </c>
      <c r="H80" s="491">
        <f t="shared" si="13"/>
        <v>1490.4401882418663</v>
      </c>
      <c r="I80" s="491">
        <f t="shared" si="22"/>
        <v>0.74522009412093315</v>
      </c>
      <c r="J80" s="491">
        <f t="shared" si="14"/>
        <v>1916.3072746034925</v>
      </c>
      <c r="K80" s="491">
        <f t="shared" si="23"/>
        <v>0.9581536373017463</v>
      </c>
      <c r="L80" s="228">
        <f t="shared" si="24"/>
        <v>468.15689392841193</v>
      </c>
      <c r="M80" s="228">
        <f t="shared" si="25"/>
        <v>2689.3548991605921</v>
      </c>
      <c r="N80" s="228">
        <f t="shared" si="26"/>
        <v>154.31912221217155</v>
      </c>
      <c r="O80" s="228">
        <f t="shared" si="27"/>
        <v>238.35754911488345</v>
      </c>
      <c r="P80" s="76">
        <f t="shared" si="28"/>
        <v>3550.1884644160591</v>
      </c>
      <c r="Q80" s="76">
        <f t="shared" si="29"/>
        <v>1.7750942322080296</v>
      </c>
    </row>
    <row r="81" spans="1:17" s="496" customFormat="1">
      <c r="A81" s="347" t="s">
        <v>824</v>
      </c>
      <c r="B81" s="498">
        <f t="shared" si="16"/>
        <v>41.086483313071184</v>
      </c>
      <c r="C81" s="228">
        <f t="shared" si="17"/>
        <v>26.620977032725985</v>
      </c>
      <c r="D81" s="228">
        <f t="shared" si="18"/>
        <v>18.527122029839699</v>
      </c>
      <c r="E81" s="228">
        <f t="shared" si="19"/>
        <v>1.6929852825705427</v>
      </c>
      <c r="F81" s="228">
        <f t="shared" si="20"/>
        <v>18.085805243617113</v>
      </c>
      <c r="G81" s="228">
        <f t="shared" si="21"/>
        <v>7.6147148150119133</v>
      </c>
      <c r="H81" s="491">
        <f t="shared" si="13"/>
        <v>87.927567658207423</v>
      </c>
      <c r="I81" s="491">
        <f t="shared" si="22"/>
        <v>4.3963783829103709E-2</v>
      </c>
      <c r="J81" s="491">
        <f t="shared" si="14"/>
        <v>113.62808771683645</v>
      </c>
      <c r="K81" s="491">
        <f t="shared" si="23"/>
        <v>5.681404385841822E-2</v>
      </c>
      <c r="L81" s="228">
        <f t="shared" si="24"/>
        <v>73.716596675623137</v>
      </c>
      <c r="M81" s="228">
        <f t="shared" si="25"/>
        <v>1273.5258093096666</v>
      </c>
      <c r="N81" s="228">
        <f t="shared" si="26"/>
        <v>24.702829373119599</v>
      </c>
      <c r="O81" s="228">
        <f t="shared" si="27"/>
        <v>12.880716082416345</v>
      </c>
      <c r="P81" s="76">
        <f t="shared" si="28"/>
        <v>1384.8259514408255</v>
      </c>
      <c r="Q81" s="76">
        <f t="shared" si="29"/>
        <v>0.69241297572041272</v>
      </c>
    </row>
    <row r="82" spans="1:17" s="349" customFormat="1">
      <c r="A82" s="347" t="s">
        <v>825</v>
      </c>
      <c r="B82" s="347">
        <f t="shared" si="16"/>
        <v>26.011679330955555</v>
      </c>
      <c r="C82" s="228">
        <f t="shared" si="17"/>
        <v>25.715739342154897</v>
      </c>
      <c r="D82" s="228">
        <f t="shared" si="18"/>
        <v>11.1212667137855</v>
      </c>
      <c r="E82" s="228">
        <f t="shared" si="19"/>
        <v>1.6278564192468872</v>
      </c>
      <c r="F82" s="228">
        <f t="shared" si="20"/>
        <v>16.986814263132761</v>
      </c>
      <c r="G82" s="228">
        <f t="shared" si="21"/>
        <v>6.8644147976178358</v>
      </c>
      <c r="H82" s="494">
        <f t="shared" si="13"/>
        <v>64.476541806142833</v>
      </c>
      <c r="I82" s="494">
        <f t="shared" si="22"/>
        <v>3.2238270903071416E-2</v>
      </c>
      <c r="J82" s="494">
        <f t="shared" si="14"/>
        <v>88.327770866893431</v>
      </c>
      <c r="K82" s="494">
        <f t="shared" si="23"/>
        <v>4.4163885433446716E-2</v>
      </c>
      <c r="L82" s="228">
        <f t="shared" si="24"/>
        <v>50.794413309083971</v>
      </c>
      <c r="M82" s="228">
        <f t="shared" si="25"/>
        <v>649.25703696628591</v>
      </c>
      <c r="N82" s="228">
        <f t="shared" si="26"/>
        <v>14.828355618380668</v>
      </c>
      <c r="O82" s="228">
        <f t="shared" si="27"/>
        <v>12.745089422987329</v>
      </c>
      <c r="P82" s="76">
        <f t="shared" si="28"/>
        <v>727.62489531673793</v>
      </c>
      <c r="Q82" s="76">
        <f t="shared" si="29"/>
        <v>0.36381244765836895</v>
      </c>
    </row>
    <row r="83" spans="1:17" s="349" customFormat="1">
      <c r="A83" s="347" t="s">
        <v>826</v>
      </c>
      <c r="B83" s="347">
        <f t="shared" si="16"/>
        <v>63.379636161468937</v>
      </c>
      <c r="C83" s="228">
        <f t="shared" si="17"/>
        <v>532.84240865780419</v>
      </c>
      <c r="D83" s="228">
        <f t="shared" si="18"/>
        <v>97.179140440203895</v>
      </c>
      <c r="E83" s="228">
        <f t="shared" si="19"/>
        <v>5.1868945065256868</v>
      </c>
      <c r="F83" s="228">
        <f t="shared" si="20"/>
        <v>57.845433285203342</v>
      </c>
      <c r="G83" s="228">
        <f t="shared" si="21"/>
        <v>26.091428996218589</v>
      </c>
      <c r="H83" s="494">
        <f t="shared" si="13"/>
        <v>698.58807976600281</v>
      </c>
      <c r="I83" s="494">
        <f t="shared" si="22"/>
        <v>0.34929403988300139</v>
      </c>
      <c r="J83" s="494">
        <f t="shared" si="14"/>
        <v>782.5249420474247</v>
      </c>
      <c r="K83" s="494">
        <f t="shared" si="23"/>
        <v>0.39126247102371237</v>
      </c>
      <c r="L83" s="228">
        <f t="shared" si="24"/>
        <v>407.3441693325276</v>
      </c>
      <c r="M83" s="228">
        <f t="shared" si="25"/>
        <v>752.8981800880814</v>
      </c>
      <c r="N83" s="228">
        <f t="shared" si="26"/>
        <v>129.57218725360519</v>
      </c>
      <c r="O83" s="228">
        <f t="shared" si="27"/>
        <v>37.290158567524166</v>
      </c>
      <c r="P83" s="76">
        <f t="shared" si="28"/>
        <v>1327.1046952417385</v>
      </c>
      <c r="Q83" s="76">
        <f t="shared" si="29"/>
        <v>0.66355234762086923</v>
      </c>
    </row>
    <row r="84" spans="1:17" s="349" customFormat="1">
      <c r="A84" s="749" t="s">
        <v>827</v>
      </c>
      <c r="B84" s="347">
        <f t="shared" si="16"/>
        <v>1.6801848448634942</v>
      </c>
      <c r="C84" s="228">
        <f t="shared" si="17"/>
        <v>4.3769300795986164</v>
      </c>
      <c r="D84" s="228">
        <f t="shared" si="18"/>
        <v>0.67855960570920826</v>
      </c>
      <c r="E84" s="228">
        <f t="shared" si="19"/>
        <v>0.27571344389064711</v>
      </c>
      <c r="F84" s="228">
        <f t="shared" si="20"/>
        <v>2.8044915494297866</v>
      </c>
      <c r="G84" s="228">
        <f t="shared" si="21"/>
        <v>1.0802936543133892</v>
      </c>
      <c r="H84" s="494">
        <f t="shared" si="13"/>
        <v>7.0113879740619662</v>
      </c>
      <c r="I84" s="494">
        <f t="shared" si="22"/>
        <v>3.5056939870309833E-3</v>
      </c>
      <c r="J84" s="494">
        <f t="shared" si="14"/>
        <v>10.89617317780514</v>
      </c>
      <c r="K84" s="494">
        <f t="shared" si="23"/>
        <v>5.4480865889025704E-3</v>
      </c>
      <c r="L84" s="228">
        <f t="shared" si="24"/>
        <v>4.8784818990688121</v>
      </c>
      <c r="M84" s="228">
        <f t="shared" si="25"/>
        <v>4.4062465106501545</v>
      </c>
      <c r="N84" s="228">
        <f t="shared" si="26"/>
        <v>0.90474614094561101</v>
      </c>
      <c r="O84" s="228">
        <f t="shared" si="27"/>
        <v>2.2234597776819238</v>
      </c>
      <c r="P84" s="76">
        <f t="shared" si="28"/>
        <v>12.412934328346502</v>
      </c>
      <c r="Q84" s="76">
        <f t="shared" si="29"/>
        <v>6.2064671641732507E-3</v>
      </c>
    </row>
    <row r="85" spans="1:17" s="349" customFormat="1">
      <c r="A85" s="749" t="s">
        <v>828</v>
      </c>
      <c r="B85" s="347">
        <f t="shared" si="16"/>
        <v>2.7537175622952046</v>
      </c>
      <c r="C85" s="228">
        <f t="shared" si="17"/>
        <v>10.753950402856846</v>
      </c>
      <c r="D85" s="228">
        <f t="shared" si="18"/>
        <v>3.2297793284321354</v>
      </c>
      <c r="E85" s="228">
        <f t="shared" si="19"/>
        <v>0.67916071558889379</v>
      </c>
      <c r="F85" s="228">
        <f t="shared" si="20"/>
        <v>7.0021420188846832</v>
      </c>
      <c r="G85" s="228">
        <f t="shared" si="21"/>
        <v>2.767554270901214</v>
      </c>
      <c r="H85" s="494">
        <f t="shared" si="13"/>
        <v>17.416608009173078</v>
      </c>
      <c r="I85" s="494">
        <f t="shared" si="22"/>
        <v>8.7083040045865395E-3</v>
      </c>
      <c r="J85" s="494">
        <f t="shared" si="14"/>
        <v>27.186304298958976</v>
      </c>
      <c r="K85" s="494">
        <f t="shared" si="23"/>
        <v>1.3593152149479489E-2</v>
      </c>
      <c r="L85" s="228">
        <f t="shared" si="24"/>
        <v>12.50585320202806</v>
      </c>
      <c r="M85" s="228">
        <f t="shared" si="25"/>
        <v>10.687792035094621</v>
      </c>
      <c r="N85" s="228">
        <f t="shared" si="26"/>
        <v>4.3063724379095136</v>
      </c>
      <c r="O85" s="228">
        <f t="shared" si="27"/>
        <v>5.3932242884785158</v>
      </c>
      <c r="P85" s="76">
        <f t="shared" si="28"/>
        <v>32.893241963510711</v>
      </c>
      <c r="Q85" s="76">
        <f t="shared" si="29"/>
        <v>1.6446620981755356E-2</v>
      </c>
    </row>
    <row r="86" spans="1:17" s="349" customFormat="1">
      <c r="A86" s="347" t="s">
        <v>829</v>
      </c>
      <c r="B86" s="347">
        <f t="shared" si="16"/>
        <v>269.07921217090797</v>
      </c>
      <c r="C86" s="228">
        <f t="shared" si="17"/>
        <v>1419.8176119122838</v>
      </c>
      <c r="D86" s="228">
        <f t="shared" si="18"/>
        <v>401.85027779414986</v>
      </c>
      <c r="E86" s="228">
        <f t="shared" si="19"/>
        <v>89.640507308792763</v>
      </c>
      <c r="F86" s="228">
        <f t="shared" si="20"/>
        <v>922.72061503555858</v>
      </c>
      <c r="G86" s="228">
        <f t="shared" si="21"/>
        <v>363.61167139057306</v>
      </c>
      <c r="H86" s="494">
        <f t="shared" si="13"/>
        <v>2180.3876091861343</v>
      </c>
      <c r="I86" s="494">
        <f t="shared" si="22"/>
        <v>1.0901938045930673</v>
      </c>
      <c r="J86" s="494">
        <f t="shared" si="14"/>
        <v>3466.7198956122661</v>
      </c>
      <c r="K86" s="494">
        <f t="shared" si="23"/>
        <v>1.733359947806133</v>
      </c>
      <c r="L86" s="228">
        <f t="shared" si="24"/>
        <v>1135.6691384212866</v>
      </c>
      <c r="M86" s="228">
        <f t="shared" si="25"/>
        <v>1413.2557018742764</v>
      </c>
      <c r="N86" s="228">
        <f t="shared" si="26"/>
        <v>535.80037039219985</v>
      </c>
      <c r="O86" s="228">
        <f t="shared" si="27"/>
        <v>713.15056956117326</v>
      </c>
      <c r="P86" s="76">
        <f t="shared" si="28"/>
        <v>3797.8757802489358</v>
      </c>
      <c r="Q86" s="76">
        <f t="shared" si="29"/>
        <v>1.898937890124468</v>
      </c>
    </row>
    <row r="87" spans="1:17" s="349" customFormat="1">
      <c r="A87" s="347" t="s">
        <v>830</v>
      </c>
      <c r="B87" s="390">
        <f t="shared" si="16"/>
        <v>1.1985747517763383</v>
      </c>
      <c r="C87" s="228">
        <f t="shared" si="17"/>
        <v>14.13716925949864</v>
      </c>
      <c r="D87" s="228">
        <f t="shared" si="18"/>
        <v>3.6459094071394769</v>
      </c>
      <c r="E87" s="228">
        <f t="shared" si="19"/>
        <v>0.8921569723287881</v>
      </c>
      <c r="F87" s="228">
        <f t="shared" si="20"/>
        <v>9.1621781287437223</v>
      </c>
      <c r="G87" s="228">
        <f t="shared" si="21"/>
        <v>3.5947257890541531</v>
      </c>
      <c r="H87" s="779">
        <f t="shared" si="13"/>
        <v>19.873810390743241</v>
      </c>
      <c r="I87" s="779">
        <f t="shared" si="22"/>
        <v>9.936905195371621E-3</v>
      </c>
      <c r="J87" s="779">
        <f t="shared" si="14"/>
        <v>32.630714308541116</v>
      </c>
      <c r="K87" s="779">
        <f t="shared" si="23"/>
        <v>1.6315357154270557E-2</v>
      </c>
      <c r="L87" s="228">
        <f t="shared" si="24"/>
        <v>10.487259451282966</v>
      </c>
      <c r="M87" s="228">
        <f t="shared" si="25"/>
        <v>14.103255555319612</v>
      </c>
      <c r="N87" s="228">
        <f t="shared" si="26"/>
        <v>4.8612125428526358</v>
      </c>
      <c r="O87" s="228">
        <f t="shared" si="27"/>
        <v>7.1167197263766653</v>
      </c>
      <c r="P87" s="76">
        <f t="shared" si="28"/>
        <v>36.568447275831879</v>
      </c>
      <c r="Q87" s="76">
        <f t="shared" si="29"/>
        <v>1.8284223637915941E-2</v>
      </c>
    </row>
    <row r="88" spans="1:17" s="419" customFormat="1">
      <c r="A88" s="517" t="s">
        <v>831</v>
      </c>
      <c r="B88" s="251">
        <f t="shared" si="16"/>
        <v>192412.68148961724</v>
      </c>
      <c r="C88" s="47">
        <f t="shared" si="17"/>
        <v>638584.29528521956</v>
      </c>
      <c r="D88" s="47">
        <f t="shared" si="18"/>
        <v>177559.54678584944</v>
      </c>
      <c r="E88" s="47">
        <f t="shared" si="19"/>
        <v>27375.132501385382</v>
      </c>
      <c r="F88" s="47">
        <f t="shared" si="20"/>
        <v>285091.61839506705</v>
      </c>
      <c r="G88" s="47">
        <f t="shared" si="21"/>
        <v>114789.98257722822</v>
      </c>
      <c r="H88" s="253">
        <f t="shared" si="13"/>
        <v>1035931.6560620717</v>
      </c>
      <c r="I88" s="253">
        <f t="shared" si="22"/>
        <v>517.96582803103581</v>
      </c>
      <c r="J88" s="253">
        <f t="shared" si="14"/>
        <v>1435813.257034367</v>
      </c>
      <c r="K88" s="253">
        <f t="shared" si="23"/>
        <v>717.90662851718344</v>
      </c>
      <c r="L88" s="47">
        <f t="shared" si="24"/>
        <v>474620.19117467117</v>
      </c>
      <c r="M88" s="47">
        <f t="shared" si="25"/>
        <v>583418.75635759789</v>
      </c>
      <c r="N88" s="47">
        <f t="shared" si="26"/>
        <v>236746.06238113256</v>
      </c>
      <c r="O88" s="47">
        <f t="shared" si="27"/>
        <v>214838.86782352632</v>
      </c>
      <c r="P88" s="252">
        <f t="shared" si="28"/>
        <v>1509623.8777369279</v>
      </c>
      <c r="Q88" s="252">
        <f t="shared" si="29"/>
        <v>754.81193886846393</v>
      </c>
    </row>
    <row r="89" spans="1:17" s="419" customFormat="1">
      <c r="A89" s="517" t="s">
        <v>850</v>
      </c>
      <c r="B89" s="251">
        <f>B88+B78*GREET1_Import_Export!$B$62/GREET1_Import_Export!$B$65+B79*GREET1_Import_Export!$B$63/GREET1_Import_Export!$B$65</f>
        <v>192718.97308136389</v>
      </c>
      <c r="C89" s="47">
        <f>C88+C78*GREET1_Import_Export!$B$62/GREET1_Import_Export!$B$65+C79*GREET1_Import_Export!$B$63/GREET1_Import_Export!$B$65</f>
        <v>639387.30840230396</v>
      </c>
      <c r="D89" s="47">
        <f>D88+D78*GREET1_Import_Export!$B$62/GREET1_Import_Export!$B$65+D79*GREET1_Import_Export!$B$63/GREET1_Import_Export!$B$65</f>
        <v>177712.61435582303</v>
      </c>
      <c r="E89" s="47">
        <f>E88+E78*GREET1_Import_Export!$B$62/GREET1_Import_Export!$B$65+E79*GREET1_Import_Export!$B$63/GREET1_Import_Export!$B$65</f>
        <v>27425.748126052538</v>
      </c>
      <c r="F89" s="47">
        <f>F88+F78*GREET1_Import_Export!$B$62/GREET1_Import_Export!$B$65+F79*GREET1_Import_Export!$B$63/GREET1_Import_Export!$B$65</f>
        <v>285608.18532708642</v>
      </c>
      <c r="G89" s="47">
        <f>G88+G78*GREET1_Import_Export!$B$62/GREET1_Import_Export!$B$65+G79*GREET1_Import_Export!$B$63/GREET1_Import_Export!$B$65</f>
        <v>114990.25078701158</v>
      </c>
      <c r="H89" s="253">
        <f t="shared" si="13"/>
        <v>1037244.6439655435</v>
      </c>
      <c r="I89" s="253">
        <f t="shared" si="22"/>
        <v>518.62232198277172</v>
      </c>
      <c r="J89" s="253">
        <f t="shared" si="14"/>
        <v>1437843.0800796414</v>
      </c>
      <c r="K89" s="253">
        <f t="shared" si="23"/>
        <v>718.92154003982068</v>
      </c>
      <c r="L89" s="47">
        <f>L88+L78*GREET1_Import_Export!$B$62/GREET1_Import_Export!$B$65+L79*GREET1_Import_Export!$B$63/GREET1_Import_Export!$B$65</f>
        <v>475298.72765292728</v>
      </c>
      <c r="M89" s="47">
        <f>M88+M78*GREET1_Import_Export!$B$62/GREET1_Import_Export!$B$65+M79*GREET1_Import_Export!$B$63/GREET1_Import_Export!$B$65</f>
        <v>584224.62090965919</v>
      </c>
      <c r="N89" s="47">
        <f>N88+N78*GREET1_Import_Export!$B$62/GREET1_Import_Export!$B$65+N79*GREET1_Import_Export!$B$63/GREET1_Import_Export!$B$65</f>
        <v>236950.15247443065</v>
      </c>
      <c r="O89" s="47">
        <f>O88+O78*GREET1_Import_Export!$B$62/GREET1_Import_Export!$B$65+O79*GREET1_Import_Export!$B$63/GREET1_Import_Export!$B$65</f>
        <v>215245.51947441263</v>
      </c>
      <c r="P89" s="252">
        <f t="shared" si="28"/>
        <v>1511719.0205114298</v>
      </c>
      <c r="Q89" s="252">
        <f t="shared" si="29"/>
        <v>755.85951025571489</v>
      </c>
    </row>
    <row r="90" spans="1:17" s="419" customFormat="1">
      <c r="A90" s="668" t="s">
        <v>851</v>
      </c>
      <c r="B90" s="295">
        <f>B89+SUMPRODUCT(B86:B87,GREET1_Import_Export!$B$51:$B$52)+SUMPRODUCT(B78:B80,GREET1_Import_Export!$B$55:$B$57)+SUMPRODUCT(B84:B85,GREET1_Import_Export!$B$58:$B$59)</f>
        <v>201108.97175571186</v>
      </c>
      <c r="C90" s="53">
        <f>C89+SUMPRODUCT(C86:C87,GREET1_Import_Export!$B$51:$B$52)+SUMPRODUCT(C78:C80,GREET1_Import_Export!$B$55:$B$57)+SUMPRODUCT(C84:C85,GREET1_Import_Export!$B$58:$B$59)</f>
        <v>685728.18661343958</v>
      </c>
      <c r="D90" s="53">
        <f>D89+SUMPRODUCT(D86:D87,GREET1_Import_Export!$B$51:$B$52)+SUMPRODUCT(D78:D80,GREET1_Import_Export!$B$55:$B$57)+SUMPRODUCT(D84:D85,GREET1_Import_Export!$B$58:$B$59)</f>
        <v>190734.28868253948</v>
      </c>
      <c r="E90" s="53">
        <f>E89+SUMPRODUCT(E86:E87,GREET1_Import_Export!$B$51:$B$52)+SUMPRODUCT(E78:E80,GREET1_Import_Export!$B$55:$B$57)+SUMPRODUCT(E84:E85,GREET1_Import_Export!$B$58:$B$59)</f>
        <v>30351.384942983452</v>
      </c>
      <c r="F90" s="53">
        <f>F89+SUMPRODUCT(F86:F87,GREET1_Import_Export!$B$51:$B$52)+SUMPRODUCT(F78:F80,GREET1_Import_Export!$B$55:$B$57)+SUMPRODUCT(F84:F85,GREET1_Import_Export!$B$58:$B$59)</f>
        <v>315717.78098227025</v>
      </c>
      <c r="G90" s="53">
        <f>G89+SUMPRODUCT(G86:G87,GREET1_Import_Export!$B$51:$B$52)+SUMPRODUCT(G78:G80,GREET1_Import_Export!$B$55:$B$57)+SUMPRODUCT(G84:G85,GREET1_Import_Export!$B$58:$B$59)</f>
        <v>126851.20326282812</v>
      </c>
      <c r="H90" s="400">
        <f t="shared" si="13"/>
        <v>1107922.8319946744</v>
      </c>
      <c r="I90" s="400">
        <f>I89+SUMPRODUCT(I86:I87,GREET1_Import_Export!$B$51:$B$52)+SUMPRODUCT(I78:I80,GREET1_Import_Export!$B$55:$B$57)+SUMPRODUCT(I84:I85,GREET1_Import_Export!$B$58:$B$59)</f>
        <v>553.96141599733721</v>
      </c>
      <c r="J90" s="400">
        <f t="shared" si="14"/>
        <v>1550491.8162397726</v>
      </c>
      <c r="K90" s="400">
        <f>K89+SUMPRODUCT(K86:K87,GREET1_Import_Export!$B$51:$B$52)+SUMPRODUCT(K78:K80,GREET1_Import_Export!$B$55:$B$57)+SUMPRODUCT(K84:K85,GREET1_Import_Export!$B$58:$B$59)</f>
        <v>775.24590811988639</v>
      </c>
      <c r="L90" s="53">
        <f>L89+SUMPRODUCT(L86:L87,GREET1_Import_Export!$B$51:$B$52)+SUMPRODUCT(L78:L80,GREET1_Import_Export!$B$55:$B$57)+SUMPRODUCT(L84:L85,GREET1_Import_Export!$B$58:$B$59)</f>
        <v>512147.92556015588</v>
      </c>
      <c r="M90" s="53">
        <f>M89+SUMPRODUCT(M86:M87,GREET1_Import_Export!$B$51:$B$52)+SUMPRODUCT(M78:M80,GREET1_Import_Export!$B$55:$B$57)+SUMPRODUCT(M84:M85,GREET1_Import_Export!$B$58:$B$59)</f>
        <v>630359.65468804713</v>
      </c>
      <c r="N90" s="53">
        <f>N89+SUMPRODUCT(N86:N87,GREET1_Import_Export!$B$51:$B$52)+SUMPRODUCT(N78:N80,GREET1_Import_Export!$B$55:$B$57)+SUMPRODUCT(N84:N85,GREET1_Import_Export!$B$58:$B$59)</f>
        <v>254312.38491005258</v>
      </c>
      <c r="O90" s="53">
        <f>O89+SUMPRODUCT(O86:O87,GREET1_Import_Export!$B$51:$B$52)+SUMPRODUCT(O78:O80,GREET1_Import_Export!$B$55:$B$57)+SUMPRODUCT(O84:O85,GREET1_Import_Export!$B$58:$B$59)</f>
        <v>238525.96728873765</v>
      </c>
      <c r="P90" s="78">
        <f t="shared" si="28"/>
        <v>1635345.9324469934</v>
      </c>
      <c r="Q90" s="78">
        <f>Q89+SUMPRODUCT(Q86:Q87,GREET1_Import_Export!$B$51:$B$52)+SUMPRODUCT(Q78:Q80,GREET1_Import_Export!$B$55:$B$57)+SUMPRODUCT(Q84:Q85,GREET1_Import_Export!$B$58:$B$59)</f>
        <v>817.6729662234967</v>
      </c>
    </row>
    <row r="91" spans="1:17" s="349" customFormat="1">
      <c r="A91" s="758" t="s">
        <v>1031</v>
      </c>
      <c r="B91" s="347"/>
      <c r="C91" s="228"/>
      <c r="D91" s="228"/>
      <c r="E91" s="228"/>
      <c r="F91" s="228"/>
      <c r="G91" s="228"/>
      <c r="H91" s="76" t="s">
        <v>845</v>
      </c>
      <c r="I91" s="76" t="s">
        <v>846</v>
      </c>
      <c r="J91" s="76" t="s">
        <v>845</v>
      </c>
      <c r="K91" s="76" t="s">
        <v>846</v>
      </c>
      <c r="L91" s="228"/>
      <c r="M91" s="228"/>
      <c r="N91" s="228"/>
      <c r="O91" s="228"/>
      <c r="P91" s="76" t="s">
        <v>845</v>
      </c>
      <c r="Q91" s="76" t="s">
        <v>846</v>
      </c>
    </row>
    <row r="92" spans="1:17" s="349" customFormat="1">
      <c r="A92" s="347" t="s">
        <v>821</v>
      </c>
      <c r="B92" s="347">
        <f t="shared" ref="B92:B99" si="30">SUM(D58:E58)</f>
        <v>0.85509665829457393</v>
      </c>
      <c r="C92" s="228">
        <f t="shared" ref="C92:C99" si="31">SUM(F58:G58)</f>
        <v>3.922379439204625</v>
      </c>
      <c r="D92" s="228">
        <f t="shared" ref="D92:D99" si="32">SUM(H58:I58)</f>
        <v>1.2961617292979262</v>
      </c>
      <c r="E92" s="228">
        <f t="shared" ref="E92:E99" si="33">SUM(J58:K58)</f>
        <v>0.2478478407768184</v>
      </c>
      <c r="F92" s="228">
        <f t="shared" ref="F92:F99" si="34">SUM(L58:M58)</f>
        <v>2.5623889352402367</v>
      </c>
      <c r="G92" s="228">
        <f t="shared" ref="G92:G99" si="35">SUM(N58:O58)</f>
        <v>1.018000454415094</v>
      </c>
      <c r="H92" s="494">
        <f t="shared" si="13"/>
        <v>6.3214856675739428</v>
      </c>
      <c r="I92" s="494">
        <f t="shared" ref="I92:I99" si="36">H92/2000</f>
        <v>3.1607428337869716E-3</v>
      </c>
      <c r="J92" s="494">
        <f t="shared" si="14"/>
        <v>9.9018750572292742</v>
      </c>
      <c r="K92" s="494">
        <f t="shared" ref="K92:K99" si="37">J92/2000</f>
        <v>4.9509375286146372E-3</v>
      </c>
      <c r="L92" s="228">
        <f t="shared" ref="L92:L99" si="38">SUM(R58:S58)</f>
        <v>4.70334744909258</v>
      </c>
      <c r="M92" s="228">
        <f t="shared" ref="M92:M99" si="39">SUM(T58:U58)</f>
        <v>3.8878014516994606</v>
      </c>
      <c r="N92" s="228">
        <f t="shared" ref="N92:N99" si="40">SUM(V58:W58)</f>
        <v>1.7282156390639014</v>
      </c>
      <c r="O92" s="228">
        <f t="shared" ref="O92:O99" si="41">SUM(X58:Y58)</f>
        <v>1.9618444248575737</v>
      </c>
      <c r="P92" s="76">
        <f t="shared" ref="P92:P99" si="42">SUM(L92:O92)</f>
        <v>12.281208964713516</v>
      </c>
      <c r="Q92" s="76">
        <f t="shared" ref="Q92:Q99" si="43">P92/2000</f>
        <v>6.1406044823567579E-3</v>
      </c>
    </row>
    <row r="93" spans="1:17" s="349" customFormat="1">
      <c r="A93" s="347" t="s">
        <v>822</v>
      </c>
      <c r="B93" s="347">
        <f t="shared" si="30"/>
        <v>2.8359974776803125</v>
      </c>
      <c r="C93" s="228">
        <f t="shared" si="31"/>
        <v>19.134900312792936</v>
      </c>
      <c r="D93" s="228">
        <f t="shared" si="32"/>
        <v>9.5690084492070415</v>
      </c>
      <c r="E93" s="228">
        <f t="shared" si="33"/>
        <v>1.2127198528330065</v>
      </c>
      <c r="F93" s="228">
        <f t="shared" si="34"/>
        <v>12.732179591680012</v>
      </c>
      <c r="G93" s="228">
        <f t="shared" si="35"/>
        <v>5.2015816921529225</v>
      </c>
      <c r="H93" s="494">
        <f t="shared" si="13"/>
        <v>32.752626092513296</v>
      </c>
      <c r="I93" s="494">
        <f t="shared" si="36"/>
        <v>1.6376313046256648E-2</v>
      </c>
      <c r="J93" s="494">
        <f t="shared" si="14"/>
        <v>50.686387376346225</v>
      </c>
      <c r="K93" s="494">
        <f t="shared" si="37"/>
        <v>2.5343193688173112E-2</v>
      </c>
      <c r="L93" s="228">
        <f t="shared" si="38"/>
        <v>23.225777691802914</v>
      </c>
      <c r="M93" s="228">
        <f t="shared" si="39"/>
        <v>18.679169639994889</v>
      </c>
      <c r="N93" s="228">
        <f t="shared" si="40"/>
        <v>12.758677932276056</v>
      </c>
      <c r="O93" s="228">
        <f t="shared" si="41"/>
        <v>9.4257963721820364</v>
      </c>
      <c r="P93" s="76">
        <f t="shared" si="42"/>
        <v>64.089421636255892</v>
      </c>
      <c r="Q93" s="76">
        <f t="shared" si="43"/>
        <v>3.2044710818127944E-2</v>
      </c>
    </row>
    <row r="94" spans="1:17" s="349" customFormat="1">
      <c r="A94" s="347" t="s">
        <v>823</v>
      </c>
      <c r="B94" s="347">
        <f t="shared" si="30"/>
        <v>8.1981442345506785</v>
      </c>
      <c r="C94" s="228">
        <f t="shared" si="31"/>
        <v>24.174907135227919</v>
      </c>
      <c r="D94" s="228">
        <f t="shared" si="32"/>
        <v>28.580425937989467</v>
      </c>
      <c r="E94" s="228">
        <f t="shared" si="33"/>
        <v>1.5505404080950469</v>
      </c>
      <c r="F94" s="228">
        <f t="shared" si="34"/>
        <v>17.263680741159249</v>
      </c>
      <c r="G94" s="228">
        <f t="shared" si="35"/>
        <v>7.7675223027857054</v>
      </c>
      <c r="H94" s="494">
        <f t="shared" si="13"/>
        <v>62.504017715863107</v>
      </c>
      <c r="I94" s="494">
        <f t="shared" si="36"/>
        <v>3.125200885793155E-2</v>
      </c>
      <c r="J94" s="494">
        <f t="shared" si="14"/>
        <v>87.53522075980807</v>
      </c>
      <c r="K94" s="494">
        <f t="shared" si="37"/>
        <v>4.3767610379904037E-2</v>
      </c>
      <c r="L94" s="228">
        <f t="shared" si="38"/>
        <v>61.558912356163937</v>
      </c>
      <c r="M94" s="228">
        <f t="shared" si="39"/>
        <v>22.140751925784521</v>
      </c>
      <c r="N94" s="228">
        <f t="shared" si="40"/>
        <v>38.107234583985957</v>
      </c>
      <c r="O94" s="228">
        <f t="shared" si="41"/>
        <v>11.172564048703574</v>
      </c>
      <c r="P94" s="76">
        <f t="shared" si="42"/>
        <v>132.97946291463799</v>
      </c>
      <c r="Q94" s="76">
        <f t="shared" si="43"/>
        <v>6.6489731457318998E-2</v>
      </c>
    </row>
    <row r="95" spans="1:17" s="349" customFormat="1">
      <c r="A95" s="749" t="s">
        <v>824</v>
      </c>
      <c r="B95" s="347">
        <f t="shared" si="30"/>
        <v>1.0865033546632459</v>
      </c>
      <c r="C95" s="228">
        <f t="shared" si="31"/>
        <v>0.42378437634971505</v>
      </c>
      <c r="D95" s="228">
        <f t="shared" si="32"/>
        <v>3.8158091538119892</v>
      </c>
      <c r="E95" s="228">
        <f t="shared" si="33"/>
        <v>3.0879001532159996E-2</v>
      </c>
      <c r="F95" s="228">
        <f t="shared" si="34"/>
        <v>0.53940224466611675</v>
      </c>
      <c r="G95" s="228">
        <f t="shared" si="35"/>
        <v>0.37654321458941903</v>
      </c>
      <c r="H95" s="494">
        <f t="shared" si="13"/>
        <v>5.3569758863571098</v>
      </c>
      <c r="I95" s="494">
        <f t="shared" si="36"/>
        <v>2.678487943178555E-3</v>
      </c>
      <c r="J95" s="494">
        <f t="shared" si="14"/>
        <v>6.2729213456126454</v>
      </c>
      <c r="K95" s="494">
        <f t="shared" si="37"/>
        <v>3.1364606728063226E-3</v>
      </c>
      <c r="L95" s="228">
        <f t="shared" si="38"/>
        <v>7.4097524346632033</v>
      </c>
      <c r="M95" s="228">
        <f t="shared" si="39"/>
        <v>9.4980526890485376E-2</v>
      </c>
      <c r="N95" s="228">
        <f t="shared" si="40"/>
        <v>5.0877455384159855</v>
      </c>
      <c r="O95" s="228">
        <f t="shared" si="41"/>
        <v>4.7928635107814158E-2</v>
      </c>
      <c r="P95" s="76">
        <f t="shared" si="42"/>
        <v>12.640407135077488</v>
      </c>
      <c r="Q95" s="76">
        <f t="shared" si="43"/>
        <v>6.3202035675387442E-3</v>
      </c>
    </row>
    <row r="96" spans="1:17" s="349" customFormat="1">
      <c r="A96" s="347" t="s">
        <v>825</v>
      </c>
      <c r="B96" s="347">
        <f t="shared" si="30"/>
        <v>0.95493560541442379</v>
      </c>
      <c r="C96" s="228">
        <f t="shared" si="31"/>
        <v>0.37677273814656204</v>
      </c>
      <c r="D96" s="228">
        <f t="shared" si="32"/>
        <v>3.3553556323567673</v>
      </c>
      <c r="E96" s="228">
        <f t="shared" si="33"/>
        <v>2.7412052264365838E-2</v>
      </c>
      <c r="F96" s="228">
        <f t="shared" si="34"/>
        <v>0.47691087369359353</v>
      </c>
      <c r="G96" s="228">
        <f t="shared" si="35"/>
        <v>0.3320778308690841</v>
      </c>
      <c r="H96" s="494">
        <f t="shared" si="13"/>
        <v>4.7144760281821192</v>
      </c>
      <c r="I96" s="494">
        <f t="shared" si="36"/>
        <v>2.3572380140910597E-3</v>
      </c>
      <c r="J96" s="494">
        <f t="shared" si="14"/>
        <v>5.5234647327447961</v>
      </c>
      <c r="K96" s="494">
        <f t="shared" si="37"/>
        <v>2.7617323663723979E-3</v>
      </c>
      <c r="L96" s="228">
        <f t="shared" si="38"/>
        <v>6.5167480327801144</v>
      </c>
      <c r="M96" s="228">
        <f t="shared" si="39"/>
        <v>8.7729846947933954E-2</v>
      </c>
      <c r="N96" s="228">
        <f t="shared" si="40"/>
        <v>4.4738075098090233</v>
      </c>
      <c r="O96" s="228">
        <f t="shared" si="41"/>
        <v>4.4269830459880512E-2</v>
      </c>
      <c r="P96" s="76">
        <f t="shared" si="42"/>
        <v>11.122555219996952</v>
      </c>
      <c r="Q96" s="76">
        <f t="shared" si="43"/>
        <v>5.5612776099984761E-3</v>
      </c>
    </row>
    <row r="97" spans="1:17" s="496" customFormat="1">
      <c r="A97" s="749" t="s">
        <v>826</v>
      </c>
      <c r="B97" s="347">
        <f t="shared" si="30"/>
        <v>7.5529266635276811</v>
      </c>
      <c r="C97" s="228">
        <f t="shared" si="31"/>
        <v>3.3978077302110048</v>
      </c>
      <c r="D97" s="228">
        <f t="shared" si="32"/>
        <v>28.39722405767899</v>
      </c>
      <c r="E97" s="228">
        <f t="shared" si="33"/>
        <v>0.24512972479714409</v>
      </c>
      <c r="F97" s="228">
        <f t="shared" si="34"/>
        <v>4.1678718606154304</v>
      </c>
      <c r="G97" s="228">
        <f t="shared" si="35"/>
        <v>2.8597134452640192</v>
      </c>
      <c r="H97" s="494">
        <f t="shared" si="13"/>
        <v>39.59308817621482</v>
      </c>
      <c r="I97" s="494">
        <f t="shared" si="36"/>
        <v>1.979654408810741E-2</v>
      </c>
      <c r="J97" s="494">
        <f t="shared" si="14"/>
        <v>46.620673482094269</v>
      </c>
      <c r="K97" s="494">
        <f t="shared" si="37"/>
        <v>2.3310336741047134E-2</v>
      </c>
      <c r="L97" s="228">
        <f t="shared" si="38"/>
        <v>54.058413191411972</v>
      </c>
      <c r="M97" s="228">
        <f t="shared" si="39"/>
        <v>0.95583161076070455</v>
      </c>
      <c r="N97" s="228">
        <f t="shared" si="40"/>
        <v>37.862965410238651</v>
      </c>
      <c r="O97" s="228">
        <f t="shared" si="41"/>
        <v>0.48232733589155552</v>
      </c>
      <c r="P97" s="76">
        <f t="shared" si="42"/>
        <v>93.359537548302882</v>
      </c>
      <c r="Q97" s="76">
        <f t="shared" si="43"/>
        <v>4.6679768774151441E-2</v>
      </c>
    </row>
    <row r="98" spans="1:17" s="496" customFormat="1">
      <c r="A98" s="347" t="s">
        <v>827</v>
      </c>
      <c r="B98" s="347">
        <f t="shared" si="30"/>
        <v>5.4802544541977215E-2</v>
      </c>
      <c r="C98" s="228">
        <f t="shared" si="31"/>
        <v>2.934487578259341E-2</v>
      </c>
      <c r="D98" s="228">
        <f t="shared" si="32"/>
        <v>0.17292134148644636</v>
      </c>
      <c r="E98" s="228">
        <f t="shared" si="33"/>
        <v>2.0363484814222279E-3</v>
      </c>
      <c r="F98" s="228">
        <f t="shared" si="34"/>
        <v>3.0829122000049503E-2</v>
      </c>
      <c r="G98" s="228">
        <f t="shared" si="35"/>
        <v>1.9452598473573845E-2</v>
      </c>
      <c r="H98" s="494">
        <f t="shared" si="13"/>
        <v>0.25910511029243921</v>
      </c>
      <c r="I98" s="494">
        <f t="shared" si="36"/>
        <v>1.2955255514621961E-4</v>
      </c>
      <c r="J98" s="494">
        <f t="shared" si="14"/>
        <v>0.30938683076606255</v>
      </c>
      <c r="K98" s="494">
        <f t="shared" si="37"/>
        <v>1.5469341538303127E-4</v>
      </c>
      <c r="L98" s="228">
        <f t="shared" si="38"/>
        <v>0.37108084382638767</v>
      </c>
      <c r="M98" s="228">
        <f t="shared" si="39"/>
        <v>1.4651387265749705E-2</v>
      </c>
      <c r="N98" s="228">
        <f t="shared" si="40"/>
        <v>0.23056178864859514</v>
      </c>
      <c r="O98" s="228">
        <f t="shared" si="41"/>
        <v>7.3933154202552353E-3</v>
      </c>
      <c r="P98" s="76">
        <f t="shared" si="42"/>
        <v>0.62368733516098773</v>
      </c>
      <c r="Q98" s="76">
        <f t="shared" si="43"/>
        <v>3.1184366758049388E-4</v>
      </c>
    </row>
    <row r="99" spans="1:17" s="496" customFormat="1">
      <c r="A99" s="501" t="s">
        <v>828</v>
      </c>
      <c r="B99" s="501">
        <f t="shared" si="30"/>
        <v>0.26659579730921917</v>
      </c>
      <c r="C99" s="231">
        <f t="shared" si="31"/>
        <v>0.11269678614686739</v>
      </c>
      <c r="D99" s="231">
        <f t="shared" si="32"/>
        <v>0.95964744911537148</v>
      </c>
      <c r="E99" s="231">
        <f t="shared" si="33"/>
        <v>8.1501790397033539E-3</v>
      </c>
      <c r="F99" s="231">
        <f t="shared" si="34"/>
        <v>0.13950806885126837</v>
      </c>
      <c r="G99" s="231">
        <f t="shared" si="35"/>
        <v>9.6139080421771245E-2</v>
      </c>
      <c r="H99" s="492">
        <f t="shared" si="13"/>
        <v>1.3470902116111614</v>
      </c>
      <c r="I99" s="492">
        <f t="shared" si="36"/>
        <v>6.7354510580558066E-4</v>
      </c>
      <c r="J99" s="492">
        <f t="shared" si="14"/>
        <v>1.582737360884201</v>
      </c>
      <c r="K99" s="492">
        <f t="shared" si="37"/>
        <v>7.9136868044210054E-4</v>
      </c>
      <c r="L99" s="231">
        <f t="shared" si="38"/>
        <v>1.8658598121344383</v>
      </c>
      <c r="M99" s="231">
        <f t="shared" si="39"/>
        <v>3.0129939343743323E-2</v>
      </c>
      <c r="N99" s="231">
        <f t="shared" si="40"/>
        <v>1.2795299321538287</v>
      </c>
      <c r="O99" s="231">
        <f t="shared" si="41"/>
        <v>1.5204030930381245E-2</v>
      </c>
      <c r="P99" s="79">
        <f t="shared" si="42"/>
        <v>3.1907237145623912</v>
      </c>
      <c r="Q99" s="79">
        <f t="shared" si="43"/>
        <v>1.5953618572811957E-3</v>
      </c>
    </row>
  </sheetData>
  <mergeCells count="19">
    <mergeCell ref="R16:Y16"/>
    <mergeCell ref="N17:O17"/>
    <mergeCell ref="R17:S17"/>
    <mergeCell ref="T17:U17"/>
    <mergeCell ref="V17:W17"/>
    <mergeCell ref="X17:Y17"/>
    <mergeCell ref="B68:K68"/>
    <mergeCell ref="L68:Q68"/>
    <mergeCell ref="H69:I69"/>
    <mergeCell ref="J69:K69"/>
    <mergeCell ref="D17:E17"/>
    <mergeCell ref="F17:G17"/>
    <mergeCell ref="H17:I17"/>
    <mergeCell ref="J17:K17"/>
    <mergeCell ref="P69:Q69"/>
    <mergeCell ref="B16:C17"/>
    <mergeCell ref="D16:O16"/>
    <mergeCell ref="P16:Q17"/>
    <mergeCell ref="L17:M17"/>
  </mergeCells>
  <phoneticPr fontId="5" type="noConversion"/>
  <printOptions gridLinesSet="0"/>
  <pageMargins left="0.75" right="0.75" top="1" bottom="1" header="0.5" footer="0.5"/>
  <pageSetup orientation="landscape" r:id="rId1"/>
  <headerFooter alignWithMargins="0">
    <oddHeader>&amp;A</oddHeader>
    <oddFooter>Page &amp;P</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7"/>
  <dimension ref="A1:CG134"/>
  <sheetViews>
    <sheetView showGridLines="0" zoomScale="85" zoomScaleNormal="85" workbookViewId="0"/>
  </sheetViews>
  <sheetFormatPr defaultColWidth="9.140625" defaultRowHeight="12.75"/>
  <cols>
    <col min="1" max="1" width="49" style="420" customWidth="1"/>
    <col min="2" max="20" width="10.42578125" style="5" customWidth="1"/>
    <col min="21" max="21" width="11.5703125" style="5" bestFit="1" customWidth="1"/>
    <col min="22" max="22" width="12.85546875" style="5" bestFit="1" customWidth="1"/>
    <col min="23" max="23" width="10.42578125" style="5" customWidth="1"/>
    <col min="24" max="24" width="12" style="5" customWidth="1"/>
    <col min="25" max="67" width="10.42578125" style="5" customWidth="1"/>
    <col min="68" max="68" width="15.42578125" style="5" customWidth="1"/>
    <col min="69" max="69" width="15" style="5" customWidth="1"/>
    <col min="70" max="70" width="15.42578125" style="5" customWidth="1"/>
    <col min="71" max="71" width="15" style="5" customWidth="1"/>
    <col min="72" max="72" width="10.42578125" style="5" bestFit="1" customWidth="1"/>
    <col min="73" max="73" width="9.28515625" style="5" bestFit="1" customWidth="1"/>
    <col min="74" max="74" width="10.42578125" style="5" bestFit="1" customWidth="1"/>
    <col min="75" max="75" width="9.28515625" style="5" bestFit="1" customWidth="1"/>
    <col min="76" max="76" width="10.5703125" style="5" bestFit="1" customWidth="1"/>
    <col min="77" max="77" width="9.28515625" style="5" bestFit="1" customWidth="1"/>
    <col min="78" max="78" width="10.5703125" style="5" bestFit="1" customWidth="1"/>
    <col min="79" max="79" width="9.28515625" style="5" bestFit="1" customWidth="1"/>
    <col min="80" max="80" width="9.42578125" style="5" bestFit="1" customWidth="1"/>
    <col min="81" max="82" width="10.28515625" style="5" bestFit="1" customWidth="1"/>
    <col min="83" max="16384" width="9.140625" style="5"/>
  </cols>
  <sheetData>
    <row r="1" spans="1:17" s="64" customFormat="1" ht="15.75">
      <c r="A1" s="67" t="s">
        <v>1148</v>
      </c>
    </row>
    <row r="2" spans="1:17" s="64" customFormat="1">
      <c r="A2" s="410"/>
    </row>
    <row r="3" spans="1:17" s="64" customFormat="1" ht="15">
      <c r="A3" s="421" t="s">
        <v>1149</v>
      </c>
    </row>
    <row r="4" spans="1:17" s="64" customFormat="1">
      <c r="A4" s="410" t="s">
        <v>1150</v>
      </c>
    </row>
    <row r="5" spans="1:17" s="64" customFormat="1" ht="38.25">
      <c r="A5" s="1691" t="str">
        <f>Mat_Inputs!B219</f>
        <v>ABS</v>
      </c>
      <c r="B5" s="1692" t="str">
        <f>Mat_Inputs!C219</f>
        <v>EPDM</v>
      </c>
      <c r="C5" s="1692" t="str">
        <f>Mat_Inputs!D219</f>
        <v>Liquid Epoxy</v>
      </c>
      <c r="D5" s="1692" t="str">
        <f>Mat_Inputs!E219</f>
        <v>GPPS</v>
      </c>
      <c r="E5" s="1692" t="str">
        <f>Mat_Inputs!F219</f>
        <v>HIPS</v>
      </c>
      <c r="F5" s="1692" t="str">
        <f>Mat_Inputs!G219</f>
        <v>HDPE</v>
      </c>
      <c r="G5" s="1692" t="str">
        <f>Mat_Inputs!H219</f>
        <v>LDPE</v>
      </c>
      <c r="H5" s="1692" t="str">
        <f>Mat_Inputs!I219</f>
        <v>LLDPE</v>
      </c>
      <c r="I5" s="1692" t="str">
        <f>Mat_Inputs!J219</f>
        <v>Nylon 6</v>
      </c>
      <c r="J5" s="1692" t="str">
        <f>Mat_Inputs!K219</f>
        <v>Nylon 66</v>
      </c>
      <c r="K5" s="1692" t="str">
        <f>Mat_Inputs!L219</f>
        <v>PC</v>
      </c>
      <c r="L5" s="1692" t="str">
        <f>Mat_Inputs!M219</f>
        <v>PET</v>
      </c>
      <c r="M5" s="1692" t="str">
        <f>Mat_Inputs!N219</f>
        <v>PP</v>
      </c>
      <c r="N5" s="1692" t="str">
        <f>Mat_Inputs!O219</f>
        <v>PUR Flexible Foam</v>
      </c>
      <c r="O5" s="1692" t="str">
        <f>Mat_Inputs!P219</f>
        <v>PUR Rigid Foam</v>
      </c>
      <c r="P5" s="1693" t="str">
        <f>Mat_Inputs!Q219</f>
        <v>PVC</v>
      </c>
      <c r="Q5" s="411"/>
    </row>
    <row r="6" spans="1:17" s="64" customFormat="1">
      <c r="A6" s="780">
        <f>Mat_Inputs!B220</f>
        <v>7.5999999999999998E-2</v>
      </c>
      <c r="B6" s="781">
        <f>Mat_Inputs!C220</f>
        <v>7.0999999999999994E-2</v>
      </c>
      <c r="C6" s="781">
        <f>Mat_Inputs!D220</f>
        <v>0.107</v>
      </c>
      <c r="D6" s="781">
        <f>Mat_Inputs!E220</f>
        <v>7.0000000000000001E-3</v>
      </c>
      <c r="E6" s="781">
        <f>Mat_Inputs!F220</f>
        <v>7.0000000000000001E-3</v>
      </c>
      <c r="F6" s="781">
        <f>Mat_Inputs!G220</f>
        <v>1.4E-2</v>
      </c>
      <c r="G6" s="781">
        <f>Mat_Inputs!H220</f>
        <v>1.4E-2</v>
      </c>
      <c r="H6" s="781">
        <f>Mat_Inputs!I220</f>
        <v>1.4E-2</v>
      </c>
      <c r="I6" s="781">
        <f>Mat_Inputs!J220</f>
        <v>1.0999999999999999E-2</v>
      </c>
      <c r="J6" s="781">
        <f>Mat_Inputs!K220</f>
        <v>7.0000000000000007E-2</v>
      </c>
      <c r="K6" s="781">
        <f>Mat_Inputs!L220</f>
        <v>3.5000000000000003E-2</v>
      </c>
      <c r="L6" s="781">
        <f>Mat_Inputs!M220</f>
        <v>1.7000000000000001E-2</v>
      </c>
      <c r="M6" s="781">
        <f>Mat_Inputs!N220</f>
        <v>0.18099999999999999</v>
      </c>
      <c r="N6" s="781">
        <f>Mat_Inputs!O220</f>
        <v>0.122</v>
      </c>
      <c r="O6" s="781">
        <f>Mat_Inputs!P220</f>
        <v>0.11600000000000001</v>
      </c>
      <c r="P6" s="782">
        <f>Mat_Inputs!Q220</f>
        <v>0.1379999999999999</v>
      </c>
      <c r="Q6" s="412"/>
    </row>
    <row r="7" spans="1:17" s="64" customFormat="1">
      <c r="A7" s="410"/>
    </row>
    <row r="8" spans="1:17" s="64" customFormat="1">
      <c r="A8" s="410" t="s">
        <v>1151</v>
      </c>
    </row>
    <row r="9" spans="1:17" s="64" customFormat="1">
      <c r="A9" s="783"/>
      <c r="B9" s="591" t="str">
        <f>Mat_Inputs!C223</f>
        <v>Liquid Epoxy</v>
      </c>
      <c r="C9" s="591" t="str">
        <f>Mat_Inputs!D223</f>
        <v>Glass Fiber</v>
      </c>
      <c r="D9" s="533" t="str">
        <f>Mat_Inputs!E223</f>
        <v>Inert Filler</v>
      </c>
    </row>
    <row r="10" spans="1:17" s="64" customFormat="1">
      <c r="A10" s="173" t="s">
        <v>388</v>
      </c>
      <c r="B10" s="1">
        <f>Mat_Inputs!C224</f>
        <v>0.3</v>
      </c>
      <c r="C10" s="1">
        <f>Mat_Inputs!D224</f>
        <v>0.3</v>
      </c>
      <c r="D10" s="51">
        <f>Mat_Inputs!E224</f>
        <v>0.39999999999999997</v>
      </c>
      <c r="G10" s="1596"/>
    </row>
    <row r="11" spans="1:17" s="1321" customFormat="1">
      <c r="A11" s="173" t="s">
        <v>389</v>
      </c>
      <c r="B11" s="1">
        <f>Mat_Inputs!C225</f>
        <v>0.4</v>
      </c>
      <c r="C11" s="1">
        <f>Mat_Inputs!D225</f>
        <v>0.6</v>
      </c>
      <c r="D11" s="51">
        <f>Mat_Inputs!E225</f>
        <v>0</v>
      </c>
      <c r="G11" s="1597"/>
      <c r="H11" s="1"/>
      <c r="I11" s="1"/>
      <c r="J11" s="1"/>
      <c r="K11" s="1"/>
      <c r="L11" s="1"/>
    </row>
    <row r="12" spans="1:17" s="1321" customFormat="1">
      <c r="A12" s="173" t="s">
        <v>390</v>
      </c>
      <c r="B12" s="1">
        <f>Mat_Inputs!C226</f>
        <v>0.5</v>
      </c>
      <c r="C12" s="1">
        <f>Mat_Inputs!D226</f>
        <v>0.5</v>
      </c>
      <c r="D12" s="51">
        <f>Mat_Inputs!E226</f>
        <v>0</v>
      </c>
    </row>
    <row r="13" spans="1:17" s="64" customFormat="1">
      <c r="A13" s="784"/>
      <c r="B13" s="591" t="str">
        <f>Mat_Inputs!C227</f>
        <v>Liquid Epoxy</v>
      </c>
      <c r="C13" s="591" t="str">
        <f>Mat_Inputs!D227</f>
        <v>Carbon Fiber</v>
      </c>
      <c r="D13" s="394"/>
    </row>
    <row r="14" spans="1:17" s="64" customFormat="1">
      <c r="A14" s="416" t="str">
        <f>Mat_Inputs!B228</f>
        <v>Carbon Fiber-Reinforced Plastic for General Use</v>
      </c>
      <c r="B14" s="382">
        <f>Mat_Inputs!C228</f>
        <v>0.7</v>
      </c>
      <c r="C14" s="382">
        <f>Mat_Inputs!D228</f>
        <v>0.30000000000000004</v>
      </c>
      <c r="D14" s="395"/>
    </row>
    <row r="15" spans="1:17" s="64" customFormat="1">
      <c r="A15" s="664" t="str">
        <f>Mat_Inputs!B229</f>
        <v>Carbon Fiber-Reinforced Plastic for High Pressure Vessels</v>
      </c>
      <c r="B15" s="368">
        <f>Mat_Inputs!C229</f>
        <v>0.32</v>
      </c>
      <c r="C15" s="368">
        <f>Mat_Inputs!D229</f>
        <v>0.67999999999999994</v>
      </c>
      <c r="D15" s="707"/>
    </row>
    <row r="16" spans="1:17" s="64" customFormat="1">
      <c r="A16" s="410"/>
    </row>
    <row r="17" spans="1:16" s="413" customFormat="1">
      <c r="A17" s="375" t="s">
        <v>1152</v>
      </c>
      <c r="B17" s="74"/>
    </row>
    <row r="18" spans="1:16" s="413" customFormat="1" ht="51">
      <c r="A18" s="1694"/>
      <c r="B18" s="1659" t="str">
        <f t="array" ref="B18:L19">TRANSPOSE(Mat_Inputs!$B$232:$C$242)</f>
        <v>Glass Fiber-Reinforced Plastic</v>
      </c>
      <c r="C18" s="1659" t="str">
        <v>Carbon Fiber-Reinforced Plastic</v>
      </c>
      <c r="D18" s="1659" t="str">
        <v>Blow Molding (HDPE)</v>
      </c>
      <c r="E18" s="1659" t="str">
        <v>Calendaring (PVC)</v>
      </c>
      <c r="F18" s="1659" t="str">
        <v>Compression Molding</v>
      </c>
      <c r="G18" s="1659" t="str">
        <v>Extrusion (HDPE)</v>
      </c>
      <c r="H18" s="1659" t="str">
        <v>Extrusion (PVC)</v>
      </c>
      <c r="I18" s="1659" t="str">
        <v>Extrusion (PP)</v>
      </c>
      <c r="J18" s="1659" t="str">
        <v>Injection Molding (HDPE)</v>
      </c>
      <c r="K18" s="1659" t="str">
        <v>Injection Molding (PVC)</v>
      </c>
      <c r="L18" s="1660" t="str">
        <v>Injection Molding (PP)</v>
      </c>
      <c r="N18" s="397"/>
    </row>
    <row r="19" spans="1:16" s="413" customFormat="1">
      <c r="A19" s="277"/>
      <c r="B19" s="470">
        <v>1.1399999999999999</v>
      </c>
      <c r="C19" s="470">
        <v>1.1399999999999999</v>
      </c>
      <c r="D19" s="785">
        <v>1.0003</v>
      </c>
      <c r="E19" s="470">
        <v>1.1554</v>
      </c>
      <c r="F19" s="470">
        <v>1</v>
      </c>
      <c r="G19" s="470">
        <v>0.94589999999999996</v>
      </c>
      <c r="H19" s="470">
        <v>1.0024</v>
      </c>
      <c r="I19" s="470">
        <v>1.0018</v>
      </c>
      <c r="J19" s="470">
        <v>1.0056</v>
      </c>
      <c r="K19" s="470">
        <v>1.0306999999999999</v>
      </c>
      <c r="L19" s="472">
        <v>1.1393</v>
      </c>
      <c r="N19" s="414"/>
      <c r="O19" s="39"/>
    </row>
    <row r="20" spans="1:16" s="413" customFormat="1">
      <c r="B20" s="414"/>
      <c r="C20" s="39"/>
      <c r="D20" s="39"/>
      <c r="E20" s="39"/>
      <c r="F20" s="39"/>
      <c r="G20" s="39"/>
      <c r="H20" s="39"/>
      <c r="I20" s="39"/>
      <c r="J20" s="39"/>
      <c r="K20" s="39"/>
      <c r="L20" s="39"/>
      <c r="N20" s="414"/>
    </row>
    <row r="21" spans="1:16" s="413" customFormat="1">
      <c r="A21" s="111" t="s">
        <v>1153</v>
      </c>
      <c r="B21" s="414"/>
      <c r="C21" s="414"/>
      <c r="D21" s="415"/>
      <c r="E21" s="414"/>
      <c r="F21" s="414"/>
      <c r="G21" s="414"/>
      <c r="H21" s="414"/>
      <c r="I21" s="414"/>
      <c r="J21" s="414"/>
      <c r="K21" s="414"/>
      <c r="L21" s="414"/>
      <c r="N21" s="414"/>
    </row>
    <row r="22" spans="1:16" s="413" customFormat="1" ht="51">
      <c r="A22" s="1695" t="str">
        <f t="array" ref="A22:L35">TRANSPOSE(Mat_Inputs!B245:O256)</f>
        <v/>
      </c>
      <c r="B22" s="1696" t="str">
        <v>Glass Fiber-Reinforced Plastic</v>
      </c>
      <c r="C22" s="1659" t="str">
        <v>Carbon Fiber-Reinforced Plastic</v>
      </c>
      <c r="D22" s="1659" t="str">
        <v>Blow Molding (HDPE)</v>
      </c>
      <c r="E22" s="1659" t="str">
        <v>Calendaring (PVC)</v>
      </c>
      <c r="F22" s="1659" t="str">
        <v>Compression Molding</v>
      </c>
      <c r="G22" s="1659" t="str">
        <v>Extrusion (HDPE)</v>
      </c>
      <c r="H22" s="1659" t="str">
        <v>Extrusion (PVC)</v>
      </c>
      <c r="I22" s="1659" t="str">
        <v>Extrusion (PP)</v>
      </c>
      <c r="J22" s="1659" t="str">
        <v>Injection Molding (HDPE)</v>
      </c>
      <c r="K22" s="1659" t="str">
        <v>Injection Molding (PVC)</v>
      </c>
      <c r="L22" s="1660" t="str">
        <v>Injection Molding (PP)</v>
      </c>
      <c r="N22" s="414"/>
    </row>
    <row r="23" spans="1:16" s="413" customFormat="1">
      <c r="A23" s="700" t="str">
        <v>GFRP</v>
      </c>
      <c r="B23" s="416">
        <v>1</v>
      </c>
      <c r="C23" s="382">
        <v>0</v>
      </c>
      <c r="D23" s="382">
        <v>0</v>
      </c>
      <c r="E23" s="382">
        <v>0</v>
      </c>
      <c r="F23" s="382">
        <v>0</v>
      </c>
      <c r="G23" s="382">
        <v>0</v>
      </c>
      <c r="H23" s="382">
        <v>0</v>
      </c>
      <c r="I23" s="382">
        <v>0</v>
      </c>
      <c r="J23" s="382">
        <v>0</v>
      </c>
      <c r="K23" s="382">
        <v>0</v>
      </c>
      <c r="L23" s="588">
        <v>0</v>
      </c>
      <c r="N23" s="39"/>
    </row>
    <row r="24" spans="1:16" s="413" customFormat="1">
      <c r="A24" s="700" t="str">
        <v>CFRP</v>
      </c>
      <c r="B24" s="416">
        <v>0</v>
      </c>
      <c r="C24" s="382">
        <v>1</v>
      </c>
      <c r="D24" s="382">
        <v>0</v>
      </c>
      <c r="E24" s="382">
        <v>0</v>
      </c>
      <c r="F24" s="382">
        <v>0</v>
      </c>
      <c r="G24" s="382">
        <v>0</v>
      </c>
      <c r="H24" s="382">
        <v>0</v>
      </c>
      <c r="I24" s="382">
        <v>0</v>
      </c>
      <c r="J24" s="382">
        <v>0</v>
      </c>
      <c r="K24" s="382">
        <v>0</v>
      </c>
      <c r="L24" s="588">
        <v>0</v>
      </c>
      <c r="N24" s="39"/>
    </row>
    <row r="25" spans="1:16" s="413" customFormat="1">
      <c r="A25" s="700" t="str">
        <v>ABS</v>
      </c>
      <c r="B25" s="416">
        <v>0</v>
      </c>
      <c r="C25" s="382">
        <v>0</v>
      </c>
      <c r="D25" s="382">
        <v>0</v>
      </c>
      <c r="E25" s="382">
        <v>0</v>
      </c>
      <c r="F25" s="382">
        <v>0.23799999999999999</v>
      </c>
      <c r="G25" s="382">
        <v>0.17499999999999999</v>
      </c>
      <c r="H25" s="382">
        <v>0</v>
      </c>
      <c r="I25" s="382">
        <v>0</v>
      </c>
      <c r="J25" s="382">
        <v>0</v>
      </c>
      <c r="K25" s="382">
        <v>0</v>
      </c>
      <c r="L25" s="588">
        <v>0.58699999999999997</v>
      </c>
      <c r="N25" s="39"/>
    </row>
    <row r="26" spans="1:16" s="413" customFormat="1">
      <c r="A26" s="700" t="str">
        <v>EPDM</v>
      </c>
      <c r="B26" s="416">
        <v>0</v>
      </c>
      <c r="C26" s="382">
        <v>0</v>
      </c>
      <c r="D26" s="382">
        <v>0</v>
      </c>
      <c r="E26" s="382">
        <v>0</v>
      </c>
      <c r="F26" s="382">
        <v>0.31900000000000001</v>
      </c>
      <c r="G26" s="382">
        <v>0.27500000000000002</v>
      </c>
      <c r="H26" s="382">
        <v>0</v>
      </c>
      <c r="I26" s="382">
        <v>0</v>
      </c>
      <c r="J26" s="382">
        <v>0</v>
      </c>
      <c r="K26" s="382">
        <v>0</v>
      </c>
      <c r="L26" s="588">
        <v>0.40599999999999992</v>
      </c>
      <c r="N26" s="39"/>
    </row>
    <row r="27" spans="1:16" s="413" customFormat="1">
      <c r="A27" s="700" t="str">
        <v>HPDE</v>
      </c>
      <c r="B27" s="416">
        <v>0</v>
      </c>
      <c r="C27" s="382">
        <v>0</v>
      </c>
      <c r="D27" s="382">
        <v>0</v>
      </c>
      <c r="E27" s="382">
        <v>0</v>
      </c>
      <c r="F27" s="382">
        <v>0.24249999999999999</v>
      </c>
      <c r="G27" s="382">
        <v>9.2499999999999999E-2</v>
      </c>
      <c r="H27" s="382">
        <v>0</v>
      </c>
      <c r="I27" s="382">
        <v>0</v>
      </c>
      <c r="J27" s="382">
        <v>0.66500000000000004</v>
      </c>
      <c r="K27" s="382">
        <v>0</v>
      </c>
      <c r="L27" s="588">
        <v>0</v>
      </c>
      <c r="N27" s="39"/>
    </row>
    <row r="28" spans="1:16" s="413" customFormat="1">
      <c r="A28" s="700" t="str">
        <v>LDPE</v>
      </c>
      <c r="B28" s="416">
        <v>0</v>
      </c>
      <c r="C28" s="382">
        <v>0</v>
      </c>
      <c r="D28" s="382">
        <v>0</v>
      </c>
      <c r="E28" s="382">
        <v>0</v>
      </c>
      <c r="F28" s="382">
        <v>0.24249999999999999</v>
      </c>
      <c r="G28" s="382">
        <v>9.2499999999999999E-2</v>
      </c>
      <c r="H28" s="382">
        <v>0</v>
      </c>
      <c r="I28" s="382">
        <v>0</v>
      </c>
      <c r="J28" s="382">
        <v>0.66500000000000004</v>
      </c>
      <c r="K28" s="382">
        <v>0</v>
      </c>
      <c r="L28" s="588">
        <v>0</v>
      </c>
      <c r="N28" s="39"/>
      <c r="O28" s="39"/>
      <c r="P28" s="39"/>
    </row>
    <row r="29" spans="1:16" s="413" customFormat="1">
      <c r="A29" s="700" t="str">
        <v>LLDPE</v>
      </c>
      <c r="B29" s="416">
        <v>0</v>
      </c>
      <c r="C29" s="382">
        <v>0</v>
      </c>
      <c r="D29" s="382">
        <v>0</v>
      </c>
      <c r="E29" s="382">
        <v>0</v>
      </c>
      <c r="F29" s="382">
        <v>0.24249999999999999</v>
      </c>
      <c r="G29" s="382">
        <v>9.2499999999999999E-2</v>
      </c>
      <c r="H29" s="382">
        <v>0</v>
      </c>
      <c r="I29" s="382">
        <v>0</v>
      </c>
      <c r="J29" s="382">
        <v>0.66500000000000004</v>
      </c>
      <c r="K29" s="382">
        <v>0</v>
      </c>
      <c r="L29" s="588">
        <v>0</v>
      </c>
      <c r="N29" s="39"/>
      <c r="O29" s="39"/>
      <c r="P29" s="39"/>
    </row>
    <row r="30" spans="1:16" s="413" customFormat="1">
      <c r="A30" s="700" t="str">
        <v>Nylon 6</v>
      </c>
      <c r="B30" s="416">
        <v>0</v>
      </c>
      <c r="C30" s="382">
        <v>0</v>
      </c>
      <c r="D30" s="382">
        <v>0.36399999999999999</v>
      </c>
      <c r="E30" s="382">
        <v>0</v>
      </c>
      <c r="F30" s="382">
        <v>0.45400000000000001</v>
      </c>
      <c r="G30" s="382">
        <v>0</v>
      </c>
      <c r="H30" s="382">
        <v>0</v>
      </c>
      <c r="I30" s="382">
        <v>0</v>
      </c>
      <c r="J30" s="382">
        <v>0</v>
      </c>
      <c r="K30" s="382">
        <v>0</v>
      </c>
      <c r="L30" s="588">
        <v>0.18199999999999994</v>
      </c>
      <c r="N30" s="39"/>
      <c r="O30" s="39"/>
      <c r="P30" s="39"/>
    </row>
    <row r="31" spans="1:16" s="413" customFormat="1">
      <c r="A31" s="700" t="str">
        <v>Nylon 66</v>
      </c>
      <c r="B31" s="416">
        <v>0</v>
      </c>
      <c r="C31" s="382">
        <v>0</v>
      </c>
      <c r="D31" s="382">
        <v>0</v>
      </c>
      <c r="E31" s="382">
        <v>0</v>
      </c>
      <c r="F31" s="382">
        <v>0.34300000000000003</v>
      </c>
      <c r="G31" s="382">
        <v>0.29899999999999999</v>
      </c>
      <c r="H31" s="382">
        <v>0</v>
      </c>
      <c r="I31" s="382">
        <v>0</v>
      </c>
      <c r="J31" s="382">
        <v>0</v>
      </c>
      <c r="K31" s="382">
        <v>0</v>
      </c>
      <c r="L31" s="588">
        <v>0.35799999999999998</v>
      </c>
      <c r="N31" s="39"/>
      <c r="O31" s="39"/>
      <c r="P31" s="39"/>
    </row>
    <row r="32" spans="1:16" s="413" customFormat="1">
      <c r="A32" s="700" t="str">
        <v>PC</v>
      </c>
      <c r="B32" s="416">
        <v>0</v>
      </c>
      <c r="C32" s="382">
        <v>0</v>
      </c>
      <c r="D32" s="382">
        <v>0</v>
      </c>
      <c r="E32" s="382">
        <v>0</v>
      </c>
      <c r="F32" s="382">
        <v>0.22</v>
      </c>
      <c r="G32" s="382">
        <v>0</v>
      </c>
      <c r="H32" s="382">
        <v>0</v>
      </c>
      <c r="I32" s="382">
        <v>0</v>
      </c>
      <c r="J32" s="382">
        <v>0</v>
      </c>
      <c r="K32" s="382">
        <v>0</v>
      </c>
      <c r="L32" s="588">
        <v>0.78</v>
      </c>
      <c r="N32" s="39"/>
      <c r="O32" s="39"/>
      <c r="P32" s="39"/>
    </row>
    <row r="33" spans="1:39" s="413" customFormat="1">
      <c r="A33" s="700" t="str">
        <v>PET</v>
      </c>
      <c r="B33" s="416">
        <v>0</v>
      </c>
      <c r="C33" s="382">
        <v>0</v>
      </c>
      <c r="D33" s="382">
        <v>0</v>
      </c>
      <c r="E33" s="382">
        <v>0</v>
      </c>
      <c r="F33" s="382">
        <v>0.5</v>
      </c>
      <c r="G33" s="382">
        <v>0</v>
      </c>
      <c r="H33" s="382">
        <v>0</v>
      </c>
      <c r="I33" s="382">
        <v>0</v>
      </c>
      <c r="J33" s="382">
        <v>0</v>
      </c>
      <c r="K33" s="382">
        <v>0</v>
      </c>
      <c r="L33" s="588">
        <v>0.5</v>
      </c>
      <c r="N33" s="39"/>
      <c r="O33" s="39"/>
      <c r="P33" s="39"/>
    </row>
    <row r="34" spans="1:39" s="413" customFormat="1">
      <c r="A34" s="700" t="str">
        <v>PP</v>
      </c>
      <c r="B34" s="416">
        <v>0</v>
      </c>
      <c r="C34" s="382">
        <v>0</v>
      </c>
      <c r="D34" s="382">
        <v>9.1999999999999998E-2</v>
      </c>
      <c r="E34" s="382">
        <v>0</v>
      </c>
      <c r="F34" s="382">
        <v>0.15329999999999999</v>
      </c>
      <c r="G34" s="382">
        <v>0</v>
      </c>
      <c r="H34" s="382">
        <v>0</v>
      </c>
      <c r="I34" s="382">
        <v>1.9E-2</v>
      </c>
      <c r="J34" s="382">
        <v>0</v>
      </c>
      <c r="K34" s="382">
        <v>0</v>
      </c>
      <c r="L34" s="588">
        <v>0.73570000000000002</v>
      </c>
      <c r="N34" s="39"/>
      <c r="O34" s="39"/>
      <c r="P34" s="39"/>
    </row>
    <row r="35" spans="1:39" s="413" customFormat="1">
      <c r="A35" s="701" t="str">
        <v>PVC</v>
      </c>
      <c r="B35" s="664">
        <v>0</v>
      </c>
      <c r="C35" s="368">
        <v>0</v>
      </c>
      <c r="D35" s="368">
        <v>0</v>
      </c>
      <c r="E35" s="368">
        <v>0.18099999999999999</v>
      </c>
      <c r="F35" s="368">
        <v>1.4999999999999999E-2</v>
      </c>
      <c r="G35" s="368">
        <v>0</v>
      </c>
      <c r="H35" s="368">
        <v>0.51100000000000001</v>
      </c>
      <c r="I35" s="368">
        <v>0</v>
      </c>
      <c r="J35" s="368">
        <v>0</v>
      </c>
      <c r="K35" s="368">
        <v>0.29299999999999998</v>
      </c>
      <c r="L35" s="428">
        <v>0</v>
      </c>
      <c r="N35" s="39"/>
      <c r="O35" s="39"/>
      <c r="P35" s="39"/>
    </row>
    <row r="36" spans="1:39" s="64" customFormat="1">
      <c r="A36" s="417"/>
      <c r="B36" s="417"/>
      <c r="C36" s="417"/>
      <c r="D36" s="417"/>
      <c r="E36" s="417"/>
      <c r="F36" s="417"/>
      <c r="G36" s="417"/>
      <c r="H36" s="417"/>
      <c r="I36" s="417"/>
      <c r="J36" s="417"/>
      <c r="K36" s="417"/>
      <c r="L36" s="417"/>
      <c r="M36" s="417"/>
      <c r="N36" s="417"/>
      <c r="O36" s="382"/>
      <c r="P36" s="382"/>
    </row>
    <row r="37" spans="1:39" s="64" customFormat="1">
      <c r="A37" s="2973" t="s">
        <v>2282</v>
      </c>
      <c r="B37" s="62"/>
      <c r="C37" s="62"/>
      <c r="D37" s="62"/>
      <c r="E37" s="413"/>
      <c r="F37" s="417"/>
      <c r="G37" s="417"/>
      <c r="H37" s="417"/>
      <c r="I37" s="417"/>
      <c r="J37" s="417"/>
      <c r="K37" s="417"/>
      <c r="L37" s="417"/>
      <c r="M37" s="417"/>
      <c r="N37" s="417"/>
      <c r="O37" s="382"/>
      <c r="P37" s="382"/>
    </row>
    <row r="38" spans="1:39" s="64" customFormat="1" ht="38.25">
      <c r="A38" s="1739"/>
      <c r="B38" s="379" t="s">
        <v>2277</v>
      </c>
      <c r="C38" s="378" t="s">
        <v>2278</v>
      </c>
      <c r="D38" s="380" t="s">
        <v>2279</v>
      </c>
      <c r="E38" s="413"/>
      <c r="F38" s="417"/>
      <c r="G38" s="417"/>
      <c r="H38" s="417"/>
      <c r="I38" s="417"/>
      <c r="J38" s="417"/>
      <c r="K38" s="417"/>
      <c r="L38" s="417"/>
      <c r="M38" s="417"/>
      <c r="N38" s="417"/>
      <c r="O38" s="382"/>
      <c r="P38" s="382"/>
    </row>
    <row r="39" spans="1:39" s="64" customFormat="1">
      <c r="A39" s="2556" t="s">
        <v>998</v>
      </c>
      <c r="B39" s="2974">
        <f xml:space="preserve"> Mat_Inputs!C260</f>
        <v>0.48</v>
      </c>
      <c r="C39" s="392"/>
      <c r="D39" s="394"/>
      <c r="E39" s="413"/>
      <c r="F39" s="417"/>
      <c r="G39" s="417"/>
      <c r="H39" s="417"/>
      <c r="I39" s="417"/>
      <c r="J39" s="417"/>
      <c r="K39" s="417"/>
      <c r="L39" s="417"/>
      <c r="M39" s="417"/>
      <c r="N39" s="417"/>
      <c r="O39" s="382"/>
      <c r="P39" s="382"/>
    </row>
    <row r="40" spans="1:39" s="64" customFormat="1">
      <c r="A40" s="230" t="s">
        <v>2280</v>
      </c>
      <c r="B40" s="2975">
        <f xml:space="preserve"> Mat_Inputs!C261</f>
        <v>1.175</v>
      </c>
      <c r="C40" s="62"/>
      <c r="D40" s="395"/>
      <c r="E40" s="413"/>
      <c r="F40" s="417"/>
      <c r="G40" s="417"/>
      <c r="H40" s="417"/>
      <c r="I40" s="417"/>
      <c r="J40" s="417"/>
      <c r="K40" s="417"/>
      <c r="L40" s="417"/>
      <c r="M40" s="417"/>
      <c r="N40" s="417"/>
      <c r="O40" s="382"/>
      <c r="P40" s="382"/>
    </row>
    <row r="41" spans="1:39" s="64" customFormat="1">
      <c r="A41" s="230" t="s">
        <v>2277</v>
      </c>
      <c r="B41" s="230"/>
      <c r="C41" s="415">
        <f xml:space="preserve"> Mat_Inputs!D262</f>
        <v>0.95199999999999996</v>
      </c>
      <c r="D41" s="395"/>
      <c r="E41" s="413"/>
      <c r="F41" s="417"/>
      <c r="G41" s="417"/>
      <c r="H41" s="417"/>
      <c r="I41" s="417"/>
      <c r="J41" s="417"/>
      <c r="K41" s="417"/>
      <c r="L41" s="417"/>
      <c r="M41" s="417"/>
      <c r="N41" s="417"/>
      <c r="O41" s="382"/>
      <c r="P41" s="382"/>
    </row>
    <row r="42" spans="1:39" s="64" customFormat="1">
      <c r="A42" s="230" t="s">
        <v>2281</v>
      </c>
      <c r="B42" s="230"/>
      <c r="C42" s="415">
        <f xml:space="preserve"> Mat_Inputs!D263</f>
        <v>4.8000000000000001E-2</v>
      </c>
      <c r="D42" s="395"/>
      <c r="E42" s="413"/>
      <c r="F42" s="417"/>
      <c r="G42" s="417"/>
      <c r="H42" s="417"/>
      <c r="I42" s="417"/>
      <c r="J42" s="417"/>
      <c r="K42" s="417"/>
      <c r="L42" s="417"/>
      <c r="M42" s="417"/>
      <c r="N42" s="417"/>
      <c r="O42" s="382"/>
      <c r="P42" s="382"/>
    </row>
    <row r="43" spans="1:39" s="64" customFormat="1">
      <c r="A43" s="589" t="s">
        <v>2278</v>
      </c>
      <c r="B43" s="589"/>
      <c r="C43" s="750"/>
      <c r="D43" s="2976">
        <f xml:space="preserve"> Mat_Inputs!E264</f>
        <v>2.08</v>
      </c>
      <c r="E43" s="413"/>
      <c r="F43" s="417"/>
      <c r="G43" s="417"/>
      <c r="H43" s="417"/>
      <c r="I43" s="417"/>
      <c r="J43" s="417"/>
      <c r="K43" s="417"/>
      <c r="L43" s="417"/>
      <c r="M43" s="417"/>
      <c r="N43" s="417"/>
      <c r="O43" s="382"/>
      <c r="P43" s="382"/>
    </row>
    <row r="44" spans="1:39" s="64" customFormat="1">
      <c r="A44" s="417"/>
      <c r="B44" s="417"/>
      <c r="C44" s="417"/>
      <c r="D44" s="417"/>
      <c r="E44" s="417"/>
      <c r="F44" s="417"/>
      <c r="G44" s="417"/>
      <c r="H44" s="417"/>
      <c r="I44" s="417"/>
      <c r="J44" s="417"/>
      <c r="K44" s="417"/>
      <c r="L44" s="417"/>
      <c r="M44" s="417"/>
      <c r="N44" s="417"/>
      <c r="O44" s="382"/>
      <c r="P44" s="382"/>
    </row>
    <row r="45" spans="1:39" s="64" customFormat="1" ht="15">
      <c r="A45" s="421" t="s">
        <v>762</v>
      </c>
      <c r="N45" s="417"/>
      <c r="O45" s="382"/>
      <c r="P45" s="382"/>
    </row>
    <row r="46" spans="1:39" s="64" customFormat="1">
      <c r="A46" s="786" t="s">
        <v>769</v>
      </c>
      <c r="B46" s="533">
        <v>1</v>
      </c>
      <c r="N46" s="417"/>
      <c r="O46" s="382"/>
      <c r="P46" s="382"/>
    </row>
    <row r="47" spans="1:39" s="64" customFormat="1">
      <c r="A47" s="787" t="s">
        <v>770</v>
      </c>
      <c r="B47" s="588">
        <v>1</v>
      </c>
      <c r="N47" s="382"/>
      <c r="O47" s="382"/>
    </row>
    <row r="48" spans="1:39" s="64" customFormat="1">
      <c r="A48" s="788" t="s">
        <v>773</v>
      </c>
      <c r="B48" s="428">
        <v>1</v>
      </c>
      <c r="Z48" s="1588"/>
      <c r="AE48" s="1588"/>
      <c r="AF48" s="1588"/>
      <c r="AG48" s="1588"/>
      <c r="AH48" s="1588"/>
      <c r="AI48" s="1588"/>
      <c r="AJ48" s="1588"/>
      <c r="AK48" s="1588"/>
      <c r="AL48" s="1588"/>
      <c r="AM48" s="1588"/>
    </row>
    <row r="49" spans="1:85" s="64" customFormat="1">
      <c r="A49" s="417"/>
      <c r="Z49" s="1588"/>
      <c r="AE49" s="1588"/>
      <c r="AF49" s="1588"/>
      <c r="AG49" s="1588"/>
      <c r="AH49" s="1588"/>
      <c r="AI49" s="1588"/>
      <c r="AJ49" s="1588"/>
      <c r="AK49" s="1588"/>
      <c r="AL49" s="1588"/>
      <c r="AM49" s="1588"/>
    </row>
    <row r="50" spans="1:85" s="64" customFormat="1" ht="15">
      <c r="A50" s="421" t="s">
        <v>784</v>
      </c>
      <c r="H50" s="62"/>
      <c r="I50" s="62"/>
      <c r="J50" s="62"/>
      <c r="K50" s="62"/>
      <c r="L50" s="62"/>
      <c r="M50" s="62"/>
      <c r="N50" s="62"/>
      <c r="O50" s="62"/>
      <c r="Z50" s="1588"/>
      <c r="AE50" s="1588"/>
      <c r="AF50" s="1588"/>
      <c r="AG50" s="1588"/>
      <c r="AH50" s="1588"/>
      <c r="AI50" s="1588"/>
      <c r="AJ50" s="1588"/>
      <c r="AK50" s="1588"/>
      <c r="AL50" s="1588"/>
      <c r="AM50" s="1588"/>
    </row>
    <row r="51" spans="1:85" s="64" customFormat="1" ht="60.75" customHeight="1">
      <c r="A51" s="789"/>
      <c r="B51" s="2980" t="s">
        <v>372</v>
      </c>
      <c r="C51" s="2981"/>
      <c r="D51" s="2980" t="s">
        <v>387</v>
      </c>
      <c r="E51" s="2981"/>
      <c r="F51" s="2980" t="s">
        <v>1154</v>
      </c>
      <c r="G51" s="2981"/>
      <c r="H51" s="2980" t="s">
        <v>1155</v>
      </c>
      <c r="I51" s="2981"/>
      <c r="J51" s="2980" t="s">
        <v>1156</v>
      </c>
      <c r="K51" s="2981"/>
      <c r="L51" s="2980" t="s">
        <v>1157</v>
      </c>
      <c r="M51" s="2981"/>
      <c r="N51" s="2980" t="s">
        <v>2277</v>
      </c>
      <c r="O51" s="2981"/>
      <c r="P51" s="2980" t="s">
        <v>2283</v>
      </c>
      <c r="Q51" s="2981"/>
      <c r="R51" s="2980" t="s">
        <v>2278</v>
      </c>
      <c r="S51" s="2981"/>
      <c r="T51" s="2980" t="s">
        <v>2284</v>
      </c>
      <c r="U51" s="2981"/>
      <c r="X51" s="3093"/>
      <c r="Y51" s="3093"/>
      <c r="Z51" s="1588"/>
      <c r="AE51" s="1588"/>
      <c r="AF51" s="1588"/>
      <c r="AG51" s="1588"/>
      <c r="AX51" s="3093"/>
      <c r="AY51" s="3093"/>
      <c r="AZ51" s="3093"/>
      <c r="BA51" s="3093"/>
      <c r="BB51" s="3093"/>
      <c r="BC51" s="3093"/>
      <c r="BD51" s="3093"/>
      <c r="BE51" s="3093"/>
      <c r="BF51" s="3093"/>
      <c r="BG51" s="3093"/>
      <c r="BH51" s="3093"/>
      <c r="BI51" s="3093"/>
      <c r="BJ51" s="3093"/>
      <c r="BK51" s="3093"/>
    </row>
    <row r="52" spans="1:85" s="64" customFormat="1" ht="73.5" customHeight="1">
      <c r="A52" s="790"/>
      <c r="B52" s="1673" t="s">
        <v>785</v>
      </c>
      <c r="C52" s="1674" t="s">
        <v>786</v>
      </c>
      <c r="D52" s="1673" t="s">
        <v>785</v>
      </c>
      <c r="E52" s="1674" t="s">
        <v>786</v>
      </c>
      <c r="F52" s="1673" t="s">
        <v>785</v>
      </c>
      <c r="G52" s="1674" t="s">
        <v>786</v>
      </c>
      <c r="H52" s="1673" t="s">
        <v>785</v>
      </c>
      <c r="I52" s="1674" t="s">
        <v>786</v>
      </c>
      <c r="J52" s="1673" t="s">
        <v>785</v>
      </c>
      <c r="K52" s="1674" t="s">
        <v>786</v>
      </c>
      <c r="L52" s="1673" t="s">
        <v>785</v>
      </c>
      <c r="M52" s="1674" t="s">
        <v>786</v>
      </c>
      <c r="N52" s="1673" t="s">
        <v>785</v>
      </c>
      <c r="O52" s="1674" t="s">
        <v>786</v>
      </c>
      <c r="P52" s="1673" t="s">
        <v>785</v>
      </c>
      <c r="Q52" s="1674" t="s">
        <v>786</v>
      </c>
      <c r="R52" s="1673" t="s">
        <v>785</v>
      </c>
      <c r="S52" s="1674" t="s">
        <v>786</v>
      </c>
      <c r="T52" s="1673" t="s">
        <v>785</v>
      </c>
      <c r="U52" s="1674" t="s">
        <v>786</v>
      </c>
      <c r="X52" s="1588"/>
      <c r="Y52" s="1588"/>
      <c r="Z52" s="1588"/>
      <c r="AE52" s="1588"/>
      <c r="AF52" s="1588"/>
      <c r="AG52" s="1588"/>
      <c r="AX52" s="1588"/>
      <c r="AY52" s="1588"/>
      <c r="AZ52" s="1588"/>
      <c r="BA52" s="1588"/>
      <c r="BB52" s="1588"/>
      <c r="BC52" s="1588"/>
      <c r="BD52" s="1588"/>
      <c r="BE52" s="1588"/>
      <c r="BF52" s="1588"/>
      <c r="BG52" s="1588"/>
      <c r="BH52" s="1588"/>
      <c r="BI52" s="1588"/>
      <c r="BJ52" s="1588"/>
      <c r="BK52" s="1588"/>
      <c r="BL52" s="418"/>
      <c r="BM52" s="418"/>
      <c r="BN52" s="418"/>
      <c r="BO52" s="418"/>
      <c r="BP52" s="418"/>
      <c r="BQ52" s="418"/>
      <c r="BR52" s="418"/>
      <c r="BS52" s="418"/>
      <c r="BT52" s="418"/>
      <c r="BU52" s="418"/>
      <c r="BV52" s="418"/>
      <c r="BW52" s="418"/>
      <c r="BX52" s="418"/>
      <c r="BY52" s="418"/>
      <c r="BZ52" s="418"/>
      <c r="CA52" s="418"/>
      <c r="CB52" s="418"/>
      <c r="CC52" s="418"/>
      <c r="CD52" s="418"/>
      <c r="CE52" s="418"/>
      <c r="CF52" s="418"/>
      <c r="CG52" s="418"/>
    </row>
    <row r="53" spans="1:85" s="64" customFormat="1" ht="25.5">
      <c r="A53" s="791" t="s">
        <v>797</v>
      </c>
      <c r="B53" s="2615">
        <f>Mat_Inputs!B428</f>
        <v>58.664999999999999</v>
      </c>
      <c r="C53" s="1013"/>
      <c r="D53" s="2615">
        <f>Mat_Inputs!B442</f>
        <v>0.64100000000000001</v>
      </c>
      <c r="E53" s="1013"/>
      <c r="F53" s="2615">
        <f>Mat_Inputs!B444</f>
        <v>3.01</v>
      </c>
      <c r="G53" s="1013"/>
      <c r="H53" s="2615">
        <f>Mat_Inputs!B445</f>
        <v>3.698</v>
      </c>
      <c r="I53" s="1013"/>
      <c r="J53" s="2615">
        <f>Mat_Inputs!B446</f>
        <v>11.007</v>
      </c>
      <c r="K53" s="1013"/>
      <c r="L53" s="2615">
        <f>Mat_Inputs!B447</f>
        <v>7.8860000000000001</v>
      </c>
      <c r="M53" s="1013"/>
      <c r="N53" s="1760">
        <v>1.891</v>
      </c>
      <c r="O53" s="558"/>
      <c r="P53" s="2964">
        <v>97.846999999999994</v>
      </c>
      <c r="Q53" s="558"/>
      <c r="R53" s="2964">
        <v>11.375999999999999</v>
      </c>
      <c r="S53" s="558"/>
      <c r="T53" s="2964">
        <v>71.915999999999997</v>
      </c>
      <c r="U53" s="558"/>
      <c r="X53" s="1589"/>
      <c r="Y53" s="1590"/>
      <c r="Z53" s="1588"/>
      <c r="AE53" s="1588"/>
      <c r="AF53" s="1588"/>
      <c r="AG53" s="1588"/>
      <c r="AX53" s="1589"/>
      <c r="AY53" s="1590"/>
      <c r="AZ53" s="1589"/>
      <c r="BA53" s="1590"/>
      <c r="BB53" s="1589"/>
      <c r="BC53" s="1590"/>
      <c r="BD53" s="1589"/>
      <c r="BE53" s="1590"/>
      <c r="BF53" s="1589"/>
      <c r="BG53" s="1590"/>
      <c r="BH53" s="1589"/>
      <c r="BI53" s="1590"/>
      <c r="BJ53" s="1589"/>
      <c r="BK53" s="1590"/>
    </row>
    <row r="54" spans="1:85" s="64" customFormat="1">
      <c r="A54" s="790" t="s">
        <v>798</v>
      </c>
      <c r="B54" s="1021">
        <v>0</v>
      </c>
      <c r="C54" s="1013"/>
      <c r="D54" s="1021">
        <v>0</v>
      </c>
      <c r="E54" s="1013"/>
      <c r="F54" s="1021">
        <v>0</v>
      </c>
      <c r="G54" s="1013"/>
      <c r="H54" s="1021">
        <v>0</v>
      </c>
      <c r="I54" s="1013"/>
      <c r="J54" s="1021">
        <v>0</v>
      </c>
      <c r="K54" s="1013"/>
      <c r="L54" s="1021">
        <v>0</v>
      </c>
      <c r="M54" s="1013"/>
      <c r="N54" s="2965">
        <v>0</v>
      </c>
      <c r="O54" s="1068"/>
      <c r="P54" s="1473">
        <v>0</v>
      </c>
      <c r="Q54" s="1068"/>
      <c r="R54" s="2966">
        <v>0</v>
      </c>
      <c r="S54" s="1068"/>
      <c r="T54" s="1473">
        <v>0</v>
      </c>
      <c r="U54" s="1068"/>
      <c r="X54" s="1591"/>
      <c r="Y54" s="1590"/>
      <c r="Z54" s="1588"/>
      <c r="AE54" s="1588"/>
      <c r="AF54" s="1588"/>
      <c r="AG54" s="1588"/>
      <c r="AX54" s="1591"/>
      <c r="AY54" s="1590"/>
      <c r="AZ54" s="1591"/>
      <c r="BA54" s="1590"/>
      <c r="BB54" s="1591"/>
      <c r="BC54" s="1590"/>
      <c r="BD54" s="1591"/>
      <c r="BE54" s="1590"/>
      <c r="BF54" s="1591"/>
      <c r="BG54" s="1590"/>
      <c r="BH54" s="1591"/>
      <c r="BI54" s="1590"/>
      <c r="BJ54" s="1591"/>
      <c r="BK54" s="1590"/>
    </row>
    <row r="55" spans="1:85" s="64" customFormat="1">
      <c r="A55" s="789" t="s">
        <v>799</v>
      </c>
      <c r="B55" s="523"/>
      <c r="C55" s="1029"/>
      <c r="D55" s="523"/>
      <c r="E55" s="1029"/>
      <c r="F55" s="523"/>
      <c r="G55" s="1029"/>
      <c r="H55" s="523"/>
      <c r="I55" s="1029"/>
      <c r="J55" s="523"/>
      <c r="K55" s="1029"/>
      <c r="L55" s="523"/>
      <c r="M55" s="1029"/>
      <c r="N55" s="1075"/>
      <c r="O55" s="558"/>
      <c r="P55" s="1075"/>
      <c r="Q55" s="558"/>
      <c r="R55" s="1288"/>
      <c r="S55" s="1288"/>
      <c r="T55" s="1075"/>
      <c r="U55" s="558"/>
      <c r="X55" s="1590"/>
      <c r="Y55" s="1590"/>
      <c r="Z55" s="1588"/>
      <c r="AE55" s="1588"/>
      <c r="AF55" s="1588"/>
      <c r="AG55" s="1588"/>
      <c r="AX55" s="1590"/>
      <c r="AY55" s="1590"/>
      <c r="AZ55" s="1590"/>
      <c r="BA55" s="1590"/>
      <c r="BB55" s="1590"/>
      <c r="BC55" s="1590"/>
      <c r="BD55" s="1590"/>
      <c r="BE55" s="1590"/>
      <c r="BF55" s="1590"/>
      <c r="BG55" s="1590"/>
      <c r="BH55" s="1590"/>
      <c r="BI55" s="1590"/>
      <c r="BJ55" s="1590"/>
      <c r="BK55" s="1590"/>
    </row>
    <row r="56" spans="1:85" s="64" customFormat="1">
      <c r="A56" s="792" t="s">
        <v>800</v>
      </c>
      <c r="B56" s="1021">
        <v>0.16</v>
      </c>
      <c r="C56" s="593"/>
      <c r="D56" s="1021">
        <v>0.85</v>
      </c>
      <c r="E56" s="593"/>
      <c r="F56" s="1021">
        <v>0</v>
      </c>
      <c r="G56" s="593"/>
      <c r="H56" s="1021">
        <v>0</v>
      </c>
      <c r="I56" s="593"/>
      <c r="J56" s="1021">
        <v>0</v>
      </c>
      <c r="K56" s="593"/>
      <c r="L56" s="1021">
        <v>0.44</v>
      </c>
      <c r="M56" s="593"/>
      <c r="N56" s="1472">
        <v>1.7899999999999999E-2</v>
      </c>
      <c r="O56" s="593"/>
      <c r="P56" s="1472">
        <v>0.32250000000000001</v>
      </c>
      <c r="Q56" s="593"/>
      <c r="R56" s="1014">
        <v>0</v>
      </c>
      <c r="S56" s="1288"/>
      <c r="T56" s="1472">
        <v>0</v>
      </c>
      <c r="U56" s="593"/>
      <c r="X56" s="1591"/>
      <c r="Y56" s="1591"/>
      <c r="Z56" s="1588"/>
      <c r="AE56" s="1588"/>
      <c r="AF56" s="1588"/>
      <c r="AG56" s="1588"/>
      <c r="AX56" s="1591"/>
      <c r="AY56" s="1591"/>
      <c r="AZ56" s="1591"/>
      <c r="BA56" s="1591"/>
      <c r="BB56" s="1591"/>
      <c r="BC56" s="1591"/>
      <c r="BD56" s="1591"/>
      <c r="BE56" s="1591"/>
      <c r="BF56" s="1591"/>
      <c r="BG56" s="1591"/>
      <c r="BH56" s="1591"/>
      <c r="BI56" s="1591"/>
      <c r="BJ56" s="1591"/>
      <c r="BK56" s="1591"/>
    </row>
    <row r="57" spans="1:85" s="64" customFormat="1">
      <c r="A57" s="792" t="s">
        <v>802</v>
      </c>
      <c r="B57" s="1021">
        <v>0</v>
      </c>
      <c r="C57" s="593"/>
      <c r="D57" s="1021">
        <v>0</v>
      </c>
      <c r="E57" s="593"/>
      <c r="F57" s="1021">
        <v>0</v>
      </c>
      <c r="G57" s="593"/>
      <c r="H57" s="1021">
        <v>0</v>
      </c>
      <c r="I57" s="593"/>
      <c r="J57" s="1021">
        <v>0</v>
      </c>
      <c r="K57" s="593"/>
      <c r="L57" s="1021">
        <v>0</v>
      </c>
      <c r="M57" s="593"/>
      <c r="N57" s="1472">
        <v>0</v>
      </c>
      <c r="O57" s="593"/>
      <c r="P57" s="1472">
        <v>0</v>
      </c>
      <c r="Q57" s="593"/>
      <c r="R57" s="1014">
        <v>0</v>
      </c>
      <c r="S57" s="1288"/>
      <c r="T57" s="1472">
        <v>0</v>
      </c>
      <c r="U57" s="593"/>
      <c r="X57" s="1591"/>
      <c r="Y57" s="1591"/>
      <c r="Z57" s="1588"/>
      <c r="AE57" s="1588"/>
      <c r="AF57" s="1588"/>
      <c r="AG57" s="1588"/>
      <c r="AX57" s="1591"/>
      <c r="AY57" s="1591"/>
      <c r="AZ57" s="1591"/>
      <c r="BA57" s="1591"/>
      <c r="BB57" s="1591"/>
      <c r="BC57" s="1591"/>
      <c r="BD57" s="1591"/>
      <c r="BE57" s="1591"/>
      <c r="BF57" s="1591"/>
      <c r="BG57" s="1591"/>
      <c r="BH57" s="1591"/>
      <c r="BI57" s="1591"/>
      <c r="BJ57" s="1591"/>
      <c r="BK57" s="1591"/>
    </row>
    <row r="58" spans="1:85" s="64" customFormat="1">
      <c r="A58" s="792" t="s">
        <v>801</v>
      </c>
      <c r="B58" s="1021">
        <v>0</v>
      </c>
      <c r="C58" s="593"/>
      <c r="D58" s="1021">
        <v>0</v>
      </c>
      <c r="E58" s="593"/>
      <c r="F58" s="1021">
        <v>0</v>
      </c>
      <c r="G58" s="593"/>
      <c r="H58" s="1021">
        <v>0</v>
      </c>
      <c r="I58" s="593"/>
      <c r="J58" s="1021">
        <v>0</v>
      </c>
      <c r="K58" s="593"/>
      <c r="L58" s="1021">
        <v>0</v>
      </c>
      <c r="M58" s="593"/>
      <c r="N58" s="1472">
        <v>0</v>
      </c>
      <c r="O58" s="593"/>
      <c r="P58" s="1472">
        <v>0</v>
      </c>
      <c r="Q58" s="593"/>
      <c r="R58" s="1014">
        <v>0</v>
      </c>
      <c r="S58" s="1288"/>
      <c r="T58" s="1472">
        <v>0</v>
      </c>
      <c r="U58" s="593"/>
      <c r="X58" s="1591"/>
      <c r="Y58" s="1591"/>
      <c r="Z58" s="1588"/>
      <c r="AE58" s="1588"/>
      <c r="AF58" s="1588"/>
      <c r="AG58" s="1588"/>
      <c r="AX58" s="1591"/>
      <c r="AY58" s="1591"/>
      <c r="AZ58" s="1591"/>
      <c r="BA58" s="1591"/>
      <c r="BB58" s="1591"/>
      <c r="BC58" s="1591"/>
      <c r="BD58" s="1591"/>
      <c r="BE58" s="1591"/>
      <c r="BF58" s="1591"/>
      <c r="BG58" s="1591"/>
      <c r="BH58" s="1591"/>
      <c r="BI58" s="1591"/>
      <c r="BJ58" s="1591"/>
      <c r="BK58" s="1591"/>
    </row>
    <row r="59" spans="1:85" s="64" customFormat="1">
      <c r="A59" s="792" t="s">
        <v>804</v>
      </c>
      <c r="B59" s="1021">
        <v>0.72799999999999998</v>
      </c>
      <c r="C59" s="593"/>
      <c r="D59" s="1021">
        <v>0</v>
      </c>
      <c r="E59" s="593"/>
      <c r="F59" s="1021">
        <v>0</v>
      </c>
      <c r="G59" s="593"/>
      <c r="H59" s="1021">
        <v>0</v>
      </c>
      <c r="I59" s="593"/>
      <c r="J59" s="1021">
        <v>0</v>
      </c>
      <c r="K59" s="593"/>
      <c r="L59" s="1021">
        <v>0.39</v>
      </c>
      <c r="M59" s="593"/>
      <c r="N59" s="1472">
        <v>0.63280000000000003</v>
      </c>
      <c r="O59" s="593"/>
      <c r="P59" s="1472">
        <v>0.57930000000000004</v>
      </c>
      <c r="Q59" s="593"/>
      <c r="R59" s="1014">
        <v>0</v>
      </c>
      <c r="S59" s="1288"/>
      <c r="T59" s="1472">
        <v>8.3199999999999996E-2</v>
      </c>
      <c r="U59" s="593"/>
      <c r="X59" s="1591"/>
      <c r="Y59" s="1591"/>
      <c r="Z59" s="1588"/>
      <c r="AE59" s="1588"/>
      <c r="AF59" s="1588"/>
      <c r="AG59" s="1588"/>
      <c r="AX59" s="1591"/>
      <c r="AY59" s="1591"/>
      <c r="AZ59" s="1591"/>
      <c r="BA59" s="1591"/>
      <c r="BB59" s="1591"/>
      <c r="BC59" s="1591"/>
      <c r="BD59" s="1591"/>
      <c r="BE59" s="1591"/>
      <c r="BF59" s="1591"/>
      <c r="BG59" s="1591"/>
      <c r="BH59" s="1591"/>
      <c r="BI59" s="1591"/>
      <c r="BJ59" s="1591"/>
      <c r="BK59" s="1591"/>
    </row>
    <row r="60" spans="1:85" s="64" customFormat="1">
      <c r="A60" s="792" t="s">
        <v>805</v>
      </c>
      <c r="B60" s="1021">
        <v>0</v>
      </c>
      <c r="C60" s="593"/>
      <c r="D60" s="1021">
        <v>0</v>
      </c>
      <c r="E60" s="593"/>
      <c r="F60" s="1021">
        <v>0</v>
      </c>
      <c r="G60" s="593"/>
      <c r="H60" s="1021">
        <v>0</v>
      </c>
      <c r="I60" s="593"/>
      <c r="J60" s="1021">
        <v>0</v>
      </c>
      <c r="K60" s="593"/>
      <c r="L60" s="1021">
        <v>0</v>
      </c>
      <c r="M60" s="593"/>
      <c r="N60" s="1472">
        <v>0.1676</v>
      </c>
      <c r="O60" s="593"/>
      <c r="P60" s="1472">
        <v>6.0199999999999997E-2</v>
      </c>
      <c r="Q60" s="593"/>
      <c r="R60" s="1014">
        <v>0</v>
      </c>
      <c r="S60" s="1288"/>
      <c r="T60" s="1472">
        <v>0</v>
      </c>
      <c r="U60" s="593"/>
      <c r="X60" s="1591"/>
      <c r="Y60" s="1591"/>
      <c r="Z60" s="1588"/>
      <c r="AE60" s="1588"/>
      <c r="AF60" s="1588"/>
      <c r="AG60" s="1588"/>
      <c r="AX60" s="1591"/>
      <c r="AY60" s="1591"/>
      <c r="AZ60" s="1591"/>
      <c r="BA60" s="1591"/>
      <c r="BB60" s="1591"/>
      <c r="BC60" s="1591"/>
      <c r="BD60" s="1591"/>
      <c r="BE60" s="1591"/>
      <c r="BF60" s="1591"/>
      <c r="BG60" s="1591"/>
      <c r="BH60" s="1591"/>
      <c r="BI60" s="1591"/>
      <c r="BJ60" s="1591"/>
      <c r="BK60" s="1591"/>
    </row>
    <row r="61" spans="1:85" s="64" customFormat="1">
      <c r="A61" s="291" t="s">
        <v>899</v>
      </c>
      <c r="B61" s="1021">
        <v>0</v>
      </c>
      <c r="C61" s="593"/>
      <c r="D61" s="1021">
        <v>0</v>
      </c>
      <c r="E61" s="593"/>
      <c r="F61" s="1021">
        <v>0</v>
      </c>
      <c r="G61" s="593"/>
      <c r="H61" s="1021">
        <v>0</v>
      </c>
      <c r="I61" s="593"/>
      <c r="J61" s="1021">
        <v>0</v>
      </c>
      <c r="K61" s="593"/>
      <c r="L61" s="1021">
        <v>0</v>
      </c>
      <c r="M61" s="593"/>
      <c r="N61" s="1472">
        <v>0</v>
      </c>
      <c r="O61" s="593"/>
      <c r="P61" s="1472">
        <v>0</v>
      </c>
      <c r="Q61" s="593"/>
      <c r="R61" s="1014">
        <v>0</v>
      </c>
      <c r="S61" s="1288"/>
      <c r="T61" s="1472">
        <v>0</v>
      </c>
      <c r="U61" s="593"/>
      <c r="X61" s="1591"/>
      <c r="Y61" s="1591"/>
      <c r="Z61" s="1588"/>
      <c r="AE61" s="1588"/>
      <c r="AF61" s="1588"/>
      <c r="AG61" s="1588"/>
      <c r="AX61" s="1591"/>
      <c r="AY61" s="1591"/>
      <c r="AZ61" s="1591"/>
      <c r="BA61" s="1591"/>
      <c r="BB61" s="1591"/>
      <c r="BC61" s="1591"/>
      <c r="BD61" s="1591"/>
      <c r="BE61" s="1591"/>
      <c r="BF61" s="1591"/>
      <c r="BG61" s="1591"/>
      <c r="BH61" s="1591"/>
      <c r="BI61" s="1591"/>
      <c r="BJ61" s="1591"/>
      <c r="BK61" s="1591"/>
    </row>
    <row r="62" spans="1:85" s="64" customFormat="1">
      <c r="A62" s="793" t="s">
        <v>806</v>
      </c>
      <c r="B62" s="1019">
        <f>1-SUM(B56:B61)</f>
        <v>0.11199999999999999</v>
      </c>
      <c r="C62" s="210"/>
      <c r="D62" s="1019">
        <f>1-SUM(D56:D61)</f>
        <v>0.15000000000000002</v>
      </c>
      <c r="E62" s="210"/>
      <c r="F62" s="1019">
        <v>1</v>
      </c>
      <c r="G62" s="210"/>
      <c r="H62" s="1019">
        <v>1</v>
      </c>
      <c r="I62" s="210"/>
      <c r="J62" s="1019">
        <v>1</v>
      </c>
      <c r="K62" s="210"/>
      <c r="L62" s="1019">
        <f>1-SUM(L56:L61)</f>
        <v>0.16999999999999993</v>
      </c>
      <c r="M62" s="210"/>
      <c r="N62" s="1019">
        <f xml:space="preserve"> 1-SUM(N56:N61)</f>
        <v>0.18169999999999997</v>
      </c>
      <c r="O62" s="210"/>
      <c r="P62" s="1019">
        <f>1-SUM(P56:P61)</f>
        <v>3.7999999999999923E-2</v>
      </c>
      <c r="Q62" s="210"/>
      <c r="R62" s="1019">
        <f>1-SUM(R56:R61)</f>
        <v>1</v>
      </c>
      <c r="S62" s="1288"/>
      <c r="T62" s="1019">
        <f>1-SUM(T56:T61)</f>
        <v>0.91680000000000006</v>
      </c>
      <c r="U62" s="210"/>
      <c r="X62" s="1591"/>
      <c r="Y62" s="1591"/>
      <c r="Z62" s="1591"/>
      <c r="AE62" s="1591"/>
      <c r="AF62" s="1591"/>
      <c r="AG62" s="1591"/>
      <c r="AX62" s="1591"/>
      <c r="AY62" s="1591"/>
      <c r="AZ62" s="1591"/>
      <c r="BA62" s="1591"/>
      <c r="BB62" s="1591"/>
      <c r="BC62" s="1591"/>
      <c r="BD62" s="1591"/>
      <c r="BE62" s="1591"/>
      <c r="BF62" s="1591"/>
      <c r="BG62" s="1591"/>
      <c r="BH62" s="1591"/>
      <c r="BI62" s="1591"/>
      <c r="BJ62" s="1591"/>
      <c r="BK62" s="1591"/>
    </row>
    <row r="63" spans="1:85" s="64" customFormat="1">
      <c r="A63" s="789" t="s">
        <v>862</v>
      </c>
      <c r="B63" s="661"/>
      <c r="C63" s="1013"/>
      <c r="D63" s="661"/>
      <c r="E63" s="1013"/>
      <c r="F63" s="661"/>
      <c r="G63" s="1013"/>
      <c r="H63" s="661"/>
      <c r="I63" s="1013"/>
      <c r="J63" s="661"/>
      <c r="K63" s="1013"/>
      <c r="L63" s="661"/>
      <c r="M63" s="1013"/>
      <c r="N63" s="1075"/>
      <c r="O63" s="558"/>
      <c r="P63" s="1075"/>
      <c r="Q63" s="558"/>
      <c r="R63" s="1288"/>
      <c r="S63" s="558"/>
      <c r="T63" s="1288"/>
      <c r="U63" s="558"/>
      <c r="X63" s="1590"/>
      <c r="Y63" s="1590"/>
      <c r="Z63" s="1590"/>
      <c r="AE63" s="1590"/>
      <c r="AF63" s="1590"/>
      <c r="AG63" s="1590"/>
      <c r="AX63" s="1590"/>
      <c r="AY63" s="1590"/>
      <c r="AZ63" s="1590"/>
      <c r="BA63" s="1590"/>
      <c r="BB63" s="1590"/>
      <c r="BC63" s="1590"/>
      <c r="BD63" s="1590"/>
      <c r="BE63" s="1590"/>
      <c r="BF63" s="1590"/>
      <c r="BG63" s="1590"/>
      <c r="BH63" s="1590"/>
      <c r="BI63" s="1590"/>
      <c r="BJ63" s="1590"/>
      <c r="BK63" s="1590"/>
    </row>
    <row r="64" spans="1:85" s="349" customFormat="1">
      <c r="A64" s="494" t="s">
        <v>800</v>
      </c>
      <c r="B64" s="1077">
        <f t="shared" ref="B64:B70" si="0">B$53*B56</f>
        <v>9.3864000000000001</v>
      </c>
      <c r="C64" s="817"/>
      <c r="D64" s="1077">
        <f t="shared" ref="D64:D70" si="1">D$53*D56</f>
        <v>0.54484999999999995</v>
      </c>
      <c r="E64" s="817"/>
      <c r="F64" s="1077">
        <f t="shared" ref="F64:F70" si="2">F$53*F56</f>
        <v>0</v>
      </c>
      <c r="G64" s="817"/>
      <c r="H64" s="1077">
        <f t="shared" ref="H64:H70" si="3">H$53*H56</f>
        <v>0</v>
      </c>
      <c r="I64" s="817"/>
      <c r="J64" s="1077">
        <f t="shared" ref="J64:J70" si="4">J$53*J56</f>
        <v>0</v>
      </c>
      <c r="K64" s="817"/>
      <c r="L64" s="1077">
        <f t="shared" ref="L64:L70" si="5">L$53*L56</f>
        <v>3.46984</v>
      </c>
      <c r="M64" s="817"/>
      <c r="N64" s="1077">
        <f t="shared" ref="N64:N70" si="6">N$53*N56</f>
        <v>3.3848900000000001E-2</v>
      </c>
      <c r="O64" s="1082"/>
      <c r="P64" s="1077">
        <f t="shared" ref="P64:P70" si="7">P$53*P56</f>
        <v>31.555657499999999</v>
      </c>
      <c r="Q64" s="1082"/>
      <c r="R64" s="1077">
        <f t="shared" ref="R64:R70" si="8">R$53*R56</f>
        <v>0</v>
      </c>
      <c r="S64" s="1082"/>
      <c r="T64" s="1077">
        <f t="shared" ref="T64:T70" si="9">T$53*T56</f>
        <v>0</v>
      </c>
      <c r="U64" s="1082"/>
      <c r="X64" s="1592"/>
      <c r="Y64" s="1238"/>
      <c r="Z64" s="1592"/>
      <c r="AA64" s="64"/>
      <c r="AB64" s="64"/>
      <c r="AC64" s="64"/>
      <c r="AD64" s="64"/>
      <c r="AE64" s="1238"/>
      <c r="AF64" s="1592"/>
      <c r="AG64" s="1238"/>
      <c r="AX64" s="1592"/>
      <c r="AY64" s="1238"/>
      <c r="AZ64" s="1592"/>
      <c r="BA64" s="1238"/>
      <c r="BB64" s="1592"/>
      <c r="BC64" s="1238"/>
      <c r="BD64" s="1592"/>
      <c r="BE64" s="1238"/>
      <c r="BF64" s="1592"/>
      <c r="BG64" s="1238"/>
      <c r="BH64" s="1592"/>
      <c r="BI64" s="1238"/>
      <c r="BJ64" s="1592"/>
      <c r="BK64" s="1238"/>
    </row>
    <row r="65" spans="1:63" s="349" customFormat="1">
      <c r="A65" s="494" t="s">
        <v>802</v>
      </c>
      <c r="B65" s="1077">
        <f t="shared" si="0"/>
        <v>0</v>
      </c>
      <c r="C65" s="817"/>
      <c r="D65" s="1077">
        <f t="shared" si="1"/>
        <v>0</v>
      </c>
      <c r="E65" s="817"/>
      <c r="F65" s="1077">
        <f t="shared" si="2"/>
        <v>0</v>
      </c>
      <c r="G65" s="817"/>
      <c r="H65" s="1077">
        <f t="shared" si="3"/>
        <v>0</v>
      </c>
      <c r="I65" s="817"/>
      <c r="J65" s="1077">
        <f t="shared" si="4"/>
        <v>0</v>
      </c>
      <c r="K65" s="817"/>
      <c r="L65" s="1077">
        <f t="shared" si="5"/>
        <v>0</v>
      </c>
      <c r="M65" s="817"/>
      <c r="N65" s="1077">
        <f t="shared" si="6"/>
        <v>0</v>
      </c>
      <c r="O65" s="1082"/>
      <c r="P65" s="1077">
        <f t="shared" si="7"/>
        <v>0</v>
      </c>
      <c r="Q65" s="1082"/>
      <c r="R65" s="1077">
        <f t="shared" si="8"/>
        <v>0</v>
      </c>
      <c r="S65" s="1082"/>
      <c r="T65" s="1077">
        <f t="shared" si="9"/>
        <v>0</v>
      </c>
      <c r="U65" s="1082"/>
      <c r="X65" s="1592"/>
      <c r="Y65" s="1238"/>
      <c r="Z65" s="1592"/>
      <c r="AA65" s="64"/>
      <c r="AB65" s="64"/>
      <c r="AC65" s="64"/>
      <c r="AD65" s="64"/>
      <c r="AE65" s="1238"/>
      <c r="AF65" s="1592"/>
      <c r="AG65" s="1238"/>
      <c r="AX65" s="1592"/>
      <c r="AY65" s="1238"/>
      <c r="AZ65" s="1592"/>
      <c r="BA65" s="1238"/>
      <c r="BB65" s="1592"/>
      <c r="BC65" s="1238"/>
      <c r="BD65" s="1592"/>
      <c r="BE65" s="1238"/>
      <c r="BF65" s="1592"/>
      <c r="BG65" s="1238"/>
      <c r="BH65" s="1592"/>
      <c r="BI65" s="1238"/>
      <c r="BJ65" s="1592"/>
      <c r="BK65" s="1238"/>
    </row>
    <row r="66" spans="1:63" s="349" customFormat="1">
      <c r="A66" s="494" t="s">
        <v>801</v>
      </c>
      <c r="B66" s="1077">
        <f t="shared" si="0"/>
        <v>0</v>
      </c>
      <c r="C66" s="817"/>
      <c r="D66" s="1077">
        <f t="shared" si="1"/>
        <v>0</v>
      </c>
      <c r="E66" s="817"/>
      <c r="F66" s="1077">
        <f t="shared" si="2"/>
        <v>0</v>
      </c>
      <c r="G66" s="817"/>
      <c r="H66" s="1077">
        <f t="shared" si="3"/>
        <v>0</v>
      </c>
      <c r="I66" s="817"/>
      <c r="J66" s="1077">
        <f t="shared" si="4"/>
        <v>0</v>
      </c>
      <c r="K66" s="817"/>
      <c r="L66" s="1077">
        <f t="shared" si="5"/>
        <v>0</v>
      </c>
      <c r="M66" s="817"/>
      <c r="N66" s="1077">
        <f t="shared" si="6"/>
        <v>0</v>
      </c>
      <c r="O66" s="1082"/>
      <c r="P66" s="1077">
        <f t="shared" si="7"/>
        <v>0</v>
      </c>
      <c r="Q66" s="1082"/>
      <c r="R66" s="1077">
        <f t="shared" si="8"/>
        <v>0</v>
      </c>
      <c r="S66" s="1082"/>
      <c r="T66" s="1077">
        <f t="shared" si="9"/>
        <v>0</v>
      </c>
      <c r="U66" s="1082"/>
      <c r="X66" s="1592"/>
      <c r="Y66" s="1238"/>
      <c r="Z66" s="1592"/>
      <c r="AA66" s="64"/>
      <c r="AB66" s="64"/>
      <c r="AC66" s="64"/>
      <c r="AD66" s="64"/>
      <c r="AE66" s="1238"/>
      <c r="AF66" s="1592"/>
      <c r="AG66" s="1238"/>
      <c r="AX66" s="1592"/>
      <c r="AY66" s="1238"/>
      <c r="AZ66" s="1592"/>
      <c r="BA66" s="1238"/>
      <c r="BB66" s="1592"/>
      <c r="BC66" s="1238"/>
      <c r="BD66" s="1592"/>
      <c r="BE66" s="1238"/>
      <c r="BF66" s="1592"/>
      <c r="BG66" s="1238"/>
      <c r="BH66" s="1592"/>
      <c r="BI66" s="1238"/>
      <c r="BJ66" s="1592"/>
      <c r="BK66" s="1238"/>
    </row>
    <row r="67" spans="1:63" s="349" customFormat="1">
      <c r="A67" s="494" t="s">
        <v>804</v>
      </c>
      <c r="B67" s="1077">
        <f t="shared" si="0"/>
        <v>42.708120000000001</v>
      </c>
      <c r="C67" s="817"/>
      <c r="D67" s="1077">
        <f t="shared" si="1"/>
        <v>0</v>
      </c>
      <c r="E67" s="817"/>
      <c r="F67" s="1077">
        <f t="shared" si="2"/>
        <v>0</v>
      </c>
      <c r="G67" s="817"/>
      <c r="H67" s="1077">
        <f t="shared" si="3"/>
        <v>0</v>
      </c>
      <c r="I67" s="817"/>
      <c r="J67" s="1077">
        <f t="shared" si="4"/>
        <v>0</v>
      </c>
      <c r="K67" s="817"/>
      <c r="L67" s="1077">
        <f t="shared" si="5"/>
        <v>3.0755400000000002</v>
      </c>
      <c r="M67" s="817"/>
      <c r="N67" s="1077">
        <f t="shared" si="6"/>
        <v>1.1966248000000002</v>
      </c>
      <c r="O67" s="1082"/>
      <c r="P67" s="1077">
        <f t="shared" si="7"/>
        <v>56.6827671</v>
      </c>
      <c r="Q67" s="1082"/>
      <c r="R67" s="1077">
        <f t="shared" si="8"/>
        <v>0</v>
      </c>
      <c r="S67" s="1082"/>
      <c r="T67" s="1077">
        <f t="shared" si="9"/>
        <v>5.983411199999999</v>
      </c>
      <c r="U67" s="1082"/>
      <c r="X67" s="1592"/>
      <c r="Y67" s="1238"/>
      <c r="Z67" s="1592"/>
      <c r="AA67" s="64"/>
      <c r="AB67" s="64"/>
      <c r="AC67" s="64"/>
      <c r="AD67" s="64"/>
      <c r="AE67" s="1238"/>
      <c r="AF67" s="1592"/>
      <c r="AG67" s="1238"/>
      <c r="AX67" s="1592"/>
      <c r="AY67" s="1238"/>
      <c r="AZ67" s="1592"/>
      <c r="BA67" s="1238"/>
      <c r="BB67" s="1592"/>
      <c r="BC67" s="1238"/>
      <c r="BD67" s="1592"/>
      <c r="BE67" s="1238"/>
      <c r="BF67" s="1592"/>
      <c r="BG67" s="1238"/>
      <c r="BH67" s="1592"/>
      <c r="BI67" s="1238"/>
      <c r="BJ67" s="1592"/>
      <c r="BK67" s="1238"/>
    </row>
    <row r="68" spans="1:63" s="349" customFormat="1">
      <c r="A68" s="494" t="s">
        <v>805</v>
      </c>
      <c r="B68" s="1077">
        <f t="shared" si="0"/>
        <v>0</v>
      </c>
      <c r="C68" s="817"/>
      <c r="D68" s="1077">
        <f t="shared" si="1"/>
        <v>0</v>
      </c>
      <c r="E68" s="817"/>
      <c r="F68" s="1077">
        <f t="shared" si="2"/>
        <v>0</v>
      </c>
      <c r="G68" s="817"/>
      <c r="H68" s="1077">
        <f t="shared" si="3"/>
        <v>0</v>
      </c>
      <c r="I68" s="817"/>
      <c r="J68" s="1077">
        <f t="shared" si="4"/>
        <v>0</v>
      </c>
      <c r="K68" s="817"/>
      <c r="L68" s="1077">
        <f t="shared" si="5"/>
        <v>0</v>
      </c>
      <c r="M68" s="817"/>
      <c r="N68" s="1077">
        <f t="shared" si="6"/>
        <v>0.31693159999999998</v>
      </c>
      <c r="O68" s="1082"/>
      <c r="P68" s="1077">
        <f t="shared" si="7"/>
        <v>5.8903893999999992</v>
      </c>
      <c r="Q68" s="1082"/>
      <c r="R68" s="1077">
        <f t="shared" si="8"/>
        <v>0</v>
      </c>
      <c r="S68" s="1082"/>
      <c r="T68" s="1077">
        <f t="shared" si="9"/>
        <v>0</v>
      </c>
      <c r="U68" s="1082"/>
      <c r="X68" s="1592"/>
      <c r="Y68" s="1238"/>
      <c r="Z68" s="1592"/>
      <c r="AA68" s="64"/>
      <c r="AB68" s="64"/>
      <c r="AC68" s="64"/>
      <c r="AD68" s="64"/>
      <c r="AE68" s="1238"/>
      <c r="AF68" s="1592"/>
      <c r="AG68" s="1238"/>
      <c r="AX68" s="1592"/>
      <c r="AY68" s="1238"/>
      <c r="AZ68" s="1592"/>
      <c r="BA68" s="1238"/>
      <c r="BB68" s="1592"/>
      <c r="BC68" s="1238"/>
      <c r="BD68" s="1592"/>
      <c r="BE68" s="1238"/>
      <c r="BF68" s="1592"/>
      <c r="BG68" s="1238"/>
      <c r="BH68" s="1592"/>
      <c r="BI68" s="1238"/>
      <c r="BJ68" s="1592"/>
      <c r="BK68" s="1238"/>
    </row>
    <row r="69" spans="1:63" s="349" customFormat="1">
      <c r="A69" s="494" t="s">
        <v>899</v>
      </c>
      <c r="B69" s="1077">
        <f t="shared" si="0"/>
        <v>0</v>
      </c>
      <c r="C69" s="817"/>
      <c r="D69" s="1077">
        <f t="shared" si="1"/>
        <v>0</v>
      </c>
      <c r="E69" s="817"/>
      <c r="F69" s="1077">
        <f t="shared" si="2"/>
        <v>0</v>
      </c>
      <c r="G69" s="817"/>
      <c r="H69" s="1077">
        <f t="shared" si="3"/>
        <v>0</v>
      </c>
      <c r="I69" s="817"/>
      <c r="J69" s="1077">
        <f t="shared" si="4"/>
        <v>0</v>
      </c>
      <c r="K69" s="817"/>
      <c r="L69" s="1077">
        <f t="shared" si="5"/>
        <v>0</v>
      </c>
      <c r="M69" s="817"/>
      <c r="N69" s="1077">
        <f t="shared" si="6"/>
        <v>0</v>
      </c>
      <c r="O69" s="1082"/>
      <c r="P69" s="1077">
        <f t="shared" si="7"/>
        <v>0</v>
      </c>
      <c r="Q69" s="1082"/>
      <c r="R69" s="1077">
        <f t="shared" si="8"/>
        <v>0</v>
      </c>
      <c r="S69" s="1082"/>
      <c r="T69" s="1077">
        <f t="shared" si="9"/>
        <v>0</v>
      </c>
      <c r="U69" s="1082"/>
      <c r="X69" s="1592"/>
      <c r="Y69" s="1238"/>
      <c r="Z69" s="1592"/>
      <c r="AA69" s="64"/>
      <c r="AB69" s="64"/>
      <c r="AC69" s="64"/>
      <c r="AD69" s="64"/>
      <c r="AE69" s="1238"/>
      <c r="AF69" s="1592"/>
      <c r="AG69" s="1238"/>
      <c r="AX69" s="1592"/>
      <c r="AY69" s="1238"/>
      <c r="AZ69" s="1592"/>
      <c r="BA69" s="1238"/>
      <c r="BB69" s="1592"/>
      <c r="BC69" s="1238"/>
      <c r="BD69" s="1592"/>
      <c r="BE69" s="1238"/>
      <c r="BF69" s="1592"/>
      <c r="BG69" s="1238"/>
      <c r="BH69" s="1592"/>
      <c r="BI69" s="1238"/>
      <c r="BJ69" s="1592"/>
      <c r="BK69" s="1238"/>
    </row>
    <row r="70" spans="1:63" s="349" customFormat="1">
      <c r="A70" s="494" t="s">
        <v>806</v>
      </c>
      <c r="B70" s="1077">
        <f t="shared" si="0"/>
        <v>6.570479999999999</v>
      </c>
      <c r="C70" s="817"/>
      <c r="D70" s="1077">
        <f t="shared" si="1"/>
        <v>9.6150000000000013E-2</v>
      </c>
      <c r="E70" s="817"/>
      <c r="F70" s="1077">
        <f t="shared" si="2"/>
        <v>3.01</v>
      </c>
      <c r="G70" s="817"/>
      <c r="H70" s="1077">
        <f t="shared" si="3"/>
        <v>3.698</v>
      </c>
      <c r="I70" s="817"/>
      <c r="J70" s="1077">
        <f t="shared" si="4"/>
        <v>11.007</v>
      </c>
      <c r="K70" s="817"/>
      <c r="L70" s="1077">
        <f t="shared" si="5"/>
        <v>1.3406199999999995</v>
      </c>
      <c r="M70" s="817"/>
      <c r="N70" s="1077">
        <f t="shared" si="6"/>
        <v>0.34359469999999998</v>
      </c>
      <c r="O70" s="1082"/>
      <c r="P70" s="1077">
        <f t="shared" si="7"/>
        <v>3.7181859999999922</v>
      </c>
      <c r="Q70" s="1082"/>
      <c r="R70" s="1077">
        <f t="shared" si="8"/>
        <v>11.375999999999999</v>
      </c>
      <c r="S70" s="1082"/>
      <c r="T70" s="1077">
        <f t="shared" si="9"/>
        <v>65.932588800000005</v>
      </c>
      <c r="U70" s="1082"/>
      <c r="X70" s="1592"/>
      <c r="Y70" s="1238"/>
      <c r="Z70" s="1592"/>
      <c r="AA70" s="64"/>
      <c r="AB70" s="64"/>
      <c r="AC70" s="64"/>
      <c r="AD70" s="64"/>
      <c r="AE70" s="1238"/>
      <c r="AF70" s="1592"/>
      <c r="AG70" s="1238"/>
      <c r="AX70" s="1592"/>
      <c r="AY70" s="1238"/>
      <c r="AZ70" s="1592"/>
      <c r="BA70" s="1238"/>
      <c r="BB70" s="1592"/>
      <c r="BC70" s="1238"/>
      <c r="BD70" s="1592"/>
      <c r="BE70" s="1238"/>
      <c r="BF70" s="1592"/>
      <c r="BG70" s="1238"/>
      <c r="BH70" s="1592"/>
      <c r="BI70" s="1238"/>
      <c r="BJ70" s="1592"/>
      <c r="BK70" s="1238"/>
    </row>
    <row r="71" spans="1:63" s="349" customFormat="1">
      <c r="A71" s="494" t="s">
        <v>1158</v>
      </c>
      <c r="B71" s="2967">
        <v>12.497999999999999</v>
      </c>
      <c r="C71" s="817"/>
      <c r="D71" s="2967">
        <v>0</v>
      </c>
      <c r="E71" s="817"/>
      <c r="F71" s="2967">
        <v>0</v>
      </c>
      <c r="G71" s="817"/>
      <c r="H71" s="2967">
        <v>0</v>
      </c>
      <c r="I71" s="817"/>
      <c r="J71" s="2967">
        <v>0</v>
      </c>
      <c r="K71" s="817"/>
      <c r="L71" s="2967">
        <v>0</v>
      </c>
      <c r="M71" s="817"/>
      <c r="N71" s="1763">
        <v>0</v>
      </c>
      <c r="O71" s="1082"/>
      <c r="P71" s="1763">
        <v>0</v>
      </c>
      <c r="Q71" s="1082"/>
      <c r="R71" s="1764">
        <v>0</v>
      </c>
      <c r="S71" s="1082"/>
      <c r="T71" s="1764">
        <v>0</v>
      </c>
      <c r="U71" s="1082"/>
      <c r="X71" s="1592"/>
      <c r="Y71" s="1238"/>
      <c r="Z71" s="1592"/>
      <c r="AA71" s="64"/>
      <c r="AB71" s="64"/>
      <c r="AC71" s="64"/>
      <c r="AD71" s="64"/>
      <c r="AE71" s="1238"/>
      <c r="AF71" s="1592"/>
      <c r="AG71" s="1238"/>
      <c r="AX71" s="1592"/>
      <c r="AY71" s="1238"/>
      <c r="AZ71" s="1592"/>
      <c r="BA71" s="1238"/>
      <c r="BB71" s="1592"/>
      <c r="BC71" s="1238"/>
      <c r="BD71" s="1592"/>
      <c r="BE71" s="1238"/>
      <c r="BF71" s="1592"/>
      <c r="BG71" s="1238"/>
      <c r="BH71" s="1592"/>
      <c r="BI71" s="1238"/>
      <c r="BJ71" s="1592"/>
      <c r="BK71" s="1238"/>
    </row>
    <row r="72" spans="1:63" s="349" customFormat="1">
      <c r="A72" s="494" t="s">
        <v>1159</v>
      </c>
      <c r="B72" s="2967">
        <v>21.268000000000001</v>
      </c>
      <c r="C72" s="817"/>
      <c r="D72" s="2967">
        <v>0</v>
      </c>
      <c r="E72" s="817"/>
      <c r="F72" s="2967">
        <v>0</v>
      </c>
      <c r="G72" s="817"/>
      <c r="H72" s="2967">
        <v>0</v>
      </c>
      <c r="I72" s="817"/>
      <c r="J72" s="2967">
        <v>0</v>
      </c>
      <c r="K72" s="817"/>
      <c r="L72" s="2967">
        <v>0</v>
      </c>
      <c r="M72" s="817"/>
      <c r="N72" s="1765">
        <v>0</v>
      </c>
      <c r="O72" s="1083"/>
      <c r="P72" s="1765">
        <v>0</v>
      </c>
      <c r="Q72" s="1083"/>
      <c r="R72" s="1764">
        <v>0</v>
      </c>
      <c r="S72" s="1083"/>
      <c r="T72" s="1764">
        <v>0</v>
      </c>
      <c r="U72" s="1083"/>
      <c r="X72" s="1592"/>
      <c r="Y72" s="1238"/>
      <c r="Z72" s="1592"/>
      <c r="AA72" s="64"/>
      <c r="AB72" s="64"/>
      <c r="AC72" s="64"/>
      <c r="AD72" s="64"/>
      <c r="AE72" s="1238"/>
      <c r="AF72" s="1592"/>
      <c r="AG72" s="1238"/>
      <c r="AX72" s="1592"/>
      <c r="AY72" s="1238"/>
      <c r="AZ72" s="1592"/>
      <c r="BA72" s="1238"/>
      <c r="BB72" s="1592"/>
      <c r="BC72" s="1238"/>
      <c r="BD72" s="1592"/>
      <c r="BE72" s="1238"/>
      <c r="BF72" s="1592"/>
      <c r="BG72" s="1238"/>
      <c r="BH72" s="1592"/>
      <c r="BI72" s="1238"/>
      <c r="BJ72" s="1592"/>
      <c r="BK72" s="1238"/>
    </row>
    <row r="73" spans="1:63" s="349" customFormat="1">
      <c r="A73" s="511" t="s">
        <v>816</v>
      </c>
      <c r="B73" s="1080">
        <f>B$64*(1+(GREET1_Import_Export!$F$179*GREET1_Import_Export!$B180+GREET1_Import_Export!$F180)/1000000)+B$65*(1+(GREET1_Import_Export!$G$179*GREET1_Import_Export!$B180+GREET1_Import_Export!$G180)/1000000)+B$66*(1+(GREET1_Import_Export!$C$179*GREET1_Import_Export!$B180+GREET1_Import_Export!$C180)/1000000)+(B$67+B$72)*(1+GREET1_Import_Export!$B216/1000000)+B$68*(1+GREET1_Import_Export!$B284/1000000)+B$69*GREET1_Import_Export!$B$10*(1+(GREET1_Import_Export!$F$215*GREET1_Import_Export!$E216+GREET1_Import_Export!$F216)/1000000)+B$69*GREET1_Import_Export!$C$10*(1+(GREET1_Import_Export!$E$179*GREET1_Import_Export!$B180+GREET1_Import_Export!$E180)/1000000)+B$70*(GREET1_Import_Export!$B309+GREET1_Import_Export!$C309)/1000000+B$71*(1+GREET1_Import_Export!$B180/1000000)</f>
        <v>107.88869789885703</v>
      </c>
      <c r="C73" s="1081"/>
      <c r="D73" s="1080">
        <f>D$64*(1+(GREET1_Import_Export!$F$179*GREET1_Import_Export!$B180+GREET1_Import_Export!$F180)/1000000)+D$65*(1+(GREET1_Import_Export!$G$179*GREET1_Import_Export!$B180+GREET1_Import_Export!$G180)/1000000)+D$66*(1+(GREET1_Import_Export!$C$179*GREET1_Import_Export!$B180+GREET1_Import_Export!$C180)/1000000)+(D$67+D$72)*(1+GREET1_Import_Export!$B216/1000000)+D$68*(1+GREET1_Import_Export!$B284/1000000)+D$69*GREET1_Import_Export!$B$10*(1+(GREET1_Import_Export!$F$215*GREET1_Import_Export!$E216+GREET1_Import_Export!$F216)/1000000)+D$69*GREET1_Import_Export!$C$10*(1+(GREET1_Import_Export!$E$179*GREET1_Import_Export!$B180+GREET1_Import_Export!$E180)/1000000)+D$70*(GREET1_Import_Export!$B309+GREET1_Import_Export!$C309)/1000000+D$71*(1+GREET1_Import_Export!$B180/1000000)</f>
        <v>0.81124635606013151</v>
      </c>
      <c r="E73" s="1081"/>
      <c r="F73" s="1080">
        <f>F$64*(1+(GREET1_Import_Export!$F$179*GREET1_Import_Export!$B180+GREET1_Import_Export!$F180)/1000000)+F$65*(1+(GREET1_Import_Export!$G$179*GREET1_Import_Export!$B180+GREET1_Import_Export!$G180)/1000000)+F$66*(1+(GREET1_Import_Export!$C$179*GREET1_Import_Export!$B180+GREET1_Import_Export!$C180)/1000000)+(F$67+F$72)*(1+GREET1_Import_Export!$B216/1000000)+F$68*(1+GREET1_Import_Export!$B284/1000000)+F$69*GREET1_Import_Export!$B$10*(1+(GREET1_Import_Export!$F$215*GREET1_Import_Export!$E216+GREET1_Import_Export!$F216)/1000000)+F$69*GREET1_Import_Export!$C$10*(1+(GREET1_Import_Export!$E$179*GREET1_Import_Export!$B180+GREET1_Import_Export!$E180)/1000000)+F$70*(GREET1_Import_Export!$B309+GREET1_Import_Export!$C309)/1000000+F$71*(1+GREET1_Import_Export!$B180/1000000)</f>
        <v>6.1044463424730555</v>
      </c>
      <c r="G73" s="1081"/>
      <c r="H73" s="1080">
        <f>H$64*(1+(GREET1_Import_Export!$F$179*GREET1_Import_Export!$B180+GREET1_Import_Export!$F180)/1000000)+H$65*(1+(GREET1_Import_Export!$G$179*GREET1_Import_Export!$B180+GREET1_Import_Export!$G180)/1000000)+H$66*(1+(GREET1_Import_Export!$C$179*GREET1_Import_Export!$B180+GREET1_Import_Export!$C180)/1000000)+(H$67+H$72)*(1+GREET1_Import_Export!$B216/1000000)+H$68*(1+GREET1_Import_Export!$B284/1000000)+H$69*GREET1_Import_Export!$B$10*(1+(GREET1_Import_Export!$F$215*GREET1_Import_Export!$E216+GREET1_Import_Export!$F216)/1000000)+H$69*GREET1_Import_Export!$C$10*(1+(GREET1_Import_Export!$E$179*GREET1_Import_Export!$B180+GREET1_Import_Export!$E180)/1000000)+H$70*(GREET1_Import_Export!$B309+GREET1_Import_Export!$C309)/1000000+H$71*(1+GREET1_Import_Export!$B180/1000000)</f>
        <v>7.4997483636097533</v>
      </c>
      <c r="I73" s="1081"/>
      <c r="J73" s="1080">
        <f>J$64*(1+(GREET1_Import_Export!$F$179*GREET1_Import_Export!$B180+GREET1_Import_Export!$F180)/1000000)+J$65*(1+(GREET1_Import_Export!$G$179*GREET1_Import_Export!$B180+GREET1_Import_Export!$G180)/1000000)+J$66*(1+(GREET1_Import_Export!$C$179*GREET1_Import_Export!$B180+GREET1_Import_Export!$C180)/1000000)+(J$67+J$72)*(1+GREET1_Import_Export!$B216/1000000)+J$68*(1+GREET1_Import_Export!$B284/1000000)+J$69*GREET1_Import_Export!$B$10*(1+(GREET1_Import_Export!$F$215*GREET1_Import_Export!$E216+GREET1_Import_Export!$F216)/1000000)+J$69*GREET1_Import_Export!$C$10*(1+(GREET1_Import_Export!$E$179*GREET1_Import_Export!$B180+GREET1_Import_Export!$E180)/1000000)+J$70*(GREET1_Import_Export!$B309+GREET1_Import_Export!$C309)/1000000+J$71*(1+GREET1_Import_Export!$B180/1000000)</f>
        <v>22.322804282923894</v>
      </c>
      <c r="K73" s="1081"/>
      <c r="L73" s="1080">
        <f>L$64*(1+(GREET1_Import_Export!$F$179*GREET1_Import_Export!$B180+GREET1_Import_Export!$F180)/1000000)+L$65*(1+(GREET1_Import_Export!$G$179*GREET1_Import_Export!$B180+GREET1_Import_Export!$G180)/1000000)+L$66*(1+(GREET1_Import_Export!$C$179*GREET1_Import_Export!$B180+GREET1_Import_Export!$C180)/1000000)+(L$67+L$72)*(1+GREET1_Import_Export!$B216/1000000)+L$68*(1+GREET1_Import_Export!$B284/1000000)+L$69*GREET1_Import_Export!$B$10*(1+(GREET1_Import_Export!$F$215*GREET1_Import_Export!$E216+GREET1_Import_Export!$F216)/1000000)+L$69*GREET1_Import_Export!$C$10*(1+(GREET1_Import_Export!$E$179*GREET1_Import_Export!$B180+GREET1_Import_Export!$E180)/1000000)+L$70*(GREET1_Import_Export!$B309+GREET1_Import_Export!$C309)/1000000+L$71*(1+GREET1_Import_Export!$B180/1000000)</f>
        <v>10.03957410735666</v>
      </c>
      <c r="M73" s="1081"/>
      <c r="N73" s="1078">
        <f>N$64*(1+(GREET1_Import_Export!$F$179*GREET1_Import_Export!$B180+GREET1_Import_Export!$F180)/1000000)+N$65*(1+(GREET1_Import_Export!$G$179*GREET1_Import_Export!$B180+GREET1_Import_Export!$G180)/1000000)+N$66*(1+(GREET1_Import_Export!$C$179*GREET1_Import_Export!$B180+GREET1_Import_Export!$C180)/1000000)+(N$67+N$72)*(1+GREET1_Import_Export!$B216/1000000)+N$68*(1+GREET1_Import_Export!$B284/1000000)+N$69*GREET1_Import_Export!$B$10*(1+(GREET1_Import_Export!$F$215*GREET1_Import_Export!$E216+GREET1_Import_Export!$F216)/1000000)+N$69*GREET1_Import_Export!$C$10*(1+(GREET1_Import_Export!$E$179*GREET1_Import_Export!$B180+GREET1_Import_Export!$E180)/1000000)+N$70*(GREET1_Import_Export!$B309+GREET1_Import_Export!$C309)/1000000+N$71*(1+GREET1_Import_Export!$B180/1000000)</f>
        <v>2.3802185682432815</v>
      </c>
      <c r="O73" s="1079"/>
      <c r="P73" s="1078">
        <f>P$64*(1+(GREET1_Import_Export!$F$179*GREET1_Import_Export!$B180+GREET1_Import_Export!$F180)/1000000)+P$65*(1+(GREET1_Import_Export!$G$179*GREET1_Import_Export!$B180+GREET1_Import_Export!$G180)/1000000)+P$66*(1+(GREET1_Import_Export!$C$179*GREET1_Import_Export!$B180+GREET1_Import_Export!$C180)/1000000)+(P$67+P$72)*(1+GREET1_Import_Export!$B216/1000000)+P$68*(1+GREET1_Import_Export!$B284/1000000)+P$69*GREET1_Import_Export!$B$10*(1+(GREET1_Import_Export!$F$215*GREET1_Import_Export!$E216+GREET1_Import_Export!$F216)/1000000)+P$69*GREET1_Import_Export!$C$10*(1+(GREET1_Import_Export!$E$179*GREET1_Import_Export!$B180+GREET1_Import_Export!$E180)/1000000)+P$70*(GREET1_Import_Export!$B309+GREET1_Import_Export!$C309)/1000000+P$71*(1+GREET1_Import_Export!$B180/1000000)</f>
        <v>111.84043384842059</v>
      </c>
      <c r="Q73" s="1079"/>
      <c r="R73" s="1078">
        <f>R$64*(1+(GREET1_Import_Export!$F$179*GREET1_Import_Export!$B180+GREET1_Import_Export!$F180)/1000000)+R$65*(1+(GREET1_Import_Export!$G$179*GREET1_Import_Export!$B180+GREET1_Import_Export!$G180)/1000000)+R$66*(1+(GREET1_Import_Export!$C$179*GREET1_Import_Export!$B180+GREET1_Import_Export!$C180)/1000000)+(R$67+R$72)*(1+GREET1_Import_Export!$B216/1000000)+R$68*(1+GREET1_Import_Export!$B284/1000000)+R$69*GREET1_Import_Export!$B$10*(1+(GREET1_Import_Export!$F$215*GREET1_Import_Export!$E216+GREET1_Import_Export!$F216)/1000000)+R$69*GREET1_Import_Export!$C$10*(1+(GREET1_Import_Export!$E$179*GREET1_Import_Export!$B180+GREET1_Import_Export!$E180)/1000000)+R$70*(GREET1_Import_Export!$B309+GREET1_Import_Export!$C309)/1000000+R$71*(1+GREET1_Import_Export!$B180/1000000)</f>
        <v>23.071156675074242</v>
      </c>
      <c r="S73" s="1079"/>
      <c r="T73" s="1078">
        <f>T$64*(1+(GREET1_Import_Export!$F$179*GREET1_Import_Export!$B180+GREET1_Import_Export!$F180)/1000000)+T$65*(1+(GREET1_Import_Export!$G$179*GREET1_Import_Export!$B180+GREET1_Import_Export!$G180)/1000000)+T$66*(1+(GREET1_Import_Export!$C$179*GREET1_Import_Export!$B180+GREET1_Import_Export!$C180)/1000000)+(T$67+T$72)*(1+GREET1_Import_Export!$B216/1000000)+T$68*(1+GREET1_Import_Export!$B284/1000000)+T$69*GREET1_Import_Export!$B$10*(1+(GREET1_Import_Export!$F$215*GREET1_Import_Export!$E216+GREET1_Import_Export!$F216)/1000000)+T$69*GREET1_Import_Export!$C$10*(1+(GREET1_Import_Export!$E$179*GREET1_Import_Export!$B180+GREET1_Import_Export!$E180)/1000000)+T$70*(GREET1_Import_Export!$B309+GREET1_Import_Export!$C309)/1000000+T$71*(1+GREET1_Import_Export!$B180/1000000)</f>
        <v>140.32215245110024</v>
      </c>
      <c r="U73" s="1079"/>
      <c r="X73" s="1238"/>
      <c r="Y73" s="1238"/>
      <c r="Z73" s="1238"/>
      <c r="AA73" s="64"/>
      <c r="AB73" s="64"/>
      <c r="AC73" s="64"/>
      <c r="AD73" s="64"/>
      <c r="AE73" s="1238"/>
      <c r="AF73" s="1238"/>
      <c r="AG73" s="1238"/>
      <c r="AX73" s="1238"/>
      <c r="AY73" s="1238"/>
      <c r="AZ73" s="1238"/>
      <c r="BA73" s="1238"/>
      <c r="BB73" s="1238"/>
      <c r="BC73" s="1238"/>
      <c r="BD73" s="1238"/>
      <c r="BE73" s="1238"/>
      <c r="BF73" s="1238"/>
      <c r="BG73" s="1238"/>
      <c r="BH73" s="1238"/>
      <c r="BI73" s="1238"/>
      <c r="BJ73" s="1238"/>
      <c r="BK73" s="1238"/>
    </row>
    <row r="74" spans="1:63" s="349" customFormat="1">
      <c r="A74" s="494" t="s">
        <v>817</v>
      </c>
      <c r="B74" s="749">
        <f>B$64*(1+(GREET1_Import_Export!$F$179*GREET1_Import_Export!$B181+GREET1_Import_Export!$F181)/1000000)+B$65*(1+(GREET1_Import_Export!$G$179*GREET1_Import_Export!$B181+GREET1_Import_Export!$G181)/1000000)+B$66*(1+(GREET1_Import_Export!$C$179*GREET1_Import_Export!$B181+GREET1_Import_Export!$C181)/1000000)+(B$67+B$72)*(1+GREET1_Import_Export!$B217/1000000)+B$68*(1+GREET1_Import_Export!$B285/1000000)+B$69*GREET1_Import_Export!$B$10*(1+(GREET1_Import_Export!$F$215*GREET1_Import_Export!$E217+GREET1_Import_Export!$F217)/1000000)+B$69*GREET1_Import_Export!$C$10*(1+(GREET1_Import_Export!$E$179*GREET1_Import_Export!$B181+GREET1_Import_Export!$E181)/1000000)+B$70*(GREET1_Import_Export!$B310+GREET1_Import_Export!$C310)/1000000+B$71*(1+GREET1_Import_Export!$B181/1000000)</f>
        <v>104.97548529685071</v>
      </c>
      <c r="C74" s="817"/>
      <c r="D74" s="749">
        <f>D$64*(1+(GREET1_Import_Export!$F$179*GREET1_Import_Export!$B181+GREET1_Import_Export!$F181)/1000000)+D$65*(1+(GREET1_Import_Export!$G$179*GREET1_Import_Export!$B181+GREET1_Import_Export!$G181)/1000000)+D$66*(1+(GREET1_Import_Export!$C$179*GREET1_Import_Export!$B181+GREET1_Import_Export!$C181)/1000000)+(D$67+D$72)*(1+GREET1_Import_Export!$B217/1000000)+D$68*(1+GREET1_Import_Export!$B285/1000000)+D$69*GREET1_Import_Export!$B$10*(1+(GREET1_Import_Export!$F$215*GREET1_Import_Export!$E217+GREET1_Import_Export!$F217)/1000000)+D$69*GREET1_Import_Export!$C$10*(1+(GREET1_Import_Export!$E$179*GREET1_Import_Export!$B181+GREET1_Import_Export!$E181)/1000000)+D$70*(GREET1_Import_Export!$B310+GREET1_Import_Export!$C310)/1000000+D$71*(1+GREET1_Import_Export!$B181/1000000)</f>
        <v>0.76805869605044363</v>
      </c>
      <c r="E74" s="817"/>
      <c r="F74" s="749">
        <f>F$64*(1+(GREET1_Import_Export!$F$179*GREET1_Import_Export!$B181+GREET1_Import_Export!$F181)/1000000)+F$65*(1+(GREET1_Import_Export!$G$179*GREET1_Import_Export!$B181+GREET1_Import_Export!$G181)/1000000)+F$66*(1+(GREET1_Import_Export!$C$179*GREET1_Import_Export!$B181+GREET1_Import_Export!$C181)/1000000)+(F$67+F$72)*(1+GREET1_Import_Export!$B217/1000000)+F$68*(1+GREET1_Import_Export!$B285/1000000)+F$69*GREET1_Import_Export!$B$10*(1+(GREET1_Import_Export!$F$215*GREET1_Import_Export!$E217+GREET1_Import_Export!$F217)/1000000)+F$69*GREET1_Import_Export!$C$10*(1+(GREET1_Import_Export!$E$179*GREET1_Import_Export!$B181+GREET1_Import_Export!$E181)/1000000)+F$70*(GREET1_Import_Export!$B310+GREET1_Import_Export!$C310)/1000000+F$71*(1+GREET1_Import_Export!$B181/1000000)</f>
        <v>4.8348092325756351</v>
      </c>
      <c r="G74" s="817"/>
      <c r="H74" s="749">
        <f>H$64*(1+(GREET1_Import_Export!$F$179*GREET1_Import_Export!$B181+GREET1_Import_Export!$F181)/1000000)+H$65*(1+(GREET1_Import_Export!$G$179*GREET1_Import_Export!$B181+GREET1_Import_Export!$G181)/1000000)+H$66*(1+(GREET1_Import_Export!$C$179*GREET1_Import_Export!$B181+GREET1_Import_Export!$C181)/1000000)+(H$67+H$72)*(1+GREET1_Import_Export!$B217/1000000)+H$68*(1+GREET1_Import_Export!$B285/1000000)+H$69*GREET1_Import_Export!$B$10*(1+(GREET1_Import_Export!$F$215*GREET1_Import_Export!$E217+GREET1_Import_Export!$F217)/1000000)+H$69*GREET1_Import_Export!$C$10*(1+(GREET1_Import_Export!$E$179*GREET1_Import_Export!$B181+GREET1_Import_Export!$E181)/1000000)+H$70*(GREET1_Import_Export!$B310+GREET1_Import_Export!$C310)/1000000+H$71*(1+GREET1_Import_Export!$B181/1000000)</f>
        <v>5.9399084857357805</v>
      </c>
      <c r="I74" s="817"/>
      <c r="J74" s="749">
        <f>J$64*(1+(GREET1_Import_Export!$F$179*GREET1_Import_Export!$B181+GREET1_Import_Export!$F181)/1000000)+J$65*(1+(GREET1_Import_Export!$G$179*GREET1_Import_Export!$B181+GREET1_Import_Export!$G181)/1000000)+J$66*(1+(GREET1_Import_Export!$C$179*GREET1_Import_Export!$B181+GREET1_Import_Export!$C181)/1000000)+(J$67+J$72)*(1+GREET1_Import_Export!$B217/1000000)+J$68*(1+GREET1_Import_Export!$B285/1000000)+J$69*GREET1_Import_Export!$B$10*(1+(GREET1_Import_Export!$F$215*GREET1_Import_Export!$E217+GREET1_Import_Export!$F217)/1000000)+J$69*GREET1_Import_Export!$C$10*(1+(GREET1_Import_Export!$E$179*GREET1_Import_Export!$B181+GREET1_Import_Export!$E181)/1000000)+J$70*(GREET1_Import_Export!$B310+GREET1_Import_Export!$C310)/1000000+J$71*(1+GREET1_Import_Export!$B181/1000000)</f>
        <v>17.679981801647845</v>
      </c>
      <c r="K74" s="817"/>
      <c r="L74" s="749">
        <f>L$64*(1+(GREET1_Import_Export!$F$179*GREET1_Import_Export!$B181+GREET1_Import_Export!$F181)/1000000)+L$65*(1+(GREET1_Import_Export!$G$179*GREET1_Import_Export!$B181+GREET1_Import_Export!$G181)/1000000)+L$66*(1+(GREET1_Import_Export!$C$179*GREET1_Import_Export!$B181+GREET1_Import_Export!$C181)/1000000)+(L$67+L$72)*(1+GREET1_Import_Export!$B217/1000000)+L$68*(1+GREET1_Import_Export!$B285/1000000)+L$69*GREET1_Import_Export!$B$10*(1+(GREET1_Import_Export!$F$215*GREET1_Import_Export!$E217+GREET1_Import_Export!$F217)/1000000)+L$69*GREET1_Import_Export!$C$10*(1+(GREET1_Import_Export!$E$179*GREET1_Import_Export!$B181+GREET1_Import_Export!$E181)/1000000)+L$70*(GREET1_Import_Export!$B310+GREET1_Import_Export!$C310)/1000000+L$71*(1+GREET1_Import_Export!$B181/1000000)</f>
        <v>9.4550407428568697</v>
      </c>
      <c r="M74" s="817"/>
      <c r="N74" s="753">
        <f>N$64*(1+(GREET1_Import_Export!$F$179*GREET1_Import_Export!$B181+GREET1_Import_Export!$F181)/1000000)+N$65*(1+(GREET1_Import_Export!$G$179*GREET1_Import_Export!$B181+GREET1_Import_Export!$G181)/1000000)+N$66*(1+(GREET1_Import_Export!$C$179*GREET1_Import_Export!$B181+GREET1_Import_Export!$C181)/1000000)+(N$67+N$72)*(1+GREET1_Import_Export!$B217/1000000)+N$68*(1+GREET1_Import_Export!$B285/1000000)+N$69*GREET1_Import_Export!$B$10*(1+(GREET1_Import_Export!$F$215*GREET1_Import_Export!$E217+GREET1_Import_Export!$F217)/1000000)+N$69*GREET1_Import_Export!$C$10*(1+(GREET1_Import_Export!$E$179*GREET1_Import_Export!$B181+GREET1_Import_Export!$E181)/1000000)+N$70*(GREET1_Import_Export!$B310+GREET1_Import_Export!$C310)/1000000+N$71*(1+GREET1_Import_Export!$B181/1000000)</f>
        <v>2.2339786746508792</v>
      </c>
      <c r="O74" s="1082"/>
      <c r="P74" s="753">
        <f>P$64*(1+(GREET1_Import_Export!$F$179*GREET1_Import_Export!$B181+GREET1_Import_Export!$F181)/1000000)+P$65*(1+(GREET1_Import_Export!$G$179*GREET1_Import_Export!$B181+GREET1_Import_Export!$G181)/1000000)+P$66*(1+(GREET1_Import_Export!$C$179*GREET1_Import_Export!$B181+GREET1_Import_Export!$C181)/1000000)+(P$67+P$72)*(1+GREET1_Import_Export!$B217/1000000)+P$68*(1+GREET1_Import_Export!$B285/1000000)+P$69*GREET1_Import_Export!$B$10*(1+(GREET1_Import_Export!$F$215*GREET1_Import_Export!$E217+GREET1_Import_Export!$F217)/1000000)+P$69*GREET1_Import_Export!$C$10*(1+(GREET1_Import_Export!$E$179*GREET1_Import_Export!$B181+GREET1_Import_Export!$E181)/1000000)+P$70*(GREET1_Import_Export!$B310+GREET1_Import_Export!$C310)/1000000+P$71*(1+GREET1_Import_Export!$B181/1000000)</f>
        <v>110.07268938400514</v>
      </c>
      <c r="Q74" s="1082"/>
      <c r="R74" s="753">
        <f>R$64*(1+(GREET1_Import_Export!$F$179*GREET1_Import_Export!$B181+GREET1_Import_Export!$F181)/1000000)+R$65*(1+(GREET1_Import_Export!$G$179*GREET1_Import_Export!$B181+GREET1_Import_Export!$G181)/1000000)+R$66*(1+(GREET1_Import_Export!$C$179*GREET1_Import_Export!$B181+GREET1_Import_Export!$C181)/1000000)+(R$67+R$72)*(1+GREET1_Import_Export!$B217/1000000)+R$68*(1+GREET1_Import_Export!$B285/1000000)+R$69*GREET1_Import_Export!$B$10*(1+(GREET1_Import_Export!$F$215*GREET1_Import_Export!$E217+GREET1_Import_Export!$F217)/1000000)+R$69*GREET1_Import_Export!$C$10*(1+(GREET1_Import_Export!$E$179*GREET1_Import_Export!$B181+GREET1_Import_Export!$E181)/1000000)+R$70*(GREET1_Import_Export!$B310+GREET1_Import_Export!$C310)/1000000+R$71*(1+GREET1_Import_Export!$B181/1000000)</f>
        <v>18.272687651089843</v>
      </c>
      <c r="S74" s="1082"/>
      <c r="T74" s="753">
        <f>T$64*(1+(GREET1_Import_Export!$F$179*GREET1_Import_Export!$B181+GREET1_Import_Export!$F181)/1000000)+T$65*(1+(GREET1_Import_Export!$G$179*GREET1_Import_Export!$B181+GREET1_Import_Export!$G181)/1000000)+T$66*(1+(GREET1_Import_Export!$C$179*GREET1_Import_Export!$B181+GREET1_Import_Export!$C181)/1000000)+(T$67+T$72)*(1+GREET1_Import_Export!$B217/1000000)+T$68*(1+GREET1_Import_Export!$B285/1000000)+T$69*GREET1_Import_Export!$B$10*(1+(GREET1_Import_Export!$F$215*GREET1_Import_Export!$E217+GREET1_Import_Export!$F217)/1000000)+T$69*GREET1_Import_Export!$C$10*(1+(GREET1_Import_Export!$E$179*GREET1_Import_Export!$B181+GREET1_Import_Export!$E181)/1000000)+T$70*(GREET1_Import_Export!$B310+GREET1_Import_Export!$C310)/1000000+T$71*(1+GREET1_Import_Export!$B181/1000000)</f>
        <v>112.50690083266254</v>
      </c>
      <c r="U74" s="1082"/>
      <c r="X74" s="1238"/>
      <c r="Y74" s="1238"/>
      <c r="Z74" s="1238"/>
      <c r="AA74" s="64"/>
      <c r="AB74" s="64"/>
      <c r="AC74" s="64"/>
      <c r="AD74" s="64"/>
      <c r="AE74" s="1238"/>
      <c r="AF74" s="1238"/>
      <c r="AG74" s="1238"/>
      <c r="AX74" s="1238"/>
      <c r="AY74" s="1238"/>
      <c r="AZ74" s="1238"/>
      <c r="BA74" s="1238"/>
      <c r="BB74" s="1238"/>
      <c r="BC74" s="1238"/>
      <c r="BD74" s="1238"/>
      <c r="BE74" s="1238"/>
      <c r="BF74" s="1238"/>
      <c r="BG74" s="1238"/>
      <c r="BH74" s="1238"/>
      <c r="BI74" s="1238"/>
      <c r="BJ74" s="1238"/>
      <c r="BK74" s="1238"/>
    </row>
    <row r="75" spans="1:63" s="349" customFormat="1">
      <c r="A75" s="494" t="s">
        <v>805</v>
      </c>
      <c r="B75" s="749">
        <f>B$64*(GREET1_Import_Export!$F$179*GREET1_Import_Export!$B182+GREET1_Import_Export!$F182)/1000000+B$65*(GREET1_Import_Export!$G$179*GREET1_Import_Export!$B182+GREET1_Import_Export!$G182)/1000000+B$66*(GREET1_Import_Export!$C$179*GREET1_Import_Export!$B182+GREET1_Import_Export!$C182)/1000000+(B$67+B$72)*GREET1_Import_Export!$B218/1000000+B$68*(1+GREET1_Import_Export!$B286/1000000)+B$69*GREET1_Import_Export!$B$10*(GREET1_Import_Export!$F$215*GREET1_Import_Export!$E218+GREET1_Import_Export!$F218)/1000000+B$69*GREET1_Import_Export!$C$10*(GREET1_Import_Export!$E$179*GREET1_Import_Export!$B182+GREET1_Import_Export!$E182)/1000000+B$70*(GREET1_Import_Export!$B311+GREET1_Import_Export!$C311)/1000000+B$71*GREET1_Import_Export!$B182/1000000</f>
        <v>3.8445890135462109</v>
      </c>
      <c r="C75" s="817"/>
      <c r="D75" s="749">
        <f>D$64*(GREET1_Import_Export!$F$179*GREET1_Import_Export!$B182+GREET1_Import_Export!$F182)/1000000+D$65*(GREET1_Import_Export!$G$179*GREET1_Import_Export!$B182+GREET1_Import_Export!$G182)/1000000+D$66*(GREET1_Import_Export!$C$179*GREET1_Import_Export!$B182+GREET1_Import_Export!$C182)/1000000+(D$67+D$72)*GREET1_Import_Export!$B218/1000000+D$68*(1+GREET1_Import_Export!$B286/1000000)+D$69*GREET1_Import_Export!$B$10*(GREET1_Import_Export!$F$215*GREET1_Import_Export!$E218+GREET1_Import_Export!$F218)/1000000+D$69*GREET1_Import_Export!$C$10*(GREET1_Import_Export!$E$179*GREET1_Import_Export!$B182+GREET1_Import_Export!$E182)/1000000+D$70*(GREET1_Import_Export!$B311+GREET1_Import_Export!$C311)/1000000+D$71*GREET1_Import_Export!$B182/1000000</f>
        <v>5.6929208469231593E-2</v>
      </c>
      <c r="E75" s="817"/>
      <c r="F75" s="749">
        <f>F$64*(GREET1_Import_Export!$F$179*GREET1_Import_Export!$B182+GREET1_Import_Export!$F182)/1000000+F$65*(GREET1_Import_Export!$G$179*GREET1_Import_Export!$B182+GREET1_Import_Export!$G182)/1000000+F$66*(GREET1_Import_Export!$C$179*GREET1_Import_Export!$B182+GREET1_Import_Export!$C182)/1000000+(F$67+F$72)*GREET1_Import_Export!$B218/1000000+F$68*(1+GREET1_Import_Export!$B286/1000000)+F$69*GREET1_Import_Export!$B$10*(GREET1_Import_Export!$F$215*GREET1_Import_Export!$E218+GREET1_Import_Export!$F218)/1000000+F$69*GREET1_Import_Export!$C$10*(GREET1_Import_Export!$E$179*GREET1_Import_Export!$B182+GREET1_Import_Export!$E182)/1000000+F$70*(GREET1_Import_Export!$B311+GREET1_Import_Export!$C311)/1000000+F$71*GREET1_Import_Export!$B182/1000000</f>
        <v>1.678363165600478</v>
      </c>
      <c r="G75" s="817"/>
      <c r="H75" s="749">
        <f>H$64*(GREET1_Import_Export!$F$179*GREET1_Import_Export!$B182+GREET1_Import_Export!$F182)/1000000+H$65*(GREET1_Import_Export!$G$179*GREET1_Import_Export!$B182+GREET1_Import_Export!$G182)/1000000+H$66*(GREET1_Import_Export!$C$179*GREET1_Import_Export!$B182+GREET1_Import_Export!$C182)/1000000+(H$67+H$72)*GREET1_Import_Export!$B218/1000000+H$68*(1+GREET1_Import_Export!$B286/1000000)+H$69*GREET1_Import_Export!$B$10*(GREET1_Import_Export!$F$215*GREET1_Import_Export!$E218+GREET1_Import_Export!$F218)/1000000+H$69*GREET1_Import_Export!$C$10*(GREET1_Import_Export!$E$179*GREET1_Import_Export!$B182+GREET1_Import_Export!$E182)/1000000+H$70*(GREET1_Import_Export!$B311+GREET1_Import_Export!$C311)/1000000+H$71*GREET1_Import_Export!$B182/1000000</f>
        <v>2.0619890320234444</v>
      </c>
      <c r="I75" s="817"/>
      <c r="J75" s="749">
        <f>J$64*(GREET1_Import_Export!$F$179*GREET1_Import_Export!$B182+GREET1_Import_Export!$F182)/1000000+J$65*(GREET1_Import_Export!$G$179*GREET1_Import_Export!$B182+GREET1_Import_Export!$G182)/1000000+J$66*(GREET1_Import_Export!$C$179*GREET1_Import_Export!$B182+GREET1_Import_Export!$C182)/1000000+(J$67+J$72)*GREET1_Import_Export!$B218/1000000+J$68*(1+GREET1_Import_Export!$B286/1000000)+J$69*GREET1_Import_Export!$B$10*(GREET1_Import_Export!$F$215*GREET1_Import_Export!$E218+GREET1_Import_Export!$F218)/1000000+J$69*GREET1_Import_Export!$C$10*(GREET1_Import_Export!$E$179*GREET1_Import_Export!$B182+GREET1_Import_Export!$E182)/1000000+J$70*(GREET1_Import_Export!$B311+GREET1_Import_Export!$C311)/1000000+J$71*GREET1_Import_Export!$B182/1000000</f>
        <v>6.137456267031383</v>
      </c>
      <c r="K75" s="817"/>
      <c r="L75" s="749">
        <f>L$64*(GREET1_Import_Export!$F$179*GREET1_Import_Export!$B182+GREET1_Import_Export!$F182)/1000000+L$65*(GREET1_Import_Export!$G$179*GREET1_Import_Export!$B182+GREET1_Import_Export!$G182)/1000000+L$66*(GREET1_Import_Export!$C$179*GREET1_Import_Export!$B182+GREET1_Import_Export!$C182)/1000000+(L$67+L$72)*GREET1_Import_Export!$B218/1000000+L$68*(1+GREET1_Import_Export!$B286/1000000)+L$69*GREET1_Import_Export!$B$10*(GREET1_Import_Export!$F$215*GREET1_Import_Export!$E218+GREET1_Import_Export!$F218)/1000000+L$69*GREET1_Import_Export!$C$10*(GREET1_Import_Export!$E$179*GREET1_Import_Export!$B182+GREET1_Import_Export!$E182)/1000000+L$70*(GREET1_Import_Export!$B311+GREET1_Import_Export!$C311)/1000000+L$71*GREET1_Import_Export!$B182/1000000</f>
        <v>0.77167593510608434</v>
      </c>
      <c r="M75" s="817"/>
      <c r="N75" s="753">
        <f>N$64*(GREET1_Import_Export!$F$179*GREET1_Import_Export!$B182+GREET1_Import_Export!$F182)/1000000+N$65*(GREET1_Import_Export!$G$179*GREET1_Import_Export!$B182+GREET1_Import_Export!$G182)/1000000+N$66*(GREET1_Import_Export!$C$179*GREET1_Import_Export!$B182+GREET1_Import_Export!$C182)/1000000+(N$67+N$72)*GREET1_Import_Export!$B218/1000000+N$68*(1+GREET1_Import_Export!$B286/1000000)+N$69*GREET1_Import_Export!$B$10*(GREET1_Import_Export!$F$215*GREET1_Import_Export!$E218+GREET1_Import_Export!$F218)/1000000+N$69*GREET1_Import_Export!$C$10*(GREET1_Import_Export!$E$179*GREET1_Import_Export!$B182+GREET1_Import_Export!$E182)/1000000+N$70*(GREET1_Import_Export!$B311+GREET1_Import_Export!$C311)/1000000+N$71*GREET1_Import_Export!$B182/1000000</f>
        <v>0.51043797981414729</v>
      </c>
      <c r="O75" s="1082"/>
      <c r="P75" s="753">
        <f>P$64*(GREET1_Import_Export!$F$179*GREET1_Import_Export!$B182+GREET1_Import_Export!$F182)/1000000+P$65*(GREET1_Import_Export!$G$179*GREET1_Import_Export!$B182+GREET1_Import_Export!$G182)/1000000+P$66*(GREET1_Import_Export!$C$179*GREET1_Import_Export!$B182+GREET1_Import_Export!$C182)/1000000+(P$67+P$72)*GREET1_Import_Export!$B218/1000000+P$68*(1+GREET1_Import_Export!$B286/1000000)+P$69*GREET1_Import_Export!$B$10*(GREET1_Import_Export!$F$215*GREET1_Import_Export!$E218+GREET1_Import_Export!$F218)/1000000+P$69*GREET1_Import_Export!$C$10*(GREET1_Import_Export!$E$179*GREET1_Import_Export!$B182+GREET1_Import_Export!$E182)/1000000+P$70*(GREET1_Import_Export!$B311+GREET1_Import_Export!$C311)/1000000+P$71*GREET1_Import_Export!$B182/1000000</f>
        <v>8.2215040277493934</v>
      </c>
      <c r="Q75" s="1082"/>
      <c r="R75" s="753">
        <f>R$64*(GREET1_Import_Export!$F$179*GREET1_Import_Export!$B182+GREET1_Import_Export!$F182)/1000000+R$65*(GREET1_Import_Export!$G$179*GREET1_Import_Export!$B182+GREET1_Import_Export!$G182)/1000000+R$66*(GREET1_Import_Export!$C$179*GREET1_Import_Export!$B182+GREET1_Import_Export!$C182)/1000000+(R$67+R$72)*GREET1_Import_Export!$B218/1000000+R$68*(1+GREET1_Import_Export!$B286/1000000)+R$69*GREET1_Import_Export!$B$10*(GREET1_Import_Export!$F$215*GREET1_Import_Export!$E218+GREET1_Import_Export!$F218)/1000000+R$69*GREET1_Import_Export!$C$10*(GREET1_Import_Export!$E$179*GREET1_Import_Export!$B182+GREET1_Import_Export!$E182)/1000000+R$70*(GREET1_Import_Export!$B311+GREET1_Import_Export!$C311)/1000000+R$71*GREET1_Import_Export!$B182/1000000</f>
        <v>6.3432090936448633</v>
      </c>
      <c r="S75" s="1082"/>
      <c r="T75" s="753">
        <f>T$64*(GREET1_Import_Export!$F$179*GREET1_Import_Export!$B182+GREET1_Import_Export!$F182)/1000000+T$65*(GREET1_Import_Export!$G$179*GREET1_Import_Export!$B182+GREET1_Import_Export!$G182)/1000000+T$66*(GREET1_Import_Export!$C$179*GREET1_Import_Export!$B182+GREET1_Import_Export!$C182)/1000000+(T$67+T$72)*GREET1_Import_Export!$B218/1000000+T$68*(1+GREET1_Import_Export!$B286/1000000)+T$69*GREET1_Import_Export!$B$10*(GREET1_Import_Export!$F$215*GREET1_Import_Export!$E218+GREET1_Import_Export!$F218)/1000000+T$69*GREET1_Import_Export!$C$10*(GREET1_Import_Export!$E$179*GREET1_Import_Export!$B182+GREET1_Import_Export!$E182)/1000000+T$70*(GREET1_Import_Export!$B311+GREET1_Import_Export!$C311)/1000000+T$71*GREET1_Import_Export!$B182/1000000</f>
        <v>36.769628718529063</v>
      </c>
      <c r="U75" s="1082"/>
      <c r="X75" s="1238"/>
      <c r="Y75" s="1238"/>
      <c r="Z75" s="1238"/>
      <c r="AA75" s="64"/>
      <c r="AB75" s="64"/>
      <c r="AC75" s="64"/>
      <c r="AD75" s="64"/>
      <c r="AE75" s="1238"/>
      <c r="AF75" s="1238"/>
      <c r="AG75" s="1238"/>
      <c r="AX75" s="1238"/>
      <c r="AY75" s="1238"/>
      <c r="AZ75" s="1238"/>
      <c r="BA75" s="1238"/>
      <c r="BB75" s="1238"/>
      <c r="BC75" s="1238"/>
      <c r="BD75" s="1238"/>
      <c r="BE75" s="1238"/>
      <c r="BF75" s="1238"/>
      <c r="BG75" s="1238"/>
      <c r="BH75" s="1238"/>
      <c r="BI75" s="1238"/>
      <c r="BJ75" s="1238"/>
      <c r="BK75" s="1238"/>
    </row>
    <row r="76" spans="1:63" s="349" customFormat="1">
      <c r="A76" s="494" t="s">
        <v>804</v>
      </c>
      <c r="B76" s="749">
        <f>B74-B75-B77</f>
        <v>78.351681251427806</v>
      </c>
      <c r="C76" s="817"/>
      <c r="D76" s="749">
        <f>D74-D75-D77</f>
        <v>0.14219547805846144</v>
      </c>
      <c r="E76" s="817"/>
      <c r="F76" s="749">
        <f>F74-F75-F77</f>
        <v>3.1039390622847813</v>
      </c>
      <c r="G76" s="817"/>
      <c r="H76" s="749">
        <f>H74-H75-H77</f>
        <v>3.8134108479498749</v>
      </c>
      <c r="I76" s="817"/>
      <c r="J76" s="749">
        <f>J74-J75-J77</f>
        <v>11.350517361650695</v>
      </c>
      <c r="K76" s="817"/>
      <c r="L76" s="749">
        <f>L74-L75-L77</f>
        <v>5.035096922257253</v>
      </c>
      <c r="M76" s="817"/>
      <c r="N76" s="753">
        <f>N74-N75-N77</f>
        <v>1.672639575665313</v>
      </c>
      <c r="O76" s="1082"/>
      <c r="P76" s="753">
        <f>P74-P75-P77</f>
        <v>68.615033117709942</v>
      </c>
      <c r="Q76" s="1082"/>
      <c r="R76" s="753">
        <f>R74-R75-R77</f>
        <v>11.73103347925305</v>
      </c>
      <c r="S76" s="1082"/>
      <c r="T76" s="753">
        <f>T74-T75-T77</f>
        <v>74.563112737744419</v>
      </c>
      <c r="U76" s="1082"/>
      <c r="X76" s="1238"/>
      <c r="Y76" s="1238"/>
      <c r="Z76" s="1238"/>
      <c r="AA76" s="64"/>
      <c r="AB76" s="64"/>
      <c r="AC76" s="64"/>
      <c r="AD76" s="64"/>
      <c r="AE76" s="1238"/>
      <c r="AF76" s="1238"/>
      <c r="AG76" s="1238"/>
      <c r="AX76" s="1238"/>
      <c r="AY76" s="1238"/>
      <c r="AZ76" s="1238"/>
      <c r="BA76" s="1238"/>
      <c r="BB76" s="1238"/>
      <c r="BC76" s="1238"/>
      <c r="BD76" s="1238"/>
      <c r="BE76" s="1238"/>
      <c r="BF76" s="1238"/>
      <c r="BG76" s="1238"/>
      <c r="BH76" s="1238"/>
      <c r="BI76" s="1238"/>
      <c r="BJ76" s="1238"/>
      <c r="BK76" s="1238"/>
    </row>
    <row r="77" spans="1:63" s="349" customFormat="1">
      <c r="A77" s="504" t="s">
        <v>818</v>
      </c>
      <c r="B77" s="771">
        <f>B$64*(1+(GREET1_Import_Export!$F$179*GREET1_Import_Export!$B184+GREET1_Import_Export!$F184)/1000000)+B$65*(1+(GREET1_Import_Export!$G$179*GREET1_Import_Export!$B184+GREET1_Import_Export!$G184)/1000000)+B$66*(1+(GREET1_Import_Export!$C$179*GREET1_Import_Export!$B184+GREET1_Import_Export!$C184)/1000000)+(B$67+B$72)*GREET1_Import_Export!$B220/1000000+B$68*GREET1_Import_Export!$B288/1000000+B$69*GREET1_Import_Export!$B$10*(GREET1_Import_Export!$F$215*GREET1_Import_Export!$E220+GREET1_Import_Export!$F220)/1000000+B$69*GREET1_Import_Export!$C$10*(1+(GREET1_Import_Export!$E$179*GREET1_Import_Export!$B184+GREET1_Import_Export!$E184)/1000000)+B$70*(GREET1_Import_Export!$B313+GREET1_Import_Export!$C313)/1000000+B$71*(1+GREET1_Import_Export!$B184/1000000)</f>
        <v>22.779215031876696</v>
      </c>
      <c r="C77" s="1084"/>
      <c r="D77" s="771">
        <f>D$64*(1+(GREET1_Import_Export!$F$179*GREET1_Import_Export!$B184+GREET1_Import_Export!$F184)/1000000)+D$65*(1+(GREET1_Import_Export!$G$179*GREET1_Import_Export!$B184+GREET1_Import_Export!$G184)/1000000)+D$66*(1+(GREET1_Import_Export!$C$179*GREET1_Import_Export!$B184+GREET1_Import_Export!$C184)/1000000)+(D$67+D$72)*GREET1_Import_Export!$B220/1000000+D$68*GREET1_Import_Export!$B288/1000000+D$69*GREET1_Import_Export!$B$10*(GREET1_Import_Export!$F$215*GREET1_Import_Export!$E220+GREET1_Import_Export!$F220)/1000000+D$69*GREET1_Import_Export!$C$10*(1+(GREET1_Import_Export!$E$179*GREET1_Import_Export!$B184+GREET1_Import_Export!$E184)/1000000)+D$70*(GREET1_Import_Export!$B313+GREET1_Import_Export!$C313)/1000000+D$71*(1+GREET1_Import_Export!$B184/1000000)</f>
        <v>0.56893400952275064</v>
      </c>
      <c r="E77" s="1084"/>
      <c r="F77" s="771">
        <f>F$64*(1+(GREET1_Import_Export!$F$179*GREET1_Import_Export!$B184+GREET1_Import_Export!$F184)/1000000)+F$65*(1+(GREET1_Import_Export!$G$179*GREET1_Import_Export!$B184+GREET1_Import_Export!$G184)/1000000)+F$66*(1+(GREET1_Import_Export!$C$179*GREET1_Import_Export!$B184+GREET1_Import_Export!$C184)/1000000)+(F$67+F$72)*GREET1_Import_Export!$B220/1000000+F$68*GREET1_Import_Export!$B288/1000000+F$69*GREET1_Import_Export!$B$10*(GREET1_Import_Export!$F$215*GREET1_Import_Export!$E220+GREET1_Import_Export!$F220)/1000000+F$69*GREET1_Import_Export!$C$10*(1+(GREET1_Import_Export!$E$179*GREET1_Import_Export!$B184+GREET1_Import_Export!$E184)/1000000)+F$70*(GREET1_Import_Export!$B313+GREET1_Import_Export!$C313)/1000000+F$71*(1+GREET1_Import_Export!$B184/1000000)</f>
        <v>5.2507004690375399E-2</v>
      </c>
      <c r="G77" s="1084"/>
      <c r="H77" s="771">
        <f>H$64*(1+(GREET1_Import_Export!$F$179*GREET1_Import_Export!$B184+GREET1_Import_Export!$F184)/1000000)+H$65*(1+(GREET1_Import_Export!$G$179*GREET1_Import_Export!$B184+GREET1_Import_Export!$G184)/1000000)+H$66*(1+(GREET1_Import_Export!$C$179*GREET1_Import_Export!$B184+GREET1_Import_Export!$C184)/1000000)+(H$67+H$72)*GREET1_Import_Export!$B220/1000000+H$68*GREET1_Import_Export!$B288/1000000+H$69*GREET1_Import_Export!$B$10*(GREET1_Import_Export!$F$215*GREET1_Import_Export!$E220+GREET1_Import_Export!$F220)/1000000+H$69*GREET1_Import_Export!$C$10*(1+(GREET1_Import_Export!$E$179*GREET1_Import_Export!$B184+GREET1_Import_Export!$E184)/1000000)+H$70*(GREET1_Import_Export!$B313+GREET1_Import_Export!$C313)/1000000+H$71*(1+GREET1_Import_Export!$B184/1000000)</f>
        <v>6.4508605762461202E-2</v>
      </c>
      <c r="I77" s="1084"/>
      <c r="J77" s="771">
        <f>J$64*(1+(GREET1_Import_Export!$F$179*GREET1_Import_Export!$B184+GREET1_Import_Export!$F184)/1000000)+J$65*(1+(GREET1_Import_Export!$G$179*GREET1_Import_Export!$B184+GREET1_Import_Export!$G184)/1000000)+J$66*(1+(GREET1_Import_Export!$C$179*GREET1_Import_Export!$B184+GREET1_Import_Export!$C184)/1000000)+(J$67+J$72)*GREET1_Import_Export!$B220/1000000+J$68*GREET1_Import_Export!$B288/1000000+J$69*GREET1_Import_Export!$B$10*(GREET1_Import_Export!$F$215*GREET1_Import_Export!$E220+GREET1_Import_Export!$F220)/1000000+J$69*GREET1_Import_Export!$C$10*(1+(GREET1_Import_Export!$E$179*GREET1_Import_Export!$B184+GREET1_Import_Export!$E184)/1000000)+J$70*(GREET1_Import_Export!$B313+GREET1_Import_Export!$C313)/1000000+J$71*(1+GREET1_Import_Export!$B184/1000000)</f>
        <v>0.19200817296576811</v>
      </c>
      <c r="K77" s="1084"/>
      <c r="L77" s="771">
        <f>L$64*(1+(GREET1_Import_Export!$F$179*GREET1_Import_Export!$B184+GREET1_Import_Export!$F184)/1000000)+L$65*(1+(GREET1_Import_Export!$G$179*GREET1_Import_Export!$B184+GREET1_Import_Export!$G184)/1000000)+L$66*(1+(GREET1_Import_Export!$C$179*GREET1_Import_Export!$B184+GREET1_Import_Export!$C184)/1000000)+(L$67+L$72)*GREET1_Import_Export!$B220/1000000+L$68*GREET1_Import_Export!$B288/1000000+L$69*GREET1_Import_Export!$B$10*(GREET1_Import_Export!$F$215*GREET1_Import_Export!$E220+GREET1_Import_Export!$F220)/1000000+L$69*GREET1_Import_Export!$C$10*(1+(GREET1_Import_Export!$E$179*GREET1_Import_Export!$B184+GREET1_Import_Export!$E184)/1000000)+L$70*(GREET1_Import_Export!$B313+GREET1_Import_Export!$C313)/1000000+L$71*(1+GREET1_Import_Export!$B184/1000000)</f>
        <v>3.6482678854935311</v>
      </c>
      <c r="M77" s="1084"/>
      <c r="N77" s="748">
        <f>N$64*(1+(GREET1_Import_Export!$F$179*GREET1_Import_Export!$B184+GREET1_Import_Export!$F184)/1000000)+N$65*(1+(GREET1_Import_Export!$G$179*GREET1_Import_Export!$B184+GREET1_Import_Export!$G184)/1000000)+N$66*(1+(GREET1_Import_Export!$C$179*GREET1_Import_Export!$B184+GREET1_Import_Export!$C184)/1000000)+(N$67+N$72)*GREET1_Import_Export!$B220/1000000+N$68*GREET1_Import_Export!$B288/1000000+N$69*GREET1_Import_Export!$B$10*(GREET1_Import_Export!$F$215*GREET1_Import_Export!$E220+GREET1_Import_Export!$F220)/1000000+N$69*GREET1_Import_Export!$C$10*(1+(GREET1_Import_Export!$E$179*GREET1_Import_Export!$B184+GREET1_Import_Export!$E184)/1000000)+N$70*(GREET1_Import_Export!$B313+GREET1_Import_Export!$C313)/1000000+N$71*(1+GREET1_Import_Export!$B184/1000000)</f>
        <v>5.0901119171418999E-2</v>
      </c>
      <c r="O77" s="1083"/>
      <c r="P77" s="748">
        <f>P$64*(1+(GREET1_Import_Export!$F$179*GREET1_Import_Export!$B184+GREET1_Import_Export!$F184)/1000000)+P$65*(1+(GREET1_Import_Export!$G$179*GREET1_Import_Export!$B184+GREET1_Import_Export!$G184)/1000000)+P$66*(1+(GREET1_Import_Export!$C$179*GREET1_Import_Export!$B184+GREET1_Import_Export!$C184)/1000000)+(P$67+P$72)*GREET1_Import_Export!$B220/1000000+P$68*GREET1_Import_Export!$B288/1000000+P$69*GREET1_Import_Export!$B$10*(GREET1_Import_Export!$F$215*GREET1_Import_Export!$E220+GREET1_Import_Export!$F220)/1000000+P$69*GREET1_Import_Export!$C$10*(1+(GREET1_Import_Export!$E$179*GREET1_Import_Export!$B184+GREET1_Import_Export!$E184)/1000000)+P$70*(GREET1_Import_Export!$B313+GREET1_Import_Export!$C313)/1000000+P$71*(1+GREET1_Import_Export!$B184/1000000)</f>
        <v>33.236152238545813</v>
      </c>
      <c r="Q77" s="1083"/>
      <c r="R77" s="748">
        <f>R$64*(1+(GREET1_Import_Export!$F$179*GREET1_Import_Export!$B184+GREET1_Import_Export!$F184)/1000000)+R$65*(1+(GREET1_Import_Export!$G$179*GREET1_Import_Export!$B184+GREET1_Import_Export!$G184)/1000000)+R$66*(1+(GREET1_Import_Export!$C$179*GREET1_Import_Export!$B184+GREET1_Import_Export!$C184)/1000000)+(R$67+R$72)*GREET1_Import_Export!$B220/1000000+R$68*GREET1_Import_Export!$B288/1000000+R$69*GREET1_Import_Export!$B$10*(GREET1_Import_Export!$F$215*GREET1_Import_Export!$E220+GREET1_Import_Export!$F220)/1000000+R$69*GREET1_Import_Export!$C$10*(1+(GREET1_Import_Export!$E$179*GREET1_Import_Export!$B184+GREET1_Import_Export!$E184)/1000000)+R$70*(GREET1_Import_Export!$B313+GREET1_Import_Export!$C313)/1000000+R$71*(1+GREET1_Import_Export!$B184/1000000)</f>
        <v>0.19844507819193044</v>
      </c>
      <c r="S77" s="1083"/>
      <c r="T77" s="748">
        <f>T$64*(1+(GREET1_Import_Export!$F$179*GREET1_Import_Export!$B184+GREET1_Import_Export!$F184)/1000000)+T$65*(1+(GREET1_Import_Export!$G$179*GREET1_Import_Export!$B184+GREET1_Import_Export!$G184)/1000000)+T$66*(1+(GREET1_Import_Export!$C$179*GREET1_Import_Export!$B184+GREET1_Import_Export!$C184)/1000000)+(T$67+T$72)*GREET1_Import_Export!$B220/1000000+T$68*GREET1_Import_Export!$B288/1000000+T$69*GREET1_Import_Export!$B$10*(GREET1_Import_Export!$F$215*GREET1_Import_Export!$E220+GREET1_Import_Export!$F220)/1000000+T$69*GREET1_Import_Export!$C$10*(1+(GREET1_Import_Export!$E$179*GREET1_Import_Export!$B184+GREET1_Import_Export!$E184)/1000000)+T$70*(GREET1_Import_Export!$B313+GREET1_Import_Export!$C313)/1000000+T$71*(1+GREET1_Import_Export!$B184/1000000)</f>
        <v>1.1741593763890521</v>
      </c>
      <c r="U77" s="1083"/>
      <c r="X77" s="1238"/>
      <c r="Y77" s="1238"/>
      <c r="Z77" s="1238"/>
      <c r="AA77" s="64"/>
      <c r="AB77" s="64"/>
      <c r="AC77" s="64"/>
      <c r="AD77" s="64"/>
      <c r="AE77" s="1238"/>
      <c r="AF77" s="1238"/>
      <c r="AG77" s="1238"/>
      <c r="AX77" s="1238"/>
      <c r="AY77" s="1238"/>
      <c r="AZ77" s="1238"/>
      <c r="BA77" s="1238"/>
      <c r="BB77" s="1238"/>
      <c r="BC77" s="1238"/>
      <c r="BD77" s="1238"/>
      <c r="BE77" s="1238"/>
      <c r="BF77" s="1238"/>
      <c r="BG77" s="1238"/>
      <c r="BH77" s="1238"/>
      <c r="BI77" s="1238"/>
      <c r="BJ77" s="1238"/>
      <c r="BK77" s="1238"/>
    </row>
    <row r="78" spans="1:63" s="349" customFormat="1">
      <c r="A78" s="794" t="s">
        <v>819</v>
      </c>
      <c r="B78" s="2818">
        <f>B$64*((GREET1_Import_Export!$F$179*GREET1_Import_Export!$B185+GREET1_Import_Export!$F185))+B$65*((GREET1_Import_Export!$G$179*GREET1_Import_Export!$B185+GREET1_Import_Export!$G185))+B$66*((GREET1_Import_Export!$C$179*GREET1_Import_Export!$B185+GREET1_Import_Export!$C185))+(B$67+B$72)*GREET1_Import_Export!$B221+B$68*GREET1_Import_Export!$B289+B$69*GREET1_Import_Export!$B$10*(GREET1_Import_Export!$F$215*GREET1_Import_Export!$E221+GREET1_Import_Export!$F221)+B$69*GREET1_Import_Export!$C$10*((GREET1_Import_Export!$E$179*GREET1_Import_Export!$B185+GREET1_Import_Export!$E185))+B$70*(GREET1_Import_Export!$B314+GREET1_Import_Export!$C314)+B$71*(GREET1_Import_Export!$B185)</f>
        <v>1322.1260504362876</v>
      </c>
      <c r="C78" s="1777"/>
      <c r="D78" s="2818">
        <f>D$64*((GREET1_Import_Export!$F$179*GREET1_Import_Export!$B185+GREET1_Import_Export!$F185))+D$65*((GREET1_Import_Export!$G$179*GREET1_Import_Export!$B185+GREET1_Import_Export!$G185))+D$66*((GREET1_Import_Export!$C$179*GREET1_Import_Export!$B185+GREET1_Import_Export!$C185))+(D$67+D$72)*GREET1_Import_Export!$B221+D$68*GREET1_Import_Export!$B289+D$69*GREET1_Import_Export!$B$10*(GREET1_Import_Export!$F$215*GREET1_Import_Export!$E221+GREET1_Import_Export!$F221)+D$69*GREET1_Import_Export!$C$10*((GREET1_Import_Export!$E$179*GREET1_Import_Export!$B185+GREET1_Import_Export!$E185))+D$70*(GREET1_Import_Export!$B314+GREET1_Import_Export!$C314)+D$71*(GREET1_Import_Export!$B185)</f>
        <v>21.46437674285713</v>
      </c>
      <c r="E78" s="1777"/>
      <c r="F78" s="2818">
        <f>F$64*((GREET1_Import_Export!$F$179*GREET1_Import_Export!$B185+GREET1_Import_Export!$F185))+F$65*((GREET1_Import_Export!$G$179*GREET1_Import_Export!$B185+GREET1_Import_Export!$G185))+F$66*((GREET1_Import_Export!$C$179*GREET1_Import_Export!$B185+GREET1_Import_Export!$C185))+(F$67+F$72)*GREET1_Import_Export!$B221+F$68*GREET1_Import_Export!$B289+F$69*GREET1_Import_Export!$B$10*(GREET1_Import_Export!$F$215*GREET1_Import_Export!$E221+GREET1_Import_Export!$F221)+F$69*GREET1_Import_Export!$C$10*((GREET1_Import_Export!$E$179*GREET1_Import_Export!$B185+GREET1_Import_Export!$E185))+F$70*(GREET1_Import_Export!$B314+GREET1_Import_Export!$C314)+F$71*(GREET1_Import_Export!$B185)</f>
        <v>327.14296964850479</v>
      </c>
      <c r="G78" s="1777"/>
      <c r="H78" s="2818">
        <f>H$64*((GREET1_Import_Export!$F$179*GREET1_Import_Export!$B185+GREET1_Import_Export!$F185))+H$65*((GREET1_Import_Export!$G$179*GREET1_Import_Export!$B185+GREET1_Import_Export!$G185))+H$66*((GREET1_Import_Export!$C$179*GREET1_Import_Export!$B185+GREET1_Import_Export!$C185))+(H$67+H$72)*GREET1_Import_Export!$B221+H$68*GREET1_Import_Export!$B289+H$69*GREET1_Import_Export!$B$10*(GREET1_Import_Export!$F$215*GREET1_Import_Export!$E221+GREET1_Import_Export!$F221)+H$69*GREET1_Import_Export!$C$10*((GREET1_Import_Export!$E$179*GREET1_Import_Export!$B185+GREET1_Import_Export!$E185))+H$70*(GREET1_Import_Export!$B314+GREET1_Import_Export!$C314)+H$71*(GREET1_Import_Export!$B185)</f>
        <v>401.91850556816303</v>
      </c>
      <c r="I78" s="1777"/>
      <c r="J78" s="2818">
        <f>J$64*((GREET1_Import_Export!$F$179*GREET1_Import_Export!$B185+GREET1_Import_Export!$F185))+J$65*((GREET1_Import_Export!$G$179*GREET1_Import_Export!$B185+GREET1_Import_Export!$G185))+J$66*((GREET1_Import_Export!$C$179*GREET1_Import_Export!$B185+GREET1_Import_Export!$C185))+(J$67+J$72)*GREET1_Import_Export!$B221+J$68*GREET1_Import_Export!$B289+J$69*GREET1_Import_Export!$B$10*(GREET1_Import_Export!$F$215*GREET1_Import_Export!$E221+GREET1_Import_Export!$F221)+J$69*GREET1_Import_Export!$C$10*((GREET1_Import_Export!$E$179*GREET1_Import_Export!$B185+GREET1_Import_Export!$E185))+J$70*(GREET1_Import_Export!$B314+GREET1_Import_Export!$C314)+J$71*(GREET1_Import_Export!$B185)</f>
        <v>1196.2998893425556</v>
      </c>
      <c r="K78" s="1777"/>
      <c r="L78" s="2818">
        <f>L$64*((GREET1_Import_Export!$F$179*GREET1_Import_Export!$B185+GREET1_Import_Export!$F185))+L$65*((GREET1_Import_Export!$G$179*GREET1_Import_Export!$B185+GREET1_Import_Export!$G185))+L$66*((GREET1_Import_Export!$C$179*GREET1_Import_Export!$B185+GREET1_Import_Export!$C185))+(L$67+L$72)*GREET1_Import_Export!$B221+L$68*GREET1_Import_Export!$B289+L$69*GREET1_Import_Export!$B$10*(GREET1_Import_Export!$F$215*GREET1_Import_Export!$E221+GREET1_Import_Export!$F221)+L$69*GREET1_Import_Export!$C$10*((GREET1_Import_Export!$E$179*GREET1_Import_Export!$B185+GREET1_Import_Export!$E185))+L$70*(GREET1_Import_Export!$B314+GREET1_Import_Export!$C314)+L$71*(GREET1_Import_Export!$B185)</f>
        <v>225.32830727951853</v>
      </c>
      <c r="M78" s="1777"/>
      <c r="N78" s="2818">
        <f>N$64*((GREET1_Import_Export!$F$179*GREET1_Import_Export!$B185+GREET1_Import_Export!$F185))+N$65*((GREET1_Import_Export!$G$179*GREET1_Import_Export!$B185+GREET1_Import_Export!$G185))+N$66*((GREET1_Import_Export!$C$179*GREET1_Import_Export!$B185+GREET1_Import_Export!$C185))+(N$67+N$72)*GREET1_Import_Export!$B221+N$68*GREET1_Import_Export!$B289+N$69*GREET1_Import_Export!$B$10*(GREET1_Import_Export!$F$215*GREET1_Import_Export!$E221+GREET1_Import_Export!$F221)+N$69*GREET1_Import_Export!$C$10*((GREET1_Import_Export!$E$179*GREET1_Import_Export!$B185+GREET1_Import_Export!$E185))+N$70*(GREET1_Import_Export!$B314+GREET1_Import_Export!$C314)+N$71*(GREET1_Import_Export!$B185)</f>
        <v>42.900624880518947</v>
      </c>
      <c r="O78" s="1776"/>
      <c r="P78" s="2818">
        <f>P$64*((GREET1_Import_Export!$F$179*GREET1_Import_Export!$B185+GREET1_Import_Export!$F185))+P$65*((GREET1_Import_Export!$G$179*GREET1_Import_Export!$B185+GREET1_Import_Export!$G185))+P$66*((GREET1_Import_Export!$C$179*GREET1_Import_Export!$B185+GREET1_Import_Export!$C185))+(P$67+P$72)*GREET1_Import_Export!$B221+P$68*GREET1_Import_Export!$B289+P$69*GREET1_Import_Export!$B$10*(GREET1_Import_Export!$F$215*GREET1_Import_Export!$E221+GREET1_Import_Export!$F221)+P$69*GREET1_Import_Export!$C$10*((GREET1_Import_Export!$E$179*GREET1_Import_Export!$B185+GREET1_Import_Export!$E185))+P$70*(GREET1_Import_Export!$B314+GREET1_Import_Export!$C314)+P$71*(GREET1_Import_Export!$B185)</f>
        <v>1238.7319725344119</v>
      </c>
      <c r="Q78" s="1776"/>
      <c r="R78" s="2818">
        <f>R$64*((GREET1_Import_Export!$F$179*GREET1_Import_Export!$B185+GREET1_Import_Export!$F185))+R$65*((GREET1_Import_Export!$G$179*GREET1_Import_Export!$B185+GREET1_Import_Export!$G185))+R$66*((GREET1_Import_Export!$C$179*GREET1_Import_Export!$B185+GREET1_Import_Export!$C185))+(R$67+R$72)*GREET1_Import_Export!$B221+R$68*GREET1_Import_Export!$B289+R$69*GREET1_Import_Export!$B$10*(GREET1_Import_Export!$F$215*GREET1_Import_Export!$E221+GREET1_Import_Export!$F221)+R$69*GREET1_Import_Export!$C$10*((GREET1_Import_Export!$E$179*GREET1_Import_Export!$B185+GREET1_Import_Export!$E185))+R$70*(GREET1_Import_Export!$B314+GREET1_Import_Export!$C314)+R$71*(GREET1_Import_Export!$B185)</f>
        <v>1236.4047916017907</v>
      </c>
      <c r="S78" s="1776"/>
      <c r="T78" s="1718">
        <f>T$64*((GREET1_Import_Export!$F$179*GREET1_Import_Export!$B185+GREET1_Import_Export!$F185))+T$65*((GREET1_Import_Export!$G$179*GREET1_Import_Export!$B185+GREET1_Import_Export!$G185))+T$66*((GREET1_Import_Export!$C$179*GREET1_Import_Export!$B185+GREET1_Import_Export!$C185))+(T$67+T$72)*GREET1_Import_Export!$B221+T$68*GREET1_Import_Export!$B289+T$69*GREET1_Import_Export!$B$10*(GREET1_Import_Export!$F$215*GREET1_Import_Export!$E221+GREET1_Import_Export!$F221)+T$69*GREET1_Import_Export!$C$10*((GREET1_Import_Export!$E$179*GREET1_Import_Export!$B185+GREET1_Import_Export!$E185))+T$70*(GREET1_Import_Export!$B314+GREET1_Import_Export!$C314)+T$71*(GREET1_Import_Export!$B185)</f>
        <v>7184.3488731851858</v>
      </c>
      <c r="U78" s="1796"/>
      <c r="X78" s="1593"/>
      <c r="Y78" s="1593"/>
      <c r="Z78" s="1593"/>
      <c r="AA78" s="64"/>
      <c r="AB78" s="64"/>
      <c r="AC78" s="64"/>
      <c r="AD78" s="64"/>
      <c r="AE78" s="1593"/>
      <c r="AF78" s="1593"/>
      <c r="AG78" s="1593"/>
      <c r="AX78" s="1593"/>
      <c r="AY78" s="1593"/>
      <c r="AZ78" s="1593"/>
      <c r="BA78" s="1593"/>
      <c r="BB78" s="1593"/>
      <c r="BC78" s="1593"/>
      <c r="BD78" s="1593"/>
      <c r="BE78" s="1593"/>
      <c r="BF78" s="1593"/>
      <c r="BG78" s="1593"/>
      <c r="BH78" s="1593"/>
      <c r="BI78" s="1593"/>
      <c r="BJ78" s="1593"/>
      <c r="BK78" s="1593"/>
    </row>
    <row r="79" spans="1:63" s="349" customFormat="1">
      <c r="A79" s="795" t="s">
        <v>864</v>
      </c>
      <c r="B79" s="1089"/>
      <c r="C79" s="675"/>
      <c r="D79" s="1089"/>
      <c r="E79" s="675"/>
      <c r="F79" s="1089"/>
      <c r="G79" s="675"/>
      <c r="H79" s="1089"/>
      <c r="I79" s="675"/>
      <c r="J79" s="1089"/>
      <c r="K79" s="675"/>
      <c r="L79" s="1089"/>
      <c r="M79" s="675"/>
      <c r="N79" s="2678"/>
      <c r="O79" s="2968"/>
      <c r="P79" s="2678"/>
      <c r="Q79" s="2968"/>
      <c r="R79" s="2678"/>
      <c r="S79" s="2968"/>
      <c r="T79" s="2678"/>
      <c r="U79" s="2968"/>
      <c r="X79" s="1594"/>
      <c r="Y79" s="1594"/>
      <c r="Z79" s="1594"/>
      <c r="AA79" s="64"/>
      <c r="AB79" s="64"/>
      <c r="AC79" s="64"/>
      <c r="AD79" s="64"/>
      <c r="AE79" s="1594"/>
      <c r="AF79" s="1594"/>
      <c r="AG79" s="1594"/>
      <c r="AX79" s="1594"/>
      <c r="AY79" s="1594"/>
      <c r="AZ79" s="1594"/>
      <c r="BA79" s="1594"/>
      <c r="BB79" s="1594"/>
      <c r="BC79" s="1594"/>
      <c r="BD79" s="1594"/>
      <c r="BE79" s="1594"/>
      <c r="BF79" s="1594"/>
      <c r="BG79" s="1594"/>
      <c r="BH79" s="1594"/>
      <c r="BI79" s="1594"/>
      <c r="BJ79" s="1594"/>
      <c r="BK79" s="1594"/>
    </row>
    <row r="80" spans="1:63" s="349" customFormat="1">
      <c r="A80" s="491" t="s">
        <v>821</v>
      </c>
      <c r="B80" s="749">
        <f>B$64*($B$46*GREET1_Import_Export!$K72+GREET1_Import_Export!$F$179*GREET1_Import_Export!$B186+GREET1_Import_Export!$F186)+B$65*(GREET1_Import_Export!$O72+GREET1_Import_Export!$G$179*GREET1_Import_Export!$B186+GREET1_Import_Export!$G186)+B$66*(GREET1_Import_Export!$T72+GREET1_Import_Export!$C$179*GREET1_Import_Export!$B186+GREET1_Import_Export!$C186)+B$67*($B$47*GREET1_Import_Export!$B72+GREET1_Import_Export!$B222)+B$68*($B$48*GREET1_Import_Export!$AA72+GREET1_Import_Export!$B290)+B$69*(GREET1_Import_Export!$X72+GREET1_Import_Export!$B$10*(GREET1_Import_Export!$F$215*GREET1_Import_Export!$E222+GREET1_Import_Export!$F222)+GREET1_Import_Export!$C$10*(GREET1_Import_Export!$E$179*GREET1_Import_Export!$B186+GREET1_Import_Export!$E186))+B$70*(GREET1_Import_Export!$B315+GREET1_Import_Export!$C315)+B$71*(GREET1_Import_Export!$B186)+B$72*(GREET1_Import_Export!$B222)</f>
        <v>968.21182144067632</v>
      </c>
      <c r="C80" s="2772">
        <v>7.6779999999999999</v>
      </c>
      <c r="D80" s="749">
        <f>D$64*($B$46*GREET1_Import_Export!$K72+GREET1_Import_Export!$F$179*GREET1_Import_Export!$B186+GREET1_Import_Export!$F186)+D$65*(GREET1_Import_Export!$O72+GREET1_Import_Export!$G$179*GREET1_Import_Export!$B186+GREET1_Import_Export!$G186)+D$66*(GREET1_Import_Export!$T72+GREET1_Import_Export!$C$179*GREET1_Import_Export!$B186+GREET1_Import_Export!$C186)+D$67*($B$47*GREET1_Import_Export!$B72+GREET1_Import_Export!$B222)+D$68*($B$48*GREET1_Import_Export!$AA72+GREET1_Import_Export!$B290)+D$69*(GREET1_Import_Export!$X72+GREET1_Import_Export!$B$10*(GREET1_Import_Export!$F$215*GREET1_Import_Export!$E222+GREET1_Import_Export!$F222)+GREET1_Import_Export!$C$10*(GREET1_Import_Export!$E$179*GREET1_Import_Export!$B186+GREET1_Import_Export!$E186))+D$70*(GREET1_Import_Export!$B315+GREET1_Import_Export!$C315)+D$71*(GREET1_Import_Export!$B186)+D$72*(GREET1_Import_Export!$B222)</f>
        <v>5.0740956353987237</v>
      </c>
      <c r="E80" s="817"/>
      <c r="F80" s="749">
        <f>F$64*($B$46*GREET1_Import_Export!$K72+GREET1_Import_Export!$F$179*GREET1_Import_Export!$B186+GREET1_Import_Export!$F186)+F$65*(GREET1_Import_Export!$O72+GREET1_Import_Export!$G$179*GREET1_Import_Export!$B186+GREET1_Import_Export!$G186)+F$66*(GREET1_Import_Export!$T72+GREET1_Import_Export!$C$179*GREET1_Import_Export!$B186+GREET1_Import_Export!$C186)+F$67*($B$47*GREET1_Import_Export!$B72+GREET1_Import_Export!$B222)+F$68*($B$48*GREET1_Import_Export!$AA72+GREET1_Import_Export!$B290)+F$69*(GREET1_Import_Export!$X72+GREET1_Import_Export!$B$10*(GREET1_Import_Export!$F$215*GREET1_Import_Export!$E222+GREET1_Import_Export!$F222)+GREET1_Import_Export!$C$10*(GREET1_Import_Export!$E$179*GREET1_Import_Export!$B186+GREET1_Import_Export!$E186))+F$70*(GREET1_Import_Export!$B315+GREET1_Import_Export!$C315)+F$71*(GREET1_Import_Export!$B186)+F$72*(GREET1_Import_Export!$B222)</f>
        <v>41.709174393637582</v>
      </c>
      <c r="G80" s="817"/>
      <c r="H80" s="749">
        <f>H$64*($B$46*GREET1_Import_Export!$K72+GREET1_Import_Export!$F$179*GREET1_Import_Export!$B186+GREET1_Import_Export!$F186)+H$65*(GREET1_Import_Export!$O72+GREET1_Import_Export!$G$179*GREET1_Import_Export!$B186+GREET1_Import_Export!$G186)+H$66*(GREET1_Import_Export!$T72+GREET1_Import_Export!$C$179*GREET1_Import_Export!$B186+GREET1_Import_Export!$C186)+H$67*($B$47*GREET1_Import_Export!$B72+GREET1_Import_Export!$B222)+H$68*($B$48*GREET1_Import_Export!$AA72+GREET1_Import_Export!$B290)+H$69*(GREET1_Import_Export!$X72+GREET1_Import_Export!$B$10*(GREET1_Import_Export!$F$215*GREET1_Import_Export!$E222+GREET1_Import_Export!$F222)+GREET1_Import_Export!$C$10*(GREET1_Import_Export!$E$179*GREET1_Import_Export!$B186+GREET1_Import_Export!$E186))+H$70*(GREET1_Import_Export!$B315+GREET1_Import_Export!$C315)+H$71*(GREET1_Import_Export!$B186)+H$72*(GREET1_Import_Export!$B222)</f>
        <v>51.242699969326175</v>
      </c>
      <c r="I80" s="817"/>
      <c r="J80" s="749">
        <f>J$64*($B$46*GREET1_Import_Export!$K72+GREET1_Import_Export!$F$179*GREET1_Import_Export!$B186+GREET1_Import_Export!$F186)+J$65*(GREET1_Import_Export!$O72+GREET1_Import_Export!$G$179*GREET1_Import_Export!$B186+GREET1_Import_Export!$G186)+J$66*(GREET1_Import_Export!$T72+GREET1_Import_Export!$C$179*GREET1_Import_Export!$B186+GREET1_Import_Export!$C186)+J$67*($B$47*GREET1_Import_Export!$B72+GREET1_Import_Export!$B222)+J$68*($B$48*GREET1_Import_Export!$AA72+GREET1_Import_Export!$B290)+J$69*(GREET1_Import_Export!$X72+GREET1_Import_Export!$B$10*(GREET1_Import_Export!$F$215*GREET1_Import_Export!$E222+GREET1_Import_Export!$F222)+GREET1_Import_Export!$C$10*(GREET1_Import_Export!$E$179*GREET1_Import_Export!$B186+GREET1_Import_Export!$E186))+J$70*(GREET1_Import_Export!$B315+GREET1_Import_Export!$C315)+J$71*(GREET1_Import_Export!$B186)+J$72*(GREET1_Import_Export!$B222)</f>
        <v>152.52255234244814</v>
      </c>
      <c r="K80" s="817"/>
      <c r="L80" s="749">
        <f>L$64*($B$46*GREET1_Import_Export!$K72+GREET1_Import_Export!$F$179*GREET1_Import_Export!$B186+GREET1_Import_Export!$F186)+L$65*(GREET1_Import_Export!$O72+GREET1_Import_Export!$G$179*GREET1_Import_Export!$B186+GREET1_Import_Export!$G186)+L$66*(GREET1_Import_Export!$T72+GREET1_Import_Export!$C$179*GREET1_Import_Export!$B186+GREET1_Import_Export!$C186)+L$67*($B$47*GREET1_Import_Export!$B72+GREET1_Import_Export!$B222)+L$68*($B$48*GREET1_Import_Export!$AA72+GREET1_Import_Export!$B290)+L$69*(GREET1_Import_Export!$X72+GREET1_Import_Export!$B$10*(GREET1_Import_Export!$F$215*GREET1_Import_Export!$E222+GREET1_Import_Export!$F222)+GREET1_Import_Export!$C$10*(GREET1_Import_Export!$E$179*GREET1_Import_Export!$B186+GREET1_Import_Export!$E186))+L$70*(GREET1_Import_Export!$B315+GREET1_Import_Export!$C315)+L$71*(GREET1_Import_Export!$B186)+L$72*(GREET1_Import_Export!$B222)</f>
        <v>81.855456193314922</v>
      </c>
      <c r="M80" s="817"/>
      <c r="N80" s="753">
        <f>N$64*($B$46*GREET1_Import_Export!$K72+GREET1_Import_Export!$F$179*GREET1_Import_Export!$B186+GREET1_Import_Export!$F186)+N$65*(GREET1_Import_Export!$O72+GREET1_Import_Export!$G$179*GREET1_Import_Export!$B186+GREET1_Import_Export!$G186)+N$66*(GREET1_Import_Export!$T72+GREET1_Import_Export!$C$179*GREET1_Import_Export!$B186+GREET1_Import_Export!$C186)+N$67*($B$47*GREET1_Import_Export!$B72+GREET1_Import_Export!$B222)+N$68*($B$48*GREET1_Import_Export!$AA72+GREET1_Import_Export!$B290)+N$69*(GREET1_Import_Export!$X72+GREET1_Import_Export!$B$10*(GREET1_Import_Export!$F$215*GREET1_Import_Export!$E222+GREET1_Import_Export!$F222)+GREET1_Import_Export!$C$10*(GREET1_Import_Export!$E$179*GREET1_Import_Export!$B186+GREET1_Import_Export!$E186))+N$70*(GREET1_Import_Export!$B315+GREET1_Import_Export!$C315)+N$71*(GREET1_Import_Export!$B186)+N$72*(GREET1_Import_Export!$B222)</f>
        <v>22.827429599319863</v>
      </c>
      <c r="O80" s="1082"/>
      <c r="P80" s="753">
        <f>P$64*($B$46*GREET1_Import_Export!$K72+GREET1_Import_Export!$F$179*GREET1_Import_Export!$B186+GREET1_Import_Export!$F186)+P$65*(GREET1_Import_Export!$O72+GREET1_Import_Export!$G$179*GREET1_Import_Export!$B186+GREET1_Import_Export!$G186)+P$66*(GREET1_Import_Export!$T72+GREET1_Import_Export!$C$179*GREET1_Import_Export!$B186+GREET1_Import_Export!$C186)+P$67*($B$47*GREET1_Import_Export!$B72+GREET1_Import_Export!$B222)+P$68*($B$48*GREET1_Import_Export!$AA72+GREET1_Import_Export!$B290)+P$69*(GREET1_Import_Export!$X72+GREET1_Import_Export!$B$10*(GREET1_Import_Export!$F$215*GREET1_Import_Export!$E222+GREET1_Import_Export!$F222)+GREET1_Import_Export!$C$10*(GREET1_Import_Export!$E$179*GREET1_Import_Export!$B186+GREET1_Import_Export!$E186))+P$70*(GREET1_Import_Export!$B315+GREET1_Import_Export!$C315)+P$71*(GREET1_Import_Export!$B186)+P$72*(GREET1_Import_Export!$B222)</f>
        <v>1041.4762741224852</v>
      </c>
      <c r="Q80" s="1082"/>
      <c r="R80" s="753">
        <f>R$64*($B$46*GREET1_Import_Export!$K72+GREET1_Import_Export!$F$179*GREET1_Import_Export!$B186+GREET1_Import_Export!$F186)+R$65*(GREET1_Import_Export!$O72+GREET1_Import_Export!$G$179*GREET1_Import_Export!$B186+GREET1_Import_Export!$G186)+R$66*(GREET1_Import_Export!$T72+GREET1_Import_Export!$C$179*GREET1_Import_Export!$B186+GREET1_Import_Export!$C186)+R$67*($B$47*GREET1_Import_Export!$B72+GREET1_Import_Export!$B222)+R$68*($B$48*GREET1_Import_Export!$AA72+GREET1_Import_Export!$B290)+R$69*(GREET1_Import_Export!$X72+GREET1_Import_Export!$B$10*(GREET1_Import_Export!$F$215*GREET1_Import_Export!$E222+GREET1_Import_Export!$F222)+GREET1_Import_Export!$C$10*(GREET1_Import_Export!$E$179*GREET1_Import_Export!$B186+GREET1_Import_Export!$E186))+R$70*(GREET1_Import_Export!$B315+GREET1_Import_Export!$C315)+R$71*(GREET1_Import_Export!$B186)+R$72*(GREET1_Import_Export!$B222)</f>
        <v>157.6357368445253</v>
      </c>
      <c r="S80" s="1082"/>
      <c r="T80" s="753">
        <f>T$64*($B$46*GREET1_Import_Export!$K72+GREET1_Import_Export!$F$179*GREET1_Import_Export!$B186+GREET1_Import_Export!$F186)+T$65*(GREET1_Import_Export!$O72+GREET1_Import_Export!$G$179*GREET1_Import_Export!$B186+GREET1_Import_Export!$G186)+T$66*(GREET1_Import_Export!$T72+GREET1_Import_Export!$C$179*GREET1_Import_Export!$B186+GREET1_Import_Export!$C186)+T$67*($B$47*GREET1_Import_Export!$B72+GREET1_Import_Export!$B222)+T$68*($B$48*GREET1_Import_Export!$AA72+GREET1_Import_Export!$B290)+T$69*(GREET1_Import_Export!$X72+GREET1_Import_Export!$B$10*(GREET1_Import_Export!$F$215*GREET1_Import_Export!$E222+GREET1_Import_Export!$F222)+GREET1_Import_Export!$C$10*(GREET1_Import_Export!$E$179*GREET1_Import_Export!$B186+GREET1_Import_Export!$E186))+T$70*(GREET1_Import_Export!$B315+GREET1_Import_Export!$C315)+T$71*(GREET1_Import_Export!$B186)+T$72*(GREET1_Import_Export!$B222)</f>
        <v>990.36761785632086</v>
      </c>
      <c r="U80" s="1082"/>
      <c r="X80" s="1238"/>
      <c r="Y80" s="1238"/>
      <c r="Z80" s="1238"/>
      <c r="AA80" s="64"/>
      <c r="AB80" s="64"/>
      <c r="AC80" s="64"/>
      <c r="AD80" s="64"/>
      <c r="AE80" s="1238"/>
      <c r="AF80" s="1238"/>
      <c r="AG80" s="1238"/>
      <c r="AX80" s="1238"/>
      <c r="AY80" s="1238"/>
      <c r="AZ80" s="1238"/>
      <c r="BA80" s="1238"/>
      <c r="BB80" s="1238"/>
      <c r="BC80" s="1238"/>
      <c r="BD80" s="1238"/>
      <c r="BE80" s="1238"/>
      <c r="BF80" s="1238"/>
      <c r="BG80" s="1238"/>
      <c r="BH80" s="1238"/>
      <c r="BI80" s="1238"/>
      <c r="BJ80" s="1238"/>
      <c r="BK80" s="1238"/>
    </row>
    <row r="81" spans="1:63" s="349" customFormat="1">
      <c r="A81" s="491" t="s">
        <v>822</v>
      </c>
      <c r="B81" s="749">
        <f>B$64*($B$46*GREET1_Import_Export!$K73+GREET1_Import_Export!$F$179*GREET1_Import_Export!$B187+GREET1_Import_Export!$F187)+B$65*(GREET1_Import_Export!$O73+GREET1_Import_Export!$G$179*GREET1_Import_Export!$B187+GREET1_Import_Export!$G187)+B$66*(GREET1_Import_Export!$T73+GREET1_Import_Export!$C$179*GREET1_Import_Export!$B187+GREET1_Import_Export!$C187)+B$67*($B$47*GREET1_Import_Export!$B73+GREET1_Import_Export!$B223)+B$68*($B$48*GREET1_Import_Export!$AA73+GREET1_Import_Export!$B291)+B$69*(GREET1_Import_Export!$X73+GREET1_Import_Export!$B$10*(GREET1_Import_Export!$F$215*GREET1_Import_Export!$E223+GREET1_Import_Export!$F223)+GREET1_Import_Export!$C$10*(GREET1_Import_Export!$E$179*GREET1_Import_Export!$B187+GREET1_Import_Export!$E187))+B$70*(GREET1_Import_Export!$B316+GREET1_Import_Export!$C316)+B$71*(GREET1_Import_Export!$B187)+B$72*(GREET1_Import_Export!$B223)</f>
        <v>3719.7497306185733</v>
      </c>
      <c r="C81" s="2772">
        <v>356.61599999999999</v>
      </c>
      <c r="D81" s="749">
        <f>D$64*($B$46*GREET1_Import_Export!$K73+GREET1_Import_Export!$F$179*GREET1_Import_Export!$B187+GREET1_Import_Export!$F187)+D$65*(GREET1_Import_Export!$O73+GREET1_Import_Export!$G$179*GREET1_Import_Export!$B187+GREET1_Import_Export!$G187)+D$66*(GREET1_Import_Export!$T73+GREET1_Import_Export!$C$179*GREET1_Import_Export!$B187+GREET1_Import_Export!$C187)+D$67*($B$47*GREET1_Import_Export!$B73+GREET1_Import_Export!$B223)+D$68*($B$48*GREET1_Import_Export!$AA73+GREET1_Import_Export!$B291)+D$69*(GREET1_Import_Export!$X73+GREET1_Import_Export!$B$10*(GREET1_Import_Export!$F$215*GREET1_Import_Export!$E223+GREET1_Import_Export!$F223)+GREET1_Import_Export!$C$10*(GREET1_Import_Export!$E$179*GREET1_Import_Export!$B187+GREET1_Import_Export!$E187))+D$70*(GREET1_Import_Export!$B316+GREET1_Import_Export!$C316)+D$71*(GREET1_Import_Export!$B187)+D$72*(GREET1_Import_Export!$B223)</f>
        <v>28.794327525029896</v>
      </c>
      <c r="E81" s="817"/>
      <c r="F81" s="749">
        <f>F$64*($B$46*GREET1_Import_Export!$K73+GREET1_Import_Export!$F$179*GREET1_Import_Export!$B187+GREET1_Import_Export!$F187)+F$65*(GREET1_Import_Export!$O73+GREET1_Import_Export!$G$179*GREET1_Import_Export!$B187+GREET1_Import_Export!$G187)+F$66*(GREET1_Import_Export!$T73+GREET1_Import_Export!$C$179*GREET1_Import_Export!$B187+GREET1_Import_Export!$C187)+F$67*($B$47*GREET1_Import_Export!$B73+GREET1_Import_Export!$B223)+F$68*($B$48*GREET1_Import_Export!$AA73+GREET1_Import_Export!$B291)+F$69*(GREET1_Import_Export!$X73+GREET1_Import_Export!$B$10*(GREET1_Import_Export!$F$215*GREET1_Import_Export!$E223+GREET1_Import_Export!$F223)+GREET1_Import_Export!$C$10*(GREET1_Import_Export!$E$179*GREET1_Import_Export!$B187+GREET1_Import_Export!$E187))+F$70*(GREET1_Import_Export!$B316+GREET1_Import_Export!$C316)+F$71*(GREET1_Import_Export!$B187)+F$72*(GREET1_Import_Export!$B223)</f>
        <v>112.73945256433622</v>
      </c>
      <c r="G81" s="817"/>
      <c r="H81" s="749">
        <f>H$64*($B$46*GREET1_Import_Export!$K73+GREET1_Import_Export!$F$179*GREET1_Import_Export!$B187+GREET1_Import_Export!$F187)+H$65*(GREET1_Import_Export!$O73+GREET1_Import_Export!$G$179*GREET1_Import_Export!$B187+GREET1_Import_Export!$G187)+H$66*(GREET1_Import_Export!$T73+GREET1_Import_Export!$C$179*GREET1_Import_Export!$B187+GREET1_Import_Export!$C187)+H$67*($B$47*GREET1_Import_Export!$B73+GREET1_Import_Export!$B223)+H$68*($B$48*GREET1_Import_Export!$AA73+GREET1_Import_Export!$B291)+H$69*(GREET1_Import_Export!$X73+GREET1_Import_Export!$B$10*(GREET1_Import_Export!$F$215*GREET1_Import_Export!$E223+GREET1_Import_Export!$F223)+GREET1_Import_Export!$C$10*(GREET1_Import_Export!$E$179*GREET1_Import_Export!$B187+GREET1_Import_Export!$E187))+H$70*(GREET1_Import_Export!$B316+GREET1_Import_Export!$C316)+H$71*(GREET1_Import_Export!$B187)+H$72*(GREET1_Import_Export!$B223)</f>
        <v>138.50847029332738</v>
      </c>
      <c r="I81" s="817"/>
      <c r="J81" s="749">
        <f>J$64*($B$46*GREET1_Import_Export!$K73+GREET1_Import_Export!$F$179*GREET1_Import_Export!$B187+GREET1_Import_Export!$F187)+J$65*(GREET1_Import_Export!$O73+GREET1_Import_Export!$G$179*GREET1_Import_Export!$B187+GREET1_Import_Export!$G187)+J$66*(GREET1_Import_Export!$T73+GREET1_Import_Export!$C$179*GREET1_Import_Export!$B187+GREET1_Import_Export!$C187)+J$67*($B$47*GREET1_Import_Export!$B73+GREET1_Import_Export!$B223)+J$68*($B$48*GREET1_Import_Export!$AA73+GREET1_Import_Export!$B291)+J$69*(GREET1_Import_Export!$X73+GREET1_Import_Export!$B$10*(GREET1_Import_Export!$F$215*GREET1_Import_Export!$E223+GREET1_Import_Export!$F223)+GREET1_Import_Export!$C$10*(GREET1_Import_Export!$E$179*GREET1_Import_Export!$B187+GREET1_Import_Export!$E187))+J$70*(GREET1_Import_Export!$B316+GREET1_Import_Export!$C316)+J$71*(GREET1_Import_Export!$B187)+J$72*(GREET1_Import_Export!$B223)</f>
        <v>412.26682869622886</v>
      </c>
      <c r="K81" s="817"/>
      <c r="L81" s="749">
        <f>L$64*($B$46*GREET1_Import_Export!$K73+GREET1_Import_Export!$F$179*GREET1_Import_Export!$B187+GREET1_Import_Export!$F187)+L$65*(GREET1_Import_Export!$O73+GREET1_Import_Export!$G$179*GREET1_Import_Export!$B187+GREET1_Import_Export!$G187)+L$66*(GREET1_Import_Export!$T73+GREET1_Import_Export!$C$179*GREET1_Import_Export!$B187+GREET1_Import_Export!$C187)+L$67*($B$47*GREET1_Import_Export!$B73+GREET1_Import_Export!$B223)+L$68*($B$48*GREET1_Import_Export!$AA73+GREET1_Import_Export!$B291)+L$69*(GREET1_Import_Export!$X73+GREET1_Import_Export!$B$10*(GREET1_Import_Export!$F$215*GREET1_Import_Export!$E223+GREET1_Import_Export!$F223)+GREET1_Import_Export!$C$10*(GREET1_Import_Export!$E$179*GREET1_Import_Export!$B187+GREET1_Import_Export!$E187))+L$70*(GREET1_Import_Export!$B316+GREET1_Import_Export!$C316)+L$71*(GREET1_Import_Export!$B187)+L$72*(GREET1_Import_Export!$B223)</f>
        <v>375.05869300194547</v>
      </c>
      <c r="M81" s="817"/>
      <c r="N81" s="753">
        <f>N$64*($B$46*GREET1_Import_Export!$K73+GREET1_Import_Export!$F$179*GREET1_Import_Export!$B187+GREET1_Import_Export!$F187)+N$65*(GREET1_Import_Export!$O73+GREET1_Import_Export!$G$179*GREET1_Import_Export!$B187+GREET1_Import_Export!$G187)+N$66*(GREET1_Import_Export!$T73+GREET1_Import_Export!$C$179*GREET1_Import_Export!$B187+GREET1_Import_Export!$C187)+N$67*($B$47*GREET1_Import_Export!$B73+GREET1_Import_Export!$B223)+N$68*($B$48*GREET1_Import_Export!$AA73+GREET1_Import_Export!$B291)+N$69*(GREET1_Import_Export!$X73+GREET1_Import_Export!$B$10*(GREET1_Import_Export!$F$215*GREET1_Import_Export!$E223+GREET1_Import_Export!$F223)+GREET1_Import_Export!$C$10*(GREET1_Import_Export!$E$179*GREET1_Import_Export!$B187+GREET1_Import_Export!$E187))+N$70*(GREET1_Import_Export!$B316+GREET1_Import_Export!$C316)+N$71*(GREET1_Import_Export!$B187)+N$72*(GREET1_Import_Export!$B223)</f>
        <v>86.56859153475844</v>
      </c>
      <c r="O81" s="1082"/>
      <c r="P81" s="753">
        <f>P$64*($B$46*GREET1_Import_Export!$K73+GREET1_Import_Export!$F$179*GREET1_Import_Export!$B187+GREET1_Import_Export!$F187)+P$65*(GREET1_Import_Export!$O73+GREET1_Import_Export!$G$179*GREET1_Import_Export!$B187+GREET1_Import_Export!$G187)+P$66*(GREET1_Import_Export!$T73+GREET1_Import_Export!$C$179*GREET1_Import_Export!$B187+GREET1_Import_Export!$C187)+P$67*($B$47*GREET1_Import_Export!$B73+GREET1_Import_Export!$B223)+P$68*($B$48*GREET1_Import_Export!$AA73+GREET1_Import_Export!$B291)+P$69*(GREET1_Import_Export!$X73+GREET1_Import_Export!$B$10*(GREET1_Import_Export!$F$215*GREET1_Import_Export!$E223+GREET1_Import_Export!$F223)+GREET1_Import_Export!$C$10*(GREET1_Import_Export!$E$179*GREET1_Import_Export!$B187+GREET1_Import_Export!$E187))+P$70*(GREET1_Import_Export!$B316+GREET1_Import_Export!$C316)+P$71*(GREET1_Import_Export!$B187)+P$72*(GREET1_Import_Export!$B223)</f>
        <v>4780.1760307098975</v>
      </c>
      <c r="Q81" s="1082"/>
      <c r="R81" s="753">
        <f>R$64*($B$46*GREET1_Import_Export!$K73+GREET1_Import_Export!$F$179*GREET1_Import_Export!$B187+GREET1_Import_Export!$F187)+R$65*(GREET1_Import_Export!$O73+GREET1_Import_Export!$G$179*GREET1_Import_Export!$B187+GREET1_Import_Export!$G187)+R$66*(GREET1_Import_Export!$T73+GREET1_Import_Export!$C$179*GREET1_Import_Export!$B187+GREET1_Import_Export!$C187)+R$67*($B$47*GREET1_Import_Export!$B73+GREET1_Import_Export!$B223)+R$68*($B$48*GREET1_Import_Export!$AA73+GREET1_Import_Export!$B291)+R$69*(GREET1_Import_Export!$X73+GREET1_Import_Export!$B$10*(GREET1_Import_Export!$F$215*GREET1_Import_Export!$E223+GREET1_Import_Export!$F223)+GREET1_Import_Export!$C$10*(GREET1_Import_Export!$E$179*GREET1_Import_Export!$B187+GREET1_Import_Export!$E187))+R$70*(GREET1_Import_Export!$B316+GREET1_Import_Export!$C316)+R$71*(GREET1_Import_Export!$B187)+R$72*(GREET1_Import_Export!$B223)</f>
        <v>426.08771175145813</v>
      </c>
      <c r="S81" s="1082"/>
      <c r="T81" s="753">
        <f>T$64*($B$46*GREET1_Import_Export!$K73+GREET1_Import_Export!$F$179*GREET1_Import_Export!$B187+GREET1_Import_Export!$F187)+T$65*(GREET1_Import_Export!$O73+GREET1_Import_Export!$G$179*GREET1_Import_Export!$B187+GREET1_Import_Export!$G187)+T$66*(GREET1_Import_Export!$T73+GREET1_Import_Export!$C$179*GREET1_Import_Export!$B187+GREET1_Import_Export!$C187)+T$67*($B$47*GREET1_Import_Export!$B73+GREET1_Import_Export!$B223)+T$68*($B$48*GREET1_Import_Export!$AA73+GREET1_Import_Export!$B291)+T$69*(GREET1_Import_Export!$X73+GREET1_Import_Export!$B$10*(GREET1_Import_Export!$F$215*GREET1_Import_Export!$E223+GREET1_Import_Export!$F223)+GREET1_Import_Export!$C$10*(GREET1_Import_Export!$E$179*GREET1_Import_Export!$B187+GREET1_Import_Export!$E187))+T$70*(GREET1_Import_Export!$B316+GREET1_Import_Export!$C316)+T$71*(GREET1_Import_Export!$B187)+T$72*(GREET1_Import_Export!$B223)</f>
        <v>2789.3515128711952</v>
      </c>
      <c r="U81" s="1082"/>
      <c r="X81" s="1238"/>
      <c r="Y81" s="1238"/>
      <c r="Z81" s="1238"/>
      <c r="AA81" s="64"/>
      <c r="AB81" s="64"/>
      <c r="AC81" s="64"/>
      <c r="AD81" s="64"/>
      <c r="AE81" s="1238"/>
      <c r="AF81" s="1238"/>
      <c r="AG81" s="1238"/>
      <c r="AX81" s="1238"/>
      <c r="AY81" s="1238"/>
      <c r="AZ81" s="1238"/>
      <c r="BA81" s="1238"/>
      <c r="BB81" s="1238"/>
      <c r="BC81" s="1238"/>
      <c r="BD81" s="1238"/>
      <c r="BE81" s="1238"/>
      <c r="BF81" s="1238"/>
      <c r="BG81" s="1238"/>
      <c r="BH81" s="1238"/>
      <c r="BI81" s="1238"/>
      <c r="BJ81" s="1238"/>
      <c r="BK81" s="1238"/>
    </row>
    <row r="82" spans="1:63" s="349" customFormat="1">
      <c r="A82" s="491" t="s">
        <v>823</v>
      </c>
      <c r="B82" s="749">
        <f>B$64*($B$46*GREET1_Import_Export!$K74+GREET1_Import_Export!$F$179*GREET1_Import_Export!$B188+GREET1_Import_Export!$F188)+B$65*(GREET1_Import_Export!$O74+GREET1_Import_Export!$G$179*GREET1_Import_Export!$B188+GREET1_Import_Export!$G188)+B$66*(GREET1_Import_Export!$T74+GREET1_Import_Export!$C$179*GREET1_Import_Export!$B188+GREET1_Import_Export!$C188)+B$67*($B$47*GREET1_Import_Export!$B74+GREET1_Import_Export!$B224)+B$68*($B$48*GREET1_Import_Export!$AA74+GREET1_Import_Export!$B292)+B$69*(GREET1_Import_Export!$X74+GREET1_Import_Export!$B$10*(GREET1_Import_Export!$F$215*GREET1_Import_Export!$E224+GREET1_Import_Export!$F224)+GREET1_Import_Export!$C$10*(GREET1_Import_Export!$E$179*GREET1_Import_Export!$B188+GREET1_Import_Export!$E188))+B$70*(GREET1_Import_Export!$B317+GREET1_Import_Export!$C317)+B$71*(GREET1_Import_Export!$B188)+B$72*(GREET1_Import_Export!$B224)</f>
        <v>5987.3140451889112</v>
      </c>
      <c r="C82" s="2772">
        <v>794.39499999999998</v>
      </c>
      <c r="D82" s="749">
        <f>D$64*($B$46*GREET1_Import_Export!$K74+GREET1_Import_Export!$F$179*GREET1_Import_Export!$B188+GREET1_Import_Export!$F188)+D$65*(GREET1_Import_Export!$O74+GREET1_Import_Export!$G$179*GREET1_Import_Export!$B188+GREET1_Import_Export!$G188)+D$66*(GREET1_Import_Export!$T74+GREET1_Import_Export!$C$179*GREET1_Import_Export!$B188+GREET1_Import_Export!$C188)+D$67*($B$47*GREET1_Import_Export!$B74+GREET1_Import_Export!$B224)+D$68*($B$48*GREET1_Import_Export!$AA74+GREET1_Import_Export!$B292)+D$69*(GREET1_Import_Export!$X74+GREET1_Import_Export!$B$10*(GREET1_Import_Export!$F$215*GREET1_Import_Export!$E224+GREET1_Import_Export!$F224)+GREET1_Import_Export!$C$10*(GREET1_Import_Export!$E$179*GREET1_Import_Export!$B188+GREET1_Import_Export!$E188))+D$70*(GREET1_Import_Export!$B317+GREET1_Import_Export!$C317)+D$71*(GREET1_Import_Export!$B188)+D$72*(GREET1_Import_Export!$B224)</f>
        <v>92.370163199128214</v>
      </c>
      <c r="E82" s="817"/>
      <c r="F82" s="749">
        <f>F$64*($B$46*GREET1_Import_Export!$K74+GREET1_Import_Export!$F$179*GREET1_Import_Export!$B188+GREET1_Import_Export!$F188)+F$65*(GREET1_Import_Export!$O74+GREET1_Import_Export!$G$179*GREET1_Import_Export!$B188+GREET1_Import_Export!$G188)+F$66*(GREET1_Import_Export!$T74+GREET1_Import_Export!$C$179*GREET1_Import_Export!$B188+GREET1_Import_Export!$C188)+F$67*($B$47*GREET1_Import_Export!$B74+GREET1_Import_Export!$B224)+F$68*($B$48*GREET1_Import_Export!$AA74+GREET1_Import_Export!$B292)+F$69*(GREET1_Import_Export!$X74+GREET1_Import_Export!$B$10*(GREET1_Import_Export!$F$215*GREET1_Import_Export!$E224+GREET1_Import_Export!$F224)+GREET1_Import_Export!$C$10*(GREET1_Import_Export!$E$179*GREET1_Import_Export!$B188+GREET1_Import_Export!$E188))+F$70*(GREET1_Import_Export!$B317+GREET1_Import_Export!$C317)+F$71*(GREET1_Import_Export!$B188)+F$72*(GREET1_Import_Export!$B224)</f>
        <v>232.25027892931817</v>
      </c>
      <c r="G82" s="817"/>
      <c r="H82" s="749">
        <f>H$64*($B$46*GREET1_Import_Export!$K74+GREET1_Import_Export!$F$179*GREET1_Import_Export!$B188+GREET1_Import_Export!$F188)+H$65*(GREET1_Import_Export!$O74+GREET1_Import_Export!$G$179*GREET1_Import_Export!$B188+GREET1_Import_Export!$G188)+H$66*(GREET1_Import_Export!$T74+GREET1_Import_Export!$C$179*GREET1_Import_Export!$B188+GREET1_Import_Export!$C188)+H$67*($B$47*GREET1_Import_Export!$B74+GREET1_Import_Export!$B224)+H$68*($B$48*GREET1_Import_Export!$AA74+GREET1_Import_Export!$B292)+H$69*(GREET1_Import_Export!$X74+GREET1_Import_Export!$B$10*(GREET1_Import_Export!$F$215*GREET1_Import_Export!$E224+GREET1_Import_Export!$F224)+GREET1_Import_Export!$C$10*(GREET1_Import_Export!$E$179*GREET1_Import_Export!$B188+GREET1_Import_Export!$E188))+H$70*(GREET1_Import_Export!$B317+GREET1_Import_Export!$C317)+H$71*(GREET1_Import_Export!$B188)+H$72*(GREET1_Import_Export!$B224)</f>
        <v>285.33605697030521</v>
      </c>
      <c r="I82" s="817"/>
      <c r="J82" s="749">
        <f>J$64*($B$46*GREET1_Import_Export!$K74+GREET1_Import_Export!$F$179*GREET1_Import_Export!$B188+GREET1_Import_Export!$F188)+J$65*(GREET1_Import_Export!$O74+GREET1_Import_Export!$G$179*GREET1_Import_Export!$B188+GREET1_Import_Export!$G188)+J$66*(GREET1_Import_Export!$T74+GREET1_Import_Export!$C$179*GREET1_Import_Export!$B188+GREET1_Import_Export!$C188)+J$67*($B$47*GREET1_Import_Export!$B74+GREET1_Import_Export!$B224)+J$68*($B$48*GREET1_Import_Export!$AA74+GREET1_Import_Export!$B292)+J$69*(GREET1_Import_Export!$X74+GREET1_Import_Export!$B$10*(GREET1_Import_Export!$F$215*GREET1_Import_Export!$E224+GREET1_Import_Export!$F224)+GREET1_Import_Export!$C$10*(GREET1_Import_Export!$E$179*GREET1_Import_Export!$B188+GREET1_Import_Export!$E188))+J$70*(GREET1_Import_Export!$B317+GREET1_Import_Export!$C317)+J$71*(GREET1_Import_Export!$B188)+J$72*(GREET1_Import_Export!$B224)</f>
        <v>849.29528909468615</v>
      </c>
      <c r="K82" s="817"/>
      <c r="L82" s="749">
        <f>L$64*($B$46*GREET1_Import_Export!$K74+GREET1_Import_Export!$F$179*GREET1_Import_Export!$B188+GREET1_Import_Export!$F188)+L$65*(GREET1_Import_Export!$O74+GREET1_Import_Export!$G$179*GREET1_Import_Export!$B188+GREET1_Import_Export!$G188)+L$66*(GREET1_Import_Export!$T74+GREET1_Import_Export!$C$179*GREET1_Import_Export!$B188+GREET1_Import_Export!$C188)+L$67*($B$47*GREET1_Import_Export!$B74+GREET1_Import_Export!$B224)+L$68*($B$48*GREET1_Import_Export!$AA74+GREET1_Import_Export!$B292)+L$69*(GREET1_Import_Export!$X74+GREET1_Import_Export!$B$10*(GREET1_Import_Export!$F$215*GREET1_Import_Export!$E224+GREET1_Import_Export!$F224)+GREET1_Import_Export!$C$10*(GREET1_Import_Export!$E$179*GREET1_Import_Export!$B188+GREET1_Import_Export!$E188))+L$70*(GREET1_Import_Export!$B317+GREET1_Import_Export!$C317)+L$71*(GREET1_Import_Export!$B188)+L$72*(GREET1_Import_Export!$B224)</f>
        <v>867.94746279690526</v>
      </c>
      <c r="M82" s="817"/>
      <c r="N82" s="753">
        <f>N$64*($B$46*GREET1_Import_Export!$K74+GREET1_Import_Export!$F$179*GREET1_Import_Export!$B188+GREET1_Import_Export!$F188)+N$65*(GREET1_Import_Export!$O74+GREET1_Import_Export!$G$179*GREET1_Import_Export!$B188+GREET1_Import_Export!$G188)+N$66*(GREET1_Import_Export!$T74+GREET1_Import_Export!$C$179*GREET1_Import_Export!$B188+GREET1_Import_Export!$C188)+N$67*($B$47*GREET1_Import_Export!$B74+GREET1_Import_Export!$B224)+N$68*($B$48*GREET1_Import_Export!$AA74+GREET1_Import_Export!$B292)+N$69*(GREET1_Import_Export!$X74+GREET1_Import_Export!$B$10*(GREET1_Import_Export!$F$215*GREET1_Import_Export!$E224+GREET1_Import_Export!$F224)+GREET1_Import_Export!$C$10*(GREET1_Import_Export!$E$179*GREET1_Import_Export!$B188+GREET1_Import_Export!$E188))+N$70*(GREET1_Import_Export!$B317+GREET1_Import_Export!$C317)+N$71*(GREET1_Import_Export!$B188)+N$72*(GREET1_Import_Export!$B224)</f>
        <v>159.02039770196413</v>
      </c>
      <c r="O82" s="1082"/>
      <c r="P82" s="753">
        <f>P$64*($B$46*GREET1_Import_Export!$K74+GREET1_Import_Export!$F$179*GREET1_Import_Export!$B188+GREET1_Import_Export!$F188)+P$65*(GREET1_Import_Export!$O74+GREET1_Import_Export!$G$179*GREET1_Import_Export!$B188+GREET1_Import_Export!$G188)+P$66*(GREET1_Import_Export!$T74+GREET1_Import_Export!$C$179*GREET1_Import_Export!$B188+GREET1_Import_Export!$C188)+P$67*($B$47*GREET1_Import_Export!$B74+GREET1_Import_Export!$B224)+P$68*($B$48*GREET1_Import_Export!$AA74+GREET1_Import_Export!$B292)+P$69*(GREET1_Import_Export!$X74+GREET1_Import_Export!$B$10*(GREET1_Import_Export!$F$215*GREET1_Import_Export!$E224+GREET1_Import_Export!$F224)+GREET1_Import_Export!$C$10*(GREET1_Import_Export!$E$179*GREET1_Import_Export!$B188+GREET1_Import_Export!$E188))+P$70*(GREET1_Import_Export!$B317+GREET1_Import_Export!$C317)+P$71*(GREET1_Import_Export!$B188)+P$72*(GREET1_Import_Export!$B224)</f>
        <v>10074.577845213331</v>
      </c>
      <c r="Q82" s="1082"/>
      <c r="R82" s="753">
        <f>R$64*($B$46*GREET1_Import_Export!$K74+GREET1_Import_Export!$F$179*GREET1_Import_Export!$B188+GREET1_Import_Export!$F188)+R$65*(GREET1_Import_Export!$O74+GREET1_Import_Export!$G$179*GREET1_Import_Export!$B188+GREET1_Import_Export!$G188)+R$66*(GREET1_Import_Export!$T74+GREET1_Import_Export!$C$179*GREET1_Import_Export!$B188+GREET1_Import_Export!$C188)+R$67*($B$47*GREET1_Import_Export!$B74+GREET1_Import_Export!$B224)+R$68*($B$48*GREET1_Import_Export!$AA74+GREET1_Import_Export!$B292)+R$69*(GREET1_Import_Export!$X74+GREET1_Import_Export!$B$10*(GREET1_Import_Export!$F$215*GREET1_Import_Export!$E224+GREET1_Import_Export!$F224)+GREET1_Import_Export!$C$10*(GREET1_Import_Export!$E$179*GREET1_Import_Export!$B188+GREET1_Import_Export!$E188))+R$70*(GREET1_Import_Export!$B317+GREET1_Import_Export!$C317)+R$71*(GREET1_Import_Export!$B188)+R$72*(GREET1_Import_Export!$B224)</f>
        <v>877.76716714283168</v>
      </c>
      <c r="S82" s="1082"/>
      <c r="T82" s="753">
        <f>T$64*($B$46*GREET1_Import_Export!$K74+GREET1_Import_Export!$F$179*GREET1_Import_Export!$B188+GREET1_Import_Export!$F188)+T$65*(GREET1_Import_Export!$O74+GREET1_Import_Export!$G$179*GREET1_Import_Export!$B188+GREET1_Import_Export!$G188)+T$66*(GREET1_Import_Export!$T74+GREET1_Import_Export!$C$179*GREET1_Import_Export!$B188+GREET1_Import_Export!$C188)+T$67*($B$47*GREET1_Import_Export!$B74+GREET1_Import_Export!$B224)+T$68*($B$48*GREET1_Import_Export!$AA74+GREET1_Import_Export!$B292)+T$69*(GREET1_Import_Export!$X74+GREET1_Import_Export!$B$10*(GREET1_Import_Export!$F$215*GREET1_Import_Export!$E224+GREET1_Import_Export!$F224)+GREET1_Import_Export!$C$10*(GREET1_Import_Export!$E$179*GREET1_Import_Export!$B188+GREET1_Import_Export!$E188))+T$70*(GREET1_Import_Export!$B317+GREET1_Import_Export!$C317)+T$71*(GREET1_Import_Export!$B188)+T$72*(GREET1_Import_Export!$B224)</f>
        <v>5522.1440134748509</v>
      </c>
      <c r="U82" s="1082"/>
      <c r="X82" s="1238"/>
      <c r="Y82" s="1238"/>
      <c r="Z82" s="1238"/>
      <c r="AA82" s="64"/>
      <c r="AB82" s="64"/>
      <c r="AC82" s="64"/>
      <c r="AD82" s="64"/>
      <c r="AE82" s="1238"/>
      <c r="AF82" s="1238"/>
      <c r="AG82" s="1238"/>
      <c r="AX82" s="1238"/>
      <c r="AY82" s="1238"/>
      <c r="AZ82" s="1238"/>
      <c r="BA82" s="1238"/>
      <c r="BB82" s="1238"/>
      <c r="BC82" s="1238"/>
      <c r="BD82" s="1238"/>
      <c r="BE82" s="1238"/>
      <c r="BF82" s="1238"/>
      <c r="BG82" s="1238"/>
      <c r="BH82" s="1238"/>
      <c r="BI82" s="1238"/>
      <c r="BJ82" s="1238"/>
      <c r="BK82" s="1238"/>
    </row>
    <row r="83" spans="1:63" s="349" customFormat="1">
      <c r="A83" s="491" t="s">
        <v>824</v>
      </c>
      <c r="B83" s="749">
        <f>B$64*($B$46*GREET1_Import_Export!$K75+GREET1_Import_Export!$F$179*GREET1_Import_Export!$B189+GREET1_Import_Export!$F189)+B$65*(GREET1_Import_Export!$O75+GREET1_Import_Export!$G$179*GREET1_Import_Export!$B189+GREET1_Import_Export!$G189)+B$66*(GREET1_Import_Export!$T75+GREET1_Import_Export!$C$179*GREET1_Import_Export!$B189+GREET1_Import_Export!$C189)+B$67*($B$47*GREET1_Import_Export!$B75+GREET1_Import_Export!$B225)+B$68*($B$48*GREET1_Import_Export!$AA75+GREET1_Import_Export!$B293)+B$69*(GREET1_Import_Export!$X75+GREET1_Import_Export!$B$10*(GREET1_Import_Export!$F$215*GREET1_Import_Export!$E225+GREET1_Import_Export!$F225)+GREET1_Import_Export!$C$10*(GREET1_Import_Export!$E$179*GREET1_Import_Export!$B189+GREET1_Import_Export!$E189))+B$70*(GREET1_Import_Export!$B318+GREET1_Import_Export!$C318)+B$71*(GREET1_Import_Export!$B189)+B$72*(GREET1_Import_Export!$B225)</f>
        <v>552.54590486925997</v>
      </c>
      <c r="C83" s="2772">
        <v>6175.3040000000001</v>
      </c>
      <c r="D83" s="749">
        <f>D$64*($B$46*GREET1_Import_Export!$K75+GREET1_Import_Export!$F$179*GREET1_Import_Export!$B189+GREET1_Import_Export!$F189)+D$65*(GREET1_Import_Export!$O75+GREET1_Import_Export!$G$179*GREET1_Import_Export!$B189+GREET1_Import_Export!$G189)+D$66*(GREET1_Import_Export!$T75+GREET1_Import_Export!$C$179*GREET1_Import_Export!$B189+GREET1_Import_Export!$C189)+D$67*($B$47*GREET1_Import_Export!$B75+GREET1_Import_Export!$B225)+D$68*($B$48*GREET1_Import_Export!$AA75+GREET1_Import_Export!$B293)+D$69*(GREET1_Import_Export!$X75+GREET1_Import_Export!$B$10*(GREET1_Import_Export!$F$215*GREET1_Import_Export!$E225+GREET1_Import_Export!$F225)+GREET1_Import_Export!$C$10*(GREET1_Import_Export!$E$179*GREET1_Import_Export!$B189+GREET1_Import_Export!$E189))+D$70*(GREET1_Import_Export!$B318+GREET1_Import_Export!$C318)+D$71*(GREET1_Import_Export!$B189)+D$72*(GREET1_Import_Export!$B225)</f>
        <v>17.891623549121011</v>
      </c>
      <c r="E83" s="817"/>
      <c r="F83" s="749">
        <f>F$64*($B$46*GREET1_Import_Export!$K75+GREET1_Import_Export!$F$179*GREET1_Import_Export!$B189+GREET1_Import_Export!$F189)+F$65*(GREET1_Import_Export!$O75+GREET1_Import_Export!$G$179*GREET1_Import_Export!$B189+GREET1_Import_Export!$G189)+F$66*(GREET1_Import_Export!$T75+GREET1_Import_Export!$C$179*GREET1_Import_Export!$B189+GREET1_Import_Export!$C189)+F$67*($B$47*GREET1_Import_Export!$B75+GREET1_Import_Export!$B225)+F$68*($B$48*GREET1_Import_Export!$AA75+GREET1_Import_Export!$B293)+F$69*(GREET1_Import_Export!$X75+GREET1_Import_Export!$B$10*(GREET1_Import_Export!$F$215*GREET1_Import_Export!$E225+GREET1_Import_Export!$F225)+GREET1_Import_Export!$C$10*(GREET1_Import_Export!$E$179*GREET1_Import_Export!$B189+GREET1_Import_Export!$E189))+F$70*(GREET1_Import_Export!$B318+GREET1_Import_Export!$C318)+F$71*(GREET1_Import_Export!$B189)+F$72*(GREET1_Import_Export!$B225)</f>
        <v>37.177758206544993</v>
      </c>
      <c r="G83" s="817"/>
      <c r="H83" s="749">
        <f>H$64*($B$46*GREET1_Import_Export!$K75+GREET1_Import_Export!$F$179*GREET1_Import_Export!$B189+GREET1_Import_Export!$F189)+H$65*(GREET1_Import_Export!$O75+GREET1_Import_Export!$G$179*GREET1_Import_Export!$B189+GREET1_Import_Export!$G189)+H$66*(GREET1_Import_Export!$T75+GREET1_Import_Export!$C$179*GREET1_Import_Export!$B189+GREET1_Import_Export!$C189)+H$67*($B$47*GREET1_Import_Export!$B75+GREET1_Import_Export!$B225)+H$68*($B$48*GREET1_Import_Export!$AA75+GREET1_Import_Export!$B293)+H$69*(GREET1_Import_Export!$X75+GREET1_Import_Export!$B$10*(GREET1_Import_Export!$F$215*GREET1_Import_Export!$E225+GREET1_Import_Export!$F225)+GREET1_Import_Export!$C$10*(GREET1_Import_Export!$E$179*GREET1_Import_Export!$B189+GREET1_Import_Export!$E189))+H$70*(GREET1_Import_Export!$B318+GREET1_Import_Export!$C318)+H$71*(GREET1_Import_Export!$B189)+H$72*(GREET1_Import_Export!$B225)</f>
        <v>45.675531510898139</v>
      </c>
      <c r="I83" s="817"/>
      <c r="J83" s="749">
        <f>J$64*($B$46*GREET1_Import_Export!$K75+GREET1_Import_Export!$F$179*GREET1_Import_Export!$B189+GREET1_Import_Export!$F189)+J$65*(GREET1_Import_Export!$O75+GREET1_Import_Export!$G$179*GREET1_Import_Export!$B189+GREET1_Import_Export!$G189)+J$66*(GREET1_Import_Export!$T75+GREET1_Import_Export!$C$179*GREET1_Import_Export!$B189+GREET1_Import_Export!$C189)+J$67*($B$47*GREET1_Import_Export!$B75+GREET1_Import_Export!$B225)+J$68*($B$48*GREET1_Import_Export!$AA75+GREET1_Import_Export!$B293)+J$69*(GREET1_Import_Export!$X75+GREET1_Import_Export!$B$10*(GREET1_Import_Export!$F$215*GREET1_Import_Export!$E225+GREET1_Import_Export!$F225)+GREET1_Import_Export!$C$10*(GREET1_Import_Export!$E$179*GREET1_Import_Export!$B189+GREET1_Import_Export!$E189))+J$70*(GREET1_Import_Export!$B318+GREET1_Import_Export!$C318)+J$71*(GREET1_Import_Export!$B189)+J$72*(GREET1_Import_Export!$B225)</f>
        <v>135.9520214549637</v>
      </c>
      <c r="K83" s="817"/>
      <c r="L83" s="749">
        <f>L$64*($B$46*GREET1_Import_Export!$K75+GREET1_Import_Export!$F$179*GREET1_Import_Export!$B189+GREET1_Import_Export!$F189)+L$65*(GREET1_Import_Export!$O75+GREET1_Import_Export!$G$179*GREET1_Import_Export!$B189+GREET1_Import_Export!$G189)+L$66*(GREET1_Import_Export!$T75+GREET1_Import_Export!$C$179*GREET1_Import_Export!$B189+GREET1_Import_Export!$C189)+L$67*($B$47*GREET1_Import_Export!$B75+GREET1_Import_Export!$B225)+L$68*($B$48*GREET1_Import_Export!$AA75+GREET1_Import_Export!$B293)+L$69*(GREET1_Import_Export!$X75+GREET1_Import_Export!$B$10*(GREET1_Import_Export!$F$215*GREET1_Import_Export!$E225+GREET1_Import_Export!$F225)+GREET1_Import_Export!$C$10*(GREET1_Import_Export!$E$179*GREET1_Import_Export!$B189+GREET1_Import_Export!$E189))+L$70*(GREET1_Import_Export!$B318+GREET1_Import_Export!$C318)+L$71*(GREET1_Import_Export!$B189)+L$72*(GREET1_Import_Export!$B225)</f>
        <v>135.01485131388881</v>
      </c>
      <c r="M83" s="817"/>
      <c r="N83" s="753">
        <f>N$64*($B$46*GREET1_Import_Export!$K75+GREET1_Import_Export!$F$179*GREET1_Import_Export!$B189+GREET1_Import_Export!$F189)+N$65*(GREET1_Import_Export!$O75+GREET1_Import_Export!$G$179*GREET1_Import_Export!$B189+GREET1_Import_Export!$G189)+N$66*(GREET1_Import_Export!$T75+GREET1_Import_Export!$C$179*GREET1_Import_Export!$B189+GREET1_Import_Export!$C189)+N$67*($B$47*GREET1_Import_Export!$B75+GREET1_Import_Export!$B225)+N$68*($B$48*GREET1_Import_Export!$AA75+GREET1_Import_Export!$B293)+N$69*(GREET1_Import_Export!$X75+GREET1_Import_Export!$B$10*(GREET1_Import_Export!$F$215*GREET1_Import_Export!$E225+GREET1_Import_Export!$F225)+GREET1_Import_Export!$C$10*(GREET1_Import_Export!$E$179*GREET1_Import_Export!$B189+GREET1_Import_Export!$E189))+N$70*(GREET1_Import_Export!$B318+GREET1_Import_Export!$C318)+N$71*(GREET1_Import_Export!$B189)+N$72*(GREET1_Import_Export!$B225)</f>
        <v>13.524131612110329</v>
      </c>
      <c r="O83" s="1082"/>
      <c r="P83" s="753">
        <f>P$64*($B$46*GREET1_Import_Export!$K75+GREET1_Import_Export!$F$179*GREET1_Import_Export!$B189+GREET1_Import_Export!$F189)+P$65*(GREET1_Import_Export!$O75+GREET1_Import_Export!$G$179*GREET1_Import_Export!$B189+GREET1_Import_Export!$G189)+P$66*(GREET1_Import_Export!$T75+GREET1_Import_Export!$C$179*GREET1_Import_Export!$B189+GREET1_Import_Export!$C189)+P$67*($B$47*GREET1_Import_Export!$B75+GREET1_Import_Export!$B225)+P$68*($B$48*GREET1_Import_Export!$AA75+GREET1_Import_Export!$B293)+P$69*(GREET1_Import_Export!$X75+GREET1_Import_Export!$B$10*(GREET1_Import_Export!$F$215*GREET1_Import_Export!$E225+GREET1_Import_Export!$F225)+GREET1_Import_Export!$C$10*(GREET1_Import_Export!$E$179*GREET1_Import_Export!$B189+GREET1_Import_Export!$E189))+P$70*(GREET1_Import_Export!$B318+GREET1_Import_Export!$C318)+P$71*(GREET1_Import_Export!$B189)+P$72*(GREET1_Import_Export!$B225)</f>
        <v>1301.8102814039319</v>
      </c>
      <c r="Q83" s="1082"/>
      <c r="R83" s="753">
        <f>R$64*($B$46*GREET1_Import_Export!$K75+GREET1_Import_Export!$F$179*GREET1_Import_Export!$B189+GREET1_Import_Export!$F189)+R$65*(GREET1_Import_Export!$O75+GREET1_Import_Export!$G$179*GREET1_Import_Export!$B189+GREET1_Import_Export!$G189)+R$66*(GREET1_Import_Export!$T75+GREET1_Import_Export!$C$179*GREET1_Import_Export!$B189+GREET1_Import_Export!$C189)+R$67*($B$47*GREET1_Import_Export!$B75+GREET1_Import_Export!$B225)+R$68*($B$48*GREET1_Import_Export!$AA75+GREET1_Import_Export!$B293)+R$69*(GREET1_Import_Export!$X75+GREET1_Import_Export!$B$10*(GREET1_Import_Export!$F$215*GREET1_Import_Export!$E225+GREET1_Import_Export!$F225)+GREET1_Import_Export!$C$10*(GREET1_Import_Export!$E$179*GREET1_Import_Export!$B189+GREET1_Import_Export!$E189))+R$70*(GREET1_Import_Export!$B318+GREET1_Import_Export!$C318)+R$71*(GREET1_Import_Export!$B189)+R$72*(GREET1_Import_Export!$B225)</f>
        <v>140.50969347430427</v>
      </c>
      <c r="S83" s="1082"/>
      <c r="T83" s="753">
        <f>T$64*($B$46*GREET1_Import_Export!$K75+GREET1_Import_Export!$F$179*GREET1_Import_Export!$B189+GREET1_Import_Export!$F189)+T$65*(GREET1_Import_Export!$O75+GREET1_Import_Export!$G$179*GREET1_Import_Export!$B189+GREET1_Import_Export!$G189)+T$66*(GREET1_Import_Export!$T75+GREET1_Import_Export!$C$179*GREET1_Import_Export!$B189+GREET1_Import_Export!$C189)+T$67*($B$47*GREET1_Import_Export!$B75+GREET1_Import_Export!$B225)+T$68*($B$48*GREET1_Import_Export!$AA75+GREET1_Import_Export!$B293)+T$69*(GREET1_Import_Export!$X75+GREET1_Import_Export!$B$10*(GREET1_Import_Export!$F$215*GREET1_Import_Export!$E225+GREET1_Import_Export!$F225)+GREET1_Import_Export!$C$10*(GREET1_Import_Export!$E$179*GREET1_Import_Export!$B189+GREET1_Import_Export!$E189))+T$70*(GREET1_Import_Export!$B318+GREET1_Import_Export!$C318)+T$71*(GREET1_Import_Export!$B189)+T$72*(GREET1_Import_Export!$B225)</f>
        <v>837.85788613684713</v>
      </c>
      <c r="U83" s="1082"/>
      <c r="X83" s="1238"/>
      <c r="Y83" s="1238"/>
      <c r="Z83" s="1238"/>
      <c r="AA83" s="64"/>
      <c r="AB83" s="64"/>
      <c r="AC83" s="64"/>
      <c r="AD83" s="64"/>
      <c r="AE83" s="1238"/>
      <c r="AF83" s="1238"/>
      <c r="AG83" s="1238"/>
      <c r="AX83" s="1238"/>
      <c r="AY83" s="1238"/>
      <c r="AZ83" s="1238"/>
      <c r="BA83" s="1238"/>
      <c r="BB83" s="1238"/>
      <c r="BC83" s="1238"/>
      <c r="BD83" s="1238"/>
      <c r="BE83" s="1238"/>
      <c r="BF83" s="1238"/>
      <c r="BG83" s="1238"/>
      <c r="BH83" s="1238"/>
      <c r="BI83" s="1238"/>
      <c r="BJ83" s="1238"/>
      <c r="BK83" s="1238"/>
    </row>
    <row r="84" spans="1:63" s="349" customFormat="1">
      <c r="A84" s="494" t="s">
        <v>825</v>
      </c>
      <c r="B84" s="749">
        <f>B$64*($B$46*GREET1_Import_Export!$K76+GREET1_Import_Export!$F$179*GREET1_Import_Export!$B190+GREET1_Import_Export!$F190)+B$65*(GREET1_Import_Export!$O76+GREET1_Import_Export!$G$179*GREET1_Import_Export!$B190+GREET1_Import_Export!$G190)+B$66*(GREET1_Import_Export!$T76+GREET1_Import_Export!$C$179*GREET1_Import_Export!$B190+GREET1_Import_Export!$C190)+B$67*($B$47*GREET1_Import_Export!$B76+GREET1_Import_Export!$B226)+B$68*($B$48*GREET1_Import_Export!$AA76+GREET1_Import_Export!$B294)+B$69*(GREET1_Import_Export!$X76+GREET1_Import_Export!$B$10*(GREET1_Import_Export!$F$215*GREET1_Import_Export!$E226+GREET1_Import_Export!$F226)+GREET1_Import_Export!$C$10*(GREET1_Import_Export!$E$179*GREET1_Import_Export!$B190+GREET1_Import_Export!$E190))+B$70*(GREET1_Import_Export!$B319+GREET1_Import_Export!$C319)+B$71*(GREET1_Import_Export!$B190)+B$72*(GREET1_Import_Export!$B226)</f>
        <v>379.812662627794</v>
      </c>
      <c r="C84" s="817">
        <f>C83/10</f>
        <v>617.53039999999999</v>
      </c>
      <c r="D84" s="749">
        <f>D$64*($B$46*GREET1_Import_Export!$K76+GREET1_Import_Export!$F$179*GREET1_Import_Export!$B190+GREET1_Import_Export!$F190)+D$65*(GREET1_Import_Export!$O76+GREET1_Import_Export!$G$179*GREET1_Import_Export!$B190+GREET1_Import_Export!$G190)+D$66*(GREET1_Import_Export!$T76+GREET1_Import_Export!$C$179*GREET1_Import_Export!$B190+GREET1_Import_Export!$C190)+D$67*($B$47*GREET1_Import_Export!$B76+GREET1_Import_Export!$B226)+D$68*($B$48*GREET1_Import_Export!$AA76+GREET1_Import_Export!$B294)+D$69*(GREET1_Import_Export!$X76+GREET1_Import_Export!$B$10*(GREET1_Import_Export!$F$215*GREET1_Import_Export!$E226+GREET1_Import_Export!$F226)+GREET1_Import_Export!$C$10*(GREET1_Import_Export!$E$179*GREET1_Import_Export!$B190+GREET1_Import_Export!$E190))+D$70*(GREET1_Import_Export!$B319+GREET1_Import_Export!$C319)+D$71*(GREET1_Import_Export!$B190)+D$72*(GREET1_Import_Export!$B226)</f>
        <v>9.4858283309425424</v>
      </c>
      <c r="E84" s="817"/>
      <c r="F84" s="749">
        <f>F$64*($B$46*GREET1_Import_Export!$K76+GREET1_Import_Export!$F$179*GREET1_Import_Export!$B190+GREET1_Import_Export!$F190)+F$65*(GREET1_Import_Export!$O76+GREET1_Import_Export!$G$179*GREET1_Import_Export!$B190+GREET1_Import_Export!$G190)+F$66*(GREET1_Import_Export!$T76+GREET1_Import_Export!$C$179*GREET1_Import_Export!$B190+GREET1_Import_Export!$C190)+F$67*($B$47*GREET1_Import_Export!$B76+GREET1_Import_Export!$B226)+F$68*($B$48*GREET1_Import_Export!$AA76+GREET1_Import_Export!$B294)+F$69*(GREET1_Import_Export!$X76+GREET1_Import_Export!$B$10*(GREET1_Import_Export!$F$215*GREET1_Import_Export!$E226+GREET1_Import_Export!$F226)+GREET1_Import_Export!$C$10*(GREET1_Import_Export!$E$179*GREET1_Import_Export!$B190+GREET1_Import_Export!$E190))+F$70*(GREET1_Import_Export!$B319+GREET1_Import_Export!$C319)+F$71*(GREET1_Import_Export!$B190)+F$72*(GREET1_Import_Export!$B226)</f>
        <v>22.316675205662904</v>
      </c>
      <c r="G84" s="817"/>
      <c r="H84" s="749">
        <f>H$64*($B$46*GREET1_Import_Export!$K76+GREET1_Import_Export!$F$179*GREET1_Import_Export!$B190+GREET1_Import_Export!$F190)+H$65*(GREET1_Import_Export!$O76+GREET1_Import_Export!$G$179*GREET1_Import_Export!$B190+GREET1_Import_Export!$G190)+H$66*(GREET1_Import_Export!$T76+GREET1_Import_Export!$C$179*GREET1_Import_Export!$B190+GREET1_Import_Export!$C190)+H$67*($B$47*GREET1_Import_Export!$B76+GREET1_Import_Export!$B226)+H$68*($B$48*GREET1_Import_Export!$AA76+GREET1_Import_Export!$B294)+H$69*(GREET1_Import_Export!$X76+GREET1_Import_Export!$B$10*(GREET1_Import_Export!$F$215*GREET1_Import_Export!$E226+GREET1_Import_Export!$F226)+GREET1_Import_Export!$C$10*(GREET1_Import_Export!$E$179*GREET1_Import_Export!$B190+GREET1_Import_Export!$E190))+H$70*(GREET1_Import_Export!$B319+GREET1_Import_Export!$C319)+H$71*(GREET1_Import_Export!$B190)+H$72*(GREET1_Import_Export!$B226)</f>
        <v>27.417629538385853</v>
      </c>
      <c r="I84" s="817"/>
      <c r="J84" s="749">
        <f>J$64*($B$46*GREET1_Import_Export!$K76+GREET1_Import_Export!$F$179*GREET1_Import_Export!$B190+GREET1_Import_Export!$F190)+J$65*(GREET1_Import_Export!$O76+GREET1_Import_Export!$G$179*GREET1_Import_Export!$B190+GREET1_Import_Export!$G190)+J$66*(GREET1_Import_Export!$T76+GREET1_Import_Export!$C$179*GREET1_Import_Export!$B190+GREET1_Import_Export!$C190)+J$67*($B$47*GREET1_Import_Export!$B76+GREET1_Import_Export!$B226)+J$68*($B$48*GREET1_Import_Export!$AA76+GREET1_Import_Export!$B294)+J$69*(GREET1_Import_Export!$X76+GREET1_Import_Export!$B$10*(GREET1_Import_Export!$F$215*GREET1_Import_Export!$E226+GREET1_Import_Export!$F226)+GREET1_Import_Export!$C$10*(GREET1_Import_Export!$E$179*GREET1_Import_Export!$B190+GREET1_Import_Export!$E190))+J$70*(GREET1_Import_Export!$B319+GREET1_Import_Export!$C319)+J$71*(GREET1_Import_Export!$B190)+J$72*(GREET1_Import_Export!$B226)</f>
        <v>81.607855145758009</v>
      </c>
      <c r="K84" s="817"/>
      <c r="L84" s="749">
        <f>L$64*($B$46*GREET1_Import_Export!$K76+GREET1_Import_Export!$F$179*GREET1_Import_Export!$B190+GREET1_Import_Export!$F190)+L$65*(GREET1_Import_Export!$O76+GREET1_Import_Export!$G$179*GREET1_Import_Export!$B190+GREET1_Import_Export!$G190)+L$66*(GREET1_Import_Export!$T76+GREET1_Import_Export!$C$179*GREET1_Import_Export!$B190+GREET1_Import_Export!$C190)+L$67*($B$47*GREET1_Import_Export!$B76+GREET1_Import_Export!$B226)+L$68*($B$48*GREET1_Import_Export!$AA76+GREET1_Import_Export!$B294)+L$69*(GREET1_Import_Export!$X76+GREET1_Import_Export!$B$10*(GREET1_Import_Export!$F$215*GREET1_Import_Export!$E226+GREET1_Import_Export!$F226)+GREET1_Import_Export!$C$10*(GREET1_Import_Export!$E$179*GREET1_Import_Export!$B190+GREET1_Import_Export!$E190))+L$70*(GREET1_Import_Export!$B319+GREET1_Import_Export!$C319)+L$71*(GREET1_Import_Export!$B190)+L$72*(GREET1_Import_Export!$B226)</f>
        <v>77.760180058204995</v>
      </c>
      <c r="M84" s="817"/>
      <c r="N84" s="753">
        <f>N$64*($B$46*GREET1_Import_Export!$K76+GREET1_Import_Export!$F$179*GREET1_Import_Export!$B190+GREET1_Import_Export!$F190)+N$65*(GREET1_Import_Export!$O76+GREET1_Import_Export!$G$179*GREET1_Import_Export!$B190+GREET1_Import_Export!$G190)+N$66*(GREET1_Import_Export!$T76+GREET1_Import_Export!$C$179*GREET1_Import_Export!$B190+GREET1_Import_Export!$C190)+N$67*($B$47*GREET1_Import_Export!$B76+GREET1_Import_Export!$B226)+N$68*($B$48*GREET1_Import_Export!$AA76+GREET1_Import_Export!$B294)+N$69*(GREET1_Import_Export!$X76+GREET1_Import_Export!$B$10*(GREET1_Import_Export!$F$215*GREET1_Import_Export!$E226+GREET1_Import_Export!$F226)+GREET1_Import_Export!$C$10*(GREET1_Import_Export!$E$179*GREET1_Import_Export!$B190+GREET1_Import_Export!$E190))+N$70*(GREET1_Import_Export!$B319+GREET1_Import_Export!$C319)+N$71*(GREET1_Import_Export!$B190)+N$72*(GREET1_Import_Export!$B226)</f>
        <v>8.9200722581252077</v>
      </c>
      <c r="O84" s="1082"/>
      <c r="P84" s="753">
        <f>P$64*($B$46*GREET1_Import_Export!$K76+GREET1_Import_Export!$F$179*GREET1_Import_Export!$B190+GREET1_Import_Export!$F190)+P$65*(GREET1_Import_Export!$O76+GREET1_Import_Export!$G$179*GREET1_Import_Export!$B190+GREET1_Import_Export!$G190)+P$66*(GREET1_Import_Export!$T76+GREET1_Import_Export!$C$179*GREET1_Import_Export!$B190+GREET1_Import_Export!$C190)+P$67*($B$47*GREET1_Import_Export!$B76+GREET1_Import_Export!$B226)+P$68*($B$48*GREET1_Import_Export!$AA76+GREET1_Import_Export!$B294)+P$69*(GREET1_Import_Export!$X76+GREET1_Import_Export!$B$10*(GREET1_Import_Export!$F$215*GREET1_Import_Export!$E226+GREET1_Import_Export!$F226)+GREET1_Import_Export!$C$10*(GREET1_Import_Export!$E$179*GREET1_Import_Export!$B190+GREET1_Import_Export!$E190))+P$70*(GREET1_Import_Export!$B319+GREET1_Import_Export!$C319)+P$71*(GREET1_Import_Export!$B190)+P$72*(GREET1_Import_Export!$B226)</f>
        <v>777.80714465322126</v>
      </c>
      <c r="Q84" s="1082"/>
      <c r="R84" s="753">
        <f>R$64*($B$46*GREET1_Import_Export!$K76+GREET1_Import_Export!$F$179*GREET1_Import_Export!$B190+GREET1_Import_Export!$F190)+R$65*(GREET1_Import_Export!$O76+GREET1_Import_Export!$G$179*GREET1_Import_Export!$B190+GREET1_Import_Export!$G190)+R$66*(GREET1_Import_Export!$T76+GREET1_Import_Export!$C$179*GREET1_Import_Export!$B190+GREET1_Import_Export!$C190)+R$67*($B$47*GREET1_Import_Export!$B76+GREET1_Import_Export!$B226)+R$68*($B$48*GREET1_Import_Export!$AA76+GREET1_Import_Export!$B294)+R$69*(GREET1_Import_Export!$X76+GREET1_Import_Export!$B$10*(GREET1_Import_Export!$F$215*GREET1_Import_Export!$E226+GREET1_Import_Export!$F226)+GREET1_Import_Export!$C$10*(GREET1_Import_Export!$E$179*GREET1_Import_Export!$B190+GREET1_Import_Export!$E190))+R$70*(GREET1_Import_Export!$B319+GREET1_Import_Export!$C319)+R$71*(GREET1_Import_Export!$B190)+R$72*(GREET1_Import_Export!$B226)</f>
        <v>84.343686757349232</v>
      </c>
      <c r="S84" s="1082"/>
      <c r="T84" s="753">
        <f>T$64*($B$46*GREET1_Import_Export!$K76+GREET1_Import_Export!$F$179*GREET1_Import_Export!$B190+GREET1_Import_Export!$F190)+T$65*(GREET1_Import_Export!$O76+GREET1_Import_Export!$G$179*GREET1_Import_Export!$B190+GREET1_Import_Export!$G190)+T$66*(GREET1_Import_Export!$T76+GREET1_Import_Export!$C$179*GREET1_Import_Export!$B190+GREET1_Import_Export!$C190)+T$67*($B$47*GREET1_Import_Export!$B76+GREET1_Import_Export!$B226)+T$68*($B$48*GREET1_Import_Export!$AA76+GREET1_Import_Export!$B294)+T$69*(GREET1_Import_Export!$X76+GREET1_Import_Export!$B$10*(GREET1_Import_Export!$F$215*GREET1_Import_Export!$E226+GREET1_Import_Export!$F226)+GREET1_Import_Export!$C$10*(GREET1_Import_Export!$E$179*GREET1_Import_Export!$B190+GREET1_Import_Export!$E190))+T$70*(GREET1_Import_Export!$B319+GREET1_Import_Export!$C319)+T$71*(GREET1_Import_Export!$B190)+T$72*(GREET1_Import_Export!$B226)</f>
        <v>512.08566568541403</v>
      </c>
      <c r="U84" s="1082"/>
      <c r="X84" s="1238"/>
      <c r="Y84" s="1238"/>
      <c r="Z84" s="1238"/>
      <c r="AA84" s="64"/>
      <c r="AB84" s="64"/>
      <c r="AC84" s="64"/>
      <c r="AD84" s="64"/>
      <c r="AE84" s="1238"/>
      <c r="AF84" s="1238"/>
      <c r="AG84" s="1238"/>
      <c r="AX84" s="1238"/>
      <c r="AY84" s="1238"/>
      <c r="AZ84" s="1238"/>
      <c r="BA84" s="1238"/>
      <c r="BB84" s="1238"/>
      <c r="BC84" s="1238"/>
      <c r="BD84" s="1238"/>
      <c r="BE84" s="1238"/>
      <c r="BF84" s="1238"/>
      <c r="BG84" s="1238"/>
      <c r="BH84" s="1238"/>
      <c r="BI84" s="1238"/>
      <c r="BJ84" s="1238"/>
      <c r="BK84" s="1238"/>
    </row>
    <row r="85" spans="1:63" s="349" customFormat="1">
      <c r="A85" s="491" t="s">
        <v>826</v>
      </c>
      <c r="B85" s="749">
        <f>B$64*($B$46*GREET1_Import_Export!$K77+GREET1_Import_Export!$F$179*GREET1_Import_Export!$B191+GREET1_Import_Export!$F191)+B$65*(GREET1_Import_Export!$O77+GREET1_Import_Export!$G$179*GREET1_Import_Export!$B191+GREET1_Import_Export!$G191)+B$66*(GREET1_Import_Export!$T77+GREET1_Import_Export!$C$179*GREET1_Import_Export!$B191+GREET1_Import_Export!$C191)+B$67*($B$47*GREET1_Import_Export!$B77+GREET1_Import_Export!$B227)+B$68*($B$48*GREET1_Import_Export!$AA77+GREET1_Import_Export!$B295)+B$69*(GREET1_Import_Export!$X77+GREET1_Import_Export!$B$10*(GREET1_Import_Export!$F$215*GREET1_Import_Export!$E227+GREET1_Import_Export!$F227)+GREET1_Import_Export!$C$10*(GREET1_Import_Export!$E$179*GREET1_Import_Export!$B191+GREET1_Import_Export!$E191))+B$70*(GREET1_Import_Export!$B320+GREET1_Import_Export!$C320)+B$71*(GREET1_Import_Export!$B191)+B$72*(GREET1_Import_Export!$B227)</f>
        <v>2321.3567614783178</v>
      </c>
      <c r="C85" s="2772">
        <v>596.721</v>
      </c>
      <c r="D85" s="749">
        <f>D$64*($B$46*GREET1_Import_Export!$K77+GREET1_Import_Export!$F$179*GREET1_Import_Export!$B191+GREET1_Import_Export!$F191)+D$65*(GREET1_Import_Export!$O77+GREET1_Import_Export!$G$179*GREET1_Import_Export!$B191+GREET1_Import_Export!$G191)+D$66*(GREET1_Import_Export!$T77+GREET1_Import_Export!$C$179*GREET1_Import_Export!$B191+GREET1_Import_Export!$C191)+D$67*($B$47*GREET1_Import_Export!$B77+GREET1_Import_Export!$B227)+D$68*($B$48*GREET1_Import_Export!$AA77+GREET1_Import_Export!$B295)+D$69*(GREET1_Import_Export!$X77+GREET1_Import_Export!$B$10*(GREET1_Import_Export!$F$215*GREET1_Import_Export!$E227+GREET1_Import_Export!$F227)+GREET1_Import_Export!$C$10*(GREET1_Import_Export!$E$179*GREET1_Import_Export!$B191+GREET1_Import_Export!$E191))+D$70*(GREET1_Import_Export!$B320+GREET1_Import_Export!$C320)+D$71*(GREET1_Import_Export!$B191)+D$72*(GREET1_Import_Export!$B227)</f>
        <v>72.522393014687779</v>
      </c>
      <c r="E85" s="817"/>
      <c r="F85" s="749">
        <f>F$64*($B$46*GREET1_Import_Export!$K77+GREET1_Import_Export!$F$179*GREET1_Import_Export!$B191+GREET1_Import_Export!$F191)+F$65*(GREET1_Import_Export!$O77+GREET1_Import_Export!$G$179*GREET1_Import_Export!$B191+GREET1_Import_Export!$G191)+F$66*(GREET1_Import_Export!$T77+GREET1_Import_Export!$C$179*GREET1_Import_Export!$B191+GREET1_Import_Export!$C191)+F$67*($B$47*GREET1_Import_Export!$B77+GREET1_Import_Export!$B227)+F$68*($B$48*GREET1_Import_Export!$AA77+GREET1_Import_Export!$B295)+F$69*(GREET1_Import_Export!$X77+GREET1_Import_Export!$B$10*(GREET1_Import_Export!$F$215*GREET1_Import_Export!$E227+GREET1_Import_Export!$F227)+GREET1_Import_Export!$C$10*(GREET1_Import_Export!$E$179*GREET1_Import_Export!$B191+GREET1_Import_Export!$E191))+F$70*(GREET1_Import_Export!$B320+GREET1_Import_Export!$C320)+F$71*(GREET1_Import_Export!$B191)+F$72*(GREET1_Import_Export!$B227)</f>
        <v>195.00614181667581</v>
      </c>
      <c r="G85" s="817"/>
      <c r="H85" s="749">
        <f>H$64*($B$46*GREET1_Import_Export!$K77+GREET1_Import_Export!$F$179*GREET1_Import_Export!$B191+GREET1_Import_Export!$F191)+H$65*(GREET1_Import_Export!$O77+GREET1_Import_Export!$G$179*GREET1_Import_Export!$B191+GREET1_Import_Export!$G191)+H$66*(GREET1_Import_Export!$T77+GREET1_Import_Export!$C$179*GREET1_Import_Export!$B191+GREET1_Import_Export!$C191)+H$67*($B$47*GREET1_Import_Export!$B77+GREET1_Import_Export!$B227)+H$68*($B$48*GREET1_Import_Export!$AA77+GREET1_Import_Export!$B295)+H$69*(GREET1_Import_Export!$X77+GREET1_Import_Export!$B$10*(GREET1_Import_Export!$F$215*GREET1_Import_Export!$E227+GREET1_Import_Export!$F227)+GREET1_Import_Export!$C$10*(GREET1_Import_Export!$E$179*GREET1_Import_Export!$B191+GREET1_Import_Export!$E191))+H$70*(GREET1_Import_Export!$B320+GREET1_Import_Export!$C320)+H$71*(GREET1_Import_Export!$B191)+H$72*(GREET1_Import_Export!$B227)</f>
        <v>239.57897423191599</v>
      </c>
      <c r="I85" s="817"/>
      <c r="J85" s="749">
        <f>J$64*($B$46*GREET1_Import_Export!$K77+GREET1_Import_Export!$F$179*GREET1_Import_Export!$B191+GREET1_Import_Export!$F191)+J$65*(GREET1_Import_Export!$O77+GREET1_Import_Export!$G$179*GREET1_Import_Export!$B191+GREET1_Import_Export!$G191)+J$66*(GREET1_Import_Export!$T77+GREET1_Import_Export!$C$179*GREET1_Import_Export!$B191+GREET1_Import_Export!$C191)+J$67*($B$47*GREET1_Import_Export!$B77+GREET1_Import_Export!$B227)+J$68*($B$48*GREET1_Import_Export!$AA77+GREET1_Import_Export!$B295)+J$69*(GREET1_Import_Export!$X77+GREET1_Import_Export!$B$10*(GREET1_Import_Export!$F$215*GREET1_Import_Export!$E227+GREET1_Import_Export!$F227)+GREET1_Import_Export!$C$10*(GREET1_Import_Export!$E$179*GREET1_Import_Export!$B191+GREET1_Import_Export!$E191))+J$70*(GREET1_Import_Export!$B320+GREET1_Import_Export!$C320)+J$71*(GREET1_Import_Export!$B191)+J$72*(GREET1_Import_Export!$B227)</f>
        <v>713.10053255021614</v>
      </c>
      <c r="K85" s="817"/>
      <c r="L85" s="749">
        <f>L$64*($B$46*GREET1_Import_Export!$K77+GREET1_Import_Export!$F$179*GREET1_Import_Export!$B191+GREET1_Import_Export!$F191)+L$65*(GREET1_Import_Export!$O77+GREET1_Import_Export!$G$179*GREET1_Import_Export!$B191+GREET1_Import_Export!$G191)+L$66*(GREET1_Import_Export!$T77+GREET1_Import_Export!$C$179*GREET1_Import_Export!$B191+GREET1_Import_Export!$C191)+L$67*($B$47*GREET1_Import_Export!$B77+GREET1_Import_Export!$B227)+L$68*($B$48*GREET1_Import_Export!$AA77+GREET1_Import_Export!$B295)+L$69*(GREET1_Import_Export!$X77+GREET1_Import_Export!$B$10*(GREET1_Import_Export!$F$215*GREET1_Import_Export!$E227+GREET1_Import_Export!$F227)+GREET1_Import_Export!$C$10*(GREET1_Import_Export!$E$179*GREET1_Import_Export!$B191+GREET1_Import_Export!$E191))+L$70*(GREET1_Import_Export!$B320+GREET1_Import_Export!$C320)+L$71*(GREET1_Import_Export!$B191)+L$72*(GREET1_Import_Export!$B227)</f>
        <v>544.00297507441735</v>
      </c>
      <c r="M85" s="817"/>
      <c r="N85" s="753">
        <f>N$64*($B$46*GREET1_Import_Export!$K77+GREET1_Import_Export!$F$179*GREET1_Import_Export!$B191+GREET1_Import_Export!$F191)+N$65*(GREET1_Import_Export!$O77+GREET1_Import_Export!$G$179*GREET1_Import_Export!$B191+GREET1_Import_Export!$G191)+N$66*(GREET1_Import_Export!$T77+GREET1_Import_Export!$C$179*GREET1_Import_Export!$B191+GREET1_Import_Export!$C191)+N$67*($B$47*GREET1_Import_Export!$B77+GREET1_Import_Export!$B227)+N$68*($B$48*GREET1_Import_Export!$AA77+GREET1_Import_Export!$B295)+N$69*(GREET1_Import_Export!$X77+GREET1_Import_Export!$B$10*(GREET1_Import_Export!$F$215*GREET1_Import_Export!$E227+GREET1_Import_Export!$F227)+GREET1_Import_Export!$C$10*(GREET1_Import_Export!$E$179*GREET1_Import_Export!$B191+GREET1_Import_Export!$E191))+N$70*(GREET1_Import_Export!$B320+GREET1_Import_Export!$C320)+N$71*(GREET1_Import_Export!$B191)+N$72*(GREET1_Import_Export!$B227)</f>
        <v>111.1279129624795</v>
      </c>
      <c r="O85" s="1082"/>
      <c r="P85" s="753">
        <f>P$64*($B$46*GREET1_Import_Export!$K77+GREET1_Import_Export!$F$179*GREET1_Import_Export!$B191+GREET1_Import_Export!$F191)+P$65*(GREET1_Import_Export!$O77+GREET1_Import_Export!$G$179*GREET1_Import_Export!$B191+GREET1_Import_Export!$G191)+P$66*(GREET1_Import_Export!$T77+GREET1_Import_Export!$C$179*GREET1_Import_Export!$B191+GREET1_Import_Export!$C191)+P$67*($B$47*GREET1_Import_Export!$B77+GREET1_Import_Export!$B227)+P$68*($B$48*GREET1_Import_Export!$AA77+GREET1_Import_Export!$B295)+P$69*(GREET1_Import_Export!$X77+GREET1_Import_Export!$B$10*(GREET1_Import_Export!$F$215*GREET1_Import_Export!$E227+GREET1_Import_Export!$F227)+GREET1_Import_Export!$C$10*(GREET1_Import_Export!$E$179*GREET1_Import_Export!$B191+GREET1_Import_Export!$E191))+P$70*(GREET1_Import_Export!$B320+GREET1_Import_Export!$C320)+P$71*(GREET1_Import_Export!$B191)+P$72*(GREET1_Import_Export!$B227)</f>
        <v>6047.0396246475912</v>
      </c>
      <c r="Q85" s="1082"/>
      <c r="R85" s="753">
        <f>R$64*($B$46*GREET1_Import_Export!$K77+GREET1_Import_Export!$F$179*GREET1_Import_Export!$B191+GREET1_Import_Export!$F191)+R$65*(GREET1_Import_Export!$O77+GREET1_Import_Export!$G$179*GREET1_Import_Export!$B191+GREET1_Import_Export!$G191)+R$66*(GREET1_Import_Export!$T77+GREET1_Import_Export!$C$179*GREET1_Import_Export!$B191+GREET1_Import_Export!$C191)+R$67*($B$47*GREET1_Import_Export!$B77+GREET1_Import_Export!$B227)+R$68*($B$48*GREET1_Import_Export!$AA77+GREET1_Import_Export!$B295)+R$69*(GREET1_Import_Export!$X77+GREET1_Import_Export!$B$10*(GREET1_Import_Export!$F$215*GREET1_Import_Export!$E227+GREET1_Import_Export!$F227)+GREET1_Import_Export!$C$10*(GREET1_Import_Export!$E$179*GREET1_Import_Export!$B191+GREET1_Import_Export!$E191))+R$70*(GREET1_Import_Export!$B320+GREET1_Import_Export!$C320)+R$71*(GREET1_Import_Export!$B191)+R$72*(GREET1_Import_Export!$B227)</f>
        <v>737.00660109850628</v>
      </c>
      <c r="S85" s="1082"/>
      <c r="T85" s="753">
        <f>T$64*($B$46*GREET1_Import_Export!$K77+GREET1_Import_Export!$F$179*GREET1_Import_Export!$B191+GREET1_Import_Export!$F191)+T$65*(GREET1_Import_Export!$O77+GREET1_Import_Export!$G$179*GREET1_Import_Export!$B191+GREET1_Import_Export!$G191)+T$66*(GREET1_Import_Export!$T77+GREET1_Import_Export!$C$179*GREET1_Import_Export!$B191+GREET1_Import_Export!$C191)+T$67*($B$47*GREET1_Import_Export!$B77+GREET1_Import_Export!$B227)+T$68*($B$48*GREET1_Import_Export!$AA77+GREET1_Import_Export!$B295)+T$69*(GREET1_Import_Export!$X77+GREET1_Import_Export!$B$10*(GREET1_Import_Export!$F$215*GREET1_Import_Export!$E227+GREET1_Import_Export!$F227)+GREET1_Import_Export!$C$10*(GREET1_Import_Export!$E$179*GREET1_Import_Export!$B191+GREET1_Import_Export!$E191))+T$70*(GREET1_Import_Export!$B320+GREET1_Import_Export!$C320)+T$71*(GREET1_Import_Export!$B191)+T$72*(GREET1_Import_Export!$B227)</f>
        <v>4339.539978500221</v>
      </c>
      <c r="U85" s="1082"/>
      <c r="X85" s="1238"/>
      <c r="Y85" s="1238"/>
      <c r="Z85" s="1238"/>
      <c r="AA85" s="64"/>
      <c r="AB85" s="64"/>
      <c r="AC85" s="64"/>
      <c r="AD85" s="64"/>
      <c r="AE85" s="1238"/>
      <c r="AF85" s="1238"/>
      <c r="AG85" s="1238"/>
      <c r="AX85" s="1238"/>
      <c r="AY85" s="1238"/>
      <c r="AZ85" s="1238"/>
      <c r="BA85" s="1238"/>
      <c r="BB85" s="1238"/>
      <c r="BC85" s="1238"/>
      <c r="BD85" s="1238"/>
      <c r="BE85" s="1238"/>
      <c r="BF85" s="1238"/>
      <c r="BG85" s="1238"/>
      <c r="BH85" s="1238"/>
      <c r="BI85" s="1238"/>
      <c r="BJ85" s="1238"/>
      <c r="BK85" s="1238"/>
    </row>
    <row r="86" spans="1:63" s="349" customFormat="1">
      <c r="A86" s="794" t="s">
        <v>827</v>
      </c>
      <c r="B86" s="749">
        <f>B$64*($B$46*GREET1_Import_Export!$K78+GREET1_Import_Export!$F$179*GREET1_Import_Export!$B192+GREET1_Import_Export!$F192)+B$65*(GREET1_Import_Export!$O78+GREET1_Import_Export!$G$179*GREET1_Import_Export!$B192+GREET1_Import_Export!$G192)+B$66*(GREET1_Import_Export!$T78+GREET1_Import_Export!$C$179*GREET1_Import_Export!$B192+GREET1_Import_Export!$C192)+B$67*($B$47*GREET1_Import_Export!$B78+GREET1_Import_Export!$B228)+B$68*($B$48*GREET1_Import_Export!$AA78+GREET1_Import_Export!$B296)+B$69*(GREET1_Import_Export!$X78+GREET1_Import_Export!$B$10*(GREET1_Import_Export!$F$215*GREET1_Import_Export!$E228+GREET1_Import_Export!$F228)+GREET1_Import_Export!$C$10*(GREET1_Import_Export!$E$179*GREET1_Import_Export!$B192+GREET1_Import_Export!$E192))+B$70*(GREET1_Import_Export!$B321+GREET1_Import_Export!$C321)+B$71*(GREET1_Import_Export!$B192)+B$72*(GREET1_Import_Export!$B228)</f>
        <v>45.668049064575207</v>
      </c>
      <c r="C86" s="817"/>
      <c r="D86" s="749">
        <f>D$64*($B$46*GREET1_Import_Export!$K78+GREET1_Import_Export!$F$179*GREET1_Import_Export!$B192+GREET1_Import_Export!$F192)+D$65*(GREET1_Import_Export!$O78+GREET1_Import_Export!$G$179*GREET1_Import_Export!$B192+GREET1_Import_Export!$G192)+D$66*(GREET1_Import_Export!$T78+GREET1_Import_Export!$C$179*GREET1_Import_Export!$B192+GREET1_Import_Export!$C192)+D$67*($B$47*GREET1_Import_Export!$B78+GREET1_Import_Export!$B228)+D$68*($B$48*GREET1_Import_Export!$AA78+GREET1_Import_Export!$B296)+D$69*(GREET1_Import_Export!$X78+GREET1_Import_Export!$B$10*(GREET1_Import_Export!$F$215*GREET1_Import_Export!$E228+GREET1_Import_Export!$F228)+GREET1_Import_Export!$C$10*(GREET1_Import_Export!$E$179*GREET1_Import_Export!$B192+GREET1_Import_Export!$E192))+D$70*(GREET1_Import_Export!$B321+GREET1_Import_Export!$C321)+D$71*(GREET1_Import_Export!$B192)+D$72*(GREET1_Import_Export!$B228)</f>
        <v>0.65604253574893989</v>
      </c>
      <c r="E86" s="817"/>
      <c r="F86" s="749">
        <f>F$64*($B$46*GREET1_Import_Export!$K78+GREET1_Import_Export!$F$179*GREET1_Import_Export!$B192+GREET1_Import_Export!$F192)+F$65*(GREET1_Import_Export!$O78+GREET1_Import_Export!$G$179*GREET1_Import_Export!$B192+GREET1_Import_Export!$G192)+F$66*(GREET1_Import_Export!$T78+GREET1_Import_Export!$C$179*GREET1_Import_Export!$B192+GREET1_Import_Export!$C192)+F$67*($B$47*GREET1_Import_Export!$B78+GREET1_Import_Export!$B228)+F$68*($B$48*GREET1_Import_Export!$AA78+GREET1_Import_Export!$B296)+F$69*(GREET1_Import_Export!$X78+GREET1_Import_Export!$B$10*(GREET1_Import_Export!$F$215*GREET1_Import_Export!$E228+GREET1_Import_Export!$F228)+GREET1_Import_Export!$C$10*(GREET1_Import_Export!$E$179*GREET1_Import_Export!$B192+GREET1_Import_Export!$E192))+F$70*(GREET1_Import_Export!$B321+GREET1_Import_Export!$C321)+F$71*(GREET1_Import_Export!$B192)+F$72*(GREET1_Import_Export!$B228)</f>
        <v>1.3616429421231444</v>
      </c>
      <c r="G86" s="817"/>
      <c r="H86" s="749">
        <f>H$64*($B$46*GREET1_Import_Export!$K78+GREET1_Import_Export!$F$179*GREET1_Import_Export!$B192+GREET1_Import_Export!$F192)+H$65*(GREET1_Import_Export!$O78+GREET1_Import_Export!$G$179*GREET1_Import_Export!$B192+GREET1_Import_Export!$G192)+H$66*(GREET1_Import_Export!$T78+GREET1_Import_Export!$C$179*GREET1_Import_Export!$B192+GREET1_Import_Export!$C192)+H$67*($B$47*GREET1_Import_Export!$B78+GREET1_Import_Export!$B228)+H$68*($B$48*GREET1_Import_Export!$AA78+GREET1_Import_Export!$B296)+H$69*(GREET1_Import_Export!$X78+GREET1_Import_Export!$B$10*(GREET1_Import_Export!$F$215*GREET1_Import_Export!$E228+GREET1_Import_Export!$F228)+GREET1_Import_Export!$C$10*(GREET1_Import_Export!$E$179*GREET1_Import_Export!$B192+GREET1_Import_Export!$E192))+H$70*(GREET1_Import_Export!$B321+GREET1_Import_Export!$C321)+H$71*(GREET1_Import_Export!$B192)+H$72*(GREET1_Import_Export!$B228)</f>
        <v>1.6728756146084347</v>
      </c>
      <c r="I86" s="817"/>
      <c r="J86" s="749">
        <f>J$64*($B$46*GREET1_Import_Export!$K78+GREET1_Import_Export!$F$179*GREET1_Import_Export!$B192+GREET1_Import_Export!$F192)+J$65*(GREET1_Import_Export!$O78+GREET1_Import_Export!$G$179*GREET1_Import_Export!$B192+GREET1_Import_Export!$G192)+J$66*(GREET1_Import_Export!$T78+GREET1_Import_Export!$C$179*GREET1_Import_Export!$B192+GREET1_Import_Export!$C192)+J$67*($B$47*GREET1_Import_Export!$B78+GREET1_Import_Export!$B228)+J$68*($B$48*GREET1_Import_Export!$AA78+GREET1_Import_Export!$B296)+J$69*(GREET1_Import_Export!$X78+GREET1_Import_Export!$B$10*(GREET1_Import_Export!$F$215*GREET1_Import_Export!$E228+GREET1_Import_Export!$F228)+GREET1_Import_Export!$C$10*(GREET1_Import_Export!$E$179*GREET1_Import_Export!$B192+GREET1_Import_Export!$E192))+J$70*(GREET1_Import_Export!$B321+GREET1_Import_Export!$C321)+J$71*(GREET1_Import_Export!$B192)+J$72*(GREET1_Import_Export!$B228)</f>
        <v>4.9792703866941697</v>
      </c>
      <c r="K86" s="817"/>
      <c r="L86" s="749">
        <f>L$64*($B$46*GREET1_Import_Export!$K78+GREET1_Import_Export!$F$179*GREET1_Import_Export!$B192+GREET1_Import_Export!$F192)+L$65*(GREET1_Import_Export!$O78+GREET1_Import_Export!$G$179*GREET1_Import_Export!$B192+GREET1_Import_Export!$G192)+L$66*(GREET1_Import_Export!$T78+GREET1_Import_Export!$C$179*GREET1_Import_Export!$B192+GREET1_Import_Export!$C192)+L$67*($B$47*GREET1_Import_Export!$B78+GREET1_Import_Export!$B228)+L$68*($B$48*GREET1_Import_Export!$AA78+GREET1_Import_Export!$B296)+L$69*(GREET1_Import_Export!$X78+GREET1_Import_Export!$B$10*(GREET1_Import_Export!$F$215*GREET1_Import_Export!$E228+GREET1_Import_Export!$F228)+GREET1_Import_Export!$C$10*(GREET1_Import_Export!$E$179*GREET1_Import_Export!$B192+GREET1_Import_Export!$E192))+L$70*(GREET1_Import_Export!$B321+GREET1_Import_Export!$C321)+L$71*(GREET1_Import_Export!$B192)+L$72*(GREET1_Import_Export!$B228)</f>
        <v>6.5922828444601436</v>
      </c>
      <c r="M86" s="817"/>
      <c r="N86" s="753">
        <f>N$64*($B$46*GREET1_Import_Export!$K78+GREET1_Import_Export!$F$179*GREET1_Import_Export!$B192+GREET1_Import_Export!$F192)+N$65*(GREET1_Import_Export!$O78+GREET1_Import_Export!$G$179*GREET1_Import_Export!$B192+GREET1_Import_Export!$G192)+N$66*(GREET1_Import_Export!$T78+GREET1_Import_Export!$C$179*GREET1_Import_Export!$B192+GREET1_Import_Export!$C192)+N$67*($B$47*GREET1_Import_Export!$B78+GREET1_Import_Export!$B228)+N$68*($B$48*GREET1_Import_Export!$AA78+GREET1_Import_Export!$B296)+N$69*(GREET1_Import_Export!$X78+GREET1_Import_Export!$B$10*(GREET1_Import_Export!$F$215*GREET1_Import_Export!$E228+GREET1_Import_Export!$F228)+GREET1_Import_Export!$C$10*(GREET1_Import_Export!$E$179*GREET1_Import_Export!$B192+GREET1_Import_Export!$E192))+N$70*(GREET1_Import_Export!$B321+GREET1_Import_Export!$C321)+N$71*(GREET1_Import_Export!$B192)+N$72*(GREET1_Import_Export!$B228)</f>
        <v>1.0504260474036378</v>
      </c>
      <c r="O86" s="1082"/>
      <c r="P86" s="753">
        <f>P$64*($B$46*GREET1_Import_Export!$K78+GREET1_Import_Export!$F$179*GREET1_Import_Export!$B192+GREET1_Import_Export!$F192)+P$65*(GREET1_Import_Export!$O78+GREET1_Import_Export!$G$179*GREET1_Import_Export!$B192+GREET1_Import_Export!$G192)+P$66*(GREET1_Import_Export!$T78+GREET1_Import_Export!$C$179*GREET1_Import_Export!$B192+GREET1_Import_Export!$C192)+P$67*($B$47*GREET1_Import_Export!$B78+GREET1_Import_Export!$B228)+P$68*($B$48*GREET1_Import_Export!$AA78+GREET1_Import_Export!$B296)+P$69*(GREET1_Import_Export!$X78+GREET1_Import_Export!$B$10*(GREET1_Import_Export!$F$215*GREET1_Import_Export!$E228+GREET1_Import_Export!$F228)+GREET1_Import_Export!$C$10*(GREET1_Import_Export!$E$179*GREET1_Import_Export!$B192+GREET1_Import_Export!$E192))+P$70*(GREET1_Import_Export!$B321+GREET1_Import_Export!$C321)+P$71*(GREET1_Import_Export!$B192)+P$72*(GREET1_Import_Export!$B228)</f>
        <v>76.433341630892841</v>
      </c>
      <c r="Q86" s="1082"/>
      <c r="R86" s="753">
        <f>R$64*($B$46*GREET1_Import_Export!$K78+GREET1_Import_Export!$F$179*GREET1_Import_Export!$B192+GREET1_Import_Export!$F192)+R$65*(GREET1_Import_Export!$O78+GREET1_Import_Export!$G$179*GREET1_Import_Export!$B192+GREET1_Import_Export!$G192)+R$66*(GREET1_Import_Export!$T78+GREET1_Import_Export!$C$179*GREET1_Import_Export!$B192+GREET1_Import_Export!$C192)+R$67*($B$47*GREET1_Import_Export!$B78+GREET1_Import_Export!$B228)+R$68*($B$48*GREET1_Import_Export!$AA78+GREET1_Import_Export!$B296)+R$69*(GREET1_Import_Export!$X78+GREET1_Import_Export!$B$10*(GREET1_Import_Export!$F$215*GREET1_Import_Export!$E228+GREET1_Import_Export!$F228)+GREET1_Import_Export!$C$10*(GREET1_Import_Export!$E$179*GREET1_Import_Export!$B192+GREET1_Import_Export!$E192))+R$70*(GREET1_Import_Export!$B321+GREET1_Import_Export!$C321)+R$71*(GREET1_Import_Export!$B192)+R$72*(GREET1_Import_Export!$B228)</f>
        <v>5.1461960496986352</v>
      </c>
      <c r="S86" s="1082"/>
      <c r="T86" s="753">
        <f>T$64*($B$46*GREET1_Import_Export!$K78+GREET1_Import_Export!$F$179*GREET1_Import_Export!$B192+GREET1_Import_Export!$F192)+T$65*(GREET1_Import_Export!$O78+GREET1_Import_Export!$G$179*GREET1_Import_Export!$B192+GREET1_Import_Export!$G192)+T$66*(GREET1_Import_Export!$T78+GREET1_Import_Export!$C$179*GREET1_Import_Export!$B192+GREET1_Import_Export!$C192)+T$67*($B$47*GREET1_Import_Export!$B78+GREET1_Import_Export!$B228)+T$68*($B$48*GREET1_Import_Export!$AA78+GREET1_Import_Export!$B296)+T$69*(GREET1_Import_Export!$X78+GREET1_Import_Export!$B$10*(GREET1_Import_Export!$F$215*GREET1_Import_Export!$E228+GREET1_Import_Export!$F228)+GREET1_Import_Export!$C$10*(GREET1_Import_Export!$E$179*GREET1_Import_Export!$B192+GREET1_Import_Export!$E192))+T$70*(GREET1_Import_Export!$B321+GREET1_Import_Export!$C321)+T$71*(GREET1_Import_Export!$B192)+T$72*(GREET1_Import_Export!$B228)</f>
        <v>33.882186827643835</v>
      </c>
      <c r="U86" s="1082"/>
      <c r="X86" s="1238"/>
      <c r="Y86" s="1238"/>
      <c r="Z86" s="1238"/>
      <c r="AA86" s="64"/>
      <c r="AB86" s="64"/>
      <c r="AC86" s="64"/>
      <c r="AD86" s="64"/>
      <c r="AE86" s="1238"/>
      <c r="AF86" s="1238"/>
      <c r="AG86" s="1238"/>
      <c r="AX86" s="1238"/>
      <c r="AY86" s="1238"/>
      <c r="AZ86" s="1238"/>
      <c r="BA86" s="1238"/>
      <c r="BB86" s="1238"/>
      <c r="BC86" s="1238"/>
      <c r="BD86" s="1238"/>
      <c r="BE86" s="1238"/>
      <c r="BF86" s="1238"/>
      <c r="BG86" s="1238"/>
      <c r="BH86" s="1238"/>
      <c r="BI86" s="1238"/>
      <c r="BJ86" s="1238"/>
      <c r="BK86" s="1238"/>
    </row>
    <row r="87" spans="1:63" s="349" customFormat="1">
      <c r="A87" s="794" t="s">
        <v>828</v>
      </c>
      <c r="B87" s="749">
        <f>B$64*($B$46*GREET1_Import_Export!$K79+GREET1_Import_Export!$F$179*GREET1_Import_Export!$B193+GREET1_Import_Export!$F193)+B$65*(GREET1_Import_Export!$O79+GREET1_Import_Export!$G$179*GREET1_Import_Export!$B193+GREET1_Import_Export!$G193)+B$66*(GREET1_Import_Export!$T79+GREET1_Import_Export!$C$179*GREET1_Import_Export!$B193+GREET1_Import_Export!$C193)+B$67*($B$47*GREET1_Import_Export!$B79+GREET1_Import_Export!$B229)+B$68*($B$48*GREET1_Import_Export!$AA79+GREET1_Import_Export!$B297)+B$69*(GREET1_Import_Export!$X79+GREET1_Import_Export!$B$10*(GREET1_Import_Export!$F$215*GREET1_Import_Export!$E229+GREET1_Import_Export!$F229)+GREET1_Import_Export!$C$10*(GREET1_Import_Export!$E$179*GREET1_Import_Export!$B193+GREET1_Import_Export!$E193))+B$70*(GREET1_Import_Export!$B322+GREET1_Import_Export!$C322)+B$71*(GREET1_Import_Export!$B193)+B$72*(GREET1_Import_Export!$B229)</f>
        <v>99.124523017431159</v>
      </c>
      <c r="C87" s="817"/>
      <c r="D87" s="749">
        <f>D$64*($B$46*GREET1_Import_Export!$K79+GREET1_Import_Export!$F$179*GREET1_Import_Export!$B193+GREET1_Import_Export!$F193)+D$65*(GREET1_Import_Export!$O79+GREET1_Import_Export!$G$179*GREET1_Import_Export!$B193+GREET1_Import_Export!$G193)+D$66*(GREET1_Import_Export!$T79+GREET1_Import_Export!$C$179*GREET1_Import_Export!$B193+GREET1_Import_Export!$C193)+D$67*($B$47*GREET1_Import_Export!$B79+GREET1_Import_Export!$B229)+D$68*($B$48*GREET1_Import_Export!$AA79+GREET1_Import_Export!$B297)+D$69*(GREET1_Import_Export!$X79+GREET1_Import_Export!$B$10*(GREET1_Import_Export!$F$215*GREET1_Import_Export!$E229+GREET1_Import_Export!$F229)+GREET1_Import_Export!$C$10*(GREET1_Import_Export!$E$179*GREET1_Import_Export!$B193+GREET1_Import_Export!$E193))+D$70*(GREET1_Import_Export!$B322+GREET1_Import_Export!$C322)+D$71*(GREET1_Import_Export!$B193)+D$72*(GREET1_Import_Export!$B229)</f>
        <v>0.75992819283145507</v>
      </c>
      <c r="E87" s="817"/>
      <c r="F87" s="749">
        <f>F$64*($B$46*GREET1_Import_Export!$K79+GREET1_Import_Export!$F$179*GREET1_Import_Export!$B193+GREET1_Import_Export!$F193)+F$65*(GREET1_Import_Export!$O79+GREET1_Import_Export!$G$179*GREET1_Import_Export!$B193+GREET1_Import_Export!$G193)+F$66*(GREET1_Import_Export!$T79+GREET1_Import_Export!$C$179*GREET1_Import_Export!$B193+GREET1_Import_Export!$C193)+F$67*($B$47*GREET1_Import_Export!$B79+GREET1_Import_Export!$B229)+F$68*($B$48*GREET1_Import_Export!$AA79+GREET1_Import_Export!$B297)+F$69*(GREET1_Import_Export!$X79+GREET1_Import_Export!$B$10*(GREET1_Import_Export!$F$215*GREET1_Import_Export!$E229+GREET1_Import_Export!$F229)+GREET1_Import_Export!$C$10*(GREET1_Import_Export!$E$179*GREET1_Import_Export!$B193+GREET1_Import_Export!$E193))+F$70*(GREET1_Import_Export!$B322+GREET1_Import_Export!$C322)+F$71*(GREET1_Import_Export!$B193)+F$72*(GREET1_Import_Export!$B229)</f>
        <v>6.4810905190538177</v>
      </c>
      <c r="G87" s="817"/>
      <c r="H87" s="749">
        <f>H$64*($B$46*GREET1_Import_Export!$K79+GREET1_Import_Export!$F$179*GREET1_Import_Export!$B193+GREET1_Import_Export!$F193)+H$65*(GREET1_Import_Export!$O79+GREET1_Import_Export!$G$179*GREET1_Import_Export!$B193+GREET1_Import_Export!$G193)+H$66*(GREET1_Import_Export!$T79+GREET1_Import_Export!$C$179*GREET1_Import_Export!$B193+GREET1_Import_Export!$C193)+H$67*($B$47*GREET1_Import_Export!$B79+GREET1_Import_Export!$B229)+H$68*($B$48*GREET1_Import_Export!$AA79+GREET1_Import_Export!$B297)+H$69*(GREET1_Import_Export!$X79+GREET1_Import_Export!$B$10*(GREET1_Import_Export!$F$215*GREET1_Import_Export!$E229+GREET1_Import_Export!$F229)+GREET1_Import_Export!$C$10*(GREET1_Import_Export!$E$179*GREET1_Import_Export!$B193+GREET1_Import_Export!$E193))+H$70*(GREET1_Import_Export!$B322+GREET1_Import_Export!$C322)+H$71*(GREET1_Import_Export!$B193)+H$72*(GREET1_Import_Export!$B229)</f>
        <v>7.9624826376946904</v>
      </c>
      <c r="I87" s="817"/>
      <c r="J87" s="749">
        <f>J$64*($B$46*GREET1_Import_Export!$K79+GREET1_Import_Export!$F$179*GREET1_Import_Export!$B193+GREET1_Import_Export!$F193)+J$65*(GREET1_Import_Export!$O79+GREET1_Import_Export!$G$179*GREET1_Import_Export!$B193+GREET1_Import_Export!$G193)+J$66*(GREET1_Import_Export!$T79+GREET1_Import_Export!$C$179*GREET1_Import_Export!$B193+GREET1_Import_Export!$C193)+J$67*($B$47*GREET1_Import_Export!$B79+GREET1_Import_Export!$B229)+J$68*($B$48*GREET1_Import_Export!$AA79+GREET1_Import_Export!$B297)+J$69*(GREET1_Import_Export!$X79+GREET1_Import_Export!$B$10*(GREET1_Import_Export!$F$215*GREET1_Import_Export!$E229+GREET1_Import_Export!$F229)+GREET1_Import_Export!$C$10*(GREET1_Import_Export!$E$179*GREET1_Import_Export!$B193+GREET1_Import_Export!$E193))+J$70*(GREET1_Import_Export!$B322+GREET1_Import_Export!$C322)+J$71*(GREET1_Import_Export!$B193)+J$72*(GREET1_Import_Export!$B229)</f>
        <v>23.700120712035009</v>
      </c>
      <c r="K87" s="817"/>
      <c r="L87" s="749">
        <f>L$64*($B$46*GREET1_Import_Export!$K79+GREET1_Import_Export!$F$179*GREET1_Import_Export!$B193+GREET1_Import_Export!$F193)+L$65*(GREET1_Import_Export!$O79+GREET1_Import_Export!$G$179*GREET1_Import_Export!$B193+GREET1_Import_Export!$G193)+L$66*(GREET1_Import_Export!$T79+GREET1_Import_Export!$C$179*GREET1_Import_Export!$B193+GREET1_Import_Export!$C193)+L$67*($B$47*GREET1_Import_Export!$B79+GREET1_Import_Export!$B229)+L$68*($B$48*GREET1_Import_Export!$AA79+GREET1_Import_Export!$B297)+L$69*(GREET1_Import_Export!$X79+GREET1_Import_Export!$B$10*(GREET1_Import_Export!$F$215*GREET1_Import_Export!$E229+GREET1_Import_Export!$F229)+GREET1_Import_Export!$C$10*(GREET1_Import_Export!$E$179*GREET1_Import_Export!$B193+GREET1_Import_Export!$E193))+L$70*(GREET1_Import_Export!$B322+GREET1_Import_Export!$C322)+L$71*(GREET1_Import_Export!$B193)+L$72*(GREET1_Import_Export!$B229)</f>
        <v>11.464741846519331</v>
      </c>
      <c r="M87" s="817"/>
      <c r="N87" s="753">
        <f>N$64*($B$46*GREET1_Import_Export!$K79+GREET1_Import_Export!$F$179*GREET1_Import_Export!$B193+GREET1_Import_Export!$F193)+N$65*(GREET1_Import_Export!$O79+GREET1_Import_Export!$G$179*GREET1_Import_Export!$B193+GREET1_Import_Export!$G193)+N$66*(GREET1_Import_Export!$T79+GREET1_Import_Export!$C$179*GREET1_Import_Export!$B193+GREET1_Import_Export!$C193)+N$67*($B$47*GREET1_Import_Export!$B79+GREET1_Import_Export!$B229)+N$68*($B$48*GREET1_Import_Export!$AA79+GREET1_Import_Export!$B297)+N$69*(GREET1_Import_Export!$X79+GREET1_Import_Export!$B$10*(GREET1_Import_Export!$F$215*GREET1_Import_Export!$E229+GREET1_Import_Export!$F229)+GREET1_Import_Export!$C$10*(GREET1_Import_Export!$E$179*GREET1_Import_Export!$B193+GREET1_Import_Export!$E193))+N$70*(GREET1_Import_Export!$B322+GREET1_Import_Export!$C322)+N$71*(GREET1_Import_Export!$B193)+N$72*(GREET1_Import_Export!$B229)</f>
        <v>2.8316394105765794</v>
      </c>
      <c r="O87" s="1082"/>
      <c r="P87" s="753">
        <f>P$64*($B$46*GREET1_Import_Export!$K79+GREET1_Import_Export!$F$179*GREET1_Import_Export!$B193+GREET1_Import_Export!$F193)+P$65*(GREET1_Import_Export!$O79+GREET1_Import_Export!$G$179*GREET1_Import_Export!$B193+GREET1_Import_Export!$G193)+P$66*(GREET1_Import_Export!$T79+GREET1_Import_Export!$C$179*GREET1_Import_Export!$B193+GREET1_Import_Export!$C193)+P$67*($B$47*GREET1_Import_Export!$B79+GREET1_Import_Export!$B229)+P$68*($B$48*GREET1_Import_Export!$AA79+GREET1_Import_Export!$B297)+P$69*(GREET1_Import_Export!$X79+GREET1_Import_Export!$B$10*(GREET1_Import_Export!$F$215*GREET1_Import_Export!$E229+GREET1_Import_Export!$F229)+GREET1_Import_Export!$C$10*(GREET1_Import_Export!$E$179*GREET1_Import_Export!$B193+GREET1_Import_Export!$E193))+P$70*(GREET1_Import_Export!$B322+GREET1_Import_Export!$C322)+P$71*(GREET1_Import_Export!$B193)+P$72*(GREET1_Import_Export!$B229)</f>
        <v>134.90048040873808</v>
      </c>
      <c r="Q87" s="1082"/>
      <c r="R87" s="753">
        <f>R$64*($B$46*GREET1_Import_Export!$K79+GREET1_Import_Export!$F$179*GREET1_Import_Export!$B193+GREET1_Import_Export!$F193)+R$65*(GREET1_Import_Export!$O79+GREET1_Import_Export!$G$179*GREET1_Import_Export!$B193+GREET1_Import_Export!$G193)+R$66*(GREET1_Import_Export!$T79+GREET1_Import_Export!$C$179*GREET1_Import_Export!$B193+GREET1_Import_Export!$C193)+R$67*($B$47*GREET1_Import_Export!$B79+GREET1_Import_Export!$B229)+R$68*($B$48*GREET1_Import_Export!$AA79+GREET1_Import_Export!$B297)+R$69*(GREET1_Import_Export!$X79+GREET1_Import_Export!$B$10*(GREET1_Import_Export!$F$215*GREET1_Import_Export!$E229+GREET1_Import_Export!$F229)+GREET1_Import_Export!$C$10*(GREET1_Import_Export!$E$179*GREET1_Import_Export!$B193+GREET1_Import_Export!$E193))+R$70*(GREET1_Import_Export!$B322+GREET1_Import_Export!$C322)+R$71*(GREET1_Import_Export!$B193)+R$72*(GREET1_Import_Export!$B229)</f>
        <v>24.494646426829313</v>
      </c>
      <c r="S87" s="1082"/>
      <c r="T87" s="753">
        <f>T$64*($B$46*GREET1_Import_Export!$K79+GREET1_Import_Export!$F$179*GREET1_Import_Export!$B193+GREET1_Import_Export!$F193)+T$65*(GREET1_Import_Export!$O79+GREET1_Import_Export!$G$179*GREET1_Import_Export!$B193+GREET1_Import_Export!$G193)+T$66*(GREET1_Import_Export!$T79+GREET1_Import_Export!$C$179*GREET1_Import_Export!$B193+GREET1_Import_Export!$C193)+T$67*($B$47*GREET1_Import_Export!$B79+GREET1_Import_Export!$B229)+T$68*($B$48*GREET1_Import_Export!$AA79+GREET1_Import_Export!$B297)+T$69*(GREET1_Import_Export!$X79+GREET1_Import_Export!$B$10*(GREET1_Import_Export!$F$215*GREET1_Import_Export!$E229+GREET1_Import_Export!$F229)+GREET1_Import_Export!$C$10*(GREET1_Import_Export!$E$179*GREET1_Import_Export!$B193+GREET1_Import_Export!$E193))+T$70*(GREET1_Import_Export!$B322+GREET1_Import_Export!$C322)+T$71*(GREET1_Import_Export!$B193)+T$72*(GREET1_Import_Export!$B229)</f>
        <v>151.80351920971782</v>
      </c>
      <c r="U87" s="1082"/>
      <c r="X87" s="1238"/>
      <c r="Y87" s="1238"/>
      <c r="Z87" s="1238"/>
      <c r="AA87" s="64"/>
      <c r="AB87" s="64"/>
      <c r="AC87" s="64"/>
      <c r="AD87" s="64"/>
      <c r="AE87" s="1238"/>
      <c r="AF87" s="1238"/>
      <c r="AG87" s="1238"/>
      <c r="AX87" s="1238"/>
      <c r="AY87" s="1238"/>
      <c r="AZ87" s="1238"/>
      <c r="BA87" s="1238"/>
      <c r="BB87" s="1238"/>
      <c r="BC87" s="1238"/>
      <c r="BD87" s="1238"/>
      <c r="BE87" s="1238"/>
      <c r="BF87" s="1238"/>
      <c r="BG87" s="1238"/>
      <c r="BH87" s="1238"/>
      <c r="BI87" s="1238"/>
      <c r="BJ87" s="1238"/>
      <c r="BK87" s="1238"/>
    </row>
    <row r="88" spans="1:63" s="349" customFormat="1">
      <c r="A88" s="491" t="s">
        <v>829</v>
      </c>
      <c r="B88" s="749">
        <f>B$64*($B$46*GREET1_Import_Export!$K80+GREET1_Import_Export!$F$179*GREET1_Import_Export!$B194+GREET1_Import_Export!$F194)+B$65*(GREET1_Import_Export!$O80+GREET1_Import_Export!$G$179*GREET1_Import_Export!$B194+GREET1_Import_Export!$G194)+B$66*(GREET1_Import_Export!$T80+GREET1_Import_Export!$C$179*GREET1_Import_Export!$B194+GREET1_Import_Export!$C194)+B$67*($B$47*GREET1_Import_Export!$B80+GREET1_Import_Export!$B230)+B$68*($B$48*GREET1_Import_Export!$AA80+GREET1_Import_Export!$B298)+B$69*(GREET1_Import_Export!$X80+GREET1_Import_Export!$B$10*(GREET1_Import_Export!$F$215*GREET1_Import_Export!$E230+GREET1_Import_Export!$F230)+GREET1_Import_Export!$C$10*(GREET1_Import_Export!$E$179*GREET1_Import_Export!$B194+GREET1_Import_Export!$E194))+B$70*(GREET1_Import_Export!$B323+GREET1_Import_Export!$C323)+B$71*(GREET1_Import_Export!$B194)+B$72*(GREET1_Import_Export!$B230)</f>
        <v>17768.838324396074</v>
      </c>
      <c r="C88" s="2772">
        <v>1593.4059999999999</v>
      </c>
      <c r="D88" s="749">
        <f>D$64*($B$46*GREET1_Import_Export!$K80+GREET1_Import_Export!$F$179*GREET1_Import_Export!$B194+GREET1_Import_Export!$F194)+D$65*(GREET1_Import_Export!$O80+GREET1_Import_Export!$G$179*GREET1_Import_Export!$B194+GREET1_Import_Export!$G194)+D$66*(GREET1_Import_Export!$T80+GREET1_Import_Export!$C$179*GREET1_Import_Export!$B194+GREET1_Import_Export!$C194)+D$67*($B$47*GREET1_Import_Export!$B80+GREET1_Import_Export!$B230)+D$68*($B$48*GREET1_Import_Export!$AA80+GREET1_Import_Export!$B298)+D$69*(GREET1_Import_Export!$X80+GREET1_Import_Export!$B$10*(GREET1_Import_Export!$F$215*GREET1_Import_Export!$E230+GREET1_Import_Export!$F230)+GREET1_Import_Export!$C$10*(GREET1_Import_Export!$E$179*GREET1_Import_Export!$B194+GREET1_Import_Export!$E194))+D$70*(GREET1_Import_Export!$B323+GREET1_Import_Export!$C323)+D$71*(GREET1_Import_Export!$B194)+D$72*(GREET1_Import_Export!$B230)</f>
        <v>82.47084912891107</v>
      </c>
      <c r="E88" s="817"/>
      <c r="F88" s="749">
        <f>F$64*($B$46*GREET1_Import_Export!$K80+GREET1_Import_Export!$F$179*GREET1_Import_Export!$B194+GREET1_Import_Export!$F194)+F$65*(GREET1_Import_Export!$O80+GREET1_Import_Export!$G$179*GREET1_Import_Export!$B194+GREET1_Import_Export!$G194)+F$66*(GREET1_Import_Export!$T80+GREET1_Import_Export!$C$179*GREET1_Import_Export!$B194+GREET1_Import_Export!$C194)+F$67*($B$47*GREET1_Import_Export!$B80+GREET1_Import_Export!$B230)+F$68*($B$48*GREET1_Import_Export!$AA80+GREET1_Import_Export!$B298)+F$69*(GREET1_Import_Export!$X80+GREET1_Import_Export!$B$10*(GREET1_Import_Export!$F$215*GREET1_Import_Export!$E230+GREET1_Import_Export!$F230)+GREET1_Import_Export!$C$10*(GREET1_Import_Export!$E$179*GREET1_Import_Export!$B194+GREET1_Import_Export!$E194))+F$70*(GREET1_Import_Export!$B323+GREET1_Import_Export!$C323)+F$71*(GREET1_Import_Export!$B194)+F$72*(GREET1_Import_Export!$B230)</f>
        <v>806.37955744026067</v>
      </c>
      <c r="G88" s="817"/>
      <c r="H88" s="749">
        <f>H$64*($B$46*GREET1_Import_Export!$K80+GREET1_Import_Export!$F$179*GREET1_Import_Export!$B194+GREET1_Import_Export!$F194)+H$65*(GREET1_Import_Export!$O80+GREET1_Import_Export!$G$179*GREET1_Import_Export!$B194+GREET1_Import_Export!$G194)+H$66*(GREET1_Import_Export!$T80+GREET1_Import_Export!$C$179*GREET1_Import_Export!$B194+GREET1_Import_Export!$C194)+H$67*($B$47*GREET1_Import_Export!$B80+GREET1_Import_Export!$B230)+H$68*($B$48*GREET1_Import_Export!$AA80+GREET1_Import_Export!$B298)+H$69*(GREET1_Import_Export!$X80+GREET1_Import_Export!$B$10*(GREET1_Import_Export!$F$215*GREET1_Import_Export!$E230+GREET1_Import_Export!$F230)+GREET1_Import_Export!$C$10*(GREET1_Import_Export!$E$179*GREET1_Import_Export!$B194+GREET1_Import_Export!$E194))+H$70*(GREET1_Import_Export!$B323+GREET1_Import_Export!$C323)+H$71*(GREET1_Import_Export!$B194)+H$72*(GREET1_Import_Export!$B230)</f>
        <v>990.69488485517752</v>
      </c>
      <c r="I88" s="817"/>
      <c r="J88" s="749">
        <f>J$64*($B$46*GREET1_Import_Export!$K80+GREET1_Import_Export!$F$179*GREET1_Import_Export!$B194+GREET1_Import_Export!$F194)+J$65*(GREET1_Import_Export!$O80+GREET1_Import_Export!$G$179*GREET1_Import_Export!$B194+GREET1_Import_Export!$G194)+J$66*(GREET1_Import_Export!$T80+GREET1_Import_Export!$C$179*GREET1_Import_Export!$B194+GREET1_Import_Export!$C194)+J$67*($B$47*GREET1_Import_Export!$B80+GREET1_Import_Export!$B230)+J$68*($B$48*GREET1_Import_Export!$AA80+GREET1_Import_Export!$B298)+J$69*(GREET1_Import_Export!$X80+GREET1_Import_Export!$B$10*(GREET1_Import_Export!$F$215*GREET1_Import_Export!$E230+GREET1_Import_Export!$F230)+GREET1_Import_Export!$C$10*(GREET1_Import_Export!$E$179*GREET1_Import_Export!$B194+GREET1_Import_Export!$E194))+J$70*(GREET1_Import_Export!$B323+GREET1_Import_Export!$C323)+J$71*(GREET1_Import_Export!$B194)+J$72*(GREET1_Import_Export!$B230)</f>
        <v>2948.7773384534717</v>
      </c>
      <c r="K88" s="817"/>
      <c r="L88" s="749">
        <f>L$64*($B$46*GREET1_Import_Export!$K80+GREET1_Import_Export!$F$179*GREET1_Import_Export!$B194+GREET1_Import_Export!$F194)+L$65*(GREET1_Import_Export!$O80+GREET1_Import_Export!$G$179*GREET1_Import_Export!$B194+GREET1_Import_Export!$G194)+L$66*(GREET1_Import_Export!$T80+GREET1_Import_Export!$C$179*GREET1_Import_Export!$B194+GREET1_Import_Export!$C194)+L$67*($B$47*GREET1_Import_Export!$B80+GREET1_Import_Export!$B230)+L$68*($B$48*GREET1_Import_Export!$AA80+GREET1_Import_Export!$B298)+L$69*(GREET1_Import_Export!$X80+GREET1_Import_Export!$B$10*(GREET1_Import_Export!$F$215*GREET1_Import_Export!$E230+GREET1_Import_Export!$F230)+GREET1_Import_Export!$C$10*(GREET1_Import_Export!$E$179*GREET1_Import_Export!$B194+GREET1_Import_Export!$E194))+L$70*(GREET1_Import_Export!$B323+GREET1_Import_Export!$C323)+L$71*(GREET1_Import_Export!$B194)+L$72*(GREET1_Import_Export!$B230)</f>
        <v>1389.016480211099</v>
      </c>
      <c r="M88" s="817"/>
      <c r="N88" s="753">
        <f>N$64*($B$46*GREET1_Import_Export!$K80+GREET1_Import_Export!$F$179*GREET1_Import_Export!$B194+GREET1_Import_Export!$F194)+N$65*(GREET1_Import_Export!$O80+GREET1_Import_Export!$G$179*GREET1_Import_Export!$B194+GREET1_Import_Export!$G194)+N$66*(GREET1_Import_Export!$T80+GREET1_Import_Export!$C$179*GREET1_Import_Export!$B194+GREET1_Import_Export!$C194)+N$67*($B$47*GREET1_Import_Export!$B80+GREET1_Import_Export!$B230)+N$68*($B$48*GREET1_Import_Export!$AA80+GREET1_Import_Export!$B298)+N$69*(GREET1_Import_Export!$X80+GREET1_Import_Export!$B$10*(GREET1_Import_Export!$F$215*GREET1_Import_Export!$E230+GREET1_Import_Export!$F230)+GREET1_Import_Export!$C$10*(GREET1_Import_Export!$E$179*GREET1_Import_Export!$B194+GREET1_Import_Export!$E194))+N$70*(GREET1_Import_Export!$B323+GREET1_Import_Export!$C323)+N$71*(GREET1_Import_Export!$B194)+N$72*(GREET1_Import_Export!$B230)</f>
        <v>402.98627930164866</v>
      </c>
      <c r="O88" s="1082"/>
      <c r="P88" s="753">
        <f>P$64*($B$46*GREET1_Import_Export!$K80+GREET1_Import_Export!$F$179*GREET1_Import_Export!$B194+GREET1_Import_Export!$F194)+P$65*(GREET1_Import_Export!$O80+GREET1_Import_Export!$G$179*GREET1_Import_Export!$B194+GREET1_Import_Export!$G194)+P$66*(GREET1_Import_Export!$T80+GREET1_Import_Export!$C$179*GREET1_Import_Export!$B194+GREET1_Import_Export!$C194)+P$67*($B$47*GREET1_Import_Export!$B80+GREET1_Import_Export!$B230)+P$68*($B$48*GREET1_Import_Export!$AA80+GREET1_Import_Export!$B298)+P$69*(GREET1_Import_Export!$X80+GREET1_Import_Export!$B$10*(GREET1_Import_Export!$F$215*GREET1_Import_Export!$E230+GREET1_Import_Export!$F230)+GREET1_Import_Export!$C$10*(GREET1_Import_Export!$E$179*GREET1_Import_Export!$B194+GREET1_Import_Export!$E194))+P$70*(GREET1_Import_Export!$B323+GREET1_Import_Export!$C323)+P$71*(GREET1_Import_Export!$B194)+P$72*(GREET1_Import_Export!$B230)</f>
        <v>17482.823260984867</v>
      </c>
      <c r="Q88" s="1082"/>
      <c r="R88" s="753">
        <f>R$64*($B$46*GREET1_Import_Export!$K80+GREET1_Import_Export!$F$179*GREET1_Import_Export!$B194+GREET1_Import_Export!$F194)+R$65*(GREET1_Import_Export!$O80+GREET1_Import_Export!$G$179*GREET1_Import_Export!$B194+GREET1_Import_Export!$G194)+R$66*(GREET1_Import_Export!$T80+GREET1_Import_Export!$C$179*GREET1_Import_Export!$B194+GREET1_Import_Export!$C194)+R$67*($B$47*GREET1_Import_Export!$B80+GREET1_Import_Export!$B230)+R$68*($B$48*GREET1_Import_Export!$AA80+GREET1_Import_Export!$B298)+R$69*(GREET1_Import_Export!$X80+GREET1_Import_Export!$B$10*(GREET1_Import_Export!$F$215*GREET1_Import_Export!$E230+GREET1_Import_Export!$F230)+GREET1_Import_Export!$C$10*(GREET1_Import_Export!$E$179*GREET1_Import_Export!$B194+GREET1_Import_Export!$E194))+R$70*(GREET1_Import_Export!$B323+GREET1_Import_Export!$C323)+R$71*(GREET1_Import_Export!$B194)+R$72*(GREET1_Import_Export!$B230)</f>
        <v>3047.6325067908324</v>
      </c>
      <c r="S88" s="1082"/>
      <c r="T88" s="753">
        <f>T$64*($B$46*GREET1_Import_Export!$K80+GREET1_Import_Export!$F$179*GREET1_Import_Export!$B194+GREET1_Import_Export!$F194)+T$65*(GREET1_Import_Export!$O80+GREET1_Import_Export!$G$179*GREET1_Import_Export!$B194+GREET1_Import_Export!$G194)+T$66*(GREET1_Import_Export!$T80+GREET1_Import_Export!$C$179*GREET1_Import_Export!$B194+GREET1_Import_Export!$C194)+T$67*($B$47*GREET1_Import_Export!$B80+GREET1_Import_Export!$B230)+T$68*($B$48*GREET1_Import_Export!$AA80+GREET1_Import_Export!$B298)+T$69*(GREET1_Import_Export!$X80+GREET1_Import_Export!$B$10*(GREET1_Import_Export!$F$215*GREET1_Import_Export!$E230+GREET1_Import_Export!$F230)+GREET1_Import_Export!$C$10*(GREET1_Import_Export!$E$179*GREET1_Import_Export!$B194+GREET1_Import_Export!$E194))+T$70*(GREET1_Import_Export!$B323+GREET1_Import_Export!$C323)+T$71*(GREET1_Import_Export!$B194)+T$72*(GREET1_Import_Export!$B230)</f>
        <v>18964.289672294981</v>
      </c>
      <c r="U88" s="1082"/>
      <c r="X88" s="1238"/>
      <c r="Y88" s="1238"/>
      <c r="Z88" s="1238"/>
      <c r="AA88" s="64"/>
      <c r="AB88" s="64"/>
      <c r="AC88" s="64"/>
      <c r="AD88" s="64"/>
      <c r="AE88" s="1238"/>
      <c r="AF88" s="1238"/>
      <c r="AG88" s="1238"/>
      <c r="AX88" s="1238"/>
      <c r="AY88" s="1238"/>
      <c r="AZ88" s="1238"/>
      <c r="BA88" s="1238"/>
      <c r="BB88" s="1238"/>
      <c r="BC88" s="1238"/>
      <c r="BD88" s="1238"/>
      <c r="BE88" s="1238"/>
      <c r="BF88" s="1238"/>
      <c r="BG88" s="1238"/>
      <c r="BH88" s="1238"/>
      <c r="BI88" s="1238"/>
      <c r="BJ88" s="1238"/>
      <c r="BK88" s="1238"/>
    </row>
    <row r="89" spans="1:63" s="349" customFormat="1">
      <c r="A89" s="491" t="s">
        <v>830</v>
      </c>
      <c r="B89" s="749">
        <f>B$64*($B$46*GREET1_Import_Export!$K81+GREET1_Import_Export!$F$179*GREET1_Import_Export!$B195+GREET1_Import_Export!$F195)+B$65*(GREET1_Import_Export!$O81+GREET1_Import_Export!$G$179*GREET1_Import_Export!$B195+GREET1_Import_Export!$G195)+B$66*(GREET1_Import_Export!$T81+GREET1_Import_Export!$C$179*GREET1_Import_Export!$B195+GREET1_Import_Export!$C195)+B$67*($B$47*GREET1_Import_Export!$B81+GREET1_Import_Export!$B231)+B$68*($B$48*GREET1_Import_Export!$AA81+GREET1_Import_Export!$B299)+B$69*(GREET1_Import_Export!$X81+GREET1_Import_Export!$B$10*(GREET1_Import_Export!$F$215*GREET1_Import_Export!$E231+GREET1_Import_Export!$F231)+GREET1_Import_Export!$C$10*(GREET1_Import_Export!$E$179*GREET1_Import_Export!$B195+GREET1_Import_Export!$E195))+B$70*(GREET1_Import_Export!$B324+GREET1_Import_Export!$C324)+B$71*(GREET1_Import_Export!$B195)+B$72*(GREET1_Import_Export!$B231)</f>
        <v>157.48985947643433</v>
      </c>
      <c r="C89" s="817">
        <v>3.0000000000000001E-3</v>
      </c>
      <c r="D89" s="749">
        <f>D$64*($B$46*GREET1_Import_Export!$K81+GREET1_Import_Export!$F$179*GREET1_Import_Export!$B195+GREET1_Import_Export!$F195)+D$65*(GREET1_Import_Export!$O81+GREET1_Import_Export!$G$179*GREET1_Import_Export!$B195+GREET1_Import_Export!$G195)+D$66*(GREET1_Import_Export!$T81+GREET1_Import_Export!$C$179*GREET1_Import_Export!$B195+GREET1_Import_Export!$C195)+D$67*($B$47*GREET1_Import_Export!$B81+GREET1_Import_Export!$B231)+D$68*($B$48*GREET1_Import_Export!$AA81+GREET1_Import_Export!$B299)+D$69*(GREET1_Import_Export!$X81+GREET1_Import_Export!$B$10*(GREET1_Import_Export!$F$215*GREET1_Import_Export!$E231+GREET1_Import_Export!$F231)+GREET1_Import_Export!$C$10*(GREET1_Import_Export!$E$179*GREET1_Import_Export!$B195+GREET1_Import_Export!$E195))+D$70*(GREET1_Import_Export!$B324+GREET1_Import_Export!$C324)+D$71*(GREET1_Import_Export!$B195)+D$72*(GREET1_Import_Export!$B231)</f>
        <v>1.2558296329670242</v>
      </c>
      <c r="E89" s="817"/>
      <c r="F89" s="749">
        <f>F$64*($B$46*GREET1_Import_Export!$K81+GREET1_Import_Export!$F$179*GREET1_Import_Export!$B195+GREET1_Import_Export!$F195)+F$65*(GREET1_Import_Export!$O81+GREET1_Import_Export!$G$179*GREET1_Import_Export!$B195+GREET1_Import_Export!$G195)+F$66*(GREET1_Import_Export!$T81+GREET1_Import_Export!$C$179*GREET1_Import_Export!$B195+GREET1_Import_Export!$C195)+F$67*($B$47*GREET1_Import_Export!$B81+GREET1_Import_Export!$B231)+F$68*($B$48*GREET1_Import_Export!$AA81+GREET1_Import_Export!$B299)+F$69*(GREET1_Import_Export!$X81+GREET1_Import_Export!$B$10*(GREET1_Import_Export!$F$215*GREET1_Import_Export!$E231+GREET1_Import_Export!$F231)+GREET1_Import_Export!$C$10*(GREET1_Import_Export!$E$179*GREET1_Import_Export!$B195+GREET1_Import_Export!$E195))+F$70*(GREET1_Import_Export!$B324+GREET1_Import_Export!$C324)+F$71*(GREET1_Import_Export!$B195)+F$72*(GREET1_Import_Export!$B231)</f>
        <v>7.3161248769932161</v>
      </c>
      <c r="G89" s="817"/>
      <c r="H89" s="749">
        <f>H$64*($B$46*GREET1_Import_Export!$K81+GREET1_Import_Export!$F$179*GREET1_Import_Export!$B195+GREET1_Import_Export!$F195)+H$65*(GREET1_Import_Export!$O81+GREET1_Import_Export!$G$179*GREET1_Import_Export!$B195+GREET1_Import_Export!$G195)+H$66*(GREET1_Import_Export!$T81+GREET1_Import_Export!$C$179*GREET1_Import_Export!$B195+GREET1_Import_Export!$C195)+H$67*($B$47*GREET1_Import_Export!$B81+GREET1_Import_Export!$B231)+H$68*($B$48*GREET1_Import_Export!$AA81+GREET1_Import_Export!$B299)+H$69*(GREET1_Import_Export!$X81+GREET1_Import_Export!$B$10*(GREET1_Import_Export!$F$215*GREET1_Import_Export!$E231+GREET1_Import_Export!$F231)+GREET1_Import_Export!$C$10*(GREET1_Import_Export!$E$179*GREET1_Import_Export!$B195+GREET1_Import_Export!$E195))+H$70*(GREET1_Import_Export!$B324+GREET1_Import_Export!$C324)+H$71*(GREET1_Import_Export!$B195)+H$72*(GREET1_Import_Export!$B231)</f>
        <v>8.9883819917345242</v>
      </c>
      <c r="I89" s="817"/>
      <c r="J89" s="749">
        <f>J$64*($B$46*GREET1_Import_Export!$K81+GREET1_Import_Export!$F$179*GREET1_Import_Export!$B195+GREET1_Import_Export!$F195)+J$65*(GREET1_Import_Export!$O81+GREET1_Import_Export!$G$179*GREET1_Import_Export!$B195+GREET1_Import_Export!$G195)+J$66*(GREET1_Import_Export!$T81+GREET1_Import_Export!$C$179*GREET1_Import_Export!$B195+GREET1_Import_Export!$C195)+J$67*($B$47*GREET1_Import_Export!$B81+GREET1_Import_Export!$B231)+J$68*($B$48*GREET1_Import_Export!$AA81+GREET1_Import_Export!$B299)+J$69*(GREET1_Import_Export!$X81+GREET1_Import_Export!$B$10*(GREET1_Import_Export!$F$215*GREET1_Import_Export!$E231+GREET1_Import_Export!$F231)+GREET1_Import_Export!$C$10*(GREET1_Import_Export!$E$179*GREET1_Import_Export!$B195+GREET1_Import_Export!$E195))+J$70*(GREET1_Import_Export!$B324+GREET1_Import_Export!$C324)+J$71*(GREET1_Import_Export!$B195)+J$72*(GREET1_Import_Export!$B231)</f>
        <v>26.75368322958948</v>
      </c>
      <c r="K89" s="817"/>
      <c r="L89" s="749">
        <f>L$64*($B$46*GREET1_Import_Export!$K81+GREET1_Import_Export!$F$179*GREET1_Import_Export!$B195+GREET1_Import_Export!$F195)+L$65*(GREET1_Import_Export!$O81+GREET1_Import_Export!$G$179*GREET1_Import_Export!$B195+GREET1_Import_Export!$G195)+L$66*(GREET1_Import_Export!$T81+GREET1_Import_Export!$C$179*GREET1_Import_Export!$B195+GREET1_Import_Export!$C195)+L$67*($B$47*GREET1_Import_Export!$B81+GREET1_Import_Export!$B231)+L$68*($B$48*GREET1_Import_Export!$AA81+GREET1_Import_Export!$B299)+L$69*(GREET1_Import_Export!$X81+GREET1_Import_Export!$B$10*(GREET1_Import_Export!$F$215*GREET1_Import_Export!$E231+GREET1_Import_Export!$F231)+GREET1_Import_Export!$C$10*(GREET1_Import_Export!$E$179*GREET1_Import_Export!$B195+GREET1_Import_Export!$E195))+L$70*(GREET1_Import_Export!$B324+GREET1_Import_Export!$C324)+L$71*(GREET1_Import_Export!$B195)+L$72*(GREET1_Import_Export!$B231)</f>
        <v>16.440960725203059</v>
      </c>
      <c r="M89" s="817"/>
      <c r="N89" s="753">
        <f>N$64*($B$46*GREET1_Import_Export!$K81+GREET1_Import_Export!$F$179*GREET1_Import_Export!$B195+GREET1_Import_Export!$F195)+N$65*(GREET1_Import_Export!$O81+GREET1_Import_Export!$G$179*GREET1_Import_Export!$B195+GREET1_Import_Export!$G195)+N$66*(GREET1_Import_Export!$T81+GREET1_Import_Export!$C$179*GREET1_Import_Export!$B195+GREET1_Import_Export!$C195)+N$67*($B$47*GREET1_Import_Export!$B81+GREET1_Import_Export!$B231)+N$68*($B$48*GREET1_Import_Export!$AA81+GREET1_Import_Export!$B299)+N$69*(GREET1_Import_Export!$X81+GREET1_Import_Export!$B$10*(GREET1_Import_Export!$F$215*GREET1_Import_Export!$E231+GREET1_Import_Export!$F231)+GREET1_Import_Export!$C$10*(GREET1_Import_Export!$E$179*GREET1_Import_Export!$B195+GREET1_Import_Export!$E195))+N$70*(GREET1_Import_Export!$B324+GREET1_Import_Export!$C324)+N$71*(GREET1_Import_Export!$B195)+N$72*(GREET1_Import_Export!$B231)</f>
        <v>3.7768907613833367</v>
      </c>
      <c r="O89" s="1082"/>
      <c r="P89" s="753">
        <f>P$64*($B$46*GREET1_Import_Export!$K81+GREET1_Import_Export!$F$179*GREET1_Import_Export!$B195+GREET1_Import_Export!$F195)+P$65*(GREET1_Import_Export!$O81+GREET1_Import_Export!$G$179*GREET1_Import_Export!$B195+GREET1_Import_Export!$G195)+P$66*(GREET1_Import_Export!$T81+GREET1_Import_Export!$C$179*GREET1_Import_Export!$B195+GREET1_Import_Export!$C195)+P$67*($B$47*GREET1_Import_Export!$B81+GREET1_Import_Export!$B231)+P$68*($B$48*GREET1_Import_Export!$AA81+GREET1_Import_Export!$B299)+P$69*(GREET1_Import_Export!$X81+GREET1_Import_Export!$B$10*(GREET1_Import_Export!$F$215*GREET1_Import_Export!$E231+GREET1_Import_Export!$F231)+GREET1_Import_Export!$C$10*(GREET1_Import_Export!$E$179*GREET1_Import_Export!$B195+GREET1_Import_Export!$E195))+P$70*(GREET1_Import_Export!$B324+GREET1_Import_Export!$C324)+P$71*(GREET1_Import_Export!$B195)+P$72*(GREET1_Import_Export!$B231)</f>
        <v>196.46074132903357</v>
      </c>
      <c r="Q89" s="1082"/>
      <c r="R89" s="753">
        <f>R$64*($B$46*GREET1_Import_Export!$K81+GREET1_Import_Export!$F$179*GREET1_Import_Export!$B195+GREET1_Import_Export!$F195)+R$65*(GREET1_Import_Export!$O81+GREET1_Import_Export!$G$179*GREET1_Import_Export!$B195+GREET1_Import_Export!$G195)+R$66*(GREET1_Import_Export!$T81+GREET1_Import_Export!$C$179*GREET1_Import_Export!$B195+GREET1_Import_Export!$C195)+R$67*($B$47*GREET1_Import_Export!$B81+GREET1_Import_Export!$B231)+R$68*($B$48*GREET1_Import_Export!$AA81+GREET1_Import_Export!$B299)+R$69*(GREET1_Import_Export!$X81+GREET1_Import_Export!$B$10*(GREET1_Import_Export!$F$215*GREET1_Import_Export!$E231+GREET1_Import_Export!$F231)+GREET1_Import_Export!$C$10*(GREET1_Import_Export!$E$179*GREET1_Import_Export!$B195+GREET1_Import_Export!$E195))+R$70*(GREET1_Import_Export!$B324+GREET1_Import_Export!$C324)+R$71*(GREET1_Import_Export!$B195)+R$72*(GREET1_Import_Export!$B231)</f>
        <v>27.65057694374579</v>
      </c>
      <c r="S89" s="1082"/>
      <c r="T89" s="753">
        <f>T$64*($B$46*GREET1_Import_Export!$K81+GREET1_Import_Export!$F$179*GREET1_Import_Export!$B195+GREET1_Import_Export!$F195)+T$65*(GREET1_Import_Export!$O81+GREET1_Import_Export!$G$179*GREET1_Import_Export!$B195+GREET1_Import_Export!$G195)+T$66*(GREET1_Import_Export!$T81+GREET1_Import_Export!$C$179*GREET1_Import_Export!$B195+GREET1_Import_Export!$C195)+T$67*($B$47*GREET1_Import_Export!$B81+GREET1_Import_Export!$B231)+T$68*($B$48*GREET1_Import_Export!$AA81+GREET1_Import_Export!$B299)+T$69*(GREET1_Import_Export!$X81+GREET1_Import_Export!$B$10*(GREET1_Import_Export!$F$215*GREET1_Import_Export!$E231+GREET1_Import_Export!$F231)+GREET1_Import_Export!$C$10*(GREET1_Import_Export!$E$179*GREET1_Import_Export!$B195+GREET1_Import_Export!$E195))+T$70*(GREET1_Import_Export!$B324+GREET1_Import_Export!$C324)+T$71*(GREET1_Import_Export!$B195)+T$72*(GREET1_Import_Export!$B231)</f>
        <v>173.23856032806211</v>
      </c>
      <c r="U89" s="1082"/>
      <c r="X89" s="1238"/>
      <c r="Y89" s="1238"/>
      <c r="Z89" s="1238"/>
      <c r="AA89" s="64"/>
      <c r="AB89" s="64"/>
      <c r="AC89" s="64"/>
      <c r="AD89" s="64"/>
      <c r="AE89" s="1238"/>
      <c r="AF89" s="1238"/>
      <c r="AG89" s="1238"/>
      <c r="AX89" s="1238"/>
      <c r="AY89" s="1238"/>
      <c r="AZ89" s="1238"/>
      <c r="BA89" s="1238"/>
      <c r="BB89" s="1238"/>
      <c r="BC89" s="1238"/>
      <c r="BD89" s="1238"/>
      <c r="BE89" s="1238"/>
      <c r="BF89" s="1238"/>
      <c r="BG89" s="1238"/>
      <c r="BH89" s="1238"/>
      <c r="BI89" s="1238"/>
      <c r="BJ89" s="1238"/>
      <c r="BK89" s="1238"/>
    </row>
    <row r="90" spans="1:63" s="419" customFormat="1">
      <c r="A90" s="745" t="s">
        <v>831</v>
      </c>
      <c r="B90" s="1092">
        <f>B$64*($B$46*GREET1_Import_Export!$K82+GREET1_Import_Export!$F$179*GREET1_Import_Export!$B196+GREET1_Import_Export!$F196)+B$65*(GREET1_Import_Export!$O82+GREET1_Import_Export!$G$179*GREET1_Import_Export!$B196+GREET1_Import_Export!$G196)+B$66*(GREET1_Import_Export!$T82+GREET1_Import_Export!$C$179*GREET1_Import_Export!$B196+GREET1_Import_Export!$C196)+B$67*($B$47*GREET1_Import_Export!$B82+GREET1_Import_Export!$B232)+B$68*($B$48*GREET1_Import_Export!$AA82+GREET1_Import_Export!$B300)+B$69*(GREET1_Import_Export!$X82+GREET1_Import_Export!$B$10*(GREET1_Import_Export!$F$215*GREET1_Import_Export!$E232+GREET1_Import_Export!$F232)+GREET1_Import_Export!$C$10*(GREET1_Import_Export!$E$179*GREET1_Import_Export!$B196+GREET1_Import_Export!$E196))+B$70*(GREET1_Import_Export!$B325+GREET1_Import_Export!$C325)+B$71*(GREET1_Import_Export!$B196)+B$72*(GREET1_Import_Export!$B232)</f>
        <v>4661782.1682259552</v>
      </c>
      <c r="C90" s="2969">
        <v>293928.196</v>
      </c>
      <c r="D90" s="1092">
        <f>D$64*($B$46*GREET1_Import_Export!$K82+GREET1_Import_Export!$F$179*GREET1_Import_Export!$B196+GREET1_Import_Export!$F196)+D$65*(GREET1_Import_Export!$O82+GREET1_Import_Export!$G$179*GREET1_Import_Export!$B196+GREET1_Import_Export!$G196)+D$66*(GREET1_Import_Export!$T82+GREET1_Import_Export!$C$179*GREET1_Import_Export!$B196+GREET1_Import_Export!$C196)+D$67*($B$47*GREET1_Import_Export!$B82+GREET1_Import_Export!$B232)+D$68*($B$48*GREET1_Import_Export!$AA82+GREET1_Import_Export!$B300)+D$69*(GREET1_Import_Export!$X82+GREET1_Import_Export!$B$10*(GREET1_Import_Export!$F$215*GREET1_Import_Export!$E232+GREET1_Import_Export!$F232)+GREET1_Import_Export!$C$10*(GREET1_Import_Export!$E$179*GREET1_Import_Export!$B196+GREET1_Import_Export!$E196))+D$70*(GREET1_Import_Export!$B325+GREET1_Import_Export!$C325)+D$71*(GREET1_Import_Export!$B196)+D$72*(GREET1_Import_Export!$B232)</f>
        <v>63051.626560425459</v>
      </c>
      <c r="E90" s="1093"/>
      <c r="F90" s="1092">
        <f>F$64*($B$46*GREET1_Import_Export!$K82+GREET1_Import_Export!$F$179*GREET1_Import_Export!$B196+GREET1_Import_Export!$F196)+F$65*(GREET1_Import_Export!$O82+GREET1_Import_Export!$G$179*GREET1_Import_Export!$B196+GREET1_Import_Export!$G196)+F$66*(GREET1_Import_Export!$T82+GREET1_Import_Export!$C$179*GREET1_Import_Export!$B196+GREET1_Import_Export!$C196)+F$67*($B$47*GREET1_Import_Export!$B82+GREET1_Import_Export!$B232)+F$68*($B$48*GREET1_Import_Export!$AA82+GREET1_Import_Export!$B300)+F$69*(GREET1_Import_Export!$X82+GREET1_Import_Export!$B$10*(GREET1_Import_Export!$F$215*GREET1_Import_Export!$E232+GREET1_Import_Export!$F232)+GREET1_Import_Export!$C$10*(GREET1_Import_Export!$E$179*GREET1_Import_Export!$B196+GREET1_Import_Export!$E196))+F$70*(GREET1_Import_Export!$B325+GREET1_Import_Export!$C325)+F$71*(GREET1_Import_Export!$B196)+F$72*(GREET1_Import_Export!$B232)</f>
        <v>356302.82388360449</v>
      </c>
      <c r="G90" s="1093"/>
      <c r="H90" s="1092">
        <f>H$64*($B$46*GREET1_Import_Export!$K82+GREET1_Import_Export!$F$179*GREET1_Import_Export!$B196+GREET1_Import_Export!$F196)+H$65*(GREET1_Import_Export!$O82+GREET1_Import_Export!$G$179*GREET1_Import_Export!$B196+GREET1_Import_Export!$G196)+H$66*(GREET1_Import_Export!$T82+GREET1_Import_Export!$C$179*GREET1_Import_Export!$B196+GREET1_Import_Export!$C196)+H$67*($B$47*GREET1_Import_Export!$B82+GREET1_Import_Export!$B232)+H$68*($B$48*GREET1_Import_Export!$AA82+GREET1_Import_Export!$B300)+H$69*(GREET1_Import_Export!$X82+GREET1_Import_Export!$B$10*(GREET1_Import_Export!$F$215*GREET1_Import_Export!$E232+GREET1_Import_Export!$F232)+GREET1_Import_Export!$C$10*(GREET1_Import_Export!$E$179*GREET1_Import_Export!$B196+GREET1_Import_Export!$E196))+H$70*(GREET1_Import_Export!$B325+GREET1_Import_Export!$C325)+H$71*(GREET1_Import_Export!$B196)+H$72*(GREET1_Import_Export!$B232)</f>
        <v>437743.46934271412</v>
      </c>
      <c r="I90" s="1093"/>
      <c r="J90" s="1092">
        <f>J$64*($B$46*GREET1_Import_Export!$K82+GREET1_Import_Export!$F$179*GREET1_Import_Export!$B196+GREET1_Import_Export!$F196)+J$65*(GREET1_Import_Export!$O82+GREET1_Import_Export!$G$179*GREET1_Import_Export!$B196+GREET1_Import_Export!$G196)+J$66*(GREET1_Import_Export!$T82+GREET1_Import_Export!$C$179*GREET1_Import_Export!$B196+GREET1_Import_Export!$C196)+J$67*($B$47*GREET1_Import_Export!$B82+GREET1_Import_Export!$B232)+J$68*($B$48*GREET1_Import_Export!$AA82+GREET1_Import_Export!$B300)+J$69*(GREET1_Import_Export!$X82+GREET1_Import_Export!$B$10*(GREET1_Import_Export!$F$215*GREET1_Import_Export!$E232+GREET1_Import_Export!$F232)+GREET1_Import_Export!$C$10*(GREET1_Import_Export!$E$179*GREET1_Import_Export!$B196+GREET1_Import_Export!$E196))+J$70*(GREET1_Import_Export!$B325+GREET1_Import_Export!$C325)+J$71*(GREET1_Import_Export!$B196)+J$72*(GREET1_Import_Export!$B232)</f>
        <v>1302931.954314563</v>
      </c>
      <c r="K90" s="1093"/>
      <c r="L90" s="1092">
        <f>L$64*($B$46*GREET1_Import_Export!$K82+GREET1_Import_Export!$F$179*GREET1_Import_Export!$B196+GREET1_Import_Export!$F196)+L$65*(GREET1_Import_Export!$O82+GREET1_Import_Export!$G$179*GREET1_Import_Export!$B196+GREET1_Import_Export!$G196)+L$66*(GREET1_Import_Export!$T82+GREET1_Import_Export!$C$179*GREET1_Import_Export!$B196+GREET1_Import_Export!$C196)+L$67*($B$47*GREET1_Import_Export!$B82+GREET1_Import_Export!$B232)+L$68*($B$48*GREET1_Import_Export!$AA82+GREET1_Import_Export!$B300)+L$69*(GREET1_Import_Export!$X82+GREET1_Import_Export!$B$10*(GREET1_Import_Export!$F$215*GREET1_Import_Export!$E232+GREET1_Import_Export!$F232)+GREET1_Import_Export!$C$10*(GREET1_Import_Export!$E$179*GREET1_Import_Export!$B196+GREET1_Import_Export!$E196))+L$70*(GREET1_Import_Export!$B325+GREET1_Import_Export!$C325)+L$71*(GREET1_Import_Export!$B196)+L$72*(GREET1_Import_Export!$B232)</f>
        <v>689197.30592950166</v>
      </c>
      <c r="M90" s="1093"/>
      <c r="N90" s="2818">
        <f>N$64*($B$46*GREET1_Import_Export!$K82+GREET1_Import_Export!$F$179*GREET1_Import_Export!$B196+GREET1_Import_Export!$F196)+N$65*(GREET1_Import_Export!$O82+GREET1_Import_Export!$G$179*GREET1_Import_Export!$B196+GREET1_Import_Export!$G196)+N$66*(GREET1_Import_Export!$T82+GREET1_Import_Export!$C$179*GREET1_Import_Export!$B196+GREET1_Import_Export!$C196)+N$67*($B$47*GREET1_Import_Export!$B82+GREET1_Import_Export!$B232)+N$68*($B$48*GREET1_Import_Export!$AA82+GREET1_Import_Export!$B300)+N$69*(GREET1_Import_Export!$X82+GREET1_Import_Export!$B$10*(GREET1_Import_Export!$F$215*GREET1_Import_Export!$E232+GREET1_Import_Export!$F232)+GREET1_Import_Export!$C$10*(GREET1_Import_Export!$E$179*GREET1_Import_Export!$B196+GREET1_Import_Export!$E196))+N$70*(GREET1_Import_Export!$B325+GREET1_Import_Export!$C325)+N$71*(GREET1_Import_Export!$B196)+N$72*(GREET1_Import_Export!$B232)</f>
        <v>154461.66164894064</v>
      </c>
      <c r="O90" s="1093"/>
      <c r="P90" s="2818">
        <f>P$64*($B$46*GREET1_Import_Export!$K82+GREET1_Import_Export!$F$179*GREET1_Import_Export!$B196+GREET1_Import_Export!$F196)+P$65*(GREET1_Import_Export!$O82+GREET1_Import_Export!$G$179*GREET1_Import_Export!$B196+GREET1_Import_Export!$G196)+P$66*(GREET1_Import_Export!$T82+GREET1_Import_Export!$C$179*GREET1_Import_Export!$B196+GREET1_Import_Export!$C196)+P$67*($B$47*GREET1_Import_Export!$B82+GREET1_Import_Export!$B232)+P$68*($B$48*GREET1_Import_Export!$AA82+GREET1_Import_Export!$B300)+P$69*(GREET1_Import_Export!$X82+GREET1_Import_Export!$B$10*(GREET1_Import_Export!$F$215*GREET1_Import_Export!$E232+GREET1_Import_Export!$F232)+GREET1_Import_Export!$C$10*(GREET1_Import_Export!$E$179*GREET1_Import_Export!$B196+GREET1_Import_Export!$E196))+P$70*(GREET1_Import_Export!$B325+GREET1_Import_Export!$C325)+P$71*(GREET1_Import_Export!$B196)+P$72*(GREET1_Import_Export!$B232)</f>
        <v>7743843.2851905031</v>
      </c>
      <c r="Q90" s="1093"/>
      <c r="R90" s="2818">
        <f>R$64*($B$46*GREET1_Import_Export!$K82+GREET1_Import_Export!$F$179*GREET1_Import_Export!$B196+GREET1_Import_Export!$F196)+R$65*(GREET1_Import_Export!$O82+GREET1_Import_Export!$G$179*GREET1_Import_Export!$B196+GREET1_Import_Export!$G196)+R$66*(GREET1_Import_Export!$T82+GREET1_Import_Export!$C$179*GREET1_Import_Export!$B196+GREET1_Import_Export!$C196)+R$67*($B$47*GREET1_Import_Export!$B82+GREET1_Import_Export!$B232)+R$68*($B$48*GREET1_Import_Export!$AA82+GREET1_Import_Export!$B300)+R$69*(GREET1_Import_Export!$X82+GREET1_Import_Export!$B$10*(GREET1_Import_Export!$F$215*GREET1_Import_Export!$E232+GREET1_Import_Export!$F232)+GREET1_Import_Export!$C$10*(GREET1_Import_Export!$E$179*GREET1_Import_Export!$B196+GREET1_Import_Export!$E196))+R$70*(GREET1_Import_Export!$B325+GREET1_Import_Export!$C325)+R$71*(GREET1_Import_Export!$B196)+R$72*(GREET1_Import_Export!$B232)</f>
        <v>1346611.6028238819</v>
      </c>
      <c r="S90" s="1093"/>
      <c r="T90" s="2818">
        <f>T$64*($B$46*GREET1_Import_Export!$K82+GREET1_Import_Export!$F$179*GREET1_Import_Export!$B196+GREET1_Import_Export!$F196)+T$65*(GREET1_Import_Export!$O82+GREET1_Import_Export!$G$179*GREET1_Import_Export!$B196+GREET1_Import_Export!$G196)+T$66*(GREET1_Import_Export!$T82+GREET1_Import_Export!$C$179*GREET1_Import_Export!$B196+GREET1_Import_Export!$C196)+T$67*($B$47*GREET1_Import_Export!$B82+GREET1_Import_Export!$B232)+T$68*($B$48*GREET1_Import_Export!$AA82+GREET1_Import_Export!$B300)+T$69*(GREET1_Import_Export!$X82+GREET1_Import_Export!$B$10*(GREET1_Import_Export!$F$215*GREET1_Import_Export!$E232+GREET1_Import_Export!$F232)+GREET1_Import_Export!$C$10*(GREET1_Import_Export!$E$179*GREET1_Import_Export!$B196+GREET1_Import_Export!$E196))+T$70*(GREET1_Import_Export!$B325+GREET1_Import_Export!$C325)+T$71*(GREET1_Import_Export!$B196)+T$72*(GREET1_Import_Export!$B232)</f>
        <v>8196551.7587687084</v>
      </c>
      <c r="U90" s="1093"/>
      <c r="X90" s="1595"/>
      <c r="Y90" s="1595"/>
      <c r="Z90" s="1595"/>
      <c r="AA90" s="64"/>
      <c r="AB90" s="64"/>
      <c r="AC90" s="64"/>
      <c r="AD90" s="64"/>
      <c r="AE90" s="1595"/>
      <c r="AF90" s="1595"/>
      <c r="AG90" s="1595"/>
      <c r="AX90" s="1595"/>
      <c r="AY90" s="1595"/>
      <c r="AZ90" s="1595"/>
      <c r="BA90" s="1595"/>
      <c r="BB90" s="1595"/>
      <c r="BC90" s="1595"/>
      <c r="BD90" s="1595"/>
      <c r="BE90" s="1595"/>
      <c r="BF90" s="1595"/>
      <c r="BG90" s="1595"/>
      <c r="BH90" s="1595"/>
      <c r="BI90" s="1595"/>
      <c r="BJ90" s="1595"/>
      <c r="BK90" s="1595"/>
    </row>
    <row r="91" spans="1:63" s="349" customFormat="1">
      <c r="A91" s="795" t="s">
        <v>865</v>
      </c>
      <c r="B91" s="1094"/>
      <c r="C91" s="1095"/>
      <c r="D91" s="1094"/>
      <c r="E91" s="1095"/>
      <c r="F91" s="1094"/>
      <c r="G91" s="1095"/>
      <c r="H91" s="1094"/>
      <c r="I91" s="1095"/>
      <c r="J91" s="1094"/>
      <c r="K91" s="1095"/>
      <c r="L91" s="1094"/>
      <c r="M91" s="1095"/>
      <c r="N91" s="1094"/>
      <c r="O91" s="1095"/>
      <c r="P91" s="1094"/>
      <c r="Q91" s="1095"/>
      <c r="R91" s="1094"/>
      <c r="S91" s="1095"/>
      <c r="T91" s="1094"/>
      <c r="U91" s="1095"/>
      <c r="X91" s="1592"/>
      <c r="Y91" s="1592"/>
      <c r="Z91" s="1592"/>
      <c r="AA91" s="64"/>
      <c r="AB91" s="64"/>
      <c r="AC91" s="64"/>
      <c r="AD91" s="64"/>
      <c r="AE91" s="1592"/>
      <c r="AF91" s="1592"/>
      <c r="AG91" s="1592"/>
      <c r="AX91" s="1592"/>
      <c r="AY91" s="1592"/>
      <c r="AZ91" s="1592"/>
      <c r="BA91" s="1592"/>
      <c r="BB91" s="1592"/>
      <c r="BC91" s="1592"/>
      <c r="BD91" s="1592"/>
      <c r="BE91" s="1592"/>
      <c r="BF91" s="1592"/>
      <c r="BG91" s="1592"/>
      <c r="BH91" s="1592"/>
      <c r="BI91" s="1592"/>
      <c r="BJ91" s="1592"/>
      <c r="BK91" s="1592"/>
    </row>
    <row r="92" spans="1:63" s="349" customFormat="1">
      <c r="A92" s="494" t="s">
        <v>821</v>
      </c>
      <c r="B92" s="749">
        <f>B$64*(B$54*($B$46*GREET1_Import_Export!$K72)+GREET1_Import_Export!$F$200*GREET1_Import_Export!$B201+GREET1_Import_Export!$F201)+B$65*(B$54*(GREET1_Import_Export!$O72)+GREET1_Import_Export!$G$200*GREET1_Import_Export!$B201+GREET1_Import_Export!$G201)+B$66*(B$54*(GREET1_Import_Export!$T72)+GREET1_Import_Export!$C$200*GREET1_Import_Export!$B201+GREET1_Import_Export!$C201)+B$67*(B$54*($B$47*GREET1_Import_Export!$B72)+GREET1_Import_Export!$B237)+B$68*(B$54*($B$48*GREET1_Import_Export!$AA72)+GREET1_Import_Export!$C290)+B$69*(B$54*(GREET1_Import_Export!$X72)+GREET1_Import_Export!$B$10*(GREET1_Import_Export!$F$215*GREET1_Import_Export!$E237+GREET1_Import_Export!$F237)+GREET1_Import_Export!$C$10*(GREET1_Import_Export!$E$200*GREET1_Import_Export!$B201+GREET1_Import_Export!$E201))+B$70*(GREET1_Import_Export!$D315+GREET1_Import_Export!$E315)+B$71*(GREET1_Import_Export!$B201)+B$72*(GREET1_Import_Export!$B237)</f>
        <v>70.934743651836854</v>
      </c>
      <c r="C92" s="1096">
        <f t="shared" ref="C92:C99" si="10">C80*B$54</f>
        <v>0</v>
      </c>
      <c r="D92" s="749">
        <f>D$64*(D$54*($B$46*GREET1_Import_Export!$K72)+GREET1_Import_Export!$F$200*GREET1_Import_Export!$B201+GREET1_Import_Export!$F201)+D$65*(D$54*(GREET1_Import_Export!$O72)+GREET1_Import_Export!$G$200*GREET1_Import_Export!$B201+GREET1_Import_Export!$G201)+D$66*(D$54*(GREET1_Import_Export!$T72)+GREET1_Import_Export!$C$200*GREET1_Import_Export!$B201+GREET1_Import_Export!$C201)+D$67*(D$54*($B$47*GREET1_Import_Export!$B72)+GREET1_Import_Export!$B237)+D$68*(D$54*($B$48*GREET1_Import_Export!$AA72)+GREET1_Import_Export!$C290)+D$69*(D$54*(GREET1_Import_Export!$X72)+GREET1_Import_Export!$B$10*(GREET1_Import_Export!$F$215*GREET1_Import_Export!$E237+GREET1_Import_Export!$F237)+GREET1_Import_Export!$C$10*(GREET1_Import_Export!$E$200*GREET1_Import_Export!$B201+GREET1_Import_Export!$E201))+D$70*(GREET1_Import_Export!$D315+GREET1_Import_Export!$E315)+D$71*(GREET1_Import_Export!$B201)+D$72*(GREET1_Import_Export!$B237)</f>
        <v>1.1706247947479511</v>
      </c>
      <c r="E92" s="1096">
        <f t="shared" ref="E92:E99" si="11">E80*D$54</f>
        <v>0</v>
      </c>
      <c r="F92" s="749">
        <f>F$64*(F$54*($B$46*GREET1_Import_Export!$K72)+GREET1_Import_Export!$F$200*GREET1_Import_Export!$B201+GREET1_Import_Export!$F201)+F$65*(F$54*(GREET1_Import_Export!$O72)+GREET1_Import_Export!$G$200*GREET1_Import_Export!$B201+GREET1_Import_Export!$G201)+F$66*(F$54*(GREET1_Import_Export!$T72)+GREET1_Import_Export!$C$200*GREET1_Import_Export!$B201+GREET1_Import_Export!$C201)+F$67*(F$54*($B$47*GREET1_Import_Export!$B72)+GREET1_Import_Export!$B237)+F$68*(F$54*($B$48*GREET1_Import_Export!$AA72)+GREET1_Import_Export!$C290)+F$69*(F$54*(GREET1_Import_Export!$X72)+GREET1_Import_Export!$B$10*(GREET1_Import_Export!$F$215*GREET1_Import_Export!$E237+GREET1_Import_Export!$F237)+GREET1_Import_Export!$C$10*(GREET1_Import_Export!$E$200*GREET1_Import_Export!$B201+GREET1_Import_Export!$E201))+F$70*(GREET1_Import_Export!$D315+GREET1_Import_Export!$E315)+F$71*(GREET1_Import_Export!$B201)+F$72*(GREET1_Import_Export!$B237)</f>
        <v>2.6009645367911713</v>
      </c>
      <c r="G92" s="1096">
        <f t="shared" ref="G92:G99" si="12">G80*F$54</f>
        <v>0</v>
      </c>
      <c r="H92" s="749">
        <f>H$64*(H$54*($B$46*GREET1_Import_Export!$K72)+GREET1_Import_Export!$F$200*GREET1_Import_Export!$B201+GREET1_Import_Export!$F201)+H$65*(H$54*(GREET1_Import_Export!$O72)+GREET1_Import_Export!$G$200*GREET1_Import_Export!$B201+GREET1_Import_Export!$G201)+H$66*(H$54*(GREET1_Import_Export!$T72)+GREET1_Import_Export!$C$200*GREET1_Import_Export!$B201+GREET1_Import_Export!$C201)+H$67*(H$54*($B$47*GREET1_Import_Export!$B72)+GREET1_Import_Export!$B237)+H$68*(H$54*($B$48*GREET1_Import_Export!$AA72)+GREET1_Import_Export!$C290)+H$69*(H$54*(GREET1_Import_Export!$X72)+GREET1_Import_Export!$B$10*(GREET1_Import_Export!$F$215*GREET1_Import_Export!$E237+GREET1_Import_Export!$F237)+GREET1_Import_Export!$C$10*(GREET1_Import_Export!$E$200*GREET1_Import_Export!$B201+GREET1_Import_Export!$E201))+H$70*(GREET1_Import_Export!$D315+GREET1_Import_Export!$E315)+H$71*(GREET1_Import_Export!$B201)+H$72*(GREET1_Import_Export!$B237)</f>
        <v>3.1954707166291536</v>
      </c>
      <c r="I92" s="1096">
        <f t="shared" ref="I92:I99" si="13">I80*H$54</f>
        <v>0</v>
      </c>
      <c r="J92" s="749">
        <f>J$64*(J$54*($B$46*GREET1_Import_Export!$K72)+GREET1_Import_Export!$F$200*GREET1_Import_Export!$B201+GREET1_Import_Export!$F201)+J$65*(J$54*(GREET1_Import_Export!$O72)+GREET1_Import_Export!$G$200*GREET1_Import_Export!$B201+GREET1_Import_Export!$G201)+J$66*(J$54*(GREET1_Import_Export!$T72)+GREET1_Import_Export!$C$200*GREET1_Import_Export!$B201+GREET1_Import_Export!$C201)+J$67*(J$54*($B$47*GREET1_Import_Export!$B72)+GREET1_Import_Export!$B237)+J$68*(J$54*($B$48*GREET1_Import_Export!$AA72)+GREET1_Import_Export!$C290)+J$69*(J$54*(GREET1_Import_Export!$X72)+GREET1_Import_Export!$B$10*(GREET1_Import_Export!$F$215*GREET1_Import_Export!$E237+GREET1_Import_Export!$F237)+GREET1_Import_Export!$C$10*(GREET1_Import_Export!$E$200*GREET1_Import_Export!$B201+GREET1_Import_Export!$E201))+J$70*(GREET1_Import_Export!$D315+GREET1_Import_Export!$E315)+J$71*(GREET1_Import_Export!$B201)+J$72*(GREET1_Import_Export!$B237)</f>
        <v>9.5112347695881816</v>
      </c>
      <c r="K92" s="1096">
        <f t="shared" ref="K92:K99" si="14">K80*J$54</f>
        <v>0</v>
      </c>
      <c r="L92" s="749">
        <f>L$64*(L$54*($B$46*GREET1_Import_Export!$K72)+GREET1_Import_Export!$F$200*GREET1_Import_Export!$B201+GREET1_Import_Export!$F201)+L$65*(L$54*(GREET1_Import_Export!$O72)+GREET1_Import_Export!$G$200*GREET1_Import_Export!$B201+GREET1_Import_Export!$G201)+L$66*(L$54*(GREET1_Import_Export!$T72)+GREET1_Import_Export!$C$200*GREET1_Import_Export!$B201+GREET1_Import_Export!$C201)+L$67*(L$54*($B$47*GREET1_Import_Export!$B72)+GREET1_Import_Export!$B237)+L$68*(L$54*($B$48*GREET1_Import_Export!$AA72)+GREET1_Import_Export!$C290)+L$69*(L$54*(GREET1_Import_Export!$X72)+GREET1_Import_Export!$B$10*(GREET1_Import_Export!$F$215*GREET1_Import_Export!$E237+GREET1_Import_Export!$F237)+GREET1_Import_Export!$C$10*(GREET1_Import_Export!$E$200*GREET1_Import_Export!$B201+GREET1_Import_Export!$E201))+L$70*(GREET1_Import_Export!$D315+GREET1_Import_Export!$E315)+L$71*(GREET1_Import_Export!$B201)+L$72*(GREET1_Import_Export!$B237)</f>
        <v>9.9239218199058961</v>
      </c>
      <c r="M92" s="1096">
        <f t="shared" ref="M92:M99" si="15">M80*L$54</f>
        <v>0</v>
      </c>
      <c r="N92" s="753">
        <f>N$64*(N$54*($B$46*GREET1_Import_Export!$K72)+GREET1_Import_Export!$F$200*GREET1_Import_Export!$B201+GREET1_Import_Export!$F201)+N$65*(N$54*(GREET1_Import_Export!$O72)+GREET1_Import_Export!$G$200*GREET1_Import_Export!$B201+GREET1_Import_Export!$G201)+N$66*(N$54*(GREET1_Import_Export!$T72)+GREET1_Import_Export!$C$200*GREET1_Import_Export!$B201+GREET1_Import_Export!$C201)+N$67*(N$54*($B$47*GREET1_Import_Export!$B72)+GREET1_Import_Export!$B237)+N$68*(N$54*($B$48*GREET1_Import_Export!$AA72)+GREET1_Import_Export!$C290)+N$69*(N$54*(GREET1_Import_Export!$X72)+GREET1_Import_Export!$B$10*(GREET1_Import_Export!$F$215*GREET1_Import_Export!$E237+GREET1_Import_Export!$F237)+GREET1_Import_Export!$C$10*(GREET1_Import_Export!$E$200*GREET1_Import_Export!$B201+GREET1_Import_Export!$E201))+N$70*(GREET1_Import_Export!$D315+GREET1_Import_Export!$E315)+N$71*(GREET1_Import_Export!$B201)+N$72*(GREET1_Import_Export!$B237)</f>
        <v>1.1004536220784302</v>
      </c>
      <c r="O92" s="1096">
        <f t="shared" ref="O92:O99" si="16">O80*N$54</f>
        <v>0</v>
      </c>
      <c r="P92" s="753">
        <f>P$64*(P$54*($B$46*GREET1_Import_Export!$K72)+GREET1_Import_Export!$F$200*GREET1_Import_Export!$B201+GREET1_Import_Export!$F201)+P$65*(P$54*(GREET1_Import_Export!$O72)+GREET1_Import_Export!$G$200*GREET1_Import_Export!$B201+GREET1_Import_Export!$G201)+P$66*(P$54*(GREET1_Import_Export!$T72)+GREET1_Import_Export!$C$200*GREET1_Import_Export!$B201+GREET1_Import_Export!$C201)+P$67*(P$54*($B$47*GREET1_Import_Export!$B72)+GREET1_Import_Export!$B237)+P$68*(P$54*($B$48*GREET1_Import_Export!$AA72)+GREET1_Import_Export!$C290)+P$69*(P$54*(GREET1_Import_Export!$X72)+GREET1_Import_Export!$B$10*(GREET1_Import_Export!$F$215*GREET1_Import_Export!$E237+GREET1_Import_Export!$F237)+GREET1_Import_Export!$C$10*(GREET1_Import_Export!$E$200*GREET1_Import_Export!$B201+GREET1_Import_Export!$E201))+P$70*(GREET1_Import_Export!$D315+GREET1_Import_Export!$E315)+P$71*(GREET1_Import_Export!$B201)+P$72*(GREET1_Import_Export!$B237)</f>
        <v>100.47896843128636</v>
      </c>
      <c r="Q92" s="1096">
        <f t="shared" ref="Q92:Q99" si="17">Q80*P$54</f>
        <v>0</v>
      </c>
      <c r="R92" s="753">
        <f>R$64*(R$54*($B$46*GREET1_Import_Export!$K72)+GREET1_Import_Export!$F$200*GREET1_Import_Export!$B201+GREET1_Import_Export!$F201)+R$65*(R$54*(GREET1_Import_Export!$O72)+GREET1_Import_Export!$G$200*GREET1_Import_Export!$B201+GREET1_Import_Export!$G201)+R$66*(R$54*(GREET1_Import_Export!$T72)+GREET1_Import_Export!$C$200*GREET1_Import_Export!$B201+GREET1_Import_Export!$C201)+R$67*(R$54*($B$47*GREET1_Import_Export!$B72)+GREET1_Import_Export!$B237)+R$68*(R$54*($B$48*GREET1_Import_Export!$AA72)+GREET1_Import_Export!$C290)+R$69*(R$54*(GREET1_Import_Export!$X72)+GREET1_Import_Export!$B$10*(GREET1_Import_Export!$F$215*GREET1_Import_Export!$E237+GREET1_Import_Export!$F237)+GREET1_Import_Export!$C$10*(GREET1_Import_Export!$E$200*GREET1_Import_Export!$B201+GREET1_Import_Export!$E201))+R$70*(GREET1_Import_Export!$D315+GREET1_Import_Export!$E315)+R$71*(GREET1_Import_Export!$B201)+R$72*(GREET1_Import_Export!$B237)</f>
        <v>9.8300905549954702</v>
      </c>
      <c r="S92" s="1096">
        <f t="shared" ref="S92:S99" si="18">S80*R$54</f>
        <v>0</v>
      </c>
      <c r="T92" s="753">
        <f>T$64*(T$54*($B$46*GREET1_Import_Export!$K72)+GREET1_Import_Export!$F$200*GREET1_Import_Export!$B201+GREET1_Import_Export!$F201)+T$65*(T$54*(GREET1_Import_Export!$O72)+GREET1_Import_Export!$G$200*GREET1_Import_Export!$B201+GREET1_Import_Export!$G201)+T$66*(T$54*(GREET1_Import_Export!$T72)+GREET1_Import_Export!$C$200*GREET1_Import_Export!$B201+GREET1_Import_Export!$C201)+T$67*(T$54*($B$47*GREET1_Import_Export!$B72)+GREET1_Import_Export!$B237)+T$68*(T$54*($B$48*GREET1_Import_Export!$AA72)+GREET1_Import_Export!$C290)+T$69*(T$54*(GREET1_Import_Export!$X72)+GREET1_Import_Export!$B$10*(GREET1_Import_Export!$F$215*GREET1_Import_Export!$E237+GREET1_Import_Export!$F237)+GREET1_Import_Export!$C$10*(GREET1_Import_Export!$E$200*GREET1_Import_Export!$B201+GREET1_Import_Export!$E201))+T$70*(GREET1_Import_Export!$D315+GREET1_Import_Export!$E315)+T$71*(GREET1_Import_Export!$B201)+T$72*(GREET1_Import_Export!$B237)</f>
        <v>60.551683197830073</v>
      </c>
      <c r="U92" s="1096">
        <f t="shared" ref="U92:U99" si="19">U80*T$54</f>
        <v>0</v>
      </c>
      <c r="X92" s="1238"/>
      <c r="Y92" s="1592"/>
      <c r="Z92" s="1238"/>
      <c r="AA92" s="64"/>
      <c r="AB92" s="64"/>
      <c r="AC92" s="64"/>
      <c r="AD92" s="64"/>
      <c r="AE92" s="1592"/>
      <c r="AF92" s="1238"/>
      <c r="AG92" s="1592"/>
      <c r="AX92" s="1238"/>
      <c r="AY92" s="1592"/>
      <c r="AZ92" s="1238"/>
      <c r="BA92" s="1592"/>
      <c r="BB92" s="1238"/>
      <c r="BC92" s="1592"/>
      <c r="BD92" s="1238"/>
      <c r="BE92" s="1592"/>
      <c r="BF92" s="1238"/>
      <c r="BG92" s="1592"/>
      <c r="BH92" s="1238"/>
      <c r="BI92" s="1592"/>
      <c r="BJ92" s="1238"/>
      <c r="BK92" s="1592"/>
    </row>
    <row r="93" spans="1:63" s="349" customFormat="1">
      <c r="A93" s="494" t="s">
        <v>822</v>
      </c>
      <c r="B93" s="749">
        <f>B$64*(B$54*($B$46*GREET1_Import_Export!$K73)+GREET1_Import_Export!$F$200*GREET1_Import_Export!$B202+GREET1_Import_Export!$F202)+B$65*(B$54*(GREET1_Import_Export!$O73)+GREET1_Import_Export!$G$200*GREET1_Import_Export!$B202+GREET1_Import_Export!$G202)+B$66*(B$54*(GREET1_Import_Export!$T73)+GREET1_Import_Export!$C$200*GREET1_Import_Export!$B202+GREET1_Import_Export!$C202)+B$67*(B$54*($B$47*GREET1_Import_Export!$B73)+GREET1_Import_Export!$B238)+B$68*(B$54*($B$48*GREET1_Import_Export!$AA73)+GREET1_Import_Export!$C291)+B$69*(B$54*(GREET1_Import_Export!$X73)+GREET1_Import_Export!$B$10*(GREET1_Import_Export!$F$215*GREET1_Import_Export!$E238+GREET1_Import_Export!$F238)+GREET1_Import_Export!$C$10*(GREET1_Import_Export!$E$200*GREET1_Import_Export!$B202+GREET1_Import_Export!$E202))+B$70*(GREET1_Import_Export!$D316+GREET1_Import_Export!$E316)+B$71*(GREET1_Import_Export!$B202)+B$72*(GREET1_Import_Export!$B238)</f>
        <v>241.14314075757679</v>
      </c>
      <c r="C93" s="1096">
        <f t="shared" si="10"/>
        <v>0</v>
      </c>
      <c r="D93" s="749">
        <f>D$64*(D$54*($B$46*GREET1_Import_Export!$K73)+GREET1_Import_Export!$F$200*GREET1_Import_Export!$B202+GREET1_Import_Export!$F202)+D$65*(D$54*(GREET1_Import_Export!$O73)+GREET1_Import_Export!$G$200*GREET1_Import_Export!$B202+GREET1_Import_Export!$G202)+D$66*(D$54*(GREET1_Import_Export!$T73)+GREET1_Import_Export!$C$200*GREET1_Import_Export!$B202+GREET1_Import_Export!$C202)+D$67*(D$54*($B$47*GREET1_Import_Export!$B73)+GREET1_Import_Export!$B238)+D$68*(D$54*($B$48*GREET1_Import_Export!$AA73)+GREET1_Import_Export!$C291)+D$69*(D$54*(GREET1_Import_Export!$X73)+GREET1_Import_Export!$B$10*(GREET1_Import_Export!$F$215*GREET1_Import_Export!$E238+GREET1_Import_Export!$F238)+GREET1_Import_Export!$C$10*(GREET1_Import_Export!$E$200*GREET1_Import_Export!$B202+GREET1_Import_Export!$E202))+D$70*(GREET1_Import_Export!$D316+GREET1_Import_Export!$E316)+D$71*(GREET1_Import_Export!$B202)+D$72*(GREET1_Import_Export!$B238)</f>
        <v>1.3158989396023952</v>
      </c>
      <c r="E93" s="1096">
        <f t="shared" si="11"/>
        <v>0</v>
      </c>
      <c r="F93" s="749">
        <f>F$64*(F$54*($B$46*GREET1_Import_Export!$K73)+GREET1_Import_Export!$F$200*GREET1_Import_Export!$B202+GREET1_Import_Export!$F202)+F$65*(F$54*(GREET1_Import_Export!$O73)+GREET1_Import_Export!$G$200*GREET1_Import_Export!$B202+GREET1_Import_Export!$G202)+F$66*(F$54*(GREET1_Import_Export!$T73)+GREET1_Import_Export!$C$200*GREET1_Import_Export!$B202+GREET1_Import_Export!$C202)+F$67*(F$54*($B$47*GREET1_Import_Export!$B73)+GREET1_Import_Export!$B238)+F$68*(F$54*($B$48*GREET1_Import_Export!$AA73)+GREET1_Import_Export!$C291)+F$69*(F$54*(GREET1_Import_Export!$X73)+GREET1_Import_Export!$B$10*(GREET1_Import_Export!$F$215*GREET1_Import_Export!$E238+GREET1_Import_Export!$F238)+GREET1_Import_Export!$C$10*(GREET1_Import_Export!$E$200*GREET1_Import_Export!$B202+GREET1_Import_Export!$E202))+F$70*(GREET1_Import_Export!$D316+GREET1_Import_Export!$E316)+F$71*(GREET1_Import_Export!$B202)+F$72*(GREET1_Import_Export!$B238)</f>
        <v>19.201810288075464</v>
      </c>
      <c r="G93" s="1096">
        <f t="shared" si="12"/>
        <v>0</v>
      </c>
      <c r="H93" s="749">
        <f>H$64*(H$54*($B$46*GREET1_Import_Export!$K73)+GREET1_Import_Export!$F$200*GREET1_Import_Export!$B202+GREET1_Import_Export!$F202)+H$65*(H$54*(GREET1_Import_Export!$O73)+GREET1_Import_Export!$G$200*GREET1_Import_Export!$B202+GREET1_Import_Export!$G202)+H$66*(H$54*(GREET1_Import_Export!$T73)+GREET1_Import_Export!$C$200*GREET1_Import_Export!$B202+GREET1_Import_Export!$C202)+H$67*(H$54*($B$47*GREET1_Import_Export!$B73)+GREET1_Import_Export!$B238)+H$68*(H$54*($B$48*GREET1_Import_Export!$AA73)+GREET1_Import_Export!$C291)+H$69*(H$54*(GREET1_Import_Export!$X73)+GREET1_Import_Export!$B$10*(GREET1_Import_Export!$F$215*GREET1_Import_Export!$E238+GREET1_Import_Export!$F238)+GREET1_Import_Export!$C$10*(GREET1_Import_Export!$E$200*GREET1_Import_Export!$B202+GREET1_Import_Export!$E202))+H$70*(GREET1_Import_Export!$D316+GREET1_Import_Export!$E316)+H$71*(GREET1_Import_Export!$B202)+H$72*(GREET1_Import_Export!$B238)</f>
        <v>23.590795496778426</v>
      </c>
      <c r="I93" s="1096">
        <f t="shared" si="13"/>
        <v>0</v>
      </c>
      <c r="J93" s="749">
        <f>J$64*(J$54*($B$46*GREET1_Import_Export!$K73)+GREET1_Import_Export!$F$200*GREET1_Import_Export!$B202+GREET1_Import_Export!$F202)+J$65*(J$54*(GREET1_Import_Export!$O73)+GREET1_Import_Export!$G$200*GREET1_Import_Export!$B202+GREET1_Import_Export!$G202)+J$66*(J$54*(GREET1_Import_Export!$T73)+GREET1_Import_Export!$C$200*GREET1_Import_Export!$B202+GREET1_Import_Export!$C202)+J$67*(J$54*($B$47*GREET1_Import_Export!$B73)+GREET1_Import_Export!$B238)+J$68*(J$54*($B$48*GREET1_Import_Export!$AA73)+GREET1_Import_Export!$C291)+J$69*(J$54*(GREET1_Import_Export!$X73)+GREET1_Import_Export!$B$10*(GREET1_Import_Export!$F$215*GREET1_Import_Export!$E238+GREET1_Import_Export!$F238)+GREET1_Import_Export!$C$10*(GREET1_Import_Export!$E$200*GREET1_Import_Export!$B202+GREET1_Import_Export!$E202))+J$70*(GREET1_Import_Export!$D316+GREET1_Import_Export!$E316)+J$71*(GREET1_Import_Export!$B202)+J$72*(GREET1_Import_Export!$B238)</f>
        <v>70.217384000281271</v>
      </c>
      <c r="K93" s="1096">
        <f t="shared" si="14"/>
        <v>0</v>
      </c>
      <c r="L93" s="749">
        <f>L$64*(L$54*($B$46*GREET1_Import_Export!$K73)+GREET1_Import_Export!$F$200*GREET1_Import_Export!$B202+GREET1_Import_Export!$F202)+L$65*(L$54*(GREET1_Import_Export!$O73)+GREET1_Import_Export!$G$200*GREET1_Import_Export!$B202+GREET1_Import_Export!$G202)+L$66*(L$54*(GREET1_Import_Export!$T73)+GREET1_Import_Export!$C$200*GREET1_Import_Export!$B202+GREET1_Import_Export!$C202)+L$67*(L$54*($B$47*GREET1_Import_Export!$B73)+GREET1_Import_Export!$B238)+L$68*(L$54*($B$48*GREET1_Import_Export!$AA73)+GREET1_Import_Export!$C291)+L$69*(L$54*(GREET1_Import_Export!$X73)+GREET1_Import_Export!$B$10*(GREET1_Import_Export!$F$215*GREET1_Import_Export!$E238+GREET1_Import_Export!$F238)+GREET1_Import_Export!$C$10*(GREET1_Import_Export!$E$200*GREET1_Import_Export!$B202+GREET1_Import_Export!$E202))+L$70*(GREET1_Import_Export!$D316+GREET1_Import_Export!$E316)+L$71*(GREET1_Import_Export!$B202)+L$72*(GREET1_Import_Export!$B238)</f>
        <v>21.864490948073886</v>
      </c>
      <c r="M93" s="1096">
        <f t="shared" si="15"/>
        <v>0</v>
      </c>
      <c r="N93" s="753">
        <f>N$64*(N$54*($B$46*GREET1_Import_Export!$K73)+GREET1_Import_Export!$F$200*GREET1_Import_Export!$B202+GREET1_Import_Export!$F202)+N$65*(N$54*(GREET1_Import_Export!$O73)+GREET1_Import_Export!$G$200*GREET1_Import_Export!$B202+GREET1_Import_Export!$G202)+N$66*(N$54*(GREET1_Import_Export!$T73)+GREET1_Import_Export!$C$200*GREET1_Import_Export!$B202+GREET1_Import_Export!$C202)+N$67*(N$54*($B$47*GREET1_Import_Export!$B73)+GREET1_Import_Export!$B238)+N$68*(N$54*($B$48*GREET1_Import_Export!$AA73)+GREET1_Import_Export!$C291)+N$69*(N$54*(GREET1_Import_Export!$X73)+GREET1_Import_Export!$B$10*(GREET1_Import_Export!$F$215*GREET1_Import_Export!$E238+GREET1_Import_Export!$F238)+GREET1_Import_Export!$C$10*(GREET1_Import_Export!$E$200*GREET1_Import_Export!$B202+GREET1_Import_Export!$E202))+N$70*(GREET1_Import_Export!$D316+GREET1_Import_Export!$E316)+N$71*(GREET1_Import_Export!$B202)+N$72*(GREET1_Import_Export!$B238)</f>
        <v>5.6980480732153982</v>
      </c>
      <c r="O93" s="1096">
        <f t="shared" si="16"/>
        <v>0</v>
      </c>
      <c r="P93" s="753">
        <f>P$64*(P$54*($B$46*GREET1_Import_Export!$K73)+GREET1_Import_Export!$F$200*GREET1_Import_Export!$B202+GREET1_Import_Export!$F202)+P$65*(P$54*(GREET1_Import_Export!$O73)+GREET1_Import_Export!$G$200*GREET1_Import_Export!$B202+GREET1_Import_Export!$G202)+P$66*(P$54*(GREET1_Import_Export!$T73)+GREET1_Import_Export!$C$200*GREET1_Import_Export!$B202+GREET1_Import_Export!$C202)+P$67*(P$54*($B$47*GREET1_Import_Export!$B73)+GREET1_Import_Export!$B238)+P$68*(P$54*($B$48*GREET1_Import_Export!$AA73)+GREET1_Import_Export!$C291)+P$69*(P$54*(GREET1_Import_Export!$X73)+GREET1_Import_Export!$B$10*(GREET1_Import_Export!$F$215*GREET1_Import_Export!$E238+GREET1_Import_Export!$F238)+GREET1_Import_Export!$C$10*(GREET1_Import_Export!$E$200*GREET1_Import_Export!$B202+GREET1_Import_Export!$E202))+P$70*(GREET1_Import_Export!$D316+GREET1_Import_Export!$E316)+P$71*(GREET1_Import_Export!$B202)+P$72*(GREET1_Import_Export!$B238)</f>
        <v>227.73861627899583</v>
      </c>
      <c r="Q93" s="1096">
        <f t="shared" si="17"/>
        <v>0</v>
      </c>
      <c r="R93" s="753">
        <f>R$64*(R$54*($B$46*GREET1_Import_Export!$K73)+GREET1_Import_Export!$F$200*GREET1_Import_Export!$B202+GREET1_Import_Export!$F202)+R$65*(R$54*(GREET1_Import_Export!$O73)+GREET1_Import_Export!$G$200*GREET1_Import_Export!$B202+GREET1_Import_Export!$G202)+R$66*(R$54*(GREET1_Import_Export!$T73)+GREET1_Import_Export!$C$200*GREET1_Import_Export!$B202+GREET1_Import_Export!$C202)+R$67*(R$54*($B$47*GREET1_Import_Export!$B73)+GREET1_Import_Export!$B238)+R$68*(R$54*($B$48*GREET1_Import_Export!$AA73)+GREET1_Import_Export!$C291)+R$69*(R$54*(GREET1_Import_Export!$X73)+GREET1_Import_Export!$B$10*(GREET1_Import_Export!$F$215*GREET1_Import_Export!$E238+GREET1_Import_Export!$F238)+GREET1_Import_Export!$C$10*(GREET1_Import_Export!$E$200*GREET1_Import_Export!$B202+GREET1_Import_Export!$E202))+R$70*(GREET1_Import_Export!$D316+GREET1_Import_Export!$E316)+R$71*(GREET1_Import_Export!$B202)+R$72*(GREET1_Import_Export!$B238)</f>
        <v>72.571360078786199</v>
      </c>
      <c r="S93" s="1096">
        <f t="shared" si="18"/>
        <v>0</v>
      </c>
      <c r="T93" s="753">
        <f>T$64*(T$54*($B$46*GREET1_Import_Export!$K73)+GREET1_Import_Export!$F$200*GREET1_Import_Export!$B202+GREET1_Import_Export!$F202)+T$65*(T$54*(GREET1_Import_Export!$O73)+GREET1_Import_Export!$G$200*GREET1_Import_Export!$B202+GREET1_Import_Export!$G202)+T$66*(T$54*(GREET1_Import_Export!$T73)+GREET1_Import_Export!$C$200*GREET1_Import_Export!$B202+GREET1_Import_Export!$C202)+T$67*(T$54*($B$47*GREET1_Import_Export!$B73)+GREET1_Import_Export!$B238)+T$68*(T$54*($B$48*GREET1_Import_Export!$AA73)+GREET1_Import_Export!$C291)+T$69*(T$54*(GREET1_Import_Export!$X73)+GREET1_Import_Export!$B$10*(GREET1_Import_Export!$F$215*GREET1_Import_Export!$E238+GREET1_Import_Export!$F238)+GREET1_Import_Export!$C$10*(GREET1_Import_Export!$E$200*GREET1_Import_Export!$B202+GREET1_Import_Export!$E202))+T$70*(GREET1_Import_Export!$D316+GREET1_Import_Export!$E316)+T$71*(GREET1_Import_Export!$B202)+T$72*(GREET1_Import_Export!$B238)</f>
        <v>437.80097176721807</v>
      </c>
      <c r="U93" s="1096">
        <f t="shared" si="19"/>
        <v>0</v>
      </c>
      <c r="X93" s="1238"/>
      <c r="Y93" s="1592"/>
      <c r="Z93" s="1238"/>
      <c r="AA93" s="64"/>
      <c r="AB93" s="64"/>
      <c r="AC93" s="64"/>
      <c r="AD93" s="64"/>
      <c r="AE93" s="1592"/>
      <c r="AF93" s="1238"/>
      <c r="AG93" s="1592"/>
      <c r="AX93" s="1238"/>
      <c r="AY93" s="1592"/>
      <c r="AZ93" s="1238"/>
      <c r="BA93" s="1592"/>
      <c r="BB93" s="1238"/>
      <c r="BC93" s="1592"/>
      <c r="BD93" s="1238"/>
      <c r="BE93" s="1592"/>
      <c r="BF93" s="1238"/>
      <c r="BG93" s="1592"/>
      <c r="BH93" s="1238"/>
      <c r="BI93" s="1592"/>
      <c r="BJ93" s="1238"/>
      <c r="BK93" s="1592"/>
    </row>
    <row r="94" spans="1:63" s="349" customFormat="1">
      <c r="A94" s="494" t="s">
        <v>823</v>
      </c>
      <c r="B94" s="749">
        <f>B$64*(B$54*($B$46*GREET1_Import_Export!$K74)+GREET1_Import_Export!$F$200*GREET1_Import_Export!$B203+GREET1_Import_Export!$F203)+B$65*(B$54*(GREET1_Import_Export!$O74)+GREET1_Import_Export!$G$200*GREET1_Import_Export!$B203+GREET1_Import_Export!$G203)+B$66*(B$54*(GREET1_Import_Export!$T74)+GREET1_Import_Export!$C$200*GREET1_Import_Export!$B203+GREET1_Import_Export!$C203)+B$67*(B$54*($B$47*GREET1_Import_Export!$B74)+GREET1_Import_Export!$B239)+B$68*(B$54*($B$48*GREET1_Import_Export!$AA74)+GREET1_Import_Export!$C292)+B$69*(B$54*(GREET1_Import_Export!$X74)+GREET1_Import_Export!$B$10*(GREET1_Import_Export!$F$215*GREET1_Import_Export!$E239+GREET1_Import_Export!$F239)+GREET1_Import_Export!$C$10*(GREET1_Import_Export!$E$200*GREET1_Import_Export!$B203+GREET1_Import_Export!$E203))+B$70*(GREET1_Import_Export!$D317+GREET1_Import_Export!$E317)+B$71*(GREET1_Import_Export!$B203)+B$72*(GREET1_Import_Export!$B239)</f>
        <v>370.29171520656109</v>
      </c>
      <c r="C94" s="1096">
        <f t="shared" si="10"/>
        <v>0</v>
      </c>
      <c r="D94" s="749">
        <f>D$64*(D$54*($B$46*GREET1_Import_Export!$K74)+GREET1_Import_Export!$F$200*GREET1_Import_Export!$B203+GREET1_Import_Export!$F203)+D$65*(D$54*(GREET1_Import_Export!$O74)+GREET1_Import_Export!$G$200*GREET1_Import_Export!$B203+GREET1_Import_Export!$G203)+D$66*(D$54*(GREET1_Import_Export!$T74)+GREET1_Import_Export!$C$200*GREET1_Import_Export!$B203+GREET1_Import_Export!$C203)+D$67*(D$54*($B$47*GREET1_Import_Export!$B74)+GREET1_Import_Export!$B239)+D$68*(D$54*($B$48*GREET1_Import_Export!$AA74)+GREET1_Import_Export!$C292)+D$69*(D$54*(GREET1_Import_Export!$X74)+GREET1_Import_Export!$B$10*(GREET1_Import_Export!$F$215*GREET1_Import_Export!$E239+GREET1_Import_Export!$F239)+GREET1_Import_Export!$C$10*(GREET1_Import_Export!$E$200*GREET1_Import_Export!$B203+GREET1_Import_Export!$E203))+D$70*(GREET1_Import_Export!$D317+GREET1_Import_Export!$E317)+D$71*(GREET1_Import_Export!$B203)+D$72*(GREET1_Import_Export!$B239)</f>
        <v>3.0097477626002567</v>
      </c>
      <c r="E94" s="1096">
        <f t="shared" si="11"/>
        <v>0</v>
      </c>
      <c r="F94" s="749">
        <f>F$64*(F$54*($B$46*GREET1_Import_Export!$K74)+GREET1_Import_Export!$F$200*GREET1_Import_Export!$B203+GREET1_Import_Export!$F203)+F$65*(F$54*(GREET1_Import_Export!$O74)+GREET1_Import_Export!$G$200*GREET1_Import_Export!$B203+GREET1_Import_Export!$G203)+F$66*(F$54*(GREET1_Import_Export!$T74)+GREET1_Import_Export!$C$200*GREET1_Import_Export!$B203+GREET1_Import_Export!$C203)+F$67*(F$54*($B$47*GREET1_Import_Export!$B74)+GREET1_Import_Export!$B239)+F$68*(F$54*($B$48*GREET1_Import_Export!$AA74)+GREET1_Import_Export!$C292)+F$69*(F$54*(GREET1_Import_Export!$X74)+GREET1_Import_Export!$B$10*(GREET1_Import_Export!$F$215*GREET1_Import_Export!$E239+GREET1_Import_Export!$F239)+GREET1_Import_Export!$C$10*(GREET1_Import_Export!$E$200*GREET1_Import_Export!$B203+GREET1_Import_Export!$E203))+F$70*(GREET1_Import_Export!$D317+GREET1_Import_Export!$E317)+F$71*(GREET1_Import_Export!$B203)+F$72*(GREET1_Import_Export!$B239)</f>
        <v>57.351388048898862</v>
      </c>
      <c r="G94" s="1096">
        <f t="shared" si="12"/>
        <v>0</v>
      </c>
      <c r="H94" s="749">
        <f>H$64*(H$54*($B$46*GREET1_Import_Export!$K74)+GREET1_Import_Export!$F$200*GREET1_Import_Export!$B203+GREET1_Import_Export!$F203)+H$65*(H$54*(GREET1_Import_Export!$O74)+GREET1_Import_Export!$G$200*GREET1_Import_Export!$B203+GREET1_Import_Export!$G203)+H$66*(H$54*(GREET1_Import_Export!$T74)+GREET1_Import_Export!$C$200*GREET1_Import_Export!$B203+GREET1_Import_Export!$C203)+H$67*(H$54*($B$47*GREET1_Import_Export!$B74)+GREET1_Import_Export!$B239)+H$68*(H$54*($B$48*GREET1_Import_Export!$AA74)+GREET1_Import_Export!$C292)+H$69*(H$54*(GREET1_Import_Export!$X74)+GREET1_Import_Export!$B$10*(GREET1_Import_Export!$F$215*GREET1_Import_Export!$E239+GREET1_Import_Export!$F239)+GREET1_Import_Export!$C$10*(GREET1_Import_Export!$E$200*GREET1_Import_Export!$B203+GREET1_Import_Export!$E203))+H$70*(GREET1_Import_Export!$D317+GREET1_Import_Export!$E317)+H$71*(GREET1_Import_Export!$B203)+H$72*(GREET1_Import_Export!$B239)</f>
        <v>70.460276745790026</v>
      </c>
      <c r="I94" s="1096">
        <f t="shared" si="13"/>
        <v>0</v>
      </c>
      <c r="J94" s="749">
        <f>J$64*(J$54*($B$46*GREET1_Import_Export!$K74)+GREET1_Import_Export!$F$200*GREET1_Import_Export!$B203+GREET1_Import_Export!$F203)+J$65*(J$54*(GREET1_Import_Export!$O74)+GREET1_Import_Export!$G$200*GREET1_Import_Export!$B203+GREET1_Import_Export!$G203)+J$66*(J$54*(GREET1_Import_Export!$T74)+GREET1_Import_Export!$C$200*GREET1_Import_Export!$B203+GREET1_Import_Export!$C203)+J$67*(J$54*($B$47*GREET1_Import_Export!$B74)+GREET1_Import_Export!$B239)+J$68*(J$54*($B$48*GREET1_Import_Export!$AA74)+GREET1_Import_Export!$C292)+J$69*(J$54*(GREET1_Import_Export!$X74)+GREET1_Import_Export!$B$10*(GREET1_Import_Export!$F$215*GREET1_Import_Export!$E239+GREET1_Import_Export!$F239)+GREET1_Import_Export!$C$10*(GREET1_Import_Export!$E$200*GREET1_Import_Export!$B203+GREET1_Import_Export!$E203))+J$70*(GREET1_Import_Export!$D317+GREET1_Import_Export!$E317)+J$71*(GREET1_Import_Export!$B203)+J$72*(GREET1_Import_Export!$B239)</f>
        <v>209.7231655329667</v>
      </c>
      <c r="K94" s="1096">
        <f t="shared" si="14"/>
        <v>0</v>
      </c>
      <c r="L94" s="749">
        <f>L$64*(L$54*($B$46*GREET1_Import_Export!$K74)+GREET1_Import_Export!$F$200*GREET1_Import_Export!$B203+GREET1_Import_Export!$F203)+L$65*(L$54*(GREET1_Import_Export!$O74)+GREET1_Import_Export!$G$200*GREET1_Import_Export!$B203+GREET1_Import_Export!$G203)+L$66*(L$54*(GREET1_Import_Export!$T74)+GREET1_Import_Export!$C$200*GREET1_Import_Export!$B203+GREET1_Import_Export!$C203)+L$67*(L$54*($B$47*GREET1_Import_Export!$B74)+GREET1_Import_Export!$B239)+L$68*(L$54*($B$48*GREET1_Import_Export!$AA74)+GREET1_Import_Export!$C292)+L$69*(L$54*(GREET1_Import_Export!$X74)+GREET1_Import_Export!$B$10*(GREET1_Import_Export!$F$215*GREET1_Import_Export!$E239+GREET1_Import_Export!$F239)+GREET1_Import_Export!$C$10*(GREET1_Import_Export!$E$200*GREET1_Import_Export!$B203+GREET1_Import_Export!$E203))+L$70*(GREET1_Import_Export!$D317+GREET1_Import_Export!$E317)+L$71*(GREET1_Import_Export!$B203)+L$72*(GREET1_Import_Export!$B239)</f>
        <v>43.520150986349556</v>
      </c>
      <c r="M94" s="1096">
        <f t="shared" si="15"/>
        <v>0</v>
      </c>
      <c r="N94" s="753">
        <f>N$64*(N$54*($B$46*GREET1_Import_Export!$K74)+GREET1_Import_Export!$F$200*GREET1_Import_Export!$B203+GREET1_Import_Export!$F203)+N$65*(N$54*(GREET1_Import_Export!$O74)+GREET1_Import_Export!$G$200*GREET1_Import_Export!$B203+GREET1_Import_Export!$G203)+N$66*(N$54*(GREET1_Import_Export!$T74)+GREET1_Import_Export!$C$200*GREET1_Import_Export!$B203+GREET1_Import_Export!$C203)+N$67*(N$54*($B$47*GREET1_Import_Export!$B74)+GREET1_Import_Export!$B239)+N$68*(N$54*($B$48*GREET1_Import_Export!$AA74)+GREET1_Import_Export!$C292)+N$69*(N$54*(GREET1_Import_Export!$X74)+GREET1_Import_Export!$B$10*(GREET1_Import_Export!$F$215*GREET1_Import_Export!$E239+GREET1_Import_Export!$F239)+GREET1_Import_Export!$C$10*(GREET1_Import_Export!$E$200*GREET1_Import_Export!$B203+GREET1_Import_Export!$E203))+N$70*(GREET1_Import_Export!$D317+GREET1_Import_Export!$E317)+N$71*(GREET1_Import_Export!$B203)+N$72*(GREET1_Import_Export!$B239)</f>
        <v>10.809760824738676</v>
      </c>
      <c r="O94" s="1096">
        <f t="shared" si="16"/>
        <v>0</v>
      </c>
      <c r="P94" s="753">
        <f>P$64*(P$54*($B$46*GREET1_Import_Export!$K74)+GREET1_Import_Export!$F$200*GREET1_Import_Export!$B203+GREET1_Import_Export!$F203)+P$65*(P$54*(GREET1_Import_Export!$O74)+GREET1_Import_Export!$G$200*GREET1_Import_Export!$B203+GREET1_Import_Export!$G203)+P$66*(P$54*(GREET1_Import_Export!$T74)+GREET1_Import_Export!$C$200*GREET1_Import_Export!$B203+GREET1_Import_Export!$C203)+P$67*(P$54*($B$47*GREET1_Import_Export!$B74)+GREET1_Import_Export!$B239)+P$68*(P$54*($B$48*GREET1_Import_Export!$AA74)+GREET1_Import_Export!$C292)+P$69*(P$54*(GREET1_Import_Export!$X74)+GREET1_Import_Export!$B$10*(GREET1_Import_Export!$F$215*GREET1_Import_Export!$E239+GREET1_Import_Export!$F239)+GREET1_Import_Export!$C$10*(GREET1_Import_Export!$E$200*GREET1_Import_Export!$B203+GREET1_Import_Export!$E203))+P$70*(GREET1_Import_Export!$D317+GREET1_Import_Export!$E317)+P$71*(GREET1_Import_Export!$B203)+P$72*(GREET1_Import_Export!$B239)</f>
        <v>334.24796186713542</v>
      </c>
      <c r="Q94" s="1096">
        <f t="shared" si="17"/>
        <v>0</v>
      </c>
      <c r="R94" s="753">
        <f>R$64*(R$54*($B$46*GREET1_Import_Export!$K74)+GREET1_Import_Export!$F$200*GREET1_Import_Export!$B203+GREET1_Import_Export!$F203)+R$65*(R$54*(GREET1_Import_Export!$O74)+GREET1_Import_Export!$G$200*GREET1_Import_Export!$B203+GREET1_Import_Export!$G203)+R$66*(R$54*(GREET1_Import_Export!$T74)+GREET1_Import_Export!$C$200*GREET1_Import_Export!$B203+GREET1_Import_Export!$C203)+R$67*(R$54*($B$47*GREET1_Import_Export!$B74)+GREET1_Import_Export!$B239)+R$68*(R$54*($B$48*GREET1_Import_Export!$AA74)+GREET1_Import_Export!$C292)+R$69*(R$54*(GREET1_Import_Export!$X74)+GREET1_Import_Export!$B$10*(GREET1_Import_Export!$F$215*GREET1_Import_Export!$E239+GREET1_Import_Export!$F239)+GREET1_Import_Export!$C$10*(GREET1_Import_Export!$E$200*GREET1_Import_Export!$B203+GREET1_Import_Export!$E203))+R$70*(GREET1_Import_Export!$D317+GREET1_Import_Export!$E317)+R$71*(GREET1_Import_Export!$B203)+R$72*(GREET1_Import_Export!$B239)</f>
        <v>216.75395031371212</v>
      </c>
      <c r="S94" s="1096">
        <f t="shared" si="18"/>
        <v>0</v>
      </c>
      <c r="T94" s="753">
        <f>T$64*(T$54*($B$46*GREET1_Import_Export!$K74)+GREET1_Import_Export!$F$200*GREET1_Import_Export!$B203+GREET1_Import_Export!$F203)+T$65*(T$54*(GREET1_Import_Export!$O74)+GREET1_Import_Export!$G$200*GREET1_Import_Export!$B203+GREET1_Import_Export!$G203)+T$66*(T$54*(GREET1_Import_Export!$T74)+GREET1_Import_Export!$C$200*GREET1_Import_Export!$B203+GREET1_Import_Export!$C203)+T$67*(T$54*($B$47*GREET1_Import_Export!$B74)+GREET1_Import_Export!$B239)+T$68*(T$54*($B$48*GREET1_Import_Export!$AA74)+GREET1_Import_Export!$C292)+T$69*(T$54*(GREET1_Import_Export!$X74)+GREET1_Import_Export!$B$10*(GREET1_Import_Export!$F$215*GREET1_Import_Export!$E239+GREET1_Import_Export!$F239)+GREET1_Import_Export!$C$10*(GREET1_Import_Export!$E$200*GREET1_Import_Export!$B203+GREET1_Import_Export!$E203))+T$70*(GREET1_Import_Export!$D317+GREET1_Import_Export!$E317)+T$71*(GREET1_Import_Export!$B203)+T$72*(GREET1_Import_Export!$B239)</f>
        <v>1276.6354253038751</v>
      </c>
      <c r="U94" s="1096">
        <f t="shared" si="19"/>
        <v>0</v>
      </c>
      <c r="X94" s="1238"/>
      <c r="Y94" s="1592"/>
      <c r="Z94" s="1238"/>
      <c r="AA94" s="64"/>
      <c r="AB94" s="64"/>
      <c r="AC94" s="64"/>
      <c r="AD94" s="64"/>
      <c r="AE94" s="1592"/>
      <c r="AF94" s="1238"/>
      <c r="AG94" s="1592"/>
      <c r="AX94" s="1238"/>
      <c r="AY94" s="1592"/>
      <c r="AZ94" s="1238"/>
      <c r="BA94" s="1592"/>
      <c r="BB94" s="1238"/>
      <c r="BC94" s="1592"/>
      <c r="BD94" s="1238"/>
      <c r="BE94" s="1592"/>
      <c r="BF94" s="1238"/>
      <c r="BG94" s="1592"/>
      <c r="BH94" s="1238"/>
      <c r="BI94" s="1592"/>
      <c r="BJ94" s="1238"/>
      <c r="BK94" s="1592"/>
    </row>
    <row r="95" spans="1:63" s="349" customFormat="1">
      <c r="A95" s="494" t="s">
        <v>824</v>
      </c>
      <c r="B95" s="749">
        <f>B$64*(B$54*($B$46*GREET1_Import_Export!$K75)+GREET1_Import_Export!$F$200*GREET1_Import_Export!$B204+GREET1_Import_Export!$F204)+B$65*(B$54*(GREET1_Import_Export!$O75)+GREET1_Import_Export!$G$200*GREET1_Import_Export!$B204+GREET1_Import_Export!$G204)+B$66*(B$54*(GREET1_Import_Export!$T75)+GREET1_Import_Export!$C$200*GREET1_Import_Export!$B204+GREET1_Import_Export!$C204)+B$67*(B$54*($B$47*GREET1_Import_Export!$B75)+GREET1_Import_Export!$B240)+B$68*(B$54*($B$48*GREET1_Import_Export!$AA75)+GREET1_Import_Export!$C293)+B$69*(B$54*(GREET1_Import_Export!$X75)+GREET1_Import_Export!$B$10*(GREET1_Import_Export!$F$215*GREET1_Import_Export!$E240+GREET1_Import_Export!$F240)+GREET1_Import_Export!$C$10*(GREET1_Import_Export!$E$200*GREET1_Import_Export!$B204+GREET1_Import_Export!$E204))+B$70*(GREET1_Import_Export!$D318+GREET1_Import_Export!$E318)+B$71*(GREET1_Import_Export!$B204)+B$72*(GREET1_Import_Export!$B240)</f>
        <v>21.98134361921058</v>
      </c>
      <c r="C95" s="1096">
        <f t="shared" si="10"/>
        <v>0</v>
      </c>
      <c r="D95" s="749">
        <f>D$64*(D$54*($B$46*GREET1_Import_Export!$K75)+GREET1_Import_Export!$F$200*GREET1_Import_Export!$B204+GREET1_Import_Export!$F204)+D$65*(D$54*(GREET1_Import_Export!$O75)+GREET1_Import_Export!$G$200*GREET1_Import_Export!$B204+GREET1_Import_Export!$G204)+D$66*(D$54*(GREET1_Import_Export!$T75)+GREET1_Import_Export!$C$200*GREET1_Import_Export!$B204+GREET1_Import_Export!$C204)+D$67*(D$54*($B$47*GREET1_Import_Export!$B75)+GREET1_Import_Export!$B240)+D$68*(D$54*($B$48*GREET1_Import_Export!$AA75)+GREET1_Import_Export!$C293)+D$69*(D$54*(GREET1_Import_Export!$X75)+GREET1_Import_Export!$B$10*(GREET1_Import_Export!$F$215*GREET1_Import_Export!$E240+GREET1_Import_Export!$F240)+GREET1_Import_Export!$C$10*(GREET1_Import_Export!$E$200*GREET1_Import_Export!$B204+GREET1_Import_Export!$E204))+D$70*(GREET1_Import_Export!$D318+GREET1_Import_Export!$E318)+D$71*(GREET1_Import_Export!$B204)+D$72*(GREET1_Import_Export!$B240)</f>
        <v>0.46509933286418553</v>
      </c>
      <c r="E95" s="1096">
        <f t="shared" si="11"/>
        <v>0</v>
      </c>
      <c r="F95" s="749">
        <f>F$64*(F$54*($B$46*GREET1_Import_Export!$K75)+GREET1_Import_Export!$F$200*GREET1_Import_Export!$B204+GREET1_Import_Export!$F204)+F$65*(F$54*(GREET1_Import_Export!$O75)+GREET1_Import_Export!$G$200*GREET1_Import_Export!$B204+GREET1_Import_Export!$G204)+F$66*(F$54*(GREET1_Import_Export!$T75)+GREET1_Import_Export!$C$200*GREET1_Import_Export!$B204+GREET1_Import_Export!$C204)+F$67*(F$54*($B$47*GREET1_Import_Export!$B75)+GREET1_Import_Export!$B240)+F$68*(F$54*($B$48*GREET1_Import_Export!$AA75)+GREET1_Import_Export!$C293)+F$69*(F$54*(GREET1_Import_Export!$X75)+GREET1_Import_Export!$B$10*(GREET1_Import_Export!$F$215*GREET1_Import_Export!$E240+GREET1_Import_Export!$F240)+GREET1_Import_Export!$C$10*(GREET1_Import_Export!$E$200*GREET1_Import_Export!$B204+GREET1_Import_Export!$E204))+F$70*(GREET1_Import_Export!$D318+GREET1_Import_Export!$E318)+F$71*(GREET1_Import_Export!$B204)+F$72*(GREET1_Import_Export!$B240)</f>
        <v>7.6570570353160576</v>
      </c>
      <c r="G95" s="1096">
        <f t="shared" si="12"/>
        <v>0</v>
      </c>
      <c r="H95" s="749">
        <f>H$64*(H$54*($B$46*GREET1_Import_Export!$K75)+GREET1_Import_Export!$F$200*GREET1_Import_Export!$B204+GREET1_Import_Export!$F204)+H$65*(H$54*(GREET1_Import_Export!$O75)+GREET1_Import_Export!$G$200*GREET1_Import_Export!$B204+GREET1_Import_Export!$G204)+H$66*(H$54*(GREET1_Import_Export!$T75)+GREET1_Import_Export!$C$200*GREET1_Import_Export!$B204+GREET1_Import_Export!$C204)+H$67*(H$54*($B$47*GREET1_Import_Export!$B75)+GREET1_Import_Export!$B240)+H$68*(H$54*($B$48*GREET1_Import_Export!$AA75)+GREET1_Import_Export!$C293)+H$69*(H$54*(GREET1_Import_Export!$X75)+GREET1_Import_Export!$B$10*(GREET1_Import_Export!$F$215*GREET1_Import_Export!$E240+GREET1_Import_Export!$F240)+GREET1_Import_Export!$C$10*(GREET1_Import_Export!$E$200*GREET1_Import_Export!$B204+GREET1_Import_Export!$E204))+H$70*(GREET1_Import_Export!$D318+GREET1_Import_Export!$E318)+H$71*(GREET1_Import_Export!$B204)+H$72*(GREET1_Import_Export!$B240)</f>
        <v>9.4072415005311569</v>
      </c>
      <c r="I95" s="1096">
        <f t="shared" si="13"/>
        <v>0</v>
      </c>
      <c r="J95" s="749">
        <f>J$64*(J$54*($B$46*GREET1_Import_Export!$K75)+GREET1_Import_Export!$F$200*GREET1_Import_Export!$B204+GREET1_Import_Export!$F204)+J$65*(J$54*(GREET1_Import_Export!$O75)+GREET1_Import_Export!$G$200*GREET1_Import_Export!$B204+GREET1_Import_Export!$G204)+J$66*(J$54*(GREET1_Import_Export!$T75)+GREET1_Import_Export!$C$200*GREET1_Import_Export!$B204+GREET1_Import_Export!$C204)+J$67*(J$54*($B$47*GREET1_Import_Export!$B75)+GREET1_Import_Export!$B240)+J$68*(J$54*($B$48*GREET1_Import_Export!$AA75)+GREET1_Import_Export!$C293)+J$69*(J$54*(GREET1_Import_Export!$X75)+GREET1_Import_Export!$B$10*(GREET1_Import_Export!$F$215*GREET1_Import_Export!$E240+GREET1_Import_Export!$F240)+GREET1_Import_Export!$C$10*(GREET1_Import_Export!$E$200*GREET1_Import_Export!$B204+GREET1_Import_Export!$E204))+J$70*(GREET1_Import_Export!$D318+GREET1_Import_Export!$E318)+J$71*(GREET1_Import_Export!$B204)+J$72*(GREET1_Import_Export!$B240)</f>
        <v>28.000407570672376</v>
      </c>
      <c r="K95" s="1096">
        <f t="shared" si="14"/>
        <v>0</v>
      </c>
      <c r="L95" s="749">
        <f>L$64*(L$54*($B$46*GREET1_Import_Export!$K75)+GREET1_Import_Export!$F$200*GREET1_Import_Export!$B204+GREET1_Import_Export!$F204)+L$65*(L$54*(GREET1_Import_Export!$O75)+GREET1_Import_Export!$G$200*GREET1_Import_Export!$B204+GREET1_Import_Export!$G204)+L$66*(L$54*(GREET1_Import_Export!$T75)+GREET1_Import_Export!$C$200*GREET1_Import_Export!$B204+GREET1_Import_Export!$C204)+L$67*(L$54*($B$47*GREET1_Import_Export!$B75)+GREET1_Import_Export!$B240)+L$68*(L$54*($B$48*GREET1_Import_Export!$AA75)+GREET1_Import_Export!$C293)+L$69*(L$54*(GREET1_Import_Export!$X75)+GREET1_Import_Export!$B$10*(GREET1_Import_Export!$F$215*GREET1_Import_Export!$E240+GREET1_Import_Export!$F240)+GREET1_Import_Export!$C$10*(GREET1_Import_Export!$E$200*GREET1_Import_Export!$B204+GREET1_Import_Export!$E204))+L$70*(GREET1_Import_Export!$D318+GREET1_Import_Export!$E318)+L$71*(GREET1_Import_Export!$B204)+L$72*(GREET1_Import_Export!$B240)</f>
        <v>4.8595848777869763</v>
      </c>
      <c r="M95" s="1096">
        <f t="shared" si="15"/>
        <v>0</v>
      </c>
      <c r="N95" s="753">
        <f>N$64*(N$54*($B$46*GREET1_Import_Export!$K75)+GREET1_Import_Export!$F$200*GREET1_Import_Export!$B204+GREET1_Import_Export!$F204)+N$65*(N$54*(GREET1_Import_Export!$O75)+GREET1_Import_Export!$G$200*GREET1_Import_Export!$B204+GREET1_Import_Export!$G204)+N$66*(N$54*(GREET1_Import_Export!$T75)+GREET1_Import_Export!$C$200*GREET1_Import_Export!$B204+GREET1_Import_Export!$C204)+N$67*(N$54*($B$47*GREET1_Import_Export!$B75)+GREET1_Import_Export!$B240)+N$68*(N$54*($B$48*GREET1_Import_Export!$AA75)+GREET1_Import_Export!$C293)+N$69*(N$54*(GREET1_Import_Export!$X75)+GREET1_Import_Export!$B$10*(GREET1_Import_Export!$F$215*GREET1_Import_Export!$E240+GREET1_Import_Export!$F240)+GREET1_Import_Export!$C$10*(GREET1_Import_Export!$E$200*GREET1_Import_Export!$B204+GREET1_Import_Export!$E204))+N$70*(GREET1_Import_Export!$D318+GREET1_Import_Export!$E318)+N$71*(GREET1_Import_Export!$B204)+N$72*(GREET1_Import_Export!$B240)</f>
        <v>0.91046676725728437</v>
      </c>
      <c r="O95" s="1096">
        <f t="shared" si="16"/>
        <v>0</v>
      </c>
      <c r="P95" s="753">
        <f>P$64*(P$54*($B$46*GREET1_Import_Export!$K75)+GREET1_Import_Export!$F$200*GREET1_Import_Export!$B204+GREET1_Import_Export!$F204)+P$65*(P$54*(GREET1_Import_Export!$O75)+GREET1_Import_Export!$G$200*GREET1_Import_Export!$B204+GREET1_Import_Export!$G204)+P$66*(P$54*(GREET1_Import_Export!$T75)+GREET1_Import_Export!$C$200*GREET1_Import_Export!$B204+GREET1_Import_Export!$C204)+P$67*(P$54*($B$47*GREET1_Import_Export!$B75)+GREET1_Import_Export!$B240)+P$68*(P$54*($B$48*GREET1_Import_Export!$AA75)+GREET1_Import_Export!$C293)+P$69*(P$54*(GREET1_Import_Export!$X75)+GREET1_Import_Export!$B$10*(GREET1_Import_Export!$F$215*GREET1_Import_Export!$E240+GREET1_Import_Export!$F240)+GREET1_Import_Export!$C$10*(GREET1_Import_Export!$E$200*GREET1_Import_Export!$B204+GREET1_Import_Export!$E204))+P$70*(GREET1_Import_Export!$D318+GREET1_Import_Export!$E318)+P$71*(GREET1_Import_Export!$B204)+P$72*(GREET1_Import_Export!$B240)</f>
        <v>23.154773562840717</v>
      </c>
      <c r="Q95" s="1096">
        <f t="shared" si="17"/>
        <v>0</v>
      </c>
      <c r="R95" s="753">
        <f>R$64*(R$54*($B$46*GREET1_Import_Export!$K75)+GREET1_Import_Export!$F$200*GREET1_Import_Export!$B204+GREET1_Import_Export!$F204)+R$65*(R$54*(GREET1_Import_Export!$O75)+GREET1_Import_Export!$G$200*GREET1_Import_Export!$B204+GREET1_Import_Export!$G204)+R$66*(R$54*(GREET1_Import_Export!$T75)+GREET1_Import_Export!$C$200*GREET1_Import_Export!$B204+GREET1_Import_Export!$C204)+R$67*(R$54*($B$47*GREET1_Import_Export!$B75)+GREET1_Import_Export!$B240)+R$68*(R$54*($B$48*GREET1_Import_Export!$AA75)+GREET1_Import_Export!$C293)+R$69*(R$54*(GREET1_Import_Export!$X75)+GREET1_Import_Export!$B$10*(GREET1_Import_Export!$F$215*GREET1_Import_Export!$E240+GREET1_Import_Export!$F240)+GREET1_Import_Export!$C$10*(GREET1_Import_Export!$E$200*GREET1_Import_Export!$B204+GREET1_Import_Export!$E204))+R$70*(GREET1_Import_Export!$D318+GREET1_Import_Export!$E318)+R$71*(GREET1_Import_Export!$B204)+R$72*(GREET1_Import_Export!$B240)</f>
        <v>28.939096622510124</v>
      </c>
      <c r="S95" s="1096">
        <f t="shared" si="18"/>
        <v>0</v>
      </c>
      <c r="T95" s="753">
        <f>T$64*(T$54*($B$46*GREET1_Import_Export!$K75)+GREET1_Import_Export!$F$200*GREET1_Import_Export!$B204+GREET1_Import_Export!$F204)+T$65*(T$54*(GREET1_Import_Export!$O75)+GREET1_Import_Export!$G$200*GREET1_Import_Export!$B204+GREET1_Import_Export!$G204)+T$66*(T$54*(GREET1_Import_Export!$T75)+GREET1_Import_Export!$C$200*GREET1_Import_Export!$B204+GREET1_Import_Export!$C204)+T$67*(T$54*($B$47*GREET1_Import_Export!$B75)+GREET1_Import_Export!$B240)+T$68*(T$54*($B$48*GREET1_Import_Export!$AA75)+GREET1_Import_Export!$C293)+T$69*(T$54*(GREET1_Import_Export!$X75)+GREET1_Import_Export!$B$10*(GREET1_Import_Export!$F$215*GREET1_Import_Export!$E240+GREET1_Import_Export!$F240)+GREET1_Import_Export!$C$10*(GREET1_Import_Export!$E$200*GREET1_Import_Export!$B204+GREET1_Import_Export!$E204))+T$70*(GREET1_Import_Export!$D318+GREET1_Import_Export!$E318)+T$71*(GREET1_Import_Export!$B204)+T$72*(GREET1_Import_Export!$B240)</f>
        <v>167.81154918222765</v>
      </c>
      <c r="U95" s="1096">
        <f t="shared" si="19"/>
        <v>0</v>
      </c>
      <c r="X95" s="1238"/>
      <c r="Y95" s="1592"/>
      <c r="Z95" s="1238"/>
      <c r="AA95" s="64"/>
      <c r="AB95" s="64"/>
      <c r="AC95" s="64"/>
      <c r="AD95" s="64"/>
      <c r="AE95" s="1592"/>
      <c r="AF95" s="1238"/>
      <c r="AG95" s="1592"/>
      <c r="AX95" s="1238"/>
      <c r="AY95" s="1592"/>
      <c r="AZ95" s="1238"/>
      <c r="BA95" s="1592"/>
      <c r="BB95" s="1238"/>
      <c r="BC95" s="1592"/>
      <c r="BD95" s="1238"/>
      <c r="BE95" s="1592"/>
      <c r="BF95" s="1238"/>
      <c r="BG95" s="1592"/>
      <c r="BH95" s="1238"/>
      <c r="BI95" s="1592"/>
      <c r="BJ95" s="1238"/>
      <c r="BK95" s="1592"/>
    </row>
    <row r="96" spans="1:63" s="349" customFormat="1">
      <c r="A96" s="494" t="s">
        <v>825</v>
      </c>
      <c r="B96" s="749">
        <f>B$64*(B$54*($B$46*GREET1_Import_Export!$K76)+GREET1_Import_Export!$F$200*GREET1_Import_Export!$B205+GREET1_Import_Export!$F205)+B$65*(B$54*(GREET1_Import_Export!$O76)+GREET1_Import_Export!$G$200*GREET1_Import_Export!$B205+GREET1_Import_Export!$G205)+B$66*(B$54*(GREET1_Import_Export!$T76)+GREET1_Import_Export!$C$200*GREET1_Import_Export!$B205+GREET1_Import_Export!$C205)+B$67*(B$54*($B$47*GREET1_Import_Export!$B76)+GREET1_Import_Export!$B241)+B$68*(B$54*($B$48*GREET1_Import_Export!$AA76)+GREET1_Import_Export!$C294)+B$69*(B$54*(GREET1_Import_Export!$X76)+GREET1_Import_Export!$B$10*(GREET1_Import_Export!$F$215*GREET1_Import_Export!$E241+GREET1_Import_Export!$F241)+GREET1_Import_Export!$C$10*(GREET1_Import_Export!$E$200*GREET1_Import_Export!$B205+GREET1_Import_Export!$E205))+B$70*(GREET1_Import_Export!$D319+GREET1_Import_Export!$E319)+B$71*(GREET1_Import_Export!$B205)+B$72*(GREET1_Import_Export!$B241)</f>
        <v>19.382043553957153</v>
      </c>
      <c r="C96" s="1096">
        <f t="shared" si="10"/>
        <v>0</v>
      </c>
      <c r="D96" s="749">
        <f>D$64*(D$54*($B$46*GREET1_Import_Export!$K76)+GREET1_Import_Export!$F$200*GREET1_Import_Export!$B205+GREET1_Import_Export!$F205)+D$65*(D$54*(GREET1_Import_Export!$O76)+GREET1_Import_Export!$G$200*GREET1_Import_Export!$B205+GREET1_Import_Export!$G205)+D$66*(D$54*(GREET1_Import_Export!$T76)+GREET1_Import_Export!$C$200*GREET1_Import_Export!$B205+GREET1_Import_Export!$C205)+D$67*(D$54*($B$47*GREET1_Import_Export!$B76)+GREET1_Import_Export!$B241)+D$68*(D$54*($B$48*GREET1_Import_Export!$AA76)+GREET1_Import_Export!$C294)+D$69*(D$54*(GREET1_Import_Export!$X76)+GREET1_Import_Export!$B$10*(GREET1_Import_Export!$F$215*GREET1_Import_Export!$E241+GREET1_Import_Export!$F241)+GREET1_Import_Export!$C$10*(GREET1_Import_Export!$E$200*GREET1_Import_Export!$B205+GREET1_Import_Export!$E205))+D$70*(GREET1_Import_Export!$D319+GREET1_Import_Export!$E319)+D$71*(GREET1_Import_Export!$B205)+D$72*(GREET1_Import_Export!$B241)</f>
        <v>0.40944727833311106</v>
      </c>
      <c r="E96" s="1096">
        <f t="shared" si="11"/>
        <v>0</v>
      </c>
      <c r="F96" s="749">
        <f>F$64*(F$54*($B$46*GREET1_Import_Export!$K76)+GREET1_Import_Export!$F$200*GREET1_Import_Export!$B205+GREET1_Import_Export!$F205)+F$65*(F$54*(GREET1_Import_Export!$O76)+GREET1_Import_Export!$G$200*GREET1_Import_Export!$B205+GREET1_Import_Export!$G205)+F$66*(F$54*(GREET1_Import_Export!$T76)+GREET1_Import_Export!$C$200*GREET1_Import_Export!$B205+GREET1_Import_Export!$C205)+F$67*(F$54*($B$47*GREET1_Import_Export!$B76)+GREET1_Import_Export!$B241)+F$68*(F$54*($B$48*GREET1_Import_Export!$AA76)+GREET1_Import_Export!$C294)+F$69*(F$54*(GREET1_Import_Export!$X76)+GREET1_Import_Export!$B$10*(GREET1_Import_Export!$F$215*GREET1_Import_Export!$E241+GREET1_Import_Export!$F241)+GREET1_Import_Export!$C$10*(GREET1_Import_Export!$E$200*GREET1_Import_Export!$B205+GREET1_Import_Export!$E205))+F$70*(GREET1_Import_Export!$D319+GREET1_Import_Export!$E319)+F$71*(GREET1_Import_Export!$B205)+F$72*(GREET1_Import_Export!$B241)</f>
        <v>6.7330803022625796</v>
      </c>
      <c r="G96" s="1096">
        <f t="shared" si="12"/>
        <v>0</v>
      </c>
      <c r="H96" s="749">
        <f>H$64*(H$54*($B$46*GREET1_Import_Export!$K76)+GREET1_Import_Export!$F$200*GREET1_Import_Export!$B205+GREET1_Import_Export!$F205)+H$65*(H$54*(GREET1_Import_Export!$O76)+GREET1_Import_Export!$G$200*GREET1_Import_Export!$B205+GREET1_Import_Export!$G205)+H$66*(H$54*(GREET1_Import_Export!$T76)+GREET1_Import_Export!$C$200*GREET1_Import_Export!$B205+GREET1_Import_Export!$C205)+H$67*(H$54*($B$47*GREET1_Import_Export!$B76)+GREET1_Import_Export!$B241)+H$68*(H$54*($B$48*GREET1_Import_Export!$AA76)+GREET1_Import_Export!$C294)+H$69*(H$54*(GREET1_Import_Export!$X76)+GREET1_Import_Export!$B$10*(GREET1_Import_Export!$F$215*GREET1_Import_Export!$E241+GREET1_Import_Export!$F241)+GREET1_Import_Export!$C$10*(GREET1_Import_Export!$E$200*GREET1_Import_Export!$B205+GREET1_Import_Export!$E205))+H$70*(GREET1_Import_Export!$D319+GREET1_Import_Export!$E319)+H$71*(GREET1_Import_Export!$B205)+H$72*(GREET1_Import_Export!$B241)</f>
        <v>8.2720700856368836</v>
      </c>
      <c r="I96" s="1096">
        <f t="shared" si="13"/>
        <v>0</v>
      </c>
      <c r="J96" s="749">
        <f>J$64*(J$54*($B$46*GREET1_Import_Export!$K76)+GREET1_Import_Export!$F$200*GREET1_Import_Export!$B205+GREET1_Import_Export!$F205)+J$65*(J$54*(GREET1_Import_Export!$O76)+GREET1_Import_Export!$G$200*GREET1_Import_Export!$B205+GREET1_Import_Export!$G205)+J$66*(J$54*(GREET1_Import_Export!$T76)+GREET1_Import_Export!$C$200*GREET1_Import_Export!$B205+GREET1_Import_Export!$C205)+J$67*(J$54*($B$47*GREET1_Import_Export!$B76)+GREET1_Import_Export!$B241)+J$68*(J$54*($B$48*GREET1_Import_Export!$AA76)+GREET1_Import_Export!$C294)+J$69*(J$54*(GREET1_Import_Export!$X76)+GREET1_Import_Export!$B$10*(GREET1_Import_Export!$F$215*GREET1_Import_Export!$E241+GREET1_Import_Export!$F241)+GREET1_Import_Export!$C$10*(GREET1_Import_Export!$E$200*GREET1_Import_Export!$B205+GREET1_Import_Export!$E205))+J$70*(GREET1_Import_Export!$D319+GREET1_Import_Export!$E319)+J$71*(GREET1_Import_Export!$B205)+J$72*(GREET1_Import_Export!$B241)</f>
        <v>24.621599630233959</v>
      </c>
      <c r="K96" s="1096">
        <f t="shared" si="14"/>
        <v>0</v>
      </c>
      <c r="L96" s="749">
        <f>L$64*(L$54*($B$46*GREET1_Import_Export!$K76)+GREET1_Import_Export!$F$200*GREET1_Import_Export!$B205+GREET1_Import_Export!$F205)+L$65*(L$54*(GREET1_Import_Export!$O76)+GREET1_Import_Export!$G$200*GREET1_Import_Export!$B205+GREET1_Import_Export!$G205)+L$66*(L$54*(GREET1_Import_Export!$T76)+GREET1_Import_Export!$C$200*GREET1_Import_Export!$B205+GREET1_Import_Export!$C205)+L$67*(L$54*($B$47*GREET1_Import_Export!$B76)+GREET1_Import_Export!$B241)+L$68*(L$54*($B$48*GREET1_Import_Export!$AA76)+GREET1_Import_Export!$C294)+L$69*(L$54*(GREET1_Import_Export!$X76)+GREET1_Import_Export!$B$10*(GREET1_Import_Export!$F$215*GREET1_Import_Export!$E241+GREET1_Import_Export!$F241)+GREET1_Import_Export!$C$10*(GREET1_Import_Export!$E$200*GREET1_Import_Export!$B205+GREET1_Import_Export!$E205))+L$70*(GREET1_Import_Export!$D319+GREET1_Import_Export!$E319)+L$71*(GREET1_Import_Export!$B205)+L$72*(GREET1_Import_Export!$B241)</f>
        <v>4.2781737504620354</v>
      </c>
      <c r="M96" s="1096">
        <f t="shared" si="15"/>
        <v>0</v>
      </c>
      <c r="N96" s="753">
        <f>N$64*(N$54*($B$46*GREET1_Import_Export!$K76)+GREET1_Import_Export!$F$200*GREET1_Import_Export!$B205+GREET1_Import_Export!$F205)+N$65*(N$54*(GREET1_Import_Export!$O76)+GREET1_Import_Export!$G$200*GREET1_Import_Export!$B205+GREET1_Import_Export!$G205)+N$66*(N$54*(GREET1_Import_Export!$T76)+GREET1_Import_Export!$C$200*GREET1_Import_Export!$B205+GREET1_Import_Export!$C205)+N$67*(N$54*($B$47*GREET1_Import_Export!$B76)+GREET1_Import_Export!$B241)+N$68*(N$54*($B$48*GREET1_Import_Export!$AA76)+GREET1_Import_Export!$C294)+N$69*(N$54*(GREET1_Import_Export!$X76)+GREET1_Import_Export!$B$10*(GREET1_Import_Export!$F$215*GREET1_Import_Export!$E241+GREET1_Import_Export!$F241)+GREET1_Import_Export!$C$10*(GREET1_Import_Export!$E$200*GREET1_Import_Export!$B205+GREET1_Import_Export!$E205))+N$70*(GREET1_Import_Export!$D319+GREET1_Import_Export!$E319)+N$71*(GREET1_Import_Export!$B205)+N$72*(GREET1_Import_Export!$B241)</f>
        <v>0.80148005793427257</v>
      </c>
      <c r="O96" s="1096">
        <f t="shared" si="16"/>
        <v>0</v>
      </c>
      <c r="P96" s="753">
        <f>P$64*(P$54*($B$46*GREET1_Import_Export!$K76)+GREET1_Import_Export!$F$200*GREET1_Import_Export!$B205+GREET1_Import_Export!$F205)+P$65*(P$54*(GREET1_Import_Export!$O76)+GREET1_Import_Export!$G$200*GREET1_Import_Export!$B205+GREET1_Import_Export!$G205)+P$66*(P$54*(GREET1_Import_Export!$T76)+GREET1_Import_Export!$C$200*GREET1_Import_Export!$B205+GREET1_Import_Export!$C205)+P$67*(P$54*($B$47*GREET1_Import_Export!$B76)+GREET1_Import_Export!$B241)+P$68*(P$54*($B$48*GREET1_Import_Export!$AA76)+GREET1_Import_Export!$C294)+P$69*(P$54*(GREET1_Import_Export!$X76)+GREET1_Import_Export!$B$10*(GREET1_Import_Export!$F$215*GREET1_Import_Export!$E241+GREET1_Import_Export!$F241)+GREET1_Import_Export!$C$10*(GREET1_Import_Export!$E$200*GREET1_Import_Export!$B205+GREET1_Import_Export!$E205))+P$70*(GREET1_Import_Export!$D319+GREET1_Import_Export!$E319)+P$71*(GREET1_Import_Export!$B205)+P$72*(GREET1_Import_Export!$B241)</f>
        <v>20.426102409767147</v>
      </c>
      <c r="Q96" s="1096">
        <f t="shared" si="17"/>
        <v>0</v>
      </c>
      <c r="R96" s="753">
        <f>R$64*(R$54*($B$46*GREET1_Import_Export!$K76)+GREET1_Import_Export!$F$200*GREET1_Import_Export!$B205+GREET1_Import_Export!$F205)+R$65*(R$54*(GREET1_Import_Export!$O76)+GREET1_Import_Export!$G$200*GREET1_Import_Export!$B205+GREET1_Import_Export!$G205)+R$66*(R$54*(GREET1_Import_Export!$T76)+GREET1_Import_Export!$C$200*GREET1_Import_Export!$B205+GREET1_Import_Export!$C205)+R$67*(R$54*($B$47*GREET1_Import_Export!$B76)+GREET1_Import_Export!$B241)+R$68*(R$54*($B$48*GREET1_Import_Export!$AA76)+GREET1_Import_Export!$C294)+R$69*(R$54*(GREET1_Import_Export!$X76)+GREET1_Import_Export!$B$10*(GREET1_Import_Export!$F$215*GREET1_Import_Export!$E241+GREET1_Import_Export!$F241)+GREET1_Import_Export!$C$10*(GREET1_Import_Export!$E$200*GREET1_Import_Export!$B205+GREET1_Import_Export!$E205))+R$70*(GREET1_Import_Export!$D319+GREET1_Import_Export!$E319)+R$71*(GREET1_Import_Export!$B205)+R$72*(GREET1_Import_Export!$B241)</f>
        <v>25.447017115793724</v>
      </c>
      <c r="S96" s="1096">
        <f t="shared" si="18"/>
        <v>0</v>
      </c>
      <c r="T96" s="753">
        <f>T$64*(T$54*($B$46*GREET1_Import_Export!$K76)+GREET1_Import_Export!$F$200*GREET1_Import_Export!$B205+GREET1_Import_Export!$F205)+T$65*(T$54*(GREET1_Import_Export!$O76)+GREET1_Import_Export!$G$200*GREET1_Import_Export!$B205+GREET1_Import_Export!$G205)+T$66*(T$54*(GREET1_Import_Export!$T76)+GREET1_Import_Export!$C$200*GREET1_Import_Export!$B205+GREET1_Import_Export!$C205)+T$67*(T$54*($B$47*GREET1_Import_Export!$B76)+GREET1_Import_Export!$B241)+T$68*(T$54*($B$48*GREET1_Import_Export!$AA76)+GREET1_Import_Export!$C294)+T$69*(T$54*(GREET1_Import_Export!$X76)+GREET1_Import_Export!$B$10*(GREET1_Import_Export!$F$215*GREET1_Import_Export!$E241+GREET1_Import_Export!$F241)+GREET1_Import_Export!$C$10*(GREET1_Import_Export!$E$200*GREET1_Import_Export!$B205+GREET1_Import_Export!$E205))+T$70*(GREET1_Import_Export!$D319+GREET1_Import_Export!$E319)+T$71*(GREET1_Import_Export!$B205)+T$72*(GREET1_Import_Export!$B241)</f>
        <v>147.56561295711094</v>
      </c>
      <c r="U96" s="1096">
        <f t="shared" si="19"/>
        <v>0</v>
      </c>
      <c r="X96" s="1238"/>
      <c r="Y96" s="1592"/>
      <c r="Z96" s="1238"/>
      <c r="AA96" s="64"/>
      <c r="AB96" s="64"/>
      <c r="AC96" s="64"/>
      <c r="AD96" s="64"/>
      <c r="AE96" s="1592"/>
      <c r="AF96" s="1238"/>
      <c r="AG96" s="1592"/>
      <c r="AX96" s="1238"/>
      <c r="AY96" s="1592"/>
      <c r="AZ96" s="1238"/>
      <c r="BA96" s="1592"/>
      <c r="BB96" s="1238"/>
      <c r="BC96" s="1592"/>
      <c r="BD96" s="1238"/>
      <c r="BE96" s="1592"/>
      <c r="BF96" s="1238"/>
      <c r="BG96" s="1592"/>
      <c r="BH96" s="1238"/>
      <c r="BI96" s="1592"/>
      <c r="BJ96" s="1238"/>
      <c r="BK96" s="1592"/>
    </row>
    <row r="97" spans="1:83" s="349" customFormat="1">
      <c r="A97" s="494" t="s">
        <v>826</v>
      </c>
      <c r="B97" s="749">
        <f>B$64*(B$54*($B$46*GREET1_Import_Export!$K77)+GREET1_Import_Export!$F$200*GREET1_Import_Export!$B206+GREET1_Import_Export!$F206)+B$65*(B$54*(GREET1_Import_Export!$O77)+GREET1_Import_Export!$G$200*GREET1_Import_Export!$B206+GREET1_Import_Export!$G206)+B$66*(B$54*(GREET1_Import_Export!$T77)+GREET1_Import_Export!$C$200*GREET1_Import_Export!$B206+GREET1_Import_Export!$C206)+B$67*(B$54*($B$47*GREET1_Import_Export!$B77)+GREET1_Import_Export!$B242)+B$68*(B$54*($B$48*GREET1_Import_Export!$AA77)+GREET1_Import_Export!$C295)+B$69*(B$54*(GREET1_Import_Export!$X77)+GREET1_Import_Export!$B$10*(GREET1_Import_Export!$F$215*GREET1_Import_Export!$E242+GREET1_Import_Export!$F242)+GREET1_Import_Export!$C$10*(GREET1_Import_Export!$E$200*GREET1_Import_Export!$B206+GREET1_Import_Export!$E206))+B$70*(GREET1_Import_Export!$D320+GREET1_Import_Export!$E320)+B$71*(GREET1_Import_Export!$B206)+B$72*(GREET1_Import_Export!$B242)</f>
        <v>145.51580023447482</v>
      </c>
      <c r="C97" s="1096">
        <f t="shared" si="10"/>
        <v>0</v>
      </c>
      <c r="D97" s="749">
        <f>D$64*(D$54*($B$46*GREET1_Import_Export!$K77)+GREET1_Import_Export!$F$200*GREET1_Import_Export!$B206+GREET1_Import_Export!$F206)+D$65*(D$54*(GREET1_Import_Export!$O77)+GREET1_Import_Export!$G$200*GREET1_Import_Export!$B206+GREET1_Import_Export!$G206)+D$66*(D$54*(GREET1_Import_Export!$T77)+GREET1_Import_Export!$C$200*GREET1_Import_Export!$B206+GREET1_Import_Export!$C206)+D$67*(D$54*($B$47*GREET1_Import_Export!$B77)+GREET1_Import_Export!$B242)+D$68*(D$54*($B$48*GREET1_Import_Export!$AA77)+GREET1_Import_Export!$C295)+D$69*(D$54*(GREET1_Import_Export!$X77)+GREET1_Import_Export!$B$10*(GREET1_Import_Export!$F$215*GREET1_Import_Export!$E242+GREET1_Import_Export!$F242)+GREET1_Import_Export!$C$10*(GREET1_Import_Export!$E$200*GREET1_Import_Export!$B206+GREET1_Import_Export!$E206))+D$70*(GREET1_Import_Export!$D320+GREET1_Import_Export!$E320)+D$71*(GREET1_Import_Export!$B206)+D$72*(GREET1_Import_Export!$B242)</f>
        <v>2.3173531067392132</v>
      </c>
      <c r="E97" s="1096">
        <f t="shared" si="11"/>
        <v>0</v>
      </c>
      <c r="F97" s="749">
        <f>F$64*(F$54*($B$46*GREET1_Import_Export!$K77)+GREET1_Import_Export!$F$200*GREET1_Import_Export!$B206+GREET1_Import_Export!$F206)+F$65*(F$54*(GREET1_Import_Export!$O77)+GREET1_Import_Export!$G$200*GREET1_Import_Export!$B206+GREET1_Import_Export!$G206)+F$66*(F$54*(GREET1_Import_Export!$T77)+GREET1_Import_Export!$C$200*GREET1_Import_Export!$B206+GREET1_Import_Export!$C206)+F$67*(F$54*($B$47*GREET1_Import_Export!$B77)+GREET1_Import_Export!$B242)+F$68*(F$54*($B$48*GREET1_Import_Export!$AA77)+GREET1_Import_Export!$C295)+F$69*(F$54*(GREET1_Import_Export!$X77)+GREET1_Import_Export!$B$10*(GREET1_Import_Export!$F$215*GREET1_Import_Export!$E242+GREET1_Import_Export!$F242)+GREET1_Import_Export!$C$10*(GREET1_Import_Export!$E$200*GREET1_Import_Export!$B206+GREET1_Import_Export!$E206))+F$70*(GREET1_Import_Export!$D320+GREET1_Import_Export!$E320)+F$71*(GREET1_Import_Export!$B206)+F$72*(GREET1_Import_Export!$B242)</f>
        <v>56.983762942409165</v>
      </c>
      <c r="G97" s="1096">
        <f t="shared" si="12"/>
        <v>0</v>
      </c>
      <c r="H97" s="749">
        <f>H$64*(H$54*($B$46*GREET1_Import_Export!$K77)+GREET1_Import_Export!$F$200*GREET1_Import_Export!$B206+GREET1_Import_Export!$F206)+H$65*(H$54*(GREET1_Import_Export!$O77)+GREET1_Import_Export!$G$200*GREET1_Import_Export!$B206+GREET1_Import_Export!$G206)+H$66*(H$54*(GREET1_Import_Export!$T77)+GREET1_Import_Export!$C$200*GREET1_Import_Export!$B206+GREET1_Import_Export!$C206)+H$67*(H$54*($B$47*GREET1_Import_Export!$B77)+GREET1_Import_Export!$B242)+H$68*(H$54*($B$48*GREET1_Import_Export!$AA77)+GREET1_Import_Export!$C295)+H$69*(H$54*(GREET1_Import_Export!$X77)+GREET1_Import_Export!$B$10*(GREET1_Import_Export!$F$215*GREET1_Import_Export!$E242+GREET1_Import_Export!$F242)+GREET1_Import_Export!$C$10*(GREET1_Import_Export!$E$200*GREET1_Import_Export!$B206+GREET1_Import_Export!$E206))+H$70*(GREET1_Import_Export!$D320+GREET1_Import_Export!$E320)+H$71*(GREET1_Import_Export!$B206)+H$72*(GREET1_Import_Export!$B242)</f>
        <v>70.008623043531259</v>
      </c>
      <c r="I97" s="1096">
        <f t="shared" si="13"/>
        <v>0</v>
      </c>
      <c r="J97" s="749">
        <f>J$64*(J$54*($B$46*GREET1_Import_Export!$K77)+GREET1_Import_Export!$F$200*GREET1_Import_Export!$B206+GREET1_Import_Export!$F206)+J$65*(J$54*(GREET1_Import_Export!$O77)+GREET1_Import_Export!$G$200*GREET1_Import_Export!$B206+GREET1_Import_Export!$G206)+J$66*(J$54*(GREET1_Import_Export!$T77)+GREET1_Import_Export!$C$200*GREET1_Import_Export!$B206+GREET1_Import_Export!$C206)+J$67*(J$54*($B$47*GREET1_Import_Export!$B77)+GREET1_Import_Export!$B242)+J$68*(J$54*($B$48*GREET1_Import_Export!$AA77)+GREET1_Import_Export!$C295)+J$69*(J$54*(GREET1_Import_Export!$X77)+GREET1_Import_Export!$B$10*(GREET1_Import_Export!$F$215*GREET1_Import_Export!$E242+GREET1_Import_Export!$F242)+GREET1_Import_Export!$C$10*(GREET1_Import_Export!$E$200*GREET1_Import_Export!$B206+GREET1_Import_Export!$E206))+J$70*(GREET1_Import_Export!$D320+GREET1_Import_Export!$E320)+J$71*(GREET1_Import_Export!$B206)+J$72*(GREET1_Import_Export!$B242)</f>
        <v>208.37883013524842</v>
      </c>
      <c r="K97" s="1096">
        <f t="shared" si="14"/>
        <v>0</v>
      </c>
      <c r="L97" s="749">
        <f>L$64*(L$54*($B$46*GREET1_Import_Export!$K77)+GREET1_Import_Export!$F$200*GREET1_Import_Export!$B206+GREET1_Import_Export!$F206)+L$65*(L$54*(GREET1_Import_Export!$O77)+GREET1_Import_Export!$G$200*GREET1_Import_Export!$B206+GREET1_Import_Export!$G206)+L$66*(L$54*(GREET1_Import_Export!$T77)+GREET1_Import_Export!$C$200*GREET1_Import_Export!$B206+GREET1_Import_Export!$C206)+L$67*(L$54*($B$47*GREET1_Import_Export!$B77)+GREET1_Import_Export!$B242)+L$68*(L$54*($B$48*GREET1_Import_Export!$AA77)+GREET1_Import_Export!$C295)+L$69*(L$54*(GREET1_Import_Export!$X77)+GREET1_Import_Export!$B$10*(GREET1_Import_Export!$F$215*GREET1_Import_Export!$E242+GREET1_Import_Export!$F242)+GREET1_Import_Export!$C$10*(GREET1_Import_Export!$E$200*GREET1_Import_Export!$B206+GREET1_Import_Export!$E206))+L$70*(GREET1_Import_Export!$D320+GREET1_Import_Export!$E320)+L$71*(GREET1_Import_Export!$B206)+L$72*(GREET1_Import_Export!$B242)</f>
        <v>28.99787598485327</v>
      </c>
      <c r="M97" s="1096">
        <f t="shared" si="15"/>
        <v>0</v>
      </c>
      <c r="N97" s="753">
        <f>N$64*(N$54*($B$46*GREET1_Import_Export!$K77)+GREET1_Import_Export!$F$200*GREET1_Import_Export!$B206+GREET1_Import_Export!$F206)+N$65*(N$54*(GREET1_Import_Export!$O77)+GREET1_Import_Export!$G$200*GREET1_Import_Export!$B206+GREET1_Import_Export!$G206)+N$66*(N$54*(GREET1_Import_Export!$T77)+GREET1_Import_Export!$C$200*GREET1_Import_Export!$B206+GREET1_Import_Export!$C206)+N$67*(N$54*($B$47*GREET1_Import_Export!$B77)+GREET1_Import_Export!$B242)+N$68*(N$54*($B$48*GREET1_Import_Export!$AA77)+GREET1_Import_Export!$C295)+N$69*(N$54*(GREET1_Import_Export!$X77)+GREET1_Import_Export!$B$10*(GREET1_Import_Export!$F$215*GREET1_Import_Export!$E242+GREET1_Import_Export!$F242)+GREET1_Import_Export!$C$10*(GREET1_Import_Export!$E$200*GREET1_Import_Export!$B206+GREET1_Import_Export!$E206))+N$70*(GREET1_Import_Export!$D320+GREET1_Import_Export!$E320)+N$71*(GREET1_Import_Export!$B206)+N$72*(GREET1_Import_Export!$B242)</f>
        <v>6.7264221538225133</v>
      </c>
      <c r="O97" s="1096">
        <f t="shared" si="16"/>
        <v>0</v>
      </c>
      <c r="P97" s="753">
        <f>P$64*(P$54*($B$46*GREET1_Import_Export!$K77)+GREET1_Import_Export!$F$200*GREET1_Import_Export!$B206+GREET1_Import_Export!$F206)+P$65*(P$54*(GREET1_Import_Export!$O77)+GREET1_Import_Export!$G$200*GREET1_Import_Export!$B206+GREET1_Import_Export!$G206)+P$66*(P$54*(GREET1_Import_Export!$T77)+GREET1_Import_Export!$C$200*GREET1_Import_Export!$B206+GREET1_Import_Export!$C206)+P$67*(P$54*($B$47*GREET1_Import_Export!$B77)+GREET1_Import_Export!$B242)+P$68*(P$54*($B$48*GREET1_Import_Export!$AA77)+GREET1_Import_Export!$C295)+P$69*(P$54*(GREET1_Import_Export!$X77)+GREET1_Import_Export!$B$10*(GREET1_Import_Export!$F$215*GREET1_Import_Export!$E242+GREET1_Import_Export!$F242)+GREET1_Import_Export!$C$10*(GREET1_Import_Export!$E$200*GREET1_Import_Export!$B206+GREET1_Import_Export!$E206))+P$70*(GREET1_Import_Export!$D320+GREET1_Import_Export!$E320)+P$71*(GREET1_Import_Export!$B206)+P$72*(GREET1_Import_Export!$B242)</f>
        <v>107.79107907608324</v>
      </c>
      <c r="Q97" s="1096">
        <f t="shared" si="17"/>
        <v>0</v>
      </c>
      <c r="R97" s="753">
        <f>R$64*(R$54*($B$46*GREET1_Import_Export!$K77)+GREET1_Import_Export!$F$200*GREET1_Import_Export!$B206+GREET1_Import_Export!$F206)+R$65*(R$54*(GREET1_Import_Export!$O77)+GREET1_Import_Export!$G$200*GREET1_Import_Export!$B206+GREET1_Import_Export!$G206)+R$66*(R$54*(GREET1_Import_Export!$T77)+GREET1_Import_Export!$C$200*GREET1_Import_Export!$B206+GREET1_Import_Export!$C206)+R$67*(R$54*($B$47*GREET1_Import_Export!$B77)+GREET1_Import_Export!$B242)+R$68*(R$54*($B$48*GREET1_Import_Export!$AA77)+GREET1_Import_Export!$C295)+R$69*(R$54*(GREET1_Import_Export!$X77)+GREET1_Import_Export!$B$10*(GREET1_Import_Export!$F$215*GREET1_Import_Export!$E242+GREET1_Import_Export!$F242)+GREET1_Import_Export!$C$10*(GREET1_Import_Export!$E$200*GREET1_Import_Export!$B206+GREET1_Import_Export!$E206))+R$70*(GREET1_Import_Export!$D320+GREET1_Import_Export!$E320)+R$71*(GREET1_Import_Export!$B206)+R$72*(GREET1_Import_Export!$B242)</f>
        <v>215.36454725343745</v>
      </c>
      <c r="S97" s="1096">
        <f t="shared" si="18"/>
        <v>0</v>
      </c>
      <c r="T97" s="753">
        <f>T$64*(T$54*($B$46*GREET1_Import_Export!$K77)+GREET1_Import_Export!$F$200*GREET1_Import_Export!$B206+GREET1_Import_Export!$F206)+T$65*(T$54*(GREET1_Import_Export!$O77)+GREET1_Import_Export!$G$200*GREET1_Import_Export!$B206+GREET1_Import_Export!$G206)+T$66*(T$54*(GREET1_Import_Export!$T77)+GREET1_Import_Export!$C$200*GREET1_Import_Export!$B206+GREET1_Import_Export!$C206)+T$67*(T$54*($B$47*GREET1_Import_Export!$B77)+GREET1_Import_Export!$B242)+T$68*(T$54*($B$48*GREET1_Import_Export!$AA77)+GREET1_Import_Export!$C295)+T$69*(T$54*(GREET1_Import_Export!$X77)+GREET1_Import_Export!$B$10*(GREET1_Import_Export!$F$215*GREET1_Import_Export!$E242+GREET1_Import_Export!$F242)+GREET1_Import_Export!$C$10*(GREET1_Import_Export!$E$200*GREET1_Import_Export!$B206+GREET1_Import_Export!$E206))+T$70*(GREET1_Import_Export!$D320+GREET1_Import_Export!$E320)+T$71*(GREET1_Import_Export!$B206)+T$72*(GREET1_Import_Export!$B242)</f>
        <v>1249.0815312732734</v>
      </c>
      <c r="U97" s="1096">
        <f t="shared" si="19"/>
        <v>0</v>
      </c>
      <c r="X97" s="1238"/>
      <c r="Y97" s="1592"/>
      <c r="Z97" s="1238"/>
      <c r="AA97" s="64"/>
      <c r="AB97" s="64"/>
      <c r="AC97" s="64"/>
      <c r="AD97" s="64"/>
      <c r="AE97" s="1592"/>
      <c r="AF97" s="1238"/>
      <c r="AG97" s="1592"/>
      <c r="AX97" s="1238"/>
      <c r="AY97" s="1592"/>
      <c r="AZ97" s="1238"/>
      <c r="BA97" s="1592"/>
      <c r="BB97" s="1238"/>
      <c r="BC97" s="1592"/>
      <c r="BD97" s="1238"/>
      <c r="BE97" s="1592"/>
      <c r="BF97" s="1238"/>
      <c r="BG97" s="1592"/>
      <c r="BH97" s="1238"/>
      <c r="BI97" s="1592"/>
      <c r="BJ97" s="1238"/>
      <c r="BK97" s="1592"/>
    </row>
    <row r="98" spans="1:83" s="349" customFormat="1">
      <c r="A98" s="494" t="s">
        <v>827</v>
      </c>
      <c r="B98" s="749">
        <f>B$64*(B$54*($B$46*GREET1_Import_Export!$K78)+GREET1_Import_Export!$F$200*GREET1_Import_Export!$B207+GREET1_Import_Export!$F207)+B$65*(B$54*(GREET1_Import_Export!$O78)+GREET1_Import_Export!$G$200*GREET1_Import_Export!$B207+GREET1_Import_Export!$G207)+B$66*(B$54*(GREET1_Import_Export!$T78)+GREET1_Import_Export!$C$200*GREET1_Import_Export!$B207+GREET1_Import_Export!$C207)+B$67*(B$54*($B$47*GREET1_Import_Export!$B78)+GREET1_Import_Export!$B243)+B$68*(B$54*($B$48*GREET1_Import_Export!$AA78)+GREET1_Import_Export!$C296)+B$69*(B$54*(GREET1_Import_Export!$X78)+GREET1_Import_Export!$B$10*(GREET1_Import_Export!$F$215*GREET1_Import_Export!$E243+GREET1_Import_Export!$F243)+GREET1_Import_Export!$C$10*(GREET1_Import_Export!$E$200*GREET1_Import_Export!$B207+GREET1_Import_Export!$E207))+B$70*(GREET1_Import_Export!$D321+GREET1_Import_Export!$E321)+B$71*(GREET1_Import_Export!$B207)+B$72*(GREET1_Import_Export!$B243)</f>
        <v>1.3116429563131717</v>
      </c>
      <c r="C98" s="1096">
        <f t="shared" si="10"/>
        <v>0</v>
      </c>
      <c r="D98" s="749">
        <f>D$64*(D$54*($B$46*GREET1_Import_Export!$K78)+GREET1_Import_Export!$F$200*GREET1_Import_Export!$B207+GREET1_Import_Export!$F207)+D$65*(D$54*(GREET1_Import_Export!$O78)+GREET1_Import_Export!$G$200*GREET1_Import_Export!$B207+GREET1_Import_Export!$G207)+D$66*(D$54*(GREET1_Import_Export!$T78)+GREET1_Import_Export!$C$200*GREET1_Import_Export!$B207+GREET1_Import_Export!$C207)+D$67*(D$54*($B$47*GREET1_Import_Export!$B78)+GREET1_Import_Export!$B243)+D$68*(D$54*($B$48*GREET1_Import_Export!$AA78)+GREET1_Import_Export!$C296)+D$69*(D$54*(GREET1_Import_Export!$X78)+GREET1_Import_Export!$B$10*(GREET1_Import_Export!$F$215*GREET1_Import_Export!$E243+GREET1_Import_Export!$F243)+GREET1_Import_Export!$C$10*(GREET1_Import_Export!$E$200*GREET1_Import_Export!$B207+GREET1_Import_Export!$E207))+D$70*(GREET1_Import_Export!$D321+GREET1_Import_Export!$E321)+D$71*(GREET1_Import_Export!$B207)+D$72*(GREET1_Import_Export!$B243)</f>
        <v>3.1944346944633384E-2</v>
      </c>
      <c r="E98" s="1096">
        <f t="shared" si="11"/>
        <v>0</v>
      </c>
      <c r="F98" s="749">
        <f>F$64*(F$54*($B$46*GREET1_Import_Export!$K78)+GREET1_Import_Export!$F$200*GREET1_Import_Export!$B207+GREET1_Import_Export!$F207)+F$65*(F$54*(GREET1_Import_Export!$O78)+GREET1_Import_Export!$G$200*GREET1_Import_Export!$B207+GREET1_Import_Export!$G207)+F$66*(F$54*(GREET1_Import_Export!$T78)+GREET1_Import_Export!$C$200*GREET1_Import_Export!$B207+GREET1_Import_Export!$C207)+F$67*(F$54*($B$47*GREET1_Import_Export!$B78)+GREET1_Import_Export!$B243)+F$68*(F$54*($B$48*GREET1_Import_Export!$AA78)+GREET1_Import_Export!$C296)+F$69*(F$54*(GREET1_Import_Export!$X78)+GREET1_Import_Export!$B$10*(GREET1_Import_Export!$F$215*GREET1_Import_Export!$E243+GREET1_Import_Export!$F243)+GREET1_Import_Export!$C$10*(GREET1_Import_Export!$E$200*GREET1_Import_Export!$B207+GREET1_Import_Export!$E207))+F$70*(GREET1_Import_Export!$D321+GREET1_Import_Export!$E321)+F$71*(GREET1_Import_Export!$B207)+F$72*(GREET1_Import_Export!$B243)</f>
        <v>0.34699549191613566</v>
      </c>
      <c r="G98" s="1096">
        <f t="shared" si="12"/>
        <v>0</v>
      </c>
      <c r="H98" s="749">
        <f>H$64*(H$54*($B$46*GREET1_Import_Export!$K78)+GREET1_Import_Export!$F$200*GREET1_Import_Export!$B207+GREET1_Import_Export!$F207)+H$65*(H$54*(GREET1_Import_Export!$O78)+GREET1_Import_Export!$G$200*GREET1_Import_Export!$B207+GREET1_Import_Export!$G207)+H$66*(H$54*(GREET1_Import_Export!$T78)+GREET1_Import_Export!$C$200*GREET1_Import_Export!$B207+GREET1_Import_Export!$C207)+H$67*(H$54*($B$47*GREET1_Import_Export!$B78)+GREET1_Import_Export!$B243)+H$68*(H$54*($B$48*GREET1_Import_Export!$AA78)+GREET1_Import_Export!$C296)+H$69*(H$54*(GREET1_Import_Export!$X78)+GREET1_Import_Export!$B$10*(GREET1_Import_Export!$F$215*GREET1_Import_Export!$E243+GREET1_Import_Export!$F243)+GREET1_Import_Export!$C$10*(GREET1_Import_Export!$E$200*GREET1_Import_Export!$B207+GREET1_Import_Export!$E207))+H$70*(GREET1_Import_Export!$D321+GREET1_Import_Export!$E321)+H$71*(GREET1_Import_Export!$B207)+H$72*(GREET1_Import_Export!$B243)</f>
        <v>0.42630874721125239</v>
      </c>
      <c r="I98" s="1096">
        <f t="shared" si="13"/>
        <v>0</v>
      </c>
      <c r="J98" s="749">
        <f>J$64*(J$54*($B$46*GREET1_Import_Export!$K78)+GREET1_Import_Export!$F$200*GREET1_Import_Export!$B207+GREET1_Import_Export!$F207)+J$65*(J$54*(GREET1_Import_Export!$O78)+GREET1_Import_Export!$G$200*GREET1_Import_Export!$B207+GREET1_Import_Export!$G207)+J$66*(J$54*(GREET1_Import_Export!$T78)+GREET1_Import_Export!$C$200*GREET1_Import_Export!$B207+GREET1_Import_Export!$C207)+J$67*(J$54*($B$47*GREET1_Import_Export!$B78)+GREET1_Import_Export!$B243)+J$68*(J$54*($B$48*GREET1_Import_Export!$AA78)+GREET1_Import_Export!$C296)+J$69*(J$54*(GREET1_Import_Export!$X78)+GREET1_Import_Export!$B$10*(GREET1_Import_Export!$F$215*GREET1_Import_Export!$E243+GREET1_Import_Export!$F243)+GREET1_Import_Export!$C$10*(GREET1_Import_Export!$E$200*GREET1_Import_Export!$B207+GREET1_Import_Export!$E207))+J$70*(GREET1_Import_Export!$D321+GREET1_Import_Export!$E321)+J$71*(GREET1_Import_Export!$B207)+J$72*(GREET1_Import_Export!$B243)</f>
        <v>1.2688968038275432</v>
      </c>
      <c r="K98" s="1096">
        <f t="shared" si="14"/>
        <v>0</v>
      </c>
      <c r="L98" s="749">
        <f>L$64*(L$54*($B$46*GREET1_Import_Export!$K78)+GREET1_Import_Export!$F$200*GREET1_Import_Export!$B207+GREET1_Import_Export!$F207)+L$65*(L$54*(GREET1_Import_Export!$O78)+GREET1_Import_Export!$G$200*GREET1_Import_Export!$B207+GREET1_Import_Export!$G207)+L$66*(L$54*(GREET1_Import_Export!$T78)+GREET1_Import_Export!$C$200*GREET1_Import_Export!$B207+GREET1_Import_Export!$C207)+L$67*(L$54*($B$47*GREET1_Import_Export!$B78)+GREET1_Import_Export!$B243)+L$68*(L$54*($B$48*GREET1_Import_Export!$AA78)+GREET1_Import_Export!$C296)+L$69*(L$54*(GREET1_Import_Export!$X78)+GREET1_Import_Export!$B$10*(GREET1_Import_Export!$F$215*GREET1_Import_Export!$E243+GREET1_Import_Export!$F243)+GREET1_Import_Export!$C$10*(GREET1_Import_Export!$E$200*GREET1_Import_Export!$B207+GREET1_Import_Export!$E207))+L$70*(GREET1_Import_Export!$D321+GREET1_Import_Export!$E321)+L$71*(GREET1_Import_Export!$B207)+L$72*(GREET1_Import_Export!$B243)</f>
        <v>0.2943263742661183</v>
      </c>
      <c r="M98" s="1096">
        <f t="shared" si="15"/>
        <v>0</v>
      </c>
      <c r="N98" s="753">
        <f>N$64*(N$54*($B$46*GREET1_Import_Export!$K78)+GREET1_Import_Export!$F$200*GREET1_Import_Export!$B207+GREET1_Import_Export!$F207)+N$65*(N$54*(GREET1_Import_Export!$O78)+GREET1_Import_Export!$G$200*GREET1_Import_Export!$B207+GREET1_Import_Export!$G207)+N$66*(N$54*(GREET1_Import_Export!$T78)+GREET1_Import_Export!$C$200*GREET1_Import_Export!$B207+GREET1_Import_Export!$C207)+N$67*(N$54*($B$47*GREET1_Import_Export!$B78)+GREET1_Import_Export!$B243)+N$68*(N$54*($B$48*GREET1_Import_Export!$AA78)+GREET1_Import_Export!$C296)+N$69*(N$54*(GREET1_Import_Export!$X78)+GREET1_Import_Export!$B$10*(GREET1_Import_Export!$F$215*GREET1_Import_Export!$E243+GREET1_Import_Export!$F243)+GREET1_Import_Export!$C$10*(GREET1_Import_Export!$E$200*GREET1_Import_Export!$B207+GREET1_Import_Export!$E207))+N$70*(GREET1_Import_Export!$D321+GREET1_Import_Export!$E321)+N$71*(GREET1_Import_Export!$B207)+N$72*(GREET1_Import_Export!$B243)</f>
        <v>4.4043067510306913E-2</v>
      </c>
      <c r="O98" s="1096">
        <f t="shared" si="16"/>
        <v>0</v>
      </c>
      <c r="P98" s="753">
        <f>P$64*(P$54*($B$46*GREET1_Import_Export!$K78)+GREET1_Import_Export!$F$200*GREET1_Import_Export!$B207+GREET1_Import_Export!$F207)+P$65*(P$54*(GREET1_Import_Export!$O78)+GREET1_Import_Export!$G$200*GREET1_Import_Export!$B207+GREET1_Import_Export!$G207)+P$66*(P$54*(GREET1_Import_Export!$T78)+GREET1_Import_Export!$C$200*GREET1_Import_Export!$B207+GREET1_Import_Export!$C207)+P$67*(P$54*($B$47*GREET1_Import_Export!$B78)+GREET1_Import_Export!$B243)+P$68*(P$54*($B$48*GREET1_Import_Export!$AA78)+GREET1_Import_Export!$C296)+P$69*(P$54*(GREET1_Import_Export!$X78)+GREET1_Import_Export!$B$10*(GREET1_Import_Export!$F$215*GREET1_Import_Export!$E243+GREET1_Import_Export!$F243)+GREET1_Import_Export!$C$10*(GREET1_Import_Export!$E$200*GREET1_Import_Export!$B207+GREET1_Import_Export!$E207))+P$70*(GREET1_Import_Export!$D321+GREET1_Import_Export!$E321)+P$71*(GREET1_Import_Export!$B207)+P$72*(GREET1_Import_Export!$B243)</f>
        <v>1.7727168470343049</v>
      </c>
      <c r="Q98" s="1096">
        <f t="shared" si="17"/>
        <v>0</v>
      </c>
      <c r="R98" s="753">
        <f>R$64*(R$54*($B$46*GREET1_Import_Export!$K78)+GREET1_Import_Export!$F$200*GREET1_Import_Export!$B207+GREET1_Import_Export!$F207)+R$65*(R$54*(GREET1_Import_Export!$O78)+GREET1_Import_Export!$G$200*GREET1_Import_Export!$B207+GREET1_Import_Export!$G207)+R$66*(R$54*(GREET1_Import_Export!$T78)+GREET1_Import_Export!$C$200*GREET1_Import_Export!$B207+GREET1_Import_Export!$C207)+R$67*(R$54*($B$47*GREET1_Import_Export!$B78)+GREET1_Import_Export!$B243)+R$68*(R$54*($B$48*GREET1_Import_Export!$AA78)+GREET1_Import_Export!$C296)+R$69*(R$54*(GREET1_Import_Export!$X78)+GREET1_Import_Export!$B$10*(GREET1_Import_Export!$F$215*GREET1_Import_Export!$E243+GREET1_Import_Export!$F243)+GREET1_Import_Export!$C$10*(GREET1_Import_Export!$E$200*GREET1_Import_Export!$B207+GREET1_Import_Export!$E207))+R$70*(GREET1_Import_Export!$D321+GREET1_Import_Export!$E321)+R$71*(GREET1_Import_Export!$B207)+R$72*(GREET1_Import_Export!$B243)</f>
        <v>1.3114354538332091</v>
      </c>
      <c r="S98" s="1096">
        <f t="shared" si="18"/>
        <v>0</v>
      </c>
      <c r="T98" s="753">
        <f>T$64*(T$54*($B$46*GREET1_Import_Export!$K78)+GREET1_Import_Export!$F$200*GREET1_Import_Export!$B207+GREET1_Import_Export!$F207)+T$65*(T$54*(GREET1_Import_Export!$O78)+GREET1_Import_Export!$G$200*GREET1_Import_Export!$B207+GREET1_Import_Export!$G207)+T$66*(T$54*(GREET1_Import_Export!$T78)+GREET1_Import_Export!$C$200*GREET1_Import_Export!$B207+GREET1_Import_Export!$C207)+T$67*(T$54*($B$47*GREET1_Import_Export!$B78)+GREET1_Import_Export!$B243)+T$68*(T$54*($B$48*GREET1_Import_Export!$AA78)+GREET1_Import_Export!$C296)+T$69*(T$54*(GREET1_Import_Export!$X78)+GREET1_Import_Export!$B$10*(GREET1_Import_Export!$F$215*GREET1_Import_Export!$E243+GREET1_Import_Export!$F243)+GREET1_Import_Export!$C$10*(GREET1_Import_Export!$E$200*GREET1_Import_Export!$B207+GREET1_Import_Export!$E207))+T$70*(GREET1_Import_Export!$D321+GREET1_Import_Export!$E321)+T$71*(GREET1_Import_Export!$B207)+T$72*(GREET1_Import_Export!$B243)</f>
        <v>7.6142547673126932</v>
      </c>
      <c r="U98" s="1096">
        <f t="shared" si="19"/>
        <v>0</v>
      </c>
      <c r="X98" s="1238"/>
      <c r="Y98" s="1592"/>
      <c r="Z98" s="1238"/>
      <c r="AA98" s="64"/>
      <c r="AB98" s="64"/>
      <c r="AC98" s="64"/>
      <c r="AD98" s="64"/>
      <c r="AE98" s="1592"/>
      <c r="AF98" s="1238"/>
      <c r="AG98" s="1592"/>
      <c r="AX98" s="1238"/>
      <c r="AY98" s="1592"/>
      <c r="AZ98" s="1238"/>
      <c r="BA98" s="1592"/>
      <c r="BB98" s="1238"/>
      <c r="BC98" s="1592"/>
      <c r="BD98" s="1238"/>
      <c r="BE98" s="1592"/>
      <c r="BF98" s="1238"/>
      <c r="BG98" s="1592"/>
      <c r="BH98" s="1238"/>
      <c r="BI98" s="1592"/>
      <c r="BJ98" s="1238"/>
      <c r="BK98" s="1592"/>
    </row>
    <row r="99" spans="1:83" s="349" customFormat="1">
      <c r="A99" s="494" t="s">
        <v>828</v>
      </c>
      <c r="B99" s="749">
        <f>B$64*(B$54*($B$46*GREET1_Import_Export!$K79)+GREET1_Import_Export!$F$200*GREET1_Import_Export!$B208+GREET1_Import_Export!$F208)+B$65*(B$54*(GREET1_Import_Export!$O79)+GREET1_Import_Export!$G$200*GREET1_Import_Export!$B208+GREET1_Import_Export!$G208)+B$66*(B$54*(GREET1_Import_Export!$T79)+GREET1_Import_Export!$C$200*GREET1_Import_Export!$B208+GREET1_Import_Export!$C208)+B$67*(B$54*($B$47*GREET1_Import_Export!$B79)+GREET1_Import_Export!$B244)+B$68*(B$54*($B$48*GREET1_Import_Export!$AA79)+GREET1_Import_Export!$C297)+B$69*(B$54*(GREET1_Import_Export!$X79)+GREET1_Import_Export!$B$10*(GREET1_Import_Export!$F$215*GREET1_Import_Export!$E244+GREET1_Import_Export!$F244)+GREET1_Import_Export!$C$10*(GREET1_Import_Export!$E$200*GREET1_Import_Export!$B208+GREET1_Import_Export!$E208))+B$70*(GREET1_Import_Export!$D322+GREET1_Import_Export!$E322)+B$71*(GREET1_Import_Export!$B208)+B$72*(GREET1_Import_Export!$B244)</f>
        <v>5.1959092997262371</v>
      </c>
      <c r="C99" s="1096">
        <f t="shared" si="10"/>
        <v>0</v>
      </c>
      <c r="D99" s="749">
        <f>D$64*(D$54*($B$46*GREET1_Import_Export!$K79)+GREET1_Import_Export!$F$200*GREET1_Import_Export!$B208+GREET1_Import_Export!$F208)+D$65*(D$54*(GREET1_Import_Export!$O79)+GREET1_Import_Export!$G$200*GREET1_Import_Export!$B208+GREET1_Import_Export!$G208)+D$66*(D$54*(GREET1_Import_Export!$T79)+GREET1_Import_Export!$C$200*GREET1_Import_Export!$B208+GREET1_Import_Export!$C208)+D$67*(D$54*($B$47*GREET1_Import_Export!$B79)+GREET1_Import_Export!$B244)+D$68*(D$54*($B$48*GREET1_Import_Export!$AA79)+GREET1_Import_Export!$C297)+D$69*(D$54*(GREET1_Import_Export!$X79)+GREET1_Import_Export!$B$10*(GREET1_Import_Export!$F$215*GREET1_Import_Export!$E244+GREET1_Import_Export!$F244)+GREET1_Import_Export!$C$10*(GREET1_Import_Export!$E$200*GREET1_Import_Export!$B208+GREET1_Import_Export!$E208))+D$70*(GREET1_Import_Export!$D322+GREET1_Import_Export!$E322)+D$71*(GREET1_Import_Export!$B208)+D$72*(GREET1_Import_Export!$B244)</f>
        <v>9.3107721108992209E-2</v>
      </c>
      <c r="E99" s="1096">
        <f t="shared" si="11"/>
        <v>0</v>
      </c>
      <c r="F99" s="749">
        <f>F$64*(F$54*($B$46*GREET1_Import_Export!$K79)+GREET1_Import_Export!$F$200*GREET1_Import_Export!$B208+GREET1_Import_Export!$F208)+F$65*(F$54*(GREET1_Import_Export!$O79)+GREET1_Import_Export!$G$200*GREET1_Import_Export!$B208+GREET1_Import_Export!$G208)+F$66*(F$54*(GREET1_Import_Export!$T79)+GREET1_Import_Export!$C$200*GREET1_Import_Export!$B208+GREET1_Import_Export!$C208)+F$67*(F$54*($B$47*GREET1_Import_Export!$B79)+GREET1_Import_Export!$B244)+F$68*(F$54*($B$48*GREET1_Import_Export!$AA79)+GREET1_Import_Export!$C297)+F$69*(F$54*(GREET1_Import_Export!$X79)+GREET1_Import_Export!$B$10*(GREET1_Import_Export!$F$215*GREET1_Import_Export!$E244+GREET1_Import_Export!$F244)+GREET1_Import_Export!$C$10*(GREET1_Import_Export!$E$200*GREET1_Import_Export!$B208+GREET1_Import_Export!$E208))+F$70*(GREET1_Import_Export!$D322+GREET1_Import_Export!$E322)+F$71*(GREET1_Import_Export!$B208)+F$72*(GREET1_Import_Export!$B244)</f>
        <v>1.9256925478915121</v>
      </c>
      <c r="G99" s="1096">
        <f t="shared" si="12"/>
        <v>0</v>
      </c>
      <c r="H99" s="749">
        <f>H$64*(H$54*($B$46*GREET1_Import_Export!$K79)+GREET1_Import_Export!$F$200*GREET1_Import_Export!$B208+GREET1_Import_Export!$F208)+H$65*(H$54*(GREET1_Import_Export!$O79)+GREET1_Import_Export!$G$200*GREET1_Import_Export!$B208+GREET1_Import_Export!$G208)+H$66*(H$54*(GREET1_Import_Export!$T79)+GREET1_Import_Export!$C$200*GREET1_Import_Export!$B208+GREET1_Import_Export!$C208)+H$67*(H$54*($B$47*GREET1_Import_Export!$B79)+GREET1_Import_Export!$B244)+H$68*(H$54*($B$48*GREET1_Import_Export!$AA79)+GREET1_Import_Export!$C297)+H$69*(H$54*(GREET1_Import_Export!$X79)+GREET1_Import_Export!$B$10*(GREET1_Import_Export!$F$215*GREET1_Import_Export!$E244+GREET1_Import_Export!$F244)+GREET1_Import_Export!$C$10*(GREET1_Import_Export!$E$200*GREET1_Import_Export!$B208+GREET1_Import_Export!$E208))+H$70*(GREET1_Import_Export!$D322+GREET1_Import_Export!$E322)+H$71*(GREET1_Import_Export!$B208)+H$72*(GREET1_Import_Export!$B244)</f>
        <v>2.3658508445524293</v>
      </c>
      <c r="I99" s="1096">
        <f t="shared" si="13"/>
        <v>0</v>
      </c>
      <c r="J99" s="749">
        <f>J$64*(J$54*($B$46*GREET1_Import_Export!$K79)+GREET1_Import_Export!$F$200*GREET1_Import_Export!$B208+GREET1_Import_Export!$F208)+J$65*(J$54*(GREET1_Import_Export!$O79)+GREET1_Import_Export!$G$200*GREET1_Import_Export!$B208+GREET1_Import_Export!$G208)+J$66*(J$54*(GREET1_Import_Export!$T79)+GREET1_Import_Export!$C$200*GREET1_Import_Export!$B208+GREET1_Import_Export!$C208)+J$67*(J$54*($B$47*GREET1_Import_Export!$B79)+GREET1_Import_Export!$B244)+J$68*(J$54*($B$48*GREET1_Import_Export!$AA79)+GREET1_Import_Export!$C297)+J$69*(J$54*(GREET1_Import_Export!$X79)+GREET1_Import_Export!$B$10*(GREET1_Import_Export!$F$215*GREET1_Import_Export!$E244+GREET1_Import_Export!$F244)+GREET1_Import_Export!$C$10*(GREET1_Import_Export!$E$200*GREET1_Import_Export!$B208+GREET1_Import_Export!$E208))+J$70*(GREET1_Import_Export!$D322+GREET1_Import_Export!$E322)+J$71*(GREET1_Import_Export!$B208)+J$72*(GREET1_Import_Export!$B244)</f>
        <v>7.041892981608596</v>
      </c>
      <c r="K99" s="1096">
        <f t="shared" si="14"/>
        <v>0</v>
      </c>
      <c r="L99" s="771">
        <f>L$64*(L$54*($B$46*GREET1_Import_Export!$K79)+GREET1_Import_Export!$F$200*GREET1_Import_Export!$B208+GREET1_Import_Export!$F208)+L$65*(L$54*(GREET1_Import_Export!$O79)+GREET1_Import_Export!$G$200*GREET1_Import_Export!$B208+GREET1_Import_Export!$G208)+L$66*(L$54*(GREET1_Import_Export!$T79)+GREET1_Import_Export!$C$200*GREET1_Import_Export!$B208+GREET1_Import_Export!$C208)+L$67*(L$54*($B$47*GREET1_Import_Export!$B79)+GREET1_Import_Export!$B244)+L$68*(L$54*($B$48*GREET1_Import_Export!$AA79)+GREET1_Import_Export!$C297)+L$69*(L$54*(GREET1_Import_Export!$X79)+GREET1_Import_Export!$B$10*(GREET1_Import_Export!$F$215*GREET1_Import_Export!$E244+GREET1_Import_Export!$F244)+GREET1_Import_Export!$C$10*(GREET1_Import_Export!$E$200*GREET1_Import_Export!$B208+GREET1_Import_Export!$E208))+L$70*(GREET1_Import_Export!$D322+GREET1_Import_Export!$E322)+L$71*(GREET1_Import_Export!$B208)+L$72*(GREET1_Import_Export!$B244)</f>
        <v>1.0731442568532366</v>
      </c>
      <c r="M99" s="1098">
        <f t="shared" si="15"/>
        <v>0</v>
      </c>
      <c r="N99" s="748">
        <f>N$64*(N$54*($B$46*GREET1_Import_Export!$K79)+GREET1_Import_Export!$F$200*GREET1_Import_Export!$B208+GREET1_Import_Export!$F208)+N$65*(N$54*(GREET1_Import_Export!$O79)+GREET1_Import_Export!$G$200*GREET1_Import_Export!$B208+GREET1_Import_Export!$G208)+N$66*(N$54*(GREET1_Import_Export!$T79)+GREET1_Import_Export!$C$200*GREET1_Import_Export!$B208+GREET1_Import_Export!$C208)+N$67*(N$54*($B$47*GREET1_Import_Export!$B79)+GREET1_Import_Export!$B244)+N$68*(N$54*($B$48*GREET1_Import_Export!$AA79)+GREET1_Import_Export!$C297)+N$69*(N$54*(GREET1_Import_Export!$X79)+GREET1_Import_Export!$B$10*(GREET1_Import_Export!$F$215*GREET1_Import_Export!$E244+GREET1_Import_Export!$F244)+GREET1_Import_Export!$C$10*(GREET1_Import_Export!$E$200*GREET1_Import_Export!$B208+GREET1_Import_Export!$E208))+N$70*(GREET1_Import_Export!$D322+GREET1_Import_Export!$E322)+N$71*(GREET1_Import_Export!$B208)+N$72*(GREET1_Import_Export!$B244)</f>
        <v>0.22930291791657445</v>
      </c>
      <c r="O99" s="1098">
        <f t="shared" si="16"/>
        <v>0</v>
      </c>
      <c r="P99" s="748">
        <f>P$64*(P$54*($B$46*GREET1_Import_Export!$K79)+GREET1_Import_Export!$F$200*GREET1_Import_Export!$B208+GREET1_Import_Export!$F208)+P$65*(P$54*(GREET1_Import_Export!$O79)+GREET1_Import_Export!$G$200*GREET1_Import_Export!$B208+GREET1_Import_Export!$G208)+P$66*(P$54*(GREET1_Import_Export!$T79)+GREET1_Import_Export!$C$200*GREET1_Import_Export!$B208+GREET1_Import_Export!$C208)+P$67*(P$54*($B$47*GREET1_Import_Export!$B79)+GREET1_Import_Export!$B244)+P$68*(P$54*($B$48*GREET1_Import_Export!$AA79)+GREET1_Import_Export!$C297)+P$69*(P$54*(GREET1_Import_Export!$X79)+GREET1_Import_Export!$B$10*(GREET1_Import_Export!$F$215*GREET1_Import_Export!$E244+GREET1_Import_Export!$F244)+GREET1_Import_Export!$C$10*(GREET1_Import_Export!$E$200*GREET1_Import_Export!$B208+GREET1_Import_Export!$E208))+P$70*(GREET1_Import_Export!$D322+GREET1_Import_Export!$E322)+P$71*(GREET1_Import_Export!$B208)+P$72*(GREET1_Import_Export!$B244)</f>
        <v>4.5080129692113013</v>
      </c>
      <c r="Q99" s="1098">
        <f t="shared" si="17"/>
        <v>0</v>
      </c>
      <c r="R99" s="748">
        <f>R$64*(R$54*($B$46*GREET1_Import_Export!$K79)+GREET1_Import_Export!$F$200*GREET1_Import_Export!$B208+GREET1_Import_Export!$F208)+R$65*(R$54*(GREET1_Import_Export!$O79)+GREET1_Import_Export!$G$200*GREET1_Import_Export!$B208+GREET1_Import_Export!$G208)+R$66*(R$54*(GREET1_Import_Export!$T79)+GREET1_Import_Export!$C$200*GREET1_Import_Export!$B208+GREET1_Import_Export!$C208)+R$67*(R$54*($B$47*GREET1_Import_Export!$B79)+GREET1_Import_Export!$B244)+R$68*(R$54*($B$48*GREET1_Import_Export!$AA79)+GREET1_Import_Export!$C297)+R$69*(R$54*(GREET1_Import_Export!$X79)+GREET1_Import_Export!$B$10*(GREET1_Import_Export!$F$215*GREET1_Import_Export!$E244+GREET1_Import_Export!$F244)+GREET1_Import_Export!$C$10*(GREET1_Import_Export!$E$200*GREET1_Import_Export!$B208+GREET1_Import_Export!$E208))+R$70*(GREET1_Import_Export!$D322+GREET1_Import_Export!$E322)+R$71*(GREET1_Import_Export!$B208)+R$72*(GREET1_Import_Export!$B244)</f>
        <v>7.2779662540909777</v>
      </c>
      <c r="S99" s="1098">
        <f t="shared" si="18"/>
        <v>0</v>
      </c>
      <c r="T99" s="748">
        <f>T$64*(T$54*($B$46*GREET1_Import_Export!$K79)+GREET1_Import_Export!$F$200*GREET1_Import_Export!$B208+GREET1_Import_Export!$F208)+T$65*(T$54*(GREET1_Import_Export!$O79)+GREET1_Import_Export!$G$200*GREET1_Import_Export!$B208+GREET1_Import_Export!$G208)+T$66*(T$54*(GREET1_Import_Export!$T79)+GREET1_Import_Export!$C$200*GREET1_Import_Export!$B208+GREET1_Import_Export!$C208)+T$67*(T$54*($B$47*GREET1_Import_Export!$B79)+GREET1_Import_Export!$B244)+T$68*(T$54*($B$48*GREET1_Import_Export!$AA79)+GREET1_Import_Export!$C297)+T$69*(T$54*(GREET1_Import_Export!$X79)+GREET1_Import_Export!$B$10*(GREET1_Import_Export!$F$215*GREET1_Import_Export!$E244+GREET1_Import_Export!$F244)+GREET1_Import_Export!$C$10*(GREET1_Import_Export!$E$200*GREET1_Import_Export!$B208+GREET1_Import_Export!$E208))+T$70*(GREET1_Import_Export!$D322+GREET1_Import_Export!$E322)+T$71*(GREET1_Import_Export!$B208)+T$72*(GREET1_Import_Export!$B244)</f>
        <v>42.209095793383561</v>
      </c>
      <c r="U99" s="1098">
        <f t="shared" si="19"/>
        <v>0</v>
      </c>
      <c r="X99" s="1238"/>
      <c r="Y99" s="1592"/>
      <c r="Z99" s="1238"/>
      <c r="AA99" s="64"/>
      <c r="AB99" s="64"/>
      <c r="AC99" s="64"/>
      <c r="AD99" s="64"/>
      <c r="AE99" s="1592"/>
      <c r="AF99" s="1238"/>
      <c r="AG99" s="1592"/>
      <c r="AX99" s="1238"/>
      <c r="AY99" s="1592"/>
      <c r="AZ99" s="1238"/>
      <c r="BA99" s="1592"/>
      <c r="BB99" s="1238"/>
      <c r="BC99" s="1592"/>
      <c r="BD99" s="1238"/>
      <c r="BE99" s="1592"/>
      <c r="BF99" s="1238"/>
      <c r="BG99" s="1592"/>
      <c r="BH99" s="1238"/>
      <c r="BI99" s="1592"/>
      <c r="BJ99" s="1238"/>
      <c r="BK99" s="1592"/>
    </row>
    <row r="100" spans="1:83" s="496" customFormat="1">
      <c r="A100" s="506"/>
      <c r="B100" s="506"/>
      <c r="C100" s="506"/>
      <c r="D100" s="506"/>
      <c r="E100" s="506"/>
      <c r="F100" s="506"/>
      <c r="G100" s="506"/>
      <c r="H100" s="506"/>
      <c r="I100" s="506"/>
      <c r="J100" s="506"/>
      <c r="K100" s="506"/>
      <c r="L100" s="506"/>
      <c r="M100" s="506"/>
      <c r="N100" s="506"/>
      <c r="O100" s="506"/>
      <c r="AL100" s="349"/>
      <c r="AM100" s="349"/>
      <c r="AN100" s="349"/>
      <c r="AO100" s="349"/>
    </row>
    <row r="101" spans="1:83" s="496" customFormat="1" ht="15">
      <c r="A101" s="607" t="s">
        <v>833</v>
      </c>
      <c r="AM101" s="349"/>
      <c r="AN101" s="349"/>
      <c r="AO101" s="349"/>
      <c r="CB101" s="349"/>
      <c r="CC101" s="349"/>
      <c r="CD101" s="349"/>
      <c r="CE101" s="349"/>
    </row>
    <row r="102" spans="1:83" s="496" customFormat="1">
      <c r="A102" s="608" t="s">
        <v>1160</v>
      </c>
      <c r="AM102" s="349"/>
      <c r="AN102" s="349"/>
      <c r="AO102" s="349"/>
      <c r="CB102" s="349"/>
      <c r="CC102" s="349"/>
      <c r="CD102" s="349"/>
      <c r="CE102" s="349"/>
    </row>
    <row r="103" spans="1:83" s="608" customFormat="1" ht="38.25" customHeight="1">
      <c r="A103" s="795"/>
      <c r="B103" s="759" t="s">
        <v>1161</v>
      </c>
      <c r="C103" s="610" t="s">
        <v>1162</v>
      </c>
      <c r="D103" s="610" t="s">
        <v>1163</v>
      </c>
      <c r="E103" s="610" t="s">
        <v>1164</v>
      </c>
      <c r="F103" s="610" t="s">
        <v>1165</v>
      </c>
      <c r="G103" s="610" t="s">
        <v>1166</v>
      </c>
      <c r="H103" s="610" t="s">
        <v>1167</v>
      </c>
      <c r="I103" s="610" t="s">
        <v>1168</v>
      </c>
      <c r="J103" s="610" t="s">
        <v>1169</v>
      </c>
      <c r="K103" s="610" t="s">
        <v>1170</v>
      </c>
      <c r="L103" s="610" t="s">
        <v>1171</v>
      </c>
      <c r="M103" s="610" t="s">
        <v>1172</v>
      </c>
      <c r="N103" s="610" t="s">
        <v>1173</v>
      </c>
      <c r="O103" s="610" t="s">
        <v>383</v>
      </c>
      <c r="P103" s="610" t="s">
        <v>384</v>
      </c>
      <c r="Q103" s="610" t="s">
        <v>1174</v>
      </c>
      <c r="R103" s="610" t="s">
        <v>387</v>
      </c>
      <c r="S103" s="610" t="s">
        <v>368</v>
      </c>
      <c r="T103" s="2971" t="s">
        <v>2277</v>
      </c>
      <c r="U103" s="2971" t="s">
        <v>2283</v>
      </c>
      <c r="V103" s="1711" t="s">
        <v>2285</v>
      </c>
      <c r="W103" s="610" t="s">
        <v>391</v>
      </c>
      <c r="X103" s="610" t="s">
        <v>1175</v>
      </c>
      <c r="Y103" s="610" t="s">
        <v>1176</v>
      </c>
      <c r="Z103" s="610" t="s">
        <v>1177</v>
      </c>
      <c r="AA103" s="610" t="s">
        <v>1178</v>
      </c>
      <c r="AB103" s="610" t="s">
        <v>545</v>
      </c>
      <c r="AC103" s="610" t="s">
        <v>395</v>
      </c>
      <c r="AD103" s="610" t="s">
        <v>396</v>
      </c>
      <c r="AE103" s="610" t="s">
        <v>397</v>
      </c>
      <c r="AF103" s="610" t="s">
        <v>398</v>
      </c>
      <c r="AG103" s="610" t="s">
        <v>399</v>
      </c>
      <c r="AH103" s="610" t="s">
        <v>400</v>
      </c>
      <c r="AI103" s="610" t="s">
        <v>401</v>
      </c>
      <c r="AJ103" s="610" t="s">
        <v>402</v>
      </c>
      <c r="AK103" s="3094" t="s">
        <v>1179</v>
      </c>
      <c r="AL103" s="3094"/>
      <c r="AM103" s="3094" t="s">
        <v>1180</v>
      </c>
      <c r="AN103" s="3094"/>
      <c r="AO103" s="3094" t="s">
        <v>1181</v>
      </c>
      <c r="AP103" s="3094"/>
      <c r="AQ103" s="3094" t="s">
        <v>1182</v>
      </c>
      <c r="AR103" s="3094"/>
      <c r="AS103" s="3094" t="s">
        <v>1183</v>
      </c>
      <c r="AT103" s="3094"/>
      <c r="AU103" s="3094" t="s">
        <v>1184</v>
      </c>
      <c r="AV103" s="3094"/>
      <c r="AW103" s="3094" t="s">
        <v>1185</v>
      </c>
      <c r="AX103" s="3094"/>
      <c r="AY103" s="3094" t="s">
        <v>1186</v>
      </c>
      <c r="AZ103" s="3094"/>
      <c r="BA103" s="3094" t="s">
        <v>1187</v>
      </c>
      <c r="BB103" s="3094"/>
      <c r="BC103" s="3094" t="s">
        <v>1188</v>
      </c>
      <c r="BD103" s="3094"/>
      <c r="BE103" s="3094" t="s">
        <v>1189</v>
      </c>
      <c r="BF103" s="3094"/>
      <c r="BG103" s="3094" t="s">
        <v>1190</v>
      </c>
      <c r="BH103" s="3094"/>
      <c r="BI103" s="3094" t="s">
        <v>1191</v>
      </c>
      <c r="BJ103" s="3094"/>
      <c r="BK103" s="3094" t="s">
        <v>1192</v>
      </c>
      <c r="BL103" s="3094"/>
      <c r="BM103" s="3094" t="s">
        <v>1193</v>
      </c>
      <c r="BN103" s="3094"/>
      <c r="BO103" s="3094" t="s">
        <v>1194</v>
      </c>
      <c r="BP103" s="3094"/>
      <c r="BQ103" s="3094" t="s">
        <v>1195</v>
      </c>
      <c r="BR103" s="3094"/>
      <c r="BS103" s="3094" t="s">
        <v>1196</v>
      </c>
      <c r="BT103" s="3094"/>
      <c r="BU103" s="3094" t="s">
        <v>1197</v>
      </c>
      <c r="BV103" s="3094"/>
      <c r="BW103" s="3094" t="s">
        <v>1198</v>
      </c>
      <c r="BX103" s="3094"/>
      <c r="BY103" s="3094" t="s">
        <v>1199</v>
      </c>
      <c r="BZ103" s="3094"/>
      <c r="CA103" s="3094" t="s">
        <v>1200</v>
      </c>
      <c r="CB103" s="3094"/>
      <c r="CC103" s="3094" t="s">
        <v>1201</v>
      </c>
      <c r="CD103" s="3094"/>
    </row>
    <row r="104" spans="1:83" s="1247" customFormat="1">
      <c r="A104" s="795" t="s">
        <v>870</v>
      </c>
      <c r="B104" s="2972"/>
      <c r="C104" s="2970"/>
      <c r="D104" s="2970"/>
      <c r="E104" s="2970"/>
      <c r="F104" s="2970"/>
      <c r="G104" s="2970"/>
      <c r="H104" s="2970"/>
      <c r="I104" s="2970"/>
      <c r="J104" s="2970"/>
      <c r="K104" s="2970"/>
      <c r="L104" s="2970"/>
      <c r="M104" s="2970"/>
      <c r="N104" s="2970"/>
      <c r="O104" s="2970"/>
      <c r="P104" s="2970"/>
      <c r="Q104" s="2970"/>
      <c r="R104" s="2970"/>
      <c r="S104" s="2970"/>
      <c r="T104" s="523"/>
      <c r="U104" s="523"/>
      <c r="V104" s="686"/>
      <c r="W104" s="2970"/>
      <c r="X104" s="2970"/>
      <c r="Y104" s="2970"/>
      <c r="Z104" s="2970"/>
      <c r="AA104" s="2970"/>
      <c r="AB104" s="2970"/>
      <c r="AC104" s="2970"/>
      <c r="AD104" s="2970"/>
      <c r="AE104" s="2970"/>
      <c r="AF104" s="2970"/>
      <c r="AG104" s="2970"/>
      <c r="AH104" s="2970"/>
      <c r="AI104" s="2970"/>
      <c r="AJ104" s="2970"/>
      <c r="AK104" s="686" t="s">
        <v>845</v>
      </c>
      <c r="AL104" s="686" t="s">
        <v>846</v>
      </c>
      <c r="AM104" s="686" t="s">
        <v>845</v>
      </c>
      <c r="AN104" s="686" t="s">
        <v>846</v>
      </c>
      <c r="AO104" s="686" t="s">
        <v>845</v>
      </c>
      <c r="AP104" s="686" t="s">
        <v>846</v>
      </c>
      <c r="AQ104" s="686" t="s">
        <v>845</v>
      </c>
      <c r="AR104" s="686" t="s">
        <v>846</v>
      </c>
      <c r="AS104" s="686" t="s">
        <v>845</v>
      </c>
      <c r="AT104" s="686" t="s">
        <v>846</v>
      </c>
      <c r="AU104" s="686" t="s">
        <v>845</v>
      </c>
      <c r="AV104" s="686" t="s">
        <v>846</v>
      </c>
      <c r="AW104" s="686" t="s">
        <v>845</v>
      </c>
      <c r="AX104" s="686" t="s">
        <v>846</v>
      </c>
      <c r="AY104" s="686" t="s">
        <v>845</v>
      </c>
      <c r="AZ104" s="686" t="s">
        <v>846</v>
      </c>
      <c r="BA104" s="686" t="s">
        <v>845</v>
      </c>
      <c r="BB104" s="686" t="s">
        <v>846</v>
      </c>
      <c r="BC104" s="686" t="s">
        <v>845</v>
      </c>
      <c r="BD104" s="686" t="s">
        <v>846</v>
      </c>
      <c r="BE104" s="686" t="s">
        <v>845</v>
      </c>
      <c r="BF104" s="686" t="s">
        <v>846</v>
      </c>
      <c r="BG104" s="686" t="s">
        <v>845</v>
      </c>
      <c r="BH104" s="686" t="s">
        <v>846</v>
      </c>
      <c r="BI104" s="686" t="s">
        <v>845</v>
      </c>
      <c r="BJ104" s="686" t="s">
        <v>846</v>
      </c>
      <c r="BK104" s="686" t="s">
        <v>845</v>
      </c>
      <c r="BL104" s="686" t="s">
        <v>846</v>
      </c>
      <c r="BM104" s="686" t="s">
        <v>845</v>
      </c>
      <c r="BN104" s="686" t="s">
        <v>846</v>
      </c>
      <c r="BO104" s="686" t="s">
        <v>845</v>
      </c>
      <c r="BP104" s="686" t="s">
        <v>846</v>
      </c>
      <c r="BQ104" s="686" t="s">
        <v>845</v>
      </c>
      <c r="BR104" s="686" t="s">
        <v>846</v>
      </c>
      <c r="BS104" s="686" t="s">
        <v>845</v>
      </c>
      <c r="BT104" s="686" t="s">
        <v>846</v>
      </c>
      <c r="BU104" s="686" t="s">
        <v>845</v>
      </c>
      <c r="BV104" s="686" t="s">
        <v>846</v>
      </c>
      <c r="BW104" s="686" t="s">
        <v>845</v>
      </c>
      <c r="BX104" s="686" t="s">
        <v>846</v>
      </c>
      <c r="BY104" s="686" t="s">
        <v>845</v>
      </c>
      <c r="BZ104" s="686" t="s">
        <v>846</v>
      </c>
      <c r="CA104" s="686" t="s">
        <v>845</v>
      </c>
      <c r="CB104" s="686" t="s">
        <v>846</v>
      </c>
      <c r="CC104" s="686" t="s">
        <v>845</v>
      </c>
      <c r="CD104" s="686" t="s">
        <v>846</v>
      </c>
    </row>
    <row r="105" spans="1:83" s="1247" customFormat="1">
      <c r="A105" s="794" t="s">
        <v>816</v>
      </c>
      <c r="B105" s="749">
        <f>GREET1_Import_Export!O525</f>
        <v>77.596002766837358</v>
      </c>
      <c r="C105" s="919">
        <f>GREET1_Import_Export!P525</f>
        <v>62.979293750163698</v>
      </c>
      <c r="D105" s="919">
        <f>B73</f>
        <v>107.88869789885703</v>
      </c>
      <c r="E105" s="919">
        <f>GREET1_Import_Export!Q525</f>
        <v>72.636124227315989</v>
      </c>
      <c r="F105" s="919">
        <f>GREET1_Import_Export!R525</f>
        <v>72.945438586366762</v>
      </c>
      <c r="G105" s="919">
        <f>GREET1_Import_Export!S525</f>
        <v>55.116158403378762</v>
      </c>
      <c r="H105" s="919">
        <f>GREET1_Import_Export!T525</f>
        <v>60.495420518881886</v>
      </c>
      <c r="I105" s="919">
        <f>GREET1_Import_Export!U525</f>
        <v>58.475027449034584</v>
      </c>
      <c r="J105" s="919">
        <f>GREET1_Import_Export!V525</f>
        <v>94.835418546299437</v>
      </c>
      <c r="K105" s="919">
        <f>GREET1_Import_Export!W525</f>
        <v>106.69727724580859</v>
      </c>
      <c r="L105" s="919">
        <f>GREET1_Import_Export!X525</f>
        <v>83.806441045614477</v>
      </c>
      <c r="M105" s="919">
        <f>GREET1_Import_Export!Y525</f>
        <v>53.405756763063579</v>
      </c>
      <c r="N105" s="919">
        <f>GREET1_Import_Export!Z525</f>
        <v>52.602346934212065</v>
      </c>
      <c r="O105" s="919">
        <f>GREET1_Import_Export!AA525</f>
        <v>63.70823245041985</v>
      </c>
      <c r="P105" s="919">
        <f>GREET1_Import_Export!AB525</f>
        <v>60.864149838191082</v>
      </c>
      <c r="Q105" s="919">
        <f>GREET1_Import_Export!AC525</f>
        <v>43.693649474888339</v>
      </c>
      <c r="R105" s="919">
        <f>D73</f>
        <v>0.81124635606013151</v>
      </c>
      <c r="S105" s="919">
        <f>Glass!P71</f>
        <v>22.773975305841276</v>
      </c>
      <c r="T105" s="749">
        <f xml:space="preserve"> ($B$39*GREET1_Import_Export!$J494)+($B$40*GREET1_Import_Export!$AM525)+ SUM($N73:$O73)</f>
        <v>76.935209437572652</v>
      </c>
      <c r="U105" s="749">
        <f t="shared" ref="U105:U110" si="20" xml:space="preserve"> SUM($P73:$Q73)</f>
        <v>111.84043384842059</v>
      </c>
      <c r="V105" s="794" cm="1">
        <f t="array" ref="V105" xml:space="preserve"> MMULT($T105:$U105,$C$41:$C$42)+SUM($R73:$S73)</f>
        <v>101.68181688436758</v>
      </c>
      <c r="W105" s="919">
        <f t="shared" ref="W105:W110" si="21" xml:space="preserve"> ($D$43*$V105)+SUM($T73:$U73)</f>
        <v>351.82033157058481</v>
      </c>
      <c r="X105" s="919">
        <f t="shared" ref="X105:X110" si="22">F73</f>
        <v>6.1044463424730555</v>
      </c>
      <c r="Y105" s="919">
        <f t="shared" ref="Y105:Y110" si="23">H73</f>
        <v>7.4997483636097533</v>
      </c>
      <c r="Z105" s="919">
        <f t="shared" ref="Z105:Z110" si="24">J73</f>
        <v>22.322804282923894</v>
      </c>
      <c r="AA105" s="919">
        <f t="shared" ref="AA105:AA110" si="25">L73</f>
        <v>10.03957410735666</v>
      </c>
      <c r="AB105" s="919">
        <f>GREET1_Import_Export!AD525</f>
        <v>10.753744951341078</v>
      </c>
      <c r="AC105" s="919">
        <f>GREET1_Import_Export!AE525</f>
        <v>3.6464433633775926</v>
      </c>
      <c r="AD105" s="919">
        <f>GREET1_Import_Export!AF525</f>
        <v>8.8059798208622464</v>
      </c>
      <c r="AE105" s="919">
        <f>GREET1_Import_Export!AG525</f>
        <v>3.4375536712597441</v>
      </c>
      <c r="AF105" s="919">
        <f>GREET1_Import_Export!AH525</f>
        <v>3.3118142449363788</v>
      </c>
      <c r="AG105" s="919">
        <f>GREET1_Import_Export!AI525</f>
        <v>4.3968238107912239</v>
      </c>
      <c r="AH105" s="919">
        <f>GREET1_Import_Export!AJ525</f>
        <v>12.543521803387323</v>
      </c>
      <c r="AI105" s="919">
        <f>GREET1_Import_Export!AK525</f>
        <v>7.7126941662541624</v>
      </c>
      <c r="AJ105" s="919">
        <f>GREET1_Import_Export!AL525</f>
        <v>5.017408721354931</v>
      </c>
      <c r="AK105" s="794">
        <f t="shared" ref="AK105:AK110" si="26">B105*(SUMPRODUCT($D$19:$L$19,$D$25:$L$25))+SUMPRODUCT($D$25:$L$25,$AB105:$AJ105)</f>
        <v>88.848931929755125</v>
      </c>
      <c r="AL105" s="794">
        <f>AK105/2000</f>
        <v>4.4424465964877563E-2</v>
      </c>
      <c r="AM105" s="794">
        <f t="shared" ref="AM105:AM110" si="27">C105*(SUMPRODUCT($D$19:$L$19,$D$26:$L$26))+SUMPRODUCT($D$26:$L$26,$AB105:$AJ105)</f>
        <v>71.395666412192725</v>
      </c>
      <c r="AN105" s="794">
        <f>AM105/2000</f>
        <v>3.569783320609636E-2</v>
      </c>
      <c r="AO105" s="794">
        <f t="shared" ref="AO105:AO110" si="28">D105</f>
        <v>107.88869789885703</v>
      </c>
      <c r="AP105" s="794">
        <f>AO105/2000</f>
        <v>5.3944348949428518E-2</v>
      </c>
      <c r="AQ105" s="794">
        <f t="shared" ref="AQ105:AQ110" si="29">E105</f>
        <v>72.636124227315989</v>
      </c>
      <c r="AR105" s="794">
        <f>AQ105/2000</f>
        <v>3.6318062113657998E-2</v>
      </c>
      <c r="AS105" s="794">
        <f t="shared" ref="AS105:AS110" si="30">F105</f>
        <v>72.945438586366762</v>
      </c>
      <c r="AT105" s="794">
        <f>AS105/2000</f>
        <v>3.6472719293183381E-2</v>
      </c>
      <c r="AU105" s="794">
        <f t="shared" ref="AU105:AU110" si="31">G105*(SUMPRODUCT($D$19:$L$19,$D$27:$L$27))+SUMPRODUCT($D$27:$L$27,$AB105:$AJ105)</f>
        <v>65.840461761986035</v>
      </c>
      <c r="AV105" s="794">
        <f>AU105/2000</f>
        <v>3.2920230880993016E-2</v>
      </c>
      <c r="AW105" s="794">
        <f t="shared" ref="AW105:AW110" si="32">H105*(SUMPRODUCT($D$19:$L$19,$D$28:$L$28))+SUMPRODUCT($D$28:$L$28,$AB105:$AJ105)</f>
        <v>71.212837077165787</v>
      </c>
      <c r="AX105" s="794">
        <f>AW105/2000</f>
        <v>3.5606418538582894E-2</v>
      </c>
      <c r="AY105" s="794">
        <f t="shared" ref="AY105:AY110" si="33">I105*(SUMPRODUCT($D$19:$L$19,$D$29:$L$29))+SUMPRODUCT($D$29:$L$29,$AB105:$AJ105)</f>
        <v>69.195030615546145</v>
      </c>
      <c r="AZ105" s="794">
        <f>AY105/2000</f>
        <v>3.4597515307773073E-2</v>
      </c>
      <c r="BA105" s="794">
        <f t="shared" ref="BA105:BA110" si="34">J105*(SUMPRODUCT($D$19:$L$19,$D$30:$L$30))+SUMPRODUCT($D$30:$L$30,$AB105:$AJ105)</f>
        <v>106.0755453944878</v>
      </c>
      <c r="BB105" s="794">
        <f>BA105/2000</f>
        <v>5.3037772697243905E-2</v>
      </c>
      <c r="BC105" s="794">
        <f t="shared" ref="BC105:BC110" si="35">K105*(SUMPRODUCT($D$19:$L$19,$D$31:$L$31))+SUMPRODUCT($D$31:$L$31,$AB105:$AJ105)</f>
        <v>116.13679390519772</v>
      </c>
      <c r="BD105" s="794">
        <f>BC105/2000</f>
        <v>5.8068396952598862E-2</v>
      </c>
      <c r="BE105" s="794">
        <f t="shared" ref="BE105:BE110" si="36">L105*(SUMPRODUCT($D$19:$L$19,$D$32:$L$32))+SUMPRODUCT($D$32:$L$32,$AB105:$AJ105)</f>
        <v>98.763240454231209</v>
      </c>
      <c r="BF105" s="794">
        <f>BE105/2000</f>
        <v>4.9381620227115605E-2</v>
      </c>
      <c r="BG105" s="794">
        <f t="shared" ref="BG105:BG110" si="37">M105*(SUMPRODUCT($D$19:$L$19,$D$33:$L$33))+SUMPRODUCT($D$33:$L$33,$AB105:$AJ105)</f>
        <v>64.037161992719547</v>
      </c>
      <c r="BH105" s="794">
        <f>BG105/2000</f>
        <v>3.201858099635977E-2</v>
      </c>
      <c r="BI105" s="794">
        <f t="shared" ref="BI105:BI110" si="38">N105*(SUMPRODUCT($D$19:$L$19,$D$34:$L$34))+SUMPRODUCT($D$34:$L$34,$AB105:$AJ105)</f>
        <v>64.110593096902335</v>
      </c>
      <c r="BJ105" s="794">
        <f>BI105/2000</f>
        <v>3.205529654845117E-2</v>
      </c>
      <c r="BK105" s="794">
        <f t="shared" ref="BK105:BK110" si="39">O105</f>
        <v>63.70823245041985</v>
      </c>
      <c r="BL105" s="794">
        <f>BK105/2000</f>
        <v>3.1854116225209922E-2</v>
      </c>
      <c r="BM105" s="794">
        <f t="shared" ref="BM105:BM110" si="40">P105</f>
        <v>60.864149838191082</v>
      </c>
      <c r="BN105" s="794">
        <f>BM105/2000</f>
        <v>3.0432074919095543E-2</v>
      </c>
      <c r="BO105" s="794">
        <f t="shared" ref="BO105:BO110" si="41">Q105*(SUMPRODUCT($D$19:$L$19,$D$35:$L$35))+SUMPRODUCT($D$35:$L$35,$AB105:$AJ105)</f>
        <v>50.113505285195117</v>
      </c>
      <c r="BP105" s="794">
        <f>BO105/2000</f>
        <v>2.505675264259756E-2</v>
      </c>
      <c r="BQ105" s="794">
        <f t="shared" ref="BQ105:BQ110" si="42">AK105*$A$6+AM105*$B$6+AO105*$C$6+AQ105*$D$6+AS105*$E$6+AU105*$F$6+AW105*$G$6+AY105*$H$6+BA105*$I$6+BC105*$J$6+BE105*$K$6+BG105*$L$6+BI105*$M$6+BK105*$N$6+BM105*$O$6+BO105*$P$6</f>
        <v>74.466327931721494</v>
      </c>
      <c r="BR105" s="794">
        <f>BQ105/2000</f>
        <v>3.7233163965860745E-2</v>
      </c>
      <c r="BS105" s="794">
        <f t="shared" ref="BS105:BS110" si="43">($D105*$B$10+$R105*$D$10+$S105*$C$10)*$B$19+X105</f>
        <v>51.161008916843286</v>
      </c>
      <c r="BT105" s="794">
        <f t="shared" ref="BT105:BT110" si="44">BS105/2000</f>
        <v>2.5580504458421645E-2</v>
      </c>
      <c r="BU105" s="794">
        <f t="shared" ref="BU105:BU110" si="45">($D105*$B$11+$R105*$D$11+$S105*$C$11)*$B$19+Y105</f>
        <v>72.274393714683981</v>
      </c>
      <c r="BV105" s="794">
        <f t="shared" ref="BV105:BV110" si="46">BU105/2000</f>
        <v>3.6137196857341992E-2</v>
      </c>
      <c r="BW105" s="794">
        <f t="shared" ref="BW105:BW110" si="47">($D105*$B$12+$R105*$D$12+$S105*$C$12)*$B$19+Z105</f>
        <v>96.800528009601933</v>
      </c>
      <c r="BX105" s="794">
        <f>BW105/2000</f>
        <v>4.8400264004800964E-2</v>
      </c>
      <c r="BY105" s="794">
        <f>AVERAGE(BS105,BU105,BW105)</f>
        <v>73.4119768803764</v>
      </c>
      <c r="BZ105" s="794">
        <f>BY105/2000</f>
        <v>3.67059884401882E-2</v>
      </c>
      <c r="CA105" s="794">
        <f t="shared" ref="CA105:CA110" si="48">(D105*$B$14+W105*$C$14)*$C$19+$AA105</f>
        <v>216.45730842778454</v>
      </c>
      <c r="CB105" s="794">
        <f>CA105/2000</f>
        <v>0.10822865421389227</v>
      </c>
      <c r="CC105" s="794">
        <f t="shared" ref="CC105:CC110" si="49">(D105*$B$15+W105*$C$15)*$C$19+$AA105</f>
        <v>322.12849213437704</v>
      </c>
      <c r="CD105" s="794">
        <f t="shared" ref="CD105:CD110" si="50">CC105/2000</f>
        <v>0.16106424606718853</v>
      </c>
    </row>
    <row r="106" spans="1:83" s="1247" customFormat="1">
      <c r="A106" s="794" t="s">
        <v>817</v>
      </c>
      <c r="B106" s="749">
        <f>GREET1_Import_Export!O526</f>
        <v>76.019223109284738</v>
      </c>
      <c r="C106" s="919">
        <f>GREET1_Import_Export!P526</f>
        <v>62.638714253519275</v>
      </c>
      <c r="D106" s="919">
        <f t="shared" ref="D106:D110" si="51">B74</f>
        <v>104.97548529685071</v>
      </c>
      <c r="E106" s="919">
        <f>GREET1_Import_Export!Q526</f>
        <v>71.837434091175652</v>
      </c>
      <c r="F106" s="919">
        <f>GREET1_Import_Export!R526</f>
        <v>72.136632449425576</v>
      </c>
      <c r="G106" s="919">
        <f>GREET1_Import_Export!S526</f>
        <v>54.577705008166838</v>
      </c>
      <c r="H106" s="919">
        <f>GREET1_Import_Export!T526</f>
        <v>59.469483527358612</v>
      </c>
      <c r="I106" s="919">
        <f>GREET1_Import_Export!U526</f>
        <v>58.01683403337973</v>
      </c>
      <c r="J106" s="919">
        <f>GREET1_Import_Export!V526</f>
        <v>92.997799235024047</v>
      </c>
      <c r="K106" s="919">
        <f>GREET1_Import_Export!W526</f>
        <v>103.58809836007964</v>
      </c>
      <c r="L106" s="919">
        <f>GREET1_Import_Export!X526</f>
        <v>81.221371877609286</v>
      </c>
      <c r="M106" s="919">
        <f>GREET1_Import_Export!Y526</f>
        <v>51.871761584385574</v>
      </c>
      <c r="N106" s="919">
        <f>GREET1_Import_Export!Z526</f>
        <v>52.16476399272878</v>
      </c>
      <c r="O106" s="919">
        <f>GREET1_Import_Export!AA526</f>
        <v>61.67652243984417</v>
      </c>
      <c r="P106" s="919">
        <f>GREET1_Import_Export!AB526</f>
        <v>59.0329682131322</v>
      </c>
      <c r="Q106" s="919">
        <f>GREET1_Import_Export!AC526</f>
        <v>42.557047017601541</v>
      </c>
      <c r="R106" s="919">
        <f>D74</f>
        <v>0.76805869605044363</v>
      </c>
      <c r="S106" s="919">
        <f>Glass!P72</f>
        <v>20.769299436302898</v>
      </c>
      <c r="T106" s="749">
        <f xml:space="preserve"> ($B$39*GREET1_Import_Export!$J495)+($B$40*GREET1_Import_Export!$AM526)+ SUM($N74:$O74)</f>
        <v>76.471548239365447</v>
      </c>
      <c r="U106" s="749">
        <f t="shared" si="20"/>
        <v>110.07268938400514</v>
      </c>
      <c r="V106" s="794" cm="1">
        <f t="array" ref="V106" xml:space="preserve"> MMULT($T106:$U106,$C$41:$C$42)+SUM($R74:$S74)</f>
        <v>96.357090665397976</v>
      </c>
      <c r="W106" s="919">
        <f t="shared" si="21"/>
        <v>312.92964941669032</v>
      </c>
      <c r="X106" s="919">
        <f t="shared" si="22"/>
        <v>4.8348092325756351</v>
      </c>
      <c r="Y106" s="919">
        <f t="shared" si="23"/>
        <v>5.9399084857357805</v>
      </c>
      <c r="Z106" s="919">
        <f t="shared" si="24"/>
        <v>17.679981801647845</v>
      </c>
      <c r="AA106" s="919">
        <f t="shared" si="25"/>
        <v>9.4550407428568697</v>
      </c>
      <c r="AB106" s="919">
        <f>GREET1_Import_Export!AD526</f>
        <v>8.5233759055065512</v>
      </c>
      <c r="AC106" s="919">
        <f>GREET1_Import_Export!AE526</f>
        <v>2.8880355482295657</v>
      </c>
      <c r="AD106" s="919">
        <f>GREET1_Import_Export!AF526</f>
        <v>7.9453756034729182</v>
      </c>
      <c r="AE106" s="919">
        <f>GREET1_Import_Export!AG526</f>
        <v>2.7225919100384397</v>
      </c>
      <c r="AF106" s="919">
        <f>GREET1_Import_Export!AH526</f>
        <v>2.6230044773408681</v>
      </c>
      <c r="AG106" s="919">
        <f>GREET1_Import_Export!AI526</f>
        <v>3.4823476465860397</v>
      </c>
      <c r="AH106" s="919">
        <f>GREET1_Import_Export!AJ526</f>
        <v>9.9346495360399665</v>
      </c>
      <c r="AI106" s="919">
        <f>GREET1_Import_Export!AK526</f>
        <v>6.1085646217558605</v>
      </c>
      <c r="AJ106" s="919">
        <f>GREET1_Import_Export!AL526</f>
        <v>3.9738598144159876</v>
      </c>
      <c r="AK106" s="794">
        <f t="shared" si="26"/>
        <v>86.21564325978845</v>
      </c>
      <c r="AL106" s="794">
        <f t="shared" ref="AL106:AL131" si="52">AK106/2000</f>
        <v>4.3107821629894225E-2</v>
      </c>
      <c r="AM106" s="794">
        <f t="shared" si="27"/>
        <v>70.146064055213031</v>
      </c>
      <c r="AN106" s="794">
        <f t="shared" ref="AN106:AN131" si="53">AM106/2000</f>
        <v>3.5073032027606518E-2</v>
      </c>
      <c r="AO106" s="794">
        <f t="shared" si="28"/>
        <v>104.97548529685071</v>
      </c>
      <c r="AP106" s="794">
        <f t="shared" ref="AP106:AP131" si="54">AO106/2000</f>
        <v>5.2487742648425352E-2</v>
      </c>
      <c r="AQ106" s="794">
        <f t="shared" si="29"/>
        <v>71.837434091175652</v>
      </c>
      <c r="AR106" s="794">
        <f t="shared" ref="AR106:AR131" si="55">AQ106/2000</f>
        <v>3.5918717045587828E-2</v>
      </c>
      <c r="AS106" s="794">
        <f t="shared" si="30"/>
        <v>72.136632449425576</v>
      </c>
      <c r="AT106" s="794">
        <f t="shared" ref="AT106:AT131" si="56">AS106/2000</f>
        <v>3.6068316224712786E-2</v>
      </c>
      <c r="AU106" s="794">
        <f t="shared" si="31"/>
        <v>63.292967178317454</v>
      </c>
      <c r="AV106" s="794">
        <f t="shared" ref="AV106:AV131" si="57">AU106/2000</f>
        <v>3.1646483589158725E-2</v>
      </c>
      <c r="AW106" s="794">
        <f t="shared" si="32"/>
        <v>68.178482998060034</v>
      </c>
      <c r="AX106" s="794">
        <f t="shared" ref="AX106:AX131" si="58">AW106/2000</f>
        <v>3.4089241499030018E-2</v>
      </c>
      <c r="AY106" s="794">
        <f t="shared" si="33"/>
        <v>66.727693258595806</v>
      </c>
      <c r="AZ106" s="794">
        <f t="shared" ref="AZ106:AZ131" si="59">AY106/2000</f>
        <v>3.3363846629297901E-2</v>
      </c>
      <c r="BA106" s="794">
        <f t="shared" si="34"/>
        <v>102.79864243939119</v>
      </c>
      <c r="BB106" s="794">
        <f t="shared" ref="BB106:BB131" si="60">BA106/2000</f>
        <v>5.1399321219695593E-2</v>
      </c>
      <c r="BC106" s="794">
        <f t="shared" si="35"/>
        <v>112.04030457882862</v>
      </c>
      <c r="BD106" s="794">
        <f t="shared" ref="BD106:BD131" si="61">BC106/2000</f>
        <v>5.6020152289414316E-2</v>
      </c>
      <c r="BE106" s="794">
        <f t="shared" si="36"/>
        <v>94.893992105607552</v>
      </c>
      <c r="BF106" s="794">
        <f t="shared" ref="BF106:BF131" si="62">BE106/2000</f>
        <v>4.7446996052803773E-2</v>
      </c>
      <c r="BG106" s="794">
        <f t="shared" si="37"/>
        <v>61.444247487682475</v>
      </c>
      <c r="BH106" s="794">
        <f t="shared" ref="BH106:BH131" si="63">BG106/2000</f>
        <v>3.0722123743841236E-2</v>
      </c>
      <c r="BI106" s="794">
        <f t="shared" si="38"/>
        <v>62.505899739127969</v>
      </c>
      <c r="BJ106" s="794">
        <f t="shared" ref="BJ106:BJ131" si="64">BI106/2000</f>
        <v>3.1252949869563985E-2</v>
      </c>
      <c r="BK106" s="794">
        <f t="shared" si="39"/>
        <v>61.67652243984417</v>
      </c>
      <c r="BL106" s="794">
        <f t="shared" ref="BL106:BL131" si="65">BK106/2000</f>
        <v>3.0838261219922086E-2</v>
      </c>
      <c r="BM106" s="794">
        <f t="shared" si="40"/>
        <v>59.0329682131322</v>
      </c>
      <c r="BN106" s="794">
        <f t="shared" ref="BN106:BN131" si="66">BM106/2000</f>
        <v>2.9516484106566099E-2</v>
      </c>
      <c r="BO106" s="794">
        <f t="shared" si="41"/>
        <v>47.961142748352131</v>
      </c>
      <c r="BP106" s="794">
        <f t="shared" ref="BP106:BP131" si="67">BO106/2000</f>
        <v>2.3980571374176064E-2</v>
      </c>
      <c r="BQ106" s="794">
        <f t="shared" si="42"/>
        <v>72.191756757078167</v>
      </c>
      <c r="BR106" s="794">
        <f t="shared" ref="BR106:BR131" si="68">BQ106/2000</f>
        <v>3.6095878378539087E-2</v>
      </c>
      <c r="BS106" s="794">
        <f t="shared" si="43"/>
        <v>48.189760376713167</v>
      </c>
      <c r="BT106" s="794">
        <f t="shared" si="44"/>
        <v>2.4094880188356583E-2</v>
      </c>
      <c r="BU106" s="794">
        <f t="shared" si="45"/>
        <v>68.014930595530885</v>
      </c>
      <c r="BV106" s="794">
        <f t="shared" si="46"/>
        <v>3.4007465297765445E-2</v>
      </c>
      <c r="BW106" s="794">
        <f t="shared" si="47"/>
        <v>89.354509099545396</v>
      </c>
      <c r="BX106" s="794">
        <f t="shared" ref="BX106:BZ110" si="69">BW106/2000</f>
        <v>4.4677254549772699E-2</v>
      </c>
      <c r="BY106" s="794">
        <f t="shared" ref="BY106:BY133" si="70">AVERAGE(BS106,BU106,BW106)</f>
        <v>68.519733357263149</v>
      </c>
      <c r="BZ106" s="794">
        <f t="shared" si="69"/>
        <v>3.4259866678631574E-2</v>
      </c>
      <c r="CA106" s="794">
        <f t="shared" si="48"/>
        <v>200.2474181102518</v>
      </c>
      <c r="CB106" s="794">
        <f t="shared" ref="CB106:CB131" si="71">CA106/2000</f>
        <v>0.1001237090551259</v>
      </c>
      <c r="CC106" s="794">
        <f t="shared" si="49"/>
        <v>290.33316200696629</v>
      </c>
      <c r="CD106" s="794">
        <f t="shared" si="50"/>
        <v>0.14516658100348315</v>
      </c>
    </row>
    <row r="107" spans="1:83" s="1247" customFormat="1">
      <c r="A107" s="794" t="s">
        <v>805</v>
      </c>
      <c r="B107" s="749">
        <f>GREET1_Import_Export!O527</f>
        <v>3.417115781505375</v>
      </c>
      <c r="C107" s="919">
        <f>GREET1_Import_Export!P527</f>
        <v>0.44682276214470279</v>
      </c>
      <c r="D107" s="919">
        <f t="shared" si="51"/>
        <v>3.8445890135462109</v>
      </c>
      <c r="E107" s="919">
        <f>GREET1_Import_Export!Q527</f>
        <v>1.0477263686195526</v>
      </c>
      <c r="F107" s="919">
        <f>GREET1_Import_Export!R527</f>
        <v>1.0611379491911492</v>
      </c>
      <c r="G107" s="919">
        <f>GREET1_Import_Export!S527</f>
        <v>0.7073815194525136</v>
      </c>
      <c r="H107" s="919">
        <f>GREET1_Import_Export!T527</f>
        <v>1.3499989517115407</v>
      </c>
      <c r="I107" s="919">
        <f>GREET1_Import_Export!U527</f>
        <v>0.60349225690286623</v>
      </c>
      <c r="J107" s="919">
        <f>GREET1_Import_Export!V527</f>
        <v>2.4206545092788616</v>
      </c>
      <c r="K107" s="919">
        <f>GREET1_Import_Export!W527</f>
        <v>4.100810724512451</v>
      </c>
      <c r="L107" s="919">
        <f>GREET1_Import_Export!X527</f>
        <v>3.7909231923750908</v>
      </c>
      <c r="M107" s="919">
        <f>GREET1_Import_Export!Y527</f>
        <v>2.0378089343867281</v>
      </c>
      <c r="N107" s="919">
        <f>GREET1_Import_Export!Z527</f>
        <v>0.56778319866556093</v>
      </c>
      <c r="O107" s="919">
        <f>GREET1_Import_Export!AA527</f>
        <v>3.4696300215726423</v>
      </c>
      <c r="P107" s="919">
        <f>GREET1_Import_Export!AB527</f>
        <v>3.5131666771556751</v>
      </c>
      <c r="Q107" s="919">
        <f>GREET1_Import_Export!AC527</f>
        <v>1.9420812818191651</v>
      </c>
      <c r="R107" s="919">
        <f t="shared" ref="R107:R110" si="72">D75</f>
        <v>5.6929208469231593E-2</v>
      </c>
      <c r="S107" s="919">
        <f>Glass!P73</f>
        <v>2.7161302790643784</v>
      </c>
      <c r="T107" s="749">
        <f xml:space="preserve"> ($B$39*GREET1_Import_Export!$J496)+($B$40*GREET1_Import_Export!$AM527)+ SUM($N75:$O75)</f>
        <v>0.9175440887501487</v>
      </c>
      <c r="U107" s="749">
        <f t="shared" si="20"/>
        <v>8.2215040277493934</v>
      </c>
      <c r="V107" s="794" cm="1">
        <f t="array" ref="V107" xml:space="preserve"> MMULT($T107:$U107,$C$41:$C$42)+SUM($R75:$S75)</f>
        <v>7.6113432594669757</v>
      </c>
      <c r="W107" s="919">
        <f t="shared" si="21"/>
        <v>52.601222698220369</v>
      </c>
      <c r="X107" s="919">
        <f t="shared" si="22"/>
        <v>1.678363165600478</v>
      </c>
      <c r="Y107" s="919">
        <f t="shared" si="23"/>
        <v>2.0619890320234444</v>
      </c>
      <c r="Z107" s="919">
        <f t="shared" si="24"/>
        <v>6.137456267031383</v>
      </c>
      <c r="AA107" s="919">
        <f t="shared" si="25"/>
        <v>0.77167593510608434</v>
      </c>
      <c r="AB107" s="919">
        <f>GREET1_Import_Export!AD527</f>
        <v>2.9483740808154275</v>
      </c>
      <c r="AC107" s="919">
        <f>GREET1_Import_Export!AE527</f>
        <v>1.0025571334716477</v>
      </c>
      <c r="AD107" s="919">
        <f>GREET1_Import_Export!AF527</f>
        <v>1.1376481493627471</v>
      </c>
      <c r="AE107" s="919">
        <f>GREET1_Import_Export!AG527</f>
        <v>0.94512477265541883</v>
      </c>
      <c r="AF107" s="919">
        <f>GREET1_Import_Export!AH527</f>
        <v>0.91055383701846537</v>
      </c>
      <c r="AG107" s="919">
        <f>GREET1_Import_Export!AI527</f>
        <v>1.2088675558212083</v>
      </c>
      <c r="AH107" s="919">
        <f>GREET1_Import_Export!AJ527</f>
        <v>3.4487296276541386</v>
      </c>
      <c r="AI107" s="919">
        <f>GREET1_Import_Export!AK527</f>
        <v>2.1205365843118331</v>
      </c>
      <c r="AJ107" s="919">
        <f>GREET1_Import_Export!AL527</f>
        <v>1.3794918510616556</v>
      </c>
      <c r="AK107" s="794">
        <f t="shared" si="26"/>
        <v>4.9100975312296873</v>
      </c>
      <c r="AL107" s="794">
        <f t="shared" si="52"/>
        <v>2.4550487656148437E-3</v>
      </c>
      <c r="AM107" s="794">
        <f t="shared" si="27"/>
        <v>1.6483383389301867</v>
      </c>
      <c r="AN107" s="794">
        <f t="shared" si="53"/>
        <v>8.2416916946509336E-4</v>
      </c>
      <c r="AO107" s="794">
        <f t="shared" si="28"/>
        <v>3.8445890135462109</v>
      </c>
      <c r="AP107" s="794">
        <f t="shared" si="54"/>
        <v>1.9222945067731054E-3</v>
      </c>
      <c r="AQ107" s="794">
        <f t="shared" si="29"/>
        <v>1.0477263686195526</v>
      </c>
      <c r="AR107" s="794">
        <f t="shared" si="55"/>
        <v>5.2386318430977627E-4</v>
      </c>
      <c r="AS107" s="794">
        <f t="shared" si="30"/>
        <v>1.0611379491911492</v>
      </c>
      <c r="AT107" s="794">
        <f t="shared" si="56"/>
        <v>5.3056897459557463E-4</v>
      </c>
      <c r="AU107" s="794">
        <f t="shared" si="31"/>
        <v>3.3631848143433296</v>
      </c>
      <c r="AV107" s="794">
        <f t="shared" si="57"/>
        <v>1.6815924071716649E-3</v>
      </c>
      <c r="AW107" s="794">
        <f t="shared" si="32"/>
        <v>4.0049795356347069</v>
      </c>
      <c r="AX107" s="794">
        <f t="shared" si="58"/>
        <v>2.0024897678173536E-3</v>
      </c>
      <c r="AY107" s="794">
        <f t="shared" si="33"/>
        <v>3.2594285560220611</v>
      </c>
      <c r="AZ107" s="794">
        <f t="shared" si="59"/>
        <v>1.6297142780110304E-3</v>
      </c>
      <c r="BA107" s="794">
        <f t="shared" si="34"/>
        <v>4.3230566723839416</v>
      </c>
      <c r="BB107" s="794">
        <f t="shared" si="60"/>
        <v>2.1615283361919708E-3</v>
      </c>
      <c r="BC107" s="794">
        <f t="shared" si="35"/>
        <v>5.4056450955942772</v>
      </c>
      <c r="BD107" s="794">
        <f t="shared" si="61"/>
        <v>2.7028225477971385E-3</v>
      </c>
      <c r="BE107" s="794">
        <f t="shared" si="36"/>
        <v>5.5291083976073097</v>
      </c>
      <c r="BF107" s="794">
        <f t="shared" si="62"/>
        <v>2.7645541988036548E-3</v>
      </c>
      <c r="BG107" s="794">
        <f t="shared" si="37"/>
        <v>3.4383123268789646</v>
      </c>
      <c r="BH107" s="794">
        <f t="shared" si="63"/>
        <v>1.7191561634394823E-3</v>
      </c>
      <c r="BI107" s="794">
        <f t="shared" si="38"/>
        <v>2.1095189340129044</v>
      </c>
      <c r="BJ107" s="794">
        <f t="shared" si="64"/>
        <v>1.0547594670064521E-3</v>
      </c>
      <c r="BK107" s="794">
        <f t="shared" si="39"/>
        <v>3.4696300215726423</v>
      </c>
      <c r="BL107" s="794">
        <f t="shared" si="65"/>
        <v>1.7348150107863211E-3</v>
      </c>
      <c r="BM107" s="794">
        <f t="shared" si="40"/>
        <v>3.5131666771556751</v>
      </c>
      <c r="BN107" s="794">
        <f t="shared" si="66"/>
        <v>1.7565833385778376E-3</v>
      </c>
      <c r="BO107" s="794">
        <f t="shared" si="41"/>
        <v>3.3016957560061324</v>
      </c>
      <c r="BP107" s="794">
        <f t="shared" si="67"/>
        <v>1.6508478780030663E-3</v>
      </c>
      <c r="BQ107" s="794">
        <f t="shared" si="42"/>
        <v>3.4113168319237435</v>
      </c>
      <c r="BR107" s="794">
        <f t="shared" si="68"/>
        <v>1.7056584159618718E-3</v>
      </c>
      <c r="BS107" s="794">
        <f t="shared" si="43"/>
        <v>3.9480888827352683</v>
      </c>
      <c r="BT107" s="794">
        <f t="shared" si="44"/>
        <v>1.9740444413676342E-3</v>
      </c>
      <c r="BU107" s="794">
        <f t="shared" si="45"/>
        <v>5.6729547330805508</v>
      </c>
      <c r="BV107" s="794">
        <f t="shared" si="46"/>
        <v>2.8364773665402756E-3</v>
      </c>
      <c r="BW107" s="794">
        <f t="shared" si="47"/>
        <v>9.8770662638194189</v>
      </c>
      <c r="BX107" s="794">
        <f t="shared" si="69"/>
        <v>4.938533131909709E-3</v>
      </c>
      <c r="BY107" s="794">
        <f t="shared" si="70"/>
        <v>6.499369959878412</v>
      </c>
      <c r="BZ107" s="794">
        <f t="shared" si="69"/>
        <v>3.2496849799392058E-3</v>
      </c>
      <c r="CA107" s="794">
        <f t="shared" si="48"/>
        <v>21.829276130707331</v>
      </c>
      <c r="CB107" s="794">
        <f t="shared" si="71"/>
        <v>1.0914638065353666E-2</v>
      </c>
      <c r="CC107" s="794">
        <f t="shared" si="49"/>
        <v>42.950649842908156</v>
      </c>
      <c r="CD107" s="794">
        <f t="shared" si="50"/>
        <v>2.1475324921454077E-2</v>
      </c>
    </row>
    <row r="108" spans="1:83" s="1247" customFormat="1">
      <c r="A108" s="794" t="s">
        <v>804</v>
      </c>
      <c r="B108" s="749">
        <f>GREET1_Import_Export!O528</f>
        <v>48.288034134584244</v>
      </c>
      <c r="C108" s="919">
        <f>GREET1_Import_Export!P528</f>
        <v>50.25288669520193</v>
      </c>
      <c r="D108" s="919">
        <f t="shared" si="51"/>
        <v>78.351681251427806</v>
      </c>
      <c r="E108" s="919">
        <f>GREET1_Import_Export!Q528</f>
        <v>42.3916991507528</v>
      </c>
      <c r="F108" s="919">
        <f>GREET1_Import_Export!R528</f>
        <v>42.813966267291484</v>
      </c>
      <c r="G108" s="919">
        <f>GREET1_Import_Export!S528</f>
        <v>32.583886381291208</v>
      </c>
      <c r="H108" s="919">
        <f>GREET1_Import_Export!T528</f>
        <v>36.274767143994822</v>
      </c>
      <c r="I108" s="919">
        <f>GREET1_Import_Export!U528</f>
        <v>49.656630973943741</v>
      </c>
      <c r="J108" s="919">
        <f>GREET1_Import_Export!V528</f>
        <v>60.532856259368423</v>
      </c>
      <c r="K108" s="919">
        <f>GREET1_Import_Export!W528</f>
        <v>66.763787738480616</v>
      </c>
      <c r="L108" s="919">
        <f>GREET1_Import_Export!X528</f>
        <v>43.479916587501172</v>
      </c>
      <c r="M108" s="919">
        <f>GREET1_Import_Export!Y528</f>
        <v>22.555822954669768</v>
      </c>
      <c r="N108" s="919">
        <f>GREET1_Import_Export!Z528</f>
        <v>14.133048311354559</v>
      </c>
      <c r="O108" s="919">
        <f>GREET1_Import_Export!AA528</f>
        <v>43.829135106879463</v>
      </c>
      <c r="P108" s="919">
        <f>GREET1_Import_Export!AB528</f>
        <v>38.220669919513377</v>
      </c>
      <c r="Q108" s="919">
        <f>GREET1_Import_Export!AC528</f>
        <v>36.875975045381331</v>
      </c>
      <c r="R108" s="919">
        <f t="shared" si="72"/>
        <v>0.14219547805846144</v>
      </c>
      <c r="S108" s="919">
        <f>Glass!P74</f>
        <v>17.397424403624751</v>
      </c>
      <c r="T108" s="749">
        <f xml:space="preserve"> ($B$39*GREET1_Import_Export!$J497)+($B$40*GREET1_Import_Export!$AM528)+ SUM($N76:$O76)</f>
        <v>31.611519200090534</v>
      </c>
      <c r="U108" s="749">
        <f t="shared" si="20"/>
        <v>68.615033117709942</v>
      </c>
      <c r="V108" s="794" cm="1">
        <f t="array" ref="V108" xml:space="preserve"> MMULT($T108:$U108,$C$41:$C$42)+SUM($R76:$S76)</f>
        <v>45.118721347389318</v>
      </c>
      <c r="W108" s="919">
        <f t="shared" si="21"/>
        <v>168.4100531403142</v>
      </c>
      <c r="X108" s="919">
        <f t="shared" si="22"/>
        <v>3.1039390622847813</v>
      </c>
      <c r="Y108" s="919">
        <f t="shared" si="23"/>
        <v>3.8134108479498749</v>
      </c>
      <c r="Z108" s="919">
        <f t="shared" si="24"/>
        <v>11.350517361650695</v>
      </c>
      <c r="AA108" s="919">
        <f t="shared" si="25"/>
        <v>5.035096922257253</v>
      </c>
      <c r="AB108" s="919">
        <f>GREET1_Import_Export!AD528</f>
        <v>5.4714129386544057</v>
      </c>
      <c r="AC108" s="919">
        <f>GREET1_Import_Export!AE528</f>
        <v>1.8541137654445308</v>
      </c>
      <c r="AD108" s="919">
        <f>GREET1_Import_Export!AF528</f>
        <v>6.7552419808132749</v>
      </c>
      <c r="AE108" s="919">
        <f>GREET1_Import_Export!AG528</f>
        <v>1.7478992393929256</v>
      </c>
      <c r="AF108" s="919">
        <f>GREET1_Import_Export!AH528</f>
        <v>1.6839642819638037</v>
      </c>
      <c r="AG108" s="919">
        <f>GREET1_Import_Export!AI528</f>
        <v>2.2356610920376769</v>
      </c>
      <c r="AH108" s="919">
        <f>GREET1_Import_Export!AJ528</f>
        <v>6.3780276080502905</v>
      </c>
      <c r="AI108" s="919">
        <f>GREET1_Import_Export!AK528</f>
        <v>3.9216877919830648</v>
      </c>
      <c r="AJ108" s="919">
        <f>GREET1_Import_Export!AL528</f>
        <v>2.5512110432201167</v>
      </c>
      <c r="AK108" s="794">
        <f t="shared" si="26"/>
        <v>55.190527104066824</v>
      </c>
      <c r="AL108" s="794">
        <f t="shared" si="52"/>
        <v>2.759526355203341E-2</v>
      </c>
      <c r="AM108" s="794">
        <f t="shared" si="27"/>
        <v>56.018727749010417</v>
      </c>
      <c r="AN108" s="794">
        <f t="shared" si="53"/>
        <v>2.8009363874505207E-2</v>
      </c>
      <c r="AO108" s="794">
        <f t="shared" si="28"/>
        <v>78.351681251427806</v>
      </c>
      <c r="AP108" s="794">
        <f t="shared" si="54"/>
        <v>3.9175840625713901E-2</v>
      </c>
      <c r="AQ108" s="794">
        <f t="shared" si="29"/>
        <v>42.3916991507528</v>
      </c>
      <c r="AR108" s="794">
        <f t="shared" si="55"/>
        <v>2.1195849575376399E-2</v>
      </c>
      <c r="AS108" s="794">
        <f t="shared" si="30"/>
        <v>42.813966267291484</v>
      </c>
      <c r="AT108" s="794">
        <f t="shared" si="56"/>
        <v>2.1406983133645741E-2</v>
      </c>
      <c r="AU108" s="794">
        <f t="shared" si="31"/>
        <v>38.583386080096069</v>
      </c>
      <c r="AV108" s="794">
        <f t="shared" si="57"/>
        <v>1.9291693040048033E-2</v>
      </c>
      <c r="AW108" s="794">
        <f t="shared" si="32"/>
        <v>42.269541592703234</v>
      </c>
      <c r="AX108" s="794">
        <f t="shared" si="58"/>
        <v>2.1134770796351617E-2</v>
      </c>
      <c r="AY108" s="794">
        <f t="shared" si="33"/>
        <v>55.634273291483858</v>
      </c>
      <c r="AZ108" s="794">
        <f t="shared" si="59"/>
        <v>2.7817136645741928E-2</v>
      </c>
      <c r="BA108" s="794">
        <f t="shared" si="34"/>
        <v>67.596926317698703</v>
      </c>
      <c r="BB108" s="794">
        <f t="shared" si="60"/>
        <v>3.3798463158849351E-2</v>
      </c>
      <c r="BC108" s="794">
        <f t="shared" si="35"/>
        <v>72.766296846117356</v>
      </c>
      <c r="BD108" s="794">
        <f t="shared" si="61"/>
        <v>3.6383148423058675E-2</v>
      </c>
      <c r="BE108" s="794">
        <f t="shared" si="36"/>
        <v>51.68028129389014</v>
      </c>
      <c r="BF108" s="794">
        <f t="shared" si="62"/>
        <v>2.5840140646945071E-2</v>
      </c>
      <c r="BG108" s="794">
        <f t="shared" si="37"/>
        <v>28.78006253547921</v>
      </c>
      <c r="BH108" s="794">
        <f t="shared" si="63"/>
        <v>1.4390031267739606E-2</v>
      </c>
      <c r="BI108" s="794">
        <f t="shared" si="38"/>
        <v>19.040671176423867</v>
      </c>
      <c r="BJ108" s="794">
        <f t="shared" si="64"/>
        <v>9.5203355882119336E-3</v>
      </c>
      <c r="BK108" s="794">
        <f t="shared" si="39"/>
        <v>43.829135106879463</v>
      </c>
      <c r="BL108" s="794">
        <f t="shared" si="65"/>
        <v>2.1914567553439731E-2</v>
      </c>
      <c r="BM108" s="794">
        <f t="shared" si="40"/>
        <v>38.220669919513377</v>
      </c>
      <c r="BN108" s="794">
        <f t="shared" si="66"/>
        <v>1.9110334959756687E-2</v>
      </c>
      <c r="BO108" s="794">
        <f t="shared" si="41"/>
        <v>40.736611617191357</v>
      </c>
      <c r="BP108" s="794">
        <f t="shared" si="67"/>
        <v>2.036830580859568E-2</v>
      </c>
      <c r="BQ108" s="794">
        <f t="shared" si="42"/>
        <v>46.046744052338042</v>
      </c>
      <c r="BR108" s="794">
        <f t="shared" si="68"/>
        <v>2.3023372026169022E-2</v>
      </c>
      <c r="BS108" s="794">
        <f t="shared" si="43"/>
        <v>35.914974334307409</v>
      </c>
      <c r="BT108" s="794">
        <f t="shared" si="44"/>
        <v>1.7957487167153705E-2</v>
      </c>
      <c r="BU108" s="794">
        <f t="shared" si="45"/>
        <v>51.441615790680288</v>
      </c>
      <c r="BV108" s="794">
        <f t="shared" si="46"/>
        <v>2.5720807895340144E-2</v>
      </c>
      <c r="BW108" s="794">
        <f t="shared" si="47"/>
        <v>65.927507585030639</v>
      </c>
      <c r="BX108" s="794">
        <f t="shared" si="69"/>
        <v>3.2963753792515323E-2</v>
      </c>
      <c r="BY108" s="794">
        <f t="shared" si="70"/>
        <v>51.094699236672774</v>
      </c>
      <c r="BZ108" s="794">
        <f t="shared" si="69"/>
        <v>2.5547349618336386E-2</v>
      </c>
      <c r="CA108" s="794">
        <f t="shared" si="48"/>
        <v>125.15597673488409</v>
      </c>
      <c r="CB108" s="794">
        <f t="shared" si="71"/>
        <v>6.257798836744205E-2</v>
      </c>
      <c r="CC108" s="794">
        <f t="shared" si="49"/>
        <v>164.16926343714968</v>
      </c>
      <c r="CD108" s="794">
        <f t="shared" si="50"/>
        <v>8.2084631718574844E-2</v>
      </c>
    </row>
    <row r="109" spans="1:83" s="1247" customFormat="1">
      <c r="A109" s="794" t="s">
        <v>818</v>
      </c>
      <c r="B109" s="749">
        <f>GREET1_Import_Export!O529</f>
        <v>24.314073193195135</v>
      </c>
      <c r="C109" s="919">
        <f>GREET1_Import_Export!P529</f>
        <v>11.93900479617264</v>
      </c>
      <c r="D109" s="919">
        <f t="shared" si="51"/>
        <v>22.779215031876696</v>
      </c>
      <c r="E109" s="919">
        <f>GREET1_Import_Export!Q529</f>
        <v>28.398008571803306</v>
      </c>
      <c r="F109" s="919">
        <f>GREET1_Import_Export!R529</f>
        <v>28.26152823294294</v>
      </c>
      <c r="G109" s="919">
        <f>GREET1_Import_Export!S529</f>
        <v>21.286437107423122</v>
      </c>
      <c r="H109" s="919">
        <f>GREET1_Import_Export!T529</f>
        <v>21.844717431652249</v>
      </c>
      <c r="I109" s="919">
        <f>GREET1_Import_Export!U529</f>
        <v>7.7567108025331271</v>
      </c>
      <c r="J109" s="919">
        <f>GREET1_Import_Export!V529</f>
        <v>30.044288466376766</v>
      </c>
      <c r="K109" s="919">
        <f>GREET1_Import_Export!W529</f>
        <v>32.723499897086583</v>
      </c>
      <c r="L109" s="919">
        <f>GREET1_Import_Export!X529</f>
        <v>33.950532097733003</v>
      </c>
      <c r="M109" s="919">
        <f>GREET1_Import_Export!Y529</f>
        <v>27.278129695329078</v>
      </c>
      <c r="N109" s="919">
        <f>GREET1_Import_Export!Z529</f>
        <v>37.463932482708664</v>
      </c>
      <c r="O109" s="919">
        <f>GREET1_Import_Export!AA529</f>
        <v>14.377757311392077</v>
      </c>
      <c r="P109" s="919">
        <f>GREET1_Import_Export!AB529</f>
        <v>17.299131616463178</v>
      </c>
      <c r="Q109" s="919">
        <f>GREET1_Import_Export!AC529</f>
        <v>3.7389906904010561</v>
      </c>
      <c r="R109" s="919">
        <f t="shared" si="72"/>
        <v>0.56893400952275064</v>
      </c>
      <c r="S109" s="919">
        <f>Glass!P75</f>
        <v>0.65574475361377005</v>
      </c>
      <c r="T109" s="749">
        <f xml:space="preserve"> ($B$39*GREET1_Import_Export!$J498)+($B$40*GREET1_Import_Export!$AM529)+ SUM($N77:$O77)</f>
        <v>43.942484950524751</v>
      </c>
      <c r="U109" s="749">
        <f t="shared" si="20"/>
        <v>33.236152238545813</v>
      </c>
      <c r="V109" s="794" cm="1">
        <f t="array" ref="V109" xml:space="preserve"> MMULT($T109:$U109,$C$41:$C$42)+SUM($R77:$S77)</f>
        <v>43.627026058541688</v>
      </c>
      <c r="W109" s="919">
        <f t="shared" si="21"/>
        <v>91.918373578155766</v>
      </c>
      <c r="X109" s="919">
        <f t="shared" si="22"/>
        <v>5.2507004690375399E-2</v>
      </c>
      <c r="Y109" s="919">
        <f t="shared" si="23"/>
        <v>6.4508605762461202E-2</v>
      </c>
      <c r="Z109" s="919">
        <f t="shared" si="24"/>
        <v>0.19200817296576811</v>
      </c>
      <c r="AA109" s="919">
        <f t="shared" si="25"/>
        <v>3.6482678854935311</v>
      </c>
      <c r="AB109" s="919">
        <f>GREET1_Import_Export!AD529</f>
        <v>0.1035888860367182</v>
      </c>
      <c r="AC109" s="919">
        <f>GREET1_Import_Export!AE529</f>
        <v>3.1364649313387033E-2</v>
      </c>
      <c r="AD109" s="919">
        <f>GREET1_Import_Export!AF529</f>
        <v>5.248547329689645E-2</v>
      </c>
      <c r="AE109" s="919">
        <f>GREET1_Import_Export!AG529</f>
        <v>2.956789799009512E-2</v>
      </c>
      <c r="AF109" s="919">
        <f>GREET1_Import_Export!AH529</f>
        <v>2.8486358358599015E-2</v>
      </c>
      <c r="AG109" s="919">
        <f>GREET1_Import_Export!AI529</f>
        <v>3.7818998727154107E-2</v>
      </c>
      <c r="AH109" s="919">
        <f>GREET1_Import_Export!AJ529</f>
        <v>0.10789230033553882</v>
      </c>
      <c r="AI109" s="919">
        <f>GREET1_Import_Export!AK529</f>
        <v>6.6340245460962677E-2</v>
      </c>
      <c r="AJ109" s="919">
        <f>GREET1_Import_Export!AL529</f>
        <v>4.3156920134215536E-2</v>
      </c>
      <c r="AK109" s="794">
        <f t="shared" si="26"/>
        <v>26.115018624491963</v>
      </c>
      <c r="AL109" s="794">
        <f t="shared" si="52"/>
        <v>1.3057509312245981E-2</v>
      </c>
      <c r="AM109" s="794">
        <f t="shared" si="27"/>
        <v>12.478997967272436</v>
      </c>
      <c r="AN109" s="794">
        <f t="shared" si="53"/>
        <v>6.2394989836362181E-3</v>
      </c>
      <c r="AO109" s="794">
        <f t="shared" si="28"/>
        <v>22.779215031876696</v>
      </c>
      <c r="AP109" s="794">
        <f t="shared" si="54"/>
        <v>1.1389607515938347E-2</v>
      </c>
      <c r="AQ109" s="794">
        <f t="shared" si="29"/>
        <v>28.398008571803306</v>
      </c>
      <c r="AR109" s="794">
        <f t="shared" si="55"/>
        <v>1.4199004285901652E-2</v>
      </c>
      <c r="AS109" s="794">
        <f t="shared" si="30"/>
        <v>28.26152823294294</v>
      </c>
      <c r="AT109" s="794">
        <f t="shared" si="56"/>
        <v>1.413076411647147E-2</v>
      </c>
      <c r="AU109" s="794">
        <f t="shared" si="31"/>
        <v>21.346396283878057</v>
      </c>
      <c r="AV109" s="794">
        <f t="shared" si="57"/>
        <v>1.0673198141939028E-2</v>
      </c>
      <c r="AW109" s="794">
        <f t="shared" si="32"/>
        <v>21.903961869722089</v>
      </c>
      <c r="AX109" s="794">
        <f t="shared" si="58"/>
        <v>1.0951980934861045E-2</v>
      </c>
      <c r="AY109" s="794">
        <f t="shared" si="33"/>
        <v>7.8339914110898992</v>
      </c>
      <c r="AZ109" s="794">
        <f t="shared" si="59"/>
        <v>3.9169957055449492E-3</v>
      </c>
      <c r="BA109" s="794">
        <f t="shared" si="34"/>
        <v>30.87865944930854</v>
      </c>
      <c r="BB109" s="794">
        <f t="shared" si="60"/>
        <v>1.5439329724654271E-2</v>
      </c>
      <c r="BC109" s="794">
        <f t="shared" si="35"/>
        <v>33.868362637116995</v>
      </c>
      <c r="BD109" s="794">
        <f t="shared" si="61"/>
        <v>1.6934181318558499E-2</v>
      </c>
      <c r="BE109" s="794">
        <f t="shared" si="36"/>
        <v>37.684602414110088</v>
      </c>
      <c r="BF109" s="794">
        <f t="shared" si="62"/>
        <v>1.8842301207055046E-2</v>
      </c>
      <c r="BG109" s="794">
        <f t="shared" si="37"/>
        <v>29.225872625324303</v>
      </c>
      <c r="BH109" s="794">
        <f t="shared" si="63"/>
        <v>1.4612936312662151E-2</v>
      </c>
      <c r="BI109" s="794">
        <f t="shared" si="38"/>
        <v>41.355709628691201</v>
      </c>
      <c r="BJ109" s="794">
        <f t="shared" si="64"/>
        <v>2.06778548143456E-2</v>
      </c>
      <c r="BK109" s="794">
        <f t="shared" si="39"/>
        <v>14.377757311392077</v>
      </c>
      <c r="BL109" s="794">
        <f t="shared" si="65"/>
        <v>7.1888786556960384E-3</v>
      </c>
      <c r="BM109" s="794">
        <f t="shared" si="40"/>
        <v>17.299131616463178</v>
      </c>
      <c r="BN109" s="794">
        <f t="shared" si="66"/>
        <v>8.649565808231589E-3</v>
      </c>
      <c r="BO109" s="794">
        <f t="shared" si="41"/>
        <v>3.9228353751546594</v>
      </c>
      <c r="BP109" s="794">
        <f t="shared" si="67"/>
        <v>1.9614176875773297E-3</v>
      </c>
      <c r="BQ109" s="794">
        <f t="shared" si="42"/>
        <v>22.733695872816384</v>
      </c>
      <c r="BR109" s="794">
        <f t="shared" si="68"/>
        <v>1.1366847936408192E-2</v>
      </c>
      <c r="BS109" s="794">
        <f t="shared" si="43"/>
        <v>8.326697159670486</v>
      </c>
      <c r="BT109" s="794">
        <f t="shared" si="44"/>
        <v>4.1633485798352431E-3</v>
      </c>
      <c r="BU109" s="794">
        <f t="shared" si="45"/>
        <v>10.900360071770052</v>
      </c>
      <c r="BV109" s="794">
        <f t="shared" si="46"/>
        <v>5.4501800358850265E-3</v>
      </c>
      <c r="BW109" s="794">
        <f t="shared" si="47"/>
        <v>13.549935250695333</v>
      </c>
      <c r="BX109" s="794">
        <f t="shared" si="69"/>
        <v>6.7749676253476667E-3</v>
      </c>
      <c r="BY109" s="794">
        <f t="shared" si="70"/>
        <v>10.925664160711959</v>
      </c>
      <c r="BZ109" s="794">
        <f t="shared" si="69"/>
        <v>5.4628320803559796E-3</v>
      </c>
      <c r="CA109" s="794">
        <f t="shared" si="48"/>
        <v>53.262165244660409</v>
      </c>
      <c r="CB109" s="794">
        <f t="shared" si="71"/>
        <v>2.6631082622330205E-2</v>
      </c>
      <c r="CC109" s="794">
        <f t="shared" si="49"/>
        <v>83.213248726908475</v>
      </c>
      <c r="CD109" s="794">
        <f t="shared" si="50"/>
        <v>4.1606624363454241E-2</v>
      </c>
    </row>
    <row r="110" spans="1:83" s="1247" customFormat="1">
      <c r="A110" s="1500" t="s">
        <v>819</v>
      </c>
      <c r="B110" s="1144">
        <f>GREET1_Import_Export!O530</f>
        <v>925.77206066942119</v>
      </c>
      <c r="C110" s="2748">
        <f>GREET1_Import_Export!P530</f>
        <v>411.61982043953935</v>
      </c>
      <c r="D110" s="2748">
        <f t="shared" si="51"/>
        <v>1322.1260504362876</v>
      </c>
      <c r="E110" s="2748">
        <f>GREET1_Import_Export!Q530</f>
        <v>778.8982296233421</v>
      </c>
      <c r="F110" s="2748">
        <f>GREET1_Import_Export!R530</f>
        <v>780.35365981645396</v>
      </c>
      <c r="G110" s="2748">
        <f>GREET1_Import_Export!S530</f>
        <v>1583.0968805571597</v>
      </c>
      <c r="H110" s="2748">
        <f>GREET1_Import_Export!T530</f>
        <v>1735.7790550806708</v>
      </c>
      <c r="I110" s="2748">
        <f>GREET1_Import_Export!U530</f>
        <v>371.0281925820438</v>
      </c>
      <c r="J110" s="2748">
        <f>GREET1_Import_Export!V530</f>
        <v>1133.9290671771985</v>
      </c>
      <c r="K110" s="2748">
        <f>GREET1_Import_Export!W530</f>
        <v>1508.3181621414242</v>
      </c>
      <c r="L110" s="2748">
        <f>GREET1_Import_Export!X530</f>
        <v>1333.2425902618934</v>
      </c>
      <c r="M110" s="2748">
        <f>GREET1_Import_Export!Y530</f>
        <v>1154.1270702066618</v>
      </c>
      <c r="N110" s="2748">
        <f>GREET1_Import_Export!Z530</f>
        <v>1176.4396771196859</v>
      </c>
      <c r="O110" s="2748">
        <f>GREET1_Import_Export!AA530</f>
        <v>867.93046109540501</v>
      </c>
      <c r="P110" s="2748">
        <f>GREET1_Import_Export!AB530</f>
        <v>855.24335630167468</v>
      </c>
      <c r="Q110" s="2748">
        <f>GREET1_Import_Export!AC530</f>
        <v>443.56600092969427</v>
      </c>
      <c r="R110" s="2748">
        <f t="shared" si="72"/>
        <v>21.46437674285713</v>
      </c>
      <c r="S110" s="2748">
        <f>Glass!P76</f>
        <v>1836.1203806163653</v>
      </c>
      <c r="T110" s="1144">
        <f xml:space="preserve"> ($B$39*GREET1_Import_Export!$J499)+($B$40*GREET1_Import_Export!$AM530)+ SUM($N78:$O78)</f>
        <v>1529.0229280141893</v>
      </c>
      <c r="U110" s="1144">
        <f t="shared" si="20"/>
        <v>1238.7319725344119</v>
      </c>
      <c r="V110" s="1500" cm="1">
        <f t="array" ref="V110" xml:space="preserve"> MMULT($T110:$U110,$C$41:$C$42)+SUM($R78:$S78)</f>
        <v>2751.4937537529504</v>
      </c>
      <c r="W110" s="2748">
        <f t="shared" si="21"/>
        <v>12907.455880991321</v>
      </c>
      <c r="X110" s="2748">
        <f t="shared" si="22"/>
        <v>327.14296964850479</v>
      </c>
      <c r="Y110" s="2748">
        <f t="shared" si="23"/>
        <v>401.91850556816303</v>
      </c>
      <c r="Z110" s="2748">
        <f t="shared" si="24"/>
        <v>1196.2998893425556</v>
      </c>
      <c r="AA110" s="2748">
        <f t="shared" si="25"/>
        <v>225.32830727951853</v>
      </c>
      <c r="AB110" s="2748">
        <f>GREET1_Import_Export!AD530</f>
        <v>574.96853512887026</v>
      </c>
      <c r="AC110" s="2748">
        <f>GREET1_Import_Export!AE530</f>
        <v>195.41629881329291</v>
      </c>
      <c r="AD110" s="2748">
        <f>GREET1_Import_Export!AF530</f>
        <v>234.00451115639197</v>
      </c>
      <c r="AE110" s="2748">
        <f>GREET1_Import_Export!AG530</f>
        <v>184.22170549973941</v>
      </c>
      <c r="AF110" s="2748">
        <f>GREET1_Import_Export!AH530</f>
        <v>177.48321243721207</v>
      </c>
      <c r="AG110" s="2748">
        <f>GREET1_Import_Export!AI530</f>
        <v>235.62988644450445</v>
      </c>
      <c r="AH110" s="2748">
        <f>GREET1_Import_Export!AJ530</f>
        <v>672.21902567309041</v>
      </c>
      <c r="AI110" s="2748">
        <f>GREET1_Import_Export!AK530</f>
        <v>413.33046962566902</v>
      </c>
      <c r="AJ110" s="2748">
        <f>GREET1_Import_Export!AL530</f>
        <v>268.88761026923618</v>
      </c>
      <c r="AK110" s="1488">
        <f t="shared" si="26"/>
        <v>1238.4757612368346</v>
      </c>
      <c r="AL110" s="1500">
        <f>AK110/2000</f>
        <v>0.61923788061841734</v>
      </c>
      <c r="AM110" s="1488">
        <f t="shared" si="27"/>
        <v>663.25221264239178</v>
      </c>
      <c r="AN110" s="1500">
        <f>AM110/2000</f>
        <v>0.33162610632119588</v>
      </c>
      <c r="AO110" s="1488">
        <f t="shared" si="28"/>
        <v>1322.1260504362876</v>
      </c>
      <c r="AP110" s="1500">
        <f>AO110/2000</f>
        <v>0.66106302521814386</v>
      </c>
      <c r="AQ110" s="1488">
        <f t="shared" si="29"/>
        <v>778.8982296233421</v>
      </c>
      <c r="AR110" s="1500">
        <f>AQ110/2000</f>
        <v>0.38944911481167105</v>
      </c>
      <c r="AS110" s="1488">
        <f t="shared" si="30"/>
        <v>780.35365981645396</v>
      </c>
      <c r="AT110" s="1500">
        <f>AS110/2000</f>
        <v>0.390176829908227</v>
      </c>
      <c r="AU110" s="1488">
        <f t="shared" si="31"/>
        <v>2101.8823745625823</v>
      </c>
      <c r="AV110" s="1500">
        <f>AU110/2000</f>
        <v>1.050941187281291</v>
      </c>
      <c r="AW110" s="1488">
        <f t="shared" si="32"/>
        <v>2254.3690777321599</v>
      </c>
      <c r="AX110" s="1500">
        <f>AW110/2000</f>
        <v>1.1271845388660799</v>
      </c>
      <c r="AY110" s="1488">
        <f t="shared" si="33"/>
        <v>891.36543752524676</v>
      </c>
      <c r="AZ110" s="1500">
        <f>AY110/2000</f>
        <v>0.44568271876262339</v>
      </c>
      <c r="BA110" s="1488">
        <f t="shared" si="34"/>
        <v>1527.2650822207627</v>
      </c>
      <c r="BB110" s="1500">
        <f>BA110/2000</f>
        <v>0.76363254111038137</v>
      </c>
      <c r="BC110" s="1488">
        <f t="shared" si="35"/>
        <v>1790.7462818849874</v>
      </c>
      <c r="BD110" s="1500">
        <f>BC110/2000</f>
        <v>0.89537314094249365</v>
      </c>
      <c r="BE110" s="1488">
        <f t="shared" si="36"/>
        <v>1739.3180591286196</v>
      </c>
      <c r="BF110" s="1500">
        <f>BE110/2000</f>
        <v>0.86965902956430974</v>
      </c>
      <c r="BG110" s="1488">
        <f t="shared" si="37"/>
        <v>1485.9580813593698</v>
      </c>
      <c r="BH110" s="1500">
        <f>BG110/2000</f>
        <v>0.7429790406796849</v>
      </c>
      <c r="BI110" s="1488">
        <f t="shared" si="38"/>
        <v>1588.1450397960389</v>
      </c>
      <c r="BJ110" s="1500">
        <f>BI110/2000</f>
        <v>0.79407251989801941</v>
      </c>
      <c r="BK110" s="1488">
        <f t="shared" si="39"/>
        <v>867.93046109540501</v>
      </c>
      <c r="BL110" s="1500">
        <f>BK110/2000</f>
        <v>0.43396523054770253</v>
      </c>
      <c r="BM110" s="1488">
        <f t="shared" si="40"/>
        <v>855.24335630167468</v>
      </c>
      <c r="BN110" s="1500">
        <f>BM110/2000</f>
        <v>0.42762167815083735</v>
      </c>
      <c r="BO110" s="1488">
        <f t="shared" si="41"/>
        <v>711.25643605103528</v>
      </c>
      <c r="BP110" s="1500">
        <f>BO110/2000</f>
        <v>0.35562821802551764</v>
      </c>
      <c r="BQ110" s="1488">
        <f t="shared" si="42"/>
        <v>1186.0569130835986</v>
      </c>
      <c r="BR110" s="1500">
        <f>BQ110/2000</f>
        <v>0.59302845654179925</v>
      </c>
      <c r="BS110" s="1488">
        <f t="shared" si="43"/>
        <v>1417.0510048632548</v>
      </c>
      <c r="BT110" s="1500">
        <f t="shared" si="44"/>
        <v>0.70852550243162737</v>
      </c>
      <c r="BU110" s="1488">
        <f t="shared" si="45"/>
        <v>2260.7143249087039</v>
      </c>
      <c r="BV110" s="1500">
        <f t="shared" si="46"/>
        <v>1.130357162454352</v>
      </c>
      <c r="BW110" s="1488">
        <f t="shared" si="47"/>
        <v>2996.5003550425677</v>
      </c>
      <c r="BX110" s="1500">
        <f t="shared" si="69"/>
        <v>1.4982501775212838</v>
      </c>
      <c r="BY110" s="1488">
        <f t="shared" si="70"/>
        <v>2224.7552282715092</v>
      </c>
      <c r="BZ110" s="1500">
        <f t="shared" si="69"/>
        <v>1.1123776141357546</v>
      </c>
      <c r="CA110" s="1488">
        <f t="shared" si="48"/>
        <v>5694.7348068267083</v>
      </c>
      <c r="CB110" s="1500">
        <f>CA110/2000</f>
        <v>2.847367403413354</v>
      </c>
      <c r="CC110" s="1488">
        <f t="shared" si="49"/>
        <v>10713.499689423146</v>
      </c>
      <c r="CD110" s="1500">
        <f t="shared" si="50"/>
        <v>5.3567498447115733</v>
      </c>
    </row>
    <row r="111" spans="1:83" s="1247" customFormat="1">
      <c r="A111" s="795" t="s">
        <v>864</v>
      </c>
      <c r="B111" s="1080"/>
      <c r="C111" s="1141"/>
      <c r="D111" s="1141"/>
      <c r="E111" s="1141"/>
      <c r="F111" s="1141"/>
      <c r="G111" s="1141"/>
      <c r="H111" s="1141"/>
      <c r="I111" s="1141"/>
      <c r="J111" s="1141"/>
      <c r="K111" s="1141"/>
      <c r="L111" s="1141"/>
      <c r="M111" s="1141"/>
      <c r="N111" s="1141"/>
      <c r="O111" s="1141"/>
      <c r="P111" s="1141"/>
      <c r="Q111" s="1141"/>
      <c r="R111" s="1141"/>
      <c r="S111" s="1141"/>
      <c r="T111" s="1080"/>
      <c r="U111" s="1080"/>
      <c r="V111" s="1262"/>
      <c r="W111" s="919"/>
      <c r="X111" s="1141"/>
      <c r="Y111" s="1141"/>
      <c r="Z111" s="1141"/>
      <c r="AA111" s="1141"/>
      <c r="AB111" s="1141"/>
      <c r="AC111" s="1141"/>
      <c r="AD111" s="1141"/>
      <c r="AE111" s="1141"/>
      <c r="AF111" s="1141"/>
      <c r="AG111" s="1141"/>
      <c r="AH111" s="1141"/>
      <c r="AI111" s="1141"/>
      <c r="AJ111" s="1141"/>
      <c r="AK111" s="794" t="s">
        <v>845</v>
      </c>
      <c r="AL111" s="794" t="s">
        <v>846</v>
      </c>
      <c r="AM111" s="794" t="s">
        <v>845</v>
      </c>
      <c r="AN111" s="794" t="s">
        <v>846</v>
      </c>
      <c r="AO111" s="794" t="s">
        <v>845</v>
      </c>
      <c r="AP111" s="794" t="s">
        <v>846</v>
      </c>
      <c r="AQ111" s="794" t="s">
        <v>845</v>
      </c>
      <c r="AR111" s="794" t="s">
        <v>846</v>
      </c>
      <c r="AS111" s="794" t="s">
        <v>845</v>
      </c>
      <c r="AT111" s="794" t="s">
        <v>846</v>
      </c>
      <c r="AU111" s="794" t="s">
        <v>845</v>
      </c>
      <c r="AV111" s="794" t="s">
        <v>846</v>
      </c>
      <c r="AW111" s="794" t="s">
        <v>845</v>
      </c>
      <c r="AX111" s="794" t="s">
        <v>846</v>
      </c>
      <c r="AY111" s="794" t="s">
        <v>845</v>
      </c>
      <c r="AZ111" s="794" t="s">
        <v>846</v>
      </c>
      <c r="BA111" s="794" t="s">
        <v>845</v>
      </c>
      <c r="BB111" s="794" t="s">
        <v>846</v>
      </c>
      <c r="BC111" s="794" t="s">
        <v>845</v>
      </c>
      <c r="BD111" s="794" t="s">
        <v>846</v>
      </c>
      <c r="BE111" s="794" t="s">
        <v>845</v>
      </c>
      <c r="BF111" s="794" t="s">
        <v>846</v>
      </c>
      <c r="BG111" s="794" t="s">
        <v>845</v>
      </c>
      <c r="BH111" s="794" t="s">
        <v>846</v>
      </c>
      <c r="BI111" s="794" t="s">
        <v>845</v>
      </c>
      <c r="BJ111" s="794" t="s">
        <v>846</v>
      </c>
      <c r="BK111" s="794" t="s">
        <v>845</v>
      </c>
      <c r="BL111" s="794" t="s">
        <v>846</v>
      </c>
      <c r="BM111" s="794" t="s">
        <v>845</v>
      </c>
      <c r="BN111" s="794" t="s">
        <v>846</v>
      </c>
      <c r="BO111" s="794" t="s">
        <v>845</v>
      </c>
      <c r="BP111" s="794" t="s">
        <v>846</v>
      </c>
      <c r="BQ111" s="794" t="s">
        <v>845</v>
      </c>
      <c r="BR111" s="794" t="s">
        <v>846</v>
      </c>
      <c r="BS111" s="794" t="s">
        <v>845</v>
      </c>
      <c r="BT111" s="794" t="s">
        <v>846</v>
      </c>
      <c r="BU111" s="794" t="s">
        <v>845</v>
      </c>
      <c r="BV111" s="794" t="s">
        <v>846</v>
      </c>
      <c r="BW111" s="794" t="s">
        <v>845</v>
      </c>
      <c r="BX111" s="794" t="s">
        <v>846</v>
      </c>
      <c r="BY111" s="794" t="s">
        <v>845</v>
      </c>
      <c r="BZ111" s="794" t="s">
        <v>846</v>
      </c>
      <c r="CA111" s="794" t="s">
        <v>845</v>
      </c>
      <c r="CB111" s="794" t="s">
        <v>846</v>
      </c>
      <c r="CC111" s="794" t="s">
        <v>845</v>
      </c>
      <c r="CD111" s="794" t="s">
        <v>846</v>
      </c>
    </row>
    <row r="112" spans="1:83" s="1247" customFormat="1">
      <c r="A112" s="794" t="s">
        <v>821</v>
      </c>
      <c r="B112" s="749">
        <f>GREET1_Import_Export!O532</f>
        <v>1072.5750604791422</v>
      </c>
      <c r="C112" s="919">
        <f>GREET1_Import_Export!P532</f>
        <v>1169.6933939384749</v>
      </c>
      <c r="D112" s="919">
        <f>SUM(B80:C80)</f>
        <v>975.88982144067631</v>
      </c>
      <c r="E112" s="919">
        <f>GREET1_Import_Export!Q532</f>
        <v>908.22783480577266</v>
      </c>
      <c r="F112" s="919">
        <f>GREET1_Import_Export!R532</f>
        <v>928.99198589672585</v>
      </c>
      <c r="G112" s="919">
        <f>GREET1_Import_Export!S532</f>
        <v>1637.899327673397</v>
      </c>
      <c r="H112" s="919">
        <f>GREET1_Import_Export!T532</f>
        <v>1711.9795932102829</v>
      </c>
      <c r="I112" s="919">
        <f>GREET1_Import_Export!U532</f>
        <v>1209.9568615935639</v>
      </c>
      <c r="J112" s="919">
        <f>GREET1_Import_Export!V532</f>
        <v>823.98839132469152</v>
      </c>
      <c r="K112" s="919">
        <f>GREET1_Import_Export!W532</f>
        <v>893.71521159902329</v>
      </c>
      <c r="L112" s="919">
        <f>GREET1_Import_Export!X532</f>
        <v>637.81578996464964</v>
      </c>
      <c r="M112" s="919">
        <f>GREET1_Import_Export!Y532</f>
        <v>1099.5771058228208</v>
      </c>
      <c r="N112" s="919">
        <f>GREET1_Import_Export!Z532</f>
        <v>1026.7477614685836</v>
      </c>
      <c r="O112" s="919">
        <f>GREET1_Import_Export!AA532</f>
        <v>886.82080714438507</v>
      </c>
      <c r="P112" s="919">
        <f>GREET1_Import_Export!AB532</f>
        <v>1010.7455185324339</v>
      </c>
      <c r="Q112" s="919">
        <f>GREET1_Import_Export!AC532</f>
        <v>730.33526161501493</v>
      </c>
      <c r="R112" s="919">
        <f>SUM(D80:E80)</f>
        <v>5.0740956353987237</v>
      </c>
      <c r="S112" s="919">
        <f>Glass!P78</f>
        <v>239.35048808895493</v>
      </c>
      <c r="T112" s="749">
        <f xml:space="preserve"> ($B$39*GREET1_Import_Export!$J501)+($B$40*GREET1_Import_Export!$AM532)+ SUM($N80:$O80)</f>
        <v>2785.3957285199076</v>
      </c>
      <c r="U112" s="749">
        <f t="shared" ref="U112:U122" si="73" xml:space="preserve"> SUM($P80:$Q80)</f>
        <v>1041.4762741224852</v>
      </c>
      <c r="V112" s="794" cm="1">
        <f t="array" ref="V112" xml:space="preserve"> MMULT($T112:$U112,$C$41:$C$42)+SUM($R80:$S80)</f>
        <v>2859.3233315533566</v>
      </c>
      <c r="W112" s="919">
        <f t="shared" ref="W112:W122" si="74" xml:space="preserve"> ($D$43*$V112)+SUM($T80:$U80)</f>
        <v>6937.7601474873027</v>
      </c>
      <c r="X112" s="919">
        <f t="shared" ref="X112:X122" si="75">SUM(F80:G80)</f>
        <v>41.709174393637582</v>
      </c>
      <c r="Y112" s="919">
        <f t="shared" ref="Y112:Y122" si="76">SUM(H80:I80)</f>
        <v>51.242699969326175</v>
      </c>
      <c r="Z112" s="919">
        <f t="shared" ref="Z112:Z122" si="77">SUM(J80:K80)</f>
        <v>152.52255234244814</v>
      </c>
      <c r="AA112" s="919">
        <f t="shared" ref="AA112:AA122" si="78">SUM(L80:M80)</f>
        <v>81.855456193314922</v>
      </c>
      <c r="AB112" s="919">
        <f>GREET1_Import_Export!AD532</f>
        <v>73.656124116125781</v>
      </c>
      <c r="AC112" s="919">
        <f>GREET1_Import_Export!AE532</f>
        <v>24.914649687628035</v>
      </c>
      <c r="AD112" s="919">
        <f>GREET1_Import_Export!AF532</f>
        <v>82.569512384024051</v>
      </c>
      <c r="AE112" s="919">
        <f>GREET1_Import_Export!AG532</f>
        <v>23.487392224988607</v>
      </c>
      <c r="AF112" s="919">
        <f>GREET1_Import_Export!AH532</f>
        <v>22.628266373691091</v>
      </c>
      <c r="AG112" s="919">
        <f>GREET1_Import_Export!AI532</f>
        <v>30.041691058274516</v>
      </c>
      <c r="AH112" s="919">
        <f>GREET1_Import_Export!AJ532</f>
        <v>85.704732101212116</v>
      </c>
      <c r="AI112" s="919">
        <f>GREET1_Import_Export!AK532</f>
        <v>52.697671169104233</v>
      </c>
      <c r="AJ112" s="919">
        <f>GREET1_Import_Export!AL532</f>
        <v>34.281892840484851</v>
      </c>
      <c r="AK112" s="794">
        <f t="shared" ref="AK112:AK123" si="79">B112*(SUMPRODUCT($D$19:$L$19,$D$25:$L$25))+SUMPRODUCT($D$25:$L$25,$AB112:$AJ112)</f>
        <v>1194.0092621560161</v>
      </c>
      <c r="AL112" s="794">
        <f t="shared" si="52"/>
        <v>0.59700463107800805</v>
      </c>
      <c r="AM112" s="794">
        <f t="shared" ref="AM112:AM123" si="80">C112*(SUMPRODUCT($D$19:$L$19,$D$26:$L$26))+SUMPRODUCT($D$26:$L$26,$AB112:$AJ112)</f>
        <v>1265.1613819246732</v>
      </c>
      <c r="AN112" s="794">
        <f t="shared" si="53"/>
        <v>0.6325806909623366</v>
      </c>
      <c r="AO112" s="794">
        <f t="shared" ref="AO112:AO123" si="81">D112</f>
        <v>975.88982144067631</v>
      </c>
      <c r="AP112" s="794">
        <f t="shared" si="54"/>
        <v>0.48794491072033813</v>
      </c>
      <c r="AQ112" s="794">
        <f t="shared" ref="AQ112:AQ123" si="82">E112</f>
        <v>908.22783480577266</v>
      </c>
      <c r="AR112" s="794">
        <f t="shared" si="55"/>
        <v>0.45411391740288631</v>
      </c>
      <c r="AS112" s="794">
        <f t="shared" ref="AS112:AS123" si="83">F112</f>
        <v>928.99198589672585</v>
      </c>
      <c r="AT112" s="794">
        <f t="shared" si="56"/>
        <v>0.46449599294836291</v>
      </c>
      <c r="AU112" s="794">
        <f t="shared" ref="AU112:AU123" si="84">G112*(SUMPRODUCT($D$19:$L$19,$D$27:$L$27))+SUMPRODUCT($D$27:$L$27,$AB112:$AJ112)</f>
        <v>1714.9917444403866</v>
      </c>
      <c r="AV112" s="794">
        <f t="shared" si="57"/>
        <v>0.8574958722201933</v>
      </c>
      <c r="AW112" s="794">
        <f t="shared" ref="AW112:AW123" si="85">H112*(SUMPRODUCT($D$19:$L$19,$D$28:$L$28))+SUMPRODUCT($D$28:$L$28,$AB112:$AJ112)</f>
        <v>1788.9771687173188</v>
      </c>
      <c r="AX112" s="794">
        <f t="shared" si="58"/>
        <v>0.89448858435865941</v>
      </c>
      <c r="AY112" s="794">
        <f t="shared" ref="AY112:AY123" si="86">I112*(SUMPRODUCT($D$19:$L$19,$D$29:$L$29))+SUMPRODUCT($D$29:$L$29,$AB112:$AJ112)</f>
        <v>1287.5971517027522</v>
      </c>
      <c r="AZ112" s="794">
        <f t="shared" si="59"/>
        <v>0.64379857585137612</v>
      </c>
      <c r="BA112" s="794">
        <f t="shared" ref="BA112:BA123" si="87">J112*(SUMPRODUCT($D$19:$L$19,$D$30:$L$30))+SUMPRODUCT($D$30:$L$30,$AB112:$AJ112)</f>
        <v>915.50531124450754</v>
      </c>
      <c r="BB112" s="794">
        <f t="shared" si="60"/>
        <v>0.45775265562225376</v>
      </c>
      <c r="BC112" s="794">
        <f t="shared" ref="BC112:BC123" si="88">K112*(SUMPRODUCT($D$19:$L$19,$D$31:$L$31))+SUMPRODUCT($D$31:$L$31,$AB112:$AJ112)</f>
        <v>971.44459574092048</v>
      </c>
      <c r="BD112" s="794">
        <f t="shared" si="61"/>
        <v>0.48572229787046023</v>
      </c>
      <c r="BE112" s="794">
        <f t="shared" ref="BE112:BE123" si="89">L112*(SUMPRODUCT($D$19:$L$19,$D$32:$L$32))+SUMPRODUCT($D$32:$L$32,$AB112:$AJ112)</f>
        <v>752.02219594753217</v>
      </c>
      <c r="BF112" s="794">
        <f t="shared" si="62"/>
        <v>0.37601109797376608</v>
      </c>
      <c r="BG112" s="794">
        <f t="shared" ref="BG112:BG123" si="90">M112*(SUMPRODUCT($D$19:$L$19,$D$33:$L$33))+SUMPRODUCT($D$33:$L$33,$AB112:$AJ112)</f>
        <v>1234.5883538556348</v>
      </c>
      <c r="BH112" s="794">
        <f t="shared" si="63"/>
        <v>0.61729417692781741</v>
      </c>
      <c r="BI112" s="794">
        <f t="shared" ref="BI112:BI123" si="91">N112*(SUMPRODUCT($D$19:$L$19,$D$34:$L$34))+SUMPRODUCT($D$34:$L$34,$AB112:$AJ112)</f>
        <v>1177.261665946311</v>
      </c>
      <c r="BJ112" s="794">
        <f t="shared" si="64"/>
        <v>0.58863083297315555</v>
      </c>
      <c r="BK112" s="794">
        <f t="shared" ref="BK112:BK123" si="92">O112</f>
        <v>886.82080714438507</v>
      </c>
      <c r="BL112" s="794">
        <f t="shared" si="65"/>
        <v>0.44341040357219252</v>
      </c>
      <c r="BM112" s="794">
        <f t="shared" ref="BM112:BM123" si="93">P112</f>
        <v>1010.7455185324339</v>
      </c>
      <c r="BN112" s="794">
        <f t="shared" si="66"/>
        <v>0.50537275926621694</v>
      </c>
      <c r="BO112" s="794">
        <f t="shared" ref="BO112:BO123" si="94">Q112*(SUMPRODUCT($D$19:$L$19,$D$35:$L$35))+SUMPRODUCT($D$35:$L$35,$AB112:$AJ112)</f>
        <v>791.09437157788761</v>
      </c>
      <c r="BP112" s="794">
        <f t="shared" si="67"/>
        <v>0.39554718578894382</v>
      </c>
      <c r="BQ112" s="794">
        <f t="shared" ref="BQ112:BQ124" si="95">AK112*$A$6+AM112*$B$6+AO112*$C$6+AQ112*$D$6+AS112*$E$6+AU112*$F$6+AW112*$G$6+AY112*$H$6+BA112*$I$6+BC112*$J$6+BE112*$K$6+BG112*$L$6+BI112*$M$6+BK112*$N$6+BM112*$O$6+BO112*$P$6</f>
        <v>1038.0082990222968</v>
      </c>
      <c r="BR112" s="794">
        <f t="shared" si="68"/>
        <v>0.51900414951114837</v>
      </c>
      <c r="BS112" s="794">
        <f t="shared" ref="BS112:BS122" si="96">($D112*$B$10+$R112*$D$10+$S112*$C$10)*$B$19+X112</f>
        <v>459.63514786251318</v>
      </c>
      <c r="BT112" s="794">
        <f t="shared" ref="BT112:BT124" si="97">BS112/2000</f>
        <v>0.2298175739312566</v>
      </c>
      <c r="BU112" s="794">
        <f t="shared" ref="BU112:BU122" si="98">($D112*$B$11+$R112*$D$11+$S112*$C$11)*$B$19+Y112</f>
        <v>659.96419239911972</v>
      </c>
      <c r="BV112" s="794">
        <f t="shared" ref="BV112:BV124" si="99">BU112/2000</f>
        <v>0.32998209619955987</v>
      </c>
      <c r="BW112" s="794">
        <f t="shared" ref="BW112:BW122" si="100">($D112*$B$12+$R112*$D$12+$S112*$C$12)*$B$19+Z112</f>
        <v>845.20952877433797</v>
      </c>
      <c r="BX112" s="794">
        <f t="shared" ref="BX112:BZ124" si="101">BW112/2000</f>
        <v>0.42260476438716899</v>
      </c>
      <c r="BY112" s="794">
        <f t="shared" si="70"/>
        <v>654.93628967865698</v>
      </c>
      <c r="BZ112" s="794">
        <f t="shared" si="101"/>
        <v>0.32746814483932851</v>
      </c>
      <c r="CA112" s="794">
        <f t="shared" ref="CA112:CA124" si="102">(D112*$B$14+W112*$C$14)*$C$19+$AA112</f>
        <v>3233.3295041436322</v>
      </c>
      <c r="CB112" s="794">
        <f t="shared" si="71"/>
        <v>1.616664752071816</v>
      </c>
      <c r="CC112" s="794">
        <f t="shared" ref="CC112:CC124" si="103">(D112*$B$15+W112*$C$15)*$C$19+$AA112</f>
        <v>5816.0117293870298</v>
      </c>
      <c r="CD112" s="794">
        <f t="shared" ref="CD112:CD123" si="104">CC112/2000</f>
        <v>2.9080058646935147</v>
      </c>
    </row>
    <row r="113" spans="1:82" s="1247" customFormat="1">
      <c r="A113" s="794" t="s">
        <v>822</v>
      </c>
      <c r="B113" s="749">
        <f>GREET1_Import_Export!O533</f>
        <v>10431.173006416149</v>
      </c>
      <c r="C113" s="919">
        <f>GREET1_Import_Export!P533</f>
        <v>5167.4529591078945</v>
      </c>
      <c r="D113" s="919">
        <f t="shared" ref="D113:D122" si="105">SUM(B81:C81)</f>
        <v>4076.3657306185733</v>
      </c>
      <c r="E113" s="919">
        <f>GREET1_Import_Export!Q533</f>
        <v>11043.546708857215</v>
      </c>
      <c r="F113" s="919">
        <f>GREET1_Import_Export!R533</f>
        <v>11001.926984330334</v>
      </c>
      <c r="G113" s="919">
        <f>GREET1_Import_Export!S533</f>
        <v>3636.331937273399</v>
      </c>
      <c r="H113" s="919">
        <f>GREET1_Import_Export!T533</f>
        <v>3803.0300771803068</v>
      </c>
      <c r="I113" s="919">
        <f>GREET1_Import_Export!U533</f>
        <v>4407.4103979428874</v>
      </c>
      <c r="J113" s="919">
        <f>GREET1_Import_Export!V533</f>
        <v>8274.1637983886358</v>
      </c>
      <c r="K113" s="919">
        <f>GREET1_Import_Export!W533</f>
        <v>4876.8701831040389</v>
      </c>
      <c r="L113" s="919">
        <f>GREET1_Import_Export!X533</f>
        <v>2437.865480320796</v>
      </c>
      <c r="M113" s="919">
        <f>GREET1_Import_Export!Y533</f>
        <v>13108.552804620305</v>
      </c>
      <c r="N113" s="919">
        <f>GREET1_Import_Export!Z533</f>
        <v>5978.1339907268557</v>
      </c>
      <c r="O113" s="919">
        <f>GREET1_Import_Export!AA533</f>
        <v>6259.5455042627036</v>
      </c>
      <c r="P113" s="919">
        <f>GREET1_Import_Export!AB533</f>
        <v>7065.274820424831</v>
      </c>
      <c r="Q113" s="919">
        <f>GREET1_Import_Export!AC533</f>
        <v>2749.2197691929387</v>
      </c>
      <c r="R113" s="919">
        <f t="shared" ref="R113:R122" si="106">SUM(D81:E81)</f>
        <v>28.794327525029896</v>
      </c>
      <c r="S113" s="919">
        <f>Glass!P79</f>
        <v>858.560873306546</v>
      </c>
      <c r="T113" s="749">
        <f xml:space="preserve"> ($B$39*GREET1_Import_Export!$J502)+($B$40*GREET1_Import_Export!$AM533)+ SUM($N81:$O81)</f>
        <v>3103.7526384429621</v>
      </c>
      <c r="U113" s="749">
        <f t="shared" si="73"/>
        <v>4780.1760307098975</v>
      </c>
      <c r="V113" s="794" cm="1">
        <f t="array" ref="V113" xml:space="preserve"> MMULT($T113:$U113,$C$41:$C$42)+SUM($R81:$S81)</f>
        <v>3610.308673023233</v>
      </c>
      <c r="W113" s="919">
        <f t="shared" si="74"/>
        <v>10298.79355275952</v>
      </c>
      <c r="X113" s="919">
        <f t="shared" si="75"/>
        <v>112.73945256433622</v>
      </c>
      <c r="Y113" s="919">
        <f t="shared" si="76"/>
        <v>138.50847029332738</v>
      </c>
      <c r="Z113" s="919">
        <f t="shared" si="77"/>
        <v>412.26682869622886</v>
      </c>
      <c r="AA113" s="919">
        <f t="shared" si="78"/>
        <v>375.05869300194547</v>
      </c>
      <c r="AB113" s="919">
        <f>GREET1_Import_Export!AD533</f>
        <v>201.30101807729716</v>
      </c>
      <c r="AC113" s="919">
        <f>GREET1_Import_Export!AE533</f>
        <v>67.344031797566956</v>
      </c>
      <c r="AD113" s="919">
        <f>GREET1_Import_Export!AF533</f>
        <v>302.85593645914105</v>
      </c>
      <c r="AE113" s="919">
        <f>GREET1_Import_Export!AG533</f>
        <v>63.48617013174416</v>
      </c>
      <c r="AF113" s="919">
        <f>GREET1_Import_Export!AH533</f>
        <v>61.163962138724607</v>
      </c>
      <c r="AG113" s="919">
        <f>GREET1_Import_Export!AI533</f>
        <v>81.202369820425574</v>
      </c>
      <c r="AH113" s="919">
        <f>GREET1_Import_Export!AJ533</f>
        <v>231.65897478751481</v>
      </c>
      <c r="AI113" s="919">
        <f>GREET1_Import_Export!AK533</f>
        <v>142.44124189440888</v>
      </c>
      <c r="AJ113" s="919">
        <f>GREET1_Import_Export!AL533</f>
        <v>92.663589915005929</v>
      </c>
      <c r="AK113" s="794">
        <f t="shared" si="79"/>
        <v>11322.946824587285</v>
      </c>
      <c r="AL113" s="794">
        <f t="shared" si="52"/>
        <v>5.6614734122936428</v>
      </c>
      <c r="AM113" s="794">
        <f t="shared" si="80"/>
        <v>5534.5147717956679</v>
      </c>
      <c r="AN113" s="794">
        <f t="shared" si="53"/>
        <v>2.767257385897834</v>
      </c>
      <c r="AO113" s="794">
        <f t="shared" si="81"/>
        <v>4076.3657306185733</v>
      </c>
      <c r="AP113" s="794">
        <f t="shared" si="54"/>
        <v>2.0381828653092868</v>
      </c>
      <c r="AQ113" s="794">
        <f t="shared" si="82"/>
        <v>11043.546708857215</v>
      </c>
      <c r="AR113" s="794">
        <f t="shared" si="55"/>
        <v>5.5217733544286078</v>
      </c>
      <c r="AS113" s="794">
        <f t="shared" si="83"/>
        <v>11001.926984330334</v>
      </c>
      <c r="AT113" s="794">
        <f t="shared" si="56"/>
        <v>5.5009634921651669</v>
      </c>
      <c r="AU113" s="794">
        <f t="shared" si="84"/>
        <v>3865.04477687293</v>
      </c>
      <c r="AV113" s="794">
        <f t="shared" si="57"/>
        <v>1.9325223884364651</v>
      </c>
      <c r="AW113" s="794">
        <f t="shared" si="85"/>
        <v>4031.5295014862222</v>
      </c>
      <c r="AX113" s="794">
        <f t="shared" si="58"/>
        <v>2.0157647507431111</v>
      </c>
      <c r="AY113" s="794">
        <f t="shared" si="86"/>
        <v>4635.1360643431462</v>
      </c>
      <c r="AZ113" s="794">
        <f t="shared" si="59"/>
        <v>2.317568032171573</v>
      </c>
      <c r="BA113" s="794">
        <f t="shared" si="87"/>
        <v>8712.4738412875649</v>
      </c>
      <c r="BB113" s="794">
        <f t="shared" si="60"/>
        <v>4.3562369206437825</v>
      </c>
      <c r="BC113" s="794">
        <f t="shared" si="88"/>
        <v>5197.224524882904</v>
      </c>
      <c r="BD113" s="794">
        <f t="shared" si="61"/>
        <v>2.5986122624414518</v>
      </c>
      <c r="BE113" s="794">
        <f t="shared" si="89"/>
        <v>2841.6552223742874</v>
      </c>
      <c r="BF113" s="794">
        <f t="shared" si="62"/>
        <v>1.4208276111871436</v>
      </c>
      <c r="BG113" s="794">
        <f t="shared" si="90"/>
        <v>14219.323270649184</v>
      </c>
      <c r="BH113" s="794">
        <f t="shared" si="63"/>
        <v>7.1096616353245921</v>
      </c>
      <c r="BI113" s="794">
        <f t="shared" si="91"/>
        <v>6725.8235618098379</v>
      </c>
      <c r="BJ113" s="794">
        <f t="shared" si="64"/>
        <v>3.3629117809049189</v>
      </c>
      <c r="BK113" s="794">
        <f t="shared" si="92"/>
        <v>6259.5455042627036</v>
      </c>
      <c r="BL113" s="794">
        <f t="shared" si="65"/>
        <v>3.1297727521313519</v>
      </c>
      <c r="BM113" s="794">
        <f t="shared" si="93"/>
        <v>7065.274820424831</v>
      </c>
      <c r="BN113" s="794">
        <f t="shared" si="66"/>
        <v>3.5326374102124154</v>
      </c>
      <c r="BO113" s="794">
        <f t="shared" si="94"/>
        <v>2944.3715005299382</v>
      </c>
      <c r="BP113" s="794">
        <f t="shared" si="67"/>
        <v>1.4721857502649691</v>
      </c>
      <c r="BQ113" s="794">
        <f t="shared" si="95"/>
        <v>6027.1910211226041</v>
      </c>
      <c r="BR113" s="794">
        <f t="shared" si="68"/>
        <v>3.0135955105613021</v>
      </c>
      <c r="BS113" s="794">
        <f t="shared" si="96"/>
        <v>1813.6145644581402</v>
      </c>
      <c r="BT113" s="794">
        <f t="shared" si="97"/>
        <v>0.90680728222907014</v>
      </c>
      <c r="BU113" s="794">
        <f t="shared" si="98"/>
        <v>2584.5868807970737</v>
      </c>
      <c r="BV113" s="794">
        <f t="shared" si="99"/>
        <v>1.2922934403985369</v>
      </c>
      <c r="BW113" s="794">
        <f t="shared" si="100"/>
        <v>3225.1749929335469</v>
      </c>
      <c r="BX113" s="794">
        <f t="shared" si="101"/>
        <v>1.6125874964667735</v>
      </c>
      <c r="BY113" s="794">
        <f t="shared" si="70"/>
        <v>2541.1254793962539</v>
      </c>
      <c r="BZ113" s="794">
        <f t="shared" si="101"/>
        <v>1.2705627396981269</v>
      </c>
      <c r="CA113" s="794">
        <f t="shared" si="102"/>
        <v>7150.1859410793222</v>
      </c>
      <c r="CB113" s="794">
        <f t="shared" si="71"/>
        <v>3.5750929705396612</v>
      </c>
      <c r="CC113" s="794">
        <f t="shared" si="103"/>
        <v>9845.7416736307787</v>
      </c>
      <c r="CD113" s="794">
        <f t="shared" si="104"/>
        <v>4.9228708368153891</v>
      </c>
    </row>
    <row r="114" spans="1:82" s="1247" customFormat="1">
      <c r="A114" s="794" t="s">
        <v>849</v>
      </c>
      <c r="B114" s="749">
        <f>GREET1_Import_Export!O534</f>
        <v>3815.3709824858011</v>
      </c>
      <c r="C114" s="919">
        <f>GREET1_Import_Export!P534</f>
        <v>2177.9182493251124</v>
      </c>
      <c r="D114" s="919">
        <f t="shared" si="105"/>
        <v>6781.7090451889107</v>
      </c>
      <c r="E114" s="919">
        <f>GREET1_Import_Export!Q534</f>
        <v>3105.0183854301895</v>
      </c>
      <c r="F114" s="919">
        <f>GREET1_Import_Export!R534</f>
        <v>3102.5331459813833</v>
      </c>
      <c r="G114" s="919">
        <f>GREET1_Import_Export!S534</f>
        <v>1429.7453983134715</v>
      </c>
      <c r="H114" s="919">
        <f>GREET1_Import_Export!T534</f>
        <v>1663.4763787485654</v>
      </c>
      <c r="I114" s="919">
        <f>GREET1_Import_Export!U534</f>
        <v>2253.5867879032157</v>
      </c>
      <c r="J114" s="919">
        <f>GREET1_Import_Export!V534</f>
        <v>13192.507699890419</v>
      </c>
      <c r="K114" s="919">
        <f>GREET1_Import_Export!W534</f>
        <v>7280.2928113699181</v>
      </c>
      <c r="L114" s="919">
        <f>GREET1_Import_Export!X534</f>
        <v>4296.1494981184569</v>
      </c>
      <c r="M114" s="919">
        <f>GREET1_Import_Export!Y534</f>
        <v>1760.0178594008939</v>
      </c>
      <c r="N114" s="919">
        <f>GREET1_Import_Export!Z534</f>
        <v>1153.3314026523449</v>
      </c>
      <c r="O114" s="919">
        <f>GREET1_Import_Export!AA534</f>
        <v>3395.45439002701</v>
      </c>
      <c r="P114" s="919">
        <f>GREET1_Import_Export!AB534</f>
        <v>3482.507244704655</v>
      </c>
      <c r="Q114" s="919">
        <f>GREET1_Import_Export!AC534</f>
        <v>2093.5593264302211</v>
      </c>
      <c r="R114" s="919">
        <f t="shared" si="106"/>
        <v>92.370163199128214</v>
      </c>
      <c r="S114" s="919">
        <f>Glass!P80</f>
        <v>3550.1884644160591</v>
      </c>
      <c r="T114" s="749">
        <f xml:space="preserve"> ($B$39*GREET1_Import_Export!$J503)+($B$40*GREET1_Import_Export!$AM534)+ SUM($N82:$O82)</f>
        <v>2045.874768912041</v>
      </c>
      <c r="U114" s="749">
        <f t="shared" si="73"/>
        <v>10074.577845213331</v>
      </c>
      <c r="V114" s="794" cm="1">
        <f t="array" ref="V114" xml:space="preserve"> MMULT($T114:$U114,$C$41:$C$42)+SUM($R82:$S82)</f>
        <v>3309.0196837173344</v>
      </c>
      <c r="W114" s="919">
        <f t="shared" si="74"/>
        <v>12404.904955606908</v>
      </c>
      <c r="X114" s="919">
        <f t="shared" si="75"/>
        <v>232.25027892931817</v>
      </c>
      <c r="Y114" s="919">
        <f t="shared" si="76"/>
        <v>285.33605697030521</v>
      </c>
      <c r="Z114" s="919">
        <f t="shared" si="77"/>
        <v>849.29528909468615</v>
      </c>
      <c r="AA114" s="919">
        <f t="shared" si="78"/>
        <v>867.94746279690526</v>
      </c>
      <c r="AB114" s="919">
        <f>GREET1_Import_Export!AD534</f>
        <v>411.38326367622341</v>
      </c>
      <c r="AC114" s="919">
        <f>GREET1_Import_Export!AE534</f>
        <v>138.73289086874223</v>
      </c>
      <c r="AD114" s="919">
        <f>GREET1_Import_Export!AF534</f>
        <v>465.05778626967435</v>
      </c>
      <c r="AE114" s="919">
        <f>GREET1_Import_Export!AG534</f>
        <v>130.78545607481539</v>
      </c>
      <c r="AF114" s="919">
        <f>GREET1_Import_Export!AH534</f>
        <v>126.00156328623807</v>
      </c>
      <c r="AG114" s="919">
        <f>GREET1_Import_Export!AI534</f>
        <v>167.28192847799397</v>
      </c>
      <c r="AH114" s="919">
        <f>GREET1_Import_Export!AJ534</f>
        <v>477.23188544114049</v>
      </c>
      <c r="AI114" s="919">
        <f>GREET1_Import_Export!AK534</f>
        <v>293.4378108864442</v>
      </c>
      <c r="AJ114" s="919">
        <f>GREET1_Import_Export!AL534</f>
        <v>190.89275417645624</v>
      </c>
      <c r="AK114" s="794">
        <f t="shared" si="79"/>
        <v>4336.8536637599509</v>
      </c>
      <c r="AL114" s="794">
        <f t="shared" si="52"/>
        <v>2.1684268318799753</v>
      </c>
      <c r="AM114" s="794">
        <f t="shared" si="80"/>
        <v>2530.5120719322003</v>
      </c>
      <c r="AN114" s="794">
        <f t="shared" si="53"/>
        <v>1.2652560359661003</v>
      </c>
      <c r="AO114" s="794">
        <f t="shared" si="81"/>
        <v>6781.7090451889107</v>
      </c>
      <c r="AP114" s="794">
        <f t="shared" si="54"/>
        <v>3.3908545225944553</v>
      </c>
      <c r="AQ114" s="794">
        <f t="shared" si="82"/>
        <v>3105.0183854301895</v>
      </c>
      <c r="AR114" s="794">
        <f t="shared" si="55"/>
        <v>1.5525091927150947</v>
      </c>
      <c r="AS114" s="794">
        <f t="shared" si="83"/>
        <v>3102.5331459813833</v>
      </c>
      <c r="AT114" s="794">
        <f t="shared" si="56"/>
        <v>1.5512665729906916</v>
      </c>
      <c r="AU114" s="794">
        <f t="shared" si="84"/>
        <v>1870.1483384429557</v>
      </c>
      <c r="AV114" s="794">
        <f t="shared" si="57"/>
        <v>0.9350741692214779</v>
      </c>
      <c r="AW114" s="794">
        <f t="shared" si="85"/>
        <v>2103.5800847903474</v>
      </c>
      <c r="AX114" s="794">
        <f t="shared" si="58"/>
        <v>1.0517900423951738</v>
      </c>
      <c r="AY114" s="794">
        <f t="shared" si="86"/>
        <v>2692.9350050936773</v>
      </c>
      <c r="AZ114" s="794">
        <f t="shared" si="59"/>
        <v>1.3464675025468387</v>
      </c>
      <c r="BA114" s="794">
        <f t="shared" si="87"/>
        <v>13924.034916648181</v>
      </c>
      <c r="BB114" s="794">
        <f t="shared" si="60"/>
        <v>6.9620174583240901</v>
      </c>
      <c r="BC114" s="794">
        <f t="shared" si="88"/>
        <v>7792.5506352618504</v>
      </c>
      <c r="BD114" s="794">
        <f t="shared" si="61"/>
        <v>3.8962753176309253</v>
      </c>
      <c r="BE114" s="794">
        <f t="shared" si="89"/>
        <v>5014.1523869239836</v>
      </c>
      <c r="BF114" s="794">
        <f t="shared" si="62"/>
        <v>2.5070761934619918</v>
      </c>
      <c r="BG114" s="794">
        <f t="shared" si="90"/>
        <v>2210.5783735312316</v>
      </c>
      <c r="BH114" s="794">
        <f t="shared" si="63"/>
        <v>1.1052891867656158</v>
      </c>
      <c r="BI114" s="794">
        <f t="shared" si="91"/>
        <v>1524.3583269864173</v>
      </c>
      <c r="BJ114" s="794">
        <f t="shared" si="64"/>
        <v>0.76217916349320869</v>
      </c>
      <c r="BK114" s="794">
        <f t="shared" si="92"/>
        <v>3395.45439002701</v>
      </c>
      <c r="BL114" s="794">
        <f t="shared" si="65"/>
        <v>1.6977271950135051</v>
      </c>
      <c r="BM114" s="794">
        <f t="shared" si="93"/>
        <v>3482.507244704655</v>
      </c>
      <c r="BN114" s="794">
        <f t="shared" si="66"/>
        <v>1.7412536223523276</v>
      </c>
      <c r="BO114" s="794">
        <f t="shared" si="94"/>
        <v>2356.295621153844</v>
      </c>
      <c r="BP114" s="794">
        <f t="shared" si="67"/>
        <v>1.1781478105769221</v>
      </c>
      <c r="BQ114" s="794">
        <f t="shared" si="95"/>
        <v>3702.7082754212511</v>
      </c>
      <c r="BR114" s="794">
        <f t="shared" si="68"/>
        <v>1.8513541377106255</v>
      </c>
      <c r="BS114" s="794">
        <f t="shared" si="96"/>
        <v>3807.8800216330201</v>
      </c>
      <c r="BT114" s="794">
        <f t="shared" si="97"/>
        <v>1.9039400108165101</v>
      </c>
      <c r="BU114" s="794">
        <f t="shared" si="98"/>
        <v>5806.1242912370326</v>
      </c>
      <c r="BV114" s="794">
        <f t="shared" si="99"/>
        <v>2.9030621456185162</v>
      </c>
      <c r="BW114" s="794">
        <f t="shared" si="100"/>
        <v>6738.4768695695184</v>
      </c>
      <c r="BX114" s="794">
        <f t="shared" si="101"/>
        <v>3.369238434784759</v>
      </c>
      <c r="BY114" s="794">
        <f t="shared" si="70"/>
        <v>5450.8270608131907</v>
      </c>
      <c r="BZ114" s="794">
        <f t="shared" si="101"/>
        <v>2.7254135304065952</v>
      </c>
      <c r="CA114" s="794">
        <f t="shared" si="102"/>
        <v>10522.228775675218</v>
      </c>
      <c r="CB114" s="794">
        <f t="shared" si="71"/>
        <v>5.2611143878376092</v>
      </c>
      <c r="CC114" s="794">
        <f t="shared" si="103"/>
        <v>12958.197244068291</v>
      </c>
      <c r="CD114" s="794">
        <f t="shared" si="104"/>
        <v>6.4790986220341455</v>
      </c>
    </row>
    <row r="115" spans="1:82" s="1247" customFormat="1">
      <c r="A115" s="794" t="s">
        <v>824</v>
      </c>
      <c r="B115" s="749">
        <f>GREET1_Import_Export!O535</f>
        <v>257.17103835173839</v>
      </c>
      <c r="C115" s="919">
        <f>GREET1_Import_Export!P535</f>
        <v>157.33458819847166</v>
      </c>
      <c r="D115" s="919">
        <f t="shared" si="105"/>
        <v>6727.8499048692602</v>
      </c>
      <c r="E115" s="919">
        <f>GREET1_Import_Export!Q535</f>
        <v>220.59517501989092</v>
      </c>
      <c r="F115" s="919">
        <f>GREET1_Import_Export!R535</f>
        <v>232.84652993154376</v>
      </c>
      <c r="G115" s="919">
        <f>GREET1_Import_Export!S535</f>
        <v>225.68249123896294</v>
      </c>
      <c r="H115" s="919">
        <f>GREET1_Import_Export!T535</f>
        <v>239.95207481146983</v>
      </c>
      <c r="I115" s="919">
        <f>GREET1_Import_Export!U535</f>
        <v>180.14742248702572</v>
      </c>
      <c r="J115" s="919">
        <f>GREET1_Import_Export!V535</f>
        <v>786.69572361256792</v>
      </c>
      <c r="K115" s="919">
        <f>GREET1_Import_Export!W535</f>
        <v>798.4398019557874</v>
      </c>
      <c r="L115" s="919">
        <f>GREET1_Import_Export!X535</f>
        <v>461.54047377038876</v>
      </c>
      <c r="M115" s="919">
        <f>GREET1_Import_Export!Y535</f>
        <v>138.4989131359867</v>
      </c>
      <c r="N115" s="919">
        <f>GREET1_Import_Export!Z535</f>
        <v>182.15494606842441</v>
      </c>
      <c r="O115" s="919">
        <f>GREET1_Import_Export!AA535</f>
        <v>362.74389893072396</v>
      </c>
      <c r="P115" s="919">
        <f>GREET1_Import_Export!AB535</f>
        <v>369.50722012301173</v>
      </c>
      <c r="Q115" s="919">
        <f>GREET1_Import_Export!AC535</f>
        <v>166.73613558478317</v>
      </c>
      <c r="R115" s="919">
        <f t="shared" si="106"/>
        <v>17.891623549121011</v>
      </c>
      <c r="S115" s="919">
        <f>Glass!P81</f>
        <v>1384.8259514408255</v>
      </c>
      <c r="T115" s="749">
        <f xml:space="preserve"> ($B$39*GREET1_Import_Export!$J504)+($B$40*GREET1_Import_Export!$AM535)+ SUM($N83:$O83)</f>
        <v>144.37406286272397</v>
      </c>
      <c r="U115" s="749">
        <f t="shared" si="73"/>
        <v>1301.8102814039319</v>
      </c>
      <c r="V115" s="794" cm="1">
        <f t="array" ref="V115" xml:space="preserve"> MMULT($T115:$U115,$C$41:$C$42)+SUM($R83:$S83)</f>
        <v>340.44069482700627</v>
      </c>
      <c r="W115" s="919">
        <f t="shared" si="74"/>
        <v>1545.9745313770202</v>
      </c>
      <c r="X115" s="919">
        <f t="shared" si="75"/>
        <v>37.177758206544993</v>
      </c>
      <c r="Y115" s="919">
        <f t="shared" si="76"/>
        <v>45.675531510898139</v>
      </c>
      <c r="Z115" s="919">
        <f t="shared" si="77"/>
        <v>135.9520214549637</v>
      </c>
      <c r="AA115" s="919">
        <f t="shared" si="78"/>
        <v>135.01485131388881</v>
      </c>
      <c r="AB115" s="919">
        <f>GREET1_Import_Export!AD535</f>
        <v>65.533456111367997</v>
      </c>
      <c r="AC115" s="919">
        <f>GREET1_Import_Export!AE535</f>
        <v>22.207843606434519</v>
      </c>
      <c r="AD115" s="919">
        <f>GREET1_Import_Export!AF535</f>
        <v>41.763147812206462</v>
      </c>
      <c r="AE115" s="919">
        <f>GREET1_Import_Export!AG535</f>
        <v>20.935647893718862</v>
      </c>
      <c r="AF115" s="919">
        <f>GREET1_Import_Export!AH535</f>
        <v>20.169860183152153</v>
      </c>
      <c r="AG115" s="919">
        <f>GREET1_Import_Export!AI535</f>
        <v>26.777867040461647</v>
      </c>
      <c r="AH115" s="919">
        <f>GREET1_Import_Export!AJ535</f>
        <v>76.393499836372357</v>
      </c>
      <c r="AI115" s="919">
        <f>GREET1_Import_Export!AK535</f>
        <v>46.972430052986915</v>
      </c>
      <c r="AJ115" s="919">
        <f>GREET1_Import_Export!AL535</f>
        <v>30.557399934548947</v>
      </c>
      <c r="AK115" s="794">
        <f t="shared" si="79"/>
        <v>307.30547722051659</v>
      </c>
      <c r="AL115" s="794">
        <f t="shared" si="52"/>
        <v>0.1536527386102583</v>
      </c>
      <c r="AM115" s="794">
        <f t="shared" si="80"/>
        <v>195.37807806207744</v>
      </c>
      <c r="AN115" s="794">
        <f t="shared" si="53"/>
        <v>9.7689039031038719E-2</v>
      </c>
      <c r="AO115" s="794">
        <f t="shared" si="81"/>
        <v>6727.8499048692602</v>
      </c>
      <c r="AP115" s="794">
        <f t="shared" si="54"/>
        <v>3.3639249524346302</v>
      </c>
      <c r="AQ115" s="794">
        <f t="shared" si="82"/>
        <v>220.59517501989092</v>
      </c>
      <c r="AR115" s="794">
        <f t="shared" si="55"/>
        <v>0.11029758750994546</v>
      </c>
      <c r="AS115" s="794">
        <f t="shared" si="83"/>
        <v>232.84652993154376</v>
      </c>
      <c r="AT115" s="794">
        <f t="shared" si="56"/>
        <v>0.11642326496577188</v>
      </c>
      <c r="AU115" s="794">
        <f t="shared" si="84"/>
        <v>288.25934939537092</v>
      </c>
      <c r="AV115" s="794">
        <f t="shared" si="57"/>
        <v>0.14412967469768545</v>
      </c>
      <c r="AW115" s="794">
        <f t="shared" si="85"/>
        <v>302.51066433350911</v>
      </c>
      <c r="AX115" s="794">
        <f t="shared" si="58"/>
        <v>0.15125533216675455</v>
      </c>
      <c r="AY115" s="794">
        <f t="shared" si="86"/>
        <v>242.78257691520338</v>
      </c>
      <c r="AZ115" s="794">
        <f t="shared" si="59"/>
        <v>0.12139128845760169</v>
      </c>
      <c r="BA115" s="794">
        <f t="shared" si="87"/>
        <v>855.10250670741391</v>
      </c>
      <c r="BB115" s="794">
        <f t="shared" si="60"/>
        <v>0.42755125335370697</v>
      </c>
      <c r="BC115" s="794">
        <f t="shared" si="88"/>
        <v>856.86610101936208</v>
      </c>
      <c r="BD115" s="794">
        <f t="shared" si="61"/>
        <v>0.42843305050968106</v>
      </c>
      <c r="BE115" s="794">
        <f t="shared" si="89"/>
        <v>544.71135687507012</v>
      </c>
      <c r="BF115" s="794">
        <f t="shared" si="62"/>
        <v>0.27235567843753505</v>
      </c>
      <c r="BG115" s="794">
        <f t="shared" si="90"/>
        <v>184.30563630928589</v>
      </c>
      <c r="BH115" s="794">
        <f t="shared" si="63"/>
        <v>9.2152818154642949E-2</v>
      </c>
      <c r="BI115" s="794">
        <f t="shared" si="91"/>
        <v>236.25521753104476</v>
      </c>
      <c r="BJ115" s="794">
        <f t="shared" si="64"/>
        <v>0.11812760876552238</v>
      </c>
      <c r="BK115" s="794">
        <f t="shared" si="92"/>
        <v>362.74389893072396</v>
      </c>
      <c r="BL115" s="794">
        <f t="shared" si="65"/>
        <v>0.18137194946536198</v>
      </c>
      <c r="BM115" s="794">
        <f t="shared" si="93"/>
        <v>369.50722012301173</v>
      </c>
      <c r="BN115" s="794">
        <f t="shared" si="66"/>
        <v>0.18475361006150587</v>
      </c>
      <c r="BO115" s="794">
        <f t="shared" si="94"/>
        <v>201.8460704437741</v>
      </c>
      <c r="BP115" s="794">
        <f t="shared" si="67"/>
        <v>0.10092303522188704</v>
      </c>
      <c r="BQ115" s="794">
        <f t="shared" si="95"/>
        <v>1021.2702210870547</v>
      </c>
      <c r="BR115" s="794">
        <f t="shared" si="68"/>
        <v>0.51063511054352728</v>
      </c>
      <c r="BS115" s="794">
        <f t="shared" si="96"/>
        <v>2819.8714814029936</v>
      </c>
      <c r="BT115" s="794">
        <f t="shared" si="97"/>
        <v>1.4099357407014967</v>
      </c>
      <c r="BU115" s="794">
        <f t="shared" si="98"/>
        <v>4060.7960389168052</v>
      </c>
      <c r="BV115" s="794">
        <f t="shared" si="99"/>
        <v>2.0303980194584024</v>
      </c>
      <c r="BW115" s="794">
        <f t="shared" si="100"/>
        <v>4760.1772595517123</v>
      </c>
      <c r="BX115" s="794">
        <f t="shared" si="101"/>
        <v>2.3800886297758561</v>
      </c>
      <c r="BY115" s="794">
        <f t="shared" si="70"/>
        <v>3880.2815932905037</v>
      </c>
      <c r="BZ115" s="794">
        <f t="shared" si="101"/>
        <v>1.9401407966452517</v>
      </c>
      <c r="CA115" s="794">
        <f t="shared" si="102"/>
        <v>6032.5623651304995</v>
      </c>
      <c r="CB115" s="794">
        <f t="shared" si="71"/>
        <v>3.0162811825652498</v>
      </c>
      <c r="CC115" s="794">
        <f t="shared" si="103"/>
        <v>3787.7739533336608</v>
      </c>
      <c r="CD115" s="794">
        <f t="shared" si="104"/>
        <v>1.8938869766668305</v>
      </c>
    </row>
    <row r="116" spans="1:82" s="919" customFormat="1">
      <c r="A116" s="794" t="s">
        <v>825</v>
      </c>
      <c r="B116" s="749">
        <f>GREET1_Import_Export!O536</f>
        <v>146.59659053362094</v>
      </c>
      <c r="C116" s="919">
        <f>GREET1_Import_Export!P536</f>
        <v>65.538664897845123</v>
      </c>
      <c r="D116" s="919">
        <f t="shared" si="105"/>
        <v>997.34306262779398</v>
      </c>
      <c r="E116" s="919">
        <f>GREET1_Import_Export!Q536</f>
        <v>142.61957450893274</v>
      </c>
      <c r="F116" s="919">
        <f>GREET1_Import_Export!R536</f>
        <v>141.81902333144109</v>
      </c>
      <c r="G116" s="919">
        <f>GREET1_Import_Export!S536</f>
        <v>96.321864066449635</v>
      </c>
      <c r="H116" s="919">
        <f>GREET1_Import_Export!T536</f>
        <v>107.89660375880001</v>
      </c>
      <c r="I116" s="919">
        <f>GREET1_Import_Export!U536</f>
        <v>77.506565042354822</v>
      </c>
      <c r="J116" s="919">
        <f>GREET1_Import_Export!V536</f>
        <v>417.86211830165456</v>
      </c>
      <c r="K116" s="919">
        <f>GREET1_Import_Export!W536</f>
        <v>486.93910795859205</v>
      </c>
      <c r="L116" s="919">
        <f>GREET1_Import_Export!X536</f>
        <v>303.05868170062172</v>
      </c>
      <c r="M116" s="919">
        <f>GREET1_Import_Export!Y536</f>
        <v>99.218458634706479</v>
      </c>
      <c r="N116" s="919">
        <f>GREET1_Import_Export!Z536</f>
        <v>78.754610373610433</v>
      </c>
      <c r="O116" s="919">
        <f>GREET1_Import_Export!AA536</f>
        <v>189.87414962075928</v>
      </c>
      <c r="P116" s="919">
        <f>GREET1_Import_Export!AB536</f>
        <v>203.64297246712374</v>
      </c>
      <c r="Q116" s="919">
        <f>GREET1_Import_Export!AC536</f>
        <v>94.833734449033514</v>
      </c>
      <c r="R116" s="919">
        <f t="shared" si="106"/>
        <v>9.4858283309425424</v>
      </c>
      <c r="S116" s="919">
        <f>Glass!P82</f>
        <v>727.62489531673793</v>
      </c>
      <c r="T116" s="749">
        <f xml:space="preserve"> ($B$39*GREET1_Import_Export!$J505)+($B$40*GREET1_Import_Export!$AM536)+ SUM($N84:$O84)</f>
        <v>124.37425212524778</v>
      </c>
      <c r="U116" s="749">
        <f t="shared" si="73"/>
        <v>777.80714465322126</v>
      </c>
      <c r="V116" s="794" cm="1">
        <f t="array" ref="V116" xml:space="preserve"> MMULT($T116:$U116,$C$41:$C$42)+SUM($R84:$S84)</f>
        <v>240.08271772393971</v>
      </c>
      <c r="W116" s="919">
        <f t="shared" si="74"/>
        <v>1011.4577185512087</v>
      </c>
      <c r="X116" s="919">
        <f t="shared" si="75"/>
        <v>22.316675205662904</v>
      </c>
      <c r="Y116" s="919">
        <f t="shared" si="76"/>
        <v>27.417629538385853</v>
      </c>
      <c r="Z116" s="919">
        <f t="shared" si="77"/>
        <v>81.607855145758009</v>
      </c>
      <c r="AA116" s="919">
        <f t="shared" si="78"/>
        <v>77.760180058204995</v>
      </c>
      <c r="AB116" s="919">
        <f>GREET1_Import_Export!AD536</f>
        <v>39.423217775693203</v>
      </c>
      <c r="AC116" s="919">
        <f>GREET1_Import_Export!AE536</f>
        <v>13.33069170092422</v>
      </c>
      <c r="AD116" s="919">
        <f>GREET1_Import_Export!AF536</f>
        <v>31.551478302608352</v>
      </c>
      <c r="AE116" s="919">
        <f>GREET1_Import_Export!AG536</f>
        <v>12.567031386577616</v>
      </c>
      <c r="AF116" s="919">
        <f>GREET1_Import_Export!AH536</f>
        <v>12.107352362407815</v>
      </c>
      <c r="AG116" s="919">
        <f>GREET1_Import_Export!AI536</f>
        <v>16.073937490324646</v>
      </c>
      <c r="AH116" s="919">
        <f>GREET1_Import_Export!AJ536</f>
        <v>45.856689749842211</v>
      </c>
      <c r="AI116" s="919">
        <f>GREET1_Import_Export!AK536</f>
        <v>28.196118208350839</v>
      </c>
      <c r="AJ116" s="919">
        <f>GREET1_Import_Export!AL536</f>
        <v>18.342675899936886</v>
      </c>
      <c r="AK116" s="794">
        <f t="shared" si="79"/>
        <v>177.6713916656814</v>
      </c>
      <c r="AL116" s="794">
        <f t="shared" si="52"/>
        <v>8.8835695832840705E-2</v>
      </c>
      <c r="AM116" s="794">
        <f t="shared" si="80"/>
        <v>89.238186660272262</v>
      </c>
      <c r="AN116" s="794">
        <f t="shared" si="53"/>
        <v>4.4619093330136132E-2</v>
      </c>
      <c r="AO116" s="794">
        <f t="shared" si="81"/>
        <v>997.34306262779398</v>
      </c>
      <c r="AP116" s="794">
        <f t="shared" si="54"/>
        <v>0.49867153131389697</v>
      </c>
      <c r="AQ116" s="794">
        <f t="shared" si="82"/>
        <v>142.61957450893274</v>
      </c>
      <c r="AR116" s="794">
        <f t="shared" si="55"/>
        <v>7.1309787254466378E-2</v>
      </c>
      <c r="AS116" s="794">
        <f t="shared" si="83"/>
        <v>141.81902333144109</v>
      </c>
      <c r="AT116" s="794">
        <f t="shared" si="56"/>
        <v>7.0909511665720543E-2</v>
      </c>
      <c r="AU116" s="794">
        <f t="shared" si="84"/>
        <v>135.50693057526459</v>
      </c>
      <c r="AV116" s="794">
        <f t="shared" si="57"/>
        <v>6.7753465287632292E-2</v>
      </c>
      <c r="AW116" s="794">
        <f t="shared" si="85"/>
        <v>147.06685170712385</v>
      </c>
      <c r="AX116" s="794">
        <f t="shared" si="58"/>
        <v>7.3533425853561929E-2</v>
      </c>
      <c r="AY116" s="794">
        <f t="shared" si="86"/>
        <v>116.71571983774538</v>
      </c>
      <c r="AZ116" s="794">
        <f t="shared" si="59"/>
        <v>5.8357859918872691E-2</v>
      </c>
      <c r="BA116" s="794">
        <f t="shared" si="87"/>
        <v>460.51442941895266</v>
      </c>
      <c r="BB116" s="794">
        <f t="shared" si="60"/>
        <v>0.23025721470947633</v>
      </c>
      <c r="BC116" s="794">
        <f t="shared" si="88"/>
        <v>524.49216820715367</v>
      </c>
      <c r="BD116" s="794">
        <f t="shared" si="61"/>
        <v>0.26224608410357686</v>
      </c>
      <c r="BE116" s="794">
        <f t="shared" si="89"/>
        <v>357.23583213064569</v>
      </c>
      <c r="BF116" s="794">
        <f t="shared" si="62"/>
        <v>0.17861791606532285</v>
      </c>
      <c r="BG116" s="794">
        <f t="shared" si="90"/>
        <v>131.07610137988641</v>
      </c>
      <c r="BH116" s="794">
        <f t="shared" si="63"/>
        <v>6.55380506899432E-2</v>
      </c>
      <c r="BI116" s="794">
        <f t="shared" si="91"/>
        <v>109.09437606204972</v>
      </c>
      <c r="BJ116" s="794">
        <f t="shared" si="64"/>
        <v>5.454718803102486E-2</v>
      </c>
      <c r="BK116" s="794">
        <f t="shared" si="92"/>
        <v>189.87414962075928</v>
      </c>
      <c r="BL116" s="794">
        <f t="shared" si="65"/>
        <v>9.4937074810379635E-2</v>
      </c>
      <c r="BM116" s="794">
        <f t="shared" si="93"/>
        <v>203.64297246712374</v>
      </c>
      <c r="BN116" s="794">
        <f t="shared" si="66"/>
        <v>0.10182148623356187</v>
      </c>
      <c r="BO116" s="794">
        <f t="shared" si="94"/>
        <v>115.80495091268965</v>
      </c>
      <c r="BP116" s="794">
        <f t="shared" si="67"/>
        <v>5.7902475456344825E-2</v>
      </c>
      <c r="BQ116" s="794">
        <f t="shared" si="95"/>
        <v>273.16182263445063</v>
      </c>
      <c r="BR116" s="794">
        <f t="shared" si="68"/>
        <v>0.13658091131722533</v>
      </c>
      <c r="BS116" s="794">
        <f t="shared" si="96"/>
        <v>616.58125454160256</v>
      </c>
      <c r="BT116" s="794">
        <f t="shared" si="97"/>
        <v>0.30829062727080125</v>
      </c>
      <c r="BU116" s="794">
        <f t="shared" si="98"/>
        <v>979.90149449330863</v>
      </c>
      <c r="BV116" s="794">
        <f t="shared" si="99"/>
        <v>0.48995074724665433</v>
      </c>
      <c r="BW116" s="794">
        <f t="shared" si="100"/>
        <v>1064.8395911741411</v>
      </c>
      <c r="BX116" s="794">
        <f t="shared" si="101"/>
        <v>0.53241979558707053</v>
      </c>
      <c r="BY116" s="794">
        <f t="shared" si="70"/>
        <v>887.10744673635088</v>
      </c>
      <c r="BZ116" s="794">
        <f t="shared" si="101"/>
        <v>0.44355372336817545</v>
      </c>
      <c r="CA116" s="794">
        <f t="shared" si="102"/>
        <v>1219.5584837796978</v>
      </c>
      <c r="CB116" s="794">
        <f t="shared" si="71"/>
        <v>0.60977924188984889</v>
      </c>
      <c r="CC116" s="794">
        <f t="shared" si="103"/>
        <v>1225.672952725721</v>
      </c>
      <c r="CD116" s="794">
        <f t="shared" si="104"/>
        <v>0.61283647636286043</v>
      </c>
    </row>
    <row r="117" spans="1:82" s="919" customFormat="1">
      <c r="A117" s="794" t="s">
        <v>826</v>
      </c>
      <c r="B117" s="749">
        <f>GREET1_Import_Export!O537</f>
        <v>16597.898086344059</v>
      </c>
      <c r="C117" s="919">
        <f>GREET1_Import_Export!P537</f>
        <v>20729.440761920367</v>
      </c>
      <c r="D117" s="919">
        <f t="shared" si="105"/>
        <v>2918.0777614783178</v>
      </c>
      <c r="E117" s="919">
        <f>GREET1_Import_Export!Q537</f>
        <v>13102.125124166721</v>
      </c>
      <c r="F117" s="919">
        <f>GREET1_Import_Export!R537</f>
        <v>13566.498511051901</v>
      </c>
      <c r="G117" s="919">
        <f>GREET1_Import_Export!S537</f>
        <v>21638.48273409441</v>
      </c>
      <c r="H117" s="919">
        <f>GREET1_Import_Export!T537</f>
        <v>22194.185450956553</v>
      </c>
      <c r="I117" s="919">
        <f>GREET1_Import_Export!U537</f>
        <v>22020.523573883103</v>
      </c>
      <c r="J117" s="919">
        <f>GREET1_Import_Export!V537</f>
        <v>3012.6763872940687</v>
      </c>
      <c r="K117" s="919">
        <f>GREET1_Import_Export!W537</f>
        <v>2898.529209542115</v>
      </c>
      <c r="L117" s="919">
        <f>GREET1_Import_Export!X537</f>
        <v>1925.9980994738269</v>
      </c>
      <c r="M117" s="919">
        <f>GREET1_Import_Export!Y537</f>
        <v>6960.7542898320226</v>
      </c>
      <c r="N117" s="919">
        <f>GREET1_Import_Export!Z537</f>
        <v>17958.647992426846</v>
      </c>
      <c r="O117" s="919">
        <f>GREET1_Import_Export!AA537</f>
        <v>12309.143800506332</v>
      </c>
      <c r="P117" s="919">
        <f>GREET1_Import_Export!AB537</f>
        <v>11211.797079327558</v>
      </c>
      <c r="Q117" s="919">
        <f>GREET1_Import_Export!AC537</f>
        <v>10435.593050640837</v>
      </c>
      <c r="R117" s="919">
        <f t="shared" si="106"/>
        <v>72.522393014687779</v>
      </c>
      <c r="S117" s="919">
        <f>Glass!P83</f>
        <v>1327.1046952417385</v>
      </c>
      <c r="T117" s="749">
        <f xml:space="preserve"> ($B$39*GREET1_Import_Export!$J506)+($B$40*GREET1_Import_Export!$AM537)+ SUM($N85:$O85)</f>
        <v>778.27012573755701</v>
      </c>
      <c r="U117" s="749">
        <f t="shared" si="73"/>
        <v>6047.0396246475912</v>
      </c>
      <c r="V117" s="794" cm="1">
        <f t="array" ref="V117" xml:space="preserve"> MMULT($T117:$U117,$C$41:$C$42)+SUM($R85:$S85)</f>
        <v>1768.1776627837448</v>
      </c>
      <c r="W117" s="919">
        <f t="shared" si="74"/>
        <v>8017.3495170904098</v>
      </c>
      <c r="X117" s="919">
        <f t="shared" si="75"/>
        <v>195.00614181667581</v>
      </c>
      <c r="Y117" s="919">
        <f t="shared" si="76"/>
        <v>239.57897423191599</v>
      </c>
      <c r="Z117" s="919">
        <f t="shared" si="77"/>
        <v>713.10053255021614</v>
      </c>
      <c r="AA117" s="919">
        <f t="shared" si="78"/>
        <v>544.00297507441735</v>
      </c>
      <c r="AB117" s="919">
        <f>GREET1_Import_Export!AD537</f>
        <v>342.96199822536494</v>
      </c>
      <c r="AC117" s="919">
        <f>GREET1_Import_Export!AE537</f>
        <v>116.48539634099107</v>
      </c>
      <c r="AD117" s="919">
        <f>GREET1_Import_Export!AF537</f>
        <v>179.91388317307005</v>
      </c>
      <c r="AE117" s="919">
        <f>GREET1_Import_Export!AG537</f>
        <v>109.81242869743041</v>
      </c>
      <c r="AF117" s="919">
        <f>GREET1_Import_Export!AH537</f>
        <v>105.79569089256864</v>
      </c>
      <c r="AG117" s="919">
        <f>GREET1_Import_Export!AI537</f>
        <v>140.45625098290805</v>
      </c>
      <c r="AH117" s="919">
        <f>GREET1_Import_Export!AJ537</f>
        <v>400.70198908177406</v>
      </c>
      <c r="AI117" s="919">
        <f>GREET1_Import_Export!AK537</f>
        <v>246.38151406273028</v>
      </c>
      <c r="AJ117" s="919">
        <f>GREET1_Import_Export!AL537</f>
        <v>160.28079563270964</v>
      </c>
      <c r="AK117" s="794">
        <f t="shared" si="79"/>
        <v>17954.074180877313</v>
      </c>
      <c r="AL117" s="794">
        <f t="shared" si="52"/>
        <v>8.9770370904386567</v>
      </c>
      <c r="AM117" s="794">
        <f t="shared" si="80"/>
        <v>21746.073562478792</v>
      </c>
      <c r="AN117" s="794">
        <f t="shared" si="53"/>
        <v>10.873036781239396</v>
      </c>
      <c r="AO117" s="794">
        <f t="shared" si="81"/>
        <v>2918.0777614783178</v>
      </c>
      <c r="AP117" s="794">
        <f t="shared" si="54"/>
        <v>1.459038880739159</v>
      </c>
      <c r="AQ117" s="794">
        <f t="shared" si="82"/>
        <v>13102.125124166721</v>
      </c>
      <c r="AR117" s="794">
        <f t="shared" si="55"/>
        <v>6.5510625620833611</v>
      </c>
      <c r="AS117" s="794">
        <f t="shared" si="83"/>
        <v>13566.498511051901</v>
      </c>
      <c r="AT117" s="794">
        <f t="shared" si="56"/>
        <v>6.7832492555259503</v>
      </c>
      <c r="AU117" s="794">
        <f t="shared" si="84"/>
        <v>21931.03365563745</v>
      </c>
      <c r="AV117" s="794">
        <f t="shared" si="57"/>
        <v>10.965516827818725</v>
      </c>
      <c r="AW117" s="794">
        <f t="shared" si="85"/>
        <v>22486.024934096327</v>
      </c>
      <c r="AX117" s="794">
        <f t="shared" si="58"/>
        <v>11.243012467048164</v>
      </c>
      <c r="AY117" s="794">
        <f t="shared" si="86"/>
        <v>22312.585387641004</v>
      </c>
      <c r="AZ117" s="794">
        <f t="shared" si="59"/>
        <v>11.156292693820502</v>
      </c>
      <c r="BA117" s="794">
        <f t="shared" si="87"/>
        <v>3325.0747260518324</v>
      </c>
      <c r="BB117" s="794">
        <f t="shared" si="60"/>
        <v>1.6625373630259161</v>
      </c>
      <c r="BC117" s="794">
        <f t="shared" si="88"/>
        <v>3148.1157064092272</v>
      </c>
      <c r="BD117" s="794">
        <f t="shared" si="61"/>
        <v>1.5740578532046137</v>
      </c>
      <c r="BE117" s="794">
        <f t="shared" si="89"/>
        <v>2299.8655718656451</v>
      </c>
      <c r="BF117" s="794">
        <f t="shared" si="62"/>
        <v>1.1499327859328226</v>
      </c>
      <c r="BG117" s="794">
        <f t="shared" si="90"/>
        <v>7615.6681655217126</v>
      </c>
      <c r="BH117" s="794">
        <f t="shared" si="63"/>
        <v>3.8078340827608561</v>
      </c>
      <c r="BI117" s="794">
        <f t="shared" si="91"/>
        <v>19979.934690909962</v>
      </c>
      <c r="BJ117" s="794">
        <f t="shared" si="64"/>
        <v>9.989967345454982</v>
      </c>
      <c r="BK117" s="794">
        <f t="shared" si="92"/>
        <v>12309.143800506332</v>
      </c>
      <c r="BL117" s="794">
        <f t="shared" si="65"/>
        <v>6.154571900253166</v>
      </c>
      <c r="BM117" s="794">
        <f t="shared" si="93"/>
        <v>11211.797079327558</v>
      </c>
      <c r="BN117" s="794">
        <f t="shared" si="66"/>
        <v>5.6058985396637793</v>
      </c>
      <c r="BO117" s="794">
        <f t="shared" si="94"/>
        <v>10985.820511632353</v>
      </c>
      <c r="BP117" s="794">
        <f t="shared" si="67"/>
        <v>5.4929102558161764</v>
      </c>
      <c r="BQ117" s="794">
        <f t="shared" si="95"/>
        <v>12743.211552078745</v>
      </c>
      <c r="BR117" s="794">
        <f t="shared" si="68"/>
        <v>6.3716057760393721</v>
      </c>
      <c r="BS117" s="794">
        <f t="shared" si="96"/>
        <v>1679.9287532296328</v>
      </c>
      <c r="BT117" s="794">
        <f t="shared" si="97"/>
        <v>0.83996437661481638</v>
      </c>
      <c r="BU117" s="794">
        <f t="shared" si="98"/>
        <v>2477.962045011378</v>
      </c>
      <c r="BV117" s="794">
        <f t="shared" si="99"/>
        <v>1.238981022505689</v>
      </c>
      <c r="BW117" s="794">
        <f t="shared" si="100"/>
        <v>3132.8545328806481</v>
      </c>
      <c r="BX117" s="794">
        <f t="shared" si="101"/>
        <v>1.566427266440324</v>
      </c>
      <c r="BY117" s="794">
        <f t="shared" si="70"/>
        <v>2430.2484437072198</v>
      </c>
      <c r="BZ117" s="794">
        <f t="shared" si="101"/>
        <v>1.21512422185361</v>
      </c>
      <c r="CA117" s="794">
        <f t="shared" si="102"/>
        <v>5614.5625635790348</v>
      </c>
      <c r="CB117" s="794">
        <f t="shared" si="71"/>
        <v>2.8072812817895172</v>
      </c>
      <c r="CC117" s="794">
        <f t="shared" si="103"/>
        <v>7823.5670881101914</v>
      </c>
      <c r="CD117" s="794">
        <f t="shared" si="104"/>
        <v>3.9117835440550959</v>
      </c>
    </row>
    <row r="118" spans="1:82" s="919" customFormat="1">
      <c r="A118" s="794" t="s">
        <v>827</v>
      </c>
      <c r="B118" s="749">
        <f>GREET1_Import_Export!O538</f>
        <v>21.178309469327107</v>
      </c>
      <c r="C118" s="919">
        <f>GREET1_Import_Export!P538</f>
        <v>10.786085867444674</v>
      </c>
      <c r="D118" s="919">
        <f t="shared" si="105"/>
        <v>45.668049064575207</v>
      </c>
      <c r="E118" s="919">
        <f>GREET1_Import_Export!Q538</f>
        <v>22.168165223579688</v>
      </c>
      <c r="F118" s="919">
        <f>GREET1_Import_Export!R538</f>
        <v>22.007590213419547</v>
      </c>
      <c r="G118" s="919">
        <f>GREET1_Import_Export!S538</f>
        <v>10.509779918393727</v>
      </c>
      <c r="H118" s="919">
        <f>GREET1_Import_Export!T538</f>
        <v>12.55249453109532</v>
      </c>
      <c r="I118" s="919">
        <f>GREET1_Import_Export!U538</f>
        <v>12.395123618006286</v>
      </c>
      <c r="J118" s="919">
        <f>GREET1_Import_Export!V538</f>
        <v>43.643321042198757</v>
      </c>
      <c r="K118" s="919">
        <f>GREET1_Import_Export!W538</f>
        <v>41.982220320610587</v>
      </c>
      <c r="L118" s="919">
        <f>GREET1_Import_Export!X538</f>
        <v>33.740891196167524</v>
      </c>
      <c r="M118" s="919">
        <f>GREET1_Import_Export!Y538</f>
        <v>13.428910421510084</v>
      </c>
      <c r="N118" s="919">
        <f>GREET1_Import_Export!Z538</f>
        <v>9.1221949498168726</v>
      </c>
      <c r="O118" s="919">
        <f>GREET1_Import_Export!AA538</f>
        <v>30.13483392693913</v>
      </c>
      <c r="P118" s="919">
        <f>GREET1_Import_Export!AB538</f>
        <v>31.268836054827844</v>
      </c>
      <c r="Q118" s="919">
        <f>GREET1_Import_Export!AC538</f>
        <v>16.847786393199371</v>
      </c>
      <c r="R118" s="919">
        <f t="shared" si="106"/>
        <v>0.65604253574893989</v>
      </c>
      <c r="S118" s="919">
        <f>Glass!P84</f>
        <v>12.412934328346502</v>
      </c>
      <c r="T118" s="749">
        <f xml:space="preserve"> ($B$39*GREET1_Import_Export!$J507)+($B$40*GREET1_Import_Export!$AM538)+ SUM($N86:$O86)</f>
        <v>16.142641382259637</v>
      </c>
      <c r="U118" s="749">
        <f t="shared" si="73"/>
        <v>76.433341630892841</v>
      </c>
      <c r="V118" s="794" cm="1">
        <f t="array" ref="V118" xml:space="preserve"> MMULT($T118:$U118,$C$41:$C$42)+SUM($R86:$S86)</f>
        <v>24.182791043892664</v>
      </c>
      <c r="W118" s="919">
        <f t="shared" si="74"/>
        <v>84.182392198940576</v>
      </c>
      <c r="X118" s="919">
        <f t="shared" si="75"/>
        <v>1.3616429421231444</v>
      </c>
      <c r="Y118" s="919">
        <f t="shared" si="76"/>
        <v>1.6728756146084347</v>
      </c>
      <c r="Z118" s="919">
        <f t="shared" si="77"/>
        <v>4.9792703866941697</v>
      </c>
      <c r="AA118" s="919">
        <f t="shared" si="78"/>
        <v>6.5922828444601436</v>
      </c>
      <c r="AB118" s="919">
        <f>GREET1_Import_Export!AD538</f>
        <v>2.5050640057020352</v>
      </c>
      <c r="AC118" s="919">
        <f>GREET1_Import_Export!AE538</f>
        <v>0.81336678071010426</v>
      </c>
      <c r="AD118" s="919">
        <f>GREET1_Import_Export!AF538</f>
        <v>3.7946313439166111</v>
      </c>
      <c r="AE118" s="919">
        <f>GREET1_Import_Export!AG538</f>
        <v>0.76677235445140535</v>
      </c>
      <c r="AF118" s="919">
        <f>GREET1_Import_Export!AH538</f>
        <v>0.7387252240820914</v>
      </c>
      <c r="AG118" s="919">
        <f>GREET1_Import_Export!AI538</f>
        <v>0.98074481678504244</v>
      </c>
      <c r="AH118" s="919">
        <f>GREET1_Import_Export!AJ538</f>
        <v>2.797927440874302</v>
      </c>
      <c r="AI118" s="919">
        <f>GREET1_Import_Export!AK538</f>
        <v>1.7203747870080792</v>
      </c>
      <c r="AJ118" s="919">
        <f>GREET1_Import_Export!AL538</f>
        <v>1.1191709763497208</v>
      </c>
      <c r="AK118" s="794">
        <f t="shared" si="79"/>
        <v>24.403795914253038</v>
      </c>
      <c r="AL118" s="794">
        <f>AK118/2000</f>
        <v>1.2201897957126518E-2</v>
      </c>
      <c r="AM118" s="794">
        <f t="shared" si="80"/>
        <v>13.111364802635315</v>
      </c>
      <c r="AN118" s="794">
        <f>AM118/2000</f>
        <v>6.5556824013176572E-3</v>
      </c>
      <c r="AO118" s="794">
        <f t="shared" si="81"/>
        <v>45.668049064575207</v>
      </c>
      <c r="AP118" s="794">
        <f>AO118/2000</f>
        <v>2.2834024532287604E-2</v>
      </c>
      <c r="AQ118" s="794">
        <f t="shared" si="82"/>
        <v>22.168165223579688</v>
      </c>
      <c r="AR118" s="794">
        <f>AQ118/2000</f>
        <v>1.1084082611789845E-2</v>
      </c>
      <c r="AS118" s="794">
        <f t="shared" si="83"/>
        <v>22.007590213419547</v>
      </c>
      <c r="AT118" s="794">
        <f>AS118/2000</f>
        <v>1.1003795106709773E-2</v>
      </c>
      <c r="AU118" s="794">
        <f t="shared" si="84"/>
        <v>13.348071064521147</v>
      </c>
      <c r="AV118" s="794">
        <f>AU118/2000</f>
        <v>6.6740355322605733E-3</v>
      </c>
      <c r="AW118" s="794">
        <f t="shared" si="85"/>
        <v>15.388170491839828</v>
      </c>
      <c r="AX118" s="794">
        <f>AW118/2000</f>
        <v>7.6940852459199145E-3</v>
      </c>
      <c r="AY118" s="794">
        <f t="shared" si="86"/>
        <v>15.231001052862277</v>
      </c>
      <c r="AZ118" s="794">
        <f>AY118/2000</f>
        <v>7.615500526431139E-3</v>
      </c>
      <c r="BA118" s="794">
        <f t="shared" si="87"/>
        <v>47.592853599820344</v>
      </c>
      <c r="BB118" s="794">
        <f>BA118/2000</f>
        <v>2.3796426799910172E-2</v>
      </c>
      <c r="BC118" s="794">
        <f t="shared" si="88"/>
        <v>45.328234955460651</v>
      </c>
      <c r="BD118" s="794">
        <f>BC118/2000</f>
        <v>2.2664117477730325E-2</v>
      </c>
      <c r="BE118" s="794">
        <f t="shared" si="89"/>
        <v>39.114746245410345</v>
      </c>
      <c r="BF118" s="794">
        <f>BE118/2000</f>
        <v>1.9557373122705172E-2</v>
      </c>
      <c r="BG118" s="794">
        <f t="shared" si="90"/>
        <v>16.821135192501426</v>
      </c>
      <c r="BH118" s="794">
        <f>BG118/2000</f>
        <v>8.4105675962507127E-3</v>
      </c>
      <c r="BI118" s="794">
        <f t="shared" si="91"/>
        <v>11.711819810095211</v>
      </c>
      <c r="BJ118" s="794">
        <f>BI118/2000</f>
        <v>5.8559099050476057E-3</v>
      </c>
      <c r="BK118" s="794">
        <f t="shared" si="92"/>
        <v>30.13483392693913</v>
      </c>
      <c r="BL118" s="794">
        <f>BK118/2000</f>
        <v>1.5067416963469565E-2</v>
      </c>
      <c r="BM118" s="794">
        <f t="shared" si="93"/>
        <v>31.268836054827844</v>
      </c>
      <c r="BN118" s="794">
        <f>BM118/2000</f>
        <v>1.5634418027413922E-2</v>
      </c>
      <c r="BO118" s="794">
        <f t="shared" si="94"/>
        <v>18.579577728380126</v>
      </c>
      <c r="BP118" s="794">
        <f>BO118/2000</f>
        <v>9.2897888641900635E-3</v>
      </c>
      <c r="BQ118" s="794">
        <f t="shared" si="95"/>
        <v>25.935777411900457</v>
      </c>
      <c r="BR118" s="794">
        <f>BQ118/2000</f>
        <v>1.2967888705950229E-2</v>
      </c>
      <c r="BS118" s="794">
        <f t="shared" si="96"/>
        <v>21.524494658803885</v>
      </c>
      <c r="BT118" s="794">
        <f t="shared" si="97"/>
        <v>1.0762247329401942E-2</v>
      </c>
      <c r="BU118" s="794">
        <f t="shared" si="98"/>
        <v>30.987953068643733</v>
      </c>
      <c r="BV118" s="794">
        <f t="shared" si="99"/>
        <v>1.5493976534321868E-2</v>
      </c>
      <c r="BW118" s="794">
        <f t="shared" si="100"/>
        <v>38.08543092065954</v>
      </c>
      <c r="BX118" s="794">
        <f t="shared" si="101"/>
        <v>1.9042715460329769E-2</v>
      </c>
      <c r="BY118" s="794">
        <f t="shared" si="70"/>
        <v>30.199292882702384</v>
      </c>
      <c r="BZ118" s="794">
        <f t="shared" si="101"/>
        <v>1.5099646441351191E-2</v>
      </c>
      <c r="CA118" s="794">
        <f t="shared" si="102"/>
        <v>71.82576413002883</v>
      </c>
      <c r="CB118" s="794">
        <f>CA118/2000</f>
        <v>3.5912882065014418E-2</v>
      </c>
      <c r="CC118" s="794">
        <f t="shared" si="103"/>
        <v>88.510177575835897</v>
      </c>
      <c r="CD118" s="794">
        <f t="shared" si="104"/>
        <v>4.4255088787917951E-2</v>
      </c>
    </row>
    <row r="119" spans="1:82" s="919" customFormat="1">
      <c r="A119" s="794" t="s">
        <v>828</v>
      </c>
      <c r="B119" s="749">
        <f>GREET1_Import_Export!O539</f>
        <v>46.161761399754994</v>
      </c>
      <c r="C119" s="919">
        <f>GREET1_Import_Export!P539</f>
        <v>20.200974888194303</v>
      </c>
      <c r="D119" s="919">
        <f t="shared" si="105"/>
        <v>99.124523017431159</v>
      </c>
      <c r="E119" s="919">
        <f>GREET1_Import_Export!Q539</f>
        <v>44.835883118395671</v>
      </c>
      <c r="F119" s="919">
        <f>GREET1_Import_Export!R539</f>
        <v>44.396992632785867</v>
      </c>
      <c r="G119" s="919">
        <f>GREET1_Import_Export!S539</f>
        <v>27.427262191223573</v>
      </c>
      <c r="H119" s="919">
        <f>GREET1_Import_Export!T539</f>
        <v>33.59585246534774</v>
      </c>
      <c r="I119" s="919">
        <f>GREET1_Import_Export!U539</f>
        <v>24.832385365394536</v>
      </c>
      <c r="J119" s="919">
        <f>GREET1_Import_Export!V539</f>
        <v>83.859532982616457</v>
      </c>
      <c r="K119" s="919">
        <f>GREET1_Import_Export!W539</f>
        <v>86.813069309965158</v>
      </c>
      <c r="L119" s="919">
        <f>GREET1_Import_Export!X539</f>
        <v>71.984427860446885</v>
      </c>
      <c r="M119" s="919">
        <f>GREET1_Import_Export!Y539</f>
        <v>33.012344452647227</v>
      </c>
      <c r="N119" s="919">
        <f>GREET1_Import_Export!Z539</f>
        <v>19.203472284022059</v>
      </c>
      <c r="O119" s="919">
        <f>GREET1_Import_Export!AA539</f>
        <v>49.919664798501678</v>
      </c>
      <c r="P119" s="919">
        <f>GREET1_Import_Export!AB539</f>
        <v>50.004905116827658</v>
      </c>
      <c r="Q119" s="919">
        <f>GREET1_Import_Export!AC539</f>
        <v>34.452572532599923</v>
      </c>
      <c r="R119" s="919">
        <f t="shared" si="106"/>
        <v>0.75992819283145507</v>
      </c>
      <c r="S119" s="919">
        <f>Glass!P85</f>
        <v>32.893241963510711</v>
      </c>
      <c r="T119" s="749">
        <f xml:space="preserve"> ($B$39*GREET1_Import_Export!$J508)+($B$40*GREET1_Import_Export!$AM539)+ SUM($N87:$O87)</f>
        <v>35.26091103591213</v>
      </c>
      <c r="U119" s="749">
        <f t="shared" si="73"/>
        <v>134.90048040873808</v>
      </c>
      <c r="V119" s="794" cm="1">
        <f t="array" ref="V119" xml:space="preserve"> MMULT($T119:$U119,$C$41:$C$42)+SUM($R87:$S87)</f>
        <v>64.5382567926371</v>
      </c>
      <c r="W119" s="919">
        <f t="shared" si="74"/>
        <v>286.04309333840297</v>
      </c>
      <c r="X119" s="919">
        <f t="shared" si="75"/>
        <v>6.4810905190538177</v>
      </c>
      <c r="Y119" s="919">
        <f t="shared" si="76"/>
        <v>7.9624826376946904</v>
      </c>
      <c r="Z119" s="919">
        <f t="shared" si="77"/>
        <v>23.700120712035009</v>
      </c>
      <c r="AA119" s="919">
        <f t="shared" si="78"/>
        <v>11.464741846519331</v>
      </c>
      <c r="AB119" s="919">
        <f>GREET1_Import_Export!AD539</f>
        <v>11.447271117597962</v>
      </c>
      <c r="AC119" s="919">
        <f>GREET1_Import_Export!AE539</f>
        <v>3.8714288216806527</v>
      </c>
      <c r="AD119" s="919">
        <f>GREET1_Import_Export!AF539</f>
        <v>11.350686821153074</v>
      </c>
      <c r="AE119" s="919">
        <f>GREET1_Import_Export!AG539</f>
        <v>3.6496506411283129</v>
      </c>
      <c r="AF119" s="919">
        <f>GREET1_Import_Export!AH539</f>
        <v>3.5161530955531179</v>
      </c>
      <c r="AG119" s="919">
        <f>GREET1_Import_Export!AI539</f>
        <v>4.6681077226939127</v>
      </c>
      <c r="AH119" s="919">
        <f>GREET1_Import_Export!AJ539</f>
        <v>13.317456764235169</v>
      </c>
      <c r="AI119" s="919">
        <f>GREET1_Import_Export!AK539</f>
        <v>8.1885671906849407</v>
      </c>
      <c r="AJ119" s="919">
        <f>GREET1_Import_Export!AL539</f>
        <v>5.3269827056940686</v>
      </c>
      <c r="AK119" s="794">
        <f t="shared" si="79"/>
        <v>55.966421781649814</v>
      </c>
      <c r="AL119" s="794">
        <f>AK119/2000</f>
        <v>2.7983210890824908E-2</v>
      </c>
      <c r="AM119" s="794">
        <f t="shared" si="80"/>
        <v>27.830195180646836</v>
      </c>
      <c r="AN119" s="794">
        <f>AM119/2000</f>
        <v>1.3915097590323418E-2</v>
      </c>
      <c r="AO119" s="794">
        <f t="shared" si="81"/>
        <v>99.124523017431159</v>
      </c>
      <c r="AP119" s="794">
        <f>AO119/2000</f>
        <v>4.956226150871558E-2</v>
      </c>
      <c r="AQ119" s="794">
        <f t="shared" si="82"/>
        <v>44.835883118395671</v>
      </c>
      <c r="AR119" s="794">
        <f>AQ119/2000</f>
        <v>2.2417941559197834E-2</v>
      </c>
      <c r="AS119" s="794">
        <f t="shared" si="83"/>
        <v>44.396992632785867</v>
      </c>
      <c r="AT119" s="794">
        <f>AS119/2000</f>
        <v>2.2198496316392934E-2</v>
      </c>
      <c r="AU119" s="794">
        <f t="shared" si="84"/>
        <v>39.338391425453636</v>
      </c>
      <c r="AV119" s="794">
        <f>AU119/2000</f>
        <v>1.9669195712726819E-2</v>
      </c>
      <c r="AW119" s="794">
        <f t="shared" si="85"/>
        <v>45.499084361879355</v>
      </c>
      <c r="AX119" s="794">
        <f>AW119/2000</f>
        <v>2.2749542180939678E-2</v>
      </c>
      <c r="AY119" s="794">
        <f t="shared" si="86"/>
        <v>36.746836690680865</v>
      </c>
      <c r="AZ119" s="794">
        <f>AY119/2000</f>
        <v>1.8373418345340432E-2</v>
      </c>
      <c r="BA119" s="794">
        <f t="shared" si="87"/>
        <v>96.284276995558713</v>
      </c>
      <c r="BB119" s="794">
        <f>BA119/2000</f>
        <v>4.8142138497779353E-2</v>
      </c>
      <c r="BC119" s="794">
        <f t="shared" si="88"/>
        <v>96.629696390751832</v>
      </c>
      <c r="BD119" s="794">
        <f>BC119/2000</f>
        <v>4.8314848195375917E-2</v>
      </c>
      <c r="BE119" s="794">
        <f t="shared" si="89"/>
        <v>86.458021496290925</v>
      </c>
      <c r="BF119" s="794">
        <f>BE119/2000</f>
        <v>4.3229010748145461E-2</v>
      </c>
      <c r="BG119" s="794">
        <f t="shared" si="90"/>
        <v>43.650489007197677</v>
      </c>
      <c r="BH119" s="794">
        <f>BG119/2000</f>
        <v>2.182524450359884E-2</v>
      </c>
      <c r="BI119" s="794">
        <f t="shared" si="91"/>
        <v>27.973653156539456</v>
      </c>
      <c r="BJ119" s="794">
        <f>BI119/2000</f>
        <v>1.3986826578269728E-2</v>
      </c>
      <c r="BK119" s="794">
        <f t="shared" si="92"/>
        <v>49.919664798501678</v>
      </c>
      <c r="BL119" s="794">
        <f>BK119/2000</f>
        <v>2.4959832399250838E-2</v>
      </c>
      <c r="BM119" s="794">
        <f t="shared" si="93"/>
        <v>50.004905116827658</v>
      </c>
      <c r="BN119" s="794">
        <f>BM119/2000</f>
        <v>2.500245255841383E-2</v>
      </c>
      <c r="BO119" s="794">
        <f t="shared" si="94"/>
        <v>40.840784129135166</v>
      </c>
      <c r="BP119" s="794">
        <f>BO119/2000</f>
        <v>2.0420392064567583E-2</v>
      </c>
      <c r="BQ119" s="794">
        <f t="shared" si="95"/>
        <v>53.34384877096673</v>
      </c>
      <c r="BR119" s="794">
        <f>BQ119/2000</f>
        <v>2.6671924385483364E-2</v>
      </c>
      <c r="BS119" s="794">
        <f t="shared" si="96"/>
        <v>51.977693398467082</v>
      </c>
      <c r="BT119" s="794">
        <f t="shared" si="97"/>
        <v>2.5988846699233542E-2</v>
      </c>
      <c r="BU119" s="794">
        <f t="shared" si="98"/>
        <v>75.662242636684624</v>
      </c>
      <c r="BV119" s="794">
        <f t="shared" si="99"/>
        <v>3.7831121318342313E-2</v>
      </c>
      <c r="BW119" s="794">
        <f t="shared" si="100"/>
        <v>98.950246751171875</v>
      </c>
      <c r="BX119" s="794">
        <f t="shared" si="101"/>
        <v>4.947512337558594E-2</v>
      </c>
      <c r="BY119" s="794">
        <f t="shared" si="70"/>
        <v>75.530060928774517</v>
      </c>
      <c r="BZ119" s="794">
        <f t="shared" si="101"/>
        <v>3.7765030464387256E-2</v>
      </c>
      <c r="CA119" s="794">
        <f t="shared" si="102"/>
        <v>188.39284913616322</v>
      </c>
      <c r="CB119" s="794">
        <f>CA119/2000</f>
        <v>9.419642456808161E-2</v>
      </c>
      <c r="CC119" s="794">
        <f t="shared" si="103"/>
        <v>269.36597379920818</v>
      </c>
      <c r="CD119" s="794">
        <f t="shared" si="104"/>
        <v>0.13468298689960409</v>
      </c>
    </row>
    <row r="120" spans="1:82" s="919" customFormat="1">
      <c r="A120" s="794" t="s">
        <v>829</v>
      </c>
      <c r="B120" s="749">
        <f>GREET1_Import_Export!O540</f>
        <v>22086.564407846585</v>
      </c>
      <c r="C120" s="919">
        <f>GREET1_Import_Export!P540</f>
        <v>23207.391895019195</v>
      </c>
      <c r="D120" s="919">
        <f t="shared" si="105"/>
        <v>19362.244324396073</v>
      </c>
      <c r="E120" s="919">
        <f>GREET1_Import_Export!Q540</f>
        <v>19333.504909065399</v>
      </c>
      <c r="F120" s="919">
        <f>GREET1_Import_Export!R540</f>
        <v>19678.8612671023</v>
      </c>
      <c r="G120" s="919">
        <f>GREET1_Import_Export!S540</f>
        <v>19522.613584419491</v>
      </c>
      <c r="H120" s="919">
        <f>GREET1_Import_Export!T540</f>
        <v>20542.488448566037</v>
      </c>
      <c r="I120" s="919">
        <f>GREET1_Import_Export!U540</f>
        <v>23353.996186961369</v>
      </c>
      <c r="J120" s="919">
        <f>GREET1_Import_Export!V540</f>
        <v>16947.171427196929</v>
      </c>
      <c r="K120" s="919">
        <f>GREET1_Import_Export!W540</f>
        <v>18349.837144306286</v>
      </c>
      <c r="L120" s="919">
        <f>GREET1_Import_Export!X540</f>
        <v>11811.085872045223</v>
      </c>
      <c r="M120" s="919">
        <f>GREET1_Import_Export!Y540</f>
        <v>12309.514322144076</v>
      </c>
      <c r="N120" s="919">
        <f>GREET1_Import_Export!Z540</f>
        <v>16643.834771552109</v>
      </c>
      <c r="O120" s="919">
        <f>GREET1_Import_Export!AA540</f>
        <v>17938.836369708763</v>
      </c>
      <c r="P120" s="919">
        <f>GREET1_Import_Export!AB540</f>
        <v>15834.318939663332</v>
      </c>
      <c r="Q120" s="919">
        <f>GREET1_Import_Export!AC540</f>
        <v>13729.907097186462</v>
      </c>
      <c r="R120" s="919">
        <f t="shared" si="106"/>
        <v>82.47084912891107</v>
      </c>
      <c r="S120" s="919">
        <f>Glass!P86</f>
        <v>3797.8757802489358</v>
      </c>
      <c r="T120" s="749">
        <f xml:space="preserve"> ($B$39*GREET1_Import_Export!$J509)+($B$40*GREET1_Import_Export!$AM540)+ SUM($N88:$O88)</f>
        <v>9284.8900416604101</v>
      </c>
      <c r="U120" s="749">
        <f t="shared" si="73"/>
        <v>17482.823260984867</v>
      </c>
      <c r="V120" s="794" cm="1">
        <f t="array" ref="V120" xml:space="preserve"> MMULT($T120:$U120,$C$41:$C$42)+SUM($R88:$S88)</f>
        <v>12726.023342978817</v>
      </c>
      <c r="W120" s="919">
        <f t="shared" si="74"/>
        <v>45434.418225690919</v>
      </c>
      <c r="X120" s="919">
        <f t="shared" si="75"/>
        <v>806.37955744026067</v>
      </c>
      <c r="Y120" s="919">
        <f t="shared" si="76"/>
        <v>990.69488485517752</v>
      </c>
      <c r="Z120" s="919">
        <f t="shared" si="77"/>
        <v>2948.7773384534717</v>
      </c>
      <c r="AA120" s="919">
        <f t="shared" si="78"/>
        <v>1389.016480211099</v>
      </c>
      <c r="AB120" s="919">
        <f>GREET1_Import_Export!AD540</f>
        <v>1420.3021596961446</v>
      </c>
      <c r="AC120" s="919">
        <f>GREET1_Import_Export!AE540</f>
        <v>481.68453298258765</v>
      </c>
      <c r="AD120" s="919">
        <f>GREET1_Import_Export!AF540</f>
        <v>1466.7247593123452</v>
      </c>
      <c r="AE120" s="919">
        <f>GREET1_Import_Export!AG540</f>
        <v>454.09081390738942</v>
      </c>
      <c r="AF120" s="919">
        <f>GREET1_Import_Export!AH540</f>
        <v>437.48100242523117</v>
      </c>
      <c r="AG120" s="919">
        <f>GREET1_Import_Export!AI540</f>
        <v>580.8076015051447</v>
      </c>
      <c r="AH120" s="919">
        <f>GREET1_Import_Export!AJ540</f>
        <v>1656.9626454378779</v>
      </c>
      <c r="AI120" s="919">
        <f>GREET1_Import_Export!AK540</f>
        <v>1018.824404300768</v>
      </c>
      <c r="AJ120" s="919">
        <f>GREET1_Import_Export!AL540</f>
        <v>662.78505817515122</v>
      </c>
      <c r="AK120" s="794">
        <f t="shared" si="79"/>
        <v>24501.059567335888</v>
      </c>
      <c r="AL120" s="794">
        <f t="shared" si="52"/>
        <v>12.250529783667943</v>
      </c>
      <c r="AM120" s="794">
        <f t="shared" si="80"/>
        <v>25036.487442301652</v>
      </c>
      <c r="AN120" s="794">
        <f t="shared" si="53"/>
        <v>12.518243721150826</v>
      </c>
      <c r="AO120" s="794">
        <f t="shared" si="81"/>
        <v>19362.244324396073</v>
      </c>
      <c r="AP120" s="794">
        <f t="shared" si="54"/>
        <v>9.6811221621980366</v>
      </c>
      <c r="AQ120" s="794">
        <f t="shared" si="82"/>
        <v>19333.504909065399</v>
      </c>
      <c r="AR120" s="794">
        <f t="shared" si="55"/>
        <v>9.6667524545327002</v>
      </c>
      <c r="AS120" s="794">
        <f t="shared" si="83"/>
        <v>19678.8612671023</v>
      </c>
      <c r="AT120" s="794">
        <f t="shared" si="56"/>
        <v>9.8394306335511494</v>
      </c>
      <c r="AU120" s="794">
        <f t="shared" si="84"/>
        <v>20997.184072013904</v>
      </c>
      <c r="AV120" s="794">
        <f t="shared" si="57"/>
        <v>10.498592036006952</v>
      </c>
      <c r="AW120" s="794">
        <f t="shared" si="85"/>
        <v>22015.753241365626</v>
      </c>
      <c r="AX120" s="794">
        <f t="shared" si="58"/>
        <v>11.007876620682813</v>
      </c>
      <c r="AY120" s="794">
        <f t="shared" si="86"/>
        <v>24823.661546978878</v>
      </c>
      <c r="AZ120" s="794">
        <f t="shared" si="59"/>
        <v>12.411830773489438</v>
      </c>
      <c r="BA120" s="794">
        <f t="shared" si="87"/>
        <v>18682.18682408701</v>
      </c>
      <c r="BB120" s="794">
        <f t="shared" si="60"/>
        <v>9.3410934120435041</v>
      </c>
      <c r="BC120" s="794">
        <f t="shared" si="88"/>
        <v>19844.244178757119</v>
      </c>
      <c r="BD120" s="794">
        <f t="shared" si="61"/>
        <v>9.9221220893785596</v>
      </c>
      <c r="BE120" s="794">
        <f t="shared" si="89"/>
        <v>13934.059388811758</v>
      </c>
      <c r="BF120" s="794">
        <f t="shared" si="62"/>
        <v>6.9670296944058787</v>
      </c>
      <c r="BG120" s="794">
        <f t="shared" si="90"/>
        <v>14231.62690342516</v>
      </c>
      <c r="BH120" s="794">
        <f t="shared" si="63"/>
        <v>7.1158134517125804</v>
      </c>
      <c r="BI120" s="794">
        <f t="shared" si="91"/>
        <v>19204.736661894996</v>
      </c>
      <c r="BJ120" s="794">
        <f t="shared" si="64"/>
        <v>9.602368330947499</v>
      </c>
      <c r="BK120" s="794">
        <f t="shared" si="92"/>
        <v>17938.836369708763</v>
      </c>
      <c r="BL120" s="794">
        <f t="shared" si="65"/>
        <v>8.9694181848543817</v>
      </c>
      <c r="BM120" s="794">
        <f t="shared" si="93"/>
        <v>15834.318939663332</v>
      </c>
      <c r="BN120" s="794">
        <f t="shared" si="66"/>
        <v>7.9171594698316659</v>
      </c>
      <c r="BO120" s="794">
        <f t="shared" si="94"/>
        <v>14887.688046024707</v>
      </c>
      <c r="BP120" s="794">
        <f t="shared" si="67"/>
        <v>7.4438440230123533</v>
      </c>
      <c r="BQ120" s="794">
        <f t="shared" si="95"/>
        <v>18814.338429313928</v>
      </c>
      <c r="BR120" s="794">
        <f t="shared" si="68"/>
        <v>9.4071692146569639</v>
      </c>
      <c r="BS120" s="794">
        <f t="shared" si="96"/>
        <v>8764.747340431637</v>
      </c>
      <c r="BT120" s="794">
        <f t="shared" si="97"/>
        <v>4.3823736702158183</v>
      </c>
      <c r="BU120" s="794">
        <f t="shared" si="98"/>
        <v>12417.625330470059</v>
      </c>
      <c r="BV120" s="794">
        <f t="shared" si="99"/>
        <v>6.2088126652350288</v>
      </c>
      <c r="BW120" s="794">
        <f t="shared" si="100"/>
        <v>16150.045798101126</v>
      </c>
      <c r="BX120" s="794">
        <f t="shared" si="101"/>
        <v>8.0750228990505626</v>
      </c>
      <c r="BY120" s="794">
        <f t="shared" si="70"/>
        <v>12444.139489667607</v>
      </c>
      <c r="BZ120" s="794">
        <f t="shared" si="101"/>
        <v>6.2220697448338029</v>
      </c>
      <c r="CA120" s="794">
        <f t="shared" si="102"/>
        <v>32378.658484265463</v>
      </c>
      <c r="CB120" s="794">
        <f t="shared" si="71"/>
        <v>16.189329242132732</v>
      </c>
      <c r="CC120" s="794">
        <f t="shared" si="103"/>
        <v>43673.124218306373</v>
      </c>
      <c r="CD120" s="794">
        <f t="shared" si="104"/>
        <v>21.836562109153185</v>
      </c>
    </row>
    <row r="121" spans="1:82" s="919" customFormat="1">
      <c r="A121" s="794" t="s">
        <v>830</v>
      </c>
      <c r="B121" s="749">
        <f>GREET1_Import_Export!O541</f>
        <v>83.626137691925166</v>
      </c>
      <c r="C121" s="919">
        <f>GREET1_Import_Export!P541</f>
        <v>71.319232955989307</v>
      </c>
      <c r="D121" s="919">
        <f t="shared" si="105"/>
        <v>157.49285947643432</v>
      </c>
      <c r="E121" s="919">
        <f>GREET1_Import_Export!Q541</f>
        <v>74.740080417744096</v>
      </c>
      <c r="F121" s="919">
        <f>GREET1_Import_Export!R541</f>
        <v>75.115558765624598</v>
      </c>
      <c r="G121" s="919">
        <f>GREET1_Import_Export!S541</f>
        <v>20.496995900226466</v>
      </c>
      <c r="H121" s="919">
        <f>GREET1_Import_Export!T541</f>
        <v>28.901155780998753</v>
      </c>
      <c r="I121" s="919">
        <f>GREET1_Import_Export!U541</f>
        <v>88.537631970868759</v>
      </c>
      <c r="J121" s="919">
        <f>GREET1_Import_Export!V541</f>
        <v>7943.4522378824695</v>
      </c>
      <c r="K121" s="919">
        <f>GREET1_Import_Export!W541</f>
        <v>801.49833896299094</v>
      </c>
      <c r="L121" s="919">
        <f>GREET1_Import_Export!X541</f>
        <v>99.534724183859737</v>
      </c>
      <c r="M121" s="919">
        <f>GREET1_Import_Export!Y541</f>
        <v>34.356532086627169</v>
      </c>
      <c r="N121" s="919">
        <f>GREET1_Import_Export!Z541</f>
        <v>20.625336465390895</v>
      </c>
      <c r="O121" s="919">
        <f>GREET1_Import_Export!AA541</f>
        <v>82.263218165689466</v>
      </c>
      <c r="P121" s="919">
        <f>GREET1_Import_Export!AB541</f>
        <v>73.206095531316436</v>
      </c>
      <c r="Q121" s="919">
        <f>GREET1_Import_Export!AC541</f>
        <v>62.566806143576542</v>
      </c>
      <c r="R121" s="919">
        <f t="shared" si="106"/>
        <v>1.2558296329670242</v>
      </c>
      <c r="S121" s="919">
        <f>Glass!P87</f>
        <v>36.568447275831879</v>
      </c>
      <c r="T121" s="749">
        <f xml:space="preserve"> ($B$39*GREET1_Import_Export!$J510)+($B$40*GREET1_Import_Export!$AM541)+ SUM($N89:$O89)</f>
        <v>37.932858893860754</v>
      </c>
      <c r="U121" s="749">
        <f t="shared" si="73"/>
        <v>196.46074132903357</v>
      </c>
      <c r="V121" s="794" cm="1">
        <f t="array" ref="V121" xml:space="preserve"> MMULT($T121:$U121,$C$41:$C$42)+SUM($R89:$S89)</f>
        <v>73.192774194494831</v>
      </c>
      <c r="W121" s="919">
        <f t="shared" si="74"/>
        <v>325.4795306526114</v>
      </c>
      <c r="X121" s="919">
        <f t="shared" si="75"/>
        <v>7.3161248769932161</v>
      </c>
      <c r="Y121" s="919">
        <f t="shared" si="76"/>
        <v>8.9883819917345242</v>
      </c>
      <c r="Z121" s="919">
        <f t="shared" si="77"/>
        <v>26.75368322958948</v>
      </c>
      <c r="AA121" s="919">
        <f t="shared" si="78"/>
        <v>16.440960725203059</v>
      </c>
      <c r="AB121" s="919">
        <f>GREET1_Import_Export!AD541</f>
        <v>12.96216399912517</v>
      </c>
      <c r="AC121" s="919">
        <f>GREET1_Import_Export!AE541</f>
        <v>4.3702300760245194</v>
      </c>
      <c r="AD121" s="919">
        <f>GREET1_Import_Export!AF541</f>
        <v>14.14319593082873</v>
      </c>
      <c r="AE121" s="919">
        <f>GREET1_Import_Export!AG541</f>
        <v>4.1198776300676094</v>
      </c>
      <c r="AF121" s="919">
        <f>GREET1_Import_Export!AH541</f>
        <v>3.9691800412391771</v>
      </c>
      <c r="AG121" s="919">
        <f>GREET1_Import_Export!AI541</f>
        <v>5.269554396452258</v>
      </c>
      <c r="AH121" s="919">
        <f>GREET1_Import_Export!AJ541</f>
        <v>15.033299788771775</v>
      </c>
      <c r="AI121" s="919">
        <f>GREET1_Import_Export!AK541</f>
        <v>9.2435956502342869</v>
      </c>
      <c r="AJ121" s="919">
        <f>GREET1_Import_Export!AL541</f>
        <v>6.0133199155087107</v>
      </c>
      <c r="AK121" s="794">
        <f t="shared" si="79"/>
        <v>97.289319256074336</v>
      </c>
      <c r="AL121" s="794">
        <f t="shared" si="52"/>
        <v>4.8644659628037171E-2</v>
      </c>
      <c r="AM121" s="794">
        <f t="shared" si="80"/>
        <v>82.377751078798397</v>
      </c>
      <c r="AN121" s="794">
        <f t="shared" si="53"/>
        <v>4.1188875539399199E-2</v>
      </c>
      <c r="AO121" s="794">
        <f t="shared" si="81"/>
        <v>157.49285947643432</v>
      </c>
      <c r="AP121" s="794">
        <f t="shared" si="54"/>
        <v>7.8746429738217161E-2</v>
      </c>
      <c r="AQ121" s="794">
        <f t="shared" si="82"/>
        <v>74.740080417744096</v>
      </c>
      <c r="AR121" s="794">
        <f t="shared" si="55"/>
        <v>3.7370040208872045E-2</v>
      </c>
      <c r="AS121" s="794">
        <f t="shared" si="83"/>
        <v>75.115558765624598</v>
      </c>
      <c r="AT121" s="794">
        <f t="shared" si="56"/>
        <v>3.7557779382812302E-2</v>
      </c>
      <c r="AU121" s="794">
        <f t="shared" si="84"/>
        <v>34.27871267476565</v>
      </c>
      <c r="AV121" s="794">
        <f t="shared" si="57"/>
        <v>1.7139356337382824E-2</v>
      </c>
      <c r="AW121" s="794">
        <f t="shared" si="85"/>
        <v>42.67211312985058</v>
      </c>
      <c r="AX121" s="794">
        <f t="shared" si="58"/>
        <v>2.133605656492529E-2</v>
      </c>
      <c r="AY121" s="794">
        <f t="shared" si="86"/>
        <v>102.2322397210785</v>
      </c>
      <c r="AZ121" s="794">
        <f t="shared" si="59"/>
        <v>5.1116119860539252E-2</v>
      </c>
      <c r="BA121" s="794">
        <f t="shared" si="87"/>
        <v>8157.940492945886</v>
      </c>
      <c r="BB121" s="794">
        <f t="shared" si="60"/>
        <v>4.0789702464729434</v>
      </c>
      <c r="BC121" s="794">
        <f t="shared" si="88"/>
        <v>836.73935139225716</v>
      </c>
      <c r="BD121" s="794">
        <f t="shared" si="61"/>
        <v>0.4183696756961286</v>
      </c>
      <c r="BE121" s="794">
        <f t="shared" si="89"/>
        <v>118.15146274421194</v>
      </c>
      <c r="BF121" s="794">
        <f t="shared" si="62"/>
        <v>5.907573137210597E-2</v>
      </c>
      <c r="BG121" s="794">
        <f t="shared" si="90"/>
        <v>46.827722469629471</v>
      </c>
      <c r="BH121" s="794">
        <f t="shared" si="63"/>
        <v>2.3413861234814735E-2</v>
      </c>
      <c r="BI121" s="794">
        <f t="shared" si="91"/>
        <v>30.625149693908384</v>
      </c>
      <c r="BJ121" s="794">
        <f t="shared" si="64"/>
        <v>1.5312574846954191E-2</v>
      </c>
      <c r="BK121" s="794">
        <f t="shared" si="92"/>
        <v>82.263218165689466</v>
      </c>
      <c r="BL121" s="794">
        <f t="shared" si="65"/>
        <v>4.1131609082844731E-2</v>
      </c>
      <c r="BM121" s="794">
        <f t="shared" si="93"/>
        <v>73.206095531316436</v>
      </c>
      <c r="BN121" s="794">
        <f t="shared" si="66"/>
        <v>3.6603047765658217E-2</v>
      </c>
      <c r="BO121" s="794">
        <f t="shared" si="94"/>
        <v>70.70595844501068</v>
      </c>
      <c r="BP121" s="794">
        <f t="shared" si="67"/>
        <v>3.535297922250534E-2</v>
      </c>
      <c r="BQ121" s="794">
        <f t="shared" si="95"/>
        <v>220.7211635014277</v>
      </c>
      <c r="BR121" s="794">
        <f t="shared" si="68"/>
        <v>0.11036058175071385</v>
      </c>
      <c r="BS121" s="794">
        <f t="shared" si="96"/>
        <v>74.257750098901212</v>
      </c>
      <c r="BT121" s="794">
        <f t="shared" si="97"/>
        <v>3.7128875049450609E-2</v>
      </c>
      <c r="BU121" s="794">
        <f t="shared" si="98"/>
        <v>105.81794384965758</v>
      </c>
      <c r="BV121" s="794">
        <f t="shared" si="99"/>
        <v>5.2908971924828789E-2</v>
      </c>
      <c r="BW121" s="794">
        <f t="shared" si="100"/>
        <v>137.36862807838119</v>
      </c>
      <c r="BX121" s="794">
        <f t="shared" si="101"/>
        <v>6.8684314039190592E-2</v>
      </c>
      <c r="BY121" s="794">
        <f t="shared" si="70"/>
        <v>105.81477400898</v>
      </c>
      <c r="BZ121" s="794">
        <f t="shared" si="101"/>
        <v>5.2907387004489999E-2</v>
      </c>
      <c r="CA121" s="794">
        <f t="shared" si="102"/>
        <v>253.43426207059076</v>
      </c>
      <c r="CB121" s="794">
        <f t="shared" si="71"/>
        <v>0.12671713103529539</v>
      </c>
      <c r="CC121" s="794">
        <f t="shared" si="103"/>
        <v>326.20608802411061</v>
      </c>
      <c r="CD121" s="794">
        <f t="shared" si="104"/>
        <v>0.1631030440120553</v>
      </c>
    </row>
    <row r="122" spans="1:82" s="976" customFormat="1">
      <c r="A122" s="1487" t="s">
        <v>831</v>
      </c>
      <c r="B122" s="1092">
        <f>GREET1_Import_Export!O542</f>
        <v>2324182.7836142015</v>
      </c>
      <c r="C122" s="976">
        <f>GREET1_Import_Export!P542</f>
        <v>886870.58675922733</v>
      </c>
      <c r="D122" s="919">
        <f t="shared" si="105"/>
        <v>4955710.3642259557</v>
      </c>
      <c r="E122" s="976">
        <f>GREET1_Import_Export!Q542</f>
        <v>2165261.1188676115</v>
      </c>
      <c r="F122" s="976">
        <f>GREET1_Import_Export!R542</f>
        <v>2136644.9432889167</v>
      </c>
      <c r="G122" s="976">
        <f>GREET1_Import_Export!S542</f>
        <v>1086767.4185633152</v>
      </c>
      <c r="H122" s="976">
        <f>GREET1_Import_Export!T542</f>
        <v>1369697.1160907259</v>
      </c>
      <c r="I122" s="976">
        <f>GREET1_Import_Export!U542</f>
        <v>1133381.4333114787</v>
      </c>
      <c r="J122" s="976">
        <f>GREET1_Import_Export!V542</f>
        <v>5262206.7510018079</v>
      </c>
      <c r="K122" s="976">
        <f>GREET1_Import_Export!W542</f>
        <v>5122459.5100147333</v>
      </c>
      <c r="L122" s="976">
        <f>GREET1_Import_Export!X542</f>
        <v>3513639.7864607051</v>
      </c>
      <c r="M122" s="976">
        <f>GREET1_Import_Export!Y542</f>
        <v>1653963.355946966</v>
      </c>
      <c r="N122" s="976">
        <f>GREET1_Import_Export!Z542</f>
        <v>942362.83074902557</v>
      </c>
      <c r="O122" s="976">
        <f>GREET1_Import_Export!AA542</f>
        <v>2471400.1020670705</v>
      </c>
      <c r="P122" s="976">
        <f>GREET1_Import_Export!AB542</f>
        <v>2343833.9073217441</v>
      </c>
      <c r="Q122" s="976">
        <f>GREET1_Import_Export!AC542</f>
        <v>1561630.5646125549</v>
      </c>
      <c r="R122" s="976">
        <f t="shared" si="106"/>
        <v>63051.626560425459</v>
      </c>
      <c r="S122" s="1291">
        <f>Glass!P88</f>
        <v>1509623.8777369279</v>
      </c>
      <c r="T122" s="1092">
        <f xml:space="preserve"> ($B$39*GREET1_Import_Export!$J511)+($B$40*GREET1_Import_Export!$AM542)+ SUM($N90:$O90)</f>
        <v>1969737.5548062143</v>
      </c>
      <c r="U122" s="1092">
        <f t="shared" si="73"/>
        <v>7743843.2851905031</v>
      </c>
      <c r="V122" s="1487" cm="1">
        <f t="array" ref="V122" xml:space="preserve"> MMULT($T122:$U122,$C$41:$C$42)+SUM($R90:$S90)</f>
        <v>3593506.232688542</v>
      </c>
      <c r="W122" s="976">
        <f t="shared" si="74"/>
        <v>15671044.722760875</v>
      </c>
      <c r="X122" s="976">
        <f t="shared" si="75"/>
        <v>356302.82388360449</v>
      </c>
      <c r="Y122" s="976">
        <f t="shared" si="76"/>
        <v>437743.46934271412</v>
      </c>
      <c r="Z122" s="976">
        <f t="shared" si="77"/>
        <v>1302931.954314563</v>
      </c>
      <c r="AA122" s="976">
        <f t="shared" si="78"/>
        <v>689197.30592950166</v>
      </c>
      <c r="AB122" s="976">
        <f>GREET1_Import_Export!AD542</f>
        <v>628023.23142349732</v>
      </c>
      <c r="AC122" s="976">
        <f>GREET1_Import_Export!AE542</f>
        <v>212834.71008063818</v>
      </c>
      <c r="AD122" s="976">
        <f>GREET1_Import_Export!AF542</f>
        <v>518424.56488374178</v>
      </c>
      <c r="AE122" s="976">
        <f>GREET1_Import_Export!AG542</f>
        <v>200642.28786800985</v>
      </c>
      <c r="AF122" s="976">
        <f>GREET1_Import_Export!AH542</f>
        <v>193303.15993419473</v>
      </c>
      <c r="AG122" s="976">
        <f>GREET1_Import_Export!AI542</f>
        <v>256632.73162114772</v>
      </c>
      <c r="AH122" s="976">
        <f>GREET1_Import_Export!AJ542</f>
        <v>732137.1979136524</v>
      </c>
      <c r="AI122" s="976">
        <f>GREET1_Import_Export!AK542</f>
        <v>450172.63761772355</v>
      </c>
      <c r="AJ122" s="976">
        <f>GREET1_Import_Export!AL542</f>
        <v>292854.879165461</v>
      </c>
      <c r="AK122" s="1487">
        <f t="shared" si="79"/>
        <v>2822628.1784513197</v>
      </c>
      <c r="AL122" s="1487">
        <f t="shared" si="52"/>
        <v>1411.3140892256599</v>
      </c>
      <c r="AM122" s="1487">
        <f t="shared" si="80"/>
        <v>1263286.9914381478</v>
      </c>
      <c r="AN122" s="1487">
        <f t="shared" si="53"/>
        <v>631.64349571907394</v>
      </c>
      <c r="AO122" s="1487">
        <f t="shared" si="81"/>
        <v>4955710.3642259557</v>
      </c>
      <c r="AP122" s="1487">
        <f t="shared" si="54"/>
        <v>2477.8551821129777</v>
      </c>
      <c r="AQ122" s="1487">
        <f t="shared" si="82"/>
        <v>2165261.1188676115</v>
      </c>
      <c r="AR122" s="1487">
        <f t="shared" si="55"/>
        <v>1082.6305594338057</v>
      </c>
      <c r="AS122" s="1487">
        <f t="shared" si="83"/>
        <v>2136644.9432889167</v>
      </c>
      <c r="AT122" s="1487">
        <f t="shared" si="56"/>
        <v>1068.3224716444583</v>
      </c>
      <c r="AU122" s="1487">
        <f t="shared" si="84"/>
        <v>1716524.6898003765</v>
      </c>
      <c r="AV122" s="1487">
        <f t="shared" si="57"/>
        <v>858.26234490018828</v>
      </c>
      <c r="AW122" s="1487">
        <f t="shared" si="85"/>
        <v>1999092.1665825278</v>
      </c>
      <c r="AX122" s="1487">
        <f t="shared" si="58"/>
        <v>999.54608329126393</v>
      </c>
      <c r="AY122" s="1487">
        <f t="shared" si="86"/>
        <v>1763079.0269561589</v>
      </c>
      <c r="AZ122" s="1487">
        <f t="shared" si="59"/>
        <v>881.53951347807947</v>
      </c>
      <c r="BA122" s="1487">
        <f t="shared" si="87"/>
        <v>5913456.803557951</v>
      </c>
      <c r="BB122" s="1487">
        <f t="shared" si="60"/>
        <v>2956.7284017789757</v>
      </c>
      <c r="BC122" s="1487">
        <f t="shared" si="88"/>
        <v>5637706.8160843085</v>
      </c>
      <c r="BD122" s="1487">
        <f t="shared" si="61"/>
        <v>2818.8534080421541</v>
      </c>
      <c r="BE122" s="1487">
        <f t="shared" si="89"/>
        <v>4237891.0138422893</v>
      </c>
      <c r="BF122" s="1487">
        <f t="shared" si="62"/>
        <v>2118.9455069211444</v>
      </c>
      <c r="BG122" s="1487">
        <f t="shared" si="90"/>
        <v>2174801.6257132739</v>
      </c>
      <c r="BH122" s="1487">
        <f t="shared" si="63"/>
        <v>1087.400812856637</v>
      </c>
      <c r="BI122" s="1487">
        <f t="shared" si="91"/>
        <v>1396579.2277697173</v>
      </c>
      <c r="BJ122" s="1487">
        <f t="shared" si="64"/>
        <v>698.28961388485868</v>
      </c>
      <c r="BK122" s="1487">
        <f t="shared" si="92"/>
        <v>2471400.1020670705</v>
      </c>
      <c r="BL122" s="1487">
        <f t="shared" si="65"/>
        <v>1235.7000510335354</v>
      </c>
      <c r="BM122" s="1487">
        <f t="shared" si="93"/>
        <v>2343833.9073217441</v>
      </c>
      <c r="BN122" s="1487">
        <f t="shared" si="66"/>
        <v>1171.916953660872</v>
      </c>
      <c r="BO122" s="1487">
        <f t="shared" si="94"/>
        <v>1898495.3275180431</v>
      </c>
      <c r="BP122" s="1487">
        <f t="shared" si="67"/>
        <v>949.24766375902152</v>
      </c>
      <c r="BQ122" s="1487">
        <f t="shared" si="95"/>
        <v>2674443.2679403871</v>
      </c>
      <c r="BR122" s="1487">
        <f t="shared" si="68"/>
        <v>1337.2216339701936</v>
      </c>
      <c r="BS122" s="1487">
        <f t="shared" si="96"/>
        <v>2596198.6763464641</v>
      </c>
      <c r="BT122" s="1487">
        <f t="shared" si="97"/>
        <v>1298.0993381732321</v>
      </c>
      <c r="BU122" s="1487">
        <f t="shared" si="98"/>
        <v>3730130.1278018085</v>
      </c>
      <c r="BV122" s="1487">
        <f t="shared" si="99"/>
        <v>1865.0650639009043</v>
      </c>
      <c r="BW122" s="1487">
        <f t="shared" si="100"/>
        <v>4988172.4722334063</v>
      </c>
      <c r="BX122" s="1487">
        <f t="shared" si="101"/>
        <v>2494.0862361167033</v>
      </c>
      <c r="BY122" s="1487">
        <f t="shared" si="70"/>
        <v>3771500.4254605598</v>
      </c>
      <c r="BZ122" s="1487">
        <f t="shared" si="101"/>
        <v>1885.7502127302798</v>
      </c>
      <c r="CA122" s="1487">
        <f t="shared" si="102"/>
        <v>10003351.471766034</v>
      </c>
      <c r="CB122" s="1487">
        <f t="shared" si="71"/>
        <v>5001.6757358830173</v>
      </c>
      <c r="CC122" s="1487">
        <f t="shared" si="103"/>
        <v>14645234.315883359</v>
      </c>
      <c r="CD122" s="1487">
        <f t="shared" si="104"/>
        <v>7322.6171579416796</v>
      </c>
    </row>
    <row r="123" spans="1:82" s="976" customFormat="1">
      <c r="A123" s="1487" t="s">
        <v>850</v>
      </c>
      <c r="B123" s="1506">
        <f>B122+B112*GREET1_Import_Export!$B$62/GREET1_Import_Export!$B$65+B113*GREET1_Import_Export!$B$63/GREET1_Import_Export!$B$65</f>
        <v>2343917.4858484915</v>
      </c>
      <c r="C123" s="1291">
        <f>C122+C112*GREET1_Import_Export!$B$62/GREET1_Import_Export!$B$65+C113*GREET1_Import_Export!$B$63/GREET1_Import_Export!$B$65</f>
        <v>898636.41439179087</v>
      </c>
      <c r="D123" s="1291">
        <f>D122+D112*GREET1_Import_Export!$B$62/GREET1_Import_Export!$B$65+D113*GREET1_Import_Export!$B$63/GREET1_Import_Export!$B$65</f>
        <v>4965157.6050794655</v>
      </c>
      <c r="E123" s="1291">
        <f>E122+E112*GREET1_Import_Export!$B$62/GREET1_Import_Export!$B$65+E113*GREET1_Import_Export!$B$63/GREET1_Import_Export!$B$65</f>
        <v>2185445.9071142934</v>
      </c>
      <c r="F123" s="1291">
        <f>F122+F112*GREET1_Import_Export!$B$62/GREET1_Import_Export!$B$65+F113*GREET1_Import_Export!$B$63/GREET1_Import_Export!$B$65</f>
        <v>2156829.0440489091</v>
      </c>
      <c r="G123" s="1291">
        <f>G122+G112*GREET1_Import_Export!$B$62/GREET1_Import_Export!$B$65+G113*GREET1_Import_Export!$B$63/GREET1_Import_Export!$B$65</f>
        <v>1097586.4407026602</v>
      </c>
      <c r="H123" s="1291">
        <f>H122+H112*GREET1_Import_Export!$B$62/GREET1_Import_Export!$B$65+H113*GREET1_Import_Export!$B$63/GREET1_Import_Export!$B$65</f>
        <v>1381008.9759441812</v>
      </c>
      <c r="I123" s="1291">
        <f>I122+I112*GREET1_Import_Export!$B$62/GREET1_Import_Export!$B$65+I113*GREET1_Import_Export!$B$63/GREET1_Import_Export!$B$65</f>
        <v>1144078.3961554507</v>
      </c>
      <c r="J123" s="1291">
        <f>J122+J112*GREET1_Import_Export!$B$62/GREET1_Import_Export!$B$65+J113*GREET1_Import_Export!$B$63/GREET1_Import_Export!$B$65</f>
        <v>5277777.1055522384</v>
      </c>
      <c r="K123" s="1291">
        <f>K122+K112*GREET1_Import_Export!$B$62/GREET1_Import_Export!$B$65+K113*GREET1_Import_Export!$B$63/GREET1_Import_Export!$B$65</f>
        <v>5132908.5755690942</v>
      </c>
      <c r="L123" s="1291">
        <f>L122+L112*GREET1_Import_Export!$B$62/GREET1_Import_Export!$B$65+L113*GREET1_Import_Export!$B$63/GREET1_Import_Export!$B$65</f>
        <v>3519458.5771418368</v>
      </c>
      <c r="M123" s="1291">
        <f>M122+M112*GREET1_Import_Export!$B$62/GREET1_Import_Export!$B$65+M113*GREET1_Import_Export!$B$63/GREET1_Import_Export!$B$65</f>
        <v>1677989.5256673743</v>
      </c>
      <c r="N123" s="1291">
        <f>N122+N112*GREET1_Import_Export!$B$62/GREET1_Import_Export!$B$65+N113*GREET1_Import_Export!$B$63/GREET1_Import_Export!$B$65</f>
        <v>954957.07182912575</v>
      </c>
      <c r="O123" s="1291">
        <f>O122+O112*GREET1_Import_Export!$B$62/GREET1_Import_Export!$B$65+O113*GREET1_Import_Export!$B$63/GREET1_Import_Export!$B$65</f>
        <v>2484000.4555655597</v>
      </c>
      <c r="P123" s="1291">
        <f>P122+P112*GREET1_Import_Export!$B$62/GREET1_Import_Export!$B$65+P113*GREET1_Import_Export!$B$63/GREET1_Import_Export!$B$65</f>
        <v>2358086.6389056472</v>
      </c>
      <c r="Q123" s="1291">
        <f>Q122+Q112*GREET1_Import_Export!$B$62/GREET1_Import_Export!$B$65+Q113*GREET1_Import_Export!$B$63/GREET1_Import_Export!$B$65</f>
        <v>1568226.9786723675</v>
      </c>
      <c r="R123" s="1291">
        <f>R122+R112*GREET1_Import_Export!$B$62/GREET1_Import_Export!$B$65+R113*GREET1_Import_Export!$B$63/GREET1_Import_Export!$B$65</f>
        <v>63112.689054123686</v>
      </c>
      <c r="S123" s="1291">
        <f>Glass!P89</f>
        <v>1511719.0205114298</v>
      </c>
      <c r="T123" s="1506">
        <f>T122+T112*GREET1_Import_Export!$B$62/GREET1_Import_Export!$B$65+T113*GREET1_Import_Export!$B$63/GREET1_Import_Export!$B$65</f>
        <v>1983296.0304014641</v>
      </c>
      <c r="U123" s="1506">
        <f>U122+U112*GREET1_Import_Export!$B$62/GREET1_Import_Export!$B$65+U113*GREET1_Import_Export!$B$63/GREET1_Import_Export!$B$65</f>
        <v>7754600.924769301</v>
      </c>
      <c r="V123" s="1507">
        <f>V122+V112*GREET1_Import_Export!$B$62/GREET1_Import_Export!$B$65+V113*GREET1_Import_Export!$B$63/GREET1_Import_Export!$B$65</f>
        <v>3608091.1326056817</v>
      </c>
      <c r="W123" s="1291">
        <f>W122+W112*GREET1_Import_Export!$B$62/GREET1_Import_Export!$B$65+W113*GREET1_Import_Export!$B$63/GREET1_Import_Export!$B$65</f>
        <v>15708851.226993926</v>
      </c>
      <c r="X123" s="1291">
        <f>X122+X112*GREET1_Import_Export!$B$62/GREET1_Import_Export!$B$65+X113*GREET1_Import_Export!$B$63/GREET1_Import_Export!$B$65</f>
        <v>356609.97947401815</v>
      </c>
      <c r="Y123" s="1291">
        <f>Y122+Y112*GREET1_Import_Export!$B$62/GREET1_Import_Export!$B$65+Y113*GREET1_Import_Export!$B$63/GREET1_Import_Export!$B$65</f>
        <v>438120.8319252223</v>
      </c>
      <c r="Z123" s="1291">
        <f>Z122+Z112*GREET1_Import_Export!$B$62/GREET1_Import_Export!$B$65+Z113*GREET1_Import_Export!$B$63/GREET1_Import_Export!$B$65</f>
        <v>1304055.1641430289</v>
      </c>
      <c r="AA123" s="1291">
        <f>AA122+AA112*GREET1_Import_Export!$B$62/GREET1_Import_Export!$B$65+AA113*GREET1_Import_Export!$B$63/GREET1_Import_Export!$B$65</f>
        <v>690041.80004745012</v>
      </c>
      <c r="AB123" s="1291">
        <f>AB122+AB112*GREET1_Import_Export!$B$62/GREET1_Import_Export!$B$65+AB113*GREET1_Import_Export!$B$63/GREET1_Import_Export!$B$65</f>
        <v>628569.12318159023</v>
      </c>
      <c r="AC123" s="1291">
        <f>AC122+AC112*GREET1_Import_Export!$B$62/GREET1_Import_Export!$B$65+AC113*GREET1_Import_Export!$B$63/GREET1_Import_Export!$B$65</f>
        <v>213018.18707451317</v>
      </c>
      <c r="AD123" s="1291">
        <f>AD122+AD112*GREET1_Import_Export!$B$62/GREET1_Import_Export!$B$65+AD113*GREET1_Import_Export!$B$63/GREET1_Import_Export!$B$65</f>
        <v>519157.82300225063</v>
      </c>
      <c r="AE123" s="1291">
        <f>AE122+AE112*GREET1_Import_Export!$B$62/GREET1_Import_Export!$B$65+AE113*GREET1_Import_Export!$B$63/GREET1_Import_Export!$B$65</f>
        <v>200815.25422208</v>
      </c>
      <c r="AF123" s="1291">
        <f>AF122+AF112*GREET1_Import_Export!$B$62/GREET1_Import_Export!$B$65+AF113*GREET1_Import_Export!$B$63/GREET1_Import_Export!$B$65</f>
        <v>193469.79949537263</v>
      </c>
      <c r="AG123" s="1291">
        <f>AG122+AG112*GREET1_Import_Export!$B$62/GREET1_Import_Export!$B$65+AG113*GREET1_Import_Export!$B$63/GREET1_Import_Export!$B$65</f>
        <v>256853.96528228288</v>
      </c>
      <c r="AH123" s="1291">
        <f>AH122+AH112*GREET1_Import_Export!$B$62/GREET1_Import_Export!$B$65+AH113*GREET1_Import_Export!$B$63/GREET1_Import_Export!$B$65</f>
        <v>732768.34652717679</v>
      </c>
      <c r="AI123" s="1291">
        <f>AI122+AI112*GREET1_Import_Export!$B$62/GREET1_Import_Export!$B$65+AI113*GREET1_Import_Export!$B$63/GREET1_Import_Export!$B$65</f>
        <v>450560.71493012988</v>
      </c>
      <c r="AJ123" s="1291">
        <f>AJ122+AJ112*GREET1_Import_Export!$B$62/GREET1_Import_Export!$B$65+AJ113*GREET1_Import_Export!$B$63/GREET1_Import_Export!$B$65</f>
        <v>293107.33861087076</v>
      </c>
      <c r="AK123" s="1487">
        <f t="shared" si="79"/>
        <v>2844142.7094712956</v>
      </c>
      <c r="AL123" s="1487">
        <f t="shared" si="52"/>
        <v>1422.0713547356479</v>
      </c>
      <c r="AM123" s="1487">
        <f t="shared" si="80"/>
        <v>1275927.1723865396</v>
      </c>
      <c r="AN123" s="1487">
        <f t="shared" si="53"/>
        <v>637.96358619326986</v>
      </c>
      <c r="AO123" s="1487">
        <f t="shared" si="81"/>
        <v>4965157.6050794655</v>
      </c>
      <c r="AP123" s="1487">
        <f t="shared" si="54"/>
        <v>2482.5788025397328</v>
      </c>
      <c r="AQ123" s="1487">
        <f t="shared" si="82"/>
        <v>2185445.9071142934</v>
      </c>
      <c r="AR123" s="1487">
        <f t="shared" si="55"/>
        <v>1092.7229535571466</v>
      </c>
      <c r="AS123" s="1487">
        <f t="shared" si="83"/>
        <v>2156829.0440489091</v>
      </c>
      <c r="AT123" s="1487">
        <f t="shared" si="56"/>
        <v>1078.4145220244545</v>
      </c>
      <c r="AU123" s="1487">
        <f t="shared" si="84"/>
        <v>1727943.3891961114</v>
      </c>
      <c r="AV123" s="1487">
        <f t="shared" si="57"/>
        <v>863.97169459805571</v>
      </c>
      <c r="AW123" s="1487">
        <f t="shared" si="85"/>
        <v>2011003.0727368894</v>
      </c>
      <c r="AX123" s="1487">
        <f t="shared" si="58"/>
        <v>1005.5015363684447</v>
      </c>
      <c r="AY123" s="1487">
        <f t="shared" si="86"/>
        <v>1774375.8233229334</v>
      </c>
      <c r="AZ123" s="1487">
        <f t="shared" si="59"/>
        <v>887.18791166146673</v>
      </c>
      <c r="BA123" s="1487">
        <f t="shared" si="87"/>
        <v>5930001.1587666869</v>
      </c>
      <c r="BB123" s="1487">
        <f t="shared" si="60"/>
        <v>2965.0005793833434</v>
      </c>
      <c r="BC123" s="1487">
        <f t="shared" si="88"/>
        <v>5648901.5521848975</v>
      </c>
      <c r="BD123" s="1487">
        <f t="shared" si="61"/>
        <v>2824.4507760924489</v>
      </c>
      <c r="BE123" s="1487">
        <f t="shared" si="89"/>
        <v>4244700.2745595798</v>
      </c>
      <c r="BF123" s="1487">
        <f t="shared" si="62"/>
        <v>2122.35013727979</v>
      </c>
      <c r="BG123" s="1487">
        <f t="shared" si="90"/>
        <v>2200994.0769366678</v>
      </c>
      <c r="BH123" s="1487">
        <f t="shared" si="63"/>
        <v>1100.4970384683338</v>
      </c>
      <c r="BI123" s="1487">
        <f t="shared" si="91"/>
        <v>1410817.5112733322</v>
      </c>
      <c r="BJ123" s="1487">
        <f t="shared" si="64"/>
        <v>705.40875563666611</v>
      </c>
      <c r="BK123" s="1487">
        <f t="shared" si="92"/>
        <v>2484000.4555655597</v>
      </c>
      <c r="BL123" s="1487">
        <f t="shared" si="65"/>
        <v>1242.0002277827798</v>
      </c>
      <c r="BM123" s="1487">
        <f t="shared" si="93"/>
        <v>2358086.6389056472</v>
      </c>
      <c r="BN123" s="1487">
        <f t="shared" si="66"/>
        <v>1179.0433194528237</v>
      </c>
      <c r="BO123" s="1487">
        <f t="shared" si="94"/>
        <v>1905587.7744769603</v>
      </c>
      <c r="BP123" s="1487">
        <f t="shared" si="67"/>
        <v>952.79388723848012</v>
      </c>
      <c r="BQ123" s="1487">
        <f t="shared" si="95"/>
        <v>2687149.6939817225</v>
      </c>
      <c r="BR123" s="1487">
        <f t="shared" si="68"/>
        <v>1343.5748469908613</v>
      </c>
      <c r="BS123" s="1487">
        <f>BS122+BS112*GREET1_Import_Export!$B$62/GREET1_Import_Export!$B$65+BS113*GREET1_Import_Export!$B$63/GREET1_Import_Export!$B$65</f>
        <v>2600481.171634784</v>
      </c>
      <c r="BT123" s="1487">
        <f t="shared" si="97"/>
        <v>1300.240585817392</v>
      </c>
      <c r="BU123" s="1487">
        <f>BU122+BU112*GREET1_Import_Export!$B$62/GREET1_Import_Export!$B$65+BU113*GREET1_Import_Export!$B$63/GREET1_Import_Export!$B$65</f>
        <v>3736248.5098712761</v>
      </c>
      <c r="BV123" s="1487">
        <f t="shared" si="99"/>
        <v>1868.124254935638</v>
      </c>
      <c r="BW123" s="1487">
        <f>BW122+BW112*GREET1_Import_Export!$B$62/GREET1_Import_Export!$B$65+BW113*GREET1_Import_Export!$B$63/GREET1_Import_Export!$B$65</f>
        <v>4995874.8407298392</v>
      </c>
      <c r="BX123" s="1487">
        <f t="shared" si="101"/>
        <v>2497.9374203649195</v>
      </c>
      <c r="BY123" s="1487">
        <f t="shared" si="70"/>
        <v>3777534.8407453001</v>
      </c>
      <c r="BZ123" s="1487">
        <f t="shared" si="101"/>
        <v>1888.7674203726501</v>
      </c>
      <c r="CA123" s="1487">
        <f t="shared" si="102"/>
        <v>10024664.688532786</v>
      </c>
      <c r="CB123" s="1487">
        <f t="shared" si="71"/>
        <v>5012.3323442663932</v>
      </c>
      <c r="CC123" s="1487">
        <f t="shared" si="103"/>
        <v>14678832.765546128</v>
      </c>
      <c r="CD123" s="1487">
        <f t="shared" si="104"/>
        <v>7339.4163827730645</v>
      </c>
    </row>
    <row r="124" spans="1:82" s="976" customFormat="1">
      <c r="A124" s="1489" t="s">
        <v>851</v>
      </c>
      <c r="B124" s="1492">
        <f>B123+SUMPRODUCT(B120:B121,GREET1_Import_Export!$B$51:$B$52)+SUMPRODUCT(B112:B114,GREET1_Import_Export!$B$55:$B$57)+SUMPRODUCT(B118:B119,GREET1_Import_Export!$B$58:$B$59)</f>
        <v>3028675.3445722493</v>
      </c>
      <c r="C124" s="1292">
        <f>C123+SUMPRODUCT(C120:C121,GREET1_Import_Export!$B$51:$B$52)+SUMPRODUCT(C112:C114,GREET1_Import_Export!$B$55:$B$57)+SUMPRODUCT(C118:C119,GREET1_Import_Export!$B$58:$B$59)</f>
        <v>1613757.7679757038</v>
      </c>
      <c r="D124" s="1292">
        <f>D123+SUMPRODUCT(D120:D121,GREET1_Import_Export!$B$51:$B$52)+SUMPRODUCT(D112:D114,GREET1_Import_Export!$B$55:$B$57)+SUMPRODUCT(D118:D119,GREET1_Import_Export!$B$58:$B$59)</f>
        <v>5587760.5425726026</v>
      </c>
      <c r="E124" s="1292">
        <f>E123+SUMPRODUCT(E120:E121,GREET1_Import_Export!$B$51:$B$52)+SUMPRODUCT(E112:E114,GREET1_Import_Export!$B$55:$B$57)+SUMPRODUCT(E118:E119,GREET1_Import_Export!$B$58:$B$59)</f>
        <v>2785257.1756969579</v>
      </c>
      <c r="F124" s="1292">
        <f>F123+SUMPRODUCT(F120:F121,GREET1_Import_Export!$B$51:$B$52)+SUMPRODUCT(F112:F114,GREET1_Import_Export!$B$55:$B$57)+SUMPRODUCT(F118:F119,GREET1_Import_Export!$B$58:$B$59)</f>
        <v>2767100.5051348684</v>
      </c>
      <c r="G124" s="1292">
        <f>G123+SUMPRODUCT(G120:G121,GREET1_Import_Export!$B$51:$B$52)+SUMPRODUCT(G112:G114,GREET1_Import_Export!$B$55:$B$57)+SUMPRODUCT(G118:G119,GREET1_Import_Export!$B$58:$B$59)</f>
        <v>1688696.552148805</v>
      </c>
      <c r="H124" s="1292">
        <f>H123+SUMPRODUCT(H120:H121,GREET1_Import_Export!$B$51:$B$52)+SUMPRODUCT(H112:H114,GREET1_Import_Export!$B$55:$B$57)+SUMPRODUCT(H118:H119,GREET1_Import_Export!$B$58:$B$59)</f>
        <v>2004942.435683127</v>
      </c>
      <c r="I124" s="1292">
        <f>I123+SUMPRODUCT(I120:I121,GREET1_Import_Export!$B$51:$B$52)+SUMPRODUCT(I112:I114,GREET1_Import_Export!$B$55:$B$57)+SUMPRODUCT(I118:I119,GREET1_Import_Export!$B$58:$B$59)</f>
        <v>1868160.754236572</v>
      </c>
      <c r="J124" s="1292">
        <f>J123+SUMPRODUCT(J120:J121,GREET1_Import_Export!$B$51:$B$52)+SUMPRODUCT(J112:J114,GREET1_Import_Export!$B$55:$B$57)+SUMPRODUCT(J118:J119,GREET1_Import_Export!$B$58:$B$59)</f>
        <v>7891207.091407001</v>
      </c>
      <c r="K124" s="1292">
        <f>K123+SUMPRODUCT(K120:K121,GREET1_Import_Export!$B$51:$B$52)+SUMPRODUCT(K112:K114,GREET1_Import_Export!$B$55:$B$57)+SUMPRODUCT(K118:K119,GREET1_Import_Export!$B$58:$B$59)</f>
        <v>5895800.7497234754</v>
      </c>
      <c r="L124" s="1292">
        <f>L123+SUMPRODUCT(L120:L121,GREET1_Import_Export!$B$51:$B$52)+SUMPRODUCT(L112:L114,GREET1_Import_Export!$B$55:$B$57)+SUMPRODUCT(L118:L119,GREET1_Import_Export!$B$58:$B$59)</f>
        <v>3900167.8552119164</v>
      </c>
      <c r="M124" s="1292">
        <f>M123+SUMPRODUCT(M120:M121,GREET1_Import_Export!$B$51:$B$52)+SUMPRODUCT(M112:M114,GREET1_Import_Export!$B$55:$B$57)+SUMPRODUCT(M118:M119,GREET1_Import_Export!$B$58:$B$59)</f>
        <v>2056379.4363346528</v>
      </c>
      <c r="N124" s="1292">
        <f>N123+SUMPRODUCT(N120:N121,GREET1_Import_Export!$B$51:$B$52)+SUMPRODUCT(N112:N114,GREET1_Import_Export!$B$55:$B$57)+SUMPRODUCT(N118:N119,GREET1_Import_Export!$B$58:$B$59)</f>
        <v>1459737.8291390175</v>
      </c>
      <c r="O124" s="1292">
        <f>O123+SUMPRODUCT(O120:O121,GREET1_Import_Export!$B$51:$B$52)+SUMPRODUCT(O112:O114,GREET1_Import_Export!$B$55:$B$57)+SUMPRODUCT(O118:O119,GREET1_Import_Export!$B$58:$B$59)</f>
        <v>3043965.2994707301</v>
      </c>
      <c r="P124" s="1292">
        <f>P123+SUMPRODUCT(P120:P121,GREET1_Import_Export!$B$51:$B$52)+SUMPRODUCT(P112:P114,GREET1_Import_Export!$B$55:$B$57)+SUMPRODUCT(P118:P119,GREET1_Import_Export!$B$58:$B$59)</f>
        <v>2852515.8224113462</v>
      </c>
      <c r="Q124" s="1292">
        <f>Q123+SUMPRODUCT(Q120:Q121,GREET1_Import_Export!$B$51:$B$52)+SUMPRODUCT(Q112:Q114,GREET1_Import_Export!$B$55:$B$57)+SUMPRODUCT(Q118:Q119,GREET1_Import_Export!$B$58:$B$59)</f>
        <v>1996704.3952160091</v>
      </c>
      <c r="R124" s="1292">
        <f>R123+SUMPRODUCT(R120:R121,GREET1_Import_Export!$B$51:$B$52)+SUMPRODUCT(R112:R114,GREET1_Import_Export!$B$55:$B$57)+SUMPRODUCT(R118:R119,GREET1_Import_Export!$B$58:$B$59)</f>
        <v>65919.609380727285</v>
      </c>
      <c r="S124" s="1292">
        <f>S123+SUMPRODUCT(S120:S121,GREET1_Import_Export!$B$51:$B$52)+SUMPRODUCT(S112:S114,GREET1_Import_Export!$B$55:$B$57)+SUMPRODUCT(S118:S119,GREET1_Import_Export!$B$58:$B$59)</f>
        <v>1635345.9324469932</v>
      </c>
      <c r="T124" s="1492">
        <f>T123+SUMPRODUCT(T120:T121,GREET1_Import_Export!$B$51:$B$52)+SUMPRODUCT(T112:T114,GREET1_Import_Export!$B$55:$B$57)+SUMPRODUCT(T118:T119,GREET1_Import_Export!$B$58:$B$59)</f>
        <v>2271894.9392581494</v>
      </c>
      <c r="U124" s="1492">
        <f>U123+SUMPRODUCT(U120:U121,GREET1_Import_Export!$B$51:$B$52)+SUMPRODUCT(U112:U114,GREET1_Import_Export!$B$55:$B$57)+SUMPRODUCT(U118:U119,GREET1_Import_Export!$B$58:$B$59)</f>
        <v>8331147.7190510407</v>
      </c>
      <c r="V124" s="1508">
        <f>V123+SUMPRODUCT(V120:V121,GREET1_Import_Export!$B$51:$B$52)+SUMPRODUCT(V112:V114,GREET1_Import_Export!$B$55:$B$57)+SUMPRODUCT(V118:V119,GREET1_Import_Export!$B$58:$B$59)</f>
        <v>4009267.9180565872</v>
      </c>
      <c r="W124" s="1292">
        <f>W123+SUMPRODUCT(W120:W121,GREET1_Import_Export!$B$51:$B$52)+SUMPRODUCT(W112:W114,GREET1_Import_Export!$B$55:$B$57)+SUMPRODUCT(W118:W119,GREET1_Import_Export!$B$58:$B$59)</f>
        <v>17158135.849387594</v>
      </c>
      <c r="X124" s="1292">
        <f>X123+SUMPRODUCT(X120:X121,GREET1_Import_Export!$B$51:$B$52)+SUMPRODUCT(X112:X114,GREET1_Import_Export!$B$55:$B$57)+SUMPRODUCT(X118:X119,GREET1_Import_Export!$B$58:$B$59)</f>
        <v>382740.13928962918</v>
      </c>
      <c r="Y124" s="1292">
        <f>Y123+SUMPRODUCT(Y120:Y121,GREET1_Import_Export!$B$51:$B$52)+SUMPRODUCT(Y112:Y114,GREET1_Import_Export!$B$55:$B$57)+SUMPRODUCT(Y118:Y119,GREET1_Import_Export!$B$58:$B$59)</f>
        <v>470223.59969868726</v>
      </c>
      <c r="Z124" s="1292">
        <f>Z123+SUMPRODUCT(Z120:Z121,GREET1_Import_Export!$B$51:$B$52)+SUMPRODUCT(Z112:Z114,GREET1_Import_Export!$B$55:$B$57)+SUMPRODUCT(Z118:Z119,GREET1_Import_Export!$B$58:$B$59)</f>
        <v>1399608.2103524744</v>
      </c>
      <c r="AA124" s="1292">
        <f>AA123+SUMPRODUCT(AA120:AA121,GREET1_Import_Export!$B$51:$B$52)+SUMPRODUCT(AA112:AA114,GREET1_Import_Export!$B$55:$B$57)+SUMPRODUCT(AA118:AA119,GREET1_Import_Export!$B$58:$B$59)</f>
        <v>736069.14904596191</v>
      </c>
      <c r="AB124" s="1292">
        <f>AB123+SUMPRODUCT(AB120:AB121,GREET1_Import_Export!$B$51:$B$52)+SUMPRODUCT(AB112:AB114,GREET1_Import_Export!$B$55:$B$57)+SUMPRODUCT(AB118:AB119,GREET1_Import_Export!$B$58:$B$59)</f>
        <v>674613.16143224272</v>
      </c>
      <c r="AC124" s="1292">
        <f>AC123+SUMPRODUCT(AC120:AC121,GREET1_Import_Export!$B$51:$B$52)+SUMPRODUCT(AC112:AC114,GREET1_Import_Export!$B$55:$B$57)+SUMPRODUCT(AC118:AC119,GREET1_Import_Export!$B$58:$B$59)</f>
        <v>228626.83403413731</v>
      </c>
      <c r="AD124" s="1292">
        <f>AD123+SUMPRODUCT(AD120:AD121,GREET1_Import_Export!$B$51:$B$52)+SUMPRODUCT(AD112:AD114,GREET1_Import_Export!$B$55:$B$57)+SUMPRODUCT(AD118:AD119,GREET1_Import_Export!$B$58:$B$59)</f>
        <v>566907.51270329056</v>
      </c>
      <c r="AE124" s="1292">
        <f>AE123+SUMPRODUCT(AE120:AE121,GREET1_Import_Export!$B$51:$B$52)+SUMPRODUCT(AE112:AE114,GREET1_Import_Export!$B$55:$B$57)+SUMPRODUCT(AE118:AE119,GREET1_Import_Export!$B$58:$B$59)</f>
        <v>215529.74621126958</v>
      </c>
      <c r="AF124" s="1292">
        <f>AF123+SUMPRODUCT(AF120:AF121,GREET1_Import_Export!$B$51:$B$52)+SUMPRODUCT(AF112:AF114,GREET1_Import_Export!$B$55:$B$57)+SUMPRODUCT(AF118:AF119,GREET1_Import_Export!$B$58:$B$59)</f>
        <v>207646.06227905795</v>
      </c>
      <c r="AG124" s="1292">
        <f>AG123+SUMPRODUCT(AG120:AG121,GREET1_Import_Export!$B$51:$B$52)+SUMPRODUCT(AG112:AG114,GREET1_Import_Export!$B$55:$B$57)+SUMPRODUCT(AG118:AG119,GREET1_Import_Export!$B$58:$B$59)</f>
        <v>275674.62524249707</v>
      </c>
      <c r="AH124" s="1292">
        <f>AH123+SUMPRODUCT(AH120:AH121,GREET1_Import_Export!$B$51:$B$52)+SUMPRODUCT(AH112:AH114,GREET1_Import_Export!$B$55:$B$57)+SUMPRODUCT(AH118:AH119,GREET1_Import_Export!$B$58:$B$59)</f>
        <v>786461.05033433763</v>
      </c>
      <c r="AI124" s="1292">
        <f>AI123+SUMPRODUCT(AI120:AI121,GREET1_Import_Export!$B$51:$B$52)+SUMPRODUCT(AI112:AI114,GREET1_Import_Export!$B$55:$B$57)+SUMPRODUCT(AI118:AI119,GREET1_Import_Export!$B$58:$B$59)</f>
        <v>483574.999906465</v>
      </c>
      <c r="AJ124" s="1292">
        <f>AJ123+SUMPRODUCT(AJ120:AJ121,GREET1_Import_Export!$B$51:$B$52)+SUMPRODUCT(AJ112:AJ114,GREET1_Import_Export!$B$55:$B$57)+SUMPRODUCT(AJ118:AJ119,GREET1_Import_Export!$B$58:$B$59)</f>
        <v>314584.42013373511</v>
      </c>
      <c r="AK124" s="1489">
        <f>AK123+SUMPRODUCT(AK120:AK121,GREET1_Import_Export!$B$51:$B$52)+SUMPRODUCT(AK112:AK114,GREET1_Import_Export!$B$55:$B$57)+SUMPRODUCT(AK118:AK119,GREET1_Import_Export!$B$58:$B$59)</f>
        <v>3604956.1660942319</v>
      </c>
      <c r="AL124" s="1489">
        <f>AL123+SUMPRODUCT(AL120:AL121,GREET1_Import_Export!$B$51:$B$52)+SUMPRODUCT(AL112:AL114,GREET1_Import_Export!$B$55:$B$57)+SUMPRODUCT(AL118:AL119,GREET1_Import_Export!$B$58:$B$59)</f>
        <v>1802.4780830471159</v>
      </c>
      <c r="AM124" s="1489">
        <f>AM123+SUMPRODUCT(AM120:AM121,GREET1_Import_Export!$B$51:$B$52)+SUMPRODUCT(AM112:AM114,GREET1_Import_Export!$B$55:$B$57)+SUMPRODUCT(AM118:AM119,GREET1_Import_Export!$B$58:$B$59)</f>
        <v>2048851.8996914709</v>
      </c>
      <c r="AN124" s="1489">
        <f>AN123+SUMPRODUCT(AN120:AN121,GREET1_Import_Export!$B$51:$B$52)+SUMPRODUCT(AN112:AN114,GREET1_Import_Export!$B$55:$B$57)+SUMPRODUCT(AN118:AN119,GREET1_Import_Export!$B$58:$B$59)</f>
        <v>1024.4259498457354</v>
      </c>
      <c r="AO124" s="1489">
        <f>AO123+SUMPRODUCT(AO120:AO121,GREET1_Import_Export!$B$51:$B$52)+SUMPRODUCT(AO112:AO114,GREET1_Import_Export!$B$55:$B$57)+SUMPRODUCT(AO118:AO119,GREET1_Import_Export!$B$58:$B$59)</f>
        <v>5587760.5425726026</v>
      </c>
      <c r="AP124" s="1489">
        <f>AP123+SUMPRODUCT(AP120:AP121,GREET1_Import_Export!$B$51:$B$52)+SUMPRODUCT(AP112:AP114,GREET1_Import_Export!$B$55:$B$57)+SUMPRODUCT(AP118:AP119,GREET1_Import_Export!$B$58:$B$59)</f>
        <v>2793.8802712863016</v>
      </c>
      <c r="AQ124" s="1489">
        <f>AQ123+SUMPRODUCT(AQ120:AQ121,GREET1_Import_Export!$B$51:$B$52)+SUMPRODUCT(AQ112:AQ114,GREET1_Import_Export!$B$55:$B$57)+SUMPRODUCT(AQ118:AQ119,GREET1_Import_Export!$B$58:$B$59)</f>
        <v>2785257.1756969579</v>
      </c>
      <c r="AR124" s="1489">
        <f>AR123+SUMPRODUCT(AR120:AR121,GREET1_Import_Export!$B$51:$B$52)+SUMPRODUCT(AR112:AR114,GREET1_Import_Export!$B$55:$B$57)+SUMPRODUCT(AR118:AR119,GREET1_Import_Export!$B$58:$B$59)</f>
        <v>1392.6285878484787</v>
      </c>
      <c r="AS124" s="1489">
        <f>AS123+SUMPRODUCT(AS120:AS121,GREET1_Import_Export!$B$51:$B$52)+SUMPRODUCT(AS112:AS114,GREET1_Import_Export!$B$55:$B$57)+SUMPRODUCT(AS118:AS119,GREET1_Import_Export!$B$58:$B$59)</f>
        <v>2767100.5051348684</v>
      </c>
      <c r="AT124" s="1489">
        <f>AT123+SUMPRODUCT(AT120:AT121,GREET1_Import_Export!$B$51:$B$52)+SUMPRODUCT(AT112:AT114,GREET1_Import_Export!$B$55:$B$57)+SUMPRODUCT(AT118:AT119,GREET1_Import_Export!$B$58:$B$59)</f>
        <v>1383.5502525674342</v>
      </c>
      <c r="AU124" s="1489">
        <f>AU123+SUMPRODUCT(AU120:AU121,GREET1_Import_Export!$B$51:$B$52)+SUMPRODUCT(AU112:AU114,GREET1_Import_Export!$B$55:$B$57)+SUMPRODUCT(AU118:AU119,GREET1_Import_Export!$B$58:$B$59)</f>
        <v>2366942.7702153414</v>
      </c>
      <c r="AV124" s="1489">
        <f>AV123+SUMPRODUCT(AV120:AV121,GREET1_Import_Export!$B$51:$B$52)+SUMPRODUCT(AV112:AV114,GREET1_Import_Export!$B$55:$B$57)+SUMPRODUCT(AV118:AV119,GREET1_Import_Export!$B$58:$B$59)</f>
        <v>1183.4713851076708</v>
      </c>
      <c r="AW124" s="1489">
        <f>AW123+SUMPRODUCT(AW120:AW121,GREET1_Import_Export!$B$51:$B$52)+SUMPRODUCT(AW112:AW114,GREET1_Import_Export!$B$55:$B$57)+SUMPRODUCT(AW118:AW119,GREET1_Import_Export!$B$58:$B$59)</f>
        <v>2682783.7799572684</v>
      </c>
      <c r="AX124" s="1489">
        <f>AX123+SUMPRODUCT(AX120:AX121,GREET1_Import_Export!$B$51:$B$52)+SUMPRODUCT(AX112:AX114,GREET1_Import_Export!$B$55:$B$57)+SUMPRODUCT(AX118:AX119,GREET1_Import_Export!$B$58:$B$59)</f>
        <v>1341.3918899786343</v>
      </c>
      <c r="AY124" s="1489">
        <f>AY123+SUMPRODUCT(AY120:AY121,GREET1_Import_Export!$B$51:$B$52)+SUMPRODUCT(AY112:AY114,GREET1_Import_Export!$B$55:$B$57)+SUMPRODUCT(AY118:AY119,GREET1_Import_Export!$B$58:$B$59)</f>
        <v>2546177.2132583857</v>
      </c>
      <c r="AZ124" s="1489">
        <f>AZ123+SUMPRODUCT(AZ120:AZ121,GREET1_Import_Export!$B$51:$B$52)+SUMPRODUCT(AZ112:AZ114,GREET1_Import_Export!$B$55:$B$57)+SUMPRODUCT(AZ118:AZ119,GREET1_Import_Export!$B$58:$B$59)</f>
        <v>1273.0886066291928</v>
      </c>
      <c r="BA124" s="1489">
        <f>BA123+SUMPRODUCT(BA120:BA121,GREET1_Import_Export!$B$51:$B$52)+SUMPRODUCT(BA112:BA114,GREET1_Import_Export!$B$55:$B$57)+SUMPRODUCT(BA118:BA119,GREET1_Import_Export!$B$58:$B$59)</f>
        <v>8652320.9941199571</v>
      </c>
      <c r="BB124" s="1489">
        <f>BB123+SUMPRODUCT(BB120:BB121,GREET1_Import_Export!$B$51:$B$52)+SUMPRODUCT(BB112:BB114,GREET1_Import_Export!$B$55:$B$57)+SUMPRODUCT(BB118:BB119,GREET1_Import_Export!$B$58:$B$59)</f>
        <v>4326.1604970599783</v>
      </c>
      <c r="BC124" s="1489">
        <f>BC123+SUMPRODUCT(BC120:BC121,GREET1_Import_Export!$B$51:$B$52)+SUMPRODUCT(BC112:BC114,GREET1_Import_Export!$B$55:$B$57)+SUMPRODUCT(BC118:BC119,GREET1_Import_Export!$B$58:$B$59)</f>
        <v>6465964.8056665594</v>
      </c>
      <c r="BD124" s="1489">
        <f>BD123+SUMPRODUCT(BD120:BD121,GREET1_Import_Export!$B$51:$B$52)+SUMPRODUCT(BD112:BD114,GREET1_Import_Export!$B$55:$B$57)+SUMPRODUCT(BD118:BD119,GREET1_Import_Export!$B$58:$B$59)</f>
        <v>3232.9824028332796</v>
      </c>
      <c r="BE124" s="1489">
        <f>BE123+SUMPRODUCT(BE120:BE121,GREET1_Import_Export!$B$51:$B$52)+SUMPRODUCT(BE112:BE114,GREET1_Import_Export!$B$55:$B$57)+SUMPRODUCT(BE118:BE119,GREET1_Import_Export!$B$58:$B$59)</f>
        <v>4694032.1938511487</v>
      </c>
      <c r="BF124" s="1489">
        <f>BF123+SUMPRODUCT(BF120:BF121,GREET1_Import_Export!$B$51:$B$52)+SUMPRODUCT(BF112:BF114,GREET1_Import_Export!$B$55:$B$57)+SUMPRODUCT(BF118:BF119,GREET1_Import_Export!$B$58:$B$59)</f>
        <v>2347.0160969255744</v>
      </c>
      <c r="BG124" s="1489">
        <f>BG123+SUMPRODUCT(BG120:BG121,GREET1_Import_Export!$B$51:$B$52)+SUMPRODUCT(BG112:BG114,GREET1_Import_Export!$B$55:$B$57)+SUMPRODUCT(BG118:BG119,GREET1_Import_Export!$B$58:$B$59)</f>
        <v>2640352.2304938743</v>
      </c>
      <c r="BH124" s="1489">
        <f>BH123+SUMPRODUCT(BH120:BH121,GREET1_Import_Export!$B$51:$B$52)+SUMPRODUCT(BH112:BH114,GREET1_Import_Export!$B$55:$B$57)+SUMPRODUCT(BH118:BH119,GREET1_Import_Export!$B$58:$B$59)</f>
        <v>1320.1761152469371</v>
      </c>
      <c r="BI124" s="1489">
        <f>BI123+SUMPRODUCT(BI120:BI121,GREET1_Import_Export!$B$51:$B$52)+SUMPRODUCT(BI112:BI114,GREET1_Import_Export!$B$55:$B$57)+SUMPRODUCT(BI118:BI119,GREET1_Import_Export!$B$58:$B$59)</f>
        <v>1995075.2757990677</v>
      </c>
      <c r="BJ124" s="1489">
        <f>BJ123+SUMPRODUCT(BJ120:BJ121,GREET1_Import_Export!$B$51:$B$52)+SUMPRODUCT(BJ112:BJ114,GREET1_Import_Export!$B$55:$B$57)+SUMPRODUCT(BJ118:BJ119,GREET1_Import_Export!$B$58:$B$59)</f>
        <v>997.53763789953393</v>
      </c>
      <c r="BK124" s="1489">
        <f>BK123+SUMPRODUCT(BK120:BK121,GREET1_Import_Export!$B$51:$B$52)+SUMPRODUCT(BK112:BK114,GREET1_Import_Export!$B$55:$B$57)+SUMPRODUCT(BK118:BK119,GREET1_Import_Export!$B$58:$B$59)</f>
        <v>3043965.2994707301</v>
      </c>
      <c r="BL124" s="1489">
        <f>BL123+SUMPRODUCT(BL120:BL121,GREET1_Import_Export!$B$51:$B$52)+SUMPRODUCT(BL112:BL114,GREET1_Import_Export!$B$55:$B$57)+SUMPRODUCT(BL118:BL119,GREET1_Import_Export!$B$58:$B$59)</f>
        <v>1521.9826497353652</v>
      </c>
      <c r="BM124" s="1489">
        <f>BM123+SUMPRODUCT(BM120:BM121,GREET1_Import_Export!$B$51:$B$52)+SUMPRODUCT(BM112:BM114,GREET1_Import_Export!$B$55:$B$57)+SUMPRODUCT(BM118:BM119,GREET1_Import_Export!$B$58:$B$59)</f>
        <v>2852515.8224113462</v>
      </c>
      <c r="BN124" s="1489">
        <f>BN123+SUMPRODUCT(BN120:BN121,GREET1_Import_Export!$B$51:$B$52)+SUMPRODUCT(BN112:BN114,GREET1_Import_Export!$B$55:$B$57)+SUMPRODUCT(BN118:BN119,GREET1_Import_Export!$B$58:$B$59)</f>
        <v>1426.2579112056731</v>
      </c>
      <c r="BO124" s="1489">
        <f>BO123+SUMPRODUCT(BO120:BO121,GREET1_Import_Export!$B$51:$B$52)+SUMPRODUCT(BO112:BO114,GREET1_Import_Export!$B$55:$B$57)+SUMPRODUCT(BO118:BO119,GREET1_Import_Export!$B$58:$B$59)</f>
        <v>2370955.4948456292</v>
      </c>
      <c r="BP124" s="1489">
        <f>BP123+SUMPRODUCT(BP120:BP121,GREET1_Import_Export!$B$51:$B$52)+SUMPRODUCT(BP112:BP114,GREET1_Import_Export!$B$55:$B$57)+SUMPRODUCT(BP118:BP119,GREET1_Import_Export!$B$58:$B$59)</f>
        <v>1185.4777474228147</v>
      </c>
      <c r="BQ124" s="1489">
        <f t="shared" si="95"/>
        <v>3310070.955189019</v>
      </c>
      <c r="BR124" s="1489">
        <f>BR123+SUMPRODUCT(BR120:BR121,GREET1_Import_Export!$B$51:$B$52)+SUMPRODUCT(BR112:BR114,GREET1_Import_Export!$B$55:$B$57)+SUMPRODUCT(BR118:BR119,GREET1_Import_Export!$B$58:$B$59)</f>
        <v>1655.0354775945093</v>
      </c>
      <c r="BS124" s="1489">
        <f>BS123+SUMPRODUCT(BS120:BS121,GREET1_Import_Export!$B$51:$B$52)+SUMPRODUCT(BS112:BS114,GREET1_Import_Export!$B$55:$B$57)+SUMPRODUCT(BS118:BS119,GREET1_Import_Export!$B$58:$B$59)</f>
        <v>2883101.8956239419</v>
      </c>
      <c r="BT124" s="1489">
        <f t="shared" si="97"/>
        <v>1441.5509478119709</v>
      </c>
      <c r="BU124" s="1489">
        <f>BU123+SUMPRODUCT(BU120:BU121,GREET1_Import_Export!$B$51:$B$52)+SUMPRODUCT(BU112:BU114,GREET1_Import_Export!$B$55:$B$57)+SUMPRODUCT(BU118:BU119,GREET1_Import_Export!$B$58:$B$59)</f>
        <v>4136819.0249055373</v>
      </c>
      <c r="BV124" s="1489">
        <f t="shared" si="99"/>
        <v>2068.4095124527685</v>
      </c>
      <c r="BW124" s="1489">
        <f>BW123+SUMPRODUCT(BW120:BW121,GREET1_Import_Export!$B$51:$B$52)+SUMPRODUCT(BW112:BW114,GREET1_Import_Export!$B$55:$B$57)+SUMPRODUCT(BW118:BW119,GREET1_Import_Export!$B$58:$B$59)</f>
        <v>5516778.9011136442</v>
      </c>
      <c r="BX124" s="1489">
        <f t="shared" si="101"/>
        <v>2758.3894505568223</v>
      </c>
      <c r="BY124" s="1489">
        <f t="shared" si="70"/>
        <v>4178899.940547708</v>
      </c>
      <c r="BZ124" s="1489">
        <f t="shared" si="101"/>
        <v>2089.449970273854</v>
      </c>
      <c r="CA124" s="1489">
        <f t="shared" si="102"/>
        <v>11063184.522509456</v>
      </c>
      <c r="CB124" s="1489">
        <f>CB123+SUMPRODUCT(CB120:CB121,GREET1_Import_Export!$B$51:$B$52)+SUMPRODUCT(CB112:CB114,GREET1_Import_Export!$B$55:$B$57)+SUMPRODUCT(CB118:CB119,GREET1_Import_Export!$B$58:$B$59)</f>
        <v>5531.5922612547283</v>
      </c>
      <c r="CC124" s="1489">
        <f t="shared" si="103"/>
        <v>16075471.105421707</v>
      </c>
      <c r="CD124" s="1489">
        <f>CD123+SUMPRODUCT(CD120:CD121,GREET1_Import_Export!$B$51:$B$52)+SUMPRODUCT(CD112:CD114,GREET1_Import_Export!$B$55:$B$57)+SUMPRODUCT(CD118:CD119,GREET1_Import_Export!$B$58:$B$59)</f>
        <v>8037.7355527108548</v>
      </c>
    </row>
    <row r="125" spans="1:82" s="919" customFormat="1">
      <c r="A125" s="795" t="s">
        <v>865</v>
      </c>
      <c r="B125" s="1080"/>
      <c r="C125" s="1141"/>
      <c r="D125" s="1141"/>
      <c r="E125" s="1141"/>
      <c r="F125" s="1141"/>
      <c r="G125" s="1141"/>
      <c r="H125" s="1141"/>
      <c r="I125" s="1141"/>
      <c r="J125" s="1141"/>
      <c r="K125" s="1141"/>
      <c r="L125" s="1141"/>
      <c r="M125" s="1141"/>
      <c r="N125" s="1141"/>
      <c r="O125" s="1141"/>
      <c r="P125" s="1141"/>
      <c r="Q125" s="1141"/>
      <c r="R125" s="1141"/>
      <c r="S125" s="1141"/>
      <c r="T125" s="749"/>
      <c r="U125" s="1262"/>
      <c r="V125" s="817"/>
      <c r="W125" s="1141"/>
      <c r="X125" s="1141"/>
      <c r="Y125" s="1141"/>
      <c r="Z125" s="1141"/>
      <c r="AA125" s="1141"/>
      <c r="AB125" s="1141"/>
      <c r="AC125" s="1141"/>
      <c r="AD125" s="1141"/>
      <c r="AE125" s="1141"/>
      <c r="AF125" s="1141"/>
      <c r="AG125" s="1141"/>
      <c r="AH125" s="1141"/>
      <c r="AI125" s="1141"/>
      <c r="AJ125" s="1141"/>
      <c r="AK125" s="794" t="s">
        <v>845</v>
      </c>
      <c r="AL125" s="794" t="s">
        <v>846</v>
      </c>
      <c r="AM125" s="794" t="s">
        <v>845</v>
      </c>
      <c r="AN125" s="794" t="s">
        <v>846</v>
      </c>
      <c r="AO125" s="794" t="s">
        <v>845</v>
      </c>
      <c r="AP125" s="794" t="s">
        <v>846</v>
      </c>
      <c r="AQ125" s="794" t="s">
        <v>845</v>
      </c>
      <c r="AR125" s="794" t="s">
        <v>846</v>
      </c>
      <c r="AS125" s="794" t="s">
        <v>845</v>
      </c>
      <c r="AT125" s="794" t="s">
        <v>846</v>
      </c>
      <c r="AU125" s="794" t="s">
        <v>845</v>
      </c>
      <c r="AV125" s="794" t="s">
        <v>846</v>
      </c>
      <c r="AW125" s="794" t="s">
        <v>845</v>
      </c>
      <c r="AX125" s="794" t="s">
        <v>846</v>
      </c>
      <c r="AY125" s="794" t="s">
        <v>845</v>
      </c>
      <c r="AZ125" s="794" t="s">
        <v>846</v>
      </c>
      <c r="BA125" s="794" t="s">
        <v>845</v>
      </c>
      <c r="BB125" s="794" t="s">
        <v>846</v>
      </c>
      <c r="BC125" s="794" t="s">
        <v>845</v>
      </c>
      <c r="BD125" s="794" t="s">
        <v>846</v>
      </c>
      <c r="BE125" s="794" t="s">
        <v>845</v>
      </c>
      <c r="BF125" s="794" t="s">
        <v>846</v>
      </c>
      <c r="BG125" s="794" t="s">
        <v>845</v>
      </c>
      <c r="BH125" s="794" t="s">
        <v>846</v>
      </c>
      <c r="BI125" s="794" t="s">
        <v>845</v>
      </c>
      <c r="BJ125" s="794" t="s">
        <v>846</v>
      </c>
      <c r="BK125" s="794" t="s">
        <v>845</v>
      </c>
      <c r="BL125" s="794" t="s">
        <v>846</v>
      </c>
      <c r="BM125" s="794" t="s">
        <v>845</v>
      </c>
      <c r="BN125" s="794" t="s">
        <v>846</v>
      </c>
      <c r="BO125" s="794" t="s">
        <v>845</v>
      </c>
      <c r="BP125" s="794" t="s">
        <v>846</v>
      </c>
      <c r="BQ125" s="794" t="s">
        <v>845</v>
      </c>
      <c r="BR125" s="794" t="s">
        <v>846</v>
      </c>
      <c r="BS125" s="794" t="s">
        <v>845</v>
      </c>
      <c r="BT125" s="794" t="s">
        <v>846</v>
      </c>
      <c r="BU125" s="794" t="s">
        <v>845</v>
      </c>
      <c r="BV125" s="794" t="s">
        <v>846</v>
      </c>
      <c r="BW125" s="794" t="s">
        <v>845</v>
      </c>
      <c r="BX125" s="794" t="s">
        <v>846</v>
      </c>
      <c r="BY125" s="794" t="s">
        <v>845</v>
      </c>
      <c r="BZ125" s="794" t="s">
        <v>846</v>
      </c>
      <c r="CA125" s="794" t="s">
        <v>845</v>
      </c>
      <c r="CB125" s="794" t="s">
        <v>846</v>
      </c>
      <c r="CC125" s="794" t="s">
        <v>845</v>
      </c>
      <c r="CD125" s="794" t="s">
        <v>846</v>
      </c>
    </row>
    <row r="126" spans="1:82" s="919" customFormat="1">
      <c r="A126" s="794" t="s">
        <v>821</v>
      </c>
      <c r="B126" s="749">
        <f>GREET1_Import_Export!O544</f>
        <v>44.729627911165764</v>
      </c>
      <c r="C126" s="919">
        <f>GREET1_Import_Export!P544</f>
        <v>35.776296504106853</v>
      </c>
      <c r="D126" s="919">
        <f>SUM(B92:C92)</f>
        <v>70.934743651836854</v>
      </c>
      <c r="E126" s="919">
        <f>GREET1_Import_Export!Q544</f>
        <v>44.000026937774777</v>
      </c>
      <c r="F126" s="919">
        <f>GREET1_Import_Export!R544</f>
        <v>44.202869875921479</v>
      </c>
      <c r="G126" s="919">
        <f>GREET1_Import_Export!S544</f>
        <v>517.06142660286662</v>
      </c>
      <c r="H126" s="919">
        <f>GREET1_Import_Export!T544</f>
        <v>527.91578833979179</v>
      </c>
      <c r="I126" s="919">
        <f>GREET1_Import_Export!U544</f>
        <v>33.118511484758663</v>
      </c>
      <c r="J126" s="919">
        <f>GREET1_Import_Export!V544</f>
        <v>71.201311593161435</v>
      </c>
      <c r="K126" s="919">
        <f>GREET1_Import_Export!W544</f>
        <v>73.788639163919953</v>
      </c>
      <c r="L126" s="919">
        <f>GREET1_Import_Export!X544</f>
        <v>57.703785432624599</v>
      </c>
      <c r="M126" s="919">
        <f>GREET1_Import_Export!Y544</f>
        <v>456.96677060960025</v>
      </c>
      <c r="N126" s="919">
        <f>GREET1_Import_Export!Z544</f>
        <v>234.28055389653952</v>
      </c>
      <c r="O126" s="919">
        <f>GREET1_Import_Export!AA544</f>
        <v>39.80096324264872</v>
      </c>
      <c r="P126" s="919">
        <f>GREET1_Import_Export!AB544</f>
        <v>44.320443774148771</v>
      </c>
      <c r="Q126" s="919">
        <f>GREET1_Import_Export!AC544</f>
        <v>23.932689819364011</v>
      </c>
      <c r="R126" s="919">
        <f>SUM(D92:E92)</f>
        <v>1.1706247947479511</v>
      </c>
      <c r="S126" s="919">
        <f>Glass!P92</f>
        <v>12.281208964713516</v>
      </c>
      <c r="T126" s="749">
        <f xml:space="preserve"> ($B$39*GREET1_Import_Export!$J513)+($B$40*GREET1_Import_Export!$AM544)+SUM($N92:$O92)</f>
        <v>248.98896998478756</v>
      </c>
      <c r="U126" s="794">
        <f t="shared" ref="U126:U133" si="107" xml:space="preserve"> SUM($P92:$Q92)</f>
        <v>100.47896843128636</v>
      </c>
      <c r="V126" s="817" cm="1">
        <f t="array" ref="V126" xml:space="preserve"> MMULT($T126:$U126,$C$41:$C$42)+SUM($R92:$S92)</f>
        <v>251.69058046521496</v>
      </c>
      <c r="W126" s="919">
        <f t="shared" ref="W126:W133" si="108" xml:space="preserve"> ($D$43*$V126)+SUM($T92:$U92)</f>
        <v>584.06809056547718</v>
      </c>
      <c r="X126" s="919">
        <f t="shared" ref="X126:X133" si="109">SUM(F92:G92)</f>
        <v>2.6009645367911713</v>
      </c>
      <c r="Y126" s="919">
        <f t="shared" ref="Y126:Y133" si="110">SUM(H92:I92)</f>
        <v>3.1954707166291536</v>
      </c>
      <c r="Z126" s="919">
        <f t="shared" ref="Z126:Z133" si="111">SUM(J92:K92)</f>
        <v>9.5112347695881816</v>
      </c>
      <c r="AA126" s="919">
        <f t="shared" ref="AA126:AA133" si="112">SUM(L92:M92)</f>
        <v>9.9239218199058961</v>
      </c>
      <c r="AB126" s="919">
        <f>GREET1_Import_Export!AD544</f>
        <v>4.6137372696798424</v>
      </c>
      <c r="AC126" s="919">
        <f>GREET1_Import_Export!AE544</f>
        <v>1.5536658595184474</v>
      </c>
      <c r="AD126" s="919">
        <f>GREET1_Import_Export!AF544</f>
        <v>4.293312532984972</v>
      </c>
      <c r="AE126" s="919">
        <f>GREET1_Import_Export!AG544</f>
        <v>1.4646627541066566</v>
      </c>
      <c r="AF126" s="919">
        <f>GREET1_Import_Export!AH544</f>
        <v>1.4110880692956755</v>
      </c>
      <c r="AG126" s="919">
        <f>GREET1_Import_Export!AI544</f>
        <v>1.8733857527452693</v>
      </c>
      <c r="AH126" s="919">
        <f>GREET1_Import_Export!AJ544</f>
        <v>5.3445068638051145</v>
      </c>
      <c r="AI126" s="919">
        <f>GREET1_Import_Export!AK544</f>
        <v>3.2862020376800083</v>
      </c>
      <c r="AJ126" s="919">
        <f>GREET1_Import_Export!AL544</f>
        <v>2.1378027455220461</v>
      </c>
      <c r="AK126" s="794">
        <f t="shared" ref="AK126:AK133" si="113">B126*(SUMPRODUCT($D$19:$L$19,$D$25:$L$25))+SUMPRODUCT($D$25:$L$25,$AB126:$AJ126)</f>
        <v>50.496666152988226</v>
      </c>
      <c r="AL126" s="794">
        <f t="shared" si="52"/>
        <v>2.5248333076494114E-2</v>
      </c>
      <c r="AM126" s="794">
        <f t="shared" ref="AM126:AM133" si="114">C126*(SUMPRODUCT($D$19:$L$19,$D$26:$L$26))+SUMPRODUCT($D$26:$L$26,$AB126:$AJ126)</f>
        <v>39.907688592777454</v>
      </c>
      <c r="AN126" s="794">
        <f t="shared" si="53"/>
        <v>1.9953844296388728E-2</v>
      </c>
      <c r="AO126" s="794">
        <f t="shared" ref="AO126:AO133" si="115">D126</f>
        <v>70.934743651836854</v>
      </c>
      <c r="AP126" s="794">
        <f t="shared" si="54"/>
        <v>3.5467371825918428E-2</v>
      </c>
      <c r="AQ126" s="794">
        <f t="shared" ref="AQ126:AQ133" si="116">E126</f>
        <v>44.000026937774777</v>
      </c>
      <c r="AR126" s="794">
        <f t="shared" si="55"/>
        <v>2.200001346888739E-2</v>
      </c>
      <c r="AS126" s="794">
        <f t="shared" ref="AS126:AS133" si="117">F126</f>
        <v>44.202869875921479</v>
      </c>
      <c r="AT126" s="794">
        <f t="shared" si="56"/>
        <v>2.210143493796074E-2</v>
      </c>
      <c r="AU126" s="794">
        <f t="shared" ref="AU126:AU133" si="118">G126*(SUMPRODUCT($D$19:$L$19,$D$27:$L$27))+SUMPRODUCT($D$27:$L$27,$AB126:$AJ126)</f>
        <v>521.13016536989244</v>
      </c>
      <c r="AV126" s="794">
        <f t="shared" si="57"/>
        <v>0.26056508268494621</v>
      </c>
      <c r="AW126" s="794">
        <f t="shared" ref="AW126:AW133" si="119">H126*(SUMPRODUCT($D$19:$L$19,$D$28:$L$28))+SUMPRODUCT($D$28:$L$28,$AB126:$AJ126)</f>
        <v>531.97063081020383</v>
      </c>
      <c r="AX126" s="794">
        <f t="shared" si="58"/>
        <v>0.2659853154051019</v>
      </c>
      <c r="AY126" s="794">
        <f t="shared" ref="AY126:AY133" si="120">I126*(SUMPRODUCT($D$19:$L$19,$D$29:$L$29))+SUMPRODUCT($D$29:$L$29,$AB126:$AJ126)</f>
        <v>37.806818168864424</v>
      </c>
      <c r="AZ126" s="794">
        <f t="shared" si="59"/>
        <v>1.8903409084432211E-2</v>
      </c>
      <c r="BA126" s="794">
        <f t="shared" ref="BA126:BA133" si="121">J126*(SUMPRODUCT($D$19:$L$19,$D$30:$L$30))+SUMPRODUCT($D$30:$L$30,$AB126:$AJ126)</f>
        <v>77.031869504507839</v>
      </c>
      <c r="BB126" s="794">
        <f t="shared" si="60"/>
        <v>3.8515934752253921E-2</v>
      </c>
      <c r="BC126" s="794">
        <f t="shared" ref="BC126:BC133" si="122">K126*(SUMPRODUCT($D$19:$L$19,$D$31:$L$31))+SUMPRODUCT($D$31:$L$31,$AB126:$AJ126)</f>
        <v>78.950710422778116</v>
      </c>
      <c r="BD126" s="794">
        <f t="shared" si="61"/>
        <v>3.9475355211389056E-2</v>
      </c>
      <c r="BE126" s="794">
        <f t="shared" ref="BE126:BE133" si="123">L126*(SUMPRODUCT($D$19:$L$19,$D$32:$L$32))+SUMPRODUCT($D$32:$L$32,$AB126:$AJ126)</f>
        <v>66.585547433784882</v>
      </c>
      <c r="BF126" s="794">
        <f t="shared" si="62"/>
        <v>3.3292773716892439E-2</v>
      </c>
      <c r="BG126" s="794">
        <f t="shared" ref="BG126:BG133" si="124">M126*(SUMPRODUCT($D$19:$L$19,$D$33:$L$33))+SUMPRODUCT($D$33:$L$33,$AB126:$AJ126)</f>
        <v>492.01006382181242</v>
      </c>
      <c r="BH126" s="794">
        <f t="shared" si="63"/>
        <v>0.24600503191090622</v>
      </c>
      <c r="BI126" s="794">
        <f t="shared" ref="BI126:BI133" si="125">N126*(SUMPRODUCT($D$19:$L$19,$D$34:$L$34))+SUMPRODUCT($D$34:$L$34,$AB126:$AJ126)</f>
        <v>260.99581323185481</v>
      </c>
      <c r="BJ126" s="794">
        <f t="shared" si="64"/>
        <v>0.13049790661592742</v>
      </c>
      <c r="BK126" s="794">
        <f t="shared" ref="BK126:BK133" si="126">O126</f>
        <v>39.80096324264872</v>
      </c>
      <c r="BL126" s="794">
        <f t="shared" si="65"/>
        <v>1.9900481621324361E-2</v>
      </c>
      <c r="BM126" s="794">
        <f t="shared" ref="BM126:BM133" si="127">P126</f>
        <v>44.320443774148771</v>
      </c>
      <c r="BN126" s="794">
        <f t="shared" si="66"/>
        <v>2.2160221887074387E-2</v>
      </c>
      <c r="BO126" s="794">
        <f t="shared" ref="BO126:BO133" si="128">Q126*(SUMPRODUCT($D$19:$L$19,$D$35:$L$35))+SUMPRODUCT($D$35:$L$35,$AB126:$AJ126)</f>
        <v>26.880018556995765</v>
      </c>
      <c r="BP126" s="794">
        <f t="shared" si="67"/>
        <v>1.3440009278497882E-2</v>
      </c>
      <c r="BQ126" s="794">
        <f t="shared" ref="BQ126:BQ133" si="129">AK126*$A$6+AM126*$B$6+AO126*$C$6+AQ126*$D$6+AS126*$E$6+AU126*$F$6+AW126*$G$6+AY126*$H$6+BA126*$I$6+BC126*$J$6+BE126*$K$6+BG126*$L$6+BI126*$M$6+BK126*$N$6+BM126*$O$6+BO126*$P$6</f>
        <v>108.16647625557503</v>
      </c>
      <c r="BR126" s="794">
        <f t="shared" si="68"/>
        <v>5.4083238127787515E-2</v>
      </c>
      <c r="BS126" s="794">
        <f t="shared" ref="BS126:BS133" si="130">($D126*$B$10+$R126*$D$10+$S126*$C$10)*$B$19+X126</f>
        <v>31.594625238056455</v>
      </c>
      <c r="BT126" s="794">
        <f t="shared" ref="BT126:BT133" si="131">BS126/2000</f>
        <v>1.5797312619028229E-2</v>
      </c>
      <c r="BU126" s="794">
        <f t="shared" ref="BU126:BU133" si="132">($D126*$B$11+$R126*$D$11+$S126*$C$11)*$B$19+Y126</f>
        <v>43.942060753730793</v>
      </c>
      <c r="BV126" s="794">
        <f t="shared" ref="BV126:BV133" si="133">BU126/2000</f>
        <v>2.1971030376865396E-2</v>
      </c>
      <c r="BW126" s="794">
        <f t="shared" ref="BW126:BW133" si="134">($D126*$B$12+$R126*$D$12+$S126*$C$12)*$B$19+Z126</f>
        <v>56.944327761021881</v>
      </c>
      <c r="BX126" s="794">
        <f t="shared" ref="BX126:BZ133" si="135">BW126/2000</f>
        <v>2.847216388051094E-2</v>
      </c>
      <c r="BY126" s="794">
        <f t="shared" si="70"/>
        <v>44.160337917603044</v>
      </c>
      <c r="BZ126" s="794">
        <f t="shared" si="135"/>
        <v>2.2080168958801522E-2</v>
      </c>
      <c r="CA126" s="794">
        <f t="shared" ref="CA126:CA133" si="136">(D126*$B$14+W126*$C$14)*$C$19+$AA126</f>
        <v>266.28113422746492</v>
      </c>
      <c r="CB126" s="794">
        <f t="shared" si="71"/>
        <v>0.13314056711373246</v>
      </c>
      <c r="CC126" s="794">
        <f t="shared" ref="CC126:CC133" si="137">(D126*$B$15+W126*$C$15)*$C$19+$AA126</f>
        <v>488.57050011045379</v>
      </c>
      <c r="CD126" s="794">
        <f t="shared" ref="CD126:CD131" si="138">CC126/2000</f>
        <v>0.24428525005522689</v>
      </c>
    </row>
    <row r="127" spans="1:82" s="919" customFormat="1">
      <c r="A127" s="794" t="s">
        <v>822</v>
      </c>
      <c r="B127" s="749">
        <f>GREET1_Import_Export!O545</f>
        <v>143.84454809409422</v>
      </c>
      <c r="C127" s="919">
        <f>GREET1_Import_Export!P545</f>
        <v>135.82436076403098</v>
      </c>
      <c r="D127" s="919">
        <f t="shared" ref="D127:D133" si="139">SUM(B93:C93)</f>
        <v>241.14314075757679</v>
      </c>
      <c r="E127" s="919">
        <f>GREET1_Import_Export!Q545</f>
        <v>122.40873418634744</v>
      </c>
      <c r="F127" s="919">
        <f>GREET1_Import_Export!R545</f>
        <v>123.62482590437509</v>
      </c>
      <c r="G127" s="919">
        <f>GREET1_Import_Export!S545</f>
        <v>381.84575419028141</v>
      </c>
      <c r="H127" s="919">
        <f>GREET1_Import_Export!T545</f>
        <v>401.52200755860804</v>
      </c>
      <c r="I127" s="919">
        <f>GREET1_Import_Export!U545</f>
        <v>134.9035505415435</v>
      </c>
      <c r="J127" s="919">
        <f>GREET1_Import_Export!V545</f>
        <v>190.41111109204127</v>
      </c>
      <c r="K127" s="919">
        <f>GREET1_Import_Export!W545</f>
        <v>215.68635180040062</v>
      </c>
      <c r="L127" s="919">
        <f>GREET1_Import_Export!X545</f>
        <v>147.72107609214206</v>
      </c>
      <c r="M127" s="919">
        <f>GREET1_Import_Export!Y545</f>
        <v>746.43264398040901</v>
      </c>
      <c r="N127" s="919">
        <f>GREET1_Import_Export!Z545</f>
        <v>421.22457650369154</v>
      </c>
      <c r="O127" s="919">
        <f>GREET1_Import_Export!AA545</f>
        <v>137.45176061282913</v>
      </c>
      <c r="P127" s="919">
        <f>GREET1_Import_Export!AB545</f>
        <v>122.65184306621624</v>
      </c>
      <c r="Q127" s="919">
        <f>GREET1_Import_Export!AC545</f>
        <v>106.99043178030662</v>
      </c>
      <c r="R127" s="919">
        <f t="shared" ref="R127:R133" si="140">SUM(D93:E93)</f>
        <v>1.3158989396023952</v>
      </c>
      <c r="S127" s="919">
        <f>Glass!P93</f>
        <v>64.089421636255892</v>
      </c>
      <c r="T127" s="749">
        <f xml:space="preserve"> ($B$39*GREET1_Import_Export!$J514)+($B$40*GREET1_Import_Export!$AM545)+SUM($N93:$O93)</f>
        <v>217.92707854733152</v>
      </c>
      <c r="U127" s="794">
        <f t="shared" si="107"/>
        <v>227.73861627899583</v>
      </c>
      <c r="V127" s="817" cm="1">
        <f t="array" ref="V127" xml:space="preserve"> MMULT($T127:$U127,$C$41:$C$42)+SUM($R93:$S93)</f>
        <v>290.96939243723762</v>
      </c>
      <c r="W127" s="919">
        <f t="shared" si="108"/>
        <v>1043.0173080366724</v>
      </c>
      <c r="X127" s="919">
        <f t="shared" si="109"/>
        <v>19.201810288075464</v>
      </c>
      <c r="Y127" s="919">
        <f t="shared" si="110"/>
        <v>23.590795496778426</v>
      </c>
      <c r="Z127" s="919">
        <f t="shared" si="111"/>
        <v>70.217384000281271</v>
      </c>
      <c r="AA127" s="919">
        <f t="shared" si="112"/>
        <v>21.864490948073886</v>
      </c>
      <c r="AB127" s="919">
        <f>GREET1_Import_Export!AD545</f>
        <v>33.764536840388203</v>
      </c>
      <c r="AC127" s="919">
        <f>GREET1_Import_Export!AE545</f>
        <v>11.470051461116174</v>
      </c>
      <c r="AD127" s="919">
        <f>GREET1_Import_Export!AF545</f>
        <v>25.155850619648302</v>
      </c>
      <c r="AE127" s="919">
        <f>GREET1_Import_Export!AG545</f>
        <v>10.812979547603957</v>
      </c>
      <c r="AF127" s="919">
        <f>GREET1_Import_Export!AH545</f>
        <v>10.4174605317034</v>
      </c>
      <c r="AG127" s="919">
        <f>GREET1_Import_Export!AI545</f>
        <v>13.830406878587246</v>
      </c>
      <c r="AH127" s="919">
        <f>GREET1_Import_Export!AJ545</f>
        <v>39.456211505563701</v>
      </c>
      <c r="AI127" s="919">
        <f>GREET1_Import_Export!AK545</f>
        <v>24.260626088222921</v>
      </c>
      <c r="AJ127" s="919">
        <f>GREET1_Import_Export!AL545</f>
        <v>15.782484602225482</v>
      </c>
      <c r="AK127" s="794">
        <f t="shared" si="113"/>
        <v>171.38842140238751</v>
      </c>
      <c r="AL127" s="794">
        <f t="shared" si="52"/>
        <v>8.5694210701193749E-2</v>
      </c>
      <c r="AM127" s="794">
        <f t="shared" si="114"/>
        <v>158.89126369102493</v>
      </c>
      <c r="AN127" s="794">
        <f t="shared" si="53"/>
        <v>7.9445631845512468E-2</v>
      </c>
      <c r="AO127" s="794">
        <f t="shared" si="115"/>
        <v>241.14314075757679</v>
      </c>
      <c r="AP127" s="794">
        <f t="shared" si="54"/>
        <v>0.12057157037878839</v>
      </c>
      <c r="AQ127" s="794">
        <f t="shared" si="116"/>
        <v>122.40873418634744</v>
      </c>
      <c r="AR127" s="794">
        <f t="shared" si="55"/>
        <v>6.1204367093173721E-2</v>
      </c>
      <c r="AS127" s="794">
        <f t="shared" si="117"/>
        <v>123.62482590437509</v>
      </c>
      <c r="AT127" s="794">
        <f t="shared" si="56"/>
        <v>6.1812412952187541E-2</v>
      </c>
      <c r="AU127" s="794">
        <f t="shared" si="118"/>
        <v>414.69577119809725</v>
      </c>
      <c r="AV127" s="794">
        <f t="shared" si="57"/>
        <v>0.20734788559904863</v>
      </c>
      <c r="AW127" s="794">
        <f t="shared" si="119"/>
        <v>434.34683404304911</v>
      </c>
      <c r="AX127" s="794">
        <f t="shared" si="58"/>
        <v>0.21717341702152457</v>
      </c>
      <c r="AY127" s="794">
        <f t="shared" si="120"/>
        <v>168.06971530558064</v>
      </c>
      <c r="AZ127" s="794">
        <f t="shared" si="59"/>
        <v>8.4034857652790326E-2</v>
      </c>
      <c r="BA127" s="794">
        <f t="shared" si="121"/>
        <v>221.84278050927128</v>
      </c>
      <c r="BB127" s="794">
        <f t="shared" si="60"/>
        <v>0.11092139025463564</v>
      </c>
      <c r="BC127" s="794">
        <f t="shared" si="122"/>
        <v>240.46524702965709</v>
      </c>
      <c r="BD127" s="794">
        <f t="shared" si="61"/>
        <v>0.12023262351482855</v>
      </c>
      <c r="BE127" s="794">
        <f t="shared" si="123"/>
        <v>181.61618701991617</v>
      </c>
      <c r="BF127" s="794">
        <f t="shared" si="62"/>
        <v>9.0808093509958082E-2</v>
      </c>
      <c r="BG127" s="794">
        <f t="shared" si="124"/>
        <v>818.89084524458133</v>
      </c>
      <c r="BH127" s="794">
        <f t="shared" si="63"/>
        <v>0.40944542262229067</v>
      </c>
      <c r="BI127" s="794">
        <f t="shared" si="125"/>
        <v>483.25565161045125</v>
      </c>
      <c r="BJ127" s="794">
        <f t="shared" si="64"/>
        <v>0.24162782580522563</v>
      </c>
      <c r="BK127" s="794">
        <f t="shared" si="126"/>
        <v>137.45176061282913</v>
      </c>
      <c r="BL127" s="794">
        <f t="shared" si="65"/>
        <v>6.8725880306414563E-2</v>
      </c>
      <c r="BM127" s="794">
        <f t="shared" si="127"/>
        <v>122.65184306621624</v>
      </c>
      <c r="BN127" s="794">
        <f t="shared" si="66"/>
        <v>6.1325921533108126E-2</v>
      </c>
      <c r="BO127" s="794">
        <f t="shared" si="128"/>
        <v>125.97849999891292</v>
      </c>
      <c r="BP127" s="794">
        <f t="shared" si="67"/>
        <v>6.2989249999456459E-2</v>
      </c>
      <c r="BQ127" s="794">
        <f t="shared" si="129"/>
        <v>241.47250654231502</v>
      </c>
      <c r="BR127" s="794">
        <f t="shared" si="68"/>
        <v>0.12073625327115751</v>
      </c>
      <c r="BS127" s="794">
        <f t="shared" si="130"/>
        <v>124.1913965432249</v>
      </c>
      <c r="BT127" s="794">
        <f t="shared" si="131"/>
        <v>6.2095698271612446E-2</v>
      </c>
      <c r="BU127" s="794">
        <f t="shared" si="132"/>
        <v>177.38923208143245</v>
      </c>
      <c r="BV127" s="794">
        <f t="shared" si="133"/>
        <v>8.8694616040716226E-2</v>
      </c>
      <c r="BW127" s="794">
        <f t="shared" si="134"/>
        <v>244.19994456476587</v>
      </c>
      <c r="BX127" s="794">
        <f t="shared" si="135"/>
        <v>0.12209997228238294</v>
      </c>
      <c r="BY127" s="794">
        <f t="shared" si="70"/>
        <v>181.92685772980772</v>
      </c>
      <c r="BZ127" s="794">
        <f t="shared" si="135"/>
        <v>9.0963428864903856E-2</v>
      </c>
      <c r="CA127" s="794">
        <f t="shared" si="136"/>
        <v>571.00863662116217</v>
      </c>
      <c r="CB127" s="794">
        <f t="shared" si="71"/>
        <v>0.2855043183105811</v>
      </c>
      <c r="CC127" s="794">
        <f t="shared" si="137"/>
        <v>918.38052588646633</v>
      </c>
      <c r="CD127" s="794">
        <f t="shared" si="138"/>
        <v>0.45919026294323317</v>
      </c>
    </row>
    <row r="128" spans="1:82" s="919" customFormat="1">
      <c r="A128" s="794" t="s">
        <v>823</v>
      </c>
      <c r="B128" s="749">
        <f>GREET1_Import_Export!O546</f>
        <v>216.68556337037418</v>
      </c>
      <c r="C128" s="919">
        <f>GREET1_Import_Export!P546</f>
        <v>171.07090081346419</v>
      </c>
      <c r="D128" s="919">
        <f t="shared" si="139"/>
        <v>370.29171520656109</v>
      </c>
      <c r="E128" s="919">
        <f>GREET1_Import_Export!Q546</f>
        <v>170.51615603261664</v>
      </c>
      <c r="F128" s="919">
        <f>GREET1_Import_Export!R546</f>
        <v>172.22355423821122</v>
      </c>
      <c r="G128" s="919">
        <f>GREET1_Import_Export!S546</f>
        <v>388.91503286390707</v>
      </c>
      <c r="H128" s="919">
        <f>GREET1_Import_Export!T546</f>
        <v>426.32578812345128</v>
      </c>
      <c r="I128" s="919">
        <f>GREET1_Import_Export!U546</f>
        <v>172.66215015294054</v>
      </c>
      <c r="J128" s="919">
        <f>GREET1_Import_Export!V546</f>
        <v>283.83568754834812</v>
      </c>
      <c r="K128" s="919">
        <f>GREET1_Import_Export!W546</f>
        <v>347.78985469738024</v>
      </c>
      <c r="L128" s="919">
        <f>GREET1_Import_Export!X546</f>
        <v>252.53873568511889</v>
      </c>
      <c r="M128" s="919">
        <f>GREET1_Import_Export!Y546</f>
        <v>252.79942645129211</v>
      </c>
      <c r="N128" s="919">
        <f>GREET1_Import_Export!Z546</f>
        <v>225.33558249599182</v>
      </c>
      <c r="O128" s="919">
        <f>GREET1_Import_Export!AA546</f>
        <v>221.00910868907675</v>
      </c>
      <c r="P128" s="919">
        <f>GREET1_Import_Export!AB546</f>
        <v>198.97970415323681</v>
      </c>
      <c r="Q128" s="919">
        <f>GREET1_Import_Export!AC546</f>
        <v>157.85810710229711</v>
      </c>
      <c r="R128" s="919">
        <f t="shared" si="140"/>
        <v>3.0097477626002567</v>
      </c>
      <c r="S128" s="919">
        <f>Glass!P94</f>
        <v>132.97946291463799</v>
      </c>
      <c r="T128" s="749">
        <f xml:space="preserve"> ($B$39*GREET1_Import_Export!$J515)+($B$40*GREET1_Import_Export!$AM546)+SUM($N94:$O94)</f>
        <v>300.28614521676042</v>
      </c>
      <c r="U128" s="794">
        <f t="shared" si="107"/>
        <v>334.24796186713542</v>
      </c>
      <c r="V128" s="817" cm="1">
        <f t="array" ref="V128" xml:space="preserve"> MMULT($T128:$U128,$C$41:$C$42)+SUM($R94:$S94)</f>
        <v>518.67026272969053</v>
      </c>
      <c r="W128" s="919">
        <f t="shared" si="108"/>
        <v>2355.4695717816312</v>
      </c>
      <c r="X128" s="919">
        <f t="shared" si="109"/>
        <v>57.351388048898862</v>
      </c>
      <c r="Y128" s="919">
        <f t="shared" si="110"/>
        <v>70.460276745790026</v>
      </c>
      <c r="Z128" s="919">
        <f t="shared" si="111"/>
        <v>209.7231655329667</v>
      </c>
      <c r="AA128" s="919">
        <f t="shared" si="112"/>
        <v>43.520150986349556</v>
      </c>
      <c r="AB128" s="919">
        <f>GREET1_Import_Export!AD546</f>
        <v>100.79106724085221</v>
      </c>
      <c r="AC128" s="919">
        <f>GREET1_Import_Export!AE546</f>
        <v>34.258403891003375</v>
      </c>
      <c r="AD128" s="919">
        <f>GREET1_Import_Export!AF546</f>
        <v>53.178488012915018</v>
      </c>
      <c r="AE128" s="919">
        <f>GREET1_Import_Export!AG546</f>
        <v>32.295881309928099</v>
      </c>
      <c r="AF128" s="919">
        <f>GREET1_Import_Export!AH546</f>
        <v>31.114557037824532</v>
      </c>
      <c r="AG128" s="919">
        <f>GREET1_Import_Export!AI546</f>
        <v>41.308242289040777</v>
      </c>
      <c r="AH128" s="919">
        <f>GREET1_Import_Export!AJ546</f>
        <v>117.84662295097657</v>
      </c>
      <c r="AI128" s="919">
        <f>GREET1_Import_Export!AK546</f>
        <v>72.460906561449292</v>
      </c>
      <c r="AJ128" s="919">
        <f>GREET1_Import_Export!AL546</f>
        <v>47.13864918039063</v>
      </c>
      <c r="AK128" s="794">
        <f t="shared" si="113"/>
        <v>278.33092274415407</v>
      </c>
      <c r="AL128" s="794">
        <f t="shared" si="52"/>
        <v>0.13916546137207703</v>
      </c>
      <c r="AM128" s="794">
        <f t="shared" si="114"/>
        <v>223.18444174242666</v>
      </c>
      <c r="AN128" s="794">
        <f t="shared" si="53"/>
        <v>0.11159222087121333</v>
      </c>
      <c r="AO128" s="794">
        <f t="shared" si="115"/>
        <v>370.29171520656109</v>
      </c>
      <c r="AP128" s="794">
        <f t="shared" si="54"/>
        <v>0.18514585760328053</v>
      </c>
      <c r="AQ128" s="794">
        <f t="shared" si="116"/>
        <v>170.51615603261664</v>
      </c>
      <c r="AR128" s="794">
        <f t="shared" si="55"/>
        <v>8.5258078016308317E-2</v>
      </c>
      <c r="AS128" s="794">
        <f t="shared" si="117"/>
        <v>172.22355423821122</v>
      </c>
      <c r="AT128" s="794">
        <f t="shared" si="56"/>
        <v>8.6111777119105615E-2</v>
      </c>
      <c r="AU128" s="794">
        <f t="shared" si="118"/>
        <v>482.66828101978274</v>
      </c>
      <c r="AV128" s="794">
        <f t="shared" si="57"/>
        <v>0.24133414050989138</v>
      </c>
      <c r="AW128" s="794">
        <f t="shared" si="119"/>
        <v>520.03114115990593</v>
      </c>
      <c r="AX128" s="794">
        <f t="shared" si="58"/>
        <v>0.26001557057995295</v>
      </c>
      <c r="AY128" s="794">
        <f t="shared" si="120"/>
        <v>266.6922560619069</v>
      </c>
      <c r="AZ128" s="794">
        <f t="shared" si="59"/>
        <v>0.13334612803095344</v>
      </c>
      <c r="BA128" s="794">
        <f t="shared" si="121"/>
        <v>360.47287124193133</v>
      </c>
      <c r="BB128" s="794">
        <f t="shared" si="60"/>
        <v>0.18023643562096567</v>
      </c>
      <c r="BC128" s="794">
        <f t="shared" si="122"/>
        <v>404.28043847330457</v>
      </c>
      <c r="BD128" s="794">
        <f t="shared" si="61"/>
        <v>0.20214021923665229</v>
      </c>
      <c r="BE128" s="794">
        <f t="shared" si="123"/>
        <v>328.44549319579579</v>
      </c>
      <c r="BF128" s="794">
        <f t="shared" si="62"/>
        <v>0.1642227465978979</v>
      </c>
      <c r="BG128" s="794">
        <f t="shared" si="124"/>
        <v>320.56547510027747</v>
      </c>
      <c r="BH128" s="794">
        <f t="shared" si="63"/>
        <v>0.16028273755013872</v>
      </c>
      <c r="BI128" s="794">
        <f t="shared" si="125"/>
        <v>301.33237819332601</v>
      </c>
      <c r="BJ128" s="794">
        <f t="shared" si="64"/>
        <v>0.15066618909666302</v>
      </c>
      <c r="BK128" s="794">
        <f t="shared" si="126"/>
        <v>221.00910868907675</v>
      </c>
      <c r="BL128" s="794">
        <f t="shared" si="65"/>
        <v>0.11050455434453837</v>
      </c>
      <c r="BM128" s="794">
        <f t="shared" si="127"/>
        <v>198.97970415323681</v>
      </c>
      <c r="BN128" s="794">
        <f t="shared" si="66"/>
        <v>9.948985207661841E-2</v>
      </c>
      <c r="BO128" s="794">
        <f t="shared" si="128"/>
        <v>208.04082455905069</v>
      </c>
      <c r="BP128" s="794">
        <f t="shared" si="67"/>
        <v>0.10402041227952534</v>
      </c>
      <c r="BQ128" s="794">
        <f t="shared" si="129"/>
        <v>279.2967092859821</v>
      </c>
      <c r="BR128" s="794">
        <f t="shared" si="68"/>
        <v>0.13964835464299105</v>
      </c>
      <c r="BS128" s="794">
        <f t="shared" si="130"/>
        <v>230.84257594609463</v>
      </c>
      <c r="BT128" s="794">
        <f t="shared" si="131"/>
        <v>0.11542128797304731</v>
      </c>
      <c r="BU128" s="794">
        <f t="shared" si="132"/>
        <v>330.27125151359428</v>
      </c>
      <c r="BV128" s="794">
        <f t="shared" si="133"/>
        <v>0.16513562575679713</v>
      </c>
      <c r="BW128" s="794">
        <f t="shared" si="134"/>
        <v>496.58773706205022</v>
      </c>
      <c r="BX128" s="794">
        <f t="shared" si="135"/>
        <v>0.24829386853102511</v>
      </c>
      <c r="BY128" s="794">
        <f t="shared" si="70"/>
        <v>352.56718817391305</v>
      </c>
      <c r="BZ128" s="794">
        <f t="shared" si="135"/>
        <v>0.17628359408695651</v>
      </c>
      <c r="CA128" s="794">
        <f t="shared" si="136"/>
        <v>1144.5835332705033</v>
      </c>
      <c r="CB128" s="794">
        <f t="shared" si="71"/>
        <v>0.57229176663525161</v>
      </c>
      <c r="CC128" s="794">
        <f t="shared" si="137"/>
        <v>2004.5625807388233</v>
      </c>
      <c r="CD128" s="794">
        <f t="shared" si="138"/>
        <v>1.0022812903694116</v>
      </c>
    </row>
    <row r="129" spans="1:82" s="919" customFormat="1">
      <c r="A129" s="794" t="s">
        <v>824</v>
      </c>
      <c r="B129" s="749">
        <f>GREET1_Import_Export!O547</f>
        <v>10.885414883203552</v>
      </c>
      <c r="C129" s="919">
        <f>GREET1_Import_Export!P547</f>
        <v>2.8772333674172286</v>
      </c>
      <c r="D129" s="919">
        <f t="shared" si="139"/>
        <v>21.98134361921058</v>
      </c>
      <c r="E129" s="919">
        <f>GREET1_Import_Export!Q547</f>
        <v>6.3588347861924666</v>
      </c>
      <c r="F129" s="919">
        <f>GREET1_Import_Export!R547</f>
        <v>6.4365186564479959</v>
      </c>
      <c r="G129" s="919">
        <f>GREET1_Import_Export!S547</f>
        <v>50.088318296896603</v>
      </c>
      <c r="H129" s="919">
        <f>GREET1_Import_Export!T547</f>
        <v>53.632964558696393</v>
      </c>
      <c r="I129" s="919">
        <f>GREET1_Import_Export!U547</f>
        <v>3.5222059766445937</v>
      </c>
      <c r="J129" s="919">
        <f>GREET1_Import_Export!V547</f>
        <v>17.168341373841638</v>
      </c>
      <c r="K129" s="919">
        <f>GREET1_Import_Export!W547</f>
        <v>23.994924659896046</v>
      </c>
      <c r="L129" s="919">
        <f>GREET1_Import_Export!X547</f>
        <v>19.592990658044233</v>
      </c>
      <c r="M129" s="919">
        <f>GREET1_Import_Export!Y547</f>
        <v>28.445030595816682</v>
      </c>
      <c r="N129" s="919">
        <f>GREET1_Import_Export!Z547</f>
        <v>45.93291631244626</v>
      </c>
      <c r="O129" s="919">
        <f>GREET1_Import_Export!AA547</f>
        <v>14.265460949237006</v>
      </c>
      <c r="P129" s="919">
        <f>GREET1_Import_Export!AB547</f>
        <v>13.539064134339617</v>
      </c>
      <c r="Q129" s="919">
        <f>GREET1_Import_Export!AC547</f>
        <v>7.376666308570619</v>
      </c>
      <c r="R129" s="919">
        <f t="shared" si="140"/>
        <v>0.46509933286418553</v>
      </c>
      <c r="S129" s="919">
        <f>Glass!P95</f>
        <v>12.640407135077488</v>
      </c>
      <c r="T129" s="749">
        <f xml:space="preserve"> ($B$39*GREET1_Import_Export!$J516)+($B$40*GREET1_Import_Export!$AM547)+SUM($N95:$O95)</f>
        <v>48.541546783817815</v>
      </c>
      <c r="U129" s="794">
        <f t="shared" si="107"/>
        <v>23.154773562840717</v>
      </c>
      <c r="V129" s="817" cm="1">
        <f t="array" ref="V129" xml:space="preserve"> MMULT($T129:$U129,$C$41:$C$42)+SUM($R95:$S95)</f>
        <v>76.262078291721039</v>
      </c>
      <c r="W129" s="919">
        <f t="shared" si="108"/>
        <v>326.43667202900741</v>
      </c>
      <c r="X129" s="919">
        <f t="shared" si="109"/>
        <v>7.6570570353160576</v>
      </c>
      <c r="Y129" s="919">
        <f t="shared" si="110"/>
        <v>9.4072415005311569</v>
      </c>
      <c r="Z129" s="919">
        <f t="shared" si="111"/>
        <v>28.000407570672376</v>
      </c>
      <c r="AA129" s="919">
        <f t="shared" si="112"/>
        <v>4.8595848777869763</v>
      </c>
      <c r="AB129" s="919">
        <f>GREET1_Import_Export!AD547</f>
        <v>13.458617174544822</v>
      </c>
      <c r="AC129" s="919">
        <f>GREET1_Import_Export!AE547</f>
        <v>4.5738832390359709</v>
      </c>
      <c r="AD129" s="919">
        <f>GREET1_Import_Export!AF547</f>
        <v>5.2330979261734818</v>
      </c>
      <c r="AE129" s="919">
        <f>GREET1_Import_Export!AG547</f>
        <v>4.3118643438075477</v>
      </c>
      <c r="AF129" s="919">
        <f>GREET1_Import_Export!AH547</f>
        <v>4.1541442321166526</v>
      </c>
      <c r="AG129" s="919">
        <f>GREET1_Import_Export!AI547</f>
        <v>5.5151161636429284</v>
      </c>
      <c r="AH129" s="919">
        <f>GREET1_Import_Export!AJ547</f>
        <v>15.733853077551434</v>
      </c>
      <c r="AI129" s="919">
        <f>GREET1_Import_Export!AK547</f>
        <v>9.6743481412979957</v>
      </c>
      <c r="AJ129" s="919">
        <f>GREET1_Import_Export!AL547</f>
        <v>6.2935412310205745</v>
      </c>
      <c r="AK129" s="794">
        <f t="shared" si="113"/>
        <v>17.366810065127666</v>
      </c>
      <c r="AL129" s="794">
        <f t="shared" si="52"/>
        <v>8.6834050325638335E-3</v>
      </c>
      <c r="AM129" s="794">
        <f t="shared" si="114"/>
        <v>8.4074502356652232</v>
      </c>
      <c r="AN129" s="794">
        <f t="shared" si="53"/>
        <v>4.2037251178326119E-3</v>
      </c>
      <c r="AO129" s="794">
        <f t="shared" si="115"/>
        <v>21.98134361921058</v>
      </c>
      <c r="AP129" s="794">
        <f t="shared" si="54"/>
        <v>1.099067180960529E-2</v>
      </c>
      <c r="AQ129" s="794">
        <f t="shared" si="116"/>
        <v>6.3588347861924666</v>
      </c>
      <c r="AR129" s="794">
        <f t="shared" si="55"/>
        <v>3.1794173930962334E-3</v>
      </c>
      <c r="AS129" s="794">
        <f t="shared" si="117"/>
        <v>6.4365186564479959</v>
      </c>
      <c r="AT129" s="794">
        <f t="shared" si="56"/>
        <v>3.2182593282239981E-3</v>
      </c>
      <c r="AU129" s="794">
        <f t="shared" si="118"/>
        <v>62.15507872286797</v>
      </c>
      <c r="AV129" s="794">
        <f t="shared" si="57"/>
        <v>3.1077539361433985E-2</v>
      </c>
      <c r="AW129" s="794">
        <f t="shared" si="119"/>
        <v>65.695186951291092</v>
      </c>
      <c r="AX129" s="794">
        <f t="shared" si="58"/>
        <v>3.2847593475645545E-2</v>
      </c>
      <c r="AY129" s="794">
        <f t="shared" si="120"/>
        <v>15.648582667913965</v>
      </c>
      <c r="AZ129" s="794">
        <f t="shared" si="59"/>
        <v>7.8242913339569824E-3</v>
      </c>
      <c r="BA129" s="794">
        <f t="shared" si="121"/>
        <v>26.02566586229694</v>
      </c>
      <c r="BB129" s="794">
        <f t="shared" si="60"/>
        <v>1.3012832931148469E-2</v>
      </c>
      <c r="BC129" s="794">
        <f t="shared" si="122"/>
        <v>30.140685442105578</v>
      </c>
      <c r="BD129" s="794">
        <f t="shared" si="61"/>
        <v>1.5070342721052789E-2</v>
      </c>
      <c r="BE129" s="794">
        <f t="shared" si="123"/>
        <v>27.782091168957585</v>
      </c>
      <c r="BF129" s="794">
        <f t="shared" si="62"/>
        <v>1.3891045584478793E-2</v>
      </c>
      <c r="BG129" s="794">
        <f t="shared" si="124"/>
        <v>36.189546555412342</v>
      </c>
      <c r="BH129" s="794">
        <f t="shared" si="63"/>
        <v>1.8094773277706172E-2</v>
      </c>
      <c r="BI129" s="794">
        <f t="shared" si="125"/>
        <v>57.418470671363536</v>
      </c>
      <c r="BJ129" s="794">
        <f t="shared" si="64"/>
        <v>2.8709235335681767E-2</v>
      </c>
      <c r="BK129" s="794">
        <f t="shared" si="126"/>
        <v>14.265460949237006</v>
      </c>
      <c r="BL129" s="794">
        <f t="shared" si="65"/>
        <v>7.1327304746185028E-3</v>
      </c>
      <c r="BM129" s="794">
        <f t="shared" si="127"/>
        <v>13.539064134339617</v>
      </c>
      <c r="BN129" s="794">
        <f t="shared" si="66"/>
        <v>6.7695320671698079E-3</v>
      </c>
      <c r="BO129" s="794">
        <f t="shared" si="128"/>
        <v>13.523274390341395</v>
      </c>
      <c r="BP129" s="794">
        <f t="shared" si="67"/>
        <v>6.7616371951706973E-3</v>
      </c>
      <c r="BQ129" s="794">
        <f t="shared" si="129"/>
        <v>25.920960170387374</v>
      </c>
      <c r="BR129" s="794">
        <f t="shared" si="68"/>
        <v>1.2960480085193687E-2</v>
      </c>
      <c r="BS129" s="794">
        <f t="shared" si="130"/>
        <v>19.709781089068642</v>
      </c>
      <c r="BT129" s="794">
        <f t="shared" si="131"/>
        <v>9.8548905445343202E-3</v>
      </c>
      <c r="BU129" s="794">
        <f t="shared" si="132"/>
        <v>28.076772671284182</v>
      </c>
      <c r="BV129" s="794">
        <f t="shared" si="133"/>
        <v>1.403838633564209E-2</v>
      </c>
      <c r="BW129" s="794">
        <f t="shared" si="134"/>
        <v>47.734805500616574</v>
      </c>
      <c r="BX129" s="794">
        <f t="shared" si="135"/>
        <v>2.3867402750308287E-2</v>
      </c>
      <c r="BY129" s="794">
        <f t="shared" si="70"/>
        <v>31.8404530869898</v>
      </c>
      <c r="BZ129" s="794">
        <f t="shared" si="135"/>
        <v>1.5920226543494901E-2</v>
      </c>
      <c r="CA129" s="794">
        <f t="shared" si="136"/>
        <v>134.04203891983755</v>
      </c>
      <c r="CB129" s="794">
        <f t="shared" si="71"/>
        <v>6.7021019459918771E-2</v>
      </c>
      <c r="CC129" s="794">
        <f t="shared" si="137"/>
        <v>265.9320871869615</v>
      </c>
      <c r="CD129" s="794">
        <f t="shared" si="138"/>
        <v>0.13296604359348074</v>
      </c>
    </row>
    <row r="130" spans="1:82" s="919" customFormat="1">
      <c r="A130" s="794" t="s">
        <v>825</v>
      </c>
      <c r="B130" s="749">
        <f>GREET1_Import_Export!O548</f>
        <v>9.604438211545034</v>
      </c>
      <c r="C130" s="919">
        <f>GREET1_Import_Export!P548</f>
        <v>2.5619066822458718</v>
      </c>
      <c r="D130" s="919">
        <f t="shared" si="139"/>
        <v>19.382043553957153</v>
      </c>
      <c r="E130" s="919">
        <f>GREET1_Import_Export!Q548</f>
        <v>5.6223707960491476</v>
      </c>
      <c r="F130" s="919">
        <f>GREET1_Import_Export!R548</f>
        <v>5.6909225246295936</v>
      </c>
      <c r="G130" s="919">
        <f>GREET1_Import_Export!S548</f>
        <v>40.213368849113621</v>
      </c>
      <c r="H130" s="919">
        <f>GREET1_Import_Export!T548</f>
        <v>43.485094689257139</v>
      </c>
      <c r="I130" s="919">
        <f>GREET1_Import_Export!U548</f>
        <v>3.1273861479988292</v>
      </c>
      <c r="J130" s="919">
        <f>GREET1_Import_Export!V548</f>
        <v>15.145401467452768</v>
      </c>
      <c r="K130" s="919">
        <f>GREET1_Import_Export!W548</f>
        <v>21.149343463760783</v>
      </c>
      <c r="L130" s="919">
        <f>GREET1_Import_Export!X548</f>
        <v>17.264390093925421</v>
      </c>
      <c r="M130" s="919">
        <f>GREET1_Import_Export!Y548</f>
        <v>24.758371599208118</v>
      </c>
      <c r="N130" s="919">
        <f>GREET1_Import_Export!Z548</f>
        <v>36.604684688135706</v>
      </c>
      <c r="O130" s="919">
        <f>GREET1_Import_Export!AA548</f>
        <v>12.568150841624499</v>
      </c>
      <c r="P130" s="919">
        <f>GREET1_Import_Export!AB548</f>
        <v>11.924749509378106</v>
      </c>
      <c r="Q130" s="919">
        <f>GREET1_Import_Export!AC548</f>
        <v>6.5061053827816657</v>
      </c>
      <c r="R130" s="919">
        <f t="shared" si="140"/>
        <v>0.40944727833311106</v>
      </c>
      <c r="S130" s="919">
        <f>Glass!P96</f>
        <v>11.122555219996952</v>
      </c>
      <c r="T130" s="749">
        <f xml:space="preserve"> ($B$39*GREET1_Import_Export!$J517)+($B$40*GREET1_Import_Export!$AM548)+SUM($N96:$O96)</f>
        <v>42.862353902342946</v>
      </c>
      <c r="U130" s="794">
        <f t="shared" si="107"/>
        <v>20.426102409767147</v>
      </c>
      <c r="V130" s="817" cm="1">
        <f t="array" ref="V130" xml:space="preserve"> MMULT($T130:$U130,$C$41:$C$42)+SUM($R96:$S96)</f>
        <v>67.232430946493025</v>
      </c>
      <c r="W130" s="919">
        <f t="shared" si="108"/>
        <v>287.4090693258164</v>
      </c>
      <c r="X130" s="919">
        <f t="shared" si="109"/>
        <v>6.7330803022625796</v>
      </c>
      <c r="Y130" s="919">
        <f t="shared" si="110"/>
        <v>8.2720700856368836</v>
      </c>
      <c r="Z130" s="919">
        <f t="shared" si="111"/>
        <v>24.621599630233959</v>
      </c>
      <c r="AA130" s="919">
        <f t="shared" si="112"/>
        <v>4.2781737504620354</v>
      </c>
      <c r="AB130" s="919">
        <f>GREET1_Import_Export!AD548</f>
        <v>11.834436566335011</v>
      </c>
      <c r="AC130" s="919">
        <f>GREET1_Import_Export!AE548</f>
        <v>4.0219529513183119</v>
      </c>
      <c r="AD130" s="919">
        <f>GREET1_Import_Export!AF548</f>
        <v>4.604367641493913</v>
      </c>
      <c r="AE130" s="919">
        <f>GREET1_Import_Export!AG548</f>
        <v>3.7915518645631474</v>
      </c>
      <c r="AF130" s="919">
        <f>GREET1_Import_Export!AH548</f>
        <v>3.6528638317590674</v>
      </c>
      <c r="AG130" s="919">
        <f>GREET1_Import_Export!AI548</f>
        <v>4.849607340632982</v>
      </c>
      <c r="AH130" s="919">
        <f>GREET1_Import_Export!AJ548</f>
        <v>13.835249724084404</v>
      </c>
      <c r="AI130" s="919">
        <f>GREET1_Import_Export!AK548</f>
        <v>8.5069449799018582</v>
      </c>
      <c r="AJ130" s="919">
        <f>GREET1_Import_Export!AL548</f>
        <v>5.5340998896337625</v>
      </c>
      <c r="AK130" s="794">
        <f t="shared" si="113"/>
        <v>15.306732171529998</v>
      </c>
      <c r="AL130" s="794">
        <f t="shared" si="52"/>
        <v>7.6533660857649984E-3</v>
      </c>
      <c r="AM130" s="794">
        <f t="shared" si="114"/>
        <v>7.4269971931032499</v>
      </c>
      <c r="AN130" s="794">
        <f t="shared" si="53"/>
        <v>3.7134985965516249E-3</v>
      </c>
      <c r="AO130" s="794">
        <f t="shared" si="115"/>
        <v>19.382043553957153</v>
      </c>
      <c r="AP130" s="794">
        <f t="shared" si="54"/>
        <v>9.6910217769785763E-3</v>
      </c>
      <c r="AQ130" s="794">
        <f t="shared" si="116"/>
        <v>5.6223707960491476</v>
      </c>
      <c r="AR130" s="794">
        <f t="shared" si="55"/>
        <v>2.8111853980245737E-3</v>
      </c>
      <c r="AS130" s="794">
        <f t="shared" si="117"/>
        <v>5.6909225246295936</v>
      </c>
      <c r="AT130" s="794">
        <f t="shared" si="56"/>
        <v>2.8454612623147967E-3</v>
      </c>
      <c r="AU130" s="794">
        <f t="shared" si="118"/>
        <v>50.829604450695037</v>
      </c>
      <c r="AV130" s="794">
        <f t="shared" si="57"/>
        <v>2.5414802225347519E-2</v>
      </c>
      <c r="AW130" s="794">
        <f t="shared" si="119"/>
        <v>54.097141663831714</v>
      </c>
      <c r="AX130" s="794">
        <f t="shared" si="58"/>
        <v>2.7048570831915857E-2</v>
      </c>
      <c r="AY130" s="794">
        <f t="shared" si="120"/>
        <v>13.791101078933348</v>
      </c>
      <c r="AZ130" s="794">
        <f t="shared" si="59"/>
        <v>6.8955505394666739E-3</v>
      </c>
      <c r="BA130" s="794">
        <f t="shared" si="121"/>
        <v>22.936354649834282</v>
      </c>
      <c r="BB130" s="794">
        <f t="shared" si="60"/>
        <v>1.1468177324917141E-2</v>
      </c>
      <c r="BC130" s="794">
        <f t="shared" si="122"/>
        <v>26.556118736782686</v>
      </c>
      <c r="BD130" s="794">
        <f t="shared" si="61"/>
        <v>1.3278059368391344E-2</v>
      </c>
      <c r="BE130" s="794">
        <f t="shared" si="123"/>
        <v>24.469793930233788</v>
      </c>
      <c r="BF130" s="794">
        <f t="shared" si="62"/>
        <v>1.2234896965116895E-2</v>
      </c>
      <c r="BG130" s="794">
        <f t="shared" si="124"/>
        <v>31.552025946656801</v>
      </c>
      <c r="BH130" s="794">
        <f t="shared" si="63"/>
        <v>1.5776012973328399E-2</v>
      </c>
      <c r="BI130" s="794">
        <f t="shared" si="125"/>
        <v>46.316502676409911</v>
      </c>
      <c r="BJ130" s="794">
        <f t="shared" si="64"/>
        <v>2.3158251338204955E-2</v>
      </c>
      <c r="BK130" s="794">
        <f t="shared" si="126"/>
        <v>12.568150841624499</v>
      </c>
      <c r="BL130" s="794">
        <f t="shared" si="65"/>
        <v>6.2840754208122497E-3</v>
      </c>
      <c r="BM130" s="794">
        <f t="shared" si="127"/>
        <v>11.924749509378106</v>
      </c>
      <c r="BN130" s="794">
        <f t="shared" si="66"/>
        <v>5.9623747546890529E-3</v>
      </c>
      <c r="BO130" s="794">
        <f t="shared" si="128"/>
        <v>11.911794663446571</v>
      </c>
      <c r="BP130" s="794">
        <f t="shared" si="67"/>
        <v>5.9558973317232859E-3</v>
      </c>
      <c r="BQ130" s="794">
        <f t="shared" si="129"/>
        <v>21.953505455099403</v>
      </c>
      <c r="BR130" s="794">
        <f t="shared" si="68"/>
        <v>1.0976752727549702E-2</v>
      </c>
      <c r="BS130" s="794">
        <f t="shared" si="130"/>
        <v>17.352361041874783</v>
      </c>
      <c r="BT130" s="794">
        <f t="shared" si="131"/>
        <v>8.6761805209373908E-3</v>
      </c>
      <c r="BU130" s="794">
        <f t="shared" si="132"/>
        <v>24.718109716719258</v>
      </c>
      <c r="BV130" s="794">
        <f t="shared" si="133"/>
        <v>1.2359054858359629E-2</v>
      </c>
      <c r="BW130" s="794">
        <f t="shared" si="134"/>
        <v>42.009220931387802</v>
      </c>
      <c r="BX130" s="794">
        <f t="shared" si="135"/>
        <v>2.10046104656939E-2</v>
      </c>
      <c r="BY130" s="794">
        <f t="shared" si="70"/>
        <v>28.026563896660615</v>
      </c>
      <c r="BZ130" s="794">
        <f t="shared" si="135"/>
        <v>1.4013281948330307E-2</v>
      </c>
      <c r="CA130" s="794">
        <f t="shared" si="136"/>
        <v>118.03894621594905</v>
      </c>
      <c r="CB130" s="794">
        <f t="shared" si="71"/>
        <v>5.9019473107974528E-2</v>
      </c>
      <c r="CC130" s="794">
        <f t="shared" si="137"/>
        <v>234.14825378031844</v>
      </c>
      <c r="CD130" s="794">
        <f t="shared" si="138"/>
        <v>0.11707412689015922</v>
      </c>
    </row>
    <row r="131" spans="1:82" s="1247" customFormat="1">
      <c r="A131" s="794" t="s">
        <v>826</v>
      </c>
      <c r="B131" s="749">
        <f>GREET1_Import_Export!O549</f>
        <v>77.998682913621693</v>
      </c>
      <c r="C131" s="919">
        <f>GREET1_Import_Export!P549</f>
        <v>21.507972442286228</v>
      </c>
      <c r="D131" s="919">
        <f t="shared" si="139"/>
        <v>145.51580023447482</v>
      </c>
      <c r="E131" s="919">
        <f>GREET1_Import_Export!Q549</f>
        <v>43.19032776650279</v>
      </c>
      <c r="F131" s="919">
        <f>GREET1_Import_Export!R549</f>
        <v>43.70247163762248</v>
      </c>
      <c r="G131" s="919">
        <f>GREET1_Import_Export!S549</f>
        <v>1124.019266726719</v>
      </c>
      <c r="H131" s="919">
        <f>GREET1_Import_Export!T549</f>
        <v>1169.8933889782747</v>
      </c>
      <c r="I131" s="919">
        <f>GREET1_Import_Export!U549</f>
        <v>26.421015921362329</v>
      </c>
      <c r="J131" s="919">
        <f>GREET1_Import_Export!V549</f>
        <v>99.0957574120483</v>
      </c>
      <c r="K131" s="919">
        <f>GREET1_Import_Export!W549</f>
        <v>155.09698683257568</v>
      </c>
      <c r="L131" s="919">
        <f>GREET1_Import_Export!X549</f>
        <v>127.55876375360594</v>
      </c>
      <c r="M131" s="919">
        <f>GREET1_Import_Export!Y549</f>
        <v>417.97536024186263</v>
      </c>
      <c r="N131" s="919">
        <f>GREET1_Import_Export!Z549</f>
        <v>976.72013009960153</v>
      </c>
      <c r="O131" s="919">
        <f>GREET1_Import_Export!AA549</f>
        <v>98.55777105401225</v>
      </c>
      <c r="P131" s="919">
        <f>GREET1_Import_Export!AB549</f>
        <v>89.951533302245053</v>
      </c>
      <c r="Q131" s="919">
        <f>GREET1_Import_Export!AC549</f>
        <v>55.013395321796999</v>
      </c>
      <c r="R131" s="919">
        <f t="shared" si="140"/>
        <v>2.3173531067392132</v>
      </c>
      <c r="S131" s="919">
        <f>Glass!P97</f>
        <v>93.359537548302882</v>
      </c>
      <c r="T131" s="749">
        <f xml:space="preserve"> ($B$39*GREET1_Import_Export!$J518)+($B$40*GREET1_Import_Export!$AM549)+SUM($N97:$O97)</f>
        <v>118.29133189078068</v>
      </c>
      <c r="U131" s="794">
        <f t="shared" si="107"/>
        <v>107.79107907608324</v>
      </c>
      <c r="V131" s="817" cm="1">
        <f t="array" ref="V131" xml:space="preserve"> MMULT($T131:$U131,$C$41:$C$42)+SUM($R97:$S97)</f>
        <v>333.15186700911266</v>
      </c>
      <c r="W131" s="919">
        <f t="shared" si="108"/>
        <v>1942.0374146522277</v>
      </c>
      <c r="X131" s="919">
        <f t="shared" si="109"/>
        <v>56.983762942409165</v>
      </c>
      <c r="Y131" s="919">
        <f t="shared" si="110"/>
        <v>70.008623043531259</v>
      </c>
      <c r="Z131" s="919">
        <f t="shared" si="111"/>
        <v>208.37883013524842</v>
      </c>
      <c r="AA131" s="919">
        <f t="shared" si="112"/>
        <v>28.99787598485327</v>
      </c>
      <c r="AB131" s="919">
        <f>GREET1_Import_Export!AD549</f>
        <v>100.12263885387492</v>
      </c>
      <c r="AC131" s="919">
        <f>GREET1_Import_Export!AE549</f>
        <v>34.038805903804551</v>
      </c>
      <c r="AD131" s="919">
        <f>GREET1_Import_Export!AF549</f>
        <v>39.107139990076561</v>
      </c>
      <c r="AE131" s="919">
        <f>GREET1_Import_Export!AG549</f>
        <v>32.08886318517726</v>
      </c>
      <c r="AF131" s="919">
        <f>GREET1_Import_Export!AH549</f>
        <v>30.915111257459859</v>
      </c>
      <c r="AG131" s="919">
        <f>GREET1_Import_Export!AI549</f>
        <v>41.043454504698701</v>
      </c>
      <c r="AH131" s="919">
        <f>GREET1_Import_Export!AJ549</f>
        <v>117.09122053116302</v>
      </c>
      <c r="AI131" s="919">
        <f>GREET1_Import_Export!AK549</f>
        <v>71.996428727568798</v>
      </c>
      <c r="AJ131" s="919">
        <f>GREET1_Import_Export!AL549</f>
        <v>46.836488212465213</v>
      </c>
      <c r="AK131" s="794">
        <f t="shared" si="113"/>
        <v>126.05418144193051</v>
      </c>
      <c r="AL131" s="794">
        <f t="shared" si="52"/>
        <v>6.3027090720965254E-2</v>
      </c>
      <c r="AM131" s="794">
        <f t="shared" si="114"/>
        <v>62.719617417146601</v>
      </c>
      <c r="AN131" s="794">
        <f t="shared" si="53"/>
        <v>3.13598087085733E-2</v>
      </c>
      <c r="AO131" s="794">
        <f t="shared" si="115"/>
        <v>145.51580023447482</v>
      </c>
      <c r="AP131" s="794">
        <f t="shared" si="54"/>
        <v>7.2757900117237415E-2</v>
      </c>
      <c r="AQ131" s="794">
        <f t="shared" si="116"/>
        <v>43.19032776650279</v>
      </c>
      <c r="AR131" s="794">
        <f t="shared" si="55"/>
        <v>2.1595163883251396E-2</v>
      </c>
      <c r="AS131" s="794">
        <f t="shared" si="117"/>
        <v>43.70247163762248</v>
      </c>
      <c r="AT131" s="794">
        <f t="shared" si="56"/>
        <v>2.1851235818811241E-2</v>
      </c>
      <c r="AU131" s="794">
        <f t="shared" si="118"/>
        <v>1212.8976040059381</v>
      </c>
      <c r="AV131" s="794">
        <f t="shared" si="57"/>
        <v>0.60644880200296902</v>
      </c>
      <c r="AW131" s="794">
        <f t="shared" si="119"/>
        <v>1258.7129959124811</v>
      </c>
      <c r="AX131" s="794">
        <f t="shared" si="58"/>
        <v>0.6293564979562406</v>
      </c>
      <c r="AY131" s="794">
        <f t="shared" si="120"/>
        <v>116.70455336117489</v>
      </c>
      <c r="AZ131" s="794">
        <f t="shared" si="59"/>
        <v>5.8352276680587442E-2</v>
      </c>
      <c r="BA131" s="794">
        <f t="shared" si="121"/>
        <v>164.34243672109628</v>
      </c>
      <c r="BB131" s="794">
        <f t="shared" si="60"/>
        <v>8.2171218360548137E-2</v>
      </c>
      <c r="BC131" s="794">
        <f t="shared" si="122"/>
        <v>200.09852904744588</v>
      </c>
      <c r="BD131" s="794">
        <f t="shared" si="61"/>
        <v>0.10004926452372294</v>
      </c>
      <c r="BE131" s="794">
        <f t="shared" si="123"/>
        <v>186.55456527402998</v>
      </c>
      <c r="BF131" s="794">
        <f t="shared" si="62"/>
        <v>9.3277282637014985E-2</v>
      </c>
      <c r="BG131" s="794">
        <f t="shared" si="124"/>
        <v>490.05915818397921</v>
      </c>
      <c r="BH131" s="794">
        <f t="shared" si="63"/>
        <v>0.24502957909198961</v>
      </c>
      <c r="BI131" s="794">
        <f t="shared" si="125"/>
        <v>1127.3215476123755</v>
      </c>
      <c r="BJ131" s="794">
        <f t="shared" si="64"/>
        <v>0.56366077380618773</v>
      </c>
      <c r="BK131" s="794">
        <f t="shared" si="126"/>
        <v>98.55777105401225</v>
      </c>
      <c r="BL131" s="794">
        <f t="shared" si="65"/>
        <v>4.9278885527006128E-2</v>
      </c>
      <c r="BM131" s="794">
        <f t="shared" si="127"/>
        <v>89.951533302245053</v>
      </c>
      <c r="BN131" s="794">
        <f t="shared" si="66"/>
        <v>4.4975766651122524E-2</v>
      </c>
      <c r="BO131" s="794">
        <f t="shared" si="128"/>
        <v>100.76330495583247</v>
      </c>
      <c r="BP131" s="794">
        <f t="shared" si="67"/>
        <v>5.0381652477916233E-2</v>
      </c>
      <c r="BQ131" s="794">
        <f t="shared" si="129"/>
        <v>337.53210443740284</v>
      </c>
      <c r="BR131" s="794">
        <f t="shared" si="68"/>
        <v>0.16876605221870142</v>
      </c>
      <c r="BS131" s="794">
        <f t="shared" si="130"/>
        <v>139.7358414807922</v>
      </c>
      <c r="BT131" s="794">
        <f t="shared" si="131"/>
        <v>6.9867920740396106E-2</v>
      </c>
      <c r="BU131" s="794">
        <f t="shared" si="132"/>
        <v>200.22175163349092</v>
      </c>
      <c r="BV131" s="794">
        <f t="shared" si="133"/>
        <v>0.10011087581674546</v>
      </c>
      <c r="BW131" s="794">
        <f t="shared" si="134"/>
        <v>344.5377726714317</v>
      </c>
      <c r="BX131" s="794">
        <f t="shared" si="135"/>
        <v>0.17226888633571585</v>
      </c>
      <c r="BY131" s="794">
        <f t="shared" si="70"/>
        <v>228.16512192857158</v>
      </c>
      <c r="BZ131" s="794">
        <f t="shared" si="135"/>
        <v>0.11408256096428579</v>
      </c>
      <c r="CA131" s="794">
        <f t="shared" si="136"/>
        <v>809.2962803830261</v>
      </c>
      <c r="CB131" s="794">
        <f t="shared" si="71"/>
        <v>0.40464814019151307</v>
      </c>
      <c r="CC131" s="794">
        <f t="shared" si="137"/>
        <v>1587.5494437487962</v>
      </c>
      <c r="CD131" s="794">
        <f t="shared" si="138"/>
        <v>0.79377472187439813</v>
      </c>
    </row>
    <row r="132" spans="1:82" s="1247" customFormat="1">
      <c r="A132" s="794" t="s">
        <v>827</v>
      </c>
      <c r="B132" s="749">
        <f>GREET1_Import_Export!O550</f>
        <v>0.63353313573624537</v>
      </c>
      <c r="C132" s="919">
        <f>GREET1_Import_Export!P550</f>
        <v>0.23398401085561887</v>
      </c>
      <c r="D132" s="919">
        <f t="shared" si="139"/>
        <v>1.3116429563131717</v>
      </c>
      <c r="E132" s="919">
        <f>GREET1_Import_Export!Q550</f>
        <v>0.43757387475230891</v>
      </c>
      <c r="F132" s="919">
        <f>GREET1_Import_Export!R550</f>
        <v>0.44215258618842312</v>
      </c>
      <c r="G132" s="919">
        <f>GREET1_Import_Export!S550</f>
        <v>3.5296748279848802</v>
      </c>
      <c r="H132" s="919">
        <f>GREET1_Import_Export!T550</f>
        <v>3.7780669091839263</v>
      </c>
      <c r="I132" s="919">
        <f>GREET1_Import_Export!U550</f>
        <v>0.25458555385189074</v>
      </c>
      <c r="J132" s="919">
        <f>GREET1_Import_Export!V550</f>
        <v>1.1700898407584217</v>
      </c>
      <c r="K132" s="919">
        <f>GREET1_Import_Export!W550</f>
        <v>1.443489246285212</v>
      </c>
      <c r="L132" s="919">
        <f>GREET1_Import_Export!X550</f>
        <v>1.1618153452196938</v>
      </c>
      <c r="M132" s="919">
        <f>GREET1_Import_Export!Y550</f>
        <v>2.7533941030790121</v>
      </c>
      <c r="N132" s="919">
        <f>GREET1_Import_Export!Z550</f>
        <v>2.8114370452948649</v>
      </c>
      <c r="O132" s="919">
        <f>GREET1_Import_Export!AA550</f>
        <v>0.80523543743278414</v>
      </c>
      <c r="P132" s="919">
        <f>GREET1_Import_Export!AB550</f>
        <v>0.79679372021690797</v>
      </c>
      <c r="Q132" s="919">
        <f>GREET1_Import_Export!AC550</f>
        <v>0.39962776270827127</v>
      </c>
      <c r="R132" s="919">
        <f t="shared" si="140"/>
        <v>3.1944346944633384E-2</v>
      </c>
      <c r="S132" s="919">
        <f>Glass!P98</f>
        <v>0.62368733516098773</v>
      </c>
      <c r="T132" s="749">
        <f xml:space="preserve"> ($B$39*GREET1_Import_Export!$J519)+($B$40*GREET1_Import_Export!$AM550)+SUM($N98:$O98)</f>
        <v>3.3422615287190736</v>
      </c>
      <c r="U132" s="794">
        <f t="shared" si="107"/>
        <v>1.7727168470343049</v>
      </c>
      <c r="V132" s="817" cm="1">
        <f t="array" ref="V132" xml:space="preserve"> MMULT($T132:$U132,$C$41:$C$42)+SUM($R98:$S98)</f>
        <v>4.5783588378314137</v>
      </c>
      <c r="W132" s="919">
        <f t="shared" si="108"/>
        <v>17.137241150002033</v>
      </c>
      <c r="X132" s="919">
        <f t="shared" si="109"/>
        <v>0.34699549191613566</v>
      </c>
      <c r="Y132" s="919">
        <f t="shared" si="110"/>
        <v>0.42630874721125239</v>
      </c>
      <c r="Z132" s="919">
        <f t="shared" si="111"/>
        <v>1.2688968038275432</v>
      </c>
      <c r="AA132" s="919">
        <f t="shared" si="112"/>
        <v>0.2943263742661183</v>
      </c>
      <c r="AB132" s="919">
        <f>GREET1_Import_Export!AD550</f>
        <v>0.6102103647361643</v>
      </c>
      <c r="AC132" s="919">
        <f>GREET1_Import_Export!AE550</f>
        <v>0.20727504799508703</v>
      </c>
      <c r="AD132" s="919">
        <f>GREET1_Import_Export!AF550</f>
        <v>0.24390020682632096</v>
      </c>
      <c r="AE132" s="919">
        <f>GREET1_Import_Export!AG550</f>
        <v>0.19540111587968439</v>
      </c>
      <c r="AF132" s="919">
        <f>GREET1_Import_Export!AH550</f>
        <v>0.18825370043157794</v>
      </c>
      <c r="AG132" s="919">
        <f>GREET1_Import_Export!AI550</f>
        <v>0.24992897889507715</v>
      </c>
      <c r="AH132" s="919">
        <f>GREET1_Import_Export!AJ550</f>
        <v>0.71301233139578046</v>
      </c>
      <c r="AI132" s="919">
        <f>GREET1_Import_Export!AK550</f>
        <v>0.43841324111530366</v>
      </c>
      <c r="AJ132" s="919">
        <f>GREET1_Import_Export!AL550</f>
        <v>0.2852049325583122</v>
      </c>
      <c r="AK132" s="794">
        <f t="shared" si="113"/>
        <v>0.93899733501833138</v>
      </c>
      <c r="AL132" s="794">
        <f>AK132/2000</f>
        <v>4.6949866750916567E-4</v>
      </c>
      <c r="AM132" s="794">
        <f t="shared" si="114"/>
        <v>0.49106874211844687</v>
      </c>
      <c r="AN132" s="794">
        <f>AM132/2000</f>
        <v>2.4553437105922344E-4</v>
      </c>
      <c r="AO132" s="794">
        <f t="shared" si="115"/>
        <v>1.3116429563131717</v>
      </c>
      <c r="AP132" s="794">
        <f>AO132/2000</f>
        <v>6.5582147815658584E-4</v>
      </c>
      <c r="AQ132" s="794">
        <f t="shared" si="116"/>
        <v>0.43757387475230891</v>
      </c>
      <c r="AR132" s="794">
        <f>AQ132/2000</f>
        <v>2.1878693737615446E-4</v>
      </c>
      <c r="AS132" s="794">
        <f t="shared" si="117"/>
        <v>0.44215258618842312</v>
      </c>
      <c r="AT132" s="794">
        <f>AS132/2000</f>
        <v>2.2107629309421156E-4</v>
      </c>
      <c r="AU132" s="794">
        <f t="shared" si="118"/>
        <v>4.0765295655388005</v>
      </c>
      <c r="AV132" s="794">
        <f>AU132/2000</f>
        <v>2.0382647827694002E-3</v>
      </c>
      <c r="AW132" s="794">
        <f t="shared" si="119"/>
        <v>4.3246036427758909</v>
      </c>
      <c r="AX132" s="794">
        <f>AW132/2000</f>
        <v>2.1623018213879457E-3</v>
      </c>
      <c r="AY132" s="794">
        <f t="shared" si="120"/>
        <v>0.80563322444901964</v>
      </c>
      <c r="AZ132" s="794">
        <f>AY132/2000</f>
        <v>4.0281661222450982E-4</v>
      </c>
      <c r="BA132" s="794">
        <f t="shared" si="121"/>
        <v>1.5846369986545707</v>
      </c>
      <c r="BB132" s="794">
        <f>BA132/2000</f>
        <v>7.9231849932728533E-4</v>
      </c>
      <c r="BC132" s="794">
        <f t="shared" si="122"/>
        <v>1.7363115216502525</v>
      </c>
      <c r="BD132" s="794">
        <f>BC132/2000</f>
        <v>8.6815576082512622E-4</v>
      </c>
      <c r="BE132" s="794">
        <f t="shared" si="123"/>
        <v>1.5641691226364685</v>
      </c>
      <c r="BF132" s="794">
        <f>BE132/2000</f>
        <v>7.8208456131823425E-4</v>
      </c>
      <c r="BG132" s="794">
        <f t="shared" si="124"/>
        <v>3.2097205720507818</v>
      </c>
      <c r="BH132" s="794">
        <f>BG132/2000</f>
        <v>1.6048602860253909E-3</v>
      </c>
      <c r="BI132" s="794">
        <f t="shared" si="125"/>
        <v>3.407838497675947</v>
      </c>
      <c r="BJ132" s="794">
        <f>BI132/2000</f>
        <v>1.7039192488379736E-3</v>
      </c>
      <c r="BK132" s="794">
        <f t="shared" si="126"/>
        <v>0.80523543743278414</v>
      </c>
      <c r="BL132" s="794">
        <f>BK132/2000</f>
        <v>4.0261771871639209E-4</v>
      </c>
      <c r="BM132" s="794">
        <f t="shared" si="127"/>
        <v>0.79679372021690797</v>
      </c>
      <c r="BN132" s="794">
        <f>BM132/2000</f>
        <v>3.9839686010845399E-4</v>
      </c>
      <c r="BO132" s="794">
        <f t="shared" si="128"/>
        <v>0.68078105517442034</v>
      </c>
      <c r="BP132" s="794">
        <f>BO132/2000</f>
        <v>3.4039052758721018E-4</v>
      </c>
      <c r="BQ132" s="794">
        <f t="shared" si="129"/>
        <v>1.5313456208858243</v>
      </c>
      <c r="BR132" s="794">
        <f>BQ132/2000</f>
        <v>7.6567281044291212E-4</v>
      </c>
      <c r="BS132" s="794">
        <f t="shared" si="130"/>
        <v>1.0234450738070509</v>
      </c>
      <c r="BT132" s="794">
        <f t="shared" si="131"/>
        <v>5.1172253690352537E-4</v>
      </c>
      <c r="BU132" s="794">
        <f t="shared" si="132"/>
        <v>1.4510200725401743</v>
      </c>
      <c r="BV132" s="794">
        <f t="shared" si="133"/>
        <v>7.2551003627008715E-4</v>
      </c>
      <c r="BW132" s="794">
        <f t="shared" si="134"/>
        <v>2.3720350699678141</v>
      </c>
      <c r="BX132" s="794">
        <f t="shared" si="135"/>
        <v>1.1860175349839071E-3</v>
      </c>
      <c r="BY132" s="794">
        <f t="shared" si="70"/>
        <v>1.6155000721050132</v>
      </c>
      <c r="BZ132" s="794">
        <f t="shared" si="135"/>
        <v>8.0775003605250667E-4</v>
      </c>
      <c r="CA132" s="794">
        <f t="shared" si="136"/>
        <v>7.201953926704725</v>
      </c>
      <c r="CB132" s="794">
        <f>CA132/2000</f>
        <v>3.6009769633523624E-3</v>
      </c>
      <c r="CC132" s="794">
        <f t="shared" si="137"/>
        <v>14.057603064210737</v>
      </c>
      <c r="CD132" s="794">
        <f>CC132/2000</f>
        <v>7.0288015321053679E-3</v>
      </c>
    </row>
    <row r="133" spans="1:82" s="1247" customFormat="1">
      <c r="A133" s="794" t="s">
        <v>828</v>
      </c>
      <c r="B133" s="771">
        <f>GREET1_Import_Export!O551</f>
        <v>2.7483212072600116</v>
      </c>
      <c r="C133" s="1069">
        <f>GREET1_Import_Export!P551</f>
        <v>0.76409575721752465</v>
      </c>
      <c r="D133" s="1069">
        <f t="shared" si="139"/>
        <v>5.1959092997262371</v>
      </c>
      <c r="E133" s="1069">
        <f>GREET1_Import_Export!Q551</f>
        <v>1.5915833540744382</v>
      </c>
      <c r="F133" s="1069">
        <f>GREET1_Import_Export!R551</f>
        <v>1.609287703629402</v>
      </c>
      <c r="G133" s="1069">
        <f>GREET1_Import_Export!S551</f>
        <v>11.635822304640264</v>
      </c>
      <c r="H133" s="1069">
        <f>GREET1_Import_Export!T551</f>
        <v>12.684858811703741</v>
      </c>
      <c r="I133" s="1069">
        <f>GREET1_Import_Export!U551</f>
        <v>0.91717777570936321</v>
      </c>
      <c r="J133" s="1069">
        <f>GREET1_Import_Export!V551</f>
        <v>3.7687193761392135</v>
      </c>
      <c r="K133" s="1069">
        <f>GREET1_Import_Export!W551</f>
        <v>5.6088677591072376</v>
      </c>
      <c r="L133" s="1069">
        <f>GREET1_Import_Export!X551</f>
        <v>4.6209849702587462</v>
      </c>
      <c r="M133" s="1069">
        <f>GREET1_Import_Export!Y551</f>
        <v>6.7276034138006793</v>
      </c>
      <c r="N133" s="1069">
        <f>GREET1_Import_Export!Z551</f>
        <v>5.8838024101742503</v>
      </c>
      <c r="O133" s="1069">
        <f>GREET1_Import_Export!AA551</f>
        <v>3.4702034567994531</v>
      </c>
      <c r="P133" s="1069">
        <f>GREET1_Import_Export!AB551</f>
        <v>3.2278635680547727</v>
      </c>
      <c r="Q133" s="1069">
        <f>GREET1_Import_Export!AC551</f>
        <v>1.8747206252700128</v>
      </c>
      <c r="R133" s="1069">
        <f t="shared" si="140"/>
        <v>9.3107721108992209E-2</v>
      </c>
      <c r="S133" s="1069">
        <f>Glass!P99</f>
        <v>3.1907237145623912</v>
      </c>
      <c r="T133" s="771">
        <f xml:space="preserve"> ($B$39*GREET1_Import_Export!$J520)+($B$40*GREET1_Import_Export!$AM551)+SUM($N99:$O99)</f>
        <v>6.9710100952984275</v>
      </c>
      <c r="U133" s="954">
        <f t="shared" si="107"/>
        <v>4.5080129692113013</v>
      </c>
      <c r="V133" s="1084" cm="1">
        <f t="array" ref="V133" xml:space="preserve"> MMULT($T133:$U133,$C$41:$C$42)+SUM($R99:$S99)</f>
        <v>14.130752487337222</v>
      </c>
      <c r="W133" s="1069">
        <f t="shared" si="108"/>
        <v>71.601060967044987</v>
      </c>
      <c r="X133" s="1069">
        <f t="shared" si="109"/>
        <v>1.9256925478915121</v>
      </c>
      <c r="Y133" s="1069">
        <f t="shared" si="110"/>
        <v>2.3658508445524293</v>
      </c>
      <c r="Z133" s="1069">
        <f t="shared" si="111"/>
        <v>7.041892981608596</v>
      </c>
      <c r="AA133" s="1069">
        <f t="shared" si="112"/>
        <v>1.0731442568532366</v>
      </c>
      <c r="AB133" s="1069">
        <f>GREET1_Import_Export!AD551</f>
        <v>3.3837260522898593</v>
      </c>
      <c r="AC133" s="1069">
        <f>GREET1_Import_Export!AE551</f>
        <v>1.1502974090062921</v>
      </c>
      <c r="AD133" s="1069">
        <f>GREET1_Import_Export!AF551</f>
        <v>1.3201585335840009</v>
      </c>
      <c r="AE133" s="1069">
        <f>GREET1_Import_Export!AG551</f>
        <v>1.0844016175003699</v>
      </c>
      <c r="AF133" s="1069">
        <f>GREET1_Import_Export!AH551</f>
        <v>1.0447361896036012</v>
      </c>
      <c r="AG133" s="1069">
        <f>GREET1_Import_Export!AI551</f>
        <v>1.3870104464547504</v>
      </c>
      <c r="AH133" s="1069">
        <f>GREET1_Import_Export!AJ551</f>
        <v>3.9569463151857152</v>
      </c>
      <c r="AI133" s="1069">
        <f>GREET1_Import_Export!AK551</f>
        <v>2.4330261659905053</v>
      </c>
      <c r="AJ133" s="1069">
        <f>GREET1_Import_Export!AL551</f>
        <v>1.5827785260742862</v>
      </c>
      <c r="AK133" s="954">
        <f t="shared" si="113"/>
        <v>4.3800882367200042</v>
      </c>
      <c r="AL133" s="954">
        <f>AK133/2000</f>
        <v>2.1900441183600023E-3</v>
      </c>
      <c r="AM133" s="954">
        <f t="shared" si="114"/>
        <v>2.157891068027622</v>
      </c>
      <c r="AN133" s="954">
        <f>AM133/2000</f>
        <v>1.078945534013811E-3</v>
      </c>
      <c r="AO133" s="954">
        <f t="shared" si="115"/>
        <v>5.1959092997262371</v>
      </c>
      <c r="AP133" s="954">
        <f>AO133/2000</f>
        <v>2.5979546498631186E-3</v>
      </c>
      <c r="AQ133" s="954">
        <f t="shared" si="116"/>
        <v>1.5915833540744382</v>
      </c>
      <c r="AR133" s="954">
        <f>AQ133/2000</f>
        <v>7.9579167703721905E-4</v>
      </c>
      <c r="AS133" s="954">
        <f t="shared" si="117"/>
        <v>1.609287703629402</v>
      </c>
      <c r="AT133" s="954">
        <f>AS133/2000</f>
        <v>8.0464385181470098E-4</v>
      </c>
      <c r="AU133" s="954">
        <f t="shared" si="118"/>
        <v>14.672740436746155</v>
      </c>
      <c r="AV133" s="954">
        <f>AU133/2000</f>
        <v>7.3363702183730775E-3</v>
      </c>
      <c r="AW133" s="954">
        <f t="shared" si="119"/>
        <v>15.720433914821463</v>
      </c>
      <c r="AX133" s="954">
        <f>AW133/2000</f>
        <v>7.860216957410732E-3</v>
      </c>
      <c r="AY133" s="954">
        <f t="shared" si="120"/>
        <v>3.9678184524734164</v>
      </c>
      <c r="AZ133" s="954">
        <f>AY133/2000</f>
        <v>1.983909226236708E-3</v>
      </c>
      <c r="BA133" s="954">
        <f t="shared" si="121"/>
        <v>5.9837717041767604</v>
      </c>
      <c r="BB133" s="954">
        <f>BA133/2000</f>
        <v>2.99188585208838E-3</v>
      </c>
      <c r="BC133" s="954">
        <f t="shared" si="122"/>
        <v>7.1415353179352348</v>
      </c>
      <c r="BD133" s="954">
        <f>BC133/2000</f>
        <v>3.5707676589676173E-3</v>
      </c>
      <c r="BE133" s="954">
        <f t="shared" si="123"/>
        <v>6.6480755989436631</v>
      </c>
      <c r="BF133" s="954">
        <f>BE133/2000</f>
        <v>3.3240377994718314E-3</v>
      </c>
      <c r="BG133" s="954">
        <f t="shared" si="124"/>
        <v>8.6476495214010392</v>
      </c>
      <c r="BH133" s="954">
        <f>BG133/2000</f>
        <v>4.3238247607005195E-3</v>
      </c>
      <c r="BI133" s="954">
        <f t="shared" si="125"/>
        <v>8.1916422705276979</v>
      </c>
      <c r="BJ133" s="954">
        <f>BI133/2000</f>
        <v>4.0958211352638491E-3</v>
      </c>
      <c r="BK133" s="954">
        <f t="shared" si="126"/>
        <v>3.4702034567994531</v>
      </c>
      <c r="BL133" s="954">
        <f>BK133/2000</f>
        <v>1.7351017283997266E-3</v>
      </c>
      <c r="BM133" s="954">
        <f t="shared" si="127"/>
        <v>3.2278635680547727</v>
      </c>
      <c r="BN133" s="954">
        <f>BM133/2000</f>
        <v>1.6139317840273863E-3</v>
      </c>
      <c r="BO133" s="954">
        <f t="shared" si="128"/>
        <v>3.421357167612987</v>
      </c>
      <c r="BP133" s="954">
        <f>BO133/2000</f>
        <v>1.7106785838064936E-3</v>
      </c>
      <c r="BQ133" s="954">
        <f t="shared" si="129"/>
        <v>5.2435724481001396</v>
      </c>
      <c r="BR133" s="954">
        <f>BQ133/2000</f>
        <v>2.6217862240500698E-3</v>
      </c>
      <c r="BS133" s="954">
        <f t="shared" si="130"/>
        <v>4.8363781596039237</v>
      </c>
      <c r="BT133" s="954">
        <f t="shared" si="131"/>
        <v>2.4181890798019618E-3</v>
      </c>
      <c r="BU133" s="954">
        <f t="shared" si="132"/>
        <v>6.9176405059882686</v>
      </c>
      <c r="BV133" s="954">
        <f t="shared" si="133"/>
        <v>3.4588202529941344E-3</v>
      </c>
      <c r="BW133" s="954">
        <f t="shared" si="134"/>
        <v>11.822273799753113</v>
      </c>
      <c r="BX133" s="954">
        <f t="shared" si="135"/>
        <v>5.9111368998765561E-3</v>
      </c>
      <c r="BY133" s="954">
        <f t="shared" si="70"/>
        <v>7.8587641551151011</v>
      </c>
      <c r="BZ133" s="954">
        <f t="shared" si="135"/>
        <v>3.9293820775575502E-3</v>
      </c>
      <c r="CA133" s="954">
        <f t="shared" si="136"/>
        <v>29.707042728764158</v>
      </c>
      <c r="CB133" s="954">
        <f>CA133/2000</f>
        <v>1.4853521364382078E-2</v>
      </c>
      <c r="CC133" s="954">
        <f t="shared" si="137"/>
        <v>58.473754431046629</v>
      </c>
      <c r="CD133" s="954">
        <f>CC133/2000</f>
        <v>2.9236877215523316E-2</v>
      </c>
    </row>
    <row r="134" spans="1:82" ht="12.75" customHeight="1">
      <c r="A134" s="1587"/>
    </row>
  </sheetData>
  <mergeCells count="41">
    <mergeCell ref="CA103:CB103"/>
    <mergeCell ref="CC103:CD103"/>
    <mergeCell ref="BO103:BP103"/>
    <mergeCell ref="BQ103:BR103"/>
    <mergeCell ref="BS103:BT103"/>
    <mergeCell ref="BU103:BV103"/>
    <mergeCell ref="BW103:BX103"/>
    <mergeCell ref="BY103:BZ103"/>
    <mergeCell ref="BC103:BD103"/>
    <mergeCell ref="BE103:BF103"/>
    <mergeCell ref="BG103:BH103"/>
    <mergeCell ref="BI103:BJ103"/>
    <mergeCell ref="BK103:BL103"/>
    <mergeCell ref="BM103:BN103"/>
    <mergeCell ref="BJ51:BK51"/>
    <mergeCell ref="AK103:AL103"/>
    <mergeCell ref="AM103:AN103"/>
    <mergeCell ref="AO103:AP103"/>
    <mergeCell ref="AQ103:AR103"/>
    <mergeCell ref="AS103:AT103"/>
    <mergeCell ref="AU103:AV103"/>
    <mergeCell ref="AW103:AX103"/>
    <mergeCell ref="AY103:AZ103"/>
    <mergeCell ref="BA103:BB103"/>
    <mergeCell ref="AX51:AY51"/>
    <mergeCell ref="AZ51:BA51"/>
    <mergeCell ref="BB51:BC51"/>
    <mergeCell ref="BD51:BE51"/>
    <mergeCell ref="BF51:BG51"/>
    <mergeCell ref="BH51:BI51"/>
    <mergeCell ref="L51:M51"/>
    <mergeCell ref="N51:O51"/>
    <mergeCell ref="P51:Q51"/>
    <mergeCell ref="R51:S51"/>
    <mergeCell ref="T51:U51"/>
    <mergeCell ref="X51:Y51"/>
    <mergeCell ref="J51:K51"/>
    <mergeCell ref="B51:C51"/>
    <mergeCell ref="D51:E51"/>
    <mergeCell ref="F51:G51"/>
    <mergeCell ref="H51:I51"/>
  </mergeCells>
  <pageMargins left="0.75" right="0.75" top="1" bottom="1" header="0.5" footer="0.5"/>
  <pageSetup orientation="landscape" r:id="rId1"/>
  <headerFooter alignWithMargins="0">
    <oddHeader>&amp;A</oddHeader>
    <oddFooter>Page &amp;P</oddFooter>
  </headerFooter>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J93"/>
  <sheetViews>
    <sheetView showGridLines="0" zoomScale="85" zoomScaleNormal="85" workbookViewId="0"/>
  </sheetViews>
  <sheetFormatPr defaultColWidth="9.140625" defaultRowHeight="12.75"/>
  <cols>
    <col min="1" max="1" width="35.42578125" style="5" customWidth="1"/>
    <col min="2" max="2" width="12.7109375" style="5" bestFit="1" customWidth="1"/>
    <col min="3" max="3" width="11.140625" style="5" customWidth="1"/>
    <col min="4" max="4" width="11.28515625" style="5" bestFit="1" customWidth="1"/>
    <col min="5" max="5" width="12.7109375" style="5" bestFit="1" customWidth="1"/>
    <col min="6" max="6" width="11.28515625" style="5" bestFit="1" customWidth="1"/>
    <col min="7" max="7" width="12.7109375" style="5" bestFit="1" customWidth="1"/>
    <col min="8" max="8" width="9.42578125" style="5" bestFit="1" customWidth="1"/>
    <col min="9" max="9" width="12.7109375" style="5" bestFit="1" customWidth="1"/>
    <col min="10" max="10" width="9.42578125" style="5" bestFit="1" customWidth="1"/>
    <col min="11" max="16384" width="9.140625" style="5"/>
  </cols>
  <sheetData>
    <row r="1" spans="1:3" ht="15.75">
      <c r="A1" s="2" t="s">
        <v>61</v>
      </c>
    </row>
    <row r="2" spans="1:3">
      <c r="A2" s="3"/>
    </row>
    <row r="3" spans="1:3" ht="15">
      <c r="A3" s="75" t="s">
        <v>1202</v>
      </c>
    </row>
    <row r="4" spans="1:3">
      <c r="A4" s="422" t="s">
        <v>1203</v>
      </c>
      <c r="B4" s="382"/>
    </row>
    <row r="5" spans="1:3" ht="38.25">
      <c r="A5" s="1696" t="str">
        <f>Mat_Inputs!B236</f>
        <v>Compression Molding</v>
      </c>
      <c r="B5" s="1654" t="str">
        <f>Mat_Inputs!B241</f>
        <v>Injection Molding (PVC)</v>
      </c>
    </row>
    <row r="6" spans="1:3">
      <c r="A6" s="798">
        <f>Mat_Inputs!C236</f>
        <v>1</v>
      </c>
      <c r="B6" s="799">
        <f>Mat_Inputs!C241</f>
        <v>1.0306999999999999</v>
      </c>
    </row>
    <row r="7" spans="1:3">
      <c r="A7" s="3"/>
      <c r="B7" s="382"/>
    </row>
    <row r="8" spans="1:3">
      <c r="A8" s="3" t="s">
        <v>1204</v>
      </c>
    </row>
    <row r="9" spans="1:3" ht="38.25">
      <c r="A9" s="1696" t="str">
        <f>Mat_Inputs!B267</f>
        <v>Compression Molding</v>
      </c>
      <c r="B9" s="1654" t="str">
        <f>Mat_Inputs!C267</f>
        <v>Injection Molding (PVC)</v>
      </c>
    </row>
    <row r="10" spans="1:3">
      <c r="A10" s="664">
        <f>Mat_Inputs!B268</f>
        <v>0.89</v>
      </c>
      <c r="B10" s="428">
        <f>Mat_Inputs!C268</f>
        <v>0.10999999999999999</v>
      </c>
    </row>
    <row r="11" spans="1:3">
      <c r="A11" s="3"/>
    </row>
    <row r="12" spans="1:3" ht="15">
      <c r="A12" s="75" t="s">
        <v>762</v>
      </c>
    </row>
    <row r="13" spans="1:3">
      <c r="A13" s="393" t="s">
        <v>769</v>
      </c>
      <c r="B13" s="533">
        <v>1</v>
      </c>
      <c r="C13" s="64"/>
    </row>
    <row r="14" spans="1:3">
      <c r="A14" s="230" t="s">
        <v>770</v>
      </c>
      <c r="B14" s="588">
        <v>1</v>
      </c>
      <c r="C14" s="64"/>
    </row>
    <row r="15" spans="1:3">
      <c r="A15" s="589" t="s">
        <v>773</v>
      </c>
      <c r="B15" s="428">
        <v>1</v>
      </c>
      <c r="C15" s="64"/>
    </row>
    <row r="17" spans="1:7" ht="15">
      <c r="A17" s="75" t="s">
        <v>784</v>
      </c>
    </row>
    <row r="18" spans="1:7" ht="24" customHeight="1">
      <c r="A18" s="178"/>
      <c r="B18" s="2998" t="s">
        <v>547</v>
      </c>
      <c r="C18" s="2999"/>
      <c r="D18" s="3012" t="s">
        <v>396</v>
      </c>
      <c r="E18" s="3012"/>
      <c r="F18" s="2998" t="s">
        <v>401</v>
      </c>
      <c r="G18" s="2999"/>
    </row>
    <row r="19" spans="1:7" ht="70.5" customHeight="1">
      <c r="A19" s="177"/>
      <c r="B19" s="1265" t="s">
        <v>785</v>
      </c>
      <c r="C19" s="1223" t="s">
        <v>786</v>
      </c>
      <c r="D19" s="1307" t="s">
        <v>785</v>
      </c>
      <c r="E19" s="1307" t="s">
        <v>786</v>
      </c>
      <c r="F19" s="1265" t="s">
        <v>785</v>
      </c>
      <c r="G19" s="1223" t="s">
        <v>786</v>
      </c>
    </row>
    <row r="20" spans="1:7" ht="25.5">
      <c r="A20" s="659" t="s">
        <v>797</v>
      </c>
      <c r="B20" s="383">
        <f>Mat_Inputs!B459</f>
        <v>33.854999999999997</v>
      </c>
      <c r="C20" s="94"/>
      <c r="D20" s="377">
        <f>Mat_Inputs!B460</f>
        <v>6.274</v>
      </c>
      <c r="E20" s="64"/>
      <c r="F20" s="383">
        <f>Mat_Inputs!B461</f>
        <v>3.8029999999999999</v>
      </c>
      <c r="G20" s="395"/>
    </row>
    <row r="21" spans="1:7">
      <c r="A21" s="571" t="s">
        <v>798</v>
      </c>
      <c r="B21" s="416">
        <v>0</v>
      </c>
      <c r="C21" s="94"/>
      <c r="D21" s="382">
        <v>0</v>
      </c>
      <c r="E21" s="64"/>
      <c r="F21" s="416">
        <v>0</v>
      </c>
      <c r="G21" s="395"/>
    </row>
    <row r="22" spans="1:7">
      <c r="A22" s="178" t="s">
        <v>799</v>
      </c>
      <c r="B22" s="640"/>
      <c r="C22" s="52"/>
      <c r="D22" s="392"/>
      <c r="E22" s="392"/>
      <c r="F22" s="393"/>
      <c r="G22" s="394"/>
    </row>
    <row r="23" spans="1:7">
      <c r="A23" s="230" t="s">
        <v>800</v>
      </c>
      <c r="B23" s="665">
        <v>0.495</v>
      </c>
      <c r="C23" s="94"/>
      <c r="D23" s="369">
        <v>0</v>
      </c>
      <c r="F23" s="665">
        <v>0</v>
      </c>
      <c r="G23" s="94"/>
    </row>
    <row r="24" spans="1:7">
      <c r="A24" s="230" t="s">
        <v>802</v>
      </c>
      <c r="B24" s="665">
        <v>0</v>
      </c>
      <c r="C24" s="94"/>
      <c r="D24" s="369">
        <v>0</v>
      </c>
      <c r="F24" s="665">
        <v>0</v>
      </c>
      <c r="G24" s="94"/>
    </row>
    <row r="25" spans="1:7">
      <c r="A25" s="230" t="s">
        <v>804</v>
      </c>
      <c r="B25" s="665">
        <v>0.495</v>
      </c>
      <c r="C25" s="94"/>
      <c r="D25" s="369">
        <v>0.67600000000000005</v>
      </c>
      <c r="F25" s="665">
        <v>0</v>
      </c>
      <c r="G25" s="94"/>
    </row>
    <row r="26" spans="1:7">
      <c r="A26" s="230" t="s">
        <v>805</v>
      </c>
      <c r="B26" s="665">
        <v>0</v>
      </c>
      <c r="C26" s="94"/>
      <c r="D26" s="369">
        <v>0</v>
      </c>
      <c r="F26" s="665">
        <v>0</v>
      </c>
      <c r="G26" s="94"/>
    </row>
    <row r="27" spans="1:7">
      <c r="A27" s="589" t="s">
        <v>806</v>
      </c>
      <c r="B27" s="427">
        <f>1-SUM(B23:B26)</f>
        <v>1.0000000000000009E-2</v>
      </c>
      <c r="C27" s="656"/>
      <c r="D27" s="426">
        <f>1-SUM(D23:D26)</f>
        <v>0.32399999999999995</v>
      </c>
      <c r="E27" s="669"/>
      <c r="F27" s="427">
        <f>1-SUM(F23:F26)</f>
        <v>1</v>
      </c>
      <c r="G27" s="656"/>
    </row>
    <row r="28" spans="1:7">
      <c r="A28" s="178" t="s">
        <v>862</v>
      </c>
      <c r="B28" s="640"/>
      <c r="C28" s="52"/>
      <c r="D28" s="49"/>
      <c r="E28" s="49"/>
      <c r="F28" s="640"/>
      <c r="G28" s="52"/>
    </row>
    <row r="29" spans="1:7" s="496" customFormat="1">
      <c r="A29" s="347" t="s">
        <v>800</v>
      </c>
      <c r="B29" s="712">
        <f>B$20*B23</f>
        <v>16.758224999999999</v>
      </c>
      <c r="C29" s="497"/>
      <c r="D29" s="601">
        <f>D$20*D23</f>
        <v>0</v>
      </c>
      <c r="F29" s="712">
        <f>F$20*F23</f>
        <v>0</v>
      </c>
      <c r="G29" s="497"/>
    </row>
    <row r="30" spans="1:7" s="496" customFormat="1">
      <c r="A30" s="347" t="s">
        <v>802</v>
      </c>
      <c r="B30" s="712">
        <f>B$20*B24</f>
        <v>0</v>
      </c>
      <c r="C30" s="497"/>
      <c r="D30" s="601">
        <f>D$20*D24</f>
        <v>0</v>
      </c>
      <c r="F30" s="712">
        <f>F$20*F24</f>
        <v>0</v>
      </c>
      <c r="G30" s="497"/>
    </row>
    <row r="31" spans="1:7" s="496" customFormat="1">
      <c r="A31" s="347" t="s">
        <v>804</v>
      </c>
      <c r="B31" s="712">
        <f>B$20*B25</f>
        <v>16.758224999999999</v>
      </c>
      <c r="C31" s="497"/>
      <c r="D31" s="601">
        <f>D$20*D25</f>
        <v>4.2412239999999999</v>
      </c>
      <c r="F31" s="712">
        <f>F$20*F25</f>
        <v>0</v>
      </c>
      <c r="G31" s="497"/>
    </row>
    <row r="32" spans="1:7" s="496" customFormat="1">
      <c r="A32" s="347" t="s">
        <v>805</v>
      </c>
      <c r="B32" s="712">
        <f>B$20*B26</f>
        <v>0</v>
      </c>
      <c r="C32" s="497"/>
      <c r="D32" s="601">
        <f>D$20*D26</f>
        <v>0</v>
      </c>
      <c r="F32" s="712">
        <f>F$20*F26</f>
        <v>0</v>
      </c>
      <c r="G32" s="497"/>
    </row>
    <row r="33" spans="1:7" s="496" customFormat="1">
      <c r="A33" s="503" t="s">
        <v>806</v>
      </c>
      <c r="B33" s="800">
        <f>B$20*B27</f>
        <v>0.3385500000000003</v>
      </c>
      <c r="C33" s="500"/>
      <c r="D33" s="776">
        <f>D$20*D27</f>
        <v>2.0327759999999997</v>
      </c>
      <c r="E33" s="499"/>
      <c r="F33" s="800">
        <f>F$20*F27</f>
        <v>3.8029999999999999</v>
      </c>
      <c r="G33" s="500"/>
    </row>
    <row r="34" spans="1:7" s="496" customFormat="1">
      <c r="A34" s="508" t="s">
        <v>816</v>
      </c>
      <c r="B34" s="508">
        <f>B$29*(1+(GREET1_Import_Export!$F$179*GREET1_Import_Export!$B180+GREET1_Import_Export!$F180)/1000000)+B$30*(1+(GREET1_Import_Export!$G$179*GREET1_Import_Export!$B180+GREET1_Import_Export!$G180)/1000000)+B$31*(1+GREET1_Import_Export!$B216/1000000)+B$32*(1+GREET1_Import_Export!$B284/1000000)+B$33*(GREET1_Import_Export!$B309+GREET1_Import_Export!$C309)/1000000</f>
        <v>38.146246448679655</v>
      </c>
      <c r="C34" s="507"/>
      <c r="D34" s="506">
        <f>D$29*(1+(GREET1_Import_Export!$F$179*GREET1_Import_Export!$B180+GREET1_Import_Export!$F180)/1000000)+D$30*(1+(GREET1_Import_Export!$G$179*GREET1_Import_Export!$B180+GREET1_Import_Export!$G180)/1000000)+D$31*(1+GREET1_Import_Export!$B216/1000000)+D$32*(1+GREET1_Import_Export!$B284/1000000)+D$33*(GREET1_Import_Export!$B309+GREET1_Import_Export!$C309)/1000000</f>
        <v>8.8059798208622446</v>
      </c>
      <c r="E34" s="506"/>
      <c r="F34" s="508">
        <f>F$29*(1+(GREET1_Import_Export!$F$179*GREET1_Import_Export!$B180+GREET1_Import_Export!$F180)/1000000)+F$30*(1+(GREET1_Import_Export!$G$179*GREET1_Import_Export!$B180+GREET1_Import_Export!$G180)/1000000)+F$31*(1+GREET1_Import_Export!$B216/1000000)+F$32*(1+GREET1_Import_Export!$B284/1000000)+F$33*(GREET1_Import_Export!$B309+GREET1_Import_Export!$C309)/1000000</f>
        <v>7.7126941662541624</v>
      </c>
      <c r="G34" s="507"/>
    </row>
    <row r="35" spans="1:7" s="496" customFormat="1">
      <c r="A35" s="498" t="s">
        <v>817</v>
      </c>
      <c r="B35" s="498">
        <f>B$29*(1+(GREET1_Import_Export!$F$179*GREET1_Import_Export!$B181+GREET1_Import_Export!$F181)/1000000)+B$30*(1+(GREET1_Import_Export!$G$179*GREET1_Import_Export!$B181+GREET1_Import_Export!$G181)/1000000)+B$31*(1+GREET1_Import_Export!$B217/1000000)+B$32*(1+GREET1_Import_Export!$B285/1000000)+B$33*(GREET1_Import_Export!$B310+GREET1_Import_Export!$C310)/1000000</f>
        <v>37.910010265639393</v>
      </c>
      <c r="C35" s="497"/>
      <c r="D35" s="496">
        <f>D$29*(1+(GREET1_Import_Export!$F$179*GREET1_Import_Export!$B181+GREET1_Import_Export!$F181)/1000000)+D$30*(1+(GREET1_Import_Export!$G$179*GREET1_Import_Export!$B181+GREET1_Import_Export!$G181)/1000000)+D$31*(1+GREET1_Import_Export!$B217/1000000)+D$32*(1+GREET1_Import_Export!$B285/1000000)+D$33*(GREET1_Import_Export!$B310+GREET1_Import_Export!$C310)/1000000</f>
        <v>7.9453756034729164</v>
      </c>
      <c r="F35" s="498">
        <f>F$29*(1+(GREET1_Import_Export!$F$179*GREET1_Import_Export!$B181+GREET1_Import_Export!$F181)/1000000)+F$30*(1+(GREET1_Import_Export!$G$179*GREET1_Import_Export!$B181+GREET1_Import_Export!$G181)/1000000)+F$31*(1+GREET1_Import_Export!$B217/1000000)+F$32*(1+GREET1_Import_Export!$B285/1000000)+F$33*(GREET1_Import_Export!$B310+GREET1_Import_Export!$C310)/1000000</f>
        <v>6.1085646217558605</v>
      </c>
      <c r="G35" s="497"/>
    </row>
    <row r="36" spans="1:7" s="496" customFormat="1">
      <c r="A36" s="498" t="s">
        <v>805</v>
      </c>
      <c r="B36" s="498">
        <f>B$29*(GREET1_Import_Export!$F$179*GREET1_Import_Export!$B182+GREET1_Import_Export!$F182)/1000000+B$30*(GREET1_Import_Export!$G$179*GREET1_Import_Export!$B182+GREET1_Import_Export!$G182)/1000000+B$31*GREET1_Import_Export!$B218/1000000+B$32*(1+GREET1_Import_Export!$B286/1000000)+B$33*(GREET1_Import_Export!$B311+GREET1_Import_Export!$C311)/1000000</f>
        <v>0.30729749834355485</v>
      </c>
      <c r="C36" s="497"/>
      <c r="D36" s="496">
        <f>D$29*(GREET1_Import_Export!$F$179*GREET1_Import_Export!$B182+GREET1_Import_Export!$F182)/1000000+D$30*(GREET1_Import_Export!$G$179*GREET1_Import_Export!$B182+GREET1_Import_Export!$G182)/1000000+D$31*GREET1_Import_Export!$B218/1000000+D$32*(1+GREET1_Import_Export!$B286/1000000)+D$33*(GREET1_Import_Export!$B311+GREET1_Import_Export!$C311)/1000000</f>
        <v>1.1376481493627468</v>
      </c>
      <c r="F36" s="498">
        <f>F$29*(GREET1_Import_Export!$F$179*GREET1_Import_Export!$B182+GREET1_Import_Export!$F182)/1000000+F$30*(GREET1_Import_Export!$G$179*GREET1_Import_Export!$B182+GREET1_Import_Export!$G182)/1000000+F$31*GREET1_Import_Export!$B218/1000000+F$32*(1+GREET1_Import_Export!$B286/1000000)+F$33*(GREET1_Import_Export!$B311+GREET1_Import_Export!$C311)/1000000</f>
        <v>2.1205365843118331</v>
      </c>
      <c r="G36" s="497"/>
    </row>
    <row r="37" spans="1:7" s="496" customFormat="1">
      <c r="A37" s="498" t="s">
        <v>804</v>
      </c>
      <c r="B37" s="498">
        <f>B35-B36-B38</f>
        <v>20.082134591149448</v>
      </c>
      <c r="C37" s="497"/>
      <c r="D37" s="496">
        <f>D35-D36-D38</f>
        <v>6.7552419808132731</v>
      </c>
      <c r="F37" s="498">
        <f>F35-F36-F38</f>
        <v>3.9216877919830648</v>
      </c>
      <c r="G37" s="497"/>
    </row>
    <row r="38" spans="1:7" s="496" customFormat="1">
      <c r="A38" s="498" t="s">
        <v>818</v>
      </c>
      <c r="B38" s="498">
        <f>B$29*(1+(GREET1_Import_Export!$F$179*GREET1_Import_Export!$B184+GREET1_Import_Export!$F184)/1000000)+B$30*(1+(GREET1_Import_Export!$G$179*GREET1_Import_Export!$B184+GREET1_Import_Export!$G184)/1000000)+B$31*GREET1_Import_Export!$B220/1000000+B$32*GREET1_Import_Export!$B288/1000000+B$33*(GREET1_Import_Export!$B313+GREET1_Import_Export!$C313)/1000000</f>
        <v>17.520578176146394</v>
      </c>
      <c r="C38" s="497"/>
      <c r="D38" s="496">
        <f>D$29*(1+(GREET1_Import_Export!$F$179*GREET1_Import_Export!$B184+GREET1_Import_Export!$F184)/1000000)+D$30*(1+(GREET1_Import_Export!$G$179*GREET1_Import_Export!$B184+GREET1_Import_Export!$G184)/1000000)+D$31*GREET1_Import_Export!$B220/1000000+D$32*GREET1_Import_Export!$B288/1000000+D$33*(GREET1_Import_Export!$B313+GREET1_Import_Export!$C313)/1000000</f>
        <v>5.2485473296896443E-2</v>
      </c>
      <c r="F38" s="498">
        <f>F$29*(1+(GREET1_Import_Export!$F$179*GREET1_Import_Export!$B184+GREET1_Import_Export!$F184)/1000000)+F$30*(1+(GREET1_Import_Export!$G$179*GREET1_Import_Export!$B184+GREET1_Import_Export!$G184)/1000000)+F$31*GREET1_Import_Export!$B220/1000000+F$32*GREET1_Import_Export!$B288/1000000+F$33*(GREET1_Import_Export!$B313+GREET1_Import_Export!$C313)/1000000</f>
        <v>6.6340245460962677E-2</v>
      </c>
      <c r="G38" s="497"/>
    </row>
    <row r="39" spans="1:7" s="535" customFormat="1">
      <c r="A39" s="173" t="s">
        <v>819</v>
      </c>
      <c r="B39" s="250">
        <f>B$29*((GREET1_Import_Export!$F$179*GREET1_Import_Export!$B185+GREET1_Import_Export!$F185))+B$30*((GREET1_Import_Export!$G$179*GREET1_Import_Export!$B185+GREET1_Import_Export!$G185))+B$31*GREET1_Import_Export!$B221+B$32*GREET1_Import_Export!$B289+B$33*(GREET1_Import_Export!$B314+GREET1_Import_Export!$C314)</f>
        <v>427.21613768872237</v>
      </c>
      <c r="C39" s="542"/>
      <c r="D39" s="47">
        <f>D$29*((GREET1_Import_Export!$F$179*GREET1_Import_Export!$B185+GREET1_Import_Export!$F185))+D$30*((GREET1_Import_Export!$G$179*GREET1_Import_Export!$B185+GREET1_Import_Export!$G185))+D$31*GREET1_Import_Export!$B221+D$32*GREET1_Import_Export!$B289+D$33*(GREET1_Import_Export!$B314+GREET1_Import_Export!$C314)</f>
        <v>234.00451115639197</v>
      </c>
      <c r="E39" s="537"/>
      <c r="F39" s="250">
        <f>F$29*((GREET1_Import_Export!$F$179*GREET1_Import_Export!$B185+GREET1_Import_Export!$F185))+F$30*((GREET1_Import_Export!$G$179*GREET1_Import_Export!$B185+GREET1_Import_Export!$G185))+F$31*GREET1_Import_Export!$B221+F$32*GREET1_Import_Export!$B289+F$33*(GREET1_Import_Export!$B314+GREET1_Import_Export!$C314)</f>
        <v>413.33046962566902</v>
      </c>
      <c r="G39" s="542"/>
    </row>
    <row r="40" spans="1:7" s="496" customFormat="1">
      <c r="A40" s="609" t="s">
        <v>864</v>
      </c>
      <c r="B40" s="755"/>
      <c r="C40" s="544"/>
      <c r="D40" s="597"/>
      <c r="E40" s="597"/>
      <c r="F40" s="755"/>
      <c r="G40" s="544"/>
    </row>
    <row r="41" spans="1:7" s="496" customFormat="1">
      <c r="A41" s="498" t="s">
        <v>821</v>
      </c>
      <c r="B41" s="347">
        <f>B$29*($B$13*GREET1_Import_Export!$K72+GREET1_Import_Export!$F$179*GREET1_Import_Export!$B186+GREET1_Import_Export!$F186)+B$30*(GREET1_Import_Export!$O72+GREET1_Import_Export!$G$179*GREET1_Import_Export!$B186+GREET1_Import_Export!$G186)+B$31*($B$14*GREET1_Import_Export!$B72+GREET1_Import_Export!$B222)+B$32*($B$15*GREET1_Import_Export!$AA72+GREET1_Import_Export!$B290)+B$33*(GREET1_Import_Export!$B315+GREET1_Import_Export!$C315)</f>
        <v>334.73383304838671</v>
      </c>
      <c r="C41" s="339">
        <v>5266.4</v>
      </c>
      <c r="D41" s="349">
        <f>D$29*($B$13*GREET1_Import_Export!$K72+GREET1_Import_Export!$F$179*GREET1_Import_Export!$B186+GREET1_Import_Export!$F186)+D$30*(GREET1_Import_Export!$O72+GREET1_Import_Export!$G$179*GREET1_Import_Export!$B186+GREET1_Import_Export!$G186)+D$31*($B$14*GREET1_Import_Export!$B72+GREET1_Import_Export!$B222)+D$32*($B$15*GREET1_Import_Export!$AA72+GREET1_Import_Export!$B290)+D$33*(GREET1_Import_Export!$B315+GREET1_Import_Export!$C315)</f>
        <v>82.569512384024051</v>
      </c>
      <c r="F41" s="347">
        <f>F$29*($B$13*GREET1_Import_Export!$K72+GREET1_Import_Export!$F$179*GREET1_Import_Export!$B186+GREET1_Import_Export!$F186)+F$30*(GREET1_Import_Export!$O72+GREET1_Import_Export!$G$179*GREET1_Import_Export!$B186+GREET1_Import_Export!$G186)+F$31*($B$14*GREET1_Import_Export!$B72+GREET1_Import_Export!$B222)+F$32*($B$15*GREET1_Import_Export!$AA72+GREET1_Import_Export!$B290)+F$33*(GREET1_Import_Export!$B315+GREET1_Import_Export!$C315)</f>
        <v>52.697671169104233</v>
      </c>
      <c r="G41" s="497"/>
    </row>
    <row r="42" spans="1:7" s="496" customFormat="1">
      <c r="A42" s="498" t="s">
        <v>822</v>
      </c>
      <c r="B42" s="347">
        <f>B$29*($B$13*GREET1_Import_Export!$K73+GREET1_Import_Export!$F$179*GREET1_Import_Export!$B187+GREET1_Import_Export!$F187)+B$30*(GREET1_Import_Export!$O73+GREET1_Import_Export!$G$179*GREET1_Import_Export!$B187+GREET1_Import_Export!$G187)+B$31*($B$14*GREET1_Import_Export!$B73+GREET1_Import_Export!$B223)+B$32*($B$15*GREET1_Import_Export!$AA73+GREET1_Import_Export!$B291)+B$33*(GREET1_Import_Export!$B316+GREET1_Import_Export!$C316)</f>
        <v>1683.3808527380745</v>
      </c>
      <c r="C42" s="497"/>
      <c r="D42" s="349">
        <f>D$29*($B$13*GREET1_Import_Export!$K73+GREET1_Import_Export!$F$179*GREET1_Import_Export!$B187+GREET1_Import_Export!$F187)+D$30*(GREET1_Import_Export!$O73+GREET1_Import_Export!$G$179*GREET1_Import_Export!$B187+GREET1_Import_Export!$G187)+D$31*($B$14*GREET1_Import_Export!$B73+GREET1_Import_Export!$B223)+D$32*($B$15*GREET1_Import_Export!$AA73+GREET1_Import_Export!$B291)+D$33*(GREET1_Import_Export!$B316+GREET1_Import_Export!$C316)</f>
        <v>302.85593645914105</v>
      </c>
      <c r="F42" s="347">
        <f>F$29*($B$13*GREET1_Import_Export!$K73+GREET1_Import_Export!$F$179*GREET1_Import_Export!$B187+GREET1_Import_Export!$F187)+F$30*(GREET1_Import_Export!$O73+GREET1_Import_Export!$G$179*GREET1_Import_Export!$B187+GREET1_Import_Export!$G187)+F$31*($B$14*GREET1_Import_Export!$B73+GREET1_Import_Export!$B223)+F$32*($B$15*GREET1_Import_Export!$AA73+GREET1_Import_Export!$B291)+F$33*(GREET1_Import_Export!$B316+GREET1_Import_Export!$C316)</f>
        <v>142.44124189440888</v>
      </c>
      <c r="G42" s="497"/>
    </row>
    <row r="43" spans="1:7" s="496" customFormat="1">
      <c r="A43" s="498" t="s">
        <v>823</v>
      </c>
      <c r="B43" s="347">
        <f>B$29*($B$13*GREET1_Import_Export!$K74+GREET1_Import_Export!$F$179*GREET1_Import_Export!$B188+GREET1_Import_Export!$F188)+B$30*(GREET1_Import_Export!$O74+GREET1_Import_Export!$G$179*GREET1_Import_Export!$B188+GREET1_Import_Export!$G188)+B$31*($B$14*GREET1_Import_Export!$B74+GREET1_Import_Export!$B224)+B$32*($B$15*GREET1_Import_Export!$AA74+GREET1_Import_Export!$B292)+B$33*(GREET1_Import_Export!$B317+GREET1_Import_Export!$C317)</f>
        <v>3856.8312256337904</v>
      </c>
      <c r="C43" s="497"/>
      <c r="D43" s="349">
        <f>D$29*($B$13*GREET1_Import_Export!$K74+GREET1_Import_Export!$F$179*GREET1_Import_Export!$B188+GREET1_Import_Export!$F188)+D$30*(GREET1_Import_Export!$O74+GREET1_Import_Export!$G$179*GREET1_Import_Export!$B188+GREET1_Import_Export!$G188)+D$31*($B$14*GREET1_Import_Export!$B74+GREET1_Import_Export!$B224)+D$32*($B$15*GREET1_Import_Export!$AA74+GREET1_Import_Export!$B292)+D$33*(GREET1_Import_Export!$B317+GREET1_Import_Export!$C317)</f>
        <v>465.05778626967435</v>
      </c>
      <c r="F43" s="347">
        <f>F$29*($B$13*GREET1_Import_Export!$K74+GREET1_Import_Export!$F$179*GREET1_Import_Export!$B188+GREET1_Import_Export!$F188)+F$30*(GREET1_Import_Export!$O74+GREET1_Import_Export!$G$179*GREET1_Import_Export!$B188+GREET1_Import_Export!$G188)+F$31*($B$14*GREET1_Import_Export!$B74+GREET1_Import_Export!$B224)+F$32*($B$15*GREET1_Import_Export!$AA74+GREET1_Import_Export!$B292)+F$33*(GREET1_Import_Export!$B317+GREET1_Import_Export!$C317)</f>
        <v>293.4378108864442</v>
      </c>
      <c r="G43" s="497"/>
    </row>
    <row r="44" spans="1:7" s="496" customFormat="1">
      <c r="A44" s="498" t="s">
        <v>824</v>
      </c>
      <c r="B44" s="347">
        <f>B$29*($B$13*GREET1_Import_Export!$K75+GREET1_Import_Export!$F$179*GREET1_Import_Export!$B189+GREET1_Import_Export!$F189)+B$30*(GREET1_Import_Export!$O75+GREET1_Import_Export!$G$179*GREET1_Import_Export!$B189+GREET1_Import_Export!$G189)+B$31*($B$14*GREET1_Import_Export!$B75+GREET1_Import_Export!$B225)+B$32*($B$15*GREET1_Import_Export!$AA75+GREET1_Import_Export!$B293)+B$33*(GREET1_Import_Export!$B318+GREET1_Import_Export!$C318)</f>
        <v>583.76631030925444</v>
      </c>
      <c r="C44" s="497"/>
      <c r="D44" s="349">
        <f>D$29*($B$13*GREET1_Import_Export!$K75+GREET1_Import_Export!$F$179*GREET1_Import_Export!$B189+GREET1_Import_Export!$F189)+D$30*(GREET1_Import_Export!$O75+GREET1_Import_Export!$G$179*GREET1_Import_Export!$B189+GREET1_Import_Export!$G189)+D$31*($B$14*GREET1_Import_Export!$B75+GREET1_Import_Export!$B225)+D$32*($B$15*GREET1_Import_Export!$AA75+GREET1_Import_Export!$B293)+D$33*(GREET1_Import_Export!$B318+GREET1_Import_Export!$C318)</f>
        <v>41.763147812206455</v>
      </c>
      <c r="F44" s="347">
        <f>F$29*($B$13*GREET1_Import_Export!$K75+GREET1_Import_Export!$F$179*GREET1_Import_Export!$B189+GREET1_Import_Export!$F189)+F$30*(GREET1_Import_Export!$O75+GREET1_Import_Export!$G$179*GREET1_Import_Export!$B189+GREET1_Import_Export!$G189)+F$31*($B$14*GREET1_Import_Export!$B75+GREET1_Import_Export!$B225)+F$32*($B$15*GREET1_Import_Export!$AA75+GREET1_Import_Export!$B293)+F$33*(GREET1_Import_Export!$B318+GREET1_Import_Export!$C318)</f>
        <v>46.972430052986915</v>
      </c>
      <c r="G44" s="497"/>
    </row>
    <row r="45" spans="1:7" s="496" customFormat="1">
      <c r="A45" s="347" t="s">
        <v>825</v>
      </c>
      <c r="B45" s="347">
        <f>B$29*($B$13*GREET1_Import_Export!$K76+GREET1_Import_Export!$F$179*GREET1_Import_Export!$B190+GREET1_Import_Export!$F190)+B$30*(GREET1_Import_Export!$O76+GREET1_Import_Export!$G$179*GREET1_Import_Export!$B190+GREET1_Import_Export!$G190)+B$31*($B$14*GREET1_Import_Export!$B76+GREET1_Import_Export!$B226)+B$32*($B$15*GREET1_Import_Export!$AA76+GREET1_Import_Export!$B294)+B$33*(GREET1_Import_Export!$B319+GREET1_Import_Export!$C319)</f>
        <v>337.46165684284455</v>
      </c>
      <c r="C45" s="348"/>
      <c r="D45" s="349">
        <f>D$29*($B$13*GREET1_Import_Export!$K76+GREET1_Import_Export!$F$179*GREET1_Import_Export!$B190+GREET1_Import_Export!$F190)+D$30*(GREET1_Import_Export!$O76+GREET1_Import_Export!$G$179*GREET1_Import_Export!$B190+GREET1_Import_Export!$G190)+D$31*($B$14*GREET1_Import_Export!$B76+GREET1_Import_Export!$B226)+D$32*($B$15*GREET1_Import_Export!$AA76+GREET1_Import_Export!$B294)+D$33*(GREET1_Import_Export!$B319+GREET1_Import_Export!$C319)</f>
        <v>31.551478302608352</v>
      </c>
      <c r="E45" s="349"/>
      <c r="F45" s="347">
        <f>F$29*($B$13*GREET1_Import_Export!$K76+GREET1_Import_Export!$F$179*GREET1_Import_Export!$B190+GREET1_Import_Export!$F190)+F$30*(GREET1_Import_Export!$O76+GREET1_Import_Export!$G$179*GREET1_Import_Export!$B190+GREET1_Import_Export!$G190)+F$31*($B$14*GREET1_Import_Export!$B76+GREET1_Import_Export!$B226)+F$32*($B$15*GREET1_Import_Export!$AA76+GREET1_Import_Export!$B294)+F$33*(GREET1_Import_Export!$B319+GREET1_Import_Export!$C319)</f>
        <v>28.196118208350839</v>
      </c>
      <c r="G45" s="348"/>
    </row>
    <row r="46" spans="1:7" s="496" customFormat="1">
      <c r="A46" s="347" t="s">
        <v>826</v>
      </c>
      <c r="B46" s="347">
        <f>B$29*($B$13*GREET1_Import_Export!$K77+GREET1_Import_Export!$F$179*GREET1_Import_Export!$B191+GREET1_Import_Export!$F191)+B$30*(GREET1_Import_Export!$O77+GREET1_Import_Export!$G$179*GREET1_Import_Export!$B191+GREET1_Import_Export!$G191)+B$31*($B$14*GREET1_Import_Export!$B77+GREET1_Import_Export!$B227)+B$32*($B$15*GREET1_Import_Export!$AA77+GREET1_Import_Export!$B295)+B$33*(GREET1_Import_Export!$B320+GREET1_Import_Export!$C320)</f>
        <v>2251.4703141449108</v>
      </c>
      <c r="C46" s="497"/>
      <c r="D46" s="349">
        <f>D$29*($B$13*GREET1_Import_Export!$K77+GREET1_Import_Export!$F$179*GREET1_Import_Export!$B191+GREET1_Import_Export!$F191)+D$30*(GREET1_Import_Export!$O77+GREET1_Import_Export!$G$179*GREET1_Import_Export!$B191+GREET1_Import_Export!$G191)+D$31*($B$14*GREET1_Import_Export!$B77+GREET1_Import_Export!$B227)+D$32*($B$15*GREET1_Import_Export!$AA77+GREET1_Import_Export!$B295)+D$33*(GREET1_Import_Export!$B320+GREET1_Import_Export!$C320)</f>
        <v>179.91388317307002</v>
      </c>
      <c r="F46" s="347">
        <f>F$29*($B$13*GREET1_Import_Export!$K77+GREET1_Import_Export!$F$179*GREET1_Import_Export!$B191+GREET1_Import_Export!$F191)+F$30*(GREET1_Import_Export!$O77+GREET1_Import_Export!$G$179*GREET1_Import_Export!$B191+GREET1_Import_Export!$G191)+F$31*($B$14*GREET1_Import_Export!$B77+GREET1_Import_Export!$B227)+F$32*($B$15*GREET1_Import_Export!$AA77+GREET1_Import_Export!$B295)+F$33*(GREET1_Import_Export!$B320+GREET1_Import_Export!$C320)</f>
        <v>246.38151406273028</v>
      </c>
      <c r="G46" s="497"/>
    </row>
    <row r="47" spans="1:7" s="496" customFormat="1">
      <c r="A47" s="749" t="s">
        <v>827</v>
      </c>
      <c r="B47" s="347">
        <f>B$29*($B$13*GREET1_Import_Export!$K78+GREET1_Import_Export!$F$179*GREET1_Import_Export!$B192+GREET1_Import_Export!$F192)+B$30*(GREET1_Import_Export!$O78+GREET1_Import_Export!$G$179*GREET1_Import_Export!$B192+GREET1_Import_Export!$G192)+B$31*($B$14*GREET1_Import_Export!$B78+GREET1_Import_Export!$B228)+B$32*($B$15*GREET1_Import_Export!$AA78+GREET1_Import_Export!$B296)+B$33*(GREET1_Import_Export!$B321+GREET1_Import_Export!$C321)</f>
        <v>30.353696281184906</v>
      </c>
      <c r="C47" s="497"/>
      <c r="D47" s="349">
        <f>D$29*($B$13*GREET1_Import_Export!$K78+GREET1_Import_Export!$F$179*GREET1_Import_Export!$B192+GREET1_Import_Export!$F192)+D$30*(GREET1_Import_Export!$O78+GREET1_Import_Export!$G$179*GREET1_Import_Export!$B192+GREET1_Import_Export!$G192)+D$31*($B$14*GREET1_Import_Export!$B78+GREET1_Import_Export!$B228)+D$32*($B$15*GREET1_Import_Export!$AA78+GREET1_Import_Export!$B296)+D$33*(GREET1_Import_Export!$B321+GREET1_Import_Export!$C321)</f>
        <v>3.7946313439166106</v>
      </c>
      <c r="F47" s="347">
        <f>F$29*($B$13*GREET1_Import_Export!$K78+GREET1_Import_Export!$F$179*GREET1_Import_Export!$B192+GREET1_Import_Export!$F192)+F$30*(GREET1_Import_Export!$O78+GREET1_Import_Export!$G$179*GREET1_Import_Export!$B192+GREET1_Import_Export!$G192)+F$31*($B$14*GREET1_Import_Export!$B78+GREET1_Import_Export!$B228)+F$32*($B$15*GREET1_Import_Export!$AA78+GREET1_Import_Export!$B296)+F$33*(GREET1_Import_Export!$B321+GREET1_Import_Export!$C321)</f>
        <v>1.7203747870080792</v>
      </c>
      <c r="G47" s="497"/>
    </row>
    <row r="48" spans="1:7" s="496" customFormat="1">
      <c r="A48" s="749" t="s">
        <v>828</v>
      </c>
      <c r="B48" s="347">
        <f>B$29*($B$13*GREET1_Import_Export!$K79+GREET1_Import_Export!$F$179*GREET1_Import_Export!$B193+GREET1_Import_Export!$F193)+B$30*(GREET1_Import_Export!$O79+GREET1_Import_Export!$G$179*GREET1_Import_Export!$B193+GREET1_Import_Export!$G193)+B$31*($B$14*GREET1_Import_Export!$B79+GREET1_Import_Export!$B229)+B$32*($B$15*GREET1_Import_Export!$AA79+GREET1_Import_Export!$B297)+B$33*(GREET1_Import_Export!$B322+GREET1_Import_Export!$C322)</f>
        <v>45.289905825062903</v>
      </c>
      <c r="C48" s="497"/>
      <c r="D48" s="349">
        <f>D$29*($B$13*GREET1_Import_Export!$K79+GREET1_Import_Export!$F$179*GREET1_Import_Export!$B193+GREET1_Import_Export!$F193)+D$30*(GREET1_Import_Export!$O79+GREET1_Import_Export!$G$179*GREET1_Import_Export!$B193+GREET1_Import_Export!$G193)+D$31*($B$14*GREET1_Import_Export!$B79+GREET1_Import_Export!$B229)+D$32*($B$15*GREET1_Import_Export!$AA79+GREET1_Import_Export!$B297)+D$33*(GREET1_Import_Export!$B322+GREET1_Import_Export!$C322)</f>
        <v>11.350686821153072</v>
      </c>
      <c r="F48" s="347">
        <f>F$29*($B$13*GREET1_Import_Export!$K79+GREET1_Import_Export!$F$179*GREET1_Import_Export!$B193+GREET1_Import_Export!$F193)+F$30*(GREET1_Import_Export!$O79+GREET1_Import_Export!$G$179*GREET1_Import_Export!$B193+GREET1_Import_Export!$G193)+F$31*($B$14*GREET1_Import_Export!$B79+GREET1_Import_Export!$B229)+F$32*($B$15*GREET1_Import_Export!$AA79+GREET1_Import_Export!$B297)+F$33*(GREET1_Import_Export!$B322+GREET1_Import_Export!$C322)</f>
        <v>8.1885671906849407</v>
      </c>
      <c r="G48" s="497"/>
    </row>
    <row r="49" spans="1:10" s="496" customFormat="1">
      <c r="A49" s="347" t="s">
        <v>829</v>
      </c>
      <c r="B49" s="347">
        <f>B$29*($B$13*GREET1_Import_Export!$K80+GREET1_Import_Export!$F$179*GREET1_Import_Export!$B194+GREET1_Import_Export!$F194)+B$30*(GREET1_Import_Export!$O80+GREET1_Import_Export!$G$179*GREET1_Import_Export!$B194+GREET1_Import_Export!$G194)+B$31*($B$14*GREET1_Import_Export!$B80+GREET1_Import_Export!$B230)+B$32*($B$15*GREET1_Import_Export!$AA80+GREET1_Import_Export!$B298)+B$33*(GREET1_Import_Export!$B323+GREET1_Import_Export!$C323)</f>
        <v>5478.66418483096</v>
      </c>
      <c r="C49" s="497"/>
      <c r="D49" s="349">
        <f>D$29*($B$13*GREET1_Import_Export!$K80+GREET1_Import_Export!$F$179*GREET1_Import_Export!$B194+GREET1_Import_Export!$F194)+D$30*(GREET1_Import_Export!$O80+GREET1_Import_Export!$G$179*GREET1_Import_Export!$B194+GREET1_Import_Export!$G194)+D$31*($B$14*GREET1_Import_Export!$B80+GREET1_Import_Export!$B230)+D$32*($B$15*GREET1_Import_Export!$AA80+GREET1_Import_Export!$B298)+D$33*(GREET1_Import_Export!$B323+GREET1_Import_Export!$C323)</f>
        <v>1466.724759312345</v>
      </c>
      <c r="F49" s="347">
        <f>F$29*($B$13*GREET1_Import_Export!$K80+GREET1_Import_Export!$F$179*GREET1_Import_Export!$B194+GREET1_Import_Export!$F194)+F$30*(GREET1_Import_Export!$O80+GREET1_Import_Export!$G$179*GREET1_Import_Export!$B194+GREET1_Import_Export!$G194)+F$31*($B$14*GREET1_Import_Export!$B80+GREET1_Import_Export!$B230)+F$32*($B$15*GREET1_Import_Export!$AA80+GREET1_Import_Export!$B298)+F$33*(GREET1_Import_Export!$B323+GREET1_Import_Export!$C323)</f>
        <v>1018.824404300768</v>
      </c>
      <c r="G49" s="497"/>
    </row>
    <row r="50" spans="1:10" s="496" customFormat="1">
      <c r="A50" s="347" t="s">
        <v>830</v>
      </c>
      <c r="B50" s="347">
        <f>B$29*($B$13*GREET1_Import_Export!$K81+GREET1_Import_Export!$F$179*GREET1_Import_Export!$B195+GREET1_Import_Export!$F195)+B$30*(GREET1_Import_Export!$O81+GREET1_Import_Export!$G$179*GREET1_Import_Export!$B195+GREET1_Import_Export!$G195)+B$31*($B$14*GREET1_Import_Export!$B81+GREET1_Import_Export!$B231)+B$32*($B$15*GREET1_Import_Export!$AA81+GREET1_Import_Export!$B299)+B$33*(GREET1_Import_Export!$B324+GREET1_Import_Export!$C324)</f>
        <v>68.621800886878646</v>
      </c>
      <c r="C50" s="497"/>
      <c r="D50" s="349">
        <f>D$29*($B$13*GREET1_Import_Export!$K81+GREET1_Import_Export!$F$179*GREET1_Import_Export!$B195+GREET1_Import_Export!$F195)+D$30*(GREET1_Import_Export!$O81+GREET1_Import_Export!$G$179*GREET1_Import_Export!$B195+GREET1_Import_Export!$G195)+D$31*($B$14*GREET1_Import_Export!$B81+GREET1_Import_Export!$B231)+D$32*($B$15*GREET1_Import_Export!$AA81+GREET1_Import_Export!$B299)+D$33*(GREET1_Import_Export!$B324+GREET1_Import_Export!$C324)</f>
        <v>14.143195930828728</v>
      </c>
      <c r="F50" s="347">
        <f>F$29*($B$13*GREET1_Import_Export!$K81+GREET1_Import_Export!$F$179*GREET1_Import_Export!$B195+GREET1_Import_Export!$F195)+F$30*(GREET1_Import_Export!$O81+GREET1_Import_Export!$G$179*GREET1_Import_Export!$B195+GREET1_Import_Export!$G195)+F$31*($B$14*GREET1_Import_Export!$B81+GREET1_Import_Export!$B231)+F$32*($B$15*GREET1_Import_Export!$AA81+GREET1_Import_Export!$B299)+F$33*(GREET1_Import_Export!$B324+GREET1_Import_Export!$C324)</f>
        <v>9.2435956502342869</v>
      </c>
      <c r="G50" s="497"/>
    </row>
    <row r="51" spans="1:10" s="535" customFormat="1">
      <c r="A51" s="668" t="s">
        <v>831</v>
      </c>
      <c r="B51" s="295">
        <f>B$29*($B$13*GREET1_Import_Export!$K82+GREET1_Import_Export!$F$179*GREET1_Import_Export!$B196+GREET1_Import_Export!$F196)+B$30*(GREET1_Import_Export!$O82+GREET1_Import_Export!$G$179*GREET1_Import_Export!$B196+GREET1_Import_Export!$G196)+B$31*($B$14*GREET1_Import_Export!$B82+GREET1_Import_Export!$B232)+B$32*($B$15*GREET1_Import_Export!$AA82+GREET1_Import_Export!$B300)+B$33*(GREET1_Import_Export!$B325+GREET1_Import_Export!$C325)</f>
        <v>2726975.1078636074</v>
      </c>
      <c r="C51" s="542"/>
      <c r="D51" s="294">
        <f>D$29*($B$13*GREET1_Import_Export!$K82+GREET1_Import_Export!$F$179*GREET1_Import_Export!$B196+GREET1_Import_Export!$F196)+D$30*(GREET1_Import_Export!$O82+GREET1_Import_Export!$G$179*GREET1_Import_Export!$B196+GREET1_Import_Export!$G196)+D$31*($B$14*GREET1_Import_Export!$B82+GREET1_Import_Export!$B232)+D$32*($B$15*GREET1_Import_Export!$AA82+GREET1_Import_Export!$B300)+D$33*(GREET1_Import_Export!$B325+GREET1_Import_Export!$C325)</f>
        <v>518424.56488374178</v>
      </c>
      <c r="E51" s="537"/>
      <c r="F51" s="295">
        <f>F$29*($B$13*GREET1_Import_Export!$K82+GREET1_Import_Export!$F$179*GREET1_Import_Export!$B196+GREET1_Import_Export!$F196)+F$30*(GREET1_Import_Export!$O82+GREET1_Import_Export!$G$179*GREET1_Import_Export!$B196+GREET1_Import_Export!$G196)+F$31*($B$14*GREET1_Import_Export!$B82+GREET1_Import_Export!$B232)+F$32*($B$15*GREET1_Import_Export!$AA82+GREET1_Import_Export!$B300)+F$33*(GREET1_Import_Export!$B325+GREET1_Import_Export!$C325)</f>
        <v>450172.63761772355</v>
      </c>
      <c r="G51" s="542"/>
    </row>
    <row r="52" spans="1:10" s="496" customFormat="1">
      <c r="A52" s="758" t="s">
        <v>865</v>
      </c>
      <c r="B52" s="390"/>
      <c r="C52" s="497"/>
      <c r="D52" s="389"/>
      <c r="F52" s="390"/>
      <c r="G52" s="497"/>
    </row>
    <row r="53" spans="1:10" s="496" customFormat="1">
      <c r="A53" s="347" t="s">
        <v>821</v>
      </c>
      <c r="B53" s="347">
        <f>B$29*(B$21*($B$13*GREET1_Import_Export!$K72)+GREET1_Import_Export!$F$200*GREET1_Import_Export!$B201+GREET1_Import_Export!$F201)+B$30*(B$21*(GREET1_Import_Export!$O72)+GREET1_Import_Export!$G$200*GREET1_Import_Export!$B201+GREET1_Import_Export!$G201)+B$31*(B$21*($B$14*GREET1_Import_Export!$B72)+GREET1_Import_Export!$B237)+B$32*(B$21*($B$15*GREET1_Import_Export!$AA72)+GREET1_Import_Export!$C290)+B$33*(GREET1_Import_Export!$D315+GREET1_Import_Export!$E315)</f>
        <v>43.76606780550118</v>
      </c>
      <c r="C53" s="497">
        <f t="shared" ref="C53:C60" si="0">C41*B$21</f>
        <v>0</v>
      </c>
      <c r="D53" s="349">
        <f>D$29*(D$21*($B$13*GREET1_Import_Export!$K72)+GREET1_Import_Export!$F$200*GREET1_Import_Export!$B201+GREET1_Import_Export!$F201)+D$30*(D$21*(GREET1_Import_Export!$O72)+GREET1_Import_Export!$G$200*GREET1_Import_Export!$B201+GREET1_Import_Export!$G201)+D$31*(D$21*($B$14*GREET1_Import_Export!$B72)+GREET1_Import_Export!$B237)+D$32*(D$21*($B$15*GREET1_Import_Export!$AA72)+GREET1_Import_Export!$C290)+D$33*(GREET1_Import_Export!$D315+GREET1_Import_Export!$E315)</f>
        <v>4.293312532984972</v>
      </c>
      <c r="E53" s="496">
        <f t="shared" ref="E53:E60" si="1">E41*D$21</f>
        <v>0</v>
      </c>
      <c r="F53" s="347">
        <f>F$29*(F$21*($B$13*GREET1_Import_Export!$K72)+GREET1_Import_Export!$F$200*GREET1_Import_Export!$B201+GREET1_Import_Export!$F201)+F$30*(F$21*(GREET1_Import_Export!$O72)+GREET1_Import_Export!$G$200*GREET1_Import_Export!$B201+GREET1_Import_Export!$G201)+F$31*(F$21*($B$14*GREET1_Import_Export!$B72)+GREET1_Import_Export!$B237)+F$32*(F$21*($B$15*GREET1_Import_Export!$AA72)+GREET1_Import_Export!$C290)+F$33*(GREET1_Import_Export!$D315+GREET1_Import_Export!$E315)</f>
        <v>3.2862020376800083</v>
      </c>
      <c r="G53" s="497">
        <f t="shared" ref="G53:G60" si="2">G41*F$21</f>
        <v>0</v>
      </c>
    </row>
    <row r="54" spans="1:10" s="496" customFormat="1">
      <c r="A54" s="347" t="s">
        <v>822</v>
      </c>
      <c r="B54" s="347">
        <f>B$29*(B$21*($B$13*GREET1_Import_Export!$K73)+GREET1_Import_Export!$F$200*GREET1_Import_Export!$B202+GREET1_Import_Export!$F202)+B$30*(B$21*(GREET1_Import_Export!$O73)+GREET1_Import_Export!$G$200*GREET1_Import_Export!$B202+GREET1_Import_Export!$G202)+B$31*(B$21*($B$14*GREET1_Import_Export!$B73)+GREET1_Import_Export!$B238)+B$32*(B$21*($B$15*GREET1_Import_Export!$AA73)+GREET1_Import_Export!$C291)+B$33*(GREET1_Import_Export!$D316+GREET1_Import_Export!$E316)</f>
        <v>71.926074299494871</v>
      </c>
      <c r="C54" s="497">
        <f t="shared" si="0"/>
        <v>0</v>
      </c>
      <c r="D54" s="349">
        <f>D$29*(D$21*($B$13*GREET1_Import_Export!$K73)+GREET1_Import_Export!$F$200*GREET1_Import_Export!$B202+GREET1_Import_Export!$F202)+D$30*(D$21*(GREET1_Import_Export!$O73)+GREET1_Import_Export!$G$200*GREET1_Import_Export!$B202+GREET1_Import_Export!$G202)+D$31*(D$21*($B$14*GREET1_Import_Export!$B73)+GREET1_Import_Export!$B238)+D$32*(D$21*($B$15*GREET1_Import_Export!$AA73)+GREET1_Import_Export!$C291)+D$33*(GREET1_Import_Export!$D316+GREET1_Import_Export!$E316)</f>
        <v>25.155850619648298</v>
      </c>
      <c r="E54" s="496">
        <f t="shared" si="1"/>
        <v>0</v>
      </c>
      <c r="F54" s="347">
        <f>F$29*(F$21*($B$13*GREET1_Import_Export!$K73)+GREET1_Import_Export!$F$200*GREET1_Import_Export!$B202+GREET1_Import_Export!$F202)+F$30*(F$21*(GREET1_Import_Export!$O73)+GREET1_Import_Export!$G$200*GREET1_Import_Export!$B202+GREET1_Import_Export!$G202)+F$31*(F$21*($B$14*GREET1_Import_Export!$B73)+GREET1_Import_Export!$B238)+F$32*(F$21*($B$15*GREET1_Import_Export!$AA73)+GREET1_Import_Export!$C291)+F$33*(GREET1_Import_Export!$D316+GREET1_Import_Export!$E316)</f>
        <v>24.260626088222921</v>
      </c>
      <c r="G54" s="497">
        <f t="shared" si="2"/>
        <v>0</v>
      </c>
    </row>
    <row r="55" spans="1:10" s="496" customFormat="1">
      <c r="A55" s="347" t="s">
        <v>823</v>
      </c>
      <c r="B55" s="347">
        <f>B$29*(B$21*($B$13*GREET1_Import_Export!$K74)+GREET1_Import_Export!$F$200*GREET1_Import_Export!$B203+GREET1_Import_Export!$F203)+B$30*(B$21*(GREET1_Import_Export!$O74)+GREET1_Import_Export!$G$200*GREET1_Import_Export!$B203+GREET1_Import_Export!$G203)+B$31*(B$21*($B$14*GREET1_Import_Export!$B74)+GREET1_Import_Export!$B239)+B$32*(B$21*($B$15*GREET1_Import_Export!$AA74)+GREET1_Import_Export!$C292)+B$33*(GREET1_Import_Export!$D317+GREET1_Import_Export!$E317)</f>
        <v>99.758049423521541</v>
      </c>
      <c r="C55" s="497">
        <f t="shared" si="0"/>
        <v>0</v>
      </c>
      <c r="D55" s="349">
        <f>D$29*(D$21*($B$13*GREET1_Import_Export!$K74)+GREET1_Import_Export!$F$200*GREET1_Import_Export!$B203+GREET1_Import_Export!$F203)+D$30*(D$21*(GREET1_Import_Export!$O74)+GREET1_Import_Export!$G$200*GREET1_Import_Export!$B203+GREET1_Import_Export!$G203)+D$31*(D$21*($B$14*GREET1_Import_Export!$B74)+GREET1_Import_Export!$B239)+D$32*(D$21*($B$15*GREET1_Import_Export!$AA74)+GREET1_Import_Export!$C292)+D$33*(GREET1_Import_Export!$D317+GREET1_Import_Export!$E317)</f>
        <v>53.178488012915011</v>
      </c>
      <c r="E55" s="496">
        <f t="shared" si="1"/>
        <v>0</v>
      </c>
      <c r="F55" s="347">
        <f>F$29*(F$21*($B$13*GREET1_Import_Export!$K74)+GREET1_Import_Export!$F$200*GREET1_Import_Export!$B203+GREET1_Import_Export!$F203)+F$30*(F$21*(GREET1_Import_Export!$O74)+GREET1_Import_Export!$G$200*GREET1_Import_Export!$B203+GREET1_Import_Export!$G203)+F$31*(F$21*($B$14*GREET1_Import_Export!$B74)+GREET1_Import_Export!$B239)+F$32*(F$21*($B$15*GREET1_Import_Export!$AA74)+GREET1_Import_Export!$C292)+F$33*(GREET1_Import_Export!$D317+GREET1_Import_Export!$E317)</f>
        <v>72.460906561449292</v>
      </c>
      <c r="G55" s="497">
        <f t="shared" si="2"/>
        <v>0</v>
      </c>
    </row>
    <row r="56" spans="1:10" s="496" customFormat="1">
      <c r="A56" s="347" t="s">
        <v>824</v>
      </c>
      <c r="B56" s="347">
        <f>B$29*(B$21*($B$13*GREET1_Import_Export!$K75)+GREET1_Import_Export!$F$200*GREET1_Import_Export!$B204+GREET1_Import_Export!$F204)+B$30*(B$21*(GREET1_Import_Export!$O75)+GREET1_Import_Export!$G$200*GREET1_Import_Export!$B204+GREET1_Import_Export!$G204)+B$31*(B$21*($B$14*GREET1_Import_Export!$B75)+GREET1_Import_Export!$B240)+B$32*(B$21*($B$15*GREET1_Import_Export!$AA75)+GREET1_Import_Export!$C293)+B$33*(GREET1_Import_Export!$D318+GREET1_Import_Export!$E318)</f>
        <v>7.8883185322829616</v>
      </c>
      <c r="C56" s="497">
        <f t="shared" si="0"/>
        <v>0</v>
      </c>
      <c r="D56" s="349">
        <f>D$29*(D$21*($B$13*GREET1_Import_Export!$K75)+GREET1_Import_Export!$F$200*GREET1_Import_Export!$B204+GREET1_Import_Export!$F204)+D$30*(D$21*(GREET1_Import_Export!$O75)+GREET1_Import_Export!$G$200*GREET1_Import_Export!$B204+GREET1_Import_Export!$G204)+D$31*(D$21*($B$14*GREET1_Import_Export!$B75)+GREET1_Import_Export!$B240)+D$32*(D$21*($B$15*GREET1_Import_Export!$AA75)+GREET1_Import_Export!$C293)+D$33*(GREET1_Import_Export!$D318+GREET1_Import_Export!$E318)</f>
        <v>5.23309792617348</v>
      </c>
      <c r="E56" s="496">
        <f t="shared" si="1"/>
        <v>0</v>
      </c>
      <c r="F56" s="347">
        <f>F$29*(F$21*($B$13*GREET1_Import_Export!$K75)+GREET1_Import_Export!$F$200*GREET1_Import_Export!$B204+GREET1_Import_Export!$F204)+F$30*(F$21*(GREET1_Import_Export!$O75)+GREET1_Import_Export!$G$200*GREET1_Import_Export!$B204+GREET1_Import_Export!$G204)+F$31*(F$21*($B$14*GREET1_Import_Export!$B75)+GREET1_Import_Export!$B240)+F$32*(F$21*($B$15*GREET1_Import_Export!$AA75)+GREET1_Import_Export!$C293)+F$33*(GREET1_Import_Export!$D318+GREET1_Import_Export!$E318)</f>
        <v>9.6743481412979957</v>
      </c>
      <c r="G56" s="497">
        <f t="shared" si="2"/>
        <v>0</v>
      </c>
    </row>
    <row r="57" spans="1:10" s="496" customFormat="1">
      <c r="A57" s="347" t="s">
        <v>825</v>
      </c>
      <c r="B57" s="347">
        <f>B$29*(B$21*($B$13*GREET1_Import_Export!$K76)+GREET1_Import_Export!$F$200*GREET1_Import_Export!$B205+GREET1_Import_Export!$F205)+B$30*(B$21*(GREET1_Import_Export!$O76)+GREET1_Import_Export!$G$200*GREET1_Import_Export!$B205+GREET1_Import_Export!$G205)+B$31*(B$21*($B$14*GREET1_Import_Export!$B76)+GREET1_Import_Export!$B241)+B$32*(B$21*($B$15*GREET1_Import_Export!$AA76)+GREET1_Import_Export!$C294)+B$33*(GREET1_Import_Export!$D319+GREET1_Import_Export!$E319)</f>
        <v>6.9617922197502473</v>
      </c>
      <c r="C57" s="348">
        <f t="shared" si="0"/>
        <v>0</v>
      </c>
      <c r="D57" s="349">
        <f>D$29*(D$21*($B$13*GREET1_Import_Export!$K76)+GREET1_Import_Export!$F$200*GREET1_Import_Export!$B205+GREET1_Import_Export!$F205)+D$30*(D$21*(GREET1_Import_Export!$O76)+GREET1_Import_Export!$G$200*GREET1_Import_Export!$B205+GREET1_Import_Export!$G205)+D$31*(D$21*($B$14*GREET1_Import_Export!$B76)+GREET1_Import_Export!$B241)+D$32*(D$21*($B$15*GREET1_Import_Export!$AA76)+GREET1_Import_Export!$C294)+D$33*(GREET1_Import_Export!$D319+GREET1_Import_Export!$E319)</f>
        <v>4.6043676414939121</v>
      </c>
      <c r="E57" s="349">
        <f t="shared" si="1"/>
        <v>0</v>
      </c>
      <c r="F57" s="347">
        <f>F$29*(F$21*($B$13*GREET1_Import_Export!$K76)+GREET1_Import_Export!$F$200*GREET1_Import_Export!$B205+GREET1_Import_Export!$F205)+F$30*(F$21*(GREET1_Import_Export!$O76)+GREET1_Import_Export!$G$200*GREET1_Import_Export!$B205+GREET1_Import_Export!$G205)+F$31*(F$21*($B$14*GREET1_Import_Export!$B76)+GREET1_Import_Export!$B241)+F$32*(F$21*($B$15*GREET1_Import_Export!$AA76)+GREET1_Import_Export!$C294)+F$33*(GREET1_Import_Export!$D319+GREET1_Import_Export!$E319)</f>
        <v>8.5069449799018582</v>
      </c>
      <c r="G57" s="348">
        <f t="shared" si="2"/>
        <v>0</v>
      </c>
    </row>
    <row r="58" spans="1:10" s="496" customFormat="1">
      <c r="A58" s="347" t="s">
        <v>826</v>
      </c>
      <c r="B58" s="347">
        <f>B$29*(B$21*($B$13*GREET1_Import_Export!$K77)+GREET1_Import_Export!$F$200*GREET1_Import_Export!$B206+GREET1_Import_Export!$F206)+B$30*(B$21*(GREET1_Import_Export!$O77)+GREET1_Import_Export!$G$200*GREET1_Import_Export!$B206+GREET1_Import_Export!$G206)+B$31*(B$21*($B$14*GREET1_Import_Export!$B77)+GREET1_Import_Export!$B242)+B$32*(B$21*($B$15*GREET1_Import_Export!$AA77)+GREET1_Import_Export!$C295)+B$33*(GREET1_Import_Export!$D320+GREET1_Import_Export!$E320)</f>
        <v>24.162846331818994</v>
      </c>
      <c r="C58" s="497">
        <f t="shared" si="0"/>
        <v>0</v>
      </c>
      <c r="D58" s="349">
        <f>D$29*(D$21*($B$13*GREET1_Import_Export!$K77)+GREET1_Import_Export!$F$200*GREET1_Import_Export!$B206+GREET1_Import_Export!$F206)+D$30*(D$21*(GREET1_Import_Export!$O77)+GREET1_Import_Export!$G$200*GREET1_Import_Export!$B206+GREET1_Import_Export!$G206)+D$31*(D$21*($B$14*GREET1_Import_Export!$B77)+GREET1_Import_Export!$B242)+D$32*(D$21*($B$15*GREET1_Import_Export!$AA77)+GREET1_Import_Export!$C295)+D$33*(GREET1_Import_Export!$D320+GREET1_Import_Export!$E320)</f>
        <v>39.107139990076554</v>
      </c>
      <c r="E58" s="496">
        <f t="shared" si="1"/>
        <v>0</v>
      </c>
      <c r="F58" s="347">
        <f>F$29*(F$21*($B$13*GREET1_Import_Export!$K77)+GREET1_Import_Export!$F$200*GREET1_Import_Export!$B206+GREET1_Import_Export!$F206)+F$30*(F$21*(GREET1_Import_Export!$O77)+GREET1_Import_Export!$G$200*GREET1_Import_Export!$B206+GREET1_Import_Export!$G206)+F$31*(F$21*($B$14*GREET1_Import_Export!$B77)+GREET1_Import_Export!$B242)+F$32*(F$21*($B$15*GREET1_Import_Export!$AA77)+GREET1_Import_Export!$C295)+F$33*(GREET1_Import_Export!$D320+GREET1_Import_Export!$E320)</f>
        <v>71.996428727568798</v>
      </c>
      <c r="G58" s="497">
        <f t="shared" si="2"/>
        <v>0</v>
      </c>
    </row>
    <row r="59" spans="1:10" s="496" customFormat="1">
      <c r="A59" s="347" t="s">
        <v>827</v>
      </c>
      <c r="B59" s="347">
        <f>B$29*(B$21*($B$13*GREET1_Import_Export!$K78)+GREET1_Import_Export!$F$200*GREET1_Import_Export!$B207+GREET1_Import_Export!$F207)+B$30*(B$21*(GREET1_Import_Export!$O78)+GREET1_Import_Export!$G$200*GREET1_Import_Export!$B207+GREET1_Import_Export!$G207)+B$31*(B$21*($B$14*GREET1_Import_Export!$B78)+GREET1_Import_Export!$B243)+B$32*(B$21*($B$15*GREET1_Import_Export!$AA78)+GREET1_Import_Export!$C296)+B$33*(GREET1_Import_Export!$D321+GREET1_Import_Export!$E321)</f>
        <v>0.71840661348349411</v>
      </c>
      <c r="C59" s="348">
        <f t="shared" si="0"/>
        <v>0</v>
      </c>
      <c r="D59" s="349">
        <f>D$29*(D$21*($B$13*GREET1_Import_Export!$K78)+GREET1_Import_Export!$F$200*GREET1_Import_Export!$B207+GREET1_Import_Export!$F207)+D$30*(D$21*(GREET1_Import_Export!$O78)+GREET1_Import_Export!$G$200*GREET1_Import_Export!$B207+GREET1_Import_Export!$G207)+D$31*(D$21*($B$14*GREET1_Import_Export!$B78)+GREET1_Import_Export!$B243)+D$32*(D$21*($B$15*GREET1_Import_Export!$AA78)+GREET1_Import_Export!$C296)+D$33*(GREET1_Import_Export!$D321+GREET1_Import_Export!$E321)</f>
        <v>0.24390020682632091</v>
      </c>
      <c r="E59" s="349">
        <f t="shared" si="1"/>
        <v>0</v>
      </c>
      <c r="F59" s="347">
        <f>F$29*(F$21*($B$13*GREET1_Import_Export!$K78)+GREET1_Import_Export!$F$200*GREET1_Import_Export!$B207+GREET1_Import_Export!$F207)+F$30*(F$21*(GREET1_Import_Export!$O78)+GREET1_Import_Export!$G$200*GREET1_Import_Export!$B207+GREET1_Import_Export!$G207)+F$31*(F$21*($B$14*GREET1_Import_Export!$B78)+GREET1_Import_Export!$B243)+F$32*(F$21*($B$15*GREET1_Import_Export!$AA78)+GREET1_Import_Export!$C296)+F$33*(GREET1_Import_Export!$D321+GREET1_Import_Export!$E321)</f>
        <v>0.43841324111530366</v>
      </c>
      <c r="G59" s="348">
        <f t="shared" si="2"/>
        <v>0</v>
      </c>
    </row>
    <row r="60" spans="1:10" s="496" customFormat="1">
      <c r="A60" s="503" t="s">
        <v>828</v>
      </c>
      <c r="B60" s="503">
        <f>B$29*(B$21*($B$13*GREET1_Import_Export!$K79)+GREET1_Import_Export!$F$200*GREET1_Import_Export!$B208+GREET1_Import_Export!$F208)+B$30*(B$21*(GREET1_Import_Export!$O79)+GREET1_Import_Export!$G$200*GREET1_Import_Export!$B208+GREET1_Import_Export!$G208)+B$31*(B$21*($B$14*GREET1_Import_Export!$B79)+GREET1_Import_Export!$B244)+B$32*(B$21*($B$15*GREET1_Import_Export!$AA79)+GREET1_Import_Export!$C297)+B$33*(GREET1_Import_Export!$D322+GREET1_Import_Export!$E322)</f>
        <v>1.2660354421974038</v>
      </c>
      <c r="C60" s="500">
        <f t="shared" si="0"/>
        <v>0</v>
      </c>
      <c r="D60" s="505">
        <f>D$29*(D$21*($B$13*GREET1_Import_Export!$K79)+GREET1_Import_Export!$F$200*GREET1_Import_Export!$B208+GREET1_Import_Export!$F208)+D$30*(D$21*(GREET1_Import_Export!$O79)+GREET1_Import_Export!$G$200*GREET1_Import_Export!$B208+GREET1_Import_Export!$G208)+D$31*(D$21*($B$14*GREET1_Import_Export!$B79)+GREET1_Import_Export!$B244)+D$32*(D$21*($B$15*GREET1_Import_Export!$AA79)+GREET1_Import_Export!$C297)+D$33*(GREET1_Import_Export!$D322+GREET1_Import_Export!$E322)</f>
        <v>1.3201585335840005</v>
      </c>
      <c r="E60" s="499">
        <f t="shared" si="1"/>
        <v>0</v>
      </c>
      <c r="F60" s="503">
        <f>F$29*(F$21*($B$13*GREET1_Import_Export!$K79)+GREET1_Import_Export!$F$200*GREET1_Import_Export!$B208+GREET1_Import_Export!$F208)+F$30*(F$21*(GREET1_Import_Export!$O79)+GREET1_Import_Export!$G$200*GREET1_Import_Export!$B208+GREET1_Import_Export!$G208)+F$31*(F$21*($B$14*GREET1_Import_Export!$B79)+GREET1_Import_Export!$B244)+F$32*(F$21*($B$15*GREET1_Import_Export!$AA79)+GREET1_Import_Export!$C297)+F$33*(GREET1_Import_Export!$D322+GREET1_Import_Export!$E322)</f>
        <v>2.4330261659905053</v>
      </c>
      <c r="G60" s="500">
        <f t="shared" si="2"/>
        <v>0</v>
      </c>
    </row>
    <row r="61" spans="1:10" s="496" customFormat="1">
      <c r="A61" s="349"/>
    </row>
    <row r="62" spans="1:10" s="496" customFormat="1" ht="15">
      <c r="A62" s="602" t="s">
        <v>1205</v>
      </c>
    </row>
    <row r="63" spans="1:10" s="496" customFormat="1" ht="38.25">
      <c r="A63" s="510"/>
      <c r="B63" s="769" t="s">
        <v>547</v>
      </c>
      <c r="C63" s="759" t="s">
        <v>396</v>
      </c>
      <c r="D63" s="760" t="s">
        <v>401</v>
      </c>
      <c r="E63" s="3095" t="s">
        <v>1206</v>
      </c>
      <c r="F63" s="3095"/>
      <c r="G63" s="3097" t="s">
        <v>1207</v>
      </c>
      <c r="H63" s="3096"/>
      <c r="I63" s="3095" t="s">
        <v>1208</v>
      </c>
      <c r="J63" s="3096"/>
    </row>
    <row r="64" spans="1:10" s="496" customFormat="1">
      <c r="A64" s="699" t="s">
        <v>1029</v>
      </c>
      <c r="B64" s="778"/>
      <c r="C64" s="508"/>
      <c r="D64" s="507"/>
      <c r="E64" s="802" t="s">
        <v>845</v>
      </c>
      <c r="F64" s="597" t="s">
        <v>846</v>
      </c>
      <c r="G64" s="804" t="s">
        <v>845</v>
      </c>
      <c r="H64" s="544" t="s">
        <v>846</v>
      </c>
      <c r="I64" s="802" t="s">
        <v>845</v>
      </c>
      <c r="J64" s="544" t="s">
        <v>846</v>
      </c>
    </row>
    <row r="65" spans="1:10" s="496" customFormat="1">
      <c r="A65" s="347" t="s">
        <v>816</v>
      </c>
      <c r="B65" s="498">
        <f t="shared" ref="B65:B70" si="3">B34</f>
        <v>38.146246448679655</v>
      </c>
      <c r="C65" s="498">
        <f t="shared" ref="C65:C70" si="4">D34</f>
        <v>8.8059798208622446</v>
      </c>
      <c r="D65" s="497">
        <f t="shared" ref="D65:D70" si="5">F34</f>
        <v>7.7126941662541624</v>
      </c>
      <c r="E65" s="497">
        <f>B65*Rubber!$A$6+Rubber!$A$6*$C65</f>
        <v>46.952226269541896</v>
      </c>
      <c r="F65" s="496">
        <f>E65/2000</f>
        <v>2.3476113134770948E-2</v>
      </c>
      <c r="G65" s="491">
        <f>B65*Rubber!$B$6+Rubber!$B$6*$D65</f>
        <v>47.266810091812282</v>
      </c>
      <c r="H65" s="497">
        <f>G65/2000</f>
        <v>2.363340504590614E-2</v>
      </c>
      <c r="I65" s="497">
        <f>E65*Rubber!$A$10+G65*Rubber!$B$10</f>
        <v>46.98683048999164</v>
      </c>
      <c r="J65" s="497">
        <f>I65/2000</f>
        <v>2.3493415244995819E-2</v>
      </c>
    </row>
    <row r="66" spans="1:10" s="496" customFormat="1">
      <c r="A66" s="347" t="s">
        <v>817</v>
      </c>
      <c r="B66" s="498">
        <f t="shared" si="3"/>
        <v>37.910010265639393</v>
      </c>
      <c r="C66" s="498">
        <f t="shared" si="4"/>
        <v>7.9453756034729164</v>
      </c>
      <c r="D66" s="497">
        <f t="shared" si="5"/>
        <v>6.1085646217558605</v>
      </c>
      <c r="E66" s="497">
        <f>B66*Rubber!$A$6+Rubber!$A$6*$C66</f>
        <v>45.855385869112311</v>
      </c>
      <c r="F66" s="496">
        <f>E66/2000</f>
        <v>2.2927692934556154E-2</v>
      </c>
      <c r="G66" s="491">
        <f>B66*Rubber!$B$6+Rubber!$B$6*$D66</f>
        <v>45.36994513643829</v>
      </c>
      <c r="H66" s="497">
        <f>G66/2000</f>
        <v>2.2684972568219143E-2</v>
      </c>
      <c r="I66" s="497">
        <f>E66*Rubber!$A$10+G66*Rubber!$B$10</f>
        <v>45.801987388518171</v>
      </c>
      <c r="J66" s="497">
        <f>I66/2000</f>
        <v>2.2900993694259086E-2</v>
      </c>
    </row>
    <row r="67" spans="1:10" s="496" customFormat="1">
      <c r="A67" s="347" t="s">
        <v>805</v>
      </c>
      <c r="B67" s="498">
        <f t="shared" si="3"/>
        <v>0.30729749834355485</v>
      </c>
      <c r="C67" s="498">
        <f t="shared" si="4"/>
        <v>1.1376481493627468</v>
      </c>
      <c r="D67" s="497">
        <f t="shared" si="5"/>
        <v>2.1205365843118331</v>
      </c>
      <c r="E67" s="497">
        <f>B67*Rubber!$A$6+Rubber!$A$6*$C67</f>
        <v>1.4449456477063016</v>
      </c>
      <c r="F67" s="496">
        <f>E67/2000</f>
        <v>7.2247282385315078E-4</v>
      </c>
      <c r="G67" s="491">
        <f>B67*Rubber!$B$6+Rubber!$B$6*$D67</f>
        <v>2.5023685889929084</v>
      </c>
      <c r="H67" s="497">
        <f>G67/2000</f>
        <v>1.2511842944964542E-3</v>
      </c>
      <c r="I67" s="497">
        <f>E67*Rubber!$A$10+G67*Rubber!$B$10</f>
        <v>1.5612621712478285</v>
      </c>
      <c r="J67" s="497">
        <f>I67/2000</f>
        <v>7.8063108562391426E-4</v>
      </c>
    </row>
    <row r="68" spans="1:10" s="496" customFormat="1">
      <c r="A68" s="347" t="s">
        <v>804</v>
      </c>
      <c r="B68" s="498">
        <f t="shared" si="3"/>
        <v>20.082134591149448</v>
      </c>
      <c r="C68" s="498">
        <f t="shared" si="4"/>
        <v>6.7552419808132731</v>
      </c>
      <c r="D68" s="497">
        <f t="shared" si="5"/>
        <v>3.9216877919830648</v>
      </c>
      <c r="E68" s="497">
        <f>B68*Rubber!$A$6+Rubber!$A$6*$C68</f>
        <v>26.837376571962722</v>
      </c>
      <c r="F68" s="496">
        <f>F66-F67-F69</f>
        <v>1.3418688285981358E-2</v>
      </c>
      <c r="G68" s="491">
        <f>B68*Rubber!$B$6+Rubber!$B$6*$D68</f>
        <v>24.740739730294678</v>
      </c>
      <c r="H68" s="497">
        <f>H66-H67-H69</f>
        <v>1.2370369865147338E-2</v>
      </c>
      <c r="I68" s="497">
        <f>E68*Rubber!$A$10+G68*Rubber!$B$10</f>
        <v>26.606746519379236</v>
      </c>
      <c r="J68" s="497">
        <f>J66-J67-J69</f>
        <v>1.3303373259689619E-2</v>
      </c>
    </row>
    <row r="69" spans="1:10" s="496" customFormat="1">
      <c r="A69" s="347" t="s">
        <v>818</v>
      </c>
      <c r="B69" s="498">
        <f t="shared" si="3"/>
        <v>17.520578176146394</v>
      </c>
      <c r="C69" s="498">
        <f t="shared" si="4"/>
        <v>5.2485473296896443E-2</v>
      </c>
      <c r="D69" s="497">
        <f t="shared" si="5"/>
        <v>6.6340245460962677E-2</v>
      </c>
      <c r="E69" s="497">
        <f>B69*Rubber!$A$6+Rubber!$A$6*$C69</f>
        <v>17.573063649443291</v>
      </c>
      <c r="F69" s="496">
        <f>E69/2000</f>
        <v>8.7865318247216453E-3</v>
      </c>
      <c r="G69" s="491">
        <f>B69*Rubber!$B$6+Rubber!$B$6*$D69</f>
        <v>18.1268368171507</v>
      </c>
      <c r="H69" s="497">
        <f>G69/2000</f>
        <v>9.0634184085753508E-3</v>
      </c>
      <c r="I69" s="497">
        <f>E69*Rubber!$A$10+G69*Rubber!$B$10</f>
        <v>17.633978697891106</v>
      </c>
      <c r="J69" s="497">
        <f>I69/2000</f>
        <v>8.816989348945552E-3</v>
      </c>
    </row>
    <row r="70" spans="1:10" s="496" customFormat="1">
      <c r="A70" s="503" t="s">
        <v>819</v>
      </c>
      <c r="B70" s="598">
        <f t="shared" si="3"/>
        <v>427.21613768872237</v>
      </c>
      <c r="C70" s="598">
        <f t="shared" si="4"/>
        <v>234.00451115639197</v>
      </c>
      <c r="D70" s="599">
        <f t="shared" si="5"/>
        <v>413.33046962566902</v>
      </c>
      <c r="E70" s="599">
        <f>B70*Rubber!$A$6+Rubber!$A$6*$C70</f>
        <v>661.22064884511428</v>
      </c>
      <c r="F70" s="535">
        <f>E70/2000</f>
        <v>0.33061032442255717</v>
      </c>
      <c r="G70" s="745">
        <f>B70*Rubber!$B$6+Rubber!$B$6*$D70</f>
        <v>866.35138815894311</v>
      </c>
      <c r="H70" s="497">
        <f>G70/2000</f>
        <v>0.43317569407947154</v>
      </c>
      <c r="I70" s="599">
        <f>E70*Rubber!$A$10+G70*Rubber!$B$10</f>
        <v>683.78503016963543</v>
      </c>
      <c r="J70" s="497">
        <f>I70/2000</f>
        <v>0.34189251508481772</v>
      </c>
    </row>
    <row r="71" spans="1:10" s="496" customFormat="1">
      <c r="A71" s="699" t="s">
        <v>1030</v>
      </c>
      <c r="B71" s="609"/>
      <c r="C71" s="609"/>
      <c r="D71" s="803"/>
      <c r="E71" s="544" t="s">
        <v>845</v>
      </c>
      <c r="F71" s="597" t="s">
        <v>846</v>
      </c>
      <c r="G71" s="754" t="s">
        <v>845</v>
      </c>
      <c r="H71" s="544" t="s">
        <v>846</v>
      </c>
      <c r="I71" s="544" t="s">
        <v>845</v>
      </c>
      <c r="J71" s="544" t="s">
        <v>846</v>
      </c>
    </row>
    <row r="72" spans="1:10" s="496" customFormat="1">
      <c r="A72" s="347" t="s">
        <v>821</v>
      </c>
      <c r="B72" s="498">
        <f t="shared" ref="B72:B82" si="6">SUM(B41:C41)</f>
        <v>5601.1338330483868</v>
      </c>
      <c r="C72" s="498">
        <f t="shared" ref="C72:C82" si="7">SUM(D41:E41)</f>
        <v>82.569512384024051</v>
      </c>
      <c r="D72" s="497">
        <f t="shared" ref="D72:D82" si="8">SUM(F41:G41)</f>
        <v>52.697671169104233</v>
      </c>
      <c r="E72" s="497">
        <f>B72*Rubber!$A$6+Rubber!$A$6*$C72</f>
        <v>5683.703345432411</v>
      </c>
      <c r="F72" s="496">
        <f t="shared" ref="F72:F83" si="9">E72/2000</f>
        <v>2.8418516727162055</v>
      </c>
      <c r="G72" s="491">
        <f>B72*Rubber!$B$6+Rubber!$B$6*$D72</f>
        <v>5827.4041313969683</v>
      </c>
      <c r="H72" s="497">
        <f t="shared" ref="H72:H83" si="10">G72/2000</f>
        <v>2.9137020656984842</v>
      </c>
      <c r="I72" s="497">
        <f>E72*Rubber!$A$10+G72*Rubber!$B$10</f>
        <v>5699.5104318885124</v>
      </c>
      <c r="J72" s="497">
        <f t="shared" ref="J72:J83" si="11">I72/2000</f>
        <v>2.8497552159442563</v>
      </c>
    </row>
    <row r="73" spans="1:10" s="496" customFormat="1">
      <c r="A73" s="347" t="s">
        <v>822</v>
      </c>
      <c r="B73" s="498">
        <f t="shared" si="6"/>
        <v>1683.3808527380745</v>
      </c>
      <c r="C73" s="498">
        <f t="shared" si="7"/>
        <v>302.85593645914105</v>
      </c>
      <c r="D73" s="497">
        <f t="shared" si="8"/>
        <v>142.44124189440888</v>
      </c>
      <c r="E73" s="497">
        <f>B73*Rubber!$A$6+Rubber!$A$6*$C73</f>
        <v>1986.2367891972156</v>
      </c>
      <c r="F73" s="496">
        <f t="shared" si="9"/>
        <v>0.99311839459860773</v>
      </c>
      <c r="G73" s="491">
        <f>B73*Rubber!$B$6+Rubber!$B$6*$D73</f>
        <v>1881.8748329377004</v>
      </c>
      <c r="H73" s="497">
        <f t="shared" si="10"/>
        <v>0.94093741646885021</v>
      </c>
      <c r="I73" s="497">
        <f>E73*Rubber!$A$10+G73*Rubber!$B$10</f>
        <v>1974.7569740086687</v>
      </c>
      <c r="J73" s="497">
        <f t="shared" si="11"/>
        <v>0.98737848700433439</v>
      </c>
    </row>
    <row r="74" spans="1:10" s="496" customFormat="1">
      <c r="A74" s="347" t="s">
        <v>849</v>
      </c>
      <c r="B74" s="498">
        <f t="shared" si="6"/>
        <v>3856.8312256337904</v>
      </c>
      <c r="C74" s="498">
        <f t="shared" si="7"/>
        <v>465.05778626967435</v>
      </c>
      <c r="D74" s="497">
        <f t="shared" si="8"/>
        <v>293.4378108864442</v>
      </c>
      <c r="E74" s="497">
        <f>B74*Rubber!$A$6+Rubber!$A$6*$C74</f>
        <v>4321.889011903465</v>
      </c>
      <c r="F74" s="496">
        <f t="shared" si="9"/>
        <v>2.1609445059517323</v>
      </c>
      <c r="G74" s="491">
        <f>B74*Rubber!$B$6+Rubber!$B$6*$D74</f>
        <v>4277.6822959414058</v>
      </c>
      <c r="H74" s="497">
        <f t="shared" si="10"/>
        <v>2.138841147970703</v>
      </c>
      <c r="I74" s="497">
        <f>E74*Rubber!$A$10+G74*Rubber!$B$10</f>
        <v>4317.0262731476387</v>
      </c>
      <c r="J74" s="497">
        <f t="shared" si="11"/>
        <v>2.1585131365738195</v>
      </c>
    </row>
    <row r="75" spans="1:10" s="496" customFormat="1">
      <c r="A75" s="347" t="s">
        <v>824</v>
      </c>
      <c r="B75" s="498">
        <f t="shared" si="6"/>
        <v>583.76631030925444</v>
      </c>
      <c r="C75" s="498">
        <f t="shared" si="7"/>
        <v>41.763147812206455</v>
      </c>
      <c r="D75" s="497">
        <f t="shared" si="8"/>
        <v>46.972430052986915</v>
      </c>
      <c r="E75" s="497">
        <f>B75*Rubber!$A$6+Rubber!$A$6*$C75</f>
        <v>625.52945812146095</v>
      </c>
      <c r="F75" s="496">
        <f t="shared" si="9"/>
        <v>0.3127647290607305</v>
      </c>
      <c r="G75" s="491">
        <f>B75*Rubber!$B$6+Rubber!$B$6*$D75</f>
        <v>650.10241969136212</v>
      </c>
      <c r="H75" s="497">
        <f t="shared" si="10"/>
        <v>0.32505120984568103</v>
      </c>
      <c r="I75" s="497">
        <f>E75*Rubber!$A$10+G75*Rubber!$B$10</f>
        <v>628.23248389415005</v>
      </c>
      <c r="J75" s="497">
        <f t="shared" si="11"/>
        <v>0.31411624194707505</v>
      </c>
    </row>
    <row r="76" spans="1:10" s="496" customFormat="1">
      <c r="A76" s="347" t="s">
        <v>825</v>
      </c>
      <c r="B76" s="347">
        <f t="shared" si="6"/>
        <v>337.46165684284455</v>
      </c>
      <c r="C76" s="347">
        <f t="shared" si="7"/>
        <v>31.551478302608352</v>
      </c>
      <c r="D76" s="348">
        <f t="shared" si="8"/>
        <v>28.196118208350839</v>
      </c>
      <c r="E76" s="348">
        <f>B76*Rubber!$A$6+Rubber!$A$6*$C76</f>
        <v>369.01313514545291</v>
      </c>
      <c r="F76" s="349">
        <f t="shared" si="9"/>
        <v>0.18450656757272646</v>
      </c>
      <c r="G76" s="494">
        <f>B76*Rubber!$B$6+Rubber!$B$6*$D76</f>
        <v>376.88346874526707</v>
      </c>
      <c r="H76" s="348">
        <f t="shared" si="10"/>
        <v>0.18844173437263353</v>
      </c>
      <c r="I76" s="348">
        <f>E76*Rubber!$A$10+G76*Rubber!$B$10</f>
        <v>369.8788718414325</v>
      </c>
      <c r="J76" s="348">
        <f t="shared" si="11"/>
        <v>0.18493943592071624</v>
      </c>
    </row>
    <row r="77" spans="1:10" s="496" customFormat="1">
      <c r="A77" s="347" t="s">
        <v>826</v>
      </c>
      <c r="B77" s="347">
        <f t="shared" si="6"/>
        <v>2251.4703141449108</v>
      </c>
      <c r="C77" s="347">
        <f t="shared" si="7"/>
        <v>179.91388317307002</v>
      </c>
      <c r="D77" s="348">
        <f t="shared" si="8"/>
        <v>246.38151406273028</v>
      </c>
      <c r="E77" s="348">
        <f>B77*Rubber!$A$6+Rubber!$A$6*$C77</f>
        <v>2431.384197317981</v>
      </c>
      <c r="F77" s="349">
        <f t="shared" si="9"/>
        <v>1.2156920986589905</v>
      </c>
      <c r="G77" s="494">
        <f>B77*Rubber!$B$6+Rubber!$B$6*$D77</f>
        <v>2574.5358793336154</v>
      </c>
      <c r="H77" s="348">
        <f t="shared" si="10"/>
        <v>1.2872679396668076</v>
      </c>
      <c r="I77" s="348">
        <f>E77*Rubber!$A$10+G77*Rubber!$B$10</f>
        <v>2447.1308823397007</v>
      </c>
      <c r="J77" s="348">
        <f t="shared" si="11"/>
        <v>1.2235654411698504</v>
      </c>
    </row>
    <row r="78" spans="1:10" s="496" customFormat="1">
      <c r="A78" s="749" t="s">
        <v>827</v>
      </c>
      <c r="B78" s="347">
        <f t="shared" si="6"/>
        <v>30.353696281184906</v>
      </c>
      <c r="C78" s="347">
        <f t="shared" si="7"/>
        <v>3.7946313439166106</v>
      </c>
      <c r="D78" s="348">
        <f t="shared" si="8"/>
        <v>1.7203747870080792</v>
      </c>
      <c r="E78" s="348">
        <f>B78*Rubber!$A$6+Rubber!$A$6*$C78</f>
        <v>34.148327625101516</v>
      </c>
      <c r="F78" s="349">
        <f t="shared" si="9"/>
        <v>1.7074163812550759E-2</v>
      </c>
      <c r="G78" s="494">
        <f>B78*Rubber!$B$6+Rubber!$B$6*$D78</f>
        <v>33.058745049986506</v>
      </c>
      <c r="H78" s="348">
        <f t="shared" si="10"/>
        <v>1.6529372524993254E-2</v>
      </c>
      <c r="I78" s="348">
        <f>E78*Rubber!$A$10+G78*Rubber!$B$10</f>
        <v>34.028473541838864</v>
      </c>
      <c r="J78" s="348">
        <f t="shared" si="11"/>
        <v>1.7014236770919431E-2</v>
      </c>
    </row>
    <row r="79" spans="1:10" s="496" customFormat="1">
      <c r="A79" s="749" t="s">
        <v>828</v>
      </c>
      <c r="B79" s="347">
        <f t="shared" si="6"/>
        <v>45.289905825062903</v>
      </c>
      <c r="C79" s="347">
        <f t="shared" si="7"/>
        <v>11.350686821153072</v>
      </c>
      <c r="D79" s="348">
        <f t="shared" si="8"/>
        <v>8.1885671906849407</v>
      </c>
      <c r="E79" s="348">
        <f>B79*Rubber!$A$6+Rubber!$A$6*$C79</f>
        <v>56.640592646215978</v>
      </c>
      <c r="F79" s="349">
        <f t="shared" si="9"/>
        <v>2.832029632310799E-2</v>
      </c>
      <c r="G79" s="494">
        <f>B79*Rubber!$B$6+Rubber!$B$6*$D79</f>
        <v>55.120262137331302</v>
      </c>
      <c r="H79" s="348">
        <f t="shared" si="10"/>
        <v>2.7560131068665651E-2</v>
      </c>
      <c r="I79" s="348">
        <f>E79*Rubber!$A$10+G79*Rubber!$B$10</f>
        <v>56.473356290238662</v>
      </c>
      <c r="J79" s="348">
        <f t="shared" si="11"/>
        <v>2.8236678145119331E-2</v>
      </c>
    </row>
    <row r="80" spans="1:10" s="496" customFormat="1">
      <c r="A80" s="347" t="s">
        <v>829</v>
      </c>
      <c r="B80" s="347">
        <f t="shared" si="6"/>
        <v>5478.66418483096</v>
      </c>
      <c r="C80" s="347">
        <f t="shared" si="7"/>
        <v>1466.724759312345</v>
      </c>
      <c r="D80" s="348">
        <f t="shared" si="8"/>
        <v>1018.824404300768</v>
      </c>
      <c r="E80" s="348">
        <f>B80*Rubber!$A$6+Rubber!$A$6*$C80</f>
        <v>6945.3889441433048</v>
      </c>
      <c r="F80" s="349">
        <f t="shared" si="9"/>
        <v>3.4726944720716526</v>
      </c>
      <c r="G80" s="494">
        <f>B80*Rubber!$B$6+Rubber!$B$6*$D80</f>
        <v>6696.9614888180722</v>
      </c>
      <c r="H80" s="348">
        <f t="shared" si="10"/>
        <v>3.3484807444090361</v>
      </c>
      <c r="I80" s="348">
        <f>E80*Rubber!$A$10+G80*Rubber!$B$10</f>
        <v>6918.0619240575297</v>
      </c>
      <c r="J80" s="348">
        <f t="shared" si="11"/>
        <v>3.4590309620287649</v>
      </c>
    </row>
    <row r="81" spans="1:10" s="496" customFormat="1">
      <c r="A81" s="347" t="s">
        <v>830</v>
      </c>
      <c r="B81" s="390">
        <f t="shared" si="6"/>
        <v>68.621800886878646</v>
      </c>
      <c r="C81" s="390">
        <f t="shared" si="7"/>
        <v>14.143195930828728</v>
      </c>
      <c r="D81" s="391">
        <f t="shared" si="8"/>
        <v>9.2435956502342869</v>
      </c>
      <c r="E81" s="348">
        <f>B81*Rubber!$A$6+Rubber!$A$6*$C81</f>
        <v>82.76499681770737</v>
      </c>
      <c r="F81" s="349">
        <f t="shared" si="9"/>
        <v>4.1382498408853684E-2</v>
      </c>
      <c r="G81" s="494">
        <f>B81*Rubber!$B$6+Rubber!$B$6*$D81</f>
        <v>80.255864210802287</v>
      </c>
      <c r="H81" s="348">
        <f t="shared" si="10"/>
        <v>4.0127932105401144E-2</v>
      </c>
      <c r="I81" s="348">
        <f>E81*Rubber!$A$10+G81*Rubber!$B$10</f>
        <v>82.488992230947801</v>
      </c>
      <c r="J81" s="348">
        <f t="shared" si="11"/>
        <v>4.12444961154739E-2</v>
      </c>
    </row>
    <row r="82" spans="1:10" s="535" customFormat="1">
      <c r="A82" s="517" t="s">
        <v>831</v>
      </c>
      <c r="B82" s="251">
        <f t="shared" si="6"/>
        <v>2726975.1078636074</v>
      </c>
      <c r="C82" s="251">
        <f t="shared" si="7"/>
        <v>518424.56488374178</v>
      </c>
      <c r="D82" s="247">
        <f t="shared" si="8"/>
        <v>450172.63761772355</v>
      </c>
      <c r="E82" s="247">
        <f>B82*Rubber!$A$6+Rubber!$A$6*$C82</f>
        <v>3245399.6727473494</v>
      </c>
      <c r="F82" s="246">
        <f t="shared" si="9"/>
        <v>1622.6998363736748</v>
      </c>
      <c r="G82" s="253">
        <f>B82*Rubber!$B$6+Rubber!$B$6*$D82</f>
        <v>3274686.181267608</v>
      </c>
      <c r="H82" s="247">
        <f t="shared" si="10"/>
        <v>1637.343090633804</v>
      </c>
      <c r="I82" s="247">
        <f>E82*Rubber!$A$10+G82*Rubber!$B$10</f>
        <v>3248621.1886845781</v>
      </c>
      <c r="J82" s="247">
        <f t="shared" si="11"/>
        <v>1624.3105943422891</v>
      </c>
    </row>
    <row r="83" spans="1:10" s="535" customFormat="1">
      <c r="A83" s="517" t="s">
        <v>850</v>
      </c>
      <c r="B83" s="251">
        <f>B82+B72*GREET1_Import_Export!$B$62/GREET1_Import_Export!$B$65+B73*GREET1_Import_Export!$B$63/GREET1_Import_Export!$B$65</f>
        <v>2747077.2877451964</v>
      </c>
      <c r="C83" s="251">
        <f>C82+C72*GREET1_Import_Export!$B$62/GREET1_Import_Export!$B$65+C73*GREET1_Import_Export!$B$63/GREET1_Import_Export!$B$65</f>
        <v>519157.82300225063</v>
      </c>
      <c r="D83" s="247">
        <f>D82+D72*GREET1_Import_Export!$B$62/GREET1_Import_Export!$B$65+D73*GREET1_Import_Export!$B$63/GREET1_Import_Export!$B$65</f>
        <v>450560.71493012988</v>
      </c>
      <c r="E83" s="247">
        <f>B83*Rubber!$A$6+Rubber!$A$6*$C83</f>
        <v>3266235.1107474472</v>
      </c>
      <c r="F83" s="246">
        <f t="shared" si="9"/>
        <v>1633.1175553737237</v>
      </c>
      <c r="G83" s="253">
        <f>B83*Rubber!$B$6+Rubber!$B$6*$D83</f>
        <v>3295805.4893574584</v>
      </c>
      <c r="H83" s="247">
        <f t="shared" si="10"/>
        <v>1647.9027446787293</v>
      </c>
      <c r="I83" s="247">
        <f>E83*Rubber!$A$10+G83*Rubber!$B$10</f>
        <v>3269487.8523945487</v>
      </c>
      <c r="J83" s="247">
        <f t="shared" si="11"/>
        <v>1634.7439261972743</v>
      </c>
    </row>
    <row r="84" spans="1:10" s="535" customFormat="1">
      <c r="A84" s="668" t="s">
        <v>851</v>
      </c>
      <c r="B84" s="251">
        <f>B83+SUMPRODUCT(B80:B81,GREET1_Import_Export!$B$51:$B$52)+SUMPRODUCT(B72:B74,GREET1_Import_Export!$B$55:$B$57)+SUMPRODUCT(B78:B79,GREET1_Import_Export!$B$58:$B$59)</f>
        <v>2929621.9905251479</v>
      </c>
      <c r="C84" s="251">
        <f>C83+SUMPRODUCT(C80:C81,GREET1_Import_Export!$B$51:$B$52)+SUMPRODUCT(C72:C74,GREET1_Import_Export!$B$55:$B$57)+SUMPRODUCT(C78:C79,GREET1_Import_Export!$B$58:$B$59)</f>
        <v>566907.51270329056</v>
      </c>
      <c r="D84" s="247">
        <f>D83+SUMPRODUCT(D80:D81,GREET1_Import_Export!$B$51:$B$52)+SUMPRODUCT(D72:D74,GREET1_Import_Export!$B$55:$B$57)+SUMPRODUCT(D78:D79,GREET1_Import_Export!$B$58:$B$59)</f>
        <v>483574.999906465</v>
      </c>
      <c r="E84" s="296">
        <f>E83+SUMPRODUCT(E80:E81,GREET1_Import_Export!$B$51:$B$52)+SUMPRODUCT(E72:E74,GREET1_Import_Export!$B$55:$B$57)+SUMPRODUCT(E78:E79,GREET1_Import_Export!$B$58:$B$59)</f>
        <v>3496529.503228439</v>
      </c>
      <c r="F84" s="294">
        <f>F83+SUMPRODUCT(F80:F81,GREET1_Import_Export!$B$51:$B$52)+SUMPRODUCT(F72:F74,GREET1_Import_Export!$B$55:$B$57)+SUMPRODUCT(F78:F79,GREET1_Import_Export!$B$58:$B$59)</f>
        <v>1748.2647516142194</v>
      </c>
      <c r="G84" s="400">
        <f>G83+SUMPRODUCT(G80:G81,GREET1_Import_Export!$B$51:$B$52)+SUMPRODUCT(G72:G74,GREET1_Import_Export!$B$55:$B$57)+SUMPRODUCT(G78:G79,GREET1_Import_Export!$B$58:$B$59)</f>
        <v>3517982.1380378632</v>
      </c>
      <c r="H84" s="296">
        <f>H83+SUMPRODUCT(H80:H81,GREET1_Import_Export!$B$51:$B$52)+SUMPRODUCT(H72:H74,GREET1_Import_Export!$B$55:$B$57)+SUMPRODUCT(H78:H79,GREET1_Import_Export!$B$58:$B$59)</f>
        <v>1758.9910690189317</v>
      </c>
      <c r="I84" s="296">
        <f>I83+SUMPRODUCT(I80:I81,GREET1_Import_Export!$B$51:$B$52)+SUMPRODUCT(I72:I74,GREET1_Import_Export!$B$55:$B$57)+SUMPRODUCT(I78:I79,GREET1_Import_Export!$B$58:$B$59)</f>
        <v>3498889.2930574757</v>
      </c>
      <c r="J84" s="296">
        <f>J83+SUMPRODUCT(J80:J81,GREET1_Import_Export!$B$51:$B$52)+SUMPRODUCT(J72:J74,GREET1_Import_Export!$B$55:$B$57)+SUMPRODUCT(J78:J79,GREET1_Import_Export!$B$58:$B$59)</f>
        <v>1749.4446465287378</v>
      </c>
    </row>
    <row r="85" spans="1:10" s="496" customFormat="1">
      <c r="A85" s="758" t="s">
        <v>1031</v>
      </c>
      <c r="B85" s="510"/>
      <c r="C85" s="510"/>
      <c r="D85" s="509"/>
      <c r="E85" s="544" t="s">
        <v>845</v>
      </c>
      <c r="F85" s="618" t="s">
        <v>846</v>
      </c>
      <c r="G85" s="754" t="s">
        <v>845</v>
      </c>
      <c r="H85" s="710" t="s">
        <v>846</v>
      </c>
      <c r="I85" s="544" t="s">
        <v>845</v>
      </c>
      <c r="J85" s="710" t="s">
        <v>846</v>
      </c>
    </row>
    <row r="86" spans="1:10" s="496" customFormat="1">
      <c r="A86" s="347" t="s">
        <v>821</v>
      </c>
      <c r="B86" s="347">
        <f t="shared" ref="B86:B93" si="12">SUM(B53:C53)</f>
        <v>43.76606780550118</v>
      </c>
      <c r="C86" s="347">
        <f t="shared" ref="C86:C93" si="13">SUM(D53:E53)</f>
        <v>4.293312532984972</v>
      </c>
      <c r="D86" s="348">
        <f t="shared" ref="D86:D93" si="14">SUM(F53:G53)</f>
        <v>3.2862020376800083</v>
      </c>
      <c r="E86" s="348">
        <f>B86*Rubber!$A$6+Rubber!$A$6*$C86</f>
        <v>48.05938033848615</v>
      </c>
      <c r="F86" s="349">
        <f t="shared" ref="F86:F93" si="15">E86/2000</f>
        <v>2.4029690169243074E-2</v>
      </c>
      <c r="G86" s="494">
        <f>B86*Rubber!$B$6+Rubber!$B$6*$D86</f>
        <v>48.496774527366853</v>
      </c>
      <c r="H86" s="348">
        <f t="shared" ref="H86:H93" si="16">G86/2000</f>
        <v>2.4248387263683426E-2</v>
      </c>
      <c r="I86" s="348">
        <f>E86*Rubber!$A$10+G86*Rubber!$B$10</f>
        <v>48.107493699263031</v>
      </c>
      <c r="J86" s="348">
        <f t="shared" ref="J86:J93" si="17">I86/2000</f>
        <v>2.4053746849631515E-2</v>
      </c>
    </row>
    <row r="87" spans="1:10" s="496" customFormat="1">
      <c r="A87" s="347" t="s">
        <v>822</v>
      </c>
      <c r="B87" s="347">
        <f t="shared" si="12"/>
        <v>71.926074299494871</v>
      </c>
      <c r="C87" s="347">
        <f t="shared" si="13"/>
        <v>25.155850619648298</v>
      </c>
      <c r="D87" s="348">
        <f t="shared" si="14"/>
        <v>24.260626088222921</v>
      </c>
      <c r="E87" s="348">
        <f>B87*Rubber!$A$6+Rubber!$A$6*$C87</f>
        <v>97.081924919143177</v>
      </c>
      <c r="F87" s="349">
        <f t="shared" si="15"/>
        <v>4.8540962459571589E-2</v>
      </c>
      <c r="G87" s="494">
        <f>B87*Rubber!$B$6+Rubber!$B$6*$D87</f>
        <v>99.139632089620719</v>
      </c>
      <c r="H87" s="348">
        <f t="shared" si="16"/>
        <v>4.9569816044810359E-2</v>
      </c>
      <c r="I87" s="348">
        <f>E87*Rubber!$A$10+G87*Rubber!$B$10</f>
        <v>97.308272707895696</v>
      </c>
      <c r="J87" s="348">
        <f t="shared" si="17"/>
        <v>4.8654136353947851E-2</v>
      </c>
    </row>
    <row r="88" spans="1:10" s="496" customFormat="1">
      <c r="A88" s="347" t="s">
        <v>823</v>
      </c>
      <c r="B88" s="347">
        <f t="shared" si="12"/>
        <v>99.758049423521541</v>
      </c>
      <c r="C88" s="347">
        <f t="shared" si="13"/>
        <v>53.178488012915011</v>
      </c>
      <c r="D88" s="348">
        <f t="shared" si="14"/>
        <v>72.460906561449292</v>
      </c>
      <c r="E88" s="348">
        <f>B88*Rubber!$A$6+Rubber!$A$6*$C88</f>
        <v>152.93653743643654</v>
      </c>
      <c r="F88" s="349">
        <f t="shared" si="15"/>
        <v>7.6468268718218269E-2</v>
      </c>
      <c r="G88" s="494">
        <f>B88*Rubber!$B$6+Rubber!$B$6*$D88</f>
        <v>177.50607793370943</v>
      </c>
      <c r="H88" s="348">
        <f t="shared" si="16"/>
        <v>8.8753038966854714E-2</v>
      </c>
      <c r="I88" s="348">
        <f>E88*Rubber!$A$10+G88*Rubber!$B$10</f>
        <v>155.63918689113657</v>
      </c>
      <c r="J88" s="348">
        <f t="shared" si="17"/>
        <v>7.7819593445568283E-2</v>
      </c>
    </row>
    <row r="89" spans="1:10" s="496" customFormat="1">
      <c r="A89" s="749" t="s">
        <v>824</v>
      </c>
      <c r="B89" s="347">
        <f t="shared" si="12"/>
        <v>7.8883185322829616</v>
      </c>
      <c r="C89" s="347">
        <f t="shared" si="13"/>
        <v>5.23309792617348</v>
      </c>
      <c r="D89" s="348">
        <f t="shared" si="14"/>
        <v>9.6743481412979957</v>
      </c>
      <c r="E89" s="348">
        <f>B89*Rubber!$A$6+Rubber!$A$6*$C89</f>
        <v>13.121416458456441</v>
      </c>
      <c r="F89" s="349">
        <f t="shared" si="15"/>
        <v>6.5607082292282208E-3</v>
      </c>
      <c r="G89" s="494">
        <f>B89*Rubber!$B$6+Rubber!$B$6*$D89</f>
        <v>18.101840540459889</v>
      </c>
      <c r="H89" s="348">
        <f t="shared" si="16"/>
        <v>9.0509202702299448E-3</v>
      </c>
      <c r="I89" s="348">
        <f>E89*Rubber!$A$10+G89*Rubber!$B$10</f>
        <v>13.669263107476819</v>
      </c>
      <c r="J89" s="348">
        <f t="shared" si="17"/>
        <v>6.83463155373841E-3</v>
      </c>
    </row>
    <row r="90" spans="1:10" s="496" customFormat="1">
      <c r="A90" s="347" t="s">
        <v>825</v>
      </c>
      <c r="B90" s="347">
        <f t="shared" si="12"/>
        <v>6.9617922197502473</v>
      </c>
      <c r="C90" s="347">
        <f t="shared" si="13"/>
        <v>4.6043676414939121</v>
      </c>
      <c r="D90" s="348">
        <f t="shared" si="14"/>
        <v>8.5069449799018582</v>
      </c>
      <c r="E90" s="348">
        <f>B90*Rubber!$A$6+Rubber!$A$6*$C90</f>
        <v>11.566159861244159</v>
      </c>
      <c r="F90" s="349">
        <f t="shared" si="15"/>
        <v>5.7830799306220794E-3</v>
      </c>
      <c r="G90" s="494">
        <f>B90*Rubber!$B$6+Rubber!$B$6*$D90</f>
        <v>15.943627431681424</v>
      </c>
      <c r="H90" s="348">
        <f t="shared" si="16"/>
        <v>7.9718137158407126E-3</v>
      </c>
      <c r="I90" s="348">
        <f>E90*Rubber!$A$10+G90*Rubber!$B$10</f>
        <v>12.047681293992259</v>
      </c>
      <c r="J90" s="348">
        <f t="shared" si="17"/>
        <v>6.0238406469961293E-3</v>
      </c>
    </row>
    <row r="91" spans="1:10" s="496" customFormat="1">
      <c r="A91" s="749" t="s">
        <v>826</v>
      </c>
      <c r="B91" s="347">
        <f t="shared" si="12"/>
        <v>24.162846331818994</v>
      </c>
      <c r="C91" s="347">
        <f t="shared" si="13"/>
        <v>39.107139990076554</v>
      </c>
      <c r="D91" s="348">
        <f t="shared" si="14"/>
        <v>71.996428727568798</v>
      </c>
      <c r="E91" s="348">
        <f>B91*Rubber!$A$6+Rubber!$A$6*$C91</f>
        <v>63.269986321895544</v>
      </c>
      <c r="F91" s="349">
        <f t="shared" si="15"/>
        <v>3.1634993160947769E-2</v>
      </c>
      <c r="G91" s="494">
        <f>B91*Rubber!$B$6+Rubber!$B$6*$D91</f>
        <v>99.111364803710984</v>
      </c>
      <c r="H91" s="348">
        <f t="shared" si="16"/>
        <v>4.955568240185549E-2</v>
      </c>
      <c r="I91" s="348">
        <f>E91*Rubber!$A$10+G91*Rubber!$B$10</f>
        <v>67.21253795489524</v>
      </c>
      <c r="J91" s="348">
        <f t="shared" si="17"/>
        <v>3.3606268977447618E-2</v>
      </c>
    </row>
    <row r="92" spans="1:10" s="496" customFormat="1">
      <c r="A92" s="347" t="s">
        <v>827</v>
      </c>
      <c r="B92" s="347">
        <f t="shared" si="12"/>
        <v>0.71840661348349411</v>
      </c>
      <c r="C92" s="347">
        <f t="shared" si="13"/>
        <v>0.24390020682632091</v>
      </c>
      <c r="D92" s="348">
        <f t="shared" si="14"/>
        <v>0.43841324111530366</v>
      </c>
      <c r="E92" s="348">
        <f>B92*Rubber!$A$6+Rubber!$A$6*$C92</f>
        <v>0.96230682030981507</v>
      </c>
      <c r="F92" s="349">
        <f t="shared" si="15"/>
        <v>4.8115341015490755E-4</v>
      </c>
      <c r="G92" s="494">
        <f>B92*Rubber!$B$6+Rubber!$B$6*$D92</f>
        <v>1.1923342241349808</v>
      </c>
      <c r="H92" s="348">
        <f t="shared" si="16"/>
        <v>5.9616711206749036E-4</v>
      </c>
      <c r="I92" s="348">
        <f>E92*Rubber!$A$10+G92*Rubber!$B$10</f>
        <v>0.98760983473058328</v>
      </c>
      <c r="J92" s="348">
        <f t="shared" si="17"/>
        <v>4.9380491736529162E-4</v>
      </c>
    </row>
    <row r="93" spans="1:10" s="496" customFormat="1">
      <c r="A93" s="501" t="s">
        <v>828</v>
      </c>
      <c r="B93" s="501">
        <f t="shared" si="12"/>
        <v>1.2660354421974038</v>
      </c>
      <c r="C93" s="501">
        <f t="shared" si="13"/>
        <v>1.3201585335840005</v>
      </c>
      <c r="D93" s="500">
        <f t="shared" si="14"/>
        <v>2.4330261659905053</v>
      </c>
      <c r="E93" s="500">
        <f>B93*Rubber!$A$6+Rubber!$A$6*$C93</f>
        <v>2.5861939757814043</v>
      </c>
      <c r="F93" s="499">
        <f t="shared" si="15"/>
        <v>1.2930969878907021E-3</v>
      </c>
      <c r="G93" s="492">
        <f>B93*Rubber!$B$6+Rubber!$B$6*$D93</f>
        <v>3.8126227995592776</v>
      </c>
      <c r="H93" s="500">
        <f t="shared" si="16"/>
        <v>1.9063113997796388E-3</v>
      </c>
      <c r="I93" s="500">
        <f>E93*Rubber!$A$10+G93*Rubber!$B$10</f>
        <v>2.7211011463969705</v>
      </c>
      <c r="J93" s="500">
        <f t="shared" si="17"/>
        <v>1.3605505731984853E-3</v>
      </c>
    </row>
  </sheetData>
  <mergeCells count="6">
    <mergeCell ref="B18:C18"/>
    <mergeCell ref="I63:J63"/>
    <mergeCell ref="D18:E18"/>
    <mergeCell ref="F18:G18"/>
    <mergeCell ref="E63:F63"/>
    <mergeCell ref="G63:H63"/>
  </mergeCells>
  <phoneticPr fontId="5" type="noConversion"/>
  <pageMargins left="0.75" right="0.75" top="1" bottom="1" header="0.5" footer="0.5"/>
  <pageSetup orientation="landscape" r:id="rId1"/>
  <headerFooter alignWithMargins="0">
    <oddHeader>&amp;A</oddHeader>
    <oddFooter>Page &amp;P</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dimension ref="A1:Y97"/>
  <sheetViews>
    <sheetView showGridLines="0" zoomScale="85" zoomScaleNormal="85" workbookViewId="0"/>
  </sheetViews>
  <sheetFormatPr defaultColWidth="9.140625" defaultRowHeight="12.75"/>
  <cols>
    <col min="1" max="1" width="43" style="5" customWidth="1"/>
    <col min="2" max="23" width="13.42578125" style="5" customWidth="1"/>
    <col min="24" max="16384" width="9.140625" style="5"/>
  </cols>
  <sheetData>
    <row r="1" spans="1:6" ht="15.75">
      <c r="A1" s="6" t="s">
        <v>1209</v>
      </c>
      <c r="B1" s="64"/>
      <c r="C1" s="64"/>
      <c r="D1" s="64"/>
      <c r="E1" s="64"/>
      <c r="F1" s="64"/>
    </row>
    <row r="2" spans="1:6" ht="12" customHeight="1">
      <c r="A2" s="111"/>
      <c r="B2" s="64"/>
      <c r="C2" s="64"/>
      <c r="D2" s="64"/>
      <c r="E2" s="64"/>
      <c r="F2" s="64"/>
    </row>
    <row r="3" spans="1:6" ht="16.5" customHeight="1">
      <c r="A3" s="381" t="s">
        <v>1210</v>
      </c>
      <c r="B3" s="65"/>
      <c r="C3" s="423"/>
      <c r="D3" s="424"/>
      <c r="E3" s="424"/>
      <c r="F3" s="64"/>
    </row>
    <row r="4" spans="1:6" ht="12" customHeight="1">
      <c r="A4" s="1697">
        <f>Mat_Inputs!B271</f>
        <v>1</v>
      </c>
      <c r="B4" s="425" t="s">
        <v>410</v>
      </c>
      <c r="D4" s="62"/>
      <c r="E4" s="1697">
        <f>Mat_Inputs!F271</f>
        <v>1</v>
      </c>
      <c r="F4" s="5" t="s">
        <v>411</v>
      </c>
    </row>
    <row r="5" spans="1:6" ht="12" customHeight="1">
      <c r="A5" s="65"/>
      <c r="B5" s="2640" t="s">
        <v>412</v>
      </c>
      <c r="D5" s="62"/>
      <c r="E5" s="425"/>
      <c r="F5" s="5" t="s">
        <v>413</v>
      </c>
    </row>
    <row r="6" spans="1:6" ht="12" customHeight="1">
      <c r="A6" s="65"/>
      <c r="B6" s="425"/>
      <c r="D6" s="62"/>
      <c r="E6" s="425"/>
    </row>
    <row r="7" spans="1:6" ht="12" customHeight="1">
      <c r="A7" s="439" t="s">
        <v>1211</v>
      </c>
      <c r="B7" s="805">
        <v>171176.35382514901</v>
      </c>
    </row>
    <row r="8" spans="1:6" ht="12" customHeight="1">
      <c r="A8" s="3"/>
    </row>
    <row r="9" spans="1:6" s="64" customFormat="1" ht="15">
      <c r="A9" s="75" t="s">
        <v>762</v>
      </c>
    </row>
    <row r="10" spans="1:6" s="64" customFormat="1" ht="15">
      <c r="A10" s="2641"/>
      <c r="B10" s="1474" t="s">
        <v>1212</v>
      </c>
      <c r="C10" s="1193" t="s">
        <v>1213</v>
      </c>
    </row>
    <row r="11" spans="1:6">
      <c r="A11" s="291" t="s">
        <v>769</v>
      </c>
      <c r="B11" s="382">
        <v>1</v>
      </c>
      <c r="C11" s="588">
        <v>1</v>
      </c>
    </row>
    <row r="12" spans="1:6">
      <c r="A12" s="291" t="s">
        <v>770</v>
      </c>
      <c r="B12" s="382">
        <v>1</v>
      </c>
      <c r="C12" s="588">
        <v>1</v>
      </c>
    </row>
    <row r="13" spans="1:6">
      <c r="A13" s="490" t="s">
        <v>772</v>
      </c>
      <c r="B13" s="1101">
        <f>1-B12</f>
        <v>0</v>
      </c>
      <c r="C13" s="588">
        <v>0</v>
      </c>
    </row>
    <row r="14" spans="1:6">
      <c r="A14" s="291" t="s">
        <v>773</v>
      </c>
      <c r="B14" s="382">
        <v>1</v>
      </c>
      <c r="C14" s="588">
        <v>1</v>
      </c>
    </row>
    <row r="15" spans="1:6">
      <c r="A15" s="490" t="s">
        <v>782</v>
      </c>
      <c r="B15" s="1101">
        <v>1</v>
      </c>
      <c r="C15" s="588">
        <v>0.96299999999999997</v>
      </c>
    </row>
    <row r="16" spans="1:6">
      <c r="A16" s="490" t="s">
        <v>783</v>
      </c>
      <c r="B16" s="1101">
        <f>1-B15</f>
        <v>0</v>
      </c>
      <c r="C16" s="588">
        <v>0</v>
      </c>
    </row>
    <row r="17" spans="1:25">
      <c r="A17" s="905" t="s">
        <v>1214</v>
      </c>
      <c r="B17" s="750"/>
      <c r="C17" s="428">
        <f>1-C$15</f>
        <v>3.7000000000000033E-2</v>
      </c>
    </row>
    <row r="18" spans="1:25">
      <c r="A18" s="363"/>
      <c r="B18" s="64"/>
      <c r="C18" s="382"/>
    </row>
    <row r="19" spans="1:25" s="64" customFormat="1" ht="15">
      <c r="A19" s="381" t="s">
        <v>1215</v>
      </c>
      <c r="Q19" s="5"/>
      <c r="R19" s="5"/>
      <c r="S19" s="5"/>
      <c r="T19" s="5"/>
      <c r="U19" s="5"/>
      <c r="V19" s="5"/>
      <c r="W19" s="5"/>
      <c r="X19" s="5"/>
      <c r="Y19" s="5"/>
    </row>
    <row r="20" spans="1:25" s="64" customFormat="1" ht="15">
      <c r="A20" s="2642"/>
      <c r="B20" s="3061" t="s">
        <v>1217</v>
      </c>
      <c r="C20" s="3061"/>
      <c r="D20" s="3061"/>
      <c r="E20" s="3062"/>
      <c r="F20" s="3060" t="s">
        <v>1216</v>
      </c>
      <c r="G20" s="3061"/>
      <c r="H20" s="3061"/>
      <c r="I20" s="3061"/>
      <c r="J20" s="3061"/>
      <c r="K20" s="3061"/>
      <c r="L20" s="3061"/>
      <c r="M20" s="3062"/>
      <c r="Q20" s="5"/>
      <c r="R20" s="5"/>
      <c r="S20" s="5"/>
      <c r="T20" s="5"/>
      <c r="U20" s="5"/>
      <c r="V20" s="5"/>
      <c r="W20" s="5"/>
      <c r="X20" s="5"/>
      <c r="Y20" s="5"/>
    </row>
    <row r="21" spans="1:25" ht="26.25" customHeight="1">
      <c r="A21" s="487"/>
      <c r="B21" s="2987" t="s">
        <v>1218</v>
      </c>
      <c r="C21" s="2988"/>
      <c r="D21" s="3105" t="s">
        <v>1219</v>
      </c>
      <c r="E21" s="2990"/>
      <c r="F21" s="3007" t="s">
        <v>63</v>
      </c>
      <c r="G21" s="3006"/>
      <c r="H21" s="3005" t="s">
        <v>554</v>
      </c>
      <c r="I21" s="3005"/>
      <c r="J21" s="3007" t="s">
        <v>556</v>
      </c>
      <c r="K21" s="3006"/>
      <c r="L21" s="3005" t="s">
        <v>558</v>
      </c>
      <c r="M21" s="3006"/>
    </row>
    <row r="22" spans="1:25" ht="64.5" customHeight="1">
      <c r="A22" s="1364"/>
      <c r="B22" s="1307" t="s">
        <v>785</v>
      </c>
      <c r="C22" s="1307" t="s">
        <v>786</v>
      </c>
      <c r="D22" s="1265" t="s">
        <v>785</v>
      </c>
      <c r="E22" s="1223" t="s">
        <v>786</v>
      </c>
      <c r="F22" s="1673" t="s">
        <v>785</v>
      </c>
      <c r="G22" s="1674" t="s">
        <v>786</v>
      </c>
      <c r="H22" s="1675" t="s">
        <v>785</v>
      </c>
      <c r="I22" s="1675" t="s">
        <v>786</v>
      </c>
      <c r="J22" s="1673" t="s">
        <v>785</v>
      </c>
      <c r="K22" s="1674" t="s">
        <v>786</v>
      </c>
      <c r="L22" s="1675" t="s">
        <v>785</v>
      </c>
      <c r="M22" s="1674" t="s">
        <v>786</v>
      </c>
    </row>
    <row r="23" spans="1:25" ht="25.5">
      <c r="A23" s="659" t="s">
        <v>797</v>
      </c>
      <c r="B23" s="383">
        <f>IF($E$4=1,Mat_Inputs!C466,Mat_Inputs!D466)</f>
        <v>2.262</v>
      </c>
      <c r="C23" s="64"/>
      <c r="D23" s="517">
        <f>IF($E$4=1,Mat_Inputs!C467,Mat_Inputs!D467)</f>
        <v>11.72</v>
      </c>
      <c r="E23" s="94"/>
      <c r="F23" s="1074">
        <f>IF($E$4=1,Mat_Inputs!E466,Mat_Inputs!F466)</f>
        <v>479.87118868275269</v>
      </c>
      <c r="G23" s="2628"/>
      <c r="H23" s="1074">
        <f>IF($E$4=1,Mat_Inputs!E468,Mat_Inputs!F468)</f>
        <v>479.87118868275269</v>
      </c>
      <c r="I23" s="2628"/>
      <c r="J23" s="1074">
        <f>IF($E$4=1,Mat_Inputs!E469,Mat_Inputs!F469)</f>
        <v>479.87118868275269</v>
      </c>
      <c r="K23" s="2628"/>
      <c r="L23" s="2643">
        <f>IF($E$4=1,Mat_Inputs!E467,Mat_Inputs!F467)</f>
        <v>479.87118868275269</v>
      </c>
      <c r="M23" s="1029"/>
    </row>
    <row r="24" spans="1:25">
      <c r="A24" s="571" t="s">
        <v>798</v>
      </c>
      <c r="B24" s="416">
        <v>0</v>
      </c>
      <c r="D24" s="416">
        <v>0</v>
      </c>
      <c r="E24" s="94"/>
      <c r="F24" s="1019">
        <v>0</v>
      </c>
      <c r="G24" s="1031"/>
      <c r="H24" s="1019">
        <v>0</v>
      </c>
      <c r="I24" s="1031"/>
      <c r="J24" s="1019">
        <v>0</v>
      </c>
      <c r="K24" s="1031"/>
      <c r="L24" s="1020">
        <v>0</v>
      </c>
      <c r="M24" s="1031"/>
    </row>
    <row r="25" spans="1:25">
      <c r="A25" s="178" t="s">
        <v>799</v>
      </c>
      <c r="B25" s="640"/>
      <c r="C25" s="49"/>
      <c r="D25" s="640"/>
      <c r="E25" s="52"/>
      <c r="F25" s="1419"/>
      <c r="G25" s="1954"/>
      <c r="H25" s="1419"/>
      <c r="I25" s="1954"/>
      <c r="J25" s="1419"/>
      <c r="K25" s="1954"/>
      <c r="L25" s="1420"/>
      <c r="M25" s="1954"/>
    </row>
    <row r="26" spans="1:25">
      <c r="A26" s="230" t="s">
        <v>800</v>
      </c>
      <c r="B26" s="665">
        <v>0</v>
      </c>
      <c r="D26" s="665">
        <v>0</v>
      </c>
      <c r="E26" s="94"/>
      <c r="F26" s="1021">
        <v>0</v>
      </c>
      <c r="G26" s="593"/>
      <c r="H26" s="1021">
        <v>0</v>
      </c>
      <c r="I26" s="593"/>
      <c r="J26" s="1021">
        <v>0</v>
      </c>
      <c r="K26" s="593"/>
      <c r="L26" s="302">
        <v>0</v>
      </c>
      <c r="M26" s="593"/>
    </row>
    <row r="27" spans="1:25">
      <c r="A27" s="230" t="s">
        <v>802</v>
      </c>
      <c r="B27" s="665">
        <v>1</v>
      </c>
      <c r="C27" s="5" t="s">
        <v>861</v>
      </c>
      <c r="D27" s="665">
        <v>0</v>
      </c>
      <c r="E27" s="94"/>
      <c r="F27" s="1021">
        <v>0.11426026978573674</v>
      </c>
      <c r="G27" s="593"/>
      <c r="H27" s="1021">
        <v>0.11426026978573674</v>
      </c>
      <c r="I27" s="593"/>
      <c r="J27" s="1021">
        <v>0.11426026978573674</v>
      </c>
      <c r="K27" s="593"/>
      <c r="L27" s="302">
        <v>0.11426026978573674</v>
      </c>
      <c r="M27" s="593"/>
    </row>
    <row r="28" spans="1:25">
      <c r="A28" s="230" t="s">
        <v>804</v>
      </c>
      <c r="B28" s="665">
        <v>0</v>
      </c>
      <c r="D28" s="665">
        <v>0.14955804970647246</v>
      </c>
      <c r="E28" s="94"/>
      <c r="F28" s="1021">
        <v>1.013227954728722E-2</v>
      </c>
      <c r="G28" s="593"/>
      <c r="H28" s="1021">
        <v>1.013227954728722E-2</v>
      </c>
      <c r="I28" s="593"/>
      <c r="J28" s="1021">
        <v>1.013227954728722E-2</v>
      </c>
      <c r="K28" s="593"/>
      <c r="L28" s="302">
        <v>1.013227954728722E-2</v>
      </c>
      <c r="M28" s="593"/>
    </row>
    <row r="29" spans="1:25">
      <c r="A29" s="230" t="s">
        <v>805</v>
      </c>
      <c r="B29" s="665">
        <v>0</v>
      </c>
      <c r="D29" s="665">
        <v>0</v>
      </c>
      <c r="E29" s="94"/>
      <c r="F29" s="1021">
        <v>0.16696342025429212</v>
      </c>
      <c r="G29" s="593"/>
      <c r="H29" s="1021">
        <v>0.16696342025429212</v>
      </c>
      <c r="I29" s="593"/>
      <c r="J29" s="1021">
        <v>0.16696342025429212</v>
      </c>
      <c r="K29" s="593"/>
      <c r="L29" s="302">
        <v>0.16696342025429212</v>
      </c>
      <c r="M29" s="593"/>
    </row>
    <row r="30" spans="1:25">
      <c r="A30" s="589" t="s">
        <v>806</v>
      </c>
      <c r="B30" s="427">
        <f>1-SUM(B26:B29)</f>
        <v>0</v>
      </c>
      <c r="C30" s="669"/>
      <c r="D30" s="427">
        <f>1-SUM(D26:D29)</f>
        <v>0.85044195029352754</v>
      </c>
      <c r="E30" s="656"/>
      <c r="F30" s="1019">
        <f>1-SUM(F26:F29)</f>
        <v>0.70864403041268398</v>
      </c>
      <c r="G30" s="210"/>
      <c r="H30" s="1019">
        <f>1-SUM(H26:H29)</f>
        <v>0.70864403041268398</v>
      </c>
      <c r="I30" s="210"/>
      <c r="J30" s="1019">
        <f>1-SUM(J26:J29)</f>
        <v>0.70864403041268398</v>
      </c>
      <c r="K30" s="210"/>
      <c r="L30" s="1020">
        <f>1-SUM(L26:L29)</f>
        <v>0.70864403041268398</v>
      </c>
      <c r="M30" s="210"/>
    </row>
    <row r="31" spans="1:25">
      <c r="A31" s="177" t="s">
        <v>862</v>
      </c>
      <c r="B31" s="95"/>
      <c r="D31" s="95"/>
      <c r="E31" s="94"/>
      <c r="F31" s="2644"/>
      <c r="G31" s="2645"/>
      <c r="H31" s="2644"/>
      <c r="I31" s="2645"/>
      <c r="J31" s="2644"/>
      <c r="K31" s="2645"/>
      <c r="L31" s="2646"/>
      <c r="M31" s="2645"/>
    </row>
    <row r="32" spans="1:25" s="496" customFormat="1">
      <c r="A32" s="347" t="s">
        <v>800</v>
      </c>
      <c r="B32" s="712">
        <f>B$23*B26</f>
        <v>0</v>
      </c>
      <c r="D32" s="712">
        <f>D$23*D26</f>
        <v>0</v>
      </c>
      <c r="E32" s="497"/>
      <c r="F32" s="909">
        <f>F$23*F26</f>
        <v>0</v>
      </c>
      <c r="G32" s="1253"/>
      <c r="H32" s="909">
        <f>H$23*H26</f>
        <v>0</v>
      </c>
      <c r="I32" s="1253"/>
      <c r="J32" s="909">
        <f>J$23*J26</f>
        <v>0</v>
      </c>
      <c r="K32" s="1253"/>
      <c r="L32" s="2648">
        <f>L$23*L26</f>
        <v>0</v>
      </c>
      <c r="M32" s="1253"/>
      <c r="Q32" s="5"/>
      <c r="R32" s="5"/>
      <c r="S32" s="5"/>
      <c r="T32" s="5"/>
      <c r="U32" s="5"/>
      <c r="V32" s="5"/>
      <c r="W32" s="5"/>
      <c r="X32" s="5"/>
      <c r="Y32" s="5"/>
    </row>
    <row r="33" spans="1:25" s="496" customFormat="1">
      <c r="A33" s="347" t="s">
        <v>802</v>
      </c>
      <c r="B33" s="712">
        <f>B$23*B27</f>
        <v>2.262</v>
      </c>
      <c r="D33" s="712">
        <f>D$23*D27</f>
        <v>0</v>
      </c>
      <c r="E33" s="497"/>
      <c r="F33" s="909">
        <f>F$23*F27</f>
        <v>54.830211481293503</v>
      </c>
      <c r="G33" s="1253"/>
      <c r="H33" s="909">
        <f>H$23*H27</f>
        <v>54.830211481293503</v>
      </c>
      <c r="I33" s="1253"/>
      <c r="J33" s="909">
        <f>J$23*J27</f>
        <v>54.830211481293503</v>
      </c>
      <c r="K33" s="1253"/>
      <c r="L33" s="2648">
        <f>L$23*L27</f>
        <v>54.830211481293503</v>
      </c>
      <c r="M33" s="1253"/>
      <c r="Q33" s="5"/>
      <c r="R33" s="5"/>
      <c r="S33" s="5"/>
      <c r="T33" s="5"/>
      <c r="U33" s="5"/>
      <c r="V33" s="5"/>
      <c r="W33" s="5"/>
      <c r="X33" s="5"/>
      <c r="Y33" s="5"/>
    </row>
    <row r="34" spans="1:25" s="496" customFormat="1">
      <c r="A34" s="347" t="s">
        <v>804</v>
      </c>
      <c r="B34" s="712">
        <f>B$23*B28</f>
        <v>0</v>
      </c>
      <c r="D34" s="712">
        <f>D$23*D28</f>
        <v>1.7528203425598574</v>
      </c>
      <c r="E34" s="497"/>
      <c r="F34" s="909">
        <f>F$23*F28</f>
        <v>4.8621890304226616</v>
      </c>
      <c r="G34" s="1253"/>
      <c r="H34" s="909">
        <f>H$23*H28</f>
        <v>4.8621890304226616</v>
      </c>
      <c r="I34" s="1253"/>
      <c r="J34" s="909">
        <f>J$23*J28</f>
        <v>4.8621890304226616</v>
      </c>
      <c r="K34" s="1253"/>
      <c r="L34" s="2648">
        <f>L$23*L28</f>
        <v>4.8621890304226616</v>
      </c>
      <c r="M34" s="1253"/>
      <c r="Q34" s="5"/>
      <c r="R34" s="5"/>
      <c r="S34" s="5"/>
      <c r="T34" s="5"/>
      <c r="U34" s="5"/>
      <c r="V34" s="5"/>
      <c r="W34" s="5"/>
      <c r="X34" s="5"/>
      <c r="Y34" s="5"/>
    </row>
    <row r="35" spans="1:25" s="496" customFormat="1">
      <c r="A35" s="347" t="s">
        <v>805</v>
      </c>
      <c r="B35" s="712">
        <f>B$23*B29</f>
        <v>0</v>
      </c>
      <c r="D35" s="712">
        <f>D$23*D29</f>
        <v>0</v>
      </c>
      <c r="E35" s="497"/>
      <c r="F35" s="909">
        <f>F$23*F29</f>
        <v>80.120934943965139</v>
      </c>
      <c r="G35" s="1253"/>
      <c r="H35" s="909">
        <f>H$23*H29</f>
        <v>80.120934943965139</v>
      </c>
      <c r="I35" s="1253"/>
      <c r="J35" s="909">
        <f>J$23*J29</f>
        <v>80.120934943965139</v>
      </c>
      <c r="K35" s="1253"/>
      <c r="L35" s="2648">
        <f>L$23*L29</f>
        <v>80.120934943965139</v>
      </c>
      <c r="M35" s="1253"/>
      <c r="Q35" s="5"/>
      <c r="R35" s="5"/>
      <c r="S35" s="5"/>
      <c r="T35" s="5"/>
      <c r="U35" s="5"/>
      <c r="V35" s="5"/>
      <c r="W35" s="5"/>
      <c r="X35" s="5"/>
      <c r="Y35" s="5"/>
    </row>
    <row r="36" spans="1:25" s="496" customFormat="1">
      <c r="A36" s="347" t="s">
        <v>806</v>
      </c>
      <c r="B36" s="712">
        <f>B$23*B30</f>
        <v>0</v>
      </c>
      <c r="D36" s="712">
        <f>D$23*D30</f>
        <v>9.967179657440143</v>
      </c>
      <c r="E36" s="497"/>
      <c r="F36" s="910">
        <f>F$23*F30</f>
        <v>340.0578532270714</v>
      </c>
      <c r="G36" s="2647"/>
      <c r="H36" s="910">
        <f>H$23*H30</f>
        <v>340.0578532270714</v>
      </c>
      <c r="I36" s="2647"/>
      <c r="J36" s="910">
        <f>J$23*J30</f>
        <v>340.0578532270714</v>
      </c>
      <c r="K36" s="2647"/>
      <c r="L36" s="2649">
        <f>L$23*L30</f>
        <v>340.0578532270714</v>
      </c>
      <c r="M36" s="2647"/>
      <c r="Q36" s="5"/>
      <c r="R36" s="5"/>
      <c r="S36" s="5"/>
      <c r="T36" s="5"/>
      <c r="U36" s="5"/>
      <c r="V36" s="5"/>
      <c r="W36" s="5"/>
      <c r="X36" s="5"/>
      <c r="Y36" s="5"/>
    </row>
    <row r="37" spans="1:25" s="496" customFormat="1">
      <c r="A37" s="508" t="s">
        <v>816</v>
      </c>
      <c r="B37" s="510">
        <f>B$32*(1+(GREET1_Import_Export!$F$179*GREET1_Import_Export!$B180+GREET1_Import_Export!$F180)/1000000)+B$33*(1+(GREET1_Import_Export!$H$179*GREET1_Import_Export!$B180+GREET1_Import_Export!$H180)/1000000)+B$34*(1+GREET1_Import_Export!$B216/1000000)+B$35*(1+GREET1_Import_Export!$B284/1000000)+B$36*(GREET1_Import_Export!$B309+GREET1_Import_Export!$C309)/1000000</f>
        <v>2.6751692176675026</v>
      </c>
      <c r="C37" s="512"/>
      <c r="D37" s="510">
        <f>D$32*(1+(GREET1_Import_Export!$F$179*GREET1_Import_Export!$B180+GREET1_Import_Export!$F180)/1000000)+D$33*(1+(GREET1_Import_Export!$G$179*GREET1_Import_Export!$B180+GREET1_Import_Export!$G180)/1000000)+D$34*(1+GREET1_Import_Export!$B216/1000000)+D$35*(1+GREET1_Import_Export!$B284/1000000)+D$36*(GREET1_Import_Export!$B309+GREET1_Import_Export!$C309)/1000000</f>
        <v>22.149553836155203</v>
      </c>
      <c r="E37" s="507"/>
      <c r="F37" s="2644">
        <f>F$32*(1+(GREET1_Import_Export!$F$179*GREET1_Import_Export!$B180+GREET1_Import_Export!$F180)/1000000)+F$33*(1+($C$15*(GREET1_Import_Export!$H$179*GREET1_Import_Export!$B180+GREET1_Import_Export!$H180)+$C$17*(GREET1_Import_Export!$G$179*GREET1_Import_Export!$B180+GREET1_Import_Export!$G180))/1000000)+F$34*(1+GREET1_Import_Export!$B216/1000000)+F$35*(1+GREET1_Import_Export!$B284/1000000)+F$36*(GREET1_Import_Export!$C342)/1000000</f>
        <v>1158.5416447159091</v>
      </c>
      <c r="G37" s="2645"/>
      <c r="H37" s="2644">
        <f>H$32*(1+(GREET1_Import_Export!$F$179*GREET1_Import_Export!$B180+GREET1_Import_Export!$F180)/1000000)+H$33*(1+($C$15*(GREET1_Import_Export!$H$179*GREET1_Import_Export!$B180+GREET1_Import_Export!$H180)+$C$17*(GREET1_Import_Export!$G$179*GREET1_Import_Export!$B180+GREET1_Import_Export!$G180))/1000000)+H$34*(1+GREET1_Import_Export!$B216/1000000)+H$35*(1+GREET1_Import_Export!$B284/1000000)+H$36*(GREET1_Import_Export!$C342)/1000000</f>
        <v>1158.5416447159091</v>
      </c>
      <c r="I37" s="2645"/>
      <c r="J37" s="2644">
        <f>J$32*(1+(GREET1_Import_Export!$F$179*GREET1_Import_Export!$B180+GREET1_Import_Export!$F180)/1000000)+J$33*(1+($C$15*(GREET1_Import_Export!$H$179*GREET1_Import_Export!$B180+GREET1_Import_Export!$H180)+$C$17*(GREET1_Import_Export!$G$179*GREET1_Import_Export!$B180+GREET1_Import_Export!$G180))/1000000)+J$34*(1+GREET1_Import_Export!$B216/1000000)+J$35*(1+GREET1_Import_Export!$B284/1000000)+J$36*(GREET1_Import_Export!$C342)/1000000</f>
        <v>1158.5416447159091</v>
      </c>
      <c r="K37" s="2645"/>
      <c r="L37" s="2644">
        <f>L$32*(1+(GREET1_Import_Export!$F$179*GREET1_Import_Export!$B180+GREET1_Import_Export!$F180)/1000000)+L$33*(1+($C$15*(GREET1_Import_Export!$H$179*GREET1_Import_Export!$B180+GREET1_Import_Export!$H180)+$C$17*(GREET1_Import_Export!$G$179*GREET1_Import_Export!$B180+GREET1_Import_Export!$G180))/1000000)+L$34*(1+GREET1_Import_Export!$B216/1000000)+L$35*(1+GREET1_Import_Export!$B284/1000000)+L$36*(GREET1_Import_Export!$C342)/1000000</f>
        <v>1158.5416447159091</v>
      </c>
      <c r="M37" s="2645"/>
      <c r="Q37" s="5"/>
      <c r="R37" s="5"/>
      <c r="S37" s="5"/>
      <c r="T37" s="5"/>
      <c r="U37" s="5"/>
      <c r="V37" s="5"/>
      <c r="W37" s="5"/>
      <c r="X37" s="5"/>
      <c r="Y37" s="5"/>
    </row>
    <row r="38" spans="1:25" s="496" customFormat="1">
      <c r="A38" s="498" t="s">
        <v>817</v>
      </c>
      <c r="B38" s="347">
        <f>B$32*(1+(GREET1_Import_Export!$F$179*GREET1_Import_Export!$B181+GREET1_Import_Export!$F181)/1000000)+B$33*(1+(GREET1_Import_Export!$H$179*GREET1_Import_Export!$B181+GREET1_Import_Export!$H181)/1000000)+B$34*(1+GREET1_Import_Export!$B217/1000000)+B$35*(1+GREET1_Import_Export!$B285/1000000)+B$36*(GREET1_Import_Export!$B310+GREET1_Import_Export!$C310)/1000000</f>
        <v>2.6622883724417981</v>
      </c>
      <c r="C38" s="349"/>
      <c r="D38" s="347">
        <f>D$32*(1+(GREET1_Import_Export!$F$179*GREET1_Import_Export!$B181+GREET1_Import_Export!$F181)/1000000)+D$33*(1+(GREET1_Import_Export!$G$179*GREET1_Import_Export!$B181+GREET1_Import_Export!$G181)/1000000)+D$34*(1+GREET1_Import_Export!$B217/1000000)+D$35*(1+GREET1_Import_Export!$B285/1000000)+D$36*(GREET1_Import_Export!$B310+GREET1_Import_Export!$C310)/1000000</f>
        <v>17.944025563862546</v>
      </c>
      <c r="E38" s="497"/>
      <c r="F38" s="909">
        <f>F$32*(1+(GREET1_Import_Export!$F$179*GREET1_Import_Export!$B181+GREET1_Import_Export!$F181)/1000000)+F$33*(1+($C$15*(GREET1_Import_Export!$H$179*GREET1_Import_Export!$B181+GREET1_Import_Export!$H181)+$C$17*(GREET1_Import_Export!$G$179*GREET1_Import_Export!$B181+GREET1_Import_Export!$G181))/1000000)+F$34*(1+GREET1_Import_Export!$B217/1000000)+F$35*(1+GREET1_Import_Export!$B285/1000000)+F$36*(GREET1_Import_Export!$C343)/1000000</f>
        <v>1109.4751240359108</v>
      </c>
      <c r="G38" s="1253"/>
      <c r="H38" s="909">
        <f>H$32*(1+(GREET1_Import_Export!$F$179*GREET1_Import_Export!$B181+GREET1_Import_Export!$F181)/1000000)+H$33*(1+($C$15*(GREET1_Import_Export!$H$179*GREET1_Import_Export!$B181+GREET1_Import_Export!$H181)+$C$17*(GREET1_Import_Export!$G$179*GREET1_Import_Export!$B181+GREET1_Import_Export!$G181))/1000000)+H$34*(1+GREET1_Import_Export!$B217/1000000)+H$35*(1+GREET1_Import_Export!$B285/1000000)+H$36*(GREET1_Import_Export!$C343)/1000000</f>
        <v>1109.4751240359108</v>
      </c>
      <c r="I38" s="1253"/>
      <c r="J38" s="909">
        <f>J$32*(1+(GREET1_Import_Export!$F$179*GREET1_Import_Export!$B181+GREET1_Import_Export!$F181)/1000000)+J$33*(1+($C$15*(GREET1_Import_Export!$H$179*GREET1_Import_Export!$B181+GREET1_Import_Export!$H181)+$C$17*(GREET1_Import_Export!$G$179*GREET1_Import_Export!$B181+GREET1_Import_Export!$G181))/1000000)+J$34*(1+GREET1_Import_Export!$B217/1000000)+J$35*(1+GREET1_Import_Export!$B285/1000000)+J$36*(GREET1_Import_Export!$C343)/1000000</f>
        <v>1109.4751240359108</v>
      </c>
      <c r="K38" s="1253"/>
      <c r="L38" s="909">
        <f>L$32*(1+(GREET1_Import_Export!$F$179*GREET1_Import_Export!$B181+GREET1_Import_Export!$F181)/1000000)+L$33*(1+($C$15*(GREET1_Import_Export!$H$179*GREET1_Import_Export!$B181+GREET1_Import_Export!$H181)+$C$17*(GREET1_Import_Export!$G$179*GREET1_Import_Export!$B181+GREET1_Import_Export!$G181))/1000000)+L$34*(1+GREET1_Import_Export!$B217/1000000)+L$35*(1+GREET1_Import_Export!$B285/1000000)+L$36*(GREET1_Import_Export!$C343)/1000000</f>
        <v>1109.4751240359108</v>
      </c>
      <c r="M38" s="1253"/>
      <c r="Q38" s="5"/>
      <c r="R38" s="5"/>
      <c r="S38" s="5"/>
      <c r="T38" s="5"/>
      <c r="U38" s="5"/>
      <c r="V38" s="5"/>
      <c r="W38" s="5"/>
      <c r="X38" s="5"/>
      <c r="Y38" s="5"/>
    </row>
    <row r="39" spans="1:25" s="496" customFormat="1">
      <c r="A39" s="498" t="s">
        <v>805</v>
      </c>
      <c r="B39" s="347">
        <f>B$32*(GREET1_Import_Export!$F$179*GREET1_Import_Export!$B182+GREET1_Import_Export!$F182)/1000000+B$33*(GREET1_Import_Export!$H$179*GREET1_Import_Export!$B182+GREET1_Import_Export!$H182)/1000000+B$34*GREET1_Import_Export!$B218/1000000+B$35*(1+GREET1_Import_Export!$B286/1000000)+B$36*(GREET1_Import_Export!$B311+GREET1_Import_Export!$C311)/1000000</f>
        <v>1.6353279323192072E-2</v>
      </c>
      <c r="C39" s="349"/>
      <c r="D39" s="347">
        <f>D$32*(GREET1_Import_Export!$F$179*GREET1_Import_Export!$B182+GREET1_Import_Export!$F182)/1000000+D$33*(GREET1_Import_Export!$G$179*GREET1_Import_Export!$B182+GREET1_Import_Export!$G182)/1000000+D$34*GREET1_Import_Export!$B218/1000000+D$35*(1+GREET1_Import_Export!$B286/1000000)+D$36*(GREET1_Import_Export!$B311+GREET1_Import_Export!$C311)/1000000</f>
        <v>5.559384775267036</v>
      </c>
      <c r="E39" s="497"/>
      <c r="F39" s="909">
        <f>F$32*(GREET1_Import_Export!$F$179*GREET1_Import_Export!$B182+GREET1_Import_Export!$F182)/1000000+F$33*($C$15*(GREET1_Import_Export!$H$179*GREET1_Import_Export!$B182+GREET1_Import_Export!$H182)+$C$17*(GREET1_Import_Export!$G$179*GREET1_Import_Export!$B182+GREET1_Import_Export!$G182))/1000000+F$34*GREET1_Import_Export!$B218/1000000+F$35*(1+GREET1_Import_Export!$B286/1000000)+F$36*(GREET1_Import_Export!$C344)/1000000</f>
        <v>1019.3158651358294</v>
      </c>
      <c r="G39" s="1253"/>
      <c r="H39" s="909">
        <f>H$32*(GREET1_Import_Export!$F$179*GREET1_Import_Export!$B182+GREET1_Import_Export!$F182)/1000000+H$33*($C$15*(GREET1_Import_Export!$H$179*GREET1_Import_Export!$B182+GREET1_Import_Export!$H182)+$C$17*(GREET1_Import_Export!$G$179*GREET1_Import_Export!$B182+GREET1_Import_Export!$G182))/1000000+H$34*GREET1_Import_Export!$B218/1000000+H$35*(1+GREET1_Import_Export!$B286/1000000)+H$36*(GREET1_Import_Export!$C344)/1000000</f>
        <v>1019.3158651358294</v>
      </c>
      <c r="I39" s="1253"/>
      <c r="J39" s="909">
        <f>J$32*(GREET1_Import_Export!$F$179*GREET1_Import_Export!$B182+GREET1_Import_Export!$F182)/1000000+J$33*($C$15*(GREET1_Import_Export!$H$179*GREET1_Import_Export!$B182+GREET1_Import_Export!$H182)+$C$17*(GREET1_Import_Export!$G$179*GREET1_Import_Export!$B182+GREET1_Import_Export!$G182))/1000000+J$34*GREET1_Import_Export!$B218/1000000+J$35*(1+GREET1_Import_Export!$B286/1000000)+J$36*(GREET1_Import_Export!$C344)/1000000</f>
        <v>1019.3158651358294</v>
      </c>
      <c r="K39" s="1253"/>
      <c r="L39" s="909">
        <f>L$32*(GREET1_Import_Export!$F$179*GREET1_Import_Export!$B182+GREET1_Import_Export!$F182)/1000000+L$33*($C$15*(GREET1_Import_Export!$H$179*GREET1_Import_Export!$B182+GREET1_Import_Export!$H182)+$C$17*(GREET1_Import_Export!$G$179*GREET1_Import_Export!$B182+GREET1_Import_Export!$G182))/1000000+L$34*GREET1_Import_Export!$B218/1000000+L$35*(1+GREET1_Import_Export!$B286/1000000)+L$36*(GREET1_Import_Export!$C344)/1000000</f>
        <v>1019.3158651358294</v>
      </c>
      <c r="M39" s="1253"/>
      <c r="Q39" s="5"/>
      <c r="R39" s="5"/>
      <c r="S39" s="5"/>
      <c r="T39" s="5"/>
      <c r="U39" s="5"/>
      <c r="V39" s="5"/>
      <c r="W39" s="5"/>
      <c r="X39" s="5"/>
      <c r="Y39" s="5"/>
    </row>
    <row r="40" spans="1:25" s="496" customFormat="1">
      <c r="A40" s="498" t="s">
        <v>804</v>
      </c>
      <c r="B40" s="347">
        <f>B38-B39-B41</f>
        <v>0.27883758566860273</v>
      </c>
      <c r="C40" s="349"/>
      <c r="D40" s="347">
        <f>D38-D39-D41</f>
        <v>12.203735171934222</v>
      </c>
      <c r="E40" s="497"/>
      <c r="F40" s="909">
        <f>F38-F39-F41</f>
        <v>16.136847393994969</v>
      </c>
      <c r="G40" s="1253"/>
      <c r="H40" s="909">
        <f>H38-H39-H41</f>
        <v>16.136847393994969</v>
      </c>
      <c r="I40" s="1253"/>
      <c r="J40" s="909">
        <f>J38-J39-J41</f>
        <v>16.136847393994969</v>
      </c>
      <c r="K40" s="1253"/>
      <c r="L40" s="909">
        <f>L38-L39-L41</f>
        <v>16.136847393994969</v>
      </c>
      <c r="M40" s="1253"/>
      <c r="Q40" s="5"/>
      <c r="R40" s="5"/>
      <c r="S40" s="5"/>
      <c r="T40" s="5"/>
      <c r="U40" s="5"/>
      <c r="V40" s="5"/>
      <c r="W40" s="5"/>
      <c r="X40" s="5"/>
      <c r="Y40" s="5"/>
    </row>
    <row r="41" spans="1:25" s="496" customFormat="1">
      <c r="A41" s="498" t="s">
        <v>818</v>
      </c>
      <c r="B41" s="347">
        <f>B$32*(1+(GREET1_Import_Export!$F$179*GREET1_Import_Export!$B184+GREET1_Import_Export!$F184)/1000000)+B$33*(1+(GREET1_Import_Export!$H$179*GREET1_Import_Export!$B184+GREET1_Import_Export!$H184)/1000000)+B$34*GREET1_Import_Export!$B220/1000000+B$35*GREET1_Import_Export!$B288/1000000+B$36*(GREET1_Import_Export!$B313+GREET1_Import_Export!$C313)/1000000</f>
        <v>2.3670975074500031</v>
      </c>
      <c r="C41" s="349"/>
      <c r="D41" s="347">
        <f>D$32*(1+(GREET1_Import_Export!$F$179*GREET1_Import_Export!$B184+GREET1_Import_Export!$F184)/1000000)+D$33*(1+(GREET1_Import_Export!$G$179*GREET1_Import_Export!$B184+GREET1_Import_Export!$G184)/1000000)+D$34*GREET1_Import_Export!$B220/1000000+D$35*GREET1_Import_Export!$B288/1000000+D$36*(GREET1_Import_Export!$B313+GREET1_Import_Export!$C313)/1000000</f>
        <v>0.18090561666128877</v>
      </c>
      <c r="E41" s="497"/>
      <c r="F41" s="909">
        <f>F$32*(1+(GREET1_Import_Export!$F$179*GREET1_Import_Export!$B184+GREET1_Import_Export!$F184)/1000000)+F$33*(1+($C$15*(GREET1_Import_Export!$H$179*GREET1_Import_Export!$B184+GREET1_Import_Export!$H184)+$C$17*(GREET1_Import_Export!$G$179*GREET1_Import_Export!$B184+GREET1_Import_Export!$G184))/1000000)+F$34*GREET1_Import_Export!$B220/1000000+F$35*GREET1_Import_Export!$B288/1000000+F$36*(GREET1_Import_Export!$C346)/1000000</f>
        <v>74.022411506086371</v>
      </c>
      <c r="G41" s="1253"/>
      <c r="H41" s="909">
        <f>H$32*(1+(GREET1_Import_Export!$F$179*GREET1_Import_Export!$B184+GREET1_Import_Export!$F184)/1000000)+H$33*(1+($C$15*(GREET1_Import_Export!$H$179*GREET1_Import_Export!$B184+GREET1_Import_Export!$H184)+$C$17*(GREET1_Import_Export!$G$179*GREET1_Import_Export!$B184+GREET1_Import_Export!$G184))/1000000)+H$34*GREET1_Import_Export!$B220/1000000+H$35*GREET1_Import_Export!$B288/1000000+H$36*(GREET1_Import_Export!$C346)/1000000</f>
        <v>74.022411506086371</v>
      </c>
      <c r="I41" s="1253"/>
      <c r="J41" s="909">
        <f>J$32*(1+(GREET1_Import_Export!$F$179*GREET1_Import_Export!$B184+GREET1_Import_Export!$F184)/1000000)+J$33*(1+($C$15*(GREET1_Import_Export!$H$179*GREET1_Import_Export!$B184+GREET1_Import_Export!$H184)+$C$17*(GREET1_Import_Export!$G$179*GREET1_Import_Export!$B184+GREET1_Import_Export!$G184))/1000000)+J$34*GREET1_Import_Export!$B220/1000000+J$35*GREET1_Import_Export!$B288/1000000+J$36*(GREET1_Import_Export!$C346)/1000000</f>
        <v>74.022411506086371</v>
      </c>
      <c r="K41" s="1253"/>
      <c r="L41" s="909">
        <f>L$32*(1+(GREET1_Import_Export!$F$179*GREET1_Import_Export!$B184+GREET1_Import_Export!$F184)/1000000)+L$33*(1+($C$15*(GREET1_Import_Export!$H$179*GREET1_Import_Export!$B184+GREET1_Import_Export!$H184)+$C$17*(GREET1_Import_Export!$G$179*GREET1_Import_Export!$B184+GREET1_Import_Export!$G184))/1000000)+L$34*GREET1_Import_Export!$B220/1000000+L$35*GREET1_Import_Export!$B288/1000000+L$36*(GREET1_Import_Export!$C346)/1000000</f>
        <v>74.022411506086371</v>
      </c>
      <c r="M41" s="1253"/>
      <c r="Q41" s="5"/>
      <c r="R41" s="5"/>
      <c r="S41" s="5"/>
      <c r="T41" s="5"/>
      <c r="U41" s="5"/>
      <c r="V41" s="5"/>
      <c r="W41" s="5"/>
      <c r="X41" s="5"/>
      <c r="Y41" s="5"/>
    </row>
    <row r="42" spans="1:25" s="535" customFormat="1">
      <c r="A42" s="173" t="s">
        <v>819</v>
      </c>
      <c r="B42" s="250">
        <f>B$32*((GREET1_Import_Export!$F$179*GREET1_Import_Export!$B185+GREET1_Import_Export!$F185))+B$33*((GREET1_Import_Export!$H$179*GREET1_Import_Export!$B185+GREET1_Import_Export!$H185))+B$34*GREET1_Import_Export!$B221+B$35*GREET1_Import_Export!$B289+B$36*(GREET1_Import_Export!$B314+GREET1_Import_Export!$C314)</f>
        <v>49.332455270206552</v>
      </c>
      <c r="C42" s="47"/>
      <c r="D42" s="250">
        <f>D$32*((GREET1_Import_Export!$F$179*GREET1_Import_Export!$B185+GREET1_Import_Export!$F185))+D$33*((GREET1_Import_Export!$G$179*GREET1_Import_Export!$B185+GREET1_Import_Export!$G185))+D$34*GREET1_Import_Export!$B221+D$35*GREET1_Import_Export!$B289+D$36*(GREET1_Import_Export!$B314+GREET1_Import_Export!$C314)</f>
        <v>1088.688838724569</v>
      </c>
      <c r="E42" s="245"/>
      <c r="F42" s="910">
        <f>F$32*(GREET1_Import_Export!$F$179*GREET1_Import_Export!$B185+GREET1_Import_Export!$F185)+F$33*($C$15*(GREET1_Import_Export!$H$179*GREET1_Import_Export!$B185+GREET1_Import_Export!$H185)+$C$17*(GREET1_Import_Export!$G$179*GREET1_Import_Export!$B185+GREET1_Import_Export!$G185))+F$34*GREET1_Import_Export!$B221+F$35*GREET1_Import_Export!$B289+F$36*GREET1_Import_Export!$C347</f>
        <v>52916.113631601453</v>
      </c>
      <c r="G42" s="2647"/>
      <c r="H42" s="910">
        <f>H$32*(GREET1_Import_Export!$F$179*GREET1_Import_Export!$B185+GREET1_Import_Export!$F185)+H$33*($C$15*(GREET1_Import_Export!$H$179*GREET1_Import_Export!$B185+GREET1_Import_Export!$H185)+$C$17*(GREET1_Import_Export!$G$179*GREET1_Import_Export!$B185+GREET1_Import_Export!$G185))+H$34*GREET1_Import_Export!$B221+H$35*GREET1_Import_Export!$B289+H$36*GREET1_Import_Export!$C347</f>
        <v>52916.113631601453</v>
      </c>
      <c r="I42" s="2647"/>
      <c r="J42" s="910">
        <f>J$32*(GREET1_Import_Export!$F$179*GREET1_Import_Export!$B185+GREET1_Import_Export!$F185)+J$33*($C$15*(GREET1_Import_Export!$H$179*GREET1_Import_Export!$B185+GREET1_Import_Export!$H185)+$C$17*(GREET1_Import_Export!$G$179*GREET1_Import_Export!$B185+GREET1_Import_Export!$G185))+J$34*GREET1_Import_Export!$B221+J$35*GREET1_Import_Export!$B289+J$36*GREET1_Import_Export!$C347</f>
        <v>52916.113631601453</v>
      </c>
      <c r="K42" s="2647"/>
      <c r="L42" s="910">
        <f>L$32*(GREET1_Import_Export!$F$179*GREET1_Import_Export!$B185+GREET1_Import_Export!$F185)+L$33*($C$15*(GREET1_Import_Export!$H$179*GREET1_Import_Export!$B185+GREET1_Import_Export!$H185)+$C$17*(GREET1_Import_Export!$G$179*GREET1_Import_Export!$B185+GREET1_Import_Export!$G185))+L$34*GREET1_Import_Export!$B221+L$35*GREET1_Import_Export!$B289+L$36*GREET1_Import_Export!$C347</f>
        <v>52916.113631601453</v>
      </c>
      <c r="M42" s="2647"/>
      <c r="Q42" s="5"/>
      <c r="R42" s="5"/>
      <c r="S42" s="5"/>
      <c r="T42" s="5"/>
      <c r="U42" s="5"/>
      <c r="V42" s="5"/>
      <c r="W42" s="5"/>
      <c r="X42" s="5"/>
      <c r="Y42" s="5"/>
    </row>
    <row r="43" spans="1:25" s="496" customFormat="1">
      <c r="A43" s="609" t="s">
        <v>864</v>
      </c>
      <c r="B43" s="755"/>
      <c r="C43" s="597"/>
      <c r="D43" s="755"/>
      <c r="E43" s="544"/>
      <c r="F43" s="2644"/>
      <c r="G43" s="2645"/>
      <c r="H43" s="2644"/>
      <c r="I43" s="2645"/>
      <c r="J43" s="2644"/>
      <c r="K43" s="2645"/>
      <c r="L43" s="2644"/>
      <c r="M43" s="2645"/>
      <c r="Q43" s="5"/>
      <c r="R43" s="5"/>
      <c r="S43" s="5"/>
      <c r="T43" s="5"/>
      <c r="U43" s="5"/>
      <c r="V43" s="5"/>
      <c r="W43" s="5"/>
      <c r="X43" s="5"/>
      <c r="Y43" s="5"/>
    </row>
    <row r="44" spans="1:25" s="496" customFormat="1">
      <c r="A44" s="498" t="s">
        <v>821</v>
      </c>
      <c r="B44" s="347">
        <f>B$32*(B$11*GREET1_Import_Export!$K72+GREET1_Import_Export!$F$179*GREET1_Import_Export!$B186+GREET1_Import_Export!$F186)+B$33*(B$15*GREET1_Import_Export!$R72+B$16*GREET1_Import_Export!$L146+GREET1_Import_Export!$H$179*GREET1_Import_Export!$B186+GREET1_Import_Export!$H186)+B$34*(B$12*GREET1_Import_Export!$B72+B$13*GREET1_Import_Export!$L118+GREET1_Import_Export!$B222)+B$35*(B$14*GREET1_Import_Export!$AA72+GREET1_Import_Export!$B290)+B$36*(GREET1_Import_Export!$B315+GREET1_Import_Export!$C315)</f>
        <v>29.803687698304373</v>
      </c>
      <c r="D44" s="347">
        <f>D$32*(GREET1_Import_Export!$K72+GREET1_Import_Export!$F$179*GREET1_Import_Export!$B186+GREET1_Import_Export!$F186)+D$33*(GREET1_Import_Export!$O72+GREET1_Import_Export!$G$179*GREET1_Import_Export!$B186+GREET1_Import_Export!$G186)+D$34*(GREET1_Import_Export!$B72+GREET1_Import_Export!$B222)+D$35*(GREET1_Import_Export!$AA72+GREET1_Import_Export!$B290)+D$36*(GREET1_Import_Export!$B315+GREET1_Import_Export!$C315)</f>
        <v>160.59708628997316</v>
      </c>
      <c r="E44" s="497"/>
      <c r="F44" s="2648">
        <f>F$32*($C$11*GREET1_Import_Export!$K72+GREET1_Import_Export!$F$179*GREET1_Import_Export!$B186+GREET1_Import_Export!$F186)+F$33*($C$15*(GREET1_Import_Export!$R72+(GREET1_Import_Export!$H$179*GREET1_Import_Export!$B186+GREET1_Import_Export!$H186))+$C$16*(GREET1_Import_Export!$K146+(GREET1_Import_Export!$H$179*GREET1_Import_Export!$B186+GREET1_Import_Export!$H186))+$C$17*(GREET1_Import_Export!$O72+(GREET1_Import_Export!$G$179*GREET1_Import_Export!$B186+GREET1_Import_Export!$G186)))+F$34*($C$12*GREET1_Import_Export!$B72+$C$13*GREET1_Import_Export!$K118+GREET1_Import_Export!$B222)+F$35*($C$14*GREET1_Import_Export!$AA72+GREET1_Import_Export!$B290)+F$36*(GREET1_Import_Export!$C348)</f>
        <v>9416.1195273083795</v>
      </c>
      <c r="G44" s="1253"/>
      <c r="H44" s="2648">
        <f>H$32*($C$11*GREET1_Import_Export!$K72+GREET1_Import_Export!$F$179*GREET1_Import_Export!$B186+GREET1_Import_Export!$F186)+H$33*($C$15*(GREET1_Import_Export!$R72+(GREET1_Import_Export!$H$179*GREET1_Import_Export!$B186+GREET1_Import_Export!$H186))+$C$16*(GREET1_Import_Export!$K146+(GREET1_Import_Export!$H$179*GREET1_Import_Export!$B186+GREET1_Import_Export!$H186))+$C$17*(GREET1_Import_Export!$O72+(GREET1_Import_Export!$G$179*GREET1_Import_Export!$B186+GREET1_Import_Export!$G186)))+H$34*($C$12*GREET1_Import_Export!$B72+$C$13*GREET1_Import_Export!$K118+GREET1_Import_Export!$B222)+H$35*($C$14*GREET1_Import_Export!$AA72+GREET1_Import_Export!$B290)+H$36*(GREET1_Import_Export!$C348)</f>
        <v>9416.1195273083795</v>
      </c>
      <c r="I44" s="1253"/>
      <c r="J44" s="2648">
        <f>J$32*($C$11*GREET1_Import_Export!$K72+GREET1_Import_Export!$F$179*GREET1_Import_Export!$B186+GREET1_Import_Export!$F186)+J$33*($C$15*(GREET1_Import_Export!$R72+(GREET1_Import_Export!$H$179*GREET1_Import_Export!$B186+GREET1_Import_Export!$H186))+$C$16*(GREET1_Import_Export!$K146+(GREET1_Import_Export!$H$179*GREET1_Import_Export!$B186+GREET1_Import_Export!$H186))+$C$17*(GREET1_Import_Export!$O72+(GREET1_Import_Export!$G$179*GREET1_Import_Export!$B186+GREET1_Import_Export!$G186)))+J$34*($C$12*GREET1_Import_Export!$B72+$C$13*GREET1_Import_Export!$K118+GREET1_Import_Export!$B222)+J$35*($C$14*GREET1_Import_Export!$AA72+GREET1_Import_Export!$B290)+J$36*(GREET1_Import_Export!$C348)</f>
        <v>9416.1195273083795</v>
      </c>
      <c r="K44" s="1253"/>
      <c r="L44" s="909">
        <f>L$32*($C$11*GREET1_Import_Export!$K72+GREET1_Import_Export!$F$179*GREET1_Import_Export!$B186+GREET1_Import_Export!$F186)+L$33*($C$15*(GREET1_Import_Export!$R72+(GREET1_Import_Export!$H$179*GREET1_Import_Export!$B186+GREET1_Import_Export!$H186))+$C$16*(GREET1_Import_Export!$K146+(GREET1_Import_Export!$H$179*GREET1_Import_Export!$B186+GREET1_Import_Export!$H186))+$C$17*(GREET1_Import_Export!$O72+(GREET1_Import_Export!$G$179*GREET1_Import_Export!$B186+GREET1_Import_Export!$G186)))+L$34*($C$12*GREET1_Import_Export!$B72+$C$13*GREET1_Import_Export!$K118+GREET1_Import_Export!$B222)+L$35*($C$14*GREET1_Import_Export!$AA72+GREET1_Import_Export!$B290)+L$36*(GREET1_Import_Export!$C348)</f>
        <v>9416.1195273083795</v>
      </c>
      <c r="M44" s="1253"/>
      <c r="Q44" s="5"/>
      <c r="R44" s="5"/>
      <c r="S44" s="5"/>
      <c r="T44" s="5"/>
      <c r="U44" s="5"/>
      <c r="V44" s="5"/>
      <c r="W44" s="5"/>
      <c r="X44" s="5"/>
      <c r="Y44" s="5"/>
    </row>
    <row r="45" spans="1:25" s="496" customFormat="1">
      <c r="A45" s="498" t="s">
        <v>822</v>
      </c>
      <c r="B45" s="347">
        <f>B$32*(B$11*GREET1_Import_Export!$K73+GREET1_Import_Export!$F$179*GREET1_Import_Export!$B187+GREET1_Import_Export!$F187)+B$33*(B$15*GREET1_Import_Export!$R73+B$16*GREET1_Import_Export!$L147+GREET1_Import_Export!$H$179*GREET1_Import_Export!$B187+GREET1_Import_Export!$H187)+B$34*(B$12*GREET1_Import_Export!$B73+B$13*GREET1_Import_Export!$L119+GREET1_Import_Export!$B223)+B$35*(B$14*GREET1_Import_Export!$AA73+GREET1_Import_Export!$B291)+B$36*(GREET1_Import_Export!$B316+GREET1_Import_Export!$C316)</f>
        <v>392.15757749458982</v>
      </c>
      <c r="D45" s="347">
        <f>D$32*(GREET1_Import_Export!$K73+GREET1_Import_Export!$F$179*GREET1_Import_Export!$B187+GREET1_Import_Export!$F187)+D$33*(GREET1_Import_Export!$O73+GREET1_Import_Export!$G$179*GREET1_Import_Export!$B187+GREET1_Import_Export!$G187)+D$34*(GREET1_Import_Export!$B73+GREET1_Import_Export!$B223)+D$35*(GREET1_Import_Export!$AA73+GREET1_Import_Export!$B291)+D$36*(GREET1_Import_Export!$B316+GREET1_Import_Export!$C316)</f>
        <v>467.01895192477258</v>
      </c>
      <c r="E45" s="497"/>
      <c r="F45" s="2648">
        <f>F$32*($C$11*GREET1_Import_Export!$K73+GREET1_Import_Export!$F$179*GREET1_Import_Export!$B187+GREET1_Import_Export!$F187)+F$33*($C$15*(GREET1_Import_Export!$R73+(GREET1_Import_Export!$H$179*GREET1_Import_Export!$B187+GREET1_Import_Export!$H187))+$C$16*(GREET1_Import_Export!$K147+(GREET1_Import_Export!$H$179*GREET1_Import_Export!$B187+GREET1_Import_Export!$H187))+$C$17*(GREET1_Import_Export!$O73+(GREET1_Import_Export!$G$179*GREET1_Import_Export!$B187+GREET1_Import_Export!$G187)))+F$34*($C$12*GREET1_Import_Export!$B73+$C$13*GREET1_Import_Export!$K119+GREET1_Import_Export!$B223)+F$35*($C$14*GREET1_Import_Export!$AA73+GREET1_Import_Export!$B291)+F$36*(GREET1_Import_Export!$C349)</f>
        <v>27639.8593366143</v>
      </c>
      <c r="G45" s="1253"/>
      <c r="H45" s="2648">
        <f>H$32*($C$11*GREET1_Import_Export!$K73+GREET1_Import_Export!$F$179*GREET1_Import_Export!$B187+GREET1_Import_Export!$F187)+H$33*($C$15*(GREET1_Import_Export!$R73+(GREET1_Import_Export!$H$179*GREET1_Import_Export!$B187+GREET1_Import_Export!$H187))+$C$16*(GREET1_Import_Export!$K147+(GREET1_Import_Export!$H$179*GREET1_Import_Export!$B187+GREET1_Import_Export!$H187))+$C$17*(GREET1_Import_Export!$O73+(GREET1_Import_Export!$G$179*GREET1_Import_Export!$B187+GREET1_Import_Export!$G187)))+H$34*($C$12*GREET1_Import_Export!$B73+$C$13*GREET1_Import_Export!$K119+GREET1_Import_Export!$B223)+H$35*($C$14*GREET1_Import_Export!$AA73+GREET1_Import_Export!$B291)+H$36*(GREET1_Import_Export!$C349)</f>
        <v>27639.8593366143</v>
      </c>
      <c r="I45" s="1253"/>
      <c r="J45" s="2648">
        <f>J$32*($C$11*GREET1_Import_Export!$K73+GREET1_Import_Export!$F$179*GREET1_Import_Export!$B187+GREET1_Import_Export!$F187)+J$33*($C$15*(GREET1_Import_Export!$R73+(GREET1_Import_Export!$H$179*GREET1_Import_Export!$B187+GREET1_Import_Export!$H187))+$C$16*(GREET1_Import_Export!$K147+(GREET1_Import_Export!$H$179*GREET1_Import_Export!$B187+GREET1_Import_Export!$H187))+$C$17*(GREET1_Import_Export!$O73+(GREET1_Import_Export!$G$179*GREET1_Import_Export!$B187+GREET1_Import_Export!$G187)))+J$34*($C$12*GREET1_Import_Export!$B73+$C$13*GREET1_Import_Export!$K119+GREET1_Import_Export!$B223)+J$35*($C$14*GREET1_Import_Export!$AA73+GREET1_Import_Export!$B291)+J$36*(GREET1_Import_Export!$C349)</f>
        <v>27639.8593366143</v>
      </c>
      <c r="K45" s="1253"/>
      <c r="L45" s="909">
        <f>L$32*($C$11*GREET1_Import_Export!$K73+GREET1_Import_Export!$F$179*GREET1_Import_Export!$B187+GREET1_Import_Export!$F187)+L$33*($C$15*(GREET1_Import_Export!$R73+(GREET1_Import_Export!$H$179*GREET1_Import_Export!$B187+GREET1_Import_Export!$H187))+$C$16*(GREET1_Import_Export!$K147+(GREET1_Import_Export!$H$179*GREET1_Import_Export!$B187+GREET1_Import_Export!$H187))+$C$17*(GREET1_Import_Export!$O73+(GREET1_Import_Export!$G$179*GREET1_Import_Export!$B187+GREET1_Import_Export!$G187)))+L$34*($C$12*GREET1_Import_Export!$B73+$C$13*GREET1_Import_Export!$K119+GREET1_Import_Export!$B223)+L$35*($C$14*GREET1_Import_Export!$AA73+GREET1_Import_Export!$B291)+L$36*(GREET1_Import_Export!$C349)</f>
        <v>27639.8593366143</v>
      </c>
      <c r="M45" s="1253"/>
      <c r="Q45" s="5"/>
      <c r="R45" s="5"/>
      <c r="S45" s="5"/>
      <c r="T45" s="5"/>
      <c r="U45" s="5"/>
      <c r="V45" s="5"/>
      <c r="W45" s="5"/>
      <c r="X45" s="5"/>
      <c r="Y45" s="5"/>
    </row>
    <row r="46" spans="1:25" s="496" customFormat="1">
      <c r="A46" s="498" t="s">
        <v>823</v>
      </c>
      <c r="B46" s="347">
        <f>B$32*(B$11*GREET1_Import_Export!$K74+GREET1_Import_Export!$F$179*GREET1_Import_Export!$B188+GREET1_Import_Export!$F188)+B$33*(B$15*GREET1_Import_Export!$R74+B$16*GREET1_Import_Export!$L148+GREET1_Import_Export!$H$179*GREET1_Import_Export!$B188+GREET1_Import_Export!$H188)+B$34*(B$12*GREET1_Import_Export!$B74+B$13*GREET1_Import_Export!$L120+GREET1_Import_Export!$B224)+B$35*(B$14*GREET1_Import_Export!$AA74+GREET1_Import_Export!$B292)+B$36*(GREET1_Import_Export!$B317+GREET1_Import_Export!$C317)</f>
        <v>269.72209092513276</v>
      </c>
      <c r="D46" s="347">
        <f>D$32*(GREET1_Import_Export!$K74+GREET1_Import_Export!$F$179*GREET1_Import_Export!$B188+GREET1_Import_Export!$F188)+D$33*(GREET1_Import_Export!$O74+GREET1_Import_Export!$G$179*GREET1_Import_Export!$B188+GREET1_Import_Export!$G188)+D$34*(GREET1_Import_Export!$B74+GREET1_Import_Export!$B224)+D$35*(GREET1_Import_Export!$AA74+GREET1_Import_Export!$B292)+D$36*(GREET1_Import_Export!$B317+GREET1_Import_Export!$C317)</f>
        <v>896.44063493458714</v>
      </c>
      <c r="E46" s="497"/>
      <c r="F46" s="2648">
        <f>F$32*($C$11*GREET1_Import_Export!$K74+GREET1_Import_Export!$F$179*GREET1_Import_Export!$B188+GREET1_Import_Export!$F188)+F$33*($C$15*(GREET1_Import_Export!$R74+(GREET1_Import_Export!$H$179*GREET1_Import_Export!$B188+GREET1_Import_Export!$H188))+$C$16*(GREET1_Import_Export!$K148+(GREET1_Import_Export!$H$179*GREET1_Import_Export!$B188+GREET1_Import_Export!$H188))+$C$17*(GREET1_Import_Export!$O74+(GREET1_Import_Export!$G$179*GREET1_Import_Export!$B188+GREET1_Import_Export!$G188)))+F$34*($C$12*GREET1_Import_Export!$B74+$C$13*GREET1_Import_Export!$K120+GREET1_Import_Export!$B224)+F$35*($C$14*GREET1_Import_Export!$AA74+GREET1_Import_Export!$B292)+F$36*(GREET1_Import_Export!$C350)</f>
        <v>79789.705208631756</v>
      </c>
      <c r="G46" s="1253"/>
      <c r="H46" s="2648">
        <f>H$32*($C$11*GREET1_Import_Export!$K74+GREET1_Import_Export!$F$179*GREET1_Import_Export!$B188+GREET1_Import_Export!$F188)+H$33*($C$15*(GREET1_Import_Export!$R74+(GREET1_Import_Export!$H$179*GREET1_Import_Export!$B188+GREET1_Import_Export!$H188))+$C$16*(GREET1_Import_Export!$K148+(GREET1_Import_Export!$H$179*GREET1_Import_Export!$B188+GREET1_Import_Export!$H188))+$C$17*(GREET1_Import_Export!$O74+(GREET1_Import_Export!$G$179*GREET1_Import_Export!$B188+GREET1_Import_Export!$G188)))+H$34*($C$12*GREET1_Import_Export!$B74+$C$13*GREET1_Import_Export!$K120+GREET1_Import_Export!$B224)+H$35*($C$14*GREET1_Import_Export!$AA74+GREET1_Import_Export!$B292)+H$36*(GREET1_Import_Export!$C350)</f>
        <v>79789.705208631756</v>
      </c>
      <c r="I46" s="1253"/>
      <c r="J46" s="2648">
        <f>J$32*($C$11*GREET1_Import_Export!$K74+GREET1_Import_Export!$F$179*GREET1_Import_Export!$B188+GREET1_Import_Export!$F188)+J$33*($C$15*(GREET1_Import_Export!$R74+(GREET1_Import_Export!$H$179*GREET1_Import_Export!$B188+GREET1_Import_Export!$H188))+$C$16*(GREET1_Import_Export!$K148+(GREET1_Import_Export!$H$179*GREET1_Import_Export!$B188+GREET1_Import_Export!$H188))+$C$17*(GREET1_Import_Export!$O74+(GREET1_Import_Export!$G$179*GREET1_Import_Export!$B188+GREET1_Import_Export!$G188)))+J$34*($C$12*GREET1_Import_Export!$B74+$C$13*GREET1_Import_Export!$K120+GREET1_Import_Export!$B224)+J$35*($C$14*GREET1_Import_Export!$AA74+GREET1_Import_Export!$B292)+J$36*(GREET1_Import_Export!$C350)</f>
        <v>79789.705208631756</v>
      </c>
      <c r="K46" s="1253"/>
      <c r="L46" s="909">
        <f>L$32*($C$11*GREET1_Import_Export!$K74+GREET1_Import_Export!$F$179*GREET1_Import_Export!$B188+GREET1_Import_Export!$F188)+L$33*($C$15*(GREET1_Import_Export!$R74+(GREET1_Import_Export!$H$179*GREET1_Import_Export!$B188+GREET1_Import_Export!$H188))+$C$16*(GREET1_Import_Export!$K148+(GREET1_Import_Export!$H$179*GREET1_Import_Export!$B188+GREET1_Import_Export!$H188))+$C$17*(GREET1_Import_Export!$O74+(GREET1_Import_Export!$G$179*GREET1_Import_Export!$B188+GREET1_Import_Export!$G188)))+L$34*($C$12*GREET1_Import_Export!$B74+$C$13*GREET1_Import_Export!$K120+GREET1_Import_Export!$B224)+L$35*($C$14*GREET1_Import_Export!$AA74+GREET1_Import_Export!$B292)+L$36*(GREET1_Import_Export!$C350)</f>
        <v>79789.705208631756</v>
      </c>
      <c r="M46" s="1253"/>
      <c r="Q46" s="5"/>
      <c r="R46" s="5"/>
      <c r="S46" s="5"/>
      <c r="T46" s="5"/>
      <c r="U46" s="5"/>
      <c r="V46" s="5"/>
      <c r="W46" s="5"/>
      <c r="X46" s="5"/>
      <c r="Y46" s="5"/>
    </row>
    <row r="47" spans="1:25" s="496" customFormat="1">
      <c r="A47" s="498" t="s">
        <v>824</v>
      </c>
      <c r="B47" s="347">
        <f>B$32*(B$11*GREET1_Import_Export!$K75+GREET1_Import_Export!$F$179*GREET1_Import_Export!$B189+GREET1_Import_Export!$F189)+B$33*(B$15*GREET1_Import_Export!$R75+B$16*GREET1_Import_Export!$L149+GREET1_Import_Export!$H$179*GREET1_Import_Export!$B189+GREET1_Import_Export!$H189)+B$34*(B$12*GREET1_Import_Export!$B75+B$13*GREET1_Import_Export!$L121+GREET1_Import_Export!$B225)+B$35*(B$14*GREET1_Import_Export!$AA75+GREET1_Import_Export!$B293)+B$36*(GREET1_Import_Export!$B318+GREET1_Import_Export!$C318)</f>
        <v>15.233036495583651</v>
      </c>
      <c r="C47" s="338">
        <f>2724*0.6</f>
        <v>1634.3999999999999</v>
      </c>
      <c r="D47" s="347">
        <f>D$32*(GREET1_Import_Export!$K75+GREET1_Import_Export!$F$179*GREET1_Import_Export!$B189+GREET1_Import_Export!$F189)+D$33*(GREET1_Import_Export!$O75+GREET1_Import_Export!$G$179*GREET1_Import_Export!$B189+GREET1_Import_Export!$G189)+D$34*(GREET1_Import_Export!$B75+GREET1_Import_Export!$B225)+D$35*(GREET1_Import_Export!$AA75+GREET1_Import_Export!$B293)+D$36*(GREET1_Import_Export!$B318+GREET1_Import_Export!$C318)</f>
        <v>129.99217809960737</v>
      </c>
      <c r="E47" s="497"/>
      <c r="F47" s="2648">
        <f>F$32*($C$11*GREET1_Import_Export!$K75+GREET1_Import_Export!$F$179*GREET1_Import_Export!$B189+GREET1_Import_Export!$F189)+F$33*($C$15*(GREET1_Import_Export!$R75+(GREET1_Import_Export!$H$179*GREET1_Import_Export!$B189+GREET1_Import_Export!$H189))+$C$16*(GREET1_Import_Export!$K149+(GREET1_Import_Export!$H$179*GREET1_Import_Export!$B189+GREET1_Import_Export!$H189))+$C$17*(GREET1_Import_Export!$O75+(GREET1_Import_Export!$G$179*GREET1_Import_Export!$B189+GREET1_Import_Export!$G189)))+F$34*($C$12*GREET1_Import_Export!$B75+$C$13*GREET1_Import_Export!$K121+GREET1_Import_Export!$B225)+F$35*($C$14*GREET1_Import_Export!$AA75+GREET1_Import_Export!$B293)+F$36*(GREET1_Import_Export!$C351)</f>
        <v>16700.333578371712</v>
      </c>
      <c r="G47" s="1253"/>
      <c r="H47" s="2648">
        <f>H$32*($C$11*GREET1_Import_Export!$K75+GREET1_Import_Export!$F$179*GREET1_Import_Export!$B189+GREET1_Import_Export!$F189)+H$33*($C$15*(GREET1_Import_Export!$R75+(GREET1_Import_Export!$H$179*GREET1_Import_Export!$B189+GREET1_Import_Export!$H189))+$C$16*(GREET1_Import_Export!$K149+(GREET1_Import_Export!$H$179*GREET1_Import_Export!$B189+GREET1_Import_Export!$H189))+$C$17*(GREET1_Import_Export!$O75+(GREET1_Import_Export!$G$179*GREET1_Import_Export!$B189+GREET1_Import_Export!$G189)))+H$34*($C$12*GREET1_Import_Export!$B75+$C$13*GREET1_Import_Export!$K121+GREET1_Import_Export!$B225)+H$35*($C$14*GREET1_Import_Export!$AA75+GREET1_Import_Export!$B293)+H$36*(GREET1_Import_Export!$C351)</f>
        <v>16700.333578371712</v>
      </c>
      <c r="I47" s="1253"/>
      <c r="J47" s="2648">
        <f>J$32*($C$11*GREET1_Import_Export!$K75+GREET1_Import_Export!$F$179*GREET1_Import_Export!$B189+GREET1_Import_Export!$F189)+J$33*($C$15*(GREET1_Import_Export!$R75+(GREET1_Import_Export!$H$179*GREET1_Import_Export!$B189+GREET1_Import_Export!$H189))+$C$16*(GREET1_Import_Export!$K149+(GREET1_Import_Export!$H$179*GREET1_Import_Export!$B189+GREET1_Import_Export!$H189))+$C$17*(GREET1_Import_Export!$O75+(GREET1_Import_Export!$G$179*GREET1_Import_Export!$B189+GREET1_Import_Export!$G189)))+J$34*($C$12*GREET1_Import_Export!$B75+$C$13*GREET1_Import_Export!$K121+GREET1_Import_Export!$B225)+J$35*($C$14*GREET1_Import_Export!$AA75+GREET1_Import_Export!$B293)+J$36*(GREET1_Import_Export!$C351)</f>
        <v>16700.333578371712</v>
      </c>
      <c r="K47" s="1253"/>
      <c r="L47" s="909">
        <f>L$32*($C$11*GREET1_Import_Export!$K75+GREET1_Import_Export!$F$179*GREET1_Import_Export!$B189+GREET1_Import_Export!$F189)+L$33*($C$15*(GREET1_Import_Export!$R75+(GREET1_Import_Export!$H$179*GREET1_Import_Export!$B189+GREET1_Import_Export!$H189))+$C$16*(GREET1_Import_Export!$K149+(GREET1_Import_Export!$H$179*GREET1_Import_Export!$B189+GREET1_Import_Export!$H189))+$C$17*(GREET1_Import_Export!$O75+(GREET1_Import_Export!$G$179*GREET1_Import_Export!$B189+GREET1_Import_Export!$G189)))+L$34*($C$12*GREET1_Import_Export!$B75+$C$13*GREET1_Import_Export!$K121+GREET1_Import_Export!$B225)+L$35*($C$14*GREET1_Import_Export!$AA75+GREET1_Import_Export!$B293)+L$36*(GREET1_Import_Export!$C351)</f>
        <v>16700.333578371712</v>
      </c>
      <c r="M47" s="1253"/>
      <c r="Q47" s="5"/>
      <c r="R47" s="5"/>
      <c r="S47" s="5"/>
      <c r="T47" s="5"/>
      <c r="U47" s="5"/>
      <c r="V47" s="5"/>
      <c r="W47" s="5"/>
      <c r="X47" s="5"/>
      <c r="Y47" s="5"/>
    </row>
    <row r="48" spans="1:25" s="496" customFormat="1">
      <c r="A48" s="347" t="s">
        <v>825</v>
      </c>
      <c r="B48" s="347">
        <f>B$32*(B$11*GREET1_Import_Export!$K76+GREET1_Import_Export!$F$179*GREET1_Import_Export!$B190+GREET1_Import_Export!$F190)+B$33*(B$15*GREET1_Import_Export!$R76+B$16*GREET1_Import_Export!$L150+GREET1_Import_Export!$H$179*GREET1_Import_Export!$B190+GREET1_Import_Export!$H190)+B$34*(B$12*GREET1_Import_Export!$B76+B$13*GREET1_Import_Export!$L122+GREET1_Import_Export!$B226)+B$35*(B$14*GREET1_Import_Export!$AA76+GREET1_Import_Export!$B294)+B$36*(GREET1_Import_Export!$B319+GREET1_Import_Export!$C319)</f>
        <v>4.5957440515113639</v>
      </c>
      <c r="C48" s="349">
        <f>C47/2</f>
        <v>817.19999999999993</v>
      </c>
      <c r="D48" s="347">
        <f>D$32*(GREET1_Import_Export!$K76+GREET1_Import_Export!$F$179*GREET1_Import_Export!$B190+GREET1_Import_Export!$F190)+D$33*(GREET1_Import_Export!$O76+GREET1_Import_Export!$G$179*GREET1_Import_Export!$B190+GREET1_Import_Export!$G190)+D$34*(GREET1_Import_Export!$B76+GREET1_Import_Export!$B226)+D$35*(GREET1_Import_Export!$AA76+GREET1_Import_Export!$B294)+D$36*(GREET1_Import_Export!$B319+GREET1_Import_Export!$C319)</f>
        <v>80.709372726758673</v>
      </c>
      <c r="E48" s="348"/>
      <c r="F48" s="2648">
        <f>F$32*($C$11*GREET1_Import_Export!$K76+GREET1_Import_Export!$F$179*GREET1_Import_Export!$B190+GREET1_Import_Export!$F190)+F$33*($C$15*(GREET1_Import_Export!$R76+(GREET1_Import_Export!$H$179*GREET1_Import_Export!$B190+GREET1_Import_Export!$H190))+$C$16*(GREET1_Import_Export!$K150+(GREET1_Import_Export!$H$179*GREET1_Import_Export!$B190+GREET1_Import_Export!$H190))+$C$17*(GREET1_Import_Export!$O76+(GREET1_Import_Export!$G$179*GREET1_Import_Export!$B190+GREET1_Import_Export!$G190)))+F$34*($C$12*GREET1_Import_Export!$B76+$C$13*GREET1_Import_Export!$K122+GREET1_Import_Export!$B226)+F$35*($C$14*GREET1_Import_Export!$AA76+GREET1_Import_Export!$B294)+F$36*(GREET1_Import_Export!$C352)</f>
        <v>7717.0800014310416</v>
      </c>
      <c r="G48" s="1253"/>
      <c r="H48" s="2648">
        <f>H$32*($C$11*GREET1_Import_Export!$K76+GREET1_Import_Export!$F$179*GREET1_Import_Export!$B190+GREET1_Import_Export!$F190)+H$33*($C$15*(GREET1_Import_Export!$R76+(GREET1_Import_Export!$H$179*GREET1_Import_Export!$B190+GREET1_Import_Export!$H190))+$C$16*(GREET1_Import_Export!$K150+(GREET1_Import_Export!$H$179*GREET1_Import_Export!$B190+GREET1_Import_Export!$H190))+$C$17*(GREET1_Import_Export!$O76+(GREET1_Import_Export!$G$179*GREET1_Import_Export!$B190+GREET1_Import_Export!$G190)))+H$34*($C$12*GREET1_Import_Export!$B76+$C$13*GREET1_Import_Export!$K122+GREET1_Import_Export!$B226)+H$35*($C$14*GREET1_Import_Export!$AA76+GREET1_Import_Export!$B294)+H$36*(GREET1_Import_Export!$C352)</f>
        <v>7717.0800014310416</v>
      </c>
      <c r="I48" s="1253"/>
      <c r="J48" s="2648">
        <f>J$32*($C$11*GREET1_Import_Export!$K76+GREET1_Import_Export!$F$179*GREET1_Import_Export!$B190+GREET1_Import_Export!$F190)+J$33*($C$15*(GREET1_Import_Export!$R76+(GREET1_Import_Export!$H$179*GREET1_Import_Export!$B190+GREET1_Import_Export!$H190))+$C$16*(GREET1_Import_Export!$K150+(GREET1_Import_Export!$H$179*GREET1_Import_Export!$B190+GREET1_Import_Export!$H190))+$C$17*(GREET1_Import_Export!$O76+(GREET1_Import_Export!$G$179*GREET1_Import_Export!$B190+GREET1_Import_Export!$G190)))+J$34*($C$12*GREET1_Import_Export!$B76+$C$13*GREET1_Import_Export!$K122+GREET1_Import_Export!$B226)+J$35*($C$14*GREET1_Import_Export!$AA76+GREET1_Import_Export!$B294)+J$36*(GREET1_Import_Export!$C352)</f>
        <v>7717.0800014310416</v>
      </c>
      <c r="K48" s="1253"/>
      <c r="L48" s="909">
        <f>L$32*($C$11*GREET1_Import_Export!$K76+GREET1_Import_Export!$F$179*GREET1_Import_Export!$B190+GREET1_Import_Export!$F190)+L$33*($C$15*(GREET1_Import_Export!$R76+(GREET1_Import_Export!$H$179*GREET1_Import_Export!$B190+GREET1_Import_Export!$H190))+$C$16*(GREET1_Import_Export!$K150+(GREET1_Import_Export!$H$179*GREET1_Import_Export!$B190+GREET1_Import_Export!$H190))+$C$17*(GREET1_Import_Export!$O76+(GREET1_Import_Export!$G$179*GREET1_Import_Export!$B190+GREET1_Import_Export!$G190)))+L$34*($C$12*GREET1_Import_Export!$B76+$C$13*GREET1_Import_Export!$K122+GREET1_Import_Export!$B226)+L$35*($C$14*GREET1_Import_Export!$AA76+GREET1_Import_Export!$B294)+L$36*(GREET1_Import_Export!$C352)</f>
        <v>7717.0800014310416</v>
      </c>
      <c r="M48" s="1253"/>
      <c r="Q48" s="5"/>
      <c r="R48" s="5"/>
      <c r="S48" s="5"/>
      <c r="T48" s="5"/>
      <c r="U48" s="5"/>
      <c r="V48" s="5"/>
      <c r="W48" s="5"/>
      <c r="X48" s="5"/>
      <c r="Y48" s="5"/>
    </row>
    <row r="49" spans="1:25" s="496" customFormat="1">
      <c r="A49" s="347" t="s">
        <v>826</v>
      </c>
      <c r="B49" s="347">
        <f>B$32*(B$11*GREET1_Import_Export!$K77+GREET1_Import_Export!$F$179*GREET1_Import_Export!$B191+GREET1_Import_Export!$F191)+B$33*(B$15*GREET1_Import_Export!$R77+B$16*GREET1_Import_Export!$L151+GREET1_Import_Export!$H$179*GREET1_Import_Export!$B191+GREET1_Import_Export!$H191)+B$34*(B$12*GREET1_Import_Export!$B77+B$13*GREET1_Import_Export!$L123+GREET1_Import_Export!$B227)+B$35*(B$14*GREET1_Import_Export!$AA77+GREET1_Import_Export!$B295)+B$36*(GREET1_Import_Export!$B320+GREET1_Import_Export!$C320)</f>
        <v>11.645384006400809</v>
      </c>
      <c r="D49" s="347">
        <f>D$32*(GREET1_Import_Export!$K77+GREET1_Import_Export!$F$179*GREET1_Import_Export!$B191+GREET1_Import_Export!$F191)+D$33*(GREET1_Import_Export!$O77+GREET1_Import_Export!$G$179*GREET1_Import_Export!$B191+GREET1_Import_Export!$G191)+D$34*(GREET1_Import_Export!$B77+GREET1_Import_Export!$B227)+D$35*(GREET1_Import_Export!$AA77+GREET1_Import_Export!$B295)+D$36*(GREET1_Import_Export!$B320+GREET1_Import_Export!$C320)</f>
        <v>665.66236268770092</v>
      </c>
      <c r="E49" s="497"/>
      <c r="F49" s="2648">
        <f>F$32*($C$11*GREET1_Import_Export!$K77+GREET1_Import_Export!$F$179*GREET1_Import_Export!$B191+GREET1_Import_Export!$F191)+F$33*($C$15*(GREET1_Import_Export!$R77+(GREET1_Import_Export!$H$179*GREET1_Import_Export!$B191+GREET1_Import_Export!$H191))+$C$16*(GREET1_Import_Export!$K151+(GREET1_Import_Export!$H$179*GREET1_Import_Export!$B191+GREET1_Import_Export!$H191))+$C$17*(GREET1_Import_Export!$O77+(GREET1_Import_Export!$G$179*GREET1_Import_Export!$B191+GREET1_Import_Export!$G191)))+F$34*($C$12*GREET1_Import_Export!$B77+$C$13*GREET1_Import_Export!$K123+GREET1_Import_Export!$B227)+F$35*($C$14*GREET1_Import_Export!$AA77+GREET1_Import_Export!$B295)+F$36*(GREET1_Import_Export!$C353)</f>
        <v>107226.3200116285</v>
      </c>
      <c r="G49" s="1253"/>
      <c r="H49" s="2648">
        <f>H$32*($C$11*GREET1_Import_Export!$K77+GREET1_Import_Export!$F$179*GREET1_Import_Export!$B191+GREET1_Import_Export!$F191)+H$33*($C$15*(GREET1_Import_Export!$R77+(GREET1_Import_Export!$H$179*GREET1_Import_Export!$B191+GREET1_Import_Export!$H191))+$C$16*(GREET1_Import_Export!$K151+(GREET1_Import_Export!$H$179*GREET1_Import_Export!$B191+GREET1_Import_Export!$H191))+$C$17*(GREET1_Import_Export!$O77+(GREET1_Import_Export!$G$179*GREET1_Import_Export!$B191+GREET1_Import_Export!$G191)))+H$34*($C$12*GREET1_Import_Export!$B77+$C$13*GREET1_Import_Export!$K123+GREET1_Import_Export!$B227)+H$35*($C$14*GREET1_Import_Export!$AA77+GREET1_Import_Export!$B295)+H$36*(GREET1_Import_Export!$C353)</f>
        <v>107226.3200116285</v>
      </c>
      <c r="I49" s="1253"/>
      <c r="J49" s="2648">
        <f>J$32*($C$11*GREET1_Import_Export!$K77+GREET1_Import_Export!$F$179*GREET1_Import_Export!$B191+GREET1_Import_Export!$F191)+J$33*($C$15*(GREET1_Import_Export!$R77+(GREET1_Import_Export!$H$179*GREET1_Import_Export!$B191+GREET1_Import_Export!$H191))+$C$16*(GREET1_Import_Export!$K151+(GREET1_Import_Export!$H$179*GREET1_Import_Export!$B191+GREET1_Import_Export!$H191))+$C$17*(GREET1_Import_Export!$O77+(GREET1_Import_Export!$G$179*GREET1_Import_Export!$B191+GREET1_Import_Export!$G191)))+J$34*($C$12*GREET1_Import_Export!$B77+$C$13*GREET1_Import_Export!$K123+GREET1_Import_Export!$B227)+J$35*($C$14*GREET1_Import_Export!$AA77+GREET1_Import_Export!$B295)+J$36*(GREET1_Import_Export!$C353)</f>
        <v>107226.3200116285</v>
      </c>
      <c r="K49" s="1253"/>
      <c r="L49" s="909">
        <f>L$32*($C$11*GREET1_Import_Export!$K77+GREET1_Import_Export!$F$179*GREET1_Import_Export!$B191+GREET1_Import_Export!$F191)+L$33*($C$15*(GREET1_Import_Export!$R77+(GREET1_Import_Export!$H$179*GREET1_Import_Export!$B191+GREET1_Import_Export!$H191))+$C$16*(GREET1_Import_Export!$K151+(GREET1_Import_Export!$H$179*GREET1_Import_Export!$B191+GREET1_Import_Export!$H191))+$C$17*(GREET1_Import_Export!$O77+(GREET1_Import_Export!$G$179*GREET1_Import_Export!$B191+GREET1_Import_Export!$G191)))+L$34*($C$12*GREET1_Import_Export!$B77+$C$13*GREET1_Import_Export!$K123+GREET1_Import_Export!$B227)+L$35*($C$14*GREET1_Import_Export!$AA77+GREET1_Import_Export!$B295)+L$36*(GREET1_Import_Export!$C353)</f>
        <v>107226.3200116285</v>
      </c>
      <c r="M49" s="1253"/>
      <c r="Q49" s="5"/>
      <c r="R49" s="5"/>
      <c r="S49" s="5"/>
      <c r="T49" s="5"/>
      <c r="U49" s="5"/>
      <c r="V49" s="5"/>
      <c r="W49" s="5"/>
      <c r="X49" s="5"/>
      <c r="Y49" s="5"/>
    </row>
    <row r="50" spans="1:25" s="496" customFormat="1">
      <c r="A50" s="749" t="s">
        <v>827</v>
      </c>
      <c r="B50" s="347">
        <f>B$32*(B$11*GREET1_Import_Export!$K78+GREET1_Import_Export!$F$179*GREET1_Import_Export!$B192+GREET1_Import_Export!$F192)+B$33*(B$15*GREET1_Import_Export!$R78+B$16*GREET1_Import_Export!$L152+GREET1_Import_Export!$H$179*GREET1_Import_Export!$B192+GREET1_Import_Export!$H192)+B$34*(B$12*GREET1_Import_Export!$B78+B$13*GREET1_Import_Export!$L124+GREET1_Import_Export!$B228)+B$35*(B$14*GREET1_Import_Export!$AA78+GREET1_Import_Export!$B296)+B$36*(GREET1_Import_Export!$B321+GREET1_Import_Export!$C321)</f>
        <v>0.45772229958642408</v>
      </c>
      <c r="D50" s="347">
        <f>D$32*(GREET1_Import_Export!$K78+GREET1_Import_Export!$F$179*GREET1_Import_Export!$B192+GREET1_Import_Export!$F192)+D$33*(GREET1_Import_Export!$O78+GREET1_Import_Export!$G$179*GREET1_Import_Export!$B192+GREET1_Import_Export!$G192)+D$34*(GREET1_Import_Export!$B78+GREET1_Import_Export!$B228)+D$35*(GREET1_Import_Export!$AA78+GREET1_Import_Export!$B296)+D$36*(GREET1_Import_Export!$B321+GREET1_Import_Export!$C321)</f>
        <v>5.6970926683904342</v>
      </c>
      <c r="E50" s="497"/>
      <c r="F50" s="2648">
        <f>F$32*($C$11*GREET1_Import_Export!$K78+GREET1_Import_Export!$F$179*GREET1_Import_Export!$B192+GREET1_Import_Export!$F192)+F$33*($C$15*(GREET1_Import_Export!$R78+(GREET1_Import_Export!$H$179*GREET1_Import_Export!$B192+GREET1_Import_Export!$H192))+$C$16*(GREET1_Import_Export!$K152+(GREET1_Import_Export!$H$179*GREET1_Import_Export!$B192+GREET1_Import_Export!$H192))+$C$17*(GREET1_Import_Export!$O78+(GREET1_Import_Export!$G$179*GREET1_Import_Export!$B192+GREET1_Import_Export!$G192)))+F$34*($C$12*GREET1_Import_Export!$B78+$C$13*GREET1_Import_Export!$K124+GREET1_Import_Export!$B228)+F$35*($C$14*GREET1_Import_Export!$AA78+GREET1_Import_Export!$B296)+F$36*(GREET1_Import_Export!$C354)</f>
        <v>361.85593294016604</v>
      </c>
      <c r="G50" s="1253"/>
      <c r="H50" s="2648">
        <f>H$32*($C$11*GREET1_Import_Export!$K78+GREET1_Import_Export!$F$179*GREET1_Import_Export!$B192+GREET1_Import_Export!$F192)+H$33*($C$15*(GREET1_Import_Export!$R78+(GREET1_Import_Export!$H$179*GREET1_Import_Export!$B192+GREET1_Import_Export!$H192))+$C$16*(GREET1_Import_Export!$K152+(GREET1_Import_Export!$H$179*GREET1_Import_Export!$B192+GREET1_Import_Export!$H192))+$C$17*(GREET1_Import_Export!$O78+(GREET1_Import_Export!$G$179*GREET1_Import_Export!$B192+GREET1_Import_Export!$G192)))+H$34*($C$12*GREET1_Import_Export!$B78+$C$13*GREET1_Import_Export!$K124+GREET1_Import_Export!$B228)+H$35*($C$14*GREET1_Import_Export!$AA78+GREET1_Import_Export!$B296)+H$36*(GREET1_Import_Export!$C354)</f>
        <v>361.85593294016604</v>
      </c>
      <c r="I50" s="1253"/>
      <c r="J50" s="2648">
        <f>J$32*($C$11*GREET1_Import_Export!$K78+GREET1_Import_Export!$F$179*GREET1_Import_Export!$B192+GREET1_Import_Export!$F192)+J$33*($C$15*(GREET1_Import_Export!$R78+(GREET1_Import_Export!$H$179*GREET1_Import_Export!$B192+GREET1_Import_Export!$H192))+$C$16*(GREET1_Import_Export!$K152+(GREET1_Import_Export!$H$179*GREET1_Import_Export!$B192+GREET1_Import_Export!$H192))+$C$17*(GREET1_Import_Export!$O78+(GREET1_Import_Export!$G$179*GREET1_Import_Export!$B192+GREET1_Import_Export!$G192)))+J$34*($C$12*GREET1_Import_Export!$B78+$C$13*GREET1_Import_Export!$K124+GREET1_Import_Export!$B228)+J$35*($C$14*GREET1_Import_Export!$AA78+GREET1_Import_Export!$B296)+J$36*(GREET1_Import_Export!$C354)</f>
        <v>361.85593294016604</v>
      </c>
      <c r="K50" s="1253"/>
      <c r="L50" s="909">
        <f>L$32*($C$11*GREET1_Import_Export!$K78+GREET1_Import_Export!$F$179*GREET1_Import_Export!$B192+GREET1_Import_Export!$F192)+L$33*($C$15*(GREET1_Import_Export!$R78+(GREET1_Import_Export!$H$179*GREET1_Import_Export!$B192+GREET1_Import_Export!$H192))+$C$16*(GREET1_Import_Export!$K152+(GREET1_Import_Export!$H$179*GREET1_Import_Export!$B192+GREET1_Import_Export!$H192))+$C$17*(GREET1_Import_Export!$O78+(GREET1_Import_Export!$G$179*GREET1_Import_Export!$B192+GREET1_Import_Export!$G192)))+L$34*($C$12*GREET1_Import_Export!$B78+$C$13*GREET1_Import_Export!$K124+GREET1_Import_Export!$B228)+L$35*($C$14*GREET1_Import_Export!$AA78+GREET1_Import_Export!$B296)+L$36*(GREET1_Import_Export!$C354)</f>
        <v>361.85593294016604</v>
      </c>
      <c r="M50" s="1253"/>
      <c r="Q50" s="5"/>
      <c r="R50" s="5"/>
      <c r="S50" s="5"/>
      <c r="T50" s="5"/>
      <c r="U50" s="5"/>
      <c r="V50" s="5"/>
      <c r="W50" s="5"/>
      <c r="X50" s="5"/>
      <c r="Y50" s="5"/>
    </row>
    <row r="51" spans="1:25" s="496" customFormat="1">
      <c r="A51" s="749" t="s">
        <v>828</v>
      </c>
      <c r="B51" s="347">
        <f>B$32*(B$11*GREET1_Import_Export!$K79+GREET1_Import_Export!$F$179*GREET1_Import_Export!$B193+GREET1_Import_Export!$F193)+B$33*(B$15*GREET1_Import_Export!$R79+B$16*GREET1_Import_Export!$L153+GREET1_Import_Export!$H$179*GREET1_Import_Export!$B193+GREET1_Import_Export!$H193)+B$34*(B$12*GREET1_Import_Export!$B79+B$13*GREET1_Import_Export!$L125+GREET1_Import_Export!$B229)+B$35*(B$14*GREET1_Import_Export!$AA79+GREET1_Import_Export!$B297)+B$36*(GREET1_Import_Export!$B322+GREET1_Import_Export!$C322)</f>
        <v>0.81150375415297782</v>
      </c>
      <c r="D51" s="347">
        <f>D$32*(GREET1_Import_Export!$K79+GREET1_Import_Export!$F$179*GREET1_Import_Export!$B193+GREET1_Import_Export!$F193)+D$33*(GREET1_Import_Export!$O79+GREET1_Import_Export!$G$179*GREET1_Import_Export!$B193+GREET1_Import_Export!$G193)+D$34*(GREET1_Import_Export!$B79+GREET1_Import_Export!$B229)+D$35*(GREET1_Import_Export!$AA79+GREET1_Import_Export!$B297)+D$36*(GREET1_Import_Export!$B322+GREET1_Import_Export!$C322)</f>
        <v>24.343313771963704</v>
      </c>
      <c r="E51" s="497"/>
      <c r="F51" s="2648">
        <f>F$32*($C$11*GREET1_Import_Export!$K79+GREET1_Import_Export!$F$179*GREET1_Import_Export!$B193+GREET1_Import_Export!$F193)+F$33*($C$15*(GREET1_Import_Export!$R79+(GREET1_Import_Export!$H$179*GREET1_Import_Export!$B193+GREET1_Import_Export!$H193))+$C$16*(GREET1_Import_Export!$K153+(GREET1_Import_Export!$H$179*GREET1_Import_Export!$B193+GREET1_Import_Export!$H193))+$C$17*(GREET1_Import_Export!$O79+(GREET1_Import_Export!$G$179*GREET1_Import_Export!$B193+GREET1_Import_Export!$G193)))+F$34*($C$12*GREET1_Import_Export!$B79+$C$13*GREET1_Import_Export!$K125+GREET1_Import_Export!$B229)+F$35*($C$14*GREET1_Import_Export!$AA79+GREET1_Import_Export!$B297)+F$36*(GREET1_Import_Export!$C355)</f>
        <v>632.08409611856371</v>
      </c>
      <c r="G51" s="1253"/>
      <c r="H51" s="2648">
        <f>H$32*($C$11*GREET1_Import_Export!$K79+GREET1_Import_Export!$F$179*GREET1_Import_Export!$B193+GREET1_Import_Export!$F193)+H$33*($C$15*(GREET1_Import_Export!$R79+(GREET1_Import_Export!$H$179*GREET1_Import_Export!$B193+GREET1_Import_Export!$H193))+$C$16*(GREET1_Import_Export!$K153+(GREET1_Import_Export!$H$179*GREET1_Import_Export!$B193+GREET1_Import_Export!$H193))+$C$17*(GREET1_Import_Export!$O79+(GREET1_Import_Export!$G$179*GREET1_Import_Export!$B193+GREET1_Import_Export!$G193)))+H$34*($C$12*GREET1_Import_Export!$B79+$C$13*GREET1_Import_Export!$K125+GREET1_Import_Export!$B229)+H$35*($C$14*GREET1_Import_Export!$AA79+GREET1_Import_Export!$B297)+H$36*(GREET1_Import_Export!$C355)</f>
        <v>632.08409611856371</v>
      </c>
      <c r="I51" s="1253"/>
      <c r="J51" s="2648">
        <f>J$32*($C$11*GREET1_Import_Export!$K79+GREET1_Import_Export!$F$179*GREET1_Import_Export!$B193+GREET1_Import_Export!$F193)+J$33*($C$15*(GREET1_Import_Export!$R79+(GREET1_Import_Export!$H$179*GREET1_Import_Export!$B193+GREET1_Import_Export!$H193))+$C$16*(GREET1_Import_Export!$K153+(GREET1_Import_Export!$H$179*GREET1_Import_Export!$B193+GREET1_Import_Export!$H193))+$C$17*(GREET1_Import_Export!$O79+(GREET1_Import_Export!$G$179*GREET1_Import_Export!$B193+GREET1_Import_Export!$G193)))+J$34*($C$12*GREET1_Import_Export!$B79+$C$13*GREET1_Import_Export!$K125+GREET1_Import_Export!$B229)+J$35*($C$14*GREET1_Import_Export!$AA79+GREET1_Import_Export!$B297)+J$36*(GREET1_Import_Export!$C355)</f>
        <v>632.08409611856371</v>
      </c>
      <c r="K51" s="1253"/>
      <c r="L51" s="909">
        <f>L$32*($C$11*GREET1_Import_Export!$K79+GREET1_Import_Export!$F$179*GREET1_Import_Export!$B193+GREET1_Import_Export!$F193)+L$33*($C$15*(GREET1_Import_Export!$R79+(GREET1_Import_Export!$H$179*GREET1_Import_Export!$B193+GREET1_Import_Export!$H193))+$C$16*(GREET1_Import_Export!$K153+(GREET1_Import_Export!$H$179*GREET1_Import_Export!$B193+GREET1_Import_Export!$H193))+$C$17*(GREET1_Import_Export!$O79+(GREET1_Import_Export!$G$179*GREET1_Import_Export!$B193+GREET1_Import_Export!$G193)))+L$34*($C$12*GREET1_Import_Export!$B79+$C$13*GREET1_Import_Export!$K125+GREET1_Import_Export!$B229)+L$35*($C$14*GREET1_Import_Export!$AA79+GREET1_Import_Export!$B297)+L$36*(GREET1_Import_Export!$C355)</f>
        <v>632.08409611856371</v>
      </c>
      <c r="M51" s="1253"/>
      <c r="Q51" s="5"/>
      <c r="R51" s="5"/>
      <c r="S51" s="5"/>
      <c r="T51" s="5"/>
      <c r="U51" s="5"/>
      <c r="V51" s="5"/>
      <c r="W51" s="5"/>
      <c r="X51" s="5"/>
      <c r="Y51" s="5"/>
    </row>
    <row r="52" spans="1:25" s="496" customFormat="1">
      <c r="A52" s="347" t="s">
        <v>829</v>
      </c>
      <c r="B52" s="347">
        <f>B$32*(B$11*GREET1_Import_Export!$K80+GREET1_Import_Export!$F$179*GREET1_Import_Export!$B194+GREET1_Import_Export!$F194)+B$33*(B$15*GREET1_Import_Export!$R80+B$16*GREET1_Import_Export!$L154+GREET1_Import_Export!$H$179*GREET1_Import_Export!$B194+GREET1_Import_Export!$H194)+B$34*(B$12*GREET1_Import_Export!$B80+B$13*GREET1_Import_Export!$L126+GREET1_Import_Export!$B230)+B$35*(B$14*GREET1_Import_Export!$AA80+GREET1_Import_Export!$B298)+B$36*(GREET1_Import_Export!$B323+GREET1_Import_Export!$C323)</f>
        <v>249.5957294356113</v>
      </c>
      <c r="D52" s="347">
        <f>D$32*(GREET1_Import_Export!$K80+GREET1_Import_Export!$F$179*GREET1_Import_Export!$B194+GREET1_Import_Export!$F194)+D$33*(GREET1_Import_Export!$O80+GREET1_Import_Export!$G$179*GREET1_Import_Export!$B194+GREET1_Import_Export!$G194)+D$34*(GREET1_Import_Export!$B80+GREET1_Import_Export!$B230)+D$35*(GREET1_Import_Export!$AA80+GREET1_Import_Export!$B298)+D$36*(GREET1_Import_Export!$B323+GREET1_Import_Export!$C323)</f>
        <v>3051.3144058777743</v>
      </c>
      <c r="E52" s="497"/>
      <c r="F52" s="2648">
        <f>F$32*($C$11*GREET1_Import_Export!$K80+GREET1_Import_Export!$F$179*GREET1_Import_Export!$B194+GREET1_Import_Export!$F194)+F$33*($C$15*(GREET1_Import_Export!$R80+(GREET1_Import_Export!$H$179*GREET1_Import_Export!$B194+GREET1_Import_Export!$H194))+$C$16*(GREET1_Import_Export!$K154+(GREET1_Import_Export!$H$179*GREET1_Import_Export!$B194+GREET1_Import_Export!$H194))+$C$17*(GREET1_Import_Export!$O80+(GREET1_Import_Export!$G$179*GREET1_Import_Export!$B194+GREET1_Import_Export!$G194)))+F$34*($C$12*GREET1_Import_Export!$B80+$C$13*GREET1_Import_Export!$K126+GREET1_Import_Export!$B230)+F$35*($C$14*GREET1_Import_Export!$AA80+GREET1_Import_Export!$B298)+F$36*(GREET1_Import_Export!$C356)</f>
        <v>172736.17180278589</v>
      </c>
      <c r="G52" s="1253"/>
      <c r="H52" s="2648">
        <f>H$32*($C$11*GREET1_Import_Export!$K80+GREET1_Import_Export!$F$179*GREET1_Import_Export!$B194+GREET1_Import_Export!$F194)+H$33*($C$15*(GREET1_Import_Export!$R80+(GREET1_Import_Export!$H$179*GREET1_Import_Export!$B194+GREET1_Import_Export!$H194))+$C$16*(GREET1_Import_Export!$K154+(GREET1_Import_Export!$H$179*GREET1_Import_Export!$B194+GREET1_Import_Export!$H194))+$C$17*(GREET1_Import_Export!$O80+(GREET1_Import_Export!$G$179*GREET1_Import_Export!$B194+GREET1_Import_Export!$G194)))+H$34*($C$12*GREET1_Import_Export!$B80+$C$13*GREET1_Import_Export!$K126+GREET1_Import_Export!$B230)+H$35*($C$14*GREET1_Import_Export!$AA80+GREET1_Import_Export!$B298)+H$36*(GREET1_Import_Export!$C356)</f>
        <v>172736.17180278589</v>
      </c>
      <c r="I52" s="1253"/>
      <c r="J52" s="2648">
        <f>J$32*($C$11*GREET1_Import_Export!$K80+GREET1_Import_Export!$F$179*GREET1_Import_Export!$B194+GREET1_Import_Export!$F194)+J$33*($C$15*(GREET1_Import_Export!$R80+(GREET1_Import_Export!$H$179*GREET1_Import_Export!$B194+GREET1_Import_Export!$H194))+$C$16*(GREET1_Import_Export!$K154+(GREET1_Import_Export!$H$179*GREET1_Import_Export!$B194+GREET1_Import_Export!$H194))+$C$17*(GREET1_Import_Export!$O80+(GREET1_Import_Export!$G$179*GREET1_Import_Export!$B194+GREET1_Import_Export!$G194)))+J$34*($C$12*GREET1_Import_Export!$B80+$C$13*GREET1_Import_Export!$K126+GREET1_Import_Export!$B230)+J$35*($C$14*GREET1_Import_Export!$AA80+GREET1_Import_Export!$B298)+J$36*(GREET1_Import_Export!$C356)</f>
        <v>172736.17180278589</v>
      </c>
      <c r="K52" s="1253"/>
      <c r="L52" s="909">
        <f>L$32*($C$11*GREET1_Import_Export!$K80+GREET1_Import_Export!$F$179*GREET1_Import_Export!$B194+GREET1_Import_Export!$F194)+L$33*($C$15*(GREET1_Import_Export!$R80+(GREET1_Import_Export!$H$179*GREET1_Import_Export!$B194+GREET1_Import_Export!$H194))+$C$16*(GREET1_Import_Export!$K154+(GREET1_Import_Export!$H$179*GREET1_Import_Export!$B194+GREET1_Import_Export!$H194))+$C$17*(GREET1_Import_Export!$O80+(GREET1_Import_Export!$G$179*GREET1_Import_Export!$B194+GREET1_Import_Export!$G194)))+L$34*($C$12*GREET1_Import_Export!$B80+$C$13*GREET1_Import_Export!$K126+GREET1_Import_Export!$B230)+L$35*($C$14*GREET1_Import_Export!$AA80+GREET1_Import_Export!$B298)+L$36*(GREET1_Import_Export!$C356)</f>
        <v>172736.17180278589</v>
      </c>
      <c r="M52" s="1253"/>
      <c r="Q52" s="5"/>
      <c r="R52" s="5"/>
      <c r="S52" s="5"/>
      <c r="T52" s="5"/>
      <c r="U52" s="5"/>
      <c r="V52" s="5"/>
      <c r="W52" s="5"/>
      <c r="X52" s="5"/>
      <c r="Y52" s="5"/>
    </row>
    <row r="53" spans="1:25" s="496" customFormat="1">
      <c r="A53" s="347" t="s">
        <v>830</v>
      </c>
      <c r="B53" s="347">
        <f>B$32*(B$11*GREET1_Import_Export!$K81+GREET1_Import_Export!$F$179*GREET1_Import_Export!$B195+GREET1_Import_Export!$F195)+B$33*(B$15*GREET1_Import_Export!$R81+B$16*GREET1_Import_Export!$L155+GREET1_Import_Export!$H$179*GREET1_Import_Export!$B195+GREET1_Import_Export!$H195)+B$34*(B$12*GREET1_Import_Export!$B81+B$13*GREET1_Import_Export!$L127+GREET1_Import_Export!$B231)+B$35*(B$14*GREET1_Import_Export!$AA81+GREET1_Import_Export!$B299)+B$36*(GREET1_Import_Export!$B324+GREET1_Import_Export!$C324)</f>
        <v>0.74534793922801834</v>
      </c>
      <c r="D53" s="347">
        <f>D$32*(GREET1_Import_Export!$K81+GREET1_Import_Export!$F$179*GREET1_Import_Export!$B195+GREET1_Import_Export!$F195)+D$33*(GREET1_Import_Export!$O81+GREET1_Import_Export!$G$179*GREET1_Import_Export!$B195+GREET1_Import_Export!$G195)+D$34*(GREET1_Import_Export!$B81+GREET1_Import_Export!$B231)+D$35*(GREET1_Import_Export!$AA81+GREET1_Import_Export!$B299)+D$36*(GREET1_Import_Export!$B324+GREET1_Import_Export!$C324)</f>
        <v>28.029439112065987</v>
      </c>
      <c r="E53" s="497"/>
      <c r="F53" s="2648">
        <f>F$32*($C$11*GREET1_Import_Export!$K81+GREET1_Import_Export!$F$179*GREET1_Import_Export!$B195+GREET1_Import_Export!$F195)+F$33*($C$15*(GREET1_Import_Export!$R81+(GREET1_Import_Export!$H$179*GREET1_Import_Export!$B195+GREET1_Import_Export!$H195))+$C$16*(GREET1_Import_Export!$K155+(GREET1_Import_Export!$H$179*GREET1_Import_Export!$B195+GREET1_Import_Export!$H195))+$C$17*(GREET1_Import_Export!$O81+(GREET1_Import_Export!$G$179*GREET1_Import_Export!$B195+GREET1_Import_Export!$G195)))+F$34*($C$12*GREET1_Import_Export!$B81+$C$13*GREET1_Import_Export!$K127+GREET1_Import_Export!$B231)+F$35*($C$14*GREET1_Import_Export!$AA81+GREET1_Import_Export!$B299)+F$36*(GREET1_Import_Export!$C357)</f>
        <v>2346.9175312580815</v>
      </c>
      <c r="G53" s="1253"/>
      <c r="H53" s="2648">
        <f>H$32*($C$11*GREET1_Import_Export!$K81+GREET1_Import_Export!$F$179*GREET1_Import_Export!$B195+GREET1_Import_Export!$F195)+H$33*($C$15*(GREET1_Import_Export!$R81+(GREET1_Import_Export!$H$179*GREET1_Import_Export!$B195+GREET1_Import_Export!$H195))+$C$16*(GREET1_Import_Export!$K155+(GREET1_Import_Export!$H$179*GREET1_Import_Export!$B195+GREET1_Import_Export!$H195))+$C$17*(GREET1_Import_Export!$O81+(GREET1_Import_Export!$G$179*GREET1_Import_Export!$B195+GREET1_Import_Export!$G195)))+H$34*($C$12*GREET1_Import_Export!$B81+$C$13*GREET1_Import_Export!$K127+GREET1_Import_Export!$B231)+H$35*($C$14*GREET1_Import_Export!$AA81+GREET1_Import_Export!$B299)+H$36*(GREET1_Import_Export!$C357)</f>
        <v>2346.9175312580815</v>
      </c>
      <c r="I53" s="1253"/>
      <c r="J53" s="2648">
        <f>J$32*($C$11*GREET1_Import_Export!$K81+GREET1_Import_Export!$F$179*GREET1_Import_Export!$B195+GREET1_Import_Export!$F195)+J$33*($C$15*(GREET1_Import_Export!$R81+(GREET1_Import_Export!$H$179*GREET1_Import_Export!$B195+GREET1_Import_Export!$H195))+$C$16*(GREET1_Import_Export!$K155+(GREET1_Import_Export!$H$179*GREET1_Import_Export!$B195+GREET1_Import_Export!$H195))+$C$17*(GREET1_Import_Export!$O81+(GREET1_Import_Export!$G$179*GREET1_Import_Export!$B195+GREET1_Import_Export!$G195)))+J$34*($C$12*GREET1_Import_Export!$B81+$C$13*GREET1_Import_Export!$K127+GREET1_Import_Export!$B231)+J$35*($C$14*GREET1_Import_Export!$AA81+GREET1_Import_Export!$B299)+J$36*(GREET1_Import_Export!$C357)</f>
        <v>2346.9175312580815</v>
      </c>
      <c r="K53" s="1253"/>
      <c r="L53" s="909">
        <f>L$32*($C$11*GREET1_Import_Export!$K81+GREET1_Import_Export!$F$179*GREET1_Import_Export!$B195+GREET1_Import_Export!$F195)+L$33*($C$15*(GREET1_Import_Export!$R81+(GREET1_Import_Export!$H$179*GREET1_Import_Export!$B195+GREET1_Import_Export!$H195))+$C$16*(GREET1_Import_Export!$K155+(GREET1_Import_Export!$H$179*GREET1_Import_Export!$B195+GREET1_Import_Export!$H195))+$C$17*(GREET1_Import_Export!$O81+(GREET1_Import_Export!$G$179*GREET1_Import_Export!$B195+GREET1_Import_Export!$G195)))+L$34*($C$12*GREET1_Import_Export!$B81+$C$13*GREET1_Import_Export!$K127+GREET1_Import_Export!$B231)+L$35*($C$14*GREET1_Import_Export!$AA81+GREET1_Import_Export!$B299)+L$36*(GREET1_Import_Export!$C357)</f>
        <v>2346.9175312580815</v>
      </c>
      <c r="M53" s="1253"/>
      <c r="Q53" s="5"/>
      <c r="R53" s="5"/>
      <c r="S53" s="5"/>
      <c r="T53" s="5"/>
      <c r="U53" s="5"/>
      <c r="V53" s="5"/>
      <c r="W53" s="5"/>
      <c r="X53" s="5"/>
      <c r="Y53" s="5"/>
    </row>
    <row r="54" spans="1:25" s="535" customFormat="1">
      <c r="A54" s="668" t="s">
        <v>831</v>
      </c>
      <c r="B54" s="295">
        <f>B$32*(B$11*GREET1_Import_Export!$K82+GREET1_Import_Export!$F$179*GREET1_Import_Export!$B196+GREET1_Import_Export!$F196)+B$33*(B$15*GREET1_Import_Export!$R82+B$16*GREET1_Import_Export!$L156+GREET1_Import_Export!$H$179*GREET1_Import_Export!$B196+GREET1_Import_Export!$H196)+B$34*(B$12*GREET1_Import_Export!$B82+B$13*GREET1_Import_Export!$L128+GREET1_Import_Export!$B232)+B$35*(B$14*GREET1_Import_Export!$AA82+GREET1_Import_Export!$B300)+B$36*(GREET1_Import_Export!$B325+GREET1_Import_Export!$C325)</f>
        <v>205492.61115224159</v>
      </c>
      <c r="C54" s="807"/>
      <c r="D54" s="295">
        <f>D$32*(GREET1_Import_Export!$K82+GREET1_Import_Export!$F$179*GREET1_Import_Export!$B196+GREET1_Import_Export!$F196)+D$33*(GREET1_Import_Export!$O82+GREET1_Import_Export!$G$179*GREET1_Import_Export!$B196+GREET1_Import_Export!$G196)+D$34*(GREET1_Import_Export!$B82+GREET1_Import_Export!$B232)+D$35*(GREET1_Import_Export!$AA82+GREET1_Import_Export!$B300)+D$36*(GREET1_Import_Export!$B325+GREET1_Import_Export!$C325)</f>
        <v>1294654.3958787266</v>
      </c>
      <c r="E54" s="765"/>
      <c r="F54" s="2650">
        <f>F$32*($C$11*GREET1_Import_Export!$K82+GREET1_Import_Export!$F$179*GREET1_Import_Export!$B196+GREET1_Import_Export!$F196)+F$33*($C$15*(GREET1_Import_Export!$R82+(GREET1_Import_Export!$H$179*GREET1_Import_Export!$B196+GREET1_Import_Export!$H196))+$C$16*(GREET1_Import_Export!$K156+(GREET1_Import_Export!$H$179*GREET1_Import_Export!$B196+GREET1_Import_Export!$H196))+$C$17*(GREET1_Import_Export!$O82+(GREET1_Import_Export!$G$179*GREET1_Import_Export!$B196+GREET1_Import_Export!$G196)))+F$34*($C$12*GREET1_Import_Export!$B82+$C$13*GREET1_Import_Export!$K128+GREET1_Import_Export!$B232)+F$35*($C$14*GREET1_Import_Export!$AA82+GREET1_Import_Export!$B300)+F$36*(GREET1_Import_Export!$C358)</f>
        <v>108730425.51487054</v>
      </c>
      <c r="G54" s="2647"/>
      <c r="H54" s="2650">
        <f>H$32*($C$11*GREET1_Import_Export!$K82+GREET1_Import_Export!$F$179*GREET1_Import_Export!$B196+GREET1_Import_Export!$F196)+H$33*($C$15*(GREET1_Import_Export!$R82+(GREET1_Import_Export!$H$179*GREET1_Import_Export!$B196+GREET1_Import_Export!$H196))+$C$16*(GREET1_Import_Export!$K156+(GREET1_Import_Export!$H$179*GREET1_Import_Export!$B196+GREET1_Import_Export!$H196))+$C$17*(GREET1_Import_Export!$O82+(GREET1_Import_Export!$G$179*GREET1_Import_Export!$B196+GREET1_Import_Export!$G196)))+H$34*($C$12*GREET1_Import_Export!$B82+$C$13*GREET1_Import_Export!$K128+GREET1_Import_Export!$B232)+H$35*($C$14*GREET1_Import_Export!$AA82+GREET1_Import_Export!$B300)+H$36*(GREET1_Import_Export!$C358)</f>
        <v>108730425.51487054</v>
      </c>
      <c r="I54" s="2647"/>
      <c r="J54" s="2650">
        <f>J$32*($C$11*GREET1_Import_Export!$K82+GREET1_Import_Export!$F$179*GREET1_Import_Export!$B196+GREET1_Import_Export!$F196)+J$33*($C$15*(GREET1_Import_Export!$R82+(GREET1_Import_Export!$H$179*GREET1_Import_Export!$B196+GREET1_Import_Export!$H196))+$C$16*(GREET1_Import_Export!$K156+(GREET1_Import_Export!$H$179*GREET1_Import_Export!$B196+GREET1_Import_Export!$H196))+$C$17*(GREET1_Import_Export!$O82+(GREET1_Import_Export!$G$179*GREET1_Import_Export!$B196+GREET1_Import_Export!$G196)))+J$34*($C$12*GREET1_Import_Export!$B82+$C$13*GREET1_Import_Export!$K128+GREET1_Import_Export!$B232)+J$35*($C$14*GREET1_Import_Export!$AA82+GREET1_Import_Export!$B300)+J$36*(GREET1_Import_Export!$C358)</f>
        <v>108730425.51487054</v>
      </c>
      <c r="K54" s="2647"/>
      <c r="L54" s="2595">
        <f>L$32*($C$11*GREET1_Import_Export!$K82+GREET1_Import_Export!$F$179*GREET1_Import_Export!$B196+GREET1_Import_Export!$F196)+L$33*($C$15*(GREET1_Import_Export!$R82+(GREET1_Import_Export!$H$179*GREET1_Import_Export!$B196+GREET1_Import_Export!$H196))+$C$16*(GREET1_Import_Export!$K156+(GREET1_Import_Export!$H$179*GREET1_Import_Export!$B196+GREET1_Import_Export!$H196))+$C$17*(GREET1_Import_Export!$O82+(GREET1_Import_Export!$G$179*GREET1_Import_Export!$B196+GREET1_Import_Export!$G196)))+L$34*($C$12*GREET1_Import_Export!$B82+$C$13*GREET1_Import_Export!$K128+GREET1_Import_Export!$B232)+L$35*($C$14*GREET1_Import_Export!$AA82+GREET1_Import_Export!$B300)+L$36*(GREET1_Import_Export!$C358)</f>
        <v>108730425.51487054</v>
      </c>
      <c r="M54" s="2647"/>
      <c r="Q54" s="5"/>
      <c r="R54" s="5"/>
      <c r="S54" s="5"/>
      <c r="T54" s="5"/>
      <c r="U54" s="5"/>
      <c r="V54" s="5"/>
      <c r="W54" s="5"/>
      <c r="X54" s="5"/>
      <c r="Y54" s="5"/>
    </row>
    <row r="55" spans="1:25" s="496" customFormat="1">
      <c r="A55" s="758" t="s">
        <v>865</v>
      </c>
      <c r="B55" s="390"/>
      <c r="C55" s="601"/>
      <c r="D55" s="390"/>
      <c r="E55" s="806"/>
      <c r="F55" s="2644"/>
      <c r="G55" s="2645"/>
      <c r="H55" s="2644"/>
      <c r="I55" s="2645"/>
      <c r="J55" s="2644"/>
      <c r="K55" s="2645"/>
      <c r="L55" s="2644"/>
      <c r="M55" s="2645"/>
      <c r="Q55" s="5"/>
      <c r="R55" s="5"/>
      <c r="S55" s="5"/>
      <c r="T55" s="5"/>
      <c r="U55" s="5"/>
      <c r="V55" s="5"/>
      <c r="W55" s="5"/>
      <c r="X55" s="5"/>
      <c r="Y55" s="5"/>
    </row>
    <row r="56" spans="1:25" s="496" customFormat="1">
      <c r="A56" s="347" t="s">
        <v>821</v>
      </c>
      <c r="B56" s="347">
        <f>B$32*(B$24*(B$11*GREET1_Import_Export!$K72)+GREET1_Import_Export!$F$200*GREET1_Import_Export!$B201+GREET1_Import_Export!$F201)+B$33*(B$24*(B$15*GREET1_Import_Export!$R72+B$16*GREET1_Import_Export!$L146)+GREET1_Import_Export!$H$200*GREET1_Import_Export!$B201+GREET1_Import_Export!$H201)+B$34*(B$24*(B$12*GREET1_Import_Export!$B72+B$13*GREET1_Import_Export!$L118)+GREET1_Import_Export!$B237)+B$35*(B$24*(B$14*GREET1_Import_Export!$AA72)+GREET1_Import_Export!$C290)+B$36*(GREET1_Import_Export!$D315+GREET1_Import_Export!$E315)</f>
        <v>6.251571906058909</v>
      </c>
      <c r="C56" s="601">
        <f t="shared" ref="C56:C63" si="0">C44*B$24</f>
        <v>0</v>
      </c>
      <c r="D56" s="347">
        <f>D$32*(D$24*(GREET1_Import_Export!$K72)+GREET1_Import_Export!$F$200*GREET1_Import_Export!$B201+GREET1_Import_Export!$F201)+D$33*(D$24*(GREET1_Import_Export!$O72)+GREET1_Import_Export!$G$200*GREET1_Import_Export!$B201+GREET1_Import_Export!$G201)+D$34*(D$24*(GREET1_Import_Export!$B72)+GREET1_Import_Export!$B237)+D$35*(D$24*(GREET1_Import_Export!$AA72)+GREET1_Import_Export!$C290)+D$36*(GREET1_Import_Export!$D315+GREET1_Import_Export!$E315)</f>
        <v>9.6611205687311337</v>
      </c>
      <c r="E56" s="806">
        <f t="shared" ref="E56:E63" si="1">E44*D$24</f>
        <v>0</v>
      </c>
      <c r="F56" s="909">
        <f>F$32*(F$24*($C$11*GREET1_Import_Export!$K72)+GREET1_Import_Export!$F$200*GREET1_Import_Export!$B201+GREET1_Import_Export!$F201)+F$33*(($C$15*(F$24*(GREET1_Import_Export!$R72)+(GREET1_Import_Export!$H$200*GREET1_Import_Export!$B201+GREET1_Import_Export!$H201)))+$C$16*(F$24*(GREET1_Import_Export!$K146)+(GREET1_Import_Export!$H$200*GREET1_Import_Export!$B201+GREET1_Import_Export!$H201))+$C$17*(F$24*(GREET1_Import_Export!$O72)+(GREET1_Import_Export!$G$200*GREET1_Import_Export!$B201+GREET1_Import_Export!$G201)))+F$34*(F$24*($C$12*GREET1_Import_Export!$B72+$C$13*GREET1_Import_Export!$K118)+GREET1_Import_Export!$B237)+F$35*(F$24*$C$14*GREET1_Import_Export!$AA72+GREET1_Import_Export!$C290)+F$36*(GREET1_Import_Export!$C363)</f>
        <v>630.69786924260859</v>
      </c>
      <c r="G56" s="2596">
        <f t="shared" ref="G56:G63" si="2">G44*F$24</f>
        <v>0</v>
      </c>
      <c r="H56" s="2648">
        <f>H$32*(H$24*($C$11*GREET1_Import_Export!$K72)+GREET1_Import_Export!$F$200*GREET1_Import_Export!$B201+GREET1_Import_Export!$F201)+H$33*(($C$15*(H$24*(GREET1_Import_Export!$R72)+(GREET1_Import_Export!$H$200*GREET1_Import_Export!$B201+GREET1_Import_Export!$H201)))+$C$16*(H$24*(GREET1_Import_Export!$K146)+(GREET1_Import_Export!$H$200*GREET1_Import_Export!$B201+GREET1_Import_Export!$H201))+$C$17*(H$24*(GREET1_Import_Export!$O72)+(GREET1_Import_Export!$G$200*GREET1_Import_Export!$B201+GREET1_Import_Export!$G201)))+H$34*(H$24*($C$12*GREET1_Import_Export!$B72+$C$13*GREET1_Import_Export!$K118)+GREET1_Import_Export!$B237)+H$35*(H$24*$C$14*GREET1_Import_Export!$AA72+GREET1_Import_Export!$C290)+H$36*(GREET1_Import_Export!$C363)</f>
        <v>630.69786924260859</v>
      </c>
      <c r="I56" s="1253">
        <f t="shared" ref="I56:I63" si="3">I44*H$24</f>
        <v>0</v>
      </c>
      <c r="J56" s="2648">
        <f>J$32*(J$24*($C$11*GREET1_Import_Export!$K72)+GREET1_Import_Export!$F$200*GREET1_Import_Export!$B201+GREET1_Import_Export!$F201)+J$33*(($C$15*(J$24*(GREET1_Import_Export!$R72)+(GREET1_Import_Export!$H$200*GREET1_Import_Export!$B201+GREET1_Import_Export!$H201)))+$C$16*(J$24*(GREET1_Import_Export!$K146)+(GREET1_Import_Export!$H$200*GREET1_Import_Export!$B201+GREET1_Import_Export!$H201))+$C$17*(J$24*(GREET1_Import_Export!$O72)+(GREET1_Import_Export!$G$200*GREET1_Import_Export!$B201+GREET1_Import_Export!$G201)))+J$34*(J$24*($C$12*GREET1_Import_Export!$B72+$C$13*GREET1_Import_Export!$K118)+GREET1_Import_Export!$B237)+J$35*(J$24*$C$14*GREET1_Import_Export!$AA72+GREET1_Import_Export!$C290)+J$36*(GREET1_Import_Export!$C363)</f>
        <v>630.69786924260859</v>
      </c>
      <c r="K56" s="1253">
        <f t="shared" ref="K56:K63" si="4">K44*J$24</f>
        <v>0</v>
      </c>
      <c r="L56" s="909">
        <f>L$32*(L$24*($C$11*GREET1_Import_Export!$K72)+GREET1_Import_Export!$F$200*GREET1_Import_Export!$B201+GREET1_Import_Export!$F201)+L$33*(($C$15*(L$24*(GREET1_Import_Export!$R72)+(GREET1_Import_Export!$H$200*GREET1_Import_Export!$B201+GREET1_Import_Export!$H201)))+$C$16*(L$24*(GREET1_Import_Export!$K146)+(GREET1_Import_Export!$H$200*GREET1_Import_Export!$B201+GREET1_Import_Export!$H201))+$C$17*(L$24*(GREET1_Import_Export!$O72)+(GREET1_Import_Export!$G$200*GREET1_Import_Export!$B201+GREET1_Import_Export!$G201)))+L$34*(L$24*($C$12*GREET1_Import_Export!$B72+$C$13*GREET1_Import_Export!$K118)+GREET1_Import_Export!$B237)+L$35*(L$24*$C$14*GREET1_Import_Export!$AA72+GREET1_Import_Export!$C290)+L$36*(GREET1_Import_Export!$C363)</f>
        <v>630.69786924260859</v>
      </c>
      <c r="M56" s="1253">
        <f t="shared" ref="M56:M63" si="5">M44*L$24</f>
        <v>0</v>
      </c>
      <c r="Q56" s="5"/>
      <c r="R56" s="5"/>
      <c r="S56" s="5"/>
      <c r="T56" s="5"/>
      <c r="U56" s="5"/>
      <c r="V56" s="5"/>
      <c r="W56" s="5"/>
      <c r="X56" s="5"/>
      <c r="Y56" s="5"/>
    </row>
    <row r="57" spans="1:25" s="496" customFormat="1">
      <c r="A57" s="347" t="s">
        <v>822</v>
      </c>
      <c r="B57" s="347">
        <f>B$32*(B$24*(B$11*GREET1_Import_Export!$K73)+GREET1_Import_Export!$F$200*GREET1_Import_Export!$B202+GREET1_Import_Export!$F202)+B$33*(B$24*(B$15*GREET1_Import_Export!$R73+B$16*GREET1_Import_Export!$L147)+GREET1_Import_Export!$H$200*GREET1_Import_Export!$B202+GREET1_Import_Export!$H202)+B$34*(B$24*(B$12*GREET1_Import_Export!$B73+B$13*GREET1_Import_Export!$L119)+GREET1_Import_Export!$B238)+B$35*(B$24*(B$14*GREET1_Import_Export!$AA73)+GREET1_Import_Export!$C291)+B$36*(GREET1_Import_Export!$D316+GREET1_Import_Export!$E316)</f>
        <v>4.0759011816905444</v>
      </c>
      <c r="C57" s="601">
        <f t="shared" si="0"/>
        <v>0</v>
      </c>
      <c r="D57" s="347">
        <f>D$32*(D$24*(GREET1_Import_Export!$K73)+GREET1_Import_Export!$F$200*GREET1_Import_Export!$B202+GREET1_Import_Export!$F202)+D$33*(D$24*(GREET1_Import_Export!$O73)+GREET1_Import_Export!$G$200*GREET1_Import_Export!$B202+GREET1_Import_Export!$G202)+D$34*(D$24*(GREET1_Import_Export!$B73)+GREET1_Import_Export!$B238)+D$35*(D$24*(GREET1_Import_Export!$AA73)+GREET1_Import_Export!$C291)+D$36*(GREET1_Import_Export!$D316+GREET1_Import_Export!$E316)</f>
        <v>68.62112965229997</v>
      </c>
      <c r="E57" s="806">
        <f t="shared" si="1"/>
        <v>0</v>
      </c>
      <c r="F57" s="909">
        <f>F$32*(F$24*($C$11*GREET1_Import_Export!$K73)+GREET1_Import_Export!$F$200*GREET1_Import_Export!$B202+GREET1_Import_Export!$F202)+F$33*(($C$15*(F$24*(GREET1_Import_Export!$R73)+(GREET1_Import_Export!$H$200*GREET1_Import_Export!$B202+GREET1_Import_Export!$H202)))+$C$16*(F$24*(GREET1_Import_Export!$K147)+(GREET1_Import_Export!$H$200*GREET1_Import_Export!$B202+GREET1_Import_Export!$H202))+$C$17*(F$24*(GREET1_Import_Export!$O73)+(GREET1_Import_Export!$G$200*GREET1_Import_Export!$B202+GREET1_Import_Export!$G202)))+F$34*(F$24*($C$12*GREET1_Import_Export!$B73+$C$13*GREET1_Import_Export!$K119)+GREET1_Import_Export!$B238)+F$35*(F$24*$C$14*GREET1_Import_Export!$AA73+GREET1_Import_Export!$C291)+F$36*(GREET1_Import_Export!$C364)</f>
        <v>5154.5936929550608</v>
      </c>
      <c r="G57" s="2596">
        <f t="shared" si="2"/>
        <v>0</v>
      </c>
      <c r="H57" s="2648">
        <f>H$32*(H$24*($C$11*GREET1_Import_Export!$K73)+GREET1_Import_Export!$F$200*GREET1_Import_Export!$B202+GREET1_Import_Export!$F202)+H$33*(($C$15*(H$24*(GREET1_Import_Export!$R73)+(GREET1_Import_Export!$H$200*GREET1_Import_Export!$B202+GREET1_Import_Export!$H202)))+$C$16*(H$24*(GREET1_Import_Export!$K147)+(GREET1_Import_Export!$H$200*GREET1_Import_Export!$B202+GREET1_Import_Export!$H202))+$C$17*(H$24*(GREET1_Import_Export!$O73)+(GREET1_Import_Export!$G$200*GREET1_Import_Export!$B202+GREET1_Import_Export!$G202)))+H$34*(H$24*($C$12*GREET1_Import_Export!$B73+$C$13*GREET1_Import_Export!$K119)+GREET1_Import_Export!$B238)+H$35*(H$24*$C$14*GREET1_Import_Export!$AA73+GREET1_Import_Export!$C291)+H$36*(GREET1_Import_Export!$C364)</f>
        <v>5154.5936929550608</v>
      </c>
      <c r="I57" s="1253">
        <f t="shared" si="3"/>
        <v>0</v>
      </c>
      <c r="J57" s="2648">
        <f>J$32*(J$24*($C$11*GREET1_Import_Export!$K73)+GREET1_Import_Export!$F$200*GREET1_Import_Export!$B202+GREET1_Import_Export!$F202)+J$33*(($C$15*(J$24*(GREET1_Import_Export!$R73)+(GREET1_Import_Export!$H$200*GREET1_Import_Export!$B202+GREET1_Import_Export!$H202)))+$C$16*(J$24*(GREET1_Import_Export!$K147)+(GREET1_Import_Export!$H$200*GREET1_Import_Export!$B202+GREET1_Import_Export!$H202))+$C$17*(J$24*(GREET1_Import_Export!$O73)+(GREET1_Import_Export!$G$200*GREET1_Import_Export!$B202+GREET1_Import_Export!$G202)))+J$34*(J$24*($C$12*GREET1_Import_Export!$B73+$C$13*GREET1_Import_Export!$K119)+GREET1_Import_Export!$B238)+J$35*(J$24*$C$14*GREET1_Import_Export!$AA73+GREET1_Import_Export!$C291)+J$36*(GREET1_Import_Export!$C364)</f>
        <v>5154.5936929550608</v>
      </c>
      <c r="K57" s="1253">
        <f t="shared" si="4"/>
        <v>0</v>
      </c>
      <c r="L57" s="909">
        <f>L$32*(L$24*($C$11*GREET1_Import_Export!$K73)+GREET1_Import_Export!$F$200*GREET1_Import_Export!$B202+GREET1_Import_Export!$F202)+L$33*(($C$15*(L$24*(GREET1_Import_Export!$R73)+(GREET1_Import_Export!$H$200*GREET1_Import_Export!$B202+GREET1_Import_Export!$H202)))+$C$16*(L$24*(GREET1_Import_Export!$K147)+(GREET1_Import_Export!$H$200*GREET1_Import_Export!$B202+GREET1_Import_Export!$H202))+$C$17*(L$24*(GREET1_Import_Export!$O73)+(GREET1_Import_Export!$G$200*GREET1_Import_Export!$B202+GREET1_Import_Export!$G202)))+L$34*(L$24*($C$12*GREET1_Import_Export!$B73+$C$13*GREET1_Import_Export!$K119)+GREET1_Import_Export!$B238)+L$35*(L$24*$C$14*GREET1_Import_Export!$AA73+GREET1_Import_Export!$C291)+L$36*(GREET1_Import_Export!$C364)</f>
        <v>5154.5936929550608</v>
      </c>
      <c r="M57" s="1253">
        <f t="shared" si="5"/>
        <v>0</v>
      </c>
      <c r="Q57" s="5"/>
      <c r="R57" s="5"/>
      <c r="S57" s="5"/>
      <c r="T57" s="5"/>
      <c r="U57" s="5"/>
      <c r="V57" s="5"/>
      <c r="W57" s="5"/>
      <c r="X57" s="5"/>
      <c r="Y57" s="5"/>
    </row>
    <row r="58" spans="1:25" s="496" customFormat="1">
      <c r="A58" s="347" t="s">
        <v>823</v>
      </c>
      <c r="B58" s="347">
        <f>B$32*(B$24*(B$11*GREET1_Import_Export!$K74)+GREET1_Import_Export!$F$200*GREET1_Import_Export!$B203+GREET1_Import_Export!$F203)+B$33*(B$24*(B$15*GREET1_Import_Export!$R74+B$16*GREET1_Import_Export!$L148)+GREET1_Import_Export!$H$200*GREET1_Import_Export!$B203+GREET1_Import_Export!$H203)+B$34*(B$24*(B$12*GREET1_Import_Export!$B74+B$13*GREET1_Import_Export!$L120)+GREET1_Import_Export!$B239)+B$35*(B$24*(B$14*GREET1_Import_Export!$AA74)+GREET1_Import_Export!$C292)+B$36*(GREET1_Import_Export!$D317+GREET1_Import_Export!$E317)</f>
        <v>6.3276476422748251</v>
      </c>
      <c r="C58" s="601">
        <f t="shared" si="0"/>
        <v>0</v>
      </c>
      <c r="D58" s="347">
        <f>D$32*(D$24*(GREET1_Import_Export!$K74)+GREET1_Import_Export!$F$200*GREET1_Import_Export!$B203+GREET1_Import_Export!$F203)+D$33*(D$24*(GREET1_Import_Export!$O74)+GREET1_Import_Export!$G$200*GREET1_Import_Export!$B203+GREET1_Import_Export!$G203)+D$34*(D$24*(GREET1_Import_Export!$B74)+GREET1_Import_Export!$B239)+D$35*(D$24*(GREET1_Import_Export!$AA74)+GREET1_Import_Export!$C292)+D$36*(GREET1_Import_Export!$D317+GREET1_Import_Export!$E317)</f>
        <v>195.88140519264624</v>
      </c>
      <c r="E58" s="806">
        <f t="shared" si="1"/>
        <v>0</v>
      </c>
      <c r="F58" s="909">
        <f>F$32*(F$24*($C$11*GREET1_Import_Export!$K74)+GREET1_Import_Export!$F$200*GREET1_Import_Export!$B203+GREET1_Import_Export!$F203)+F$33*(($C$15*(F$24*(GREET1_Import_Export!$R74)+(GREET1_Import_Export!$H$200*GREET1_Import_Export!$B203+GREET1_Import_Export!$H203)))+$C$16*(F$24*(GREET1_Import_Export!$K148)+(GREET1_Import_Export!$H$200*GREET1_Import_Export!$B203+GREET1_Import_Export!$H203))+$C$17*(F$24*(GREET1_Import_Export!$O74)+(GREET1_Import_Export!$G$200*GREET1_Import_Export!$B203+GREET1_Import_Export!$G203)))+F$34*(F$24*($C$12*GREET1_Import_Export!$B74+$C$13*GREET1_Import_Export!$K120)+GREET1_Import_Export!$B239)+F$35*(F$24*$C$14*GREET1_Import_Export!$AA74+GREET1_Import_Export!$C292)+F$36*(GREET1_Import_Export!$C365)</f>
        <v>22093.333719807441</v>
      </c>
      <c r="G58" s="2596">
        <f t="shared" si="2"/>
        <v>0</v>
      </c>
      <c r="H58" s="2648">
        <f>H$32*(H$24*($C$11*GREET1_Import_Export!$K74)+GREET1_Import_Export!$F$200*GREET1_Import_Export!$B203+GREET1_Import_Export!$F203)+H$33*(($C$15*(H$24*(GREET1_Import_Export!$R74)+(GREET1_Import_Export!$H$200*GREET1_Import_Export!$B203+GREET1_Import_Export!$H203)))+$C$16*(H$24*(GREET1_Import_Export!$K148)+(GREET1_Import_Export!$H$200*GREET1_Import_Export!$B203+GREET1_Import_Export!$H203))+$C$17*(H$24*(GREET1_Import_Export!$O74)+(GREET1_Import_Export!$G$200*GREET1_Import_Export!$B203+GREET1_Import_Export!$G203)))+H$34*(H$24*($C$12*GREET1_Import_Export!$B74+$C$13*GREET1_Import_Export!$K120)+GREET1_Import_Export!$B239)+H$35*(H$24*$C$14*GREET1_Import_Export!$AA74+GREET1_Import_Export!$C292)+H$36*(GREET1_Import_Export!$C365)</f>
        <v>22093.333719807441</v>
      </c>
      <c r="I58" s="1253">
        <f t="shared" si="3"/>
        <v>0</v>
      </c>
      <c r="J58" s="2648">
        <f>J$32*(J$24*($C$11*GREET1_Import_Export!$K74)+GREET1_Import_Export!$F$200*GREET1_Import_Export!$B203+GREET1_Import_Export!$F203)+J$33*(($C$15*(J$24*(GREET1_Import_Export!$R74)+(GREET1_Import_Export!$H$200*GREET1_Import_Export!$B203+GREET1_Import_Export!$H203)))+$C$16*(J$24*(GREET1_Import_Export!$K148)+(GREET1_Import_Export!$H$200*GREET1_Import_Export!$B203+GREET1_Import_Export!$H203))+$C$17*(J$24*(GREET1_Import_Export!$O74)+(GREET1_Import_Export!$G$200*GREET1_Import_Export!$B203+GREET1_Import_Export!$G203)))+J$34*(J$24*($C$12*GREET1_Import_Export!$B74+$C$13*GREET1_Import_Export!$K120)+GREET1_Import_Export!$B239)+J$35*(J$24*$C$14*GREET1_Import_Export!$AA74+GREET1_Import_Export!$C292)+J$36*(GREET1_Import_Export!$C365)</f>
        <v>22093.333719807441</v>
      </c>
      <c r="K58" s="1253">
        <f t="shared" si="4"/>
        <v>0</v>
      </c>
      <c r="L58" s="909">
        <f>L$32*(L$24*($C$11*GREET1_Import_Export!$K74)+GREET1_Import_Export!$F$200*GREET1_Import_Export!$B203+GREET1_Import_Export!$F203)+L$33*(($C$15*(L$24*(GREET1_Import_Export!$R74)+(GREET1_Import_Export!$H$200*GREET1_Import_Export!$B203+GREET1_Import_Export!$H203)))+$C$16*(L$24*(GREET1_Import_Export!$K148)+(GREET1_Import_Export!$H$200*GREET1_Import_Export!$B203+GREET1_Import_Export!$H203))+$C$17*(L$24*(GREET1_Import_Export!$O74)+(GREET1_Import_Export!$G$200*GREET1_Import_Export!$B203+GREET1_Import_Export!$G203)))+L$34*(L$24*($C$12*GREET1_Import_Export!$B74+$C$13*GREET1_Import_Export!$K120)+GREET1_Import_Export!$B239)+L$35*(L$24*$C$14*GREET1_Import_Export!$AA74+GREET1_Import_Export!$C292)+L$36*(GREET1_Import_Export!$C365)</f>
        <v>22093.333719807441</v>
      </c>
      <c r="M58" s="1253">
        <f t="shared" si="5"/>
        <v>0</v>
      </c>
      <c r="Q58" s="5"/>
      <c r="R58" s="5"/>
      <c r="S58" s="5"/>
      <c r="T58" s="5"/>
      <c r="U58" s="5"/>
      <c r="V58" s="5"/>
      <c r="W58" s="5"/>
      <c r="X58" s="5"/>
      <c r="Y58" s="5"/>
    </row>
    <row r="59" spans="1:25" s="496" customFormat="1">
      <c r="A59" s="347" t="s">
        <v>824</v>
      </c>
      <c r="B59" s="347">
        <f>B$32*(B$24*(B$11*GREET1_Import_Export!$K75)+GREET1_Import_Export!$F$200*GREET1_Import_Export!$B204+GREET1_Import_Export!$F204)+B$33*(B$24*(B$15*GREET1_Import_Export!$R75+B$16*GREET1_Import_Export!$L149)+GREET1_Import_Export!$H$200*GREET1_Import_Export!$B204+GREET1_Import_Export!$H204)+B$34*(B$24*(B$12*GREET1_Import_Export!$B75+B$13*GREET1_Import_Export!$L121)+GREET1_Import_Export!$B240)+B$35*(B$24*(B$14*GREET1_Import_Export!$AA75)+GREET1_Import_Export!$C293)+B$36*(GREET1_Import_Export!$D318+GREET1_Import_Export!$E318)</f>
        <v>1.1255416337496336</v>
      </c>
      <c r="C59" s="601">
        <f t="shared" si="0"/>
        <v>0</v>
      </c>
      <c r="D59" s="347">
        <f>D$32*(D$24*(GREET1_Import_Export!$K75)+GREET1_Import_Export!$F$200*GREET1_Import_Export!$B204+GREET1_Import_Export!$F204)+D$33*(D$24*(GREET1_Import_Export!$O75)+GREET1_Import_Export!$G$200*GREET1_Import_Export!$B204+GREET1_Import_Export!$G204)+D$34*(D$24*(GREET1_Import_Export!$B75)+GREET1_Import_Export!$B240)+D$35*(D$24*(GREET1_Import_Export!$AA75)+GREET1_Import_Export!$C293)+D$36*(GREET1_Import_Export!$D318+GREET1_Import_Export!$E318)</f>
        <v>25.380849808624397</v>
      </c>
      <c r="E59" s="806">
        <f t="shared" si="1"/>
        <v>0</v>
      </c>
      <c r="F59" s="909">
        <f>F$32*(F$24*($C$11*GREET1_Import_Export!$K75)+GREET1_Import_Export!$F$200*GREET1_Import_Export!$B204+GREET1_Import_Export!$F204)+F$33*(($C$15*(F$24*(GREET1_Import_Export!$R75)+(GREET1_Import_Export!$H$200*GREET1_Import_Export!$B204+GREET1_Import_Export!$H204)))+$C$16*(F$24*(GREET1_Import_Export!$K149)+(GREET1_Import_Export!$H$200*GREET1_Import_Export!$B204+GREET1_Import_Export!$H204))+$C$17*(F$24*(GREET1_Import_Export!$O75)+(GREET1_Import_Export!$G$200*GREET1_Import_Export!$B204+GREET1_Import_Export!$G204)))+F$34*(F$24*($C$12*GREET1_Import_Export!$B75+$C$13*GREET1_Import_Export!$K121)+GREET1_Import_Export!$B240)+F$35*(F$24*$C$14*GREET1_Import_Export!$AA75+GREET1_Import_Export!$C293)+F$36*(GREET1_Import_Export!$C366)</f>
        <v>2847.4501798385804</v>
      </c>
      <c r="G59" s="2596">
        <f t="shared" si="2"/>
        <v>0</v>
      </c>
      <c r="H59" s="2648">
        <f>H$32*(H$24*($C$11*GREET1_Import_Export!$K75)+GREET1_Import_Export!$F$200*GREET1_Import_Export!$B204+GREET1_Import_Export!$F204)+H$33*(($C$15*(H$24*(GREET1_Import_Export!$R75)+(GREET1_Import_Export!$H$200*GREET1_Import_Export!$B204+GREET1_Import_Export!$H204)))+$C$16*(H$24*(GREET1_Import_Export!$K149)+(GREET1_Import_Export!$H$200*GREET1_Import_Export!$B204+GREET1_Import_Export!$H204))+$C$17*(H$24*(GREET1_Import_Export!$O75)+(GREET1_Import_Export!$G$200*GREET1_Import_Export!$B204+GREET1_Import_Export!$G204)))+H$34*(H$24*($C$12*GREET1_Import_Export!$B75+$C$13*GREET1_Import_Export!$K121)+GREET1_Import_Export!$B240)+H$35*(H$24*$C$14*GREET1_Import_Export!$AA75+GREET1_Import_Export!$C293)+H$36*(GREET1_Import_Export!$C366)</f>
        <v>2847.4501798385804</v>
      </c>
      <c r="I59" s="1253">
        <f t="shared" si="3"/>
        <v>0</v>
      </c>
      <c r="J59" s="2648">
        <f>J$32*(J$24*($C$11*GREET1_Import_Export!$K75)+GREET1_Import_Export!$F$200*GREET1_Import_Export!$B204+GREET1_Import_Export!$F204)+J$33*(($C$15*(J$24*(GREET1_Import_Export!$R75)+(GREET1_Import_Export!$H$200*GREET1_Import_Export!$B204+GREET1_Import_Export!$H204)))+$C$16*(J$24*(GREET1_Import_Export!$K149)+(GREET1_Import_Export!$H$200*GREET1_Import_Export!$B204+GREET1_Import_Export!$H204))+$C$17*(J$24*(GREET1_Import_Export!$O75)+(GREET1_Import_Export!$G$200*GREET1_Import_Export!$B204+GREET1_Import_Export!$G204)))+J$34*(J$24*($C$12*GREET1_Import_Export!$B75+$C$13*GREET1_Import_Export!$K121)+GREET1_Import_Export!$B240)+J$35*(J$24*$C$14*GREET1_Import_Export!$AA75+GREET1_Import_Export!$C293)+J$36*(GREET1_Import_Export!$C366)</f>
        <v>2847.4501798385804</v>
      </c>
      <c r="K59" s="1253">
        <f t="shared" si="4"/>
        <v>0</v>
      </c>
      <c r="L59" s="909">
        <f>L$32*(L$24*($C$11*GREET1_Import_Export!$K75)+GREET1_Import_Export!$F$200*GREET1_Import_Export!$B204+GREET1_Import_Export!$F204)+L$33*(($C$15*(L$24*(GREET1_Import_Export!$R75)+(GREET1_Import_Export!$H$200*GREET1_Import_Export!$B204+GREET1_Import_Export!$H204)))+$C$16*(L$24*(GREET1_Import_Export!$K149)+(GREET1_Import_Export!$H$200*GREET1_Import_Export!$B204+GREET1_Import_Export!$H204))+$C$17*(L$24*(GREET1_Import_Export!$O75)+(GREET1_Import_Export!$G$200*GREET1_Import_Export!$B204+GREET1_Import_Export!$G204)))+L$34*(L$24*($C$12*GREET1_Import_Export!$B75+$C$13*GREET1_Import_Export!$K121)+GREET1_Import_Export!$B240)+L$35*(L$24*$C$14*GREET1_Import_Export!$AA75+GREET1_Import_Export!$C293)+L$36*(GREET1_Import_Export!$C366)</f>
        <v>2847.4501798385804</v>
      </c>
      <c r="M59" s="1253">
        <f t="shared" si="5"/>
        <v>0</v>
      </c>
      <c r="Q59" s="5"/>
      <c r="R59" s="5"/>
      <c r="S59" s="5"/>
      <c r="T59" s="5"/>
      <c r="U59" s="5"/>
      <c r="V59" s="5"/>
      <c r="W59" s="5"/>
      <c r="X59" s="5"/>
      <c r="Y59" s="5"/>
    </row>
    <row r="60" spans="1:25" s="349" customFormat="1">
      <c r="A60" s="347" t="s">
        <v>825</v>
      </c>
      <c r="B60" s="347">
        <f>B$32*(B$24*(B$11*GREET1_Import_Export!$K76)+GREET1_Import_Export!$F$200*GREET1_Import_Export!$B205+GREET1_Import_Export!$F205)+B$33*(B$24*(B$15*GREET1_Import_Export!$R76+B$16*GREET1_Import_Export!$L150)+GREET1_Import_Export!$H$200*GREET1_Import_Export!$B205+GREET1_Import_Export!$H205)+B$34*(B$24*(B$12*GREET1_Import_Export!$B76+B$13*GREET1_Import_Export!$L122)+GREET1_Import_Export!$B241)+B$35*(B$24*(B$14*GREET1_Import_Export!$AA76)+GREET1_Import_Export!$C294)+B$36*(GREET1_Import_Export!$D319+GREET1_Import_Export!$E319)</f>
        <v>0.97129353860277201</v>
      </c>
      <c r="C60" s="389">
        <f t="shared" si="0"/>
        <v>0</v>
      </c>
      <c r="D60" s="347">
        <f>D$32*(D$24*(GREET1_Import_Export!$K76)+GREET1_Import_Export!$F$200*GREET1_Import_Export!$B205+GREET1_Import_Export!$F205)+D$33*(D$24*(GREET1_Import_Export!$O76)+GREET1_Import_Export!$G$200*GREET1_Import_Export!$B205+GREET1_Import_Export!$G205)+D$34*(D$24*(GREET1_Import_Export!$B76)+GREET1_Import_Export!$B241)+D$35*(D$24*(GREET1_Import_Export!$AA76)+GREET1_Import_Export!$C294)+D$36*(GREET1_Import_Export!$D319+GREET1_Import_Export!$E319)</f>
        <v>22.319279241594185</v>
      </c>
      <c r="E60" s="391">
        <f t="shared" si="1"/>
        <v>0</v>
      </c>
      <c r="F60" s="909">
        <f>F$32*(F$24*($C$11*GREET1_Import_Export!$K76)+GREET1_Import_Export!$F$200*GREET1_Import_Export!$B205+GREET1_Import_Export!$F205)+F$33*(($C$15*(F$24*(GREET1_Import_Export!$R76)+(GREET1_Import_Export!$H$200*GREET1_Import_Export!$B205+GREET1_Import_Export!$H205)))+$C$16*(F$24*(GREET1_Import_Export!$K150)+(GREET1_Import_Export!$H$200*GREET1_Import_Export!$B205+GREET1_Import_Export!$H205))+$C$17*(F$24*(GREET1_Import_Export!$O76)+(GREET1_Import_Export!$G$200*GREET1_Import_Export!$B205+GREET1_Import_Export!$G205)))+F$34*(F$24*($C$12*GREET1_Import_Export!$B76+$C$13*GREET1_Import_Export!$K122)+GREET1_Import_Export!$B241)+F$35*(F$24*$C$14*GREET1_Import_Export!$AA76+GREET1_Import_Export!$C294)+F$36*(GREET1_Import_Export!$C367)</f>
        <v>2358.6304634659036</v>
      </c>
      <c r="G60" s="2596">
        <f t="shared" si="2"/>
        <v>0</v>
      </c>
      <c r="H60" s="2648">
        <f>H$32*(H$24*($C$11*GREET1_Import_Export!$K76)+GREET1_Import_Export!$F$200*GREET1_Import_Export!$B205+GREET1_Import_Export!$F205)+H$33*(($C$15*(H$24*(GREET1_Import_Export!$R76)+(GREET1_Import_Export!$H$200*GREET1_Import_Export!$B205+GREET1_Import_Export!$H205)))+$C$16*(H$24*(GREET1_Import_Export!$K150)+(GREET1_Import_Export!$H$200*GREET1_Import_Export!$B205+GREET1_Import_Export!$H205))+$C$17*(H$24*(GREET1_Import_Export!$O76)+(GREET1_Import_Export!$G$200*GREET1_Import_Export!$B205+GREET1_Import_Export!$G205)))+H$34*(H$24*($C$12*GREET1_Import_Export!$B76+$C$13*GREET1_Import_Export!$K122)+GREET1_Import_Export!$B241)+H$35*(H$24*$C$14*GREET1_Import_Export!$AA76+GREET1_Import_Export!$C294)+H$36*(GREET1_Import_Export!$C367)</f>
        <v>2358.6304634659036</v>
      </c>
      <c r="I60" s="1253">
        <f t="shared" si="3"/>
        <v>0</v>
      </c>
      <c r="J60" s="2648">
        <f>J$32*(J$24*($C$11*GREET1_Import_Export!$K76)+GREET1_Import_Export!$F$200*GREET1_Import_Export!$B205+GREET1_Import_Export!$F205)+J$33*(($C$15*(J$24*(GREET1_Import_Export!$R76)+(GREET1_Import_Export!$H$200*GREET1_Import_Export!$B205+GREET1_Import_Export!$H205)))+$C$16*(J$24*(GREET1_Import_Export!$K150)+(GREET1_Import_Export!$H$200*GREET1_Import_Export!$B205+GREET1_Import_Export!$H205))+$C$17*(J$24*(GREET1_Import_Export!$O76)+(GREET1_Import_Export!$G$200*GREET1_Import_Export!$B205+GREET1_Import_Export!$G205)))+J$34*(J$24*($C$12*GREET1_Import_Export!$B76+$C$13*GREET1_Import_Export!$K122)+GREET1_Import_Export!$B241)+J$35*(J$24*$C$14*GREET1_Import_Export!$AA76+GREET1_Import_Export!$C294)+J$36*(GREET1_Import_Export!$C367)</f>
        <v>2358.6304634659036</v>
      </c>
      <c r="K60" s="1253">
        <f t="shared" si="4"/>
        <v>0</v>
      </c>
      <c r="L60" s="909">
        <f>L$32*(L$24*($C$11*GREET1_Import_Export!$K76)+GREET1_Import_Export!$F$200*GREET1_Import_Export!$B205+GREET1_Import_Export!$F205)+L$33*(($C$15*(L$24*(GREET1_Import_Export!$R76)+(GREET1_Import_Export!$H$200*GREET1_Import_Export!$B205+GREET1_Import_Export!$H205)))+$C$16*(L$24*(GREET1_Import_Export!$K150)+(GREET1_Import_Export!$H$200*GREET1_Import_Export!$B205+GREET1_Import_Export!$H205))+$C$17*(L$24*(GREET1_Import_Export!$O76)+(GREET1_Import_Export!$G$200*GREET1_Import_Export!$B205+GREET1_Import_Export!$G205)))+L$34*(L$24*($C$12*GREET1_Import_Export!$B76+$C$13*GREET1_Import_Export!$K122)+GREET1_Import_Export!$B241)+L$35*(L$24*$C$14*GREET1_Import_Export!$AA76+GREET1_Import_Export!$C294)+L$36*(GREET1_Import_Export!$C367)</f>
        <v>2358.6304634659036</v>
      </c>
      <c r="M60" s="1253">
        <f t="shared" si="5"/>
        <v>0</v>
      </c>
      <c r="Q60" s="5"/>
      <c r="R60" s="5"/>
      <c r="S60" s="5"/>
      <c r="T60" s="5"/>
      <c r="U60" s="5"/>
      <c r="V60" s="5"/>
      <c r="W60" s="5"/>
      <c r="X60" s="5"/>
      <c r="Y60" s="5"/>
    </row>
    <row r="61" spans="1:25" s="349" customFormat="1">
      <c r="A61" s="347" t="s">
        <v>826</v>
      </c>
      <c r="B61" s="347">
        <f>B$32*(B$24*(B$11*GREET1_Import_Export!$K77)+GREET1_Import_Export!$F$200*GREET1_Import_Export!$B206+GREET1_Import_Export!$F206)+B$33*(B$24*(B$15*GREET1_Import_Export!$R77+B$16*GREET1_Import_Export!$L151)+GREET1_Import_Export!$H$200*GREET1_Import_Export!$B206+GREET1_Import_Export!$H206)+B$34*(B$24*(B$12*GREET1_Import_Export!$B77+B$13*GREET1_Import_Export!$L123)+GREET1_Import_Export!$B242)+B$35*(B$24*(B$14*GREET1_Import_Export!$AA77)+GREET1_Import_Export!$C295)+B$36*(GREET1_Import_Export!$D320+GREET1_Import_Export!$E320)</f>
        <v>2.1991522685189886</v>
      </c>
      <c r="C61" s="601">
        <f t="shared" si="0"/>
        <v>0</v>
      </c>
      <c r="D61" s="347">
        <f>D$32*(D$24*(GREET1_Import_Export!$K77)+GREET1_Import_Export!$F$200*GREET1_Import_Export!$B206+GREET1_Import_Export!$F206)+D$33*(D$24*(GREET1_Import_Export!$O77)+GREET1_Import_Export!$G$200*GREET1_Import_Export!$B206+GREET1_Import_Export!$G206)+D$34*(D$24*(GREET1_Import_Export!$B77)+GREET1_Import_Export!$B242)+D$35*(D$24*(GREET1_Import_Export!$AA77)+GREET1_Import_Export!$C295)+D$36*(GREET1_Import_Export!$D320+GREET1_Import_Export!$E320)</f>
        <v>188.95124331770725</v>
      </c>
      <c r="E61" s="806">
        <f t="shared" si="1"/>
        <v>0</v>
      </c>
      <c r="F61" s="909">
        <f>F$32*(F$24*($C$11*GREET1_Import_Export!$K77)+GREET1_Import_Export!$F$200*GREET1_Import_Export!$B206+GREET1_Import_Export!$F206)+F$33*(($C$15*(F$24*(GREET1_Import_Export!$R77)+(GREET1_Import_Export!$H$200*GREET1_Import_Export!$B206+GREET1_Import_Export!$H206)))+$C$16*(F$24*(GREET1_Import_Export!$K151)+(GREET1_Import_Export!$H$200*GREET1_Import_Export!$B206+GREET1_Import_Export!$H206))+$C$17*(F$24*(GREET1_Import_Export!$O77)+(GREET1_Import_Export!$G$200*GREET1_Import_Export!$B206+GREET1_Import_Export!$G206)))+F$34*(F$24*($C$12*GREET1_Import_Export!$B77+$C$13*GREET1_Import_Export!$K123)+GREET1_Import_Export!$B242)+F$35*(F$24*$C$14*GREET1_Import_Export!$AA77+GREET1_Import_Export!$C295)+F$36*(GREET1_Import_Export!$C368)</f>
        <v>31352.357078454846</v>
      </c>
      <c r="G61" s="2596">
        <f t="shared" si="2"/>
        <v>0</v>
      </c>
      <c r="H61" s="2648">
        <f>H$32*(H$24*($C$11*GREET1_Import_Export!$K77)+GREET1_Import_Export!$F$200*GREET1_Import_Export!$B206+GREET1_Import_Export!$F206)+H$33*(($C$15*(H$24*(GREET1_Import_Export!$R77)+(GREET1_Import_Export!$H$200*GREET1_Import_Export!$B206+GREET1_Import_Export!$H206)))+$C$16*(H$24*(GREET1_Import_Export!$K151)+(GREET1_Import_Export!$H$200*GREET1_Import_Export!$B206+GREET1_Import_Export!$H206))+$C$17*(H$24*(GREET1_Import_Export!$O77)+(GREET1_Import_Export!$G$200*GREET1_Import_Export!$B206+GREET1_Import_Export!$G206)))+H$34*(H$24*($C$12*GREET1_Import_Export!$B77+$C$13*GREET1_Import_Export!$K123)+GREET1_Import_Export!$B242)+H$35*(H$24*$C$14*GREET1_Import_Export!$AA77+GREET1_Import_Export!$C295)+H$36*(GREET1_Import_Export!$C368)</f>
        <v>31352.357078454846</v>
      </c>
      <c r="I61" s="1253">
        <f t="shared" si="3"/>
        <v>0</v>
      </c>
      <c r="J61" s="2648">
        <f>J$32*(J$24*($C$11*GREET1_Import_Export!$K77)+GREET1_Import_Export!$F$200*GREET1_Import_Export!$B206+GREET1_Import_Export!$F206)+J$33*(($C$15*(J$24*(GREET1_Import_Export!$R77)+(GREET1_Import_Export!$H$200*GREET1_Import_Export!$B206+GREET1_Import_Export!$H206)))+$C$16*(J$24*(GREET1_Import_Export!$K151)+(GREET1_Import_Export!$H$200*GREET1_Import_Export!$B206+GREET1_Import_Export!$H206))+$C$17*(J$24*(GREET1_Import_Export!$O77)+(GREET1_Import_Export!$G$200*GREET1_Import_Export!$B206+GREET1_Import_Export!$G206)))+J$34*(J$24*($C$12*GREET1_Import_Export!$B77+$C$13*GREET1_Import_Export!$K123)+GREET1_Import_Export!$B242)+J$35*(J$24*$C$14*GREET1_Import_Export!$AA77+GREET1_Import_Export!$C295)+J$36*(GREET1_Import_Export!$C368)</f>
        <v>31352.357078454846</v>
      </c>
      <c r="K61" s="1253">
        <f t="shared" si="4"/>
        <v>0</v>
      </c>
      <c r="L61" s="909">
        <f>L$32*(L$24*($C$11*GREET1_Import_Export!$K77)+GREET1_Import_Export!$F$200*GREET1_Import_Export!$B206+GREET1_Import_Export!$F206)+L$33*(($C$15*(L$24*(GREET1_Import_Export!$R77)+(GREET1_Import_Export!$H$200*GREET1_Import_Export!$B206+GREET1_Import_Export!$H206)))+$C$16*(L$24*(GREET1_Import_Export!$K151)+(GREET1_Import_Export!$H$200*GREET1_Import_Export!$B206+GREET1_Import_Export!$H206))+$C$17*(L$24*(GREET1_Import_Export!$O77)+(GREET1_Import_Export!$G$200*GREET1_Import_Export!$B206+GREET1_Import_Export!$G206)))+L$34*(L$24*($C$12*GREET1_Import_Export!$B77+$C$13*GREET1_Import_Export!$K123)+GREET1_Import_Export!$B242)+L$35*(L$24*$C$14*GREET1_Import_Export!$AA77+GREET1_Import_Export!$C295)+L$36*(GREET1_Import_Export!$C368)</f>
        <v>31352.357078454846</v>
      </c>
      <c r="M61" s="1253">
        <f t="shared" si="5"/>
        <v>0</v>
      </c>
      <c r="Q61" s="5"/>
      <c r="R61" s="5"/>
      <c r="S61" s="5"/>
      <c r="T61" s="5"/>
      <c r="U61" s="5"/>
      <c r="V61" s="5"/>
      <c r="W61" s="5"/>
      <c r="X61" s="5"/>
      <c r="Y61" s="5"/>
    </row>
    <row r="62" spans="1:25" s="349" customFormat="1">
      <c r="A62" s="347" t="s">
        <v>827</v>
      </c>
      <c r="B62" s="347">
        <f>B$32*(B$24*(B$11*GREET1_Import_Export!$K78)+GREET1_Import_Export!$F$200*GREET1_Import_Export!$B207+GREET1_Import_Export!$F207)+B$33*(B$24*(B$15*GREET1_Import_Export!$R78+B$16*GREET1_Import_Export!$L152)+GREET1_Import_Export!$H$200*GREET1_Import_Export!$B207+GREET1_Import_Export!$H207)+B$34*(B$24*(B$12*GREET1_Import_Export!$B78+B$13*GREET1_Import_Export!$L124)+GREET1_Import_Export!$B243)+B$35*(B$24*(B$14*GREET1_Import_Export!$AA78)+GREET1_Import_Export!$C296)+B$36*(GREET1_Import_Export!$D321+GREET1_Import_Export!$E321)</f>
        <v>0.1235870652282329</v>
      </c>
      <c r="C62" s="389">
        <f t="shared" si="0"/>
        <v>0</v>
      </c>
      <c r="D62" s="347">
        <f>D$32*(D$24*(GREET1_Import_Export!$K78)+GREET1_Import_Export!$F$200*GREET1_Import_Export!$B207+GREET1_Import_Export!$F207)+D$33*(D$24*(GREET1_Import_Export!$O78)+GREET1_Import_Export!$G$200*GREET1_Import_Export!$B207+GREET1_Import_Export!$G207)+D$34*(D$24*(GREET1_Import_Export!$B78)+GREET1_Import_Export!$B243)+D$35*(D$24*(GREET1_Import_Export!$AA78)+GREET1_Import_Export!$C296)+D$36*(GREET1_Import_Export!$D321+GREET1_Import_Export!$E321)</f>
        <v>1.1529763462846654</v>
      </c>
      <c r="E62" s="391">
        <f t="shared" si="1"/>
        <v>0</v>
      </c>
      <c r="F62" s="909">
        <f>F$32*(F$24*($C$11*GREET1_Import_Export!$K78)+GREET1_Import_Export!$F$200*GREET1_Import_Export!$B207+GREET1_Import_Export!$F207)+F$33*(($C$15*(F$24*(GREET1_Import_Export!$R78)+(GREET1_Import_Export!$H$200*GREET1_Import_Export!$B207+GREET1_Import_Export!$H207)))+$C$16*(F$24*(GREET1_Import_Export!$K152)+(GREET1_Import_Export!$H$200*GREET1_Import_Export!$B207+GREET1_Import_Export!$H207))+$C$17*(F$24*(GREET1_Import_Export!$O78)+(GREET1_Import_Export!$G$200*GREET1_Import_Export!$B207+GREET1_Import_Export!$G207)))+F$34*(F$24*($C$12*GREET1_Import_Export!$B78+$C$13*GREET1_Import_Export!$K124)+GREET1_Import_Export!$B243)+F$35*(F$24*$C$14*GREET1_Import_Export!$AA78+GREET1_Import_Export!$C296)+F$36*(GREET1_Import_Export!$C369)</f>
        <v>104.22047793191004</v>
      </c>
      <c r="G62" s="2596">
        <f t="shared" si="2"/>
        <v>0</v>
      </c>
      <c r="H62" s="2648">
        <f>H$32*(H$24*($C$11*GREET1_Import_Export!$K78)+GREET1_Import_Export!$F$200*GREET1_Import_Export!$B207+GREET1_Import_Export!$F207)+H$33*(($C$15*(H$24*(GREET1_Import_Export!$R78)+(GREET1_Import_Export!$H$200*GREET1_Import_Export!$B207+GREET1_Import_Export!$H207)))+$C$16*(H$24*(GREET1_Import_Export!$K152)+(GREET1_Import_Export!$H$200*GREET1_Import_Export!$B207+GREET1_Import_Export!$H207))+$C$17*(H$24*(GREET1_Import_Export!$O78)+(GREET1_Import_Export!$G$200*GREET1_Import_Export!$B207+GREET1_Import_Export!$G207)))+H$34*(H$24*($C$12*GREET1_Import_Export!$B78+$C$13*GREET1_Import_Export!$K124)+GREET1_Import_Export!$B243)+H$35*(H$24*$C$14*GREET1_Import_Export!$AA78+GREET1_Import_Export!$C296)+H$36*(GREET1_Import_Export!$C369)</f>
        <v>104.22047793191004</v>
      </c>
      <c r="I62" s="1253">
        <f t="shared" si="3"/>
        <v>0</v>
      </c>
      <c r="J62" s="2648">
        <f>J$32*(J$24*($C$11*GREET1_Import_Export!$K78)+GREET1_Import_Export!$F$200*GREET1_Import_Export!$B207+GREET1_Import_Export!$F207)+J$33*(($C$15*(J$24*(GREET1_Import_Export!$R78)+(GREET1_Import_Export!$H$200*GREET1_Import_Export!$B207+GREET1_Import_Export!$H207)))+$C$16*(J$24*(GREET1_Import_Export!$K152)+(GREET1_Import_Export!$H$200*GREET1_Import_Export!$B207+GREET1_Import_Export!$H207))+$C$17*(J$24*(GREET1_Import_Export!$O78)+(GREET1_Import_Export!$G$200*GREET1_Import_Export!$B207+GREET1_Import_Export!$G207)))+J$34*(J$24*($C$12*GREET1_Import_Export!$B78+$C$13*GREET1_Import_Export!$K124)+GREET1_Import_Export!$B243)+J$35*(J$24*$C$14*GREET1_Import_Export!$AA78+GREET1_Import_Export!$C296)+J$36*(GREET1_Import_Export!$C369)</f>
        <v>104.22047793191004</v>
      </c>
      <c r="K62" s="1253">
        <f t="shared" si="4"/>
        <v>0</v>
      </c>
      <c r="L62" s="909">
        <f>L$32*(L$24*($C$11*GREET1_Import_Export!$K78)+GREET1_Import_Export!$F$200*GREET1_Import_Export!$B207+GREET1_Import_Export!$F207)+L$33*(($C$15*(L$24*(GREET1_Import_Export!$R78)+(GREET1_Import_Export!$H$200*GREET1_Import_Export!$B207+GREET1_Import_Export!$H207)))+$C$16*(L$24*(GREET1_Import_Export!$K152)+(GREET1_Import_Export!$H$200*GREET1_Import_Export!$B207+GREET1_Import_Export!$H207))+$C$17*(L$24*(GREET1_Import_Export!$O78)+(GREET1_Import_Export!$G$200*GREET1_Import_Export!$B207+GREET1_Import_Export!$G207)))+L$34*(L$24*($C$12*GREET1_Import_Export!$B78+$C$13*GREET1_Import_Export!$K124)+GREET1_Import_Export!$B243)+L$35*(L$24*$C$14*GREET1_Import_Export!$AA78+GREET1_Import_Export!$C296)+L$36*(GREET1_Import_Export!$C369)</f>
        <v>104.22047793191004</v>
      </c>
      <c r="M62" s="1253">
        <f t="shared" si="5"/>
        <v>0</v>
      </c>
      <c r="Q62" s="5"/>
      <c r="R62" s="5"/>
      <c r="S62" s="5"/>
      <c r="T62" s="5"/>
      <c r="U62" s="5"/>
      <c r="V62" s="5"/>
      <c r="W62" s="5"/>
      <c r="X62" s="5"/>
      <c r="Y62" s="5"/>
    </row>
    <row r="63" spans="1:25" s="349" customFormat="1">
      <c r="A63" s="503" t="s">
        <v>828</v>
      </c>
      <c r="B63" s="503">
        <f>B$32*(B$24*(B$11*GREET1_Import_Export!$K79)+GREET1_Import_Export!$F$200*GREET1_Import_Export!$B208+GREET1_Import_Export!$F208)+B$33*(B$24*(B$15*GREET1_Import_Export!$R79+B$16*GREET1_Import_Export!$L153)+GREET1_Import_Export!$H$200*GREET1_Import_Export!$B208+GREET1_Import_Export!$H208)+B$34*(B$24*(B$12*GREET1_Import_Export!$B79+B$13*GREET1_Import_Export!$L125)+GREET1_Import_Export!$B244)+B$35*(B$24*(B$14*GREET1_Import_Export!$AA79)+GREET1_Import_Export!$C297)+B$36*(GREET1_Import_Export!$D322+GREET1_Import_Export!$E322)</f>
        <v>0.17494195663932166</v>
      </c>
      <c r="C63" s="603">
        <f t="shared" si="0"/>
        <v>0</v>
      </c>
      <c r="D63" s="503">
        <f>D$32*(D$24*(GREET1_Import_Export!$K79)+GREET1_Import_Export!$F$200*GREET1_Import_Export!$B208+GREET1_Import_Export!$F208)+D$33*(D$24*(GREET1_Import_Export!$O79)+GREET1_Import_Export!$G$200*GREET1_Import_Export!$B208+GREET1_Import_Export!$G208)+D$34*(D$24*(GREET1_Import_Export!$B79)+GREET1_Import_Export!$B244)+D$35*(D$24*(GREET1_Import_Export!$AA79)+GREET1_Import_Export!$C297)+D$36*(GREET1_Import_Export!$D322+GREET1_Import_Export!$E322)</f>
        <v>6.3847773355172901</v>
      </c>
      <c r="E63" s="657">
        <f t="shared" si="1"/>
        <v>0</v>
      </c>
      <c r="F63" s="910">
        <f>F$32*(F$24*($C$11*GREET1_Import_Export!$K79)+GREET1_Import_Export!$F$200*GREET1_Import_Export!$B208+GREET1_Import_Export!$F208)+F$33*(($C$15*(F$24*(GREET1_Import_Export!$R79)+(GREET1_Import_Export!$H$200*GREET1_Import_Export!$B208+GREET1_Import_Export!$H208)))+$C$16*(F$24*(GREET1_Import_Export!$K153)+(GREET1_Import_Export!$H$200*GREET1_Import_Export!$B208+GREET1_Import_Export!$H208))+$C$17*(F$24*(GREET1_Import_Export!$O79)+(GREET1_Import_Export!$G$200*GREET1_Import_Export!$B208+GREET1_Import_Export!$G208)))+F$34*(F$24*($C$12*GREET1_Import_Export!$B79+$C$13*GREET1_Import_Export!$K125)+GREET1_Import_Export!$B244)+F$35*(F$24*$C$14*GREET1_Import_Export!$AA79+GREET1_Import_Export!$C297)+F$36*(GREET1_Import_Export!$C370)</f>
        <v>198.6573690241805</v>
      </c>
      <c r="G63" s="2597">
        <f t="shared" si="2"/>
        <v>0</v>
      </c>
      <c r="H63" s="2649">
        <f>H$32*(H$24*($C$11*GREET1_Import_Export!$K79)+GREET1_Import_Export!$F$200*GREET1_Import_Export!$B208+GREET1_Import_Export!$F208)+H$33*(($C$15*(H$24*(GREET1_Import_Export!$R79)+(GREET1_Import_Export!$H$200*GREET1_Import_Export!$B208+GREET1_Import_Export!$H208)))+$C$16*(H$24*(GREET1_Import_Export!$K153)+(GREET1_Import_Export!$H$200*GREET1_Import_Export!$B208+GREET1_Import_Export!$H208))+$C$17*(H$24*(GREET1_Import_Export!$O79)+(GREET1_Import_Export!$G$200*GREET1_Import_Export!$B208+GREET1_Import_Export!$G208)))+H$34*(H$24*($C$12*GREET1_Import_Export!$B79+$C$13*GREET1_Import_Export!$K125)+GREET1_Import_Export!$B244)+H$35*(H$24*$C$14*GREET1_Import_Export!$AA79+GREET1_Import_Export!$C297)+H$36*(GREET1_Import_Export!$C370)</f>
        <v>198.6573690241805</v>
      </c>
      <c r="I63" s="2647">
        <f t="shared" si="3"/>
        <v>0</v>
      </c>
      <c r="J63" s="2649">
        <f>J$32*(J$24*($C$11*GREET1_Import_Export!$K79)+GREET1_Import_Export!$F$200*GREET1_Import_Export!$B208+GREET1_Import_Export!$F208)+J$33*(($C$15*(J$24*(GREET1_Import_Export!$R79)+(GREET1_Import_Export!$H$200*GREET1_Import_Export!$B208+GREET1_Import_Export!$H208)))+$C$16*(J$24*(GREET1_Import_Export!$K153)+(GREET1_Import_Export!$H$200*GREET1_Import_Export!$B208+GREET1_Import_Export!$H208))+$C$17*(J$24*(GREET1_Import_Export!$O79)+(GREET1_Import_Export!$G$200*GREET1_Import_Export!$B208+GREET1_Import_Export!$G208)))+J$34*(J$24*($C$12*GREET1_Import_Export!$B79+$C$13*GREET1_Import_Export!$K125)+GREET1_Import_Export!$B244)+J$35*(J$24*$C$14*GREET1_Import_Export!$AA79+GREET1_Import_Export!$C297)+J$36*(GREET1_Import_Export!$C370)</f>
        <v>198.6573690241805</v>
      </c>
      <c r="K63" s="2647">
        <f t="shared" si="4"/>
        <v>0</v>
      </c>
      <c r="L63" s="910">
        <f>L$32*(L$24*($C$11*GREET1_Import_Export!$K79)+GREET1_Import_Export!$F$200*GREET1_Import_Export!$B208+GREET1_Import_Export!$F208)+L$33*(($C$15*(L$24*(GREET1_Import_Export!$R79)+(GREET1_Import_Export!$H$200*GREET1_Import_Export!$B208+GREET1_Import_Export!$H208)))+$C$16*(L$24*(GREET1_Import_Export!$K153)+(GREET1_Import_Export!$H$200*GREET1_Import_Export!$B208+GREET1_Import_Export!$H208))+$C$17*(L$24*(GREET1_Import_Export!$O79)+(GREET1_Import_Export!$G$200*GREET1_Import_Export!$B208+GREET1_Import_Export!$G208)))+L$34*(L$24*($C$12*GREET1_Import_Export!$B79+$C$13*GREET1_Import_Export!$K125)+GREET1_Import_Export!$B244)+L$35*(L$24*$C$14*GREET1_Import_Export!$AA79+GREET1_Import_Export!$C297)+L$36*(GREET1_Import_Export!$C370)</f>
        <v>198.6573690241805</v>
      </c>
      <c r="M63" s="2647">
        <f t="shared" si="5"/>
        <v>0</v>
      </c>
      <c r="Q63" s="5"/>
      <c r="R63" s="5"/>
      <c r="S63" s="5"/>
      <c r="T63" s="5"/>
      <c r="U63" s="5"/>
      <c r="V63" s="5"/>
      <c r="W63" s="5"/>
      <c r="X63" s="5"/>
      <c r="Y63" s="5"/>
    </row>
    <row r="64" spans="1:25" s="349" customFormat="1">
      <c r="L64" s="1321"/>
      <c r="Q64" s="5"/>
      <c r="R64" s="5"/>
      <c r="S64" s="5"/>
      <c r="T64" s="5"/>
      <c r="U64" s="5"/>
      <c r="V64" s="5"/>
      <c r="W64" s="5"/>
      <c r="X64" s="5"/>
      <c r="Y64" s="5"/>
    </row>
    <row r="65" spans="1:25" s="349" customFormat="1" ht="15">
      <c r="A65" s="602" t="s">
        <v>1220</v>
      </c>
      <c r="Q65" s="5"/>
      <c r="R65" s="5"/>
      <c r="S65" s="5"/>
      <c r="T65" s="5"/>
      <c r="U65" s="5"/>
      <c r="V65" s="5"/>
      <c r="W65" s="5"/>
      <c r="X65" s="5"/>
      <c r="Y65" s="5"/>
    </row>
    <row r="66" spans="1:25" s="349" customFormat="1" ht="15.75" customHeight="1">
      <c r="A66" s="570"/>
      <c r="B66" s="2986" t="s">
        <v>1212</v>
      </c>
      <c r="C66" s="2987"/>
      <c r="D66" s="2987"/>
      <c r="E66" s="2987"/>
      <c r="F66" s="3098" t="s">
        <v>1222</v>
      </c>
      <c r="G66" s="3099"/>
      <c r="H66" s="3099"/>
      <c r="I66" s="3099"/>
      <c r="J66" s="3099"/>
      <c r="K66" s="3099"/>
      <c r="L66" s="3099"/>
      <c r="M66" s="3100"/>
      <c r="N66" s="3101" t="s">
        <v>1223</v>
      </c>
      <c r="O66" s="3102"/>
      <c r="Q66" s="5"/>
      <c r="R66" s="5"/>
      <c r="S66" s="5"/>
      <c r="T66" s="5"/>
      <c r="U66" s="5"/>
      <c r="V66" s="5"/>
      <c r="W66" s="5"/>
      <c r="X66" s="5"/>
      <c r="Y66" s="5"/>
    </row>
    <row r="67" spans="1:25" s="349" customFormat="1" ht="48" customHeight="1">
      <c r="A67" s="490"/>
      <c r="B67" s="1607" t="s">
        <v>561</v>
      </c>
      <c r="C67" s="1607" t="s">
        <v>962</v>
      </c>
      <c r="D67" s="2998" t="s">
        <v>1221</v>
      </c>
      <c r="E67" s="2999"/>
      <c r="F67" s="3098" t="s">
        <v>63</v>
      </c>
      <c r="G67" s="3100"/>
      <c r="H67" s="3098" t="s">
        <v>554</v>
      </c>
      <c r="I67" s="3100"/>
      <c r="J67" s="3098" t="s">
        <v>556</v>
      </c>
      <c r="K67" s="3100"/>
      <c r="L67" s="3098" t="s">
        <v>558</v>
      </c>
      <c r="M67" s="3100"/>
      <c r="N67" s="3103"/>
      <c r="O67" s="3104"/>
      <c r="Q67" s="5"/>
      <c r="R67" s="5"/>
      <c r="S67" s="5"/>
      <c r="T67" s="5"/>
      <c r="U67" s="5"/>
      <c r="V67" s="5"/>
      <c r="W67" s="5"/>
      <c r="X67" s="5"/>
      <c r="Y67" s="5"/>
    </row>
    <row r="68" spans="1:25" s="349" customFormat="1">
      <c r="A68" s="482" t="s">
        <v>1029</v>
      </c>
      <c r="B68" s="1"/>
      <c r="C68" s="600"/>
      <c r="D68" s="679" t="s">
        <v>845</v>
      </c>
      <c r="E68" s="58" t="s">
        <v>846</v>
      </c>
      <c r="F68" s="1262" t="s">
        <v>845</v>
      </c>
      <c r="G68" s="1262" t="s">
        <v>846</v>
      </c>
      <c r="H68" s="1262" t="s">
        <v>845</v>
      </c>
      <c r="I68" s="1262" t="s">
        <v>846</v>
      </c>
      <c r="J68" s="1262" t="s">
        <v>845</v>
      </c>
      <c r="K68" s="1262" t="s">
        <v>846</v>
      </c>
      <c r="L68" s="1262" t="s">
        <v>845</v>
      </c>
      <c r="M68" s="1262" t="s">
        <v>846</v>
      </c>
      <c r="N68" s="1262" t="s">
        <v>845</v>
      </c>
      <c r="O68" s="1262" t="s">
        <v>846</v>
      </c>
      <c r="Q68" s="5"/>
      <c r="R68" s="5"/>
      <c r="S68" s="5"/>
      <c r="T68" s="5"/>
      <c r="U68" s="5"/>
      <c r="V68" s="5"/>
      <c r="W68" s="5"/>
      <c r="X68" s="5"/>
      <c r="Y68" s="5"/>
    </row>
    <row r="69" spans="1:25" s="349" customFormat="1">
      <c r="A69" s="59" t="s">
        <v>816</v>
      </c>
      <c r="B69" s="349">
        <f>B37</f>
        <v>2.6751692176675026</v>
      </c>
      <c r="C69" s="349">
        <f>D37</f>
        <v>22.149553836155203</v>
      </c>
      <c r="D69" s="494">
        <f t="shared" ref="D69:D74" si="6">SUM(B69:C69)</f>
        <v>24.824723053822705</v>
      </c>
      <c r="E69" s="59">
        <f>D69/2000</f>
        <v>1.2412361526911353E-2</v>
      </c>
      <c r="F69" s="794">
        <f>F37</f>
        <v>1158.5416447159091</v>
      </c>
      <c r="G69" s="794">
        <f>F69/2000</f>
        <v>0.57927082235795457</v>
      </c>
      <c r="H69" s="794">
        <f>H37</f>
        <v>1158.5416447159091</v>
      </c>
      <c r="I69" s="794">
        <f>H69/2000</f>
        <v>0.57927082235795457</v>
      </c>
      <c r="J69" s="794">
        <f>J37</f>
        <v>1158.5416447159091</v>
      </c>
      <c r="K69" s="794">
        <f>J69/2000</f>
        <v>0.57927082235795457</v>
      </c>
      <c r="L69" s="794">
        <f>L37</f>
        <v>1158.5416447159091</v>
      </c>
      <c r="M69" s="794">
        <f>L69/2000</f>
        <v>0.57927082235795457</v>
      </c>
      <c r="N69" s="794">
        <f t="shared" ref="N69:O74" si="7">IF($A$4=1,F69,D69)</f>
        <v>1158.5416447159091</v>
      </c>
      <c r="O69" s="794">
        <f t="shared" si="7"/>
        <v>0.57927082235795457</v>
      </c>
      <c r="Q69" s="5"/>
      <c r="R69" s="5"/>
      <c r="S69" s="5"/>
      <c r="T69" s="5"/>
      <c r="U69" s="5"/>
      <c r="V69" s="5"/>
      <c r="W69" s="5"/>
      <c r="X69" s="5"/>
      <c r="Y69" s="5"/>
    </row>
    <row r="70" spans="1:25" s="349" customFormat="1">
      <c r="A70" s="59" t="s">
        <v>817</v>
      </c>
      <c r="B70" s="349">
        <f>B38</f>
        <v>2.6622883724417981</v>
      </c>
      <c r="C70" s="349">
        <f>D38</f>
        <v>17.944025563862546</v>
      </c>
      <c r="D70" s="494">
        <f t="shared" si="6"/>
        <v>20.606313936304343</v>
      </c>
      <c r="E70" s="59">
        <f>D70/2000</f>
        <v>1.0303156968152172E-2</v>
      </c>
      <c r="F70" s="794">
        <f>F38</f>
        <v>1109.4751240359108</v>
      </c>
      <c r="G70" s="794">
        <f>F70/2000</f>
        <v>0.55473756201795543</v>
      </c>
      <c r="H70" s="794">
        <f>H38</f>
        <v>1109.4751240359108</v>
      </c>
      <c r="I70" s="794">
        <f>H70/2000</f>
        <v>0.55473756201795543</v>
      </c>
      <c r="J70" s="794">
        <f>J38</f>
        <v>1109.4751240359108</v>
      </c>
      <c r="K70" s="794">
        <f>J70/2000</f>
        <v>0.55473756201795543</v>
      </c>
      <c r="L70" s="794">
        <f>L38</f>
        <v>1109.4751240359108</v>
      </c>
      <c r="M70" s="794">
        <f>L70/2000</f>
        <v>0.55473756201795543</v>
      </c>
      <c r="N70" s="794">
        <f t="shared" si="7"/>
        <v>1109.4751240359108</v>
      </c>
      <c r="O70" s="794">
        <f t="shared" si="7"/>
        <v>0.55473756201795543</v>
      </c>
      <c r="Q70" s="5"/>
      <c r="R70" s="5"/>
      <c r="S70" s="5"/>
      <c r="T70" s="5"/>
      <c r="U70" s="5"/>
      <c r="V70" s="5"/>
      <c r="W70" s="5"/>
      <c r="X70" s="5"/>
      <c r="Y70" s="5"/>
    </row>
    <row r="71" spans="1:25" s="349" customFormat="1">
      <c r="A71" s="59" t="s">
        <v>805</v>
      </c>
      <c r="B71" s="349">
        <f>B39</f>
        <v>1.6353279323192072E-2</v>
      </c>
      <c r="C71" s="349">
        <f>D39</f>
        <v>5.559384775267036</v>
      </c>
      <c r="D71" s="494">
        <f t="shared" si="6"/>
        <v>5.5757380545902278</v>
      </c>
      <c r="E71" s="59">
        <f>D71/2000</f>
        <v>2.7878690272951138E-3</v>
      </c>
      <c r="F71" s="794">
        <f>F39</f>
        <v>1019.3158651358294</v>
      </c>
      <c r="G71" s="794">
        <f>F71/2000</f>
        <v>0.5096579325679147</v>
      </c>
      <c r="H71" s="794">
        <f>H39</f>
        <v>1019.3158651358294</v>
      </c>
      <c r="I71" s="794">
        <f>H71/2000</f>
        <v>0.5096579325679147</v>
      </c>
      <c r="J71" s="794">
        <f>J39</f>
        <v>1019.3158651358294</v>
      </c>
      <c r="K71" s="794">
        <f>J71/2000</f>
        <v>0.5096579325679147</v>
      </c>
      <c r="L71" s="794">
        <f>L39</f>
        <v>1019.3158651358294</v>
      </c>
      <c r="M71" s="794">
        <f>L71/2000</f>
        <v>0.5096579325679147</v>
      </c>
      <c r="N71" s="794">
        <f t="shared" si="7"/>
        <v>1019.3158651358294</v>
      </c>
      <c r="O71" s="794">
        <f t="shared" si="7"/>
        <v>0.5096579325679147</v>
      </c>
      <c r="Q71" s="5"/>
      <c r="R71" s="5"/>
      <c r="S71" s="5"/>
      <c r="T71" s="5"/>
      <c r="U71" s="5"/>
      <c r="V71" s="5"/>
      <c r="W71" s="5"/>
      <c r="X71" s="5"/>
      <c r="Y71" s="5"/>
    </row>
    <row r="72" spans="1:25" s="349" customFormat="1">
      <c r="A72" s="59" t="s">
        <v>804</v>
      </c>
      <c r="B72" s="349">
        <f>B70-B71-B73</f>
        <v>0.27883758566860273</v>
      </c>
      <c r="C72" s="349">
        <f>C70-C71-C73</f>
        <v>12.203735171934222</v>
      </c>
      <c r="D72" s="494">
        <f t="shared" si="6"/>
        <v>12.482572757602824</v>
      </c>
      <c r="E72" s="59">
        <f>E70-E71-E73</f>
        <v>6.2412863788014116E-3</v>
      </c>
      <c r="F72" s="794">
        <f t="shared" ref="F72:M72" si="8">F70-F71-F73</f>
        <v>16.136847393994969</v>
      </c>
      <c r="G72" s="794">
        <f t="shared" si="8"/>
        <v>8.0684236969975481E-3</v>
      </c>
      <c r="H72" s="794">
        <f t="shared" si="8"/>
        <v>16.136847393994969</v>
      </c>
      <c r="I72" s="794">
        <f t="shared" si="8"/>
        <v>8.0684236969975481E-3</v>
      </c>
      <c r="J72" s="794">
        <f t="shared" si="8"/>
        <v>16.136847393994969</v>
      </c>
      <c r="K72" s="794">
        <f t="shared" si="8"/>
        <v>8.0684236969975481E-3</v>
      </c>
      <c r="L72" s="794">
        <f t="shared" si="8"/>
        <v>16.136847393994969</v>
      </c>
      <c r="M72" s="794">
        <f t="shared" si="8"/>
        <v>8.0684236969975481E-3</v>
      </c>
      <c r="N72" s="794">
        <f t="shared" si="7"/>
        <v>16.136847393994969</v>
      </c>
      <c r="O72" s="794">
        <f t="shared" si="7"/>
        <v>8.0684236969975481E-3</v>
      </c>
      <c r="Q72" s="5"/>
      <c r="R72" s="5"/>
      <c r="S72" s="5"/>
      <c r="T72" s="5"/>
      <c r="U72" s="5"/>
      <c r="V72" s="5"/>
      <c r="W72" s="5"/>
      <c r="X72" s="5"/>
      <c r="Y72" s="5"/>
    </row>
    <row r="73" spans="1:25" s="349" customFormat="1">
      <c r="A73" s="59" t="s">
        <v>818</v>
      </c>
      <c r="B73" s="349">
        <f>B41</f>
        <v>2.3670975074500031</v>
      </c>
      <c r="C73" s="349">
        <f>D41</f>
        <v>0.18090561666128877</v>
      </c>
      <c r="D73" s="494">
        <f t="shared" si="6"/>
        <v>2.5480031241112919</v>
      </c>
      <c r="E73" s="59">
        <f>D73/2000</f>
        <v>1.274001562055646E-3</v>
      </c>
      <c r="F73" s="794">
        <f>F41</f>
        <v>74.022411506086371</v>
      </c>
      <c r="G73" s="794">
        <f>F73/2000</f>
        <v>3.7011205753043189E-2</v>
      </c>
      <c r="H73" s="794">
        <f>H41</f>
        <v>74.022411506086371</v>
      </c>
      <c r="I73" s="794">
        <f>H73/2000</f>
        <v>3.7011205753043189E-2</v>
      </c>
      <c r="J73" s="794">
        <f>J41</f>
        <v>74.022411506086371</v>
      </c>
      <c r="K73" s="794">
        <f>J73/2000</f>
        <v>3.7011205753043189E-2</v>
      </c>
      <c r="L73" s="794">
        <f>L41</f>
        <v>74.022411506086371</v>
      </c>
      <c r="M73" s="794">
        <f>L73/2000</f>
        <v>3.7011205753043189E-2</v>
      </c>
      <c r="N73" s="794">
        <f t="shared" si="7"/>
        <v>74.022411506086371</v>
      </c>
      <c r="O73" s="794">
        <f t="shared" si="7"/>
        <v>3.7011205753043189E-2</v>
      </c>
      <c r="Q73" s="5"/>
      <c r="R73" s="5"/>
      <c r="S73" s="5"/>
      <c r="T73" s="5"/>
      <c r="U73" s="5"/>
      <c r="V73" s="5"/>
      <c r="W73" s="5"/>
      <c r="X73" s="5"/>
      <c r="Y73" s="5"/>
    </row>
    <row r="74" spans="1:25" s="349" customFormat="1">
      <c r="A74" s="118" t="s">
        <v>819</v>
      </c>
      <c r="B74" s="47">
        <f>B42</f>
        <v>49.332455270206552</v>
      </c>
      <c r="C74" s="47">
        <f>D42</f>
        <v>1088.688838724569</v>
      </c>
      <c r="D74" s="252">
        <f t="shared" si="6"/>
        <v>1138.0212939947755</v>
      </c>
      <c r="E74" s="76">
        <f>D74/2000</f>
        <v>0.56901064699738779</v>
      </c>
      <c r="F74" s="2651">
        <f>F42+$B$7</f>
        <v>224092.46745675046</v>
      </c>
      <c r="G74" s="954">
        <f>F74/2000</f>
        <v>112.04623372837523</v>
      </c>
      <c r="H74" s="2651">
        <f>H42+$B$7</f>
        <v>224092.46745675046</v>
      </c>
      <c r="I74" s="954">
        <f>H74/2000</f>
        <v>112.04623372837523</v>
      </c>
      <c r="J74" s="2651">
        <f>J42+$B$7</f>
        <v>224092.46745675046</v>
      </c>
      <c r="K74" s="954">
        <f>J74/2000</f>
        <v>112.04623372837523</v>
      </c>
      <c r="L74" s="2651">
        <f>L42+$B$7</f>
        <v>224092.46745675046</v>
      </c>
      <c r="M74" s="954">
        <f>L74/2000</f>
        <v>112.04623372837523</v>
      </c>
      <c r="N74" s="1489">
        <f t="shared" si="7"/>
        <v>224092.46745675046</v>
      </c>
      <c r="O74" s="954">
        <f t="shared" si="7"/>
        <v>112.04623372837523</v>
      </c>
      <c r="Q74" s="5"/>
      <c r="R74" s="5"/>
      <c r="S74" s="5"/>
      <c r="T74" s="5"/>
      <c r="U74" s="5"/>
      <c r="V74" s="5"/>
      <c r="W74" s="5"/>
      <c r="X74" s="5"/>
      <c r="Y74" s="5"/>
    </row>
    <row r="75" spans="1:25" s="349" customFormat="1">
      <c r="A75" s="482" t="s">
        <v>1030</v>
      </c>
      <c r="B75" s="512"/>
      <c r="C75" s="512"/>
      <c r="D75" s="679" t="s">
        <v>845</v>
      </c>
      <c r="E75" s="58" t="s">
        <v>846</v>
      </c>
      <c r="F75" s="1262" t="s">
        <v>845</v>
      </c>
      <c r="G75" s="794" t="s">
        <v>846</v>
      </c>
      <c r="H75" s="794" t="s">
        <v>845</v>
      </c>
      <c r="I75" s="794" t="s">
        <v>846</v>
      </c>
      <c r="J75" s="794" t="s">
        <v>845</v>
      </c>
      <c r="K75" s="794" t="s">
        <v>846</v>
      </c>
      <c r="L75" s="794" t="s">
        <v>845</v>
      </c>
      <c r="M75" s="794" t="s">
        <v>846</v>
      </c>
      <c r="N75" s="1262" t="s">
        <v>845</v>
      </c>
      <c r="O75" s="1262" t="s">
        <v>846</v>
      </c>
      <c r="Q75" s="5"/>
      <c r="R75" s="5"/>
      <c r="S75" s="5"/>
      <c r="T75" s="5"/>
      <c r="U75" s="5"/>
      <c r="V75" s="5"/>
      <c r="W75" s="5"/>
      <c r="X75" s="5"/>
      <c r="Y75" s="5"/>
    </row>
    <row r="76" spans="1:25" s="349" customFormat="1">
      <c r="A76" s="59" t="s">
        <v>821</v>
      </c>
      <c r="B76" s="349">
        <f t="shared" ref="B76:B86" si="9">SUM(B44:C44)</f>
        <v>29.803687698304373</v>
      </c>
      <c r="C76" s="349">
        <f t="shared" ref="C76:C86" si="10">SUM(D44:E44)</f>
        <v>160.59708628997316</v>
      </c>
      <c r="D76" s="494">
        <f t="shared" ref="D76:D88" si="11">SUM(B76:C76)</f>
        <v>190.40077398827754</v>
      </c>
      <c r="E76" s="76">
        <f t="shared" ref="E76:E87" si="12">D76/2000</f>
        <v>9.5200386994138769E-2</v>
      </c>
      <c r="F76" s="794">
        <f t="shared" ref="F76:F86" si="13">SUM(F44:G44)</f>
        <v>9416.1195273083795</v>
      </c>
      <c r="G76" s="794">
        <f t="shared" ref="G76:G87" si="14">F76/2000</f>
        <v>4.7080597636541901</v>
      </c>
      <c r="H76" s="794">
        <f t="shared" ref="H76:H86" si="15">SUM(H44:I44)</f>
        <v>9416.1195273083795</v>
      </c>
      <c r="I76" s="794">
        <f t="shared" ref="I76:I87" si="16">H76/2000</f>
        <v>4.7080597636541901</v>
      </c>
      <c r="J76" s="794">
        <f t="shared" ref="J76:J86" si="17">SUM(J44:K44)</f>
        <v>9416.1195273083795</v>
      </c>
      <c r="K76" s="794">
        <f t="shared" ref="K76:K87" si="18">J76/2000</f>
        <v>4.7080597636541901</v>
      </c>
      <c r="L76" s="794">
        <f t="shared" ref="L76:L86" si="19">SUM(L44:M44)</f>
        <v>9416.1195273083795</v>
      </c>
      <c r="M76" s="794">
        <f t="shared" ref="M76:M87" si="20">L76/2000</f>
        <v>4.7080597636541901</v>
      </c>
      <c r="N76" s="794">
        <f t="shared" ref="N76:N88" si="21">IF($A$4=1,F76,D76)</f>
        <v>9416.1195273083795</v>
      </c>
      <c r="O76" s="794">
        <f t="shared" ref="O76:O88" si="22">IF($A$4=1,G76,E76)</f>
        <v>4.7080597636541901</v>
      </c>
      <c r="Q76" s="5"/>
      <c r="R76" s="5"/>
      <c r="S76" s="5"/>
      <c r="T76" s="5"/>
      <c r="U76" s="5"/>
      <c r="V76" s="5"/>
      <c r="W76" s="5"/>
      <c r="X76" s="5"/>
      <c r="Y76" s="5"/>
    </row>
    <row r="77" spans="1:25" s="349" customFormat="1">
      <c r="A77" s="59" t="s">
        <v>822</v>
      </c>
      <c r="B77" s="349">
        <f t="shared" si="9"/>
        <v>392.15757749458982</v>
      </c>
      <c r="C77" s="349">
        <f t="shared" si="10"/>
        <v>467.01895192477258</v>
      </c>
      <c r="D77" s="494">
        <f t="shared" si="11"/>
        <v>859.1765294193624</v>
      </c>
      <c r="E77" s="76">
        <f t="shared" si="12"/>
        <v>0.4295882647096812</v>
      </c>
      <c r="F77" s="794">
        <f t="shared" si="13"/>
        <v>27639.8593366143</v>
      </c>
      <c r="G77" s="794">
        <f t="shared" si="14"/>
        <v>13.81992966830715</v>
      </c>
      <c r="H77" s="794">
        <f t="shared" si="15"/>
        <v>27639.8593366143</v>
      </c>
      <c r="I77" s="794">
        <f t="shared" si="16"/>
        <v>13.81992966830715</v>
      </c>
      <c r="J77" s="794">
        <f t="shared" si="17"/>
        <v>27639.8593366143</v>
      </c>
      <c r="K77" s="794">
        <f t="shared" si="18"/>
        <v>13.81992966830715</v>
      </c>
      <c r="L77" s="794">
        <f t="shared" si="19"/>
        <v>27639.8593366143</v>
      </c>
      <c r="M77" s="794">
        <f t="shared" si="20"/>
        <v>13.81992966830715</v>
      </c>
      <c r="N77" s="794">
        <f t="shared" si="21"/>
        <v>27639.8593366143</v>
      </c>
      <c r="O77" s="794">
        <f t="shared" si="22"/>
        <v>13.81992966830715</v>
      </c>
      <c r="Q77" s="5"/>
      <c r="R77" s="5"/>
      <c r="S77" s="5"/>
      <c r="T77" s="5"/>
      <c r="U77" s="5"/>
      <c r="V77" s="5"/>
      <c r="W77" s="5"/>
      <c r="X77" s="5"/>
      <c r="Y77" s="5"/>
    </row>
    <row r="78" spans="1:25" s="349" customFormat="1">
      <c r="A78" s="59" t="s">
        <v>849</v>
      </c>
      <c r="B78" s="349">
        <f t="shared" si="9"/>
        <v>269.72209092513276</v>
      </c>
      <c r="C78" s="349">
        <f t="shared" si="10"/>
        <v>896.44063493458714</v>
      </c>
      <c r="D78" s="494">
        <f t="shared" si="11"/>
        <v>1166.16272585972</v>
      </c>
      <c r="E78" s="76">
        <f t="shared" si="12"/>
        <v>0.58308136292986001</v>
      </c>
      <c r="F78" s="794">
        <f t="shared" si="13"/>
        <v>79789.705208631756</v>
      </c>
      <c r="G78" s="794">
        <f t="shared" si="14"/>
        <v>39.894852604315879</v>
      </c>
      <c r="H78" s="794">
        <f t="shared" si="15"/>
        <v>79789.705208631756</v>
      </c>
      <c r="I78" s="794">
        <f t="shared" si="16"/>
        <v>39.894852604315879</v>
      </c>
      <c r="J78" s="794">
        <f t="shared" si="17"/>
        <v>79789.705208631756</v>
      </c>
      <c r="K78" s="794">
        <f t="shared" si="18"/>
        <v>39.894852604315879</v>
      </c>
      <c r="L78" s="794">
        <f t="shared" si="19"/>
        <v>79789.705208631756</v>
      </c>
      <c r="M78" s="794">
        <f t="shared" si="20"/>
        <v>39.894852604315879</v>
      </c>
      <c r="N78" s="794">
        <f t="shared" si="21"/>
        <v>79789.705208631756</v>
      </c>
      <c r="O78" s="794">
        <f t="shared" si="22"/>
        <v>39.894852604315879</v>
      </c>
      <c r="Q78" s="5"/>
      <c r="R78" s="5"/>
      <c r="S78" s="5"/>
      <c r="T78" s="5"/>
      <c r="U78" s="5"/>
      <c r="V78" s="5"/>
      <c r="W78" s="5"/>
      <c r="X78" s="5"/>
      <c r="Y78" s="5"/>
    </row>
    <row r="79" spans="1:25" s="349" customFormat="1">
      <c r="A79" s="59" t="s">
        <v>824</v>
      </c>
      <c r="B79" s="349">
        <f t="shared" si="9"/>
        <v>1649.6330364955836</v>
      </c>
      <c r="C79" s="349">
        <f t="shared" si="10"/>
        <v>129.99217809960737</v>
      </c>
      <c r="D79" s="494">
        <f t="shared" si="11"/>
        <v>1779.625214595191</v>
      </c>
      <c r="E79" s="76">
        <f t="shared" si="12"/>
        <v>0.88981260729759548</v>
      </c>
      <c r="F79" s="794">
        <f t="shared" si="13"/>
        <v>16700.333578371712</v>
      </c>
      <c r="G79" s="794">
        <f t="shared" si="14"/>
        <v>8.350166789185856</v>
      </c>
      <c r="H79" s="794">
        <f t="shared" si="15"/>
        <v>16700.333578371712</v>
      </c>
      <c r="I79" s="794">
        <f t="shared" si="16"/>
        <v>8.350166789185856</v>
      </c>
      <c r="J79" s="794">
        <f t="shared" si="17"/>
        <v>16700.333578371712</v>
      </c>
      <c r="K79" s="794">
        <f t="shared" si="18"/>
        <v>8.350166789185856</v>
      </c>
      <c r="L79" s="794">
        <f t="shared" si="19"/>
        <v>16700.333578371712</v>
      </c>
      <c r="M79" s="794">
        <f t="shared" si="20"/>
        <v>8.350166789185856</v>
      </c>
      <c r="N79" s="794">
        <f t="shared" si="21"/>
        <v>16700.333578371712</v>
      </c>
      <c r="O79" s="794">
        <f t="shared" si="22"/>
        <v>8.350166789185856</v>
      </c>
      <c r="Q79" s="5"/>
      <c r="R79" s="5"/>
      <c r="S79" s="5"/>
      <c r="T79" s="5"/>
      <c r="U79" s="5"/>
      <c r="V79" s="5"/>
      <c r="W79" s="5"/>
      <c r="X79" s="5"/>
      <c r="Y79" s="5"/>
    </row>
    <row r="80" spans="1:25" s="349" customFormat="1">
      <c r="A80" s="59" t="s">
        <v>825</v>
      </c>
      <c r="B80" s="349">
        <f t="shared" si="9"/>
        <v>821.79574405151129</v>
      </c>
      <c r="C80" s="349">
        <f t="shared" si="10"/>
        <v>80.709372726758673</v>
      </c>
      <c r="D80" s="494">
        <f t="shared" si="11"/>
        <v>902.50511677827001</v>
      </c>
      <c r="E80" s="76">
        <f t="shared" si="12"/>
        <v>0.45125255838913503</v>
      </c>
      <c r="F80" s="794">
        <f t="shared" si="13"/>
        <v>7717.0800014310416</v>
      </c>
      <c r="G80" s="794">
        <f t="shared" si="14"/>
        <v>3.8585400007155206</v>
      </c>
      <c r="H80" s="794">
        <f t="shared" si="15"/>
        <v>7717.0800014310416</v>
      </c>
      <c r="I80" s="794">
        <f t="shared" si="16"/>
        <v>3.8585400007155206</v>
      </c>
      <c r="J80" s="794">
        <f t="shared" si="17"/>
        <v>7717.0800014310416</v>
      </c>
      <c r="K80" s="794">
        <f t="shared" si="18"/>
        <v>3.8585400007155206</v>
      </c>
      <c r="L80" s="794">
        <f t="shared" si="19"/>
        <v>7717.0800014310416</v>
      </c>
      <c r="M80" s="794">
        <f t="shared" si="20"/>
        <v>3.8585400007155206</v>
      </c>
      <c r="N80" s="794">
        <f t="shared" si="21"/>
        <v>7717.0800014310416</v>
      </c>
      <c r="O80" s="794">
        <f t="shared" si="22"/>
        <v>3.8585400007155206</v>
      </c>
      <c r="Q80" s="5"/>
      <c r="R80" s="5"/>
      <c r="S80" s="5"/>
      <c r="T80" s="5"/>
      <c r="U80" s="5"/>
      <c r="V80" s="5"/>
      <c r="W80" s="5"/>
      <c r="X80" s="5"/>
      <c r="Y80" s="5"/>
    </row>
    <row r="81" spans="1:25" s="349" customFormat="1">
      <c r="A81" s="59" t="s">
        <v>826</v>
      </c>
      <c r="B81" s="349">
        <f t="shared" si="9"/>
        <v>11.645384006400809</v>
      </c>
      <c r="C81" s="349">
        <f t="shared" si="10"/>
        <v>665.66236268770092</v>
      </c>
      <c r="D81" s="494">
        <f t="shared" si="11"/>
        <v>677.30774669410175</v>
      </c>
      <c r="E81" s="76">
        <f t="shared" si="12"/>
        <v>0.33865387334705088</v>
      </c>
      <c r="F81" s="794">
        <f t="shared" si="13"/>
        <v>107226.3200116285</v>
      </c>
      <c r="G81" s="794">
        <f t="shared" si="14"/>
        <v>53.613160005814251</v>
      </c>
      <c r="H81" s="794">
        <f t="shared" si="15"/>
        <v>107226.3200116285</v>
      </c>
      <c r="I81" s="794">
        <f t="shared" si="16"/>
        <v>53.613160005814251</v>
      </c>
      <c r="J81" s="794">
        <f t="shared" si="17"/>
        <v>107226.3200116285</v>
      </c>
      <c r="K81" s="794">
        <f t="shared" si="18"/>
        <v>53.613160005814251</v>
      </c>
      <c r="L81" s="794">
        <f t="shared" si="19"/>
        <v>107226.3200116285</v>
      </c>
      <c r="M81" s="794">
        <f t="shared" si="20"/>
        <v>53.613160005814251</v>
      </c>
      <c r="N81" s="794">
        <f t="shared" si="21"/>
        <v>107226.3200116285</v>
      </c>
      <c r="O81" s="794">
        <f t="shared" si="22"/>
        <v>53.613160005814251</v>
      </c>
      <c r="Q81" s="5"/>
      <c r="R81" s="5"/>
      <c r="S81" s="5"/>
      <c r="T81" s="5"/>
      <c r="U81" s="5"/>
      <c r="V81" s="5"/>
      <c r="W81" s="5"/>
      <c r="X81" s="5"/>
      <c r="Y81" s="5"/>
    </row>
    <row r="82" spans="1:25" s="349" customFormat="1">
      <c r="A82" s="59" t="s">
        <v>827</v>
      </c>
      <c r="B82" s="349">
        <f t="shared" si="9"/>
        <v>0.45772229958642408</v>
      </c>
      <c r="C82" s="349">
        <f t="shared" si="10"/>
        <v>5.6970926683904342</v>
      </c>
      <c r="D82" s="494">
        <f t="shared" si="11"/>
        <v>6.1548149679768578</v>
      </c>
      <c r="E82" s="76">
        <f t="shared" si="12"/>
        <v>3.0774074839884291E-3</v>
      </c>
      <c r="F82" s="794">
        <f t="shared" si="13"/>
        <v>361.85593294016604</v>
      </c>
      <c r="G82" s="794">
        <f t="shared" si="14"/>
        <v>0.18092796647008302</v>
      </c>
      <c r="H82" s="794">
        <f t="shared" si="15"/>
        <v>361.85593294016604</v>
      </c>
      <c r="I82" s="794">
        <f t="shared" si="16"/>
        <v>0.18092796647008302</v>
      </c>
      <c r="J82" s="794">
        <f t="shared" si="17"/>
        <v>361.85593294016604</v>
      </c>
      <c r="K82" s="794">
        <f t="shared" si="18"/>
        <v>0.18092796647008302</v>
      </c>
      <c r="L82" s="794">
        <f t="shared" si="19"/>
        <v>361.85593294016604</v>
      </c>
      <c r="M82" s="794">
        <f t="shared" si="20"/>
        <v>0.18092796647008302</v>
      </c>
      <c r="N82" s="794">
        <f t="shared" si="21"/>
        <v>361.85593294016604</v>
      </c>
      <c r="O82" s="794">
        <f t="shared" si="22"/>
        <v>0.18092796647008302</v>
      </c>
      <c r="Q82" s="5"/>
      <c r="R82" s="5"/>
      <c r="S82" s="5"/>
      <c r="T82" s="5"/>
      <c r="U82" s="5"/>
      <c r="V82" s="5"/>
      <c r="W82" s="5"/>
      <c r="X82" s="5"/>
      <c r="Y82" s="5"/>
    </row>
    <row r="83" spans="1:25" s="349" customFormat="1">
      <c r="A83" s="59" t="s">
        <v>828</v>
      </c>
      <c r="B83" s="349">
        <f t="shared" si="9"/>
        <v>0.81150375415297782</v>
      </c>
      <c r="C83" s="349">
        <f t="shared" si="10"/>
        <v>24.343313771963704</v>
      </c>
      <c r="D83" s="494">
        <f t="shared" si="11"/>
        <v>25.15481752611668</v>
      </c>
      <c r="E83" s="76">
        <f t="shared" si="12"/>
        <v>1.257740876305834E-2</v>
      </c>
      <c r="F83" s="794">
        <f t="shared" si="13"/>
        <v>632.08409611856371</v>
      </c>
      <c r="G83" s="794">
        <f t="shared" si="14"/>
        <v>0.31604204805928188</v>
      </c>
      <c r="H83" s="794">
        <f t="shared" si="15"/>
        <v>632.08409611856371</v>
      </c>
      <c r="I83" s="794">
        <f t="shared" si="16"/>
        <v>0.31604204805928188</v>
      </c>
      <c r="J83" s="794">
        <f t="shared" si="17"/>
        <v>632.08409611856371</v>
      </c>
      <c r="K83" s="794">
        <f t="shared" si="18"/>
        <v>0.31604204805928188</v>
      </c>
      <c r="L83" s="794">
        <f t="shared" si="19"/>
        <v>632.08409611856371</v>
      </c>
      <c r="M83" s="794">
        <f t="shared" si="20"/>
        <v>0.31604204805928188</v>
      </c>
      <c r="N83" s="794">
        <f t="shared" si="21"/>
        <v>632.08409611856371</v>
      </c>
      <c r="O83" s="794">
        <f t="shared" si="22"/>
        <v>0.31604204805928188</v>
      </c>
      <c r="Q83" s="5"/>
      <c r="R83" s="5"/>
      <c r="S83" s="5"/>
      <c r="T83" s="5"/>
      <c r="U83" s="5"/>
      <c r="V83" s="5"/>
      <c r="W83" s="5"/>
      <c r="X83" s="5"/>
      <c r="Y83" s="5"/>
    </row>
    <row r="84" spans="1:25" s="349" customFormat="1">
      <c r="A84" s="59" t="s">
        <v>829</v>
      </c>
      <c r="B84" s="349">
        <f t="shared" si="9"/>
        <v>249.5957294356113</v>
      </c>
      <c r="C84" s="349">
        <f t="shared" si="10"/>
        <v>3051.3144058777743</v>
      </c>
      <c r="D84" s="494">
        <f t="shared" si="11"/>
        <v>3300.9101353133856</v>
      </c>
      <c r="E84" s="76">
        <f t="shared" si="12"/>
        <v>1.6504550676566927</v>
      </c>
      <c r="F84" s="794">
        <f t="shared" si="13"/>
        <v>172736.17180278589</v>
      </c>
      <c r="G84" s="794">
        <f t="shared" si="14"/>
        <v>86.368085901392945</v>
      </c>
      <c r="H84" s="794">
        <f t="shared" si="15"/>
        <v>172736.17180278589</v>
      </c>
      <c r="I84" s="794">
        <f t="shared" si="16"/>
        <v>86.368085901392945</v>
      </c>
      <c r="J84" s="794">
        <f t="shared" si="17"/>
        <v>172736.17180278589</v>
      </c>
      <c r="K84" s="794">
        <f t="shared" si="18"/>
        <v>86.368085901392945</v>
      </c>
      <c r="L84" s="794">
        <f t="shared" si="19"/>
        <v>172736.17180278589</v>
      </c>
      <c r="M84" s="794">
        <f t="shared" si="20"/>
        <v>86.368085901392945</v>
      </c>
      <c r="N84" s="794">
        <f t="shared" si="21"/>
        <v>172736.17180278589</v>
      </c>
      <c r="O84" s="794">
        <f t="shared" si="22"/>
        <v>86.368085901392945</v>
      </c>
      <c r="Q84" s="5"/>
      <c r="R84" s="5"/>
      <c r="S84" s="5"/>
      <c r="T84" s="5"/>
      <c r="U84" s="5"/>
      <c r="V84" s="5"/>
      <c r="W84" s="5"/>
      <c r="X84" s="5"/>
      <c r="Y84" s="5"/>
    </row>
    <row r="85" spans="1:25" s="349" customFormat="1">
      <c r="A85" s="59" t="s">
        <v>830</v>
      </c>
      <c r="B85" s="349">
        <f t="shared" si="9"/>
        <v>0.74534793922801834</v>
      </c>
      <c r="C85" s="349">
        <f t="shared" si="10"/>
        <v>28.029439112065987</v>
      </c>
      <c r="D85" s="494">
        <f t="shared" si="11"/>
        <v>28.774787051294005</v>
      </c>
      <c r="E85" s="76">
        <f t="shared" si="12"/>
        <v>1.4387393525647003E-2</v>
      </c>
      <c r="F85" s="794">
        <f t="shared" si="13"/>
        <v>2346.9175312580815</v>
      </c>
      <c r="G85" s="794">
        <f t="shared" si="14"/>
        <v>1.1734587656290407</v>
      </c>
      <c r="H85" s="794">
        <f t="shared" si="15"/>
        <v>2346.9175312580815</v>
      </c>
      <c r="I85" s="794">
        <f t="shared" si="16"/>
        <v>1.1734587656290407</v>
      </c>
      <c r="J85" s="794">
        <f t="shared" si="17"/>
        <v>2346.9175312580815</v>
      </c>
      <c r="K85" s="794">
        <f t="shared" si="18"/>
        <v>1.1734587656290407</v>
      </c>
      <c r="L85" s="794">
        <f t="shared" si="19"/>
        <v>2346.9175312580815</v>
      </c>
      <c r="M85" s="794">
        <f t="shared" si="20"/>
        <v>1.1734587656290407</v>
      </c>
      <c r="N85" s="794">
        <f t="shared" si="21"/>
        <v>2346.9175312580815</v>
      </c>
      <c r="O85" s="794">
        <f t="shared" si="22"/>
        <v>1.1734587656290407</v>
      </c>
      <c r="Q85" s="5"/>
      <c r="R85" s="5"/>
      <c r="S85" s="5"/>
      <c r="T85" s="5"/>
      <c r="U85" s="5"/>
      <c r="V85" s="5"/>
      <c r="W85" s="5"/>
      <c r="X85" s="5"/>
      <c r="Y85" s="5"/>
    </row>
    <row r="86" spans="1:25" s="419" customFormat="1">
      <c r="A86" s="59" t="s">
        <v>831</v>
      </c>
      <c r="B86" s="246">
        <f t="shared" si="9"/>
        <v>205492.61115224159</v>
      </c>
      <c r="C86" s="246">
        <f t="shared" si="10"/>
        <v>1294654.3958787266</v>
      </c>
      <c r="D86" s="252">
        <f t="shared" si="11"/>
        <v>1500147.0070309681</v>
      </c>
      <c r="E86" s="252">
        <f t="shared" si="12"/>
        <v>750.07350351548405</v>
      </c>
      <c r="F86" s="2652">
        <f t="shared" si="13"/>
        <v>108730425.51487054</v>
      </c>
      <c r="G86" s="1507">
        <f t="shared" si="14"/>
        <v>54365.212757435271</v>
      </c>
      <c r="H86" s="1507">
        <f t="shared" si="15"/>
        <v>108730425.51487054</v>
      </c>
      <c r="I86" s="1507">
        <f t="shared" si="16"/>
        <v>54365.212757435271</v>
      </c>
      <c r="J86" s="1507">
        <f t="shared" si="17"/>
        <v>108730425.51487054</v>
      </c>
      <c r="K86" s="1507">
        <f t="shared" si="18"/>
        <v>54365.212757435271</v>
      </c>
      <c r="L86" s="1507">
        <f t="shared" si="19"/>
        <v>108730425.51487054</v>
      </c>
      <c r="M86" s="1507">
        <f t="shared" si="20"/>
        <v>54365.212757435271</v>
      </c>
      <c r="N86" s="1487">
        <f t="shared" si="21"/>
        <v>108730425.51487054</v>
      </c>
      <c r="O86" s="1487">
        <f t="shared" si="22"/>
        <v>54365.212757435271</v>
      </c>
      <c r="Q86" s="5"/>
      <c r="R86" s="5"/>
      <c r="S86" s="5"/>
      <c r="T86" s="5"/>
      <c r="U86" s="5"/>
      <c r="V86" s="5"/>
      <c r="W86" s="5"/>
      <c r="X86" s="5"/>
      <c r="Y86" s="5"/>
    </row>
    <row r="87" spans="1:25" s="419" customFormat="1">
      <c r="A87" s="59" t="s">
        <v>850</v>
      </c>
      <c r="B87" s="246">
        <f>B86+B76*GREET1_Import_Export!$B$62/GREET1_Import_Export!$B$65+B77*GREET1_Import_Export!$B$63/GREET1_Import_Export!$B$65</f>
        <v>206201.74693401184</v>
      </c>
      <c r="C87" s="246">
        <f>C86+C76*GREET1_Import_Export!$B$62/GREET1_Import_Export!$B$65+C77*GREET1_Import_Export!$B$63/GREET1_Import_Export!$B$65</f>
        <v>1295888.8103887837</v>
      </c>
      <c r="D87" s="252">
        <f t="shared" si="11"/>
        <v>1502090.5573227955</v>
      </c>
      <c r="E87" s="252">
        <f t="shared" si="12"/>
        <v>751.04527866139779</v>
      </c>
      <c r="F87" s="1507">
        <f>F86+F76*GREET1_Import_Export!$B$62/GREET1_Import_Export!$B$65+F77*GREET1_Import_Export!$B$63/GREET1_Import_Export!$B$65</f>
        <v>108803206.48540248</v>
      </c>
      <c r="G87" s="1507">
        <f t="shared" si="14"/>
        <v>54401.60324270124</v>
      </c>
      <c r="H87" s="1507">
        <f>H86+H76*GREET1_Import_Export!$B$62/GREET1_Import_Export!$B$65+H77*GREET1_Import_Export!$B$63/GREET1_Import_Export!$B$65</f>
        <v>108803206.48540248</v>
      </c>
      <c r="I87" s="1507">
        <f t="shared" si="16"/>
        <v>54401.60324270124</v>
      </c>
      <c r="J87" s="1507">
        <f>J86+J76*GREET1_Import_Export!$B$62/GREET1_Import_Export!$B$65+J77*GREET1_Import_Export!$B$63/GREET1_Import_Export!$B$65</f>
        <v>108803206.48540248</v>
      </c>
      <c r="K87" s="1507">
        <f t="shared" si="18"/>
        <v>54401.60324270124</v>
      </c>
      <c r="L87" s="1507">
        <f>L86+L76*GREET1_Import_Export!$B$62/GREET1_Import_Export!$B$65+L77*GREET1_Import_Export!$B$63/GREET1_Import_Export!$B$65</f>
        <v>108803206.48540248</v>
      </c>
      <c r="M87" s="1507">
        <f t="shared" si="20"/>
        <v>54401.60324270124</v>
      </c>
      <c r="N87" s="1487">
        <f t="shared" si="21"/>
        <v>108803206.48540248</v>
      </c>
      <c r="O87" s="1487">
        <f t="shared" si="22"/>
        <v>54401.60324270124</v>
      </c>
      <c r="Q87" s="5"/>
      <c r="R87" s="5"/>
      <c r="S87" s="5"/>
      <c r="T87" s="5"/>
      <c r="U87" s="5"/>
      <c r="V87" s="5"/>
      <c r="W87" s="5"/>
      <c r="X87" s="5"/>
      <c r="Y87" s="5"/>
    </row>
    <row r="88" spans="1:25" s="419" customFormat="1">
      <c r="A88" s="118" t="s">
        <v>851</v>
      </c>
      <c r="B88" s="294">
        <f>B87+SUMPRODUCT(B84:B85,GREET1_Import_Export!$B$51:$B$52)+SUMPRODUCT(B76:B78,GREET1_Import_Export!$B$55:$B$57)+SUMPRODUCT(B82:B83,GREET1_Import_Export!$B$58:$B$59)</f>
        <v>213887.13602097559</v>
      </c>
      <c r="C88" s="294">
        <f>C87+SUMPRODUCT(C84:C85,GREET1_Import_Export!$B$51:$B$52)+SUMPRODUCT(C76:C78,GREET1_Import_Export!$B$55:$B$57)+SUMPRODUCT(C82:C83,GREET1_Import_Export!$B$58:$B$59)</f>
        <v>1394856.0439298144</v>
      </c>
      <c r="D88" s="78">
        <f t="shared" si="11"/>
        <v>1608743.17995079</v>
      </c>
      <c r="E88" s="78">
        <f>E87+SUMPRODUCT(E84:E85,GREET1_Import_Export!$B$51:$B$52)+SUMPRODUCT(E76:E78,GREET1_Import_Export!$B$55:$B$57)+SUMPRODUCT(E82:E83,GREET1_Import_Export!$B$58:$B$59)</f>
        <v>804.37158997539507</v>
      </c>
      <c r="F88" s="1508">
        <f>F87+SUMPRODUCT(F84:F85,GREET1_Import_Export!$B$51:$B$52)+SUMPRODUCT(F76:F78,GREET1_Import_Export!$B$55:$B$57)+SUMPRODUCT(F82:F83,GREET1_Import_Export!$B$58:$B$59)</f>
        <v>114607224.78526945</v>
      </c>
      <c r="G88" s="1508">
        <f>G87+SUMPRODUCT(G84:G85,GREET1_Import_Export!$B$51:$B$52)+SUMPRODUCT(G76:G78,GREET1_Import_Export!$B$55:$B$57)+SUMPRODUCT(G82:G83,GREET1_Import_Export!$B$58:$B$59)</f>
        <v>57303.612392634721</v>
      </c>
      <c r="H88" s="1508">
        <f>H87+SUMPRODUCT(H84:H85,GREET1_Import_Export!$B$51:$B$52)+SUMPRODUCT(H76:H78,GREET1_Import_Export!$B$55:$B$57)+SUMPRODUCT(H82:H83,GREET1_Import_Export!$B$58:$B$59)</f>
        <v>114607224.78526945</v>
      </c>
      <c r="I88" s="1508">
        <f>I87+SUMPRODUCT(I84:I85,GREET1_Import_Export!$B$51:$B$52)+SUMPRODUCT(I76:I78,GREET1_Import_Export!$B$55:$B$57)+SUMPRODUCT(I82:I83,GREET1_Import_Export!$B$58:$B$59)</f>
        <v>57303.612392634721</v>
      </c>
      <c r="J88" s="1508">
        <f>J87+SUMPRODUCT(J84:J85,GREET1_Import_Export!$B$51:$B$52)+SUMPRODUCT(J76:J78,GREET1_Import_Export!$B$55:$B$57)+SUMPRODUCT(J82:J83,GREET1_Import_Export!$B$58:$B$59)</f>
        <v>114607224.78526945</v>
      </c>
      <c r="K88" s="1508">
        <f>K87+SUMPRODUCT(K84:K85,GREET1_Import_Export!$B$51:$B$52)+SUMPRODUCT(K76:K78,GREET1_Import_Export!$B$55:$B$57)+SUMPRODUCT(K82:K83,GREET1_Import_Export!$B$58:$B$59)</f>
        <v>57303.612392634721</v>
      </c>
      <c r="L88" s="1508">
        <f>L87+SUMPRODUCT(L84:L85,GREET1_Import_Export!$B$51:$B$52)+SUMPRODUCT(L76:L78,GREET1_Import_Export!$B$55:$B$57)+SUMPRODUCT(L82:L83,GREET1_Import_Export!$B$58:$B$59)</f>
        <v>114607224.78526945</v>
      </c>
      <c r="M88" s="1508">
        <f>M87+SUMPRODUCT(M84:M85,GREET1_Import_Export!$B$51:$B$52)+SUMPRODUCT(M76:M78,GREET1_Import_Export!$B$55:$B$57)+SUMPRODUCT(M82:M83,GREET1_Import_Export!$B$58:$B$59)</f>
        <v>57303.612392634721</v>
      </c>
      <c r="N88" s="1489">
        <f t="shared" si="21"/>
        <v>114607224.78526945</v>
      </c>
      <c r="O88" s="1489">
        <f t="shared" si="22"/>
        <v>57303.612392634721</v>
      </c>
      <c r="Q88" s="5"/>
      <c r="R88" s="5"/>
      <c r="S88" s="5"/>
      <c r="T88" s="5"/>
      <c r="U88" s="5"/>
      <c r="V88" s="5"/>
      <c r="W88" s="5"/>
      <c r="X88" s="5"/>
      <c r="Y88" s="5"/>
    </row>
    <row r="89" spans="1:25" s="349" customFormat="1">
      <c r="A89" s="487" t="s">
        <v>1031</v>
      </c>
      <c r="D89" s="762" t="s">
        <v>845</v>
      </c>
      <c r="E89" s="59" t="s">
        <v>846</v>
      </c>
      <c r="F89" s="794" t="s">
        <v>845</v>
      </c>
      <c r="G89" s="794" t="s">
        <v>846</v>
      </c>
      <c r="H89" s="794" t="s">
        <v>845</v>
      </c>
      <c r="I89" s="794" t="s">
        <v>846</v>
      </c>
      <c r="J89" s="794" t="s">
        <v>845</v>
      </c>
      <c r="K89" s="794" t="s">
        <v>846</v>
      </c>
      <c r="L89" s="794" t="s">
        <v>845</v>
      </c>
      <c r="M89" s="794" t="s">
        <v>846</v>
      </c>
      <c r="N89" s="1262" t="s">
        <v>845</v>
      </c>
      <c r="O89" s="1262" t="s">
        <v>846</v>
      </c>
      <c r="Q89" s="5"/>
      <c r="R89" s="5"/>
      <c r="S89" s="5"/>
      <c r="T89" s="5"/>
      <c r="U89" s="5"/>
      <c r="V89" s="5"/>
      <c r="W89" s="5"/>
      <c r="X89" s="5"/>
      <c r="Y89" s="5"/>
    </row>
    <row r="90" spans="1:25" s="349" customFormat="1">
      <c r="A90" s="494" t="s">
        <v>821</v>
      </c>
      <c r="B90" s="377">
        <f t="shared" ref="B90:B97" si="23">SUM(B56:C56)</f>
        <v>6.251571906058909</v>
      </c>
      <c r="C90" s="377">
        <f t="shared" ref="C90:C97" si="24">SUM(D56:E56)</f>
        <v>9.6611205687311337</v>
      </c>
      <c r="D90" s="399">
        <f t="shared" ref="D90:D97" si="25">SUM(B90:C90)</f>
        <v>15.912692474790042</v>
      </c>
      <c r="E90" s="808">
        <f t="shared" ref="E90:E97" si="26">D90/2000</f>
        <v>7.9563462373950216E-3</v>
      </c>
      <c r="F90" s="794">
        <f t="shared" ref="F90:F97" si="27">SUM(F56:G56)</f>
        <v>630.69786924260859</v>
      </c>
      <c r="G90" s="794">
        <f t="shared" ref="G90:G97" si="28">F90/2000</f>
        <v>0.31534893462130431</v>
      </c>
      <c r="H90" s="794">
        <f t="shared" ref="H90:H97" si="29">SUM(H56:I56)</f>
        <v>630.69786924260859</v>
      </c>
      <c r="I90" s="794">
        <f t="shared" ref="I90:I97" si="30">H90/2000</f>
        <v>0.31534893462130431</v>
      </c>
      <c r="J90" s="794">
        <f t="shared" ref="J90:J97" si="31">SUM(J56:K56)</f>
        <v>630.69786924260859</v>
      </c>
      <c r="K90" s="794">
        <f t="shared" ref="K90:K97" si="32">J90/2000</f>
        <v>0.31534893462130431</v>
      </c>
      <c r="L90" s="794">
        <f t="shared" ref="L90:L97" si="33">SUM(L56:M56)</f>
        <v>630.69786924260859</v>
      </c>
      <c r="M90" s="794">
        <f t="shared" ref="M90:M97" si="34">L90/2000</f>
        <v>0.31534893462130431</v>
      </c>
      <c r="N90" s="794">
        <f t="shared" ref="N90:O97" si="35">IF($A$4=1,F90,D90)</f>
        <v>630.69786924260859</v>
      </c>
      <c r="O90" s="794">
        <f t="shared" si="35"/>
        <v>0.31534893462130431</v>
      </c>
      <c r="Q90" s="5"/>
      <c r="R90" s="5"/>
      <c r="S90" s="5"/>
      <c r="T90" s="5"/>
      <c r="U90" s="5"/>
      <c r="V90" s="5"/>
      <c r="W90" s="5"/>
      <c r="X90" s="5"/>
      <c r="Y90" s="5"/>
    </row>
    <row r="91" spans="1:25" s="349" customFormat="1">
      <c r="A91" s="494" t="s">
        <v>822</v>
      </c>
      <c r="B91" s="377">
        <f t="shared" si="23"/>
        <v>4.0759011816905444</v>
      </c>
      <c r="C91" s="377">
        <f t="shared" si="24"/>
        <v>68.62112965229997</v>
      </c>
      <c r="D91" s="399">
        <f t="shared" si="25"/>
        <v>72.69703083399051</v>
      </c>
      <c r="E91" s="808">
        <f t="shared" si="26"/>
        <v>3.6348515416995256E-2</v>
      </c>
      <c r="F91" s="794">
        <f t="shared" si="27"/>
        <v>5154.5936929550608</v>
      </c>
      <c r="G91" s="794">
        <f t="shared" si="28"/>
        <v>2.5772968464775303</v>
      </c>
      <c r="H91" s="794">
        <f t="shared" si="29"/>
        <v>5154.5936929550608</v>
      </c>
      <c r="I91" s="794">
        <f t="shared" si="30"/>
        <v>2.5772968464775303</v>
      </c>
      <c r="J91" s="794">
        <f t="shared" si="31"/>
        <v>5154.5936929550608</v>
      </c>
      <c r="K91" s="794">
        <f t="shared" si="32"/>
        <v>2.5772968464775303</v>
      </c>
      <c r="L91" s="794">
        <f t="shared" si="33"/>
        <v>5154.5936929550608</v>
      </c>
      <c r="M91" s="794">
        <f t="shared" si="34"/>
        <v>2.5772968464775303</v>
      </c>
      <c r="N91" s="794">
        <f t="shared" si="35"/>
        <v>5154.5936929550608</v>
      </c>
      <c r="O91" s="794">
        <f t="shared" si="35"/>
        <v>2.5772968464775303</v>
      </c>
      <c r="Q91" s="5"/>
      <c r="R91" s="5"/>
      <c r="S91" s="5"/>
      <c r="T91" s="5"/>
      <c r="U91" s="5"/>
      <c r="V91" s="5"/>
      <c r="W91" s="5"/>
      <c r="X91" s="5"/>
      <c r="Y91" s="5"/>
    </row>
    <row r="92" spans="1:25" s="349" customFormat="1">
      <c r="A92" s="494" t="s">
        <v>823</v>
      </c>
      <c r="B92" s="377">
        <f t="shared" si="23"/>
        <v>6.3276476422748251</v>
      </c>
      <c r="C92" s="377">
        <f t="shared" si="24"/>
        <v>195.88140519264624</v>
      </c>
      <c r="D92" s="399">
        <f t="shared" si="25"/>
        <v>202.20905283492107</v>
      </c>
      <c r="E92" s="808">
        <f t="shared" si="26"/>
        <v>0.10110452641746054</v>
      </c>
      <c r="F92" s="794">
        <f t="shared" si="27"/>
        <v>22093.333719807441</v>
      </c>
      <c r="G92" s="794">
        <f t="shared" si="28"/>
        <v>11.04666685990372</v>
      </c>
      <c r="H92" s="794">
        <f t="shared" si="29"/>
        <v>22093.333719807441</v>
      </c>
      <c r="I92" s="794">
        <f t="shared" si="30"/>
        <v>11.04666685990372</v>
      </c>
      <c r="J92" s="794">
        <f t="shared" si="31"/>
        <v>22093.333719807441</v>
      </c>
      <c r="K92" s="794">
        <f t="shared" si="32"/>
        <v>11.04666685990372</v>
      </c>
      <c r="L92" s="794">
        <f t="shared" si="33"/>
        <v>22093.333719807441</v>
      </c>
      <c r="M92" s="794">
        <f t="shared" si="34"/>
        <v>11.04666685990372</v>
      </c>
      <c r="N92" s="794">
        <f t="shared" si="35"/>
        <v>22093.333719807441</v>
      </c>
      <c r="O92" s="794">
        <f t="shared" si="35"/>
        <v>11.04666685990372</v>
      </c>
      <c r="Q92" s="5"/>
      <c r="R92" s="5"/>
      <c r="S92" s="5"/>
      <c r="T92" s="5"/>
      <c r="U92" s="5"/>
      <c r="V92" s="5"/>
      <c r="W92" s="5"/>
      <c r="X92" s="5"/>
      <c r="Y92" s="5"/>
    </row>
    <row r="93" spans="1:25" s="349" customFormat="1">
      <c r="A93" s="59" t="s">
        <v>824</v>
      </c>
      <c r="B93" s="377">
        <f t="shared" si="23"/>
        <v>1.1255416337496336</v>
      </c>
      <c r="C93" s="377">
        <f t="shared" si="24"/>
        <v>25.380849808624397</v>
      </c>
      <c r="D93" s="399">
        <f t="shared" si="25"/>
        <v>26.506391442374031</v>
      </c>
      <c r="E93" s="808">
        <f t="shared" si="26"/>
        <v>1.3253195721187015E-2</v>
      </c>
      <c r="F93" s="794">
        <f t="shared" si="27"/>
        <v>2847.4501798385804</v>
      </c>
      <c r="G93" s="794">
        <f t="shared" si="28"/>
        <v>1.4237250899192901</v>
      </c>
      <c r="H93" s="794">
        <f t="shared" si="29"/>
        <v>2847.4501798385804</v>
      </c>
      <c r="I93" s="794">
        <f t="shared" si="30"/>
        <v>1.4237250899192901</v>
      </c>
      <c r="J93" s="794">
        <f t="shared" si="31"/>
        <v>2847.4501798385804</v>
      </c>
      <c r="K93" s="794">
        <f t="shared" si="32"/>
        <v>1.4237250899192901</v>
      </c>
      <c r="L93" s="794">
        <f t="shared" si="33"/>
        <v>2847.4501798385804</v>
      </c>
      <c r="M93" s="794">
        <f t="shared" si="34"/>
        <v>1.4237250899192901</v>
      </c>
      <c r="N93" s="794">
        <f t="shared" si="35"/>
        <v>2847.4501798385804</v>
      </c>
      <c r="O93" s="794">
        <f t="shared" si="35"/>
        <v>1.4237250899192901</v>
      </c>
      <c r="Q93" s="5"/>
      <c r="R93" s="5"/>
      <c r="S93" s="5"/>
      <c r="T93" s="5"/>
      <c r="U93" s="5"/>
      <c r="V93" s="5"/>
      <c r="W93" s="5"/>
      <c r="X93" s="5"/>
      <c r="Y93" s="5"/>
    </row>
    <row r="94" spans="1:25" s="349" customFormat="1">
      <c r="A94" s="494" t="s">
        <v>825</v>
      </c>
      <c r="B94" s="377">
        <f t="shared" si="23"/>
        <v>0.97129353860277201</v>
      </c>
      <c r="C94" s="377">
        <f t="shared" si="24"/>
        <v>22.319279241594185</v>
      </c>
      <c r="D94" s="399">
        <f t="shared" si="25"/>
        <v>23.290572780196957</v>
      </c>
      <c r="E94" s="808">
        <f t="shared" si="26"/>
        <v>1.1645286390098479E-2</v>
      </c>
      <c r="F94" s="794">
        <f t="shared" si="27"/>
        <v>2358.6304634659036</v>
      </c>
      <c r="G94" s="794">
        <f t="shared" si="28"/>
        <v>1.1793152317329518</v>
      </c>
      <c r="H94" s="794">
        <f t="shared" si="29"/>
        <v>2358.6304634659036</v>
      </c>
      <c r="I94" s="794">
        <f t="shared" si="30"/>
        <v>1.1793152317329518</v>
      </c>
      <c r="J94" s="794">
        <f t="shared" si="31"/>
        <v>2358.6304634659036</v>
      </c>
      <c r="K94" s="794">
        <f t="shared" si="32"/>
        <v>1.1793152317329518</v>
      </c>
      <c r="L94" s="794">
        <f t="shared" si="33"/>
        <v>2358.6304634659036</v>
      </c>
      <c r="M94" s="794">
        <f t="shared" si="34"/>
        <v>1.1793152317329518</v>
      </c>
      <c r="N94" s="794">
        <f t="shared" si="35"/>
        <v>2358.6304634659036</v>
      </c>
      <c r="O94" s="794">
        <f t="shared" si="35"/>
        <v>1.1793152317329518</v>
      </c>
      <c r="Q94" s="5"/>
      <c r="R94" s="5"/>
      <c r="S94" s="5"/>
      <c r="T94" s="5"/>
      <c r="U94" s="5"/>
      <c r="V94" s="5"/>
      <c r="W94" s="5"/>
      <c r="X94" s="5"/>
      <c r="Y94" s="5"/>
    </row>
    <row r="95" spans="1:25" s="496" customFormat="1">
      <c r="A95" s="59" t="s">
        <v>826</v>
      </c>
      <c r="B95" s="377">
        <f t="shared" si="23"/>
        <v>2.1991522685189886</v>
      </c>
      <c r="C95" s="377">
        <f t="shared" si="24"/>
        <v>188.95124331770725</v>
      </c>
      <c r="D95" s="101">
        <f t="shared" si="25"/>
        <v>191.15039558622624</v>
      </c>
      <c r="E95" s="808">
        <f t="shared" si="26"/>
        <v>9.5575197793113117E-2</v>
      </c>
      <c r="F95" s="794">
        <f t="shared" si="27"/>
        <v>31352.357078454846</v>
      </c>
      <c r="G95" s="794">
        <f t="shared" si="28"/>
        <v>15.676178539227424</v>
      </c>
      <c r="H95" s="794">
        <f t="shared" si="29"/>
        <v>31352.357078454846</v>
      </c>
      <c r="I95" s="794">
        <f t="shared" si="30"/>
        <v>15.676178539227424</v>
      </c>
      <c r="J95" s="794">
        <f t="shared" si="31"/>
        <v>31352.357078454846</v>
      </c>
      <c r="K95" s="794">
        <f t="shared" si="32"/>
        <v>15.676178539227424</v>
      </c>
      <c r="L95" s="794">
        <f t="shared" si="33"/>
        <v>31352.357078454846</v>
      </c>
      <c r="M95" s="794">
        <f t="shared" si="34"/>
        <v>15.676178539227424</v>
      </c>
      <c r="N95" s="794">
        <f t="shared" si="35"/>
        <v>31352.357078454846</v>
      </c>
      <c r="O95" s="794">
        <f t="shared" si="35"/>
        <v>15.676178539227424</v>
      </c>
      <c r="Q95" s="5"/>
      <c r="R95" s="5"/>
      <c r="S95" s="5"/>
      <c r="T95" s="5"/>
      <c r="U95" s="5"/>
      <c r="V95" s="5"/>
      <c r="W95" s="5"/>
      <c r="X95" s="5"/>
      <c r="Y95" s="5"/>
    </row>
    <row r="96" spans="1:25" s="496" customFormat="1">
      <c r="A96" s="494" t="s">
        <v>827</v>
      </c>
      <c r="B96" s="377">
        <f t="shared" si="23"/>
        <v>0.1235870652282329</v>
      </c>
      <c r="C96" s="377">
        <f t="shared" si="24"/>
        <v>1.1529763462846654</v>
      </c>
      <c r="D96" s="101">
        <f t="shared" si="25"/>
        <v>1.2765634115128983</v>
      </c>
      <c r="E96" s="808">
        <f t="shared" si="26"/>
        <v>6.3828170575644914E-4</v>
      </c>
      <c r="F96" s="794">
        <f t="shared" si="27"/>
        <v>104.22047793191004</v>
      </c>
      <c r="G96" s="794">
        <f t="shared" si="28"/>
        <v>5.2110238965955021E-2</v>
      </c>
      <c r="H96" s="794">
        <f t="shared" si="29"/>
        <v>104.22047793191004</v>
      </c>
      <c r="I96" s="794">
        <f t="shared" si="30"/>
        <v>5.2110238965955021E-2</v>
      </c>
      <c r="J96" s="794">
        <f t="shared" si="31"/>
        <v>104.22047793191004</v>
      </c>
      <c r="K96" s="794">
        <f t="shared" si="32"/>
        <v>5.2110238965955021E-2</v>
      </c>
      <c r="L96" s="794">
        <f t="shared" si="33"/>
        <v>104.22047793191004</v>
      </c>
      <c r="M96" s="794">
        <f t="shared" si="34"/>
        <v>5.2110238965955021E-2</v>
      </c>
      <c r="N96" s="794">
        <f t="shared" si="35"/>
        <v>104.22047793191004</v>
      </c>
      <c r="O96" s="794">
        <f t="shared" si="35"/>
        <v>5.2110238965955021E-2</v>
      </c>
      <c r="Q96" s="5"/>
      <c r="R96" s="5"/>
      <c r="S96" s="5"/>
      <c r="T96" s="5"/>
      <c r="U96" s="5"/>
      <c r="V96" s="5"/>
      <c r="W96" s="5"/>
      <c r="X96" s="5"/>
      <c r="Y96" s="5"/>
    </row>
    <row r="97" spans="1:25" s="496" customFormat="1">
      <c r="A97" s="118" t="s">
        <v>828</v>
      </c>
      <c r="B97" s="124">
        <f t="shared" si="23"/>
        <v>0.17494195663932166</v>
      </c>
      <c r="C97" s="124">
        <f t="shared" si="24"/>
        <v>6.3847773355172901</v>
      </c>
      <c r="D97" s="809">
        <f t="shared" si="25"/>
        <v>6.5597192921566121</v>
      </c>
      <c r="E97" s="809">
        <f t="shared" si="26"/>
        <v>3.2798596460783059E-3</v>
      </c>
      <c r="F97" s="954">
        <f t="shared" si="27"/>
        <v>198.6573690241805</v>
      </c>
      <c r="G97" s="954">
        <f t="shared" si="28"/>
        <v>9.9328684512090246E-2</v>
      </c>
      <c r="H97" s="954">
        <f t="shared" si="29"/>
        <v>198.6573690241805</v>
      </c>
      <c r="I97" s="954">
        <f t="shared" si="30"/>
        <v>9.9328684512090246E-2</v>
      </c>
      <c r="J97" s="954">
        <f t="shared" si="31"/>
        <v>198.6573690241805</v>
      </c>
      <c r="K97" s="954">
        <f t="shared" si="32"/>
        <v>9.9328684512090246E-2</v>
      </c>
      <c r="L97" s="954">
        <f t="shared" si="33"/>
        <v>198.6573690241805</v>
      </c>
      <c r="M97" s="954">
        <f t="shared" si="34"/>
        <v>9.9328684512090246E-2</v>
      </c>
      <c r="N97" s="954">
        <f t="shared" si="35"/>
        <v>198.6573690241805</v>
      </c>
      <c r="O97" s="954">
        <f t="shared" si="35"/>
        <v>9.9328684512090246E-2</v>
      </c>
      <c r="Q97" s="5"/>
      <c r="R97" s="5"/>
      <c r="S97" s="5"/>
      <c r="T97" s="5"/>
      <c r="U97" s="5"/>
      <c r="V97" s="5"/>
      <c r="W97" s="5"/>
      <c r="X97" s="5"/>
      <c r="Y97" s="5"/>
    </row>
  </sheetData>
  <mergeCells count="16">
    <mergeCell ref="B20:E20"/>
    <mergeCell ref="B21:C21"/>
    <mergeCell ref="D21:E21"/>
    <mergeCell ref="D67:E67"/>
    <mergeCell ref="B66:E66"/>
    <mergeCell ref="F20:M20"/>
    <mergeCell ref="F21:G21"/>
    <mergeCell ref="H21:I21"/>
    <mergeCell ref="J21:K21"/>
    <mergeCell ref="L21:M21"/>
    <mergeCell ref="F66:M66"/>
    <mergeCell ref="N66:O67"/>
    <mergeCell ref="F67:G67"/>
    <mergeCell ref="H67:I67"/>
    <mergeCell ref="J67:K67"/>
    <mergeCell ref="L67:M67"/>
  </mergeCells>
  <phoneticPr fontId="4" type="noConversion"/>
  <printOptions gridLinesSet="0"/>
  <pageMargins left="0.75" right="0.75" top="1" bottom="1" header="0.5" footer="0.5"/>
  <pageSetup orientation="landscape" horizontalDpi="4294967292" r:id="rId1"/>
  <headerFooter alignWithMargins="0">
    <oddHeader>&amp;A</oddHeader>
    <oddFooter>Page &amp;P</oddFooter>
  </headerFooter>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H87"/>
  <sheetViews>
    <sheetView showGridLines="0" zoomScale="85" zoomScaleNormal="85" workbookViewId="0"/>
  </sheetViews>
  <sheetFormatPr defaultColWidth="9.140625" defaultRowHeight="12.75"/>
  <cols>
    <col min="1" max="1" width="24.7109375" style="64" customWidth="1"/>
    <col min="2" max="2" width="10" style="64" customWidth="1"/>
    <col min="3" max="3" width="11.42578125" style="64" customWidth="1"/>
    <col min="4" max="4" width="10.28515625" style="64" customWidth="1"/>
    <col min="5" max="5" width="10.140625" style="64" customWidth="1"/>
    <col min="6" max="6" width="9.140625" style="64"/>
    <col min="7" max="7" width="10.140625" style="64" customWidth="1"/>
    <col min="8" max="16384" width="9.140625" style="64"/>
  </cols>
  <sheetData>
    <row r="1" spans="1:7" ht="15.75">
      <c r="A1" s="6" t="s">
        <v>1224</v>
      </c>
    </row>
    <row r="2" spans="1:7" ht="12.75" customHeight="1">
      <c r="A2" s="111"/>
    </row>
    <row r="3" spans="1:7" ht="15">
      <c r="A3" s="381" t="s">
        <v>932</v>
      </c>
    </row>
    <row r="4" spans="1:7">
      <c r="A4" s="393" t="s">
        <v>769</v>
      </c>
      <c r="B4" s="533">
        <v>1</v>
      </c>
    </row>
    <row r="5" spans="1:7">
      <c r="A5" s="230" t="s">
        <v>770</v>
      </c>
      <c r="B5" s="588">
        <v>1</v>
      </c>
    </row>
    <row r="6" spans="1:7">
      <c r="A6" s="160" t="s">
        <v>772</v>
      </c>
      <c r="B6" s="1102">
        <f>1-B5</f>
        <v>0</v>
      </c>
    </row>
    <row r="7" spans="1:7">
      <c r="A7" s="230" t="s">
        <v>773</v>
      </c>
      <c r="B7" s="588">
        <v>1</v>
      </c>
    </row>
    <row r="8" spans="1:7">
      <c r="A8" s="160" t="s">
        <v>782</v>
      </c>
      <c r="B8" s="1102">
        <v>1</v>
      </c>
    </row>
    <row r="9" spans="1:7">
      <c r="A9" s="161" t="s">
        <v>783</v>
      </c>
      <c r="B9" s="949">
        <f>1-B8</f>
        <v>0</v>
      </c>
    </row>
    <row r="11" spans="1:7" ht="15">
      <c r="A11" s="381" t="s">
        <v>933</v>
      </c>
    </row>
    <row r="12" spans="1:7" ht="22.5" customHeight="1">
      <c r="A12" s="238"/>
      <c r="B12" s="3060" t="s">
        <v>561</v>
      </c>
      <c r="C12" s="3062"/>
      <c r="D12" s="2983" t="s">
        <v>563</v>
      </c>
      <c r="E12" s="2983"/>
      <c r="F12" s="2982" t="s">
        <v>565</v>
      </c>
      <c r="G12" s="2994"/>
    </row>
    <row r="13" spans="1:7" ht="72.75" customHeight="1">
      <c r="A13" s="571"/>
      <c r="B13" s="1673" t="s">
        <v>785</v>
      </c>
      <c r="C13" s="1674" t="s">
        <v>786</v>
      </c>
      <c r="D13" s="1675" t="s">
        <v>785</v>
      </c>
      <c r="E13" s="1675" t="s">
        <v>786</v>
      </c>
      <c r="F13" s="1673" t="s">
        <v>785</v>
      </c>
      <c r="G13" s="1674" t="s">
        <v>786</v>
      </c>
    </row>
    <row r="14" spans="1:7" ht="38.25">
      <c r="A14" s="659" t="s">
        <v>797</v>
      </c>
      <c r="B14" s="383">
        <f>Mat_Inputs!B473</f>
        <v>0</v>
      </c>
      <c r="C14" s="395"/>
      <c r="D14" s="377">
        <f>Mat_Inputs!B474</f>
        <v>0</v>
      </c>
      <c r="F14" s="383">
        <f>Mat_Inputs!B475</f>
        <v>0</v>
      </c>
      <c r="G14" s="395"/>
    </row>
    <row r="15" spans="1:7">
      <c r="A15" s="571" t="s">
        <v>798</v>
      </c>
      <c r="B15" s="416">
        <v>0</v>
      </c>
      <c r="C15" s="395"/>
      <c r="D15" s="382">
        <v>0</v>
      </c>
      <c r="F15" s="416">
        <v>0</v>
      </c>
      <c r="G15" s="395"/>
    </row>
    <row r="16" spans="1:7">
      <c r="A16" s="238" t="s">
        <v>799</v>
      </c>
      <c r="B16" s="393"/>
      <c r="C16" s="394"/>
      <c r="D16" s="392"/>
      <c r="E16" s="392"/>
      <c r="F16" s="393"/>
      <c r="G16" s="394"/>
    </row>
    <row r="17" spans="1:7">
      <c r="A17" s="230" t="s">
        <v>800</v>
      </c>
      <c r="B17" s="416">
        <v>0</v>
      </c>
      <c r="C17" s="588"/>
      <c r="D17" s="382">
        <v>0</v>
      </c>
      <c r="E17" s="382"/>
      <c r="F17" s="416">
        <v>0</v>
      </c>
      <c r="G17" s="395"/>
    </row>
    <row r="18" spans="1:7">
      <c r="A18" s="230" t="s">
        <v>802</v>
      </c>
      <c r="B18" s="416">
        <v>1</v>
      </c>
      <c r="C18" s="395" t="s">
        <v>861</v>
      </c>
      <c r="D18" s="382">
        <v>0</v>
      </c>
      <c r="E18" s="382"/>
      <c r="F18" s="416">
        <v>0</v>
      </c>
      <c r="G18" s="395"/>
    </row>
    <row r="19" spans="1:7">
      <c r="A19" s="230" t="s">
        <v>804</v>
      </c>
      <c r="B19" s="416">
        <v>0</v>
      </c>
      <c r="C19" s="588"/>
      <c r="D19" s="382">
        <v>0</v>
      </c>
      <c r="E19" s="382"/>
      <c r="F19" s="416">
        <v>0</v>
      </c>
      <c r="G19" s="395"/>
    </row>
    <row r="20" spans="1:7">
      <c r="A20" s="230" t="s">
        <v>805</v>
      </c>
      <c r="B20" s="416">
        <v>0</v>
      </c>
      <c r="C20" s="588"/>
      <c r="D20" s="382">
        <v>0</v>
      </c>
      <c r="E20" s="382"/>
      <c r="F20" s="416">
        <v>0</v>
      </c>
      <c r="G20" s="395"/>
    </row>
    <row r="21" spans="1:7">
      <c r="A21" s="589" t="s">
        <v>806</v>
      </c>
      <c r="B21" s="664">
        <f>1-SUM(B17:B20)</f>
        <v>0</v>
      </c>
      <c r="C21" s="428"/>
      <c r="D21" s="368">
        <f>1-SUM(D17:D20)</f>
        <v>1</v>
      </c>
      <c r="E21" s="368"/>
      <c r="F21" s="664">
        <f>1-SUM(F17:F20)</f>
        <v>1</v>
      </c>
      <c r="G21" s="707"/>
    </row>
    <row r="22" spans="1:7">
      <c r="A22" s="571" t="s">
        <v>862</v>
      </c>
      <c r="B22" s="230"/>
      <c r="C22" s="395"/>
      <c r="F22" s="230"/>
      <c r="G22" s="395"/>
    </row>
    <row r="23" spans="1:7" s="349" customFormat="1">
      <c r="A23" s="347" t="s">
        <v>800</v>
      </c>
      <c r="B23" s="390">
        <f>B$14*B17</f>
        <v>0</v>
      </c>
      <c r="C23" s="348"/>
      <c r="D23" s="389">
        <f>D$14*D17</f>
        <v>0</v>
      </c>
      <c r="F23" s="390">
        <f>F$14*F17</f>
        <v>0</v>
      </c>
      <c r="G23" s="348"/>
    </row>
    <row r="24" spans="1:7" s="349" customFormat="1">
      <c r="A24" s="347" t="s">
        <v>802</v>
      </c>
      <c r="B24" s="390">
        <f>B$14*B18</f>
        <v>0</v>
      </c>
      <c r="C24" s="348"/>
      <c r="D24" s="389">
        <f>D$14*D18</f>
        <v>0</v>
      </c>
      <c r="F24" s="390">
        <f>F$14*F18</f>
        <v>0</v>
      </c>
      <c r="G24" s="348"/>
    </row>
    <row r="25" spans="1:7" s="349" customFormat="1">
      <c r="A25" s="347" t="s">
        <v>804</v>
      </c>
      <c r="B25" s="390">
        <f>B$14*B19</f>
        <v>0</v>
      </c>
      <c r="C25" s="348"/>
      <c r="D25" s="389">
        <f>D$14*D19</f>
        <v>0</v>
      </c>
      <c r="F25" s="390">
        <f>F$14*F19</f>
        <v>0</v>
      </c>
      <c r="G25" s="348"/>
    </row>
    <row r="26" spans="1:7" s="349" customFormat="1">
      <c r="A26" s="347" t="s">
        <v>805</v>
      </c>
      <c r="B26" s="390">
        <f>B$14*B20</f>
        <v>0</v>
      </c>
      <c r="C26" s="348"/>
      <c r="D26" s="389">
        <f>D$14*D20</f>
        <v>0</v>
      </c>
      <c r="F26" s="390">
        <f>F$14*F20</f>
        <v>0</v>
      </c>
      <c r="G26" s="348"/>
    </row>
    <row r="27" spans="1:7" s="349" customFormat="1">
      <c r="A27" s="347" t="s">
        <v>806</v>
      </c>
      <c r="B27" s="390">
        <f>B$14*B21</f>
        <v>0</v>
      </c>
      <c r="C27" s="348"/>
      <c r="D27" s="389">
        <f>D$14*D21</f>
        <v>0</v>
      </c>
      <c r="F27" s="390">
        <f>F$14*F21</f>
        <v>0</v>
      </c>
      <c r="G27" s="348"/>
    </row>
    <row r="28" spans="1:7" s="349" customFormat="1">
      <c r="A28" s="510" t="s">
        <v>816</v>
      </c>
      <c r="B28" s="510">
        <f>B$23*(1+(GREET1_Import_Export!$F$179*GREET1_Import_Export!$B180+GREET1_Import_Export!$F180)/1000000)+B$24*(1+(GREET1_Import_Export!$H$179*GREET1_Import_Export!$B180+GREET1_Import_Export!$H180)/1000000)+B$25*(1+GREET1_Import_Export!$B216/1000000)+B$26*(1+GREET1_Import_Export!$B284/1000000)+B$27*(GREET1_Import_Export!$B309+GREET1_Import_Export!$C309)/1000000</f>
        <v>0</v>
      </c>
      <c r="C28" s="509"/>
      <c r="D28" s="512">
        <f>D$23*(1+(GREET1_Import_Export!$F$179*GREET1_Import_Export!$B180+GREET1_Import_Export!$F180)/1000000)+D$24*(1+(GREET1_Import_Export!$G$179*GREET1_Import_Export!$B180+GREET1_Import_Export!$G180)/1000000)+D$25*(1+GREET1_Import_Export!$B216/1000000)+D$26*(1+GREET1_Import_Export!$B284/1000000)+D$27*(GREET1_Import_Export!$B309+GREET1_Import_Export!$C309)/1000000</f>
        <v>0</v>
      </c>
      <c r="E28" s="512"/>
      <c r="F28" s="510">
        <f>F$23*(1+(GREET1_Import_Export!$F$179*GREET1_Import_Export!$B180+GREET1_Import_Export!$F180)/1000000)+F$24*(1+(GREET1_Import_Export!$G$179*GREET1_Import_Export!$B180+GREET1_Import_Export!$G180)/1000000)+F$25*(1+GREET1_Import_Export!$B216/1000000)+F$26*(1+GREET1_Import_Export!$B284/1000000)+F$27*(GREET1_Import_Export!$B309+GREET1_Import_Export!$C309)/1000000</f>
        <v>0</v>
      </c>
      <c r="G28" s="509"/>
    </row>
    <row r="29" spans="1:7" s="349" customFormat="1">
      <c r="A29" s="347" t="s">
        <v>817</v>
      </c>
      <c r="B29" s="347">
        <f>B$23*(1+(GREET1_Import_Export!$F$179*GREET1_Import_Export!$B181+GREET1_Import_Export!$F181)/1000000)+B$24*(1+(GREET1_Import_Export!$H$179*GREET1_Import_Export!$B181+GREET1_Import_Export!$H181)/1000000)+B$25*(1+GREET1_Import_Export!$B217/1000000)+B$26*(1+GREET1_Import_Export!$B285/1000000)+B$27*(GREET1_Import_Export!$B310+GREET1_Import_Export!$C310)/1000000</f>
        <v>0</v>
      </c>
      <c r="C29" s="348"/>
      <c r="D29" s="349">
        <f>D$23*(1+(GREET1_Import_Export!$F$179*GREET1_Import_Export!$B181+GREET1_Import_Export!$F181)/1000000)+D$24*(1+(GREET1_Import_Export!$G$179*GREET1_Import_Export!$B181+GREET1_Import_Export!$G181)/1000000)+D$25*(1+GREET1_Import_Export!$B217/1000000)+D$26*(1+GREET1_Import_Export!$B285/1000000)+D$27*(GREET1_Import_Export!$B310+GREET1_Import_Export!$C310)/1000000</f>
        <v>0</v>
      </c>
      <c r="F29" s="347">
        <f>F$23*(1+(GREET1_Import_Export!$F$179*GREET1_Import_Export!$B181+GREET1_Import_Export!$F181)/1000000)+F$24*(1+(GREET1_Import_Export!$G$179*GREET1_Import_Export!$B181+GREET1_Import_Export!$G181)/1000000)+F$25*(1+GREET1_Import_Export!$B217/1000000)+F$26*(1+GREET1_Import_Export!$B285/1000000)+F$27*(GREET1_Import_Export!$B310+GREET1_Import_Export!$C310)/1000000</f>
        <v>0</v>
      </c>
      <c r="G29" s="348"/>
    </row>
    <row r="30" spans="1:7" s="349" customFormat="1">
      <c r="A30" s="347" t="s">
        <v>805</v>
      </c>
      <c r="B30" s="347">
        <f>B$23*(GREET1_Import_Export!$F$179*GREET1_Import_Export!$B182+GREET1_Import_Export!$F182)/1000000+B$24*(GREET1_Import_Export!$H$179*GREET1_Import_Export!$B182+GREET1_Import_Export!$H182)/1000000+B$25*GREET1_Import_Export!$B218/1000000+B$26*(1+GREET1_Import_Export!$B286/1000000)+B$27*(GREET1_Import_Export!$B311+GREET1_Import_Export!$C311)/1000000</f>
        <v>0</v>
      </c>
      <c r="C30" s="348"/>
      <c r="D30" s="349">
        <f>D$23*(GREET1_Import_Export!$F$179*GREET1_Import_Export!$B182+GREET1_Import_Export!$F182)/1000000+D$24*(GREET1_Import_Export!$G$179*GREET1_Import_Export!$B182+GREET1_Import_Export!$G182)/1000000+D$25*GREET1_Import_Export!$B218/1000000+D$26*(1+GREET1_Import_Export!$B286/1000000)+D$27*(GREET1_Import_Export!$B311+GREET1_Import_Export!$C311)/1000000</f>
        <v>0</v>
      </c>
      <c r="F30" s="347">
        <f>F$23*(GREET1_Import_Export!$F$179*GREET1_Import_Export!$B182+GREET1_Import_Export!$F182)/1000000+F$24*(GREET1_Import_Export!$G$179*GREET1_Import_Export!$B182+GREET1_Import_Export!$G182)/1000000+F$25*GREET1_Import_Export!$B218/1000000+F$26*(1+GREET1_Import_Export!$B286/1000000)+F$27*(GREET1_Import_Export!$B311+GREET1_Import_Export!$C311)/1000000</f>
        <v>0</v>
      </c>
      <c r="G30" s="348"/>
    </row>
    <row r="31" spans="1:7" s="349" customFormat="1">
      <c r="A31" s="347" t="s">
        <v>804</v>
      </c>
      <c r="B31" s="347">
        <f>B29-B30-B32</f>
        <v>0</v>
      </c>
      <c r="C31" s="348"/>
      <c r="D31" s="349">
        <f>D29-D30-D32</f>
        <v>0</v>
      </c>
      <c r="F31" s="347">
        <f>F29-F30-F32</f>
        <v>0</v>
      </c>
      <c r="G31" s="348"/>
    </row>
    <row r="32" spans="1:7" s="349" customFormat="1">
      <c r="A32" s="347" t="s">
        <v>818</v>
      </c>
      <c r="B32" s="347">
        <f>B$23*(1+(GREET1_Import_Export!$F$179*GREET1_Import_Export!$B184+GREET1_Import_Export!$F184)/1000000)+B$24*(1+(GREET1_Import_Export!$H$179*GREET1_Import_Export!$B184+GREET1_Import_Export!$H184)/1000000)+B$25*GREET1_Import_Export!$B220/1000000+B$26*GREET1_Import_Export!$B288/1000000+B$27*(GREET1_Import_Export!$B313+GREET1_Import_Export!$C313)/1000000</f>
        <v>0</v>
      </c>
      <c r="C32" s="348"/>
      <c r="D32" s="349">
        <f>D$23*(1+(GREET1_Import_Export!$F$179*GREET1_Import_Export!$B184+GREET1_Import_Export!$F184)/1000000)+D$24*(1+(GREET1_Import_Export!$G$179*GREET1_Import_Export!$B184+GREET1_Import_Export!$G184)/1000000)+D$25*GREET1_Import_Export!$B220/1000000+D$26*GREET1_Import_Export!$B288/1000000+D$27*(GREET1_Import_Export!$B313+GREET1_Import_Export!$C313)/1000000</f>
        <v>0</v>
      </c>
      <c r="F32" s="347">
        <f>F$23*(1+(GREET1_Import_Export!$F$179*GREET1_Import_Export!$B184+GREET1_Import_Export!$F184)/1000000)+F$24*(1+(GREET1_Import_Export!$G$179*GREET1_Import_Export!$B184+GREET1_Import_Export!$G184)/1000000)+F$25*GREET1_Import_Export!$B220/1000000+F$26*GREET1_Import_Export!$B288/1000000+F$27*(GREET1_Import_Export!$B313+GREET1_Import_Export!$C313)/1000000</f>
        <v>0</v>
      </c>
      <c r="G32" s="348"/>
    </row>
    <row r="33" spans="1:7" s="419" customFormat="1">
      <c r="A33" s="160" t="s">
        <v>819</v>
      </c>
      <c r="B33" s="160">
        <f>B$23*((GREET1_Import_Export!$F$179*GREET1_Import_Export!$B185+GREET1_Import_Export!$F185))+B$24*((GREET1_Import_Export!$H$179*GREET1_Import_Export!$B185+GREET1_Import_Export!$H185))+B$25*GREET1_Import_Export!$B221+B$26*GREET1_Import_Export!$B289+B$27*(GREET1_Import_Export!$B314+GREET1_Import_Export!$C314)</f>
        <v>0</v>
      </c>
      <c r="C33" s="752"/>
      <c r="D33" s="489">
        <f>D$23*((GREET1_Import_Export!$F$179*GREET1_Import_Export!$B185+GREET1_Import_Export!$F185))+D$24*((GREET1_Import_Export!$G$179*GREET1_Import_Export!$B185+GREET1_Import_Export!$G185))+D$25*GREET1_Import_Export!$B221+D$26*GREET1_Import_Export!$B289+D$27*(GREET1_Import_Export!$B314+GREET1_Import_Export!$C314)</f>
        <v>0</v>
      </c>
      <c r="E33" s="374"/>
      <c r="F33" s="160">
        <f>F$23*((GREET1_Import_Export!$F$179*GREET1_Import_Export!$B185+GREET1_Import_Export!$F185))+F$24*((GREET1_Import_Export!$G$179*GREET1_Import_Export!$B185+GREET1_Import_Export!$G185))+F$25*GREET1_Import_Export!$B221+F$26*GREET1_Import_Export!$B289+F$27*(GREET1_Import_Export!$B314+GREET1_Import_Export!$C314)</f>
        <v>0</v>
      </c>
      <c r="G33" s="752"/>
    </row>
    <row r="34" spans="1:7" s="349" customFormat="1">
      <c r="A34" s="699" t="s">
        <v>864</v>
      </c>
      <c r="B34" s="510"/>
      <c r="C34" s="509"/>
      <c r="D34" s="512"/>
      <c r="E34" s="512"/>
      <c r="F34" s="510"/>
      <c r="G34" s="509"/>
    </row>
    <row r="35" spans="1:7" s="349" customFormat="1">
      <c r="A35" s="347" t="s">
        <v>821</v>
      </c>
      <c r="B35" s="347">
        <f>B$23*(B$4*GREET1_Import_Export!$K72+GREET1_Import_Export!$F$179*GREET1_Import_Export!$B186+GREET1_Import_Export!$F186)+B$24*(B$8*GREET1_Import_Export!$R72+B$9*GREET1_Import_Export!$M146+GREET1_Import_Export!$H$179*GREET1_Import_Export!$B186+GREET1_Import_Export!$H186)+B$25*(B$5*GREET1_Import_Export!$B72+B$6*GREET1_Import_Export!$M118+GREET1_Import_Export!$B222)+B$26*(B$7*GREET1_Import_Export!$AA72+GREET1_Import_Export!$B290)+B$27*(GREET1_Import_Export!$B315+GREET1_Import_Export!$C315)</f>
        <v>0</v>
      </c>
      <c r="C35" s="348"/>
      <c r="D35" s="349">
        <f>D$23*(GREET1_Import_Export!$K72+GREET1_Import_Export!$F$179*GREET1_Import_Export!$B186+GREET1_Import_Export!$F186)+D$24*(GREET1_Import_Export!$O72+GREET1_Import_Export!$G$179*GREET1_Import_Export!$B186+GREET1_Import_Export!$G186)+D$25*(GREET1_Import_Export!$B72+GREET1_Import_Export!$B222)+D$26*(GREET1_Import_Export!$AA72+GREET1_Import_Export!$B290)+D$27*(GREET1_Import_Export!$B315+GREET1_Import_Export!$C315)</f>
        <v>0</v>
      </c>
      <c r="F35" s="347">
        <f>F$23*(GREET1_Import_Export!$K72+GREET1_Import_Export!$F$179*GREET1_Import_Export!$B186+GREET1_Import_Export!$F186)+F$24*(GREET1_Import_Export!$O72+GREET1_Import_Export!$G$179*GREET1_Import_Export!$B186+GREET1_Import_Export!$G186)+F$25*(GREET1_Import_Export!$B72+GREET1_Import_Export!$B222)+F$26*(GREET1_Import_Export!$AA72+GREET1_Import_Export!$B290)+F$27*(GREET1_Import_Export!$B315+GREET1_Import_Export!$C315)</f>
        <v>0</v>
      </c>
      <c r="G35" s="348"/>
    </row>
    <row r="36" spans="1:7" s="349" customFormat="1">
      <c r="A36" s="347" t="s">
        <v>822</v>
      </c>
      <c r="B36" s="347">
        <f>B$23*(B$4*GREET1_Import_Export!$K73+GREET1_Import_Export!$F$179*GREET1_Import_Export!$B187+GREET1_Import_Export!$F187)+B$24*(B$8*GREET1_Import_Export!$R73+B$9*GREET1_Import_Export!$M147+GREET1_Import_Export!$H$179*GREET1_Import_Export!$B187+GREET1_Import_Export!$H187)+B$25*(B$5*GREET1_Import_Export!$B73+B$6*GREET1_Import_Export!$M119+GREET1_Import_Export!$B223)+B$26*(B$7*GREET1_Import_Export!$AA73+GREET1_Import_Export!$B291)+B$27*(GREET1_Import_Export!$B316+GREET1_Import_Export!$C316)</f>
        <v>0</v>
      </c>
      <c r="C36" s="348"/>
      <c r="D36" s="349">
        <f>D$23*(GREET1_Import_Export!$K73+GREET1_Import_Export!$F$179*GREET1_Import_Export!$B187+GREET1_Import_Export!$F187)+D$24*(GREET1_Import_Export!$O73+GREET1_Import_Export!$G$179*GREET1_Import_Export!$B187+GREET1_Import_Export!$G187)+D$25*(GREET1_Import_Export!$B73+GREET1_Import_Export!$B223)+D$26*(GREET1_Import_Export!$AA73+GREET1_Import_Export!$B291)+D$27*(GREET1_Import_Export!$B316+GREET1_Import_Export!$C316)</f>
        <v>0</v>
      </c>
      <c r="F36" s="347">
        <f>F$23*(GREET1_Import_Export!$K73+GREET1_Import_Export!$F$179*GREET1_Import_Export!$B187+GREET1_Import_Export!$F187)+F$24*(GREET1_Import_Export!$O73+GREET1_Import_Export!$G$179*GREET1_Import_Export!$B187+GREET1_Import_Export!$G187)+F$25*(GREET1_Import_Export!$B73+GREET1_Import_Export!$B223)+F$26*(GREET1_Import_Export!$AA73+GREET1_Import_Export!$B291)+F$27*(GREET1_Import_Export!$B316+GREET1_Import_Export!$C316)</f>
        <v>0</v>
      </c>
      <c r="G36" s="348"/>
    </row>
    <row r="37" spans="1:7" s="349" customFormat="1">
      <c r="A37" s="347" t="s">
        <v>823</v>
      </c>
      <c r="B37" s="347">
        <f>B$23*(B$4*GREET1_Import_Export!$K74+GREET1_Import_Export!$F$179*GREET1_Import_Export!$B188+GREET1_Import_Export!$F188)+B$24*(B$8*GREET1_Import_Export!$R74+B$9*GREET1_Import_Export!$M148+GREET1_Import_Export!$H$179*GREET1_Import_Export!$B188+GREET1_Import_Export!$H188)+B$25*(B$5*GREET1_Import_Export!$B74+B$6*GREET1_Import_Export!$M120+GREET1_Import_Export!$B224)+B$26*(B$7*GREET1_Import_Export!$AA74+GREET1_Import_Export!$B292)+B$27*(GREET1_Import_Export!$B317+GREET1_Import_Export!$C317)</f>
        <v>0</v>
      </c>
      <c r="C37" s="348"/>
      <c r="D37" s="349">
        <f>D$23*(GREET1_Import_Export!$K74+GREET1_Import_Export!$F$179*GREET1_Import_Export!$B188+GREET1_Import_Export!$F188)+D$24*(GREET1_Import_Export!$O74+GREET1_Import_Export!$G$179*GREET1_Import_Export!$B188+GREET1_Import_Export!$G188)+D$25*(GREET1_Import_Export!$B74+GREET1_Import_Export!$B224)+D$26*(GREET1_Import_Export!$AA74+GREET1_Import_Export!$B292)+D$27*(GREET1_Import_Export!$B317+GREET1_Import_Export!$C317)</f>
        <v>0</v>
      </c>
      <c r="F37" s="347">
        <f>F$23*(GREET1_Import_Export!$K74+GREET1_Import_Export!$F$179*GREET1_Import_Export!$B188+GREET1_Import_Export!$F188)+F$24*(GREET1_Import_Export!$O74+GREET1_Import_Export!$G$179*GREET1_Import_Export!$B188+GREET1_Import_Export!$G188)+F$25*(GREET1_Import_Export!$B74+GREET1_Import_Export!$B224)+F$26*(GREET1_Import_Export!$AA74+GREET1_Import_Export!$B292)+F$27*(GREET1_Import_Export!$B317+GREET1_Import_Export!$C317)</f>
        <v>0</v>
      </c>
      <c r="G37" s="348"/>
    </row>
    <row r="38" spans="1:7" s="349" customFormat="1">
      <c r="A38" s="347" t="s">
        <v>824</v>
      </c>
      <c r="B38" s="347">
        <f>B$23*(B$4*GREET1_Import_Export!$K75+GREET1_Import_Export!$F$179*GREET1_Import_Export!$B189+GREET1_Import_Export!$F189)+B$24*(B$8*GREET1_Import_Export!$R75+B$9*GREET1_Import_Export!$M149+GREET1_Import_Export!$H$179*GREET1_Import_Export!$B189+GREET1_Import_Export!$H189)+B$25*(B$5*GREET1_Import_Export!$B75+B$6*GREET1_Import_Export!$M121+GREET1_Import_Export!$B225)+B$26*(B$7*GREET1_Import_Export!$AA75+GREET1_Import_Export!$B293)+B$27*(GREET1_Import_Export!$B318+GREET1_Import_Export!$C318)</f>
        <v>0</v>
      </c>
      <c r="C38" s="348"/>
      <c r="D38" s="349">
        <f>D$23*(GREET1_Import_Export!$K75+GREET1_Import_Export!$F$179*GREET1_Import_Export!$B189+GREET1_Import_Export!$F189)+D$24*(GREET1_Import_Export!$O75+GREET1_Import_Export!$G$179*GREET1_Import_Export!$B189+GREET1_Import_Export!$G189)+D$25*(GREET1_Import_Export!$B75+GREET1_Import_Export!$B225)+D$26*(GREET1_Import_Export!$AA75+GREET1_Import_Export!$B293)+D$27*(GREET1_Import_Export!$B318+GREET1_Import_Export!$C318)</f>
        <v>0</v>
      </c>
      <c r="F38" s="347">
        <f>F$23*(GREET1_Import_Export!$K75+GREET1_Import_Export!$F$179*GREET1_Import_Export!$B189+GREET1_Import_Export!$F189)+F$24*(GREET1_Import_Export!$O75+GREET1_Import_Export!$G$179*GREET1_Import_Export!$B189+GREET1_Import_Export!$G189)+F$25*(GREET1_Import_Export!$B75+GREET1_Import_Export!$B225)+F$26*(GREET1_Import_Export!$AA75+GREET1_Import_Export!$B293)+F$27*(GREET1_Import_Export!$B318+GREET1_Import_Export!$C318)</f>
        <v>0</v>
      </c>
      <c r="G38" s="348"/>
    </row>
    <row r="39" spans="1:7" s="349" customFormat="1">
      <c r="A39" s="347" t="s">
        <v>825</v>
      </c>
      <c r="B39" s="347">
        <f>B$23*(B$4*GREET1_Import_Export!$K76+GREET1_Import_Export!$F$179*GREET1_Import_Export!$B190+GREET1_Import_Export!$F190)+B$24*(B$8*GREET1_Import_Export!$R76+B$9*GREET1_Import_Export!$M150+GREET1_Import_Export!$H$179*GREET1_Import_Export!$B190+GREET1_Import_Export!$H190)+B$25*(B$5*GREET1_Import_Export!$B76+B$6*GREET1_Import_Export!$M122+GREET1_Import_Export!$B226)+B$26*(B$7*GREET1_Import_Export!$AA76+GREET1_Import_Export!$B294)+B$27*(GREET1_Import_Export!$B319+GREET1_Import_Export!$C319)</f>
        <v>0</v>
      </c>
      <c r="C39" s="348"/>
      <c r="D39" s="349">
        <f>D$23*(GREET1_Import_Export!$K76+GREET1_Import_Export!$F$179*GREET1_Import_Export!$B190+GREET1_Import_Export!$F190)+D$24*(GREET1_Import_Export!$O76+GREET1_Import_Export!$G$179*GREET1_Import_Export!$B190+GREET1_Import_Export!$G190)+D$25*(GREET1_Import_Export!$B76+GREET1_Import_Export!$B226)+D$26*(GREET1_Import_Export!$AA76+GREET1_Import_Export!$B294)+D$27*(GREET1_Import_Export!$B319+GREET1_Import_Export!$C319)</f>
        <v>0</v>
      </c>
      <c r="F39" s="347">
        <f>F$23*(GREET1_Import_Export!$K76+GREET1_Import_Export!$F$179*GREET1_Import_Export!$B190+GREET1_Import_Export!$F190)+F$24*(GREET1_Import_Export!$O76+GREET1_Import_Export!$G$179*GREET1_Import_Export!$B190+GREET1_Import_Export!$G190)+F$25*(GREET1_Import_Export!$B76+GREET1_Import_Export!$B226)+F$26*(GREET1_Import_Export!$AA76+GREET1_Import_Export!$B294)+F$27*(GREET1_Import_Export!$B319+GREET1_Import_Export!$C319)</f>
        <v>0</v>
      </c>
      <c r="G39" s="348"/>
    </row>
    <row r="40" spans="1:7" s="349" customFormat="1">
      <c r="A40" s="347" t="s">
        <v>826</v>
      </c>
      <c r="B40" s="347">
        <f>B$23*(B$4*GREET1_Import_Export!$K77+GREET1_Import_Export!$F$179*GREET1_Import_Export!$B191+GREET1_Import_Export!$F191)+B$24*(B$8*GREET1_Import_Export!$R77+B$9*GREET1_Import_Export!$M151+GREET1_Import_Export!$H$179*GREET1_Import_Export!$B191+GREET1_Import_Export!$H191)+B$25*(B$5*GREET1_Import_Export!$B77+B$6*GREET1_Import_Export!$M123+GREET1_Import_Export!$B227)+B$26*(B$7*GREET1_Import_Export!$AA77+GREET1_Import_Export!$B295)+B$27*(GREET1_Import_Export!$B320+GREET1_Import_Export!$C320)</f>
        <v>0</v>
      </c>
      <c r="C40" s="348"/>
      <c r="D40" s="349">
        <f>D$23*(GREET1_Import_Export!$K77+GREET1_Import_Export!$F$179*GREET1_Import_Export!$B191+GREET1_Import_Export!$F191)+D$24*(GREET1_Import_Export!$O77+GREET1_Import_Export!$G$179*GREET1_Import_Export!$B191+GREET1_Import_Export!$G191)+D$25*(GREET1_Import_Export!$B77+GREET1_Import_Export!$B227)+D$26*(GREET1_Import_Export!$AA77+GREET1_Import_Export!$B295)+D$27*(GREET1_Import_Export!$B320+GREET1_Import_Export!$C320)</f>
        <v>0</v>
      </c>
      <c r="F40" s="347">
        <f>F$23*(GREET1_Import_Export!$K77+GREET1_Import_Export!$F$179*GREET1_Import_Export!$B191+GREET1_Import_Export!$F191)+F$24*(GREET1_Import_Export!$O77+GREET1_Import_Export!$G$179*GREET1_Import_Export!$B191+GREET1_Import_Export!$G191)+F$25*(GREET1_Import_Export!$B77+GREET1_Import_Export!$B227)+F$26*(GREET1_Import_Export!$AA77+GREET1_Import_Export!$B295)+F$27*(GREET1_Import_Export!$B320+GREET1_Import_Export!$C320)</f>
        <v>0</v>
      </c>
      <c r="G40" s="348"/>
    </row>
    <row r="41" spans="1:7" s="349" customFormat="1">
      <c r="A41" s="749" t="s">
        <v>827</v>
      </c>
      <c r="B41" s="347">
        <f>B$23*(B$4*GREET1_Import_Export!$K78+GREET1_Import_Export!$F$179*GREET1_Import_Export!$B192+GREET1_Import_Export!$F192)+B$24*(B$8*GREET1_Import_Export!$R78+B$9*GREET1_Import_Export!$M152+GREET1_Import_Export!$H$179*GREET1_Import_Export!$B192+GREET1_Import_Export!$H192)+B$25*(B$5*GREET1_Import_Export!$B78+B$6*GREET1_Import_Export!$M124+GREET1_Import_Export!$B228)+B$26*(B$7*GREET1_Import_Export!$AA78+GREET1_Import_Export!$B296)+B$27*(GREET1_Import_Export!$B321+GREET1_Import_Export!$C321)</f>
        <v>0</v>
      </c>
      <c r="C41" s="348"/>
      <c r="D41" s="349">
        <f>D$23*(GREET1_Import_Export!$K78+GREET1_Import_Export!$F$179*GREET1_Import_Export!$B192+GREET1_Import_Export!$F192)+D$24*(GREET1_Import_Export!$O78+GREET1_Import_Export!$G$179*GREET1_Import_Export!$B192+GREET1_Import_Export!$G192)+D$25*(GREET1_Import_Export!$B78+GREET1_Import_Export!$B228)+D$26*(GREET1_Import_Export!$AA78+GREET1_Import_Export!$B296)+D$27*(GREET1_Import_Export!$B321+GREET1_Import_Export!$C321)</f>
        <v>0</v>
      </c>
      <c r="F41" s="347">
        <f>F$23*(GREET1_Import_Export!$K78+GREET1_Import_Export!$F$179*GREET1_Import_Export!$B192+GREET1_Import_Export!$F192)+F$24*(GREET1_Import_Export!$O78+GREET1_Import_Export!$G$179*GREET1_Import_Export!$B192+GREET1_Import_Export!$G192)+F$25*(GREET1_Import_Export!$B78+GREET1_Import_Export!$B228)+F$26*(GREET1_Import_Export!$AA78+GREET1_Import_Export!$B296)+F$27*(GREET1_Import_Export!$B321+GREET1_Import_Export!$C321)</f>
        <v>0</v>
      </c>
      <c r="G41" s="348"/>
    </row>
    <row r="42" spans="1:7" s="349" customFormat="1">
      <c r="A42" s="749" t="s">
        <v>828</v>
      </c>
      <c r="B42" s="347">
        <f>B$23*(B$4*GREET1_Import_Export!$K79+GREET1_Import_Export!$F$179*GREET1_Import_Export!$B193+GREET1_Import_Export!$F193)+B$24*(B$8*GREET1_Import_Export!$R79+B$9*GREET1_Import_Export!$M153+GREET1_Import_Export!$H$179*GREET1_Import_Export!$B193+GREET1_Import_Export!$H193)+B$25*(B$5*GREET1_Import_Export!$B79+B$6*GREET1_Import_Export!$M125+GREET1_Import_Export!$B229)+B$26*(B$7*GREET1_Import_Export!$AA79+GREET1_Import_Export!$B297)+B$27*(GREET1_Import_Export!$B322+GREET1_Import_Export!$C322)</f>
        <v>0</v>
      </c>
      <c r="C42" s="348"/>
      <c r="D42" s="349">
        <f>D$23*(GREET1_Import_Export!$K79+GREET1_Import_Export!$F$179*GREET1_Import_Export!$B193+GREET1_Import_Export!$F193)+D$24*(GREET1_Import_Export!$O79+GREET1_Import_Export!$G$179*GREET1_Import_Export!$B193+GREET1_Import_Export!$G193)+D$25*(GREET1_Import_Export!$B79+GREET1_Import_Export!$B229)+D$26*(GREET1_Import_Export!$AA79+GREET1_Import_Export!$B297)+D$27*(GREET1_Import_Export!$B322+GREET1_Import_Export!$C322)</f>
        <v>0</v>
      </c>
      <c r="F42" s="347">
        <f>F$23*(GREET1_Import_Export!$K79+GREET1_Import_Export!$F$179*GREET1_Import_Export!$B193+GREET1_Import_Export!$F193)+F$24*(GREET1_Import_Export!$O79+GREET1_Import_Export!$G$179*GREET1_Import_Export!$B193+GREET1_Import_Export!$G193)+F$25*(GREET1_Import_Export!$B79+GREET1_Import_Export!$B229)+F$26*(GREET1_Import_Export!$AA79+GREET1_Import_Export!$B297)+F$27*(GREET1_Import_Export!$B322+GREET1_Import_Export!$C322)</f>
        <v>0</v>
      </c>
      <c r="G42" s="348"/>
    </row>
    <row r="43" spans="1:7" s="349" customFormat="1">
      <c r="A43" s="347" t="s">
        <v>829</v>
      </c>
      <c r="B43" s="347">
        <f>B$23*(B$4*GREET1_Import_Export!$K80+GREET1_Import_Export!$F$179*GREET1_Import_Export!$B194+GREET1_Import_Export!$F194)+B$24*(B$8*GREET1_Import_Export!$R80+B$9*GREET1_Import_Export!$M154+GREET1_Import_Export!$H$179*GREET1_Import_Export!$B194+GREET1_Import_Export!$H194)+B$25*(B$5*GREET1_Import_Export!$B80+B$6*GREET1_Import_Export!$M126+GREET1_Import_Export!$B230)+B$26*(B$7*GREET1_Import_Export!$AA80+GREET1_Import_Export!$B298)+B$27*(GREET1_Import_Export!$B323+GREET1_Import_Export!$C323)</f>
        <v>0</v>
      </c>
      <c r="C43" s="348"/>
      <c r="D43" s="349">
        <f>D$23*(GREET1_Import_Export!$K80+GREET1_Import_Export!$F$179*GREET1_Import_Export!$B194+GREET1_Import_Export!$F194)+D$24*(GREET1_Import_Export!$O80+GREET1_Import_Export!$G$179*GREET1_Import_Export!$B194+GREET1_Import_Export!$G194)+D$25*(GREET1_Import_Export!$B80+GREET1_Import_Export!$B230)+D$26*(GREET1_Import_Export!$AA80+GREET1_Import_Export!$B298)+D$27*(GREET1_Import_Export!$B323+GREET1_Import_Export!$C323)</f>
        <v>0</v>
      </c>
      <c r="F43" s="347">
        <f>F$23*(GREET1_Import_Export!$K80+GREET1_Import_Export!$F$179*GREET1_Import_Export!$B194+GREET1_Import_Export!$F194)+F$24*(GREET1_Import_Export!$O80+GREET1_Import_Export!$G$179*GREET1_Import_Export!$B194+GREET1_Import_Export!$G194)+F$25*(GREET1_Import_Export!$B80+GREET1_Import_Export!$B230)+F$26*(GREET1_Import_Export!$AA80+GREET1_Import_Export!$B298)+F$27*(GREET1_Import_Export!$B323+GREET1_Import_Export!$C323)</f>
        <v>0</v>
      </c>
      <c r="G43" s="348"/>
    </row>
    <row r="44" spans="1:7" s="349" customFormat="1">
      <c r="A44" s="347" t="s">
        <v>830</v>
      </c>
      <c r="B44" s="347">
        <f>B$23*(B$4*GREET1_Import_Export!$K81+GREET1_Import_Export!$F$179*GREET1_Import_Export!$B195+GREET1_Import_Export!$F195)+B$24*(B$8*GREET1_Import_Export!$R81+B$9*GREET1_Import_Export!$M155+GREET1_Import_Export!$H$179*GREET1_Import_Export!$B195+GREET1_Import_Export!$H195)+B$25*(B$5*GREET1_Import_Export!$B81+B$6*GREET1_Import_Export!$M127+GREET1_Import_Export!$B231)+B$26*(B$7*GREET1_Import_Export!$AA81+GREET1_Import_Export!$B299)+B$27*(GREET1_Import_Export!$B324+GREET1_Import_Export!$C324)</f>
        <v>0</v>
      </c>
      <c r="C44" s="348"/>
      <c r="D44" s="349">
        <f>D$23*(GREET1_Import_Export!$K81+GREET1_Import_Export!$F$179*GREET1_Import_Export!$B195+GREET1_Import_Export!$F195)+D$24*(GREET1_Import_Export!$O81+GREET1_Import_Export!$G$179*GREET1_Import_Export!$B195+GREET1_Import_Export!$G195)+D$25*(GREET1_Import_Export!$B81+GREET1_Import_Export!$B231)+D$26*(GREET1_Import_Export!$AA81+GREET1_Import_Export!$B299)+D$27*(GREET1_Import_Export!$B324+GREET1_Import_Export!$C324)</f>
        <v>0</v>
      </c>
      <c r="F44" s="347">
        <f>F$23*(GREET1_Import_Export!$K81+GREET1_Import_Export!$F$179*GREET1_Import_Export!$B195+GREET1_Import_Export!$F195)+F$24*(GREET1_Import_Export!$O81+GREET1_Import_Export!$G$179*GREET1_Import_Export!$B195+GREET1_Import_Export!$G195)+F$25*(GREET1_Import_Export!$B81+GREET1_Import_Export!$B231)+F$26*(GREET1_Import_Export!$AA81+GREET1_Import_Export!$B299)+F$27*(GREET1_Import_Export!$B324+GREET1_Import_Export!$C324)</f>
        <v>0</v>
      </c>
      <c r="G44" s="348"/>
    </row>
    <row r="45" spans="1:7" s="419" customFormat="1">
      <c r="A45" s="668" t="s">
        <v>831</v>
      </c>
      <c r="B45" s="295">
        <f>B$23*(B$4*GREET1_Import_Export!$K82+GREET1_Import_Export!$F$179*GREET1_Import_Export!$B196+GREET1_Import_Export!$F196)+B$24*(B$8*GREET1_Import_Export!$R82+B$9*GREET1_Import_Export!$M156+GREET1_Import_Export!$H$179*GREET1_Import_Export!$B196+GREET1_Import_Export!$H196)+B$25*(B$5*GREET1_Import_Export!$B82+B$6*GREET1_Import_Export!$M128+GREET1_Import_Export!$B232)+B$26*(B$7*GREET1_Import_Export!$AA82+GREET1_Import_Export!$B300)+B$27*(GREET1_Import_Export!$B325+GREET1_Import_Export!$C325)</f>
        <v>0</v>
      </c>
      <c r="C45" s="752"/>
      <c r="D45" s="374">
        <f>D$23*(GREET1_Import_Export!$K82+GREET1_Import_Export!$F$179*GREET1_Import_Export!$B196+GREET1_Import_Export!$F196)+D$24*(GREET1_Import_Export!$O82+GREET1_Import_Export!$G$179*GREET1_Import_Export!$B196+GREET1_Import_Export!$G196)+D$25*(GREET1_Import_Export!$B82+GREET1_Import_Export!$B232)+D$26*(GREET1_Import_Export!$AA82+GREET1_Import_Export!$B300)+D$27*(GREET1_Import_Export!$B325+GREET1_Import_Export!$C325)</f>
        <v>0</v>
      </c>
      <c r="E45" s="374"/>
      <c r="F45" s="668">
        <f>F$23*(GREET1_Import_Export!$K82+GREET1_Import_Export!$F$179*GREET1_Import_Export!$B196+GREET1_Import_Export!$F196)+F$24*(GREET1_Import_Export!$O82+GREET1_Import_Export!$G$179*GREET1_Import_Export!$B196+GREET1_Import_Export!$G196)+F$25*(GREET1_Import_Export!$B82+GREET1_Import_Export!$B232)+F$26*(GREET1_Import_Export!$AA82+GREET1_Import_Export!$B300)+F$27*(GREET1_Import_Export!$B325+GREET1_Import_Export!$C325)</f>
        <v>0</v>
      </c>
      <c r="G45" s="752"/>
    </row>
    <row r="46" spans="1:7" s="349" customFormat="1">
      <c r="A46" s="758" t="s">
        <v>865</v>
      </c>
      <c r="B46" s="347"/>
      <c r="C46" s="348"/>
      <c r="D46" s="389"/>
      <c r="F46" s="347"/>
      <c r="G46" s="348"/>
    </row>
    <row r="47" spans="1:7" s="349" customFormat="1">
      <c r="A47" s="347" t="s">
        <v>821</v>
      </c>
      <c r="B47" s="347">
        <f>B$23*(B$15*(B$4*GREET1_Import_Export!$K72)+GREET1_Import_Export!$F$200*GREET1_Import_Export!$B201+GREET1_Import_Export!$F201)+B$24*(B$15*(B$8*GREET1_Import_Export!$R72+B$9*GREET1_Import_Export!$M146)+GREET1_Import_Export!$H$200*GREET1_Import_Export!$B201+GREET1_Import_Export!$H201)+B$25*(B$15*(B$5*GREET1_Import_Export!$B72+B$6*GREET1_Import_Export!$M118)+GREET1_Import_Export!$B237)+B$26*(B$15*(B$7*GREET1_Import_Export!$AA72)+GREET1_Import_Export!$C290)+B$27*(GREET1_Import_Export!$D315+GREET1_Import_Export!$E315)</f>
        <v>0</v>
      </c>
      <c r="C47" s="348">
        <f t="shared" ref="C47:C54" si="0">C35*B$15</f>
        <v>0</v>
      </c>
      <c r="D47" s="349">
        <f>D$23*(D$15*(GREET1_Import_Export!$K72)+GREET1_Import_Export!$F$200*GREET1_Import_Export!$B201+GREET1_Import_Export!$F201)+D$24*(D$15*(GREET1_Import_Export!$O72)+GREET1_Import_Export!$G$200*GREET1_Import_Export!$B201+GREET1_Import_Export!$G201)+D$25*(D$15*(GREET1_Import_Export!$B72)+GREET1_Import_Export!$B237)+D$26*(D$15*(GREET1_Import_Export!$AA72)+GREET1_Import_Export!$C290)+D$27*(GREET1_Import_Export!$D315+GREET1_Import_Export!$E315)</f>
        <v>0</v>
      </c>
      <c r="E47" s="349">
        <f t="shared" ref="E47:E54" si="1">E35*D$15</f>
        <v>0</v>
      </c>
      <c r="F47" s="347">
        <f>F$23*(F$15*(GREET1_Import_Export!$K72)+GREET1_Import_Export!$F$200*GREET1_Import_Export!$B201+GREET1_Import_Export!$F201)+F$24*(F$15*(GREET1_Import_Export!$O72)+GREET1_Import_Export!$G$200*GREET1_Import_Export!$B201+GREET1_Import_Export!$G201)+F$25*(F$15*(GREET1_Import_Export!$B72)+GREET1_Import_Export!$B237)+F$26*(F$15*(GREET1_Import_Export!$AA72)+GREET1_Import_Export!$C290)+F$27*(GREET1_Import_Export!$D315+GREET1_Import_Export!$E315)</f>
        <v>0</v>
      </c>
      <c r="G47" s="348">
        <f t="shared" ref="G47:G54" si="2">G35*F$15</f>
        <v>0</v>
      </c>
    </row>
    <row r="48" spans="1:7" s="349" customFormat="1">
      <c r="A48" s="347" t="s">
        <v>822</v>
      </c>
      <c r="B48" s="347">
        <f>B$23*(B$15*(B$4*GREET1_Import_Export!$K73)+GREET1_Import_Export!$F$200*GREET1_Import_Export!$B202+GREET1_Import_Export!$F202)+B$24*(B$15*(B$8*GREET1_Import_Export!$R73+B$9*GREET1_Import_Export!$M147)+GREET1_Import_Export!$H$200*GREET1_Import_Export!$B202+GREET1_Import_Export!$H202)+B$25*(B$15*(B$5*GREET1_Import_Export!$B73+B$6*GREET1_Import_Export!$M119)+GREET1_Import_Export!$B238)+B$26*(B$15*(B$7*GREET1_Import_Export!$AA73)+GREET1_Import_Export!$C291)+B$27*(GREET1_Import_Export!$D316+GREET1_Import_Export!$E316)</f>
        <v>0</v>
      </c>
      <c r="C48" s="348">
        <f t="shared" si="0"/>
        <v>0</v>
      </c>
      <c r="D48" s="349">
        <f>D$23*(D$15*(GREET1_Import_Export!$K73)+GREET1_Import_Export!$F$200*GREET1_Import_Export!$B202+GREET1_Import_Export!$F202)+D$24*(D$15*(GREET1_Import_Export!$O73)+GREET1_Import_Export!$G$200*GREET1_Import_Export!$B202+GREET1_Import_Export!$G202)+D$25*(D$15*(GREET1_Import_Export!$B73)+GREET1_Import_Export!$B238)+D$26*(D$15*(GREET1_Import_Export!$AA73)+GREET1_Import_Export!$C291)+D$27*(GREET1_Import_Export!$D316+GREET1_Import_Export!$E316)</f>
        <v>0</v>
      </c>
      <c r="E48" s="349">
        <f t="shared" si="1"/>
        <v>0</v>
      </c>
      <c r="F48" s="347">
        <f>F$23*(F$15*(GREET1_Import_Export!$K73)+GREET1_Import_Export!$F$200*GREET1_Import_Export!$B202+GREET1_Import_Export!$F202)+F$24*(F$15*(GREET1_Import_Export!$O73)+GREET1_Import_Export!$G$200*GREET1_Import_Export!$B202+GREET1_Import_Export!$G202)+F$25*(F$15*(GREET1_Import_Export!$B73)+GREET1_Import_Export!$B238)+F$26*(F$15*(GREET1_Import_Export!$AA73)+GREET1_Import_Export!$C291)+F$27*(GREET1_Import_Export!$D316+GREET1_Import_Export!$E316)</f>
        <v>0</v>
      </c>
      <c r="G48" s="348">
        <f t="shared" si="2"/>
        <v>0</v>
      </c>
    </row>
    <row r="49" spans="1:8" s="349" customFormat="1">
      <c r="A49" s="347" t="s">
        <v>823</v>
      </c>
      <c r="B49" s="347">
        <f>B$23*(B$15*(B$4*GREET1_Import_Export!$K74)+GREET1_Import_Export!$F$200*GREET1_Import_Export!$B203+GREET1_Import_Export!$F203)+B$24*(B$15*(B$8*GREET1_Import_Export!$R74+B$9*GREET1_Import_Export!$M148)+GREET1_Import_Export!$H$200*GREET1_Import_Export!$B203+GREET1_Import_Export!$H203)+B$25*(B$15*(B$5*GREET1_Import_Export!$B74+B$6*GREET1_Import_Export!$M120)+GREET1_Import_Export!$B239)+B$26*(B$15*(B$7*GREET1_Import_Export!$AA74)+GREET1_Import_Export!$C292)+B$27*(GREET1_Import_Export!$D317+GREET1_Import_Export!$E317)</f>
        <v>0</v>
      </c>
      <c r="C49" s="348">
        <f t="shared" si="0"/>
        <v>0</v>
      </c>
      <c r="D49" s="349">
        <f>D$23*(D$15*(GREET1_Import_Export!$K74)+GREET1_Import_Export!$F$200*GREET1_Import_Export!$B203+GREET1_Import_Export!$F203)+D$24*(D$15*(GREET1_Import_Export!$O74)+GREET1_Import_Export!$G$200*GREET1_Import_Export!$B203+GREET1_Import_Export!$G203)+D$25*(D$15*(GREET1_Import_Export!$B74)+GREET1_Import_Export!$B239)+D$26*(D$15*(GREET1_Import_Export!$AA74)+GREET1_Import_Export!$C292)+D$27*(GREET1_Import_Export!$D317+GREET1_Import_Export!$E317)</f>
        <v>0</v>
      </c>
      <c r="E49" s="349">
        <f t="shared" si="1"/>
        <v>0</v>
      </c>
      <c r="F49" s="347">
        <f>F$23*(F$15*(GREET1_Import_Export!$K74)+GREET1_Import_Export!$F$200*GREET1_Import_Export!$B203+GREET1_Import_Export!$F203)+F$24*(F$15*(GREET1_Import_Export!$O74)+GREET1_Import_Export!$G$200*GREET1_Import_Export!$B203+GREET1_Import_Export!$G203)+F$25*(F$15*(GREET1_Import_Export!$B74)+GREET1_Import_Export!$B239)+F$26*(F$15*(GREET1_Import_Export!$AA74)+GREET1_Import_Export!$C292)+F$27*(GREET1_Import_Export!$D317+GREET1_Import_Export!$E317)</f>
        <v>0</v>
      </c>
      <c r="G49" s="348">
        <f t="shared" si="2"/>
        <v>0</v>
      </c>
    </row>
    <row r="50" spans="1:8" s="349" customFormat="1">
      <c r="A50" s="347" t="s">
        <v>824</v>
      </c>
      <c r="B50" s="347">
        <f>B$23*(B$15*(B$4*GREET1_Import_Export!$K75)+GREET1_Import_Export!$F$200*GREET1_Import_Export!$B204+GREET1_Import_Export!$F204)+B$24*(B$15*(B$8*GREET1_Import_Export!$R75+B$9*GREET1_Import_Export!$M149)+GREET1_Import_Export!$H$200*GREET1_Import_Export!$B204+GREET1_Import_Export!$H204)+B$25*(B$15*(B$5*GREET1_Import_Export!$B75+B$6*GREET1_Import_Export!$M121)+GREET1_Import_Export!$B240)+B$26*(B$15*(B$7*GREET1_Import_Export!$AA75)+GREET1_Import_Export!$C293)+B$27*(GREET1_Import_Export!$D318+GREET1_Import_Export!$E318)</f>
        <v>0</v>
      </c>
      <c r="C50" s="348">
        <f t="shared" si="0"/>
        <v>0</v>
      </c>
      <c r="D50" s="349">
        <f>D$23*(D$15*(GREET1_Import_Export!$K75)+GREET1_Import_Export!$F$200*GREET1_Import_Export!$B204+GREET1_Import_Export!$F204)+D$24*(D$15*(GREET1_Import_Export!$O75)+GREET1_Import_Export!$G$200*GREET1_Import_Export!$B204+GREET1_Import_Export!$G204)+D$25*(D$15*(GREET1_Import_Export!$B75)+GREET1_Import_Export!$B240)+D$26*(D$15*(GREET1_Import_Export!$AA75)+GREET1_Import_Export!$C293)+D$27*(GREET1_Import_Export!$D318+GREET1_Import_Export!$E318)</f>
        <v>0</v>
      </c>
      <c r="E50" s="349">
        <f t="shared" si="1"/>
        <v>0</v>
      </c>
      <c r="F50" s="347">
        <f>F$23*(F$15*(GREET1_Import_Export!$K75)+GREET1_Import_Export!$F$200*GREET1_Import_Export!$B204+GREET1_Import_Export!$F204)+F$24*(F$15*(GREET1_Import_Export!$O75)+GREET1_Import_Export!$G$200*GREET1_Import_Export!$B204+GREET1_Import_Export!$G204)+F$25*(F$15*(GREET1_Import_Export!$B75)+GREET1_Import_Export!$B240)+F$26*(F$15*(GREET1_Import_Export!$AA75)+GREET1_Import_Export!$C293)+F$27*(GREET1_Import_Export!$D318+GREET1_Import_Export!$E318)</f>
        <v>0</v>
      </c>
      <c r="G50" s="348">
        <f t="shared" si="2"/>
        <v>0</v>
      </c>
    </row>
    <row r="51" spans="1:8" s="349" customFormat="1">
      <c r="A51" s="347" t="s">
        <v>825</v>
      </c>
      <c r="B51" s="347">
        <f>B$23*(B$15*(B$4*GREET1_Import_Export!$K76)+GREET1_Import_Export!$F$200*GREET1_Import_Export!$B205+GREET1_Import_Export!$F205)+B$24*(B$15*(B$8*GREET1_Import_Export!$R76+B$9*GREET1_Import_Export!$M150)+GREET1_Import_Export!$H$200*GREET1_Import_Export!$B205+GREET1_Import_Export!$H205)+B$25*(B$15*(B$5*GREET1_Import_Export!$B76+B$6*GREET1_Import_Export!$M122)+GREET1_Import_Export!$B241)+B$26*(B$15*(B$7*GREET1_Import_Export!$AA76)+GREET1_Import_Export!$C294)+B$27*(GREET1_Import_Export!$D319+GREET1_Import_Export!$E319)</f>
        <v>0</v>
      </c>
      <c r="C51" s="348">
        <f t="shared" si="0"/>
        <v>0</v>
      </c>
      <c r="D51" s="349">
        <f>D$23*(D$15*(GREET1_Import_Export!$K76)+GREET1_Import_Export!$F$200*GREET1_Import_Export!$B205+GREET1_Import_Export!$F205)+D$24*(D$15*(GREET1_Import_Export!$O76)+GREET1_Import_Export!$G$200*GREET1_Import_Export!$B205+GREET1_Import_Export!$G205)+D$25*(D$15*(GREET1_Import_Export!$B76)+GREET1_Import_Export!$B241)+D$26*(D$15*(GREET1_Import_Export!$AA76)+GREET1_Import_Export!$C294)+D$27*(GREET1_Import_Export!$D319+GREET1_Import_Export!$E319)</f>
        <v>0</v>
      </c>
      <c r="E51" s="349">
        <f t="shared" si="1"/>
        <v>0</v>
      </c>
      <c r="F51" s="347">
        <f>F$23*(F$15*(GREET1_Import_Export!$K76)+GREET1_Import_Export!$F$200*GREET1_Import_Export!$B205+GREET1_Import_Export!$F205)+F$24*(F$15*(GREET1_Import_Export!$O76)+GREET1_Import_Export!$G$200*GREET1_Import_Export!$B205+GREET1_Import_Export!$G205)+F$25*(F$15*(GREET1_Import_Export!$B76)+GREET1_Import_Export!$B241)+F$26*(F$15*(GREET1_Import_Export!$AA76)+GREET1_Import_Export!$C294)+F$27*(GREET1_Import_Export!$D319+GREET1_Import_Export!$E319)</f>
        <v>0</v>
      </c>
      <c r="G51" s="348">
        <f t="shared" si="2"/>
        <v>0</v>
      </c>
    </row>
    <row r="52" spans="1:8" s="349" customFormat="1">
      <c r="A52" s="347" t="s">
        <v>826</v>
      </c>
      <c r="B52" s="347">
        <f>B$23*(B$15*(B$4*GREET1_Import_Export!$K77)+GREET1_Import_Export!$F$200*GREET1_Import_Export!$B206+GREET1_Import_Export!$F206)+B$24*(B$15*(B$8*GREET1_Import_Export!$R77+B$9*GREET1_Import_Export!$M151)+GREET1_Import_Export!$H$200*GREET1_Import_Export!$B206+GREET1_Import_Export!$H206)+B$25*(B$15*(B$5*GREET1_Import_Export!$B77+B$6*GREET1_Import_Export!$M123)+GREET1_Import_Export!$B242)+B$26*(B$15*(B$7*GREET1_Import_Export!$AA77)+GREET1_Import_Export!$C295)+B$27*(GREET1_Import_Export!$D320+GREET1_Import_Export!$E320)</f>
        <v>0</v>
      </c>
      <c r="C52" s="348">
        <f t="shared" si="0"/>
        <v>0</v>
      </c>
      <c r="D52" s="349">
        <f>D$23*(D$15*(GREET1_Import_Export!$K77)+GREET1_Import_Export!$F$200*GREET1_Import_Export!$B206+GREET1_Import_Export!$F206)+D$24*(D$15*(GREET1_Import_Export!$O77)+GREET1_Import_Export!$G$200*GREET1_Import_Export!$B206+GREET1_Import_Export!$G206)+D$25*(D$15*(GREET1_Import_Export!$B77)+GREET1_Import_Export!$B242)+D$26*(D$15*(GREET1_Import_Export!$AA77)+GREET1_Import_Export!$C295)+D$27*(GREET1_Import_Export!$D320+GREET1_Import_Export!$E320)</f>
        <v>0</v>
      </c>
      <c r="E52" s="349">
        <f t="shared" si="1"/>
        <v>0</v>
      </c>
      <c r="F52" s="347">
        <f>F$23*(F$15*(GREET1_Import_Export!$K77)+GREET1_Import_Export!$F$200*GREET1_Import_Export!$B206+GREET1_Import_Export!$F206)+F$24*(F$15*(GREET1_Import_Export!$O77)+GREET1_Import_Export!$G$200*GREET1_Import_Export!$B206+GREET1_Import_Export!$G206)+F$25*(F$15*(GREET1_Import_Export!$B77)+GREET1_Import_Export!$B242)+F$26*(F$15*(GREET1_Import_Export!$AA77)+GREET1_Import_Export!$C295)+F$27*(GREET1_Import_Export!$D320+GREET1_Import_Export!$E320)</f>
        <v>0</v>
      </c>
      <c r="G52" s="348">
        <f t="shared" si="2"/>
        <v>0</v>
      </c>
    </row>
    <row r="53" spans="1:8" s="349" customFormat="1">
      <c r="A53" s="347" t="s">
        <v>827</v>
      </c>
      <c r="B53" s="347">
        <f>B$23*(B$15*(B$4*GREET1_Import_Export!$K78)+GREET1_Import_Export!$F$200*GREET1_Import_Export!$B207+GREET1_Import_Export!$F207)+B$24*(B$15*(B$8*GREET1_Import_Export!$R78+B$9*GREET1_Import_Export!$M152)+GREET1_Import_Export!$H$200*GREET1_Import_Export!$B207+GREET1_Import_Export!$H207)+B$25*(B$15*(B$5*GREET1_Import_Export!$B78+B$6*GREET1_Import_Export!$M124)+GREET1_Import_Export!$B243)+B$26*(B$15*(B$7*GREET1_Import_Export!$AA78)+GREET1_Import_Export!$C296)+B$27*(GREET1_Import_Export!$D321+GREET1_Import_Export!$E321)</f>
        <v>0</v>
      </c>
      <c r="C53" s="348">
        <f t="shared" si="0"/>
        <v>0</v>
      </c>
      <c r="D53" s="349">
        <f>D$23*(D$15*(GREET1_Import_Export!$K78)+GREET1_Import_Export!$F$200*GREET1_Import_Export!$B207+GREET1_Import_Export!$F207)+D$24*(D$15*(GREET1_Import_Export!$O78)+GREET1_Import_Export!$G$200*GREET1_Import_Export!$B207+GREET1_Import_Export!$G207)+D$25*(D$15*(GREET1_Import_Export!$B78)+GREET1_Import_Export!$B243)+D$26*(D$15*(GREET1_Import_Export!$AA78)+GREET1_Import_Export!$C296)+D$27*(GREET1_Import_Export!$D321+GREET1_Import_Export!$E321)</f>
        <v>0</v>
      </c>
      <c r="E53" s="349">
        <f t="shared" si="1"/>
        <v>0</v>
      </c>
      <c r="F53" s="347">
        <f>F$23*(F$15*(GREET1_Import_Export!$K78)+GREET1_Import_Export!$F$200*GREET1_Import_Export!$B207+GREET1_Import_Export!$F207)+F$24*(F$15*(GREET1_Import_Export!$O78)+GREET1_Import_Export!$G$200*GREET1_Import_Export!$B207+GREET1_Import_Export!$G207)+F$25*(F$15*(GREET1_Import_Export!$B78)+GREET1_Import_Export!$B243)+F$26*(F$15*(GREET1_Import_Export!$AA78)+GREET1_Import_Export!$C296)+F$27*(GREET1_Import_Export!$D321+GREET1_Import_Export!$E321)</f>
        <v>0</v>
      </c>
      <c r="G53" s="348">
        <f t="shared" si="2"/>
        <v>0</v>
      </c>
    </row>
    <row r="54" spans="1:8" s="349" customFormat="1">
      <c r="A54" s="503" t="s">
        <v>828</v>
      </c>
      <c r="B54" s="503">
        <f>B$23*(B$15*(B$4*GREET1_Import_Export!$K79)+GREET1_Import_Export!$F$200*GREET1_Import_Export!$B208+GREET1_Import_Export!$F208)+B$24*(B$15*(B$8*GREET1_Import_Export!$R79+B$9*GREET1_Import_Export!$M153)+GREET1_Import_Export!$H$200*GREET1_Import_Export!$B208+GREET1_Import_Export!$H208)+B$25*(B$15*(B$5*GREET1_Import_Export!$B79+B$6*GREET1_Import_Export!$M125)+GREET1_Import_Export!$B244)+B$26*(B$15*(B$7*GREET1_Import_Export!$AA79)+GREET1_Import_Export!$C297)+B$27*(GREET1_Import_Export!$D322+GREET1_Import_Export!$E322)</f>
        <v>0</v>
      </c>
      <c r="C54" s="502">
        <f t="shared" si="0"/>
        <v>0</v>
      </c>
      <c r="D54" s="505">
        <f>D$23*(D$15*(GREET1_Import_Export!$K79)+GREET1_Import_Export!$F$200*GREET1_Import_Export!$B208+GREET1_Import_Export!$F208)+D$24*(D$15*(GREET1_Import_Export!$O79)+GREET1_Import_Export!$G$200*GREET1_Import_Export!$B208+GREET1_Import_Export!$G208)+D$25*(D$15*(GREET1_Import_Export!$B79)+GREET1_Import_Export!$B244)+D$26*(D$15*(GREET1_Import_Export!$AA79)+GREET1_Import_Export!$C297)+D$27*(GREET1_Import_Export!$D322+GREET1_Import_Export!$E322)</f>
        <v>0</v>
      </c>
      <c r="E54" s="505">
        <f t="shared" si="1"/>
        <v>0</v>
      </c>
      <c r="F54" s="503">
        <f>F$23*(F$15*(GREET1_Import_Export!$K79)+GREET1_Import_Export!$F$200*GREET1_Import_Export!$B208+GREET1_Import_Export!$F208)+F$24*(F$15*(GREET1_Import_Export!$O79)+GREET1_Import_Export!$G$200*GREET1_Import_Export!$B208+GREET1_Import_Export!$G208)+F$25*(F$15*(GREET1_Import_Export!$B79)+GREET1_Import_Export!$B244)+F$26*(F$15*(GREET1_Import_Export!$AA79)+GREET1_Import_Export!$C297)+F$27*(GREET1_Import_Export!$D322+GREET1_Import_Export!$E322)</f>
        <v>0</v>
      </c>
      <c r="G54" s="502">
        <f t="shared" si="2"/>
        <v>0</v>
      </c>
    </row>
    <row r="55" spans="1:8" s="349" customFormat="1"/>
    <row r="56" spans="1:8" s="349" customFormat="1" ht="15">
      <c r="A56" s="602" t="s">
        <v>1225</v>
      </c>
    </row>
    <row r="57" spans="1:8" s="349" customFormat="1" ht="38.25">
      <c r="A57" s="510"/>
      <c r="B57" s="1605" t="s">
        <v>1226</v>
      </c>
      <c r="C57" s="610" t="s">
        <v>563</v>
      </c>
      <c r="D57" s="760" t="s">
        <v>565</v>
      </c>
      <c r="E57" s="3074" t="s">
        <v>1227</v>
      </c>
      <c r="F57" s="3074"/>
      <c r="G57" s="3101" t="s">
        <v>1228</v>
      </c>
      <c r="H57" s="3102"/>
    </row>
    <row r="58" spans="1:8" s="349" customFormat="1">
      <c r="A58" s="699" t="s">
        <v>1029</v>
      </c>
      <c r="B58" s="1605"/>
      <c r="C58" s="610"/>
      <c r="D58" s="760"/>
      <c r="E58" s="673" t="s">
        <v>845</v>
      </c>
      <c r="F58" s="615" t="s">
        <v>846</v>
      </c>
      <c r="G58" s="679" t="s">
        <v>845</v>
      </c>
      <c r="H58" s="673" t="s">
        <v>846</v>
      </c>
    </row>
    <row r="59" spans="1:8" s="349" customFormat="1">
      <c r="A59" s="347" t="s">
        <v>816</v>
      </c>
      <c r="B59" s="347">
        <f>B28</f>
        <v>0</v>
      </c>
      <c r="C59" s="349">
        <f>D28</f>
        <v>0</v>
      </c>
      <c r="D59" s="348">
        <f>F28</f>
        <v>0</v>
      </c>
      <c r="E59" s="348">
        <f>B59+C59</f>
        <v>0</v>
      </c>
      <c r="F59" s="349">
        <f>E59/2000</f>
        <v>0</v>
      </c>
      <c r="G59" s="494">
        <f>D59</f>
        <v>0</v>
      </c>
      <c r="H59" s="348">
        <f>G59/2000</f>
        <v>0</v>
      </c>
    </row>
    <row r="60" spans="1:8" s="349" customFormat="1">
      <c r="A60" s="347" t="s">
        <v>817</v>
      </c>
      <c r="B60" s="347">
        <f>B29</f>
        <v>0</v>
      </c>
      <c r="C60" s="349">
        <f>D29</f>
        <v>0</v>
      </c>
      <c r="D60" s="348">
        <f>F29</f>
        <v>0</v>
      </c>
      <c r="E60" s="348">
        <f>B60+C60</f>
        <v>0</v>
      </c>
      <c r="F60" s="349">
        <f>E60/2000</f>
        <v>0</v>
      </c>
      <c r="G60" s="494">
        <f>D60</f>
        <v>0</v>
      </c>
      <c r="H60" s="348">
        <f>G60/2000</f>
        <v>0</v>
      </c>
    </row>
    <row r="61" spans="1:8" s="349" customFormat="1">
      <c r="A61" s="347" t="s">
        <v>805</v>
      </c>
      <c r="B61" s="347">
        <f>B30</f>
        <v>0</v>
      </c>
      <c r="C61" s="349">
        <f>D30</f>
        <v>0</v>
      </c>
      <c r="D61" s="348">
        <f>F30</f>
        <v>0</v>
      </c>
      <c r="E61" s="348">
        <f>B61+C61</f>
        <v>0</v>
      </c>
      <c r="F61" s="349">
        <f>E61/2000</f>
        <v>0</v>
      </c>
      <c r="G61" s="494">
        <f>D61</f>
        <v>0</v>
      </c>
      <c r="H61" s="348">
        <f>G61/2000</f>
        <v>0</v>
      </c>
    </row>
    <row r="62" spans="1:8" s="349" customFormat="1">
      <c r="A62" s="347" t="s">
        <v>804</v>
      </c>
      <c r="B62" s="347">
        <f t="shared" ref="B62:H62" si="3">B60-B61-B63</f>
        <v>0</v>
      </c>
      <c r="C62" s="349">
        <f t="shared" si="3"/>
        <v>0</v>
      </c>
      <c r="D62" s="348">
        <f t="shared" si="3"/>
        <v>0</v>
      </c>
      <c r="E62" s="348">
        <f t="shared" si="3"/>
        <v>0</v>
      </c>
      <c r="F62" s="349">
        <f t="shared" si="3"/>
        <v>0</v>
      </c>
      <c r="G62" s="494">
        <f t="shared" si="3"/>
        <v>0</v>
      </c>
      <c r="H62" s="348">
        <f t="shared" si="3"/>
        <v>0</v>
      </c>
    </row>
    <row r="63" spans="1:8" s="349" customFormat="1">
      <c r="A63" s="347" t="s">
        <v>818</v>
      </c>
      <c r="B63" s="347">
        <f>B32</f>
        <v>0</v>
      </c>
      <c r="C63" s="349">
        <f>D32</f>
        <v>0</v>
      </c>
      <c r="D63" s="348">
        <f>F32</f>
        <v>0</v>
      </c>
      <c r="E63" s="348">
        <f>B63+C63</f>
        <v>0</v>
      </c>
      <c r="F63" s="349">
        <f>E63/2000</f>
        <v>0</v>
      </c>
      <c r="G63" s="494">
        <f>D63</f>
        <v>0</v>
      </c>
      <c r="H63" s="348">
        <f>G63/2000</f>
        <v>0</v>
      </c>
    </row>
    <row r="64" spans="1:8" s="349" customFormat="1">
      <c r="A64" s="1570" t="s">
        <v>819</v>
      </c>
      <c r="B64" s="1687">
        <f>B33</f>
        <v>0</v>
      </c>
      <c r="C64" s="1505">
        <f>D33</f>
        <v>0</v>
      </c>
      <c r="D64" s="1136">
        <f>F33</f>
        <v>0</v>
      </c>
      <c r="E64" s="1136">
        <f>B64+C64</f>
        <v>0</v>
      </c>
      <c r="F64" s="1571">
        <f>E64/2000</f>
        <v>0</v>
      </c>
      <c r="G64" s="1504">
        <f>D64</f>
        <v>0</v>
      </c>
      <c r="H64" s="1573">
        <f>G64/2000</f>
        <v>0</v>
      </c>
    </row>
    <row r="65" spans="1:8" s="349" customFormat="1">
      <c r="A65" s="699" t="s">
        <v>1030</v>
      </c>
      <c r="B65" s="510"/>
      <c r="C65" s="512"/>
      <c r="D65" s="509"/>
      <c r="E65" s="673" t="s">
        <v>845</v>
      </c>
      <c r="F65" s="615" t="s">
        <v>846</v>
      </c>
      <c r="G65" s="679" t="s">
        <v>845</v>
      </c>
      <c r="H65" s="673" t="s">
        <v>846</v>
      </c>
    </row>
    <row r="66" spans="1:8" s="349" customFormat="1">
      <c r="A66" s="347" t="s">
        <v>821</v>
      </c>
      <c r="B66" s="347">
        <f t="shared" ref="B66:B76" si="4">SUM(B35:C35)</f>
        <v>0</v>
      </c>
      <c r="C66" s="349">
        <f t="shared" ref="C66:C76" si="5">SUM(D35:E35)</f>
        <v>0</v>
      </c>
      <c r="D66" s="348">
        <f t="shared" ref="D66:D76" si="6">SUM(F35:G35)</f>
        <v>0</v>
      </c>
      <c r="E66" s="348">
        <f t="shared" ref="E66:E77" si="7">B66+C66</f>
        <v>0</v>
      </c>
      <c r="F66" s="349">
        <f t="shared" ref="F66:F77" si="8">E66/2000</f>
        <v>0</v>
      </c>
      <c r="G66" s="494">
        <f t="shared" ref="G66:G77" si="9">D66</f>
        <v>0</v>
      </c>
      <c r="H66" s="348">
        <f t="shared" ref="H66:H77" si="10">G66/2000</f>
        <v>0</v>
      </c>
    </row>
    <row r="67" spans="1:8" s="349" customFormat="1">
      <c r="A67" s="347" t="s">
        <v>822</v>
      </c>
      <c r="B67" s="347">
        <f t="shared" si="4"/>
        <v>0</v>
      </c>
      <c r="C67" s="349">
        <f t="shared" si="5"/>
        <v>0</v>
      </c>
      <c r="D67" s="348">
        <f t="shared" si="6"/>
        <v>0</v>
      </c>
      <c r="E67" s="348">
        <f t="shared" si="7"/>
        <v>0</v>
      </c>
      <c r="F67" s="349">
        <f t="shared" si="8"/>
        <v>0</v>
      </c>
      <c r="G67" s="494">
        <f t="shared" si="9"/>
        <v>0</v>
      </c>
      <c r="H67" s="348">
        <f t="shared" si="10"/>
        <v>0</v>
      </c>
    </row>
    <row r="68" spans="1:8" s="349" customFormat="1">
      <c r="A68" s="347" t="s">
        <v>849</v>
      </c>
      <c r="B68" s="347">
        <f t="shared" si="4"/>
        <v>0</v>
      </c>
      <c r="C68" s="349">
        <f t="shared" si="5"/>
        <v>0</v>
      </c>
      <c r="D68" s="348">
        <f t="shared" si="6"/>
        <v>0</v>
      </c>
      <c r="E68" s="348">
        <f t="shared" si="7"/>
        <v>0</v>
      </c>
      <c r="F68" s="349">
        <f t="shared" si="8"/>
        <v>0</v>
      </c>
      <c r="G68" s="494">
        <f t="shared" si="9"/>
        <v>0</v>
      </c>
      <c r="H68" s="348">
        <f t="shared" si="10"/>
        <v>0</v>
      </c>
    </row>
    <row r="69" spans="1:8" s="349" customFormat="1" ht="12" customHeight="1">
      <c r="A69" s="347" t="s">
        <v>824</v>
      </c>
      <c r="B69" s="347">
        <f t="shared" si="4"/>
        <v>0</v>
      </c>
      <c r="C69" s="349">
        <f t="shared" si="5"/>
        <v>0</v>
      </c>
      <c r="D69" s="348">
        <f t="shared" si="6"/>
        <v>0</v>
      </c>
      <c r="E69" s="348">
        <f t="shared" si="7"/>
        <v>0</v>
      </c>
      <c r="F69" s="349">
        <f t="shared" si="8"/>
        <v>0</v>
      </c>
      <c r="G69" s="494">
        <f t="shared" si="9"/>
        <v>0</v>
      </c>
      <c r="H69" s="348">
        <f t="shared" si="10"/>
        <v>0</v>
      </c>
    </row>
    <row r="70" spans="1:8" s="349" customFormat="1">
      <c r="A70" s="347" t="s">
        <v>825</v>
      </c>
      <c r="B70" s="347">
        <f t="shared" si="4"/>
        <v>0</v>
      </c>
      <c r="C70" s="349">
        <f t="shared" si="5"/>
        <v>0</v>
      </c>
      <c r="D70" s="348">
        <f t="shared" si="6"/>
        <v>0</v>
      </c>
      <c r="E70" s="348">
        <f t="shared" si="7"/>
        <v>0</v>
      </c>
      <c r="F70" s="349">
        <f t="shared" si="8"/>
        <v>0</v>
      </c>
      <c r="G70" s="494">
        <f t="shared" si="9"/>
        <v>0</v>
      </c>
      <c r="H70" s="348">
        <f t="shared" si="10"/>
        <v>0</v>
      </c>
    </row>
    <row r="71" spans="1:8" s="349" customFormat="1">
      <c r="A71" s="347" t="s">
        <v>826</v>
      </c>
      <c r="B71" s="347">
        <f t="shared" si="4"/>
        <v>0</v>
      </c>
      <c r="C71" s="349">
        <f t="shared" si="5"/>
        <v>0</v>
      </c>
      <c r="D71" s="348">
        <f t="shared" si="6"/>
        <v>0</v>
      </c>
      <c r="E71" s="348">
        <f t="shared" si="7"/>
        <v>0</v>
      </c>
      <c r="F71" s="349">
        <f t="shared" si="8"/>
        <v>0</v>
      </c>
      <c r="G71" s="494">
        <f t="shared" si="9"/>
        <v>0</v>
      </c>
      <c r="H71" s="348">
        <f t="shared" si="10"/>
        <v>0</v>
      </c>
    </row>
    <row r="72" spans="1:8" s="349" customFormat="1">
      <c r="A72" s="749" t="s">
        <v>827</v>
      </c>
      <c r="B72" s="347">
        <f t="shared" si="4"/>
        <v>0</v>
      </c>
      <c r="C72" s="349">
        <f t="shared" si="5"/>
        <v>0</v>
      </c>
      <c r="D72" s="348">
        <f t="shared" si="6"/>
        <v>0</v>
      </c>
      <c r="E72" s="348">
        <f t="shared" si="7"/>
        <v>0</v>
      </c>
      <c r="F72" s="349">
        <f t="shared" si="8"/>
        <v>0</v>
      </c>
      <c r="G72" s="494">
        <f t="shared" si="9"/>
        <v>0</v>
      </c>
      <c r="H72" s="348">
        <f t="shared" si="10"/>
        <v>0</v>
      </c>
    </row>
    <row r="73" spans="1:8" s="349" customFormat="1">
      <c r="A73" s="749" t="s">
        <v>828</v>
      </c>
      <c r="B73" s="347">
        <f t="shared" si="4"/>
        <v>0</v>
      </c>
      <c r="C73" s="349">
        <f t="shared" si="5"/>
        <v>0</v>
      </c>
      <c r="D73" s="348">
        <f t="shared" si="6"/>
        <v>0</v>
      </c>
      <c r="E73" s="348">
        <f t="shared" si="7"/>
        <v>0</v>
      </c>
      <c r="F73" s="349">
        <f t="shared" si="8"/>
        <v>0</v>
      </c>
      <c r="G73" s="494">
        <f t="shared" si="9"/>
        <v>0</v>
      </c>
      <c r="H73" s="348">
        <f t="shared" si="10"/>
        <v>0</v>
      </c>
    </row>
    <row r="74" spans="1:8" s="349" customFormat="1">
      <c r="A74" s="347" t="s">
        <v>829</v>
      </c>
      <c r="B74" s="347">
        <f t="shared" si="4"/>
        <v>0</v>
      </c>
      <c r="C74" s="349">
        <f t="shared" si="5"/>
        <v>0</v>
      </c>
      <c r="D74" s="348">
        <f t="shared" si="6"/>
        <v>0</v>
      </c>
      <c r="E74" s="348">
        <f t="shared" si="7"/>
        <v>0</v>
      </c>
      <c r="F74" s="349">
        <f t="shared" si="8"/>
        <v>0</v>
      </c>
      <c r="G74" s="494">
        <f t="shared" si="9"/>
        <v>0</v>
      </c>
      <c r="H74" s="348">
        <f t="shared" si="10"/>
        <v>0</v>
      </c>
    </row>
    <row r="75" spans="1:8" s="349" customFormat="1">
      <c r="A75" s="347" t="s">
        <v>830</v>
      </c>
      <c r="B75" s="347">
        <f t="shared" si="4"/>
        <v>0</v>
      </c>
      <c r="C75" s="349">
        <f t="shared" si="5"/>
        <v>0</v>
      </c>
      <c r="D75" s="348">
        <f t="shared" si="6"/>
        <v>0</v>
      </c>
      <c r="E75" s="348">
        <f t="shared" si="7"/>
        <v>0</v>
      </c>
      <c r="F75" s="349">
        <f t="shared" si="8"/>
        <v>0</v>
      </c>
      <c r="G75" s="494">
        <f t="shared" si="9"/>
        <v>0</v>
      </c>
      <c r="H75" s="348">
        <f t="shared" si="10"/>
        <v>0</v>
      </c>
    </row>
    <row r="76" spans="1:8" s="419" customFormat="1">
      <c r="A76" s="517" t="s">
        <v>831</v>
      </c>
      <c r="B76" s="517">
        <f t="shared" si="4"/>
        <v>0</v>
      </c>
      <c r="C76" s="419">
        <f t="shared" si="5"/>
        <v>0</v>
      </c>
      <c r="D76" s="516">
        <f t="shared" si="6"/>
        <v>0</v>
      </c>
      <c r="E76" s="516">
        <f t="shared" si="7"/>
        <v>0</v>
      </c>
      <c r="F76" s="419">
        <f t="shared" si="8"/>
        <v>0</v>
      </c>
      <c r="G76" s="630">
        <f t="shared" si="9"/>
        <v>0</v>
      </c>
      <c r="H76" s="516">
        <f t="shared" si="10"/>
        <v>0</v>
      </c>
    </row>
    <row r="77" spans="1:8" s="419" customFormat="1">
      <c r="A77" s="517" t="s">
        <v>850</v>
      </c>
      <c r="B77" s="517">
        <f>B76+B66*GREET1_Import_Export!$B$62/GREET1_Import_Export!$B$65+B67*GREET1_Import_Export!$B$63/GREET1_Import_Export!$B$65</f>
        <v>0</v>
      </c>
      <c r="C77" s="419">
        <f>C76+C66*GREET1_Import_Export!$B$62/GREET1_Import_Export!$B$65+C67*GREET1_Import_Export!$B$63/GREET1_Import_Export!$B$65</f>
        <v>0</v>
      </c>
      <c r="D77" s="516">
        <f>D76+D66*GREET1_Import_Export!$B$62/GREET1_Import_Export!$B$65+D67*GREET1_Import_Export!$B$63/GREET1_Import_Export!$B$65</f>
        <v>0</v>
      </c>
      <c r="E77" s="516">
        <f t="shared" si="7"/>
        <v>0</v>
      </c>
      <c r="F77" s="419">
        <f t="shared" si="8"/>
        <v>0</v>
      </c>
      <c r="G77" s="630">
        <f t="shared" si="9"/>
        <v>0</v>
      </c>
      <c r="H77" s="516">
        <f t="shared" si="10"/>
        <v>0</v>
      </c>
    </row>
    <row r="78" spans="1:8" s="419" customFormat="1">
      <c r="A78" s="668" t="s">
        <v>851</v>
      </c>
      <c r="B78" s="668">
        <f>B77+SUMPRODUCT(B74:B75,GREET1_Import_Export!$B$51:$B$52)+SUMPRODUCT(B66:B68,GREET1_Import_Export!$B$55:$B$57)+SUMPRODUCT(B72:B73,GREET1_Import_Export!$B$58:$B$59)</f>
        <v>0</v>
      </c>
      <c r="C78" s="374">
        <f>C77+SUMPRODUCT(C74:C75,GREET1_Import_Export!$B$51:$B$52)+SUMPRODUCT(C66:C68,GREET1_Import_Export!$B$55:$B$57)+SUMPRODUCT(C72:C73,GREET1_Import_Export!$B$58:$B$59)</f>
        <v>0</v>
      </c>
      <c r="D78" s="752">
        <f>D77+SUMPRODUCT(D74:D75,GREET1_Import_Export!$B$51:$B$52)+SUMPRODUCT(D66:D68,GREET1_Import_Export!$B$55:$B$57)+SUMPRODUCT(D72:D73,GREET1_Import_Export!$B$58:$B$59)</f>
        <v>0</v>
      </c>
      <c r="E78" s="752">
        <f>E77+SUMPRODUCT(E74:E75,GREET1_Import_Export!$B$51:$B$52)+SUMPRODUCT(E66:E68,GREET1_Import_Export!$B$55:$B$57)+SUMPRODUCT(E72:E73,GREET1_Import_Export!$B$58:$B$59)</f>
        <v>0</v>
      </c>
      <c r="F78" s="374">
        <f>F77+SUMPRODUCT(F74:F75,GREET1_Import_Export!$B$51:$B$52)+SUMPRODUCT(F66:F68,GREET1_Import_Export!$B$55:$B$57)+SUMPRODUCT(F72:F73,GREET1_Import_Export!$B$58:$B$59)</f>
        <v>0</v>
      </c>
      <c r="G78" s="756">
        <f>G77+SUMPRODUCT(G74:G75,GREET1_Import_Export!$B$51:$B$52)+SUMPRODUCT(G66:G68,GREET1_Import_Export!$B$55:$B$57)+SUMPRODUCT(G72:G73,GREET1_Import_Export!$B$58:$B$59)</f>
        <v>0</v>
      </c>
      <c r="H78" s="752">
        <f>H77+SUMPRODUCT(H74:H75,GREET1_Import_Export!$B$51:$B$52)+SUMPRODUCT(H66:H68,GREET1_Import_Export!$B$55:$B$57)+SUMPRODUCT(H72:H73,GREET1_Import_Export!$B$58:$B$59)</f>
        <v>0</v>
      </c>
    </row>
    <row r="79" spans="1:8" s="349" customFormat="1">
      <c r="A79" s="758" t="s">
        <v>1031</v>
      </c>
      <c r="B79" s="347"/>
      <c r="D79" s="348"/>
      <c r="E79" s="710" t="s">
        <v>845</v>
      </c>
      <c r="F79" s="618" t="s">
        <v>846</v>
      </c>
      <c r="G79" s="762" t="s">
        <v>845</v>
      </c>
      <c r="H79" s="710" t="s">
        <v>846</v>
      </c>
    </row>
    <row r="80" spans="1:8" s="349" customFormat="1">
      <c r="A80" s="347" t="s">
        <v>821</v>
      </c>
      <c r="B80" s="347">
        <f t="shared" ref="B80:B87" si="11">SUM(B47:C47)</f>
        <v>0</v>
      </c>
      <c r="C80" s="349">
        <f t="shared" ref="C80:C87" si="12">SUM(D47:E47)</f>
        <v>0</v>
      </c>
      <c r="D80" s="348">
        <f t="shared" ref="D80:D87" si="13">SUM(F47:G47)</f>
        <v>0</v>
      </c>
      <c r="E80" s="348">
        <f t="shared" ref="E80:E87" si="14">B80+C80</f>
        <v>0</v>
      </c>
      <c r="F80" s="349">
        <f t="shared" ref="F80:F87" si="15">E80/2000</f>
        <v>0</v>
      </c>
      <c r="G80" s="494">
        <f t="shared" ref="G80:G87" si="16">D80</f>
        <v>0</v>
      </c>
      <c r="H80" s="348">
        <f t="shared" ref="H80:H87" si="17">G80/2000</f>
        <v>0</v>
      </c>
    </row>
    <row r="81" spans="1:8" s="349" customFormat="1">
      <c r="A81" s="347" t="s">
        <v>822</v>
      </c>
      <c r="B81" s="347">
        <f t="shared" si="11"/>
        <v>0</v>
      </c>
      <c r="C81" s="349">
        <f t="shared" si="12"/>
        <v>0</v>
      </c>
      <c r="D81" s="348">
        <f t="shared" si="13"/>
        <v>0</v>
      </c>
      <c r="E81" s="348">
        <f t="shared" si="14"/>
        <v>0</v>
      </c>
      <c r="F81" s="349">
        <f t="shared" si="15"/>
        <v>0</v>
      </c>
      <c r="G81" s="494">
        <f t="shared" si="16"/>
        <v>0</v>
      </c>
      <c r="H81" s="348">
        <f t="shared" si="17"/>
        <v>0</v>
      </c>
    </row>
    <row r="82" spans="1:8" s="349" customFormat="1">
      <c r="A82" s="347" t="s">
        <v>823</v>
      </c>
      <c r="B82" s="347">
        <f t="shared" si="11"/>
        <v>0</v>
      </c>
      <c r="C82" s="349">
        <f t="shared" si="12"/>
        <v>0</v>
      </c>
      <c r="D82" s="348">
        <f t="shared" si="13"/>
        <v>0</v>
      </c>
      <c r="E82" s="348">
        <f t="shared" si="14"/>
        <v>0</v>
      </c>
      <c r="F82" s="349">
        <f t="shared" si="15"/>
        <v>0</v>
      </c>
      <c r="G82" s="494">
        <f t="shared" si="16"/>
        <v>0</v>
      </c>
      <c r="H82" s="348">
        <f t="shared" si="17"/>
        <v>0</v>
      </c>
    </row>
    <row r="83" spans="1:8" s="349" customFormat="1">
      <c r="A83" s="749" t="s">
        <v>824</v>
      </c>
      <c r="B83" s="347">
        <f t="shared" si="11"/>
        <v>0</v>
      </c>
      <c r="C83" s="349">
        <f t="shared" si="12"/>
        <v>0</v>
      </c>
      <c r="D83" s="348">
        <f t="shared" si="13"/>
        <v>0</v>
      </c>
      <c r="E83" s="348">
        <f t="shared" si="14"/>
        <v>0</v>
      </c>
      <c r="F83" s="349">
        <f t="shared" si="15"/>
        <v>0</v>
      </c>
      <c r="G83" s="494">
        <f t="shared" si="16"/>
        <v>0</v>
      </c>
      <c r="H83" s="348">
        <f t="shared" si="17"/>
        <v>0</v>
      </c>
    </row>
    <row r="84" spans="1:8" s="349" customFormat="1">
      <c r="A84" s="347" t="s">
        <v>825</v>
      </c>
      <c r="B84" s="347">
        <f t="shared" si="11"/>
        <v>0</v>
      </c>
      <c r="C84" s="349">
        <f t="shared" si="12"/>
        <v>0</v>
      </c>
      <c r="D84" s="348">
        <f t="shared" si="13"/>
        <v>0</v>
      </c>
      <c r="E84" s="348">
        <f t="shared" si="14"/>
        <v>0</v>
      </c>
      <c r="F84" s="349">
        <f t="shared" si="15"/>
        <v>0</v>
      </c>
      <c r="G84" s="494">
        <f t="shared" si="16"/>
        <v>0</v>
      </c>
      <c r="H84" s="348">
        <f t="shared" si="17"/>
        <v>0</v>
      </c>
    </row>
    <row r="85" spans="1:8" s="349" customFormat="1">
      <c r="A85" s="749" t="s">
        <v>826</v>
      </c>
      <c r="B85" s="347">
        <f t="shared" si="11"/>
        <v>0</v>
      </c>
      <c r="C85" s="349">
        <f t="shared" si="12"/>
        <v>0</v>
      </c>
      <c r="D85" s="348">
        <f t="shared" si="13"/>
        <v>0</v>
      </c>
      <c r="E85" s="348">
        <f t="shared" si="14"/>
        <v>0</v>
      </c>
      <c r="F85" s="349">
        <f t="shared" si="15"/>
        <v>0</v>
      </c>
      <c r="G85" s="494">
        <f t="shared" si="16"/>
        <v>0</v>
      </c>
      <c r="H85" s="348">
        <f t="shared" si="17"/>
        <v>0</v>
      </c>
    </row>
    <row r="86" spans="1:8" s="349" customFormat="1">
      <c r="A86" s="347" t="s">
        <v>827</v>
      </c>
      <c r="B86" s="347">
        <f t="shared" si="11"/>
        <v>0</v>
      </c>
      <c r="C86" s="349">
        <f t="shared" si="12"/>
        <v>0</v>
      </c>
      <c r="D86" s="348">
        <f t="shared" si="13"/>
        <v>0</v>
      </c>
      <c r="E86" s="348">
        <f t="shared" si="14"/>
        <v>0</v>
      </c>
      <c r="F86" s="349">
        <f t="shared" si="15"/>
        <v>0</v>
      </c>
      <c r="G86" s="494">
        <f t="shared" si="16"/>
        <v>0</v>
      </c>
      <c r="H86" s="348">
        <f t="shared" si="17"/>
        <v>0</v>
      </c>
    </row>
    <row r="87" spans="1:8" s="349" customFormat="1">
      <c r="A87" s="501" t="s">
        <v>828</v>
      </c>
      <c r="B87" s="503">
        <f t="shared" si="11"/>
        <v>0</v>
      </c>
      <c r="C87" s="505">
        <f t="shared" si="12"/>
        <v>0</v>
      </c>
      <c r="D87" s="502">
        <f t="shared" si="13"/>
        <v>0</v>
      </c>
      <c r="E87" s="502">
        <f t="shared" si="14"/>
        <v>0</v>
      </c>
      <c r="F87" s="505">
        <f t="shared" si="15"/>
        <v>0</v>
      </c>
      <c r="G87" s="504">
        <f t="shared" si="16"/>
        <v>0</v>
      </c>
      <c r="H87" s="502">
        <f t="shared" si="17"/>
        <v>0</v>
      </c>
    </row>
  </sheetData>
  <mergeCells count="5">
    <mergeCell ref="B12:C12"/>
    <mergeCell ref="D12:E12"/>
    <mergeCell ref="F12:G12"/>
    <mergeCell ref="G57:H57"/>
    <mergeCell ref="E57:F57"/>
  </mergeCells>
  <phoneticPr fontId="5" type="noConversion"/>
  <pageMargins left="0.75" right="0.75" top="1" bottom="1" header="0.5" footer="0.5"/>
  <pageSetup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H87"/>
  <sheetViews>
    <sheetView showGridLines="0" zoomScale="85" zoomScaleNormal="85" workbookViewId="0"/>
  </sheetViews>
  <sheetFormatPr defaultColWidth="9.140625" defaultRowHeight="12.75"/>
  <cols>
    <col min="1" max="1" width="24.85546875" style="5" customWidth="1"/>
    <col min="2" max="2" width="12.85546875" style="5" bestFit="1" customWidth="1"/>
    <col min="3" max="3" width="10.42578125" style="5" bestFit="1" customWidth="1"/>
    <col min="4" max="4" width="11.85546875" style="5" customWidth="1"/>
    <col min="5" max="5" width="11.42578125" style="5" customWidth="1"/>
    <col min="6" max="6" width="9.85546875" style="5" bestFit="1" customWidth="1"/>
    <col min="7" max="7" width="10.140625" style="5" customWidth="1"/>
    <col min="8" max="8" width="9.42578125" style="5" bestFit="1" customWidth="1"/>
    <col min="9" max="16384" width="9.140625" style="5"/>
  </cols>
  <sheetData>
    <row r="1" spans="1:7" ht="15.75">
      <c r="A1" s="2" t="s">
        <v>1229</v>
      </c>
    </row>
    <row r="2" spans="1:7">
      <c r="A2" s="407"/>
      <c r="B2" s="64"/>
      <c r="C2" s="64"/>
    </row>
    <row r="3" spans="1:7" ht="15">
      <c r="A3" s="75" t="s">
        <v>932</v>
      </c>
      <c r="B3" s="64"/>
      <c r="C3" s="64"/>
    </row>
    <row r="4" spans="1:7">
      <c r="A4" s="393" t="s">
        <v>769</v>
      </c>
      <c r="B4" s="533">
        <v>1</v>
      </c>
    </row>
    <row r="5" spans="1:7">
      <c r="A5" s="230" t="s">
        <v>770</v>
      </c>
      <c r="B5" s="588">
        <v>1</v>
      </c>
    </row>
    <row r="6" spans="1:7">
      <c r="A6" s="160" t="s">
        <v>772</v>
      </c>
      <c r="B6" s="1102">
        <f>1-B5</f>
        <v>0</v>
      </c>
    </row>
    <row r="7" spans="1:7">
      <c r="A7" s="230" t="s">
        <v>773</v>
      </c>
      <c r="B7" s="588">
        <v>1</v>
      </c>
    </row>
    <row r="8" spans="1:7">
      <c r="A8" s="160" t="s">
        <v>782</v>
      </c>
      <c r="B8" s="1102">
        <v>1</v>
      </c>
    </row>
    <row r="9" spans="1:7">
      <c r="A9" s="161" t="s">
        <v>783</v>
      </c>
      <c r="B9" s="949">
        <f>1-B8</f>
        <v>0</v>
      </c>
    </row>
    <row r="11" spans="1:7" ht="15">
      <c r="A11" s="75" t="s">
        <v>933</v>
      </c>
    </row>
    <row r="12" spans="1:7" s="64" customFormat="1" ht="22.5" customHeight="1">
      <c r="A12" s="238"/>
      <c r="B12" s="3060" t="s">
        <v>561</v>
      </c>
      <c r="C12" s="3062"/>
      <c r="D12" s="2983" t="s">
        <v>569</v>
      </c>
      <c r="E12" s="2983"/>
      <c r="F12" s="2982" t="s">
        <v>570</v>
      </c>
      <c r="G12" s="2994"/>
    </row>
    <row r="13" spans="1:7" s="64" customFormat="1" ht="72.75" customHeight="1">
      <c r="A13" s="571"/>
      <c r="B13" s="1673" t="s">
        <v>785</v>
      </c>
      <c r="C13" s="1674" t="s">
        <v>786</v>
      </c>
      <c r="D13" s="1675" t="s">
        <v>785</v>
      </c>
      <c r="E13" s="1675" t="s">
        <v>786</v>
      </c>
      <c r="F13" s="1673" t="s">
        <v>785</v>
      </c>
      <c r="G13" s="1674" t="s">
        <v>786</v>
      </c>
    </row>
    <row r="14" spans="1:7" s="64" customFormat="1" ht="38.25">
      <c r="A14" s="659" t="s">
        <v>797</v>
      </c>
      <c r="B14" s="383">
        <f>Mat_Inputs!B478</f>
        <v>34</v>
      </c>
      <c r="C14" s="395"/>
      <c r="D14" s="377">
        <f>Mat_Inputs!B479</f>
        <v>100</v>
      </c>
      <c r="F14" s="383">
        <f>Mat_Inputs!B480</f>
        <v>0</v>
      </c>
      <c r="G14" s="395"/>
    </row>
    <row r="15" spans="1:7" s="64" customFormat="1">
      <c r="A15" s="571" t="s">
        <v>798</v>
      </c>
      <c r="B15" s="416">
        <v>0</v>
      </c>
      <c r="C15" s="395"/>
      <c r="D15" s="382">
        <v>0</v>
      </c>
      <c r="F15" s="416">
        <v>0</v>
      </c>
      <c r="G15" s="395"/>
    </row>
    <row r="16" spans="1:7" s="64" customFormat="1">
      <c r="A16" s="238" t="s">
        <v>799</v>
      </c>
      <c r="B16" s="393"/>
      <c r="C16" s="394"/>
      <c r="D16" s="392"/>
      <c r="E16" s="392"/>
      <c r="F16" s="393"/>
      <c r="G16" s="394"/>
    </row>
    <row r="17" spans="1:7" s="64" customFormat="1">
      <c r="A17" s="230" t="s">
        <v>800</v>
      </c>
      <c r="B17" s="416">
        <v>0</v>
      </c>
      <c r="C17" s="588"/>
      <c r="D17" s="382">
        <v>0</v>
      </c>
      <c r="E17" s="382"/>
      <c r="F17" s="416">
        <v>0</v>
      </c>
      <c r="G17" s="395"/>
    </row>
    <row r="18" spans="1:7" s="64" customFormat="1">
      <c r="A18" s="230" t="s">
        <v>802</v>
      </c>
      <c r="B18" s="416">
        <v>0</v>
      </c>
      <c r="C18" s="395" t="s">
        <v>861</v>
      </c>
      <c r="D18" s="382">
        <v>0</v>
      </c>
      <c r="E18" s="382"/>
      <c r="F18" s="416">
        <v>0</v>
      </c>
      <c r="G18" s="395"/>
    </row>
    <row r="19" spans="1:7" s="64" customFormat="1">
      <c r="A19" s="230" t="s">
        <v>804</v>
      </c>
      <c r="B19" s="416">
        <v>0</v>
      </c>
      <c r="C19" s="588"/>
      <c r="D19" s="382">
        <v>1</v>
      </c>
      <c r="E19" s="382"/>
      <c r="F19" s="416">
        <v>0</v>
      </c>
      <c r="G19" s="395"/>
    </row>
    <row r="20" spans="1:7" s="64" customFormat="1">
      <c r="A20" s="230" t="s">
        <v>805</v>
      </c>
      <c r="B20" s="416">
        <v>0</v>
      </c>
      <c r="C20" s="588"/>
      <c r="D20" s="382">
        <v>0</v>
      </c>
      <c r="E20" s="382"/>
      <c r="F20" s="416">
        <v>0</v>
      </c>
      <c r="G20" s="395"/>
    </row>
    <row r="21" spans="1:7" s="64" customFormat="1">
      <c r="A21" s="589" t="s">
        <v>806</v>
      </c>
      <c r="B21" s="664">
        <f>1-SUM(B17:B20)</f>
        <v>1</v>
      </c>
      <c r="C21" s="428"/>
      <c r="D21" s="368">
        <f>1-SUM(D17:D20)</f>
        <v>0</v>
      </c>
      <c r="E21" s="368"/>
      <c r="F21" s="664">
        <f>1-SUM(F17:F20)</f>
        <v>1</v>
      </c>
      <c r="G21" s="707"/>
    </row>
    <row r="22" spans="1:7" s="64" customFormat="1">
      <c r="A22" s="571" t="s">
        <v>862</v>
      </c>
      <c r="B22" s="230"/>
      <c r="C22" s="395"/>
      <c r="F22" s="230"/>
      <c r="G22" s="395"/>
    </row>
    <row r="23" spans="1:7" s="349" customFormat="1">
      <c r="A23" s="347" t="s">
        <v>800</v>
      </c>
      <c r="B23" s="390">
        <f>B$14*B17</f>
        <v>0</v>
      </c>
      <c r="C23" s="348"/>
      <c r="D23" s="389">
        <f>D$14*D17</f>
        <v>0</v>
      </c>
      <c r="F23" s="390">
        <f>F$14*F17</f>
        <v>0</v>
      </c>
      <c r="G23" s="348"/>
    </row>
    <row r="24" spans="1:7" s="349" customFormat="1">
      <c r="A24" s="347" t="s">
        <v>802</v>
      </c>
      <c r="B24" s="390">
        <f>B$14*B18</f>
        <v>0</v>
      </c>
      <c r="C24" s="348"/>
      <c r="D24" s="389">
        <f>D$14*D18</f>
        <v>0</v>
      </c>
      <c r="F24" s="390">
        <f>F$14*F18</f>
        <v>0</v>
      </c>
      <c r="G24" s="348"/>
    </row>
    <row r="25" spans="1:7" s="349" customFormat="1">
      <c r="A25" s="347" t="s">
        <v>804</v>
      </c>
      <c r="B25" s="390">
        <f>B$14*B19</f>
        <v>0</v>
      </c>
      <c r="C25" s="348"/>
      <c r="D25" s="389">
        <f>D$14*D19</f>
        <v>100</v>
      </c>
      <c r="F25" s="390">
        <f>F$14*F19</f>
        <v>0</v>
      </c>
      <c r="G25" s="348"/>
    </row>
    <row r="26" spans="1:7" s="349" customFormat="1">
      <c r="A26" s="347" t="s">
        <v>805</v>
      </c>
      <c r="B26" s="390">
        <f>B$14*B20</f>
        <v>0</v>
      </c>
      <c r="C26" s="348"/>
      <c r="D26" s="389">
        <f>D$14*D20</f>
        <v>0</v>
      </c>
      <c r="F26" s="390">
        <f>F$14*F20</f>
        <v>0</v>
      </c>
      <c r="G26" s="348"/>
    </row>
    <row r="27" spans="1:7" s="349" customFormat="1">
      <c r="A27" s="347" t="s">
        <v>806</v>
      </c>
      <c r="B27" s="390">
        <f>B$14*B21</f>
        <v>34</v>
      </c>
      <c r="C27" s="348"/>
      <c r="D27" s="389">
        <f>D$14*D21</f>
        <v>0</v>
      </c>
      <c r="F27" s="390">
        <f>F$14*F21</f>
        <v>0</v>
      </c>
      <c r="G27" s="348"/>
    </row>
    <row r="28" spans="1:7" s="349" customFormat="1">
      <c r="A28" s="510" t="s">
        <v>816</v>
      </c>
      <c r="B28" s="510">
        <f>B$23*(1+(GREET1_Import_Export!$F$179*GREET1_Import_Export!$B180+GREET1_Import_Export!$F180)/1000000)+B$24*(1+(GREET1_Import_Export!$H$179*GREET1_Import_Export!$B180+GREET1_Import_Export!$H180)/1000000)+B$25*(1+GREET1_Import_Export!$B216/1000000)+B$26*(1+GREET1_Import_Export!$B284/1000000)+B$27*(GREET1_Import_Export!$B309+GREET1_Import_Export!$C309)/1000000</f>
        <v>68.953878951522881</v>
      </c>
      <c r="C28" s="509"/>
      <c r="D28" s="512">
        <f>D$23*(1+(GREET1_Import_Export!$F$179*GREET1_Import_Export!$B180+GREET1_Import_Export!$F180)/1000000)+D$24*(1+(GREET1_Import_Export!$G$179*GREET1_Import_Export!$B180+GREET1_Import_Export!$G180)/1000000)+D$25*(1+GREET1_Import_Export!$B216/1000000)+D$26*(1+GREET1_Import_Export!$B284/1000000)+D$27*(GREET1_Import_Export!$B309+GREET1_Import_Export!$C309)/1000000</f>
        <v>110.42561663785757</v>
      </c>
      <c r="E28" s="512"/>
      <c r="F28" s="510">
        <f>F$23*(1+(GREET1_Import_Export!$F$179*GREET1_Import_Export!$B180+GREET1_Import_Export!$F180)/1000000)+F$24*(1+(GREET1_Import_Export!$G$179*GREET1_Import_Export!$B180+GREET1_Import_Export!$G180)/1000000)+F$25*(1+GREET1_Import_Export!$B216/1000000)+F$26*(1+GREET1_Import_Export!$B284/1000000)+F$27*(GREET1_Import_Export!$B309+GREET1_Import_Export!$C309)/1000000</f>
        <v>0</v>
      </c>
      <c r="G28" s="509"/>
    </row>
    <row r="29" spans="1:7" s="349" customFormat="1">
      <c r="A29" s="347" t="s">
        <v>817</v>
      </c>
      <c r="B29" s="347">
        <f>B$23*(1+(GREET1_Import_Export!$F$179*GREET1_Import_Export!$B181+GREET1_Import_Export!$F181)/1000000)+B$24*(1+(GREET1_Import_Export!$H$179*GREET1_Import_Export!$B181+GREET1_Import_Export!$H181)/1000000)+B$25*(1+GREET1_Import_Export!$B217/1000000)+B$26*(1+GREET1_Import_Export!$B285/1000000)+B$27*(GREET1_Import_Export!$B310+GREET1_Import_Export!$C310)/1000000</f>
        <v>54.61246309221648</v>
      </c>
      <c r="C29" s="348"/>
      <c r="D29" s="349">
        <f>D$23*(1+(GREET1_Import_Export!$F$179*GREET1_Import_Export!$B181+GREET1_Import_Export!$F181)/1000000)+D$24*(1+(GREET1_Import_Export!$G$179*GREET1_Import_Export!$B181+GREET1_Import_Export!$G181)/1000000)+D$25*(1+GREET1_Import_Export!$B217/1000000)+D$26*(1+GREET1_Import_Export!$B285/1000000)+D$27*(GREET1_Import_Export!$B310+GREET1_Import_Export!$C310)/1000000</f>
        <v>110.35095906507438</v>
      </c>
      <c r="F29" s="347">
        <f>F$23*(1+(GREET1_Import_Export!$F$179*GREET1_Import_Export!$B181+GREET1_Import_Export!$F181)/1000000)+F$24*(1+(GREET1_Import_Export!$G$179*GREET1_Import_Export!$B181+GREET1_Import_Export!$G181)/1000000)+F$25*(1+GREET1_Import_Export!$B217/1000000)+F$26*(1+GREET1_Import_Export!$B285/1000000)+F$27*(GREET1_Import_Export!$B310+GREET1_Import_Export!$C310)/1000000</f>
        <v>0</v>
      </c>
      <c r="G29" s="348"/>
    </row>
    <row r="30" spans="1:7" s="349" customFormat="1">
      <c r="A30" s="347" t="s">
        <v>805</v>
      </c>
      <c r="B30" s="347">
        <f>B$23*(GREET1_Import_Export!$F$179*GREET1_Import_Export!$B182+GREET1_Import_Export!$F182)/1000000+B$24*(GREET1_Import_Export!$H$179*GREET1_Import_Export!$B182+GREET1_Import_Export!$H182)/1000000+B$25*GREET1_Import_Export!$B218/1000000+B$26*(1+GREET1_Import_Export!$B286/1000000)+B$27*(GREET1_Import_Export!$B311+GREET1_Import_Export!$C311)/1000000</f>
        <v>18.958255026716365</v>
      </c>
      <c r="C30" s="348"/>
      <c r="D30" s="349">
        <f>D$23*(GREET1_Import_Export!$F$179*GREET1_Import_Export!$B182+GREET1_Import_Export!$F182)/1000000+D$24*(GREET1_Import_Export!$G$179*GREET1_Import_Export!$B182+GREET1_Import_Export!$G182)/1000000+D$25*GREET1_Import_Export!$B218/1000000+D$26*(1+GREET1_Import_Export!$B286/1000000)+D$27*(GREET1_Import_Export!$B311+GREET1_Import_Export!$C311)/1000000</f>
        <v>9.8578131152850385E-2</v>
      </c>
      <c r="F30" s="347">
        <f>F$23*(GREET1_Import_Export!$F$179*GREET1_Import_Export!$B182+GREET1_Import_Export!$F182)/1000000+F$24*(GREET1_Import_Export!$G$179*GREET1_Import_Export!$B182+GREET1_Import_Export!$G182)/1000000+F$25*GREET1_Import_Export!$B218/1000000+F$26*(1+GREET1_Import_Export!$B286/1000000)+F$27*(GREET1_Import_Export!$B311+GREET1_Import_Export!$C311)/1000000</f>
        <v>0</v>
      </c>
      <c r="G30" s="348"/>
    </row>
    <row r="31" spans="1:7" s="349" customFormat="1">
      <c r="A31" s="347" t="s">
        <v>804</v>
      </c>
      <c r="B31" s="347">
        <f>B29-B30-B32</f>
        <v>35.061105686937736</v>
      </c>
      <c r="C31" s="348"/>
      <c r="D31" s="349">
        <f>D29-D30-D32</f>
        <v>109.85095560495022</v>
      </c>
      <c r="F31" s="347">
        <f>F29-F30-F32</f>
        <v>0</v>
      </c>
      <c r="G31" s="348"/>
    </row>
    <row r="32" spans="1:7" s="349" customFormat="1">
      <c r="A32" s="347" t="s">
        <v>818</v>
      </c>
      <c r="B32" s="347">
        <f>B$23*(1+(GREET1_Import_Export!$F$179*GREET1_Import_Export!$B184+GREET1_Import_Export!$F184)/1000000)+B$24*(1+(GREET1_Import_Export!$H$179*GREET1_Import_Export!$B184+GREET1_Import_Export!$H184)/1000000)+B$25*GREET1_Import_Export!$B220/1000000+B$26*GREET1_Import_Export!$B288/1000000+B$27*(GREET1_Import_Export!$B313+GREET1_Import_Export!$C313)/1000000</f>
        <v>0.59310237856238002</v>
      </c>
      <c r="C32" s="348"/>
      <c r="D32" s="349">
        <f>D$23*(1+(GREET1_Import_Export!$F$179*GREET1_Import_Export!$B184+GREET1_Import_Export!$F184)/1000000)+D$24*(1+(GREET1_Import_Export!$G$179*GREET1_Import_Export!$B184+GREET1_Import_Export!$G184)/1000000)+D$25*GREET1_Import_Export!$B220/1000000+D$26*GREET1_Import_Export!$B288/1000000+D$27*(GREET1_Import_Export!$B313+GREET1_Import_Export!$C313)/1000000</f>
        <v>0.40142532897131938</v>
      </c>
      <c r="F32" s="347">
        <f>F$23*(1+(GREET1_Import_Export!$F$179*GREET1_Import_Export!$B184+GREET1_Import_Export!$F184)/1000000)+F$24*(1+(GREET1_Import_Export!$G$179*GREET1_Import_Export!$B184+GREET1_Import_Export!$G184)/1000000)+F$25*GREET1_Import_Export!$B220/1000000+F$26*GREET1_Import_Export!$B288/1000000+F$27*(GREET1_Import_Export!$B313+GREET1_Import_Export!$C313)/1000000</f>
        <v>0</v>
      </c>
      <c r="G32" s="348"/>
    </row>
    <row r="33" spans="1:7" s="419" customFormat="1">
      <c r="A33" s="650" t="s">
        <v>819</v>
      </c>
      <c r="B33" s="650">
        <f>B$23*((GREET1_Import_Export!$F$179*GREET1_Import_Export!$B185+GREET1_Import_Export!$F185))+B$24*((GREET1_Import_Export!$H$179*GREET1_Import_Export!$B185+GREET1_Import_Export!$H185))+B$25*GREET1_Import_Export!$B221+B$26*GREET1_Import_Export!$B289+B$27*(GREET1_Import_Export!$B314+GREET1_Import_Export!$C314)</f>
        <v>3695.3026471924131</v>
      </c>
      <c r="C33" s="752"/>
      <c r="D33" s="158">
        <f>D$23*((GREET1_Import_Export!$F$179*GREET1_Import_Export!$B185+GREET1_Import_Export!$F185))+D$24*((GREET1_Import_Export!$G$179*GREET1_Import_Export!$B185+GREET1_Import_Export!$G185))+D$25*GREET1_Import_Export!$B221+D$26*GREET1_Import_Export!$B289+D$27*(GREET1_Import_Export!$B314+GREET1_Import_Export!$C314)</f>
        <v>308.2010158389092</v>
      </c>
      <c r="E33" s="374"/>
      <c r="F33" s="250">
        <f>F$23*((GREET1_Import_Export!$F$179*GREET1_Import_Export!$B185+GREET1_Import_Export!$F185))+F$24*((GREET1_Import_Export!$G$179*GREET1_Import_Export!$B185+GREET1_Import_Export!$G185))+F$25*GREET1_Import_Export!$B221+F$26*GREET1_Import_Export!$B289+F$27*(GREET1_Import_Export!$B314+GREET1_Import_Export!$C314)</f>
        <v>0</v>
      </c>
      <c r="G33" s="752"/>
    </row>
    <row r="34" spans="1:7" s="349" customFormat="1">
      <c r="A34" s="699" t="s">
        <v>864</v>
      </c>
      <c r="B34" s="510"/>
      <c r="C34" s="509"/>
      <c r="D34" s="512"/>
      <c r="E34" s="512"/>
      <c r="F34" s="510"/>
      <c r="G34" s="509"/>
    </row>
    <row r="35" spans="1:7" s="349" customFormat="1">
      <c r="A35" s="347" t="s">
        <v>821</v>
      </c>
      <c r="B35" s="347">
        <f>B$23*(B$4*GREET1_Import_Export!$K72+GREET1_Import_Export!$F$179*GREET1_Import_Export!$B186+GREET1_Import_Export!$F186)+B$24*(B$8*GREET1_Import_Export!$R72+B$9*GREET1_Import_Export!$N146+GREET1_Import_Export!$H$179*GREET1_Import_Export!$B186+GREET1_Import_Export!$H186)+B$25*(B$5*GREET1_Import_Export!$B72+B$6*GREET1_Import_Export!$N118+GREET1_Import_Export!$B222)+B$26*(B$7*GREET1_Import_Export!$AA72+GREET1_Import_Export!$B290)+B$27*(GREET1_Import_Export!$B315+GREET1_Import_Export!$C315)</f>
        <v>471.13353135670366</v>
      </c>
      <c r="C35" s="348"/>
      <c r="D35" s="349">
        <f>D$23*(GREET1_Import_Export!$K72+GREET1_Import_Export!$F$179*GREET1_Import_Export!$B186+GREET1_Import_Export!$F186)+D$24*(GREET1_Import_Export!$O72+GREET1_Import_Export!$G$179*GREET1_Import_Export!$B186+GREET1_Import_Export!$G186)+D$25*(GREET1_Import_Export!$B72+GREET1_Import_Export!$B222)+D$26*(GREET1_Import_Export!$AA72+GREET1_Import_Export!$B290)+D$27*(GREET1_Import_Export!$B315+GREET1_Import_Export!$C315)</f>
        <v>1282.6863782994383</v>
      </c>
      <c r="F35" s="347">
        <f>F$23*(GREET1_Import_Export!$K72+GREET1_Import_Export!$F$179*GREET1_Import_Export!$B186+GREET1_Import_Export!$F186)+F$24*(GREET1_Import_Export!$O72+GREET1_Import_Export!$G$179*GREET1_Import_Export!$B186+GREET1_Import_Export!$G186)+F$25*(GREET1_Import_Export!$B72+GREET1_Import_Export!$B222)+F$26*(GREET1_Import_Export!$AA72+GREET1_Import_Export!$B290)+F$27*(GREET1_Import_Export!$B315+GREET1_Import_Export!$C315)</f>
        <v>0</v>
      </c>
      <c r="G35" s="348"/>
    </row>
    <row r="36" spans="1:7" s="349" customFormat="1">
      <c r="A36" s="347" t="s">
        <v>822</v>
      </c>
      <c r="B36" s="347">
        <f>B$23*(B$4*GREET1_Import_Export!$K73+GREET1_Import_Export!$F$179*GREET1_Import_Export!$B187+GREET1_Import_Export!$F187)+B$24*(B$8*GREET1_Import_Export!$R73+B$9*GREET1_Import_Export!$N147+GREET1_Import_Export!$H$179*GREET1_Import_Export!$B187+GREET1_Import_Export!$H187)+B$25*(B$5*GREET1_Import_Export!$B73+B$6*GREET1_Import_Export!$N119+GREET1_Import_Export!$B223)+B$26*(B$7*GREET1_Import_Export!$AA73+GREET1_Import_Export!$B291)+B$27*(GREET1_Import_Export!$B316+GREET1_Import_Export!$C316)</f>
        <v>1273.4688993978179</v>
      </c>
      <c r="C36" s="348"/>
      <c r="D36" s="349">
        <f>D$23*(GREET1_Import_Export!$K73+GREET1_Import_Export!$F$179*GREET1_Import_Export!$B187+GREET1_Import_Export!$F187)+D$24*(GREET1_Import_Export!$O73+GREET1_Import_Export!$G$179*GREET1_Import_Export!$B187+GREET1_Import_Export!$G187)+D$25*(GREET1_Import_Export!$B73+GREET1_Import_Export!$B223)+D$26*(GREET1_Import_Export!$AA73+GREET1_Import_Export!$B291)+D$27*(GREET1_Import_Export!$B316+GREET1_Import_Export!$C316)</f>
        <v>5345.5883768795611</v>
      </c>
      <c r="E36" s="338">
        <v>4.47</v>
      </c>
      <c r="F36" s="347">
        <f>F$23*(GREET1_Import_Export!$K73+GREET1_Import_Export!$F$179*GREET1_Import_Export!$B187+GREET1_Import_Export!$F187)+F$24*(GREET1_Import_Export!$O73+GREET1_Import_Export!$G$179*GREET1_Import_Export!$B187+GREET1_Import_Export!$G187)+F$25*(GREET1_Import_Export!$B73+GREET1_Import_Export!$B223)+F$26*(GREET1_Import_Export!$AA73+GREET1_Import_Export!$B291)+F$27*(GREET1_Import_Export!$B316+GREET1_Import_Export!$C316)</f>
        <v>0</v>
      </c>
      <c r="G36" s="348"/>
    </row>
    <row r="37" spans="1:7" s="349" customFormat="1">
      <c r="A37" s="347" t="s">
        <v>823</v>
      </c>
      <c r="B37" s="347">
        <f>B$23*(B$4*GREET1_Import_Export!$K74+GREET1_Import_Export!$F$179*GREET1_Import_Export!$B188+GREET1_Import_Export!$F188)+B$24*(B$8*GREET1_Import_Export!$R74+B$9*GREET1_Import_Export!$N148+GREET1_Import_Export!$H$179*GREET1_Import_Export!$B188+GREET1_Import_Export!$H188)+B$25*(B$5*GREET1_Import_Export!$B74+B$6*GREET1_Import_Export!$N120+GREET1_Import_Export!$B224)+B$26*(B$7*GREET1_Import_Export!$AA74+GREET1_Import_Export!$B292)+B$27*(GREET1_Import_Export!$B317+GREET1_Import_Export!$C317)</f>
        <v>2623.4250776069161</v>
      </c>
      <c r="C37" s="348"/>
      <c r="D37" s="349">
        <f>D$23*(GREET1_Import_Export!$K74+GREET1_Import_Export!$F$179*GREET1_Import_Export!$B188+GREET1_Import_Export!$F188)+D$24*(GREET1_Import_Export!$O74+GREET1_Import_Export!$G$179*GREET1_Import_Export!$B188+GREET1_Import_Export!$G188)+D$25*(GREET1_Import_Export!$B74+GREET1_Import_Export!$B224)+D$26*(GREET1_Import_Export!$AA74+GREET1_Import_Export!$B292)+D$27*(GREET1_Import_Export!$B317+GREET1_Import_Export!$C317)</f>
        <v>7266.9984486244957</v>
      </c>
      <c r="E37" s="338">
        <v>1.22</v>
      </c>
      <c r="F37" s="347">
        <f>F$23*(GREET1_Import_Export!$K74+GREET1_Import_Export!$F$179*GREET1_Import_Export!$B188+GREET1_Import_Export!$F188)+F$24*(GREET1_Import_Export!$O74+GREET1_Import_Export!$G$179*GREET1_Import_Export!$B188+GREET1_Import_Export!$G188)+F$25*(GREET1_Import_Export!$B74+GREET1_Import_Export!$B224)+F$26*(GREET1_Import_Export!$AA74+GREET1_Import_Export!$B292)+F$27*(GREET1_Import_Export!$B317+GREET1_Import_Export!$C317)</f>
        <v>0</v>
      </c>
      <c r="G37" s="348"/>
    </row>
    <row r="38" spans="1:7" s="349" customFormat="1">
      <c r="A38" s="498" t="s">
        <v>824</v>
      </c>
      <c r="B38" s="347">
        <f>B$23*(B$4*GREET1_Import_Export!$K75+GREET1_Import_Export!$F$179*GREET1_Import_Export!$B189+GREET1_Import_Export!$F189)+B$24*(B$8*GREET1_Import_Export!$R75+B$9*GREET1_Import_Export!$N149+GREET1_Import_Export!$H$179*GREET1_Import_Export!$B189+GREET1_Import_Export!$H189)+B$25*(B$5*GREET1_Import_Export!$B75+B$6*GREET1_Import_Export!$N121+GREET1_Import_Export!$B225)+B$26*(B$7*GREET1_Import_Export!$AA75+GREET1_Import_Export!$B293)+B$27*(GREET1_Import_Export!$B318+GREET1_Import_Export!$C318)</f>
        <v>419.94809934303316</v>
      </c>
      <c r="C38" s="348"/>
      <c r="D38" s="349">
        <f>D$23*(GREET1_Import_Export!$K75+GREET1_Import_Export!$F$179*GREET1_Import_Export!$B189+GREET1_Import_Export!$F189)+D$24*(GREET1_Import_Export!$O75+GREET1_Import_Export!$G$179*GREET1_Import_Export!$B189+GREET1_Import_Export!$G189)+D$25*(GREET1_Import_Export!$B75+GREET1_Import_Export!$B225)+D$26*(GREET1_Import_Export!$AA75+GREET1_Import_Export!$B293)+D$27*(GREET1_Import_Export!$B318+GREET1_Import_Export!$C318)</f>
        <v>392.70475861025449</v>
      </c>
      <c r="E38" s="338">
        <v>6.74</v>
      </c>
      <c r="F38" s="347">
        <f>F$23*(GREET1_Import_Export!$K75+GREET1_Import_Export!$F$179*GREET1_Import_Export!$B189+GREET1_Import_Export!$F189)+F$24*(GREET1_Import_Export!$O75+GREET1_Import_Export!$G$179*GREET1_Import_Export!$B189+GREET1_Import_Export!$G189)+F$25*(GREET1_Import_Export!$B75+GREET1_Import_Export!$B225)+F$26*(GREET1_Import_Export!$AA75+GREET1_Import_Export!$B293)+F$27*(GREET1_Import_Export!$B318+GREET1_Import_Export!$C318)</f>
        <v>0</v>
      </c>
      <c r="G38" s="348"/>
    </row>
    <row r="39" spans="1:7" s="349" customFormat="1">
      <c r="A39" s="347" t="s">
        <v>825</v>
      </c>
      <c r="B39" s="347">
        <f>B$23*(B$4*GREET1_Import_Export!$K76+GREET1_Import_Export!$F$179*GREET1_Import_Export!$B190+GREET1_Import_Export!$F190)+B$24*(B$8*GREET1_Import_Export!$R76+B$9*GREET1_Import_Export!$N150+GREET1_Import_Export!$H$179*GREET1_Import_Export!$B190+GREET1_Import_Export!$H190)+B$25*(B$5*GREET1_Import_Export!$B76+B$6*GREET1_Import_Export!$N122+GREET1_Import_Export!$B226)+B$26*(B$7*GREET1_Import_Export!$AA76+GREET1_Import_Export!$B294)+B$27*(GREET1_Import_Export!$B319+GREET1_Import_Export!$C319)</f>
        <v>252.08204551247135</v>
      </c>
      <c r="C39" s="348"/>
      <c r="D39" s="349">
        <f>D$23*(GREET1_Import_Export!$K76+GREET1_Import_Export!$F$179*GREET1_Import_Export!$B190+GREET1_Import_Export!$F190)+D$24*(GREET1_Import_Export!$O76+GREET1_Import_Export!$G$179*GREET1_Import_Export!$B190+GREET1_Import_Export!$G190)+D$25*(GREET1_Import_Export!$B76+GREET1_Import_Export!$B226)+D$26*(GREET1_Import_Export!$AA76+GREET1_Import_Export!$B294)+D$27*(GREET1_Import_Export!$B319+GREET1_Import_Export!$C319)</f>
        <v>388.56979948132107</v>
      </c>
      <c r="E39" s="349">
        <f>E38/2</f>
        <v>3.37</v>
      </c>
      <c r="F39" s="347">
        <f>F$23*(GREET1_Import_Export!$K76+GREET1_Import_Export!$F$179*GREET1_Import_Export!$B190+GREET1_Import_Export!$F190)+F$24*(GREET1_Import_Export!$O76+GREET1_Import_Export!$G$179*GREET1_Import_Export!$B190+GREET1_Import_Export!$G190)+F$25*(GREET1_Import_Export!$B76+GREET1_Import_Export!$B226)+F$26*(GREET1_Import_Export!$AA76+GREET1_Import_Export!$B294)+F$27*(GREET1_Import_Export!$B319+GREET1_Import_Export!$C319)</f>
        <v>0</v>
      </c>
      <c r="G39" s="348"/>
    </row>
    <row r="40" spans="1:7" s="349" customFormat="1">
      <c r="A40" s="347" t="s">
        <v>826</v>
      </c>
      <c r="B40" s="347">
        <f>B$23*(B$4*GREET1_Import_Export!$K77+GREET1_Import_Export!$F$179*GREET1_Import_Export!$B191+GREET1_Import_Export!$F191)+B$24*(B$8*GREET1_Import_Export!$R77+B$9*GREET1_Import_Export!$N151+GREET1_Import_Export!$H$179*GREET1_Import_Export!$B191+GREET1_Import_Export!$H191)+B$25*(B$5*GREET1_Import_Export!$B77+B$6*GREET1_Import_Export!$N123+GREET1_Import_Export!$B227)+B$26*(B$7*GREET1_Import_Export!$AA77+GREET1_Import_Export!$B295)+B$27*(GREET1_Import_Export!$B320+GREET1_Import_Export!$C320)</f>
        <v>2202.7271833112882</v>
      </c>
      <c r="C40" s="348"/>
      <c r="D40" s="349">
        <f>D$23*(GREET1_Import_Export!$K77+GREET1_Import_Export!$F$179*GREET1_Import_Export!$B191+GREET1_Import_Export!$F191)+D$24*(GREET1_Import_Export!$O77+GREET1_Import_Export!$G$179*GREET1_Import_Export!$B191+GREET1_Import_Export!$G191)+D$25*(GREET1_Import_Export!$B77+GREET1_Import_Export!$B227)+D$26*(GREET1_Import_Export!$AA77+GREET1_Import_Export!$B295)+D$27*(GREET1_Import_Export!$B320+GREET1_Import_Export!$C320)</f>
        <v>1136.895078278176</v>
      </c>
      <c r="E40" s="338">
        <v>0.67</v>
      </c>
      <c r="F40" s="347">
        <f>F$23*(GREET1_Import_Export!$K77+GREET1_Import_Export!$F$179*GREET1_Import_Export!$B191+GREET1_Import_Export!$F191)+F$24*(GREET1_Import_Export!$O77+GREET1_Import_Export!$G$179*GREET1_Import_Export!$B191+GREET1_Import_Export!$G191)+F$25*(GREET1_Import_Export!$B77+GREET1_Import_Export!$B227)+F$26*(GREET1_Import_Export!$AA77+GREET1_Import_Export!$B295)+F$27*(GREET1_Import_Export!$B320+GREET1_Import_Export!$C320)</f>
        <v>0</v>
      </c>
      <c r="G40" s="348"/>
    </row>
    <row r="41" spans="1:7" s="349" customFormat="1">
      <c r="A41" s="749" t="s">
        <v>827</v>
      </c>
      <c r="B41" s="347">
        <f>B$23*(B$4*GREET1_Import_Export!$K78+GREET1_Import_Export!$F$179*GREET1_Import_Export!$B192+GREET1_Import_Export!$F192)+B$24*(B$8*GREET1_Import_Export!$R78+B$9*GREET1_Import_Export!$N152+GREET1_Import_Export!$H$179*GREET1_Import_Export!$B192+GREET1_Import_Export!$H192)+B$25*(B$5*GREET1_Import_Export!$B78+B$6*GREET1_Import_Export!$N124+GREET1_Import_Export!$B228)+B$26*(B$7*GREET1_Import_Export!$AA78+GREET1_Import_Export!$B296)+B$27*(GREET1_Import_Export!$B321+GREET1_Import_Export!$C321)</f>
        <v>15.380684396075388</v>
      </c>
      <c r="C41" s="348"/>
      <c r="D41" s="349">
        <f>D$23*(GREET1_Import_Export!$K78+GREET1_Import_Export!$F$179*GREET1_Import_Export!$B192+GREET1_Import_Export!$F192)+D$24*(GREET1_Import_Export!$O78+GREET1_Import_Export!$G$179*GREET1_Import_Export!$B192+GREET1_Import_Export!$G192)+D$25*(GREET1_Import_Export!$B78+GREET1_Import_Export!$B228)+D$26*(GREET1_Import_Export!$AA78+GREET1_Import_Export!$B296)+D$27*(GREET1_Import_Export!$B321+GREET1_Import_Export!$C321)</f>
        <v>67.788407856156212</v>
      </c>
      <c r="F41" s="347">
        <f>F$23*(GREET1_Import_Export!$K78+GREET1_Import_Export!$F$179*GREET1_Import_Export!$B192+GREET1_Import_Export!$F192)+F$24*(GREET1_Import_Export!$O78+GREET1_Import_Export!$G$179*GREET1_Import_Export!$B192+GREET1_Import_Export!$G192)+F$25*(GREET1_Import_Export!$B78+GREET1_Import_Export!$B228)+F$26*(GREET1_Import_Export!$AA78+GREET1_Import_Export!$B296)+F$27*(GREET1_Import_Export!$B321+GREET1_Import_Export!$C321)</f>
        <v>0</v>
      </c>
      <c r="G41" s="348"/>
    </row>
    <row r="42" spans="1:7" s="349" customFormat="1">
      <c r="A42" s="749" t="s">
        <v>828</v>
      </c>
      <c r="B42" s="347">
        <f>B$23*(B$4*GREET1_Import_Export!$K79+GREET1_Import_Export!$F$179*GREET1_Import_Export!$B193+GREET1_Import_Export!$F193)+B$24*(B$8*GREET1_Import_Export!$R79+B$9*GREET1_Import_Export!$N153+GREET1_Import_Export!$H$179*GREET1_Import_Export!$B193+GREET1_Import_Export!$H193)+B$25*(B$5*GREET1_Import_Export!$B79+B$6*GREET1_Import_Export!$N125+GREET1_Import_Export!$B229)+B$26*(B$7*GREET1_Import_Export!$AA79+GREET1_Import_Export!$B297)+B$27*(GREET1_Import_Export!$B322+GREET1_Import_Export!$C322)</f>
        <v>73.208331444461734</v>
      </c>
      <c r="C42" s="348"/>
      <c r="D42" s="349">
        <f>D$23*(GREET1_Import_Export!$K79+GREET1_Import_Export!$F$179*GREET1_Import_Export!$B193+GREET1_Import_Export!$F193)+D$24*(GREET1_Import_Export!$O79+GREET1_Import_Export!$G$179*GREET1_Import_Export!$B193+GREET1_Import_Export!$G193)+D$25*(GREET1_Import_Export!$B79+GREET1_Import_Export!$B229)+D$26*(GREET1_Import_Export!$AA79+GREET1_Import_Export!$B297)+D$27*(GREET1_Import_Export!$B322+GREET1_Import_Export!$C322)</f>
        <v>164.42756977068646</v>
      </c>
      <c r="F42" s="347">
        <f>F$23*(GREET1_Import_Export!$K79+GREET1_Import_Export!$F$179*GREET1_Import_Export!$B193+GREET1_Import_Export!$F193)+F$24*(GREET1_Import_Export!$O79+GREET1_Import_Export!$G$179*GREET1_Import_Export!$B193+GREET1_Import_Export!$G193)+F$25*(GREET1_Import_Export!$B79+GREET1_Import_Export!$B229)+F$26*(GREET1_Import_Export!$AA79+GREET1_Import_Export!$B297)+F$27*(GREET1_Import_Export!$B322+GREET1_Import_Export!$C322)</f>
        <v>0</v>
      </c>
      <c r="G42" s="348"/>
    </row>
    <row r="43" spans="1:7" s="349" customFormat="1">
      <c r="A43" s="347" t="s">
        <v>829</v>
      </c>
      <c r="B43" s="347">
        <f>B$23*(B$4*GREET1_Import_Export!$K80+GREET1_Import_Export!$F$179*GREET1_Import_Export!$B194+GREET1_Import_Export!$F194)+B$24*(B$8*GREET1_Import_Export!$R80+B$9*GREET1_Import_Export!$N154+GREET1_Import_Export!$H$179*GREET1_Import_Export!$B194+GREET1_Import_Export!$H194)+B$25*(B$5*GREET1_Import_Export!$B80+B$6*GREET1_Import_Export!$N126+GREET1_Import_Export!$B230)+B$26*(B$7*GREET1_Import_Export!$AA80+GREET1_Import_Export!$B298)+B$27*(GREET1_Import_Export!$B323+GREET1_Import_Export!$C323)</f>
        <v>9108.6062966673981</v>
      </c>
      <c r="C43" s="348"/>
      <c r="D43" s="349">
        <f>D$23*(GREET1_Import_Export!$K80+GREET1_Import_Export!$F$179*GREET1_Import_Export!$B194+GREET1_Import_Export!$F194)+D$24*(GREET1_Import_Export!$O80+GREET1_Import_Export!$G$179*GREET1_Import_Export!$B194+GREET1_Import_Export!$G194)+D$25*(GREET1_Import_Export!$B80+GREET1_Import_Export!$B230)+D$26*(GREET1_Import_Export!$AA80+GREET1_Import_Export!$B298)+D$27*(GREET1_Import_Export!$B323+GREET1_Import_Export!$C323)</f>
        <v>21742.395413450406</v>
      </c>
      <c r="F43" s="347">
        <f>F$23*(GREET1_Import_Export!$K80+GREET1_Import_Export!$F$179*GREET1_Import_Export!$B194+GREET1_Import_Export!$F194)+F$24*(GREET1_Import_Export!$O80+GREET1_Import_Export!$G$179*GREET1_Import_Export!$B194+GREET1_Import_Export!$G194)+F$25*(GREET1_Import_Export!$B80+GREET1_Import_Export!$B230)+F$26*(GREET1_Import_Export!$AA80+GREET1_Import_Export!$B298)+F$27*(GREET1_Import_Export!$B323+GREET1_Import_Export!$C323)</f>
        <v>0</v>
      </c>
      <c r="G43" s="348"/>
    </row>
    <row r="44" spans="1:7" s="349" customFormat="1">
      <c r="A44" s="347" t="s">
        <v>830</v>
      </c>
      <c r="B44" s="347">
        <f>B$23*(B$4*GREET1_Import_Export!$K81+GREET1_Import_Export!$F$179*GREET1_Import_Export!$B195+GREET1_Import_Export!$F195)+B$24*(B$8*GREET1_Import_Export!$R81+B$9*GREET1_Import_Export!$N155+GREET1_Import_Export!$H$179*GREET1_Import_Export!$B195+GREET1_Import_Export!$H195)+B$25*(B$5*GREET1_Import_Export!$B81+B$6*GREET1_Import_Export!$N127+GREET1_Import_Export!$B231)+B$26*(B$7*GREET1_Import_Export!$AA81+GREET1_Import_Export!$B299)+B$27*(GREET1_Import_Export!$B324+GREET1_Import_Export!$C324)</f>
        <v>82.640613228494814</v>
      </c>
      <c r="C44" s="348"/>
      <c r="D44" s="349">
        <f>D$23*(GREET1_Import_Export!$K81+GREET1_Import_Export!$F$179*GREET1_Import_Export!$B195+GREET1_Import_Export!$F195)+D$24*(GREET1_Import_Export!$O81+GREET1_Import_Export!$G$179*GREET1_Import_Export!$B195+GREET1_Import_Export!$G195)+D$25*(GREET1_Import_Export!$B81+GREET1_Import_Export!$B231)+D$26*(GREET1_Import_Export!$AA81+GREET1_Import_Export!$B299)+D$27*(GREET1_Import_Export!$B324+GREET1_Import_Export!$C324)</f>
        <v>216.97316238953249</v>
      </c>
      <c r="F44" s="347">
        <f>F$23*(GREET1_Import_Export!$K81+GREET1_Import_Export!$F$179*GREET1_Import_Export!$B195+GREET1_Import_Export!$F195)+F$24*(GREET1_Import_Export!$O81+GREET1_Import_Export!$G$179*GREET1_Import_Export!$B195+GREET1_Import_Export!$G195)+F$25*(GREET1_Import_Export!$B81+GREET1_Import_Export!$B231)+F$26*(GREET1_Import_Export!$AA81+GREET1_Import_Export!$B299)+F$27*(GREET1_Import_Export!$B324+GREET1_Import_Export!$C324)</f>
        <v>0</v>
      </c>
      <c r="G44" s="348"/>
    </row>
    <row r="45" spans="1:7" s="419" customFormat="1">
      <c r="A45" s="668" t="s">
        <v>831</v>
      </c>
      <c r="B45" s="295">
        <f>B$23*(B$4*GREET1_Import_Export!$K82+GREET1_Import_Export!$F$179*GREET1_Import_Export!$B196+GREET1_Import_Export!$F196)+B$24*(B$8*GREET1_Import_Export!$R82+B$9*GREET1_Import_Export!$N156+GREET1_Import_Export!$H$179*GREET1_Import_Export!$B196+GREET1_Import_Export!$H196)+B$25*(B$5*GREET1_Import_Export!$B82+B$6*GREET1_Import_Export!$N128+GREET1_Import_Export!$B232)+B$26*(B$7*GREET1_Import_Export!$AA82+GREET1_Import_Export!$B300)+B$27*(GREET1_Import_Export!$B325+GREET1_Import_Export!$C325)</f>
        <v>4024683.0604792535</v>
      </c>
      <c r="C45" s="752"/>
      <c r="D45" s="374">
        <f>D$23*(GREET1_Import_Export!$K82+GREET1_Import_Export!$F$179*GREET1_Import_Export!$B196+GREET1_Import_Export!$F196)+D$24*(GREET1_Import_Export!$O82+GREET1_Import_Export!$G$179*GREET1_Import_Export!$B196+GREET1_Import_Export!$G196)+D$25*(GREET1_Import_Export!$B82+GREET1_Import_Export!$B232)+D$26*(GREET1_Import_Export!$AA82+GREET1_Import_Export!$B300)+D$27*(GREET1_Import_Export!$B325+GREET1_Import_Export!$C325)</f>
        <v>6549965.4824245833</v>
      </c>
      <c r="E45" s="374"/>
      <c r="F45" s="668">
        <f>F$23*(GREET1_Import_Export!$K82+GREET1_Import_Export!$F$179*GREET1_Import_Export!$B196+GREET1_Import_Export!$F196)+F$24*(GREET1_Import_Export!$O82+GREET1_Import_Export!$G$179*GREET1_Import_Export!$B196+GREET1_Import_Export!$G196)+F$25*(GREET1_Import_Export!$B82+GREET1_Import_Export!$B232)+F$26*(GREET1_Import_Export!$AA82+GREET1_Import_Export!$B300)+F$27*(GREET1_Import_Export!$B325+GREET1_Import_Export!$C325)</f>
        <v>0</v>
      </c>
      <c r="G45" s="752"/>
    </row>
    <row r="46" spans="1:7" s="349" customFormat="1">
      <c r="A46" s="758" t="s">
        <v>865</v>
      </c>
      <c r="B46" s="347"/>
      <c r="C46" s="348"/>
      <c r="D46" s="389"/>
      <c r="F46" s="347"/>
      <c r="G46" s="348"/>
    </row>
    <row r="47" spans="1:7" s="349" customFormat="1">
      <c r="A47" s="347" t="s">
        <v>821</v>
      </c>
      <c r="B47" s="347">
        <f>B$23*(B$15*(B$4*GREET1_Import_Export!$K72)+GREET1_Import_Export!$F$200*GREET1_Import_Export!$B201+GREET1_Import_Export!$F201)+B$24*(B$15*(B$8*GREET1_Import_Export!$R72+B$9*GREET1_Import_Export!$N146)+GREET1_Import_Export!$H$200*GREET1_Import_Export!$B201+GREET1_Import_Export!$H201)+B$25*(B$15*(B$5*GREET1_Import_Export!$B72+B$6*GREET1_Import_Export!$N118)+GREET1_Import_Export!$B237)+B$26*(B$15*(B$7*GREET1_Import_Export!$AA72)+GREET1_Import_Export!$C290)+B$27*(GREET1_Import_Export!$D315+GREET1_Import_Export!$E315)</f>
        <v>29.379665864086324</v>
      </c>
      <c r="C47" s="348">
        <f t="shared" ref="C47:C54" si="0">C35*B$15</f>
        <v>0</v>
      </c>
      <c r="D47" s="349">
        <f>D$23*(D$15*(GREET1_Import_Export!$K72)+GREET1_Import_Export!$F$200*GREET1_Import_Export!$B201+GREET1_Import_Export!$F201)+D$24*(D$15*(GREET1_Import_Export!$O72)+GREET1_Import_Export!$G$200*GREET1_Import_Export!$B201+GREET1_Import_Export!$G201)+D$25*(D$15*(GREET1_Import_Export!$B72)+GREET1_Import_Export!$B237)+D$26*(D$15*(GREET1_Import_Export!$AA72)+GREET1_Import_Export!$C290)+D$27*(GREET1_Import_Export!$D315+GREET1_Import_Export!$E315)</f>
        <v>59.812330026145546</v>
      </c>
      <c r="E47" s="349">
        <f t="shared" ref="E47:E54" si="1">E35*D$15</f>
        <v>0</v>
      </c>
      <c r="F47" s="347">
        <f>F$23*(F$15*(GREET1_Import_Export!$K72)+GREET1_Import_Export!$F$200*GREET1_Import_Export!$B201+GREET1_Import_Export!$F201)+F$24*(F$15*(GREET1_Import_Export!$O72)+GREET1_Import_Export!$G$200*GREET1_Import_Export!$B201+GREET1_Import_Export!$G201)+F$25*(F$15*(GREET1_Import_Export!$B72)+GREET1_Import_Export!$B237)+F$26*(F$15*(GREET1_Import_Export!$AA72)+GREET1_Import_Export!$C290)+F$27*(GREET1_Import_Export!$D315+GREET1_Import_Export!$E315)</f>
        <v>0</v>
      </c>
      <c r="G47" s="348">
        <f t="shared" ref="G47:G54" si="2">G35*F$15</f>
        <v>0</v>
      </c>
    </row>
    <row r="48" spans="1:7" s="349" customFormat="1">
      <c r="A48" s="347" t="s">
        <v>822</v>
      </c>
      <c r="B48" s="347">
        <f>B$23*(B$15*(B$4*GREET1_Import_Export!$K73)+GREET1_Import_Export!$F$200*GREET1_Import_Export!$B202+GREET1_Import_Export!$F202)+B$24*(B$15*(B$8*GREET1_Import_Export!$R73+B$9*GREET1_Import_Export!$N147)+GREET1_Import_Export!$H$200*GREET1_Import_Export!$B202+GREET1_Import_Export!$H202)+B$25*(B$15*(B$5*GREET1_Import_Export!$B73+B$6*GREET1_Import_Export!$N119)+GREET1_Import_Export!$B238)+B$26*(B$15*(B$7*GREET1_Import_Export!$AA73)+GREET1_Import_Export!$C291)+B$27*(GREET1_Import_Export!$D316+GREET1_Import_Export!$E316)</f>
        <v>216.89752484869294</v>
      </c>
      <c r="C48" s="348">
        <f t="shared" si="0"/>
        <v>0</v>
      </c>
      <c r="D48" s="349">
        <f>D$23*(D$15*(GREET1_Import_Export!$K73)+GREET1_Import_Export!$F$200*GREET1_Import_Export!$B202+GREET1_Import_Export!$F202)+D$24*(D$15*(GREET1_Import_Export!$O73)+GREET1_Import_Export!$G$200*GREET1_Import_Export!$B202+GREET1_Import_Export!$G202)+D$25*(D$15*(GREET1_Import_Export!$B73)+GREET1_Import_Export!$B238)+D$26*(D$15*(GREET1_Import_Export!$AA73)+GREET1_Import_Export!$C291)+D$27*(GREET1_Import_Export!$D316+GREET1_Import_Export!$E316)</f>
        <v>287.37184061530598</v>
      </c>
      <c r="E48" s="349">
        <f t="shared" si="1"/>
        <v>0</v>
      </c>
      <c r="F48" s="347">
        <f>F$23*(F$15*(GREET1_Import_Export!$K73)+GREET1_Import_Export!$F$200*GREET1_Import_Export!$B202+GREET1_Import_Export!$F202)+F$24*(F$15*(GREET1_Import_Export!$O73)+GREET1_Import_Export!$G$200*GREET1_Import_Export!$B202+GREET1_Import_Export!$G202)+F$25*(F$15*(GREET1_Import_Export!$B73)+GREET1_Import_Export!$B238)+F$26*(F$15*(GREET1_Import_Export!$AA73)+GREET1_Import_Export!$C291)+F$27*(GREET1_Import_Export!$D316+GREET1_Import_Export!$E316)</f>
        <v>0</v>
      </c>
      <c r="G48" s="348">
        <f t="shared" si="2"/>
        <v>0</v>
      </c>
    </row>
    <row r="49" spans="1:8" s="349" customFormat="1">
      <c r="A49" s="347" t="s">
        <v>823</v>
      </c>
      <c r="B49" s="347">
        <f>B$23*(B$15*(B$4*GREET1_Import_Export!$K74)+GREET1_Import_Export!$F$200*GREET1_Import_Export!$B203+GREET1_Import_Export!$F203)+B$24*(B$15*(B$8*GREET1_Import_Export!$R74+B$9*GREET1_Import_Export!$N148)+GREET1_Import_Export!$H$200*GREET1_Import_Export!$B203+GREET1_Import_Export!$H203)+B$25*(B$15*(B$5*GREET1_Import_Export!$B74+B$6*GREET1_Import_Export!$N120)+GREET1_Import_Export!$B239)+B$26*(B$15*(B$7*GREET1_Import_Export!$AA74)+GREET1_Import_Export!$C292)+B$27*(GREET1_Import_Export!$D317+GREET1_Import_Export!$E317)</f>
        <v>647.82298792776123</v>
      </c>
      <c r="C49" s="348">
        <f t="shared" si="0"/>
        <v>0</v>
      </c>
      <c r="D49" s="349">
        <f>D$23*(D$15*(GREET1_Import_Export!$K74)+GREET1_Import_Export!$F$200*GREET1_Import_Export!$B203+GREET1_Import_Export!$F203)+D$24*(D$15*(GREET1_Import_Export!$O74)+GREET1_Import_Export!$G$200*GREET1_Import_Export!$B203+GREET1_Import_Export!$G203)+D$25*(D$15*(GREET1_Import_Export!$B74)+GREET1_Import_Export!$B239)+D$26*(D$15*(GREET1_Import_Export!$AA74)+GREET1_Import_Export!$C292)+D$27*(GREET1_Import_Export!$D317+GREET1_Import_Export!$E317)</f>
        <v>340.62695270437729</v>
      </c>
      <c r="E49" s="349">
        <f t="shared" si="1"/>
        <v>0</v>
      </c>
      <c r="F49" s="347">
        <f>F$23*(F$15*(GREET1_Import_Export!$K74)+GREET1_Import_Export!$F$200*GREET1_Import_Export!$B203+GREET1_Import_Export!$F203)+F$24*(F$15*(GREET1_Import_Export!$O74)+GREET1_Import_Export!$G$200*GREET1_Import_Export!$B203+GREET1_Import_Export!$G203)+F$25*(F$15*(GREET1_Import_Export!$B74)+GREET1_Import_Export!$B239)+F$26*(F$15*(GREET1_Import_Export!$AA74)+GREET1_Import_Export!$C292)+F$27*(GREET1_Import_Export!$D317+GREET1_Import_Export!$E317)</f>
        <v>0</v>
      </c>
      <c r="G49" s="348">
        <f t="shared" si="2"/>
        <v>0</v>
      </c>
    </row>
    <row r="50" spans="1:8" s="349" customFormat="1">
      <c r="A50" s="347" t="s">
        <v>824</v>
      </c>
      <c r="B50" s="347">
        <f>B$23*(B$15*(B$4*GREET1_Import_Export!$K75)+GREET1_Import_Export!$F$200*GREET1_Import_Export!$B204+GREET1_Import_Export!$F204)+B$24*(B$15*(B$8*GREET1_Import_Export!$R75+B$9*GREET1_Import_Export!$N149)+GREET1_Import_Export!$H$200*GREET1_Import_Export!$B204+GREET1_Import_Export!$H204)+B$25*(B$15*(B$5*GREET1_Import_Export!$B75+B$6*GREET1_Import_Export!$N121)+GREET1_Import_Export!$B240)+B$26*(B$15*(B$7*GREET1_Import_Export!$AA75)+GREET1_Import_Export!$C293)+B$27*(GREET1_Import_Export!$D318+GREET1_Import_Export!$E318)</f>
        <v>86.491674153071756</v>
      </c>
      <c r="C50" s="348">
        <f t="shared" si="0"/>
        <v>0</v>
      </c>
      <c r="D50" s="349">
        <f>D$23*(D$15*(GREET1_Import_Export!$K75)+GREET1_Import_Export!$F$200*GREET1_Import_Export!$B204+GREET1_Import_Export!$F204)+D$24*(D$15*(GREET1_Import_Export!$O75)+GREET1_Import_Export!$G$200*GREET1_Import_Export!$B204+GREET1_Import_Export!$G204)+D$25*(D$15*(GREET1_Import_Export!$B75)+GREET1_Import_Export!$B240)+D$26*(D$15*(GREET1_Import_Export!$AA75)+GREET1_Import_Export!$C293)+D$27*(GREET1_Import_Export!$D318+GREET1_Import_Export!$E318)</f>
        <v>1.4612388752382366</v>
      </c>
      <c r="E50" s="349">
        <f t="shared" si="1"/>
        <v>0</v>
      </c>
      <c r="F50" s="347">
        <f>F$23*(F$15*(GREET1_Import_Export!$K75)+GREET1_Import_Export!$F$200*GREET1_Import_Export!$B204+GREET1_Import_Export!$F204)+F$24*(F$15*(GREET1_Import_Export!$O75)+GREET1_Import_Export!$G$200*GREET1_Import_Export!$B204+GREET1_Import_Export!$G204)+F$25*(F$15*(GREET1_Import_Export!$B75)+GREET1_Import_Export!$B240)+F$26*(F$15*(GREET1_Import_Export!$AA75)+GREET1_Import_Export!$C293)+F$27*(GREET1_Import_Export!$D318+GREET1_Import_Export!$E318)</f>
        <v>0</v>
      </c>
      <c r="G50" s="348">
        <f t="shared" si="2"/>
        <v>0</v>
      </c>
    </row>
    <row r="51" spans="1:8" s="349" customFormat="1">
      <c r="A51" s="347" t="s">
        <v>825</v>
      </c>
      <c r="B51" s="347">
        <f>B$23*(B$15*(B$4*GREET1_Import_Export!$K76)+GREET1_Import_Export!$F$200*GREET1_Import_Export!$B205+GREET1_Import_Export!$F205)+B$24*(B$15*(B$8*GREET1_Import_Export!$R76+B$9*GREET1_Import_Export!$N150)+GREET1_Import_Export!$H$200*GREET1_Import_Export!$B205+GREET1_Import_Export!$H205)+B$25*(B$15*(B$5*GREET1_Import_Export!$B76+B$6*GREET1_Import_Export!$N122)+GREET1_Import_Export!$B241)+B$26*(B$15*(B$7*GREET1_Import_Export!$AA76)+GREET1_Import_Export!$C294)+B$27*(GREET1_Import_Export!$D319+GREET1_Import_Export!$E319)</f>
        <v>76.054727666753394</v>
      </c>
      <c r="C51" s="348">
        <f t="shared" si="0"/>
        <v>0</v>
      </c>
      <c r="D51" s="349">
        <f>D$23*(D$15*(GREET1_Import_Export!$K76)+GREET1_Import_Export!$F$200*GREET1_Import_Export!$B205+GREET1_Import_Export!$F205)+D$24*(D$15*(GREET1_Import_Export!$O76)+GREET1_Import_Export!$G$200*GREET1_Import_Export!$B205+GREET1_Import_Export!$G205)+D$25*(D$15*(GREET1_Import_Export!$B76)+GREET1_Import_Export!$B241)+D$26*(D$15*(GREET1_Import_Export!$AA76)+GREET1_Import_Export!$C294)+D$27*(GREET1_Import_Export!$D319+GREET1_Import_Export!$E319)</f>
        <v>1.3496899530451376</v>
      </c>
      <c r="E51" s="349">
        <f t="shared" si="1"/>
        <v>0</v>
      </c>
      <c r="F51" s="347">
        <f>F$23*(F$15*(GREET1_Import_Export!$K76)+GREET1_Import_Export!$F$200*GREET1_Import_Export!$B205+GREET1_Import_Export!$F205)+F$24*(F$15*(GREET1_Import_Export!$O76)+GREET1_Import_Export!$G$200*GREET1_Import_Export!$B205+GREET1_Import_Export!$G205)+F$25*(F$15*(GREET1_Import_Export!$B76)+GREET1_Import_Export!$B241)+F$26*(F$15*(GREET1_Import_Export!$AA76)+GREET1_Import_Export!$C294)+F$27*(GREET1_Import_Export!$D319+GREET1_Import_Export!$E319)</f>
        <v>0</v>
      </c>
      <c r="G51" s="348">
        <f t="shared" si="2"/>
        <v>0</v>
      </c>
    </row>
    <row r="52" spans="1:8" s="349" customFormat="1">
      <c r="A52" s="347" t="s">
        <v>826</v>
      </c>
      <c r="B52" s="347">
        <f>B$23*(B$15*(B$4*GREET1_Import_Export!$K77)+GREET1_Import_Export!$F$200*GREET1_Import_Export!$B206+GREET1_Import_Export!$F206)+B$24*(B$15*(B$8*GREET1_Import_Export!$R77+B$9*GREET1_Import_Export!$N151)+GREET1_Import_Export!$H$200*GREET1_Import_Export!$B206+GREET1_Import_Export!$H206)+B$25*(B$15*(B$5*GREET1_Import_Export!$B77+B$6*GREET1_Import_Export!$N123)+GREET1_Import_Export!$B242)+B$26*(B$15*(B$7*GREET1_Import_Export!$AA77)+GREET1_Import_Export!$C295)+B$27*(GREET1_Import_Export!$D320+GREET1_Import_Export!$E320)</f>
        <v>643.67041197405706</v>
      </c>
      <c r="C52" s="348">
        <f t="shared" si="0"/>
        <v>0</v>
      </c>
      <c r="D52" s="349">
        <f>D$23*(D$15*(GREET1_Import_Export!$K77)+GREET1_Import_Export!$F$200*GREET1_Import_Export!$B206+GREET1_Import_Export!$F206)+D$24*(D$15*(GREET1_Import_Export!$O77)+GREET1_Import_Export!$G$200*GREET1_Import_Export!$B206+GREET1_Import_Export!$G206)+D$25*(D$15*(GREET1_Import_Export!$B77)+GREET1_Import_Export!$B242)+D$26*(D$15*(GREET1_Import_Export!$AA77)+GREET1_Import_Export!$C295)+D$27*(GREET1_Import_Export!$D320+GREET1_Import_Export!$E320)</f>
        <v>14.70510170401084</v>
      </c>
      <c r="E52" s="349">
        <f t="shared" si="1"/>
        <v>0</v>
      </c>
      <c r="F52" s="347">
        <f>F$23*(F$15*(GREET1_Import_Export!$K77)+GREET1_Import_Export!$F$200*GREET1_Import_Export!$B206+GREET1_Import_Export!$F206)+F$24*(F$15*(GREET1_Import_Export!$O77)+GREET1_Import_Export!$G$200*GREET1_Import_Export!$B206+GREET1_Import_Export!$G206)+F$25*(F$15*(GREET1_Import_Export!$B77)+GREET1_Import_Export!$B242)+F$26*(F$15*(GREET1_Import_Export!$AA77)+GREET1_Import_Export!$C295)+F$27*(GREET1_Import_Export!$D320+GREET1_Import_Export!$E320)</f>
        <v>0</v>
      </c>
      <c r="G52" s="348">
        <f t="shared" si="2"/>
        <v>0</v>
      </c>
    </row>
    <row r="53" spans="1:8" s="349" customFormat="1">
      <c r="A53" s="347" t="s">
        <v>827</v>
      </c>
      <c r="B53" s="347">
        <f>B$23*(B$15*(B$4*GREET1_Import_Export!$K78)+GREET1_Import_Export!$F$200*GREET1_Import_Export!$B207+GREET1_Import_Export!$F207)+B$24*(B$15*(B$8*GREET1_Import_Export!$R78+B$9*GREET1_Import_Export!$N152)+GREET1_Import_Export!$H$200*GREET1_Import_Export!$B207+GREET1_Import_Export!$H207)+B$25*(B$15*(B$5*GREET1_Import_Export!$B78+B$6*GREET1_Import_Export!$N124)+GREET1_Import_Export!$B243)+B$26*(B$15*(B$7*GREET1_Import_Export!$AA78)+GREET1_Import_Export!$C296)+B$27*(GREET1_Import_Export!$D321+GREET1_Import_Export!$E321)</f>
        <v>3.9195504070261173</v>
      </c>
      <c r="C53" s="348">
        <f t="shared" si="0"/>
        <v>0</v>
      </c>
      <c r="D53" s="349">
        <f>D$23*(D$15*(GREET1_Import_Export!$K78)+GREET1_Import_Export!$F$200*GREET1_Import_Export!$B207+GREET1_Import_Export!$F207)+D$24*(D$15*(GREET1_Import_Export!$O78)+GREET1_Import_Export!$G$200*GREET1_Import_Export!$B207+GREET1_Import_Export!$G207)+D$25*(D$15*(GREET1_Import_Export!$B78)+GREET1_Import_Export!$B243)+D$26*(D$15*(GREET1_Import_Export!$AA78)+GREET1_Import_Export!$C296)+D$27*(GREET1_Import_Export!$D321+GREET1_Import_Export!$E321)</f>
        <v>0.22540595793461085</v>
      </c>
      <c r="E53" s="349">
        <f t="shared" si="1"/>
        <v>0</v>
      </c>
      <c r="F53" s="347">
        <f>F$23*(F$15*(GREET1_Import_Export!$K78)+GREET1_Import_Export!$F$200*GREET1_Import_Export!$B207+GREET1_Import_Export!$F207)+F$24*(F$15*(GREET1_Import_Export!$O78)+GREET1_Import_Export!$G$200*GREET1_Import_Export!$B207+GREET1_Import_Export!$G207)+F$25*(F$15*(GREET1_Import_Export!$B78)+GREET1_Import_Export!$B243)+F$26*(F$15*(GREET1_Import_Export!$AA78)+GREET1_Import_Export!$C296)+F$27*(GREET1_Import_Export!$D321+GREET1_Import_Export!$E321)</f>
        <v>0</v>
      </c>
      <c r="G53" s="348">
        <f t="shared" si="2"/>
        <v>0</v>
      </c>
    </row>
    <row r="54" spans="1:8" s="349" customFormat="1">
      <c r="A54" s="503" t="s">
        <v>828</v>
      </c>
      <c r="B54" s="503">
        <f>B$23*(B$15*(B$4*GREET1_Import_Export!$K79)+GREET1_Import_Export!$F$200*GREET1_Import_Export!$B208+GREET1_Import_Export!$F208)+B$24*(B$15*(B$8*GREET1_Import_Export!$R79+B$9*GREET1_Import_Export!$N153)+GREET1_Import_Export!$H$200*GREET1_Import_Export!$B208+GREET1_Import_Export!$H208)+B$25*(B$15*(B$5*GREET1_Import_Export!$B79+B$6*GREET1_Import_Export!$N125)+GREET1_Import_Export!$B244)+B$26*(B$15*(B$7*GREET1_Import_Export!$AA79)+GREET1_Import_Export!$C297)+B$27*(GREET1_Import_Export!$D322+GREET1_Import_Export!$E322)</f>
        <v>21.752008846615087</v>
      </c>
      <c r="C54" s="502">
        <f t="shared" si="0"/>
        <v>0</v>
      </c>
      <c r="D54" s="505">
        <f>D$23*(D$15*(GREET1_Import_Export!$K79)+GREET1_Import_Export!$F$200*GREET1_Import_Export!$B208+GREET1_Import_Export!$F208)+D$24*(D$15*(GREET1_Import_Export!$O79)+GREET1_Import_Export!$G$200*GREET1_Import_Export!$B208+GREET1_Import_Export!$G208)+D$25*(D$15*(GREET1_Import_Export!$B79)+GREET1_Import_Export!$B244)+D$26*(D$15*(GREET1_Import_Export!$AA79)+GREET1_Import_Export!$C297)+D$27*(GREET1_Import_Export!$D322+GREET1_Import_Export!$E322)</f>
        <v>0.46353752836528189</v>
      </c>
      <c r="E54" s="505">
        <f t="shared" si="1"/>
        <v>0</v>
      </c>
      <c r="F54" s="503">
        <f>F$23*(F$15*(GREET1_Import_Export!$K79)+GREET1_Import_Export!$F$200*GREET1_Import_Export!$B208+GREET1_Import_Export!$F208)+F$24*(F$15*(GREET1_Import_Export!$O79)+GREET1_Import_Export!$G$200*GREET1_Import_Export!$B208+GREET1_Import_Export!$G208)+F$25*(F$15*(GREET1_Import_Export!$B79)+GREET1_Import_Export!$B244)+F$26*(F$15*(GREET1_Import_Export!$AA79)+GREET1_Import_Export!$C297)+F$27*(GREET1_Import_Export!$D322+GREET1_Import_Export!$E322)</f>
        <v>0</v>
      </c>
      <c r="G54" s="502">
        <f t="shared" si="2"/>
        <v>0</v>
      </c>
    </row>
    <row r="55" spans="1:8" s="349" customFormat="1"/>
    <row r="56" spans="1:8" s="349" customFormat="1" ht="15">
      <c r="A56" s="602" t="s">
        <v>1230</v>
      </c>
    </row>
    <row r="57" spans="1:8" s="349" customFormat="1" ht="25.5">
      <c r="A57" s="510"/>
      <c r="B57" s="1605" t="s">
        <v>1231</v>
      </c>
      <c r="C57" s="610" t="s">
        <v>569</v>
      </c>
      <c r="D57" s="760" t="s">
        <v>570</v>
      </c>
      <c r="E57" s="3074" t="s">
        <v>1232</v>
      </c>
      <c r="F57" s="3074"/>
      <c r="G57" s="3101" t="s">
        <v>1233</v>
      </c>
      <c r="H57" s="3102"/>
    </row>
    <row r="58" spans="1:8" s="349" customFormat="1">
      <c r="A58" s="699" t="s">
        <v>1029</v>
      </c>
      <c r="B58" s="1605"/>
      <c r="C58" s="610"/>
      <c r="D58" s="760"/>
      <c r="E58" s="673" t="s">
        <v>845</v>
      </c>
      <c r="F58" s="615" t="s">
        <v>846</v>
      </c>
      <c r="G58" s="679" t="s">
        <v>845</v>
      </c>
      <c r="H58" s="673" t="s">
        <v>846</v>
      </c>
    </row>
    <row r="59" spans="1:8" s="349" customFormat="1">
      <c r="A59" s="347" t="s">
        <v>816</v>
      </c>
      <c r="B59" s="347">
        <f>B28</f>
        <v>68.953878951522881</v>
      </c>
      <c r="C59" s="349">
        <f>D28</f>
        <v>110.42561663785757</v>
      </c>
      <c r="D59" s="348">
        <f>F28</f>
        <v>0</v>
      </c>
      <c r="E59" s="348">
        <f>B59+C59</f>
        <v>179.37949558938044</v>
      </c>
      <c r="F59" s="349">
        <f>E59/2000</f>
        <v>8.9689747794690217E-2</v>
      </c>
      <c r="G59" s="494">
        <f>D59</f>
        <v>0</v>
      </c>
      <c r="H59" s="348">
        <f>G59/2000</f>
        <v>0</v>
      </c>
    </row>
    <row r="60" spans="1:8" s="349" customFormat="1">
      <c r="A60" s="347" t="s">
        <v>817</v>
      </c>
      <c r="B60" s="347">
        <f>B29</f>
        <v>54.61246309221648</v>
      </c>
      <c r="C60" s="349">
        <f>D29</f>
        <v>110.35095906507438</v>
      </c>
      <c r="D60" s="348">
        <f>F29</f>
        <v>0</v>
      </c>
      <c r="E60" s="348">
        <f>B60+C60</f>
        <v>164.96342215729086</v>
      </c>
      <c r="F60" s="349">
        <f>E60/2000</f>
        <v>8.2481711078645437E-2</v>
      </c>
      <c r="G60" s="494">
        <f>D60</f>
        <v>0</v>
      </c>
      <c r="H60" s="348">
        <f>G60/2000</f>
        <v>0</v>
      </c>
    </row>
    <row r="61" spans="1:8" s="349" customFormat="1">
      <c r="A61" s="347" t="s">
        <v>805</v>
      </c>
      <c r="B61" s="347">
        <f>B30</f>
        <v>18.958255026716365</v>
      </c>
      <c r="C61" s="349">
        <f>D30</f>
        <v>9.8578131152850385E-2</v>
      </c>
      <c r="D61" s="348">
        <f>F30</f>
        <v>0</v>
      </c>
      <c r="E61" s="348">
        <f>B61+C61</f>
        <v>19.056833157869217</v>
      </c>
      <c r="F61" s="349">
        <f>E61/2000</f>
        <v>9.5284165789346082E-3</v>
      </c>
      <c r="G61" s="494">
        <f>D61</f>
        <v>0</v>
      </c>
      <c r="H61" s="348">
        <f>G61/2000</f>
        <v>0</v>
      </c>
    </row>
    <row r="62" spans="1:8" s="349" customFormat="1">
      <c r="A62" s="347" t="s">
        <v>804</v>
      </c>
      <c r="B62" s="347">
        <f t="shared" ref="B62:H62" si="3">B60-B61-B63</f>
        <v>35.061105686937736</v>
      </c>
      <c r="C62" s="349">
        <f t="shared" si="3"/>
        <v>109.85095560495022</v>
      </c>
      <c r="D62" s="348">
        <f t="shared" si="3"/>
        <v>0</v>
      </c>
      <c r="E62" s="348">
        <f t="shared" si="3"/>
        <v>144.91206129188794</v>
      </c>
      <c r="F62" s="349">
        <f t="shared" si="3"/>
        <v>7.2456030645943983E-2</v>
      </c>
      <c r="G62" s="494">
        <f t="shared" si="3"/>
        <v>0</v>
      </c>
      <c r="H62" s="348">
        <f t="shared" si="3"/>
        <v>0</v>
      </c>
    </row>
    <row r="63" spans="1:8" s="349" customFormat="1">
      <c r="A63" s="347" t="s">
        <v>818</v>
      </c>
      <c r="B63" s="347">
        <f>B32</f>
        <v>0.59310237856238002</v>
      </c>
      <c r="C63" s="349">
        <f>D32</f>
        <v>0.40142532897131938</v>
      </c>
      <c r="D63" s="348">
        <f>F32</f>
        <v>0</v>
      </c>
      <c r="E63" s="348">
        <f>B63+C63</f>
        <v>0.99452770753369935</v>
      </c>
      <c r="F63" s="349">
        <f>E63/2000</f>
        <v>4.9726385376684971E-4</v>
      </c>
      <c r="G63" s="494">
        <f>D63</f>
        <v>0</v>
      </c>
      <c r="H63" s="348">
        <f>G63/2000</f>
        <v>0</v>
      </c>
    </row>
    <row r="64" spans="1:8" s="349" customFormat="1">
      <c r="A64" s="503" t="s">
        <v>819</v>
      </c>
      <c r="B64" s="668">
        <f>B33</f>
        <v>3695.3026471924131</v>
      </c>
      <c r="C64" s="374">
        <f>D33</f>
        <v>308.2010158389092</v>
      </c>
      <c r="D64" s="752">
        <f>F33</f>
        <v>0</v>
      </c>
      <c r="E64" s="752">
        <f>B64+C64</f>
        <v>4003.5036630313225</v>
      </c>
      <c r="F64" s="505">
        <f>E64/2000</f>
        <v>2.0017518315156613</v>
      </c>
      <c r="G64" s="756">
        <f>D64</f>
        <v>0</v>
      </c>
      <c r="H64" s="502">
        <f>G64/2000</f>
        <v>0</v>
      </c>
    </row>
    <row r="65" spans="1:8" s="349" customFormat="1">
      <c r="A65" s="699" t="s">
        <v>1030</v>
      </c>
      <c r="B65" s="510"/>
      <c r="C65" s="512"/>
      <c r="D65" s="509"/>
      <c r="E65" s="673"/>
      <c r="F65" s="615"/>
      <c r="G65" s="679"/>
      <c r="H65" s="673"/>
    </row>
    <row r="66" spans="1:8" s="349" customFormat="1">
      <c r="A66" s="347" t="s">
        <v>821</v>
      </c>
      <c r="B66" s="347">
        <f t="shared" ref="B66:B76" si="4">SUM(B35:C35)</f>
        <v>471.13353135670366</v>
      </c>
      <c r="C66" s="349">
        <f t="shared" ref="C66:C76" si="5">SUM(D35:E35)</f>
        <v>1282.6863782994383</v>
      </c>
      <c r="D66" s="348">
        <f t="shared" ref="D66:D76" si="6">SUM(F35:G35)</f>
        <v>0</v>
      </c>
      <c r="E66" s="348">
        <f t="shared" ref="E66:E77" si="7">B66+C66</f>
        <v>1753.819909656142</v>
      </c>
      <c r="F66" s="349">
        <f t="shared" ref="F66:F77" si="8">E66/2000</f>
        <v>0.87690995482807099</v>
      </c>
      <c r="G66" s="494">
        <f t="shared" ref="G66:G77" si="9">D66</f>
        <v>0</v>
      </c>
      <c r="H66" s="348">
        <f t="shared" ref="H66:H77" si="10">G66/2000</f>
        <v>0</v>
      </c>
    </row>
    <row r="67" spans="1:8" s="349" customFormat="1">
      <c r="A67" s="347" t="s">
        <v>822</v>
      </c>
      <c r="B67" s="347">
        <f t="shared" si="4"/>
        <v>1273.4688993978179</v>
      </c>
      <c r="C67" s="349">
        <f t="shared" si="5"/>
        <v>5350.0583768795614</v>
      </c>
      <c r="D67" s="348">
        <f t="shared" si="6"/>
        <v>0</v>
      </c>
      <c r="E67" s="348">
        <f t="shared" si="7"/>
        <v>6623.5272762773793</v>
      </c>
      <c r="F67" s="349">
        <f t="shared" si="8"/>
        <v>3.3117636381386895</v>
      </c>
      <c r="G67" s="494">
        <f t="shared" si="9"/>
        <v>0</v>
      </c>
      <c r="H67" s="348">
        <f t="shared" si="10"/>
        <v>0</v>
      </c>
    </row>
    <row r="68" spans="1:8" s="349" customFormat="1">
      <c r="A68" s="347" t="s">
        <v>849</v>
      </c>
      <c r="B68" s="347">
        <f t="shared" si="4"/>
        <v>2623.4250776069161</v>
      </c>
      <c r="C68" s="349">
        <f t="shared" si="5"/>
        <v>7268.218448624496</v>
      </c>
      <c r="D68" s="348">
        <f t="shared" si="6"/>
        <v>0</v>
      </c>
      <c r="E68" s="348">
        <f t="shared" si="7"/>
        <v>9891.6435262314117</v>
      </c>
      <c r="F68" s="349">
        <f t="shared" si="8"/>
        <v>4.9458217631157062</v>
      </c>
      <c r="G68" s="494">
        <f t="shared" si="9"/>
        <v>0</v>
      </c>
      <c r="H68" s="348">
        <f t="shared" si="10"/>
        <v>0</v>
      </c>
    </row>
    <row r="69" spans="1:8" s="349" customFormat="1" ht="12" customHeight="1">
      <c r="A69" s="347" t="s">
        <v>824</v>
      </c>
      <c r="B69" s="347">
        <f t="shared" si="4"/>
        <v>419.94809934303316</v>
      </c>
      <c r="C69" s="349">
        <f t="shared" si="5"/>
        <v>399.4447586102545</v>
      </c>
      <c r="D69" s="348">
        <f t="shared" si="6"/>
        <v>0</v>
      </c>
      <c r="E69" s="348">
        <f t="shared" si="7"/>
        <v>819.3928579532876</v>
      </c>
      <c r="F69" s="349">
        <f t="shared" si="8"/>
        <v>0.40969642897664382</v>
      </c>
      <c r="G69" s="494">
        <f t="shared" si="9"/>
        <v>0</v>
      </c>
      <c r="H69" s="348">
        <f t="shared" si="10"/>
        <v>0</v>
      </c>
    </row>
    <row r="70" spans="1:8" s="349" customFormat="1">
      <c r="A70" s="347" t="s">
        <v>825</v>
      </c>
      <c r="B70" s="347">
        <f t="shared" si="4"/>
        <v>252.08204551247135</v>
      </c>
      <c r="C70" s="349">
        <f t="shared" si="5"/>
        <v>391.93979948132107</v>
      </c>
      <c r="D70" s="348">
        <f t="shared" si="6"/>
        <v>0</v>
      </c>
      <c r="E70" s="348">
        <f t="shared" si="7"/>
        <v>644.02184499379246</v>
      </c>
      <c r="F70" s="349">
        <f t="shared" si="8"/>
        <v>0.32201092249689622</v>
      </c>
      <c r="G70" s="494">
        <f t="shared" si="9"/>
        <v>0</v>
      </c>
      <c r="H70" s="348">
        <f t="shared" si="10"/>
        <v>0</v>
      </c>
    </row>
    <row r="71" spans="1:8" s="349" customFormat="1">
      <c r="A71" s="347" t="s">
        <v>826</v>
      </c>
      <c r="B71" s="347">
        <f t="shared" si="4"/>
        <v>2202.7271833112882</v>
      </c>
      <c r="C71" s="349">
        <f t="shared" si="5"/>
        <v>1137.5650782781761</v>
      </c>
      <c r="D71" s="348">
        <f t="shared" si="6"/>
        <v>0</v>
      </c>
      <c r="E71" s="348">
        <f t="shared" si="7"/>
        <v>3340.292261589464</v>
      </c>
      <c r="F71" s="349">
        <f t="shared" si="8"/>
        <v>1.6701461307947321</v>
      </c>
      <c r="G71" s="494">
        <f t="shared" si="9"/>
        <v>0</v>
      </c>
      <c r="H71" s="348">
        <f t="shared" si="10"/>
        <v>0</v>
      </c>
    </row>
    <row r="72" spans="1:8" s="349" customFormat="1">
      <c r="A72" s="749" t="s">
        <v>827</v>
      </c>
      <c r="B72" s="347">
        <f t="shared" si="4"/>
        <v>15.380684396075388</v>
      </c>
      <c r="C72" s="349">
        <f t="shared" si="5"/>
        <v>67.788407856156212</v>
      </c>
      <c r="D72" s="348">
        <f t="shared" si="6"/>
        <v>0</v>
      </c>
      <c r="E72" s="348">
        <f t="shared" si="7"/>
        <v>83.169092252231593</v>
      </c>
      <c r="F72" s="349">
        <f t="shared" si="8"/>
        <v>4.1584546126115798E-2</v>
      </c>
      <c r="G72" s="494">
        <f t="shared" si="9"/>
        <v>0</v>
      </c>
      <c r="H72" s="348">
        <f t="shared" si="10"/>
        <v>0</v>
      </c>
    </row>
    <row r="73" spans="1:8" s="349" customFormat="1">
      <c r="A73" s="749" t="s">
        <v>828</v>
      </c>
      <c r="B73" s="347">
        <f t="shared" si="4"/>
        <v>73.208331444461734</v>
      </c>
      <c r="C73" s="349">
        <f t="shared" si="5"/>
        <v>164.42756977068646</v>
      </c>
      <c r="D73" s="348">
        <f t="shared" si="6"/>
        <v>0</v>
      </c>
      <c r="E73" s="348">
        <f t="shared" si="7"/>
        <v>237.63590121514818</v>
      </c>
      <c r="F73" s="349">
        <f t="shared" si="8"/>
        <v>0.11881795060757409</v>
      </c>
      <c r="G73" s="494">
        <f t="shared" si="9"/>
        <v>0</v>
      </c>
      <c r="H73" s="348">
        <f t="shared" si="10"/>
        <v>0</v>
      </c>
    </row>
    <row r="74" spans="1:8" s="349" customFormat="1">
      <c r="A74" s="347" t="s">
        <v>829</v>
      </c>
      <c r="B74" s="347">
        <f t="shared" si="4"/>
        <v>9108.6062966673981</v>
      </c>
      <c r="C74" s="349">
        <f t="shared" si="5"/>
        <v>21742.395413450406</v>
      </c>
      <c r="D74" s="348">
        <f t="shared" si="6"/>
        <v>0</v>
      </c>
      <c r="E74" s="348">
        <f t="shared" si="7"/>
        <v>30851.001710117802</v>
      </c>
      <c r="F74" s="349">
        <f t="shared" si="8"/>
        <v>15.425500855058901</v>
      </c>
      <c r="G74" s="494">
        <f t="shared" si="9"/>
        <v>0</v>
      </c>
      <c r="H74" s="348">
        <f t="shared" si="10"/>
        <v>0</v>
      </c>
    </row>
    <row r="75" spans="1:8" s="349" customFormat="1">
      <c r="A75" s="347" t="s">
        <v>830</v>
      </c>
      <c r="B75" s="347">
        <f t="shared" si="4"/>
        <v>82.640613228494814</v>
      </c>
      <c r="C75" s="349">
        <f t="shared" si="5"/>
        <v>216.97316238953249</v>
      </c>
      <c r="D75" s="348">
        <f t="shared" si="6"/>
        <v>0</v>
      </c>
      <c r="E75" s="348">
        <f t="shared" si="7"/>
        <v>299.61377561802732</v>
      </c>
      <c r="F75" s="349">
        <f t="shared" si="8"/>
        <v>0.14980688780901366</v>
      </c>
      <c r="G75" s="494">
        <f t="shared" si="9"/>
        <v>0</v>
      </c>
      <c r="H75" s="348">
        <f t="shared" si="10"/>
        <v>0</v>
      </c>
    </row>
    <row r="76" spans="1:8" s="419" customFormat="1">
      <c r="A76" s="517" t="s">
        <v>831</v>
      </c>
      <c r="B76" s="517">
        <f t="shared" si="4"/>
        <v>4024683.0604792535</v>
      </c>
      <c r="C76" s="419">
        <f t="shared" si="5"/>
        <v>6549965.4824245833</v>
      </c>
      <c r="D76" s="516">
        <f t="shared" si="6"/>
        <v>0</v>
      </c>
      <c r="E76" s="516">
        <f t="shared" si="7"/>
        <v>10574648.542903837</v>
      </c>
      <c r="F76" s="419">
        <f t="shared" si="8"/>
        <v>5287.3242714519183</v>
      </c>
      <c r="G76" s="630">
        <f t="shared" si="9"/>
        <v>0</v>
      </c>
      <c r="H76" s="516">
        <f t="shared" si="10"/>
        <v>0</v>
      </c>
    </row>
    <row r="77" spans="1:8" s="419" customFormat="1">
      <c r="A77" s="517" t="s">
        <v>850</v>
      </c>
      <c r="B77" s="517">
        <f>B76+B66*GREET1_Import_Export!$B$62/GREET1_Import_Export!$B$65+B67*GREET1_Import_Export!$B$63/GREET1_Import_Export!$B$65</f>
        <v>4028152.5920653217</v>
      </c>
      <c r="C77" s="419">
        <f>C76+C66*GREET1_Import_Export!$B$62/GREET1_Import_Export!$B$65+C67*GREET1_Import_Export!$B$63/GREET1_Import_Export!$B$65</f>
        <v>6562370.4228958562</v>
      </c>
      <c r="D77" s="516">
        <f>D76+D66*GREET1_Import_Export!$B$62/GREET1_Import_Export!$B$65+D67*GREET1_Import_Export!$B$63/GREET1_Import_Export!$B$65</f>
        <v>0</v>
      </c>
      <c r="E77" s="516">
        <f t="shared" si="7"/>
        <v>10590523.014961177</v>
      </c>
      <c r="F77" s="419">
        <f t="shared" si="8"/>
        <v>5295.261507480589</v>
      </c>
      <c r="G77" s="630">
        <f t="shared" si="9"/>
        <v>0</v>
      </c>
      <c r="H77" s="516">
        <f t="shared" si="10"/>
        <v>0</v>
      </c>
    </row>
    <row r="78" spans="1:8" s="419" customFormat="1">
      <c r="A78" s="668" t="s">
        <v>851</v>
      </c>
      <c r="B78" s="668">
        <f>B77+SUMPRODUCT(B74:B75,GREET1_Import_Export!$B$51:$B$52)+SUMPRODUCT(B66:B68,GREET1_Import_Export!$B$55:$B$57)+SUMPRODUCT(B72:B73,GREET1_Import_Export!$B$58:$B$59)</f>
        <v>4323310.5434708949</v>
      </c>
      <c r="C78" s="374">
        <f>C77+SUMPRODUCT(C74:C75,GREET1_Import_Export!$B$51:$B$52)+SUMPRODUCT(C66:C68,GREET1_Import_Export!$B$55:$B$57)+SUMPRODUCT(C72:C73,GREET1_Import_Export!$B$58:$B$59)</f>
        <v>7272140.1733325943</v>
      </c>
      <c r="D78" s="752">
        <f>D77+SUMPRODUCT(D74:D75,GREET1_Import_Export!$B$51:$B$52)+SUMPRODUCT(D66:D68,GREET1_Import_Export!$B$55:$B$57)+SUMPRODUCT(D72:D73,GREET1_Import_Export!$B$58:$B$59)</f>
        <v>0</v>
      </c>
      <c r="E78" s="752">
        <f>E77+SUMPRODUCT(E74:E75,GREET1_Import_Export!$B$51:$B$52)+SUMPRODUCT(E66:E68,GREET1_Import_Export!$B$55:$B$57)+SUMPRODUCT(E72:E73,GREET1_Import_Export!$B$58:$B$59)</f>
        <v>11595450.716803489</v>
      </c>
      <c r="F78" s="374">
        <f>F77+SUMPRODUCT(F74:F75,GREET1_Import_Export!$B$51:$B$52)+SUMPRODUCT(F66:F68,GREET1_Import_Export!$B$55:$B$57)+SUMPRODUCT(F72:F73,GREET1_Import_Export!$B$58:$B$59)</f>
        <v>5797.7253584017444</v>
      </c>
      <c r="G78" s="756">
        <f>G77+SUMPRODUCT(G74:G75,GREET1_Import_Export!$B$51:$B$52)+SUMPRODUCT(G66:G68,GREET1_Import_Export!$B$55:$B$57)+SUMPRODUCT(G72:G73,GREET1_Import_Export!$B$58:$B$59)</f>
        <v>0</v>
      </c>
      <c r="H78" s="752">
        <f>H77+SUMPRODUCT(H74:H75,GREET1_Import_Export!$B$51:$B$52)+SUMPRODUCT(H66:H68,GREET1_Import_Export!$B$55:$B$57)+SUMPRODUCT(H72:H73,GREET1_Import_Export!$B$58:$B$59)</f>
        <v>0</v>
      </c>
    </row>
    <row r="79" spans="1:8" s="349" customFormat="1">
      <c r="A79" s="758" t="s">
        <v>1031</v>
      </c>
      <c r="B79" s="347"/>
      <c r="D79" s="348"/>
      <c r="E79" s="710"/>
      <c r="F79" s="618"/>
      <c r="G79" s="762"/>
      <c r="H79" s="710"/>
    </row>
    <row r="80" spans="1:8" s="349" customFormat="1">
      <c r="A80" s="347" t="s">
        <v>821</v>
      </c>
      <c r="B80" s="347">
        <f t="shared" ref="B80:B87" si="11">SUM(B47:C47)</f>
        <v>29.379665864086324</v>
      </c>
      <c r="C80" s="349">
        <f t="shared" ref="C80:C87" si="12">SUM(D47:E47)</f>
        <v>59.812330026145546</v>
      </c>
      <c r="D80" s="348">
        <f t="shared" ref="D80:D87" si="13">SUM(F47:G47)</f>
        <v>0</v>
      </c>
      <c r="E80" s="348">
        <f t="shared" ref="E80:E87" si="14">B80+C80</f>
        <v>89.191995890231865</v>
      </c>
      <c r="F80" s="349">
        <f t="shared" ref="F80:F87" si="15">E80/2000</f>
        <v>4.4595997945115935E-2</v>
      </c>
      <c r="G80" s="494">
        <f t="shared" ref="G80:G87" si="16">D80</f>
        <v>0</v>
      </c>
      <c r="H80" s="348">
        <f t="shared" ref="H80:H87" si="17">G80/2000</f>
        <v>0</v>
      </c>
    </row>
    <row r="81" spans="1:8" s="349" customFormat="1">
      <c r="A81" s="347" t="s">
        <v>822</v>
      </c>
      <c r="B81" s="347">
        <f t="shared" si="11"/>
        <v>216.89752484869294</v>
      </c>
      <c r="C81" s="349">
        <f t="shared" si="12"/>
        <v>287.37184061530598</v>
      </c>
      <c r="D81" s="348">
        <f t="shared" si="13"/>
        <v>0</v>
      </c>
      <c r="E81" s="348">
        <f t="shared" si="14"/>
        <v>504.26936546399895</v>
      </c>
      <c r="F81" s="349">
        <f t="shared" si="15"/>
        <v>0.25213468273199946</v>
      </c>
      <c r="G81" s="494">
        <f t="shared" si="16"/>
        <v>0</v>
      </c>
      <c r="H81" s="348">
        <f t="shared" si="17"/>
        <v>0</v>
      </c>
    </row>
    <row r="82" spans="1:8" s="349" customFormat="1">
      <c r="A82" s="347" t="s">
        <v>823</v>
      </c>
      <c r="B82" s="347">
        <f t="shared" si="11"/>
        <v>647.82298792776123</v>
      </c>
      <c r="C82" s="349">
        <f t="shared" si="12"/>
        <v>340.62695270437729</v>
      </c>
      <c r="D82" s="348">
        <f t="shared" si="13"/>
        <v>0</v>
      </c>
      <c r="E82" s="348">
        <f t="shared" si="14"/>
        <v>988.44994063213858</v>
      </c>
      <c r="F82" s="349">
        <f t="shared" si="15"/>
        <v>0.49422497031606927</v>
      </c>
      <c r="G82" s="494">
        <f t="shared" si="16"/>
        <v>0</v>
      </c>
      <c r="H82" s="348">
        <f t="shared" si="17"/>
        <v>0</v>
      </c>
    </row>
    <row r="83" spans="1:8" s="349" customFormat="1">
      <c r="A83" s="749" t="s">
        <v>824</v>
      </c>
      <c r="B83" s="347">
        <f t="shared" si="11"/>
        <v>86.491674153071756</v>
      </c>
      <c r="C83" s="349">
        <f t="shared" si="12"/>
        <v>1.4612388752382366</v>
      </c>
      <c r="D83" s="348">
        <f t="shared" si="13"/>
        <v>0</v>
      </c>
      <c r="E83" s="348">
        <f t="shared" si="14"/>
        <v>87.952913028309993</v>
      </c>
      <c r="F83" s="349">
        <f t="shared" si="15"/>
        <v>4.3976456514154993E-2</v>
      </c>
      <c r="G83" s="494">
        <f t="shared" si="16"/>
        <v>0</v>
      </c>
      <c r="H83" s="348">
        <f t="shared" si="17"/>
        <v>0</v>
      </c>
    </row>
    <row r="84" spans="1:8" s="349" customFormat="1">
      <c r="A84" s="347" t="s">
        <v>825</v>
      </c>
      <c r="B84" s="347">
        <f t="shared" si="11"/>
        <v>76.054727666753394</v>
      </c>
      <c r="C84" s="349">
        <f t="shared" si="12"/>
        <v>1.3496899530451376</v>
      </c>
      <c r="D84" s="348">
        <f t="shared" si="13"/>
        <v>0</v>
      </c>
      <c r="E84" s="348">
        <f t="shared" si="14"/>
        <v>77.404417619798537</v>
      </c>
      <c r="F84" s="349">
        <f t="shared" si="15"/>
        <v>3.8702208809899268E-2</v>
      </c>
      <c r="G84" s="494">
        <f t="shared" si="16"/>
        <v>0</v>
      </c>
      <c r="H84" s="348">
        <f t="shared" si="17"/>
        <v>0</v>
      </c>
    </row>
    <row r="85" spans="1:8" s="349" customFormat="1">
      <c r="A85" s="749" t="s">
        <v>826</v>
      </c>
      <c r="B85" s="347">
        <f t="shared" si="11"/>
        <v>643.67041197405706</v>
      </c>
      <c r="C85" s="349">
        <f t="shared" si="12"/>
        <v>14.70510170401084</v>
      </c>
      <c r="D85" s="348">
        <f t="shared" si="13"/>
        <v>0</v>
      </c>
      <c r="E85" s="348">
        <f t="shared" si="14"/>
        <v>658.37551367806793</v>
      </c>
      <c r="F85" s="349">
        <f t="shared" si="15"/>
        <v>0.32918775683903395</v>
      </c>
      <c r="G85" s="494">
        <f t="shared" si="16"/>
        <v>0</v>
      </c>
      <c r="H85" s="348">
        <f t="shared" si="17"/>
        <v>0</v>
      </c>
    </row>
    <row r="86" spans="1:8" s="349" customFormat="1">
      <c r="A86" s="347" t="s">
        <v>827</v>
      </c>
      <c r="B86" s="347">
        <f t="shared" si="11"/>
        <v>3.9195504070261173</v>
      </c>
      <c r="C86" s="349">
        <f t="shared" si="12"/>
        <v>0.22540595793461085</v>
      </c>
      <c r="D86" s="348">
        <f t="shared" si="13"/>
        <v>0</v>
      </c>
      <c r="E86" s="348">
        <f t="shared" si="14"/>
        <v>4.1449563649607279</v>
      </c>
      <c r="F86" s="349">
        <f t="shared" si="15"/>
        <v>2.0724781824803641E-3</v>
      </c>
      <c r="G86" s="494">
        <f t="shared" si="16"/>
        <v>0</v>
      </c>
      <c r="H86" s="348">
        <f t="shared" si="17"/>
        <v>0</v>
      </c>
    </row>
    <row r="87" spans="1:8" s="349" customFormat="1">
      <c r="A87" s="501" t="s">
        <v>828</v>
      </c>
      <c r="B87" s="503">
        <f t="shared" si="11"/>
        <v>21.752008846615087</v>
      </c>
      <c r="C87" s="505">
        <f t="shared" si="12"/>
        <v>0.46353752836528189</v>
      </c>
      <c r="D87" s="502">
        <f t="shared" si="13"/>
        <v>0</v>
      </c>
      <c r="E87" s="502">
        <f t="shared" si="14"/>
        <v>22.21554637498037</v>
      </c>
      <c r="F87" s="505">
        <f t="shared" si="15"/>
        <v>1.1107773187490184E-2</v>
      </c>
      <c r="G87" s="504">
        <f t="shared" si="16"/>
        <v>0</v>
      </c>
      <c r="H87" s="502">
        <f t="shared" si="17"/>
        <v>0</v>
      </c>
    </row>
  </sheetData>
  <mergeCells count="5">
    <mergeCell ref="B12:C12"/>
    <mergeCell ref="D12:E12"/>
    <mergeCell ref="F12:G12"/>
    <mergeCell ref="E57:F57"/>
    <mergeCell ref="G57:H57"/>
  </mergeCells>
  <phoneticPr fontId="5" type="noConversion"/>
  <pageMargins left="0.75" right="0.75" top="1" bottom="1" header="0.5" footer="0.5"/>
  <pageSetup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H84"/>
  <sheetViews>
    <sheetView showGridLines="0" zoomScale="85" zoomScaleNormal="85" workbookViewId="0"/>
  </sheetViews>
  <sheetFormatPr defaultColWidth="9.140625" defaultRowHeight="12.75"/>
  <cols>
    <col min="1" max="1" width="24.7109375" style="64" customWidth="1"/>
    <col min="2" max="2" width="10" style="64" customWidth="1"/>
    <col min="3" max="3" width="11.42578125" style="64" customWidth="1"/>
    <col min="4" max="4" width="10.28515625" style="64" customWidth="1"/>
    <col min="5" max="5" width="10.140625" style="64" customWidth="1"/>
    <col min="6" max="6" width="9.140625" style="64"/>
    <col min="7" max="7" width="10.140625" style="64" customWidth="1"/>
    <col min="8" max="16384" width="9.140625" style="64"/>
  </cols>
  <sheetData>
    <row r="1" spans="1:7" ht="15.75">
      <c r="A1" s="6" t="s">
        <v>1234</v>
      </c>
    </row>
    <row r="2" spans="1:7" ht="12.75" customHeight="1">
      <c r="A2" s="111"/>
    </row>
    <row r="3" spans="1:7" ht="15">
      <c r="A3" s="381" t="s">
        <v>932</v>
      </c>
    </row>
    <row r="4" spans="1:7">
      <c r="A4" s="393" t="s">
        <v>769</v>
      </c>
      <c r="B4" s="533">
        <v>1</v>
      </c>
    </row>
    <row r="5" spans="1:7">
      <c r="A5" s="230" t="s">
        <v>770</v>
      </c>
      <c r="B5" s="588">
        <v>1</v>
      </c>
    </row>
    <row r="6" spans="1:7">
      <c r="A6" s="589" t="s">
        <v>773</v>
      </c>
      <c r="B6" s="428">
        <v>1</v>
      </c>
    </row>
    <row r="8" spans="1:7" ht="15">
      <c r="A8" s="381" t="s">
        <v>933</v>
      </c>
    </row>
    <row r="9" spans="1:7" ht="22.5" customHeight="1">
      <c r="A9" s="238"/>
      <c r="B9" s="3060" t="s">
        <v>561</v>
      </c>
      <c r="C9" s="3062"/>
      <c r="D9" s="2983" t="s">
        <v>572</v>
      </c>
      <c r="E9" s="2983"/>
      <c r="F9" s="2982" t="s">
        <v>573</v>
      </c>
      <c r="G9" s="2994"/>
    </row>
    <row r="10" spans="1:7" ht="72.75" customHeight="1">
      <c r="A10" s="571"/>
      <c r="B10" s="1673" t="s">
        <v>785</v>
      </c>
      <c r="C10" s="1674" t="s">
        <v>786</v>
      </c>
      <c r="D10" s="1675" t="s">
        <v>785</v>
      </c>
      <c r="E10" s="1675" t="s">
        <v>786</v>
      </c>
      <c r="F10" s="1673" t="s">
        <v>785</v>
      </c>
      <c r="G10" s="1674" t="s">
        <v>786</v>
      </c>
    </row>
    <row r="11" spans="1:7" ht="38.25">
      <c r="A11" s="659" t="s">
        <v>797</v>
      </c>
      <c r="B11" s="383">
        <f>Mat_Inputs!B483</f>
        <v>0</v>
      </c>
      <c r="C11" s="395"/>
      <c r="D11" s="377">
        <f>Mat_Inputs!B484</f>
        <v>0</v>
      </c>
      <c r="F11" s="383">
        <f>Mat_Inputs!B485</f>
        <v>0</v>
      </c>
      <c r="G11" s="395"/>
    </row>
    <row r="12" spans="1:7">
      <c r="A12" s="571" t="s">
        <v>798</v>
      </c>
      <c r="B12" s="416">
        <v>0</v>
      </c>
      <c r="C12" s="395"/>
      <c r="D12" s="382">
        <v>0</v>
      </c>
      <c r="F12" s="416">
        <v>0</v>
      </c>
      <c r="G12" s="395"/>
    </row>
    <row r="13" spans="1:7">
      <c r="A13" s="238" t="s">
        <v>799</v>
      </c>
      <c r="B13" s="393"/>
      <c r="C13" s="394"/>
      <c r="D13" s="392"/>
      <c r="E13" s="392"/>
      <c r="F13" s="393"/>
      <c r="G13" s="394"/>
    </row>
    <row r="14" spans="1:7">
      <c r="A14" s="230" t="s">
        <v>800</v>
      </c>
      <c r="B14" s="416">
        <v>0</v>
      </c>
      <c r="C14" s="588"/>
      <c r="D14" s="382">
        <v>0</v>
      </c>
      <c r="E14" s="382"/>
      <c r="F14" s="416">
        <v>0</v>
      </c>
      <c r="G14" s="395"/>
    </row>
    <row r="15" spans="1:7">
      <c r="A15" s="230" t="s">
        <v>802</v>
      </c>
      <c r="B15" s="416">
        <v>1</v>
      </c>
      <c r="C15" s="395" t="s">
        <v>861</v>
      </c>
      <c r="D15" s="382">
        <v>0</v>
      </c>
      <c r="E15" s="382"/>
      <c r="F15" s="416">
        <v>0</v>
      </c>
      <c r="G15" s="395"/>
    </row>
    <row r="16" spans="1:7">
      <c r="A16" s="230" t="s">
        <v>804</v>
      </c>
      <c r="B16" s="416">
        <v>0</v>
      </c>
      <c r="C16" s="588"/>
      <c r="D16" s="382">
        <v>0</v>
      </c>
      <c r="E16" s="382"/>
      <c r="F16" s="416">
        <v>0</v>
      </c>
      <c r="G16" s="395"/>
    </row>
    <row r="17" spans="1:7">
      <c r="A17" s="230" t="s">
        <v>805</v>
      </c>
      <c r="B17" s="416">
        <v>0</v>
      </c>
      <c r="C17" s="588"/>
      <c r="D17" s="382">
        <v>0</v>
      </c>
      <c r="E17" s="382"/>
      <c r="F17" s="416">
        <v>0</v>
      </c>
      <c r="G17" s="395"/>
    </row>
    <row r="18" spans="1:7">
      <c r="A18" s="589" t="s">
        <v>806</v>
      </c>
      <c r="B18" s="664">
        <f>1-SUM(B14:B17)</f>
        <v>0</v>
      </c>
      <c r="C18" s="428"/>
      <c r="D18" s="368">
        <f>1-SUM(D14:D17)</f>
        <v>1</v>
      </c>
      <c r="E18" s="368"/>
      <c r="F18" s="664">
        <f>1-SUM(F14:F17)</f>
        <v>1</v>
      </c>
      <c r="G18" s="707"/>
    </row>
    <row r="19" spans="1:7">
      <c r="A19" s="571" t="s">
        <v>862</v>
      </c>
      <c r="B19" s="230"/>
      <c r="C19" s="395"/>
      <c r="F19" s="230"/>
      <c r="G19" s="395"/>
    </row>
    <row r="20" spans="1:7" s="349" customFormat="1">
      <c r="A20" s="347" t="s">
        <v>800</v>
      </c>
      <c r="B20" s="390">
        <f>B$11*B14</f>
        <v>0</v>
      </c>
      <c r="C20" s="348"/>
      <c r="D20" s="389">
        <f>D$11*D14</f>
        <v>0</v>
      </c>
      <c r="F20" s="390">
        <f>F$11*F14</f>
        <v>0</v>
      </c>
      <c r="G20" s="348"/>
    </row>
    <row r="21" spans="1:7" s="349" customFormat="1">
      <c r="A21" s="347" t="s">
        <v>802</v>
      </c>
      <c r="B21" s="390">
        <f>B$11*B15</f>
        <v>0</v>
      </c>
      <c r="C21" s="348"/>
      <c r="D21" s="389">
        <f>D$11*D15</f>
        <v>0</v>
      </c>
      <c r="F21" s="390">
        <f>F$11*F15</f>
        <v>0</v>
      </c>
      <c r="G21" s="348"/>
    </row>
    <row r="22" spans="1:7" s="349" customFormat="1">
      <c r="A22" s="347" t="s">
        <v>804</v>
      </c>
      <c r="B22" s="390">
        <f>B$11*B16</f>
        <v>0</v>
      </c>
      <c r="C22" s="348"/>
      <c r="D22" s="389">
        <f>D$11*D16</f>
        <v>0</v>
      </c>
      <c r="F22" s="390">
        <f>F$11*F16</f>
        <v>0</v>
      </c>
      <c r="G22" s="348"/>
    </row>
    <row r="23" spans="1:7" s="349" customFormat="1">
      <c r="A23" s="347" t="s">
        <v>805</v>
      </c>
      <c r="B23" s="390">
        <f>B$11*B17</f>
        <v>0</v>
      </c>
      <c r="C23" s="348"/>
      <c r="D23" s="389">
        <f>D$11*D17</f>
        <v>0</v>
      </c>
      <c r="F23" s="390">
        <f>F$11*F17</f>
        <v>0</v>
      </c>
      <c r="G23" s="348"/>
    </row>
    <row r="24" spans="1:7" s="349" customFormat="1">
      <c r="A24" s="347" t="s">
        <v>806</v>
      </c>
      <c r="B24" s="390">
        <f>B$11*B18</f>
        <v>0</v>
      </c>
      <c r="C24" s="348"/>
      <c r="D24" s="389">
        <f>D$11*D18</f>
        <v>0</v>
      </c>
      <c r="F24" s="390">
        <f>F$11*F18</f>
        <v>0</v>
      </c>
      <c r="G24" s="348"/>
    </row>
    <row r="25" spans="1:7" s="349" customFormat="1">
      <c r="A25" s="510" t="s">
        <v>816</v>
      </c>
      <c r="B25" s="510">
        <f>B$20*(1+(GREET1_Import_Export!$F$179*GREET1_Import_Export!$B180+GREET1_Import_Export!$F180)/1000000)+B$21*(1+(GREET1_Import_Export!$H$179*GREET1_Import_Export!$B180+GREET1_Import_Export!$H180)/1000000)+B$22*(1+GREET1_Import_Export!$B216/1000000)+B$23*(1+GREET1_Import_Export!$B284/1000000)+B$24*(GREET1_Import_Export!$B309+GREET1_Import_Export!$C309)/1000000</f>
        <v>0</v>
      </c>
      <c r="C25" s="509"/>
      <c r="D25" s="512">
        <f>D$20*(1+(GREET1_Import_Export!$F$179*GREET1_Import_Export!$B180+GREET1_Import_Export!$F180)/1000000)+D$21*(1+(GREET1_Import_Export!$G$179*GREET1_Import_Export!$B180+GREET1_Import_Export!$G180)/1000000)+D$22*(1+GREET1_Import_Export!$B216/1000000)+D$23*(1+GREET1_Import_Export!$B284/1000000)+D$24*(GREET1_Import_Export!$B309+GREET1_Import_Export!$C309)/1000000</f>
        <v>0</v>
      </c>
      <c r="E25" s="512"/>
      <c r="F25" s="510">
        <f>F$20*(1+(GREET1_Import_Export!$F$179*GREET1_Import_Export!$B180+GREET1_Import_Export!$F180)/1000000)+F$21*(1+(GREET1_Import_Export!$G$179*GREET1_Import_Export!$B180+GREET1_Import_Export!$G180)/1000000)+F$22*(1+GREET1_Import_Export!$B216/1000000)+F$23*(1+GREET1_Import_Export!$B284/1000000)+F$24*(GREET1_Import_Export!$B309+GREET1_Import_Export!$C309)/1000000</f>
        <v>0</v>
      </c>
      <c r="G25" s="509"/>
    </row>
    <row r="26" spans="1:7" s="349" customFormat="1">
      <c r="A26" s="347" t="s">
        <v>817</v>
      </c>
      <c r="B26" s="347">
        <f>B$20*(1+(GREET1_Import_Export!$F$179*GREET1_Import_Export!$B181+GREET1_Import_Export!$F181)/1000000)+B$21*(1+(GREET1_Import_Export!$H$179*GREET1_Import_Export!$B181+GREET1_Import_Export!$H181)/1000000)+B$22*(1+GREET1_Import_Export!$B217/1000000)+B$23*(1+GREET1_Import_Export!$B285/1000000)+B$24*(GREET1_Import_Export!$B310+GREET1_Import_Export!$C310)/1000000</f>
        <v>0</v>
      </c>
      <c r="C26" s="348"/>
      <c r="D26" s="349">
        <f>D$20*(1+(GREET1_Import_Export!$F$179*GREET1_Import_Export!$B181+GREET1_Import_Export!$F181)/1000000)+D$21*(1+(GREET1_Import_Export!$G$179*GREET1_Import_Export!$B181+GREET1_Import_Export!$G181)/1000000)+D$22*(1+GREET1_Import_Export!$B217/1000000)+D$23*(1+GREET1_Import_Export!$B285/1000000)+D$24*(GREET1_Import_Export!$B310+GREET1_Import_Export!$C310)/1000000</f>
        <v>0</v>
      </c>
      <c r="F26" s="347">
        <f>F$20*(1+(GREET1_Import_Export!$F$179*GREET1_Import_Export!$B181+GREET1_Import_Export!$F181)/1000000)+F$21*(1+(GREET1_Import_Export!$G$179*GREET1_Import_Export!$B181+GREET1_Import_Export!$G181)/1000000)+F$22*(1+GREET1_Import_Export!$B217/1000000)+F$23*(1+GREET1_Import_Export!$B285/1000000)+F$24*(GREET1_Import_Export!$B310+GREET1_Import_Export!$C310)/1000000</f>
        <v>0</v>
      </c>
      <c r="G26" s="348"/>
    </row>
    <row r="27" spans="1:7" s="349" customFormat="1">
      <c r="A27" s="347" t="s">
        <v>805</v>
      </c>
      <c r="B27" s="347">
        <f>B$20*(GREET1_Import_Export!$F$179*GREET1_Import_Export!$B182+GREET1_Import_Export!$F182)/1000000+B$21*(GREET1_Import_Export!$H$179*GREET1_Import_Export!$B182+GREET1_Import_Export!$H182)/1000000+B$22*GREET1_Import_Export!$B218/1000000+B$23*(1+GREET1_Import_Export!$B286/1000000)+B$24*(GREET1_Import_Export!$B311+GREET1_Import_Export!$C311)/1000000</f>
        <v>0</v>
      </c>
      <c r="C27" s="348"/>
      <c r="D27" s="349">
        <f>D$20*(GREET1_Import_Export!$F$179*GREET1_Import_Export!$B182+GREET1_Import_Export!$F182)/1000000+D$21*(GREET1_Import_Export!$G$179*GREET1_Import_Export!$B182+GREET1_Import_Export!$G182)/1000000+D$22*GREET1_Import_Export!$B218/1000000+D$23*(1+GREET1_Import_Export!$B286/1000000)+D$24*(GREET1_Import_Export!$B311+GREET1_Import_Export!$C311)/1000000</f>
        <v>0</v>
      </c>
      <c r="F27" s="347">
        <f>F$20*(GREET1_Import_Export!$F$179*GREET1_Import_Export!$B182+GREET1_Import_Export!$F182)/1000000+F$21*(GREET1_Import_Export!$G$179*GREET1_Import_Export!$B182+GREET1_Import_Export!$G182)/1000000+F$22*GREET1_Import_Export!$B218/1000000+F$23*(1+GREET1_Import_Export!$B286/1000000)+F$24*(GREET1_Import_Export!$B311+GREET1_Import_Export!$C311)/1000000</f>
        <v>0</v>
      </c>
      <c r="G27" s="348"/>
    </row>
    <row r="28" spans="1:7" s="349" customFormat="1">
      <c r="A28" s="347" t="s">
        <v>804</v>
      </c>
      <c r="B28" s="347">
        <f>B26-B27-B29</f>
        <v>0</v>
      </c>
      <c r="C28" s="348"/>
      <c r="D28" s="349">
        <f>D26-D27-D29</f>
        <v>0</v>
      </c>
      <c r="F28" s="347">
        <f>F26-F27-F29</f>
        <v>0</v>
      </c>
      <c r="G28" s="348"/>
    </row>
    <row r="29" spans="1:7" s="349" customFormat="1">
      <c r="A29" s="347" t="s">
        <v>818</v>
      </c>
      <c r="B29" s="347">
        <f>B$20*(1+(GREET1_Import_Export!$F$179*GREET1_Import_Export!$B184+GREET1_Import_Export!$F184)/1000000)+B$21*(1+(GREET1_Import_Export!$H$179*GREET1_Import_Export!$B184+GREET1_Import_Export!$H184)/1000000)+B$22*GREET1_Import_Export!$B220/1000000+B$23*GREET1_Import_Export!$B288/1000000+B$24*(GREET1_Import_Export!$B313+GREET1_Import_Export!$C313)/1000000</f>
        <v>0</v>
      </c>
      <c r="C29" s="348"/>
      <c r="D29" s="349">
        <f>D$20*(1+(GREET1_Import_Export!$F$179*GREET1_Import_Export!$B184+GREET1_Import_Export!$F184)/1000000)+D$21*(1+(GREET1_Import_Export!$G$179*GREET1_Import_Export!$B184+GREET1_Import_Export!$G184)/1000000)+D$22*GREET1_Import_Export!$B220/1000000+D$23*GREET1_Import_Export!$B288/1000000+D$24*(GREET1_Import_Export!$B313+GREET1_Import_Export!$C313)/1000000</f>
        <v>0</v>
      </c>
      <c r="F29" s="347">
        <f>F$20*(1+(GREET1_Import_Export!$F$179*GREET1_Import_Export!$B184+GREET1_Import_Export!$F184)/1000000)+F$21*(1+(GREET1_Import_Export!$G$179*GREET1_Import_Export!$B184+GREET1_Import_Export!$G184)/1000000)+F$22*GREET1_Import_Export!$B220/1000000+F$23*GREET1_Import_Export!$B288/1000000+F$24*(GREET1_Import_Export!$B313+GREET1_Import_Export!$C313)/1000000</f>
        <v>0</v>
      </c>
      <c r="G29" s="348"/>
    </row>
    <row r="30" spans="1:7" s="419" customFormat="1">
      <c r="A30" s="160" t="s">
        <v>819</v>
      </c>
      <c r="B30" s="160">
        <f>B$20*((GREET1_Import_Export!$F$179*GREET1_Import_Export!$B185+GREET1_Import_Export!$F185))+B$21*((GREET1_Import_Export!$H$179*GREET1_Import_Export!$B185+GREET1_Import_Export!$H185))+B$22*GREET1_Import_Export!$B221+B$23*GREET1_Import_Export!$B289+B$24*(GREET1_Import_Export!$B314+GREET1_Import_Export!$C314)</f>
        <v>0</v>
      </c>
      <c r="C30" s="752"/>
      <c r="D30" s="1">
        <f>D$20*((GREET1_Import_Export!$F$179*GREET1_Import_Export!$B185+GREET1_Import_Export!$F185))+D$21*((GREET1_Import_Export!$G$179*GREET1_Import_Export!$B185+GREET1_Import_Export!$G185))+D$22*GREET1_Import_Export!$B221+D$23*GREET1_Import_Export!$B289+D$24*(GREET1_Import_Export!$B314+GREET1_Import_Export!$C314)</f>
        <v>0</v>
      </c>
      <c r="E30" s="374"/>
      <c r="F30" s="173">
        <f>F$20*((GREET1_Import_Export!$F$179*GREET1_Import_Export!$B185+GREET1_Import_Export!$F185))+F$21*((GREET1_Import_Export!$G$179*GREET1_Import_Export!$B185+GREET1_Import_Export!$G185))+F$22*GREET1_Import_Export!$B221+F$23*GREET1_Import_Export!$B289+F$24*(GREET1_Import_Export!$B314+GREET1_Import_Export!$C314)</f>
        <v>0</v>
      </c>
      <c r="G30" s="752"/>
    </row>
    <row r="31" spans="1:7" s="349" customFormat="1">
      <c r="A31" s="699" t="s">
        <v>864</v>
      </c>
      <c r="B31" s="510"/>
      <c r="C31" s="509"/>
      <c r="D31" s="512"/>
      <c r="E31" s="512"/>
      <c r="F31" s="510"/>
      <c r="G31" s="509"/>
    </row>
    <row r="32" spans="1:7" s="349" customFormat="1">
      <c r="A32" s="347" t="s">
        <v>821</v>
      </c>
      <c r="B32" s="347">
        <f>B$20*($B$4*GREET1_Import_Export!$K72+GREET1_Import_Export!$F$179*GREET1_Import_Export!$B186+GREET1_Import_Export!$F186)+B$21*(GREET1_Import_Export!$R72+GREET1_Import_Export!$H$179*GREET1_Import_Export!$B186+GREET1_Import_Export!$H186)+B$22*($B$5*GREET1_Import_Export!$B72+GREET1_Import_Export!$B222)+B$23*($B$6*GREET1_Import_Export!$AA72+GREET1_Import_Export!$B290)+B$24*(GREET1_Import_Export!$B315+GREET1_Import_Export!$C315)</f>
        <v>0</v>
      </c>
      <c r="C32" s="348"/>
      <c r="D32" s="349">
        <f>D$20*($B$4*GREET1_Import_Export!$K72+GREET1_Import_Export!$F$179*GREET1_Import_Export!$B186+GREET1_Import_Export!$F186)+D$21*(GREET1_Import_Export!$O72+GREET1_Import_Export!$G$179*GREET1_Import_Export!$B186+GREET1_Import_Export!$G186)+D$22*($B$5*GREET1_Import_Export!$B72+GREET1_Import_Export!$B222)+D$23*($B$6*GREET1_Import_Export!$AA72+GREET1_Import_Export!$B290)+D$24*(GREET1_Import_Export!$B315+GREET1_Import_Export!$C315)</f>
        <v>0</v>
      </c>
      <c r="F32" s="347">
        <f>F$20*($B$4*GREET1_Import_Export!$K72+GREET1_Import_Export!$F$179*GREET1_Import_Export!$B186+GREET1_Import_Export!$F186)+F$21*(GREET1_Import_Export!$O72+GREET1_Import_Export!$G$179*GREET1_Import_Export!$B186+GREET1_Import_Export!$G186)+F$22*($B$5*GREET1_Import_Export!$B72+GREET1_Import_Export!$B222)+F$23*($B$6*GREET1_Import_Export!$AA72+GREET1_Import_Export!$B290)+F$24*(GREET1_Import_Export!$B315+GREET1_Import_Export!$C315)</f>
        <v>0</v>
      </c>
      <c r="G32" s="348"/>
    </row>
    <row r="33" spans="1:7" s="349" customFormat="1">
      <c r="A33" s="347" t="s">
        <v>822</v>
      </c>
      <c r="B33" s="347">
        <f>B$20*($B$4*GREET1_Import_Export!$K73+GREET1_Import_Export!$F$179*GREET1_Import_Export!$B187+GREET1_Import_Export!$F187)+B$21*(GREET1_Import_Export!$R73+GREET1_Import_Export!$H$179*GREET1_Import_Export!$B187+GREET1_Import_Export!$H187)+B$22*($B$5*GREET1_Import_Export!$B73+GREET1_Import_Export!$B223)+B$23*($B$6*GREET1_Import_Export!$AA73+GREET1_Import_Export!$B291)+B$24*(GREET1_Import_Export!$B316+GREET1_Import_Export!$C316)</f>
        <v>0</v>
      </c>
      <c r="C33" s="348"/>
      <c r="D33" s="349">
        <f>D$20*($B$4*GREET1_Import_Export!$K73+GREET1_Import_Export!$F$179*GREET1_Import_Export!$B187+GREET1_Import_Export!$F187)+D$21*(GREET1_Import_Export!$O73+GREET1_Import_Export!$G$179*GREET1_Import_Export!$B187+GREET1_Import_Export!$G187)+D$22*($B$5*GREET1_Import_Export!$B73+GREET1_Import_Export!$B223)+D$23*($B$6*GREET1_Import_Export!$AA73+GREET1_Import_Export!$B291)+D$24*(GREET1_Import_Export!$B316+GREET1_Import_Export!$C316)</f>
        <v>0</v>
      </c>
      <c r="F33" s="347">
        <f>F$20*($B$4*GREET1_Import_Export!$K73+GREET1_Import_Export!$F$179*GREET1_Import_Export!$B187+GREET1_Import_Export!$F187)+F$21*(GREET1_Import_Export!$O73+GREET1_Import_Export!$G$179*GREET1_Import_Export!$B187+GREET1_Import_Export!$G187)+F$22*($B$5*GREET1_Import_Export!$B73+GREET1_Import_Export!$B223)+F$23*($B$6*GREET1_Import_Export!$AA73+GREET1_Import_Export!$B291)+F$24*(GREET1_Import_Export!$B316+GREET1_Import_Export!$C316)</f>
        <v>0</v>
      </c>
      <c r="G33" s="348"/>
    </row>
    <row r="34" spans="1:7" s="349" customFormat="1">
      <c r="A34" s="347" t="s">
        <v>823</v>
      </c>
      <c r="B34" s="347">
        <f>B$20*($B$4*GREET1_Import_Export!$K74+GREET1_Import_Export!$F$179*GREET1_Import_Export!$B188+GREET1_Import_Export!$F188)+B$21*(GREET1_Import_Export!$R74+GREET1_Import_Export!$H$179*GREET1_Import_Export!$B188+GREET1_Import_Export!$H188)+B$22*($B$5*GREET1_Import_Export!$B74+GREET1_Import_Export!$B224)+B$23*($B$6*GREET1_Import_Export!$AA74+GREET1_Import_Export!$B292)+B$24*(GREET1_Import_Export!$B317+GREET1_Import_Export!$C317)</f>
        <v>0</v>
      </c>
      <c r="C34" s="348"/>
      <c r="D34" s="349">
        <f>D$20*($B$4*GREET1_Import_Export!$K74+GREET1_Import_Export!$F$179*GREET1_Import_Export!$B188+GREET1_Import_Export!$F188)+D$21*(GREET1_Import_Export!$O74+GREET1_Import_Export!$G$179*GREET1_Import_Export!$B188+GREET1_Import_Export!$G188)+D$22*($B$5*GREET1_Import_Export!$B74+GREET1_Import_Export!$B224)+D$23*($B$6*GREET1_Import_Export!$AA74+GREET1_Import_Export!$B292)+D$24*(GREET1_Import_Export!$B317+GREET1_Import_Export!$C317)</f>
        <v>0</v>
      </c>
      <c r="F34" s="347">
        <f>F$20*($B$4*GREET1_Import_Export!$K74+GREET1_Import_Export!$F$179*GREET1_Import_Export!$B188+GREET1_Import_Export!$F188)+F$21*(GREET1_Import_Export!$O74+GREET1_Import_Export!$G$179*GREET1_Import_Export!$B188+GREET1_Import_Export!$G188)+F$22*($B$5*GREET1_Import_Export!$B74+GREET1_Import_Export!$B224)+F$23*($B$6*GREET1_Import_Export!$AA74+GREET1_Import_Export!$B292)+F$24*(GREET1_Import_Export!$B317+GREET1_Import_Export!$C317)</f>
        <v>0</v>
      </c>
      <c r="G34" s="348"/>
    </row>
    <row r="35" spans="1:7" s="349" customFormat="1">
      <c r="A35" s="347" t="s">
        <v>824</v>
      </c>
      <c r="B35" s="347">
        <f>B$20*($B$4*GREET1_Import_Export!$K75+GREET1_Import_Export!$F$179*GREET1_Import_Export!$B189+GREET1_Import_Export!$F189)+B$21*(GREET1_Import_Export!$R75+GREET1_Import_Export!$H$179*GREET1_Import_Export!$B189+GREET1_Import_Export!$H189)+B$22*($B$5*GREET1_Import_Export!$B75+GREET1_Import_Export!$B225)+B$23*($B$6*GREET1_Import_Export!$AA75+GREET1_Import_Export!$B293)+B$24*(GREET1_Import_Export!$B318+GREET1_Import_Export!$C318)</f>
        <v>0</v>
      </c>
      <c r="C35" s="348"/>
      <c r="D35" s="349">
        <f>D$20*($B$4*GREET1_Import_Export!$K75+GREET1_Import_Export!$F$179*GREET1_Import_Export!$B189+GREET1_Import_Export!$F189)+D$21*(GREET1_Import_Export!$O75+GREET1_Import_Export!$G$179*GREET1_Import_Export!$B189+GREET1_Import_Export!$G189)+D$22*($B$5*GREET1_Import_Export!$B75+GREET1_Import_Export!$B225)+D$23*($B$6*GREET1_Import_Export!$AA75+GREET1_Import_Export!$B293)+D$24*(GREET1_Import_Export!$B318+GREET1_Import_Export!$C318)</f>
        <v>0</v>
      </c>
      <c r="F35" s="347">
        <f>F$20*($B$4*GREET1_Import_Export!$K75+GREET1_Import_Export!$F$179*GREET1_Import_Export!$B189+GREET1_Import_Export!$F189)+F$21*(GREET1_Import_Export!$O75+GREET1_Import_Export!$G$179*GREET1_Import_Export!$B189+GREET1_Import_Export!$G189)+F$22*($B$5*GREET1_Import_Export!$B75+GREET1_Import_Export!$B225)+F$23*($B$6*GREET1_Import_Export!$AA75+GREET1_Import_Export!$B293)+F$24*(GREET1_Import_Export!$B318+GREET1_Import_Export!$C318)</f>
        <v>0</v>
      </c>
      <c r="G35" s="348"/>
    </row>
    <row r="36" spans="1:7" s="349" customFormat="1">
      <c r="A36" s="347" t="s">
        <v>825</v>
      </c>
      <c r="B36" s="347">
        <f>B$20*($B$4*GREET1_Import_Export!$K76+GREET1_Import_Export!$F$179*GREET1_Import_Export!$B190+GREET1_Import_Export!$F190)+B$21*(GREET1_Import_Export!$R76+GREET1_Import_Export!$H$179*GREET1_Import_Export!$B190+GREET1_Import_Export!$H190)+B$22*($B$5*GREET1_Import_Export!$B76+GREET1_Import_Export!$B226)+B$23*($B$6*GREET1_Import_Export!$AA76+GREET1_Import_Export!$B294)+B$24*(GREET1_Import_Export!$B319+GREET1_Import_Export!$C319)</f>
        <v>0</v>
      </c>
      <c r="C36" s="348"/>
      <c r="D36" s="349">
        <f>D$20*($B$4*GREET1_Import_Export!$K76+GREET1_Import_Export!$F$179*GREET1_Import_Export!$B190+GREET1_Import_Export!$F190)+D$21*(GREET1_Import_Export!$O76+GREET1_Import_Export!$G$179*GREET1_Import_Export!$B190+GREET1_Import_Export!$G190)+D$22*($B$5*GREET1_Import_Export!$B76+GREET1_Import_Export!$B226)+D$23*($B$6*GREET1_Import_Export!$AA76+GREET1_Import_Export!$B294)+D$24*(GREET1_Import_Export!$B319+GREET1_Import_Export!$C319)</f>
        <v>0</v>
      </c>
      <c r="F36" s="347">
        <f>F$20*($B$4*GREET1_Import_Export!$K76+GREET1_Import_Export!$F$179*GREET1_Import_Export!$B190+GREET1_Import_Export!$F190)+F$21*(GREET1_Import_Export!$O76+GREET1_Import_Export!$G$179*GREET1_Import_Export!$B190+GREET1_Import_Export!$G190)+F$22*($B$5*GREET1_Import_Export!$B76+GREET1_Import_Export!$B226)+F$23*($B$6*GREET1_Import_Export!$AA76+GREET1_Import_Export!$B294)+F$24*(GREET1_Import_Export!$B319+GREET1_Import_Export!$C319)</f>
        <v>0</v>
      </c>
      <c r="G36" s="348"/>
    </row>
    <row r="37" spans="1:7" s="349" customFormat="1">
      <c r="A37" s="347" t="s">
        <v>826</v>
      </c>
      <c r="B37" s="347">
        <f>B$20*($B$4*GREET1_Import_Export!$K77+GREET1_Import_Export!$F$179*GREET1_Import_Export!$B191+GREET1_Import_Export!$F191)+B$21*(GREET1_Import_Export!$R77+GREET1_Import_Export!$H$179*GREET1_Import_Export!$B191+GREET1_Import_Export!$H191)+B$22*($B$5*GREET1_Import_Export!$B77+GREET1_Import_Export!$B227)+B$23*($B$6*GREET1_Import_Export!$AA77+GREET1_Import_Export!$B295)+B$24*(GREET1_Import_Export!$B320+GREET1_Import_Export!$C320)</f>
        <v>0</v>
      </c>
      <c r="C37" s="348"/>
      <c r="D37" s="349">
        <f>D$20*($B$4*GREET1_Import_Export!$K77+GREET1_Import_Export!$F$179*GREET1_Import_Export!$B191+GREET1_Import_Export!$F191)+D$21*(GREET1_Import_Export!$O77+GREET1_Import_Export!$G$179*GREET1_Import_Export!$B191+GREET1_Import_Export!$G191)+D$22*($B$5*GREET1_Import_Export!$B77+GREET1_Import_Export!$B227)+D$23*($B$6*GREET1_Import_Export!$AA77+GREET1_Import_Export!$B295)+D$24*(GREET1_Import_Export!$B320+GREET1_Import_Export!$C320)</f>
        <v>0</v>
      </c>
      <c r="F37" s="347">
        <f>F$20*($B$4*GREET1_Import_Export!$K77+GREET1_Import_Export!$F$179*GREET1_Import_Export!$B191+GREET1_Import_Export!$F191)+F$21*(GREET1_Import_Export!$O77+GREET1_Import_Export!$G$179*GREET1_Import_Export!$B191+GREET1_Import_Export!$G191)+F$22*($B$5*GREET1_Import_Export!$B77+GREET1_Import_Export!$B227)+F$23*($B$6*GREET1_Import_Export!$AA77+GREET1_Import_Export!$B295)+F$24*(GREET1_Import_Export!$B320+GREET1_Import_Export!$C320)</f>
        <v>0</v>
      </c>
      <c r="G37" s="348"/>
    </row>
    <row r="38" spans="1:7" s="349" customFormat="1">
      <c r="A38" s="749" t="s">
        <v>827</v>
      </c>
      <c r="B38" s="347">
        <f>B$20*($B$4*GREET1_Import_Export!$K78+GREET1_Import_Export!$F$179*GREET1_Import_Export!$B192+GREET1_Import_Export!$F192)+B$21*(GREET1_Import_Export!$R78+GREET1_Import_Export!$H$179*GREET1_Import_Export!$B192+GREET1_Import_Export!$H192)+B$22*($B$5*GREET1_Import_Export!$B78+GREET1_Import_Export!$B228)+B$23*($B$6*GREET1_Import_Export!$AA78+GREET1_Import_Export!$B296)+B$24*(GREET1_Import_Export!$B321+GREET1_Import_Export!$C321)</f>
        <v>0</v>
      </c>
      <c r="C38" s="348"/>
      <c r="D38" s="349">
        <f>D$20*($B$4*GREET1_Import_Export!$K78+GREET1_Import_Export!$F$179*GREET1_Import_Export!$B192+GREET1_Import_Export!$F192)+D$21*(GREET1_Import_Export!$O78+GREET1_Import_Export!$G$179*GREET1_Import_Export!$B192+GREET1_Import_Export!$G192)+D$22*($B$5*GREET1_Import_Export!$B78+GREET1_Import_Export!$B228)+D$23*($B$6*GREET1_Import_Export!$AA78+GREET1_Import_Export!$B296)+D$24*(GREET1_Import_Export!$B321+GREET1_Import_Export!$C321)</f>
        <v>0</v>
      </c>
      <c r="F38" s="347">
        <f>F$20*($B$4*GREET1_Import_Export!$K78+GREET1_Import_Export!$F$179*GREET1_Import_Export!$B192+GREET1_Import_Export!$F192)+F$21*(GREET1_Import_Export!$O78+GREET1_Import_Export!$G$179*GREET1_Import_Export!$B192+GREET1_Import_Export!$G192)+F$22*($B$5*GREET1_Import_Export!$B78+GREET1_Import_Export!$B228)+F$23*($B$6*GREET1_Import_Export!$AA78+GREET1_Import_Export!$B296)+F$24*(GREET1_Import_Export!$B321+GREET1_Import_Export!$C321)</f>
        <v>0</v>
      </c>
      <c r="G38" s="348"/>
    </row>
    <row r="39" spans="1:7" s="349" customFormat="1">
      <c r="A39" s="749" t="s">
        <v>828</v>
      </c>
      <c r="B39" s="347">
        <f>B$20*($B$4*GREET1_Import_Export!$K79+GREET1_Import_Export!$F$179*GREET1_Import_Export!$B193+GREET1_Import_Export!$F193)+B$21*(GREET1_Import_Export!$R79+GREET1_Import_Export!$H$179*GREET1_Import_Export!$B193+GREET1_Import_Export!$H193)+B$22*($B$5*GREET1_Import_Export!$B79+GREET1_Import_Export!$B229)+B$23*($B$6*GREET1_Import_Export!$AA79+GREET1_Import_Export!$B297)+B$24*(GREET1_Import_Export!$B322+GREET1_Import_Export!$C322)</f>
        <v>0</v>
      </c>
      <c r="C39" s="348"/>
      <c r="D39" s="349">
        <f>D$20*($B$4*GREET1_Import_Export!$K79+GREET1_Import_Export!$F$179*GREET1_Import_Export!$B193+GREET1_Import_Export!$F193)+D$21*(GREET1_Import_Export!$O79+GREET1_Import_Export!$G$179*GREET1_Import_Export!$B193+GREET1_Import_Export!$G193)+D$22*($B$5*GREET1_Import_Export!$B79+GREET1_Import_Export!$B229)+D$23*($B$6*GREET1_Import_Export!$AA79+GREET1_Import_Export!$B297)+D$24*(GREET1_Import_Export!$B322+GREET1_Import_Export!$C322)</f>
        <v>0</v>
      </c>
      <c r="F39" s="347">
        <f>F$20*($B$4*GREET1_Import_Export!$K79+GREET1_Import_Export!$F$179*GREET1_Import_Export!$B193+GREET1_Import_Export!$F193)+F$21*(GREET1_Import_Export!$O79+GREET1_Import_Export!$G$179*GREET1_Import_Export!$B193+GREET1_Import_Export!$G193)+F$22*($B$5*GREET1_Import_Export!$B79+GREET1_Import_Export!$B229)+F$23*($B$6*GREET1_Import_Export!$AA79+GREET1_Import_Export!$B297)+F$24*(GREET1_Import_Export!$B322+GREET1_Import_Export!$C322)</f>
        <v>0</v>
      </c>
      <c r="G39" s="348"/>
    </row>
    <row r="40" spans="1:7" s="349" customFormat="1">
      <c r="A40" s="347" t="s">
        <v>829</v>
      </c>
      <c r="B40" s="347">
        <f>B$20*($B$4*GREET1_Import_Export!$K80+GREET1_Import_Export!$F$179*GREET1_Import_Export!$B194+GREET1_Import_Export!$F194)+B$21*(GREET1_Import_Export!$R80+GREET1_Import_Export!$H$179*GREET1_Import_Export!$B194+GREET1_Import_Export!$H194)+B$22*($B$5*GREET1_Import_Export!$B80+GREET1_Import_Export!$B230)+B$23*($B$6*GREET1_Import_Export!$AA80+GREET1_Import_Export!$B298)+B$24*(GREET1_Import_Export!$B323+GREET1_Import_Export!$C323)</f>
        <v>0</v>
      </c>
      <c r="C40" s="348"/>
      <c r="D40" s="349">
        <f>D$20*($B$4*GREET1_Import_Export!$K80+GREET1_Import_Export!$F$179*GREET1_Import_Export!$B194+GREET1_Import_Export!$F194)+D$21*(GREET1_Import_Export!$O80+GREET1_Import_Export!$G$179*GREET1_Import_Export!$B194+GREET1_Import_Export!$G194)+D$22*($B$5*GREET1_Import_Export!$B80+GREET1_Import_Export!$B230)+D$23*($B$6*GREET1_Import_Export!$AA80+GREET1_Import_Export!$B298)+D$24*(GREET1_Import_Export!$B323+GREET1_Import_Export!$C323)</f>
        <v>0</v>
      </c>
      <c r="F40" s="347">
        <f>F$20*($B$4*GREET1_Import_Export!$K80+GREET1_Import_Export!$F$179*GREET1_Import_Export!$B194+GREET1_Import_Export!$F194)+F$21*(GREET1_Import_Export!$O80+GREET1_Import_Export!$G$179*GREET1_Import_Export!$B194+GREET1_Import_Export!$G194)+F$22*($B$5*GREET1_Import_Export!$B80+GREET1_Import_Export!$B230)+F$23*($B$6*GREET1_Import_Export!$AA80+GREET1_Import_Export!$B298)+F$24*(GREET1_Import_Export!$B323+GREET1_Import_Export!$C323)</f>
        <v>0</v>
      </c>
      <c r="G40" s="348"/>
    </row>
    <row r="41" spans="1:7" s="349" customFormat="1">
      <c r="A41" s="347" t="s">
        <v>830</v>
      </c>
      <c r="B41" s="347">
        <f>B$20*($B$4*GREET1_Import_Export!$K81+GREET1_Import_Export!$F$179*GREET1_Import_Export!$B195+GREET1_Import_Export!$F195)+B$21*(GREET1_Import_Export!$R81+GREET1_Import_Export!$H$179*GREET1_Import_Export!$B195+GREET1_Import_Export!$H195)+B$22*($B$5*GREET1_Import_Export!$B81+GREET1_Import_Export!$B231)+B$23*($B$6*GREET1_Import_Export!$AA81+GREET1_Import_Export!$B299)+B$24*(GREET1_Import_Export!$B324+GREET1_Import_Export!$C324)</f>
        <v>0</v>
      </c>
      <c r="C41" s="348"/>
      <c r="D41" s="349">
        <f>D$20*($B$4*GREET1_Import_Export!$K81+GREET1_Import_Export!$F$179*GREET1_Import_Export!$B195+GREET1_Import_Export!$F195)+D$21*(GREET1_Import_Export!$O81+GREET1_Import_Export!$G$179*GREET1_Import_Export!$B195+GREET1_Import_Export!$G195)+D$22*($B$5*GREET1_Import_Export!$B81+GREET1_Import_Export!$B231)+D$23*($B$6*GREET1_Import_Export!$AA81+GREET1_Import_Export!$B299)+D$24*(GREET1_Import_Export!$B324+GREET1_Import_Export!$C324)</f>
        <v>0</v>
      </c>
      <c r="F41" s="347">
        <f>F$20*($B$4*GREET1_Import_Export!$K81+GREET1_Import_Export!$F$179*GREET1_Import_Export!$B195+GREET1_Import_Export!$F195)+F$21*(GREET1_Import_Export!$O81+GREET1_Import_Export!$G$179*GREET1_Import_Export!$B195+GREET1_Import_Export!$G195)+F$22*($B$5*GREET1_Import_Export!$B81+GREET1_Import_Export!$B231)+F$23*($B$6*GREET1_Import_Export!$AA81+GREET1_Import_Export!$B299)+F$24*(GREET1_Import_Export!$B324+GREET1_Import_Export!$C324)</f>
        <v>0</v>
      </c>
      <c r="G41" s="348"/>
    </row>
    <row r="42" spans="1:7" s="419" customFormat="1">
      <c r="A42" s="668" t="s">
        <v>831</v>
      </c>
      <c r="B42" s="295">
        <f>B$20*($B$4*GREET1_Import_Export!$K82+GREET1_Import_Export!$F$179*GREET1_Import_Export!$B196+GREET1_Import_Export!$F196)+B$21*(GREET1_Import_Export!$R82+GREET1_Import_Export!$H$179*GREET1_Import_Export!$B196+GREET1_Import_Export!$H196)+B$22*($B$5*GREET1_Import_Export!$B82+GREET1_Import_Export!$B232)+B$23*($B$6*GREET1_Import_Export!$AA82+GREET1_Import_Export!$B300)+B$24*(GREET1_Import_Export!$B325+GREET1_Import_Export!$C325)</f>
        <v>0</v>
      </c>
      <c r="C42" s="752"/>
      <c r="D42" s="374">
        <f>D$20*($B$4*GREET1_Import_Export!$K82+GREET1_Import_Export!$F$179*GREET1_Import_Export!$B196+GREET1_Import_Export!$F196)+D$21*(GREET1_Import_Export!$O82+GREET1_Import_Export!$G$179*GREET1_Import_Export!$B196+GREET1_Import_Export!$G196)+D$22*($B$5*GREET1_Import_Export!$B82+GREET1_Import_Export!$B232)+D$23*($B$6*GREET1_Import_Export!$AA82+GREET1_Import_Export!$B300)+D$24*(GREET1_Import_Export!$B325+GREET1_Import_Export!$C325)</f>
        <v>0</v>
      </c>
      <c r="E42" s="374"/>
      <c r="F42" s="668">
        <f>F$20*($B$4*GREET1_Import_Export!$K82+GREET1_Import_Export!$F$179*GREET1_Import_Export!$B196+GREET1_Import_Export!$F196)+F$21*(GREET1_Import_Export!$O82+GREET1_Import_Export!$G$179*GREET1_Import_Export!$B196+GREET1_Import_Export!$G196)+F$22*($B$5*GREET1_Import_Export!$B82+GREET1_Import_Export!$B232)+F$23*($B$6*GREET1_Import_Export!$AA82+GREET1_Import_Export!$B300)+F$24*(GREET1_Import_Export!$B325+GREET1_Import_Export!$C325)</f>
        <v>0</v>
      </c>
      <c r="G42" s="752"/>
    </row>
    <row r="43" spans="1:7" s="349" customFormat="1">
      <c r="A43" s="758" t="s">
        <v>865</v>
      </c>
      <c r="B43" s="347"/>
      <c r="C43" s="348"/>
      <c r="D43" s="389"/>
      <c r="F43" s="347"/>
      <c r="G43" s="348"/>
    </row>
    <row r="44" spans="1:7" s="349" customFormat="1">
      <c r="A44" s="347" t="s">
        <v>821</v>
      </c>
      <c r="B44" s="347">
        <f>B$20*(B$12*($B$4*GREET1_Import_Export!$K72)+GREET1_Import_Export!$F$200*GREET1_Import_Export!$B201+GREET1_Import_Export!$F201)+B$21*(B$12*(GREET1_Import_Export!$R72)+GREET1_Import_Export!$H$200*GREET1_Import_Export!$B201+GREET1_Import_Export!$H201)+B$22*(B$12*($B$5*GREET1_Import_Export!$B72)+GREET1_Import_Export!$B237)+B$23*(B$12*($B$6*GREET1_Import_Export!$AA72)+GREET1_Import_Export!$C290)+B$24*(GREET1_Import_Export!$D315+GREET1_Import_Export!$E315)</f>
        <v>0</v>
      </c>
      <c r="C44" s="348">
        <f t="shared" ref="C44:C51" si="0">C32*B$12</f>
        <v>0</v>
      </c>
      <c r="D44" s="349">
        <f>D$20*(D$12*($B$4*GREET1_Import_Export!$K72)+GREET1_Import_Export!$F$200*GREET1_Import_Export!$B201+GREET1_Import_Export!$F201)+D$21*(D$12*(GREET1_Import_Export!$O72)+GREET1_Import_Export!$G$200*GREET1_Import_Export!$B201+GREET1_Import_Export!$G201)+D$22*(D$12*($B$5*GREET1_Import_Export!$B72)+GREET1_Import_Export!$B237)+D$23*(D$12*($B$6*GREET1_Import_Export!$AA72)+GREET1_Import_Export!$C290)+D$24*(GREET1_Import_Export!$D315+GREET1_Import_Export!$E315)</f>
        <v>0</v>
      </c>
      <c r="E44" s="349">
        <f t="shared" ref="E44:E51" si="1">E32*D$12</f>
        <v>0</v>
      </c>
      <c r="F44" s="347">
        <f>F$20*(F$12*($B$4*GREET1_Import_Export!$K72)+GREET1_Import_Export!$F$200*GREET1_Import_Export!$B201+GREET1_Import_Export!$F201)+F$21*(F$12*(GREET1_Import_Export!$O72)+GREET1_Import_Export!$G$200*GREET1_Import_Export!$B201+GREET1_Import_Export!$G201)+F$22*(F$12*($B$5*GREET1_Import_Export!$B72)+GREET1_Import_Export!$B237)+F$23*(F$12*($B$6*GREET1_Import_Export!$AA72)+GREET1_Import_Export!$C290)+F$24*(GREET1_Import_Export!$D315+GREET1_Import_Export!$E315)</f>
        <v>0</v>
      </c>
      <c r="G44" s="348">
        <f t="shared" ref="G44:G51" si="2">G32*F$12</f>
        <v>0</v>
      </c>
    </row>
    <row r="45" spans="1:7" s="349" customFormat="1">
      <c r="A45" s="347" t="s">
        <v>822</v>
      </c>
      <c r="B45" s="347">
        <f>B$20*(B$12*($B$4*GREET1_Import_Export!$K73)+GREET1_Import_Export!$F$200*GREET1_Import_Export!$B202+GREET1_Import_Export!$F202)+B$21*(B$12*(GREET1_Import_Export!$R73)+GREET1_Import_Export!$H$200*GREET1_Import_Export!$B202+GREET1_Import_Export!$H202)+B$22*(B$12*($B$5*GREET1_Import_Export!$B73)+GREET1_Import_Export!$B238)+B$23*(B$12*($B$6*GREET1_Import_Export!$AA73)+GREET1_Import_Export!$C291)+B$24*(GREET1_Import_Export!$D316+GREET1_Import_Export!$E316)</f>
        <v>0</v>
      </c>
      <c r="C45" s="348">
        <f t="shared" si="0"/>
        <v>0</v>
      </c>
      <c r="D45" s="349">
        <f>D$20*(D$12*($B$4*GREET1_Import_Export!$K73)+GREET1_Import_Export!$F$200*GREET1_Import_Export!$B202+GREET1_Import_Export!$F202)+D$21*(D$12*(GREET1_Import_Export!$O73)+GREET1_Import_Export!$G$200*GREET1_Import_Export!$B202+GREET1_Import_Export!$G202)+D$22*(D$12*($B$5*GREET1_Import_Export!$B73)+GREET1_Import_Export!$B238)+D$23*(D$12*($B$6*GREET1_Import_Export!$AA73)+GREET1_Import_Export!$C291)+D$24*(GREET1_Import_Export!$D316+GREET1_Import_Export!$E316)</f>
        <v>0</v>
      </c>
      <c r="E45" s="349">
        <f t="shared" si="1"/>
        <v>0</v>
      </c>
      <c r="F45" s="347">
        <f>F$20*(F$12*($B$4*GREET1_Import_Export!$K73)+GREET1_Import_Export!$F$200*GREET1_Import_Export!$B202+GREET1_Import_Export!$F202)+F$21*(F$12*(GREET1_Import_Export!$O73)+GREET1_Import_Export!$G$200*GREET1_Import_Export!$B202+GREET1_Import_Export!$G202)+F$22*(F$12*($B$5*GREET1_Import_Export!$B73)+GREET1_Import_Export!$B238)+F$23*(F$12*($B$6*GREET1_Import_Export!$AA73)+GREET1_Import_Export!$C291)+F$24*(GREET1_Import_Export!$D316+GREET1_Import_Export!$E316)</f>
        <v>0</v>
      </c>
      <c r="G45" s="348">
        <f t="shared" si="2"/>
        <v>0</v>
      </c>
    </row>
    <row r="46" spans="1:7" s="349" customFormat="1">
      <c r="A46" s="347" t="s">
        <v>823</v>
      </c>
      <c r="B46" s="347">
        <f>B$20*(B$12*($B$4*GREET1_Import_Export!$K74)+GREET1_Import_Export!$F$200*GREET1_Import_Export!$B203+GREET1_Import_Export!$F203)+B$21*(B$12*(GREET1_Import_Export!$R74)+GREET1_Import_Export!$H$200*GREET1_Import_Export!$B203+GREET1_Import_Export!$H203)+B$22*(B$12*($B$5*GREET1_Import_Export!$B74)+GREET1_Import_Export!$B239)+B$23*(B$12*($B$6*GREET1_Import_Export!$AA74)+GREET1_Import_Export!$C292)+B$24*(GREET1_Import_Export!$D317+GREET1_Import_Export!$E317)</f>
        <v>0</v>
      </c>
      <c r="C46" s="348">
        <f t="shared" si="0"/>
        <v>0</v>
      </c>
      <c r="D46" s="349">
        <f>D$20*(D$12*($B$4*GREET1_Import_Export!$K74)+GREET1_Import_Export!$F$200*GREET1_Import_Export!$B203+GREET1_Import_Export!$F203)+D$21*(D$12*(GREET1_Import_Export!$O74)+GREET1_Import_Export!$G$200*GREET1_Import_Export!$B203+GREET1_Import_Export!$G203)+D$22*(D$12*($B$5*GREET1_Import_Export!$B74)+GREET1_Import_Export!$B239)+D$23*(D$12*($B$6*GREET1_Import_Export!$AA74)+GREET1_Import_Export!$C292)+D$24*(GREET1_Import_Export!$D317+GREET1_Import_Export!$E317)</f>
        <v>0</v>
      </c>
      <c r="E46" s="349">
        <f t="shared" si="1"/>
        <v>0</v>
      </c>
      <c r="F46" s="347">
        <f>F$20*(F$12*($B$4*GREET1_Import_Export!$K74)+GREET1_Import_Export!$F$200*GREET1_Import_Export!$B203+GREET1_Import_Export!$F203)+F$21*(F$12*(GREET1_Import_Export!$O74)+GREET1_Import_Export!$G$200*GREET1_Import_Export!$B203+GREET1_Import_Export!$G203)+F$22*(F$12*($B$5*GREET1_Import_Export!$B74)+GREET1_Import_Export!$B239)+F$23*(F$12*($B$6*GREET1_Import_Export!$AA74)+GREET1_Import_Export!$C292)+F$24*(GREET1_Import_Export!$D317+GREET1_Import_Export!$E317)</f>
        <v>0</v>
      </c>
      <c r="G46" s="348">
        <f t="shared" si="2"/>
        <v>0</v>
      </c>
    </row>
    <row r="47" spans="1:7" s="349" customFormat="1">
      <c r="A47" s="347" t="s">
        <v>824</v>
      </c>
      <c r="B47" s="347">
        <f>B$20*(B$12*($B$4*GREET1_Import_Export!$K75)+GREET1_Import_Export!$F$200*GREET1_Import_Export!$B204+GREET1_Import_Export!$F204)+B$21*(B$12*(GREET1_Import_Export!$R75)+GREET1_Import_Export!$H$200*GREET1_Import_Export!$B204+GREET1_Import_Export!$H204)+B$22*(B$12*($B$5*GREET1_Import_Export!$B75)+GREET1_Import_Export!$B240)+B$23*(B$12*($B$6*GREET1_Import_Export!$AA75)+GREET1_Import_Export!$C293)+B$24*(GREET1_Import_Export!$D318+GREET1_Import_Export!$E318)</f>
        <v>0</v>
      </c>
      <c r="C47" s="348">
        <f t="shared" si="0"/>
        <v>0</v>
      </c>
      <c r="D47" s="349">
        <f>D$20*(D$12*($B$4*GREET1_Import_Export!$K75)+GREET1_Import_Export!$F$200*GREET1_Import_Export!$B204+GREET1_Import_Export!$F204)+D$21*(D$12*(GREET1_Import_Export!$O75)+GREET1_Import_Export!$G$200*GREET1_Import_Export!$B204+GREET1_Import_Export!$G204)+D$22*(D$12*($B$5*GREET1_Import_Export!$B75)+GREET1_Import_Export!$B240)+D$23*(D$12*($B$6*GREET1_Import_Export!$AA75)+GREET1_Import_Export!$C293)+D$24*(GREET1_Import_Export!$D318+GREET1_Import_Export!$E318)</f>
        <v>0</v>
      </c>
      <c r="E47" s="349">
        <f t="shared" si="1"/>
        <v>0</v>
      </c>
      <c r="F47" s="347">
        <f>F$20*(F$12*($B$4*GREET1_Import_Export!$K75)+GREET1_Import_Export!$F$200*GREET1_Import_Export!$B204+GREET1_Import_Export!$F204)+F$21*(F$12*(GREET1_Import_Export!$O75)+GREET1_Import_Export!$G$200*GREET1_Import_Export!$B204+GREET1_Import_Export!$G204)+F$22*(F$12*($B$5*GREET1_Import_Export!$B75)+GREET1_Import_Export!$B240)+F$23*(F$12*($B$6*GREET1_Import_Export!$AA75)+GREET1_Import_Export!$C293)+F$24*(GREET1_Import_Export!$D318+GREET1_Import_Export!$E318)</f>
        <v>0</v>
      </c>
      <c r="G47" s="348">
        <f t="shared" si="2"/>
        <v>0</v>
      </c>
    </row>
    <row r="48" spans="1:7" s="349" customFormat="1">
      <c r="A48" s="347" t="s">
        <v>825</v>
      </c>
      <c r="B48" s="347">
        <f>B$20*(B$12*($B$4*GREET1_Import_Export!$K76)+GREET1_Import_Export!$F$200*GREET1_Import_Export!$B205+GREET1_Import_Export!$F205)+B$21*(B$12*(GREET1_Import_Export!$R76)+GREET1_Import_Export!$H$200*GREET1_Import_Export!$B205+GREET1_Import_Export!$H205)+B$22*(B$12*($B$5*GREET1_Import_Export!$B76)+GREET1_Import_Export!$B241)+B$23*(B$12*($B$6*GREET1_Import_Export!$AA76)+GREET1_Import_Export!$C294)+B$24*(GREET1_Import_Export!$D319+GREET1_Import_Export!$E319)</f>
        <v>0</v>
      </c>
      <c r="C48" s="348">
        <f t="shared" si="0"/>
        <v>0</v>
      </c>
      <c r="D48" s="349">
        <f>D$20*(D$12*($B$4*GREET1_Import_Export!$K76)+GREET1_Import_Export!$F$200*GREET1_Import_Export!$B205+GREET1_Import_Export!$F205)+D$21*(D$12*(GREET1_Import_Export!$O76)+GREET1_Import_Export!$G$200*GREET1_Import_Export!$B205+GREET1_Import_Export!$G205)+D$22*(D$12*($B$5*GREET1_Import_Export!$B76)+GREET1_Import_Export!$B241)+D$23*(D$12*($B$6*GREET1_Import_Export!$AA76)+GREET1_Import_Export!$C294)+D$24*(GREET1_Import_Export!$D319+GREET1_Import_Export!$E319)</f>
        <v>0</v>
      </c>
      <c r="E48" s="349">
        <f t="shared" si="1"/>
        <v>0</v>
      </c>
      <c r="F48" s="347">
        <f>F$20*(F$12*($B$4*GREET1_Import_Export!$K76)+GREET1_Import_Export!$F$200*GREET1_Import_Export!$B205+GREET1_Import_Export!$F205)+F$21*(F$12*(GREET1_Import_Export!$O76)+GREET1_Import_Export!$G$200*GREET1_Import_Export!$B205+GREET1_Import_Export!$G205)+F$22*(F$12*($B$5*GREET1_Import_Export!$B76)+GREET1_Import_Export!$B241)+F$23*(F$12*($B$6*GREET1_Import_Export!$AA76)+GREET1_Import_Export!$C294)+F$24*(GREET1_Import_Export!$D319+GREET1_Import_Export!$E319)</f>
        <v>0</v>
      </c>
      <c r="G48" s="348">
        <f t="shared" si="2"/>
        <v>0</v>
      </c>
    </row>
    <row r="49" spans="1:8" s="349" customFormat="1">
      <c r="A49" s="347" t="s">
        <v>826</v>
      </c>
      <c r="B49" s="347">
        <f>B$20*(B$12*($B$4*GREET1_Import_Export!$K77)+GREET1_Import_Export!$F$200*GREET1_Import_Export!$B206+GREET1_Import_Export!$F206)+B$21*(B$12*(GREET1_Import_Export!$R77)+GREET1_Import_Export!$H$200*GREET1_Import_Export!$B206+GREET1_Import_Export!$H206)+B$22*(B$12*($B$5*GREET1_Import_Export!$B77)+GREET1_Import_Export!$B242)+B$23*(B$12*($B$6*GREET1_Import_Export!$AA77)+GREET1_Import_Export!$C295)+B$24*(GREET1_Import_Export!$D320+GREET1_Import_Export!$E320)</f>
        <v>0</v>
      </c>
      <c r="C49" s="348">
        <f t="shared" si="0"/>
        <v>0</v>
      </c>
      <c r="D49" s="349">
        <f>D$20*(D$12*($B$4*GREET1_Import_Export!$K77)+GREET1_Import_Export!$F$200*GREET1_Import_Export!$B206+GREET1_Import_Export!$F206)+D$21*(D$12*(GREET1_Import_Export!$O77)+GREET1_Import_Export!$G$200*GREET1_Import_Export!$B206+GREET1_Import_Export!$G206)+D$22*(D$12*($B$5*GREET1_Import_Export!$B77)+GREET1_Import_Export!$B242)+D$23*(D$12*($B$6*GREET1_Import_Export!$AA77)+GREET1_Import_Export!$C295)+D$24*(GREET1_Import_Export!$D320+GREET1_Import_Export!$E320)</f>
        <v>0</v>
      </c>
      <c r="E49" s="349">
        <f t="shared" si="1"/>
        <v>0</v>
      </c>
      <c r="F49" s="347">
        <f>F$20*(F$12*($B$4*GREET1_Import_Export!$K77)+GREET1_Import_Export!$F$200*GREET1_Import_Export!$B206+GREET1_Import_Export!$F206)+F$21*(F$12*(GREET1_Import_Export!$O77)+GREET1_Import_Export!$G$200*GREET1_Import_Export!$B206+GREET1_Import_Export!$G206)+F$22*(F$12*($B$5*GREET1_Import_Export!$B77)+GREET1_Import_Export!$B242)+F$23*(F$12*($B$6*GREET1_Import_Export!$AA77)+GREET1_Import_Export!$C295)+F$24*(GREET1_Import_Export!$D320+GREET1_Import_Export!$E320)</f>
        <v>0</v>
      </c>
      <c r="G49" s="348">
        <f t="shared" si="2"/>
        <v>0</v>
      </c>
    </row>
    <row r="50" spans="1:8" s="349" customFormat="1">
      <c r="A50" s="347" t="s">
        <v>827</v>
      </c>
      <c r="B50" s="347">
        <f>B$20*(B$12*($B$4*GREET1_Import_Export!$K78)+GREET1_Import_Export!$F$200*GREET1_Import_Export!$B207+GREET1_Import_Export!$F207)+B$21*(B$12*(GREET1_Import_Export!$R78)+GREET1_Import_Export!$H$200*GREET1_Import_Export!$B207+GREET1_Import_Export!$H207)+B$22*(B$12*($B$5*GREET1_Import_Export!$B78)+GREET1_Import_Export!$B243)+B$23*(B$12*($B$6*GREET1_Import_Export!$AA78)+GREET1_Import_Export!$C296)+B$24*(GREET1_Import_Export!$D321+GREET1_Import_Export!$E321)</f>
        <v>0</v>
      </c>
      <c r="C50" s="348">
        <f t="shared" si="0"/>
        <v>0</v>
      </c>
      <c r="D50" s="349">
        <f>D$20*(D$12*($B$4*GREET1_Import_Export!$K78)+GREET1_Import_Export!$F$200*GREET1_Import_Export!$B207+GREET1_Import_Export!$F207)+D$21*(D$12*(GREET1_Import_Export!$O78)+GREET1_Import_Export!$G$200*GREET1_Import_Export!$B207+GREET1_Import_Export!$G207)+D$22*(D$12*($B$5*GREET1_Import_Export!$B78)+GREET1_Import_Export!$B243)+D$23*(D$12*($B$6*GREET1_Import_Export!$AA78)+GREET1_Import_Export!$C296)+D$24*(GREET1_Import_Export!$D321+GREET1_Import_Export!$E321)</f>
        <v>0</v>
      </c>
      <c r="E50" s="349">
        <f t="shared" si="1"/>
        <v>0</v>
      </c>
      <c r="F50" s="347">
        <f>F$20*(F$12*($B$4*GREET1_Import_Export!$K78)+GREET1_Import_Export!$F$200*GREET1_Import_Export!$B207+GREET1_Import_Export!$F207)+F$21*(F$12*(GREET1_Import_Export!$O78)+GREET1_Import_Export!$G$200*GREET1_Import_Export!$B207+GREET1_Import_Export!$G207)+F$22*(F$12*($B$5*GREET1_Import_Export!$B78)+GREET1_Import_Export!$B243)+F$23*(F$12*($B$6*GREET1_Import_Export!$AA78)+GREET1_Import_Export!$C296)+F$24*(GREET1_Import_Export!$D321+GREET1_Import_Export!$E321)</f>
        <v>0</v>
      </c>
      <c r="G50" s="348">
        <f t="shared" si="2"/>
        <v>0</v>
      </c>
    </row>
    <row r="51" spans="1:8" s="349" customFormat="1">
      <c r="A51" s="503" t="s">
        <v>828</v>
      </c>
      <c r="B51" s="503">
        <f>B$20*(B$12*($B$4*GREET1_Import_Export!$K79)+GREET1_Import_Export!$F$200*GREET1_Import_Export!$B208+GREET1_Import_Export!$F208)+B$21*(B$12*(GREET1_Import_Export!$R79)+GREET1_Import_Export!$H$200*GREET1_Import_Export!$B208+GREET1_Import_Export!$H208)+B$22*(B$12*($B$5*GREET1_Import_Export!$B79)+GREET1_Import_Export!$B244)+B$23*(B$12*($B$6*GREET1_Import_Export!$AA79)+GREET1_Import_Export!$C297)+B$24*(GREET1_Import_Export!$D322+GREET1_Import_Export!$E322)</f>
        <v>0</v>
      </c>
      <c r="C51" s="502">
        <f t="shared" si="0"/>
        <v>0</v>
      </c>
      <c r="D51" s="505">
        <f>D$20*(D$12*($B$4*GREET1_Import_Export!$K79)+GREET1_Import_Export!$F$200*GREET1_Import_Export!$B208+GREET1_Import_Export!$F208)+D$21*(D$12*(GREET1_Import_Export!$O79)+GREET1_Import_Export!$G$200*GREET1_Import_Export!$B208+GREET1_Import_Export!$G208)+D$22*(D$12*($B$5*GREET1_Import_Export!$B79)+GREET1_Import_Export!$B244)+D$23*(D$12*($B$6*GREET1_Import_Export!$AA79)+GREET1_Import_Export!$C297)+D$24*(GREET1_Import_Export!$D322+GREET1_Import_Export!$E322)</f>
        <v>0</v>
      </c>
      <c r="E51" s="505">
        <f t="shared" si="1"/>
        <v>0</v>
      </c>
      <c r="F51" s="503">
        <f>F$20*(F$12*($B$4*GREET1_Import_Export!$K79)+GREET1_Import_Export!$F$200*GREET1_Import_Export!$B208+GREET1_Import_Export!$F208)+F$21*(F$12*(GREET1_Import_Export!$O79)+GREET1_Import_Export!$G$200*GREET1_Import_Export!$B208+GREET1_Import_Export!$G208)+F$22*(F$12*($B$5*GREET1_Import_Export!$B79)+GREET1_Import_Export!$B244)+F$23*(F$12*($B$6*GREET1_Import_Export!$AA79)+GREET1_Import_Export!$C297)+F$24*(GREET1_Import_Export!$D322+GREET1_Import_Export!$E322)</f>
        <v>0</v>
      </c>
      <c r="G51" s="502">
        <f t="shared" si="2"/>
        <v>0</v>
      </c>
    </row>
    <row r="52" spans="1:8" s="349" customFormat="1"/>
    <row r="53" spans="1:8" s="349" customFormat="1" ht="15">
      <c r="A53" s="602" t="s">
        <v>1235</v>
      </c>
    </row>
    <row r="54" spans="1:8" s="349" customFormat="1" ht="38.25">
      <c r="A54" s="510"/>
      <c r="B54" s="1605" t="s">
        <v>1226</v>
      </c>
      <c r="C54" s="610" t="s">
        <v>572</v>
      </c>
      <c r="D54" s="760" t="s">
        <v>573</v>
      </c>
      <c r="E54" s="3074" t="s">
        <v>1236</v>
      </c>
      <c r="F54" s="3074"/>
      <c r="G54" s="3101" t="s">
        <v>1237</v>
      </c>
      <c r="H54" s="3102"/>
    </row>
    <row r="55" spans="1:8" s="349" customFormat="1">
      <c r="A55" s="699" t="s">
        <v>1029</v>
      </c>
      <c r="B55" s="1605"/>
      <c r="C55" s="610"/>
      <c r="D55" s="760"/>
      <c r="E55" s="673" t="s">
        <v>845</v>
      </c>
      <c r="F55" s="615" t="s">
        <v>846</v>
      </c>
      <c r="G55" s="679" t="s">
        <v>845</v>
      </c>
      <c r="H55" s="673" t="s">
        <v>846</v>
      </c>
    </row>
    <row r="56" spans="1:8" s="349" customFormat="1">
      <c r="A56" s="347" t="s">
        <v>816</v>
      </c>
      <c r="B56" s="347">
        <f>B25</f>
        <v>0</v>
      </c>
      <c r="C56" s="349">
        <f>D25</f>
        <v>0</v>
      </c>
      <c r="D56" s="348">
        <f>F25</f>
        <v>0</v>
      </c>
      <c r="E56" s="348">
        <f>B56+C56</f>
        <v>0</v>
      </c>
      <c r="F56" s="349">
        <f>E56/2000</f>
        <v>0</v>
      </c>
      <c r="G56" s="494">
        <f>D56</f>
        <v>0</v>
      </c>
      <c r="H56" s="348">
        <f>G56/2000</f>
        <v>0</v>
      </c>
    </row>
    <row r="57" spans="1:8" s="349" customFormat="1">
      <c r="A57" s="347" t="s">
        <v>817</v>
      </c>
      <c r="B57" s="347">
        <f>B26</f>
        <v>0</v>
      </c>
      <c r="C57" s="349">
        <f>D26</f>
        <v>0</v>
      </c>
      <c r="D57" s="348">
        <f>F26</f>
        <v>0</v>
      </c>
      <c r="E57" s="348">
        <f>B57+C57</f>
        <v>0</v>
      </c>
      <c r="F57" s="349">
        <f>E57/2000</f>
        <v>0</v>
      </c>
      <c r="G57" s="494">
        <f>D57</f>
        <v>0</v>
      </c>
      <c r="H57" s="348">
        <f>G57/2000</f>
        <v>0</v>
      </c>
    </row>
    <row r="58" spans="1:8" s="349" customFormat="1">
      <c r="A58" s="347" t="s">
        <v>805</v>
      </c>
      <c r="B58" s="347">
        <f>B27</f>
        <v>0</v>
      </c>
      <c r="C58" s="349">
        <f>D27</f>
        <v>0</v>
      </c>
      <c r="D58" s="348">
        <f>F27</f>
        <v>0</v>
      </c>
      <c r="E58" s="348">
        <f>B58+C58</f>
        <v>0</v>
      </c>
      <c r="F58" s="349">
        <f>E58/2000</f>
        <v>0</v>
      </c>
      <c r="G58" s="494">
        <f>D58</f>
        <v>0</v>
      </c>
      <c r="H58" s="348">
        <f>G58/2000</f>
        <v>0</v>
      </c>
    </row>
    <row r="59" spans="1:8" s="349" customFormat="1">
      <c r="A59" s="347" t="s">
        <v>804</v>
      </c>
      <c r="B59" s="347">
        <f t="shared" ref="B59:H59" si="3">B57-B58-B60</f>
        <v>0</v>
      </c>
      <c r="C59" s="349">
        <f t="shared" si="3"/>
        <v>0</v>
      </c>
      <c r="D59" s="348">
        <f t="shared" si="3"/>
        <v>0</v>
      </c>
      <c r="E59" s="348">
        <f t="shared" si="3"/>
        <v>0</v>
      </c>
      <c r="F59" s="349">
        <f t="shared" si="3"/>
        <v>0</v>
      </c>
      <c r="G59" s="494">
        <f t="shared" si="3"/>
        <v>0</v>
      </c>
      <c r="H59" s="348">
        <f t="shared" si="3"/>
        <v>0</v>
      </c>
    </row>
    <row r="60" spans="1:8" s="349" customFormat="1">
      <c r="A60" s="347" t="s">
        <v>818</v>
      </c>
      <c r="B60" s="347">
        <f>B29</f>
        <v>0</v>
      </c>
      <c r="C60" s="349">
        <f>D29</f>
        <v>0</v>
      </c>
      <c r="D60" s="348">
        <f>F29</f>
        <v>0</v>
      </c>
      <c r="E60" s="348">
        <f>B60+C60</f>
        <v>0</v>
      </c>
      <c r="F60" s="349">
        <f>E60/2000</f>
        <v>0</v>
      </c>
      <c r="G60" s="494">
        <f>D60</f>
        <v>0</v>
      </c>
      <c r="H60" s="348">
        <f>G60/2000</f>
        <v>0</v>
      </c>
    </row>
    <row r="61" spans="1:8" s="349" customFormat="1">
      <c r="A61" s="1570" t="s">
        <v>819</v>
      </c>
      <c r="B61" s="1687">
        <f>B30</f>
        <v>0</v>
      </c>
      <c r="C61" s="1505">
        <f>D30</f>
        <v>0</v>
      </c>
      <c r="D61" s="1136">
        <f>F30</f>
        <v>0</v>
      </c>
      <c r="E61" s="1136">
        <f>B61+C61</f>
        <v>0</v>
      </c>
      <c r="F61" s="1571">
        <f>E61/2000</f>
        <v>0</v>
      </c>
      <c r="G61" s="1504">
        <f>D61</f>
        <v>0</v>
      </c>
      <c r="H61" s="1573">
        <f>G61/2000</f>
        <v>0</v>
      </c>
    </row>
    <row r="62" spans="1:8" s="349" customFormat="1">
      <c r="A62" s="699" t="s">
        <v>1030</v>
      </c>
      <c r="B62" s="510"/>
      <c r="C62" s="512"/>
      <c r="D62" s="509"/>
      <c r="E62" s="673" t="s">
        <v>845</v>
      </c>
      <c r="F62" s="615" t="s">
        <v>846</v>
      </c>
      <c r="G62" s="679" t="s">
        <v>845</v>
      </c>
      <c r="H62" s="673" t="s">
        <v>846</v>
      </c>
    </row>
    <row r="63" spans="1:8" s="349" customFormat="1">
      <c r="A63" s="347" t="s">
        <v>821</v>
      </c>
      <c r="B63" s="347">
        <f t="shared" ref="B63:B73" si="4">SUM(B32:C32)</f>
        <v>0</v>
      </c>
      <c r="C63" s="349">
        <f t="shared" ref="C63:C73" si="5">SUM(D32:E32)</f>
        <v>0</v>
      </c>
      <c r="D63" s="348">
        <f t="shared" ref="D63:D73" si="6">SUM(F32:G32)</f>
        <v>0</v>
      </c>
      <c r="E63" s="348">
        <f t="shared" ref="E63:E74" si="7">B63+C63</f>
        <v>0</v>
      </c>
      <c r="F63" s="349">
        <f t="shared" ref="F63:F74" si="8">E63/2000</f>
        <v>0</v>
      </c>
      <c r="G63" s="494">
        <f t="shared" ref="G63:G74" si="9">D63</f>
        <v>0</v>
      </c>
      <c r="H63" s="348">
        <f t="shared" ref="H63:H74" si="10">G63/2000</f>
        <v>0</v>
      </c>
    </row>
    <row r="64" spans="1:8" s="349" customFormat="1">
      <c r="A64" s="347" t="s">
        <v>822</v>
      </c>
      <c r="B64" s="347">
        <f t="shared" si="4"/>
        <v>0</v>
      </c>
      <c r="C64" s="349">
        <f t="shared" si="5"/>
        <v>0</v>
      </c>
      <c r="D64" s="348">
        <f t="shared" si="6"/>
        <v>0</v>
      </c>
      <c r="E64" s="348">
        <f t="shared" si="7"/>
        <v>0</v>
      </c>
      <c r="F64" s="349">
        <f t="shared" si="8"/>
        <v>0</v>
      </c>
      <c r="G64" s="494">
        <f t="shared" si="9"/>
        <v>0</v>
      </c>
      <c r="H64" s="348">
        <f t="shared" si="10"/>
        <v>0</v>
      </c>
    </row>
    <row r="65" spans="1:8" s="349" customFormat="1">
      <c r="A65" s="347" t="s">
        <v>849</v>
      </c>
      <c r="B65" s="347">
        <f t="shared" si="4"/>
        <v>0</v>
      </c>
      <c r="C65" s="349">
        <f t="shared" si="5"/>
        <v>0</v>
      </c>
      <c r="D65" s="348">
        <f t="shared" si="6"/>
        <v>0</v>
      </c>
      <c r="E65" s="348">
        <f t="shared" si="7"/>
        <v>0</v>
      </c>
      <c r="F65" s="349">
        <f t="shared" si="8"/>
        <v>0</v>
      </c>
      <c r="G65" s="494">
        <f t="shared" si="9"/>
        <v>0</v>
      </c>
      <c r="H65" s="348">
        <f t="shared" si="10"/>
        <v>0</v>
      </c>
    </row>
    <row r="66" spans="1:8" s="349" customFormat="1" ht="12" customHeight="1">
      <c r="A66" s="347" t="s">
        <v>824</v>
      </c>
      <c r="B66" s="347">
        <f t="shared" si="4"/>
        <v>0</v>
      </c>
      <c r="C66" s="349">
        <f t="shared" si="5"/>
        <v>0</v>
      </c>
      <c r="D66" s="348">
        <f t="shared" si="6"/>
        <v>0</v>
      </c>
      <c r="E66" s="348">
        <f t="shared" si="7"/>
        <v>0</v>
      </c>
      <c r="F66" s="349">
        <f t="shared" si="8"/>
        <v>0</v>
      </c>
      <c r="G66" s="494">
        <f t="shared" si="9"/>
        <v>0</v>
      </c>
      <c r="H66" s="348">
        <f t="shared" si="10"/>
        <v>0</v>
      </c>
    </row>
    <row r="67" spans="1:8" s="349" customFormat="1">
      <c r="A67" s="347" t="s">
        <v>825</v>
      </c>
      <c r="B67" s="347">
        <f t="shared" si="4"/>
        <v>0</v>
      </c>
      <c r="C67" s="349">
        <f t="shared" si="5"/>
        <v>0</v>
      </c>
      <c r="D67" s="348">
        <f t="shared" si="6"/>
        <v>0</v>
      </c>
      <c r="E67" s="348">
        <f t="shared" si="7"/>
        <v>0</v>
      </c>
      <c r="F67" s="349">
        <f t="shared" si="8"/>
        <v>0</v>
      </c>
      <c r="G67" s="494">
        <f t="shared" si="9"/>
        <v>0</v>
      </c>
      <c r="H67" s="348">
        <f t="shared" si="10"/>
        <v>0</v>
      </c>
    </row>
    <row r="68" spans="1:8" s="349" customFormat="1">
      <c r="A68" s="347" t="s">
        <v>826</v>
      </c>
      <c r="B68" s="347">
        <f t="shared" si="4"/>
        <v>0</v>
      </c>
      <c r="C68" s="349">
        <f t="shared" si="5"/>
        <v>0</v>
      </c>
      <c r="D68" s="348">
        <f t="shared" si="6"/>
        <v>0</v>
      </c>
      <c r="E68" s="348">
        <f t="shared" si="7"/>
        <v>0</v>
      </c>
      <c r="F68" s="349">
        <f t="shared" si="8"/>
        <v>0</v>
      </c>
      <c r="G68" s="494">
        <f t="shared" si="9"/>
        <v>0</v>
      </c>
      <c r="H68" s="348">
        <f t="shared" si="10"/>
        <v>0</v>
      </c>
    </row>
    <row r="69" spans="1:8" s="349" customFormat="1">
      <c r="A69" s="749" t="s">
        <v>827</v>
      </c>
      <c r="B69" s="347">
        <f t="shared" si="4"/>
        <v>0</v>
      </c>
      <c r="C69" s="349">
        <f t="shared" si="5"/>
        <v>0</v>
      </c>
      <c r="D69" s="348">
        <f t="shared" si="6"/>
        <v>0</v>
      </c>
      <c r="E69" s="348">
        <f t="shared" si="7"/>
        <v>0</v>
      </c>
      <c r="F69" s="349">
        <f t="shared" si="8"/>
        <v>0</v>
      </c>
      <c r="G69" s="494">
        <f t="shared" si="9"/>
        <v>0</v>
      </c>
      <c r="H69" s="348">
        <f t="shared" si="10"/>
        <v>0</v>
      </c>
    </row>
    <row r="70" spans="1:8" s="349" customFormat="1">
      <c r="A70" s="749" t="s">
        <v>828</v>
      </c>
      <c r="B70" s="347">
        <f t="shared" si="4"/>
        <v>0</v>
      </c>
      <c r="C70" s="349">
        <f t="shared" si="5"/>
        <v>0</v>
      </c>
      <c r="D70" s="348">
        <f t="shared" si="6"/>
        <v>0</v>
      </c>
      <c r="E70" s="348">
        <f t="shared" si="7"/>
        <v>0</v>
      </c>
      <c r="F70" s="349">
        <f t="shared" si="8"/>
        <v>0</v>
      </c>
      <c r="G70" s="494">
        <f t="shared" si="9"/>
        <v>0</v>
      </c>
      <c r="H70" s="348">
        <f t="shared" si="10"/>
        <v>0</v>
      </c>
    </row>
    <row r="71" spans="1:8" s="349" customFormat="1">
      <c r="A71" s="347" t="s">
        <v>829</v>
      </c>
      <c r="B71" s="347">
        <f t="shared" si="4"/>
        <v>0</v>
      </c>
      <c r="C71" s="349">
        <f t="shared" si="5"/>
        <v>0</v>
      </c>
      <c r="D71" s="348">
        <f t="shared" si="6"/>
        <v>0</v>
      </c>
      <c r="E71" s="348">
        <f t="shared" si="7"/>
        <v>0</v>
      </c>
      <c r="F71" s="349">
        <f t="shared" si="8"/>
        <v>0</v>
      </c>
      <c r="G71" s="494">
        <f t="shared" si="9"/>
        <v>0</v>
      </c>
      <c r="H71" s="348">
        <f t="shared" si="10"/>
        <v>0</v>
      </c>
    </row>
    <row r="72" spans="1:8" s="349" customFormat="1">
      <c r="A72" s="347" t="s">
        <v>830</v>
      </c>
      <c r="B72" s="347">
        <f t="shared" si="4"/>
        <v>0</v>
      </c>
      <c r="C72" s="349">
        <f t="shared" si="5"/>
        <v>0</v>
      </c>
      <c r="D72" s="348">
        <f t="shared" si="6"/>
        <v>0</v>
      </c>
      <c r="E72" s="348">
        <f t="shared" si="7"/>
        <v>0</v>
      </c>
      <c r="F72" s="349">
        <f t="shared" si="8"/>
        <v>0</v>
      </c>
      <c r="G72" s="494">
        <f t="shared" si="9"/>
        <v>0</v>
      </c>
      <c r="H72" s="348">
        <f t="shared" si="10"/>
        <v>0</v>
      </c>
    </row>
    <row r="73" spans="1:8" s="419" customFormat="1">
      <c r="A73" s="517" t="s">
        <v>831</v>
      </c>
      <c r="B73" s="517">
        <f t="shared" si="4"/>
        <v>0</v>
      </c>
      <c r="C73" s="419">
        <f t="shared" si="5"/>
        <v>0</v>
      </c>
      <c r="D73" s="516">
        <f t="shared" si="6"/>
        <v>0</v>
      </c>
      <c r="E73" s="516">
        <f t="shared" si="7"/>
        <v>0</v>
      </c>
      <c r="F73" s="419">
        <f t="shared" si="8"/>
        <v>0</v>
      </c>
      <c r="G73" s="630">
        <f t="shared" si="9"/>
        <v>0</v>
      </c>
      <c r="H73" s="516">
        <f t="shared" si="10"/>
        <v>0</v>
      </c>
    </row>
    <row r="74" spans="1:8" s="419" customFormat="1">
      <c r="A74" s="517" t="s">
        <v>850</v>
      </c>
      <c r="B74" s="517">
        <f>B73+B63*GREET1_Import_Export!$B$62/GREET1_Import_Export!$B$65+B64*GREET1_Import_Export!$B$63/GREET1_Import_Export!$B$65</f>
        <v>0</v>
      </c>
      <c r="C74" s="419">
        <f>C73+C63*GREET1_Import_Export!$B$62/GREET1_Import_Export!$B$65+C64*GREET1_Import_Export!$B$63/GREET1_Import_Export!$B$65</f>
        <v>0</v>
      </c>
      <c r="D74" s="516">
        <f>D73+D63*GREET1_Import_Export!$B$62/GREET1_Import_Export!$B$65+D64*GREET1_Import_Export!$B$63/GREET1_Import_Export!$B$65</f>
        <v>0</v>
      </c>
      <c r="E74" s="516">
        <f t="shared" si="7"/>
        <v>0</v>
      </c>
      <c r="F74" s="419">
        <f t="shared" si="8"/>
        <v>0</v>
      </c>
      <c r="G74" s="630">
        <f t="shared" si="9"/>
        <v>0</v>
      </c>
      <c r="H74" s="516">
        <f t="shared" si="10"/>
        <v>0</v>
      </c>
    </row>
    <row r="75" spans="1:8" s="419" customFormat="1">
      <c r="A75" s="668" t="s">
        <v>851</v>
      </c>
      <c r="B75" s="668">
        <f>B74+SUMPRODUCT(B71:B72,GREET1_Import_Export!$B$51:$B$52)+SUMPRODUCT(B63:B65,GREET1_Import_Export!$B$55:$B$57)+SUMPRODUCT(B69:B70,GREET1_Import_Export!$B$58:$B$59)</f>
        <v>0</v>
      </c>
      <c r="C75" s="374">
        <f>C74+SUMPRODUCT(C71:C72,GREET1_Import_Export!$B$51:$B$52)+SUMPRODUCT(C63:C65,GREET1_Import_Export!$B$55:$B$57)+SUMPRODUCT(C69:C70,GREET1_Import_Export!$B$58:$B$59)</f>
        <v>0</v>
      </c>
      <c r="D75" s="752">
        <f>D74+SUMPRODUCT(D71:D72,GREET1_Import_Export!$B$51:$B$52)+SUMPRODUCT(D63:D65,GREET1_Import_Export!$B$55:$B$57)+SUMPRODUCT(D69:D70,GREET1_Import_Export!$B$58:$B$59)</f>
        <v>0</v>
      </c>
      <c r="E75" s="752">
        <f>E74+SUMPRODUCT(E71:E72,GREET1_Import_Export!$B$51:$B$52)+SUMPRODUCT(E63:E65,GREET1_Import_Export!$B$55:$B$57)+SUMPRODUCT(E69:E70,GREET1_Import_Export!$B$58:$B$59)</f>
        <v>0</v>
      </c>
      <c r="F75" s="374">
        <f>F74+SUMPRODUCT(F71:F72,GREET1_Import_Export!$B$51:$B$52)+SUMPRODUCT(F63:F65,GREET1_Import_Export!$B$55:$B$57)+SUMPRODUCT(F69:F70,GREET1_Import_Export!$B$58:$B$59)</f>
        <v>0</v>
      </c>
      <c r="G75" s="756">
        <f>G74+SUMPRODUCT(G71:G72,GREET1_Import_Export!$B$51:$B$52)+SUMPRODUCT(G63:G65,GREET1_Import_Export!$B$55:$B$57)+SUMPRODUCT(G69:G70,GREET1_Import_Export!$B$58:$B$59)</f>
        <v>0</v>
      </c>
      <c r="H75" s="752">
        <f>H74+SUMPRODUCT(H71:H72,GREET1_Import_Export!$B$51:$B$52)+SUMPRODUCT(H63:H65,GREET1_Import_Export!$B$55:$B$57)+SUMPRODUCT(H69:H70,GREET1_Import_Export!$B$58:$B$59)</f>
        <v>0</v>
      </c>
    </row>
    <row r="76" spans="1:8" s="349" customFormat="1">
      <c r="A76" s="758" t="s">
        <v>1031</v>
      </c>
      <c r="B76" s="347"/>
      <c r="D76" s="348"/>
      <c r="E76" s="710" t="s">
        <v>845</v>
      </c>
      <c r="F76" s="618" t="s">
        <v>846</v>
      </c>
      <c r="G76" s="762" t="s">
        <v>845</v>
      </c>
      <c r="H76" s="710" t="s">
        <v>846</v>
      </c>
    </row>
    <row r="77" spans="1:8" s="349" customFormat="1">
      <c r="A77" s="347" t="s">
        <v>821</v>
      </c>
      <c r="B77" s="347">
        <f t="shared" ref="B77:B84" si="11">SUM(B44:C44)</f>
        <v>0</v>
      </c>
      <c r="C77" s="349">
        <f t="shared" ref="C77:C84" si="12">SUM(D44:E44)</f>
        <v>0</v>
      </c>
      <c r="D77" s="348">
        <f t="shared" ref="D77:D84" si="13">SUM(F44:G44)</f>
        <v>0</v>
      </c>
      <c r="E77" s="348">
        <f t="shared" ref="E77:E84" si="14">B77+C77</f>
        <v>0</v>
      </c>
      <c r="F77" s="349">
        <f t="shared" ref="F77:F84" si="15">E77/2000</f>
        <v>0</v>
      </c>
      <c r="G77" s="494">
        <f t="shared" ref="G77:G84" si="16">D77</f>
        <v>0</v>
      </c>
      <c r="H77" s="348">
        <f t="shared" ref="H77:H84" si="17">G77/2000</f>
        <v>0</v>
      </c>
    </row>
    <row r="78" spans="1:8" s="349" customFormat="1">
      <c r="A78" s="347" t="s">
        <v>822</v>
      </c>
      <c r="B78" s="347">
        <f t="shared" si="11"/>
        <v>0</v>
      </c>
      <c r="C78" s="349">
        <f t="shared" si="12"/>
        <v>0</v>
      </c>
      <c r="D78" s="348">
        <f t="shared" si="13"/>
        <v>0</v>
      </c>
      <c r="E78" s="348">
        <f t="shared" si="14"/>
        <v>0</v>
      </c>
      <c r="F78" s="349">
        <f t="shared" si="15"/>
        <v>0</v>
      </c>
      <c r="G78" s="494">
        <f t="shared" si="16"/>
        <v>0</v>
      </c>
      <c r="H78" s="348">
        <f t="shared" si="17"/>
        <v>0</v>
      </c>
    </row>
    <row r="79" spans="1:8" s="349" customFormat="1">
      <c r="A79" s="347" t="s">
        <v>823</v>
      </c>
      <c r="B79" s="347">
        <f t="shared" si="11"/>
        <v>0</v>
      </c>
      <c r="C79" s="349">
        <f t="shared" si="12"/>
        <v>0</v>
      </c>
      <c r="D79" s="348">
        <f t="shared" si="13"/>
        <v>0</v>
      </c>
      <c r="E79" s="348">
        <f t="shared" si="14"/>
        <v>0</v>
      </c>
      <c r="F79" s="349">
        <f t="shared" si="15"/>
        <v>0</v>
      </c>
      <c r="G79" s="494">
        <f t="shared" si="16"/>
        <v>0</v>
      </c>
      <c r="H79" s="348">
        <f t="shared" si="17"/>
        <v>0</v>
      </c>
    </row>
    <row r="80" spans="1:8" s="349" customFormat="1">
      <c r="A80" s="749" t="s">
        <v>824</v>
      </c>
      <c r="B80" s="347">
        <f t="shared" si="11"/>
        <v>0</v>
      </c>
      <c r="C80" s="349">
        <f t="shared" si="12"/>
        <v>0</v>
      </c>
      <c r="D80" s="348">
        <f t="shared" si="13"/>
        <v>0</v>
      </c>
      <c r="E80" s="348">
        <f t="shared" si="14"/>
        <v>0</v>
      </c>
      <c r="F80" s="349">
        <f t="shared" si="15"/>
        <v>0</v>
      </c>
      <c r="G80" s="494">
        <f t="shared" si="16"/>
        <v>0</v>
      </c>
      <c r="H80" s="348">
        <f t="shared" si="17"/>
        <v>0</v>
      </c>
    </row>
    <row r="81" spans="1:8" s="349" customFormat="1">
      <c r="A81" s="347" t="s">
        <v>825</v>
      </c>
      <c r="B81" s="347">
        <f t="shared" si="11"/>
        <v>0</v>
      </c>
      <c r="C81" s="349">
        <f t="shared" si="12"/>
        <v>0</v>
      </c>
      <c r="D81" s="348">
        <f t="shared" si="13"/>
        <v>0</v>
      </c>
      <c r="E81" s="348">
        <f t="shared" si="14"/>
        <v>0</v>
      </c>
      <c r="F81" s="349">
        <f t="shared" si="15"/>
        <v>0</v>
      </c>
      <c r="G81" s="494">
        <f t="shared" si="16"/>
        <v>0</v>
      </c>
      <c r="H81" s="348">
        <f t="shared" si="17"/>
        <v>0</v>
      </c>
    </row>
    <row r="82" spans="1:8" s="349" customFormat="1">
      <c r="A82" s="749" t="s">
        <v>826</v>
      </c>
      <c r="B82" s="347">
        <f t="shared" si="11"/>
        <v>0</v>
      </c>
      <c r="C82" s="349">
        <f t="shared" si="12"/>
        <v>0</v>
      </c>
      <c r="D82" s="348">
        <f t="shared" si="13"/>
        <v>0</v>
      </c>
      <c r="E82" s="348">
        <f t="shared" si="14"/>
        <v>0</v>
      </c>
      <c r="F82" s="349">
        <f t="shared" si="15"/>
        <v>0</v>
      </c>
      <c r="G82" s="494">
        <f t="shared" si="16"/>
        <v>0</v>
      </c>
      <c r="H82" s="348">
        <f t="shared" si="17"/>
        <v>0</v>
      </c>
    </row>
    <row r="83" spans="1:8" s="349" customFormat="1">
      <c r="A83" s="347" t="s">
        <v>827</v>
      </c>
      <c r="B83" s="347">
        <f t="shared" si="11"/>
        <v>0</v>
      </c>
      <c r="C83" s="349">
        <f t="shared" si="12"/>
        <v>0</v>
      </c>
      <c r="D83" s="348">
        <f t="shared" si="13"/>
        <v>0</v>
      </c>
      <c r="E83" s="348">
        <f t="shared" si="14"/>
        <v>0</v>
      </c>
      <c r="F83" s="349">
        <f t="shared" si="15"/>
        <v>0</v>
      </c>
      <c r="G83" s="494">
        <f t="shared" si="16"/>
        <v>0</v>
      </c>
      <c r="H83" s="348">
        <f t="shared" si="17"/>
        <v>0</v>
      </c>
    </row>
    <row r="84" spans="1:8" s="349" customFormat="1">
      <c r="A84" s="501" t="s">
        <v>828</v>
      </c>
      <c r="B84" s="503">
        <f t="shared" si="11"/>
        <v>0</v>
      </c>
      <c r="C84" s="505">
        <f t="shared" si="12"/>
        <v>0</v>
      </c>
      <c r="D84" s="502">
        <f t="shared" si="13"/>
        <v>0</v>
      </c>
      <c r="E84" s="502">
        <f t="shared" si="14"/>
        <v>0</v>
      </c>
      <c r="F84" s="505">
        <f t="shared" si="15"/>
        <v>0</v>
      </c>
      <c r="G84" s="504">
        <f t="shared" si="16"/>
        <v>0</v>
      </c>
      <c r="H84" s="502">
        <f t="shared" si="17"/>
        <v>0</v>
      </c>
    </row>
  </sheetData>
  <mergeCells count="5">
    <mergeCell ref="B9:C9"/>
    <mergeCell ref="D9:E9"/>
    <mergeCell ref="F9:G9"/>
    <mergeCell ref="E54:F54"/>
    <mergeCell ref="G54:H54"/>
  </mergeCells>
  <phoneticPr fontId="5"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dimension ref="A1:H84"/>
  <sheetViews>
    <sheetView showGridLines="0" zoomScale="85" zoomScaleNormal="85" workbookViewId="0"/>
  </sheetViews>
  <sheetFormatPr defaultColWidth="9.140625" defaultRowHeight="12.75"/>
  <cols>
    <col min="1" max="1" width="24.7109375" style="64" customWidth="1"/>
    <col min="2" max="2" width="11.28515625" style="64" bestFit="1" customWidth="1"/>
    <col min="3" max="3" width="11.42578125" style="64" customWidth="1"/>
    <col min="4" max="4" width="12.140625" style="64" customWidth="1"/>
    <col min="5" max="5" width="11.140625" style="64" customWidth="1"/>
    <col min="6" max="6" width="9.140625" style="64"/>
    <col min="7" max="7" width="10.140625" style="64" customWidth="1"/>
    <col min="8" max="16384" width="9.140625" style="64"/>
  </cols>
  <sheetData>
    <row r="1" spans="1:7" ht="15.75">
      <c r="A1" s="6" t="s">
        <v>1238</v>
      </c>
    </row>
    <row r="2" spans="1:7" ht="12.75" customHeight="1">
      <c r="A2" s="111"/>
    </row>
    <row r="3" spans="1:7" ht="15">
      <c r="A3" s="381" t="s">
        <v>932</v>
      </c>
    </row>
    <row r="4" spans="1:7">
      <c r="A4" s="393" t="s">
        <v>769</v>
      </c>
      <c r="B4" s="533">
        <v>1</v>
      </c>
    </row>
    <row r="5" spans="1:7">
      <c r="A5" s="230" t="s">
        <v>770</v>
      </c>
      <c r="B5" s="588">
        <v>1</v>
      </c>
    </row>
    <row r="6" spans="1:7">
      <c r="A6" s="589" t="s">
        <v>773</v>
      </c>
      <c r="B6" s="428">
        <v>1</v>
      </c>
    </row>
    <row r="8" spans="1:7" ht="15">
      <c r="A8" s="381" t="s">
        <v>933</v>
      </c>
    </row>
    <row r="9" spans="1:7" ht="22.5" customHeight="1">
      <c r="A9" s="238"/>
      <c r="B9" s="3060" t="s">
        <v>561</v>
      </c>
      <c r="C9" s="3062"/>
      <c r="D9" s="2983" t="s">
        <v>575</v>
      </c>
      <c r="E9" s="2983"/>
      <c r="F9" s="2982" t="s">
        <v>576</v>
      </c>
      <c r="G9" s="2994"/>
    </row>
    <row r="10" spans="1:7" ht="72.75" customHeight="1">
      <c r="A10" s="571"/>
      <c r="B10" s="1673" t="s">
        <v>785</v>
      </c>
      <c r="C10" s="1674" t="s">
        <v>786</v>
      </c>
      <c r="D10" s="1675" t="s">
        <v>785</v>
      </c>
      <c r="E10" s="1675" t="s">
        <v>786</v>
      </c>
      <c r="F10" s="1673" t="s">
        <v>785</v>
      </c>
      <c r="G10" s="1674" t="s">
        <v>786</v>
      </c>
    </row>
    <row r="11" spans="1:7" ht="38.25">
      <c r="A11" s="659" t="s">
        <v>797</v>
      </c>
      <c r="B11" s="383">
        <f>Mat_Inputs!B488</f>
        <v>0</v>
      </c>
      <c r="C11" s="395"/>
      <c r="D11" s="377">
        <f>Mat_Inputs!B489</f>
        <v>0</v>
      </c>
      <c r="F11" s="383">
        <f>Mat_Inputs!B490</f>
        <v>0</v>
      </c>
      <c r="G11" s="395"/>
    </row>
    <row r="12" spans="1:7">
      <c r="A12" s="571" t="s">
        <v>798</v>
      </c>
      <c r="B12" s="416">
        <v>0</v>
      </c>
      <c r="C12" s="395"/>
      <c r="D12" s="382">
        <v>0</v>
      </c>
      <c r="F12" s="416">
        <v>0</v>
      </c>
      <c r="G12" s="395"/>
    </row>
    <row r="13" spans="1:7">
      <c r="A13" s="238" t="s">
        <v>799</v>
      </c>
      <c r="B13" s="393"/>
      <c r="C13" s="394"/>
      <c r="D13" s="392"/>
      <c r="E13" s="392"/>
      <c r="F13" s="393"/>
      <c r="G13" s="394"/>
    </row>
    <row r="14" spans="1:7">
      <c r="A14" s="230" t="s">
        <v>800</v>
      </c>
      <c r="B14" s="416">
        <v>0</v>
      </c>
      <c r="C14" s="588"/>
      <c r="D14" s="382">
        <v>0</v>
      </c>
      <c r="E14" s="382"/>
      <c r="F14" s="416">
        <v>0</v>
      </c>
      <c r="G14" s="395"/>
    </row>
    <row r="15" spans="1:7">
      <c r="A15" s="230" t="s">
        <v>802</v>
      </c>
      <c r="B15" s="416">
        <v>1</v>
      </c>
      <c r="C15" s="395" t="s">
        <v>861</v>
      </c>
      <c r="D15" s="382">
        <v>0</v>
      </c>
      <c r="E15" s="382"/>
      <c r="F15" s="416">
        <v>0</v>
      </c>
      <c r="G15" s="395"/>
    </row>
    <row r="16" spans="1:7">
      <c r="A16" s="230" t="s">
        <v>804</v>
      </c>
      <c r="B16" s="416">
        <v>0</v>
      </c>
      <c r="C16" s="588"/>
      <c r="D16" s="382">
        <v>0</v>
      </c>
      <c r="E16" s="382"/>
      <c r="F16" s="416">
        <v>0</v>
      </c>
      <c r="G16" s="395"/>
    </row>
    <row r="17" spans="1:7">
      <c r="A17" s="230" t="s">
        <v>805</v>
      </c>
      <c r="B17" s="416">
        <v>0</v>
      </c>
      <c r="C17" s="588"/>
      <c r="D17" s="382">
        <v>0</v>
      </c>
      <c r="E17" s="382"/>
      <c r="F17" s="416">
        <v>0</v>
      </c>
      <c r="G17" s="395"/>
    </row>
    <row r="18" spans="1:7">
      <c r="A18" s="589" t="s">
        <v>806</v>
      </c>
      <c r="B18" s="664">
        <f>1-SUM(B14:B17)</f>
        <v>0</v>
      </c>
      <c r="C18" s="428"/>
      <c r="D18" s="368">
        <f>1-SUM(D14:D17)</f>
        <v>1</v>
      </c>
      <c r="E18" s="368"/>
      <c r="F18" s="664">
        <f>1-SUM(F14:F17)</f>
        <v>1</v>
      </c>
      <c r="G18" s="707"/>
    </row>
    <row r="19" spans="1:7">
      <c r="A19" s="571" t="s">
        <v>862</v>
      </c>
      <c r="B19" s="230"/>
      <c r="C19" s="395"/>
      <c r="F19" s="230"/>
      <c r="G19" s="395"/>
    </row>
    <row r="20" spans="1:7" s="349" customFormat="1">
      <c r="A20" s="347" t="s">
        <v>800</v>
      </c>
      <c r="B20" s="390">
        <f>B$11*B14</f>
        <v>0</v>
      </c>
      <c r="C20" s="348"/>
      <c r="D20" s="389">
        <f>D$11*D14</f>
        <v>0</v>
      </c>
      <c r="F20" s="390">
        <f>F$11*F14</f>
        <v>0</v>
      </c>
      <c r="G20" s="348"/>
    </row>
    <row r="21" spans="1:7" s="349" customFormat="1">
      <c r="A21" s="347" t="s">
        <v>802</v>
      </c>
      <c r="B21" s="390">
        <f>B$11*B15</f>
        <v>0</v>
      </c>
      <c r="C21" s="348"/>
      <c r="D21" s="389">
        <f>D$11*D15</f>
        <v>0</v>
      </c>
      <c r="F21" s="390">
        <f>F$11*F15</f>
        <v>0</v>
      </c>
      <c r="G21" s="348"/>
    </row>
    <row r="22" spans="1:7" s="349" customFormat="1">
      <c r="A22" s="347" t="s">
        <v>804</v>
      </c>
      <c r="B22" s="390">
        <f>B$11*B16</f>
        <v>0</v>
      </c>
      <c r="C22" s="348"/>
      <c r="D22" s="389">
        <f>D$11*D16</f>
        <v>0</v>
      </c>
      <c r="F22" s="390">
        <f>F$11*F16</f>
        <v>0</v>
      </c>
      <c r="G22" s="348"/>
    </row>
    <row r="23" spans="1:7" s="349" customFormat="1">
      <c r="A23" s="347" t="s">
        <v>805</v>
      </c>
      <c r="B23" s="390">
        <f>B$11*B17</f>
        <v>0</v>
      </c>
      <c r="C23" s="348"/>
      <c r="D23" s="389">
        <f>D$11*D17</f>
        <v>0</v>
      </c>
      <c r="F23" s="390">
        <f>F$11*F17</f>
        <v>0</v>
      </c>
      <c r="G23" s="348"/>
    </row>
    <row r="24" spans="1:7" s="349" customFormat="1">
      <c r="A24" s="347" t="s">
        <v>806</v>
      </c>
      <c r="B24" s="390">
        <f>B$11*B18</f>
        <v>0</v>
      </c>
      <c r="C24" s="348"/>
      <c r="D24" s="389">
        <f>D$11*D18</f>
        <v>0</v>
      </c>
      <c r="F24" s="390">
        <f>F$11*F18</f>
        <v>0</v>
      </c>
      <c r="G24" s="348"/>
    </row>
    <row r="25" spans="1:7" s="349" customFormat="1">
      <c r="A25" s="510" t="s">
        <v>816</v>
      </c>
      <c r="B25" s="510">
        <f>B$20*(1+(GREET1_Import_Export!$F$179*GREET1_Import_Export!$B180+GREET1_Import_Export!$F180)/1000000)+B$21*(1+(GREET1_Import_Export!$H$179*GREET1_Import_Export!$B180+GREET1_Import_Export!$H180)/1000000)+B$22*(1+GREET1_Import_Export!$B216/1000000)+B$23*(1+GREET1_Import_Export!$B284/1000000)+B$24*(GREET1_Import_Export!$B309+GREET1_Import_Export!$C309)/1000000</f>
        <v>0</v>
      </c>
      <c r="C25" s="509"/>
      <c r="D25" s="512">
        <f>D$20*(1+(GREET1_Import_Export!$F$179*GREET1_Import_Export!$B180+GREET1_Import_Export!$F180)/1000000)+D$21*(1+(GREET1_Import_Export!$G$179*GREET1_Import_Export!$B180+GREET1_Import_Export!$G180)/1000000)+D$22*(1+GREET1_Import_Export!$B216/1000000)+D$23*(1+GREET1_Import_Export!$B284/1000000)+D$24*(GREET1_Import_Export!$B309+GREET1_Import_Export!$C309)/1000000</f>
        <v>0</v>
      </c>
      <c r="E25" s="512"/>
      <c r="F25" s="510">
        <f>F$20*(1+(GREET1_Import_Export!$F$179*GREET1_Import_Export!$B180+GREET1_Import_Export!$F180)/1000000)+F$21*(1+(GREET1_Import_Export!$G$179*GREET1_Import_Export!$B180+GREET1_Import_Export!$G180)/1000000)+F$22*(1+GREET1_Import_Export!$B216/1000000)+F$23*(1+GREET1_Import_Export!$B284/1000000)+F$24*(GREET1_Import_Export!$B309+GREET1_Import_Export!$C309)/1000000</f>
        <v>0</v>
      </c>
      <c r="G25" s="509"/>
    </row>
    <row r="26" spans="1:7" s="349" customFormat="1">
      <c r="A26" s="347" t="s">
        <v>817</v>
      </c>
      <c r="B26" s="347">
        <f>B$20*(1+(GREET1_Import_Export!$F$179*GREET1_Import_Export!$B181+GREET1_Import_Export!$F181)/1000000)+B$21*(1+(GREET1_Import_Export!$H$179*GREET1_Import_Export!$B181+GREET1_Import_Export!$H181)/1000000)+B$22*(1+GREET1_Import_Export!$B217/1000000)+B$23*(1+GREET1_Import_Export!$B285/1000000)+B$24*(GREET1_Import_Export!$B310+GREET1_Import_Export!$C310)/1000000</f>
        <v>0</v>
      </c>
      <c r="C26" s="348"/>
      <c r="D26" s="349">
        <f>D$20*(1+(GREET1_Import_Export!$F$179*GREET1_Import_Export!$B181+GREET1_Import_Export!$F181)/1000000)+D$21*(1+(GREET1_Import_Export!$G$179*GREET1_Import_Export!$B181+GREET1_Import_Export!$G181)/1000000)+D$22*(1+GREET1_Import_Export!$B217/1000000)+D$23*(1+GREET1_Import_Export!$B285/1000000)+D$24*(GREET1_Import_Export!$B310+GREET1_Import_Export!$C310)/1000000</f>
        <v>0</v>
      </c>
      <c r="F26" s="347">
        <f>F$20*(1+(GREET1_Import_Export!$F$179*GREET1_Import_Export!$B181+GREET1_Import_Export!$F181)/1000000)+F$21*(1+(GREET1_Import_Export!$G$179*GREET1_Import_Export!$B181+GREET1_Import_Export!$G181)/1000000)+F$22*(1+GREET1_Import_Export!$B217/1000000)+F$23*(1+GREET1_Import_Export!$B285/1000000)+F$24*(GREET1_Import_Export!$B310+GREET1_Import_Export!$C310)/1000000</f>
        <v>0</v>
      </c>
      <c r="G26" s="348"/>
    </row>
    <row r="27" spans="1:7" s="349" customFormat="1">
      <c r="A27" s="347" t="s">
        <v>805</v>
      </c>
      <c r="B27" s="347">
        <f>B$20*(GREET1_Import_Export!$F$179*GREET1_Import_Export!$B182+GREET1_Import_Export!$F182)/1000000+B$21*(GREET1_Import_Export!$H$179*GREET1_Import_Export!$B182+GREET1_Import_Export!$H182)/1000000+B$22*GREET1_Import_Export!$B218/1000000+B$23*(1+GREET1_Import_Export!$B286/1000000)+B$24*(GREET1_Import_Export!$B311+GREET1_Import_Export!$C311)/1000000</f>
        <v>0</v>
      </c>
      <c r="C27" s="348"/>
      <c r="D27" s="349">
        <f>D$20*(GREET1_Import_Export!$F$179*GREET1_Import_Export!$B182+GREET1_Import_Export!$F182)/1000000+D$21*(GREET1_Import_Export!$G$179*GREET1_Import_Export!$B182+GREET1_Import_Export!$G182)/1000000+D$22*GREET1_Import_Export!$B218/1000000+D$23*(1+GREET1_Import_Export!$B286/1000000)+D$24*(GREET1_Import_Export!$B311+GREET1_Import_Export!$C311)/1000000</f>
        <v>0</v>
      </c>
      <c r="F27" s="347">
        <f>F$20*(GREET1_Import_Export!$F$179*GREET1_Import_Export!$B182+GREET1_Import_Export!$F182)/1000000+F$21*(GREET1_Import_Export!$G$179*GREET1_Import_Export!$B182+GREET1_Import_Export!$G182)/1000000+F$22*GREET1_Import_Export!$B218/1000000+F$23*(1+GREET1_Import_Export!$B286/1000000)+F$24*(GREET1_Import_Export!$B311+GREET1_Import_Export!$C311)/1000000</f>
        <v>0</v>
      </c>
      <c r="G27" s="348"/>
    </row>
    <row r="28" spans="1:7" s="349" customFormat="1">
      <c r="A28" s="347" t="s">
        <v>804</v>
      </c>
      <c r="B28" s="347">
        <f>B26-B27-B29</f>
        <v>0</v>
      </c>
      <c r="C28" s="348"/>
      <c r="D28" s="349">
        <f>D26-D27-D29</f>
        <v>0</v>
      </c>
      <c r="F28" s="347">
        <f>F26-F27-F29</f>
        <v>0</v>
      </c>
      <c r="G28" s="348"/>
    </row>
    <row r="29" spans="1:7" s="349" customFormat="1">
      <c r="A29" s="347" t="s">
        <v>818</v>
      </c>
      <c r="B29" s="347">
        <f>B$20*(1+(GREET1_Import_Export!$F$179*GREET1_Import_Export!$B184+GREET1_Import_Export!$F184)/1000000)+B$21*(1+(GREET1_Import_Export!$H$179*GREET1_Import_Export!$B184+GREET1_Import_Export!$H184)/1000000)+B$22*GREET1_Import_Export!$B220/1000000+B$23*GREET1_Import_Export!$B288/1000000+B$24*(GREET1_Import_Export!$B313+GREET1_Import_Export!$C313)/1000000</f>
        <v>0</v>
      </c>
      <c r="C29" s="348"/>
      <c r="D29" s="349">
        <f>D$20*(1+(GREET1_Import_Export!$F$179*GREET1_Import_Export!$B184+GREET1_Import_Export!$F184)/1000000)+D$21*(1+(GREET1_Import_Export!$G$179*GREET1_Import_Export!$B184+GREET1_Import_Export!$G184)/1000000)+D$22*GREET1_Import_Export!$B220/1000000+D$23*GREET1_Import_Export!$B288/1000000+D$24*(GREET1_Import_Export!$B313+GREET1_Import_Export!$C313)/1000000</f>
        <v>0</v>
      </c>
      <c r="F29" s="347">
        <f>F$20*(1+(GREET1_Import_Export!$F$179*GREET1_Import_Export!$B184+GREET1_Import_Export!$F184)/1000000)+F$21*(1+(GREET1_Import_Export!$G$179*GREET1_Import_Export!$B184+GREET1_Import_Export!$G184)/1000000)+F$22*GREET1_Import_Export!$B220/1000000+F$23*GREET1_Import_Export!$B288/1000000+F$24*(GREET1_Import_Export!$B313+GREET1_Import_Export!$C313)/1000000</f>
        <v>0</v>
      </c>
      <c r="G29" s="348"/>
    </row>
    <row r="30" spans="1:7" s="419" customFormat="1">
      <c r="A30" s="160" t="s">
        <v>819</v>
      </c>
      <c r="B30" s="160">
        <f>B$20*((GREET1_Import_Export!$F$179*GREET1_Import_Export!$B185+GREET1_Import_Export!$F185))+B$21*((GREET1_Import_Export!$H$179*GREET1_Import_Export!$B185+GREET1_Import_Export!$H185))+B$22*GREET1_Import_Export!$B221+B$23*GREET1_Import_Export!$B289+B$24*(GREET1_Import_Export!$B314+GREET1_Import_Export!$C314)</f>
        <v>0</v>
      </c>
      <c r="C30" s="752"/>
      <c r="D30" s="1">
        <f>D$20*((GREET1_Import_Export!$F$179*GREET1_Import_Export!$B185+GREET1_Import_Export!$F185))+D$21*((GREET1_Import_Export!$G$179*GREET1_Import_Export!$B185+GREET1_Import_Export!$G185))+D$22*GREET1_Import_Export!$B221+D$23*GREET1_Import_Export!$B289+D$24*(GREET1_Import_Export!$B314+GREET1_Import_Export!$C314)</f>
        <v>0</v>
      </c>
      <c r="E30" s="374"/>
      <c r="F30" s="173">
        <f>F$20*((GREET1_Import_Export!$F$179*GREET1_Import_Export!$B185+GREET1_Import_Export!$F185))+F$21*((GREET1_Import_Export!$G$179*GREET1_Import_Export!$B185+GREET1_Import_Export!$G185))+F$22*GREET1_Import_Export!$B221+F$23*GREET1_Import_Export!$B289+F$24*(GREET1_Import_Export!$B314+GREET1_Import_Export!$C314)</f>
        <v>0</v>
      </c>
      <c r="G30" s="752"/>
    </row>
    <row r="31" spans="1:7" s="349" customFormat="1">
      <c r="A31" s="699" t="s">
        <v>864</v>
      </c>
      <c r="B31" s="510"/>
      <c r="C31" s="509"/>
      <c r="D31" s="512"/>
      <c r="E31" s="512"/>
      <c r="F31" s="510"/>
      <c r="G31" s="509"/>
    </row>
    <row r="32" spans="1:7" s="349" customFormat="1">
      <c r="A32" s="347" t="s">
        <v>821</v>
      </c>
      <c r="B32" s="347">
        <f>B$20*($B$4*GREET1_Import_Export!$K72+GREET1_Import_Export!$F$179*GREET1_Import_Export!$B186+GREET1_Import_Export!$F186)+B$21*(GREET1_Import_Export!$R72+GREET1_Import_Export!$H$179*GREET1_Import_Export!$B186+GREET1_Import_Export!$H186)+B$22*($B$5*GREET1_Import_Export!$B72+GREET1_Import_Export!$B222)+B$23*($B$6*GREET1_Import_Export!$AA72+GREET1_Import_Export!$B290)+B$24*(GREET1_Import_Export!$B315+GREET1_Import_Export!$C315)</f>
        <v>0</v>
      </c>
      <c r="C32" s="348"/>
      <c r="D32" s="349">
        <f>D$20*($B$4*GREET1_Import_Export!$K72+GREET1_Import_Export!$F$179*GREET1_Import_Export!$B186+GREET1_Import_Export!$F186)+D$21*(GREET1_Import_Export!$O72+GREET1_Import_Export!$G$179*GREET1_Import_Export!$B186+GREET1_Import_Export!$G186)+D$22*($B$5*GREET1_Import_Export!$B72+GREET1_Import_Export!$B222)+D$23*($B$6*GREET1_Import_Export!$AA72+GREET1_Import_Export!$B290)+D$24*(GREET1_Import_Export!$B315+GREET1_Import_Export!$C315)</f>
        <v>0</v>
      </c>
      <c r="F32" s="347">
        <f>F$20*($B$4*GREET1_Import_Export!$K72+GREET1_Import_Export!$F$179*GREET1_Import_Export!$B186+GREET1_Import_Export!$F186)+F$21*(GREET1_Import_Export!$O72+GREET1_Import_Export!$G$179*GREET1_Import_Export!$B186+GREET1_Import_Export!$G186)+F$22*($B$5*GREET1_Import_Export!$B72+GREET1_Import_Export!$B222)+F$23*($B$6*GREET1_Import_Export!$AA72+GREET1_Import_Export!$B290)+F$24*(GREET1_Import_Export!$B315+GREET1_Import_Export!$C315)</f>
        <v>0</v>
      </c>
      <c r="G32" s="348"/>
    </row>
    <row r="33" spans="1:7" s="349" customFormat="1">
      <c r="A33" s="347" t="s">
        <v>822</v>
      </c>
      <c r="B33" s="347">
        <f>B$20*($B$4*GREET1_Import_Export!$K73+GREET1_Import_Export!$F$179*GREET1_Import_Export!$B187+GREET1_Import_Export!$F187)+B$21*(GREET1_Import_Export!$R73+GREET1_Import_Export!$H$179*GREET1_Import_Export!$B187+GREET1_Import_Export!$H187)+B$22*($B$5*GREET1_Import_Export!$B73+GREET1_Import_Export!$B223)+B$23*($B$6*GREET1_Import_Export!$AA73+GREET1_Import_Export!$B291)+B$24*(GREET1_Import_Export!$B316+GREET1_Import_Export!$C316)</f>
        <v>0</v>
      </c>
      <c r="C33" s="348"/>
      <c r="D33" s="349">
        <f>D$20*($B$4*GREET1_Import_Export!$K73+GREET1_Import_Export!$F$179*GREET1_Import_Export!$B187+GREET1_Import_Export!$F187)+D$21*(GREET1_Import_Export!$O73+GREET1_Import_Export!$G$179*GREET1_Import_Export!$B187+GREET1_Import_Export!$G187)+D$22*($B$5*GREET1_Import_Export!$B73+GREET1_Import_Export!$B223)+D$23*($B$6*GREET1_Import_Export!$AA73+GREET1_Import_Export!$B291)+D$24*(GREET1_Import_Export!$B316+GREET1_Import_Export!$C316)</f>
        <v>0</v>
      </c>
      <c r="F33" s="347">
        <f>F$20*($B$4*GREET1_Import_Export!$K73+GREET1_Import_Export!$F$179*GREET1_Import_Export!$B187+GREET1_Import_Export!$F187)+F$21*(GREET1_Import_Export!$O73+GREET1_Import_Export!$G$179*GREET1_Import_Export!$B187+GREET1_Import_Export!$G187)+F$22*($B$5*GREET1_Import_Export!$B73+GREET1_Import_Export!$B223)+F$23*($B$6*GREET1_Import_Export!$AA73+GREET1_Import_Export!$B291)+F$24*(GREET1_Import_Export!$B316+GREET1_Import_Export!$C316)</f>
        <v>0</v>
      </c>
      <c r="G33" s="348"/>
    </row>
    <row r="34" spans="1:7" s="349" customFormat="1">
      <c r="A34" s="347" t="s">
        <v>823</v>
      </c>
      <c r="B34" s="347">
        <f>B$20*($B$4*GREET1_Import_Export!$K74+GREET1_Import_Export!$F$179*GREET1_Import_Export!$B188+GREET1_Import_Export!$F188)+B$21*(GREET1_Import_Export!$R74+GREET1_Import_Export!$H$179*GREET1_Import_Export!$B188+GREET1_Import_Export!$H188)+B$22*($B$5*GREET1_Import_Export!$B74+GREET1_Import_Export!$B224)+B$23*($B$6*GREET1_Import_Export!$AA74+GREET1_Import_Export!$B292)+B$24*(GREET1_Import_Export!$B317+GREET1_Import_Export!$C317)</f>
        <v>0</v>
      </c>
      <c r="C34" s="348"/>
      <c r="D34" s="349">
        <f>D$20*($B$4*GREET1_Import_Export!$K74+GREET1_Import_Export!$F$179*GREET1_Import_Export!$B188+GREET1_Import_Export!$F188)+D$21*(GREET1_Import_Export!$O74+GREET1_Import_Export!$G$179*GREET1_Import_Export!$B188+GREET1_Import_Export!$G188)+D$22*($B$5*GREET1_Import_Export!$B74+GREET1_Import_Export!$B224)+D$23*($B$6*GREET1_Import_Export!$AA74+GREET1_Import_Export!$B292)+D$24*(GREET1_Import_Export!$B317+GREET1_Import_Export!$C317)</f>
        <v>0</v>
      </c>
      <c r="F34" s="347">
        <f>F$20*($B$4*GREET1_Import_Export!$K74+GREET1_Import_Export!$F$179*GREET1_Import_Export!$B188+GREET1_Import_Export!$F188)+F$21*(GREET1_Import_Export!$O74+GREET1_Import_Export!$G$179*GREET1_Import_Export!$B188+GREET1_Import_Export!$G188)+F$22*($B$5*GREET1_Import_Export!$B74+GREET1_Import_Export!$B224)+F$23*($B$6*GREET1_Import_Export!$AA74+GREET1_Import_Export!$B292)+F$24*(GREET1_Import_Export!$B317+GREET1_Import_Export!$C317)</f>
        <v>0</v>
      </c>
      <c r="G34" s="348"/>
    </row>
    <row r="35" spans="1:7" s="349" customFormat="1">
      <c r="A35" s="347" t="s">
        <v>824</v>
      </c>
      <c r="B35" s="347">
        <f>B$20*($B$4*GREET1_Import_Export!$K75+GREET1_Import_Export!$F$179*GREET1_Import_Export!$B189+GREET1_Import_Export!$F189)+B$21*(GREET1_Import_Export!$R75+GREET1_Import_Export!$H$179*GREET1_Import_Export!$B189+GREET1_Import_Export!$H189)+B$22*($B$5*GREET1_Import_Export!$B75+GREET1_Import_Export!$B225)+B$23*($B$6*GREET1_Import_Export!$AA75+GREET1_Import_Export!$B293)+B$24*(GREET1_Import_Export!$B318+GREET1_Import_Export!$C318)</f>
        <v>0</v>
      </c>
      <c r="C35" s="348"/>
      <c r="D35" s="349">
        <f>D$20*($B$4*GREET1_Import_Export!$K75+GREET1_Import_Export!$F$179*GREET1_Import_Export!$B189+GREET1_Import_Export!$F189)+D$21*(GREET1_Import_Export!$O75+GREET1_Import_Export!$G$179*GREET1_Import_Export!$B189+GREET1_Import_Export!$G189)+D$22*($B$5*GREET1_Import_Export!$B75+GREET1_Import_Export!$B225)+D$23*($B$6*GREET1_Import_Export!$AA75+GREET1_Import_Export!$B293)+D$24*(GREET1_Import_Export!$B318+GREET1_Import_Export!$C318)</f>
        <v>0</v>
      </c>
      <c r="F35" s="347">
        <f>F$20*($B$4*GREET1_Import_Export!$K75+GREET1_Import_Export!$F$179*GREET1_Import_Export!$B189+GREET1_Import_Export!$F189)+F$21*(GREET1_Import_Export!$O75+GREET1_Import_Export!$G$179*GREET1_Import_Export!$B189+GREET1_Import_Export!$G189)+F$22*($B$5*GREET1_Import_Export!$B75+GREET1_Import_Export!$B225)+F$23*($B$6*GREET1_Import_Export!$AA75+GREET1_Import_Export!$B293)+F$24*(GREET1_Import_Export!$B318+GREET1_Import_Export!$C318)</f>
        <v>0</v>
      </c>
      <c r="G35" s="348"/>
    </row>
    <row r="36" spans="1:7" s="349" customFormat="1">
      <c r="A36" s="347" t="s">
        <v>825</v>
      </c>
      <c r="B36" s="347">
        <f>B$20*($B$4*GREET1_Import_Export!$K76+GREET1_Import_Export!$F$179*GREET1_Import_Export!$B190+GREET1_Import_Export!$F190)+B$21*(GREET1_Import_Export!$R76+GREET1_Import_Export!$H$179*GREET1_Import_Export!$B190+GREET1_Import_Export!$H190)+B$22*($B$5*GREET1_Import_Export!$B76+GREET1_Import_Export!$B226)+B$23*($B$6*GREET1_Import_Export!$AA76+GREET1_Import_Export!$B294)+B$24*(GREET1_Import_Export!$B319+GREET1_Import_Export!$C319)</f>
        <v>0</v>
      </c>
      <c r="C36" s="348"/>
      <c r="D36" s="349">
        <f>D$20*($B$4*GREET1_Import_Export!$K76+GREET1_Import_Export!$F$179*GREET1_Import_Export!$B190+GREET1_Import_Export!$F190)+D$21*(GREET1_Import_Export!$O76+GREET1_Import_Export!$G$179*GREET1_Import_Export!$B190+GREET1_Import_Export!$G190)+D$22*($B$5*GREET1_Import_Export!$B76+GREET1_Import_Export!$B226)+D$23*($B$6*GREET1_Import_Export!$AA76+GREET1_Import_Export!$B294)+D$24*(GREET1_Import_Export!$B319+GREET1_Import_Export!$C319)</f>
        <v>0</v>
      </c>
      <c r="F36" s="347">
        <f>F$20*($B$4*GREET1_Import_Export!$K76+GREET1_Import_Export!$F$179*GREET1_Import_Export!$B190+GREET1_Import_Export!$F190)+F$21*(GREET1_Import_Export!$O76+GREET1_Import_Export!$G$179*GREET1_Import_Export!$B190+GREET1_Import_Export!$G190)+F$22*($B$5*GREET1_Import_Export!$B76+GREET1_Import_Export!$B226)+F$23*($B$6*GREET1_Import_Export!$AA76+GREET1_Import_Export!$B294)+F$24*(GREET1_Import_Export!$B319+GREET1_Import_Export!$C319)</f>
        <v>0</v>
      </c>
      <c r="G36" s="348"/>
    </row>
    <row r="37" spans="1:7" s="349" customFormat="1">
      <c r="A37" s="347" t="s">
        <v>826</v>
      </c>
      <c r="B37" s="347">
        <f>B$20*($B$4*GREET1_Import_Export!$K77+GREET1_Import_Export!$F$179*GREET1_Import_Export!$B191+GREET1_Import_Export!$F191)+B$21*(GREET1_Import_Export!$R77+GREET1_Import_Export!$H$179*GREET1_Import_Export!$B191+GREET1_Import_Export!$H191)+B$22*($B$5*GREET1_Import_Export!$B77+GREET1_Import_Export!$B227)+B$23*($B$6*GREET1_Import_Export!$AA77+GREET1_Import_Export!$B295)+B$24*(GREET1_Import_Export!$B320+GREET1_Import_Export!$C320)</f>
        <v>0</v>
      </c>
      <c r="C37" s="348"/>
      <c r="D37" s="349">
        <f>D$20*($B$4*GREET1_Import_Export!$K77+GREET1_Import_Export!$F$179*GREET1_Import_Export!$B191+GREET1_Import_Export!$F191)+D$21*(GREET1_Import_Export!$O77+GREET1_Import_Export!$G$179*GREET1_Import_Export!$B191+GREET1_Import_Export!$G191)+D$22*($B$5*GREET1_Import_Export!$B77+GREET1_Import_Export!$B227)+D$23*($B$6*GREET1_Import_Export!$AA77+GREET1_Import_Export!$B295)+D$24*(GREET1_Import_Export!$B320+GREET1_Import_Export!$C320)</f>
        <v>0</v>
      </c>
      <c r="F37" s="347">
        <f>F$20*($B$4*GREET1_Import_Export!$K77+GREET1_Import_Export!$F$179*GREET1_Import_Export!$B191+GREET1_Import_Export!$F191)+F$21*(GREET1_Import_Export!$O77+GREET1_Import_Export!$G$179*GREET1_Import_Export!$B191+GREET1_Import_Export!$G191)+F$22*($B$5*GREET1_Import_Export!$B77+GREET1_Import_Export!$B227)+F$23*($B$6*GREET1_Import_Export!$AA77+GREET1_Import_Export!$B295)+F$24*(GREET1_Import_Export!$B320+GREET1_Import_Export!$C320)</f>
        <v>0</v>
      </c>
      <c r="G37" s="348"/>
    </row>
    <row r="38" spans="1:7" s="349" customFormat="1">
      <c r="A38" s="749" t="s">
        <v>827</v>
      </c>
      <c r="B38" s="347">
        <f>B$20*($B$4*GREET1_Import_Export!$K78+GREET1_Import_Export!$F$179*GREET1_Import_Export!$B192+GREET1_Import_Export!$F192)+B$21*(GREET1_Import_Export!$R78+GREET1_Import_Export!$H$179*GREET1_Import_Export!$B192+GREET1_Import_Export!$H192)+B$22*($B$5*GREET1_Import_Export!$B78+GREET1_Import_Export!$B228)+B$23*($B$6*GREET1_Import_Export!$AA78+GREET1_Import_Export!$B296)+B$24*(GREET1_Import_Export!$B321+GREET1_Import_Export!$C321)</f>
        <v>0</v>
      </c>
      <c r="C38" s="348"/>
      <c r="D38" s="349">
        <f>D$20*($B$4*GREET1_Import_Export!$K78+GREET1_Import_Export!$F$179*GREET1_Import_Export!$B192+GREET1_Import_Export!$F192)+D$21*(GREET1_Import_Export!$O78+GREET1_Import_Export!$G$179*GREET1_Import_Export!$B192+GREET1_Import_Export!$G192)+D$22*($B$5*GREET1_Import_Export!$B78+GREET1_Import_Export!$B228)+D$23*($B$6*GREET1_Import_Export!$AA78+GREET1_Import_Export!$B296)+D$24*(GREET1_Import_Export!$B321+GREET1_Import_Export!$C321)</f>
        <v>0</v>
      </c>
      <c r="F38" s="347">
        <f>F$20*($B$4*GREET1_Import_Export!$K78+GREET1_Import_Export!$F$179*GREET1_Import_Export!$B192+GREET1_Import_Export!$F192)+F$21*(GREET1_Import_Export!$O78+GREET1_Import_Export!$G$179*GREET1_Import_Export!$B192+GREET1_Import_Export!$G192)+F$22*($B$5*GREET1_Import_Export!$B78+GREET1_Import_Export!$B228)+F$23*($B$6*GREET1_Import_Export!$AA78+GREET1_Import_Export!$B296)+F$24*(GREET1_Import_Export!$B321+GREET1_Import_Export!$C321)</f>
        <v>0</v>
      </c>
      <c r="G38" s="348"/>
    </row>
    <row r="39" spans="1:7" s="349" customFormat="1">
      <c r="A39" s="749" t="s">
        <v>828</v>
      </c>
      <c r="B39" s="347">
        <f>B$20*($B$4*GREET1_Import_Export!$K79+GREET1_Import_Export!$F$179*GREET1_Import_Export!$B193+GREET1_Import_Export!$F193)+B$21*(GREET1_Import_Export!$R79+GREET1_Import_Export!$H$179*GREET1_Import_Export!$B193+GREET1_Import_Export!$H193)+B$22*($B$5*GREET1_Import_Export!$B79+GREET1_Import_Export!$B229)+B$23*($B$6*GREET1_Import_Export!$AA79+GREET1_Import_Export!$B297)+B$24*(GREET1_Import_Export!$B322+GREET1_Import_Export!$C322)</f>
        <v>0</v>
      </c>
      <c r="C39" s="348"/>
      <c r="D39" s="349">
        <f>D$20*($B$4*GREET1_Import_Export!$K79+GREET1_Import_Export!$F$179*GREET1_Import_Export!$B193+GREET1_Import_Export!$F193)+D$21*(GREET1_Import_Export!$O79+GREET1_Import_Export!$G$179*GREET1_Import_Export!$B193+GREET1_Import_Export!$G193)+D$22*($B$5*GREET1_Import_Export!$B79+GREET1_Import_Export!$B229)+D$23*($B$6*GREET1_Import_Export!$AA79+GREET1_Import_Export!$B297)+D$24*(GREET1_Import_Export!$B322+GREET1_Import_Export!$C322)</f>
        <v>0</v>
      </c>
      <c r="F39" s="347">
        <f>F$20*($B$4*GREET1_Import_Export!$K79+GREET1_Import_Export!$F$179*GREET1_Import_Export!$B193+GREET1_Import_Export!$F193)+F$21*(GREET1_Import_Export!$O79+GREET1_Import_Export!$G$179*GREET1_Import_Export!$B193+GREET1_Import_Export!$G193)+F$22*($B$5*GREET1_Import_Export!$B79+GREET1_Import_Export!$B229)+F$23*($B$6*GREET1_Import_Export!$AA79+GREET1_Import_Export!$B297)+F$24*(GREET1_Import_Export!$B322+GREET1_Import_Export!$C322)</f>
        <v>0</v>
      </c>
      <c r="G39" s="348"/>
    </row>
    <row r="40" spans="1:7" s="349" customFormat="1">
      <c r="A40" s="347" t="s">
        <v>829</v>
      </c>
      <c r="B40" s="347">
        <f>B$20*($B$4*GREET1_Import_Export!$K80+GREET1_Import_Export!$F$179*GREET1_Import_Export!$B194+GREET1_Import_Export!$F194)+B$21*(GREET1_Import_Export!$R80+GREET1_Import_Export!$H$179*GREET1_Import_Export!$B194+GREET1_Import_Export!$H194)+B$22*($B$5*GREET1_Import_Export!$B80+GREET1_Import_Export!$B230)+B$23*($B$6*GREET1_Import_Export!$AA80+GREET1_Import_Export!$B298)+B$24*(GREET1_Import_Export!$B323+GREET1_Import_Export!$C323)</f>
        <v>0</v>
      </c>
      <c r="C40" s="348"/>
      <c r="D40" s="349">
        <f>D$20*($B$4*GREET1_Import_Export!$K80+GREET1_Import_Export!$F$179*GREET1_Import_Export!$B194+GREET1_Import_Export!$F194)+D$21*(GREET1_Import_Export!$O80+GREET1_Import_Export!$G$179*GREET1_Import_Export!$B194+GREET1_Import_Export!$G194)+D$22*($B$5*GREET1_Import_Export!$B80+GREET1_Import_Export!$B230)+D$23*($B$6*GREET1_Import_Export!$AA80+GREET1_Import_Export!$B298)+D$24*(GREET1_Import_Export!$B323+GREET1_Import_Export!$C323)</f>
        <v>0</v>
      </c>
      <c r="F40" s="347">
        <f>F$20*($B$4*GREET1_Import_Export!$K80+GREET1_Import_Export!$F$179*GREET1_Import_Export!$B194+GREET1_Import_Export!$F194)+F$21*(GREET1_Import_Export!$O80+GREET1_Import_Export!$G$179*GREET1_Import_Export!$B194+GREET1_Import_Export!$G194)+F$22*($B$5*GREET1_Import_Export!$B80+GREET1_Import_Export!$B230)+F$23*($B$6*GREET1_Import_Export!$AA80+GREET1_Import_Export!$B298)+F$24*(GREET1_Import_Export!$B323+GREET1_Import_Export!$C323)</f>
        <v>0</v>
      </c>
      <c r="G40" s="348"/>
    </row>
    <row r="41" spans="1:7" s="349" customFormat="1">
      <c r="A41" s="347" t="s">
        <v>830</v>
      </c>
      <c r="B41" s="347">
        <f>B$20*($B$4*GREET1_Import_Export!$K81+GREET1_Import_Export!$F$179*GREET1_Import_Export!$B195+GREET1_Import_Export!$F195)+B$21*(GREET1_Import_Export!$R81+GREET1_Import_Export!$H$179*GREET1_Import_Export!$B195+GREET1_Import_Export!$H195)+B$22*($B$5*GREET1_Import_Export!$B81+GREET1_Import_Export!$B231)+B$23*($B$6*GREET1_Import_Export!$AA81+GREET1_Import_Export!$B299)+B$24*(GREET1_Import_Export!$B324+GREET1_Import_Export!$C324)</f>
        <v>0</v>
      </c>
      <c r="C41" s="348"/>
      <c r="D41" s="349">
        <f>D$20*($B$4*GREET1_Import_Export!$K81+GREET1_Import_Export!$F$179*GREET1_Import_Export!$B195+GREET1_Import_Export!$F195)+D$21*(GREET1_Import_Export!$O81+GREET1_Import_Export!$G$179*GREET1_Import_Export!$B195+GREET1_Import_Export!$G195)+D$22*($B$5*GREET1_Import_Export!$B81+GREET1_Import_Export!$B231)+D$23*($B$6*GREET1_Import_Export!$AA81+GREET1_Import_Export!$B299)+D$24*(GREET1_Import_Export!$B324+GREET1_Import_Export!$C324)</f>
        <v>0</v>
      </c>
      <c r="F41" s="347">
        <f>F$20*($B$4*GREET1_Import_Export!$K81+GREET1_Import_Export!$F$179*GREET1_Import_Export!$B195+GREET1_Import_Export!$F195)+F$21*(GREET1_Import_Export!$O81+GREET1_Import_Export!$G$179*GREET1_Import_Export!$B195+GREET1_Import_Export!$G195)+F$22*($B$5*GREET1_Import_Export!$B81+GREET1_Import_Export!$B231)+F$23*($B$6*GREET1_Import_Export!$AA81+GREET1_Import_Export!$B299)+F$24*(GREET1_Import_Export!$B324+GREET1_Import_Export!$C324)</f>
        <v>0</v>
      </c>
      <c r="G41" s="348"/>
    </row>
    <row r="42" spans="1:7" s="419" customFormat="1">
      <c r="A42" s="668" t="s">
        <v>831</v>
      </c>
      <c r="B42" s="295">
        <f>B$20*($B$4*GREET1_Import_Export!$K82+GREET1_Import_Export!$F$179*GREET1_Import_Export!$B196+GREET1_Import_Export!$F196)+B$21*(GREET1_Import_Export!$R82+GREET1_Import_Export!$H$179*GREET1_Import_Export!$B196+GREET1_Import_Export!$H196)+B$22*($B$5*GREET1_Import_Export!$B82+GREET1_Import_Export!$B232)+B$23*($B$6*GREET1_Import_Export!$AA82+GREET1_Import_Export!$B300)+B$24*(GREET1_Import_Export!$B325+GREET1_Import_Export!$C325)</f>
        <v>0</v>
      </c>
      <c r="C42" s="752"/>
      <c r="D42" s="374">
        <f>D$20*($B$4*GREET1_Import_Export!$K82+GREET1_Import_Export!$F$179*GREET1_Import_Export!$B196+GREET1_Import_Export!$F196)+D$21*(GREET1_Import_Export!$O82+GREET1_Import_Export!$G$179*GREET1_Import_Export!$B196+GREET1_Import_Export!$G196)+D$22*($B$5*GREET1_Import_Export!$B82+GREET1_Import_Export!$B232)+D$23*($B$6*GREET1_Import_Export!$AA82+GREET1_Import_Export!$B300)+D$24*(GREET1_Import_Export!$B325+GREET1_Import_Export!$C325)</f>
        <v>0</v>
      </c>
      <c r="E42" s="374"/>
      <c r="F42" s="668">
        <f>F$20*($B$4*GREET1_Import_Export!$K82+GREET1_Import_Export!$F$179*GREET1_Import_Export!$B196+GREET1_Import_Export!$F196)+F$21*(GREET1_Import_Export!$O82+GREET1_Import_Export!$G$179*GREET1_Import_Export!$B196+GREET1_Import_Export!$G196)+F$22*($B$5*GREET1_Import_Export!$B82+GREET1_Import_Export!$B232)+F$23*($B$6*GREET1_Import_Export!$AA82+GREET1_Import_Export!$B300)+F$24*(GREET1_Import_Export!$B325+GREET1_Import_Export!$C325)</f>
        <v>0</v>
      </c>
      <c r="G42" s="752"/>
    </row>
    <row r="43" spans="1:7" s="349" customFormat="1">
      <c r="A43" s="758" t="s">
        <v>865</v>
      </c>
      <c r="B43" s="347"/>
      <c r="C43" s="348"/>
      <c r="D43" s="389"/>
      <c r="F43" s="347"/>
      <c r="G43" s="348"/>
    </row>
    <row r="44" spans="1:7" s="349" customFormat="1">
      <c r="A44" s="347" t="s">
        <v>821</v>
      </c>
      <c r="B44" s="347">
        <f>B$20*(B$12*($B$4*GREET1_Import_Export!$K72)+GREET1_Import_Export!$F$200*GREET1_Import_Export!$B201+GREET1_Import_Export!$F201)+B$21*(B$12*(GREET1_Import_Export!$R72)+GREET1_Import_Export!$H$200*GREET1_Import_Export!$B201+GREET1_Import_Export!$H201)+B$22*(B$12*($B$5*GREET1_Import_Export!$B72)+GREET1_Import_Export!$B237)+B$23*(B$12*($B$6*GREET1_Import_Export!$AA72)+GREET1_Import_Export!$C290)+B$24*(GREET1_Import_Export!$D315+GREET1_Import_Export!$E315)</f>
        <v>0</v>
      </c>
      <c r="C44" s="348">
        <f t="shared" ref="C44:C51" si="0">C32*B$12</f>
        <v>0</v>
      </c>
      <c r="D44" s="349">
        <f>D$20*(D$12*($B$4*GREET1_Import_Export!$K72)+GREET1_Import_Export!$F$200*GREET1_Import_Export!$B201+GREET1_Import_Export!$F201)+D$21*(D$12*(GREET1_Import_Export!$O72)+GREET1_Import_Export!$G$200*GREET1_Import_Export!$B201+GREET1_Import_Export!$G201)+D$22*(D$12*($B$5*GREET1_Import_Export!$B72)+GREET1_Import_Export!$B237)+D$23*(D$12*($B$6*GREET1_Import_Export!$AA72)+GREET1_Import_Export!$C290)+D$24*(GREET1_Import_Export!$D315+GREET1_Import_Export!$E315)</f>
        <v>0</v>
      </c>
      <c r="E44" s="349">
        <f t="shared" ref="E44:E51" si="1">E32*D$12</f>
        <v>0</v>
      </c>
      <c r="F44" s="347">
        <f>F$20*(F$12*($B$4*GREET1_Import_Export!$K72)+GREET1_Import_Export!$F$200*GREET1_Import_Export!$B201+GREET1_Import_Export!$F201)+F$21*(F$12*(GREET1_Import_Export!$O72)+GREET1_Import_Export!$G$200*GREET1_Import_Export!$B201+GREET1_Import_Export!$G201)+F$22*(F$12*($B$5*GREET1_Import_Export!$B72)+GREET1_Import_Export!$B237)+F$23*(F$12*($B$6*GREET1_Import_Export!$AA72)+GREET1_Import_Export!$C290)+F$24*(GREET1_Import_Export!$D315+GREET1_Import_Export!$E315)</f>
        <v>0</v>
      </c>
      <c r="G44" s="348">
        <f t="shared" ref="G44:G51" si="2">G32*F$12</f>
        <v>0</v>
      </c>
    </row>
    <row r="45" spans="1:7" s="349" customFormat="1">
      <c r="A45" s="347" t="s">
        <v>822</v>
      </c>
      <c r="B45" s="347">
        <f>B$20*(B$12*($B$4*GREET1_Import_Export!$K73)+GREET1_Import_Export!$F$200*GREET1_Import_Export!$B202+GREET1_Import_Export!$F202)+B$21*(B$12*(GREET1_Import_Export!$R73)+GREET1_Import_Export!$H$200*GREET1_Import_Export!$B202+GREET1_Import_Export!$H202)+B$22*(B$12*($B$5*GREET1_Import_Export!$B73)+GREET1_Import_Export!$B238)+B$23*(B$12*($B$6*GREET1_Import_Export!$AA73)+GREET1_Import_Export!$C291)+B$24*(GREET1_Import_Export!$D316+GREET1_Import_Export!$E316)</f>
        <v>0</v>
      </c>
      <c r="C45" s="348">
        <f t="shared" si="0"/>
        <v>0</v>
      </c>
      <c r="D45" s="349">
        <f>D$20*(D$12*($B$4*GREET1_Import_Export!$K73)+GREET1_Import_Export!$F$200*GREET1_Import_Export!$B202+GREET1_Import_Export!$F202)+D$21*(D$12*(GREET1_Import_Export!$O73)+GREET1_Import_Export!$G$200*GREET1_Import_Export!$B202+GREET1_Import_Export!$G202)+D$22*(D$12*($B$5*GREET1_Import_Export!$B73)+GREET1_Import_Export!$B238)+D$23*(D$12*($B$6*GREET1_Import_Export!$AA73)+GREET1_Import_Export!$C291)+D$24*(GREET1_Import_Export!$D316+GREET1_Import_Export!$E316)</f>
        <v>0</v>
      </c>
      <c r="E45" s="349">
        <f t="shared" si="1"/>
        <v>0</v>
      </c>
      <c r="F45" s="347">
        <f>F$20*(F$12*($B$4*GREET1_Import_Export!$K73)+GREET1_Import_Export!$F$200*GREET1_Import_Export!$B202+GREET1_Import_Export!$F202)+F$21*(F$12*(GREET1_Import_Export!$O73)+GREET1_Import_Export!$G$200*GREET1_Import_Export!$B202+GREET1_Import_Export!$G202)+F$22*(F$12*($B$5*GREET1_Import_Export!$B73)+GREET1_Import_Export!$B238)+F$23*(F$12*($B$6*GREET1_Import_Export!$AA73)+GREET1_Import_Export!$C291)+F$24*(GREET1_Import_Export!$D316+GREET1_Import_Export!$E316)</f>
        <v>0</v>
      </c>
      <c r="G45" s="348">
        <f t="shared" si="2"/>
        <v>0</v>
      </c>
    </row>
    <row r="46" spans="1:7" s="349" customFormat="1">
      <c r="A46" s="347" t="s">
        <v>823</v>
      </c>
      <c r="B46" s="347">
        <f>B$20*(B$12*($B$4*GREET1_Import_Export!$K74)+GREET1_Import_Export!$F$200*GREET1_Import_Export!$B203+GREET1_Import_Export!$F203)+B$21*(B$12*(GREET1_Import_Export!$R74)+GREET1_Import_Export!$H$200*GREET1_Import_Export!$B203+GREET1_Import_Export!$H203)+B$22*(B$12*($B$5*GREET1_Import_Export!$B74)+GREET1_Import_Export!$B239)+B$23*(B$12*($B$6*GREET1_Import_Export!$AA74)+GREET1_Import_Export!$C292)+B$24*(GREET1_Import_Export!$D317+GREET1_Import_Export!$E317)</f>
        <v>0</v>
      </c>
      <c r="C46" s="348">
        <f t="shared" si="0"/>
        <v>0</v>
      </c>
      <c r="D46" s="349">
        <f>D$20*(D$12*($B$4*GREET1_Import_Export!$K74)+GREET1_Import_Export!$F$200*GREET1_Import_Export!$B203+GREET1_Import_Export!$F203)+D$21*(D$12*(GREET1_Import_Export!$O74)+GREET1_Import_Export!$G$200*GREET1_Import_Export!$B203+GREET1_Import_Export!$G203)+D$22*(D$12*($B$5*GREET1_Import_Export!$B74)+GREET1_Import_Export!$B239)+D$23*(D$12*($B$6*GREET1_Import_Export!$AA74)+GREET1_Import_Export!$C292)+D$24*(GREET1_Import_Export!$D317+GREET1_Import_Export!$E317)</f>
        <v>0</v>
      </c>
      <c r="E46" s="349">
        <f t="shared" si="1"/>
        <v>0</v>
      </c>
      <c r="F46" s="347">
        <f>F$20*(F$12*($B$4*GREET1_Import_Export!$K74)+GREET1_Import_Export!$F$200*GREET1_Import_Export!$B203+GREET1_Import_Export!$F203)+F$21*(F$12*(GREET1_Import_Export!$O74)+GREET1_Import_Export!$G$200*GREET1_Import_Export!$B203+GREET1_Import_Export!$G203)+F$22*(F$12*($B$5*GREET1_Import_Export!$B74)+GREET1_Import_Export!$B239)+F$23*(F$12*($B$6*GREET1_Import_Export!$AA74)+GREET1_Import_Export!$C292)+F$24*(GREET1_Import_Export!$D317+GREET1_Import_Export!$E317)</f>
        <v>0</v>
      </c>
      <c r="G46" s="348">
        <f t="shared" si="2"/>
        <v>0</v>
      </c>
    </row>
    <row r="47" spans="1:7" s="349" customFormat="1">
      <c r="A47" s="347" t="s">
        <v>824</v>
      </c>
      <c r="B47" s="347">
        <f>B$20*(B$12*($B$4*GREET1_Import_Export!$K75)+GREET1_Import_Export!$F$200*GREET1_Import_Export!$B204+GREET1_Import_Export!$F204)+B$21*(B$12*(GREET1_Import_Export!$R75)+GREET1_Import_Export!$H$200*GREET1_Import_Export!$B204+GREET1_Import_Export!$H204)+B$22*(B$12*($B$5*GREET1_Import_Export!$B75)+GREET1_Import_Export!$B240)+B$23*(B$12*($B$6*GREET1_Import_Export!$AA75)+GREET1_Import_Export!$C293)+B$24*(GREET1_Import_Export!$D318+GREET1_Import_Export!$E318)</f>
        <v>0</v>
      </c>
      <c r="C47" s="348">
        <f t="shared" si="0"/>
        <v>0</v>
      </c>
      <c r="D47" s="349">
        <f>D$20*(D$12*($B$4*GREET1_Import_Export!$K75)+GREET1_Import_Export!$F$200*GREET1_Import_Export!$B204+GREET1_Import_Export!$F204)+D$21*(D$12*(GREET1_Import_Export!$O75)+GREET1_Import_Export!$G$200*GREET1_Import_Export!$B204+GREET1_Import_Export!$G204)+D$22*(D$12*($B$5*GREET1_Import_Export!$B75)+GREET1_Import_Export!$B240)+D$23*(D$12*($B$6*GREET1_Import_Export!$AA75)+GREET1_Import_Export!$C293)+D$24*(GREET1_Import_Export!$D318+GREET1_Import_Export!$E318)</f>
        <v>0</v>
      </c>
      <c r="E47" s="349">
        <f t="shared" si="1"/>
        <v>0</v>
      </c>
      <c r="F47" s="347">
        <f>F$20*(F$12*($B$4*GREET1_Import_Export!$K75)+GREET1_Import_Export!$F$200*GREET1_Import_Export!$B204+GREET1_Import_Export!$F204)+F$21*(F$12*(GREET1_Import_Export!$O75)+GREET1_Import_Export!$G$200*GREET1_Import_Export!$B204+GREET1_Import_Export!$G204)+F$22*(F$12*($B$5*GREET1_Import_Export!$B75)+GREET1_Import_Export!$B240)+F$23*(F$12*($B$6*GREET1_Import_Export!$AA75)+GREET1_Import_Export!$C293)+F$24*(GREET1_Import_Export!$D318+GREET1_Import_Export!$E318)</f>
        <v>0</v>
      </c>
      <c r="G47" s="348">
        <f t="shared" si="2"/>
        <v>0</v>
      </c>
    </row>
    <row r="48" spans="1:7" s="349" customFormat="1">
      <c r="A48" s="347" t="s">
        <v>825</v>
      </c>
      <c r="B48" s="347">
        <f>B$20*(B$12*($B$4*GREET1_Import_Export!$K76)+GREET1_Import_Export!$F$200*GREET1_Import_Export!$B205+GREET1_Import_Export!$F205)+B$21*(B$12*(GREET1_Import_Export!$R76)+GREET1_Import_Export!$H$200*GREET1_Import_Export!$B205+GREET1_Import_Export!$H205)+B$22*(B$12*($B$5*GREET1_Import_Export!$B76)+GREET1_Import_Export!$B241)+B$23*(B$12*($B$6*GREET1_Import_Export!$AA76)+GREET1_Import_Export!$C294)+B$24*(GREET1_Import_Export!$D319+GREET1_Import_Export!$E319)</f>
        <v>0</v>
      </c>
      <c r="C48" s="348">
        <f t="shared" si="0"/>
        <v>0</v>
      </c>
      <c r="D48" s="349">
        <f>D$20*(D$12*($B$4*GREET1_Import_Export!$K76)+GREET1_Import_Export!$F$200*GREET1_Import_Export!$B205+GREET1_Import_Export!$F205)+D$21*(D$12*(GREET1_Import_Export!$O76)+GREET1_Import_Export!$G$200*GREET1_Import_Export!$B205+GREET1_Import_Export!$G205)+D$22*(D$12*($B$5*GREET1_Import_Export!$B76)+GREET1_Import_Export!$B241)+D$23*(D$12*($B$6*GREET1_Import_Export!$AA76)+GREET1_Import_Export!$C294)+D$24*(GREET1_Import_Export!$D319+GREET1_Import_Export!$E319)</f>
        <v>0</v>
      </c>
      <c r="E48" s="349">
        <f t="shared" si="1"/>
        <v>0</v>
      </c>
      <c r="F48" s="347">
        <f>F$20*(F$12*($B$4*GREET1_Import_Export!$K76)+GREET1_Import_Export!$F$200*GREET1_Import_Export!$B205+GREET1_Import_Export!$F205)+F$21*(F$12*(GREET1_Import_Export!$O76)+GREET1_Import_Export!$G$200*GREET1_Import_Export!$B205+GREET1_Import_Export!$G205)+F$22*(F$12*($B$5*GREET1_Import_Export!$B76)+GREET1_Import_Export!$B241)+F$23*(F$12*($B$6*GREET1_Import_Export!$AA76)+GREET1_Import_Export!$C294)+F$24*(GREET1_Import_Export!$D319+GREET1_Import_Export!$E319)</f>
        <v>0</v>
      </c>
      <c r="G48" s="348">
        <f t="shared" si="2"/>
        <v>0</v>
      </c>
    </row>
    <row r="49" spans="1:8" s="349" customFormat="1">
      <c r="A49" s="347" t="s">
        <v>826</v>
      </c>
      <c r="B49" s="347">
        <f>B$20*(B$12*($B$4*GREET1_Import_Export!$K77)+GREET1_Import_Export!$F$200*GREET1_Import_Export!$B206+GREET1_Import_Export!$F206)+B$21*(B$12*(GREET1_Import_Export!$R77)+GREET1_Import_Export!$H$200*GREET1_Import_Export!$B206+GREET1_Import_Export!$H206)+B$22*(B$12*($B$5*GREET1_Import_Export!$B77)+GREET1_Import_Export!$B242)+B$23*(B$12*($B$6*GREET1_Import_Export!$AA77)+GREET1_Import_Export!$C295)+B$24*(GREET1_Import_Export!$D320+GREET1_Import_Export!$E320)</f>
        <v>0</v>
      </c>
      <c r="C49" s="348">
        <f t="shared" si="0"/>
        <v>0</v>
      </c>
      <c r="D49" s="349">
        <f>D$20*(D$12*($B$4*GREET1_Import_Export!$K77)+GREET1_Import_Export!$F$200*GREET1_Import_Export!$B206+GREET1_Import_Export!$F206)+D$21*(D$12*(GREET1_Import_Export!$O77)+GREET1_Import_Export!$G$200*GREET1_Import_Export!$B206+GREET1_Import_Export!$G206)+D$22*(D$12*($B$5*GREET1_Import_Export!$B77)+GREET1_Import_Export!$B242)+D$23*(D$12*($B$6*GREET1_Import_Export!$AA77)+GREET1_Import_Export!$C295)+D$24*(GREET1_Import_Export!$D320+GREET1_Import_Export!$E320)</f>
        <v>0</v>
      </c>
      <c r="E49" s="349">
        <f t="shared" si="1"/>
        <v>0</v>
      </c>
      <c r="F49" s="347">
        <f>F$20*(F$12*($B$4*GREET1_Import_Export!$K77)+GREET1_Import_Export!$F$200*GREET1_Import_Export!$B206+GREET1_Import_Export!$F206)+F$21*(F$12*(GREET1_Import_Export!$O77)+GREET1_Import_Export!$G$200*GREET1_Import_Export!$B206+GREET1_Import_Export!$G206)+F$22*(F$12*($B$5*GREET1_Import_Export!$B77)+GREET1_Import_Export!$B242)+F$23*(F$12*($B$6*GREET1_Import_Export!$AA77)+GREET1_Import_Export!$C295)+F$24*(GREET1_Import_Export!$D320+GREET1_Import_Export!$E320)</f>
        <v>0</v>
      </c>
      <c r="G49" s="348">
        <f t="shared" si="2"/>
        <v>0</v>
      </c>
    </row>
    <row r="50" spans="1:8" s="349" customFormat="1">
      <c r="A50" s="347" t="s">
        <v>827</v>
      </c>
      <c r="B50" s="347">
        <f>B$20*(B$12*($B$4*GREET1_Import_Export!$K78)+GREET1_Import_Export!$F$200*GREET1_Import_Export!$B207+GREET1_Import_Export!$F207)+B$21*(B$12*(GREET1_Import_Export!$R78)+GREET1_Import_Export!$H$200*GREET1_Import_Export!$B207+GREET1_Import_Export!$H207)+B$22*(B$12*($B$5*GREET1_Import_Export!$B78)+GREET1_Import_Export!$B243)+B$23*(B$12*($B$6*GREET1_Import_Export!$AA78)+GREET1_Import_Export!$C296)+B$24*(GREET1_Import_Export!$D321+GREET1_Import_Export!$E321)</f>
        <v>0</v>
      </c>
      <c r="C50" s="348">
        <f t="shared" si="0"/>
        <v>0</v>
      </c>
      <c r="D50" s="349">
        <f>D$20*(D$12*($B$4*GREET1_Import_Export!$K78)+GREET1_Import_Export!$F$200*GREET1_Import_Export!$B207+GREET1_Import_Export!$F207)+D$21*(D$12*(GREET1_Import_Export!$O78)+GREET1_Import_Export!$G$200*GREET1_Import_Export!$B207+GREET1_Import_Export!$G207)+D$22*(D$12*($B$5*GREET1_Import_Export!$B78)+GREET1_Import_Export!$B243)+D$23*(D$12*($B$6*GREET1_Import_Export!$AA78)+GREET1_Import_Export!$C296)+D$24*(GREET1_Import_Export!$D321+GREET1_Import_Export!$E321)</f>
        <v>0</v>
      </c>
      <c r="E50" s="349">
        <f t="shared" si="1"/>
        <v>0</v>
      </c>
      <c r="F50" s="347">
        <f>F$20*(F$12*($B$4*GREET1_Import_Export!$K78)+GREET1_Import_Export!$F$200*GREET1_Import_Export!$B207+GREET1_Import_Export!$F207)+F$21*(F$12*(GREET1_Import_Export!$O78)+GREET1_Import_Export!$G$200*GREET1_Import_Export!$B207+GREET1_Import_Export!$G207)+F$22*(F$12*($B$5*GREET1_Import_Export!$B78)+GREET1_Import_Export!$B243)+F$23*(F$12*($B$6*GREET1_Import_Export!$AA78)+GREET1_Import_Export!$C296)+F$24*(GREET1_Import_Export!$D321+GREET1_Import_Export!$E321)</f>
        <v>0</v>
      </c>
      <c r="G50" s="348">
        <f t="shared" si="2"/>
        <v>0</v>
      </c>
    </row>
    <row r="51" spans="1:8" s="349" customFormat="1">
      <c r="A51" s="503" t="s">
        <v>828</v>
      </c>
      <c r="B51" s="503">
        <f>B$20*(B$12*($B$4*GREET1_Import_Export!$K79)+GREET1_Import_Export!$F$200*GREET1_Import_Export!$B208+GREET1_Import_Export!$F208)+B$21*(B$12*(GREET1_Import_Export!$R79)+GREET1_Import_Export!$H$200*GREET1_Import_Export!$B208+GREET1_Import_Export!$H208)+B$22*(B$12*($B$5*GREET1_Import_Export!$B79)+GREET1_Import_Export!$B244)+B$23*(B$12*($B$6*GREET1_Import_Export!$AA79)+GREET1_Import_Export!$C297)+B$24*(GREET1_Import_Export!$D322+GREET1_Import_Export!$E322)</f>
        <v>0</v>
      </c>
      <c r="C51" s="502">
        <f t="shared" si="0"/>
        <v>0</v>
      </c>
      <c r="D51" s="505">
        <f>D$20*(D$12*($B$4*GREET1_Import_Export!$K79)+GREET1_Import_Export!$F$200*GREET1_Import_Export!$B208+GREET1_Import_Export!$F208)+D$21*(D$12*(GREET1_Import_Export!$O79)+GREET1_Import_Export!$G$200*GREET1_Import_Export!$B208+GREET1_Import_Export!$G208)+D$22*(D$12*($B$5*GREET1_Import_Export!$B79)+GREET1_Import_Export!$B244)+D$23*(D$12*($B$6*GREET1_Import_Export!$AA79)+GREET1_Import_Export!$C297)+D$24*(GREET1_Import_Export!$D322+GREET1_Import_Export!$E322)</f>
        <v>0</v>
      </c>
      <c r="E51" s="505">
        <f t="shared" si="1"/>
        <v>0</v>
      </c>
      <c r="F51" s="503">
        <f>F$20*(F$12*($B$4*GREET1_Import_Export!$K79)+GREET1_Import_Export!$F$200*GREET1_Import_Export!$B208+GREET1_Import_Export!$F208)+F$21*(F$12*(GREET1_Import_Export!$O79)+GREET1_Import_Export!$G$200*GREET1_Import_Export!$B208+GREET1_Import_Export!$G208)+F$22*(F$12*($B$5*GREET1_Import_Export!$B79)+GREET1_Import_Export!$B244)+F$23*(F$12*($B$6*GREET1_Import_Export!$AA79)+GREET1_Import_Export!$C297)+F$24*(GREET1_Import_Export!$D322+GREET1_Import_Export!$E322)</f>
        <v>0</v>
      </c>
      <c r="G51" s="502">
        <f t="shared" si="2"/>
        <v>0</v>
      </c>
    </row>
    <row r="52" spans="1:8" s="349" customFormat="1"/>
    <row r="53" spans="1:8" s="349" customFormat="1" ht="15">
      <c r="A53" s="602" t="s">
        <v>1239</v>
      </c>
    </row>
    <row r="54" spans="1:8" s="349" customFormat="1" ht="25.5" customHeight="1">
      <c r="A54" s="510"/>
      <c r="B54" s="1605" t="s">
        <v>1240</v>
      </c>
      <c r="C54" s="610" t="s">
        <v>575</v>
      </c>
      <c r="D54" s="760" t="s">
        <v>576</v>
      </c>
      <c r="E54" s="3074" t="s">
        <v>1241</v>
      </c>
      <c r="F54" s="3074"/>
      <c r="G54" s="3101" t="s">
        <v>1242</v>
      </c>
      <c r="H54" s="3102"/>
    </row>
    <row r="55" spans="1:8" s="349" customFormat="1">
      <c r="A55" s="699" t="s">
        <v>1029</v>
      </c>
      <c r="B55" s="1605"/>
      <c r="C55" s="610"/>
      <c r="D55" s="760"/>
      <c r="E55" s="673" t="s">
        <v>845</v>
      </c>
      <c r="F55" s="615" t="s">
        <v>846</v>
      </c>
      <c r="G55" s="679" t="s">
        <v>845</v>
      </c>
      <c r="H55" s="673" t="s">
        <v>846</v>
      </c>
    </row>
    <row r="56" spans="1:8" s="349" customFormat="1">
      <c r="A56" s="347" t="s">
        <v>816</v>
      </c>
      <c r="B56" s="347">
        <f>B25</f>
        <v>0</v>
      </c>
      <c r="C56" s="349">
        <f>D25</f>
        <v>0</v>
      </c>
      <c r="D56" s="348">
        <f>F25</f>
        <v>0</v>
      </c>
      <c r="E56" s="348">
        <f>B56+C56</f>
        <v>0</v>
      </c>
      <c r="F56" s="349">
        <f>E56/2000</f>
        <v>0</v>
      </c>
      <c r="G56" s="494">
        <f>D56</f>
        <v>0</v>
      </c>
      <c r="H56" s="348">
        <f>G56/2000</f>
        <v>0</v>
      </c>
    </row>
    <row r="57" spans="1:8" s="349" customFormat="1">
      <c r="A57" s="347" t="s">
        <v>817</v>
      </c>
      <c r="B57" s="347">
        <f>B26</f>
        <v>0</v>
      </c>
      <c r="C57" s="349">
        <f>D26</f>
        <v>0</v>
      </c>
      <c r="D57" s="348">
        <f>F26</f>
        <v>0</v>
      </c>
      <c r="E57" s="348">
        <f>B57+C57</f>
        <v>0</v>
      </c>
      <c r="F57" s="349">
        <f>E57/2000</f>
        <v>0</v>
      </c>
      <c r="G57" s="494">
        <f>D57</f>
        <v>0</v>
      </c>
      <c r="H57" s="348">
        <f>G57/2000</f>
        <v>0</v>
      </c>
    </row>
    <row r="58" spans="1:8" s="349" customFormat="1">
      <c r="A58" s="347" t="s">
        <v>805</v>
      </c>
      <c r="B58" s="347">
        <f>B27</f>
        <v>0</v>
      </c>
      <c r="C58" s="349">
        <f>D27</f>
        <v>0</v>
      </c>
      <c r="D58" s="348">
        <f>F27</f>
        <v>0</v>
      </c>
      <c r="E58" s="348">
        <f>B58+C58</f>
        <v>0</v>
      </c>
      <c r="F58" s="349">
        <f>E58/2000</f>
        <v>0</v>
      </c>
      <c r="G58" s="494">
        <f>D58</f>
        <v>0</v>
      </c>
      <c r="H58" s="348">
        <f>G58/2000</f>
        <v>0</v>
      </c>
    </row>
    <row r="59" spans="1:8" s="349" customFormat="1">
      <c r="A59" s="347" t="s">
        <v>804</v>
      </c>
      <c r="B59" s="347">
        <f t="shared" ref="B59:H59" si="3">B57-B58-B60</f>
        <v>0</v>
      </c>
      <c r="C59" s="349">
        <f t="shared" si="3"/>
        <v>0</v>
      </c>
      <c r="D59" s="348">
        <f t="shared" si="3"/>
        <v>0</v>
      </c>
      <c r="E59" s="348">
        <f t="shared" si="3"/>
        <v>0</v>
      </c>
      <c r="F59" s="349">
        <f t="shared" si="3"/>
        <v>0</v>
      </c>
      <c r="G59" s="494">
        <f t="shared" si="3"/>
        <v>0</v>
      </c>
      <c r="H59" s="348">
        <f t="shared" si="3"/>
        <v>0</v>
      </c>
    </row>
    <row r="60" spans="1:8" s="349" customFormat="1">
      <c r="A60" s="347" t="s">
        <v>818</v>
      </c>
      <c r="B60" s="347">
        <f>B29</f>
        <v>0</v>
      </c>
      <c r="C60" s="349">
        <f>D29</f>
        <v>0</v>
      </c>
      <c r="D60" s="348">
        <f>F29</f>
        <v>0</v>
      </c>
      <c r="E60" s="348">
        <f>B60+C60</f>
        <v>0</v>
      </c>
      <c r="F60" s="349">
        <f>E60/2000</f>
        <v>0</v>
      </c>
      <c r="G60" s="494">
        <f>D60</f>
        <v>0</v>
      </c>
      <c r="H60" s="348">
        <f>G60/2000</f>
        <v>0</v>
      </c>
    </row>
    <row r="61" spans="1:8" s="349" customFormat="1">
      <c r="A61" s="1570" t="s">
        <v>819</v>
      </c>
      <c r="B61" s="1687">
        <f>B30</f>
        <v>0</v>
      </c>
      <c r="C61" s="1505">
        <f>D30</f>
        <v>0</v>
      </c>
      <c r="D61" s="1136">
        <f>F30</f>
        <v>0</v>
      </c>
      <c r="E61" s="1136">
        <f>B61+C61</f>
        <v>0</v>
      </c>
      <c r="F61" s="1571">
        <f>E61/2000</f>
        <v>0</v>
      </c>
      <c r="G61" s="1504">
        <f>D61</f>
        <v>0</v>
      </c>
      <c r="H61" s="1573">
        <f>G61/2000</f>
        <v>0</v>
      </c>
    </row>
    <row r="62" spans="1:8" s="349" customFormat="1">
      <c r="A62" s="699" t="s">
        <v>1030</v>
      </c>
      <c r="B62" s="510"/>
      <c r="C62" s="512"/>
      <c r="D62" s="509"/>
      <c r="E62" s="673" t="s">
        <v>845</v>
      </c>
      <c r="F62" s="615" t="s">
        <v>846</v>
      </c>
      <c r="G62" s="679" t="s">
        <v>845</v>
      </c>
      <c r="H62" s="673" t="s">
        <v>846</v>
      </c>
    </row>
    <row r="63" spans="1:8" s="349" customFormat="1">
      <c r="A63" s="347" t="s">
        <v>821</v>
      </c>
      <c r="B63" s="347">
        <f t="shared" ref="B63:B73" si="4">SUM(B32:C32)</f>
        <v>0</v>
      </c>
      <c r="C63" s="349">
        <f t="shared" ref="C63:C73" si="5">SUM(D32:E32)</f>
        <v>0</v>
      </c>
      <c r="D63" s="348">
        <f t="shared" ref="D63:D73" si="6">SUM(F32:G32)</f>
        <v>0</v>
      </c>
      <c r="E63" s="348">
        <f t="shared" ref="E63:E74" si="7">B63+C63</f>
        <v>0</v>
      </c>
      <c r="F63" s="349">
        <f t="shared" ref="F63:F74" si="8">E63/2000</f>
        <v>0</v>
      </c>
      <c r="G63" s="494">
        <f t="shared" ref="G63:G74" si="9">D63</f>
        <v>0</v>
      </c>
      <c r="H63" s="348">
        <f t="shared" ref="H63:H74" si="10">G63/2000</f>
        <v>0</v>
      </c>
    </row>
    <row r="64" spans="1:8" s="349" customFormat="1">
      <c r="A64" s="347" t="s">
        <v>822</v>
      </c>
      <c r="B64" s="347">
        <f t="shared" si="4"/>
        <v>0</v>
      </c>
      <c r="C64" s="349">
        <f t="shared" si="5"/>
        <v>0</v>
      </c>
      <c r="D64" s="348">
        <f t="shared" si="6"/>
        <v>0</v>
      </c>
      <c r="E64" s="348">
        <f t="shared" si="7"/>
        <v>0</v>
      </c>
      <c r="F64" s="349">
        <f t="shared" si="8"/>
        <v>0</v>
      </c>
      <c r="G64" s="494">
        <f t="shared" si="9"/>
        <v>0</v>
      </c>
      <c r="H64" s="348">
        <f t="shared" si="10"/>
        <v>0</v>
      </c>
    </row>
    <row r="65" spans="1:8" s="349" customFormat="1">
      <c r="A65" s="347" t="s">
        <v>849</v>
      </c>
      <c r="B65" s="347">
        <f t="shared" si="4"/>
        <v>0</v>
      </c>
      <c r="C65" s="349">
        <f t="shared" si="5"/>
        <v>0</v>
      </c>
      <c r="D65" s="348">
        <f t="shared" si="6"/>
        <v>0</v>
      </c>
      <c r="E65" s="348">
        <f t="shared" si="7"/>
        <v>0</v>
      </c>
      <c r="F65" s="349">
        <f t="shared" si="8"/>
        <v>0</v>
      </c>
      <c r="G65" s="494">
        <f t="shared" si="9"/>
        <v>0</v>
      </c>
      <c r="H65" s="348">
        <f t="shared" si="10"/>
        <v>0</v>
      </c>
    </row>
    <row r="66" spans="1:8" s="349" customFormat="1" ht="12" customHeight="1">
      <c r="A66" s="347" t="s">
        <v>824</v>
      </c>
      <c r="B66" s="347">
        <f t="shared" si="4"/>
        <v>0</v>
      </c>
      <c r="C66" s="349">
        <f t="shared" si="5"/>
        <v>0</v>
      </c>
      <c r="D66" s="348">
        <f t="shared" si="6"/>
        <v>0</v>
      </c>
      <c r="E66" s="348">
        <f t="shared" si="7"/>
        <v>0</v>
      </c>
      <c r="F66" s="349">
        <f t="shared" si="8"/>
        <v>0</v>
      </c>
      <c r="G66" s="494">
        <f t="shared" si="9"/>
        <v>0</v>
      </c>
      <c r="H66" s="348">
        <f t="shared" si="10"/>
        <v>0</v>
      </c>
    </row>
    <row r="67" spans="1:8" s="349" customFormat="1">
      <c r="A67" s="347" t="s">
        <v>825</v>
      </c>
      <c r="B67" s="347">
        <f t="shared" si="4"/>
        <v>0</v>
      </c>
      <c r="C67" s="349">
        <f t="shared" si="5"/>
        <v>0</v>
      </c>
      <c r="D67" s="348">
        <f t="shared" si="6"/>
        <v>0</v>
      </c>
      <c r="E67" s="348">
        <f t="shared" si="7"/>
        <v>0</v>
      </c>
      <c r="F67" s="349">
        <f t="shared" si="8"/>
        <v>0</v>
      </c>
      <c r="G67" s="494">
        <f t="shared" si="9"/>
        <v>0</v>
      </c>
      <c r="H67" s="348">
        <f t="shared" si="10"/>
        <v>0</v>
      </c>
    </row>
    <row r="68" spans="1:8" s="349" customFormat="1">
      <c r="A68" s="347" t="s">
        <v>826</v>
      </c>
      <c r="B68" s="347">
        <f t="shared" si="4"/>
        <v>0</v>
      </c>
      <c r="C68" s="349">
        <f t="shared" si="5"/>
        <v>0</v>
      </c>
      <c r="D68" s="348">
        <f t="shared" si="6"/>
        <v>0</v>
      </c>
      <c r="E68" s="348">
        <f t="shared" si="7"/>
        <v>0</v>
      </c>
      <c r="F68" s="349">
        <f t="shared" si="8"/>
        <v>0</v>
      </c>
      <c r="G68" s="494">
        <f t="shared" si="9"/>
        <v>0</v>
      </c>
      <c r="H68" s="348">
        <f t="shared" si="10"/>
        <v>0</v>
      </c>
    </row>
    <row r="69" spans="1:8" s="349" customFormat="1">
      <c r="A69" s="749" t="s">
        <v>827</v>
      </c>
      <c r="B69" s="347">
        <f t="shared" si="4"/>
        <v>0</v>
      </c>
      <c r="C69" s="349">
        <f t="shared" si="5"/>
        <v>0</v>
      </c>
      <c r="D69" s="348">
        <f t="shared" si="6"/>
        <v>0</v>
      </c>
      <c r="E69" s="348">
        <f t="shared" si="7"/>
        <v>0</v>
      </c>
      <c r="F69" s="349">
        <f t="shared" si="8"/>
        <v>0</v>
      </c>
      <c r="G69" s="494">
        <f t="shared" si="9"/>
        <v>0</v>
      </c>
      <c r="H69" s="348">
        <f t="shared" si="10"/>
        <v>0</v>
      </c>
    </row>
    <row r="70" spans="1:8" s="349" customFormat="1">
      <c r="A70" s="749" t="s">
        <v>828</v>
      </c>
      <c r="B70" s="347">
        <f t="shared" si="4"/>
        <v>0</v>
      </c>
      <c r="C70" s="349">
        <f t="shared" si="5"/>
        <v>0</v>
      </c>
      <c r="D70" s="348">
        <f t="shared" si="6"/>
        <v>0</v>
      </c>
      <c r="E70" s="348">
        <f t="shared" si="7"/>
        <v>0</v>
      </c>
      <c r="F70" s="349">
        <f t="shared" si="8"/>
        <v>0</v>
      </c>
      <c r="G70" s="494">
        <f t="shared" si="9"/>
        <v>0</v>
      </c>
      <c r="H70" s="348">
        <f t="shared" si="10"/>
        <v>0</v>
      </c>
    </row>
    <row r="71" spans="1:8" s="349" customFormat="1">
      <c r="A71" s="347" t="s">
        <v>829</v>
      </c>
      <c r="B71" s="347">
        <f t="shared" si="4"/>
        <v>0</v>
      </c>
      <c r="C71" s="349">
        <f t="shared" si="5"/>
        <v>0</v>
      </c>
      <c r="D71" s="348">
        <f t="shared" si="6"/>
        <v>0</v>
      </c>
      <c r="E71" s="348">
        <f t="shared" si="7"/>
        <v>0</v>
      </c>
      <c r="F71" s="349">
        <f t="shared" si="8"/>
        <v>0</v>
      </c>
      <c r="G71" s="494">
        <f t="shared" si="9"/>
        <v>0</v>
      </c>
      <c r="H71" s="348">
        <f t="shared" si="10"/>
        <v>0</v>
      </c>
    </row>
    <row r="72" spans="1:8" s="349" customFormat="1">
      <c r="A72" s="347" t="s">
        <v>830</v>
      </c>
      <c r="B72" s="347">
        <f t="shared" si="4"/>
        <v>0</v>
      </c>
      <c r="C72" s="349">
        <f t="shared" si="5"/>
        <v>0</v>
      </c>
      <c r="D72" s="348">
        <f t="shared" si="6"/>
        <v>0</v>
      </c>
      <c r="E72" s="348">
        <f t="shared" si="7"/>
        <v>0</v>
      </c>
      <c r="F72" s="349">
        <f t="shared" si="8"/>
        <v>0</v>
      </c>
      <c r="G72" s="494">
        <f t="shared" si="9"/>
        <v>0</v>
      </c>
      <c r="H72" s="348">
        <f t="shared" si="10"/>
        <v>0</v>
      </c>
    </row>
    <row r="73" spans="1:8" s="419" customFormat="1">
      <c r="A73" s="517" t="s">
        <v>831</v>
      </c>
      <c r="B73" s="517">
        <f t="shared" si="4"/>
        <v>0</v>
      </c>
      <c r="C73" s="419">
        <f t="shared" si="5"/>
        <v>0</v>
      </c>
      <c r="D73" s="516">
        <f t="shared" si="6"/>
        <v>0</v>
      </c>
      <c r="E73" s="516">
        <f t="shared" si="7"/>
        <v>0</v>
      </c>
      <c r="F73" s="419">
        <f t="shared" si="8"/>
        <v>0</v>
      </c>
      <c r="G73" s="630">
        <f t="shared" si="9"/>
        <v>0</v>
      </c>
      <c r="H73" s="516">
        <f t="shared" si="10"/>
        <v>0</v>
      </c>
    </row>
    <row r="74" spans="1:8" s="419" customFormat="1">
      <c r="A74" s="517" t="s">
        <v>850</v>
      </c>
      <c r="B74" s="517">
        <f>B73+B63*GREET1_Import_Export!$B$62/GREET1_Import_Export!$B$65+B64*GREET1_Import_Export!$B$63/GREET1_Import_Export!$B$65</f>
        <v>0</v>
      </c>
      <c r="C74" s="419">
        <f>C73+C63*GREET1_Import_Export!$B$62/GREET1_Import_Export!$B$65+C64*GREET1_Import_Export!$B$63/GREET1_Import_Export!$B$65</f>
        <v>0</v>
      </c>
      <c r="D74" s="516">
        <f>D73+D63*GREET1_Import_Export!$B$62/GREET1_Import_Export!$B$65+D64*GREET1_Import_Export!$B$63/GREET1_Import_Export!$B$65</f>
        <v>0</v>
      </c>
      <c r="E74" s="516">
        <f t="shared" si="7"/>
        <v>0</v>
      </c>
      <c r="F74" s="419">
        <f t="shared" si="8"/>
        <v>0</v>
      </c>
      <c r="G74" s="630">
        <f t="shared" si="9"/>
        <v>0</v>
      </c>
      <c r="H74" s="516">
        <f t="shared" si="10"/>
        <v>0</v>
      </c>
    </row>
    <row r="75" spans="1:8" s="419" customFormat="1">
      <c r="A75" s="668" t="s">
        <v>851</v>
      </c>
      <c r="B75" s="668">
        <f>B74+SUMPRODUCT(B71:B72,GREET1_Import_Export!$B$51:$B$52)+SUMPRODUCT(B63:B65,GREET1_Import_Export!$B$55:$B$57)+SUMPRODUCT(B69:B70,GREET1_Import_Export!$B$58:$B$59)</f>
        <v>0</v>
      </c>
      <c r="C75" s="374">
        <f>C74+SUMPRODUCT(C71:C72,GREET1_Import_Export!$B$51:$B$52)+SUMPRODUCT(C63:C65,GREET1_Import_Export!$B$55:$B$57)+SUMPRODUCT(C69:C70,GREET1_Import_Export!$B$58:$B$59)</f>
        <v>0</v>
      </c>
      <c r="D75" s="752">
        <f>D74+SUMPRODUCT(D71:D72,GREET1_Import_Export!$B$51:$B$52)+SUMPRODUCT(D63:D65,GREET1_Import_Export!$B$55:$B$57)+SUMPRODUCT(D69:D70,GREET1_Import_Export!$B$58:$B$59)</f>
        <v>0</v>
      </c>
      <c r="E75" s="752">
        <f>E74+SUMPRODUCT(E71:E72,GREET1_Import_Export!$B$51:$B$52)+SUMPRODUCT(E63:E65,GREET1_Import_Export!$B$55:$B$57)+SUMPRODUCT(E69:E70,GREET1_Import_Export!$B$58:$B$59)</f>
        <v>0</v>
      </c>
      <c r="F75" s="374">
        <f>F74+SUMPRODUCT(F71:F72,GREET1_Import_Export!$B$51:$B$52)+SUMPRODUCT(F63:F65,GREET1_Import_Export!$B$55:$B$57)+SUMPRODUCT(F69:F70,GREET1_Import_Export!$B$58:$B$59)</f>
        <v>0</v>
      </c>
      <c r="G75" s="756">
        <f>G74+SUMPRODUCT(G71:G72,GREET1_Import_Export!$B$51:$B$52)+SUMPRODUCT(G63:G65,GREET1_Import_Export!$B$55:$B$57)+SUMPRODUCT(G69:G70,GREET1_Import_Export!$B$58:$B$59)</f>
        <v>0</v>
      </c>
      <c r="H75" s="752">
        <f>H74+SUMPRODUCT(H71:H72,GREET1_Import_Export!$B$51:$B$52)+SUMPRODUCT(H63:H65,GREET1_Import_Export!$B$55:$B$57)+SUMPRODUCT(H69:H70,GREET1_Import_Export!$B$58:$B$59)</f>
        <v>0</v>
      </c>
    </row>
    <row r="76" spans="1:8" s="349" customFormat="1">
      <c r="A76" s="758" t="s">
        <v>1031</v>
      </c>
      <c r="B76" s="347"/>
      <c r="D76" s="348"/>
      <c r="E76" s="710" t="s">
        <v>845</v>
      </c>
      <c r="F76" s="618" t="s">
        <v>846</v>
      </c>
      <c r="G76" s="762" t="s">
        <v>845</v>
      </c>
      <c r="H76" s="710" t="s">
        <v>846</v>
      </c>
    </row>
    <row r="77" spans="1:8" s="349" customFormat="1">
      <c r="A77" s="347" t="s">
        <v>821</v>
      </c>
      <c r="B77" s="347">
        <f t="shared" ref="B77:B84" si="11">SUM(B44:C44)</f>
        <v>0</v>
      </c>
      <c r="C77" s="349">
        <f t="shared" ref="C77:C84" si="12">SUM(D44:E44)</f>
        <v>0</v>
      </c>
      <c r="D77" s="348">
        <f t="shared" ref="D77:D84" si="13">SUM(F44:G44)</f>
        <v>0</v>
      </c>
      <c r="E77" s="348">
        <f t="shared" ref="E77:E84" si="14">B77+C77</f>
        <v>0</v>
      </c>
      <c r="F77" s="349">
        <f t="shared" ref="F77:F84" si="15">E77/2000</f>
        <v>0</v>
      </c>
      <c r="G77" s="494">
        <f t="shared" ref="G77:G84" si="16">D77</f>
        <v>0</v>
      </c>
      <c r="H77" s="348">
        <f t="shared" ref="H77:H84" si="17">G77/2000</f>
        <v>0</v>
      </c>
    </row>
    <row r="78" spans="1:8" s="349" customFormat="1">
      <c r="A78" s="347" t="s">
        <v>822</v>
      </c>
      <c r="B78" s="347">
        <f t="shared" si="11"/>
        <v>0</v>
      </c>
      <c r="C78" s="349">
        <f t="shared" si="12"/>
        <v>0</v>
      </c>
      <c r="D78" s="348">
        <f t="shared" si="13"/>
        <v>0</v>
      </c>
      <c r="E78" s="348">
        <f t="shared" si="14"/>
        <v>0</v>
      </c>
      <c r="F78" s="349">
        <f t="shared" si="15"/>
        <v>0</v>
      </c>
      <c r="G78" s="494">
        <f t="shared" si="16"/>
        <v>0</v>
      </c>
      <c r="H78" s="348">
        <f t="shared" si="17"/>
        <v>0</v>
      </c>
    </row>
    <row r="79" spans="1:8" s="349" customFormat="1">
      <c r="A79" s="347" t="s">
        <v>823</v>
      </c>
      <c r="B79" s="347">
        <f t="shared" si="11"/>
        <v>0</v>
      </c>
      <c r="C79" s="349">
        <f t="shared" si="12"/>
        <v>0</v>
      </c>
      <c r="D79" s="348">
        <f t="shared" si="13"/>
        <v>0</v>
      </c>
      <c r="E79" s="348">
        <f t="shared" si="14"/>
        <v>0</v>
      </c>
      <c r="F79" s="349">
        <f t="shared" si="15"/>
        <v>0</v>
      </c>
      <c r="G79" s="494">
        <f t="shared" si="16"/>
        <v>0</v>
      </c>
      <c r="H79" s="348">
        <f t="shared" si="17"/>
        <v>0</v>
      </c>
    </row>
    <row r="80" spans="1:8" s="349" customFormat="1">
      <c r="A80" s="749" t="s">
        <v>824</v>
      </c>
      <c r="B80" s="347">
        <f t="shared" si="11"/>
        <v>0</v>
      </c>
      <c r="C80" s="349">
        <f t="shared" si="12"/>
        <v>0</v>
      </c>
      <c r="D80" s="348">
        <f t="shared" si="13"/>
        <v>0</v>
      </c>
      <c r="E80" s="348">
        <f t="shared" si="14"/>
        <v>0</v>
      </c>
      <c r="F80" s="349">
        <f t="shared" si="15"/>
        <v>0</v>
      </c>
      <c r="G80" s="494">
        <f t="shared" si="16"/>
        <v>0</v>
      </c>
      <c r="H80" s="348">
        <f t="shared" si="17"/>
        <v>0</v>
      </c>
    </row>
    <row r="81" spans="1:8" s="349" customFormat="1">
      <c r="A81" s="347" t="s">
        <v>825</v>
      </c>
      <c r="B81" s="347">
        <f t="shared" si="11"/>
        <v>0</v>
      </c>
      <c r="C81" s="349">
        <f t="shared" si="12"/>
        <v>0</v>
      </c>
      <c r="D81" s="348">
        <f t="shared" si="13"/>
        <v>0</v>
      </c>
      <c r="E81" s="348">
        <f t="shared" si="14"/>
        <v>0</v>
      </c>
      <c r="F81" s="349">
        <f t="shared" si="15"/>
        <v>0</v>
      </c>
      <c r="G81" s="494">
        <f t="shared" si="16"/>
        <v>0</v>
      </c>
      <c r="H81" s="348">
        <f t="shared" si="17"/>
        <v>0</v>
      </c>
    </row>
    <row r="82" spans="1:8" s="349" customFormat="1">
      <c r="A82" s="749" t="s">
        <v>826</v>
      </c>
      <c r="B82" s="347">
        <f t="shared" si="11"/>
        <v>0</v>
      </c>
      <c r="C82" s="349">
        <f t="shared" si="12"/>
        <v>0</v>
      </c>
      <c r="D82" s="348">
        <f t="shared" si="13"/>
        <v>0</v>
      </c>
      <c r="E82" s="348">
        <f t="shared" si="14"/>
        <v>0</v>
      </c>
      <c r="F82" s="349">
        <f t="shared" si="15"/>
        <v>0</v>
      </c>
      <c r="G82" s="494">
        <f t="shared" si="16"/>
        <v>0</v>
      </c>
      <c r="H82" s="348">
        <f t="shared" si="17"/>
        <v>0</v>
      </c>
    </row>
    <row r="83" spans="1:8" s="349" customFormat="1">
      <c r="A83" s="347" t="s">
        <v>827</v>
      </c>
      <c r="B83" s="347">
        <f t="shared" si="11"/>
        <v>0</v>
      </c>
      <c r="C83" s="349">
        <f t="shared" si="12"/>
        <v>0</v>
      </c>
      <c r="D83" s="348">
        <f t="shared" si="13"/>
        <v>0</v>
      </c>
      <c r="E83" s="348">
        <f t="shared" si="14"/>
        <v>0</v>
      </c>
      <c r="F83" s="349">
        <f t="shared" si="15"/>
        <v>0</v>
      </c>
      <c r="G83" s="494">
        <f t="shared" si="16"/>
        <v>0</v>
      </c>
      <c r="H83" s="348">
        <f t="shared" si="17"/>
        <v>0</v>
      </c>
    </row>
    <row r="84" spans="1:8" s="349" customFormat="1">
      <c r="A84" s="501" t="s">
        <v>828</v>
      </c>
      <c r="B84" s="503">
        <f t="shared" si="11"/>
        <v>0</v>
      </c>
      <c r="C84" s="505">
        <f t="shared" si="12"/>
        <v>0</v>
      </c>
      <c r="D84" s="502">
        <f t="shared" si="13"/>
        <v>0</v>
      </c>
      <c r="E84" s="502">
        <f t="shared" si="14"/>
        <v>0</v>
      </c>
      <c r="F84" s="505">
        <f t="shared" si="15"/>
        <v>0</v>
      </c>
      <c r="G84" s="504">
        <f t="shared" si="16"/>
        <v>0</v>
      </c>
      <c r="H84" s="502">
        <f t="shared" si="17"/>
        <v>0</v>
      </c>
    </row>
  </sheetData>
  <mergeCells count="5">
    <mergeCell ref="B9:C9"/>
    <mergeCell ref="D9:E9"/>
    <mergeCell ref="F9:G9"/>
    <mergeCell ref="E54:F54"/>
    <mergeCell ref="G54:H54"/>
  </mergeCells>
  <phoneticPr fontId="5"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3"/>
  <dimension ref="A1:H95"/>
  <sheetViews>
    <sheetView showGridLines="0" zoomScale="85" zoomScaleNormal="85" workbookViewId="0"/>
  </sheetViews>
  <sheetFormatPr defaultColWidth="9.140625" defaultRowHeight="12.75"/>
  <cols>
    <col min="1" max="1" width="33.7109375" style="64" customWidth="1"/>
    <col min="2" max="2" width="13.42578125" style="64" bestFit="1" customWidth="1"/>
    <col min="3" max="3" width="15.85546875" style="64" customWidth="1"/>
    <col min="4" max="4" width="12.28515625" style="64" customWidth="1"/>
    <col min="5" max="5" width="10.140625" style="64" customWidth="1"/>
    <col min="6" max="7" width="10.42578125" style="64" customWidth="1"/>
    <col min="8" max="16384" width="9.140625" style="64"/>
  </cols>
  <sheetData>
    <row r="1" spans="1:8" ht="15.75">
      <c r="A1" s="6" t="s">
        <v>1243</v>
      </c>
    </row>
    <row r="2" spans="1:8" ht="12.75" customHeight="1">
      <c r="A2" s="111"/>
    </row>
    <row r="3" spans="1:8" ht="12.75" customHeight="1">
      <c r="A3" s="111" t="s">
        <v>1244</v>
      </c>
    </row>
    <row r="4" spans="1:8" ht="12.75" customHeight="1">
      <c r="A4" s="1424"/>
      <c r="B4" s="1620" t="s">
        <v>1245</v>
      </c>
      <c r="C4" s="1471" t="s">
        <v>1246</v>
      </c>
    </row>
    <row r="5" spans="1:8" ht="12.75" customHeight="1">
      <c r="A5" s="1426" t="s">
        <v>1247</v>
      </c>
      <c r="B5" s="1698">
        <v>0.5</v>
      </c>
      <c r="C5" s="1699">
        <f>1-B5</f>
        <v>0.5</v>
      </c>
    </row>
    <row r="6" spans="1:8" ht="12.75" customHeight="1"/>
    <row r="7" spans="1:8" customFormat="1" ht="12.75" customHeight="1">
      <c r="A7" s="64" t="s">
        <v>1248</v>
      </c>
      <c r="B7" s="638">
        <v>0.57999999999999996</v>
      </c>
      <c r="C7" s="1321"/>
      <c r="D7" s="1321"/>
      <c r="E7" s="1321"/>
      <c r="F7" s="1321"/>
      <c r="G7" s="1321"/>
      <c r="H7" s="1321"/>
    </row>
    <row r="8" spans="1:8" customFormat="1" ht="12.75" customHeight="1">
      <c r="A8" s="64"/>
      <c r="B8" s="1321"/>
      <c r="C8" s="1321"/>
      <c r="D8" s="1321"/>
      <c r="E8" s="1321"/>
      <c r="F8" s="1321"/>
      <c r="G8" s="1321"/>
      <c r="H8" s="363"/>
    </row>
    <row r="9" spans="1:8" ht="15">
      <c r="A9" s="381" t="s">
        <v>932</v>
      </c>
      <c r="H9" s="363"/>
    </row>
    <row r="10" spans="1:8">
      <c r="A10" s="393" t="s">
        <v>769</v>
      </c>
      <c r="B10" s="533">
        <v>1</v>
      </c>
    </row>
    <row r="11" spans="1:8">
      <c r="A11" s="230" t="s">
        <v>770</v>
      </c>
      <c r="B11" s="588">
        <v>1</v>
      </c>
    </row>
    <row r="12" spans="1:8">
      <c r="A12" s="160" t="s">
        <v>772</v>
      </c>
      <c r="B12" s="1102">
        <f>1-B11</f>
        <v>0</v>
      </c>
    </row>
    <row r="13" spans="1:8">
      <c r="A13" s="230" t="s">
        <v>773</v>
      </c>
      <c r="B13" s="588">
        <v>1</v>
      </c>
    </row>
    <row r="14" spans="1:8">
      <c r="A14" s="160" t="s">
        <v>782</v>
      </c>
      <c r="B14" s="1102">
        <v>1</v>
      </c>
    </row>
    <row r="15" spans="1:8">
      <c r="A15" s="161" t="s">
        <v>783</v>
      </c>
      <c r="B15" s="949">
        <f>1-B14</f>
        <v>0</v>
      </c>
    </row>
    <row r="17" spans="1:5" ht="15">
      <c r="A17" s="381" t="s">
        <v>933</v>
      </c>
    </row>
    <row r="18" spans="1:5" ht="22.5" customHeight="1">
      <c r="A18" s="238"/>
      <c r="B18" s="2980" t="s">
        <v>1249</v>
      </c>
      <c r="C18" s="2981"/>
      <c r="D18" s="3013" t="s">
        <v>1250</v>
      </c>
      <c r="E18" s="2981"/>
    </row>
    <row r="19" spans="1:5" ht="72.75" customHeight="1">
      <c r="A19" s="571"/>
      <c r="B19" s="70" t="s">
        <v>785</v>
      </c>
      <c r="C19" s="71" t="s">
        <v>786</v>
      </c>
      <c r="D19" s="72" t="s">
        <v>785</v>
      </c>
      <c r="E19" s="71" t="s">
        <v>786</v>
      </c>
    </row>
    <row r="20" spans="1:5" ht="12.75" customHeight="1">
      <c r="A20" s="1499" t="s">
        <v>1103</v>
      </c>
      <c r="B20" s="2980" t="s">
        <v>1251</v>
      </c>
      <c r="C20" s="2981"/>
      <c r="D20" s="3013" t="s">
        <v>1252</v>
      </c>
      <c r="E20" s="2981"/>
    </row>
    <row r="21" spans="1:5" ht="28.5" customHeight="1">
      <c r="A21" s="227" t="s">
        <v>797</v>
      </c>
      <c r="B21" s="813">
        <f>Mat_Inputs!B510</f>
        <v>260</v>
      </c>
      <c r="C21" s="811"/>
      <c r="D21" s="430">
        <f>Mat_Inputs!B511</f>
        <v>13.1</v>
      </c>
      <c r="E21" s="811"/>
    </row>
    <row r="22" spans="1:5">
      <c r="A22" s="571" t="s">
        <v>798</v>
      </c>
      <c r="B22" s="416">
        <v>0</v>
      </c>
      <c r="C22" s="395"/>
      <c r="D22" s="382">
        <v>0</v>
      </c>
      <c r="E22" s="395"/>
    </row>
    <row r="23" spans="1:5" ht="25.5" customHeight="1">
      <c r="A23" s="227" t="s">
        <v>1253</v>
      </c>
      <c r="B23" s="814">
        <v>0</v>
      </c>
      <c r="C23" s="764"/>
      <c r="D23" s="812">
        <v>0</v>
      </c>
      <c r="E23" s="764"/>
    </row>
    <row r="24" spans="1:5">
      <c r="A24" s="238" t="s">
        <v>799</v>
      </c>
      <c r="B24" s="393"/>
      <c r="C24" s="394"/>
      <c r="D24" s="392"/>
      <c r="E24" s="394"/>
    </row>
    <row r="25" spans="1:5">
      <c r="A25" s="230" t="s">
        <v>800</v>
      </c>
      <c r="B25" s="416">
        <v>0</v>
      </c>
      <c r="C25" s="588"/>
      <c r="D25" s="382">
        <v>0</v>
      </c>
      <c r="E25" s="588"/>
    </row>
    <row r="26" spans="1:5">
      <c r="A26" s="230" t="s">
        <v>802</v>
      </c>
      <c r="B26" s="416">
        <v>0.93100000000000005</v>
      </c>
      <c r="C26" s="395" t="s">
        <v>861</v>
      </c>
      <c r="D26" s="382">
        <v>7.8700000000000006E-2</v>
      </c>
      <c r="E26" s="588"/>
    </row>
    <row r="27" spans="1:5">
      <c r="A27" s="230" t="s">
        <v>804</v>
      </c>
      <c r="B27" s="416">
        <v>0</v>
      </c>
      <c r="C27" s="588"/>
      <c r="D27" s="382">
        <v>0</v>
      </c>
      <c r="E27" s="588"/>
    </row>
    <row r="28" spans="1:5">
      <c r="A28" s="230" t="s">
        <v>805</v>
      </c>
      <c r="B28" s="416">
        <v>0</v>
      </c>
      <c r="C28" s="588"/>
      <c r="D28" s="382">
        <v>0</v>
      </c>
      <c r="E28" s="588"/>
    </row>
    <row r="29" spans="1:5">
      <c r="A29" s="589" t="s">
        <v>806</v>
      </c>
      <c r="B29" s="664">
        <f>1-SUM(B25:B28)</f>
        <v>6.899999999999995E-2</v>
      </c>
      <c r="C29" s="428"/>
      <c r="D29" s="368">
        <f>1-SUM(D25:D28)</f>
        <v>0.92130000000000001</v>
      </c>
      <c r="E29" s="428"/>
    </row>
    <row r="30" spans="1:5">
      <c r="A30" s="571" t="s">
        <v>862</v>
      </c>
      <c r="B30" s="230"/>
      <c r="C30" s="395"/>
      <c r="E30" s="395"/>
    </row>
    <row r="31" spans="1:5" s="349" customFormat="1">
      <c r="A31" s="347" t="s">
        <v>800</v>
      </c>
      <c r="B31" s="390">
        <f>B$21*B25</f>
        <v>0</v>
      </c>
      <c r="C31" s="348"/>
      <c r="D31" s="389">
        <f>D$21*D25</f>
        <v>0</v>
      </c>
      <c r="E31" s="348"/>
    </row>
    <row r="32" spans="1:5" s="349" customFormat="1">
      <c r="A32" s="347" t="s">
        <v>802</v>
      </c>
      <c r="B32" s="390">
        <f>B$21*B26</f>
        <v>242.06</v>
      </c>
      <c r="C32" s="348"/>
      <c r="D32" s="389">
        <f>D$21*D26</f>
        <v>1.0309699999999999</v>
      </c>
      <c r="E32" s="348"/>
    </row>
    <row r="33" spans="1:7" s="349" customFormat="1">
      <c r="A33" s="347" t="s">
        <v>804</v>
      </c>
      <c r="B33" s="390">
        <f>B$21*B27</f>
        <v>0</v>
      </c>
      <c r="C33" s="348"/>
      <c r="D33" s="389">
        <f>D$21*D27</f>
        <v>0</v>
      </c>
      <c r="E33" s="348"/>
    </row>
    <row r="34" spans="1:7" s="349" customFormat="1">
      <c r="A34" s="347" t="s">
        <v>805</v>
      </c>
      <c r="B34" s="390">
        <f>B$21*B28</f>
        <v>0</v>
      </c>
      <c r="C34" s="348"/>
      <c r="D34" s="389">
        <f>D$21*D28</f>
        <v>0</v>
      </c>
      <c r="E34" s="348"/>
    </row>
    <row r="35" spans="1:7" s="349" customFormat="1">
      <c r="A35" s="347" t="s">
        <v>806</v>
      </c>
      <c r="B35" s="390">
        <f>B$21*B29</f>
        <v>17.939999999999987</v>
      </c>
      <c r="C35" s="348"/>
      <c r="D35" s="389">
        <f>D$21*D29</f>
        <v>12.06903</v>
      </c>
      <c r="E35" s="348"/>
    </row>
    <row r="36" spans="1:7" s="349" customFormat="1">
      <c r="A36" s="508" t="s">
        <v>816</v>
      </c>
      <c r="B36" s="510">
        <f>B$31*(1+(GREET1_Import_Export!$F$179*GREET1_Import_Export!$B180+GREET1_Import_Export!$F180)/1000000)+B$32*(1+(GREET1_Import_Export!$H$179*GREET1_Import_Export!$B180+GREET1_Import_Export!$H180)/1000000)+B$33*(1+GREET1_Import_Export!$B216/1000000)+B$34*(1+GREET1_Import_Export!$B284/1000000)+B$35*(GREET1_Import_Export!$B309+GREET1_Import_Export!$C309)/1000000</f>
        <v>322.6571667851349</v>
      </c>
      <c r="C36" s="509"/>
      <c r="D36" s="512">
        <f>D$31*(1+(GREET1_Import_Export!$F$179*GREET1_Import_Export!$B180+GREET1_Import_Export!$F180)/1000000)+D$32*(1+(GREET1_Import_Export!$G$179*GREET1_Import_Export!$B180+GREET1_Import_Export!$G180)/1000000)+D$33*(1+GREET1_Import_Export!$B216/1000000)+D$34*(1+GREET1_Import_Export!$B284/1000000)+D$35*(GREET1_Import_Export!$B309+GREET1_Import_Export!$C309)/1000000</f>
        <v>25.695925692499817</v>
      </c>
      <c r="E36" s="509"/>
    </row>
    <row r="37" spans="1:7" s="349" customFormat="1">
      <c r="A37" s="498" t="s">
        <v>817</v>
      </c>
      <c r="B37" s="347">
        <f>B$31*(1+(GREET1_Import_Export!$F$179*GREET1_Import_Export!$B181+GREET1_Import_Export!$F181)/1000000)+B$32*(1+(GREET1_Import_Export!$H$179*GREET1_Import_Export!$B181+GREET1_Import_Export!$H181)/1000000)+B$33*(1+GREET1_Import_Export!$B217/1000000)+B$34*(1+GREET1_Import_Export!$B285/1000000)+B$35*(GREET1_Import_Export!$B310+GREET1_Import_Export!$C310)/1000000</f>
        <v>313.71156239276416</v>
      </c>
      <c r="C37" s="348"/>
      <c r="D37" s="349">
        <f>D$31*(1+(GREET1_Import_Export!$F$179*GREET1_Import_Export!$B181+GREET1_Import_Export!$F181)/1000000)+D$32*(1+(GREET1_Import_Export!$G$179*GREET1_Import_Export!$B181+GREET1_Import_Export!$G181)/1000000)+D$33*(1+GREET1_Import_Export!$B217/1000000)+D$34*(1+GREET1_Import_Export!$B285/1000000)+D$35*(GREET1_Import_Export!$B310+GREET1_Import_Export!$C310)/1000000</f>
        <v>20.599262492290048</v>
      </c>
      <c r="E37" s="348"/>
    </row>
    <row r="38" spans="1:7" s="349" customFormat="1">
      <c r="A38" s="498" t="s">
        <v>805</v>
      </c>
      <c r="B38" s="347">
        <f>B$31*(GREET1_Import_Export!$F$179*GREET1_Import_Export!$B182+GREET1_Import_Export!$F182)/1000000+B$32*(GREET1_Import_Export!$H$179*GREET1_Import_Export!$B182+GREET1_Import_Export!$H182)/1000000+B$33*GREET1_Import_Export!$B218/1000000+B$34*(1+GREET1_Import_Export!$B286/1000000)+B$35*(GREET1_Import_Export!$B311+GREET1_Import_Export!$C311)/1000000</f>
        <v>11.753256361582679</v>
      </c>
      <c r="C38" s="348"/>
      <c r="D38" s="349">
        <f>D$31*(GREET1_Import_Export!$F$179*GREET1_Import_Export!$B182+GREET1_Import_Export!$F182)/1000000+D$32*(GREET1_Import_Export!$G$179*GREET1_Import_Export!$B182+GREET1_Import_Export!$G182)/1000000+D$33*GREET1_Import_Export!$B218/1000000+D$34*(1+GREET1_Import_Export!$B286/1000000)+D$35*(GREET1_Import_Export!$B311+GREET1_Import_Export!$C311)/1000000</f>
        <v>6.7370917023285966</v>
      </c>
      <c r="E38" s="348"/>
    </row>
    <row r="39" spans="1:7" s="349" customFormat="1">
      <c r="A39" s="498" t="s">
        <v>804</v>
      </c>
      <c r="B39" s="347">
        <f>B37-B38-B40</f>
        <v>48.33871599107448</v>
      </c>
      <c r="C39" s="348"/>
      <c r="D39" s="349">
        <f>D37-D38-D40</f>
        <v>12.57277649904522</v>
      </c>
      <c r="E39" s="348"/>
    </row>
    <row r="40" spans="1:7" s="349" customFormat="1">
      <c r="A40" s="498" t="s">
        <v>818</v>
      </c>
      <c r="B40" s="347">
        <f>B$31*(1+(GREET1_Import_Export!$F$179*GREET1_Import_Export!$B184+GREET1_Import_Export!$F184)/1000000)+B$32*(1+(GREET1_Import_Export!$H$179*GREET1_Import_Export!$B184+GREET1_Import_Export!$H184)/1000000)+B$33*GREET1_Import_Export!$B220/1000000+B$34*GREET1_Import_Export!$B288/1000000+B$35*(GREET1_Import_Export!$B313+GREET1_Import_Export!$C313)/1000000</f>
        <v>253.61959004010703</v>
      </c>
      <c r="C40" s="348"/>
      <c r="D40" s="349">
        <f>D$31*(1+(GREET1_Import_Export!$F$179*GREET1_Import_Export!$B184+GREET1_Import_Export!$F184)/1000000)+D$32*(1+(GREET1_Import_Export!$G$179*GREET1_Import_Export!$B184+GREET1_Import_Export!$G184)/1000000)+D$33*GREET1_Import_Export!$B220/1000000+D$34*GREET1_Import_Export!$B288/1000000+D$35*(GREET1_Import_Export!$B313+GREET1_Import_Export!$C313)/1000000</f>
        <v>1.2893942909162308</v>
      </c>
      <c r="E40" s="348"/>
    </row>
    <row r="41" spans="1:7" s="419" customFormat="1">
      <c r="A41" s="174" t="s">
        <v>819</v>
      </c>
      <c r="B41" s="650">
        <f>B$31*((GREET1_Import_Export!$F$179*GREET1_Import_Export!$B185+GREET1_Import_Export!$F185))+B$32*((GREET1_Import_Export!$H$179*GREET1_Import_Export!$B185+GREET1_Import_Export!$H185))+B$33*GREET1_Import_Export!$B221+B$34*GREET1_Import_Export!$B289+B$35*(GREET1_Import_Export!$B314+GREET1_Import_Export!$C314)</f>
        <v>7228.955326881729</v>
      </c>
      <c r="C41" s="752"/>
      <c r="D41" s="47">
        <f>D$31*((GREET1_Import_Export!$F$179*GREET1_Import_Export!$B185+GREET1_Import_Export!$F185))+D$32*((GREET1_Import_Export!$G$179*GREET1_Import_Export!$B185+GREET1_Import_Export!$G185))+D$33*GREET1_Import_Export!$B221+D$34*GREET1_Import_Export!$B289+D$35*(GREET1_Import_Export!$B314+GREET1_Import_Export!$C314)</f>
        <v>1334.2111692074891</v>
      </c>
      <c r="E41" s="752"/>
      <c r="G41" s="349"/>
    </row>
    <row r="42" spans="1:7" s="349" customFormat="1">
      <c r="A42" s="609" t="s">
        <v>864</v>
      </c>
      <c r="B42" s="510"/>
      <c r="C42" s="509"/>
      <c r="D42" s="512"/>
      <c r="E42" s="509"/>
    </row>
    <row r="43" spans="1:7" s="349" customFormat="1">
      <c r="A43" s="498" t="s">
        <v>821</v>
      </c>
      <c r="B43" s="347">
        <f>B$31*(B$10*GREET1_Import_Export!$K72+GREET1_Import_Export!$F$179*GREET1_Import_Export!$B186+GREET1_Import_Export!$F186)+B$32*(B$14*GREET1_Import_Export!$R72+B$15*GREET1_Import_Export!$O146+GREET1_Import_Export!$H$179*GREET1_Import_Export!$B186+GREET1_Import_Export!$H186)+B$33*(B$11*GREET1_Import_Export!$B72+B$12*GREET1_Import_Export!$O118+GREET1_Import_Export!$B222)+B$34*(B$13*GREET1_Import_Export!$AA72+GREET1_Import_Export!$B290)+B$35*(GREET1_Import_Export!$B315+GREET1_Import_Export!$C315)</f>
        <v>3437.9293769750448</v>
      </c>
      <c r="C43" s="348">
        <v>1457.86</v>
      </c>
      <c r="D43" s="349">
        <f>D$31*(GREET1_Import_Export!$K72+GREET1_Import_Export!$F$179*GREET1_Import_Export!$B186+GREET1_Import_Export!$F186)+D$32*(GREET1_Import_Export!$O72+GREET1_Import_Export!$G$179*GREET1_Import_Export!$B186+GREET1_Import_Export!$G186)+D$33*(GREET1_Import_Export!$B72+GREET1_Import_Export!$B222)+D$34*(GREET1_Import_Export!$AA72+GREET1_Import_Export!$B290)+D$35*(GREET1_Import_Export!$B315+GREET1_Import_Export!$C315)</f>
        <v>176.91996112788323</v>
      </c>
      <c r="E43" s="348"/>
    </row>
    <row r="44" spans="1:7" s="349" customFormat="1">
      <c r="A44" s="498" t="s">
        <v>822</v>
      </c>
      <c r="B44" s="347">
        <f>B$31*(B$10*GREET1_Import_Export!$K73+GREET1_Import_Export!$F$179*GREET1_Import_Export!$B187+GREET1_Import_Export!$F187)+B$32*(B$14*GREET1_Import_Export!$R73+B$15*GREET1_Import_Export!$O147+GREET1_Import_Export!$H$179*GREET1_Import_Export!$B187+GREET1_Import_Export!$H187)+B$33*(B$11*GREET1_Import_Export!$B73+B$12*GREET1_Import_Export!$O119+GREET1_Import_Export!$B223)+B$34*(B$13*GREET1_Import_Export!$AA73+GREET1_Import_Export!$B291)+B$35*(GREET1_Import_Export!$B316+GREET1_Import_Export!$C316)</f>
        <v>42637.310469553617</v>
      </c>
      <c r="C44" s="348"/>
      <c r="D44" s="349">
        <f>D$31*(GREET1_Import_Export!$K73+GREET1_Import_Export!$F$179*GREET1_Import_Export!$B187+GREET1_Import_Export!$F187)+D$32*(GREET1_Import_Export!$O73+GREET1_Import_Export!$G$179*GREET1_Import_Export!$B187+GREET1_Import_Export!$G187)+D$33*(GREET1_Import_Export!$B73+GREET1_Import_Export!$B223)+D$34*(GREET1_Import_Export!$AA73+GREET1_Import_Export!$B291)+D$35*(GREET1_Import_Export!$B316+GREET1_Import_Export!$C316)</f>
        <v>1006.4813847018813</v>
      </c>
      <c r="E44" s="348"/>
    </row>
    <row r="45" spans="1:7" s="349" customFormat="1">
      <c r="A45" s="498" t="s">
        <v>823</v>
      </c>
      <c r="B45" s="347">
        <f>B$31*(B$10*GREET1_Import_Export!$K74+GREET1_Import_Export!$F$179*GREET1_Import_Export!$B188+GREET1_Import_Export!$F188)+B$32*(B$14*GREET1_Import_Export!$R74+B$15*GREET1_Import_Export!$O148+GREET1_Import_Export!$H$179*GREET1_Import_Export!$B188+GREET1_Import_Export!$H188)+B$33*(B$11*GREET1_Import_Export!$B74+B$12*GREET1_Import_Export!$O120+GREET1_Import_Export!$B224)+B$34*(B$13*GREET1_Import_Export!$AA74+GREET1_Import_Export!$B292)+B$35*(GREET1_Import_Export!$B317+GREET1_Import_Export!$C317)</f>
        <v>30247.606509151065</v>
      </c>
      <c r="C45" s="348"/>
      <c r="D45" s="349">
        <f>D$31*(GREET1_Import_Export!$K74+GREET1_Import_Export!$F$179*GREET1_Import_Export!$B188+GREET1_Import_Export!$F188)+D$32*(GREET1_Import_Export!$O74+GREET1_Import_Export!$G$179*GREET1_Import_Export!$B188+GREET1_Import_Export!$G188)+D$33*(GREET1_Import_Export!$B74+GREET1_Import_Export!$B224)+D$34*(GREET1_Import_Export!$AA74+GREET1_Import_Export!$B292)+D$35*(GREET1_Import_Export!$B317+GREET1_Import_Export!$C317)</f>
        <v>1225.6756252451305</v>
      </c>
      <c r="E45" s="348"/>
    </row>
    <row r="46" spans="1:7" s="349" customFormat="1">
      <c r="A46" s="498" t="s">
        <v>824</v>
      </c>
      <c r="B46" s="347">
        <f>B$31*(B$10*GREET1_Import_Export!$K75+GREET1_Import_Export!$F$179*GREET1_Import_Export!$B189+GREET1_Import_Export!$F189)+B$32*(B$14*GREET1_Import_Export!$R75+B$15*GREET1_Import_Export!$O149+GREET1_Import_Export!$H$179*GREET1_Import_Export!$B189+GREET1_Import_Export!$H189)+B$33*(B$11*GREET1_Import_Export!$B75+B$12*GREET1_Import_Export!$O121+GREET1_Import_Export!$B225)+B$34*(B$13*GREET1_Import_Export!$AA75+GREET1_Import_Export!$B293)+B$35*(GREET1_Import_Export!$B318+GREET1_Import_Export!$C318)</f>
        <v>1851.6943768778456</v>
      </c>
      <c r="C46" s="348">
        <v>3301.28</v>
      </c>
      <c r="D46" s="349">
        <f>D$31*(GREET1_Import_Export!$K75+GREET1_Import_Export!$F$179*GREET1_Import_Export!$B189+GREET1_Import_Export!$F189)+D$32*(GREET1_Import_Export!$O75+GREET1_Import_Export!$G$179*GREET1_Import_Export!$B189+GREET1_Import_Export!$G189)+D$33*(GREET1_Import_Export!$B75+GREET1_Import_Export!$B225)+D$34*(GREET1_Import_Export!$AA75+GREET1_Import_Export!$B293)+D$35*(GREET1_Import_Export!$B318+GREET1_Import_Export!$C318)</f>
        <v>173.63972729940497</v>
      </c>
      <c r="E46" s="348"/>
    </row>
    <row r="47" spans="1:7" s="349" customFormat="1">
      <c r="A47" s="347" t="s">
        <v>825</v>
      </c>
      <c r="B47" s="347">
        <f>B$31*(B$10*GREET1_Import_Export!$K76+GREET1_Import_Export!$F$179*GREET1_Import_Export!$B190+GREET1_Import_Export!$F190)+B$32*(B$14*GREET1_Import_Export!$R76+B$15*GREET1_Import_Export!$O150+GREET1_Import_Export!$H$179*GREET1_Import_Export!$B190+GREET1_Import_Export!$H190)+B$33*(B$11*GREET1_Import_Export!$B76+B$12*GREET1_Import_Export!$O122+GREET1_Import_Export!$B226)+B$34*(B$13*GREET1_Import_Export!$AA76+GREET1_Import_Export!$B294)+B$35*(GREET1_Import_Export!$B319+GREET1_Import_Export!$C319)</f>
        <v>624.8077880528607</v>
      </c>
      <c r="C47" s="348">
        <v>971.6</v>
      </c>
      <c r="D47" s="349">
        <f>D$31*(GREET1_Import_Export!$K76+GREET1_Import_Export!$F$179*GREET1_Import_Export!$B190+GREET1_Import_Export!$F190)+D$32*(GREET1_Import_Export!$O76+GREET1_Import_Export!$G$179*GREET1_Import_Export!$B190+GREET1_Import_Export!$G190)+D$33*(GREET1_Import_Export!$B76+GREET1_Import_Export!$B226)+D$34*(GREET1_Import_Export!$AA76+GREET1_Import_Export!$B294)+D$35*(GREET1_Import_Export!$B319+GREET1_Import_Export!$C319)</f>
        <v>113.60997814171209</v>
      </c>
      <c r="E47" s="348"/>
    </row>
    <row r="48" spans="1:7" s="349" customFormat="1">
      <c r="A48" s="347" t="s">
        <v>826</v>
      </c>
      <c r="B48" s="347">
        <f>B$31*(B$10*GREET1_Import_Export!$K77+GREET1_Import_Export!$F$179*GREET1_Import_Export!$B191+GREET1_Import_Export!$F191)+B$32*(B$14*GREET1_Import_Export!$R77+B$15*GREET1_Import_Export!$O151+GREET1_Import_Export!$H$179*GREET1_Import_Export!$B191+GREET1_Import_Export!$H191)+B$33*(B$11*GREET1_Import_Export!$B77+B$12*GREET1_Import_Export!$O123+GREET1_Import_Export!$B227)+B$34*(B$13*GREET1_Import_Export!$AA77+GREET1_Import_Export!$B295)+B$35*(GREET1_Import_Export!$B320+GREET1_Import_Export!$C320)</f>
        <v>2408.4524633383035</v>
      </c>
      <c r="C48" s="348"/>
      <c r="D48" s="349">
        <f>D$31*(GREET1_Import_Export!$K77+GREET1_Import_Export!$F$179*GREET1_Import_Export!$B191+GREET1_Import_Export!$F191)+D$32*(GREET1_Import_Export!$O77+GREET1_Import_Export!$G$179*GREET1_Import_Export!$B191+GREET1_Import_Export!$G191)+D$33*(GREET1_Import_Export!$B77+GREET1_Import_Export!$B227)+D$34*(GREET1_Import_Export!$AA77+GREET1_Import_Export!$B295)+D$35*(GREET1_Import_Export!$B320+GREET1_Import_Export!$C320)</f>
        <v>787.20975115747467</v>
      </c>
      <c r="E48" s="348"/>
    </row>
    <row r="49" spans="1:7" s="349" customFormat="1">
      <c r="A49" s="749" t="s">
        <v>827</v>
      </c>
      <c r="B49" s="347">
        <f>B$31*(B$10*GREET1_Import_Export!$K78+GREET1_Import_Export!$F$179*GREET1_Import_Export!$B192+GREET1_Import_Export!$F192)+B$32*(B$14*GREET1_Import_Export!$R78+B$15*GREET1_Import_Export!$O152+GREET1_Import_Export!$H$179*GREET1_Import_Export!$B192+GREET1_Import_Export!$H192)+B$33*(B$11*GREET1_Import_Export!$B78+B$12*GREET1_Import_Export!$O124+GREET1_Import_Export!$B228)+B$34*(B$13*GREET1_Import_Export!$AA78+GREET1_Import_Export!$B296)+B$35*(GREET1_Import_Export!$B321+GREET1_Import_Export!$C321)</f>
        <v>57.097120115886817</v>
      </c>
      <c r="C49" s="348"/>
      <c r="D49" s="349">
        <f>D$31*(GREET1_Import_Export!$K78+GREET1_Import_Export!$F$179*GREET1_Import_Export!$B192+GREET1_Import_Export!$F192)+D$32*(GREET1_Import_Export!$O78+GREET1_Import_Export!$G$179*GREET1_Import_Export!$B192+GREET1_Import_Export!$G192)+D$33*(GREET1_Import_Export!$B78+GREET1_Import_Export!$B228)+D$34*(GREET1_Import_Export!$AA78+GREET1_Import_Export!$B296)+D$35*(GREET1_Import_Export!$B321+GREET1_Import_Export!$C321)</f>
        <v>24.327116015020358</v>
      </c>
      <c r="E49" s="348"/>
    </row>
    <row r="50" spans="1:7" s="349" customFormat="1">
      <c r="A50" s="749" t="s">
        <v>828</v>
      </c>
      <c r="B50" s="347">
        <f>B$31*(B$10*GREET1_Import_Export!$K79+GREET1_Import_Export!$F$179*GREET1_Import_Export!$B193+GREET1_Import_Export!$F193)+B$32*(B$14*GREET1_Import_Export!$R79+B$15*GREET1_Import_Export!$O153+GREET1_Import_Export!$H$179*GREET1_Import_Export!$B193+GREET1_Import_Export!$H193)+B$33*(B$11*GREET1_Import_Export!$B79+B$12*GREET1_Import_Export!$O125+GREET1_Import_Export!$B229)+B$34*(B$13*GREET1_Import_Export!$AA79+GREET1_Import_Export!$B297)+B$35*(GREET1_Import_Export!$B322+GREET1_Import_Export!$C322)</f>
        <v>125.46839009177501</v>
      </c>
      <c r="C50" s="348"/>
      <c r="D50" s="349">
        <f>D$31*(GREET1_Import_Export!$K79+GREET1_Import_Export!$F$179*GREET1_Import_Export!$B193+GREET1_Import_Export!$F193)+D$32*(GREET1_Import_Export!$O79+GREET1_Import_Export!$G$179*GREET1_Import_Export!$B193+GREET1_Import_Export!$G193)+D$33*(GREET1_Import_Export!$B79+GREET1_Import_Export!$B229)+D$34*(GREET1_Import_Export!$AA79+GREET1_Import_Export!$B297)+D$35*(GREET1_Import_Export!$B322+GREET1_Import_Export!$C322)</f>
        <v>30.457452716614366</v>
      </c>
      <c r="E50" s="348"/>
    </row>
    <row r="51" spans="1:7" s="349" customFormat="1">
      <c r="A51" s="347" t="s">
        <v>829</v>
      </c>
      <c r="B51" s="347">
        <f>B$31*(B$10*GREET1_Import_Export!$K80+GREET1_Import_Export!$F$179*GREET1_Import_Export!$B194+GREET1_Import_Export!$F194)+B$32*(B$14*GREET1_Import_Export!$R80+B$15*GREET1_Import_Export!$O154+GREET1_Import_Export!$H$179*GREET1_Import_Export!$B194+GREET1_Import_Export!$H194)+B$33*(B$11*GREET1_Import_Export!$B80+B$12*GREET1_Import_Export!$O126+GREET1_Import_Export!$B230)+B$34*(B$13*GREET1_Import_Export!$AA80+GREET1_Import_Export!$B298)+B$35*(GREET1_Import_Export!$B323+GREET1_Import_Export!$C323)</f>
        <v>31515.741288458736</v>
      </c>
      <c r="C51" s="348"/>
      <c r="D51" s="349">
        <f>D$31*(GREET1_Import_Export!$K80+GREET1_Import_Export!$F$179*GREET1_Import_Export!$B194+GREET1_Import_Export!$F194)+D$32*(GREET1_Import_Export!$O80+GREET1_Import_Export!$G$179*GREET1_Import_Export!$B194+GREET1_Import_Export!$G194)+D$33*(GREET1_Import_Export!$B80+GREET1_Import_Export!$B230)+D$34*(GREET1_Import_Export!$AA80+GREET1_Import_Export!$B298)+D$35*(GREET1_Import_Export!$B323+GREET1_Import_Export!$C323)</f>
        <v>3350.5839606552427</v>
      </c>
      <c r="E51" s="348"/>
    </row>
    <row r="52" spans="1:7" s="349" customFormat="1">
      <c r="A52" s="347" t="s">
        <v>830</v>
      </c>
      <c r="B52" s="347">
        <f>B$31*(B$10*GREET1_Import_Export!$K81+GREET1_Import_Export!$F$179*GREET1_Import_Export!$B195+GREET1_Import_Export!$F195)+B$32*(B$14*GREET1_Import_Export!$R81+B$15*GREET1_Import_Export!$O155+GREET1_Import_Export!$H$179*GREET1_Import_Export!$B195+GREET1_Import_Export!$H195)+B$33*(B$11*GREET1_Import_Export!$B81+B$12*GREET1_Import_Export!$O127+GREET1_Import_Export!$B231)+B$34*(B$13*GREET1_Import_Export!$AA81+GREET1_Import_Export!$B299)+B$35*(GREET1_Import_Export!$B324+GREET1_Import_Export!$C324)</f>
        <v>123.36587322447835</v>
      </c>
      <c r="C52" s="348"/>
      <c r="D52" s="349">
        <f>D$31*(GREET1_Import_Export!$K81+GREET1_Import_Export!$F$179*GREET1_Import_Export!$B195+GREET1_Import_Export!$F195)+D$32*(GREET1_Import_Export!$O81+GREET1_Import_Export!$G$179*GREET1_Import_Export!$B195+GREET1_Import_Export!$G195)+D$33*(GREET1_Import_Export!$B81+GREET1_Import_Export!$B231)+D$34*(GREET1_Import_Export!$AA81+GREET1_Import_Export!$B299)+D$35*(GREET1_Import_Export!$B324+GREET1_Import_Export!$C324)</f>
        <v>30.183064603055104</v>
      </c>
      <c r="E52" s="348"/>
    </row>
    <row r="53" spans="1:7" s="419" customFormat="1">
      <c r="A53" s="668" t="s">
        <v>831</v>
      </c>
      <c r="B53" s="295">
        <f>B$31*(B$10*GREET1_Import_Export!$K82+GREET1_Import_Export!$F$179*GREET1_Import_Export!$B196+GREET1_Import_Export!$F196)+B$32*(B$14*GREET1_Import_Export!$R82+B$15*GREET1_Import_Export!$O156+GREET1_Import_Export!$H$179*GREET1_Import_Export!$B196+GREET1_Import_Export!$H196)+B$33*(B$11*GREET1_Import_Export!$B82+B$12*GREET1_Import_Export!$O128+GREET1_Import_Export!$B232)+B$34*(B$13*GREET1_Import_Export!$AA82+GREET1_Import_Export!$B300)+B$35*(GREET1_Import_Export!$B325+GREET1_Import_Export!$C325)</f>
        <v>24113683.55688484</v>
      </c>
      <c r="C53" s="752"/>
      <c r="D53" s="374">
        <f>D$31*(GREET1_Import_Export!$K82+GREET1_Import_Export!$F$179*GREET1_Import_Export!$B196+GREET1_Import_Export!$F196)+D$32*(GREET1_Import_Export!$O82+GREET1_Import_Export!$G$179*GREET1_Import_Export!$B196+GREET1_Import_Export!$G196)+D$33*(GREET1_Import_Export!$B82+GREET1_Import_Export!$B232)+D$34*(GREET1_Import_Export!$AA82+GREET1_Import_Export!$B300)+D$35*(GREET1_Import_Export!$B325+GREET1_Import_Export!$C325)</f>
        <v>1521717.4793071679</v>
      </c>
      <c r="E53" s="752"/>
      <c r="G53" s="349"/>
    </row>
    <row r="54" spans="1:7" s="349" customFormat="1">
      <c r="A54" s="758" t="s">
        <v>865</v>
      </c>
      <c r="B54" s="347"/>
      <c r="C54" s="348"/>
      <c r="D54" s="389"/>
      <c r="E54" s="348"/>
    </row>
    <row r="55" spans="1:7" s="349" customFormat="1">
      <c r="A55" s="347" t="s">
        <v>821</v>
      </c>
      <c r="B55" s="347">
        <f>B$31*(B$22*(B$10*GREET1_Import_Export!$K72)+GREET1_Import_Export!$F$200*GREET1_Import_Export!$B201+GREET1_Import_Export!$F201)+B$32*(B$22*(B$14*GREET1_Import_Export!$R72+B$15*GREET1_Import_Export!$O146)+GREET1_Import_Export!$H$200*GREET1_Import_Export!$B201+GREET1_Import_Export!$H201)+B$33*(B$22*(B$11*GREET1_Import_Export!$B72+B$12*GREET1_Import_Export!$O118)+GREET1_Import_Export!$B237)+B$34*(B$22*(B$13*GREET1_Import_Export!$AA72)+GREET1_Import_Export!$C290)+B$35*(GREET1_Import_Export!$D315+GREET1_Import_Export!$E315)</f>
        <v>684.49214537905198</v>
      </c>
      <c r="C55" s="348">
        <f t="shared" ref="C55:C62" si="0">C43*B$22</f>
        <v>0</v>
      </c>
      <c r="D55" s="349">
        <f>D$31*(D$22*(GREET1_Import_Export!$K72)+GREET1_Import_Export!$F$200*GREET1_Import_Export!$B201+GREET1_Import_Export!$F201)+D$32*(D$22*(GREET1_Import_Export!$O72)+GREET1_Import_Export!$G$200*GREET1_Import_Export!$B201+GREET1_Import_Export!$G201)+D$33*(D$22*(GREET1_Import_Export!$B72)+GREET1_Import_Export!$B237)+D$34*(D$22*(GREET1_Import_Export!$AA72)+GREET1_Import_Export!$C290)+D$35*(GREET1_Import_Export!$D315+GREET1_Import_Export!$E315)</f>
        <v>13.27820520854697</v>
      </c>
      <c r="E55" s="348">
        <f t="shared" ref="E55:E62" si="1">E43*D$22</f>
        <v>0</v>
      </c>
    </row>
    <row r="56" spans="1:7" s="349" customFormat="1">
      <c r="A56" s="347" t="s">
        <v>822</v>
      </c>
      <c r="B56" s="347">
        <f>B$31*(B$22*(B$10*GREET1_Import_Export!$K73)+GREET1_Import_Export!$F$200*GREET1_Import_Export!$B202+GREET1_Import_Export!$F202)+B$32*(B$22*(B$14*GREET1_Import_Export!$R73+B$15*GREET1_Import_Export!$O147)+GREET1_Import_Export!$H$200*GREET1_Import_Export!$B202+GREET1_Import_Export!$H202)+B$33*(B$22*(B$11*GREET1_Import_Export!$B73+B$12*GREET1_Import_Export!$O119)+GREET1_Import_Export!$B238)+B$34*(B$22*(B$13*GREET1_Import_Export!$AA73)+GREET1_Import_Export!$C291)+B$35*(GREET1_Import_Export!$D316+GREET1_Import_Export!$E316)</f>
        <v>550.61361693227445</v>
      </c>
      <c r="C56" s="348">
        <f t="shared" si="0"/>
        <v>0</v>
      </c>
      <c r="D56" s="349">
        <f>D$31*(D$22*(GREET1_Import_Export!$K73)+GREET1_Import_Export!$F$200*GREET1_Import_Export!$B202+GREET1_Import_Export!$F202)+D$32*(D$22*(GREET1_Import_Export!$O73)+GREET1_Import_Export!$G$200*GREET1_Import_Export!$B202+GREET1_Import_Export!$G202)+D$33*(D$22*(GREET1_Import_Export!$B73)+GREET1_Import_Export!$B238)+D$34*(D$22*(GREET1_Import_Export!$AA73)+GREET1_Import_Export!$C291)+D$35*(GREET1_Import_Export!$D316+GREET1_Import_Export!$E316)</f>
        <v>78.849415853560572</v>
      </c>
      <c r="E56" s="348">
        <f t="shared" si="1"/>
        <v>0</v>
      </c>
    </row>
    <row r="57" spans="1:7" s="349" customFormat="1">
      <c r="A57" s="347" t="s">
        <v>823</v>
      </c>
      <c r="B57" s="347">
        <f>B$31*(B$22*(B$10*GREET1_Import_Export!$K74)+GREET1_Import_Export!$F$200*GREET1_Import_Export!$B203+GREET1_Import_Export!$F203)+B$32*(B$22*(B$14*GREET1_Import_Export!$R74+B$15*GREET1_Import_Export!$O148)+GREET1_Import_Export!$H$200*GREET1_Import_Export!$B203+GREET1_Import_Export!$H203)+B$33*(B$22*(B$11*GREET1_Import_Export!$B74+B$12*GREET1_Import_Export!$O120)+GREET1_Import_Export!$B239)+B$34*(B$22*(B$13*GREET1_Import_Export!$AA74)+GREET1_Import_Export!$C292)+B$35*(GREET1_Import_Export!$D317+GREET1_Import_Export!$E317)</f>
        <v>1018.9529235238552</v>
      </c>
      <c r="C57" s="348">
        <f t="shared" si="0"/>
        <v>0</v>
      </c>
      <c r="D57" s="349">
        <f>D$31*(D$22*(GREET1_Import_Export!$K74)+GREET1_Import_Export!$F$200*GREET1_Import_Export!$B203+GREET1_Import_Export!$F203)+D$32*(D$22*(GREET1_Import_Export!$O74)+GREET1_Import_Export!$G$200*GREET1_Import_Export!$B203+GREET1_Import_Export!$G203)+D$33*(D$22*(GREET1_Import_Export!$B74)+GREET1_Import_Export!$B239)+D$34*(D$22*(GREET1_Import_Export!$AA74)+GREET1_Import_Export!$C292)+D$35*(GREET1_Import_Export!$D317+GREET1_Import_Export!$E317)</f>
        <v>232.84170677031432</v>
      </c>
      <c r="E57" s="348">
        <f t="shared" si="1"/>
        <v>0</v>
      </c>
    </row>
    <row r="58" spans="1:7" s="349" customFormat="1">
      <c r="A58" s="347" t="s">
        <v>824</v>
      </c>
      <c r="B58" s="347">
        <f>B$31*(B$22*(B$10*GREET1_Import_Export!$K75)+GREET1_Import_Export!$F$200*GREET1_Import_Export!$B204+GREET1_Import_Export!$F204)+B$32*(B$22*(B$14*GREET1_Import_Export!$R75+B$15*GREET1_Import_Export!$O149)+GREET1_Import_Export!$H$200*GREET1_Import_Export!$B204+GREET1_Import_Export!$H204)+B$33*(B$22*(B$11*GREET1_Import_Export!$B75+B$12*GREET1_Import_Export!$O121)+GREET1_Import_Export!$B240)+B$34*(B$22*(B$13*GREET1_Import_Export!$AA75)+GREET1_Import_Export!$C293)+B$35*(GREET1_Import_Export!$D318+GREET1_Import_Export!$E318)</f>
        <v>166.08296955096017</v>
      </c>
      <c r="C58" s="348">
        <f t="shared" si="0"/>
        <v>0</v>
      </c>
      <c r="D58" s="349">
        <f>D$31*(D$22*(GREET1_Import_Export!$K75)+GREET1_Import_Export!$F$200*GREET1_Import_Export!$B204+GREET1_Import_Export!$F204)+D$32*(D$22*(GREET1_Import_Export!$O75)+GREET1_Import_Export!$G$200*GREET1_Import_Export!$B204+GREET1_Import_Export!$G204)+D$33*(D$22*(GREET1_Import_Export!$B75)+GREET1_Import_Export!$B240)+D$34*(D$22*(GREET1_Import_Export!$AA75)+GREET1_Import_Export!$C293)+D$35*(GREET1_Import_Export!$D318+GREET1_Import_Export!$E318)</f>
        <v>31.215020777814537</v>
      </c>
      <c r="E58" s="348">
        <f t="shared" si="1"/>
        <v>0</v>
      </c>
    </row>
    <row r="59" spans="1:7" s="349" customFormat="1">
      <c r="A59" s="347" t="s">
        <v>825</v>
      </c>
      <c r="B59" s="347">
        <f>B$31*(B$22*(B$10*GREET1_Import_Export!$K76)+GREET1_Import_Export!$F$200*GREET1_Import_Export!$B205+GREET1_Import_Export!$F205)+B$32*(B$22*(B$14*GREET1_Import_Export!$R76+B$15*GREET1_Import_Export!$O150)+GREET1_Import_Export!$H$200*GREET1_Import_Export!$B205+GREET1_Import_Export!$H205)+B$33*(B$22*(B$11*GREET1_Import_Export!$B76+B$12*GREET1_Import_Export!$O122)+GREET1_Import_Export!$B241)+B$34*(B$22*(B$13*GREET1_Import_Export!$AA76)+GREET1_Import_Export!$C294)+B$35*(GREET1_Import_Export!$D319+GREET1_Import_Export!$E319)</f>
        <v>144.06962628703067</v>
      </c>
      <c r="C59" s="348">
        <f t="shared" si="0"/>
        <v>0</v>
      </c>
      <c r="D59" s="349">
        <f>D$31*(D$22*(GREET1_Import_Export!$K76)+GREET1_Import_Export!$F$200*GREET1_Import_Export!$B205+GREET1_Import_Export!$F205)+D$32*(D$22*(GREET1_Import_Export!$O76)+GREET1_Import_Export!$G$200*GREET1_Import_Export!$B205+GREET1_Import_Export!$G205)+D$33*(D$22*(GREET1_Import_Export!$B76)+GREET1_Import_Export!$B241)+D$34*(D$22*(GREET1_Import_Export!$AA76)+GREET1_Import_Export!$C294)+D$35*(GREET1_Import_Export!$D319+GREET1_Import_Export!$E319)</f>
        <v>27.439917877807176</v>
      </c>
      <c r="E59" s="348">
        <f t="shared" si="1"/>
        <v>0</v>
      </c>
    </row>
    <row r="60" spans="1:7" s="349" customFormat="1">
      <c r="A60" s="347" t="s">
        <v>826</v>
      </c>
      <c r="B60" s="347">
        <f>B$31*(B$22*(B$10*GREET1_Import_Export!$K77)+GREET1_Import_Export!$F$200*GREET1_Import_Export!$B206+GREET1_Import_Export!$F206)+B$32*(B$22*(B$14*GREET1_Import_Export!$R77+B$15*GREET1_Import_Export!$O151)+GREET1_Import_Export!$H$200*GREET1_Import_Export!$B206+GREET1_Import_Export!$H206)+B$33*(B$22*(B$11*GREET1_Import_Export!$B77+B$12*GREET1_Import_Export!$O123)+GREET1_Import_Export!$B242)+B$34*(B$22*(B$13*GREET1_Import_Export!$AA77)+GREET1_Import_Export!$C295)+B$35*(GREET1_Import_Export!$D320+GREET1_Import_Export!$E320)</f>
        <v>574.96537007365407</v>
      </c>
      <c r="C60" s="348">
        <f t="shared" si="0"/>
        <v>0</v>
      </c>
      <c r="D60" s="349">
        <f>D$31*(D$22*(GREET1_Import_Export!$K77)+GREET1_Import_Export!$F$200*GREET1_Import_Export!$B206+GREET1_Import_Export!$F206)+D$32*(D$22*(GREET1_Import_Export!$O77)+GREET1_Import_Export!$G$200*GREET1_Import_Export!$B206+GREET1_Import_Export!$G206)+D$33*(D$22*(GREET1_Import_Export!$B77)+GREET1_Import_Export!$B242)+D$34*(D$22*(GREET1_Import_Export!$AA77)+GREET1_Import_Export!$C295)+D$35*(GREET1_Import_Export!$D320+GREET1_Import_Export!$E320)</f>
        <v>229.48682918610751</v>
      </c>
      <c r="E60" s="348">
        <f t="shared" si="1"/>
        <v>0</v>
      </c>
    </row>
    <row r="61" spans="1:7" s="349" customFormat="1">
      <c r="A61" s="347" t="s">
        <v>827</v>
      </c>
      <c r="B61" s="347">
        <f>B$31*(B$22*(B$10*GREET1_Import_Export!$K78)+GREET1_Import_Export!$F$200*GREET1_Import_Export!$B207+GREET1_Import_Export!$F207)+B$32*(B$22*(B$14*GREET1_Import_Export!$R78+B$15*GREET1_Import_Export!$O152)+GREET1_Import_Export!$H$200*GREET1_Import_Export!$B207+GREET1_Import_Export!$H207)+B$33*(B$22*(B$11*GREET1_Import_Export!$B78+B$12*GREET1_Import_Export!$O124)+GREET1_Import_Export!$B243)+B$34*(B$22*(B$13*GREET1_Import_Export!$AA78)+GREET1_Import_Export!$C296)+B$35*(GREET1_Import_Export!$D321+GREET1_Import_Export!$E321)</f>
        <v>15.293375764578453</v>
      </c>
      <c r="C61" s="348">
        <f t="shared" si="0"/>
        <v>0</v>
      </c>
      <c r="D61" s="349">
        <f>D$31*(D$22*(GREET1_Import_Export!$K78)+GREET1_Import_Export!$F$200*GREET1_Import_Export!$B207+GREET1_Import_Export!$F207)+D$32*(D$22*(GREET1_Import_Export!$O78)+GREET1_Import_Export!$G$200*GREET1_Import_Export!$B207+GREET1_Import_Export!$G207)+D$33*(D$22*(GREET1_Import_Export!$B78)+GREET1_Import_Export!$B243)+D$34*(D$22*(GREET1_Import_Export!$AA78)+GREET1_Import_Export!$C296)+D$35*(GREET1_Import_Export!$D321+GREET1_Import_Export!$E321)</f>
        <v>1.4476526555509051</v>
      </c>
      <c r="E61" s="348">
        <f t="shared" si="1"/>
        <v>0</v>
      </c>
    </row>
    <row r="62" spans="1:7" s="349" customFormat="1">
      <c r="A62" s="503" t="s">
        <v>828</v>
      </c>
      <c r="B62" s="503">
        <f>B$31*(B$22*(B$10*GREET1_Import_Export!$K79)+GREET1_Import_Export!$F$200*GREET1_Import_Export!$B208+GREET1_Import_Export!$F208)+B$32*(B$22*(B$14*GREET1_Import_Export!$R79+B$15*GREET1_Import_Export!$O153)+GREET1_Import_Export!$H$200*GREET1_Import_Export!$B208+GREET1_Import_Export!$H208)+B$33*(B$22*(B$11*GREET1_Import_Export!$B79+B$12*GREET1_Import_Export!$O125)+GREET1_Import_Export!$B244)+B$34*(B$22*(B$13*GREET1_Import_Export!$AA79)+GREET1_Import_Export!$C297)+B$35*(GREET1_Import_Export!$D322+GREET1_Import_Export!$E322)</f>
        <v>30.198183678915061</v>
      </c>
      <c r="C62" s="502">
        <f t="shared" si="0"/>
        <v>0</v>
      </c>
      <c r="D62" s="505">
        <f>D$31*(D$22*(GREET1_Import_Export!$K79)+GREET1_Import_Export!$F$200*GREET1_Import_Export!$B208+GREET1_Import_Export!$F208)+D$32*(D$22*(GREET1_Import_Export!$O79)+GREET1_Import_Export!$G$200*GREET1_Import_Export!$B208+GREET1_Import_Export!$G208)+D$33*(D$22*(GREET1_Import_Export!$B79)+GREET1_Import_Export!$B244)+D$34*(D$22*(GREET1_Import_Export!$AA79)+GREET1_Import_Export!$C297)+D$35*(GREET1_Import_Export!$D322+GREET1_Import_Export!$E322)</f>
        <v>7.8010659624559846</v>
      </c>
      <c r="E62" s="502">
        <f t="shared" si="1"/>
        <v>0</v>
      </c>
    </row>
    <row r="63" spans="1:7" s="349" customFormat="1"/>
    <row r="64" spans="1:7" s="349" customFormat="1" ht="15">
      <c r="A64" s="602" t="s">
        <v>1254</v>
      </c>
    </row>
    <row r="65" spans="1:7" s="349" customFormat="1" ht="38.25" customHeight="1">
      <c r="A65" s="510"/>
      <c r="B65" s="1605" t="s">
        <v>1255</v>
      </c>
      <c r="C65" s="760" t="s">
        <v>1256</v>
      </c>
      <c r="D65" s="3074" t="s">
        <v>1257</v>
      </c>
      <c r="E65" s="3102"/>
      <c r="F65" s="2980" t="s">
        <v>73</v>
      </c>
      <c r="G65" s="2981"/>
    </row>
    <row r="66" spans="1:7" s="349" customFormat="1">
      <c r="A66" s="699" t="s">
        <v>1029</v>
      </c>
      <c r="B66" s="816" t="s">
        <v>1258</v>
      </c>
      <c r="C66" s="687" t="s">
        <v>1259</v>
      </c>
      <c r="D66" s="673" t="s">
        <v>845</v>
      </c>
      <c r="E66" s="673" t="s">
        <v>846</v>
      </c>
      <c r="F66" s="679" t="s">
        <v>845</v>
      </c>
      <c r="G66" s="679" t="s">
        <v>846</v>
      </c>
    </row>
    <row r="67" spans="1:7" s="349" customFormat="1">
      <c r="A67" s="347" t="s">
        <v>816</v>
      </c>
      <c r="B67" s="347">
        <f>B36</f>
        <v>322.6571667851349</v>
      </c>
      <c r="C67" s="348">
        <f>D36</f>
        <v>25.695925692499817</v>
      </c>
      <c r="D67" s="348">
        <f t="shared" ref="D67:D72" si="2">(B67*$B$5+C67*$B$7*$C$5)</f>
        <v>168.78040184339241</v>
      </c>
      <c r="E67" s="348">
        <f>D67/2000</f>
        <v>8.4390200921696204E-2</v>
      </c>
      <c r="F67" s="494">
        <f t="shared" ref="F67:G72" si="3" xml:space="preserve"> D67/$B$7</f>
        <v>291.00069283343521</v>
      </c>
      <c r="G67" s="347">
        <f t="shared" si="3"/>
        <v>0.14550034641671761</v>
      </c>
    </row>
    <row r="68" spans="1:7" s="349" customFormat="1">
      <c r="A68" s="347" t="s">
        <v>817</v>
      </c>
      <c r="B68" s="347">
        <f>B37</f>
        <v>313.71156239276416</v>
      </c>
      <c r="C68" s="348">
        <f>D37</f>
        <v>20.599262492290048</v>
      </c>
      <c r="D68" s="348">
        <f t="shared" si="2"/>
        <v>162.82956731914621</v>
      </c>
      <c r="E68" s="348">
        <f>D68/2000</f>
        <v>8.1414783659573109E-2</v>
      </c>
      <c r="F68" s="494">
        <f t="shared" si="3"/>
        <v>280.74063330887282</v>
      </c>
      <c r="G68" s="494">
        <f t="shared" si="3"/>
        <v>0.14037031665443642</v>
      </c>
    </row>
    <row r="69" spans="1:7" s="349" customFormat="1">
      <c r="A69" s="347" t="s">
        <v>805</v>
      </c>
      <c r="B69" s="347">
        <f>B38</f>
        <v>11.753256361582679</v>
      </c>
      <c r="C69" s="348">
        <f>D38</f>
        <v>6.7370917023285966</v>
      </c>
      <c r="D69" s="348">
        <f t="shared" si="2"/>
        <v>7.8303847744666326</v>
      </c>
      <c r="E69" s="348">
        <f>D69/2000</f>
        <v>3.9151923872333162E-3</v>
      </c>
      <c r="F69" s="494">
        <f t="shared" si="3"/>
        <v>13.500663404252816</v>
      </c>
      <c r="G69" s="494">
        <f t="shared" si="3"/>
        <v>6.7503317021264074E-3</v>
      </c>
    </row>
    <row r="70" spans="1:7" s="349" customFormat="1">
      <c r="A70" s="347" t="s">
        <v>804</v>
      </c>
      <c r="B70" s="347">
        <f>B68-B69-B71</f>
        <v>48.33871599107448</v>
      </c>
      <c r="C70" s="348">
        <f>C68-C69-C71</f>
        <v>12.57277649904522</v>
      </c>
      <c r="D70" s="348">
        <f t="shared" si="2"/>
        <v>27.815463180260352</v>
      </c>
      <c r="E70" s="348">
        <f>E68-E69-E71</f>
        <v>1.3907731590130187E-2</v>
      </c>
      <c r="F70" s="494">
        <f t="shared" si="3"/>
        <v>47.957695138379918</v>
      </c>
      <c r="G70" s="494">
        <f t="shared" si="3"/>
        <v>2.3978847569189981E-2</v>
      </c>
    </row>
    <row r="71" spans="1:7" s="349" customFormat="1">
      <c r="A71" s="503" t="s">
        <v>818</v>
      </c>
      <c r="B71" s="503">
        <f>B40</f>
        <v>253.61959004010703</v>
      </c>
      <c r="C71" s="502">
        <f>D40</f>
        <v>1.2893942909162308</v>
      </c>
      <c r="D71" s="348">
        <f t="shared" si="2"/>
        <v>127.18371936441922</v>
      </c>
      <c r="E71" s="348">
        <f>D71/2000</f>
        <v>6.3591859682209609E-2</v>
      </c>
      <c r="F71" s="504">
        <f t="shared" si="3"/>
        <v>219.28227476624005</v>
      </c>
      <c r="G71" s="504">
        <f t="shared" si="3"/>
        <v>0.10964113738312002</v>
      </c>
    </row>
    <row r="72" spans="1:7" s="349" customFormat="1">
      <c r="A72" s="503" t="s">
        <v>819</v>
      </c>
      <c r="B72" s="668">
        <f>B41</f>
        <v>7228.955326881729</v>
      </c>
      <c r="C72" s="752">
        <f>D41</f>
        <v>1334.2111692074891</v>
      </c>
      <c r="D72" s="1136">
        <f t="shared" si="2"/>
        <v>4001.3989025110363</v>
      </c>
      <c r="E72" s="1136">
        <f>D72/2000</f>
        <v>2.0006994512555183</v>
      </c>
      <c r="F72" s="1504">
        <f t="shared" si="3"/>
        <v>6898.9636250190288</v>
      </c>
      <c r="G72" s="1670">
        <f t="shared" si="3"/>
        <v>3.4494818125095144</v>
      </c>
    </row>
    <row r="73" spans="1:7" s="349" customFormat="1">
      <c r="A73" s="699" t="s">
        <v>1030</v>
      </c>
      <c r="B73" s="510"/>
      <c r="C73" s="509"/>
      <c r="D73" s="675" t="s">
        <v>845</v>
      </c>
      <c r="E73" s="673" t="s">
        <v>846</v>
      </c>
      <c r="F73" s="2653" t="s">
        <v>845</v>
      </c>
      <c r="G73" s="679" t="s">
        <v>846</v>
      </c>
    </row>
    <row r="74" spans="1:7" s="349" customFormat="1">
      <c r="A74" s="347" t="s">
        <v>821</v>
      </c>
      <c r="B74" s="347">
        <f t="shared" ref="B74:B84" si="4">SUM(B43:C43)</f>
        <v>4895.7893769750444</v>
      </c>
      <c r="C74" s="348">
        <f t="shared" ref="C74:C84" si="5">SUM(D43:E43)</f>
        <v>176.91996112788323</v>
      </c>
      <c r="D74" s="348">
        <f t="shared" ref="D74:D86" si="6">(B74*$B$5+C74*$B$7*$C$5)</f>
        <v>2499.2014772146085</v>
      </c>
      <c r="E74" s="348">
        <f t="shared" ref="E74:E85" si="7">D74/2000</f>
        <v>1.2496007386073043</v>
      </c>
      <c r="F74" s="494">
        <f t="shared" ref="F74:F86" si="8" xml:space="preserve"> D74/$B$7</f>
        <v>4308.9680641631185</v>
      </c>
      <c r="G74" s="494">
        <f t="shared" ref="G74:G86" si="9" xml:space="preserve"> E74/$B$7</f>
        <v>2.1544840320815593</v>
      </c>
    </row>
    <row r="75" spans="1:7" s="349" customFormat="1">
      <c r="A75" s="347" t="s">
        <v>822</v>
      </c>
      <c r="B75" s="347">
        <f t="shared" si="4"/>
        <v>42637.310469553617</v>
      </c>
      <c r="C75" s="348">
        <f t="shared" si="5"/>
        <v>1006.4813847018813</v>
      </c>
      <c r="D75" s="348">
        <f t="shared" si="6"/>
        <v>21610.534836340354</v>
      </c>
      <c r="E75" s="348">
        <f t="shared" si="7"/>
        <v>10.805267418170176</v>
      </c>
      <c r="F75" s="494">
        <f t="shared" si="8"/>
        <v>37259.542821276475</v>
      </c>
      <c r="G75" s="494">
        <f t="shared" si="9"/>
        <v>18.629771410638238</v>
      </c>
    </row>
    <row r="76" spans="1:7" s="349" customFormat="1">
      <c r="A76" s="347" t="s">
        <v>849</v>
      </c>
      <c r="B76" s="347">
        <f t="shared" si="4"/>
        <v>30247.606509151065</v>
      </c>
      <c r="C76" s="348">
        <f t="shared" si="5"/>
        <v>1225.6756252451305</v>
      </c>
      <c r="D76" s="348">
        <f t="shared" si="6"/>
        <v>15479.24918589662</v>
      </c>
      <c r="E76" s="348">
        <f t="shared" si="7"/>
        <v>7.7396245929483101</v>
      </c>
      <c r="F76" s="494">
        <f t="shared" si="8"/>
        <v>26688.360665339002</v>
      </c>
      <c r="G76" s="494">
        <f t="shared" si="9"/>
        <v>13.344180332669501</v>
      </c>
    </row>
    <row r="77" spans="1:7" s="349" customFormat="1" ht="12" customHeight="1">
      <c r="A77" s="347" t="s">
        <v>824</v>
      </c>
      <c r="B77" s="347">
        <f t="shared" si="4"/>
        <v>5152.9743768778462</v>
      </c>
      <c r="C77" s="348">
        <f t="shared" si="5"/>
        <v>173.63972729940497</v>
      </c>
      <c r="D77" s="348">
        <f t="shared" si="6"/>
        <v>2626.8427093557507</v>
      </c>
      <c r="E77" s="348">
        <f t="shared" si="7"/>
        <v>1.3134213546778752</v>
      </c>
      <c r="F77" s="494">
        <f t="shared" si="8"/>
        <v>4529.0391540616392</v>
      </c>
      <c r="G77" s="494">
        <f t="shared" si="9"/>
        <v>2.2645195770308195</v>
      </c>
    </row>
    <row r="78" spans="1:7" s="349" customFormat="1">
      <c r="A78" s="347" t="s">
        <v>825</v>
      </c>
      <c r="B78" s="347">
        <f t="shared" si="4"/>
        <v>1596.4077880528607</v>
      </c>
      <c r="C78" s="348">
        <f t="shared" si="5"/>
        <v>113.60997814171209</v>
      </c>
      <c r="D78" s="348">
        <f t="shared" si="6"/>
        <v>831.15078768752687</v>
      </c>
      <c r="E78" s="348">
        <f t="shared" si="7"/>
        <v>0.41557539384376346</v>
      </c>
      <c r="F78" s="494">
        <f t="shared" si="8"/>
        <v>1433.0185994612534</v>
      </c>
      <c r="G78" s="494">
        <f t="shared" si="9"/>
        <v>0.71650929973062671</v>
      </c>
    </row>
    <row r="79" spans="1:7" s="349" customFormat="1">
      <c r="A79" s="347" t="s">
        <v>826</v>
      </c>
      <c r="B79" s="347">
        <f t="shared" si="4"/>
        <v>2408.4524633383035</v>
      </c>
      <c r="C79" s="348">
        <f t="shared" si="5"/>
        <v>787.20975115747467</v>
      </c>
      <c r="D79" s="348">
        <f t="shared" si="6"/>
        <v>1432.5170595048194</v>
      </c>
      <c r="E79" s="348">
        <f t="shared" si="7"/>
        <v>0.71625852975240967</v>
      </c>
      <c r="F79" s="494">
        <f t="shared" si="8"/>
        <v>2469.8569991462405</v>
      </c>
      <c r="G79" s="494">
        <f t="shared" si="9"/>
        <v>1.2349284995731202</v>
      </c>
    </row>
    <row r="80" spans="1:7" s="349" customFormat="1">
      <c r="A80" s="749" t="s">
        <v>827</v>
      </c>
      <c r="B80" s="347">
        <f t="shared" si="4"/>
        <v>57.097120115886817</v>
      </c>
      <c r="C80" s="348">
        <f t="shared" si="5"/>
        <v>24.327116015020358</v>
      </c>
      <c r="D80" s="348">
        <f t="shared" si="6"/>
        <v>35.60342370229931</v>
      </c>
      <c r="E80" s="348">
        <f t="shared" si="7"/>
        <v>1.7801711851149656E-2</v>
      </c>
      <c r="F80" s="494">
        <f t="shared" si="8"/>
        <v>61.385213279826402</v>
      </c>
      <c r="G80" s="494">
        <f t="shared" si="9"/>
        <v>3.0692606639913203E-2</v>
      </c>
    </row>
    <row r="81" spans="1:7" s="349" customFormat="1">
      <c r="A81" s="749" t="s">
        <v>828</v>
      </c>
      <c r="B81" s="347">
        <f t="shared" si="4"/>
        <v>125.46839009177501</v>
      </c>
      <c r="C81" s="348">
        <f t="shared" si="5"/>
        <v>30.457452716614366</v>
      </c>
      <c r="D81" s="348">
        <f t="shared" si="6"/>
        <v>71.566856333705672</v>
      </c>
      <c r="E81" s="348">
        <f t="shared" si="7"/>
        <v>3.5783428166852836E-2</v>
      </c>
      <c r="F81" s="494">
        <f t="shared" si="8"/>
        <v>123.39113160983737</v>
      </c>
      <c r="G81" s="494">
        <f t="shared" si="9"/>
        <v>6.1695565804918688E-2</v>
      </c>
    </row>
    <row r="82" spans="1:7" s="349" customFormat="1">
      <c r="A82" s="347" t="s">
        <v>829</v>
      </c>
      <c r="B82" s="347">
        <f t="shared" si="4"/>
        <v>31515.741288458736</v>
      </c>
      <c r="C82" s="348">
        <f t="shared" si="5"/>
        <v>3350.5839606552427</v>
      </c>
      <c r="D82" s="348">
        <f t="shared" si="6"/>
        <v>16729.539992819387</v>
      </c>
      <c r="E82" s="348">
        <f t="shared" si="7"/>
        <v>8.3647699964096933</v>
      </c>
      <c r="F82" s="494">
        <f t="shared" si="8"/>
        <v>28844.034470378258</v>
      </c>
      <c r="G82" s="494">
        <f t="shared" si="9"/>
        <v>14.422017235189127</v>
      </c>
    </row>
    <row r="83" spans="1:7" s="349" customFormat="1">
      <c r="A83" s="347" t="s">
        <v>830</v>
      </c>
      <c r="B83" s="347">
        <f t="shared" si="4"/>
        <v>123.36587322447835</v>
      </c>
      <c r="C83" s="348">
        <f t="shared" si="5"/>
        <v>30.183064603055104</v>
      </c>
      <c r="D83" s="348">
        <f t="shared" si="6"/>
        <v>70.436025347125153</v>
      </c>
      <c r="E83" s="348">
        <f t="shared" si="7"/>
        <v>3.5218012673562574E-2</v>
      </c>
      <c r="F83" s="494">
        <f t="shared" si="8"/>
        <v>121.44142301228476</v>
      </c>
      <c r="G83" s="494">
        <f t="shared" si="9"/>
        <v>6.0720711506142375E-2</v>
      </c>
    </row>
    <row r="84" spans="1:7" s="419" customFormat="1">
      <c r="A84" s="517" t="s">
        <v>831</v>
      </c>
      <c r="B84" s="517">
        <f t="shared" si="4"/>
        <v>24113683.55688484</v>
      </c>
      <c r="C84" s="516">
        <f t="shared" si="5"/>
        <v>1521717.4793071679</v>
      </c>
      <c r="D84" s="516">
        <f t="shared" si="6"/>
        <v>12498139.847441498</v>
      </c>
      <c r="E84" s="516">
        <f t="shared" si="7"/>
        <v>6249.0699237207491</v>
      </c>
      <c r="F84" s="630">
        <f t="shared" si="8"/>
        <v>21548516.978347413</v>
      </c>
      <c r="G84" s="494">
        <f t="shared" si="9"/>
        <v>10774.258489173706</v>
      </c>
    </row>
    <row r="85" spans="1:7" s="419" customFormat="1">
      <c r="A85" s="517" t="s">
        <v>850</v>
      </c>
      <c r="B85" s="517">
        <f>B84+B74*GREET1_Import_Export!$B$62/GREET1_Import_Export!$B$65+B75*GREET1_Import_Export!$B$63/GREET1_Import_Export!$B$65</f>
        <v>24195943.588323805</v>
      </c>
      <c r="C85" s="516">
        <f>C84+C74*GREET1_Import_Export!$B$62/GREET1_Import_Export!$B$65+C75*GREET1_Import_Export!$B$63/GREET1_Import_Export!$B$65</f>
        <v>1523850.4934572147</v>
      </c>
      <c r="D85" s="516">
        <f t="shared" si="6"/>
        <v>12539888.437264495</v>
      </c>
      <c r="E85" s="516">
        <f t="shared" si="7"/>
        <v>6269.9442186322476</v>
      </c>
      <c r="F85" s="630">
        <f t="shared" si="8"/>
        <v>21620497.305628441</v>
      </c>
      <c r="G85" s="494">
        <f t="shared" si="9"/>
        <v>10810.24865281422</v>
      </c>
    </row>
    <row r="86" spans="1:7" s="419" customFormat="1">
      <c r="A86" s="668" t="s">
        <v>851</v>
      </c>
      <c r="B86" s="668">
        <f>B85+SUMPRODUCT(B82:B83,GREET1_Import_Export!$B$51:$B$52)+SUMPRODUCT(B74:B76,GREET1_Import_Export!$B$55:$B$57)+SUMPRODUCT(B80:B81,GREET1_Import_Export!$B$58:$B$59)</f>
        <v>25174107.783382054</v>
      </c>
      <c r="C86" s="752">
        <f>C85+SUMPRODUCT(C82:C83,GREET1_Import_Export!$B$51:$B$52)+SUMPRODUCT(C74:C76,GREET1_Import_Export!$B$55:$B$57)+SUMPRODUCT(C80:C81,GREET1_Import_Export!$B$58:$B$59)</f>
        <v>1632366.5243966815</v>
      </c>
      <c r="D86" s="752">
        <f t="shared" si="6"/>
        <v>13060440.183766065</v>
      </c>
      <c r="E86" s="752">
        <f>E85+SUMPRODUCT(E82:E83,GREET1_Import_Export!$B$51:$B$52)+SUMPRODUCT(E74:E76,GREET1_Import_Export!$B$55:$B$57)+SUMPRODUCT(E80:E81,GREET1_Import_Export!$B$58:$B$59)</f>
        <v>6530.2200918830322</v>
      </c>
      <c r="F86" s="756">
        <f t="shared" si="8"/>
        <v>22518000.316838045</v>
      </c>
      <c r="G86" s="504">
        <f t="shared" si="9"/>
        <v>11259.000158419021</v>
      </c>
    </row>
    <row r="87" spans="1:7" s="349" customFormat="1">
      <c r="A87" s="758" t="s">
        <v>1031</v>
      </c>
      <c r="B87" s="347"/>
      <c r="C87" s="348"/>
      <c r="D87" s="815" t="s">
        <v>845</v>
      </c>
      <c r="E87" s="710" t="s">
        <v>846</v>
      </c>
      <c r="F87" s="2653" t="s">
        <v>845</v>
      </c>
      <c r="G87" s="679" t="s">
        <v>846</v>
      </c>
    </row>
    <row r="88" spans="1:7" s="349" customFormat="1">
      <c r="A88" s="347" t="s">
        <v>821</v>
      </c>
      <c r="B88" s="347">
        <f t="shared" ref="B88:B95" si="10">SUM(B55:C55)</f>
        <v>684.49214537905198</v>
      </c>
      <c r="C88" s="348">
        <f t="shared" ref="C88:C95" si="11">SUM(D55:E55)</f>
        <v>13.27820520854697</v>
      </c>
      <c r="D88" s="348">
        <f t="shared" ref="D88:D95" si="12">(B88*$B$5+C88*$B$7*$C$5)</f>
        <v>346.09675220000463</v>
      </c>
      <c r="E88" s="348">
        <f t="shared" ref="E88:E95" si="13">D88/2000</f>
        <v>0.17304837610000232</v>
      </c>
      <c r="F88" s="494">
        <f t="shared" ref="F88:G95" si="14" xml:space="preserve"> D88/$B$7</f>
        <v>596.71853827587006</v>
      </c>
      <c r="G88" s="494">
        <f t="shared" si="14"/>
        <v>0.29835926913793503</v>
      </c>
    </row>
    <row r="89" spans="1:7" s="349" customFormat="1">
      <c r="A89" s="347" t="s">
        <v>822</v>
      </c>
      <c r="B89" s="347">
        <f t="shared" si="10"/>
        <v>550.61361693227445</v>
      </c>
      <c r="C89" s="348">
        <f t="shared" si="11"/>
        <v>78.849415853560572</v>
      </c>
      <c r="D89" s="348">
        <f t="shared" si="12"/>
        <v>298.17313906366979</v>
      </c>
      <c r="E89" s="348">
        <f t="shared" si="13"/>
        <v>0.14908656953183488</v>
      </c>
      <c r="F89" s="494">
        <f t="shared" si="14"/>
        <v>514.09161907529278</v>
      </c>
      <c r="G89" s="494">
        <f t="shared" si="14"/>
        <v>0.25704580953764639</v>
      </c>
    </row>
    <row r="90" spans="1:7" s="349" customFormat="1">
      <c r="A90" s="347" t="s">
        <v>823</v>
      </c>
      <c r="B90" s="347">
        <f t="shared" si="10"/>
        <v>1018.9529235238552</v>
      </c>
      <c r="C90" s="348">
        <f t="shared" si="11"/>
        <v>232.84170677031432</v>
      </c>
      <c r="D90" s="348">
        <f t="shared" si="12"/>
        <v>577.0005567253188</v>
      </c>
      <c r="E90" s="348">
        <f t="shared" si="13"/>
        <v>0.2885002783626594</v>
      </c>
      <c r="F90" s="494">
        <f t="shared" si="14"/>
        <v>994.8285460781359</v>
      </c>
      <c r="G90" s="494">
        <f t="shared" si="14"/>
        <v>0.49741427303906799</v>
      </c>
    </row>
    <row r="91" spans="1:7" s="349" customFormat="1">
      <c r="A91" s="749" t="s">
        <v>824</v>
      </c>
      <c r="B91" s="347">
        <f t="shared" si="10"/>
        <v>166.08296955096017</v>
      </c>
      <c r="C91" s="348">
        <f t="shared" si="11"/>
        <v>31.215020777814537</v>
      </c>
      <c r="D91" s="348">
        <f t="shared" si="12"/>
        <v>92.093840801046298</v>
      </c>
      <c r="E91" s="348">
        <f t="shared" si="13"/>
        <v>4.6046920400523147E-2</v>
      </c>
      <c r="F91" s="494">
        <f t="shared" si="14"/>
        <v>158.782484139735</v>
      </c>
      <c r="G91" s="494">
        <f t="shared" si="14"/>
        <v>7.9391242069867501E-2</v>
      </c>
    </row>
    <row r="92" spans="1:7" s="349" customFormat="1">
      <c r="A92" s="347" t="s">
        <v>825</v>
      </c>
      <c r="B92" s="347">
        <f t="shared" si="10"/>
        <v>144.06962628703067</v>
      </c>
      <c r="C92" s="348">
        <f t="shared" si="11"/>
        <v>27.439917877807176</v>
      </c>
      <c r="D92" s="348">
        <f t="shared" si="12"/>
        <v>79.992389328079412</v>
      </c>
      <c r="E92" s="348">
        <f t="shared" si="13"/>
        <v>3.9996194664039704E-2</v>
      </c>
      <c r="F92" s="494">
        <f t="shared" si="14"/>
        <v>137.91791263461968</v>
      </c>
      <c r="G92" s="494">
        <f t="shared" si="14"/>
        <v>6.8958956317309833E-2</v>
      </c>
    </row>
    <row r="93" spans="1:7" s="349" customFormat="1">
      <c r="A93" s="749" t="s">
        <v>826</v>
      </c>
      <c r="B93" s="347">
        <f t="shared" si="10"/>
        <v>574.96537007365407</v>
      </c>
      <c r="C93" s="348">
        <f t="shared" si="11"/>
        <v>229.48682918610751</v>
      </c>
      <c r="D93" s="348">
        <f t="shared" si="12"/>
        <v>354.03386550079824</v>
      </c>
      <c r="E93" s="348">
        <f t="shared" si="13"/>
        <v>0.17701693275039912</v>
      </c>
      <c r="F93" s="494">
        <f t="shared" si="14"/>
        <v>610.40321638068667</v>
      </c>
      <c r="G93" s="494">
        <f t="shared" si="14"/>
        <v>0.30520160819034331</v>
      </c>
    </row>
    <row r="94" spans="1:7" s="349" customFormat="1">
      <c r="A94" s="347" t="s">
        <v>827</v>
      </c>
      <c r="B94" s="347">
        <f t="shared" si="10"/>
        <v>15.293375764578453</v>
      </c>
      <c r="C94" s="348">
        <f t="shared" si="11"/>
        <v>1.4476526555509051</v>
      </c>
      <c r="D94" s="348">
        <f t="shared" si="12"/>
        <v>8.0665071523989891</v>
      </c>
      <c r="E94" s="348">
        <f t="shared" si="13"/>
        <v>4.0332535761994949E-3</v>
      </c>
      <c r="F94" s="494">
        <f t="shared" si="14"/>
        <v>13.907770952412051</v>
      </c>
      <c r="G94" s="494">
        <f t="shared" si="14"/>
        <v>6.9538854762060259E-3</v>
      </c>
    </row>
    <row r="95" spans="1:7" s="349" customFormat="1">
      <c r="A95" s="501" t="s">
        <v>828</v>
      </c>
      <c r="B95" s="503">
        <f t="shared" si="10"/>
        <v>30.198183678915061</v>
      </c>
      <c r="C95" s="502">
        <f t="shared" si="11"/>
        <v>7.8010659624559846</v>
      </c>
      <c r="D95" s="502">
        <f t="shared" si="12"/>
        <v>17.361400968569765</v>
      </c>
      <c r="E95" s="502">
        <f t="shared" si="13"/>
        <v>8.6807004842848826E-3</v>
      </c>
      <c r="F95" s="504">
        <f t="shared" si="14"/>
        <v>29.93344994580994</v>
      </c>
      <c r="G95" s="504">
        <f t="shared" si="14"/>
        <v>1.4966724972904971E-2</v>
      </c>
    </row>
  </sheetData>
  <mergeCells count="6">
    <mergeCell ref="F65:G65"/>
    <mergeCell ref="B18:C18"/>
    <mergeCell ref="D18:E18"/>
    <mergeCell ref="D65:E65"/>
    <mergeCell ref="B20:C20"/>
    <mergeCell ref="D20:E20"/>
  </mergeCells>
  <pageMargins left="0.75" right="0.75" top="1" bottom="1" header="0.5" footer="0.5"/>
  <pageSetup orientation="portrait" horizontalDpi="300" verticalDpi="300" r:id="rId1"/>
  <headerFooter alignWithMargins="0"/>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pageSetUpPr autoPageBreaks="0"/>
  </sheetPr>
  <dimension ref="A1:H85"/>
  <sheetViews>
    <sheetView showGridLines="0" zoomScale="85" zoomScaleNormal="85" workbookViewId="0"/>
  </sheetViews>
  <sheetFormatPr defaultColWidth="9.140625" defaultRowHeight="12.75"/>
  <cols>
    <col min="1" max="1" width="35.42578125" style="5" customWidth="1"/>
    <col min="2" max="2" width="9.140625" style="5"/>
    <col min="3" max="3" width="11.85546875" style="5" customWidth="1"/>
    <col min="4" max="4" width="14.140625" style="5" customWidth="1"/>
    <col min="5" max="5" width="11" style="5" customWidth="1"/>
    <col min="6" max="16384" width="9.140625" style="5"/>
  </cols>
  <sheetData>
    <row r="1" spans="1:7" ht="15.75">
      <c r="A1" s="2" t="s">
        <v>75</v>
      </c>
      <c r="B1" s="64"/>
    </row>
    <row r="2" spans="1:7">
      <c r="A2" s="407"/>
      <c r="B2" s="64"/>
    </row>
    <row r="3" spans="1:7" ht="15">
      <c r="A3" s="75" t="s">
        <v>932</v>
      </c>
      <c r="B3" s="64"/>
    </row>
    <row r="4" spans="1:7">
      <c r="A4" s="393" t="s">
        <v>769</v>
      </c>
      <c r="B4" s="533">
        <v>1</v>
      </c>
    </row>
    <row r="5" spans="1:7">
      <c r="A5" s="230" t="s">
        <v>770</v>
      </c>
      <c r="B5" s="588">
        <v>1</v>
      </c>
    </row>
    <row r="6" spans="1:7">
      <c r="A6" s="589" t="s">
        <v>773</v>
      </c>
      <c r="B6" s="428">
        <v>1</v>
      </c>
    </row>
    <row r="8" spans="1:7" ht="15">
      <c r="A8" s="75" t="s">
        <v>933</v>
      </c>
    </row>
    <row r="9" spans="1:7" s="64" customFormat="1" ht="22.5" customHeight="1">
      <c r="A9" s="238"/>
      <c r="B9" s="3060" t="s">
        <v>561</v>
      </c>
      <c r="C9" s="3062"/>
      <c r="D9" s="2983" t="s">
        <v>75</v>
      </c>
      <c r="E9" s="2983"/>
      <c r="F9" s="2982" t="s">
        <v>580</v>
      </c>
      <c r="G9" s="2994"/>
    </row>
    <row r="10" spans="1:7" s="64" customFormat="1" ht="72.75" customHeight="1">
      <c r="A10" s="571"/>
      <c r="B10" s="1673" t="s">
        <v>785</v>
      </c>
      <c r="C10" s="1674" t="s">
        <v>786</v>
      </c>
      <c r="D10" s="1675" t="s">
        <v>785</v>
      </c>
      <c r="E10" s="1675" t="s">
        <v>786</v>
      </c>
      <c r="F10" s="1673" t="s">
        <v>785</v>
      </c>
      <c r="G10" s="1674" t="s">
        <v>786</v>
      </c>
    </row>
    <row r="11" spans="1:7" s="64" customFormat="1" ht="25.5">
      <c r="A11" s="659" t="s">
        <v>797</v>
      </c>
      <c r="B11" s="383">
        <f>Mat_Inputs!B493</f>
        <v>4.3330000000000002</v>
      </c>
      <c r="C11" s="395"/>
      <c r="D11" s="377">
        <f>Mat_Inputs!B494</f>
        <v>108.31399999999999</v>
      </c>
      <c r="F11" s="383">
        <f>Mat_Inputs!B495</f>
        <v>0</v>
      </c>
      <c r="G11" s="395"/>
    </row>
    <row r="12" spans="1:7" s="64" customFormat="1">
      <c r="A12" s="571" t="s">
        <v>798</v>
      </c>
      <c r="B12" s="416">
        <v>0</v>
      </c>
      <c r="C12" s="395"/>
      <c r="D12" s="382">
        <v>0</v>
      </c>
      <c r="F12" s="416">
        <v>0</v>
      </c>
      <c r="G12" s="395"/>
    </row>
    <row r="13" spans="1:7" s="64" customFormat="1">
      <c r="A13" s="238" t="s">
        <v>799</v>
      </c>
      <c r="B13" s="393"/>
      <c r="C13" s="394"/>
      <c r="D13" s="392"/>
      <c r="E13" s="392"/>
      <c r="F13" s="393"/>
      <c r="G13" s="394"/>
    </row>
    <row r="14" spans="1:7" s="64" customFormat="1">
      <c r="A14" s="230" t="s">
        <v>800</v>
      </c>
      <c r="B14" s="416">
        <v>0</v>
      </c>
      <c r="C14" s="588"/>
      <c r="D14" s="382">
        <v>0</v>
      </c>
      <c r="E14" s="382"/>
      <c r="F14" s="416">
        <v>0</v>
      </c>
      <c r="G14" s="395"/>
    </row>
    <row r="15" spans="1:7" s="64" customFormat="1">
      <c r="A15" s="230" t="s">
        <v>802</v>
      </c>
      <c r="B15" s="416">
        <v>0</v>
      </c>
      <c r="C15" s="395" t="s">
        <v>861</v>
      </c>
      <c r="D15" s="382">
        <v>0</v>
      </c>
      <c r="E15" s="382"/>
      <c r="F15" s="416">
        <v>0</v>
      </c>
      <c r="G15" s="395"/>
    </row>
    <row r="16" spans="1:7" s="64" customFormat="1">
      <c r="A16" s="230" t="s">
        <v>804</v>
      </c>
      <c r="B16" s="416">
        <v>0</v>
      </c>
      <c r="C16" s="588"/>
      <c r="D16" s="382">
        <v>0</v>
      </c>
      <c r="E16" s="382"/>
      <c r="F16" s="416">
        <v>0</v>
      </c>
      <c r="G16" s="395"/>
    </row>
    <row r="17" spans="1:7" s="64" customFormat="1">
      <c r="A17" s="230" t="s">
        <v>805</v>
      </c>
      <c r="B17" s="416">
        <v>0</v>
      </c>
      <c r="C17" s="588"/>
      <c r="D17" s="382">
        <v>0</v>
      </c>
      <c r="E17" s="382"/>
      <c r="F17" s="416">
        <v>0</v>
      </c>
      <c r="G17" s="395"/>
    </row>
    <row r="18" spans="1:7" s="64" customFormat="1">
      <c r="A18" s="589" t="s">
        <v>806</v>
      </c>
      <c r="B18" s="664">
        <f>1-SUM(B14:B17)</f>
        <v>1</v>
      </c>
      <c r="C18" s="428"/>
      <c r="D18" s="368">
        <f>1-SUM(D14:D17)</f>
        <v>1</v>
      </c>
      <c r="E18" s="368"/>
      <c r="F18" s="664">
        <f>1-SUM(F14:F17)</f>
        <v>1</v>
      </c>
      <c r="G18" s="707"/>
    </row>
    <row r="19" spans="1:7" s="64" customFormat="1">
      <c r="A19" s="571" t="s">
        <v>862</v>
      </c>
      <c r="B19" s="230"/>
      <c r="C19" s="395"/>
      <c r="F19" s="230"/>
      <c r="G19" s="395"/>
    </row>
    <row r="20" spans="1:7" s="349" customFormat="1">
      <c r="A20" s="347" t="s">
        <v>800</v>
      </c>
      <c r="B20" s="390">
        <f>B$11*B14</f>
        <v>0</v>
      </c>
      <c r="C20" s="348"/>
      <c r="D20" s="389">
        <f>D$11*D14</f>
        <v>0</v>
      </c>
      <c r="F20" s="390">
        <f>F$11*F14</f>
        <v>0</v>
      </c>
      <c r="G20" s="348"/>
    </row>
    <row r="21" spans="1:7" s="349" customFormat="1">
      <c r="A21" s="347" t="s">
        <v>802</v>
      </c>
      <c r="B21" s="390">
        <f>B$11*B15</f>
        <v>0</v>
      </c>
      <c r="C21" s="348"/>
      <c r="D21" s="389">
        <f>D$11*D15</f>
        <v>0</v>
      </c>
      <c r="F21" s="390">
        <f>F$11*F15</f>
        <v>0</v>
      </c>
      <c r="G21" s="348"/>
    </row>
    <row r="22" spans="1:7" s="349" customFormat="1">
      <c r="A22" s="347" t="s">
        <v>804</v>
      </c>
      <c r="B22" s="390">
        <f>B$11*B16</f>
        <v>0</v>
      </c>
      <c r="C22" s="348"/>
      <c r="D22" s="389">
        <f>D$11*D16</f>
        <v>0</v>
      </c>
      <c r="F22" s="390">
        <f>F$11*F16</f>
        <v>0</v>
      </c>
      <c r="G22" s="348"/>
    </row>
    <row r="23" spans="1:7" s="349" customFormat="1">
      <c r="A23" s="347" t="s">
        <v>805</v>
      </c>
      <c r="B23" s="390">
        <f>B$11*B17</f>
        <v>0</v>
      </c>
      <c r="C23" s="348"/>
      <c r="D23" s="389">
        <f>D$11*D17</f>
        <v>0</v>
      </c>
      <c r="F23" s="390">
        <f>F$11*F17</f>
        <v>0</v>
      </c>
      <c r="G23" s="348"/>
    </row>
    <row r="24" spans="1:7" s="349" customFormat="1">
      <c r="A24" s="347" t="s">
        <v>806</v>
      </c>
      <c r="B24" s="390">
        <f>B$11*B18</f>
        <v>4.3330000000000002</v>
      </c>
      <c r="C24" s="348"/>
      <c r="D24" s="389">
        <f>D$11*D18</f>
        <v>108.31399999999999</v>
      </c>
      <c r="F24" s="390">
        <f>F$11*F18</f>
        <v>0</v>
      </c>
      <c r="G24" s="348"/>
    </row>
    <row r="25" spans="1:7" s="349" customFormat="1">
      <c r="A25" s="510" t="s">
        <v>816</v>
      </c>
      <c r="B25" s="510">
        <f>B$20*(1+(GREET1_Import_Export!$F$179*GREET1_Import_Export!$B180+GREET1_Import_Export!$F180)/1000000)+B$21*(1+(GREET1_Import_Export!$H$179*GREET1_Import_Export!$B180+GREET1_Import_Export!$H180)/1000000)+B$22*(1+GREET1_Import_Export!$B216/1000000)+B$23*(1+GREET1_Import_Export!$B284/1000000)+B$24*(GREET1_Import_Export!$B309+GREET1_Import_Export!$C309)/1000000</f>
        <v>8.7875634557926077</v>
      </c>
      <c r="C25" s="509"/>
      <c r="D25" s="512">
        <f>D$20*(1+(GREET1_Import_Export!$F$179*GREET1_Import_Export!$B180+GREET1_Import_Export!$F180)/1000000)+D$21*(1+(GREET1_Import_Export!$G$179*GREET1_Import_Export!$B180+GREET1_Import_Export!$G180)/1000000)+D$22*(1+GREET1_Import_Export!$B216/1000000)+D$23*(1+GREET1_Import_Export!$B284/1000000)+D$24*(GREET1_Import_Export!$B309+GREET1_Import_Export!$C309)/1000000</f>
        <v>219.66677778691908</v>
      </c>
      <c r="E25" s="512"/>
      <c r="F25" s="510">
        <f>F$20*(1+(GREET1_Import_Export!$F$179*GREET1_Import_Export!$B180+GREET1_Import_Export!$F180)/1000000)+F$21*(1+(GREET1_Import_Export!$G$179*GREET1_Import_Export!$B180+GREET1_Import_Export!$G180)/1000000)+F$22*(1+GREET1_Import_Export!$B216/1000000)+F$23*(1+GREET1_Import_Export!$B284/1000000)+F$24*(GREET1_Import_Export!$B309+GREET1_Import_Export!$C309)/1000000</f>
        <v>0</v>
      </c>
      <c r="G25" s="509"/>
    </row>
    <row r="26" spans="1:7" s="349" customFormat="1">
      <c r="A26" s="347" t="s">
        <v>817</v>
      </c>
      <c r="B26" s="347">
        <f>B$20*(1+(GREET1_Import_Export!$F$179*GREET1_Import_Export!$B181+GREET1_Import_Export!$F181)/1000000)+B$21*(1+(GREET1_Import_Export!$H$179*GREET1_Import_Export!$B181+GREET1_Import_Export!$H181)/1000000)+B$22*(1+GREET1_Import_Export!$B217/1000000)+B$23*(1+GREET1_Import_Export!$B285/1000000)+B$24*(GREET1_Import_Export!$B310+GREET1_Import_Export!$C310)/1000000</f>
        <v>6.9598765464286476</v>
      </c>
      <c r="C26" s="348"/>
      <c r="D26" s="349">
        <f>D$20*(1+(GREET1_Import_Export!$F$179*GREET1_Import_Export!$B181+GREET1_Import_Export!$F181)/1000000)+D$21*(1+(GREET1_Import_Export!$G$179*GREET1_Import_Export!$B181+GREET1_Import_Export!$G181)/1000000)+D$22*(1+GREET1_Import_Export!$B217/1000000)+D$23*(1+GREET1_Import_Export!$B285/1000000)+D$24*(GREET1_Import_Export!$B310+GREET1_Import_Export!$C310)/1000000</f>
        <v>173.97924492265693</v>
      </c>
      <c r="F26" s="347">
        <f>F$20*(1+(GREET1_Import_Export!$F$179*GREET1_Import_Export!$B181+GREET1_Import_Export!$F181)/1000000)+F$21*(1+(GREET1_Import_Export!$G$179*GREET1_Import_Export!$B181+GREET1_Import_Export!$G181)/1000000)+F$22*(1+GREET1_Import_Export!$B217/1000000)+F$23*(1+GREET1_Import_Export!$B285/1000000)+F$24*(GREET1_Import_Export!$B310+GREET1_Import_Export!$C310)/1000000</f>
        <v>0</v>
      </c>
      <c r="G26" s="348"/>
    </row>
    <row r="27" spans="1:7" s="349" customFormat="1">
      <c r="A27" s="347" t="s">
        <v>805</v>
      </c>
      <c r="B27" s="347">
        <f>B$20*(GREET1_Import_Export!$F$179*GREET1_Import_Export!$B182+GREET1_Import_Export!$F182)/1000000+B$21*(GREET1_Import_Export!$H$179*GREET1_Import_Export!$B182+GREET1_Import_Export!$H182)/1000000+B$22*GREET1_Import_Export!$B218/1000000+B$23*(1+GREET1_Import_Export!$B286/1000000)+B$24*(GREET1_Import_Export!$B311+GREET1_Import_Export!$C311)/1000000</f>
        <v>2.416062324434177</v>
      </c>
      <c r="C27" s="348"/>
      <c r="D27" s="349">
        <f>D$20*(GREET1_Import_Export!$F$179*GREET1_Import_Export!$B182+GREET1_Import_Export!$F182)/1000000+D$21*(GREET1_Import_Export!$G$179*GREET1_Import_Export!$B182+GREET1_Import_Export!$G182)/1000000+D$22*GREET1_Import_Export!$B218/1000000+D$23*(1+GREET1_Import_Export!$B286/1000000)+D$24*(GREET1_Import_Export!$B311+GREET1_Import_Export!$C311)/1000000</f>
        <v>60.395424557757536</v>
      </c>
      <c r="F27" s="347">
        <f>F$20*(GREET1_Import_Export!$F$179*GREET1_Import_Export!$B182+GREET1_Import_Export!$F182)/1000000+F$21*(GREET1_Import_Export!$G$179*GREET1_Import_Export!$B182+GREET1_Import_Export!$G182)/1000000+F$22*GREET1_Import_Export!$B218/1000000+F$23*(1+GREET1_Import_Export!$B286/1000000)+F$24*(GREET1_Import_Export!$B311+GREET1_Import_Export!$C311)/1000000</f>
        <v>0</v>
      </c>
      <c r="G27" s="348"/>
    </row>
    <row r="28" spans="1:7" s="349" customFormat="1">
      <c r="A28" s="347" t="s">
        <v>804</v>
      </c>
      <c r="B28" s="347">
        <f>B26-B27-B29</f>
        <v>4.4682285571029761</v>
      </c>
      <c r="C28" s="348"/>
      <c r="D28" s="349">
        <f>D26-D27-D29</f>
        <v>111.6943706286757</v>
      </c>
      <c r="F28" s="347">
        <f>F26-F27-F29</f>
        <v>0</v>
      </c>
      <c r="G28" s="348"/>
    </row>
    <row r="29" spans="1:7" s="349" customFormat="1">
      <c r="A29" s="347" t="s">
        <v>818</v>
      </c>
      <c r="B29" s="347">
        <f>B$20*(1+(GREET1_Import_Export!$F$179*GREET1_Import_Export!$B184+GREET1_Import_Export!$F184)/1000000)+B$21*(1+(GREET1_Import_Export!$H$179*GREET1_Import_Export!$B184+GREET1_Import_Export!$H184)/1000000)+B$22*GREET1_Import_Export!$B220/1000000+B$23*GREET1_Import_Export!$B288/1000000+B$24*(GREET1_Import_Export!$B313+GREET1_Import_Export!$C313)/1000000</f>
        <v>7.5585664891493903E-2</v>
      </c>
      <c r="C29" s="348"/>
      <c r="D29" s="349">
        <f>D$20*(1+(GREET1_Import_Export!$F$179*GREET1_Import_Export!$B184+GREET1_Import_Export!$F184)/1000000)+D$21*(1+(GREET1_Import_Export!$G$179*GREET1_Import_Export!$B184+GREET1_Import_Export!$G184)/1000000)+D$22*GREET1_Import_Export!$B220/1000000+D$23*GREET1_Import_Export!$B288/1000000+D$24*(GREET1_Import_Export!$B313+GREET1_Import_Export!$C313)/1000000</f>
        <v>1.8894497362236946</v>
      </c>
      <c r="F29" s="347">
        <f>F$20*(1+(GREET1_Import_Export!$F$179*GREET1_Import_Export!$B184+GREET1_Import_Export!$F184)/1000000)+F$21*(1+(GREET1_Import_Export!$G$179*GREET1_Import_Export!$B184+GREET1_Import_Export!$G184)/1000000)+F$22*GREET1_Import_Export!$B220/1000000+F$23*GREET1_Import_Export!$B288/1000000+F$24*(GREET1_Import_Export!$B313+GREET1_Import_Export!$C313)/1000000</f>
        <v>0</v>
      </c>
      <c r="G29" s="348"/>
    </row>
    <row r="30" spans="1:7" s="419" customFormat="1">
      <c r="A30" s="160" t="s">
        <v>819</v>
      </c>
      <c r="B30" s="650">
        <f>B$20*((GREET1_Import_Export!$F$179*GREET1_Import_Export!$B185+GREET1_Import_Export!$F185))+B$21*((GREET1_Import_Export!$H$179*GREET1_Import_Export!$B185+GREET1_Import_Export!$H185))+B$22*GREET1_Import_Export!$B221+B$23*GREET1_Import_Export!$B289+B$24*(GREET1_Import_Export!$B314+GREET1_Import_Export!$C314)</f>
        <v>470.93371677308016</v>
      </c>
      <c r="C30" s="752"/>
      <c r="D30" s="47">
        <f>D$20*((GREET1_Import_Export!$F$179*GREET1_Import_Export!$B185+GREET1_Import_Export!$F185))+D$21*((GREET1_Import_Export!$G$179*GREET1_Import_Export!$B185+GREET1_Import_Export!$G185))+D$22*GREET1_Import_Export!$B221+D$23*GREET1_Import_Export!$B289+D$24*(GREET1_Import_Export!$B314+GREET1_Import_Export!$C314)</f>
        <v>11772.147380235265</v>
      </c>
      <c r="E30" s="374"/>
      <c r="F30" s="250">
        <f>F$20*((GREET1_Import_Export!$F$179*GREET1_Import_Export!$B185+GREET1_Import_Export!$F185))+F$21*((GREET1_Import_Export!$G$179*GREET1_Import_Export!$B185+GREET1_Import_Export!$G185))+F$22*GREET1_Import_Export!$B221+F$23*GREET1_Import_Export!$B289+F$24*(GREET1_Import_Export!$B314+GREET1_Import_Export!$C314)</f>
        <v>0</v>
      </c>
      <c r="G30" s="752"/>
    </row>
    <row r="31" spans="1:7" s="349" customFormat="1">
      <c r="A31" s="699" t="s">
        <v>864</v>
      </c>
      <c r="B31" s="510"/>
      <c r="C31" s="509"/>
      <c r="D31" s="512"/>
      <c r="E31" s="512"/>
      <c r="F31" s="510"/>
      <c r="G31" s="509"/>
    </row>
    <row r="32" spans="1:7" s="349" customFormat="1">
      <c r="A32" s="347" t="s">
        <v>821</v>
      </c>
      <c r="B32" s="347">
        <f>B$20*($B$4*GREET1_Import_Export!$K72+GREET1_Import_Export!$F$179*GREET1_Import_Export!$B186+GREET1_Import_Export!$F186)+B$21*(GREET1_Import_Export!$R72+GREET1_Import_Export!$H$179*GREET1_Import_Export!$B186+GREET1_Import_Export!$H186)+B$22*($B$5*GREET1_Import_Export!$B72+GREET1_Import_Export!$B222)+B$23*($B$6*GREET1_Import_Export!$AA72+GREET1_Import_Export!$B290)+B$24*(GREET1_Import_Export!$B315+GREET1_Import_Export!$C315)</f>
        <v>60.041811510841086</v>
      </c>
      <c r="C32" s="348"/>
      <c r="D32" s="349">
        <f>D$20*($B$4*GREET1_Import_Export!$K72+GREET1_Import_Export!$F$179*GREET1_Import_Export!$B186+GREET1_Import_Export!$F186)+D$21*(GREET1_Import_Export!$O72+GREET1_Import_Export!$G$179*GREET1_Import_Export!$B186+GREET1_Import_Export!$G186)+D$22*($B$5*GREET1_Import_Export!$B72+GREET1_Import_Export!$B222)+D$23*($B$6*GREET1_Import_Export!$AA72+GREET1_Import_Export!$B290)+D$24*(GREET1_Import_Export!$B315+GREET1_Import_Export!$C315)</f>
        <v>1500.8928622167646</v>
      </c>
      <c r="F32" s="347">
        <f>F$20*($B$4*GREET1_Import_Export!$K72+GREET1_Import_Export!$F$179*GREET1_Import_Export!$B186+GREET1_Import_Export!$F186)+F$21*(GREET1_Import_Export!$O72+GREET1_Import_Export!$G$179*GREET1_Import_Export!$B186+GREET1_Import_Export!$G186)+F$22*($B$5*GREET1_Import_Export!$B72+GREET1_Import_Export!$B222)+F$23*($B$6*GREET1_Import_Export!$AA72+GREET1_Import_Export!$B290)+F$24*(GREET1_Import_Export!$B315+GREET1_Import_Export!$C315)</f>
        <v>0</v>
      </c>
      <c r="G32" s="348"/>
    </row>
    <row r="33" spans="1:7" s="349" customFormat="1">
      <c r="A33" s="347" t="s">
        <v>822</v>
      </c>
      <c r="B33" s="347">
        <f>B$20*($B$4*GREET1_Import_Export!$K73+GREET1_Import_Export!$F$179*GREET1_Import_Export!$B187+GREET1_Import_Export!$F187)+B$21*(GREET1_Import_Export!$R73+GREET1_Import_Export!$H$179*GREET1_Import_Export!$B187+GREET1_Import_Export!$H187)+B$22*($B$5*GREET1_Import_Export!$B73+GREET1_Import_Export!$B223)+B$23*($B$6*GREET1_Import_Export!$AA73+GREET1_Import_Export!$B291)+B$24*(GREET1_Import_Export!$B316+GREET1_Import_Export!$C316)</f>
        <v>162.29237473796309</v>
      </c>
      <c r="C33" s="348"/>
      <c r="D33" s="349">
        <f>D$20*($B$4*GREET1_Import_Export!$K73+GREET1_Import_Export!$F$179*GREET1_Import_Export!$B187+GREET1_Import_Export!$F187)+D$21*(GREET1_Import_Export!$O73+GREET1_Import_Export!$G$179*GREET1_Import_Export!$B187+GREET1_Import_Export!$G187)+D$22*($B$5*GREET1_Import_Export!$B73+GREET1_Import_Export!$B223)+D$23*($B$6*GREET1_Import_Export!$AA73+GREET1_Import_Export!$B291)+D$24*(GREET1_Import_Export!$B316+GREET1_Import_Export!$C316)</f>
        <v>4056.8973638051543</v>
      </c>
      <c r="F33" s="347">
        <f>F$20*($B$4*GREET1_Import_Export!$K73+GREET1_Import_Export!$F$179*GREET1_Import_Export!$B187+GREET1_Import_Export!$F187)+F$21*(GREET1_Import_Export!$O73+GREET1_Import_Export!$G$179*GREET1_Import_Export!$B187+GREET1_Import_Export!$G187)+F$22*($B$5*GREET1_Import_Export!$B73+GREET1_Import_Export!$B223)+F$23*($B$6*GREET1_Import_Export!$AA73+GREET1_Import_Export!$B291)+F$24*(GREET1_Import_Export!$B316+GREET1_Import_Export!$C316)</f>
        <v>0</v>
      </c>
      <c r="G33" s="348"/>
    </row>
    <row r="34" spans="1:7" s="349" customFormat="1">
      <c r="A34" s="347" t="s">
        <v>823</v>
      </c>
      <c r="B34" s="347">
        <f>B$20*($B$4*GREET1_Import_Export!$K74+GREET1_Import_Export!$F$179*GREET1_Import_Export!$B188+GREET1_Import_Export!$F188)+B$21*(GREET1_Import_Export!$R74+GREET1_Import_Export!$H$179*GREET1_Import_Export!$B188+GREET1_Import_Export!$H188)+B$22*($B$5*GREET1_Import_Export!$B74+GREET1_Import_Export!$B224)+B$23*($B$6*GREET1_Import_Export!$AA74+GREET1_Import_Export!$B292)+B$24*(GREET1_Import_Export!$B317+GREET1_Import_Export!$C317)</f>
        <v>334.3323782726697</v>
      </c>
      <c r="C34" s="348"/>
      <c r="D34" s="349">
        <f>D$20*($B$4*GREET1_Import_Export!$K74+GREET1_Import_Export!$F$179*GREET1_Import_Export!$B188+GREET1_Import_Export!$F188)+D$21*(GREET1_Import_Export!$O74+GREET1_Import_Export!$G$179*GREET1_Import_Export!$B188+GREET1_Import_Export!$G188)+D$22*($B$5*GREET1_Import_Export!$B74+GREET1_Import_Export!$B224)+D$23*($B$6*GREET1_Import_Export!$AA74+GREET1_Import_Export!$B292)+D$24*(GREET1_Import_Export!$B317+GREET1_Import_Export!$C317)</f>
        <v>8357.4607016445734</v>
      </c>
      <c r="F34" s="347">
        <f>F$20*($B$4*GREET1_Import_Export!$K74+GREET1_Import_Export!$F$179*GREET1_Import_Export!$B188+GREET1_Import_Export!$F188)+F$21*(GREET1_Import_Export!$O74+GREET1_Import_Export!$G$179*GREET1_Import_Export!$B188+GREET1_Import_Export!$G188)+F$22*($B$5*GREET1_Import_Export!$B74+GREET1_Import_Export!$B224)+F$23*($B$6*GREET1_Import_Export!$AA74+GREET1_Import_Export!$B292)+F$24*(GREET1_Import_Export!$B317+GREET1_Import_Export!$C317)</f>
        <v>0</v>
      </c>
      <c r="G34" s="348"/>
    </row>
    <row r="35" spans="1:7" s="349" customFormat="1">
      <c r="A35" s="347" t="s">
        <v>824</v>
      </c>
      <c r="B35" s="347">
        <f>B$20*($B$4*GREET1_Import_Export!$K75+GREET1_Import_Export!$F$179*GREET1_Import_Export!$B189+GREET1_Import_Export!$F189)+B$21*(GREET1_Import_Export!$R75+GREET1_Import_Export!$H$179*GREET1_Import_Export!$B189+GREET1_Import_Export!$H189)+B$22*($B$5*GREET1_Import_Export!$B75+GREET1_Import_Export!$B225)+B$23*($B$6*GREET1_Import_Export!$AA75+GREET1_Import_Export!$B293)+B$24*(GREET1_Import_Export!$B318+GREET1_Import_Export!$C318)</f>
        <v>53.518679836863612</v>
      </c>
      <c r="C35" s="348"/>
      <c r="D35" s="349">
        <f>D$20*($B$4*GREET1_Import_Export!$K75+GREET1_Import_Export!$F$179*GREET1_Import_Export!$B189+GREET1_Import_Export!$F189)+D$21*(GREET1_Import_Export!$O75+GREET1_Import_Export!$G$179*GREET1_Import_Export!$B189+GREET1_Import_Export!$G189)+D$22*($B$5*GREET1_Import_Export!$B75+GREET1_Import_Export!$B225)+D$23*($B$6*GREET1_Import_Export!$AA75+GREET1_Import_Export!$B293)+D$24*(GREET1_Import_Export!$B318+GREET1_Import_Export!$C318)</f>
        <v>1337.8311303600381</v>
      </c>
      <c r="F35" s="347">
        <f>F$20*($B$4*GREET1_Import_Export!$K75+GREET1_Import_Export!$F$179*GREET1_Import_Export!$B189+GREET1_Import_Export!$F189)+F$21*(GREET1_Import_Export!$O75+GREET1_Import_Export!$G$179*GREET1_Import_Export!$B189+GREET1_Import_Export!$G189)+F$22*($B$5*GREET1_Import_Export!$B75+GREET1_Import_Export!$B225)+F$23*($B$6*GREET1_Import_Export!$AA75+GREET1_Import_Export!$B293)+F$24*(GREET1_Import_Export!$B318+GREET1_Import_Export!$C318)</f>
        <v>0</v>
      </c>
      <c r="G35" s="348"/>
    </row>
    <row r="36" spans="1:7" s="349" customFormat="1">
      <c r="A36" s="347" t="s">
        <v>825</v>
      </c>
      <c r="B36" s="347">
        <f>B$20*($B$4*GREET1_Import_Export!$K76+GREET1_Import_Export!$F$179*GREET1_Import_Export!$B190+GREET1_Import_Export!$F190)+B$21*(GREET1_Import_Export!$R76+GREET1_Import_Export!$H$179*GREET1_Import_Export!$B190+GREET1_Import_Export!$H190)+B$22*($B$5*GREET1_Import_Export!$B76+GREET1_Import_Export!$B226)+B$23*($B$6*GREET1_Import_Export!$AA76+GREET1_Import_Export!$B294)+B$24*(GREET1_Import_Export!$B319+GREET1_Import_Export!$C319)</f>
        <v>32.125632447221719</v>
      </c>
      <c r="C36" s="348"/>
      <c r="D36" s="349">
        <f>D$20*($B$4*GREET1_Import_Export!$K76+GREET1_Import_Export!$F$179*GREET1_Import_Export!$B190+GREET1_Import_Export!$F190)+D$21*(GREET1_Import_Export!$O76+GREET1_Import_Export!$G$179*GREET1_Import_Export!$B190+GREET1_Import_Export!$G190)+D$22*($B$5*GREET1_Import_Export!$B76+GREET1_Import_Export!$B226)+D$23*($B$6*GREET1_Import_Export!$AA76+GREET1_Import_Export!$B294)+D$24*(GREET1_Import_Export!$B319+GREET1_Import_Export!$C319)</f>
        <v>803.05925522464179</v>
      </c>
      <c r="F36" s="347">
        <f>F$20*($B$4*GREET1_Import_Export!$K76+GREET1_Import_Export!$F$179*GREET1_Import_Export!$B190+GREET1_Import_Export!$F190)+F$21*(GREET1_Import_Export!$O76+GREET1_Import_Export!$G$179*GREET1_Import_Export!$B190+GREET1_Import_Export!$G190)+F$22*($B$5*GREET1_Import_Export!$B76+GREET1_Import_Export!$B226)+F$23*($B$6*GREET1_Import_Export!$AA76+GREET1_Import_Export!$B294)+F$24*(GREET1_Import_Export!$B319+GREET1_Import_Export!$C319)</f>
        <v>0</v>
      </c>
      <c r="G36" s="348"/>
    </row>
    <row r="37" spans="1:7" s="349" customFormat="1">
      <c r="A37" s="347" t="s">
        <v>826</v>
      </c>
      <c r="B37" s="347">
        <f>B$20*($B$4*GREET1_Import_Export!$K77+GREET1_Import_Export!$F$179*GREET1_Import_Export!$B191+GREET1_Import_Export!$F191)+B$21*(GREET1_Import_Export!$R77+GREET1_Import_Export!$H$179*GREET1_Import_Export!$B191+GREET1_Import_Export!$H191)+B$22*($B$5*GREET1_Import_Export!$B77+GREET1_Import_Export!$B227)+B$23*($B$6*GREET1_Import_Export!$AA77+GREET1_Import_Export!$B295)+B$24*(GREET1_Import_Export!$B320+GREET1_Import_Export!$C320)</f>
        <v>280.71814368493568</v>
      </c>
      <c r="C37" s="348"/>
      <c r="D37" s="349">
        <f>D$20*($B$4*GREET1_Import_Export!$K77+GREET1_Import_Export!$F$179*GREET1_Import_Export!$B191+GREET1_Import_Export!$F191)+D$21*(GREET1_Import_Export!$O77+GREET1_Import_Export!$G$179*GREET1_Import_Export!$B191+GREET1_Import_Export!$G191)+D$22*($B$5*GREET1_Import_Export!$B77+GREET1_Import_Export!$B227)+D$23*($B$6*GREET1_Import_Export!$AA77+GREET1_Import_Export!$B295)+D$24*(GREET1_Import_Export!$B320+GREET1_Import_Export!$C320)</f>
        <v>7017.2409450934956</v>
      </c>
      <c r="F37" s="347">
        <f>F$20*($B$4*GREET1_Import_Export!$K77+GREET1_Import_Export!$F$179*GREET1_Import_Export!$B191+GREET1_Import_Export!$F191)+F$21*(GREET1_Import_Export!$O77+GREET1_Import_Export!$G$179*GREET1_Import_Export!$B191+GREET1_Import_Export!$G191)+F$22*($B$5*GREET1_Import_Export!$B77+GREET1_Import_Export!$B227)+F$23*($B$6*GREET1_Import_Export!$AA77+GREET1_Import_Export!$B295)+F$24*(GREET1_Import_Export!$B320+GREET1_Import_Export!$C320)</f>
        <v>0</v>
      </c>
      <c r="G37" s="348"/>
    </row>
    <row r="38" spans="1:7" s="349" customFormat="1">
      <c r="A38" s="749" t="s">
        <v>827</v>
      </c>
      <c r="B38" s="347">
        <f>B$20*($B$4*GREET1_Import_Export!$K78+GREET1_Import_Export!$F$179*GREET1_Import_Export!$B192+GREET1_Import_Export!$F192)+B$21*(GREET1_Import_Export!$R78+GREET1_Import_Export!$H$179*GREET1_Import_Export!$B192+GREET1_Import_Export!$H192)+B$22*($B$5*GREET1_Import_Export!$B78+GREET1_Import_Export!$B228)+B$23*($B$6*GREET1_Import_Export!$AA78+GREET1_Import_Export!$B296)+B$24*(GREET1_Import_Export!$B321+GREET1_Import_Export!$C321)</f>
        <v>1.9601325143586663</v>
      </c>
      <c r="C38" s="348"/>
      <c r="D38" s="349">
        <f>D$20*($B$4*GREET1_Import_Export!$K78+GREET1_Import_Export!$F$179*GREET1_Import_Export!$B192+GREET1_Import_Export!$F192)+D$21*(GREET1_Import_Export!$O78+GREET1_Import_Export!$G$179*GREET1_Import_Export!$B192+GREET1_Import_Export!$G192)+D$22*($B$5*GREET1_Import_Export!$B78+GREET1_Import_Export!$B228)+D$23*($B$6*GREET1_Import_Export!$AA78+GREET1_Import_Export!$B296)+D$24*(GREET1_Import_Export!$B321+GREET1_Import_Export!$C321)</f>
        <v>48.998336755191453</v>
      </c>
      <c r="F38" s="347">
        <f>F$20*($B$4*GREET1_Import_Export!$K78+GREET1_Import_Export!$F$179*GREET1_Import_Export!$B192+GREET1_Import_Export!$F192)+F$21*(GREET1_Import_Export!$O78+GREET1_Import_Export!$G$179*GREET1_Import_Export!$B192+GREET1_Import_Export!$G192)+F$22*($B$5*GREET1_Import_Export!$B78+GREET1_Import_Export!$B228)+F$23*($B$6*GREET1_Import_Export!$AA78+GREET1_Import_Export!$B296)+F$24*(GREET1_Import_Export!$B321+GREET1_Import_Export!$C321)</f>
        <v>0</v>
      </c>
      <c r="G38" s="348"/>
    </row>
    <row r="39" spans="1:7" s="349" customFormat="1">
      <c r="A39" s="749" t="s">
        <v>828</v>
      </c>
      <c r="B39" s="347">
        <f>B$20*($B$4*GREET1_Import_Export!$K79+GREET1_Import_Export!$F$179*GREET1_Import_Export!$B193+GREET1_Import_Export!$F193)+B$21*(GREET1_Import_Export!$R79+GREET1_Import_Export!$H$179*GREET1_Import_Export!$B193+GREET1_Import_Export!$H193)+B$22*($B$5*GREET1_Import_Export!$B79+GREET1_Import_Export!$B229)+B$23*($B$6*GREET1_Import_Export!$AA79+GREET1_Import_Export!$B297)+B$24*(GREET1_Import_Export!$B322+GREET1_Import_Export!$C322)</f>
        <v>9.3297558867309611</v>
      </c>
      <c r="C39" s="348"/>
      <c r="D39" s="349">
        <f>D$20*($B$4*GREET1_Import_Export!$K79+GREET1_Import_Export!$F$179*GREET1_Import_Export!$B193+GREET1_Import_Export!$F193)+D$21*(GREET1_Import_Export!$O79+GREET1_Import_Export!$G$179*GREET1_Import_Export!$B193+GREET1_Import_Export!$G193)+D$22*($B$5*GREET1_Import_Export!$B79+GREET1_Import_Export!$B229)+D$23*($B$6*GREET1_Import_Export!$AA79+GREET1_Import_Export!$B297)+D$24*(GREET1_Import_Export!$B322+GREET1_Import_Export!$C322)</f>
        <v>233.22021211986552</v>
      </c>
      <c r="F39" s="347">
        <f>F$20*($B$4*GREET1_Import_Export!$K79+GREET1_Import_Export!$F$179*GREET1_Import_Export!$B193+GREET1_Import_Export!$F193)+F$21*(GREET1_Import_Export!$O79+GREET1_Import_Export!$G$179*GREET1_Import_Export!$B193+GREET1_Import_Export!$G193)+F$22*($B$5*GREET1_Import_Export!$B79+GREET1_Import_Export!$B229)+F$23*($B$6*GREET1_Import_Export!$AA79+GREET1_Import_Export!$B297)+F$24*(GREET1_Import_Export!$B322+GREET1_Import_Export!$C322)</f>
        <v>0</v>
      </c>
      <c r="G39" s="348"/>
    </row>
    <row r="40" spans="1:7" s="349" customFormat="1">
      <c r="A40" s="347" t="s">
        <v>829</v>
      </c>
      <c r="B40" s="347">
        <f>B$20*($B$4*GREET1_Import_Export!$K80+GREET1_Import_Export!$F$179*GREET1_Import_Export!$B194+GREET1_Import_Export!$F194)+B$21*(GREET1_Import_Export!$R80+GREET1_Import_Export!$H$179*GREET1_Import_Export!$B194+GREET1_Import_Export!$H194)+B$22*($B$5*GREET1_Import_Export!$B80+GREET1_Import_Export!$B230)+B$23*($B$6*GREET1_Import_Export!$AA80+GREET1_Import_Export!$B298)+B$24*(GREET1_Import_Export!$B323+GREET1_Import_Export!$C323)</f>
        <v>1160.811502454701</v>
      </c>
      <c r="C40" s="348"/>
      <c r="D40" s="349">
        <f>D$20*($B$4*GREET1_Import_Export!$K80+GREET1_Import_Export!$F$179*GREET1_Import_Export!$B194+GREET1_Import_Export!$F194)+D$21*(GREET1_Import_Export!$O80+GREET1_Import_Export!$G$179*GREET1_Import_Export!$B194+GREET1_Import_Export!$G194)+D$22*($B$5*GREET1_Import_Export!$B80+GREET1_Import_Export!$B230)+D$23*($B$6*GREET1_Import_Export!$AA80+GREET1_Import_Export!$B298)+D$24*(GREET1_Import_Export!$B323+GREET1_Import_Export!$C323)</f>
        <v>29017.340659330366</v>
      </c>
      <c r="F40" s="347">
        <f>F$20*($B$4*GREET1_Import_Export!$K80+GREET1_Import_Export!$F$179*GREET1_Import_Export!$B194+GREET1_Import_Export!$F194)+F$21*(GREET1_Import_Export!$O80+GREET1_Import_Export!$G$179*GREET1_Import_Export!$B194+GREET1_Import_Export!$G194)+F$22*($B$5*GREET1_Import_Export!$B80+GREET1_Import_Export!$B230)+F$23*($B$6*GREET1_Import_Export!$AA80+GREET1_Import_Export!$B298)+F$24*(GREET1_Import_Export!$B323+GREET1_Import_Export!$C323)</f>
        <v>0</v>
      </c>
      <c r="G40" s="348"/>
    </row>
    <row r="41" spans="1:7" s="349" customFormat="1">
      <c r="A41" s="347" t="s">
        <v>830</v>
      </c>
      <c r="B41" s="347">
        <f>B$20*($B$4*GREET1_Import_Export!$K81+GREET1_Import_Export!$F$179*GREET1_Import_Export!$B195+GREET1_Import_Export!$F195)+B$21*(GREET1_Import_Export!$R81+GREET1_Import_Export!$H$179*GREET1_Import_Export!$B195+GREET1_Import_Export!$H195)+B$22*($B$5*GREET1_Import_Export!$B81+GREET1_Import_Export!$B231)+B$23*($B$6*GREET1_Import_Export!$AA81+GREET1_Import_Export!$B299)+B$24*(GREET1_Import_Export!$B324+GREET1_Import_Export!$C324)</f>
        <v>10.531816974090235</v>
      </c>
      <c r="C41" s="348"/>
      <c r="D41" s="349">
        <f>D$20*($B$4*GREET1_Import_Export!$K81+GREET1_Import_Export!$F$179*GREET1_Import_Export!$B195+GREET1_Import_Export!$F195)+D$21*(GREET1_Import_Export!$O81+GREET1_Import_Export!$G$179*GREET1_Import_Export!$B195+GREET1_Import_Export!$G195)+D$22*($B$5*GREET1_Import_Export!$B81+GREET1_Import_Export!$B231)+D$23*($B$6*GREET1_Import_Export!$AA81+GREET1_Import_Export!$B299)+D$24*(GREET1_Import_Export!$B324+GREET1_Import_Export!$C324)</f>
        <v>263.26868768327017</v>
      </c>
      <c r="F41" s="347">
        <f>F$20*($B$4*GREET1_Import_Export!$K81+GREET1_Import_Export!$F$179*GREET1_Import_Export!$B195+GREET1_Import_Export!$F195)+F$21*(GREET1_Import_Export!$O81+GREET1_Import_Export!$G$179*GREET1_Import_Export!$B195+GREET1_Import_Export!$G195)+F$22*($B$5*GREET1_Import_Export!$B81+GREET1_Import_Export!$B231)+F$23*($B$6*GREET1_Import_Export!$AA81+GREET1_Import_Export!$B299)+F$24*(GREET1_Import_Export!$B324+GREET1_Import_Export!$C324)</f>
        <v>0</v>
      </c>
      <c r="G41" s="348"/>
    </row>
    <row r="42" spans="1:7" s="419" customFormat="1">
      <c r="A42" s="668" t="s">
        <v>831</v>
      </c>
      <c r="B42" s="295">
        <f>B$20*($B$4*GREET1_Import_Export!$K82+GREET1_Import_Export!$F$179*GREET1_Import_Export!$B196+GREET1_Import_Export!$F196)+B$21*(GREET1_Import_Export!$R82+GREET1_Import_Export!$H$179*GREET1_Import_Export!$B196+GREET1_Import_Export!$H196)+B$22*($B$5*GREET1_Import_Export!$B82+GREET1_Import_Export!$B232)+B$23*($B$6*GREET1_Import_Export!$AA82+GREET1_Import_Export!$B300)+B$24*(GREET1_Import_Export!$B325+GREET1_Import_Export!$C325)</f>
        <v>512910.3441487237</v>
      </c>
      <c r="C42" s="752"/>
      <c r="D42" s="374">
        <f>D$20*($B$4*GREET1_Import_Export!$K82+GREET1_Import_Export!$F$179*GREET1_Import_Export!$B196+GREET1_Import_Export!$F196)+D$21*(GREET1_Import_Export!$O82+GREET1_Import_Export!$G$179*GREET1_Import_Export!$B196+GREET1_Import_Export!$G196)+D$22*($B$5*GREET1_Import_Export!$B82+GREET1_Import_Export!$B232)+D$23*($B$6*GREET1_Import_Export!$AA82+GREET1_Import_Export!$B300)+D$24*(GREET1_Import_Export!$B325+GREET1_Import_Export!$C325)</f>
        <v>12821456.500374995</v>
      </c>
      <c r="E42" s="374">
        <v>0</v>
      </c>
      <c r="F42" s="668">
        <f>F$20*($B$4*GREET1_Import_Export!$K82+GREET1_Import_Export!$F$179*GREET1_Import_Export!$B196+GREET1_Import_Export!$F196)+F$21*(GREET1_Import_Export!$O82+GREET1_Import_Export!$G$179*GREET1_Import_Export!$B196+GREET1_Import_Export!$G196)+F$22*($B$5*GREET1_Import_Export!$B82+GREET1_Import_Export!$B232)+F$23*($B$6*GREET1_Import_Export!$AA82+GREET1_Import_Export!$B300)+F$24*(GREET1_Import_Export!$B325+GREET1_Import_Export!$C325)</f>
        <v>0</v>
      </c>
      <c r="G42" s="752"/>
    </row>
    <row r="43" spans="1:7" s="349" customFormat="1">
      <c r="A43" s="758" t="s">
        <v>865</v>
      </c>
      <c r="B43" s="347"/>
      <c r="C43" s="348"/>
      <c r="D43" s="389"/>
      <c r="F43" s="347"/>
      <c r="G43" s="348"/>
    </row>
    <row r="44" spans="1:7" s="349" customFormat="1">
      <c r="A44" s="347" t="s">
        <v>821</v>
      </c>
      <c r="B44" s="347">
        <f>B$20*(B$12*($B$4*GREET1_Import_Export!$K72)+GREET1_Import_Export!$F$200*GREET1_Import_Export!$B201+GREET1_Import_Export!$F201)+B$21*(B$12*(GREET1_Import_Export!$R72)+GREET1_Import_Export!$H$200*GREET1_Import_Export!$B201+GREET1_Import_Export!$H201)+B$22*(B$12*($B$5*GREET1_Import_Export!$B72)+GREET1_Import_Export!$B237)+B$23*(B$12*($B$6*GREET1_Import_Export!$AA72)+GREET1_Import_Export!$C290)+B$24*(GREET1_Import_Export!$D315+GREET1_Import_Export!$E315)</f>
        <v>3.7441791820319428</v>
      </c>
      <c r="C44" s="348">
        <f t="shared" ref="C44:C51" si="0">C32*B$12</f>
        <v>0</v>
      </c>
      <c r="D44" s="349">
        <f>D$20*(D$12*($B$4*GREET1_Import_Export!$K72)+GREET1_Import_Export!$F$200*GREET1_Import_Export!$B201+GREET1_Import_Export!$F201)+D$21*(D$12*(GREET1_Import_Export!$O72)+GREET1_Import_Export!$G$200*GREET1_Import_Export!$B201+GREET1_Import_Export!$G201)+D$22*(D$12*($B$5*GREET1_Import_Export!$B72)+GREET1_Import_Export!$B237)+D$23*(D$12*($B$6*GREET1_Import_Export!$AA72)+GREET1_Import_Export!$C290)+D$24*(GREET1_Import_Export!$D315+GREET1_Import_Export!$E315)</f>
        <v>93.59497436478371</v>
      </c>
      <c r="E44" s="349">
        <f t="shared" ref="E44:E51" si="1">E32*D$12</f>
        <v>0</v>
      </c>
      <c r="F44" s="347">
        <f>F$20*(F$12*($B$4*GREET1_Import_Export!$K72)+GREET1_Import_Export!$F$200*GREET1_Import_Export!$B201+GREET1_Import_Export!$F201)+F$21*(F$12*(GREET1_Import_Export!$O72)+GREET1_Import_Export!$G$200*GREET1_Import_Export!$B201+GREET1_Import_Export!$G201)+F$22*(F$12*($B$5*GREET1_Import_Export!$B72)+GREET1_Import_Export!$B237)+F$23*(F$12*($B$6*GREET1_Import_Export!$AA72)+GREET1_Import_Export!$C290)+F$24*(GREET1_Import_Export!$D315+GREET1_Import_Export!$E315)</f>
        <v>0</v>
      </c>
      <c r="G44" s="348">
        <f t="shared" ref="G44:G51" si="2">G32*F$12</f>
        <v>0</v>
      </c>
    </row>
    <row r="45" spans="1:7" s="349" customFormat="1">
      <c r="A45" s="347" t="s">
        <v>822</v>
      </c>
      <c r="B45" s="347">
        <f>B$20*(B$12*($B$4*GREET1_Import_Export!$K73)+GREET1_Import_Export!$F$200*GREET1_Import_Export!$B202+GREET1_Import_Export!$F202)+B$21*(B$12*(GREET1_Import_Export!$R73)+GREET1_Import_Export!$H$200*GREET1_Import_Export!$B202+GREET1_Import_Export!$H202)+B$22*(B$12*($B$5*GREET1_Import_Export!$B73)+GREET1_Import_Export!$B238)+B$23*(B$12*($B$6*GREET1_Import_Export!$AA73)+GREET1_Import_Export!$C291)+B$24*(GREET1_Import_Export!$D316+GREET1_Import_Export!$E316)</f>
        <v>27.641675740276078</v>
      </c>
      <c r="C45" s="348">
        <f t="shared" si="0"/>
        <v>0</v>
      </c>
      <c r="D45" s="349">
        <f>D$20*(D$12*($B$4*GREET1_Import_Export!$K73)+GREET1_Import_Export!$F$200*GREET1_Import_Export!$B202+GREET1_Import_Export!$F202)+D$21*(D$12*(GREET1_Import_Export!$O73)+GREET1_Import_Export!$G$200*GREET1_Import_Export!$B202+GREET1_Import_Export!$G202)+D$22*(D$12*($B$5*GREET1_Import_Export!$B73)+GREET1_Import_Export!$B238)+D$23*(D$12*($B$6*GREET1_Import_Export!$AA73)+GREET1_Import_Export!$C291)+D$24*(GREET1_Import_Export!$D316+GREET1_Import_Export!$E316)</f>
        <v>690.97172077827429</v>
      </c>
      <c r="E45" s="349">
        <f t="shared" si="1"/>
        <v>0</v>
      </c>
      <c r="F45" s="347">
        <f>F$20*(F$12*($B$4*GREET1_Import_Export!$K73)+GREET1_Import_Export!$F$200*GREET1_Import_Export!$B202+GREET1_Import_Export!$F202)+F$21*(F$12*(GREET1_Import_Export!$O73)+GREET1_Import_Export!$G$200*GREET1_Import_Export!$B202+GREET1_Import_Export!$G202)+F$22*(F$12*($B$5*GREET1_Import_Export!$B73)+GREET1_Import_Export!$B238)+F$23*(F$12*($B$6*GREET1_Import_Export!$AA73)+GREET1_Import_Export!$C291)+F$24*(GREET1_Import_Export!$D316+GREET1_Import_Export!$E316)</f>
        <v>0</v>
      </c>
      <c r="G45" s="348">
        <f t="shared" si="2"/>
        <v>0</v>
      </c>
    </row>
    <row r="46" spans="1:7" s="349" customFormat="1">
      <c r="A46" s="347" t="s">
        <v>823</v>
      </c>
      <c r="B46" s="347">
        <f>B$20*(B$12*($B$4*GREET1_Import_Export!$K74)+GREET1_Import_Export!$F$200*GREET1_Import_Export!$B203+GREET1_Import_Export!$F203)+B$21*(B$12*(GREET1_Import_Export!$R74)+GREET1_Import_Export!$H$200*GREET1_Import_Export!$B203+GREET1_Import_Export!$H203)+B$22*(B$12*($B$5*GREET1_Import_Export!$B74)+GREET1_Import_Export!$B239)+B$23*(B$12*($B$6*GREET1_Import_Export!$AA74)+GREET1_Import_Export!$C292)+B$24*(GREET1_Import_Export!$D317+GREET1_Import_Export!$E317)</f>
        <v>82.559323726205577</v>
      </c>
      <c r="C46" s="348">
        <f t="shared" si="0"/>
        <v>0</v>
      </c>
      <c r="D46" s="349">
        <f>D$20*(D$12*($B$4*GREET1_Import_Export!$K74)+GREET1_Import_Export!$F$200*GREET1_Import_Export!$B203+GREET1_Import_Export!$F203)+D$21*(D$12*(GREET1_Import_Export!$O74)+GREET1_Import_Export!$G$200*GREET1_Import_Export!$B203+GREET1_Import_Export!$G203)+D$22*(D$12*($B$5*GREET1_Import_Export!$B74)+GREET1_Import_Export!$B239)+D$23*(D$12*($B$6*GREET1_Import_Export!$AA74)+GREET1_Import_Export!$C292)+D$24*(GREET1_Import_Export!$D317+GREET1_Import_Export!$E317)</f>
        <v>2063.7735033649274</v>
      </c>
      <c r="E46" s="349">
        <f t="shared" si="1"/>
        <v>0</v>
      </c>
      <c r="F46" s="347">
        <f>F$20*(F$12*($B$4*GREET1_Import_Export!$K74)+GREET1_Import_Export!$F$200*GREET1_Import_Export!$B203+GREET1_Import_Export!$F203)+F$21*(F$12*(GREET1_Import_Export!$O74)+GREET1_Import_Export!$G$200*GREET1_Import_Export!$B203+GREET1_Import_Export!$G203)+F$22*(F$12*($B$5*GREET1_Import_Export!$B74)+GREET1_Import_Export!$B239)+F$23*(F$12*($B$6*GREET1_Import_Export!$AA74)+GREET1_Import_Export!$C292)+F$24*(GREET1_Import_Export!$D317+GREET1_Import_Export!$E317)</f>
        <v>0</v>
      </c>
      <c r="G46" s="348">
        <f t="shared" si="2"/>
        <v>0</v>
      </c>
    </row>
    <row r="47" spans="1:7" s="349" customFormat="1">
      <c r="A47" s="347" t="s">
        <v>824</v>
      </c>
      <c r="B47" s="347">
        <f>B$20*(B$12*($B$4*GREET1_Import_Export!$K75)+GREET1_Import_Export!$F$200*GREET1_Import_Export!$B204+GREET1_Import_Export!$F204)+B$21*(B$12*(GREET1_Import_Export!$R75)+GREET1_Import_Export!$H$200*GREET1_Import_Export!$B204+GREET1_Import_Export!$H204)+B$22*(B$12*($B$5*GREET1_Import_Export!$B75)+GREET1_Import_Export!$B240)+B$23*(B$12*($B$6*GREET1_Import_Export!$AA75)+GREET1_Import_Export!$C293)+B$24*(GREET1_Import_Export!$D318+GREET1_Import_Export!$E318)</f>
        <v>11.022600708978233</v>
      </c>
      <c r="C47" s="348">
        <f t="shared" si="0"/>
        <v>0</v>
      </c>
      <c r="D47" s="349">
        <f>D$20*(D$12*($B$4*GREET1_Import_Export!$K75)+GREET1_Import_Export!$F$200*GREET1_Import_Export!$B204+GREET1_Import_Export!$F204)+D$21*(D$12*(GREET1_Import_Export!$O75)+GREET1_Import_Export!$G$200*GREET1_Import_Export!$B204+GREET1_Import_Export!$G204)+D$22*(D$12*($B$5*GREET1_Import_Export!$B75)+GREET1_Import_Export!$B240)+D$23*(D$12*($B$6*GREET1_Import_Export!$AA75)+GREET1_Import_Export!$C293)+D$24*(GREET1_Import_Export!$D318+GREET1_Import_Export!$E318)</f>
        <v>275.53703512399449</v>
      </c>
      <c r="E47" s="349">
        <f t="shared" si="1"/>
        <v>0</v>
      </c>
      <c r="F47" s="347">
        <f>F$20*(F$12*($B$4*GREET1_Import_Export!$K75)+GREET1_Import_Export!$F$200*GREET1_Import_Export!$B204+GREET1_Import_Export!$F204)+F$21*(F$12*(GREET1_Import_Export!$O75)+GREET1_Import_Export!$G$200*GREET1_Import_Export!$B204+GREET1_Import_Export!$G204)+F$22*(F$12*($B$5*GREET1_Import_Export!$B75)+GREET1_Import_Export!$B240)+F$23*(F$12*($B$6*GREET1_Import_Export!$AA75)+GREET1_Import_Export!$C293)+F$24*(GREET1_Import_Export!$D318+GREET1_Import_Export!$E318)</f>
        <v>0</v>
      </c>
      <c r="G47" s="348">
        <f t="shared" si="2"/>
        <v>0</v>
      </c>
    </row>
    <row r="48" spans="1:7" s="349" customFormat="1">
      <c r="A48" s="347" t="s">
        <v>825</v>
      </c>
      <c r="B48" s="347">
        <f>B$20*(B$12*($B$4*GREET1_Import_Export!$K76)+GREET1_Import_Export!$F$200*GREET1_Import_Export!$B205+GREET1_Import_Export!$F205)+B$21*(B$12*(GREET1_Import_Export!$R76)+GREET1_Import_Export!$H$200*GREET1_Import_Export!$B205+GREET1_Import_Export!$H205)+B$22*(B$12*($B$5*GREET1_Import_Export!$B76)+GREET1_Import_Export!$B241)+B$23*(B$12*($B$6*GREET1_Import_Export!$AA76)+GREET1_Import_Export!$C294)+B$24*(GREET1_Import_Export!$D319+GREET1_Import_Export!$E319)</f>
        <v>9.6925039700012494</v>
      </c>
      <c r="C48" s="348">
        <f t="shared" si="0"/>
        <v>0</v>
      </c>
      <c r="D48" s="349">
        <f>D$20*(D$12*($B$4*GREET1_Import_Export!$K76)+GREET1_Import_Export!$F$200*GREET1_Import_Export!$B205+GREET1_Import_Export!$F205)+D$21*(D$12*(GREET1_Import_Export!$O76)+GREET1_Import_Export!$G$200*GREET1_Import_Export!$B205+GREET1_Import_Export!$G205)+D$22*(D$12*($B$5*GREET1_Import_Export!$B76)+GREET1_Import_Export!$B241)+D$23*(D$12*($B$6*GREET1_Import_Export!$AA76)+GREET1_Import_Export!$C294)+D$24*(GREET1_Import_Export!$D319+GREET1_Import_Export!$E319)</f>
        <v>242.28799330872727</v>
      </c>
      <c r="E48" s="349">
        <f t="shared" si="1"/>
        <v>0</v>
      </c>
      <c r="F48" s="347">
        <f>F$20*(F$12*($B$4*GREET1_Import_Export!$K76)+GREET1_Import_Export!$F$200*GREET1_Import_Export!$B205+GREET1_Import_Export!$F205)+F$21*(F$12*(GREET1_Import_Export!$O76)+GREET1_Import_Export!$G$200*GREET1_Import_Export!$B205+GREET1_Import_Export!$G205)+F$22*(F$12*($B$5*GREET1_Import_Export!$B76)+GREET1_Import_Export!$B241)+F$23*(F$12*($B$6*GREET1_Import_Export!$AA76)+GREET1_Import_Export!$C294)+F$24*(GREET1_Import_Export!$D319+GREET1_Import_Export!$E319)</f>
        <v>0</v>
      </c>
      <c r="G48" s="348">
        <f t="shared" si="2"/>
        <v>0</v>
      </c>
    </row>
    <row r="49" spans="1:8" s="349" customFormat="1">
      <c r="A49" s="347" t="s">
        <v>826</v>
      </c>
      <c r="B49" s="347">
        <f>B$20*(B$12*($B$4*GREET1_Import_Export!$K77)+GREET1_Import_Export!$F$200*GREET1_Import_Export!$B206+GREET1_Import_Export!$F206)+B$21*(B$12*(GREET1_Import_Export!$R77)+GREET1_Import_Export!$H$200*GREET1_Import_Export!$B206+GREET1_Import_Export!$H206)+B$22*(B$12*($B$5*GREET1_Import_Export!$B77)+GREET1_Import_Export!$B242)+B$23*(B$12*($B$6*GREET1_Import_Export!$AA77)+GREET1_Import_Export!$C295)+B$24*(GREET1_Import_Export!$D320+GREET1_Import_Export!$E320)</f>
        <v>82.030114561282048</v>
      </c>
      <c r="C49" s="348">
        <f t="shared" si="0"/>
        <v>0</v>
      </c>
      <c r="D49" s="349">
        <f>D$20*(D$12*($B$4*GREET1_Import_Export!$K77)+GREET1_Import_Export!$F$200*GREET1_Import_Export!$B206+GREET1_Import_Export!$F206)+D$21*(D$12*(GREET1_Import_Export!$O77)+GREET1_Import_Export!$G$200*GREET1_Import_Export!$B206+GREET1_Import_Export!$G206)+D$22*(D$12*($B$5*GREET1_Import_Export!$B77)+GREET1_Import_Export!$B242)+D$23*(D$12*($B$6*GREET1_Import_Export!$AA77)+GREET1_Import_Export!$C295)+D$24*(GREET1_Import_Export!$D320+GREET1_Import_Export!$E320)</f>
        <v>2050.5446177222943</v>
      </c>
      <c r="E49" s="349">
        <f t="shared" si="1"/>
        <v>0</v>
      </c>
      <c r="F49" s="347">
        <f>F$20*(F$12*($B$4*GREET1_Import_Export!$K77)+GREET1_Import_Export!$F$200*GREET1_Import_Export!$B206+GREET1_Import_Export!$F206)+F$21*(F$12*(GREET1_Import_Export!$O77)+GREET1_Import_Export!$G$200*GREET1_Import_Export!$B206+GREET1_Import_Export!$G206)+F$22*(F$12*($B$5*GREET1_Import_Export!$B77)+GREET1_Import_Export!$B242)+F$23*(F$12*($B$6*GREET1_Import_Export!$AA77)+GREET1_Import_Export!$C295)+F$24*(GREET1_Import_Export!$D320+GREET1_Import_Export!$E320)</f>
        <v>0</v>
      </c>
      <c r="G49" s="348">
        <f t="shared" si="2"/>
        <v>0</v>
      </c>
    </row>
    <row r="50" spans="1:8" s="349" customFormat="1">
      <c r="A50" s="347" t="s">
        <v>827</v>
      </c>
      <c r="B50" s="347">
        <f>B$20*(B$12*($B$4*GREET1_Import_Export!$K78)+GREET1_Import_Export!$F$200*GREET1_Import_Export!$B207+GREET1_Import_Export!$F207)+B$21*(B$12*(GREET1_Import_Export!$R78)+GREET1_Import_Export!$H$200*GREET1_Import_Export!$B207+GREET1_Import_Export!$H207)+B$22*(B$12*($B$5*GREET1_Import_Export!$B78)+GREET1_Import_Export!$B243)+B$23*(B$12*($B$6*GREET1_Import_Export!$AA78)+GREET1_Import_Export!$C296)+B$24*(GREET1_Import_Export!$D321+GREET1_Import_Export!$E321)</f>
        <v>0.49951211510718141</v>
      </c>
      <c r="C50" s="348">
        <f t="shared" si="0"/>
        <v>0</v>
      </c>
      <c r="D50" s="349">
        <f>D$20*(D$12*($B$4*GREET1_Import_Export!$K78)+GREET1_Import_Export!$F$200*GREET1_Import_Export!$B207+GREET1_Import_Export!$F207)+D$21*(D$12*(GREET1_Import_Export!$O78)+GREET1_Import_Export!$G$200*GREET1_Import_Export!$B207+GREET1_Import_Export!$G207)+D$22*(D$12*($B$5*GREET1_Import_Export!$B78)+GREET1_Import_Export!$B243)+D$23*(D$12*($B$6*GREET1_Import_Export!$AA78)+GREET1_Import_Export!$C296)+D$24*(GREET1_Import_Export!$D321+GREET1_Import_Export!$E321)</f>
        <v>12.486534787841967</v>
      </c>
      <c r="E50" s="349">
        <f t="shared" si="1"/>
        <v>0</v>
      </c>
      <c r="F50" s="347">
        <f>F$20*(F$12*($B$4*GREET1_Import_Export!$K78)+GREET1_Import_Export!$F$200*GREET1_Import_Export!$B207+GREET1_Import_Export!$F207)+F$21*(F$12*(GREET1_Import_Export!$O78)+GREET1_Import_Export!$G$200*GREET1_Import_Export!$B207+GREET1_Import_Export!$G207)+F$22*(F$12*($B$5*GREET1_Import_Export!$B78)+GREET1_Import_Export!$B243)+F$23*(F$12*($B$6*GREET1_Import_Export!$AA78)+GREET1_Import_Export!$C296)+F$24*(GREET1_Import_Export!$D321+GREET1_Import_Export!$E321)</f>
        <v>0</v>
      </c>
      <c r="G50" s="348">
        <f t="shared" si="2"/>
        <v>0</v>
      </c>
    </row>
    <row r="51" spans="1:8" s="349" customFormat="1">
      <c r="A51" s="503" t="s">
        <v>828</v>
      </c>
      <c r="B51" s="503">
        <f>B$20*(B$12*($B$4*GREET1_Import_Export!$K79)+GREET1_Import_Export!$F$200*GREET1_Import_Export!$B208+GREET1_Import_Export!$F208)+B$21*(B$12*(GREET1_Import_Export!$R79)+GREET1_Import_Export!$H$200*GREET1_Import_Export!$B208+GREET1_Import_Export!$H208)+B$22*(B$12*($B$5*GREET1_Import_Export!$B79)+GREET1_Import_Export!$B244)+B$23*(B$12*($B$6*GREET1_Import_Export!$AA79)+GREET1_Import_Export!$C297)+B$24*(GREET1_Import_Export!$D322+GREET1_Import_Export!$E322)</f>
        <v>2.77210159801127</v>
      </c>
      <c r="C51" s="502">
        <f t="shared" si="0"/>
        <v>0</v>
      </c>
      <c r="D51" s="505">
        <f>D$20*(D$12*($B$4*GREET1_Import_Export!$K79)+GREET1_Import_Export!$F$200*GREET1_Import_Export!$B208+GREET1_Import_Export!$F208)+D$21*(D$12*(GREET1_Import_Export!$O79)+GREET1_Import_Export!$G$200*GREET1_Import_Export!$B208+GREET1_Import_Export!$G208)+D$22*(D$12*($B$5*GREET1_Import_Export!$B79)+GREET1_Import_Export!$B244)+D$23*(D$12*($B$6*GREET1_Import_Export!$AA79)+GREET1_Import_Export!$C297)+D$24*(GREET1_Import_Export!$D322+GREET1_Import_Export!$E322)</f>
        <v>69.29550253565489</v>
      </c>
      <c r="E51" s="505">
        <f t="shared" si="1"/>
        <v>0</v>
      </c>
      <c r="F51" s="503">
        <f>F$20*(F$12*($B$4*GREET1_Import_Export!$K79)+GREET1_Import_Export!$F$200*GREET1_Import_Export!$B208+GREET1_Import_Export!$F208)+F$21*(F$12*(GREET1_Import_Export!$O79)+GREET1_Import_Export!$G$200*GREET1_Import_Export!$B208+GREET1_Import_Export!$G208)+F$22*(F$12*($B$5*GREET1_Import_Export!$B79)+GREET1_Import_Export!$B244)+F$23*(F$12*($B$6*GREET1_Import_Export!$AA79)+GREET1_Import_Export!$C297)+F$24*(GREET1_Import_Export!$D322+GREET1_Import_Export!$E322)</f>
        <v>0</v>
      </c>
      <c r="G51" s="502">
        <f t="shared" si="2"/>
        <v>0</v>
      </c>
    </row>
    <row r="52" spans="1:8" s="349" customFormat="1"/>
    <row r="53" spans="1:8" s="349" customFormat="1" ht="15">
      <c r="A53" s="602" t="s">
        <v>1260</v>
      </c>
    </row>
    <row r="54" spans="1:8" s="349" customFormat="1" ht="25.5" customHeight="1">
      <c r="A54" s="510"/>
      <c r="B54" s="1605" t="s">
        <v>561</v>
      </c>
      <c r="C54" s="610" t="s">
        <v>75</v>
      </c>
      <c r="D54" s="760" t="s">
        <v>580</v>
      </c>
      <c r="E54" s="3074" t="s">
        <v>1261</v>
      </c>
      <c r="F54" s="3074"/>
      <c r="G54" s="3101" t="s">
        <v>1262</v>
      </c>
      <c r="H54" s="3102"/>
    </row>
    <row r="55" spans="1:8" s="349" customFormat="1">
      <c r="A55" s="699" t="s">
        <v>1029</v>
      </c>
      <c r="B55" s="1605"/>
      <c r="C55" s="610"/>
      <c r="D55" s="760"/>
      <c r="E55" s="673" t="s">
        <v>845</v>
      </c>
      <c r="F55" s="615" t="s">
        <v>846</v>
      </c>
      <c r="G55" s="679" t="s">
        <v>845</v>
      </c>
      <c r="H55" s="673" t="s">
        <v>846</v>
      </c>
    </row>
    <row r="56" spans="1:8" s="349" customFormat="1">
      <c r="A56" s="347" t="s">
        <v>816</v>
      </c>
      <c r="B56" s="347">
        <f>B25</f>
        <v>8.7875634557926077</v>
      </c>
      <c r="C56" s="349">
        <f>D25</f>
        <v>219.66677778691908</v>
      </c>
      <c r="D56" s="348">
        <f>F25</f>
        <v>0</v>
      </c>
      <c r="E56" s="348">
        <f>B56+C56</f>
        <v>228.45434124271168</v>
      </c>
      <c r="F56" s="349">
        <f>E56/2000</f>
        <v>0.11422717062135584</v>
      </c>
      <c r="G56" s="494">
        <f>D56</f>
        <v>0</v>
      </c>
      <c r="H56" s="348">
        <f>G56/2000</f>
        <v>0</v>
      </c>
    </row>
    <row r="57" spans="1:8" s="349" customFormat="1">
      <c r="A57" s="347" t="s">
        <v>817</v>
      </c>
      <c r="B57" s="347">
        <f>B26</f>
        <v>6.9598765464286476</v>
      </c>
      <c r="C57" s="349">
        <f>D26</f>
        <v>173.97924492265693</v>
      </c>
      <c r="D57" s="348">
        <f>F26</f>
        <v>0</v>
      </c>
      <c r="E57" s="348">
        <f>B57+C57</f>
        <v>180.93912146908559</v>
      </c>
      <c r="F57" s="349">
        <f>E57/2000</f>
        <v>9.0469560734542792E-2</v>
      </c>
      <c r="G57" s="494">
        <f>D57</f>
        <v>0</v>
      </c>
      <c r="H57" s="348">
        <f>G57/2000</f>
        <v>0</v>
      </c>
    </row>
    <row r="58" spans="1:8" s="349" customFormat="1">
      <c r="A58" s="347" t="s">
        <v>805</v>
      </c>
      <c r="B58" s="347">
        <f>B27</f>
        <v>2.416062324434177</v>
      </c>
      <c r="C58" s="349">
        <f>D27</f>
        <v>60.395424557757536</v>
      </c>
      <c r="D58" s="348">
        <f>F27</f>
        <v>0</v>
      </c>
      <c r="E58" s="348">
        <f>B58+C58</f>
        <v>62.811486882191716</v>
      </c>
      <c r="F58" s="349">
        <f>E58/2000</f>
        <v>3.1405743441095861E-2</v>
      </c>
      <c r="G58" s="494">
        <f>D58</f>
        <v>0</v>
      </c>
      <c r="H58" s="348">
        <f>G58/2000</f>
        <v>0</v>
      </c>
    </row>
    <row r="59" spans="1:8" s="349" customFormat="1">
      <c r="A59" s="347" t="s">
        <v>804</v>
      </c>
      <c r="B59" s="347">
        <f t="shared" ref="B59:H59" si="3">B57-B58-B60</f>
        <v>4.4682285571029761</v>
      </c>
      <c r="C59" s="349">
        <f t="shared" si="3"/>
        <v>111.6943706286757</v>
      </c>
      <c r="D59" s="348">
        <f t="shared" si="3"/>
        <v>0</v>
      </c>
      <c r="E59" s="348">
        <f t="shared" si="3"/>
        <v>116.16259918577869</v>
      </c>
      <c r="F59" s="349">
        <f t="shared" si="3"/>
        <v>5.8081299592889338E-2</v>
      </c>
      <c r="G59" s="494">
        <f t="shared" si="3"/>
        <v>0</v>
      </c>
      <c r="H59" s="348">
        <f t="shared" si="3"/>
        <v>0</v>
      </c>
    </row>
    <row r="60" spans="1:8" s="349" customFormat="1">
      <c r="A60" s="347" t="s">
        <v>818</v>
      </c>
      <c r="B60" s="347">
        <f>B29</f>
        <v>7.5585664891493903E-2</v>
      </c>
      <c r="C60" s="349">
        <f>D29</f>
        <v>1.8894497362236946</v>
      </c>
      <c r="D60" s="348">
        <f>F29</f>
        <v>0</v>
      </c>
      <c r="E60" s="348">
        <f>B60+C60</f>
        <v>1.9650354011151885</v>
      </c>
      <c r="F60" s="349">
        <f>E60/2000</f>
        <v>9.8251770055759417E-4</v>
      </c>
      <c r="G60" s="494">
        <f>D60</f>
        <v>0</v>
      </c>
      <c r="H60" s="348">
        <f>G60/2000</f>
        <v>0</v>
      </c>
    </row>
    <row r="61" spans="1:8" s="349" customFormat="1">
      <c r="A61" s="1570" t="s">
        <v>819</v>
      </c>
      <c r="B61" s="1687">
        <f>B30</f>
        <v>470.93371677308016</v>
      </c>
      <c r="C61" s="1505">
        <f>D30</f>
        <v>11772.147380235265</v>
      </c>
      <c r="D61" s="1136">
        <f>F30</f>
        <v>0</v>
      </c>
      <c r="E61" s="1136">
        <f>B61+C61</f>
        <v>12243.081097008346</v>
      </c>
      <c r="F61" s="1571">
        <f>E61/2000</f>
        <v>6.1215405485041732</v>
      </c>
      <c r="G61" s="1504">
        <f>D61</f>
        <v>0</v>
      </c>
      <c r="H61" s="1573">
        <f>G61/2000</f>
        <v>0</v>
      </c>
    </row>
    <row r="62" spans="1:8" s="349" customFormat="1">
      <c r="A62" s="699" t="s">
        <v>1030</v>
      </c>
      <c r="B62" s="510"/>
      <c r="C62" s="512"/>
      <c r="D62" s="509"/>
      <c r="E62" s="673" t="s">
        <v>845</v>
      </c>
      <c r="F62" s="615" t="s">
        <v>846</v>
      </c>
      <c r="G62" s="679" t="s">
        <v>845</v>
      </c>
      <c r="H62" s="673" t="s">
        <v>846</v>
      </c>
    </row>
    <row r="63" spans="1:8" s="349" customFormat="1">
      <c r="A63" s="347" t="s">
        <v>821</v>
      </c>
      <c r="B63" s="347">
        <f t="shared" ref="B63:B73" si="4">SUM(B32:C32)</f>
        <v>60.041811510841086</v>
      </c>
      <c r="C63" s="349">
        <f t="shared" ref="C63:C73" si="5">SUM(D32:E32)</f>
        <v>1500.8928622167646</v>
      </c>
      <c r="D63" s="348">
        <f t="shared" ref="D63:D72" si="6">SUM(F32:G32)</f>
        <v>0</v>
      </c>
      <c r="E63" s="348">
        <f t="shared" ref="E63:E74" si="7">B63+C63</f>
        <v>1560.9346737276057</v>
      </c>
      <c r="F63" s="349">
        <f t="shared" ref="F63:F74" si="8">E63/2000</f>
        <v>0.78046733686380287</v>
      </c>
      <c r="G63" s="494">
        <f t="shared" ref="G63:G74" si="9">D63</f>
        <v>0</v>
      </c>
      <c r="H63" s="348">
        <f t="shared" ref="H63:H74" si="10">G63/2000</f>
        <v>0</v>
      </c>
    </row>
    <row r="64" spans="1:8" s="349" customFormat="1">
      <c r="A64" s="347" t="s">
        <v>822</v>
      </c>
      <c r="B64" s="347">
        <f t="shared" si="4"/>
        <v>162.29237473796309</v>
      </c>
      <c r="C64" s="349">
        <f t="shared" si="5"/>
        <v>4056.8973638051543</v>
      </c>
      <c r="D64" s="348">
        <f t="shared" si="6"/>
        <v>0</v>
      </c>
      <c r="E64" s="348">
        <f t="shared" si="7"/>
        <v>4219.1897385431175</v>
      </c>
      <c r="F64" s="349">
        <f t="shared" si="8"/>
        <v>2.1095948692715587</v>
      </c>
      <c r="G64" s="494">
        <f t="shared" si="9"/>
        <v>0</v>
      </c>
      <c r="H64" s="348">
        <f t="shared" si="10"/>
        <v>0</v>
      </c>
    </row>
    <row r="65" spans="1:8" s="349" customFormat="1">
      <c r="A65" s="347" t="s">
        <v>849</v>
      </c>
      <c r="B65" s="347">
        <f t="shared" si="4"/>
        <v>334.3323782726697</v>
      </c>
      <c r="C65" s="349">
        <f t="shared" si="5"/>
        <v>8357.4607016445734</v>
      </c>
      <c r="D65" s="348">
        <f t="shared" si="6"/>
        <v>0</v>
      </c>
      <c r="E65" s="348">
        <f t="shared" si="7"/>
        <v>8691.7930799172427</v>
      </c>
      <c r="F65" s="349">
        <f t="shared" si="8"/>
        <v>4.3458965399586216</v>
      </c>
      <c r="G65" s="494">
        <f t="shared" si="9"/>
        <v>0</v>
      </c>
      <c r="H65" s="348">
        <f t="shared" si="10"/>
        <v>0</v>
      </c>
    </row>
    <row r="66" spans="1:8" s="349" customFormat="1" ht="12" customHeight="1">
      <c r="A66" s="347" t="s">
        <v>824</v>
      </c>
      <c r="B66" s="347">
        <f t="shared" si="4"/>
        <v>53.518679836863612</v>
      </c>
      <c r="C66" s="349">
        <f t="shared" si="5"/>
        <v>1337.8311303600381</v>
      </c>
      <c r="D66" s="348">
        <f t="shared" si="6"/>
        <v>0</v>
      </c>
      <c r="E66" s="348">
        <f t="shared" si="7"/>
        <v>1391.3498101969017</v>
      </c>
      <c r="F66" s="349">
        <f t="shared" si="8"/>
        <v>0.69567490509845087</v>
      </c>
      <c r="G66" s="494">
        <f t="shared" si="9"/>
        <v>0</v>
      </c>
      <c r="H66" s="348">
        <f t="shared" si="10"/>
        <v>0</v>
      </c>
    </row>
    <row r="67" spans="1:8" s="349" customFormat="1">
      <c r="A67" s="347" t="s">
        <v>825</v>
      </c>
      <c r="B67" s="347">
        <f t="shared" si="4"/>
        <v>32.125632447221719</v>
      </c>
      <c r="C67" s="349">
        <f t="shared" si="5"/>
        <v>803.05925522464179</v>
      </c>
      <c r="D67" s="348">
        <f t="shared" si="6"/>
        <v>0</v>
      </c>
      <c r="E67" s="348">
        <f t="shared" si="7"/>
        <v>835.18488767186352</v>
      </c>
      <c r="F67" s="349">
        <f t="shared" si="8"/>
        <v>0.41759244383593175</v>
      </c>
      <c r="G67" s="494">
        <f t="shared" si="9"/>
        <v>0</v>
      </c>
      <c r="H67" s="348">
        <f t="shared" si="10"/>
        <v>0</v>
      </c>
    </row>
    <row r="68" spans="1:8" s="349" customFormat="1">
      <c r="A68" s="347" t="s">
        <v>826</v>
      </c>
      <c r="B68" s="347">
        <f t="shared" si="4"/>
        <v>280.71814368493568</v>
      </c>
      <c r="C68" s="349">
        <f t="shared" si="5"/>
        <v>7017.2409450934956</v>
      </c>
      <c r="D68" s="348">
        <f t="shared" si="6"/>
        <v>0</v>
      </c>
      <c r="E68" s="348">
        <f t="shared" si="7"/>
        <v>7297.9590887784316</v>
      </c>
      <c r="F68" s="349">
        <f t="shared" si="8"/>
        <v>3.6489795443892157</v>
      </c>
      <c r="G68" s="494">
        <f t="shared" si="9"/>
        <v>0</v>
      </c>
      <c r="H68" s="348">
        <f t="shared" si="10"/>
        <v>0</v>
      </c>
    </row>
    <row r="69" spans="1:8" s="349" customFormat="1">
      <c r="A69" s="749" t="s">
        <v>827</v>
      </c>
      <c r="B69" s="347">
        <f t="shared" si="4"/>
        <v>1.9601325143586663</v>
      </c>
      <c r="C69" s="349">
        <f t="shared" si="5"/>
        <v>48.998336755191453</v>
      </c>
      <c r="D69" s="348">
        <f t="shared" si="6"/>
        <v>0</v>
      </c>
      <c r="E69" s="348">
        <f t="shared" si="7"/>
        <v>50.958469269550122</v>
      </c>
      <c r="F69" s="349">
        <f t="shared" si="8"/>
        <v>2.5479234634775062E-2</v>
      </c>
      <c r="G69" s="494">
        <f t="shared" si="9"/>
        <v>0</v>
      </c>
      <c r="H69" s="348">
        <f t="shared" si="10"/>
        <v>0</v>
      </c>
    </row>
    <row r="70" spans="1:8" s="349" customFormat="1">
      <c r="A70" s="749" t="s">
        <v>828</v>
      </c>
      <c r="B70" s="347">
        <f t="shared" si="4"/>
        <v>9.3297558867309611</v>
      </c>
      <c r="C70" s="349">
        <f t="shared" si="5"/>
        <v>233.22021211986552</v>
      </c>
      <c r="D70" s="348">
        <f t="shared" si="6"/>
        <v>0</v>
      </c>
      <c r="E70" s="348">
        <f t="shared" si="7"/>
        <v>242.54996800659649</v>
      </c>
      <c r="F70" s="349">
        <f t="shared" si="8"/>
        <v>0.12127498400329824</v>
      </c>
      <c r="G70" s="494">
        <f t="shared" si="9"/>
        <v>0</v>
      </c>
      <c r="H70" s="348">
        <f t="shared" si="10"/>
        <v>0</v>
      </c>
    </row>
    <row r="71" spans="1:8" s="349" customFormat="1">
      <c r="A71" s="347" t="s">
        <v>829</v>
      </c>
      <c r="B71" s="347">
        <f t="shared" si="4"/>
        <v>1160.811502454701</v>
      </c>
      <c r="C71" s="349">
        <f t="shared" si="5"/>
        <v>29017.340659330366</v>
      </c>
      <c r="D71" s="348">
        <f t="shared" si="6"/>
        <v>0</v>
      </c>
      <c r="E71" s="348">
        <f t="shared" si="7"/>
        <v>30178.152161785067</v>
      </c>
      <c r="F71" s="349">
        <f t="shared" si="8"/>
        <v>15.089076080892534</v>
      </c>
      <c r="G71" s="494">
        <f t="shared" si="9"/>
        <v>0</v>
      </c>
      <c r="H71" s="348">
        <f t="shared" si="10"/>
        <v>0</v>
      </c>
    </row>
    <row r="72" spans="1:8" s="349" customFormat="1">
      <c r="A72" s="347" t="s">
        <v>830</v>
      </c>
      <c r="B72" s="347">
        <f t="shared" si="4"/>
        <v>10.531816974090235</v>
      </c>
      <c r="C72" s="349">
        <f t="shared" si="5"/>
        <v>263.26868768327017</v>
      </c>
      <c r="D72" s="348">
        <f t="shared" si="6"/>
        <v>0</v>
      </c>
      <c r="E72" s="348">
        <f t="shared" si="7"/>
        <v>273.80050465736042</v>
      </c>
      <c r="F72" s="349">
        <f t="shared" si="8"/>
        <v>0.13690025232868022</v>
      </c>
      <c r="G72" s="494">
        <f t="shared" si="9"/>
        <v>0</v>
      </c>
      <c r="H72" s="348">
        <f t="shared" si="10"/>
        <v>0</v>
      </c>
    </row>
    <row r="73" spans="1:8" s="419" customFormat="1">
      <c r="A73" s="517" t="s">
        <v>831</v>
      </c>
      <c r="B73" s="517">
        <f t="shared" si="4"/>
        <v>512910.3441487237</v>
      </c>
      <c r="C73" s="419">
        <f t="shared" si="5"/>
        <v>12821456.500374995</v>
      </c>
      <c r="D73" s="516">
        <f>SUM(F42:G42)+D63*GREET1_Import_Export!$B$62/GREET1_Import_Export!$B$65+D64*GREET1_Import_Export!$B$63/GREET1_Import_Export!$B$65</f>
        <v>0</v>
      </c>
      <c r="E73" s="516">
        <f t="shared" si="7"/>
        <v>13334366.844523719</v>
      </c>
      <c r="F73" s="419">
        <f t="shared" si="8"/>
        <v>6667.1834222618591</v>
      </c>
      <c r="G73" s="630">
        <f t="shared" si="9"/>
        <v>0</v>
      </c>
      <c r="H73" s="516">
        <f t="shared" si="10"/>
        <v>0</v>
      </c>
    </row>
    <row r="74" spans="1:8" s="419" customFormat="1">
      <c r="A74" s="517" t="s">
        <v>850</v>
      </c>
      <c r="B74" s="517">
        <f>B73+B63*GREET1_Import_Export!$B$62/GREET1_Import_Export!$B$65+B64*GREET1_Import_Export!$B$63/GREET1_Import_Export!$B$65</f>
        <v>513352.50533585408</v>
      </c>
      <c r="C74" s="419">
        <f>C73+C63*GREET1_Import_Export!$B$62/GREET1_Import_Export!$B$65+C64*GREET1_Import_Export!$B$63/GREET1_Import_Export!$B$65</f>
        <v>12832509.407557741</v>
      </c>
      <c r="D74" s="516">
        <f>D73+D63*GREET1_Import_Export!$B$62/GREET1_Import_Export!$B$65+D64*GREET1_Import_Export!$B$63/GREET1_Import_Export!$B$65</f>
        <v>0</v>
      </c>
      <c r="E74" s="516">
        <f t="shared" si="7"/>
        <v>13345861.912893595</v>
      </c>
      <c r="F74" s="419">
        <f t="shared" si="8"/>
        <v>6672.9309564467976</v>
      </c>
      <c r="G74" s="630">
        <f t="shared" si="9"/>
        <v>0</v>
      </c>
      <c r="H74" s="516">
        <f t="shared" si="10"/>
        <v>0</v>
      </c>
    </row>
    <row r="75" spans="1:8" s="419" customFormat="1">
      <c r="A75" s="668" t="s">
        <v>851</v>
      </c>
      <c r="B75" s="668">
        <f>B74+SUMPRODUCT(B71:B72,GREET1_Import_Export!$B$51:$B$52)+SUMPRODUCT(B63:B65,GREET1_Import_Export!$B$55:$B$57)+SUMPRODUCT(B69:B70,GREET1_Import_Export!$B$58:$B$59)</f>
        <v>550967.78190762899</v>
      </c>
      <c r="C75" s="374">
        <f>C74+SUMPRODUCT(C71:C72,GREET1_Import_Export!$B$51:$B$52)+SUMPRODUCT(C63:C65,GREET1_Import_Export!$B$55:$B$57)+SUMPRODUCT(C69:C70,GREET1_Import_Export!$B$58:$B$59)</f>
        <v>13772795.829573719</v>
      </c>
      <c r="D75" s="752">
        <f>D74+SUMPRODUCT(D71:D72,GREET1_Import_Export!$B$51:$B$52)+SUMPRODUCT(D63:D65,GREET1_Import_Export!$B$55:$B$57)+SUMPRODUCT(D69:D70,GREET1_Import_Export!$B$58:$B$59)</f>
        <v>0</v>
      </c>
      <c r="E75" s="752">
        <f>E74+SUMPRODUCT(E71:E72,GREET1_Import_Export!$B$51:$B$52)+SUMPRODUCT(E63:E65,GREET1_Import_Export!$B$55:$B$57)+SUMPRODUCT(E69:E70,GREET1_Import_Export!$B$58:$B$59)</f>
        <v>14323763.611481348</v>
      </c>
      <c r="F75" s="374">
        <f>F74+SUMPRODUCT(F71:F72,GREET1_Import_Export!$B$51:$B$52)+SUMPRODUCT(F63:F65,GREET1_Import_Export!$B$55:$B$57)+SUMPRODUCT(F69:F70,GREET1_Import_Export!$B$58:$B$59)</f>
        <v>7161.8818057406743</v>
      </c>
      <c r="G75" s="756">
        <f>G74+SUMPRODUCT(G71:G72,GREET1_Import_Export!$B$51:$B$52)+SUMPRODUCT(G63:G65,GREET1_Import_Export!$B$55:$B$57)+SUMPRODUCT(G69:G70,GREET1_Import_Export!$B$58:$B$59)</f>
        <v>0</v>
      </c>
      <c r="H75" s="752">
        <f>H74+SUMPRODUCT(H71:H72,GREET1_Import_Export!$B$51:$B$52)+SUMPRODUCT(H63:H65,GREET1_Import_Export!$B$55:$B$57)+SUMPRODUCT(H69:H70,GREET1_Import_Export!$B$58:$B$59)</f>
        <v>0</v>
      </c>
    </row>
    <row r="76" spans="1:8" s="349" customFormat="1">
      <c r="A76" s="758" t="s">
        <v>1031</v>
      </c>
      <c r="B76" s="347"/>
      <c r="D76" s="348"/>
      <c r="E76" s="710" t="s">
        <v>845</v>
      </c>
      <c r="F76" s="618" t="s">
        <v>846</v>
      </c>
      <c r="G76" s="762" t="s">
        <v>845</v>
      </c>
      <c r="H76" s="710" t="s">
        <v>846</v>
      </c>
    </row>
    <row r="77" spans="1:8" s="349" customFormat="1">
      <c r="A77" s="347" t="s">
        <v>821</v>
      </c>
      <c r="B77" s="347">
        <f t="shared" ref="B77:B84" si="11">SUM(B44:C44)</f>
        <v>3.7441791820319428</v>
      </c>
      <c r="C77" s="349">
        <f t="shared" ref="C77:C84" si="12">SUM(D44:E44)</f>
        <v>93.59497436478371</v>
      </c>
      <c r="D77" s="348">
        <f t="shared" ref="D77:D84" si="13">SUM(F44:G44)</f>
        <v>0</v>
      </c>
      <c r="E77" s="348">
        <f t="shared" ref="E77:E84" si="14">B77+C77</f>
        <v>97.339153546815652</v>
      </c>
      <c r="F77" s="349">
        <f t="shared" ref="F77:F84" si="15">E77/2000</f>
        <v>4.8669576773407823E-2</v>
      </c>
      <c r="G77" s="494">
        <f t="shared" ref="G77:G84" si="16">D77</f>
        <v>0</v>
      </c>
      <c r="H77" s="348">
        <f t="shared" ref="H77:H84" si="17">G77/2000</f>
        <v>0</v>
      </c>
    </row>
    <row r="78" spans="1:8" s="349" customFormat="1">
      <c r="A78" s="347" t="s">
        <v>822</v>
      </c>
      <c r="B78" s="347">
        <f t="shared" si="11"/>
        <v>27.641675740276078</v>
      </c>
      <c r="C78" s="349">
        <f t="shared" si="12"/>
        <v>690.97172077827429</v>
      </c>
      <c r="D78" s="348">
        <f t="shared" si="13"/>
        <v>0</v>
      </c>
      <c r="E78" s="348">
        <f t="shared" si="14"/>
        <v>718.61339651855042</v>
      </c>
      <c r="F78" s="349">
        <f t="shared" si="15"/>
        <v>0.35930669825927519</v>
      </c>
      <c r="G78" s="494">
        <f t="shared" si="16"/>
        <v>0</v>
      </c>
      <c r="H78" s="348">
        <f t="shared" si="17"/>
        <v>0</v>
      </c>
    </row>
    <row r="79" spans="1:8" s="349" customFormat="1">
      <c r="A79" s="347" t="s">
        <v>823</v>
      </c>
      <c r="B79" s="347">
        <f t="shared" si="11"/>
        <v>82.559323726205577</v>
      </c>
      <c r="C79" s="349">
        <f t="shared" si="12"/>
        <v>2063.7735033649274</v>
      </c>
      <c r="D79" s="348">
        <f t="shared" si="13"/>
        <v>0</v>
      </c>
      <c r="E79" s="348">
        <f t="shared" si="14"/>
        <v>2146.3328270911329</v>
      </c>
      <c r="F79" s="349">
        <f t="shared" si="15"/>
        <v>1.0731664135455665</v>
      </c>
      <c r="G79" s="494">
        <f t="shared" si="16"/>
        <v>0</v>
      </c>
      <c r="H79" s="348">
        <f t="shared" si="17"/>
        <v>0</v>
      </c>
    </row>
    <row r="80" spans="1:8" s="349" customFormat="1">
      <c r="A80" s="749" t="s">
        <v>824</v>
      </c>
      <c r="B80" s="347">
        <f t="shared" si="11"/>
        <v>11.022600708978233</v>
      </c>
      <c r="C80" s="349">
        <f t="shared" si="12"/>
        <v>275.53703512399449</v>
      </c>
      <c r="D80" s="348">
        <f t="shared" si="13"/>
        <v>0</v>
      </c>
      <c r="E80" s="348">
        <f t="shared" si="14"/>
        <v>286.55963583297273</v>
      </c>
      <c r="F80" s="349">
        <f t="shared" si="15"/>
        <v>0.14327981791648636</v>
      </c>
      <c r="G80" s="494">
        <f t="shared" si="16"/>
        <v>0</v>
      </c>
      <c r="H80" s="348">
        <f t="shared" si="17"/>
        <v>0</v>
      </c>
    </row>
    <row r="81" spans="1:8" s="349" customFormat="1">
      <c r="A81" s="347" t="s">
        <v>825</v>
      </c>
      <c r="B81" s="347">
        <f t="shared" si="11"/>
        <v>9.6925039700012494</v>
      </c>
      <c r="C81" s="349">
        <f t="shared" si="12"/>
        <v>242.28799330872727</v>
      </c>
      <c r="D81" s="348">
        <f t="shared" si="13"/>
        <v>0</v>
      </c>
      <c r="E81" s="348">
        <f t="shared" si="14"/>
        <v>251.98049727872851</v>
      </c>
      <c r="F81" s="349">
        <f t="shared" si="15"/>
        <v>0.12599024863936426</v>
      </c>
      <c r="G81" s="494">
        <f t="shared" si="16"/>
        <v>0</v>
      </c>
      <c r="H81" s="348">
        <f t="shared" si="17"/>
        <v>0</v>
      </c>
    </row>
    <row r="82" spans="1:8" s="349" customFormat="1">
      <c r="A82" s="749" t="s">
        <v>826</v>
      </c>
      <c r="B82" s="347">
        <f t="shared" si="11"/>
        <v>82.030114561282048</v>
      </c>
      <c r="C82" s="349">
        <f t="shared" si="12"/>
        <v>2050.5446177222943</v>
      </c>
      <c r="D82" s="348">
        <f t="shared" si="13"/>
        <v>0</v>
      </c>
      <c r="E82" s="348">
        <f t="shared" si="14"/>
        <v>2132.5747322835764</v>
      </c>
      <c r="F82" s="349">
        <f t="shared" si="15"/>
        <v>1.0662873661417882</v>
      </c>
      <c r="G82" s="494">
        <f t="shared" si="16"/>
        <v>0</v>
      </c>
      <c r="H82" s="348">
        <f t="shared" si="17"/>
        <v>0</v>
      </c>
    </row>
    <row r="83" spans="1:8" s="349" customFormat="1">
      <c r="A83" s="347" t="s">
        <v>827</v>
      </c>
      <c r="B83" s="347">
        <f t="shared" si="11"/>
        <v>0.49951211510718141</v>
      </c>
      <c r="C83" s="349">
        <f t="shared" si="12"/>
        <v>12.486534787841967</v>
      </c>
      <c r="D83" s="348">
        <f t="shared" si="13"/>
        <v>0</v>
      </c>
      <c r="E83" s="348">
        <f t="shared" si="14"/>
        <v>12.986046902949148</v>
      </c>
      <c r="F83" s="349">
        <f t="shared" si="15"/>
        <v>6.4930234514745744E-3</v>
      </c>
      <c r="G83" s="494">
        <f t="shared" si="16"/>
        <v>0</v>
      </c>
      <c r="H83" s="348">
        <f t="shared" si="17"/>
        <v>0</v>
      </c>
    </row>
    <row r="84" spans="1:8" s="349" customFormat="1">
      <c r="A84" s="501" t="s">
        <v>828</v>
      </c>
      <c r="B84" s="503">
        <f t="shared" si="11"/>
        <v>2.77210159801127</v>
      </c>
      <c r="C84" s="505">
        <f t="shared" si="12"/>
        <v>69.29550253565489</v>
      </c>
      <c r="D84" s="502">
        <f t="shared" si="13"/>
        <v>0</v>
      </c>
      <c r="E84" s="502">
        <f t="shared" si="14"/>
        <v>72.067604133666165</v>
      </c>
      <c r="F84" s="505">
        <f t="shared" si="15"/>
        <v>3.6033802066833084E-2</v>
      </c>
      <c r="G84" s="504">
        <f t="shared" si="16"/>
        <v>0</v>
      </c>
      <c r="H84" s="502">
        <f t="shared" si="17"/>
        <v>0</v>
      </c>
    </row>
    <row r="85" spans="1:8">
      <c r="A85" s="64"/>
      <c r="B85" s="64"/>
      <c r="C85" s="64"/>
      <c r="D85" s="64"/>
      <c r="E85" s="64"/>
      <c r="F85" s="64"/>
      <c r="G85" s="64"/>
      <c r="H85" s="64"/>
    </row>
  </sheetData>
  <mergeCells count="5">
    <mergeCell ref="E54:F54"/>
    <mergeCell ref="G54:H54"/>
    <mergeCell ref="B9:C9"/>
    <mergeCell ref="D9:E9"/>
    <mergeCell ref="F9:G9"/>
  </mergeCells>
  <phoneticPr fontId="5" type="noConversion"/>
  <pageMargins left="0.75" right="0.75" top="1" bottom="1" header="0.5" footer="0.5"/>
  <pageSetup orientation="portrait"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AJ101"/>
  <sheetViews>
    <sheetView showGridLines="0" zoomScale="85" zoomScaleNormal="85" workbookViewId="0">
      <selection activeCell="C71" sqref="C71"/>
    </sheetView>
  </sheetViews>
  <sheetFormatPr defaultColWidth="9.140625" defaultRowHeight="12.75"/>
  <cols>
    <col min="1" max="1" width="32.7109375" style="5" customWidth="1"/>
    <col min="2" max="9" width="14.7109375" style="5" customWidth="1"/>
    <col min="10" max="13" width="9.140625" style="5"/>
    <col min="14" max="14" width="13.28515625" style="5" bestFit="1" customWidth="1"/>
    <col min="15" max="16384" width="9.140625" style="5"/>
  </cols>
  <sheetData>
    <row r="1" spans="1:15" ht="15.75">
      <c r="A1" s="2" t="s">
        <v>77</v>
      </c>
    </row>
    <row r="2" spans="1:15" ht="12.75" customHeight="1">
      <c r="A2" s="3"/>
    </row>
    <row r="3" spans="1:15" ht="12.75" customHeight="1">
      <c r="A3" s="75" t="s">
        <v>1244</v>
      </c>
    </row>
    <row r="4" spans="1:15" ht="12.75" customHeight="1">
      <c r="A4" s="5" t="s">
        <v>1263</v>
      </c>
      <c r="B4" s="2654">
        <v>0.35</v>
      </c>
    </row>
    <row r="5" spans="1:15" ht="12.75" customHeight="1"/>
    <row r="6" spans="1:15" ht="12.75" customHeight="1">
      <c r="A6" s="120" t="s">
        <v>1264</v>
      </c>
      <c r="B6" s="439"/>
      <c r="C6" s="439"/>
    </row>
    <row r="7" spans="1:15" ht="38.25">
      <c r="A7" s="393"/>
      <c r="B7" s="1696" t="s">
        <v>561</v>
      </c>
      <c r="C7" s="1660" t="s">
        <v>2289</v>
      </c>
      <c r="G7" s="439"/>
      <c r="H7" s="439"/>
      <c r="I7" s="439"/>
      <c r="J7" s="439"/>
      <c r="K7" s="439"/>
      <c r="L7" s="439"/>
      <c r="M7" s="439"/>
    </row>
    <row r="8" spans="1:15">
      <c r="A8" s="393" t="s">
        <v>769</v>
      </c>
      <c r="B8" s="784">
        <v>1</v>
      </c>
      <c r="C8" s="2655">
        <v>0</v>
      </c>
      <c r="G8" s="439"/>
      <c r="H8" s="439"/>
      <c r="I8" s="439"/>
      <c r="J8" s="439"/>
      <c r="K8" s="439"/>
      <c r="L8" s="439"/>
      <c r="M8" s="439"/>
    </row>
    <row r="9" spans="1:15">
      <c r="A9" s="230" t="s">
        <v>770</v>
      </c>
      <c r="B9" s="416">
        <v>1</v>
      </c>
      <c r="C9" s="2656">
        <v>0</v>
      </c>
      <c r="G9" s="439"/>
      <c r="H9" s="439"/>
      <c r="I9" s="439"/>
      <c r="J9" s="439"/>
      <c r="K9" s="439"/>
      <c r="L9" s="439"/>
      <c r="M9" s="439"/>
    </row>
    <row r="10" spans="1:15">
      <c r="A10" s="160" t="s">
        <v>772</v>
      </c>
      <c r="B10" s="2657">
        <f>1-B9</f>
        <v>0</v>
      </c>
      <c r="C10" s="2656">
        <v>0</v>
      </c>
      <c r="J10" s="439"/>
      <c r="K10" s="439"/>
      <c r="L10" s="439"/>
      <c r="M10" s="439"/>
    </row>
    <row r="11" spans="1:15">
      <c r="A11" s="230" t="s">
        <v>773</v>
      </c>
      <c r="B11" s="416">
        <v>1</v>
      </c>
      <c r="C11" s="588">
        <v>1</v>
      </c>
      <c r="J11" s="439"/>
      <c r="K11" s="439"/>
      <c r="L11" s="439"/>
      <c r="M11" s="439"/>
      <c r="N11" s="439"/>
      <c r="O11" s="439"/>
    </row>
    <row r="12" spans="1:15">
      <c r="A12" s="160" t="s">
        <v>782</v>
      </c>
      <c r="B12" s="2657">
        <v>1</v>
      </c>
      <c r="C12" s="2656">
        <v>0</v>
      </c>
      <c r="J12" s="439"/>
      <c r="K12" s="439"/>
      <c r="L12" s="439"/>
      <c r="M12" s="439"/>
      <c r="N12" s="439"/>
      <c r="O12" s="439"/>
    </row>
    <row r="13" spans="1:15">
      <c r="A13" s="161" t="s">
        <v>783</v>
      </c>
      <c r="B13" s="1187">
        <f>1-B12</f>
        <v>0</v>
      </c>
      <c r="C13" s="949">
        <f>1-C12</f>
        <v>1</v>
      </c>
    </row>
    <row r="15" spans="1:15">
      <c r="A15" s="63" t="s">
        <v>2292</v>
      </c>
      <c r="B15" s="63"/>
      <c r="C15" s="63"/>
    </row>
    <row r="16" spans="1:15">
      <c r="A16" s="1352"/>
      <c r="B16" s="1427" t="s">
        <v>1811</v>
      </c>
      <c r="C16" s="1210" t="s">
        <v>2294</v>
      </c>
    </row>
    <row r="17" spans="1:9">
      <c r="A17" s="647" t="s">
        <v>2295</v>
      </c>
      <c r="B17" s="2658">
        <v>1</v>
      </c>
      <c r="C17" s="1328">
        <f>1-B17</f>
        <v>0</v>
      </c>
    </row>
    <row r="18" spans="1:9">
      <c r="A18" s="64"/>
      <c r="B18" s="64"/>
      <c r="C18" s="64"/>
    </row>
    <row r="19" spans="1:9">
      <c r="A19" s="63" t="s">
        <v>2290</v>
      </c>
      <c r="B19" s="1543"/>
      <c r="C19" s="64"/>
    </row>
    <row r="20" spans="1:9">
      <c r="A20" s="702" t="s">
        <v>2291</v>
      </c>
      <c r="B20" s="2659">
        <v>0.8</v>
      </c>
      <c r="C20" s="64"/>
    </row>
    <row r="21" spans="1:9">
      <c r="A21" s="291" t="s">
        <v>998</v>
      </c>
      <c r="B21" s="2660">
        <v>0.06</v>
      </c>
      <c r="C21" s="64"/>
    </row>
    <row r="22" spans="1:9">
      <c r="A22" s="292" t="s">
        <v>2293</v>
      </c>
      <c r="B22" s="2661">
        <v>0.01</v>
      </c>
      <c r="C22" s="64"/>
    </row>
    <row r="25" spans="1:9" ht="15">
      <c r="A25" s="75" t="s">
        <v>933</v>
      </c>
      <c r="B25" s="64"/>
    </row>
    <row r="26" spans="1:9" ht="22.35" customHeight="1">
      <c r="A26" s="238"/>
      <c r="B26" s="3007" t="s">
        <v>561</v>
      </c>
      <c r="C26" s="3006"/>
      <c r="D26" s="3013" t="s">
        <v>77</v>
      </c>
      <c r="E26" s="3013"/>
      <c r="F26" s="2980" t="s">
        <v>2298</v>
      </c>
      <c r="G26" s="2981"/>
      <c r="H26" s="2980" t="s">
        <v>2289</v>
      </c>
      <c r="I26" s="2981"/>
    </row>
    <row r="27" spans="1:9" ht="74.25" customHeight="1">
      <c r="A27" s="571"/>
      <c r="B27" s="1265" t="s">
        <v>785</v>
      </c>
      <c r="C27" s="1223" t="s">
        <v>786</v>
      </c>
      <c r="D27" s="1307" t="s">
        <v>785</v>
      </c>
      <c r="E27" s="1307" t="s">
        <v>786</v>
      </c>
      <c r="F27" s="1673" t="s">
        <v>785</v>
      </c>
      <c r="G27" s="1674" t="s">
        <v>786</v>
      </c>
      <c r="H27" s="2662" t="s">
        <v>785</v>
      </c>
      <c r="I27" s="1674" t="s">
        <v>786</v>
      </c>
    </row>
    <row r="28" spans="1:9" ht="25.5">
      <c r="A28" s="659" t="s">
        <v>797</v>
      </c>
      <c r="B28" s="383">
        <f>Mat_Inputs!B498</f>
        <v>3.72</v>
      </c>
      <c r="C28" s="395"/>
      <c r="D28" s="377">
        <f>Mat_Inputs!B499</f>
        <v>86.4</v>
      </c>
      <c r="E28" s="64"/>
      <c r="F28" s="383">
        <f>B28/$B$4</f>
        <v>10.62857142857143</v>
      </c>
      <c r="G28" s="395"/>
      <c r="H28" s="2663">
        <v>39.924599999999998</v>
      </c>
      <c r="I28" s="394"/>
    </row>
    <row r="29" spans="1:9">
      <c r="A29" s="571" t="s">
        <v>798</v>
      </c>
      <c r="B29" s="416">
        <v>0</v>
      </c>
      <c r="C29" s="395"/>
      <c r="D29" s="382">
        <v>0</v>
      </c>
      <c r="E29" s="64"/>
      <c r="F29" s="416">
        <v>0</v>
      </c>
      <c r="G29" s="395"/>
      <c r="H29" s="1322">
        <v>0</v>
      </c>
      <c r="I29" s="395"/>
    </row>
    <row r="30" spans="1:9">
      <c r="A30" s="178" t="s">
        <v>799</v>
      </c>
      <c r="B30" s="393"/>
      <c r="C30" s="394"/>
      <c r="D30" s="392"/>
      <c r="E30" s="392"/>
      <c r="F30" s="393"/>
      <c r="G30" s="394"/>
      <c r="H30" s="827"/>
      <c r="I30" s="394"/>
    </row>
    <row r="31" spans="1:9">
      <c r="A31" s="230" t="s">
        <v>800</v>
      </c>
      <c r="B31" s="416">
        <v>0</v>
      </c>
      <c r="C31" s="588"/>
      <c r="D31" s="382">
        <v>0.5</v>
      </c>
      <c r="E31" s="382"/>
      <c r="F31" s="416">
        <f>B31</f>
        <v>0</v>
      </c>
      <c r="G31" s="588"/>
      <c r="H31" s="1322">
        <v>0</v>
      </c>
      <c r="I31" s="395"/>
    </row>
    <row r="32" spans="1:9">
      <c r="A32" s="230" t="s">
        <v>802</v>
      </c>
      <c r="B32" s="416">
        <v>0.19</v>
      </c>
      <c r="C32" s="94" t="s">
        <v>861</v>
      </c>
      <c r="D32" s="382">
        <v>0</v>
      </c>
      <c r="E32" s="382"/>
      <c r="F32" s="416">
        <f>B32</f>
        <v>0.19</v>
      </c>
      <c r="G32" s="593" t="s">
        <v>861</v>
      </c>
      <c r="H32" s="1322">
        <v>3.9532389022806054E-4</v>
      </c>
      <c r="I32" s="395"/>
    </row>
    <row r="33" spans="1:36">
      <c r="A33" s="230" t="s">
        <v>804</v>
      </c>
      <c r="B33" s="416">
        <v>0</v>
      </c>
      <c r="C33" s="588"/>
      <c r="D33" s="382">
        <v>0.5</v>
      </c>
      <c r="E33" s="382"/>
      <c r="F33" s="416">
        <f>B33</f>
        <v>0</v>
      </c>
      <c r="G33" s="588"/>
      <c r="H33" s="1322">
        <v>0</v>
      </c>
      <c r="I33" s="395"/>
    </row>
    <row r="34" spans="1:36">
      <c r="A34" s="230" t="s">
        <v>805</v>
      </c>
      <c r="B34" s="416">
        <v>0</v>
      </c>
      <c r="C34" s="588"/>
      <c r="D34" s="382">
        <v>0</v>
      </c>
      <c r="E34" s="382"/>
      <c r="F34" s="416">
        <f>B34</f>
        <v>0</v>
      </c>
      <c r="G34" s="588"/>
      <c r="H34" s="1322">
        <v>0.42698694617279531</v>
      </c>
      <c r="I34" s="395"/>
    </row>
    <row r="35" spans="1:36">
      <c r="A35" s="589" t="s">
        <v>806</v>
      </c>
      <c r="B35" s="664">
        <f>1-SUM(B31:B34)</f>
        <v>0.81</v>
      </c>
      <c r="C35" s="428"/>
      <c r="D35" s="368">
        <f>1-SUM(D31:D34)</f>
        <v>0</v>
      </c>
      <c r="E35" s="368"/>
      <c r="F35" s="664">
        <f>B35</f>
        <v>0.81</v>
      </c>
      <c r="G35" s="428"/>
      <c r="H35" s="828">
        <v>0.57261772993697668</v>
      </c>
      <c r="I35" s="707"/>
    </row>
    <row r="36" spans="1:36">
      <c r="A36" s="177" t="s">
        <v>862</v>
      </c>
      <c r="B36" s="230"/>
      <c r="C36" s="395"/>
      <c r="D36" s="64"/>
      <c r="E36" s="64"/>
      <c r="F36" s="230"/>
      <c r="G36" s="395"/>
      <c r="H36" s="702"/>
      <c r="I36" s="395"/>
    </row>
    <row r="37" spans="1:36" s="496" customFormat="1">
      <c r="A37" s="347" t="s">
        <v>800</v>
      </c>
      <c r="B37" s="390">
        <f>B$28*B31</f>
        <v>0</v>
      </c>
      <c r="C37" s="348"/>
      <c r="D37" s="389">
        <f>D$28*D31</f>
        <v>43.2</v>
      </c>
      <c r="E37" s="349"/>
      <c r="F37" s="390">
        <f>F$28*F31</f>
        <v>0</v>
      </c>
      <c r="G37" s="348"/>
      <c r="H37" s="911">
        <f t="shared" ref="H37:H41" si="0">H$28*H31</f>
        <v>0</v>
      </c>
      <c r="I37" s="348"/>
    </row>
    <row r="38" spans="1:36" s="496" customFormat="1">
      <c r="A38" s="347" t="s">
        <v>802</v>
      </c>
      <c r="B38" s="390">
        <f>B$28*B32</f>
        <v>0.70680000000000009</v>
      </c>
      <c r="C38" s="348"/>
      <c r="D38" s="389">
        <f>D$28*D32</f>
        <v>0</v>
      </c>
      <c r="E38" s="349"/>
      <c r="F38" s="390">
        <f>F$28*F32</f>
        <v>2.0194285714285716</v>
      </c>
      <c r="G38" s="348"/>
      <c r="H38" s="911">
        <f t="shared" si="0"/>
        <v>1.5783148187799224E-2</v>
      </c>
      <c r="I38" s="348"/>
    </row>
    <row r="39" spans="1:36" s="496" customFormat="1">
      <c r="A39" s="347" t="s">
        <v>804</v>
      </c>
      <c r="B39" s="390">
        <f>B$28*B33</f>
        <v>0</v>
      </c>
      <c r="C39" s="348"/>
      <c r="D39" s="389">
        <f>D$28*D33</f>
        <v>43.2</v>
      </c>
      <c r="E39" s="349"/>
      <c r="F39" s="390">
        <f>F$28*F33</f>
        <v>0</v>
      </c>
      <c r="G39" s="348"/>
      <c r="H39" s="911">
        <f t="shared" si="0"/>
        <v>0</v>
      </c>
      <c r="I39" s="348"/>
    </row>
    <row r="40" spans="1:36" s="496" customFormat="1">
      <c r="A40" s="347" t="s">
        <v>805</v>
      </c>
      <c r="B40" s="390">
        <f>B$28*B34</f>
        <v>0</v>
      </c>
      <c r="C40" s="348"/>
      <c r="D40" s="389">
        <f>D$28*D34</f>
        <v>0</v>
      </c>
      <c r="E40" s="349"/>
      <c r="F40" s="390">
        <f>F$28*F34</f>
        <v>0</v>
      </c>
      <c r="G40" s="348"/>
      <c r="H40" s="911">
        <f t="shared" si="0"/>
        <v>17.047283031170384</v>
      </c>
      <c r="I40" s="348"/>
    </row>
    <row r="41" spans="1:36" s="496" customFormat="1">
      <c r="A41" s="347" t="s">
        <v>806</v>
      </c>
      <c r="B41" s="390">
        <f>B$28*B35</f>
        <v>3.0132000000000003</v>
      </c>
      <c r="C41" s="348"/>
      <c r="D41" s="389">
        <f>D$28*D35</f>
        <v>0</v>
      </c>
      <c r="E41" s="349"/>
      <c r="F41" s="390">
        <f>F$28*F35</f>
        <v>8.6091428571428583</v>
      </c>
      <c r="G41" s="348"/>
      <c r="H41" s="2664">
        <f t="shared" si="0"/>
        <v>22.861533820641817</v>
      </c>
      <c r="I41" s="502"/>
    </row>
    <row r="42" spans="1:36" s="496" customFormat="1">
      <c r="A42" s="510" t="s">
        <v>816</v>
      </c>
      <c r="B42" s="510">
        <f>B$37*(1+(GREET1_Import_Export!$F$179*GREET1_Import_Export!$B180+GREET1_Import_Export!$F180)/1000000)+B$38*(1+(GREET1_Import_Export!$H$179*GREET1_Import_Export!$B180+GREET1_Import_Export!$H180)/1000000)+B$39*(1+GREET1_Import_Export!$B216/1000000)+B$40*(1+GREET1_Import_Export!$B284/1000000)+B$41*(GREET1_Import_Export!$B309+GREET1_Import_Export!$C309)/1000000</f>
        <v>6.9468378005920295</v>
      </c>
      <c r="C42" s="509"/>
      <c r="D42" s="512">
        <f>D$37*(1+(GREET1_Import_Export!$F$179*GREET1_Import_Export!$B180+GREET1_Import_Export!$F180)/1000000)+D$38*(1+(GREET1_Import_Export!$G$179*GREET1_Import_Export!$B180+GREET1_Import_Export!$G180)/1000000)+D$39*(1+GREET1_Import_Export!$B216/1000000)+D$40*(1+GREET1_Import_Export!$B284/1000000)+D$41*(GREET1_Import_Export!$B309+GREET1_Import_Export!$C309)/1000000</f>
        <v>96.564929057677375</v>
      </c>
      <c r="E42" s="512"/>
      <c r="F42" s="510">
        <f>F$37*(1+(GREET1_Import_Export!$F$179*GREET1_Import_Export!$B180+GREET1_Import_Export!$F180)/1000000)+F$38*(1+(GREET1_Import_Export!$H$179*GREET1_Import_Export!$B180+GREET1_Import_Export!$H180)/1000000)+F$39*(1+GREET1_Import_Export!$B216/1000000)+F$40*(1+GREET1_Import_Export!$B284/1000000)+F$41*(GREET1_Import_Export!$B309+GREET1_Import_Export!$C309)/1000000</f>
        <v>19.848108001691514</v>
      </c>
      <c r="G42" s="509"/>
      <c r="H42" s="849">
        <f>H$37*(1+(GREET1_Import_Export!$F$179*GREET1_Import_Export!$B180+GREET1_Import_Export!$F180)/1000000)+H$38*(1+(GREET1_Import_Export!$H$179*GREET1_Import_Export!$B180+GREET1_Import_Export!$H180)/1000000)+H$39*(1+GREET1_Import_Export!$B216/1000000)+H$40*(1+GREET1_Import_Export!$B284/1000000)+H$41*(GREET1_Import_Export!$L342)/1000000</f>
        <v>76.209100642446558</v>
      </c>
      <c r="I42" s="511"/>
    </row>
    <row r="43" spans="1:36" s="496" customFormat="1">
      <c r="A43" s="347" t="s">
        <v>817</v>
      </c>
      <c r="B43" s="347">
        <f>B$37*(1+(GREET1_Import_Export!$F$179*GREET1_Import_Export!$B181+GREET1_Import_Export!$F181)/1000000)+B$38*(1+(GREET1_Import_Export!$H$179*GREET1_Import_Export!$B181+GREET1_Import_Export!$H181)/1000000)+B$39*(1+GREET1_Import_Export!$B217/1000000)+B$40*(1+GREET1_Import_Export!$B285/1000000)+B$41*(GREET1_Import_Export!$B310+GREET1_Import_Export!$C310)/1000000</f>
        <v>5.6718260733291341</v>
      </c>
      <c r="C43" s="348"/>
      <c r="D43" s="349">
        <f>D$37*(1+(GREET1_Import_Export!$F$179*GREET1_Import_Export!$B181+GREET1_Import_Export!$F181)/1000000)+D$38*(1+(GREET1_Import_Export!$G$179*GREET1_Import_Export!$B181+GREET1_Import_Export!$G181)/1000000)+D$39*(1+GREET1_Import_Export!$B217/1000000)+D$40*(1+GREET1_Import_Export!$B285/1000000)+D$41*(GREET1_Import_Export!$B310+GREET1_Import_Export!$C310)/1000000</f>
        <v>96.324072200473921</v>
      </c>
      <c r="E43" s="349"/>
      <c r="F43" s="347">
        <f>F$37*(1+(GREET1_Import_Export!$F$179*GREET1_Import_Export!$B181+GREET1_Import_Export!$F181)/1000000)+F$38*(1+(GREET1_Import_Export!$H$179*GREET1_Import_Export!$B181+GREET1_Import_Export!$H181)/1000000)+F$39*(1+GREET1_Import_Export!$B217/1000000)+F$40*(1+GREET1_Import_Export!$B285/1000000)+F$41*(GREET1_Import_Export!$B310+GREET1_Import_Export!$C310)/1000000</f>
        <v>16.205217352368955</v>
      </c>
      <c r="G43" s="348"/>
      <c r="H43" s="849">
        <f>H$37*(1+(GREET1_Import_Export!$F$179*GREET1_Import_Export!$B181+GREET1_Import_Export!$F181)/1000000)+H$38*(1+(GREET1_Import_Export!$H$179*GREET1_Import_Export!$B181+GREET1_Import_Export!$H181)/1000000)+H$39*(1+GREET1_Import_Export!$B217/1000000)+H$40*(1+GREET1_Import_Export!$B285/1000000)+H$41*(GREET1_Import_Export!$L343)/1000000</f>
        <v>68.806759903993594</v>
      </c>
      <c r="I43" s="494"/>
    </row>
    <row r="44" spans="1:36" s="496" customFormat="1">
      <c r="A44" s="347" t="s">
        <v>805</v>
      </c>
      <c r="B44" s="347">
        <f>B$37*(GREET1_Import_Export!$F$179*GREET1_Import_Export!$B182+GREET1_Import_Export!$F182)/1000000+B$38*(GREET1_Import_Export!$H$179*GREET1_Import_Export!$B182+GREET1_Import_Export!$H182)/1000000+B$39*GREET1_Import_Export!$B218/1000000+B$40*(1+GREET1_Import_Export!$B286/1000000)+B$41*(GREET1_Import_Export!$B311+GREET1_Import_Export!$C311)/1000000</f>
        <v>1.6852573295269475</v>
      </c>
      <c r="C44" s="348"/>
      <c r="D44" s="349">
        <f>D$37*(GREET1_Import_Export!$F$179*GREET1_Import_Export!$B182+GREET1_Import_Export!$F182)/1000000+D$38*(GREET1_Import_Export!$G$179*GREET1_Import_Export!$B182+GREET1_Import_Export!$G182)/1000000+D$39*GREET1_Import_Export!$B218/1000000+D$40*(1+GREET1_Import_Export!$B286/1000000)+D$41*(GREET1_Import_Export!$B311+GREET1_Import_Export!$C311)/1000000</f>
        <v>0.30553436022061636</v>
      </c>
      <c r="E44" s="349"/>
      <c r="F44" s="347">
        <f>F$37*(GREET1_Import_Export!$F$179*GREET1_Import_Export!$B182+GREET1_Import_Export!$F182)/1000000+F$38*(GREET1_Import_Export!$H$179*GREET1_Import_Export!$B182+GREET1_Import_Export!$H182)/1000000+F$39*GREET1_Import_Export!$B218/1000000+F$40*(1+GREET1_Import_Export!$B286/1000000)+F$41*(GREET1_Import_Export!$B311+GREET1_Import_Export!$C311)/1000000</f>
        <v>4.8150209415055638</v>
      </c>
      <c r="G44" s="348"/>
      <c r="H44" s="849">
        <f>H$37*(1+(GREET1_Import_Export!$F$179*GREET1_Import_Export!$B182+GREET1_Import_Export!$F182)/1000000)+H$38*((GREET1_Import_Export!$H$179*GREET1_Import_Export!$B182+GREET1_Import_Export!$H182)/1000000)+H$39*(1+GREET1_Import_Export!$B218/1000000)+H$40*(1+GREET1_Import_Export!$B286/1000000)+H$41*(GREET1_Import_Export!$L344)/1000000</f>
        <v>65.981476706650923</v>
      </c>
      <c r="I44" s="494"/>
    </row>
    <row r="45" spans="1:36" s="496" customFormat="1">
      <c r="A45" s="347" t="s">
        <v>804</v>
      </c>
      <c r="B45" s="347">
        <f>B43-B44-B46</f>
        <v>3.1943664312987163</v>
      </c>
      <c r="C45" s="348"/>
      <c r="D45" s="349">
        <f>D43-D44-D46</f>
        <v>50.868538381128197</v>
      </c>
      <c r="E45" s="349"/>
      <c r="F45" s="347">
        <f>F43-F44-F46</f>
        <v>9.1267612322820462</v>
      </c>
      <c r="G45" s="348"/>
      <c r="H45" s="849">
        <f>H43-H44-H46</f>
        <v>1.6357139704330825</v>
      </c>
      <c r="I45" s="494"/>
    </row>
    <row r="46" spans="1:36" s="496" customFormat="1">
      <c r="A46" s="347" t="s">
        <v>818</v>
      </c>
      <c r="B46" s="347">
        <f>B$37*(1+(GREET1_Import_Export!$F$179*GREET1_Import_Export!$B184+GREET1_Import_Export!$F184)/1000000)+B$38*(1+(GREET1_Import_Export!$H$179*GREET1_Import_Export!$B184+GREET1_Import_Export!$H184)/1000000)+B$39*GREET1_Import_Export!$B220/1000000+B$40*GREET1_Import_Export!$B288/1000000+B$41*(GREET1_Import_Export!$B313+GREET1_Import_Export!$C313)/1000000</f>
        <v>0.79220231250347051</v>
      </c>
      <c r="C46" s="348"/>
      <c r="D46" s="349">
        <f>D$37*(1+(GREET1_Import_Export!$F$179*GREET1_Import_Export!$B184+GREET1_Import_Export!$F184)/1000000)+D$38*(1+(GREET1_Import_Export!$G$179*GREET1_Import_Export!$B184+GREET1_Import_Export!$G184)/1000000)+D$39*GREET1_Import_Export!$B220/1000000+D$40*GREET1_Import_Export!$B288/1000000+D$41*(GREET1_Import_Export!$B313+GREET1_Import_Export!$C313)/1000000</f>
        <v>45.149999459125105</v>
      </c>
      <c r="E46" s="349"/>
      <c r="F46" s="347">
        <f>F$37*(1+(GREET1_Import_Export!$F$179*GREET1_Import_Export!$B184+GREET1_Import_Export!$F184)/1000000)+F$38*(1+(GREET1_Import_Export!$H$179*GREET1_Import_Export!$B184+GREET1_Import_Export!$H184)/1000000)+F$39*GREET1_Import_Export!$B220/1000000+F$40*GREET1_Import_Export!$B288/1000000+F$41*(GREET1_Import_Export!$B313+GREET1_Import_Export!$C313)/1000000</f>
        <v>2.2634351785813438</v>
      </c>
      <c r="G46" s="348"/>
      <c r="H46" s="849">
        <f>H$37*(1+(GREET1_Import_Export!$F$179*GREET1_Import_Export!$B184+GREET1_Import_Export!$F184)/1000000)+H$38*(1+(GREET1_Import_Export!$H$179*GREET1_Import_Export!$B184+GREET1_Import_Export!$H184)/1000000)+H$39*GREET1_Import_Export!$B220/1000000+H$40*GREET1_Import_Export!$B288/1000000+H$41*(GREET1_Import_Export!$L346)/1000000</f>
        <v>1.1895692269095883</v>
      </c>
      <c r="I46" s="494"/>
    </row>
    <row r="47" spans="1:36" s="535" customFormat="1">
      <c r="A47" s="173" t="s">
        <v>819</v>
      </c>
      <c r="B47" s="250">
        <f>B$37*((GREET1_Import_Export!$F$179*GREET1_Import_Export!$B185+GREET1_Import_Export!$F185))+B$38*((GREET1_Import_Export!$H$179*GREET1_Import_Export!$B185+GREET1_Import_Export!$H185))+B$39*GREET1_Import_Export!$B221+B$40*GREET1_Import_Export!$B289+B$41*(GREET1_Import_Export!$B314+GREET1_Import_Export!$C314)</f>
        <v>342.90551941928061</v>
      </c>
      <c r="C47" s="752"/>
      <c r="D47" s="47">
        <f>D$37*((GREET1_Import_Export!$F$179*GREET1_Import_Export!$B185+GREET1_Import_Export!$F185))+D$38*((GREET1_Import_Export!$G$179*GREET1_Import_Export!$B185+GREET1_Import_Export!$G185))+D$39*GREET1_Import_Export!$B221+D$40*GREET1_Import_Export!$B289+D$41*(GREET1_Import_Export!$B314+GREET1_Import_Export!$C314)</f>
        <v>1006.4415805532074</v>
      </c>
      <c r="E47" s="374"/>
      <c r="F47" s="650">
        <f>F$37*((GREET1_Import_Export!$F$179*GREET1_Import_Export!$B185+GREET1_Import_Export!$F185))+F$38*((GREET1_Import_Export!$H$179*GREET1_Import_Export!$B185+GREET1_Import_Export!$H185))+F$39*GREET1_Import_Export!$B221+F$40*GREET1_Import_Export!$B289+F$41*(GREET1_Import_Export!$B314+GREET1_Import_Export!$C314)</f>
        <v>979.73005548365904</v>
      </c>
      <c r="G47" s="752"/>
      <c r="H47" s="2666">
        <f>H$37*((GREET1_Import_Export!$F$179*GREET1_Import_Export!$B185+GREET1_Import_Export!$F185))+H$38*((GREET1_Import_Export!$H$179*GREET1_Import_Export!$B185+GREET1_Import_Export!$H185))+H$39*GREET1_Import_Export!$B221+H$40*GREET1_Import_Export!$B289+H$41*(GREET1_Import_Export!$L347)</f>
        <v>4950.0859080558885</v>
      </c>
      <c r="I47" s="504"/>
      <c r="AD47" s="496"/>
      <c r="AE47" s="496"/>
      <c r="AF47" s="496"/>
      <c r="AG47" s="496"/>
      <c r="AH47" s="496"/>
      <c r="AI47" s="496"/>
      <c r="AJ47" s="496"/>
    </row>
    <row r="48" spans="1:36" s="496" customFormat="1">
      <c r="A48" s="609" t="s">
        <v>864</v>
      </c>
      <c r="B48" s="510"/>
      <c r="C48" s="509"/>
      <c r="D48" s="512"/>
      <c r="E48" s="512"/>
      <c r="F48" s="510"/>
      <c r="G48" s="509"/>
      <c r="H48" s="849"/>
      <c r="I48" s="511"/>
    </row>
    <row r="49" spans="1:9" s="496" customFormat="1">
      <c r="A49" s="498" t="s">
        <v>821</v>
      </c>
      <c r="B49" s="347">
        <f>B$37*(B$8*GREET1_Import_Export!$K72+GREET1_Import_Export!$F$179*GREET1_Import_Export!$B186+GREET1_Import_Export!$F186)+B$38*(B$12*GREET1_Import_Export!$R72+B$13*GREET1_Import_Export!$P146+GREET1_Import_Export!$H$179*GREET1_Import_Export!$B186+GREET1_Import_Export!$H186)+B$39*(B$9*GREET1_Import_Export!$B72+B$10*GREET1_Import_Export!$P118+GREET1_Import_Export!$B222)+B$40*(B$11*GREET1_Import_Export!$AA72+GREET1_Import_Export!$B290)+B$41*(GREET1_Import_Export!$B315+GREET1_Import_Export!$C315)</f>
        <v>51.066180592847871</v>
      </c>
      <c r="C49" s="348"/>
      <c r="D49" s="349">
        <f>D$37*(GREET1_Import_Export!$K72+GREET1_Import_Export!$F$179*GREET1_Import_Export!$B186+GREET1_Import_Export!$F186)+D$38*(GREET1_Import_Export!$O72+GREET1_Import_Export!$G$179*GREET1_Import_Export!$B186+GREET1_Import_Export!$G186)+D$39*(GREET1_Import_Export!$B72+GREET1_Import_Export!$B222)+D$40*(GREET1_Import_Export!$AA72+GREET1_Import_Export!$B290)+D$41*(GREET1_Import_Export!$B315+GREET1_Import_Export!$C315)</f>
        <v>850.79654297465231</v>
      </c>
      <c r="E49" s="349"/>
      <c r="F49" s="347">
        <f>F$37*(GREET1_Import_Export!$K72+GREET1_Import_Export!$F$179*GREET1_Import_Export!$B186+GREET1_Import_Export!$F186)+F$38*(GREET1_Import_Export!$R72+GREET1_Import_Export!$H$179*GREET1_Import_Export!$B186+GREET1_Import_Export!$H186)+F$39*(GREET1_Import_Export!$B72+GREET1_Import_Export!$B222)+F$40*(GREET1_Import_Export!$AA72+GREET1_Import_Export!$B290)+F$41*(GREET1_Import_Export!$B315+GREET1_Import_Export!$C315)</f>
        <v>145.90337312242249</v>
      </c>
      <c r="G49" s="348"/>
      <c r="H49" s="849">
        <f>H$37*(GREET1_Import_Export!$K72+GREET1_Import_Export!$F$179*GREET1_Import_Export!$B186+GREET1_Import_Export!$F186)+H$38*(C$12*GREET1_Import_Export!$R72+C$13*GREET1_Import_Export!$O72+GREET1_Import_Export!$G$179*GREET1_Import_Export!$B186+GREET1_Import_Export!$G186)+H$39*(GREET1_Import_Export!$B72+GREET1_Import_Export!$B222)+H$40*($C$11*GREET1_Import_Export!$AA72+GREET1_Import_Export!$B290)+H$41*(GREET1_Import_Export!$L348)</f>
        <v>564.57604180377166</v>
      </c>
      <c r="I49" s="494"/>
    </row>
    <row r="50" spans="1:9" s="496" customFormat="1">
      <c r="A50" s="498" t="s">
        <v>822</v>
      </c>
      <c r="B50" s="347">
        <f>B$37*(B$8*GREET1_Import_Export!$K73+GREET1_Import_Export!$F$179*GREET1_Import_Export!$B187+GREET1_Import_Export!$F187)+B$38*(B$12*GREET1_Import_Export!$R73+B$13*GREET1_Import_Export!$P147+GREET1_Import_Export!$H$179*GREET1_Import_Export!$B187+GREET1_Import_Export!$H187)+B$39*(B$9*GREET1_Import_Export!$B73+B$10*GREET1_Import_Export!$P119+GREET1_Import_Export!$B223)+B$40*(B$11*GREET1_Import_Export!$AA73+GREET1_Import_Export!$B291)+B$41*(GREET1_Import_Export!$B316+GREET1_Import_Export!$C316)</f>
        <v>235.39554885561139</v>
      </c>
      <c r="C50" s="348"/>
      <c r="D50" s="349">
        <f>D$37*(GREET1_Import_Export!$K73+GREET1_Import_Export!$F$179*GREET1_Import_Export!$B187+GREET1_Import_Export!$F187)+D$38*(GREET1_Import_Export!$O73+GREET1_Import_Export!$G$179*GREET1_Import_Export!$B187+GREET1_Import_Export!$G187)+D$39*(GREET1_Import_Export!$B73+GREET1_Import_Export!$B223)+D$40*(GREET1_Import_Export!$AA73+GREET1_Import_Export!$B291)+D$41*(GREET1_Import_Export!$B316+GREET1_Import_Export!$C316)</f>
        <v>4306.7962420195017</v>
      </c>
      <c r="E50" s="349"/>
      <c r="F50" s="347">
        <f>F$37*(GREET1_Import_Export!$K73+GREET1_Import_Export!$F$179*GREET1_Import_Export!$B187+GREET1_Import_Export!$F187)+F$38*(GREET1_Import_Export!$R73+GREET1_Import_Export!$H$179*GREET1_Import_Export!$B187+GREET1_Import_Export!$H187)+F$39*(GREET1_Import_Export!$B73+GREET1_Import_Export!$B223)+F$40*(GREET1_Import_Export!$AA73+GREET1_Import_Export!$B291)+F$41*(GREET1_Import_Export!$B316+GREET1_Import_Export!$C316)</f>
        <v>672.55871101603248</v>
      </c>
      <c r="G50" s="348"/>
      <c r="H50" s="849">
        <f>H$37*(GREET1_Import_Export!$K73+GREET1_Import_Export!$F$179*GREET1_Import_Export!$B187+GREET1_Import_Export!$F187)
+H$38*(C$12*GREET1_Import_Export!$R73+C$13*GREET1_Import_Export!$O73+GREET1_Import_Export!$G$179*GREET1_Import_Export!$B187+GREET1_Import_Export!$G187)
+H$39*(GREET1_Import_Export!$B73+GREET1_Import_Export!$B223)
+H$40*($C$11*GREET1_Import_Export!$AA73+GREET1_Import_Export!$B291)
+H$41*(GREET1_Import_Export!$L349)</f>
        <v>1328.6803905396409</v>
      </c>
      <c r="I50" s="494"/>
    </row>
    <row r="51" spans="1:9" s="496" customFormat="1">
      <c r="A51" s="498" t="s">
        <v>823</v>
      </c>
      <c r="B51" s="347">
        <f>B$37*(B$8*GREET1_Import_Export!$K74+GREET1_Import_Export!$F$179*GREET1_Import_Export!$B188+GREET1_Import_Export!$F188)+B$38*(B$12*GREET1_Import_Export!$R74+B$13*GREET1_Import_Export!$P148+GREET1_Import_Export!$H$179*GREET1_Import_Export!$B188+GREET1_Import_Export!$H188)+B$39*(B$9*GREET1_Import_Export!$B74+B$10*GREET1_Import_Export!$P120+GREET1_Import_Export!$B224)+B$40*(B$11*GREET1_Import_Export!$AA74+GREET1_Import_Export!$B292)+B$41*(GREET1_Import_Export!$B317+GREET1_Import_Export!$C317)</f>
        <v>316.77639989881163</v>
      </c>
      <c r="C51" s="348"/>
      <c r="D51" s="349">
        <f>D$37*(GREET1_Import_Export!$K74+GREET1_Import_Export!$F$179*GREET1_Import_Export!$B188+GREET1_Import_Export!$F188)+D$38*(GREET1_Import_Export!$O74+GREET1_Import_Export!$G$179*GREET1_Import_Export!$B188+GREET1_Import_Export!$G188)+D$39*(GREET1_Import_Export!$B74+GREET1_Import_Export!$B224)+D$40*(GREET1_Import_Export!$AA74+GREET1_Import_Export!$B292)+D$41*(GREET1_Import_Export!$B317+GREET1_Import_Export!$C317)</f>
        <v>9874.9493212295019</v>
      </c>
      <c r="E51" s="349"/>
      <c r="F51" s="347">
        <f>F$37*(GREET1_Import_Export!$K74+GREET1_Import_Export!$F$179*GREET1_Import_Export!$B188+GREET1_Import_Export!$F188)+F$38*(GREET1_Import_Export!$R74+GREET1_Import_Export!$H$179*GREET1_Import_Export!$B188+GREET1_Import_Export!$H188)+F$39*(GREET1_Import_Export!$B74+GREET1_Import_Export!$B224)+F$40*(GREET1_Import_Export!$AA74+GREET1_Import_Export!$B292)+F$41*(GREET1_Import_Export!$B317+GREET1_Import_Export!$C317)</f>
        <v>905.07542828231897</v>
      </c>
      <c r="G51" s="348"/>
      <c r="H51" s="849">
        <f>H$37*(GREET1_Import_Export!$K74+GREET1_Import_Export!$F$179*GREET1_Import_Export!$B188+GREET1_Import_Export!$F188)+H$38*(C$12*GREET1_Import_Export!$R74+C$13*GREET1_Import_Export!$O74+GREET1_Import_Export!$G$179*GREET1_Import_Export!$B188+GREET1_Import_Export!$G188)+H$39*(GREET1_Import_Export!$B74+GREET1_Import_Export!$B224)+H$40*($C$11*GREET1_Import_Export!$AA74+GREET1_Import_Export!$B292)+H$41*(GREET1_Import_Export!$L350)</f>
        <v>5564.2796399331955</v>
      </c>
      <c r="I51" s="494"/>
    </row>
    <row r="52" spans="1:9" s="496" customFormat="1">
      <c r="A52" s="498" t="s">
        <v>824</v>
      </c>
      <c r="B52" s="347">
        <f>B$37*(B$8*GREET1_Import_Export!$K75+GREET1_Import_Export!$F$179*GREET1_Import_Export!$B189+GREET1_Import_Export!$F189)+B$38*(B$12*GREET1_Import_Export!$R75+B$13*GREET1_Import_Export!$P149+GREET1_Import_Export!$H$179*GREET1_Import_Export!$B189+GREET1_Import_Export!$H189)+B$39*(B$9*GREET1_Import_Export!$B75+B$10*GREET1_Import_Export!$P121+GREET1_Import_Export!$B225)+B$40*(B$11*GREET1_Import_Export!$AA75+GREET1_Import_Export!$B293)+B$41*(GREET1_Import_Export!$B318+GREET1_Import_Export!$C318)</f>
        <v>41.977101564257524</v>
      </c>
      <c r="C52" s="339">
        <f>2724*0.6</f>
        <v>1634.3999999999999</v>
      </c>
      <c r="D52" s="349">
        <f>D$37*(GREET1_Import_Export!$K75+GREET1_Import_Export!$F$179*GREET1_Import_Export!$B189+GREET1_Import_Export!$F189)+D$38*(GREET1_Import_Export!$O75+GREET1_Import_Export!$G$179*GREET1_Import_Export!$B189+GREET1_Import_Export!$G189)+D$39*(GREET1_Import_Export!$B75+GREET1_Import_Export!$B225)+D$40*(GREET1_Import_Export!$AA75+GREET1_Import_Export!$B293)+D$41*(GREET1_Import_Export!$B318+GREET1_Import_Export!$C318)</f>
        <v>1494.0759369837542</v>
      </c>
      <c r="E52" s="349"/>
      <c r="F52" s="347">
        <f>F$37*(GREET1_Import_Export!$K75+GREET1_Import_Export!$F$179*GREET1_Import_Export!$B189+GREET1_Import_Export!$F189)+F$38*(GREET1_Import_Export!$R75+GREET1_Import_Export!$H$179*GREET1_Import_Export!$B189+GREET1_Import_Export!$H189)+F$39*(GREET1_Import_Export!$B75+GREET1_Import_Export!$B225)+F$40*(GREET1_Import_Export!$AA75+GREET1_Import_Export!$B293)+F$41*(GREET1_Import_Export!$B318+GREET1_Import_Export!$C318)</f>
        <v>119.93457589787863</v>
      </c>
      <c r="G52" s="348">
        <f>C52/B$4</f>
        <v>4669.7142857142853</v>
      </c>
      <c r="H52" s="849">
        <f>H$37*(GREET1_Import_Export!$K75+GREET1_Import_Export!$F$179*GREET1_Import_Export!$B189+GREET1_Import_Export!$F189)+H$38*(C$12*GREET1_Import_Export!$R75+C$13*GREET1_Import_Export!$O75+GREET1_Import_Export!$G$179*GREET1_Import_Export!$B189+GREET1_Import_Export!$G189)+H$39*(GREET1_Import_Export!$B75+GREET1_Import_Export!$B225)+H$40*($C$11*GREET1_Import_Export!$AA75+GREET1_Import_Export!$B293)+H$41*(GREET1_Import_Export!$L351)</f>
        <v>1000.0144647232137</v>
      </c>
      <c r="I52" s="494"/>
    </row>
    <row r="53" spans="1:9" s="349" customFormat="1">
      <c r="A53" s="347" t="s">
        <v>825</v>
      </c>
      <c r="B53" s="347">
        <f>B$37*(B$8*GREET1_Import_Export!$K76+GREET1_Import_Export!$F$179*GREET1_Import_Export!$B190+GREET1_Import_Export!$F190)+B$38*(B$12*GREET1_Import_Export!$R76+B$13*GREET1_Import_Export!$P150+GREET1_Import_Export!$H$179*GREET1_Import_Export!$B190+GREET1_Import_Export!$H190)+B$39*(B$9*GREET1_Import_Export!$B76+B$10*GREET1_Import_Export!$P122+GREET1_Import_Export!$B226)+B$40*(B$11*GREET1_Import_Export!$AA76+GREET1_Import_Export!$B294)+B$41*(GREET1_Import_Export!$B319+GREET1_Import_Export!$C319)</f>
        <v>23.776418211968071</v>
      </c>
      <c r="C53" s="348">
        <f>C52/2</f>
        <v>817.19999999999993</v>
      </c>
      <c r="D53" s="349">
        <f>D$37*(GREET1_Import_Export!$K76+GREET1_Import_Export!$F$179*GREET1_Import_Export!$B190+GREET1_Import_Export!$F190)+D$38*(GREET1_Import_Export!$O76+GREET1_Import_Export!$G$179*GREET1_Import_Export!$B190+GREET1_Import_Export!$G190)+D$39*(GREET1_Import_Export!$B76+GREET1_Import_Export!$B226)+D$40*(GREET1_Import_Export!$AA76+GREET1_Import_Export!$B294)+D$41*(GREET1_Import_Export!$B319+GREET1_Import_Export!$C319)</f>
        <v>863.45114450053427</v>
      </c>
      <c r="F53" s="347">
        <f>F$37*(GREET1_Import_Export!$K76+GREET1_Import_Export!$F$179*GREET1_Import_Export!$B190+GREET1_Import_Export!$F190)+F$38*(GREET1_Import_Export!$R76+GREET1_Import_Export!$H$179*GREET1_Import_Export!$B190+GREET1_Import_Export!$H190)+F$39*(GREET1_Import_Export!$B76+GREET1_Import_Export!$B226)+F$40*(GREET1_Import_Export!$AA76+GREET1_Import_Export!$B294)+F$41*(GREET1_Import_Export!$B319+GREET1_Import_Export!$C319)</f>
        <v>67.932623462765918</v>
      </c>
      <c r="G53" s="348">
        <f>C53/B$4</f>
        <v>2334.8571428571427</v>
      </c>
      <c r="H53" s="849">
        <f>H$37*(GREET1_Import_Export!$K76+GREET1_Import_Export!$F$179*GREET1_Import_Export!$B190+GREET1_Import_Export!$F190)+H$38*(C$12*GREET1_Import_Export!$R76+C$13*GREET1_Import_Export!$O76+GREET1_Import_Export!$G$179*GREET1_Import_Export!$B190+GREET1_Import_Export!$G190)+H$39*(GREET1_Import_Export!$B76+GREET1_Import_Export!$B226)+H$40*($C$11*GREET1_Import_Export!$AA76+GREET1_Import_Export!$B294)+H$41*(GREET1_Import_Export!$L352)</f>
        <v>448.26929860112239</v>
      </c>
      <c r="I53" s="494"/>
    </row>
    <row r="54" spans="1:9" s="496" customFormat="1">
      <c r="A54" s="347" t="s">
        <v>826</v>
      </c>
      <c r="B54" s="347">
        <f>B$37*(B$8*GREET1_Import_Export!$K77+GREET1_Import_Export!$F$179*GREET1_Import_Export!$B191+GREET1_Import_Export!$F191)+B$38*(B$12*GREET1_Import_Export!$R77+B$13*GREET1_Import_Export!$P151+GREET1_Import_Export!$H$179*GREET1_Import_Export!$B191+GREET1_Import_Export!$H191)+B$39*(B$9*GREET1_Import_Export!$B77+B$10*GREET1_Import_Export!$P123+GREET1_Import_Export!$B227)+B$40*(B$11*GREET1_Import_Export!$AA77+GREET1_Import_Export!$B295)+B$41*(GREET1_Import_Export!$B320+GREET1_Import_Export!$C320)</f>
        <v>198.85225369812247</v>
      </c>
      <c r="C54" s="348"/>
      <c r="D54" s="349">
        <f>D$37*(GREET1_Import_Export!$K77+GREET1_Import_Export!$F$179*GREET1_Import_Export!$B191+GREET1_Import_Export!$F191)+D$38*(GREET1_Import_Export!$O77+GREET1_Import_Export!$G$179*GREET1_Import_Export!$B191+GREET1_Import_Export!$G191)+D$39*(GREET1_Import_Export!$B77+GREET1_Import_Export!$B227)+D$40*(GREET1_Import_Export!$AA77+GREET1_Import_Export!$B295)+D$41*(GREET1_Import_Export!$B320+GREET1_Import_Export!$C320)</f>
        <v>5747.3865894970659</v>
      </c>
      <c r="E54" s="349"/>
      <c r="F54" s="347">
        <f>F$37*(GREET1_Import_Export!$K77+GREET1_Import_Export!$F$179*GREET1_Import_Export!$B191+GREET1_Import_Export!$F191)+F$38*(GREET1_Import_Export!$R77+GREET1_Import_Export!$H$179*GREET1_Import_Export!$B191+GREET1_Import_Export!$H191)+F$39*(GREET1_Import_Export!$B77+GREET1_Import_Export!$B227)+F$40*(GREET1_Import_Export!$AA77+GREET1_Import_Export!$B295)+F$41*(GREET1_Import_Export!$B320+GREET1_Import_Export!$C320)</f>
        <v>568.14929628034997</v>
      </c>
      <c r="G54" s="348"/>
      <c r="H54" s="849">
        <f>H$37*(GREET1_Import_Export!$K77+GREET1_Import_Export!$F$179*GREET1_Import_Export!$B191+GREET1_Import_Export!$F191)+H$38*(C$12*GREET1_Import_Export!$R77+C$13*GREET1_Import_Export!$O77+GREET1_Import_Export!$G$179*GREET1_Import_Export!$B191+GREET1_Import_Export!$G191)+H$39*(GREET1_Import_Export!$B77+GREET1_Import_Export!$B227)+H$40*($C$11*GREET1_Import_Export!$AA77+GREET1_Import_Export!$B295)+H$41*(GREET1_Import_Export!$L353)</f>
        <v>8526.5901082478704</v>
      </c>
      <c r="I54" s="494"/>
    </row>
    <row r="55" spans="1:9" s="496" customFormat="1">
      <c r="A55" s="749" t="s">
        <v>827</v>
      </c>
      <c r="B55" s="347">
        <f>B$37*(B$8*GREET1_Import_Export!$K78+GREET1_Import_Export!$F$179*GREET1_Import_Export!$B192+GREET1_Import_Export!$F192)+B$38*(B$12*GREET1_Import_Export!$R78+B$13*GREET1_Import_Export!$P152+GREET1_Import_Export!$H$179*GREET1_Import_Export!$B192+GREET1_Import_Export!$H192)+B$39*(B$9*GREET1_Import_Export!$B78+B$10*GREET1_Import_Export!$P124+GREET1_Import_Export!$B228)+B$40*(B$11*GREET1_Import_Export!$AA78+GREET1_Import_Export!$B296)+B$41*(GREET1_Import_Export!$B321+GREET1_Import_Export!$C321)</f>
        <v>1.5061135781005959</v>
      </c>
      <c r="C55" s="348"/>
      <c r="D55" s="349">
        <f>D$37*(GREET1_Import_Export!$K78+GREET1_Import_Export!$F$179*GREET1_Import_Export!$B192+GREET1_Import_Export!$F192)+D$38*(GREET1_Import_Export!$O78+GREET1_Import_Export!$G$179*GREET1_Import_Export!$B192+GREET1_Import_Export!$G192)+D$39*(GREET1_Import_Export!$B78+GREET1_Import_Export!$B228)+D$40*(GREET1_Import_Export!$AA78+GREET1_Import_Export!$B296)+D$41*(GREET1_Import_Export!$B321+GREET1_Import_Export!$C321)</f>
        <v>77.852132927993154</v>
      </c>
      <c r="E55" s="349"/>
      <c r="F55" s="347">
        <f>F$37*(GREET1_Import_Export!$K78+GREET1_Import_Export!$F$179*GREET1_Import_Export!$B192+GREET1_Import_Export!$F192)+F$38*(GREET1_Import_Export!$R78+GREET1_Import_Export!$H$179*GREET1_Import_Export!$B192+GREET1_Import_Export!$H192)+F$39*(GREET1_Import_Export!$B78+GREET1_Import_Export!$B228)+F$40*(GREET1_Import_Export!$AA78+GREET1_Import_Export!$B296)+F$41*(GREET1_Import_Export!$B321+GREET1_Import_Export!$C321)</f>
        <v>4.3031816517159891</v>
      </c>
      <c r="G55" s="348"/>
      <c r="H55" s="849">
        <f>H$37*(GREET1_Import_Export!$K78+GREET1_Import_Export!$F$179*GREET1_Import_Export!$B192+GREET1_Import_Export!$F192)+H$38*(C$12*GREET1_Import_Export!$R78+C$13*GREET1_Import_Export!$O78+GREET1_Import_Export!$G$179*GREET1_Import_Export!$B192+GREET1_Import_Export!$G192)+H$39*(GREET1_Import_Export!$B78+GREET1_Import_Export!$B228)+H$40*($C$11*GREET1_Import_Export!$AA78+GREET1_Import_Export!$B296)+H$41*(GREET1_Import_Export!$L354)</f>
        <v>19.15857158646433</v>
      </c>
      <c r="I55" s="494"/>
    </row>
    <row r="56" spans="1:9" s="496" customFormat="1">
      <c r="A56" s="749" t="s">
        <v>828</v>
      </c>
      <c r="B56" s="347">
        <f>B$37*(B$8*GREET1_Import_Export!$K79+GREET1_Import_Export!$F$179*GREET1_Import_Export!$B193+GREET1_Import_Export!$F193)+B$38*(B$12*GREET1_Import_Export!$R79+B$13*GREET1_Import_Export!$P153+GREET1_Import_Export!$H$179*GREET1_Import_Export!$B193+GREET1_Import_Export!$H193)+B$39*(B$9*GREET1_Import_Export!$B79+B$10*GREET1_Import_Export!$P125+GREET1_Import_Export!$B229)+B$40*(B$11*GREET1_Import_Export!$AA79+GREET1_Import_Export!$B297)+B$41*(GREET1_Import_Export!$B322+GREET1_Import_Export!$C322)</f>
        <v>6.7415487315041309</v>
      </c>
      <c r="C56" s="348"/>
      <c r="D56" s="349">
        <f>D$37*(GREET1_Import_Export!$K79+GREET1_Import_Export!$F$179*GREET1_Import_Export!$B193+GREET1_Import_Export!$F193)+D$38*(GREET1_Import_Export!$O79+GREET1_Import_Export!$G$179*GREET1_Import_Export!$B193+GREET1_Import_Export!$G193)+D$39*(GREET1_Import_Export!$B79+GREET1_Import_Export!$B229)+D$40*(GREET1_Import_Export!$AA79+GREET1_Import_Export!$B297)+D$41*(GREET1_Import_Export!$B322+GREET1_Import_Export!$C322)</f>
        <v>114.87092505581381</v>
      </c>
      <c r="E56" s="349"/>
      <c r="F56" s="347">
        <f>F$37*(GREET1_Import_Export!$K79+GREET1_Import_Export!$F$179*GREET1_Import_Export!$B193+GREET1_Import_Export!$F193)+F$38*(GREET1_Import_Export!$R79+GREET1_Import_Export!$H$179*GREET1_Import_Export!$B193+GREET1_Import_Export!$H193)+F$39*(GREET1_Import_Export!$B79+GREET1_Import_Export!$B229)+F$40*(GREET1_Import_Export!$AA79+GREET1_Import_Export!$B297)+F$41*(GREET1_Import_Export!$B322+GREET1_Import_Export!$C322)</f>
        <v>19.26156780429752</v>
      </c>
      <c r="G56" s="348"/>
      <c r="H56" s="849">
        <f>H$37*(GREET1_Import_Export!$K79+GREET1_Import_Export!$F$179*GREET1_Import_Export!$B193+GREET1_Import_Export!$F193)+H$38*(C$12*GREET1_Import_Export!$R79+C$13*GREET1_Import_Export!$O79+GREET1_Import_Export!$G$179*GREET1_Import_Export!$B193+GREET1_Import_Export!$G193)+H$39*(GREET1_Import_Export!$B79+GREET1_Import_Export!$B229)+H$40*($C$11*GREET1_Import_Export!$AA79+GREET1_Import_Export!$B297)+H$41*(GREET1_Import_Export!$L355)</f>
        <v>37.907216320304947</v>
      </c>
      <c r="I56" s="494"/>
    </row>
    <row r="57" spans="1:9" s="496" customFormat="1">
      <c r="A57" s="347" t="s">
        <v>829</v>
      </c>
      <c r="B57" s="347">
        <f>B$37*(B$8*GREET1_Import_Export!$K80+GREET1_Import_Export!$F$179*GREET1_Import_Export!$B194+GREET1_Import_Export!$F194)+B$38*(B$12*GREET1_Import_Export!$R80+B$13*GREET1_Import_Export!$P154+GREET1_Import_Export!$H$179*GREET1_Import_Export!$B194+GREET1_Import_Export!$H194)+B$39*(B$9*GREET1_Import_Export!$B80+B$10*GREET1_Import_Export!$P126+GREET1_Import_Export!$B230)+B$40*(B$11*GREET1_Import_Export!$AA80+GREET1_Import_Export!$B298)+B$41*(GREET1_Import_Export!$B323+GREET1_Import_Export!$C323)</f>
        <v>885.2272277610449</v>
      </c>
      <c r="C57" s="348"/>
      <c r="D57" s="349">
        <f>D$37*(GREET1_Import_Export!$K80+GREET1_Import_Export!$F$179*GREET1_Import_Export!$B194+GREET1_Import_Export!$F194)+D$38*(GREET1_Import_Export!$O80+GREET1_Import_Export!$G$179*GREET1_Import_Export!$B194+GREET1_Import_Export!$G194)+D$39*(GREET1_Import_Export!$B80+GREET1_Import_Export!$B230)+D$40*(GREET1_Import_Export!$AA80+GREET1_Import_Export!$B298)+D$41*(GREET1_Import_Export!$B323+GREET1_Import_Export!$C323)</f>
        <v>13889.308451947498</v>
      </c>
      <c r="E57" s="349"/>
      <c r="F57" s="347">
        <f>F$37*(GREET1_Import_Export!$K80+GREET1_Import_Export!$F$179*GREET1_Import_Export!$B194+GREET1_Import_Export!$F194)+F$38*(GREET1_Import_Export!$R80+GREET1_Import_Export!$H$179*GREET1_Import_Export!$B194+GREET1_Import_Export!$H194)+F$39*(GREET1_Import_Export!$B80+GREET1_Import_Export!$B230)+F$40*(GREET1_Import_Export!$AA80+GREET1_Import_Export!$B298)+F$41*(GREET1_Import_Export!$B323+GREET1_Import_Export!$C323)</f>
        <v>2529.2206507458427</v>
      </c>
      <c r="G57" s="348"/>
      <c r="H57" s="849">
        <f>H$37*(GREET1_Import_Export!$K80+GREET1_Import_Export!$F$179*GREET1_Import_Export!$B194+GREET1_Import_Export!$F194)+H$38*(C$12*GREET1_Import_Export!$R80+C$13*GREET1_Import_Export!$O80+GREET1_Import_Export!$G$179*GREET1_Import_Export!$B194+GREET1_Import_Export!$G194)+H$39*(GREET1_Import_Export!$B80+GREET1_Import_Export!$B230)+H$40*($C$11*GREET1_Import_Export!$AA80+GREET1_Import_Export!$B298)+H$41*(GREET1_Import_Export!$L356)</f>
        <v>10803.230708864667</v>
      </c>
      <c r="I57" s="494"/>
    </row>
    <row r="58" spans="1:9" s="496" customFormat="1">
      <c r="A58" s="347" t="s">
        <v>830</v>
      </c>
      <c r="B58" s="347">
        <f>B$37*(B$8*GREET1_Import_Export!$K81+GREET1_Import_Export!$F$179*GREET1_Import_Export!$B195+GREET1_Import_Export!$F195)+B$38*(B$12*GREET1_Import_Export!$R81+B$13*GREET1_Import_Export!$P155+GREET1_Import_Export!$H$179*GREET1_Import_Export!$B195+GREET1_Import_Export!$H195)+B$39*(B$9*GREET1_Import_Export!$B81+B$10*GREET1_Import_Export!$P127+GREET1_Import_Export!$B231)+B$40*(B$11*GREET1_Import_Export!$AA81+GREET1_Import_Export!$B299)+B$41*(GREET1_Import_Export!$B324+GREET1_Import_Export!$C324)</f>
        <v>7.5567993349425793</v>
      </c>
      <c r="C58" s="348"/>
      <c r="D58" s="349">
        <f>D$37*(GREET1_Import_Export!$K81+GREET1_Import_Export!$F$179*GREET1_Import_Export!$B195+GREET1_Import_Export!$F195)+D$38*(GREET1_Import_Export!$O81+GREET1_Import_Export!$G$179*GREET1_Import_Export!$B195+GREET1_Import_Export!$G195)+D$39*(GREET1_Import_Export!$B81+GREET1_Import_Export!$B231)+D$40*(GREET1_Import_Export!$AA81+GREET1_Import_Export!$B299)+D$41*(GREET1_Import_Export!$B324+GREET1_Import_Export!$C324)</f>
        <v>174.77467372441237</v>
      </c>
      <c r="E58" s="349"/>
      <c r="F58" s="347">
        <f>F$37*(GREET1_Import_Export!$K81+GREET1_Import_Export!$F$179*GREET1_Import_Export!$B195+GREET1_Import_Export!$F195)+F$38*(GREET1_Import_Export!$R81+GREET1_Import_Export!$H$179*GREET1_Import_Export!$B195+GREET1_Import_Export!$H195)+F$39*(GREET1_Import_Export!$B81+GREET1_Import_Export!$B231)+F$40*(GREET1_Import_Export!$AA81+GREET1_Import_Export!$B299)+F$41*(GREET1_Import_Export!$B324+GREET1_Import_Export!$C324)</f>
        <v>21.590855242693085</v>
      </c>
      <c r="G58" s="348"/>
      <c r="H58" s="849">
        <f>H$37*(GREET1_Import_Export!$K81+GREET1_Import_Export!$F$179*GREET1_Import_Export!$B195+GREET1_Import_Export!$F195)+H$38*(C$12*GREET1_Import_Export!$R81+C$13*GREET1_Import_Export!$O81+GREET1_Import_Export!$G$179*GREET1_Import_Export!$B195+GREET1_Import_Export!$G195)+H$39*(GREET1_Import_Export!$B81+GREET1_Import_Export!$B231)+H$40*($C$11*GREET1_Import_Export!$AA81+GREET1_Import_Export!$B299)+H$41*(GREET1_Import_Export!$L357)</f>
        <v>141.14582086778782</v>
      </c>
      <c r="I58" s="494"/>
    </row>
    <row r="59" spans="1:9" s="535" customFormat="1">
      <c r="A59" s="668" t="s">
        <v>831</v>
      </c>
      <c r="B59" s="295">
        <f>B$37*(B$8*GREET1_Import_Export!$K82+GREET1_Import_Export!$F$179*GREET1_Import_Export!$B196+GREET1_Import_Export!$F196)+B$38*(B$12*GREET1_Import_Export!$R82+B$13*GREET1_Import_Export!$P156+GREET1_Import_Export!$H$179*GREET1_Import_Export!$B196+GREET1_Import_Export!$H196)+B$39*(B$9*GREET1_Import_Export!$B82+B$10*GREET1_Import_Export!$P128+GREET1_Import_Export!$B232)+B$40*(B$11*GREET1_Import_Export!$AA82+GREET1_Import_Export!$B300)+B$41*(GREET1_Import_Export!$B325+GREET1_Import_Export!$C325)</f>
        <v>420891.24515300075</v>
      </c>
      <c r="C59" s="752"/>
      <c r="D59" s="374">
        <f>D$37*(GREET1_Import_Export!$K82+GREET1_Import_Export!$F$179*GREET1_Import_Export!$B196+GREET1_Import_Export!$F196)+D$38*(GREET1_Import_Export!$O82+GREET1_Import_Export!$G$179*GREET1_Import_Export!$B196+GREET1_Import_Export!$G196)+D$39*(GREET1_Import_Export!$B82+GREET1_Import_Export!$B232)+D$40*(GREET1_Import_Export!$AA82+GREET1_Import_Export!$B300)+D$41*(GREET1_Import_Export!$B325+GREET1_Import_Export!$C325)</f>
        <v>6926394.4399991408</v>
      </c>
      <c r="E59" s="374"/>
      <c r="F59" s="668">
        <f>F$37*(GREET1_Import_Export!$K82+GREET1_Import_Export!$F$179*GREET1_Import_Export!$B196+GREET1_Import_Export!$F196)+F$38*(GREET1_Import_Export!$R82+GREET1_Import_Export!$H$179*GREET1_Import_Export!$B196+GREET1_Import_Export!$H196)+F$39*(GREET1_Import_Export!$B82+GREET1_Import_Export!$B232)+F$40*(GREET1_Import_Export!$AA82+GREET1_Import_Export!$B300)+F$41*(GREET1_Import_Export!$B325+GREET1_Import_Export!$C325)</f>
        <v>1202546.4147228592</v>
      </c>
      <c r="G59" s="752"/>
      <c r="H59" s="517">
        <f>H$37*(GREET1_Import_Export!$K82+GREET1_Import_Export!$F$179*GREET1_Import_Export!$B196+GREET1_Import_Export!$F196)+H$38*(C$12*GREET1_Import_Export!$R82+C$13*GREET1_Import_Export!$O82+GREET1_Import_Export!$G$179*GREET1_Import_Export!$B196+GREET1_Import_Export!$G196)+H$39*(GREET1_Import_Export!$B82+GREET1_Import_Export!$B232)+H$40*($C$11*GREET1_Import_Export!$AA82+GREET1_Import_Export!$B300)+H$41*(GREET1_Import_Export!$L358)</f>
        <v>6789160.7021548934</v>
      </c>
      <c r="I59" s="756">
        <v>346544.57</v>
      </c>
    </row>
    <row r="60" spans="1:9" s="496" customFormat="1">
      <c r="A60" s="758" t="s">
        <v>865</v>
      </c>
      <c r="B60" s="347"/>
      <c r="C60" s="348"/>
      <c r="D60" s="389"/>
      <c r="E60" s="349"/>
      <c r="F60" s="390"/>
      <c r="G60" s="348"/>
      <c r="H60" s="1105"/>
      <c r="I60" s="509"/>
    </row>
    <row r="61" spans="1:9" s="496" customFormat="1">
      <c r="A61" s="347" t="s">
        <v>821</v>
      </c>
      <c r="B61" s="347">
        <f>B$37*(B$29*(B$8*GREET1_Import_Export!$K72)+GREET1_Import_Export!$F$200*GREET1_Import_Export!$B201+GREET1_Import_Export!$F201)+B$38*(B$29*(B$12*GREET1_Import_Export!$R72+B$13*GREET1_Import_Export!$P146)+GREET1_Import_Export!$H$200*GREET1_Import_Export!$B201+GREET1_Import_Export!$H201)+B$39*(B$29*(B$9*GREET1_Import_Export!$B72+B$10*GREET1_Import_Export!$P118)+GREET1_Import_Export!$B237)+B$40*(B$29*(B$11*GREET1_Import_Export!$AA72)+GREET1_Import_Export!$C290)+B$41*(GREET1_Import_Export!$D315+GREET1_Import_Export!$E315)</f>
        <v>4.5571386222214709</v>
      </c>
      <c r="C61" s="348">
        <f t="shared" ref="C61:C68" si="1">C49*B$29</f>
        <v>0</v>
      </c>
      <c r="D61" s="349">
        <f>D$37*(D$29*(GREET1_Import_Export!$K72)+GREET1_Import_Export!$F$200*GREET1_Import_Export!$B201+GREET1_Import_Export!$F201)+D$38*(D$29*(GREET1_Import_Export!$O72)+GREET1_Import_Export!$G$200*GREET1_Import_Export!$B201+GREET1_Import_Export!$G201)+D$39*(D$29*(GREET1_Import_Export!$B72)+GREET1_Import_Export!$B237)+D$40*(D$29*(GREET1_Import_Export!$AA72)+GREET1_Import_Export!$C290)+D$41*(GREET1_Import_Export!$D315+GREET1_Import_Export!$E315)</f>
        <v>112.06773039854644</v>
      </c>
      <c r="E61" s="349">
        <f t="shared" ref="E61:E68" si="2">E49*D$29</f>
        <v>0</v>
      </c>
      <c r="F61" s="347">
        <f>F$37*(F$29*(GREET1_Import_Export!$K72)+GREET1_Import_Export!$F$200*GREET1_Import_Export!$B201+GREET1_Import_Export!$F201)+F$38*(F$29*(GREET1_Import_Export!$R72)+GREET1_Import_Export!$H$200*GREET1_Import_Export!$B201+GREET1_Import_Export!$H201)+F$39*(F$29*(GREET1_Import_Export!$B72)+GREET1_Import_Export!$B237)+F$40*(F$29*(GREET1_Import_Export!$AA72)+GREET1_Import_Export!$C290)+F$41*(GREET1_Import_Export!$D315+GREET1_Import_Export!$E315)</f>
        <v>13.020396063489919</v>
      </c>
      <c r="G61" s="348">
        <f t="shared" ref="G61:G68" si="3">G49*F$29</f>
        <v>0</v>
      </c>
      <c r="H61" s="911">
        <f>H$37*(H$29*(GREET1_Import_Export!$K72)+GREET1_Import_Export!$F$200*GREET1_Import_Export!$B201+GREET1_Import_Export!$F201)+H$38*(H$29*(C$12*GREET1_Import_Export!$R72+C$13*GREET1_Import_Export!$O72)+GREET1_Import_Export!$G$200*GREET1_Import_Export!$B201+GREET1_Import_Export!$G201)+H$39*(H$29*(GREET1_Import_Export!$B72)+GREET1_Import_Export!$B237)+H$40*(H$29*(GREET1_Import_Export!$AA72)+GREET1_Import_Export!$C290)+H$41*(GREET1_Import_Export!$L363)</f>
        <v>26.66544865200127</v>
      </c>
      <c r="I61" s="348"/>
    </row>
    <row r="62" spans="1:9" s="496" customFormat="1">
      <c r="A62" s="347" t="s">
        <v>822</v>
      </c>
      <c r="B62" s="347">
        <f>B$37*(B$29*(B$8*GREET1_Import_Export!$K73)+GREET1_Import_Export!$F$200*GREET1_Import_Export!$B202+GREET1_Import_Export!$F202)+B$38*(B$29*(B$12*GREET1_Import_Export!$R73+B$13*GREET1_Import_Export!$P147)+GREET1_Import_Export!$H$200*GREET1_Import_Export!$B202+GREET1_Import_Export!$H202)+B$39*(B$29*(B$9*GREET1_Import_Export!$B73+B$10*GREET1_Import_Export!$P119)+GREET1_Import_Export!$B238)+B$40*(B$29*(B$11*GREET1_Import_Export!$AA73)+GREET1_Import_Export!$C291)+B$41*(GREET1_Import_Export!$D316+GREET1_Import_Export!$E316)</f>
        <v>20.49580814943328</v>
      </c>
      <c r="C62" s="348">
        <f t="shared" si="1"/>
        <v>0</v>
      </c>
      <c r="D62" s="349">
        <f>D$37*(D$29*(GREET1_Import_Export!$K73)+GREET1_Import_Export!$F$200*GREET1_Import_Export!$B202+GREET1_Import_Export!$F202)+D$38*(D$29*(GREET1_Import_Export!$O73)+GREET1_Import_Export!$G$200*GREET1_Import_Export!$B202+GREET1_Import_Export!$G202)+D$39*(D$29*(GREET1_Import_Export!$B73)+GREET1_Import_Export!$B238)+D$40*(D$29*(GREET1_Import_Export!$AA73)+GREET1_Import_Export!$C291)+D$41*(GREET1_Import_Export!$D316+GREET1_Import_Export!$E316)</f>
        <v>179.84639070046993</v>
      </c>
      <c r="E62" s="349">
        <f t="shared" si="2"/>
        <v>0</v>
      </c>
      <c r="F62" s="347">
        <f>F$37*(F$29*(GREET1_Import_Export!$K73)+GREET1_Import_Export!$F$200*GREET1_Import_Export!$B202+GREET1_Import_Export!$F202)+F$38*(F$29*(GREET1_Import_Export!$R73)+GREET1_Import_Export!$H$200*GREET1_Import_Export!$B202+GREET1_Import_Export!$H202)+F$39*(F$29*(GREET1_Import_Export!$B73)+GREET1_Import_Export!$B238)+F$40*(F$29*(GREET1_Import_Export!$AA73)+GREET1_Import_Export!$C291)+F$41*(GREET1_Import_Export!$D316+GREET1_Import_Export!$E316)</f>
        <v>58.559451855523655</v>
      </c>
      <c r="G62" s="348">
        <f t="shared" si="3"/>
        <v>0</v>
      </c>
      <c r="H62" s="911">
        <f>H$37*(H$29*(GREET1_Import_Export!$K73)+GREET1_Import_Export!$F$200*GREET1_Import_Export!$B202+GREET1_Import_Export!$F202)+H$38*(H$29*(C$12*GREET1_Import_Export!$R73+C$13*GREET1_Import_Export!$O73)+GREET1_Import_Export!$G$200*GREET1_Import_Export!$B202+GREET1_Import_Export!$G202)+H$39*(H$29*(GREET1_Import_Export!$B73)+GREET1_Import_Export!$B238)+H$40*(H$29*(GREET1_Import_Export!$AA73)+GREET1_Import_Export!$C291)+H$41*(GREET1_Import_Export!$L364)</f>
        <v>269.12611578272157</v>
      </c>
      <c r="I62" s="348"/>
    </row>
    <row r="63" spans="1:9" s="496" customFormat="1">
      <c r="A63" s="347" t="s">
        <v>823</v>
      </c>
      <c r="B63" s="347">
        <f>B$37*(B$29*(B$8*GREET1_Import_Export!$K74)+GREET1_Import_Export!$F$200*GREET1_Import_Export!$B203+GREET1_Import_Export!$F203)+B$38*(B$29*(B$12*GREET1_Import_Export!$R74+B$13*GREET1_Import_Export!$P148)+GREET1_Import_Export!$H$200*GREET1_Import_Export!$B203+GREET1_Import_Export!$H203)+B$39*(B$29*(B$9*GREET1_Import_Export!$B74+B$10*GREET1_Import_Export!$P120)+GREET1_Import_Export!$B239)+B$40*(B$29*(B$11*GREET1_Import_Export!$AA74)+GREET1_Import_Export!$C292)+B$41*(GREET1_Import_Export!$D317+GREET1_Import_Export!$E317)</f>
        <v>59.389539709803472</v>
      </c>
      <c r="C63" s="348">
        <f t="shared" si="1"/>
        <v>0</v>
      </c>
      <c r="D63" s="349">
        <f>D$37*(D$29*(GREET1_Import_Export!$K74)+GREET1_Import_Export!$F$200*GREET1_Import_Export!$B203+GREET1_Import_Export!$F203)+D$38*(D$29*(GREET1_Import_Export!$O74)+GREET1_Import_Export!$G$200*GREET1_Import_Export!$B203+GREET1_Import_Export!$G203)+D$39*(D$29*(GREET1_Import_Export!$B74)+GREET1_Import_Export!$B239)+D$40*(D$29*(GREET1_Import_Export!$AA74)+GREET1_Import_Export!$C292)+D$41*(GREET1_Import_Export!$D317+GREET1_Import_Export!$E317)</f>
        <v>240.53154334056904</v>
      </c>
      <c r="E63" s="349">
        <f t="shared" si="2"/>
        <v>0</v>
      </c>
      <c r="F63" s="347">
        <f>F$37*(F$29*(GREET1_Import_Export!$K74)+GREET1_Import_Export!$F$200*GREET1_Import_Export!$B203+GREET1_Import_Export!$F203)+F$38*(F$29*(GREET1_Import_Export!$R74)+GREET1_Import_Export!$H$200*GREET1_Import_Export!$B203+GREET1_Import_Export!$H203)+F$39*(F$29*(GREET1_Import_Export!$B74)+GREET1_Import_Export!$B239)+F$40*(F$29*(GREET1_Import_Export!$AA74)+GREET1_Import_Export!$C292)+F$41*(GREET1_Import_Export!$D317+GREET1_Import_Export!$E317)</f>
        <v>169.68439917086707</v>
      </c>
      <c r="G63" s="348">
        <f t="shared" si="3"/>
        <v>0</v>
      </c>
      <c r="H63" s="911">
        <f>H$37*(H$29*(GREET1_Import_Export!$K74)+GREET1_Import_Export!$F$200*GREET1_Import_Export!$B203+GREET1_Import_Export!$F203)+H$38*(H$29*(C$12*GREET1_Import_Export!$R74+C$13*GREET1_Import_Export!$O74)+GREET1_Import_Export!$G$200*GREET1_Import_Export!$B203+GREET1_Import_Export!$G203)+H$39*(H$29*(GREET1_Import_Export!$B74)+GREET1_Import_Export!$B239)+H$40*(H$29*(GREET1_Import_Export!$AA74)+GREET1_Import_Export!$C292)+H$41*(GREET1_Import_Export!$L365)</f>
        <v>1156.2725364226601</v>
      </c>
      <c r="I63" s="348"/>
    </row>
    <row r="64" spans="1:9" s="496" customFormat="1">
      <c r="A64" s="347" t="s">
        <v>824</v>
      </c>
      <c r="B64" s="347">
        <f>B$37*(B$29*(B$8*GREET1_Import_Export!$K75)+GREET1_Import_Export!$F$200*GREET1_Import_Export!$B204+GREET1_Import_Export!$F204)+B$38*(B$29*(B$12*GREET1_Import_Export!$R75+B$13*GREET1_Import_Export!$P149)+GREET1_Import_Export!$H$200*GREET1_Import_Export!$B204+GREET1_Import_Export!$H204)+B$39*(B$29*(B$9*GREET1_Import_Export!$B75+B$10*GREET1_Import_Export!$P121)+GREET1_Import_Export!$B240)+B$40*(B$29*(B$11*GREET1_Import_Export!$AA75)+GREET1_Import_Export!$C293)+B$41*(GREET1_Import_Export!$D318+GREET1_Import_Export!$E318)</f>
        <v>8.0168918697045992</v>
      </c>
      <c r="C64" s="348">
        <f t="shared" si="1"/>
        <v>0</v>
      </c>
      <c r="D64" s="349">
        <f>D$37*(D$29*(GREET1_Import_Export!$K75)+GREET1_Import_Export!$F$200*GREET1_Import_Export!$B204+GREET1_Import_Export!$F204)+D$38*(D$29*(GREET1_Import_Export!$O75)+GREET1_Import_Export!$G$200*GREET1_Import_Export!$B204+GREET1_Import_Export!$G204)+D$39*(D$29*(GREET1_Import_Export!$B75)+GREET1_Import_Export!$B240)+D$40*(D$29*(GREET1_Import_Export!$AA75)+GREET1_Import_Export!$C293)+D$41*(GREET1_Import_Export!$D318+GREET1_Import_Export!$E318)</f>
        <v>18.114705200029249</v>
      </c>
      <c r="E64" s="349">
        <f t="shared" si="2"/>
        <v>0</v>
      </c>
      <c r="F64" s="347">
        <f>F$37*(F$29*(GREET1_Import_Export!$K75)+GREET1_Import_Export!$F$200*GREET1_Import_Export!$B204+GREET1_Import_Export!$F204)+F$38*(F$29*(GREET1_Import_Export!$R75)+GREET1_Import_Export!$H$200*GREET1_Import_Export!$B204+GREET1_Import_Export!$H204)+F$39*(F$29*(GREET1_Import_Export!$B75)+GREET1_Import_Export!$B240)+F$40*(F$29*(GREET1_Import_Export!$AA75)+GREET1_Import_Export!$C293)+F$41*(GREET1_Import_Export!$D318+GREET1_Import_Export!$E318)</f>
        <v>22.90540534201314</v>
      </c>
      <c r="G64" s="348">
        <f t="shared" si="3"/>
        <v>0</v>
      </c>
      <c r="H64" s="911">
        <f>H$37*(H$29*(GREET1_Import_Export!$K75)+GREET1_Import_Export!$F$200*GREET1_Import_Export!$B204+GREET1_Import_Export!$F204)+H$38*(H$29*(C$12*GREET1_Import_Export!$R75+C$13*GREET1_Import_Export!$O75)+GREET1_Import_Export!$G$200*GREET1_Import_Export!$B204+GREET1_Import_Export!$G204)+H$39*(H$29*(GREET1_Import_Export!$B75)+GREET1_Import_Export!$B240)+H$40*(H$29*(GREET1_Import_Export!$AA75)+GREET1_Import_Export!$C293)+H$41*(GREET1_Import_Export!$L366)</f>
        <v>148.38724145528283</v>
      </c>
      <c r="I64" s="348"/>
    </row>
    <row r="65" spans="1:14" s="349" customFormat="1">
      <c r="A65" s="347" t="s">
        <v>825</v>
      </c>
      <c r="B65" s="347">
        <f>B$37*(B$29*(B$8*GREET1_Import_Export!$K76)+GREET1_Import_Export!$F$200*GREET1_Import_Export!$B205+GREET1_Import_Export!$F205)+B$38*(B$29*(B$12*GREET1_Import_Export!$R76+B$13*GREET1_Import_Export!$P150)+GREET1_Import_Export!$H$200*GREET1_Import_Export!$B205+GREET1_Import_Export!$H205)+B$39*(B$29*(B$9*GREET1_Import_Export!$B76+B$10*GREET1_Import_Export!$P122)+GREET1_Import_Export!$B241)+B$40*(B$29*(B$11*GREET1_Import_Export!$AA76)+GREET1_Import_Export!$C294)+B$41*(GREET1_Import_Export!$D319+GREET1_Import_Export!$E319)</f>
        <v>7.0437354203987175</v>
      </c>
      <c r="C65" s="348">
        <f t="shared" si="1"/>
        <v>0</v>
      </c>
      <c r="D65" s="349">
        <f>D$37*(D$29*(GREET1_Import_Export!$K76)+GREET1_Import_Export!$F$200*GREET1_Import_Export!$B205+GREET1_Import_Export!$F205)+D$38*(D$29*(GREET1_Import_Export!$O76)+GREET1_Import_Export!$G$200*GREET1_Import_Export!$B205+GREET1_Import_Export!$G205)+D$39*(D$29*(GREET1_Import_Export!$B76)+GREET1_Import_Export!$B241)+D$40*(D$29*(GREET1_Import_Export!$AA76)+GREET1_Import_Export!$C294)+D$41*(GREET1_Import_Export!$D319+GREET1_Import_Export!$E319)</f>
        <v>15.994170098108865</v>
      </c>
      <c r="E65" s="349">
        <f t="shared" si="2"/>
        <v>0</v>
      </c>
      <c r="F65" s="347">
        <f>F$37*(F$29*(GREET1_Import_Export!$K76)+GREET1_Import_Export!$F$200*GREET1_Import_Export!$B205+GREET1_Import_Export!$F205)+F$38*(F$29*(GREET1_Import_Export!$R76)+GREET1_Import_Export!$H$200*GREET1_Import_Export!$B205+GREET1_Import_Export!$H205)+F$39*(F$29*(GREET1_Import_Export!$B76)+GREET1_Import_Export!$B241)+F$40*(F$29*(GREET1_Import_Export!$AA76)+GREET1_Import_Export!$C294)+F$41*(GREET1_Import_Export!$D319+GREET1_Import_Export!$E319)</f>
        <v>20.124958343996337</v>
      </c>
      <c r="G65" s="348">
        <f t="shared" si="3"/>
        <v>0</v>
      </c>
      <c r="H65" s="911">
        <f>H$37*(H$29*(GREET1_Import_Export!$K76)+GREET1_Import_Export!$F$200*GREET1_Import_Export!$B205+GREET1_Import_Export!$F205)+H$38*(H$29*(C$12*GREET1_Import_Export!$R76+C$13*GREET1_Import_Export!$O76)+GREET1_Import_Export!$G$200*GREET1_Import_Export!$B205+GREET1_Import_Export!$G205)+H$39*(H$29*(GREET1_Import_Export!$B76)+GREET1_Import_Export!$B241)+H$40*(H$29*(GREET1_Import_Export!$AA76)+GREET1_Import_Export!$C294)+H$41*(GREET1_Import_Export!$L367)</f>
        <v>123.05322018077187</v>
      </c>
      <c r="I65" s="348"/>
    </row>
    <row r="66" spans="1:14" s="349" customFormat="1">
      <c r="A66" s="347" t="s">
        <v>826</v>
      </c>
      <c r="B66" s="347">
        <f>B$37*(B$29*(B$8*GREET1_Import_Export!$K77)+GREET1_Import_Export!$F$200*GREET1_Import_Export!$B206+GREET1_Import_Export!$F206)+B$38*(B$29*(B$12*GREET1_Import_Export!$R77+B$13*GREET1_Import_Export!$P151)+GREET1_Import_Export!$H$200*GREET1_Import_Export!$B206+GREET1_Import_Export!$H206)+B$39*(B$29*(B$9*GREET1_Import_Export!$B77+B$10*GREET1_Import_Export!$P123)+GREET1_Import_Export!$B242)+B$40*(B$29*(B$11*GREET1_Import_Export!$AA77)+GREET1_Import_Export!$C295)+B$41*(GREET1_Import_Export!$D320+GREET1_Import_Export!$E320)</f>
        <v>57.731505854788466</v>
      </c>
      <c r="C66" s="348">
        <f t="shared" si="1"/>
        <v>0</v>
      </c>
      <c r="D66" s="349">
        <f>D$37*(D$29*(GREET1_Import_Export!$K77)+GREET1_Import_Export!$F$200*GREET1_Import_Export!$B206+GREET1_Import_Export!$F206)+D$38*(D$29*(GREET1_Import_Export!$O77)+GREET1_Import_Export!$G$200*GREET1_Import_Export!$B206+GREET1_Import_Export!$G206)+D$39*(D$29*(GREET1_Import_Export!$B77)+GREET1_Import_Export!$B242)+D$40*(D$29*(GREET1_Import_Export!$AA77)+GREET1_Import_Export!$C295)+D$41*(GREET1_Import_Export!$D320+GREET1_Import_Export!$E320)</f>
        <v>45.765897739076557</v>
      </c>
      <c r="E66" s="349">
        <f t="shared" si="2"/>
        <v>0</v>
      </c>
      <c r="F66" s="347">
        <f>F$37*(F$29*(GREET1_Import_Export!$K77)+GREET1_Import_Export!$F$200*GREET1_Import_Export!$B206+GREET1_Import_Export!$F206)+F$38*(F$29*(GREET1_Import_Export!$R77)+GREET1_Import_Export!$H$200*GREET1_Import_Export!$B206+GREET1_Import_Export!$H206)+F$39*(F$29*(GREET1_Import_Export!$B77)+GREET1_Import_Export!$B242)+F$40*(F$29*(GREET1_Import_Export!$AA77)+GREET1_Import_Export!$C295)+F$41*(GREET1_Import_Export!$D320+GREET1_Import_Export!$E320)</f>
        <v>164.94715958510992</v>
      </c>
      <c r="G66" s="348">
        <f t="shared" si="3"/>
        <v>0</v>
      </c>
      <c r="H66" s="911">
        <f>H$37*(H$29*(GREET1_Import_Export!$K77)+GREET1_Import_Export!$F$200*GREET1_Import_Export!$B206+GREET1_Import_Export!$F206)+H$38*(H$29*(C$12*GREET1_Import_Export!$R77+C$13*GREET1_Import_Export!$O77)+GREET1_Import_Export!$G$200*GREET1_Import_Export!$B206+GREET1_Import_Export!$G206)+H$39*(H$29*(GREET1_Import_Export!$B77)+GREET1_Import_Export!$B242)+H$40*(H$29*(GREET1_Import_Export!$AA77)+GREET1_Import_Export!$C295)+H$41*(GREET1_Import_Export!$L368)</f>
        <v>1632.4436377499899</v>
      </c>
      <c r="I66" s="348"/>
    </row>
    <row r="67" spans="1:14" s="349" customFormat="1">
      <c r="A67" s="347" t="s">
        <v>827</v>
      </c>
      <c r="B67" s="347">
        <f>B$37*(B$29*(B$8*GREET1_Import_Export!$K78)+GREET1_Import_Export!$F$200*GREET1_Import_Export!$B207+GREET1_Import_Export!$F207)+B$38*(B$29*(B$12*GREET1_Import_Export!$R78+B$13*GREET1_Import_Export!$P152)+GREET1_Import_Export!$H$200*GREET1_Import_Export!$B207+GREET1_Import_Export!$H207)+B$39*(B$29*(B$9*GREET1_Import_Export!$B78+B$10*GREET1_Import_Export!$P124)+GREET1_Import_Export!$B243)+B$40*(B$29*(B$11*GREET1_Import_Export!$AA78)+GREET1_Import_Export!$C296)+B$41*(GREET1_Import_Export!$D321+GREET1_Import_Export!$E321)</f>
        <v>0.38598125094743196</v>
      </c>
      <c r="C67" s="348">
        <f t="shared" si="1"/>
        <v>0</v>
      </c>
      <c r="D67" s="349">
        <f>D$37*(D$29*(GREET1_Import_Export!$K78)+GREET1_Import_Export!$F$200*GREET1_Import_Export!$B207+GREET1_Import_Export!$F207)+D$38*(D$29*(GREET1_Import_Export!$O78)+GREET1_Import_Export!$G$200*GREET1_Import_Export!$B207+GREET1_Import_Export!$G207)+D$39*(D$29*(GREET1_Import_Export!$B78)+GREET1_Import_Export!$B243)+D$40*(D$29*(GREET1_Import_Export!$AA78)+GREET1_Import_Export!$C296)+D$41*(GREET1_Import_Export!$D321+GREET1_Import_Export!$E321)</f>
        <v>1.7513275494195917</v>
      </c>
      <c r="E67" s="349">
        <f t="shared" si="2"/>
        <v>0</v>
      </c>
      <c r="F67" s="347">
        <f>F$37*(F$29*(GREET1_Import_Export!$K78)+GREET1_Import_Export!$F$200*GREET1_Import_Export!$B207+GREET1_Import_Export!$F207)+F$38*(F$29*(GREET1_Import_Export!$R78)+GREET1_Import_Export!$H$200*GREET1_Import_Export!$B207+GREET1_Import_Export!$H207)+F$39*(F$29*(GREET1_Import_Export!$B78)+GREET1_Import_Export!$B243)+F$40*(F$29*(GREET1_Import_Export!$AA78)+GREET1_Import_Export!$C296)+F$41*(GREET1_Import_Export!$D321+GREET1_Import_Export!$E321)</f>
        <v>1.1028035741355198</v>
      </c>
      <c r="G67" s="348">
        <f t="shared" si="3"/>
        <v>0</v>
      </c>
      <c r="H67" s="911">
        <f>H$37*(H$29*(GREET1_Import_Export!$K78)+GREET1_Import_Export!$F$200*GREET1_Import_Export!$B207+GREET1_Import_Export!$F207)+H$38*(H$29*(C$12*GREET1_Import_Export!$R78+C$13*GREET1_Import_Export!$O78)+GREET1_Import_Export!$G$200*GREET1_Import_Export!$B207+GREET1_Import_Export!$G207)+H$39*(H$29*(GREET1_Import_Export!$B78)+GREET1_Import_Export!$B243)+H$40*(H$29*(GREET1_Import_Export!$AA78)+GREET1_Import_Export!$C296)+H$41*(GREET1_Import_Export!$L369)</f>
        <v>5.3732535756980377</v>
      </c>
      <c r="I67" s="348"/>
    </row>
    <row r="68" spans="1:14" s="349" customFormat="1">
      <c r="A68" s="503" t="s">
        <v>828</v>
      </c>
      <c r="B68" s="503">
        <f>B$37*(B$29*(B$8*GREET1_Import_Export!$K79)+GREET1_Import_Export!$F$200*GREET1_Import_Export!$B208+GREET1_Import_Export!$F208)+B$38*(B$29*(B$12*GREET1_Import_Export!$R79+B$13*GREET1_Import_Export!$P153)+GREET1_Import_Export!$H$200*GREET1_Import_Export!$B208+GREET1_Import_Export!$H208)+B$39*(B$29*(B$9*GREET1_Import_Export!$B79+B$10*GREET1_Import_Export!$P125)+GREET1_Import_Export!$B244)+B$40*(B$29*(B$11*GREET1_Import_Export!$AA79)+GREET1_Import_Export!$C297)+B$41*(GREET1_Import_Export!$D322+GREET1_Import_Export!$E322)</f>
        <v>1.9824033567699932</v>
      </c>
      <c r="C68" s="502">
        <f t="shared" si="1"/>
        <v>0</v>
      </c>
      <c r="D68" s="505">
        <f>D$37*(D$29*(GREET1_Import_Export!$K79)+GREET1_Import_Export!$F$200*GREET1_Import_Export!$B208+GREET1_Import_Export!$F208)+D$38*(D$29*(GREET1_Import_Export!$O79)+GREET1_Import_Export!$G$200*GREET1_Import_Export!$B208+GREET1_Import_Export!$G208)+D$39*(D$29*(GREET1_Import_Export!$B79)+GREET1_Import_Export!$B244)+D$40*(D$29*(GREET1_Import_Export!$AA79)+GREET1_Import_Export!$C297)+D$41*(GREET1_Import_Export!$D322+GREET1_Import_Export!$E322)</f>
        <v>2.705294752795429</v>
      </c>
      <c r="E68" s="505">
        <f t="shared" si="2"/>
        <v>0</v>
      </c>
      <c r="F68" s="503">
        <f>F$37*(F$29*(GREET1_Import_Export!$K79)+GREET1_Import_Export!$F$200*GREET1_Import_Export!$B208+GREET1_Import_Export!$F208)+F$38*(F$29*(GREET1_Import_Export!$R79)+GREET1_Import_Export!$H$200*GREET1_Import_Export!$B208+GREET1_Import_Export!$H208)+F$39*(F$29*(GREET1_Import_Export!$B79)+GREET1_Import_Export!$B244)+F$40*(F$29*(GREET1_Import_Export!$AA79)+GREET1_Import_Export!$C297)+F$41*(GREET1_Import_Export!$D322+GREET1_Import_Export!$E322)</f>
        <v>5.6640095907714088</v>
      </c>
      <c r="G68" s="502">
        <f t="shared" si="3"/>
        <v>0</v>
      </c>
      <c r="H68" s="2664">
        <f>H$37*(H$29*(GREET1_Import_Export!$K79)+GREET1_Import_Export!$F$200*GREET1_Import_Export!$B208+GREET1_Import_Export!$F208)+H$38*(H$29*(C$12*GREET1_Import_Export!$R79+C$13*GREET1_Import_Export!$O79)+GREET1_Import_Export!$G$200*GREET1_Import_Export!$B208+GREET1_Import_Export!$G208)+H$39*(H$29*(GREET1_Import_Export!$B79)+GREET1_Import_Export!$B244)+H$40*(H$29*(GREET1_Import_Export!$AA79)+GREET1_Import_Export!$C297)+H$41*(GREET1_Import_Export!$L370)</f>
        <v>10.922989130457394</v>
      </c>
      <c r="I68" s="502"/>
    </row>
    <row r="69" spans="1:14" s="349" customFormat="1"/>
    <row r="70" spans="1:14" s="349" customFormat="1" ht="15">
      <c r="A70" s="602" t="s">
        <v>1265</v>
      </c>
    </row>
    <row r="71" spans="1:14" s="349" customFormat="1" ht="38.25">
      <c r="A71" s="510"/>
      <c r="B71" s="1605" t="s">
        <v>561</v>
      </c>
      <c r="C71" s="760" t="s">
        <v>77</v>
      </c>
      <c r="D71" s="3072" t="s">
        <v>2299</v>
      </c>
      <c r="E71" s="3073"/>
      <c r="F71" s="2546" t="s">
        <v>2298</v>
      </c>
      <c r="G71" s="2546" t="s">
        <v>2289</v>
      </c>
      <c r="H71" s="2546" t="s">
        <v>2296</v>
      </c>
    </row>
    <row r="72" spans="1:14" s="349" customFormat="1">
      <c r="A72" s="699" t="s">
        <v>1029</v>
      </c>
      <c r="B72" s="1605"/>
      <c r="C72" s="760"/>
      <c r="D72" s="679" t="s">
        <v>845</v>
      </c>
      <c r="E72" s="673" t="s">
        <v>846</v>
      </c>
      <c r="F72" s="817" t="s">
        <v>845</v>
      </c>
      <c r="G72" s="2653" t="s">
        <v>845</v>
      </c>
      <c r="H72" s="2668" t="s">
        <v>845</v>
      </c>
    </row>
    <row r="73" spans="1:14" s="349" customFormat="1">
      <c r="A73" s="347" t="s">
        <v>816</v>
      </c>
      <c r="B73" s="347">
        <f>B42</f>
        <v>6.9468378005920295</v>
      </c>
      <c r="C73" s="348">
        <f>D42</f>
        <v>96.564929057677375</v>
      </c>
      <c r="D73" s="494">
        <f>B73+C73</f>
        <v>103.51176685826941</v>
      </c>
      <c r="E73" s="348">
        <f>D73/2000</f>
        <v>5.1755883429134703E-2</v>
      </c>
      <c r="F73" s="348">
        <f>F42</f>
        <v>19.848108001691514</v>
      </c>
      <c r="G73" s="494">
        <f>SUM(H42:I42)+($B$20*Mat_Sum!$AL15*2000+$B$21*GREET1_Import_Export!$J494+$B$22*GREET1_Import_Export!$B494)</f>
        <v>78.801181531273926</v>
      </c>
      <c r="H73" s="348">
        <f t="shared" ref="H73:H78" si="4">F73*$B$17+G73*$C$17</f>
        <v>19.848108001691514</v>
      </c>
      <c r="N73" s="717"/>
    </row>
    <row r="74" spans="1:14" s="349" customFormat="1">
      <c r="A74" s="347" t="s">
        <v>817</v>
      </c>
      <c r="B74" s="347">
        <f>B43</f>
        <v>5.6718260733291341</v>
      </c>
      <c r="C74" s="348">
        <f>D43</f>
        <v>96.324072200473921</v>
      </c>
      <c r="D74" s="494">
        <f>B74+C74</f>
        <v>101.99589827380305</v>
      </c>
      <c r="E74" s="348">
        <f>D74/2000</f>
        <v>5.0997949136901526E-2</v>
      </c>
      <c r="F74" s="348">
        <f>F43</f>
        <v>16.205217352368955</v>
      </c>
      <c r="G74" s="494">
        <f>SUM(H43:I43)+($B$20*Mat_Sum!$AL16*2000+$B$21*GREET1_Import_Export!$J495+$B$22*GREET1_Import_Export!$B495)</f>
        <v>71.36361521797096</v>
      </c>
      <c r="H74" s="348">
        <f t="shared" si="4"/>
        <v>16.205217352368955</v>
      </c>
      <c r="N74" s="717"/>
    </row>
    <row r="75" spans="1:14" s="349" customFormat="1">
      <c r="A75" s="347" t="s">
        <v>805</v>
      </c>
      <c r="B75" s="347">
        <f>B44</f>
        <v>1.6852573295269475</v>
      </c>
      <c r="C75" s="348">
        <f>D44</f>
        <v>0.30553436022061636</v>
      </c>
      <c r="D75" s="494">
        <f>B75+C75</f>
        <v>1.9907916897475639</v>
      </c>
      <c r="E75" s="348">
        <f>D75/2000</f>
        <v>9.9539584487378188E-4</v>
      </c>
      <c r="F75" s="348">
        <f>F44</f>
        <v>4.8150209415055638</v>
      </c>
      <c r="G75" s="494">
        <f>SUM(H44:I44)+($B$20*Mat_Sum!$AL17*2000+$B$21*GREET1_Import_Export!$J496+$B$22*GREET1_Import_Export!$B496)</f>
        <v>66.027987641484202</v>
      </c>
      <c r="H75" s="348">
        <f t="shared" si="4"/>
        <v>4.8150209415055638</v>
      </c>
      <c r="N75" s="717"/>
    </row>
    <row r="76" spans="1:14" s="349" customFormat="1">
      <c r="A76" s="347" t="s">
        <v>804</v>
      </c>
      <c r="B76" s="347">
        <f>B74-B75-B77</f>
        <v>3.1943664312987163</v>
      </c>
      <c r="C76" s="348">
        <f>C74-C75-C77</f>
        <v>50.868538381128197</v>
      </c>
      <c r="D76" s="494">
        <f>D74-D75-D77</f>
        <v>54.062904812426908</v>
      </c>
      <c r="E76" s="348">
        <f>E74-E75-E77</f>
        <v>2.7031452406213453E-2</v>
      </c>
      <c r="F76" s="348">
        <f>F74-F75-F77</f>
        <v>9.1267612322820462</v>
      </c>
      <c r="G76" s="494">
        <f>SUM(H45:I45)+($B$20*Mat_Sum!$AL18*2000+$B$21*GREET1_Import_Export!$J497+$B$22*GREET1_Import_Export!$B497)</f>
        <v>3.8309953528458456</v>
      </c>
      <c r="H76" s="348">
        <f t="shared" si="4"/>
        <v>9.1267612322820462</v>
      </c>
    </row>
    <row r="77" spans="1:14" s="349" customFormat="1">
      <c r="A77" s="347" t="s">
        <v>818</v>
      </c>
      <c r="B77" s="347">
        <f>B46</f>
        <v>0.79220231250347051</v>
      </c>
      <c r="C77" s="348">
        <f>D46</f>
        <v>45.149999459125105</v>
      </c>
      <c r="D77" s="494">
        <f>B77+C77</f>
        <v>45.942201771628575</v>
      </c>
      <c r="E77" s="348">
        <f>D77/2000</f>
        <v>2.2971100885814288E-2</v>
      </c>
      <c r="F77" s="348">
        <f>F46</f>
        <v>2.2634351785813438</v>
      </c>
      <c r="G77" s="494">
        <f>SUM(H46:I46)+($B$20*Mat_Sum!$AL19*2000+$B$21*GREET1_Import_Export!$J498+$B$22*GREET1_Import_Export!$B498)</f>
        <v>1.5046322236409131</v>
      </c>
      <c r="H77" s="348">
        <f t="shared" si="4"/>
        <v>2.2634351785813438</v>
      </c>
    </row>
    <row r="78" spans="1:14" s="349" customFormat="1">
      <c r="A78" s="1570" t="s">
        <v>819</v>
      </c>
      <c r="B78" s="1687">
        <f>B47</f>
        <v>342.90551941928061</v>
      </c>
      <c r="C78" s="1136">
        <f>D47</f>
        <v>1006.4415805532074</v>
      </c>
      <c r="D78" s="1504">
        <f>B78+C78</f>
        <v>1349.347099972488</v>
      </c>
      <c r="E78" s="1573">
        <f>D78/2000</f>
        <v>0.67467354998624396</v>
      </c>
      <c r="F78" s="1136">
        <f>F47</f>
        <v>979.73005548365904</v>
      </c>
      <c r="G78" s="1504">
        <f>SUM(H47:I47)+($B$20*Mat_Sum!$AL20*2000+$B$21*GREET1_Import_Export!$J499+$B$22*GREET1_Import_Export!$B499)</f>
        <v>5032.9518237205921</v>
      </c>
      <c r="H78" s="1136">
        <f t="shared" si="4"/>
        <v>979.73005548365904</v>
      </c>
    </row>
    <row r="79" spans="1:14" s="349" customFormat="1">
      <c r="A79" s="699" t="s">
        <v>1030</v>
      </c>
      <c r="B79" s="510"/>
      <c r="C79" s="509"/>
      <c r="D79" s="679" t="s">
        <v>845</v>
      </c>
      <c r="E79" s="673" t="s">
        <v>846</v>
      </c>
      <c r="F79" s="673" t="s">
        <v>845</v>
      </c>
      <c r="G79" s="2670" t="s">
        <v>845</v>
      </c>
      <c r="H79" s="2669" t="s">
        <v>845</v>
      </c>
    </row>
    <row r="80" spans="1:14" s="349" customFormat="1">
      <c r="A80" s="347" t="s">
        <v>821</v>
      </c>
      <c r="B80" s="347">
        <f t="shared" ref="B80:B90" si="5">SUM(B49:C49)</f>
        <v>51.066180592847871</v>
      </c>
      <c r="C80" s="348">
        <f t="shared" ref="C80:C90" si="6">SUM(D49:E49)</f>
        <v>850.79654297465231</v>
      </c>
      <c r="D80" s="494">
        <f t="shared" ref="D80:D91" si="7">B80+C80</f>
        <v>901.86272356750021</v>
      </c>
      <c r="E80" s="348">
        <f t="shared" ref="E80:E91" si="8">D80/2000</f>
        <v>0.4509313617837501</v>
      </c>
      <c r="F80" s="348">
        <f t="shared" ref="F80:F90" si="9">SUM(F49:G49)</f>
        <v>145.90337312242249</v>
      </c>
      <c r="G80" s="494">
        <f>SUM(H49:I49)+($B$20*Mat_Sum!$AL22*2000+$B$21*GREET1_Import_Export!$J501+$B$22*GREET1_Import_Export!$B501)</f>
        <v>856.60361513094801</v>
      </c>
      <c r="H80" s="348">
        <f t="shared" ref="H80:H90" si="10">F80*$B$17+G80*$C$17</f>
        <v>145.90337312242249</v>
      </c>
    </row>
    <row r="81" spans="1:12" s="349" customFormat="1">
      <c r="A81" s="347" t="s">
        <v>822</v>
      </c>
      <c r="B81" s="347">
        <f t="shared" si="5"/>
        <v>235.39554885561139</v>
      </c>
      <c r="C81" s="348">
        <f t="shared" si="6"/>
        <v>4306.7962420195017</v>
      </c>
      <c r="D81" s="494">
        <f t="shared" si="7"/>
        <v>4542.1917908751129</v>
      </c>
      <c r="E81" s="348">
        <f t="shared" si="8"/>
        <v>2.2710958954375564</v>
      </c>
      <c r="F81" s="348">
        <f t="shared" si="9"/>
        <v>672.55871101603248</v>
      </c>
      <c r="G81" s="494">
        <f>SUM(H50:I50)+($B$20*Mat_Sum!$AL23*2000+$B$21*GREET1_Import_Export!$J502+$B$22*GREET1_Import_Export!$B502)</f>
        <v>1648.0134938709828</v>
      </c>
      <c r="H81" s="348">
        <f>F81*$B$17+G81*$C$17</f>
        <v>672.55871101603248</v>
      </c>
      <c r="L81" s="446"/>
    </row>
    <row r="82" spans="1:12" s="349" customFormat="1">
      <c r="A82" s="347" t="s">
        <v>849</v>
      </c>
      <c r="B82" s="347">
        <f t="shared" si="5"/>
        <v>316.77639989881163</v>
      </c>
      <c r="C82" s="348">
        <f t="shared" si="6"/>
        <v>9874.9493212295019</v>
      </c>
      <c r="D82" s="494">
        <f t="shared" si="7"/>
        <v>10191.725721128314</v>
      </c>
      <c r="E82" s="348">
        <f t="shared" si="8"/>
        <v>5.0958628605641572</v>
      </c>
      <c r="F82" s="348">
        <f t="shared" si="9"/>
        <v>905.07542828231897</v>
      </c>
      <c r="G82" s="494">
        <f>SUM(H51:I51)+($B$20*Mat_Sum!$AL24*2000+$B$21*GREET1_Import_Export!$J503+$B$22*GREET1_Import_Export!$B503)</f>
        <v>5910.9950279042559</v>
      </c>
      <c r="H82" s="348">
        <f t="shared" si="10"/>
        <v>905.07542828231897</v>
      </c>
    </row>
    <row r="83" spans="1:12" s="349" customFormat="1">
      <c r="A83" s="347" t="s">
        <v>824</v>
      </c>
      <c r="B83" s="347">
        <f t="shared" si="5"/>
        <v>1676.3771015642574</v>
      </c>
      <c r="C83" s="348">
        <f t="shared" si="6"/>
        <v>1494.0759369837542</v>
      </c>
      <c r="D83" s="494">
        <f t="shared" si="7"/>
        <v>3170.4530385480116</v>
      </c>
      <c r="E83" s="348">
        <f t="shared" si="8"/>
        <v>1.5852265192740058</v>
      </c>
      <c r="F83" s="348">
        <f t="shared" si="9"/>
        <v>4789.6488616121642</v>
      </c>
      <c r="G83" s="494">
        <f>SUM(H52:I52)+($B$20*Mat_Sum!$AL25*2000+$B$21*GREET1_Import_Export!$J504+$B$22*GREET1_Import_Export!$B504)</f>
        <v>1020.7345094383985</v>
      </c>
      <c r="H83" s="348">
        <f t="shared" si="10"/>
        <v>4789.6488616121642</v>
      </c>
    </row>
    <row r="84" spans="1:12" s="349" customFormat="1">
      <c r="A84" s="347" t="s">
        <v>825</v>
      </c>
      <c r="B84" s="347">
        <f t="shared" si="5"/>
        <v>840.97641821196805</v>
      </c>
      <c r="C84" s="348">
        <f t="shared" si="6"/>
        <v>863.45114450053427</v>
      </c>
      <c r="D84" s="494">
        <f t="shared" si="7"/>
        <v>1704.4275627125023</v>
      </c>
      <c r="E84" s="348">
        <f t="shared" si="8"/>
        <v>0.85221378135625114</v>
      </c>
      <c r="F84" s="348">
        <f t="shared" si="9"/>
        <v>2402.7897663199087</v>
      </c>
      <c r="G84" s="494">
        <f>SUM(H53:I53)+($B$20*Mat_Sum!$AL26*2000+$B$21*GREET1_Import_Export!$J505+$B$22*GREET1_Import_Export!$B505)</f>
        <v>467.0674854248528</v>
      </c>
      <c r="H84" s="348">
        <f t="shared" si="10"/>
        <v>2402.7897663199087</v>
      </c>
    </row>
    <row r="85" spans="1:12" s="349" customFormat="1">
      <c r="A85" s="347" t="s">
        <v>826</v>
      </c>
      <c r="B85" s="347">
        <f t="shared" si="5"/>
        <v>198.85225369812247</v>
      </c>
      <c r="C85" s="348">
        <f t="shared" si="6"/>
        <v>5747.3865894970659</v>
      </c>
      <c r="D85" s="494">
        <f t="shared" si="7"/>
        <v>5946.2388431951886</v>
      </c>
      <c r="E85" s="348">
        <f t="shared" si="8"/>
        <v>2.9731194215975942</v>
      </c>
      <c r="F85" s="348">
        <f t="shared" si="9"/>
        <v>568.14929628034997</v>
      </c>
      <c r="G85" s="494">
        <f>SUM(H54:I54)+($B$20*Mat_Sum!$AL27*2000+$B$21*GREET1_Import_Export!$J506+$B$22*GREET1_Import_Export!$B506)</f>
        <v>10127.061438538271</v>
      </c>
      <c r="H85" s="348">
        <f t="shared" si="10"/>
        <v>568.14929628034997</v>
      </c>
    </row>
    <row r="86" spans="1:12" s="349" customFormat="1">
      <c r="A86" s="749" t="s">
        <v>827</v>
      </c>
      <c r="B86" s="347">
        <f t="shared" si="5"/>
        <v>1.5061135781005959</v>
      </c>
      <c r="C86" s="348">
        <f t="shared" si="6"/>
        <v>77.852132927993154</v>
      </c>
      <c r="D86" s="494">
        <f t="shared" si="7"/>
        <v>79.358246506093749</v>
      </c>
      <c r="E86" s="348">
        <f t="shared" si="8"/>
        <v>3.9679123253046872E-2</v>
      </c>
      <c r="F86" s="348">
        <f t="shared" si="9"/>
        <v>4.3031816517159891</v>
      </c>
      <c r="G86" s="494">
        <f>SUM(H55:I55)+($B$20*Mat_Sum!$AL28*2000+$B$21*GREET1_Import_Export!$J507+$B$22*GREET1_Import_Export!$B507)</f>
        <v>21.96130030045466</v>
      </c>
      <c r="H86" s="348">
        <f t="shared" si="10"/>
        <v>4.3031816517159891</v>
      </c>
    </row>
    <row r="87" spans="1:12" s="349" customFormat="1">
      <c r="A87" s="749" t="s">
        <v>828</v>
      </c>
      <c r="B87" s="347">
        <f t="shared" si="5"/>
        <v>6.7415487315041309</v>
      </c>
      <c r="C87" s="348">
        <f t="shared" si="6"/>
        <v>114.87092505581381</v>
      </c>
      <c r="D87" s="494">
        <f t="shared" si="7"/>
        <v>121.61247378731794</v>
      </c>
      <c r="E87" s="348">
        <f t="shared" si="8"/>
        <v>6.0806236893658966E-2</v>
      </c>
      <c r="F87" s="348">
        <f t="shared" si="9"/>
        <v>19.26156780429752</v>
      </c>
      <c r="G87" s="494">
        <f>SUM(H56:I56)+($B$20*Mat_Sum!$AL29*2000+$B$21*GREET1_Import_Export!$J508+$B$22*GREET1_Import_Export!$B508)</f>
        <v>45.751956838555685</v>
      </c>
      <c r="H87" s="348">
        <f t="shared" si="10"/>
        <v>19.26156780429752</v>
      </c>
    </row>
    <row r="88" spans="1:12" s="349" customFormat="1">
      <c r="A88" s="347" t="s">
        <v>829</v>
      </c>
      <c r="B88" s="347">
        <f t="shared" si="5"/>
        <v>885.2272277610449</v>
      </c>
      <c r="C88" s="348">
        <f t="shared" si="6"/>
        <v>13889.308451947498</v>
      </c>
      <c r="D88" s="494">
        <f t="shared" si="7"/>
        <v>14774.535679708542</v>
      </c>
      <c r="E88" s="348">
        <f t="shared" si="8"/>
        <v>7.387267839854271</v>
      </c>
      <c r="F88" s="348">
        <f t="shared" si="9"/>
        <v>2529.2206507458427</v>
      </c>
      <c r="G88" s="494">
        <f>SUM(H57:I57)+($B$20*Mat_Sum!$AL30*2000+$B$21*GREET1_Import_Export!$J509+$B$22*GREET1_Import_Export!$B509)</f>
        <v>11248.483517947894</v>
      </c>
      <c r="H88" s="348">
        <f t="shared" si="10"/>
        <v>2529.2206507458427</v>
      </c>
    </row>
    <row r="89" spans="1:12" s="349" customFormat="1">
      <c r="A89" s="347" t="s">
        <v>830</v>
      </c>
      <c r="B89" s="347">
        <f t="shared" si="5"/>
        <v>7.5567993349425793</v>
      </c>
      <c r="C89" s="348">
        <f t="shared" si="6"/>
        <v>174.77467372441237</v>
      </c>
      <c r="D89" s="494">
        <f t="shared" si="7"/>
        <v>182.33147305935495</v>
      </c>
      <c r="E89" s="348">
        <f t="shared" si="8"/>
        <v>9.116573652967748E-2</v>
      </c>
      <c r="F89" s="348">
        <f t="shared" si="9"/>
        <v>21.590855242693085</v>
      </c>
      <c r="G89" s="494">
        <f>SUM(H58:I58)+($B$20*Mat_Sum!$AL31*2000+$B$21*GREET1_Import_Export!$J510+$B$22*GREET1_Import_Export!$B510)</f>
        <v>144.55358951203337</v>
      </c>
      <c r="H89" s="348">
        <f t="shared" si="10"/>
        <v>21.590855242693085</v>
      </c>
    </row>
    <row r="90" spans="1:12" s="419" customFormat="1">
      <c r="A90" s="517" t="s">
        <v>831</v>
      </c>
      <c r="B90" s="251">
        <f t="shared" si="5"/>
        <v>420891.24515300075</v>
      </c>
      <c r="C90" s="247">
        <f t="shared" si="6"/>
        <v>6926394.4399991408</v>
      </c>
      <c r="D90" s="253">
        <f t="shared" si="7"/>
        <v>7347285.6851521414</v>
      </c>
      <c r="E90" s="247">
        <f t="shared" si="8"/>
        <v>3673.6428425760705</v>
      </c>
      <c r="F90" s="247">
        <f t="shared" si="9"/>
        <v>1202546.4147228592</v>
      </c>
      <c r="G90" s="630">
        <f>SUM(H59:I59)+($B$20*Mat_Sum!$AL32*2000+$B$21*GREET1_Import_Export!$J511+$B$22*GREET1_Import_Export!$B511)</f>
        <v>7294918.1650211113</v>
      </c>
      <c r="H90" s="516">
        <f t="shared" si="10"/>
        <v>1202546.4147228592</v>
      </c>
    </row>
    <row r="91" spans="1:12" s="419" customFormat="1">
      <c r="A91" s="517" t="s">
        <v>850</v>
      </c>
      <c r="B91" s="251">
        <f>B90+B80*GREET1_Import_Export!$B$62/GREET1_Import_Export!$B$65+B81*GREET1_Import_Export!$B$63/GREET1_Import_Export!$B$65</f>
        <v>421420.30870690726</v>
      </c>
      <c r="C91" s="247">
        <f>C90+C80*GREET1_Import_Export!$B$62/GREET1_Import_Export!$B$65+C81*GREET1_Import_Export!$B$63/GREET1_Import_Export!$B$65</f>
        <v>6935813.9118907759</v>
      </c>
      <c r="D91" s="253">
        <f t="shared" si="7"/>
        <v>7357234.2205976835</v>
      </c>
      <c r="E91" s="247">
        <f t="shared" si="8"/>
        <v>3678.6171102988419</v>
      </c>
      <c r="F91" s="247">
        <f>F90+F80*GREET1_Import_Export!$B$62/GREET1_Import_Export!$B$65+F81*GREET1_Import_Export!$B$63/GREET1_Import_Export!$B$65</f>
        <v>1204058.0248768779</v>
      </c>
      <c r="G91" s="630">
        <f>G90+G80*GREET1_Import_Export!$B$62/GREET1_Import_Export!$B$65+G81*GREET1_Import_Export!$B$63/GREET1_Import_Export!$B$65</f>
        <v>7300177.6484453045</v>
      </c>
      <c r="H91" s="516">
        <f>H90+H80*GREET1_Import_Export!$B$62/GREET1_Import_Export!$B$65+H81*GREET1_Import_Export!$B$63/GREET1_Import_Export!$B$65</f>
        <v>1204058.0248768779</v>
      </c>
    </row>
    <row r="92" spans="1:12" s="419" customFormat="1">
      <c r="A92" s="668" t="s">
        <v>851</v>
      </c>
      <c r="B92" s="295">
        <f>B91+SUMPRODUCT(B88:B89,GREET1_Import_Export!$B$51:$B$52)+SUMPRODUCT(B80:B82,GREET1_Import_Export!$B$55:$B$57)+SUMPRODUCT(B86:B87,GREET1_Import_Export!$B$58:$B$59)</f>
        <v>449979.67736349837</v>
      </c>
      <c r="C92" s="296">
        <f>C91+SUMPRODUCT(C88:C89,GREET1_Import_Export!$B$51:$B$52)+SUMPRODUCT(C80:C82,GREET1_Import_Export!$B$55:$B$57)+SUMPRODUCT(C86:C87,GREET1_Import_Export!$B$58:$B$59)</f>
        <v>7398808.4539861698</v>
      </c>
      <c r="D92" s="400">
        <f>D91+SUMPRODUCT(D88:D89,GREET1_Import_Export!$B$51:$B$52)+SUMPRODUCT(D80:D82,GREET1_Import_Export!$B$55:$B$57)+SUMPRODUCT(D86:D87,GREET1_Import_Export!$B$58:$B$59)</f>
        <v>7848788.1313496688</v>
      </c>
      <c r="E92" s="296">
        <f>E91+SUMPRODUCT(E88:E89,GREET1_Import_Export!$B$51:$B$52)+SUMPRODUCT(E80:E82,GREET1_Import_Export!$B$55:$B$57)+SUMPRODUCT(E86:E87,GREET1_Import_Export!$B$58:$B$59)</f>
        <v>3924.3940656748346</v>
      </c>
      <c r="F92" s="296">
        <f>F91+SUMPRODUCT(F88:F89,GREET1_Import_Export!$B$51:$B$52)+SUMPRODUCT(F80:F82,GREET1_Import_Export!$B$55:$B$57)+SUMPRODUCT(F86:F87,GREET1_Import_Export!$B$58:$B$59)</f>
        <v>1285656.2210385669</v>
      </c>
      <c r="G92" s="630">
        <f>G91+SUMPRODUCT(G88:G89,GREET1_Import_Export!$B$51:$B$52)+SUMPRODUCT(G80:G82,GREET1_Import_Export!$B$55:$B$57)+SUMPRODUCT(G86:G87,GREET1_Import_Export!$B$58:$B$59)</f>
        <v>7675938.8552044304</v>
      </c>
      <c r="H92" s="516">
        <f>H91+SUMPRODUCT(H88:H89,GREET1_Import_Export!$B$51:$B$52)+SUMPRODUCT(H80:H82,GREET1_Import_Export!$B$55:$B$57)+SUMPRODUCT(H86:H87,GREET1_Import_Export!$B$58:$B$59)</f>
        <v>1285656.2210385669</v>
      </c>
    </row>
    <row r="93" spans="1:12" s="349" customFormat="1">
      <c r="A93" s="758" t="s">
        <v>1031</v>
      </c>
      <c r="B93" s="347"/>
      <c r="C93" s="348"/>
      <c r="D93" s="679" t="s">
        <v>845</v>
      </c>
      <c r="E93" s="710" t="s">
        <v>846</v>
      </c>
      <c r="F93" s="673" t="s">
        <v>845</v>
      </c>
      <c r="G93" s="2653" t="s">
        <v>845</v>
      </c>
      <c r="H93" s="2668" t="s">
        <v>845</v>
      </c>
    </row>
    <row r="94" spans="1:12" s="349" customFormat="1">
      <c r="A94" s="347" t="s">
        <v>821</v>
      </c>
      <c r="B94" s="347">
        <f t="shared" ref="B94:B101" si="11">SUM(B61:C61)</f>
        <v>4.5571386222214709</v>
      </c>
      <c r="C94" s="348">
        <f t="shared" ref="C94:C101" si="12">SUM(D61:E61)</f>
        <v>112.06773039854644</v>
      </c>
      <c r="D94" s="494">
        <f t="shared" ref="D94:D101" si="13">B94+C94</f>
        <v>116.62486902076792</v>
      </c>
      <c r="E94" s="348">
        <f t="shared" ref="E94:E101" si="14">D94/2000</f>
        <v>5.8312434510383961E-2</v>
      </c>
      <c r="F94" s="348">
        <f t="shared" ref="F94:F101" si="15">SUM(F61:G61)</f>
        <v>13.020396063489919</v>
      </c>
      <c r="G94" s="494">
        <f>SUM(H61:I61)+($B$20*Mat_Sum!$AL36*2000+$B$21*GREET1_Import_Export!$J513+$B$22*GREET1_Import_Export!$B513)</f>
        <v>29.059501970169269</v>
      </c>
      <c r="H94" s="348">
        <f t="shared" ref="H94:H101" si="16">F94*$B$17+G94*$C$17</f>
        <v>13.020396063489919</v>
      </c>
    </row>
    <row r="95" spans="1:12" s="349" customFormat="1">
      <c r="A95" s="347" t="s">
        <v>822</v>
      </c>
      <c r="B95" s="347">
        <f t="shared" si="11"/>
        <v>20.49580814943328</v>
      </c>
      <c r="C95" s="348">
        <f t="shared" si="12"/>
        <v>179.84639070046993</v>
      </c>
      <c r="D95" s="494">
        <f t="shared" si="13"/>
        <v>200.34219884990321</v>
      </c>
      <c r="E95" s="348">
        <f t="shared" si="14"/>
        <v>0.1001710994249516</v>
      </c>
      <c r="F95" s="348">
        <f t="shared" si="15"/>
        <v>58.559451855523655</v>
      </c>
      <c r="G95" s="494">
        <f>SUM(H62:I62)+($B$20*Mat_Sum!$AL37*2000+$B$21*GREET1_Import_Export!$J514+$B$22*GREET1_Import_Export!$B514)</f>
        <v>276.28457947567927</v>
      </c>
      <c r="H95" s="348">
        <f t="shared" si="16"/>
        <v>58.559451855523655</v>
      </c>
    </row>
    <row r="96" spans="1:12" s="349" customFormat="1">
      <c r="A96" s="347" t="s">
        <v>823</v>
      </c>
      <c r="B96" s="347">
        <f t="shared" si="11"/>
        <v>59.389539709803472</v>
      </c>
      <c r="C96" s="348">
        <f t="shared" si="12"/>
        <v>240.53154334056904</v>
      </c>
      <c r="D96" s="494">
        <f t="shared" si="13"/>
        <v>299.92108305037254</v>
      </c>
      <c r="E96" s="348">
        <f t="shared" si="14"/>
        <v>0.14996054152518629</v>
      </c>
      <c r="F96" s="348">
        <f t="shared" si="15"/>
        <v>169.68439917086707</v>
      </c>
      <c r="G96" s="494">
        <f>SUM(H63:I63)+($B$20*Mat_Sum!$AL38*2000+$B$21*GREET1_Import_Export!$J515+$B$22*GREET1_Import_Export!$B515)</f>
        <v>1176.6242599831658</v>
      </c>
      <c r="H96" s="348">
        <f t="shared" si="16"/>
        <v>169.68439917086707</v>
      </c>
    </row>
    <row r="97" spans="1:8" s="349" customFormat="1">
      <c r="A97" s="749" t="s">
        <v>824</v>
      </c>
      <c r="B97" s="347">
        <f t="shared" si="11"/>
        <v>8.0168918697045992</v>
      </c>
      <c r="C97" s="348">
        <f t="shared" si="12"/>
        <v>18.114705200029249</v>
      </c>
      <c r="D97" s="494">
        <f t="shared" si="13"/>
        <v>26.13159706973385</v>
      </c>
      <c r="E97" s="348">
        <f t="shared" si="14"/>
        <v>1.3065798534866925E-2</v>
      </c>
      <c r="F97" s="348">
        <f t="shared" si="15"/>
        <v>22.90540534201314</v>
      </c>
      <c r="G97" s="494">
        <f>SUM(H64:I64)+($B$20*Mat_Sum!$AL39*2000+$B$21*GREET1_Import_Export!$J516+$B$22*GREET1_Import_Export!$B516)</f>
        <v>149.57719032028288</v>
      </c>
      <c r="H97" s="348">
        <f t="shared" si="16"/>
        <v>22.90540534201314</v>
      </c>
    </row>
    <row r="98" spans="1:8" s="349" customFormat="1">
      <c r="A98" s="347" t="s">
        <v>825</v>
      </c>
      <c r="B98" s="347">
        <f t="shared" si="11"/>
        <v>7.0437354203987175</v>
      </c>
      <c r="C98" s="348">
        <f t="shared" si="12"/>
        <v>15.994170098108865</v>
      </c>
      <c r="D98" s="494">
        <f t="shared" si="13"/>
        <v>23.037905518507582</v>
      </c>
      <c r="E98" s="348">
        <f t="shared" si="14"/>
        <v>1.1518952759253791E-2</v>
      </c>
      <c r="F98" s="348">
        <f t="shared" si="15"/>
        <v>20.124958343996337</v>
      </c>
      <c r="G98" s="494">
        <f>SUM(H65:I65)+($B$20*Mat_Sum!$AL40*2000+$B$21*GREET1_Import_Export!$J517+$B$22*GREET1_Import_Export!$B517)</f>
        <v>124.12996840624947</v>
      </c>
      <c r="H98" s="348">
        <f t="shared" si="16"/>
        <v>20.124958343996337</v>
      </c>
    </row>
    <row r="99" spans="1:8" s="496" customFormat="1">
      <c r="A99" s="749" t="s">
        <v>826</v>
      </c>
      <c r="B99" s="347">
        <f t="shared" si="11"/>
        <v>57.731505854788466</v>
      </c>
      <c r="C99" s="348">
        <f t="shared" si="12"/>
        <v>45.765897739076557</v>
      </c>
      <c r="D99" s="494">
        <f t="shared" si="13"/>
        <v>103.49740359386502</v>
      </c>
      <c r="E99" s="348">
        <f t="shared" si="14"/>
        <v>5.1748701796932507E-2</v>
      </c>
      <c r="F99" s="348">
        <f t="shared" si="15"/>
        <v>164.94715958510992</v>
      </c>
      <c r="G99" s="494">
        <f>SUM(H66:I66)+($B$20*Mat_Sum!$AL41*2000+$B$21*GREET1_Import_Export!$J518+$B$22*GREET1_Import_Export!$B518)</f>
        <v>1640.4355127003571</v>
      </c>
      <c r="H99" s="348">
        <f t="shared" si="16"/>
        <v>164.94715958510992</v>
      </c>
    </row>
    <row r="100" spans="1:8" s="496" customFormat="1">
      <c r="A100" s="347" t="s">
        <v>827</v>
      </c>
      <c r="B100" s="347">
        <f t="shared" si="11"/>
        <v>0.38598125094743196</v>
      </c>
      <c r="C100" s="348">
        <f t="shared" si="12"/>
        <v>1.7513275494195917</v>
      </c>
      <c r="D100" s="494">
        <f t="shared" si="13"/>
        <v>2.1373088003670238</v>
      </c>
      <c r="E100" s="348">
        <f t="shared" si="14"/>
        <v>1.0686544001835118E-3</v>
      </c>
      <c r="F100" s="348">
        <f t="shared" si="15"/>
        <v>1.1028035741355198</v>
      </c>
      <c r="G100" s="494">
        <f>SUM(H67:I67)+($B$20*Mat_Sum!$AL42*2000+$B$21*GREET1_Import_Export!$J519+$B$22*GREET1_Import_Export!$B519)</f>
        <v>5.5111467000308911</v>
      </c>
      <c r="H100" s="348">
        <f t="shared" si="16"/>
        <v>1.1028035741355198</v>
      </c>
    </row>
    <row r="101" spans="1:8" s="496" customFormat="1">
      <c r="A101" s="501" t="s">
        <v>828</v>
      </c>
      <c r="B101" s="503">
        <f t="shared" si="11"/>
        <v>1.9824033567699932</v>
      </c>
      <c r="C101" s="502">
        <f t="shared" si="12"/>
        <v>2.705294752795429</v>
      </c>
      <c r="D101" s="504">
        <f t="shared" si="13"/>
        <v>4.6876981095654227</v>
      </c>
      <c r="E101" s="502">
        <f t="shared" si="14"/>
        <v>2.3438490547827112E-3</v>
      </c>
      <c r="F101" s="502">
        <f t="shared" si="15"/>
        <v>5.6640095907714088</v>
      </c>
      <c r="G101" s="504">
        <f>SUM(H68:I68)+($B$20*Mat_Sum!$AL43*2000+$B$21*GREET1_Import_Export!$J520+$B$22*GREET1_Import_Export!$B520)</f>
        <v>11.325379853706144</v>
      </c>
      <c r="H101" s="502">
        <f t="shared" si="16"/>
        <v>5.6640095907714088</v>
      </c>
    </row>
  </sheetData>
  <mergeCells count="5">
    <mergeCell ref="B26:C26"/>
    <mergeCell ref="D26:E26"/>
    <mergeCell ref="D71:E71"/>
    <mergeCell ref="F26:G26"/>
    <mergeCell ref="H26:I26"/>
  </mergeCells>
  <phoneticPr fontId="5" type="noConversion"/>
  <pageMargins left="0.75" right="0.75" top="1" bottom="1" header="0.5" footer="0.5"/>
  <headerFooter alignWithMargins="0"/>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0"/>
  <dimension ref="A1:H84"/>
  <sheetViews>
    <sheetView showGridLines="0" zoomScale="85" zoomScaleNormal="85" workbookViewId="0"/>
  </sheetViews>
  <sheetFormatPr defaultColWidth="9.140625" defaultRowHeight="12.75"/>
  <cols>
    <col min="1" max="1" width="35.140625" style="5" customWidth="1"/>
    <col min="2" max="2" width="11.140625" style="5" customWidth="1"/>
    <col min="3" max="3" width="11.85546875" style="5" bestFit="1" customWidth="1"/>
    <col min="4" max="4" width="11.140625" style="5" customWidth="1"/>
    <col min="5" max="5" width="11.140625" style="5" bestFit="1" customWidth="1"/>
    <col min="6" max="6" width="10.140625" style="5" customWidth="1"/>
    <col min="7" max="7" width="11" style="5" bestFit="1" customWidth="1"/>
    <col min="8" max="8" width="10.7109375" style="5" customWidth="1"/>
    <col min="9" max="9" width="10" style="5" bestFit="1" customWidth="1"/>
    <col min="10" max="10" width="10.7109375" style="5" customWidth="1"/>
    <col min="11" max="11" width="9.85546875" style="5" customWidth="1"/>
    <col min="12" max="12" width="9.7109375" style="5" customWidth="1"/>
    <col min="13" max="13" width="10" style="5" bestFit="1" customWidth="1"/>
    <col min="14" max="14" width="11.7109375" style="5" customWidth="1"/>
    <col min="15" max="15" width="10.28515625" style="5" bestFit="1" customWidth="1"/>
    <col min="16" max="16" width="10.28515625" style="5" customWidth="1"/>
    <col min="17" max="17" width="10" style="5" bestFit="1" customWidth="1"/>
    <col min="18" max="19" width="9.140625" style="5"/>
    <col min="20" max="20" width="9.85546875" style="5" customWidth="1"/>
    <col min="21" max="23" width="9.140625" style="5"/>
    <col min="24" max="24" width="9.85546875" style="5" customWidth="1"/>
    <col min="25" max="25" width="10.140625" style="5" bestFit="1" customWidth="1"/>
    <col min="26" max="26" width="9.7109375" style="5" customWidth="1"/>
    <col min="27" max="27" width="9.140625" style="5"/>
    <col min="28" max="28" width="10.140625" style="5" customWidth="1"/>
    <col min="29" max="16384" width="9.140625" style="5"/>
  </cols>
  <sheetData>
    <row r="1" spans="1:7" ht="15.75">
      <c r="A1" s="2" t="s">
        <v>1266</v>
      </c>
    </row>
    <row r="2" spans="1:7">
      <c r="A2" s="3"/>
    </row>
    <row r="3" spans="1:7" ht="15">
      <c r="A3" s="75" t="s">
        <v>932</v>
      </c>
    </row>
    <row r="4" spans="1:7">
      <c r="A4" s="393" t="s">
        <v>769</v>
      </c>
      <c r="B4" s="533">
        <v>1</v>
      </c>
      <c r="C4" s="64"/>
    </row>
    <row r="5" spans="1:7">
      <c r="A5" s="230" t="s">
        <v>770</v>
      </c>
      <c r="B5" s="588">
        <v>1</v>
      </c>
      <c r="C5" s="64"/>
    </row>
    <row r="6" spans="1:7">
      <c r="A6" s="589" t="s">
        <v>773</v>
      </c>
      <c r="B6" s="428">
        <v>1</v>
      </c>
      <c r="C6" s="64"/>
    </row>
    <row r="8" spans="1:7" ht="15">
      <c r="A8" s="75" t="s">
        <v>933</v>
      </c>
    </row>
    <row r="9" spans="1:7">
      <c r="A9" s="238"/>
      <c r="B9" s="3060" t="s">
        <v>585</v>
      </c>
      <c r="C9" s="3062"/>
      <c r="D9" s="2983" t="s">
        <v>586</v>
      </c>
      <c r="E9" s="2983"/>
      <c r="F9" s="2982" t="s">
        <v>291</v>
      </c>
      <c r="G9" s="2994"/>
    </row>
    <row r="10" spans="1:7" ht="69" customHeight="1">
      <c r="A10" s="571"/>
      <c r="B10" s="1673" t="s">
        <v>785</v>
      </c>
      <c r="C10" s="1674" t="s">
        <v>786</v>
      </c>
      <c r="D10" s="1675" t="s">
        <v>785</v>
      </c>
      <c r="E10" s="1675" t="s">
        <v>786</v>
      </c>
      <c r="F10" s="1673" t="s">
        <v>785</v>
      </c>
      <c r="G10" s="1674" t="s">
        <v>786</v>
      </c>
    </row>
    <row r="11" spans="1:7" ht="25.5">
      <c r="A11" s="659" t="s">
        <v>797</v>
      </c>
      <c r="B11" s="383">
        <f>Mat_Inputs!B502</f>
        <v>12.295999999999999</v>
      </c>
      <c r="C11" s="395"/>
      <c r="D11" s="377">
        <f>Mat_Inputs!B503</f>
        <v>12.038</v>
      </c>
      <c r="E11" s="64"/>
      <c r="F11" s="383">
        <f>Mat_Inputs!B504</f>
        <v>81.685000000000002</v>
      </c>
      <c r="G11" s="395"/>
    </row>
    <row r="12" spans="1:7">
      <c r="A12" s="571" t="s">
        <v>798</v>
      </c>
      <c r="B12" s="416">
        <v>0</v>
      </c>
      <c r="C12" s="395"/>
      <c r="D12" s="382">
        <v>0</v>
      </c>
      <c r="E12" s="64"/>
      <c r="F12" s="416">
        <v>0</v>
      </c>
      <c r="G12" s="395"/>
    </row>
    <row r="13" spans="1:7">
      <c r="A13" s="238" t="s">
        <v>799</v>
      </c>
      <c r="B13" s="393"/>
      <c r="C13" s="394"/>
      <c r="D13" s="392"/>
      <c r="E13" s="392"/>
      <c r="F13" s="393"/>
      <c r="G13" s="394"/>
    </row>
    <row r="14" spans="1:7">
      <c r="A14" s="230" t="s">
        <v>800</v>
      </c>
      <c r="B14" s="416">
        <v>0</v>
      </c>
      <c r="C14" s="588"/>
      <c r="D14" s="382">
        <v>0</v>
      </c>
      <c r="E14" s="382"/>
      <c r="F14" s="416">
        <v>0.46800000000000003</v>
      </c>
      <c r="G14" s="395"/>
    </row>
    <row r="15" spans="1:7">
      <c r="A15" s="230" t="s">
        <v>802</v>
      </c>
      <c r="B15" s="416">
        <v>0</v>
      </c>
      <c r="C15" s="395"/>
      <c r="D15" s="382">
        <v>0</v>
      </c>
      <c r="E15" s="382"/>
      <c r="F15" s="416">
        <v>0</v>
      </c>
      <c r="G15" s="395"/>
    </row>
    <row r="16" spans="1:7">
      <c r="A16" s="230" t="s">
        <v>804</v>
      </c>
      <c r="B16" s="416">
        <v>0.58799999999999997</v>
      </c>
      <c r="C16" s="588"/>
      <c r="D16" s="382">
        <v>0.58799999999999997</v>
      </c>
      <c r="E16" s="382"/>
      <c r="F16" s="416">
        <v>0.46800000000000003</v>
      </c>
      <c r="G16" s="395"/>
    </row>
    <row r="17" spans="1:7">
      <c r="A17" s="230" t="s">
        <v>805</v>
      </c>
      <c r="B17" s="416">
        <v>0</v>
      </c>
      <c r="C17" s="588"/>
      <c r="D17" s="382">
        <v>0</v>
      </c>
      <c r="E17" s="382"/>
      <c r="F17" s="416">
        <v>0</v>
      </c>
      <c r="G17" s="395"/>
    </row>
    <row r="18" spans="1:7">
      <c r="A18" s="589" t="s">
        <v>806</v>
      </c>
      <c r="B18" s="664">
        <f>1-SUM(B14:B17)</f>
        <v>0.41200000000000003</v>
      </c>
      <c r="C18" s="428"/>
      <c r="D18" s="368">
        <f>1-SUM(D14:D17)</f>
        <v>0.41200000000000003</v>
      </c>
      <c r="E18" s="368"/>
      <c r="F18" s="664">
        <f>1-SUM(F14:F17)</f>
        <v>6.3999999999999946E-2</v>
      </c>
      <c r="G18" s="707"/>
    </row>
    <row r="19" spans="1:7">
      <c r="A19" s="571" t="s">
        <v>862</v>
      </c>
      <c r="B19" s="230"/>
      <c r="C19" s="395"/>
      <c r="D19" s="64"/>
      <c r="E19" s="64"/>
      <c r="F19" s="230"/>
      <c r="G19" s="395"/>
    </row>
    <row r="20" spans="1:7" s="496" customFormat="1">
      <c r="A20" s="347" t="s">
        <v>800</v>
      </c>
      <c r="B20" s="390">
        <f>B$11*B14</f>
        <v>0</v>
      </c>
      <c r="C20" s="348"/>
      <c r="D20" s="389">
        <f>D$11*D14</f>
        <v>0</v>
      </c>
      <c r="E20" s="349"/>
      <c r="F20" s="390">
        <f>F$11*F14</f>
        <v>38.228580000000001</v>
      </c>
      <c r="G20" s="348"/>
    </row>
    <row r="21" spans="1:7" s="496" customFormat="1">
      <c r="A21" s="347" t="s">
        <v>802</v>
      </c>
      <c r="B21" s="390">
        <f>B$11*B15</f>
        <v>0</v>
      </c>
      <c r="C21" s="348"/>
      <c r="D21" s="389">
        <f>D$11*D15</f>
        <v>0</v>
      </c>
      <c r="E21" s="349"/>
      <c r="F21" s="390">
        <f>F$11*F15</f>
        <v>0</v>
      </c>
      <c r="G21" s="348"/>
    </row>
    <row r="22" spans="1:7" s="496" customFormat="1">
      <c r="A22" s="347" t="s">
        <v>804</v>
      </c>
      <c r="B22" s="390">
        <f>B$11*B16</f>
        <v>7.2300479999999991</v>
      </c>
      <c r="C22" s="348"/>
      <c r="D22" s="389">
        <f>D$11*D16</f>
        <v>7.0783439999999995</v>
      </c>
      <c r="E22" s="349"/>
      <c r="F22" s="390">
        <f>F$11*F16</f>
        <v>38.228580000000001</v>
      </c>
      <c r="G22" s="348"/>
    </row>
    <row r="23" spans="1:7" s="496" customFormat="1">
      <c r="A23" s="347" t="s">
        <v>805</v>
      </c>
      <c r="B23" s="390">
        <f>B$11*B17</f>
        <v>0</v>
      </c>
      <c r="C23" s="348"/>
      <c r="D23" s="389">
        <f>D$11*D17</f>
        <v>0</v>
      </c>
      <c r="E23" s="349"/>
      <c r="F23" s="390">
        <f>F$11*F17</f>
        <v>0</v>
      </c>
      <c r="G23" s="348"/>
    </row>
    <row r="24" spans="1:7" s="496" customFormat="1">
      <c r="A24" s="347" t="s">
        <v>806</v>
      </c>
      <c r="B24" s="390">
        <f>B$11*B18</f>
        <v>5.0659520000000002</v>
      </c>
      <c r="C24" s="348"/>
      <c r="D24" s="389">
        <f>D$11*D18</f>
        <v>4.9596560000000007</v>
      </c>
      <c r="E24" s="349"/>
      <c r="F24" s="390">
        <f>F$11*F18</f>
        <v>5.227839999999996</v>
      </c>
      <c r="G24" s="348"/>
    </row>
    <row r="25" spans="1:7" s="496" customFormat="1">
      <c r="A25" s="510" t="s">
        <v>816</v>
      </c>
      <c r="B25" s="510">
        <f>B$20*(1+(GREET1_Import_Export!$F$179*GREET1_Import_Export!$B180+GREET1_Import_Export!$F180)/1000000)+B$21*(1+(GREET1_Import_Export!$G$179*GREET1_Import_Export!$B180+GREET1_Import_Export!$G180)/1000000)+B$22*(1+GREET1_Import_Export!$B216/1000000)+B$23*(1+GREET1_Import_Export!$B284/1000000)+B$24*(GREET1_Import_Export!$B309+GREET1_Import_Export!$C309)/1000000</f>
        <v>18.257855704337359</v>
      </c>
      <c r="C25" s="509"/>
      <c r="D25" s="512">
        <f>D$20*(1+(GREET1_Import_Export!$F$179*GREET1_Import_Export!$B180+GREET1_Import_Export!$F180)/1000000)+D$21*(1+(GREET1_Import_Export!$G$179*GREET1_Import_Export!$B180+GREET1_Import_Export!$G180)/1000000)+D$22*(1+GREET1_Import_Export!$B216/1000000)+D$23*(1+GREET1_Import_Export!$B284/1000000)+D$24*(GREET1_Import_Export!$B309+GREET1_Import_Export!$C309)/1000000</f>
        <v>17.874761464607445</v>
      </c>
      <c r="E25" s="512"/>
      <c r="F25" s="510">
        <f>F$20*(1+(GREET1_Import_Export!$F$179*GREET1_Import_Export!$B180+GREET1_Import_Export!$F180)/1000000)+F$21*(1+(GREET1_Import_Export!$G$179*GREET1_Import_Export!$B180+GREET1_Import_Export!$G180)/1000000)+F$22*(1+GREET1_Import_Export!$B216/1000000)+F$23*(1+GREET1_Import_Export!$B284/1000000)+F$24*(GREET1_Import_Export!$B309+GREET1_Import_Export!$C309)/1000000</f>
        <v>96.054665920080225</v>
      </c>
      <c r="G25" s="509"/>
    </row>
    <row r="26" spans="1:7" s="496" customFormat="1">
      <c r="A26" s="347" t="s">
        <v>817</v>
      </c>
      <c r="B26" s="347">
        <f>B$20*(1+(GREET1_Import_Export!$F$179*GREET1_Import_Export!$B181+GREET1_Import_Export!$F181)/1000000)+B$21*(1+(GREET1_Import_Export!$G$179*GREET1_Import_Export!$B181+GREET1_Import_Export!$G181)/1000000)+B$22*(1+GREET1_Import_Export!$B217/1000000)+B$23*(1+GREET1_Import_Export!$B285/1000000)+B$24*(GREET1_Import_Export!$B310+GREET1_Import_Export!$C310)/1000000</f>
        <v>16.11560720965759</v>
      </c>
      <c r="C26" s="348"/>
      <c r="D26" s="349">
        <f>D$20*(1+(GREET1_Import_Export!$F$179*GREET1_Import_Export!$B181+GREET1_Import_Export!$F181)/1000000)+D$21*(1+(GREET1_Import_Export!$G$179*GREET1_Import_Export!$B181+GREET1_Import_Export!$G181)/1000000)+D$22*(1+GREET1_Import_Export!$B217/1000000)+D$23*(1+GREET1_Import_Export!$B285/1000000)+D$24*(GREET1_Import_Export!$B310+GREET1_Import_Export!$C310)/1000000</f>
        <v>15.777462556104267</v>
      </c>
      <c r="E26" s="349"/>
      <c r="F26" s="347">
        <f>F$20*(1+(GREET1_Import_Export!$F$179*GREET1_Import_Export!$B181+GREET1_Import_Export!$F181)/1000000)+F$21*(1+(GREET1_Import_Export!$G$179*GREET1_Import_Export!$B181+GREET1_Import_Export!$G181)/1000000)+F$22*(1+GREET1_Import_Export!$B217/1000000)+F$23*(1+GREET1_Import_Export!$B285/1000000)+F$24*(GREET1_Import_Export!$B310+GREET1_Import_Export!$C310)/1000000</f>
        <v>93.636390566762742</v>
      </c>
      <c r="G26" s="348"/>
    </row>
    <row r="27" spans="1:7" s="496" customFormat="1">
      <c r="A27" s="347" t="s">
        <v>805</v>
      </c>
      <c r="B27" s="347">
        <f>B$20*(GREET1_Import_Export!$F$179*GREET1_Import_Export!$B182+GREET1_Import_Export!$F182)/1000000+B$21*(GREET1_Import_Export!$G$179*GREET1_Import_Export!$B182+GREET1_Import_Export!$G182)/1000000+B$22*GREET1_Import_Export!$B218/1000000+B$23*(1+GREET1_Import_Export!$B286/1000000)+B$24*(GREET1_Import_Export!$B311+GREET1_Import_Export!$C311)/1000000</f>
        <v>2.8318804805852604</v>
      </c>
      <c r="C27" s="348"/>
      <c r="D27" s="349">
        <f>D$20*(GREET1_Import_Export!$F$179*GREET1_Import_Export!$B182+GREET1_Import_Export!$F182)/1000000+D$21*(GREET1_Import_Export!$G$179*GREET1_Import_Export!$B182+GREET1_Import_Export!$G182)/1000000+D$22*GREET1_Import_Export!$B218/1000000+D$23*(1+GREET1_Import_Export!$B286/1000000)+D$24*(GREET1_Import_Export!$B311+GREET1_Import_Export!$C311)/1000000</f>
        <v>2.7724607372548284</v>
      </c>
      <c r="E27" s="349"/>
      <c r="F27" s="347">
        <f>F$20*(GREET1_Import_Export!$F$179*GREET1_Import_Export!$B182+GREET1_Import_Export!$F182)/1000000+F$21*(GREET1_Import_Export!$G$179*GREET1_Import_Export!$B182+GREET1_Import_Export!$G182)/1000000+F$22*GREET1_Import_Export!$B218/1000000+F$23*(1+GREET1_Import_Export!$B286/1000000)+F$24*(GREET1_Import_Export!$B311+GREET1_Import_Export!$C311)/1000000</f>
        <v>3.1853950135663007</v>
      </c>
      <c r="G27" s="348"/>
    </row>
    <row r="28" spans="1:7" s="496" customFormat="1">
      <c r="A28" s="347" t="s">
        <v>804</v>
      </c>
      <c r="B28" s="347">
        <f>B26-B27-B29</f>
        <v>13.166332068018756</v>
      </c>
      <c r="C28" s="348"/>
      <c r="D28" s="349">
        <f>D26-D27-D29</f>
        <v>12.890070383442565</v>
      </c>
      <c r="E28" s="349"/>
      <c r="F28" s="347">
        <f>F26-F27-F29</f>
        <v>50.40562498510014</v>
      </c>
      <c r="G28" s="348"/>
    </row>
    <row r="29" spans="1:7" s="496" customFormat="1">
      <c r="A29" s="347" t="s">
        <v>818</v>
      </c>
      <c r="B29" s="347">
        <f>B$20*(1+(GREET1_Import_Export!$F$179*GREET1_Import_Export!$B184+GREET1_Import_Export!$F184)/1000000)+B$21*(1+(GREET1_Import_Export!$G$179*GREET1_Import_Export!$B184+GREET1_Import_Export!$G184)/1000000)+B$22*GREET1_Import_Export!$B220/1000000+B$23*GREET1_Import_Export!$B288/1000000+B$24*(GREET1_Import_Export!$B313+GREET1_Import_Export!$C313)/1000000</f>
        <v>0.11739466105357388</v>
      </c>
      <c r="C29" s="348"/>
      <c r="D29" s="349">
        <f>D$20*(1+(GREET1_Import_Export!$F$179*GREET1_Import_Export!$B184+GREET1_Import_Export!$F184)/1000000)+D$21*(1+(GREET1_Import_Export!$G$179*GREET1_Import_Export!$B184+GREET1_Import_Export!$G184)/1000000)+D$22*GREET1_Import_Export!$B220/1000000+D$23*GREET1_Import_Export!$B288/1000000+D$24*(GREET1_Import_Export!$B313+GREET1_Import_Export!$C313)/1000000</f>
        <v>0.11493143540687398</v>
      </c>
      <c r="E29" s="349"/>
      <c r="F29" s="347">
        <f>F$20*(1+(GREET1_Import_Export!$F$179*GREET1_Import_Export!$B184+GREET1_Import_Export!$F184)/1000000)+F$21*(1+(GREET1_Import_Export!$G$179*GREET1_Import_Export!$B184+GREET1_Import_Export!$G184)/1000000)+F$22*GREET1_Import_Export!$B220/1000000+F$23*GREET1_Import_Export!$B288/1000000+F$24*(GREET1_Import_Export!$B313+GREET1_Import_Export!$C313)/1000000</f>
        <v>40.045370568096295</v>
      </c>
      <c r="G29" s="348"/>
    </row>
    <row r="30" spans="1:7" s="535" customFormat="1">
      <c r="A30" s="160" t="s">
        <v>819</v>
      </c>
      <c r="B30" s="650">
        <f>B$20*((GREET1_Import_Export!$F$179*GREET1_Import_Export!$B185+GREET1_Import_Export!$F185))+B$21*((GREET1_Import_Export!$G$179*GREET1_Import_Export!$B185+GREET1_Import_Export!$G185))+B$22*GREET1_Import_Export!$B221+B$23*GREET1_Import_Export!$B289+B$24*(GREET1_Import_Export!$B314+GREET1_Import_Export!$C314)</f>
        <v>572.87795891545545</v>
      </c>
      <c r="C30" s="752"/>
      <c r="D30" s="47">
        <f>D$20*((GREET1_Import_Export!$F$179*GREET1_Import_Export!$B185+GREET1_Import_Export!$F185))+D$21*((GREET1_Import_Export!$G$179*GREET1_Import_Export!$B185+GREET1_Import_Export!$G185))+D$22*GREET1_Import_Export!$B221+D$23*GREET1_Import_Export!$B289+D$24*(GREET1_Import_Export!$B314+GREET1_Import_Export!$C314)</f>
        <v>560.85758534679997</v>
      </c>
      <c r="E30" s="374"/>
      <c r="F30" s="250">
        <f>F$20*((GREET1_Import_Export!$F$179*GREET1_Import_Export!$B185+GREET1_Import_Export!$F185))+F$21*((GREET1_Import_Export!$G$179*GREET1_Import_Export!$B185+GREET1_Import_Export!$G185))+F$22*GREET1_Import_Export!$B221+F$23*GREET1_Import_Export!$B289+F$24*(GREET1_Import_Export!$B314+GREET1_Import_Export!$C314)</f>
        <v>1458.8108571967664</v>
      </c>
      <c r="G30" s="752"/>
    </row>
    <row r="31" spans="1:7" s="496" customFormat="1">
      <c r="A31" s="699" t="s">
        <v>864</v>
      </c>
      <c r="B31" s="510"/>
      <c r="C31" s="509"/>
      <c r="D31" s="512"/>
      <c r="E31" s="512"/>
      <c r="F31" s="510"/>
      <c r="G31" s="509"/>
    </row>
    <row r="32" spans="1:7" s="496" customFormat="1">
      <c r="A32" s="347" t="s">
        <v>821</v>
      </c>
      <c r="B32" s="347">
        <f>B$20*($B$4*GREET1_Import_Export!$K72+GREET1_Import_Export!$F$179*GREET1_Import_Export!$B186+GREET1_Import_Export!$F186)+B$21*(GREET1_Import_Export!$O72+GREET1_Import_Export!$G$179*GREET1_Import_Export!$B186+GREET1_Import_Export!$G186)+B$22*($B$5*GREET1_Import_Export!$B72+GREET1_Import_Export!$B222)+B$23*($B$6*GREET1_Import_Export!$AA72+GREET1_Import_Export!$B290)+B$24*(GREET1_Import_Export!$B315+GREET1_Import_Export!$C315)</f>
        <v>162.9370718829685</v>
      </c>
      <c r="C32" s="348"/>
      <c r="D32" s="349">
        <f>D$20*($B$4*GREET1_Import_Export!$K72+GREET1_Import_Export!$F$179*GREET1_Import_Export!$B186+GREET1_Import_Export!$F186)+D$21*(GREET1_Import_Export!$O72+GREET1_Import_Export!$G$179*GREET1_Import_Export!$B186+GREET1_Import_Export!$G186)+D$22*($B$5*GREET1_Import_Export!$B72+GREET1_Import_Export!$B222)+D$23*($B$6*GREET1_Import_Export!$AA72+GREET1_Import_Export!$B290)+D$24*(GREET1_Import_Export!$B315+GREET1_Import_Export!$C315)</f>
        <v>159.5182556381892</v>
      </c>
      <c r="E32" s="349"/>
      <c r="F32" s="347">
        <f>F$20*($B$4*GREET1_Import_Export!$K72+GREET1_Import_Export!$F$179*GREET1_Import_Export!$B186+GREET1_Import_Export!$F186)+F$21*(GREET1_Import_Export!$O72+GREET1_Import_Export!$G$179*GREET1_Import_Export!$B186+GREET1_Import_Export!$G186)+F$22*($B$5*GREET1_Import_Export!$B72+GREET1_Import_Export!$B222)+F$23*($B$6*GREET1_Import_Export!$AA72+GREET1_Import_Export!$B290)+F$24*(GREET1_Import_Export!$B315+GREET1_Import_Export!$C315)</f>
        <v>825.32907758765509</v>
      </c>
      <c r="G32" s="348"/>
    </row>
    <row r="33" spans="1:7" s="496" customFormat="1">
      <c r="A33" s="347" t="s">
        <v>822</v>
      </c>
      <c r="B33" s="347">
        <f>B$20*($B$4*GREET1_Import_Export!$K73+GREET1_Import_Export!$F$179*GREET1_Import_Export!$B187+GREET1_Import_Export!$F187)+B$21*(GREET1_Import_Export!$O73+GREET1_Import_Export!$G$179*GREET1_Import_Export!$B187+GREET1_Import_Export!$G187)+B$22*($B$5*GREET1_Import_Export!$B73+GREET1_Import_Export!$B223)+B$23*($B$6*GREET1_Import_Export!$AA73+GREET1_Import_Export!$B291)+B$24*(GREET1_Import_Export!$B316+GREET1_Import_Export!$C316)</f>
        <v>576.23367370264191</v>
      </c>
      <c r="C33" s="348"/>
      <c r="D33" s="349">
        <f>D$20*($B$4*GREET1_Import_Export!$K73+GREET1_Import_Export!$F$179*GREET1_Import_Export!$B187+GREET1_Import_Export!$F187)+D$21*(GREET1_Import_Export!$O73+GREET1_Import_Export!$G$179*GREET1_Import_Export!$B187+GREET1_Import_Export!$G187)+D$22*($B$5*GREET1_Import_Export!$B73+GREET1_Import_Export!$B223)+D$23*($B$6*GREET1_Import_Export!$AA73+GREET1_Import_Export!$B291)+D$24*(GREET1_Import_Export!$B316+GREET1_Import_Export!$C316)</f>
        <v>564.14288907225136</v>
      </c>
      <c r="E33" s="349"/>
      <c r="F33" s="347">
        <f>F$20*($B$4*GREET1_Import_Export!$K73+GREET1_Import_Export!$F$179*GREET1_Import_Export!$B187+GREET1_Import_Export!$F187)+F$21*(GREET1_Import_Export!$O73+GREET1_Import_Export!$G$179*GREET1_Import_Export!$B187+GREET1_Import_Export!$G187)+F$22*($B$5*GREET1_Import_Export!$B73+GREET1_Import_Export!$B223)+F$23*($B$6*GREET1_Import_Export!$AA73+GREET1_Import_Export!$B291)+F$24*(GREET1_Import_Export!$B316+GREET1_Import_Export!$C316)</f>
        <v>4006.9822974561739</v>
      </c>
      <c r="G33" s="348"/>
    </row>
    <row r="34" spans="1:7" s="496" customFormat="1">
      <c r="A34" s="347" t="s">
        <v>823</v>
      </c>
      <c r="B34" s="347">
        <f>B$20*($B$4*GREET1_Import_Export!$K74+GREET1_Import_Export!$F$179*GREET1_Import_Export!$B188+GREET1_Import_Export!$F188)+B$21*(GREET1_Import_Export!$O74+GREET1_Import_Export!$G$179*GREET1_Import_Export!$B188+GREET1_Import_Export!$G188)+B$22*($B$5*GREET1_Import_Export!$B74+GREET1_Import_Export!$B224)+B$23*($B$6*GREET1_Import_Export!$AA74+GREET1_Import_Export!$B292)+B$24*(GREET1_Import_Export!$B317+GREET1_Import_Export!$C317)</f>
        <v>916.29410889930375</v>
      </c>
      <c r="C34" s="348"/>
      <c r="D34" s="349">
        <f>D$20*($B$4*GREET1_Import_Export!$K74+GREET1_Import_Export!$F$179*GREET1_Import_Export!$B188+GREET1_Import_Export!$F188)+D$21*(GREET1_Import_Export!$O74+GREET1_Import_Export!$G$179*GREET1_Import_Export!$B188+GREET1_Import_Export!$G188)+D$22*($B$5*GREET1_Import_Export!$B74+GREET1_Import_Export!$B224)+D$23*($B$6*GREET1_Import_Export!$AA74+GREET1_Import_Export!$B292)+D$24*(GREET1_Import_Export!$B317+GREET1_Import_Export!$C317)</f>
        <v>897.06802886547007</v>
      </c>
      <c r="E34" s="349"/>
      <c r="F34" s="347">
        <f>F$20*($B$4*GREET1_Import_Export!$K74+GREET1_Import_Export!$F$179*GREET1_Import_Export!$B188+GREET1_Import_Export!$F188)+F$21*(GREET1_Import_Export!$O74+GREET1_Import_Export!$G$179*GREET1_Import_Export!$B188+GREET1_Import_Export!$G188)+F$22*($B$5*GREET1_Import_Export!$B74+GREET1_Import_Export!$B224)+F$23*($B$6*GREET1_Import_Export!$AA74+GREET1_Import_Export!$B292)+F$24*(GREET1_Import_Export!$B317+GREET1_Import_Export!$C317)</f>
        <v>9141.926222399683</v>
      </c>
      <c r="G34" s="348"/>
    </row>
    <row r="35" spans="1:7" s="496" customFormat="1">
      <c r="A35" s="347" t="s">
        <v>824</v>
      </c>
      <c r="B35" s="347">
        <f>B$20*($B$4*GREET1_Import_Export!$K75+GREET1_Import_Export!$F$179*GREET1_Import_Export!$B189+GREET1_Import_Export!$F189)+B$21*(GREET1_Import_Export!$O75+GREET1_Import_Export!$G$179*GREET1_Import_Export!$B189+GREET1_Import_Export!$G189)+B$22*($B$5*GREET1_Import_Export!$B75+GREET1_Import_Export!$B225)+B$23*($B$6*GREET1_Import_Export!$AA75+GREET1_Import_Export!$B293)+B$24*(GREET1_Import_Export!$B318+GREET1_Import_Export!$C318)</f>
        <v>90.964416480012517</v>
      </c>
      <c r="C35" s="348"/>
      <c r="D35" s="349">
        <f>D$20*($B$4*GREET1_Import_Export!$K75+GREET1_Import_Export!$F$179*GREET1_Import_Export!$B189+GREET1_Import_Export!$F189)+D$21*(GREET1_Import_Export!$O75+GREET1_Import_Export!$G$179*GREET1_Import_Export!$B189+GREET1_Import_Export!$G189)+D$22*($B$5*GREET1_Import_Export!$B75+GREET1_Import_Export!$B225)+D$23*($B$6*GREET1_Import_Export!$AA75+GREET1_Import_Export!$B293)+D$24*(GREET1_Import_Export!$B318+GREET1_Import_Export!$C318)</f>
        <v>89.055761677487865</v>
      </c>
      <c r="E35" s="349"/>
      <c r="F35" s="347">
        <f>F$20*($B$4*GREET1_Import_Export!$K75+GREET1_Import_Export!$F$179*GREET1_Import_Export!$B189+GREET1_Import_Export!$F189)+F$21*(GREET1_Import_Export!$O75+GREET1_Import_Export!$G$179*GREET1_Import_Export!$B189+GREET1_Import_Export!$G189)+F$22*($B$5*GREET1_Import_Export!$B75+GREET1_Import_Export!$B225)+F$23*($B$6*GREET1_Import_Export!$AA75+GREET1_Import_Export!$B293)+F$24*(GREET1_Import_Export!$B318+GREET1_Import_Export!$C318)</f>
        <v>1386.7101429739291</v>
      </c>
      <c r="G35" s="348"/>
    </row>
    <row r="36" spans="1:7" s="349" customFormat="1">
      <c r="A36" s="347" t="s">
        <v>825</v>
      </c>
      <c r="B36" s="347">
        <f>B$20*($B$4*GREET1_Import_Export!$K76+GREET1_Import_Export!$F$179*GREET1_Import_Export!$B190+GREET1_Import_Export!$F190)+B$21*(GREET1_Import_Export!$O76+GREET1_Import_Export!$G$179*GREET1_Import_Export!$B190+GREET1_Import_Export!$G190)+B$22*($B$5*GREET1_Import_Export!$B76+GREET1_Import_Export!$B226)+B$23*($B$6*GREET1_Import_Export!$AA76+GREET1_Import_Export!$B294)+B$24*(GREET1_Import_Export!$B319+GREET1_Import_Export!$C319)</f>
        <v>65.653651916826647</v>
      </c>
      <c r="C36" s="348"/>
      <c r="D36" s="349">
        <f>D$20*($B$4*GREET1_Import_Export!$K76+GREET1_Import_Export!$F$179*GREET1_Import_Export!$B190+GREET1_Import_Export!$F190)+D$21*(GREET1_Import_Export!$O76+GREET1_Import_Export!$G$179*GREET1_Import_Export!$B190+GREET1_Import_Export!$G190)+D$22*($B$5*GREET1_Import_Export!$B76+GREET1_Import_Export!$B226)+D$23*($B$6*GREET1_Import_Export!$AA76+GREET1_Import_Export!$B294)+D$24*(GREET1_Import_Export!$B319+GREET1_Import_Export!$C319)</f>
        <v>64.276078543815828</v>
      </c>
      <c r="F36" s="347">
        <f>F$20*($B$4*GREET1_Import_Export!$K76+GREET1_Import_Export!$F$179*GREET1_Import_Export!$B190+GREET1_Import_Export!$F190)+F$21*(GREET1_Import_Export!$O76+GREET1_Import_Export!$G$179*GREET1_Import_Export!$B190+GREET1_Import_Export!$G190)+F$22*($B$5*GREET1_Import_Export!$B76+GREET1_Import_Export!$B226)+F$23*($B$6*GREET1_Import_Export!$AA76+GREET1_Import_Export!$B294)+F$24*(GREET1_Import_Export!$B319+GREET1_Import_Export!$C319)</f>
        <v>802.84604165203075</v>
      </c>
      <c r="G36" s="348"/>
    </row>
    <row r="37" spans="1:7" s="349" customFormat="1">
      <c r="A37" s="347" t="s">
        <v>826</v>
      </c>
      <c r="B37" s="347">
        <f>B$20*($B$4*GREET1_Import_Export!$K77+GREET1_Import_Export!$F$179*GREET1_Import_Export!$B191+GREET1_Import_Export!$F191)+B$21*(GREET1_Import_Export!$O77+GREET1_Import_Export!$G$179*GREET1_Import_Export!$B191+GREET1_Import_Export!$G191)+B$22*($B$5*GREET1_Import_Export!$B77+GREET1_Import_Export!$B227)+B$23*($B$6*GREET1_Import_Export!$AA77+GREET1_Import_Export!$B295)+B$24*(GREET1_Import_Export!$B320+GREET1_Import_Export!$C320)</f>
        <v>410.40130045003758</v>
      </c>
      <c r="C37" s="348"/>
      <c r="D37" s="349">
        <f>D$20*($B$4*GREET1_Import_Export!$K77+GREET1_Import_Export!$F$179*GREET1_Import_Export!$B191+GREET1_Import_Export!$F191)+D$21*(GREET1_Import_Export!$O77+GREET1_Import_Export!$G$179*GREET1_Import_Export!$B191+GREET1_Import_Export!$G191)+D$22*($B$5*GREET1_Import_Export!$B77+GREET1_Import_Export!$B227)+D$23*($B$6*GREET1_Import_Export!$AA77+GREET1_Import_Export!$B295)+D$24*(GREET1_Import_Export!$B320+GREET1_Import_Export!$C320)</f>
        <v>401.79008253233184</v>
      </c>
      <c r="F37" s="347">
        <f>F$20*($B$4*GREET1_Import_Export!$K77+GREET1_Import_Export!$F$179*GREET1_Import_Export!$B191+GREET1_Import_Export!$F191)+F$21*(GREET1_Import_Export!$O77+GREET1_Import_Export!$G$179*GREET1_Import_Export!$B191+GREET1_Import_Export!$G191)+F$22*($B$5*GREET1_Import_Export!$B77+GREET1_Import_Export!$B227)+F$23*($B$6*GREET1_Import_Export!$AA77+GREET1_Import_Export!$B295)+F$24*(GREET1_Import_Export!$B320+GREET1_Import_Export!$C320)</f>
        <v>5424.6734619725112</v>
      </c>
      <c r="G37" s="348"/>
    </row>
    <row r="38" spans="1:7" s="349" customFormat="1">
      <c r="A38" s="749" t="s">
        <v>827</v>
      </c>
      <c r="B38" s="347">
        <f>B$20*($B$4*GREET1_Import_Export!$K78+GREET1_Import_Export!$F$179*GREET1_Import_Export!$B192+GREET1_Import_Export!$F192)+B$21*(GREET1_Import_Export!$O78+GREET1_Import_Export!$G$179*GREET1_Import_Export!$B192+GREET1_Import_Export!$G192)+B$22*($B$5*GREET1_Import_Export!$B78+GREET1_Import_Export!$B228)+B$23*($B$6*GREET1_Import_Export!$AA78+GREET1_Import_Export!$B296)+B$24*(GREET1_Import_Export!$B321+GREET1_Import_Export!$C321)</f>
        <v>7.1928346875437157</v>
      </c>
      <c r="C38" s="348"/>
      <c r="D38" s="349">
        <f>D$20*($B$4*GREET1_Import_Export!$K78+GREET1_Import_Export!$F$179*GREET1_Import_Export!$B192+GREET1_Import_Export!$F192)+D$21*(GREET1_Import_Export!$O78+GREET1_Import_Export!$G$179*GREET1_Import_Export!$B192+GREET1_Import_Export!$G192)+D$22*($B$5*GREET1_Import_Export!$B78+GREET1_Import_Export!$B228)+D$23*($B$6*GREET1_Import_Export!$AA78+GREET1_Import_Export!$B296)+D$24*(GREET1_Import_Export!$B321+GREET1_Import_Export!$C321)</f>
        <v>7.0419115133906356</v>
      </c>
      <c r="F38" s="347">
        <f>F$20*($B$4*GREET1_Import_Export!$K78+GREET1_Import_Export!$F$179*GREET1_Import_Export!$B192+GREET1_Import_Export!$F192)+F$21*(GREET1_Import_Export!$O78+GREET1_Import_Export!$G$179*GREET1_Import_Export!$B192+GREET1_Import_Export!$G192)+F$22*($B$5*GREET1_Import_Export!$B78+GREET1_Import_Export!$B228)+F$23*($B$6*GREET1_Import_Export!$AA78+GREET1_Import_Export!$B296)+F$24*(GREET1_Import_Export!$B321+GREET1_Import_Export!$C321)</f>
        <v>71.257908380157687</v>
      </c>
      <c r="G38" s="348"/>
    </row>
    <row r="39" spans="1:7" s="349" customFormat="1">
      <c r="A39" s="749" t="s">
        <v>828</v>
      </c>
      <c r="B39" s="347">
        <f>B$20*($B$4*GREET1_Import_Export!$K79+GREET1_Import_Export!$F$179*GREET1_Import_Export!$B193+GREET1_Import_Export!$F193)+B$21*(GREET1_Import_Export!$O79+GREET1_Import_Export!$G$179*GREET1_Import_Export!$B193+GREET1_Import_Export!$G193)+B$22*($B$5*GREET1_Import_Export!$B79+GREET1_Import_Export!$B229)+B$23*($B$6*GREET1_Import_Export!$AA79+GREET1_Import_Export!$B297)+B$24*(GREET1_Import_Export!$B322+GREET1_Import_Export!$C322)</f>
        <v>22.796130251940411</v>
      </c>
      <c r="C39" s="348"/>
      <c r="D39" s="349">
        <f>D$20*($B$4*GREET1_Import_Export!$K79+GREET1_Import_Export!$F$179*GREET1_Import_Export!$B193+GREET1_Import_Export!$F193)+D$21*(GREET1_Import_Export!$O79+GREET1_Import_Export!$G$179*GREET1_Import_Export!$B193+GREET1_Import_Export!$G193)+D$22*($B$5*GREET1_Import_Export!$B79+GREET1_Import_Export!$B229)+D$23*($B$6*GREET1_Import_Export!$AA79+GREET1_Import_Export!$B297)+D$24*(GREET1_Import_Export!$B322+GREET1_Import_Export!$C322)</f>
        <v>22.317811969165476</v>
      </c>
      <c r="F39" s="347">
        <f>F$20*($B$4*GREET1_Import_Export!$K79+GREET1_Import_Export!$F$179*GREET1_Import_Export!$B193+GREET1_Import_Export!$F193)+F$21*(GREET1_Import_Export!$O79+GREET1_Import_Export!$G$179*GREET1_Import_Export!$B193+GREET1_Import_Export!$G193)+F$22*($B$5*GREET1_Import_Export!$B79+GREET1_Import_Export!$B229)+F$23*($B$6*GREET1_Import_Export!$AA79+GREET1_Import_Export!$B297)+F$24*(GREET1_Import_Export!$B322+GREET1_Import_Export!$C322)</f>
        <v>112.90818776906204</v>
      </c>
      <c r="G39" s="348"/>
    </row>
    <row r="40" spans="1:7" s="349" customFormat="1">
      <c r="A40" s="347" t="s">
        <v>829</v>
      </c>
      <c r="B40" s="347">
        <f>B$20*($B$4*GREET1_Import_Export!$K80+GREET1_Import_Export!$F$179*GREET1_Import_Export!$B194+GREET1_Import_Export!$F194)+B$21*(GREET1_Import_Export!$O80+GREET1_Import_Export!$G$179*GREET1_Import_Export!$B194+GREET1_Import_Export!$G194)+B$22*($B$5*GREET1_Import_Export!$B80+GREET1_Import_Export!$B230)+B$23*($B$6*GREET1_Import_Export!$AA80+GREET1_Import_Export!$B298)+B$24*(GREET1_Import_Export!$B323+GREET1_Import_Export!$C323)</f>
        <v>2929.1551037368154</v>
      </c>
      <c r="C40" s="348"/>
      <c r="D40" s="349">
        <f>D$20*($B$4*GREET1_Import_Export!$K80+GREET1_Import_Export!$F$179*GREET1_Import_Export!$B194+GREET1_Import_Export!$F194)+D$21*(GREET1_Import_Export!$O80+GREET1_Import_Export!$G$179*GREET1_Import_Export!$B194+GREET1_Import_Export!$G194)+D$22*($B$5*GREET1_Import_Export!$B80+GREET1_Import_Export!$B230)+D$23*($B$6*GREET1_Import_Export!$AA80+GREET1_Import_Export!$B298)+D$24*(GREET1_Import_Export!$B323+GREET1_Import_Export!$C323)</f>
        <v>2867.6943021131901</v>
      </c>
      <c r="F40" s="347">
        <f>F$20*($B$4*GREET1_Import_Export!$K80+GREET1_Import_Export!$F$179*GREET1_Import_Export!$B194+GREET1_Import_Export!$F194)+F$21*(GREET1_Import_Export!$O80+GREET1_Import_Export!$G$179*GREET1_Import_Export!$B194+GREET1_Import_Export!$G194)+F$22*($B$5*GREET1_Import_Export!$B80+GREET1_Import_Export!$B230)+F$23*($B$6*GREET1_Import_Export!$AA80+GREET1_Import_Export!$B298)+F$24*(GREET1_Import_Export!$B323+GREET1_Import_Export!$C323)</f>
        <v>13691.477713896667</v>
      </c>
      <c r="G40" s="348"/>
    </row>
    <row r="41" spans="1:7" s="349" customFormat="1">
      <c r="A41" s="347" t="s">
        <v>830</v>
      </c>
      <c r="B41" s="347">
        <f>B$20*($B$4*GREET1_Import_Export!$K81+GREET1_Import_Export!$F$179*GREET1_Import_Export!$B195+GREET1_Import_Export!$F195)+B$21*(GREET1_Import_Export!$O81+GREET1_Import_Export!$G$179*GREET1_Import_Export!$B195+GREET1_Import_Export!$G195)+B$22*($B$5*GREET1_Import_Export!$B81+GREET1_Import_Export!$B231)+B$23*($B$6*GREET1_Import_Export!$AA81+GREET1_Import_Export!$B299)+B$24*(GREET1_Import_Export!$B324+GREET1_Import_Export!$C324)</f>
        <v>28.00059848982584</v>
      </c>
      <c r="C41" s="348"/>
      <c r="D41" s="349">
        <f>D$20*($B$4*GREET1_Import_Export!$K81+GREET1_Import_Export!$F$179*GREET1_Import_Export!$B195+GREET1_Import_Export!$F195)+D$21*(GREET1_Import_Export!$O81+GREET1_Import_Export!$G$179*GREET1_Import_Export!$B195+GREET1_Import_Export!$G195)+D$22*($B$5*GREET1_Import_Export!$B81+GREET1_Import_Export!$B231)+D$23*($B$6*GREET1_Import_Export!$AA81+GREET1_Import_Export!$B299)+D$24*(GREET1_Import_Export!$B324+GREET1_Import_Export!$C324)</f>
        <v>27.413077799326896</v>
      </c>
      <c r="F41" s="347">
        <f>F$20*($B$4*GREET1_Import_Export!$K81+GREET1_Import_Export!$F$179*GREET1_Import_Export!$B195+GREET1_Import_Export!$F195)+F$21*(GREET1_Import_Export!$O81+GREET1_Import_Export!$G$179*GREET1_Import_Export!$B195+GREET1_Import_Export!$G195)+F$22*($B$5*GREET1_Import_Export!$B81+GREET1_Import_Export!$B231)+F$23*($B$6*GREET1_Import_Export!$AA81+GREET1_Import_Export!$B299)+F$24*(GREET1_Import_Export!$B324+GREET1_Import_Export!$C324)</f>
        <v>167.36857060778178</v>
      </c>
      <c r="G41" s="348"/>
    </row>
    <row r="42" spans="1:7" s="419" customFormat="1">
      <c r="A42" s="668" t="s">
        <v>831</v>
      </c>
      <c r="B42" s="295">
        <f>B$20*($B$4*GREET1_Import_Export!$K82+GREET1_Import_Export!$F$179*GREET1_Import_Export!$B196+GREET1_Import_Export!$F196)+B$21*(GREET1_Import_Export!$O82+GREET1_Import_Export!$G$179*GREET1_Import_Export!$B196+GREET1_Import_Export!$G196)+B$22*($B$5*GREET1_Import_Export!$B82+GREET1_Import_Export!$B232)+B$23*($B$6*GREET1_Import_Export!$AA82+GREET1_Import_Export!$B300)+B$24*(GREET1_Import_Export!$B325+GREET1_Import_Export!$C325)</f>
        <v>1073237.7424686407</v>
      </c>
      <c r="C42" s="752"/>
      <c r="D42" s="374">
        <f>D$20*($B$4*GREET1_Import_Export!$K82+GREET1_Import_Export!$F$179*GREET1_Import_Export!$B196+GREET1_Import_Export!$F196)+D$21*(GREET1_Import_Export!$O82+GREET1_Import_Export!$G$179*GREET1_Import_Export!$B196+GREET1_Import_Export!$G196)+D$22*($B$5*GREET1_Import_Export!$B82+GREET1_Import_Export!$B232)+D$23*($B$6*GREET1_Import_Export!$AA82+GREET1_Import_Export!$B300)+D$24*(GREET1_Import_Export!$B325+GREET1_Import_Export!$C325)</f>
        <v>1050718.6031097507</v>
      </c>
      <c r="E42" s="374"/>
      <c r="F42" s="668">
        <f>F$20*($B$4*GREET1_Import_Export!$K82+GREET1_Import_Export!$F$179*GREET1_Import_Export!$B196+GREET1_Import_Export!$F196)+F$21*(GREET1_Import_Export!$O82+GREET1_Import_Export!$G$179*GREET1_Import_Export!$B196+GREET1_Import_Export!$G196)+F$22*($B$5*GREET1_Import_Export!$B82+GREET1_Import_Export!$B232)+F$23*($B$6*GREET1_Import_Export!$AA82+GREET1_Import_Export!$B300)+F$24*(GREET1_Import_Export!$B325+GREET1_Import_Export!$C325)</f>
        <v>6748146.0072186952</v>
      </c>
      <c r="G42" s="752"/>
    </row>
    <row r="43" spans="1:7" s="349" customFormat="1">
      <c r="A43" s="758" t="s">
        <v>865</v>
      </c>
      <c r="B43" s="347"/>
      <c r="C43" s="348"/>
      <c r="D43" s="389"/>
      <c r="F43" s="347"/>
      <c r="G43" s="348"/>
    </row>
    <row r="44" spans="1:7" s="349" customFormat="1">
      <c r="A44" s="347" t="s">
        <v>821</v>
      </c>
      <c r="B44" s="347">
        <f>B$20*(B$12*($B$4*GREET1_Import_Export!$K72)+GREET1_Import_Export!$F$200*GREET1_Import_Export!$B201+GREET1_Import_Export!$F201)+B$21*(B$12*(GREET1_Import_Export!$O72)+GREET1_Import_Export!$G$200*GREET1_Import_Export!$B201+GREET1_Import_Export!$G201)+B$22*(B$12*($B$5*GREET1_Import_Export!$B72)+GREET1_Import_Export!$B237)+B$23*(B$12*($B$6*GREET1_Import_Export!$AA72)+GREET1_Import_Export!$C290)+B$24*(GREET1_Import_Export!$D315+GREET1_Import_Export!$E315)</f>
        <v>8.7019889073822583</v>
      </c>
      <c r="C44" s="348">
        <f t="shared" ref="C44:C51" si="0">C32*B$12</f>
        <v>0</v>
      </c>
      <c r="D44" s="349">
        <f>D$20*(D$12*($B$4*GREET1_Import_Export!$K72)+GREET1_Import_Export!$F$200*GREET1_Import_Export!$B201+GREET1_Import_Export!$F201)+D$21*(D$12*(GREET1_Import_Export!$O72)+GREET1_Import_Export!$G$200*GREET1_Import_Export!$B201+GREET1_Import_Export!$G201)+D$22*(D$12*($B$5*GREET1_Import_Export!$B72)+GREET1_Import_Export!$B237)+D$23*(D$12*($B$6*GREET1_Import_Export!$AA72)+GREET1_Import_Export!$C290)+D$24*(GREET1_Import_Export!$D315+GREET1_Import_Export!$E315)</f>
        <v>8.519400005454429</v>
      </c>
      <c r="E44" s="349">
        <f t="shared" ref="E44:E51" si="1">E32*D$12</f>
        <v>0</v>
      </c>
      <c r="F44" s="347">
        <f>F$20*(F$12*($B$4*GREET1_Import_Export!$K72)+GREET1_Import_Export!$F$200*GREET1_Import_Export!$B201+GREET1_Import_Export!$F201)+F$21*(F$12*(GREET1_Import_Export!$O72)+GREET1_Import_Export!$G$200*GREET1_Import_Export!$B201+GREET1_Import_Export!$G201)+F$22*(F$12*($B$5*GREET1_Import_Export!$B72)+GREET1_Import_Export!$B237)+F$23*(F$12*($B$6*GREET1_Import_Export!$AA72)+GREET1_Import_Export!$C290)+F$24*(GREET1_Import_Export!$D315+GREET1_Import_Export!$E315)</f>
        <v>103.68848679731896</v>
      </c>
      <c r="G44" s="348">
        <f t="shared" ref="G44:G51" si="2">G32*F$12</f>
        <v>0</v>
      </c>
    </row>
    <row r="45" spans="1:7" s="349" customFormat="1">
      <c r="A45" s="347" t="s">
        <v>822</v>
      </c>
      <c r="B45" s="347">
        <f>B$20*(B$12*($B$4*GREET1_Import_Export!$K73)+GREET1_Import_Export!$F$200*GREET1_Import_Export!$B202+GREET1_Import_Export!$F202)+B$21*(B$12*(GREET1_Import_Export!$O73)+GREET1_Import_Export!$G$200*GREET1_Import_Export!$B202+GREET1_Import_Export!$G202)+B$22*(B$12*($B$5*GREET1_Import_Export!$B73)+GREET1_Import_Export!$B238)+B$23*(B$12*($B$6*GREET1_Import_Export!$AA73)+GREET1_Import_Export!$C291)+B$24*(GREET1_Import_Export!$D316+GREET1_Import_Export!$E316)</f>
        <v>53.094547009154994</v>
      </c>
      <c r="C45" s="348">
        <f t="shared" si="0"/>
        <v>0</v>
      </c>
      <c r="D45" s="349">
        <f>D$20*(D$12*($B$4*GREET1_Import_Export!$K73)+GREET1_Import_Export!$F$200*GREET1_Import_Export!$B202+GREET1_Import_Export!$F202)+D$21*(D$12*(GREET1_Import_Export!$O73)+GREET1_Import_Export!$G$200*GREET1_Import_Export!$B202+GREET1_Import_Export!$G202)+D$22*(D$12*($B$5*GREET1_Import_Export!$B73)+GREET1_Import_Export!$B238)+D$23*(D$12*($B$6*GREET1_Import_Export!$AA73)+GREET1_Import_Export!$C291)+D$24*(GREET1_Import_Export!$D316+GREET1_Import_Export!$E316)</f>
        <v>51.98049421732334</v>
      </c>
      <c r="E45" s="349">
        <f t="shared" si="1"/>
        <v>0</v>
      </c>
      <c r="F45" s="347">
        <f>F$20*(F$12*($B$4*GREET1_Import_Export!$K73)+GREET1_Import_Export!$F$200*GREET1_Import_Export!$B202+GREET1_Import_Export!$F202)+F$21*(F$12*(GREET1_Import_Export!$O73)+GREET1_Import_Export!$G$200*GREET1_Import_Export!$B202+GREET1_Import_Export!$G202)+F$22*(F$12*($B$5*GREET1_Import_Export!$B73)+GREET1_Import_Export!$B238)+F$23*(F$12*($B$6*GREET1_Import_Export!$AA73)+GREET1_Import_Export!$C291)+F$24*(GREET1_Import_Export!$D316+GREET1_Import_Export!$E316)</f>
        <v>192.49998135138708</v>
      </c>
      <c r="G45" s="348">
        <f t="shared" si="2"/>
        <v>0</v>
      </c>
    </row>
    <row r="46" spans="1:7" s="349" customFormat="1">
      <c r="A46" s="347" t="s">
        <v>823</v>
      </c>
      <c r="B46" s="347">
        <f>B$20*(B$12*($B$4*GREET1_Import_Export!$K74)+GREET1_Import_Export!$F$200*GREET1_Import_Export!$B203+GREET1_Import_Export!$F203)+B$21*(B$12*(GREET1_Import_Export!$O74)+GREET1_Import_Export!$G$200*GREET1_Import_Export!$B203+GREET1_Import_Export!$G203)+B$22*(B$12*($B$5*GREET1_Import_Export!$B74)+GREET1_Import_Export!$B239)+B$23*(B$12*($B$6*GREET1_Import_Export!$AA74)+GREET1_Import_Export!$C292)+B$24*(GREET1_Import_Export!$D317+GREET1_Import_Export!$E317)</f>
        <v>121.15220280907019</v>
      </c>
      <c r="C46" s="348">
        <f t="shared" si="0"/>
        <v>0</v>
      </c>
      <c r="D46" s="349">
        <f>D$20*(D$12*($B$4*GREET1_Import_Export!$K74)+GREET1_Import_Export!$F$200*GREET1_Import_Export!$B203+GREET1_Import_Export!$F203)+D$21*(D$12*(GREET1_Import_Export!$O74)+GREET1_Import_Export!$G$200*GREET1_Import_Export!$B203+GREET1_Import_Export!$G203)+D$22*(D$12*($B$5*GREET1_Import_Export!$B74)+GREET1_Import_Export!$B239)+D$23*(D$12*($B$6*GREET1_Import_Export!$AA74)+GREET1_Import_Export!$C292)+D$24*(GREET1_Import_Export!$D317+GREET1_Import_Export!$E317)</f>
        <v>118.61013479306988</v>
      </c>
      <c r="E46" s="349">
        <f t="shared" si="1"/>
        <v>0</v>
      </c>
      <c r="F46" s="347">
        <f>F$20*(F$12*($B$4*GREET1_Import_Export!$K74)+GREET1_Import_Export!$F$200*GREET1_Import_Export!$B203+GREET1_Import_Export!$F203)+F$21*(F$12*(GREET1_Import_Export!$O74)+GREET1_Import_Export!$G$200*GREET1_Import_Export!$B203+GREET1_Import_Export!$G203)+F$22*(F$12*($B$5*GREET1_Import_Export!$B74)+GREET1_Import_Export!$B239)+F$23*(F$12*($B$6*GREET1_Import_Export!$AA74)+GREET1_Import_Export!$C292)+F$24*(GREET1_Import_Export!$D317+GREET1_Import_Export!$E317)</f>
        <v>312.46063639966167</v>
      </c>
      <c r="G46" s="348">
        <f t="shared" si="2"/>
        <v>0</v>
      </c>
    </row>
    <row r="47" spans="1:7" s="349" customFormat="1">
      <c r="A47" s="347" t="s">
        <v>824</v>
      </c>
      <c r="B47" s="347">
        <f>B$20*(B$12*($B$4*GREET1_Import_Export!$K75)+GREET1_Import_Export!$F$200*GREET1_Import_Export!$B204+GREET1_Import_Export!$F204)+B$21*(B$12*(GREET1_Import_Export!$O75)+GREET1_Import_Export!$G$200*GREET1_Import_Export!$B204+GREET1_Import_Export!$G204)+B$22*(B$12*($B$5*GREET1_Import_Export!$B75)+GREET1_Import_Export!$B240)+B$23*(B$12*($B$6*GREET1_Import_Export!$AA75)+GREET1_Import_Export!$C293)+B$24*(GREET1_Import_Export!$D318+GREET1_Import_Export!$E318)</f>
        <v>12.992785614989154</v>
      </c>
      <c r="C47" s="348">
        <f t="shared" si="0"/>
        <v>0</v>
      </c>
      <c r="D47" s="349">
        <f>D$20*(D$12*($B$4*GREET1_Import_Export!$K75)+GREET1_Import_Export!$F$200*GREET1_Import_Export!$B204+GREET1_Import_Export!$F204)+D$21*(D$12*(GREET1_Import_Export!$O75)+GREET1_Import_Export!$G$200*GREET1_Import_Export!$B204+GREET1_Import_Export!$G204)+D$22*(D$12*($B$5*GREET1_Import_Export!$B75)+GREET1_Import_Export!$B240)+D$23*(D$12*($B$6*GREET1_Import_Export!$AA75)+GREET1_Import_Export!$C293)+D$24*(GREET1_Import_Export!$D318+GREET1_Import_Export!$E318)</f>
        <v>12.720165357290131</v>
      </c>
      <c r="E47" s="349">
        <f t="shared" si="1"/>
        <v>0</v>
      </c>
      <c r="F47" s="347">
        <f>F$20*(F$12*($B$4*GREET1_Import_Export!$K75)+GREET1_Import_Export!$F$200*GREET1_Import_Export!$B204+GREET1_Import_Export!$F204)+F$21*(F$12*(GREET1_Import_Export!$O75)+GREET1_Import_Export!$G$200*GREET1_Import_Export!$B204+GREET1_Import_Export!$G204)+F$22*(F$12*($B$5*GREET1_Import_Export!$B75)+GREET1_Import_Export!$B240)+F$23*(F$12*($B$6*GREET1_Import_Export!$AA75)+GREET1_Import_Export!$C293)+F$24*(GREET1_Import_Export!$D318+GREET1_Import_Export!$E318)</f>
        <v>29.329039838973852</v>
      </c>
      <c r="G47" s="348">
        <f t="shared" si="2"/>
        <v>0</v>
      </c>
    </row>
    <row r="48" spans="1:7" s="349" customFormat="1">
      <c r="A48" s="347" t="s">
        <v>825</v>
      </c>
      <c r="B48" s="347">
        <f>B$20*(B$12*($B$4*GREET1_Import_Export!$K76)+GREET1_Import_Export!$F$200*GREET1_Import_Export!$B205+GREET1_Import_Export!$F205)+B$21*(B$12*(GREET1_Import_Export!$O76)+GREET1_Import_Export!$G$200*GREET1_Import_Export!$B205+GREET1_Import_Export!$G205)+B$22*(B$12*($B$5*GREET1_Import_Export!$B76)+GREET1_Import_Export!$B241)+B$23*(B$12*($B$6*GREET1_Import_Export!$AA76)+GREET1_Import_Export!$C294)+B$24*(GREET1_Import_Export!$D319+GREET1_Import_Export!$E319)</f>
        <v>11.429630282422362</v>
      </c>
      <c r="C48" s="348">
        <f t="shared" si="0"/>
        <v>0</v>
      </c>
      <c r="D48" s="349">
        <f>D$20*(D$12*($B$4*GREET1_Import_Export!$K76)+GREET1_Import_Export!$F$200*GREET1_Import_Export!$B205+GREET1_Import_Export!$F205)+D$21*(D$12*(GREET1_Import_Export!$O76)+GREET1_Import_Export!$G$200*GREET1_Import_Export!$B205+GREET1_Import_Export!$G205)+D$22*(D$12*($B$5*GREET1_Import_Export!$B76)+GREET1_Import_Export!$B241)+D$23*(D$12*($B$6*GREET1_Import_Export!$AA76)+GREET1_Import_Export!$C294)+D$24*(GREET1_Import_Export!$D319+GREET1_Import_Export!$E319)</f>
        <v>11.189808827244665</v>
      </c>
      <c r="E48" s="349">
        <f t="shared" si="1"/>
        <v>0</v>
      </c>
      <c r="F48" s="347">
        <f>F$20*(F$12*($B$4*GREET1_Import_Export!$K76)+GREET1_Import_Export!$F$200*GREET1_Import_Export!$B205+GREET1_Import_Export!$F205)+F$21*(F$12*(GREET1_Import_Export!$O76)+GREET1_Import_Export!$G$200*GREET1_Import_Export!$B205+GREET1_Import_Export!$G205)+F$22*(F$12*($B$5*GREET1_Import_Export!$B76)+GREET1_Import_Export!$B241)+F$23*(F$12*($B$6*GREET1_Import_Export!$AA76)+GREET1_Import_Export!$C294)+F$24*(GREET1_Import_Export!$D319+GREET1_Import_Export!$E319)</f>
        <v>25.847749257733572</v>
      </c>
      <c r="G48" s="348">
        <f t="shared" si="2"/>
        <v>0</v>
      </c>
    </row>
    <row r="49" spans="1:8" s="349" customFormat="1">
      <c r="A49" s="347" t="s">
        <v>826</v>
      </c>
      <c r="B49" s="347">
        <f>B$20*(B$12*($B$4*GREET1_Import_Export!$K77)+GREET1_Import_Export!$F$200*GREET1_Import_Export!$B206+GREET1_Import_Export!$F206)+B$21*(B$12*(GREET1_Import_Export!$O77)+GREET1_Import_Export!$G$200*GREET1_Import_Export!$B206+GREET1_Import_Export!$G206)+B$22*(B$12*($B$5*GREET1_Import_Export!$B77)+GREET1_Import_Export!$B242)+B$23*(B$12*($B$6*GREET1_Import_Export!$AA77)+GREET1_Import_Export!$C295)+B$24*(GREET1_Import_Export!$D320+GREET1_Import_Export!$E320)</f>
        <v>96.96916858461347</v>
      </c>
      <c r="C49" s="348">
        <f t="shared" si="0"/>
        <v>0</v>
      </c>
      <c r="D49" s="349">
        <f>D$20*(D$12*($B$4*GREET1_Import_Export!$K77)+GREET1_Import_Export!$F$200*GREET1_Import_Export!$B206+GREET1_Import_Export!$F206)+D$21*(D$12*(GREET1_Import_Export!$O77)+GREET1_Import_Export!$G$200*GREET1_Import_Export!$B206+GREET1_Import_Export!$G206)+D$22*(D$12*($B$5*GREET1_Import_Export!$B77)+GREET1_Import_Export!$B242)+D$23*(D$12*($B$6*GREET1_Import_Export!$AA77)+GREET1_Import_Export!$C295)+D$24*(GREET1_Import_Export!$D320+GREET1_Import_Export!$E320)</f>
        <v>94.934519471501062</v>
      </c>
      <c r="E49" s="349">
        <f t="shared" si="1"/>
        <v>0</v>
      </c>
      <c r="F49" s="347">
        <f>F$20*(F$12*($B$4*GREET1_Import_Export!$K77)+GREET1_Import_Export!$F$200*GREET1_Import_Export!$B206+GREET1_Import_Export!$F206)+F$21*(F$12*(GREET1_Import_Export!$O77)+GREET1_Import_Export!$G$200*GREET1_Import_Export!$B206+GREET1_Import_Export!$G206)+F$22*(F$12*($B$5*GREET1_Import_Export!$B77)+GREET1_Import_Export!$B242)+F$23*(F$12*($B$6*GREET1_Import_Export!$AA77)+GREET1_Import_Export!$C295)+F$24*(GREET1_Import_Export!$D320+GREET1_Import_Export!$E320)</f>
        <v>139.46995891064267</v>
      </c>
      <c r="G49" s="348">
        <f t="shared" si="2"/>
        <v>0</v>
      </c>
    </row>
    <row r="50" spans="1:8" s="349" customFormat="1">
      <c r="A50" s="347" t="s">
        <v>827</v>
      </c>
      <c r="B50" s="347">
        <f>B$20*(B$12*($B$4*GREET1_Import_Export!$K78)+GREET1_Import_Export!$F$200*GREET1_Import_Export!$B207+GREET1_Import_Export!$F207)+B$21*(B$12*(GREET1_Import_Export!$O78)+GREET1_Import_Export!$G$200*GREET1_Import_Export!$B207+GREET1_Import_Export!$G207)+B$22*(B$12*($B$5*GREET1_Import_Export!$B78)+GREET1_Import_Export!$B243)+B$23*(B$12*($B$6*GREET1_Import_Export!$AA78)+GREET1_Import_Export!$C296)+B$24*(GREET1_Import_Export!$D321+GREET1_Import_Export!$E321)</f>
        <v>0.60030443611749607</v>
      </c>
      <c r="C50" s="348">
        <f t="shared" si="0"/>
        <v>0</v>
      </c>
      <c r="D50" s="349">
        <f>D$20*(D$12*($B$4*GREET1_Import_Export!$K78)+GREET1_Import_Export!$F$200*GREET1_Import_Export!$B207+GREET1_Import_Export!$F207)+D$21*(D$12*(GREET1_Import_Export!$O78)+GREET1_Import_Export!$G$200*GREET1_Import_Export!$B207+GREET1_Import_Export!$G207)+D$22*(D$12*($B$5*GREET1_Import_Export!$B78)+GREET1_Import_Export!$B243)+D$23*(D$12*($B$6*GREET1_Import_Export!$AA78)+GREET1_Import_Export!$C296)+D$24*(GREET1_Import_Export!$D321+GREET1_Import_Export!$E321)</f>
        <v>0.58770858831997552</v>
      </c>
      <c r="E50" s="349">
        <f t="shared" si="1"/>
        <v>0</v>
      </c>
      <c r="F50" s="347">
        <f>F$20*(F$12*($B$4*GREET1_Import_Export!$K78)+GREET1_Import_Export!$F$200*GREET1_Import_Export!$B207+GREET1_Import_Export!$F207)+F$21*(F$12*(GREET1_Import_Export!$O78)+GREET1_Import_Export!$G$200*GREET1_Import_Export!$B207+GREET1_Import_Export!$G207)+F$22*(F$12*($B$5*GREET1_Import_Export!$B78)+GREET1_Import_Export!$B243)+F$23*(F$12*($B$6*GREET1_Import_Export!$AA78)+GREET1_Import_Export!$C296)+F$24*(GREET1_Import_Export!$D321+GREET1_Import_Export!$E321)</f>
        <v>2.152456305056345</v>
      </c>
      <c r="G50" s="348">
        <f t="shared" si="2"/>
        <v>0</v>
      </c>
    </row>
    <row r="51" spans="1:8" s="349" customFormat="1">
      <c r="A51" s="503" t="s">
        <v>828</v>
      </c>
      <c r="B51" s="503">
        <f>B$20*(B$12*($B$4*GREET1_Import_Export!$K79)+GREET1_Import_Export!$F$200*GREET1_Import_Export!$B208+GREET1_Import_Export!$F208)+B$21*(B$12*(GREET1_Import_Export!$O79)+GREET1_Import_Export!$G$200*GREET1_Import_Export!$B208+GREET1_Import_Export!$G208)+B$22*(B$12*($B$5*GREET1_Import_Export!$B79)+GREET1_Import_Export!$B244)+B$23*(B$12*($B$6*GREET1_Import_Export!$AA79)+GREET1_Import_Export!$C297)+B$24*(GREET1_Import_Export!$D322+GREET1_Import_Export!$E322)</f>
        <v>3.2745325952261002</v>
      </c>
      <c r="C51" s="502">
        <f t="shared" si="0"/>
        <v>0</v>
      </c>
      <c r="D51" s="505">
        <f>D$20*(D$12*($B$4*GREET1_Import_Export!$K79)+GREET1_Import_Export!$F$200*GREET1_Import_Export!$B208+GREET1_Import_Export!$F208)+D$21*(D$12*(GREET1_Import_Export!$O79)+GREET1_Import_Export!$G$200*GREET1_Import_Export!$B208+GREET1_Import_Export!$G208)+D$22*(D$12*($B$5*GREET1_Import_Export!$B79)+GREET1_Import_Export!$B244)+D$23*(D$12*($B$6*GREET1_Import_Export!$AA79)+GREET1_Import_Export!$C297)+D$24*(GREET1_Import_Export!$D322+GREET1_Import_Export!$E322)</f>
        <v>3.2058249334199571</v>
      </c>
      <c r="E51" s="505">
        <f t="shared" si="1"/>
        <v>0</v>
      </c>
      <c r="F51" s="503">
        <f>F$20*(F$12*($B$4*GREET1_Import_Export!$K79)+GREET1_Import_Export!$F$200*GREET1_Import_Export!$B208+GREET1_Import_Export!$F208)+F$21*(F$12*(GREET1_Import_Export!$O79)+GREET1_Import_Export!$G$200*GREET1_Import_Export!$B208+GREET1_Import_Export!$G208)+F$22*(F$12*($B$5*GREET1_Import_Export!$B79)+GREET1_Import_Export!$B244)+F$23*(F$12*($B$6*GREET1_Import_Export!$AA79)+GREET1_Import_Export!$C297)+F$24*(GREET1_Import_Export!$D322+GREET1_Import_Export!$E322)</f>
        <v>5.7385605673115574</v>
      </c>
      <c r="G51" s="502">
        <f t="shared" si="2"/>
        <v>0</v>
      </c>
    </row>
    <row r="52" spans="1:8" s="349" customFormat="1"/>
    <row r="53" spans="1:8" s="349" customFormat="1" ht="15">
      <c r="A53" s="602" t="s">
        <v>1267</v>
      </c>
    </row>
    <row r="54" spans="1:8" s="349" customFormat="1" ht="15.75" customHeight="1">
      <c r="A54" s="510"/>
      <c r="B54" s="3101" t="s">
        <v>1268</v>
      </c>
      <c r="C54" s="3102"/>
      <c r="D54" s="3074" t="s">
        <v>586</v>
      </c>
      <c r="E54" s="3074"/>
      <c r="F54" s="3101" t="s">
        <v>291</v>
      </c>
      <c r="G54" s="3102"/>
      <c r="H54" s="600"/>
    </row>
    <row r="55" spans="1:8" s="349" customFormat="1">
      <c r="A55" s="699" t="s">
        <v>1029</v>
      </c>
      <c r="B55" s="679" t="s">
        <v>845</v>
      </c>
      <c r="C55" s="673" t="s">
        <v>846</v>
      </c>
      <c r="D55" s="673" t="s">
        <v>845</v>
      </c>
      <c r="E55" s="615" t="s">
        <v>846</v>
      </c>
      <c r="F55" s="679" t="s">
        <v>845</v>
      </c>
      <c r="G55" s="673" t="s">
        <v>846</v>
      </c>
      <c r="H55" s="600"/>
    </row>
    <row r="56" spans="1:8" s="349" customFormat="1">
      <c r="A56" s="347" t="s">
        <v>816</v>
      </c>
      <c r="B56" s="494">
        <f>B25</f>
        <v>18.257855704337359</v>
      </c>
      <c r="C56" s="348">
        <f>B56/2000</f>
        <v>9.1289278521686796E-3</v>
      </c>
      <c r="D56" s="348">
        <f>D25</f>
        <v>17.874761464607445</v>
      </c>
      <c r="E56" s="349">
        <f>D56/2000</f>
        <v>8.9373807323037228E-3</v>
      </c>
      <c r="F56" s="494">
        <f>F25</f>
        <v>96.054665920080225</v>
      </c>
      <c r="G56" s="348">
        <f>F56/2000</f>
        <v>4.8027332960040116E-2</v>
      </c>
    </row>
    <row r="57" spans="1:8" s="349" customFormat="1">
      <c r="A57" s="347" t="s">
        <v>817</v>
      </c>
      <c r="B57" s="494">
        <f>B26</f>
        <v>16.11560720965759</v>
      </c>
      <c r="C57" s="348">
        <f>B57/2000</f>
        <v>8.0578036048287952E-3</v>
      </c>
      <c r="D57" s="348">
        <f>D26</f>
        <v>15.777462556104267</v>
      </c>
      <c r="E57" s="349">
        <f>D57/2000</f>
        <v>7.8887312780521329E-3</v>
      </c>
      <c r="F57" s="494">
        <f>F26</f>
        <v>93.636390566762742</v>
      </c>
      <c r="G57" s="348">
        <f>F57/2000</f>
        <v>4.6818195283381374E-2</v>
      </c>
    </row>
    <row r="58" spans="1:8" s="349" customFormat="1">
      <c r="A58" s="347" t="s">
        <v>805</v>
      </c>
      <c r="B58" s="494">
        <f>B27</f>
        <v>2.8318804805852604</v>
      </c>
      <c r="C58" s="348">
        <f>B58/2000</f>
        <v>1.4159402402926303E-3</v>
      </c>
      <c r="D58" s="348">
        <f>D27</f>
        <v>2.7724607372548284</v>
      </c>
      <c r="E58" s="349">
        <f>D58/2000</f>
        <v>1.3862303686274142E-3</v>
      </c>
      <c r="F58" s="494">
        <f>F27</f>
        <v>3.1853950135663007</v>
      </c>
      <c r="G58" s="348">
        <f>F58/2000</f>
        <v>1.5926975067831503E-3</v>
      </c>
    </row>
    <row r="59" spans="1:8" s="349" customFormat="1">
      <c r="A59" s="347" t="s">
        <v>804</v>
      </c>
      <c r="B59" s="494">
        <f t="shared" ref="B59:G59" si="3">B57-B58-B60</f>
        <v>13.166332068018756</v>
      </c>
      <c r="C59" s="348">
        <f t="shared" si="3"/>
        <v>6.5831660340093774E-3</v>
      </c>
      <c r="D59" s="348">
        <f t="shared" si="3"/>
        <v>12.890070383442565</v>
      </c>
      <c r="E59" s="349">
        <f t="shared" si="3"/>
        <v>6.4450351917212821E-3</v>
      </c>
      <c r="F59" s="494">
        <f t="shared" si="3"/>
        <v>50.40562498510014</v>
      </c>
      <c r="G59" s="348">
        <f t="shared" si="3"/>
        <v>2.5202812492550079E-2</v>
      </c>
    </row>
    <row r="60" spans="1:8" s="349" customFormat="1">
      <c r="A60" s="347" t="s">
        <v>818</v>
      </c>
      <c r="B60" s="494">
        <f>B29</f>
        <v>0.11739466105357388</v>
      </c>
      <c r="C60" s="348">
        <f>B60/2000</f>
        <v>5.8697330526786941E-5</v>
      </c>
      <c r="D60" s="348">
        <f>D29</f>
        <v>0.11493143540687398</v>
      </c>
      <c r="E60" s="349">
        <f>D60/2000</f>
        <v>5.7465717703436991E-5</v>
      </c>
      <c r="F60" s="494">
        <f>F29</f>
        <v>40.045370568096295</v>
      </c>
      <c r="G60" s="348">
        <f>F60/2000</f>
        <v>2.0022685284048148E-2</v>
      </c>
    </row>
    <row r="61" spans="1:8" s="349" customFormat="1">
      <c r="A61" s="1570" t="s">
        <v>819</v>
      </c>
      <c r="B61" s="1504">
        <f>B30</f>
        <v>572.87795891545545</v>
      </c>
      <c r="C61" s="1573">
        <f>B61/2000</f>
        <v>0.28643897945772773</v>
      </c>
      <c r="D61" s="1136">
        <f>D30</f>
        <v>560.85758534679997</v>
      </c>
      <c r="E61" s="1571">
        <f>D61/2000</f>
        <v>0.28042879267339998</v>
      </c>
      <c r="F61" s="1504">
        <f>F30</f>
        <v>1458.8108571967664</v>
      </c>
      <c r="G61" s="1573">
        <f>F61/2000</f>
        <v>0.7294054285983832</v>
      </c>
    </row>
    <row r="62" spans="1:8" s="349" customFormat="1">
      <c r="A62" s="699" t="s">
        <v>1030</v>
      </c>
      <c r="B62" s="679" t="s">
        <v>845</v>
      </c>
      <c r="C62" s="673" t="s">
        <v>846</v>
      </c>
      <c r="D62" s="673" t="s">
        <v>845</v>
      </c>
      <c r="E62" s="615" t="s">
        <v>846</v>
      </c>
      <c r="F62" s="679" t="s">
        <v>845</v>
      </c>
      <c r="G62" s="673" t="s">
        <v>846</v>
      </c>
    </row>
    <row r="63" spans="1:8" s="349" customFormat="1">
      <c r="A63" s="347" t="s">
        <v>821</v>
      </c>
      <c r="B63" s="494">
        <f t="shared" ref="B63:B72" si="4">B32+C32</f>
        <v>162.9370718829685</v>
      </c>
      <c r="C63" s="348">
        <f t="shared" ref="C63:C74" si="5">B63/2000</f>
        <v>8.1468535941484246E-2</v>
      </c>
      <c r="D63" s="348">
        <f t="shared" ref="D63:D72" si="6">D32+E32</f>
        <v>159.5182556381892</v>
      </c>
      <c r="E63" s="349">
        <f t="shared" ref="E63:E74" si="7">D63/2000</f>
        <v>7.9759127819094597E-2</v>
      </c>
      <c r="F63" s="494">
        <f t="shared" ref="F63:F72" si="8">F32+G32</f>
        <v>825.32907758765509</v>
      </c>
      <c r="G63" s="348">
        <f t="shared" ref="G63:G74" si="9">F63/2000</f>
        <v>0.41266453879382753</v>
      </c>
    </row>
    <row r="64" spans="1:8" s="349" customFormat="1">
      <c r="A64" s="347" t="s">
        <v>822</v>
      </c>
      <c r="B64" s="494">
        <f t="shared" si="4"/>
        <v>576.23367370264191</v>
      </c>
      <c r="C64" s="348">
        <f t="shared" si="5"/>
        <v>0.28811683685132095</v>
      </c>
      <c r="D64" s="348">
        <f t="shared" si="6"/>
        <v>564.14288907225136</v>
      </c>
      <c r="E64" s="349">
        <f t="shared" si="7"/>
        <v>0.2820714445361257</v>
      </c>
      <c r="F64" s="494">
        <f t="shared" si="8"/>
        <v>4006.9822974561739</v>
      </c>
      <c r="G64" s="348">
        <f t="shared" si="9"/>
        <v>2.0034911487280871</v>
      </c>
    </row>
    <row r="65" spans="1:8" s="349" customFormat="1">
      <c r="A65" s="347" t="s">
        <v>849</v>
      </c>
      <c r="B65" s="494">
        <f t="shared" si="4"/>
        <v>916.29410889930375</v>
      </c>
      <c r="C65" s="348">
        <f t="shared" si="5"/>
        <v>0.45814705444965187</v>
      </c>
      <c r="D65" s="348">
        <f t="shared" si="6"/>
        <v>897.06802886547007</v>
      </c>
      <c r="E65" s="349">
        <f t="shared" si="7"/>
        <v>0.44853401443273505</v>
      </c>
      <c r="F65" s="494">
        <f t="shared" si="8"/>
        <v>9141.926222399683</v>
      </c>
      <c r="G65" s="348">
        <f t="shared" si="9"/>
        <v>4.5709631111998412</v>
      </c>
    </row>
    <row r="66" spans="1:8" s="349" customFormat="1">
      <c r="A66" s="347" t="s">
        <v>824</v>
      </c>
      <c r="B66" s="494">
        <f t="shared" si="4"/>
        <v>90.964416480012517</v>
      </c>
      <c r="C66" s="348">
        <f t="shared" si="5"/>
        <v>4.5482208240006261E-2</v>
      </c>
      <c r="D66" s="348">
        <f t="shared" si="6"/>
        <v>89.055761677487865</v>
      </c>
      <c r="E66" s="349">
        <f t="shared" si="7"/>
        <v>4.4527880838743934E-2</v>
      </c>
      <c r="F66" s="494">
        <f t="shared" si="8"/>
        <v>1386.7101429739291</v>
      </c>
      <c r="G66" s="348">
        <f t="shared" si="9"/>
        <v>0.69335507148696451</v>
      </c>
    </row>
    <row r="67" spans="1:8" s="349" customFormat="1">
      <c r="A67" s="347" t="s">
        <v>825</v>
      </c>
      <c r="B67" s="494">
        <f t="shared" si="4"/>
        <v>65.653651916826647</v>
      </c>
      <c r="C67" s="348">
        <f t="shared" si="5"/>
        <v>3.2826825958413325E-2</v>
      </c>
      <c r="D67" s="348">
        <f t="shared" si="6"/>
        <v>64.276078543815828</v>
      </c>
      <c r="E67" s="349">
        <f t="shared" si="7"/>
        <v>3.2138039271907913E-2</v>
      </c>
      <c r="F67" s="494">
        <f t="shared" si="8"/>
        <v>802.84604165203075</v>
      </c>
      <c r="G67" s="348">
        <f t="shared" si="9"/>
        <v>0.40142302082601539</v>
      </c>
    </row>
    <row r="68" spans="1:8" s="349" customFormat="1">
      <c r="A68" s="347" t="s">
        <v>826</v>
      </c>
      <c r="B68" s="494">
        <f t="shared" si="4"/>
        <v>410.40130045003758</v>
      </c>
      <c r="C68" s="348">
        <f t="shared" si="5"/>
        <v>0.20520065022501879</v>
      </c>
      <c r="D68" s="348">
        <f t="shared" si="6"/>
        <v>401.79008253233184</v>
      </c>
      <c r="E68" s="349">
        <f t="shared" si="7"/>
        <v>0.20089504126616592</v>
      </c>
      <c r="F68" s="494">
        <f t="shared" si="8"/>
        <v>5424.6734619725112</v>
      </c>
      <c r="G68" s="348">
        <f t="shared" si="9"/>
        <v>2.7123367309862556</v>
      </c>
    </row>
    <row r="69" spans="1:8" s="349" customFormat="1">
      <c r="A69" s="749" t="s">
        <v>827</v>
      </c>
      <c r="B69" s="494">
        <f t="shared" si="4"/>
        <v>7.1928346875437157</v>
      </c>
      <c r="C69" s="348">
        <f t="shared" si="5"/>
        <v>3.596417343771858E-3</v>
      </c>
      <c r="D69" s="348">
        <f t="shared" si="6"/>
        <v>7.0419115133906356</v>
      </c>
      <c r="E69" s="349">
        <f t="shared" si="7"/>
        <v>3.5209557566953176E-3</v>
      </c>
      <c r="F69" s="494">
        <f t="shared" si="8"/>
        <v>71.257908380157687</v>
      </c>
      <c r="G69" s="348">
        <f t="shared" si="9"/>
        <v>3.5628954190078846E-2</v>
      </c>
    </row>
    <row r="70" spans="1:8" s="349" customFormat="1">
      <c r="A70" s="749" t="s">
        <v>828</v>
      </c>
      <c r="B70" s="494">
        <f t="shared" si="4"/>
        <v>22.796130251940411</v>
      </c>
      <c r="C70" s="348">
        <f t="shared" si="5"/>
        <v>1.1398065125970205E-2</v>
      </c>
      <c r="D70" s="348">
        <f t="shared" si="6"/>
        <v>22.317811969165476</v>
      </c>
      <c r="E70" s="349">
        <f t="shared" si="7"/>
        <v>1.1158905984582738E-2</v>
      </c>
      <c r="F70" s="494">
        <f t="shared" si="8"/>
        <v>112.90818776906204</v>
      </c>
      <c r="G70" s="348">
        <f t="shared" si="9"/>
        <v>5.6454093884531022E-2</v>
      </c>
    </row>
    <row r="71" spans="1:8" s="349" customFormat="1">
      <c r="A71" s="347" t="s">
        <v>829</v>
      </c>
      <c r="B71" s="494">
        <f t="shared" si="4"/>
        <v>2929.1551037368154</v>
      </c>
      <c r="C71" s="348">
        <f t="shared" si="5"/>
        <v>1.4645775518684077</v>
      </c>
      <c r="D71" s="348">
        <f t="shared" si="6"/>
        <v>2867.6943021131901</v>
      </c>
      <c r="E71" s="349">
        <f t="shared" si="7"/>
        <v>1.4338471510565951</v>
      </c>
      <c r="F71" s="494">
        <f t="shared" si="8"/>
        <v>13691.477713896667</v>
      </c>
      <c r="G71" s="348">
        <f t="shared" si="9"/>
        <v>6.8457388569483335</v>
      </c>
    </row>
    <row r="72" spans="1:8" s="349" customFormat="1">
      <c r="A72" s="347" t="s">
        <v>830</v>
      </c>
      <c r="B72" s="494">
        <f t="shared" si="4"/>
        <v>28.00059848982584</v>
      </c>
      <c r="C72" s="348">
        <f t="shared" si="5"/>
        <v>1.4000299244912921E-2</v>
      </c>
      <c r="D72" s="348">
        <f t="shared" si="6"/>
        <v>27.413077799326896</v>
      </c>
      <c r="E72" s="349">
        <f t="shared" si="7"/>
        <v>1.3706538899663449E-2</v>
      </c>
      <c r="F72" s="494">
        <f t="shared" si="8"/>
        <v>167.36857060778178</v>
      </c>
      <c r="G72" s="348">
        <f t="shared" si="9"/>
        <v>8.3684285303890882E-2</v>
      </c>
    </row>
    <row r="73" spans="1:8" s="419" customFormat="1">
      <c r="A73" s="517" t="s">
        <v>831</v>
      </c>
      <c r="B73" s="630">
        <f>(B42+C42)+B63*GREET1_Import_Export!$B$62/GREET1_Import_Export!$B$65+B64*GREET1_Import_Export!$B$63/GREET1_Import_Export!$B$65</f>
        <v>1074651.0730680183</v>
      </c>
      <c r="C73" s="516">
        <f t="shared" si="5"/>
        <v>537.32553653400919</v>
      </c>
      <c r="D73" s="516">
        <f>(D42+E42)</f>
        <v>1050718.6031097507</v>
      </c>
      <c r="E73" s="419">
        <f t="shared" si="7"/>
        <v>525.35930155487529</v>
      </c>
      <c r="F73" s="630">
        <f>(F42+G42)</f>
        <v>6748146.0072186952</v>
      </c>
      <c r="G73" s="516">
        <f t="shared" si="9"/>
        <v>3374.0730036093478</v>
      </c>
    </row>
    <row r="74" spans="1:8" s="419" customFormat="1">
      <c r="A74" s="517" t="s">
        <v>850</v>
      </c>
      <c r="B74" s="630">
        <f>B73+B63*GREET1_Import_Export!$B$62/GREET1_Import_Export!$B$65+B64*GREET1_Import_Export!$B$63/GREET1_Import_Export!$B$65</f>
        <v>1076064.4036673959</v>
      </c>
      <c r="C74" s="516">
        <f t="shared" si="5"/>
        <v>538.03220183369797</v>
      </c>
      <c r="D74" s="516">
        <f>D73+D63*GREET1_Import_Export!$B$62/GREET1_Import_Export!$B$65+D64*GREET1_Import_Export!$B$63/GREET1_Import_Export!$B$65</f>
        <v>1052102.2785940794</v>
      </c>
      <c r="E74" s="419">
        <f t="shared" si="7"/>
        <v>526.05113929703975</v>
      </c>
      <c r="F74" s="630">
        <f>F73+F63*GREET1_Import_Export!$B$62/GREET1_Import_Export!$B$65+F64*GREET1_Import_Export!$B$63/GREET1_Import_Export!$B$65</f>
        <v>6757014.9693112746</v>
      </c>
      <c r="G74" s="516">
        <f t="shared" si="9"/>
        <v>3378.5074846556372</v>
      </c>
    </row>
    <row r="75" spans="1:8" s="419" customFormat="1">
      <c r="A75" s="668" t="s">
        <v>851</v>
      </c>
      <c r="B75" s="756">
        <f>B74+SUMPRODUCT(B71:B72,GREET1_Import_Export!$B$51:$B$52)+SUMPRODUCT(B63:B65,GREET1_Import_Export!$B$55:$B$57)+SUMPRODUCT(B69:B70,GREET1_Import_Export!$B$58:$B$59)</f>
        <v>1171359.2153793043</v>
      </c>
      <c r="C75" s="752">
        <f>C74+SUMPRODUCT(C71:C72,GREET1_Import_Export!$B$51:$B$52)+SUMPRODUCT(C63:C65,GREET1_Import_Export!$B$55:$B$57)+SUMPRODUCT(C69:C70,GREET1_Import_Export!$B$58:$B$59)</f>
        <v>585.67960768965213</v>
      </c>
      <c r="D75" s="752">
        <f>D74+SUMPRODUCT(D71:D72,GREET1_Import_Export!$B$51:$B$52)+SUMPRODUCT(D63:D65,GREET1_Import_Export!$B$55:$B$57)+SUMPRODUCT(D69:D70,GREET1_Import_Export!$B$58:$B$59)</f>
        <v>1145397.5732742967</v>
      </c>
      <c r="E75" s="374">
        <f>E74+SUMPRODUCT(E71:E72,GREET1_Import_Export!$B$51:$B$52)+SUMPRODUCT(E63:E65,GREET1_Import_Export!$B$55:$B$57)+SUMPRODUCT(E69:E70,GREET1_Import_Export!$B$58:$B$59)</f>
        <v>572.69878663714837</v>
      </c>
      <c r="F75" s="756">
        <f>F74+SUMPRODUCT(F71:F72,GREET1_Import_Export!$B$51:$B$52)+SUMPRODUCT(F63:F65,GREET1_Import_Export!$B$55:$B$57)+SUMPRODUCT(F69:F70,GREET1_Import_Export!$B$58:$B$59)</f>
        <v>7212111.9719392369</v>
      </c>
      <c r="G75" s="752">
        <f>G74+SUMPRODUCT(G71:G72,GREET1_Import_Export!$B$51:$B$52)+SUMPRODUCT(G63:G65,GREET1_Import_Export!$B$55:$B$57)+SUMPRODUCT(G69:G70,GREET1_Import_Export!$B$58:$B$59)</f>
        <v>3606.0559859696182</v>
      </c>
    </row>
    <row r="76" spans="1:8" s="349" customFormat="1">
      <c r="A76" s="758" t="s">
        <v>1031</v>
      </c>
      <c r="B76" s="762" t="s">
        <v>845</v>
      </c>
      <c r="C76" s="710" t="s">
        <v>846</v>
      </c>
      <c r="D76" s="710" t="s">
        <v>845</v>
      </c>
      <c r="E76" s="618" t="s">
        <v>846</v>
      </c>
      <c r="F76" s="762" t="s">
        <v>845</v>
      </c>
      <c r="G76" s="710" t="s">
        <v>846</v>
      </c>
    </row>
    <row r="77" spans="1:8" s="349" customFormat="1">
      <c r="A77" s="347" t="s">
        <v>821</v>
      </c>
      <c r="B77" s="494">
        <f t="shared" ref="B77:B84" si="10">B44+C44</f>
        <v>8.7019889073822583</v>
      </c>
      <c r="C77" s="348">
        <f t="shared" ref="C77:C84" si="11">B77/2000</f>
        <v>4.3509944536911293E-3</v>
      </c>
      <c r="D77" s="348">
        <f t="shared" ref="D77:D84" si="12">D44+E44</f>
        <v>8.519400005454429</v>
      </c>
      <c r="E77" s="349">
        <f t="shared" ref="E77:E84" si="13">D77/2000</f>
        <v>4.2597000027272142E-3</v>
      </c>
      <c r="F77" s="494">
        <f t="shared" ref="F77:F84" si="14">F44+G44</f>
        <v>103.68848679731896</v>
      </c>
      <c r="G77" s="348">
        <f t="shared" ref="G77:G84" si="15">F77/2000</f>
        <v>5.1844243398659479E-2</v>
      </c>
      <c r="H77" s="611"/>
    </row>
    <row r="78" spans="1:8" s="349" customFormat="1">
      <c r="A78" s="347" t="s">
        <v>822</v>
      </c>
      <c r="B78" s="494">
        <f t="shared" si="10"/>
        <v>53.094547009154994</v>
      </c>
      <c r="C78" s="348">
        <f t="shared" si="11"/>
        <v>2.6547273504577498E-2</v>
      </c>
      <c r="D78" s="348">
        <f t="shared" si="12"/>
        <v>51.98049421732334</v>
      </c>
      <c r="E78" s="349">
        <f t="shared" si="13"/>
        <v>2.5990247108661671E-2</v>
      </c>
      <c r="F78" s="494">
        <f t="shared" si="14"/>
        <v>192.49998135138708</v>
      </c>
      <c r="G78" s="348">
        <f t="shared" si="15"/>
        <v>9.6249990675693536E-2</v>
      </c>
      <c r="H78" s="611"/>
    </row>
    <row r="79" spans="1:8" s="349" customFormat="1">
      <c r="A79" s="347" t="s">
        <v>823</v>
      </c>
      <c r="B79" s="494">
        <f t="shared" si="10"/>
        <v>121.15220280907019</v>
      </c>
      <c r="C79" s="348">
        <f t="shared" si="11"/>
        <v>6.0576101404535093E-2</v>
      </c>
      <c r="D79" s="348">
        <f t="shared" si="12"/>
        <v>118.61013479306988</v>
      </c>
      <c r="E79" s="349">
        <f t="shared" si="13"/>
        <v>5.930506739653494E-2</v>
      </c>
      <c r="F79" s="494">
        <f t="shared" si="14"/>
        <v>312.46063639966167</v>
      </c>
      <c r="G79" s="348">
        <f t="shared" si="15"/>
        <v>0.15623031819983083</v>
      </c>
      <c r="H79" s="611"/>
    </row>
    <row r="80" spans="1:8" s="349" customFormat="1">
      <c r="A80" s="749" t="s">
        <v>824</v>
      </c>
      <c r="B80" s="494">
        <f t="shared" si="10"/>
        <v>12.992785614989154</v>
      </c>
      <c r="C80" s="348">
        <f t="shared" si="11"/>
        <v>6.4963928074945774E-3</v>
      </c>
      <c r="D80" s="348">
        <f t="shared" si="12"/>
        <v>12.720165357290131</v>
      </c>
      <c r="E80" s="349">
        <f t="shared" si="13"/>
        <v>6.3600826786450659E-3</v>
      </c>
      <c r="F80" s="494">
        <f t="shared" si="14"/>
        <v>29.329039838973852</v>
      </c>
      <c r="G80" s="348">
        <f t="shared" si="15"/>
        <v>1.4664519919486927E-2</v>
      </c>
      <c r="H80" s="611"/>
    </row>
    <row r="81" spans="1:8" s="349" customFormat="1">
      <c r="A81" s="347" t="s">
        <v>825</v>
      </c>
      <c r="B81" s="494">
        <f t="shared" si="10"/>
        <v>11.429630282422362</v>
      </c>
      <c r="C81" s="348">
        <f t="shared" si="11"/>
        <v>5.7148151412111815E-3</v>
      </c>
      <c r="D81" s="348">
        <f t="shared" si="12"/>
        <v>11.189808827244665</v>
      </c>
      <c r="E81" s="349">
        <f t="shared" si="13"/>
        <v>5.5949044136223321E-3</v>
      </c>
      <c r="F81" s="494">
        <f t="shared" si="14"/>
        <v>25.847749257733572</v>
      </c>
      <c r="G81" s="348">
        <f t="shared" si="15"/>
        <v>1.2923874628866785E-2</v>
      </c>
      <c r="H81" s="611"/>
    </row>
    <row r="82" spans="1:8" s="496" customFormat="1">
      <c r="A82" s="749" t="s">
        <v>826</v>
      </c>
      <c r="B82" s="494">
        <f t="shared" si="10"/>
        <v>96.96916858461347</v>
      </c>
      <c r="C82" s="348">
        <f t="shared" si="11"/>
        <v>4.8484584292306739E-2</v>
      </c>
      <c r="D82" s="348">
        <f t="shared" si="12"/>
        <v>94.934519471501062</v>
      </c>
      <c r="E82" s="349">
        <f t="shared" si="13"/>
        <v>4.7467259735750528E-2</v>
      </c>
      <c r="F82" s="494">
        <f t="shared" si="14"/>
        <v>139.46995891064267</v>
      </c>
      <c r="G82" s="348">
        <f t="shared" si="15"/>
        <v>6.9734979455321339E-2</v>
      </c>
      <c r="H82" s="612"/>
    </row>
    <row r="83" spans="1:8" s="496" customFormat="1">
      <c r="A83" s="347" t="s">
        <v>827</v>
      </c>
      <c r="B83" s="494">
        <f t="shared" si="10"/>
        <v>0.60030443611749607</v>
      </c>
      <c r="C83" s="348">
        <f t="shared" si="11"/>
        <v>3.0015221805874801E-4</v>
      </c>
      <c r="D83" s="348">
        <f t="shared" si="12"/>
        <v>0.58770858831997552</v>
      </c>
      <c r="E83" s="349">
        <f t="shared" si="13"/>
        <v>2.9385429415998779E-4</v>
      </c>
      <c r="F83" s="494">
        <f t="shared" si="14"/>
        <v>2.152456305056345</v>
      </c>
      <c r="G83" s="348">
        <f t="shared" si="15"/>
        <v>1.0762281525281724E-3</v>
      </c>
    </row>
    <row r="84" spans="1:8" s="496" customFormat="1">
      <c r="A84" s="501" t="s">
        <v>828</v>
      </c>
      <c r="B84" s="504">
        <f t="shared" si="10"/>
        <v>3.2745325952261002</v>
      </c>
      <c r="C84" s="502">
        <f t="shared" si="11"/>
        <v>1.6372662976130502E-3</v>
      </c>
      <c r="D84" s="502">
        <f t="shared" si="12"/>
        <v>3.2058249334199571</v>
      </c>
      <c r="E84" s="505">
        <f t="shared" si="13"/>
        <v>1.6029124667099786E-3</v>
      </c>
      <c r="F84" s="504">
        <f t="shared" si="14"/>
        <v>5.7385605673115574</v>
      </c>
      <c r="G84" s="502">
        <f t="shared" si="15"/>
        <v>2.8692802836557786E-3</v>
      </c>
    </row>
  </sheetData>
  <mergeCells count="6">
    <mergeCell ref="B9:C9"/>
    <mergeCell ref="D9:E9"/>
    <mergeCell ref="F9:G9"/>
    <mergeCell ref="B54:C54"/>
    <mergeCell ref="D54:E54"/>
    <mergeCell ref="F54:G54"/>
  </mergeCells>
  <phoneticPr fontId="4" type="noConversion"/>
  <printOptions gridLinesSet="0"/>
  <pageMargins left="0.75" right="0.75" top="1" bottom="1" header="0.5" footer="0.5"/>
  <pageSetup orientation="landscape" r:id="rId1"/>
  <headerFooter alignWithMargins="0">
    <oddHeader>&amp;A</oddHeader>
    <oddFooter>Page &amp;P</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
  <dimension ref="A1:BD154"/>
  <sheetViews>
    <sheetView showGridLines="0" zoomScale="85" zoomScaleNormal="85" workbookViewId="0">
      <pane xSplit="1" topLeftCell="B1" activePane="topRight" state="frozen"/>
      <selection pane="topRight"/>
    </sheetView>
  </sheetViews>
  <sheetFormatPr defaultColWidth="9.140625" defaultRowHeight="12.75"/>
  <cols>
    <col min="1" max="1" width="53.28515625" style="350" customWidth="1"/>
    <col min="2" max="56" width="11.7109375" style="350" customWidth="1"/>
    <col min="57" max="16384" width="9.140625" style="350"/>
  </cols>
  <sheetData>
    <row r="1" spans="1:19" ht="15.75">
      <c r="A1" s="2" t="s">
        <v>1269</v>
      </c>
    </row>
    <row r="2" spans="1:19">
      <c r="A2" s="3"/>
    </row>
    <row r="3" spans="1:19" ht="15">
      <c r="A3" s="75" t="s">
        <v>872</v>
      </c>
      <c r="H3" s="363"/>
      <c r="I3" s="363"/>
      <c r="J3" s="363"/>
    </row>
    <row r="4" spans="1:19" ht="15">
      <c r="A4" s="75" t="s">
        <v>1270</v>
      </c>
      <c r="H4" s="363"/>
      <c r="I4" s="363"/>
      <c r="J4" s="363"/>
    </row>
    <row r="5" spans="1:19">
      <c r="A5" s="365" t="s">
        <v>1271</v>
      </c>
      <c r="B5" s="3125" t="s">
        <v>1272</v>
      </c>
      <c r="C5" s="3126"/>
      <c r="F5" s="1363"/>
      <c r="H5" s="363"/>
      <c r="I5" s="363"/>
      <c r="J5" s="363"/>
    </row>
    <row r="6" spans="1:19">
      <c r="A6" s="482"/>
      <c r="B6" s="3120" t="s">
        <v>1273</v>
      </c>
      <c r="C6" s="3121"/>
      <c r="D6" s="3121"/>
      <c r="E6" s="3120" t="s">
        <v>1274</v>
      </c>
      <c r="F6" s="3121"/>
      <c r="G6" s="3121"/>
      <c r="H6" s="3122"/>
      <c r="I6" s="3123" t="s">
        <v>1275</v>
      </c>
      <c r="J6" s="3123"/>
      <c r="K6" s="3123"/>
      <c r="L6" s="3124"/>
    </row>
    <row r="7" spans="1:19" ht="25.5">
      <c r="A7" s="1364"/>
      <c r="B7" s="1365" t="s">
        <v>1276</v>
      </c>
      <c r="C7" s="1366" t="s">
        <v>1277</v>
      </c>
      <c r="D7" s="1366" t="s">
        <v>1278</v>
      </c>
      <c r="E7" s="1367" t="s">
        <v>1279</v>
      </c>
      <c r="F7" s="1368" t="s">
        <v>1280</v>
      </c>
      <c r="G7" s="1368" t="s">
        <v>997</v>
      </c>
      <c r="H7" s="1369" t="s">
        <v>1281</v>
      </c>
      <c r="I7" s="1370" t="s">
        <v>1282</v>
      </c>
      <c r="J7" s="1370" t="s">
        <v>1283</v>
      </c>
      <c r="K7" s="1370" t="s">
        <v>1284</v>
      </c>
      <c r="L7" s="1371" t="s">
        <v>1285</v>
      </c>
    </row>
    <row r="8" spans="1:19">
      <c r="A8" s="1372" t="s">
        <v>1286</v>
      </c>
      <c r="B8" s="1227">
        <f>IF($B$5=$A$9, B9, B10)</f>
        <v>0.94</v>
      </c>
      <c r="C8" s="1227">
        <f t="shared" ref="C8:L8" si="0">IF($B$5=$A$9, C9, C10)</f>
        <v>0.05</v>
      </c>
      <c r="D8" s="1227">
        <f t="shared" si="0"/>
        <v>0.01</v>
      </c>
      <c r="E8" s="1231">
        <f t="shared" si="0"/>
        <v>0.09</v>
      </c>
      <c r="F8" s="1700">
        <f t="shared" si="0"/>
        <v>0.49</v>
      </c>
      <c r="G8" s="1700">
        <f t="shared" si="0"/>
        <v>0.35</v>
      </c>
      <c r="H8" s="1232">
        <f t="shared" si="0"/>
        <v>7.0000000000000062E-2</v>
      </c>
      <c r="I8" s="1231">
        <f t="shared" si="0"/>
        <v>3.1E-2</v>
      </c>
      <c r="J8" s="1700">
        <f t="shared" si="0"/>
        <v>5.3999999999999999E-2</v>
      </c>
      <c r="K8" s="1700">
        <f t="shared" si="0"/>
        <v>0.12</v>
      </c>
      <c r="L8" s="1232">
        <f t="shared" si="0"/>
        <v>0.79500000000000004</v>
      </c>
    </row>
    <row r="9" spans="1:19">
      <c r="A9" s="1373" t="s">
        <v>1272</v>
      </c>
      <c r="B9" s="1228">
        <v>0.94</v>
      </c>
      <c r="C9" s="1228">
        <v>0.05</v>
      </c>
      <c r="D9" s="1228">
        <v>0.01</v>
      </c>
      <c r="E9" s="1229">
        <v>0.09</v>
      </c>
      <c r="F9" s="1228">
        <v>0.49</v>
      </c>
      <c r="G9" s="1228">
        <v>0.35</v>
      </c>
      <c r="H9" s="1230">
        <f>1-SUM(E9:G9)</f>
        <v>7.0000000000000062E-2</v>
      </c>
      <c r="I9" s="1374">
        <v>3.1E-2</v>
      </c>
      <c r="J9" s="1374">
        <v>5.3999999999999999E-2</v>
      </c>
      <c r="K9" s="1374">
        <v>0.12</v>
      </c>
      <c r="L9" s="1286">
        <v>0.79500000000000004</v>
      </c>
    </row>
    <row r="10" spans="1:19">
      <c r="A10" s="1375" t="s">
        <v>1287</v>
      </c>
      <c r="B10" s="1376">
        <v>0.94</v>
      </c>
      <c r="C10" s="1376">
        <v>0.05</v>
      </c>
      <c r="D10" s="1377">
        <f>1-SUM(B10:C10)</f>
        <v>1.0000000000000009E-2</v>
      </c>
      <c r="E10" s="1378">
        <v>0.09</v>
      </c>
      <c r="F10" s="1379">
        <v>0.49</v>
      </c>
      <c r="G10" s="1379">
        <v>0.35</v>
      </c>
      <c r="H10" s="1380">
        <f>1-SUM(E10:G10)</f>
        <v>7.0000000000000062E-2</v>
      </c>
      <c r="I10" s="1381">
        <f>1-SUM(J10:L10)</f>
        <v>2.6000000000000023E-2</v>
      </c>
      <c r="J10" s="1379">
        <v>5.3999999999999999E-2</v>
      </c>
      <c r="K10" s="1379">
        <v>0.12</v>
      </c>
      <c r="L10" s="1382">
        <v>0.8</v>
      </c>
    </row>
    <row r="11" spans="1:19">
      <c r="A11" s="3"/>
      <c r="H11" s="363"/>
      <c r="I11" s="363"/>
      <c r="J11" s="363"/>
    </row>
    <row r="12" spans="1:19" ht="15">
      <c r="A12" s="75" t="s">
        <v>1288</v>
      </c>
      <c r="B12" s="1383"/>
      <c r="C12" s="1383"/>
      <c r="D12" s="1383"/>
      <c r="E12" s="1383"/>
      <c r="G12" s="1383"/>
      <c r="H12" s="1383"/>
      <c r="I12" s="1383"/>
      <c r="J12" s="1383"/>
    </row>
    <row r="13" spans="1:19" ht="35.25" customHeight="1">
      <c r="A13" s="3106"/>
      <c r="B13" s="3113" t="s">
        <v>1289</v>
      </c>
      <c r="C13" s="3114"/>
      <c r="D13" s="3113" t="s">
        <v>1290</v>
      </c>
      <c r="E13" s="3115"/>
      <c r="F13" s="3116" t="s">
        <v>1291</v>
      </c>
      <c r="G13" s="3116"/>
      <c r="H13" s="3117" t="s">
        <v>1292</v>
      </c>
      <c r="I13" s="3118"/>
      <c r="J13" s="3119" t="str">
        <f>"Cement - "&amp;B5</f>
        <v>Cement - U.S. National Average</v>
      </c>
      <c r="K13" s="3119"/>
      <c r="L13" s="3109" t="s">
        <v>1293</v>
      </c>
      <c r="M13" s="3110"/>
      <c r="N13" s="3119" t="s">
        <v>1294</v>
      </c>
      <c r="O13" s="3119"/>
      <c r="P13" s="3109" t="s">
        <v>1295</v>
      </c>
      <c r="Q13" s="3110"/>
      <c r="R13" s="3119" t="s">
        <v>1296</v>
      </c>
      <c r="S13" s="3110"/>
    </row>
    <row r="14" spans="1:19">
      <c r="A14" s="3107"/>
      <c r="B14" s="1233" t="s">
        <v>1297</v>
      </c>
      <c r="C14" s="1233" t="s">
        <v>1298</v>
      </c>
      <c r="D14" s="1235" t="s">
        <v>1297</v>
      </c>
      <c r="E14" s="1234" t="s">
        <v>1298</v>
      </c>
      <c r="F14" s="1233" t="s">
        <v>1297</v>
      </c>
      <c r="G14" s="1233" t="s">
        <v>1298</v>
      </c>
      <c r="H14" s="1235" t="s">
        <v>1297</v>
      </c>
      <c r="I14" s="1234" t="s">
        <v>1298</v>
      </c>
      <c r="J14" s="1233" t="s">
        <v>1297</v>
      </c>
      <c r="K14" s="1233" t="s">
        <v>1298</v>
      </c>
      <c r="L14" s="1235" t="s">
        <v>1297</v>
      </c>
      <c r="M14" s="1234" t="s">
        <v>1298</v>
      </c>
      <c r="N14" s="1233" t="s">
        <v>1297</v>
      </c>
      <c r="O14" s="1233" t="s">
        <v>1298</v>
      </c>
      <c r="P14" s="1235" t="s">
        <v>1297</v>
      </c>
      <c r="Q14" s="1234" t="s">
        <v>1298</v>
      </c>
      <c r="R14" s="1233" t="s">
        <v>1297</v>
      </c>
      <c r="S14" s="1234" t="s">
        <v>1298</v>
      </c>
    </row>
    <row r="15" spans="1:19">
      <c r="A15" s="1080" t="s">
        <v>1299</v>
      </c>
      <c r="B15" s="1384"/>
      <c r="C15" s="1384"/>
      <c r="D15" s="1385"/>
      <c r="E15" s="1386"/>
      <c r="F15" s="1384"/>
      <c r="G15" s="1384"/>
      <c r="H15" s="1385"/>
      <c r="I15" s="1386"/>
      <c r="J15" s="1384"/>
      <c r="K15" s="1384"/>
      <c r="L15" s="1387">
        <v>1.3082549049051235</v>
      </c>
      <c r="M15" s="1388">
        <v>1</v>
      </c>
      <c r="N15" s="1384"/>
      <c r="O15" s="1384"/>
      <c r="P15" s="1385"/>
      <c r="Q15" s="1386"/>
      <c r="R15" s="1384"/>
      <c r="S15" s="1386"/>
    </row>
    <row r="16" spans="1:19">
      <c r="A16" s="749" t="s">
        <v>1300</v>
      </c>
      <c r="B16" s="1389">
        <v>69.390787736878849</v>
      </c>
      <c r="C16" s="1294">
        <v>0.95</v>
      </c>
      <c r="D16" s="1390">
        <v>69.390787736878849</v>
      </c>
      <c r="E16" s="1391">
        <v>0.95</v>
      </c>
      <c r="F16" s="1257">
        <v>69.390787736878849</v>
      </c>
      <c r="G16" s="1294">
        <v>0.95</v>
      </c>
      <c r="H16" s="1390">
        <v>69.390787736878849</v>
      </c>
      <c r="I16" s="1391">
        <v>0.95</v>
      </c>
      <c r="J16" s="1001">
        <f t="shared" ref="J16:K18" si="1">(B16*$I$8)+(D16*$J$8)+(F16*$K$8)+(H16*$L$8)</f>
        <v>69.390787736878849</v>
      </c>
      <c r="K16" s="1392">
        <f t="shared" si="1"/>
        <v>0.95</v>
      </c>
      <c r="L16" s="1393"/>
      <c r="M16" s="1394"/>
      <c r="N16" s="1395">
        <v>25</v>
      </c>
      <c r="O16" s="1294">
        <v>0.42</v>
      </c>
      <c r="P16" s="1396">
        <v>25</v>
      </c>
      <c r="Q16" s="1391">
        <v>0.42</v>
      </c>
      <c r="R16" s="1395">
        <v>43</v>
      </c>
      <c r="S16" s="1391">
        <v>0.90500000000000003</v>
      </c>
    </row>
    <row r="17" spans="1:51">
      <c r="A17" s="749" t="s">
        <v>1301</v>
      </c>
      <c r="B17" s="1389">
        <v>436.20257695060843</v>
      </c>
      <c r="C17" s="1294">
        <v>0.01</v>
      </c>
      <c r="D17" s="1390">
        <v>436.20257695060843</v>
      </c>
      <c r="E17" s="1391">
        <v>0.01</v>
      </c>
      <c r="F17" s="1257">
        <v>436.20257695060843</v>
      </c>
      <c r="G17" s="1294">
        <v>0.01</v>
      </c>
      <c r="H17" s="1390">
        <v>436.20257695060843</v>
      </c>
      <c r="I17" s="1391">
        <v>0.01</v>
      </c>
      <c r="J17" s="1001">
        <f t="shared" si="1"/>
        <v>436.20257695060843</v>
      </c>
      <c r="K17" s="1392">
        <f t="shared" si="1"/>
        <v>0.01</v>
      </c>
      <c r="L17" s="1393"/>
      <c r="M17" s="1394"/>
      <c r="N17" s="1395">
        <v>188</v>
      </c>
      <c r="O17" s="1294">
        <v>0.04</v>
      </c>
      <c r="P17" s="1396">
        <v>188</v>
      </c>
      <c r="Q17" s="1391">
        <v>0.04</v>
      </c>
      <c r="R17" s="1395">
        <v>222</v>
      </c>
      <c r="S17" s="1391">
        <v>4.8000000000000001E-2</v>
      </c>
    </row>
    <row r="18" spans="1:51">
      <c r="A18" s="771" t="s">
        <v>1302</v>
      </c>
      <c r="B18" s="1397">
        <v>69.390787736878849</v>
      </c>
      <c r="C18" s="1398">
        <v>0.04</v>
      </c>
      <c r="D18" s="1399">
        <v>69.390787736878849</v>
      </c>
      <c r="E18" s="1400">
        <v>0.04</v>
      </c>
      <c r="F18" s="1401">
        <v>69.390787736878849</v>
      </c>
      <c r="G18" s="1398">
        <v>0.04</v>
      </c>
      <c r="H18" s="1399">
        <v>69.390787736878849</v>
      </c>
      <c r="I18" s="1400">
        <v>0.04</v>
      </c>
      <c r="J18" s="1003">
        <f t="shared" si="1"/>
        <v>69.390787736878849</v>
      </c>
      <c r="K18" s="1402">
        <f t="shared" si="1"/>
        <v>0.04</v>
      </c>
      <c r="L18" s="1403"/>
      <c r="M18" s="1404"/>
      <c r="N18" s="973">
        <v>0</v>
      </c>
      <c r="O18" s="1398">
        <v>0</v>
      </c>
      <c r="P18" s="972">
        <v>0</v>
      </c>
      <c r="Q18" s="1400">
        <v>0</v>
      </c>
      <c r="R18" s="973">
        <v>562</v>
      </c>
      <c r="S18" s="1400">
        <v>4.7E-2</v>
      </c>
    </row>
    <row r="19" spans="1:51">
      <c r="A19" s="183"/>
      <c r="B19" s="302"/>
      <c r="C19" s="302"/>
      <c r="D19" s="302"/>
      <c r="E19" s="302"/>
    </row>
    <row r="20" spans="1:51" ht="15">
      <c r="A20" s="75" t="s">
        <v>1303</v>
      </c>
      <c r="B20" s="302"/>
      <c r="C20" s="302"/>
      <c r="D20" s="302"/>
      <c r="E20" s="302"/>
    </row>
    <row r="21" spans="1:51">
      <c r="A21" s="1284" t="s">
        <v>1304</v>
      </c>
      <c r="B21" s="1405">
        <f>553000/1.10231</f>
        <v>501673.75783581758</v>
      </c>
      <c r="C21" s="302"/>
      <c r="D21" s="302"/>
      <c r="E21" s="302"/>
    </row>
    <row r="22" spans="1:51" ht="25.5">
      <c r="A22" s="1668"/>
      <c r="B22" s="1701" t="s">
        <v>1282</v>
      </c>
      <c r="C22" s="1701" t="s">
        <v>1283</v>
      </c>
      <c r="D22" s="1701" t="s">
        <v>1305</v>
      </c>
      <c r="E22" s="1267" t="s">
        <v>1306</v>
      </c>
    </row>
    <row r="23" spans="1:51">
      <c r="A23" s="1285" t="s">
        <v>1307</v>
      </c>
      <c r="B23" s="1016">
        <v>0.77747857381242347</v>
      </c>
      <c r="C23" s="1016">
        <v>0.926838412318024</v>
      </c>
      <c r="D23" s="1016">
        <v>0.95946740761791527</v>
      </c>
      <c r="E23" s="1017">
        <v>0.94696093326880848</v>
      </c>
    </row>
    <row r="24" spans="1:51">
      <c r="A24" s="183"/>
      <c r="C24" s="302"/>
      <c r="D24" s="302"/>
      <c r="E24" s="302"/>
    </row>
    <row r="25" spans="1:51">
      <c r="A25" s="1268" t="s">
        <v>1308</v>
      </c>
      <c r="B25" s="1406"/>
      <c r="C25" s="302"/>
      <c r="D25" s="302"/>
      <c r="E25" s="302"/>
    </row>
    <row r="26" spans="1:51">
      <c r="A26" s="1268" t="s">
        <v>1309</v>
      </c>
      <c r="B26" s="1395">
        <v>1583.3676058252622</v>
      </c>
      <c r="C26" s="302" t="s">
        <v>1310</v>
      </c>
      <c r="D26" s="302"/>
      <c r="E26" s="302"/>
    </row>
    <row r="27" spans="1:51">
      <c r="A27" s="1268" t="s">
        <v>889</v>
      </c>
      <c r="B27" s="1395">
        <v>35665.46768945158</v>
      </c>
      <c r="C27" s="302" t="s">
        <v>1311</v>
      </c>
      <c r="D27" s="302"/>
      <c r="E27" s="302"/>
    </row>
    <row r="28" spans="1:51">
      <c r="A28" s="183"/>
      <c r="B28" s="1406"/>
      <c r="C28" s="302"/>
      <c r="D28" s="302"/>
      <c r="E28" s="302"/>
    </row>
    <row r="29" spans="1:51" ht="15">
      <c r="A29" s="75" t="s">
        <v>1312</v>
      </c>
      <c r="N29" s="1288"/>
      <c r="O29" s="1288"/>
      <c r="P29" s="1288"/>
    </row>
    <row r="30" spans="1:51" ht="31.5" customHeight="1">
      <c r="A30" s="1224"/>
      <c r="B30" s="3108" t="s">
        <v>1289</v>
      </c>
      <c r="C30" s="3108"/>
      <c r="D30" s="3108"/>
      <c r="E30" s="3108"/>
      <c r="F30" s="3108"/>
      <c r="G30" s="3108" t="s">
        <v>1290</v>
      </c>
      <c r="H30" s="3108"/>
      <c r="I30" s="3108"/>
      <c r="J30" s="3108"/>
      <c r="K30" s="3108"/>
      <c r="L30" s="3108" t="s">
        <v>1291</v>
      </c>
      <c r="M30" s="3108"/>
      <c r="N30" s="3108"/>
      <c r="O30" s="3108"/>
      <c r="P30" s="3108"/>
      <c r="Q30" s="3108" t="s">
        <v>1292</v>
      </c>
      <c r="R30" s="3108"/>
      <c r="S30" s="3108"/>
      <c r="T30" s="3108"/>
      <c r="U30" s="3108"/>
      <c r="V30" s="3108" t="str">
        <f>"Cement - "&amp;B5</f>
        <v>Cement - U.S. National Average</v>
      </c>
      <c r="W30" s="3108"/>
      <c r="X30" s="3108"/>
      <c r="Y30" s="3108"/>
      <c r="Z30" s="3108"/>
      <c r="AA30" s="3108" t="s">
        <v>1293</v>
      </c>
      <c r="AB30" s="3108"/>
      <c r="AC30" s="3108"/>
      <c r="AD30" s="3108"/>
      <c r="AE30" s="3108" t="s">
        <v>1294</v>
      </c>
      <c r="AF30" s="3108"/>
      <c r="AG30" s="3108"/>
      <c r="AH30" s="3108"/>
      <c r="AI30" s="3108" t="s">
        <v>1295</v>
      </c>
      <c r="AJ30" s="3108"/>
      <c r="AK30" s="3108"/>
      <c r="AL30" s="3108"/>
      <c r="AM30" s="3108" t="s">
        <v>1296</v>
      </c>
      <c r="AN30" s="3108"/>
      <c r="AO30" s="3108"/>
      <c r="AP30" s="3108"/>
    </row>
    <row r="31" spans="1:51" ht="111.75" customHeight="1">
      <c r="A31" s="487"/>
      <c r="B31" s="1265" t="s">
        <v>1313</v>
      </c>
      <c r="C31" s="1307" t="s">
        <v>1314</v>
      </c>
      <c r="D31" s="1307" t="s">
        <v>1308</v>
      </c>
      <c r="E31" s="1307" t="s">
        <v>1315</v>
      </c>
      <c r="F31" s="1223" t="s">
        <v>1057</v>
      </c>
      <c r="G31" s="1265" t="s">
        <v>1313</v>
      </c>
      <c r="H31" s="1307" t="s">
        <v>1314</v>
      </c>
      <c r="I31" s="1307" t="s">
        <v>1308</v>
      </c>
      <c r="J31" s="1307" t="s">
        <v>1315</v>
      </c>
      <c r="K31" s="1223" t="s">
        <v>1057</v>
      </c>
      <c r="L31" s="1265" t="s">
        <v>1313</v>
      </c>
      <c r="M31" s="1307" t="s">
        <v>1314</v>
      </c>
      <c r="N31" s="1307" t="s">
        <v>1315</v>
      </c>
      <c r="O31" s="1307" t="s">
        <v>1308</v>
      </c>
      <c r="P31" s="1223" t="s">
        <v>1057</v>
      </c>
      <c r="Q31" s="1265" t="s">
        <v>1313</v>
      </c>
      <c r="R31" s="1307" t="s">
        <v>1314</v>
      </c>
      <c r="S31" s="1307" t="s">
        <v>1308</v>
      </c>
      <c r="T31" s="1307" t="s">
        <v>1315</v>
      </c>
      <c r="U31" s="1223" t="s">
        <v>1057</v>
      </c>
      <c r="V31" s="1265" t="s">
        <v>1313</v>
      </c>
      <c r="W31" s="1307" t="s">
        <v>1314</v>
      </c>
      <c r="X31" s="1307" t="s">
        <v>1308</v>
      </c>
      <c r="Y31" s="1307" t="s">
        <v>1315</v>
      </c>
      <c r="Z31" s="1223" t="s">
        <v>1057</v>
      </c>
      <c r="AA31" s="1265" t="s">
        <v>1313</v>
      </c>
      <c r="AB31" s="1307" t="s">
        <v>1314</v>
      </c>
      <c r="AC31" s="1307" t="s">
        <v>1316</v>
      </c>
      <c r="AD31" s="1223" t="s">
        <v>1057</v>
      </c>
      <c r="AE31" s="1265" t="s">
        <v>1313</v>
      </c>
      <c r="AF31" s="1307" t="s">
        <v>1314</v>
      </c>
      <c r="AG31" s="1307" t="s">
        <v>1315</v>
      </c>
      <c r="AH31" s="1223" t="s">
        <v>1057</v>
      </c>
      <c r="AI31" s="1265" t="s">
        <v>1313</v>
      </c>
      <c r="AJ31" s="1307" t="s">
        <v>1314</v>
      </c>
      <c r="AK31" s="1307" t="s">
        <v>1315</v>
      </c>
      <c r="AL31" s="1223" t="s">
        <v>1057</v>
      </c>
      <c r="AM31" s="1265" t="s">
        <v>1313</v>
      </c>
      <c r="AN31" s="1307" t="s">
        <v>1314</v>
      </c>
      <c r="AO31" s="1307" t="s">
        <v>1315</v>
      </c>
      <c r="AP31" s="1223" t="s">
        <v>1057</v>
      </c>
      <c r="AS31" s="408"/>
      <c r="AT31" s="408"/>
      <c r="AX31" s="408"/>
      <c r="AY31" s="408"/>
    </row>
    <row r="32" spans="1:51">
      <c r="A32" s="1266" t="s">
        <v>1317</v>
      </c>
      <c r="B32" s="1239">
        <v>6.1197011371491508</v>
      </c>
      <c r="C32" s="302"/>
      <c r="E32" s="1240">
        <v>4.6603611349957001E-4</v>
      </c>
      <c r="F32" s="1067"/>
      <c r="G32" s="1239">
        <v>4.8508047350671202</v>
      </c>
      <c r="H32" s="302"/>
      <c r="J32" s="1240">
        <v>4.6603611349957001E-4</v>
      </c>
      <c r="K32" s="1067"/>
      <c r="L32" s="1239">
        <v>3.887290396352157</v>
      </c>
      <c r="M32" s="302"/>
      <c r="N32" s="1240">
        <v>4.6603611349957001E-4</v>
      </c>
      <c r="P32" s="1067"/>
      <c r="Q32" s="1239">
        <v>3.4375303239044075</v>
      </c>
      <c r="R32" s="302"/>
      <c r="T32" s="1240">
        <v>4.6603611349957001E-4</v>
      </c>
      <c r="U32" s="1067"/>
      <c r="V32" s="1260">
        <f>(B32*$I$8)+(G32*$J$8)+(L32*$K$8)+(Q32*$L$8)</f>
        <v>3.6509656460115112</v>
      </c>
      <c r="W32" s="302"/>
      <c r="Y32" s="1261">
        <f>(E32*$I$8)+(J32*$J$8)+(N32*$K$8)+(T32*$L$8)</f>
        <v>4.6603611349957001E-4</v>
      </c>
      <c r="Z32" s="1013"/>
      <c r="AA32" s="1239">
        <v>1.30787747169284E-2</v>
      </c>
      <c r="AB32" s="302"/>
      <c r="AC32" s="1240">
        <v>2.4375561851267798E-3</v>
      </c>
      <c r="AD32" s="1067"/>
      <c r="AE32" s="1239">
        <v>9.5800027456370094E-3</v>
      </c>
      <c r="AF32" s="302"/>
      <c r="AG32" s="1240">
        <v>1.0360002969185799E-2</v>
      </c>
      <c r="AH32" s="1067"/>
      <c r="AI32" s="1239">
        <v>9.5800027456370094E-3</v>
      </c>
      <c r="AJ32" s="302"/>
      <c r="AK32" s="1240">
        <v>1.0360002969185799E-2</v>
      </c>
      <c r="AL32" s="1067"/>
      <c r="AM32" s="1239">
        <v>9.5800027456370094E-3</v>
      </c>
      <c r="AN32" s="302"/>
      <c r="AO32" s="1240">
        <v>1.0360002969185799E-2</v>
      </c>
      <c r="AP32" s="1067"/>
      <c r="AS32" s="1090"/>
      <c r="AT32" s="1090"/>
      <c r="AX32" s="1090"/>
      <c r="AY32" s="1090"/>
    </row>
    <row r="33" spans="1:56">
      <c r="A33" s="1702" t="s">
        <v>1318</v>
      </c>
      <c r="B33" s="1241"/>
      <c r="C33" s="1703"/>
      <c r="D33" s="1407"/>
      <c r="E33" s="1704">
        <v>0.22</v>
      </c>
      <c r="F33" s="1242"/>
      <c r="G33" s="1241"/>
      <c r="H33" s="1704"/>
      <c r="I33" s="1407"/>
      <c r="J33" s="1704">
        <v>0.2</v>
      </c>
      <c r="K33" s="1242"/>
      <c r="L33" s="1241"/>
      <c r="M33" s="1704"/>
      <c r="N33" s="1704">
        <v>0.54500000000000004</v>
      </c>
      <c r="O33" s="1407"/>
      <c r="P33" s="1242"/>
      <c r="Q33" s="1241"/>
      <c r="R33" s="1704"/>
      <c r="S33" s="1407"/>
      <c r="T33" s="1704">
        <v>0.22800000000000001</v>
      </c>
      <c r="U33" s="1242"/>
      <c r="V33" s="1241"/>
      <c r="W33" s="1705">
        <f>(E33*$I$8)+(J33*$J$8)+(N33*$K$8)+(T33*$L$8)</f>
        <v>0.26428000000000001</v>
      </c>
      <c r="X33" s="1407"/>
      <c r="Y33" s="1704">
        <f>(E33*$I$8)+(J33*$J$8)+(N33*$K$8)+(T33*$L$8)</f>
        <v>0.26428000000000001</v>
      </c>
      <c r="Z33" s="1242"/>
      <c r="AA33" s="1241"/>
      <c r="AB33" s="1704">
        <v>0.6</v>
      </c>
      <c r="AC33" s="1704">
        <v>0.6</v>
      </c>
      <c r="AD33" s="1242"/>
      <c r="AE33" s="1241"/>
      <c r="AF33" s="1704">
        <v>0</v>
      </c>
      <c r="AG33" s="1704">
        <v>0</v>
      </c>
      <c r="AH33" s="1242"/>
      <c r="AI33" s="1241"/>
      <c r="AJ33" s="1704">
        <v>0</v>
      </c>
      <c r="AK33" s="1704">
        <v>0</v>
      </c>
      <c r="AL33" s="1242"/>
      <c r="AM33" s="1241"/>
      <c r="AN33" s="1704">
        <v>0</v>
      </c>
      <c r="AO33" s="1704">
        <v>0</v>
      </c>
      <c r="AP33" s="1242"/>
      <c r="AS33" s="1090"/>
      <c r="AT33" s="1090"/>
      <c r="AX33" s="1090"/>
      <c r="AY33" s="1090"/>
    </row>
    <row r="34" spans="1:56">
      <c r="A34" s="487" t="s">
        <v>799</v>
      </c>
      <c r="B34" s="661"/>
      <c r="F34" s="1067"/>
      <c r="G34" s="661"/>
      <c r="K34" s="1067"/>
      <c r="L34" s="661"/>
      <c r="P34" s="1067"/>
      <c r="Q34" s="661"/>
      <c r="U34" s="1067"/>
      <c r="V34" s="661"/>
      <c r="Z34" s="1067"/>
      <c r="AA34" s="661"/>
      <c r="AD34" s="1067"/>
      <c r="AE34" s="661"/>
      <c r="AH34" s="1067"/>
      <c r="AI34" s="661"/>
      <c r="AL34" s="1067"/>
      <c r="AM34" s="661"/>
      <c r="AP34" s="1067"/>
      <c r="AS34" s="1090"/>
      <c r="AT34" s="1090"/>
      <c r="AX34" s="1090"/>
      <c r="AY34" s="1090"/>
      <c r="BD34" s="1288"/>
    </row>
    <row r="35" spans="1:56">
      <c r="A35" s="483" t="s">
        <v>800</v>
      </c>
      <c r="B35" s="1243">
        <v>1E-3</v>
      </c>
      <c r="F35" s="1067"/>
      <c r="G35" s="1243">
        <v>0</v>
      </c>
      <c r="K35" s="1067"/>
      <c r="L35" s="1243">
        <v>4.0000000000000001E-3</v>
      </c>
      <c r="P35" s="1067"/>
      <c r="Q35" s="1243">
        <v>4.0000000000000001E-3</v>
      </c>
      <c r="U35" s="1067"/>
      <c r="V35" s="1243">
        <f t="shared" ref="V35:V47" si="2">(B35*$I$8)+(G35*$J$8)+(L35*$K$8)+(Q35*$L$8)</f>
        <v>3.6910000000000003E-3</v>
      </c>
      <c r="Z35" s="1067"/>
      <c r="AA35" s="1061"/>
      <c r="AD35" s="1067"/>
      <c r="AE35" s="1061"/>
      <c r="AG35" s="1294">
        <v>0.18223938223938221</v>
      </c>
      <c r="AH35" s="1067"/>
      <c r="AI35" s="1061"/>
      <c r="AK35" s="1294">
        <v>0.18223938223938221</v>
      </c>
      <c r="AL35" s="1067"/>
      <c r="AM35" s="1061"/>
      <c r="AO35" s="1294">
        <v>0.18223938223938221</v>
      </c>
      <c r="AP35" s="1067"/>
      <c r="AS35" s="1090"/>
      <c r="AT35" s="1090"/>
      <c r="AX35" s="1090"/>
      <c r="AY35" s="1090"/>
      <c r="BD35" s="1288"/>
    </row>
    <row r="36" spans="1:56">
      <c r="A36" s="483" t="s">
        <v>802</v>
      </c>
      <c r="B36" s="1243">
        <v>2E-3</v>
      </c>
      <c r="E36" s="1244">
        <v>1</v>
      </c>
      <c r="F36" s="1067"/>
      <c r="G36" s="1243">
        <v>1.9E-2</v>
      </c>
      <c r="J36" s="1244">
        <v>1</v>
      </c>
      <c r="K36" s="1067"/>
      <c r="L36" s="1243">
        <v>6.0000000000000001E-3</v>
      </c>
      <c r="N36" s="1244">
        <v>1</v>
      </c>
      <c r="P36" s="1067"/>
      <c r="Q36" s="1243">
        <v>8.0000000000000002E-3</v>
      </c>
      <c r="T36" s="1244">
        <v>1</v>
      </c>
      <c r="U36" s="1067"/>
      <c r="V36" s="1243">
        <f t="shared" si="2"/>
        <v>8.1679999999999999E-3</v>
      </c>
      <c r="Y36" s="1245">
        <f>(E36*$I$8)+(J36*$J$8)+(N36*$K$8)+(T36*$L$8)</f>
        <v>1</v>
      </c>
      <c r="Z36" s="1067"/>
      <c r="AA36" s="1243">
        <v>0.27942398227637771</v>
      </c>
      <c r="AC36" s="1244">
        <v>1</v>
      </c>
      <c r="AD36" s="1067"/>
      <c r="AE36" s="1061"/>
      <c r="AG36" s="1244">
        <v>0.75222007722007722</v>
      </c>
      <c r="AH36" s="1067"/>
      <c r="AI36" s="1061"/>
      <c r="AK36" s="1244">
        <v>0.75222007722007722</v>
      </c>
      <c r="AL36" s="1067"/>
      <c r="AM36" s="1061"/>
      <c r="AO36" s="1244">
        <v>0.75222007722007722</v>
      </c>
      <c r="AP36" s="1067"/>
      <c r="AS36" s="1090"/>
      <c r="AT36" s="1090"/>
      <c r="AX36" s="1090"/>
      <c r="AY36" s="1090"/>
      <c r="BD36" s="1288"/>
    </row>
    <row r="37" spans="1:56">
      <c r="A37" s="483" t="s">
        <v>801</v>
      </c>
      <c r="B37" s="1243">
        <v>0</v>
      </c>
      <c r="E37" s="1244">
        <v>0</v>
      </c>
      <c r="F37" s="1067"/>
      <c r="G37" s="1243">
        <v>0</v>
      </c>
      <c r="J37" s="1244">
        <v>0</v>
      </c>
      <c r="K37" s="1067"/>
      <c r="L37" s="1243">
        <v>0</v>
      </c>
      <c r="N37" s="1244">
        <v>0</v>
      </c>
      <c r="P37" s="1067"/>
      <c r="Q37" s="1243">
        <v>0</v>
      </c>
      <c r="T37" s="1244">
        <v>0</v>
      </c>
      <c r="U37" s="1067"/>
      <c r="V37" s="1243">
        <f t="shared" si="2"/>
        <v>0</v>
      </c>
      <c r="Y37" s="1245">
        <f>(E37*$I$8)+(J37*$J$8)+(N37*$K$8)+(T37*$L$8)</f>
        <v>0</v>
      </c>
      <c r="Z37" s="1067"/>
      <c r="AA37" s="1061"/>
      <c r="AC37" s="1244">
        <v>0</v>
      </c>
      <c r="AD37" s="1067"/>
      <c r="AE37" s="1061"/>
      <c r="AG37" s="1244">
        <v>6.5540540540540537E-2</v>
      </c>
      <c r="AH37" s="1067"/>
      <c r="AI37" s="1061"/>
      <c r="AK37" s="1244">
        <v>6.5540540540540537E-2</v>
      </c>
      <c r="AL37" s="1067"/>
      <c r="AM37" s="1061"/>
      <c r="AO37" s="1244">
        <v>6.5540540540540537E-2</v>
      </c>
      <c r="AP37" s="1067"/>
      <c r="AS37" s="1090"/>
      <c r="AT37" s="1090"/>
      <c r="AX37" s="1090"/>
      <c r="AY37" s="1090"/>
      <c r="BD37" s="1288"/>
    </row>
    <row r="38" spans="1:56">
      <c r="A38" s="483" t="s">
        <v>1319</v>
      </c>
      <c r="B38" s="1243">
        <v>0</v>
      </c>
      <c r="F38" s="1067"/>
      <c r="G38" s="1243">
        <v>0</v>
      </c>
      <c r="K38" s="1067"/>
      <c r="L38" s="1243">
        <v>0</v>
      </c>
      <c r="P38" s="1067"/>
      <c r="Q38" s="1243">
        <v>0</v>
      </c>
      <c r="U38" s="1067"/>
      <c r="V38" s="1243">
        <f t="shared" si="2"/>
        <v>0</v>
      </c>
      <c r="Z38" s="1067"/>
      <c r="AA38" s="1061"/>
      <c r="AD38" s="1067"/>
      <c r="AE38" s="1061"/>
      <c r="AH38" s="1067"/>
      <c r="AI38" s="1061"/>
      <c r="AL38" s="1067"/>
      <c r="AM38" s="1061"/>
      <c r="AP38" s="1067"/>
      <c r="AS38" s="1090"/>
      <c r="AT38" s="1090"/>
      <c r="AX38" s="1090"/>
      <c r="AY38" s="1090"/>
      <c r="BD38" s="1288"/>
    </row>
    <row r="39" spans="1:56">
      <c r="A39" s="483" t="s">
        <v>1320</v>
      </c>
      <c r="B39" s="1243">
        <v>0.13900000000000001</v>
      </c>
      <c r="F39" s="1067"/>
      <c r="G39" s="1243">
        <v>0.61199999999999999</v>
      </c>
      <c r="K39" s="1067"/>
      <c r="L39" s="1243">
        <v>7.5999999999999998E-2</v>
      </c>
      <c r="P39" s="1067"/>
      <c r="Q39" s="1243">
        <v>0.161</v>
      </c>
      <c r="U39" s="1067"/>
      <c r="V39" s="1243">
        <f t="shared" si="2"/>
        <v>0.17447200000000002</v>
      </c>
      <c r="Z39" s="1067"/>
      <c r="AA39" s="1061"/>
      <c r="AD39" s="1067"/>
      <c r="AE39" s="1061"/>
      <c r="AH39" s="1067"/>
      <c r="AI39" s="1061"/>
      <c r="AL39" s="1067"/>
      <c r="AM39" s="1061"/>
      <c r="AP39" s="1067"/>
      <c r="AS39" s="1090"/>
      <c r="AT39" s="1090"/>
      <c r="AX39" s="1090"/>
      <c r="AY39" s="1090"/>
      <c r="BD39" s="1288"/>
    </row>
    <row r="40" spans="1:56">
      <c r="A40" s="483" t="s">
        <v>804</v>
      </c>
      <c r="B40" s="1243">
        <v>0.115</v>
      </c>
      <c r="F40" s="1067"/>
      <c r="G40" s="1243">
        <v>5.8999999999999997E-2</v>
      </c>
      <c r="K40" s="1067"/>
      <c r="L40" s="1243">
        <v>0.222</v>
      </c>
      <c r="P40" s="1067"/>
      <c r="Q40" s="1243">
        <v>0.155</v>
      </c>
      <c r="U40" s="1067"/>
      <c r="V40" s="1243">
        <f t="shared" si="2"/>
        <v>0.15661600000000001</v>
      </c>
      <c r="Z40" s="1067"/>
      <c r="AA40" s="1243">
        <v>0.31044032124065346</v>
      </c>
      <c r="AD40" s="1067"/>
      <c r="AE40" s="1243">
        <v>0.143006263048017</v>
      </c>
      <c r="AH40" s="1067"/>
      <c r="AI40" s="1243">
        <v>0.14300626304801667</v>
      </c>
      <c r="AL40" s="1067"/>
      <c r="AM40" s="1243">
        <v>0.14300626304801667</v>
      </c>
      <c r="AP40" s="1067"/>
      <c r="AS40" s="1090"/>
      <c r="AT40" s="1090"/>
      <c r="AX40" s="1090"/>
      <c r="AY40" s="1090"/>
      <c r="BD40" s="1288"/>
    </row>
    <row r="41" spans="1:56">
      <c r="A41" s="483" t="s">
        <v>805</v>
      </c>
      <c r="B41" s="1243">
        <v>0.21199999999999999</v>
      </c>
      <c r="F41" s="1067"/>
      <c r="G41" s="1243">
        <v>0.19</v>
      </c>
      <c r="K41" s="1067"/>
      <c r="L41" s="1243">
        <v>0.45500000000000002</v>
      </c>
      <c r="P41" s="1067"/>
      <c r="Q41" s="1243">
        <v>0.40899999999999997</v>
      </c>
      <c r="U41" s="1067"/>
      <c r="V41" s="1243">
        <f t="shared" si="2"/>
        <v>0.39658699999999997</v>
      </c>
      <c r="Z41" s="1067"/>
      <c r="AA41" s="1061"/>
      <c r="AD41" s="1067"/>
      <c r="AE41" s="1061"/>
      <c r="AH41" s="1067"/>
      <c r="AI41" s="1061"/>
      <c r="AL41" s="1067"/>
      <c r="AM41" s="1061"/>
      <c r="AP41" s="1067"/>
      <c r="AS41" s="1090"/>
      <c r="AT41" s="1090"/>
      <c r="AX41" s="1090"/>
      <c r="AY41" s="1090"/>
      <c r="BD41" s="1288"/>
    </row>
    <row r="42" spans="1:56">
      <c r="A42" s="483" t="s">
        <v>1321</v>
      </c>
      <c r="B42" s="1243">
        <v>0.16800000000000001</v>
      </c>
      <c r="F42" s="1067"/>
      <c r="G42" s="1243">
        <v>7.0000000000000001E-3</v>
      </c>
      <c r="K42" s="1067"/>
      <c r="L42" s="1243">
        <v>6.9000000000000006E-2</v>
      </c>
      <c r="P42" s="1067"/>
      <c r="Q42" s="1243">
        <v>3.9E-2</v>
      </c>
      <c r="U42" s="1067"/>
      <c r="V42" s="1243">
        <f t="shared" si="2"/>
        <v>4.4871000000000001E-2</v>
      </c>
      <c r="Z42" s="1067"/>
      <c r="AA42" s="1061"/>
      <c r="AD42" s="1067"/>
      <c r="AE42" s="1061"/>
      <c r="AH42" s="1067"/>
      <c r="AI42" s="1061"/>
      <c r="AL42" s="1067"/>
      <c r="AM42" s="1061"/>
      <c r="AP42" s="1067"/>
      <c r="AS42" s="1090"/>
      <c r="AT42" s="1090"/>
      <c r="AX42" s="1090"/>
      <c r="AY42" s="1090"/>
      <c r="BD42" s="1288"/>
    </row>
    <row r="43" spans="1:56">
      <c r="A43" s="483" t="s">
        <v>1322</v>
      </c>
      <c r="B43" s="1243">
        <v>4.3999999999999997E-2</v>
      </c>
      <c r="F43" s="1067"/>
      <c r="G43" s="1243">
        <v>1.6E-2</v>
      </c>
      <c r="K43" s="1067"/>
      <c r="L43" s="1243">
        <v>5.6000000000000001E-2</v>
      </c>
      <c r="P43" s="1067"/>
      <c r="Q43" s="1243">
        <v>3.9E-2</v>
      </c>
      <c r="U43" s="1067"/>
      <c r="V43" s="1243">
        <f t="shared" si="2"/>
        <v>3.9953000000000002E-2</v>
      </c>
      <c r="Z43" s="1067"/>
      <c r="AA43" s="1061"/>
      <c r="AD43" s="1067"/>
      <c r="AE43" s="1061"/>
      <c r="AH43" s="1067"/>
      <c r="AI43" s="1061"/>
      <c r="AL43" s="1067"/>
      <c r="AM43" s="1061"/>
      <c r="AP43" s="1067"/>
      <c r="AS43" s="1090"/>
      <c r="AT43" s="1090"/>
      <c r="AX43" s="1090"/>
      <c r="AY43" s="1090"/>
      <c r="BD43" s="1288"/>
    </row>
    <row r="44" spans="1:56">
      <c r="A44" s="1408" t="s">
        <v>1323</v>
      </c>
      <c r="B44" s="1243">
        <v>0.249</v>
      </c>
      <c r="F44" s="1067"/>
      <c r="G44" s="1243">
        <v>0</v>
      </c>
      <c r="K44" s="1067"/>
      <c r="L44" s="1243">
        <v>0</v>
      </c>
      <c r="P44" s="1067"/>
      <c r="Q44" s="1243">
        <v>5.3999999999999999E-2</v>
      </c>
      <c r="U44" s="1067"/>
      <c r="V44" s="1243">
        <f t="shared" si="2"/>
        <v>5.0649E-2</v>
      </c>
      <c r="Z44" s="1067"/>
      <c r="AA44" s="1061"/>
      <c r="AD44" s="1067"/>
      <c r="AE44" s="1061"/>
      <c r="AH44" s="1067"/>
      <c r="AI44" s="1061"/>
      <c r="AL44" s="1067"/>
      <c r="AM44" s="1061"/>
      <c r="AP44" s="1067"/>
      <c r="AS44" s="1090"/>
      <c r="AT44" s="1090"/>
      <c r="AX44" s="1090"/>
      <c r="AY44" s="1090"/>
      <c r="BD44" s="1288"/>
    </row>
    <row r="45" spans="1:56">
      <c r="A45" s="1408" t="s">
        <v>1324</v>
      </c>
      <c r="B45" s="1243">
        <v>4.0000000000000001E-3</v>
      </c>
      <c r="F45" s="1067"/>
      <c r="G45" s="1243">
        <v>0</v>
      </c>
      <c r="K45" s="1067"/>
      <c r="L45" s="1243">
        <v>0</v>
      </c>
      <c r="P45" s="1067"/>
      <c r="Q45" s="1243">
        <v>8.9999999999999993E-3</v>
      </c>
      <c r="U45" s="1067"/>
      <c r="V45" s="1243">
        <f t="shared" si="2"/>
        <v>7.2789999999999999E-3</v>
      </c>
      <c r="Z45" s="1067"/>
      <c r="AA45" s="1061"/>
      <c r="AD45" s="1067"/>
      <c r="AE45" s="1061"/>
      <c r="AH45" s="1067"/>
      <c r="AI45" s="1061"/>
      <c r="AL45" s="1067"/>
      <c r="AM45" s="1061"/>
      <c r="AP45" s="1067"/>
      <c r="AS45" s="1090"/>
      <c r="AT45" s="1090"/>
      <c r="AX45" s="1090"/>
      <c r="AY45" s="1090"/>
      <c r="BD45" s="1288"/>
    </row>
    <row r="46" spans="1:56">
      <c r="A46" s="1408" t="s">
        <v>1325</v>
      </c>
      <c r="B46" s="1243">
        <v>1E-3</v>
      </c>
      <c r="F46" s="1067"/>
      <c r="G46" s="1243">
        <v>0</v>
      </c>
      <c r="K46" s="1067"/>
      <c r="L46" s="1243">
        <v>0</v>
      </c>
      <c r="P46" s="1067"/>
      <c r="Q46" s="1243">
        <v>8.9999999999999993E-3</v>
      </c>
      <c r="U46" s="1067"/>
      <c r="V46" s="1243">
        <f t="shared" si="2"/>
        <v>7.1859999999999997E-3</v>
      </c>
      <c r="Z46" s="1067"/>
      <c r="AA46" s="1061"/>
      <c r="AD46" s="1067"/>
      <c r="AE46" s="1061"/>
      <c r="AH46" s="1067"/>
      <c r="AI46" s="1061"/>
      <c r="AL46" s="1067"/>
      <c r="AM46" s="1061"/>
      <c r="AP46" s="1067"/>
      <c r="AS46" s="1090"/>
      <c r="AT46" s="1090"/>
      <c r="AX46" s="1090"/>
      <c r="AY46" s="1090"/>
      <c r="BD46" s="1288"/>
    </row>
    <row r="47" spans="1:56">
      <c r="A47" s="905" t="s">
        <v>806</v>
      </c>
      <c r="B47" s="1243">
        <v>6.4000000000000001E-2</v>
      </c>
      <c r="F47" s="1067"/>
      <c r="G47" s="1243">
        <v>9.6000000000000002E-2</v>
      </c>
      <c r="K47" s="1067"/>
      <c r="L47" s="1243">
        <v>0.112</v>
      </c>
      <c r="P47" s="1067"/>
      <c r="Q47" s="1243">
        <v>0.114</v>
      </c>
      <c r="U47" s="1067"/>
      <c r="V47" s="1243">
        <f t="shared" si="2"/>
        <v>0.111238</v>
      </c>
      <c r="Z47" s="1067"/>
      <c r="AA47" s="1243">
        <v>0.41013569648296877</v>
      </c>
      <c r="AD47" s="1067"/>
      <c r="AE47" s="1243">
        <v>0.856993736951983</v>
      </c>
      <c r="AH47" s="1067"/>
      <c r="AI47" s="1243">
        <v>0.85699373695198333</v>
      </c>
      <c r="AL47" s="1067"/>
      <c r="AM47" s="1243">
        <v>0.85699373695198333</v>
      </c>
      <c r="AP47" s="1067"/>
      <c r="AS47" s="1090"/>
      <c r="AT47" s="1090"/>
      <c r="AX47" s="1090"/>
      <c r="AY47" s="1090"/>
      <c r="BD47" s="1288"/>
    </row>
    <row r="48" spans="1:56">
      <c r="A48" s="482" t="s">
        <v>862</v>
      </c>
      <c r="B48" s="523"/>
      <c r="C48" s="557"/>
      <c r="D48" s="557"/>
      <c r="E48" s="557"/>
      <c r="F48" s="558"/>
      <c r="G48" s="523"/>
      <c r="H48" s="557"/>
      <c r="I48" s="557"/>
      <c r="J48" s="557"/>
      <c r="K48" s="558"/>
      <c r="L48" s="523"/>
      <c r="M48" s="557"/>
      <c r="N48" s="557"/>
      <c r="O48" s="557"/>
      <c r="P48" s="558"/>
      <c r="Q48" s="523"/>
      <c r="R48" s="557"/>
      <c r="S48" s="557"/>
      <c r="T48" s="557"/>
      <c r="U48" s="558"/>
      <c r="V48" s="523"/>
      <c r="W48" s="557"/>
      <c r="X48" s="557"/>
      <c r="Y48" s="557"/>
      <c r="Z48" s="558"/>
      <c r="AA48" s="523"/>
      <c r="AB48" s="557"/>
      <c r="AC48" s="557"/>
      <c r="AD48" s="558"/>
      <c r="AE48" s="523"/>
      <c r="AF48" s="557"/>
      <c r="AG48" s="557"/>
      <c r="AH48" s="558"/>
      <c r="AI48" s="523"/>
      <c r="AJ48" s="557"/>
      <c r="AK48" s="557"/>
      <c r="AL48" s="558"/>
      <c r="AM48" s="523"/>
      <c r="AN48" s="557"/>
      <c r="AO48" s="557"/>
      <c r="AP48" s="558"/>
      <c r="AS48" s="1090"/>
      <c r="AT48" s="1090"/>
      <c r="AX48" s="1090"/>
      <c r="AY48" s="1090"/>
      <c r="BD48" s="1288"/>
    </row>
    <row r="49" spans="1:56" s="1247" customFormat="1">
      <c r="A49" s="794" t="s">
        <v>800</v>
      </c>
      <c r="B49" s="1246">
        <f t="shared" ref="B49:B60" si="3">B$32*B35</f>
        <v>6.1197011371491505E-3</v>
      </c>
      <c r="E49" s="1248"/>
      <c r="F49" s="1082"/>
      <c r="G49" s="1246">
        <f t="shared" ref="G49:G60" si="4">G$32*G35</f>
        <v>0</v>
      </c>
      <c r="J49" s="1248"/>
      <c r="K49" s="1082"/>
      <c r="L49" s="1246">
        <f t="shared" ref="L49:L60" si="5">L$32*L35</f>
        <v>1.5549161585408628E-2</v>
      </c>
      <c r="N49" s="1248"/>
      <c r="P49" s="1082"/>
      <c r="Q49" s="1246">
        <f t="shared" ref="Q49:Q60" si="6">Q$32*Q35</f>
        <v>1.375012129561763E-2</v>
      </c>
      <c r="T49" s="1248"/>
      <c r="U49" s="1082"/>
      <c r="V49" s="1246">
        <f t="shared" ref="V49:V60" si="7">V$32*V35</f>
        <v>1.3475714199428489E-2</v>
      </c>
      <c r="Y49" s="1248"/>
      <c r="Z49" s="1082"/>
      <c r="AA49" s="1246"/>
      <c r="AC49" s="1248"/>
      <c r="AD49" s="1082"/>
      <c r="AE49" s="1246"/>
      <c r="AG49" s="1249">
        <f>AG$32*AG35</f>
        <v>1.8880005411025856E-3</v>
      </c>
      <c r="AH49" s="1082"/>
      <c r="AI49" s="1246"/>
      <c r="AK49" s="1249">
        <f>AK$32*AK35</f>
        <v>1.8880005411025856E-3</v>
      </c>
      <c r="AL49" s="1082"/>
      <c r="AM49" s="1246"/>
      <c r="AO49" s="1249">
        <f>AO$32*AO35</f>
        <v>1.8880005411025856E-3</v>
      </c>
      <c r="AP49" s="1082"/>
      <c r="AS49" s="1090"/>
      <c r="AT49" s="1090"/>
      <c r="AX49" s="1090"/>
      <c r="AY49" s="1090"/>
      <c r="BD49" s="1288"/>
    </row>
    <row r="50" spans="1:56" s="1247" customFormat="1">
      <c r="A50" s="794" t="s">
        <v>802</v>
      </c>
      <c r="B50" s="1246">
        <f t="shared" si="3"/>
        <v>1.2239402274298301E-2</v>
      </c>
      <c r="E50" s="1249">
        <f>E$32*E36</f>
        <v>4.6603611349957001E-4</v>
      </c>
      <c r="F50" s="1082"/>
      <c r="G50" s="1246">
        <f t="shared" si="4"/>
        <v>9.2165289966275279E-2</v>
      </c>
      <c r="J50" s="1249">
        <f>J$32*J36</f>
        <v>4.6603611349957001E-4</v>
      </c>
      <c r="K50" s="1082"/>
      <c r="L50" s="1246">
        <f t="shared" si="5"/>
        <v>2.3323742378112942E-2</v>
      </c>
      <c r="N50" s="1249">
        <f>N$32*N36</f>
        <v>4.6603611349957001E-4</v>
      </c>
      <c r="P50" s="1082"/>
      <c r="Q50" s="1246">
        <f t="shared" si="6"/>
        <v>2.750024259123526E-2</v>
      </c>
      <c r="T50" s="1249">
        <f>T$32*T36</f>
        <v>4.6603611349957001E-4</v>
      </c>
      <c r="U50" s="1082"/>
      <c r="V50" s="1246">
        <f t="shared" si="7"/>
        <v>2.9821087396622023E-2</v>
      </c>
      <c r="Y50" s="1249">
        <f>(E50*$I$8)+(J50*$J$8)+(N50*$K$8)+(T50*$L$8)</f>
        <v>4.6603611349957001E-4</v>
      </c>
      <c r="Z50" s="1082"/>
      <c r="AA50" s="1246">
        <f>AA$32*AA36</f>
        <v>3.6545233146997383E-3</v>
      </c>
      <c r="AC50" s="1249">
        <f>AC$32*AC36</f>
        <v>2.4375561851267798E-3</v>
      </c>
      <c r="AD50" s="1082"/>
      <c r="AE50" s="1246"/>
      <c r="AG50" s="1249">
        <f>AG$32*AG36</f>
        <v>7.7930022334811713E-3</v>
      </c>
      <c r="AH50" s="1082"/>
      <c r="AI50" s="1246"/>
      <c r="AK50" s="1249">
        <f>AK$32*AK36</f>
        <v>7.7930022334811713E-3</v>
      </c>
      <c r="AL50" s="1082"/>
      <c r="AM50" s="1246"/>
      <c r="AO50" s="1249">
        <f>AO$32*AO36</f>
        <v>7.7930022334811713E-3</v>
      </c>
      <c r="AP50" s="1082"/>
      <c r="AS50" s="1090"/>
      <c r="AT50" s="1090"/>
      <c r="AX50" s="1090"/>
      <c r="AY50" s="1090"/>
      <c r="BD50" s="1288"/>
    </row>
    <row r="51" spans="1:56" s="1247" customFormat="1">
      <c r="A51" s="794" t="s">
        <v>801</v>
      </c>
      <c r="B51" s="1246">
        <f t="shared" si="3"/>
        <v>0</v>
      </c>
      <c r="E51" s="1249">
        <f>E$32*E37</f>
        <v>0</v>
      </c>
      <c r="F51" s="1082"/>
      <c r="G51" s="1246">
        <f t="shared" si="4"/>
        <v>0</v>
      </c>
      <c r="J51" s="1249">
        <f>J$32*J37</f>
        <v>0</v>
      </c>
      <c r="K51" s="1082"/>
      <c r="L51" s="1246">
        <f t="shared" si="5"/>
        <v>0</v>
      </c>
      <c r="N51" s="1249">
        <f>N$32*N37</f>
        <v>0</v>
      </c>
      <c r="P51" s="1082"/>
      <c r="Q51" s="1246">
        <f t="shared" si="6"/>
        <v>0</v>
      </c>
      <c r="T51" s="1249">
        <f>T$32*T37</f>
        <v>0</v>
      </c>
      <c r="U51" s="1082"/>
      <c r="V51" s="1246">
        <f t="shared" si="7"/>
        <v>0</v>
      </c>
      <c r="Y51" s="1249">
        <f>(E51*$I$8)+(J51*$J$8)+(N51*$K$8)+(T51*$L$8)</f>
        <v>0</v>
      </c>
      <c r="Z51" s="1082"/>
      <c r="AA51" s="1246"/>
      <c r="AC51" s="1249">
        <f>AC$32*AC37</f>
        <v>0</v>
      </c>
      <c r="AD51" s="1082"/>
      <c r="AE51" s="1246"/>
      <c r="AG51" s="1249">
        <f>AG$32*AG37</f>
        <v>6.7900019460204219E-4</v>
      </c>
      <c r="AH51" s="1082"/>
      <c r="AI51" s="1246"/>
      <c r="AK51" s="1249">
        <f>AK$32*AK37</f>
        <v>6.7900019460204219E-4</v>
      </c>
      <c r="AL51" s="1082"/>
      <c r="AM51" s="1246"/>
      <c r="AO51" s="1249">
        <f>AO$32*AO37</f>
        <v>6.7900019460204219E-4</v>
      </c>
      <c r="AP51" s="1082"/>
      <c r="AS51" s="1090"/>
      <c r="AT51" s="1090"/>
      <c r="AX51" s="1090"/>
      <c r="AY51" s="1090"/>
      <c r="BD51" s="1288"/>
    </row>
    <row r="52" spans="1:56" s="1247" customFormat="1">
      <c r="A52" s="794" t="s">
        <v>1319</v>
      </c>
      <c r="B52" s="1246">
        <f t="shared" si="3"/>
        <v>0</v>
      </c>
      <c r="E52" s="1248"/>
      <c r="F52" s="1082"/>
      <c r="G52" s="1246">
        <f t="shared" si="4"/>
        <v>0</v>
      </c>
      <c r="J52" s="1248"/>
      <c r="K52" s="1082"/>
      <c r="L52" s="1246">
        <f t="shared" si="5"/>
        <v>0</v>
      </c>
      <c r="N52" s="1248"/>
      <c r="P52" s="1082"/>
      <c r="Q52" s="1246">
        <f t="shared" si="6"/>
        <v>0</v>
      </c>
      <c r="T52" s="1248"/>
      <c r="U52" s="1082"/>
      <c r="V52" s="1246">
        <f t="shared" si="7"/>
        <v>0</v>
      </c>
      <c r="Y52" s="1248"/>
      <c r="Z52" s="1082"/>
      <c r="AA52" s="1246"/>
      <c r="AC52" s="1248"/>
      <c r="AD52" s="1082"/>
      <c r="AE52" s="1246"/>
      <c r="AG52" s="1248"/>
      <c r="AH52" s="1082"/>
      <c r="AI52" s="1246"/>
      <c r="AK52" s="1248"/>
      <c r="AL52" s="1082"/>
      <c r="AM52" s="1246"/>
      <c r="AO52" s="1248"/>
      <c r="AP52" s="1082"/>
      <c r="AS52" s="1090"/>
      <c r="AT52" s="1090"/>
      <c r="AX52" s="1090"/>
      <c r="AY52" s="1090"/>
      <c r="BD52" s="1288"/>
    </row>
    <row r="53" spans="1:56" s="1247" customFormat="1">
      <c r="A53" s="794" t="s">
        <v>1320</v>
      </c>
      <c r="B53" s="1246">
        <f t="shared" si="3"/>
        <v>0.85063845806373206</v>
      </c>
      <c r="E53" s="1248"/>
      <c r="F53" s="1082"/>
      <c r="G53" s="1246">
        <f t="shared" si="4"/>
        <v>2.9686924978610776</v>
      </c>
      <c r="J53" s="1248"/>
      <c r="K53" s="1082"/>
      <c r="L53" s="1246">
        <f t="shared" si="5"/>
        <v>0.2954340701227639</v>
      </c>
      <c r="N53" s="1248"/>
      <c r="P53" s="1082"/>
      <c r="Q53" s="1246">
        <f t="shared" si="6"/>
        <v>0.55344238214860964</v>
      </c>
      <c r="T53" s="1248"/>
      <c r="U53" s="1082"/>
      <c r="V53" s="1246">
        <f t="shared" si="7"/>
        <v>0.63699127819092038</v>
      </c>
      <c r="Y53" s="1248"/>
      <c r="Z53" s="1082"/>
      <c r="AA53" s="1246"/>
      <c r="AC53" s="1248"/>
      <c r="AD53" s="1082"/>
      <c r="AE53" s="1246"/>
      <c r="AG53" s="1248"/>
      <c r="AH53" s="1082"/>
      <c r="AI53" s="1246"/>
      <c r="AK53" s="1248"/>
      <c r="AL53" s="1082"/>
      <c r="AM53" s="1246"/>
      <c r="AO53" s="1248"/>
      <c r="AP53" s="1082"/>
      <c r="AS53" s="1090"/>
      <c r="AT53" s="1090"/>
      <c r="AX53" s="1090"/>
      <c r="AY53" s="1090"/>
      <c r="BD53" s="1288"/>
    </row>
    <row r="54" spans="1:56" s="1247" customFormat="1">
      <c r="A54" s="794" t="s">
        <v>804</v>
      </c>
      <c r="B54" s="1246">
        <f t="shared" si="3"/>
        <v>0.70376563077215237</v>
      </c>
      <c r="E54" s="1248"/>
      <c r="F54" s="1082"/>
      <c r="G54" s="1246">
        <f t="shared" si="4"/>
        <v>0.28619747936896006</v>
      </c>
      <c r="J54" s="1248"/>
      <c r="K54" s="1082"/>
      <c r="L54" s="1246">
        <f t="shared" si="5"/>
        <v>0.86297846799017885</v>
      </c>
      <c r="N54" s="1248"/>
      <c r="P54" s="1082"/>
      <c r="Q54" s="1246">
        <f t="shared" si="6"/>
        <v>0.53281720020518319</v>
      </c>
      <c r="T54" s="1248"/>
      <c r="U54" s="1082"/>
      <c r="V54" s="1246">
        <f t="shared" si="7"/>
        <v>0.57179963561573888</v>
      </c>
      <c r="Y54" s="1248"/>
      <c r="Z54" s="1082"/>
      <c r="AA54" s="1246">
        <f>AA$32*AA40</f>
        <v>4.0601790245573888E-3</v>
      </c>
      <c r="AC54" s="1248"/>
      <c r="AD54" s="1082"/>
      <c r="AE54" s="1246">
        <f>AE$32*AE40</f>
        <v>1.3700003926432913E-3</v>
      </c>
      <c r="AG54" s="1248"/>
      <c r="AH54" s="1082"/>
      <c r="AI54" s="1246">
        <f>AI$32*AI40</f>
        <v>1.370000392643288E-3</v>
      </c>
      <c r="AK54" s="1248"/>
      <c r="AL54" s="1082"/>
      <c r="AM54" s="1246">
        <v>1.3700003926432887E-3</v>
      </c>
      <c r="AO54" s="1248"/>
      <c r="AP54" s="1082"/>
      <c r="AS54" s="1090"/>
      <c r="AT54" s="1090"/>
      <c r="AX54" s="1090"/>
      <c r="AY54" s="1090"/>
    </row>
    <row r="55" spans="1:56" s="1247" customFormat="1">
      <c r="A55" s="794" t="s">
        <v>805</v>
      </c>
      <c r="B55" s="1246">
        <f t="shared" si="3"/>
        <v>1.29737664107562</v>
      </c>
      <c r="E55" s="1248"/>
      <c r="F55" s="1082"/>
      <c r="G55" s="1246">
        <f t="shared" si="4"/>
        <v>0.92165289966275288</v>
      </c>
      <c r="J55" s="1248"/>
      <c r="K55" s="1082"/>
      <c r="L55" s="1246">
        <f t="shared" si="5"/>
        <v>1.7687171303402316</v>
      </c>
      <c r="N55" s="1248"/>
      <c r="P55" s="1082"/>
      <c r="Q55" s="1246">
        <f t="shared" si="6"/>
        <v>1.4059499024769027</v>
      </c>
      <c r="T55" s="1248"/>
      <c r="U55" s="1082"/>
      <c r="V55" s="1246">
        <f t="shared" si="7"/>
        <v>1.447925512654767</v>
      </c>
      <c r="Y55" s="1248"/>
      <c r="Z55" s="1082"/>
      <c r="AA55" s="1246"/>
      <c r="AC55" s="1248"/>
      <c r="AD55" s="1082"/>
      <c r="AE55" s="1246"/>
      <c r="AG55" s="1248"/>
      <c r="AH55" s="1082"/>
      <c r="AI55" s="1246"/>
      <c r="AK55" s="1248"/>
      <c r="AL55" s="1082"/>
      <c r="AM55" s="1246"/>
      <c r="AO55" s="1248"/>
      <c r="AP55" s="1082"/>
      <c r="AS55" s="1090"/>
      <c r="AT55" s="1090"/>
      <c r="AX55" s="1090"/>
      <c r="AY55" s="1090"/>
    </row>
    <row r="56" spans="1:56" s="1247" customFormat="1">
      <c r="A56" s="794" t="s">
        <v>1321</v>
      </c>
      <c r="B56" s="1246">
        <f t="shared" si="3"/>
        <v>1.0281097910410575</v>
      </c>
      <c r="E56" s="1248"/>
      <c r="F56" s="1082"/>
      <c r="G56" s="1246">
        <f t="shared" si="4"/>
        <v>3.3955633145469843E-2</v>
      </c>
      <c r="J56" s="1248"/>
      <c r="K56" s="1082"/>
      <c r="L56" s="1246">
        <f t="shared" si="5"/>
        <v>0.26822303734829883</v>
      </c>
      <c r="N56" s="1248"/>
      <c r="P56" s="1082"/>
      <c r="Q56" s="1246">
        <f t="shared" si="6"/>
        <v>0.13406368263227189</v>
      </c>
      <c r="T56" s="1248"/>
      <c r="U56" s="1082"/>
      <c r="V56" s="1246">
        <f t="shared" si="7"/>
        <v>0.16382247950218251</v>
      </c>
      <c r="Y56" s="1248"/>
      <c r="Z56" s="1082"/>
      <c r="AA56" s="1246"/>
      <c r="AC56" s="1248"/>
      <c r="AD56" s="1082"/>
      <c r="AE56" s="1246"/>
      <c r="AG56" s="1248"/>
      <c r="AH56" s="1082"/>
      <c r="AI56" s="1246"/>
      <c r="AK56" s="1248"/>
      <c r="AL56" s="1082"/>
      <c r="AM56" s="1246"/>
      <c r="AO56" s="1248"/>
      <c r="AP56" s="1082"/>
      <c r="AS56" s="1090"/>
      <c r="AT56" s="1090"/>
      <c r="AX56" s="1090"/>
      <c r="AY56" s="1090"/>
    </row>
    <row r="57" spans="1:56" s="1247" customFormat="1">
      <c r="A57" s="483" t="s">
        <v>1322</v>
      </c>
      <c r="B57" s="1246">
        <f t="shared" si="3"/>
        <v>0.26926685003456263</v>
      </c>
      <c r="E57" s="1248"/>
      <c r="F57" s="1082"/>
      <c r="G57" s="1246">
        <f t="shared" si="4"/>
        <v>7.7612875761073924E-2</v>
      </c>
      <c r="J57" s="1248"/>
      <c r="K57" s="1082"/>
      <c r="L57" s="1246">
        <f t="shared" si="5"/>
        <v>0.21768826219572079</v>
      </c>
      <c r="N57" s="1248"/>
      <c r="P57" s="1082"/>
      <c r="Q57" s="1246">
        <f t="shared" si="6"/>
        <v>0.13406368263227189</v>
      </c>
      <c r="T57" s="1248"/>
      <c r="U57" s="1082"/>
      <c r="V57" s="1246">
        <f t="shared" si="7"/>
        <v>0.14586703045509791</v>
      </c>
      <c r="Y57" s="1248"/>
      <c r="Z57" s="1082"/>
      <c r="AA57" s="1246"/>
      <c r="AC57" s="1248"/>
      <c r="AD57" s="1082"/>
      <c r="AE57" s="1246"/>
      <c r="AG57" s="1248"/>
      <c r="AH57" s="1082"/>
      <c r="AI57" s="1246"/>
      <c r="AK57" s="1248"/>
      <c r="AL57" s="1082"/>
      <c r="AM57" s="1246"/>
      <c r="AO57" s="1248"/>
      <c r="AP57" s="1082"/>
      <c r="AS57" s="1090"/>
      <c r="AT57" s="1090"/>
      <c r="AX57" s="1090"/>
      <c r="AY57" s="1090"/>
    </row>
    <row r="58" spans="1:56" s="1247" customFormat="1">
      <c r="A58" s="1287" t="s">
        <v>1323</v>
      </c>
      <c r="B58" s="1246">
        <f t="shared" si="3"/>
        <v>1.5238055831501385</v>
      </c>
      <c r="E58" s="1248"/>
      <c r="F58" s="1082"/>
      <c r="G58" s="1246">
        <f t="shared" si="4"/>
        <v>0</v>
      </c>
      <c r="J58" s="1248"/>
      <c r="K58" s="1082"/>
      <c r="L58" s="1246">
        <f t="shared" si="5"/>
        <v>0</v>
      </c>
      <c r="N58" s="1248"/>
      <c r="P58" s="1082"/>
      <c r="Q58" s="1246">
        <f t="shared" si="6"/>
        <v>0.18562663749083799</v>
      </c>
      <c r="T58" s="1248"/>
      <c r="U58" s="1082"/>
      <c r="V58" s="1246">
        <f t="shared" si="7"/>
        <v>0.18491775900483703</v>
      </c>
      <c r="Y58" s="1248"/>
      <c r="Z58" s="1082"/>
      <c r="AA58" s="1246"/>
      <c r="AC58" s="1248"/>
      <c r="AD58" s="1082"/>
      <c r="AE58" s="1246"/>
      <c r="AG58" s="1248"/>
      <c r="AH58" s="1082"/>
      <c r="AI58" s="1246"/>
      <c r="AK58" s="1248"/>
      <c r="AL58" s="1082"/>
      <c r="AM58" s="1246"/>
      <c r="AO58" s="1248"/>
      <c r="AP58" s="1082"/>
      <c r="AS58" s="1090"/>
      <c r="AT58" s="1090"/>
      <c r="AX58" s="1090"/>
      <c r="AY58" s="1090"/>
    </row>
    <row r="59" spans="1:56" s="1247" customFormat="1">
      <c r="A59" s="1287" t="s">
        <v>1324</v>
      </c>
      <c r="B59" s="1246">
        <f t="shared" si="3"/>
        <v>2.4478804548596602E-2</v>
      </c>
      <c r="E59" s="1248"/>
      <c r="F59" s="1082"/>
      <c r="G59" s="1246">
        <f t="shared" si="4"/>
        <v>0</v>
      </c>
      <c r="J59" s="1248"/>
      <c r="K59" s="1082"/>
      <c r="L59" s="1246">
        <f t="shared" si="5"/>
        <v>0</v>
      </c>
      <c r="N59" s="1248"/>
      <c r="P59" s="1082"/>
      <c r="Q59" s="1246">
        <f t="shared" si="6"/>
        <v>3.0937772915139664E-2</v>
      </c>
      <c r="T59" s="1248"/>
      <c r="U59" s="1082"/>
      <c r="V59" s="1246">
        <f t="shared" si="7"/>
        <v>2.657537893731779E-2</v>
      </c>
      <c r="Y59" s="1248"/>
      <c r="Z59" s="1082"/>
      <c r="AA59" s="1246"/>
      <c r="AC59" s="1248"/>
      <c r="AD59" s="1082"/>
      <c r="AE59" s="1246"/>
      <c r="AG59" s="1248"/>
      <c r="AH59" s="1082"/>
      <c r="AI59" s="1246"/>
      <c r="AK59" s="1248"/>
      <c r="AL59" s="1082"/>
      <c r="AM59" s="1246"/>
      <c r="AO59" s="1248"/>
      <c r="AP59" s="1082"/>
      <c r="AS59" s="1090"/>
      <c r="AT59" s="1090"/>
      <c r="AX59" s="1090"/>
      <c r="AY59" s="1090"/>
    </row>
    <row r="60" spans="1:56" s="1247" customFormat="1">
      <c r="A60" s="1287" t="s">
        <v>1325</v>
      </c>
      <c r="B60" s="1246">
        <f t="shared" si="3"/>
        <v>6.1197011371491505E-3</v>
      </c>
      <c r="E60" s="1248"/>
      <c r="F60" s="1082"/>
      <c r="G60" s="1246">
        <f t="shared" si="4"/>
        <v>0</v>
      </c>
      <c r="J60" s="1248"/>
      <c r="K60" s="1082"/>
      <c r="L60" s="1246">
        <f t="shared" si="5"/>
        <v>0</v>
      </c>
      <c r="N60" s="1248"/>
      <c r="P60" s="1082"/>
      <c r="Q60" s="1246">
        <f t="shared" si="6"/>
        <v>3.0937772915139664E-2</v>
      </c>
      <c r="T60" s="1248"/>
      <c r="U60" s="1082"/>
      <c r="V60" s="1246">
        <f t="shared" si="7"/>
        <v>2.6235839132238717E-2</v>
      </c>
      <c r="Y60" s="1248"/>
      <c r="Z60" s="1082"/>
      <c r="AA60" s="1246"/>
      <c r="AC60" s="1248"/>
      <c r="AD60" s="1082"/>
      <c r="AE60" s="1246"/>
      <c r="AG60" s="1248"/>
      <c r="AH60" s="1082"/>
      <c r="AI60" s="1246"/>
      <c r="AK60" s="1248"/>
      <c r="AL60" s="1082"/>
      <c r="AM60" s="1246"/>
      <c r="AO60" s="1248"/>
      <c r="AP60" s="1082"/>
      <c r="AS60" s="1090"/>
      <c r="AT60" s="1090"/>
      <c r="AX60" s="1090"/>
      <c r="AY60" s="1090"/>
    </row>
    <row r="61" spans="1:56" s="1247" customFormat="1">
      <c r="A61" s="954" t="s">
        <v>806</v>
      </c>
      <c r="B61" s="1250">
        <f>(B$32*B47)+0.0071195184866724</f>
        <v>0.39878039126421805</v>
      </c>
      <c r="C61" s="1251"/>
      <c r="D61" s="1251"/>
      <c r="E61" s="1252"/>
      <c r="F61" s="1083"/>
      <c r="G61" s="1250">
        <f>(G$32*G47)+0.0071195184866724</f>
        <v>0.47279677305311596</v>
      </c>
      <c r="H61" s="1251"/>
      <c r="I61" s="1251"/>
      <c r="J61" s="1252"/>
      <c r="K61" s="1083"/>
      <c r="L61" s="1250">
        <f>(L$32*L47)+0.0071195184866724</f>
        <v>0.442496042878114</v>
      </c>
      <c r="M61" s="1251"/>
      <c r="N61" s="1252"/>
      <c r="O61" s="1251"/>
      <c r="P61" s="1083"/>
      <c r="Q61" s="1250">
        <f>(Q$32*Q47)+0.0071195184866724</f>
        <v>0.3989979754117749</v>
      </c>
      <c r="R61" s="1251"/>
      <c r="S61" s="1251"/>
      <c r="T61" s="1252"/>
      <c r="U61" s="1083"/>
      <c r="V61" s="1250">
        <f>(V$32*V47)+0.0071195184866724</f>
        <v>0.4132456350177009</v>
      </c>
      <c r="W61" s="1251"/>
      <c r="X61" s="1251"/>
      <c r="Y61" s="1252"/>
      <c r="Z61" s="1083"/>
      <c r="AA61" s="1250">
        <f>AA$32*AA47</f>
        <v>5.364072377671272E-3</v>
      </c>
      <c r="AB61" s="1251"/>
      <c r="AC61" s="1252"/>
      <c r="AD61" s="1083"/>
      <c r="AE61" s="1250">
        <f>AE$32*AE47</f>
        <v>8.2100023529937186E-3</v>
      </c>
      <c r="AF61" s="1251"/>
      <c r="AG61" s="1252"/>
      <c r="AH61" s="1083"/>
      <c r="AI61" s="1250">
        <f>AI$32*AI47</f>
        <v>8.210002352993722E-3</v>
      </c>
      <c r="AJ61" s="1251"/>
      <c r="AK61" s="1252"/>
      <c r="AL61" s="1083"/>
      <c r="AM61" s="1250">
        <v>8.2100023529937238E-3</v>
      </c>
      <c r="AN61" s="1251"/>
      <c r="AO61" s="1252"/>
      <c r="AP61" s="1083"/>
      <c r="AS61" s="1090"/>
      <c r="AT61" s="1090"/>
      <c r="AX61" s="1090"/>
      <c r="AY61" s="1090"/>
    </row>
    <row r="62" spans="1:56" s="1247" customFormat="1">
      <c r="A62" s="1262" t="s">
        <v>1326</v>
      </c>
      <c r="B62" s="1092">
        <f>B$49*(GREET1_Import_Export!$B180* GREET1_Import_Export!$F$179+GREET1_Import_Export!$F180)+B$50*(GREET1_Import_Export!$B180* GREET1_Import_Export!$G$179+GREET1_Import_Export!$G180)+B$51*(GREET1_Import_Export!$B180* GREET1_Import_Export!$C$179+GREET1_Import_Export!$C180)+B$52*(GREET1_Import_Export!$B180* GREET1_Import_Export!$E$179+GREET1_Import_Export!$E180)+B$53*(GREET1_Import_Export!$B180* GREET1_Import_Export!$I$179+GREET1_Import_Export!$I180)+B$54*GREET1_Import_Export!$B216+B$55*GREET1_Import_Export!$B284+B$61*(GREET1_Import_Export!$B309+GREET1_Import_Export!$C309)+SUM(B$49:B$60)*10^6</f>
        <v>6764910.8942783102</v>
      </c>
      <c r="C62" s="976"/>
      <c r="E62" s="976">
        <f>E$49*(GREET1_Import_Export!$B180* GREET1_Import_Export!$F$179+GREET1_Import_Export!$F180)+E$50*(GREET1_Import_Export!$B180* GREET1_Import_Export!$G$179+GREET1_Import_Export!$G180)+E$51*(GREET1_Import_Export!$B180* GREET1_Import_Export!$D$179+GREET1_Import_Export!$D180)+E$52*(GREET1_Import_Export!$B180* GREET1_Import_Export!$E$179+GREET1_Import_Export!$E180)+E$53*(GREET1_Import_Export!$B180* GREET1_Import_Export!$I$179+GREET1_Import_Export!$I180)+E$54*GREET1_Import_Export!$B216+E$55*GREET1_Import_Export!$B284+E$61*(GREET1_Import_Export!$B309+GREET1_Import_Export!$C309)+SUM(E$49:E$57)*10^6</f>
        <v>551.15273116808794</v>
      </c>
      <c r="F62" s="969">
        <f>SUM(B$16*'GREET2_Factors_T&amp;D'!$U53*C$16, B$17*'GREET2_Factors_T&amp;D'!$T53*C$17,B$18*'GREET2_Factors_T&amp;D'!$V53*C$18)</f>
        <v>57046.07154835511</v>
      </c>
      <c r="G62" s="1092">
        <f>G$49*(GREET1_Import_Export!$B180* GREET1_Import_Export!$F$179+GREET1_Import_Export!$F180)+G$50*(GREET1_Import_Export!$B180* GREET1_Import_Export!$G$179+GREET1_Import_Export!$G180)+G$51*(GREET1_Import_Export!$B180* GREET1_Import_Export!$C$179+GREET1_Import_Export!$C180)+G$52*(GREET1_Import_Export!$B180* GREET1_Import_Export!$E$179+GREET1_Import_Export!$E180)+G$53*(GREET1_Import_Export!$B180* GREET1_Import_Export!$I$179+GREET1_Import_Export!$I180)+G$54*GREET1_Import_Export!$B216+G$55*GREET1_Import_Export!$B284+G$61*(GREET1_Import_Export!$B309+GREET1_Import_Export!$C309)+SUM(G$49:G$60)*10^6</f>
        <v>5859340.7936660321</v>
      </c>
      <c r="H62" s="976"/>
      <c r="J62" s="976">
        <f>J$49*(GREET1_Import_Export!$B180* GREET1_Import_Export!$F$179+GREET1_Import_Export!$F180)+J$50*(GREET1_Import_Export!$B180* GREET1_Import_Export!$G$179+GREET1_Import_Export!$G180)+J$51*(GREET1_Import_Export!$B180* GREET1_Import_Export!$D$179+GREET1_Import_Export!$D180)+J$52*(GREET1_Import_Export!$B180* GREET1_Import_Export!$E$179+GREET1_Import_Export!$E180)+J$53*(GREET1_Import_Export!$B180* GREET1_Import_Export!$I$179+GREET1_Import_Export!$I180)+J$54*GREET1_Import_Export!$B216+J$55*GREET1_Import_Export!$B284+J$61*(GREET1_Import_Export!$B309+GREET1_Import_Export!$C309)+SUM(J$49:J$57)*10^6</f>
        <v>551.15273116808794</v>
      </c>
      <c r="K62" s="969">
        <f>SUM(D$16*'GREET2_Factors_T&amp;D'!$U53*E$16, D$17*'GREET2_Factors_T&amp;D'!$T53*E$17,D$18*'GREET2_Factors_T&amp;D'!$V53*E$18)</f>
        <v>57046.07154835511</v>
      </c>
      <c r="L62" s="1092">
        <f>L$49*(GREET1_Import_Export!$B180* GREET1_Import_Export!$F$179+GREET1_Import_Export!$F180)+L$50*(GREET1_Import_Export!$B180* GREET1_Import_Export!$G$179+GREET1_Import_Export!$G180)+L$51*(GREET1_Import_Export!$B180* GREET1_Import_Export!$C$179+GREET1_Import_Export!$C180)+L$52*(GREET1_Import_Export!$B180* GREET1_Import_Export!$E$179+GREET1_Import_Export!$E180)+L$53*(GREET1_Import_Export!$B180* GREET1_Import_Export!$I$179+GREET1_Import_Export!$I180)+L$54*GREET1_Import_Export!$B216+L$55*GREET1_Import_Export!$B284+L$61*(GREET1_Import_Export!$B309+GREET1_Import_Export!$C309)+SUM(L$49:L$60)*10^6</f>
        <v>4528657.6046644021</v>
      </c>
      <c r="M62" s="976"/>
      <c r="N62" s="976">
        <f>N$49*(GREET1_Import_Export!$B180* GREET1_Import_Export!$F$179+GREET1_Import_Export!$F180)+N$50*(GREET1_Import_Export!$B180* GREET1_Import_Export!$G$179+GREET1_Import_Export!$G180)+N$51*(GREET1_Import_Export!$B180* GREET1_Import_Export!$D$179+GREET1_Import_Export!$D180)+N$52*(GREET1_Import_Export!$B180* GREET1_Import_Export!$E$179+GREET1_Import_Export!$E180)+N$53*(GREET1_Import_Export!$B180* GREET1_Import_Export!$I$179+GREET1_Import_Export!$I180)+N$54*GREET1_Import_Export!$B216+N$55*GREET1_Import_Export!$B284+N$61*(GREET1_Import_Export!$B309+GREET1_Import_Export!$C309)+SUM(N$49:N$57)*10^6</f>
        <v>551.15273116808794</v>
      </c>
      <c r="P62" s="969">
        <f>SUM(F$16*'GREET2_Factors_T&amp;D'!$U53*G$16, F$17*'GREET2_Factors_T&amp;D'!$T53*G$17,F$18*'GREET2_Factors_T&amp;D'!$V53*G$18)</f>
        <v>57046.07154835511</v>
      </c>
      <c r="Q62" s="1092">
        <f>Q$49*(GREET1_Import_Export!$B180* GREET1_Import_Export!$F$179+GREET1_Import_Export!$F180)+Q$50*(GREET1_Import_Export!$B180* GREET1_Import_Export!$G$179+GREET1_Import_Export!$G180)+Q$51*(GREET1_Import_Export!$B180* GREET1_Import_Export!$C$179+GREET1_Import_Export!$C180)+Q$52*(GREET1_Import_Export!$B180* GREET1_Import_Export!$E$179+GREET1_Import_Export!$E180)+Q$53*(GREET1_Import_Export!$B180* GREET1_Import_Export!$I$179+GREET1_Import_Export!$I180)+Q$54*GREET1_Import_Export!$B216+Q$55*GREET1_Import_Export!$B284+Q$61*(GREET1_Import_Export!$B309+GREET1_Import_Export!$C309)+SUM(Q$49:Q$60)*10^6</f>
        <v>4035384.827167497</v>
      </c>
      <c r="R62" s="976"/>
      <c r="T62" s="976">
        <f>T$49*(GREET1_Import_Export!$B180* GREET1_Import_Export!$F$179+GREET1_Import_Export!$F180)+T$50*(GREET1_Import_Export!$B180* GREET1_Import_Export!$G$179+GREET1_Import_Export!$G180)+T$51*(GREET1_Import_Export!$B180* GREET1_Import_Export!$D$179+GREET1_Import_Export!$D180)+T$52*(GREET1_Import_Export!$B180* GREET1_Import_Export!$E$179+GREET1_Import_Export!$E180)+T$53*(GREET1_Import_Export!$B180* GREET1_Import_Export!$I$179+GREET1_Import_Export!$I180)+T$54*GREET1_Import_Export!$B216+T$55*GREET1_Import_Export!$B284+T$61*(GREET1_Import_Export!$B309+GREET1_Import_Export!$C309)+SUM(T$49:T$57)*10^6</f>
        <v>551.15273116808794</v>
      </c>
      <c r="U62" s="969">
        <f>SUM(H$16*'GREET2_Factors_T&amp;D'!$U53*I$16, H$17*'GREET2_Factors_T&amp;D'!$T53*I$17,H$18*'GREET2_Factors_T&amp;D'!$V53*I$18)</f>
        <v>57046.07154835511</v>
      </c>
      <c r="V62" s="1092">
        <f>V$49*(GREET1_Import_Export!$B180* GREET1_Import_Export!$F$179+GREET1_Import_Export!$F180)+V$50*(GREET1_Import_Export!$B180* GREET1_Import_Export!$G$179+GREET1_Import_Export!$G180)+V$51*(GREET1_Import_Export!$B180* GREET1_Import_Export!$C$179+GREET1_Import_Export!$C180)+V$52*(GREET1_Import_Export!$B180* GREET1_Import_Export!$E$179+GREET1_Import_Export!$E180)+V$53*(GREET1_Import_Export!$B180* GREET1_Import_Export!$I$179+GREET1_Import_Export!$I180)+V$54*GREET1_Import_Export!$B216+V$55*GREET1_Import_Export!$B284+V$61*(GREET1_Import_Export!$B309+GREET1_Import_Export!$C309)+SUM(V$49:V$57)*10^6</f>
        <v>4043015.8853244837</v>
      </c>
      <c r="W62" s="976"/>
      <c r="Y62" s="976">
        <f>Y$49*(GREET1_Import_Export!$B180* GREET1_Import_Export!$F$179+GREET1_Import_Export!$F180)+Y$50*(GREET1_Import_Export!$B180* GREET1_Import_Export!$G$179+GREET1_Import_Export!$G180)+Y$51*(GREET1_Import_Export!$B180* GREET1_Import_Export!$D$179+GREET1_Import_Export!$D180)+Y$52*(GREET1_Import_Export!$B180* GREET1_Import_Export!$E$179+GREET1_Import_Export!$E180)+Y$53*(GREET1_Import_Export!$B180* GREET1_Import_Export!$I$179+GREET1_Import_Export!$I180)+Y$54*GREET1_Import_Export!$B216+Y$55*GREET1_Import_Export!$B284+Y$61*(GREET1_Import_Export!$B309+GREET1_Import_Export!$C309)+SUM(Y$49:Y$57)*10^6</f>
        <v>551.15273116808794</v>
      </c>
      <c r="Z62" s="969">
        <f t="shared" ref="Z62:Z67" si="8">(F62*$I$8)+(K62*$J$8)+(P62*$K$8)+(U62*$L$8)</f>
        <v>57046.07154835511</v>
      </c>
      <c r="AA62" s="1092">
        <f>AA$49*(GREET1_Import_Export!$B180* GREET1_Import_Export!$F$179+GREET1_Import_Export!$F180)+AA$50*(GREET1_Import_Export!$B180* GREET1_Import_Export!$G$179+GREET1_Import_Export!$G180)+AA$51*(GREET1_Import_Export!$B180* GREET1_Import_Export!$C$179+GREET1_Import_Export!$C180)+AA$52*(GREET1_Import_Export!$B180* GREET1_Import_Export!$E$179+GREET1_Import_Export!$E180)+AA$53*(GREET1_Import_Export!$B180* GREET1_Import_Export!$I$179+GREET1_Import_Export!$I180)+AA$54*GREET1_Import_Export!$B216+AA$55*GREET1_Import_Export!$B284+AA$61*(GREET1_Import_Export!$B309+GREET1_Import_Export!$C309)+SUM(AA$49:AA$57)*10^6</f>
        <v>19684.096685229826</v>
      </c>
      <c r="AB62" s="976"/>
      <c r="AC62" s="976">
        <f>AC$49*(GREET1_Import_Export!$B180* GREET1_Import_Export!$F$179+GREET1_Import_Export!$F180)+AC$50*(GREET1_Import_Export!$B180* GREET1_Import_Export!$G$179+GREET1_Import_Export!$G180)+AC$51*(GREET1_Import_Export!$B180* GREET1_Import_Export!$D$179+GREET1_Import_Export!$D180)+AC$52*(GREET1_Import_Export!$B180* GREET1_Import_Export!$E$179+GREET1_Import_Export!$E180)+AC$53*(GREET1_Import_Export!$B180* GREET1_Import_Export!$I$179+GREET1_Import_Export!$I180)+AC$54*GREET1_Import_Export!$B216+AC$55*GREET1_Import_Export!$B284+AC$61*(GREET1_Import_Export!$B309+GREET1_Import_Export!$C309)+SUM(AC$49:AC$57)*10^6</f>
        <v>2882.750306022217</v>
      </c>
      <c r="AD62" s="969">
        <f>'GREET2_Factors_T&amp;D'!W53</f>
        <v>3369.3923579917055</v>
      </c>
      <c r="AE62" s="1092">
        <f>AE$49*(GREET1_Import_Export!$B180* GREET1_Import_Export!$F$179+GREET1_Import_Export!$F180)+AE$50*(GREET1_Import_Export!$B180* GREET1_Import_Export!$G$179+GREET1_Import_Export!$G180)+AE$51*(GREET1_Import_Export!$B180* GREET1_Import_Export!$C$179+GREET1_Import_Export!$C180)+AE$52*(GREET1_Import_Export!$B180* GREET1_Import_Export!$E$179+GREET1_Import_Export!$E180)+AE$53*(GREET1_Import_Export!$B180* GREET1_Import_Export!$I$179+GREET1_Import_Export!$I180)+AE$54*GREET1_Import_Export!$B216+AE$55*GREET1_Import_Export!$B284+AE$61*(GREET1_Import_Export!$B309+GREET1_Import_Export!$C309)+SUM(AE$49:AE$57)*10^6</f>
        <v>18163.169865048214</v>
      </c>
      <c r="AF62" s="976"/>
      <c r="AG62" s="976">
        <f>AG$49*(GREET1_Import_Export!$B180* GREET1_Import_Export!$F$179+GREET1_Import_Export!$F180)+AG$50*(GREET1_Import_Export!$B180* GREET1_Import_Export!$G$179+GREET1_Import_Export!$G180)+AG$51*(GREET1_Import_Export!$B180* GREET1_Import_Export!$D$179+GREET1_Import_Export!$D180)+AG$52*(GREET1_Import_Export!$B180* GREET1_Import_Export!$E$179+GREET1_Import_Export!$E180)+AG$53*(GREET1_Import_Export!$B180* GREET1_Import_Export!$I$179+GREET1_Import_Export!$I180)+AG$54*GREET1_Import_Export!$B216+AG$55*GREET1_Import_Export!$B284+AG$61*(GREET1_Import_Export!$B309+GREET1_Import_Export!$C309)+SUM(AG$49:AG$57)*10^6</f>
        <v>12216.165089253496</v>
      </c>
      <c r="AH62" s="969">
        <f>SUM(N$16*'GREET2_Factors_T&amp;D'!$U53*O$16, N$17*'GREET2_Factors_T&amp;D'!$T53*O$17,N$18*'GREET2_Factors_T&amp;D'!$V53*O$18)</f>
        <v>9362.7789618076531</v>
      </c>
      <c r="AI62" s="1092">
        <f>AI$49*(GREET1_Import_Export!$B180* GREET1_Import_Export!$F$179+GREET1_Import_Export!$F180)+AI$50*(GREET1_Import_Export!$B180* GREET1_Import_Export!$G$179+GREET1_Import_Export!$G180)+AI$51*(GREET1_Import_Export!$B180* GREET1_Import_Export!$C$179+GREET1_Import_Export!$C180)+AI$52*(GREET1_Import_Export!$B180* GREET1_Import_Export!$E$179+GREET1_Import_Export!$E180)+AI$53*(GREET1_Import_Export!$B180* GREET1_Import_Export!$I$179+GREET1_Import_Export!$I180)+AI$54*GREET1_Import_Export!$B216+AI$55*GREET1_Import_Export!$B284+AI$61*(GREET1_Import_Export!$B309+GREET1_Import_Export!$C309)+SUM(AI$49:AI$57)*10^6</f>
        <v>18163.169865048218</v>
      </c>
      <c r="AJ62" s="976"/>
      <c r="AK62" s="976">
        <f>AK$49*(GREET1_Import_Export!$B180* GREET1_Import_Export!$F$179+GREET1_Import_Export!$F180)+AK$50*(GREET1_Import_Export!$B180* GREET1_Import_Export!$G$179+GREET1_Import_Export!$G180)+AK$51*(GREET1_Import_Export!$B180* GREET1_Import_Export!$D$179+GREET1_Import_Export!$D180)+AK$52*(GREET1_Import_Export!$B180* GREET1_Import_Export!$E$179+GREET1_Import_Export!$E180)+AK$53*(GREET1_Import_Export!$B180* GREET1_Import_Export!$I$179+GREET1_Import_Export!$I180)+AK$54*GREET1_Import_Export!$B216+AK$55*GREET1_Import_Export!$B284+AK$61*(GREET1_Import_Export!$B309+GREET1_Import_Export!$C309)+SUM(AK$49:AK$57)*10^6</f>
        <v>12216.165089253496</v>
      </c>
      <c r="AL62" s="969">
        <f>SUM(P$16*'GREET2_Factors_T&amp;D'!$U53*Q$16, P$17*'GREET2_Factors_T&amp;D'!$T53*Q$17,P$18*'GREET2_Factors_T&amp;D'!$V53*Q$18)</f>
        <v>9362.7789618076531</v>
      </c>
      <c r="AM62" s="1092">
        <f>AM$49*(GREET1_Import_Export!$B180* GREET1_Import_Export!$F$179+GREET1_Import_Export!$F180)+AM$50*(GREET1_Import_Export!$B180* GREET1_Import_Export!$G$179+GREET1_Import_Export!$G180)+AM$51*(GREET1_Import_Export!$B180* GREET1_Import_Export!$C$179+GREET1_Import_Export!$C180)+AM$52*(GREET1_Import_Export!$B180* GREET1_Import_Export!$E$179+GREET1_Import_Export!$E180)+AM$53*(GREET1_Import_Export!$B180* GREET1_Import_Export!$I$179+GREET1_Import_Export!$I180)+AM$54*GREET1_Import_Export!$B216+AM$55*GREET1_Import_Export!$B284+AM$61*(GREET1_Import_Export!$B309+GREET1_Import_Export!$C309)+SUM(AM$49:AM$57)*10^6</f>
        <v>18163.169865048221</v>
      </c>
      <c r="AN62" s="976"/>
      <c r="AO62" s="976">
        <f>AO$49*(GREET1_Import_Export!$B180* GREET1_Import_Export!$F$179+GREET1_Import_Export!$F180)+AO$50*(GREET1_Import_Export!$B180* GREET1_Import_Export!$G$179+GREET1_Import_Export!$G180)+AO$51*(GREET1_Import_Export!$B180* GREET1_Import_Export!$D$179+GREET1_Import_Export!$D180)+AO$52*(GREET1_Import_Export!$B180* GREET1_Import_Export!$E$179+GREET1_Import_Export!$E180)+AO$53*(GREET1_Import_Export!$B180* GREET1_Import_Export!$I$179+GREET1_Import_Export!$I180)+AO$54*GREET1_Import_Export!$B216+AO$55*GREET1_Import_Export!$B284+AO$61*(GREET1_Import_Export!$B309+GREET1_Import_Export!$C309)+SUM(AO$49:AO$57)*10^6</f>
        <v>12216.165089253496</v>
      </c>
      <c r="AP62" s="969">
        <f>SUM(R$16*'GREET2_Factors_T&amp;D'!$U53*S$16, R$17*'GREET2_Factors_T&amp;D'!$T53*S$17,R$18*'GREET2_Factors_T&amp;D'!$V53*S$18)</f>
        <v>42171.066228416392</v>
      </c>
      <c r="AS62" s="1090"/>
      <c r="AT62" s="1090"/>
      <c r="AX62" s="1090"/>
      <c r="AY62" s="1090"/>
    </row>
    <row r="63" spans="1:56" s="1247" customFormat="1">
      <c r="A63" s="794" t="s">
        <v>1327</v>
      </c>
      <c r="B63" s="1092">
        <f>B$49*(GREET1_Import_Export!$B181* GREET1_Import_Export!$F$179+GREET1_Import_Export!$F181)+B$50*(GREET1_Import_Export!$B181* GREET1_Import_Export!$G$179+GREET1_Import_Export!$G181)+B$51*(GREET1_Import_Export!$B181* GREET1_Import_Export!$C$179+GREET1_Import_Export!$C181)+B$52*(GREET1_Import_Export!$B181* GREET1_Import_Export!$E$179+GREET1_Import_Export!$E181)+B$53*(GREET1_Import_Export!$B181* GREET1_Import_Export!$I$179+GREET1_Import_Export!$I181)+B$54*GREET1_Import_Export!$B217+B$55*GREET1_Import_Export!$B285+B$61*(GREET1_Import_Export!$B310+GREET1_Import_Export!$C310)+SUM(B$49:B$55)*10^6</f>
        <v>3738975.362092793</v>
      </c>
      <c r="C63" s="976"/>
      <c r="E63" s="976">
        <f>E$49*(GREET1_Import_Export!$B181* GREET1_Import_Export!$F$179+GREET1_Import_Export!$F181)+E$50*(GREET1_Import_Export!$B181* GREET1_Import_Export!$G$179+GREET1_Import_Export!$G181)+E$51*(GREET1_Import_Export!$B181* GREET1_Import_Export!$D$179+GREET1_Import_Export!$D181)+E$52*(GREET1_Import_Export!$B181* GREET1_Import_Export!$E$179+GREET1_Import_Export!$E181)+E$53*(GREET1_Import_Export!$B181* GREET1_Import_Export!$I$179+GREET1_Import_Export!$I181)+E$54*GREET1_Import_Export!$B217+E$55*GREET1_Import_Export!$B285+E$61*(GREET1_Import_Export!$B310+GREET1_Import_Export!$C310)+SUM(E$49:E$55)*10^6</f>
        <v>548.49940219178984</v>
      </c>
      <c r="F63" s="969">
        <f>SUM(B$16*'GREET2_Factors_T&amp;D'!$U54*C$16, B$17*'GREET2_Factors_T&amp;D'!$T54*C$17,B$18*'GREET2_Factors_T&amp;D'!$V54*C$18)</f>
        <v>56771.589453725413</v>
      </c>
      <c r="G63" s="1092">
        <f>G$49*(GREET1_Import_Export!$B181* GREET1_Import_Export!$F$179+GREET1_Import_Export!$F181)+G$50*(GREET1_Import_Export!$B181* GREET1_Import_Export!$G$179+GREET1_Import_Export!$G181)+G$51*(GREET1_Import_Export!$B181* GREET1_Import_Export!$C$179+GREET1_Import_Export!$C181)+G$52*(GREET1_Import_Export!$B181* GREET1_Import_Export!$E$179+GREET1_Import_Export!$E181)+G$53*(GREET1_Import_Export!$B181* GREET1_Import_Export!$I$179+GREET1_Import_Export!$I181)+G$54*GREET1_Import_Export!$B217+G$55*GREET1_Import_Export!$B285+G$61*(GREET1_Import_Export!$B310+GREET1_Import_Export!$C310)+SUM(G$49:G$55)*10^6</f>
        <v>5531906.1474902816</v>
      </c>
      <c r="H63" s="976"/>
      <c r="J63" s="976">
        <f>J$49*(GREET1_Import_Export!$B181* GREET1_Import_Export!$F$179+GREET1_Import_Export!$F181)+J$50*(GREET1_Import_Export!$B181* GREET1_Import_Export!$G$179+GREET1_Import_Export!$G181)+J$51*(GREET1_Import_Export!$B181* GREET1_Import_Export!$D$179+GREET1_Import_Export!$D181)+J$52*(GREET1_Import_Export!$B181* GREET1_Import_Export!$E$179+GREET1_Import_Export!$E181)+J$53*(GREET1_Import_Export!$B181* GREET1_Import_Export!$I$179+GREET1_Import_Export!$I181)+J$54*GREET1_Import_Export!$B217+J$55*GREET1_Import_Export!$B285+J$61*(GREET1_Import_Export!$B310+GREET1_Import_Export!$C310)+SUM(J$49:J$55)*10^6</f>
        <v>548.49940219178984</v>
      </c>
      <c r="K63" s="969">
        <f>SUM(D$16*'GREET2_Factors_T&amp;D'!$U54*E$16, D$17*'GREET2_Factors_T&amp;D'!$T54*E$17,D$18*'GREET2_Factors_T&amp;D'!$V54*E$18)</f>
        <v>56771.589453725413</v>
      </c>
      <c r="L63" s="1092">
        <f>L$49*(GREET1_Import_Export!$B181* GREET1_Import_Export!$F$179+GREET1_Import_Export!$F181)+L$50*(GREET1_Import_Export!$B181* GREET1_Import_Export!$G$179+GREET1_Import_Export!$G181)+L$51*(GREET1_Import_Export!$B181* GREET1_Import_Export!$C$179+GREET1_Import_Export!$C181)+L$52*(GREET1_Import_Export!$B181* GREET1_Import_Export!$E$179+GREET1_Import_Export!$E181)+L$53*(GREET1_Import_Export!$B181* GREET1_Import_Export!$I$179+GREET1_Import_Export!$I181)+L$54*GREET1_Import_Export!$B217+L$55*GREET1_Import_Export!$B285+L$61*(GREET1_Import_Export!$B310+GREET1_Import_Export!$C310)+SUM(L$49:L$55)*10^6</f>
        <v>3852347.3519714256</v>
      </c>
      <c r="M63" s="976"/>
      <c r="N63" s="976">
        <f>N$49*(GREET1_Import_Export!$B181* GREET1_Import_Export!$F$179+GREET1_Import_Export!$F181)+N$50*(GREET1_Import_Export!$B181* GREET1_Import_Export!$G$179+GREET1_Import_Export!$G181)+N$51*(GREET1_Import_Export!$B181* GREET1_Import_Export!$D$179+GREET1_Import_Export!$D181)+N$52*(GREET1_Import_Export!$B181* GREET1_Import_Export!$E$179+GREET1_Import_Export!$E181)+N$53*(GREET1_Import_Export!$B181* GREET1_Import_Export!$I$179+GREET1_Import_Export!$I181)+N$54*GREET1_Import_Export!$B217+N$55*GREET1_Import_Export!$B285+N$61*(GREET1_Import_Export!$B310+GREET1_Import_Export!$C310)+SUM(N$49:N$55)*10^6</f>
        <v>548.49940219178984</v>
      </c>
      <c r="P63" s="969">
        <f>SUM(F$16*'GREET2_Factors_T&amp;D'!$U54*G$16, F$17*'GREET2_Factors_T&amp;D'!$T54*G$17,F$18*'GREET2_Factors_T&amp;D'!$V54*G$18)</f>
        <v>56771.589453725413</v>
      </c>
      <c r="Q63" s="1092">
        <f>Q$49*(GREET1_Import_Export!$B181* GREET1_Import_Export!$F$179+GREET1_Import_Export!$F181)+Q$50*(GREET1_Import_Export!$B181* GREET1_Import_Export!$G$179+GREET1_Import_Export!$G181)+Q$51*(GREET1_Import_Export!$B181* GREET1_Import_Export!$C$179+GREET1_Import_Export!$C181)+Q$52*(GREET1_Import_Export!$B181* GREET1_Import_Export!$E$179+GREET1_Import_Export!$E181)+Q$53*(GREET1_Import_Export!$B181* GREET1_Import_Export!$I$179+GREET1_Import_Export!$I181)+Q$54*GREET1_Import_Export!$B217+Q$55*GREET1_Import_Export!$B285+Q$61*(GREET1_Import_Export!$B310+GREET1_Import_Export!$C310)+SUM(Q$49:Q$55)*10^6</f>
        <v>3346924.1232466828</v>
      </c>
      <c r="R63" s="976"/>
      <c r="T63" s="976">
        <f>T$49*(GREET1_Import_Export!$B181* GREET1_Import_Export!$F$179+GREET1_Import_Export!$F181)+T$50*(GREET1_Import_Export!$B181* GREET1_Import_Export!$G$179+GREET1_Import_Export!$G181)+T$51*(GREET1_Import_Export!$B181* GREET1_Import_Export!$D$179+GREET1_Import_Export!$D181)+T$52*(GREET1_Import_Export!$B181* GREET1_Import_Export!$E$179+GREET1_Import_Export!$E181)+T$53*(GREET1_Import_Export!$B181* GREET1_Import_Export!$I$179+GREET1_Import_Export!$I181)+T$54*GREET1_Import_Export!$B217+T$55*GREET1_Import_Export!$B285+T$61*(GREET1_Import_Export!$B310+GREET1_Import_Export!$C310)+SUM(T$49:T$55)*10^6</f>
        <v>548.49940219178984</v>
      </c>
      <c r="U63" s="969">
        <f>SUM(H$16*'GREET2_Factors_T&amp;D'!$U54*I$16, H$17*'GREET2_Factors_T&amp;D'!$T54*I$17,H$18*'GREET2_Factors_T&amp;D'!$V54*I$18)</f>
        <v>56771.589453725413</v>
      </c>
      <c r="V63" s="1092">
        <f>V$49*(GREET1_Import_Export!$B181* GREET1_Import_Export!$F$179+GREET1_Import_Export!$F181)+V$50*(GREET1_Import_Export!$B181* GREET1_Import_Export!$G$179+GREET1_Import_Export!$G181)+V$51*(GREET1_Import_Export!$B181* GREET1_Import_Export!$C$179+GREET1_Import_Export!$C181)+V$52*(GREET1_Import_Export!$B181* GREET1_Import_Export!$E$179+GREET1_Import_Export!$E181)+V$53*(GREET1_Import_Export!$B181* GREET1_Import_Export!$I$179+GREET1_Import_Export!$I181)+V$54*GREET1_Import_Export!$B217+V$55*GREET1_Import_Export!$B285+V$61*(GREET1_Import_Export!$B310+GREET1_Import_Export!$C310)+SUM(V$49:V$55)*10^6</f>
        <v>3553989.8669719067</v>
      </c>
      <c r="W63" s="976"/>
      <c r="Y63" s="976">
        <f>Y$49*(GREET1_Import_Export!$B181* GREET1_Import_Export!$F$179+GREET1_Import_Export!$F181)+Y$50*(GREET1_Import_Export!$B181* GREET1_Import_Export!$G$179+GREET1_Import_Export!$G181)+Y$51*(GREET1_Import_Export!$B181* GREET1_Import_Export!$D$179+GREET1_Import_Export!$D181)+Y$52*(GREET1_Import_Export!$B181* GREET1_Import_Export!$E$179+GREET1_Import_Export!$E181)+Y$53*(GREET1_Import_Export!$B181* GREET1_Import_Export!$I$179+GREET1_Import_Export!$I181)+Y$54*GREET1_Import_Export!$B217+Y$55*GREET1_Import_Export!$B285+Y$61*(GREET1_Import_Export!$B310+GREET1_Import_Export!$C310)+SUM(Y$49:Y$55)*10^6</f>
        <v>548.49940219178984</v>
      </c>
      <c r="Z63" s="969">
        <f t="shared" si="8"/>
        <v>56771.589453725413</v>
      </c>
      <c r="AA63" s="1092">
        <f>AA$49*(GREET1_Import_Export!$B181* GREET1_Import_Export!$F$179+GREET1_Import_Export!$F181)+AA$50*(GREET1_Import_Export!$B181* GREET1_Import_Export!$G$179+GREET1_Import_Export!$G181)+AA$51*(GREET1_Import_Export!$B181* GREET1_Import_Export!$C$179+GREET1_Import_Export!$C181)+AA$52*(GREET1_Import_Export!$B181* GREET1_Import_Export!$E$179+GREET1_Import_Export!$E181)+AA$53*(GREET1_Import_Export!$B181* GREET1_Import_Export!$I$179+GREET1_Import_Export!$I181)+AA$54*GREET1_Import_Export!$B217+AA$55*GREET1_Import_Export!$B285+AA$61*(GREET1_Import_Export!$B310+GREET1_Import_Export!$C310)+SUM(AA$49:AA$55)*10^6</f>
        <v>17397.659014833294</v>
      </c>
      <c r="AB63" s="976"/>
      <c r="AC63" s="976">
        <f>AC$49*(GREET1_Import_Export!$B181* GREET1_Import_Export!$F$179+GREET1_Import_Export!$F181)+AC$50*(GREET1_Import_Export!$B181* GREET1_Import_Export!$G$179+GREET1_Import_Export!$G181)+AC$51*(GREET1_Import_Export!$B181* GREET1_Import_Export!$D$179+GREET1_Import_Export!$D181)+AC$52*(GREET1_Import_Export!$B181* GREET1_Import_Export!$E$179+GREET1_Import_Export!$E181)+AC$53*(GREET1_Import_Export!$B181* GREET1_Import_Export!$I$179+GREET1_Import_Export!$I181)+AC$54*GREET1_Import_Export!$B217+AC$55*GREET1_Import_Export!$B285+AC$61*(GREET1_Import_Export!$B310+GREET1_Import_Export!$C310)+SUM(AC$49:AC$55)*10^6</f>
        <v>2868.8723290371613</v>
      </c>
      <c r="AD63" s="969">
        <f>'GREET2_Factors_T&amp;D'!W54</f>
        <v>3353.171615771977</v>
      </c>
      <c r="AE63" s="1092">
        <f>AE$49*(GREET1_Import_Export!$B181* GREET1_Import_Export!$F$179+GREET1_Import_Export!$F181)+AE$50*(GREET1_Import_Export!$B181* GREET1_Import_Export!$G$179+GREET1_Import_Export!$G181)+AE$51*(GREET1_Import_Export!$B181* GREET1_Import_Export!$C$179+GREET1_Import_Export!$C181)+AE$52*(GREET1_Import_Export!$B181* GREET1_Import_Export!$E$179+GREET1_Import_Export!$E181)+AE$53*(GREET1_Import_Export!$B181* GREET1_Import_Export!$I$179+GREET1_Import_Export!$I181)+AE$54*GREET1_Import_Export!$B217+AE$55*GREET1_Import_Export!$B285+AE$61*(GREET1_Import_Export!$B310+GREET1_Import_Export!$C310)+SUM(AE$49:AE$55)*10^6</f>
        <v>14699.115939826566</v>
      </c>
      <c r="AF63" s="976"/>
      <c r="AG63" s="976">
        <f>AG$49*(GREET1_Import_Export!$B181* GREET1_Import_Export!$F$179+GREET1_Import_Export!$F181)+AG$50*(GREET1_Import_Export!$B181* GREET1_Import_Export!$G$179+GREET1_Import_Export!$G181)+AG$51*(GREET1_Import_Export!$B181* GREET1_Import_Export!$D$179+GREET1_Import_Export!$D181)+AG$52*(GREET1_Import_Export!$B181* GREET1_Import_Export!$E$179+GREET1_Import_Export!$E181)+AG$53*(GREET1_Import_Export!$B181* GREET1_Import_Export!$I$179+GREET1_Import_Export!$I181)+AG$54*GREET1_Import_Export!$B217+AG$55*GREET1_Import_Export!$B285+AG$61*(GREET1_Import_Export!$B310+GREET1_Import_Export!$C310)+SUM(AG$49:AG$55)*10^6</f>
        <v>12143.661596186606</v>
      </c>
      <c r="AH63" s="969">
        <f>SUM(N$16*'GREET2_Factors_T&amp;D'!$U54*O$16, N$17*'GREET2_Factors_T&amp;D'!$T54*O$17,N$18*'GREET2_Factors_T&amp;D'!$V54*O$18)</f>
        <v>9317.9567958824682</v>
      </c>
      <c r="AI63" s="1092">
        <f>AI$49*(GREET1_Import_Export!$B181* GREET1_Import_Export!$F$179+GREET1_Import_Export!$F181)+AI$50*(GREET1_Import_Export!$B181* GREET1_Import_Export!$G$179+GREET1_Import_Export!$G181)+AI$51*(GREET1_Import_Export!$B181* GREET1_Import_Export!$C$179+GREET1_Import_Export!$C181)+AI$52*(GREET1_Import_Export!$B181* GREET1_Import_Export!$E$179+GREET1_Import_Export!$E181)+AI$53*(GREET1_Import_Export!$B181* GREET1_Import_Export!$I$179+GREET1_Import_Export!$I181)+AI$54*GREET1_Import_Export!$B217+AI$55*GREET1_Import_Export!$B285+AI$61*(GREET1_Import_Export!$B310+GREET1_Import_Export!$C310)+SUM(AI$49:AI$55)*10^6</f>
        <v>14699.115939826566</v>
      </c>
      <c r="AJ63" s="976"/>
      <c r="AK63" s="976">
        <f>AK$49*(GREET1_Import_Export!$B181* GREET1_Import_Export!$F$179+GREET1_Import_Export!$F181)+AK$50*(GREET1_Import_Export!$B181* GREET1_Import_Export!$G$179+GREET1_Import_Export!$G181)+AK$51*(GREET1_Import_Export!$B181* GREET1_Import_Export!$D$179+GREET1_Import_Export!$D181)+AK$52*(GREET1_Import_Export!$B181* GREET1_Import_Export!$E$179+GREET1_Import_Export!$E181)+AK$53*(GREET1_Import_Export!$B181* GREET1_Import_Export!$I$179+GREET1_Import_Export!$I181)+AK$54*GREET1_Import_Export!$B217+AK$55*GREET1_Import_Export!$B285+AK$61*(GREET1_Import_Export!$B310+GREET1_Import_Export!$C310)+SUM(AK$49:AK$55)*10^6</f>
        <v>12143.661596186606</v>
      </c>
      <c r="AL63" s="969">
        <f>SUM(P$16*'GREET2_Factors_T&amp;D'!$U54*Q$16, P$17*'GREET2_Factors_T&amp;D'!$T54*Q$17,P$18*'GREET2_Factors_T&amp;D'!$V54*Q$18)</f>
        <v>9317.9567958824682</v>
      </c>
      <c r="AM63" s="1092">
        <f>AM$49*(GREET1_Import_Export!$B181* GREET1_Import_Export!$F$179+GREET1_Import_Export!$F181)+AM$50*(GREET1_Import_Export!$B181* GREET1_Import_Export!$G$179+GREET1_Import_Export!$G181)+AM$51*(GREET1_Import_Export!$B181* GREET1_Import_Export!$C$179+GREET1_Import_Export!$C181)+AM$52*(GREET1_Import_Export!$B181* GREET1_Import_Export!$E$179+GREET1_Import_Export!$E181)+AM$53*(GREET1_Import_Export!$B181* GREET1_Import_Export!$I$179+GREET1_Import_Export!$I181)+AM$54*GREET1_Import_Export!$B217+AM$55*GREET1_Import_Export!$B285+AM$61*(GREET1_Import_Export!$B310+GREET1_Import_Export!$C310)+SUM(AM$49:AM$55)*10^6</f>
        <v>14699.115939826572</v>
      </c>
      <c r="AN63" s="976"/>
      <c r="AO63" s="976">
        <f>AO$49*(GREET1_Import_Export!$B181* GREET1_Import_Export!$F$179+GREET1_Import_Export!$F181)+AO$50*(GREET1_Import_Export!$B181* GREET1_Import_Export!$G$179+GREET1_Import_Export!$G181)+AO$51*(GREET1_Import_Export!$B181* GREET1_Import_Export!$D$179+GREET1_Import_Export!$D181)+AO$52*(GREET1_Import_Export!$B181* GREET1_Import_Export!$E$179+GREET1_Import_Export!$E181)+AO$53*(GREET1_Import_Export!$B181* GREET1_Import_Export!$I$179+GREET1_Import_Export!$I181)+AO$54*GREET1_Import_Export!$B217+AO$55*GREET1_Import_Export!$B285+AO$61*(GREET1_Import_Export!$B310+GREET1_Import_Export!$C310)+SUM(AO$49:AO$55)*10^6</f>
        <v>12143.661596186606</v>
      </c>
      <c r="AP63" s="969">
        <f>SUM(R$16*'GREET2_Factors_T&amp;D'!$U54*S$16, R$17*'GREET2_Factors_T&amp;D'!$T54*S$17,R$18*'GREET2_Factors_T&amp;D'!$V54*S$18)</f>
        <v>41968.405146840079</v>
      </c>
      <c r="AS63" s="1090"/>
      <c r="AT63" s="1090"/>
      <c r="AX63" s="1090"/>
      <c r="AY63" s="1090"/>
    </row>
    <row r="64" spans="1:56" s="1247" customFormat="1">
      <c r="A64" s="794" t="s">
        <v>1328</v>
      </c>
      <c r="B64" s="1092">
        <f>B$49*(GREET1_Import_Export!$B182* GREET1_Import_Export!$F$179+GREET1_Import_Export!$F182)+B$50*(GREET1_Import_Export!$B182* GREET1_Import_Export!$G$179+GREET1_Import_Export!$G182)+B$51*(GREET1_Import_Export!$B182* GREET1_Import_Export!$C$179+GREET1_Import_Export!$C182)+B$52*(GREET1_Import_Export!$B182* GREET1_Import_Export!$E$179+GREET1_Import_Export!$E182)+B$53*(GREET1_Import_Export!$B182* GREET1_Import_Export!$I$179+GREET1_Import_Export!$I182)+B$54*GREET1_Import_Export!$B218+B$55*GREET1_Import_Export!$B286+B$61*(GREET1_Import_Export!$B311+GREET1_Import_Export!$C311)+B$55*10^6</f>
        <v>1528152.5616623729</v>
      </c>
      <c r="C64" s="976"/>
      <c r="E64" s="976">
        <f>E$49*(GREET1_Import_Export!$B182* GREET1_Import_Export!$F$179+GREET1_Import_Export!$F182)+E$50*(GREET1_Import_Export!$B182* GREET1_Import_Export!$G$179+GREET1_Import_Export!$G182)+E$51*(GREET1_Import_Export!$B182* GREET1_Import_Export!$D$179+GREET1_Import_Export!$D182)+E$52*(GREET1_Import_Export!$B182* GREET1_Import_Export!$E$179+GREET1_Import_Export!$E182)+E$53*(GREET1_Import_Export!$B182* GREET1_Import_Export!$I$179+GREET1_Import_Export!$I182)+E$54*GREET1_Import_Export!$B218+E$55*GREET1_Import_Export!$B286+E$61*(GREET1_Import_Export!$B311+GREET1_Import_Export!$C311)+E$55*10^6</f>
        <v>3.3685924509434781</v>
      </c>
      <c r="F64" s="969">
        <f>SUM(B$16*'GREET2_Factors_T&amp;D'!$U55*C$16, B$17*'GREET2_Factors_T&amp;D'!$T55*C$17,B$18*'GREET2_Factors_T&amp;D'!$V55*C$18)</f>
        <v>348.46444696027305</v>
      </c>
      <c r="G64" s="1092">
        <f>G$49*(GREET1_Import_Export!$B182* GREET1_Import_Export!$F$179+GREET1_Import_Export!$F182)+G$50*(GREET1_Import_Export!$B182* GREET1_Import_Export!$G$179+GREET1_Import_Export!$G182)+G$51*(GREET1_Import_Export!$B182* GREET1_Import_Export!$C$179+GREET1_Import_Export!$C182)+G$52*(GREET1_Import_Export!$B182* GREET1_Import_Export!$E$179+GREET1_Import_Export!$E182)+G$53*(GREET1_Import_Export!$B182* GREET1_Import_Export!$I$179+GREET1_Import_Export!$I182)+G$54*GREET1_Import_Export!$B218+G$55*GREET1_Import_Export!$B286+G$61*(GREET1_Import_Export!$B311+GREET1_Import_Export!$C311)+G$55*10^6</f>
        <v>1206674.3535974687</v>
      </c>
      <c r="H64" s="976"/>
      <c r="J64" s="976">
        <f>J$49*(GREET1_Import_Export!$B182* GREET1_Import_Export!$F$179+GREET1_Import_Export!$F182)+J$50*(GREET1_Import_Export!$B182* GREET1_Import_Export!$G$179+GREET1_Import_Export!$G182)+J$51*(GREET1_Import_Export!$B182* GREET1_Import_Export!$D$179+GREET1_Import_Export!$D182)+J$52*(GREET1_Import_Export!$B182* GREET1_Import_Export!$E$179+GREET1_Import_Export!$E182)+J$53*(GREET1_Import_Export!$B182* GREET1_Import_Export!$I$179+GREET1_Import_Export!$I182)+J$54*GREET1_Import_Export!$B218+J$55*GREET1_Import_Export!$B286+J$61*(GREET1_Import_Export!$B311+GREET1_Import_Export!$C311)+J$55*10^6</f>
        <v>3.3685924509434781</v>
      </c>
      <c r="K64" s="969">
        <f>SUM(D$16*'GREET2_Factors_T&amp;D'!$U55*E$16, D$17*'GREET2_Factors_T&amp;D'!$T55*E$17,D$18*'GREET2_Factors_T&amp;D'!$V55*E$18)</f>
        <v>348.46444696027305</v>
      </c>
      <c r="L64" s="1092">
        <f>L$49*(GREET1_Import_Export!$B182* GREET1_Import_Export!$F$179+GREET1_Import_Export!$F182)+L$50*(GREET1_Import_Export!$B182* GREET1_Import_Export!$G$179+GREET1_Import_Export!$G182)+L$51*(GREET1_Import_Export!$B182* GREET1_Import_Export!$C$179+GREET1_Import_Export!$C182)+L$52*(GREET1_Import_Export!$B182* GREET1_Import_Export!$E$179+GREET1_Import_Export!$E182)+L$53*(GREET1_Import_Export!$B182* GREET1_Import_Export!$I$179+GREET1_Import_Export!$I182)+L$54*GREET1_Import_Export!$B218+L$55*GREET1_Import_Export!$B286+L$61*(GREET1_Import_Export!$B311+GREET1_Import_Export!$C311)+L$55*10^6</f>
        <v>2021423.9824362874</v>
      </c>
      <c r="M64" s="976"/>
      <c r="N64" s="976">
        <f>N$49*(GREET1_Import_Export!$B182* GREET1_Import_Export!$F$179+GREET1_Import_Export!$F182)+N$50*(GREET1_Import_Export!$B182* GREET1_Import_Export!$G$179+GREET1_Import_Export!$G182)+N$51*(GREET1_Import_Export!$B182* GREET1_Import_Export!$D$179+GREET1_Import_Export!$D182)+N$52*(GREET1_Import_Export!$B182* GREET1_Import_Export!$E$179+GREET1_Import_Export!$E182)+N$53*(GREET1_Import_Export!$B182* GREET1_Import_Export!$I$179+GREET1_Import_Export!$I182)+N$54*GREET1_Import_Export!$B218+N$55*GREET1_Import_Export!$B286+N$61*(GREET1_Import_Export!$B311+GREET1_Import_Export!$C311)+N$55*10^6</f>
        <v>3.3685924509434781</v>
      </c>
      <c r="P64" s="969">
        <f>SUM(F$16*'GREET2_Factors_T&amp;D'!$U55*G$16, F$17*'GREET2_Factors_T&amp;D'!$T55*G$17,F$18*'GREET2_Factors_T&amp;D'!$V55*G$18)</f>
        <v>348.46444696027305</v>
      </c>
      <c r="Q64" s="1092">
        <f>Q$49*(GREET1_Import_Export!$B182* GREET1_Import_Export!$F$179+GREET1_Import_Export!$F182)+Q$50*(GREET1_Import_Export!$B182* GREET1_Import_Export!$G$179+GREET1_Import_Export!$G182)+Q$51*(GREET1_Import_Export!$B182* GREET1_Import_Export!$C$179+GREET1_Import_Export!$C182)+Q$52*(GREET1_Import_Export!$B182* GREET1_Import_Export!$E$179+GREET1_Import_Export!$E182)+Q$53*(GREET1_Import_Export!$B182* GREET1_Import_Export!$I$179+GREET1_Import_Export!$I182)+Q$54*GREET1_Import_Export!$B218+Q$55*GREET1_Import_Export!$B286+Q$61*(GREET1_Import_Export!$B311+GREET1_Import_Export!$C311)+Q$55*10^6</f>
        <v>1635127.0332945201</v>
      </c>
      <c r="R64" s="976"/>
      <c r="T64" s="976">
        <f>T$49*(GREET1_Import_Export!$B182* GREET1_Import_Export!$F$179+GREET1_Import_Export!$F182)+T$50*(GREET1_Import_Export!$B182* GREET1_Import_Export!$G$179+GREET1_Import_Export!$G182)+T$51*(GREET1_Import_Export!$B182* GREET1_Import_Export!$D$179+GREET1_Import_Export!$D182)+T$52*(GREET1_Import_Export!$B182* GREET1_Import_Export!$E$179+GREET1_Import_Export!$E182)+T$53*(GREET1_Import_Export!$B182* GREET1_Import_Export!$I$179+GREET1_Import_Export!$I182)+T$54*GREET1_Import_Export!$B218+T$55*GREET1_Import_Export!$B286+T$61*(GREET1_Import_Export!$B311+GREET1_Import_Export!$C311)+T$55*10^6</f>
        <v>3.3685924509434781</v>
      </c>
      <c r="U64" s="969">
        <f>SUM(H$16*'GREET2_Factors_T&amp;D'!$U55*I$16, H$17*'GREET2_Factors_T&amp;D'!$T55*I$17,H$18*'GREET2_Factors_T&amp;D'!$V55*I$18)</f>
        <v>348.46444696027305</v>
      </c>
      <c r="V64" s="1092">
        <f>V$49*(GREET1_Import_Export!$B182* GREET1_Import_Export!$F$179+GREET1_Import_Export!$F182)+V$50*(GREET1_Import_Export!$B182* GREET1_Import_Export!$G$179+GREET1_Import_Export!$G182)+V$51*(GREET1_Import_Export!$B182* GREET1_Import_Export!$C$179+GREET1_Import_Export!$C182)+V$52*(GREET1_Import_Export!$B182* GREET1_Import_Export!$E$179+GREET1_Import_Export!$E182)+V$53*(GREET1_Import_Export!$B182* GREET1_Import_Export!$I$179+GREET1_Import_Export!$I182)+V$54*GREET1_Import_Export!$B218+V$55*GREET1_Import_Export!$B286+V$61*(GREET1_Import_Export!$B311+GREET1_Import_Export!$C311)+V$55*10^6</f>
        <v>1685702.9752492588</v>
      </c>
      <c r="W64" s="976"/>
      <c r="Y64" s="976">
        <f>Y$49*(GREET1_Import_Export!$B182* GREET1_Import_Export!$F$179+GREET1_Import_Export!$F182)+Y$50*(GREET1_Import_Export!$B182* GREET1_Import_Export!$G$179+GREET1_Import_Export!$G182)+Y$51*(GREET1_Import_Export!$B182* GREET1_Import_Export!$D$179+GREET1_Import_Export!$D182)+Y$52*(GREET1_Import_Export!$B182* GREET1_Import_Export!$E$179+GREET1_Import_Export!$E182)+Y$53*(GREET1_Import_Export!$B182* GREET1_Import_Export!$I$179+GREET1_Import_Export!$I182)+Y$54*GREET1_Import_Export!$B218+Y$55*GREET1_Import_Export!$B286+Y$61*(GREET1_Import_Export!$B311+GREET1_Import_Export!$C311)+Y$55*10^6</f>
        <v>3.3685924509434781</v>
      </c>
      <c r="Z64" s="969">
        <f t="shared" si="8"/>
        <v>348.46444696027305</v>
      </c>
      <c r="AA64" s="1092">
        <f>AA$49*(GREET1_Import_Export!$B182* GREET1_Import_Export!$F$179+GREET1_Import_Export!$F182)+AA$50*(GREET1_Import_Export!$B182* GREET1_Import_Export!$G$179+GREET1_Import_Export!$G182)+AA$51*(GREET1_Import_Export!$B182* GREET1_Import_Export!$C$179+GREET1_Import_Export!$C182)+AA$52*(GREET1_Import_Export!$B182* GREET1_Import_Export!$E$179+GREET1_Import_Export!$E182)+AA$53*(GREET1_Import_Export!$B182* GREET1_Import_Export!$I$179+GREET1_Import_Export!$I182)+AA$54*GREET1_Import_Export!$B218+AA$55*GREET1_Import_Export!$B286+AA$61*(GREET1_Import_Export!$B311+GREET1_Import_Export!$C311)+AA$55*10^6</f>
        <v>3021.4018831121275</v>
      </c>
      <c r="AB64" s="976"/>
      <c r="AC64" s="976">
        <f>AC$49*(GREET1_Import_Export!$B182* GREET1_Import_Export!$F$179+GREET1_Import_Export!$F182)+AC$50*(GREET1_Import_Export!$B182* GREET1_Import_Export!$G$179+GREET1_Import_Export!$G182)+AC$51*(GREET1_Import_Export!$B182* GREET1_Import_Export!$D$179+GREET1_Import_Export!$D182)+AC$52*(GREET1_Import_Export!$B182* GREET1_Import_Export!$E$179+GREET1_Import_Export!$E182)+AC$53*(GREET1_Import_Export!$B182* GREET1_Import_Export!$I$179+GREET1_Import_Export!$I182)+AC$54*GREET1_Import_Export!$B218+AC$55*GREET1_Import_Export!$B286+AC$61*(GREET1_Import_Export!$B311+GREET1_Import_Export!$C311)+AC$55*10^6</f>
        <v>17.619092439659678</v>
      </c>
      <c r="AD64" s="969">
        <f>'GREET2_Factors_T&amp;D'!W55</f>
        <v>20.593401827734031</v>
      </c>
      <c r="AE64" s="1092">
        <f>AE$49*(GREET1_Import_Export!$B182* GREET1_Import_Export!$F$179+GREET1_Import_Export!$F182)+AE$50*(GREET1_Import_Export!$B182* GREET1_Import_Export!$G$179+GREET1_Import_Export!$G182)+AE$51*(GREET1_Import_Export!$B182* GREET1_Import_Export!$C$179+GREET1_Import_Export!$C182)+AE$52*(GREET1_Import_Export!$B182* GREET1_Import_Export!$E$179+GREET1_Import_Export!$E182)+AE$53*(GREET1_Import_Export!$B182* GREET1_Import_Export!$I$179+GREET1_Import_Export!$I182)+AE$54*GREET1_Import_Export!$B218+AE$55*GREET1_Import_Export!$B286+AE$61*(GREET1_Import_Export!$B311+GREET1_Import_Export!$C311)+AE$55*10^6</f>
        <v>4579.2128260190411</v>
      </c>
      <c r="AF64" s="976"/>
      <c r="AG64" s="976">
        <f>AG$49*(GREET1_Import_Export!$B182* GREET1_Import_Export!$F$179+GREET1_Import_Export!$F182)+AG$50*(GREET1_Import_Export!$B182* GREET1_Import_Export!$G$179+GREET1_Import_Export!$G182)+AG$51*(GREET1_Import_Export!$B182* GREET1_Import_Export!$D$179+GREET1_Import_Export!$D182)+AG$52*(GREET1_Import_Export!$B182* GREET1_Import_Export!$E$179+GREET1_Import_Export!$E182)+AG$53*(GREET1_Import_Export!$B182* GREET1_Import_Export!$I$179+GREET1_Import_Export!$I182)+AG$54*GREET1_Import_Export!$B218+AG$55*GREET1_Import_Export!$B286+AG$61*(GREET1_Import_Export!$B311+GREET1_Import_Export!$C311)+AG$55*10^6</f>
        <v>74.71158893238163</v>
      </c>
      <c r="AH64" s="969">
        <f>SUM(N$16*'GREET2_Factors_T&amp;D'!$U55*O$16, N$17*'GREET2_Factors_T&amp;D'!$T55*O$17,N$18*'GREET2_Factors_T&amp;D'!$V55*O$18)</f>
        <v>56.887105278427242</v>
      </c>
      <c r="AI64" s="1092">
        <f>AI$49*(GREET1_Import_Export!$B182* GREET1_Import_Export!$F$179+GREET1_Import_Export!$F182)+AI$50*(GREET1_Import_Export!$B182* GREET1_Import_Export!$G$179+GREET1_Import_Export!$G182)+AI$51*(GREET1_Import_Export!$B182* GREET1_Import_Export!$C$179+GREET1_Import_Export!$C182)+AI$52*(GREET1_Import_Export!$B182* GREET1_Import_Export!$E$179+GREET1_Import_Export!$E182)+AI$53*(GREET1_Import_Export!$B182* GREET1_Import_Export!$I$179+GREET1_Import_Export!$I182)+AI$54*GREET1_Import_Export!$B218+AI$55*GREET1_Import_Export!$B286+AI$61*(GREET1_Import_Export!$B311+GREET1_Import_Export!$C311)+AI$55*10^6</f>
        <v>4579.212826019043</v>
      </c>
      <c r="AJ64" s="976"/>
      <c r="AK64" s="976">
        <f>AK$49*(GREET1_Import_Export!$B182* GREET1_Import_Export!$F$179+GREET1_Import_Export!$F182)+AK$50*(GREET1_Import_Export!$B182* GREET1_Import_Export!$G$179+GREET1_Import_Export!$G182)+AK$51*(GREET1_Import_Export!$B182* GREET1_Import_Export!$D$179+GREET1_Import_Export!$D182)+AK$52*(GREET1_Import_Export!$B182* GREET1_Import_Export!$E$179+GREET1_Import_Export!$E182)+AK$53*(GREET1_Import_Export!$B182* GREET1_Import_Export!$I$179+GREET1_Import_Export!$I182)+AK$54*GREET1_Import_Export!$B218+AK$55*GREET1_Import_Export!$B286+AK$61*(GREET1_Import_Export!$B311+GREET1_Import_Export!$C311)+AK$55*10^6</f>
        <v>74.71158893238163</v>
      </c>
      <c r="AL64" s="969">
        <f>SUM(P$16*'GREET2_Factors_T&amp;D'!$U55*Q$16, P$17*'GREET2_Factors_T&amp;D'!$T55*Q$17,P$18*'GREET2_Factors_T&amp;D'!$V55*Q$18)</f>
        <v>56.887105278427242</v>
      </c>
      <c r="AM64" s="1092">
        <f>AM$49*(GREET1_Import_Export!$B182* GREET1_Import_Export!$F$179+GREET1_Import_Export!$F182)+AM$50*(GREET1_Import_Export!$B182* GREET1_Import_Export!$G$179+GREET1_Import_Export!$G182)+AM$51*(GREET1_Import_Export!$B182* GREET1_Import_Export!$C$179+GREET1_Import_Export!$C182)+AM$52*(GREET1_Import_Export!$B182* GREET1_Import_Export!$E$179+GREET1_Import_Export!$E182)+AM$53*(GREET1_Import_Export!$B182* GREET1_Import_Export!$I$179+GREET1_Import_Export!$I182)+AM$54*GREET1_Import_Export!$B218+AM$55*GREET1_Import_Export!$B286+AM$61*(GREET1_Import_Export!$B311+GREET1_Import_Export!$C311)+AM$55*10^6</f>
        <v>4579.2128260190439</v>
      </c>
      <c r="AN64" s="976"/>
      <c r="AO64" s="976">
        <f>AO$49*(GREET1_Import_Export!$B182* GREET1_Import_Export!$F$179+GREET1_Import_Export!$F182)+AO$50*(GREET1_Import_Export!$B182* GREET1_Import_Export!$G$179+GREET1_Import_Export!$G182)+AO$51*(GREET1_Import_Export!$B182* GREET1_Import_Export!$D$179+GREET1_Import_Export!$D182)+AO$52*(GREET1_Import_Export!$B182* GREET1_Import_Export!$E$179+GREET1_Import_Export!$E182)+AO$53*(GREET1_Import_Export!$B182* GREET1_Import_Export!$I$179+GREET1_Import_Export!$I182)+AO$54*GREET1_Import_Export!$B218+AO$55*GREET1_Import_Export!$B286+AO$61*(GREET1_Import_Export!$B311+GREET1_Import_Export!$C311)+AO$55*10^6</f>
        <v>74.71158893238163</v>
      </c>
      <c r="AP64" s="969">
        <f>SUM(R$16*'GREET2_Factors_T&amp;D'!$U55*S$16, R$17*'GREET2_Factors_T&amp;D'!$T55*S$17,R$18*'GREET2_Factors_T&amp;D'!$V55*S$18)</f>
        <v>257.26753891517905</v>
      </c>
      <c r="AS64" s="1090"/>
      <c r="AT64" s="1090"/>
      <c r="AX64" s="1090"/>
      <c r="AY64" s="1090"/>
    </row>
    <row r="65" spans="1:51" s="1247" customFormat="1">
      <c r="A65" s="794" t="s">
        <v>1329</v>
      </c>
      <c r="B65" s="1092">
        <f>B$49*(GREET1_Import_Export!$B183* GREET1_Import_Export!$F$179+GREET1_Import_Export!$F183)+B$50*(GREET1_Import_Export!$B183* GREET1_Import_Export!$G$179+GREET1_Import_Export!$G183)+B$51*(GREET1_Import_Export!$B183* GREET1_Import_Export!$C$179+GREET1_Import_Export!$C183)+B$52*(GREET1_Import_Export!$B183* GREET1_Import_Export!$E$179+GREET1_Import_Export!$E183)+B$53*(GREET1_Import_Export!$B183* GREET1_Import_Export!$I$179+GREET1_Import_Export!$I183)+B$54*GREET1_Import_Export!$B219+B$55*GREET1_Import_Export!$B287+B$61*(GREET1_Import_Export!$B312+GREET1_Import_Export!$C312)+B$54*10^6</f>
        <v>1266273.9902750184</v>
      </c>
      <c r="C65" s="976"/>
      <c r="E65" s="976">
        <f>E$49*(GREET1_Import_Export!$B183* GREET1_Import_Export!$F$179+GREET1_Import_Export!$F183)+E$50*(GREET1_Import_Export!$B183* GREET1_Import_Export!$G$179+GREET1_Import_Export!$G183)+E$51*(GREET1_Import_Export!$B183* GREET1_Import_Export!$D$179+GREET1_Import_Export!$D183)+E$52*(GREET1_Import_Export!$B183* GREET1_Import_Export!$E$179+GREET1_Import_Export!$E183)+E$53*(GREET1_Import_Export!$B183* GREET1_Import_Export!$I$179+GREET1_Import_Export!$I183)+E$54*GREET1_Import_Export!$B219+E$55*GREET1_Import_Export!$B287+E$61*(GREET1_Import_Export!$B312+GREET1_Import_Export!$C312)+E$54*10^6</f>
        <v>57.446726199688669</v>
      </c>
      <c r="F65" s="969">
        <f>SUM(B$16*'GREET2_Factors_T&amp;D'!$U56*C$16, B$17*'GREET2_Factors_T&amp;D'!$T56*C$17,B$18*'GREET2_Factors_T&amp;D'!$V56*C$18)</f>
        <v>5936.7098157031569</v>
      </c>
      <c r="G65" s="1092">
        <f>G$49*(GREET1_Import_Export!$B183* GREET1_Import_Export!$F$179+GREET1_Import_Export!$F183)+G$50*(GREET1_Import_Export!$B183* GREET1_Import_Export!$G$179+GREET1_Import_Export!$G183)+G$51*(GREET1_Import_Export!$B183* GREET1_Import_Export!$C$179+GREET1_Import_Export!$C183)+G$52*(GREET1_Import_Export!$B183* GREET1_Import_Export!$E$179+GREET1_Import_Export!$E183)+G$53*(GREET1_Import_Export!$B183* GREET1_Import_Export!$I$179+GREET1_Import_Export!$I183)+G$54*GREET1_Import_Export!$B219+G$55*GREET1_Import_Export!$B287+G$61*(GREET1_Import_Export!$B312+GREET1_Import_Export!$C312)+G$54*10^6</f>
        <v>1079356.7540378831</v>
      </c>
      <c r="H65" s="976"/>
      <c r="J65" s="976">
        <f>J$49*(GREET1_Import_Export!$B183* GREET1_Import_Export!$F$179+GREET1_Import_Export!$F183)+J$50*(GREET1_Import_Export!$B183* GREET1_Import_Export!$G$179+GREET1_Import_Export!$G183)+J$51*(GREET1_Import_Export!$B183* GREET1_Import_Export!$D$179+GREET1_Import_Export!$D183)+J$52*(GREET1_Import_Export!$B183* GREET1_Import_Export!$E$179+GREET1_Import_Export!$E183)+J$53*(GREET1_Import_Export!$B183* GREET1_Import_Export!$I$179+GREET1_Import_Export!$I183)+J$54*GREET1_Import_Export!$B219+J$55*GREET1_Import_Export!$B287+J$61*(GREET1_Import_Export!$B312+GREET1_Import_Export!$C312)+J$54*10^6</f>
        <v>57.446726199688669</v>
      </c>
      <c r="K65" s="969">
        <f>SUM(D$16*'GREET2_Factors_T&amp;D'!$U56*E$16, D$17*'GREET2_Factors_T&amp;D'!$T56*E$17,D$18*'GREET2_Factors_T&amp;D'!$V56*E$18)</f>
        <v>5936.7098157031569</v>
      </c>
      <c r="L65" s="1092">
        <f>L$49*(GREET1_Import_Export!$B183* GREET1_Import_Export!$F$179+GREET1_Import_Export!$F183)+L$50*(GREET1_Import_Export!$B183* GREET1_Import_Export!$G$179+GREET1_Import_Export!$G183)+L$51*(GREET1_Import_Export!$B183* GREET1_Import_Export!$C$179+GREET1_Import_Export!$C183)+L$52*(GREET1_Import_Export!$B183* GREET1_Import_Export!$E$179+GREET1_Import_Export!$E183)+L$53*(GREET1_Import_Export!$B183* GREET1_Import_Export!$I$179+GREET1_Import_Export!$I183)+L$54*GREET1_Import_Export!$B219+L$55*GREET1_Import_Export!$B287+L$61*(GREET1_Import_Export!$B312+GREET1_Import_Export!$C312)+L$54*10^6</f>
        <v>1440927.8128081514</v>
      </c>
      <c r="M65" s="976"/>
      <c r="N65" s="976">
        <f>N$49*(GREET1_Import_Export!$B183* GREET1_Import_Export!$F$179+GREET1_Import_Export!$F183)+N$50*(GREET1_Import_Export!$B183* GREET1_Import_Export!$G$179+GREET1_Import_Export!$G183)+N$51*(GREET1_Import_Export!$B183* GREET1_Import_Export!$D$179+GREET1_Import_Export!$D183)+N$52*(GREET1_Import_Export!$B183* GREET1_Import_Export!$E$179+GREET1_Import_Export!$E183)+N$53*(GREET1_Import_Export!$B183* GREET1_Import_Export!$I$179+GREET1_Import_Export!$I183)+N$54*GREET1_Import_Export!$B219+N$55*GREET1_Import_Export!$B287+N$61*(GREET1_Import_Export!$B312+GREET1_Import_Export!$C312)+N$54*10^6</f>
        <v>57.446726199688669</v>
      </c>
      <c r="P65" s="969">
        <f>SUM(F$16*'GREET2_Factors_T&amp;D'!$U56*G$16, F$17*'GREET2_Factors_T&amp;D'!$T56*G$17,F$18*'GREET2_Factors_T&amp;D'!$V56*G$18)</f>
        <v>5936.7098157031569</v>
      </c>
      <c r="Q65" s="1092">
        <f>Q$49*(GREET1_Import_Export!$B183* GREET1_Import_Export!$F$179+GREET1_Import_Export!$F183)+Q$50*(GREET1_Import_Export!$B183* GREET1_Import_Export!$G$179+GREET1_Import_Export!$G183)+Q$51*(GREET1_Import_Export!$B183* GREET1_Import_Export!$C$179+GREET1_Import_Export!$C183)+Q$52*(GREET1_Import_Export!$B183* GREET1_Import_Export!$E$179+GREET1_Import_Export!$E183)+Q$53*(GREET1_Import_Export!$B183* GREET1_Import_Export!$I$179+GREET1_Import_Export!$I183)+Q$54*GREET1_Import_Export!$B219+Q$55*GREET1_Import_Export!$B287+Q$61*(GREET1_Import_Export!$B312+GREET1_Import_Export!$C312)+Q$54*10^6</f>
        <v>1055284.0390863968</v>
      </c>
      <c r="R65" s="976"/>
      <c r="T65" s="976">
        <f>T$49*(GREET1_Import_Export!$B183* GREET1_Import_Export!$F$179+GREET1_Import_Export!$F183)+T$50*(GREET1_Import_Export!$B183* GREET1_Import_Export!$G$179+GREET1_Import_Export!$G183)+T$51*(GREET1_Import_Export!$B183* GREET1_Import_Export!$D$179+GREET1_Import_Export!$D183)+T$52*(GREET1_Import_Export!$B183* GREET1_Import_Export!$E$179+GREET1_Import_Export!$E183)+T$53*(GREET1_Import_Export!$B183* GREET1_Import_Export!$I$179+GREET1_Import_Export!$I183)+T$54*GREET1_Import_Export!$B219+T$55*GREET1_Import_Export!$B287+T$61*(GREET1_Import_Export!$B312+GREET1_Import_Export!$C312)+T$54*10^6</f>
        <v>57.446726199688669</v>
      </c>
      <c r="U65" s="969">
        <f>SUM(H$16*'GREET2_Factors_T&amp;D'!$U56*I$16, H$17*'GREET2_Factors_T&amp;D'!$T56*I$17,H$18*'GREET2_Factors_T&amp;D'!$V56*I$18)</f>
        <v>5936.7098157031569</v>
      </c>
      <c r="V65" s="1092">
        <f>V$49*(GREET1_Import_Export!$B183* GREET1_Import_Export!$F$179+GREET1_Import_Export!$F183)+V$50*(GREET1_Import_Export!$B183* GREET1_Import_Export!$G$179+GREET1_Import_Export!$G183)+V$51*(GREET1_Import_Export!$B183* GREET1_Import_Export!$C$179+GREET1_Import_Export!$C183)+V$52*(GREET1_Import_Export!$B183* GREET1_Import_Export!$E$179+GREET1_Import_Export!$E183)+V$53*(GREET1_Import_Export!$B183* GREET1_Import_Export!$I$179+GREET1_Import_Export!$I183)+V$54*GREET1_Import_Export!$B219+V$55*GREET1_Import_Export!$B287+V$61*(GREET1_Import_Export!$B312+GREET1_Import_Export!$C312)+V$54*10^6</f>
        <v>1120608.8228087211</v>
      </c>
      <c r="W65" s="976"/>
      <c r="Y65" s="976">
        <f>Y$49*(GREET1_Import_Export!$B183* GREET1_Import_Export!$F$179+GREET1_Import_Export!$F183)+Y$50*(GREET1_Import_Export!$B183* GREET1_Import_Export!$G$179+GREET1_Import_Export!$G183)+Y$51*(GREET1_Import_Export!$B183* GREET1_Import_Export!$D$179+GREET1_Import_Export!$D183)+Y$52*(GREET1_Import_Export!$B183* GREET1_Import_Export!$E$179+GREET1_Import_Export!$E183)+Y$53*(GREET1_Import_Export!$B183* GREET1_Import_Export!$I$179+GREET1_Import_Export!$I183)+Y$54*GREET1_Import_Export!$B219+Y$55*GREET1_Import_Export!$B287+Y$61*(GREET1_Import_Export!$B312+GREET1_Import_Export!$C312)+Y$54*10^6</f>
        <v>57.446726199688669</v>
      </c>
      <c r="Z65" s="969">
        <f t="shared" si="8"/>
        <v>5936.7098157031578</v>
      </c>
      <c r="AA65" s="1092">
        <f>AA$49*(GREET1_Import_Export!$B183* GREET1_Import_Export!$F$179+GREET1_Import_Export!$F183)+AA$50*(GREET1_Import_Export!$B183* GREET1_Import_Export!$G$179+GREET1_Import_Export!$G183)+AA$51*(GREET1_Import_Export!$B183* GREET1_Import_Export!$C$179+GREET1_Import_Export!$C183)+AA$52*(GREET1_Import_Export!$B183* GREET1_Import_Export!$E$179+GREET1_Import_Export!$E183)+AA$53*(GREET1_Import_Export!$B183* GREET1_Import_Export!$I$179+GREET1_Import_Export!$I183)+AA$54*GREET1_Import_Export!$B219+AA$55*GREET1_Import_Export!$B287+AA$61*(GREET1_Import_Export!$B312+GREET1_Import_Export!$C312)+AA$54*10^6</f>
        <v>10442.106090403198</v>
      </c>
      <c r="AB65" s="976"/>
      <c r="AC65" s="976">
        <f>AC$49*(GREET1_Import_Export!$B183* GREET1_Import_Export!$F$179+GREET1_Import_Export!$F183)+AC$50*(GREET1_Import_Export!$B183* GREET1_Import_Export!$G$179+GREET1_Import_Export!$G183)+AC$51*(GREET1_Import_Export!$B183* GREET1_Import_Export!$D$179+GREET1_Import_Export!$D183)+AC$52*(GREET1_Import_Export!$B183* GREET1_Import_Export!$E$179+GREET1_Import_Export!$E183)+AC$53*(GREET1_Import_Export!$B183* GREET1_Import_Export!$I$179+GREET1_Import_Export!$I183)+AC$54*GREET1_Import_Export!$B219+AC$55*GREET1_Import_Export!$B287+AC$61*(GREET1_Import_Export!$B312+GREET1_Import_Export!$C312)+AC$54*10^6</f>
        <v>300.46946729475923</v>
      </c>
      <c r="AD65" s="969">
        <f>'GREET2_Factors_T&amp;D'!W56</f>
        <v>351.19223638545645</v>
      </c>
      <c r="AE65" s="1092">
        <f>AE$49*(GREET1_Import_Export!$B183* GREET1_Import_Export!$F$179+GREET1_Import_Export!$F183)+AE$50*(GREET1_Import_Export!$B183* GREET1_Import_Export!$G$179+GREET1_Import_Export!$G183)+AE$51*(GREET1_Import_Export!$B183* GREET1_Import_Export!$C$179+GREET1_Import_Export!$C183)+AE$52*(GREET1_Import_Export!$B183* GREET1_Import_Export!$E$179+GREET1_Import_Export!$E183)+AE$53*(GREET1_Import_Export!$B183* GREET1_Import_Export!$I$179+GREET1_Import_Export!$I183)+AE$54*GREET1_Import_Export!$B219+AE$55*GREET1_Import_Export!$B287+AE$61*(GREET1_Import_Export!$B312+GREET1_Import_Export!$C312)+AE$54*10^6</f>
        <v>9971.186763943173</v>
      </c>
      <c r="AF65" s="976"/>
      <c r="AG65" s="976">
        <f>AG$49*(GREET1_Import_Export!$B183* GREET1_Import_Export!$F$179+GREET1_Import_Export!$F183)+AG$50*(GREET1_Import_Export!$B183* GREET1_Import_Export!$G$179+GREET1_Import_Export!$G183)+AG$51*(GREET1_Import_Export!$B183* GREET1_Import_Export!$D$179+GREET1_Import_Export!$D183)+AG$52*(GREET1_Import_Export!$B183* GREET1_Import_Export!$E$179+GREET1_Import_Export!$E183)+AG$53*(GREET1_Import_Export!$B183* GREET1_Import_Export!$I$179+GREET1_Import_Export!$I183)+AG$54*GREET1_Import_Export!$B219+AG$55*GREET1_Import_Export!$B287+AG$61*(GREET1_Import_Export!$B312+GREET1_Import_Export!$C312)+AG$54*10^6</f>
        <v>1220.018741664102</v>
      </c>
      <c r="AH65" s="969">
        <f>SUM(N$16*'GREET2_Factors_T&amp;D'!$U56*O$16, N$17*'GREET2_Factors_T&amp;D'!$T56*O$17,N$18*'GREET2_Factors_T&amp;D'!$V56*O$18)</f>
        <v>960.00566380415739</v>
      </c>
      <c r="AI65" s="1092">
        <f>AI$49*(GREET1_Import_Export!$B183* GREET1_Import_Export!$F$179+GREET1_Import_Export!$F183)+AI$50*(GREET1_Import_Export!$B183* GREET1_Import_Export!$G$179+GREET1_Import_Export!$G183)+AI$51*(GREET1_Import_Export!$B183* GREET1_Import_Export!$C$179+GREET1_Import_Export!$C183)+AI$52*(GREET1_Import_Export!$B183* GREET1_Import_Export!$E$179+GREET1_Import_Export!$E183)+AI$53*(GREET1_Import_Export!$B183* GREET1_Import_Export!$I$179+GREET1_Import_Export!$I183)+AI$54*GREET1_Import_Export!$B219+AI$55*GREET1_Import_Export!$B287+AI$61*(GREET1_Import_Export!$B312+GREET1_Import_Export!$C312)+AI$54*10^6</f>
        <v>9971.186763943173</v>
      </c>
      <c r="AJ65" s="976"/>
      <c r="AK65" s="976">
        <f>AK$49*(GREET1_Import_Export!$B183* GREET1_Import_Export!$F$179+GREET1_Import_Export!$F183)+AK$50*(GREET1_Import_Export!$B183* GREET1_Import_Export!$G$179+GREET1_Import_Export!$G183)+AK$51*(GREET1_Import_Export!$B183* GREET1_Import_Export!$D$179+GREET1_Import_Export!$D183)+AK$52*(GREET1_Import_Export!$B183* GREET1_Import_Export!$E$179+GREET1_Import_Export!$E183)+AK$53*(GREET1_Import_Export!$B183* GREET1_Import_Export!$I$179+GREET1_Import_Export!$I183)+AK$54*GREET1_Import_Export!$B219+AK$55*GREET1_Import_Export!$B287+AK$61*(GREET1_Import_Export!$B312+GREET1_Import_Export!$C312)+AK$54*10^6</f>
        <v>1220.018741664102</v>
      </c>
      <c r="AL65" s="969">
        <f>SUM(P$16*'GREET2_Factors_T&amp;D'!$U56*Q$16, P$17*'GREET2_Factors_T&amp;D'!$T56*Q$17,P$18*'GREET2_Factors_T&amp;D'!$V56*Q$18)</f>
        <v>960.00566380415739</v>
      </c>
      <c r="AM65" s="1092">
        <f>AM$49*(GREET1_Import_Export!$B183* GREET1_Import_Export!$F$179+GREET1_Import_Export!$F183)+AM$50*(GREET1_Import_Export!$B183* GREET1_Import_Export!$G$179+GREET1_Import_Export!$G183)+AM$51*(GREET1_Import_Export!$B183* GREET1_Import_Export!$C$179+GREET1_Import_Export!$C183)+AM$52*(GREET1_Import_Export!$B183* GREET1_Import_Export!$E$179+GREET1_Import_Export!$E183)+AM$53*(GREET1_Import_Export!$B183* GREET1_Import_Export!$I$179+GREET1_Import_Export!$I183)+AM$54*GREET1_Import_Export!$B219+AM$55*GREET1_Import_Export!$B287+AM$61*(GREET1_Import_Export!$B312+GREET1_Import_Export!$C312)+AM$54*10^6</f>
        <v>9971.1867639431766</v>
      </c>
      <c r="AN65" s="976"/>
      <c r="AO65" s="976">
        <f>AO$49*(GREET1_Import_Export!$B183* GREET1_Import_Export!$F$179+GREET1_Import_Export!$F183)+AO$50*(GREET1_Import_Export!$B183* GREET1_Import_Export!$G$179+GREET1_Import_Export!$G183)+AO$51*(GREET1_Import_Export!$B183* GREET1_Import_Export!$D$179+GREET1_Import_Export!$D183)+AO$52*(GREET1_Import_Export!$B183* GREET1_Import_Export!$E$179+GREET1_Import_Export!$E183)+AO$53*(GREET1_Import_Export!$B183* GREET1_Import_Export!$I$179+GREET1_Import_Export!$I183)+AO$54*GREET1_Import_Export!$B219+AO$55*GREET1_Import_Export!$B287+AO$61*(GREET1_Import_Export!$B312+GREET1_Import_Export!$C312)+AO$54*10^6</f>
        <v>1220.018741664102</v>
      </c>
      <c r="AP65" s="969">
        <f>SUM(R$16*'GREET2_Factors_T&amp;D'!$U56*S$16, R$17*'GREET2_Factors_T&amp;D'!$T56*S$17,R$18*'GREET2_Factors_T&amp;D'!$V56*S$18)</f>
        <v>4372.9965271045503</v>
      </c>
      <c r="AS65" s="1090"/>
      <c r="AT65" s="1090"/>
      <c r="AX65" s="1090"/>
      <c r="AY65" s="1090"/>
    </row>
    <row r="66" spans="1:51" s="1247" customFormat="1">
      <c r="A66" s="794" t="s">
        <v>1330</v>
      </c>
      <c r="B66" s="1092">
        <f>B$49*(GREET1_Import_Export!$B184* GREET1_Import_Export!$F$179+GREET1_Import_Export!$F184)+B$50*(GREET1_Import_Export!$B184* GREET1_Import_Export!$G$179+GREET1_Import_Export!$G184)+B$51*(GREET1_Import_Export!$B184* GREET1_Import_Export!$C$179+GREET1_Import_Export!$C184)+B$52*(GREET1_Import_Export!$B184* GREET1_Import_Export!$E$179+GREET1_Import_Export!$E184)+B$53*(GREET1_Import_Export!$B184* GREET1_Import_Export!$I$179+GREET1_Import_Export!$I184)+B$54*GREET1_Import_Export!$B220+B$55*GREET1_Import_Export!$B288+B$61*(GREET1_Import_Export!$B313+GREET1_Import_Export!$C313)+SUM(B$49:B$53)*10^6</f>
        <v>944548.81015540136</v>
      </c>
      <c r="C66" s="976"/>
      <c r="E66" s="976">
        <f>E$49*(GREET1_Import_Export!$B184* GREET1_Import_Export!$F$179+GREET1_Import_Export!$F184)+E$50*(GREET1_Import_Export!$B184* GREET1_Import_Export!$G$179+GREET1_Import_Export!$G184)+E$51*(GREET1_Import_Export!$B184* GREET1_Import_Export!$D$179+GREET1_Import_Export!$D184)+E$52*(GREET1_Import_Export!$B184* GREET1_Import_Export!$E$179+GREET1_Import_Export!$E184)+E$53*(GREET1_Import_Export!$B184* GREET1_Import_Export!$I$179+GREET1_Import_Export!$I184)+E$54*GREET1_Import_Export!$B220+E$55*GREET1_Import_Export!$B288+E$61*(GREET1_Import_Export!$B313+GREET1_Import_Export!$C313)+SUM(E$49:E$53)*10^6</f>
        <v>487.68408354115763</v>
      </c>
      <c r="F66" s="969">
        <f>SUM(B$16*'GREET2_Factors_T&amp;D'!$U57*C$16, B$17*'GREET2_Factors_T&amp;D'!$T57*C$17,B$18*'GREET2_Factors_T&amp;D'!$V57*C$18)</f>
        <v>50486.415191061977</v>
      </c>
      <c r="G66" s="1092">
        <f>G$49*(GREET1_Import_Export!$B184* GREET1_Import_Export!$F$179+GREET1_Import_Export!$F184)+G$50*(GREET1_Import_Export!$B184* GREET1_Import_Export!$G$179+GREET1_Import_Export!$G184)+G$51*(GREET1_Import_Export!$B184* GREET1_Import_Export!$C$179+GREET1_Import_Export!$C184)+G$52*(GREET1_Import_Export!$B184* GREET1_Import_Export!$E$179+GREET1_Import_Export!$E184)+G$53*(GREET1_Import_Export!$B184* GREET1_Import_Export!$I$179+GREET1_Import_Export!$I184)+G$54*GREET1_Import_Export!$B220+G$55*GREET1_Import_Export!$B288+G$61*(GREET1_Import_Export!$B313+GREET1_Import_Export!$C313)+SUM(G$49:G$53)*10^6</f>
        <v>3245875.0398549289</v>
      </c>
      <c r="H66" s="976"/>
      <c r="J66" s="976">
        <f>J$49*(GREET1_Import_Export!$B184* GREET1_Import_Export!$F$179+GREET1_Import_Export!$F184)+J$50*(GREET1_Import_Export!$B184* GREET1_Import_Export!$G$179+GREET1_Import_Export!$G184)+J$51*(GREET1_Import_Export!$B184* GREET1_Import_Export!$D$179+GREET1_Import_Export!$D184)+J$52*(GREET1_Import_Export!$B184* GREET1_Import_Export!$E$179+GREET1_Import_Export!$E184)+J$53*(GREET1_Import_Export!$B184* GREET1_Import_Export!$I$179+GREET1_Import_Export!$I184)+J$54*GREET1_Import_Export!$B220+J$55*GREET1_Import_Export!$B288+J$61*(GREET1_Import_Export!$B313+GREET1_Import_Export!$C313)+SUM(J$49:J$53)*10^6</f>
        <v>487.68408354115763</v>
      </c>
      <c r="K66" s="969">
        <f>SUM(D$16*'GREET2_Factors_T&amp;D'!$U57*E$16, D$17*'GREET2_Factors_T&amp;D'!$T57*E$17,D$18*'GREET2_Factors_T&amp;D'!$V57*E$18)</f>
        <v>50486.415191061977</v>
      </c>
      <c r="L66" s="1092">
        <f>L$49*(GREET1_Import_Export!$B184* GREET1_Import_Export!$F$179+GREET1_Import_Export!$F184)+L$50*(GREET1_Import_Export!$B184* GREET1_Import_Export!$G$179+GREET1_Import_Export!$G184)+L$51*(GREET1_Import_Export!$B184* GREET1_Import_Export!$C$179+GREET1_Import_Export!$C184)+L$52*(GREET1_Import_Export!$B184* GREET1_Import_Export!$E$179+GREET1_Import_Export!$E184)+L$53*(GREET1_Import_Export!$B184* GREET1_Import_Export!$I$179+GREET1_Import_Export!$I184)+L$54*GREET1_Import_Export!$B220+L$55*GREET1_Import_Export!$B288+L$61*(GREET1_Import_Export!$B313+GREET1_Import_Export!$C313)+SUM(L$49:L$53)*10^6</f>
        <v>389995.55672698701</v>
      </c>
      <c r="M66" s="976"/>
      <c r="N66" s="976">
        <f>N$49*(GREET1_Import_Export!$B184* GREET1_Import_Export!$F$179+GREET1_Import_Export!$F184)+N$50*(GREET1_Import_Export!$B184* GREET1_Import_Export!$G$179+GREET1_Import_Export!$G184)+N$51*(GREET1_Import_Export!$B184* GREET1_Import_Export!$D$179+GREET1_Import_Export!$D184)+N$52*(GREET1_Import_Export!$B184* GREET1_Import_Export!$E$179+GREET1_Import_Export!$E184)+N$53*(GREET1_Import_Export!$B184* GREET1_Import_Export!$I$179+GREET1_Import_Export!$I184)+N$54*GREET1_Import_Export!$B220+N$55*GREET1_Import_Export!$B288+N$61*(GREET1_Import_Export!$B313+GREET1_Import_Export!$C313)+SUM(N$49:N$53)*10^6</f>
        <v>487.68408354115763</v>
      </c>
      <c r="P66" s="969">
        <f>SUM(F$16*'GREET2_Factors_T&amp;D'!$U57*G$16, F$17*'GREET2_Factors_T&amp;D'!$T57*G$17,F$18*'GREET2_Factors_T&amp;D'!$V57*G$18)</f>
        <v>50486.415191061977</v>
      </c>
      <c r="Q66" s="1092">
        <f>Q$49*(GREET1_Import_Export!$B184* GREET1_Import_Export!$F$179+GREET1_Import_Export!$F184)+Q$50*(GREET1_Import_Export!$B184* GREET1_Import_Export!$G$179+GREET1_Import_Export!$G184)+Q$51*(GREET1_Import_Export!$B184* GREET1_Import_Export!$C$179+GREET1_Import_Export!$C184)+Q$52*(GREET1_Import_Export!$B184* GREET1_Import_Export!$E$179+GREET1_Import_Export!$E184)+Q$53*(GREET1_Import_Export!$B184* GREET1_Import_Export!$I$179+GREET1_Import_Export!$I184)+Q$54*GREET1_Import_Export!$B220+Q$55*GREET1_Import_Export!$B288+Q$61*(GREET1_Import_Export!$B313+GREET1_Import_Export!$C313)+SUM(Q$49:Q$53)*10^6</f>
        <v>656513.05086576589</v>
      </c>
      <c r="R66" s="976"/>
      <c r="T66" s="976">
        <f>T$49*(GREET1_Import_Export!$B184* GREET1_Import_Export!$F$179+GREET1_Import_Export!$F184)+T$50*(GREET1_Import_Export!$B184* GREET1_Import_Export!$G$179+GREET1_Import_Export!$G184)+T$51*(GREET1_Import_Export!$B184* GREET1_Import_Export!$D$179+GREET1_Import_Export!$D184)+T$52*(GREET1_Import_Export!$B184* GREET1_Import_Export!$E$179+GREET1_Import_Export!$E184)+T$53*(GREET1_Import_Export!$B184* GREET1_Import_Export!$I$179+GREET1_Import_Export!$I184)+T$54*GREET1_Import_Export!$B220+T$55*GREET1_Import_Export!$B288+T$61*(GREET1_Import_Export!$B313+GREET1_Import_Export!$C313)+SUM(T$49:T$53)*10^6</f>
        <v>487.68408354115763</v>
      </c>
      <c r="U66" s="969">
        <f>SUM(H$16*'GREET2_Factors_T&amp;D'!$U57*I$16, H$17*'GREET2_Factors_T&amp;D'!$T57*I$17,H$18*'GREET2_Factors_T&amp;D'!$V57*I$18)</f>
        <v>50486.415191061977</v>
      </c>
      <c r="V66" s="1092">
        <f>V$49*(GREET1_Import_Export!$B184* GREET1_Import_Export!$F$179+GREET1_Import_Export!$F184)+V$50*(GREET1_Import_Export!$B184* GREET1_Import_Export!$G$179+GREET1_Import_Export!$G184)+V$51*(GREET1_Import_Export!$B184* GREET1_Import_Export!$C$179+GREET1_Import_Export!$C184)+V$52*(GREET1_Import_Export!$B184* GREET1_Import_Export!$E$179+GREET1_Import_Export!$E184)+V$53*(GREET1_Import_Export!$B184* GREET1_Import_Export!$I$179+GREET1_Import_Export!$I184)+V$54*GREET1_Import_Export!$B220+V$55*GREET1_Import_Export!$B288+V$61*(GREET1_Import_Export!$B313+GREET1_Import_Export!$C313)+SUM(V$49:V$53)*10^6</f>
        <v>747678.06891392672</v>
      </c>
      <c r="W66" s="976"/>
      <c r="Y66" s="976">
        <f>Y$49*(GREET1_Import_Export!$B184* GREET1_Import_Export!$F$179+GREET1_Import_Export!$F184)+Y$50*(GREET1_Import_Export!$B184* GREET1_Import_Export!$G$179+GREET1_Import_Export!$G184)+Y$51*(GREET1_Import_Export!$B184* GREET1_Import_Export!$D$179+GREET1_Import_Export!$D184)+Y$52*(GREET1_Import_Export!$B184* GREET1_Import_Export!$E$179+GREET1_Import_Export!$E184)+Y$53*(GREET1_Import_Export!$B184* GREET1_Import_Export!$I$179+GREET1_Import_Export!$I184)+Y$54*GREET1_Import_Export!$B220+Y$55*GREET1_Import_Export!$B288+Y$61*(GREET1_Import_Export!$B313+GREET1_Import_Export!$C313)+SUM(Y$49:Y$53)*10^6</f>
        <v>487.68408354115763</v>
      </c>
      <c r="Z66" s="969">
        <f t="shared" si="8"/>
        <v>50486.415191061984</v>
      </c>
      <c r="AA66" s="1092">
        <f>AA$49*(GREET1_Import_Export!$B184* GREET1_Import_Export!$F$179+GREET1_Import_Export!$F184)+AA$50*(GREET1_Import_Export!$B184* GREET1_Import_Export!$G$179+GREET1_Import_Export!$G184)+AA$51*(GREET1_Import_Export!$B184* GREET1_Import_Export!$C$179+GREET1_Import_Export!$C184)+AA$52*(GREET1_Import_Export!$B184* GREET1_Import_Export!$E$179+GREET1_Import_Export!$E184)+AA$53*(GREET1_Import_Export!$B184* GREET1_Import_Export!$I$179+GREET1_Import_Export!$I184)+AA$54*GREET1_Import_Export!$B220+AA$55*GREET1_Import_Export!$B288+AA$61*(GREET1_Import_Export!$B313+GREET1_Import_Export!$C313)+SUM(AA$49:AA$53)*10^6</f>
        <v>3934.1510413179676</v>
      </c>
      <c r="AB66" s="976"/>
      <c r="AC66" s="976">
        <f>AC$49*(GREET1_Import_Export!$B184* GREET1_Import_Export!$F$179+GREET1_Import_Export!$F184)+AC$50*(GREET1_Import_Export!$B184* GREET1_Import_Export!$G$179+GREET1_Import_Export!$G184)+AC$51*(GREET1_Import_Export!$B184* GREET1_Import_Export!$D$179+GREET1_Import_Export!$D184)+AC$52*(GREET1_Import_Export!$B184* GREET1_Import_Export!$E$179+GREET1_Import_Export!$E184)+AC$53*(GREET1_Import_Export!$B184* GREET1_Import_Export!$I$179+GREET1_Import_Export!$I184)+AC$54*GREET1_Import_Export!$B220+AC$55*GREET1_Import_Export!$B288+AC$61*(GREET1_Import_Export!$B313+GREET1_Import_Export!$C313)+SUM(AC$49:AC$53)*10^6</f>
        <v>2550.7837693027427</v>
      </c>
      <c r="AD66" s="969">
        <f>'GREET2_Factors_T&amp;D'!W57</f>
        <v>2981.3859775587866</v>
      </c>
      <c r="AE66" s="1092">
        <f>AE$49*(GREET1_Import_Export!$B184* GREET1_Import_Export!$F$179+GREET1_Import_Export!$F184)+AE$50*(GREET1_Import_Export!$B184* GREET1_Import_Export!$G$179+GREET1_Import_Export!$G184)+AE$51*(GREET1_Import_Export!$B184* GREET1_Import_Export!$C$179+GREET1_Import_Export!$C184)+AE$52*(GREET1_Import_Export!$B184* GREET1_Import_Export!$E$179+GREET1_Import_Export!$E184)+AE$53*(GREET1_Import_Export!$B184* GREET1_Import_Export!$I$179+GREET1_Import_Export!$I184)+AE$54*GREET1_Import_Export!$B220+AE$55*GREET1_Import_Export!$B288+AE$61*(GREET1_Import_Export!$B313+GREET1_Import_Export!$C313)+SUM(AE$49:AE$53)*10^6</f>
        <v>148.71634986435055</v>
      </c>
      <c r="AF66" s="976"/>
      <c r="AG66" s="976">
        <f>AG$49*(GREET1_Import_Export!$B184* GREET1_Import_Export!$F$179+GREET1_Import_Export!$F184)+AG$50*(GREET1_Import_Export!$B184* GREET1_Import_Export!$G$179+GREET1_Import_Export!$G184)+AG$51*(GREET1_Import_Export!$B184* GREET1_Import_Export!$D$179+GREET1_Import_Export!$D184)+AG$52*(GREET1_Import_Export!$B184* GREET1_Import_Export!$E$179+GREET1_Import_Export!$E184)+AG$53*(GREET1_Import_Export!$B184* GREET1_Import_Export!$I$179+GREET1_Import_Export!$I184)+AG$54*GREET1_Import_Export!$B220+AG$55*GREET1_Import_Export!$B288+AG$61*(GREET1_Import_Export!$B313+GREET1_Import_Export!$C313)+SUM(AG$49:AG$53)*10^6</f>
        <v>10848.931265590123</v>
      </c>
      <c r="AH66" s="969">
        <f>SUM(N$16*'GREET2_Factors_T&amp;D'!$U57*O$16, N$17*'GREET2_Factors_T&amp;D'!$T57*O$17,N$18*'GREET2_Factors_T&amp;D'!$V57*O$18)</f>
        <v>8301.0640267998824</v>
      </c>
      <c r="AI66" s="1092">
        <f>AI$49*(GREET1_Import_Export!$B184* GREET1_Import_Export!$F$179+GREET1_Import_Export!$F184)+AI$50*(GREET1_Import_Export!$B184* GREET1_Import_Export!$G$179+GREET1_Import_Export!$G184)+AI$51*(GREET1_Import_Export!$B184* GREET1_Import_Export!$C$179+GREET1_Import_Export!$C184)+AI$52*(GREET1_Import_Export!$B184* GREET1_Import_Export!$E$179+GREET1_Import_Export!$E184)+AI$53*(GREET1_Import_Export!$B184* GREET1_Import_Export!$I$179+GREET1_Import_Export!$I184)+AI$54*GREET1_Import_Export!$B220+AI$55*GREET1_Import_Export!$B288+AI$61*(GREET1_Import_Export!$B313+GREET1_Import_Export!$C313)+SUM(AI$49:AI$53)*10^6</f>
        <v>148.71634986435058</v>
      </c>
      <c r="AJ66" s="976"/>
      <c r="AK66" s="976">
        <f>AK$49*(GREET1_Import_Export!$B184* GREET1_Import_Export!$F$179+GREET1_Import_Export!$F184)+AK$50*(GREET1_Import_Export!$B184* GREET1_Import_Export!$G$179+GREET1_Import_Export!$G184)+AK$51*(GREET1_Import_Export!$B184* GREET1_Import_Export!$D$179+GREET1_Import_Export!$D184)+AK$52*(GREET1_Import_Export!$B184* GREET1_Import_Export!$E$179+GREET1_Import_Export!$E184)+AK$53*(GREET1_Import_Export!$B184* GREET1_Import_Export!$I$179+GREET1_Import_Export!$I184)+AK$54*GREET1_Import_Export!$B220+AK$55*GREET1_Import_Export!$B288+AK$61*(GREET1_Import_Export!$B313+GREET1_Import_Export!$C313)+SUM(AK$49:AK$53)*10^6</f>
        <v>10848.931265590123</v>
      </c>
      <c r="AL66" s="969">
        <f>SUM(P$16*'GREET2_Factors_T&amp;D'!$U57*Q$16, P$17*'GREET2_Factors_T&amp;D'!$T57*Q$17,P$18*'GREET2_Factors_T&amp;D'!$V57*Q$18)</f>
        <v>8301.0640267998824</v>
      </c>
      <c r="AM66" s="1092">
        <f>AM$49*(GREET1_Import_Export!$B184* GREET1_Import_Export!$F$179+GREET1_Import_Export!$F184)+AM$50*(GREET1_Import_Export!$B184* GREET1_Import_Export!$G$179+GREET1_Import_Export!$G184)+AM$51*(GREET1_Import_Export!$B184* GREET1_Import_Export!$C$179+GREET1_Import_Export!$C184)+AM$52*(GREET1_Import_Export!$B184* GREET1_Import_Export!$E$179+GREET1_Import_Export!$E184)+AM$53*(GREET1_Import_Export!$B184* GREET1_Import_Export!$I$179+GREET1_Import_Export!$I184)+AM$54*GREET1_Import_Export!$B220+AM$55*GREET1_Import_Export!$B288+AM$61*(GREET1_Import_Export!$B313+GREET1_Import_Export!$C313)+SUM(AM$49:AM$53)*10^6</f>
        <v>148.71634986435063</v>
      </c>
      <c r="AN66" s="976"/>
      <c r="AO66" s="976">
        <f>AO$49*(GREET1_Import_Export!$B184* GREET1_Import_Export!$F$179+GREET1_Import_Export!$F184)+AO$50*(GREET1_Import_Export!$B184* GREET1_Import_Export!$G$179+GREET1_Import_Export!$G184)+AO$51*(GREET1_Import_Export!$B184* GREET1_Import_Export!$D$179+GREET1_Import_Export!$D184)+AO$52*(GREET1_Import_Export!$B184* GREET1_Import_Export!$E$179+GREET1_Import_Export!$E184)+AO$53*(GREET1_Import_Export!$B184* GREET1_Import_Export!$I$179+GREET1_Import_Export!$I184)+AO$54*GREET1_Import_Export!$B220+AO$55*GREET1_Import_Export!$B288+AO$61*(GREET1_Import_Export!$B313+GREET1_Import_Export!$C313)+SUM(AO$49:AO$53)*10^6</f>
        <v>10848.931265590123</v>
      </c>
      <c r="AP66" s="969">
        <f>SUM(R$16*'GREET2_Factors_T&amp;D'!$U57*S$16, R$17*'GREET2_Factors_T&amp;D'!$T57*S$17,R$18*'GREET2_Factors_T&amp;D'!$V57*S$18)</f>
        <v>37338.141080820351</v>
      </c>
      <c r="AS66" s="1090"/>
      <c r="AT66" s="1090"/>
      <c r="AX66" s="1090"/>
      <c r="AY66" s="1090"/>
    </row>
    <row r="67" spans="1:51" s="536" customFormat="1">
      <c r="A67" s="483" t="s">
        <v>1331</v>
      </c>
      <c r="B67" s="1092">
        <f>B$49*(GREET1_Import_Export!$B185* GREET1_Import_Export!$F$179+GREET1_Import_Export!$F185)+B$50*(GREET1_Import_Export!$B185* GREET1_Import_Export!$G$179+GREET1_Import_Export!$G185)+B$51*(GREET1_Import_Export!$B185* GREET1_Import_Export!$C$179+GREET1_Import_Export!$C185)+B$52*(GREET1_Import_Export!$B185* GREET1_Import_Export!$E$179+GREET1_Import_Export!$E185)+B$53*(GREET1_Import_Export!$B185* GREET1_Import_Export!$I$179+GREET1_Import_Export!$I185)+B$54*GREET1_Import_Export!$B221+B$55*GREET1_Import_Export!$B289+B$61*(GREET1_Import_Export!$B314+GREET1_Import_Export!$C314)</f>
        <v>68.335065555568008</v>
      </c>
      <c r="C67" s="1032">
        <v>253.365447833773</v>
      </c>
      <c r="E67" s="976">
        <f>E$49*(GREET1_Import_Export!$B185* GREET1_Import_Export!$F$179+GREET1_Import_Export!$F185)+E$50*(GREET1_Import_Export!$B185* GREET1_Import_Export!$G$179+GREET1_Import_Export!$G185)+E$51*(GREET1_Import_Export!$B185* GREET1_Import_Export!$D$179+GREET1_Import_Export!$D185)+E$52*(GREET1_Import_Export!$B185* GREET1_Import_Export!$E$179+GREET1_Import_Export!$E185)+E$53*(GREET1_Import_Export!$B185* GREET1_Import_Export!$I$179+GREET1_Import_Export!$I185)+E$54*GREET1_Import_Export!$B221+E$55*GREET1_Import_Export!$B289+E$61*(GREET1_Import_Export!$B314+GREET1_Import_Export!$C314)</f>
        <v>1.0163659339248619E-2</v>
      </c>
      <c r="F67" s="1253">
        <f>SUM(B$16*'GREET2_Factors_T&amp;D'!$U58*C$16, B$17*'GREET2_Factors_T&amp;D'!$T58*C$17,B$18*'GREET2_Factors_T&amp;D'!$V58*C$18)</f>
        <v>1.0470311859806611</v>
      </c>
      <c r="G67" s="1092">
        <f>G$49*(GREET1_Import_Export!$B185* GREET1_Import_Export!$F$179+GREET1_Import_Export!$F185)+G$50*(GREET1_Import_Export!$B185* GREET1_Import_Export!$G$179+GREET1_Import_Export!$G185)+G$51*(GREET1_Import_Export!$B185* GREET1_Import_Export!$C$179+GREET1_Import_Export!$C185)+G$52*(GREET1_Import_Export!$B185* GREET1_Import_Export!$E$179+GREET1_Import_Export!$E185)+G$53*(GREET1_Import_Export!$B185* GREET1_Import_Export!$I$179+GREET1_Import_Export!$I185)+G$54*GREET1_Import_Export!$B221+G$55*GREET1_Import_Export!$B289+G$61*(GREET1_Import_Export!$B314+GREET1_Import_Export!$C314)</f>
        <v>119.09216376465406</v>
      </c>
      <c r="H67" s="1032">
        <v>271.19797108707115</v>
      </c>
      <c r="J67" s="976">
        <f>J$49*(GREET1_Import_Export!$B185* GREET1_Import_Export!$F$179+GREET1_Import_Export!$F185)+J$50*(GREET1_Import_Export!$B185* GREET1_Import_Export!$G$179+GREET1_Import_Export!$G185)+J$51*(GREET1_Import_Export!$B185* GREET1_Import_Export!$D$179+GREET1_Import_Export!$D185)+J$52*(GREET1_Import_Export!$B185* GREET1_Import_Export!$E$179+GREET1_Import_Export!$E185)+J$53*(GREET1_Import_Export!$B185* GREET1_Import_Export!$I$179+GREET1_Import_Export!$I185)+J$54*GREET1_Import_Export!$B221+J$55*GREET1_Import_Export!$B289+J$61*(GREET1_Import_Export!$B314+GREET1_Import_Export!$C314)</f>
        <v>1.0163659339248619E-2</v>
      </c>
      <c r="K67" s="1253">
        <f>SUM(D$16*'GREET2_Factors_T&amp;D'!$U58*E$16, D$17*'GREET2_Factors_T&amp;D'!$T58*E$17,D$18*'GREET2_Factors_T&amp;D'!$V58*E$18)</f>
        <v>1.0470311859806611</v>
      </c>
      <c r="L67" s="1092">
        <f>L$49*(GREET1_Import_Export!$B185* GREET1_Import_Export!$F$179+GREET1_Import_Export!$F185)+L$50*(GREET1_Import_Export!$B185* GREET1_Import_Export!$G$179+GREET1_Import_Export!$G185)+L$51*(GREET1_Import_Export!$B185* GREET1_Import_Export!$C$179+GREET1_Import_Export!$C185)+L$52*(GREET1_Import_Export!$B185* GREET1_Import_Export!$E$179+GREET1_Import_Export!$E185)+L$53*(GREET1_Import_Export!$B185* GREET1_Import_Export!$I$179+GREET1_Import_Export!$I185)+L$54*GREET1_Import_Export!$B221+L$55*GREET1_Import_Export!$B289+L$61*(GREET1_Import_Export!$B314+GREET1_Import_Export!$C314)</f>
        <v>64.293928255496951</v>
      </c>
      <c r="M67" s="1032">
        <v>272.99319154881266</v>
      </c>
      <c r="N67" s="976">
        <f>N$49*(GREET1_Import_Export!$B185* GREET1_Import_Export!$F$179+GREET1_Import_Export!$F185)+N$50*(GREET1_Import_Export!$B185* GREET1_Import_Export!$G$179+GREET1_Import_Export!$G185)+N$51*(GREET1_Import_Export!$B185* GREET1_Import_Export!$D$179+GREET1_Import_Export!$D185)+N$52*(GREET1_Import_Export!$B185* GREET1_Import_Export!$E$179+GREET1_Import_Export!$E185)+N$53*(GREET1_Import_Export!$B185* GREET1_Import_Export!$I$179+GREET1_Import_Export!$I185)+N$54*GREET1_Import_Export!$B221+N$55*GREET1_Import_Export!$B289+N$61*(GREET1_Import_Export!$B314+GREET1_Import_Export!$C314)</f>
        <v>1.0163659339248619E-2</v>
      </c>
      <c r="P67" s="1253">
        <f>SUM(F$16*'GREET2_Factors_T&amp;D'!$U58*G$16, F$17*'GREET2_Factors_T&amp;D'!$T58*G$17,F$18*'GREET2_Factors_T&amp;D'!$V58*G$18)</f>
        <v>1.0470311859806611</v>
      </c>
      <c r="Q67" s="1092">
        <f>Q$49*(GREET1_Import_Export!$B185* GREET1_Import_Export!$F$179+GREET1_Import_Export!$F185)+Q$50*(GREET1_Import_Export!$B185* GREET1_Import_Export!$G$179+GREET1_Import_Export!$G185)+Q$51*(GREET1_Import_Export!$B185* GREET1_Import_Export!$C$179+GREET1_Import_Export!$C185)+Q$52*(GREET1_Import_Export!$B185* GREET1_Import_Export!$E$179+GREET1_Import_Export!$E185)+Q$53*(GREET1_Import_Export!$B185* GREET1_Import_Export!$I$179+GREET1_Import_Export!$I185)+Q$54*GREET1_Import_Export!$B221+Q$55*GREET1_Import_Export!$B289+Q$61*(GREET1_Import_Export!$B314+GREET1_Import_Export!$C314)</f>
        <v>62.581088097087402</v>
      </c>
      <c r="R67" s="1032">
        <v>144.93413194459103</v>
      </c>
      <c r="T67" s="976">
        <f>T$49*(GREET1_Import_Export!$B185* GREET1_Import_Export!$F$179+GREET1_Import_Export!$F185)+T$50*(GREET1_Import_Export!$B185* GREET1_Import_Export!$G$179+GREET1_Import_Export!$G185)+T$51*(GREET1_Import_Export!$B185* GREET1_Import_Export!$D$179+GREET1_Import_Export!$D185)+T$52*(GREET1_Import_Export!$B185* GREET1_Import_Export!$E$179+GREET1_Import_Export!$E185)+T$53*(GREET1_Import_Export!$B185* GREET1_Import_Export!$I$179+GREET1_Import_Export!$I185)+T$54*GREET1_Import_Export!$B221+T$55*GREET1_Import_Export!$B289+T$61*(GREET1_Import_Export!$B314+GREET1_Import_Export!$C314)</f>
        <v>1.0163659339248619E-2</v>
      </c>
      <c r="U67" s="1253">
        <f>SUM(H$16*'GREET2_Factors_T&amp;D'!$U58*I$16, H$17*'GREET2_Factors_T&amp;D'!$T58*I$17,H$18*'GREET2_Factors_T&amp;D'!$V58*I$18)</f>
        <v>1.0470311859806611</v>
      </c>
      <c r="V67" s="1092">
        <f>V$49*(GREET1_Import_Export!$B185* GREET1_Import_Export!$F$179+GREET1_Import_Export!$F185)+V$50*(GREET1_Import_Export!$B185* GREET1_Import_Export!$G$179+GREET1_Import_Export!$G185)+V$51*(GREET1_Import_Export!$B185* GREET1_Import_Export!$C$179+GREET1_Import_Export!$C185)+V$52*(GREET1_Import_Export!$B185* GREET1_Import_Export!$E$179+GREET1_Import_Export!$E185)+V$53*(GREET1_Import_Export!$B185* GREET1_Import_Export!$I$179+GREET1_Import_Export!$I185)+V$54*GREET1_Import_Export!$B221+V$55*GREET1_Import_Export!$B289+V$61*(GREET1_Import_Export!$B314+GREET1_Import_Export!$C314)</f>
        <v>66.178838127134227</v>
      </c>
      <c r="W67" s="1032">
        <f>(C67*$I$8)+(H67*$J$8)+(M67*$K$8)+(R67*$L$8)</f>
        <v>170.4808372033562</v>
      </c>
      <c r="Y67" s="976">
        <f>Y$49*(GREET1_Import_Export!$B185* GREET1_Import_Export!$F$179+GREET1_Import_Export!$F185)+Y$50*(GREET1_Import_Export!$B185* GREET1_Import_Export!$G$179+GREET1_Import_Export!$G185)+Y$51*(GREET1_Import_Export!$B185* GREET1_Import_Export!$D$179+GREET1_Import_Export!$D185)+Y$52*(GREET1_Import_Export!$B185* GREET1_Import_Export!$E$179+GREET1_Import_Export!$E185)+Y$53*(GREET1_Import_Export!$B185* GREET1_Import_Export!$I$179+GREET1_Import_Export!$I185)+Y$54*GREET1_Import_Export!$B221+Y$55*GREET1_Import_Export!$B289+Y$61*(GREET1_Import_Export!$B314+GREET1_Import_Export!$C314)</f>
        <v>1.0163659339248619E-2</v>
      </c>
      <c r="Z67" s="1253">
        <f t="shared" si="8"/>
        <v>1.0470311859806611</v>
      </c>
      <c r="AA67" s="1092">
        <f>AA$49*(GREET1_Import_Export!$B185* GREET1_Import_Export!$F$179+GREET1_Import_Export!$F185)+AA$50*(GREET1_Import_Export!$B185* GREET1_Import_Export!$G$179+GREET1_Import_Export!$G185)+AA$51*(GREET1_Import_Export!$B185* GREET1_Import_Export!$C$179+GREET1_Import_Export!$C185)+AA$52*(GREET1_Import_Export!$B185* GREET1_Import_Export!$E$179+GREET1_Import_Export!$E185)+AA$53*(GREET1_Import_Export!$B185* GREET1_Import_Export!$I$179+GREET1_Import_Export!$I185)+AA$54*GREET1_Import_Export!$B221+AA$55*GREET1_Import_Export!$B289+AA$61*(GREET1_Import_Export!$B314+GREET1_Import_Export!$C314)</f>
        <v>0.6752102549147484</v>
      </c>
      <c r="AB67" s="1032">
        <f>239.65*H8</f>
        <v>16.775500000000015</v>
      </c>
      <c r="AC67" s="976">
        <f>AC$49*(GREET1_Import_Export!$B185* GREET1_Import_Export!$F$179+GREET1_Import_Export!$F185)+AC$50*(GREET1_Import_Export!$B185* GREET1_Import_Export!$G$179+GREET1_Import_Export!$G185)+AC$51*(GREET1_Import_Export!$B185* GREET1_Import_Export!$D$179+GREET1_Import_Export!$D185)+AC$52*(GREET1_Import_Export!$B185* GREET1_Import_Export!$E$179+GREET1_Import_Export!$E185)+AC$53*(GREET1_Import_Export!$B185* GREET1_Import_Export!$I$179+GREET1_Import_Export!$I185)+AC$54*GREET1_Import_Export!$B221+AC$55*GREET1_Import_Export!$B289+AC$61*(GREET1_Import_Export!$B314+GREET1_Import_Export!$C314)</f>
        <v>5.3160023372158451E-2</v>
      </c>
      <c r="AD67" s="1253">
        <f>'GREET2_Factors_T&amp;D'!W58</f>
        <v>6.2134058619862556E-2</v>
      </c>
      <c r="AE67" s="1092">
        <f>AE$49*(GREET1_Import_Export!$B185* GREET1_Import_Export!$F$179+GREET1_Import_Export!$F185)+AE$50*(GREET1_Import_Export!$B185* GREET1_Import_Export!$G$179+GREET1_Import_Export!$G185)+AE$51*(GREET1_Import_Export!$B185* GREET1_Import_Export!$C$179+GREET1_Import_Export!$C185)+AE$52*(GREET1_Import_Export!$B185* GREET1_Import_Export!$E$179+GREET1_Import_Export!$E185)+AE$53*(GREET1_Import_Export!$B185* GREET1_Import_Export!$I$179+GREET1_Import_Export!$I185)+AE$54*GREET1_Import_Export!$B221+AE$55*GREET1_Import_Export!$B289+AE$61*(GREET1_Import_Export!$B314+GREET1_Import_Export!$C314)</f>
        <v>0.89652951478811271</v>
      </c>
      <c r="AF67" s="1032">
        <v>120.186988281742</v>
      </c>
      <c r="AG67" s="976">
        <f>AG$49*(GREET1_Import_Export!$B185* GREET1_Import_Export!$F$179+GREET1_Import_Export!$F185)+AG$50*(GREET1_Import_Export!$B185* GREET1_Import_Export!$G$179+GREET1_Import_Export!$G185)+AG$51*(GREET1_Import_Export!$B185* GREET1_Import_Export!$D$179+GREET1_Import_Export!$D185)+AG$52*(GREET1_Import_Export!$B185* GREET1_Import_Export!$E$179+GREET1_Import_Export!$E185)+AG$53*(GREET1_Import_Export!$B185* GREET1_Import_Export!$I$179+GREET1_Import_Export!$I185)+AG$54*GREET1_Import_Export!$B221+AG$55*GREET1_Import_Export!$B289+AG$61*(GREET1_Import_Export!$B314+GREET1_Import_Export!$C314)</f>
        <v>0.2430309886189822</v>
      </c>
      <c r="AH67" s="1253">
        <f>SUM(N$16*'GREET2_Factors_T&amp;D'!$U58*O$16, N$17*'GREET2_Factors_T&amp;D'!$T58*O$17,N$18*'GREET2_Factors_T&amp;D'!$V58*O$18)</f>
        <v>0.16413993702221627</v>
      </c>
      <c r="AI67" s="1092">
        <f>AI$49*(GREET1_Import_Export!$B185* GREET1_Import_Export!$F$179+GREET1_Import_Export!$F185)+AI$50*(GREET1_Import_Export!$B185* GREET1_Import_Export!$G$179+GREET1_Import_Export!$G185)+AI$51*(GREET1_Import_Export!$B185* GREET1_Import_Export!$C$179+GREET1_Import_Export!$C185)+AI$52*(GREET1_Import_Export!$B185* GREET1_Import_Export!$E$179+GREET1_Import_Export!$E185)+AI$53*(GREET1_Import_Export!$B185* GREET1_Import_Export!$I$179+GREET1_Import_Export!$I185)+AI$54*GREET1_Import_Export!$B221+AI$55*GREET1_Import_Export!$B289+AI$61*(GREET1_Import_Export!$B314+GREET1_Import_Export!$C314)</f>
        <v>0.89652951478811305</v>
      </c>
      <c r="AJ67" s="1032">
        <v>120.186988281742</v>
      </c>
      <c r="AK67" s="976">
        <f>AK$49*(GREET1_Import_Export!$B185* GREET1_Import_Export!$F$179+GREET1_Import_Export!$F185)+AK$50*(GREET1_Import_Export!$B185* GREET1_Import_Export!$G$179+GREET1_Import_Export!$G185)+AK$51*(GREET1_Import_Export!$B185* GREET1_Import_Export!$D$179+GREET1_Import_Export!$D185)+AK$52*(GREET1_Import_Export!$B185* GREET1_Import_Export!$E$179+GREET1_Import_Export!$E185)+AK$53*(GREET1_Import_Export!$B185* GREET1_Import_Export!$I$179+GREET1_Import_Export!$I185)+AK$54*GREET1_Import_Export!$B221+AK$55*GREET1_Import_Export!$B289+AK$61*(GREET1_Import_Export!$B314+GREET1_Import_Export!$C314)</f>
        <v>0.2430309886189822</v>
      </c>
      <c r="AL67" s="1253">
        <f>SUM(P$16*'GREET2_Factors_T&amp;D'!$U58*Q$16, P$17*'GREET2_Factors_T&amp;D'!$T58*Q$17,P$18*'GREET2_Factors_T&amp;D'!$V58*Q$18)</f>
        <v>0.16413993702221627</v>
      </c>
      <c r="AM67" s="1092">
        <f>AM$49*(GREET1_Import_Export!$B185* GREET1_Import_Export!$F$179+GREET1_Import_Export!$F185)+AM$50*(GREET1_Import_Export!$B185* GREET1_Import_Export!$G$179+GREET1_Import_Export!$G185)+AM$51*(GREET1_Import_Export!$B185* GREET1_Import_Export!$C$179+GREET1_Import_Export!$C185)+AM$52*(GREET1_Import_Export!$B185* GREET1_Import_Export!$E$179+GREET1_Import_Export!$E185)+AM$53*(GREET1_Import_Export!$B185* GREET1_Import_Export!$I$179+GREET1_Import_Export!$I185)+AM$54*GREET1_Import_Export!$B221+AM$55*GREET1_Import_Export!$B289+AM$61*(GREET1_Import_Export!$B314+GREET1_Import_Export!$C314)</f>
        <v>0.89652951478811327</v>
      </c>
      <c r="AN67" s="1032">
        <v>120.186988281742</v>
      </c>
      <c r="AO67" s="976">
        <f>AO$49*(GREET1_Import_Export!$B185* GREET1_Import_Export!$F$179+GREET1_Import_Export!$F185)+AO$50*(GREET1_Import_Export!$B185* GREET1_Import_Export!$G$179+GREET1_Import_Export!$G185)+AO$51*(GREET1_Import_Export!$B185* GREET1_Import_Export!$D$179+GREET1_Import_Export!$D185)+AO$52*(GREET1_Import_Export!$B185* GREET1_Import_Export!$E$179+GREET1_Import_Export!$E185)+AO$53*(GREET1_Import_Export!$B185* GREET1_Import_Export!$I$179+GREET1_Import_Export!$I185)+AO$54*GREET1_Import_Export!$B221+AO$55*GREET1_Import_Export!$B289+AO$61*(GREET1_Import_Export!$B314+GREET1_Import_Export!$C314)</f>
        <v>0.2430309886189822</v>
      </c>
      <c r="AP67" s="1253">
        <f>SUM(R$16*'GREET2_Factors_T&amp;D'!$U58*S$16, R$17*'GREET2_Factors_T&amp;D'!$T58*S$17,R$18*'GREET2_Factors_T&amp;D'!$V58*S$18)</f>
        <v>0.76559715841041798</v>
      </c>
      <c r="AS67" s="1090"/>
      <c r="AT67" s="1090"/>
      <c r="AX67" s="1090"/>
      <c r="AY67" s="1090"/>
    </row>
    <row r="68" spans="1:51" s="1247" customFormat="1">
      <c r="A68" s="851" t="s">
        <v>864</v>
      </c>
      <c r="B68" s="1089"/>
      <c r="C68" s="1254"/>
      <c r="D68" s="1293"/>
      <c r="E68" s="1254"/>
      <c r="F68" s="675"/>
      <c r="G68" s="1089"/>
      <c r="H68" s="1254"/>
      <c r="I68" s="1293"/>
      <c r="J68" s="1254"/>
      <c r="K68" s="675"/>
      <c r="L68" s="1089"/>
      <c r="M68" s="1254"/>
      <c r="N68" s="1254"/>
      <c r="O68" s="1293"/>
      <c r="P68" s="675"/>
      <c r="Q68" s="1089"/>
      <c r="R68" s="1254"/>
      <c r="S68" s="1293"/>
      <c r="T68" s="1254"/>
      <c r="U68" s="675"/>
      <c r="V68" s="1089"/>
      <c r="W68" s="1254"/>
      <c r="X68" s="1293"/>
      <c r="Y68" s="1254"/>
      <c r="Z68" s="675"/>
      <c r="AA68" s="1089"/>
      <c r="AB68" s="1254"/>
      <c r="AC68" s="1254"/>
      <c r="AD68" s="675"/>
      <c r="AE68" s="1089"/>
      <c r="AF68" s="1254"/>
      <c r="AG68" s="1254"/>
      <c r="AH68" s="675"/>
      <c r="AI68" s="1089"/>
      <c r="AJ68" s="1254"/>
      <c r="AK68" s="1254"/>
      <c r="AL68" s="675"/>
      <c r="AM68" s="1089"/>
      <c r="AN68" s="1254"/>
      <c r="AO68" s="1254"/>
      <c r="AP68" s="675"/>
      <c r="AS68" s="1090"/>
      <c r="AT68" s="1090"/>
      <c r="AX68" s="1090"/>
      <c r="AY68" s="1090"/>
    </row>
    <row r="69" spans="1:51" s="1247" customFormat="1">
      <c r="A69" s="1237" t="s">
        <v>821</v>
      </c>
      <c r="B69" s="909">
        <f>B$49*(GREET1_Import_Export!$B186* GREET1_Import_Export!$F$179+GREET1_Import_Export!$F186)+B$50*(GREET1_Import_Export!$B186* GREET1_Import_Export!$G$179+GREET1_Import_Export!$G186)+B$51*(GREET1_Import_Export!$B186* GREET1_Import_Export!$C$179+GREET1_Import_Export!$C186)+B$52*(GREET1_Import_Export!$B186* GREET1_Import_Export!$E$179+GREET1_Import_Export!$E186)+B$53*(GREET1_Import_Export!$B186* GREET1_Import_Export!$I$179+GREET1_Import_Export!$I186)+B$54*GREET1_Import_Export!$B222+B$55*GREET1_Import_Export!$B290+B$61*(GREET1_Import_Export!$B315+GREET1_Import_Export!$C315)</f>
        <v>27.790215898826904</v>
      </c>
      <c r="C69" s="1255">
        <v>124.61886087684326</v>
      </c>
      <c r="E69" s="919">
        <f>E$50*(GREET1_Import_Export!$B186* GREET1_Import_Export!$G$179+GREET1_Import_Export!$G186+GREET1_Import_Export!$Q146)+E$51*(GREET1_Import_Export!$B186* GREET1_Import_Export!$D$179+GREET1_Import_Export!$D186+GREET1_Import_Export!$Q132)</f>
        <v>1.6953098468937562E-2</v>
      </c>
      <c r="F69" s="817">
        <f>SUM(B$16*'GREET2_Factors_T&amp;D'!$U60*C$16, B$17*'GREET2_Factors_T&amp;D'!$T60*C$17,B$18*'GREET2_Factors_T&amp;D'!$V60*C$18)</f>
        <v>0.6702984101502969</v>
      </c>
      <c r="G69" s="909">
        <f>G$49*(GREET1_Import_Export!$B186* GREET1_Import_Export!$F$179+GREET1_Import_Export!$F186)+G$50*(GREET1_Import_Export!$B186* GREET1_Import_Export!$G$179+GREET1_Import_Export!$G186)+G$51*(GREET1_Import_Export!$B186* GREET1_Import_Export!$C$179+GREET1_Import_Export!$C186)+G$52*(GREET1_Import_Export!$B186* GREET1_Import_Export!$E$179+GREET1_Import_Export!$E186)+G$53*(GREET1_Import_Export!$B186* GREET1_Import_Export!$I$179+GREET1_Import_Export!$I186)+G$54*GREET1_Import_Export!$B222+G$55*GREET1_Import_Export!$B290+G$61*(GREET1_Import_Export!$B315+GREET1_Import_Export!$C315)</f>
        <v>35.595104646410903</v>
      </c>
      <c r="H69" s="1255">
        <v>81.688092919785888</v>
      </c>
      <c r="J69" s="919">
        <f>J$50*(GREET1_Import_Export!$B186* GREET1_Import_Export!$G$179+GREET1_Import_Export!$G186+GREET1_Import_Export!$Q146)+J$51*(GREET1_Import_Export!$B186* GREET1_Import_Export!$D$179+GREET1_Import_Export!$D186+GREET1_Import_Export!$Q132)</f>
        <v>1.6953098468937562E-2</v>
      </c>
      <c r="K69" s="817">
        <f>SUM(D$16*'GREET2_Factors_T&amp;D'!$U60*E$16, D$17*'GREET2_Factors_T&amp;D'!$T60*E$17,D$18*'GREET2_Factors_T&amp;D'!$V60*E$18)</f>
        <v>0.6702984101502969</v>
      </c>
      <c r="L69" s="909">
        <f>L$49*(GREET1_Import_Export!$B186* GREET1_Import_Export!$F$179+GREET1_Import_Export!$F186)+L$50*(GREET1_Import_Export!$B186* GREET1_Import_Export!$G$179+GREET1_Import_Export!$G186)+L$51*(GREET1_Import_Export!$B186* GREET1_Import_Export!$C$179+GREET1_Import_Export!$C186)+L$52*(GREET1_Import_Export!$B186* GREET1_Import_Export!$E$179+GREET1_Import_Export!$E186)+L$53*(GREET1_Import_Export!$B186* GREET1_Import_Export!$I$179+GREET1_Import_Export!$I186)+L$54*GREET1_Import_Export!$B222+L$55*GREET1_Import_Export!$B290+L$61*(GREET1_Import_Export!$B315+GREET1_Import_Export!$C315)</f>
        <v>30.160816076117797</v>
      </c>
      <c r="M69" s="1255">
        <v>128.06541720785245</v>
      </c>
      <c r="N69" s="919">
        <f>N$50*(GREET1_Import_Export!$B186* GREET1_Import_Export!$G$179+GREET1_Import_Export!$G186+GREET1_Import_Export!$Q146)+N$51*(GREET1_Import_Export!$B186* GREET1_Import_Export!$D$179+GREET1_Import_Export!$D186+GREET1_Import_Export!$Q132)</f>
        <v>1.6953098468937562E-2</v>
      </c>
      <c r="P69" s="817">
        <f>SUM(F$16*'GREET2_Factors_T&amp;D'!$U60*G$16, F$17*'GREET2_Factors_T&amp;D'!$T60*G$17,F$18*'GREET2_Factors_T&amp;D'!$V60*G$18)</f>
        <v>0.6702984101502969</v>
      </c>
      <c r="Q69" s="909">
        <f>Q$49*(GREET1_Import_Export!$B186* GREET1_Import_Export!$F$179+GREET1_Import_Export!$F186)+Q$50*(GREET1_Import_Export!$B186* GREET1_Import_Export!$G$179+GREET1_Import_Export!$G186)+Q$51*(GREET1_Import_Export!$B186* GREET1_Import_Export!$C$179+GREET1_Import_Export!$C186)+Q$52*(GREET1_Import_Export!$B186* GREET1_Import_Export!$E$179+GREET1_Import_Export!$E186)+Q$53*(GREET1_Import_Export!$B186* GREET1_Import_Export!$I$179+GREET1_Import_Export!$I186)+Q$54*GREET1_Import_Export!$B222+Q$55*GREET1_Import_Export!$B290+Q$61*(GREET1_Import_Export!$B315+GREET1_Import_Export!$C315)</f>
        <v>25.127650610650608</v>
      </c>
      <c r="R69" s="1255">
        <v>59.672430440566572</v>
      </c>
      <c r="T69" s="919">
        <f>T$50*(GREET1_Import_Export!$B186* GREET1_Import_Export!$G$179+GREET1_Import_Export!$G186+GREET1_Import_Export!$Q146)+T$51*(GREET1_Import_Export!$B186* GREET1_Import_Export!$D$179+GREET1_Import_Export!$D186+GREET1_Import_Export!$Q132)</f>
        <v>1.6953098468937562E-2</v>
      </c>
      <c r="U69" s="817">
        <f>SUM(H$16*'GREET2_Factors_T&amp;D'!$U60*I$16, H$17*'GREET2_Factors_T&amp;D'!$T60*I$17,H$18*'GREET2_Factors_T&amp;D'!$V60*I$18)</f>
        <v>0.6702984101502969</v>
      </c>
      <c r="V69" s="909">
        <f>V$49*(GREET1_Import_Export!$B186* GREET1_Import_Export!$F$179+GREET1_Import_Export!$F186)+V$50*(GREET1_Import_Export!$B186* GREET1_Import_Export!$G$179+GREET1_Import_Export!$G186)+V$51*(GREET1_Import_Export!$B186* GREET1_Import_Export!$C$179+GREET1_Import_Export!$C186)+V$52*(GREET1_Import_Export!$B186* GREET1_Import_Export!$E$179+GREET1_Import_Export!$E186)+V$53*(GREET1_Import_Export!$B186* GREET1_Import_Export!$I$179+GREET1_Import_Export!$I186)+V$54*GREET1_Import_Export!$B222+V$55*GREET1_Import_Export!$B290+V$61*(GREET1_Import_Export!$B315+GREET1_Import_Export!$C315)</f>
        <v>26.575144115462848</v>
      </c>
      <c r="W69" s="1255">
        <f t="shared" ref="W69:W79" si="9">(C69*$I$8)+(H69*$J$8)+(M69*$K$8)+(R69*$L$8)</f>
        <v>71.081773970043301</v>
      </c>
      <c r="Y69" s="919">
        <f>Y$50*(GREET1_Import_Export!$B186* GREET1_Import_Export!$G$179+GREET1_Import_Export!$G186+GREET1_Import_Export!$Q146)+Y$51*(GREET1_Import_Export!$B186* GREET1_Import_Export!$D$179+GREET1_Import_Export!$D186+GREET1_Import_Export!$Q132)</f>
        <v>1.6953098468937562E-2</v>
      </c>
      <c r="Z69" s="817">
        <f>SUM(J$16*'GREET2_Factors_T&amp;D'!$U60*K$16, J$17*'GREET2_Factors_T&amp;D'!$T60*K$17,J$18*'GREET2_Factors_T&amp;D'!$V60*K$18)</f>
        <v>0.6702984101502969</v>
      </c>
      <c r="AA69" s="909">
        <f>AA$49*(GREET1_Import_Export!$B186* GREET1_Import_Export!$F$179+GREET1_Import_Export!$F186)+AA$50*(GREET1_Import_Export!$B186* GREET1_Import_Export!$G$179+GREET1_Import_Export!$G186)+AA$51*(GREET1_Import_Export!$B186* GREET1_Import_Export!$C$179+GREET1_Import_Export!$C186)+AA$52*(GREET1_Import_Export!$B186* GREET1_Import_Export!$E$179+GREET1_Import_Export!$E186)+AA$53*(GREET1_Import_Export!$B186* GREET1_Import_Export!$I$179+GREET1_Import_Export!$I186)+AA$54*GREET1_Import_Export!$B222+AA$55*GREET1_Import_Export!$B290+AA$61*(GREET1_Import_Export!$B315+GREET1_Import_Export!$C315)</f>
        <v>0.14300468443284253</v>
      </c>
      <c r="AB69" s="1255">
        <v>63.009359802387017</v>
      </c>
      <c r="AC69" s="919">
        <f>AC$50*(GREET1_Import_Export!$B186* GREET1_Import_Export!$G$179+GREET1_Import_Export!$G186+GREET1_Import_Export!$Q146)+AC$51*(GREET1_Import_Export!$B186* GREET1_Import_Export!$D$179+GREET1_Import_Export!$D186+GREET1_Import_Export!$Q132)</f>
        <v>8.867151886515813E-2</v>
      </c>
      <c r="AD69" s="817">
        <f>'GREET2_Factors_T&amp;D'!W60</f>
        <v>3.5070530439958766E-2</v>
      </c>
      <c r="AE69" s="909">
        <f>AE$49*(GREET1_Import_Export!$B186* GREET1_Import_Export!$F$179+GREET1_Import_Export!$F186)+AE$50*(GREET1_Import_Export!$B186* GREET1_Import_Export!$G$179+GREET1_Import_Export!$G186)+AE$51*(GREET1_Import_Export!$B186* GREET1_Import_Export!$C$179+GREET1_Import_Export!$C186)+AE$52*(GREET1_Import_Export!$B186* GREET1_Import_Export!$E$179+GREET1_Import_Export!$E186)+AE$53*(GREET1_Import_Export!$B186* GREET1_Import_Export!$I$179+GREET1_Import_Export!$I186)+AE$54*GREET1_Import_Export!$B222+AE$55*GREET1_Import_Export!$B290+AE$61*(GREET1_Import_Export!$B315+GREET1_Import_Export!$C315)</f>
        <v>0.12785793098096968</v>
      </c>
      <c r="AF69" s="1255">
        <v>2.9364708735889453E-2</v>
      </c>
      <c r="AG69" s="919">
        <f>AG$49*(GREET1_Import_Export!$B186* GREET1_Import_Export!$F$179+GREET1_Import_Export!$F186+GREET1_Import_Export!$L72)+AG$50*(GREET1_Import_Export!$B186* GREET1_Import_Export!$G$179+GREET1_Import_Export!$G186+GREET1_Import_Export!$Q146)+AG$51*(GREET1_Import_Export!$B186* GREET1_Import_Export!$C$179+GREET1_Import_Export!$C186+GREET1_Import_Export!$Q132)</f>
        <v>0.37597479147121748</v>
      </c>
      <c r="AH69" s="817">
        <f>SUM(N$16*'GREET2_Factors_T&amp;D'!$U60*O$16, N$17*'GREET2_Factors_T&amp;D'!$T60*O$17,N$18*'GREET2_Factors_T&amp;D'!$V60*O$18)</f>
        <v>0.13421973445849542</v>
      </c>
      <c r="AI69" s="909">
        <f>AI$49*(GREET1_Import_Export!$B186* GREET1_Import_Export!$F$179+GREET1_Import_Export!$F186)+AI$50*(GREET1_Import_Export!$B186* GREET1_Import_Export!$G$179+GREET1_Import_Export!$G186)+AI$51*(GREET1_Import_Export!$B186* GREET1_Import_Export!$C$179+GREET1_Import_Export!$C186)+AI$52*(GREET1_Import_Export!$B186* GREET1_Import_Export!$E$179+GREET1_Import_Export!$E186)+AI$53*(GREET1_Import_Export!$B186* GREET1_Import_Export!$I$179+GREET1_Import_Export!$I186)+AI$54*GREET1_Import_Export!$B222+AI$55*GREET1_Import_Export!$B290+AI$61*(GREET1_Import_Export!$B315+GREET1_Import_Export!$C315)</f>
        <v>0.12785793098096968</v>
      </c>
      <c r="AJ69" s="1255">
        <v>2.9364708735889453E-2</v>
      </c>
      <c r="AK69" s="919">
        <f>AK$49*(GREET1_Import_Export!$B186* GREET1_Import_Export!$F$179+GREET1_Import_Export!$F186+GREET1_Import_Export!$L72)+AK$50*(GREET1_Import_Export!$B186* GREET1_Import_Export!$G$179+GREET1_Import_Export!$G186+GREET1_Import_Export!$Q146)+AK$51*(GREET1_Import_Export!$B186* GREET1_Import_Export!$C$179+GREET1_Import_Export!$C186+GREET1_Import_Export!$Q132)</f>
        <v>0.37597479147121748</v>
      </c>
      <c r="AL69" s="817">
        <f>SUM(P$16*'GREET2_Factors_T&amp;D'!$U60*Q$16, P$17*'GREET2_Factors_T&amp;D'!$T60*Q$17,P$18*'GREET2_Factors_T&amp;D'!$V60*Q$18)</f>
        <v>0.13421973445849542</v>
      </c>
      <c r="AM69" s="909">
        <f>AM$49*(GREET1_Import_Export!$B186* GREET1_Import_Export!$F$179+GREET1_Import_Export!$F186)+AM$50*(GREET1_Import_Export!$B186* GREET1_Import_Export!$G$179+GREET1_Import_Export!$G186)+AM$51*(GREET1_Import_Export!$B186* GREET1_Import_Export!$C$179+GREET1_Import_Export!$C186)+AM$52*(GREET1_Import_Export!$B186* GREET1_Import_Export!$E$179+GREET1_Import_Export!$E186)+AM$53*(GREET1_Import_Export!$B186* GREET1_Import_Export!$I$179+GREET1_Import_Export!$I186)+AM$54*GREET1_Import_Export!$B222+AM$55*GREET1_Import_Export!$B290+AM$61*(GREET1_Import_Export!$B315+GREET1_Import_Export!$C315)</f>
        <v>0.1278579309809697</v>
      </c>
      <c r="AN69" s="1255">
        <v>1.453797073732757E-2</v>
      </c>
      <c r="AO69" s="919">
        <f>AO$49*(GREET1_Import_Export!$B186* GREET1_Import_Export!$F$179+GREET1_Import_Export!$F186+GREET1_Import_Export!$L72)+AO$50*(GREET1_Import_Export!$B186* GREET1_Import_Export!$G$179+GREET1_Import_Export!$G186+GREET1_Import_Export!$Q146)+AO$51*(GREET1_Import_Export!$B186* GREET1_Import_Export!$C$179+GREET1_Import_Export!$C186+GREET1_Import_Export!$Q132)</f>
        <v>0.37597479147121748</v>
      </c>
      <c r="AP69" s="817">
        <f>SUM(R$16*'GREET2_Factors_T&amp;D'!$U60*S$16, R$17*'GREET2_Factors_T&amp;D'!$T60*S$17,R$18*'GREET2_Factors_T&amp;D'!$V60*S$18)</f>
        <v>0.67788453445042995</v>
      </c>
      <c r="AS69" s="1090"/>
      <c r="AT69" s="1090"/>
      <c r="AX69" s="1090"/>
      <c r="AY69" s="1090"/>
    </row>
    <row r="70" spans="1:51" s="1247" customFormat="1">
      <c r="A70" s="1237" t="s">
        <v>822</v>
      </c>
      <c r="B70" s="909">
        <f>B$49*(GREET1_Import_Export!$B187* GREET1_Import_Export!$F$179+GREET1_Import_Export!$F187)+B$50*(GREET1_Import_Export!$B187* GREET1_Import_Export!$G$179+GREET1_Import_Export!$G187)+B$51*(GREET1_Import_Export!$B187* GREET1_Import_Export!$C$179+GREET1_Import_Export!$C187)+B$52*(GREET1_Import_Export!$B187* GREET1_Import_Export!$E$179+GREET1_Import_Export!$E187)+B$53*(GREET1_Import_Export!$B187* GREET1_Import_Export!$I$179+GREET1_Import_Export!$I187)+B$54*GREET1_Import_Export!$B223+B$55*GREET1_Import_Export!$B291+B$61*(GREET1_Import_Export!$B316+GREET1_Import_Export!$C316)</f>
        <v>48.572794464579374</v>
      </c>
      <c r="C70" s="1255">
        <v>823.29429889416156</v>
      </c>
      <c r="E70" s="919">
        <f>E$50*(GREET1_Import_Export!$B187* GREET1_Import_Export!$G$179+GREET1_Import_Export!$G187+GREET1_Import_Export!$Q147)+E$51*(GREET1_Import_Export!$B187* GREET1_Import_Export!$D$179+GREET1_Import_Export!$D187+GREET1_Import_Export!$Q133)</f>
        <v>3.8437901958982681E-2</v>
      </c>
      <c r="F70" s="817">
        <f>SUM(B$16*'GREET2_Factors_T&amp;D'!$U61*C$16, B$17*'GREET2_Factors_T&amp;D'!$T61*C$17,B$18*'GREET2_Factors_T&amp;D'!$V61*C$18)</f>
        <v>8.2835216838879955</v>
      </c>
      <c r="G70" s="909">
        <f>G$49*(GREET1_Import_Export!$B187* GREET1_Import_Export!$F$179+GREET1_Import_Export!$F187)+G$50*(GREET1_Import_Export!$B187* GREET1_Import_Export!$G$179+GREET1_Import_Export!$G187)+G$51*(GREET1_Import_Export!$B187* GREET1_Import_Export!$C$179+GREET1_Import_Export!$C187)+G$52*(GREET1_Import_Export!$B187* GREET1_Import_Export!$E$179+GREET1_Import_Export!$E187)+G$53*(GREET1_Import_Export!$B187* GREET1_Import_Export!$I$179+GREET1_Import_Export!$I187)+G$54*GREET1_Import_Export!$B223+G$55*GREET1_Import_Export!$B291+G$61*(GREET1_Import_Export!$B316+GREET1_Import_Export!$C316)</f>
        <v>61.104535062141778</v>
      </c>
      <c r="H70" s="1255">
        <v>327.87604986186551</v>
      </c>
      <c r="J70" s="919">
        <f>J$50*(GREET1_Import_Export!$B187* GREET1_Import_Export!$G$179+GREET1_Import_Export!$G187+GREET1_Import_Export!$Q147)+J$51*(GREET1_Import_Export!$B187* GREET1_Import_Export!$D$179+GREET1_Import_Export!$D187+GREET1_Import_Export!$Q133)</f>
        <v>3.8437901958982681E-2</v>
      </c>
      <c r="K70" s="817">
        <f>SUM(D$16*'GREET2_Factors_T&amp;D'!$U61*E$16, D$17*'GREET2_Factors_T&amp;D'!$T61*E$17,D$18*'GREET2_Factors_T&amp;D'!$V61*E$18)</f>
        <v>8.2835216838879955</v>
      </c>
      <c r="L70" s="909">
        <f>L$49*(GREET1_Import_Export!$B187* GREET1_Import_Export!$F$179+GREET1_Import_Export!$F187)+L$50*(GREET1_Import_Export!$B187* GREET1_Import_Export!$G$179+GREET1_Import_Export!$G187)+L$51*(GREET1_Import_Export!$B187* GREET1_Import_Export!$C$179+GREET1_Import_Export!$C187)+L$52*(GREET1_Import_Export!$B187* GREET1_Import_Export!$E$179+GREET1_Import_Export!$E187)+L$53*(GREET1_Import_Export!$B187* GREET1_Import_Export!$I$179+GREET1_Import_Export!$I187)+L$54*GREET1_Import_Export!$B223+L$55*GREET1_Import_Export!$B291+L$61*(GREET1_Import_Export!$B316+GREET1_Import_Export!$C316)</f>
        <v>50.334844380746873</v>
      </c>
      <c r="M70" s="1255">
        <v>1613.4486837973275</v>
      </c>
      <c r="N70" s="919">
        <f>N$50*(GREET1_Import_Export!$B187* GREET1_Import_Export!$G$179+GREET1_Import_Export!$G187+GREET1_Import_Export!$Q147)+N$51*(GREET1_Import_Export!$B187* GREET1_Import_Export!$D$179+GREET1_Import_Export!$D187+GREET1_Import_Export!$Q133)</f>
        <v>3.8437901958982681E-2</v>
      </c>
      <c r="P70" s="817">
        <f>SUM(F$16*'GREET2_Factors_T&amp;D'!$U61*G$16, F$17*'GREET2_Factors_T&amp;D'!$T61*G$17,F$18*'GREET2_Factors_T&amp;D'!$V61*G$18)</f>
        <v>8.2835216838879955</v>
      </c>
      <c r="Q70" s="909">
        <f>Q$49*(GREET1_Import_Export!$B187* GREET1_Import_Export!$F$179+GREET1_Import_Export!$F187)+Q$50*(GREET1_Import_Export!$B187* GREET1_Import_Export!$G$179+GREET1_Import_Export!$G187)+Q$51*(GREET1_Import_Export!$B187* GREET1_Import_Export!$C$179+GREET1_Import_Export!$C187)+Q$52*(GREET1_Import_Export!$B187* GREET1_Import_Export!$E$179+GREET1_Import_Export!$E187)+Q$53*(GREET1_Import_Export!$B187* GREET1_Import_Export!$I$179+GREET1_Import_Export!$I187)+Q$54*GREET1_Import_Export!$B223+Q$55*GREET1_Import_Export!$B291+Q$61*(GREET1_Import_Export!$B316+GREET1_Import_Export!$C316)</f>
        <v>40.516830880346667</v>
      </c>
      <c r="R70" s="1255">
        <v>1070.5013838406289</v>
      </c>
      <c r="T70" s="919">
        <f>T$50*(GREET1_Import_Export!$B187* GREET1_Import_Export!$G$179+GREET1_Import_Export!$G187+GREET1_Import_Export!$Q147)+T$51*(GREET1_Import_Export!$B187* GREET1_Import_Export!$D$179+GREET1_Import_Export!$D187+GREET1_Import_Export!$Q133)</f>
        <v>3.8437901958982681E-2</v>
      </c>
      <c r="U70" s="817">
        <f>SUM(H$16*'GREET2_Factors_T&amp;D'!$U61*I$16, H$17*'GREET2_Factors_T&amp;D'!$T61*I$17,H$18*'GREET2_Factors_T&amp;D'!$V61*I$18)</f>
        <v>8.2835216838879955</v>
      </c>
      <c r="V70" s="909">
        <f>V$49*(GREET1_Import_Export!$B187* GREET1_Import_Export!$F$179+GREET1_Import_Export!$F187)+V$50*(GREET1_Import_Export!$B187* GREET1_Import_Export!$G$179+GREET1_Import_Export!$G187)+V$51*(GREET1_Import_Export!$B187* GREET1_Import_Export!$C$179+GREET1_Import_Export!$C187)+V$52*(GREET1_Import_Export!$B187* GREET1_Import_Export!$E$179+GREET1_Import_Export!$E187)+V$53*(GREET1_Import_Export!$B187* GREET1_Import_Export!$I$179+GREET1_Import_Export!$I187)+V$54*GREET1_Import_Export!$B223+V$55*GREET1_Import_Export!$B291+V$61*(GREET1_Import_Export!$B316+GREET1_Import_Export!$C316)</f>
        <v>43.26130314755811</v>
      </c>
      <c r="W70" s="1255">
        <f t="shared" si="9"/>
        <v>1087.889872167239</v>
      </c>
      <c r="Y70" s="919">
        <f>Y$50*(GREET1_Import_Export!$B187* GREET1_Import_Export!$G$179+GREET1_Import_Export!$G187+GREET1_Import_Export!$Q147)+Y$51*(GREET1_Import_Export!$B187* GREET1_Import_Export!$D$179+GREET1_Import_Export!$D187+GREET1_Import_Export!$Q133)</f>
        <v>3.8437901958982681E-2</v>
      </c>
      <c r="Z70" s="817">
        <f>SUM(J$16*'GREET2_Factors_T&amp;D'!$U61*K$16, J$17*'GREET2_Factors_T&amp;D'!$T61*K$17,J$18*'GREET2_Factors_T&amp;D'!$V61*K$18)</f>
        <v>8.2835216838879955</v>
      </c>
      <c r="AA70" s="909">
        <f>AA$49*(GREET1_Import_Export!$B187* GREET1_Import_Export!$F$179+GREET1_Import_Export!$F187)+AA$50*(GREET1_Import_Export!$B187* GREET1_Import_Export!$G$179+GREET1_Import_Export!$G187)+AA$51*(GREET1_Import_Export!$B187* GREET1_Import_Export!$C$179+GREET1_Import_Export!$C187)+AA$52*(GREET1_Import_Export!$B187* GREET1_Import_Export!$E$179+GREET1_Import_Export!$E187)+AA$53*(GREET1_Import_Export!$B187* GREET1_Import_Export!$I$179+GREET1_Import_Export!$I187)+AA$54*GREET1_Import_Export!$B223+AA$55*GREET1_Import_Export!$B291+AA$61*(GREET1_Import_Export!$B316+GREET1_Import_Export!$C316)</f>
        <v>0.37012794493421131</v>
      </c>
      <c r="AB70" s="1255">
        <v>10.904596045255035</v>
      </c>
      <c r="AC70" s="919">
        <f>AC$50*(GREET1_Import_Export!$B187* GREET1_Import_Export!$G$179+GREET1_Import_Export!$G187+GREET1_Import_Export!$Q147)+AC$51*(GREET1_Import_Export!$B187* GREET1_Import_Export!$D$179+GREET1_Import_Export!$D187+GREET1_Import_Export!$Q133)</f>
        <v>0.20104567639585177</v>
      </c>
      <c r="AD70" s="817">
        <f>'GREET2_Factors_T&amp;D'!W61</f>
        <v>0.41775771765735881</v>
      </c>
      <c r="AE70" s="909">
        <f>AE$49*(GREET1_Import_Export!$B187* GREET1_Import_Export!$F$179+GREET1_Import_Export!$F187)+AE$50*(GREET1_Import_Export!$B187* GREET1_Import_Export!$G$179+GREET1_Import_Export!$G187)+AE$51*(GREET1_Import_Export!$B187* GREET1_Import_Export!$C$179+GREET1_Import_Export!$C187)+AE$52*(GREET1_Import_Export!$B187* GREET1_Import_Export!$E$179+GREET1_Import_Export!$E187)+AE$53*(GREET1_Import_Export!$B187* GREET1_Import_Export!$I$179+GREET1_Import_Export!$I187)+AE$54*GREET1_Import_Export!$B223+AE$55*GREET1_Import_Export!$B291+AE$61*(GREET1_Import_Export!$B316+GREET1_Import_Export!$C316)</f>
        <v>0.3503122453999839</v>
      </c>
      <c r="AF70" s="1255">
        <v>1.5384050369535702</v>
      </c>
      <c r="AG70" s="919">
        <f>AG$49*(GREET1_Import_Export!$B187* GREET1_Import_Export!$F$179+GREET1_Import_Export!$F187+GREET1_Import_Export!$L73)+AG$50*(GREET1_Import_Export!$B187* GREET1_Import_Export!$G$179+GREET1_Import_Export!$G187+GREET1_Import_Export!$Q147)+AG$51*(GREET1_Import_Export!$B187* GREET1_Import_Export!$C$179+GREET1_Import_Export!$C187+GREET1_Import_Export!$Q133)</f>
        <v>1.6043951944020427</v>
      </c>
      <c r="AH70" s="817">
        <f>SUM(N$16*'GREET2_Factors_T&amp;D'!$U61*O$16, N$17*'GREET2_Factors_T&amp;D'!$T61*O$17,N$18*'GREET2_Factors_T&amp;D'!$V61*O$18)</f>
        <v>1.3831033080341848</v>
      </c>
      <c r="AI70" s="909">
        <f>AI$49*(GREET1_Import_Export!$B187* GREET1_Import_Export!$F$179+GREET1_Import_Export!$F187)+AI$50*(GREET1_Import_Export!$B187* GREET1_Import_Export!$G$179+GREET1_Import_Export!$G187)+AI$51*(GREET1_Import_Export!$B187* GREET1_Import_Export!$C$179+GREET1_Import_Export!$C187)+AI$52*(GREET1_Import_Export!$B187* GREET1_Import_Export!$E$179+GREET1_Import_Export!$E187)+AI$53*(GREET1_Import_Export!$B187* GREET1_Import_Export!$I$179+GREET1_Import_Export!$I187)+AI$54*GREET1_Import_Export!$B223+AI$55*GREET1_Import_Export!$B291+AI$61*(GREET1_Import_Export!$B316+GREET1_Import_Export!$C316)</f>
        <v>0.3503122453999839</v>
      </c>
      <c r="AJ70" s="1255">
        <v>1.5384050369535702</v>
      </c>
      <c r="AK70" s="919">
        <f>AK$49*(GREET1_Import_Export!$B187* GREET1_Import_Export!$F$179+GREET1_Import_Export!$F187+GREET1_Import_Export!$L73)+AK$50*(GREET1_Import_Export!$B187* GREET1_Import_Export!$G$179+GREET1_Import_Export!$G187+GREET1_Import_Export!$Q147)+AK$51*(GREET1_Import_Export!$B187* GREET1_Import_Export!$C$179+GREET1_Import_Export!$C187+GREET1_Import_Export!$Q133)</f>
        <v>1.6043951944020427</v>
      </c>
      <c r="AL70" s="817">
        <f>SUM(P$16*'GREET2_Factors_T&amp;D'!$U61*Q$16, P$17*'GREET2_Factors_T&amp;D'!$T61*Q$17,P$18*'GREET2_Factors_T&amp;D'!$V61*Q$18)</f>
        <v>1.3831033080341848</v>
      </c>
      <c r="AM70" s="909">
        <f>AM$49*(GREET1_Import_Export!$B187* GREET1_Import_Export!$F$179+GREET1_Import_Export!$F187)+AM$50*(GREET1_Import_Export!$B187* GREET1_Import_Export!$G$179+GREET1_Import_Export!$G187)+AM$51*(GREET1_Import_Export!$B187* GREET1_Import_Export!$C$179+GREET1_Import_Export!$C187)+AM$52*(GREET1_Import_Export!$B187* GREET1_Import_Export!$E$179+GREET1_Import_Export!$E187)+AM$53*(GREET1_Import_Export!$B187* GREET1_Import_Export!$I$179+GREET1_Import_Export!$I187)+AM$54*GREET1_Import_Export!$B223+AM$55*GREET1_Import_Export!$B291+AM$61*(GREET1_Import_Export!$B316+GREET1_Import_Export!$C316)</f>
        <v>0.35031224539998401</v>
      </c>
      <c r="AN70" s="1255">
        <v>1.7212722289250761</v>
      </c>
      <c r="AO70" s="919">
        <f>AO$49*(GREET1_Import_Export!$B187* GREET1_Import_Export!$F$179+GREET1_Import_Export!$F187+GREET1_Import_Export!$L73)+AO$50*(GREET1_Import_Export!$B187* GREET1_Import_Export!$G$179+GREET1_Import_Export!$G187+GREET1_Import_Export!$Q147)+AO$51*(GREET1_Import_Export!$B187* GREET1_Import_Export!$C$179+GREET1_Import_Export!$C187+GREET1_Import_Export!$Q133)</f>
        <v>1.6043951944020427</v>
      </c>
      <c r="AP70" s="817">
        <f>SUM(R$16*'GREET2_Factors_T&amp;D'!$U61*S$16, R$17*'GREET2_Factors_T&amp;D'!$T61*S$17,R$18*'GREET2_Factors_T&amp;D'!$V61*S$18)</f>
        <v>5.3868740435084437</v>
      </c>
      <c r="AS70" s="1090"/>
      <c r="AT70" s="1090"/>
      <c r="AX70" s="1090"/>
      <c r="AY70" s="1090"/>
    </row>
    <row r="71" spans="1:51" s="1247" customFormat="1">
      <c r="A71" s="1237" t="s">
        <v>823</v>
      </c>
      <c r="B71" s="909">
        <f>B$49*(GREET1_Import_Export!$B188* GREET1_Import_Export!$F$179+GREET1_Import_Export!$F188)+B$50*(GREET1_Import_Export!$B188* GREET1_Import_Export!$G$179+GREET1_Import_Export!$G188)+B$51*(GREET1_Import_Export!$B188* GREET1_Import_Export!$C$179+GREET1_Import_Export!$C188)+B$52*(GREET1_Import_Export!$B188* GREET1_Import_Export!$E$179+GREET1_Import_Export!$E188)+B$53*(GREET1_Import_Export!$B188* GREET1_Import_Export!$I$179+GREET1_Import_Export!$I188)+B$54*GREET1_Import_Export!$B224+B$55*GREET1_Import_Export!$B292+B$61*(GREET1_Import_Export!$B317+GREET1_Import_Export!$C317)</f>
        <v>77.114161132773432</v>
      </c>
      <c r="C71" s="1255">
        <v>1724.377321293749</v>
      </c>
      <c r="E71" s="919">
        <f>E$50*(GREET1_Import_Export!$B188* GREET1_Import_Export!$G$179+GREET1_Import_Export!$G188+GREET1_Import_Export!$Q148)+E$51*(GREET1_Import_Export!$B188* GREET1_Import_Export!$D$179+GREET1_Import_Export!$D188+GREET1_Import_Export!$Q134)</f>
        <v>0.17662563726017411</v>
      </c>
      <c r="F71" s="817">
        <f>SUM(B$16*'GREET2_Factors_T&amp;D'!$U62*C$16, B$17*'GREET2_Factors_T&amp;D'!$T62*C$17,B$18*'GREET2_Factors_T&amp;D'!$V62*C$18)</f>
        <v>6.4542608544490916</v>
      </c>
      <c r="G71" s="909">
        <f>G$49*(GREET1_Import_Export!$B188* GREET1_Import_Export!$F$179+GREET1_Import_Export!$F188)+G$50*(GREET1_Import_Export!$B188* GREET1_Import_Export!$G$179+GREET1_Import_Export!$G188)+G$51*(GREET1_Import_Export!$B188* GREET1_Import_Export!$C$179+GREET1_Import_Export!$C188)+G$52*(GREET1_Import_Export!$B188* GREET1_Import_Export!$E$179+GREET1_Import_Export!$E188)+G$53*(GREET1_Import_Export!$B188* GREET1_Import_Export!$I$179+GREET1_Import_Export!$I188)+G$54*GREET1_Import_Export!$B224+G$55*GREET1_Import_Export!$B292+G$61*(GREET1_Import_Export!$B317+GREET1_Import_Export!$C317)</f>
        <v>100.37730430996189</v>
      </c>
      <c r="H71" s="1255">
        <v>1797.4968242765895</v>
      </c>
      <c r="J71" s="919">
        <f>J$50*(GREET1_Import_Export!$B188* GREET1_Import_Export!$G$179+GREET1_Import_Export!$G188+GREET1_Import_Export!$Q148)+J$51*(GREET1_Import_Export!$B188* GREET1_Import_Export!$D$179+GREET1_Import_Export!$D188+GREET1_Import_Export!$Q134)</f>
        <v>0.17662563726017411</v>
      </c>
      <c r="K71" s="817">
        <f>SUM(D$16*'GREET2_Factors_T&amp;D'!$U62*E$16, D$17*'GREET2_Factors_T&amp;D'!$T62*E$17,D$18*'GREET2_Factors_T&amp;D'!$V62*E$18)</f>
        <v>6.4542608544490916</v>
      </c>
      <c r="L71" s="909">
        <f>L$49*(GREET1_Import_Export!$B188* GREET1_Import_Export!$F$179+GREET1_Import_Export!$F188)+L$50*(GREET1_Import_Export!$B188* GREET1_Import_Export!$G$179+GREET1_Import_Export!$G188)+L$51*(GREET1_Import_Export!$B188* GREET1_Import_Export!$C$179+GREET1_Import_Export!$C188)+L$52*(GREET1_Import_Export!$B188* GREET1_Import_Export!$E$179+GREET1_Import_Export!$E188)+L$53*(GREET1_Import_Export!$B188* GREET1_Import_Export!$I$179+GREET1_Import_Export!$I188)+L$54*GREET1_Import_Export!$B224+L$55*GREET1_Import_Export!$B292+L$61*(GREET1_Import_Export!$B317+GREET1_Import_Export!$C317)</f>
        <v>80.433336973755388</v>
      </c>
      <c r="M71" s="1255">
        <v>1421.752285560168</v>
      </c>
      <c r="N71" s="919">
        <f>N$50*(GREET1_Import_Export!$B188* GREET1_Import_Export!$G$179+GREET1_Import_Export!$G188+GREET1_Import_Export!$Q148)+N$51*(GREET1_Import_Export!$B188* GREET1_Import_Export!$D$179+GREET1_Import_Export!$D188+GREET1_Import_Export!$Q134)</f>
        <v>0.17662563726017411</v>
      </c>
      <c r="P71" s="817">
        <f>SUM(F$16*'GREET2_Factors_T&amp;D'!$U62*G$16, F$17*'GREET2_Factors_T&amp;D'!$T62*G$17,F$18*'GREET2_Factors_T&amp;D'!$V62*G$18)</f>
        <v>6.4542608544490916</v>
      </c>
      <c r="Q71" s="909">
        <f>Q$49*(GREET1_Import_Export!$B188* GREET1_Import_Export!$F$179+GREET1_Import_Export!$F188)+Q$50*(GREET1_Import_Export!$B188* GREET1_Import_Export!$G$179+GREET1_Import_Export!$G188)+Q$51*(GREET1_Import_Export!$B188* GREET1_Import_Export!$C$179+GREET1_Import_Export!$C188)+Q$52*(GREET1_Import_Export!$B188* GREET1_Import_Export!$E$179+GREET1_Import_Export!$E188)+Q$53*(GREET1_Import_Export!$B188* GREET1_Import_Export!$I$179+GREET1_Import_Export!$I188)+Q$54*GREET1_Import_Export!$B224+Q$55*GREET1_Import_Export!$B292+Q$61*(GREET1_Import_Export!$B317+GREET1_Import_Export!$C317)</f>
        <v>67.242670117772974</v>
      </c>
      <c r="R71" s="1255">
        <v>1025.2590191484949</v>
      </c>
      <c r="T71" s="919">
        <f>T$50*(GREET1_Import_Export!$B188* GREET1_Import_Export!$G$179+GREET1_Import_Export!$G188+GREET1_Import_Export!$Q148)+T$51*(GREET1_Import_Export!$B188* GREET1_Import_Export!$D$179+GREET1_Import_Export!$D188+GREET1_Import_Export!$Q134)</f>
        <v>0.17662563726017411</v>
      </c>
      <c r="U71" s="817">
        <f>SUM(H$16*'GREET2_Factors_T&amp;D'!$U62*I$16, H$17*'GREET2_Factors_T&amp;D'!$T62*I$17,H$18*'GREET2_Factors_T&amp;D'!$V62*I$18)</f>
        <v>6.4542608544490916</v>
      </c>
      <c r="V71" s="909">
        <f>V$49*(GREET1_Import_Export!$B188* GREET1_Import_Export!$F$179+GREET1_Import_Export!$F188)+V$50*(GREET1_Import_Export!$B188* GREET1_Import_Export!$G$179+GREET1_Import_Export!$G188)+V$51*(GREET1_Import_Export!$B188* GREET1_Import_Export!$C$179+GREET1_Import_Export!$C188)+V$52*(GREET1_Import_Export!$B188* GREET1_Import_Export!$E$179+GREET1_Import_Export!$E188)+V$53*(GREET1_Import_Export!$B188* GREET1_Import_Export!$I$179+GREET1_Import_Export!$I188)+V$54*GREET1_Import_Export!$B224+V$55*GREET1_Import_Export!$B292+V$61*(GREET1_Import_Export!$B317+GREET1_Import_Export!$C317)</f>
        <v>71.339254005020052</v>
      </c>
      <c r="W71" s="1255">
        <f t="shared" si="9"/>
        <v>1136.2117199613158</v>
      </c>
      <c r="Y71" s="919">
        <f>Y$50*(GREET1_Import_Export!$B188* GREET1_Import_Export!$G$179+GREET1_Import_Export!$G188+GREET1_Import_Export!$Q148)+Y$51*(GREET1_Import_Export!$B188* GREET1_Import_Export!$D$179+GREET1_Import_Export!$D188+GREET1_Import_Export!$Q134)</f>
        <v>0.17662563726017411</v>
      </c>
      <c r="Z71" s="817">
        <f>SUM(J$16*'GREET2_Factors_T&amp;D'!$U62*K$16, J$17*'GREET2_Factors_T&amp;D'!$T62*K$17,J$18*'GREET2_Factors_T&amp;D'!$V62*K$18)</f>
        <v>6.4542608544490916</v>
      </c>
      <c r="AA71" s="909">
        <f>AA$49*(GREET1_Import_Export!$B188* GREET1_Import_Export!$F$179+GREET1_Import_Export!$F188)+AA$50*(GREET1_Import_Export!$B188* GREET1_Import_Export!$G$179+GREET1_Import_Export!$G188)+AA$51*(GREET1_Import_Export!$B188* GREET1_Import_Export!$C$179+GREET1_Import_Export!$C188)+AA$52*(GREET1_Import_Export!$B188* GREET1_Import_Export!$E$179+GREET1_Import_Export!$E188)+AA$53*(GREET1_Import_Export!$B188* GREET1_Import_Export!$I$179+GREET1_Import_Export!$I188)+AA$54*GREET1_Import_Export!$B224+AA$55*GREET1_Import_Export!$B292+AA$61*(GREET1_Import_Export!$B317+GREET1_Import_Export!$C317)</f>
        <v>0.62583661446842132</v>
      </c>
      <c r="AB71" s="1255">
        <v>18.105084594144881</v>
      </c>
      <c r="AC71" s="919">
        <f>AC$50*(GREET1_Import_Export!$B188* GREET1_Import_Export!$G$179+GREET1_Import_Export!$G188+GREET1_Import_Export!$Q148)+AC$51*(GREET1_Import_Export!$B188* GREET1_Import_Export!$D$179+GREET1_Import_Export!$D188+GREET1_Import_Export!$Q134)</f>
        <v>0.92382307311446943</v>
      </c>
      <c r="AD71" s="817">
        <f>'GREET2_Factors_T&amp;D'!W62</f>
        <v>0.3118664502086505</v>
      </c>
      <c r="AE71" s="909">
        <f>AE$49*(GREET1_Import_Export!$B188* GREET1_Import_Export!$F$179+GREET1_Import_Export!$F188)+AE$50*(GREET1_Import_Export!$B188* GREET1_Import_Export!$G$179+GREET1_Import_Export!$G188)+AE$51*(GREET1_Import_Export!$B188* GREET1_Import_Export!$C$179+GREET1_Import_Export!$C188)+AE$52*(GREET1_Import_Export!$B188* GREET1_Import_Export!$E$179+GREET1_Import_Export!$E188)+AE$53*(GREET1_Import_Export!$B188* GREET1_Import_Export!$I$179+GREET1_Import_Export!$I188)+AE$54*GREET1_Import_Export!$B224+AE$55*GREET1_Import_Export!$B292+AE$61*(GREET1_Import_Export!$B317+GREET1_Import_Export!$C317)</f>
        <v>0.68317007122424844</v>
      </c>
      <c r="AF71" s="1255">
        <v>2.212337673059714</v>
      </c>
      <c r="AG71" s="919">
        <f>AG$49*(GREET1_Import_Export!$B188* GREET1_Import_Export!$F$179+GREET1_Import_Export!$F188+GREET1_Import_Export!$L74)+AG$50*(GREET1_Import_Export!$B188* GREET1_Import_Export!$G$179+GREET1_Import_Export!$G188+GREET1_Import_Export!$Q148)+AG$51*(GREET1_Import_Export!$B188* GREET1_Import_Export!$C$179+GREET1_Import_Export!$C188+GREET1_Import_Export!$Q134)</f>
        <v>3.3218288657375696</v>
      </c>
      <c r="AH71" s="817">
        <f>SUM(N$16*'GREET2_Factors_T&amp;D'!$U62*O$16, N$17*'GREET2_Factors_T&amp;D'!$T62*O$17,N$18*'GREET2_Factors_T&amp;D'!$V62*O$18)</f>
        <v>1.7441294372061997</v>
      </c>
      <c r="AI71" s="909">
        <f>AI$49*(GREET1_Import_Export!$B188* GREET1_Import_Export!$F$179+GREET1_Import_Export!$F188)+AI$50*(GREET1_Import_Export!$B188* GREET1_Import_Export!$G$179+GREET1_Import_Export!$G188)+AI$51*(GREET1_Import_Export!$B188* GREET1_Import_Export!$C$179+GREET1_Import_Export!$C188)+AI$52*(GREET1_Import_Export!$B188* GREET1_Import_Export!$E$179+GREET1_Import_Export!$E188)+AI$53*(GREET1_Import_Export!$B188* GREET1_Import_Export!$I$179+GREET1_Import_Export!$I188)+AI$54*GREET1_Import_Export!$B224+AI$55*GREET1_Import_Export!$B292+AI$61*(GREET1_Import_Export!$B317+GREET1_Import_Export!$C317)</f>
        <v>0.68317007122424855</v>
      </c>
      <c r="AJ71" s="1255">
        <v>2.212337673059714</v>
      </c>
      <c r="AK71" s="919">
        <f>AK$49*(GREET1_Import_Export!$B188* GREET1_Import_Export!$F$179+GREET1_Import_Export!$F188+GREET1_Import_Export!$L74)+AK$50*(GREET1_Import_Export!$B188* GREET1_Import_Export!$G$179+GREET1_Import_Export!$G188+GREET1_Import_Export!$Q148)+AK$51*(GREET1_Import_Export!$B188* GREET1_Import_Export!$C$179+GREET1_Import_Export!$C188+GREET1_Import_Export!$Q134)</f>
        <v>3.3218288657375696</v>
      </c>
      <c r="AL71" s="817">
        <f>SUM(P$16*'GREET2_Factors_T&amp;D'!$U62*Q$16, P$17*'GREET2_Factors_T&amp;D'!$T62*Q$17,P$18*'GREET2_Factors_T&amp;D'!$V62*Q$18)</f>
        <v>1.7441294372061997</v>
      </c>
      <c r="AM71" s="909">
        <f>AM$49*(GREET1_Import_Export!$B188* GREET1_Import_Export!$F$179+GREET1_Import_Export!$F188)+AM$50*(GREET1_Import_Export!$B188* GREET1_Import_Export!$G$179+GREET1_Import_Export!$G188)+AM$51*(GREET1_Import_Export!$B188* GREET1_Import_Export!$C$179+GREET1_Import_Export!$C188)+AM$52*(GREET1_Import_Export!$B188* GREET1_Import_Export!$E$179+GREET1_Import_Export!$E188)+AM$53*(GREET1_Import_Export!$B188* GREET1_Import_Export!$I$179+GREET1_Import_Export!$I188)+AM$54*GREET1_Import_Export!$B224+AM$55*GREET1_Import_Export!$B292+AM$61*(GREET1_Import_Export!$B317+GREET1_Import_Export!$C317)</f>
        <v>0.68317007122424889</v>
      </c>
      <c r="AN71" s="1255">
        <v>3.7942968303566582</v>
      </c>
      <c r="AO71" s="919">
        <f>AO$49*(GREET1_Import_Export!$B188* GREET1_Import_Export!$F$179+GREET1_Import_Export!$F188+GREET1_Import_Export!$L74)+AO$50*(GREET1_Import_Export!$B188* GREET1_Import_Export!$G$179+GREET1_Import_Export!$G188+GREET1_Import_Export!$Q148)+AO$51*(GREET1_Import_Export!$B188* GREET1_Import_Export!$C$179+GREET1_Import_Export!$C188+GREET1_Import_Export!$Q134)</f>
        <v>3.3218288657375696</v>
      </c>
      <c r="AP71" s="817">
        <f>SUM(R$16*'GREET2_Factors_T&amp;D'!$U62*S$16, R$17*'GREET2_Factors_T&amp;D'!$T62*S$17,R$18*'GREET2_Factors_T&amp;D'!$V62*S$18)</f>
        <v>7.6568815622258732</v>
      </c>
      <c r="AS71" s="1090"/>
      <c r="AT71" s="1090"/>
      <c r="AX71" s="1090"/>
      <c r="AY71" s="1090"/>
    </row>
    <row r="72" spans="1:51" s="1247" customFormat="1">
      <c r="A72" s="1237" t="s">
        <v>824</v>
      </c>
      <c r="B72" s="909">
        <f>B$49*(GREET1_Import_Export!$B189* GREET1_Import_Export!$F$179+GREET1_Import_Export!$F189)+B$50*(GREET1_Import_Export!$B189* GREET1_Import_Export!$G$179+GREET1_Import_Export!$G189)+B$51*(GREET1_Import_Export!$B189* GREET1_Import_Export!$C$179+GREET1_Import_Export!$C189)+B$52*(GREET1_Import_Export!$B189* GREET1_Import_Export!$E$179+GREET1_Import_Export!$E189)+B$53*(GREET1_Import_Export!$B189* GREET1_Import_Export!$I$179+GREET1_Import_Export!$I189)+B$54*GREET1_Import_Export!$B225+B$55*GREET1_Import_Export!$B293+B$61*(GREET1_Import_Export!$B318+GREET1_Import_Export!$C318)</f>
        <v>17.347737442865615</v>
      </c>
      <c r="C72" s="1255">
        <v>431.96260639856416</v>
      </c>
      <c r="E72" s="919">
        <f>E$50*(GREET1_Import_Export!$B189* GREET1_Import_Export!$G$179+GREET1_Import_Export!$G189+GREET1_Import_Export!$Q149)+E$51*(GREET1_Import_Export!$B189* GREET1_Import_Export!$D$179+GREET1_Import_Export!$D189+GREET1_Import_Export!$Q135)</f>
        <v>4.523231415028659E-3</v>
      </c>
      <c r="F72" s="817">
        <f>SUM(B$16*'GREET2_Factors_T&amp;D'!$U63*C$16, B$17*'GREET2_Factors_T&amp;D'!$T63*C$17,B$18*'GREET2_Factors_T&amp;D'!$V63*C$18)</f>
        <v>0.36760548684330285</v>
      </c>
      <c r="G72" s="909">
        <f>G$49*(GREET1_Import_Export!$B189* GREET1_Import_Export!$F$179+GREET1_Import_Export!$F189)+G$50*(GREET1_Import_Export!$B189* GREET1_Import_Export!$G$179+GREET1_Import_Export!$G189)+G$51*(GREET1_Import_Export!$B189* GREET1_Import_Export!$C$179+GREET1_Import_Export!$C189)+G$52*(GREET1_Import_Export!$B189* GREET1_Import_Export!$E$179+GREET1_Import_Export!$E189)+G$53*(GREET1_Import_Export!$B189* GREET1_Import_Export!$I$179+GREET1_Import_Export!$I189)+G$54*GREET1_Import_Export!$B225+G$55*GREET1_Import_Export!$B293+G$61*(GREET1_Import_Export!$B318+GREET1_Import_Export!$C318)</f>
        <v>17.603351716639526</v>
      </c>
      <c r="H72" s="1255">
        <v>254.39220934469935</v>
      </c>
      <c r="J72" s="919">
        <f>J$50*(GREET1_Import_Export!$B189* GREET1_Import_Export!$G$179+GREET1_Import_Export!$G189+GREET1_Import_Export!$Q149)+J$51*(GREET1_Import_Export!$B189* GREET1_Import_Export!$D$179+GREET1_Import_Export!$D189+GREET1_Import_Export!$Q135)</f>
        <v>4.523231415028659E-3</v>
      </c>
      <c r="K72" s="817">
        <f>SUM(D$16*'GREET2_Factors_T&amp;D'!$U63*E$16, D$17*'GREET2_Factors_T&amp;D'!$T63*E$17,D$18*'GREET2_Factors_T&amp;D'!$V63*E$18)</f>
        <v>0.36760548684330285</v>
      </c>
      <c r="L72" s="909">
        <f>L$49*(GREET1_Import_Export!$B189* GREET1_Import_Export!$F$179+GREET1_Import_Export!$F189)+L$50*(GREET1_Import_Export!$B189* GREET1_Import_Export!$G$179+GREET1_Import_Export!$G189)+L$51*(GREET1_Import_Export!$B189* GREET1_Import_Export!$C$179+GREET1_Import_Export!$C189)+L$52*(GREET1_Import_Export!$B189* GREET1_Import_Export!$E$179+GREET1_Import_Export!$E189)+L$53*(GREET1_Import_Export!$B189* GREET1_Import_Export!$I$179+GREET1_Import_Export!$I189)+L$54*GREET1_Import_Export!$B225+L$55*GREET1_Import_Export!$B293+L$61*(GREET1_Import_Export!$B318+GREET1_Import_Export!$C318)</f>
        <v>21.308995297017852</v>
      </c>
      <c r="M72" s="1255">
        <v>316.08399900783081</v>
      </c>
      <c r="N72" s="919">
        <f>N$50*(GREET1_Import_Export!$B189* GREET1_Import_Export!$G$179+GREET1_Import_Export!$G189+GREET1_Import_Export!$Q149)+N$51*(GREET1_Import_Export!$B189* GREET1_Import_Export!$D$179+GREET1_Import_Export!$D189+GREET1_Import_Export!$Q135)</f>
        <v>4.523231415028659E-3</v>
      </c>
      <c r="P72" s="817">
        <f>SUM(F$16*'GREET2_Factors_T&amp;D'!$U63*G$16, F$17*'GREET2_Factors_T&amp;D'!$T63*G$17,F$18*'GREET2_Factors_T&amp;D'!$V63*G$18)</f>
        <v>0.36760548684330285</v>
      </c>
      <c r="Q72" s="909">
        <f>Q$49*(GREET1_Import_Export!$B189* GREET1_Import_Export!$F$179+GREET1_Import_Export!$F189)+Q$50*(GREET1_Import_Export!$B189* GREET1_Import_Export!$G$179+GREET1_Import_Export!$G189)+Q$51*(GREET1_Import_Export!$B189* GREET1_Import_Export!$C$179+GREET1_Import_Export!$C189)+Q$52*(GREET1_Import_Export!$B189* GREET1_Import_Export!$E$179+GREET1_Import_Export!$E189)+Q$53*(GREET1_Import_Export!$B189* GREET1_Import_Export!$I$179+GREET1_Import_Export!$I189)+Q$54*GREET1_Import_Export!$B225+Q$55*GREET1_Import_Export!$B293+Q$61*(GREET1_Import_Export!$B318+GREET1_Import_Export!$C318)</f>
        <v>17.865768655744745</v>
      </c>
      <c r="R72" s="1255">
        <v>159.13865229449539</v>
      </c>
      <c r="T72" s="919">
        <f>T$50*(GREET1_Import_Export!$B189* GREET1_Import_Export!$G$179+GREET1_Import_Export!$G189+GREET1_Import_Export!$Q149)+T$51*(GREET1_Import_Export!$B189* GREET1_Import_Export!$D$179+GREET1_Import_Export!$D189+GREET1_Import_Export!$Q135)</f>
        <v>4.523231415028659E-3</v>
      </c>
      <c r="U72" s="817">
        <f>SUM(H$16*'GREET2_Factors_T&amp;D'!$U63*I$16, H$17*'GREET2_Factors_T&amp;D'!$T63*I$17,H$18*'GREET2_Factors_T&amp;D'!$V63*I$18)</f>
        <v>0.36760548684330285</v>
      </c>
      <c r="V72" s="909">
        <f>V$49*(GREET1_Import_Export!$B189* GREET1_Import_Export!$F$179+GREET1_Import_Export!$F189)+V$50*(GREET1_Import_Export!$B189* GREET1_Import_Export!$G$179+GREET1_Import_Export!$G189)+V$51*(GREET1_Import_Export!$B189* GREET1_Import_Export!$C$179+GREET1_Import_Export!$C189)+V$52*(GREET1_Import_Export!$B189* GREET1_Import_Export!$E$179+GREET1_Import_Export!$E189)+V$53*(GREET1_Import_Export!$B189* GREET1_Import_Export!$I$179+GREET1_Import_Export!$I189)+V$54*GREET1_Import_Export!$B225+V$55*GREET1_Import_Export!$B293+V$61*(GREET1_Import_Export!$B318+GREET1_Import_Export!$C318)</f>
        <v>18.521654667994017</v>
      </c>
      <c r="W72" s="1255">
        <f t="shared" si="9"/>
        <v>191.57332855803278</v>
      </c>
      <c r="Y72" s="919">
        <f>Y$50*(GREET1_Import_Export!$B189* GREET1_Import_Export!$G$179+GREET1_Import_Export!$G189+GREET1_Import_Export!$Q149)+Y$51*(GREET1_Import_Export!$B189* GREET1_Import_Export!$D$179+GREET1_Import_Export!$D189+GREET1_Import_Export!$Q135)</f>
        <v>4.523231415028659E-3</v>
      </c>
      <c r="Z72" s="817">
        <f>SUM(J$16*'GREET2_Factors_T&amp;D'!$U63*K$16, J$17*'GREET2_Factors_T&amp;D'!$T63*K$17,J$18*'GREET2_Factors_T&amp;D'!$V63*K$18)</f>
        <v>0.36760548684330285</v>
      </c>
      <c r="AA72" s="909">
        <f>AA$49*(GREET1_Import_Export!$B189* GREET1_Import_Export!$F$179+GREET1_Import_Export!$F189)+AA$50*(GREET1_Import_Export!$B189* GREET1_Import_Export!$G$179+GREET1_Import_Export!$G189)+AA$51*(GREET1_Import_Export!$B189* GREET1_Import_Export!$C$179+GREET1_Import_Export!$C189)+AA$52*(GREET1_Import_Export!$B189* GREET1_Import_Export!$E$179+GREET1_Import_Export!$E189)+AA$53*(GREET1_Import_Export!$B189* GREET1_Import_Export!$I$179+GREET1_Import_Export!$I189)+AA$54*GREET1_Import_Export!$B225+AA$55*GREET1_Import_Export!$B293+AA$61*(GREET1_Import_Export!$B318+GREET1_Import_Export!$C318)</f>
        <v>7.2684847416256221E-2</v>
      </c>
      <c r="AB72" s="1255">
        <v>45.072206612440866</v>
      </c>
      <c r="AC72" s="919">
        <f>AC$50*(GREET1_Import_Export!$B189* GREET1_Import_Export!$G$179+GREET1_Import_Export!$G189+GREET1_Import_Export!$Q149)+AC$51*(GREET1_Import_Export!$B189* GREET1_Import_Export!$D$179+GREET1_Import_Export!$D189+GREET1_Import_Export!$Q135)</f>
        <v>2.3658318299989507E-2</v>
      </c>
      <c r="AD72" s="817">
        <f>'GREET2_Factors_T&amp;D'!W63</f>
        <v>1.8440396694999184E-2</v>
      </c>
      <c r="AE72" s="909">
        <f>AE$49*(GREET1_Import_Export!$B189* GREET1_Import_Export!$F$179+GREET1_Import_Export!$F189)+AE$50*(GREET1_Import_Export!$B189* GREET1_Import_Export!$G$179+GREET1_Import_Export!$G189)+AE$51*(GREET1_Import_Export!$B189* GREET1_Import_Export!$C$179+GREET1_Import_Export!$C189)+AE$52*(GREET1_Import_Export!$B189* GREET1_Import_Export!$E$179+GREET1_Import_Export!$E189)+AE$53*(GREET1_Import_Export!$B189* GREET1_Import_Export!$I$179+GREET1_Import_Export!$I189)+AE$54*GREET1_Import_Export!$B225+AE$55*GREET1_Import_Export!$B293+AE$61*(GREET1_Import_Export!$B318+GREET1_Import_Export!$C318)</f>
        <v>0.10198060899734648</v>
      </c>
      <c r="AF72" s="1255">
        <v>4.1184989881510683</v>
      </c>
      <c r="AG72" s="919">
        <f>AG$49*(GREET1_Import_Export!$B189* GREET1_Import_Export!$F$179+GREET1_Import_Export!$F189+GREET1_Import_Export!$L75)+AG$50*(GREET1_Import_Export!$B189* GREET1_Import_Export!$G$179+GREET1_Import_Export!$G189+GREET1_Import_Export!$Q149)+AG$51*(GREET1_Import_Export!$B189* GREET1_Import_Export!$C$179+GREET1_Import_Export!$C189+GREET1_Import_Export!$Q135)</f>
        <v>0.12317230762593016</v>
      </c>
      <c r="AH72" s="817">
        <f>SUM(N$16*'GREET2_Factors_T&amp;D'!$U63*O$16, N$17*'GREET2_Factors_T&amp;D'!$T63*O$17,N$18*'GREET2_Factors_T&amp;D'!$V63*O$18)</f>
        <v>0.1252066810303728</v>
      </c>
      <c r="AI72" s="909">
        <f>AI$49*(GREET1_Import_Export!$B189* GREET1_Import_Export!$F$179+GREET1_Import_Export!$F189)+AI$50*(GREET1_Import_Export!$B189* GREET1_Import_Export!$G$179+GREET1_Import_Export!$G189)+AI$51*(GREET1_Import_Export!$B189* GREET1_Import_Export!$C$179+GREET1_Import_Export!$C189)+AI$52*(GREET1_Import_Export!$B189* GREET1_Import_Export!$E$179+GREET1_Import_Export!$E189)+AI$53*(GREET1_Import_Export!$B189* GREET1_Import_Export!$I$179+GREET1_Import_Export!$I189)+AI$54*GREET1_Import_Export!$B225+AI$55*GREET1_Import_Export!$B293+AI$61*(GREET1_Import_Export!$B318+GREET1_Import_Export!$C318)</f>
        <v>0.10198060899734653</v>
      </c>
      <c r="AJ72" s="1255">
        <v>4.1184989881510683</v>
      </c>
      <c r="AK72" s="919">
        <f>AK$49*(GREET1_Import_Export!$B189* GREET1_Import_Export!$F$179+GREET1_Import_Export!$F189+GREET1_Import_Export!$L75)+AK$50*(GREET1_Import_Export!$B189* GREET1_Import_Export!$G$179+GREET1_Import_Export!$G189+GREET1_Import_Export!$Q149)+AK$51*(GREET1_Import_Export!$B189* GREET1_Import_Export!$C$179+GREET1_Import_Export!$C189+GREET1_Import_Export!$Q135)</f>
        <v>0.12317230762593016</v>
      </c>
      <c r="AL72" s="817">
        <f>SUM(P$16*'GREET2_Factors_T&amp;D'!$U63*Q$16, P$17*'GREET2_Factors_T&amp;D'!$T63*Q$17,P$18*'GREET2_Factors_T&amp;D'!$V63*Q$18)</f>
        <v>0.1252066810303728</v>
      </c>
      <c r="AM72" s="909">
        <f>AM$49*(GREET1_Import_Export!$B189* GREET1_Import_Export!$F$179+GREET1_Import_Export!$F189)+AM$50*(GREET1_Import_Export!$B189* GREET1_Import_Export!$G$179+GREET1_Import_Export!$G189)+AM$51*(GREET1_Import_Export!$B189* GREET1_Import_Export!$C$179+GREET1_Import_Export!$C189)+AM$52*(GREET1_Import_Export!$B189* GREET1_Import_Export!$E$179+GREET1_Import_Export!$E189)+AM$53*(GREET1_Import_Export!$B189* GREET1_Import_Export!$I$179+GREET1_Import_Export!$I189)+AM$54*GREET1_Import_Export!$B225+AM$55*GREET1_Import_Export!$B293+AM$61*(GREET1_Import_Export!$B318+GREET1_Import_Export!$C318)</f>
        <v>0.10198060899734654</v>
      </c>
      <c r="AN72" s="1255">
        <v>5.5071282121826242</v>
      </c>
      <c r="AO72" s="919">
        <f>AO$49*(GREET1_Import_Export!$B189* GREET1_Import_Export!$F$179+GREET1_Import_Export!$F189+GREET1_Import_Export!$L75)+AO$50*(GREET1_Import_Export!$B189* GREET1_Import_Export!$G$179+GREET1_Import_Export!$G189+GREET1_Import_Export!$Q149)+AO$51*(GREET1_Import_Export!$B189* GREET1_Import_Export!$C$179+GREET1_Import_Export!$C189+GREET1_Import_Export!$Q135)</f>
        <v>0.12317230762593016</v>
      </c>
      <c r="AP72" s="817">
        <f>SUM(R$16*'GREET2_Factors_T&amp;D'!$U63*S$16, R$17*'GREET2_Factors_T&amp;D'!$T63*S$17,R$18*'GREET2_Factors_T&amp;D'!$V63*S$18)</f>
        <v>0.35225490449212027</v>
      </c>
      <c r="AS72" s="1090"/>
      <c r="AT72" s="1090"/>
      <c r="AX72" s="1090"/>
      <c r="AY72" s="1090"/>
    </row>
    <row r="73" spans="1:51" s="1247" customFormat="1">
      <c r="A73" s="794" t="s">
        <v>825</v>
      </c>
      <c r="B73" s="909">
        <f>B$49*(GREET1_Import_Export!$B190* GREET1_Import_Export!$F$179+GREET1_Import_Export!$F190)+B$50*(GREET1_Import_Export!$B190* GREET1_Import_Export!$G$179+GREET1_Import_Export!$G190)+B$51*(GREET1_Import_Export!$B190* GREET1_Import_Export!$C$179+GREET1_Import_Export!$C190)+B$52*(GREET1_Import_Export!$B190* GREET1_Import_Export!$E$179+GREET1_Import_Export!$E190)+B$53*(GREET1_Import_Export!$B190* GREET1_Import_Export!$I$179+GREET1_Import_Export!$I190)+B$54*GREET1_Import_Export!$B226+B$55*GREET1_Import_Export!$B294+B$61*(GREET1_Import_Export!$B319+GREET1_Import_Export!$C319)</f>
        <v>5.6716947360410117</v>
      </c>
      <c r="C73" s="1255">
        <v>269.37351773807217</v>
      </c>
      <c r="E73" s="919">
        <f>E$50*(GREET1_Import_Export!$B190* GREET1_Import_Export!$G$179+GREET1_Import_Export!$G190+GREET1_Import_Export!$Q150)+E$51*(GREET1_Import_Export!$B190* GREET1_Import_Export!$D$179+GREET1_Import_Export!$D190+GREET1_Import_Export!$Q136)</f>
        <v>4.3175045381649837E-3</v>
      </c>
      <c r="F73" s="817">
        <f>SUM(B$16*'GREET2_Factors_T&amp;D'!$U64*C$16, B$17*'GREET2_Factors_T&amp;D'!$T64*C$17,B$18*'GREET2_Factors_T&amp;D'!$V64*C$18)</f>
        <v>0.14163644019672544</v>
      </c>
      <c r="G73" s="909">
        <f>G$49*(GREET1_Import_Export!$B190* GREET1_Import_Export!$F$179+GREET1_Import_Export!$F190)+G$50*(GREET1_Import_Export!$B190* GREET1_Import_Export!$G$179+GREET1_Import_Export!$G190)+G$51*(GREET1_Import_Export!$B190* GREET1_Import_Export!$C$179+GREET1_Import_Export!$C190)+G$52*(GREET1_Import_Export!$B190* GREET1_Import_Export!$E$179+GREET1_Import_Export!$E190)+G$53*(GREET1_Import_Export!$B190* GREET1_Import_Export!$I$179+GREET1_Import_Export!$I190)+G$54*GREET1_Import_Export!$B226+G$55*GREET1_Import_Export!$B294+G$61*(GREET1_Import_Export!$B319+GREET1_Import_Export!$C319)</f>
        <v>7.8770292206939692</v>
      </c>
      <c r="H73" s="1255">
        <v>127.23113942278636</v>
      </c>
      <c r="J73" s="919">
        <f>J$50*(GREET1_Import_Export!$B190* GREET1_Import_Export!$G$179+GREET1_Import_Export!$G190+GREET1_Import_Export!$Q150)+J$51*(GREET1_Import_Export!$B190* GREET1_Import_Export!$D$179+GREET1_Import_Export!$D190+GREET1_Import_Export!$Q136)</f>
        <v>4.3175045381649837E-3</v>
      </c>
      <c r="K73" s="817">
        <f>SUM(D$16*'GREET2_Factors_T&amp;D'!$U64*E$16, D$17*'GREET2_Factors_T&amp;D'!$T64*E$17,D$18*'GREET2_Factors_T&amp;D'!$V64*E$18)</f>
        <v>0.14163644019672544</v>
      </c>
      <c r="L73" s="909">
        <f>L$49*(GREET1_Import_Export!$B190* GREET1_Import_Export!$F$179+GREET1_Import_Export!$F190)+L$50*(GREET1_Import_Export!$B190* GREET1_Import_Export!$G$179+GREET1_Import_Export!$G190)+L$51*(GREET1_Import_Export!$B190* GREET1_Import_Export!$C$179+GREET1_Import_Export!$C190)+L$52*(GREET1_Import_Export!$B190* GREET1_Import_Export!$E$179+GREET1_Import_Export!$E190)+L$53*(GREET1_Import_Export!$B190* GREET1_Import_Export!$I$179+GREET1_Import_Export!$I190)+L$54*GREET1_Import_Export!$B226+L$55*GREET1_Import_Export!$B294+L$61*(GREET1_Import_Export!$B319+GREET1_Import_Export!$C319)</f>
        <v>6.0709946386130671</v>
      </c>
      <c r="M73" s="1255">
        <v>232.67616502432682</v>
      </c>
      <c r="N73" s="919">
        <f>N$50*(GREET1_Import_Export!$B190* GREET1_Import_Export!$G$179+GREET1_Import_Export!$G190+GREET1_Import_Export!$Q150)+N$51*(GREET1_Import_Export!$B190* GREET1_Import_Export!$D$179+GREET1_Import_Export!$D190+GREET1_Import_Export!$Q136)</f>
        <v>4.3175045381649837E-3</v>
      </c>
      <c r="P73" s="817">
        <f>SUM(F$16*'GREET2_Factors_T&amp;D'!$U64*G$16, F$17*'GREET2_Factors_T&amp;D'!$T64*G$17,F$18*'GREET2_Factors_T&amp;D'!$V64*G$18)</f>
        <v>0.14163644019672544</v>
      </c>
      <c r="Q73" s="909">
        <f>Q$49*(GREET1_Import_Export!$B190* GREET1_Import_Export!$F$179+GREET1_Import_Export!$F190)+Q$50*(GREET1_Import_Export!$B190* GREET1_Import_Export!$G$179+GREET1_Import_Export!$G190)+Q$51*(GREET1_Import_Export!$B190* GREET1_Import_Export!$C$179+GREET1_Import_Export!$C190)+Q$52*(GREET1_Import_Export!$B190* GREET1_Import_Export!$E$179+GREET1_Import_Export!$E190)+Q$53*(GREET1_Import_Export!$B190* GREET1_Import_Export!$I$179+GREET1_Import_Export!$I190)+Q$54*GREET1_Import_Export!$B226+Q$55*GREET1_Import_Export!$B294+Q$61*(GREET1_Import_Export!$B319+GREET1_Import_Export!$C319)</f>
        <v>5.4581722614346848</v>
      </c>
      <c r="R73" s="1255">
        <v>83.555466545319604</v>
      </c>
      <c r="T73" s="919">
        <f>T$50*(GREET1_Import_Export!$B190* GREET1_Import_Export!$G$179+GREET1_Import_Export!$G190+GREET1_Import_Export!$Q150)+T$51*(GREET1_Import_Export!$B190* GREET1_Import_Export!$D$179+GREET1_Import_Export!$D190+GREET1_Import_Export!$Q136)</f>
        <v>4.3175045381649837E-3</v>
      </c>
      <c r="U73" s="817">
        <f>SUM(H$16*'GREET2_Factors_T&amp;D'!$U64*I$16, H$17*'GREET2_Factors_T&amp;D'!$T64*I$17,H$18*'GREET2_Factors_T&amp;D'!$V64*I$18)</f>
        <v>0.14163644019672544</v>
      </c>
      <c r="V73" s="909">
        <f>V$49*(GREET1_Import_Export!$B190* GREET1_Import_Export!$F$179+GREET1_Import_Export!$F190)+V$50*(GREET1_Import_Export!$B190* GREET1_Import_Export!$G$179+GREET1_Import_Export!$G190)+V$51*(GREET1_Import_Export!$B190* GREET1_Import_Export!$C$179+GREET1_Import_Export!$C190)+V$52*(GREET1_Import_Export!$B190* GREET1_Import_Export!$E$179+GREET1_Import_Export!$E190)+V$53*(GREET1_Import_Export!$B190* GREET1_Import_Export!$I$179+GREET1_Import_Export!$I190)+V$54*GREET1_Import_Export!$B226+V$55*GREET1_Import_Export!$B294+V$61*(GREET1_Import_Export!$B319+GREET1_Import_Export!$C319)</f>
        <v>5.7170857813734681</v>
      </c>
      <c r="W73" s="1255">
        <f t="shared" si="9"/>
        <v>109.56879628515901</v>
      </c>
      <c r="Y73" s="919">
        <f>Y$50*(GREET1_Import_Export!$B190* GREET1_Import_Export!$G$179+GREET1_Import_Export!$G190+GREET1_Import_Export!$Q150)+Y$51*(GREET1_Import_Export!$B190* GREET1_Import_Export!$D$179+GREET1_Import_Export!$D190+GREET1_Import_Export!$Q136)</f>
        <v>4.3175045381649837E-3</v>
      </c>
      <c r="Z73" s="817">
        <f>SUM(J$16*'GREET2_Factors_T&amp;D'!$U64*K$16, J$17*'GREET2_Factors_T&amp;D'!$T64*K$17,J$18*'GREET2_Factors_T&amp;D'!$V64*K$18)</f>
        <v>0.14163644019672544</v>
      </c>
      <c r="AA73" s="909">
        <f>AA$49*(GREET1_Import_Export!$B190* GREET1_Import_Export!$F$179+GREET1_Import_Export!$F190)+AA$50*(GREET1_Import_Export!$B190* GREET1_Import_Export!$G$179+GREET1_Import_Export!$G190)+AA$51*(GREET1_Import_Export!$B190* GREET1_Import_Export!$C$179+GREET1_Import_Export!$C190)+AA$52*(GREET1_Import_Export!$B190* GREET1_Import_Export!$E$179+GREET1_Import_Export!$E190)+AA$53*(GREET1_Import_Export!$B190* GREET1_Import_Export!$I$179+GREET1_Import_Export!$I190)+AA$54*GREET1_Import_Export!$B226+AA$55*GREET1_Import_Export!$B294+AA$61*(GREET1_Import_Export!$B319+GREET1_Import_Export!$C319)</f>
        <v>4.5339603468284258E-2</v>
      </c>
      <c r="AB73" s="1255">
        <v>11.708278005032948</v>
      </c>
      <c r="AC73" s="919">
        <f>AC$50*(GREET1_Import_Export!$B190* GREET1_Import_Export!$G$179+GREET1_Import_Export!$G190+GREET1_Import_Export!$Q150)+AC$51*(GREET1_Import_Export!$B190* GREET1_Import_Export!$D$179+GREET1_Import_Export!$D190+GREET1_Import_Export!$Q136)</f>
        <v>2.2582284047235553E-2</v>
      </c>
      <c r="AD73" s="817">
        <f>'GREET2_Factors_T&amp;D'!W64</f>
        <v>5.4531688874288123E-3</v>
      </c>
      <c r="AE73" s="909">
        <f>AE$49*(GREET1_Import_Export!$B190* GREET1_Import_Export!$F$179+GREET1_Import_Export!$F190)+AE$50*(GREET1_Import_Export!$B190* GREET1_Import_Export!$G$179+GREET1_Import_Export!$G190)+AE$51*(GREET1_Import_Export!$B190* GREET1_Import_Export!$C$179+GREET1_Import_Export!$C190)+AE$52*(GREET1_Import_Export!$B190* GREET1_Import_Export!$E$179+GREET1_Import_Export!$E190)+AE$53*(GREET1_Import_Export!$B190* GREET1_Import_Export!$I$179+GREET1_Import_Export!$I190)+AE$54*GREET1_Import_Export!$B226+AE$55*GREET1_Import_Export!$B294+AE$61*(GREET1_Import_Export!$B319+GREET1_Import_Export!$C319)</f>
        <v>6.138923366055378E-2</v>
      </c>
      <c r="AF73" s="1255">
        <v>2.2112415465560487</v>
      </c>
      <c r="AG73" s="919">
        <f>AG$49*(GREET1_Import_Export!$B190* GREET1_Import_Export!$F$179+GREET1_Import_Export!$F190+GREET1_Import_Export!$L76)+AG$50*(GREET1_Import_Export!$B190* GREET1_Import_Export!$G$179+GREET1_Import_Export!$G190+GREET1_Import_Export!$Q150)+AG$51*(GREET1_Import_Export!$B190* GREET1_Import_Export!$C$179+GREET1_Import_Export!$C190+GREET1_Import_Export!$Q136)</f>
        <v>0.10038200019663984</v>
      </c>
      <c r="AH73" s="817">
        <f>SUM(N$16*'GREET2_Factors_T&amp;D'!$U64*O$16, N$17*'GREET2_Factors_T&amp;D'!$T64*O$17,N$18*'GREET2_Factors_T&amp;D'!$V64*O$18)</f>
        <v>8.3841687853052238E-2</v>
      </c>
      <c r="AI73" s="909">
        <f>AI$49*(GREET1_Import_Export!$B190* GREET1_Import_Export!$F$179+GREET1_Import_Export!$F190)+AI$50*(GREET1_Import_Export!$B190* GREET1_Import_Export!$G$179+GREET1_Import_Export!$G190)+AI$51*(GREET1_Import_Export!$B190* GREET1_Import_Export!$C$179+GREET1_Import_Export!$C190)+AI$52*(GREET1_Import_Export!$B190* GREET1_Import_Export!$E$179+GREET1_Import_Export!$E190)+AI$53*(GREET1_Import_Export!$B190* GREET1_Import_Export!$I$179+GREET1_Import_Export!$I190)+AI$54*GREET1_Import_Export!$B226+AI$55*GREET1_Import_Export!$B294+AI$61*(GREET1_Import_Export!$B319+GREET1_Import_Export!$C319)</f>
        <v>6.1389233660553807E-2</v>
      </c>
      <c r="AJ73" s="1255">
        <v>2.2112415465560487</v>
      </c>
      <c r="AK73" s="919">
        <f>AK$49*(GREET1_Import_Export!$B190* GREET1_Import_Export!$F$179+GREET1_Import_Export!$F190+GREET1_Import_Export!$L76)+AK$50*(GREET1_Import_Export!$B190* GREET1_Import_Export!$G$179+GREET1_Import_Export!$G190+GREET1_Import_Export!$Q150)+AK$51*(GREET1_Import_Export!$B190* GREET1_Import_Export!$C$179+GREET1_Import_Export!$C190+GREET1_Import_Export!$Q136)</f>
        <v>0.10038200019663984</v>
      </c>
      <c r="AL73" s="817">
        <f>SUM(P$16*'GREET2_Factors_T&amp;D'!$U64*Q$16, P$17*'GREET2_Factors_T&amp;D'!$T64*Q$17,P$18*'GREET2_Factors_T&amp;D'!$V64*Q$18)</f>
        <v>8.3841687853052238E-2</v>
      </c>
      <c r="AM73" s="909">
        <f>AM$49*(GREET1_Import_Export!$B190* GREET1_Import_Export!$F$179+GREET1_Import_Export!$F190)+AM$50*(GREET1_Import_Export!$B190* GREET1_Import_Export!$G$179+GREET1_Import_Export!$G190)+AM$51*(GREET1_Import_Export!$B190* GREET1_Import_Export!$C$179+GREET1_Import_Export!$C190)+AM$52*(GREET1_Import_Export!$B190* GREET1_Import_Export!$E$179+GREET1_Import_Export!$E190)+AM$53*(GREET1_Import_Export!$B190* GREET1_Import_Export!$I$179+GREET1_Import_Export!$I190)+AM$54*GREET1_Import_Export!$B226+AM$55*GREET1_Import_Export!$B294+AM$61*(GREET1_Import_Export!$B319+GREET1_Import_Export!$C319)</f>
        <v>6.1389233660553814E-2</v>
      </c>
      <c r="AN73" s="1255">
        <v>1.7921969070622534</v>
      </c>
      <c r="AO73" s="919">
        <f>AO$49*(GREET1_Import_Export!$B190* GREET1_Import_Export!$F$179+GREET1_Import_Export!$F190+GREET1_Import_Export!$L76)+AO$50*(GREET1_Import_Export!$B190* GREET1_Import_Export!$G$179+GREET1_Import_Export!$G190+GREET1_Import_Export!$Q150)+AO$51*(GREET1_Import_Export!$B190* GREET1_Import_Export!$C$179+GREET1_Import_Export!$C190+GREET1_Import_Export!$Q136)</f>
        <v>0.10038200019663984</v>
      </c>
      <c r="AP73" s="817">
        <f>SUM(R$16*'GREET2_Factors_T&amp;D'!$U64*S$16, R$17*'GREET2_Factors_T&amp;D'!$T64*S$17,R$18*'GREET2_Factors_T&amp;D'!$V64*S$18)</f>
        <v>0.20976577233681021</v>
      </c>
      <c r="AS73" s="1090"/>
      <c r="AT73" s="1090"/>
      <c r="AX73" s="1090"/>
      <c r="AY73" s="1090"/>
    </row>
    <row r="74" spans="1:51" s="1247" customFormat="1">
      <c r="A74" s="1237" t="s">
        <v>826</v>
      </c>
      <c r="B74" s="909">
        <f>B$49*(GREET1_Import_Export!$B191* GREET1_Import_Export!$F$179+GREET1_Import_Export!$F191)+B$50*(GREET1_Import_Export!$B191* GREET1_Import_Export!$G$179+GREET1_Import_Export!$G191)+B$51*(GREET1_Import_Export!$B191* GREET1_Import_Export!$C$179+GREET1_Import_Export!$C191)+B$52*(GREET1_Import_Export!$B191* GREET1_Import_Export!$E$179+GREET1_Import_Export!$E191)+B$53*(GREET1_Import_Export!$B191* GREET1_Import_Export!$I$179+GREET1_Import_Export!$I191)+B$54*GREET1_Import_Export!$B227+B$55*GREET1_Import_Export!$B295+B$61*(GREET1_Import_Export!$B320+GREET1_Import_Export!$C320)</f>
        <v>46.068673225891175</v>
      </c>
      <c r="C74" s="1291">
        <f>(B$49/GREET1_Import_Export!$B$31*GREET1_Import_Export!$E$31*GREET1_Import_Export!$G$31+B$50/GREET1_Import_Export!$B$32*GREET1_Import_Export!$E$32*GREET1_Import_Export!$G$32+B$51/GREET1_Import_Export!$B$27*GREET1_Import_Export!$E$27*GREET1_Import_Export!$G$27+B$52/GREET1_Import_Export!$B$34*GREET1_Import_Export!$E$34*GREET1_Import_Export!$G$34+B$53/GREET1_Import_Export!$B$41*GREET1_Import_Export!$G$41*907184.74+B$54/GREET1_Import_Export!$B$37*GREET1_Import_Export!$E$37*GREET1_Import_Export!$G$37+B$55/GREET1_Import_Export!$B$40*GREET1_Import_Export!$G$40*907184.74+B$56/GREET1_Import_Export!$B$43*GREET1_Import_Export!$G$43*907184.74+B$57/GREET1_Import_Export!$B$42*GREET1_Import_Export!$G$42*907184.74+B$58/GREET1_Import_Export!$B$34*GREET1_Import_Export!$E$34*GREET1_Import_Export!$H$34+B$59/GREET1_Import_Export!$B$35*GREET1_Import_Export!$E$35*GREET1_Import_Export!$G$35+B$60/GREET1_Import_Export!$B$44*GREET1_Import_Export!$G$44*907184.74)/GREET1_Import_Export!$B$66*(1-$B$23)</f>
        <v>1181.2774742610529</v>
      </c>
      <c r="E74" s="919">
        <f>E$50*(GREET1_Import_Export!$B191* GREET1_Import_Export!$G$179+GREET1_Import_Export!$G191+GREET1_Import_Export!$Q151)+E$51*(GREET1_Import_Export!$B191* GREET1_Import_Export!$D$179+GREET1_Import_Export!$D191+GREET1_Import_Export!$Q137)</f>
        <v>2.3238436356228858E-3</v>
      </c>
      <c r="F74" s="817">
        <f>SUM(B$16*'GREET2_Factors_T&amp;D'!$U65*C$16, B$17*'GREET2_Factors_T&amp;D'!$T65*C$17,B$18*'GREET2_Factors_T&amp;D'!$V65*C$18)</f>
        <v>0.59049341014113421</v>
      </c>
      <c r="G74" s="909">
        <f>G$49*(GREET1_Import_Export!$B191* GREET1_Import_Export!$F$179+GREET1_Import_Export!$F191)+G$50*(GREET1_Import_Export!$B191* GREET1_Import_Export!$G$179+GREET1_Import_Export!$G191)+G$51*(GREET1_Import_Export!$B191* GREET1_Import_Export!$C$179+GREET1_Import_Export!$C191)+G$52*(GREET1_Import_Export!$B191* GREET1_Import_Export!$E$179+GREET1_Import_Export!$E191)+G$53*(GREET1_Import_Export!$B191* GREET1_Import_Export!$I$179+GREET1_Import_Export!$I191)+G$54*GREET1_Import_Export!$B227+G$55*GREET1_Import_Export!$B295+G$61*(GREET1_Import_Export!$B320+GREET1_Import_Export!$C320)</f>
        <v>52.758863110338631</v>
      </c>
      <c r="H74" s="1291">
        <f>(G$49/GREET1_Import_Export!$B$31*GREET1_Import_Export!$E$31*GREET1_Import_Export!$G$31+G$50/GREET1_Import_Export!$B$32*GREET1_Import_Export!$E$32*GREET1_Import_Export!$G$32+G$51/GREET1_Import_Export!$B$27*GREET1_Import_Export!$E$27*GREET1_Import_Export!$G$27+G$52/GREET1_Import_Export!$B$34*GREET1_Import_Export!$E$34*GREET1_Import_Export!$G$34+G$53/GREET1_Import_Export!$B$41*GREET1_Import_Export!$G$41*907184.74+G$54/GREET1_Import_Export!$B$37*GREET1_Import_Export!$E$37*GREET1_Import_Export!$G$37+G$55/GREET1_Import_Export!$B$40*GREET1_Import_Export!$G$40*907184.74+G$56/GREET1_Import_Export!$B$43*GREET1_Import_Export!$G$43*907184.74+G$57/GREET1_Import_Export!$B$42*GREET1_Import_Export!$G$42*907184.74+G$58/GREET1_Import_Export!$B$34*GREET1_Import_Export!$E$34*GREET1_Import_Export!$H$34+G$59/GREET1_Import_Export!$B$35*GREET1_Import_Export!$E$35*GREET1_Import_Export!$G$35+G$60/GREET1_Import_Export!$B$44*GREET1_Import_Export!$G$44*907184.74)/GREET1_Import_Export!$B$66*(1-$C$23)</f>
        <v>761.15209119845565</v>
      </c>
      <c r="J74" s="919">
        <f>J$50*(GREET1_Import_Export!$B191* GREET1_Import_Export!$G$179+GREET1_Import_Export!$G191+GREET1_Import_Export!$Q151)+J$51*(GREET1_Import_Export!$B191* GREET1_Import_Export!$D$179+GREET1_Import_Export!$D191+GREET1_Import_Export!$Q137)</f>
        <v>2.3238436356228858E-3</v>
      </c>
      <c r="K74" s="817">
        <f>SUM(D$16*'GREET2_Factors_T&amp;D'!$U65*E$16, D$17*'GREET2_Factors_T&amp;D'!$T65*E$17,D$18*'GREET2_Factors_T&amp;D'!$V65*E$18)</f>
        <v>0.59049341014113421</v>
      </c>
      <c r="L74" s="909">
        <f>L$49*(GREET1_Import_Export!$B191* GREET1_Import_Export!$F$179+GREET1_Import_Export!$F191)+L$50*(GREET1_Import_Export!$B191* GREET1_Import_Export!$G$179+GREET1_Import_Export!$G191)+L$51*(GREET1_Import_Export!$B191* GREET1_Import_Export!$C$179+GREET1_Import_Export!$C191)+L$52*(GREET1_Import_Export!$B191* GREET1_Import_Export!$E$179+GREET1_Import_Export!$E191)+L$53*(GREET1_Import_Export!$B191* GREET1_Import_Export!$I$179+GREET1_Import_Export!$I191)+L$54*GREET1_Import_Export!$B227+L$55*GREET1_Import_Export!$B295+L$61*(GREET1_Import_Export!$B320+GREET1_Import_Export!$C320)</f>
        <v>51.684637727053342</v>
      </c>
      <c r="M74" s="1291">
        <f>(L$49/GREET1_Import_Export!$B$31*GREET1_Import_Export!$E$31*GREET1_Import_Export!$G$31+L$50/GREET1_Import_Export!$B$32*GREET1_Import_Export!$E$32*GREET1_Import_Export!$G$32+L$51/GREET1_Import_Export!$B$27*GREET1_Import_Export!$E$27*GREET1_Import_Export!$G$27+L$52/GREET1_Import_Export!$B$34*GREET1_Import_Export!$E$34*GREET1_Import_Export!$G$34+L$53/GREET1_Import_Export!$B$41*GREET1_Import_Export!$G$41*907184.74+L$54/GREET1_Import_Export!$B$37*GREET1_Import_Export!$E$37*GREET1_Import_Export!$G$37+L$55/GREET1_Import_Export!$B$40*GREET1_Import_Export!$G$40*907184.74+L$56/GREET1_Import_Export!$B$43*GREET1_Import_Export!$G$43*907184.74+L$57/GREET1_Import_Export!$B$42*GREET1_Import_Export!$G$42*907184.74+L$58/GREET1_Import_Export!$B$34*GREET1_Import_Export!$E$34*GREET1_Import_Export!$H$34+L$59/GREET1_Import_Export!$B$35*GREET1_Import_Export!$E$35*GREET1_Import_Export!$G$35+L$60/GREET1_Import_Export!$B$44*GREET1_Import_Export!$G$44*907184.74)/GREET1_Import_Export!$B$66*(1-$D$23)</f>
        <v>154.97968032498011</v>
      </c>
      <c r="N74" s="919">
        <f>N$50*(GREET1_Import_Export!$B191* GREET1_Import_Export!$G$179+GREET1_Import_Export!$G191+GREET1_Import_Export!$Q151)+N$51*(GREET1_Import_Export!$B191* GREET1_Import_Export!$D$179+GREET1_Import_Export!$D191+GREET1_Import_Export!$Q137)</f>
        <v>2.3238436356228858E-3</v>
      </c>
      <c r="P74" s="817">
        <f>SUM(F$16*'GREET2_Factors_T&amp;D'!$U65*G$16, F$17*'GREET2_Factors_T&amp;D'!$T65*G$17,F$18*'GREET2_Factors_T&amp;D'!$V65*G$18)</f>
        <v>0.59049341014113421</v>
      </c>
      <c r="Q74" s="909">
        <f>Q$49*(GREET1_Import_Export!$B191* GREET1_Import_Export!$F$179+GREET1_Import_Export!$F191)+Q$50*(GREET1_Import_Export!$B191* GREET1_Import_Export!$G$179+GREET1_Import_Export!$G191)+Q$51*(GREET1_Import_Export!$B191* GREET1_Import_Export!$C$179+GREET1_Import_Export!$C191)+Q$52*(GREET1_Import_Export!$B191* GREET1_Import_Export!$E$179+GREET1_Import_Export!$E191)+Q$53*(GREET1_Import_Export!$B191* GREET1_Import_Export!$I$179+GREET1_Import_Export!$I191)+Q$54*GREET1_Import_Export!$B227+Q$55*GREET1_Import_Export!$B295+Q$61*(GREET1_Import_Export!$B320+GREET1_Import_Export!$C320)</f>
        <v>43.811867869490641</v>
      </c>
      <c r="R74" s="1291">
        <f>(Q$49/GREET1_Import_Export!$B$31*GREET1_Import_Export!$E$31*GREET1_Import_Export!$G$31+Q$50/GREET1_Import_Export!$B$32*GREET1_Import_Export!$E$32*GREET1_Import_Export!$G$32+Q$51/GREET1_Import_Export!$B$27*GREET1_Import_Export!$E$27*GREET1_Import_Export!$G$27+Q$52/GREET1_Import_Export!$B$34*GREET1_Import_Export!$E$34*GREET1_Import_Export!$G$34+Q$53/GREET1_Import_Export!$B$41*GREET1_Import_Export!$G$41*907184.74+Q$54/GREET1_Import_Export!$B$37*GREET1_Import_Export!$E$37*GREET1_Import_Export!$G$37+Q$55/GREET1_Import_Export!$B$40*GREET1_Import_Export!$G$40*907184.74+Q$56/GREET1_Import_Export!$B$43*GREET1_Import_Export!$G$43*907184.74+Q$57/GREET1_Import_Export!$B$42*GREET1_Import_Export!$G$42*907184.74+Q$58/GREET1_Import_Export!$B$34*GREET1_Import_Export!$E$34*GREET1_Import_Export!$H$34+Q$59/GREET1_Import_Export!$B$35*GREET1_Import_Export!$E$35*GREET1_Import_Export!$G$35+Q$60/GREET1_Import_Export!$B$44*GREET1_Import_Export!$G$44*907184.74)/GREET1_Import_Export!$B$66*(1-$E$23)</f>
        <v>205.39732836600425</v>
      </c>
      <c r="T74" s="919">
        <f>T$50*(GREET1_Import_Export!$B191* GREET1_Import_Export!$G$179+GREET1_Import_Export!$G191+GREET1_Import_Export!$Q151)+T$51*(GREET1_Import_Export!$B191* GREET1_Import_Export!$D$179+GREET1_Import_Export!$D191+GREET1_Import_Export!$Q137)</f>
        <v>2.3238436356228858E-3</v>
      </c>
      <c r="U74" s="817">
        <f>SUM(H$16*'GREET2_Factors_T&amp;D'!$U65*I$16, H$17*'GREET2_Factors_T&amp;D'!$T65*I$17,H$18*'GREET2_Factors_T&amp;D'!$V65*I$18)</f>
        <v>0.59049341014113421</v>
      </c>
      <c r="V74" s="909">
        <f>V$49*(GREET1_Import_Export!$B191* GREET1_Import_Export!$F$179+GREET1_Import_Export!$F191)+V$50*(GREET1_Import_Export!$B191* GREET1_Import_Export!$G$179+GREET1_Import_Export!$G191)+V$51*(GREET1_Import_Export!$B191* GREET1_Import_Export!$C$179+GREET1_Import_Export!$C191)+V$52*(GREET1_Import_Export!$B191* GREET1_Import_Export!$E$179+GREET1_Import_Export!$E191)+V$53*(GREET1_Import_Export!$B191* GREET1_Import_Export!$I$179+GREET1_Import_Export!$I191)+V$54*GREET1_Import_Export!$B227+V$55*GREET1_Import_Export!$B295+V$61*(GREET1_Import_Export!$B320+GREET1_Import_Export!$C320)</f>
        <v>45.806973274459992</v>
      </c>
      <c r="W74" s="1255">
        <f t="shared" si="9"/>
        <v>259.61025231678025</v>
      </c>
      <c r="Y74" s="919">
        <f>Y$50*(GREET1_Import_Export!$B191* GREET1_Import_Export!$G$179+GREET1_Import_Export!$G191+GREET1_Import_Export!$Q151)+Y$51*(GREET1_Import_Export!$B191* GREET1_Import_Export!$D$179+GREET1_Import_Export!$D191+GREET1_Import_Export!$Q137)</f>
        <v>2.3238436356228858E-3</v>
      </c>
      <c r="Z74" s="817">
        <f>SUM(J$16*'GREET2_Factors_T&amp;D'!$U65*K$16, J$17*'GREET2_Factors_T&amp;D'!$T65*K$17,J$18*'GREET2_Factors_T&amp;D'!$V65*K$18)</f>
        <v>0.59049341014113421</v>
      </c>
      <c r="AA74" s="909">
        <f>AA$49*(GREET1_Import_Export!$B191* GREET1_Import_Export!$F$179+GREET1_Import_Export!$F191)+AA$50*(GREET1_Import_Export!$B191* GREET1_Import_Export!$G$179+GREET1_Import_Export!$G191)+AA$51*(GREET1_Import_Export!$B191* GREET1_Import_Export!$C$179+GREET1_Import_Export!$C191)+AA$52*(GREET1_Import_Export!$B191* GREET1_Import_Export!$E$179+GREET1_Import_Export!$E191)+AA$53*(GREET1_Import_Export!$B191* GREET1_Import_Export!$I$179+GREET1_Import_Export!$I191)+AA$54*GREET1_Import_Export!$B227+AA$55*GREET1_Import_Export!$B295+AA$61*(GREET1_Import_Export!$B320+GREET1_Import_Export!$C320)</f>
        <v>0.40940744282897146</v>
      </c>
      <c r="AB74" s="1255">
        <v>3.4017106686191201</v>
      </c>
      <c r="AC74" s="919">
        <f>AC$50*(GREET1_Import_Export!$B191* GREET1_Import_Export!$G$179+GREET1_Import_Export!$G191+GREET1_Import_Export!$Q151)+AC$51*(GREET1_Import_Export!$B191* GREET1_Import_Export!$D$179+GREET1_Import_Export!$D191+GREET1_Import_Export!$Q137)</f>
        <v>1.2154636224957048E-2</v>
      </c>
      <c r="AD74" s="817">
        <f>'GREET2_Factors_T&amp;D'!W65</f>
        <v>1.4665108941302258E-2</v>
      </c>
      <c r="AE74" s="909">
        <f>AE$49*(GREET1_Import_Export!$B191* GREET1_Import_Export!$F$179+GREET1_Import_Export!$F191)+AE$50*(GREET1_Import_Export!$B191* GREET1_Import_Export!$G$179+GREET1_Import_Export!$G191)+AE$51*(GREET1_Import_Export!$B191* GREET1_Import_Export!$C$179+GREET1_Import_Export!$C191)+AE$52*(GREET1_Import_Export!$B191* GREET1_Import_Export!$E$179+GREET1_Import_Export!$E191)+AE$53*(GREET1_Import_Export!$B191* GREET1_Import_Export!$I$179+GREET1_Import_Export!$I191)+AE$54*GREET1_Import_Export!$B227+AE$55*GREET1_Import_Export!$B295+AE$61*(GREET1_Import_Export!$B320+GREET1_Import_Export!$C320)</f>
        <v>0.5471015131550393</v>
      </c>
      <c r="AF74" s="1255">
        <v>4.3509892174282552</v>
      </c>
      <c r="AG74" s="919">
        <f>AG$49*(GREET1_Import_Export!$B191* GREET1_Import_Export!$F$179+GREET1_Import_Export!$F191+GREET1_Import_Export!$L77)+AG$50*(GREET1_Import_Export!$B191* GREET1_Import_Export!$G$179+GREET1_Import_Export!$G191+GREET1_Import_Export!$Q151)+AG$51*(GREET1_Import_Export!$B191* GREET1_Import_Export!$C$179+GREET1_Import_Export!$C191+GREET1_Import_Export!$Q137)</f>
        <v>0.53960111930959698</v>
      </c>
      <c r="AH74" s="817">
        <f>SUM(N$16*'GREET2_Factors_T&amp;D'!$U65*O$16, N$17*'GREET2_Factors_T&amp;D'!$T65*O$17,N$18*'GREET2_Factors_T&amp;D'!$V65*O$18)</f>
        <v>0.63070206853100652</v>
      </c>
      <c r="AI74" s="909">
        <f>AI$49*(GREET1_Import_Export!$B191* GREET1_Import_Export!$F$179+GREET1_Import_Export!$F191)+AI$50*(GREET1_Import_Export!$B191* GREET1_Import_Export!$G$179+GREET1_Import_Export!$G191)+AI$51*(GREET1_Import_Export!$B191* GREET1_Import_Export!$C$179+GREET1_Import_Export!$C191)+AI$52*(GREET1_Import_Export!$B191* GREET1_Import_Export!$E$179+GREET1_Import_Export!$E191)+AI$53*(GREET1_Import_Export!$B191* GREET1_Import_Export!$I$179+GREET1_Import_Export!$I191)+AI$54*GREET1_Import_Export!$B227+AI$55*GREET1_Import_Export!$B295+AI$61*(GREET1_Import_Export!$B320+GREET1_Import_Export!$C320)</f>
        <v>0.54710151315503952</v>
      </c>
      <c r="AJ74" s="1255">
        <v>4.3509892174282552</v>
      </c>
      <c r="AK74" s="919">
        <f>AK$49*(GREET1_Import_Export!$B191* GREET1_Import_Export!$F$179+GREET1_Import_Export!$F191+GREET1_Import_Export!$L77)+AK$50*(GREET1_Import_Export!$B191* GREET1_Import_Export!$G$179+GREET1_Import_Export!$G191+GREET1_Import_Export!$Q151)+AK$51*(GREET1_Import_Export!$B191* GREET1_Import_Export!$C$179+GREET1_Import_Export!$C191+GREET1_Import_Export!$Q137)</f>
        <v>0.53960111930959698</v>
      </c>
      <c r="AL74" s="817">
        <f>SUM(P$16*'GREET2_Factors_T&amp;D'!$U65*Q$16, P$17*'GREET2_Factors_T&amp;D'!$T65*Q$17,P$18*'GREET2_Factors_T&amp;D'!$V65*Q$18)</f>
        <v>0.63070206853100652</v>
      </c>
      <c r="AM74" s="909">
        <f>AM$49*(GREET1_Import_Export!$B191* GREET1_Import_Export!$F$179+GREET1_Import_Export!$F191)+AM$50*(GREET1_Import_Export!$B191* GREET1_Import_Export!$G$179+GREET1_Import_Export!$G191)+AM$51*(GREET1_Import_Export!$B191* GREET1_Import_Export!$C$179+GREET1_Import_Export!$C191)+AM$52*(GREET1_Import_Export!$B191* GREET1_Import_Export!$E$179+GREET1_Import_Export!$E191)+AM$53*(GREET1_Import_Export!$B191* GREET1_Import_Export!$I$179+GREET1_Import_Export!$I191)+AM$54*GREET1_Import_Export!$B227+AM$55*GREET1_Import_Export!$B295+AM$61*(GREET1_Import_Export!$B320+GREET1_Import_Export!$C320)</f>
        <v>0.54710151315503963</v>
      </c>
      <c r="AN74" s="1255">
        <v>0.36243311237219761</v>
      </c>
      <c r="AO74" s="919">
        <f>AO$49*(GREET1_Import_Export!$B191* GREET1_Import_Export!$F$179+GREET1_Import_Export!$F191+GREET1_Import_Export!$L77)+AO$50*(GREET1_Import_Export!$B191* GREET1_Import_Export!$G$179+GREET1_Import_Export!$G191+GREET1_Import_Export!$Q151)+AO$51*(GREET1_Import_Export!$B191* GREET1_Import_Export!$C$179+GREET1_Import_Export!$C191+GREET1_Import_Export!$Q137)</f>
        <v>0.53960111930959698</v>
      </c>
      <c r="AP74" s="817">
        <f>SUM(R$16*'GREET2_Factors_T&amp;D'!$U65*S$16, R$17*'GREET2_Factors_T&amp;D'!$T65*S$17,R$18*'GREET2_Factors_T&amp;D'!$V65*S$18)</f>
        <v>1.019504179587333</v>
      </c>
      <c r="AS74" s="1090"/>
      <c r="AT74" s="1090"/>
      <c r="AX74" s="1090"/>
      <c r="AY74" s="1090"/>
    </row>
    <row r="75" spans="1:51" s="1247" customFormat="1">
      <c r="A75" s="1237" t="s">
        <v>827</v>
      </c>
      <c r="B75" s="909">
        <f>B$49*(GREET1_Import_Export!$B192* GREET1_Import_Export!$F$179+GREET1_Import_Export!$F192)+B$50*(GREET1_Import_Export!$B192* GREET1_Import_Export!$G$179+GREET1_Import_Export!$G192)+B$51*(GREET1_Import_Export!$B192* GREET1_Import_Export!$C$179+GREET1_Import_Export!$C192)+B$52*(GREET1_Import_Export!$B192* GREET1_Import_Export!$E$179+GREET1_Import_Export!$E192)+B$53*(GREET1_Import_Export!$B192* GREET1_Import_Export!$I$179+GREET1_Import_Export!$I192)+B$54*GREET1_Import_Export!$B228+B$55*GREET1_Import_Export!$B296+B$61*(GREET1_Import_Export!$B321+GREET1_Import_Export!$C321)</f>
        <v>0.43579404982107062</v>
      </c>
      <c r="C75" s="1255">
        <v>7.7743958342032942</v>
      </c>
      <c r="E75" s="919">
        <f>E$50*(GREET1_Import_Export!$B192* GREET1_Import_Export!$G$179+GREET1_Import_Export!$G192+GREET1_Import_Export!$Q152)+E$51*(GREET1_Import_Export!$B192* GREET1_Import_Export!$D$179+GREET1_Import_Export!$D192+GREET1_Import_Export!$Q138)</f>
        <v>3.0130080400847998E-3</v>
      </c>
      <c r="F75" s="817">
        <f>SUM(B$16*'GREET2_Factors_T&amp;D'!$U66*C$16, B$17*'GREET2_Factors_T&amp;D'!$T66*C$17,B$18*'GREET2_Factors_T&amp;D'!$V66*C$18)</f>
        <v>1.6077288218445042E-2</v>
      </c>
      <c r="G75" s="909">
        <f>G$49*(GREET1_Import_Export!$B192* GREET1_Import_Export!$F$179+GREET1_Import_Export!$F192)+G$50*(GREET1_Import_Export!$B192* GREET1_Import_Export!$G$179+GREET1_Import_Export!$G192)+G$51*(GREET1_Import_Export!$B192* GREET1_Import_Export!$C$179+GREET1_Import_Export!$C192)+G$52*(GREET1_Import_Export!$B192* GREET1_Import_Export!$E$179+GREET1_Import_Export!$E192)+G$53*(GREET1_Import_Export!$B192* GREET1_Import_Export!$I$179+GREET1_Import_Export!$I192)+G$54*GREET1_Import_Export!$B228+G$55*GREET1_Import_Export!$B296+G$61*(GREET1_Import_Export!$B321+GREET1_Import_Export!$C321)</f>
        <v>0.76466385965272365</v>
      </c>
      <c r="H75" s="1255">
        <v>3.3331519145617361</v>
      </c>
      <c r="J75" s="919">
        <f>J$50*(GREET1_Import_Export!$B192* GREET1_Import_Export!$G$179+GREET1_Import_Export!$G192+GREET1_Import_Export!$Q152)+J$51*(GREET1_Import_Export!$B192* GREET1_Import_Export!$D$179+GREET1_Import_Export!$D192+GREET1_Import_Export!$Q138)</f>
        <v>3.0130080400847998E-3</v>
      </c>
      <c r="K75" s="817">
        <f>SUM(D$16*'GREET2_Factors_T&amp;D'!$U66*E$16, D$17*'GREET2_Factors_T&amp;D'!$T66*E$17,D$18*'GREET2_Factors_T&amp;D'!$V66*E$18)</f>
        <v>1.6077288218445042E-2</v>
      </c>
      <c r="L75" s="909">
        <f>L$49*(GREET1_Import_Export!$B192* GREET1_Import_Export!$F$179+GREET1_Import_Export!$F192)+L$50*(GREET1_Import_Export!$B192* GREET1_Import_Export!$G$179+GREET1_Import_Export!$G192)+L$51*(GREET1_Import_Export!$B192* GREET1_Import_Export!$C$179+GREET1_Import_Export!$C192)+L$52*(GREET1_Import_Export!$B192* GREET1_Import_Export!$E$179+GREET1_Import_Export!$E192)+L$53*(GREET1_Import_Export!$B192* GREET1_Import_Export!$I$179+GREET1_Import_Export!$I192)+L$54*GREET1_Import_Export!$B228+L$55*GREET1_Import_Export!$B296+L$61*(GREET1_Import_Export!$B321+GREET1_Import_Export!$C321)</f>
        <v>0.40338245993206584</v>
      </c>
      <c r="M75" s="1255">
        <v>6.0133162179767181</v>
      </c>
      <c r="N75" s="919">
        <f>N$50*(GREET1_Import_Export!$B192* GREET1_Import_Export!$G$179+GREET1_Import_Export!$G192+GREET1_Import_Export!$Q152)+N$51*(GREET1_Import_Export!$B192* GREET1_Import_Export!$D$179+GREET1_Import_Export!$D192+GREET1_Import_Export!$Q138)</f>
        <v>3.0130080400847998E-3</v>
      </c>
      <c r="P75" s="817">
        <f>SUM(F$16*'GREET2_Factors_T&amp;D'!$U66*G$16, F$17*'GREET2_Factors_T&amp;D'!$T66*G$17,F$18*'GREET2_Factors_T&amp;D'!$V66*G$18)</f>
        <v>1.6077288218445042E-2</v>
      </c>
      <c r="Q75" s="909">
        <f>Q$49*(GREET1_Import_Export!$B192* GREET1_Import_Export!$F$179+GREET1_Import_Export!$F192)+Q$50*(GREET1_Import_Export!$B192* GREET1_Import_Export!$G$179+GREET1_Import_Export!$G192)+Q$51*(GREET1_Import_Export!$B192* GREET1_Import_Export!$C$179+GREET1_Import_Export!$C192)+Q$52*(GREET1_Import_Export!$B192* GREET1_Import_Export!$E$179+GREET1_Import_Export!$E192)+Q$53*(GREET1_Import_Export!$B192* GREET1_Import_Export!$I$179+GREET1_Import_Export!$I192)+Q$54*GREET1_Import_Export!$B228+Q$55*GREET1_Import_Export!$B296+Q$61*(GREET1_Import_Export!$B321+GREET1_Import_Export!$C321)</f>
        <v>0.37942288234846899</v>
      </c>
      <c r="R75" s="1255">
        <v>2.5831144672041781</v>
      </c>
      <c r="T75" s="919">
        <f>T$50*(GREET1_Import_Export!$B192* GREET1_Import_Export!$G$179+GREET1_Import_Export!$G192+GREET1_Import_Export!$Q152)+T$51*(GREET1_Import_Export!$B192* GREET1_Import_Export!$D$179+GREET1_Import_Export!$D192+GREET1_Import_Export!$Q138)</f>
        <v>3.0130080400847998E-3</v>
      </c>
      <c r="U75" s="817">
        <f>SUM(H$16*'GREET2_Factors_T&amp;D'!$U66*I$16, H$17*'GREET2_Factors_T&amp;D'!$T66*I$17,H$18*'GREET2_Factors_T&amp;D'!$V66*I$18)</f>
        <v>1.6077288218445042E-2</v>
      </c>
      <c r="V75" s="909">
        <f>V$49*(GREET1_Import_Export!$B192* GREET1_Import_Export!$F$179+GREET1_Import_Export!$F192)+V$50*(GREET1_Import_Export!$B192* GREET1_Import_Export!$G$179+GREET1_Import_Export!$G192)+V$51*(GREET1_Import_Export!$B192* GREET1_Import_Export!$C$179+GREET1_Import_Export!$C192)+V$52*(GREET1_Import_Export!$B192* GREET1_Import_Export!$E$179+GREET1_Import_Export!$E192)+V$53*(GREET1_Import_Export!$B192* GREET1_Import_Export!$I$179+GREET1_Import_Export!$I192)+V$54*GREET1_Import_Export!$B228+V$55*GREET1_Import_Export!$B296+V$61*(GREET1_Import_Export!$B321+GREET1_Import_Export!$C321)</f>
        <v>0.40491902525951501</v>
      </c>
      <c r="W75" s="1255">
        <f t="shared" si="9"/>
        <v>3.1961704218311642</v>
      </c>
      <c r="Y75" s="919">
        <f>Y$50*(GREET1_Import_Export!$B192* GREET1_Import_Export!$G$179+GREET1_Import_Export!$G192+GREET1_Import_Export!$Q152)+Y$51*(GREET1_Import_Export!$B192* GREET1_Import_Export!$D$179+GREET1_Import_Export!$D192+GREET1_Import_Export!$Q138)</f>
        <v>3.0130080400847998E-3</v>
      </c>
      <c r="Z75" s="817">
        <f>SUM(J$16*'GREET2_Factors_T&amp;D'!$U66*K$16, J$17*'GREET2_Factors_T&amp;D'!$T66*K$17,J$18*'GREET2_Factors_T&amp;D'!$V66*K$18)</f>
        <v>1.6077288218445042E-2</v>
      </c>
      <c r="AA75" s="909">
        <f>AA$49*(GREET1_Import_Export!$B192* GREET1_Import_Export!$F$179+GREET1_Import_Export!$F192)+AA$50*(GREET1_Import_Export!$B192* GREET1_Import_Export!$G$179+GREET1_Import_Export!$G192)+AA$51*(GREET1_Import_Export!$B192* GREET1_Import_Export!$C$179+GREET1_Import_Export!$C192)+AA$52*(GREET1_Import_Export!$B192* GREET1_Import_Export!$E$179+GREET1_Import_Export!$E192)+AA$53*(GREET1_Import_Export!$B192* GREET1_Import_Export!$I$179+GREET1_Import_Export!$I192)+AA$54*GREET1_Import_Export!$B228+AA$55*GREET1_Import_Export!$B296+AA$61*(GREET1_Import_Export!$B321+GREET1_Import_Export!$C321)</f>
        <v>3.4534266964316475E-3</v>
      </c>
      <c r="AB75" s="1255">
        <v>0.382682031187287</v>
      </c>
      <c r="AC75" s="919">
        <f>AC$50*(GREET1_Import_Export!$B192* GREET1_Import_Export!$G$179+GREET1_Import_Export!$G192+GREET1_Import_Export!$Q152)+AC$51*(GREET1_Import_Export!$B192* GREET1_Import_Export!$D$179+GREET1_Import_Export!$D192+GREET1_Import_Export!$Q138)</f>
        <v>1.5759243052635655E-2</v>
      </c>
      <c r="AD75" s="817">
        <f>'GREET2_Factors_T&amp;D'!W66</f>
        <v>5.4203637653876292E-4</v>
      </c>
      <c r="AE75" s="909">
        <f>AE$49*(GREET1_Import_Export!$B192* GREET1_Import_Export!$F$179+GREET1_Import_Export!$F192)+AE$50*(GREET1_Import_Export!$B192* GREET1_Import_Export!$G$179+GREET1_Import_Export!$G192)+AE$51*(GREET1_Import_Export!$B192* GREET1_Import_Export!$C$179+GREET1_Import_Export!$C192)+AE$52*(GREET1_Import_Export!$B192* GREET1_Import_Export!$E$179+GREET1_Import_Export!$E192)+AE$53*(GREET1_Import_Export!$B192* GREET1_Import_Export!$I$179+GREET1_Import_Export!$I192)+AE$54*GREET1_Import_Export!$B228+AE$55*GREET1_Import_Export!$B296+AE$61*(GREET1_Import_Export!$B321+GREET1_Import_Export!$C321)</f>
        <v>3.8499278496036985E-3</v>
      </c>
      <c r="AF75" s="1255">
        <v>2.8574803509584558E-2</v>
      </c>
      <c r="AG75" s="919">
        <f>AG$49*(GREET1_Import_Export!$B192* GREET1_Import_Export!$F$179+GREET1_Import_Export!$F192+GREET1_Import_Export!$L78)+AG$50*(GREET1_Import_Export!$B192* GREET1_Import_Export!$G$179+GREET1_Import_Export!$G192+GREET1_Import_Export!$Q152)+AG$51*(GREET1_Import_Export!$B192* GREET1_Import_Export!$C$179+GREET1_Import_Export!$C192+GREET1_Import_Export!$Q138)</f>
        <v>5.2609436666300975E-2</v>
      </c>
      <c r="AH75" s="817">
        <f>SUM(N$16*'GREET2_Factors_T&amp;D'!$U66*O$16, N$17*'GREET2_Factors_T&amp;D'!$T66*O$17,N$18*'GREET2_Factors_T&amp;D'!$V66*O$18)</f>
        <v>1.1804636747377218E-2</v>
      </c>
      <c r="AI75" s="909">
        <f>AI$49*(GREET1_Import_Export!$B192* GREET1_Import_Export!$F$179+GREET1_Import_Export!$F192)+AI$50*(GREET1_Import_Export!$B192* GREET1_Import_Export!$G$179+GREET1_Import_Export!$G192)+AI$51*(GREET1_Import_Export!$B192* GREET1_Import_Export!$C$179+GREET1_Import_Export!$C192)+AI$52*(GREET1_Import_Export!$B192* GREET1_Import_Export!$E$179+GREET1_Import_Export!$E192)+AI$53*(GREET1_Import_Export!$B192* GREET1_Import_Export!$I$179+GREET1_Import_Export!$I192)+AI$54*GREET1_Import_Export!$B228+AI$55*GREET1_Import_Export!$B296+AI$61*(GREET1_Import_Export!$B321+GREET1_Import_Export!$C321)</f>
        <v>3.8499278496037003E-3</v>
      </c>
      <c r="AJ75" s="1255">
        <v>2.8574803509584558E-2</v>
      </c>
      <c r="AK75" s="919">
        <f>AK$49*(GREET1_Import_Export!$B192* GREET1_Import_Export!$F$179+GREET1_Import_Export!$F192+GREET1_Import_Export!$L78)+AK$50*(GREET1_Import_Export!$B192* GREET1_Import_Export!$G$179+GREET1_Import_Export!$G192+GREET1_Import_Export!$Q152)+AK$51*(GREET1_Import_Export!$B192* GREET1_Import_Export!$C$179+GREET1_Import_Export!$C192+GREET1_Import_Export!$Q138)</f>
        <v>5.2609436666300975E-2</v>
      </c>
      <c r="AL75" s="817">
        <f>SUM(P$16*'GREET2_Factors_T&amp;D'!$U66*Q$16, P$17*'GREET2_Factors_T&amp;D'!$T66*Q$17,P$18*'GREET2_Factors_T&amp;D'!$V66*Q$18)</f>
        <v>1.1804636747377218E-2</v>
      </c>
      <c r="AM75" s="909">
        <f>AM$49*(GREET1_Import_Export!$B192* GREET1_Import_Export!$F$179+GREET1_Import_Export!$F192)+AM$50*(GREET1_Import_Export!$B192* GREET1_Import_Export!$G$179+GREET1_Import_Export!$G192)+AM$51*(GREET1_Import_Export!$B192* GREET1_Import_Export!$C$179+GREET1_Import_Export!$C192)+AM$52*(GREET1_Import_Export!$B192* GREET1_Import_Export!$E$179+GREET1_Import_Export!$E192)+AM$53*(GREET1_Import_Export!$B192* GREET1_Import_Export!$I$179+GREET1_Import_Export!$I192)+AM$54*GREET1_Import_Export!$B228+AM$55*GREET1_Import_Export!$B296+AM$61*(GREET1_Import_Export!$B321+GREET1_Import_Export!$C321)</f>
        <v>3.8499278496037007E-3</v>
      </c>
      <c r="AN75" s="1255">
        <v>0.14089385348142969</v>
      </c>
      <c r="AO75" s="919">
        <f>AO$49*(GREET1_Import_Export!$B192* GREET1_Import_Export!$F$179+GREET1_Import_Export!$F192+GREET1_Import_Export!$L78)+AO$50*(GREET1_Import_Export!$B192* GREET1_Import_Export!$G$179+GREET1_Import_Export!$G192+GREET1_Import_Export!$Q152)+AO$51*(GREET1_Import_Export!$B192* GREET1_Import_Export!$C$179+GREET1_Import_Export!$C192+GREET1_Import_Export!$Q138)</f>
        <v>5.2609436666300975E-2</v>
      </c>
      <c r="AP75" s="817">
        <f>SUM(R$16*'GREET2_Factors_T&amp;D'!$U66*S$16, R$17*'GREET2_Factors_T&amp;D'!$T66*S$17,R$18*'GREET2_Factors_T&amp;D'!$V66*S$18)</f>
        <v>2.5476794419001025E-2</v>
      </c>
      <c r="AS75" s="1090"/>
      <c r="AT75" s="1090"/>
      <c r="AX75" s="1090"/>
      <c r="AY75" s="1090"/>
    </row>
    <row r="76" spans="1:51" s="1247" customFormat="1">
      <c r="A76" s="1237" t="s">
        <v>828</v>
      </c>
      <c r="B76" s="909">
        <f>B$49*(GREET1_Import_Export!$B193* GREET1_Import_Export!$F$179+GREET1_Import_Export!$F193)+B$50*(GREET1_Import_Export!$B193* GREET1_Import_Export!$G$179+GREET1_Import_Export!$G193)+B$51*(GREET1_Import_Export!$B193* GREET1_Import_Export!$C$179+GREET1_Import_Export!$C193)+B$52*(GREET1_Import_Export!$B193* GREET1_Import_Export!$E$179+GREET1_Import_Export!$E193)+B$53*(GREET1_Import_Export!$B193* GREET1_Import_Export!$I$179+GREET1_Import_Export!$I193)+B$54*GREET1_Import_Export!$B229+B$55*GREET1_Import_Export!$B297+B$61*(GREET1_Import_Export!$B322+GREET1_Import_Export!$C322)</f>
        <v>1.2979981801350717</v>
      </c>
      <c r="C76" s="1255">
        <v>30.531553603306211</v>
      </c>
      <c r="E76" s="919">
        <f>E$50*(GREET1_Import_Export!$B193* GREET1_Import_Export!$G$179+GREET1_Import_Export!$G193+GREET1_Import_Export!$Q153)+E$51*(GREET1_Import_Export!$B193* GREET1_Import_Export!$D$179+GREET1_Import_Export!$D193+GREET1_Import_Export!$Q139)</f>
        <v>9.4131875746793247E-4</v>
      </c>
      <c r="F76" s="817">
        <f>SUM(B$16*'GREET2_Factors_T&amp;D'!$U67*C$16, B$17*'GREET2_Factors_T&amp;D'!$T67*C$17,B$18*'GREET2_Factors_T&amp;D'!$V67*C$18)</f>
        <v>3.7125045408450894E-2</v>
      </c>
      <c r="G76" s="909">
        <f>G$49*(GREET1_Import_Export!$B193* GREET1_Import_Export!$F$179+GREET1_Import_Export!$F193)+G$50*(GREET1_Import_Export!$B193* GREET1_Import_Export!$G$179+GREET1_Import_Export!$G193)+G$51*(GREET1_Import_Export!$B193* GREET1_Import_Export!$C$179+GREET1_Import_Export!$C193)+G$52*(GREET1_Import_Export!$B193* GREET1_Import_Export!$E$179+GREET1_Import_Export!$E193)+G$53*(GREET1_Import_Export!$B193* GREET1_Import_Export!$I$179+GREET1_Import_Export!$I193)+G$54*GREET1_Import_Export!$B229+G$55*GREET1_Import_Export!$B297+G$61*(GREET1_Import_Export!$B322+GREET1_Import_Export!$C322)</f>
        <v>1.9612267790185895</v>
      </c>
      <c r="H76" s="1255">
        <v>14.692661406022868</v>
      </c>
      <c r="J76" s="919">
        <f>J$50*(GREET1_Import_Export!$B193* GREET1_Import_Export!$G$179+GREET1_Import_Export!$G193+GREET1_Import_Export!$Q153)+J$51*(GREET1_Import_Export!$B193* GREET1_Import_Export!$D$179+GREET1_Import_Export!$D193+GREET1_Import_Export!$Q139)</f>
        <v>9.4131875746793247E-4</v>
      </c>
      <c r="K76" s="817">
        <f>SUM(D$16*'GREET2_Factors_T&amp;D'!$U67*E$16, D$17*'GREET2_Factors_T&amp;D'!$T67*E$17,D$18*'GREET2_Factors_T&amp;D'!$V67*E$18)</f>
        <v>3.7125045408450894E-2</v>
      </c>
      <c r="L76" s="909">
        <f>L$49*(GREET1_Import_Export!$B193* GREET1_Import_Export!$F$179+GREET1_Import_Export!$F193)+L$50*(GREET1_Import_Export!$B193* GREET1_Import_Export!$G$179+GREET1_Import_Export!$G193)+L$51*(GREET1_Import_Export!$B193* GREET1_Import_Export!$C$179+GREET1_Import_Export!$C193)+L$52*(GREET1_Import_Export!$B193* GREET1_Import_Export!$E$179+GREET1_Import_Export!$E193)+L$53*(GREET1_Import_Export!$B193* GREET1_Import_Export!$I$179+GREET1_Import_Export!$I193)+L$54*GREET1_Import_Export!$B229+L$55*GREET1_Import_Export!$B297+L$61*(GREET1_Import_Export!$B322+GREET1_Import_Export!$C322)</f>
        <v>1.3092127500570196</v>
      </c>
      <c r="M76" s="1255">
        <v>26.006411751273767</v>
      </c>
      <c r="N76" s="919">
        <f>N$50*(GREET1_Import_Export!$B193* GREET1_Import_Export!$G$179+GREET1_Import_Export!$G193+GREET1_Import_Export!$Q153)+N$51*(GREET1_Import_Export!$B193* GREET1_Import_Export!$D$179+GREET1_Import_Export!$D193+GREET1_Import_Export!$Q139)</f>
        <v>9.4131875746793247E-4</v>
      </c>
      <c r="P76" s="817">
        <f>SUM(F$16*'GREET2_Factors_T&amp;D'!$U67*G$16, F$17*'GREET2_Factors_T&amp;D'!$T67*G$17,F$18*'GREET2_Factors_T&amp;D'!$V67*G$18)</f>
        <v>3.7125045408450894E-2</v>
      </c>
      <c r="Q76" s="909">
        <f>Q$49*(GREET1_Import_Export!$B193* GREET1_Import_Export!$F$179+GREET1_Import_Export!$F193)+Q$50*(GREET1_Import_Export!$B193* GREET1_Import_Export!$G$179+GREET1_Import_Export!$G193)+Q$51*(GREET1_Import_Export!$B193* GREET1_Import_Export!$C$179+GREET1_Import_Export!$C193)+Q$52*(GREET1_Import_Export!$B193* GREET1_Import_Export!$E$179+GREET1_Import_Export!$E193)+Q$53*(GREET1_Import_Export!$B193* GREET1_Import_Export!$I$179+GREET1_Import_Export!$I193)+Q$54*GREET1_Import_Export!$B229+Q$55*GREET1_Import_Export!$B297+Q$61*(GREET1_Import_Export!$B322+GREET1_Import_Export!$C322)</f>
        <v>1.2096942601894236</v>
      </c>
      <c r="R76" s="1255">
        <v>9.9204464979659281</v>
      </c>
      <c r="T76" s="919">
        <f>T$50*(GREET1_Import_Export!$B193* GREET1_Import_Export!$G$179+GREET1_Import_Export!$G193+GREET1_Import_Export!$Q153)+T$51*(GREET1_Import_Export!$B193* GREET1_Import_Export!$D$179+GREET1_Import_Export!$D193+GREET1_Import_Export!$Q139)</f>
        <v>9.4131875746793247E-4</v>
      </c>
      <c r="U76" s="817">
        <f>SUM(H$16*'GREET2_Factors_T&amp;D'!$U67*I$16, H$17*'GREET2_Factors_T&amp;D'!$T67*I$17,H$18*'GREET2_Factors_T&amp;D'!$V67*I$18)</f>
        <v>3.7125045408450894E-2</v>
      </c>
      <c r="V76" s="909">
        <f>V$49*(GREET1_Import_Export!$B193* GREET1_Import_Export!$F$179+GREET1_Import_Export!$F193)+V$50*(GREET1_Import_Export!$B193* GREET1_Import_Export!$G$179+GREET1_Import_Export!$G193)+V$51*(GREET1_Import_Export!$B193* GREET1_Import_Export!$C$179+GREET1_Import_Export!$C193)+V$52*(GREET1_Import_Export!$B193* GREET1_Import_Export!$E$179+GREET1_Import_Export!$E193)+V$53*(GREET1_Import_Export!$B193* GREET1_Import_Export!$I$179+GREET1_Import_Export!$I193)+V$54*GREET1_Import_Export!$B229+V$55*GREET1_Import_Export!$B297+V$61*(GREET1_Import_Export!$B322+GREET1_Import_Export!$C322)</f>
        <v>1.2724412273379766</v>
      </c>
      <c r="W76" s="1255">
        <f t="shared" si="9"/>
        <v>12.747406253663492</v>
      </c>
      <c r="Y76" s="919">
        <f>Y$50*(GREET1_Import_Export!$B193* GREET1_Import_Export!$G$179+GREET1_Import_Export!$G193+GREET1_Import_Export!$Q153)+Y$51*(GREET1_Import_Export!$B193* GREET1_Import_Export!$D$179+GREET1_Import_Export!$D193+GREET1_Import_Export!$Q139)</f>
        <v>9.4131875746793247E-4</v>
      </c>
      <c r="Z76" s="817">
        <f>SUM(J$16*'GREET2_Factors_T&amp;D'!$U67*K$16, J$17*'GREET2_Factors_T&amp;D'!$T67*K$17,J$18*'GREET2_Factors_T&amp;D'!$V67*K$18)</f>
        <v>3.7125045408450894E-2</v>
      </c>
      <c r="AA76" s="909">
        <f>AA$49*(GREET1_Import_Export!$B193* GREET1_Import_Export!$F$179+GREET1_Import_Export!$F193)+AA$50*(GREET1_Import_Export!$B193* GREET1_Import_Export!$G$179+GREET1_Import_Export!$G193)+AA$51*(GREET1_Import_Export!$B193* GREET1_Import_Export!$C$179+GREET1_Import_Export!$C193)+AA$52*(GREET1_Import_Export!$B193* GREET1_Import_Export!$E$179+GREET1_Import_Export!$E193)+AA$53*(GREET1_Import_Export!$B193* GREET1_Import_Export!$I$179+GREET1_Import_Export!$I193)+AA$54*GREET1_Import_Export!$B229+AA$55*GREET1_Import_Export!$B297+AA$61*(GREET1_Import_Export!$B322+GREET1_Import_Export!$C322)</f>
        <v>1.3227903938364489E-2</v>
      </c>
      <c r="AB76" s="1255">
        <v>0.74844837219717919</v>
      </c>
      <c r="AC76" s="919">
        <f>AC$50*(GREET1_Import_Export!$B193* GREET1_Import_Export!$G$179+GREET1_Import_Export!$G193+GREET1_Import_Export!$Q153)+AC$51*(GREET1_Import_Export!$B193* GREET1_Import_Export!$D$179+GREET1_Import_Export!$D193+GREET1_Import_Export!$Q139)</f>
        <v>4.9234754410162913E-3</v>
      </c>
      <c r="AD76" s="817">
        <f>'GREET2_Factors_T&amp;D'!W67</f>
        <v>9.5127738710434776E-4</v>
      </c>
      <c r="AE76" s="909">
        <f>AE$49*(GREET1_Import_Export!$B193* GREET1_Import_Export!$F$179+GREET1_Import_Export!$F193)+AE$50*(GREET1_Import_Export!$B193* GREET1_Import_Export!$G$179+GREET1_Import_Export!$G193)+AE$51*(GREET1_Import_Export!$B193* GREET1_Import_Export!$C$179+GREET1_Import_Export!$C193)+AE$52*(GREET1_Import_Export!$B193* GREET1_Import_Export!$E$179+GREET1_Import_Export!$E193)+AE$53*(GREET1_Import_Export!$B193* GREET1_Import_Export!$I$179+GREET1_Import_Export!$I193)+AE$54*GREET1_Import_Export!$B229+AE$55*GREET1_Import_Export!$B297+AE$61*(GREET1_Import_Export!$B322+GREET1_Import_Export!$C322)</f>
        <v>1.7873957166168419E-2</v>
      </c>
      <c r="AF76" s="1255">
        <v>6.8548647918969599E-2</v>
      </c>
      <c r="AG76" s="919">
        <f>AG$49*(GREET1_Import_Export!$B193* GREET1_Import_Export!$F$179+GREET1_Import_Export!$F193+GREET1_Import_Export!$L79)+AG$50*(GREET1_Import_Export!$B193* GREET1_Import_Export!$G$179+GREET1_Import_Export!$G193+GREET1_Import_Export!$Q153)+AG$51*(GREET1_Import_Export!$B193* GREET1_Import_Export!$C$179+GREET1_Import_Export!$C193+GREET1_Import_Export!$Q139)</f>
        <v>2.1526805835802854E-2</v>
      </c>
      <c r="AH76" s="817">
        <f>SUM(N$16*'GREET2_Factors_T&amp;D'!$U67*O$16, N$17*'GREET2_Factors_T&amp;D'!$T67*O$17,N$18*'GREET2_Factors_T&amp;D'!$V67*O$18)</f>
        <v>2.9387508512702273E-2</v>
      </c>
      <c r="AI76" s="909">
        <f>AI$49*(GREET1_Import_Export!$B193* GREET1_Import_Export!$F$179+GREET1_Import_Export!$F193)+AI$50*(GREET1_Import_Export!$B193* GREET1_Import_Export!$G$179+GREET1_Import_Export!$G193)+AI$51*(GREET1_Import_Export!$B193* GREET1_Import_Export!$C$179+GREET1_Import_Export!$C193)+AI$52*(GREET1_Import_Export!$B193* GREET1_Import_Export!$E$179+GREET1_Import_Export!$E193)+AI$53*(GREET1_Import_Export!$B193* GREET1_Import_Export!$I$179+GREET1_Import_Export!$I193)+AI$54*GREET1_Import_Export!$B229+AI$55*GREET1_Import_Export!$B297+AI$61*(GREET1_Import_Export!$B322+GREET1_Import_Export!$C322)</f>
        <v>1.7873957166168426E-2</v>
      </c>
      <c r="AJ76" s="1255">
        <v>6.8548647918969599E-2</v>
      </c>
      <c r="AK76" s="919">
        <f>AK$49*(GREET1_Import_Export!$B193* GREET1_Import_Export!$F$179+GREET1_Import_Export!$F193+GREET1_Import_Export!$L79)+AK$50*(GREET1_Import_Export!$B193* GREET1_Import_Export!$G$179+GREET1_Import_Export!$G193+GREET1_Import_Export!$Q153)+AK$51*(GREET1_Import_Export!$B193* GREET1_Import_Export!$C$179+GREET1_Import_Export!$C193+GREET1_Import_Export!$Q139)</f>
        <v>2.1526805835802854E-2</v>
      </c>
      <c r="AL76" s="817">
        <f>SUM(P$16*'GREET2_Factors_T&amp;D'!$U67*Q$16, P$17*'GREET2_Factors_T&amp;D'!$T67*Q$17,P$18*'GREET2_Factors_T&amp;D'!$V67*Q$18)</f>
        <v>2.9387508512702273E-2</v>
      </c>
      <c r="AM76" s="909">
        <f>AM$49*(GREET1_Import_Export!$B193* GREET1_Import_Export!$F$179+GREET1_Import_Export!$F193)+AM$50*(GREET1_Import_Export!$B193* GREET1_Import_Export!$G$179+GREET1_Import_Export!$G193)+AM$51*(GREET1_Import_Export!$B193* GREET1_Import_Export!$C$179+GREET1_Import_Export!$C193)+AM$52*(GREET1_Import_Export!$B193* GREET1_Import_Export!$E$179+GREET1_Import_Export!$E193)+AM$53*(GREET1_Import_Export!$B193* GREET1_Import_Export!$I$179+GREET1_Import_Export!$I193)+AM$54*GREET1_Import_Export!$B229+AM$55*GREET1_Import_Export!$B297+AM$61*(GREET1_Import_Export!$B322+GREET1_Import_Export!$C322)</f>
        <v>1.7873957166168429E-2</v>
      </c>
      <c r="AN76" s="1255">
        <v>5.6495075001750286E-2</v>
      </c>
      <c r="AO76" s="919">
        <f>AO$49*(GREET1_Import_Export!$B193* GREET1_Import_Export!$F$179+GREET1_Import_Export!$F193+GREET1_Import_Export!$L79)+AO$50*(GREET1_Import_Export!$B193* GREET1_Import_Export!$G$179+GREET1_Import_Export!$G193+GREET1_Import_Export!$Q153)+AO$51*(GREET1_Import_Export!$B193* GREET1_Import_Export!$C$179+GREET1_Import_Export!$C193+GREET1_Import_Export!$Q139)</f>
        <v>2.1526805835802854E-2</v>
      </c>
      <c r="AP76" s="817">
        <f>SUM(R$16*'GREET2_Factors_T&amp;D'!$U67*S$16, R$17*'GREET2_Factors_T&amp;D'!$T67*S$17,R$18*'GREET2_Factors_T&amp;D'!$V67*S$18)</f>
        <v>9.2517091510370034E-2</v>
      </c>
      <c r="AS76" s="1090"/>
      <c r="AT76" s="1090"/>
      <c r="AX76" s="1090"/>
      <c r="AY76" s="1090"/>
    </row>
    <row r="77" spans="1:51" s="1247" customFormat="1">
      <c r="A77" s="1237" t="s">
        <v>829</v>
      </c>
      <c r="B77" s="909">
        <f>B$49*(GREET1_Import_Export!$B194* GREET1_Import_Export!$F$179+GREET1_Import_Export!$F194)+B$50*(GREET1_Import_Export!$B194* GREET1_Import_Export!$G$179+GREET1_Import_Export!$G194)+B$51*(GREET1_Import_Export!$B194* GREET1_Import_Export!$C$179+GREET1_Import_Export!$C194)+B$52*(GREET1_Import_Export!$B194* GREET1_Import_Export!$E$179+GREET1_Import_Export!$E194)+B$53*(GREET1_Import_Export!$B194* GREET1_Import_Export!$I$179+GREET1_Import_Export!$I194)+B$54*GREET1_Import_Export!$B230+B$55*GREET1_Import_Export!$B298+B$61*(GREET1_Import_Export!$B323+GREET1_Import_Export!$C323)</f>
        <v>541.22827416812913</v>
      </c>
      <c r="C77" s="1255">
        <f>31.7854718803282</f>
        <v>31.785471880328199</v>
      </c>
      <c r="D77" s="536">
        <f>-$B$26*B$56</f>
        <v>-1627.8757383661898</v>
      </c>
      <c r="E77" s="919">
        <f>E$50*(GREET1_Import_Export!$B194* GREET1_Import_Export!$G$179+GREET1_Import_Export!$G194+GREET1_Import_Export!$Q154)+E$51*(GREET1_Import_Export!$B194* GREET1_Import_Export!$D$179+GREET1_Import_Export!$D194+GREET1_Import_Export!$Q140)</f>
        <v>5.2164244153113548E-2</v>
      </c>
      <c r="F77" s="817">
        <f>SUM(B$16*'GREET2_Factors_T&amp;D'!$U68*C$16, B$17*'GREET2_Factors_T&amp;D'!$T68*C$17,B$18*'GREET2_Factors_T&amp;D'!$V68*C$18)</f>
        <v>5.3269876174389124</v>
      </c>
      <c r="G77" s="909">
        <f>G$49*(GREET1_Import_Export!$B194* GREET1_Import_Export!$F$179+GREET1_Import_Export!$F194)+G$50*(GREET1_Import_Export!$B194* GREET1_Import_Export!$G$179+GREET1_Import_Export!$G194)+G$51*(GREET1_Import_Export!$B194* GREET1_Import_Export!$C$179+GREET1_Import_Export!$C194)+G$52*(GREET1_Import_Export!$B194* GREET1_Import_Export!$E$179+GREET1_Import_Export!$E194)+G$53*(GREET1_Import_Export!$B194* GREET1_Import_Export!$I$179+GREET1_Import_Export!$I194)+G$54*GREET1_Import_Export!$B230+G$55*GREET1_Import_Export!$B298+G$61*(GREET1_Import_Export!$B323+GREET1_Import_Export!$C323)</f>
        <v>643.44808333355331</v>
      </c>
      <c r="H77" s="1255">
        <f>38.0297314841368</f>
        <v>38.029731484136803</v>
      </c>
      <c r="I77" s="536">
        <f>-$B$26*G$56</f>
        <v>-53.764249557823504</v>
      </c>
      <c r="J77" s="919">
        <f>J$50*(GREET1_Import_Export!$B194* GREET1_Import_Export!$G$179+GREET1_Import_Export!$G194+GREET1_Import_Export!$Q154)+J$51*(GREET1_Import_Export!$B194* GREET1_Import_Export!$D$179+GREET1_Import_Export!$D194+GREET1_Import_Export!$Q140)</f>
        <v>5.2164244153113548E-2</v>
      </c>
      <c r="K77" s="817">
        <f>SUM(D$16*'GREET2_Factors_T&amp;D'!$U68*E$16, D$17*'GREET2_Factors_T&amp;D'!$T68*E$17,D$18*'GREET2_Factors_T&amp;D'!$V68*E$18)</f>
        <v>5.3269876174389124</v>
      </c>
      <c r="L77" s="909">
        <f>L$49*(GREET1_Import_Export!$B194* GREET1_Import_Export!$F$179+GREET1_Import_Export!$F194)+L$50*(GREET1_Import_Export!$B194* GREET1_Import_Export!$G$179+GREET1_Import_Export!$G194)+L$51*(GREET1_Import_Export!$B194* GREET1_Import_Export!$C$179+GREET1_Import_Export!$C194)+L$52*(GREET1_Import_Export!$B194* GREET1_Import_Export!$E$179+GREET1_Import_Export!$E194)+L$53*(GREET1_Import_Export!$B194* GREET1_Import_Export!$I$179+GREET1_Import_Export!$I194)+L$54*GREET1_Import_Export!$B230+L$55*GREET1_Import_Export!$B298+L$61*(GREET1_Import_Export!$B323+GREET1_Import_Export!$C323)</f>
        <v>601.51605500269727</v>
      </c>
      <c r="M77" s="1255">
        <f>32.6667108102449</f>
        <v>32.666710810244901</v>
      </c>
      <c r="N77" s="919">
        <f>N$50*(GREET1_Import_Export!$B194* GREET1_Import_Export!$G$179+GREET1_Import_Export!$G194+GREET1_Import_Export!$Q154)+N$51*(GREET1_Import_Export!$B194* GREET1_Import_Export!$D$179+GREET1_Import_Export!$D194+GREET1_Import_Export!$Q140)</f>
        <v>5.2164244153113548E-2</v>
      </c>
      <c r="O77" s="536">
        <f>-$B$26*M$56</f>
        <v>0</v>
      </c>
      <c r="P77" s="817">
        <f>SUM(F$16*'GREET2_Factors_T&amp;D'!$U68*G$16, F$17*'GREET2_Factors_T&amp;D'!$T68*G$17,F$18*'GREET2_Factors_T&amp;D'!$V68*G$18)</f>
        <v>5.3269876174389124</v>
      </c>
      <c r="Q77" s="909">
        <f>Q$49*(GREET1_Import_Export!$B194* GREET1_Import_Export!$F$179+GREET1_Import_Export!$F194)+Q$50*(GREET1_Import_Export!$B194* GREET1_Import_Export!$G$179+GREET1_Import_Export!$G194)+Q$51*(GREET1_Import_Export!$B194* GREET1_Import_Export!$C$179+GREET1_Import_Export!$C194)+Q$52*(GREET1_Import_Export!$B194* GREET1_Import_Export!$E$179+GREET1_Import_Export!$E194)+Q$53*(GREET1_Import_Export!$B194* GREET1_Import_Export!$I$179+GREET1_Import_Export!$I194)+Q$54*GREET1_Import_Export!$B230+Q$55*GREET1_Import_Export!$B298+Q$61*(GREET1_Import_Export!$B323+GREET1_Import_Export!$C323)</f>
        <v>491.9003682821417</v>
      </c>
      <c r="R77" s="1255">
        <f>30.2097611059577</f>
        <v>30.2097611059577</v>
      </c>
      <c r="S77" s="536">
        <f>-$B$26*Q$56</f>
        <v>-212.27209219757813</v>
      </c>
      <c r="T77" s="919">
        <f>T$50*(GREET1_Import_Export!$B194* GREET1_Import_Export!$G$179+GREET1_Import_Export!$G194+GREET1_Import_Export!$Q154)+T$51*(GREET1_Import_Export!$B194* GREET1_Import_Export!$D$179+GREET1_Import_Export!$D194+GREET1_Import_Export!$Q140)</f>
        <v>5.2164244153113548E-2</v>
      </c>
      <c r="U77" s="817">
        <f>SUM(H$16*'GREET2_Factors_T&amp;D'!$U68*I$16, H$17*'GREET2_Factors_T&amp;D'!$T68*I$17,H$18*'GREET2_Factors_T&amp;D'!$V68*I$18)</f>
        <v>5.3269876174389124</v>
      </c>
      <c r="V77" s="909">
        <f>V$49*(GREET1_Import_Export!$B194* GREET1_Import_Export!$F$179+GREET1_Import_Export!$F194)+V$50*(GREET1_Import_Export!$B194* GREET1_Import_Export!$G$179+GREET1_Import_Export!$G194)+V$51*(GREET1_Import_Export!$B194* GREET1_Import_Export!$C$179+GREET1_Import_Export!$C194)+V$52*(GREET1_Import_Export!$B194* GREET1_Import_Export!$E$179+GREET1_Import_Export!$E194)+V$53*(GREET1_Import_Export!$B194* GREET1_Import_Export!$I$179+GREET1_Import_Export!$I194)+V$54*GREET1_Import_Export!$B230+V$55*GREET1_Import_Export!$B298+V$61*(GREET1_Import_Export!$B323+GREET1_Import_Export!$C323)</f>
        <v>519.26587587530275</v>
      </c>
      <c r="W77" s="1255">
        <f t="shared" si="9"/>
        <v>30.975720504899321</v>
      </c>
      <c r="X77" s="536">
        <f>(D77*$I$8)+(I77*$J$8)+(N77*$K$8)+(S77*$L$8)</f>
        <v>-222.1174709532506</v>
      </c>
      <c r="Y77" s="919">
        <f>Y$50*(GREET1_Import_Export!$B194* GREET1_Import_Export!$G$179+GREET1_Import_Export!$G194+GREET1_Import_Export!$Q154)+Y$51*(GREET1_Import_Export!$B194* GREET1_Import_Export!$D$179+GREET1_Import_Export!$D194+GREET1_Import_Export!$Q140)</f>
        <v>5.2164244153113548E-2</v>
      </c>
      <c r="Z77" s="817">
        <f>SUM(J$16*'GREET2_Factors_T&amp;D'!$U68*K$16, J$17*'GREET2_Factors_T&amp;D'!$T68*K$17,J$18*'GREET2_Factors_T&amp;D'!$V68*K$18)</f>
        <v>5.3269876174389124</v>
      </c>
      <c r="AA77" s="909">
        <f>AA$49*(GREET1_Import_Export!$B194* GREET1_Import_Export!$F$179+GREET1_Import_Export!$F194)+AA$50*(GREET1_Import_Export!$B194* GREET1_Import_Export!$G$179+GREET1_Import_Export!$G194)+AA$51*(GREET1_Import_Export!$B194* GREET1_Import_Export!$C$179+GREET1_Import_Export!$C194)+AA$52*(GREET1_Import_Export!$B194* GREET1_Import_Export!$E$179+GREET1_Import_Export!$E194)+AA$53*(GREET1_Import_Export!$B194* GREET1_Import_Export!$I$179+GREET1_Import_Export!$I194)+AA$54*GREET1_Import_Export!$B230+AA$55*GREET1_Import_Export!$B298+AA$61*(GREET1_Import_Export!$B323+GREET1_Import_Export!$C323)</f>
        <v>2.7158444890712765</v>
      </c>
      <c r="AB77" s="1255">
        <v>8.5040329679098026E-2</v>
      </c>
      <c r="AC77" s="919">
        <f>AC$50*(GREET1_Import_Export!$B194* GREET1_Import_Export!$G$179+GREET1_Import_Export!$G194+GREET1_Import_Export!$Q154)+AC$51*(GREET1_Import_Export!$B194* GREET1_Import_Export!$D$179+GREET1_Import_Export!$D194+GREET1_Import_Export!$Q140)</f>
        <v>0.27283996303003821</v>
      </c>
      <c r="AD77" s="817">
        <f>'GREET2_Factors_T&amp;D'!W68</f>
        <v>0.3141052294842448</v>
      </c>
      <c r="AE77" s="909">
        <f>AE$49*(GREET1_Import_Export!$B194* GREET1_Import_Export!$F$179+GREET1_Import_Export!$F194)+AE$50*(GREET1_Import_Export!$B194* GREET1_Import_Export!$G$179+GREET1_Import_Export!$G194)+AE$51*(GREET1_Import_Export!$B194* GREET1_Import_Export!$C$179+GREET1_Import_Export!$C194)+AE$52*(GREET1_Import_Export!$B194* GREET1_Import_Export!$E$179+GREET1_Import_Export!$E194)+AE$53*(GREET1_Import_Export!$B194* GREET1_Import_Export!$I$179+GREET1_Import_Export!$I194)+AE$54*GREET1_Import_Export!$B230+AE$55*GREET1_Import_Export!$B298+AE$61*(GREET1_Import_Export!$B323+GREET1_Import_Export!$C323)</f>
        <v>2.495879852945559</v>
      </c>
      <c r="AF77" s="1255">
        <v>2.86186628E-2</v>
      </c>
      <c r="AG77" s="919">
        <f>AG$49*(GREET1_Import_Export!$B194* GREET1_Import_Export!$F$179+GREET1_Import_Export!$F194+GREET1_Import_Export!$L80)+AG$50*(GREET1_Import_Export!$B194* GREET1_Import_Export!$G$179+GREET1_Import_Export!$G194+GREET1_Import_Export!$Q154)+AG$51*(GREET1_Import_Export!$B194* GREET1_Import_Export!$C$179+GREET1_Import_Export!$C194+GREET1_Import_Export!$Q140)</f>
        <v>1.148274169903492</v>
      </c>
      <c r="AH77" s="817">
        <f>SUM(N$16*'GREET2_Factors_T&amp;D'!$U68*O$16, N$17*'GREET2_Factors_T&amp;D'!$T68*O$17,N$18*'GREET2_Factors_T&amp;D'!$V68*O$18)</f>
        <v>0.87351782856644944</v>
      </c>
      <c r="AI77" s="909">
        <f>AI$49*(GREET1_Import_Export!$B194* GREET1_Import_Export!$F$179+GREET1_Import_Export!$F194)+AI$50*(GREET1_Import_Export!$B194* GREET1_Import_Export!$G$179+GREET1_Import_Export!$G194)+AI$51*(GREET1_Import_Export!$B194* GREET1_Import_Export!$C$179+GREET1_Import_Export!$C194)+AI$52*(GREET1_Import_Export!$B194* GREET1_Import_Export!$E$179+GREET1_Import_Export!$E194)+AI$53*(GREET1_Import_Export!$B194* GREET1_Import_Export!$I$179+GREET1_Import_Export!$I194)+AI$54*GREET1_Import_Export!$B230+AI$55*GREET1_Import_Export!$B298+AI$61*(GREET1_Import_Export!$B323+GREET1_Import_Export!$C323)</f>
        <v>2.4958798529455595</v>
      </c>
      <c r="AJ77" s="1255">
        <v>2.86186628E-2</v>
      </c>
      <c r="AK77" s="919">
        <f>AK$49*(GREET1_Import_Export!$B194* GREET1_Import_Export!$F$179+GREET1_Import_Export!$F194+GREET1_Import_Export!$L80)+AK$50*(GREET1_Import_Export!$B194* GREET1_Import_Export!$G$179+GREET1_Import_Export!$G194+GREET1_Import_Export!$Q154)+AK$51*(GREET1_Import_Export!$B194* GREET1_Import_Export!$C$179+GREET1_Import_Export!$C194+GREET1_Import_Export!$Q140)</f>
        <v>1.148274169903492</v>
      </c>
      <c r="AL77" s="817">
        <f>SUM(P$16*'GREET2_Factors_T&amp;D'!$U68*Q$16, P$17*'GREET2_Factors_T&amp;D'!$T68*Q$17,P$18*'GREET2_Factors_T&amp;D'!$V68*Q$18)</f>
        <v>0.87351782856644944</v>
      </c>
      <c r="AM77" s="909">
        <f>AM$49*(GREET1_Import_Export!$B194* GREET1_Import_Export!$F$179+GREET1_Import_Export!$F194)+AM$50*(GREET1_Import_Export!$B194* GREET1_Import_Export!$G$179+GREET1_Import_Export!$G194)+AM$51*(GREET1_Import_Export!$B194* GREET1_Import_Export!$C$179+GREET1_Import_Export!$C194)+AM$52*(GREET1_Import_Export!$B194* GREET1_Import_Export!$E$179+GREET1_Import_Export!$E194)+AM$53*(GREET1_Import_Export!$B194* GREET1_Import_Export!$I$179+GREET1_Import_Export!$I194)+AM$54*GREET1_Import_Export!$B230+AM$55*GREET1_Import_Export!$B298+AM$61*(GREET1_Import_Export!$B323+GREET1_Import_Export!$C323)</f>
        <v>2.4958798529455599</v>
      </c>
      <c r="AN77" s="1255">
        <v>1.5528362303331863E-3</v>
      </c>
      <c r="AO77" s="919">
        <f>AO$49*(GREET1_Import_Export!$B194* GREET1_Import_Export!$F$179+GREET1_Import_Export!$F194+GREET1_Import_Export!$L80)+AO$50*(GREET1_Import_Export!$B194* GREET1_Import_Export!$G$179+GREET1_Import_Export!$G194+GREET1_Import_Export!$Q154)+AO$51*(GREET1_Import_Export!$B194* GREET1_Import_Export!$C$179+GREET1_Import_Export!$C194+GREET1_Import_Export!$Q140)</f>
        <v>1.148274169903492</v>
      </c>
      <c r="AP77" s="817">
        <f>SUM(R$16*'GREET2_Factors_T&amp;D'!$U68*S$16, R$17*'GREET2_Factors_T&amp;D'!$T68*S$17,R$18*'GREET2_Factors_T&amp;D'!$V68*S$18)</f>
        <v>3.9780058629644506</v>
      </c>
      <c r="AS77" s="1090"/>
      <c r="AT77" s="1090"/>
      <c r="AX77" s="1090"/>
      <c r="AY77" s="1090"/>
    </row>
    <row r="78" spans="1:51" s="1247" customFormat="1">
      <c r="A78" s="1237" t="s">
        <v>830</v>
      </c>
      <c r="B78" s="909">
        <f>B$49*(GREET1_Import_Export!$B195* GREET1_Import_Export!$F$179+GREET1_Import_Export!$F195)+B$50*(GREET1_Import_Export!$B195* GREET1_Import_Export!$G$179+GREET1_Import_Export!$G195)+B$51*(GREET1_Import_Export!$B195* GREET1_Import_Export!$C$179+GREET1_Import_Export!$C195)+B$52*(GREET1_Import_Export!$B195* GREET1_Import_Export!$E$179+GREET1_Import_Export!$E195)+B$53*(GREET1_Import_Export!$B195* GREET1_Import_Export!$I$179+GREET1_Import_Export!$I195)+B$54*GREET1_Import_Export!$B231+B$55*GREET1_Import_Export!$B299+B$61*(GREET1_Import_Export!$B324+GREET1_Import_Export!$C324)</f>
        <v>2.1707993311260103</v>
      </c>
      <c r="C78" s="1255">
        <v>4.6824660552536228</v>
      </c>
      <c r="E78" s="919">
        <f>E$50*(GREET1_Import_Export!$B195* GREET1_Import_Export!$G$179+GREET1_Import_Export!$G195+GREET1_Import_Export!$Q155)+E$51*(GREET1_Import_Export!$B195* GREET1_Import_Export!$D$179+GREET1_Import_Export!$D195+GREET1_Import_Export!$Q141)</f>
        <v>1.0451003457339952E-3</v>
      </c>
      <c r="F78" s="817">
        <f>SUM(B$16*'GREET2_Factors_T&amp;D'!$U69*C$16, B$17*'GREET2_Factors_T&amp;D'!$T69*C$17,B$18*'GREET2_Factors_T&amp;D'!$V69*C$18)</f>
        <v>1.7865711049766871E-2</v>
      </c>
      <c r="G78" s="909">
        <f>G$49*(GREET1_Import_Export!$B195* GREET1_Import_Export!$F$179+GREET1_Import_Export!$F195)+G$50*(GREET1_Import_Export!$B195* GREET1_Import_Export!$G$179+GREET1_Import_Export!$G195)+G$51*(GREET1_Import_Export!$B195* GREET1_Import_Export!$C$179+GREET1_Import_Export!$C195)+G$52*(GREET1_Import_Export!$B195* GREET1_Import_Export!$E$179+GREET1_Import_Export!$E195)+G$53*(GREET1_Import_Export!$B195* GREET1_Import_Export!$I$179+GREET1_Import_Export!$I195)+G$54*GREET1_Import_Export!$B231+G$55*GREET1_Import_Export!$B299+G$61*(GREET1_Import_Export!$B324+GREET1_Import_Export!$C324)</f>
        <v>2.1522495877156027</v>
      </c>
      <c r="H78" s="1255">
        <v>5.504343201634172</v>
      </c>
      <c r="J78" s="919">
        <f>J$50*(GREET1_Import_Export!$B195* GREET1_Import_Export!$G$179+GREET1_Import_Export!$G195+GREET1_Import_Export!$Q155)+J$51*(GREET1_Import_Export!$B195* GREET1_Import_Export!$D$179+GREET1_Import_Export!$D195+GREET1_Import_Export!$Q141)</f>
        <v>1.0451003457339952E-3</v>
      </c>
      <c r="K78" s="817">
        <f>SUM(D$16*'GREET2_Factors_T&amp;D'!$U69*E$16, D$17*'GREET2_Factors_T&amp;D'!$T69*E$17,D$18*'GREET2_Factors_T&amp;D'!$V69*E$18)</f>
        <v>1.7865711049766871E-2</v>
      </c>
      <c r="L78" s="909">
        <f>L$49*(GREET1_Import_Export!$B195* GREET1_Import_Export!$F$179+GREET1_Import_Export!$F195)+L$50*(GREET1_Import_Export!$B195* GREET1_Import_Export!$G$179+GREET1_Import_Export!$G195)+L$51*(GREET1_Import_Export!$B195* GREET1_Import_Export!$C$179+GREET1_Import_Export!$C195)+L$52*(GREET1_Import_Export!$B195* GREET1_Import_Export!$E$179+GREET1_Import_Export!$E195)+L$53*(GREET1_Import_Export!$B195* GREET1_Import_Export!$I$179+GREET1_Import_Export!$I195)+L$54*GREET1_Import_Export!$B231+L$55*GREET1_Import_Export!$B299+L$61*(GREET1_Import_Export!$B324+GREET1_Import_Export!$C324)</f>
        <v>2.4202244382044911</v>
      </c>
      <c r="M78" s="1255">
        <v>4.6383664109586968</v>
      </c>
      <c r="N78" s="919">
        <f>N$50*(GREET1_Import_Export!$B195* GREET1_Import_Export!$G$179+GREET1_Import_Export!$G195+GREET1_Import_Export!$Q155)+N$51*(GREET1_Import_Export!$B195* GREET1_Import_Export!$D$179+GREET1_Import_Export!$D195+GREET1_Import_Export!$Q141)</f>
        <v>1.0451003457339952E-3</v>
      </c>
      <c r="P78" s="817">
        <f>SUM(F$16*'GREET2_Factors_T&amp;D'!$U69*G$16, F$17*'GREET2_Factors_T&amp;D'!$T69*G$17,F$18*'GREET2_Factors_T&amp;D'!$V69*G$18)</f>
        <v>1.7865711049766871E-2</v>
      </c>
      <c r="Q78" s="909">
        <f>Q$49*(GREET1_Import_Export!$B195* GREET1_Import_Export!$F$179+GREET1_Import_Export!$F195)+Q$50*(GREET1_Import_Export!$B195* GREET1_Import_Export!$G$179+GREET1_Import_Export!$G195)+Q$51*(GREET1_Import_Export!$B195* GREET1_Import_Export!$C$179+GREET1_Import_Export!$C195)+Q$52*(GREET1_Import_Export!$B195* GREET1_Import_Export!$E$179+GREET1_Import_Export!$E195)+Q$53*(GREET1_Import_Export!$B195* GREET1_Import_Export!$I$179+GREET1_Import_Export!$I195)+Q$54*GREET1_Import_Export!$B231+Q$55*GREET1_Import_Export!$B299+Q$61*(GREET1_Import_Export!$B324+GREET1_Import_Export!$C324)</f>
        <v>1.8821037542901449</v>
      </c>
      <c r="R78" s="1255">
        <v>4.3204989668343785</v>
      </c>
      <c r="T78" s="919">
        <f>T$50*(GREET1_Import_Export!$B195* GREET1_Import_Export!$G$179+GREET1_Import_Export!$G195+GREET1_Import_Export!$Q155)+T$51*(GREET1_Import_Export!$B195* GREET1_Import_Export!$D$179+GREET1_Import_Export!$D195+GREET1_Import_Export!$Q141)</f>
        <v>1.0451003457339952E-3</v>
      </c>
      <c r="U78" s="817">
        <f>SUM(H$16*'GREET2_Factors_T&amp;D'!$U69*I$16, H$17*'GREET2_Factors_T&amp;D'!$T69*I$17,H$18*'GREET2_Factors_T&amp;D'!$V69*I$18)</f>
        <v>1.7865711049766871E-2</v>
      </c>
      <c r="V78" s="909">
        <f>V$49*(GREET1_Import_Export!$B195* GREET1_Import_Export!$F$179+GREET1_Import_Export!$F195)+V$50*(GREET1_Import_Export!$B195* GREET1_Import_Export!$G$179+GREET1_Import_Export!$G195)+V$51*(GREET1_Import_Export!$B195* GREET1_Import_Export!$C$179+GREET1_Import_Export!$C195)+V$52*(GREET1_Import_Export!$B195* GREET1_Import_Export!$E$179+GREET1_Import_Export!$E195)+V$53*(GREET1_Import_Export!$B195* GREET1_Import_Export!$I$179+GREET1_Import_Export!$I195)+V$54*GREET1_Import_Export!$B231+V$55*GREET1_Import_Export!$B299+V$61*(GREET1_Import_Export!$B324+GREET1_Import_Export!$C324)</f>
        <v>1.9892877047540283</v>
      </c>
      <c r="W78" s="1255">
        <f t="shared" si="9"/>
        <v>4.4337916285494821</v>
      </c>
      <c r="Y78" s="919">
        <f>Y$50*(GREET1_Import_Export!$B195* GREET1_Import_Export!$G$179+GREET1_Import_Export!$G195+GREET1_Import_Export!$Q155)+Y$51*(GREET1_Import_Export!$B195* GREET1_Import_Export!$D$179+GREET1_Import_Export!$D195+GREET1_Import_Export!$Q141)</f>
        <v>1.0451003457339952E-3</v>
      </c>
      <c r="Z78" s="817">
        <f>SUM(J$16*'GREET2_Factors_T&amp;D'!$U69*K$16, J$17*'GREET2_Factors_T&amp;D'!$T69*K$17,J$18*'GREET2_Factors_T&amp;D'!$V69*K$18)</f>
        <v>1.7865711049766871E-2</v>
      </c>
      <c r="AA78" s="909">
        <f>AA$49*(GREET1_Import_Export!$B195* GREET1_Import_Export!$F$179+GREET1_Import_Export!$F195)+AA$50*(GREET1_Import_Export!$B195* GREET1_Import_Export!$G$179+GREET1_Import_Export!$G195)+AA$51*(GREET1_Import_Export!$B195* GREET1_Import_Export!$C$179+GREET1_Import_Export!$C195)+AA$52*(GREET1_Import_Export!$B195* GREET1_Import_Export!$E$179+GREET1_Import_Export!$E195)+AA$53*(GREET1_Import_Export!$B195* GREET1_Import_Export!$I$179+GREET1_Import_Export!$I195)+AA$54*GREET1_Import_Export!$B231+AA$55*GREET1_Import_Export!$B299+AA$61*(GREET1_Import_Export!$B324+GREET1_Import_Export!$C324)</f>
        <v>1.9615556575467874E-2</v>
      </c>
      <c r="AB78" s="1255">
        <v>2.8142882903328208E-2</v>
      </c>
      <c r="AC78" s="919">
        <f>AC$50*(GREET1_Import_Export!$B195* GREET1_Import_Export!$G$179+GREET1_Import_Export!$G195+GREET1_Import_Export!$Q155)+AC$51*(GREET1_Import_Export!$B195* GREET1_Import_Export!$D$179+GREET1_Import_Export!$D195+GREET1_Import_Export!$Q141)</f>
        <v>5.4662948600535588E-3</v>
      </c>
      <c r="AD78" s="817">
        <f>'GREET2_Factors_T&amp;D'!W69</f>
        <v>9.9594718412832225E-4</v>
      </c>
      <c r="AE78" s="909">
        <f>AE$49*(GREET1_Import_Export!$B195* GREET1_Import_Export!$F$179+GREET1_Import_Export!$F195)+AE$50*(GREET1_Import_Export!$B195* GREET1_Import_Export!$G$179+GREET1_Import_Export!$G195)+AE$51*(GREET1_Import_Export!$B195* GREET1_Import_Export!$C$179+GREET1_Import_Export!$C195)+AE$52*(GREET1_Import_Export!$B195* GREET1_Import_Export!$E$179+GREET1_Import_Export!$E195)+AE$53*(GREET1_Import_Export!$B195* GREET1_Import_Export!$I$179+GREET1_Import_Export!$I195)+AE$54*GREET1_Import_Export!$B231+AE$55*GREET1_Import_Export!$B299+AE$61*(GREET1_Import_Export!$B324+GREET1_Import_Export!$C324)</f>
        <v>2.1900316089796052E-2</v>
      </c>
      <c r="AF78" s="1255">
        <v>3.9114793249999998E-3</v>
      </c>
      <c r="AG78" s="919">
        <f>AG$49*(GREET1_Import_Export!$B195* GREET1_Import_Export!$F$179+GREET1_Import_Export!$F195+GREET1_Import_Export!$L81)+AG$50*(GREET1_Import_Export!$B195* GREET1_Import_Export!$G$179+GREET1_Import_Export!$G195+GREET1_Import_Export!$Q155)+AG$51*(GREET1_Import_Export!$B195* GREET1_Import_Export!$C$179+GREET1_Import_Export!$C195+GREET1_Import_Export!$Q141)</f>
        <v>2.2544502562316531E-2</v>
      </c>
      <c r="AH78" s="817">
        <f>SUM(N$16*'GREET2_Factors_T&amp;D'!$U69*O$16, N$17*'GREET2_Factors_T&amp;D'!$T69*O$17,N$18*'GREET2_Factors_T&amp;D'!$V69*O$18)</f>
        <v>3.3634408905575601E-3</v>
      </c>
      <c r="AI78" s="909">
        <f>AI$49*(GREET1_Import_Export!$B195* GREET1_Import_Export!$F$179+GREET1_Import_Export!$F195)+AI$50*(GREET1_Import_Export!$B195* GREET1_Import_Export!$G$179+GREET1_Import_Export!$G195)+AI$51*(GREET1_Import_Export!$B195* GREET1_Import_Export!$C$179+GREET1_Import_Export!$C195)+AI$52*(GREET1_Import_Export!$B195* GREET1_Import_Export!$E$179+GREET1_Import_Export!$E195)+AI$53*(GREET1_Import_Export!$B195* GREET1_Import_Export!$I$179+GREET1_Import_Export!$I195)+AI$54*GREET1_Import_Export!$B231+AI$55*GREET1_Import_Export!$B299+AI$61*(GREET1_Import_Export!$B324+GREET1_Import_Export!$C324)</f>
        <v>2.1900316089796056E-2</v>
      </c>
      <c r="AJ78" s="1255">
        <v>3.9114793249999998E-3</v>
      </c>
      <c r="AK78" s="919">
        <f>AK$49*(GREET1_Import_Export!$B195* GREET1_Import_Export!$F$179+GREET1_Import_Export!$F195+GREET1_Import_Export!$L81)+AK$50*(GREET1_Import_Export!$B195* GREET1_Import_Export!$G$179+GREET1_Import_Export!$G195+GREET1_Import_Export!$Q155)+AK$51*(GREET1_Import_Export!$B195* GREET1_Import_Export!$C$179+GREET1_Import_Export!$C195+GREET1_Import_Export!$Q141)</f>
        <v>2.2544502562316531E-2</v>
      </c>
      <c r="AL78" s="817">
        <f>SUM(P$16*'GREET2_Factors_T&amp;D'!$U69*Q$16, P$17*'GREET2_Factors_T&amp;D'!$T69*Q$17,P$18*'GREET2_Factors_T&amp;D'!$V69*Q$18)</f>
        <v>3.3634408905575601E-3</v>
      </c>
      <c r="AM78" s="909">
        <f>AM$49*(GREET1_Import_Export!$B195* GREET1_Import_Export!$F$179+GREET1_Import_Export!$F195)+AM$50*(GREET1_Import_Export!$B195* GREET1_Import_Export!$G$179+GREET1_Import_Export!$G195)+AM$51*(GREET1_Import_Export!$B195* GREET1_Import_Export!$C$179+GREET1_Import_Export!$C195)+AM$52*(GREET1_Import_Export!$B195* GREET1_Import_Export!$E$179+GREET1_Import_Export!$E195)+AM$53*(GREET1_Import_Export!$B195* GREET1_Import_Export!$I$179+GREET1_Import_Export!$I195)+AM$54*GREET1_Import_Export!$B231+AM$55*GREET1_Import_Export!$B299+AM$61*(GREET1_Import_Export!$B324+GREET1_Import_Export!$C324)</f>
        <v>2.1900316089796062E-2</v>
      </c>
      <c r="AN78" s="1255">
        <v>2.1453664542657317E-4</v>
      </c>
      <c r="AO78" s="919">
        <f>AO$49*(GREET1_Import_Export!$B195* GREET1_Import_Export!$F$179+GREET1_Import_Export!$F195+GREET1_Import_Export!$L81)+AO$50*(GREET1_Import_Export!$B195* GREET1_Import_Export!$G$179+GREET1_Import_Export!$G195+GREET1_Import_Export!$Q155)+AO$51*(GREET1_Import_Export!$B195* GREET1_Import_Export!$C$179+GREET1_Import_Export!$C195+GREET1_Import_Export!$Q141)</f>
        <v>2.2544502562316531E-2</v>
      </c>
      <c r="AP78" s="817">
        <f>SUM(R$16*'GREET2_Factors_T&amp;D'!$U69*S$16, R$17*'GREET2_Factors_T&amp;D'!$T69*S$17,R$18*'GREET2_Factors_T&amp;D'!$V69*S$18)</f>
        <v>2.7422396371329077E-2</v>
      </c>
      <c r="AS78" s="1090"/>
      <c r="AT78" s="1090"/>
      <c r="AX78" s="1090"/>
      <c r="AY78" s="1090"/>
    </row>
    <row r="79" spans="1:51" s="536" customFormat="1">
      <c r="A79" s="1289" t="s">
        <v>831</v>
      </c>
      <c r="B79" s="1194">
        <f>B$49*(GREET1_Import_Export!$B196* GREET1_Import_Export!$F$179+GREET1_Import_Export!$F196)+B$50*(GREET1_Import_Export!$B196* GREET1_Import_Export!$G$179+GREET1_Import_Export!$G196)+B$51*(GREET1_Import_Export!$B196* GREET1_Import_Export!$C$179+GREET1_Import_Export!$C196)+B$52*(GREET1_Import_Export!$B196* GREET1_Import_Export!$E$179+GREET1_Import_Export!$E196)+B$53*(GREET1_Import_Export!$B196* GREET1_Import_Export!$I$179+GREET1_Import_Export!$I196)+B$54*GREET1_Import_Export!$B232+B$55*GREET1_Import_Export!$B300+B$61*(GREET1_Import_Export!$B325+GREET1_Import_Export!$C325)</f>
        <v>62633.809365995097</v>
      </c>
      <c r="C79" s="1292">
        <f>(B$49/GREET1_Import_Export!$B$31*GREET1_Import_Export!$E$31*GREET1_Import_Export!$F$31+B$50/GREET1_Import_Export!$B$32*GREET1_Import_Export!$E$32*GREET1_Import_Export!$F$32+B$51/GREET1_Import_Export!$B$27*GREET1_Import_Export!$E$27*GREET1_Import_Export!$F$27+B$52/GREET1_Import_Export!$B$34*GREET1_Import_Export!$E$34*GREET1_Import_Export!$F$34+B$53/GREET1_Import_Export!$B$41*GREET1_Import_Export!$F$41*907184.74+B$54/GREET1_Import_Export!$B$37*GREET1_Import_Export!$E$37*GREET1_Import_Export!$F$37+B$55/GREET1_Import_Export!$B$40*GREET1_Import_Export!$F$40*907184.74+B$56/GREET1_Import_Export!$B$43*GREET1_Import_Export!$F$43*907184.74+B$57/GREET1_Import_Export!$B$42*GREET1_Import_Export!$F$42*907184.74+B$58/GREET1_Import_Export!$B$34*GREET1_Import_Export!$E$34*GREET1_Import_Export!$F$34+B$59/GREET1_Import_Export!$B$35*GREET1_Import_Export!$E$35*GREET1_Import_Export!$F$35)*10^6/GREET1_Import_Export!$B$65 +$B$21</f>
        <v>1031067.7569341999</v>
      </c>
      <c r="D79" s="1086">
        <f>-$B$27*B$56</f>
        <v>-36668.01653358365</v>
      </c>
      <c r="E79" s="1069">
        <f>E$50*(GREET1_Import_Export!$B196* GREET1_Import_Export!$G$179+GREET1_Import_Export!$G196+GREET1_Import_Export!$Q156)+E$51*(GREET1_Import_Export!$B196* GREET1_Import_Export!$D$179+GREET1_Import_Export!$D196+GREET1_Import_Export!$Q142)</f>
        <v>42.36754646686704</v>
      </c>
      <c r="F79" s="527">
        <f>SUM(B$16*'GREET2_Factors_T&amp;D'!$U70*C$16, B$17*'GREET2_Factors_T&amp;D'!$T70*C$17,B$18*'GREET2_Factors_T&amp;D'!$V70*C$18)</f>
        <v>4383.8236627853348</v>
      </c>
      <c r="G79" s="1194">
        <f>G$49*(GREET1_Import_Export!$B196* GREET1_Import_Export!$F$179+GREET1_Import_Export!$F196)+G$50*(GREET1_Import_Export!$B196* GREET1_Import_Export!$G$179+GREET1_Import_Export!$G196)+G$51*(GREET1_Import_Export!$B196* GREET1_Import_Export!$C$179+GREET1_Import_Export!$C196)+G$52*(GREET1_Import_Export!$B196* GREET1_Import_Export!$E$179+GREET1_Import_Export!$E196)+G$53*(GREET1_Import_Export!$B196* GREET1_Import_Export!$I$179+GREET1_Import_Export!$I196)+G$54*GREET1_Import_Export!$B232+G$55*GREET1_Import_Export!$B300+G$61*(GREET1_Import_Export!$B325+GREET1_Import_Export!$C325)</f>
        <v>91164.326576999185</v>
      </c>
      <c r="H79" s="1292">
        <f>(G$49/GREET1_Import_Export!$B$31*GREET1_Import_Export!$E$31*GREET1_Import_Export!$F$31+G$50/GREET1_Import_Export!$B$32*GREET1_Import_Export!$E$32*GREET1_Import_Export!$F$32+G$51/GREET1_Import_Export!$B$27*GREET1_Import_Export!$E$27*GREET1_Import_Export!$F$27+G$52/GREET1_Import_Export!$B$34*GREET1_Import_Export!$E$34*GREET1_Import_Export!$F$34+G$53/GREET1_Import_Export!$B$41*GREET1_Import_Export!$F$41*907184.74+G$54/GREET1_Import_Export!$B$37*GREET1_Import_Export!$E$37*GREET1_Import_Export!$F$37+G$55/GREET1_Import_Export!$B$40*GREET1_Import_Export!$F$40*907184.74+G$56/GREET1_Import_Export!$B$43*GREET1_Import_Export!$F$43*907184.74+G$57/GREET1_Import_Export!$B$42*GREET1_Import_Export!$F$42*907184.74+G$58/GREET1_Import_Export!$B$34*GREET1_Import_Export!$E$34*GREET1_Import_Export!$F$34+G$59/GREET1_Import_Export!$B$35*GREET1_Import_Export!$E$35*GREET1_Import_Export!$F$35)*10^6/GREET1_Import_Export!$B$65 +$B$21</f>
        <v>936016.70645295153</v>
      </c>
      <c r="I79" s="1086">
        <f>-$B$27*G$56</f>
        <v>-1211.0435368246258</v>
      </c>
      <c r="J79" s="1069">
        <f>J$50*(GREET1_Import_Export!$B196* GREET1_Import_Export!$G$179+GREET1_Import_Export!$G196+GREET1_Import_Export!$Q156)+J$51*(GREET1_Import_Export!$B196* GREET1_Import_Export!$D$179+GREET1_Import_Export!$D196+GREET1_Import_Export!$Q142)</f>
        <v>42.36754646686704</v>
      </c>
      <c r="K79" s="527">
        <f>SUM(D$16*'GREET2_Factors_T&amp;D'!$U70*E$16, D$17*'GREET2_Factors_T&amp;D'!$T70*E$17,D$18*'GREET2_Factors_T&amp;D'!$V70*E$18)</f>
        <v>4383.8236627853348</v>
      </c>
      <c r="L79" s="1194">
        <f>L$49*(GREET1_Import_Export!$B196* GREET1_Import_Export!$F$179+GREET1_Import_Export!$F196)+L$50*(GREET1_Import_Export!$B196* GREET1_Import_Export!$G$179+GREET1_Import_Export!$G196)+L$51*(GREET1_Import_Export!$B196* GREET1_Import_Export!$C$179+GREET1_Import_Export!$C196)+L$52*(GREET1_Import_Export!$B196* GREET1_Import_Export!$E$179+GREET1_Import_Export!$E196)+L$53*(GREET1_Import_Export!$B196* GREET1_Import_Export!$I$179+GREET1_Import_Export!$I196)+L$54*GREET1_Import_Export!$B232+L$55*GREET1_Import_Export!$B300+L$61*(GREET1_Import_Export!$B325+GREET1_Import_Export!$C325)</f>
        <v>64019.011624807215</v>
      </c>
      <c r="M79" s="1292">
        <f>(L$49/GREET1_Import_Export!$B$31*GREET1_Import_Export!$E$31*GREET1_Import_Export!$F$31+L$50/GREET1_Import_Export!$B$32*GREET1_Import_Export!$E$32*GREET1_Import_Export!$F$32+L$51/GREET1_Import_Export!$B$27*GREET1_Import_Export!$E$27*GREET1_Import_Export!$F$27+L$52/GREET1_Import_Export!$B$34*GREET1_Import_Export!$E$34*GREET1_Import_Export!$F$34+L$53/GREET1_Import_Export!$B$41*GREET1_Import_Export!$F$41*907184.74+L$54/GREET1_Import_Export!$B$37*GREET1_Import_Export!$E$37*GREET1_Import_Export!$F$37+L$55/GREET1_Import_Export!$B$40*GREET1_Import_Export!$F$40*907184.74+L$56/GREET1_Import_Export!$B$43*GREET1_Import_Export!$F$43*907184.74+L$57/GREET1_Import_Export!$B$42*GREET1_Import_Export!$F$42*907184.74+L$58/GREET1_Import_Export!$B$34*GREET1_Import_Export!$E$34*GREET1_Import_Export!$F$34+L$59/GREET1_Import_Export!$B$35*GREET1_Import_Export!$E$35*GREET1_Import_Export!$F$35)*10^6/GREET1_Import_Export!$B$65 +$B$21</f>
        <v>799120.2348804411</v>
      </c>
      <c r="N79" s="1069">
        <f>N$50*(GREET1_Import_Export!$B196* GREET1_Import_Export!$G$179+GREET1_Import_Export!$G196+GREET1_Import_Export!$Q156)+N$51*(GREET1_Import_Export!$B196* GREET1_Import_Export!$D$179+GREET1_Import_Export!$D196+GREET1_Import_Export!$Q142)</f>
        <v>42.36754646686704</v>
      </c>
      <c r="O79" s="1086">
        <f>-$B$27*M$56</f>
        <v>0</v>
      </c>
      <c r="P79" s="527">
        <f>SUM(F$16*'GREET2_Factors_T&amp;D'!$U70*G$16, F$17*'GREET2_Factors_T&amp;D'!$T70*G$17,F$18*'GREET2_Factors_T&amp;D'!$V70*G$18)</f>
        <v>4383.8236627853348</v>
      </c>
      <c r="Q79" s="1194">
        <f>Q$49*(GREET1_Import_Export!$B196* GREET1_Import_Export!$F$179+GREET1_Import_Export!$F196)+Q$50*(GREET1_Import_Export!$B196* GREET1_Import_Export!$G$179+GREET1_Import_Export!$G196)+Q$51*(GREET1_Import_Export!$B196* GREET1_Import_Export!$C$179+GREET1_Import_Export!$C196)+Q$52*(GREET1_Import_Export!$B196* GREET1_Import_Export!$E$179+GREET1_Import_Export!$E196)+Q$53*(GREET1_Import_Export!$B196* GREET1_Import_Export!$I$179+GREET1_Import_Export!$I196)+Q$54*GREET1_Import_Export!$B232+Q$55*GREET1_Import_Export!$B300+Q$61*(GREET1_Import_Export!$B325+GREET1_Import_Export!$C325)</f>
        <v>58975.903553906559</v>
      </c>
      <c r="R79" s="1292">
        <f>(Q$49/GREET1_Import_Export!$B$31*GREET1_Import_Export!$E$31*GREET1_Import_Export!$F$31+Q$50/GREET1_Import_Export!$B$32*GREET1_Import_Export!$E$32*GREET1_Import_Export!$F$32+Q$51/GREET1_Import_Export!$B$27*GREET1_Import_Export!$E$27*GREET1_Import_Export!$F$27+Q$52/GREET1_Import_Export!$B$34*GREET1_Import_Export!$E$34*GREET1_Import_Export!$F$34+Q$53/GREET1_Import_Export!$B$41*GREET1_Import_Export!$F$41*907184.74+Q$54/GREET1_Import_Export!$B$37*GREET1_Import_Export!$E$37*GREET1_Import_Export!$F$37+Q$55/GREET1_Import_Export!$B$40*GREET1_Import_Export!$F$40*907184.74+Q$56/GREET1_Import_Export!$B$43*GREET1_Import_Export!$F$43*907184.74+Q$57/GREET1_Import_Export!$B$42*GREET1_Import_Export!$F$42*907184.74+Q$58/GREET1_Import_Export!$B$34*GREET1_Import_Export!$E$34*GREET1_Import_Export!$F$34+Q$59/GREET1_Import_Export!$B$35*GREET1_Import_Export!$E$35*GREET1_Import_Export!$F$35)*10^6/GREET1_Import_Export!$B$65 +$B$21</f>
        <v>765822.75021341536</v>
      </c>
      <c r="S79" s="1086">
        <f>-$B$27*Q$56</f>
        <v>-4781.4439412501843</v>
      </c>
      <c r="T79" s="1069">
        <f>T$50*(GREET1_Import_Export!$B196* GREET1_Import_Export!$G$179+GREET1_Import_Export!$G196+GREET1_Import_Export!$Q156)+T$51*(GREET1_Import_Export!$B196* GREET1_Import_Export!$D$179+GREET1_Import_Export!$D196+GREET1_Import_Export!$Q142)</f>
        <v>42.36754646686704</v>
      </c>
      <c r="U79" s="527">
        <f>SUM(H$16*'GREET2_Factors_T&amp;D'!$U70*I$16, H$17*'GREET2_Factors_T&amp;D'!$T70*I$17,H$18*'GREET2_Factors_T&amp;D'!$V70*I$18)</f>
        <v>4383.8236627853348</v>
      </c>
      <c r="V79" s="1092">
        <f>V$49*(GREET1_Import_Export!$B196* GREET1_Import_Export!$F$179+GREET1_Import_Export!$F196)+V$50*(GREET1_Import_Export!$B196* GREET1_Import_Export!$G$179+GREET1_Import_Export!$G196)+V$51*(GREET1_Import_Export!$B196* GREET1_Import_Export!$C$179+GREET1_Import_Export!$C196)+V$52*(GREET1_Import_Export!$B196* GREET1_Import_Export!$E$179+GREET1_Import_Export!$E196)+V$53*(GREET1_Import_Export!$B196* GREET1_Import_Export!$I$179+GREET1_Import_Export!$I196)+V$54*GREET1_Import_Export!$B232+V$55*GREET1_Import_Export!$B300+V$61*(GREET1_Import_Export!$B325+GREET1_Import_Export!$C325)</f>
        <v>61862.140455029679</v>
      </c>
      <c r="W79" s="1296">
        <f t="shared" si="9"/>
        <v>787231.51721873775</v>
      </c>
      <c r="X79" s="536">
        <f>(D79*$I$8)+(I79*$J$8)+(N79*$K$8)+(S79*$L$8)</f>
        <v>-4998.2686912474956</v>
      </c>
      <c r="Y79" s="919">
        <f>Y$50*(GREET1_Import_Export!$B196* GREET1_Import_Export!$G$179+GREET1_Import_Export!$G196+GREET1_Import_Export!$Q156)+Y$51*(GREET1_Import_Export!$B196* GREET1_Import_Export!$D$179+GREET1_Import_Export!$D196+GREET1_Import_Export!$Q142)</f>
        <v>42.36754646686704</v>
      </c>
      <c r="Z79" s="969">
        <f>SUM(J$16*'GREET2_Factors_T&amp;D'!$U70*K$16, J$17*'GREET2_Factors_T&amp;D'!$T70*K$17,J$18*'GREET2_Factors_T&amp;D'!$V70*K$18)</f>
        <v>4383.8236627853348</v>
      </c>
      <c r="AA79" s="1092">
        <f>AA$49*(GREET1_Import_Export!$B196* GREET1_Import_Export!$F$179+GREET1_Import_Export!$F196)+AA$50*(GREET1_Import_Export!$B196* GREET1_Import_Export!$G$179+GREET1_Import_Export!$G196)+AA$51*(GREET1_Import_Export!$B196* GREET1_Import_Export!$C$179+GREET1_Import_Export!$C196)+AA$52*(GREET1_Import_Export!$B196* GREET1_Import_Export!$E$179+GREET1_Import_Export!$E196)+AA$53*(GREET1_Import_Export!$B196* GREET1_Import_Export!$I$179+GREET1_Import_Export!$I196)+AA$54*GREET1_Import_Export!$B232+AA$55*GREET1_Import_Export!$B300+AA$61*(GREET1_Import_Export!$B325+GREET1_Import_Export!$C325)</f>
        <v>707.07700220679749</v>
      </c>
      <c r="AB79" s="1296">
        <v>3572.1824547535653</v>
      </c>
      <c r="AC79" s="919">
        <f>AC$50*(GREET1_Import_Export!$B196* GREET1_Import_Export!$G$179+GREET1_Import_Export!$G196+GREET1_Import_Export!$Q156)+AC$51*(GREET1_Import_Export!$B196* GREET1_Import_Export!$D$179+GREET1_Import_Export!$D196+GREET1_Import_Export!$Q142)</f>
        <v>221.59929659411102</v>
      </c>
      <c r="AD79" s="817">
        <f>'GREET2_Factors_T&amp;D'!W70</f>
        <v>258.94753190322876</v>
      </c>
      <c r="AE79" s="1092">
        <f>AE$49*(GREET1_Import_Export!$B196* GREET1_Import_Export!$F$179+GREET1_Import_Export!$F196)+AE$50*(GREET1_Import_Export!$B196* GREET1_Import_Export!$G$179+GREET1_Import_Export!$G196)+AE$51*(GREET1_Import_Export!$B196* GREET1_Import_Export!$C$179+GREET1_Import_Export!$C196)+AE$52*(GREET1_Import_Export!$B196* GREET1_Import_Export!$E$179+GREET1_Import_Export!$E196)+AE$53*(GREET1_Import_Export!$B196* GREET1_Import_Export!$I$179+GREET1_Import_Export!$I196)+AE$54*GREET1_Import_Export!$B232+AE$55*GREET1_Import_Export!$B300+AE$61*(GREET1_Import_Export!$B325+GREET1_Import_Export!$C325)</f>
        <v>980.24467330325069</v>
      </c>
      <c r="AF79" s="1296">
        <v>754.38126847849992</v>
      </c>
      <c r="AG79" s="919">
        <f>AG$49*(GREET1_Import_Export!$B196* GREET1_Import_Export!$F$179+GREET1_Import_Export!$F196+GREET1_Import_Export!$L82)+AG$50*(GREET1_Import_Export!$B196* GREET1_Import_Export!$G$179+GREET1_Import_Export!$G196+GREET1_Import_Export!$Q156)+AG$51*(GREET1_Import_Export!$B196* GREET1_Import_Export!$C$179+GREET1_Import_Export!$C196+GREET1_Import_Export!$Q142)</f>
        <v>949.65283336777964</v>
      </c>
      <c r="AH79" s="969">
        <f>SUM(N$16*'GREET2_Factors_T&amp;D'!$U70*O$16, N$17*'GREET2_Factors_T&amp;D'!$T70*O$17,N$18*'GREET2_Factors_T&amp;D'!$V70*O$18)</f>
        <v>722.25248926230711</v>
      </c>
      <c r="AI79" s="1092">
        <f>AI$49*(GREET1_Import_Export!$B196* GREET1_Import_Export!$F$179+GREET1_Import_Export!$F196)+AI$50*(GREET1_Import_Export!$B196* GREET1_Import_Export!$G$179+GREET1_Import_Export!$G196)+AI$51*(GREET1_Import_Export!$B196* GREET1_Import_Export!$C$179+GREET1_Import_Export!$C196)+AI$52*(GREET1_Import_Export!$B196* GREET1_Import_Export!$E$179+GREET1_Import_Export!$E196)+AI$53*(GREET1_Import_Export!$B196* GREET1_Import_Export!$I$179+GREET1_Import_Export!$I196)+AI$54*GREET1_Import_Export!$B232+AI$55*GREET1_Import_Export!$B300+AI$61*(GREET1_Import_Export!$B325+GREET1_Import_Export!$C325)</f>
        <v>980.24467330325115</v>
      </c>
      <c r="AJ79" s="1296">
        <v>754.38126847849992</v>
      </c>
      <c r="AK79" s="919">
        <f>AK$49*(GREET1_Import_Export!$B196* GREET1_Import_Export!$F$179+GREET1_Import_Export!$F196+GREET1_Import_Export!$L82)+AK$50*(GREET1_Import_Export!$B196* GREET1_Import_Export!$G$179+GREET1_Import_Export!$G196+GREET1_Import_Export!$Q156)+AK$51*(GREET1_Import_Export!$B196* GREET1_Import_Export!$C$179+GREET1_Import_Export!$C196+GREET1_Import_Export!$Q142)</f>
        <v>949.65283336777964</v>
      </c>
      <c r="AL79" s="969">
        <f>SUM(P$16*'GREET2_Factors_T&amp;D'!$U70*Q$16, P$17*'GREET2_Factors_T&amp;D'!$T70*Q$17,P$18*'GREET2_Factors_T&amp;D'!$V70*Q$18)</f>
        <v>722.25248926230711</v>
      </c>
      <c r="AM79" s="1092">
        <f>AM$49*(GREET1_Import_Export!$B196* GREET1_Import_Export!$F$179+GREET1_Import_Export!$F196)+AM$50*(GREET1_Import_Export!$B196* GREET1_Import_Export!$G$179+GREET1_Import_Export!$G196)+AM$51*(GREET1_Import_Export!$B196* GREET1_Import_Export!$C$179+GREET1_Import_Export!$C196)+AM$52*(GREET1_Import_Export!$B196* GREET1_Import_Export!$E$179+GREET1_Import_Export!$E196)+AM$53*(GREET1_Import_Export!$B196* GREET1_Import_Export!$I$179+GREET1_Import_Export!$I196)+AM$54*GREET1_Import_Export!$B232+AM$55*GREET1_Import_Export!$B300+AM$61*(GREET1_Import_Export!$B325+GREET1_Import_Export!$C325)</f>
        <v>980.24467330325126</v>
      </c>
      <c r="AN79" s="1296">
        <v>23.91353522236102</v>
      </c>
      <c r="AO79" s="919">
        <f>AO$49*(GREET1_Import_Export!$B196* GREET1_Import_Export!$F$179+GREET1_Import_Export!$F196+GREET1_Import_Export!$L82)+AO$50*(GREET1_Import_Export!$B196* GREET1_Import_Export!$G$179+GREET1_Import_Export!$G196+GREET1_Import_Export!$Q156)+AO$51*(GREET1_Import_Export!$B196* GREET1_Import_Export!$C$179+GREET1_Import_Export!$C196+GREET1_Import_Export!$Q142)</f>
        <v>949.65283336777964</v>
      </c>
      <c r="AP79" s="969">
        <f>SUM(R$16*'GREET2_Factors_T&amp;D'!$U70*S$16, R$17*'GREET2_Factors_T&amp;D'!$T70*S$17,R$18*'GREET2_Factors_T&amp;D'!$V70*S$18)</f>
        <v>3244.326523937335</v>
      </c>
      <c r="AS79" s="976"/>
      <c r="AT79" s="976"/>
      <c r="AX79" s="976"/>
      <c r="AY79" s="976"/>
    </row>
    <row r="80" spans="1:51" s="1247" customFormat="1">
      <c r="A80" s="878" t="s">
        <v>865</v>
      </c>
      <c r="B80" s="1077"/>
      <c r="C80" s="1256"/>
      <c r="E80" s="1256"/>
      <c r="F80" s="1096"/>
      <c r="G80" s="1077"/>
      <c r="H80" s="1256"/>
      <c r="J80" s="1256"/>
      <c r="K80" s="1096"/>
      <c r="L80" s="1077"/>
      <c r="M80" s="1256"/>
      <c r="N80" s="1256"/>
      <c r="P80" s="1096"/>
      <c r="Q80" s="1077"/>
      <c r="R80" s="1256"/>
      <c r="T80" s="1256"/>
      <c r="U80" s="1096"/>
      <c r="V80" s="1094"/>
      <c r="W80" s="1297"/>
      <c r="X80" s="1293"/>
      <c r="Y80" s="1297"/>
      <c r="Z80" s="1095"/>
      <c r="AA80" s="1094"/>
      <c r="AB80" s="1297"/>
      <c r="AC80" s="1297"/>
      <c r="AD80" s="1095"/>
      <c r="AE80" s="1094"/>
      <c r="AF80" s="1297"/>
      <c r="AG80" s="1297"/>
      <c r="AH80" s="1095"/>
      <c r="AI80" s="1094"/>
      <c r="AJ80" s="1297"/>
      <c r="AK80" s="1297"/>
      <c r="AL80" s="1095"/>
      <c r="AM80" s="1094"/>
      <c r="AN80" s="1297"/>
      <c r="AO80" s="1297"/>
      <c r="AP80" s="1095"/>
      <c r="AS80" s="1090"/>
      <c r="AT80" s="1090"/>
      <c r="AX80" s="1090"/>
      <c r="AY80" s="1090"/>
    </row>
    <row r="81" spans="1:51" s="1247" customFormat="1">
      <c r="A81" s="1237" t="s">
        <v>821</v>
      </c>
      <c r="B81" s="909">
        <f>B$49*(GREET1_Import_Export!$B201* GREET1_Import_Export!$F$179+GREET1_Import_Export!$F201)+B$50*(GREET1_Import_Export!$B201* GREET1_Import_Export!$G$179+GREET1_Import_Export!$G201)+B$51*(GREET1_Import_Export!$B201* GREET1_Import_Export!$C$179+GREET1_Import_Export!$C201)+B$52*(GREET1_Import_Export!$B201* GREET1_Import_Export!$E$179+GREET1_Import_Export!$E201)+B$53*(GREET1_Import_Export!$B201* GREET1_Import_Export!$I$179+GREET1_Import_Export!$I201)+B$54*GREET1_Import_Export!$B237+B$55*GREET1_Import_Export!$C290+B$61*(GREET1_Import_Export!$D315+GREET1_Import_Export!$E315)</f>
        <v>2.8161050585145677</v>
      </c>
      <c r="C81" s="1255">
        <v>81.435853681704629</v>
      </c>
      <c r="E81" s="919">
        <f>E$50*(GREET1_Import_Export!$B201* GREET1_Import_Export!$G$179+GREET1_Import_Export!$G201+GREET1_Import_Export!$Q146*E$33)+E$51*(GREET1_Import_Export!$B201* GREET1_Import_Export!$D$179+GREET1_Import_Export!$D201+GREET1_Import_Export!$Q132*E$33)</f>
        <v>4.2627200198538297E-3</v>
      </c>
      <c r="F81" s="817">
        <f>SUM(B$16*'GREET2_Factors_T&amp;D'!$U72*C$16, B$17*'GREET2_Factors_T&amp;D'!$T72*C$17,B$18*'GREET2_Factors_T&amp;D'!$V72*C$18)</f>
        <v>0.13315581605974891</v>
      </c>
      <c r="G81" s="909">
        <f>G$49*(GREET1_Import_Export!$B201* GREET1_Import_Export!$F$179+GREET1_Import_Export!$F201)+G$50*(GREET1_Import_Export!$B201* GREET1_Import_Export!$G$179+GREET1_Import_Export!$G201)+G$51*(GREET1_Import_Export!$B201* GREET1_Import_Export!$C$179+GREET1_Import_Export!$C201)+G$52*(GREET1_Import_Export!$B201* GREET1_Import_Export!$E$179+GREET1_Import_Export!$E201)+G$53*(GREET1_Import_Export!$B201* GREET1_Import_Export!$I$179+GREET1_Import_Export!$I201)+G$54*GREET1_Import_Export!$B237+G$55*GREET1_Import_Export!$C290+G$61*(GREET1_Import_Export!$D315+GREET1_Import_Export!$E315)</f>
        <v>7.599690683165961</v>
      </c>
      <c r="H81" s="1255">
        <v>7.853213173344658</v>
      </c>
      <c r="J81" s="919">
        <f>J$50*(GREET1_Import_Export!$B201* GREET1_Import_Export!$G$179+GREET1_Import_Export!$G201+GREET1_Import_Export!$Q146*J$33)+J$51*(GREET1_Import_Export!$B201* GREET1_Import_Export!$D$179+GREET1_Import_Export!$D201+GREET1_Import_Export!$Q132*J$33)</f>
        <v>3.992288249531387E-3</v>
      </c>
      <c r="K81" s="817">
        <f>SUM(D$16*'GREET2_Factors_T&amp;D'!$U72*E$16, D$17*'GREET2_Factors_T&amp;D'!$T72*E$17,D$18*'GREET2_Factors_T&amp;D'!$V72*E$18)</f>
        <v>0.13315581605974891</v>
      </c>
      <c r="L81" s="909">
        <f>L$49*(GREET1_Import_Export!$B201* GREET1_Import_Export!$F$179+GREET1_Import_Export!$F201)+L$50*(GREET1_Import_Export!$B201* GREET1_Import_Export!$G$179+GREET1_Import_Export!$G201)+L$51*(GREET1_Import_Export!$B201* GREET1_Import_Export!$C$179+GREET1_Import_Export!$C201)+L$52*(GREET1_Import_Export!$B201* GREET1_Import_Export!$E$179+GREET1_Import_Export!$E201)+L$53*(GREET1_Import_Export!$B201* GREET1_Import_Export!$I$179+GREET1_Import_Export!$I201)+L$54*GREET1_Import_Export!$B237+L$55*GREET1_Import_Export!$C290+L$61*(GREET1_Import_Export!$D315+GREET1_Import_Export!$E315)</f>
        <v>1.7744736640449197</v>
      </c>
      <c r="M81" s="1255">
        <v>50.320893996594982</v>
      </c>
      <c r="N81" s="919">
        <f>N$50*(GREET1_Import_Export!$B201* GREET1_Import_Export!$G$179+GREET1_Import_Export!$G201+GREET1_Import_Export!$Q146*N$33)+N$51*(GREET1_Import_Export!$B201* GREET1_Import_Export!$D$179+GREET1_Import_Export!$D201+GREET1_Import_Export!$Q132*N$33)</f>
        <v>8.6572362875935102E-3</v>
      </c>
      <c r="P81" s="817">
        <f>SUM(F$16*'GREET2_Factors_T&amp;D'!$U72*G$16, F$17*'GREET2_Factors_T&amp;D'!$T72*G$17,F$18*'GREET2_Factors_T&amp;D'!$V72*G$18)</f>
        <v>0.13315581605974891</v>
      </c>
      <c r="Q81" s="909">
        <f>Q$49*(GREET1_Import_Export!$B201* GREET1_Import_Export!$F$179+GREET1_Import_Export!$F201)+Q$50*(GREET1_Import_Export!$B201* GREET1_Import_Export!$G$179+GREET1_Import_Export!$G201)+Q$51*(GREET1_Import_Export!$B201* GREET1_Import_Export!$C$179+GREET1_Import_Export!$C201)+Q$52*(GREET1_Import_Export!$B201* GREET1_Import_Export!$E$179+GREET1_Import_Export!$E201)+Q$53*(GREET1_Import_Export!$B201* GREET1_Import_Export!$I$179+GREET1_Import_Export!$I201)+Q$54*GREET1_Import_Export!$B237+Q$55*GREET1_Import_Export!$C290+Q$61*(GREET1_Import_Export!$D315+GREET1_Import_Export!$E315)</f>
        <v>2.10701932504836</v>
      </c>
      <c r="R81" s="1255">
        <v>8.9180652703249486</v>
      </c>
      <c r="T81" s="919">
        <f>T$50*(GREET1_Import_Export!$B201* GREET1_Import_Export!$G$179+GREET1_Import_Export!$G201+GREET1_Import_Export!$Q146*T$33)+T$51*(GREET1_Import_Export!$B201* GREET1_Import_Export!$D$179+GREET1_Import_Export!$D201+GREET1_Import_Export!$Q132*T$33)</f>
        <v>4.3708927279828063E-3</v>
      </c>
      <c r="U81" s="817">
        <f>SUM(H$16*'GREET2_Factors_T&amp;D'!$U72*I$16, H$17*'GREET2_Factors_T&amp;D'!$T72*I$17,H$18*'GREET2_Factors_T&amp;D'!$V72*I$18)</f>
        <v>0.13315581605974891</v>
      </c>
      <c r="V81" s="909">
        <f>V$49*(GREET1_Import_Export!$B201* GREET1_Import_Export!$F$179+GREET1_Import_Export!$F201)+V$50*(GREET1_Import_Export!$B201* GREET1_Import_Export!$G$179+GREET1_Import_Export!$G201)+V$51*(GREET1_Import_Export!$B201* GREET1_Import_Export!$C$179+GREET1_Import_Export!$C201)+V$52*(GREET1_Import_Export!$B201* GREET1_Import_Export!$E$179+GREET1_Import_Export!$E201)+V$53*(GREET1_Import_Export!$B201* GREET1_Import_Export!$I$179+GREET1_Import_Export!$I201)+V$54*GREET1_Import_Export!$B237+V$55*GREET1_Import_Export!$C290+V$61*(GREET1_Import_Export!$D315+GREET1_Import_Export!$E315)</f>
        <v>2.3399351458468054</v>
      </c>
      <c r="W81" s="980">
        <f>W69*W$33</f>
        <v>18.785491224803046</v>
      </c>
      <c r="Y81" s="919">
        <f>Y$50*(GREET1_Import_Export!$B201* GREET1_Import_Export!$G$179+GREET1_Import_Export!$G201+GREET1_Import_Export!$Q146*Y$33)+Y$51*(GREET1_Import_Export!$B201* GREET1_Import_Export!$D$179+GREET1_Import_Export!$D201+GREET1_Import_Export!$Q132*Y$33)</f>
        <v>4.8614559593477156E-3</v>
      </c>
      <c r="Z81" s="817">
        <f>SUM(J$16*'GREET2_Factors_T&amp;D'!$U72*K$16, J$17*'GREET2_Factors_T&amp;D'!$T72*K$17,J$18*'GREET2_Factors_T&amp;D'!$V72*K$18)</f>
        <v>0.13315581605974891</v>
      </c>
      <c r="AA81" s="909">
        <f>AA$49*(GREET1_Import_Export!$B201* GREET1_Import_Export!$F$179+GREET1_Import_Export!$F201)+AA$50*(GREET1_Import_Export!$B201* GREET1_Import_Export!$G$179+GREET1_Import_Export!$G201)+AA$51*(GREET1_Import_Export!$B201* GREET1_Import_Export!$C$179+GREET1_Import_Export!$C201)+AA$52*(GREET1_Import_Export!$B201* GREET1_Import_Export!$E$179+GREET1_Import_Export!$E201)+AA$53*(GREET1_Import_Export!$B201* GREET1_Import_Export!$I$179+GREET1_Import_Export!$I201)+AA$54*GREET1_Import_Export!$B237+AA$55*GREET1_Import_Export!$C290+AA$61*(GREET1_Import_Export!$D315+GREET1_Import_Export!$E315)</f>
        <v>1.7163525094742674E-2</v>
      </c>
      <c r="AB81" s="980">
        <f t="shared" ref="AB81:AB88" si="10">AB69*AB$33</f>
        <v>37.80561588143221</v>
      </c>
      <c r="AC81" s="919">
        <f>AC$50*(GREET1_Import_Export!$B201* GREET1_Import_Export!$G$179+GREET1_Import_Export!$G201+GREET1_Import_Export!$Q146*AC$33)+AC$51*(GREET1_Import_Export!$B201* GREET1_Import_Export!$D$179+GREET1_Import_Export!$D201+GREET1_Import_Export!$Q132*AC$33)</f>
        <v>4.9170609186192177E-2</v>
      </c>
      <c r="AD81" s="817">
        <f>'GREET2_Factors_T&amp;D'!W72</f>
        <v>7.8738213033033265E-3</v>
      </c>
      <c r="AE81" s="909">
        <f>AE$49*(GREET1_Import_Export!$B201* GREET1_Import_Export!$F$179+GREET1_Import_Export!$F201)+AE$50*(GREET1_Import_Export!$B201* GREET1_Import_Export!$G$179+GREET1_Import_Export!$G201)+AE$51*(GREET1_Import_Export!$B201* GREET1_Import_Export!$C$179+GREET1_Import_Export!$C201)+AE$52*(GREET1_Import_Export!$B201* GREET1_Import_Export!$E$179+GREET1_Import_Export!$E201)+AE$53*(GREET1_Import_Export!$B201* GREET1_Import_Export!$I$179+GREET1_Import_Export!$I201)+AE$54*GREET1_Import_Export!$B237+AE$55*GREET1_Import_Export!$C290+AE$61*(GREET1_Import_Export!$D315+GREET1_Import_Export!$E315)</f>
        <v>7.9137563878048812E-3</v>
      </c>
      <c r="AF81" s="980">
        <f t="shared" ref="AF81:AF88" si="11">AF69*AF33</f>
        <v>0</v>
      </c>
      <c r="AG81" s="919">
        <f>AG$49*(GREET1_Import_Export!$B201* GREET1_Import_Export!$F$179+GREET1_Import_Export!$F201+GREET1_Import_Export!$L72*AG$33)+AG$50*(GREET1_Import_Export!$B201* GREET1_Import_Export!$G$179+GREET1_Import_Export!$G201+GREET1_Import_Export!$Q146*AG$33)+AG$51*(GREET1_Import_Export!$B201* GREET1_Import_Export!$C$179+GREET1_Import_Export!$C201+GREET1_Import_Export!$Q132*AG$33)</f>
        <v>3.6154839832669525E-2</v>
      </c>
      <c r="AH81" s="817">
        <f>SUM(N$16*'GREET2_Factors_T&amp;D'!$U72*O$16, N$17*'GREET2_Factors_T&amp;D'!$T72*O$17,N$18*'GREET2_Factors_T&amp;D'!$V72*O$18)</f>
        <v>2.1615356636078498E-2</v>
      </c>
      <c r="AI81" s="909">
        <f>AI$49*(GREET1_Import_Export!$B201* GREET1_Import_Export!$F$179+GREET1_Import_Export!$F201)+AI$50*(GREET1_Import_Export!$B201* GREET1_Import_Export!$G$179+GREET1_Import_Export!$G201)+AI$51*(GREET1_Import_Export!$B201* GREET1_Import_Export!$C$179+GREET1_Import_Export!$C201)+AI$52*(GREET1_Import_Export!$B201* GREET1_Import_Export!$E$179+GREET1_Import_Export!$E201)+AI$53*(GREET1_Import_Export!$B201* GREET1_Import_Export!$I$179+GREET1_Import_Export!$I201)+AI$54*GREET1_Import_Export!$B237+AI$55*GREET1_Import_Export!$C290+AI$61*(GREET1_Import_Export!$D315+GREET1_Import_Export!$E315)</f>
        <v>7.9137563878048829E-3</v>
      </c>
      <c r="AJ81" s="980">
        <f t="shared" ref="AJ81:AJ88" si="12">AJ69*AJ33</f>
        <v>0</v>
      </c>
      <c r="AK81" s="919">
        <f>AK$49*(GREET1_Import_Export!$B201* GREET1_Import_Export!$F$179+GREET1_Import_Export!$F201+GREET1_Import_Export!$L72*AK$33)+AK$50*(GREET1_Import_Export!$B201* GREET1_Import_Export!$G$179+GREET1_Import_Export!$G201+GREET1_Import_Export!$Q146*AK$33)+AK$51*(GREET1_Import_Export!$B201* GREET1_Import_Export!$C$179+GREET1_Import_Export!$C201+GREET1_Import_Export!$Q132*AK$33)</f>
        <v>3.6154839832669525E-2</v>
      </c>
      <c r="AL81" s="817">
        <f>SUM(P$16*'GREET2_Factors_T&amp;D'!$U72*Q$16, P$17*'GREET2_Factors_T&amp;D'!$T72*Q$17,P$18*'GREET2_Factors_T&amp;D'!$V72*Q$18)</f>
        <v>2.1615356636078498E-2</v>
      </c>
      <c r="AM81" s="909">
        <f>AM$49*(GREET1_Import_Export!$B201* GREET1_Import_Export!$F$179+GREET1_Import_Export!$F201)+AM$50*(GREET1_Import_Export!$B201* GREET1_Import_Export!$G$179+GREET1_Import_Export!$G201)+AM$51*(GREET1_Import_Export!$B201* GREET1_Import_Export!$C$179+GREET1_Import_Export!$C201)+AM$52*(GREET1_Import_Export!$B201* GREET1_Import_Export!$E$179+GREET1_Import_Export!$E201)+AM$53*(GREET1_Import_Export!$B201* GREET1_Import_Export!$I$179+GREET1_Import_Export!$I201)+AM$54*GREET1_Import_Export!$B237+AM$55*GREET1_Import_Export!$C290+AM$61*(GREET1_Import_Export!$D315+GREET1_Import_Export!$E315)</f>
        <v>7.9137563878048846E-3</v>
      </c>
      <c r="AN81" s="980">
        <f t="shared" ref="AN81:AN88" si="13">AN69*AN33</f>
        <v>0</v>
      </c>
      <c r="AO81" s="919">
        <f>AO$49*(GREET1_Import_Export!$B201* GREET1_Import_Export!$F$179+GREET1_Import_Export!$F201+GREET1_Import_Export!$L72*AO$33)+AO$50*(GREET1_Import_Export!$B201* GREET1_Import_Export!$G$179+GREET1_Import_Export!$G201+GREET1_Import_Export!$Q146*AO$33)+AO$51*(GREET1_Import_Export!$B201* GREET1_Import_Export!$C$179+GREET1_Import_Export!$C201+GREET1_Import_Export!$Q132*AO$33)</f>
        <v>3.6154839832669525E-2</v>
      </c>
      <c r="AP81" s="817">
        <f>SUM(R$16*'GREET2_Factors_T&amp;D'!$U72*S$16, R$17*'GREET2_Factors_T&amp;D'!$T72*S$17,R$18*'GREET2_Factors_T&amp;D'!$V72*S$18)</f>
        <v>9.8173773862853045E-2</v>
      </c>
      <c r="AS81" s="1090"/>
      <c r="AT81" s="1090"/>
      <c r="AX81" s="1090"/>
      <c r="AY81" s="1090"/>
    </row>
    <row r="82" spans="1:51" s="1247" customFormat="1">
      <c r="A82" s="1237" t="s">
        <v>822</v>
      </c>
      <c r="B82" s="909">
        <f>B$49*(GREET1_Import_Export!$B202* GREET1_Import_Export!$F$179+GREET1_Import_Export!$F202)+B$50*(GREET1_Import_Export!$B202* GREET1_Import_Export!$G$179+GREET1_Import_Export!$G202)+B$51*(GREET1_Import_Export!$B202* GREET1_Import_Export!$C$179+GREET1_Import_Export!$C202)+B$52*(GREET1_Import_Export!$B202* GREET1_Import_Export!$E$179+GREET1_Import_Export!$E202)+B$53*(GREET1_Import_Export!$B202* GREET1_Import_Export!$I$179+GREET1_Import_Export!$I202)+B$54*GREET1_Import_Export!$B238+B$55*GREET1_Import_Export!$C291+B$61*(GREET1_Import_Export!$D316+GREET1_Import_Export!$E316)</f>
        <v>6.1296685343044537</v>
      </c>
      <c r="C82" s="1257">
        <v>485.85858901908955</v>
      </c>
      <c r="E82" s="919">
        <f>E$50*(GREET1_Import_Export!$B202* GREET1_Import_Export!$G$179+GREET1_Import_Export!$G202+GREET1_Import_Export!$Q147*E$33)+E$51*(GREET1_Import_Export!$B202* GREET1_Import_Export!$D$179+GREET1_Import_Export!$D202+GREET1_Import_Export!$Q133*E$33)</f>
        <v>8.1075482026332114E-3</v>
      </c>
      <c r="F82" s="817">
        <f>SUM(B$16*'GREET2_Factors_T&amp;D'!$U73*C$16, B$17*'GREET2_Factors_T&amp;D'!$T73*C$17,B$18*'GREET2_Factors_T&amp;D'!$V73*C$18)</f>
        <v>8.678045469051178E-2</v>
      </c>
      <c r="G82" s="909">
        <f>G$49*(GREET1_Import_Export!$B202* GREET1_Import_Export!$F$179+GREET1_Import_Export!$F202)+G$50*(GREET1_Import_Export!$B202* GREET1_Import_Export!$G$179+GREET1_Import_Export!$G202)+G$51*(GREET1_Import_Export!$B202* GREET1_Import_Export!$C$179+GREET1_Import_Export!$C202)+G$52*(GREET1_Import_Export!$B202* GREET1_Import_Export!$E$179+GREET1_Import_Export!$E202)+G$53*(GREET1_Import_Export!$B202* GREET1_Import_Export!$I$179+GREET1_Import_Export!$I202)+G$54*GREET1_Import_Export!$B238+G$55*GREET1_Import_Export!$C291+G$61*(GREET1_Import_Export!$D316+GREET1_Import_Export!$E316)</f>
        <v>9.0858767386580119</v>
      </c>
      <c r="H82" s="1257">
        <v>108.48921939239715</v>
      </c>
      <c r="J82" s="919">
        <f>J$50*(GREET1_Import_Export!$B202* GREET1_Import_Export!$G$179+GREET1_Import_Export!$G202+GREET1_Import_Export!$Q147*J$33)+J$51*(GREET1_Import_Export!$B202* GREET1_Import_Export!$D$179+GREET1_Import_Export!$D202+GREET1_Import_Export!$Q133*J$33)</f>
        <v>7.4468096336163065E-3</v>
      </c>
      <c r="K82" s="817">
        <f>SUM(D$16*'GREET2_Factors_T&amp;D'!$U73*E$16, D$17*'GREET2_Factors_T&amp;D'!$T73*E$17,D$18*'GREET2_Factors_T&amp;D'!$V73*E$18)</f>
        <v>8.678045469051178E-2</v>
      </c>
      <c r="L82" s="909">
        <f>L$49*(GREET1_Import_Export!$B202* GREET1_Import_Export!$F$179+GREET1_Import_Export!$F202)+L$50*(GREET1_Import_Export!$B202* GREET1_Import_Export!$G$179+GREET1_Import_Export!$G202)+L$51*(GREET1_Import_Export!$B202* GREET1_Import_Export!$C$179+GREET1_Import_Export!$C202)+L$52*(GREET1_Import_Export!$B202* GREET1_Import_Export!$E$179+GREET1_Import_Export!$E202)+L$53*(GREET1_Import_Export!$B202* GREET1_Import_Export!$I$179+GREET1_Import_Export!$I202)+L$54*GREET1_Import_Export!$B238+L$55*GREET1_Import_Export!$C291+L$61*(GREET1_Import_Export!$D316+GREET1_Import_Export!$E316)</f>
        <v>5.9961050969355494</v>
      </c>
      <c r="M82" s="1257">
        <v>861.08824030131791</v>
      </c>
      <c r="N82" s="919">
        <f>N$50*(GREET1_Import_Export!$B202* GREET1_Import_Export!$G$179+GREET1_Import_Export!$G202+GREET1_Import_Export!$Q147*N$33)+N$51*(GREET1_Import_Export!$B202* GREET1_Import_Export!$D$179+GREET1_Import_Export!$D202+GREET1_Import_Export!$Q133*N$33)</f>
        <v>1.8844549949157911E-2</v>
      </c>
      <c r="P82" s="817">
        <f>SUM(F$16*'GREET2_Factors_T&amp;D'!$U73*G$16, F$17*'GREET2_Factors_T&amp;D'!$T73*G$17,F$18*'GREET2_Factors_T&amp;D'!$V73*G$18)</f>
        <v>8.678045469051178E-2</v>
      </c>
      <c r="Q82" s="909">
        <f>Q$49*(GREET1_Import_Export!$B202* GREET1_Import_Export!$F$179+GREET1_Import_Export!$F202)+Q$50*(GREET1_Import_Export!$B202* GREET1_Import_Export!$G$179+GREET1_Import_Export!$G202)+Q$51*(GREET1_Import_Export!$B202* GREET1_Import_Export!$C$179+GREET1_Import_Export!$C202)+Q$52*(GREET1_Import_Export!$B202* GREET1_Import_Export!$E$179+GREET1_Import_Export!$E202)+Q$53*(GREET1_Import_Export!$B202* GREET1_Import_Export!$I$179+GREET1_Import_Export!$I202)+Q$54*GREET1_Import_Export!$B238+Q$55*GREET1_Import_Export!$C291+Q$61*(GREET1_Import_Export!$D316+GREET1_Import_Export!$E316)</f>
        <v>5.1834773945064345</v>
      </c>
      <c r="R82" s="1257">
        <v>215.19508904003263</v>
      </c>
      <c r="T82" s="919">
        <f>T$50*(GREET1_Import_Export!$B202* GREET1_Import_Export!$G$179+GREET1_Import_Export!$G202+GREET1_Import_Export!$Q147*T$33)+T$51*(GREET1_Import_Export!$B202* GREET1_Import_Export!$D$179+GREET1_Import_Export!$D202+GREET1_Import_Export!$Q133*T$33)</f>
        <v>8.3718436302399717E-3</v>
      </c>
      <c r="U82" s="817">
        <f>SUM(H$16*'GREET2_Factors_T&amp;D'!$U73*I$16, H$17*'GREET2_Factors_T&amp;D'!$T73*I$17,H$18*'GREET2_Factors_T&amp;D'!$V73*I$18)</f>
        <v>8.678045469051178E-2</v>
      </c>
      <c r="V82" s="909">
        <f>V$49*(GREET1_Import_Export!$B202* GREET1_Import_Export!$F$179+GREET1_Import_Export!$F202)+V$50*(GREET1_Import_Export!$B202* GREET1_Import_Export!$G$179+GREET1_Import_Export!$G202)+V$51*(GREET1_Import_Export!$B202* GREET1_Import_Export!$C$179+GREET1_Import_Export!$C202)+V$52*(GREET1_Import_Export!$B202* GREET1_Import_Export!$E$179+GREET1_Import_Export!$E202)+V$53*(GREET1_Import_Export!$B202* GREET1_Import_Export!$I$179+GREET1_Import_Export!$I202)+V$54*GREET1_Import_Export!$B238+V$55*GREET1_Import_Export!$C291+V$61*(GREET1_Import_Export!$D316+GREET1_Import_Export!$E316)</f>
        <v>5.5344243766414412</v>
      </c>
      <c r="W82" s="980">
        <f t="shared" ref="W82:W88" si="14">W70*W$33</f>
        <v>287.50753541635794</v>
      </c>
      <c r="Y82" s="919">
        <f>Y$50*(GREET1_Import_Export!$B202* GREET1_Import_Export!$G$179+GREET1_Import_Export!$G202+GREET1_Import_Export!$Q147*Y$33)+Y$51*(GREET1_Import_Export!$B202* GREET1_Import_Export!$D$179+GREET1_Import_Export!$D202+GREET1_Import_Export!$Q133*Y$33)</f>
        <v>9.5704233944366376E-3</v>
      </c>
      <c r="Z82" s="817">
        <f>SUM(J$16*'GREET2_Factors_T&amp;D'!$U73*K$16, J$17*'GREET2_Factors_T&amp;D'!$T73*K$17,J$18*'GREET2_Factors_T&amp;D'!$V73*K$18)</f>
        <v>8.678045469051178E-2</v>
      </c>
      <c r="AA82" s="909">
        <f>AA$49*(GREET1_Import_Export!$B202* GREET1_Import_Export!$F$179+GREET1_Import_Export!$F202)+AA$50*(GREET1_Import_Export!$B202* GREET1_Import_Export!$G$179+GREET1_Import_Export!$G202)+AA$51*(GREET1_Import_Export!$B202* GREET1_Import_Export!$C$179+GREET1_Import_Export!$C202)+AA$52*(GREET1_Import_Export!$B202* GREET1_Import_Export!$E$179+GREET1_Import_Export!$E202)+AA$53*(GREET1_Import_Export!$B202* GREET1_Import_Export!$I$179+GREET1_Import_Export!$I202)+AA$54*GREET1_Import_Export!$B238+AA$55*GREET1_Import_Export!$C291+AA$61*(GREET1_Import_Export!$D316+GREET1_Import_Export!$E316)</f>
        <v>5.246957214028982E-2</v>
      </c>
      <c r="AB82" s="1001">
        <f t="shared" si="10"/>
        <v>6.542757627153021</v>
      </c>
      <c r="AC82" s="919">
        <f>AC$50*(GREET1_Import_Export!$B202* GREET1_Import_Export!$G$179+GREET1_Import_Export!$G202+GREET1_Import_Export!$Q147*AC$33)+AC$51*(GREET1_Import_Export!$B202* GREET1_Import_Export!$D$179+GREET1_Import_Export!$D202+GREET1_Import_Export!$Q133*AC$33)</f>
        <v>0.10806837310711769</v>
      </c>
      <c r="AD82" s="817">
        <f>'GREET2_Factors_T&amp;D'!W73</f>
        <v>5.1316966427294866E-3</v>
      </c>
      <c r="AE82" s="909">
        <f>AE$49*(GREET1_Import_Export!$B202* GREET1_Import_Export!$F$179+GREET1_Import_Export!$F202)+AE$50*(GREET1_Import_Export!$B202* GREET1_Import_Export!$G$179+GREET1_Import_Export!$G202)+AE$51*(GREET1_Import_Export!$B202* GREET1_Import_Export!$C$179+GREET1_Import_Export!$C202)+AE$52*(GREET1_Import_Export!$B202* GREET1_Import_Export!$E$179+GREET1_Import_Export!$E202)+AE$53*(GREET1_Import_Export!$B202* GREET1_Import_Export!$I$179+GREET1_Import_Export!$I202)+AE$54*GREET1_Import_Export!$B238+AE$55*GREET1_Import_Export!$C291+AE$61*(GREET1_Import_Export!$D316+GREET1_Import_Export!$E316)</f>
        <v>5.6311383267313671E-2</v>
      </c>
      <c r="AF82" s="1001">
        <f t="shared" si="11"/>
        <v>0</v>
      </c>
      <c r="AG82" s="919">
        <f>AG$49*(GREET1_Import_Export!$B202* GREET1_Import_Export!$F$179+GREET1_Import_Export!$F202+GREET1_Import_Export!$L73*AG$33)+AG$50*(GREET1_Import_Export!$B202* GREET1_Import_Export!$G$179+GREET1_Import_Export!$G202+GREET1_Import_Export!$Q147*AG$33)+AG$51*(GREET1_Import_Export!$B202* GREET1_Import_Export!$C$179+GREET1_Import_Export!$C202+GREET1_Import_Export!$Q133*AG$33)</f>
        <v>1.8362546159502349E-2</v>
      </c>
      <c r="AH82" s="817">
        <f>SUM(N$16*'GREET2_Factors_T&amp;D'!$U73*O$16, N$17*'GREET2_Factors_T&amp;D'!$T73*O$17,N$18*'GREET2_Factors_T&amp;D'!$V73*O$18)</f>
        <v>1.4082927468085907E-2</v>
      </c>
      <c r="AI82" s="909">
        <f>AI$49*(GREET1_Import_Export!$B202* GREET1_Import_Export!$F$179+GREET1_Import_Export!$F202)+AI$50*(GREET1_Import_Export!$B202* GREET1_Import_Export!$G$179+GREET1_Import_Export!$G202)+AI$51*(GREET1_Import_Export!$B202* GREET1_Import_Export!$C$179+GREET1_Import_Export!$C202)+AI$52*(GREET1_Import_Export!$B202* GREET1_Import_Export!$E$179+GREET1_Import_Export!$E202)+AI$53*(GREET1_Import_Export!$B202* GREET1_Import_Export!$I$179+GREET1_Import_Export!$I202)+AI$54*GREET1_Import_Export!$B238+AI$55*GREET1_Import_Export!$C291+AI$61*(GREET1_Import_Export!$D316+GREET1_Import_Export!$E316)</f>
        <v>5.6311383267313685E-2</v>
      </c>
      <c r="AJ82" s="1001">
        <f t="shared" si="12"/>
        <v>0</v>
      </c>
      <c r="AK82" s="919">
        <f>AK$49*(GREET1_Import_Export!$B202* GREET1_Import_Export!$F$179+GREET1_Import_Export!$F202+GREET1_Import_Export!$L73*AK$33)+AK$50*(GREET1_Import_Export!$B202* GREET1_Import_Export!$G$179+GREET1_Import_Export!$G202+GREET1_Import_Export!$Q147*AK$33)+AK$51*(GREET1_Import_Export!$B202* GREET1_Import_Export!$C$179+GREET1_Import_Export!$C202+GREET1_Import_Export!$Q133*AK$33)</f>
        <v>1.8362546159502349E-2</v>
      </c>
      <c r="AL82" s="817">
        <f>SUM(P$16*'GREET2_Factors_T&amp;D'!$U73*Q$16, P$17*'GREET2_Factors_T&amp;D'!$T73*Q$17,P$18*'GREET2_Factors_T&amp;D'!$V73*Q$18)</f>
        <v>1.4082927468085907E-2</v>
      </c>
      <c r="AM82" s="909">
        <f>AM$49*(GREET1_Import_Export!$B202* GREET1_Import_Export!$F$179+GREET1_Import_Export!$F202)+AM$50*(GREET1_Import_Export!$B202* GREET1_Import_Export!$G$179+GREET1_Import_Export!$G202)+AM$51*(GREET1_Import_Export!$B202* GREET1_Import_Export!$C$179+GREET1_Import_Export!$C202)+AM$52*(GREET1_Import_Export!$B202* GREET1_Import_Export!$E$179+GREET1_Import_Export!$E202)+AM$53*(GREET1_Import_Export!$B202* GREET1_Import_Export!$I$179+GREET1_Import_Export!$I202)+AM$54*GREET1_Import_Export!$B238+AM$55*GREET1_Import_Export!$C291+AM$61*(GREET1_Import_Export!$D316+GREET1_Import_Export!$E316)</f>
        <v>5.6311383267313692E-2</v>
      </c>
      <c r="AN82" s="1001">
        <f t="shared" si="13"/>
        <v>0</v>
      </c>
      <c r="AO82" s="919">
        <f>AO$49*(GREET1_Import_Export!$B202* GREET1_Import_Export!$F$179+GREET1_Import_Export!$F202+GREET1_Import_Export!$L73*AO$33)+AO$50*(GREET1_Import_Export!$B202* GREET1_Import_Export!$G$179+GREET1_Import_Export!$G202+GREET1_Import_Export!$Q147*AO$33)+AO$51*(GREET1_Import_Export!$B202* GREET1_Import_Export!$C$179+GREET1_Import_Export!$C202+GREET1_Import_Export!$Q133*AO$33)</f>
        <v>1.8362546159502349E-2</v>
      </c>
      <c r="AP82" s="817">
        <f>SUM(R$16*'GREET2_Factors_T&amp;D'!$U73*S$16, R$17*'GREET2_Factors_T&amp;D'!$T73*S$17,R$18*'GREET2_Factors_T&amp;D'!$V73*S$18)</f>
        <v>6.3977270792380414E-2</v>
      </c>
      <c r="AS82" s="1090"/>
      <c r="AT82" s="1090"/>
      <c r="AX82" s="1090"/>
      <c r="AY82" s="1090"/>
    </row>
    <row r="83" spans="1:51" s="1247" customFormat="1">
      <c r="A83" s="1237" t="s">
        <v>823</v>
      </c>
      <c r="B83" s="909">
        <f>B$49*(GREET1_Import_Export!$B203* GREET1_Import_Export!$F$179+GREET1_Import_Export!$F203)+B$50*(GREET1_Import_Export!$B203* GREET1_Import_Export!$G$179+GREET1_Import_Export!$G203)+B$51*(GREET1_Import_Export!$B203* GREET1_Import_Export!$C$179+GREET1_Import_Export!$C203)+B$52*(GREET1_Import_Export!$B203* GREET1_Import_Export!$E$179+GREET1_Import_Export!$E203)+B$53*(GREET1_Import_Export!$B203* GREET1_Import_Export!$I$179+GREET1_Import_Export!$I203)+B$54*GREET1_Import_Export!$B239+B$55*GREET1_Import_Export!$C292+B$61*(GREET1_Import_Export!$D317+GREET1_Import_Export!$E317)</f>
        <v>12.716357108290422</v>
      </c>
      <c r="C83" s="1257">
        <v>334.58623600580768</v>
      </c>
      <c r="E83" s="919">
        <f>E$50*(GREET1_Import_Export!$B203* GREET1_Import_Export!$G$179+GREET1_Import_Export!$G203+GREET1_Import_Export!$Q148*E$33)+E$51*(GREET1_Import_Export!$B203* GREET1_Import_Export!$D$179+GREET1_Import_Export!$D203+GREET1_Import_Export!$Q134*E$33)</f>
        <v>3.8346145005209512E-2</v>
      </c>
      <c r="F83" s="817">
        <f>SUM(B$16*'GREET2_Factors_T&amp;D'!$U74*C$16, B$17*'GREET2_Factors_T&amp;D'!$T74*C$17,B$18*'GREET2_Factors_T&amp;D'!$V74*C$18)</f>
        <v>0.13476742883015669</v>
      </c>
      <c r="G83" s="909">
        <f>G$49*(GREET1_Import_Export!$B203* GREET1_Import_Export!$F$179+GREET1_Import_Export!$F203)+G$50*(GREET1_Import_Export!$B203* GREET1_Import_Export!$G$179+GREET1_Import_Export!$G203)+G$51*(GREET1_Import_Export!$B203* GREET1_Import_Export!$C$179+GREET1_Import_Export!$C203)+G$52*(GREET1_Import_Export!$B203* GREET1_Import_Export!$E$179+GREET1_Import_Export!$E203)+G$53*(GREET1_Import_Export!$B203* GREET1_Import_Export!$I$179+GREET1_Import_Export!$I203)+G$54*GREET1_Import_Export!$B239+G$55*GREET1_Import_Export!$C292+G$61*(GREET1_Import_Export!$D317+GREET1_Import_Export!$E317)</f>
        <v>18.276054292574081</v>
      </c>
      <c r="H83" s="1257">
        <v>951.48317749432863</v>
      </c>
      <c r="J83" s="919">
        <f>J$50*(GREET1_Import_Export!$B203* GREET1_Import_Export!$G$179+GREET1_Import_Export!$G203+GREET1_Import_Export!$Q148*J$33)+J$51*(GREET1_Import_Export!$B203* GREET1_Import_Export!$D$179+GREET1_Import_Export!$D203+GREET1_Import_Export!$Q134*J$33)</f>
        <v>3.4978607644399008E-2</v>
      </c>
      <c r="K83" s="817">
        <f>SUM(D$16*'GREET2_Factors_T&amp;D'!$U74*E$16, D$17*'GREET2_Factors_T&amp;D'!$T74*E$17,D$18*'GREET2_Factors_T&amp;D'!$V74*E$18)</f>
        <v>0.13476742883015669</v>
      </c>
      <c r="L83" s="909">
        <f>L$49*(GREET1_Import_Export!$B203* GREET1_Import_Export!$F$179+GREET1_Import_Export!$F203)+L$50*(GREET1_Import_Export!$B203* GREET1_Import_Export!$G$179+GREET1_Import_Export!$G203)+L$51*(GREET1_Import_Export!$B203* GREET1_Import_Export!$C$179+GREET1_Import_Export!$C203)+L$52*(GREET1_Import_Export!$B203* GREET1_Import_Export!$E$179+GREET1_Import_Export!$E203)+L$53*(GREET1_Import_Export!$B203* GREET1_Import_Export!$I$179+GREET1_Import_Export!$I203)+L$54*GREET1_Import_Export!$B239+L$55*GREET1_Import_Export!$C292+L$61*(GREET1_Import_Export!$D317+GREET1_Import_Export!$E317)</f>
        <v>12.871527239961392</v>
      </c>
      <c r="M83" s="1257">
        <v>696.29472598719963</v>
      </c>
      <c r="N83" s="919">
        <f>N$50*(GREET1_Import_Export!$B203* GREET1_Import_Export!$G$179+GREET1_Import_Export!$G203+GREET1_Import_Export!$Q148*N$33)+N$51*(GREET1_Import_Export!$B203* GREET1_Import_Export!$D$179+GREET1_Import_Export!$D203+GREET1_Import_Export!$Q134*N$33)</f>
        <v>9.306862711838014E-2</v>
      </c>
      <c r="P83" s="817">
        <f>SUM(F$16*'GREET2_Factors_T&amp;D'!$U74*G$16, F$17*'GREET2_Factors_T&amp;D'!$T74*G$17,F$18*'GREET2_Factors_T&amp;D'!$V74*G$18)</f>
        <v>0.13476742883015669</v>
      </c>
      <c r="Q83" s="909">
        <f>Q$49*(GREET1_Import_Export!$B203* GREET1_Import_Export!$F$179+GREET1_Import_Export!$F203)+Q$50*(GREET1_Import_Export!$B203* GREET1_Import_Export!$G$179+GREET1_Import_Export!$G203)+Q$51*(GREET1_Import_Export!$B203* GREET1_Import_Export!$C$179+GREET1_Import_Export!$C203)+Q$52*(GREET1_Import_Export!$B203* GREET1_Import_Export!$E$179+GREET1_Import_Export!$E203)+Q$53*(GREET1_Import_Export!$B203* GREET1_Import_Export!$I$179+GREET1_Import_Export!$I203)+Q$54*GREET1_Import_Export!$B239+Q$55*GREET1_Import_Export!$C292+Q$61*(GREET1_Import_Export!$D317+GREET1_Import_Export!$E317)</f>
        <v>11.465138462127463</v>
      </c>
      <c r="R83" s="1257">
        <v>207.38667547141227</v>
      </c>
      <c r="T83" s="919">
        <f>T$50*(GREET1_Import_Export!$B203* GREET1_Import_Export!$G$179+GREET1_Import_Export!$G203+GREET1_Import_Export!$Q148*T$33)+T$51*(GREET1_Import_Export!$B203* GREET1_Import_Export!$D$179+GREET1_Import_Export!$D203+GREET1_Import_Export!$Q134*T$33)</f>
        <v>3.9693159949533714E-2</v>
      </c>
      <c r="U83" s="817">
        <f>SUM(H$16*'GREET2_Factors_T&amp;D'!$U74*I$16, H$17*'GREET2_Factors_T&amp;D'!$T74*I$17,H$18*'GREET2_Factors_T&amp;D'!$V74*I$18)</f>
        <v>0.13476742883015669</v>
      </c>
      <c r="V83" s="909">
        <f>V$49*(GREET1_Import_Export!$B203* GREET1_Import_Export!$F$179+GREET1_Import_Export!$F203)+V$50*(GREET1_Import_Export!$B203* GREET1_Import_Export!$G$179+GREET1_Import_Export!$G203)+V$51*(GREET1_Import_Export!$B203* GREET1_Import_Export!$C$179+GREET1_Import_Export!$C203)+V$52*(GREET1_Import_Export!$B203* GREET1_Import_Export!$E$179+GREET1_Import_Export!$E203)+V$53*(GREET1_Import_Export!$B203* GREET1_Import_Export!$I$179+GREET1_Import_Export!$I203)+V$54*GREET1_Import_Export!$B239+V$55*GREET1_Import_Export!$C292+V$61*(GREET1_Import_Export!$D317+GREET1_Import_Export!$E317)</f>
        <v>12.1071809577385</v>
      </c>
      <c r="W83" s="980">
        <f t="shared" si="14"/>
        <v>300.27803335137656</v>
      </c>
      <c r="Y83" s="919">
        <f>Y$50*(GREET1_Import_Export!$B203* GREET1_Import_Export!$G$179+GREET1_Import_Export!$G203+GREET1_Import_Export!$Q148*Y$33)+Y$51*(GREET1_Import_Export!$B203* GREET1_Import_Export!$D$179+GREET1_Import_Export!$D203+GREET1_Import_Export!$Q134*Y$33)</f>
        <v>4.580187272204396E-2</v>
      </c>
      <c r="Z83" s="817">
        <f>SUM(J$16*'GREET2_Factors_T&amp;D'!$U74*K$16, J$17*'GREET2_Factors_T&amp;D'!$T74*K$17,J$18*'GREET2_Factors_T&amp;D'!$V74*K$18)</f>
        <v>0.13476742883015669</v>
      </c>
      <c r="AA83" s="909">
        <f>AA$49*(GREET1_Import_Export!$B203* GREET1_Import_Export!$F$179+GREET1_Import_Export!$F203)+AA$50*(GREET1_Import_Export!$B203* GREET1_Import_Export!$G$179+GREET1_Import_Export!$G203)+AA$51*(GREET1_Import_Export!$B203* GREET1_Import_Export!$C$179+GREET1_Import_Export!$C203)+AA$52*(GREET1_Import_Export!$B203* GREET1_Import_Export!$E$179+GREET1_Import_Export!$E203)+AA$53*(GREET1_Import_Export!$B203* GREET1_Import_Export!$I$179+GREET1_Import_Export!$I203)+AA$54*GREET1_Import_Export!$B239+AA$55*GREET1_Import_Export!$C292+AA$61*(GREET1_Import_Export!$D317+GREET1_Import_Export!$E317)</f>
        <v>0.12625463879617113</v>
      </c>
      <c r="AB83" s="1001">
        <f t="shared" si="10"/>
        <v>10.863050756486928</v>
      </c>
      <c r="AC83" s="919">
        <f>AC$50*(GREET1_Import_Export!$B203* GREET1_Import_Export!$G$179+GREET1_Import_Export!$G203+GREET1_Import_Export!$Q148*AC$33)+AC$51*(GREET1_Import_Export!$B203* GREET1_Import_Export!$D$179+GREET1_Import_Export!$D203+GREET1_Import_Export!$Q134*AC$33)</f>
        <v>0.53522365463795918</v>
      </c>
      <c r="AD83" s="817">
        <f>'GREET2_Factors_T&amp;D'!W74</f>
        <v>7.967132437604765E-3</v>
      </c>
      <c r="AE83" s="909">
        <f>AE$49*(GREET1_Import_Export!$B203* GREET1_Import_Export!$F$179+GREET1_Import_Export!$F203)+AE$50*(GREET1_Import_Export!$B203* GREET1_Import_Export!$G$179+GREET1_Import_Export!$G203)+AE$51*(GREET1_Import_Export!$B203* GREET1_Import_Export!$C$179+GREET1_Import_Export!$C203)+AE$52*(GREET1_Import_Export!$B203* GREET1_Import_Export!$E$179+GREET1_Import_Export!$E203)+AE$53*(GREET1_Import_Export!$B203* GREET1_Import_Export!$I$179+GREET1_Import_Export!$I203)+AE$54*GREET1_Import_Export!$B239+AE$55*GREET1_Import_Export!$C292+AE$61*(GREET1_Import_Export!$D317+GREET1_Import_Export!$E317)</f>
        <v>0.16109683338980299</v>
      </c>
      <c r="AF83" s="1001">
        <f t="shared" si="11"/>
        <v>0</v>
      </c>
      <c r="AG83" s="919">
        <f>AG$49*(GREET1_Import_Export!$B203* GREET1_Import_Export!$F$179+GREET1_Import_Export!$F203+GREET1_Import_Export!$L74*AG$33)+AG$50*(GREET1_Import_Export!$B203* GREET1_Import_Export!$G$179+GREET1_Import_Export!$G203+GREET1_Import_Export!$Q148*AG$33)+AG$51*(GREET1_Import_Export!$B203* GREET1_Import_Export!$C$179+GREET1_Import_Export!$C203+GREET1_Import_Export!$Q134*AG$33)</f>
        <v>2.8789714317763577E-2</v>
      </c>
      <c r="AH83" s="817">
        <f>SUM(N$16*'GREET2_Factors_T&amp;D'!$U74*O$16, N$17*'GREET2_Factors_T&amp;D'!$T74*O$17,N$18*'GREET2_Factors_T&amp;D'!$V74*O$18)</f>
        <v>2.1929456828800185E-2</v>
      </c>
      <c r="AI83" s="909">
        <f>AI$49*(GREET1_Import_Export!$B203* GREET1_Import_Export!$F$179+GREET1_Import_Export!$F203)+AI$50*(GREET1_Import_Export!$B203* GREET1_Import_Export!$G$179+GREET1_Import_Export!$G203)+AI$51*(GREET1_Import_Export!$B203* GREET1_Import_Export!$C$179+GREET1_Import_Export!$C203)+AI$52*(GREET1_Import_Export!$B203* GREET1_Import_Export!$E$179+GREET1_Import_Export!$E203)+AI$53*(GREET1_Import_Export!$B203* GREET1_Import_Export!$I$179+GREET1_Import_Export!$I203)+AI$54*GREET1_Import_Export!$B239+AI$55*GREET1_Import_Export!$C292+AI$61*(GREET1_Import_Export!$D317+GREET1_Import_Export!$E317)</f>
        <v>0.16109683338980305</v>
      </c>
      <c r="AJ83" s="1001">
        <f t="shared" si="12"/>
        <v>0</v>
      </c>
      <c r="AK83" s="919">
        <f>AK$49*(GREET1_Import_Export!$B203* GREET1_Import_Export!$F$179+GREET1_Import_Export!$F203+GREET1_Import_Export!$L74*AK$33)+AK$50*(GREET1_Import_Export!$B203* GREET1_Import_Export!$G$179+GREET1_Import_Export!$G203+GREET1_Import_Export!$Q148*AK$33)+AK$51*(GREET1_Import_Export!$B203* GREET1_Import_Export!$C$179+GREET1_Import_Export!$C203+GREET1_Import_Export!$Q134*AK$33)</f>
        <v>2.8789714317763577E-2</v>
      </c>
      <c r="AL83" s="817">
        <f>SUM(P$16*'GREET2_Factors_T&amp;D'!$U74*Q$16, P$17*'GREET2_Factors_T&amp;D'!$T74*Q$17,P$18*'GREET2_Factors_T&amp;D'!$V74*Q$18)</f>
        <v>2.1929456828800185E-2</v>
      </c>
      <c r="AM83" s="909">
        <f>AM$49*(GREET1_Import_Export!$B203* GREET1_Import_Export!$F$179+GREET1_Import_Export!$F203)+AM$50*(GREET1_Import_Export!$B203* GREET1_Import_Export!$G$179+GREET1_Import_Export!$G203)+AM$51*(GREET1_Import_Export!$B203* GREET1_Import_Export!$C$179+GREET1_Import_Export!$C203)+AM$52*(GREET1_Import_Export!$B203* GREET1_Import_Export!$E$179+GREET1_Import_Export!$E203)+AM$53*(GREET1_Import_Export!$B203* GREET1_Import_Export!$I$179+GREET1_Import_Export!$I203)+AM$54*GREET1_Import_Export!$B239+AM$55*GREET1_Import_Export!$C292+AM$61*(GREET1_Import_Export!$D317+GREET1_Import_Export!$E317)</f>
        <v>0.1610968333898031</v>
      </c>
      <c r="AN83" s="1001">
        <f t="shared" si="13"/>
        <v>0</v>
      </c>
      <c r="AO83" s="919">
        <f>AO$49*(GREET1_Import_Export!$B203* GREET1_Import_Export!$F$179+GREET1_Import_Export!$F203+GREET1_Import_Export!$L74*AO$33)+AO$50*(GREET1_Import_Export!$B203* GREET1_Import_Export!$G$179+GREET1_Import_Export!$G203+GREET1_Import_Export!$Q148*AO$33)+AO$51*(GREET1_Import_Export!$B203* GREET1_Import_Export!$C$179+GREET1_Import_Export!$C203+GREET1_Import_Export!$Q134*AO$33)</f>
        <v>2.8789714317763577E-2</v>
      </c>
      <c r="AP83" s="817">
        <f>SUM(R$16*'GREET2_Factors_T&amp;D'!$U74*S$16, R$17*'GREET2_Factors_T&amp;D'!$T74*S$17,R$18*'GREET2_Factors_T&amp;D'!$V74*S$18)</f>
        <v>9.9419315597602795E-2</v>
      </c>
      <c r="AS83" s="1090"/>
      <c r="AT83" s="1090"/>
      <c r="AX83" s="1090"/>
      <c r="AY83" s="1090"/>
    </row>
    <row r="84" spans="1:51" s="1247" customFormat="1">
      <c r="A84" s="1237" t="s">
        <v>824</v>
      </c>
      <c r="B84" s="909">
        <f>B$49*(GREET1_Import_Export!$B204* GREET1_Import_Export!$F$179+GREET1_Import_Export!$F204)+B$50*(GREET1_Import_Export!$B204* GREET1_Import_Export!$G$179+GREET1_Import_Export!$G204)+B$51*(GREET1_Import_Export!$B204* GREET1_Import_Export!$C$179+GREET1_Import_Export!$C204)+B$52*(GREET1_Import_Export!$B204* GREET1_Import_Export!$E$179+GREET1_Import_Export!$E204)+B$53*(GREET1_Import_Export!$B204* GREET1_Import_Export!$I$179+GREET1_Import_Export!$I204)+B$54*GREET1_Import_Export!$B240+B$55*GREET1_Import_Export!$C293+B$61*(GREET1_Import_Export!$D318+GREET1_Import_Export!$E318)</f>
        <v>1.4931794824227798</v>
      </c>
      <c r="C84" s="1257">
        <v>98.563015300011102</v>
      </c>
      <c r="E84" s="919">
        <f>E$50*(GREET1_Import_Export!$B204* GREET1_Import_Export!$G$179+GREET1_Import_Export!$G204+GREET1_Import_Export!$Q149*E$33)+E$51*(GREET1_Import_Export!$B204* GREET1_Import_Export!$D$179+GREET1_Import_Export!$D204+GREET1_Import_Export!$Q135*E$33)</f>
        <v>1.0944061592526692E-3</v>
      </c>
      <c r="F84" s="817">
        <f>SUM(B$16*'GREET2_Factors_T&amp;D'!$U75*C$16, B$17*'GREET2_Factors_T&amp;D'!$T75*C$17,B$18*'GREET2_Factors_T&amp;D'!$V75*C$18)</f>
        <v>2.3982383991382274E-2</v>
      </c>
      <c r="G84" s="909">
        <f>G$49*(GREET1_Import_Export!$B204* GREET1_Import_Export!$F$179+GREET1_Import_Export!$F204)+G$50*(GREET1_Import_Export!$B204* GREET1_Import_Export!$G$179+GREET1_Import_Export!$G204)+G$51*(GREET1_Import_Export!$B204* GREET1_Import_Export!$C$179+GREET1_Import_Export!$C204)+G$52*(GREET1_Import_Export!$B204* GREET1_Import_Export!$E$179+GREET1_Import_Export!$E204)+G$53*(GREET1_Import_Export!$B204* GREET1_Import_Export!$I$179+GREET1_Import_Export!$I204)+G$54*GREET1_Import_Export!$B240+G$55*GREET1_Import_Export!$C293+G$61*(GREET1_Import_Export!$D318+GREET1_Import_Export!$E318)</f>
        <v>2.7983380497051193</v>
      </c>
      <c r="H84" s="1257">
        <v>122.69115221713632</v>
      </c>
      <c r="J84" s="919">
        <f>J$50*(GREET1_Import_Export!$B204* GREET1_Import_Export!$G$179+GREET1_Import_Export!$G204+GREET1_Import_Export!$Q149*J$33)+J$51*(GREET1_Import_Export!$B204* GREET1_Import_Export!$D$179+GREET1_Import_Export!$D204+GREET1_Import_Export!$Q135*J$33)</f>
        <v>1.0159937299064855E-3</v>
      </c>
      <c r="K84" s="817">
        <f>SUM(D$16*'GREET2_Factors_T&amp;D'!$U75*E$16, D$17*'GREET2_Factors_T&amp;D'!$T75*E$17,D$18*'GREET2_Factors_T&amp;D'!$V75*E$18)</f>
        <v>2.3982383991382274E-2</v>
      </c>
      <c r="L84" s="909">
        <f>L$49*(GREET1_Import_Export!$B204* GREET1_Import_Export!$F$179+GREET1_Import_Export!$F204)+L$50*(GREET1_Import_Export!$B204* GREET1_Import_Export!$G$179+GREET1_Import_Export!$G204)+L$51*(GREET1_Import_Export!$B204* GREET1_Import_Export!$C$179+GREET1_Import_Export!$C204)+L$52*(GREET1_Import_Export!$B204* GREET1_Import_Export!$E$179+GREET1_Import_Export!$E204)+L$53*(GREET1_Import_Export!$B204* GREET1_Import_Export!$I$179+GREET1_Import_Export!$I204)+L$54*GREET1_Import_Export!$B240+L$55*GREET1_Import_Export!$C293+L$61*(GREET1_Import_Export!$D318+GREET1_Import_Export!$E318)</f>
        <v>1.3375968914540992</v>
      </c>
      <c r="M84" s="1257">
        <v>152.52264059932253</v>
      </c>
      <c r="N84" s="919">
        <f>N$50*(GREET1_Import_Export!$B204* GREET1_Import_Export!$G$179+GREET1_Import_Export!$G204+GREET1_Import_Export!$Q149*N$33)+N$51*(GREET1_Import_Export!$B204* GREET1_Import_Export!$D$179+GREET1_Import_Export!$D204+GREET1_Import_Export!$Q135*N$33)</f>
        <v>2.3686081361281564E-3</v>
      </c>
      <c r="P84" s="817">
        <f>SUM(F$16*'GREET2_Factors_T&amp;D'!$U75*G$16, F$17*'GREET2_Factors_T&amp;D'!$T75*G$17,F$18*'GREET2_Factors_T&amp;D'!$V75*G$18)</f>
        <v>2.3982383991382274E-2</v>
      </c>
      <c r="Q84" s="909">
        <f>Q$49*(GREET1_Import_Export!$B204* GREET1_Import_Export!$F$179+GREET1_Import_Export!$F204)+Q$50*(GREET1_Import_Export!$B204* GREET1_Import_Export!$G$179+GREET1_Import_Export!$G204)+Q$51*(GREET1_Import_Export!$B204* GREET1_Import_Export!$C$179+GREET1_Import_Export!$C204)+Q$52*(GREET1_Import_Export!$B204* GREET1_Import_Export!$E$179+GREET1_Import_Export!$E204)+Q$53*(GREET1_Import_Export!$B204* GREET1_Import_Export!$I$179+GREET1_Import_Export!$I204)+Q$54*GREET1_Import_Export!$B240+Q$55*GREET1_Import_Export!$C293+Q$61*(GREET1_Import_Export!$D318+GREET1_Import_Export!$E318)</f>
        <v>1.3504977983990005</v>
      </c>
      <c r="R84" s="1257">
        <v>42.725438985460173</v>
      </c>
      <c r="T84" s="919">
        <f>T$50*(GREET1_Import_Export!$B204* GREET1_Import_Export!$G$179+GREET1_Import_Export!$G204+GREET1_Import_Export!$Q149*T$33)+T$51*(GREET1_Import_Export!$B204* GREET1_Import_Export!$D$179+GREET1_Import_Export!$D204+GREET1_Import_Export!$Q135*T$33)</f>
        <v>1.1257711309911431E-3</v>
      </c>
      <c r="U84" s="817">
        <f>SUM(H$16*'GREET2_Factors_T&amp;D'!$U75*I$16, H$17*'GREET2_Factors_T&amp;D'!$T75*I$17,H$18*'GREET2_Factors_T&amp;D'!$V75*I$18)</f>
        <v>2.3982383991382274E-2</v>
      </c>
      <c r="V84" s="909">
        <f>V$49*(GREET1_Import_Export!$B204* GREET1_Import_Export!$F$179+GREET1_Import_Export!$F204)+V$50*(GREET1_Import_Export!$B204* GREET1_Import_Export!$G$179+GREET1_Import_Export!$G204)+V$51*(GREET1_Import_Export!$B204* GREET1_Import_Export!$C$179+GREET1_Import_Export!$C204)+V$52*(GREET1_Import_Export!$B204* GREET1_Import_Export!$E$179+GREET1_Import_Export!$E204)+V$53*(GREET1_Import_Export!$B204* GREET1_Import_Export!$I$179+GREET1_Import_Export!$I204)+V$54*GREET1_Import_Export!$B240+V$55*GREET1_Import_Export!$C293+V$61*(GREET1_Import_Export!$D318+GREET1_Import_Export!$E318)</f>
        <v>1.4321168656295122</v>
      </c>
      <c r="W84" s="980">
        <f t="shared" si="14"/>
        <v>50.628999271316907</v>
      </c>
      <c r="Y84" s="919">
        <f>Y$50*(GREET1_Import_Export!$B204* GREET1_Import_Export!$G$179+GREET1_Import_Export!$G204+GREET1_Import_Export!$Q149*Y$33)+Y$51*(GREET1_Import_Export!$B204* GREET1_Import_Export!$D$179+GREET1_Import_Export!$D204+GREET1_Import_Export!$Q135*Y$33)</f>
        <v>1.2680112778251206E-3</v>
      </c>
      <c r="Z84" s="817">
        <f>SUM(J$16*'GREET2_Factors_T&amp;D'!$U75*K$16, J$17*'GREET2_Factors_T&amp;D'!$T75*K$17,J$18*'GREET2_Factors_T&amp;D'!$V75*K$18)</f>
        <v>2.3982383991382274E-2</v>
      </c>
      <c r="AA84" s="909">
        <f>AA$49*(GREET1_Import_Export!$B204* GREET1_Import_Export!$F$179+GREET1_Import_Export!$F204)+AA$50*(GREET1_Import_Export!$B204* GREET1_Import_Export!$G$179+GREET1_Import_Export!$G204)+AA$51*(GREET1_Import_Export!$B204* GREET1_Import_Export!$C$179+GREET1_Import_Export!$C204)+AA$52*(GREET1_Import_Export!$B204* GREET1_Import_Export!$E$179+GREET1_Import_Export!$E204)+AA$53*(GREET1_Import_Export!$B204* GREET1_Import_Export!$I$179+GREET1_Import_Export!$I204)+AA$54*GREET1_Import_Export!$B240+AA$55*GREET1_Import_Export!$C293+AA$61*(GREET1_Import_Export!$D318+GREET1_Import_Export!$E318)</f>
        <v>1.552310106990424E-2</v>
      </c>
      <c r="AB84" s="1001">
        <f t="shared" si="10"/>
        <v>27.04332396746452</v>
      </c>
      <c r="AC84" s="919">
        <f>AC$50*(GREET1_Import_Export!$B204* GREET1_Import_Export!$G$179+GREET1_Import_Export!$G204+GREET1_Import_Export!$Q149*AC$33)+AC$51*(GREET1_Import_Export!$B204* GREET1_Import_Export!$D$179+GREET1_Import_Export!$D204+GREET1_Import_Export!$Q135*AC$33)</f>
        <v>1.3516625988388197E-2</v>
      </c>
      <c r="AD84" s="817">
        <f>'GREET2_Factors_T&amp;D'!W75</f>
        <v>1.4175002009926972E-3</v>
      </c>
      <c r="AE84" s="909">
        <f>AE$49*(GREET1_Import_Export!$B204* GREET1_Import_Export!$F$179+GREET1_Import_Export!$F204)+AE$50*(GREET1_Import_Export!$B204* GREET1_Import_Export!$G$179+GREET1_Import_Export!$G204)+AE$51*(GREET1_Import_Export!$B204* GREET1_Import_Export!$C$179+GREET1_Import_Export!$C204)+AE$52*(GREET1_Import_Export!$B204* GREET1_Import_Export!$E$179+GREET1_Import_Export!$E204)+AE$53*(GREET1_Import_Export!$B204* GREET1_Import_Export!$I$179+GREET1_Import_Export!$I204)+AE$54*GREET1_Import_Export!$B240+AE$55*GREET1_Import_Export!$C293+AE$61*(GREET1_Import_Export!$D318+GREET1_Import_Export!$E318)</f>
        <v>2.0905220399242488E-2</v>
      </c>
      <c r="AF84" s="1001">
        <f t="shared" si="11"/>
        <v>0</v>
      </c>
      <c r="AG84" s="919">
        <f>AG$49*(GREET1_Import_Export!$B204* GREET1_Import_Export!$F$179+GREET1_Import_Export!$F204+GREET1_Import_Export!$L75*AG$33)+AG$50*(GREET1_Import_Export!$B204* GREET1_Import_Export!$G$179+GREET1_Import_Export!$G204+GREET1_Import_Export!$Q149*AG$33)+AG$51*(GREET1_Import_Export!$B204* GREET1_Import_Export!$C$179+GREET1_Import_Export!$C204+GREET1_Import_Export!$Q135*AG$33)</f>
        <v>5.2602702844756904E-3</v>
      </c>
      <c r="AH84" s="817">
        <f>SUM(N$16*'GREET2_Factors_T&amp;D'!$U75*O$16, N$17*'GREET2_Factors_T&amp;D'!$T75*O$17,N$18*'GREET2_Factors_T&amp;D'!$V75*O$18)</f>
        <v>3.9098724965650851E-3</v>
      </c>
      <c r="AI84" s="909">
        <f>AI$49*(GREET1_Import_Export!$B204* GREET1_Import_Export!$F$179+GREET1_Import_Export!$F204)+AI$50*(GREET1_Import_Export!$B204* GREET1_Import_Export!$G$179+GREET1_Import_Export!$G204)+AI$51*(GREET1_Import_Export!$B204* GREET1_Import_Export!$C$179+GREET1_Import_Export!$C204)+AI$52*(GREET1_Import_Export!$B204* GREET1_Import_Export!$E$179+GREET1_Import_Export!$E204)+AI$53*(GREET1_Import_Export!$B204* GREET1_Import_Export!$I$179+GREET1_Import_Export!$I204)+AI$54*GREET1_Import_Export!$B240+AI$55*GREET1_Import_Export!$C293+AI$61*(GREET1_Import_Export!$D318+GREET1_Import_Export!$E318)</f>
        <v>2.0905220399242495E-2</v>
      </c>
      <c r="AJ84" s="1001">
        <f t="shared" si="12"/>
        <v>0</v>
      </c>
      <c r="AK84" s="919">
        <f>AK$49*(GREET1_Import_Export!$B204* GREET1_Import_Export!$F$179+GREET1_Import_Export!$F204+GREET1_Import_Export!$L75*AK$33)+AK$50*(GREET1_Import_Export!$B204* GREET1_Import_Export!$G$179+GREET1_Import_Export!$G204+GREET1_Import_Export!$Q149*AK$33)+AK$51*(GREET1_Import_Export!$B204* GREET1_Import_Export!$C$179+GREET1_Import_Export!$C204+GREET1_Import_Export!$Q135*AK$33)</f>
        <v>5.2602702844756904E-3</v>
      </c>
      <c r="AL84" s="817">
        <f>SUM(P$16*'GREET2_Factors_T&amp;D'!$U75*Q$16, P$17*'GREET2_Factors_T&amp;D'!$T75*Q$17,P$18*'GREET2_Factors_T&amp;D'!$V75*Q$18)</f>
        <v>3.9098724965650851E-3</v>
      </c>
      <c r="AM84" s="909">
        <f>AM$49*(GREET1_Import_Export!$B204* GREET1_Import_Export!$F$179+GREET1_Import_Export!$F204)+AM$50*(GREET1_Import_Export!$B204* GREET1_Import_Export!$G$179+GREET1_Import_Export!$G204)+AM$51*(GREET1_Import_Export!$B204* GREET1_Import_Export!$C$179+GREET1_Import_Export!$C204)+AM$52*(GREET1_Import_Export!$B204* GREET1_Import_Export!$E$179+GREET1_Import_Export!$E204)+AM$53*(GREET1_Import_Export!$B204* GREET1_Import_Export!$I$179+GREET1_Import_Export!$I204)+AM$54*GREET1_Import_Export!$B240+AM$55*GREET1_Import_Export!$C293+AM$61*(GREET1_Import_Export!$D318+GREET1_Import_Export!$E318)</f>
        <v>2.0905220399242502E-2</v>
      </c>
      <c r="AN84" s="1001">
        <f t="shared" si="13"/>
        <v>0</v>
      </c>
      <c r="AO84" s="919">
        <f>AO$49*(GREET1_Import_Export!$B204* GREET1_Import_Export!$F$179+GREET1_Import_Export!$F204+GREET1_Import_Export!$L75*AO$33)+AO$50*(GREET1_Import_Export!$B204* GREET1_Import_Export!$G$179+GREET1_Import_Export!$G204+GREET1_Import_Export!$Q149*AO$33)+AO$51*(GREET1_Import_Export!$B204* GREET1_Import_Export!$C$179+GREET1_Import_Export!$C204+GREET1_Import_Export!$Q135*AO$33)</f>
        <v>5.2602702844756904E-3</v>
      </c>
      <c r="AP84" s="817">
        <f>SUM(R$16*'GREET2_Factors_T&amp;D'!$U75*S$16, R$17*'GREET2_Factors_T&amp;D'!$T75*S$17,R$18*'GREET2_Factors_T&amp;D'!$V75*S$18)</f>
        <v>1.7700177918083072E-2</v>
      </c>
      <c r="AS84" s="1090"/>
      <c r="AT84" s="1090"/>
      <c r="AX84" s="1090"/>
      <c r="AY84" s="1090"/>
    </row>
    <row r="85" spans="1:51" s="1247" customFormat="1">
      <c r="A85" s="794" t="s">
        <v>825</v>
      </c>
      <c r="B85" s="909">
        <f>B$49*(GREET1_Import_Export!$B205* GREET1_Import_Export!$F$179+GREET1_Import_Export!$F205)+B$50*(GREET1_Import_Export!$B205* GREET1_Import_Export!$G$179+GREET1_Import_Export!$G205)+B$51*(GREET1_Import_Export!$B205* GREET1_Import_Export!$C$179+GREET1_Import_Export!$C205)+B$52*(GREET1_Import_Export!$B205* GREET1_Import_Export!$E$179+GREET1_Import_Export!$E205)+B$53*(GREET1_Import_Export!$B205* GREET1_Import_Export!$I$179+GREET1_Import_Export!$I205)+B$54*GREET1_Import_Export!$B241+B$55*GREET1_Import_Export!$C294+B$61*(GREET1_Import_Export!$D319+GREET1_Import_Export!$E319)</f>
        <v>1.2922675704976048</v>
      </c>
      <c r="C85" s="1257">
        <v>78.585117874282474</v>
      </c>
      <c r="E85" s="919">
        <f>E$50*(GREET1_Import_Export!$B205* GREET1_Import_Export!$G$179+GREET1_Import_Export!$G205+GREET1_Import_Export!$Q150*E$33)+E$51*(GREET1_Import_Export!$B205* GREET1_Import_Export!$D$179+GREET1_Import_Export!$D205+GREET1_Import_Export!$Q136*E$33)</f>
        <v>1.0368357349327018E-3</v>
      </c>
      <c r="F85" s="817">
        <f>SUM(B$16*'GREET2_Factors_T&amp;D'!$U76*C$16, B$17*'GREET2_Factors_T&amp;D'!$T76*C$17,B$18*'GREET2_Factors_T&amp;D'!$V76*C$18)</f>
        <v>2.0698040156513466E-2</v>
      </c>
      <c r="G85" s="909">
        <f>G$49*(GREET1_Import_Export!$B205* GREET1_Import_Export!$F$179+GREET1_Import_Export!$F205)+G$50*(GREET1_Import_Export!$B205* GREET1_Import_Export!$G$179+GREET1_Import_Export!$G205)+G$51*(GREET1_Import_Export!$B205* GREET1_Import_Export!$C$179+GREET1_Import_Export!$C205)+G$52*(GREET1_Import_Export!$B205* GREET1_Import_Export!$E$179+GREET1_Import_Export!$E205)+G$53*(GREET1_Import_Export!$B205* GREET1_Import_Export!$I$179+GREET1_Import_Export!$I205)+G$54*GREET1_Import_Export!$B241+G$55*GREET1_Import_Export!$C294+G$61*(GREET1_Import_Export!$D319+GREET1_Import_Export!$E319)</f>
        <v>2.3856380100688384</v>
      </c>
      <c r="H85" s="1257">
        <v>81.675564919308371</v>
      </c>
      <c r="J85" s="919">
        <f>J$50*(GREET1_Import_Export!$B205* GREET1_Import_Export!$G$179+GREET1_Import_Export!$G205+GREET1_Import_Export!$Q150*J$33)+J$51*(GREET1_Import_Export!$B205* GREET1_Import_Export!$D$179+GREET1_Import_Export!$D205+GREET1_Import_Export!$Q136*J$33)</f>
        <v>9.6076868657640551E-4</v>
      </c>
      <c r="K85" s="817">
        <f>SUM(D$16*'GREET2_Factors_T&amp;D'!$U76*E$16, D$17*'GREET2_Factors_T&amp;D'!$T76*E$17,D$18*'GREET2_Factors_T&amp;D'!$V76*E$18)</f>
        <v>2.0698040156513466E-2</v>
      </c>
      <c r="L85" s="909">
        <f>L$49*(GREET1_Import_Export!$B205* GREET1_Import_Export!$F$179+GREET1_Import_Export!$F205)+L$50*(GREET1_Import_Export!$B205* GREET1_Import_Export!$G$179+GREET1_Import_Export!$G205)+L$51*(GREET1_Import_Export!$B205* GREET1_Import_Export!$C$179+GREET1_Import_Export!$C205)+L$52*(GREET1_Import_Export!$B205* GREET1_Import_Export!$E$179+GREET1_Import_Export!$E205)+L$53*(GREET1_Import_Export!$B205* GREET1_Import_Export!$I$179+GREET1_Import_Export!$I205)+L$54*GREET1_Import_Export!$B241+L$55*GREET1_Import_Export!$C294+L$61*(GREET1_Import_Export!$D319+GREET1_Import_Export!$E319)</f>
        <v>1.1695577667178816</v>
      </c>
      <c r="M85" s="1257">
        <v>128.63583169992086</v>
      </c>
      <c r="N85" s="919">
        <f>N$50*(GREET1_Import_Export!$B205* GREET1_Import_Export!$G$179+GREET1_Import_Export!$G205+GREET1_Import_Export!$Q150*N$33)+N$51*(GREET1_Import_Export!$B205* GREET1_Import_Export!$D$179+GREET1_Import_Export!$D205+GREET1_Import_Export!$Q136*N$33)</f>
        <v>2.2729252707225193E-3</v>
      </c>
      <c r="P85" s="817">
        <f>SUM(F$16*'GREET2_Factors_T&amp;D'!$U76*G$16, F$17*'GREET2_Factors_T&amp;D'!$T76*G$17,F$18*'GREET2_Factors_T&amp;D'!$V76*G$18)</f>
        <v>2.0698040156513466E-2</v>
      </c>
      <c r="Q85" s="909">
        <f>Q$49*(GREET1_Import_Export!$B205* GREET1_Import_Export!$F$179+GREET1_Import_Export!$F205)+Q$50*(GREET1_Import_Export!$B205* GREET1_Import_Export!$G$179+GREET1_Import_Export!$G205)+Q$51*(GREET1_Import_Export!$B205* GREET1_Import_Export!$C$179+GREET1_Import_Export!$C205)+Q$52*(GREET1_Import_Export!$B205* GREET1_Import_Export!$E$179+GREET1_Import_Export!$E205)+Q$53*(GREET1_Import_Export!$B205* GREET1_Import_Export!$I$179+GREET1_Import_Export!$I205)+Q$54*GREET1_Import_Export!$B241+Q$55*GREET1_Import_Export!$C294+Q$61*(GREET1_Import_Export!$D319+GREET1_Import_Export!$E319)</f>
        <v>1.1740766276404149</v>
      </c>
      <c r="R85" s="1257">
        <v>23.706762645419094</v>
      </c>
      <c r="T85" s="919">
        <f>T$50*(GREET1_Import_Export!$B205* GREET1_Import_Export!$G$179+GREET1_Import_Export!$G205+GREET1_Import_Export!$Q150*T$33)+T$51*(GREET1_Import_Export!$B205* GREET1_Import_Export!$D$179+GREET1_Import_Export!$D205+GREET1_Import_Export!$Q136*T$33)</f>
        <v>1.0672625542752206E-3</v>
      </c>
      <c r="U85" s="817">
        <f>SUM(H$16*'GREET2_Factors_T&amp;D'!$U76*I$16, H$17*'GREET2_Factors_T&amp;D'!$T76*I$17,H$18*'GREET2_Factors_T&amp;D'!$V76*I$18)</f>
        <v>2.0698040156513466E-2</v>
      </c>
      <c r="V85" s="909">
        <f>V$49*(GREET1_Import_Export!$B205* GREET1_Import_Export!$F$179+GREET1_Import_Export!$F205)+V$50*(GREET1_Import_Export!$B205* GREET1_Import_Export!$G$179+GREET1_Import_Export!$G205)+V$51*(GREET1_Import_Export!$B205* GREET1_Import_Export!$C$179+GREET1_Import_Export!$C205)+V$52*(GREET1_Import_Export!$B205* GREET1_Import_Export!$E$179+GREET1_Import_Export!$E205)+V$53*(GREET1_Import_Export!$B205* GREET1_Import_Export!$I$179+GREET1_Import_Export!$I205)+V$54*GREET1_Import_Export!$B241+V$55*GREET1_Import_Export!$C294+V$61*(GREET1_Import_Export!$D319+GREET1_Import_Export!$E319)</f>
        <v>1.2437610849852818</v>
      </c>
      <c r="W85" s="980">
        <f t="shared" si="14"/>
        <v>28.956841482241824</v>
      </c>
      <c r="Y85" s="919">
        <f>Y$50*(GREET1_Import_Export!$B205* GREET1_Import_Export!$G$179+GREET1_Import_Export!$G205+GREET1_Import_Export!$Q150*Y$33)+Y$51*(GREET1_Import_Export!$B205* GREET1_Import_Export!$D$179+GREET1_Import_Export!$D205+GREET1_Import_Export!$Q136*Y$33)</f>
        <v>1.2052481799935423E-3</v>
      </c>
      <c r="Z85" s="817">
        <f>SUM(J$16*'GREET2_Factors_T&amp;D'!$U76*K$16, J$17*'GREET2_Factors_T&amp;D'!$T76*K$17,J$18*'GREET2_Factors_T&amp;D'!$V76*K$18)</f>
        <v>2.0698040156513466E-2</v>
      </c>
      <c r="AA85" s="909">
        <f>AA$49*(GREET1_Import_Export!$B205* GREET1_Import_Export!$F$179+GREET1_Import_Export!$F205)+AA$50*(GREET1_Import_Export!$B205* GREET1_Import_Export!$G$179+GREET1_Import_Export!$G205)+AA$51*(GREET1_Import_Export!$B205* GREET1_Import_Export!$C$179+GREET1_Import_Export!$C205)+AA$52*(GREET1_Import_Export!$B205* GREET1_Import_Export!$E$179+GREET1_Import_Export!$E205)+AA$53*(GREET1_Import_Export!$B205* GREET1_Import_Export!$I$179+GREET1_Import_Export!$I205)+AA$54*GREET1_Import_Export!$B241+AA$55*GREET1_Import_Export!$C294+AA$61*(GREET1_Import_Export!$D319+GREET1_Import_Export!$E319)</f>
        <v>1.3622826952170122E-2</v>
      </c>
      <c r="AB85" s="1001">
        <f t="shared" si="10"/>
        <v>7.0249668030197689</v>
      </c>
      <c r="AC85" s="919">
        <f>AC$50*(GREET1_Import_Export!$B205* GREET1_Import_Export!$G$179+GREET1_Import_Export!$G205+GREET1_Import_Export!$Q150*AC$33)+AC$51*(GREET1_Import_Export!$B205* GREET1_Import_Export!$D$179+GREET1_Import_Export!$D205+GREET1_Import_Export!$Q136*AC$33)</f>
        <v>1.2982431110567993E-2</v>
      </c>
      <c r="AD85" s="817">
        <f>'GREET2_Factors_T&amp;D'!W76</f>
        <v>1.223271369176512E-3</v>
      </c>
      <c r="AE85" s="909">
        <f>AE$49*(GREET1_Import_Export!$B205* GREET1_Import_Export!$F$179+GREET1_Import_Export!$F205)+AE$50*(GREET1_Import_Export!$B205* GREET1_Import_Export!$G$179+GREET1_Import_Export!$G205)+AE$51*(GREET1_Import_Export!$B205* GREET1_Import_Export!$C$179+GREET1_Import_Export!$C205)+AE$52*(GREET1_Import_Export!$B205* GREET1_Import_Export!$E$179+GREET1_Import_Export!$E205)+AE$53*(GREET1_Import_Export!$B205* GREET1_Import_Export!$I$179+GREET1_Import_Export!$I205)+AE$54*GREET1_Import_Export!$B241+AE$55*GREET1_Import_Export!$C294+AE$61*(GREET1_Import_Export!$D319+GREET1_Import_Export!$E319)</f>
        <v>1.8383475848842708E-2</v>
      </c>
      <c r="AF85" s="1001">
        <f t="shared" si="11"/>
        <v>0</v>
      </c>
      <c r="AG85" s="919">
        <f>AG$49*(GREET1_Import_Export!$B205* GREET1_Import_Export!$F$179+GREET1_Import_Export!$F205+GREET1_Import_Export!$L76*AG$33)+AG$50*(GREET1_Import_Export!$B205* GREET1_Import_Export!$G$179+GREET1_Import_Export!$G205+GREET1_Import_Export!$Q150*AG$33)+AG$51*(GREET1_Import_Export!$B205* GREET1_Import_Export!$C$179+GREET1_Import_Export!$C205+GREET1_Import_Export!$Q136*AG$33)</f>
        <v>4.559689644830024E-3</v>
      </c>
      <c r="AH85" s="817">
        <f>SUM(N$16*'GREET2_Factors_T&amp;D'!$U76*O$16, N$17*'GREET2_Factors_T&amp;D'!$T76*O$17,N$18*'GREET2_Factors_T&amp;D'!$V76*O$18)</f>
        <v>3.3771891862725617E-3</v>
      </c>
      <c r="AI85" s="909">
        <f>AI$49*(GREET1_Import_Export!$B205* GREET1_Import_Export!$F$179+GREET1_Import_Export!$F205)+AI$50*(GREET1_Import_Export!$B205* GREET1_Import_Export!$G$179+GREET1_Import_Export!$G205)+AI$51*(GREET1_Import_Export!$B205* GREET1_Import_Export!$C$179+GREET1_Import_Export!$C205)+AI$52*(GREET1_Import_Export!$B205* GREET1_Import_Export!$E$179+GREET1_Import_Export!$E205)+AI$53*(GREET1_Import_Export!$B205* GREET1_Import_Export!$I$179+GREET1_Import_Export!$I205)+AI$54*GREET1_Import_Export!$B241+AI$55*GREET1_Import_Export!$C294+AI$61*(GREET1_Import_Export!$D319+GREET1_Import_Export!$E319)</f>
        <v>1.8383475848842718E-2</v>
      </c>
      <c r="AJ85" s="1001">
        <f t="shared" si="12"/>
        <v>0</v>
      </c>
      <c r="AK85" s="919">
        <f>AK$49*(GREET1_Import_Export!$B205* GREET1_Import_Export!$F$179+GREET1_Import_Export!$F205+GREET1_Import_Export!$L76*AK$33)+AK$50*(GREET1_Import_Export!$B205* GREET1_Import_Export!$G$179+GREET1_Import_Export!$G205+GREET1_Import_Export!$Q150*AK$33)+AK$51*(GREET1_Import_Export!$B205* GREET1_Import_Export!$C$179+GREET1_Import_Export!$C205+GREET1_Import_Export!$Q136*AK$33)</f>
        <v>4.559689644830024E-3</v>
      </c>
      <c r="AL85" s="817">
        <f>SUM(P$16*'GREET2_Factors_T&amp;D'!$U76*Q$16, P$17*'GREET2_Factors_T&amp;D'!$T76*Q$17,P$18*'GREET2_Factors_T&amp;D'!$V76*Q$18)</f>
        <v>3.3771891862725617E-3</v>
      </c>
      <c r="AM85" s="909">
        <f>AM$49*(GREET1_Import_Export!$B205* GREET1_Import_Export!$F$179+GREET1_Import_Export!$F205)+AM$50*(GREET1_Import_Export!$B205* GREET1_Import_Export!$G$179+GREET1_Import_Export!$G205)+AM$51*(GREET1_Import_Export!$B205* GREET1_Import_Export!$C$179+GREET1_Import_Export!$C205)+AM$52*(GREET1_Import_Export!$B205* GREET1_Import_Export!$E$179+GREET1_Import_Export!$E205)+AM$53*(GREET1_Import_Export!$B205* GREET1_Import_Export!$I$179+GREET1_Import_Export!$I205)+AM$54*GREET1_Import_Export!$B241+AM$55*GREET1_Import_Export!$C294+AM$61*(GREET1_Import_Export!$D319+GREET1_Import_Export!$E319)</f>
        <v>1.8383475848842722E-2</v>
      </c>
      <c r="AN85" s="1001">
        <f t="shared" si="13"/>
        <v>0</v>
      </c>
      <c r="AO85" s="919">
        <f>AO$49*(GREET1_Import_Export!$B205* GREET1_Import_Export!$F$179+GREET1_Import_Export!$F205+GREET1_Import_Export!$L76*AO$33)+AO$50*(GREET1_Import_Export!$B205* GREET1_Import_Export!$G$179+GREET1_Import_Export!$G205+GREET1_Import_Export!$Q150*AO$33)+AO$51*(GREET1_Import_Export!$B205* GREET1_Import_Export!$C$179+GREET1_Import_Export!$C205+GREET1_Import_Export!$Q136*AO$33)</f>
        <v>4.559689644830024E-3</v>
      </c>
      <c r="AP85" s="817">
        <f>SUM(R$16*'GREET2_Factors_T&amp;D'!$U76*S$16, R$17*'GREET2_Factors_T&amp;D'!$T76*S$17,R$18*'GREET2_Factors_T&amp;D'!$V76*S$18)</f>
        <v>1.527919245477434E-2</v>
      </c>
      <c r="AS85" s="1090"/>
      <c r="AT85" s="1090"/>
      <c r="AX85" s="1090"/>
      <c r="AY85" s="1090"/>
    </row>
    <row r="86" spans="1:51" s="1247" customFormat="1">
      <c r="A86" s="1237" t="s">
        <v>826</v>
      </c>
      <c r="B86" s="909">
        <f>B$49*(GREET1_Import_Export!$B206* GREET1_Import_Export!$F$179+GREET1_Import_Export!$F206)+B$50*(GREET1_Import_Export!$B206* GREET1_Import_Export!$G$179+GREET1_Import_Export!$G206)+B$51*(GREET1_Import_Export!$B206* GREET1_Import_Export!$C$179+GREET1_Import_Export!$C206)+B$52*(GREET1_Import_Export!$B206* GREET1_Import_Export!$E$179+GREET1_Import_Export!$E206)+B$53*(GREET1_Import_Export!$B206* GREET1_Import_Export!$I$179+GREET1_Import_Export!$I206)+B$54*GREET1_Import_Export!$B242+B$55*GREET1_Import_Export!$C295+B$61*(GREET1_Import_Export!$D320+GREET1_Import_Export!$E320)</f>
        <v>8.5915350838071483</v>
      </c>
      <c r="C86" s="1257">
        <v>697.90514887421739</v>
      </c>
      <c r="E86" s="919">
        <f>E$50*(GREET1_Import_Export!$B206* GREET1_Import_Export!$G$179+GREET1_Import_Export!$G206+GREET1_Import_Export!$Q151*E$33)+E$51*(GREET1_Import_Export!$B206* GREET1_Import_Export!$D$179+GREET1_Import_Export!$D206+GREET1_Import_Export!$Q137*E$33)</f>
        <v>4.9237184205026005E-4</v>
      </c>
      <c r="F86" s="817">
        <f>SUM(B$16*'GREET2_Factors_T&amp;D'!$U77*C$16, B$17*'GREET2_Factors_T&amp;D'!$T77*C$17,B$18*'GREET2_Factors_T&amp;D'!$V77*C$18)</f>
        <v>4.688588970730883E-2</v>
      </c>
      <c r="G86" s="909">
        <f>G$49*(GREET1_Import_Export!$B206* GREET1_Import_Export!$F$179+GREET1_Import_Export!$F206)+G$50*(GREET1_Import_Export!$B206* GREET1_Import_Export!$G$179+GREET1_Import_Export!$G206)+G$51*(GREET1_Import_Export!$B206* GREET1_Import_Export!$C$179+GREET1_Import_Export!$C206)+G$52*(GREET1_Import_Export!$B206* GREET1_Import_Export!$E$179+GREET1_Import_Export!$E206)+G$53*(GREET1_Import_Export!$B206* GREET1_Import_Export!$I$179+GREET1_Import_Export!$I206)+G$54*GREET1_Import_Export!$B242+G$55*GREET1_Import_Export!$C295+G$61*(GREET1_Import_Export!$D320+GREET1_Import_Export!$E320)</f>
        <v>12.12827845141592</v>
      </c>
      <c r="H86" s="1257">
        <v>471.70109591077426</v>
      </c>
      <c r="J86" s="919">
        <f>J$50*(GREET1_Import_Export!$B206* GREET1_Import_Export!$G$179+GREET1_Import_Export!$G206+GREET1_Import_Export!$Q151*J$33)+J$51*(GREET1_Import_Export!$B206* GREET1_Import_Export!$D$179+GREET1_Import_Export!$D206+GREET1_Import_Export!$Q137*J$33)</f>
        <v>4.8879525896421377E-4</v>
      </c>
      <c r="K86" s="817">
        <f>SUM(D$16*'GREET2_Factors_T&amp;D'!$U77*E$16, D$17*'GREET2_Factors_T&amp;D'!$T77*E$17,D$18*'GREET2_Factors_T&amp;D'!$V77*E$18)</f>
        <v>4.688588970730883E-2</v>
      </c>
      <c r="L86" s="909">
        <f>L$49*(GREET1_Import_Export!$B206* GREET1_Import_Export!$F$179+GREET1_Import_Export!$F206)+L$50*(GREET1_Import_Export!$B206* GREET1_Import_Export!$G$179+GREET1_Import_Export!$G206)+L$51*(GREET1_Import_Export!$B206* GREET1_Import_Export!$C$179+GREET1_Import_Export!$C206)+L$52*(GREET1_Import_Export!$B206* GREET1_Import_Export!$E$179+GREET1_Import_Export!$E206)+L$53*(GREET1_Import_Export!$B206* GREET1_Import_Export!$I$179+GREET1_Import_Export!$I206)+L$54*GREET1_Import_Export!$B242+L$55*GREET1_Import_Export!$C295+L$61*(GREET1_Import_Export!$D320+GREET1_Import_Export!$E320)</f>
        <v>8.922388870169037</v>
      </c>
      <c r="M86" s="1257">
        <v>113.9704734708976</v>
      </c>
      <c r="N86" s="919">
        <f>N$50*(GREET1_Import_Export!$B206* GREET1_Import_Export!$G$179+GREET1_Import_Export!$G206+GREET1_Import_Export!$Q151*N$33)+N$51*(GREET1_Import_Export!$B206* GREET1_Import_Export!$D$179+GREET1_Import_Export!$D206+GREET1_Import_Export!$Q137*N$33)</f>
        <v>5.5049131719851166E-4</v>
      </c>
      <c r="P86" s="817">
        <f>SUM(F$16*'GREET2_Factors_T&amp;D'!$U77*G$16, F$17*'GREET2_Factors_T&amp;D'!$T77*G$17,F$18*'GREET2_Factors_T&amp;D'!$V77*G$18)</f>
        <v>4.688588970730883E-2</v>
      </c>
      <c r="Q86" s="909">
        <f>Q$49*(GREET1_Import_Export!$B206* GREET1_Import_Export!$F$179+GREET1_Import_Export!$F206)+Q$50*(GREET1_Import_Export!$B206* GREET1_Import_Export!$G$179+GREET1_Import_Export!$G206)+Q$51*(GREET1_Import_Export!$B206* GREET1_Import_Export!$C$179+GREET1_Import_Export!$C206)+Q$52*(GREET1_Import_Export!$B206* GREET1_Import_Export!$E$179+GREET1_Import_Export!$E206)+Q$53*(GREET1_Import_Export!$B206* GREET1_Import_Export!$I$179+GREET1_Import_Export!$I206)+Q$54*GREET1_Import_Export!$B242+Q$55*GREET1_Import_Export!$C295+Q$61*(GREET1_Import_Export!$D320+GREET1_Import_Export!$E320)</f>
        <v>8.296782084649859</v>
      </c>
      <c r="R86" s="1257">
        <v>45.346559165960322</v>
      </c>
      <c r="T86" s="919">
        <f>T$50*(GREET1_Import_Export!$B206* GREET1_Import_Export!$G$179+GREET1_Import_Export!$G206+GREET1_Import_Export!$Q151*T$33)+T$51*(GREET1_Import_Export!$B206* GREET1_Import_Export!$D$179+GREET1_Import_Export!$D206+GREET1_Import_Export!$Q137*T$33)</f>
        <v>4.9380247528467848E-4</v>
      </c>
      <c r="U86" s="817">
        <f>SUM(H$16*'GREET2_Factors_T&amp;D'!$U77*I$16, H$17*'GREET2_Factors_T&amp;D'!$T77*I$17,H$18*'GREET2_Factors_T&amp;D'!$V77*I$18)</f>
        <v>4.688588970730883E-2</v>
      </c>
      <c r="V86" s="909">
        <f>V$49*(GREET1_Import_Export!$B206* GREET1_Import_Export!$F$179+GREET1_Import_Export!$F206)+V$50*(GREET1_Import_Export!$B206* GREET1_Import_Export!$G$179+GREET1_Import_Export!$G206)+V$51*(GREET1_Import_Export!$B206* GREET1_Import_Export!$C$179+GREET1_Import_Export!$C206)+V$52*(GREET1_Import_Export!$B206* GREET1_Import_Export!$E$179+GREET1_Import_Export!$E206)+V$53*(GREET1_Import_Export!$B206* GREET1_Import_Export!$I$179+GREET1_Import_Export!$I206)+V$54*GREET1_Import_Export!$B242+V$55*GREET1_Import_Export!$C295+V$61*(GREET1_Import_Export!$D320+GREET1_Import_Export!$E320)</f>
        <v>8.6607198883290977</v>
      </c>
      <c r="W86" s="980">
        <f t="shared" si="14"/>
        <v>68.609797482278694</v>
      </c>
      <c r="Y86" s="919">
        <f>Y$50*(GREET1_Import_Export!$B206* GREET1_Import_Export!$G$179+GREET1_Import_Export!$G206+GREET1_Import_Export!$Q151*Y$33)+Y$51*(GREET1_Import_Export!$B206* GREET1_Import_Export!$D$179+GREET1_Import_Export!$D206+GREET1_Import_Export!$Q137*Y$33)</f>
        <v>5.002903970027664E-4</v>
      </c>
      <c r="Z86" s="817">
        <f>SUM(J$16*'GREET2_Factors_T&amp;D'!$U77*K$16, J$17*'GREET2_Factors_T&amp;D'!$T77*K$17,J$18*'GREET2_Factors_T&amp;D'!$V77*K$18)</f>
        <v>4.688588970730883E-2</v>
      </c>
      <c r="AA86" s="909">
        <f>AA$49*(GREET1_Import_Export!$B206* GREET1_Import_Export!$F$179+GREET1_Import_Export!$F206)+AA$50*(GREET1_Import_Export!$B206* GREET1_Import_Export!$G$179+GREET1_Import_Export!$G206)+AA$51*(GREET1_Import_Export!$B206* GREET1_Import_Export!$C$179+GREET1_Import_Export!$C206)+AA$52*(GREET1_Import_Export!$B206* GREET1_Import_Export!$E$179+GREET1_Import_Export!$E206)+AA$53*(GREET1_Import_Export!$B206* GREET1_Import_Export!$I$179+GREET1_Import_Export!$I206)+AA$54*GREET1_Import_Export!$B242+AA$55*GREET1_Import_Export!$C295+AA$61*(GREET1_Import_Export!$D320+GREET1_Import_Export!$E320)</f>
        <v>0.10569942547051187</v>
      </c>
      <c r="AB86" s="1001">
        <f t="shared" si="10"/>
        <v>2.041026401171472</v>
      </c>
      <c r="AC86" s="919">
        <f>AC$50*(GREET1_Import_Export!$B206* GREET1_Import_Export!$G$179+GREET1_Import_Export!$G206+GREET1_Import_Export!$Q151*AC$33)+AC$51*(GREET1_Import_Export!$B206* GREET1_Import_Export!$D$179+GREET1_Import_Export!$D206+GREET1_Import_Export!$Q137*AC$33)</f>
        <v>2.9307350045317104E-3</v>
      </c>
      <c r="AD86" s="817">
        <f>'GREET2_Factors_T&amp;D'!W77</f>
        <v>2.7695297631258721E-3</v>
      </c>
      <c r="AE86" s="909">
        <f>AE$49*(GREET1_Import_Export!$B206* GREET1_Import_Export!$F$179+GREET1_Import_Export!$F206)+AE$50*(GREET1_Import_Export!$B206* GREET1_Import_Export!$G$179+GREET1_Import_Export!$G206)+AE$51*(GREET1_Import_Export!$B206* GREET1_Import_Export!$C$179+GREET1_Import_Export!$C206)+AE$52*(GREET1_Import_Export!$B206* GREET1_Import_Export!$E$179+GREET1_Import_Export!$E206)+AE$53*(GREET1_Import_Export!$B206* GREET1_Import_Export!$I$179+GREET1_Import_Export!$I206)+AE$54*GREET1_Import_Export!$B242+AE$55*GREET1_Import_Export!$C295+AE$61*(GREET1_Import_Export!$D320+GREET1_Import_Export!$E320)</f>
        <v>0.15562897750577309</v>
      </c>
      <c r="AF86" s="1001">
        <f t="shared" si="11"/>
        <v>0</v>
      </c>
      <c r="AG86" s="919">
        <f>AG$49*(GREET1_Import_Export!$B206* GREET1_Import_Export!$F$179+GREET1_Import_Export!$F206+GREET1_Import_Export!$L77*AG$33)+AG$50*(GREET1_Import_Export!$B206* GREET1_Import_Export!$G$179+GREET1_Import_Export!$G206+GREET1_Import_Export!$Q151*AG$33)+AG$51*(GREET1_Import_Export!$B206* GREET1_Import_Export!$C$179+GREET1_Import_Export!$C206+GREET1_Import_Export!$Q137*AG$33)</f>
        <v>1.0354264018267655E-2</v>
      </c>
      <c r="AH86" s="817">
        <f>SUM(N$16*'GREET2_Factors_T&amp;D'!$U77*O$16, N$17*'GREET2_Factors_T&amp;D'!$T77*O$17,N$18*'GREET2_Factors_T&amp;D'!$V77*O$18)</f>
        <v>7.6888180158206382E-3</v>
      </c>
      <c r="AI86" s="909">
        <f>AI$49*(GREET1_Import_Export!$B206* GREET1_Import_Export!$F$179+GREET1_Import_Export!$F206)+AI$50*(GREET1_Import_Export!$B206* GREET1_Import_Export!$G$179+GREET1_Import_Export!$G206)+AI$51*(GREET1_Import_Export!$B206* GREET1_Import_Export!$C$179+GREET1_Import_Export!$C206)+AI$52*(GREET1_Import_Export!$B206* GREET1_Import_Export!$E$179+GREET1_Import_Export!$E206)+AI$53*(GREET1_Import_Export!$B206* GREET1_Import_Export!$I$179+GREET1_Import_Export!$I206)+AI$54*GREET1_Import_Export!$B242+AI$55*GREET1_Import_Export!$C295+AI$61*(GREET1_Import_Export!$D320+GREET1_Import_Export!$E320)</f>
        <v>0.15562897750577315</v>
      </c>
      <c r="AJ86" s="1001">
        <f t="shared" si="12"/>
        <v>0</v>
      </c>
      <c r="AK86" s="919">
        <f>AK$49*(GREET1_Import_Export!$B206* GREET1_Import_Export!$F$179+GREET1_Import_Export!$F206+GREET1_Import_Export!$L77*AK$33)+AK$50*(GREET1_Import_Export!$B206* GREET1_Import_Export!$G$179+GREET1_Import_Export!$G206+GREET1_Import_Export!$Q151*AK$33)+AK$51*(GREET1_Import_Export!$B206* GREET1_Import_Export!$C$179+GREET1_Import_Export!$C206+GREET1_Import_Export!$Q137*AK$33)</f>
        <v>1.0354264018267655E-2</v>
      </c>
      <c r="AL86" s="817">
        <f>SUM(P$16*'GREET2_Factors_T&amp;D'!$U77*Q$16, P$17*'GREET2_Factors_T&amp;D'!$T77*Q$17,P$18*'GREET2_Factors_T&amp;D'!$V77*Q$18)</f>
        <v>7.6888180158206382E-3</v>
      </c>
      <c r="AM86" s="909">
        <f>AM$49*(GREET1_Import_Export!$B206* GREET1_Import_Export!$F$179+GREET1_Import_Export!$F206)+AM$50*(GREET1_Import_Export!$B206* GREET1_Import_Export!$G$179+GREET1_Import_Export!$G206)+AM$51*(GREET1_Import_Export!$B206* GREET1_Import_Export!$C$179+GREET1_Import_Export!$C206)+AM$52*(GREET1_Import_Export!$B206* GREET1_Import_Export!$E$179+GREET1_Import_Export!$E206)+AM$53*(GREET1_Import_Export!$B206* GREET1_Import_Export!$I$179+GREET1_Import_Export!$I206)+AM$54*GREET1_Import_Export!$B242+AM$55*GREET1_Import_Export!$C295+AM$61*(GREET1_Import_Export!$D320+GREET1_Import_Export!$E320)</f>
        <v>0.15562897750577318</v>
      </c>
      <c r="AN86" s="1001">
        <f t="shared" si="13"/>
        <v>0</v>
      </c>
      <c r="AO86" s="919">
        <f>AO$49*(GREET1_Import_Export!$B206* GREET1_Import_Export!$F$179+GREET1_Import_Export!$F206+GREET1_Import_Export!$L77*AO$33)+AO$50*(GREET1_Import_Export!$B206* GREET1_Import_Export!$G$179+GREET1_Import_Export!$G206+GREET1_Import_Export!$Q151*AO$33)+AO$51*(GREET1_Import_Export!$B206* GREET1_Import_Export!$C$179+GREET1_Import_Export!$C206+GREET1_Import_Export!$Q137*AO$33)</f>
        <v>1.0354264018267655E-2</v>
      </c>
      <c r="AP86" s="817">
        <f>SUM(R$16*'GREET2_Factors_T&amp;D'!$U77*S$16, R$17*'GREET2_Factors_T&amp;D'!$T77*S$17,R$18*'GREET2_Factors_T&amp;D'!$V77*S$18)</f>
        <v>3.4653199812758738E-2</v>
      </c>
      <c r="AS86" s="1090"/>
      <c r="AT86" s="1090"/>
      <c r="AX86" s="1090"/>
      <c r="AY86" s="1090"/>
    </row>
    <row r="87" spans="1:51" s="1247" customFormat="1">
      <c r="A87" s="794" t="s">
        <v>827</v>
      </c>
      <c r="B87" s="909">
        <f>B$49*(GREET1_Import_Export!$B207* GREET1_Import_Export!$F$179+GREET1_Import_Export!$F207)+B$50*(GREET1_Import_Export!$B207* GREET1_Import_Export!$G$179+GREET1_Import_Export!$G207)+B$51*(GREET1_Import_Export!$B207* GREET1_Import_Export!$C$179+GREET1_Import_Export!$C207)+B$52*(GREET1_Import_Export!$B207* GREET1_Import_Export!$E$179+GREET1_Import_Export!$E207)+B$53*(GREET1_Import_Export!$B207* GREET1_Import_Export!$I$179+GREET1_Import_Export!$I207)+B$54*GREET1_Import_Export!$B243+B$55*GREET1_Import_Export!$C296+B$61*(GREET1_Import_Export!$D321+GREET1_Import_Export!$E321)</f>
        <v>9.6103209365594466E-2</v>
      </c>
      <c r="C87" s="1258">
        <v>2.1205900751479527</v>
      </c>
      <c r="E87" s="919">
        <f>E$50*(GREET1_Import_Export!$B207* GREET1_Import_Export!$G$179+GREET1_Import_Export!$G207+GREET1_Import_Export!$Q152*E$33)+E$51*(GREET1_Import_Export!$B207* GREET1_Import_Export!$D$179+GREET1_Import_Export!$D207+GREET1_Import_Export!$Q138*E$33)</f>
        <v>6.7081658845315217E-4</v>
      </c>
      <c r="F87" s="817">
        <f>SUM(B$16*'GREET2_Factors_T&amp;D'!$U78*C$16, B$17*'GREET2_Factors_T&amp;D'!$T78*C$17,B$18*'GREET2_Factors_T&amp;D'!$V78*C$18)</f>
        <v>2.6319406881372552E-3</v>
      </c>
      <c r="G87" s="909">
        <f>G$49*(GREET1_Import_Export!$B207* GREET1_Import_Export!$F$179+GREET1_Import_Export!$F207)+G$50*(GREET1_Import_Export!$B207* GREET1_Import_Export!$G$179+GREET1_Import_Export!$G207)+G$51*(GREET1_Import_Export!$B207* GREET1_Import_Export!$C$179+GREET1_Import_Export!$C207)+G$52*(GREET1_Import_Export!$B207* GREET1_Import_Export!$E$179+GREET1_Import_Export!$E207)+G$53*(GREET1_Import_Export!$B207* GREET1_Import_Export!$I$179+GREET1_Import_Export!$I207)+G$54*GREET1_Import_Export!$B243+G$55*GREET1_Import_Export!$C296+G$61*(GREET1_Import_Export!$D321+GREET1_Import_Export!$E321)</f>
        <v>0.22144782941236352</v>
      </c>
      <c r="H87" s="1258">
        <v>2.1393114242047973</v>
      </c>
      <c r="J87" s="919">
        <f>J$50*(GREET1_Import_Export!$B207* GREET1_Import_Export!$G$179+GREET1_Import_Export!$G207+GREET1_Import_Export!$Q152*J$33)+J$51*(GREET1_Import_Export!$B207* GREET1_Import_Export!$D$179+GREET1_Import_Export!$D207+GREET1_Import_Export!$Q138*J$33)</f>
        <v>6.1214785713343861E-4</v>
      </c>
      <c r="K87" s="817">
        <f>SUM(D$16*'GREET2_Factors_T&amp;D'!$U78*E$16, D$17*'GREET2_Factors_T&amp;D'!$T78*E$17,D$18*'GREET2_Factors_T&amp;D'!$V78*E$18)</f>
        <v>2.6319406881372552E-3</v>
      </c>
      <c r="L87" s="909">
        <f>L$49*(GREET1_Import_Export!$B207* GREET1_Import_Export!$F$179+GREET1_Import_Export!$F207)+L$50*(GREET1_Import_Export!$B207* GREET1_Import_Export!$G$179+GREET1_Import_Export!$G207)+L$51*(GREET1_Import_Export!$B207* GREET1_Import_Export!$C$179+GREET1_Import_Export!$C207)+L$52*(GREET1_Import_Export!$B207* GREET1_Import_Export!$E$179+GREET1_Import_Export!$E207)+L$53*(GREET1_Import_Export!$B207* GREET1_Import_Export!$I$179+GREET1_Import_Export!$I207)+L$54*GREET1_Import_Export!$B243+L$55*GREET1_Import_Export!$C296+L$61*(GREET1_Import_Export!$D321+GREET1_Import_Export!$E321)</f>
        <v>7.3202433838186948E-2</v>
      </c>
      <c r="M87" s="1258">
        <v>3.1382690489108933</v>
      </c>
      <c r="N87" s="919">
        <f>N$50*(GREET1_Import_Export!$B207* GREET1_Import_Export!$G$179+GREET1_Import_Export!$G207+GREET1_Import_Export!$Q152*N$33)+N$51*(GREET1_Import_Export!$B207* GREET1_Import_Export!$D$179+GREET1_Import_Export!$D207+GREET1_Import_Export!$Q138*N$33)</f>
        <v>1.6241834723984983E-3</v>
      </c>
      <c r="P87" s="817">
        <f>SUM(F$16*'GREET2_Factors_T&amp;D'!$U78*G$16, F$17*'GREET2_Factors_T&amp;D'!$T78*G$17,F$18*'GREET2_Factors_T&amp;D'!$V78*G$18)</f>
        <v>2.6319406881372552E-3</v>
      </c>
      <c r="Q87" s="909">
        <f>Q$49*(GREET1_Import_Export!$B207* GREET1_Import_Export!$F$179+GREET1_Import_Export!$F207)+Q$50*(GREET1_Import_Export!$B207* GREET1_Import_Export!$G$179+GREET1_Import_Export!$G207)+Q$51*(GREET1_Import_Export!$B207* GREET1_Import_Export!$C$179+GREET1_Import_Export!$C207)+Q$52*(GREET1_Import_Export!$B207* GREET1_Import_Export!$E$179+GREET1_Import_Export!$E207)+Q$53*(GREET1_Import_Export!$B207* GREET1_Import_Export!$I$179+GREET1_Import_Export!$I207)+Q$54*GREET1_Import_Export!$B243+Q$55*GREET1_Import_Export!$C296+Q$61*(GREET1_Import_Export!$D321+GREET1_Import_Export!$E321)</f>
        <v>8.1003575931550151E-2</v>
      </c>
      <c r="R87" s="1258">
        <v>0.67227798930438531</v>
      </c>
      <c r="T87" s="919">
        <f>T$50*(GREET1_Import_Export!$B207* GREET1_Import_Export!$G$179+GREET1_Import_Export!$G207+GREET1_Import_Export!$Q152*T$33)+T$51*(GREET1_Import_Export!$B207* GREET1_Import_Export!$D$179+GREET1_Import_Export!$D207+GREET1_Import_Export!$Q138*T$33)</f>
        <v>6.9428408098103761E-4</v>
      </c>
      <c r="U87" s="817">
        <f>SUM(H$16*'GREET2_Factors_T&amp;D'!$U78*I$16, H$17*'GREET2_Factors_T&amp;D'!$T78*I$17,H$18*'GREET2_Factors_T&amp;D'!$V78*I$18)</f>
        <v>2.6319406881372552E-3</v>
      </c>
      <c r="V87" s="909">
        <f>V$49*(GREET1_Import_Export!$B207* GREET1_Import_Export!$F$179+GREET1_Import_Export!$F207)+V$50*(GREET1_Import_Export!$B207* GREET1_Import_Export!$G$179+GREET1_Import_Export!$G207)+V$51*(GREET1_Import_Export!$B207* GREET1_Import_Export!$C$179+GREET1_Import_Export!$C207)+V$52*(GREET1_Import_Export!$B207* GREET1_Import_Export!$E$179+GREET1_Import_Export!$E207)+V$53*(GREET1_Import_Export!$B207* GREET1_Import_Export!$I$179+GREET1_Import_Export!$I207)+V$54*GREET1_Import_Export!$B243+V$55*GREET1_Import_Export!$C296+V$61*(GREET1_Import_Export!$D321+GREET1_Import_Export!$E321)</f>
        <v>8.7410958066114319E-2</v>
      </c>
      <c r="W87" s="980">
        <f t="shared" si="14"/>
        <v>0.84468391908154017</v>
      </c>
      <c r="Y87" s="919">
        <f>Y$50*(GREET1_Import_Export!$B207* GREET1_Import_Export!$G$179+GREET1_Import_Export!$G207+GREET1_Import_Export!$Q152*Y$33)+Y$51*(GREET1_Import_Export!$B207* GREET1_Import_Export!$D$179+GREET1_Import_Export!$D207+GREET1_Import_Export!$Q138*Y$33)</f>
        <v>8.0070915959499817E-4</v>
      </c>
      <c r="Z87" s="817">
        <f>SUM(J$16*'GREET2_Factors_T&amp;D'!$U78*K$16, J$17*'GREET2_Factors_T&amp;D'!$T78*K$17,J$18*'GREET2_Factors_T&amp;D'!$V78*K$18)</f>
        <v>2.6319406881372552E-3</v>
      </c>
      <c r="AA87" s="909">
        <f>AA$49*(GREET1_Import_Export!$B207* GREET1_Import_Export!$F$179+GREET1_Import_Export!$F207)+AA$50*(GREET1_Import_Export!$B207* GREET1_Import_Export!$G$179+GREET1_Import_Export!$G207)+AA$51*(GREET1_Import_Export!$B207* GREET1_Import_Export!$C$179+GREET1_Import_Export!$C207)+AA$52*(GREET1_Import_Export!$B207* GREET1_Import_Export!$E$179+GREET1_Import_Export!$E207)+AA$53*(GREET1_Import_Export!$B207* GREET1_Import_Export!$I$179+GREET1_Import_Export!$I207)+AA$54*GREET1_Import_Export!$B243+AA$55*GREET1_Import_Export!$C296+AA$61*(GREET1_Import_Export!$D321+GREET1_Import_Export!$E321)</f>
        <v>8.2718132660369772E-4</v>
      </c>
      <c r="AB87" s="1264">
        <f t="shared" si="10"/>
        <v>0.22960921871237219</v>
      </c>
      <c r="AC87" s="919">
        <f>AC$50*(GREET1_Import_Export!$B207* GREET1_Import_Export!$G$179+GREET1_Import_Export!$G207+GREET1_Import_Export!$Q152*AC$33)+AC$51*(GREET1_Import_Export!$B207* GREET1_Import_Export!$D$179+GREET1_Import_Export!$D207+GREET1_Import_Export!$Q138*AC$33)</f>
        <v>9.3390002348174572E-3</v>
      </c>
      <c r="AD87" s="817">
        <f>'GREET2_Factors_T&amp;D'!W78</f>
        <v>1.5564934603059635E-4</v>
      </c>
      <c r="AE87" s="909">
        <f>AE$49*(GREET1_Import_Export!$B207* GREET1_Import_Export!$F$179+GREET1_Import_Export!$F207)+AE$50*(GREET1_Import_Export!$B207* GREET1_Import_Export!$G$179+GREET1_Import_Export!$G207)+AE$51*(GREET1_Import_Export!$B207* GREET1_Import_Export!$C$179+GREET1_Import_Export!$C207)+AE$52*(GREET1_Import_Export!$B207* GREET1_Import_Export!$E$179+GREET1_Import_Export!$E207)+AE$53*(GREET1_Import_Export!$B207* GREET1_Import_Export!$I$179+GREET1_Import_Export!$I207)+AE$54*GREET1_Import_Export!$B243+AE$55*GREET1_Import_Export!$C296+AE$61*(GREET1_Import_Export!$D321+GREET1_Import_Export!$E321)</f>
        <v>9.495444761664488E-4</v>
      </c>
      <c r="AF87" s="1264">
        <f t="shared" si="11"/>
        <v>0</v>
      </c>
      <c r="AG87" s="919">
        <f>AG$49*(GREET1_Import_Export!$B207* GREET1_Import_Export!$F$179+GREET1_Import_Export!$F207+GREET1_Import_Export!$L78*AG$33)+AG$50*(GREET1_Import_Export!$B207* GREET1_Import_Export!$G$179+GREET1_Import_Export!$G207+GREET1_Import_Export!$Q152*AG$33)+AG$51*(GREET1_Import_Export!$B207* GREET1_Import_Export!$C$179+GREET1_Import_Export!$C207+GREET1_Import_Export!$Q138*AG$33)</f>
        <v>5.5982572687547747E-4</v>
      </c>
      <c r="AH87" s="817">
        <f>SUM(N$16*'GREET2_Factors_T&amp;D'!$U78*O$16, N$17*'GREET2_Factors_T&amp;D'!$T78*O$17,N$18*'GREET2_Factors_T&amp;D'!$V78*O$18)</f>
        <v>4.268129881004129E-4</v>
      </c>
      <c r="AI87" s="909">
        <f>AI$49*(GREET1_Import_Export!$B207* GREET1_Import_Export!$F$179+GREET1_Import_Export!$F207)+AI$50*(GREET1_Import_Export!$B207* GREET1_Import_Export!$G$179+GREET1_Import_Export!$G207)+AI$51*(GREET1_Import_Export!$B207* GREET1_Import_Export!$C$179+GREET1_Import_Export!$C207)+AI$52*(GREET1_Import_Export!$B207* GREET1_Import_Export!$E$179+GREET1_Import_Export!$E207)+AI$53*(GREET1_Import_Export!$B207* GREET1_Import_Export!$I$179+GREET1_Import_Export!$I207)+AI$54*GREET1_Import_Export!$B243+AI$55*GREET1_Import_Export!$C296+AI$61*(GREET1_Import_Export!$D321+GREET1_Import_Export!$E321)</f>
        <v>9.4954447616644913E-4</v>
      </c>
      <c r="AJ87" s="1264">
        <f t="shared" si="12"/>
        <v>0</v>
      </c>
      <c r="AK87" s="919">
        <f>AK$49*(GREET1_Import_Export!$B207* GREET1_Import_Export!$F$179+GREET1_Import_Export!$F207+GREET1_Import_Export!$L78*AK$33)+AK$50*(GREET1_Import_Export!$B207* GREET1_Import_Export!$G$179+GREET1_Import_Export!$G207+GREET1_Import_Export!$Q152*AK$33)+AK$51*(GREET1_Import_Export!$B207* GREET1_Import_Export!$C$179+GREET1_Import_Export!$C207+GREET1_Import_Export!$Q138*AK$33)</f>
        <v>5.5982572687547747E-4</v>
      </c>
      <c r="AL87" s="817">
        <f>SUM(P$16*'GREET2_Factors_T&amp;D'!$U78*Q$16, P$17*'GREET2_Factors_T&amp;D'!$T78*Q$17,P$18*'GREET2_Factors_T&amp;D'!$V78*Q$18)</f>
        <v>4.268129881004129E-4</v>
      </c>
      <c r="AM87" s="909">
        <f>AM$49*(GREET1_Import_Export!$B207* GREET1_Import_Export!$F$179+GREET1_Import_Export!$F207)+AM$50*(GREET1_Import_Export!$B207* GREET1_Import_Export!$G$179+GREET1_Import_Export!$G207)+AM$51*(GREET1_Import_Export!$B207* GREET1_Import_Export!$C$179+GREET1_Import_Export!$C207)+AM$52*(GREET1_Import_Export!$B207* GREET1_Import_Export!$E$179+GREET1_Import_Export!$E207)+AM$53*(GREET1_Import_Export!$B207* GREET1_Import_Export!$I$179+GREET1_Import_Export!$I207)+AM$54*GREET1_Import_Export!$B243+AM$55*GREET1_Import_Export!$C296+AM$61*(GREET1_Import_Export!$D321+GREET1_Import_Export!$E321)</f>
        <v>9.4954447616644934E-4</v>
      </c>
      <c r="AN87" s="1264">
        <f t="shared" si="13"/>
        <v>0</v>
      </c>
      <c r="AO87" s="919">
        <f>AO$49*(GREET1_Import_Export!$B207* GREET1_Import_Export!$F$179+GREET1_Import_Export!$F207+GREET1_Import_Export!$L78*AO$33)+AO$50*(GREET1_Import_Export!$B207* GREET1_Import_Export!$G$179+GREET1_Import_Export!$G207+GREET1_Import_Export!$Q152*AO$33)+AO$51*(GREET1_Import_Export!$B207* GREET1_Import_Export!$C$179+GREET1_Import_Export!$C207+GREET1_Import_Export!$Q138*AO$33)</f>
        <v>5.5982572687547747E-4</v>
      </c>
      <c r="AP87" s="817">
        <f>SUM(R$16*'GREET2_Factors_T&amp;D'!$U78*S$16, R$17*'GREET2_Factors_T&amp;D'!$T78*S$17,R$18*'GREET2_Factors_T&amp;D'!$V78*S$18)</f>
        <v>1.9400168350093459E-3</v>
      </c>
      <c r="AQ87" s="1295"/>
      <c r="AS87" s="1090"/>
      <c r="AT87" s="1090"/>
      <c r="AX87" s="1090"/>
      <c r="AY87" s="1090"/>
    </row>
    <row r="88" spans="1:51" s="1247" customFormat="1">
      <c r="A88" s="1290" t="s">
        <v>828</v>
      </c>
      <c r="B88" s="910">
        <f>B$49*(GREET1_Import_Export!$B208* GREET1_Import_Export!$F$179+GREET1_Import_Export!$F208)+B$50*(GREET1_Import_Export!$B208* GREET1_Import_Export!$G$179+GREET1_Import_Export!$G208)+B$51*(GREET1_Import_Export!$B208* GREET1_Import_Export!$C$179+GREET1_Import_Export!$C208)+B$52*(GREET1_Import_Export!$B208* GREET1_Import_Export!$E$179+GREET1_Import_Export!$E208)+B$53*(GREET1_Import_Export!$B208* GREET1_Import_Export!$I$179+GREET1_Import_Export!$I208)+B$54*GREET1_Import_Export!$B244+B$55*GREET1_Import_Export!$C297+B$61*(GREET1_Import_Export!$D322+GREET1_Import_Export!$E322)</f>
        <v>0.33040113461109055</v>
      </c>
      <c r="C88" s="1259">
        <v>9.3989446370632042</v>
      </c>
      <c r="D88" s="1251"/>
      <c r="E88" s="1069">
        <f>E$50*(GREET1_Import_Export!$B208* GREET1_Import_Export!$G$179+GREET1_Import_Export!$G208+GREET1_Import_Export!$Q153*E$33)+E$51*(GREET1_Import_Export!$B208* GREET1_Import_Export!$D$179+GREET1_Import_Export!$D208+GREET1_Import_Export!$Q139*E$33)</f>
        <v>2.1237078071170785E-4</v>
      </c>
      <c r="F88" s="1084">
        <f>SUM(B$16*'GREET2_Factors_T&amp;D'!$U79*C$16, B$17*'GREET2_Factors_T&amp;D'!$T79*C$17,B$18*'GREET2_Factors_T&amp;D'!$V79*C$18)</f>
        <v>3.7262547020331131E-3</v>
      </c>
      <c r="G88" s="910">
        <f>G$49*(GREET1_Import_Export!$B208* GREET1_Import_Export!$F$179+GREET1_Import_Export!$F208)+G$50*(GREET1_Import_Export!$B208* GREET1_Import_Export!$G$179+GREET1_Import_Export!$G208)+G$51*(GREET1_Import_Export!$B208* GREET1_Import_Export!$C$179+GREET1_Import_Export!$C208)+G$52*(GREET1_Import_Export!$B208* GREET1_Import_Export!$E$179+GREET1_Import_Export!$E208)+G$53*(GREET1_Import_Export!$B208* GREET1_Import_Export!$I$179+GREET1_Import_Export!$I208)+G$54*GREET1_Import_Export!$B244+G$55*GREET1_Import_Export!$C297+G$61*(GREET1_Import_Export!$D322+GREET1_Import_Export!$E322)</f>
        <v>0.53525935146120573</v>
      </c>
      <c r="H88" s="1259">
        <v>9.2296984936405586</v>
      </c>
      <c r="I88" s="1251"/>
      <c r="J88" s="1069">
        <f>J$50*(GREET1_Import_Export!$B208* GREET1_Import_Export!$G$179+GREET1_Import_Export!$G208+GREET1_Import_Export!$Q153*J$33)+J$51*(GREET1_Import_Export!$B208* GREET1_Import_Export!$D$179+GREET1_Import_Export!$D208+GREET1_Import_Export!$Q139*J$33)</f>
        <v>1.9634051767339743E-4</v>
      </c>
      <c r="K88" s="1084">
        <f>SUM(D$16*'GREET2_Factors_T&amp;D'!$U79*E$16, D$17*'GREET2_Factors_T&amp;D'!$T79*E$17,D$18*'GREET2_Factors_T&amp;D'!$V79*E$18)</f>
        <v>3.7262547020331131E-3</v>
      </c>
      <c r="L88" s="910">
        <f>L$49*(GREET1_Import_Export!$B208* GREET1_Import_Export!$F$179+GREET1_Import_Export!$F208)+L$50*(GREET1_Import_Export!$B208* GREET1_Import_Export!$G$179+GREET1_Import_Export!$G208)+L$51*(GREET1_Import_Export!$B208* GREET1_Import_Export!$C$179+GREET1_Import_Export!$C208)+L$52*(GREET1_Import_Export!$B208* GREET1_Import_Export!$E$179+GREET1_Import_Export!$E208)+L$53*(GREET1_Import_Export!$B208* GREET1_Import_Export!$I$179+GREET1_Import_Export!$I208)+L$54*GREET1_Import_Export!$B244+L$55*GREET1_Import_Export!$C297+L$61*(GREET1_Import_Export!$D322+GREET1_Import_Export!$E322)</f>
        <v>0.32256544928118092</v>
      </c>
      <c r="M88" s="1259">
        <v>13.502461450900723</v>
      </c>
      <c r="N88" s="1069">
        <f>N$50*(GREET1_Import_Export!$B208* GREET1_Import_Export!$G$179+GREET1_Import_Export!$G208+GREET1_Import_Export!$Q153*N$33)+N$51*(GREET1_Import_Export!$B208* GREET1_Import_Export!$D$179+GREET1_Import_Export!$D208+GREET1_Import_Export!$Q139*N$33)</f>
        <v>4.7286255508425243E-4</v>
      </c>
      <c r="O88" s="1251"/>
      <c r="P88" s="1084">
        <f>SUM(F$16*'GREET2_Factors_T&amp;D'!$U79*G$16, F$17*'GREET2_Factors_T&amp;D'!$T79*G$17,F$18*'GREET2_Factors_T&amp;D'!$V79*G$18)</f>
        <v>3.7262547020331131E-3</v>
      </c>
      <c r="Q88" s="910">
        <f>Q$49*(GREET1_Import_Export!$B208* GREET1_Import_Export!$F$179+GREET1_Import_Export!$F208)+Q$50*(GREET1_Import_Export!$B208* GREET1_Import_Export!$G$179+GREET1_Import_Export!$G208)+Q$51*(GREET1_Import_Export!$B208* GREET1_Import_Export!$C$179+GREET1_Import_Export!$C208)+Q$52*(GREET1_Import_Export!$B208* GREET1_Import_Export!$E$179+GREET1_Import_Export!$E208)+Q$53*(GREET1_Import_Export!$B208* GREET1_Import_Export!$I$179+GREET1_Import_Export!$I208)+Q$54*GREET1_Import_Export!$B244+Q$55*GREET1_Import_Export!$C297+Q$61*(GREET1_Import_Export!$D322+GREET1_Import_Export!$E322)</f>
        <v>0.31016368938994632</v>
      </c>
      <c r="R88" s="1259">
        <v>2.858999233805573</v>
      </c>
      <c r="S88" s="1251"/>
      <c r="T88" s="1069">
        <f>T$50*(GREET1_Import_Export!$B208* GREET1_Import_Export!$G$179+GREET1_Import_Export!$G208+GREET1_Import_Export!$Q153*T$33)+T$51*(GREET1_Import_Export!$B208* GREET1_Import_Export!$D$179+GREET1_Import_Export!$D208+GREET1_Import_Export!$Q139*T$33)</f>
        <v>2.1878288592703203E-4</v>
      </c>
      <c r="U88" s="1084">
        <f>SUM(H$16*'GREET2_Factors_T&amp;D'!$U79*I$16, H$17*'GREET2_Factors_T&amp;D'!$T79*I$17,H$18*'GREET2_Factors_T&amp;D'!$V79*I$18)</f>
        <v>3.7262547020331131E-3</v>
      </c>
      <c r="V88" s="910">
        <f>V$49*(GREET1_Import_Export!$B208* GREET1_Import_Export!$F$179+GREET1_Import_Export!$F208)+V$50*(GREET1_Import_Export!$B208* GREET1_Import_Export!$G$179+GREET1_Import_Export!$G208)+V$51*(GREET1_Import_Export!$B208* GREET1_Import_Export!$C$179+GREET1_Import_Export!$C208)+V$52*(GREET1_Import_Export!$B208* GREET1_Import_Export!$E$179+GREET1_Import_Export!$E208)+V$53*(GREET1_Import_Export!$B208* GREET1_Import_Export!$I$179+GREET1_Import_Export!$I208)+V$54*GREET1_Import_Export!$B244+V$55*GREET1_Import_Export!$C297+V$61*(GREET1_Import_Export!$D322+GREET1_Import_Export!$E322)</f>
        <v>0.32603626280486325</v>
      </c>
      <c r="W88" s="983">
        <f t="shared" si="14"/>
        <v>3.368884524718188</v>
      </c>
      <c r="X88" s="1251"/>
      <c r="Y88" s="1069">
        <f>Y$50*(GREET1_Import_Export!$B208* GREET1_Import_Export!$G$179+GREET1_Import_Export!$G208+GREET1_Import_Export!$Q153*Y$33)+Y$51*(GREET1_Import_Export!$B208* GREET1_Import_Export!$D$179+GREET1_Import_Export!$D208+GREET1_Import_Export!$Q139*Y$33)</f>
        <v>2.478617830785272E-4</v>
      </c>
      <c r="Z88" s="1084">
        <f>SUM(J$16*'GREET2_Factors_T&amp;D'!$U79*K$16, J$17*'GREET2_Factors_T&amp;D'!$T79*K$17,J$18*'GREET2_Factors_T&amp;D'!$V79*K$18)</f>
        <v>3.7262547020331131E-3</v>
      </c>
      <c r="AA88" s="910">
        <f>AA$49*(GREET1_Import_Export!$B208* GREET1_Import_Export!$F$179+GREET1_Import_Export!$F208)+AA$50*(GREET1_Import_Export!$B208* GREET1_Import_Export!$G$179+GREET1_Import_Export!$G208)+AA$51*(GREET1_Import_Export!$B208* GREET1_Import_Export!$C$179+GREET1_Import_Export!$C208)+AA$52*(GREET1_Import_Export!$B208* GREET1_Import_Export!$E$179+GREET1_Import_Export!$E208)+AA$53*(GREET1_Import_Export!$B208* GREET1_Import_Export!$I$179+GREET1_Import_Export!$I208)+AA$54*GREET1_Import_Export!$B244+AA$55*GREET1_Import_Export!$C297+AA$61*(GREET1_Import_Export!$D322+GREET1_Import_Export!$E322)</f>
        <v>3.7331649497071998E-3</v>
      </c>
      <c r="AB88" s="1195">
        <f t="shared" si="10"/>
        <v>0.4490690233183075</v>
      </c>
      <c r="AC88" s="1069">
        <f>AC$50*(GREET1_Import_Export!$B208* GREET1_Import_Export!$G$179+GREET1_Import_Export!$G208+GREET1_Import_Export!$Q153*AC$33)+AC$51*(GREET1_Import_Export!$B208* GREET1_Import_Export!$D$179+GREET1_Import_Export!$D208+GREET1_Import_Export!$Q139*AC$33)</f>
        <v>2.7038341946257829E-3</v>
      </c>
      <c r="AD88" s="1084">
        <f>'GREET2_Factors_T&amp;D'!W79</f>
        <v>2.203124019302883E-4</v>
      </c>
      <c r="AE88" s="910">
        <f>AE$49*(GREET1_Import_Export!$B208* GREET1_Import_Export!$F$179+GREET1_Import_Export!$F208)+AE$50*(GREET1_Import_Export!$B208* GREET1_Import_Export!$G$179+GREET1_Import_Export!$G208)+AE$51*(GREET1_Import_Export!$B208* GREET1_Import_Export!$C$179+GREET1_Import_Export!$C208)+AE$52*(GREET1_Import_Export!$B208* GREET1_Import_Export!$E$179+GREET1_Import_Export!$E208)+AE$53*(GREET1_Import_Export!$B208* GREET1_Import_Export!$I$179+GREET1_Import_Export!$I208)+AE$54*GREET1_Import_Export!$B244+AE$55*GREET1_Import_Export!$C297+AE$61*(GREET1_Import_Export!$D322+GREET1_Import_Export!$E322)</f>
        <v>5.2588223428130668E-3</v>
      </c>
      <c r="AF88" s="1195">
        <f t="shared" si="11"/>
        <v>0</v>
      </c>
      <c r="AG88" s="1069">
        <f>AG$49*(GREET1_Import_Export!$B208* GREET1_Import_Export!$F$179+GREET1_Import_Export!$F208+GREET1_Import_Export!$L79*AG$33)+AG$50*(GREET1_Import_Export!$B208* GREET1_Import_Export!$G$179+GREET1_Import_Export!$G208+GREET1_Import_Export!$Q153*AG$33)+AG$51*(GREET1_Import_Export!$B208* GREET1_Import_Export!$C$179+GREET1_Import_Export!$C208+GREET1_Import_Export!$Q139*AG$33)</f>
        <v>7.9472465643293103E-4</v>
      </c>
      <c r="AH88" s="1084">
        <f>SUM(N$16*'GREET2_Factors_T&amp;D'!$U79*O$16, N$17*'GREET2_Factors_T&amp;D'!$T79*O$17,N$18*'GREET2_Factors_T&amp;D'!$V79*O$18)</f>
        <v>6.0567832015106637E-4</v>
      </c>
      <c r="AI88" s="910">
        <f>AI$49*(GREET1_Import_Export!$B208* GREET1_Import_Export!$F$179+GREET1_Import_Export!$F208)+AI$50*(GREET1_Import_Export!$B208* GREET1_Import_Export!$G$179+GREET1_Import_Export!$G208)+AI$51*(GREET1_Import_Export!$B208* GREET1_Import_Export!$C$179+GREET1_Import_Export!$C208)+AI$52*(GREET1_Import_Export!$B208* GREET1_Import_Export!$E$179+GREET1_Import_Export!$E208)+AI$53*(GREET1_Import_Export!$B208* GREET1_Import_Export!$I$179+GREET1_Import_Export!$I208)+AI$54*GREET1_Import_Export!$B244+AI$55*GREET1_Import_Export!$C297+AI$61*(GREET1_Import_Export!$D322+GREET1_Import_Export!$E322)</f>
        <v>5.2588223428130685E-3</v>
      </c>
      <c r="AJ88" s="1195">
        <f t="shared" si="12"/>
        <v>0</v>
      </c>
      <c r="AK88" s="1069">
        <f>AK$49*(GREET1_Import_Export!$B208* GREET1_Import_Export!$F$179+GREET1_Import_Export!$F208+GREET1_Import_Export!$L79*AK$33)+AK$50*(GREET1_Import_Export!$B208* GREET1_Import_Export!$G$179+GREET1_Import_Export!$G208+GREET1_Import_Export!$Q153*AK$33)+AK$51*(GREET1_Import_Export!$B208* GREET1_Import_Export!$C$179+GREET1_Import_Export!$C208+GREET1_Import_Export!$Q139*AK$33)</f>
        <v>7.9472465643293103E-4</v>
      </c>
      <c r="AL88" s="1084">
        <f>SUM(P$16*'GREET2_Factors_T&amp;D'!$U79*Q$16, P$17*'GREET2_Factors_T&amp;D'!$T79*Q$17,P$18*'GREET2_Factors_T&amp;D'!$V79*Q$18)</f>
        <v>6.0567832015106637E-4</v>
      </c>
      <c r="AM88" s="910">
        <f>AM$49*(GREET1_Import_Export!$B208* GREET1_Import_Export!$F$179+GREET1_Import_Export!$F208)+AM$50*(GREET1_Import_Export!$B208* GREET1_Import_Export!$G$179+GREET1_Import_Export!$G208)+AM$51*(GREET1_Import_Export!$B208* GREET1_Import_Export!$C$179+GREET1_Import_Export!$C208)+AM$52*(GREET1_Import_Export!$B208* GREET1_Import_Export!$E$179+GREET1_Import_Export!$E208)+AM$53*(GREET1_Import_Export!$B208* GREET1_Import_Export!$I$179+GREET1_Import_Export!$I208)+AM$54*GREET1_Import_Export!$B244+AM$55*GREET1_Import_Export!$C297+AM$61*(GREET1_Import_Export!$D322+GREET1_Import_Export!$E322)</f>
        <v>5.2588223428130703E-3</v>
      </c>
      <c r="AN88" s="1195">
        <f t="shared" si="13"/>
        <v>0</v>
      </c>
      <c r="AO88" s="1069">
        <f>AO$49*(GREET1_Import_Export!$B208* GREET1_Import_Export!$F$179+GREET1_Import_Export!$F208+GREET1_Import_Export!$L79*AO$33)+AO$50*(GREET1_Import_Export!$B208* GREET1_Import_Export!$G$179+GREET1_Import_Export!$G208+GREET1_Import_Export!$Q153*AO$33)+AO$51*(GREET1_Import_Export!$B208* GREET1_Import_Export!$C$179+GREET1_Import_Export!$C208+GREET1_Import_Export!$Q139*AO$33)</f>
        <v>7.9472465643293103E-4</v>
      </c>
      <c r="AP88" s="1084">
        <f>SUM(R$16*'GREET2_Factors_T&amp;D'!$U79*S$16, R$17*'GREET2_Factors_T&amp;D'!$T79*S$17,R$18*'GREET2_Factors_T&amp;D'!$V79*S$18)</f>
        <v>2.7481748020094709E-3</v>
      </c>
      <c r="AS88" s="1090"/>
      <c r="AT88" s="1090"/>
      <c r="AX88" s="1090"/>
      <c r="AY88" s="1090"/>
    </row>
    <row r="89" spans="1:51" s="919" customFormat="1">
      <c r="B89" s="1263"/>
      <c r="C89" s="1264"/>
      <c r="D89" s="1238"/>
      <c r="F89" s="1263"/>
      <c r="G89" s="1264"/>
      <c r="H89" s="1238"/>
      <c r="J89" s="1263"/>
      <c r="K89" s="1264"/>
      <c r="L89" s="1238"/>
      <c r="N89" s="1263"/>
      <c r="O89" s="1264"/>
      <c r="P89" s="1238"/>
      <c r="R89" s="1263"/>
      <c r="S89" s="1264"/>
      <c r="T89" s="1238"/>
      <c r="V89" s="1263"/>
      <c r="W89" s="1264"/>
      <c r="X89" s="1238"/>
      <c r="Z89" s="1263"/>
      <c r="AA89" s="1264"/>
      <c r="AB89" s="1238"/>
      <c r="AD89" s="1263"/>
      <c r="AE89" s="1264"/>
      <c r="AF89" s="1238"/>
      <c r="AH89" s="1263"/>
      <c r="AI89" s="1264"/>
      <c r="AJ89" s="1238"/>
      <c r="AS89" s="1090"/>
      <c r="AT89" s="1090"/>
      <c r="AX89" s="1090"/>
      <c r="AY89" s="1090"/>
    </row>
    <row r="90" spans="1:51" s="1247" customFormat="1" ht="15">
      <c r="A90" s="607" t="s">
        <v>1332</v>
      </c>
    </row>
    <row r="91" spans="1:51" s="1247" customFormat="1" ht="54.75" customHeight="1">
      <c r="A91" s="1269"/>
      <c r="B91" s="3111" t="s">
        <v>1333</v>
      </c>
      <c r="C91" s="3112"/>
      <c r="D91" s="3111" t="s">
        <v>1334</v>
      </c>
      <c r="E91" s="3112"/>
      <c r="F91" s="3111" t="s">
        <v>1335</v>
      </c>
      <c r="G91" s="3112"/>
      <c r="H91" s="3111" t="s">
        <v>1336</v>
      </c>
      <c r="I91" s="3112"/>
      <c r="J91" s="3072" t="str">
        <f>"Cement Product: Combined Emissions
("&amp;B5&amp;")"</f>
        <v>Cement Product: Combined Emissions
(U.S. National Average)</v>
      </c>
      <c r="K91" s="3073"/>
      <c r="L91" s="1409"/>
      <c r="O91" s="1409"/>
      <c r="P91" s="1409"/>
      <c r="Q91" s="1409"/>
      <c r="R91" s="1409"/>
      <c r="S91" s="1409"/>
      <c r="T91" s="1409"/>
      <c r="U91" s="1409"/>
      <c r="V91" s="1409"/>
    </row>
    <row r="92" spans="1:51" s="1247" customFormat="1">
      <c r="A92" s="699" t="s">
        <v>1337</v>
      </c>
      <c r="B92" s="1089" t="s">
        <v>845</v>
      </c>
      <c r="C92" s="675" t="s">
        <v>846</v>
      </c>
      <c r="D92" s="1089" t="s">
        <v>845</v>
      </c>
      <c r="E92" s="675" t="s">
        <v>846</v>
      </c>
      <c r="F92" s="1089" t="s">
        <v>845</v>
      </c>
      <c r="G92" s="675" t="s">
        <v>846</v>
      </c>
      <c r="H92" s="1089" t="s">
        <v>845</v>
      </c>
      <c r="I92" s="675" t="s">
        <v>846</v>
      </c>
      <c r="J92" s="1089" t="s">
        <v>845</v>
      </c>
      <c r="K92" s="675" t="s">
        <v>846</v>
      </c>
      <c r="L92" s="1409"/>
      <c r="O92" s="1409"/>
      <c r="P92" s="1409"/>
      <c r="Q92" s="1409"/>
      <c r="R92" s="1409"/>
      <c r="S92" s="1409"/>
      <c r="T92" s="1409"/>
      <c r="U92" s="1409"/>
      <c r="V92" s="1409"/>
    </row>
    <row r="93" spans="1:51" s="1247" customFormat="1">
      <c r="A93" s="749" t="s">
        <v>816</v>
      </c>
      <c r="B93" s="1088">
        <f>SUM(B62:F62)+SUM(AE62:AH62)*$C$8+SUM(AI62:AL62)*$D$8</f>
        <v>6824892.6453927997</v>
      </c>
      <c r="C93" s="969">
        <f>B93/2000</f>
        <v>3412.4463226963999</v>
      </c>
      <c r="D93" s="1088">
        <f>SUM(G62:K62)+SUM(AE62:AH62)*$C$8+SUM(AI62:AL62)*$D$8</f>
        <v>5919322.5447805217</v>
      </c>
      <c r="E93" s="969">
        <f>D93/2000</f>
        <v>2959.6612723902608</v>
      </c>
      <c r="F93" s="1092">
        <f>SUM(L62:P62)+SUM(AE62:AH62)*$C$8+SUM(AI62:AL62)*$D$8</f>
        <v>4588639.3557788916</v>
      </c>
      <c r="G93" s="969">
        <f>F93/2000</f>
        <v>2294.3196778894458</v>
      </c>
      <c r="H93" s="1092">
        <f>SUM(Q62:U62)+SUM(AE62:AH62)*$C$8+SUM(AI62:AL62)*$D$8</f>
        <v>4095366.578281987</v>
      </c>
      <c r="I93" s="969">
        <f>H93/2000</f>
        <v>2047.6832891409936</v>
      </c>
      <c r="J93" s="1092">
        <f t="shared" ref="J93:J98" si="15">SUM(V62:Z62)+SUM(AE62:AH62)*$C$8+SUM(AI62:AL62)*$D$8</f>
        <v>4102997.6364389737</v>
      </c>
      <c r="K93" s="969">
        <f>J93/2000</f>
        <v>2051.498818219487</v>
      </c>
      <c r="L93" s="1409"/>
      <c r="O93" s="1409"/>
      <c r="P93" s="1409"/>
      <c r="Q93" s="1409"/>
      <c r="R93" s="1409"/>
      <c r="S93" s="1409"/>
      <c r="T93" s="1409"/>
      <c r="U93" s="1409"/>
      <c r="V93" s="1409"/>
    </row>
    <row r="94" spans="1:51" s="1247" customFormat="1">
      <c r="A94" s="749" t="s">
        <v>817</v>
      </c>
      <c r="B94" s="1088">
        <f t="shared" ref="B94:B98" si="16">SUM(B63:F63)+SUM(AE63:AH63)*$C$8+SUM(AI63:AL63)*$D$8</f>
        <v>3798465.0950086243</v>
      </c>
      <c r="C94" s="969">
        <f>B94/2000</f>
        <v>1899.2325475043122</v>
      </c>
      <c r="D94" s="1088">
        <f t="shared" ref="D94:D98" si="17">SUM(G63:K63)+SUM(AE63:AH63)*$C$8+SUM(AI63:AL63)*$D$8</f>
        <v>5591395.8804061115</v>
      </c>
      <c r="E94" s="969">
        <f>D94/2000</f>
        <v>2795.6979402030556</v>
      </c>
      <c r="F94" s="1092">
        <f t="shared" ref="F94:F98" si="18">SUM(L63:P63)+SUM(AE63:AH63)*$C$8+SUM(AI63:AL63)*$D$8</f>
        <v>3911837.0848872568</v>
      </c>
      <c r="G94" s="969">
        <f>F94/2000</f>
        <v>1955.9185424436284</v>
      </c>
      <c r="H94" s="1092">
        <f t="shared" ref="H94:H98" si="19">SUM(Q63:U63)+SUM(AE63:AH63)*$C$8+SUM(AI63:AL63)*$D$8</f>
        <v>3406413.8561625141</v>
      </c>
      <c r="I94" s="969">
        <f>H94/2000</f>
        <v>1703.206928081257</v>
      </c>
      <c r="J94" s="1092">
        <f t="shared" si="15"/>
        <v>3613479.599887738</v>
      </c>
      <c r="K94" s="969">
        <f t="shared" ref="K94:K98" si="20">J94/2000</f>
        <v>1806.739799943869</v>
      </c>
      <c r="L94" s="1409"/>
      <c r="O94" s="1409"/>
      <c r="P94" s="1409"/>
      <c r="Q94" s="1409"/>
      <c r="R94" s="1409"/>
      <c r="S94" s="1409"/>
      <c r="T94" s="1409"/>
      <c r="U94" s="1409"/>
      <c r="V94" s="1409"/>
    </row>
    <row r="95" spans="1:51" s="1247" customFormat="1">
      <c r="A95" s="749" t="s">
        <v>805</v>
      </c>
      <c r="B95" s="1088">
        <f t="shared" si="16"/>
        <v>1528787.0433929977</v>
      </c>
      <c r="C95" s="969">
        <f>B95/2000</f>
        <v>764.39352169649885</v>
      </c>
      <c r="D95" s="1088">
        <f t="shared" si="17"/>
        <v>1207308.8353280935</v>
      </c>
      <c r="E95" s="969">
        <f>D95/2000</f>
        <v>603.65441766404672</v>
      </c>
      <c r="F95" s="1092">
        <f t="shared" si="18"/>
        <v>2022058.4641669123</v>
      </c>
      <c r="G95" s="969">
        <f>F95/2000</f>
        <v>1011.0292320834561</v>
      </c>
      <c r="H95" s="1092">
        <f t="shared" si="19"/>
        <v>1635761.5150251449</v>
      </c>
      <c r="I95" s="969">
        <f>H95/2000</f>
        <v>817.88075751257247</v>
      </c>
      <c r="J95" s="1092">
        <f t="shared" si="15"/>
        <v>1686337.4569798836</v>
      </c>
      <c r="K95" s="969">
        <f t="shared" si="20"/>
        <v>843.16872848994183</v>
      </c>
      <c r="L95" s="1409"/>
      <c r="O95" s="1409"/>
      <c r="P95" s="1409"/>
      <c r="Q95" s="1409"/>
      <c r="R95" s="1409"/>
      <c r="S95" s="1409"/>
      <c r="T95" s="1409"/>
      <c r="U95" s="1409"/>
      <c r="V95" s="1409"/>
    </row>
    <row r="96" spans="1:51" s="1247" customFormat="1">
      <c r="A96" s="749" t="s">
        <v>804</v>
      </c>
      <c r="B96" s="1088">
        <f t="shared" si="16"/>
        <v>1272997.2194870859</v>
      </c>
      <c r="C96" s="969">
        <f t="shared" ref="C96:I96" si="21">C94-C95-C97</f>
        <v>636.49860974354351</v>
      </c>
      <c r="D96" s="1088">
        <f t="shared" si="17"/>
        <v>1086079.9832499507</v>
      </c>
      <c r="E96" s="969">
        <f t="shared" si="21"/>
        <v>543.0399916249753</v>
      </c>
      <c r="F96" s="1092">
        <f t="shared" si="18"/>
        <v>1447651.0420202189</v>
      </c>
      <c r="G96" s="969">
        <f t="shared" si="21"/>
        <v>723.82552101010958</v>
      </c>
      <c r="H96" s="1092">
        <f t="shared" si="19"/>
        <v>1062007.2682984644</v>
      </c>
      <c r="I96" s="969">
        <f t="shared" si="21"/>
        <v>531.00363414923243</v>
      </c>
      <c r="J96" s="1092">
        <f t="shared" si="15"/>
        <v>1127332.0520207887</v>
      </c>
      <c r="K96" s="969">
        <f t="shared" si="20"/>
        <v>563.66602601039438</v>
      </c>
      <c r="L96" s="1409"/>
      <c r="O96" s="1409"/>
      <c r="P96" s="1409"/>
      <c r="Q96" s="1409"/>
      <c r="R96" s="1409"/>
      <c r="S96" s="1409"/>
      <c r="T96" s="1409"/>
      <c r="U96" s="1409"/>
      <c r="V96" s="1409"/>
    </row>
    <row r="97" spans="1:22" s="1247" customFormat="1">
      <c r="A97" s="749" t="s">
        <v>818</v>
      </c>
      <c r="B97" s="1088">
        <f t="shared" si="16"/>
        <v>996680.8321285398</v>
      </c>
      <c r="C97" s="969">
        <f>B97/2000</f>
        <v>498.3404160642699</v>
      </c>
      <c r="D97" s="1088">
        <f t="shared" si="17"/>
        <v>3298007.0618280671</v>
      </c>
      <c r="E97" s="969">
        <f>D97/2000</f>
        <v>1649.0035309140335</v>
      </c>
      <c r="F97" s="1092">
        <f t="shared" si="18"/>
        <v>442127.57870012539</v>
      </c>
      <c r="G97" s="969">
        <f>F97/2000</f>
        <v>221.06378935006271</v>
      </c>
      <c r="H97" s="1092">
        <f t="shared" si="19"/>
        <v>708645.07283890434</v>
      </c>
      <c r="I97" s="969">
        <f>H97/2000</f>
        <v>354.32253641945215</v>
      </c>
      <c r="J97" s="1092">
        <f t="shared" si="15"/>
        <v>799810.09088706516</v>
      </c>
      <c r="K97" s="969">
        <f t="shared" si="20"/>
        <v>399.90504544353257</v>
      </c>
      <c r="L97" s="1409"/>
      <c r="O97" s="1409"/>
      <c r="P97" s="1409"/>
      <c r="Q97" s="1409"/>
      <c r="R97" s="1409"/>
      <c r="S97" s="1409"/>
      <c r="T97" s="1409"/>
      <c r="U97" s="1409"/>
      <c r="V97" s="1409"/>
    </row>
    <row r="98" spans="1:22" s="1247" customFormat="1">
      <c r="A98" s="1144" t="s">
        <v>819</v>
      </c>
      <c r="B98" s="1270">
        <f t="shared" si="16"/>
        <v>330.04714955799125</v>
      </c>
      <c r="C98" s="1271">
        <f>B98/2000</f>
        <v>0.16502357477899562</v>
      </c>
      <c r="D98" s="1270">
        <f t="shared" si="17"/>
        <v>398.63677102037542</v>
      </c>
      <c r="E98" s="1271">
        <f>D98/2000</f>
        <v>0.19931838551018771</v>
      </c>
      <c r="F98" s="1272">
        <f t="shared" si="18"/>
        <v>345.63375597295982</v>
      </c>
      <c r="G98" s="1271">
        <f>F98/2000</f>
        <v>0.17281687798647991</v>
      </c>
      <c r="H98" s="1272">
        <f t="shared" si="19"/>
        <v>215.86185621032863</v>
      </c>
      <c r="I98" s="1271">
        <f>H98/2000</f>
        <v>0.10793092810516432</v>
      </c>
      <c r="J98" s="1272">
        <f t="shared" si="15"/>
        <v>245.00631149914059</v>
      </c>
      <c r="K98" s="1271">
        <f t="shared" si="20"/>
        <v>0.1225031557495703</v>
      </c>
      <c r="L98" s="1409"/>
      <c r="O98" s="1409"/>
      <c r="P98" s="1409"/>
      <c r="Q98" s="1409"/>
      <c r="R98" s="1409"/>
      <c r="S98" s="1409"/>
      <c r="T98" s="1409"/>
      <c r="U98" s="1409"/>
      <c r="V98" s="1409"/>
    </row>
    <row r="99" spans="1:22" s="1247" customFormat="1">
      <c r="A99" s="699" t="s">
        <v>864</v>
      </c>
      <c r="B99" s="1089" t="s">
        <v>845</v>
      </c>
      <c r="C99" s="675" t="s">
        <v>846</v>
      </c>
      <c r="D99" s="1089" t="s">
        <v>845</v>
      </c>
      <c r="E99" s="675" t="s">
        <v>846</v>
      </c>
      <c r="F99" s="1089" t="s">
        <v>845</v>
      </c>
      <c r="G99" s="675" t="s">
        <v>846</v>
      </c>
      <c r="H99" s="1089" t="s">
        <v>845</v>
      </c>
      <c r="I99" s="675" t="s">
        <v>846</v>
      </c>
      <c r="J99" s="1089" t="s">
        <v>845</v>
      </c>
      <c r="K99" s="675" t="s">
        <v>846</v>
      </c>
      <c r="L99" s="1409"/>
      <c r="O99" s="1409"/>
      <c r="P99" s="1409"/>
      <c r="Q99" s="1409"/>
      <c r="R99" s="1409"/>
      <c r="S99" s="1409"/>
      <c r="T99" s="1409"/>
      <c r="U99" s="1409"/>
      <c r="V99" s="1409"/>
    </row>
    <row r="100" spans="1:22" s="1247" customFormat="1">
      <c r="A100" s="749" t="s">
        <v>821</v>
      </c>
      <c r="B100" s="1088">
        <f t="shared" ref="B100:B110" si="22">SUM(B69:F69)+SUM(AE69:AH69)*$C$8+SUM(AI69:AL69)*$D$8</f>
        <v>153.13637331422822</v>
      </c>
      <c r="C100" s="817">
        <f t="shared" ref="C100:C110" si="23">B100/2000</f>
        <v>7.656818665711411E-2</v>
      </c>
      <c r="D100" s="1088">
        <f t="shared" ref="D100:D110" si="24">SUM(G69:K69)+SUM(AE69:AH69)*$C$8+SUM(AI69:AL69)*$D$8</f>
        <v>118.01049410475481</v>
      </c>
      <c r="E100" s="817">
        <f t="shared" ref="E100:E105" si="25">D100/2000</f>
        <v>5.9005247052377405E-2</v>
      </c>
      <c r="F100" s="1092">
        <f t="shared" ref="F100:F110" si="26">SUM(L69:P69)+SUM(AE69:AH69)*$C$8+SUM(AI69:AL69)*$D$8</f>
        <v>158.95352982252831</v>
      </c>
      <c r="G100" s="817">
        <f t="shared" ref="G100:G105" si="27">F100/2000</f>
        <v>7.9476764911264153E-2</v>
      </c>
      <c r="H100" s="1092">
        <f t="shared" ref="H100:H110" si="28">SUM(Q69:U69)+SUM(AE69:AH69)*$C$8+SUM(AI69:AL69)*$D$8</f>
        <v>85.527377589775199</v>
      </c>
      <c r="I100" s="817">
        <f t="shared" ref="I100:I105" si="29">H100/2000</f>
        <v>4.2763688794887601E-2</v>
      </c>
      <c r="J100" s="1092">
        <f t="shared" ref="J100:J110" si="30">SUM(V69:Z69)+SUM(AE69:AH69)*$C$8+SUM(AI69:AL69)*$D$8</f>
        <v>98.384214624064171</v>
      </c>
      <c r="K100" s="817">
        <f t="shared" ref="K100:K110" si="31">J100/2000</f>
        <v>4.9192107312032086E-2</v>
      </c>
      <c r="L100" s="1409"/>
      <c r="O100" s="1409"/>
      <c r="P100" s="1409"/>
      <c r="Q100" s="1409"/>
      <c r="R100" s="1409"/>
      <c r="S100" s="1409"/>
      <c r="T100" s="1409"/>
      <c r="U100" s="1409"/>
      <c r="V100" s="1409"/>
    </row>
    <row r="101" spans="1:22" s="1247" customFormat="1">
      <c r="A101" s="749" t="s">
        <v>822</v>
      </c>
      <c r="B101" s="1088">
        <f t="shared" si="22"/>
        <v>880.48162589167532</v>
      </c>
      <c r="C101" s="817">
        <f t="shared" si="23"/>
        <v>0.44024081294583767</v>
      </c>
      <c r="D101" s="1088">
        <f t="shared" si="24"/>
        <v>397.59511745694164</v>
      </c>
      <c r="E101" s="817">
        <f t="shared" si="25"/>
        <v>0.19879755872847082</v>
      </c>
      <c r="F101" s="1092">
        <f t="shared" si="26"/>
        <v>1672.3980607110088</v>
      </c>
      <c r="G101" s="817">
        <f t="shared" si="27"/>
        <v>0.83619903035550447</v>
      </c>
      <c r="H101" s="1092">
        <f t="shared" si="28"/>
        <v>1119.6327472539099</v>
      </c>
      <c r="I101" s="817">
        <f t="shared" si="29"/>
        <v>0.55981637362695491</v>
      </c>
      <c r="J101" s="1092">
        <f t="shared" si="30"/>
        <v>1139.7657078477314</v>
      </c>
      <c r="K101" s="817">
        <f t="shared" si="31"/>
        <v>0.56988285392386573</v>
      </c>
      <c r="L101" s="1409"/>
      <c r="O101" s="1409"/>
      <c r="P101" s="1409"/>
      <c r="Q101" s="1409"/>
      <c r="R101" s="1409"/>
      <c r="S101" s="1409"/>
      <c r="T101" s="1409"/>
      <c r="U101" s="1409"/>
      <c r="V101" s="1409"/>
    </row>
    <row r="102" spans="1:22" s="1247" customFormat="1">
      <c r="A102" s="749" t="s">
        <v>849</v>
      </c>
      <c r="B102" s="1088">
        <f t="shared" si="22"/>
        <v>1808.6000568810655</v>
      </c>
      <c r="C102" s="817">
        <f t="shared" si="23"/>
        <v>0.9043000284405327</v>
      </c>
      <c r="D102" s="1088">
        <f t="shared" si="24"/>
        <v>1904.9827030410943</v>
      </c>
      <c r="E102" s="817">
        <f t="shared" si="25"/>
        <v>0.95249135152054709</v>
      </c>
      <c r="F102" s="1092">
        <f t="shared" si="26"/>
        <v>1509.2941969884664</v>
      </c>
      <c r="G102" s="817">
        <f t="shared" si="27"/>
        <v>0.75464709849423317</v>
      </c>
      <c r="H102" s="1092">
        <f t="shared" si="28"/>
        <v>1099.610263720811</v>
      </c>
      <c r="I102" s="817">
        <f t="shared" si="29"/>
        <v>0.54980513186040547</v>
      </c>
      <c r="J102" s="1092">
        <f t="shared" si="30"/>
        <v>1214.6595484208788</v>
      </c>
      <c r="K102" s="817">
        <f t="shared" si="31"/>
        <v>0.60732977421043943</v>
      </c>
      <c r="L102" s="1409"/>
      <c r="O102" s="1409"/>
      <c r="P102" s="1409"/>
      <c r="Q102" s="1409"/>
      <c r="R102" s="1409"/>
      <c r="S102" s="1409"/>
      <c r="T102" s="1409"/>
      <c r="U102" s="1409"/>
      <c r="V102" s="1409"/>
    </row>
    <row r="103" spans="1:22" s="1247" customFormat="1">
      <c r="A103" s="749" t="s">
        <v>824</v>
      </c>
      <c r="B103" s="1088">
        <f t="shared" si="22"/>
        <v>449.95060407483641</v>
      </c>
      <c r="C103" s="817">
        <f t="shared" si="23"/>
        <v>0.2249753020374182</v>
      </c>
      <c r="D103" s="1088">
        <f t="shared" si="24"/>
        <v>272.63582129474554</v>
      </c>
      <c r="E103" s="817">
        <f t="shared" si="25"/>
        <v>0.13631791064737278</v>
      </c>
      <c r="F103" s="1092">
        <f t="shared" si="26"/>
        <v>338.03325453825533</v>
      </c>
      <c r="G103" s="817">
        <f t="shared" si="27"/>
        <v>0.16901662726912767</v>
      </c>
      <c r="H103" s="1092">
        <f t="shared" si="28"/>
        <v>177.64468118364672</v>
      </c>
      <c r="I103" s="817">
        <f t="shared" si="29"/>
        <v>8.8822340591823368E-2</v>
      </c>
      <c r="J103" s="1092">
        <f t="shared" si="30"/>
        <v>210.73524345943341</v>
      </c>
      <c r="K103" s="817">
        <f t="shared" si="31"/>
        <v>0.1053676217297167</v>
      </c>
      <c r="L103" s="1409"/>
      <c r="O103" s="1409"/>
      <c r="P103" s="1409"/>
      <c r="Q103" s="1409"/>
      <c r="R103" s="1409"/>
      <c r="S103" s="1409"/>
      <c r="T103" s="1409"/>
      <c r="U103" s="1409"/>
      <c r="V103" s="1409"/>
    </row>
    <row r="104" spans="1:22" s="1247" customFormat="1">
      <c r="A104" s="749" t="s">
        <v>825</v>
      </c>
      <c r="B104" s="1088">
        <f t="shared" si="22"/>
        <v>275.33857768694406</v>
      </c>
      <c r="C104" s="817">
        <f t="shared" si="23"/>
        <v>0.13766928884347204</v>
      </c>
      <c r="D104" s="1088">
        <f t="shared" si="24"/>
        <v>135.4015338563112</v>
      </c>
      <c r="E104" s="817">
        <f t="shared" si="25"/>
        <v>6.7700766928155603E-2</v>
      </c>
      <c r="F104" s="1092">
        <f t="shared" si="26"/>
        <v>239.04052487577076</v>
      </c>
      <c r="G104" s="817">
        <f t="shared" si="27"/>
        <v>0.11952026243788538</v>
      </c>
      <c r="H104" s="1092">
        <f t="shared" si="28"/>
        <v>89.30700401958515</v>
      </c>
      <c r="I104" s="817">
        <f t="shared" si="29"/>
        <v>4.4653502009792574E-2</v>
      </c>
      <c r="J104" s="1092">
        <f t="shared" si="30"/>
        <v>115.57924727936334</v>
      </c>
      <c r="K104" s="817">
        <f t="shared" si="31"/>
        <v>5.7789623639681674E-2</v>
      </c>
      <c r="L104" s="1409"/>
      <c r="O104" s="1409"/>
      <c r="P104" s="1409"/>
      <c r="Q104" s="1409"/>
      <c r="R104" s="1409"/>
      <c r="S104" s="1409"/>
      <c r="T104" s="1409"/>
      <c r="U104" s="1409"/>
      <c r="V104" s="1409"/>
    </row>
    <row r="105" spans="1:22" s="1247" customFormat="1">
      <c r="A105" s="749" t="s">
        <v>826</v>
      </c>
      <c r="B105" s="1088">
        <f t="shared" si="22"/>
        <v>1228.3030683758261</v>
      </c>
      <c r="C105" s="817">
        <f t="shared" si="23"/>
        <v>0.61415153418791302</v>
      </c>
      <c r="D105" s="1088">
        <f t="shared" si="24"/>
        <v>814.86787519767654</v>
      </c>
      <c r="E105" s="817">
        <f t="shared" si="25"/>
        <v>0.40743393759883828</v>
      </c>
      <c r="F105" s="1092">
        <f t="shared" si="26"/>
        <v>207.62123894091565</v>
      </c>
      <c r="G105" s="817">
        <f t="shared" si="27"/>
        <v>0.10381061947045782</v>
      </c>
      <c r="H105" s="1092">
        <f t="shared" si="28"/>
        <v>250.16611712437708</v>
      </c>
      <c r="I105" s="817">
        <f t="shared" si="29"/>
        <v>0.12508305856218854</v>
      </c>
      <c r="J105" s="1092">
        <f t="shared" si="30"/>
        <v>306.37414648012242</v>
      </c>
      <c r="K105" s="817">
        <f t="shared" si="31"/>
        <v>0.1531870732400612</v>
      </c>
      <c r="L105" s="1409"/>
      <c r="O105" s="1409"/>
      <c r="P105" s="1409"/>
      <c r="Q105" s="1409"/>
      <c r="R105" s="1409"/>
      <c r="S105" s="1409"/>
      <c r="T105" s="1409"/>
      <c r="U105" s="1409"/>
      <c r="V105" s="1409"/>
    </row>
    <row r="106" spans="1:22" s="1247" customFormat="1">
      <c r="A106" s="749" t="s">
        <v>827</v>
      </c>
      <c r="B106" s="1088">
        <f t="shared" si="22"/>
        <v>8.2350905085692681</v>
      </c>
      <c r="C106" s="817">
        <f>B106/2000</f>
        <v>4.1175452542846344E-3</v>
      </c>
      <c r="D106" s="1088">
        <f t="shared" si="24"/>
        <v>4.1227163987593611</v>
      </c>
      <c r="E106" s="817">
        <f>D106/2000</f>
        <v>2.0613581993796804E-3</v>
      </c>
      <c r="F106" s="1092">
        <f t="shared" si="26"/>
        <v>6.4415993024536853</v>
      </c>
      <c r="G106" s="817">
        <f>F106/2000</f>
        <v>3.2207996512268427E-3</v>
      </c>
      <c r="H106" s="1092">
        <f t="shared" si="28"/>
        <v>2.9874379740975487</v>
      </c>
      <c r="I106" s="817">
        <f>H106/2000</f>
        <v>1.4937189870487743E-3</v>
      </c>
      <c r="J106" s="1092">
        <f t="shared" si="30"/>
        <v>3.6259900716355808</v>
      </c>
      <c r="K106" s="817">
        <f t="shared" si="31"/>
        <v>1.8129950358177903E-3</v>
      </c>
      <c r="L106" s="1409"/>
      <c r="O106" s="1409"/>
      <c r="P106" s="1409"/>
      <c r="Q106" s="1409"/>
      <c r="R106" s="1409"/>
      <c r="S106" s="1409"/>
      <c r="T106" s="1409"/>
      <c r="U106" s="1409"/>
      <c r="V106" s="1409"/>
    </row>
    <row r="107" spans="1:22" s="1247" customFormat="1">
      <c r="A107" s="749" t="s">
        <v>828</v>
      </c>
      <c r="B107" s="1088">
        <f t="shared" si="22"/>
        <v>31.875858362773222</v>
      </c>
      <c r="C107" s="817">
        <f>B107/2000</f>
        <v>1.5937929181386611E-2</v>
      </c>
      <c r="D107" s="1088">
        <f t="shared" si="24"/>
        <v>16.700194764373396</v>
      </c>
      <c r="E107" s="817">
        <f>D107/2000</f>
        <v>8.350097382186698E-3</v>
      </c>
      <c r="F107" s="1092">
        <f t="shared" si="26"/>
        <v>27.361931080662728</v>
      </c>
      <c r="G107" s="817">
        <f>F107/2000</f>
        <v>1.3680965540331365E-2</v>
      </c>
      <c r="H107" s="1092">
        <f t="shared" si="28"/>
        <v>11.176447337487291</v>
      </c>
      <c r="I107" s="817">
        <f>H107/2000</f>
        <v>5.5882236687436453E-3</v>
      </c>
      <c r="J107" s="1092">
        <f t="shared" si="30"/>
        <v>14.066154060333407</v>
      </c>
      <c r="K107" s="817">
        <f t="shared" si="31"/>
        <v>7.0330770301667038E-3</v>
      </c>
      <c r="L107" s="1409"/>
      <c r="O107" s="1409"/>
      <c r="P107" s="1409"/>
      <c r="Q107" s="1409"/>
      <c r="R107" s="1409"/>
      <c r="S107" s="1409"/>
      <c r="T107" s="1409"/>
      <c r="U107" s="1409"/>
      <c r="V107" s="1409"/>
    </row>
    <row r="108" spans="1:22" s="1247" customFormat="1">
      <c r="A108" s="749" t="s">
        <v>829</v>
      </c>
      <c r="B108" s="1088">
        <f t="shared" si="22"/>
        <v>-1049.2100630252876</v>
      </c>
      <c r="C108" s="817">
        <f t="shared" si="23"/>
        <v>-0.52460503151264382</v>
      </c>
      <c r="D108" s="1088">
        <f t="shared" si="24"/>
        <v>633.36549455231159</v>
      </c>
      <c r="E108" s="817">
        <f t="shared" ref="E108:E110" si="32">D108/2000</f>
        <v>0.31668274727615581</v>
      </c>
      <c r="F108" s="1092">
        <f t="shared" si="26"/>
        <v>639.83469510538714</v>
      </c>
      <c r="G108" s="817">
        <f t="shared" ref="G108:G110" si="33">F108/2000</f>
        <v>0.31991734755269358</v>
      </c>
      <c r="H108" s="1092">
        <f t="shared" si="28"/>
        <v>315.48996648296622</v>
      </c>
      <c r="I108" s="817">
        <f t="shared" ref="I108:I110" si="34">H108/2000</f>
        <v>0.15774498324148312</v>
      </c>
      <c r="J108" s="1092">
        <f t="shared" si="30"/>
        <v>333.77605471939637</v>
      </c>
      <c r="K108" s="817">
        <f t="shared" si="31"/>
        <v>0.16688802735969818</v>
      </c>
      <c r="L108" s="1409"/>
      <c r="O108" s="1409"/>
      <c r="P108" s="1409"/>
      <c r="Q108" s="1409"/>
      <c r="R108" s="1409"/>
      <c r="S108" s="1409"/>
      <c r="T108" s="1409"/>
      <c r="U108" s="1409"/>
      <c r="V108" s="1409"/>
    </row>
    <row r="109" spans="1:22" s="1247" customFormat="1">
      <c r="A109" s="749" t="s">
        <v>830</v>
      </c>
      <c r="B109" s="1088">
        <f t="shared" si="22"/>
        <v>6.8752793821071938</v>
      </c>
      <c r="C109" s="817">
        <f t="shared" si="23"/>
        <v>3.4376396910535969E-3</v>
      </c>
      <c r="D109" s="1088">
        <f t="shared" si="24"/>
        <v>7.6786067850773359</v>
      </c>
      <c r="E109" s="817">
        <f t="shared" si="32"/>
        <v>3.8393033925386679E-3</v>
      </c>
      <c r="F109" s="1092">
        <f t="shared" si="26"/>
        <v>7.0806048448907495</v>
      </c>
      <c r="G109" s="817">
        <f t="shared" si="33"/>
        <v>3.5403024224453746E-3</v>
      </c>
      <c r="H109" s="1092">
        <f t="shared" si="28"/>
        <v>6.2246167168520845</v>
      </c>
      <c r="I109" s="817">
        <f t="shared" si="34"/>
        <v>3.1123083584260421E-3</v>
      </c>
      <c r="J109" s="1092">
        <f t="shared" si="30"/>
        <v>6.4450933290310717</v>
      </c>
      <c r="K109" s="817">
        <f t="shared" si="31"/>
        <v>3.2225466645155357E-3</v>
      </c>
      <c r="L109" s="1409"/>
      <c r="O109" s="1409"/>
      <c r="P109" s="1409"/>
      <c r="Q109" s="1409"/>
      <c r="R109" s="1409"/>
      <c r="S109" s="1409"/>
      <c r="T109" s="1409"/>
      <c r="U109" s="1409"/>
      <c r="V109" s="1409"/>
    </row>
    <row r="110" spans="1:22" s="536" customFormat="1">
      <c r="A110" s="1092" t="s">
        <v>831</v>
      </c>
      <c r="B110" s="1092">
        <f t="shared" si="22"/>
        <v>1061664.1328517285</v>
      </c>
      <c r="C110" s="969">
        <f t="shared" si="23"/>
        <v>530.83206642586424</v>
      </c>
      <c r="D110" s="1092">
        <f t="shared" si="24"/>
        <v>1030600.572578243</v>
      </c>
      <c r="E110" s="969">
        <f t="shared" si="32"/>
        <v>515.30028628912146</v>
      </c>
      <c r="F110" s="1092">
        <f t="shared" si="26"/>
        <v>867769.82959036529</v>
      </c>
      <c r="G110" s="969">
        <f t="shared" si="33"/>
        <v>433.88491479518262</v>
      </c>
      <c r="H110" s="1092">
        <f t="shared" si="28"/>
        <v>824647.79291118868</v>
      </c>
      <c r="I110" s="969">
        <f t="shared" si="34"/>
        <v>412.32389645559437</v>
      </c>
      <c r="J110" s="1092">
        <f t="shared" si="30"/>
        <v>848725.9720676369</v>
      </c>
      <c r="K110" s="969">
        <f t="shared" si="31"/>
        <v>424.36298603381846</v>
      </c>
      <c r="L110" s="1409"/>
      <c r="O110" s="1409"/>
      <c r="P110" s="1409"/>
      <c r="Q110" s="1409"/>
      <c r="R110" s="1409"/>
      <c r="S110" s="1409"/>
      <c r="T110" s="1409"/>
      <c r="U110" s="1409"/>
      <c r="V110" s="1409"/>
    </row>
    <row r="111" spans="1:22" s="536" customFormat="1">
      <c r="A111" s="1092" t="s">
        <v>850</v>
      </c>
      <c r="B111" s="1092">
        <f>B110+B100*GREET1_Import_Export!$B$62/GREET1_Import_Export!$B$65+B101*GREET1_Import_Export!$B$63/GREET1_Import_Export!$B$65</f>
        <v>1063525.0218654352</v>
      </c>
      <c r="C111" s="969">
        <f>B111/2000</f>
        <v>531.76251093271753</v>
      </c>
      <c r="D111" s="1092">
        <f>D$110+D$100*GREET1_Import_Export!$B$62/GREET1_Import_Export!$B$65+D$101*GREET1_Import_Export!$B$63/GREET1_Import_Export!$B$65</f>
        <v>1031593.1642789685</v>
      </c>
      <c r="E111" s="969">
        <f>D111/2000</f>
        <v>515.79658213948426</v>
      </c>
      <c r="F111" s="1092">
        <f>F$110+F$100*GREET1_Import_Export!$B$62/GREET1_Import_Export!$B$65+F$101*GREET1_Import_Export!$B$63/GREET1_Import_Export!$B$65</f>
        <v>870893.28885371517</v>
      </c>
      <c r="G111" s="969">
        <f>F111/2000</f>
        <v>435.44664442685757</v>
      </c>
      <c r="H111" s="1092">
        <f>H$110+H$100*GREET1_Import_Export!$B$62/GREET1_Import_Export!$B$65+H$101*GREET1_Import_Export!$B$63/GREET1_Import_Export!$B$65</f>
        <v>826673.77612655202</v>
      </c>
      <c r="I111" s="969">
        <f>H111/2000</f>
        <v>413.33688806327604</v>
      </c>
      <c r="J111" s="1092">
        <f>J$110+J$100*GREET1_Import_Export!$B$62/GREET1_Import_Export!$B$65+J$101*GREET1_Import_Export!$B$63/GREET1_Import_Export!$B$65</f>
        <v>850823.66326792829</v>
      </c>
      <c r="K111" s="969">
        <f>K$110+K$100*GREET1_Import_Export!$B$62/GREET1_Import_Export!$B$65+K$101*GREET1_Import_Export!$B$63/GREET1_Import_Export!$B$65</f>
        <v>425.41183163396414</v>
      </c>
      <c r="L111" s="1409"/>
      <c r="O111" s="1409"/>
      <c r="P111" s="1409"/>
      <c r="Q111" s="1409"/>
      <c r="R111" s="1409"/>
      <c r="S111" s="1409"/>
      <c r="T111" s="1409"/>
      <c r="U111" s="1409"/>
      <c r="V111" s="1409"/>
    </row>
    <row r="112" spans="1:22" s="536" customFormat="1">
      <c r="A112" s="1194" t="s">
        <v>851</v>
      </c>
      <c r="B112" s="1194">
        <f>B111+SUMPRODUCT(B108:B109,GREET1_Import_Export!$B$51:$B$52)+SUMPRODUCT(B100:B102,GREET1_Import_Export!$B$55:$B$57)+SUMPRODUCT(B106:B107,GREET1_Import_Export!$B$58:$B$59)</f>
        <v>1033870.669010935</v>
      </c>
      <c r="C112" s="527">
        <f>B112/2000</f>
        <v>516.93533450546749</v>
      </c>
      <c r="D112" s="1194">
        <f>D111+SUMPRODUCT(D$108:D$109,GREET1_Import_Export!$B$51:$B$52)+SUMPRODUCT(D$100:D$102,GREET1_Import_Export!$B$55:$B$57)+SUMPRODUCT(D$106:D$107,GREET1_Import_Export!$B$58:$B$59)</f>
        <v>1052628.9599135832</v>
      </c>
      <c r="E112" s="527">
        <f>D112/2000</f>
        <v>526.31447995679162</v>
      </c>
      <c r="F112" s="1194">
        <f>F111+SUMPRODUCT(F$108:F$109,GREET1_Import_Export!$B$51:$B$52)+SUMPRODUCT(F$100:F$102,GREET1_Import_Export!$B$55:$B$57)+SUMPRODUCT(F$106:F$107,GREET1_Import_Export!$B$58:$B$59)</f>
        <v>891964.68999077287</v>
      </c>
      <c r="G112" s="527">
        <f>F112/2000</f>
        <v>445.98234499538643</v>
      </c>
      <c r="H112" s="1194">
        <f>H111+SUMPRODUCT(H$108:H$109,GREET1_Import_Export!$B$51:$B$52)+SUMPRODUCT(H$100:H$102,GREET1_Import_Export!$B$55:$B$57)+SUMPRODUCT(H$106:H$107,GREET1_Import_Export!$B$58:$B$59)</f>
        <v>837787.99855100678</v>
      </c>
      <c r="I112" s="527">
        <f>H112/2000</f>
        <v>418.8939992755034</v>
      </c>
      <c r="J112" s="1194">
        <f>J111+SUMPRODUCT(J$108:J$109,GREET1_Import_Export!$B$51:$B$52)+SUMPRODUCT(J$100:J$102,GREET1_Import_Export!$B$55:$B$57)+SUMPRODUCT(J$106:J$107,GREET1_Import_Export!$B$58:$B$59)</f>
        <v>862544.89464170346</v>
      </c>
      <c r="K112" s="527">
        <f>K111+SUMPRODUCT(K$108:K$109,GREET1_Import_Export!$B$51:$B$52)+SUMPRODUCT(K$100:K$102,GREET1_Import_Export!$B$55:$B$57)+SUMPRODUCT(K$106:K$107,GREET1_Import_Export!$B$58:$B$59)</f>
        <v>431.27244732085171</v>
      </c>
      <c r="L112" s="1409"/>
      <c r="O112" s="1409"/>
      <c r="P112" s="1409"/>
      <c r="Q112" s="1409"/>
      <c r="R112" s="1409"/>
      <c r="S112" s="1409"/>
      <c r="T112" s="1409"/>
      <c r="U112" s="1409"/>
      <c r="V112" s="1409"/>
    </row>
    <row r="113" spans="1:22" s="1247" customFormat="1">
      <c r="A113" s="758" t="s">
        <v>865</v>
      </c>
      <c r="B113" s="1273" t="s">
        <v>845</v>
      </c>
      <c r="C113" s="815" t="s">
        <v>846</v>
      </c>
      <c r="D113" s="1273" t="s">
        <v>845</v>
      </c>
      <c r="E113" s="815" t="s">
        <v>846</v>
      </c>
      <c r="F113" s="1273" t="s">
        <v>845</v>
      </c>
      <c r="G113" s="815" t="s">
        <v>846</v>
      </c>
      <c r="H113" s="1273" t="s">
        <v>845</v>
      </c>
      <c r="I113" s="815" t="s">
        <v>846</v>
      </c>
      <c r="J113" s="1273" t="s">
        <v>845</v>
      </c>
      <c r="K113" s="815" t="s">
        <v>846</v>
      </c>
      <c r="L113" s="1409"/>
      <c r="O113" s="1409"/>
      <c r="P113" s="1409"/>
      <c r="Q113" s="1409"/>
      <c r="R113" s="1409"/>
      <c r="S113" s="1409"/>
      <c r="T113" s="1409"/>
      <c r="U113" s="1409"/>
      <c r="V113" s="1409"/>
    </row>
    <row r="114" spans="1:22" s="1247" customFormat="1">
      <c r="A114" s="749" t="s">
        <v>821</v>
      </c>
      <c r="B114" s="1088">
        <f>SUM(B81:F81)+SUM(AE81:AH81)*$C$8+SUM(AI81:AL81)*$D$8</f>
        <v>84.393318313470189</v>
      </c>
      <c r="C114" s="817">
        <f t="shared" ref="C114:C119" si="35">B114/2000</f>
        <v>4.2196659156735095E-2</v>
      </c>
      <c r="D114" s="1088">
        <f>SUM(G81:K81)+SUM(AE81:AH81)*$C$8+SUM(AI81:AL81)*$D$8</f>
        <v>15.593992997991291</v>
      </c>
      <c r="E114" s="817">
        <f t="shared" ref="E114:E119" si="36">D114/2000</f>
        <v>7.7969964989956456E-3</v>
      </c>
      <c r="F114" s="1088">
        <f>SUM(L81:P81)+SUM(AE81:AH81)*$C$8+SUM(AI81:AL81)*$D$8</f>
        <v>52.241121750158641</v>
      </c>
      <c r="G114" s="817">
        <f t="shared" ref="G114:G119" si="37">F114/2000</f>
        <v>2.6120560875079319E-2</v>
      </c>
      <c r="H114" s="1088">
        <f>SUM(Q81:U81)+SUM(AE81:AH81)*$C$8+SUM(AI81:AL81)*$D$8</f>
        <v>11.16655234133243</v>
      </c>
      <c r="I114" s="817">
        <f t="shared" ref="I114:K121" si="38">H114/2000</f>
        <v>5.5832761706662154E-3</v>
      </c>
      <c r="J114" s="1088">
        <f t="shared" ref="J114:J121" si="39">SUM(V81:Z81)+SUM(AE81:AH81)*$C$8+SUM(AI81:AL81)*$D$8</f>
        <v>21.26738467984034</v>
      </c>
      <c r="K114" s="817">
        <f t="shared" si="38"/>
        <v>1.063369233992017E-2</v>
      </c>
      <c r="L114" s="1409"/>
      <c r="O114" s="1409"/>
      <c r="P114" s="1409"/>
      <c r="Q114" s="1409"/>
      <c r="R114" s="1409"/>
      <c r="S114" s="1409"/>
      <c r="T114" s="1409"/>
      <c r="U114" s="1409"/>
      <c r="V114" s="1409"/>
    </row>
    <row r="115" spans="1:22" s="1247" customFormat="1">
      <c r="A115" s="749" t="s">
        <v>822</v>
      </c>
      <c r="B115" s="1088">
        <f t="shared" ref="B115:B121" si="40">SUM(B82:F82)+SUM(AE82:AH82)*$C$8+SUM(AI82:AL82)*$D$8</f>
        <v>492.08847096770086</v>
      </c>
      <c r="C115" s="817">
        <f t="shared" si="35"/>
        <v>0.24604423548385043</v>
      </c>
      <c r="D115" s="1088">
        <f t="shared" ref="D115:D121" si="41">SUM(G82:K82)+SUM(AE82:AH82)*$C$8+SUM(AI82:AL82)*$D$8</f>
        <v>117.674648806793</v>
      </c>
      <c r="E115" s="817">
        <f t="shared" si="36"/>
        <v>5.88373244033965E-2</v>
      </c>
      <c r="F115" s="1088">
        <f t="shared" ref="F115:F121" si="42">SUM(L82:P82)+SUM(AE82:AH82)*$C$8+SUM(AI82:AL82)*$D$8</f>
        <v>867.19529581430675</v>
      </c>
      <c r="G115" s="817">
        <f t="shared" si="37"/>
        <v>0.43359764790715338</v>
      </c>
      <c r="H115" s="1088">
        <f t="shared" ref="H115:H121" si="43">SUM(Q82:U82)+SUM(AE82:AH82)*$C$8+SUM(AI82:AL82)*$D$8</f>
        <v>220.4790441442735</v>
      </c>
      <c r="I115" s="817">
        <f t="shared" si="38"/>
        <v>0.11023952207213675</v>
      </c>
      <c r="J115" s="1088">
        <f t="shared" si="39"/>
        <v>293.14363608249801</v>
      </c>
      <c r="K115" s="817">
        <f t="shared" si="38"/>
        <v>0.146571818041249</v>
      </c>
      <c r="L115" s="1409"/>
      <c r="O115" s="1409"/>
      <c r="P115" s="1409"/>
      <c r="Q115" s="1409"/>
      <c r="R115" s="1409"/>
      <c r="S115" s="1409"/>
      <c r="T115" s="1409"/>
      <c r="U115" s="1409"/>
      <c r="V115" s="1409"/>
    </row>
    <row r="116" spans="1:22" s="1247" customFormat="1">
      <c r="A116" s="749" t="s">
        <v>823</v>
      </c>
      <c r="B116" s="1088">
        <f t="shared" si="40"/>
        <v>347.48841564820566</v>
      </c>
      <c r="C116" s="817">
        <f t="shared" si="35"/>
        <v>0.17374420782410283</v>
      </c>
      <c r="D116" s="1088">
        <f t="shared" si="41"/>
        <v>969.9416867836494</v>
      </c>
      <c r="E116" s="817">
        <f t="shared" si="36"/>
        <v>0.48497084339182472</v>
      </c>
      <c r="F116" s="1088">
        <f t="shared" si="42"/>
        <v>709.40679824338179</v>
      </c>
      <c r="G116" s="817">
        <f t="shared" si="37"/>
        <v>0.35470339912169091</v>
      </c>
      <c r="H116" s="1088">
        <f t="shared" si="43"/>
        <v>219.03898348259162</v>
      </c>
      <c r="I116" s="817">
        <f t="shared" si="38"/>
        <v>0.10951949174129581</v>
      </c>
      <c r="J116" s="1088">
        <f t="shared" si="39"/>
        <v>312.57849257093943</v>
      </c>
      <c r="K116" s="817">
        <f t="shared" si="38"/>
        <v>0.15628924628546972</v>
      </c>
      <c r="L116" s="1409"/>
      <c r="O116" s="1409"/>
      <c r="P116" s="1409"/>
      <c r="Q116" s="1409"/>
      <c r="R116" s="1409"/>
      <c r="S116" s="1409"/>
      <c r="T116" s="1409"/>
      <c r="U116" s="1409"/>
      <c r="V116" s="1409"/>
    </row>
    <row r="117" spans="1:22" s="1247" customFormat="1">
      <c r="A117" s="749" t="s">
        <v>1338</v>
      </c>
      <c r="B117" s="1088">
        <f t="shared" si="40"/>
        <v>100.08307609437533</v>
      </c>
      <c r="C117" s="817">
        <f t="shared" si="35"/>
        <v>5.0041538047187667E-2</v>
      </c>
      <c r="D117" s="1088">
        <f t="shared" si="41"/>
        <v>125.51629316635355</v>
      </c>
      <c r="E117" s="817">
        <f t="shared" si="36"/>
        <v>6.2758146583176772E-2</v>
      </c>
      <c r="F117" s="1088">
        <f t="shared" si="42"/>
        <v>153.88839300469493</v>
      </c>
      <c r="G117" s="817">
        <f t="shared" si="37"/>
        <v>7.6944196502347462E-2</v>
      </c>
      <c r="H117" s="1088">
        <f t="shared" si="43"/>
        <v>44.102849460772362</v>
      </c>
      <c r="I117" s="817">
        <f t="shared" si="38"/>
        <v>2.2051424730386182E-2</v>
      </c>
      <c r="J117" s="1088">
        <f t="shared" si="39"/>
        <v>52.088171054006438</v>
      </c>
      <c r="K117" s="817">
        <f t="shared" si="38"/>
        <v>2.604408552700322E-2</v>
      </c>
      <c r="L117" s="1409"/>
      <c r="O117" s="1409"/>
      <c r="P117" s="1409"/>
      <c r="Q117" s="1409"/>
      <c r="R117" s="1409"/>
      <c r="S117" s="1409"/>
      <c r="T117" s="1409"/>
      <c r="U117" s="1409"/>
      <c r="V117" s="1409"/>
    </row>
    <row r="118" spans="1:22" s="1247" customFormat="1">
      <c r="A118" s="749" t="s">
        <v>825</v>
      </c>
      <c r="B118" s="1088">
        <f t="shared" si="40"/>
        <v>79.900699541952321</v>
      </c>
      <c r="C118" s="817">
        <f t="shared" si="35"/>
        <v>3.9950349770976161E-2</v>
      </c>
      <c r="D118" s="1088">
        <f t="shared" si="41"/>
        <v>84.084440959501094</v>
      </c>
      <c r="E118" s="817">
        <f t="shared" si="36"/>
        <v>4.204222047975055E-2</v>
      </c>
      <c r="F118" s="1088">
        <f t="shared" si="42"/>
        <v>129.82993965334674</v>
      </c>
      <c r="G118" s="817">
        <f t="shared" si="37"/>
        <v>6.4914969826673372E-2</v>
      </c>
      <c r="H118" s="1088">
        <f t="shared" si="43"/>
        <v>24.904183797051097</v>
      </c>
      <c r="I118" s="817">
        <f t="shared" si="38"/>
        <v>1.2452091898525548E-2</v>
      </c>
      <c r="J118" s="1088">
        <f t="shared" si="39"/>
        <v>30.22408507684441</v>
      </c>
      <c r="K118" s="817">
        <f t="shared" si="38"/>
        <v>1.5112042538422205E-2</v>
      </c>
      <c r="L118" s="1409"/>
      <c r="O118" s="1409"/>
      <c r="P118" s="1409"/>
      <c r="Q118" s="1409"/>
      <c r="R118" s="1409"/>
      <c r="S118" s="1409"/>
      <c r="T118" s="1409"/>
      <c r="U118" s="1409"/>
      <c r="V118" s="1409"/>
    </row>
    <row r="119" spans="1:22" s="1247" customFormat="1">
      <c r="A119" s="749" t="s">
        <v>1339</v>
      </c>
      <c r="B119" s="1088">
        <f t="shared" si="40"/>
        <v>706.55448254314626</v>
      </c>
      <c r="C119" s="817">
        <f t="shared" si="35"/>
        <v>0.35327724127157312</v>
      </c>
      <c r="D119" s="1088">
        <f t="shared" si="41"/>
        <v>483.88716937072877</v>
      </c>
      <c r="E119" s="817">
        <f t="shared" si="36"/>
        <v>0.24194358468536439</v>
      </c>
      <c r="F119" s="1088">
        <f t="shared" si="42"/>
        <v>122.95071904566353</v>
      </c>
      <c r="G119" s="817">
        <f t="shared" si="37"/>
        <v>6.1475359522831764E-2</v>
      </c>
      <c r="H119" s="1088">
        <f t="shared" si="43"/>
        <v>53.701141266365163</v>
      </c>
      <c r="I119" s="817">
        <f t="shared" si="38"/>
        <v>2.685057063318258E-2</v>
      </c>
      <c r="J119" s="1088">
        <f t="shared" si="39"/>
        <v>77.328323874284493</v>
      </c>
      <c r="K119" s="817">
        <f t="shared" si="38"/>
        <v>3.8664161937142248E-2</v>
      </c>
      <c r="L119" s="1409"/>
      <c r="O119" s="1409"/>
      <c r="P119" s="1409"/>
      <c r="Q119" s="1409"/>
      <c r="R119" s="1409"/>
      <c r="S119" s="1409"/>
      <c r="T119" s="1409"/>
      <c r="U119" s="1409"/>
      <c r="V119" s="1409"/>
    </row>
    <row r="120" spans="1:22" s="1247" customFormat="1">
      <c r="A120" s="749" t="s">
        <v>827</v>
      </c>
      <c r="B120" s="1088">
        <f t="shared" si="40"/>
        <v>2.2201122127816064</v>
      </c>
      <c r="C120" s="817">
        <f>B120/2000</f>
        <v>1.1100561063908032E-3</v>
      </c>
      <c r="D120" s="1088">
        <f t="shared" si="41"/>
        <v>2.3641195131539003</v>
      </c>
      <c r="E120" s="817">
        <f>D120/2000</f>
        <v>1.1820597565769502E-3</v>
      </c>
      <c r="F120" s="1088">
        <f t="shared" si="42"/>
        <v>3.2158437779010849</v>
      </c>
      <c r="G120" s="817">
        <f>F120/2000</f>
        <v>1.6079218889505425E-3</v>
      </c>
      <c r="H120" s="1088">
        <f t="shared" si="43"/>
        <v>0.75672396099652228</v>
      </c>
      <c r="I120" s="817">
        <f>H120/2000</f>
        <v>3.7836198049826116E-4</v>
      </c>
      <c r="J120" s="1088">
        <f t="shared" si="39"/>
        <v>0.93564369798685521</v>
      </c>
      <c r="K120" s="817">
        <f t="shared" si="38"/>
        <v>4.6782184899342758E-4</v>
      </c>
      <c r="L120" s="1409"/>
      <c r="O120" s="1409"/>
      <c r="P120" s="1409"/>
      <c r="Q120" s="1409"/>
      <c r="R120" s="1409"/>
      <c r="S120" s="1409"/>
      <c r="T120" s="1409"/>
      <c r="U120" s="1409"/>
      <c r="V120" s="1409"/>
    </row>
    <row r="121" spans="1:22" s="1247" customFormat="1">
      <c r="A121" s="748" t="s">
        <v>828</v>
      </c>
      <c r="B121" s="1274">
        <f t="shared" si="40"/>
        <v>9.7336839506762036</v>
      </c>
      <c r="C121" s="1084">
        <f>B121/2000</f>
        <v>4.8668419753381022E-3</v>
      </c>
      <c r="D121" s="1274">
        <f t="shared" si="41"/>
        <v>9.7692799938406338</v>
      </c>
      <c r="E121" s="1084">
        <f>D121/2000</f>
        <v>4.8846399969203168E-3</v>
      </c>
      <c r="F121" s="1274">
        <f t="shared" si="42"/>
        <v>13.829625570958184</v>
      </c>
      <c r="G121" s="1084">
        <f>F121/2000</f>
        <v>6.9148127854790917E-3</v>
      </c>
      <c r="H121" s="1274">
        <f t="shared" si="43"/>
        <v>3.173507514302643</v>
      </c>
      <c r="I121" s="1084">
        <f>H121/2000</f>
        <v>1.5867537571513214E-3</v>
      </c>
      <c r="J121" s="1274">
        <f t="shared" si="39"/>
        <v>3.6992944575273268</v>
      </c>
      <c r="K121" s="1084">
        <f t="shared" si="38"/>
        <v>1.8496472287636634E-3</v>
      </c>
      <c r="L121" s="1409"/>
      <c r="O121" s="1409"/>
      <c r="P121" s="1409"/>
      <c r="Q121" s="1409"/>
      <c r="R121" s="1409"/>
      <c r="S121" s="1409"/>
      <c r="T121" s="1409"/>
      <c r="U121" s="1409"/>
      <c r="V121" s="1409"/>
    </row>
    <row r="123" spans="1:22" ht="15">
      <c r="A123" s="607" t="s">
        <v>1340</v>
      </c>
      <c r="B123" s="1247"/>
      <c r="C123" s="1247"/>
      <c r="D123" s="1247"/>
      <c r="E123" s="1247"/>
      <c r="F123" s="1247"/>
      <c r="G123" s="1247"/>
      <c r="H123" s="1247"/>
      <c r="I123" s="1247"/>
      <c r="J123" s="1247"/>
      <c r="K123" s="1247"/>
      <c r="L123" s="1247"/>
    </row>
    <row r="124" spans="1:22" ht="57.75" customHeight="1">
      <c r="A124" s="1269"/>
      <c r="B124" s="3111" t="s">
        <v>1341</v>
      </c>
      <c r="C124" s="3112"/>
      <c r="D124" s="3111" t="s">
        <v>1342</v>
      </c>
      <c r="E124" s="3112"/>
      <c r="F124" s="3111" t="s">
        <v>1343</v>
      </c>
      <c r="G124" s="3112"/>
      <c r="H124" s="3111" t="s">
        <v>1344</v>
      </c>
      <c r="I124" s="3112"/>
      <c r="J124" s="3101" t="str">
        <f>"Ready-mix Concrete from "&amp;B5&amp;" Cement Delivered"</f>
        <v>Ready-mix Concrete from U.S. National Average Cement Delivered</v>
      </c>
      <c r="K124" s="3102"/>
    </row>
    <row r="125" spans="1:22">
      <c r="A125" s="699" t="s">
        <v>1337</v>
      </c>
      <c r="B125" s="1089" t="s">
        <v>845</v>
      </c>
      <c r="C125" s="675" t="s">
        <v>846</v>
      </c>
      <c r="D125" s="1089" t="s">
        <v>845</v>
      </c>
      <c r="E125" s="675" t="s">
        <v>846</v>
      </c>
      <c r="F125" s="1089" t="s">
        <v>845</v>
      </c>
      <c r="G125" s="675" t="s">
        <v>846</v>
      </c>
      <c r="H125" s="1089" t="s">
        <v>845</v>
      </c>
      <c r="I125" s="675" t="s">
        <v>846</v>
      </c>
      <c r="J125" s="1089" t="s">
        <v>845</v>
      </c>
      <c r="K125" s="675" t="s">
        <v>846</v>
      </c>
    </row>
    <row r="126" spans="1:22">
      <c r="A126" s="749" t="s">
        <v>816</v>
      </c>
      <c r="B126" s="1092">
        <f>(B93*$E$8)+(SUM($AM62:$AP62)*($F$8+$G$8))+SUM($AA62:$AD62)</f>
        <v>701118.91442807892</v>
      </c>
      <c r="C126" s="969">
        <f>B126/2000</f>
        <v>350.55945721403947</v>
      </c>
      <c r="D126" s="1092">
        <f>(D93*$E$8)+(SUM($AM62:$AP62)*($F$8+$G$8))+SUM($AA62:$AD62)</f>
        <v>619617.60537297383</v>
      </c>
      <c r="E126" s="969">
        <f>D126/2000</f>
        <v>309.8088026864869</v>
      </c>
      <c r="F126" s="1092">
        <f>(F93*$E$8)+(SUM($AM62:$AP62)*($F$8+$G$8))+SUM($AA62:$AD62)</f>
        <v>499856.11836282717</v>
      </c>
      <c r="G126" s="969">
        <f>F126/2000</f>
        <v>249.92805918141357</v>
      </c>
      <c r="H126" s="1092">
        <f>(H93*$E$8)+(SUM($AM62:$AP62)*($F$8+$G$8))+SUM($AA62:$AD62)</f>
        <v>455461.56838810578</v>
      </c>
      <c r="I126" s="969">
        <f>H126/2000</f>
        <v>227.73078419405289</v>
      </c>
      <c r="J126" s="1092">
        <f>(J93*$E$8)+(SUM($AM62:$AP62)*($F$8+$G$8))+SUM($AA62:$AD62)</f>
        <v>456148.36362223455</v>
      </c>
      <c r="K126" s="969">
        <f>J126/2000</f>
        <v>228.07418181111728</v>
      </c>
    </row>
    <row r="127" spans="1:22">
      <c r="A127" s="749" t="s">
        <v>817</v>
      </c>
      <c r="B127" s="1092">
        <f t="shared" ref="B127:D131" si="44">(B94*$E$8)+(SUM($AM63:$AP63)*($F$8+$G$8))+SUM($AA63:$AD63)</f>
        <v>423282.95496401534</v>
      </c>
      <c r="C127" s="969">
        <f>B127/2000</f>
        <v>211.64147748200767</v>
      </c>
      <c r="D127" s="1092">
        <f t="shared" si="44"/>
        <v>584646.72564978909</v>
      </c>
      <c r="E127" s="969">
        <f>D127/2000</f>
        <v>292.32336282489456</v>
      </c>
      <c r="F127" s="1092">
        <f t="shared" ref="F127" si="45">(F94*$E$8)+(SUM($AM63:$AP63)*($F$8+$G$8))+SUM($AA63:$AD63)</f>
        <v>433486.43405309232</v>
      </c>
      <c r="G127" s="969">
        <f>F127/2000</f>
        <v>216.74321702654615</v>
      </c>
      <c r="H127" s="1092">
        <f t="shared" ref="H127" si="46">(H94*$E$8)+(SUM($AM63:$AP63)*($F$8+$G$8))+SUM($AA63:$AD63)</f>
        <v>387998.34346786543</v>
      </c>
      <c r="I127" s="969">
        <f>H127/2000</f>
        <v>193.99917173393271</v>
      </c>
      <c r="J127" s="1092">
        <f t="shared" ref="J127:J143" si="47">(J94*$E$8)+(SUM($AM63:$AP63)*($F$8+$G$8))+SUM($AA63:$AD63)</f>
        <v>406634.26040313562</v>
      </c>
      <c r="K127" s="969">
        <f t="shared" ref="K127:K154" si="48">J127/2000</f>
        <v>203.31713020156781</v>
      </c>
    </row>
    <row r="128" spans="1:22">
      <c r="A128" s="749" t="s">
        <v>805</v>
      </c>
      <c r="B128" s="1092">
        <f t="shared" si="44"/>
        <v>144775.84952399728</v>
      </c>
      <c r="C128" s="969">
        <f>B128/2000</f>
        <v>72.387924761998647</v>
      </c>
      <c r="D128" s="1092">
        <f t="shared" si="44"/>
        <v>115842.81079815589</v>
      </c>
      <c r="E128" s="969">
        <f>D128/2000</f>
        <v>57.921405399077941</v>
      </c>
      <c r="F128" s="1092">
        <f t="shared" ref="F128" si="49">(F95*$E$8)+(SUM($AM64:$AP64)*($F$8+$G$8))+SUM($AA64:$AD64)</f>
        <v>189170.27739364957</v>
      </c>
      <c r="G128" s="969">
        <f>F128/2000</f>
        <v>94.585138696824785</v>
      </c>
      <c r="H128" s="1092">
        <f t="shared" ref="H128" si="50">(H95*$E$8)+(SUM($AM64:$AP64)*($F$8+$G$8))+SUM($AA64:$AD64)</f>
        <v>154403.55197089052</v>
      </c>
      <c r="I128" s="969">
        <f>H128/2000</f>
        <v>77.201775985445266</v>
      </c>
      <c r="J128" s="1092">
        <f t="shared" si="47"/>
        <v>158955.38674681701</v>
      </c>
      <c r="K128" s="969">
        <f t="shared" si="48"/>
        <v>79.477693373408499</v>
      </c>
    </row>
    <row r="129" spans="1:11">
      <c r="A129" s="749" t="s">
        <v>804</v>
      </c>
      <c r="B129" s="1092">
        <f t="shared" si="44"/>
        <v>138737.44725539908</v>
      </c>
      <c r="C129" s="969">
        <f>C127-C128-C130</f>
        <v>69.368723627699566</v>
      </c>
      <c r="D129" s="1092">
        <f t="shared" si="44"/>
        <v>121914.8959940569</v>
      </c>
      <c r="E129" s="969">
        <f>E127-E128-E130</f>
        <v>60.957447997028396</v>
      </c>
      <c r="F129" s="1092">
        <f t="shared" ref="F129" si="51">(F96*$E$8)+(SUM($AM65:$AP65)*($F$8+$G$8))+SUM($AA65:$AD65)</f>
        <v>154456.29128338106</v>
      </c>
      <c r="G129" s="969">
        <f>G127-G128-G130</f>
        <v>77.228145641690546</v>
      </c>
      <c r="H129" s="1092">
        <f t="shared" ref="H129" si="52">(H96*$E$8)+(SUM($AM65:$AP65)*($F$8+$G$8))+SUM($AA65:$AD65)</f>
        <v>119748.35164842314</v>
      </c>
      <c r="I129" s="969">
        <f>I127-I128-I130</f>
        <v>59.874175824211584</v>
      </c>
      <c r="J129" s="1092">
        <f t="shared" si="47"/>
        <v>125627.58218343231</v>
      </c>
      <c r="K129" s="969">
        <f t="shared" si="48"/>
        <v>62.813791091716155</v>
      </c>
    </row>
    <row r="130" spans="1:11">
      <c r="A130" s="749" t="s">
        <v>818</v>
      </c>
      <c r="B130" s="1092">
        <f t="shared" si="44"/>
        <v>139769.65818461892</v>
      </c>
      <c r="C130" s="969">
        <f>B130/2000</f>
        <v>69.884829092309459</v>
      </c>
      <c r="D130" s="1092">
        <f t="shared" si="44"/>
        <v>346889.01885757642</v>
      </c>
      <c r="E130" s="969">
        <f>D130/2000</f>
        <v>173.44450942878822</v>
      </c>
      <c r="F130" s="1092">
        <f t="shared" ref="F130" si="53">(F97*$E$8)+(SUM($AM66:$AP66)*($F$8+$G$8))+SUM($AA66:$AD66)</f>
        <v>89859.865376061629</v>
      </c>
      <c r="G130" s="969">
        <f>F130/2000</f>
        <v>44.929932688030817</v>
      </c>
      <c r="H130" s="1092">
        <f t="shared" ref="H130" si="54">(H97*$E$8)+(SUM($AM66:$AP66)*($F$8+$G$8))+SUM($AA66:$AD66)</f>
        <v>113846.43984855173</v>
      </c>
      <c r="I130" s="969">
        <f>H130/2000</f>
        <v>56.923219924275863</v>
      </c>
      <c r="J130" s="1092">
        <f t="shared" si="47"/>
        <v>122051.29147288622</v>
      </c>
      <c r="K130" s="969">
        <f t="shared" si="48"/>
        <v>61.02564573644311</v>
      </c>
    </row>
    <row r="131" spans="1:11">
      <c r="A131" s="1144" t="s">
        <v>819</v>
      </c>
      <c r="B131" s="1272">
        <f t="shared" si="44"/>
        <v>149.82765038971598</v>
      </c>
      <c r="C131" s="1275">
        <f>B131/2000</f>
        <v>7.4913825194857994E-2</v>
      </c>
      <c r="D131" s="1272">
        <f t="shared" si="44"/>
        <v>156.00071632133057</v>
      </c>
      <c r="E131" s="1275">
        <f>D131/2000</f>
        <v>7.8000358160665292E-2</v>
      </c>
      <c r="F131" s="1272">
        <f t="shared" ref="F131" si="55">(F98*$E$8)+(SUM($AM67:$AP67)*($F$8+$G$8))+SUM($AA67:$AD67)</f>
        <v>151.23044496706316</v>
      </c>
      <c r="G131" s="1275">
        <f>F131/2000</f>
        <v>7.5615222483531586E-2</v>
      </c>
      <c r="H131" s="1272">
        <f t="shared" ref="H131" si="56">(H98*$E$8)+(SUM($AM67:$AP67)*($F$8+$G$8))+SUM($AA67:$AD67)</f>
        <v>139.55097398842636</v>
      </c>
      <c r="I131" s="1275">
        <f>H131/2000</f>
        <v>6.9775486994213182E-2</v>
      </c>
      <c r="J131" s="1272">
        <f t="shared" si="47"/>
        <v>142.17397496441941</v>
      </c>
      <c r="K131" s="1271">
        <f t="shared" si="48"/>
        <v>7.1086987482209707E-2</v>
      </c>
    </row>
    <row r="132" spans="1:11">
      <c r="A132" s="699" t="s">
        <v>864</v>
      </c>
      <c r="B132" s="1273" t="s">
        <v>845</v>
      </c>
      <c r="C132" s="675" t="s">
        <v>846</v>
      </c>
      <c r="D132" s="1273" t="s">
        <v>845</v>
      </c>
      <c r="E132" s="675" t="s">
        <v>846</v>
      </c>
      <c r="F132" s="1273" t="s">
        <v>845</v>
      </c>
      <c r="G132" s="675" t="s">
        <v>846</v>
      </c>
      <c r="H132" s="1273" t="s">
        <v>845</v>
      </c>
      <c r="I132" s="675" t="s">
        <v>846</v>
      </c>
      <c r="J132" s="1089" t="s">
        <v>845</v>
      </c>
      <c r="K132" s="675" t="s">
        <v>846</v>
      </c>
    </row>
    <row r="133" spans="1:11">
      <c r="A133" s="749" t="s">
        <v>821</v>
      </c>
      <c r="B133" s="1088">
        <f t="shared" ref="B133:D143" si="57">(B100*$E$8)+(SUM($AM69:$AP69)*($F$8+$G$8))+SUM($AA69:$AD69)</f>
        <v>78.063234525623074</v>
      </c>
      <c r="C133" s="817">
        <f t="shared" ref="C133:C145" si="58">B133/2000</f>
        <v>3.9031617262811534E-2</v>
      </c>
      <c r="D133" s="1088">
        <f t="shared" si="57"/>
        <v>74.901905396770459</v>
      </c>
      <c r="E133" s="817">
        <f t="shared" ref="E133:E145" si="59">D133/2000</f>
        <v>3.7450952698385227E-2</v>
      </c>
      <c r="F133" s="1088">
        <f t="shared" ref="F133" si="60">(F100*$E$8)+(SUM($AM69:$AP69)*($F$8+$G$8))+SUM($AA69:$AD69)</f>
        <v>78.586778611370079</v>
      </c>
      <c r="G133" s="817">
        <f t="shared" ref="G133:G145" si="61">F133/2000</f>
        <v>3.9293389305685038E-2</v>
      </c>
      <c r="H133" s="1088">
        <f t="shared" ref="H133" si="62">(H100*$E$8)+(SUM($AM69:$AP69)*($F$8+$G$8))+SUM($AA69:$AD69)</f>
        <v>71.978424910422305</v>
      </c>
      <c r="I133" s="817">
        <f t="shared" ref="I133:I145" si="63">H133/2000</f>
        <v>3.5989212455211153E-2</v>
      </c>
      <c r="J133" s="1092">
        <f t="shared" si="47"/>
        <v>73.135540243508302</v>
      </c>
      <c r="K133" s="817">
        <f t="shared" si="48"/>
        <v>3.6567770121754148E-2</v>
      </c>
    </row>
    <row r="134" spans="1:11">
      <c r="A134" s="749" t="s">
        <v>822</v>
      </c>
      <c r="B134" s="1088">
        <f t="shared" si="57"/>
        <v>98.749670832771088</v>
      </c>
      <c r="C134" s="817">
        <f t="shared" si="58"/>
        <v>4.9374835416385543E-2</v>
      </c>
      <c r="D134" s="1088">
        <f t="shared" si="57"/>
        <v>55.289885073645067</v>
      </c>
      <c r="E134" s="817">
        <f t="shared" si="59"/>
        <v>2.7644942536822533E-2</v>
      </c>
      <c r="F134" s="1088">
        <f t="shared" ref="F134" si="64">(F101*$E$8)+(SUM($AM70:$AP70)*($F$8+$G$8))+SUM($AA70:$AD70)</f>
        <v>170.02214996651108</v>
      </c>
      <c r="G134" s="817">
        <f t="shared" si="61"/>
        <v>8.5011074983255538E-2</v>
      </c>
      <c r="H134" s="1088">
        <f t="shared" ref="H134" si="65">(H101*$E$8)+(SUM($AM70:$AP70)*($F$8+$G$8))+SUM($AA70:$AD70)</f>
        <v>120.27327175537221</v>
      </c>
      <c r="I134" s="817">
        <f t="shared" si="63"/>
        <v>6.0136635877686105E-2</v>
      </c>
      <c r="J134" s="1092">
        <f t="shared" si="47"/>
        <v>122.08523820881614</v>
      </c>
      <c r="K134" s="817">
        <f t="shared" si="48"/>
        <v>6.1042619104408065E-2</v>
      </c>
    </row>
    <row r="135" spans="1:11">
      <c r="A135" s="749" t="s">
        <v>849</v>
      </c>
      <c r="B135" s="1088">
        <f t="shared" si="57"/>
        <v>195.72380480804955</v>
      </c>
      <c r="C135" s="817">
        <f t="shared" si="58"/>
        <v>9.7861902404024773E-2</v>
      </c>
      <c r="D135" s="1088">
        <f t="shared" si="57"/>
        <v>204.39824296245214</v>
      </c>
      <c r="E135" s="817">
        <f t="shared" si="59"/>
        <v>0.10219912148122608</v>
      </c>
      <c r="F135" s="1088">
        <f t="shared" ref="F135" si="66">(F102*$E$8)+(SUM($AM71:$AP71)*($F$8+$G$8))+SUM($AA71:$AD71)</f>
        <v>168.78627741771564</v>
      </c>
      <c r="G135" s="817">
        <f t="shared" si="61"/>
        <v>8.4393138708857812E-2</v>
      </c>
      <c r="H135" s="1088">
        <f t="shared" ref="H135" si="67">(H102*$E$8)+(SUM($AM71:$AP71)*($F$8+$G$8))+SUM($AA71:$AD71)</f>
        <v>131.91472342362667</v>
      </c>
      <c r="I135" s="817">
        <f t="shared" si="63"/>
        <v>6.5957361711813337E-2</v>
      </c>
      <c r="J135" s="1092">
        <f t="shared" si="47"/>
        <v>142.26915904663275</v>
      </c>
      <c r="K135" s="817">
        <f t="shared" si="48"/>
        <v>7.113457952331638E-2</v>
      </c>
    </row>
    <row r="136" spans="1:11">
      <c r="A136" s="749" t="s">
        <v>824</v>
      </c>
      <c r="B136" s="1088">
        <f t="shared" si="57"/>
        <v>90.793554809557719</v>
      </c>
      <c r="C136" s="817">
        <f t="shared" si="58"/>
        <v>4.5396777404778862E-2</v>
      </c>
      <c r="D136" s="1088">
        <f t="shared" si="57"/>
        <v>74.835224359349539</v>
      </c>
      <c r="E136" s="817">
        <f t="shared" si="59"/>
        <v>3.7417612179674771E-2</v>
      </c>
      <c r="F136" s="1088">
        <f t="shared" ref="F136" si="68">(F103*$E$8)+(SUM($AM72:$AP72)*($F$8+$G$8))+SUM($AA72:$AD72)</f>
        <v>80.72099335126542</v>
      </c>
      <c r="G136" s="817">
        <f t="shared" si="61"/>
        <v>4.0360496675632712E-2</v>
      </c>
      <c r="H136" s="1088">
        <f t="shared" ref="H136" si="69">(H103*$E$8)+(SUM($AM72:$AP72)*($F$8+$G$8))+SUM($AA72:$AD72)</f>
        <v>66.286021749350652</v>
      </c>
      <c r="I136" s="817">
        <f t="shared" si="63"/>
        <v>3.3143010874675326E-2</v>
      </c>
      <c r="J136" s="1092">
        <f t="shared" si="47"/>
        <v>69.26417235417145</v>
      </c>
      <c r="K136" s="817">
        <f t="shared" si="48"/>
        <v>3.4632086177085727E-2</v>
      </c>
    </row>
    <row r="137" spans="1:11">
      <c r="A137" s="749" t="s">
        <v>825</v>
      </c>
      <c r="B137" s="1088">
        <f t="shared" si="57"/>
        <v>38.379661540396114</v>
      </c>
      <c r="C137" s="817">
        <f t="shared" si="58"/>
        <v>1.9189830770198056E-2</v>
      </c>
      <c r="D137" s="1088">
        <f t="shared" si="57"/>
        <v>25.78532759563916</v>
      </c>
      <c r="E137" s="817">
        <f t="shared" si="59"/>
        <v>1.289266379781958E-2</v>
      </c>
      <c r="F137" s="1088">
        <f t="shared" ref="F137" si="70">(F104*$E$8)+(SUM($AM73:$AP73)*($F$8+$G$8))+SUM($AA73:$AD73)</f>
        <v>35.11283678739052</v>
      </c>
      <c r="G137" s="817">
        <f t="shared" si="61"/>
        <v>1.7556418393695261E-2</v>
      </c>
      <c r="H137" s="1088">
        <f t="shared" ref="H137" si="71">(H104*$E$8)+(SUM($AM73:$AP73)*($F$8+$G$8))+SUM($AA73:$AD73)</f>
        <v>21.636819910333813</v>
      </c>
      <c r="I137" s="817">
        <f t="shared" si="63"/>
        <v>1.0818409955166907E-2</v>
      </c>
      <c r="J137" s="1092">
        <f t="shared" si="47"/>
        <v>24.00132180371385</v>
      </c>
      <c r="K137" s="817">
        <f t="shared" si="48"/>
        <v>1.2000660901856926E-2</v>
      </c>
    </row>
    <row r="138" spans="1:11">
      <c r="A138" s="749" t="s">
        <v>826</v>
      </c>
      <c r="B138" s="1088">
        <f t="shared" si="57"/>
        <v>116.45887154695498</v>
      </c>
      <c r="C138" s="817">
        <f t="shared" si="58"/>
        <v>5.8229435773477493E-2</v>
      </c>
      <c r="D138" s="1088">
        <f t="shared" si="57"/>
        <v>79.249704160921524</v>
      </c>
      <c r="E138" s="817">
        <f t="shared" si="59"/>
        <v>3.9624852080460765E-2</v>
      </c>
      <c r="F138" s="1088">
        <f t="shared" ref="F138" si="72">(F105*$E$8)+(SUM($AM74:$AP74)*($F$8+$G$8))+SUM($AA74:$AD74)</f>
        <v>24.597506897813059</v>
      </c>
      <c r="G138" s="817">
        <f t="shared" si="61"/>
        <v>1.2298753448906529E-2</v>
      </c>
      <c r="H138" s="1088">
        <f t="shared" ref="H138" si="73">(H105*$E$8)+(SUM($AM74:$AP74)*($F$8+$G$8))+SUM($AA74:$AD74)</f>
        <v>28.426545934324587</v>
      </c>
      <c r="I138" s="817">
        <f t="shared" si="63"/>
        <v>1.4213272967162294E-2</v>
      </c>
      <c r="J138" s="1092">
        <f t="shared" si="47"/>
        <v>33.485268576341667</v>
      </c>
      <c r="K138" s="817">
        <f t="shared" si="48"/>
        <v>1.6742634288170834E-2</v>
      </c>
    </row>
    <row r="139" spans="1:11">
      <c r="A139" s="749" t="s">
        <v>827</v>
      </c>
      <c r="B139" s="1088">
        <f t="shared" si="57"/>
        <v>1.3307720935138487</v>
      </c>
      <c r="C139" s="817">
        <f t="shared" si="58"/>
        <v>6.6538604675692441E-4</v>
      </c>
      <c r="D139" s="1088">
        <f t="shared" si="57"/>
        <v>0.96065842363095733</v>
      </c>
      <c r="E139" s="817">
        <f t="shared" si="59"/>
        <v>4.8032921181547866E-4</v>
      </c>
      <c r="F139" s="1088">
        <f t="shared" ref="F139" si="74">(F106*$E$8)+(SUM($AM75:$AP75)*($F$8+$G$8))+SUM($AA75:$AD75)</f>
        <v>1.1693578849634463</v>
      </c>
      <c r="G139" s="817">
        <f t="shared" si="61"/>
        <v>5.8467894248172313E-4</v>
      </c>
      <c r="H139" s="1088">
        <f t="shared" ref="H139" si="75">(H106*$E$8)+(SUM($AM75:$AP75)*($F$8+$G$8))+SUM($AA75:$AD75)</f>
        <v>0.85848336541139414</v>
      </c>
      <c r="I139" s="817">
        <f t="shared" si="63"/>
        <v>4.2924168270569706E-4</v>
      </c>
      <c r="J139" s="1092">
        <f t="shared" si="47"/>
        <v>0.9159530541898171</v>
      </c>
      <c r="K139" s="817">
        <f t="shared" si="48"/>
        <v>4.5797652709490854E-4</v>
      </c>
    </row>
    <row r="140" spans="1:11">
      <c r="A140" s="749" t="s">
        <v>828</v>
      </c>
      <c r="B140" s="1088">
        <f t="shared" si="57"/>
        <v>3.7946451424050913</v>
      </c>
      <c r="C140" s="817">
        <f t="shared" si="58"/>
        <v>1.8973225712025457E-3</v>
      </c>
      <c r="D140" s="1088">
        <f t="shared" si="57"/>
        <v>2.4288354185491068</v>
      </c>
      <c r="E140" s="817">
        <f t="shared" si="59"/>
        <v>1.2144177092745533E-3</v>
      </c>
      <c r="F140" s="1088">
        <f t="shared" ref="F140" si="76">(F107*$E$8)+(SUM($AM76:$AP76)*($F$8+$G$8))+SUM($AA76:$AD76)</f>
        <v>3.3883916870151465</v>
      </c>
      <c r="G140" s="817">
        <f t="shared" si="61"/>
        <v>1.6941958435075732E-3</v>
      </c>
      <c r="H140" s="1088">
        <f t="shared" ref="H140" si="77">(H107*$E$8)+(SUM($AM76:$AP76)*($F$8+$G$8))+SUM($AA76:$AD76)</f>
        <v>1.9316981501293573</v>
      </c>
      <c r="I140" s="817">
        <f t="shared" si="63"/>
        <v>9.6584907506467861E-4</v>
      </c>
      <c r="J140" s="1092">
        <f t="shared" si="47"/>
        <v>2.191771755185508</v>
      </c>
      <c r="K140" s="817">
        <f t="shared" si="48"/>
        <v>1.0958858775927541E-3</v>
      </c>
    </row>
    <row r="141" spans="1:11">
      <c r="A141" s="749" t="s">
        <v>829</v>
      </c>
      <c r="B141" s="1088">
        <f t="shared" si="57"/>
        <v>-84.637156974494403</v>
      </c>
      <c r="C141" s="817">
        <f t="shared" si="58"/>
        <v>-4.2318578487247203E-2</v>
      </c>
      <c r="D141" s="1088">
        <f t="shared" si="57"/>
        <v>66.794643207489528</v>
      </c>
      <c r="E141" s="817">
        <f t="shared" si="59"/>
        <v>3.3397321603744763E-2</v>
      </c>
      <c r="F141" s="1088">
        <f t="shared" ref="F141" si="78">(F108*$E$8)+(SUM($AM77:$AP77)*($F$8+$G$8))+SUM($AA77:$AD77)</f>
        <v>67.376871257266316</v>
      </c>
      <c r="G141" s="817">
        <f t="shared" si="61"/>
        <v>3.3688435628633155E-2</v>
      </c>
      <c r="H141" s="1088">
        <f t="shared" ref="H141" si="79">(H108*$E$8)+(SUM($AM77:$AP77)*($F$8+$G$8))+SUM($AA77:$AD77)</f>
        <v>38.185845681248438</v>
      </c>
      <c r="I141" s="817">
        <f t="shared" si="63"/>
        <v>1.9092922840624218E-2</v>
      </c>
      <c r="J141" s="1092">
        <f t="shared" si="47"/>
        <v>39.831593622527151</v>
      </c>
      <c r="K141" s="817">
        <f t="shared" si="48"/>
        <v>1.9915796811263577E-2</v>
      </c>
    </row>
    <row r="142" spans="1:11">
      <c r="A142" s="749" t="s">
        <v>830</v>
      </c>
      <c r="B142" s="1088">
        <f t="shared" si="57"/>
        <v>0.73354449731447469</v>
      </c>
      <c r="C142" s="817">
        <f t="shared" si="58"/>
        <v>3.6677224865723734E-4</v>
      </c>
      <c r="D142" s="1088">
        <f t="shared" si="57"/>
        <v>0.80584396358178756</v>
      </c>
      <c r="E142" s="817">
        <f t="shared" si="59"/>
        <v>4.029219817908938E-4</v>
      </c>
      <c r="F142" s="1088">
        <f t="shared" ref="F142" si="80">(F109*$E$8)+(SUM($AM78:$AP78)*($F$8+$G$8))+SUM($AA78:$AD78)</f>
        <v>0.75202378896499478</v>
      </c>
      <c r="G142" s="817">
        <f t="shared" si="61"/>
        <v>3.7601189448249739E-4</v>
      </c>
      <c r="H142" s="1088">
        <f t="shared" ref="H142" si="81">(H109*$E$8)+(SUM($AM78:$AP78)*($F$8+$G$8))+SUM($AA78:$AD78)</f>
        <v>0.67498485744151493</v>
      </c>
      <c r="I142" s="817">
        <f t="shared" si="63"/>
        <v>3.3749242872075746E-4</v>
      </c>
      <c r="J142" s="1092">
        <f t="shared" si="47"/>
        <v>0.69482775253762386</v>
      </c>
      <c r="K142" s="817">
        <f t="shared" si="48"/>
        <v>3.4741387626881194E-4</v>
      </c>
    </row>
    <row r="143" spans="1:11">
      <c r="A143" s="1092" t="s">
        <v>831</v>
      </c>
      <c r="B143" s="1092">
        <f t="shared" si="57"/>
        <v>104676.01379741107</v>
      </c>
      <c r="C143" s="969">
        <f t="shared" si="58"/>
        <v>52.338006898705537</v>
      </c>
      <c r="D143" s="1092">
        <f t="shared" si="57"/>
        <v>101880.29337279737</v>
      </c>
      <c r="E143" s="969">
        <f t="shared" si="59"/>
        <v>50.940146686398684</v>
      </c>
      <c r="F143" s="1092">
        <f t="shared" ref="F143" si="82">(F110*$E$8)+(SUM($AM79:$AP79)*($F$8+$G$8))+SUM($AA79:$AD79)</f>
        <v>87225.526503888381</v>
      </c>
      <c r="G143" s="969">
        <f t="shared" si="61"/>
        <v>43.612763251944187</v>
      </c>
      <c r="H143" s="1092">
        <f t="shared" ref="H143" si="83">(H110*$E$8)+(SUM($AM79:$AP79)*($F$8+$G$8))+SUM($AA79:$AD79)</f>
        <v>83344.543202762492</v>
      </c>
      <c r="I143" s="969">
        <f t="shared" si="63"/>
        <v>41.672271601381247</v>
      </c>
      <c r="J143" s="1092">
        <f t="shared" si="47"/>
        <v>85511.579326842824</v>
      </c>
      <c r="K143" s="969">
        <f t="shared" si="48"/>
        <v>42.75578966342141</v>
      </c>
    </row>
    <row r="144" spans="1:11">
      <c r="A144" s="1092" t="s">
        <v>850</v>
      </c>
      <c r="B144" s="1092">
        <f>B143+B133*GREET1_Import_Export!$B$62/GREET1_Import_Export!$B$65+B134*GREET1_Import_Export!$B$63/GREET1_Import_Export!$B$65</f>
        <v>105074.48893251504</v>
      </c>
      <c r="C144" s="969">
        <f t="shared" si="58"/>
        <v>52.537244466257519</v>
      </c>
      <c r="D144" s="1092">
        <f>D143+D133*GREET1_Import_Export!$B$62/GREET1_Import_Export!$B$65+D134*GREET1_Import_Export!$B$63/GREET1_Import_Export!$B$65</f>
        <v>102200.62174973302</v>
      </c>
      <c r="E144" s="969">
        <f t="shared" si="59"/>
        <v>51.100310874866508</v>
      </c>
      <c r="F144" s="1092">
        <f>F143+F133*GREET1_Import_Export!$B$62/GREET1_Import_Export!$B$65+F134*GREET1_Import_Export!$B$63/GREET1_Import_Export!$B$65</f>
        <v>87737.632961460244</v>
      </c>
      <c r="G144" s="969">
        <f t="shared" si="61"/>
        <v>43.868816480730125</v>
      </c>
      <c r="H144" s="1092">
        <f>H143+H133*GREET1_Import_Export!$B$62/GREET1_Import_Export!$B$65+H134*GREET1_Import_Export!$B$63/GREET1_Import_Export!$B$65</f>
        <v>83757.87681601556</v>
      </c>
      <c r="I144" s="969">
        <f t="shared" si="63"/>
        <v>41.878938408007777</v>
      </c>
      <c r="J144" s="1092">
        <f>J143+J133*GREET1_Import_Export!$B$62/GREET1_Import_Export!$B$65+J134*GREET1_Import_Export!$B$63/GREET1_Import_Export!$B$65</f>
        <v>85931.366658739425</v>
      </c>
      <c r="K144" s="969">
        <f t="shared" si="48"/>
        <v>42.96568332936971</v>
      </c>
    </row>
    <row r="145" spans="1:11">
      <c r="A145" s="1194" t="s">
        <v>851</v>
      </c>
      <c r="B145" s="1194">
        <f>B144+SUMPRODUCT(B141:B142,GREET1_Import_Export!$B$51:$B$52)+SUMPRODUCT(B133:B135,GREET1_Import_Export!$B$55:$B$57)+SUMPRODUCT(B139:B140,GREET1_Import_Export!$B$58:$B$59)</f>
        <v>102729.76351506855</v>
      </c>
      <c r="C145" s="527">
        <f t="shared" si="58"/>
        <v>51.364881757534278</v>
      </c>
      <c r="D145" s="1194">
        <f>D144+SUMPRODUCT(D141:D142,GREET1_Import_Export!$B$51:$B$52)+SUMPRODUCT(D133:D135,GREET1_Import_Export!$B$55:$B$57)+SUMPRODUCT(D139:D140,GREET1_Import_Export!$B$58:$B$59)</f>
        <v>104418.00969630688</v>
      </c>
      <c r="E145" s="527">
        <f t="shared" si="59"/>
        <v>52.209004848153441</v>
      </c>
      <c r="F145" s="1194">
        <f>F144+SUMPRODUCT(F141:F142,GREET1_Import_Export!$B$51:$B$52)+SUMPRODUCT(F133:F135,GREET1_Import_Export!$B$55:$B$57)+SUMPRODUCT(F139:F140,GREET1_Import_Export!$B$58:$B$59)</f>
        <v>89958.225403253949</v>
      </c>
      <c r="G145" s="527">
        <f t="shared" si="61"/>
        <v>44.979112701626974</v>
      </c>
      <c r="H145" s="1194">
        <f>H144+SUMPRODUCT(H141:H142,GREET1_Import_Export!$B$51:$B$52)+SUMPRODUCT(H133:H135,GREET1_Import_Export!$B$55:$B$57)+SUMPRODUCT(H139:H140,GREET1_Import_Export!$B$58:$B$59)</f>
        <v>85082.323173675017</v>
      </c>
      <c r="I145" s="527">
        <f t="shared" si="63"/>
        <v>42.541161586837511</v>
      </c>
      <c r="J145" s="1194">
        <f>J144+SUMPRODUCT(J141:J142,GREET1_Import_Export!$B$51:$B$52)+SUMPRODUCT(J133:J135,GREET1_Import_Export!$B$55:$B$57)+SUMPRODUCT(J139:J140,GREET1_Import_Export!$B$58:$B$59)</f>
        <v>87310.443821837704</v>
      </c>
      <c r="K145" s="527">
        <f t="shared" si="48"/>
        <v>43.655221910918854</v>
      </c>
    </row>
    <row r="146" spans="1:11">
      <c r="A146" s="758" t="s">
        <v>865</v>
      </c>
      <c r="B146" s="1273" t="s">
        <v>845</v>
      </c>
      <c r="C146" s="815" t="s">
        <v>846</v>
      </c>
      <c r="D146" s="1273" t="s">
        <v>845</v>
      </c>
      <c r="E146" s="815" t="s">
        <v>846</v>
      </c>
      <c r="F146" s="1273" t="s">
        <v>845</v>
      </c>
      <c r="G146" s="815" t="s">
        <v>846</v>
      </c>
      <c r="H146" s="1273" t="s">
        <v>845</v>
      </c>
      <c r="I146" s="815" t="s">
        <v>846</v>
      </c>
      <c r="J146" s="1273" t="s">
        <v>845</v>
      </c>
      <c r="K146" s="815" t="s">
        <v>846</v>
      </c>
    </row>
    <row r="147" spans="1:11">
      <c r="A147" s="749" t="s">
        <v>821</v>
      </c>
      <c r="B147" s="1088">
        <f>(B114*$E$8)+(SUM($AM81:$AP81)*($F$8+$G$8))+SUM($AA81:$AD81)</f>
        <v>45.594706076098767</v>
      </c>
      <c r="C147" s="817">
        <f t="shared" ref="C147:C154" si="84">B147/2000</f>
        <v>2.2797353038049382E-2</v>
      </c>
      <c r="D147" s="1088">
        <f>(D114*$E$8)+(SUM($AM81:$AP81)*($F$8+$G$8))+SUM($AA81:$AD81)</f>
        <v>39.402766797705667</v>
      </c>
      <c r="E147" s="817">
        <f t="shared" ref="E147:E154" si="85">D147/2000</f>
        <v>1.9701383398852832E-2</v>
      </c>
      <c r="F147" s="1088">
        <f>(F114*$E$8)+(SUM($AM81:$AP81)*($F$8+$G$8))+SUM($AA81:$AD81)</f>
        <v>42.701008385400726</v>
      </c>
      <c r="G147" s="817">
        <f t="shared" ref="G147:G154" si="86">F147/2000</f>
        <v>2.1350504192700362E-2</v>
      </c>
      <c r="H147" s="1088">
        <f>(H114*$E$8)+(SUM($AM81:$AP81)*($F$8+$G$8))+SUM($AA81:$AD81)</f>
        <v>39.004297138606368</v>
      </c>
      <c r="I147" s="817">
        <f t="shared" ref="I147:I154" si="87">H147/2000</f>
        <v>1.9502148569303185E-2</v>
      </c>
      <c r="J147" s="1088">
        <f>(J114*$E$8)+(SUM($AM81:$AP81)*($F$8+$G$8))+SUM($AA81:$AD81)</f>
        <v>39.91337204907208</v>
      </c>
      <c r="K147" s="817">
        <f t="shared" si="48"/>
        <v>1.9956686024536041E-2</v>
      </c>
    </row>
    <row r="148" spans="1:11">
      <c r="A148" s="749" t="s">
        <v>822</v>
      </c>
      <c r="B148" s="1088">
        <f t="shared" ref="B148:D154" si="88">(B115*$E$8)+(SUM($AM82:$AP82)*($F$8+$G$8))+SUM($AA82:$AD82)</f>
        <v>51.112856664320354</v>
      </c>
      <c r="C148" s="817">
        <f t="shared" si="84"/>
        <v>2.5556428332160177E-2</v>
      </c>
      <c r="D148" s="1088">
        <f t="shared" si="88"/>
        <v>17.415612669838655</v>
      </c>
      <c r="E148" s="817">
        <f t="shared" si="85"/>
        <v>8.7078063349193269E-3</v>
      </c>
      <c r="F148" s="1088">
        <f t="shared" ref="F148" si="89">(F115*$E$8)+(SUM($AM82:$AP82)*($F$8+$G$8))+SUM($AA82:$AD82)</f>
        <v>84.872470900514898</v>
      </c>
      <c r="G148" s="817">
        <f t="shared" si="86"/>
        <v>4.2436235450257452E-2</v>
      </c>
      <c r="H148" s="1088">
        <f t="shared" ref="H148" si="90">(H115*$E$8)+(SUM($AM82:$AP82)*($F$8+$G$8))+SUM($AA82:$AD82)</f>
        <v>26.668008250211898</v>
      </c>
      <c r="I148" s="817">
        <f t="shared" si="87"/>
        <v>1.3334004125105948E-2</v>
      </c>
      <c r="J148" s="1088">
        <f t="shared" ref="J148:J154" si="91">(J115*$E$8)+(SUM($AM82:$AP82)*($F$8+$G$8))+SUM($AA82:$AD82)</f>
        <v>33.207821524652104</v>
      </c>
      <c r="K148" s="817">
        <f t="shared" si="48"/>
        <v>1.6603910762326052E-2</v>
      </c>
    </row>
    <row r="149" spans="1:11">
      <c r="A149" s="749" t="s">
        <v>823</v>
      </c>
      <c r="B149" s="1088">
        <f t="shared" si="88"/>
        <v>43.049470515873509</v>
      </c>
      <c r="C149" s="817">
        <f t="shared" si="84"/>
        <v>2.1524735257936755E-2</v>
      </c>
      <c r="D149" s="1088">
        <f t="shared" si="88"/>
        <v>99.070264918063444</v>
      </c>
      <c r="E149" s="817">
        <f t="shared" si="85"/>
        <v>4.9535132459031725E-2</v>
      </c>
      <c r="F149" s="1088">
        <f t="shared" ref="F149" si="92">(F116*$E$8)+(SUM($AM83:$AP83)*($F$8+$G$8))+SUM($AA83:$AD83)</f>
        <v>75.622124949439353</v>
      </c>
      <c r="G149" s="817">
        <f t="shared" si="86"/>
        <v>3.781106247471968E-2</v>
      </c>
      <c r="H149" s="1088">
        <f t="shared" ref="H149" si="93">(H116*$E$8)+(SUM($AM83:$AP83)*($F$8+$G$8))+SUM($AA83:$AD83)</f>
        <v>31.489021620968245</v>
      </c>
      <c r="I149" s="817">
        <f t="shared" si="87"/>
        <v>1.5744510810484124E-2</v>
      </c>
      <c r="J149" s="1088">
        <f t="shared" si="91"/>
        <v>39.907577438919553</v>
      </c>
      <c r="K149" s="817">
        <f t="shared" si="48"/>
        <v>1.9953788719459777E-2</v>
      </c>
    </row>
    <row r="150" spans="1:11">
      <c r="A150" s="749" t="s">
        <v>1338</v>
      </c>
      <c r="B150" s="1088">
        <f t="shared" si="88"/>
        <v>36.118105204843097</v>
      </c>
      <c r="C150" s="817">
        <f t="shared" si="84"/>
        <v>1.8059052602421549E-2</v>
      </c>
      <c r="D150" s="1088">
        <f t="shared" si="88"/>
        <v>38.407094741321131</v>
      </c>
      <c r="E150" s="817">
        <f t="shared" si="85"/>
        <v>1.9203547370660566E-2</v>
      </c>
      <c r="F150" s="1088">
        <f t="shared" ref="F150" si="94">(F117*$E$8)+(SUM($AM84:$AP84)*($F$8+$G$8))+SUM($AA84:$AD84)</f>
        <v>40.960583726771858</v>
      </c>
      <c r="G150" s="817">
        <f t="shared" si="86"/>
        <v>2.048029186338593E-2</v>
      </c>
      <c r="H150" s="1088">
        <f t="shared" ref="H150" si="95">(H117*$E$8)+(SUM($AM84:$AP84)*($F$8+$G$8))+SUM($AA84:$AD84)</f>
        <v>31.079884807818829</v>
      </c>
      <c r="I150" s="817">
        <f t="shared" si="87"/>
        <v>1.5539942403909414E-2</v>
      </c>
      <c r="J150" s="1088">
        <f t="shared" si="91"/>
        <v>31.798563751209898</v>
      </c>
      <c r="K150" s="817">
        <f t="shared" si="48"/>
        <v>1.5899281875604947E-2</v>
      </c>
    </row>
    <row r="151" spans="1:11">
      <c r="A151" s="749" t="s">
        <v>825</v>
      </c>
      <c r="B151" s="1088">
        <f t="shared" si="88"/>
        <v>14.275965071904087</v>
      </c>
      <c r="C151" s="817">
        <f t="shared" si="84"/>
        <v>7.1379825359520433E-3</v>
      </c>
      <c r="D151" s="1088">
        <f t="shared" si="88"/>
        <v>14.652501799483478</v>
      </c>
      <c r="E151" s="817">
        <f t="shared" si="85"/>
        <v>7.3262508997417389E-3</v>
      </c>
      <c r="F151" s="1088">
        <f t="shared" ref="F151" si="96">(F118*$E$8)+(SUM($AM85:$AP85)*($F$8+$G$8))+SUM($AA85:$AD85)</f>
        <v>18.769596681929585</v>
      </c>
      <c r="G151" s="817">
        <f t="shared" si="86"/>
        <v>9.3847983409647926E-3</v>
      </c>
      <c r="H151" s="1088">
        <f t="shared" ref="H151" si="97">(H118*$E$8)+(SUM($AM85:$AP85)*($F$8+$G$8))+SUM($AA85:$AD85)</f>
        <v>9.3262786548629784</v>
      </c>
      <c r="I151" s="817">
        <f t="shared" si="87"/>
        <v>4.6631393274314892E-3</v>
      </c>
      <c r="J151" s="1088">
        <f t="shared" si="91"/>
        <v>9.8050697700443763</v>
      </c>
      <c r="K151" s="817">
        <f t="shared" si="48"/>
        <v>4.9025348850221884E-3</v>
      </c>
    </row>
    <row r="152" spans="1:11">
      <c r="A152" s="749" t="s">
        <v>1339</v>
      </c>
      <c r="B152" s="1088">
        <f t="shared" si="88"/>
        <v>65.910864131015714</v>
      </c>
      <c r="C152" s="817">
        <f t="shared" si="84"/>
        <v>3.2955432065507856E-2</v>
      </c>
      <c r="D152" s="1088">
        <f t="shared" si="88"/>
        <v>45.870805945498148</v>
      </c>
      <c r="E152" s="817">
        <f t="shared" si="85"/>
        <v>2.2935402972749073E-2</v>
      </c>
      <c r="F152" s="1088">
        <f t="shared" ref="F152" si="98">(F119*$E$8)+(SUM($AM86:$AP86)*($F$8+$G$8))+SUM($AA86:$AD86)</f>
        <v>13.38652541624227</v>
      </c>
      <c r="G152" s="817">
        <f t="shared" si="86"/>
        <v>6.6932627081211348E-3</v>
      </c>
      <c r="H152" s="1088">
        <f t="shared" ref="H152" si="99">(H119*$E$8)+(SUM($AM86:$AP86)*($F$8+$G$8))+SUM($AA86:$AD86)</f>
        <v>7.1540634161054175</v>
      </c>
      <c r="I152" s="817">
        <f t="shared" si="87"/>
        <v>3.577031708052709E-3</v>
      </c>
      <c r="J152" s="1088">
        <f t="shared" si="91"/>
        <v>9.2805098508181576</v>
      </c>
      <c r="K152" s="817">
        <f t="shared" si="48"/>
        <v>4.6402549254090791E-3</v>
      </c>
    </row>
    <row r="153" spans="1:11">
      <c r="A153" s="749" t="s">
        <v>827</v>
      </c>
      <c r="B153" s="1088">
        <f t="shared" si="88"/>
        <v>0.44263863388213154</v>
      </c>
      <c r="C153" s="817">
        <f t="shared" si="84"/>
        <v>2.2131931694106577E-4</v>
      </c>
      <c r="D153" s="1088">
        <f t="shared" si="88"/>
        <v>0.455599290915638</v>
      </c>
      <c r="E153" s="817">
        <f t="shared" si="85"/>
        <v>2.2779964545781899E-4</v>
      </c>
      <c r="F153" s="1088">
        <f t="shared" ref="F153" si="100">(F120*$E$8)+(SUM($AM87:$AP87)*($F$8+$G$8))+SUM($AA87:$AD87)</f>
        <v>0.53225447474288468</v>
      </c>
      <c r="G153" s="817">
        <f t="shared" si="86"/>
        <v>2.6612723737144233E-4</v>
      </c>
      <c r="H153" s="1088">
        <f t="shared" ref="H153" si="101">(H120*$E$8)+(SUM($AM87:$AP87)*($F$8+$G$8))+SUM($AA87:$AD87)</f>
        <v>0.31093369122147402</v>
      </c>
      <c r="I153" s="817">
        <f t="shared" si="87"/>
        <v>1.55466845610737E-4</v>
      </c>
      <c r="J153" s="1088">
        <f t="shared" si="91"/>
        <v>0.327036467550604</v>
      </c>
      <c r="K153" s="817">
        <f t="shared" si="48"/>
        <v>1.6351823377530199E-4</v>
      </c>
    </row>
    <row r="154" spans="1:11">
      <c r="A154" s="748" t="s">
        <v>828</v>
      </c>
      <c r="B154" s="1274">
        <f t="shared" si="88"/>
        <v>1.3391513367384837</v>
      </c>
      <c r="C154" s="1084">
        <f t="shared" si="84"/>
        <v>6.6957566836924184E-4</v>
      </c>
      <c r="D154" s="1274">
        <f t="shared" si="88"/>
        <v>1.3423549806232824</v>
      </c>
      <c r="E154" s="1084">
        <f t="shared" si="85"/>
        <v>6.7117749031164124E-4</v>
      </c>
      <c r="F154" s="1274">
        <f t="shared" ref="F154" si="102">(F121*$E$8)+(SUM($AM88:$AP88)*($F$8+$G$8))+SUM($AA88:$AD88)</f>
        <v>1.7077860825638618</v>
      </c>
      <c r="G154" s="1084">
        <f t="shared" si="86"/>
        <v>8.5389304128193088E-4</v>
      </c>
      <c r="H154" s="1274">
        <f t="shared" ref="H154" si="103">(H121*$E$8)+(SUM($AM88:$AP88)*($F$8+$G$8))+SUM($AA88:$AD88)</f>
        <v>0.74873545746486325</v>
      </c>
      <c r="I154" s="1084">
        <f t="shared" si="87"/>
        <v>3.7436772873243162E-4</v>
      </c>
      <c r="J154" s="1274">
        <f t="shared" si="91"/>
        <v>0.79605628235508474</v>
      </c>
      <c r="K154" s="1084">
        <f t="shared" si="48"/>
        <v>3.9802814117754234E-4</v>
      </c>
    </row>
  </sheetData>
  <mergeCells count="33">
    <mergeCell ref="B6:D6"/>
    <mergeCell ref="E6:H6"/>
    <mergeCell ref="I6:L6"/>
    <mergeCell ref="B5:C5"/>
    <mergeCell ref="B30:F30"/>
    <mergeCell ref="G30:K30"/>
    <mergeCell ref="L30:P30"/>
    <mergeCell ref="AI30:AL30"/>
    <mergeCell ref="AM30:AP30"/>
    <mergeCell ref="B13:C13"/>
    <mergeCell ref="D13:E13"/>
    <mergeCell ref="F13:G13"/>
    <mergeCell ref="H13:I13"/>
    <mergeCell ref="J13:K13"/>
    <mergeCell ref="N13:O13"/>
    <mergeCell ref="P13:Q13"/>
    <mergeCell ref="R13:S13"/>
    <mergeCell ref="AE30:AH30"/>
    <mergeCell ref="Q30:U30"/>
    <mergeCell ref="V30:Z30"/>
    <mergeCell ref="A13:A14"/>
    <mergeCell ref="AA30:AD30"/>
    <mergeCell ref="L13:M13"/>
    <mergeCell ref="J91:K91"/>
    <mergeCell ref="J124:K124"/>
    <mergeCell ref="B124:C124"/>
    <mergeCell ref="D124:E124"/>
    <mergeCell ref="F124:G124"/>
    <mergeCell ref="H124:I124"/>
    <mergeCell ref="B91:C91"/>
    <mergeCell ref="D91:E91"/>
    <mergeCell ref="F91:G91"/>
    <mergeCell ref="H91:I91"/>
  </mergeCells>
  <dataValidations count="1">
    <dataValidation type="list" allowBlank="1" showInputMessage="1" showErrorMessage="1" sqref="B5:C5" xr:uid="{00000000-0002-0000-1C00-000000000000}">
      <formula1>$A$9:$A$10</formula1>
    </dataValidation>
  </dataValidations>
  <pageMargins left="0.7" right="0.7" top="0.75" bottom="0.75" header="0.3" footer="0.3"/>
  <pageSetup orientation="portrait"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dimension ref="A1:N100"/>
  <sheetViews>
    <sheetView showGridLines="0" zoomScale="85" zoomScaleNormal="85" workbookViewId="0"/>
  </sheetViews>
  <sheetFormatPr defaultColWidth="9.140625" defaultRowHeight="12.75"/>
  <cols>
    <col min="1" max="1" width="38.42578125" style="5" customWidth="1"/>
    <col min="2" max="2" width="15" style="5" bestFit="1" customWidth="1"/>
    <col min="3" max="3" width="11.140625" style="5" customWidth="1"/>
    <col min="4" max="4" width="13.85546875" style="5" bestFit="1" customWidth="1"/>
    <col min="5" max="5" width="10.28515625" style="5" bestFit="1" customWidth="1"/>
    <col min="6" max="6" width="12.28515625" style="5" bestFit="1" customWidth="1"/>
    <col min="7" max="7" width="9.28515625" style="5" bestFit="1" customWidth="1"/>
    <col min="8" max="8" width="12.7109375" style="5" bestFit="1" customWidth="1"/>
    <col min="9" max="9" width="9.140625" style="5"/>
    <col min="10" max="10" width="12.7109375" style="5" bestFit="1" customWidth="1"/>
    <col min="11" max="16384" width="9.140625" style="5"/>
  </cols>
  <sheetData>
    <row r="1" spans="1:13" ht="15.75">
      <c r="A1" s="2" t="s">
        <v>83</v>
      </c>
    </row>
    <row r="2" spans="1:13">
      <c r="A2" s="3"/>
    </row>
    <row r="3" spans="1:13" ht="15">
      <c r="A3" s="75" t="s">
        <v>932</v>
      </c>
    </row>
    <row r="4" spans="1:13" ht="15">
      <c r="A4" s="587"/>
      <c r="B4" s="557" t="s">
        <v>83</v>
      </c>
      <c r="C4" s="558" t="s">
        <v>997</v>
      </c>
    </row>
    <row r="5" spans="1:13">
      <c r="A5" s="230" t="s">
        <v>770</v>
      </c>
      <c r="B5" s="382">
        <v>1</v>
      </c>
      <c r="C5" s="588">
        <v>1</v>
      </c>
    </row>
    <row r="6" spans="1:13">
      <c r="A6" s="589" t="s">
        <v>773</v>
      </c>
      <c r="B6" s="368">
        <v>1</v>
      </c>
      <c r="C6" s="428">
        <v>1</v>
      </c>
    </row>
    <row r="8" spans="1:13" ht="15">
      <c r="A8" s="75" t="s">
        <v>933</v>
      </c>
    </row>
    <row r="9" spans="1:13" ht="30" customHeight="1">
      <c r="A9" s="178"/>
      <c r="B9" s="2998" t="s">
        <v>1345</v>
      </c>
      <c r="C9" s="2999"/>
      <c r="D9" s="3012" t="s">
        <v>1346</v>
      </c>
      <c r="E9" s="3012"/>
      <c r="F9" s="2998" t="s">
        <v>1347</v>
      </c>
      <c r="G9" s="2999"/>
      <c r="H9" s="3012" t="s">
        <v>1348</v>
      </c>
      <c r="I9" s="3012"/>
      <c r="J9" s="2998" t="s">
        <v>1349</v>
      </c>
      <c r="K9" s="2999"/>
      <c r="L9" s="3012" t="s">
        <v>997</v>
      </c>
      <c r="M9" s="2999"/>
    </row>
    <row r="10" spans="1:13" ht="66.75" customHeight="1">
      <c r="A10" s="571"/>
      <c r="B10" s="1673" t="s">
        <v>785</v>
      </c>
      <c r="C10" s="1674" t="s">
        <v>786</v>
      </c>
      <c r="D10" s="1675" t="s">
        <v>785</v>
      </c>
      <c r="E10" s="1675" t="s">
        <v>786</v>
      </c>
      <c r="F10" s="1673" t="s">
        <v>785</v>
      </c>
      <c r="G10" s="1674" t="s">
        <v>786</v>
      </c>
      <c r="H10" s="1675" t="s">
        <v>785</v>
      </c>
      <c r="I10" s="1675" t="s">
        <v>786</v>
      </c>
      <c r="J10" s="1673" t="s">
        <v>785</v>
      </c>
      <c r="K10" s="1674" t="s">
        <v>786</v>
      </c>
      <c r="L10" s="1307" t="s">
        <v>785</v>
      </c>
      <c r="M10" s="1223" t="s">
        <v>786</v>
      </c>
    </row>
    <row r="11" spans="1:13" ht="25.5">
      <c r="A11" s="659" t="s">
        <v>797</v>
      </c>
      <c r="B11" s="824">
        <v>85.32</v>
      </c>
      <c r="C11" s="516"/>
      <c r="D11" s="805">
        <v>595.99571789221875</v>
      </c>
      <c r="E11" s="419"/>
      <c r="F11" s="824">
        <v>1521.0081669761742</v>
      </c>
      <c r="G11" s="516"/>
      <c r="H11" s="805">
        <v>2419.7304234947401</v>
      </c>
      <c r="I11" s="419"/>
      <c r="J11" s="824">
        <v>4057.0262000560965</v>
      </c>
      <c r="K11" s="516"/>
      <c r="L11" s="805">
        <v>0.16</v>
      </c>
      <c r="M11" s="599"/>
    </row>
    <row r="12" spans="1:13">
      <c r="A12" s="571" t="s">
        <v>798</v>
      </c>
      <c r="B12" s="819">
        <v>0</v>
      </c>
      <c r="C12" s="94"/>
      <c r="D12" s="639">
        <v>0</v>
      </c>
      <c r="F12" s="819">
        <v>0</v>
      </c>
      <c r="G12" s="94"/>
      <c r="H12" s="639">
        <v>0</v>
      </c>
      <c r="J12" s="819">
        <v>0</v>
      </c>
      <c r="K12" s="94"/>
      <c r="L12" s="639">
        <v>0</v>
      </c>
      <c r="M12" s="94"/>
    </row>
    <row r="13" spans="1:13">
      <c r="A13" s="238" t="s">
        <v>799</v>
      </c>
      <c r="B13" s="393"/>
      <c r="C13" s="394"/>
      <c r="D13" s="392"/>
      <c r="E13" s="392"/>
      <c r="F13" s="393"/>
      <c r="G13" s="394"/>
      <c r="H13" s="392"/>
      <c r="I13" s="392"/>
      <c r="J13" s="393"/>
      <c r="K13" s="394"/>
      <c r="L13" s="49"/>
      <c r="M13" s="52"/>
    </row>
    <row r="14" spans="1:13">
      <c r="A14" s="230" t="s">
        <v>800</v>
      </c>
      <c r="B14" s="416">
        <v>0</v>
      </c>
      <c r="C14" s="825"/>
      <c r="D14" s="382">
        <v>0</v>
      </c>
      <c r="E14" s="822"/>
      <c r="F14" s="416">
        <v>0</v>
      </c>
      <c r="G14" s="825"/>
      <c r="H14" s="382">
        <v>0</v>
      </c>
      <c r="I14" s="822"/>
      <c r="J14" s="416">
        <v>0</v>
      </c>
      <c r="K14" s="825"/>
      <c r="L14" s="369">
        <v>0</v>
      </c>
      <c r="M14" s="820"/>
    </row>
    <row r="15" spans="1:13">
      <c r="A15" s="230" t="s">
        <v>802</v>
      </c>
      <c r="B15" s="579">
        <v>8.6594808250245112E-3</v>
      </c>
      <c r="C15" s="825"/>
      <c r="D15" s="151">
        <v>1.4007591418624611E-3</v>
      </c>
      <c r="E15" s="822"/>
      <c r="F15" s="579">
        <v>1.2514396359741453E-3</v>
      </c>
      <c r="G15" s="825"/>
      <c r="H15" s="151">
        <v>9.6702269194726403E-4</v>
      </c>
      <c r="I15" s="822"/>
      <c r="J15" s="579">
        <v>7.7081134417410668E-4</v>
      </c>
      <c r="K15" s="825"/>
      <c r="L15" s="369">
        <v>0</v>
      </c>
      <c r="M15" s="820"/>
    </row>
    <row r="16" spans="1:13">
      <c r="A16" s="230" t="s">
        <v>804</v>
      </c>
      <c r="B16" s="579">
        <v>0</v>
      </c>
      <c r="C16" s="825"/>
      <c r="D16" s="151">
        <v>0.26736967780981447</v>
      </c>
      <c r="E16" s="822"/>
      <c r="F16" s="579">
        <v>0.24114588041948617</v>
      </c>
      <c r="G16" s="825"/>
      <c r="H16" s="151">
        <v>0.18269928216282633</v>
      </c>
      <c r="I16" s="822"/>
      <c r="J16" s="579">
        <v>0.22132358264900368</v>
      </c>
      <c r="K16" s="825"/>
      <c r="L16" s="639">
        <v>0</v>
      </c>
      <c r="M16" s="820"/>
    </row>
    <row r="17" spans="1:14">
      <c r="A17" s="230" t="s">
        <v>805</v>
      </c>
      <c r="B17" s="579">
        <v>0.19258071499393539</v>
      </c>
      <c r="C17" s="825"/>
      <c r="D17" s="151">
        <v>3.1151890341347407E-2</v>
      </c>
      <c r="E17" s="822"/>
      <c r="F17" s="579">
        <v>2.7831130380379238E-2</v>
      </c>
      <c r="G17" s="825"/>
      <c r="H17" s="151">
        <v>2.1505899163422087E-2</v>
      </c>
      <c r="I17" s="822"/>
      <c r="J17" s="579">
        <v>1.7142297879742197E-2</v>
      </c>
      <c r="K17" s="825"/>
      <c r="L17" s="639">
        <v>0</v>
      </c>
      <c r="M17" s="820"/>
    </row>
    <row r="18" spans="1:14" ht="12" customHeight="1">
      <c r="A18" s="230" t="s">
        <v>1350</v>
      </c>
      <c r="B18" s="579">
        <v>0.1432778321493948</v>
      </c>
      <c r="C18" s="825"/>
      <c r="D18" s="151">
        <v>2.3176647337738276E-2</v>
      </c>
      <c r="E18" s="822"/>
      <c r="F18" s="579">
        <v>2.0706040203939794E-2</v>
      </c>
      <c r="G18" s="825"/>
      <c r="H18" s="151">
        <v>1.6000141087105391E-2</v>
      </c>
      <c r="I18" s="822"/>
      <c r="J18" s="579">
        <v>1.2753672029652472E-2</v>
      </c>
      <c r="K18" s="825"/>
      <c r="L18" s="369"/>
      <c r="M18" s="820"/>
    </row>
    <row r="19" spans="1:14" ht="12" customHeight="1">
      <c r="A19" s="230" t="s">
        <v>1351</v>
      </c>
      <c r="B19" s="579">
        <v>0.22249737741946862</v>
      </c>
      <c r="C19" s="825"/>
      <c r="D19" s="151">
        <v>3.5991214919037687E-2</v>
      </c>
      <c r="E19" s="822"/>
      <c r="F19" s="579">
        <v>3.2154587859166903E-2</v>
      </c>
      <c r="G19" s="825"/>
      <c r="H19" s="151">
        <v>2.4846756660237987E-2</v>
      </c>
      <c r="I19" s="822"/>
      <c r="J19" s="579">
        <v>1.9805286948415716E-2</v>
      </c>
      <c r="K19" s="825"/>
      <c r="L19" s="369"/>
      <c r="M19" s="820"/>
    </row>
    <row r="20" spans="1:14" ht="12" customHeight="1">
      <c r="A20" s="230" t="s">
        <v>1352</v>
      </c>
      <c r="B20" s="579">
        <v>3.4194681408796231E-2</v>
      </c>
      <c r="C20" s="825"/>
      <c r="D20" s="151">
        <v>5.5313376811259446E-3</v>
      </c>
      <c r="E20" s="822"/>
      <c r="F20" s="579">
        <v>4.9417026862409738E-3</v>
      </c>
      <c r="G20" s="825"/>
      <c r="H20" s="151">
        <v>3.8185930004781322E-3</v>
      </c>
      <c r="I20" s="822"/>
      <c r="J20" s="579">
        <v>3.0437908314491771E-3</v>
      </c>
      <c r="K20" s="825"/>
      <c r="L20" s="369"/>
      <c r="M20" s="820"/>
    </row>
    <row r="21" spans="1:14" ht="12" customHeight="1">
      <c r="A21" s="230" t="s">
        <v>1353</v>
      </c>
      <c r="B21" s="579">
        <v>0</v>
      </c>
      <c r="C21" s="825"/>
      <c r="D21" s="151">
        <v>0</v>
      </c>
      <c r="E21" s="822"/>
      <c r="F21" s="579">
        <v>0</v>
      </c>
      <c r="G21" s="825"/>
      <c r="H21" s="151">
        <v>8.0539639991382365E-3</v>
      </c>
      <c r="I21" s="822"/>
      <c r="J21" s="579">
        <v>6.4197943520896833E-3</v>
      </c>
      <c r="K21" s="825"/>
      <c r="L21" s="369"/>
      <c r="M21" s="820"/>
    </row>
    <row r="22" spans="1:14" ht="12" customHeight="1">
      <c r="A22" s="230" t="s">
        <v>1354</v>
      </c>
      <c r="B22" s="579">
        <v>0</v>
      </c>
      <c r="C22" s="825"/>
      <c r="D22" s="151">
        <v>0.33733235914391724</v>
      </c>
      <c r="E22" s="822"/>
      <c r="F22" s="579">
        <v>0.30137307129623148</v>
      </c>
      <c r="G22" s="825"/>
      <c r="H22" s="151">
        <v>0.10668397324417583</v>
      </c>
      <c r="I22" s="822"/>
      <c r="J22" s="579">
        <v>8.503752549238229E-2</v>
      </c>
      <c r="K22" s="825"/>
      <c r="L22" s="369"/>
      <c r="M22" s="820"/>
    </row>
    <row r="23" spans="1:14" ht="12" customHeight="1">
      <c r="A23" s="589" t="s">
        <v>806</v>
      </c>
      <c r="B23" s="664">
        <f>1-SUM(B14:B22)</f>
        <v>0.39878991320338042</v>
      </c>
      <c r="C23" s="826"/>
      <c r="D23" s="368">
        <f>1-SUM(D14:D22)</f>
        <v>0.29804611362515654</v>
      </c>
      <c r="E23" s="823"/>
      <c r="F23" s="664">
        <f>1-SUM(F14:F22)</f>
        <v>0.37059614751858128</v>
      </c>
      <c r="G23" s="826"/>
      <c r="H23" s="368">
        <f>1-SUM(H14:H22)</f>
        <v>0.63542436799066881</v>
      </c>
      <c r="I23" s="823"/>
      <c r="J23" s="664">
        <f>1-SUM(J14:J22)</f>
        <v>0.63370323847309074</v>
      </c>
      <c r="K23" s="826"/>
      <c r="L23" s="426">
        <f>1-SUM(L14:L17)</f>
        <v>1</v>
      </c>
      <c r="M23" s="821"/>
    </row>
    <row r="24" spans="1:14">
      <c r="A24" s="178" t="s">
        <v>862</v>
      </c>
      <c r="B24" s="640"/>
      <c r="C24" s="52"/>
      <c r="D24" s="49"/>
      <c r="E24" s="49"/>
      <c r="F24" s="640"/>
      <c r="G24" s="52"/>
      <c r="H24" s="49"/>
      <c r="I24" s="49"/>
      <c r="J24" s="640"/>
      <c r="K24" s="52"/>
      <c r="L24" s="49"/>
      <c r="M24" s="52"/>
    </row>
    <row r="25" spans="1:14" s="496" customFormat="1">
      <c r="A25" s="347" t="s">
        <v>800</v>
      </c>
      <c r="B25" s="712">
        <f>B$11*B14</f>
        <v>0</v>
      </c>
      <c r="C25" s="497"/>
      <c r="D25" s="601">
        <f>D$11*D14</f>
        <v>0</v>
      </c>
      <c r="F25" s="712">
        <f t="shared" ref="F25:F34" si="0">F$11*F14</f>
        <v>0</v>
      </c>
      <c r="G25" s="497"/>
      <c r="H25" s="601">
        <f t="shared" ref="H25:H34" si="1">H$11*H14</f>
        <v>0</v>
      </c>
      <c r="J25" s="712">
        <f t="shared" ref="J25:J34" si="2">J$11*J14</f>
        <v>0</v>
      </c>
      <c r="K25" s="497"/>
      <c r="L25" s="601">
        <f>L$11*L14</f>
        <v>0</v>
      </c>
      <c r="M25" s="497"/>
    </row>
    <row r="26" spans="1:14" s="496" customFormat="1">
      <c r="A26" s="347" t="s">
        <v>802</v>
      </c>
      <c r="B26" s="712">
        <f>B$11*B15</f>
        <v>0.73882690399109119</v>
      </c>
      <c r="C26" s="497"/>
      <c r="D26" s="601">
        <f>D$11*D15</f>
        <v>0.83484645034840577</v>
      </c>
      <c r="F26" s="712">
        <f t="shared" si="0"/>
        <v>1.9034499067943655</v>
      </c>
      <c r="G26" s="497"/>
      <c r="H26" s="601">
        <f t="shared" si="1"/>
        <v>2.3399342279145769</v>
      </c>
      <c r="J26" s="712">
        <f t="shared" si="2"/>
        <v>3.1272018186148078</v>
      </c>
      <c r="K26" s="497"/>
      <c r="L26" s="601">
        <f>L$11*L15</f>
        <v>0</v>
      </c>
      <c r="M26" s="497"/>
    </row>
    <row r="27" spans="1:14" s="496" customFormat="1">
      <c r="A27" s="347" t="s">
        <v>804</v>
      </c>
      <c r="B27" s="712">
        <f>B$11*B16</f>
        <v>0</v>
      </c>
      <c r="C27" s="497"/>
      <c r="D27" s="601">
        <f>D$11*D16</f>
        <v>159.35118306887159</v>
      </c>
      <c r="F27" s="712">
        <f t="shared" si="0"/>
        <v>366.78485355069836</v>
      </c>
      <c r="G27" s="497"/>
      <c r="H27" s="601">
        <f t="shared" si="1"/>
        <v>442.08301140004073</v>
      </c>
      <c r="J27" s="712">
        <f t="shared" si="2"/>
        <v>897.91557349728885</v>
      </c>
      <c r="K27" s="497"/>
      <c r="L27" s="601">
        <f>L$11*L16</f>
        <v>0</v>
      </c>
      <c r="M27" s="497"/>
    </row>
    <row r="28" spans="1:14" s="496" customFormat="1">
      <c r="A28" s="347" t="s">
        <v>805</v>
      </c>
      <c r="B28" s="712">
        <f>B$11*B17</f>
        <v>16.430986603282566</v>
      </c>
      <c r="C28" s="497"/>
      <c r="D28" s="601">
        <f>D$11*D17</f>
        <v>18.566393247691025</v>
      </c>
      <c r="F28" s="712">
        <f t="shared" si="0"/>
        <v>42.331376604735539</v>
      </c>
      <c r="G28" s="497"/>
      <c r="H28" s="601">
        <f t="shared" si="1"/>
        <v>52.038478490342506</v>
      </c>
      <c r="J28" s="712">
        <f t="shared" si="2"/>
        <v>69.546751627280159</v>
      </c>
      <c r="K28" s="497"/>
      <c r="L28" s="601">
        <f>L$11*L17</f>
        <v>0</v>
      </c>
      <c r="M28" s="497"/>
    </row>
    <row r="29" spans="1:14" s="496" customFormat="1">
      <c r="A29" s="347" t="s">
        <v>1350</v>
      </c>
      <c r="B29" s="712">
        <f t="shared" ref="B29:D33" si="3">B$11*B18</f>
        <v>12.224464638986364</v>
      </c>
      <c r="C29" s="497"/>
      <c r="D29" s="601">
        <f t="shared" si="3"/>
        <v>13.813182568390104</v>
      </c>
      <c r="F29" s="712">
        <f t="shared" si="0"/>
        <v>31.494056255929433</v>
      </c>
      <c r="G29" s="497"/>
      <c r="H29" s="601">
        <f t="shared" si="1"/>
        <v>38.71602816867712</v>
      </c>
      <c r="J29" s="712">
        <f t="shared" si="2"/>
        <v>51.741981571222695</v>
      </c>
      <c r="K29" s="497"/>
      <c r="L29" s="601"/>
      <c r="M29" s="497"/>
    </row>
    <row r="30" spans="1:14" s="496" customFormat="1">
      <c r="A30" s="347" t="s">
        <v>1351</v>
      </c>
      <c r="B30" s="712">
        <f t="shared" si="3"/>
        <v>18.983476241429063</v>
      </c>
      <c r="C30" s="497"/>
      <c r="D30" s="601">
        <f t="shared" si="3"/>
        <v>21.450609973485001</v>
      </c>
      <c r="F30" s="712">
        <f t="shared" si="0"/>
        <v>48.907390739545797</v>
      </c>
      <c r="G30" s="497"/>
      <c r="H30" s="601">
        <f t="shared" si="1"/>
        <v>60.122453015948416</v>
      </c>
      <c r="J30" s="712">
        <f t="shared" si="2"/>
        <v>80.350568049351608</v>
      </c>
      <c r="K30" s="497"/>
      <c r="L30" s="601"/>
      <c r="M30" s="497"/>
    </row>
    <row r="31" spans="1:14" s="496" customFormat="1">
      <c r="A31" s="347" t="s">
        <v>1352</v>
      </c>
      <c r="B31" s="712">
        <f t="shared" si="3"/>
        <v>2.9174902177984943</v>
      </c>
      <c r="C31" s="497"/>
      <c r="D31" s="601">
        <f t="shared" si="3"/>
        <v>3.2966535721669379</v>
      </c>
      <c r="F31" s="712">
        <f t="shared" si="0"/>
        <v>7.5163701445406197</v>
      </c>
      <c r="G31" s="497"/>
      <c r="H31" s="601">
        <f t="shared" si="1"/>
        <v>9.239965658201001</v>
      </c>
      <c r="J31" s="712">
        <f t="shared" si="2"/>
        <v>12.348739150679842</v>
      </c>
      <c r="K31" s="497"/>
      <c r="L31" s="601"/>
      <c r="M31" s="497"/>
    </row>
    <row r="32" spans="1:14" s="496" customFormat="1">
      <c r="A32" s="347" t="s">
        <v>1353</v>
      </c>
      <c r="B32" s="390">
        <f t="shared" si="3"/>
        <v>0</v>
      </c>
      <c r="C32" s="348"/>
      <c r="D32" s="389">
        <f t="shared" si="3"/>
        <v>0</v>
      </c>
      <c r="E32" s="349"/>
      <c r="F32" s="390">
        <f t="shared" si="0"/>
        <v>0</v>
      </c>
      <c r="G32" s="348"/>
      <c r="H32" s="389">
        <f t="shared" si="1"/>
        <v>19.488421718446155</v>
      </c>
      <c r="I32" s="349"/>
      <c r="J32" s="390">
        <f t="shared" si="2"/>
        <v>26.045273885399997</v>
      </c>
      <c r="K32" s="348"/>
      <c r="L32" s="389"/>
      <c r="M32" s="348"/>
      <c r="N32" s="349"/>
    </row>
    <row r="33" spans="1:14" s="496" customFormat="1">
      <c r="A33" s="347" t="s">
        <v>1354</v>
      </c>
      <c r="B33" s="390">
        <f t="shared" si="3"/>
        <v>0</v>
      </c>
      <c r="C33" s="348"/>
      <c r="D33" s="389">
        <f t="shared" si="3"/>
        <v>201.04864155625472</v>
      </c>
      <c r="E33" s="349"/>
      <c r="F33" s="390">
        <f t="shared" si="0"/>
        <v>458.39090274826088</v>
      </c>
      <c r="G33" s="348"/>
      <c r="H33" s="389">
        <f t="shared" si="1"/>
        <v>258.14645575823113</v>
      </c>
      <c r="I33" s="349"/>
      <c r="J33" s="390">
        <f t="shared" si="2"/>
        <v>344.99946891053315</v>
      </c>
      <c r="K33" s="348"/>
      <c r="L33" s="389"/>
      <c r="M33" s="348"/>
      <c r="N33" s="349"/>
    </row>
    <row r="34" spans="1:14" s="496" customFormat="1">
      <c r="A34" s="347" t="s">
        <v>806</v>
      </c>
      <c r="B34" s="390">
        <f>B$11*B23</f>
        <v>34.024755394512418</v>
      </c>
      <c r="C34" s="348"/>
      <c r="D34" s="389">
        <f>D$11*D23</f>
        <v>177.63420745501097</v>
      </c>
      <c r="E34" s="349"/>
      <c r="F34" s="390">
        <f t="shared" si="0"/>
        <v>563.67976702566909</v>
      </c>
      <c r="G34" s="348"/>
      <c r="H34" s="389">
        <f t="shared" si="1"/>
        <v>1537.5556750569385</v>
      </c>
      <c r="I34" s="349"/>
      <c r="J34" s="390">
        <f t="shared" si="2"/>
        <v>2570.9506415457258</v>
      </c>
      <c r="K34" s="348"/>
      <c r="L34" s="389">
        <f>L$11*L23</f>
        <v>0.16</v>
      </c>
      <c r="M34" s="348"/>
      <c r="N34" s="349"/>
    </row>
    <row r="35" spans="1:14" s="496" customFormat="1">
      <c r="A35" s="771" t="s">
        <v>1355</v>
      </c>
      <c r="B35" s="751">
        <v>0.1</v>
      </c>
      <c r="C35" s="502"/>
      <c r="D35" s="603">
        <v>0.113</v>
      </c>
      <c r="E35" s="505"/>
      <c r="F35" s="751">
        <v>0.25763999999999998</v>
      </c>
      <c r="G35" s="502"/>
      <c r="H35" s="603">
        <v>0.31672</v>
      </c>
      <c r="I35" s="505"/>
      <c r="J35" s="751">
        <v>0.42327999999999999</v>
      </c>
      <c r="K35" s="502"/>
      <c r="L35" s="603"/>
      <c r="M35" s="502"/>
      <c r="N35" s="349"/>
    </row>
    <row r="36" spans="1:14" s="496" customFormat="1">
      <c r="A36" s="347" t="s">
        <v>816</v>
      </c>
      <c r="B36" s="347">
        <f ca="1">Silicon!B$25*(1+(GREET1_Import_Export!$F$179*GREET1_Import_Export!$B180+GREET1_Import_Export!$F180)/1000000)+Silicon!B$26*(1+(GREET1_Import_Export!$G$179*GREET1_Import_Export!$B180+GREET1_Import_Export!$G180)/1000000)+Silicon!B$27*(1+GREET1_Import_Export!$B216/1000000)+Silicon!B$28*(1+GREET1_Import_Export!$B284/1000000)+Silicon!B$34*(GREET1_Import_Export!$B309+GREET1_Import_Export!$C309)/1000000+B$29*(1000000+GREET1_Import_Export!$B180*GREET1_Import_Export!$I$179+GREET1_Import_Export!$I180)/1000000+B$30*(1000000+GREET1_Import_Export!$D461)/1000000+B$31*(1000000+GREET1_Import_Export!$D461)/1000000+B$32*SUM(GREET1_Import_Export!$B250:$C250)/1000000+B$33*SUM(GREET1_Import_Export!$AH309:$AI309)/1000000+B$35*[1]!T2lb*Mat_Sum!$CF15</f>
        <v>131.09517490344015</v>
      </c>
      <c r="C36" s="348"/>
      <c r="D36" s="349">
        <f ca="1">Silicon!D$25*(1+(GREET1_Import_Export!$F$179*GREET1_Import_Export!$B180+GREET1_Import_Export!$F180)/1000000)+Silicon!D$26*(1+(GREET1_Import_Export!$G$179*GREET1_Import_Export!$B180+GREET1_Import_Export!$G180)/1000000)+Silicon!D$27*(1+GREET1_Import_Export!$B216/1000000)+Silicon!D$28*(1+GREET1_Import_Export!$B284/1000000)+Silicon!D$34*(GREET1_Import_Export!$B309+GREET1_Import_Export!$C309)/1000000+D$29*(1000000+GREET1_Import_Export!$B180*GREET1_Import_Export!$I$179+GREET1_Import_Export!$I180)/1000000+D$30*(1000000+GREET1_Import_Export!$D461)/1000000+D$31*(1000000+GREET1_Import_Export!$D461)/1000000+D$32*SUM(GREET1_Import_Export!$B250:$C250)/1000000+D$33*SUM(GREET1_Import_Export!$AH309:$AI309)/1000000+D$35*[1]!T2lb*Mat_Sum!$CF15</f>
        <v>817.70455995651548</v>
      </c>
      <c r="E36" s="349"/>
      <c r="F36" s="347">
        <f ca="1">Silicon!F$25*(1+(GREET1_Import_Export!$F$179*GREET1_Import_Export!$B180+GREET1_Import_Export!$F180)/1000000)+Silicon!F$26*(1+(GREET1_Import_Export!$G$179*GREET1_Import_Export!$B180+GREET1_Import_Export!$G180)/1000000)+Silicon!F$27*(1+GREET1_Import_Export!$B216/1000000)+Silicon!F$28*(1+GREET1_Import_Export!$B284/1000000)+Silicon!F$34*(GREET1_Import_Export!$B309+GREET1_Import_Export!$C309)/1000000+F$29*(1000000+GREET1_Import_Export!$B180*GREET1_Import_Export!$I$179+GREET1_Import_Export!$I180)/1000000+F$30*(1000000+GREET1_Import_Export!$D461)/1000000+F$31*(1000000+GREET1_Import_Export!$D461)/1000000+F$32*SUM(GREET1_Import_Export!$B250:$C250)/1000000+F$33*SUM(GREET1_Import_Export!$AH309:$AI309)/1000000+F$35*[1]!T2lb*Mat_Sum!$CF15</f>
        <v>2189.9908950573404</v>
      </c>
      <c r="G36" s="348"/>
      <c r="H36" s="349">
        <f ca="1">Silicon!H$25*(1+(GREET1_Import_Export!$F$179*GREET1_Import_Export!$B180+GREET1_Import_Export!$F180)/1000000)+Silicon!H$26*(1+(GREET1_Import_Export!$G$179*GREET1_Import_Export!$B180+GREET1_Import_Export!$G180)/1000000)+Silicon!H$27*(1+GREET1_Import_Export!$B216/1000000)+Silicon!H$28*(1+GREET1_Import_Export!$B284/1000000)+Silicon!H$34*(GREET1_Import_Export!$B309+GREET1_Import_Export!$C309)/1000000+H$29*(1000000+GREET1_Import_Export!$B180*GREET1_Import_Export!$I$179+GREET1_Import_Export!$I180)/1000000+H$30*(1000000+GREET1_Import_Export!$D461)/1000000+H$31*(1000000+GREET1_Import_Export!$D461)/1000000+H$32*SUM(GREET1_Import_Export!$B250:$C250)/1000000+H$33*SUM(GREET1_Import_Export!$AH309:$AI309)/1000000+H$35*[1]!T2lb*Mat_Sum!$CF15</f>
        <v>4100.0469612656734</v>
      </c>
      <c r="I36" s="349"/>
      <c r="J36" s="347">
        <f ca="1">Silicon!J$25*(1+(GREET1_Import_Export!$F$179*GREET1_Import_Export!$B180+GREET1_Import_Export!$F180)/1000000)+Silicon!J$26*(1+(GREET1_Import_Export!$G$179*GREET1_Import_Export!$B180+GREET1_Import_Export!$G180)/1000000)+Silicon!J$27*(1+GREET1_Import_Export!$B216/1000000)+Silicon!J$28*(1+GREET1_Import_Export!$B284/1000000)+Silicon!J$34*(GREET1_Import_Export!$B309+GREET1_Import_Export!$C309)/1000000+J$29*(1000000+GREET1_Import_Export!$B180*GREET1_Import_Export!$I$179+GREET1_Import_Export!$I180)/1000000+J$30*(1000000+GREET1_Import_Export!$D461)/1000000+J$31*(1000000+GREET1_Import_Export!$D461)/1000000+J$32*SUM(GREET1_Import_Export!$B250:$C250)/1000000+J$33*SUM(GREET1_Import_Export!$AH309:$AI309)/1000000+J$35*[1]!T2lb*Mat_Sum!$CF15</f>
        <v>6865.2648194236608</v>
      </c>
      <c r="K36" s="348"/>
      <c r="L36" s="349">
        <f>Silicon!L$25*(1+(GREET1_Import_Export!$F$179*GREET1_Import_Export!$B180+GREET1_Import_Export!$F180)/1000000)+Silicon!L$26*(1+(GREET1_Import_Export!$G$179*GREET1_Import_Export!$B180+GREET1_Import_Export!$G180)/1000000)+Silicon!L$27*(1+GREET1_Import_Export!$B216/1000000)+Silicon!L$28*(1+GREET1_Import_Export!$B284/1000000)+Silicon!L$34*(GREET1_Import_Export!$B309+GREET1_Import_Export!$C309)/1000000</f>
        <v>0.3244888421248136</v>
      </c>
      <c r="M36" s="348"/>
      <c r="N36" s="349"/>
    </row>
    <row r="37" spans="1:14" s="496" customFormat="1">
      <c r="A37" s="347" t="s">
        <v>817</v>
      </c>
      <c r="B37" s="347">
        <f ca="1">Silicon!B$25*(1+(GREET1_Import_Export!$F$179*GREET1_Import_Export!$B181+GREET1_Import_Export!$F181)/1000000)+Silicon!B$26*(1+(GREET1_Import_Export!$G$179*GREET1_Import_Export!$B181+GREET1_Import_Export!$G181)/1000000)+Silicon!B$27*(1+GREET1_Import_Export!$B217/1000000)+Silicon!B$28*(1+GREET1_Import_Export!$B285/1000000)+Silicon!B$34*(GREET1_Import_Export!$B310+GREET1_Import_Export!$C310)/1000000+B$29*(1000000+GREET1_Import_Export!$B181*GREET1_Import_Export!$I$179+GREET1_Import_Export!$I181)/1000000+B$30*(GREET1_Import_Export!$D462)/1000000+B$31*(GREET1_Import_Export!$D462)/1000000+B$32*SUM(GREET1_Import_Export!$B251:$C251)/1000000+B$33*SUM(GREET1_Import_Export!$AH310:$AI310)/1000000+B$35*[1]!T2lb*Mat_Sum!$CF16</f>
        <v>94.29057529866175</v>
      </c>
      <c r="C37" s="348"/>
      <c r="D37" s="349">
        <f ca="1">Silicon!D$25*(1+(GREET1_Import_Export!$F$179*GREET1_Import_Export!$B181+GREET1_Import_Export!$F181)/1000000)+Silicon!D$26*(1+(GREET1_Import_Export!$G$179*GREET1_Import_Export!$B181+GREET1_Import_Export!$G181)/1000000)+Silicon!D$27*(1+GREET1_Import_Export!$B217/1000000)+Silicon!D$28*(1+GREET1_Import_Export!$B285/1000000)+Silicon!D$34*(GREET1_Import_Export!$B310+GREET1_Import_Export!$C310)/1000000+D$29*(1000000+GREET1_Import_Export!$B181*GREET1_Import_Export!$I$179+GREET1_Import_Export!$I181)/1000000+D$30*(GREET1_Import_Export!$D462)/1000000+D$31*(GREET1_Import_Export!$D462)/1000000+D$32*SUM(GREET1_Import_Export!$B251:$C251)/1000000+D$33*SUM(GREET1_Import_Export!$AH310:$AI310)/1000000+D$35*[1]!T2lb*Mat_Sum!$CF16</f>
        <v>505.96042150858096</v>
      </c>
      <c r="E37" s="349"/>
      <c r="F37" s="347">
        <f ca="1">Silicon!F$25*(1+(GREET1_Import_Export!$F$179*GREET1_Import_Export!$B181+GREET1_Import_Export!$F181)/1000000)+Silicon!F$26*(1+(GREET1_Import_Export!$G$179*GREET1_Import_Export!$B181+GREET1_Import_Export!$G181)/1000000)+Silicon!F$27*(1+GREET1_Import_Export!$B217/1000000)+Silicon!F$28*(1+GREET1_Import_Export!$B285/1000000)+Silicon!F$34*(GREET1_Import_Export!$B310+GREET1_Import_Export!$C310)/1000000+F$29*(1000000+GREET1_Import_Export!$B181*GREET1_Import_Export!$I$179+GREET1_Import_Export!$I181)/1000000+F$30*(GREET1_Import_Export!$D462)/1000000+F$31*(GREET1_Import_Export!$D462)/1000000+F$32*SUM(GREET1_Import_Export!$B251:$C251)/1000000+F$33*SUM(GREET1_Import_Export!$AH310:$AI310)/1000000+F$35*[1]!T2lb*Mat_Sum!$CF16</f>
        <v>1412.2820678674818</v>
      </c>
      <c r="G37" s="348"/>
      <c r="H37" s="349">
        <f ca="1">Silicon!H$25*(1+(GREET1_Import_Export!$F$179*GREET1_Import_Export!$B181+GREET1_Import_Export!$F181)/1000000)+Silicon!H$26*(1+(GREET1_Import_Export!$G$179*GREET1_Import_Export!$B181+GREET1_Import_Export!$G181)/1000000)+Silicon!H$27*(1+GREET1_Import_Export!$B217/1000000)+Silicon!H$28*(1+GREET1_Import_Export!$B285/1000000)+Silicon!H$34*(GREET1_Import_Export!$B310+GREET1_Import_Export!$C310)/1000000+H$29*(1000000+GREET1_Import_Export!$B181*GREET1_Import_Export!$I$179+GREET1_Import_Export!$I181)/1000000+H$30*(GREET1_Import_Export!$D462)/1000000+H$31*(GREET1_Import_Export!$D462)/1000000+H$32*SUM(GREET1_Import_Export!$B251:$C251)/1000000+H$33*SUM(GREET1_Import_Export!$AH310:$AI310)/1000000+H$35*[1]!T2lb*Mat_Sum!$CF16</f>
        <v>3108.6447217429286</v>
      </c>
      <c r="I37" s="349"/>
      <c r="J37" s="347">
        <f ca="1">Silicon!J$25*(1+(GREET1_Import_Export!$F$179*GREET1_Import_Export!$B181+GREET1_Import_Export!$F181)/1000000)+Silicon!J$26*(1+(GREET1_Import_Export!$G$179*GREET1_Import_Export!$B181+GREET1_Import_Export!$G181)/1000000)+Silicon!J$27*(1+GREET1_Import_Export!$B217/1000000)+Silicon!J$28*(1+GREET1_Import_Export!$B285/1000000)+Silicon!J$34*(GREET1_Import_Export!$B310+GREET1_Import_Export!$C310)/1000000+J$29*(1000000+GREET1_Import_Export!$B181*GREET1_Import_Export!$I$179+GREET1_Import_Export!$I181)/1000000+J$30*(GREET1_Import_Export!$D462)/1000000+J$31*(GREET1_Import_Export!$D462)/1000000+J$32*SUM(GREET1_Import_Export!$B251:$C251)/1000000+J$33*SUM(GREET1_Import_Export!$AH310:$AI310)/1000000+J$35*[1]!T2lb*Mat_Sum!$CF16</f>
        <v>5322.3888484526024</v>
      </c>
      <c r="K37" s="348"/>
      <c r="L37" s="349">
        <f>Silicon!L$25*(1+(GREET1_Import_Export!$F$179*GREET1_Import_Export!$B181+GREET1_Import_Export!$F181)/1000000)+Silicon!L$26*(1+(GREET1_Import_Export!$G$179*GREET1_Import_Export!$B181+GREET1_Import_Export!$G181)/1000000)+Silicon!L$27*(1+GREET1_Import_Export!$B217/1000000)+Silicon!L$28*(1+GREET1_Import_Export!$B285/1000000)+Silicon!L$34*(GREET1_Import_Export!$B310+GREET1_Import_Export!$C310)/1000000</f>
        <v>0.25699982631631285</v>
      </c>
      <c r="M37" s="348"/>
      <c r="N37" s="349"/>
    </row>
    <row r="38" spans="1:14" s="496" customFormat="1">
      <c r="A38" s="347" t="s">
        <v>805</v>
      </c>
      <c r="B38" s="347">
        <f ca="1">Silicon!B$25*(GREET1_Import_Export!$F$179*GREET1_Import_Export!$B182+GREET1_Import_Export!$F182)/1000000+Silicon!B$26*(GREET1_Import_Export!$G$179*GREET1_Import_Export!$B182+GREET1_Import_Export!$G182)/1000000+Silicon!B$27*GREET1_Import_Export!$B218/1000000+Silicon!B$28*(1+GREET1_Import_Export!$B286/1000000)+Silicon!B$34*(GREET1_Import_Export!$B311+GREET1_Import_Export!$C311)/1000000+B$29*(GREET1_Import_Export!$B182*GREET1_Import_Export!$I$179+GREET1_Import_Export!$I182)/1000000+B$30*(GREET1_Import_Export!$D463)/1000000+B$31*(GREET1_Import_Export!$D463)/1000000+B$32*SUM(GREET1_Import_Export!$B252:$C252)/1000000+B$33*SUM(GREET1_Import_Export!$AH311:$AI311)/1000000+B$35*[1]!T2lb*Mat_Sum!$CF17</f>
        <v>39.131314867206534</v>
      </c>
      <c r="C38" s="348"/>
      <c r="D38" s="349">
        <f ca="1">Silicon!D$25*(GREET1_Import_Export!$F$179*GREET1_Import_Export!$B182+GREET1_Import_Export!$F182)/1000000+Silicon!D$26*(GREET1_Import_Export!$G$179*GREET1_Import_Export!$B182+GREET1_Import_Export!$G182)/1000000+Silicon!D$27*GREET1_Import_Export!$B218/1000000+Silicon!D$28*(1+GREET1_Import_Export!$B286/1000000)+Silicon!D$34*(GREET1_Import_Export!$B311+GREET1_Import_Export!$C311)/1000000+D$29*(GREET1_Import_Export!$B182*GREET1_Import_Export!$I$179+GREET1_Import_Export!$I182)/1000000+D$30*(GREET1_Import_Export!$D463)/1000000+D$31*(GREET1_Import_Export!$D463)/1000000+D$32*SUM(GREET1_Import_Export!$B252:$C252)/1000000+D$33*SUM(GREET1_Import_Export!$AH311:$AI311)/1000000+D$35*[1]!T2lb*Mat_Sum!$CF17</f>
        <v>121.98449556277525</v>
      </c>
      <c r="E38" s="349"/>
      <c r="F38" s="347">
        <f ca="1">Silicon!F$25*(GREET1_Import_Export!$F$179*GREET1_Import_Export!$B182+GREET1_Import_Export!$F182)/1000000+Silicon!F$26*(GREET1_Import_Export!$G$179*GREET1_Import_Export!$B182+GREET1_Import_Export!$G182)/1000000+Silicon!F$27*GREET1_Import_Export!$B218/1000000+Silicon!F$28*(1+GREET1_Import_Export!$B286/1000000)+Silicon!F$34*(GREET1_Import_Export!$B311+GREET1_Import_Export!$C311)/1000000+F$29*(GREET1_Import_Export!$B182*GREET1_Import_Export!$I$179+GREET1_Import_Export!$I182)/1000000+F$30*(GREET1_Import_Export!$D463)/1000000+F$31*(GREET1_Import_Export!$D463)/1000000+F$32*SUM(GREET1_Import_Export!$B252:$C252)/1000000+F$33*SUM(GREET1_Import_Export!$AH311:$AI311)/1000000+F$35*[1]!T2lb*Mat_Sum!$CF17</f>
        <v>366.60388460937747</v>
      </c>
      <c r="G38" s="348"/>
      <c r="H38" s="349">
        <f ca="1">Silicon!H$25*(GREET1_Import_Export!$F$179*GREET1_Import_Export!$B182+GREET1_Import_Export!$F182)/1000000+Silicon!H$26*(GREET1_Import_Export!$G$179*GREET1_Import_Export!$B182+GREET1_Import_Export!$G182)/1000000+Silicon!H$27*GREET1_Import_Export!$B218/1000000+Silicon!H$28*(1+GREET1_Import_Export!$B286/1000000)+Silicon!H$34*(GREET1_Import_Export!$B311+GREET1_Import_Export!$C311)/1000000+H$29*(GREET1_Import_Export!$B182*GREET1_Import_Export!$I$179+GREET1_Import_Export!$I182)/1000000+H$30*(GREET1_Import_Export!$D463)/1000000+H$31*(GREET1_Import_Export!$D463)/1000000+H$32*SUM(GREET1_Import_Export!$B252:$C252)/1000000+H$33*SUM(GREET1_Import_Export!$AH311:$AI311)/1000000+H$35*[1]!T2lb*Mat_Sum!$CF17</f>
        <v>921.705958919267</v>
      </c>
      <c r="I38" s="349"/>
      <c r="J38" s="347">
        <f ca="1">Silicon!J$25*(GREET1_Import_Export!$F$179*GREET1_Import_Export!$B182+GREET1_Import_Export!$F182)/1000000+Silicon!J$26*(GREET1_Import_Export!$G$179*GREET1_Import_Export!$B182+GREET1_Import_Export!$G182)/1000000+Silicon!J$27*GREET1_Import_Export!$B218/1000000+Silicon!J$28*(1+GREET1_Import_Export!$B286/1000000)+Silicon!J$34*(GREET1_Import_Export!$B311+GREET1_Import_Export!$C311)/1000000+J$29*(GREET1_Import_Export!$B182*GREET1_Import_Export!$I$179+GREET1_Import_Export!$I182)/1000000+J$30*(GREET1_Import_Export!$D463)/1000000+J$31*(GREET1_Import_Export!$D463)/1000000+J$32*SUM(GREET1_Import_Export!$B252:$C252)/1000000+J$33*SUM(GREET1_Import_Export!$AH311:$AI311)/1000000+J$35*[1]!T2lb*Mat_Sum!$CF17</f>
        <v>1519.8830048103343</v>
      </c>
      <c r="K38" s="348"/>
      <c r="L38" s="349">
        <f>Silicon!L$25*(GREET1_Import_Export!$F$179*GREET1_Import_Export!$B182+GREET1_Import_Export!$F182)/1000000+Silicon!L$26*(GREET1_Import_Export!$G$179*GREET1_Import_Export!$B182+GREET1_Import_Export!$G182)/1000000+Silicon!L$27*GREET1_Import_Export!$B218/1000000+Silicon!L$28*(1+GREET1_Import_Export!$B286/1000000)+Silicon!L$34*(GREET1_Import_Export!$B311+GREET1_Import_Export!$C311)/1000000</f>
        <v>8.9215317772782882E-2</v>
      </c>
      <c r="M38" s="348"/>
      <c r="N38" s="349"/>
    </row>
    <row r="39" spans="1:14" s="496" customFormat="1">
      <c r="A39" s="347" t="s">
        <v>804</v>
      </c>
      <c r="B39" s="347">
        <f ca="1">B37-B38-B40</f>
        <v>37.413075901871046</v>
      </c>
      <c r="C39" s="348"/>
      <c r="D39" s="349">
        <f ca="1">D37-D38-D40</f>
        <v>360.85561508386485</v>
      </c>
      <c r="E39" s="349"/>
      <c r="F39" s="347">
        <f ca="1">F37-F38-F40</f>
        <v>990.18203341053663</v>
      </c>
      <c r="G39" s="348"/>
      <c r="H39" s="349">
        <f ca="1">H37-H38-H40</f>
        <v>2103.9239908244099</v>
      </c>
      <c r="I39" s="349"/>
      <c r="J39" s="347">
        <f ca="1">J37-J38-J40</f>
        <v>3681.3254034751844</v>
      </c>
      <c r="K39" s="348"/>
      <c r="L39" s="349">
        <f>L37-L38-L40</f>
        <v>0.16499343852676582</v>
      </c>
      <c r="M39" s="348"/>
      <c r="N39" s="349"/>
    </row>
    <row r="40" spans="1:14" s="496" customFormat="1">
      <c r="A40" s="347" t="s">
        <v>818</v>
      </c>
      <c r="B40" s="347">
        <f ca="1">Silicon!B$25*(1+(GREET1_Import_Export!$F$179*GREET1_Import_Export!$B184+GREET1_Import_Export!$F184)/1000000)+Silicon!B$26*(1+(GREET1_Import_Export!$G$179*GREET1_Import_Export!$B184+GREET1_Import_Export!$G184)/1000000)+Silicon!B$27*GREET1_Import_Export!$B220/1000000+Silicon!B$28*GREET1_Import_Export!$B288/1000000+Silicon!B$34*(GREET1_Import_Export!$B313+GREET1_Import_Export!$C313)/1000000+B$29*(1000000+GREET1_Import_Export!$B184*GREET1_Import_Export!$I$179+GREET1_Import_Export!$I184)/1000000+B$30*(GREET1_Import_Export!$D465)/1000000+B$31*(GREET1_Import_Export!$D465)/1000000+B$32*SUM(GREET1_Import_Export!$B254:$C254)/1000000+B$33*SUM(GREET1_Import_Export!$AH313:$AI313)/1000000+B$35*[1]!T2lb*Mat_Sum!$CF19</f>
        <v>17.74618452958417</v>
      </c>
      <c r="C40" s="348"/>
      <c r="D40" s="349">
        <f ca="1">Silicon!D$25*(1+(GREET1_Import_Export!$F$179*GREET1_Import_Export!$B184+GREET1_Import_Export!$F184)/1000000)+Silicon!D$26*(1+(GREET1_Import_Export!$G$179*GREET1_Import_Export!$B184+GREET1_Import_Export!$G184)/1000000)+Silicon!D$27*GREET1_Import_Export!$B220/1000000+Silicon!D$28*GREET1_Import_Export!$B288/1000000+Silicon!D$34*(GREET1_Import_Export!$B313+GREET1_Import_Export!$C313)/1000000+D$29*(1000000+GREET1_Import_Export!$B184*GREET1_Import_Export!$I$179+GREET1_Import_Export!$I184)/1000000+D$30*(GREET1_Import_Export!$D465)/1000000+D$31*(GREET1_Import_Export!$D465)/1000000+D$32*SUM(GREET1_Import_Export!$B254:$C254)/1000000+D$33*SUM(GREET1_Import_Export!$AH313:$AI313)/1000000+D$35*[1]!T2lb*Mat_Sum!$CF19</f>
        <v>23.120310861940904</v>
      </c>
      <c r="E40" s="349"/>
      <c r="F40" s="347">
        <f ca="1">Silicon!F$25*(1+(GREET1_Import_Export!$F$179*GREET1_Import_Export!$B184+GREET1_Import_Export!$F184)/1000000)+Silicon!F$26*(1+(GREET1_Import_Export!$G$179*GREET1_Import_Export!$B184+GREET1_Import_Export!$G184)/1000000)+Silicon!F$27*GREET1_Import_Export!$B220/1000000+Silicon!F$28*GREET1_Import_Export!$B288/1000000+Silicon!F$34*(GREET1_Import_Export!$B313+GREET1_Import_Export!$C313)/1000000+F$29*(1000000+GREET1_Import_Export!$B184*GREET1_Import_Export!$I$179+GREET1_Import_Export!$I184)/1000000+F$30*(GREET1_Import_Export!$D465)/1000000+F$31*(GREET1_Import_Export!$D465)/1000000+F$32*SUM(GREET1_Import_Export!$B254:$C254)/1000000+F$33*SUM(GREET1_Import_Export!$AH313:$AI313)/1000000+F$35*[1]!T2lb*Mat_Sum!$CF19</f>
        <v>55.496149847567715</v>
      </c>
      <c r="G40" s="348"/>
      <c r="H40" s="349">
        <f ca="1">Silicon!H$25*(1+(GREET1_Import_Export!$F$179*GREET1_Import_Export!$B184+GREET1_Import_Export!$F184)/1000000)+Silicon!H$26*(1+(GREET1_Import_Export!$G$179*GREET1_Import_Export!$B184+GREET1_Import_Export!$G184)/1000000)+Silicon!H$27*GREET1_Import_Export!$B220/1000000+Silicon!H$28*GREET1_Import_Export!$B288/1000000+Silicon!H$34*(GREET1_Import_Export!$B313+GREET1_Import_Export!$C313)/1000000+H$29*(1000000+GREET1_Import_Export!$B184*GREET1_Import_Export!$I$179+GREET1_Import_Export!$I184)/1000000+H$30*(GREET1_Import_Export!$D465)/1000000+H$31*(GREET1_Import_Export!$D465)/1000000+H$32*SUM(GREET1_Import_Export!$B254:$C254)/1000000+H$33*SUM(GREET1_Import_Export!$AH313:$AI313)/1000000+H$35*[1]!T2lb*Mat_Sum!$CF19</f>
        <v>83.014771999251906</v>
      </c>
      <c r="I40" s="349"/>
      <c r="J40" s="347">
        <f ca="1">Silicon!J$25*(1+(GREET1_Import_Export!$F$179*GREET1_Import_Export!$B184+GREET1_Import_Export!$F184)/1000000)+Silicon!J$26*(1+(GREET1_Import_Export!$G$179*GREET1_Import_Export!$B184+GREET1_Import_Export!$G184)/1000000)+Silicon!J$27*GREET1_Import_Export!$B220/1000000+Silicon!J$28*GREET1_Import_Export!$B288/1000000+Silicon!J$34*(GREET1_Import_Export!$B313+GREET1_Import_Export!$C313)/1000000+J$29*(1000000+GREET1_Import_Export!$B184*GREET1_Import_Export!$I$179+GREET1_Import_Export!$I184)/1000000+J$30*(GREET1_Import_Export!$D465)/1000000+J$31*(GREET1_Import_Export!$D465)/1000000+J$32*SUM(GREET1_Import_Export!$B254:$C254)/1000000+J$33*SUM(GREET1_Import_Export!$AH313:$AI313)/1000000+J$35*[1]!T2lb*Mat_Sum!$CF19</f>
        <v>121.18044016708328</v>
      </c>
      <c r="K40" s="348"/>
      <c r="L40" s="349">
        <f>Silicon!L$25*(1+(GREET1_Import_Export!$F$179*GREET1_Import_Export!$B184+GREET1_Import_Export!$F184)/1000000)+Silicon!L$26*(1+(GREET1_Import_Export!$G$179*GREET1_Import_Export!$B184+GREET1_Import_Export!$G184)/1000000)+Silicon!L$27*GREET1_Import_Export!$B220/1000000+Silicon!L$28*GREET1_Import_Export!$B288/1000000+Silicon!L$34*(GREET1_Import_Export!$B313+GREET1_Import_Export!$C313)/1000000</f>
        <v>2.7910700167641414E-3</v>
      </c>
      <c r="M40" s="348"/>
      <c r="N40" s="349"/>
    </row>
    <row r="41" spans="1:14" s="535" customFormat="1">
      <c r="A41" s="1661" t="s">
        <v>819</v>
      </c>
      <c r="B41" s="1661">
        <f ca="1">Silicon!B$25*((GREET1_Import_Export!$F$179*GREET1_Import_Export!$B185+GREET1_Import_Export!$F185))+Silicon!B$26*((GREET1_Import_Export!$G$179*GREET1_Import_Export!$B185+GREET1_Import_Export!$G185))+Silicon!B$27*GREET1_Import_Export!$B221+Silicon!B$28*GREET1_Import_Export!$B289+Silicon!B$34*(GREET1_Import_Export!$B314+GREET1_Import_Export!$C314)+B$29*(GREET1_Import_Export!$B185*GREET1_Import_Export!$I$179+GREET1_Import_Export!$I185)+B$30*(GREET1_Import_Export!$D466)+B$31*(GREET1_Import_Export!$D466)/1000000+B$32*SUM(GREET1_Import_Export!$B255:$C255)+B$33*SUM(GREET1_Import_Export!$AH314:$AI314)+B$35*[1]!T2lb*Mat_Sum!$CF20</f>
        <v>4411.6761218208585</v>
      </c>
      <c r="C41" s="1559"/>
      <c r="D41" s="1356">
        <f ca="1">Silicon!D$25*((GREET1_Import_Export!$F$179*GREET1_Import_Export!$B185+GREET1_Import_Export!$F185))+Silicon!D$26*((GREET1_Import_Export!$G$179*GREET1_Import_Export!$B185+GREET1_Import_Export!$G185))+Silicon!D$27*GREET1_Import_Export!$B221+Silicon!D$28*GREET1_Import_Export!$B289+Silicon!D$34*(GREET1_Import_Export!$B314+GREET1_Import_Export!$C314)+D$29*(GREET1_Import_Export!$B185*GREET1_Import_Export!$I$179+GREET1_Import_Export!$I185)+D$30*(GREET1_Import_Export!$D466)+D$31*(GREET1_Import_Export!$D466)/1000000+D$32*SUM(GREET1_Import_Export!$B255:$C255)+D$33*SUM(GREET1_Import_Export!$AH314:$AI314)+D$35*[1]!T2lb*Mat_Sum!$CF20</f>
        <v>130710.03512279493</v>
      </c>
      <c r="E41" s="1356"/>
      <c r="F41" s="1661">
        <f ca="1">Silicon!F$25*((GREET1_Import_Export!$F$179*GREET1_Import_Export!$B185+GREET1_Import_Export!$F185))+Silicon!F$26*((GREET1_Import_Export!$G$179*GREET1_Import_Export!$B185+GREET1_Import_Export!$G185))+Silicon!F$27*GREET1_Import_Export!$B221+Silicon!F$28*GREET1_Import_Export!$B289+Silicon!F$34*(GREET1_Import_Export!$B314+GREET1_Import_Export!$C314)+F$29*(GREET1_Import_Export!$B185*GREET1_Import_Export!$I$179+GREET1_Import_Export!$I185)+F$30*(GREET1_Import_Export!$D466)+F$31*(GREET1_Import_Export!$D466)/1000000+F$32*SUM(GREET1_Import_Export!$B255:$C255)+F$33*SUM(GREET1_Import_Export!$AH314:$AI314)+F$35*[1]!T2lb*Mat_Sum!$CF20</f>
        <v>315275.07479756302</v>
      </c>
      <c r="G41" s="1559"/>
      <c r="H41" s="1356">
        <f ca="1">Silicon!H$25*((GREET1_Import_Export!$F$179*GREET1_Import_Export!$B185+GREET1_Import_Export!$F185))+Silicon!H$26*((GREET1_Import_Export!$G$179*GREET1_Import_Export!$B185+GREET1_Import_Export!$G185))+Silicon!H$27*GREET1_Import_Export!$B221+Silicon!H$28*GREET1_Import_Export!$B289+Silicon!H$34*(GREET1_Import_Export!$B314+GREET1_Import_Export!$C314)+H$29*(GREET1_Import_Export!$B185*GREET1_Import_Export!$I$179+GREET1_Import_Export!$I185)+H$30*(GREET1_Import_Export!$D466)+H$31*(GREET1_Import_Export!$D466)/1000000+H$32*SUM(GREET1_Import_Export!$B255:$C255)+H$33*SUM(GREET1_Import_Export!$AH314:$AI314)+H$35*[1]!T2lb*Mat_Sum!$CF20</f>
        <v>312604.47554146062</v>
      </c>
      <c r="I41" s="1356"/>
      <c r="J41" s="1661">
        <f ca="1">Silicon!J$25*((GREET1_Import_Export!$F$179*GREET1_Import_Export!$B185+GREET1_Import_Export!$F185))+Silicon!J$26*((GREET1_Import_Export!$G$179*GREET1_Import_Export!$B185+GREET1_Import_Export!$G185))+Silicon!J$27*GREET1_Import_Export!$B221+Silicon!J$28*GREET1_Import_Export!$B289+Silicon!J$34*(GREET1_Import_Export!$B314+GREET1_Import_Export!$C314)+J$29*(GREET1_Import_Export!$B185*GREET1_Import_Export!$I$179+GREET1_Import_Export!$I185)+J$30*(GREET1_Import_Export!$D466)+J$31*(GREET1_Import_Export!$D466)/1000000+J$32*SUM(GREET1_Import_Export!$B255:$C255)+J$33*SUM(GREET1_Import_Export!$AH314:$AI314)+J$35*[1]!T2lb*Mat_Sum!$CF20</f>
        <v>474817.33588334091</v>
      </c>
      <c r="K41" s="1559"/>
      <c r="L41" s="1356">
        <f>Silicon!L$25*((GREET1_Import_Export!$F$179*GREET1_Import_Export!$B185+GREET1_Import_Export!$F185))+Silicon!L$26*((GREET1_Import_Export!$G$179*GREET1_Import_Export!$B185+GREET1_Import_Export!$G185))+Silicon!L$27*GREET1_Import_Export!$B221+Silicon!L$28*GREET1_Import_Export!$B289+Silicon!L$34*(GREET1_Import_Export!$B314+GREET1_Import_Export!$C314)</f>
        <v>17.38965951619959</v>
      </c>
      <c r="M41" s="1559"/>
      <c r="N41" s="419"/>
    </row>
    <row r="42" spans="1:14" s="496" customFormat="1">
      <c r="A42" s="699" t="s">
        <v>864</v>
      </c>
      <c r="B42" s="623"/>
      <c r="C42" s="673"/>
      <c r="D42" s="615"/>
      <c r="E42" s="615"/>
      <c r="F42" s="623"/>
      <c r="G42" s="673"/>
      <c r="H42" s="615"/>
      <c r="I42" s="615"/>
      <c r="J42" s="623"/>
      <c r="K42" s="673"/>
      <c r="L42" s="615"/>
      <c r="M42" s="673"/>
      <c r="N42" s="349"/>
    </row>
    <row r="43" spans="1:14" s="496" customFormat="1">
      <c r="A43" s="347" t="s">
        <v>821</v>
      </c>
      <c r="B43" s="347">
        <f ca="1">Silicon!B$25*(GREET1_Import_Export!$K72+GREET1_Import_Export!$F$179*GREET1_Import_Export!$B186+GREET1_Import_Export!$F186)+Silicon!B$26*(GREET1_Import_Export!$O72+GREET1_Import_Export!$G$179*GREET1_Import_Export!$B186+GREET1_Import_Export!$G186)+Silicon!B$27*(Silicon!$B$5*GREET1_Import_Export!$B72+GREET1_Import_Export!$B222)+Silicon!B$28*(Silicon!$B$6*GREET1_Import_Export!$AA72+GREET1_Import_Export!$B290)+Silicon!B$34*(GREET1_Import_Export!$B315+GREET1_Import_Export!$C315)+B$29*(GREET1_Import_Export!$AC72+GREET1_Import_Export!$B186*GREET1_Import_Export!$I$179+GREET1_Import_Export!$I186)+B$30*(GREET1_Import_Export!$AD72+GREET1_Import_Export!$D467)+B$31*(GREET1_Import_Export!$AI72+GREET1_Import_Export!$D467)+B$32*SUM(GREET1_Import_Export!$B256:$C256)+B$33*SUM(GREET1_Import_Export!$AH315:$AI315)+B$35*[1]!T2lb*Mat_Sum!$CF22</f>
        <v>835.64216204424497</v>
      </c>
      <c r="C43" s="348"/>
      <c r="D43" s="349">
        <f ca="1">Silicon!D$25*(GREET1_Import_Export!$K72+GREET1_Import_Export!$F$179*GREET1_Import_Export!$B186+GREET1_Import_Export!$F186)+Silicon!D$26*(GREET1_Import_Export!$O72+GREET1_Import_Export!$G$179*GREET1_Import_Export!$B186+GREET1_Import_Export!$G186)+Silicon!D$27*(Silicon!$B$5*GREET1_Import_Export!$B72+GREET1_Import_Export!$B222)+Silicon!D$28*(Silicon!$B$6*GREET1_Import_Export!$AA72+GREET1_Import_Export!$B290)+Silicon!D$34*(GREET1_Import_Export!$B315+GREET1_Import_Export!$C315)+D$29*(GREET1_Import_Export!$AC72+GREET1_Import_Export!$B186*GREET1_Import_Export!$I$179+GREET1_Import_Export!$I186)+D$30*(GREET1_Import_Export!$AD72+GREET1_Import_Export!$D467)+D$31*(GREET1_Import_Export!$AI72+GREET1_Import_Export!$D467)+D$32*SUM(GREET1_Import_Export!$B256:$C256)+D$33*SUM(GREET1_Import_Export!$AH315:$AI315)+D$35*[1]!T2lb*Mat_Sum!$CF22</f>
        <v>4916.9270134715371</v>
      </c>
      <c r="E43" s="349"/>
      <c r="F43" s="347">
        <f ca="1">Silicon!F$25*(GREET1_Import_Export!$K72+GREET1_Import_Export!$F$179*GREET1_Import_Export!$B186+GREET1_Import_Export!$F186)+Silicon!F$26*(GREET1_Import_Export!$O72+GREET1_Import_Export!$G$179*GREET1_Import_Export!$B186+GREET1_Import_Export!$G186)+Silicon!F$27*(Silicon!$B$5*GREET1_Import_Export!$B72+GREET1_Import_Export!$B222)+Silicon!F$28*(Silicon!$B$6*GREET1_Import_Export!$AA72+GREET1_Import_Export!$B290)+Silicon!F$34*(GREET1_Import_Export!$B315+GREET1_Import_Export!$C315)+F$29*(GREET1_Import_Export!$AC72+GREET1_Import_Export!$B186*GREET1_Import_Export!$I$179+GREET1_Import_Export!$I186)+F$30*(GREET1_Import_Export!$AD72+GREET1_Import_Export!$D467)+F$31*(GREET1_Import_Export!$AI72+GREET1_Import_Export!$D467)+F$32*SUM(GREET1_Import_Export!$B256:$C256)+F$33*SUM(GREET1_Import_Export!$AH315:$AI315)+F$35*[1]!T2lb*Mat_Sum!$CF22</f>
        <v>13453.749481927804</v>
      </c>
      <c r="G43" s="348"/>
      <c r="H43" s="349">
        <f ca="1">Silicon!H$25*(GREET1_Import_Export!$K72+GREET1_Import_Export!$F$179*GREET1_Import_Export!$B186+GREET1_Import_Export!$F186)+Silicon!H$26*(GREET1_Import_Export!$O72+GREET1_Import_Export!$G$179*GREET1_Import_Export!$B186+GREET1_Import_Export!$G186)+Silicon!H$27*(Silicon!$B$5*GREET1_Import_Export!$B72+GREET1_Import_Export!$B222)+Silicon!H$28*(Silicon!$B$6*GREET1_Import_Export!$AA72+GREET1_Import_Export!$B290)+Silicon!H$34*(GREET1_Import_Export!$B315+GREET1_Import_Export!$C315)+H$29*(GREET1_Import_Export!$AC72+GREET1_Import_Export!$B186*GREET1_Import_Export!$I$179+GREET1_Import_Export!$I186)+H$30*(GREET1_Import_Export!$AD72+GREET1_Import_Export!$D467)+H$31*(GREET1_Import_Export!$AI72+GREET1_Import_Export!$D467)+H$32*SUM(GREET1_Import_Export!$B256:$C256)+H$33*SUM(GREET1_Import_Export!$AH315:$AI315)+H$35*[1]!T2lb*Mat_Sum!$CF22</f>
        <v>28329.803935020918</v>
      </c>
      <c r="I43" s="349"/>
      <c r="J43" s="347">
        <f ca="1">Silicon!J$25*(GREET1_Import_Export!$K72+GREET1_Import_Export!$F$179*GREET1_Import_Export!$B186+GREET1_Import_Export!$F186)+Silicon!J$26*(GREET1_Import_Export!$O72+GREET1_Import_Export!$G$179*GREET1_Import_Export!$B186+GREET1_Import_Export!$G186)+Silicon!J$27*(Silicon!$B$5*GREET1_Import_Export!$B72+GREET1_Import_Export!$B222)+Silicon!J$28*(Silicon!$B$6*GREET1_Import_Export!$AA72+GREET1_Import_Export!$B290)+Silicon!J$34*(GREET1_Import_Export!$B315+GREET1_Import_Export!$C315)+J$29*(GREET1_Import_Export!$AC72+GREET1_Import_Export!$B186*GREET1_Import_Export!$I$179+GREET1_Import_Export!$I186)+J$30*(GREET1_Import_Export!$AD72+GREET1_Import_Export!$D467)+J$31*(GREET1_Import_Export!$AI72+GREET1_Import_Export!$D467)+J$32*SUM(GREET1_Import_Export!$B256:$C256)+J$33*SUM(GREET1_Import_Export!$AH315:$AI315)+J$35*[1]!T2lb*Mat_Sum!$CF22</f>
        <v>48951.727193992789</v>
      </c>
      <c r="K43" s="348"/>
      <c r="L43" s="349">
        <f>Silicon!L$25*(GREET1_Import_Export!$K72+GREET1_Import_Export!$F$179*GREET1_Import_Export!$B186+GREET1_Import_Export!$F186)+Silicon!L$26*(GREET1_Import_Export!$O72+GREET1_Import_Export!$G$179*GREET1_Import_Export!$B186+GREET1_Import_Export!$G186)+Silicon!L$27*(Silicon!$C$5*GREET1_Import_Export!$B72+GREET1_Import_Export!$B222)+Silicon!L$28*(Silicon!$C$6*GREET1_Import_Export!$AA72+GREET1_Import_Export!$B290)+Silicon!L$34*(GREET1_Import_Export!$B315+GREET1_Import_Export!$C315)</f>
        <v>2.2170989710903699</v>
      </c>
      <c r="M43" s="348"/>
      <c r="N43" s="349"/>
    </row>
    <row r="44" spans="1:14" s="496" customFormat="1">
      <c r="A44" s="347" t="s">
        <v>822</v>
      </c>
      <c r="B44" s="347">
        <f ca="1">Silicon!B$25*(GREET1_Import_Export!$K73+GREET1_Import_Export!$F$179*GREET1_Import_Export!$B187+GREET1_Import_Export!$F187)+Silicon!B$26*(GREET1_Import_Export!$O73+GREET1_Import_Export!$G$179*GREET1_Import_Export!$B187+GREET1_Import_Export!$G187)+Silicon!B$27*(Silicon!$B$5*GREET1_Import_Export!$B73+GREET1_Import_Export!$B223)+Silicon!B$28*(Silicon!$B$6*GREET1_Import_Export!$AA73+GREET1_Import_Export!$B291)+Silicon!B$34*(GREET1_Import_Export!$B316+GREET1_Import_Export!$C316)+B$29*(GREET1_Import_Export!$AC73+GREET1_Import_Export!$B187*GREET1_Import_Export!$I$179+GREET1_Import_Export!$I187)+B$30*(GREET1_Import_Export!$AD73+GREET1_Import_Export!$D468)+B$31*(GREET1_Import_Export!$AI73+GREET1_Import_Export!$D468)+B$32*SUM(GREET1_Import_Export!$B257:$C257)+B$33*SUM(GREET1_Import_Export!$AH316:$AI316)+B$35*[1]!T2lb*Mat_Sum!$CF23</f>
        <v>2989.8409097412227</v>
      </c>
      <c r="C44" s="348"/>
      <c r="D44" s="349">
        <f ca="1">Silicon!D$25*(GREET1_Import_Export!$K73+GREET1_Import_Export!$F$179*GREET1_Import_Export!$B187+GREET1_Import_Export!$F187)+Silicon!D$26*(GREET1_Import_Export!$O73+GREET1_Import_Export!$G$179*GREET1_Import_Export!$B187+GREET1_Import_Export!$G187)+Silicon!D$27*(Silicon!$B$5*GREET1_Import_Export!$B73+GREET1_Import_Export!$B223)+Silicon!D$28*(Silicon!$B$6*GREET1_Import_Export!$AA73+GREET1_Import_Export!$B291)+Silicon!D$34*(GREET1_Import_Export!$B316+GREET1_Import_Export!$C316)+D$29*(GREET1_Import_Export!$AC73+GREET1_Import_Export!$B187*GREET1_Import_Export!$I$179+GREET1_Import_Export!$I187)+D$30*(GREET1_Import_Export!$AD73+GREET1_Import_Export!$D468)+D$31*(GREET1_Import_Export!$AI73+GREET1_Import_Export!$D468)+D$32*SUM(GREET1_Import_Export!$B257:$C257)+D$33*SUM(GREET1_Import_Export!$AH316:$AI316)+D$35*[1]!T2lb*Mat_Sum!$CF23</f>
        <v>17109.93421974171</v>
      </c>
      <c r="E44" s="349"/>
      <c r="F44" s="347">
        <f ca="1">Silicon!F$25*(GREET1_Import_Export!$K73+GREET1_Import_Export!$F$179*GREET1_Import_Export!$B187+GREET1_Import_Export!$F187)+Silicon!F$26*(GREET1_Import_Export!$O73+GREET1_Import_Export!$G$179*GREET1_Import_Export!$B187+GREET1_Import_Export!$G187)+Silicon!F$27*(Silicon!$B$5*GREET1_Import_Export!$B73+GREET1_Import_Export!$B223)+Silicon!F$28*(Silicon!$B$6*GREET1_Import_Export!$AA73+GREET1_Import_Export!$B291)+Silicon!F$34*(GREET1_Import_Export!$B316+GREET1_Import_Export!$C316)+F$29*(GREET1_Import_Export!$AC73+GREET1_Import_Export!$B187*GREET1_Import_Export!$I$179+GREET1_Import_Export!$I187)+F$30*(GREET1_Import_Export!$AD73+GREET1_Import_Export!$D468)+F$31*(GREET1_Import_Export!$AI73+GREET1_Import_Export!$D468)+F$32*SUM(GREET1_Import_Export!$B257:$C257)+F$33*SUM(GREET1_Import_Export!$AH316:$AI316)+F$35*[1]!T2lb*Mat_Sum!$CF23</f>
        <v>45138.950619572999</v>
      </c>
      <c r="G44" s="348"/>
      <c r="H44" s="349">
        <f ca="1">Silicon!H$25*(GREET1_Import_Export!$K73+GREET1_Import_Export!$F$179*GREET1_Import_Export!$B187+GREET1_Import_Export!$F187)+Silicon!H$26*(GREET1_Import_Export!$O73+GREET1_Import_Export!$G$179*GREET1_Import_Export!$B187+GREET1_Import_Export!$G187)+Silicon!H$27*(Silicon!$B$5*GREET1_Import_Export!$B73+GREET1_Import_Export!$B223)+Silicon!H$28*(Silicon!$B$6*GREET1_Import_Export!$AA73+GREET1_Import_Export!$B291)+Silicon!H$34*(GREET1_Import_Export!$B316+GREET1_Import_Export!$C316)+H$29*(GREET1_Import_Export!$AC73+GREET1_Import_Export!$B187*GREET1_Import_Export!$I$179+GREET1_Import_Export!$I187)+H$30*(GREET1_Import_Export!$AD73+GREET1_Import_Export!$D468)+H$31*(GREET1_Import_Export!$AI73+GREET1_Import_Export!$D468)+H$32*SUM(GREET1_Import_Export!$B257:$C257)+H$33*SUM(GREET1_Import_Export!$AH316:$AI316)+H$35*[1]!T2lb*Mat_Sum!$CF23</f>
        <v>86965.079457285581</v>
      </c>
      <c r="I44" s="349"/>
      <c r="J44" s="347">
        <f ca="1">Silicon!J$25*(GREET1_Import_Export!$K73+GREET1_Import_Export!$F$179*GREET1_Import_Export!$B187+GREET1_Import_Export!$F187)+Silicon!J$26*(GREET1_Import_Export!$O73+GREET1_Import_Export!$G$179*GREET1_Import_Export!$B187+GREET1_Import_Export!$G187)+Silicon!J$27*(Silicon!$B$5*GREET1_Import_Export!$B73+GREET1_Import_Export!$B223)+Silicon!J$28*(Silicon!$B$6*GREET1_Import_Export!$AA73+GREET1_Import_Export!$B291)+Silicon!J$34*(GREET1_Import_Export!$B316+GREET1_Import_Export!$C316)+J$29*(GREET1_Import_Export!$AC73+GREET1_Import_Export!$B187*GREET1_Import_Export!$I$179+GREET1_Import_Export!$I187)+J$30*(GREET1_Import_Export!$AD73+GREET1_Import_Export!$D468)+J$31*(GREET1_Import_Export!$AI73+GREET1_Import_Export!$D468)+J$32*SUM(GREET1_Import_Export!$B257:$C257)+J$33*SUM(GREET1_Import_Export!$AH316:$AI316)+J$35*[1]!T2lb*Mat_Sum!$CF23</f>
        <v>151970.36226437107</v>
      </c>
      <c r="K44" s="348"/>
      <c r="L44" s="349">
        <f>Silicon!L$25*(GREET1_Import_Export!$K73+GREET1_Import_Export!$F$179*GREET1_Import_Export!$B187+GREET1_Import_Export!$F187)+Silicon!L$26*(GREET1_Import_Export!$O73+GREET1_Import_Export!$G$179*GREET1_Import_Export!$B187+GREET1_Import_Export!$G187)+Silicon!L$27*(Silicon!$C$5*GREET1_Import_Export!$B73+GREET1_Import_Export!$B223)+Silicon!L$28*(Silicon!$C$6*GREET1_Import_Export!$AA73+GREET1_Import_Export!$B291)+Silicon!L$34*(GREET1_Import_Export!$B316+GREET1_Import_Export!$C316)</f>
        <v>5.9927948206956136</v>
      </c>
      <c r="M44" s="348"/>
      <c r="N44" s="349"/>
    </row>
    <row r="45" spans="1:14" s="496" customFormat="1">
      <c r="A45" s="347" t="s">
        <v>823</v>
      </c>
      <c r="B45" s="347">
        <f ca="1">Silicon!B$25*(GREET1_Import_Export!$K74+GREET1_Import_Export!$F$179*GREET1_Import_Export!$B188+GREET1_Import_Export!$F188)+Silicon!B$26*(GREET1_Import_Export!$O74+GREET1_Import_Export!$G$179*GREET1_Import_Export!$B188+GREET1_Import_Export!$G188)+Silicon!B$27*(Silicon!$B$5*GREET1_Import_Export!$B74+GREET1_Import_Export!$B224)+Silicon!B$28*(Silicon!$B$6*GREET1_Import_Export!$AA74+GREET1_Import_Export!$B292)+Silicon!B$34*(GREET1_Import_Export!$B317+GREET1_Import_Export!$C317)+B$29*(GREET1_Import_Export!$AC74+GREET1_Import_Export!$B188*GREET1_Import_Export!$I$179+GREET1_Import_Export!$I188)+B$30*(GREET1_Import_Export!$AD74+GREET1_Import_Export!$D469)+B$31*(GREET1_Import_Export!$AI74+GREET1_Import_Export!$D469)+B$32*SUM(GREET1_Import_Export!$B258:$C258)+B$33*SUM(GREET1_Import_Export!$AH317:$AI317)+B$35*[1]!T2lb*Mat_Sum!$CF24</f>
        <v>9585.3052824899423</v>
      </c>
      <c r="C45" s="348"/>
      <c r="D45" s="349">
        <f ca="1">Silicon!D$25*(GREET1_Import_Export!$K74+GREET1_Import_Export!$F$179*GREET1_Import_Export!$B188+GREET1_Import_Export!$F188)+Silicon!D$26*(GREET1_Import_Export!$O74+GREET1_Import_Export!$G$179*GREET1_Import_Export!$B188+GREET1_Import_Export!$G188)+Silicon!D$27*(Silicon!$B$5*GREET1_Import_Export!$B74+GREET1_Import_Export!$B224)+Silicon!D$28*(Silicon!$B$6*GREET1_Import_Export!$AA74+GREET1_Import_Export!$B292)+Silicon!D$34*(GREET1_Import_Export!$B317+GREET1_Import_Export!$C317)+D$29*(GREET1_Import_Export!$AC74+GREET1_Import_Export!$B188*GREET1_Import_Export!$I$179+GREET1_Import_Export!$I188)+D$30*(GREET1_Import_Export!$AD74+GREET1_Import_Export!$D469)+D$31*(GREET1_Import_Export!$AI74+GREET1_Import_Export!$D469)+D$32*SUM(GREET1_Import_Export!$B258:$C258)+D$33*SUM(GREET1_Import_Export!$AH317:$AI317)+D$35*[1]!T2lb*Mat_Sum!$CF24</f>
        <v>33150.77524848107</v>
      </c>
      <c r="E45" s="349"/>
      <c r="F45" s="347">
        <f ca="1">Silicon!F$25*(GREET1_Import_Export!$K74+GREET1_Import_Export!$F$179*GREET1_Import_Export!$B188+GREET1_Import_Export!$F188)+Silicon!F$26*(GREET1_Import_Export!$O74+GREET1_Import_Export!$G$179*GREET1_Import_Export!$B188+GREET1_Import_Export!$G188)+Silicon!F$27*(Silicon!$B$5*GREET1_Import_Export!$B74+GREET1_Import_Export!$B224)+Silicon!F$28*(Silicon!$B$6*GREET1_Import_Export!$AA74+GREET1_Import_Export!$B292)+Silicon!F$34*(GREET1_Import_Export!$B317+GREET1_Import_Export!$C317)+F$29*(GREET1_Import_Export!$AC74+GREET1_Import_Export!$B188*GREET1_Import_Export!$I$179+GREET1_Import_Export!$I188)+F$30*(GREET1_Import_Export!$AD74+GREET1_Import_Export!$D469)+F$31*(GREET1_Import_Export!$AI74+GREET1_Import_Export!$D469)+F$32*SUM(GREET1_Import_Export!$B258:$C258)+F$33*SUM(GREET1_Import_Export!$AH317:$AI317)+F$35*[1]!T2lb*Mat_Sum!$CF24</f>
        <v>88078.706503547597</v>
      </c>
      <c r="G45" s="348"/>
      <c r="H45" s="349">
        <f ca="1">Silicon!H$25*(GREET1_Import_Export!$K74+GREET1_Import_Export!$F$179*GREET1_Import_Export!$B188+GREET1_Import_Export!$F188)+Silicon!H$26*(GREET1_Import_Export!$O74+GREET1_Import_Export!$G$179*GREET1_Import_Export!$B188+GREET1_Import_Export!$G188)+Silicon!H$27*(Silicon!$B$5*GREET1_Import_Export!$B74+GREET1_Import_Export!$B224)+Silicon!H$28*(Silicon!$B$6*GREET1_Import_Export!$AA74+GREET1_Import_Export!$B292)+Silicon!H$34*(GREET1_Import_Export!$B317+GREET1_Import_Export!$C317)+H$29*(GREET1_Import_Export!$AC74+GREET1_Import_Export!$B188*GREET1_Import_Export!$I$179+GREET1_Import_Export!$I188)+H$30*(GREET1_Import_Export!$AD74+GREET1_Import_Export!$D469)+H$31*(GREET1_Import_Export!$AI74+GREET1_Import_Export!$D469)+H$32*SUM(GREET1_Import_Export!$B258:$C258)+H$33*SUM(GREET1_Import_Export!$AH317:$AI317)+H$35*[1]!T2lb*Mat_Sum!$CF24</f>
        <v>173213.77619841709</v>
      </c>
      <c r="I45" s="349"/>
      <c r="J45" s="347">
        <f ca="1">Silicon!J$25*(GREET1_Import_Export!$K74+GREET1_Import_Export!$F$179*GREET1_Import_Export!$B188+GREET1_Import_Export!$F188)+Silicon!J$26*(GREET1_Import_Export!$O74+GREET1_Import_Export!$G$179*GREET1_Import_Export!$B188+GREET1_Import_Export!$G188)+Silicon!J$27*(Silicon!$B$5*GREET1_Import_Export!$B74+GREET1_Import_Export!$B224)+Silicon!J$28*(Silicon!$B$6*GREET1_Import_Export!$AA74+GREET1_Import_Export!$B292)+Silicon!J$34*(GREET1_Import_Export!$B317+GREET1_Import_Export!$C317)+J$29*(GREET1_Import_Export!$AC74+GREET1_Import_Export!$B188*GREET1_Import_Export!$I$179+GREET1_Import_Export!$I188)+J$30*(GREET1_Import_Export!$AD74+GREET1_Import_Export!$D469)+J$31*(GREET1_Import_Export!$AI74+GREET1_Import_Export!$D469)+J$32*SUM(GREET1_Import_Export!$B258:$C258)+J$33*SUM(GREET1_Import_Export!$AH317:$AI317)+J$35*[1]!T2lb*Mat_Sum!$CF24</f>
        <v>293628.85921591887</v>
      </c>
      <c r="K45" s="348"/>
      <c r="L45" s="349">
        <f>Silicon!L$25*(GREET1_Import_Export!$K74+GREET1_Import_Export!$F$179*GREET1_Import_Export!$B188+GREET1_Import_Export!$F188)+Silicon!L$26*(GREET1_Import_Export!$O74+GREET1_Import_Export!$G$179*GREET1_Import_Export!$B188+GREET1_Import_Export!$G188)+Silicon!L$27*(Silicon!$C$5*GREET1_Import_Export!$B74+GREET1_Import_Export!$B224)+Silicon!L$28*(Silicon!$C$6*GREET1_Import_Export!$AA74+GREET1_Import_Export!$B292)+Silicon!L$34*(GREET1_Import_Export!$B317+GREET1_Import_Export!$C317)</f>
        <v>12.345529776973724</v>
      </c>
      <c r="M45" s="348"/>
      <c r="N45" s="349"/>
    </row>
    <row r="46" spans="1:14" s="496" customFormat="1">
      <c r="A46" s="347" t="s">
        <v>824</v>
      </c>
      <c r="B46" s="347">
        <f ca="1">Silicon!B$25*(GREET1_Import_Export!$K75+GREET1_Import_Export!$F$179*GREET1_Import_Export!$B189+GREET1_Import_Export!$F189)+Silicon!B$26*(GREET1_Import_Export!$O75+GREET1_Import_Export!$G$179*GREET1_Import_Export!$B189+GREET1_Import_Export!$G189)+Silicon!B$27*(Silicon!$B$5*GREET1_Import_Export!$B75+GREET1_Import_Export!$B225)+Silicon!B$28*(Silicon!$B$6*GREET1_Import_Export!$AA75+GREET1_Import_Export!$B293)+Silicon!B$34*(GREET1_Import_Export!$B318+GREET1_Import_Export!$C318)+B$29*(GREET1_Import_Export!$AC75+GREET1_Import_Export!$B189*GREET1_Import_Export!$I$179+GREET1_Import_Export!$I189)+B$30*(GREET1_Import_Export!$AD75+GREET1_Import_Export!$D470)+B$31*(GREET1_Import_Export!$AI75+GREET1_Import_Export!$D470)+B$32*SUM(GREET1_Import_Export!$B259:$C259)+B$33*SUM(GREET1_Import_Export!$AH318:$AI318)+B$35*[1]!T2lb*Mat_Sum!$CF25</f>
        <v>1266.9273407520423</v>
      </c>
      <c r="C46" s="348"/>
      <c r="D46" s="349">
        <f ca="1">Silicon!D$25*(GREET1_Import_Export!$K75+GREET1_Import_Export!$F$179*GREET1_Import_Export!$B189+GREET1_Import_Export!$F189)+Silicon!D$26*(GREET1_Import_Export!$O75+GREET1_Import_Export!$G$179*GREET1_Import_Export!$B189+GREET1_Import_Export!$G189)+Silicon!D$27*(Silicon!$B$5*GREET1_Import_Export!$B75+GREET1_Import_Export!$B225)+Silicon!D$28*(Silicon!$B$6*GREET1_Import_Export!$AA75+GREET1_Import_Export!$B293)+Silicon!D$34*(GREET1_Import_Export!$B318+GREET1_Import_Export!$C318)+D$29*(GREET1_Import_Export!$AC75+GREET1_Import_Export!$B189*GREET1_Import_Export!$I$179+GREET1_Import_Export!$I189)+D$30*(GREET1_Import_Export!$AD75+GREET1_Import_Export!$D470)+D$31*(GREET1_Import_Export!$AI75+GREET1_Import_Export!$D470)+D$32*SUM(GREET1_Import_Export!$B259:$C259)+D$33*SUM(GREET1_Import_Export!$AH318:$AI318)+D$35*[1]!T2lb*Mat_Sum!$CF25</f>
        <v>3776.5410293115083</v>
      </c>
      <c r="E46" s="349"/>
      <c r="F46" s="347">
        <f ca="1">Silicon!F$25*(GREET1_Import_Export!$K75+GREET1_Import_Export!$F$179*GREET1_Import_Export!$B189+GREET1_Import_Export!$F189)+Silicon!F$26*(GREET1_Import_Export!$O75+GREET1_Import_Export!$G$179*GREET1_Import_Export!$B189+GREET1_Import_Export!$G189)+Silicon!F$27*(Silicon!$B$5*GREET1_Import_Export!$B75+GREET1_Import_Export!$B225)+Silicon!F$28*(Silicon!$B$6*GREET1_Import_Export!$AA75+GREET1_Import_Export!$B293)+Silicon!F$34*(GREET1_Import_Export!$B318+GREET1_Import_Export!$C318)+F$29*(GREET1_Import_Export!$AC75+GREET1_Import_Export!$B189*GREET1_Import_Export!$I$179+GREET1_Import_Export!$I189)+F$30*(GREET1_Import_Export!$AD75+GREET1_Import_Export!$D470)+F$31*(GREET1_Import_Export!$AI75+GREET1_Import_Export!$D470)+F$32*SUM(GREET1_Import_Export!$B259:$C259)+F$33*SUM(GREET1_Import_Export!$AH318:$AI318)+F$35*[1]!T2lb*Mat_Sum!$CF25</f>
        <v>10583.963035795719</v>
      </c>
      <c r="G46" s="348"/>
      <c r="H46" s="349">
        <f ca="1">Silicon!H$25*(GREET1_Import_Export!$K75+GREET1_Import_Export!$F$179*GREET1_Import_Export!$B189+GREET1_Import_Export!$F189)+Silicon!H$26*(GREET1_Import_Export!$O75+GREET1_Import_Export!$G$179*GREET1_Import_Export!$B189+GREET1_Import_Export!$G189)+Silicon!H$27*(Silicon!$B$5*GREET1_Import_Export!$B75+GREET1_Import_Export!$B225)+Silicon!H$28*(Silicon!$B$6*GREET1_Import_Export!$AA75+GREET1_Import_Export!$B293)+Silicon!H$34*(GREET1_Import_Export!$B318+GREET1_Import_Export!$C318)+H$29*(GREET1_Import_Export!$AC75+GREET1_Import_Export!$B189*GREET1_Import_Export!$I$179+GREET1_Import_Export!$I189)+H$30*(GREET1_Import_Export!$AD75+GREET1_Import_Export!$D470)+H$31*(GREET1_Import_Export!$AI75+GREET1_Import_Export!$D470)+H$32*SUM(GREET1_Import_Export!$B259:$C259)+H$33*SUM(GREET1_Import_Export!$AH318:$AI318)+H$35*[1]!T2lb*Mat_Sum!$CF25</f>
        <v>23463.830193779253</v>
      </c>
      <c r="I46" s="349"/>
      <c r="J46" s="347">
        <f ca="1">Silicon!J$25*(GREET1_Import_Export!$K75+GREET1_Import_Export!$F$179*GREET1_Import_Export!$B189+GREET1_Import_Export!$F189)+Silicon!J$26*(GREET1_Import_Export!$O75+GREET1_Import_Export!$G$179*GREET1_Import_Export!$B189+GREET1_Import_Export!$G189)+Silicon!J$27*(Silicon!$B$5*GREET1_Import_Export!$B75+GREET1_Import_Export!$B225)+Silicon!J$28*(Silicon!$B$6*GREET1_Import_Export!$AA75+GREET1_Import_Export!$B293)+Silicon!J$34*(GREET1_Import_Export!$B318+GREET1_Import_Export!$C318)+J$29*(GREET1_Import_Export!$AC75+GREET1_Import_Export!$B189*GREET1_Import_Export!$I$179+GREET1_Import_Export!$I189)+J$30*(GREET1_Import_Export!$AD75+GREET1_Import_Export!$D470)+J$31*(GREET1_Import_Export!$AI75+GREET1_Import_Export!$D470)+J$32*SUM(GREET1_Import_Export!$B259:$C259)+J$33*SUM(GREET1_Import_Export!$AH318:$AI318)+J$35*[1]!T2lb*Mat_Sum!$CF25</f>
        <v>38938.575667296369</v>
      </c>
      <c r="K46" s="348"/>
      <c r="L46" s="349">
        <f>Silicon!L$25*(GREET1_Import_Export!$K75+GREET1_Import_Export!$F$179*GREET1_Import_Export!$B189+GREET1_Import_Export!$F189)+Silicon!L$26*(GREET1_Import_Export!$O75+GREET1_Import_Export!$G$179*GREET1_Import_Export!$B189+GREET1_Import_Export!$G189)+Silicon!L$27*(Silicon!$C$5*GREET1_Import_Export!$B75+GREET1_Import_Export!$B225)+Silicon!L$28*(Silicon!$C$6*GREET1_Import_Export!$AA75+GREET1_Import_Export!$B293)+Silicon!L$34*(GREET1_Import_Export!$B318+GREET1_Import_Export!$C318)</f>
        <v>1.976226349849568</v>
      </c>
      <c r="M46" s="348"/>
      <c r="N46" s="349"/>
    </row>
    <row r="47" spans="1:14" s="496" customFormat="1">
      <c r="A47" s="347" t="s">
        <v>825</v>
      </c>
      <c r="B47" s="347">
        <f ca="1">Silicon!B$25*(GREET1_Import_Export!$K76+GREET1_Import_Export!$F$179*GREET1_Import_Export!$B190+GREET1_Import_Export!$F190)+Silicon!B$26*(GREET1_Import_Export!$O76+GREET1_Import_Export!$G$179*GREET1_Import_Export!$B190+GREET1_Import_Export!$G190)+Silicon!B$27*(Silicon!$B$5*GREET1_Import_Export!$B76+GREET1_Import_Export!$B226)+Silicon!B$28*(Silicon!$B$6*GREET1_Import_Export!$AA76+GREET1_Import_Export!$B294)+Silicon!B$34*(GREET1_Import_Export!$B319+GREET1_Import_Export!$C319)+B$29*(GREET1_Import_Export!$AC76+GREET1_Import_Export!$B190*GREET1_Import_Export!$I$179+GREET1_Import_Export!$I190)+B$30*(GREET1_Import_Export!$AD76+GREET1_Import_Export!$D471)+B$31*(GREET1_Import_Export!$AI76+GREET1_Import_Export!$D471)+B$32*SUM(GREET1_Import_Export!$B260:$C260)+B$33*SUM(GREET1_Import_Export!$AH319:$AI319)+B$35*[1]!T2lb*Mat_Sum!$CF26</f>
        <v>704.07760010436425</v>
      </c>
      <c r="C47" s="348"/>
      <c r="D47" s="349">
        <f ca="1">Silicon!D$25*(GREET1_Import_Export!$K76+GREET1_Import_Export!$F$179*GREET1_Import_Export!$B190+GREET1_Import_Export!$F190)+Silicon!D$26*(GREET1_Import_Export!$O76+GREET1_Import_Export!$G$179*GREET1_Import_Export!$B190+GREET1_Import_Export!$G190)+Silicon!D$27*(Silicon!$B$5*GREET1_Import_Export!$B76+GREET1_Import_Export!$B226)+Silicon!D$28*(Silicon!$B$6*GREET1_Import_Export!$AA76+GREET1_Import_Export!$B294)+Silicon!D$34*(GREET1_Import_Export!$B319+GREET1_Import_Export!$C319)+D$29*(GREET1_Import_Export!$AC76+GREET1_Import_Export!$B190*GREET1_Import_Export!$I$179+GREET1_Import_Export!$I190)+D$30*(GREET1_Import_Export!$AD76+GREET1_Import_Export!$D471)+D$31*(GREET1_Import_Export!$AI76+GREET1_Import_Export!$D471)+D$32*SUM(GREET1_Import_Export!$B260:$C260)+D$33*SUM(GREET1_Import_Export!$AH319:$AI319)+D$35*[1]!T2lb*Mat_Sum!$CF26</f>
        <v>2446.7419261324121</v>
      </c>
      <c r="E47" s="349"/>
      <c r="F47" s="347">
        <f ca="1">Silicon!F$25*(GREET1_Import_Export!$K76+GREET1_Import_Export!$F$179*GREET1_Import_Export!$B190+GREET1_Import_Export!$F190)+Silicon!F$26*(GREET1_Import_Export!$O76+GREET1_Import_Export!$G$179*GREET1_Import_Export!$B190+GREET1_Import_Export!$G190)+Silicon!F$27*(Silicon!$B$5*GREET1_Import_Export!$B76+GREET1_Import_Export!$B226)+Silicon!F$28*(Silicon!$B$6*GREET1_Import_Export!$AA76+GREET1_Import_Export!$B294)+Silicon!F$34*(GREET1_Import_Export!$B319+GREET1_Import_Export!$C319)+F$29*(GREET1_Import_Export!$AC76+GREET1_Import_Export!$B190*GREET1_Import_Export!$I$179+GREET1_Import_Export!$I190)+F$30*(GREET1_Import_Export!$AD76+GREET1_Import_Export!$D471)+F$31*(GREET1_Import_Export!$AI76+GREET1_Import_Export!$D471)+F$32*SUM(GREET1_Import_Export!$B260:$C260)+F$33*SUM(GREET1_Import_Export!$AH319:$AI319)+F$35*[1]!T2lb*Mat_Sum!$CF26</f>
        <v>6768.4678305026282</v>
      </c>
      <c r="G47" s="348"/>
      <c r="H47" s="349">
        <f ca="1">Silicon!H$25*(GREET1_Import_Export!$K76+GREET1_Import_Export!$F$179*GREET1_Import_Export!$B190+GREET1_Import_Export!$F190)+Silicon!H$26*(GREET1_Import_Export!$O76+GREET1_Import_Export!$G$179*GREET1_Import_Export!$B190+GREET1_Import_Export!$G190)+Silicon!H$27*(Silicon!$B$5*GREET1_Import_Export!$B76+GREET1_Import_Export!$B226)+Silicon!H$28*(Silicon!$B$6*GREET1_Import_Export!$AA76+GREET1_Import_Export!$B294)+Silicon!H$34*(GREET1_Import_Export!$B319+GREET1_Import_Export!$C319)+H$29*(GREET1_Import_Export!$AC76+GREET1_Import_Export!$B190*GREET1_Import_Export!$I$179+GREET1_Import_Export!$I190)+H$30*(GREET1_Import_Export!$AD76+GREET1_Import_Export!$D471)+H$31*(GREET1_Import_Export!$AI76+GREET1_Import_Export!$D471)+H$32*SUM(GREET1_Import_Export!$B260:$C260)+H$33*SUM(GREET1_Import_Export!$AH319:$AI319)+H$35*[1]!T2lb*Mat_Sum!$CF26</f>
        <v>14601.289939203658</v>
      </c>
      <c r="I47" s="349"/>
      <c r="J47" s="347">
        <f ca="1">Silicon!J$25*(GREET1_Import_Export!$K76+GREET1_Import_Export!$F$179*GREET1_Import_Export!$B190+GREET1_Import_Export!$F190)+Silicon!J$26*(GREET1_Import_Export!$O76+GREET1_Import_Export!$G$179*GREET1_Import_Export!$B190+GREET1_Import_Export!$G190)+Silicon!J$27*(Silicon!$B$5*GREET1_Import_Export!$B76+GREET1_Import_Export!$B226)+Silicon!J$28*(Silicon!$B$6*GREET1_Import_Export!$AA76+GREET1_Import_Export!$B294)+Silicon!J$34*(GREET1_Import_Export!$B319+GREET1_Import_Export!$C319)+J$29*(GREET1_Import_Export!$AC76+GREET1_Import_Export!$B190*GREET1_Import_Export!$I$179+GREET1_Import_Export!$I190)+J$30*(GREET1_Import_Export!$AD76+GREET1_Import_Export!$D471)+J$31*(GREET1_Import_Export!$AI76+GREET1_Import_Export!$D471)+J$32*SUM(GREET1_Import_Export!$B260:$C260)+J$33*SUM(GREET1_Import_Export!$AH319:$AI319)+J$35*[1]!T2lb*Mat_Sum!$CF26</f>
        <v>24533.506568115503</v>
      </c>
      <c r="K47" s="348"/>
      <c r="L47" s="349">
        <f>Silicon!L$25*(GREET1_Import_Export!$K76+GREET1_Import_Export!$F$179*GREET1_Import_Export!$B190+GREET1_Import_Export!$F190)+Silicon!L$26*(GREET1_Import_Export!$O76+GREET1_Import_Export!$G$179*GREET1_Import_Export!$B190+GREET1_Import_Export!$G190)+Silicon!L$27*(Silicon!$C$5*GREET1_Import_Export!$B76+GREET1_Import_Export!$B226)+Silicon!L$28*(Silicon!$C$6*GREET1_Import_Export!$AA76+GREET1_Import_Export!$B294)+Silicon!L$34*(GREET1_Import_Export!$B319+GREET1_Import_Export!$C319)</f>
        <v>1.1862684494704534</v>
      </c>
      <c r="M47" s="348"/>
      <c r="N47" s="349"/>
    </row>
    <row r="48" spans="1:14" s="496" customFormat="1">
      <c r="A48" s="347" t="s">
        <v>826</v>
      </c>
      <c r="B48" s="347">
        <f ca="1">Silicon!B$25*(GREET1_Import_Export!$K77+GREET1_Import_Export!$F$179*GREET1_Import_Export!$B191+GREET1_Import_Export!$F191)+Silicon!B$26*(GREET1_Import_Export!$O77+GREET1_Import_Export!$G$179*GREET1_Import_Export!$B191+GREET1_Import_Export!$G191)+Silicon!B$27*(Silicon!$B$5*GREET1_Import_Export!$B77+GREET1_Import_Export!$B227)+Silicon!B$28*(Silicon!$B$6*GREET1_Import_Export!$AA77+GREET1_Import_Export!$B295)+Silicon!B$34*(GREET1_Import_Export!$B320+GREET1_Import_Export!$C320)+B$29*(GREET1_Import_Export!$AC77+GREET1_Import_Export!$B191*GREET1_Import_Export!$I$179+GREET1_Import_Export!$I191)+B$30*(GREET1_Import_Export!$AD77+GREET1_Import_Export!$D472)+B$31*(GREET1_Import_Export!$AI77+GREET1_Import_Export!$D472)+B$32*SUM(GREET1_Import_Export!$B261:$C261)+B$33*SUM(GREET1_Import_Export!$AH320:$AI320)+B$35*[1]!T2lb*Mat_Sum!$CF27</f>
        <v>16532.957374960046</v>
      </c>
      <c r="C48" s="348"/>
      <c r="D48" s="349">
        <f ca="1">Silicon!D$25*(GREET1_Import_Export!$K77+GREET1_Import_Export!$F$179*GREET1_Import_Export!$B191+GREET1_Import_Export!$F191)+Silicon!D$26*(GREET1_Import_Export!$O77+GREET1_Import_Export!$G$179*GREET1_Import_Export!$B191+GREET1_Import_Export!$G191)+Silicon!D$27*(Silicon!$B$5*GREET1_Import_Export!$B77+GREET1_Import_Export!$B227)+Silicon!D$28*(Silicon!$B$6*GREET1_Import_Export!$AA77+GREET1_Import_Export!$B295)+Silicon!D$34*(GREET1_Import_Export!$B320+GREET1_Import_Export!$C320)+D$29*(GREET1_Import_Export!$AC77+GREET1_Import_Export!$B191*GREET1_Import_Export!$I$179+GREET1_Import_Export!$I191)+D$30*(GREET1_Import_Export!$AD77+GREET1_Import_Export!$D472)+D$31*(GREET1_Import_Export!$AI77+GREET1_Import_Export!$D472)+D$32*SUM(GREET1_Import_Export!$B261:$C261)+D$33*SUM(GREET1_Import_Export!$AH320:$AI320)+D$35*[1]!T2lb*Mat_Sum!$CF27</f>
        <v>29510.944302904209</v>
      </c>
      <c r="E48" s="349"/>
      <c r="F48" s="347">
        <f ca="1">Silicon!F$25*(GREET1_Import_Export!$K77+GREET1_Import_Export!$F$179*GREET1_Import_Export!$B191+GREET1_Import_Export!$F191)+Silicon!F$26*(GREET1_Import_Export!$O77+GREET1_Import_Export!$G$179*GREET1_Import_Export!$B191+GREET1_Import_Export!$G191)+Silicon!F$27*(Silicon!$B$5*GREET1_Import_Export!$B77+GREET1_Import_Export!$B227)+Silicon!F$28*(Silicon!$B$6*GREET1_Import_Export!$AA77+GREET1_Import_Export!$B295)+Silicon!F$34*(GREET1_Import_Export!$B320+GREET1_Import_Export!$C320)+F$29*(GREET1_Import_Export!$AC77+GREET1_Import_Export!$B191*GREET1_Import_Export!$I$179+GREET1_Import_Export!$I191)+F$30*(GREET1_Import_Export!$AD77+GREET1_Import_Export!$D472)+F$31*(GREET1_Import_Export!$AI77+GREET1_Import_Export!$D472)+F$32*SUM(GREET1_Import_Export!$B261:$C261)+F$33*SUM(GREET1_Import_Export!$AH320:$AI320)+F$35*[1]!T2lb*Mat_Sum!$CF27</f>
        <v>77604.190811748485</v>
      </c>
      <c r="G48" s="348"/>
      <c r="H48" s="349">
        <f ca="1">Silicon!H$25*(GREET1_Import_Export!$K77+GREET1_Import_Export!$F$179*GREET1_Import_Export!$B191+GREET1_Import_Export!$F191)+Silicon!H$26*(GREET1_Import_Export!$O77+GREET1_Import_Export!$G$179*GREET1_Import_Export!$B191+GREET1_Import_Export!$G191)+Silicon!H$27*(Silicon!$B$5*GREET1_Import_Export!$B77+GREET1_Import_Export!$B227)+Silicon!H$28*(Silicon!$B$6*GREET1_Import_Export!$AA77+GREET1_Import_Export!$B295)+Silicon!H$34*(GREET1_Import_Export!$B320+GREET1_Import_Export!$C320)+H$29*(GREET1_Import_Export!$AC77+GREET1_Import_Export!$B191*GREET1_Import_Export!$I$179+GREET1_Import_Export!$I191)+H$30*(GREET1_Import_Export!$AD77+GREET1_Import_Export!$D472)+H$31*(GREET1_Import_Export!$AI77+GREET1_Import_Export!$D472)+H$32*SUM(GREET1_Import_Export!$B261:$C261)+H$33*SUM(GREET1_Import_Export!$AH320:$AI320)+H$35*[1]!T2lb*Mat_Sum!$CF27</f>
        <v>150282.50745844597</v>
      </c>
      <c r="I48" s="349"/>
      <c r="J48" s="347">
        <f ca="1">Silicon!J$25*(GREET1_Import_Export!$K77+GREET1_Import_Export!$F$179*GREET1_Import_Export!$B191+GREET1_Import_Export!$F191)+Silicon!J$26*(GREET1_Import_Export!$O77+GREET1_Import_Export!$G$179*GREET1_Import_Export!$B191+GREET1_Import_Export!$G191)+Silicon!J$27*(Silicon!$B$5*GREET1_Import_Export!$B77+GREET1_Import_Export!$B227)+Silicon!J$28*(Silicon!$B$6*GREET1_Import_Export!$AA77+GREET1_Import_Export!$B295)+Silicon!J$34*(GREET1_Import_Export!$B320+GREET1_Import_Export!$C320)+J$29*(GREET1_Import_Export!$AC77+GREET1_Import_Export!$B191*GREET1_Import_Export!$I$179+GREET1_Import_Export!$I191)+J$30*(GREET1_Import_Export!$AD77+GREET1_Import_Export!$D472)+J$31*(GREET1_Import_Export!$AI77+GREET1_Import_Export!$D472)+J$32*SUM(GREET1_Import_Export!$B261:$C261)+J$33*SUM(GREET1_Import_Export!$AH320:$AI320)+J$35*[1]!T2lb*Mat_Sum!$CF27</f>
        <v>237771.41628213431</v>
      </c>
      <c r="K48" s="348"/>
      <c r="L48" s="349">
        <f>Silicon!L$25*(GREET1_Import_Export!$K77+GREET1_Import_Export!$F$179*GREET1_Import_Export!$B191+GREET1_Import_Export!$F191)+Silicon!L$26*(GREET1_Import_Export!$O77+GREET1_Import_Export!$G$179*GREET1_Import_Export!$B191+GREET1_Import_Export!$G191)+Silicon!L$27*(Silicon!$C$5*GREET1_Import_Export!$B77+GREET1_Import_Export!$B227)+Silicon!L$28*(Silicon!$C$6*GREET1_Import_Export!$AA77+GREET1_Import_Export!$B295)+Silicon!L$34*(GREET1_Import_Export!$B320+GREET1_Import_Export!$C320)</f>
        <v>10.365774980288416</v>
      </c>
      <c r="M48" s="348"/>
      <c r="N48" s="349"/>
    </row>
    <row r="49" spans="1:14" s="496" customFormat="1">
      <c r="A49" s="347" t="s">
        <v>827</v>
      </c>
      <c r="B49" s="347">
        <f ca="1">Silicon!B$25*(GREET1_Import_Export!$K78+GREET1_Import_Export!$F$179*GREET1_Import_Export!$B192+GREET1_Import_Export!$F192)+Silicon!B$26*(GREET1_Import_Export!$O78+GREET1_Import_Export!$G$179*GREET1_Import_Export!$B192+GREET1_Import_Export!$G192)+Silicon!B$27*(Silicon!$B$5*GREET1_Import_Export!$B78+GREET1_Import_Export!$B228)+Silicon!B$28*(Silicon!$B$6*GREET1_Import_Export!$AA78+GREET1_Import_Export!$B296)+Silicon!B$34*(GREET1_Import_Export!$B321+GREET1_Import_Export!$C321)+B$29*(GREET1_Import_Export!$AC78+GREET1_Import_Export!$B192*GREET1_Import_Export!$I$179+GREET1_Import_Export!$I192)+B$30*(GREET1_Import_Export!$AD78+GREET1_Import_Export!$D473)+B$31*(GREET1_Import_Export!$AI78+GREET1_Import_Export!$D473)+B$32*SUM(GREET1_Import_Export!$B262:$C262)+B$33*SUM(GREET1_Import_Export!$AH321:$AI321)+B$35*[1]!T2lb*Mat_Sum!$CF28</f>
        <v>47.874585822870749</v>
      </c>
      <c r="C49" s="348"/>
      <c r="D49" s="349">
        <f ca="1">Silicon!D$25*(GREET1_Import_Export!$K78+GREET1_Import_Export!$F$179*GREET1_Import_Export!$B192+GREET1_Import_Export!$F192)+Silicon!D$26*(GREET1_Import_Export!$O78+GREET1_Import_Export!$G$179*GREET1_Import_Export!$B192+GREET1_Import_Export!$G192)+Silicon!D$27*(Silicon!$B$5*GREET1_Import_Export!$B78+GREET1_Import_Export!$B228)+Silicon!D$28*(Silicon!$B$6*GREET1_Import_Export!$AA78+GREET1_Import_Export!$B296)+Silicon!D$34*(GREET1_Import_Export!$B321+GREET1_Import_Export!$C321)+D$29*(GREET1_Import_Export!$AC78+GREET1_Import_Export!$B192*GREET1_Import_Export!$I$179+GREET1_Import_Export!$I192)+D$30*(GREET1_Import_Export!$AD78+GREET1_Import_Export!$D473)+D$31*(GREET1_Import_Export!$AI78+GREET1_Import_Export!$D473)+D$32*SUM(GREET1_Import_Export!$B262:$C262)+D$33*SUM(GREET1_Import_Export!$AH321:$AI321)+D$35*[1]!T2lb*Mat_Sum!$CF28</f>
        <v>225.08285572594701</v>
      </c>
      <c r="E49" s="349"/>
      <c r="F49" s="347">
        <f ca="1">Silicon!F$25*(GREET1_Import_Export!$K78+GREET1_Import_Export!$F$179*GREET1_Import_Export!$B192+GREET1_Import_Export!$F192)+Silicon!F$26*(GREET1_Import_Export!$O78+GREET1_Import_Export!$G$179*GREET1_Import_Export!$B192+GREET1_Import_Export!$G192)+Silicon!F$27*(Silicon!$B$5*GREET1_Import_Export!$B78+GREET1_Import_Export!$B228)+Silicon!F$28*(Silicon!$B$6*GREET1_Import_Export!$AA78+GREET1_Import_Export!$B296)+Silicon!F$34*(GREET1_Import_Export!$B321+GREET1_Import_Export!$C321)+F$29*(GREET1_Import_Export!$AC78+GREET1_Import_Export!$B192*GREET1_Import_Export!$I$179+GREET1_Import_Export!$I192)+F$30*(GREET1_Import_Export!$AD78+GREET1_Import_Export!$D473)+F$31*(GREET1_Import_Export!$AI78+GREET1_Import_Export!$D473)+F$32*SUM(GREET1_Import_Export!$B262:$C262)+F$33*SUM(GREET1_Import_Export!$AH321:$AI321)+F$35*[1]!T2lb*Mat_Sum!$CF28</f>
        <v>587.31694971804893</v>
      </c>
      <c r="G49" s="348"/>
      <c r="H49" s="349">
        <f ca="1">Silicon!H$25*(GREET1_Import_Export!$K78+GREET1_Import_Export!$F$179*GREET1_Import_Export!$B192+GREET1_Import_Export!$F192)+Silicon!H$26*(GREET1_Import_Export!$O78+GREET1_Import_Export!$G$179*GREET1_Import_Export!$B192+GREET1_Import_Export!$G192)+Silicon!H$27*(Silicon!$B$5*GREET1_Import_Export!$B78+GREET1_Import_Export!$B228)+Silicon!H$28*(Silicon!$B$6*GREET1_Import_Export!$AA78+GREET1_Import_Export!$B296)+Silicon!H$34*(GREET1_Import_Export!$B321+GREET1_Import_Export!$C321)+H$29*(GREET1_Import_Export!$AC78+GREET1_Import_Export!$B192*GREET1_Import_Export!$I$179+GREET1_Import_Export!$I192)+H$30*(GREET1_Import_Export!$AD78+GREET1_Import_Export!$D473)+H$31*(GREET1_Import_Export!$AI78+GREET1_Import_Export!$D473)+H$32*SUM(GREET1_Import_Export!$B262:$C262)+H$33*SUM(GREET1_Import_Export!$AH321:$AI321)+H$35*[1]!T2lb*Mat_Sum!$CF28</f>
        <v>1104.6386727617837</v>
      </c>
      <c r="I49" s="349"/>
      <c r="J49" s="347">
        <f ca="1">Silicon!J$25*(GREET1_Import_Export!$K78+GREET1_Import_Export!$F$179*GREET1_Import_Export!$B192+GREET1_Import_Export!$F192)+Silicon!J$26*(GREET1_Import_Export!$O78+GREET1_Import_Export!$G$179*GREET1_Import_Export!$B192+GREET1_Import_Export!$G192)+Silicon!J$27*(Silicon!$B$5*GREET1_Import_Export!$B78+GREET1_Import_Export!$B228)+Silicon!J$28*(Silicon!$B$6*GREET1_Import_Export!$AA78+GREET1_Import_Export!$B296)+Silicon!J$34*(GREET1_Import_Export!$B321+GREET1_Import_Export!$C321)+J$29*(GREET1_Import_Export!$AC78+GREET1_Import_Export!$B192*GREET1_Import_Export!$I$179+GREET1_Import_Export!$I192)+J$30*(GREET1_Import_Export!$AD78+GREET1_Import_Export!$D473)+J$31*(GREET1_Import_Export!$AI78+GREET1_Import_Export!$D473)+J$32*SUM(GREET1_Import_Export!$B262:$C262)+J$33*SUM(GREET1_Import_Export!$AH321:$AI321)+J$35*[1]!T2lb*Mat_Sum!$CF28</f>
        <v>1917.9308193848931</v>
      </c>
      <c r="K49" s="348"/>
      <c r="L49" s="349">
        <f>Silicon!L$25*(GREET1_Import_Export!$K78+GREET1_Import_Export!$F$179*GREET1_Import_Export!$B192+GREET1_Import_Export!$F192)+Silicon!L$26*(GREET1_Import_Export!$O78+GREET1_Import_Export!$G$179*GREET1_Import_Export!$B192+GREET1_Import_Export!$G192)+Silicon!L$27*(Silicon!$C$5*GREET1_Import_Export!$B78+GREET1_Import_Export!$B228)+Silicon!L$28*(Silicon!$C$6*GREET1_Import_Export!$AA78+GREET1_Import_Export!$B296)+Silicon!L$34*(GREET1_Import_Export!$B321+GREET1_Import_Export!$C321)</f>
        <v>7.2379691275648889E-2</v>
      </c>
      <c r="M49" s="348"/>
      <c r="N49" s="349"/>
    </row>
    <row r="50" spans="1:14" s="496" customFormat="1">
      <c r="A50" s="347" t="s">
        <v>828</v>
      </c>
      <c r="B50" s="347">
        <f ca="1">Silicon!B$25*(GREET1_Import_Export!$K79+GREET1_Import_Export!$F$179*GREET1_Import_Export!$B193+GREET1_Import_Export!$F193)+Silicon!B$26*(GREET1_Import_Export!$O79+GREET1_Import_Export!$G$179*GREET1_Import_Export!$B193+GREET1_Import_Export!$G193)+Silicon!B$27*(Silicon!$B$5*GREET1_Import_Export!$B79+GREET1_Import_Export!$B229)+Silicon!B$28*(Silicon!$B$6*GREET1_Import_Export!$AA79+GREET1_Import_Export!$B297)+Silicon!B$34*(GREET1_Import_Export!$B322+GREET1_Import_Export!$C322)+B$29*(GREET1_Import_Export!$AC79+GREET1_Import_Export!$B193*GREET1_Import_Export!$I$179+GREET1_Import_Export!$I193)+B$30*(GREET1_Import_Export!$AD79+GREET1_Import_Export!$D474)+B$31*(GREET1_Import_Export!$AI79+GREET1_Import_Export!$D474)+B$32*SUM(GREET1_Import_Export!$B263:$C263)+B$33*SUM(GREET1_Import_Export!$AH322:$AI322)+B$35*[1]!T2lb*Mat_Sum!$CF29</f>
        <v>104.60120384200921</v>
      </c>
      <c r="C50" s="348"/>
      <c r="D50" s="349">
        <f ca="1">Silicon!D$25*(GREET1_Import_Export!$K79+GREET1_Import_Export!$F$179*GREET1_Import_Export!$B193+GREET1_Import_Export!$F193)+Silicon!D$26*(GREET1_Import_Export!$O79+GREET1_Import_Export!$G$179*GREET1_Import_Export!$B193+GREET1_Import_Export!$G193)+Silicon!D$27*(Silicon!$B$5*GREET1_Import_Export!$B79+GREET1_Import_Export!$B229)+Silicon!D$28*(Silicon!$B$6*GREET1_Import_Export!$AA79+GREET1_Import_Export!$B297)+Silicon!D$34*(GREET1_Import_Export!$B322+GREET1_Import_Export!$C322)+D$29*(GREET1_Import_Export!$AC79+GREET1_Import_Export!$B193*GREET1_Import_Export!$I$179+GREET1_Import_Export!$I193)+D$30*(GREET1_Import_Export!$AD79+GREET1_Import_Export!$D474)+D$31*(GREET1_Import_Export!$AI79+GREET1_Import_Export!$D474)+D$32*SUM(GREET1_Import_Export!$B263:$C263)+D$33*SUM(GREET1_Import_Export!$AH322:$AI322)+D$35*[1]!T2lb*Mat_Sum!$CF29</f>
        <v>679.90947298905064</v>
      </c>
      <c r="E50" s="349"/>
      <c r="F50" s="347">
        <f ca="1">Silicon!F$25*(GREET1_Import_Export!$K79+GREET1_Import_Export!$F$179*GREET1_Import_Export!$B193+GREET1_Import_Export!$F193)+Silicon!F$26*(GREET1_Import_Export!$O79+GREET1_Import_Export!$G$179*GREET1_Import_Export!$B193+GREET1_Import_Export!$G193)+Silicon!F$27*(Silicon!$B$5*GREET1_Import_Export!$B79+GREET1_Import_Export!$B229)+Silicon!F$28*(Silicon!$B$6*GREET1_Import_Export!$AA79+GREET1_Import_Export!$B297)+Silicon!F$34*(GREET1_Import_Export!$B322+GREET1_Import_Export!$C322)+F$29*(GREET1_Import_Export!$AC79+GREET1_Import_Export!$B193*GREET1_Import_Export!$I$179+GREET1_Import_Export!$I193)+F$30*(GREET1_Import_Export!$AD79+GREET1_Import_Export!$D474)+F$31*(GREET1_Import_Export!$AI79+GREET1_Import_Export!$D474)+F$32*SUM(GREET1_Import_Export!$B263:$C263)+F$33*SUM(GREET1_Import_Export!$AH322:$AI322)+F$35*[1]!T2lb*Mat_Sum!$CF29</f>
        <v>1897.5438097387353</v>
      </c>
      <c r="G50" s="348"/>
      <c r="H50" s="349">
        <f ca="1">Silicon!H$25*(GREET1_Import_Export!$K79+GREET1_Import_Export!$F$179*GREET1_Import_Export!$B193+GREET1_Import_Export!$F193)+Silicon!H$26*(GREET1_Import_Export!$O79+GREET1_Import_Export!$G$179*GREET1_Import_Export!$B193+GREET1_Import_Export!$G193)+Silicon!H$27*(Silicon!$B$5*GREET1_Import_Export!$B79+GREET1_Import_Export!$B229)+Silicon!H$28*(Silicon!$B$6*GREET1_Import_Export!$AA79+GREET1_Import_Export!$B297)+Silicon!H$34*(GREET1_Import_Export!$B322+GREET1_Import_Export!$C322)+H$29*(GREET1_Import_Export!$AC79+GREET1_Import_Export!$B193*GREET1_Import_Export!$I$179+GREET1_Import_Export!$I193)+H$30*(GREET1_Import_Export!$AD79+GREET1_Import_Export!$D474)+H$31*(GREET1_Import_Export!$AI79+GREET1_Import_Export!$D474)+H$32*SUM(GREET1_Import_Export!$B263:$C263)+H$33*SUM(GREET1_Import_Export!$AH322:$AI322)+H$35*[1]!T2lb*Mat_Sum!$CF29</f>
        <v>4151.3033215881169</v>
      </c>
      <c r="I50" s="349"/>
      <c r="J50" s="347">
        <f ca="1">Silicon!J$25*(GREET1_Import_Export!$K79+GREET1_Import_Export!$F$179*GREET1_Import_Export!$B193+GREET1_Import_Export!$F193)+Silicon!J$26*(GREET1_Import_Export!$O79+GREET1_Import_Export!$G$179*GREET1_Import_Export!$B193+GREET1_Import_Export!$G193)+Silicon!J$27*(Silicon!$B$5*GREET1_Import_Export!$B79+GREET1_Import_Export!$B229)+Silicon!J$28*(Silicon!$B$6*GREET1_Import_Export!$AA79+GREET1_Import_Export!$B297)+Silicon!J$34*(GREET1_Import_Export!$B322+GREET1_Import_Export!$C322)+J$29*(GREET1_Import_Export!$AC79+GREET1_Import_Export!$B193*GREET1_Import_Export!$I$179+GREET1_Import_Export!$I193)+J$30*(GREET1_Import_Export!$AD79+GREET1_Import_Export!$D474)+J$31*(GREET1_Import_Export!$AI79+GREET1_Import_Export!$D474)+J$32*SUM(GREET1_Import_Export!$B263:$C263)+J$33*SUM(GREET1_Import_Export!$AH322:$AI322)+J$35*[1]!T2lb*Mat_Sum!$CF29</f>
        <v>7164.1816575570256</v>
      </c>
      <c r="K50" s="348"/>
      <c r="L50" s="349">
        <f>Silicon!L$25*(GREET1_Import_Export!$K79+GREET1_Import_Export!$F$179*GREET1_Import_Export!$B193+GREET1_Import_Export!$F193)+Silicon!L$26*(GREET1_Import_Export!$O79+GREET1_Import_Export!$G$179*GREET1_Import_Export!$B193+GREET1_Import_Export!$G193)+Silicon!L$27*(Silicon!$C$5*GREET1_Import_Export!$B79+GREET1_Import_Export!$B229)+Silicon!L$28*(Silicon!$C$6*GREET1_Import_Export!$AA79+GREET1_Import_Export!$B297)+Silicon!L$34*(GREET1_Import_Export!$B322+GREET1_Import_Export!$C322)</f>
        <v>0.34450979503276108</v>
      </c>
      <c r="M50" s="348"/>
      <c r="N50" s="349"/>
    </row>
    <row r="51" spans="1:14" s="496" customFormat="1">
      <c r="A51" s="347" t="s">
        <v>829</v>
      </c>
      <c r="B51" s="347">
        <f ca="1">Silicon!B$25*(GREET1_Import_Export!$K80+GREET1_Import_Export!$F$179*GREET1_Import_Export!$B194+GREET1_Import_Export!$F194)+Silicon!B$26*(GREET1_Import_Export!$O80+GREET1_Import_Export!$G$179*GREET1_Import_Export!$B194+GREET1_Import_Export!$G194)+Silicon!B$27*(Silicon!$B$5*GREET1_Import_Export!$B80+GREET1_Import_Export!$B230)+Silicon!B$28*(Silicon!$B$6*GREET1_Import_Export!$AA80+GREET1_Import_Export!$B298)+Silicon!B$34*(GREET1_Import_Export!$B323+GREET1_Import_Export!$C323)+B$29*(GREET1_Import_Export!$AC80+GREET1_Import_Export!$B194*GREET1_Import_Export!$I$179+GREET1_Import_Export!$I194)+B$30*(GREET1_Import_Export!$AD80+GREET1_Import_Export!$D475)+B$31*(GREET1_Import_Export!$AI80+GREET1_Import_Export!$D475)+B$32*SUM(GREET1_Import_Export!$B264:$C264)+B$33*SUM(GREET1_Import_Export!$AH323:$AI323)+B$35*[1]!T2lb*Mat_Sum!$CF30</f>
        <v>14164.750731114102</v>
      </c>
      <c r="C51" s="348"/>
      <c r="D51" s="349">
        <f ca="1">Silicon!D$25*(GREET1_Import_Export!$K80+GREET1_Import_Export!$F$179*GREET1_Import_Export!$B194+GREET1_Import_Export!$F194)+Silicon!D$26*(GREET1_Import_Export!$O80+GREET1_Import_Export!$G$179*GREET1_Import_Export!$B194+GREET1_Import_Export!$G194)+Silicon!D$27*(Silicon!$B$5*GREET1_Import_Export!$B80+GREET1_Import_Export!$B230)+Silicon!D$28*(Silicon!$B$6*GREET1_Import_Export!$AA80+GREET1_Import_Export!$B298)+Silicon!D$34*(GREET1_Import_Export!$B323+GREET1_Import_Export!$C323)+D$29*(GREET1_Import_Export!$AC80+GREET1_Import_Export!$B194*GREET1_Import_Export!$I$179+GREET1_Import_Export!$I194)+D$30*(GREET1_Import_Export!$AD80+GREET1_Import_Export!$D475)+D$31*(GREET1_Import_Export!$AI80+GREET1_Import_Export!$D475)+D$32*SUM(GREET1_Import_Export!$B264:$C264)+D$33*SUM(GREET1_Import_Export!$AH323:$AI323)+D$35*[1]!T2lb*Mat_Sum!$CF30</f>
        <v>87940.795833951459</v>
      </c>
      <c r="E51" s="349"/>
      <c r="F51" s="347">
        <f ca="1">Silicon!F$25*(GREET1_Import_Export!$K80+GREET1_Import_Export!$F$179*GREET1_Import_Export!$B194+GREET1_Import_Export!$F194)+Silicon!F$26*(GREET1_Import_Export!$O80+GREET1_Import_Export!$G$179*GREET1_Import_Export!$B194+GREET1_Import_Export!$G194)+Silicon!F$27*(Silicon!$B$5*GREET1_Import_Export!$B80+GREET1_Import_Export!$B230)+Silicon!F$28*(Silicon!$B$6*GREET1_Import_Export!$AA80+GREET1_Import_Export!$B298)+Silicon!F$34*(GREET1_Import_Export!$B323+GREET1_Import_Export!$C323)+F$29*(GREET1_Import_Export!$AC80+GREET1_Import_Export!$B194*GREET1_Import_Export!$I$179+GREET1_Import_Export!$I194)+F$30*(GREET1_Import_Export!$AD80+GREET1_Import_Export!$D475)+F$31*(GREET1_Import_Export!$AI80+GREET1_Import_Export!$D475)+F$32*SUM(GREET1_Import_Export!$B264:$C264)+F$33*SUM(GREET1_Import_Export!$AH323:$AI323)+F$35*[1]!T2lb*Mat_Sum!$CF30</f>
        <v>243766.93847801065</v>
      </c>
      <c r="G51" s="348"/>
      <c r="H51" s="349">
        <f ca="1">Silicon!H$25*(GREET1_Import_Export!$K80+GREET1_Import_Export!$F$179*GREET1_Import_Export!$B194+GREET1_Import_Export!$F194)+Silicon!H$26*(GREET1_Import_Export!$O80+GREET1_Import_Export!$G$179*GREET1_Import_Export!$B194+GREET1_Import_Export!$G194)+Silicon!H$27*(Silicon!$B$5*GREET1_Import_Export!$B80+GREET1_Import_Export!$B230)+Silicon!H$28*(Silicon!$B$6*GREET1_Import_Export!$AA80+GREET1_Import_Export!$B298)+Silicon!H$34*(GREET1_Import_Export!$B323+GREET1_Import_Export!$C323)+H$29*(GREET1_Import_Export!$AC80+GREET1_Import_Export!$B194*GREET1_Import_Export!$I$179+GREET1_Import_Export!$I194)+H$30*(GREET1_Import_Export!$AD80+GREET1_Import_Export!$D475)+H$31*(GREET1_Import_Export!$AI80+GREET1_Import_Export!$D475)+H$32*SUM(GREET1_Import_Export!$B264:$C264)+H$33*SUM(GREET1_Import_Export!$AH323:$AI323)+H$35*[1]!T2lb*Mat_Sum!$CF30</f>
        <v>527707.97901451949</v>
      </c>
      <c r="I51" s="349"/>
      <c r="J51" s="347">
        <f ca="1">Silicon!J$25*(GREET1_Import_Export!$K80+GREET1_Import_Export!$F$179*GREET1_Import_Export!$B194+GREET1_Import_Export!$F194)+Silicon!J$26*(GREET1_Import_Export!$O80+GREET1_Import_Export!$G$179*GREET1_Import_Export!$B194+GREET1_Import_Export!$G194)+Silicon!J$27*(Silicon!$B$5*GREET1_Import_Export!$B80+GREET1_Import_Export!$B230)+Silicon!J$28*(Silicon!$B$6*GREET1_Import_Export!$AA80+GREET1_Import_Export!$B298)+Silicon!J$34*(GREET1_Import_Export!$B323+GREET1_Import_Export!$C323)+J$29*(GREET1_Import_Export!$AC80+GREET1_Import_Export!$B194*GREET1_Import_Export!$I$179+GREET1_Import_Export!$I194)+J$30*(GREET1_Import_Export!$AD80+GREET1_Import_Export!$D475)+J$31*(GREET1_Import_Export!$AI80+GREET1_Import_Export!$D475)+J$32*SUM(GREET1_Import_Export!$B264:$C264)+J$33*SUM(GREET1_Import_Export!$AH323:$AI323)+J$35*[1]!T2lb*Mat_Sum!$CF30</f>
        <v>910283.93018673849</v>
      </c>
      <c r="K51" s="348"/>
      <c r="L51" s="349">
        <f>Silicon!L$25*(GREET1_Import_Export!$K80+GREET1_Import_Export!$F$179*GREET1_Import_Export!$B194+GREET1_Import_Export!$F194)+Silicon!L$26*(GREET1_Import_Export!$O80+GREET1_Import_Export!$G$179*GREET1_Import_Export!$B194+GREET1_Import_Export!$G194)+Silicon!L$27*(Silicon!$C$5*GREET1_Import_Export!$B80+GREET1_Import_Export!$B230)+Silicon!L$28*(Silicon!$C$6*GREET1_Import_Export!$AA80+GREET1_Import_Export!$B298)+Silicon!L$34*(GREET1_Import_Export!$B323+GREET1_Import_Export!$C323)</f>
        <v>42.864029631375992</v>
      </c>
      <c r="M51" s="348"/>
      <c r="N51" s="349"/>
    </row>
    <row r="52" spans="1:14" s="496" customFormat="1">
      <c r="A52" s="347" t="s">
        <v>830</v>
      </c>
      <c r="B52" s="347">
        <f ca="1">Silicon!B$25*(GREET1_Import_Export!$K81+GREET1_Import_Export!$F$179*GREET1_Import_Export!$B195+GREET1_Import_Export!$F195)+Silicon!B$26*(GREET1_Import_Export!$O81+GREET1_Import_Export!$G$179*GREET1_Import_Export!$B195+GREET1_Import_Export!$G195)+Silicon!B$27*(Silicon!$B$5*GREET1_Import_Export!$B81+GREET1_Import_Export!$B231)+Silicon!B$28*(Silicon!$B$6*GREET1_Import_Export!$AA81+GREET1_Import_Export!$B299)+Silicon!B$34*(GREET1_Import_Export!$B324+GREET1_Import_Export!$C324)+B$29*(GREET1_Import_Export!$AC81+GREET1_Import_Export!$B195*GREET1_Import_Export!$I$179+GREET1_Import_Export!$I195)+B$30*(GREET1_Import_Export!$AD81+GREET1_Import_Export!$D476)+B$31*(GREET1_Import_Export!$AI81+GREET1_Import_Export!$D476)+B$32*SUM(GREET1_Import_Export!$B265:$C265)+B$33*SUM(GREET1_Import_Export!$AH324:$AI324)+B$35*[1]!T2lb*Mat_Sum!$CF31</f>
        <v>290.06434593055337</v>
      </c>
      <c r="C52" s="348"/>
      <c r="D52" s="349">
        <f ca="1">Silicon!D$25*(GREET1_Import_Export!$K81+GREET1_Import_Export!$F$179*GREET1_Import_Export!$B195+GREET1_Import_Export!$F195)+Silicon!D$26*(GREET1_Import_Export!$O81+GREET1_Import_Export!$G$179*GREET1_Import_Export!$B195+GREET1_Import_Export!$G195)+Silicon!D$27*(Silicon!$B$5*GREET1_Import_Export!$B81+GREET1_Import_Export!$B231)+Silicon!D$28*(Silicon!$B$6*GREET1_Import_Export!$AA81+GREET1_Import_Export!$B299)+Silicon!D$34*(GREET1_Import_Export!$B324+GREET1_Import_Export!$C324)+D$29*(GREET1_Import_Export!$AC81+GREET1_Import_Export!$B195*GREET1_Import_Export!$I$179+GREET1_Import_Export!$I195)+D$30*(GREET1_Import_Export!$AD81+GREET1_Import_Export!$D476)+D$31*(GREET1_Import_Export!$AI81+GREET1_Import_Export!$D476)+D$32*SUM(GREET1_Import_Export!$B265:$C265)+D$33*SUM(GREET1_Import_Export!$AH324:$AI324)+D$35*[1]!T2lb*Mat_Sum!$CF31</f>
        <v>1011.8214460609629</v>
      </c>
      <c r="E52" s="349"/>
      <c r="F52" s="347">
        <f ca="1">Silicon!F$25*(GREET1_Import_Export!$K81+GREET1_Import_Export!$F$179*GREET1_Import_Export!$B195+GREET1_Import_Export!$F195)+Silicon!F$26*(GREET1_Import_Export!$O81+GREET1_Import_Export!$G$179*GREET1_Import_Export!$B195+GREET1_Import_Export!$G195)+Silicon!F$27*(Silicon!$B$5*GREET1_Import_Export!$B81+GREET1_Import_Export!$B231)+Silicon!F$28*(Silicon!$B$6*GREET1_Import_Export!$AA81+GREET1_Import_Export!$B299)+Silicon!F$34*(GREET1_Import_Export!$B324+GREET1_Import_Export!$C324)+F$29*(GREET1_Import_Export!$AC81+GREET1_Import_Export!$B195*GREET1_Import_Export!$I$179+GREET1_Import_Export!$I195)+F$30*(GREET1_Import_Export!$AD81+GREET1_Import_Export!$D476)+F$31*(GREET1_Import_Export!$AI81+GREET1_Import_Export!$D476)+F$32*SUM(GREET1_Import_Export!$B265:$C265)+F$33*SUM(GREET1_Import_Export!$AH324:$AI324)+F$35*[1]!T2lb*Mat_Sum!$CF31</f>
        <v>2700.1426564396597</v>
      </c>
      <c r="G52" s="348"/>
      <c r="H52" s="349">
        <f ca="1">Silicon!H$25*(GREET1_Import_Export!$K81+GREET1_Import_Export!$F$179*GREET1_Import_Export!$B195+GREET1_Import_Export!$F195)+Silicon!H$26*(GREET1_Import_Export!$O81+GREET1_Import_Export!$G$179*GREET1_Import_Export!$B195+GREET1_Import_Export!$G195)+Silicon!H$27*(Silicon!$B$5*GREET1_Import_Export!$B81+GREET1_Import_Export!$B231)+Silicon!H$28*(Silicon!$B$6*GREET1_Import_Export!$AA81+GREET1_Import_Export!$B299)+Silicon!H$34*(GREET1_Import_Export!$B324+GREET1_Import_Export!$C324)+H$29*(GREET1_Import_Export!$AC81+GREET1_Import_Export!$B195*GREET1_Import_Export!$I$179+GREET1_Import_Export!$I195)+H$30*(GREET1_Import_Export!$AD81+GREET1_Import_Export!$D476)+H$31*(GREET1_Import_Export!$AI81+GREET1_Import_Export!$D476)+H$32*SUM(GREET1_Import_Export!$B265:$C265)+H$33*SUM(GREET1_Import_Export!$AH324:$AI324)+H$35*[1]!T2lb*Mat_Sum!$CF31</f>
        <v>5364.612841330324</v>
      </c>
      <c r="I52" s="349"/>
      <c r="J52" s="347">
        <f ca="1">Silicon!J$25*(GREET1_Import_Export!$K81+GREET1_Import_Export!$F$179*GREET1_Import_Export!$B195+GREET1_Import_Export!$F195)+Silicon!J$26*(GREET1_Import_Export!$O81+GREET1_Import_Export!$G$179*GREET1_Import_Export!$B195+GREET1_Import_Export!$G195)+Silicon!J$27*(Silicon!$B$5*GREET1_Import_Export!$B81+GREET1_Import_Export!$B231)+Silicon!J$28*(Silicon!$B$6*GREET1_Import_Export!$AA81+GREET1_Import_Export!$B299)+Silicon!J$34*(GREET1_Import_Export!$B324+GREET1_Import_Export!$C324)+J$29*(GREET1_Import_Export!$AC81+GREET1_Import_Export!$B195*GREET1_Import_Export!$I$179+GREET1_Import_Export!$I195)+J$30*(GREET1_Import_Export!$AD81+GREET1_Import_Export!$D476)+J$31*(GREET1_Import_Export!$AI81+GREET1_Import_Export!$D476)+J$32*SUM(GREET1_Import_Export!$B265:$C265)+J$33*SUM(GREET1_Import_Export!$AH324:$AI324)+J$35*[1]!T2lb*Mat_Sum!$CF31</f>
        <v>9090.2447599064508</v>
      </c>
      <c r="K52" s="348"/>
      <c r="L52" s="349">
        <f>Silicon!L$25*(GREET1_Import_Export!$K81+GREET1_Import_Export!$F$179*GREET1_Import_Export!$B195+GREET1_Import_Export!$F195)+Silicon!L$26*(GREET1_Import_Export!$O81+GREET1_Import_Export!$G$179*GREET1_Import_Export!$B195+GREET1_Import_Export!$G195)+Silicon!L$27*(Silicon!$C$5*GREET1_Import_Export!$B81+GREET1_Import_Export!$B231)+Silicon!L$28*(Silicon!$C$6*GREET1_Import_Export!$AA81+GREET1_Import_Export!$B299)+Silicon!L$34*(GREET1_Import_Export!$B324+GREET1_Import_Export!$C324)</f>
        <v>0.38889700342821087</v>
      </c>
      <c r="M52" s="348"/>
      <c r="N52" s="349"/>
    </row>
    <row r="53" spans="1:14" s="535" customFormat="1">
      <c r="A53" s="668" t="s">
        <v>831</v>
      </c>
      <c r="B53" s="295">
        <f ca="1">Silicon!B$25*(GREET1_Import_Export!$K82+GREET1_Import_Export!$F$179*GREET1_Import_Export!$B196+GREET1_Import_Export!$F196)+Silicon!B$26*(GREET1_Import_Export!$O82+GREET1_Import_Export!$G$179*GREET1_Import_Export!$B196+GREET1_Import_Export!$G196)+Silicon!B$27*(Silicon!$B$5*GREET1_Import_Export!$B82+GREET1_Import_Export!$B232)+Silicon!B$28*(Silicon!$B$6*GREET1_Import_Export!$AA82+GREET1_Import_Export!$B300)+Silicon!B$34*(GREET1_Import_Export!$B325+GREET1_Import_Export!$C325)+B$29*(GREET1_Import_Export!$AC82+GREET1_Import_Export!$B196*GREET1_Import_Export!$I$179+GREET1_Import_Export!$I196)+B$30*(GREET1_Import_Export!$AD82+GREET1_Import_Export!$AD83+GREET1_Import_Export!$D477)+B$31*(GREET1_Import_Export!$AI82+GREET1_Import_Export!$AI83+GREET1_Import_Export!$D477)+B$32*SUM(GREET1_Import_Export!$B266:$C266)+B$33*SUM(GREET1_Import_Export!$AH325:$AI325)+B$35*[1]!T2lb*Mat_Sum!$CF32</f>
        <v>7666065.0068557458</v>
      </c>
      <c r="C53" s="752"/>
      <c r="D53" s="294">
        <f ca="1">Silicon!D$25*(GREET1_Import_Export!$K82+GREET1_Import_Export!$F$179*GREET1_Import_Export!$B196+GREET1_Import_Export!$F196)+Silicon!D$26*(GREET1_Import_Export!$O82+GREET1_Import_Export!$G$179*GREET1_Import_Export!$B196+GREET1_Import_Export!$G196)+Silicon!D$27*(Silicon!$B$5*GREET1_Import_Export!$B82+GREET1_Import_Export!$B232)+Silicon!D$28*(Silicon!$B$6*GREET1_Import_Export!$AA82+GREET1_Import_Export!$B300)+Silicon!D$34*(GREET1_Import_Export!$B325+GREET1_Import_Export!$C325)+D$29*(GREET1_Import_Export!$AC82+GREET1_Import_Export!$B196*GREET1_Import_Export!$I$179+GREET1_Import_Export!$I196)+D$30*(GREET1_Import_Export!$AD82+GREET1_Import_Export!$AD83+GREET1_Import_Export!$D477)+D$31*(GREET1_Import_Export!$AI82+GREET1_Import_Export!$AI83+GREET1_Import_Export!$D477)+D$32*SUM(GREET1_Import_Export!$B266:$C266)+D$33*SUM(GREET1_Import_Export!$AH325:$AI325)+D$35*[1]!T2lb*Mat_Sum!$CF32</f>
        <v>35575875.513128079</v>
      </c>
      <c r="E53" s="374"/>
      <c r="F53" s="295">
        <f ca="1">Silicon!F$25*(GREET1_Import_Export!$K82+GREET1_Import_Export!$F$179*GREET1_Import_Export!$B196+GREET1_Import_Export!$F196)+Silicon!F$26*(GREET1_Import_Export!$O82+GREET1_Import_Export!$G$179*GREET1_Import_Export!$B196+GREET1_Import_Export!$G196)+Silicon!F$27*(Silicon!$B$5*GREET1_Import_Export!$B82+GREET1_Import_Export!$B232)+Silicon!F$28*(Silicon!$B$6*GREET1_Import_Export!$AA82+GREET1_Import_Export!$B300)+Silicon!F$34*(GREET1_Import_Export!$B325+GREET1_Import_Export!$C325)+F$29*(GREET1_Import_Export!$AC82+GREET1_Import_Export!$B196*GREET1_Import_Export!$I$179+GREET1_Import_Export!$I196)+F$30*(GREET1_Import_Export!$AD82+GREET1_Import_Export!$AD83+GREET1_Import_Export!$D477)+F$31*(GREET1_Import_Export!$AI82+GREET1_Import_Export!$AI83+GREET1_Import_Export!$D477)+F$32*SUM(GREET1_Import_Export!$B266:$C266)+F$33*SUM(GREET1_Import_Export!$AH325:$AI325)+F$35*[1]!T2lb*Mat_Sum!$CF32</f>
        <v>100122592.80442497</v>
      </c>
      <c r="G53" s="752"/>
      <c r="H53" s="294">
        <f ca="1">Silicon!H$25*(GREET1_Import_Export!$K82+GREET1_Import_Export!$F$179*GREET1_Import_Export!$B196+GREET1_Import_Export!$F196)+Silicon!H$26*(GREET1_Import_Export!$O82+GREET1_Import_Export!$G$179*GREET1_Import_Export!$B196+GREET1_Import_Export!$G196)+Silicon!H$27*(Silicon!$B$5*GREET1_Import_Export!$B82+GREET1_Import_Export!$B232)+Silicon!H$28*(Silicon!$B$6*GREET1_Import_Export!$AA82+GREET1_Import_Export!$B300)+Silicon!H$34*(GREET1_Import_Export!$B325+GREET1_Import_Export!$C325)+H$29*(GREET1_Import_Export!$AC82+GREET1_Import_Export!$B196*GREET1_Import_Export!$I$179+GREET1_Import_Export!$I196)+H$30*(GREET1_Import_Export!$AD82+GREET1_Import_Export!$AD83+GREET1_Import_Export!$D477)+H$31*(GREET1_Import_Export!$AI82+GREET1_Import_Export!$AI83+GREET1_Import_Export!$D477)+H$32*SUM(GREET1_Import_Export!$B266:$C266)+H$33*SUM(GREET1_Import_Export!$AH325:$AI325)+H$35*[1]!T2lb*Mat_Sum!$CF32</f>
        <v>224010571.63433298</v>
      </c>
      <c r="I53" s="374"/>
      <c r="J53" s="295">
        <f ca="1">Silicon!J$25*(GREET1_Import_Export!$K82+GREET1_Import_Export!$F$179*GREET1_Import_Export!$B196+GREET1_Import_Export!$F196)+Silicon!J$26*(GREET1_Import_Export!$O82+GREET1_Import_Export!$G$179*GREET1_Import_Export!$B196+GREET1_Import_Export!$G196)+Silicon!J$27*(Silicon!$B$5*GREET1_Import_Export!$B82+GREET1_Import_Export!$B232)+Silicon!J$28*(Silicon!$B$6*GREET1_Import_Export!$AA82+GREET1_Import_Export!$B300)+Silicon!J$34*(GREET1_Import_Export!$B325+GREET1_Import_Export!$C325)+J$29*(GREET1_Import_Export!$AC82+GREET1_Import_Export!$B196*GREET1_Import_Export!$I$179+GREET1_Import_Export!$I196)+J$30*(GREET1_Import_Export!$AD82+GREET1_Import_Export!$AD83+GREET1_Import_Export!$D477)+J$31*(GREET1_Import_Export!$AI82+GREET1_Import_Export!$AI83+GREET1_Import_Export!$D477)+J$32*SUM(GREET1_Import_Export!$B266:$C266)+J$33*SUM(GREET1_Import_Export!$AH325:$AI325)+J$35*[1]!T2lb*Mat_Sum!$CF32</f>
        <v>380583913.66966754</v>
      </c>
      <c r="K53" s="752"/>
      <c r="L53" s="294">
        <f>Silicon!L$25*(GREET1_Import_Export!$K82+GREET1_Import_Export!$F$179*GREET1_Import_Export!$B196+GREET1_Import_Export!$F196)+Silicon!L$26*(GREET1_Import_Export!$O82+GREET1_Import_Export!$G$179*GREET1_Import_Export!$B196+GREET1_Import_Export!$G196)+Silicon!L$27*(Silicon!$C$5*GREET1_Import_Export!$B82+GREET1_Import_Export!$B232)+Silicon!L$28*(Silicon!$C$6*GREET1_Import_Export!$AA82+GREET1_Import_Export!$B300)+Silicon!L$34*(GREET1_Import_Export!$B325+GREET1_Import_Export!$C325)</f>
        <v>18939.684990490605</v>
      </c>
      <c r="M53" s="752"/>
      <c r="N53" s="419"/>
    </row>
    <row r="54" spans="1:14" s="496" customFormat="1">
      <c r="A54" s="758" t="s">
        <v>865</v>
      </c>
      <c r="B54" s="390"/>
      <c r="C54" s="348"/>
      <c r="D54" s="389"/>
      <c r="E54" s="349"/>
      <c r="F54" s="390"/>
      <c r="G54" s="348"/>
      <c r="H54" s="389"/>
      <c r="I54" s="349"/>
      <c r="J54" s="390"/>
      <c r="K54" s="348"/>
      <c r="L54" s="389"/>
      <c r="M54" s="348"/>
      <c r="N54" s="349"/>
    </row>
    <row r="55" spans="1:14" s="496" customFormat="1">
      <c r="A55" s="347" t="s">
        <v>821</v>
      </c>
      <c r="B55" s="347">
        <f ca="1">Silicon!B$25*(Silicon!B$12*(GREET1_Import_Export!$K72)+GREET1_Import_Export!$F$200*GREET1_Import_Export!$B201+GREET1_Import_Export!$F201)+Silicon!B$26*(Silicon!B$12*(GREET1_Import_Export!$O72)+GREET1_Import_Export!$G$200*GREET1_Import_Export!$B201+GREET1_Import_Export!$G201)+Silicon!B$27*(Silicon!B$12*(Silicon!$B$5*GREET1_Import_Export!$B72)+GREET1_Import_Export!$B237)+Silicon!B$28*(Silicon!B$12*(Silicon!$B$6*GREET1_Import_Export!$AA72)+GREET1_Import_Export!$C290)+Silicon!B$34*(GREET1_Import_Export!$D315+GREET1_Import_Export!$E315)+B$29*(GREET1_Import_Export!$AC72*$B12+GREET1_Import_Export!$B201*GREET1_Import_Export!$I$179+GREET1_Import_Export!$I201)+B$30*(GREET1_Import_Export!$AD72*$B12+GREET1_Import_Export!$D482)+B$31*(GREET1_Import_Export!$AI72*$B12+GREET1_Import_Export!$D482)+B$32*SUM(GREET1_Import_Export!$B271:$C271)+B$33*SUM(GREET1_Import_Export!$AJ315:$AK315)+B$35*[1]!T2lb*Mat_Sum!$CF36</f>
        <v>69.252635300760346</v>
      </c>
      <c r="C55" s="348"/>
      <c r="D55" s="349">
        <f ca="1">Silicon!D$25*(Silicon!D$12*(GREET1_Import_Export!$K72)+GREET1_Import_Export!$F$200*GREET1_Import_Export!$B201+GREET1_Import_Export!$F201)+Silicon!D$26*(Silicon!D$12*(GREET1_Import_Export!$O72)+GREET1_Import_Export!$G$200*GREET1_Import_Export!$B201+GREET1_Import_Export!$G201)+Silicon!D$27*(Silicon!D$12*(Silicon!$B$5*GREET1_Import_Export!$B72)+GREET1_Import_Export!$B237)+Silicon!D$28*(Silicon!D$12*(Silicon!$B$6*GREET1_Import_Export!$AA72)+GREET1_Import_Export!$C290)+Silicon!D$34*(GREET1_Import_Export!$D315+GREET1_Import_Export!$E315)+D$29*(GREET1_Import_Export!$AC72*$B12+GREET1_Import_Export!$B201*GREET1_Import_Export!$I$179+GREET1_Import_Export!$I201)+D$30*(GREET1_Import_Export!$AD72*$B12+GREET1_Import_Export!$D482)+D$31*(GREET1_Import_Export!$AI72*$B12+GREET1_Import_Export!$D482)+D$32*SUM(GREET1_Import_Export!$B271:$C271)+D$33*SUM(GREET1_Import_Export!$AJ315:$AK315)+D$35*[1]!T2lb*Mat_Sum!$CF36</f>
        <v>293.83782971019275</v>
      </c>
      <c r="E55" s="349"/>
      <c r="F55" s="347">
        <f ca="1">Silicon!F$25*(Silicon!F$12*(GREET1_Import_Export!$K72)+GREET1_Import_Export!$F$200*GREET1_Import_Export!$B201+GREET1_Import_Export!$F201)+Silicon!F$26*(Silicon!F$12*(GREET1_Import_Export!$O72)+GREET1_Import_Export!$G$200*GREET1_Import_Export!$B201+GREET1_Import_Export!$G201)+Silicon!F$27*(Silicon!F$12*(Silicon!$B$5*GREET1_Import_Export!$B72)+GREET1_Import_Export!$B237)+Silicon!F$28*(Silicon!F$12*(Silicon!$B$6*GREET1_Import_Export!$AA72)+GREET1_Import_Export!$C290)+Silicon!F$34*(GREET1_Import_Export!$D315+GREET1_Import_Export!$E315)+F$29*(GREET1_Import_Export!$AC72*$B12+GREET1_Import_Export!$B201*GREET1_Import_Export!$I$179+GREET1_Import_Export!$I201)+F$30*(GREET1_Import_Export!$AD72*$B12+GREET1_Import_Export!$D482)+F$31*(GREET1_Import_Export!$AI72*$B12+GREET1_Import_Export!$D482)+F$32*SUM(GREET1_Import_Export!$B271:$C271)+F$33*SUM(GREET1_Import_Export!$AJ315:$AK315)+F$35*[1]!T2lb*Mat_Sum!$CF36</f>
        <v>809.13349314294578</v>
      </c>
      <c r="G55" s="348"/>
      <c r="H55" s="349">
        <f ca="1">Silicon!H$25*(Silicon!H$12*(GREET1_Import_Export!$K72)+GREET1_Import_Export!$F$200*GREET1_Import_Export!$B201+GREET1_Import_Export!$F201)+Silicon!H$26*(Silicon!H$12*(GREET1_Import_Export!$O72)+GREET1_Import_Export!$G$200*GREET1_Import_Export!$B201+GREET1_Import_Export!$G201)+Silicon!H$27*(Silicon!H$12*(Silicon!$B$5*GREET1_Import_Export!$B72)+GREET1_Import_Export!$B237)+Silicon!H$28*(Silicon!H$12*(Silicon!$B$6*GREET1_Import_Export!$AA72)+GREET1_Import_Export!$C290)+Silicon!H$34*(GREET1_Import_Export!$D315+GREET1_Import_Export!$E315)+H$29*(GREET1_Import_Export!$AC72*$B12+GREET1_Import_Export!$B201*GREET1_Import_Export!$I$179+GREET1_Import_Export!$I201)+H$30*(GREET1_Import_Export!$AD72*$B12+GREET1_Import_Export!$D482)+H$31*(GREET1_Import_Export!$AI72*$B12+GREET1_Import_Export!$D482)+H$32*SUM(GREET1_Import_Export!$B271:$C271)+H$33*SUM(GREET1_Import_Export!$AJ315:$AK315)+H$35*[1]!T2lb*Mat_Sum!$CF36</f>
        <v>1731.5461482243982</v>
      </c>
      <c r="I55" s="349"/>
      <c r="J55" s="347">
        <f ca="1">Silicon!J$25*(Silicon!J$12*(GREET1_Import_Export!$K72)+GREET1_Import_Export!$F$200*GREET1_Import_Export!$B201+GREET1_Import_Export!$F201)+Silicon!J$26*(Silicon!J$12*(GREET1_Import_Export!$O72)+GREET1_Import_Export!$G$200*GREET1_Import_Export!$B201+GREET1_Import_Export!$G201)+Silicon!J$27*(Silicon!J$12*(Silicon!$B$5*GREET1_Import_Export!$B72)+GREET1_Import_Export!$B237)+Silicon!J$28*(Silicon!J$12*(Silicon!$B$6*GREET1_Import_Export!$AA72)+GREET1_Import_Export!$C290)+Silicon!J$34*(GREET1_Import_Export!$D315+GREET1_Import_Export!$E315)+J$29*(GREET1_Import_Export!$AC72*$B12+GREET1_Import_Export!$B201*GREET1_Import_Export!$I$179+GREET1_Import_Export!$I201)+J$30*(GREET1_Import_Export!$AD72*$B12+GREET1_Import_Export!$D482)+J$31*(GREET1_Import_Export!$AI72*$B12+GREET1_Import_Export!$D482)+J$32*SUM(GREET1_Import_Export!$B271:$C271)+J$33*SUM(GREET1_Import_Export!$AJ315:$AK315)+J$35*[1]!T2lb*Mat_Sum!$CF36</f>
        <v>2943.7571033196127</v>
      </c>
      <c r="K55" s="348"/>
      <c r="L55" s="349">
        <f>Silicon!L$25*(Silicon!L$12*(GREET1_Import_Export!$K72)+GREET1_Import_Export!$F$200*GREET1_Import_Export!$B201+GREET1_Import_Export!$F201)+Silicon!L$26*(Silicon!L$12*(GREET1_Import_Export!$O72)+GREET1_Import_Export!$G$200*GREET1_Import_Export!$B201+GREET1_Import_Export!$G201)+Silicon!L$27*(Silicon!L$12*(Silicon!$C$5*GREET1_Import_Export!$B72)+GREET1_Import_Export!$B237)+Silicon!L$28*(Silicon!L$12*(Silicon!$C$6*GREET1_Import_Export!$AA72)+GREET1_Import_Export!$C290)+Silicon!L$34*(GREET1_Import_Export!$D315+GREET1_Import_Export!$E315)</f>
        <v>0.13825725112511211</v>
      </c>
      <c r="M55" s="348"/>
      <c r="N55" s="349"/>
    </row>
    <row r="56" spans="1:14" s="496" customFormat="1">
      <c r="A56" s="347" t="s">
        <v>822</v>
      </c>
      <c r="B56" s="347">
        <f ca="1">Silicon!B$25*(Silicon!B$12*(GREET1_Import_Export!$K73)+GREET1_Import_Export!$F$200*GREET1_Import_Export!$B202+GREET1_Import_Export!$F202)+Silicon!B$26*(Silicon!B$12*(GREET1_Import_Export!$O73)+GREET1_Import_Export!$G$200*GREET1_Import_Export!$B202+GREET1_Import_Export!$G202)+Silicon!B$27*(Silicon!B$12*(Silicon!$B$5*GREET1_Import_Export!$B73)+GREET1_Import_Export!$B238)+Silicon!B$28*(Silicon!B$12*(Silicon!$B$6*GREET1_Import_Export!$AA73)+GREET1_Import_Export!$C291)+Silicon!B$34*(GREET1_Import_Export!$D316+GREET1_Import_Export!$E316)+B$29*(GREET1_Import_Export!$AC73*$B13+GREET1_Import_Export!$B202*GREET1_Import_Export!$I$179+GREET1_Import_Export!$I202)+B$30*(GREET1_Import_Export!$AD73*$B13+GREET1_Import_Export!$D483)+B$31*(GREET1_Import_Export!$AI73*$B13+GREET1_Import_Export!$D483)+B$32*SUM(GREET1_Import_Export!$B272:$C272)+B$33*SUM(GREET1_Import_Export!$AJ316:$AK316)+B$35*[1]!T2lb*Mat_Sum!$CF37</f>
        <v>265.43944877567452</v>
      </c>
      <c r="C56" s="348"/>
      <c r="D56" s="349">
        <f ca="1">Silicon!D$25*(Silicon!D$12*(GREET1_Import_Export!$K73)+GREET1_Import_Export!$F$200*GREET1_Import_Export!$B202+GREET1_Import_Export!$F202)+Silicon!D$26*(Silicon!D$12*(GREET1_Import_Export!$O73)+GREET1_Import_Export!$G$200*GREET1_Import_Export!$B202+GREET1_Import_Export!$G202)+Silicon!D$27*(Silicon!D$12*(Silicon!$B$5*GREET1_Import_Export!$B73)+GREET1_Import_Export!$B238)+Silicon!D$28*(Silicon!D$12*(Silicon!$B$6*GREET1_Import_Export!$AA73)+GREET1_Import_Export!$C291)+Silicon!D$34*(GREET1_Import_Export!$D316+GREET1_Import_Export!$E316)+D$29*(GREET1_Import_Export!$AC73*$B13+GREET1_Import_Export!$B202*GREET1_Import_Export!$I$179+GREET1_Import_Export!$I202)+D$30*(GREET1_Import_Export!$AD73*$B13+GREET1_Import_Export!$D483)+D$31*(GREET1_Import_Export!$AI73*$B13+GREET1_Import_Export!$D483)+D$32*SUM(GREET1_Import_Export!$B272:$C272)+D$33*SUM(GREET1_Import_Export!$AJ316:$AK316)+D$35*[1]!T2lb*Mat_Sum!$CF37</f>
        <v>1645.7921799544611</v>
      </c>
      <c r="E56" s="349"/>
      <c r="F56" s="347">
        <f ca="1">Silicon!F$25*(Silicon!F$12*(GREET1_Import_Export!$K73)+GREET1_Import_Export!$F$200*GREET1_Import_Export!$B202+GREET1_Import_Export!$F202)+Silicon!F$26*(Silicon!F$12*(GREET1_Import_Export!$O73)+GREET1_Import_Export!$G$200*GREET1_Import_Export!$B202+GREET1_Import_Export!$G202)+Silicon!F$27*(Silicon!F$12*(Silicon!$B$5*GREET1_Import_Export!$B73)+GREET1_Import_Export!$B238)+Silicon!F$28*(Silicon!F$12*(Silicon!$B$6*GREET1_Import_Export!$AA73)+GREET1_Import_Export!$C291)+Silicon!F$34*(GREET1_Import_Export!$D316+GREET1_Import_Export!$E316)+F$29*(GREET1_Import_Export!$AC73*$B13+GREET1_Import_Export!$B202*GREET1_Import_Export!$I$179+GREET1_Import_Export!$I202)+F$30*(GREET1_Import_Export!$AD73*$B13+GREET1_Import_Export!$D483)+F$31*(GREET1_Import_Export!$AI73*$B13+GREET1_Import_Export!$D483)+F$32*SUM(GREET1_Import_Export!$B272:$C272)+F$33*SUM(GREET1_Import_Export!$AJ316:$AK316)+F$35*[1]!T2lb*Mat_Sum!$CF37</f>
        <v>4774.5949691593214</v>
      </c>
      <c r="G56" s="348"/>
      <c r="H56" s="349">
        <f ca="1">Silicon!H$25*(Silicon!H$12*(GREET1_Import_Export!$K73)+GREET1_Import_Export!$F$200*GREET1_Import_Export!$B202+GREET1_Import_Export!$F202)+Silicon!H$26*(Silicon!H$12*(GREET1_Import_Export!$O73)+GREET1_Import_Export!$G$200*GREET1_Import_Export!$B202+GREET1_Import_Export!$G202)+Silicon!H$27*(Silicon!H$12*(Silicon!$B$5*GREET1_Import_Export!$B73)+GREET1_Import_Export!$B238)+Silicon!H$28*(Silicon!H$12*(Silicon!$B$6*GREET1_Import_Export!$AA73)+GREET1_Import_Export!$C291)+Silicon!H$34*(GREET1_Import_Export!$D316+GREET1_Import_Export!$E316)+H$29*(GREET1_Import_Export!$AC73*$B13+GREET1_Import_Export!$B202*GREET1_Import_Export!$I$179+GREET1_Import_Export!$I202)+H$30*(GREET1_Import_Export!$AD73*$B13+GREET1_Import_Export!$D483)+H$31*(GREET1_Import_Export!$AI73*$B13+GREET1_Import_Export!$D483)+H$32*SUM(GREET1_Import_Export!$B272:$C272)+H$33*SUM(GREET1_Import_Export!$AJ316:$AK316)+H$35*[1]!T2lb*Mat_Sum!$CF37</f>
        <v>11238.15632878283</v>
      </c>
      <c r="I56" s="349"/>
      <c r="J56" s="347">
        <f ca="1">Silicon!J$25*(Silicon!J$12*(GREET1_Import_Export!$K73)+GREET1_Import_Export!$F$200*GREET1_Import_Export!$B202+GREET1_Import_Export!$F202)+Silicon!J$26*(Silicon!J$12*(GREET1_Import_Export!$O73)+GREET1_Import_Export!$G$200*GREET1_Import_Export!$B202+GREET1_Import_Export!$G202)+Silicon!J$27*(Silicon!J$12*(Silicon!$B$5*GREET1_Import_Export!$B73)+GREET1_Import_Export!$B238)+Silicon!J$28*(Silicon!J$12*(Silicon!$B$6*GREET1_Import_Export!$AA73)+GREET1_Import_Export!$C291)+Silicon!J$34*(GREET1_Import_Export!$D316+GREET1_Import_Export!$E316)+J$29*(GREET1_Import_Export!$AC73*$B13+GREET1_Import_Export!$B202*GREET1_Import_Export!$I$179+GREET1_Import_Export!$I202)+J$30*(GREET1_Import_Export!$AD73*$B13+GREET1_Import_Export!$D483)+J$31*(GREET1_Import_Export!$AI73*$B13+GREET1_Import_Export!$D483)+J$32*SUM(GREET1_Import_Export!$B272:$C272)+J$33*SUM(GREET1_Import_Export!$AJ316:$AK316)+J$35*[1]!T2lb*Mat_Sum!$CF37</f>
        <v>19194.011780295357</v>
      </c>
      <c r="K56" s="348"/>
      <c r="L56" s="349">
        <f>Silicon!L$25*(Silicon!L$12*(GREET1_Import_Export!$K73)+GREET1_Import_Export!$F$200*GREET1_Import_Export!$B202+GREET1_Import_Export!$F202)+Silicon!L$26*(Silicon!L$12*(GREET1_Import_Export!$O73)+GREET1_Import_Export!$G$200*GREET1_Import_Export!$B202+GREET1_Import_Export!$G202)+Silicon!L$27*(Silicon!L$12*(Silicon!$C$5*GREET1_Import_Export!$B73)+GREET1_Import_Export!$B238)+Silicon!L$28*(Silicon!L$12*(Silicon!$C$6*GREET1_Import_Export!$AA73)+GREET1_Import_Export!$C291)+Silicon!L$34*(GREET1_Import_Export!$D316+GREET1_Import_Export!$E316)</f>
        <v>1.0206942345820844</v>
      </c>
      <c r="M56" s="348"/>
      <c r="N56" s="349"/>
    </row>
    <row r="57" spans="1:14" s="496" customFormat="1">
      <c r="A57" s="347" t="s">
        <v>823</v>
      </c>
      <c r="B57" s="347">
        <f ca="1">Silicon!B$25*(Silicon!B$12*(GREET1_Import_Export!$K74)+GREET1_Import_Export!$F$200*GREET1_Import_Export!$B203+GREET1_Import_Export!$F203)+Silicon!B$26*(Silicon!B$12*(GREET1_Import_Export!$O74)+GREET1_Import_Export!$G$200*GREET1_Import_Export!$B203+GREET1_Import_Export!$G203)+Silicon!B$27*(Silicon!B$12*(Silicon!$B$5*GREET1_Import_Export!$B74)+GREET1_Import_Export!$B239)+Silicon!B$28*(Silicon!B$12*(Silicon!$B$6*GREET1_Import_Export!$AA74)+GREET1_Import_Export!$C292)+Silicon!B$34*(GREET1_Import_Export!$D317+GREET1_Import_Export!$E317)+B$29*(GREET1_Import_Export!$AC74*$B14+GREET1_Import_Export!$B203*GREET1_Import_Export!$I$179+GREET1_Import_Export!$I203)+B$30*(GREET1_Import_Export!$AD74*$B14+GREET1_Import_Export!$D484)+B$31*(GREET1_Import_Export!$AI74*$B14+GREET1_Import_Export!$D484)+B$32*SUM(GREET1_Import_Export!$B273:$C273)+B$33*SUM(GREET1_Import_Export!$AJ317:$AK317)+B$35*[1]!T2lb*Mat_Sum!$CF38</f>
        <v>770.27080592438585</v>
      </c>
      <c r="C57" s="348"/>
      <c r="D57" s="349">
        <f ca="1">Silicon!D$25*(Silicon!D$12*(GREET1_Import_Export!$K74)+GREET1_Import_Export!$F$200*GREET1_Import_Export!$B203+GREET1_Import_Export!$F203)+Silicon!D$26*(Silicon!D$12*(GREET1_Import_Export!$O74)+GREET1_Import_Export!$G$200*GREET1_Import_Export!$B203+GREET1_Import_Export!$G203)+Silicon!D$27*(Silicon!D$12*(Silicon!$B$5*GREET1_Import_Export!$B74)+GREET1_Import_Export!$B239)+Silicon!D$28*(Silicon!D$12*(Silicon!$B$6*GREET1_Import_Export!$AA74)+GREET1_Import_Export!$C292)+Silicon!D$34*(GREET1_Import_Export!$D317+GREET1_Import_Export!$E317)+D$29*(GREET1_Import_Export!$AC74*$B14+GREET1_Import_Export!$B203*GREET1_Import_Export!$I$179+GREET1_Import_Export!$I203)+D$30*(GREET1_Import_Export!$AD74*$B14+GREET1_Import_Export!$D484)+D$31*(GREET1_Import_Export!$AI74*$B14+GREET1_Import_Export!$D484)+D$32*SUM(GREET1_Import_Export!$B273:$C273)+D$33*SUM(GREET1_Import_Export!$AJ317:$AK317)+D$35*[1]!T2lb*Mat_Sum!$CF38</f>
        <v>4065.1986870837941</v>
      </c>
      <c r="E57" s="349"/>
      <c r="F57" s="347">
        <f ca="1">Silicon!F$25*(Silicon!F$12*(GREET1_Import_Export!$K74)+GREET1_Import_Export!$F$200*GREET1_Import_Export!$B203+GREET1_Import_Export!$F203)+Silicon!F$26*(Silicon!F$12*(GREET1_Import_Export!$O74)+GREET1_Import_Export!$G$200*GREET1_Import_Export!$B203+GREET1_Import_Export!$G203)+Silicon!F$27*(Silicon!F$12*(Silicon!$B$5*GREET1_Import_Export!$B74)+GREET1_Import_Export!$B239)+Silicon!F$28*(Silicon!F$12*(Silicon!$B$6*GREET1_Import_Export!$AA74)+GREET1_Import_Export!$C292)+Silicon!F$34*(GREET1_Import_Export!$D317+GREET1_Import_Export!$E317)+F$29*(GREET1_Import_Export!$AC74*$B14+GREET1_Import_Export!$B203*GREET1_Import_Export!$I$179+GREET1_Import_Export!$I203)+F$30*(GREET1_Import_Export!$AD74*$B14+GREET1_Import_Export!$D484)+F$31*(GREET1_Import_Export!$AI74*$B14+GREET1_Import_Export!$D484)+F$32*SUM(GREET1_Import_Export!$B273:$C273)+F$33*SUM(GREET1_Import_Export!$AJ317:$AK317)+F$35*[1]!T2lb*Mat_Sum!$CF38</f>
        <v>12303.762220704559</v>
      </c>
      <c r="G57" s="348"/>
      <c r="H57" s="349">
        <f ca="1">Silicon!H$25*(Silicon!H$12*(GREET1_Import_Export!$K74)+GREET1_Import_Export!$F$200*GREET1_Import_Export!$B203+GREET1_Import_Export!$F203)+Silicon!H$26*(Silicon!H$12*(GREET1_Import_Export!$O74)+GREET1_Import_Export!$G$200*GREET1_Import_Export!$B203+GREET1_Import_Export!$G203)+Silicon!H$27*(Silicon!H$12*(Silicon!$B$5*GREET1_Import_Export!$B74)+GREET1_Import_Export!$B239)+Silicon!H$28*(Silicon!H$12*(Silicon!$B$6*GREET1_Import_Export!$AA74)+GREET1_Import_Export!$C292)+Silicon!H$34*(GREET1_Import_Export!$D317+GREET1_Import_Export!$E317)+H$29*(GREET1_Import_Export!$AC74*$B14+GREET1_Import_Export!$B203*GREET1_Import_Export!$I$179+GREET1_Import_Export!$I203)+H$30*(GREET1_Import_Export!$AD74*$B14+GREET1_Import_Export!$D484)+H$31*(GREET1_Import_Export!$AI74*$B14+GREET1_Import_Export!$D484)+H$32*SUM(GREET1_Import_Export!$B273:$C273)+H$33*SUM(GREET1_Import_Export!$AJ317:$AK317)+H$35*[1]!T2lb*Mat_Sum!$CF38</f>
        <v>31209.432794940574</v>
      </c>
      <c r="I57" s="349"/>
      <c r="J57" s="347">
        <f ca="1">Silicon!J$25*(Silicon!J$12*(GREET1_Import_Export!$K74)+GREET1_Import_Export!$F$200*GREET1_Import_Export!$B203+GREET1_Import_Export!$F203)+Silicon!J$26*(Silicon!J$12*(GREET1_Import_Export!$O74)+GREET1_Import_Export!$G$200*GREET1_Import_Export!$B203+GREET1_Import_Export!$G203)+Silicon!J$27*(Silicon!J$12*(Silicon!$B$5*GREET1_Import_Export!$B74)+GREET1_Import_Export!$B239)+Silicon!J$28*(Silicon!J$12*(Silicon!$B$6*GREET1_Import_Export!$AA74)+GREET1_Import_Export!$C292)+Silicon!J$34*(GREET1_Import_Export!$D317+GREET1_Import_Export!$E317)+J$29*(GREET1_Import_Export!$AC74*$B14+GREET1_Import_Export!$B203*GREET1_Import_Export!$I$179+GREET1_Import_Export!$I203)+J$30*(GREET1_Import_Export!$AD74*$B14+GREET1_Import_Export!$D484)+J$31*(GREET1_Import_Export!$AI74*$B14+GREET1_Import_Export!$D484)+J$32*SUM(GREET1_Import_Export!$B273:$C273)+J$33*SUM(GREET1_Import_Export!$AJ317:$AK317)+J$35*[1]!T2lb*Mat_Sum!$CF38</f>
        <v>52589.163790289909</v>
      </c>
      <c r="K57" s="348"/>
      <c r="L57" s="349">
        <f>Silicon!L$25*(Silicon!L$12*(GREET1_Import_Export!$K74)+GREET1_Import_Export!$F$200*GREET1_Import_Export!$B203+GREET1_Import_Export!$F203)+Silicon!L$26*(Silicon!L$12*(GREET1_Import_Export!$O74)+GREET1_Import_Export!$G$200*GREET1_Import_Export!$B203+GREET1_Import_Export!$G203)+Silicon!L$27*(Silicon!L$12*(Silicon!$C$5*GREET1_Import_Export!$B74)+GREET1_Import_Export!$B239)+Silicon!L$28*(Silicon!L$12*(Silicon!$C$6*GREET1_Import_Export!$AA74)+GREET1_Import_Export!$C292)+Silicon!L$34*(GREET1_Import_Export!$D317+GREET1_Import_Export!$E317)</f>
        <v>3.0485787667188764</v>
      </c>
      <c r="M57" s="348"/>
      <c r="N57" s="349"/>
    </row>
    <row r="58" spans="1:14" s="496" customFormat="1">
      <c r="A58" s="347" t="s">
        <v>824</v>
      </c>
      <c r="B58" s="347">
        <f ca="1">Silicon!B$25*(Silicon!B$12*(GREET1_Import_Export!$K75)+GREET1_Import_Export!$F$200*GREET1_Import_Export!$B204+GREET1_Import_Export!$F204)+Silicon!B$26*(Silicon!B$12*(GREET1_Import_Export!$O75)+GREET1_Import_Export!$G$200*GREET1_Import_Export!$B204+GREET1_Import_Export!$G204)+Silicon!B$27*(Silicon!B$12*(Silicon!$B$5*GREET1_Import_Export!$B75)+GREET1_Import_Export!$B240)+Silicon!B$28*(Silicon!B$12*(Silicon!$B$6*GREET1_Import_Export!$AA75)+GREET1_Import_Export!$C293)+Silicon!B$34*(GREET1_Import_Export!$D318+GREET1_Import_Export!$E318)+B$29*(GREET1_Import_Export!$AC75*$B15+GREET1_Import_Export!$B204*GREET1_Import_Export!$I$179+GREET1_Import_Export!$I204)+B$30*(GREET1_Import_Export!$AD75*$B15+GREET1_Import_Export!$D485)+B$31*(GREET1_Import_Export!$AI75*$B15+GREET1_Import_Export!$D485)+B$32*SUM(GREET1_Import_Export!$B274:$C274)+B$33*SUM(GREET1_Import_Export!$AJ318:$AK318)+B$35*[1]!T2lb*Mat_Sum!$CF39</f>
        <v>105.31437266837763</v>
      </c>
      <c r="C58" s="348"/>
      <c r="D58" s="349">
        <f ca="1">Silicon!D$25*(Silicon!D$12*(GREET1_Import_Export!$K75)+GREET1_Import_Export!$F$200*GREET1_Import_Export!$B204+GREET1_Import_Export!$F204)+Silicon!D$26*(Silicon!D$12*(GREET1_Import_Export!$O75)+GREET1_Import_Export!$G$200*GREET1_Import_Export!$B204+GREET1_Import_Export!$G204)+Silicon!D$27*(Silicon!D$12*(Silicon!$B$5*GREET1_Import_Export!$B75)+GREET1_Import_Export!$B240)+Silicon!D$28*(Silicon!D$12*(Silicon!$B$6*GREET1_Import_Export!$AA75)+GREET1_Import_Export!$C293)+Silicon!D$34*(GREET1_Import_Export!$D318+GREET1_Import_Export!$E318)+D$29*(GREET1_Import_Export!$AC75*$B15+GREET1_Import_Export!$B204*GREET1_Import_Export!$I$179+GREET1_Import_Export!$I204)+D$30*(GREET1_Import_Export!$AD75*$B15+GREET1_Import_Export!$D485)+D$31*(GREET1_Import_Export!$AI75*$B15+GREET1_Import_Export!$D485)+D$32*SUM(GREET1_Import_Export!$B274:$C274)+D$33*SUM(GREET1_Import_Export!$AJ318:$AK318)+D$35*[1]!T2lb*Mat_Sum!$CF39</f>
        <v>475.40549526224697</v>
      </c>
      <c r="E58" s="349"/>
      <c r="F58" s="347">
        <f ca="1">Silicon!F$25*(Silicon!F$12*(GREET1_Import_Export!$K75)+GREET1_Import_Export!$F$200*GREET1_Import_Export!$B204+GREET1_Import_Export!$F204)+Silicon!F$26*(Silicon!F$12*(GREET1_Import_Export!$O75)+GREET1_Import_Export!$G$200*GREET1_Import_Export!$B204+GREET1_Import_Export!$G204)+Silicon!F$27*(Silicon!F$12*(Silicon!$B$5*GREET1_Import_Export!$B75)+GREET1_Import_Export!$B240)+Silicon!F$28*(Silicon!F$12*(Silicon!$B$6*GREET1_Import_Export!$AA75)+GREET1_Import_Export!$C293)+Silicon!F$34*(GREET1_Import_Export!$D318+GREET1_Import_Export!$E318)+F$29*(GREET1_Import_Export!$AC75*$B15+GREET1_Import_Export!$B204*GREET1_Import_Export!$I$179+GREET1_Import_Export!$I204)+F$30*(GREET1_Import_Export!$AD75*$B15+GREET1_Import_Export!$D485)+F$31*(GREET1_Import_Export!$AI75*$B15+GREET1_Import_Export!$D485)+F$32*SUM(GREET1_Import_Export!$B274:$C274)+F$33*SUM(GREET1_Import_Export!$AJ318:$AK318)+F$35*[1]!T2lb*Mat_Sum!$CF39</f>
        <v>1487.621041732252</v>
      </c>
      <c r="G58" s="348"/>
      <c r="H58" s="349">
        <f ca="1">Silicon!H$25*(Silicon!H$12*(GREET1_Import_Export!$K75)+GREET1_Import_Export!$F$200*GREET1_Import_Export!$B204+GREET1_Import_Export!$F204)+Silicon!H$26*(Silicon!H$12*(GREET1_Import_Export!$O75)+GREET1_Import_Export!$G$200*GREET1_Import_Export!$B204+GREET1_Import_Export!$G204)+Silicon!H$27*(Silicon!H$12*(Silicon!$B$5*GREET1_Import_Export!$B75)+GREET1_Import_Export!$B240)+Silicon!H$28*(Silicon!H$12*(Silicon!$B$6*GREET1_Import_Export!$AA75)+GREET1_Import_Export!$C293)+Silicon!H$34*(GREET1_Import_Export!$D318+GREET1_Import_Export!$E318)+H$29*(GREET1_Import_Export!$AC75*$B15+GREET1_Import_Export!$B204*GREET1_Import_Export!$I$179+GREET1_Import_Export!$I204)+H$30*(GREET1_Import_Export!$AD75*$B15+GREET1_Import_Export!$D485)+H$31*(GREET1_Import_Export!$AI75*$B15+GREET1_Import_Export!$D485)+H$32*SUM(GREET1_Import_Export!$B274:$C274)+H$33*SUM(GREET1_Import_Export!$AJ318:$AK318)+H$35*[1]!T2lb*Mat_Sum!$CF39</f>
        <v>3988.952559050791</v>
      </c>
      <c r="I58" s="349"/>
      <c r="J58" s="347">
        <f ca="1">Silicon!J$25*(Silicon!J$12*(GREET1_Import_Export!$K75)+GREET1_Import_Export!$F$200*GREET1_Import_Export!$B204+GREET1_Import_Export!$F204)+Silicon!J$26*(Silicon!J$12*(GREET1_Import_Export!$O75)+GREET1_Import_Export!$G$200*GREET1_Import_Export!$B204+GREET1_Import_Export!$G204)+Silicon!J$27*(Silicon!J$12*(Silicon!$B$5*GREET1_Import_Export!$B75)+GREET1_Import_Export!$B240)+Silicon!J$28*(Silicon!J$12*(Silicon!$B$6*GREET1_Import_Export!$AA75)+GREET1_Import_Export!$C293)+Silicon!J$34*(GREET1_Import_Export!$D318+GREET1_Import_Export!$E318)+J$29*(GREET1_Import_Export!$AC75*$B15+GREET1_Import_Export!$B204*GREET1_Import_Export!$I$179+GREET1_Import_Export!$I204)+J$30*(GREET1_Import_Export!$AD75*$B15+GREET1_Import_Export!$D485)+J$31*(GREET1_Import_Export!$AI75*$B15+GREET1_Import_Export!$D485)+J$32*SUM(GREET1_Import_Export!$B274:$C274)+J$33*SUM(GREET1_Import_Export!$AJ318:$AK318)+J$35*[1]!T2lb*Mat_Sum!$CF39</f>
        <v>6648.3758698548345</v>
      </c>
      <c r="K58" s="348"/>
      <c r="L58" s="349">
        <f>Silicon!L$25*(Silicon!L$12*(GREET1_Import_Export!$K75)+GREET1_Import_Export!$F$200*GREET1_Import_Export!$B204+GREET1_Import_Export!$F204)+Silicon!L$26*(Silicon!L$12*(GREET1_Import_Export!$O75)+GREET1_Import_Export!$G$200*GREET1_Import_Export!$B204+GREET1_Import_Export!$G204)+Silicon!L$27*(Silicon!L$12*(Silicon!$C$5*GREET1_Import_Export!$B75)+GREET1_Import_Export!$B240)+Silicon!L$28*(Silicon!L$12*(Silicon!$C$6*GREET1_Import_Export!$AA75)+GREET1_Import_Export!$C293)+Silicon!L$34*(GREET1_Import_Export!$D318+GREET1_Import_Export!$E318)</f>
        <v>0.40701964307327887</v>
      </c>
      <c r="M58" s="348"/>
      <c r="N58" s="349"/>
    </row>
    <row r="59" spans="1:14" s="496" customFormat="1">
      <c r="A59" s="347" t="s">
        <v>825</v>
      </c>
      <c r="B59" s="347">
        <f ca="1">Silicon!B$25*(Silicon!B$12*(GREET1_Import_Export!$K76)+GREET1_Import_Export!$F$200*GREET1_Import_Export!$B205+GREET1_Import_Export!$F205)+Silicon!B$26*(Silicon!B$12*(GREET1_Import_Export!$O76)+GREET1_Import_Export!$G$200*GREET1_Import_Export!$B205+GREET1_Import_Export!$G205)+Silicon!B$27*(Silicon!B$12*(Silicon!$B$5*GREET1_Import_Export!$B76)+GREET1_Import_Export!$B241)+Silicon!B$28*(Silicon!B$12*(Silicon!$B$6*GREET1_Import_Export!$AA76)+GREET1_Import_Export!$C294)+Silicon!B$34*(GREET1_Import_Export!$D319+GREET1_Import_Export!$E319)+B$29*(GREET1_Import_Export!$AC76*$B16+GREET1_Import_Export!$B205*GREET1_Import_Export!$I$179+GREET1_Import_Export!$I205)+B$30*(GREET1_Import_Export!$AD76*$B16+GREET1_Import_Export!$D486)+B$31*(GREET1_Import_Export!$AI76*$B16+GREET1_Import_Export!$D486)+B$32*SUM(GREET1_Import_Export!$B275:$C275)+B$33*SUM(GREET1_Import_Export!$AJ319:$AK319)+B$35*[1]!T2lb*Mat_Sum!$CF40</f>
        <v>90.783300285083072</v>
      </c>
      <c r="C59" s="348"/>
      <c r="D59" s="349">
        <f ca="1">Silicon!D$25*(Silicon!D$12*(GREET1_Import_Export!$K76)+GREET1_Import_Export!$F$200*GREET1_Import_Export!$B205+GREET1_Import_Export!$F205)+Silicon!D$26*(Silicon!D$12*(GREET1_Import_Export!$O76)+GREET1_Import_Export!$G$200*GREET1_Import_Export!$B205+GREET1_Import_Export!$G205)+Silicon!D$27*(Silicon!D$12*(Silicon!$B$5*GREET1_Import_Export!$B76)+GREET1_Import_Export!$B241)+Silicon!D$28*(Silicon!D$12*(Silicon!$B$6*GREET1_Import_Export!$AA76)+GREET1_Import_Export!$C294)+Silicon!D$34*(GREET1_Import_Export!$D319+GREET1_Import_Export!$E319)+D$29*(GREET1_Import_Export!$AC76*$B16+GREET1_Import_Export!$B205*GREET1_Import_Export!$I$179+GREET1_Import_Export!$I205)+D$30*(GREET1_Import_Export!$AD76*$B16+GREET1_Import_Export!$D486)+D$31*(GREET1_Import_Export!$AI76*$B16+GREET1_Import_Export!$D486)+D$32*SUM(GREET1_Import_Export!$B275:$C275)+D$33*SUM(GREET1_Import_Export!$AJ319:$AK319)+D$35*[1]!T2lb*Mat_Sum!$CF40</f>
        <v>416.08185564486928</v>
      </c>
      <c r="E59" s="349"/>
      <c r="F59" s="347">
        <f ca="1">Silicon!F$25*(Silicon!F$12*(GREET1_Import_Export!$K76)+GREET1_Import_Export!$F$200*GREET1_Import_Export!$B205+GREET1_Import_Export!$F205)+Silicon!F$26*(Silicon!F$12*(GREET1_Import_Export!$O76)+GREET1_Import_Export!$G$200*GREET1_Import_Export!$B205+GREET1_Import_Export!$G205)+Silicon!F$27*(Silicon!F$12*(Silicon!$B$5*GREET1_Import_Export!$B76)+GREET1_Import_Export!$B241)+Silicon!F$28*(Silicon!F$12*(Silicon!$B$6*GREET1_Import_Export!$AA76)+GREET1_Import_Export!$C294)+Silicon!F$34*(GREET1_Import_Export!$D319+GREET1_Import_Export!$E319)+F$29*(GREET1_Import_Export!$AC76*$B16+GREET1_Import_Export!$B205*GREET1_Import_Export!$I$179+GREET1_Import_Export!$I205)+F$30*(GREET1_Import_Export!$AD76*$B16+GREET1_Import_Export!$D486)+F$31*(GREET1_Import_Export!$AI76*$B16+GREET1_Import_Export!$D486)+F$32*SUM(GREET1_Import_Export!$B275:$C275)+F$33*SUM(GREET1_Import_Export!$AJ319:$AK319)+F$35*[1]!T2lb*Mat_Sum!$CF40</f>
        <v>1303.6513471665151</v>
      </c>
      <c r="G59" s="348"/>
      <c r="H59" s="349">
        <f ca="1">Silicon!H$25*(Silicon!H$12*(GREET1_Import_Export!$K76)+GREET1_Import_Export!$F$200*GREET1_Import_Export!$B205+GREET1_Import_Export!$F205)+Silicon!H$26*(Silicon!H$12*(GREET1_Import_Export!$O76)+GREET1_Import_Export!$G$200*GREET1_Import_Export!$B205+GREET1_Import_Export!$G205)+Silicon!H$27*(Silicon!H$12*(Silicon!$B$5*GREET1_Import_Export!$B76)+GREET1_Import_Export!$B241)+Silicon!H$28*(Silicon!H$12*(Silicon!$B$6*GREET1_Import_Export!$AA76)+GREET1_Import_Export!$C294)+Silicon!H$34*(GREET1_Import_Export!$D319+GREET1_Import_Export!$E319)+H$29*(GREET1_Import_Export!$AC76*$B16+GREET1_Import_Export!$B205*GREET1_Import_Export!$I$179+GREET1_Import_Export!$I205)+H$30*(GREET1_Import_Export!$AD76*$B16+GREET1_Import_Export!$D486)+H$31*(GREET1_Import_Export!$AI76*$B16+GREET1_Import_Export!$D486)+H$32*SUM(GREET1_Import_Export!$B275:$C275)+H$33*SUM(GREET1_Import_Export!$AJ319:$AK319)+H$35*[1]!T2lb*Mat_Sum!$CF40</f>
        <v>3503.2587312058918</v>
      </c>
      <c r="I59" s="349"/>
      <c r="J59" s="347">
        <f ca="1">Silicon!J$25*(Silicon!J$12*(GREET1_Import_Export!$K76)+GREET1_Import_Export!$F$200*GREET1_Import_Export!$B205+GREET1_Import_Export!$F205)+Silicon!J$26*(Silicon!J$12*(GREET1_Import_Export!$O76)+GREET1_Import_Export!$G$200*GREET1_Import_Export!$B205+GREET1_Import_Export!$G205)+Silicon!J$27*(Silicon!J$12*(Silicon!$B$5*GREET1_Import_Export!$B76)+GREET1_Import_Export!$B241)+Silicon!J$28*(Silicon!J$12*(Silicon!$B$6*GREET1_Import_Export!$AA76)+GREET1_Import_Export!$C294)+Silicon!J$34*(GREET1_Import_Export!$D319+GREET1_Import_Export!$E319)+J$29*(GREET1_Import_Export!$AC76*$B16+GREET1_Import_Export!$B205*GREET1_Import_Export!$I$179+GREET1_Import_Export!$I205)+J$30*(GREET1_Import_Export!$AD76*$B16+GREET1_Import_Export!$D486)+J$31*(GREET1_Import_Export!$AI76*$B16+GREET1_Import_Export!$D486)+J$32*SUM(GREET1_Import_Export!$B275:$C275)+J$33*SUM(GREET1_Import_Export!$AJ319:$AK319)+J$35*[1]!T2lb*Mat_Sum!$CF40</f>
        <v>5840.5059052445458</v>
      </c>
      <c r="K59" s="348"/>
      <c r="L59" s="349">
        <f>Silicon!L$25*(Silicon!L$12*(GREET1_Import_Export!$K76)+GREET1_Import_Export!$F$200*GREET1_Import_Export!$B205+GREET1_Import_Export!$F205)+Silicon!L$26*(Silicon!L$12*(GREET1_Import_Export!$O76)+GREET1_Import_Export!$G$200*GREET1_Import_Export!$B205+GREET1_Import_Export!$G205)+Silicon!L$27*(Silicon!L$12*(Silicon!$C$5*GREET1_Import_Export!$B76)+GREET1_Import_Export!$B241)+Silicon!L$28*(Silicon!L$12*(Silicon!$C$6*GREET1_Import_Export!$AA76)+GREET1_Import_Export!$C294)+Silicon!L$34*(GREET1_Import_Export!$D319+GREET1_Import_Export!$E319)</f>
        <v>0.35790460078472186</v>
      </c>
      <c r="M59" s="348"/>
      <c r="N59" s="349"/>
    </row>
    <row r="60" spans="1:14" s="496" customFormat="1">
      <c r="A60" s="347" t="s">
        <v>826</v>
      </c>
      <c r="B60" s="347">
        <f ca="1">Silicon!B$25*(Silicon!B$12*(GREET1_Import_Export!$K77)+GREET1_Import_Export!$F$200*GREET1_Import_Export!$B206+GREET1_Import_Export!$F206)+Silicon!B$26*(Silicon!B$12*(GREET1_Import_Export!$O77)+GREET1_Import_Export!$G$200*GREET1_Import_Export!$B206+GREET1_Import_Export!$G206)+Silicon!B$27*(Silicon!B$12*(Silicon!$B$5*GREET1_Import_Export!$B77)+GREET1_Import_Export!$B242)+Silicon!B$28*(Silicon!B$12*(Silicon!$B$6*GREET1_Import_Export!$AA77)+GREET1_Import_Export!$C295)+Silicon!B$34*(GREET1_Import_Export!$D320+GREET1_Import_Export!$E320)+B$29*(GREET1_Import_Export!$AC77*$B17+GREET1_Import_Export!$B206*GREET1_Import_Export!$I$179+GREET1_Import_Export!$I206)+B$30*(GREET1_Import_Export!$AD77*$B17+GREET1_Import_Export!$D487)+B$31*(GREET1_Import_Export!$AI77*$B17+GREET1_Import_Export!$D487)+B$32*SUM(GREET1_Import_Export!$B276:$C276)+B$33*SUM(GREET1_Import_Export!$AJ320:$AK320)+B$35*[1]!T2lb*Mat_Sum!$CF41</f>
        <v>1489.0918224898942</v>
      </c>
      <c r="C60" s="348"/>
      <c r="D60" s="349">
        <f ca="1">Silicon!D$25*(Silicon!D$12*(GREET1_Import_Export!$K77)+GREET1_Import_Export!$F$200*GREET1_Import_Export!$B206+GREET1_Import_Export!$F206)+Silicon!D$26*(Silicon!D$12*(GREET1_Import_Export!$O77)+GREET1_Import_Export!$G$200*GREET1_Import_Export!$B206+GREET1_Import_Export!$G206)+Silicon!D$27*(Silicon!D$12*(Silicon!$B$5*GREET1_Import_Export!$B77)+GREET1_Import_Export!$B242)+Silicon!D$28*(Silicon!D$12*(Silicon!$B$6*GREET1_Import_Export!$AA77)+GREET1_Import_Export!$C295)+Silicon!D$34*(GREET1_Import_Export!$D320+GREET1_Import_Export!$E320)+D$29*(GREET1_Import_Export!$AC77*$B17+GREET1_Import_Export!$B206*GREET1_Import_Export!$I$179+GREET1_Import_Export!$I206)+D$30*(GREET1_Import_Export!$AD77*$B17+GREET1_Import_Export!$D487)+D$31*(GREET1_Import_Export!$AI77*$B17+GREET1_Import_Export!$D487)+D$32*SUM(GREET1_Import_Export!$B276:$C276)+D$33*SUM(GREET1_Import_Export!$AJ320:$AK320)+D$35*[1]!T2lb*Mat_Sum!$CF41</f>
        <v>4341.0801913616478</v>
      </c>
      <c r="E60" s="349"/>
      <c r="F60" s="347">
        <f ca="1">Silicon!F$25*(Silicon!F$12*(GREET1_Import_Export!$K77)+GREET1_Import_Export!$F$200*GREET1_Import_Export!$B206+GREET1_Import_Export!$F206)+Silicon!F$26*(Silicon!F$12*(GREET1_Import_Export!$O77)+GREET1_Import_Export!$G$200*GREET1_Import_Export!$B206+GREET1_Import_Export!$G206)+Silicon!F$27*(Silicon!F$12*(Silicon!$B$5*GREET1_Import_Export!$B77)+GREET1_Import_Export!$B242)+Silicon!F$28*(Silicon!F$12*(Silicon!$B$6*GREET1_Import_Export!$AA77)+GREET1_Import_Export!$C295)+Silicon!F$34*(GREET1_Import_Export!$D320+GREET1_Import_Export!$E320)+F$29*(GREET1_Import_Export!$AC77*$B17+GREET1_Import_Export!$B206*GREET1_Import_Export!$I$179+GREET1_Import_Export!$I206)+F$30*(GREET1_Import_Export!$AD77*$B17+GREET1_Import_Export!$D487)+F$31*(GREET1_Import_Export!$AI77*$B17+GREET1_Import_Export!$D487)+F$32*SUM(GREET1_Import_Export!$B276:$C276)+F$33*SUM(GREET1_Import_Export!$AJ320:$AK320)+F$35*[1]!T2lb*Mat_Sum!$CF41</f>
        <v>12902.102052761855</v>
      </c>
      <c r="G60" s="348"/>
      <c r="H60" s="349">
        <f ca="1">Silicon!H$25*(Silicon!H$12*(GREET1_Import_Export!$K77)+GREET1_Import_Export!$F$200*GREET1_Import_Export!$B206+GREET1_Import_Export!$F206)+Silicon!H$26*(Silicon!H$12*(GREET1_Import_Export!$O77)+GREET1_Import_Export!$G$200*GREET1_Import_Export!$B206+GREET1_Import_Export!$G206)+Silicon!H$27*(Silicon!H$12*(Silicon!$B$5*GREET1_Import_Export!$B77)+GREET1_Import_Export!$B242)+Silicon!H$28*(Silicon!H$12*(Silicon!$B$6*GREET1_Import_Export!$AA77)+GREET1_Import_Export!$C295)+Silicon!H$34*(GREET1_Import_Export!$D320+GREET1_Import_Export!$E320)+H$29*(GREET1_Import_Export!$AC77*$B17+GREET1_Import_Export!$B206*GREET1_Import_Export!$I$179+GREET1_Import_Export!$I206)+H$30*(GREET1_Import_Export!$AD77*$B17+GREET1_Import_Export!$D487)+H$31*(GREET1_Import_Export!$AI77*$B17+GREET1_Import_Export!$D487)+H$32*SUM(GREET1_Import_Export!$B276:$C276)+H$33*SUM(GREET1_Import_Export!$AJ320:$AK320)+H$35*[1]!T2lb*Mat_Sum!$CF41</f>
        <v>31855.043666662044</v>
      </c>
      <c r="I60" s="349"/>
      <c r="J60" s="347">
        <f ca="1">Silicon!J$25*(Silicon!J$12*(GREET1_Import_Export!$K77)+GREET1_Import_Export!$F$200*GREET1_Import_Export!$B206+GREET1_Import_Export!$F206)+Silicon!J$26*(Silicon!J$12*(GREET1_Import_Export!$O77)+GREET1_Import_Export!$G$200*GREET1_Import_Export!$B206+GREET1_Import_Export!$G206)+Silicon!J$27*(Silicon!J$12*(Silicon!$B$5*GREET1_Import_Export!$B77)+GREET1_Import_Export!$B242)+Silicon!J$28*(Silicon!J$12*(Silicon!$B$6*GREET1_Import_Export!$AA77)+GREET1_Import_Export!$C295)+Silicon!J$34*(GREET1_Import_Export!$D320+GREET1_Import_Export!$E320)+J$29*(GREET1_Import_Export!$AC77*$B17+GREET1_Import_Export!$B206*GREET1_Import_Export!$I$179+GREET1_Import_Export!$I206)+J$30*(GREET1_Import_Export!$AD77*$B17+GREET1_Import_Export!$D487)+J$31*(GREET1_Import_Export!$AI77*$B17+GREET1_Import_Export!$D487)+J$32*SUM(GREET1_Import_Export!$B276:$C276)+J$33*SUM(GREET1_Import_Export!$AJ320:$AK320)+J$35*[1]!T2lb*Mat_Sum!$CF41</f>
        <v>52388.069922942923</v>
      </c>
      <c r="K60" s="348"/>
      <c r="L60" s="349">
        <f>Silicon!L$25*(Silicon!L$12*(GREET1_Import_Export!$K77)+GREET1_Import_Export!$F$200*GREET1_Import_Export!$B206+GREET1_Import_Export!$F206)+Silicon!L$26*(Silicon!L$12*(GREET1_Import_Export!$O77)+GREET1_Import_Export!$G$200*GREET1_Import_Export!$B206+GREET1_Import_Export!$G206)+Silicon!L$27*(Silicon!L$12*(Silicon!$C$5*GREET1_Import_Export!$B77)+GREET1_Import_Export!$B242)+Silicon!L$28*(Silicon!L$12*(Silicon!$C$6*GREET1_Import_Export!$AA77)+GREET1_Import_Export!$C295)+Silicon!L$34*(GREET1_Import_Export!$D320+GREET1_Import_Export!$E320)</f>
        <v>3.0290372328190922</v>
      </c>
      <c r="M60" s="348"/>
      <c r="N60" s="349"/>
    </row>
    <row r="61" spans="1:14" s="496" customFormat="1">
      <c r="A61" s="347" t="s">
        <v>827</v>
      </c>
      <c r="B61" s="347">
        <f ca="1">Silicon!B$25*(Silicon!B$12*(GREET1_Import_Export!$K78)+GREET1_Import_Export!$F$200*GREET1_Import_Export!$B207+GREET1_Import_Export!$F207)+Silicon!B$26*(Silicon!B$12*(GREET1_Import_Export!$O78)+GREET1_Import_Export!$G$200*GREET1_Import_Export!$B207+GREET1_Import_Export!$G207)+Silicon!B$27*(Silicon!B$12*(Silicon!$B$5*GREET1_Import_Export!$B78)+GREET1_Import_Export!$B243)+Silicon!B$28*(Silicon!B$12*(Silicon!$B$6*GREET1_Import_Export!$AA78)+GREET1_Import_Export!$C296)+Silicon!B$34*(GREET1_Import_Export!$D321+GREET1_Import_Export!$E321)+B$29*(GREET1_Import_Export!$AC78*$B18+GREET1_Import_Export!$B207*GREET1_Import_Export!$I$179+GREET1_Import_Export!$I207)+B$30*(GREET1_Import_Export!$AD78*$B18+GREET1_Import_Export!$D488)+B$31*(GREET1_Import_Export!$AI78*$B18+GREET1_Import_Export!$D488)+B$32*SUM(GREET1_Import_Export!$B277:$C277)+B$33*SUM(GREET1_Import_Export!$AJ321:$AK321)+B$35*[1]!T2lb*Mat_Sum!$CF42</f>
        <v>6.113916529590588</v>
      </c>
      <c r="C61" s="348"/>
      <c r="D61" s="349">
        <f ca="1">Silicon!D$25*(Silicon!D$12*(GREET1_Import_Export!$K78)+GREET1_Import_Export!$F$200*GREET1_Import_Export!$B207+GREET1_Import_Export!$F207)+Silicon!D$26*(Silicon!D$12*(GREET1_Import_Export!$O78)+GREET1_Import_Export!$G$200*GREET1_Import_Export!$B207+GREET1_Import_Export!$G207)+Silicon!D$27*(Silicon!D$12*(Silicon!$B$5*GREET1_Import_Export!$B78)+GREET1_Import_Export!$B243)+Silicon!D$28*(Silicon!D$12*(Silicon!$B$6*GREET1_Import_Export!$AA78)+GREET1_Import_Export!$C296)+Silicon!D$34*(GREET1_Import_Export!$D321+GREET1_Import_Export!$E321)+D$29*(GREET1_Import_Export!$AC78*$B18+GREET1_Import_Export!$B207*GREET1_Import_Export!$I$179+GREET1_Import_Export!$I207)+D$30*(GREET1_Import_Export!$AD78*$B18+GREET1_Import_Export!$D488)+D$31*(GREET1_Import_Export!$AI78*$B18+GREET1_Import_Export!$D488)+D$32*SUM(GREET1_Import_Export!$B277:$C277)+D$33*SUM(GREET1_Import_Export!$AJ321:$AK321)+D$35*[1]!T2lb*Mat_Sum!$CF42</f>
        <v>23.313360983468637</v>
      </c>
      <c r="E61" s="349"/>
      <c r="F61" s="347">
        <f ca="1">Silicon!F$25*(Silicon!F$12*(GREET1_Import_Export!$K78)+GREET1_Import_Export!$F$200*GREET1_Import_Export!$B207+GREET1_Import_Export!$F207)+Silicon!F$26*(Silicon!F$12*(GREET1_Import_Export!$O78)+GREET1_Import_Export!$G$200*GREET1_Import_Export!$B207+GREET1_Import_Export!$G207)+Silicon!F$27*(Silicon!F$12*(Silicon!$B$5*GREET1_Import_Export!$B78)+GREET1_Import_Export!$B243)+Silicon!F$28*(Silicon!F$12*(Silicon!$B$6*GREET1_Import_Export!$AA78)+GREET1_Import_Export!$C296)+Silicon!F$34*(GREET1_Import_Export!$D321+GREET1_Import_Export!$E321)+F$29*(GREET1_Import_Export!$AC78*$B18+GREET1_Import_Export!$B207*GREET1_Import_Export!$I$179+GREET1_Import_Export!$I207)+F$30*(GREET1_Import_Export!$AD78*$B18+GREET1_Import_Export!$D488)+F$31*(GREET1_Import_Export!$AI78*$B18+GREET1_Import_Export!$D488)+F$32*SUM(GREET1_Import_Export!$B277:$C277)+F$33*SUM(GREET1_Import_Export!$AJ321:$AK321)+F$35*[1]!T2lb*Mat_Sum!$CF42</f>
        <v>71.454326032458511</v>
      </c>
      <c r="G61" s="348"/>
      <c r="H61" s="349">
        <f ca="1">Silicon!H$25*(Silicon!H$12*(GREET1_Import_Export!$K78)+GREET1_Import_Export!$F$200*GREET1_Import_Export!$B207+GREET1_Import_Export!$F207)+Silicon!H$26*(Silicon!H$12*(GREET1_Import_Export!$O78)+GREET1_Import_Export!$G$200*GREET1_Import_Export!$B207+GREET1_Import_Export!$G207)+Silicon!H$27*(Silicon!H$12*(Silicon!$B$5*GREET1_Import_Export!$B78)+GREET1_Import_Export!$B243)+Silicon!H$28*(Silicon!H$12*(Silicon!$B$6*GREET1_Import_Export!$AA78)+GREET1_Import_Export!$C296)+Silicon!H$34*(GREET1_Import_Export!$D321+GREET1_Import_Export!$E321)+H$29*(GREET1_Import_Export!$AC78*$B18+GREET1_Import_Export!$B207*GREET1_Import_Export!$I$179+GREET1_Import_Export!$I207)+H$30*(GREET1_Import_Export!$AD78*$B18+GREET1_Import_Export!$D488)+H$31*(GREET1_Import_Export!$AI78*$B18+GREET1_Import_Export!$D488)+H$32*SUM(GREET1_Import_Export!$B277:$C277)+H$33*SUM(GREET1_Import_Export!$AJ321:$AK321)+H$35*[1]!T2lb*Mat_Sum!$CF42</f>
        <v>186.31722840374934</v>
      </c>
      <c r="I61" s="349"/>
      <c r="J61" s="347">
        <f ca="1">Silicon!J$25*(Silicon!J$12*(GREET1_Import_Export!$K78)+GREET1_Import_Export!$F$200*GREET1_Import_Export!$B207+GREET1_Import_Export!$F207)+Silicon!J$26*(Silicon!J$12*(GREET1_Import_Export!$O78)+GREET1_Import_Export!$G$200*GREET1_Import_Export!$B207+GREET1_Import_Export!$G207)+Silicon!J$27*(Silicon!J$12*(Silicon!$B$5*GREET1_Import_Export!$B78)+GREET1_Import_Export!$B243)+Silicon!J$28*(Silicon!J$12*(Silicon!$B$6*GREET1_Import_Export!$AA78)+GREET1_Import_Export!$C296)+Silicon!J$34*(GREET1_Import_Export!$D321+GREET1_Import_Export!$E321)+J$29*(GREET1_Import_Export!$AC78*$B18+GREET1_Import_Export!$B207*GREET1_Import_Export!$I$179+GREET1_Import_Export!$I207)+J$30*(GREET1_Import_Export!$AD78*$B18+GREET1_Import_Export!$D488)+J$31*(GREET1_Import_Export!$AI78*$B18+GREET1_Import_Export!$D488)+J$32*SUM(GREET1_Import_Export!$B277:$C277)+J$33*SUM(GREET1_Import_Export!$AJ321:$AK321)+J$35*[1]!T2lb*Mat_Sum!$CF42</f>
        <v>309.19052268089962</v>
      </c>
      <c r="K61" s="348"/>
      <c r="L61" s="349">
        <f>Silicon!L$25*(Silicon!L$12*(GREET1_Import_Export!$K78)+GREET1_Import_Export!$F$200*GREET1_Import_Export!$B207+GREET1_Import_Export!$F207)+Silicon!L$26*(Silicon!L$12*(GREET1_Import_Export!$O78)+GREET1_Import_Export!$G$200*GREET1_Import_Export!$B207+GREET1_Import_Export!$G207)+Silicon!L$27*(Silicon!L$12*(Silicon!$C$5*GREET1_Import_Export!$B78)+GREET1_Import_Export!$B243)+Silicon!L$28*(Silicon!L$12*(Silicon!$C$6*GREET1_Import_Export!$AA78)+GREET1_Import_Export!$C296)+Silicon!L$34*(GREET1_Import_Export!$D321+GREET1_Import_Export!$E321)</f>
        <v>1.844494309188761E-2</v>
      </c>
      <c r="M61" s="348"/>
      <c r="N61" s="349"/>
    </row>
    <row r="62" spans="1:14" s="496" customFormat="1">
      <c r="A62" s="503" t="s">
        <v>828</v>
      </c>
      <c r="B62" s="503">
        <f ca="1">Silicon!B$25*(Silicon!B$12*(GREET1_Import_Export!$K79)+GREET1_Import_Export!$F$200*GREET1_Import_Export!$B208+GREET1_Import_Export!$F208)+Silicon!B$26*(Silicon!B$12*(GREET1_Import_Export!$O79)+GREET1_Import_Export!$G$200*GREET1_Import_Export!$B208+GREET1_Import_Export!$G208)+Silicon!B$27*(Silicon!B$12*(Silicon!$B$5*GREET1_Import_Export!$B79)+GREET1_Import_Export!$B244)+Silicon!B$28*(Silicon!B$12*(Silicon!$B$6*GREET1_Import_Export!$AA79)+GREET1_Import_Export!$C297)+Silicon!B$34*(GREET1_Import_Export!$D322+GREET1_Import_Export!$E322)+B$29*(GREET1_Import_Export!$AC79*$B19+GREET1_Import_Export!$B208*GREET1_Import_Export!$I$179+GREET1_Import_Export!$I208)+B$30*(GREET1_Import_Export!$AD79*$B19+GREET1_Import_Export!$D489)+B$31*(GREET1_Import_Export!$AI79*$B19+GREET1_Import_Export!$D489)+B$32*SUM(GREET1_Import_Export!$B278:$C278)+B$33*SUM(GREET1_Import_Export!$AJ322:$AK322)+B$35*[1]!T2lb*Mat_Sum!$CF43</f>
        <v>26.934471600618181</v>
      </c>
      <c r="C62" s="502"/>
      <c r="D62" s="505">
        <f ca="1">Silicon!D$25*(Silicon!D$12*(GREET1_Import_Export!$K79)+GREET1_Import_Export!$F$200*GREET1_Import_Export!$B208+GREET1_Import_Export!$F208)+Silicon!D$26*(Silicon!D$12*(GREET1_Import_Export!$O79)+GREET1_Import_Export!$G$200*GREET1_Import_Export!$B208+GREET1_Import_Export!$G208)+Silicon!D$27*(Silicon!D$12*(Silicon!$B$5*GREET1_Import_Export!$B79)+GREET1_Import_Export!$B244)+Silicon!D$28*(Silicon!D$12*(Silicon!$B$6*GREET1_Import_Export!$AA79)+GREET1_Import_Export!$C297)+Silicon!D$34*(GREET1_Import_Export!$D322+GREET1_Import_Export!$E322)+D$29*(GREET1_Import_Export!$AC79*$B19+GREET1_Import_Export!$B208*GREET1_Import_Export!$I$179+GREET1_Import_Export!$I208)+D$30*(GREET1_Import_Export!$AD79*$B19+GREET1_Import_Export!$D489)+D$31*(GREET1_Import_Export!$AI79*$B19+GREET1_Import_Export!$D489)+D$32*SUM(GREET1_Import_Export!$B278:$C278)+D$33*SUM(GREET1_Import_Export!$AJ322:$AK322)+D$35*[1]!T2lb*Mat_Sum!$CF43</f>
        <v>120.22091852506229</v>
      </c>
      <c r="E62" s="505"/>
      <c r="F62" s="503">
        <f ca="1">Silicon!F$25*(Silicon!F$12*(GREET1_Import_Export!$K79)+GREET1_Import_Export!$F$200*GREET1_Import_Export!$B208+GREET1_Import_Export!$F208)+Silicon!F$26*(Silicon!F$12*(GREET1_Import_Export!$O79)+GREET1_Import_Export!$G$200*GREET1_Import_Export!$B208+GREET1_Import_Export!$G208)+Silicon!F$27*(Silicon!F$12*(Silicon!$B$5*GREET1_Import_Export!$B79)+GREET1_Import_Export!$B244)+Silicon!F$28*(Silicon!F$12*(Silicon!$B$6*GREET1_Import_Export!$AA79)+GREET1_Import_Export!$C297)+Silicon!F$34*(GREET1_Import_Export!$D322+GREET1_Import_Export!$E322)+F$29*(GREET1_Import_Export!$AC79*$B19+GREET1_Import_Export!$B208*GREET1_Import_Export!$I$179+GREET1_Import_Export!$I208)+F$30*(GREET1_Import_Export!$AD79*$B19+GREET1_Import_Export!$D489)+F$31*(GREET1_Import_Export!$AI79*$B19+GREET1_Import_Export!$D489)+F$32*SUM(GREET1_Import_Export!$B278:$C278)+F$33*SUM(GREET1_Import_Export!$AJ322:$AK322)+F$35*[1]!T2lb*Mat_Sum!$CF43</f>
        <v>375.63367355943097</v>
      </c>
      <c r="G62" s="502"/>
      <c r="H62" s="505">
        <f ca="1">Silicon!H$25*(Silicon!H$12*(GREET1_Import_Export!$K79)+GREET1_Import_Export!$F$200*GREET1_Import_Export!$B208+GREET1_Import_Export!$F208)+Silicon!H$26*(Silicon!H$12*(GREET1_Import_Export!$O79)+GREET1_Import_Export!$G$200*GREET1_Import_Export!$B208+GREET1_Import_Export!$G208)+Silicon!H$27*(Silicon!H$12*(Silicon!$B$5*GREET1_Import_Export!$B79)+GREET1_Import_Export!$B244)+Silicon!H$28*(Silicon!H$12*(Silicon!$B$6*GREET1_Import_Export!$AA79)+GREET1_Import_Export!$C297)+Silicon!H$34*(GREET1_Import_Export!$D322+GREET1_Import_Export!$E322)+H$29*(GREET1_Import_Export!$AC79*$B19+GREET1_Import_Export!$B208*GREET1_Import_Export!$I$179+GREET1_Import_Export!$I208)+H$30*(GREET1_Import_Export!$AD79*$B19+GREET1_Import_Export!$D489)+H$31*(GREET1_Import_Export!$AI79*$B19+GREET1_Import_Export!$D489)+H$32*SUM(GREET1_Import_Export!$B278:$C278)+H$33*SUM(GREET1_Import_Export!$AJ322:$AK322)+H$35*[1]!T2lb*Mat_Sum!$CF43</f>
        <v>1005.0367263735101</v>
      </c>
      <c r="I62" s="505"/>
      <c r="J62" s="503">
        <f ca="1">Silicon!J$25*(Silicon!J$12*(GREET1_Import_Export!$K79)+GREET1_Import_Export!$F$200*GREET1_Import_Export!$B208+GREET1_Import_Export!$F208)+Silicon!J$26*(Silicon!J$12*(GREET1_Import_Export!$O79)+GREET1_Import_Export!$G$200*GREET1_Import_Export!$B208+GREET1_Import_Export!$G208)+Silicon!J$27*(Silicon!J$12*(Silicon!$B$5*GREET1_Import_Export!$B79)+GREET1_Import_Export!$B244)+Silicon!J$28*(Silicon!J$12*(Silicon!$B$6*GREET1_Import_Export!$AA79)+GREET1_Import_Export!$C297)+Silicon!J$34*(GREET1_Import_Export!$D322+GREET1_Import_Export!$E322)+J$29*(GREET1_Import_Export!$AC79*$B19+GREET1_Import_Export!$B208*GREET1_Import_Export!$I$179+GREET1_Import_Export!$I208)+J$30*(GREET1_Import_Export!$AD79*$B19+GREET1_Import_Export!$D489)+J$31*(GREET1_Import_Export!$AI79*$B19+GREET1_Import_Export!$D489)+J$32*SUM(GREET1_Import_Export!$B278:$C278)+J$33*SUM(GREET1_Import_Export!$AJ322:$AK322)+J$35*[1]!T2lb*Mat_Sum!$CF43</f>
        <v>1674.7774934090094</v>
      </c>
      <c r="K62" s="502"/>
      <c r="L62" s="505">
        <f>Silicon!L$25*(Silicon!L$12*(GREET1_Import_Export!$K79)+GREET1_Import_Export!$F$200*GREET1_Import_Export!$B208+GREET1_Import_Export!$F208)+Silicon!L$26*(Silicon!L$12*(GREET1_Import_Export!$O79)+GREET1_Import_Export!$G$200*GREET1_Import_Export!$B208+GREET1_Import_Export!$G208)+Silicon!L$27*(Silicon!L$12*(Silicon!$C$5*GREET1_Import_Export!$B79)+GREET1_Import_Export!$B244)+Silicon!L$28*(Silicon!L$12*(Silicon!$C$6*GREET1_Import_Export!$AA79)+GREET1_Import_Export!$C297)+Silicon!L$34*(GREET1_Import_Export!$D322+GREET1_Import_Export!$E322)</f>
        <v>0.1023623945723063</v>
      </c>
      <c r="M62" s="502"/>
      <c r="N62" s="349"/>
    </row>
    <row r="63" spans="1:14" s="496" customFormat="1">
      <c r="A63" s="349"/>
      <c r="B63" s="349"/>
      <c r="C63" s="349"/>
      <c r="D63" s="349"/>
      <c r="E63" s="349"/>
      <c r="F63" s="349"/>
      <c r="G63" s="349"/>
      <c r="H63" s="349"/>
      <c r="I63" s="349"/>
      <c r="J63" s="349"/>
      <c r="K63" s="349"/>
      <c r="L63" s="349"/>
      <c r="M63" s="349"/>
      <c r="N63" s="349"/>
    </row>
    <row r="64" spans="1:14" s="496" customFormat="1" ht="15">
      <c r="A64" s="602" t="s">
        <v>1356</v>
      </c>
      <c r="B64" s="349"/>
      <c r="C64" s="349"/>
      <c r="D64" s="349"/>
      <c r="E64" s="349"/>
      <c r="F64" s="349"/>
      <c r="G64" s="349"/>
      <c r="H64" s="349"/>
      <c r="I64" s="349"/>
      <c r="J64" s="349"/>
      <c r="K64" s="349"/>
      <c r="L64" s="349"/>
      <c r="M64" s="349"/>
      <c r="N64" s="349"/>
    </row>
    <row r="65" spans="1:14" s="496" customFormat="1" ht="24" customHeight="1">
      <c r="A65" s="699"/>
      <c r="B65" s="3072" t="s">
        <v>1357</v>
      </c>
      <c r="C65" s="3073"/>
      <c r="D65" s="3079" t="s">
        <v>1358</v>
      </c>
      <c r="E65" s="3079"/>
      <c r="F65" s="3072" t="s">
        <v>1359</v>
      </c>
      <c r="G65" s="3073"/>
      <c r="H65" s="3079" t="s">
        <v>1360</v>
      </c>
      <c r="I65" s="3079"/>
      <c r="J65" s="3072" t="s">
        <v>1361</v>
      </c>
      <c r="K65" s="3073"/>
      <c r="L65" s="349"/>
      <c r="M65" s="349"/>
      <c r="N65" s="349"/>
    </row>
    <row r="66" spans="1:14" s="496" customFormat="1" ht="12.75" customHeight="1">
      <c r="A66" s="173" t="s">
        <v>1362</v>
      </c>
      <c r="B66" s="212">
        <v>0</v>
      </c>
      <c r="C66" s="184"/>
      <c r="D66" s="183">
        <v>0</v>
      </c>
      <c r="E66" s="183"/>
      <c r="F66" s="212">
        <v>1</v>
      </c>
      <c r="G66" s="184"/>
      <c r="H66" s="183">
        <v>0</v>
      </c>
      <c r="I66" s="183"/>
      <c r="J66" s="212"/>
      <c r="K66" s="184"/>
    </row>
    <row r="67" spans="1:14" s="496" customFormat="1" ht="12.75" customHeight="1">
      <c r="A67" s="173" t="s">
        <v>1363</v>
      </c>
      <c r="B67" s="212">
        <v>0</v>
      </c>
      <c r="C67" s="184"/>
      <c r="D67" s="183">
        <v>1</v>
      </c>
      <c r="E67" s="183"/>
      <c r="F67" s="212">
        <v>0</v>
      </c>
      <c r="G67" s="184"/>
      <c r="H67" s="183">
        <v>0</v>
      </c>
      <c r="I67" s="183"/>
      <c r="J67" s="212"/>
      <c r="K67" s="184"/>
    </row>
    <row r="68" spans="1:14" s="496" customFormat="1" ht="12.75" customHeight="1">
      <c r="A68" s="173" t="s">
        <v>1364</v>
      </c>
      <c r="B68" s="212">
        <v>0.5</v>
      </c>
      <c r="C68" s="184"/>
      <c r="D68" s="183">
        <v>0</v>
      </c>
      <c r="E68" s="183"/>
      <c r="F68" s="212">
        <v>0</v>
      </c>
      <c r="G68" s="184"/>
      <c r="H68" s="183">
        <v>0</v>
      </c>
      <c r="I68" s="183"/>
      <c r="J68" s="212"/>
      <c r="K68" s="184"/>
    </row>
    <row r="69" spans="1:14" s="496" customFormat="1" ht="12.75" customHeight="1">
      <c r="A69" s="173" t="s">
        <v>1365</v>
      </c>
      <c r="B69" s="212">
        <v>0.5</v>
      </c>
      <c r="C69" s="184"/>
      <c r="D69" s="183">
        <v>0</v>
      </c>
      <c r="E69" s="183"/>
      <c r="F69" s="212">
        <v>0</v>
      </c>
      <c r="G69" s="184"/>
      <c r="H69" s="183">
        <v>0</v>
      </c>
      <c r="I69" s="183"/>
      <c r="J69" s="212"/>
      <c r="K69" s="184"/>
    </row>
    <row r="70" spans="1:14" s="496" customFormat="1" ht="12.75" customHeight="1">
      <c r="A70" s="173" t="s">
        <v>1366</v>
      </c>
      <c r="B70" s="212">
        <f>1-SUM(B66:B69)</f>
        <v>0</v>
      </c>
      <c r="C70" s="184"/>
      <c r="D70" s="183">
        <f>1-SUM(D66:D69)</f>
        <v>0</v>
      </c>
      <c r="E70" s="183"/>
      <c r="F70" s="212">
        <f>1-SUM(F66:F69)</f>
        <v>0</v>
      </c>
      <c r="G70" s="184"/>
      <c r="H70" s="183">
        <f>1-SUM(H66:H69)</f>
        <v>1</v>
      </c>
      <c r="I70" s="183"/>
      <c r="J70" s="212"/>
      <c r="K70" s="184"/>
    </row>
    <row r="71" spans="1:14" s="496" customFormat="1" ht="12.75" customHeight="1">
      <c r="A71" s="609" t="s">
        <v>1029</v>
      </c>
      <c r="B71" s="679" t="s">
        <v>845</v>
      </c>
      <c r="C71" s="615" t="s">
        <v>846</v>
      </c>
      <c r="D71" s="679" t="s">
        <v>845</v>
      </c>
      <c r="E71" s="615" t="s">
        <v>846</v>
      </c>
      <c r="F71" s="679" t="s">
        <v>845</v>
      </c>
      <c r="G71" s="615" t="s">
        <v>846</v>
      </c>
      <c r="H71" s="679" t="s">
        <v>845</v>
      </c>
      <c r="I71" s="615" t="s">
        <v>846</v>
      </c>
      <c r="J71" s="679" t="s">
        <v>845</v>
      </c>
      <c r="K71" s="673" t="s">
        <v>846</v>
      </c>
    </row>
    <row r="72" spans="1:14" s="496" customFormat="1">
      <c r="A72" s="347" t="s">
        <v>816</v>
      </c>
      <c r="B72" s="494">
        <f ca="1">B$66*$B36+B$67*$D36+B$68*$F36+B$69*$H36+B$70*$J36</f>
        <v>3145.0189281615067</v>
      </c>
      <c r="C72" s="349">
        <f ca="1">B72/2000</f>
        <v>1.5725094640807533</v>
      </c>
      <c r="D72" s="494">
        <f ca="1">D$66*$B36+D$67*$D36+D$68*$F36+D$69*$H36+D$70*$J36</f>
        <v>817.70455995651548</v>
      </c>
      <c r="E72" s="349">
        <f ca="1">D72/2000</f>
        <v>0.40885227997825774</v>
      </c>
      <c r="F72" s="494">
        <f t="shared" ref="F72:F77" ca="1" si="4">F$66*$B36+F$67*$D36+F$68*$F36+F$69*$H36+F$70*$J36</f>
        <v>131.09517490344015</v>
      </c>
      <c r="G72" s="349">
        <f ca="1">F72/2000</f>
        <v>6.5547587451720082E-2</v>
      </c>
      <c r="H72" s="494">
        <f t="shared" ref="H72:H77" ca="1" si="5">H$66*$B36+H$67*$D36+H$68*$F36+H$69*$H36+H$70*$J36</f>
        <v>6865.2648194236608</v>
      </c>
      <c r="I72" s="349">
        <f ca="1">H72/2000</f>
        <v>3.4326324097118306</v>
      </c>
      <c r="J72" s="494">
        <f>L36</f>
        <v>0.3244888421248136</v>
      </c>
      <c r="K72" s="348">
        <f>J72/2000</f>
        <v>1.6224442106240681E-4</v>
      </c>
    </row>
    <row r="73" spans="1:14" s="496" customFormat="1">
      <c r="A73" s="347" t="s">
        <v>817</v>
      </c>
      <c r="B73" s="494">
        <f t="shared" ref="B73:D89" ca="1" si="6">B$66*$B37+B$67*$D37+B$68*$F37+B$69*$H37+B$70*$J37</f>
        <v>2260.4633948052051</v>
      </c>
      <c r="C73" s="349">
        <f ca="1">B73/2000</f>
        <v>1.1302316974026025</v>
      </c>
      <c r="D73" s="494">
        <f t="shared" ca="1" si="6"/>
        <v>505.96042150858096</v>
      </c>
      <c r="E73" s="349">
        <f ca="1">D73/2000</f>
        <v>0.2529802107542905</v>
      </c>
      <c r="F73" s="494">
        <f t="shared" ca="1" si="4"/>
        <v>94.29057529866175</v>
      </c>
      <c r="G73" s="349">
        <f ca="1">F73/2000</f>
        <v>4.7145287649330875E-2</v>
      </c>
      <c r="H73" s="494">
        <f t="shared" ca="1" si="5"/>
        <v>5322.3888484526024</v>
      </c>
      <c r="I73" s="349">
        <f ca="1">H73/2000</f>
        <v>2.6611944242263013</v>
      </c>
      <c r="J73" s="494">
        <f>L37</f>
        <v>0.25699982631631285</v>
      </c>
      <c r="K73" s="348">
        <f>J73/2000</f>
        <v>1.2849991315815642E-4</v>
      </c>
    </row>
    <row r="74" spans="1:14" s="496" customFormat="1">
      <c r="A74" s="347" t="s">
        <v>805</v>
      </c>
      <c r="B74" s="494">
        <f t="shared" ca="1" si="6"/>
        <v>644.15492176432224</v>
      </c>
      <c r="C74" s="349">
        <f ca="1">B74/2000</f>
        <v>0.3220774608821611</v>
      </c>
      <c r="D74" s="494">
        <f t="shared" ca="1" si="6"/>
        <v>121.98449556277525</v>
      </c>
      <c r="E74" s="349">
        <f ca="1">D74/2000</f>
        <v>6.0992247781387628E-2</v>
      </c>
      <c r="F74" s="494">
        <f t="shared" ca="1" si="4"/>
        <v>39.131314867206534</v>
      </c>
      <c r="G74" s="349">
        <f ca="1">F74/2000</f>
        <v>1.9565657433603268E-2</v>
      </c>
      <c r="H74" s="494">
        <f t="shared" ca="1" si="5"/>
        <v>1519.8830048103343</v>
      </c>
      <c r="I74" s="349">
        <f ca="1">H74/2000</f>
        <v>0.75994150240516722</v>
      </c>
      <c r="J74" s="494">
        <f>L38</f>
        <v>8.9215317772782882E-2</v>
      </c>
      <c r="K74" s="348">
        <f>J74/2000</f>
        <v>4.4607658886391439E-5</v>
      </c>
    </row>
    <row r="75" spans="1:14" s="496" customFormat="1">
      <c r="A75" s="347" t="s">
        <v>804</v>
      </c>
      <c r="B75" s="494">
        <f t="shared" ca="1" si="6"/>
        <v>1547.0530121174734</v>
      </c>
      <c r="C75" s="349">
        <f ca="1">C73-C74-C76</f>
        <v>0.77352650605873663</v>
      </c>
      <c r="D75" s="494">
        <f t="shared" ca="1" si="6"/>
        <v>360.85561508386485</v>
      </c>
      <c r="E75" s="349">
        <f ca="1">E73-E74-E76</f>
        <v>0.18042780754193244</v>
      </c>
      <c r="F75" s="494">
        <f t="shared" ca="1" si="4"/>
        <v>37.413075901871046</v>
      </c>
      <c r="G75" s="349">
        <f ca="1">G73-G74-G76</f>
        <v>1.870653795093552E-2</v>
      </c>
      <c r="H75" s="494">
        <f t="shared" ca="1" si="5"/>
        <v>3681.3254034751844</v>
      </c>
      <c r="I75" s="349">
        <f ca="1">I73-I74-I76</f>
        <v>1.8406627017375925</v>
      </c>
      <c r="J75" s="494">
        <f>J73-J74-J76</f>
        <v>0.16499343852676582</v>
      </c>
      <c r="K75" s="348">
        <f>K73-K74-K76</f>
        <v>8.2496719263382907E-5</v>
      </c>
    </row>
    <row r="76" spans="1:14" s="496" customFormat="1">
      <c r="A76" s="503" t="s">
        <v>818</v>
      </c>
      <c r="B76" s="494">
        <f t="shared" ca="1" si="6"/>
        <v>69.255460923409814</v>
      </c>
      <c r="C76" s="349">
        <f ca="1">B76/2000</f>
        <v>3.4627730461704906E-2</v>
      </c>
      <c r="D76" s="494">
        <f t="shared" ca="1" si="6"/>
        <v>23.120310861940904</v>
      </c>
      <c r="E76" s="349">
        <f ca="1">D76/2000</f>
        <v>1.1560155430970453E-2</v>
      </c>
      <c r="F76" s="494">
        <f t="shared" ca="1" si="4"/>
        <v>17.74618452958417</v>
      </c>
      <c r="G76" s="349">
        <f ca="1">F76/2000</f>
        <v>8.8730922647920849E-3</v>
      </c>
      <c r="H76" s="494">
        <f t="shared" ca="1" si="5"/>
        <v>121.18044016708328</v>
      </c>
      <c r="I76" s="349">
        <f ca="1">H76/2000</f>
        <v>6.0590220083541639E-2</v>
      </c>
      <c r="J76" s="494">
        <f>L40</f>
        <v>2.7910700167641414E-3</v>
      </c>
      <c r="K76" s="348">
        <f>J76/2000</f>
        <v>1.3955350083820707E-6</v>
      </c>
    </row>
    <row r="77" spans="1:14" s="496" customFormat="1">
      <c r="A77" s="503" t="s">
        <v>819</v>
      </c>
      <c r="B77" s="1504">
        <f t="shared" ca="1" si="6"/>
        <v>313939.77516951179</v>
      </c>
      <c r="C77" s="1571">
        <f ca="1">B77/2000</f>
        <v>156.9698875847559</v>
      </c>
      <c r="D77" s="1504">
        <f t="shared" ca="1" si="6"/>
        <v>130710.03512279493</v>
      </c>
      <c r="E77" s="1571">
        <f ca="1">D77/2000</f>
        <v>65.35501756139746</v>
      </c>
      <c r="F77" s="1504">
        <f t="shared" ca="1" si="4"/>
        <v>4411.6761218208585</v>
      </c>
      <c r="G77" s="1571">
        <f ca="1">F77/2000</f>
        <v>2.2058380609104291</v>
      </c>
      <c r="H77" s="1504">
        <f t="shared" ca="1" si="5"/>
        <v>474817.33588334091</v>
      </c>
      <c r="I77" s="1571">
        <f ca="1">H77/2000</f>
        <v>237.40866794167044</v>
      </c>
      <c r="J77" s="1504">
        <f>L41</f>
        <v>17.38965951619959</v>
      </c>
      <c r="K77" s="1573">
        <f>J77/2000</f>
        <v>8.6948297580997942E-3</v>
      </c>
    </row>
    <row r="78" spans="1:14" s="496" customFormat="1">
      <c r="A78" s="699" t="s">
        <v>1030</v>
      </c>
      <c r="B78" s="679" t="s">
        <v>845</v>
      </c>
      <c r="C78" s="615" t="s">
        <v>846</v>
      </c>
      <c r="D78" s="679" t="s">
        <v>845</v>
      </c>
      <c r="E78" s="615" t="s">
        <v>846</v>
      </c>
      <c r="F78" s="679" t="s">
        <v>845</v>
      </c>
      <c r="G78" s="615" t="s">
        <v>846</v>
      </c>
      <c r="H78" s="679" t="s">
        <v>845</v>
      </c>
      <c r="I78" s="615" t="s">
        <v>846</v>
      </c>
      <c r="J78" s="679" t="s">
        <v>845</v>
      </c>
      <c r="K78" s="673" t="s">
        <v>846</v>
      </c>
    </row>
    <row r="79" spans="1:14" s="496" customFormat="1">
      <c r="A79" s="347" t="s">
        <v>821</v>
      </c>
      <c r="B79" s="494">
        <f t="shared" ca="1" si="6"/>
        <v>20891.776708474361</v>
      </c>
      <c r="C79" s="349">
        <f t="shared" ref="C79:C90" ca="1" si="7">B79/2000</f>
        <v>10.44588835423718</v>
      </c>
      <c r="D79" s="494">
        <f t="shared" ca="1" si="6"/>
        <v>4916.9270134715371</v>
      </c>
      <c r="E79" s="349">
        <f t="shared" ref="E79:E90" ca="1" si="8">D79/2000</f>
        <v>2.4584635067357685</v>
      </c>
      <c r="F79" s="494">
        <f t="shared" ref="F79:F89" ca="1" si="9">F$66*$B43+F$67*$D43+F$68*$F43+F$69*$H43+F$70*$J43</f>
        <v>835.64216204424497</v>
      </c>
      <c r="G79" s="349">
        <f t="shared" ref="G79:G90" ca="1" si="10">F79/2000</f>
        <v>0.41782108102212251</v>
      </c>
      <c r="H79" s="494">
        <f t="shared" ref="H79:H89" ca="1" si="11">H$66*$B43+H$67*$D43+H$68*$F43+H$69*$H43+H$70*$J43</f>
        <v>48951.727193992789</v>
      </c>
      <c r="I79" s="349">
        <f t="shared" ref="I79:I90" ca="1" si="12">H79/2000</f>
        <v>24.475863596996394</v>
      </c>
      <c r="J79" s="494">
        <f t="shared" ref="J79:J89" si="13">SUM(L43:M43)</f>
        <v>2.2170989710903699</v>
      </c>
      <c r="K79" s="348">
        <f t="shared" ref="K79:K90" si="14">J79/2000</f>
        <v>1.1085494855451849E-3</v>
      </c>
    </row>
    <row r="80" spans="1:14" s="496" customFormat="1">
      <c r="A80" s="347" t="s">
        <v>822</v>
      </c>
      <c r="B80" s="494">
        <f t="shared" ca="1" si="6"/>
        <v>66052.015038429294</v>
      </c>
      <c r="C80" s="349">
        <f t="shared" ca="1" si="7"/>
        <v>33.026007519214645</v>
      </c>
      <c r="D80" s="494">
        <f t="shared" ca="1" si="6"/>
        <v>17109.93421974171</v>
      </c>
      <c r="E80" s="349">
        <f t="shared" ca="1" si="8"/>
        <v>8.5549671098708551</v>
      </c>
      <c r="F80" s="494">
        <f t="shared" ca="1" si="9"/>
        <v>2989.8409097412227</v>
      </c>
      <c r="G80" s="349">
        <f t="shared" ca="1" si="10"/>
        <v>1.4949204548706114</v>
      </c>
      <c r="H80" s="494">
        <f t="shared" ca="1" si="11"/>
        <v>151970.36226437107</v>
      </c>
      <c r="I80" s="349">
        <f t="shared" ca="1" si="12"/>
        <v>75.985181132185531</v>
      </c>
      <c r="J80" s="494">
        <f t="shared" si="13"/>
        <v>5.9927948206956136</v>
      </c>
      <c r="K80" s="348">
        <f t="shared" si="14"/>
        <v>2.996397410347807E-3</v>
      </c>
    </row>
    <row r="81" spans="1:11" s="496" customFormat="1">
      <c r="A81" s="347" t="s">
        <v>849</v>
      </c>
      <c r="B81" s="494">
        <f t="shared" ca="1" si="6"/>
        <v>130646.24135098234</v>
      </c>
      <c r="C81" s="349">
        <f t="shared" ca="1" si="7"/>
        <v>65.323120675491168</v>
      </c>
      <c r="D81" s="494">
        <f t="shared" ca="1" si="6"/>
        <v>33150.77524848107</v>
      </c>
      <c r="E81" s="349">
        <f t="shared" ca="1" si="8"/>
        <v>16.575387624240534</v>
      </c>
      <c r="F81" s="494">
        <f t="shared" ca="1" si="9"/>
        <v>9585.3052824899423</v>
      </c>
      <c r="G81" s="349">
        <f t="shared" ca="1" si="10"/>
        <v>4.7926526412449713</v>
      </c>
      <c r="H81" s="494">
        <f t="shared" ca="1" si="11"/>
        <v>293628.85921591887</v>
      </c>
      <c r="I81" s="349">
        <f t="shared" ca="1" si="12"/>
        <v>146.81442960795943</v>
      </c>
      <c r="J81" s="494">
        <f t="shared" si="13"/>
        <v>12.345529776973724</v>
      </c>
      <c r="K81" s="348">
        <f t="shared" si="14"/>
        <v>6.1727648884868621E-3</v>
      </c>
    </row>
    <row r="82" spans="1:11" s="496" customFormat="1">
      <c r="A82" s="347" t="s">
        <v>824</v>
      </c>
      <c r="B82" s="494">
        <f t="shared" ca="1" si="6"/>
        <v>17023.896614787485</v>
      </c>
      <c r="C82" s="349">
        <f t="shared" ca="1" si="7"/>
        <v>8.5119483073937428</v>
      </c>
      <c r="D82" s="494">
        <f t="shared" ca="1" si="6"/>
        <v>3776.5410293115083</v>
      </c>
      <c r="E82" s="349">
        <f t="shared" ca="1" si="8"/>
        <v>1.8882705146557541</v>
      </c>
      <c r="F82" s="494">
        <f t="shared" ca="1" si="9"/>
        <v>1266.9273407520423</v>
      </c>
      <c r="G82" s="349">
        <f t="shared" ca="1" si="10"/>
        <v>0.63346367037602114</v>
      </c>
      <c r="H82" s="494">
        <f t="shared" ca="1" si="11"/>
        <v>38938.575667296369</v>
      </c>
      <c r="I82" s="349">
        <f t="shared" ca="1" si="12"/>
        <v>19.469287833648185</v>
      </c>
      <c r="J82" s="494">
        <f t="shared" si="13"/>
        <v>1.976226349849568</v>
      </c>
      <c r="K82" s="348">
        <f t="shared" si="14"/>
        <v>9.8811317492478396E-4</v>
      </c>
    </row>
    <row r="83" spans="1:11" s="496" customFormat="1">
      <c r="A83" s="347" t="s">
        <v>825</v>
      </c>
      <c r="B83" s="494">
        <f t="shared" ca="1" si="6"/>
        <v>10684.878884853144</v>
      </c>
      <c r="C83" s="349">
        <f t="shared" ca="1" si="7"/>
        <v>5.3424394424265724</v>
      </c>
      <c r="D83" s="494">
        <f t="shared" ca="1" si="6"/>
        <v>2446.7419261324121</v>
      </c>
      <c r="E83" s="349">
        <f t="shared" ca="1" si="8"/>
        <v>1.223370963066206</v>
      </c>
      <c r="F83" s="494">
        <f t="shared" ca="1" si="9"/>
        <v>704.07760010436425</v>
      </c>
      <c r="G83" s="349">
        <f t="shared" ca="1" si="10"/>
        <v>0.35203880005218213</v>
      </c>
      <c r="H83" s="494">
        <f t="shared" ca="1" si="11"/>
        <v>24533.506568115503</v>
      </c>
      <c r="I83" s="349">
        <f t="shared" ca="1" si="12"/>
        <v>12.266753284057751</v>
      </c>
      <c r="J83" s="494">
        <f t="shared" si="13"/>
        <v>1.1862684494704534</v>
      </c>
      <c r="K83" s="348">
        <f t="shared" si="14"/>
        <v>5.9313422473522667E-4</v>
      </c>
    </row>
    <row r="84" spans="1:11" s="496" customFormat="1">
      <c r="A84" s="347" t="s">
        <v>826</v>
      </c>
      <c r="B84" s="494">
        <f t="shared" ca="1" si="6"/>
        <v>113943.34913509723</v>
      </c>
      <c r="C84" s="349">
        <f t="shared" ca="1" si="7"/>
        <v>56.971674567548618</v>
      </c>
      <c r="D84" s="494">
        <f t="shared" ca="1" si="6"/>
        <v>29510.944302904209</v>
      </c>
      <c r="E84" s="349">
        <f t="shared" ca="1" si="8"/>
        <v>14.755472151452103</v>
      </c>
      <c r="F84" s="494">
        <f t="shared" ca="1" si="9"/>
        <v>16532.957374960046</v>
      </c>
      <c r="G84" s="349">
        <f t="shared" ca="1" si="10"/>
        <v>8.2664786874800225</v>
      </c>
      <c r="H84" s="494">
        <f t="shared" ca="1" si="11"/>
        <v>237771.41628213431</v>
      </c>
      <c r="I84" s="349">
        <f t="shared" ca="1" si="12"/>
        <v>118.88570814106716</v>
      </c>
      <c r="J84" s="494">
        <f t="shared" si="13"/>
        <v>10.365774980288416</v>
      </c>
      <c r="K84" s="348">
        <f t="shared" si="14"/>
        <v>5.1828874901442079E-3</v>
      </c>
    </row>
    <row r="85" spans="1:11" s="496" customFormat="1">
      <c r="A85" s="749" t="s">
        <v>827</v>
      </c>
      <c r="B85" s="494">
        <f t="shared" ca="1" si="6"/>
        <v>845.97781123991626</v>
      </c>
      <c r="C85" s="349">
        <f t="shared" ca="1" si="7"/>
        <v>0.42298890561995811</v>
      </c>
      <c r="D85" s="494">
        <f t="shared" ca="1" si="6"/>
        <v>225.08285572594701</v>
      </c>
      <c r="E85" s="349">
        <f t="shared" ca="1" si="8"/>
        <v>0.11254142786297351</v>
      </c>
      <c r="F85" s="494">
        <f t="shared" ca="1" si="9"/>
        <v>47.874585822870749</v>
      </c>
      <c r="G85" s="349">
        <f t="shared" ca="1" si="10"/>
        <v>2.3937292911435374E-2</v>
      </c>
      <c r="H85" s="494">
        <f t="shared" ca="1" si="11"/>
        <v>1917.9308193848931</v>
      </c>
      <c r="I85" s="349">
        <f t="shared" ca="1" si="12"/>
        <v>0.95896540969244659</v>
      </c>
      <c r="J85" s="494">
        <f t="shared" si="13"/>
        <v>7.2379691275648889E-2</v>
      </c>
      <c r="K85" s="348">
        <f t="shared" si="14"/>
        <v>3.6189845637824442E-5</v>
      </c>
    </row>
    <row r="86" spans="1:11" s="496" customFormat="1">
      <c r="A86" s="749" t="s">
        <v>828</v>
      </c>
      <c r="B86" s="494">
        <f t="shared" ca="1" si="6"/>
        <v>3024.423565663426</v>
      </c>
      <c r="C86" s="349">
        <f t="shared" ca="1" si="7"/>
        <v>1.512211782831713</v>
      </c>
      <c r="D86" s="494">
        <f t="shared" ca="1" si="6"/>
        <v>679.90947298905064</v>
      </c>
      <c r="E86" s="349">
        <f t="shared" ca="1" si="8"/>
        <v>0.33995473649452534</v>
      </c>
      <c r="F86" s="494">
        <f t="shared" ca="1" si="9"/>
        <v>104.60120384200921</v>
      </c>
      <c r="G86" s="349">
        <f t="shared" ca="1" si="10"/>
        <v>5.2300601921004608E-2</v>
      </c>
      <c r="H86" s="494">
        <f t="shared" ca="1" si="11"/>
        <v>7164.1816575570256</v>
      </c>
      <c r="I86" s="349">
        <f t="shared" ca="1" si="12"/>
        <v>3.5820908287785129</v>
      </c>
      <c r="J86" s="494">
        <f t="shared" si="13"/>
        <v>0.34450979503276108</v>
      </c>
      <c r="K86" s="348">
        <f t="shared" si="14"/>
        <v>1.7225489751638055E-4</v>
      </c>
    </row>
    <row r="87" spans="1:11" s="496" customFormat="1">
      <c r="A87" s="347" t="s">
        <v>829</v>
      </c>
      <c r="B87" s="494">
        <f t="shared" ca="1" si="6"/>
        <v>385737.45874626504</v>
      </c>
      <c r="C87" s="349">
        <f t="shared" ca="1" si="7"/>
        <v>192.86872937313251</v>
      </c>
      <c r="D87" s="494">
        <f t="shared" ca="1" si="6"/>
        <v>87940.795833951459</v>
      </c>
      <c r="E87" s="349">
        <f t="shared" ca="1" si="8"/>
        <v>43.970397916975728</v>
      </c>
      <c r="F87" s="494">
        <f t="shared" ca="1" si="9"/>
        <v>14164.750731114102</v>
      </c>
      <c r="G87" s="349">
        <f t="shared" ca="1" si="10"/>
        <v>7.0823753655570512</v>
      </c>
      <c r="H87" s="494">
        <f t="shared" ca="1" si="11"/>
        <v>910283.93018673849</v>
      </c>
      <c r="I87" s="349">
        <f t="shared" ca="1" si="12"/>
        <v>455.14196509336927</v>
      </c>
      <c r="J87" s="494">
        <f t="shared" si="13"/>
        <v>42.864029631375992</v>
      </c>
      <c r="K87" s="348">
        <f t="shared" si="14"/>
        <v>2.1432014815687996E-2</v>
      </c>
    </row>
    <row r="88" spans="1:11" s="496" customFormat="1">
      <c r="A88" s="347" t="s">
        <v>830</v>
      </c>
      <c r="B88" s="494">
        <f t="shared" ca="1" si="6"/>
        <v>4032.3777488849919</v>
      </c>
      <c r="C88" s="349">
        <f t="shared" ca="1" si="7"/>
        <v>2.0161888744424958</v>
      </c>
      <c r="D88" s="494">
        <f t="shared" ca="1" si="6"/>
        <v>1011.8214460609629</v>
      </c>
      <c r="E88" s="349">
        <f t="shared" ca="1" si="8"/>
        <v>0.50591072303048146</v>
      </c>
      <c r="F88" s="494">
        <f t="shared" ca="1" si="9"/>
        <v>290.06434593055337</v>
      </c>
      <c r="G88" s="349">
        <f t="shared" ca="1" si="10"/>
        <v>0.14503217296527668</v>
      </c>
      <c r="H88" s="494">
        <f t="shared" ca="1" si="11"/>
        <v>9090.2447599064508</v>
      </c>
      <c r="I88" s="349">
        <f t="shared" ca="1" si="12"/>
        <v>4.5451223799532254</v>
      </c>
      <c r="J88" s="494">
        <f t="shared" si="13"/>
        <v>0.38889700342821087</v>
      </c>
      <c r="K88" s="348">
        <f t="shared" si="14"/>
        <v>1.9444850171410543E-4</v>
      </c>
    </row>
    <row r="89" spans="1:11" s="535" customFormat="1">
      <c r="A89" s="517" t="s">
        <v>831</v>
      </c>
      <c r="B89" s="630">
        <f t="shared" ca="1" si="6"/>
        <v>162066582.21937898</v>
      </c>
      <c r="C89" s="419">
        <f t="shared" ca="1" si="7"/>
        <v>81033.291109689482</v>
      </c>
      <c r="D89" s="630">
        <f t="shared" ca="1" si="6"/>
        <v>35575875.513128079</v>
      </c>
      <c r="E89" s="419">
        <f t="shared" ca="1" si="8"/>
        <v>17787.937756564039</v>
      </c>
      <c r="F89" s="630">
        <f t="shared" ca="1" si="9"/>
        <v>7666065.0068557458</v>
      </c>
      <c r="G89" s="419">
        <f t="shared" ca="1" si="10"/>
        <v>3833.0325034278731</v>
      </c>
      <c r="H89" s="630">
        <f t="shared" ca="1" si="11"/>
        <v>380583913.66966754</v>
      </c>
      <c r="I89" s="419">
        <f t="shared" ca="1" si="12"/>
        <v>190291.95683483378</v>
      </c>
      <c r="J89" s="630">
        <f t="shared" si="13"/>
        <v>18939.684990490605</v>
      </c>
      <c r="K89" s="516">
        <f t="shared" si="14"/>
        <v>9.4698424952453024</v>
      </c>
    </row>
    <row r="90" spans="1:11" s="535" customFormat="1">
      <c r="A90" s="517" t="s">
        <v>850</v>
      </c>
      <c r="B90" s="630">
        <f ca="1">B89+B79*GREET1_Import_Export!$B$62/GREET1_Import_Export!$B$65+B80*GREET1_Import_Export!$B$63/GREET1_Import_Export!$B$65</f>
        <v>162235490.94708553</v>
      </c>
      <c r="C90" s="419">
        <f t="shared" ca="1" si="7"/>
        <v>81117.74547354276</v>
      </c>
      <c r="D90" s="630">
        <f ca="1">D89+D79*GREET1_Import_Export!$B$62/GREET1_Import_Export!$B$65+D80*GREET1_Import_Export!$B$63/GREET1_Import_Export!$B$65</f>
        <v>35618086.975141563</v>
      </c>
      <c r="E90" s="419">
        <f t="shared" ca="1" si="8"/>
        <v>17809.04348757078</v>
      </c>
      <c r="F90" s="630">
        <f ca="1">F89+F79*GREET1_Import_Export!$B$62/GREET1_Import_Export!$B$65+F80*GREET1_Import_Export!$B$63/GREET1_Import_Export!$B$65</f>
        <v>7673367.7463570442</v>
      </c>
      <c r="G90" s="419">
        <f t="shared" ca="1" si="10"/>
        <v>3836.6838731785219</v>
      </c>
      <c r="H90" s="630">
        <f ca="1">H89+H79*GREET1_Import_Export!$B$62/GREET1_Import_Export!$B$65+H80*GREET1_Import_Export!$B$63/GREET1_Import_Export!$B$65</f>
        <v>380975290.45536143</v>
      </c>
      <c r="I90" s="419">
        <f t="shared" ca="1" si="12"/>
        <v>190487.64522768071</v>
      </c>
      <c r="J90" s="630">
        <f>J89+J79*GREET1_Import_Export!$B$62/GREET1_Import_Export!$B$65+J80*GREET1_Import_Export!$B$63/GREET1_Import_Export!$B$65</f>
        <v>18956.012197954453</v>
      </c>
      <c r="K90" s="516">
        <f t="shared" si="14"/>
        <v>9.478006098977227</v>
      </c>
    </row>
    <row r="91" spans="1:11" s="535" customFormat="1">
      <c r="A91" s="668" t="s">
        <v>851</v>
      </c>
      <c r="B91" s="756">
        <f ca="1">B90+SUMPRODUCT(B87:B88,GREET1_Import_Export!$B$51:$B$52)+SUMPRODUCT(B79:B81,GREET1_Import_Export!$B$55:$B$57)+SUMPRODUCT(B85:B86,GREET1_Import_Export!$B$58:$B$59)</f>
        <v>174876194.81292799</v>
      </c>
      <c r="C91" s="374">
        <f ca="1">C90+SUMPRODUCT(C87:C88,GREET1_Import_Export!$B$51:$B$52)+SUMPRODUCT(C79:C81,GREET1_Import_Export!$B$55:$B$57)+SUMPRODUCT(C85:C86,GREET1_Import_Export!$B$58:$B$59)</f>
        <v>87438.097406463989</v>
      </c>
      <c r="D91" s="756">
        <f ca="1">D90+SUMPRODUCT(D87:D88,GREET1_Import_Export!$B$51:$B$52)+SUMPRODUCT(D79:D81,GREET1_Import_Export!$B$55:$B$57)+SUMPRODUCT(D85:D86,GREET1_Import_Export!$B$58:$B$59)</f>
        <v>38524443.533366263</v>
      </c>
      <c r="E91" s="374">
        <f ca="1">E90+SUMPRODUCT(E87:E88,GREET1_Import_Export!$B$51:$B$52)+SUMPRODUCT(E79:E81,GREET1_Import_Export!$B$55:$B$57)+SUMPRODUCT(E85:E86,GREET1_Import_Export!$B$58:$B$59)</f>
        <v>19262.221766683127</v>
      </c>
      <c r="F91" s="756">
        <f ca="1">F90+SUMPRODUCT(F87:F88,GREET1_Import_Export!$B$51:$B$52)+SUMPRODUCT(F79:F81,GREET1_Import_Export!$B$55:$B$57)+SUMPRODUCT(F85:F86,GREET1_Import_Export!$B$58:$B$59)</f>
        <v>8175177.3199620638</v>
      </c>
      <c r="G91" s="374">
        <f ca="1">G90+SUMPRODUCT(G87:G88,GREET1_Import_Export!$B$51:$B$52)+SUMPRODUCT(G79:G81,GREET1_Import_Export!$B$55:$B$57)+SUMPRODUCT(G85:G86,GREET1_Import_Export!$B$58:$B$59)</f>
        <v>4087.5886599810319</v>
      </c>
      <c r="H91" s="756">
        <f ca="1">H90+SUMPRODUCT(H87:H88,GREET1_Import_Export!$B$51:$B$52)+SUMPRODUCT(H79:H81,GREET1_Import_Export!$B$55:$B$57)+SUMPRODUCT(H85:H86,GREET1_Import_Export!$B$58:$B$59)</f>
        <v>410692723.2223388</v>
      </c>
      <c r="I91" s="374">
        <f ca="1">I90+SUMPRODUCT(I87:I88,GREET1_Import_Export!$B$51:$B$52)+SUMPRODUCT(I79:I81,GREET1_Import_Export!$B$55:$B$57)+SUMPRODUCT(I85:I86,GREET1_Import_Export!$B$58:$B$59)</f>
        <v>205346.36161116938</v>
      </c>
      <c r="J91" s="756">
        <f>J90+SUMPRODUCT(J87:J88,GREET1_Import_Export!$B$51:$B$52)+SUMPRODUCT(J79:J81,GREET1_Import_Export!$B$55:$B$57)+SUMPRODUCT(J85:J86,GREET1_Import_Export!$B$58:$B$59)</f>
        <v>20344.990792804208</v>
      </c>
      <c r="K91" s="752">
        <f>K90+SUMPRODUCT(K87:K88,GREET1_Import_Export!$B$51:$B$52)+SUMPRODUCT(K79:K81,GREET1_Import_Export!$B$55:$B$57)+SUMPRODUCT(K85:K86,GREET1_Import_Export!$B$58:$B$59)</f>
        <v>10.172495396402105</v>
      </c>
    </row>
    <row r="92" spans="1:11" s="496" customFormat="1">
      <c r="A92" s="758" t="s">
        <v>1031</v>
      </c>
      <c r="B92" s="762" t="s">
        <v>845</v>
      </c>
      <c r="C92" s="618" t="s">
        <v>846</v>
      </c>
      <c r="D92" s="762" t="s">
        <v>845</v>
      </c>
      <c r="E92" s="618" t="s">
        <v>846</v>
      </c>
      <c r="F92" s="762" t="s">
        <v>845</v>
      </c>
      <c r="G92" s="618" t="s">
        <v>846</v>
      </c>
      <c r="H92" s="762" t="s">
        <v>845</v>
      </c>
      <c r="I92" s="618" t="s">
        <v>846</v>
      </c>
      <c r="J92" s="762" t="s">
        <v>845</v>
      </c>
      <c r="K92" s="710" t="s">
        <v>846</v>
      </c>
    </row>
    <row r="93" spans="1:11" s="496" customFormat="1">
      <c r="A93" s="347" t="s">
        <v>821</v>
      </c>
      <c r="B93" s="494">
        <f ca="1">B$66*$B55+B$67*$D55+B$68*$F55+B$69*$H55+B$70*$J55</f>
        <v>1270.3398206836719</v>
      </c>
      <c r="C93" s="349">
        <f t="shared" ref="C93:C100" ca="1" si="15">B93/2000</f>
        <v>0.6351699103418359</v>
      </c>
      <c r="D93" s="494">
        <f ca="1">D$66*$B55+D$67*$D55+D$68*$F55+D$69*$H55+D$70*$J55</f>
        <v>293.83782971019275</v>
      </c>
      <c r="E93" s="349">
        <f t="shared" ref="E93:E100" ca="1" si="16">D93/2000</f>
        <v>0.14691891485509637</v>
      </c>
      <c r="F93" s="494">
        <f t="shared" ref="F93:F100" ca="1" si="17">F$66*$B55+F$67*$D55+F$68*$F55+F$69*$H55+F$70*$J55</f>
        <v>69.252635300760346</v>
      </c>
      <c r="G93" s="349">
        <f t="shared" ref="G93:G100" ca="1" si="18">F93/2000</f>
        <v>3.462631765038017E-2</v>
      </c>
      <c r="H93" s="494">
        <f t="shared" ref="H93:H100" ca="1" si="19">H$66*$B55+H$67*$D55+H$68*$F55+H$69*$H55+H$70*$J55</f>
        <v>2943.7571033196127</v>
      </c>
      <c r="I93" s="349">
        <f t="shared" ref="I93:I100" ca="1" si="20">H93/2000</f>
        <v>1.4718785516598063</v>
      </c>
      <c r="J93" s="494">
        <f t="shared" ref="J93:J100" si="21">SUM(L55:M55)</f>
        <v>0.13825725112511211</v>
      </c>
      <c r="K93" s="348">
        <f t="shared" ref="K93:K100" si="22">J93/2000</f>
        <v>6.9128625562556054E-5</v>
      </c>
    </row>
    <row r="94" spans="1:11" s="496" customFormat="1">
      <c r="A94" s="347" t="s">
        <v>822</v>
      </c>
      <c r="B94" s="494">
        <f t="shared" ref="B94:D100" ca="1" si="23">B$66*$B56+B$67*$D56+B$68*$F56+B$69*$H56+B$70*$J56</f>
        <v>8006.3756489710759</v>
      </c>
      <c r="C94" s="349">
        <f t="shared" ca="1" si="15"/>
        <v>4.0031878244855381</v>
      </c>
      <c r="D94" s="494">
        <f t="shared" ca="1" si="23"/>
        <v>1645.7921799544611</v>
      </c>
      <c r="E94" s="349">
        <f t="shared" ca="1" si="16"/>
        <v>0.82289608997723052</v>
      </c>
      <c r="F94" s="494">
        <f t="shared" ca="1" si="17"/>
        <v>265.43944877567452</v>
      </c>
      <c r="G94" s="349">
        <f t="shared" ca="1" si="18"/>
        <v>0.13271972438783727</v>
      </c>
      <c r="H94" s="494">
        <f t="shared" ca="1" si="19"/>
        <v>19194.011780295357</v>
      </c>
      <c r="I94" s="349">
        <f t="shared" ca="1" si="20"/>
        <v>9.5970058901476794</v>
      </c>
      <c r="J94" s="494">
        <f t="shared" si="21"/>
        <v>1.0206942345820844</v>
      </c>
      <c r="K94" s="348">
        <f t="shared" si="22"/>
        <v>5.1034711729104219E-4</v>
      </c>
    </row>
    <row r="95" spans="1:11" s="496" customFormat="1">
      <c r="A95" s="347" t="s">
        <v>823</v>
      </c>
      <c r="B95" s="494">
        <f t="shared" ca="1" si="23"/>
        <v>21756.597507822567</v>
      </c>
      <c r="C95" s="349">
        <f t="shared" ca="1" si="15"/>
        <v>10.878298753911285</v>
      </c>
      <c r="D95" s="494">
        <f t="shared" ca="1" si="23"/>
        <v>4065.1986870837941</v>
      </c>
      <c r="E95" s="349">
        <f t="shared" ca="1" si="16"/>
        <v>2.032599343541897</v>
      </c>
      <c r="F95" s="494">
        <f t="shared" ca="1" si="17"/>
        <v>770.27080592438585</v>
      </c>
      <c r="G95" s="349">
        <f t="shared" ca="1" si="18"/>
        <v>0.38513540296219295</v>
      </c>
      <c r="H95" s="494">
        <f t="shared" ca="1" si="19"/>
        <v>52589.163790289909</v>
      </c>
      <c r="I95" s="349">
        <f t="shared" ca="1" si="20"/>
        <v>26.294581895144955</v>
      </c>
      <c r="J95" s="494">
        <f t="shared" si="21"/>
        <v>3.0485787667188764</v>
      </c>
      <c r="K95" s="348">
        <f t="shared" si="22"/>
        <v>1.5242893833594382E-3</v>
      </c>
    </row>
    <row r="96" spans="1:11" s="496" customFormat="1">
      <c r="A96" s="749" t="s">
        <v>824</v>
      </c>
      <c r="B96" s="494">
        <f t="shared" ca="1" si="23"/>
        <v>2738.2868003915214</v>
      </c>
      <c r="C96" s="349">
        <f t="shared" ca="1" si="15"/>
        <v>1.3691434001957608</v>
      </c>
      <c r="D96" s="494">
        <f t="shared" ca="1" si="23"/>
        <v>475.40549526224697</v>
      </c>
      <c r="E96" s="349">
        <f t="shared" ca="1" si="16"/>
        <v>0.23770274763112348</v>
      </c>
      <c r="F96" s="494">
        <f t="shared" ca="1" si="17"/>
        <v>105.31437266837763</v>
      </c>
      <c r="G96" s="349">
        <f t="shared" ca="1" si="18"/>
        <v>5.2657186334188817E-2</v>
      </c>
      <c r="H96" s="494">
        <f t="shared" ca="1" si="19"/>
        <v>6648.3758698548345</v>
      </c>
      <c r="I96" s="349">
        <f t="shared" ca="1" si="20"/>
        <v>3.324187934927417</v>
      </c>
      <c r="J96" s="494">
        <f t="shared" si="21"/>
        <v>0.40701964307327887</v>
      </c>
      <c r="K96" s="348">
        <f t="shared" si="22"/>
        <v>2.0350982153663944E-4</v>
      </c>
    </row>
    <row r="97" spans="1:11" s="496" customFormat="1">
      <c r="A97" s="347" t="s">
        <v>825</v>
      </c>
      <c r="B97" s="494">
        <f t="shared" ca="1" si="23"/>
        <v>2403.4550391862035</v>
      </c>
      <c r="C97" s="349">
        <f t="shared" ca="1" si="15"/>
        <v>1.2017275195931019</v>
      </c>
      <c r="D97" s="494">
        <f t="shared" ca="1" si="23"/>
        <v>416.08185564486928</v>
      </c>
      <c r="E97" s="349">
        <f t="shared" ca="1" si="16"/>
        <v>0.20804092782243463</v>
      </c>
      <c r="F97" s="494">
        <f t="shared" ca="1" si="17"/>
        <v>90.783300285083072</v>
      </c>
      <c r="G97" s="349">
        <f t="shared" ca="1" si="18"/>
        <v>4.5391650142541533E-2</v>
      </c>
      <c r="H97" s="494">
        <f t="shared" ca="1" si="19"/>
        <v>5840.5059052445458</v>
      </c>
      <c r="I97" s="349">
        <f t="shared" ca="1" si="20"/>
        <v>2.9202529526222731</v>
      </c>
      <c r="J97" s="494">
        <f t="shared" si="21"/>
        <v>0.35790460078472186</v>
      </c>
      <c r="K97" s="348">
        <f t="shared" si="22"/>
        <v>1.7895230039236093E-4</v>
      </c>
    </row>
    <row r="98" spans="1:11" s="496" customFormat="1">
      <c r="A98" s="749" t="s">
        <v>826</v>
      </c>
      <c r="B98" s="494">
        <f t="shared" ca="1" si="23"/>
        <v>22378.572859711949</v>
      </c>
      <c r="C98" s="349">
        <f t="shared" ca="1" si="15"/>
        <v>11.189286429855974</v>
      </c>
      <c r="D98" s="494">
        <f t="shared" ca="1" si="23"/>
        <v>4341.0801913616478</v>
      </c>
      <c r="E98" s="349">
        <f t="shared" ca="1" si="16"/>
        <v>2.1705400956808241</v>
      </c>
      <c r="F98" s="494">
        <f t="shared" ca="1" si="17"/>
        <v>1489.0918224898942</v>
      </c>
      <c r="G98" s="349">
        <f t="shared" ca="1" si="18"/>
        <v>0.74454591124494707</v>
      </c>
      <c r="H98" s="494">
        <f t="shared" ca="1" si="19"/>
        <v>52388.069922942923</v>
      </c>
      <c r="I98" s="349">
        <f t="shared" ca="1" si="20"/>
        <v>26.194034961471463</v>
      </c>
      <c r="J98" s="494">
        <f t="shared" si="21"/>
        <v>3.0290372328190922</v>
      </c>
      <c r="K98" s="348">
        <f t="shared" si="22"/>
        <v>1.5145186164095461E-3</v>
      </c>
    </row>
    <row r="99" spans="1:11" s="496" customFormat="1">
      <c r="A99" s="347" t="s">
        <v>827</v>
      </c>
      <c r="B99" s="494">
        <f t="shared" ca="1" si="23"/>
        <v>128.88577721810393</v>
      </c>
      <c r="C99" s="349">
        <f t="shared" ca="1" si="15"/>
        <v>6.4442888609051965E-2</v>
      </c>
      <c r="D99" s="494">
        <f t="shared" ca="1" si="23"/>
        <v>23.313360983468637</v>
      </c>
      <c r="E99" s="349">
        <f t="shared" ca="1" si="16"/>
        <v>1.1656680491734319E-2</v>
      </c>
      <c r="F99" s="494">
        <f t="shared" ca="1" si="17"/>
        <v>6.113916529590588</v>
      </c>
      <c r="G99" s="349">
        <f t="shared" ca="1" si="18"/>
        <v>3.056958264795294E-3</v>
      </c>
      <c r="H99" s="494">
        <f t="shared" ca="1" si="19"/>
        <v>309.19052268089962</v>
      </c>
      <c r="I99" s="349">
        <f t="shared" ca="1" si="20"/>
        <v>0.15459526134044982</v>
      </c>
      <c r="J99" s="494">
        <f t="shared" si="21"/>
        <v>1.844494309188761E-2</v>
      </c>
      <c r="K99" s="348">
        <f t="shared" si="22"/>
        <v>9.2224715459438046E-6</v>
      </c>
    </row>
    <row r="100" spans="1:11" s="496" customFormat="1">
      <c r="A100" s="501" t="s">
        <v>828</v>
      </c>
      <c r="B100" s="504">
        <f t="shared" ca="1" si="23"/>
        <v>690.33519996647055</v>
      </c>
      <c r="C100" s="505">
        <f t="shared" ca="1" si="15"/>
        <v>0.34516759998323526</v>
      </c>
      <c r="D100" s="504">
        <f t="shared" ca="1" si="23"/>
        <v>120.22091852506229</v>
      </c>
      <c r="E100" s="505">
        <f t="shared" ca="1" si="16"/>
        <v>6.0110459262531141E-2</v>
      </c>
      <c r="F100" s="504">
        <f t="shared" ca="1" si="17"/>
        <v>26.934471600618181</v>
      </c>
      <c r="G100" s="505">
        <f t="shared" ca="1" si="18"/>
        <v>1.3467235800309091E-2</v>
      </c>
      <c r="H100" s="504">
        <f t="shared" ca="1" si="19"/>
        <v>1674.7774934090094</v>
      </c>
      <c r="I100" s="505">
        <f t="shared" ca="1" si="20"/>
        <v>0.83738874670450469</v>
      </c>
      <c r="J100" s="504">
        <f t="shared" si="21"/>
        <v>0.1023623945723063</v>
      </c>
      <c r="K100" s="502">
        <f t="shared" si="22"/>
        <v>5.118119728615315E-5</v>
      </c>
    </row>
  </sheetData>
  <mergeCells count="11">
    <mergeCell ref="B9:C9"/>
    <mergeCell ref="B65:C65"/>
    <mergeCell ref="L9:M9"/>
    <mergeCell ref="J65:K65"/>
    <mergeCell ref="D65:E65"/>
    <mergeCell ref="D9:E9"/>
    <mergeCell ref="F9:G9"/>
    <mergeCell ref="H9:I9"/>
    <mergeCell ref="J9:K9"/>
    <mergeCell ref="F65:G65"/>
    <mergeCell ref="H65:I65"/>
  </mergeCells>
  <phoneticPr fontId="4" type="noConversion"/>
  <pageMargins left="0.75" right="0.75" top="1" bottom="1" header="0.5" footer="0.5"/>
  <pageSetup orientation="landscape" r:id="rId1"/>
  <headerFooter alignWithMargins="0">
    <oddHeader>&amp;A</oddHeader>
    <oddFooter>Page &amp;P</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5">
    <pageSetUpPr fitToPage="1"/>
  </sheetPr>
  <dimension ref="A1:U162"/>
  <sheetViews>
    <sheetView showGridLines="0" zoomScale="85" zoomScaleNormal="85" workbookViewId="0"/>
  </sheetViews>
  <sheetFormatPr defaultColWidth="9.140625" defaultRowHeight="12.75"/>
  <cols>
    <col min="1" max="1" width="35.140625" style="5" customWidth="1"/>
    <col min="2" max="2" width="11.42578125" style="5" customWidth="1"/>
    <col min="3" max="3" width="12.28515625" style="5" bestFit="1" customWidth="1"/>
    <col min="4" max="4" width="11.85546875" style="5" bestFit="1" customWidth="1"/>
    <col min="5" max="5" width="12.140625" style="5" customWidth="1"/>
    <col min="6" max="6" width="11.85546875" style="5" bestFit="1" customWidth="1"/>
    <col min="7" max="7" width="12.7109375" style="5" bestFit="1" customWidth="1"/>
    <col min="8" max="8" width="11.28515625" style="5" bestFit="1" customWidth="1"/>
    <col min="9" max="9" width="12.7109375" style="5" bestFit="1" customWidth="1"/>
    <col min="10" max="10" width="9.42578125" style="5" customWidth="1"/>
    <col min="11" max="11" width="12.7109375" style="5" bestFit="1" customWidth="1"/>
    <col min="12" max="12" width="10.28515625" style="5" customWidth="1"/>
    <col min="13" max="13" width="12.85546875" style="5" bestFit="1" customWidth="1"/>
    <col min="14" max="14" width="10.85546875" style="385" customWidth="1"/>
    <col min="15" max="15" width="9.42578125" style="5" bestFit="1" customWidth="1"/>
    <col min="16" max="16384" width="9.140625" style="5"/>
  </cols>
  <sheetData>
    <row r="1" spans="1:8" ht="15.75">
      <c r="A1" s="2" t="s">
        <v>1418</v>
      </c>
    </row>
    <row r="2" spans="1:8">
      <c r="A2" s="3"/>
    </row>
    <row r="3" spans="1:8" ht="15">
      <c r="A3" s="75" t="s">
        <v>1419</v>
      </c>
    </row>
    <row r="4" spans="1:8" ht="38.25">
      <c r="A4" s="640"/>
      <c r="B4" s="405" t="s">
        <v>157</v>
      </c>
      <c r="C4" s="405" t="s">
        <v>158</v>
      </c>
      <c r="D4" s="405" t="s">
        <v>159</v>
      </c>
      <c r="E4" s="405" t="s">
        <v>160</v>
      </c>
      <c r="F4" s="405" t="s">
        <v>161</v>
      </c>
      <c r="G4" s="405" t="s">
        <v>162</v>
      </c>
      <c r="H4" s="653" t="s">
        <v>163</v>
      </c>
    </row>
    <row r="5" spans="1:8">
      <c r="A5" s="640" t="s">
        <v>1420</v>
      </c>
      <c r="B5" s="49"/>
      <c r="C5" s="49"/>
      <c r="D5" s="49"/>
      <c r="E5" s="49"/>
      <c r="F5" s="49"/>
      <c r="G5" s="49"/>
      <c r="H5" s="52"/>
    </row>
    <row r="6" spans="1:8">
      <c r="A6" s="477" t="s">
        <v>1421</v>
      </c>
      <c r="B6" s="430">
        <f>Vehi_Inputs!C29</f>
        <v>8.5</v>
      </c>
      <c r="C6" s="430">
        <f>Vehi_Inputs!D29</f>
        <v>0</v>
      </c>
      <c r="D6" s="430">
        <f>Vehi_Inputs!E29</f>
        <v>2</v>
      </c>
      <c r="E6" s="430">
        <f>Vehi_Inputs!F29</f>
        <v>24.039656900000001</v>
      </c>
      <c r="F6" s="430">
        <f>Vehi_Inputs!G29</f>
        <v>23</v>
      </c>
      <c r="G6" s="430">
        <f>Vehi_Inputs!H29</f>
        <v>6</v>
      </c>
      <c r="H6" s="811">
        <f>Vehi_Inputs!I29</f>
        <v>30</v>
      </c>
    </row>
    <row r="7" spans="1:8">
      <c r="A7" s="477" t="s">
        <v>1422</v>
      </c>
      <c r="B7" s="430">
        <f>Vehi_Inputs!C30</f>
        <v>8.5</v>
      </c>
      <c r="C7" s="430">
        <f>Vehi_Inputs!D30</f>
        <v>0</v>
      </c>
      <c r="D7" s="430">
        <f>Vehi_Inputs!E30</f>
        <v>2</v>
      </c>
      <c r="E7" s="430">
        <f>Vehi_Inputs!F30</f>
        <v>24.039656900000001</v>
      </c>
      <c r="F7" s="430">
        <f>Vehi_Inputs!G30</f>
        <v>23</v>
      </c>
      <c r="G7" s="430">
        <f>Vehi_Inputs!H30</f>
        <v>6</v>
      </c>
      <c r="H7" s="811">
        <f>Vehi_Inputs!I30</f>
        <v>30</v>
      </c>
    </row>
    <row r="8" spans="1:8">
      <c r="A8" s="95" t="s">
        <v>1423</v>
      </c>
      <c r="B8" s="430">
        <f>Vehi_Inputs!C31</f>
        <v>8.5</v>
      </c>
      <c r="C8" s="430">
        <f>Vehi_Inputs!D31</f>
        <v>0</v>
      </c>
      <c r="D8" s="430">
        <f>Vehi_Inputs!E31</f>
        <v>2</v>
      </c>
      <c r="E8" s="430">
        <f>Vehi_Inputs!F31</f>
        <v>1.8492043499999999</v>
      </c>
      <c r="F8" s="430">
        <f>Vehi_Inputs!G31</f>
        <v>23</v>
      </c>
      <c r="G8" s="430">
        <f>Vehi_Inputs!H31</f>
        <v>6</v>
      </c>
      <c r="H8" s="811">
        <f>Vehi_Inputs!I31</f>
        <v>30</v>
      </c>
    </row>
    <row r="9" spans="1:8">
      <c r="A9" s="95" t="s">
        <v>1424</v>
      </c>
      <c r="B9" s="430">
        <f>Vehi_Inputs!C32</f>
        <v>8.5</v>
      </c>
      <c r="C9" s="430">
        <f>Vehi_Inputs!D32</f>
        <v>0</v>
      </c>
      <c r="D9" s="430">
        <f>Vehi_Inputs!E32</f>
        <v>2</v>
      </c>
      <c r="E9" s="430">
        <f>Vehi_Inputs!F32</f>
        <v>1.8492043499999999</v>
      </c>
      <c r="F9" s="430">
        <f>Vehi_Inputs!G32</f>
        <v>23</v>
      </c>
      <c r="G9" s="430">
        <f>Vehi_Inputs!H32</f>
        <v>6</v>
      </c>
      <c r="H9" s="811">
        <f>Vehi_Inputs!I32</f>
        <v>30</v>
      </c>
    </row>
    <row r="10" spans="1:8">
      <c r="A10" s="95" t="s">
        <v>1425</v>
      </c>
      <c r="B10" s="430">
        <f>Vehi_Inputs!C33</f>
        <v>0</v>
      </c>
      <c r="C10" s="430">
        <f>Vehi_Inputs!D33</f>
        <v>0</v>
      </c>
      <c r="D10" s="430">
        <f>Vehi_Inputs!E33</f>
        <v>2</v>
      </c>
      <c r="E10" s="430">
        <f>Vehi_Inputs!F33</f>
        <v>1.8492043499999999</v>
      </c>
      <c r="F10" s="430">
        <f>Vehi_Inputs!G33</f>
        <v>15.770998518800001</v>
      </c>
      <c r="G10" s="430">
        <f>Vehi_Inputs!H33</f>
        <v>6</v>
      </c>
      <c r="H10" s="811">
        <f>Vehi_Inputs!I33</f>
        <v>30</v>
      </c>
    </row>
    <row r="11" spans="1:8">
      <c r="A11" s="539" t="s">
        <v>1426</v>
      </c>
      <c r="B11" s="430">
        <f>Vehi_Inputs!C34</f>
        <v>0</v>
      </c>
      <c r="C11" s="430">
        <f>Vehi_Inputs!D34</f>
        <v>0</v>
      </c>
      <c r="D11" s="430">
        <f>Vehi_Inputs!E34</f>
        <v>2</v>
      </c>
      <c r="E11" s="430">
        <f>Vehi_Inputs!F34</f>
        <v>1.8492043499999999</v>
      </c>
      <c r="F11" s="430">
        <f>Vehi_Inputs!G34</f>
        <v>15.770998518800001</v>
      </c>
      <c r="G11" s="430">
        <f>Vehi_Inputs!H34</f>
        <v>6</v>
      </c>
      <c r="H11" s="811">
        <f>Vehi_Inputs!I34</f>
        <v>30</v>
      </c>
    </row>
    <row r="12" spans="1:8">
      <c r="A12" s="1653" t="s">
        <v>1427</v>
      </c>
      <c r="B12" s="1480">
        <f>Vehi_Inputs!B122</f>
        <v>39</v>
      </c>
      <c r="C12" s="1480">
        <f>Vehi_Inputs!C122</f>
        <v>0</v>
      </c>
      <c r="D12" s="1480">
        <f>Vehi_Inputs!D122</f>
        <v>3</v>
      </c>
      <c r="E12" s="1480">
        <f>Vehi_Inputs!E122</f>
        <v>1</v>
      </c>
      <c r="F12" s="1480">
        <f>Vehi_Inputs!F122</f>
        <v>3</v>
      </c>
      <c r="G12" s="1480">
        <f>Vehi_Inputs!G122</f>
        <v>19</v>
      </c>
      <c r="H12" s="1481">
        <f>Vehi_Inputs!H122</f>
        <v>0</v>
      </c>
    </row>
    <row r="13" spans="1:8">
      <c r="A13" s="539" t="s">
        <v>1428</v>
      </c>
      <c r="B13" s="368">
        <f>Vehi_Inputs!B126</f>
        <v>0.66666666666666663</v>
      </c>
      <c r="C13" s="368">
        <f>Vehi_Inputs!C126</f>
        <v>0.66666666666666663</v>
      </c>
      <c r="D13" s="368">
        <f>Vehi_Inputs!D126</f>
        <v>0.66666666666666663</v>
      </c>
      <c r="E13" s="368">
        <f>Vehi_Inputs!E126</f>
        <v>0.66666666666666663</v>
      </c>
      <c r="F13" s="368">
        <f>Vehi_Inputs!F126</f>
        <v>0.66666666666666663</v>
      </c>
      <c r="G13" s="368">
        <f>Vehi_Inputs!G126</f>
        <v>0</v>
      </c>
      <c r="H13" s="428">
        <f>Vehi_Inputs!H126</f>
        <v>0.66666666666666663</v>
      </c>
    </row>
    <row r="14" spans="1:8">
      <c r="A14" s="3"/>
    </row>
    <row r="15" spans="1:8">
      <c r="A15" s="827">
        <f>Mat_Inputs!B165</f>
        <v>0.5</v>
      </c>
      <c r="B15" s="5" t="s">
        <v>321</v>
      </c>
    </row>
    <row r="16" spans="1:8">
      <c r="A16" s="828">
        <f>Mat_Inputs!B166</f>
        <v>0.5</v>
      </c>
      <c r="B16" s="5" t="s">
        <v>322</v>
      </c>
    </row>
    <row r="17" spans="1:13">
      <c r="A17" s="3"/>
    </row>
    <row r="18" spans="1:13" ht="15">
      <c r="A18" s="75" t="s">
        <v>762</v>
      </c>
    </row>
    <row r="19" spans="1:13">
      <c r="A19" s="393" t="s">
        <v>769</v>
      </c>
      <c r="B19" s="533">
        <v>1</v>
      </c>
      <c r="C19" s="64"/>
    </row>
    <row r="20" spans="1:13">
      <c r="A20" s="230" t="s">
        <v>770</v>
      </c>
      <c r="B20" s="588">
        <v>1</v>
      </c>
      <c r="C20" s="64"/>
    </row>
    <row r="21" spans="1:13">
      <c r="A21" s="589" t="s">
        <v>773</v>
      </c>
      <c r="B21" s="428">
        <v>1</v>
      </c>
      <c r="C21" s="64"/>
    </row>
    <row r="23" spans="1:13" ht="15">
      <c r="A23" s="75" t="s">
        <v>784</v>
      </c>
    </row>
    <row r="24" spans="1:13" ht="24" customHeight="1">
      <c r="A24" s="178"/>
      <c r="B24" s="2998" t="s">
        <v>588</v>
      </c>
      <c r="C24" s="2999"/>
      <c r="D24" s="3012" t="s">
        <v>157</v>
      </c>
      <c r="E24" s="3012"/>
      <c r="F24" s="2998" t="s">
        <v>158</v>
      </c>
      <c r="G24" s="2999"/>
      <c r="H24" s="3012" t="s">
        <v>159</v>
      </c>
      <c r="I24" s="3012"/>
      <c r="J24" s="2998" t="s">
        <v>160</v>
      </c>
      <c r="K24" s="2999"/>
      <c r="L24" s="3012" t="s">
        <v>1429</v>
      </c>
      <c r="M24" s="2999"/>
    </row>
    <row r="25" spans="1:13" ht="74.099999999999994" customHeight="1">
      <c r="A25" s="177"/>
      <c r="B25" s="1673" t="s">
        <v>1430</v>
      </c>
      <c r="C25" s="1674"/>
      <c r="D25" s="1675" t="s">
        <v>1430</v>
      </c>
      <c r="E25" s="1675" t="s">
        <v>1431</v>
      </c>
      <c r="F25" s="1673" t="s">
        <v>1430</v>
      </c>
      <c r="G25" s="1674" t="s">
        <v>1431</v>
      </c>
      <c r="H25" s="1675" t="s">
        <v>1430</v>
      </c>
      <c r="I25" s="1675" t="s">
        <v>1431</v>
      </c>
      <c r="J25" s="1673" t="s">
        <v>1430</v>
      </c>
      <c r="K25" s="1674" t="s">
        <v>1431</v>
      </c>
      <c r="L25" s="1675" t="s">
        <v>1430</v>
      </c>
      <c r="M25" s="1674" t="s">
        <v>1432</v>
      </c>
    </row>
    <row r="26" spans="1:13" ht="25.5">
      <c r="A26" s="659" t="s">
        <v>797</v>
      </c>
      <c r="B26" s="2615"/>
      <c r="C26" s="94"/>
      <c r="D26" s="377"/>
      <c r="F26" s="383"/>
      <c r="G26" s="94"/>
      <c r="H26" s="377"/>
      <c r="J26" s="383"/>
      <c r="K26" s="94"/>
      <c r="L26" s="377"/>
      <c r="M26" s="94"/>
    </row>
    <row r="27" spans="1:13">
      <c r="A27" s="571" t="s">
        <v>798</v>
      </c>
      <c r="B27" s="1021">
        <v>0</v>
      </c>
      <c r="C27" s="94"/>
      <c r="D27" s="382"/>
      <c r="E27" s="382">
        <v>0.5</v>
      </c>
      <c r="F27" s="416"/>
      <c r="G27" s="588">
        <v>0.5</v>
      </c>
      <c r="H27" s="382"/>
      <c r="I27" s="382">
        <v>0.5</v>
      </c>
      <c r="J27" s="416"/>
      <c r="K27" s="428">
        <v>0.5</v>
      </c>
      <c r="L27" s="382"/>
      <c r="M27" s="428">
        <f>GREET1_Import_Export!B166</f>
        <v>0.7</v>
      </c>
    </row>
    <row r="28" spans="1:13">
      <c r="A28" s="178" t="s">
        <v>799</v>
      </c>
      <c r="B28" s="1075"/>
      <c r="C28" s="52"/>
      <c r="D28" s="49"/>
      <c r="E28" s="49"/>
      <c r="F28" s="640"/>
      <c r="G28" s="52"/>
      <c r="H28" s="49"/>
      <c r="I28" s="49"/>
      <c r="J28" s="640"/>
      <c r="K28" s="52"/>
      <c r="L28" s="49"/>
      <c r="M28" s="52"/>
    </row>
    <row r="29" spans="1:13">
      <c r="A29" s="230" t="s">
        <v>800</v>
      </c>
      <c r="B29" s="212"/>
      <c r="C29" s="94"/>
      <c r="D29" s="369"/>
      <c r="F29" s="665"/>
      <c r="G29" s="94"/>
      <c r="H29" s="369"/>
      <c r="J29" s="665"/>
      <c r="K29" s="94"/>
      <c r="L29" s="369"/>
      <c r="M29" s="94"/>
    </row>
    <row r="30" spans="1:13">
      <c r="A30" s="230" t="s">
        <v>802</v>
      </c>
      <c r="B30" s="212"/>
      <c r="C30" s="94"/>
      <c r="D30" s="369"/>
      <c r="F30" s="665"/>
      <c r="G30" s="94"/>
      <c r="H30" s="369"/>
      <c r="J30" s="665"/>
      <c r="K30" s="94"/>
      <c r="L30" s="369"/>
      <c r="M30" s="94"/>
    </row>
    <row r="31" spans="1:13">
      <c r="A31" s="230" t="s">
        <v>804</v>
      </c>
      <c r="B31" s="212"/>
      <c r="C31" s="94"/>
      <c r="D31" s="369"/>
      <c r="F31" s="665"/>
      <c r="G31" s="94"/>
      <c r="H31" s="369"/>
      <c r="J31" s="665"/>
      <c r="K31" s="94"/>
      <c r="L31" s="369"/>
      <c r="M31" s="94"/>
    </row>
    <row r="32" spans="1:13">
      <c r="A32" s="230" t="s">
        <v>805</v>
      </c>
      <c r="B32" s="212"/>
      <c r="C32" s="94"/>
      <c r="D32" s="369"/>
      <c r="F32" s="665"/>
      <c r="G32" s="94"/>
      <c r="H32" s="369"/>
      <c r="J32" s="665"/>
      <c r="K32" s="94"/>
      <c r="L32" s="369"/>
      <c r="M32" s="94"/>
    </row>
    <row r="33" spans="1:14">
      <c r="A33" s="589" t="s">
        <v>806</v>
      </c>
      <c r="B33" s="193"/>
      <c r="C33" s="656"/>
      <c r="D33" s="426"/>
      <c r="E33" s="669"/>
      <c r="F33" s="427"/>
      <c r="G33" s="656"/>
      <c r="H33" s="426"/>
      <c r="I33" s="669"/>
      <c r="J33" s="427"/>
      <c r="K33" s="656"/>
      <c r="L33" s="426"/>
      <c r="M33" s="656"/>
    </row>
    <row r="34" spans="1:14">
      <c r="A34" s="177" t="s">
        <v>862</v>
      </c>
      <c r="B34" s="477"/>
      <c r="C34" s="94"/>
      <c r="F34" s="95"/>
      <c r="G34" s="94"/>
      <c r="J34" s="95"/>
      <c r="K34" s="94"/>
      <c r="M34" s="94"/>
    </row>
    <row r="35" spans="1:14" s="496" customFormat="1">
      <c r="A35" s="347" t="s">
        <v>800</v>
      </c>
      <c r="B35" s="753"/>
      <c r="C35" s="497"/>
      <c r="F35" s="498"/>
      <c r="G35" s="497"/>
      <c r="J35" s="498"/>
      <c r="K35" s="497"/>
      <c r="M35" s="497"/>
      <c r="N35" s="613"/>
    </row>
    <row r="36" spans="1:14" s="496" customFormat="1">
      <c r="A36" s="347" t="s">
        <v>802</v>
      </c>
      <c r="B36" s="753"/>
      <c r="C36" s="497"/>
      <c r="F36" s="498"/>
      <c r="G36" s="497"/>
      <c r="J36" s="498"/>
      <c r="K36" s="497"/>
      <c r="M36" s="497"/>
      <c r="N36" s="613"/>
    </row>
    <row r="37" spans="1:14" s="496" customFormat="1">
      <c r="A37" s="347" t="s">
        <v>804</v>
      </c>
      <c r="B37" s="753"/>
      <c r="C37" s="497"/>
      <c r="F37" s="498"/>
      <c r="G37" s="497"/>
      <c r="J37" s="498"/>
      <c r="K37" s="497"/>
      <c r="M37" s="497"/>
      <c r="N37" s="613"/>
    </row>
    <row r="38" spans="1:14" s="496" customFormat="1">
      <c r="A38" s="347" t="s">
        <v>805</v>
      </c>
      <c r="B38" s="753"/>
      <c r="C38" s="497"/>
      <c r="F38" s="498"/>
      <c r="G38" s="497"/>
      <c r="J38" s="498"/>
      <c r="K38" s="497"/>
      <c r="M38" s="497"/>
      <c r="N38" s="613"/>
    </row>
    <row r="39" spans="1:14" s="496" customFormat="1">
      <c r="A39" s="347" t="s">
        <v>806</v>
      </c>
      <c r="B39" s="753"/>
      <c r="C39" s="497"/>
      <c r="F39" s="498"/>
      <c r="G39" s="497"/>
      <c r="J39" s="498"/>
      <c r="K39" s="497"/>
      <c r="M39" s="497"/>
      <c r="N39" s="613"/>
    </row>
    <row r="40" spans="1:14" s="496" customFormat="1">
      <c r="A40" s="508" t="s">
        <v>816</v>
      </c>
      <c r="B40" s="1078">
        <f>GREET1_Import_Export!J525</f>
        <v>38.907451643223773</v>
      </c>
      <c r="C40" s="507"/>
      <c r="D40" s="506">
        <f>(GREET1_Import_Export!$C$179*GREET1_Import_Export!B180+GREET1_Import_Export!C180+1000000)/1000000*GREET1_Import_Export!$B$27/1000000/GREET1_Import_Export!$E$27*454*2000</f>
        <v>45.954435894699586</v>
      </c>
      <c r="E40" s="506">
        <v>0</v>
      </c>
      <c r="F40" s="508">
        <f>D40</f>
        <v>45.954435894699586</v>
      </c>
      <c r="G40" s="507">
        <v>0</v>
      </c>
      <c r="H40" s="506">
        <f>D40</f>
        <v>45.954435894699586</v>
      </c>
      <c r="I40" s="506">
        <v>0</v>
      </c>
      <c r="J40" s="508">
        <f>D40</f>
        <v>45.954435894699586</v>
      </c>
      <c r="K40" s="507">
        <v>0</v>
      </c>
      <c r="L40" s="506">
        <f>(GREET1_Import_Export!$D$215*GREET1_Import_Export!C216+GREET1_Import_Export!D216+1000000)/1000000*GREET1_Import_Export!$B$29/1000000/GREET1_Import_Export!$E$29*454*2000</f>
        <v>26.393927476709422</v>
      </c>
      <c r="M40" s="507">
        <v>0</v>
      </c>
      <c r="N40" s="613"/>
    </row>
    <row r="41" spans="1:14" s="496" customFormat="1">
      <c r="A41" s="498" t="s">
        <v>817</v>
      </c>
      <c r="B41" s="753">
        <f>GREET1_Import_Export!J526</f>
        <v>38.318200645055015</v>
      </c>
      <c r="C41" s="497"/>
      <c r="D41" s="496">
        <f>(GREET1_Import_Export!$C$179*GREET1_Import_Export!B181+GREET1_Import_Export!C181+1000000)/1000000*GREET1_Import_Export!$B$27/1000000/GREET1_Import_Export!$E$27*454*2000</f>
        <v>45.714238438893744</v>
      </c>
      <c r="E41" s="496">
        <v>0</v>
      </c>
      <c r="F41" s="498">
        <f>D41</f>
        <v>45.714238438893744</v>
      </c>
      <c r="G41" s="497">
        <v>0</v>
      </c>
      <c r="H41" s="496">
        <f>D41</f>
        <v>45.714238438893744</v>
      </c>
      <c r="I41" s="496">
        <v>0</v>
      </c>
      <c r="J41" s="498">
        <f>D41</f>
        <v>45.714238438893744</v>
      </c>
      <c r="K41" s="497">
        <v>0</v>
      </c>
      <c r="L41" s="496">
        <f>(GREET1_Import_Export!$D$215*GREET1_Import_Export!C217+GREET1_Import_Export!D217+IF(GREET1_Import_Export!$B$5=5, 0, 1000000))/1000000*GREET1_Import_Export!$B$29/1000000/GREET1_Import_Export!$E$29*454*2000</f>
        <v>26.065161230273429</v>
      </c>
      <c r="M41" s="497">
        <v>0</v>
      </c>
      <c r="N41" s="613"/>
    </row>
    <row r="42" spans="1:14" s="496" customFormat="1">
      <c r="A42" s="498" t="s">
        <v>805</v>
      </c>
      <c r="B42" s="753">
        <f>GREET1_Import_Export!J527</f>
        <v>0.77529282850867631</v>
      </c>
      <c r="C42" s="497"/>
      <c r="D42" s="496">
        <f>(GREET1_Import_Export!$C$179*GREET1_Import_Export!B182+GREET1_Import_Export!C182)/1000000*GREET1_Import_Export!$B$27/1000000/GREET1_Import_Export!$E$27*454*2000</f>
        <v>0.30610647540700153</v>
      </c>
      <c r="E42" s="496">
        <v>0</v>
      </c>
      <c r="F42" s="498">
        <f>D42</f>
        <v>0.30610647540700153</v>
      </c>
      <c r="G42" s="497">
        <v>0</v>
      </c>
      <c r="H42" s="496">
        <f>D42</f>
        <v>0.30610647540700153</v>
      </c>
      <c r="I42" s="496">
        <v>0</v>
      </c>
      <c r="J42" s="498">
        <f>D42</f>
        <v>0.30610647540700153</v>
      </c>
      <c r="K42" s="497">
        <v>0</v>
      </c>
      <c r="L42" s="496">
        <f>(GREET1_Import_Export!$D$215*GREET1_Import_Export!C218+GREET1_Import_Export!D218+IF(GREET1_Import_Export!$B$5=6, 1000000, 0))/1000000*GREET1_Import_Export!$B$29/1000000/GREET1_Import_Export!$E$29*454*2000</f>
        <v>0.4345292511444897</v>
      </c>
      <c r="M42" s="497">
        <v>0</v>
      </c>
      <c r="N42" s="613"/>
    </row>
    <row r="43" spans="1:14" s="496" customFormat="1">
      <c r="A43" s="498" t="s">
        <v>804</v>
      </c>
      <c r="B43" s="753">
        <f>GREET1_Import_Export!J528</f>
        <v>24.699886666985829</v>
      </c>
      <c r="C43" s="497"/>
      <c r="D43" s="496">
        <f>D41-D42-D44</f>
        <v>5.2671011257244515</v>
      </c>
      <c r="E43" s="496">
        <v>0</v>
      </c>
      <c r="F43" s="498">
        <f>F41-F42-F44</f>
        <v>5.2671011257244515</v>
      </c>
      <c r="G43" s="497">
        <v>0</v>
      </c>
      <c r="H43" s="496">
        <f>H41-H42-H44</f>
        <v>5.2671011257244515</v>
      </c>
      <c r="I43" s="496">
        <v>0</v>
      </c>
      <c r="J43" s="498">
        <f>J41-J42-J44</f>
        <v>5.2671011257244515</v>
      </c>
      <c r="K43" s="497">
        <v>0</v>
      </c>
      <c r="L43" s="496">
        <f>L41-L42-L44</f>
        <v>25.355225154793146</v>
      </c>
      <c r="M43" s="497">
        <v>0</v>
      </c>
      <c r="N43" s="613"/>
    </row>
    <row r="44" spans="1:14" s="496" customFormat="1">
      <c r="A44" s="498" t="s">
        <v>818</v>
      </c>
      <c r="B44" s="753">
        <f>GREET1_Import_Export!J529</f>
        <v>12.843021149560508</v>
      </c>
      <c r="C44" s="497"/>
      <c r="D44" s="496">
        <f>(GREET1_Import_Export!$C$179*GREET1_Import_Export!B184+GREET1_Import_Export!C184+1000000)/1000000*GREET1_Import_Export!$B$27/1000000/GREET1_Import_Export!$E$27*454*2000</f>
        <v>40.141030837762294</v>
      </c>
      <c r="E44" s="496">
        <v>0</v>
      </c>
      <c r="F44" s="498">
        <f>D44</f>
        <v>40.141030837762294</v>
      </c>
      <c r="G44" s="497">
        <v>0</v>
      </c>
      <c r="H44" s="496">
        <f>D44</f>
        <v>40.141030837762294</v>
      </c>
      <c r="I44" s="496">
        <v>0</v>
      </c>
      <c r="J44" s="498">
        <f>D44</f>
        <v>40.141030837762294</v>
      </c>
      <c r="K44" s="497">
        <v>0</v>
      </c>
      <c r="L44" s="496">
        <f>(GREET1_Import_Export!$D$215*GREET1_Import_Export!C220+GREET1_Import_Export!D220)/1000000*GREET1_Import_Export!$B$29/1000000/GREET1_Import_Export!$E$29*454*2000</f>
        <v>0.27540682433579411</v>
      </c>
      <c r="M44" s="497">
        <v>0</v>
      </c>
      <c r="N44" s="613"/>
    </row>
    <row r="45" spans="1:14" s="496" customFormat="1">
      <c r="A45" s="748" t="s">
        <v>819</v>
      </c>
      <c r="B45" s="753">
        <f>GREET1_Import_Export!J530</f>
        <v>1096.4613141041298</v>
      </c>
      <c r="C45" s="245"/>
      <c r="D45" s="47">
        <f>(GREET1_Import_Export!$C$179*GREET1_Import_Export!B185+GREET1_Import_Export!C185)*GREET1_Import_Export!$B$27/1000000/GREET1_Import_Export!$E$27*454*2000</f>
        <v>966.54510812642661</v>
      </c>
      <c r="E45" s="47">
        <v>0</v>
      </c>
      <c r="F45" s="250">
        <f>D45</f>
        <v>966.54510812642661</v>
      </c>
      <c r="G45" s="245">
        <v>0</v>
      </c>
      <c r="H45" s="47">
        <f>D45</f>
        <v>966.54510812642661</v>
      </c>
      <c r="I45" s="47">
        <v>0</v>
      </c>
      <c r="J45" s="250">
        <f>D45</f>
        <v>966.54510812642661</v>
      </c>
      <c r="K45" s="245">
        <v>0</v>
      </c>
      <c r="L45" s="47">
        <f>(GREET1_Import_Export!$D$215*GREET1_Import_Export!C221+GREET1_Import_Export!D221)*GREET1_Import_Export!$B$29/1000000/GREET1_Import_Export!$E$29*454*2000</f>
        <v>153.05524701449926</v>
      </c>
      <c r="M45" s="245">
        <v>0</v>
      </c>
      <c r="N45" s="613"/>
    </row>
    <row r="46" spans="1:14" s="496" customFormat="1">
      <c r="A46" s="609" t="s">
        <v>864</v>
      </c>
      <c r="B46" s="2678"/>
      <c r="C46" s="544"/>
      <c r="D46" s="597"/>
      <c r="E46" s="597"/>
      <c r="F46" s="755"/>
      <c r="G46" s="544"/>
      <c r="H46" s="597"/>
      <c r="I46" s="597"/>
      <c r="J46" s="755"/>
      <c r="K46" s="544"/>
      <c r="L46" s="597"/>
      <c r="M46" s="544"/>
      <c r="N46" s="613"/>
    </row>
    <row r="47" spans="1:14" s="496" customFormat="1">
      <c r="A47" s="498" t="s">
        <v>821</v>
      </c>
      <c r="B47" s="749">
        <f>GREET1_Import_Export!J532</f>
        <v>646.99772514048402</v>
      </c>
      <c r="C47" s="348"/>
      <c r="D47" s="349">
        <f>(GREET1_Import_Export!$C$179*GREET1_Import_Export!B186+GREET1_Import_Export!C186)*GREET1_Import_Export!$B$27/1000000/GREET1_Import_Export!$E$27*454*2000</f>
        <v>1016.5304261200441</v>
      </c>
      <c r="E47" s="349">
        <f>GREET1_Import_Export!$L72/1000000*GREET1_Import_Export!$B$28/GREET1_Import_Export!$E$28*454*2000</f>
        <v>141.20307007650274</v>
      </c>
      <c r="F47" s="347">
        <f t="shared" ref="F47:F57" si="0">D47</f>
        <v>1016.5304261200441</v>
      </c>
      <c r="G47" s="348">
        <f>GREET1_Import_Export!$L72/1000000*GREET1_Import_Export!$B$28/GREET1_Import_Export!$E$28*454*2000</f>
        <v>141.20307007650274</v>
      </c>
      <c r="H47" s="349">
        <f t="shared" ref="H47:H57" si="1">D47</f>
        <v>1016.5304261200441</v>
      </c>
      <c r="I47" s="349">
        <f>GREET1_Import_Export!$L72/1000000*GREET1_Import_Export!$B$28/GREET1_Import_Export!$E$28*454*2000</f>
        <v>141.20307007650274</v>
      </c>
      <c r="J47" s="347">
        <f t="shared" ref="J47:J57" si="2">D47</f>
        <v>1016.5304261200441</v>
      </c>
      <c r="K47" s="348">
        <f>GREET1_Import_Export!$L72/1000000*GREET1_Import_Export!$B$28/GREET1_Import_Export!$E$28*454*2000</f>
        <v>141.20307007650274</v>
      </c>
      <c r="L47" s="349">
        <f>(GREET1_Import_Export!$D$215*GREET1_Import_Export!C222+GREET1_Import_Export!D222)*GREET1_Import_Export!$B$29/1000000/GREET1_Import_Export!$E$29*454*2000</f>
        <v>406.02242842443138</v>
      </c>
      <c r="M47" s="348">
        <f>454*2000</f>
        <v>908000</v>
      </c>
      <c r="N47" s="613"/>
    </row>
    <row r="48" spans="1:14" s="496" customFormat="1">
      <c r="A48" s="498" t="s">
        <v>822</v>
      </c>
      <c r="B48" s="749">
        <f>GREET1_Import_Export!J533</f>
        <v>835.5471536135426</v>
      </c>
      <c r="C48" s="348"/>
      <c r="D48" s="349">
        <f>(GREET1_Import_Export!$C$179*GREET1_Import_Export!B187+GREET1_Import_Export!C187)*GREET1_Import_Export!$B$27/1000000/GREET1_Import_Export!$E$27*454*2000</f>
        <v>506.82435658522297</v>
      </c>
      <c r="E48" s="349">
        <f>GREET1_Import_Export!$L73/1000000*GREET1_Import_Export!$B$28/GREET1_Import_Export!$E$28*454*2000</f>
        <v>624.72012899089248</v>
      </c>
      <c r="F48" s="347">
        <f t="shared" si="0"/>
        <v>506.82435658522297</v>
      </c>
      <c r="G48" s="348">
        <f>GREET1_Import_Export!$L73/1000000*GREET1_Import_Export!$B$28/GREET1_Import_Export!$E$28*454*2000</f>
        <v>624.72012899089248</v>
      </c>
      <c r="H48" s="349">
        <f t="shared" si="1"/>
        <v>506.82435658522297</v>
      </c>
      <c r="I48" s="349">
        <f>GREET1_Import_Export!$L73/1000000*GREET1_Import_Export!$B$28/GREET1_Import_Export!$E$28*454*2000</f>
        <v>624.72012899089248</v>
      </c>
      <c r="J48" s="347">
        <f t="shared" si="2"/>
        <v>506.82435658522297</v>
      </c>
      <c r="K48" s="348">
        <f>GREET1_Import_Export!$L73/1000000*GREET1_Import_Export!$B$28/GREET1_Import_Export!$E$28*454*2000</f>
        <v>624.72012899089248</v>
      </c>
      <c r="L48" s="349">
        <f>(GREET1_Import_Export!$D$215*GREET1_Import_Export!C223+GREET1_Import_Export!D223)*GREET1_Import_Export!$B$29/1000000/GREET1_Import_Export!$E$29*454*2000</f>
        <v>352.86982419027714</v>
      </c>
      <c r="M48" s="348">
        <v>0</v>
      </c>
      <c r="N48" s="613"/>
    </row>
    <row r="49" spans="1:20" s="496" customFormat="1">
      <c r="A49" s="498" t="s">
        <v>823</v>
      </c>
      <c r="B49" s="749">
        <f>GREET1_Import_Export!J534</f>
        <v>1170.2795529204723</v>
      </c>
      <c r="C49" s="348"/>
      <c r="D49" s="349">
        <f>(GREET1_Import_Export!$C$179*GREET1_Import_Export!B188+GREET1_Import_Export!C188)*GREET1_Import_Export!$B$27/1000000/GREET1_Import_Export!$E$27*454*2000</f>
        <v>770.7322326894581</v>
      </c>
      <c r="E49" s="349">
        <f>GREET1_Import_Export!$L74/1000000*GREET1_Import_Export!$B$28/GREET1_Import_Export!$E$28*454*2000</f>
        <v>4425.8711942877962</v>
      </c>
      <c r="F49" s="347">
        <f t="shared" si="0"/>
        <v>770.7322326894581</v>
      </c>
      <c r="G49" s="348">
        <f>GREET1_Import_Export!$L74/1000000*GREET1_Import_Export!$B$28/GREET1_Import_Export!$E$28*454*2000</f>
        <v>4425.8711942877962</v>
      </c>
      <c r="H49" s="349">
        <f t="shared" si="1"/>
        <v>770.7322326894581</v>
      </c>
      <c r="I49" s="349">
        <f>GREET1_Import_Export!$L74/1000000*GREET1_Import_Export!$B$28/GREET1_Import_Export!$E$28*454*2000</f>
        <v>4425.8711942877962</v>
      </c>
      <c r="J49" s="347">
        <f t="shared" si="2"/>
        <v>770.7322326894581</v>
      </c>
      <c r="K49" s="348">
        <f>GREET1_Import_Export!$L74/1000000*GREET1_Import_Export!$B$28/GREET1_Import_Export!$E$28*454*2000</f>
        <v>4425.8711942877962</v>
      </c>
      <c r="L49" s="349">
        <f>(GREET1_Import_Export!$D$215*GREET1_Import_Export!C224+GREET1_Import_Export!D224)*GREET1_Import_Export!$B$29/1000000/GREET1_Import_Export!$E$29*454*2000</f>
        <v>415.51467475577215</v>
      </c>
      <c r="M49" s="348">
        <v>0</v>
      </c>
      <c r="N49" s="613"/>
    </row>
    <row r="50" spans="1:20" s="496" customFormat="1">
      <c r="A50" s="498" t="s">
        <v>824</v>
      </c>
      <c r="B50" s="749">
        <f>GREET1_Import_Export!J535</f>
        <v>83.828398036640237</v>
      </c>
      <c r="C50" s="348"/>
      <c r="D50" s="349">
        <f>(GREET1_Import_Export!$C$179*GREET1_Import_Export!B189+GREET1_Import_Export!C189)*GREET1_Import_Export!$B$27/1000000/GREET1_Import_Export!$E$27*454*2000</f>
        <v>69.932178283998354</v>
      </c>
      <c r="E50" s="349">
        <f>GREET1_Import_Export!$L75/1000000*GREET1_Import_Export!$B$28/GREET1_Import_Export!$E$28*454*2000</f>
        <v>788.20010083788691</v>
      </c>
      <c r="F50" s="347">
        <f t="shared" si="0"/>
        <v>69.932178283998354</v>
      </c>
      <c r="G50" s="348">
        <f>GREET1_Import_Export!$L75/1000000*GREET1_Import_Export!$B$28/GREET1_Import_Export!$E$28*454*2000</f>
        <v>788.20010083788691</v>
      </c>
      <c r="H50" s="349">
        <f t="shared" si="1"/>
        <v>69.932178283998354</v>
      </c>
      <c r="I50" s="349">
        <f>GREET1_Import_Export!$L75/1000000*GREET1_Import_Export!$B$28/GREET1_Import_Export!$E$28*454*2000</f>
        <v>788.20010083788691</v>
      </c>
      <c r="J50" s="347">
        <f t="shared" si="2"/>
        <v>69.932178283998354</v>
      </c>
      <c r="K50" s="348">
        <f>GREET1_Import_Export!$L75/1000000*GREET1_Import_Export!$B$28/GREET1_Import_Export!$E$28*454*2000</f>
        <v>788.20010083788691</v>
      </c>
      <c r="L50" s="349">
        <f>(GREET1_Import_Export!$D$215*GREET1_Import_Export!C225+GREET1_Import_Export!D225)*GREET1_Import_Export!$B$29/1000000/GREET1_Import_Export!$E$29*454*2000</f>
        <v>34.545246630000001</v>
      </c>
      <c r="M50" s="348">
        <v>0</v>
      </c>
      <c r="N50" s="613"/>
    </row>
    <row r="51" spans="1:20" s="496" customFormat="1">
      <c r="A51" s="347" t="s">
        <v>825</v>
      </c>
      <c r="B51" s="749">
        <f>GREET1_Import_Export!J536</f>
        <v>72.240149797399781</v>
      </c>
      <c r="C51" s="348"/>
      <c r="D51" s="349">
        <f>(GREET1_Import_Export!$C$179*GREET1_Import_Export!B190+GREET1_Import_Export!C190)*GREET1_Import_Export!$B$27/1000000/GREET1_Import_Export!$E$27*454*2000</f>
        <v>60.127751235877788</v>
      </c>
      <c r="E51" s="349">
        <f>GREET1_Import_Export!$L76/1000000*GREET1_Import_Export!$B$28/GREET1_Import_Export!$E$28*454*2000</f>
        <v>410.53700051001829</v>
      </c>
      <c r="F51" s="347">
        <f t="shared" si="0"/>
        <v>60.127751235877788</v>
      </c>
      <c r="G51" s="348">
        <f>GREET1_Import_Export!$L76/1000000*GREET1_Import_Export!$B$28/GREET1_Import_Export!$E$28*454*2000</f>
        <v>410.53700051001829</v>
      </c>
      <c r="H51" s="349">
        <f t="shared" si="1"/>
        <v>60.127751235877788</v>
      </c>
      <c r="I51" s="349">
        <f>GREET1_Import_Export!$L76/1000000*GREET1_Import_Export!$B$28/GREET1_Import_Export!$E$28*454*2000</f>
        <v>410.53700051001829</v>
      </c>
      <c r="J51" s="347">
        <f t="shared" si="2"/>
        <v>60.127751235877788</v>
      </c>
      <c r="K51" s="348">
        <f>GREET1_Import_Export!$L76/1000000*GREET1_Import_Export!$B$28/GREET1_Import_Export!$E$28*454*2000</f>
        <v>410.53700051001829</v>
      </c>
      <c r="L51" s="349">
        <f>(GREET1_Import_Export!$D$215*GREET1_Import_Export!C226+GREET1_Import_Export!D226)*GREET1_Import_Export!$B$29/1000000/GREET1_Import_Export!$E$29*454*2000</f>
        <v>28.647490928111544</v>
      </c>
      <c r="M51" s="348">
        <v>0</v>
      </c>
      <c r="N51" s="613"/>
    </row>
    <row r="52" spans="1:20" s="496" customFormat="1">
      <c r="A52" s="347" t="s">
        <v>826</v>
      </c>
      <c r="B52" s="749">
        <f>GREET1_Import_Export!J537</f>
        <v>387.31790386698236</v>
      </c>
      <c r="C52" s="348"/>
      <c r="D52" s="349">
        <f>(GREET1_Import_Export!$C$179*GREET1_Import_Export!B191+GREET1_Import_Export!C191)*GREET1_Import_Export!$B$27/1000000/GREET1_Import_Export!$E$27*454*2000</f>
        <v>213.46776563991827</v>
      </c>
      <c r="E52" s="349">
        <f>GREET1_Import_Export!$L77/1000000*GREET1_Import_Export!$B$28/GREET1_Import_Export!$E$28*454*2000</f>
        <v>9933.3323797449902</v>
      </c>
      <c r="F52" s="347">
        <f t="shared" si="0"/>
        <v>213.46776563991827</v>
      </c>
      <c r="G52" s="348">
        <f>GREET1_Import_Export!$L77/1000000*GREET1_Import_Export!$B$28/GREET1_Import_Export!$E$28*454*2000</f>
        <v>9933.3323797449902</v>
      </c>
      <c r="H52" s="349">
        <f t="shared" si="1"/>
        <v>213.46776563991827</v>
      </c>
      <c r="I52" s="349">
        <f>GREET1_Import_Export!$L77/1000000*GREET1_Import_Export!$B$28/GREET1_Import_Export!$E$28*454*2000</f>
        <v>9933.3323797449902</v>
      </c>
      <c r="J52" s="347">
        <f t="shared" si="2"/>
        <v>213.46776563991827</v>
      </c>
      <c r="K52" s="348">
        <f>GREET1_Import_Export!$L77/1000000*GREET1_Import_Export!$B$28/GREET1_Import_Export!$E$28*454*2000</f>
        <v>9933.3323797449902</v>
      </c>
      <c r="L52" s="349">
        <f>(GREET1_Import_Export!$D$215*GREET1_Import_Export!C227+GREET1_Import_Export!D227)*GREET1_Import_Export!$B$29/1000000/GREET1_Import_Export!$E$29*454*2000</f>
        <v>298.12602268352981</v>
      </c>
      <c r="M52" s="348">
        <v>0</v>
      </c>
      <c r="N52" s="613"/>
    </row>
    <row r="53" spans="1:20" s="496" customFormat="1">
      <c r="A53" s="749" t="s">
        <v>827</v>
      </c>
      <c r="B53" s="749">
        <f>GREET1_Import_Export!J538</f>
        <v>9.454219512945258</v>
      </c>
      <c r="C53" s="348"/>
      <c r="D53" s="349">
        <f>(GREET1_Import_Export!$C$179*GREET1_Import_Export!B192+GREET1_Import_Export!C192)*GREET1_Import_Export!$B$27/1000000/GREET1_Import_Export!$E$27*454*2000</f>
        <v>8.3339768654095874</v>
      </c>
      <c r="E53" s="349">
        <f>GREET1_Import_Export!$L78/1000000*GREET1_Import_Export!$B$28/GREET1_Import_Export!$E$28*454*2000</f>
        <v>26.02804583233516</v>
      </c>
      <c r="F53" s="347">
        <f t="shared" si="0"/>
        <v>8.3339768654095874</v>
      </c>
      <c r="G53" s="348">
        <f>GREET1_Import_Export!$L78/1000000*GREET1_Import_Export!$B$28/GREET1_Import_Export!$E$28*454*2000</f>
        <v>26.02804583233516</v>
      </c>
      <c r="H53" s="349">
        <f t="shared" si="1"/>
        <v>8.3339768654095874</v>
      </c>
      <c r="I53" s="349">
        <f>GREET1_Import_Export!$L78/1000000*GREET1_Import_Export!$B$28/GREET1_Import_Export!$E$28*454*2000</f>
        <v>26.02804583233516</v>
      </c>
      <c r="J53" s="347">
        <f t="shared" si="2"/>
        <v>8.3339768654095874</v>
      </c>
      <c r="K53" s="348">
        <f>GREET1_Import_Export!$L78/1000000*GREET1_Import_Export!$B$28/GREET1_Import_Export!$E$28*454*2000</f>
        <v>26.02804583233516</v>
      </c>
      <c r="L53" s="349">
        <f>(GREET1_Import_Export!$D$215*GREET1_Import_Export!C228+GREET1_Import_Export!D228)*GREET1_Import_Export!$B$29/1000000/GREET1_Import_Export!$E$29*454*2000</f>
        <v>1.3218677009184621</v>
      </c>
      <c r="M53" s="348">
        <v>0</v>
      </c>
      <c r="N53" s="613"/>
    </row>
    <row r="54" spans="1:20" s="496" customFormat="1">
      <c r="A54" s="749" t="s">
        <v>828</v>
      </c>
      <c r="B54" s="749">
        <f>GREET1_Import_Export!J539</f>
        <v>24.748024737437266</v>
      </c>
      <c r="C54" s="348"/>
      <c r="D54" s="349">
        <f>(GREET1_Import_Export!$C$179*GREET1_Import_Export!B193+GREET1_Import_Export!C193)*GREET1_Import_Export!$B$27/1000000/GREET1_Import_Export!$E$27*454*2000</f>
        <v>13.725951621338114</v>
      </c>
      <c r="E54" s="349">
        <f>GREET1_Import_Export!$L79/1000000*GREET1_Import_Export!$B$28/GREET1_Import_Export!$E$28*454*2000</f>
        <v>18.063628022440806</v>
      </c>
      <c r="F54" s="347">
        <f t="shared" si="0"/>
        <v>13.725951621338114</v>
      </c>
      <c r="G54" s="348">
        <f>GREET1_Import_Export!$L79/1000000*GREET1_Import_Export!$B$28/GREET1_Import_Export!$E$28*454*2000</f>
        <v>18.063628022440806</v>
      </c>
      <c r="H54" s="349">
        <f t="shared" si="1"/>
        <v>13.725951621338114</v>
      </c>
      <c r="I54" s="349">
        <f>GREET1_Import_Export!$L79/1000000*GREET1_Import_Export!$B$28/GREET1_Import_Export!$E$28*454*2000</f>
        <v>18.063628022440806</v>
      </c>
      <c r="J54" s="347">
        <f t="shared" si="2"/>
        <v>13.725951621338114</v>
      </c>
      <c r="K54" s="348">
        <f>GREET1_Import_Export!$L79/1000000*GREET1_Import_Export!$B$28/GREET1_Import_Export!$E$28*454*2000</f>
        <v>18.063628022440806</v>
      </c>
      <c r="L54" s="349">
        <f>(GREET1_Import_Export!$D$215*GREET1_Import_Export!C229+GREET1_Import_Export!D229)*GREET1_Import_Export!$B$29/1000000/GREET1_Import_Export!$E$29*454*2000</f>
        <v>1.8609118391586439</v>
      </c>
      <c r="M54" s="348">
        <v>0</v>
      </c>
      <c r="N54" s="613"/>
    </row>
    <row r="55" spans="1:20" s="496" customFormat="1">
      <c r="A55" s="347" t="s">
        <v>829</v>
      </c>
      <c r="B55" s="749">
        <f>GREET1_Import_Export!J540</f>
        <v>5112.628749053506</v>
      </c>
      <c r="C55" s="348"/>
      <c r="D55" s="349">
        <f>(GREET1_Import_Export!$C$179*GREET1_Import_Export!B194+GREET1_Import_Export!C194)*GREET1_Import_Export!$B$27/1000000/GREET1_Import_Export!$E$27*454*2000</f>
        <v>4323.2506359701056</v>
      </c>
      <c r="E55" s="349">
        <f>GREET1_Import_Export!$L80/1000000*GREET1_Import_Export!$B$28/GREET1_Import_Export!$E$28*454*2000</f>
        <v>59.366396211293264</v>
      </c>
      <c r="F55" s="347">
        <f t="shared" si="0"/>
        <v>4323.2506359701056</v>
      </c>
      <c r="G55" s="348">
        <f>GREET1_Import_Export!$L80/1000000*GREET1_Import_Export!$B$28/GREET1_Import_Export!$E$28*454*2000</f>
        <v>59.366396211293264</v>
      </c>
      <c r="H55" s="349">
        <f t="shared" si="1"/>
        <v>4323.2506359701056</v>
      </c>
      <c r="I55" s="349">
        <f>GREET1_Import_Export!$L80/1000000*GREET1_Import_Export!$B$28/GREET1_Import_Export!$E$28*454*2000</f>
        <v>59.366396211293264</v>
      </c>
      <c r="J55" s="347">
        <f t="shared" si="2"/>
        <v>4323.2506359701056</v>
      </c>
      <c r="K55" s="348">
        <f>GREET1_Import_Export!$L80/1000000*GREET1_Import_Export!$B$28/GREET1_Import_Export!$E$28*454*2000</f>
        <v>59.366396211293264</v>
      </c>
      <c r="L55" s="349">
        <f>(GREET1_Import_Export!$D$215*GREET1_Import_Export!C230+GREET1_Import_Export!D230)*GREET1_Import_Export!$B$29/1000000/GREET1_Import_Export!$E$29*454*2000</f>
        <v>3759.8914488509899</v>
      </c>
      <c r="M55" s="348">
        <v>0</v>
      </c>
      <c r="N55" s="613"/>
    </row>
    <row r="56" spans="1:20" s="496" customFormat="1">
      <c r="A56" s="347" t="s">
        <v>830</v>
      </c>
      <c r="B56" s="749">
        <f>GREET1_Import_Export!J541</f>
        <v>23.052392545257241</v>
      </c>
      <c r="C56" s="348"/>
      <c r="D56" s="349">
        <f>(GREET1_Import_Export!$C$179*GREET1_Import_Export!B195+GREET1_Import_Export!C195)*GREET1_Import_Export!$B$27/1000000/GREET1_Import_Export!$E$27*454*2000</f>
        <v>10.780863115115137</v>
      </c>
      <c r="E56" s="349">
        <f>GREET1_Import_Export!$L81/1000000*GREET1_Import_Export!$B$28/GREET1_Import_Export!$E$28*454*2000</f>
        <v>66.21190248451731</v>
      </c>
      <c r="F56" s="347">
        <f t="shared" si="0"/>
        <v>10.780863115115137</v>
      </c>
      <c r="G56" s="348">
        <f>GREET1_Import_Export!$L81/1000000*GREET1_Import_Export!$B$28/GREET1_Import_Export!$E$28*454*2000</f>
        <v>66.21190248451731</v>
      </c>
      <c r="H56" s="349">
        <f t="shared" si="1"/>
        <v>10.780863115115137</v>
      </c>
      <c r="I56" s="349">
        <f>GREET1_Import_Export!$L81/1000000*GREET1_Import_Export!$B$28/GREET1_Import_Export!$E$28*454*2000</f>
        <v>66.21190248451731</v>
      </c>
      <c r="J56" s="347">
        <f t="shared" si="2"/>
        <v>10.780863115115137</v>
      </c>
      <c r="K56" s="348">
        <f>GREET1_Import_Export!$L81/1000000*GREET1_Import_Export!$B$28/GREET1_Import_Export!$E$28*454*2000</f>
        <v>66.21190248451731</v>
      </c>
      <c r="L56" s="349">
        <f>(GREET1_Import_Export!$D$215*GREET1_Import_Export!C231+GREET1_Import_Export!D231)*GREET1_Import_Export!$B$29/1000000/GREET1_Import_Export!$E$29*454*2000</f>
        <v>5.8188554105738071</v>
      </c>
      <c r="M56" s="348">
        <v>0</v>
      </c>
      <c r="N56" s="613"/>
    </row>
    <row r="57" spans="1:20" s="535" customFormat="1">
      <c r="A57" s="517" t="s">
        <v>831</v>
      </c>
      <c r="B57" s="749">
        <f>GREET1_Import_Export!J542</f>
        <v>961657.50852660066</v>
      </c>
      <c r="C57" s="247"/>
      <c r="D57" s="246">
        <f>(GREET1_Import_Export!$C$179*GREET1_Import_Export!B196+GREET1_Import_Export!C196)*GREET1_Import_Export!$B$27/1000000/GREET1_Import_Export!$E$27*454*2000</f>
        <v>634434.35178228782</v>
      </c>
      <c r="E57" s="246">
        <f>GREET1_Import_Export!$L82/1000000*GREET1_Import_Export!$B$28/GREET1_Import_Export!$E$28*454*2000</f>
        <v>3288946.5898123789</v>
      </c>
      <c r="F57" s="251">
        <f t="shared" si="0"/>
        <v>634434.35178228782</v>
      </c>
      <c r="G57" s="247">
        <f>GREET1_Import_Export!$L82/1000000*GREET1_Import_Export!$B$28/GREET1_Import_Export!$E$28*454*2000</f>
        <v>3288946.5898123789</v>
      </c>
      <c r="H57" s="246">
        <f t="shared" si="1"/>
        <v>634434.35178228782</v>
      </c>
      <c r="I57" s="246">
        <f>GREET1_Import_Export!$L82/1000000*GREET1_Import_Export!$B$28/GREET1_Import_Export!$E$28*454*2000</f>
        <v>3288946.5898123789</v>
      </c>
      <c r="J57" s="251">
        <f t="shared" si="2"/>
        <v>634434.35178228782</v>
      </c>
      <c r="K57" s="247">
        <f>GREET1_Import_Export!$L82/1000000*GREET1_Import_Export!$B$28/GREET1_Import_Export!$E$28*454*2000</f>
        <v>3288946.5898123789</v>
      </c>
      <c r="L57" s="246">
        <f>(GREET1_Import_Export!$D$215*GREET1_Import_Export!C232+GREET1_Import_Export!D232)*GREET1_Import_Export!$B$29/1000000/GREET1_Import_Export!$E$29*454*2000</f>
        <v>324309.34487650963</v>
      </c>
      <c r="M57" s="247">
        <v>0</v>
      </c>
      <c r="N57" s="616"/>
    </row>
    <row r="58" spans="1:20" s="496" customFormat="1">
      <c r="A58" s="699" t="s">
        <v>865</v>
      </c>
      <c r="B58" s="1094"/>
      <c r="C58" s="514"/>
      <c r="D58" s="513"/>
      <c r="E58" s="513"/>
      <c r="F58" s="515"/>
      <c r="G58" s="514"/>
      <c r="H58" s="513"/>
      <c r="I58" s="513"/>
      <c r="J58" s="515"/>
      <c r="K58" s="514"/>
      <c r="L58" s="513"/>
      <c r="M58" s="514"/>
      <c r="N58" s="613"/>
    </row>
    <row r="59" spans="1:20" s="496" customFormat="1">
      <c r="A59" s="347" t="s">
        <v>821</v>
      </c>
      <c r="B59" s="749">
        <f>GREET1_Import_Export!J544</f>
        <v>292.50637471349972</v>
      </c>
      <c r="C59" s="391"/>
      <c r="D59" s="349">
        <f>(GREET1_Import_Export!$C$200*GREET1_Import_Export!B201+GREET1_Import_Export!C201)*GREET1_Import_Export!$B$27/1000000/GREET1_Import_Export!$E$27*454*2000</f>
        <v>597.45667005775636</v>
      </c>
      <c r="E59" s="389">
        <f t="shared" ref="E59:E66" si="3">E47*E$27</f>
        <v>70.60153503825137</v>
      </c>
      <c r="F59" s="347">
        <f t="shared" ref="F59:F66" si="4">D59</f>
        <v>597.45667005775636</v>
      </c>
      <c r="G59" s="391">
        <f t="shared" ref="G59:G66" si="5">G47*G$27</f>
        <v>70.60153503825137</v>
      </c>
      <c r="H59" s="349">
        <f t="shared" ref="H59:H66" si="6">D59</f>
        <v>597.45667005775636</v>
      </c>
      <c r="I59" s="389">
        <f t="shared" ref="I59:I66" si="7">I47*I$27</f>
        <v>70.60153503825137</v>
      </c>
      <c r="J59" s="347">
        <f t="shared" ref="J59:J66" si="8">D59</f>
        <v>597.45667005775636</v>
      </c>
      <c r="K59" s="391">
        <f t="shared" ref="K59:K66" si="9">K47*K$27</f>
        <v>70.60153503825137</v>
      </c>
      <c r="L59" s="349">
        <f>(GREET1_Import_Export!$D$215*GREET1_Import_Export!C237+GREET1_Import_Export!D237)*GREET1_Import_Export!$B$29/1000000/GREET1_Import_Export!$E$29*454*2000</f>
        <v>157.26778113774395</v>
      </c>
      <c r="M59" s="391">
        <f t="shared" ref="M59:M66" si="10">M47*M$27</f>
        <v>635600</v>
      </c>
      <c r="N59" s="613"/>
    </row>
    <row r="60" spans="1:20" s="496" customFormat="1">
      <c r="A60" s="347" t="s">
        <v>822</v>
      </c>
      <c r="B60" s="749">
        <f>GREET1_Import_Export!J545</f>
        <v>163.56548568441761</v>
      </c>
      <c r="C60" s="391"/>
      <c r="D60" s="349">
        <f>(GREET1_Import_Export!$C$200*GREET1_Import_Export!B202+GREET1_Import_Export!C202)*GREET1_Import_Export!$B$27/1000000/GREET1_Import_Export!$E$27*454*2000</f>
        <v>104.1607502734597</v>
      </c>
      <c r="E60" s="389">
        <f t="shared" si="3"/>
        <v>312.36006449544624</v>
      </c>
      <c r="F60" s="347">
        <f t="shared" si="4"/>
        <v>104.1607502734597</v>
      </c>
      <c r="G60" s="391">
        <f t="shared" si="5"/>
        <v>312.36006449544624</v>
      </c>
      <c r="H60" s="349">
        <f t="shared" si="6"/>
        <v>104.1607502734597</v>
      </c>
      <c r="I60" s="389">
        <f t="shared" si="7"/>
        <v>312.36006449544624</v>
      </c>
      <c r="J60" s="347">
        <f t="shared" si="8"/>
        <v>104.1607502734597</v>
      </c>
      <c r="K60" s="391">
        <f t="shared" si="9"/>
        <v>312.36006449544624</v>
      </c>
      <c r="L60" s="349">
        <f>(GREET1_Import_Export!$D$215*GREET1_Import_Export!C238+GREET1_Import_Export!D238)*GREET1_Import_Export!$B$29/1000000/GREET1_Import_Export!$E$29*454*2000</f>
        <v>22.468097429737469</v>
      </c>
      <c r="M60" s="391">
        <f t="shared" si="10"/>
        <v>0</v>
      </c>
      <c r="N60" s="613"/>
    </row>
    <row r="61" spans="1:20" s="496" customFormat="1">
      <c r="A61" s="347" t="s">
        <v>823</v>
      </c>
      <c r="B61" s="749">
        <f>GREET1_Import_Export!J546</f>
        <v>255.03734294608418</v>
      </c>
      <c r="C61" s="391"/>
      <c r="D61" s="349">
        <f>(GREET1_Import_Export!$C$200*GREET1_Import_Export!B203+GREET1_Import_Export!C203)*GREET1_Import_Export!$B$27/1000000/GREET1_Import_Export!$E$27*454*2000</f>
        <v>160.589918400258</v>
      </c>
      <c r="E61" s="389">
        <f t="shared" si="3"/>
        <v>2212.9355971438981</v>
      </c>
      <c r="F61" s="347">
        <f t="shared" si="4"/>
        <v>160.589918400258</v>
      </c>
      <c r="G61" s="391">
        <f t="shared" si="5"/>
        <v>2212.9355971438981</v>
      </c>
      <c r="H61" s="349">
        <f t="shared" si="6"/>
        <v>160.589918400258</v>
      </c>
      <c r="I61" s="389">
        <f t="shared" si="7"/>
        <v>2212.9355971438981</v>
      </c>
      <c r="J61" s="347">
        <f t="shared" si="8"/>
        <v>160.589918400258</v>
      </c>
      <c r="K61" s="391">
        <f t="shared" si="9"/>
        <v>2212.9355971438981</v>
      </c>
      <c r="L61" s="349">
        <f>(GREET1_Import_Export!$D$215*GREET1_Import_Export!C239+GREET1_Import_Export!D239)*GREET1_Import_Export!$B$29/1000000/GREET1_Import_Export!$E$29*454*2000</f>
        <v>31.383272831456921</v>
      </c>
      <c r="M61" s="391">
        <f t="shared" si="10"/>
        <v>0</v>
      </c>
      <c r="N61" s="613"/>
    </row>
    <row r="62" spans="1:20" s="496" customFormat="1">
      <c r="A62" s="347" t="s">
        <v>824</v>
      </c>
      <c r="B62" s="749">
        <f>GREET1_Import_Export!J547</f>
        <v>27.634369770702303</v>
      </c>
      <c r="C62" s="391"/>
      <c r="D62" s="349">
        <f>(GREET1_Import_Export!$C$200*GREET1_Import_Export!B204+GREET1_Import_Export!C204)*GREET1_Import_Export!$B$27/1000000/GREET1_Import_Export!$E$27*454*2000</f>
        <v>34.082018634479518</v>
      </c>
      <c r="E62" s="389">
        <f t="shared" si="3"/>
        <v>394.10005041894345</v>
      </c>
      <c r="F62" s="347">
        <f t="shared" si="4"/>
        <v>34.082018634479518</v>
      </c>
      <c r="G62" s="391">
        <f t="shared" si="5"/>
        <v>394.10005041894345</v>
      </c>
      <c r="H62" s="349">
        <f t="shared" si="6"/>
        <v>34.082018634479518</v>
      </c>
      <c r="I62" s="389">
        <f t="shared" si="7"/>
        <v>394.10005041894345</v>
      </c>
      <c r="J62" s="347">
        <f t="shared" si="8"/>
        <v>34.082018634479518</v>
      </c>
      <c r="K62" s="391">
        <f t="shared" si="9"/>
        <v>394.10005041894345</v>
      </c>
      <c r="L62" s="349">
        <f>(GREET1_Import_Export!$D$215*GREET1_Import_Export!C240+GREET1_Import_Export!D240)*GREET1_Import_Export!$B$29/1000000/GREET1_Import_Export!$E$29*454*2000</f>
        <v>4.038733285021828</v>
      </c>
      <c r="M62" s="391">
        <f t="shared" si="10"/>
        <v>0</v>
      </c>
      <c r="N62" s="613"/>
    </row>
    <row r="63" spans="1:20" s="349" customFormat="1">
      <c r="A63" s="347" t="s">
        <v>825</v>
      </c>
      <c r="B63" s="749">
        <f>GREET1_Import_Export!J548</f>
        <v>25.000352829601859</v>
      </c>
      <c r="C63" s="391"/>
      <c r="D63" s="349">
        <f>(GREET1_Import_Export!$C$200*GREET1_Import_Export!B205+GREET1_Import_Export!C205)*GREET1_Import_Export!$B$27/1000000/GREET1_Import_Export!$E$27*454*2000</f>
        <v>29.74599283919353</v>
      </c>
      <c r="E63" s="389">
        <f t="shared" si="3"/>
        <v>205.26850025500914</v>
      </c>
      <c r="F63" s="347">
        <f t="shared" si="4"/>
        <v>29.74599283919353</v>
      </c>
      <c r="G63" s="391">
        <f t="shared" si="5"/>
        <v>205.26850025500914</v>
      </c>
      <c r="H63" s="349">
        <f t="shared" si="6"/>
        <v>29.74599283919353</v>
      </c>
      <c r="I63" s="389">
        <f t="shared" si="7"/>
        <v>205.26850025500914</v>
      </c>
      <c r="J63" s="347">
        <f t="shared" si="8"/>
        <v>29.74599283919353</v>
      </c>
      <c r="K63" s="391">
        <f t="shared" si="9"/>
        <v>205.26850025500914</v>
      </c>
      <c r="L63" s="349">
        <f>(GREET1_Import_Export!$D$215*GREET1_Import_Export!C241+GREET1_Import_Export!D241)*GREET1_Import_Export!$B$29/1000000/GREET1_Import_Export!$E$29*454*2000</f>
        <v>3.4916097272988385</v>
      </c>
      <c r="M63" s="391">
        <f t="shared" si="10"/>
        <v>0</v>
      </c>
      <c r="N63" s="614"/>
    </row>
    <row r="64" spans="1:20" s="349" customFormat="1">
      <c r="A64" s="347" t="s">
        <v>826</v>
      </c>
      <c r="B64" s="749">
        <f>GREET1_Import_Export!J549</f>
        <v>52.66647133617515</v>
      </c>
      <c r="C64" s="391"/>
      <c r="D64" s="349">
        <f>(GREET1_Import_Export!$C$200*GREET1_Import_Export!B206+GREET1_Import_Export!C206)*GREET1_Import_Export!$B$27/1000000/GREET1_Import_Export!$E$27*454*2000</f>
        <v>58.167806046976821</v>
      </c>
      <c r="E64" s="389">
        <f t="shared" si="3"/>
        <v>4966.6661898724951</v>
      </c>
      <c r="F64" s="347">
        <f t="shared" si="4"/>
        <v>58.167806046976821</v>
      </c>
      <c r="G64" s="391">
        <f t="shared" si="5"/>
        <v>4966.6661898724951</v>
      </c>
      <c r="H64" s="349">
        <f t="shared" si="6"/>
        <v>58.167806046976821</v>
      </c>
      <c r="I64" s="389">
        <f t="shared" si="7"/>
        <v>4966.6661898724951</v>
      </c>
      <c r="J64" s="347">
        <f t="shared" si="8"/>
        <v>58.167806046976821</v>
      </c>
      <c r="K64" s="391">
        <f t="shared" si="9"/>
        <v>4966.6661898724951</v>
      </c>
      <c r="L64" s="349">
        <f>(GREET1_Import_Export!$D$215*GREET1_Import_Export!C242+GREET1_Import_Export!D242)*GREET1_Import_Export!$B$29/1000000/GREET1_Import_Export!$E$29*454*2000</f>
        <v>17.551086202375707</v>
      </c>
      <c r="M64" s="391">
        <f t="shared" si="10"/>
        <v>0</v>
      </c>
      <c r="N64" s="613"/>
      <c r="O64" s="496"/>
      <c r="P64" s="496"/>
      <c r="Q64" s="496"/>
      <c r="R64" s="496"/>
      <c r="S64" s="496"/>
      <c r="T64" s="496"/>
    </row>
    <row r="65" spans="1:15" s="349" customFormat="1">
      <c r="A65" s="347" t="s">
        <v>827</v>
      </c>
      <c r="B65" s="749">
        <f>GREET1_Import_Export!J550</f>
        <v>2.166216636388504</v>
      </c>
      <c r="C65" s="391"/>
      <c r="D65" s="349">
        <f>(GREET1_Import_Export!$C$200*GREET1_Import_Export!B207+GREET1_Import_Export!C207)*GREET1_Import_Export!$B$27/1000000/GREET1_Import_Export!$E$27*454*2000</f>
        <v>3.4029775499151085</v>
      </c>
      <c r="E65" s="389">
        <f t="shared" si="3"/>
        <v>13.01402291616758</v>
      </c>
      <c r="F65" s="347">
        <f t="shared" si="4"/>
        <v>3.4029775499151085</v>
      </c>
      <c r="G65" s="391">
        <f t="shared" si="5"/>
        <v>13.01402291616758</v>
      </c>
      <c r="H65" s="349">
        <f t="shared" si="6"/>
        <v>3.4029775499151085</v>
      </c>
      <c r="I65" s="389">
        <f t="shared" si="7"/>
        <v>13.01402291616758</v>
      </c>
      <c r="J65" s="347">
        <f t="shared" si="8"/>
        <v>3.4029775499151085</v>
      </c>
      <c r="K65" s="391">
        <f t="shared" si="9"/>
        <v>13.01402291616758</v>
      </c>
      <c r="L65" s="349">
        <f>(GREET1_Import_Export!$D$215*GREET1_Import_Export!C243+GREET1_Import_Export!D243)*GREET1_Import_Export!$B$29/1000000/GREET1_Import_Export!$E$29*454*2000</f>
        <v>1.6005334752002456E-2</v>
      </c>
      <c r="M65" s="391">
        <f t="shared" si="10"/>
        <v>0</v>
      </c>
      <c r="N65" s="614"/>
    </row>
    <row r="66" spans="1:15" s="349" customFormat="1">
      <c r="A66" s="347" t="s">
        <v>828</v>
      </c>
      <c r="B66" s="749">
        <f>GREET1_Import_Export!J551</f>
        <v>7.304668983264146</v>
      </c>
      <c r="C66" s="391"/>
      <c r="D66" s="349">
        <f>(GREET1_Import_Export!$C$200*GREET1_Import_Export!B208+GREET1_Import_Export!C208)*GREET1_Import_Export!$B$27/1000000/GREET1_Import_Export!$E$27*454*2000</f>
        <v>4.5500776306874702</v>
      </c>
      <c r="E66" s="389">
        <f t="shared" si="3"/>
        <v>9.0318140112204031</v>
      </c>
      <c r="F66" s="347">
        <f t="shared" si="4"/>
        <v>4.5500776306874702</v>
      </c>
      <c r="G66" s="391">
        <f t="shared" si="5"/>
        <v>9.0318140112204031</v>
      </c>
      <c r="H66" s="349">
        <f t="shared" si="6"/>
        <v>4.5500776306874702</v>
      </c>
      <c r="I66" s="389">
        <f t="shared" si="7"/>
        <v>9.0318140112204031</v>
      </c>
      <c r="J66" s="347">
        <f t="shared" si="8"/>
        <v>4.5500776306874702</v>
      </c>
      <c r="K66" s="391">
        <f t="shared" si="9"/>
        <v>9.0318140112204031</v>
      </c>
      <c r="L66" s="349">
        <f>(GREET1_Import_Export!$D$215*GREET1_Import_Export!C244+GREET1_Import_Export!D244)*GREET1_Import_Export!$B$29/1000000/GREET1_Import_Export!$E$29*454*2000</f>
        <v>0.28520082223609117</v>
      </c>
      <c r="M66" s="391">
        <f t="shared" si="10"/>
        <v>0</v>
      </c>
      <c r="N66" s="614"/>
    </row>
    <row r="67" spans="1:15" s="349" customFormat="1">
      <c r="A67" s="512"/>
      <c r="B67" s="512"/>
      <c r="C67" s="512"/>
      <c r="D67" s="512"/>
      <c r="E67" s="512"/>
      <c r="F67" s="512"/>
      <c r="G67" s="512"/>
      <c r="H67" s="512"/>
      <c r="I67" s="512"/>
      <c r="J67" s="512"/>
      <c r="K67" s="512"/>
      <c r="L67" s="512"/>
      <c r="M67" s="512"/>
      <c r="N67" s="614"/>
    </row>
    <row r="68" spans="1:15" s="349" customFormat="1" ht="15">
      <c r="A68" s="602" t="s">
        <v>1433</v>
      </c>
    </row>
    <row r="69" spans="1:15" s="349" customFormat="1" ht="22.5" customHeight="1">
      <c r="A69" s="1570"/>
      <c r="B69" s="3072" t="s">
        <v>157</v>
      </c>
      <c r="C69" s="3073"/>
      <c r="D69" s="3079" t="s">
        <v>158</v>
      </c>
      <c r="E69" s="3079"/>
      <c r="F69" s="3072" t="s">
        <v>159</v>
      </c>
      <c r="G69" s="3073"/>
      <c r="H69" s="3079" t="s">
        <v>160</v>
      </c>
      <c r="I69" s="3079"/>
      <c r="J69" s="3098" t="s">
        <v>161</v>
      </c>
      <c r="K69" s="3100"/>
      <c r="L69" s="3079" t="s">
        <v>162</v>
      </c>
      <c r="M69" s="3079"/>
      <c r="N69" s="3072" t="s">
        <v>163</v>
      </c>
      <c r="O69" s="3073"/>
    </row>
    <row r="70" spans="1:15" s="349" customFormat="1">
      <c r="A70" s="347"/>
      <c r="B70" s="1706" t="s">
        <v>1430</v>
      </c>
      <c r="C70" s="1707" t="s">
        <v>1434</v>
      </c>
      <c r="D70" s="1708" t="s">
        <v>1430</v>
      </c>
      <c r="E70" s="1708" t="s">
        <v>1434</v>
      </c>
      <c r="F70" s="1706" t="s">
        <v>1430</v>
      </c>
      <c r="G70" s="1707" t="s">
        <v>1434</v>
      </c>
      <c r="H70" s="1708" t="s">
        <v>1430</v>
      </c>
      <c r="I70" s="1708" t="s">
        <v>1434</v>
      </c>
      <c r="J70" s="1706" t="s">
        <v>1430</v>
      </c>
      <c r="K70" s="1707" t="s">
        <v>1434</v>
      </c>
      <c r="L70" s="1708" t="s">
        <v>1430</v>
      </c>
      <c r="M70" s="1708" t="s">
        <v>1435</v>
      </c>
      <c r="N70" s="1666" t="s">
        <v>1430</v>
      </c>
      <c r="O70" s="1667" t="s">
        <v>1434</v>
      </c>
    </row>
    <row r="71" spans="1:15" s="349" customFormat="1">
      <c r="A71" s="699" t="s">
        <v>1029</v>
      </c>
      <c r="B71" s="709"/>
      <c r="C71" s="348"/>
      <c r="D71" s="618"/>
      <c r="F71" s="709"/>
      <c r="G71" s="348"/>
      <c r="H71" s="618"/>
      <c r="J71" s="832"/>
      <c r="K71" s="710"/>
      <c r="L71" s="618"/>
      <c r="N71" s="832"/>
      <c r="O71" s="685"/>
    </row>
    <row r="72" spans="1:15" s="349" customFormat="1">
      <c r="A72" s="347" t="s">
        <v>816</v>
      </c>
      <c r="B72" s="347">
        <f t="shared" ref="B72:I74" si="11">D40/2000</f>
        <v>2.2977217947349794E-2</v>
      </c>
      <c r="C72" s="348">
        <f t="shared" si="11"/>
        <v>0</v>
      </c>
      <c r="D72" s="349">
        <f t="shared" si="11"/>
        <v>2.2977217947349794E-2</v>
      </c>
      <c r="E72" s="349">
        <f t="shared" si="11"/>
        <v>0</v>
      </c>
      <c r="F72" s="347">
        <f t="shared" si="11"/>
        <v>2.2977217947349794E-2</v>
      </c>
      <c r="G72" s="348">
        <f t="shared" si="11"/>
        <v>0</v>
      </c>
      <c r="H72" s="349">
        <f t="shared" si="11"/>
        <v>2.2977217947349794E-2</v>
      </c>
      <c r="I72" s="349">
        <f t="shared" si="11"/>
        <v>0</v>
      </c>
      <c r="J72" s="347">
        <f>B40*Vehi_Fluids!$A$15/2000</f>
        <v>9.7268629108059439E-3</v>
      </c>
      <c r="K72" s="348">
        <v>0</v>
      </c>
      <c r="L72" s="349">
        <f>L40*Vehi_Fluids!$A$16/2000</f>
        <v>6.5984818691773557E-3</v>
      </c>
      <c r="M72" s="349">
        <f>M40*Vehi_Fluids!$A$16/2000</f>
        <v>0</v>
      </c>
      <c r="N72" s="347">
        <f>Vehi_Plastics!BR105</f>
        <v>3.7233163965860745E-2</v>
      </c>
      <c r="O72" s="829">
        <v>0</v>
      </c>
    </row>
    <row r="73" spans="1:15" s="349" customFormat="1">
      <c r="A73" s="347" t="s">
        <v>817</v>
      </c>
      <c r="B73" s="347">
        <f t="shared" si="11"/>
        <v>2.2857119219446873E-2</v>
      </c>
      <c r="C73" s="348">
        <f t="shared" si="11"/>
        <v>0</v>
      </c>
      <c r="D73" s="349">
        <f t="shared" si="11"/>
        <v>2.2857119219446873E-2</v>
      </c>
      <c r="E73" s="349">
        <f t="shared" si="11"/>
        <v>0</v>
      </c>
      <c r="F73" s="347">
        <f t="shared" si="11"/>
        <v>2.2857119219446873E-2</v>
      </c>
      <c r="G73" s="348">
        <f t="shared" si="11"/>
        <v>0</v>
      </c>
      <c r="H73" s="349">
        <f t="shared" si="11"/>
        <v>2.2857119219446873E-2</v>
      </c>
      <c r="I73" s="349">
        <f t="shared" si="11"/>
        <v>0</v>
      </c>
      <c r="J73" s="347">
        <f>B41*Vehi_Fluids!$A$15/2000</f>
        <v>9.5795501612637533E-3</v>
      </c>
      <c r="K73" s="348">
        <v>0</v>
      </c>
      <c r="L73" s="349">
        <f>L41*Vehi_Fluids!$A$16/2000</f>
        <v>6.5162903075683572E-3</v>
      </c>
      <c r="M73" s="349">
        <f>M41*Vehi_Fluids!$A$16/2000</f>
        <v>0</v>
      </c>
      <c r="N73" s="347">
        <f>Vehi_Plastics!BR106</f>
        <v>3.6095878378539087E-2</v>
      </c>
      <c r="O73" s="829">
        <v>0</v>
      </c>
    </row>
    <row r="74" spans="1:15" s="349" customFormat="1">
      <c r="A74" s="347" t="s">
        <v>805</v>
      </c>
      <c r="B74" s="347">
        <f t="shared" si="11"/>
        <v>1.5305323770350076E-4</v>
      </c>
      <c r="C74" s="348">
        <f t="shared" si="11"/>
        <v>0</v>
      </c>
      <c r="D74" s="349">
        <f t="shared" si="11"/>
        <v>1.5305323770350076E-4</v>
      </c>
      <c r="E74" s="349">
        <f t="shared" si="11"/>
        <v>0</v>
      </c>
      <c r="F74" s="347">
        <f t="shared" si="11"/>
        <v>1.5305323770350076E-4</v>
      </c>
      <c r="G74" s="348">
        <f t="shared" si="11"/>
        <v>0</v>
      </c>
      <c r="H74" s="349">
        <f t="shared" si="11"/>
        <v>1.5305323770350076E-4</v>
      </c>
      <c r="I74" s="349">
        <f t="shared" si="11"/>
        <v>0</v>
      </c>
      <c r="J74" s="347">
        <f>B42*Vehi_Fluids!$A$15/2000</f>
        <v>1.9382320712716907E-4</v>
      </c>
      <c r="K74" s="348">
        <v>0</v>
      </c>
      <c r="L74" s="349">
        <f>L42*Vehi_Fluids!$A$16/2000</f>
        <v>1.0863231278612243E-4</v>
      </c>
      <c r="M74" s="349">
        <f>M42*Vehi_Fluids!$A$16/2000</f>
        <v>0</v>
      </c>
      <c r="N74" s="347">
        <f>Vehi_Plastics!BR107</f>
        <v>1.7056584159618718E-3</v>
      </c>
      <c r="O74" s="829">
        <v>0</v>
      </c>
    </row>
    <row r="75" spans="1:15" s="349" customFormat="1">
      <c r="A75" s="347" t="s">
        <v>804</v>
      </c>
      <c r="B75" s="347">
        <f t="shared" ref="B75:M75" si="12">B73-B74-B76</f>
        <v>2.6335505628622274E-3</v>
      </c>
      <c r="C75" s="348">
        <f t="shared" si="12"/>
        <v>0</v>
      </c>
      <c r="D75" s="349">
        <f t="shared" si="12"/>
        <v>2.6335505628622274E-3</v>
      </c>
      <c r="E75" s="349">
        <f t="shared" si="12"/>
        <v>0</v>
      </c>
      <c r="F75" s="347">
        <f t="shared" si="12"/>
        <v>2.6335505628622274E-3</v>
      </c>
      <c r="G75" s="348">
        <f t="shared" si="12"/>
        <v>0</v>
      </c>
      <c r="H75" s="349">
        <f t="shared" si="12"/>
        <v>2.6335505628622274E-3</v>
      </c>
      <c r="I75" s="349">
        <f t="shared" si="12"/>
        <v>0</v>
      </c>
      <c r="J75" s="347">
        <f t="shared" si="12"/>
        <v>6.174971666746458E-3</v>
      </c>
      <c r="K75" s="348">
        <f t="shared" si="12"/>
        <v>0</v>
      </c>
      <c r="L75" s="349">
        <f t="shared" si="12"/>
        <v>6.3388062886982864E-3</v>
      </c>
      <c r="M75" s="349">
        <f t="shared" si="12"/>
        <v>0</v>
      </c>
      <c r="N75" s="347">
        <f>Vehi_Plastics!BR108</f>
        <v>2.3023372026169022E-2</v>
      </c>
      <c r="O75" s="829">
        <v>0</v>
      </c>
    </row>
    <row r="76" spans="1:15" s="349" customFormat="1">
      <c r="A76" s="503" t="s">
        <v>818</v>
      </c>
      <c r="B76" s="503">
        <f t="shared" ref="B76:I77" si="13">D44/2000</f>
        <v>2.0070515418881146E-2</v>
      </c>
      <c r="C76" s="502">
        <f t="shared" si="13"/>
        <v>0</v>
      </c>
      <c r="D76" s="505">
        <f t="shared" si="13"/>
        <v>2.0070515418881146E-2</v>
      </c>
      <c r="E76" s="505">
        <f t="shared" si="13"/>
        <v>0</v>
      </c>
      <c r="F76" s="503">
        <f t="shared" si="13"/>
        <v>2.0070515418881146E-2</v>
      </c>
      <c r="G76" s="502">
        <f t="shared" si="13"/>
        <v>0</v>
      </c>
      <c r="H76" s="505">
        <f t="shared" si="13"/>
        <v>2.0070515418881146E-2</v>
      </c>
      <c r="I76" s="505">
        <f t="shared" si="13"/>
        <v>0</v>
      </c>
      <c r="J76" s="503">
        <f>B44*Vehi_Fluids!$A$15/2000</f>
        <v>3.2107552873901269E-3</v>
      </c>
      <c r="K76" s="502">
        <v>0</v>
      </c>
      <c r="L76" s="505">
        <f>L44*Vehi_Fluids!$A$16/2000</f>
        <v>6.8851706083948534E-5</v>
      </c>
      <c r="M76" s="505">
        <f>M44*Vehi_Fluids!$A$16/2000</f>
        <v>0</v>
      </c>
      <c r="N76" s="503">
        <f>Vehi_Plastics!BR109</f>
        <v>1.1366847936408192E-2</v>
      </c>
      <c r="O76" s="830">
        <v>0</v>
      </c>
    </row>
    <row r="77" spans="1:15" s="349" customFormat="1">
      <c r="A77" s="1570" t="s">
        <v>819</v>
      </c>
      <c r="B77" s="1570">
        <f t="shared" si="13"/>
        <v>0.48327255406321329</v>
      </c>
      <c r="C77" s="1573">
        <f t="shared" si="13"/>
        <v>0</v>
      </c>
      <c r="D77" s="1571">
        <f t="shared" si="13"/>
        <v>0.48327255406321329</v>
      </c>
      <c r="E77" s="1571">
        <f t="shared" si="13"/>
        <v>0</v>
      </c>
      <c r="F77" s="1570">
        <f t="shared" si="13"/>
        <v>0.48327255406321329</v>
      </c>
      <c r="G77" s="1573">
        <f t="shared" si="13"/>
        <v>0</v>
      </c>
      <c r="H77" s="1571">
        <f t="shared" si="13"/>
        <v>0.48327255406321329</v>
      </c>
      <c r="I77" s="1571">
        <f t="shared" si="13"/>
        <v>0</v>
      </c>
      <c r="J77" s="1570">
        <f>(B45*Vehi_Fluids!$A$15+(1-A15)*907.2/3.7854)/2000</f>
        <v>0.3340297365146202</v>
      </c>
      <c r="K77" s="1573">
        <v>0</v>
      </c>
      <c r="L77" s="1571">
        <f>L45*Vehi_Fluids!$A$16/2000</f>
        <v>3.8263811753624817E-2</v>
      </c>
      <c r="M77" s="1571">
        <f>M45*Vehi_Fluids!$A$16/2000</f>
        <v>0</v>
      </c>
      <c r="N77" s="1570">
        <f>Vehi_Plastics!BR110</f>
        <v>0.59302845654179925</v>
      </c>
      <c r="O77" s="1709">
        <v>0</v>
      </c>
    </row>
    <row r="78" spans="1:15" s="349" customFormat="1">
      <c r="A78" s="699" t="s">
        <v>1030</v>
      </c>
      <c r="B78" s="347"/>
      <c r="C78" s="348"/>
      <c r="F78" s="347"/>
      <c r="G78" s="348"/>
      <c r="J78" s="347"/>
      <c r="K78" s="348"/>
      <c r="N78" s="347"/>
      <c r="O78" s="829"/>
    </row>
    <row r="79" spans="1:15" s="349" customFormat="1">
      <c r="A79" s="347" t="s">
        <v>821</v>
      </c>
      <c r="B79" s="347">
        <f t="shared" ref="B79:B89" si="14">D47/2000</f>
        <v>0.50826521306002204</v>
      </c>
      <c r="C79" s="348">
        <f t="shared" ref="C79:C89" si="15">E47/2000</f>
        <v>7.0601535038251367E-2</v>
      </c>
      <c r="D79" s="349">
        <f t="shared" ref="D79:D89" si="16">F47/2000</f>
        <v>0.50826521306002204</v>
      </c>
      <c r="E79" s="349">
        <f t="shared" ref="E79:E89" si="17">G47/2000</f>
        <v>7.0601535038251367E-2</v>
      </c>
      <c r="F79" s="347">
        <f t="shared" ref="F79:F89" si="18">H47/2000</f>
        <v>0.50826521306002204</v>
      </c>
      <c r="G79" s="348">
        <f t="shared" ref="G79:G89" si="19">I47/2000</f>
        <v>7.0601535038251367E-2</v>
      </c>
      <c r="H79" s="349">
        <f t="shared" ref="H79:H89" si="20">J47/2000</f>
        <v>0.50826521306002204</v>
      </c>
      <c r="I79" s="349">
        <f t="shared" ref="I79:I89" si="21">K47/2000</f>
        <v>7.0601535038251367E-2</v>
      </c>
      <c r="J79" s="347">
        <f>SUM(B47:C47)*Vehi_Fluids!$A$15/2000</f>
        <v>0.16174943128512101</v>
      </c>
      <c r="K79" s="348">
        <v>0</v>
      </c>
      <c r="L79" s="349">
        <f>L47*Vehi_Fluids!$A$16/2000</f>
        <v>0.10150560710610784</v>
      </c>
      <c r="M79" s="349">
        <f>M47*Vehi_Fluids!$A$16/2000</f>
        <v>227</v>
      </c>
      <c r="N79" s="347">
        <f>Vehi_Plastics!BR112</f>
        <v>0.51900414951114837</v>
      </c>
      <c r="O79" s="829">
        <v>0</v>
      </c>
    </row>
    <row r="80" spans="1:15" s="349" customFormat="1">
      <c r="A80" s="347" t="s">
        <v>822</v>
      </c>
      <c r="B80" s="347">
        <f t="shared" si="14"/>
        <v>0.25341217829261148</v>
      </c>
      <c r="C80" s="348">
        <f t="shared" si="15"/>
        <v>0.31236006449544623</v>
      </c>
      <c r="D80" s="349">
        <f t="shared" si="16"/>
        <v>0.25341217829261148</v>
      </c>
      <c r="E80" s="349">
        <f t="shared" si="17"/>
        <v>0.31236006449544623</v>
      </c>
      <c r="F80" s="347">
        <f t="shared" si="18"/>
        <v>0.25341217829261148</v>
      </c>
      <c r="G80" s="348">
        <f t="shared" si="19"/>
        <v>0.31236006449544623</v>
      </c>
      <c r="H80" s="349">
        <f t="shared" si="20"/>
        <v>0.25341217829261148</v>
      </c>
      <c r="I80" s="349">
        <f t="shared" si="21"/>
        <v>0.31236006449544623</v>
      </c>
      <c r="J80" s="347">
        <f>SUM(B48:C48)*Vehi_Fluids!$A$15/2000</f>
        <v>0.20888678840338565</v>
      </c>
      <c r="K80" s="348">
        <v>0</v>
      </c>
      <c r="L80" s="349">
        <f>L48*Vehi_Fluids!$A$16/2000</f>
        <v>8.8217456047569281E-2</v>
      </c>
      <c r="M80" s="349">
        <f>M48*Vehi_Fluids!$A$16/2000</f>
        <v>0</v>
      </c>
      <c r="N80" s="347">
        <f>Vehi_Plastics!BR113</f>
        <v>3.0135955105613021</v>
      </c>
      <c r="O80" s="829">
        <v>0</v>
      </c>
    </row>
    <row r="81" spans="1:21" s="349" customFormat="1">
      <c r="A81" s="347" t="s">
        <v>849</v>
      </c>
      <c r="B81" s="347">
        <f t="shared" si="14"/>
        <v>0.38536611634472906</v>
      </c>
      <c r="C81" s="348">
        <f t="shared" si="15"/>
        <v>2.2129355971438982</v>
      </c>
      <c r="D81" s="349">
        <f t="shared" si="16"/>
        <v>0.38536611634472906</v>
      </c>
      <c r="E81" s="349">
        <f t="shared" si="17"/>
        <v>2.2129355971438982</v>
      </c>
      <c r="F81" s="347">
        <f t="shared" si="18"/>
        <v>0.38536611634472906</v>
      </c>
      <c r="G81" s="348">
        <f t="shared" si="19"/>
        <v>2.2129355971438982</v>
      </c>
      <c r="H81" s="349">
        <f t="shared" si="20"/>
        <v>0.38536611634472906</v>
      </c>
      <c r="I81" s="349">
        <f t="shared" si="21"/>
        <v>2.2129355971438982</v>
      </c>
      <c r="J81" s="347">
        <f>SUM(B49:C49)*Vehi_Fluids!$A$15/2000</f>
        <v>0.29256988823011809</v>
      </c>
      <c r="K81" s="348">
        <v>0</v>
      </c>
      <c r="L81" s="349">
        <f>L49*Vehi_Fluids!$A$16/2000</f>
        <v>0.10387866868894303</v>
      </c>
      <c r="M81" s="349">
        <f>M49*Vehi_Fluids!$A$16/2000</f>
        <v>0</v>
      </c>
      <c r="N81" s="347">
        <f>Vehi_Plastics!BR114</f>
        <v>1.8513541377106255</v>
      </c>
      <c r="O81" s="829">
        <v>0</v>
      </c>
    </row>
    <row r="82" spans="1:21" s="349" customFormat="1">
      <c r="A82" s="347" t="s">
        <v>824</v>
      </c>
      <c r="B82" s="347">
        <f t="shared" si="14"/>
        <v>3.4966089141999175E-2</v>
      </c>
      <c r="C82" s="348">
        <f t="shared" si="15"/>
        <v>0.39410005041894347</v>
      </c>
      <c r="D82" s="349">
        <f t="shared" si="16"/>
        <v>3.4966089141999175E-2</v>
      </c>
      <c r="E82" s="349">
        <f t="shared" si="17"/>
        <v>0.39410005041894347</v>
      </c>
      <c r="F82" s="347">
        <f t="shared" si="18"/>
        <v>3.4966089141999175E-2</v>
      </c>
      <c r="G82" s="348">
        <f t="shared" si="19"/>
        <v>0.39410005041894347</v>
      </c>
      <c r="H82" s="349">
        <f t="shared" si="20"/>
        <v>3.4966089141999175E-2</v>
      </c>
      <c r="I82" s="349">
        <f t="shared" si="21"/>
        <v>0.39410005041894347</v>
      </c>
      <c r="J82" s="347">
        <f>SUM(B50:C50)*Vehi_Fluids!$A$15/2000</f>
        <v>2.0957099509160058E-2</v>
      </c>
      <c r="K82" s="348">
        <v>0</v>
      </c>
      <c r="L82" s="349">
        <f>L50*Vehi_Fluids!$A$16/2000</f>
        <v>8.6363116574999996E-3</v>
      </c>
      <c r="M82" s="349">
        <f>M50*Vehi_Fluids!$A$16/2000</f>
        <v>0</v>
      </c>
      <c r="N82" s="347">
        <f>Vehi_Plastics!BR115</f>
        <v>0.51063511054352728</v>
      </c>
      <c r="O82" s="829">
        <v>0</v>
      </c>
    </row>
    <row r="83" spans="1:21" s="349" customFormat="1">
      <c r="A83" s="347" t="s">
        <v>825</v>
      </c>
      <c r="B83" s="347">
        <f t="shared" si="14"/>
        <v>3.0063875617938895E-2</v>
      </c>
      <c r="C83" s="348">
        <f t="shared" si="15"/>
        <v>0.20526850025500915</v>
      </c>
      <c r="D83" s="349">
        <f t="shared" si="16"/>
        <v>3.0063875617938895E-2</v>
      </c>
      <c r="E83" s="349">
        <f t="shared" si="17"/>
        <v>0.20526850025500915</v>
      </c>
      <c r="F83" s="347">
        <f t="shared" si="18"/>
        <v>3.0063875617938895E-2</v>
      </c>
      <c r="G83" s="348">
        <f t="shared" si="19"/>
        <v>0.20526850025500915</v>
      </c>
      <c r="H83" s="349">
        <f t="shared" si="20"/>
        <v>3.0063875617938895E-2</v>
      </c>
      <c r="I83" s="349">
        <f t="shared" si="21"/>
        <v>0.20526850025500915</v>
      </c>
      <c r="J83" s="347">
        <f>SUM(B51:C51)*Vehi_Fluids!$A$15/2000</f>
        <v>1.8060037449349944E-2</v>
      </c>
      <c r="K83" s="348">
        <v>0</v>
      </c>
      <c r="L83" s="349">
        <f>L51*Vehi_Fluids!$A$16/2000</f>
        <v>7.1618727320278859E-3</v>
      </c>
      <c r="M83" s="349">
        <f>M51*Vehi_Fluids!$A$16/2000</f>
        <v>0</v>
      </c>
      <c r="N83" s="347">
        <f>Vehi_Plastics!BR116</f>
        <v>0.13658091131722533</v>
      </c>
      <c r="O83" s="829">
        <v>0</v>
      </c>
    </row>
    <row r="84" spans="1:21" s="496" customFormat="1">
      <c r="A84" s="347" t="s">
        <v>826</v>
      </c>
      <c r="B84" s="498">
        <f t="shared" si="14"/>
        <v>0.10673388281995913</v>
      </c>
      <c r="C84" s="348">
        <f t="shared" si="15"/>
        <v>4.9666661898724955</v>
      </c>
      <c r="D84" s="496">
        <f t="shared" si="16"/>
        <v>0.10673388281995913</v>
      </c>
      <c r="E84" s="349">
        <f t="shared" si="17"/>
        <v>4.9666661898724955</v>
      </c>
      <c r="F84" s="498">
        <f t="shared" si="18"/>
        <v>0.10673388281995913</v>
      </c>
      <c r="G84" s="348">
        <f t="shared" si="19"/>
        <v>4.9666661898724955</v>
      </c>
      <c r="H84" s="349">
        <f t="shared" si="20"/>
        <v>0.10673388281995913</v>
      </c>
      <c r="I84" s="349">
        <f t="shared" si="21"/>
        <v>4.9666661898724955</v>
      </c>
      <c r="J84" s="347">
        <f>SUM(B52:C52)*Vehi_Fluids!$A$15/2000</f>
        <v>9.6829475966745585E-2</v>
      </c>
      <c r="K84" s="348">
        <v>0</v>
      </c>
      <c r="L84" s="349">
        <f>L52*Vehi_Fluids!$A$16/2000</f>
        <v>7.4531505670882459E-2</v>
      </c>
      <c r="M84" s="349">
        <f>M52*Vehi_Fluids!$A$16/2000</f>
        <v>0</v>
      </c>
      <c r="N84" s="347">
        <f>Vehi_Plastics!BR117</f>
        <v>6.3716057760393721</v>
      </c>
      <c r="O84" s="829">
        <v>0</v>
      </c>
      <c r="P84" s="349"/>
      <c r="Q84" s="349"/>
      <c r="R84" s="349"/>
      <c r="S84" s="349"/>
      <c r="T84" s="349"/>
      <c r="U84" s="349"/>
    </row>
    <row r="85" spans="1:21" s="496" customFormat="1">
      <c r="A85" s="749" t="s">
        <v>827</v>
      </c>
      <c r="B85" s="498">
        <f t="shared" si="14"/>
        <v>4.1669884327047938E-3</v>
      </c>
      <c r="C85" s="348">
        <f t="shared" si="15"/>
        <v>1.3014022916167579E-2</v>
      </c>
      <c r="D85" s="496">
        <f t="shared" si="16"/>
        <v>4.1669884327047938E-3</v>
      </c>
      <c r="E85" s="349">
        <f t="shared" si="17"/>
        <v>1.3014022916167579E-2</v>
      </c>
      <c r="F85" s="498">
        <f t="shared" si="18"/>
        <v>4.1669884327047938E-3</v>
      </c>
      <c r="G85" s="348">
        <f t="shared" si="19"/>
        <v>1.3014022916167579E-2</v>
      </c>
      <c r="H85" s="349">
        <f t="shared" si="20"/>
        <v>4.1669884327047938E-3</v>
      </c>
      <c r="I85" s="349">
        <f t="shared" si="21"/>
        <v>1.3014022916167579E-2</v>
      </c>
      <c r="J85" s="347">
        <f>SUM(B53:C53)*Vehi_Fluids!$A$15/2000</f>
        <v>2.3635548782363143E-3</v>
      </c>
      <c r="K85" s="829">
        <v>0</v>
      </c>
      <c r="L85" s="349">
        <f>L53*Vehi_Fluids!$A$16/2000</f>
        <v>3.3046692522961554E-4</v>
      </c>
      <c r="M85" s="349">
        <f>M53*Vehi_Fluids!$A$16/2000</f>
        <v>0</v>
      </c>
      <c r="N85" s="347">
        <f>Vehi_Plastics!BR118</f>
        <v>1.2967888705950229E-2</v>
      </c>
      <c r="O85" s="829">
        <v>0</v>
      </c>
      <c r="P85" s="349"/>
      <c r="Q85" s="349"/>
      <c r="R85" s="349"/>
      <c r="S85" s="349"/>
      <c r="T85" s="349"/>
      <c r="U85" s="349"/>
    </row>
    <row r="86" spans="1:21" s="496" customFormat="1">
      <c r="A86" s="749" t="s">
        <v>828</v>
      </c>
      <c r="B86" s="498">
        <f t="shared" si="14"/>
        <v>6.8629758106690565E-3</v>
      </c>
      <c r="C86" s="348">
        <f t="shared" si="15"/>
        <v>9.0318140112204022E-3</v>
      </c>
      <c r="D86" s="496">
        <f t="shared" si="16"/>
        <v>6.8629758106690565E-3</v>
      </c>
      <c r="E86" s="349">
        <f t="shared" si="17"/>
        <v>9.0318140112204022E-3</v>
      </c>
      <c r="F86" s="498">
        <f t="shared" si="18"/>
        <v>6.8629758106690565E-3</v>
      </c>
      <c r="G86" s="348">
        <f t="shared" si="19"/>
        <v>9.0318140112204022E-3</v>
      </c>
      <c r="H86" s="349">
        <f t="shared" si="20"/>
        <v>6.8629758106690565E-3</v>
      </c>
      <c r="I86" s="349">
        <f t="shared" si="21"/>
        <v>9.0318140112204022E-3</v>
      </c>
      <c r="J86" s="347">
        <f>SUM(B54:C54)*Vehi_Fluids!$A$15/2000</f>
        <v>6.1870061843593161E-3</v>
      </c>
      <c r="K86" s="829">
        <v>0</v>
      </c>
      <c r="L86" s="349">
        <f>L54*Vehi_Fluids!$A$16/2000</f>
        <v>4.6522795978966097E-4</v>
      </c>
      <c r="M86" s="349">
        <f>M54*Vehi_Fluids!$A$16/2000</f>
        <v>0</v>
      </c>
      <c r="N86" s="347">
        <f>Vehi_Plastics!BR119</f>
        <v>2.6671924385483364E-2</v>
      </c>
      <c r="O86" s="829">
        <v>0</v>
      </c>
      <c r="P86" s="349"/>
      <c r="Q86" s="349"/>
      <c r="R86" s="349"/>
      <c r="S86" s="349"/>
      <c r="T86" s="349"/>
      <c r="U86" s="349"/>
    </row>
    <row r="87" spans="1:21" s="496" customFormat="1">
      <c r="A87" s="347" t="s">
        <v>829</v>
      </c>
      <c r="B87" s="498">
        <f t="shared" si="14"/>
        <v>2.1616253179850529</v>
      </c>
      <c r="C87" s="348">
        <f t="shared" si="15"/>
        <v>2.9683198105646631E-2</v>
      </c>
      <c r="D87" s="496">
        <f t="shared" si="16"/>
        <v>2.1616253179850529</v>
      </c>
      <c r="E87" s="349">
        <f t="shared" si="17"/>
        <v>2.9683198105646631E-2</v>
      </c>
      <c r="F87" s="498">
        <f t="shared" si="18"/>
        <v>2.1616253179850529</v>
      </c>
      <c r="G87" s="348">
        <f t="shared" si="19"/>
        <v>2.9683198105646631E-2</v>
      </c>
      <c r="H87" s="349">
        <f t="shared" si="20"/>
        <v>2.1616253179850529</v>
      </c>
      <c r="I87" s="349">
        <f t="shared" si="21"/>
        <v>2.9683198105646631E-2</v>
      </c>
      <c r="J87" s="347">
        <f>SUM(B55:C55)*Vehi_Fluids!$A$15/2000</f>
        <v>1.2781571872633766</v>
      </c>
      <c r="K87" s="348">
        <v>0</v>
      </c>
      <c r="L87" s="349">
        <f>L55*Vehi_Fluids!$A$16/2000</f>
        <v>0.93997286221274745</v>
      </c>
      <c r="M87" s="349">
        <f>M55*Vehi_Fluids!$A$16/2000</f>
        <v>0</v>
      </c>
      <c r="N87" s="347">
        <f>Vehi_Plastics!BR120</f>
        <v>9.4071692146569639</v>
      </c>
      <c r="O87" s="829">
        <v>0</v>
      </c>
      <c r="P87" s="349"/>
      <c r="Q87" s="349"/>
      <c r="R87" s="349"/>
      <c r="S87" s="349"/>
      <c r="T87" s="349"/>
      <c r="U87" s="349"/>
    </row>
    <row r="88" spans="1:21" s="496" customFormat="1">
      <c r="A88" s="347" t="s">
        <v>830</v>
      </c>
      <c r="B88" s="498">
        <f t="shared" si="14"/>
        <v>5.3904315575575689E-3</v>
      </c>
      <c r="C88" s="348">
        <f t="shared" si="15"/>
        <v>3.3105951242258652E-2</v>
      </c>
      <c r="D88" s="496">
        <f t="shared" si="16"/>
        <v>5.3904315575575689E-3</v>
      </c>
      <c r="E88" s="349">
        <f t="shared" si="17"/>
        <v>3.3105951242258652E-2</v>
      </c>
      <c r="F88" s="498">
        <f t="shared" si="18"/>
        <v>5.3904315575575689E-3</v>
      </c>
      <c r="G88" s="348">
        <f t="shared" si="19"/>
        <v>3.3105951242258652E-2</v>
      </c>
      <c r="H88" s="349">
        <f t="shared" si="20"/>
        <v>5.3904315575575689E-3</v>
      </c>
      <c r="I88" s="349">
        <f t="shared" si="21"/>
        <v>3.3105951242258652E-2</v>
      </c>
      <c r="J88" s="347">
        <f>SUM(B56:C56)*Vehi_Fluids!$A$15/2000</f>
        <v>5.76309813631431E-3</v>
      </c>
      <c r="K88" s="348">
        <v>0</v>
      </c>
      <c r="L88" s="349">
        <f>L56*Vehi_Fluids!$A$16/2000</f>
        <v>1.4547138526434518E-3</v>
      </c>
      <c r="M88" s="349">
        <f>M56*Vehi_Fluids!$A$16/2000</f>
        <v>0</v>
      </c>
      <c r="N88" s="347">
        <f>Vehi_Plastics!BR121</f>
        <v>0.11036058175071385</v>
      </c>
      <c r="O88" s="829">
        <v>0</v>
      </c>
      <c r="P88" s="349"/>
      <c r="Q88" s="349"/>
      <c r="R88" s="349"/>
      <c r="S88" s="349"/>
      <c r="T88" s="349"/>
      <c r="U88" s="349"/>
    </row>
    <row r="89" spans="1:21" s="535" customFormat="1">
      <c r="A89" s="517" t="s">
        <v>831</v>
      </c>
      <c r="B89" s="251">
        <f t="shared" si="14"/>
        <v>317.21717589114394</v>
      </c>
      <c r="C89" s="247">
        <f t="shared" si="15"/>
        <v>1644.4732949061895</v>
      </c>
      <c r="D89" s="246">
        <f t="shared" si="16"/>
        <v>317.21717589114394</v>
      </c>
      <c r="E89" s="246">
        <f t="shared" si="17"/>
        <v>1644.4732949061895</v>
      </c>
      <c r="F89" s="251">
        <f t="shared" si="18"/>
        <v>317.21717589114394</v>
      </c>
      <c r="G89" s="247">
        <f t="shared" si="19"/>
        <v>1644.4732949061895</v>
      </c>
      <c r="H89" s="246">
        <f t="shared" si="20"/>
        <v>317.21717589114394</v>
      </c>
      <c r="I89" s="246">
        <f t="shared" si="21"/>
        <v>1644.4732949061895</v>
      </c>
      <c r="J89" s="251">
        <f>SUM(B57:C57)*Vehi_Fluids!$A$15/2000</f>
        <v>240.41437713165016</v>
      </c>
      <c r="K89" s="247">
        <v>0</v>
      </c>
      <c r="L89" s="246">
        <f>L57*Vehi_Fluids!$A$16/2000</f>
        <v>81.077336219127403</v>
      </c>
      <c r="M89" s="246">
        <f>M57*Vehi_Fluids!$A$16/2000</f>
        <v>0</v>
      </c>
      <c r="N89" s="251">
        <f>Vehi_Plastics!BR122</f>
        <v>1337.2216339701936</v>
      </c>
      <c r="O89" s="831">
        <v>0</v>
      </c>
      <c r="P89" s="419"/>
      <c r="Q89" s="419"/>
      <c r="R89" s="419"/>
      <c r="S89" s="419"/>
      <c r="T89" s="419"/>
      <c r="U89" s="419"/>
    </row>
    <row r="90" spans="1:21" s="535" customFormat="1">
      <c r="A90" s="517" t="s">
        <v>850</v>
      </c>
      <c r="B90" s="251">
        <f>B89+B79*GREET1_Import_Export!$B$62/GREET1_Import_Export!$B$65+B80*GREET1_Import_Export!$B$63/GREET1_Import_Export!$B$65</f>
        <v>319.1994882758313</v>
      </c>
      <c r="C90" s="247">
        <f>C89+C79*GREET1_Import_Export!$B$62/GREET1_Import_Export!$B$65+C80*GREET1_Import_Export!$B$63/GREET1_Import_Export!$B$65</f>
        <v>1645.1841878869802</v>
      </c>
      <c r="D90" s="246">
        <f>D89+D79*GREET1_Import_Export!$B$62/GREET1_Import_Export!$B$65+D80*GREET1_Import_Export!$B$63/GREET1_Import_Export!$B$65</f>
        <v>319.1994882758313</v>
      </c>
      <c r="E90" s="246">
        <f>E89+E79*GREET1_Import_Export!$B$62/GREET1_Import_Export!$B$65+E80*GREET1_Import_Export!$B$63/GREET1_Import_Export!$B$65</f>
        <v>1645.1841878869802</v>
      </c>
      <c r="F90" s="251">
        <f>F89+F79*GREET1_Import_Export!$B$62/GREET1_Import_Export!$B$65+F80*GREET1_Import_Export!$B$63/GREET1_Import_Export!$B$65</f>
        <v>319.1994882758313</v>
      </c>
      <c r="G90" s="247">
        <f>G89+G79*GREET1_Import_Export!$B$62/GREET1_Import_Export!$B$65+G80*GREET1_Import_Export!$B$63/GREET1_Import_Export!$B$65</f>
        <v>1645.1841878869802</v>
      </c>
      <c r="H90" s="246">
        <f>H89+H79*GREET1_Import_Export!$B$62/GREET1_Import_Export!$B$65+H80*GREET1_Import_Export!$B$63/GREET1_Import_Export!$B$65</f>
        <v>319.1994882758313</v>
      </c>
      <c r="I90" s="246">
        <f>I89+I79*GREET1_Import_Export!$B$62/GREET1_Import_Export!$B$65+I80*GREET1_Import_Export!$B$63/GREET1_Import_Export!$B$65</f>
        <v>1645.1841878869802</v>
      </c>
      <c r="J90" s="251">
        <f>J89+J79*GREET1_Import_Export!$B$62/GREET1_Import_Export!$B$65+J80*GREET1_Import_Export!$B$63/GREET1_Import_Export!$B$65</f>
        <v>241.24674685997982</v>
      </c>
      <c r="K90" s="247">
        <f>K89+K79*GREET1_Import_Export!$B$62/GREET1_Import_Export!$B$65+K80*GREET1_Import_Export!$B$63/GREET1_Import_Export!$B$65</f>
        <v>0</v>
      </c>
      <c r="L90" s="246">
        <f>L89+L79*GREET1_Import_Export!$B$62/GREET1_Import_Export!$B$65+L80*GREET1_Import_Export!$B$63/GREET1_Import_Export!$B$65</f>
        <v>81.532322792206656</v>
      </c>
      <c r="M90" s="246">
        <f>M89+M79*GREET1_Import_Export!$B$62/GREET1_Import_Export!$B$65+M80*GREET1_Import_Export!$B$63/GREET1_Import_Export!$B$65</f>
        <v>707.48333333333335</v>
      </c>
      <c r="N90" s="251">
        <f>Vehi_Plastics!BR123</f>
        <v>1343.5748469908613</v>
      </c>
      <c r="O90" s="831">
        <f>O89+O79*GREET1_Import_Export!$B$62/GREET1_Import_Export!$B$65+O80*GREET1_Import_Export!$B$63/GREET1_Import_Export!$B$65</f>
        <v>0</v>
      </c>
      <c r="P90" s="419"/>
      <c r="Q90" s="419"/>
      <c r="R90" s="419"/>
      <c r="S90" s="419"/>
      <c r="T90" s="419"/>
      <c r="U90" s="419"/>
    </row>
    <row r="91" spans="1:21" s="535" customFormat="1">
      <c r="A91" s="517" t="s">
        <v>851</v>
      </c>
      <c r="B91" s="250">
        <f>B90+SUMPRODUCT(B87:B88,GREET1_Import_Export!$B$51:$B$52)+SUMPRODUCT(B79:B81,GREET1_Import_Export!$B$55:$B$57)+SUMPRODUCT(B85:B86,GREET1_Import_Export!$B$58:$B$59)</f>
        <v>385.47671217813564</v>
      </c>
      <c r="C91" s="245">
        <f>C90+SUMPRODUCT(C87:C88,GREET1_Import_Export!$B$51:$B$52)+SUMPRODUCT(C79:C81,GREET1_Import_Export!$B$55:$B$57)+SUMPRODUCT(C85:C86,GREET1_Import_Export!$B$58:$B$59)</f>
        <v>1654.8477609093482</v>
      </c>
      <c r="D91" s="47">
        <f>D90+SUMPRODUCT(D87:D88,GREET1_Import_Export!$B$51:$B$52)+SUMPRODUCT(D79:D81,GREET1_Import_Export!$B$55:$B$57)+SUMPRODUCT(D85:D86,GREET1_Import_Export!$B$58:$B$59)</f>
        <v>385.47671217813564</v>
      </c>
      <c r="E91" s="47">
        <f>E90+SUMPRODUCT(E87:E88,GREET1_Import_Export!$B$51:$B$52)+SUMPRODUCT(E79:E81,GREET1_Import_Export!$B$55:$B$57)+SUMPRODUCT(E85:E86,GREET1_Import_Export!$B$58:$B$59)</f>
        <v>1654.8477609093482</v>
      </c>
      <c r="F91" s="250">
        <f>F90+SUMPRODUCT(F87:F88,GREET1_Import_Export!$B$51:$B$52)+SUMPRODUCT(F79:F81,GREET1_Import_Export!$B$55:$B$57)+SUMPRODUCT(F85:F86,GREET1_Import_Export!$B$58:$B$59)</f>
        <v>385.47671217813564</v>
      </c>
      <c r="G91" s="159">
        <f>G90+SUMPRODUCT(G87:G88,GREET1_Import_Export!$B$51:$B$52)+SUMPRODUCT(G79:G81,GREET1_Import_Export!$B$55:$B$57)+SUMPRODUCT(G85:G86,GREET1_Import_Export!$B$58:$B$59)</f>
        <v>1654.8477609093482</v>
      </c>
      <c r="H91" s="158">
        <f>H90+SUMPRODUCT(H87:H88,GREET1_Import_Export!$B$51:$B$52)+SUMPRODUCT(H79:H81,GREET1_Import_Export!$B$55:$B$57)+SUMPRODUCT(H85:H86,GREET1_Import_Export!$B$58:$B$59)</f>
        <v>385.47671217813564</v>
      </c>
      <c r="I91" s="158">
        <f>I90+SUMPRODUCT(I87:I88,GREET1_Import_Export!$B$51:$B$52)+SUMPRODUCT(I79:I81,GREET1_Import_Export!$B$55:$B$57)+SUMPRODUCT(I85:I86,GREET1_Import_Export!$B$58:$B$59)</f>
        <v>1654.8477609093482</v>
      </c>
      <c r="J91" s="650">
        <f>J90+SUMPRODUCT(J87:J88,GREET1_Import_Export!$B$51:$B$52)+SUMPRODUCT(J79:J81,GREET1_Import_Export!$B$55:$B$57)+SUMPRODUCT(J85:J86,GREET1_Import_Export!$B$58:$B$59)</f>
        <v>281.11868348400441</v>
      </c>
      <c r="K91" s="159">
        <f>K90+SUMPRODUCT(K87:K88,GREET1_Import_Export!$B$51:$B$52)+SUMPRODUCT(K79:K81,GREET1_Import_Export!$B$55:$B$57)+SUMPRODUCT(K85:K86,GREET1_Import_Export!$B$58:$B$59)</f>
        <v>0</v>
      </c>
      <c r="L91" s="158">
        <f>L90+SUMPRODUCT(L87:L88,GREET1_Import_Export!$B$51:$B$52)+SUMPRODUCT(L79:L81,GREET1_Import_Export!$B$55:$B$57)+SUMPRODUCT(L85:L86,GREET1_Import_Export!$B$58:$B$59)</f>
        <v>110.11700782953959</v>
      </c>
      <c r="M91" s="158">
        <f>M90+SUMPRODUCT(M87:M88,GREET1_Import_Export!$B$51:$B$52)+SUMPRODUCT(M79:M81,GREET1_Import_Export!$B$55:$B$57)+SUMPRODUCT(M85:M86,GREET1_Import_Export!$B$58:$B$59)</f>
        <v>707.48333333333335</v>
      </c>
      <c r="N91" s="650">
        <f>N90+SUMPRODUCT(N87:N88,GREET1_Import_Export!$B$51:$B$52)+SUMPRODUCT(N79:N81,GREET1_Import_Export!$B$55:$B$57)+SUMPRODUCT(N85:N86,GREET1_Import_Export!$B$58:$B$59)</f>
        <v>1655.0354775945093</v>
      </c>
      <c r="O91" s="159">
        <f>O90+SUMPRODUCT(O87:O88,GREET1_Import_Export!$B$51:$B$52)+SUMPRODUCT(O79:O81,GREET1_Import_Export!$B$55:$B$57)+SUMPRODUCT(O85:O86,GREET1_Import_Export!$B$58:$B$59)</f>
        <v>0</v>
      </c>
      <c r="P91" s="419"/>
      <c r="Q91" s="419"/>
      <c r="R91" s="419"/>
      <c r="S91" s="419"/>
      <c r="T91" s="419"/>
      <c r="U91" s="419"/>
    </row>
    <row r="92" spans="1:21" s="496" customFormat="1">
      <c r="A92" s="699" t="s">
        <v>1031</v>
      </c>
      <c r="B92" s="508"/>
      <c r="C92" s="507"/>
      <c r="D92" s="506"/>
      <c r="E92" s="506"/>
      <c r="F92" s="508"/>
      <c r="G92" s="509"/>
      <c r="H92" s="512"/>
      <c r="I92" s="512"/>
      <c r="J92" s="510"/>
      <c r="K92" s="509"/>
      <c r="L92" s="512"/>
      <c r="M92" s="512"/>
      <c r="N92" s="510"/>
      <c r="O92" s="833"/>
      <c r="P92" s="349"/>
      <c r="Q92" s="349"/>
      <c r="R92" s="349"/>
      <c r="S92" s="349"/>
      <c r="T92" s="349"/>
      <c r="U92" s="349"/>
    </row>
    <row r="93" spans="1:21" s="496" customFormat="1">
      <c r="A93" s="347" t="s">
        <v>821</v>
      </c>
      <c r="B93" s="498">
        <f t="shared" ref="B93:I100" si="22">D59/2000</f>
        <v>0.29872833502887819</v>
      </c>
      <c r="C93" s="497">
        <f t="shared" si="22"/>
        <v>3.5300767519125684E-2</v>
      </c>
      <c r="D93" s="496">
        <f t="shared" si="22"/>
        <v>0.29872833502887819</v>
      </c>
      <c r="E93" s="496">
        <f t="shared" si="22"/>
        <v>3.5300767519125684E-2</v>
      </c>
      <c r="F93" s="498">
        <f t="shared" si="22"/>
        <v>0.29872833502887819</v>
      </c>
      <c r="G93" s="348">
        <f t="shared" si="22"/>
        <v>3.5300767519125684E-2</v>
      </c>
      <c r="H93" s="349">
        <f t="shared" si="22"/>
        <v>0.29872833502887819</v>
      </c>
      <c r="I93" s="349">
        <f t="shared" si="22"/>
        <v>3.5300767519125684E-2</v>
      </c>
      <c r="J93" s="347">
        <f>SUM(B59:C59)*Vehi_Fluids!$A$15/2000</f>
        <v>7.3126593678374929E-2</v>
      </c>
      <c r="K93" s="348">
        <v>0</v>
      </c>
      <c r="L93" s="349">
        <f>L59*Vehi_Fluids!$A$16/2000</f>
        <v>3.9316945284435988E-2</v>
      </c>
      <c r="M93" s="349">
        <f>M59*Vehi_Fluids!$A$16/2000</f>
        <v>158.9</v>
      </c>
      <c r="N93" s="347">
        <f>Vehi_Plastics!BR126</f>
        <v>5.4083238127787515E-2</v>
      </c>
      <c r="O93" s="829">
        <v>0</v>
      </c>
      <c r="P93" s="349"/>
      <c r="Q93" s="349"/>
      <c r="R93" s="349"/>
      <c r="S93" s="349"/>
      <c r="T93" s="349"/>
      <c r="U93" s="349"/>
    </row>
    <row r="94" spans="1:21" s="496" customFormat="1">
      <c r="A94" s="347" t="s">
        <v>822</v>
      </c>
      <c r="B94" s="498">
        <f t="shared" si="22"/>
        <v>5.2080375136729848E-2</v>
      </c>
      <c r="C94" s="497">
        <f t="shared" si="22"/>
        <v>0.15618003224772312</v>
      </c>
      <c r="D94" s="496">
        <f t="shared" si="22"/>
        <v>5.2080375136729848E-2</v>
      </c>
      <c r="E94" s="496">
        <f t="shared" si="22"/>
        <v>0.15618003224772312</v>
      </c>
      <c r="F94" s="498">
        <f t="shared" si="22"/>
        <v>5.2080375136729848E-2</v>
      </c>
      <c r="G94" s="348">
        <f t="shared" si="22"/>
        <v>0.15618003224772312</v>
      </c>
      <c r="H94" s="349">
        <f t="shared" si="22"/>
        <v>5.2080375136729848E-2</v>
      </c>
      <c r="I94" s="349">
        <f t="shared" si="22"/>
        <v>0.15618003224772312</v>
      </c>
      <c r="J94" s="347">
        <f>SUM(B60:C60)*Vehi_Fluids!$A$15/2000</f>
        <v>4.0891371421104404E-2</v>
      </c>
      <c r="K94" s="348">
        <v>0</v>
      </c>
      <c r="L94" s="349">
        <f>L60*Vehi_Fluids!$A$16/2000</f>
        <v>5.6170243574343668E-3</v>
      </c>
      <c r="M94" s="349">
        <f>M60*Vehi_Fluids!$A$16/2000</f>
        <v>0</v>
      </c>
      <c r="N94" s="347">
        <f>Vehi_Plastics!BR127</f>
        <v>0.12073625327115751</v>
      </c>
      <c r="O94" s="829">
        <v>0</v>
      </c>
      <c r="P94" s="349"/>
      <c r="Q94" s="349"/>
      <c r="R94" s="349"/>
      <c r="S94" s="349"/>
      <c r="T94" s="349"/>
      <c r="U94" s="349"/>
    </row>
    <row r="95" spans="1:21" s="496" customFormat="1">
      <c r="A95" s="347" t="s">
        <v>823</v>
      </c>
      <c r="B95" s="498">
        <f t="shared" si="22"/>
        <v>8.0294959200128996E-2</v>
      </c>
      <c r="C95" s="497">
        <f t="shared" si="22"/>
        <v>1.1064677985719491</v>
      </c>
      <c r="D95" s="496">
        <f t="shared" si="22"/>
        <v>8.0294959200128996E-2</v>
      </c>
      <c r="E95" s="496">
        <f t="shared" si="22"/>
        <v>1.1064677985719491</v>
      </c>
      <c r="F95" s="498">
        <f t="shared" si="22"/>
        <v>8.0294959200128996E-2</v>
      </c>
      <c r="G95" s="348">
        <f t="shared" si="22"/>
        <v>1.1064677985719491</v>
      </c>
      <c r="H95" s="349">
        <f t="shared" si="22"/>
        <v>8.0294959200128996E-2</v>
      </c>
      <c r="I95" s="349">
        <f t="shared" si="22"/>
        <v>1.1064677985719491</v>
      </c>
      <c r="J95" s="347">
        <f>SUM(B61:C61)*Vehi_Fluids!$A$15/2000</f>
        <v>6.3759335736521039E-2</v>
      </c>
      <c r="K95" s="348">
        <v>0</v>
      </c>
      <c r="L95" s="349">
        <f>L61*Vehi_Fluids!$A$16/2000</f>
        <v>7.8458182078642302E-3</v>
      </c>
      <c r="M95" s="349">
        <f>M61*Vehi_Fluids!$A$16/2000</f>
        <v>0</v>
      </c>
      <c r="N95" s="347">
        <f>Vehi_Plastics!BR128</f>
        <v>0.13964835464299105</v>
      </c>
      <c r="O95" s="829">
        <v>0</v>
      </c>
      <c r="P95" s="349"/>
      <c r="Q95" s="349"/>
      <c r="R95" s="349"/>
      <c r="S95" s="349"/>
      <c r="T95" s="349"/>
      <c r="U95" s="349"/>
    </row>
    <row r="96" spans="1:21" s="496" customFormat="1">
      <c r="A96" s="749" t="s">
        <v>824</v>
      </c>
      <c r="B96" s="498">
        <f t="shared" si="22"/>
        <v>1.7041009317239758E-2</v>
      </c>
      <c r="C96" s="497">
        <f t="shared" si="22"/>
        <v>0.19705002520947174</v>
      </c>
      <c r="D96" s="496">
        <f t="shared" si="22"/>
        <v>1.7041009317239758E-2</v>
      </c>
      <c r="E96" s="496">
        <f t="shared" si="22"/>
        <v>0.19705002520947174</v>
      </c>
      <c r="F96" s="498">
        <f t="shared" si="22"/>
        <v>1.7041009317239758E-2</v>
      </c>
      <c r="G96" s="348">
        <f t="shared" si="22"/>
        <v>0.19705002520947174</v>
      </c>
      <c r="H96" s="349">
        <f t="shared" si="22"/>
        <v>1.7041009317239758E-2</v>
      </c>
      <c r="I96" s="349">
        <f t="shared" si="22"/>
        <v>0.19705002520947174</v>
      </c>
      <c r="J96" s="347">
        <f>SUM(B62:C62)*Vehi_Fluids!$A$15/2000</f>
        <v>6.9085924426755757E-3</v>
      </c>
      <c r="K96" s="348">
        <v>0</v>
      </c>
      <c r="L96" s="349">
        <f>L62*Vehi_Fluids!$A$16/2000</f>
        <v>1.0096833212554571E-3</v>
      </c>
      <c r="M96" s="349">
        <f>M62*Vehi_Fluids!$A$16/2000</f>
        <v>0</v>
      </c>
      <c r="N96" s="347">
        <f>Vehi_Plastics!BR129</f>
        <v>1.2960480085193687E-2</v>
      </c>
      <c r="O96" s="829">
        <v>0</v>
      </c>
      <c r="P96" s="349"/>
      <c r="Q96" s="349"/>
      <c r="R96" s="349"/>
      <c r="S96" s="349"/>
      <c r="T96" s="349"/>
      <c r="U96" s="349"/>
    </row>
    <row r="97" spans="1:15" s="349" customFormat="1">
      <c r="A97" s="347" t="s">
        <v>825</v>
      </c>
      <c r="B97" s="347">
        <f t="shared" si="22"/>
        <v>1.4872996419596765E-2</v>
      </c>
      <c r="C97" s="348">
        <f t="shared" si="22"/>
        <v>0.10263425012750457</v>
      </c>
      <c r="D97" s="349">
        <f t="shared" si="22"/>
        <v>1.4872996419596765E-2</v>
      </c>
      <c r="E97" s="349">
        <f t="shared" si="22"/>
        <v>0.10263425012750457</v>
      </c>
      <c r="F97" s="347">
        <f t="shared" si="22"/>
        <v>1.4872996419596765E-2</v>
      </c>
      <c r="G97" s="348">
        <f t="shared" si="22"/>
        <v>0.10263425012750457</v>
      </c>
      <c r="H97" s="349">
        <f t="shared" si="22"/>
        <v>1.4872996419596765E-2</v>
      </c>
      <c r="I97" s="349">
        <f t="shared" si="22"/>
        <v>0.10263425012750457</v>
      </c>
      <c r="J97" s="347">
        <f>SUM(B63:C63)*Vehi_Fluids!$A$15/2000</f>
        <v>6.2500882074004649E-3</v>
      </c>
      <c r="K97" s="348">
        <v>0</v>
      </c>
      <c r="L97" s="349">
        <f>L63*Vehi_Fluids!$A$16/2000</f>
        <v>8.7290243182470962E-4</v>
      </c>
      <c r="M97" s="349">
        <f>M63*Vehi_Fluids!$A$16/2000</f>
        <v>0</v>
      </c>
      <c r="N97" s="347">
        <f>Vehi_Plastics!BR130</f>
        <v>1.0976752727549702E-2</v>
      </c>
      <c r="O97" s="829">
        <v>0</v>
      </c>
    </row>
    <row r="98" spans="1:15" s="349" customFormat="1">
      <c r="A98" s="749" t="s">
        <v>826</v>
      </c>
      <c r="B98" s="498">
        <f t="shared" si="22"/>
        <v>2.908390302348841E-2</v>
      </c>
      <c r="C98" s="497">
        <f t="shared" si="22"/>
        <v>2.4833330949362478</v>
      </c>
      <c r="D98" s="496">
        <f t="shared" si="22"/>
        <v>2.908390302348841E-2</v>
      </c>
      <c r="E98" s="496">
        <f t="shared" si="22"/>
        <v>2.4833330949362478</v>
      </c>
      <c r="F98" s="498">
        <f t="shared" si="22"/>
        <v>2.908390302348841E-2</v>
      </c>
      <c r="G98" s="348">
        <f t="shared" si="22"/>
        <v>2.4833330949362478</v>
      </c>
      <c r="H98" s="349">
        <f t="shared" si="22"/>
        <v>2.908390302348841E-2</v>
      </c>
      <c r="I98" s="349">
        <f t="shared" si="22"/>
        <v>2.4833330949362478</v>
      </c>
      <c r="J98" s="347">
        <f>SUM(B64:C64)*Vehi_Fluids!$A$15/2000</f>
        <v>1.3166617834043787E-2</v>
      </c>
      <c r="K98" s="348">
        <v>0</v>
      </c>
      <c r="L98" s="349">
        <f>L64*Vehi_Fluids!$A$16/2000</f>
        <v>4.3877715505939267E-3</v>
      </c>
      <c r="M98" s="349">
        <f>M64*Vehi_Fluids!$A$16/2000</f>
        <v>0</v>
      </c>
      <c r="N98" s="347">
        <f>Vehi_Plastics!BR131</f>
        <v>0.16876605221870142</v>
      </c>
      <c r="O98" s="829">
        <v>0</v>
      </c>
    </row>
    <row r="99" spans="1:15" s="349" customFormat="1">
      <c r="A99" s="347" t="s">
        <v>827</v>
      </c>
      <c r="B99" s="347">
        <f t="shared" si="22"/>
        <v>1.7014887749575542E-3</v>
      </c>
      <c r="C99" s="348">
        <f t="shared" si="22"/>
        <v>6.5070114580837897E-3</v>
      </c>
      <c r="D99" s="349">
        <f t="shared" si="22"/>
        <v>1.7014887749575542E-3</v>
      </c>
      <c r="E99" s="349">
        <f t="shared" si="22"/>
        <v>6.5070114580837897E-3</v>
      </c>
      <c r="F99" s="347">
        <f t="shared" si="22"/>
        <v>1.7014887749575542E-3</v>
      </c>
      <c r="G99" s="348">
        <f t="shared" si="22"/>
        <v>6.5070114580837897E-3</v>
      </c>
      <c r="H99" s="349">
        <f t="shared" si="22"/>
        <v>1.7014887749575542E-3</v>
      </c>
      <c r="I99" s="349">
        <f t="shared" si="22"/>
        <v>6.5070114580837897E-3</v>
      </c>
      <c r="J99" s="347">
        <f>SUM(B65:C65)*Vehi_Fluids!$A$15/2000</f>
        <v>5.4155415909712596E-4</v>
      </c>
      <c r="K99" s="829">
        <v>0</v>
      </c>
      <c r="L99" s="349">
        <f>L65*Vehi_Fluids!$A$16/2000</f>
        <v>4.0013336880006145E-6</v>
      </c>
      <c r="M99" s="349">
        <f>M65*Vehi_Fluids!$A$16/2000</f>
        <v>0</v>
      </c>
      <c r="N99" s="347">
        <f>Vehi_Plastics!BR132</f>
        <v>7.6567281044291212E-4</v>
      </c>
      <c r="O99" s="829">
        <v>0</v>
      </c>
    </row>
    <row r="100" spans="1:15" s="349" customFormat="1">
      <c r="A100" s="501" t="s">
        <v>828</v>
      </c>
      <c r="B100" s="503">
        <f t="shared" si="22"/>
        <v>2.2750388153437353E-3</v>
      </c>
      <c r="C100" s="502">
        <f t="shared" si="22"/>
        <v>4.5159070056102011E-3</v>
      </c>
      <c r="D100" s="505">
        <f t="shared" si="22"/>
        <v>2.2750388153437353E-3</v>
      </c>
      <c r="E100" s="505">
        <f t="shared" si="22"/>
        <v>4.5159070056102011E-3</v>
      </c>
      <c r="F100" s="503">
        <f t="shared" si="22"/>
        <v>2.2750388153437353E-3</v>
      </c>
      <c r="G100" s="502">
        <f t="shared" si="22"/>
        <v>4.5159070056102011E-3</v>
      </c>
      <c r="H100" s="505">
        <f t="shared" si="22"/>
        <v>2.2750388153437353E-3</v>
      </c>
      <c r="I100" s="505">
        <f t="shared" si="22"/>
        <v>4.5159070056102011E-3</v>
      </c>
      <c r="J100" s="503">
        <f>SUM(B66:C66)*Vehi_Fluids!$A$15/2000</f>
        <v>1.8261672458160364E-3</v>
      </c>
      <c r="K100" s="830">
        <v>0</v>
      </c>
      <c r="L100" s="505">
        <f>L66*Vehi_Fluids!$A$16/2000</f>
        <v>7.1300205559022791E-5</v>
      </c>
      <c r="M100" s="505">
        <f>M66*Vehi_Fluids!$A$16/2000</f>
        <v>0</v>
      </c>
      <c r="N100" s="503">
        <f>Vehi_Plastics!BR133</f>
        <v>2.6217862240500698E-3</v>
      </c>
      <c r="O100" s="830">
        <v>0</v>
      </c>
    </row>
    <row r="101" spans="1:15" s="349" customFormat="1"/>
    <row r="102" spans="1:15" s="349" customFormat="1" ht="15">
      <c r="A102" s="602" t="s">
        <v>1436</v>
      </c>
      <c r="N102" s="614"/>
    </row>
    <row r="103" spans="1:15" s="349" customFormat="1">
      <c r="A103" s="510"/>
      <c r="B103" s="834" t="s">
        <v>1437</v>
      </c>
      <c r="C103" s="834" t="s">
        <v>1438</v>
      </c>
      <c r="D103" s="834" t="s">
        <v>1439</v>
      </c>
      <c r="E103" s="834" t="s">
        <v>1440</v>
      </c>
      <c r="F103" s="834" t="s">
        <v>1441</v>
      </c>
      <c r="G103" s="835" t="s">
        <v>1442</v>
      </c>
      <c r="N103" s="614"/>
    </row>
    <row r="104" spans="1:15" s="349" customFormat="1">
      <c r="A104" s="699" t="s">
        <v>1443</v>
      </c>
      <c r="B104" s="615"/>
      <c r="C104" s="512"/>
      <c r="D104" s="615"/>
      <c r="E104" s="615"/>
      <c r="F104" s="615"/>
      <c r="G104" s="673"/>
      <c r="N104" s="614"/>
    </row>
    <row r="105" spans="1:15" s="349" customFormat="1">
      <c r="A105" s="347" t="s">
        <v>816</v>
      </c>
      <c r="B105" s="389">
        <f>(Vehi_Fluids!$B$6*(1+Vehi_Fluids!$B$12)*$B72+Vehi_Fluids!$B$6*(1+Vehi_Fluids!$B$12)*Vehi_Fluids!$B$13*$C72)+(Vehi_Fluids!$C$6*(1+Vehi_Fluids!$C$12)*$D72+Vehi_Fluids!$C$6*(1+Vehi_Fluids!$C$12)*Vehi_Fluids!$C$13*$E72)+(Vehi_Fluids!$D$6*(1+Vehi_Fluids!$D$12)*$F72+Vehi_Fluids!$D$6*(1+Vehi_Fluids!$D$12)*Vehi_Fluids!$D$13*$G72)+(Vehi_Fluids!$E$6*(1+Vehi_Fluids!$E$12)*$H72+Vehi_Fluids!$E$6*(1+Vehi_Fluids!$E$12)*Vehi_Fluids!$E$13*$I72)+(Vehi_Fluids!$F$6*(1+Vehi_Fluids!$F$12)*$J72+Vehi_Fluids!$F$6*(1+Vehi_Fluids!$F$12)*Vehi_Fluids!$F$13*$K72)+(Vehi_Fluids!$G$6*(1+Vehi_Fluids!$G$12)*$L72+Vehi_Fluids!$G$6*(1+Vehi_Fluids!$G$12)*(1-Vehi_Fluids!$G$13)*$M72)+(Vehi_Fluids!$H$6*(1+Vehi_Fluids!$H$12)*$N72+Vehi_Fluids!$H$6*(1+Vehi_Fluids!$H$12)*Vehi_Fluids!$H$13*$O72)</f>
        <v>11.904484848690602</v>
      </c>
      <c r="C105" s="389">
        <f>(Vehi_Fluids!$B$7*(1+Vehi_Fluids!$B$12)*$B72+Vehi_Fluids!$B$7*(1+Vehi_Fluids!$B$12)*Vehi_Fluids!$B$13*$C72)+(Vehi_Fluids!$C$7*(1+Vehi_Fluids!$C$12)*$D72+Vehi_Fluids!$C$7*(1+Vehi_Fluids!$C$12)*Vehi_Fluids!$C$13*$E72)+(Vehi_Fluids!$D$7*(1+Vehi_Fluids!$D$12)*$F72+Vehi_Fluids!$D$7*(1+Vehi_Fluids!$D$12)*Vehi_Fluids!$D$13*$G72)+(Vehi_Fluids!$E$7*(1+Vehi_Fluids!$E$12)*$H72+Vehi_Fluids!$E$7*(1+Vehi_Fluids!$E$12)*Vehi_Fluids!$E$13*$I72)+(Vehi_Fluids!$F$7*(1+Vehi_Fluids!$F$12)*$J72+Vehi_Fluids!$F$7*(1+Vehi_Fluids!$F$12)*Vehi_Fluids!$F$13*$K72)+(Vehi_Fluids!$G$7*(1+Vehi_Fluids!$G$12)*$L72+Vehi_Fluids!$G$7*(1+Vehi_Fluids!$G$12)*(1-Vehi_Fluids!$G$13)*$M72)+(Vehi_Fluids!$H$7*(1+Vehi_Fluids!$H$12)*$N72+Vehi_Fluids!$H$7*(1+Vehi_Fluids!$H$12)*Vehi_Fluids!$H$13*$O72)</f>
        <v>11.904484848690602</v>
      </c>
      <c r="D105" s="389">
        <f>(Vehi_Fluids!$B$8*(1+Vehi_Fluids!$B$12)*$B72+Vehi_Fluids!$B$8*(1+Vehi_Fluids!$B$12)*Vehi_Fluids!$B$13*$C72)+(Vehi_Fluids!$C$8*(1+Vehi_Fluids!$C$12)*$D72+Vehi_Fluids!$C$8*(1+Vehi_Fluids!$C$12)*Vehi_Fluids!$C$13*$E72)+(Vehi_Fluids!$D$8*(1+Vehi_Fluids!$D$12)*$F72+Vehi_Fluids!$D$8*(1+Vehi_Fluids!$D$12)*Vehi_Fluids!$D$13*$G72)+(Vehi_Fluids!$E$8*(1+Vehi_Fluids!$E$12)*$H72+Vehi_Fluids!$E$8*(1+Vehi_Fluids!$E$12)*Vehi_Fluids!$E$13*$I72)+(Vehi_Fluids!$F$8*(1+Vehi_Fluids!$F$12)*$J72+Vehi_Fluids!$F$8*(1+Vehi_Fluids!$F$12)*Vehi_Fluids!$F$13*$K72)+(Vehi_Fluids!$G$8*(1+Vehi_Fluids!$G$12)*$L72+Vehi_Fluids!$G$8*(1+Vehi_Fluids!$G$12)*(1-Vehi_Fluids!$G$13)*$M72)+(Vehi_Fluids!$H$8*(1+Vehi_Fluids!$H$12)*$N72+Vehi_Fluids!$H$8*(1+Vehi_Fluids!$H$12)*Vehi_Fluids!$H$13*$O72)</f>
        <v>10.884735119507255</v>
      </c>
      <c r="E105" s="389">
        <f>(Vehi_Fluids!$B$9*(1+Vehi_Fluids!$B$12)*$B72+Vehi_Fluids!$B$9*(1+Vehi_Fluids!$B$12)*Vehi_Fluids!$B$13*$C72)+(Vehi_Fluids!$C$9*(1+Vehi_Fluids!$C$12)*$D72+Vehi_Fluids!$C$9*(1+Vehi_Fluids!$C$12)*Vehi_Fluids!$C$13*$E72)+(Vehi_Fluids!$D$9*(1+Vehi_Fluids!$D$12)*$F72+Vehi_Fluids!$D$9*(1+Vehi_Fluids!$D$12)*Vehi_Fluids!$D$13*$G72)+(Vehi_Fluids!$E$9*(1+Vehi_Fluids!$E$12)*$H72+Vehi_Fluids!$E$9*(1+Vehi_Fluids!$E$12)*Vehi_Fluids!$E$13*$I72)+(Vehi_Fluids!$F$9*(1+Vehi_Fluids!$F$12)*$J72+Vehi_Fluids!$F$9*(1+Vehi_Fluids!$F$12)*Vehi_Fluids!$F$13*$K72)+(Vehi_Fluids!$G$9*(1+Vehi_Fluids!$G$12)*$L72+Vehi_Fluids!$G$9*(1+Vehi_Fluids!$G$12)*(1-Vehi_Fluids!$G$13)*$M72)+(Vehi_Fluids!$H$9*(1+Vehi_Fluids!$H$12)*$N72+Vehi_Fluids!$H$9*(1+Vehi_Fluids!$H$12)*Vehi_Fluids!$H$13*$O72)</f>
        <v>10.884735119507255</v>
      </c>
      <c r="F105" s="389">
        <f>(Vehi_Fluids!$B$10*(1+Vehi_Fluids!$B$12)*$B72+Vehi_Fluids!$B$10*(1+Vehi_Fluids!$B$12)*Vehi_Fluids!$B$13*$C72)+(Vehi_Fluids!$C$10*(1+Vehi_Fluids!$C$12)*$D72+Vehi_Fluids!$C$10*(1+Vehi_Fluids!$C$12)*Vehi_Fluids!$C$13*$E72)+(Vehi_Fluids!$D$10*(1+Vehi_Fluids!$D$12)*$F72+Vehi_Fluids!$D$10*(1+Vehi_Fluids!$D$12)*Vehi_Fluids!$D$13*$G72)+(Vehi_Fluids!$E$10*(1+Vehi_Fluids!$E$12)*$H72+Vehi_Fluids!$E$10*(1+Vehi_Fluids!$E$12)*Vehi_Fluids!$E$13*$I72)+(Vehi_Fluids!$F$10*(1+Vehi_Fluids!$F$12)*$J72+Vehi_Fluids!$F$10*(1+Vehi_Fluids!$F$12)*Vehi_Fluids!$F$13*$K72)+(Vehi_Fluids!$G$10*(1+Vehi_Fluids!$G$12)*$L72+Vehi_Fluids!$G$10*(1+Vehi_Fluids!$G$12)*(1-Vehi_Fluids!$G$13)*$M72)+(Vehi_Fluids!$H$10*(1+Vehi_Fluids!$H$12)*$N72+Vehi_Fluids!$H$10*(1+Vehi_Fluids!$H$12)*Vehi_Fluids!$H$13*$O72)</f>
        <v>2.7912189918497425</v>
      </c>
      <c r="G105" s="391">
        <f>(Vehi_Fluids!$B$11*(1+Vehi_Fluids!$B$12)*$B72+Vehi_Fluids!$B$11*(1+Vehi_Fluids!$B$12)*Vehi_Fluids!$B$13*$C72)+(Vehi_Fluids!$C$11*(1+Vehi_Fluids!$C$12)*$D72+Vehi_Fluids!$C$11*(1+Vehi_Fluids!$C$12)*Vehi_Fluids!$C$13*$E72)+(Vehi_Fluids!$D$11*(1+Vehi_Fluids!$D$12)*$F72+Vehi_Fluids!$D$11*(1+Vehi_Fluids!$D$12)*Vehi_Fluids!$D$13*$G72)+(Vehi_Fluids!$E$11*(1+Vehi_Fluids!$E$12)*$H72+Vehi_Fluids!$E$11*(1+Vehi_Fluids!$E$12)*Vehi_Fluids!$E$13*$I72)+(Vehi_Fluids!$F$11*(1+Vehi_Fluids!$F$12)*$J72+Vehi_Fluids!$F$11*(1+Vehi_Fluids!$F$12)*Vehi_Fluids!$F$13*$K72)+(Vehi_Fluids!$G$11*(1+Vehi_Fluids!$G$12)*$L72+Vehi_Fluids!$G$11*(1+Vehi_Fluids!$G$12)*(1-Vehi_Fluids!$G$13)*$M72)+(Vehi_Fluids!$H$11*(1+Vehi_Fluids!$H$12)*$N72+Vehi_Fluids!$H$11*(1+Vehi_Fluids!$H$12)*Vehi_Fluids!$H$13*$O72)</f>
        <v>2.7912189918497425</v>
      </c>
      <c r="N105" s="614"/>
    </row>
    <row r="106" spans="1:15" s="349" customFormat="1">
      <c r="A106" s="347" t="s">
        <v>817</v>
      </c>
      <c r="B106" s="389">
        <f>(Vehi_Fluids!$B$6*(1+Vehi_Fluids!$B$12)*$B73+Vehi_Fluids!$B$6*(1+Vehi_Fluids!$B$12)*Vehi_Fluids!$B$13*$C73)+(Vehi_Fluids!$C$6*(1+Vehi_Fluids!$C$12)*$D73+Vehi_Fluids!$C$6*(1+Vehi_Fluids!$C$12)*Vehi_Fluids!$C$13*$E73)+(Vehi_Fluids!$D$6*(1+Vehi_Fluids!$D$12)*$F73+Vehi_Fluids!$D$6*(1+Vehi_Fluids!$D$12)*Vehi_Fluids!$D$13*$G73)+(Vehi_Fluids!$E$6*(1+Vehi_Fluids!$E$12)*$H73+Vehi_Fluids!$E$6*(1+Vehi_Fluids!$E$12)*Vehi_Fluids!$E$13*$I73)+(Vehi_Fluids!$F$6*(1+Vehi_Fluids!$F$12)*$J73+Vehi_Fluids!$F$6*(1+Vehi_Fluids!$F$12)*Vehi_Fluids!$F$13*$K73)+(Vehi_Fluids!$G$6*(1+Vehi_Fluids!$G$12)*$L73+Vehi_Fluids!$G$6*(1+Vehi_Fluids!$G$12)*(1-Vehi_Fluids!$G$13)*$M73)+(Vehi_Fluids!$H$6*(1+Vehi_Fluids!$H$12)*$N73+Vehi_Fluids!$H$6*(1+Vehi_Fluids!$H$12)*Vehi_Fluids!$H$13*$O73)</f>
        <v>11.799381898983951</v>
      </c>
      <c r="C106" s="389">
        <f>(Vehi_Fluids!$B$7*(1+Vehi_Fluids!$B$12)*$B73+Vehi_Fluids!$B$7*(1+Vehi_Fluids!$B$12)*Vehi_Fluids!$B$13*$C73)+(Vehi_Fluids!$C$7*(1+Vehi_Fluids!$C$12)*$D73+Vehi_Fluids!$C$7*(1+Vehi_Fluids!$C$12)*Vehi_Fluids!$C$13*$E73)+(Vehi_Fluids!$D$7*(1+Vehi_Fluids!$D$12)*$F73+Vehi_Fluids!$D$7*(1+Vehi_Fluids!$D$12)*Vehi_Fluids!$D$13*$G73)+(Vehi_Fluids!$E$7*(1+Vehi_Fluids!$E$12)*$H73+Vehi_Fluids!$E$7*(1+Vehi_Fluids!$E$12)*Vehi_Fluids!$E$13*$I73)+(Vehi_Fluids!$F$7*(1+Vehi_Fluids!$F$12)*$J73+Vehi_Fluids!$F$7*(1+Vehi_Fluids!$F$12)*Vehi_Fluids!$F$13*$K73)+(Vehi_Fluids!$G$7*(1+Vehi_Fluids!$G$12)*$L73+Vehi_Fluids!$G$7*(1+Vehi_Fluids!$G$12)*(1-Vehi_Fluids!$G$13)*$M73)+(Vehi_Fluids!$H$7*(1+Vehi_Fluids!$H$12)*$N73+Vehi_Fluids!$H$7*(1+Vehi_Fluids!$H$12)*Vehi_Fluids!$H$13*$O73)</f>
        <v>11.799381898983951</v>
      </c>
      <c r="D106" s="389">
        <f>(Vehi_Fluids!$B$8*(1+Vehi_Fluids!$B$12)*$B73+Vehi_Fluids!$B$8*(1+Vehi_Fluids!$B$12)*Vehi_Fluids!$B$13*$C73)+(Vehi_Fluids!$C$8*(1+Vehi_Fluids!$C$12)*$D73+Vehi_Fluids!$C$8*(1+Vehi_Fluids!$C$12)*Vehi_Fluids!$C$13*$E73)+(Vehi_Fluids!$D$8*(1+Vehi_Fluids!$D$12)*$F73+Vehi_Fluids!$D$8*(1+Vehi_Fluids!$D$12)*Vehi_Fluids!$D$13*$G73)+(Vehi_Fluids!$E$8*(1+Vehi_Fluids!$E$12)*$H73+Vehi_Fluids!$E$8*(1+Vehi_Fluids!$E$12)*Vehi_Fluids!$E$13*$I73)+(Vehi_Fluids!$F$8*(1+Vehi_Fluids!$F$12)*$J73+Vehi_Fluids!$F$8*(1+Vehi_Fluids!$F$12)*Vehi_Fluids!$F$13*$K73)+(Vehi_Fluids!$G$8*(1+Vehi_Fluids!$G$12)*$L73+Vehi_Fluids!$G$8*(1+Vehi_Fluids!$G$12)*(1-Vehi_Fluids!$G$13)*$M73)+(Vehi_Fluids!$H$8*(1+Vehi_Fluids!$H$12)*$N73+Vehi_Fluids!$H$8*(1+Vehi_Fluids!$H$12)*Vehi_Fluids!$H$13*$O73)</f>
        <v>10.784962260046292</v>
      </c>
      <c r="E106" s="389">
        <f>(Vehi_Fluids!$B$9*(1+Vehi_Fluids!$B$12)*$B73+Vehi_Fluids!$B$9*(1+Vehi_Fluids!$B$12)*Vehi_Fluids!$B$13*$C73)+(Vehi_Fluids!$C$9*(1+Vehi_Fluids!$C$12)*$D73+Vehi_Fluids!$C$9*(1+Vehi_Fluids!$C$12)*Vehi_Fluids!$C$13*$E73)+(Vehi_Fluids!$D$9*(1+Vehi_Fluids!$D$12)*$F73+Vehi_Fluids!$D$9*(1+Vehi_Fluids!$D$12)*Vehi_Fluids!$D$13*$G73)+(Vehi_Fluids!$E$9*(1+Vehi_Fluids!$E$12)*$H73+Vehi_Fluids!$E$9*(1+Vehi_Fluids!$E$12)*Vehi_Fluids!$E$13*$I73)+(Vehi_Fluids!$F$9*(1+Vehi_Fluids!$F$12)*$J73+Vehi_Fluids!$F$9*(1+Vehi_Fluids!$F$12)*Vehi_Fluids!$F$13*$K73)+(Vehi_Fluids!$G$9*(1+Vehi_Fluids!$G$12)*$L73+Vehi_Fluids!$G$9*(1+Vehi_Fluids!$G$12)*(1-Vehi_Fluids!$G$13)*$M73)+(Vehi_Fluids!$H$9*(1+Vehi_Fluids!$H$12)*$N73+Vehi_Fluids!$H$9*(1+Vehi_Fluids!$H$12)*Vehi_Fluids!$H$13*$O73)</f>
        <v>10.784962260046292</v>
      </c>
      <c r="F106" s="389">
        <f>(Vehi_Fluids!$B$10*(1+Vehi_Fluids!$B$12)*$B73+Vehi_Fluids!$B$10*(1+Vehi_Fluids!$B$12)*Vehi_Fluids!$B$13*$C73)+(Vehi_Fluids!$C$10*(1+Vehi_Fluids!$C$12)*$D73+Vehi_Fluids!$C$10*(1+Vehi_Fluids!$C$12)*Vehi_Fluids!$C$13*$E73)+(Vehi_Fluids!$D$10*(1+Vehi_Fluids!$D$12)*$F73+Vehi_Fluids!$D$10*(1+Vehi_Fluids!$D$12)*Vehi_Fluids!$D$13*$G73)+(Vehi_Fluids!$E$10*(1+Vehi_Fluids!$E$12)*$H73+Vehi_Fluids!$E$10*(1+Vehi_Fluids!$E$12)*Vehi_Fluids!$E$13*$I73)+(Vehi_Fluids!$F$10*(1+Vehi_Fluids!$F$12)*$J73+Vehi_Fluids!$F$10*(1+Vehi_Fluids!$F$12)*Vehi_Fluids!$F$13*$K73)+(Vehi_Fluids!$G$10*(1+Vehi_Fluids!$G$12)*$L73+Vehi_Fluids!$G$10*(1+Vehi_Fluids!$G$12)*(1-Vehi_Fluids!$G$13)*$M73)+(Vehi_Fluids!$H$10*(1+Vehi_Fluids!$H$12)*$N73+Vehi_Fluids!$H$10*(1+Vehi_Fluids!$H$12)*Vehi_Fluids!$H$13*$O73)</f>
        <v>2.7365393962143338</v>
      </c>
      <c r="G106" s="391">
        <f>(Vehi_Fluids!$B$11*(1+Vehi_Fluids!$B$12)*$B73+Vehi_Fluids!$B$11*(1+Vehi_Fluids!$B$12)*Vehi_Fluids!$B$13*$C73)+(Vehi_Fluids!$C$11*(1+Vehi_Fluids!$C$12)*$D73+Vehi_Fluids!$C$11*(1+Vehi_Fluids!$C$12)*Vehi_Fluids!$C$13*$E73)+(Vehi_Fluids!$D$11*(1+Vehi_Fluids!$D$12)*$F73+Vehi_Fluids!$D$11*(1+Vehi_Fluids!$D$12)*Vehi_Fluids!$D$13*$G73)+(Vehi_Fluids!$E$11*(1+Vehi_Fluids!$E$12)*$H73+Vehi_Fluids!$E$11*(1+Vehi_Fluids!$E$12)*Vehi_Fluids!$E$13*$I73)+(Vehi_Fluids!$F$11*(1+Vehi_Fluids!$F$12)*$J73+Vehi_Fluids!$F$11*(1+Vehi_Fluids!$F$12)*Vehi_Fluids!$F$13*$K73)+(Vehi_Fluids!$G$11*(1+Vehi_Fluids!$G$12)*$L73+Vehi_Fluids!$G$11*(1+Vehi_Fluids!$G$12)*(1-Vehi_Fluids!$G$13)*$M73)+(Vehi_Fluids!$H$11*(1+Vehi_Fluids!$H$12)*$N73+Vehi_Fluids!$H$11*(1+Vehi_Fluids!$H$12)*Vehi_Fluids!$H$13*$O73)</f>
        <v>2.7365393962143338</v>
      </c>
      <c r="N106" s="614"/>
    </row>
    <row r="107" spans="1:15" s="349" customFormat="1">
      <c r="A107" s="347" t="s">
        <v>805</v>
      </c>
      <c r="B107" s="389">
        <f>(Vehi_Fluids!$B$6*(1+Vehi_Fluids!$B$12)*$B74+Vehi_Fluids!$B$6*(1+Vehi_Fluids!$B$12)*Vehi_Fluids!$B$13*$C74)+(Vehi_Fluids!$C$6*(1+Vehi_Fluids!$C$12)*$D74+Vehi_Fluids!$C$6*(1+Vehi_Fluids!$C$12)*Vehi_Fluids!$C$13*$E74)+(Vehi_Fluids!$D$6*(1+Vehi_Fluids!$D$12)*$F74+Vehi_Fluids!$D$6*(1+Vehi_Fluids!$D$12)*Vehi_Fluids!$D$13*$G74)+(Vehi_Fluids!$E$6*(1+Vehi_Fluids!$E$12)*$H74+Vehi_Fluids!$E$6*(1+Vehi_Fluids!$E$12)*Vehi_Fluids!$E$13*$I74)+(Vehi_Fluids!$F$6*(1+Vehi_Fluids!$F$12)*$J74+Vehi_Fluids!$F$6*(1+Vehi_Fluids!$F$12)*Vehi_Fluids!$F$13*$K74)+(Vehi_Fluids!$G$6*(1+Vehi_Fluids!$G$12)*$L74+Vehi_Fluids!$G$6*(1+Vehi_Fluids!$G$12)*(1-Vehi_Fluids!$G$13)*$M74)+(Vehi_Fluids!$H$6*(1+Vehi_Fluids!$H$12)*$N74+Vehi_Fluids!$H$6*(1+Vehi_Fluids!$H$12)*Vehi_Fluids!$H$13*$O74)</f>
        <v>0.14265858643336127</v>
      </c>
      <c r="C107" s="389">
        <f>(Vehi_Fluids!$B$7*(1+Vehi_Fluids!$B$12)*$B74+Vehi_Fluids!$B$7*(1+Vehi_Fluids!$B$12)*Vehi_Fluids!$B$13*$C74)+(Vehi_Fluids!$C$7*(1+Vehi_Fluids!$C$12)*$D74+Vehi_Fluids!$C$7*(1+Vehi_Fluids!$C$12)*Vehi_Fluids!$C$13*$E74)+(Vehi_Fluids!$D$7*(1+Vehi_Fluids!$D$12)*$F74+Vehi_Fluids!$D$7*(1+Vehi_Fluids!$D$12)*Vehi_Fluids!$D$13*$G74)+(Vehi_Fluids!$E$7*(1+Vehi_Fluids!$E$12)*$H74+Vehi_Fluids!$E$7*(1+Vehi_Fluids!$E$12)*Vehi_Fluids!$E$13*$I74)+(Vehi_Fluids!$F$7*(1+Vehi_Fluids!$F$12)*$J74+Vehi_Fluids!$F$7*(1+Vehi_Fluids!$F$12)*Vehi_Fluids!$F$13*$K74)+(Vehi_Fluids!$G$7*(1+Vehi_Fluids!$G$12)*$L74+Vehi_Fluids!$G$7*(1+Vehi_Fluids!$G$12)*(1-Vehi_Fluids!$G$13)*$M74)+(Vehi_Fluids!$H$7*(1+Vehi_Fluids!$H$12)*$N74+Vehi_Fluids!$H$7*(1+Vehi_Fluids!$H$12)*Vehi_Fluids!$H$13*$O74)</f>
        <v>0.14265858643336127</v>
      </c>
      <c r="D107" s="389">
        <f>(Vehi_Fluids!$B$8*(1+Vehi_Fluids!$B$12)*$B74+Vehi_Fluids!$B$8*(1+Vehi_Fluids!$B$12)*Vehi_Fluids!$B$13*$C74)+(Vehi_Fluids!$C$8*(1+Vehi_Fluids!$C$12)*$D74+Vehi_Fluids!$C$8*(1+Vehi_Fluids!$C$12)*Vehi_Fluids!$C$13*$E74)+(Vehi_Fluids!$D$8*(1+Vehi_Fluids!$D$12)*$F74+Vehi_Fluids!$D$8*(1+Vehi_Fluids!$D$12)*Vehi_Fluids!$D$13*$G74)+(Vehi_Fluids!$E$8*(1+Vehi_Fluids!$E$12)*$H74+Vehi_Fluids!$E$8*(1+Vehi_Fluids!$E$12)*Vehi_Fluids!$E$13*$I74)+(Vehi_Fluids!$F$8*(1+Vehi_Fluids!$F$12)*$J74+Vehi_Fluids!$F$8*(1+Vehi_Fluids!$F$12)*Vehi_Fluids!$F$13*$K74)+(Vehi_Fluids!$G$8*(1+Vehi_Fluids!$G$12)*$L74+Vehi_Fluids!$G$8*(1+Vehi_Fluids!$G$12)*(1-Vehi_Fluids!$G$13)*$M74)+(Vehi_Fluids!$H$8*(1+Vehi_Fluids!$H$12)*$N74+Vehi_Fluids!$H$8*(1+Vehi_Fluids!$H$12)*Vehi_Fluids!$H$13*$O74)</f>
        <v>0.13586594521559447</v>
      </c>
      <c r="E107" s="389">
        <f>(Vehi_Fluids!$B$9*(1+Vehi_Fluids!$B$12)*$B74+Vehi_Fluids!$B$9*(1+Vehi_Fluids!$B$12)*Vehi_Fluids!$B$13*$C74)+(Vehi_Fluids!$C$9*(1+Vehi_Fluids!$C$12)*$D74+Vehi_Fluids!$C$9*(1+Vehi_Fluids!$C$12)*Vehi_Fluids!$C$13*$E74)+(Vehi_Fluids!$D$9*(1+Vehi_Fluids!$D$12)*$F74+Vehi_Fluids!$D$9*(1+Vehi_Fluids!$D$12)*Vehi_Fluids!$D$13*$G74)+(Vehi_Fluids!$E$9*(1+Vehi_Fluids!$E$12)*$H74+Vehi_Fluids!$E$9*(1+Vehi_Fluids!$E$12)*Vehi_Fluids!$E$13*$I74)+(Vehi_Fluids!$F$9*(1+Vehi_Fluids!$F$12)*$J74+Vehi_Fluids!$F$9*(1+Vehi_Fluids!$F$12)*Vehi_Fluids!$F$13*$K74)+(Vehi_Fluids!$G$9*(1+Vehi_Fluids!$G$12)*$L74+Vehi_Fluids!$G$9*(1+Vehi_Fluids!$G$12)*(1-Vehi_Fluids!$G$13)*$M74)+(Vehi_Fluids!$H$9*(1+Vehi_Fluids!$H$12)*$N74+Vehi_Fluids!$H$9*(1+Vehi_Fluids!$H$12)*Vehi_Fluids!$H$13*$O74)</f>
        <v>0.13586594521559447</v>
      </c>
      <c r="F107" s="389">
        <f>(Vehi_Fluids!$B$10*(1+Vehi_Fluids!$B$12)*$B74+Vehi_Fluids!$B$10*(1+Vehi_Fluids!$B$12)*Vehi_Fluids!$B$13*$C74)+(Vehi_Fluids!$C$10*(1+Vehi_Fluids!$C$12)*$D74+Vehi_Fluids!$C$10*(1+Vehi_Fluids!$C$12)*Vehi_Fluids!$C$13*$E74)+(Vehi_Fluids!$D$10*(1+Vehi_Fluids!$D$12)*$F74+Vehi_Fluids!$D$10*(1+Vehi_Fluids!$D$12)*Vehi_Fluids!$D$13*$G74)+(Vehi_Fluids!$E$10*(1+Vehi_Fluids!$E$12)*$H74+Vehi_Fluids!$E$10*(1+Vehi_Fluids!$E$12)*Vehi_Fluids!$E$13*$I74)+(Vehi_Fluids!$F$10*(1+Vehi_Fluids!$F$12)*$J74+Vehi_Fluids!$F$10*(1+Vehi_Fluids!$F$12)*Vehi_Fluids!$F$13*$K74)+(Vehi_Fluids!$G$10*(1+Vehi_Fluids!$G$12)*$L74+Vehi_Fluids!$G$10*(1+Vehi_Fluids!$G$12)*(1-Vehi_Fluids!$G$13)*$M74)+(Vehi_Fluids!$H$10*(1+Vehi_Fluids!$H$12)*$N74+Vehi_Fluids!$H$10*(1+Vehi_Fluids!$H$12)*Vehi_Fluids!$H$13*$O74)</f>
        <v>7.8223251390751244E-2</v>
      </c>
      <c r="G107" s="391">
        <f>(Vehi_Fluids!$B$11*(1+Vehi_Fluids!$B$12)*$B74+Vehi_Fluids!$B$11*(1+Vehi_Fluids!$B$12)*Vehi_Fluids!$B$13*$C74)+(Vehi_Fluids!$C$11*(1+Vehi_Fluids!$C$12)*$D74+Vehi_Fluids!$C$11*(1+Vehi_Fluids!$C$12)*Vehi_Fluids!$C$13*$E74)+(Vehi_Fluids!$D$11*(1+Vehi_Fluids!$D$12)*$F74+Vehi_Fluids!$D$11*(1+Vehi_Fluids!$D$12)*Vehi_Fluids!$D$13*$G74)+(Vehi_Fluids!$E$11*(1+Vehi_Fluids!$E$12)*$H74+Vehi_Fluids!$E$11*(1+Vehi_Fluids!$E$12)*Vehi_Fluids!$E$13*$I74)+(Vehi_Fluids!$F$11*(1+Vehi_Fluids!$F$12)*$J74+Vehi_Fluids!$F$11*(1+Vehi_Fluids!$F$12)*Vehi_Fluids!$F$13*$K74)+(Vehi_Fluids!$G$11*(1+Vehi_Fluids!$G$12)*$L74+Vehi_Fluids!$G$11*(1+Vehi_Fluids!$G$12)*(1-Vehi_Fluids!$G$13)*$M74)+(Vehi_Fluids!$H$11*(1+Vehi_Fluids!$H$12)*$N74+Vehi_Fluids!$H$11*(1+Vehi_Fluids!$H$12)*Vehi_Fluids!$H$13*$O74)</f>
        <v>7.8223251390751244E-2</v>
      </c>
      <c r="N107" s="614"/>
    </row>
    <row r="108" spans="1:15" s="349" customFormat="1">
      <c r="A108" s="347" t="s">
        <v>804</v>
      </c>
      <c r="B108" s="389">
        <f t="shared" ref="B108:G108" si="23">B106-B107-B109</f>
        <v>3.0625502085656144</v>
      </c>
      <c r="C108" s="389">
        <f t="shared" si="23"/>
        <v>3.0625502085656144</v>
      </c>
      <c r="D108" s="389">
        <f t="shared" si="23"/>
        <v>2.945670850959174</v>
      </c>
      <c r="E108" s="389">
        <f t="shared" si="23"/>
        <v>2.945670850959174</v>
      </c>
      <c r="F108" s="389">
        <f t="shared" si="23"/>
        <v>1.8717081422849038</v>
      </c>
      <c r="G108" s="391">
        <f t="shared" si="23"/>
        <v>1.8717081422849038</v>
      </c>
      <c r="N108" s="614"/>
    </row>
    <row r="109" spans="1:15" s="349" customFormat="1">
      <c r="A109" s="503" t="s">
        <v>818</v>
      </c>
      <c r="B109" s="603">
        <f>(Vehi_Fluids!$B$6*(1+Vehi_Fluids!$B$12)*$B76+Vehi_Fluids!$B$6*(1+Vehi_Fluids!$B$12)*Vehi_Fluids!$B$13*$C76)+(Vehi_Fluids!$C$6*(1+Vehi_Fluids!$C$12)*$D76+Vehi_Fluids!$C$6*(1+Vehi_Fluids!$C$12)*Vehi_Fluids!$C$13*$E76)+(Vehi_Fluids!$D$6*(1+Vehi_Fluids!$D$12)*$F76+Vehi_Fluids!$D$6*(1+Vehi_Fluids!$D$12)*Vehi_Fluids!$D$13*$G76)+(Vehi_Fluids!$E$6*(1+Vehi_Fluids!$E$12)*$H76+Vehi_Fluids!$E$6*(1+Vehi_Fluids!$E$12)*Vehi_Fluids!$E$13*$I76)+(Vehi_Fluids!$F$6*(1+Vehi_Fluids!$F$12)*$J76+Vehi_Fluids!$F$6*(1+Vehi_Fluids!$F$12)*Vehi_Fluids!$F$13*$K76)+(Vehi_Fluids!$G$6*(1+Vehi_Fluids!$G$12)*$L76+Vehi_Fluids!$G$6*(1+Vehi_Fluids!$G$12)*(1-Vehi_Fluids!$G$13)*$M76)+(Vehi_Fluids!$H$6*(1+Vehi_Fluids!$H$12)*$N76+Vehi_Fluids!$H$6*(1+Vehi_Fluids!$H$12)*Vehi_Fluids!$H$13*$O76)</f>
        <v>8.5941731039849749</v>
      </c>
      <c r="C109" s="603">
        <f>(Vehi_Fluids!$B$7*(1+Vehi_Fluids!$B$12)*$B76+Vehi_Fluids!$B$7*(1+Vehi_Fluids!$B$12)*Vehi_Fluids!$B$13*$C76)+(Vehi_Fluids!$C$7*(1+Vehi_Fluids!$C$12)*$D76+Vehi_Fluids!$C$7*(1+Vehi_Fluids!$C$12)*Vehi_Fluids!$C$13*$E76)+(Vehi_Fluids!$D$7*(1+Vehi_Fluids!$D$12)*$F76+Vehi_Fluids!$D$7*(1+Vehi_Fluids!$D$12)*Vehi_Fluids!$D$13*$G76)+(Vehi_Fluids!$E$7*(1+Vehi_Fluids!$E$12)*$H76+Vehi_Fluids!$E$7*(1+Vehi_Fluids!$E$12)*Vehi_Fluids!$E$13*$I76)+(Vehi_Fluids!$F$7*(1+Vehi_Fluids!$F$12)*$J76+Vehi_Fluids!$F$7*(1+Vehi_Fluids!$F$12)*Vehi_Fluids!$F$13*$K76)+(Vehi_Fluids!$G$7*(1+Vehi_Fluids!$G$12)*$L76+Vehi_Fluids!$G$7*(1+Vehi_Fluids!$G$12)*(1-Vehi_Fluids!$G$13)*$M76)+(Vehi_Fluids!$H$7*(1+Vehi_Fluids!$H$12)*$N76+Vehi_Fluids!$H$7*(1+Vehi_Fluids!$H$12)*Vehi_Fluids!$H$13*$O76)</f>
        <v>8.5941731039849749</v>
      </c>
      <c r="D109" s="603">
        <f>(Vehi_Fluids!$B$8*(1+Vehi_Fluids!$B$12)*$B76+Vehi_Fluids!$B$8*(1+Vehi_Fluids!$B$12)*Vehi_Fluids!$B$13*$C76)+(Vehi_Fluids!$C$8*(1+Vehi_Fluids!$C$12)*$D76+Vehi_Fluids!$C$8*(1+Vehi_Fluids!$C$12)*Vehi_Fluids!$C$13*$E76)+(Vehi_Fluids!$D$8*(1+Vehi_Fluids!$D$12)*$F76+Vehi_Fluids!$D$8*(1+Vehi_Fluids!$D$12)*Vehi_Fluids!$D$13*$G76)+(Vehi_Fluids!$E$8*(1+Vehi_Fluids!$E$12)*$H76+Vehi_Fluids!$E$8*(1+Vehi_Fluids!$E$12)*Vehi_Fluids!$E$13*$I76)+(Vehi_Fluids!$F$8*(1+Vehi_Fluids!$F$12)*$J76+Vehi_Fluids!$F$8*(1+Vehi_Fluids!$F$12)*Vehi_Fluids!$F$13*$K76)+(Vehi_Fluids!$G$8*(1+Vehi_Fluids!$G$12)*$L76+Vehi_Fluids!$G$8*(1+Vehi_Fluids!$G$12)*(1-Vehi_Fluids!$G$13)*$M76)+(Vehi_Fluids!$H$8*(1+Vehi_Fluids!$H$12)*$N76+Vehi_Fluids!$H$8*(1+Vehi_Fluids!$H$12)*Vehi_Fluids!$H$13*$O76)</f>
        <v>7.7034254638715245</v>
      </c>
      <c r="E109" s="603">
        <f>(Vehi_Fluids!$B$9*(1+Vehi_Fluids!$B$12)*$B76+Vehi_Fluids!$B$9*(1+Vehi_Fluids!$B$12)*Vehi_Fluids!$B$13*$C76)+(Vehi_Fluids!$C$9*(1+Vehi_Fluids!$C$12)*$D76+Vehi_Fluids!$C$9*(1+Vehi_Fluids!$C$12)*Vehi_Fluids!$C$13*$E76)+(Vehi_Fluids!$D$9*(1+Vehi_Fluids!$D$12)*$F76+Vehi_Fluids!$D$9*(1+Vehi_Fluids!$D$12)*Vehi_Fluids!$D$13*$G76)+(Vehi_Fluids!$E$9*(1+Vehi_Fluids!$E$12)*$H76+Vehi_Fluids!$E$9*(1+Vehi_Fluids!$E$12)*Vehi_Fluids!$E$13*$I76)+(Vehi_Fluids!$F$9*(1+Vehi_Fluids!$F$12)*$J76+Vehi_Fluids!$F$9*(1+Vehi_Fluids!$F$12)*Vehi_Fluids!$F$13*$K76)+(Vehi_Fluids!$G$9*(1+Vehi_Fluids!$G$12)*$L76+Vehi_Fluids!$G$9*(1+Vehi_Fluids!$G$12)*(1-Vehi_Fluids!$G$13)*$M76)+(Vehi_Fluids!$H$9*(1+Vehi_Fluids!$H$12)*$N76+Vehi_Fluids!$H$9*(1+Vehi_Fluids!$H$12)*Vehi_Fluids!$H$13*$O76)</f>
        <v>7.7034254638715245</v>
      </c>
      <c r="F109" s="603">
        <f>(Vehi_Fluids!$B$10*(1+Vehi_Fluids!$B$12)*$B76+Vehi_Fluids!$B$10*(1+Vehi_Fluids!$B$12)*Vehi_Fluids!$B$13*$C76)+(Vehi_Fluids!$C$10*(1+Vehi_Fluids!$C$12)*$D76+Vehi_Fluids!$C$10*(1+Vehi_Fluids!$C$12)*Vehi_Fluids!$C$13*$E76)+(Vehi_Fluids!$D$10*(1+Vehi_Fluids!$D$12)*$F76+Vehi_Fluids!$D$10*(1+Vehi_Fluids!$D$12)*Vehi_Fluids!$D$13*$G76)+(Vehi_Fluids!$E$10*(1+Vehi_Fluids!$E$12)*$H76+Vehi_Fluids!$E$10*(1+Vehi_Fluids!$E$12)*Vehi_Fluids!$E$13*$I76)+(Vehi_Fluids!$F$10*(1+Vehi_Fluids!$F$12)*$J76+Vehi_Fluids!$F$10*(1+Vehi_Fluids!$F$12)*Vehi_Fluids!$F$13*$K76)+(Vehi_Fluids!$G$10*(1+Vehi_Fluids!$G$12)*$L76+Vehi_Fluids!$G$10*(1+Vehi_Fluids!$G$12)*(1-Vehi_Fluids!$G$13)*$M76)+(Vehi_Fluids!$H$10*(1+Vehi_Fluids!$H$12)*$N76+Vehi_Fluids!$H$10*(1+Vehi_Fluids!$H$12)*Vehi_Fluids!$H$13*$O76)</f>
        <v>0.7866080025386788</v>
      </c>
      <c r="G109" s="657">
        <f>(Vehi_Fluids!$B$11*(1+Vehi_Fluids!$B$12)*$B76+Vehi_Fluids!$B$11*(1+Vehi_Fluids!$B$12)*Vehi_Fluids!$B$13*$C76)+(Vehi_Fluids!$C$11*(1+Vehi_Fluids!$C$12)*$D76+Vehi_Fluids!$C$11*(1+Vehi_Fluids!$C$12)*Vehi_Fluids!$C$13*$E76)+(Vehi_Fluids!$D$11*(1+Vehi_Fluids!$D$12)*$F76+Vehi_Fluids!$D$11*(1+Vehi_Fluids!$D$12)*Vehi_Fluids!$D$13*$G76)+(Vehi_Fluids!$E$11*(1+Vehi_Fluids!$E$12)*$H76+Vehi_Fluids!$E$11*(1+Vehi_Fluids!$E$12)*Vehi_Fluids!$E$13*$I76)+(Vehi_Fluids!$F$11*(1+Vehi_Fluids!$F$12)*$J76+Vehi_Fluids!$F$11*(1+Vehi_Fluids!$F$12)*Vehi_Fluids!$F$13*$K76)+(Vehi_Fluids!$G$11*(1+Vehi_Fluids!$G$12)*$L76+Vehi_Fluids!$G$11*(1+Vehi_Fluids!$G$12)*(1-Vehi_Fluids!$G$13)*$M76)+(Vehi_Fluids!$H$11*(1+Vehi_Fluids!$H$12)*$N76+Vehi_Fluids!$H$11*(1+Vehi_Fluids!$H$12)*Vehi_Fluids!$H$13*$O76)</f>
        <v>0.7866080025386788</v>
      </c>
      <c r="N109" s="614"/>
    </row>
    <row r="110" spans="1:15" s="349" customFormat="1">
      <c r="A110" s="503" t="s">
        <v>819</v>
      </c>
      <c r="B110" s="603">
        <f>(Vehi_Fluids!$B$6*(1+Vehi_Fluids!$B$12)*$B77+Vehi_Fluids!$B$6*(1+Vehi_Fluids!$B$12)*Vehi_Fluids!$B$13*$C77)+(Vehi_Fluids!$C$6*(1+Vehi_Fluids!$C$12)*$D77+Vehi_Fluids!$C$6*(1+Vehi_Fluids!$C$12)*Vehi_Fluids!$C$13*$E77)+(Vehi_Fluids!$D$6*(1+Vehi_Fluids!$D$12)*$F77+Vehi_Fluids!$D$6*(1+Vehi_Fluids!$D$12)*Vehi_Fluids!$D$13*$G77)+(Vehi_Fluids!$E$6*(1+Vehi_Fluids!$E$12)*$H77+Vehi_Fluids!$E$6*(1+Vehi_Fluids!$E$12)*Vehi_Fluids!$E$13*$I77)+(Vehi_Fluids!$F$6*(1+Vehi_Fluids!$F$12)*$J77+Vehi_Fluids!$F$6*(1+Vehi_Fluids!$F$12)*Vehi_Fluids!$F$13*$K77)+(Vehi_Fluids!$G$6*(1+Vehi_Fluids!$G$12)*$L77+Vehi_Fluids!$G$6*(1+Vehi_Fluids!$G$12)*(1-Vehi_Fluids!$G$13)*$M77)+(Vehi_Fluids!$H$6*(1+Vehi_Fluids!$H$12)*$N77+Vehi_Fluids!$H$6*(1+Vehi_Fluids!$H$12)*Vehi_Fluids!$H$13*$O77)</f>
        <v>244.52750845776495</v>
      </c>
      <c r="C110" s="603">
        <f>(Vehi_Fluids!$B$7*(1+Vehi_Fluids!$B$12)*$B77+Vehi_Fluids!$B$7*(1+Vehi_Fluids!$B$12)*Vehi_Fluids!$B$13*$C77)+(Vehi_Fluids!$C$7*(1+Vehi_Fluids!$C$12)*$D77+Vehi_Fluids!$C$7*(1+Vehi_Fluids!$C$12)*Vehi_Fluids!$C$13*$E77)+(Vehi_Fluids!$D$7*(1+Vehi_Fluids!$D$12)*$F77+Vehi_Fluids!$D$7*(1+Vehi_Fluids!$D$12)*Vehi_Fluids!$D$13*$G77)+(Vehi_Fluids!$E$7*(1+Vehi_Fluids!$E$12)*$H77+Vehi_Fluids!$E$7*(1+Vehi_Fluids!$E$12)*Vehi_Fluids!$E$13*$I77)+(Vehi_Fluids!$F$7*(1+Vehi_Fluids!$F$12)*$J77+Vehi_Fluids!$F$7*(1+Vehi_Fluids!$F$12)*Vehi_Fluids!$F$13*$K77)+(Vehi_Fluids!$G$7*(1+Vehi_Fluids!$G$12)*$L77+Vehi_Fluids!$G$7*(1+Vehi_Fluids!$G$12)*(1-Vehi_Fluids!$G$13)*$M77)+(Vehi_Fluids!$H$7*(1+Vehi_Fluids!$H$12)*$N77+Vehi_Fluids!$H$7*(1+Vehi_Fluids!$H$12)*Vehi_Fluids!$H$13*$O77)</f>
        <v>244.52750845776495</v>
      </c>
      <c r="D110" s="603">
        <f>(Vehi_Fluids!$B$8*(1+Vehi_Fluids!$B$12)*$B77+Vehi_Fluids!$B$8*(1+Vehi_Fluids!$B$12)*Vehi_Fluids!$B$13*$C77)+(Vehi_Fluids!$C$8*(1+Vehi_Fluids!$C$12)*$D77+Vehi_Fluids!$C$8*(1+Vehi_Fluids!$C$12)*Vehi_Fluids!$C$13*$E77)+(Vehi_Fluids!$D$8*(1+Vehi_Fluids!$D$12)*$F77+Vehi_Fluids!$D$8*(1+Vehi_Fluids!$D$12)*Vehi_Fluids!$D$13*$G77)+(Vehi_Fluids!$E$8*(1+Vehi_Fluids!$E$12)*$H77+Vehi_Fluids!$E$8*(1+Vehi_Fluids!$E$12)*Vehi_Fluids!$E$13*$I77)+(Vehi_Fluids!$F$8*(1+Vehi_Fluids!$F$12)*$J77+Vehi_Fluids!$F$8*(1+Vehi_Fluids!$F$12)*Vehi_Fluids!$F$13*$K77)+(Vehi_Fluids!$G$8*(1+Vehi_Fluids!$G$12)*$L77+Vehi_Fluids!$G$8*(1+Vehi_Fluids!$G$12)*(1-Vehi_Fluids!$G$13)*$M77)+(Vehi_Fluids!$H$8*(1+Vehi_Fluids!$H$12)*$N77+Vehi_Fluids!$H$8*(1+Vehi_Fluids!$H$12)*Vehi_Fluids!$H$13*$O77)</f>
        <v>223.07943509845086</v>
      </c>
      <c r="E110" s="603">
        <f>(Vehi_Fluids!$B$9*(1+Vehi_Fluids!$B$12)*$B77+Vehi_Fluids!$B$9*(1+Vehi_Fluids!$B$12)*Vehi_Fluids!$B$13*$C77)+(Vehi_Fluids!$C$9*(1+Vehi_Fluids!$C$12)*$D77+Vehi_Fluids!$C$9*(1+Vehi_Fluids!$C$12)*Vehi_Fluids!$C$13*$E77)+(Vehi_Fluids!$D$9*(1+Vehi_Fluids!$D$12)*$F77+Vehi_Fluids!$D$9*(1+Vehi_Fluids!$D$12)*Vehi_Fluids!$D$13*$G77)+(Vehi_Fluids!$E$9*(1+Vehi_Fluids!$E$12)*$H77+Vehi_Fluids!$E$9*(1+Vehi_Fluids!$E$12)*Vehi_Fluids!$E$13*$I77)+(Vehi_Fluids!$F$9*(1+Vehi_Fluids!$F$12)*$J77+Vehi_Fluids!$F$9*(1+Vehi_Fluids!$F$12)*Vehi_Fluids!$F$13*$K77)+(Vehi_Fluids!$G$9*(1+Vehi_Fluids!$G$12)*$L77+Vehi_Fluids!$G$9*(1+Vehi_Fluids!$G$12)*(1-Vehi_Fluids!$G$13)*$M77)+(Vehi_Fluids!$H$9*(1+Vehi_Fluids!$H$12)*$N77+Vehi_Fluids!$H$9*(1+Vehi_Fluids!$H$12)*Vehi_Fluids!$H$13*$O77)</f>
        <v>223.07943509845086</v>
      </c>
      <c r="F110" s="603">
        <f>(Vehi_Fluids!$B$10*(1+Vehi_Fluids!$B$12)*$B77+Vehi_Fluids!$B$10*(1+Vehi_Fluids!$B$12)*Vehi_Fluids!$B$13*$C77)+(Vehi_Fluids!$C$10*(1+Vehi_Fluids!$C$12)*$D77+Vehi_Fluids!$C$10*(1+Vehi_Fluids!$C$12)*Vehi_Fluids!$C$13*$E77)+(Vehi_Fluids!$D$10*(1+Vehi_Fluids!$D$12)*$F77+Vehi_Fluids!$D$10*(1+Vehi_Fluids!$D$12)*Vehi_Fluids!$D$13*$G77)+(Vehi_Fluids!$E$10*(1+Vehi_Fluids!$E$12)*$H77+Vehi_Fluids!$E$10*(1+Vehi_Fluids!$E$12)*Vehi_Fluids!$E$13*$I77)+(Vehi_Fluids!$F$10*(1+Vehi_Fluids!$F$12)*$J77+Vehi_Fluids!$F$10*(1+Vehi_Fluids!$F$12)*Vehi_Fluids!$F$13*$K77)+(Vehi_Fluids!$G$10*(1+Vehi_Fluids!$G$12)*$L77+Vehi_Fluids!$G$10*(1+Vehi_Fluids!$G$12)*(1-Vehi_Fluids!$G$13)*$M77)+(Vehi_Fluids!$H$10*(1+Vehi_Fluids!$H$12)*$N77+Vehi_Fluids!$H$10*(1+Vehi_Fluids!$H$12)*Vehi_Fluids!$H$13*$O77)</f>
        <v>49.107960876842185</v>
      </c>
      <c r="G110" s="657">
        <f>(Vehi_Fluids!$B$11*(1+Vehi_Fluids!$B$12)*$B77+Vehi_Fluids!$B$11*(1+Vehi_Fluids!$B$12)*Vehi_Fluids!$B$13*$C77)+(Vehi_Fluids!$C$11*(1+Vehi_Fluids!$C$12)*$D77+Vehi_Fluids!$C$11*(1+Vehi_Fluids!$C$12)*Vehi_Fluids!$C$13*$E77)+(Vehi_Fluids!$D$11*(1+Vehi_Fluids!$D$12)*$F77+Vehi_Fluids!$D$11*(1+Vehi_Fluids!$D$12)*Vehi_Fluids!$D$13*$G77)+(Vehi_Fluids!$E$11*(1+Vehi_Fluids!$E$12)*$H77+Vehi_Fluids!$E$11*(1+Vehi_Fluids!$E$12)*Vehi_Fluids!$E$13*$I77)+(Vehi_Fluids!$F$11*(1+Vehi_Fluids!$F$12)*$J77+Vehi_Fluids!$F$11*(1+Vehi_Fluids!$F$12)*Vehi_Fluids!$F$13*$K77)+(Vehi_Fluids!$G$11*(1+Vehi_Fluids!$G$12)*$L77+Vehi_Fluids!$G$11*(1+Vehi_Fluids!$G$12)*(1-Vehi_Fluids!$G$13)*$M77)+(Vehi_Fluids!$H$11*(1+Vehi_Fluids!$H$12)*$N77+Vehi_Fluids!$H$11*(1+Vehi_Fluids!$H$12)*Vehi_Fluids!$H$13*$O77)</f>
        <v>49.107960876842185</v>
      </c>
      <c r="N110" s="614"/>
    </row>
    <row r="111" spans="1:15" s="349" customFormat="1">
      <c r="A111" s="699" t="s">
        <v>1030</v>
      </c>
      <c r="B111" s="513"/>
      <c r="C111" s="513"/>
      <c r="D111" s="513"/>
      <c r="E111" s="513"/>
      <c r="G111" s="514"/>
      <c r="N111" s="614"/>
    </row>
    <row r="112" spans="1:15" s="349" customFormat="1">
      <c r="A112" s="347" t="s">
        <v>821</v>
      </c>
      <c r="B112" s="349">
        <f>(Vehi_Fluids!$B$6*(1+Vehi_Fluids!$B$12)*$B79+Vehi_Fluids!$B$6*(1+Vehi_Fluids!$B$12)*Vehi_Fluids!$B$13*$C79)+(Vehi_Fluids!$C$6*(1+Vehi_Fluids!$C$12)*$D79+Vehi_Fluids!$C$6*(1+Vehi_Fluids!$C$12)*Vehi_Fluids!$C$13*$E79)+(Vehi_Fluids!$D$6*(1+Vehi_Fluids!$D$12)*$F79+Vehi_Fluids!$D$6*(1+Vehi_Fluids!$D$12)*Vehi_Fluids!$D$13*$G79)+(Vehi_Fluids!$E$6*(1+Vehi_Fluids!$E$12)*$H79+Vehi_Fluids!$E$6*(1+Vehi_Fluids!$E$12)*Vehi_Fluids!$E$13*$I79)+(Vehi_Fluids!$F$6*(1+Vehi_Fluids!$F$12)*$J79+Vehi_Fluids!$F$6*(1+Vehi_Fluids!$F$12)*Vehi_Fluids!$F$13*$K79)+(Vehi_Fluids!$G$6*(1+Vehi_Fluids!$G$12)*$L79+Vehi_Fluids!$G$6*(1+Vehi_Fluids!$G$12)*(1-Vehi_Fluids!$G$13)*$M79)+(Vehi_Fluids!$H$6*(1+Vehi_Fluids!$H$12)*$N79+Vehi_Fluids!$H$6*(1+Vehi_Fluids!$H$12)*Vehi_Fluids!$H$13*$O79)</f>
        <v>27502.587620200975</v>
      </c>
      <c r="C112" s="349">
        <f>(Vehi_Fluids!$B$7*(1+Vehi_Fluids!$B$12)*$B79+Vehi_Fluids!$B$7*(1+Vehi_Fluids!$B$12)*Vehi_Fluids!$B$13*$C79)+(Vehi_Fluids!$C$7*(1+Vehi_Fluids!$C$12)*$D79+Vehi_Fluids!$C$7*(1+Vehi_Fluids!$C$12)*Vehi_Fluids!$C$13*$E79)+(Vehi_Fluids!$D$7*(1+Vehi_Fluids!$D$12)*$F79+Vehi_Fluids!$D$7*(1+Vehi_Fluids!$D$12)*Vehi_Fluids!$D$13*$G79)+(Vehi_Fluids!$E$7*(1+Vehi_Fluids!$E$12)*$H79+Vehi_Fluids!$E$7*(1+Vehi_Fluids!$E$12)*Vehi_Fluids!$E$13*$I79)+(Vehi_Fluids!$F$7*(1+Vehi_Fluids!$F$12)*$J79+Vehi_Fluids!$F$7*(1+Vehi_Fluids!$F$12)*Vehi_Fluids!$F$13*$K79)+(Vehi_Fluids!$G$7*(1+Vehi_Fluids!$G$12)*$L79+Vehi_Fluids!$G$7*(1+Vehi_Fluids!$G$12)*(1-Vehi_Fluids!$G$13)*$M79)+(Vehi_Fluids!$H$7*(1+Vehi_Fluids!$H$12)*$N79+Vehi_Fluids!$H$7*(1+Vehi_Fluids!$H$12)*Vehi_Fluids!$H$13*$O79)</f>
        <v>27502.587620200975</v>
      </c>
      <c r="D112" s="349">
        <f>(Vehi_Fluids!$B$8*(1+Vehi_Fluids!$B$12)*$B79+Vehi_Fluids!$B$8*(1+Vehi_Fluids!$B$12)*Vehi_Fluids!$B$13*$C79)+(Vehi_Fluids!$C$8*(1+Vehi_Fluids!$C$12)*$D79+Vehi_Fluids!$C$8*(1+Vehi_Fluids!$C$12)*Vehi_Fluids!$C$13*$E79)+(Vehi_Fluids!$D$8*(1+Vehi_Fluids!$D$12)*$F79+Vehi_Fluids!$D$8*(1+Vehi_Fluids!$D$12)*Vehi_Fluids!$D$13*$G79)+(Vehi_Fluids!$E$8*(1+Vehi_Fluids!$E$12)*$H79+Vehi_Fluids!$E$8*(1+Vehi_Fluids!$E$12)*Vehi_Fluids!$E$13*$I79)+(Vehi_Fluids!$F$8*(1+Vehi_Fluids!$F$12)*$J79+Vehi_Fluids!$F$8*(1+Vehi_Fluids!$F$12)*Vehi_Fluids!$F$13*$K79)+(Vehi_Fluids!$G$8*(1+Vehi_Fluids!$G$12)*$L79+Vehi_Fluids!$G$8*(1+Vehi_Fluids!$G$12)*(1-Vehi_Fluids!$G$13)*$M79)+(Vehi_Fluids!$H$8*(1+Vehi_Fluids!$H$12)*$N79+Vehi_Fluids!$H$8*(1+Vehi_Fluids!$H$12)*Vehi_Fluids!$H$13*$O79)</f>
        <v>27477.941443330226</v>
      </c>
      <c r="E112" s="349">
        <f>(Vehi_Fluids!$B$9*(1+Vehi_Fluids!$B$12)*$B79+Vehi_Fluids!$B$9*(1+Vehi_Fluids!$B$12)*Vehi_Fluids!$B$13*$C79)+(Vehi_Fluids!$C$9*(1+Vehi_Fluids!$C$12)*$D79+Vehi_Fluids!$C$9*(1+Vehi_Fluids!$C$12)*Vehi_Fluids!$C$13*$E79)+(Vehi_Fluids!$D$9*(1+Vehi_Fluids!$D$12)*$F79+Vehi_Fluids!$D$9*(1+Vehi_Fluids!$D$12)*Vehi_Fluids!$D$13*$G79)+(Vehi_Fluids!$E$9*(1+Vehi_Fluids!$E$12)*$H79+Vehi_Fluids!$E$9*(1+Vehi_Fluids!$E$12)*Vehi_Fluids!$E$13*$I79)+(Vehi_Fluids!$F$9*(1+Vehi_Fluids!$F$12)*$J79+Vehi_Fluids!$F$9*(1+Vehi_Fluids!$F$12)*Vehi_Fluids!$F$13*$K79)+(Vehi_Fluids!$G$9*(1+Vehi_Fluids!$G$12)*$L79+Vehi_Fluids!$G$9*(1+Vehi_Fluids!$G$12)*(1-Vehi_Fluids!$G$13)*$M79)+(Vehi_Fluids!$H$9*(1+Vehi_Fluids!$H$12)*$N79+Vehi_Fluids!$H$9*(1+Vehi_Fluids!$H$12)*Vehi_Fluids!$H$13*$O79)</f>
        <v>27477.941443330226</v>
      </c>
      <c r="F112" s="349">
        <f>(Vehi_Fluids!$B$10*(1+Vehi_Fluids!$B$12)*$B79+Vehi_Fluids!$B$10*(1+Vehi_Fluids!$B$12)*Vehi_Fluids!$B$13*$C79)+(Vehi_Fluids!$C$10*(1+Vehi_Fluids!$C$12)*$D79+Vehi_Fluids!$C$10*(1+Vehi_Fluids!$C$12)*Vehi_Fluids!$C$13*$E79)+(Vehi_Fluids!$D$10*(1+Vehi_Fluids!$D$12)*$F79+Vehi_Fluids!$D$10*(1+Vehi_Fluids!$D$12)*Vehi_Fluids!$D$13*$G79)+(Vehi_Fluids!$E$10*(1+Vehi_Fluids!$E$12)*$H79+Vehi_Fluids!$E$10*(1+Vehi_Fluids!$E$12)*Vehi_Fluids!$E$13*$I79)+(Vehi_Fluids!$F$10*(1+Vehi_Fluids!$F$12)*$J79+Vehi_Fluids!$F$10*(1+Vehi_Fluids!$F$12)*Vehi_Fluids!$F$13*$K79)+(Vehi_Fluids!$G$10*(1+Vehi_Fluids!$G$12)*$L79+Vehi_Fluids!$G$10*(1+Vehi_Fluids!$G$12)*(1-Vehi_Fluids!$G$13)*$M79)+(Vehi_Fluids!$H$10*(1+Vehi_Fluids!$H$12)*$N79+Vehi_Fluids!$H$10*(1+Vehi_Fluids!$H$12)*Vehi_Fluids!$H$13*$O79)</f>
        <v>27284.451108767778</v>
      </c>
      <c r="G112" s="348">
        <f>(Vehi_Fluids!$B$11*(1+Vehi_Fluids!$B$12)*$B79+Vehi_Fluids!$B$11*(1+Vehi_Fluids!$B$12)*Vehi_Fluids!$B$13*$C79)+(Vehi_Fluids!$C$11*(1+Vehi_Fluids!$C$12)*$D79+Vehi_Fluids!$C$11*(1+Vehi_Fluids!$C$12)*Vehi_Fluids!$C$13*$E79)+(Vehi_Fluids!$D$11*(1+Vehi_Fluids!$D$12)*$F79+Vehi_Fluids!$D$11*(1+Vehi_Fluids!$D$12)*Vehi_Fluids!$D$13*$G79)+(Vehi_Fluids!$E$11*(1+Vehi_Fluids!$E$12)*$H79+Vehi_Fluids!$E$11*(1+Vehi_Fluids!$E$12)*Vehi_Fluids!$E$13*$I79)+(Vehi_Fluids!$F$11*(1+Vehi_Fluids!$F$12)*$J79+Vehi_Fluids!$F$11*(1+Vehi_Fluids!$F$12)*Vehi_Fluids!$F$13*$K79)+(Vehi_Fluids!$G$11*(1+Vehi_Fluids!$G$12)*$L79+Vehi_Fluids!$G$11*(1+Vehi_Fluids!$G$12)*(1-Vehi_Fluids!$G$13)*$M79)+(Vehi_Fluids!$H$11*(1+Vehi_Fluids!$H$12)*$N79+Vehi_Fluids!$H$11*(1+Vehi_Fluids!$H$12)*Vehi_Fluids!$H$13*$O79)</f>
        <v>27284.451108767778</v>
      </c>
      <c r="N112" s="614"/>
    </row>
    <row r="113" spans="1:14" s="349" customFormat="1">
      <c r="A113" s="347" t="s">
        <v>822</v>
      </c>
      <c r="B113" s="349">
        <f>(Vehi_Fluids!$B$6*(1+Vehi_Fluids!$B$12)*$B80+Vehi_Fluids!$B$6*(1+Vehi_Fluids!$B$12)*Vehi_Fluids!$B$13*$C80)+(Vehi_Fluids!$C$6*(1+Vehi_Fluids!$C$12)*$D80+Vehi_Fluids!$C$6*(1+Vehi_Fluids!$C$12)*Vehi_Fluids!$C$13*$E80)+(Vehi_Fluids!$D$6*(1+Vehi_Fluids!$D$12)*$F80+Vehi_Fluids!$D$6*(1+Vehi_Fluids!$D$12)*Vehi_Fluids!$D$13*$G80)+(Vehi_Fluids!$E$6*(1+Vehi_Fluids!$E$12)*$H80+Vehi_Fluids!$E$6*(1+Vehi_Fluids!$E$12)*Vehi_Fluids!$E$13*$I80)+(Vehi_Fluids!$F$6*(1+Vehi_Fluids!$F$12)*$J80+Vehi_Fluids!$F$6*(1+Vehi_Fluids!$F$12)*Vehi_Fluids!$F$13*$K80)+(Vehi_Fluids!$G$6*(1+Vehi_Fluids!$G$12)*$L80+Vehi_Fluids!$G$6*(1+Vehi_Fluids!$G$12)*(1-Vehi_Fluids!$G$13)*$M80)+(Vehi_Fluids!$H$6*(1+Vehi_Fluids!$H$12)*$N80+Vehi_Fluids!$H$6*(1+Vehi_Fluids!$H$12)*Vehi_Fluids!$H$13*$O80)</f>
        <v>303.06243959827975</v>
      </c>
      <c r="C113" s="349">
        <f>(Vehi_Fluids!$B$7*(1+Vehi_Fluids!$B$12)*$B80+Vehi_Fluids!$B$7*(1+Vehi_Fluids!$B$12)*Vehi_Fluids!$B$13*$C80)+(Vehi_Fluids!$C$7*(1+Vehi_Fluids!$C$12)*$D80+Vehi_Fluids!$C$7*(1+Vehi_Fluids!$C$12)*Vehi_Fluids!$C$13*$E80)+(Vehi_Fluids!$D$7*(1+Vehi_Fluids!$D$12)*$F80+Vehi_Fluids!$D$7*(1+Vehi_Fluids!$D$12)*Vehi_Fluids!$D$13*$G80)+(Vehi_Fluids!$E$7*(1+Vehi_Fluids!$E$12)*$H80+Vehi_Fluids!$E$7*(1+Vehi_Fluids!$E$12)*Vehi_Fluids!$E$13*$I80)+(Vehi_Fluids!$F$7*(1+Vehi_Fluids!$F$12)*$J80+Vehi_Fluids!$F$7*(1+Vehi_Fluids!$F$12)*Vehi_Fluids!$F$13*$K80)+(Vehi_Fluids!$G$7*(1+Vehi_Fluids!$G$12)*$L80+Vehi_Fluids!$G$7*(1+Vehi_Fluids!$G$12)*(1-Vehi_Fluids!$G$13)*$M80)+(Vehi_Fluids!$H$7*(1+Vehi_Fluids!$H$12)*$N80+Vehi_Fluids!$H$7*(1+Vehi_Fluids!$H$12)*Vehi_Fluids!$H$13*$O80)</f>
        <v>303.06243959827975</v>
      </c>
      <c r="D113" s="349">
        <f>(Vehi_Fluids!$B$8*(1+Vehi_Fluids!$B$12)*$B80+Vehi_Fluids!$B$8*(1+Vehi_Fluids!$B$12)*Vehi_Fluids!$B$13*$C80)+(Vehi_Fluids!$C$8*(1+Vehi_Fluids!$C$12)*$D80+Vehi_Fluids!$C$8*(1+Vehi_Fluids!$C$12)*Vehi_Fluids!$C$13*$E80)+(Vehi_Fluids!$D$8*(1+Vehi_Fluids!$D$12)*$F80+Vehi_Fluids!$D$8*(1+Vehi_Fluids!$D$12)*Vehi_Fluids!$D$13*$G80)+(Vehi_Fluids!$E$8*(1+Vehi_Fluids!$E$12)*$H80+Vehi_Fluids!$E$8*(1+Vehi_Fluids!$E$12)*Vehi_Fluids!$E$13*$I80)+(Vehi_Fluids!$F$8*(1+Vehi_Fluids!$F$12)*$J80+Vehi_Fluids!$F$8*(1+Vehi_Fluids!$F$12)*Vehi_Fluids!$F$13*$K80)+(Vehi_Fluids!$G$8*(1+Vehi_Fluids!$G$12)*$L80+Vehi_Fluids!$G$8*(1+Vehi_Fluids!$G$12)*(1-Vehi_Fluids!$G$13)*$M80)+(Vehi_Fluids!$H$8*(1+Vehi_Fluids!$H$12)*$N80+Vehi_Fluids!$H$8*(1+Vehi_Fluids!$H$12)*Vehi_Fluids!$H$13*$O80)</f>
        <v>282.57389617602286</v>
      </c>
      <c r="E113" s="349">
        <f>(Vehi_Fluids!$B$9*(1+Vehi_Fluids!$B$12)*$B80+Vehi_Fluids!$B$9*(1+Vehi_Fluids!$B$12)*Vehi_Fluids!$B$13*$C80)+(Vehi_Fluids!$C$9*(1+Vehi_Fluids!$C$12)*$D80+Vehi_Fluids!$C$9*(1+Vehi_Fluids!$C$12)*Vehi_Fluids!$C$13*$E80)+(Vehi_Fluids!$D$9*(1+Vehi_Fluids!$D$12)*$F80+Vehi_Fluids!$D$9*(1+Vehi_Fluids!$D$12)*Vehi_Fluids!$D$13*$G80)+(Vehi_Fluids!$E$9*(1+Vehi_Fluids!$E$12)*$H80+Vehi_Fluids!$E$9*(1+Vehi_Fluids!$E$12)*Vehi_Fluids!$E$13*$I80)+(Vehi_Fluids!$F$9*(1+Vehi_Fluids!$F$12)*$J80+Vehi_Fluids!$F$9*(1+Vehi_Fluids!$F$12)*Vehi_Fluids!$F$13*$K80)+(Vehi_Fluids!$G$9*(1+Vehi_Fluids!$G$12)*$L80+Vehi_Fluids!$G$9*(1+Vehi_Fluids!$G$12)*(1-Vehi_Fluids!$G$13)*$M80)+(Vehi_Fluids!$H$9*(1+Vehi_Fluids!$H$12)*$N80+Vehi_Fluids!$H$9*(1+Vehi_Fluids!$H$12)*Vehi_Fluids!$H$13*$O80)</f>
        <v>282.57389617602286</v>
      </c>
      <c r="F113" s="349">
        <f>(Vehi_Fluids!$B$10*(1+Vehi_Fluids!$B$12)*$B80+Vehi_Fluids!$B$10*(1+Vehi_Fluids!$B$12)*Vehi_Fluids!$B$13*$C80)+(Vehi_Fluids!$C$10*(1+Vehi_Fluids!$C$12)*$D80+Vehi_Fluids!$C$10*(1+Vehi_Fluids!$C$12)*Vehi_Fluids!$C$13*$E80)+(Vehi_Fluids!$D$10*(1+Vehi_Fluids!$D$12)*$F80+Vehi_Fluids!$D$10*(1+Vehi_Fluids!$D$12)*Vehi_Fluids!$D$13*$G80)+(Vehi_Fluids!$E$10*(1+Vehi_Fluids!$E$12)*$H80+Vehi_Fluids!$E$10*(1+Vehi_Fluids!$E$12)*Vehi_Fluids!$E$13*$I80)+(Vehi_Fluids!$F$10*(1+Vehi_Fluids!$F$12)*$J80+Vehi_Fluids!$F$10*(1+Vehi_Fluids!$F$12)*Vehi_Fluids!$F$13*$K80)+(Vehi_Fluids!$G$10*(1+Vehi_Fluids!$G$12)*$L80+Vehi_Fluids!$G$10*(1+Vehi_Fluids!$G$12)*(1-Vehi_Fluids!$G$13)*$M80)+(Vehi_Fluids!$H$10*(1+Vehi_Fluids!$H$12)*$N80+Vehi_Fluids!$H$10*(1+Vehi_Fluids!$H$12)*Vehi_Fluids!$H$13*$O80)</f>
        <v>119.57196932648242</v>
      </c>
      <c r="G113" s="348">
        <f>(Vehi_Fluids!$B$11*(1+Vehi_Fluids!$B$12)*$B80+Vehi_Fluids!$B$11*(1+Vehi_Fluids!$B$12)*Vehi_Fluids!$B$13*$C80)+(Vehi_Fluids!$C$11*(1+Vehi_Fluids!$C$12)*$D80+Vehi_Fluids!$C$11*(1+Vehi_Fluids!$C$12)*Vehi_Fluids!$C$13*$E80)+(Vehi_Fluids!$D$11*(1+Vehi_Fluids!$D$12)*$F80+Vehi_Fluids!$D$11*(1+Vehi_Fluids!$D$12)*Vehi_Fluids!$D$13*$G80)+(Vehi_Fluids!$E$11*(1+Vehi_Fluids!$E$12)*$H80+Vehi_Fluids!$E$11*(1+Vehi_Fluids!$E$12)*Vehi_Fluids!$E$13*$I80)+(Vehi_Fluids!$F$11*(1+Vehi_Fluids!$F$12)*$J80+Vehi_Fluids!$F$11*(1+Vehi_Fluids!$F$12)*Vehi_Fluids!$F$13*$K80)+(Vehi_Fluids!$G$11*(1+Vehi_Fluids!$G$12)*$L80+Vehi_Fluids!$G$11*(1+Vehi_Fluids!$G$12)*(1-Vehi_Fluids!$G$13)*$M80)+(Vehi_Fluids!$H$11*(1+Vehi_Fluids!$H$12)*$N80+Vehi_Fluids!$H$11*(1+Vehi_Fluids!$H$12)*Vehi_Fluids!$H$13*$O80)</f>
        <v>119.57196932648242</v>
      </c>
      <c r="N113" s="614"/>
    </row>
    <row r="114" spans="1:14" s="349" customFormat="1">
      <c r="A114" s="347" t="s">
        <v>849</v>
      </c>
      <c r="B114" s="349">
        <f>(Vehi_Fluids!$B$6*(1+Vehi_Fluids!$B$12)*$B81+Vehi_Fluids!$B$6*(1+Vehi_Fluids!$B$12)*Vehi_Fluids!$B$13*$C81)+(Vehi_Fluids!$C$6*(1+Vehi_Fluids!$C$12)*$D81+Vehi_Fluids!$C$6*(1+Vehi_Fluids!$C$12)*Vehi_Fluids!$C$13*$E81)+(Vehi_Fluids!$D$6*(1+Vehi_Fluids!$D$12)*$F81+Vehi_Fluids!$D$6*(1+Vehi_Fluids!$D$12)*Vehi_Fluids!$D$13*$G81)+(Vehi_Fluids!$E$6*(1+Vehi_Fluids!$E$12)*$H81+Vehi_Fluids!$E$6*(1+Vehi_Fluids!$E$12)*Vehi_Fluids!$E$13*$I81)+(Vehi_Fluids!$F$6*(1+Vehi_Fluids!$F$12)*$J81+Vehi_Fluids!$F$6*(1+Vehi_Fluids!$F$12)*Vehi_Fluids!$F$13*$K81)+(Vehi_Fluids!$G$6*(1+Vehi_Fluids!$G$12)*$L81+Vehi_Fluids!$G$6*(1+Vehi_Fluids!$G$12)*(1-Vehi_Fluids!$G$13)*$M81)+(Vehi_Fluids!$H$6*(1+Vehi_Fluids!$H$12)*$N81+Vehi_Fluids!$H$6*(1+Vehi_Fluids!$H$12)*Vehi_Fluids!$H$13*$O81)</f>
        <v>831.89004954831967</v>
      </c>
      <c r="C114" s="349">
        <f>(Vehi_Fluids!$B$7*(1+Vehi_Fluids!$B$12)*$B81+Vehi_Fluids!$B$7*(1+Vehi_Fluids!$B$12)*Vehi_Fluids!$B$13*$C81)+(Vehi_Fluids!$C$7*(1+Vehi_Fluids!$C$12)*$D81+Vehi_Fluids!$C$7*(1+Vehi_Fluids!$C$12)*Vehi_Fluids!$C$13*$E81)+(Vehi_Fluids!$D$7*(1+Vehi_Fluids!$D$12)*$F81+Vehi_Fluids!$D$7*(1+Vehi_Fluids!$D$12)*Vehi_Fluids!$D$13*$G81)+(Vehi_Fluids!$E$7*(1+Vehi_Fluids!$E$12)*$H81+Vehi_Fluids!$E$7*(1+Vehi_Fluids!$E$12)*Vehi_Fluids!$E$13*$I81)+(Vehi_Fluids!$F$7*(1+Vehi_Fluids!$F$12)*$J81+Vehi_Fluids!$F$7*(1+Vehi_Fluids!$F$12)*Vehi_Fluids!$F$13*$K81)+(Vehi_Fluids!$G$7*(1+Vehi_Fluids!$G$12)*$L81+Vehi_Fluids!$G$7*(1+Vehi_Fluids!$G$12)*(1-Vehi_Fluids!$G$13)*$M81)+(Vehi_Fluids!$H$7*(1+Vehi_Fluids!$H$12)*$N81+Vehi_Fluids!$H$7*(1+Vehi_Fluids!$H$12)*Vehi_Fluids!$H$13*$O81)</f>
        <v>831.89004954831967</v>
      </c>
      <c r="D114" s="349">
        <f>(Vehi_Fluids!$B$8*(1+Vehi_Fluids!$B$12)*$B81+Vehi_Fluids!$B$8*(1+Vehi_Fluids!$B$12)*Vehi_Fluids!$B$13*$C81)+(Vehi_Fluids!$C$8*(1+Vehi_Fluids!$C$12)*$D81+Vehi_Fluids!$C$8*(1+Vehi_Fluids!$C$12)*Vehi_Fluids!$C$13*$E81)+(Vehi_Fluids!$D$8*(1+Vehi_Fluids!$D$12)*$F81+Vehi_Fluids!$D$8*(1+Vehi_Fluids!$D$12)*Vehi_Fluids!$D$13*$G81)+(Vehi_Fluids!$E$8*(1+Vehi_Fluids!$E$12)*$H81+Vehi_Fluids!$E$8*(1+Vehi_Fluids!$E$12)*Vehi_Fluids!$E$13*$I81)+(Vehi_Fluids!$F$8*(1+Vehi_Fluids!$F$12)*$J81+Vehi_Fluids!$F$8*(1+Vehi_Fluids!$F$12)*Vehi_Fluids!$F$13*$K81)+(Vehi_Fluids!$G$8*(1+Vehi_Fluids!$G$12)*$L81+Vehi_Fluids!$G$8*(1+Vehi_Fluids!$G$12)*(1-Vehi_Fluids!$G$13)*$M81)+(Vehi_Fluids!$H$8*(1+Vehi_Fluids!$H$12)*$N81+Vehi_Fluids!$H$8*(1+Vehi_Fluids!$H$12)*Vehi_Fluids!$H$13*$O81)</f>
        <v>749.31242935723196</v>
      </c>
      <c r="E114" s="349">
        <f>(Vehi_Fluids!$B$9*(1+Vehi_Fluids!$B$12)*$B81+Vehi_Fluids!$B$9*(1+Vehi_Fluids!$B$12)*Vehi_Fluids!$B$13*$C81)+(Vehi_Fluids!$C$9*(1+Vehi_Fluids!$C$12)*$D81+Vehi_Fluids!$C$9*(1+Vehi_Fluids!$C$12)*Vehi_Fluids!$C$13*$E81)+(Vehi_Fluids!$D$9*(1+Vehi_Fluids!$D$12)*$F81+Vehi_Fluids!$D$9*(1+Vehi_Fluids!$D$12)*Vehi_Fluids!$D$13*$G81)+(Vehi_Fluids!$E$9*(1+Vehi_Fluids!$E$12)*$H81+Vehi_Fluids!$E$9*(1+Vehi_Fluids!$E$12)*Vehi_Fluids!$E$13*$I81)+(Vehi_Fluids!$F$9*(1+Vehi_Fluids!$F$12)*$J81+Vehi_Fluids!$F$9*(1+Vehi_Fluids!$F$12)*Vehi_Fluids!$F$13*$K81)+(Vehi_Fluids!$G$9*(1+Vehi_Fluids!$G$12)*$L81+Vehi_Fluids!$G$9*(1+Vehi_Fluids!$G$12)*(1-Vehi_Fluids!$G$13)*$M81)+(Vehi_Fluids!$H$9*(1+Vehi_Fluids!$H$12)*$N81+Vehi_Fluids!$H$9*(1+Vehi_Fluids!$H$12)*Vehi_Fluids!$H$13*$O81)</f>
        <v>749.31242935723196</v>
      </c>
      <c r="F114" s="349">
        <f>(Vehi_Fluids!$B$10*(1+Vehi_Fluids!$B$12)*$B81+Vehi_Fluids!$B$10*(1+Vehi_Fluids!$B$12)*Vehi_Fluids!$B$13*$C81)+(Vehi_Fluids!$C$10*(1+Vehi_Fluids!$C$12)*$D81+Vehi_Fluids!$C$10*(1+Vehi_Fluids!$C$12)*Vehi_Fluids!$C$13*$E81)+(Vehi_Fluids!$D$10*(1+Vehi_Fluids!$D$12)*$F81+Vehi_Fluids!$D$10*(1+Vehi_Fluids!$D$12)*Vehi_Fluids!$D$13*$G81)+(Vehi_Fluids!$E$10*(1+Vehi_Fluids!$E$12)*$H81+Vehi_Fluids!$E$10*(1+Vehi_Fluids!$E$12)*Vehi_Fluids!$E$13*$I81)+(Vehi_Fluids!$F$10*(1+Vehi_Fluids!$F$12)*$J81+Vehi_Fluids!$F$10*(1+Vehi_Fluids!$F$12)*Vehi_Fluids!$F$13*$K81)+(Vehi_Fluids!$G$10*(1+Vehi_Fluids!$G$12)*$L81+Vehi_Fluids!$G$10*(1+Vehi_Fluids!$G$12)*(1-Vehi_Fluids!$G$13)*$M81)+(Vehi_Fluids!$H$10*(1+Vehi_Fluids!$H$12)*$N81+Vehi_Fluids!$H$10*(1+Vehi_Fluids!$H$12)*Vehi_Fluids!$H$13*$O81)</f>
        <v>108.22926182592694</v>
      </c>
      <c r="G114" s="348">
        <f>(Vehi_Fluids!$B$11*(1+Vehi_Fluids!$B$12)*$B81+Vehi_Fluids!$B$11*(1+Vehi_Fluids!$B$12)*Vehi_Fluids!$B$13*$C81)+(Vehi_Fluids!$C$11*(1+Vehi_Fluids!$C$12)*$D81+Vehi_Fluids!$C$11*(1+Vehi_Fluids!$C$12)*Vehi_Fluids!$C$13*$E81)+(Vehi_Fluids!$D$11*(1+Vehi_Fluids!$D$12)*$F81+Vehi_Fluids!$D$11*(1+Vehi_Fluids!$D$12)*Vehi_Fluids!$D$13*$G81)+(Vehi_Fluids!$E$11*(1+Vehi_Fluids!$E$12)*$H81+Vehi_Fluids!$E$11*(1+Vehi_Fluids!$E$12)*Vehi_Fluids!$E$13*$I81)+(Vehi_Fluids!$F$11*(1+Vehi_Fluids!$F$12)*$J81+Vehi_Fluids!$F$11*(1+Vehi_Fluids!$F$12)*Vehi_Fluids!$F$13*$K81)+(Vehi_Fluids!$G$11*(1+Vehi_Fluids!$G$12)*$L81+Vehi_Fluids!$G$11*(1+Vehi_Fluids!$G$12)*(1-Vehi_Fluids!$G$13)*$M81)+(Vehi_Fluids!$H$11*(1+Vehi_Fluids!$H$12)*$N81+Vehi_Fluids!$H$11*(1+Vehi_Fluids!$H$12)*Vehi_Fluids!$H$13*$O81)</f>
        <v>108.22926182592694</v>
      </c>
      <c r="N114" s="614"/>
    </row>
    <row r="115" spans="1:14" s="349" customFormat="1">
      <c r="A115" s="347" t="s">
        <v>824</v>
      </c>
      <c r="B115" s="349">
        <f>(Vehi_Fluids!$B$6*(1+Vehi_Fluids!$B$12)*$B82+Vehi_Fluids!$B$6*(1+Vehi_Fluids!$B$12)*Vehi_Fluids!$B$13*$C82)+(Vehi_Fluids!$C$6*(1+Vehi_Fluids!$C$12)*$D82+Vehi_Fluids!$C$6*(1+Vehi_Fluids!$C$12)*Vehi_Fluids!$C$13*$E82)+(Vehi_Fluids!$D$6*(1+Vehi_Fluids!$D$12)*$F82+Vehi_Fluids!$D$6*(1+Vehi_Fluids!$D$12)*Vehi_Fluids!$D$13*$G82)+(Vehi_Fluids!$E$6*(1+Vehi_Fluids!$E$12)*$H82+Vehi_Fluids!$E$6*(1+Vehi_Fluids!$E$12)*Vehi_Fluids!$E$13*$I82)+(Vehi_Fluids!$F$6*(1+Vehi_Fluids!$F$12)*$J82+Vehi_Fluids!$F$6*(1+Vehi_Fluids!$F$12)*Vehi_Fluids!$F$13*$K82)+(Vehi_Fluids!$G$6*(1+Vehi_Fluids!$G$12)*$L82+Vehi_Fluids!$G$6*(1+Vehi_Fluids!$G$12)*(1-Vehi_Fluids!$G$13)*$M82)+(Vehi_Fluids!$H$6*(1+Vehi_Fluids!$H$12)*$N82+Vehi_Fluids!$H$6*(1+Vehi_Fluids!$H$12)*Vehi_Fluids!$H$13*$O82)</f>
        <v>136.19606015600155</v>
      </c>
      <c r="C115" s="349">
        <f>(Vehi_Fluids!$B$7*(1+Vehi_Fluids!$B$12)*$B82+Vehi_Fluids!$B$7*(1+Vehi_Fluids!$B$12)*Vehi_Fluids!$B$13*$C82)+(Vehi_Fluids!$C$7*(1+Vehi_Fluids!$C$12)*$D82+Vehi_Fluids!$C$7*(1+Vehi_Fluids!$C$12)*Vehi_Fluids!$C$13*$E82)+(Vehi_Fluids!$D$7*(1+Vehi_Fluids!$D$12)*$F82+Vehi_Fluids!$D$7*(1+Vehi_Fluids!$D$12)*Vehi_Fluids!$D$13*$G82)+(Vehi_Fluids!$E$7*(1+Vehi_Fluids!$E$12)*$H82+Vehi_Fluids!$E$7*(1+Vehi_Fluids!$E$12)*Vehi_Fluids!$E$13*$I82)+(Vehi_Fluids!$F$7*(1+Vehi_Fluids!$F$12)*$J82+Vehi_Fluids!$F$7*(1+Vehi_Fluids!$F$12)*Vehi_Fluids!$F$13*$K82)+(Vehi_Fluids!$G$7*(1+Vehi_Fluids!$G$12)*$L82+Vehi_Fluids!$G$7*(1+Vehi_Fluids!$G$12)*(1-Vehi_Fluids!$G$13)*$M82)+(Vehi_Fluids!$H$7*(1+Vehi_Fluids!$H$12)*$N82+Vehi_Fluids!$H$7*(1+Vehi_Fluids!$H$12)*Vehi_Fluids!$H$13*$O82)</f>
        <v>136.19606015600155</v>
      </c>
      <c r="D115" s="349">
        <f>(Vehi_Fluids!$B$8*(1+Vehi_Fluids!$B$12)*$B82+Vehi_Fluids!$B$8*(1+Vehi_Fluids!$B$12)*Vehi_Fluids!$B$13*$C82)+(Vehi_Fluids!$C$8*(1+Vehi_Fluids!$C$12)*$D82+Vehi_Fluids!$C$8*(1+Vehi_Fluids!$C$12)*Vehi_Fluids!$C$13*$E82)+(Vehi_Fluids!$D$8*(1+Vehi_Fluids!$D$12)*$F82+Vehi_Fluids!$D$8*(1+Vehi_Fluids!$D$12)*Vehi_Fluids!$D$13*$G82)+(Vehi_Fluids!$E$8*(1+Vehi_Fluids!$E$12)*$H82+Vehi_Fluids!$E$8*(1+Vehi_Fluids!$E$12)*Vehi_Fluids!$E$13*$I82)+(Vehi_Fluids!$F$8*(1+Vehi_Fluids!$F$12)*$J82+Vehi_Fluids!$F$8*(1+Vehi_Fluids!$F$12)*Vehi_Fluids!$F$13*$K82)+(Vehi_Fluids!$G$8*(1+Vehi_Fluids!$G$12)*$L82+Vehi_Fluids!$G$8*(1+Vehi_Fluids!$G$12)*(1-Vehi_Fluids!$G$13)*$M82)+(Vehi_Fluids!$H$8*(1+Vehi_Fluids!$H$12)*$N82+Vehi_Fluids!$H$8*(1+Vehi_Fluids!$H$12)*Vehi_Fluids!$H$13*$O82)</f>
        <v>122.98388884704013</v>
      </c>
      <c r="E115" s="349">
        <f>(Vehi_Fluids!$B$9*(1+Vehi_Fluids!$B$12)*$B82+Vehi_Fluids!$B$9*(1+Vehi_Fluids!$B$12)*Vehi_Fluids!$B$13*$C82)+(Vehi_Fluids!$C$9*(1+Vehi_Fluids!$C$12)*$D82+Vehi_Fluids!$C$9*(1+Vehi_Fluids!$C$12)*Vehi_Fluids!$C$13*$E82)+(Vehi_Fluids!$D$9*(1+Vehi_Fluids!$D$12)*$F82+Vehi_Fluids!$D$9*(1+Vehi_Fluids!$D$12)*Vehi_Fluids!$D$13*$G82)+(Vehi_Fluids!$E$9*(1+Vehi_Fluids!$E$12)*$H82+Vehi_Fluids!$E$9*(1+Vehi_Fluids!$E$12)*Vehi_Fluids!$E$13*$I82)+(Vehi_Fluids!$F$9*(1+Vehi_Fluids!$F$12)*$J82+Vehi_Fluids!$F$9*(1+Vehi_Fluids!$F$12)*Vehi_Fluids!$F$13*$K82)+(Vehi_Fluids!$G$9*(1+Vehi_Fluids!$G$12)*$L82+Vehi_Fluids!$G$9*(1+Vehi_Fluids!$G$12)*(1-Vehi_Fluids!$G$13)*$M82)+(Vehi_Fluids!$H$9*(1+Vehi_Fluids!$H$12)*$N82+Vehi_Fluids!$H$9*(1+Vehi_Fluids!$H$12)*Vehi_Fluids!$H$13*$O82)</f>
        <v>122.98388884704013</v>
      </c>
      <c r="F115" s="349">
        <f>(Vehi_Fluids!$B$10*(1+Vehi_Fluids!$B$12)*$B82+Vehi_Fluids!$B$10*(1+Vehi_Fluids!$B$12)*Vehi_Fluids!$B$13*$C82)+(Vehi_Fluids!$C$10*(1+Vehi_Fluids!$C$12)*$D82+Vehi_Fluids!$C$10*(1+Vehi_Fluids!$C$12)*Vehi_Fluids!$C$13*$E82)+(Vehi_Fluids!$D$10*(1+Vehi_Fluids!$D$12)*$F82+Vehi_Fluids!$D$10*(1+Vehi_Fluids!$D$12)*Vehi_Fluids!$D$13*$G82)+(Vehi_Fluids!$E$10*(1+Vehi_Fluids!$E$12)*$H82+Vehi_Fluids!$E$10*(1+Vehi_Fluids!$E$12)*Vehi_Fluids!$E$13*$I82)+(Vehi_Fluids!$F$10*(1+Vehi_Fluids!$F$12)*$J82+Vehi_Fluids!$F$10*(1+Vehi_Fluids!$F$12)*Vehi_Fluids!$F$13*$K82)+(Vehi_Fluids!$G$10*(1+Vehi_Fluids!$G$12)*$L82+Vehi_Fluids!$G$10*(1+Vehi_Fluids!$G$12)*(1-Vehi_Fluids!$G$13)*$M82)+(Vehi_Fluids!$H$10*(1+Vehi_Fluids!$H$12)*$N82+Vehi_Fluids!$H$10*(1+Vehi_Fluids!$H$12)*Vehi_Fluids!$H$13*$O82)</f>
        <v>21.160078163559724</v>
      </c>
      <c r="G115" s="348">
        <f>(Vehi_Fluids!$B$11*(1+Vehi_Fluids!$B$12)*$B82+Vehi_Fluids!$B$11*(1+Vehi_Fluids!$B$12)*Vehi_Fluids!$B$13*$C82)+(Vehi_Fluids!$C$11*(1+Vehi_Fluids!$C$12)*$D82+Vehi_Fluids!$C$11*(1+Vehi_Fluids!$C$12)*Vehi_Fluids!$C$13*$E82)+(Vehi_Fluids!$D$11*(1+Vehi_Fluids!$D$12)*$F82+Vehi_Fluids!$D$11*(1+Vehi_Fluids!$D$12)*Vehi_Fluids!$D$13*$G82)+(Vehi_Fluids!$E$11*(1+Vehi_Fluids!$E$12)*$H82+Vehi_Fluids!$E$11*(1+Vehi_Fluids!$E$12)*Vehi_Fluids!$E$13*$I82)+(Vehi_Fluids!$F$11*(1+Vehi_Fluids!$F$12)*$J82+Vehi_Fluids!$F$11*(1+Vehi_Fluids!$F$12)*Vehi_Fluids!$F$13*$K82)+(Vehi_Fluids!$G$11*(1+Vehi_Fluids!$G$12)*$L82+Vehi_Fluids!$G$11*(1+Vehi_Fluids!$G$12)*(1-Vehi_Fluids!$G$13)*$M82)+(Vehi_Fluids!$H$11*(1+Vehi_Fluids!$H$12)*$N82+Vehi_Fluids!$H$11*(1+Vehi_Fluids!$H$12)*Vehi_Fluids!$H$13*$O82)</f>
        <v>21.160078163559724</v>
      </c>
      <c r="N115" s="614"/>
    </row>
    <row r="116" spans="1:14" s="349" customFormat="1">
      <c r="A116" s="347" t="s">
        <v>825</v>
      </c>
      <c r="B116" s="349">
        <f>(Vehi_Fluids!$B$6*(1+Vehi_Fluids!$B$12)*$B83+Vehi_Fluids!$B$6*(1+Vehi_Fluids!$B$12)*Vehi_Fluids!$B$13*$C83)+(Vehi_Fluids!$C$6*(1+Vehi_Fluids!$C$12)*$D83+Vehi_Fluids!$C$6*(1+Vehi_Fluids!$C$12)*Vehi_Fluids!$C$13*$E83)+(Vehi_Fluids!$D$6*(1+Vehi_Fluids!$D$12)*$F83+Vehi_Fluids!$D$6*(1+Vehi_Fluids!$D$12)*Vehi_Fluids!$D$13*$G83)+(Vehi_Fluids!$E$6*(1+Vehi_Fluids!$E$12)*$H83+Vehi_Fluids!$E$6*(1+Vehi_Fluids!$E$12)*Vehi_Fluids!$E$13*$I83)+(Vehi_Fluids!$F$6*(1+Vehi_Fluids!$F$12)*$J83+Vehi_Fluids!$F$6*(1+Vehi_Fluids!$F$12)*Vehi_Fluids!$F$13*$K83)+(Vehi_Fluids!$G$6*(1+Vehi_Fluids!$G$12)*$L83+Vehi_Fluids!$G$6*(1+Vehi_Fluids!$G$12)*(1-Vehi_Fluids!$G$13)*$M83)+(Vehi_Fluids!$H$6*(1+Vehi_Fluids!$H$12)*$N83+Vehi_Fluids!$H$6*(1+Vehi_Fluids!$H$12)*Vehi_Fluids!$H$13*$O83)</f>
        <v>72.727792554794846</v>
      </c>
      <c r="C116" s="349">
        <f>(Vehi_Fluids!$B$7*(1+Vehi_Fluids!$B$12)*$B83+Vehi_Fluids!$B$7*(1+Vehi_Fluids!$B$12)*Vehi_Fluids!$B$13*$C83)+(Vehi_Fluids!$C$7*(1+Vehi_Fluids!$C$12)*$D83+Vehi_Fluids!$C$7*(1+Vehi_Fluids!$C$12)*Vehi_Fluids!$C$13*$E83)+(Vehi_Fluids!$D$7*(1+Vehi_Fluids!$D$12)*$F83+Vehi_Fluids!$D$7*(1+Vehi_Fluids!$D$12)*Vehi_Fluids!$D$13*$G83)+(Vehi_Fluids!$E$7*(1+Vehi_Fluids!$E$12)*$H83+Vehi_Fluids!$E$7*(1+Vehi_Fluids!$E$12)*Vehi_Fluids!$E$13*$I83)+(Vehi_Fluids!$F$7*(1+Vehi_Fluids!$F$12)*$J83+Vehi_Fluids!$F$7*(1+Vehi_Fluids!$F$12)*Vehi_Fluids!$F$13*$K83)+(Vehi_Fluids!$G$7*(1+Vehi_Fluids!$G$12)*$L83+Vehi_Fluids!$G$7*(1+Vehi_Fluids!$G$12)*(1-Vehi_Fluids!$G$13)*$M83)+(Vehi_Fluids!$H$7*(1+Vehi_Fluids!$H$12)*$N83+Vehi_Fluids!$H$7*(1+Vehi_Fluids!$H$12)*Vehi_Fluids!$H$13*$O83)</f>
        <v>72.727792554794846</v>
      </c>
      <c r="D116" s="349">
        <f>(Vehi_Fluids!$B$8*(1+Vehi_Fluids!$B$12)*$B83+Vehi_Fluids!$B$8*(1+Vehi_Fluids!$B$12)*Vehi_Fluids!$B$13*$C83)+(Vehi_Fluids!$C$8*(1+Vehi_Fluids!$C$12)*$D83+Vehi_Fluids!$C$8*(1+Vehi_Fluids!$C$12)*Vehi_Fluids!$C$13*$E83)+(Vehi_Fluids!$D$8*(1+Vehi_Fluids!$D$12)*$F83+Vehi_Fluids!$D$8*(1+Vehi_Fluids!$D$12)*Vehi_Fluids!$D$13*$G83)+(Vehi_Fluids!$E$8*(1+Vehi_Fluids!$E$12)*$H83+Vehi_Fluids!$E$8*(1+Vehi_Fluids!$E$12)*Vehi_Fluids!$E$13*$I83)+(Vehi_Fluids!$F$8*(1+Vehi_Fluids!$F$12)*$J83+Vehi_Fluids!$F$8*(1+Vehi_Fluids!$F$12)*Vehi_Fluids!$F$13*$K83)+(Vehi_Fluids!$G$8*(1+Vehi_Fluids!$G$12)*$L83+Vehi_Fluids!$G$8*(1+Vehi_Fluids!$G$12)*(1-Vehi_Fluids!$G$13)*$M83)+(Vehi_Fluids!$H$8*(1+Vehi_Fluids!$H$12)*$N83+Vehi_Fluids!$H$8*(1+Vehi_Fluids!$H$12)*Vehi_Fluids!$H$13*$O83)</f>
        <v>65.320195990832303</v>
      </c>
      <c r="E116" s="349">
        <f>(Vehi_Fluids!$B$9*(1+Vehi_Fluids!$B$12)*$B83+Vehi_Fluids!$B$9*(1+Vehi_Fluids!$B$12)*Vehi_Fluids!$B$13*$C83)+(Vehi_Fluids!$C$9*(1+Vehi_Fluids!$C$12)*$D83+Vehi_Fluids!$C$9*(1+Vehi_Fluids!$C$12)*Vehi_Fluids!$C$13*$E83)+(Vehi_Fluids!$D$9*(1+Vehi_Fluids!$D$12)*$F83+Vehi_Fluids!$D$9*(1+Vehi_Fluids!$D$12)*Vehi_Fluids!$D$13*$G83)+(Vehi_Fluids!$E$9*(1+Vehi_Fluids!$E$12)*$H83+Vehi_Fluids!$E$9*(1+Vehi_Fluids!$E$12)*Vehi_Fluids!$E$13*$I83)+(Vehi_Fluids!$F$9*(1+Vehi_Fluids!$F$12)*$J83+Vehi_Fluids!$F$9*(1+Vehi_Fluids!$F$12)*Vehi_Fluids!$F$13*$K83)+(Vehi_Fluids!$G$9*(1+Vehi_Fluids!$G$12)*$L83+Vehi_Fluids!$G$9*(1+Vehi_Fluids!$G$12)*(1-Vehi_Fluids!$G$13)*$M83)+(Vehi_Fluids!$H$9*(1+Vehi_Fluids!$H$12)*$N83+Vehi_Fluids!$H$9*(1+Vehi_Fluids!$H$12)*Vehi_Fluids!$H$13*$O83)</f>
        <v>65.320195990832303</v>
      </c>
      <c r="F116" s="349">
        <f>(Vehi_Fluids!$B$10*(1+Vehi_Fluids!$B$12)*$B83+Vehi_Fluids!$B$10*(1+Vehi_Fluids!$B$12)*Vehi_Fluids!$B$13*$C83)+(Vehi_Fluids!$C$10*(1+Vehi_Fluids!$C$12)*$D83+Vehi_Fluids!$C$10*(1+Vehi_Fluids!$C$12)*Vehi_Fluids!$C$13*$E83)+(Vehi_Fluids!$D$10*(1+Vehi_Fluids!$D$12)*$F83+Vehi_Fluids!$D$10*(1+Vehi_Fluids!$D$12)*Vehi_Fluids!$D$13*$G83)+(Vehi_Fluids!$E$10*(1+Vehi_Fluids!$E$12)*$H83+Vehi_Fluids!$E$10*(1+Vehi_Fluids!$E$12)*Vehi_Fluids!$E$13*$I83)+(Vehi_Fluids!$F$10*(1+Vehi_Fluids!$F$12)*$J83+Vehi_Fluids!$F$10*(1+Vehi_Fluids!$F$12)*Vehi_Fluids!$F$13*$K83)+(Vehi_Fluids!$G$10*(1+Vehi_Fluids!$G$12)*$L83+Vehi_Fluids!$G$10*(1+Vehi_Fluids!$G$12)*(1-Vehi_Fluids!$G$13)*$M83)+(Vehi_Fluids!$H$10*(1+Vehi_Fluids!$H$12)*$N83+Vehi_Fluids!$H$10*(1+Vehi_Fluids!$H$12)*Vehi_Fluids!$H$13*$O83)</f>
        <v>8.0487274063768375</v>
      </c>
      <c r="G116" s="348">
        <f>(Vehi_Fluids!$B$11*(1+Vehi_Fluids!$B$12)*$B83+Vehi_Fluids!$B$11*(1+Vehi_Fluids!$B$12)*Vehi_Fluids!$B$13*$C83)+(Vehi_Fluids!$C$11*(1+Vehi_Fluids!$C$12)*$D83+Vehi_Fluids!$C$11*(1+Vehi_Fluids!$C$12)*Vehi_Fluids!$C$13*$E83)+(Vehi_Fluids!$D$11*(1+Vehi_Fluids!$D$12)*$F83+Vehi_Fluids!$D$11*(1+Vehi_Fluids!$D$12)*Vehi_Fluids!$D$13*$G83)+(Vehi_Fluids!$E$11*(1+Vehi_Fluids!$E$12)*$H83+Vehi_Fluids!$E$11*(1+Vehi_Fluids!$E$12)*Vehi_Fluids!$E$13*$I83)+(Vehi_Fluids!$F$11*(1+Vehi_Fluids!$F$12)*$J83+Vehi_Fluids!$F$11*(1+Vehi_Fluids!$F$12)*Vehi_Fluids!$F$13*$K83)+(Vehi_Fluids!$G$11*(1+Vehi_Fluids!$G$12)*$L83+Vehi_Fluids!$G$11*(1+Vehi_Fluids!$G$12)*(1-Vehi_Fluids!$G$13)*$M83)+(Vehi_Fluids!$H$11*(1+Vehi_Fluids!$H$12)*$N83+Vehi_Fluids!$H$11*(1+Vehi_Fluids!$H$12)*Vehi_Fluids!$H$13*$O83)</f>
        <v>8.0487274063768375</v>
      </c>
      <c r="N116" s="614"/>
    </row>
    <row r="117" spans="1:14" s="349" customFormat="1">
      <c r="A117" s="347" t="s">
        <v>826</v>
      </c>
      <c r="B117" s="349">
        <f>(Vehi_Fluids!$B$6*(1+Vehi_Fluids!$B$12)*$B84+Vehi_Fluids!$B$6*(1+Vehi_Fluids!$B$12)*Vehi_Fluids!$B$13*$C84)+(Vehi_Fluids!$C$6*(1+Vehi_Fluids!$C$12)*$D84+Vehi_Fluids!$C$6*(1+Vehi_Fluids!$C$12)*Vehi_Fluids!$C$13*$E84)+(Vehi_Fluids!$D$6*(1+Vehi_Fluids!$D$12)*$F84+Vehi_Fluids!$D$6*(1+Vehi_Fluids!$D$12)*Vehi_Fluids!$D$13*$G84)+(Vehi_Fluids!$E$6*(1+Vehi_Fluids!$E$12)*$H84+Vehi_Fluids!$E$6*(1+Vehi_Fluids!$E$12)*Vehi_Fluids!$E$13*$I84)+(Vehi_Fluids!$F$6*(1+Vehi_Fluids!$F$12)*$J84+Vehi_Fluids!$F$6*(1+Vehi_Fluids!$F$12)*Vehi_Fluids!$F$13*$K84)+(Vehi_Fluids!$G$6*(1+Vehi_Fluids!$G$12)*$L84+Vehi_Fluids!$G$6*(1+Vehi_Fluids!$G$12)*(1-Vehi_Fluids!$G$13)*$M84)+(Vehi_Fluids!$H$6*(1+Vehi_Fluids!$H$12)*$N84+Vehi_Fluids!$H$6*(1+Vehi_Fluids!$H$12)*Vehi_Fluids!$H$13*$O84)</f>
        <v>1562.7378397227392</v>
      </c>
      <c r="C117" s="349">
        <f>(Vehi_Fluids!$B$7*(1+Vehi_Fluids!$B$12)*$B84+Vehi_Fluids!$B$7*(1+Vehi_Fluids!$B$12)*Vehi_Fluids!$B$13*$C84)+(Vehi_Fluids!$C$7*(1+Vehi_Fluids!$C$12)*$D84+Vehi_Fluids!$C$7*(1+Vehi_Fluids!$C$12)*Vehi_Fluids!$C$13*$E84)+(Vehi_Fluids!$D$7*(1+Vehi_Fluids!$D$12)*$F84+Vehi_Fluids!$D$7*(1+Vehi_Fluids!$D$12)*Vehi_Fluids!$D$13*$G84)+(Vehi_Fluids!$E$7*(1+Vehi_Fluids!$E$12)*$H84+Vehi_Fluids!$E$7*(1+Vehi_Fluids!$E$12)*Vehi_Fluids!$E$13*$I84)+(Vehi_Fluids!$F$7*(1+Vehi_Fluids!$F$12)*$J84+Vehi_Fluids!$F$7*(1+Vehi_Fluids!$F$12)*Vehi_Fluids!$F$13*$K84)+(Vehi_Fluids!$G$7*(1+Vehi_Fluids!$G$12)*$L84+Vehi_Fluids!$G$7*(1+Vehi_Fluids!$G$12)*(1-Vehi_Fluids!$G$13)*$M84)+(Vehi_Fluids!$H$7*(1+Vehi_Fluids!$H$12)*$N84+Vehi_Fluids!$H$7*(1+Vehi_Fluids!$H$12)*Vehi_Fluids!$H$13*$O84)</f>
        <v>1562.7378397227392</v>
      </c>
      <c r="D117" s="349">
        <f>(Vehi_Fluids!$B$8*(1+Vehi_Fluids!$B$12)*$B84+Vehi_Fluids!$B$8*(1+Vehi_Fluids!$B$12)*Vehi_Fluids!$B$13*$C84)+(Vehi_Fluids!$C$8*(1+Vehi_Fluids!$C$12)*$D84+Vehi_Fluids!$C$8*(1+Vehi_Fluids!$C$12)*Vehi_Fluids!$C$13*$E84)+(Vehi_Fluids!$D$8*(1+Vehi_Fluids!$D$12)*$F84+Vehi_Fluids!$D$8*(1+Vehi_Fluids!$D$12)*Vehi_Fluids!$D$13*$G84)+(Vehi_Fluids!$E$8*(1+Vehi_Fluids!$E$12)*$H84+Vehi_Fluids!$E$8*(1+Vehi_Fluids!$E$12)*Vehi_Fluids!$E$13*$I84)+(Vehi_Fluids!$F$8*(1+Vehi_Fluids!$F$12)*$J84+Vehi_Fluids!$F$8*(1+Vehi_Fluids!$F$12)*Vehi_Fluids!$F$13*$K84)+(Vehi_Fluids!$G$8*(1+Vehi_Fluids!$G$12)*$L84+Vehi_Fluids!$G$8*(1+Vehi_Fluids!$G$12)*(1-Vehi_Fluids!$G$13)*$M84)+(Vehi_Fluids!$H$8*(1+Vehi_Fluids!$H$12)*$N84+Vehi_Fluids!$H$8*(1+Vehi_Fluids!$H$12)*Vehi_Fluids!$H$13*$O84)</f>
        <v>1411.0507995076123</v>
      </c>
      <c r="E117" s="349">
        <f>(Vehi_Fluids!$B$9*(1+Vehi_Fluids!$B$12)*$B84+Vehi_Fluids!$B$9*(1+Vehi_Fluids!$B$12)*Vehi_Fluids!$B$13*$C84)+(Vehi_Fluids!$C$9*(1+Vehi_Fluids!$C$12)*$D84+Vehi_Fluids!$C$9*(1+Vehi_Fluids!$C$12)*Vehi_Fluids!$C$13*$E84)+(Vehi_Fluids!$D$9*(1+Vehi_Fluids!$D$12)*$F84+Vehi_Fluids!$D$9*(1+Vehi_Fluids!$D$12)*Vehi_Fluids!$D$13*$G84)+(Vehi_Fluids!$E$9*(1+Vehi_Fluids!$E$12)*$H84+Vehi_Fluids!$E$9*(1+Vehi_Fluids!$E$12)*Vehi_Fluids!$E$13*$I84)+(Vehi_Fluids!$F$9*(1+Vehi_Fluids!$F$12)*$J84+Vehi_Fluids!$F$9*(1+Vehi_Fluids!$F$12)*Vehi_Fluids!$F$13*$K84)+(Vehi_Fluids!$G$9*(1+Vehi_Fluids!$G$12)*$L84+Vehi_Fluids!$G$9*(1+Vehi_Fluids!$G$12)*(1-Vehi_Fluids!$G$13)*$M84)+(Vehi_Fluids!$H$9*(1+Vehi_Fluids!$H$12)*$N84+Vehi_Fluids!$H$9*(1+Vehi_Fluids!$H$12)*Vehi_Fluids!$H$13*$O84)</f>
        <v>1411.0507995076123</v>
      </c>
      <c r="F117" s="349">
        <f>(Vehi_Fluids!$B$10*(1+Vehi_Fluids!$B$12)*$B84+Vehi_Fluids!$B$10*(1+Vehi_Fluids!$B$12)*Vehi_Fluids!$B$13*$C84)+(Vehi_Fluids!$C$10*(1+Vehi_Fluids!$C$12)*$D84+Vehi_Fluids!$C$10*(1+Vehi_Fluids!$C$12)*Vehi_Fluids!$C$13*$E84)+(Vehi_Fluids!$D$10*(1+Vehi_Fluids!$D$12)*$F84+Vehi_Fluids!$D$10*(1+Vehi_Fluids!$D$12)*Vehi_Fluids!$D$13*$G84)+(Vehi_Fluids!$E$10*(1+Vehi_Fluids!$E$12)*$H84+Vehi_Fluids!$E$10*(1+Vehi_Fluids!$E$12)*Vehi_Fluids!$E$13*$I84)+(Vehi_Fluids!$F$10*(1+Vehi_Fluids!$F$12)*$J84+Vehi_Fluids!$F$10*(1+Vehi_Fluids!$F$12)*Vehi_Fluids!$F$13*$K84)+(Vehi_Fluids!$G$10*(1+Vehi_Fluids!$G$12)*$L84+Vehi_Fluids!$G$10*(1+Vehi_Fluids!$G$12)*(1-Vehi_Fluids!$G$13)*$M84)+(Vehi_Fluids!$H$10*(1+Vehi_Fluids!$H$12)*$N84+Vehi_Fluids!$H$10*(1+Vehi_Fluids!$H$12)*Vehi_Fluids!$H$13*$O84)</f>
        <v>246.18368794364392</v>
      </c>
      <c r="G117" s="348">
        <f>(Vehi_Fluids!$B$11*(1+Vehi_Fluids!$B$12)*$B84+Vehi_Fluids!$B$11*(1+Vehi_Fluids!$B$12)*Vehi_Fluids!$B$13*$C84)+(Vehi_Fluids!$C$11*(1+Vehi_Fluids!$C$12)*$D84+Vehi_Fluids!$C$11*(1+Vehi_Fluids!$C$12)*Vehi_Fluids!$C$13*$E84)+(Vehi_Fluids!$D$11*(1+Vehi_Fluids!$D$12)*$F84+Vehi_Fluids!$D$11*(1+Vehi_Fluids!$D$12)*Vehi_Fluids!$D$13*$G84)+(Vehi_Fluids!$E$11*(1+Vehi_Fluids!$E$12)*$H84+Vehi_Fluids!$E$11*(1+Vehi_Fluids!$E$12)*Vehi_Fluids!$E$13*$I84)+(Vehi_Fluids!$F$11*(1+Vehi_Fluids!$F$12)*$J84+Vehi_Fluids!$F$11*(1+Vehi_Fluids!$F$12)*Vehi_Fluids!$F$13*$K84)+(Vehi_Fluids!$G$11*(1+Vehi_Fluids!$G$12)*$L84+Vehi_Fluids!$G$11*(1+Vehi_Fluids!$G$12)*(1-Vehi_Fluids!$G$13)*$M84)+(Vehi_Fluids!$H$11*(1+Vehi_Fluids!$H$12)*$N84+Vehi_Fluids!$H$11*(1+Vehi_Fluids!$H$12)*Vehi_Fluids!$H$13*$O84)</f>
        <v>246.18368794364392</v>
      </c>
      <c r="N117" s="614"/>
    </row>
    <row r="118" spans="1:14" s="349" customFormat="1">
      <c r="A118" s="749" t="s">
        <v>827</v>
      </c>
      <c r="B118" s="349">
        <f>(Vehi_Fluids!$B$6*(1+Vehi_Fluids!$B$12)*$B85+Vehi_Fluids!$B$6*(1+Vehi_Fluids!$B$12)*Vehi_Fluids!$B$13*$C85)+(Vehi_Fluids!$C$6*(1+Vehi_Fluids!$C$12)*$D85+Vehi_Fluids!$C$6*(1+Vehi_Fluids!$C$12)*Vehi_Fluids!$C$13*$E85)+(Vehi_Fluids!$D$6*(1+Vehi_Fluids!$D$12)*$F85+Vehi_Fluids!$D$6*(1+Vehi_Fluids!$D$12)*Vehi_Fluids!$D$13*$G85)+(Vehi_Fluids!$E$6*(1+Vehi_Fluids!$E$12)*$H85+Vehi_Fluids!$E$6*(1+Vehi_Fluids!$E$12)*Vehi_Fluids!$E$13*$I85)+(Vehi_Fluids!$F$6*(1+Vehi_Fluids!$F$12)*$J85+Vehi_Fluids!$F$6*(1+Vehi_Fluids!$F$12)*Vehi_Fluids!$F$13*$K85)+(Vehi_Fluids!$G$6*(1+Vehi_Fluids!$G$12)*$L85+Vehi_Fluids!$G$6*(1+Vehi_Fluids!$G$12)*(1-Vehi_Fluids!$G$13)*$M85)+(Vehi_Fluids!$H$6*(1+Vehi_Fluids!$H$12)*$N85+Vehi_Fluids!$H$6*(1+Vehi_Fluids!$H$12)*Vehi_Fluids!$H$13*$O85)</f>
        <v>5.732987837650807</v>
      </c>
      <c r="C118" s="349">
        <f>(Vehi_Fluids!$B$7*(1+Vehi_Fluids!$B$12)*$B85+Vehi_Fluids!$B$7*(1+Vehi_Fluids!$B$12)*Vehi_Fluids!$B$13*$C85)+(Vehi_Fluids!$C$7*(1+Vehi_Fluids!$C$12)*$D85+Vehi_Fluids!$C$7*(1+Vehi_Fluids!$C$12)*Vehi_Fluids!$C$13*$E85)+(Vehi_Fluids!$D$7*(1+Vehi_Fluids!$D$12)*$F85+Vehi_Fluids!$D$7*(1+Vehi_Fluids!$D$12)*Vehi_Fluids!$D$13*$G85)+(Vehi_Fluids!$E$7*(1+Vehi_Fluids!$E$12)*$H85+Vehi_Fluids!$E$7*(1+Vehi_Fluids!$E$12)*Vehi_Fluids!$E$13*$I85)+(Vehi_Fluids!$F$7*(1+Vehi_Fluids!$F$12)*$J85+Vehi_Fluids!$F$7*(1+Vehi_Fluids!$F$12)*Vehi_Fluids!$F$13*$K85)+(Vehi_Fluids!$G$7*(1+Vehi_Fluids!$G$12)*$L85+Vehi_Fluids!$G$7*(1+Vehi_Fluids!$G$12)*(1-Vehi_Fluids!$G$13)*$M85)+(Vehi_Fluids!$H$7*(1+Vehi_Fluids!$H$12)*$N85+Vehi_Fluids!$H$7*(1+Vehi_Fluids!$H$12)*Vehi_Fluids!$H$13*$O85)</f>
        <v>5.732987837650807</v>
      </c>
      <c r="D118" s="349">
        <f>(Vehi_Fluids!$B$8*(1+Vehi_Fluids!$B$12)*$B85+Vehi_Fluids!$B$8*(1+Vehi_Fluids!$B$12)*Vehi_Fluids!$B$13*$C85)+(Vehi_Fluids!$C$8*(1+Vehi_Fluids!$C$12)*$D85+Vehi_Fluids!$C$8*(1+Vehi_Fluids!$C$12)*Vehi_Fluids!$C$13*$E85)+(Vehi_Fluids!$D$8*(1+Vehi_Fluids!$D$12)*$F85+Vehi_Fluids!$D$8*(1+Vehi_Fluids!$D$12)*Vehi_Fluids!$D$13*$G85)+(Vehi_Fluids!$E$8*(1+Vehi_Fluids!$E$12)*$H85+Vehi_Fluids!$E$8*(1+Vehi_Fluids!$E$12)*Vehi_Fluids!$E$13*$I85)+(Vehi_Fluids!$F$8*(1+Vehi_Fluids!$F$12)*$J85+Vehi_Fluids!$F$8*(1+Vehi_Fluids!$F$12)*Vehi_Fluids!$F$13*$K85)+(Vehi_Fluids!$G$8*(1+Vehi_Fluids!$G$12)*$L85+Vehi_Fluids!$G$8*(1+Vehi_Fluids!$G$12)*(1-Vehi_Fluids!$G$13)*$M85)+(Vehi_Fluids!$H$8*(1+Vehi_Fluids!$H$12)*$N85+Vehi_Fluids!$H$8*(1+Vehi_Fluids!$H$12)*Vehi_Fluids!$H$13*$O85)</f>
        <v>5.163003708791698</v>
      </c>
      <c r="E118" s="349">
        <f>(Vehi_Fluids!$B$9*(1+Vehi_Fluids!$B$12)*$B85+Vehi_Fluids!$B$9*(1+Vehi_Fluids!$B$12)*Vehi_Fluids!$B$13*$C85)+(Vehi_Fluids!$C$9*(1+Vehi_Fluids!$C$12)*$D85+Vehi_Fluids!$C$9*(1+Vehi_Fluids!$C$12)*Vehi_Fluids!$C$13*$E85)+(Vehi_Fluids!$D$9*(1+Vehi_Fluids!$D$12)*$F85+Vehi_Fluids!$D$9*(1+Vehi_Fluids!$D$12)*Vehi_Fluids!$D$13*$G85)+(Vehi_Fluids!$E$9*(1+Vehi_Fluids!$E$12)*$H85+Vehi_Fluids!$E$9*(1+Vehi_Fluids!$E$12)*Vehi_Fluids!$E$13*$I85)+(Vehi_Fluids!$F$9*(1+Vehi_Fluids!$F$12)*$J85+Vehi_Fluids!$F$9*(1+Vehi_Fluids!$F$12)*Vehi_Fluids!$F$13*$K85)+(Vehi_Fluids!$G$9*(1+Vehi_Fluids!$G$12)*$L85+Vehi_Fluids!$G$9*(1+Vehi_Fluids!$G$12)*(1-Vehi_Fluids!$G$13)*$M85)+(Vehi_Fluids!$H$9*(1+Vehi_Fluids!$H$12)*$N85+Vehi_Fluids!$H$9*(1+Vehi_Fluids!$H$12)*Vehi_Fluids!$H$13*$O85)</f>
        <v>5.163003708791698</v>
      </c>
      <c r="F118" s="349">
        <f>(Vehi_Fluids!$B$10*(1+Vehi_Fluids!$B$12)*$B85+Vehi_Fluids!$B$10*(1+Vehi_Fluids!$B$12)*Vehi_Fluids!$B$13*$C85)+(Vehi_Fluids!$C$10*(1+Vehi_Fluids!$C$12)*$D85+Vehi_Fluids!$C$10*(1+Vehi_Fluids!$C$12)*Vehi_Fluids!$C$13*$E85)+(Vehi_Fluids!$D$10*(1+Vehi_Fluids!$D$12)*$F85+Vehi_Fluids!$D$10*(1+Vehi_Fluids!$D$12)*Vehi_Fluids!$D$13*$G85)+(Vehi_Fluids!$E$10*(1+Vehi_Fluids!$E$12)*$H85+Vehi_Fluids!$E$10*(1+Vehi_Fluids!$E$12)*Vehi_Fluids!$E$13*$I85)+(Vehi_Fluids!$F$10*(1+Vehi_Fluids!$F$12)*$J85+Vehi_Fluids!$F$10*(1+Vehi_Fluids!$F$12)*Vehi_Fluids!$F$13*$K85)+(Vehi_Fluids!$G$10*(1+Vehi_Fluids!$G$12)*$L85+Vehi_Fluids!$G$10*(1+Vehi_Fluids!$G$12)*(1-Vehi_Fluids!$G$13)*$M85)+(Vehi_Fluids!$H$10*(1+Vehi_Fluids!$H$12)*$N85+Vehi_Fluids!$H$10*(1+Vehi_Fluids!$H$12)*Vehi_Fluids!$H$13*$O85)</f>
        <v>0.72803788047807971</v>
      </c>
      <c r="G118" s="348">
        <f>(Vehi_Fluids!$B$11*(1+Vehi_Fluids!$B$12)*$B85+Vehi_Fluids!$B$11*(1+Vehi_Fluids!$B$12)*Vehi_Fluids!$B$13*$C85)+(Vehi_Fluids!$C$11*(1+Vehi_Fluids!$C$12)*$D85+Vehi_Fluids!$C$11*(1+Vehi_Fluids!$C$12)*Vehi_Fluids!$C$13*$E85)+(Vehi_Fluids!$D$11*(1+Vehi_Fluids!$D$12)*$F85+Vehi_Fluids!$D$11*(1+Vehi_Fluids!$D$12)*Vehi_Fluids!$D$13*$G85)+(Vehi_Fluids!$E$11*(1+Vehi_Fluids!$E$12)*$H85+Vehi_Fluids!$E$11*(1+Vehi_Fluids!$E$12)*Vehi_Fluids!$E$13*$I85)+(Vehi_Fluids!$F$11*(1+Vehi_Fluids!$F$12)*$J85+Vehi_Fluids!$F$11*(1+Vehi_Fluids!$F$12)*Vehi_Fluids!$F$13*$K85)+(Vehi_Fluids!$G$11*(1+Vehi_Fluids!$G$12)*$L85+Vehi_Fluids!$G$11*(1+Vehi_Fluids!$G$12)*(1-Vehi_Fluids!$G$13)*$M85)+(Vehi_Fluids!$H$11*(1+Vehi_Fluids!$H$12)*$N85+Vehi_Fluids!$H$11*(1+Vehi_Fluids!$H$12)*Vehi_Fluids!$H$13*$O85)</f>
        <v>0.72803788047807971</v>
      </c>
      <c r="N118" s="614"/>
    </row>
    <row r="119" spans="1:14" s="349" customFormat="1">
      <c r="A119" s="749" t="s">
        <v>828</v>
      </c>
      <c r="B119" s="349">
        <f>(Vehi_Fluids!$B$6*(1+Vehi_Fluids!$B$12)*$B86+Vehi_Fluids!$B$6*(1+Vehi_Fluids!$B$12)*Vehi_Fluids!$B$13*$C86)+(Vehi_Fluids!$C$6*(1+Vehi_Fluids!$C$12)*$D86+Vehi_Fluids!$C$6*(1+Vehi_Fluids!$C$12)*Vehi_Fluids!$C$13*$E86)+(Vehi_Fluids!$D$6*(1+Vehi_Fluids!$D$12)*$F86+Vehi_Fluids!$D$6*(1+Vehi_Fluids!$D$12)*Vehi_Fluids!$D$13*$G86)+(Vehi_Fluids!$E$6*(1+Vehi_Fluids!$E$12)*$H86+Vehi_Fluids!$E$6*(1+Vehi_Fluids!$E$12)*Vehi_Fluids!$E$13*$I86)+(Vehi_Fluids!$F$6*(1+Vehi_Fluids!$F$12)*$J86+Vehi_Fluids!$F$6*(1+Vehi_Fluids!$F$12)*Vehi_Fluids!$F$13*$K86)+(Vehi_Fluids!$G$6*(1+Vehi_Fluids!$G$12)*$L86+Vehi_Fluids!$G$6*(1+Vehi_Fluids!$G$12)*(1-Vehi_Fluids!$G$13)*$M86)+(Vehi_Fluids!$H$6*(1+Vehi_Fluids!$H$12)*$N86+Vehi_Fluids!$H$6*(1+Vehi_Fluids!$H$12)*Vehi_Fluids!$H$13*$O86)</f>
        <v>6.5283488693717171</v>
      </c>
      <c r="C119" s="349">
        <f>(Vehi_Fluids!$B$7*(1+Vehi_Fluids!$B$12)*$B86+Vehi_Fluids!$B$7*(1+Vehi_Fluids!$B$12)*Vehi_Fluids!$B$13*$C86)+(Vehi_Fluids!$C$7*(1+Vehi_Fluids!$C$12)*$D86+Vehi_Fluids!$C$7*(1+Vehi_Fluids!$C$12)*Vehi_Fluids!$C$13*$E86)+(Vehi_Fluids!$D$7*(1+Vehi_Fluids!$D$12)*$F86+Vehi_Fluids!$D$7*(1+Vehi_Fluids!$D$12)*Vehi_Fluids!$D$13*$G86)+(Vehi_Fluids!$E$7*(1+Vehi_Fluids!$E$12)*$H86+Vehi_Fluids!$E$7*(1+Vehi_Fluids!$E$12)*Vehi_Fluids!$E$13*$I86)+(Vehi_Fluids!$F$7*(1+Vehi_Fluids!$F$12)*$J86+Vehi_Fluids!$F$7*(1+Vehi_Fluids!$F$12)*Vehi_Fluids!$F$13*$K86)+(Vehi_Fluids!$G$7*(1+Vehi_Fluids!$G$12)*$L86+Vehi_Fluids!$G$7*(1+Vehi_Fluids!$G$12)*(1-Vehi_Fluids!$G$13)*$M86)+(Vehi_Fluids!$H$7*(1+Vehi_Fluids!$H$12)*$N86+Vehi_Fluids!$H$7*(1+Vehi_Fluids!$H$12)*Vehi_Fluids!$H$13*$O86)</f>
        <v>6.5283488693717171</v>
      </c>
      <c r="D119" s="349">
        <f>(Vehi_Fluids!$B$8*(1+Vehi_Fluids!$B$12)*$B86+Vehi_Fluids!$B$8*(1+Vehi_Fluids!$B$12)*Vehi_Fluids!$B$13*$C86)+(Vehi_Fluids!$C$8*(1+Vehi_Fluids!$C$12)*$D86+Vehi_Fluids!$C$8*(1+Vehi_Fluids!$C$12)*Vehi_Fluids!$C$13*$E86)+(Vehi_Fluids!$D$8*(1+Vehi_Fluids!$D$12)*$F86+Vehi_Fluids!$D$8*(1+Vehi_Fluids!$D$12)*Vehi_Fluids!$D$13*$G86)+(Vehi_Fluids!$E$8*(1+Vehi_Fluids!$E$12)*$H86+Vehi_Fluids!$E$8*(1+Vehi_Fluids!$E$12)*Vehi_Fluids!$E$13*$I86)+(Vehi_Fluids!$F$8*(1+Vehi_Fluids!$F$12)*$J86+Vehi_Fluids!$F$8*(1+Vehi_Fluids!$F$12)*Vehi_Fluids!$F$13*$K86)+(Vehi_Fluids!$G$8*(1+Vehi_Fluids!$G$12)*$L86+Vehi_Fluids!$G$8*(1+Vehi_Fluids!$G$12)*(1-Vehi_Fluids!$G$13)*$M86)+(Vehi_Fluids!$H$8*(1+Vehi_Fluids!$H$12)*$N86+Vehi_Fluids!$H$8*(1+Vehi_Fluids!$H$12)*Vehi_Fluids!$H$13*$O86)</f>
        <v>5.9565370708729368</v>
      </c>
      <c r="E119" s="349">
        <f>(Vehi_Fluids!$B$9*(1+Vehi_Fluids!$B$12)*$B86+Vehi_Fluids!$B$9*(1+Vehi_Fluids!$B$12)*Vehi_Fluids!$B$13*$C86)+(Vehi_Fluids!$C$9*(1+Vehi_Fluids!$C$12)*$D86+Vehi_Fluids!$C$9*(1+Vehi_Fluids!$C$12)*Vehi_Fluids!$C$13*$E86)+(Vehi_Fluids!$D$9*(1+Vehi_Fluids!$D$12)*$F86+Vehi_Fluids!$D$9*(1+Vehi_Fluids!$D$12)*Vehi_Fluids!$D$13*$G86)+(Vehi_Fluids!$E$9*(1+Vehi_Fluids!$E$12)*$H86+Vehi_Fluids!$E$9*(1+Vehi_Fluids!$E$12)*Vehi_Fluids!$E$13*$I86)+(Vehi_Fluids!$F$9*(1+Vehi_Fluids!$F$12)*$J86+Vehi_Fluids!$F$9*(1+Vehi_Fluids!$F$12)*Vehi_Fluids!$F$13*$K86)+(Vehi_Fluids!$G$9*(1+Vehi_Fluids!$G$12)*$L86+Vehi_Fluids!$G$9*(1+Vehi_Fluids!$G$12)*(1-Vehi_Fluids!$G$13)*$M86)+(Vehi_Fluids!$H$9*(1+Vehi_Fluids!$H$12)*$N86+Vehi_Fluids!$H$9*(1+Vehi_Fluids!$H$12)*Vehi_Fluids!$H$13*$O86)</f>
        <v>5.9565370708729368</v>
      </c>
      <c r="F119" s="349">
        <f>(Vehi_Fluids!$B$10*(1+Vehi_Fluids!$B$12)*$B86+Vehi_Fluids!$B$10*(1+Vehi_Fluids!$B$12)*Vehi_Fluids!$B$13*$C86)+(Vehi_Fluids!$C$10*(1+Vehi_Fluids!$C$12)*$D86+Vehi_Fluids!$C$10*(1+Vehi_Fluids!$C$12)*Vehi_Fluids!$C$13*$E86)+(Vehi_Fluids!$D$10*(1+Vehi_Fluids!$D$12)*$F86+Vehi_Fluids!$D$10*(1+Vehi_Fluids!$D$12)*Vehi_Fluids!$D$13*$G86)+(Vehi_Fluids!$E$10*(1+Vehi_Fluids!$E$12)*$H86+Vehi_Fluids!$E$10*(1+Vehi_Fluids!$E$12)*Vehi_Fluids!$E$13*$I86)+(Vehi_Fluids!$F$10*(1+Vehi_Fluids!$F$12)*$J86+Vehi_Fluids!$F$10*(1+Vehi_Fluids!$F$12)*Vehi_Fluids!$F$13*$K86)+(Vehi_Fluids!$G$10*(1+Vehi_Fluids!$G$12)*$L86+Vehi_Fluids!$G$10*(1+Vehi_Fluids!$G$12)*(1-Vehi_Fluids!$G$13)*$M86)+(Vehi_Fluids!$H$10*(1+Vehi_Fluids!$H$12)*$N86+Vehi_Fluids!$H$10*(1+Vehi_Fluids!$H$12)*Vehi_Fluids!$H$13*$O86)</f>
        <v>1.3970106118851247</v>
      </c>
      <c r="G119" s="348">
        <f>(Vehi_Fluids!$B$11*(1+Vehi_Fluids!$B$12)*$B86+Vehi_Fluids!$B$11*(1+Vehi_Fluids!$B$12)*Vehi_Fluids!$B$13*$C86)+(Vehi_Fluids!$C$11*(1+Vehi_Fluids!$C$12)*$D86+Vehi_Fluids!$C$11*(1+Vehi_Fluids!$C$12)*Vehi_Fluids!$C$13*$E86)+(Vehi_Fluids!$D$11*(1+Vehi_Fluids!$D$12)*$F86+Vehi_Fluids!$D$11*(1+Vehi_Fluids!$D$12)*Vehi_Fluids!$D$13*$G86)+(Vehi_Fluids!$E$11*(1+Vehi_Fluids!$E$12)*$H86+Vehi_Fluids!$E$11*(1+Vehi_Fluids!$E$12)*Vehi_Fluids!$E$13*$I86)+(Vehi_Fluids!$F$11*(1+Vehi_Fluids!$F$12)*$J86+Vehi_Fluids!$F$11*(1+Vehi_Fluids!$F$12)*Vehi_Fluids!$F$13*$K86)+(Vehi_Fluids!$G$11*(1+Vehi_Fluids!$G$12)*$L86+Vehi_Fluids!$G$11*(1+Vehi_Fluids!$G$12)*(1-Vehi_Fluids!$G$13)*$M86)+(Vehi_Fluids!$H$11*(1+Vehi_Fluids!$H$12)*$N86+Vehi_Fluids!$H$11*(1+Vehi_Fluids!$H$12)*Vehi_Fluids!$H$13*$O86)</f>
        <v>1.3970106118851247</v>
      </c>
      <c r="N119" s="614"/>
    </row>
    <row r="120" spans="1:14" s="349" customFormat="1">
      <c r="A120" s="347" t="s">
        <v>829</v>
      </c>
      <c r="B120" s="349">
        <f>(Vehi_Fluids!$B$6*(1+Vehi_Fluids!$B$12)*$B87+Vehi_Fluids!$B$6*(1+Vehi_Fluids!$B$12)*Vehi_Fluids!$B$13*$C87)+(Vehi_Fluids!$C$6*(1+Vehi_Fluids!$C$12)*$D87+Vehi_Fluids!$C$6*(1+Vehi_Fluids!$C$12)*Vehi_Fluids!$C$13*$E87)+(Vehi_Fluids!$D$6*(1+Vehi_Fluids!$D$12)*$F87+Vehi_Fluids!$D$6*(1+Vehi_Fluids!$D$12)*Vehi_Fluids!$D$13*$G87)+(Vehi_Fluids!$E$6*(1+Vehi_Fluids!$E$12)*$H87+Vehi_Fluids!$E$6*(1+Vehi_Fluids!$E$12)*Vehi_Fluids!$E$13*$I87)+(Vehi_Fluids!$F$6*(1+Vehi_Fluids!$F$12)*$J87+Vehi_Fluids!$F$6*(1+Vehi_Fluids!$F$12)*Vehi_Fluids!$F$13*$K87)+(Vehi_Fluids!$G$6*(1+Vehi_Fluids!$G$12)*$L87+Vehi_Fluids!$G$6*(1+Vehi_Fluids!$G$12)*(1-Vehi_Fluids!$G$13)*$M87)+(Vehi_Fluids!$H$6*(1+Vehi_Fluids!$H$12)*$N87+Vehi_Fluids!$H$6*(1+Vehi_Fluids!$H$12)*Vehi_Fluids!$H$13*$O87)</f>
        <v>1376.6152875984117</v>
      </c>
      <c r="C120" s="349">
        <f>(Vehi_Fluids!$B$7*(1+Vehi_Fluids!$B$12)*$B87+Vehi_Fluids!$B$7*(1+Vehi_Fluids!$B$12)*Vehi_Fluids!$B$13*$C87)+(Vehi_Fluids!$C$7*(1+Vehi_Fluids!$C$12)*$D87+Vehi_Fluids!$C$7*(1+Vehi_Fluids!$C$12)*Vehi_Fluids!$C$13*$E87)+(Vehi_Fluids!$D$7*(1+Vehi_Fluids!$D$12)*$F87+Vehi_Fluids!$D$7*(1+Vehi_Fluids!$D$12)*Vehi_Fluids!$D$13*$G87)+(Vehi_Fluids!$E$7*(1+Vehi_Fluids!$E$12)*$H87+Vehi_Fluids!$E$7*(1+Vehi_Fluids!$E$12)*Vehi_Fluids!$E$13*$I87)+(Vehi_Fluids!$F$7*(1+Vehi_Fluids!$F$12)*$J87+Vehi_Fluids!$F$7*(1+Vehi_Fluids!$F$12)*Vehi_Fluids!$F$13*$K87)+(Vehi_Fluids!$G$7*(1+Vehi_Fluids!$G$12)*$L87+Vehi_Fluids!$G$7*(1+Vehi_Fluids!$G$12)*(1-Vehi_Fluids!$G$13)*$M87)+(Vehi_Fluids!$H$7*(1+Vehi_Fluids!$H$12)*$N87+Vehi_Fluids!$H$7*(1+Vehi_Fluids!$H$12)*Vehi_Fluids!$H$13*$O87)</f>
        <v>1376.6152875984117</v>
      </c>
      <c r="D120" s="349">
        <f>(Vehi_Fluids!$B$8*(1+Vehi_Fluids!$B$12)*$B87+Vehi_Fluids!$B$8*(1+Vehi_Fluids!$B$12)*Vehi_Fluids!$B$13*$C87)+(Vehi_Fluids!$C$8*(1+Vehi_Fluids!$C$12)*$D87+Vehi_Fluids!$C$8*(1+Vehi_Fluids!$C$12)*Vehi_Fluids!$C$13*$E87)+(Vehi_Fluids!$D$8*(1+Vehi_Fluids!$D$12)*$F87+Vehi_Fluids!$D$8*(1+Vehi_Fluids!$D$12)*Vehi_Fluids!$D$13*$G87)+(Vehi_Fluids!$E$8*(1+Vehi_Fluids!$E$12)*$H87+Vehi_Fluids!$E$8*(1+Vehi_Fluids!$E$12)*Vehi_Fluids!$E$13*$I87)+(Vehi_Fluids!$F$8*(1+Vehi_Fluids!$F$12)*$J87+Vehi_Fluids!$F$8*(1+Vehi_Fluids!$F$12)*Vehi_Fluids!$F$13*$K87)+(Vehi_Fluids!$G$8*(1+Vehi_Fluids!$G$12)*$L87+Vehi_Fluids!$G$8*(1+Vehi_Fluids!$G$12)*(1-Vehi_Fluids!$G$13)*$M87)+(Vehi_Fluids!$H$8*(1+Vehi_Fluids!$H$12)*$N87+Vehi_Fluids!$H$8*(1+Vehi_Fluids!$H$12)*Vehi_Fluids!$H$13*$O87)</f>
        <v>1279.8021547003659</v>
      </c>
      <c r="E120" s="349">
        <f>(Vehi_Fluids!$B$9*(1+Vehi_Fluids!$B$12)*$B87+Vehi_Fluids!$B$9*(1+Vehi_Fluids!$B$12)*Vehi_Fluids!$B$13*$C87)+(Vehi_Fluids!$C$9*(1+Vehi_Fluids!$C$12)*$D87+Vehi_Fluids!$C$9*(1+Vehi_Fluids!$C$12)*Vehi_Fluids!$C$13*$E87)+(Vehi_Fluids!$D$9*(1+Vehi_Fluids!$D$12)*$F87+Vehi_Fluids!$D$9*(1+Vehi_Fluids!$D$12)*Vehi_Fluids!$D$13*$G87)+(Vehi_Fluids!$E$9*(1+Vehi_Fluids!$E$12)*$H87+Vehi_Fluids!$E$9*(1+Vehi_Fluids!$E$12)*Vehi_Fluids!$E$13*$I87)+(Vehi_Fluids!$F$9*(1+Vehi_Fluids!$F$12)*$J87+Vehi_Fluids!$F$9*(1+Vehi_Fluids!$F$12)*Vehi_Fluids!$F$13*$K87)+(Vehi_Fluids!$G$9*(1+Vehi_Fluids!$G$12)*$L87+Vehi_Fluids!$G$9*(1+Vehi_Fluids!$G$12)*(1-Vehi_Fluids!$G$13)*$M87)+(Vehi_Fluids!$H$9*(1+Vehi_Fluids!$H$12)*$N87+Vehi_Fluids!$H$9*(1+Vehi_Fluids!$H$12)*Vehi_Fluids!$H$13*$O87)</f>
        <v>1279.8021547003659</v>
      </c>
      <c r="F120" s="349">
        <f>(Vehi_Fluids!$B$10*(1+Vehi_Fluids!$B$12)*$B87+Vehi_Fluids!$B$10*(1+Vehi_Fluids!$B$12)*Vehi_Fluids!$B$13*$C87)+(Vehi_Fluids!$C$10*(1+Vehi_Fluids!$C$12)*$D87+Vehi_Fluids!$C$10*(1+Vehi_Fluids!$C$12)*Vehi_Fluids!$C$13*$E87)+(Vehi_Fluids!$D$10*(1+Vehi_Fluids!$D$12)*$F87+Vehi_Fluids!$D$10*(1+Vehi_Fluids!$D$12)*Vehi_Fluids!$D$13*$G87)+(Vehi_Fluids!$E$10*(1+Vehi_Fluids!$E$12)*$H87+Vehi_Fluids!$E$10*(1+Vehi_Fluids!$E$12)*Vehi_Fluids!$E$13*$I87)+(Vehi_Fluids!$F$10*(1+Vehi_Fluids!$F$12)*$J87+Vehi_Fluids!$F$10*(1+Vehi_Fluids!$F$12)*Vehi_Fluids!$F$13*$K87)+(Vehi_Fluids!$G$10*(1+Vehi_Fluids!$G$12)*$L87+Vehi_Fluids!$G$10*(1+Vehi_Fluids!$G$12)*(1-Vehi_Fluids!$G$13)*$M87)+(Vehi_Fluids!$H$10*(1+Vehi_Fluids!$H$12)*$N87+Vehi_Fluids!$H$10*(1+Vehi_Fluids!$H$12)*Vehi_Fluids!$H$13*$O87)</f>
        <v>501.16215421510094</v>
      </c>
      <c r="G120" s="348">
        <f>(Vehi_Fluids!$B$11*(1+Vehi_Fluids!$B$12)*$B87+Vehi_Fluids!$B$11*(1+Vehi_Fluids!$B$12)*Vehi_Fluids!$B$13*$C87)+(Vehi_Fluids!$C$11*(1+Vehi_Fluids!$C$12)*$D87+Vehi_Fluids!$C$11*(1+Vehi_Fluids!$C$12)*Vehi_Fluids!$C$13*$E87)+(Vehi_Fluids!$D$11*(1+Vehi_Fluids!$D$12)*$F87+Vehi_Fluids!$D$11*(1+Vehi_Fluids!$D$12)*Vehi_Fluids!$D$13*$G87)+(Vehi_Fluids!$E$11*(1+Vehi_Fluids!$E$12)*$H87+Vehi_Fluids!$E$11*(1+Vehi_Fluids!$E$12)*Vehi_Fluids!$E$13*$I87)+(Vehi_Fluids!$F$11*(1+Vehi_Fluids!$F$12)*$J87+Vehi_Fluids!$F$11*(1+Vehi_Fluids!$F$12)*Vehi_Fluids!$F$13*$K87)+(Vehi_Fluids!$G$11*(1+Vehi_Fluids!$G$12)*$L87+Vehi_Fluids!$G$11*(1+Vehi_Fluids!$G$12)*(1-Vehi_Fluids!$G$13)*$M87)+(Vehi_Fluids!$H$11*(1+Vehi_Fluids!$H$12)*$N87+Vehi_Fluids!$H$11*(1+Vehi_Fluids!$H$12)*Vehi_Fluids!$H$13*$O87)</f>
        <v>501.16215421510094</v>
      </c>
      <c r="N120" s="614"/>
    </row>
    <row r="121" spans="1:14" s="349" customFormat="1">
      <c r="A121" s="347" t="s">
        <v>830</v>
      </c>
      <c r="B121" s="349">
        <f>(Vehi_Fluids!$B$6*(1+Vehi_Fluids!$B$12)*$B88+Vehi_Fluids!$B$6*(1+Vehi_Fluids!$B$12)*Vehi_Fluids!$B$13*$C88)+(Vehi_Fluids!$C$6*(1+Vehi_Fluids!$C$12)*$D88+Vehi_Fluids!$C$6*(1+Vehi_Fluids!$C$12)*Vehi_Fluids!$C$13*$E88)+(Vehi_Fluids!$D$6*(1+Vehi_Fluids!$D$12)*$F88+Vehi_Fluids!$D$6*(1+Vehi_Fluids!$D$12)*Vehi_Fluids!$D$13*$G88)+(Vehi_Fluids!$E$6*(1+Vehi_Fluids!$E$12)*$H88+Vehi_Fluids!$E$6*(1+Vehi_Fluids!$E$12)*Vehi_Fluids!$E$13*$I88)+(Vehi_Fluids!$F$6*(1+Vehi_Fluids!$F$12)*$J88+Vehi_Fluids!$F$6*(1+Vehi_Fluids!$F$12)*Vehi_Fluids!$F$13*$K88)+(Vehi_Fluids!$G$6*(1+Vehi_Fluids!$G$12)*$L88+Vehi_Fluids!$G$6*(1+Vehi_Fluids!$G$12)*(1-Vehi_Fluids!$G$13)*$M88)+(Vehi_Fluids!$H$6*(1+Vehi_Fluids!$H$12)*$N88+Vehi_Fluids!$H$6*(1+Vehi_Fluids!$H$12)*Vehi_Fluids!$H$13*$O88)</f>
        <v>14.892348209602856</v>
      </c>
      <c r="C121" s="349">
        <f>(Vehi_Fluids!$B$7*(1+Vehi_Fluids!$B$12)*$B88+Vehi_Fluids!$B$7*(1+Vehi_Fluids!$B$12)*Vehi_Fluids!$B$13*$C88)+(Vehi_Fluids!$C$7*(1+Vehi_Fluids!$C$12)*$D88+Vehi_Fluids!$C$7*(1+Vehi_Fluids!$C$12)*Vehi_Fluids!$C$13*$E88)+(Vehi_Fluids!$D$7*(1+Vehi_Fluids!$D$12)*$F88+Vehi_Fluids!$D$7*(1+Vehi_Fluids!$D$12)*Vehi_Fluids!$D$13*$G88)+(Vehi_Fluids!$E$7*(1+Vehi_Fluids!$E$12)*$H88+Vehi_Fluids!$E$7*(1+Vehi_Fluids!$E$12)*Vehi_Fluids!$E$13*$I88)+(Vehi_Fluids!$F$7*(1+Vehi_Fluids!$F$12)*$J88+Vehi_Fluids!$F$7*(1+Vehi_Fluids!$F$12)*Vehi_Fluids!$F$13*$K88)+(Vehi_Fluids!$G$7*(1+Vehi_Fluids!$G$12)*$L88+Vehi_Fluids!$G$7*(1+Vehi_Fluids!$G$12)*(1-Vehi_Fluids!$G$13)*$M88)+(Vehi_Fluids!$H$7*(1+Vehi_Fluids!$H$12)*$N88+Vehi_Fluids!$H$7*(1+Vehi_Fluids!$H$12)*Vehi_Fluids!$H$13*$O88)</f>
        <v>14.892348209602856</v>
      </c>
      <c r="D121" s="349">
        <f>(Vehi_Fluids!$B$8*(1+Vehi_Fluids!$B$12)*$B88+Vehi_Fluids!$B$8*(1+Vehi_Fluids!$B$12)*Vehi_Fluids!$B$13*$C88)+(Vehi_Fluids!$C$8*(1+Vehi_Fluids!$C$12)*$D88+Vehi_Fluids!$C$8*(1+Vehi_Fluids!$C$12)*Vehi_Fluids!$C$13*$E88)+(Vehi_Fluids!$D$8*(1+Vehi_Fluids!$D$12)*$F88+Vehi_Fluids!$D$8*(1+Vehi_Fluids!$D$12)*Vehi_Fluids!$D$13*$G88)+(Vehi_Fluids!$E$8*(1+Vehi_Fluids!$E$12)*$H88+Vehi_Fluids!$E$8*(1+Vehi_Fluids!$E$12)*Vehi_Fluids!$E$13*$I88)+(Vehi_Fluids!$F$8*(1+Vehi_Fluids!$F$12)*$J88+Vehi_Fluids!$F$8*(1+Vehi_Fluids!$F$12)*Vehi_Fluids!$F$13*$K88)+(Vehi_Fluids!$G$8*(1+Vehi_Fluids!$G$12)*$L88+Vehi_Fluids!$G$8*(1+Vehi_Fluids!$G$12)*(1-Vehi_Fluids!$G$13)*$M88)+(Vehi_Fluids!$H$8*(1+Vehi_Fluids!$H$12)*$N88+Vehi_Fluids!$H$8*(1+Vehi_Fluids!$H$12)*Vehi_Fluids!$H$13*$O88)</f>
        <v>13.673601257980243</v>
      </c>
      <c r="E121" s="349">
        <f>(Vehi_Fluids!$B$9*(1+Vehi_Fluids!$B$12)*$B88+Vehi_Fluids!$B$9*(1+Vehi_Fluids!$B$12)*Vehi_Fluids!$B$13*$C88)+(Vehi_Fluids!$C$9*(1+Vehi_Fluids!$C$12)*$D88+Vehi_Fluids!$C$9*(1+Vehi_Fluids!$C$12)*Vehi_Fluids!$C$13*$E88)+(Vehi_Fluids!$D$9*(1+Vehi_Fluids!$D$12)*$F88+Vehi_Fluids!$D$9*(1+Vehi_Fluids!$D$12)*Vehi_Fluids!$D$13*$G88)+(Vehi_Fluids!$E$9*(1+Vehi_Fluids!$E$12)*$H88+Vehi_Fluids!$E$9*(1+Vehi_Fluids!$E$12)*Vehi_Fluids!$E$13*$I88)+(Vehi_Fluids!$F$9*(1+Vehi_Fluids!$F$12)*$J88+Vehi_Fluids!$F$9*(1+Vehi_Fluids!$F$12)*Vehi_Fluids!$F$13*$K88)+(Vehi_Fluids!$G$9*(1+Vehi_Fluids!$G$12)*$L88+Vehi_Fluids!$G$9*(1+Vehi_Fluids!$G$12)*(1-Vehi_Fluids!$G$13)*$M88)+(Vehi_Fluids!$H$9*(1+Vehi_Fluids!$H$12)*$N88+Vehi_Fluids!$H$9*(1+Vehi_Fluids!$H$12)*Vehi_Fluids!$H$13*$O88)</f>
        <v>13.673601257980243</v>
      </c>
      <c r="F121" s="349">
        <f>(Vehi_Fluids!$B$10*(1+Vehi_Fluids!$B$12)*$B88+Vehi_Fluids!$B$10*(1+Vehi_Fluids!$B$12)*Vehi_Fluids!$B$13*$C88)+(Vehi_Fluids!$C$10*(1+Vehi_Fluids!$C$12)*$D88+Vehi_Fluids!$C$10*(1+Vehi_Fluids!$C$12)*Vehi_Fluids!$C$13*$E88)+(Vehi_Fluids!$D$10*(1+Vehi_Fluids!$D$12)*$F88+Vehi_Fluids!$D$10*(1+Vehi_Fluids!$D$12)*Vehi_Fluids!$D$13*$G88)+(Vehi_Fluids!$E$10*(1+Vehi_Fluids!$E$12)*$H88+Vehi_Fluids!$E$10*(1+Vehi_Fluids!$E$12)*Vehi_Fluids!$E$13*$I88)+(Vehi_Fluids!$F$10*(1+Vehi_Fluids!$F$12)*$J88+Vehi_Fluids!$F$10*(1+Vehi_Fluids!$F$12)*Vehi_Fluids!$F$13*$K88)+(Vehi_Fluids!$G$10*(1+Vehi_Fluids!$G$12)*$L88+Vehi_Fluids!$G$10*(1+Vehi_Fluids!$G$12)*(1-Vehi_Fluids!$G$13)*$M88)+(Vehi_Fluids!$H$10*(1+Vehi_Fluids!$H$12)*$N88+Vehi_Fluids!$H$10*(1+Vehi_Fluids!$H$12)*Vehi_Fluids!$H$13*$O88)</f>
        <v>4.1701931336438403</v>
      </c>
      <c r="G121" s="348">
        <f>(Vehi_Fluids!$B$11*(1+Vehi_Fluids!$B$12)*$B88+Vehi_Fluids!$B$11*(1+Vehi_Fluids!$B$12)*Vehi_Fluids!$B$13*$C88)+(Vehi_Fluids!$C$11*(1+Vehi_Fluids!$C$12)*$D88+Vehi_Fluids!$C$11*(1+Vehi_Fluids!$C$12)*Vehi_Fluids!$C$13*$E88)+(Vehi_Fluids!$D$11*(1+Vehi_Fluids!$D$12)*$F88+Vehi_Fluids!$D$11*(1+Vehi_Fluids!$D$12)*Vehi_Fluids!$D$13*$G88)+(Vehi_Fluids!$E$11*(1+Vehi_Fluids!$E$12)*$H88+Vehi_Fluids!$E$11*(1+Vehi_Fluids!$E$12)*Vehi_Fluids!$E$13*$I88)+(Vehi_Fluids!$F$11*(1+Vehi_Fluids!$F$12)*$J88+Vehi_Fluids!$F$11*(1+Vehi_Fluids!$F$12)*Vehi_Fluids!$F$13*$K88)+(Vehi_Fluids!$G$11*(1+Vehi_Fluids!$G$12)*$L88+Vehi_Fluids!$G$11*(1+Vehi_Fluids!$G$12)*(1-Vehi_Fluids!$G$13)*$M88)+(Vehi_Fluids!$H$11*(1+Vehi_Fluids!$H$12)*$N88+Vehi_Fluids!$H$11*(1+Vehi_Fluids!$H$12)*Vehi_Fluids!$H$13*$O88)</f>
        <v>4.1701931336438403</v>
      </c>
      <c r="N121" s="614"/>
    </row>
    <row r="122" spans="1:14" s="419" customFormat="1">
      <c r="A122" s="517" t="s">
        <v>831</v>
      </c>
      <c r="B122" s="246">
        <f>(Vehi_Fluids!$B$6*(1+Vehi_Fluids!$B$12)*$B89+Vehi_Fluids!$B$6*(1+Vehi_Fluids!$B$12)*Vehi_Fluids!$B$13*$C89)+(Vehi_Fluids!$C$6*(1+Vehi_Fluids!$C$12)*$D89+Vehi_Fluids!$C$6*(1+Vehi_Fluids!$C$12)*Vehi_Fluids!$C$13*$E89)+(Vehi_Fluids!$D$6*(1+Vehi_Fluids!$D$12)*$F89+Vehi_Fluids!$D$6*(1+Vehi_Fluids!$D$12)*Vehi_Fluids!$D$13*$G89)+(Vehi_Fluids!$E$6*(1+Vehi_Fluids!$E$12)*$H89+Vehi_Fluids!$E$6*(1+Vehi_Fluids!$E$12)*Vehi_Fluids!$E$13*$I89)+(Vehi_Fluids!$F$6*(1+Vehi_Fluids!$F$12)*$J89+Vehi_Fluids!$F$6*(1+Vehi_Fluids!$F$12)*Vehi_Fluids!$F$13*$K89)+(Vehi_Fluids!$G$6*(1+Vehi_Fluids!$G$12)*$L89+Vehi_Fluids!$G$6*(1+Vehi_Fluids!$G$12)*(1-Vehi_Fluids!$G$13)*$M89)+(Vehi_Fluids!$H$6*(1+Vehi_Fluids!$H$12)*$N89+Vehi_Fluids!$H$6*(1+Vehi_Fluids!$H$12)*Vehi_Fluids!$H$13*$O89)</f>
        <v>631835.11621996353</v>
      </c>
      <c r="C122" s="246">
        <f>(Vehi_Fluids!$B$7*(1+Vehi_Fluids!$B$12)*$B89+Vehi_Fluids!$B$7*(1+Vehi_Fluids!$B$12)*Vehi_Fluids!$B$13*$C89)+(Vehi_Fluids!$C$7*(1+Vehi_Fluids!$C$12)*$D89+Vehi_Fluids!$C$7*(1+Vehi_Fluids!$C$12)*Vehi_Fluids!$C$13*$E89)+(Vehi_Fluids!$D$7*(1+Vehi_Fluids!$D$12)*$F89+Vehi_Fluids!$D$7*(1+Vehi_Fluids!$D$12)*Vehi_Fluids!$D$13*$G89)+(Vehi_Fluids!$E$7*(1+Vehi_Fluids!$E$12)*$H89+Vehi_Fluids!$E$7*(1+Vehi_Fluids!$E$12)*Vehi_Fluids!$E$13*$I89)+(Vehi_Fluids!$F$7*(1+Vehi_Fluids!$F$12)*$J89+Vehi_Fluids!$F$7*(1+Vehi_Fluids!$F$12)*Vehi_Fluids!$F$13*$K89)+(Vehi_Fluids!$G$7*(1+Vehi_Fluids!$G$12)*$L89+Vehi_Fluids!$G$7*(1+Vehi_Fluids!$G$12)*(1-Vehi_Fluids!$G$13)*$M89)+(Vehi_Fluids!$H$7*(1+Vehi_Fluids!$H$12)*$N89+Vehi_Fluids!$H$7*(1+Vehi_Fluids!$H$12)*Vehi_Fluids!$H$13*$O89)</f>
        <v>631835.11621996353</v>
      </c>
      <c r="D122" s="246">
        <f>(Vehi_Fluids!$B$8*(1+Vehi_Fluids!$B$12)*$B89+Vehi_Fluids!$B$8*(1+Vehi_Fluids!$B$12)*Vehi_Fluids!$B$13*$C89)+(Vehi_Fluids!$C$8*(1+Vehi_Fluids!$C$12)*$D89+Vehi_Fluids!$C$8*(1+Vehi_Fluids!$C$12)*Vehi_Fluids!$C$13*$E89)+(Vehi_Fluids!$D$8*(1+Vehi_Fluids!$D$12)*$F89+Vehi_Fluids!$D$8*(1+Vehi_Fluids!$D$12)*Vehi_Fluids!$D$13*$G89)+(Vehi_Fluids!$E$8*(1+Vehi_Fluids!$E$12)*$H89+Vehi_Fluids!$E$8*(1+Vehi_Fluids!$E$12)*Vehi_Fluids!$E$13*$I89)+(Vehi_Fluids!$F$8*(1+Vehi_Fluids!$F$12)*$J89+Vehi_Fluids!$F$8*(1+Vehi_Fluids!$F$12)*Vehi_Fluids!$F$13*$K89)+(Vehi_Fluids!$G$8*(1+Vehi_Fluids!$G$12)*$L89+Vehi_Fluids!$G$8*(1+Vehi_Fluids!$G$12)*(1-Vehi_Fluids!$G$13)*$M89)+(Vehi_Fluids!$H$8*(1+Vehi_Fluids!$H$12)*$N89+Vehi_Fluids!$H$8*(1+Vehi_Fluids!$H$12)*Vehi_Fluids!$H$13*$O89)</f>
        <v>569101.25534683804</v>
      </c>
      <c r="E122" s="246">
        <f>(Vehi_Fluids!$B$9*(1+Vehi_Fluids!$B$12)*$B89+Vehi_Fluids!$B$9*(1+Vehi_Fluids!$B$12)*Vehi_Fluids!$B$13*$C89)+(Vehi_Fluids!$C$9*(1+Vehi_Fluids!$C$12)*$D89+Vehi_Fluids!$C$9*(1+Vehi_Fluids!$C$12)*Vehi_Fluids!$C$13*$E89)+(Vehi_Fluids!$D$9*(1+Vehi_Fluids!$D$12)*$F89+Vehi_Fluids!$D$9*(1+Vehi_Fluids!$D$12)*Vehi_Fluids!$D$13*$G89)+(Vehi_Fluids!$E$9*(1+Vehi_Fluids!$E$12)*$H89+Vehi_Fluids!$E$9*(1+Vehi_Fluids!$E$12)*Vehi_Fluids!$E$13*$I89)+(Vehi_Fluids!$F$9*(1+Vehi_Fluids!$F$12)*$J89+Vehi_Fluids!$F$9*(1+Vehi_Fluids!$F$12)*Vehi_Fluids!$F$13*$K89)+(Vehi_Fluids!$G$9*(1+Vehi_Fluids!$G$12)*$L89+Vehi_Fluids!$G$9*(1+Vehi_Fluids!$G$12)*(1-Vehi_Fluids!$G$13)*$M89)+(Vehi_Fluids!$H$9*(1+Vehi_Fluids!$H$12)*$N89+Vehi_Fluids!$H$9*(1+Vehi_Fluids!$H$12)*Vehi_Fluids!$H$13*$O89)</f>
        <v>569101.25534683804</v>
      </c>
      <c r="F122" s="246">
        <f>(Vehi_Fluids!$B$10*(1+Vehi_Fluids!$B$12)*$B89+Vehi_Fluids!$B$10*(1+Vehi_Fluids!$B$12)*Vehi_Fluids!$B$13*$C89)+(Vehi_Fluids!$C$10*(1+Vehi_Fluids!$C$12)*$D89+Vehi_Fluids!$C$10*(1+Vehi_Fluids!$C$12)*Vehi_Fluids!$C$13*$E89)+(Vehi_Fluids!$D$10*(1+Vehi_Fluids!$D$12)*$F89+Vehi_Fluids!$D$10*(1+Vehi_Fluids!$D$12)*Vehi_Fluids!$D$13*$G89)+(Vehi_Fluids!$E$10*(1+Vehi_Fluids!$E$12)*$H89+Vehi_Fluids!$E$10*(1+Vehi_Fluids!$E$12)*Vehi_Fluids!$E$13*$I89)+(Vehi_Fluids!$F$10*(1+Vehi_Fluids!$F$12)*$J89+Vehi_Fluids!$F$10*(1+Vehi_Fluids!$F$12)*Vehi_Fluids!$F$13*$K89)+(Vehi_Fluids!$G$10*(1+Vehi_Fluids!$G$12)*$L89+Vehi_Fluids!$G$10*(1+Vehi_Fluids!$G$12)*(1-Vehi_Fluids!$G$13)*$M89)+(Vehi_Fluids!$H$10*(1+Vehi_Fluids!$H$12)*$N89+Vehi_Fluids!$H$10*(1+Vehi_Fluids!$H$12)*Vehi_Fluids!$H$13*$O89)</f>
        <v>81548.311811566891</v>
      </c>
      <c r="G122" s="247">
        <f>(Vehi_Fluids!$B$11*(1+Vehi_Fluids!$B$12)*$B89+Vehi_Fluids!$B$11*(1+Vehi_Fluids!$B$12)*Vehi_Fluids!$B$13*$C89)+(Vehi_Fluids!$C$11*(1+Vehi_Fluids!$C$12)*$D89+Vehi_Fluids!$C$11*(1+Vehi_Fluids!$C$12)*Vehi_Fluids!$C$13*$E89)+(Vehi_Fluids!$D$11*(1+Vehi_Fluids!$D$12)*$F89+Vehi_Fluids!$D$11*(1+Vehi_Fluids!$D$12)*Vehi_Fluids!$D$13*$G89)+(Vehi_Fluids!$E$11*(1+Vehi_Fluids!$E$12)*$H89+Vehi_Fluids!$E$11*(1+Vehi_Fluids!$E$12)*Vehi_Fluids!$E$13*$I89)+(Vehi_Fluids!$F$11*(1+Vehi_Fluids!$F$12)*$J89+Vehi_Fluids!$F$11*(1+Vehi_Fluids!$F$12)*Vehi_Fluids!$F$13*$K89)+(Vehi_Fluids!$G$11*(1+Vehi_Fluids!$G$12)*$L89+Vehi_Fluids!$G$11*(1+Vehi_Fluids!$G$12)*(1-Vehi_Fluids!$G$13)*$M89)+(Vehi_Fluids!$H$11*(1+Vehi_Fluids!$H$12)*$N89+Vehi_Fluids!$H$11*(1+Vehi_Fluids!$H$12)*Vehi_Fluids!$H$13*$O89)</f>
        <v>81548.311811566891</v>
      </c>
      <c r="N122" s="617"/>
    </row>
    <row r="123" spans="1:14" s="419" customFormat="1">
      <c r="A123" s="517" t="s">
        <v>850</v>
      </c>
      <c r="B123" s="246">
        <f>B122+B112*GREET1_Import_Export!$B$62/GREET1_Import_Export!$B$65+B113*GREET1_Import_Export!$B$63/GREET1_Import_Export!$B$65</f>
        <v>718027.75527943484</v>
      </c>
      <c r="C123" s="246">
        <f>C122+C112*GREET1_Import_Export!$B$62/GREET1_Import_Export!$B$65+C113*GREET1_Import_Export!$B$63/GREET1_Import_Export!$B$65</f>
        <v>718027.75527943484</v>
      </c>
      <c r="D123" s="246">
        <f>D122+D112*GREET1_Import_Export!$B$62/GREET1_Import_Export!$B$65+D113*GREET1_Import_Export!$B$63/GREET1_Import_Export!$B$65</f>
        <v>655184.88420587475</v>
      </c>
      <c r="E123" s="246">
        <f>E122+E112*GREET1_Import_Export!$B$62/GREET1_Import_Export!$B$65+E113*GREET1_Import_Export!$B$63/GREET1_Import_Export!$B$65</f>
        <v>655184.88420587475</v>
      </c>
      <c r="F123" s="246">
        <f>F122+F112*GREET1_Import_Export!$B$62/GREET1_Import_Export!$B$65+F113*GREET1_Import_Export!$B$63/GREET1_Import_Export!$B$65</f>
        <v>166772.74990950144</v>
      </c>
      <c r="G123" s="247">
        <f>G122+G112*GREET1_Import_Export!$B$62/GREET1_Import_Export!$B$65+G113*GREET1_Import_Export!$B$63/GREET1_Import_Export!$B$65</f>
        <v>166772.74990950144</v>
      </c>
      <c r="N123" s="617"/>
    </row>
    <row r="124" spans="1:14" s="419" customFormat="1">
      <c r="A124" s="668" t="s">
        <v>851</v>
      </c>
      <c r="B124" s="294">
        <f>B123+SUMPRODUCT(B120:B121,GREET1_Import_Export!$B$51:$B$52)+SUMPRODUCT(B112:B114,GREET1_Import_Export!$B$55:$B$57)+SUMPRODUCT(B118:B119,GREET1_Import_Export!$B$58:$B$59)</f>
        <v>763272.686182932</v>
      </c>
      <c r="C124" s="294">
        <f>C123+SUMPRODUCT(C120:C121,GREET1_Import_Export!$B$51:$B$52)+SUMPRODUCT(C112:C114,GREET1_Import_Export!$B$55:$B$57)+SUMPRODUCT(C118:C119,GREET1_Import_Export!$B$58:$B$59)</f>
        <v>763272.686182932</v>
      </c>
      <c r="D124" s="294">
        <f>D123+SUMPRODUCT(D120:D121,GREET1_Import_Export!$B$51:$B$52)+SUMPRODUCT(D112:D114,GREET1_Import_Export!$B$55:$B$57)+SUMPRODUCT(D118:D119,GREET1_Import_Export!$B$58:$B$59)</f>
        <v>697202.45318025048</v>
      </c>
      <c r="E124" s="294">
        <f>E123+SUMPRODUCT(E120:E121,GREET1_Import_Export!$B$51:$B$52)+SUMPRODUCT(E112:E114,GREET1_Import_Export!$B$55:$B$57)+SUMPRODUCT(E118:E119,GREET1_Import_Export!$B$58:$B$59)</f>
        <v>697202.45318025048</v>
      </c>
      <c r="F124" s="294">
        <f>F123+SUMPRODUCT(F120:F121,GREET1_Import_Export!$B$51:$B$52)+SUMPRODUCT(F112:F114,GREET1_Import_Export!$B$55:$B$57)+SUMPRODUCT(F118:F119,GREET1_Import_Export!$B$58:$B$59)</f>
        <v>182912.71571637009</v>
      </c>
      <c r="G124" s="296">
        <f>G123+SUMPRODUCT(G120:G121,GREET1_Import_Export!$B$51:$B$52)+SUMPRODUCT(G112:G114,GREET1_Import_Export!$B$55:$B$57)+SUMPRODUCT(G118:G119,GREET1_Import_Export!$B$58:$B$59)</f>
        <v>182912.71571637009</v>
      </c>
      <c r="N124" s="617"/>
    </row>
    <row r="125" spans="1:14" s="349" customFormat="1">
      <c r="A125" s="758" t="s">
        <v>1031</v>
      </c>
      <c r="G125" s="348"/>
      <c r="N125" s="614"/>
    </row>
    <row r="126" spans="1:14" s="349" customFormat="1">
      <c r="A126" s="347" t="s">
        <v>821</v>
      </c>
      <c r="B126" s="349">
        <f>(Vehi_Fluids!$B$6*(1+Vehi_Fluids!$B$12)*$B93+Vehi_Fluids!$B$6*(1+Vehi_Fluids!$B$12)*Vehi_Fluids!$B$13*$C93)+(Vehi_Fluids!$C$6*(1+Vehi_Fluids!$C$12)*$D93+Vehi_Fluids!$C$6*(1+Vehi_Fluids!$C$12)*Vehi_Fluids!$C$13*$E93)+(Vehi_Fluids!$D$6*(1+Vehi_Fluids!$D$12)*$F93+Vehi_Fluids!$D$6*(1+Vehi_Fluids!$D$12)*Vehi_Fluids!$D$13*$G93)+(Vehi_Fluids!$E$6*(1+Vehi_Fluids!$E$12)*$H93+Vehi_Fluids!$E$6*(1+Vehi_Fluids!$E$12)*Vehi_Fluids!$E$13*$I93)+(Vehi_Fluids!$F$6*(1+Vehi_Fluids!$F$12)*$J93+Vehi_Fluids!$F$6*(1+Vehi_Fluids!$F$12)*Vehi_Fluids!$F$13*$K93)+(Vehi_Fluids!$G$6*(1+Vehi_Fluids!$G$12)*$L93+Vehi_Fluids!$G$6*(1+Vehi_Fluids!$G$12)*(1-Vehi_Fluids!$G$13)*$M93)+(Vehi_Fluids!$H$6*(1+Vehi_Fluids!$H$12)*$N93+Vehi_Fluids!$H$6*(1+Vehi_Fluids!$H$12)*Vehi_Fluids!$H$13*$O93)</f>
        <v>19208.709560330957</v>
      </c>
      <c r="C126" s="349">
        <f>(Vehi_Fluids!$B$7*(1+Vehi_Fluids!$B$12)*$B93+Vehi_Fluids!$B$7*(1+Vehi_Fluids!$B$12)*Vehi_Fluids!$B$13*$C93)+(Vehi_Fluids!$C$7*(1+Vehi_Fluids!$C$12)*$D93+Vehi_Fluids!$C$7*(1+Vehi_Fluids!$C$12)*Vehi_Fluids!$C$13*$E93)+(Vehi_Fluids!$D$7*(1+Vehi_Fluids!$D$12)*$F93+Vehi_Fluids!$D$7*(1+Vehi_Fluids!$D$12)*Vehi_Fluids!$D$13*$G93)+(Vehi_Fluids!$E$7*(1+Vehi_Fluids!$E$12)*$H93+Vehi_Fluids!$E$7*(1+Vehi_Fluids!$E$12)*Vehi_Fluids!$E$13*$I93)+(Vehi_Fluids!$F$7*(1+Vehi_Fluids!$F$12)*$J93+Vehi_Fluids!$F$7*(1+Vehi_Fluids!$F$12)*Vehi_Fluids!$F$13*$K93)+(Vehi_Fluids!$G$7*(1+Vehi_Fluids!$G$12)*$L93+Vehi_Fluids!$G$7*(1+Vehi_Fluids!$G$12)*(1-Vehi_Fluids!$G$13)*$M93)+(Vehi_Fluids!$H$7*(1+Vehi_Fluids!$H$12)*$N93+Vehi_Fluids!$H$7*(1+Vehi_Fluids!$H$12)*Vehi_Fluids!$H$13*$O93)</f>
        <v>19208.709560330957</v>
      </c>
      <c r="D126" s="349">
        <f>(Vehi_Fluids!$B$8*(1+Vehi_Fluids!$B$12)*$B93+Vehi_Fluids!$B$8*(1+Vehi_Fluids!$B$12)*Vehi_Fluids!$B$13*$C93)+(Vehi_Fluids!$C$8*(1+Vehi_Fluids!$C$12)*$D93+Vehi_Fluids!$C$8*(1+Vehi_Fluids!$C$12)*Vehi_Fluids!$C$13*$E93)+(Vehi_Fluids!$D$8*(1+Vehi_Fluids!$D$12)*$F93+Vehi_Fluids!$D$8*(1+Vehi_Fluids!$D$12)*Vehi_Fluids!$D$13*$G93)+(Vehi_Fluids!$E$8*(1+Vehi_Fluids!$E$12)*$H93+Vehi_Fluids!$E$8*(1+Vehi_Fluids!$E$12)*Vehi_Fluids!$E$13*$I93)+(Vehi_Fluids!$F$8*(1+Vehi_Fluids!$F$12)*$J93+Vehi_Fluids!$F$8*(1+Vehi_Fluids!$F$12)*Vehi_Fluids!$F$13*$K93)+(Vehi_Fluids!$G$8*(1+Vehi_Fluids!$G$12)*$L93+Vehi_Fluids!$G$8*(1+Vehi_Fluids!$G$12)*(1-Vehi_Fluids!$G$13)*$M93)+(Vehi_Fluids!$H$8*(1+Vehi_Fluids!$H$12)*$N93+Vehi_Fluids!$H$8*(1+Vehi_Fluids!$H$12)*Vehi_Fluids!$H$13*$O93)</f>
        <v>19194.407273101213</v>
      </c>
      <c r="E126" s="349">
        <f>(Vehi_Fluids!$B$9*(1+Vehi_Fluids!$B$12)*$B93+Vehi_Fluids!$B$9*(1+Vehi_Fluids!$B$12)*Vehi_Fluids!$B$13*$C93)+(Vehi_Fluids!$C$9*(1+Vehi_Fluids!$C$12)*$D93+Vehi_Fluids!$C$9*(1+Vehi_Fluids!$C$12)*Vehi_Fluids!$C$13*$E93)+(Vehi_Fluids!$D$9*(1+Vehi_Fluids!$D$12)*$F93+Vehi_Fluids!$D$9*(1+Vehi_Fluids!$D$12)*Vehi_Fluids!$D$13*$G93)+(Vehi_Fluids!$E$9*(1+Vehi_Fluids!$E$12)*$H93+Vehi_Fluids!$E$9*(1+Vehi_Fluids!$E$12)*Vehi_Fluids!$E$13*$I93)+(Vehi_Fluids!$F$9*(1+Vehi_Fluids!$F$12)*$J93+Vehi_Fluids!$F$9*(1+Vehi_Fluids!$F$12)*Vehi_Fluids!$F$13*$K93)+(Vehi_Fluids!$G$9*(1+Vehi_Fluids!$G$12)*$L93+Vehi_Fluids!$G$9*(1+Vehi_Fluids!$G$12)*(1-Vehi_Fluids!$G$13)*$M93)+(Vehi_Fluids!$H$9*(1+Vehi_Fluids!$H$12)*$N93+Vehi_Fluids!$H$9*(1+Vehi_Fluids!$H$12)*Vehi_Fluids!$H$13*$O93)</f>
        <v>19194.407273101213</v>
      </c>
      <c r="F126" s="349">
        <f>(Vehi_Fluids!$B$10*(1+Vehi_Fluids!$B$12)*$B93+Vehi_Fluids!$B$10*(1+Vehi_Fluids!$B$12)*Vehi_Fluids!$B$13*$C93)+(Vehi_Fluids!$C$10*(1+Vehi_Fluids!$C$12)*$D93+Vehi_Fluids!$C$10*(1+Vehi_Fluids!$C$12)*Vehi_Fluids!$C$13*$E93)+(Vehi_Fluids!$D$10*(1+Vehi_Fluids!$D$12)*$F93+Vehi_Fluids!$D$10*(1+Vehi_Fluids!$D$12)*Vehi_Fluids!$D$13*$G93)+(Vehi_Fluids!$E$10*(1+Vehi_Fluids!$E$12)*$H93+Vehi_Fluids!$E$10*(1+Vehi_Fluids!$E$12)*Vehi_Fluids!$E$13*$I93)+(Vehi_Fluids!$F$10*(1+Vehi_Fluids!$F$12)*$J93+Vehi_Fluids!$F$10*(1+Vehi_Fluids!$F$12)*Vehi_Fluids!$F$13*$K93)+(Vehi_Fluids!$G$10*(1+Vehi_Fluids!$G$12)*$L93+Vehi_Fluids!$G$10*(1+Vehi_Fluids!$G$12)*(1-Vehi_Fluids!$G$13)*$M93)+(Vehi_Fluids!$H$10*(1+Vehi_Fluids!$H$12)*$N93+Vehi_Fluids!$H$10*(1+Vehi_Fluids!$H$12)*Vehi_Fluids!$H$13*$O93)</f>
        <v>19082.723602870992</v>
      </c>
      <c r="G126" s="348">
        <f>(Vehi_Fluids!$B$11*(1+Vehi_Fluids!$B$12)*$B93+Vehi_Fluids!$B$11*(1+Vehi_Fluids!$B$12)*Vehi_Fluids!$B$13*$C93)+(Vehi_Fluids!$C$11*(1+Vehi_Fluids!$C$12)*$D93+Vehi_Fluids!$C$11*(1+Vehi_Fluids!$C$12)*Vehi_Fluids!$C$13*$E93)+(Vehi_Fluids!$D$11*(1+Vehi_Fluids!$D$12)*$F93+Vehi_Fluids!$D$11*(1+Vehi_Fluids!$D$12)*Vehi_Fluids!$D$13*$G93)+(Vehi_Fluids!$E$11*(1+Vehi_Fluids!$E$12)*$H93+Vehi_Fluids!$E$11*(1+Vehi_Fluids!$E$12)*Vehi_Fluids!$E$13*$I93)+(Vehi_Fluids!$F$11*(1+Vehi_Fluids!$F$12)*$J93+Vehi_Fluids!$F$11*(1+Vehi_Fluids!$F$12)*Vehi_Fluids!$F$13*$K93)+(Vehi_Fluids!$G$11*(1+Vehi_Fluids!$G$12)*$L93+Vehi_Fluids!$G$11*(1+Vehi_Fluids!$G$12)*(1-Vehi_Fluids!$G$13)*$M93)+(Vehi_Fluids!$H$11*(1+Vehi_Fluids!$H$12)*$N93+Vehi_Fluids!$H$11*(1+Vehi_Fluids!$H$12)*Vehi_Fluids!$H$13*$O93)</f>
        <v>19082.723602870992</v>
      </c>
      <c r="N126" s="614"/>
    </row>
    <row r="127" spans="1:14" s="349" customFormat="1">
      <c r="A127" s="347" t="s">
        <v>822</v>
      </c>
      <c r="B127" s="349">
        <f>(Vehi_Fluids!$B$6*(1+Vehi_Fluids!$B$12)*$B94+Vehi_Fluids!$B$6*(1+Vehi_Fluids!$B$12)*Vehi_Fluids!$B$13*$C94)+(Vehi_Fluids!$C$6*(1+Vehi_Fluids!$C$12)*$D94+Vehi_Fluids!$C$6*(1+Vehi_Fluids!$C$12)*Vehi_Fluids!$C$13*$E94)+(Vehi_Fluids!$D$6*(1+Vehi_Fluids!$D$12)*$F94+Vehi_Fluids!$D$6*(1+Vehi_Fluids!$D$12)*Vehi_Fluids!$D$13*$G94)+(Vehi_Fluids!$E$6*(1+Vehi_Fluids!$E$12)*$H94+Vehi_Fluids!$E$6*(1+Vehi_Fluids!$E$12)*Vehi_Fluids!$E$13*$I94)+(Vehi_Fluids!$F$6*(1+Vehi_Fluids!$F$12)*$J94+Vehi_Fluids!$F$6*(1+Vehi_Fluids!$F$12)*Vehi_Fluids!$F$13*$K94)+(Vehi_Fluids!$G$6*(1+Vehi_Fluids!$G$12)*$L94+Vehi_Fluids!$G$6*(1+Vehi_Fluids!$G$12)*(1-Vehi_Fluids!$G$13)*$M94)+(Vehi_Fluids!$H$6*(1+Vehi_Fluids!$H$12)*$N94+Vehi_Fluids!$H$6*(1+Vehi_Fluids!$H$12)*Vehi_Fluids!$H$13*$O94)</f>
        <v>69.925882606331029</v>
      </c>
      <c r="C127" s="349">
        <f>(Vehi_Fluids!$B$7*(1+Vehi_Fluids!$B$12)*$B94+Vehi_Fluids!$B$7*(1+Vehi_Fluids!$B$12)*Vehi_Fluids!$B$13*$C94)+(Vehi_Fluids!$C$7*(1+Vehi_Fluids!$C$12)*$D94+Vehi_Fluids!$C$7*(1+Vehi_Fluids!$C$12)*Vehi_Fluids!$C$13*$E94)+(Vehi_Fluids!$D$7*(1+Vehi_Fluids!$D$12)*$F94+Vehi_Fluids!$D$7*(1+Vehi_Fluids!$D$12)*Vehi_Fluids!$D$13*$G94)+(Vehi_Fluids!$E$7*(1+Vehi_Fluids!$E$12)*$H94+Vehi_Fluids!$E$7*(1+Vehi_Fluids!$E$12)*Vehi_Fluids!$E$13*$I94)+(Vehi_Fluids!$F$7*(1+Vehi_Fluids!$F$12)*$J94+Vehi_Fluids!$F$7*(1+Vehi_Fluids!$F$12)*Vehi_Fluids!$F$13*$K94)+(Vehi_Fluids!$G$7*(1+Vehi_Fluids!$G$12)*$L94+Vehi_Fluids!$G$7*(1+Vehi_Fluids!$G$12)*(1-Vehi_Fluids!$G$13)*$M94)+(Vehi_Fluids!$H$7*(1+Vehi_Fluids!$H$12)*$N94+Vehi_Fluids!$H$7*(1+Vehi_Fluids!$H$12)*Vehi_Fluids!$H$13*$O94)</f>
        <v>69.925882606331029</v>
      </c>
      <c r="D127" s="349">
        <f>(Vehi_Fluids!$B$8*(1+Vehi_Fluids!$B$12)*$B94+Vehi_Fluids!$B$8*(1+Vehi_Fluids!$B$12)*Vehi_Fluids!$B$13*$C94)+(Vehi_Fluids!$C$8*(1+Vehi_Fluids!$C$12)*$D94+Vehi_Fluids!$C$8*(1+Vehi_Fluids!$C$12)*Vehi_Fluids!$C$13*$E94)+(Vehi_Fluids!$D$8*(1+Vehi_Fluids!$D$12)*$F94+Vehi_Fluids!$D$8*(1+Vehi_Fluids!$D$12)*Vehi_Fluids!$D$13*$G94)+(Vehi_Fluids!$E$8*(1+Vehi_Fluids!$E$12)*$H94+Vehi_Fluids!$E$8*(1+Vehi_Fluids!$E$12)*Vehi_Fluids!$E$13*$I94)+(Vehi_Fluids!$F$8*(1+Vehi_Fluids!$F$12)*$J94+Vehi_Fluids!$F$8*(1+Vehi_Fluids!$F$12)*Vehi_Fluids!$F$13*$K94)+(Vehi_Fluids!$G$8*(1+Vehi_Fluids!$G$12)*$L94+Vehi_Fluids!$G$8*(1+Vehi_Fluids!$G$12)*(1-Vehi_Fluids!$G$13)*$M94)+(Vehi_Fluids!$H$8*(1+Vehi_Fluids!$H$12)*$N94+Vehi_Fluids!$H$8*(1+Vehi_Fluids!$H$12)*Vehi_Fluids!$H$13*$O94)</f>
        <v>62.993567626681326</v>
      </c>
      <c r="E127" s="349">
        <f>(Vehi_Fluids!$B$9*(1+Vehi_Fluids!$B$12)*$B94+Vehi_Fluids!$B$9*(1+Vehi_Fluids!$B$12)*Vehi_Fluids!$B$13*$C94)+(Vehi_Fluids!$C$9*(1+Vehi_Fluids!$C$12)*$D94+Vehi_Fluids!$C$9*(1+Vehi_Fluids!$C$12)*Vehi_Fluids!$C$13*$E94)+(Vehi_Fluids!$D$9*(1+Vehi_Fluids!$D$12)*$F94+Vehi_Fluids!$D$9*(1+Vehi_Fluids!$D$12)*Vehi_Fluids!$D$13*$G94)+(Vehi_Fluids!$E$9*(1+Vehi_Fluids!$E$12)*$H94+Vehi_Fluids!$E$9*(1+Vehi_Fluids!$E$12)*Vehi_Fluids!$E$13*$I94)+(Vehi_Fluids!$F$9*(1+Vehi_Fluids!$F$12)*$J94+Vehi_Fluids!$F$9*(1+Vehi_Fluids!$F$12)*Vehi_Fluids!$F$13*$K94)+(Vehi_Fluids!$G$9*(1+Vehi_Fluids!$G$12)*$L94+Vehi_Fluids!$G$9*(1+Vehi_Fluids!$G$12)*(1-Vehi_Fluids!$G$13)*$M94)+(Vehi_Fluids!$H$9*(1+Vehi_Fluids!$H$12)*$N94+Vehi_Fluids!$H$9*(1+Vehi_Fluids!$H$12)*Vehi_Fluids!$H$13*$O94)</f>
        <v>62.993567626681326</v>
      </c>
      <c r="F127" s="349">
        <f>(Vehi_Fluids!$B$10*(1+Vehi_Fluids!$B$12)*$B94+Vehi_Fluids!$B$10*(1+Vehi_Fluids!$B$12)*Vehi_Fluids!$B$13*$C94)+(Vehi_Fluids!$C$10*(1+Vehi_Fluids!$C$12)*$D94+Vehi_Fluids!$C$10*(1+Vehi_Fluids!$C$12)*Vehi_Fluids!$C$13*$E94)+(Vehi_Fluids!$D$10*(1+Vehi_Fluids!$D$12)*$F94+Vehi_Fluids!$D$10*(1+Vehi_Fluids!$D$12)*Vehi_Fluids!$D$13*$G94)+(Vehi_Fluids!$E$10*(1+Vehi_Fluids!$E$12)*$H94+Vehi_Fluids!$E$10*(1+Vehi_Fluids!$E$12)*Vehi_Fluids!$E$13*$I94)+(Vehi_Fluids!$F$10*(1+Vehi_Fluids!$F$12)*$J94+Vehi_Fluids!$F$10*(1+Vehi_Fluids!$F$12)*Vehi_Fluids!$F$13*$K94)+(Vehi_Fluids!$G$10*(1+Vehi_Fluids!$G$12)*$L94+Vehi_Fluids!$G$10*(1+Vehi_Fluids!$G$12)*(1-Vehi_Fluids!$G$13)*$M94)+(Vehi_Fluids!$H$10*(1+Vehi_Fluids!$H$12)*$N94+Vehi_Fluids!$H$10*(1+Vehi_Fluids!$H$12)*Vehi_Fluids!$H$13*$O94)</f>
        <v>8.7030176324234159</v>
      </c>
      <c r="G127" s="348">
        <f>(Vehi_Fluids!$B$11*(1+Vehi_Fluids!$B$12)*$B94+Vehi_Fluids!$B$11*(1+Vehi_Fluids!$B$12)*Vehi_Fluids!$B$13*$C94)+(Vehi_Fluids!$C$11*(1+Vehi_Fluids!$C$12)*$D94+Vehi_Fluids!$C$11*(1+Vehi_Fluids!$C$12)*Vehi_Fluids!$C$13*$E94)+(Vehi_Fluids!$D$11*(1+Vehi_Fluids!$D$12)*$F94+Vehi_Fluids!$D$11*(1+Vehi_Fluids!$D$12)*Vehi_Fluids!$D$13*$G94)+(Vehi_Fluids!$E$11*(1+Vehi_Fluids!$E$12)*$H94+Vehi_Fluids!$E$11*(1+Vehi_Fluids!$E$12)*Vehi_Fluids!$E$13*$I94)+(Vehi_Fluids!$F$11*(1+Vehi_Fluids!$F$12)*$J94+Vehi_Fluids!$F$11*(1+Vehi_Fluids!$F$12)*Vehi_Fluids!$F$13*$K94)+(Vehi_Fluids!$G$11*(1+Vehi_Fluids!$G$12)*$L94+Vehi_Fluids!$G$11*(1+Vehi_Fluids!$G$12)*(1-Vehi_Fluids!$G$13)*$M94)+(Vehi_Fluids!$H$11*(1+Vehi_Fluids!$H$12)*$N94+Vehi_Fluids!$H$11*(1+Vehi_Fluids!$H$12)*Vehi_Fluids!$H$13*$O94)</f>
        <v>8.7030176324234159</v>
      </c>
      <c r="N127" s="614"/>
    </row>
    <row r="128" spans="1:14" s="349" customFormat="1">
      <c r="A128" s="347" t="s">
        <v>823</v>
      </c>
      <c r="B128" s="349">
        <f>(Vehi_Fluids!$B$6*(1+Vehi_Fluids!$B$12)*$B95+Vehi_Fluids!$B$6*(1+Vehi_Fluids!$B$12)*Vehi_Fluids!$B$13*$C95)+(Vehi_Fluids!$C$6*(1+Vehi_Fluids!$C$12)*$D95+Vehi_Fluids!$C$6*(1+Vehi_Fluids!$C$12)*Vehi_Fluids!$C$13*$E95)+(Vehi_Fluids!$D$6*(1+Vehi_Fluids!$D$12)*$F95+Vehi_Fluids!$D$6*(1+Vehi_Fluids!$D$12)*Vehi_Fluids!$D$13*$G95)+(Vehi_Fluids!$E$6*(1+Vehi_Fluids!$E$12)*$H95+Vehi_Fluids!$E$6*(1+Vehi_Fluids!$E$12)*Vehi_Fluids!$E$13*$I95)+(Vehi_Fluids!$F$6*(1+Vehi_Fluids!$F$12)*$J95+Vehi_Fluids!$F$6*(1+Vehi_Fluids!$F$12)*Vehi_Fluids!$F$13*$K95)+(Vehi_Fluids!$G$6*(1+Vehi_Fluids!$G$12)*$L95+Vehi_Fluids!$G$6*(1+Vehi_Fluids!$G$12)*(1-Vehi_Fluids!$G$13)*$M95)+(Vehi_Fluids!$H$6*(1+Vehi_Fluids!$H$12)*$N95+Vehi_Fluids!$H$6*(1+Vehi_Fluids!$H$12)*Vehi_Fluids!$H$13*$O95)</f>
        <v>334.96598432036228</v>
      </c>
      <c r="C128" s="349">
        <f>(Vehi_Fluids!$B$7*(1+Vehi_Fluids!$B$12)*$B95+Vehi_Fluids!$B$7*(1+Vehi_Fluids!$B$12)*Vehi_Fluids!$B$13*$C95)+(Vehi_Fluids!$C$7*(1+Vehi_Fluids!$C$12)*$D95+Vehi_Fluids!$C$7*(1+Vehi_Fluids!$C$12)*Vehi_Fluids!$C$13*$E95)+(Vehi_Fluids!$D$7*(1+Vehi_Fluids!$D$12)*$F95+Vehi_Fluids!$D$7*(1+Vehi_Fluids!$D$12)*Vehi_Fluids!$D$13*$G95)+(Vehi_Fluids!$E$7*(1+Vehi_Fluids!$E$12)*$H95+Vehi_Fluids!$E$7*(1+Vehi_Fluids!$E$12)*Vehi_Fluids!$E$13*$I95)+(Vehi_Fluids!$F$7*(1+Vehi_Fluids!$F$12)*$J95+Vehi_Fluids!$F$7*(1+Vehi_Fluids!$F$12)*Vehi_Fluids!$F$13*$K95)+(Vehi_Fluids!$G$7*(1+Vehi_Fluids!$G$12)*$L95+Vehi_Fluids!$G$7*(1+Vehi_Fluids!$G$12)*(1-Vehi_Fluids!$G$13)*$M95)+(Vehi_Fluids!$H$7*(1+Vehi_Fluids!$H$12)*$N95+Vehi_Fluids!$H$7*(1+Vehi_Fluids!$H$12)*Vehi_Fluids!$H$13*$O95)</f>
        <v>334.96598432036228</v>
      </c>
      <c r="D128" s="349">
        <f>(Vehi_Fluids!$B$8*(1+Vehi_Fluids!$B$12)*$B95+Vehi_Fluids!$B$8*(1+Vehi_Fluids!$B$12)*Vehi_Fluids!$B$13*$C95)+(Vehi_Fluids!$C$8*(1+Vehi_Fluids!$C$12)*$D95+Vehi_Fluids!$C$8*(1+Vehi_Fluids!$C$12)*Vehi_Fluids!$C$13*$E95)+(Vehi_Fluids!$D$8*(1+Vehi_Fluids!$D$12)*$F95+Vehi_Fluids!$D$8*(1+Vehi_Fluids!$D$12)*Vehi_Fluids!$D$13*$G95)+(Vehi_Fluids!$E$8*(1+Vehi_Fluids!$E$12)*$H95+Vehi_Fluids!$E$8*(1+Vehi_Fluids!$E$12)*Vehi_Fluids!$E$13*$I95)+(Vehi_Fluids!$F$8*(1+Vehi_Fluids!$F$12)*$J95+Vehi_Fluids!$F$8*(1+Vehi_Fluids!$F$12)*Vehi_Fluids!$F$13*$K95)+(Vehi_Fluids!$G$8*(1+Vehi_Fluids!$G$12)*$L95+Vehi_Fluids!$G$8*(1+Vehi_Fluids!$G$12)*(1-Vehi_Fluids!$G$13)*$M95)+(Vehi_Fluids!$H$8*(1+Vehi_Fluids!$H$12)*$N95+Vehi_Fluids!$H$8*(1+Vehi_Fluids!$H$12)*Vehi_Fluids!$H$13*$O95)</f>
        <v>298.66505977967461</v>
      </c>
      <c r="E128" s="349">
        <f>(Vehi_Fluids!$B$9*(1+Vehi_Fluids!$B$12)*$B95+Vehi_Fluids!$B$9*(1+Vehi_Fluids!$B$12)*Vehi_Fluids!$B$13*$C95)+(Vehi_Fluids!$C$9*(1+Vehi_Fluids!$C$12)*$D95+Vehi_Fluids!$C$9*(1+Vehi_Fluids!$C$12)*Vehi_Fluids!$C$13*$E95)+(Vehi_Fluids!$D$9*(1+Vehi_Fluids!$D$12)*$F95+Vehi_Fluids!$D$9*(1+Vehi_Fluids!$D$12)*Vehi_Fluids!$D$13*$G95)+(Vehi_Fluids!$E$9*(1+Vehi_Fluids!$E$12)*$H95+Vehi_Fluids!$E$9*(1+Vehi_Fluids!$E$12)*Vehi_Fluids!$E$13*$I95)+(Vehi_Fluids!$F$9*(1+Vehi_Fluids!$F$12)*$J95+Vehi_Fluids!$F$9*(1+Vehi_Fluids!$F$12)*Vehi_Fluids!$F$13*$K95)+(Vehi_Fluids!$G$9*(1+Vehi_Fluids!$G$12)*$L95+Vehi_Fluids!$G$9*(1+Vehi_Fluids!$G$12)*(1-Vehi_Fluids!$G$13)*$M95)+(Vehi_Fluids!$H$9*(1+Vehi_Fluids!$H$12)*$N95+Vehi_Fluids!$H$9*(1+Vehi_Fluids!$H$12)*Vehi_Fluids!$H$13*$O95)</f>
        <v>298.66505977967461</v>
      </c>
      <c r="F128" s="349">
        <f>(Vehi_Fluids!$B$10*(1+Vehi_Fluids!$B$12)*$B95+Vehi_Fluids!$B$10*(1+Vehi_Fluids!$B$12)*Vehi_Fluids!$B$13*$C95)+(Vehi_Fluids!$C$10*(1+Vehi_Fluids!$C$12)*$D95+Vehi_Fluids!$C$10*(1+Vehi_Fluids!$C$12)*Vehi_Fluids!$C$13*$E95)+(Vehi_Fluids!$D$10*(1+Vehi_Fluids!$D$12)*$F95+Vehi_Fluids!$D$10*(1+Vehi_Fluids!$D$12)*Vehi_Fluids!$D$13*$G95)+(Vehi_Fluids!$E$10*(1+Vehi_Fluids!$E$12)*$H95+Vehi_Fluids!$E$10*(1+Vehi_Fluids!$E$12)*Vehi_Fluids!$E$13*$I95)+(Vehi_Fluids!$F$10*(1+Vehi_Fluids!$F$12)*$J95+Vehi_Fluids!$F$10*(1+Vehi_Fluids!$F$12)*Vehi_Fluids!$F$13*$K95)+(Vehi_Fluids!$G$10*(1+Vehi_Fluids!$G$12)*$L95+Vehi_Fluids!$G$10*(1+Vehi_Fluids!$G$12)*(1-Vehi_Fluids!$G$13)*$M95)+(Vehi_Fluids!$H$10*(1+Vehi_Fluids!$H$12)*$N95+Vehi_Fluids!$H$10*(1+Vehi_Fluids!$H$12)*Vehi_Fluids!$H$13*$O95)</f>
        <v>18.72174064540371</v>
      </c>
      <c r="G128" s="348">
        <f>(Vehi_Fluids!$B$11*(1+Vehi_Fluids!$B$12)*$B95+Vehi_Fluids!$B$11*(1+Vehi_Fluids!$B$12)*Vehi_Fluids!$B$13*$C95)+(Vehi_Fluids!$C$11*(1+Vehi_Fluids!$C$12)*$D95+Vehi_Fluids!$C$11*(1+Vehi_Fluids!$C$12)*Vehi_Fluids!$C$13*$E95)+(Vehi_Fluids!$D$11*(1+Vehi_Fluids!$D$12)*$F95+Vehi_Fluids!$D$11*(1+Vehi_Fluids!$D$12)*Vehi_Fluids!$D$13*$G95)+(Vehi_Fluids!$E$11*(1+Vehi_Fluids!$E$12)*$H95+Vehi_Fluids!$E$11*(1+Vehi_Fluids!$E$12)*Vehi_Fluids!$E$13*$I95)+(Vehi_Fluids!$F$11*(1+Vehi_Fluids!$F$12)*$J95+Vehi_Fluids!$F$11*(1+Vehi_Fluids!$F$12)*Vehi_Fluids!$F$13*$K95)+(Vehi_Fluids!$G$11*(1+Vehi_Fluids!$G$12)*$L95+Vehi_Fluids!$G$11*(1+Vehi_Fluids!$G$12)*(1-Vehi_Fluids!$G$13)*$M95)+(Vehi_Fluids!$H$11*(1+Vehi_Fluids!$H$12)*$N95+Vehi_Fluids!$H$11*(1+Vehi_Fluids!$H$12)*Vehi_Fluids!$H$13*$O95)</f>
        <v>18.72174064540371</v>
      </c>
      <c r="N128" s="614"/>
    </row>
    <row r="129" spans="1:14" s="349" customFormat="1">
      <c r="A129" s="749" t="s">
        <v>824</v>
      </c>
      <c r="B129" s="349">
        <f>(Vehi_Fluids!$B$6*(1+Vehi_Fluids!$B$12)*$B96+Vehi_Fluids!$B$6*(1+Vehi_Fluids!$B$12)*Vehi_Fluids!$B$13*$C96)+(Vehi_Fluids!$C$6*(1+Vehi_Fluids!$C$12)*$D96+Vehi_Fluids!$C$6*(1+Vehi_Fluids!$C$12)*Vehi_Fluids!$C$13*$E96)+(Vehi_Fluids!$D$6*(1+Vehi_Fluids!$D$12)*$F96+Vehi_Fluids!$D$6*(1+Vehi_Fluids!$D$12)*Vehi_Fluids!$D$13*$G96)+(Vehi_Fluids!$E$6*(1+Vehi_Fluids!$E$12)*$H96+Vehi_Fluids!$E$6*(1+Vehi_Fluids!$E$12)*Vehi_Fluids!$E$13*$I96)+(Vehi_Fluids!$F$6*(1+Vehi_Fluids!$F$12)*$J96+Vehi_Fluids!$F$6*(1+Vehi_Fluids!$F$12)*Vehi_Fluids!$F$13*$K96)+(Vehi_Fluids!$G$6*(1+Vehi_Fluids!$G$12)*$L96+Vehi_Fluids!$G$6*(1+Vehi_Fluids!$G$12)*(1-Vehi_Fluids!$G$13)*$M96)+(Vehi_Fluids!$H$6*(1+Vehi_Fluids!$H$12)*$N96+Vehi_Fluids!$H$6*(1+Vehi_Fluids!$H$12)*Vehi_Fluids!$H$13*$O96)</f>
        <v>59.926784028824521</v>
      </c>
      <c r="C129" s="349">
        <f>(Vehi_Fluids!$B$7*(1+Vehi_Fluids!$B$12)*$B96+Vehi_Fluids!$B$7*(1+Vehi_Fluids!$B$12)*Vehi_Fluids!$B$13*$C96)+(Vehi_Fluids!$C$7*(1+Vehi_Fluids!$C$12)*$D96+Vehi_Fluids!$C$7*(1+Vehi_Fluids!$C$12)*Vehi_Fluids!$C$13*$E96)+(Vehi_Fluids!$D$7*(1+Vehi_Fluids!$D$12)*$F96+Vehi_Fluids!$D$7*(1+Vehi_Fluids!$D$12)*Vehi_Fluids!$D$13*$G96)+(Vehi_Fluids!$E$7*(1+Vehi_Fluids!$E$12)*$H96+Vehi_Fluids!$E$7*(1+Vehi_Fluids!$E$12)*Vehi_Fluids!$E$13*$I96)+(Vehi_Fluids!$F$7*(1+Vehi_Fluids!$F$12)*$J96+Vehi_Fluids!$F$7*(1+Vehi_Fluids!$F$12)*Vehi_Fluids!$F$13*$K96)+(Vehi_Fluids!$G$7*(1+Vehi_Fluids!$G$12)*$L96+Vehi_Fluids!$G$7*(1+Vehi_Fluids!$G$12)*(1-Vehi_Fluids!$G$13)*$M96)+(Vehi_Fluids!$H$7*(1+Vehi_Fluids!$H$12)*$N96+Vehi_Fluids!$H$7*(1+Vehi_Fluids!$H$12)*Vehi_Fluids!$H$13*$O96)</f>
        <v>59.926784028824521</v>
      </c>
      <c r="D129" s="349">
        <f>(Vehi_Fluids!$B$8*(1+Vehi_Fluids!$B$12)*$B96+Vehi_Fluids!$B$8*(1+Vehi_Fluids!$B$12)*Vehi_Fluids!$B$13*$C96)+(Vehi_Fluids!$C$8*(1+Vehi_Fluids!$C$12)*$D96+Vehi_Fluids!$C$8*(1+Vehi_Fluids!$C$12)*Vehi_Fluids!$C$13*$E96)+(Vehi_Fluids!$D$8*(1+Vehi_Fluids!$D$12)*$F96+Vehi_Fluids!$D$8*(1+Vehi_Fluids!$D$12)*Vehi_Fluids!$D$13*$G96)+(Vehi_Fluids!$E$8*(1+Vehi_Fluids!$E$12)*$H96+Vehi_Fluids!$E$8*(1+Vehi_Fluids!$E$12)*Vehi_Fluids!$E$13*$I96)+(Vehi_Fluids!$F$8*(1+Vehi_Fluids!$F$12)*$J96+Vehi_Fluids!$F$8*(1+Vehi_Fluids!$F$12)*Vehi_Fluids!$F$13*$K96)+(Vehi_Fluids!$G$8*(1+Vehi_Fluids!$G$12)*$L96+Vehi_Fluids!$G$8*(1+Vehi_Fluids!$G$12)*(1-Vehi_Fluids!$G$13)*$M96)+(Vehi_Fluids!$H$8*(1+Vehi_Fluids!$H$12)*$N96+Vehi_Fluids!$H$8*(1+Vehi_Fluids!$H$12)*Vehi_Fluids!$H$13*$O96)</f>
        <v>53.340316298991773</v>
      </c>
      <c r="E129" s="349">
        <f>(Vehi_Fluids!$B$9*(1+Vehi_Fluids!$B$12)*$B96+Vehi_Fluids!$B$9*(1+Vehi_Fluids!$B$12)*Vehi_Fluids!$B$13*$C96)+(Vehi_Fluids!$C$9*(1+Vehi_Fluids!$C$12)*$D96+Vehi_Fluids!$C$9*(1+Vehi_Fluids!$C$12)*Vehi_Fluids!$C$13*$E96)+(Vehi_Fluids!$D$9*(1+Vehi_Fluids!$D$12)*$F96+Vehi_Fluids!$D$9*(1+Vehi_Fluids!$D$12)*Vehi_Fluids!$D$13*$G96)+(Vehi_Fluids!$E$9*(1+Vehi_Fluids!$E$12)*$H96+Vehi_Fluids!$E$9*(1+Vehi_Fluids!$E$12)*Vehi_Fluids!$E$13*$I96)+(Vehi_Fluids!$F$9*(1+Vehi_Fluids!$F$12)*$J96+Vehi_Fluids!$F$9*(1+Vehi_Fluids!$F$12)*Vehi_Fluids!$F$13*$K96)+(Vehi_Fluids!$G$9*(1+Vehi_Fluids!$G$12)*$L96+Vehi_Fluids!$G$9*(1+Vehi_Fluids!$G$12)*(1-Vehi_Fluids!$G$13)*$M96)+(Vehi_Fluids!$H$9*(1+Vehi_Fluids!$H$12)*$N96+Vehi_Fluids!$H$9*(1+Vehi_Fluids!$H$12)*Vehi_Fluids!$H$13*$O96)</f>
        <v>53.340316298991773</v>
      </c>
      <c r="F129" s="349">
        <f>(Vehi_Fluids!$B$10*(1+Vehi_Fluids!$B$12)*$B96+Vehi_Fluids!$B$10*(1+Vehi_Fluids!$B$12)*Vehi_Fluids!$B$13*$C96)+(Vehi_Fluids!$C$10*(1+Vehi_Fluids!$C$12)*$D96+Vehi_Fluids!$C$10*(1+Vehi_Fluids!$C$12)*Vehi_Fluids!$C$13*$E96)+(Vehi_Fluids!$D$10*(1+Vehi_Fluids!$D$12)*$F96+Vehi_Fluids!$D$10*(1+Vehi_Fluids!$D$12)*Vehi_Fluids!$D$13*$G96)+(Vehi_Fluids!$E$10*(1+Vehi_Fluids!$E$12)*$H96+Vehi_Fluids!$E$10*(1+Vehi_Fluids!$E$12)*Vehi_Fluids!$E$13*$I96)+(Vehi_Fluids!$F$10*(1+Vehi_Fluids!$F$12)*$J96+Vehi_Fluids!$F$10*(1+Vehi_Fluids!$F$12)*Vehi_Fluids!$F$13*$K96)+(Vehi_Fluids!$G$10*(1+Vehi_Fluids!$G$12)*$L96+Vehi_Fluids!$G$10*(1+Vehi_Fluids!$G$12)*(1-Vehi_Fluids!$G$13)*$M96)+(Vehi_Fluids!$H$10*(1+Vehi_Fluids!$H$12)*$N96+Vehi_Fluids!$H$10*(1+Vehi_Fluids!$H$12)*Vehi_Fluids!$H$13*$O96)</f>
        <v>2.68193185031223</v>
      </c>
      <c r="G129" s="348">
        <f>(Vehi_Fluids!$B$11*(1+Vehi_Fluids!$B$12)*$B96+Vehi_Fluids!$B$11*(1+Vehi_Fluids!$B$12)*Vehi_Fluids!$B$13*$C96)+(Vehi_Fluids!$C$11*(1+Vehi_Fluids!$C$12)*$D96+Vehi_Fluids!$C$11*(1+Vehi_Fluids!$C$12)*Vehi_Fluids!$C$13*$E96)+(Vehi_Fluids!$D$11*(1+Vehi_Fluids!$D$12)*$F96+Vehi_Fluids!$D$11*(1+Vehi_Fluids!$D$12)*Vehi_Fluids!$D$13*$G96)+(Vehi_Fluids!$E$11*(1+Vehi_Fluids!$E$12)*$H96+Vehi_Fluids!$E$11*(1+Vehi_Fluids!$E$12)*Vehi_Fluids!$E$13*$I96)+(Vehi_Fluids!$F$11*(1+Vehi_Fluids!$F$12)*$J96+Vehi_Fluids!$F$11*(1+Vehi_Fluids!$F$12)*Vehi_Fluids!$F$13*$K96)+(Vehi_Fluids!$G$11*(1+Vehi_Fluids!$G$12)*$L96+Vehi_Fluids!$G$11*(1+Vehi_Fluids!$G$12)*(1-Vehi_Fluids!$G$13)*$M96)+(Vehi_Fluids!$H$11*(1+Vehi_Fluids!$H$12)*$N96+Vehi_Fluids!$H$11*(1+Vehi_Fluids!$H$12)*Vehi_Fluids!$H$13*$O96)</f>
        <v>2.68193185031223</v>
      </c>
      <c r="N129" s="614"/>
    </row>
    <row r="130" spans="1:14" s="349" customFormat="1">
      <c r="A130" s="347" t="s">
        <v>825</v>
      </c>
      <c r="B130" s="349">
        <f>(Vehi_Fluids!$B$6*(1+Vehi_Fluids!$B$12)*$B97+Vehi_Fluids!$B$6*(1+Vehi_Fluids!$B$12)*Vehi_Fluids!$B$13*$C97)+(Vehi_Fluids!$C$6*(1+Vehi_Fluids!$C$12)*$D97+Vehi_Fluids!$C$6*(1+Vehi_Fluids!$C$12)*Vehi_Fluids!$C$13*$E97)+(Vehi_Fluids!$D$6*(1+Vehi_Fluids!$D$12)*$F97+Vehi_Fluids!$D$6*(1+Vehi_Fluids!$D$12)*Vehi_Fluids!$D$13*$G97)+(Vehi_Fluids!$E$6*(1+Vehi_Fluids!$E$12)*$H97+Vehi_Fluids!$E$6*(1+Vehi_Fluids!$E$12)*Vehi_Fluids!$E$13*$I97)+(Vehi_Fluids!$F$6*(1+Vehi_Fluids!$F$12)*$J97+Vehi_Fluids!$F$6*(1+Vehi_Fluids!$F$12)*Vehi_Fluids!$F$13*$K97)+(Vehi_Fluids!$G$6*(1+Vehi_Fluids!$G$12)*$L97+Vehi_Fluids!$G$6*(1+Vehi_Fluids!$G$12)*(1-Vehi_Fluids!$G$13)*$M97)+(Vehi_Fluids!$H$6*(1+Vehi_Fluids!$H$12)*$N97+Vehi_Fluids!$H$6*(1+Vehi_Fluids!$H$12)*Vehi_Fluids!$H$13*$O97)</f>
        <v>34.000814113336418</v>
      </c>
      <c r="C130" s="349">
        <f>(Vehi_Fluids!$B$7*(1+Vehi_Fluids!$B$12)*$B97+Vehi_Fluids!$B$7*(1+Vehi_Fluids!$B$12)*Vehi_Fluids!$B$13*$C97)+(Vehi_Fluids!$C$7*(1+Vehi_Fluids!$C$12)*$D97+Vehi_Fluids!$C$7*(1+Vehi_Fluids!$C$12)*Vehi_Fluids!$C$13*$E97)+(Vehi_Fluids!$D$7*(1+Vehi_Fluids!$D$12)*$F97+Vehi_Fluids!$D$7*(1+Vehi_Fluids!$D$12)*Vehi_Fluids!$D$13*$G97)+(Vehi_Fluids!$E$7*(1+Vehi_Fluids!$E$12)*$H97+Vehi_Fluids!$E$7*(1+Vehi_Fluids!$E$12)*Vehi_Fluids!$E$13*$I97)+(Vehi_Fluids!$F$7*(1+Vehi_Fluids!$F$12)*$J97+Vehi_Fluids!$F$7*(1+Vehi_Fluids!$F$12)*Vehi_Fluids!$F$13*$K97)+(Vehi_Fluids!$G$7*(1+Vehi_Fluids!$G$12)*$L97+Vehi_Fluids!$G$7*(1+Vehi_Fluids!$G$12)*(1-Vehi_Fluids!$G$13)*$M97)+(Vehi_Fluids!$H$7*(1+Vehi_Fluids!$H$12)*$N97+Vehi_Fluids!$H$7*(1+Vehi_Fluids!$H$12)*Vehi_Fluids!$H$13*$O97)</f>
        <v>34.000814113336418</v>
      </c>
      <c r="D130" s="349">
        <f>(Vehi_Fluids!$B$8*(1+Vehi_Fluids!$B$12)*$B97+Vehi_Fluids!$B$8*(1+Vehi_Fluids!$B$12)*Vehi_Fluids!$B$13*$C97)+(Vehi_Fluids!$C$8*(1+Vehi_Fluids!$C$12)*$D97+Vehi_Fluids!$C$8*(1+Vehi_Fluids!$C$12)*Vehi_Fluids!$C$13*$E97)+(Vehi_Fluids!$D$8*(1+Vehi_Fluids!$D$12)*$F97+Vehi_Fluids!$D$8*(1+Vehi_Fluids!$D$12)*Vehi_Fluids!$D$13*$G97)+(Vehi_Fluids!$E$8*(1+Vehi_Fluids!$E$12)*$H97+Vehi_Fluids!$E$8*(1+Vehi_Fluids!$E$12)*Vehi_Fluids!$E$13*$I97)+(Vehi_Fluids!$F$8*(1+Vehi_Fluids!$F$12)*$J97+Vehi_Fluids!$F$8*(1+Vehi_Fluids!$F$12)*Vehi_Fluids!$F$13*$K97)+(Vehi_Fluids!$G$8*(1+Vehi_Fluids!$G$12)*$L97+Vehi_Fluids!$G$8*(1+Vehi_Fluids!$G$12)*(1-Vehi_Fluids!$G$13)*$M97)+(Vehi_Fluids!$H$8*(1+Vehi_Fluids!$H$12)*$N97+Vehi_Fluids!$H$8*(1+Vehi_Fluids!$H$12)*Vehi_Fluids!$H$13*$O97)</f>
        <v>30.304069794073357</v>
      </c>
      <c r="E130" s="349">
        <f>(Vehi_Fluids!$B$9*(1+Vehi_Fluids!$B$12)*$B97+Vehi_Fluids!$B$9*(1+Vehi_Fluids!$B$12)*Vehi_Fluids!$B$13*$C97)+(Vehi_Fluids!$C$9*(1+Vehi_Fluids!$C$12)*$D97+Vehi_Fluids!$C$9*(1+Vehi_Fluids!$C$12)*Vehi_Fluids!$C$13*$E97)+(Vehi_Fluids!$D$9*(1+Vehi_Fluids!$D$12)*$F97+Vehi_Fluids!$D$9*(1+Vehi_Fluids!$D$12)*Vehi_Fluids!$D$13*$G97)+(Vehi_Fluids!$E$9*(1+Vehi_Fluids!$E$12)*$H97+Vehi_Fluids!$E$9*(1+Vehi_Fluids!$E$12)*Vehi_Fluids!$E$13*$I97)+(Vehi_Fluids!$F$9*(1+Vehi_Fluids!$F$12)*$J97+Vehi_Fluids!$F$9*(1+Vehi_Fluids!$F$12)*Vehi_Fluids!$F$13*$K97)+(Vehi_Fluids!$G$9*(1+Vehi_Fluids!$G$12)*$L97+Vehi_Fluids!$G$9*(1+Vehi_Fluids!$G$12)*(1-Vehi_Fluids!$G$13)*$M97)+(Vehi_Fluids!$H$9*(1+Vehi_Fluids!$H$12)*$N97+Vehi_Fluids!$H$9*(1+Vehi_Fluids!$H$12)*Vehi_Fluids!$H$13*$O97)</f>
        <v>30.304069794073357</v>
      </c>
      <c r="F130" s="349">
        <f>(Vehi_Fluids!$B$10*(1+Vehi_Fluids!$B$12)*$B97+Vehi_Fluids!$B$10*(1+Vehi_Fluids!$B$12)*Vehi_Fluids!$B$13*$C97)+(Vehi_Fluids!$C$10*(1+Vehi_Fluids!$C$12)*$D97+Vehi_Fluids!$C$10*(1+Vehi_Fluids!$C$12)*Vehi_Fluids!$C$13*$E97)+(Vehi_Fluids!$D$10*(1+Vehi_Fluids!$D$12)*$F97+Vehi_Fluids!$D$10*(1+Vehi_Fluids!$D$12)*Vehi_Fluids!$D$13*$G97)+(Vehi_Fluids!$E$10*(1+Vehi_Fluids!$E$12)*$H97+Vehi_Fluids!$E$10*(1+Vehi_Fluids!$E$12)*Vehi_Fluids!$E$13*$I97)+(Vehi_Fluids!$F$10*(1+Vehi_Fluids!$F$12)*$J97+Vehi_Fluids!$F$10*(1+Vehi_Fluids!$F$12)*Vehi_Fluids!$F$13*$K97)+(Vehi_Fluids!$G$10*(1+Vehi_Fluids!$G$12)*$L97+Vehi_Fluids!$G$10*(1+Vehi_Fluids!$G$12)*(1-Vehi_Fluids!$G$13)*$M97)+(Vehi_Fluids!$H$10*(1+Vehi_Fluids!$H$12)*$N97+Vehi_Fluids!$H$10*(1+Vehi_Fluids!$H$12)*Vehi_Fluids!$H$13*$O97)</f>
        <v>1.8027600615403809</v>
      </c>
      <c r="G130" s="348">
        <f>(Vehi_Fluids!$B$11*(1+Vehi_Fluids!$B$12)*$B97+Vehi_Fluids!$B$11*(1+Vehi_Fluids!$B$12)*Vehi_Fluids!$B$13*$C97)+(Vehi_Fluids!$C$11*(1+Vehi_Fluids!$C$12)*$D97+Vehi_Fluids!$C$11*(1+Vehi_Fluids!$C$12)*Vehi_Fluids!$C$13*$E97)+(Vehi_Fluids!$D$11*(1+Vehi_Fluids!$D$12)*$F97+Vehi_Fluids!$D$11*(1+Vehi_Fluids!$D$12)*Vehi_Fluids!$D$13*$G97)+(Vehi_Fluids!$E$11*(1+Vehi_Fluids!$E$12)*$H97+Vehi_Fluids!$E$11*(1+Vehi_Fluids!$E$12)*Vehi_Fluids!$E$13*$I97)+(Vehi_Fluids!$F$11*(1+Vehi_Fluids!$F$12)*$J97+Vehi_Fluids!$F$11*(1+Vehi_Fluids!$F$12)*Vehi_Fluids!$F$13*$K97)+(Vehi_Fluids!$G$11*(1+Vehi_Fluids!$G$12)*$L97+Vehi_Fluids!$G$11*(1+Vehi_Fluids!$G$12)*(1-Vehi_Fluids!$G$13)*$M97)+(Vehi_Fluids!$H$11*(1+Vehi_Fluids!$H$12)*$N97+Vehi_Fluids!$H$11*(1+Vehi_Fluids!$H$12)*Vehi_Fluids!$H$13*$O97)</f>
        <v>1.8027600615403809</v>
      </c>
      <c r="N130" s="614"/>
    </row>
    <row r="131" spans="1:14" s="496" customFormat="1">
      <c r="A131" s="749" t="s">
        <v>826</v>
      </c>
      <c r="B131" s="349">
        <f>(Vehi_Fluids!$B$6*(1+Vehi_Fluids!$B$12)*$B98+Vehi_Fluids!$B$6*(1+Vehi_Fluids!$B$12)*Vehi_Fluids!$B$13*$C98)+(Vehi_Fluids!$C$6*(1+Vehi_Fluids!$C$12)*$D98+Vehi_Fluids!$C$6*(1+Vehi_Fluids!$C$12)*Vehi_Fluids!$C$13*$E98)+(Vehi_Fluids!$D$6*(1+Vehi_Fluids!$D$12)*$F98+Vehi_Fluids!$D$6*(1+Vehi_Fluids!$D$12)*Vehi_Fluids!$D$13*$G98)+(Vehi_Fluids!$E$6*(1+Vehi_Fluids!$E$12)*$H98+Vehi_Fluids!$E$6*(1+Vehi_Fluids!$E$12)*Vehi_Fluids!$E$13*$I98)+(Vehi_Fluids!$F$6*(1+Vehi_Fluids!$F$12)*$J98+Vehi_Fluids!$F$6*(1+Vehi_Fluids!$F$12)*Vehi_Fluids!$F$13*$K98)+(Vehi_Fluids!$G$6*(1+Vehi_Fluids!$G$12)*$L98+Vehi_Fluids!$G$6*(1+Vehi_Fluids!$G$12)*(1-Vehi_Fluids!$G$13)*$M98)+(Vehi_Fluids!$H$6*(1+Vehi_Fluids!$H$12)*$N98+Vehi_Fluids!$H$6*(1+Vehi_Fluids!$H$12)*Vehi_Fluids!$H$13*$O98)</f>
        <v>674.0516207983195</v>
      </c>
      <c r="C131" s="349">
        <f>(Vehi_Fluids!$B$7*(1+Vehi_Fluids!$B$12)*$B98+Vehi_Fluids!$B$7*(1+Vehi_Fluids!$B$12)*Vehi_Fluids!$B$13*$C98)+(Vehi_Fluids!$C$7*(1+Vehi_Fluids!$C$12)*$D98+Vehi_Fluids!$C$7*(1+Vehi_Fluids!$C$12)*Vehi_Fluids!$C$13*$E98)+(Vehi_Fluids!$D$7*(1+Vehi_Fluids!$D$12)*$F98+Vehi_Fluids!$D$7*(1+Vehi_Fluids!$D$12)*Vehi_Fluids!$D$13*$G98)+(Vehi_Fluids!$E$7*(1+Vehi_Fluids!$E$12)*$H98+Vehi_Fluids!$E$7*(1+Vehi_Fluids!$E$12)*Vehi_Fluids!$E$13*$I98)+(Vehi_Fluids!$F$7*(1+Vehi_Fluids!$F$12)*$J98+Vehi_Fluids!$F$7*(1+Vehi_Fluids!$F$12)*Vehi_Fluids!$F$13*$K98)+(Vehi_Fluids!$G$7*(1+Vehi_Fluids!$G$12)*$L98+Vehi_Fluids!$G$7*(1+Vehi_Fluids!$G$12)*(1-Vehi_Fluids!$G$13)*$M98)+(Vehi_Fluids!$H$7*(1+Vehi_Fluids!$H$12)*$N98+Vehi_Fluids!$H$7*(1+Vehi_Fluids!$H$12)*Vehi_Fluids!$H$13*$O98)</f>
        <v>674.0516207983195</v>
      </c>
      <c r="D131" s="349">
        <f>(Vehi_Fluids!$B$8*(1+Vehi_Fluids!$B$12)*$B98+Vehi_Fluids!$B$8*(1+Vehi_Fluids!$B$12)*Vehi_Fluids!$B$13*$C98)+(Vehi_Fluids!$C$8*(1+Vehi_Fluids!$C$12)*$D98+Vehi_Fluids!$C$8*(1+Vehi_Fluids!$C$12)*Vehi_Fluids!$C$13*$E98)+(Vehi_Fluids!$D$8*(1+Vehi_Fluids!$D$12)*$F98+Vehi_Fluids!$D$8*(1+Vehi_Fluids!$D$12)*Vehi_Fluids!$D$13*$G98)+(Vehi_Fluids!$E$8*(1+Vehi_Fluids!$E$12)*$H98+Vehi_Fluids!$E$8*(1+Vehi_Fluids!$E$12)*Vehi_Fluids!$E$13*$I98)+(Vehi_Fluids!$F$8*(1+Vehi_Fluids!$F$12)*$J98+Vehi_Fluids!$F$8*(1+Vehi_Fluids!$F$12)*Vehi_Fluids!$F$13*$K98)+(Vehi_Fluids!$G$8*(1+Vehi_Fluids!$G$12)*$L98+Vehi_Fluids!$G$8*(1+Vehi_Fluids!$G$12)*(1-Vehi_Fluids!$G$13)*$M98)+(Vehi_Fluids!$H$8*(1+Vehi_Fluids!$H$12)*$N98+Vehi_Fluids!$H$8*(1+Vehi_Fluids!$H$12)*Vehi_Fluids!$H$13*$O98)</f>
        <v>599.28580391292655</v>
      </c>
      <c r="E131" s="349">
        <f>(Vehi_Fluids!$B$9*(1+Vehi_Fluids!$B$12)*$B98+Vehi_Fluids!$B$9*(1+Vehi_Fluids!$B$12)*Vehi_Fluids!$B$13*$C98)+(Vehi_Fluids!$C$9*(1+Vehi_Fluids!$C$12)*$D98+Vehi_Fluids!$C$9*(1+Vehi_Fluids!$C$12)*Vehi_Fluids!$C$13*$E98)+(Vehi_Fluids!$D$9*(1+Vehi_Fluids!$D$12)*$F98+Vehi_Fluids!$D$9*(1+Vehi_Fluids!$D$12)*Vehi_Fluids!$D$13*$G98)+(Vehi_Fluids!$E$9*(1+Vehi_Fluids!$E$12)*$H98+Vehi_Fluids!$E$9*(1+Vehi_Fluids!$E$12)*Vehi_Fluids!$E$13*$I98)+(Vehi_Fluids!$F$9*(1+Vehi_Fluids!$F$12)*$J98+Vehi_Fluids!$F$9*(1+Vehi_Fluids!$F$12)*Vehi_Fluids!$F$13*$K98)+(Vehi_Fluids!$G$9*(1+Vehi_Fluids!$G$12)*$L98+Vehi_Fluids!$G$9*(1+Vehi_Fluids!$G$12)*(1-Vehi_Fluids!$G$13)*$M98)+(Vehi_Fluids!$H$9*(1+Vehi_Fluids!$H$12)*$N98+Vehi_Fluids!$H$9*(1+Vehi_Fluids!$H$12)*Vehi_Fluids!$H$13*$O98)</f>
        <v>599.28580391292655</v>
      </c>
      <c r="F131" s="349">
        <f>(Vehi_Fluids!$B$10*(1+Vehi_Fluids!$B$12)*$B98+Vehi_Fluids!$B$10*(1+Vehi_Fluids!$B$12)*Vehi_Fluids!$B$13*$C98)+(Vehi_Fluids!$C$10*(1+Vehi_Fluids!$C$12)*$D98+Vehi_Fluids!$C$10*(1+Vehi_Fluids!$C$12)*Vehi_Fluids!$C$13*$E98)+(Vehi_Fluids!$D$10*(1+Vehi_Fluids!$D$12)*$F98+Vehi_Fluids!$D$10*(1+Vehi_Fluids!$D$12)*Vehi_Fluids!$D$13*$G98)+(Vehi_Fluids!$E$10*(1+Vehi_Fluids!$E$12)*$H98+Vehi_Fluids!$E$10*(1+Vehi_Fluids!$E$12)*Vehi_Fluids!$E$13*$I98)+(Vehi_Fluids!$F$10*(1+Vehi_Fluids!$F$12)*$J98+Vehi_Fluids!$F$10*(1+Vehi_Fluids!$F$12)*Vehi_Fluids!$F$13*$K98)+(Vehi_Fluids!$G$10*(1+Vehi_Fluids!$G$12)*$L98+Vehi_Fluids!$G$10*(1+Vehi_Fluids!$G$12)*(1-Vehi_Fluids!$G$13)*$M98)+(Vehi_Fluids!$H$10*(1+Vehi_Fluids!$H$12)*$N98+Vehi_Fluids!$H$10*(1+Vehi_Fluids!$H$12)*Vehi_Fluids!$H$13*$O98)</f>
        <v>26.127716033425571</v>
      </c>
      <c r="G131" s="348">
        <f>(Vehi_Fluids!$B$11*(1+Vehi_Fluids!$B$12)*$B98+Vehi_Fluids!$B$11*(1+Vehi_Fluids!$B$12)*Vehi_Fluids!$B$13*$C98)+(Vehi_Fluids!$C$11*(1+Vehi_Fluids!$C$12)*$D98+Vehi_Fluids!$C$11*(1+Vehi_Fluids!$C$12)*Vehi_Fluids!$C$13*$E98)+(Vehi_Fluids!$D$11*(1+Vehi_Fluids!$D$12)*$F98+Vehi_Fluids!$D$11*(1+Vehi_Fluids!$D$12)*Vehi_Fluids!$D$13*$G98)+(Vehi_Fluids!$E$11*(1+Vehi_Fluids!$E$12)*$H98+Vehi_Fluids!$E$11*(1+Vehi_Fluids!$E$12)*Vehi_Fluids!$E$13*$I98)+(Vehi_Fluids!$F$11*(1+Vehi_Fluids!$F$12)*$J98+Vehi_Fluids!$F$11*(1+Vehi_Fluids!$F$12)*Vehi_Fluids!$F$13*$K98)+(Vehi_Fluids!$G$11*(1+Vehi_Fluids!$G$12)*$L98+Vehi_Fluids!$G$11*(1+Vehi_Fluids!$G$12)*(1-Vehi_Fluids!$G$13)*$M98)+(Vehi_Fluids!$H$11*(1+Vehi_Fluids!$H$12)*$N98+Vehi_Fluids!$H$11*(1+Vehi_Fluids!$H$12)*Vehi_Fluids!$H$13*$O98)</f>
        <v>26.127716033425571</v>
      </c>
      <c r="N131" s="613"/>
    </row>
    <row r="132" spans="1:14" s="496" customFormat="1">
      <c r="A132" s="347" t="s">
        <v>827</v>
      </c>
      <c r="B132" s="349">
        <f>(Vehi_Fluids!$B$6*(1+Vehi_Fluids!$B$12)*$B99+Vehi_Fluids!$B$6*(1+Vehi_Fluids!$B$12)*Vehi_Fluids!$B$13*$C99)+(Vehi_Fluids!$C$6*(1+Vehi_Fluids!$C$12)*$D99+Vehi_Fluids!$C$6*(1+Vehi_Fluids!$C$12)*Vehi_Fluids!$C$13*$E99)+(Vehi_Fluids!$D$6*(1+Vehi_Fluids!$D$12)*$F99+Vehi_Fluids!$D$6*(1+Vehi_Fluids!$D$12)*Vehi_Fluids!$D$13*$G99)+(Vehi_Fluids!$E$6*(1+Vehi_Fluids!$E$12)*$H99+Vehi_Fluids!$E$6*(1+Vehi_Fluids!$E$12)*Vehi_Fluids!$E$13*$I99)+(Vehi_Fluids!$F$6*(1+Vehi_Fluids!$F$12)*$J99+Vehi_Fluids!$F$6*(1+Vehi_Fluids!$F$12)*Vehi_Fluids!$F$13*$K99)+(Vehi_Fluids!$G$6*(1+Vehi_Fluids!$G$12)*$L99+Vehi_Fluids!$G$6*(1+Vehi_Fluids!$G$12)*(1-Vehi_Fluids!$G$13)*$M99)+(Vehi_Fluids!$H$6*(1+Vehi_Fluids!$H$12)*$N99+Vehi_Fluids!$H$6*(1+Vehi_Fluids!$H$12)*Vehi_Fluids!$H$13*$O99)</f>
        <v>2.4653929222207505</v>
      </c>
      <c r="C132" s="349">
        <f>(Vehi_Fluids!$B$7*(1+Vehi_Fluids!$B$12)*$B99+Vehi_Fluids!$B$7*(1+Vehi_Fluids!$B$12)*Vehi_Fluids!$B$13*$C99)+(Vehi_Fluids!$C$7*(1+Vehi_Fluids!$C$12)*$D99+Vehi_Fluids!$C$7*(1+Vehi_Fluids!$C$12)*Vehi_Fluids!$C$13*$E99)+(Vehi_Fluids!$D$7*(1+Vehi_Fluids!$D$12)*$F99+Vehi_Fluids!$D$7*(1+Vehi_Fluids!$D$12)*Vehi_Fluids!$D$13*$G99)+(Vehi_Fluids!$E$7*(1+Vehi_Fluids!$E$12)*$H99+Vehi_Fluids!$E$7*(1+Vehi_Fluids!$E$12)*Vehi_Fluids!$E$13*$I99)+(Vehi_Fluids!$F$7*(1+Vehi_Fluids!$F$12)*$J99+Vehi_Fluids!$F$7*(1+Vehi_Fluids!$F$12)*Vehi_Fluids!$F$13*$K99)+(Vehi_Fluids!$G$7*(1+Vehi_Fluids!$G$12)*$L99+Vehi_Fluids!$G$7*(1+Vehi_Fluids!$G$12)*(1-Vehi_Fluids!$G$13)*$M99)+(Vehi_Fluids!$H$7*(1+Vehi_Fluids!$H$12)*$N99+Vehi_Fluids!$H$7*(1+Vehi_Fluids!$H$12)*Vehi_Fluids!$H$13*$O99)</f>
        <v>2.4653929222207505</v>
      </c>
      <c r="D132" s="349">
        <f>(Vehi_Fluids!$B$8*(1+Vehi_Fluids!$B$12)*$B99+Vehi_Fluids!$B$8*(1+Vehi_Fluids!$B$12)*Vehi_Fluids!$B$13*$C99)+(Vehi_Fluids!$C$8*(1+Vehi_Fluids!$C$12)*$D99+Vehi_Fluids!$C$8*(1+Vehi_Fluids!$C$12)*Vehi_Fluids!$C$13*$E99)+(Vehi_Fluids!$D$8*(1+Vehi_Fluids!$D$12)*$F99+Vehi_Fluids!$D$8*(1+Vehi_Fluids!$D$12)*Vehi_Fluids!$D$13*$G99)+(Vehi_Fluids!$E$8*(1+Vehi_Fluids!$E$12)*$H99+Vehi_Fluids!$E$8*(1+Vehi_Fluids!$E$12)*Vehi_Fluids!$E$13*$I99)+(Vehi_Fluids!$F$8*(1+Vehi_Fluids!$F$12)*$J99+Vehi_Fluids!$F$8*(1+Vehi_Fluids!$F$12)*Vehi_Fluids!$F$13*$K99)+(Vehi_Fluids!$G$8*(1+Vehi_Fluids!$G$12)*$L99+Vehi_Fluids!$G$8*(1+Vehi_Fluids!$G$12)*(1-Vehi_Fluids!$G$13)*$M99)+(Vehi_Fluids!$H$8*(1+Vehi_Fluids!$H$12)*$N99+Vehi_Fluids!$H$8*(1+Vehi_Fluids!$H$12)*Vehi_Fluids!$H$13*$O99)</f>
        <v>2.1973546050334241</v>
      </c>
      <c r="E132" s="349">
        <f>(Vehi_Fluids!$B$9*(1+Vehi_Fluids!$B$12)*$B99+Vehi_Fluids!$B$9*(1+Vehi_Fluids!$B$12)*Vehi_Fluids!$B$13*$C99)+(Vehi_Fluids!$C$9*(1+Vehi_Fluids!$C$12)*$D99+Vehi_Fluids!$C$9*(1+Vehi_Fluids!$C$12)*Vehi_Fluids!$C$13*$E99)+(Vehi_Fluids!$D$9*(1+Vehi_Fluids!$D$12)*$F99+Vehi_Fluids!$D$9*(1+Vehi_Fluids!$D$12)*Vehi_Fluids!$D$13*$G99)+(Vehi_Fluids!$E$9*(1+Vehi_Fluids!$E$12)*$H99+Vehi_Fluids!$E$9*(1+Vehi_Fluids!$E$12)*Vehi_Fluids!$E$13*$I99)+(Vehi_Fluids!$F$9*(1+Vehi_Fluids!$F$12)*$J99+Vehi_Fluids!$F$9*(1+Vehi_Fluids!$F$12)*Vehi_Fluids!$F$13*$K99)+(Vehi_Fluids!$G$9*(1+Vehi_Fluids!$G$12)*$L99+Vehi_Fluids!$G$9*(1+Vehi_Fluids!$G$12)*(1-Vehi_Fluids!$G$13)*$M99)+(Vehi_Fluids!$H$9*(1+Vehi_Fluids!$H$12)*$N99+Vehi_Fluids!$H$9*(1+Vehi_Fluids!$H$12)*Vehi_Fluids!$H$13*$O99)</f>
        <v>2.1973546050334241</v>
      </c>
      <c r="F132" s="349">
        <f>(Vehi_Fluids!$B$10*(1+Vehi_Fluids!$B$12)*$B99+Vehi_Fluids!$B$10*(1+Vehi_Fluids!$B$12)*Vehi_Fluids!$B$13*$C99)+(Vehi_Fluids!$C$10*(1+Vehi_Fluids!$C$12)*$D99+Vehi_Fluids!$C$10*(1+Vehi_Fluids!$C$12)*Vehi_Fluids!$C$13*$E99)+(Vehi_Fluids!$D$10*(1+Vehi_Fluids!$D$12)*$F99+Vehi_Fluids!$D$10*(1+Vehi_Fluids!$D$12)*Vehi_Fluids!$D$13*$G99)+(Vehi_Fluids!$E$10*(1+Vehi_Fluids!$E$12)*$H99+Vehi_Fluids!$E$10*(1+Vehi_Fluids!$E$12)*Vehi_Fluids!$E$13*$I99)+(Vehi_Fluids!$F$10*(1+Vehi_Fluids!$F$12)*$J99+Vehi_Fluids!$F$10*(1+Vehi_Fluids!$F$12)*Vehi_Fluids!$F$13*$K99)+(Vehi_Fluids!$G$10*(1+Vehi_Fluids!$G$12)*$L99+Vehi_Fluids!$G$10*(1+Vehi_Fluids!$G$12)*(1-Vehi_Fluids!$G$13)*$M99)+(Vehi_Fluids!$H$10*(1+Vehi_Fluids!$H$12)*$N99+Vehi_Fluids!$H$10*(1+Vehi_Fluids!$H$12)*Vehi_Fluids!$H$13*$O99)</f>
        <v>0.12826624110914431</v>
      </c>
      <c r="G132" s="348">
        <f>(Vehi_Fluids!$B$11*(1+Vehi_Fluids!$B$12)*$B99+Vehi_Fluids!$B$11*(1+Vehi_Fluids!$B$12)*Vehi_Fluids!$B$13*$C99)+(Vehi_Fluids!$C$11*(1+Vehi_Fluids!$C$12)*$D99+Vehi_Fluids!$C$11*(1+Vehi_Fluids!$C$12)*Vehi_Fluids!$C$13*$E99)+(Vehi_Fluids!$D$11*(1+Vehi_Fluids!$D$12)*$F99+Vehi_Fluids!$D$11*(1+Vehi_Fluids!$D$12)*Vehi_Fluids!$D$13*$G99)+(Vehi_Fluids!$E$11*(1+Vehi_Fluids!$E$12)*$H99+Vehi_Fluids!$E$11*(1+Vehi_Fluids!$E$12)*Vehi_Fluids!$E$13*$I99)+(Vehi_Fluids!$F$11*(1+Vehi_Fluids!$F$12)*$J99+Vehi_Fluids!$F$11*(1+Vehi_Fluids!$F$12)*Vehi_Fluids!$F$13*$K99)+(Vehi_Fluids!$G$11*(1+Vehi_Fluids!$G$12)*$L99+Vehi_Fluids!$G$11*(1+Vehi_Fluids!$G$12)*(1-Vehi_Fluids!$G$13)*$M99)+(Vehi_Fluids!$H$11*(1+Vehi_Fluids!$H$12)*$N99+Vehi_Fluids!$H$11*(1+Vehi_Fluids!$H$12)*Vehi_Fluids!$H$13*$O99)</f>
        <v>0.12826624110914431</v>
      </c>
      <c r="N132" s="613"/>
    </row>
    <row r="133" spans="1:14" s="496" customFormat="1">
      <c r="A133" s="501" t="s">
        <v>828</v>
      </c>
      <c r="B133" s="499">
        <f>(Vehi_Fluids!$B$6*(1+Vehi_Fluids!$B$12)*$B100+Vehi_Fluids!$B$6*(1+Vehi_Fluids!$B$12)*Vehi_Fluids!$B$13*$C100)+(Vehi_Fluids!$C$6*(1+Vehi_Fluids!$C$12)*$D100+Vehi_Fluids!$C$6*(1+Vehi_Fluids!$C$12)*Vehi_Fluids!$C$13*$E100)+(Vehi_Fluids!$D$6*(1+Vehi_Fluids!$D$12)*$F100+Vehi_Fluids!$D$6*(1+Vehi_Fluids!$D$12)*Vehi_Fluids!$D$13*$G100)+(Vehi_Fluids!$E$6*(1+Vehi_Fluids!$E$12)*$H100+Vehi_Fluids!$E$6*(1+Vehi_Fluids!$E$12)*Vehi_Fluids!$E$13*$I100)+(Vehi_Fluids!$F$6*(1+Vehi_Fluids!$F$12)*$J100+Vehi_Fluids!$F$6*(1+Vehi_Fluids!$F$12)*Vehi_Fluids!$F$13*$K100)+(Vehi_Fluids!$G$6*(1+Vehi_Fluids!$G$12)*$L100+Vehi_Fluids!$G$6*(1+Vehi_Fluids!$G$12)*(1-Vehi_Fluids!$G$13)*$M100)+(Vehi_Fluids!$H$6*(1+Vehi_Fluids!$H$12)*$N100+Vehi_Fluids!$H$6*(1+Vehi_Fluids!$H$12)*Vehi_Fluids!$H$13*$O100)</f>
        <v>2.348751042831172</v>
      </c>
      <c r="C133" s="499">
        <f>(Vehi_Fluids!$B$7*(1+Vehi_Fluids!$B$12)*$B100+Vehi_Fluids!$B$7*(1+Vehi_Fluids!$B$12)*Vehi_Fluids!$B$13*$C100)+(Vehi_Fluids!$C$7*(1+Vehi_Fluids!$C$12)*$D100+Vehi_Fluids!$C$7*(1+Vehi_Fluids!$C$12)*Vehi_Fluids!$C$13*$E100)+(Vehi_Fluids!$D$7*(1+Vehi_Fluids!$D$12)*$F100+Vehi_Fluids!$D$7*(1+Vehi_Fluids!$D$12)*Vehi_Fluids!$D$13*$G100)+(Vehi_Fluids!$E$7*(1+Vehi_Fluids!$E$12)*$H100+Vehi_Fluids!$E$7*(1+Vehi_Fluids!$E$12)*Vehi_Fluids!$E$13*$I100)+(Vehi_Fluids!$F$7*(1+Vehi_Fluids!$F$12)*$J100+Vehi_Fluids!$F$7*(1+Vehi_Fluids!$F$12)*Vehi_Fluids!$F$13*$K100)+(Vehi_Fluids!$G$7*(1+Vehi_Fluids!$G$12)*$L100+Vehi_Fluids!$G$7*(1+Vehi_Fluids!$G$12)*(1-Vehi_Fluids!$G$13)*$M100)+(Vehi_Fluids!$H$7*(1+Vehi_Fluids!$H$12)*$N100+Vehi_Fluids!$H$7*(1+Vehi_Fluids!$H$12)*Vehi_Fluids!$H$13*$O100)</f>
        <v>2.348751042831172</v>
      </c>
      <c r="D133" s="499">
        <f>(Vehi_Fluids!$B$8*(1+Vehi_Fluids!$B$12)*$B100+Vehi_Fluids!$B$8*(1+Vehi_Fluids!$B$12)*Vehi_Fluids!$B$13*$C100)+(Vehi_Fluids!$C$8*(1+Vehi_Fluids!$C$12)*$D100+Vehi_Fluids!$C$8*(1+Vehi_Fluids!$C$12)*Vehi_Fluids!$C$13*$E100)+(Vehi_Fluids!$D$8*(1+Vehi_Fluids!$D$12)*$F100+Vehi_Fluids!$D$8*(1+Vehi_Fluids!$D$12)*Vehi_Fluids!$D$13*$G100)+(Vehi_Fluids!$E$8*(1+Vehi_Fluids!$E$12)*$H100+Vehi_Fluids!$E$8*(1+Vehi_Fluids!$E$12)*Vehi_Fluids!$E$13*$I100)+(Vehi_Fluids!$F$8*(1+Vehi_Fluids!$F$12)*$J100+Vehi_Fluids!$F$8*(1+Vehi_Fluids!$F$12)*Vehi_Fluids!$F$13*$K100)+(Vehi_Fluids!$G$8*(1+Vehi_Fluids!$G$12)*$L100+Vehi_Fluids!$G$8*(1+Vehi_Fluids!$G$12)*(1-Vehi_Fluids!$G$13)*$M100)+(Vehi_Fluids!$H$8*(1+Vehi_Fluids!$H$12)*$N100+Vehi_Fluids!$H$8*(1+Vehi_Fluids!$H$12)*Vehi_Fluids!$H$13*$O100)</f>
        <v>2.1141694008976444</v>
      </c>
      <c r="E133" s="499">
        <f>(Vehi_Fluids!$B$9*(1+Vehi_Fluids!$B$12)*$B100+Vehi_Fluids!$B$9*(1+Vehi_Fluids!$B$12)*Vehi_Fluids!$B$13*$C100)+(Vehi_Fluids!$C$9*(1+Vehi_Fluids!$C$12)*$D100+Vehi_Fluids!$C$9*(1+Vehi_Fluids!$C$12)*Vehi_Fluids!$C$13*$E100)+(Vehi_Fluids!$D$9*(1+Vehi_Fluids!$D$12)*$F100+Vehi_Fluids!$D$9*(1+Vehi_Fluids!$D$12)*Vehi_Fluids!$D$13*$G100)+(Vehi_Fluids!$E$9*(1+Vehi_Fluids!$E$12)*$H100+Vehi_Fluids!$E$9*(1+Vehi_Fluids!$E$12)*Vehi_Fluids!$E$13*$I100)+(Vehi_Fluids!$F$9*(1+Vehi_Fluids!$F$12)*$J100+Vehi_Fluids!$F$9*(1+Vehi_Fluids!$F$12)*Vehi_Fluids!$F$13*$K100)+(Vehi_Fluids!$G$9*(1+Vehi_Fluids!$G$12)*$L100+Vehi_Fluids!$G$9*(1+Vehi_Fluids!$G$12)*(1-Vehi_Fluids!$G$13)*$M100)+(Vehi_Fluids!$H$9*(1+Vehi_Fluids!$H$12)*$N100+Vehi_Fluids!$H$9*(1+Vehi_Fluids!$H$12)*Vehi_Fluids!$H$13*$O100)</f>
        <v>2.1141694008976444</v>
      </c>
      <c r="F133" s="499">
        <f>(Vehi_Fluids!$B$10*(1+Vehi_Fluids!$B$12)*$B100+Vehi_Fluids!$B$10*(1+Vehi_Fluids!$B$12)*Vehi_Fluids!$B$13*$C100)+(Vehi_Fluids!$C$10*(1+Vehi_Fluids!$C$12)*$D100+Vehi_Fluids!$C$10*(1+Vehi_Fluids!$C$12)*Vehi_Fluids!$C$13*$E100)+(Vehi_Fluids!$D$10*(1+Vehi_Fluids!$D$12)*$F100+Vehi_Fluids!$D$10*(1+Vehi_Fluids!$D$12)*Vehi_Fluids!$D$13*$G100)+(Vehi_Fluids!$E$10*(1+Vehi_Fluids!$E$12)*$H100+Vehi_Fluids!$E$10*(1+Vehi_Fluids!$E$12)*Vehi_Fluids!$E$13*$I100)+(Vehi_Fluids!$F$10*(1+Vehi_Fluids!$F$12)*$J100+Vehi_Fluids!$F$10*(1+Vehi_Fluids!$F$12)*Vehi_Fluids!$F$13*$K100)+(Vehi_Fluids!$G$10*(1+Vehi_Fluids!$G$12)*$L100+Vehi_Fluids!$G$10*(1+Vehi_Fluids!$G$12)*(1-Vehi_Fluids!$G$13)*$M100)+(Vehi_Fluids!$H$10*(1+Vehi_Fluids!$H$12)*$N100+Vehi_Fluids!$H$10*(1+Vehi_Fluids!$H$12)*Vehi_Fluids!$H$13*$O100)</f>
        <v>0.26424515284277039</v>
      </c>
      <c r="G133" s="500">
        <f>(Vehi_Fluids!$B$11*(1+Vehi_Fluids!$B$12)*$B100+Vehi_Fluids!$B$11*(1+Vehi_Fluids!$B$12)*Vehi_Fluids!$B$13*$C100)+(Vehi_Fluids!$C$11*(1+Vehi_Fluids!$C$12)*$D100+Vehi_Fluids!$C$11*(1+Vehi_Fluids!$C$12)*Vehi_Fluids!$C$13*$E100)+(Vehi_Fluids!$D$11*(1+Vehi_Fluids!$D$12)*$F100+Vehi_Fluids!$D$11*(1+Vehi_Fluids!$D$12)*Vehi_Fluids!$D$13*$G100)+(Vehi_Fluids!$E$11*(1+Vehi_Fluids!$E$12)*$H100+Vehi_Fluids!$E$11*(1+Vehi_Fluids!$E$12)*Vehi_Fluids!$E$13*$I100)+(Vehi_Fluids!$F$11*(1+Vehi_Fluids!$F$12)*$J100+Vehi_Fluids!$F$11*(1+Vehi_Fluids!$F$12)*Vehi_Fluids!$F$13*$K100)+(Vehi_Fluids!$G$11*(1+Vehi_Fluids!$G$12)*$L100+Vehi_Fluids!$G$11*(1+Vehi_Fluids!$G$12)*(1-Vehi_Fluids!$G$13)*$M100)+(Vehi_Fluids!$H$11*(1+Vehi_Fluids!$H$12)*$N100+Vehi_Fluids!$H$11*(1+Vehi_Fluids!$H$12)*Vehi_Fluids!$H$13*$O100)</f>
        <v>0.26424515284277039</v>
      </c>
      <c r="N133" s="613"/>
    </row>
    <row r="134" spans="1:14">
      <c r="M134" s="385"/>
      <c r="N134" s="5"/>
    </row>
    <row r="135" spans="1:14">
      <c r="M135" s="385"/>
      <c r="N135" s="5"/>
    </row>
    <row r="136" spans="1:14">
      <c r="M136" s="385"/>
      <c r="N136" s="5"/>
    </row>
    <row r="137" spans="1:14">
      <c r="M137" s="385"/>
      <c r="N137" s="5"/>
    </row>
    <row r="138" spans="1:14">
      <c r="M138" s="385"/>
      <c r="N138" s="5"/>
    </row>
    <row r="139" spans="1:14">
      <c r="M139" s="385"/>
      <c r="N139" s="5"/>
    </row>
    <row r="140" spans="1:14">
      <c r="M140" s="385"/>
      <c r="N140" s="5"/>
    </row>
    <row r="141" spans="1:14">
      <c r="M141" s="385"/>
      <c r="N141" s="5"/>
    </row>
    <row r="142" spans="1:14">
      <c r="M142" s="385"/>
      <c r="N142" s="5"/>
    </row>
    <row r="143" spans="1:14">
      <c r="M143" s="385"/>
      <c r="N143" s="5"/>
    </row>
    <row r="144" spans="1:14">
      <c r="M144" s="385"/>
      <c r="N144" s="5"/>
    </row>
    <row r="145" spans="13:14">
      <c r="M145" s="385"/>
      <c r="N145" s="5"/>
    </row>
    <row r="146" spans="13:14">
      <c r="M146" s="385"/>
      <c r="N146" s="5"/>
    </row>
    <row r="147" spans="13:14">
      <c r="M147" s="385"/>
      <c r="N147" s="5"/>
    </row>
    <row r="148" spans="13:14">
      <c r="M148" s="385"/>
      <c r="N148" s="5"/>
    </row>
    <row r="149" spans="13:14">
      <c r="M149" s="385"/>
      <c r="N149" s="5"/>
    </row>
    <row r="150" spans="13:14">
      <c r="M150" s="385"/>
      <c r="N150" s="5"/>
    </row>
    <row r="151" spans="13:14">
      <c r="M151" s="385"/>
      <c r="N151" s="5"/>
    </row>
    <row r="152" spans="13:14">
      <c r="M152" s="385"/>
      <c r="N152" s="5"/>
    </row>
    <row r="153" spans="13:14">
      <c r="M153" s="385"/>
      <c r="N153" s="5"/>
    </row>
    <row r="154" spans="13:14">
      <c r="M154" s="385"/>
      <c r="N154" s="5"/>
    </row>
    <row r="155" spans="13:14">
      <c r="M155" s="385"/>
      <c r="N155" s="5"/>
    </row>
    <row r="156" spans="13:14">
      <c r="M156" s="385"/>
      <c r="N156" s="5"/>
    </row>
    <row r="157" spans="13:14">
      <c r="M157" s="385"/>
      <c r="N157" s="5"/>
    </row>
    <row r="158" spans="13:14">
      <c r="M158" s="385"/>
      <c r="N158" s="5"/>
    </row>
    <row r="159" spans="13:14">
      <c r="M159" s="385"/>
      <c r="N159" s="5"/>
    </row>
    <row r="160" spans="13:14">
      <c r="M160" s="385"/>
      <c r="N160" s="5"/>
    </row>
    <row r="161" spans="13:14">
      <c r="M161" s="385"/>
      <c r="N161" s="5"/>
    </row>
    <row r="162" spans="13:14">
      <c r="M162" s="385"/>
      <c r="N162" s="5"/>
    </row>
  </sheetData>
  <mergeCells count="13">
    <mergeCell ref="F24:G24"/>
    <mergeCell ref="H24:I24"/>
    <mergeCell ref="B24:C24"/>
    <mergeCell ref="D24:E24"/>
    <mergeCell ref="F69:G69"/>
    <mergeCell ref="D69:E69"/>
    <mergeCell ref="B69:C69"/>
    <mergeCell ref="J24:K24"/>
    <mergeCell ref="L24:M24"/>
    <mergeCell ref="N69:O69"/>
    <mergeCell ref="H69:I69"/>
    <mergeCell ref="J69:K69"/>
    <mergeCell ref="L69:M69"/>
  </mergeCells>
  <phoneticPr fontId="5" type="noConversion"/>
  <pageMargins left="1.74" right="0.23" top="1.02" bottom="1" header="0.5" footer="0.5"/>
  <pageSetup scale="31" orientation="landscape" r:id="rId1"/>
  <headerFooter alignWithMargins="0">
    <oddHeader>&amp;A</oddHeader>
    <oddFooter>Page &amp;P</oddFooter>
  </headerFooter>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A1:Y90"/>
  <sheetViews>
    <sheetView showGridLines="0" zoomScale="85" zoomScaleNormal="85" workbookViewId="0"/>
  </sheetViews>
  <sheetFormatPr defaultColWidth="9.140625" defaultRowHeight="12.75"/>
  <cols>
    <col min="1" max="1" width="35" style="64" customWidth="1"/>
    <col min="2" max="2" width="11.28515625" style="64" bestFit="1" customWidth="1"/>
    <col min="3" max="3" width="9.28515625" style="64" bestFit="1" customWidth="1"/>
    <col min="4" max="4" width="11.28515625" style="64" bestFit="1" customWidth="1"/>
    <col min="5" max="5" width="9.28515625" style="64" bestFit="1" customWidth="1"/>
    <col min="6" max="6" width="11.42578125" style="64" customWidth="1"/>
    <col min="7" max="16384" width="9.140625" style="64"/>
  </cols>
  <sheetData>
    <row r="1" spans="1:9" ht="15.75">
      <c r="A1" s="2" t="s">
        <v>1444</v>
      </c>
    </row>
    <row r="2" spans="1:9">
      <c r="A2" s="407"/>
    </row>
    <row r="3" spans="1:9" ht="15">
      <c r="A3" s="75" t="s">
        <v>872</v>
      </c>
    </row>
    <row r="4" spans="1:9">
      <c r="A4" s="363" t="s">
        <v>1445</v>
      </c>
    </row>
    <row r="5" spans="1:9">
      <c r="A5" s="393" t="s">
        <v>769</v>
      </c>
      <c r="B5" s="533">
        <v>1</v>
      </c>
    </row>
    <row r="6" spans="1:9">
      <c r="A6" s="230" t="s">
        <v>770</v>
      </c>
      <c r="B6" s="588">
        <v>1</v>
      </c>
    </row>
    <row r="7" spans="1:9">
      <c r="A7" s="589" t="s">
        <v>773</v>
      </c>
      <c r="B7" s="428">
        <v>1</v>
      </c>
    </row>
    <row r="9" spans="1:9">
      <c r="A9" s="363" t="s">
        <v>1446</v>
      </c>
      <c r="F9" s="363"/>
      <c r="G9" s="363"/>
      <c r="H9" s="363"/>
      <c r="I9" s="363"/>
    </row>
    <row r="10" spans="1:9">
      <c r="A10" s="393"/>
      <c r="B10" s="1329" t="s">
        <v>1052</v>
      </c>
      <c r="C10" s="1710" t="s">
        <v>953</v>
      </c>
      <c r="D10" s="1710" t="s">
        <v>949</v>
      </c>
      <c r="E10" s="1710" t="s">
        <v>1447</v>
      </c>
      <c r="F10" s="1710" t="s">
        <v>1448</v>
      </c>
      <c r="G10" s="1710" t="s">
        <v>442</v>
      </c>
      <c r="H10" s="1710" t="s">
        <v>445</v>
      </c>
      <c r="I10" s="1330" t="s">
        <v>1053</v>
      </c>
    </row>
    <row r="11" spans="1:9">
      <c r="A11" s="897" t="s">
        <v>1054</v>
      </c>
      <c r="B11" s="1331">
        <v>1</v>
      </c>
      <c r="C11" s="1236">
        <v>0</v>
      </c>
      <c r="D11" s="1236">
        <v>0</v>
      </c>
      <c r="E11" s="1236">
        <v>0</v>
      </c>
      <c r="F11" s="1236">
        <v>0</v>
      </c>
      <c r="G11" s="1236">
        <v>0</v>
      </c>
      <c r="H11" s="1236">
        <v>0</v>
      </c>
      <c r="I11" s="1328">
        <f>1-SUM(B11:H11)</f>
        <v>0</v>
      </c>
    </row>
    <row r="12" spans="1:9">
      <c r="B12" s="382"/>
    </row>
    <row r="13" spans="1:9" ht="15">
      <c r="A13" s="75" t="s">
        <v>933</v>
      </c>
    </row>
    <row r="14" spans="1:9" ht="36.75" customHeight="1">
      <c r="A14" s="238"/>
      <c r="B14" s="2980" t="s">
        <v>1449</v>
      </c>
      <c r="C14" s="2981"/>
      <c r="D14" s="2983" t="s">
        <v>1450</v>
      </c>
      <c r="E14" s="2983"/>
      <c r="F14" s="2982" t="s">
        <v>1451</v>
      </c>
      <c r="G14" s="2994"/>
    </row>
    <row r="15" spans="1:9" ht="77.25" customHeight="1">
      <c r="A15" s="571"/>
      <c r="B15" s="1673" t="s">
        <v>785</v>
      </c>
      <c r="C15" s="1674" t="s">
        <v>786</v>
      </c>
      <c r="D15" s="1675" t="s">
        <v>785</v>
      </c>
      <c r="E15" s="1675" t="s">
        <v>786</v>
      </c>
      <c r="F15" s="1673" t="s">
        <v>785</v>
      </c>
      <c r="G15" s="1674" t="s">
        <v>786</v>
      </c>
    </row>
    <row r="16" spans="1:9" ht="25.5">
      <c r="A16" s="659" t="s">
        <v>797</v>
      </c>
      <c r="B16" s="383">
        <f>Vehi_Inputs!B130</f>
        <v>2.2999999999999998</v>
      </c>
      <c r="C16" s="395"/>
      <c r="D16" s="377">
        <f>Vehi_Inputs!B131</f>
        <v>2.2999999999999998</v>
      </c>
      <c r="F16" s="383">
        <f>Vehi_Inputs!B132</f>
        <v>0.161</v>
      </c>
      <c r="G16" s="395"/>
    </row>
    <row r="17" spans="1:25">
      <c r="A17" s="571" t="s">
        <v>798</v>
      </c>
      <c r="B17" s="416">
        <v>0</v>
      </c>
      <c r="C17" s="395"/>
      <c r="D17" s="382">
        <v>0</v>
      </c>
      <c r="F17" s="416">
        <v>0</v>
      </c>
      <c r="G17" s="395"/>
    </row>
    <row r="18" spans="1:25">
      <c r="A18" s="238" t="s">
        <v>799</v>
      </c>
      <c r="B18" s="393"/>
      <c r="C18" s="394"/>
      <c r="D18" s="392"/>
      <c r="E18" s="392"/>
      <c r="F18" s="393"/>
      <c r="G18" s="394"/>
    </row>
    <row r="19" spans="1:25">
      <c r="A19" s="230" t="s">
        <v>800</v>
      </c>
      <c r="B19" s="416">
        <v>0</v>
      </c>
      <c r="C19" s="588"/>
      <c r="D19" s="382">
        <v>0</v>
      </c>
      <c r="E19" s="382"/>
      <c r="F19" s="416">
        <v>0</v>
      </c>
      <c r="G19" s="395"/>
    </row>
    <row r="20" spans="1:25">
      <c r="A20" s="230" t="s">
        <v>802</v>
      </c>
      <c r="B20" s="416">
        <v>0</v>
      </c>
      <c r="C20" s="395"/>
      <c r="D20" s="382">
        <v>0</v>
      </c>
      <c r="E20" s="382"/>
      <c r="F20" s="416">
        <v>0</v>
      </c>
      <c r="G20" s="395"/>
    </row>
    <row r="21" spans="1:25">
      <c r="A21" s="230" t="s">
        <v>804</v>
      </c>
      <c r="B21" s="416">
        <v>0.62</v>
      </c>
      <c r="C21" s="588"/>
      <c r="D21" s="382">
        <v>0.62</v>
      </c>
      <c r="E21" s="382"/>
      <c r="F21" s="416">
        <v>0.82399999999999995</v>
      </c>
      <c r="G21" s="395"/>
    </row>
    <row r="22" spans="1:25">
      <c r="A22" s="230" t="s">
        <v>805</v>
      </c>
      <c r="B22" s="416">
        <v>0</v>
      </c>
      <c r="C22" s="588"/>
      <c r="D22" s="382">
        <v>0</v>
      </c>
      <c r="E22" s="382"/>
      <c r="F22" s="416">
        <v>0</v>
      </c>
      <c r="G22" s="395"/>
    </row>
    <row r="23" spans="1:25">
      <c r="A23" s="589" t="s">
        <v>806</v>
      </c>
      <c r="B23" s="664">
        <f>1-SUM(B19:B22)</f>
        <v>0.38</v>
      </c>
      <c r="C23" s="428"/>
      <c r="D23" s="368">
        <f>1-SUM(D19:D22)</f>
        <v>0.38</v>
      </c>
      <c r="E23" s="368"/>
      <c r="F23" s="664">
        <f>1-SUM(F19:F22)</f>
        <v>0.17600000000000005</v>
      </c>
      <c r="G23" s="707"/>
    </row>
    <row r="24" spans="1:25">
      <c r="A24" s="571" t="s">
        <v>1452</v>
      </c>
      <c r="B24" s="230"/>
      <c r="C24" s="395"/>
      <c r="F24" s="661" t="s">
        <v>1453</v>
      </c>
      <c r="G24" s="395"/>
    </row>
    <row r="25" spans="1:25" s="349" customFormat="1">
      <c r="A25" s="347" t="s">
        <v>800</v>
      </c>
      <c r="B25" s="390">
        <f>B$16*B19</f>
        <v>0</v>
      </c>
      <c r="C25" s="348"/>
      <c r="D25" s="389">
        <f>D$16*D19</f>
        <v>0</v>
      </c>
      <c r="F25" s="390">
        <f>F$16*F19</f>
        <v>0</v>
      </c>
      <c r="G25" s="348"/>
      <c r="U25" s="64"/>
      <c r="V25" s="64"/>
      <c r="W25" s="64"/>
      <c r="X25" s="64"/>
      <c r="Y25" s="64"/>
    </row>
    <row r="26" spans="1:25" s="349" customFormat="1">
      <c r="A26" s="347" t="s">
        <v>802</v>
      </c>
      <c r="B26" s="390">
        <f>B$16*B20</f>
        <v>0</v>
      </c>
      <c r="C26" s="348"/>
      <c r="D26" s="389">
        <f>D$16*D20</f>
        <v>0</v>
      </c>
      <c r="F26" s="390">
        <f>F$16*F20</f>
        <v>0</v>
      </c>
      <c r="G26" s="348"/>
      <c r="U26" s="64"/>
      <c r="V26" s="64"/>
      <c r="W26" s="64"/>
      <c r="X26" s="64"/>
      <c r="Y26" s="64"/>
    </row>
    <row r="27" spans="1:25" s="349" customFormat="1">
      <c r="A27" s="347" t="s">
        <v>804</v>
      </c>
      <c r="B27" s="390">
        <f>B$16*B21</f>
        <v>1.4259999999999999</v>
      </c>
      <c r="C27" s="348"/>
      <c r="D27" s="389">
        <f>D$16*D21</f>
        <v>1.4259999999999999</v>
      </c>
      <c r="F27" s="390">
        <f>F$16*F21</f>
        <v>0.132664</v>
      </c>
      <c r="G27" s="348"/>
      <c r="U27" s="64"/>
      <c r="V27" s="64"/>
      <c r="W27" s="64"/>
      <c r="X27" s="64"/>
      <c r="Y27" s="64"/>
    </row>
    <row r="28" spans="1:25" s="349" customFormat="1">
      <c r="A28" s="347" t="s">
        <v>805</v>
      </c>
      <c r="B28" s="390">
        <f>B$16*B22</f>
        <v>0</v>
      </c>
      <c r="C28" s="348"/>
      <c r="D28" s="389">
        <f>D$16*D22</f>
        <v>0</v>
      </c>
      <c r="F28" s="390">
        <f>F$16*F22</f>
        <v>0</v>
      </c>
      <c r="G28" s="348"/>
      <c r="U28" s="64"/>
      <c r="V28" s="64"/>
      <c r="W28" s="64"/>
      <c r="X28" s="64"/>
      <c r="Y28" s="64"/>
    </row>
    <row r="29" spans="1:25" s="349" customFormat="1">
      <c r="A29" s="347" t="s">
        <v>806</v>
      </c>
      <c r="B29" s="390">
        <f>B$16*B23</f>
        <v>0.87399999999999989</v>
      </c>
      <c r="C29" s="348"/>
      <c r="D29" s="389">
        <f>D$16*D23</f>
        <v>0.87399999999999989</v>
      </c>
      <c r="F29" s="390">
        <f>F$16*F23</f>
        <v>2.8336000000000007E-2</v>
      </c>
      <c r="G29" s="348"/>
      <c r="U29" s="64"/>
      <c r="V29" s="64"/>
      <c r="W29" s="64"/>
      <c r="X29" s="64"/>
      <c r="Y29" s="64"/>
    </row>
    <row r="30" spans="1:25" s="349" customFormat="1">
      <c r="A30" s="510" t="s">
        <v>816</v>
      </c>
      <c r="B30" s="510">
        <f>B$25*(1+(GREET1_Import_Export!$F$179*GREET1_Import_Export!$B180+GREET1_Import_Export!$F180)/1000000)+B$26*(1+(GREET1_Import_Export!$G$179*GREET1_Import_Export!$B180+GREET1_Import_Export!$G180)/1000000)+B$27*(1+GREET1_Import_Export!$B216/1000000)+B$28*(1+GREET1_Import_Export!$B284/1000000)+B$29*(GREET1_Import_Export!$B309+GREET1_Import_Export!$C309)/1000000</f>
        <v>3.3471895933626428</v>
      </c>
      <c r="C30" s="509"/>
      <c r="D30" s="512">
        <f>D$25*(1+(GREET1_Import_Export!$F$179*GREET1_Import_Export!$B180+GREET1_Import_Export!$F180)/1000000)+D$26*(1+(GREET1_Import_Export!$G$179*GREET1_Import_Export!$B180+GREET1_Import_Export!$G180)/1000000)+D$27*(1+GREET1_Import_Export!$B216/1000000)+D$28*(1+GREET1_Import_Export!$B284/1000000)+D$29*(GREET1_Import_Export!$B309+GREET1_Import_Export!$C309)/1000000</f>
        <v>3.3471895933626428</v>
      </c>
      <c r="E30" s="512"/>
      <c r="F30" s="510">
        <f>F$25*(1+(GREET1_Import_Export!$F$179*GREET1_Import_Export!$B180+GREET1_Import_Export!$F180)/1000000)+F$26*(1+(GREET1_Import_Export!$G$179*GREET1_Import_Export!$B180+GREET1_Import_Export!$G180)/1000000)+F$27*(1+GREET1_Import_Export!$B216/1000000)+F$28*(1+GREET1_Import_Export!$B284/1000000)
+F$29*($B$11*(GREET1_Import_Export!$B309+GREET1_Import_Export!$C309)+$C$11*GREET1_Import_Export!L342+$D$11*GREET1_Import_Export!H342+$E$11*GREET1_Import_Export!Q342+$F$11*GREET1_Import_Export!R342+SUMPRODUCT($G$11:$I$11,GREET1_Import_Export!N342:P342))/1000000</f>
        <v>0.20396201399675187</v>
      </c>
      <c r="G30" s="509"/>
    </row>
    <row r="31" spans="1:25" s="349" customFormat="1">
      <c r="A31" s="347" t="s">
        <v>817</v>
      </c>
      <c r="B31" s="347">
        <f>B$25*(1+(GREET1_Import_Export!$F$179*GREET1_Import_Export!$B181+GREET1_Import_Export!$F181)/1000000)+B$26*(1+(GREET1_Import_Export!$G$179*GREET1_Import_Export!$B181+GREET1_Import_Export!$G181)/1000000)+B$27*(1+GREET1_Import_Export!$B217/1000000)+B$28*(1+GREET1_Import_Export!$B285/1000000)+B$29*(GREET1_Import_Export!$B310+GREET1_Import_Export!$C310)/1000000</f>
        <v>2.9774662275208192</v>
      </c>
      <c r="C31" s="348"/>
      <c r="D31" s="349">
        <f>D$25*(1+(GREET1_Import_Export!$F$179*GREET1_Import_Export!$B181+GREET1_Import_Export!$F181)/1000000)+D$26*(1+(GREET1_Import_Export!$G$179*GREET1_Import_Export!$B181+GREET1_Import_Export!$G181)/1000000)+D$27*(1+GREET1_Import_Export!$B217/1000000)+D$28*(1+GREET1_Import_Export!$B285/1000000)+D$29*(GREET1_Import_Export!$B310+GREET1_Import_Export!$C310)/1000000</f>
        <v>2.9774662275208192</v>
      </c>
      <c r="F31" s="347">
        <f>F$25*(1+(GREET1_Import_Export!$F$179*GREET1_Import_Export!$B181+GREET1_Import_Export!$F181)/1000000)+F$26*(1+(GREET1_Import_Export!$G$179*GREET1_Import_Export!$B181+GREET1_Import_Export!$G181)/1000000)+F$27*(1+GREET1_Import_Export!$B217/1000000)+F$28*(1+GREET1_Import_Export!$B285/1000000)
+F$29*($B$11*(GREET1_Import_Export!$B310+GREET1_Import_Export!$C310)+$C$11*GREET1_Import_Export!L343+$D$11*GREET1_Import_Export!H343+$E$11*GREET1_Import_Export!Q343+$F$11*GREET1_Import_Export!R343+SUMPRODUCT($G$11:$I$11,GREET1_Import_Export!N343:P343))/1000000</f>
        <v>0.19191066557470926</v>
      </c>
      <c r="G31" s="348"/>
    </row>
    <row r="32" spans="1:25" s="349" customFormat="1">
      <c r="A32" s="347" t="s">
        <v>805</v>
      </c>
      <c r="B32" s="347">
        <f>B$25*(GREET1_Import_Export!$F$179*GREET1_Import_Export!$B182+GREET1_Import_Export!$F182)/1000000+B$26*(GREET1_Import_Export!$G$179*GREET1_Import_Export!$B182+GREET1_Import_Export!$G182)/1000000+B$27*GREET1_Import_Export!$B218/1000000+B$28*(1+GREET1_Import_Export!$B286/1000000)+B$29*(GREET1_Import_Export!$B311+GREET1_Import_Export!$C311)/1000000</f>
        <v>0.48874439748406612</v>
      </c>
      <c r="C32" s="348"/>
      <c r="D32" s="349">
        <f>D$25*(GREET1_Import_Export!$F$179*GREET1_Import_Export!$B182+GREET1_Import_Export!$F182)/1000000+D$26*(GREET1_Import_Export!$G$179*GREET1_Import_Export!$B182+GREET1_Import_Export!$G182)/1000000+D$27*GREET1_Import_Export!$B218/1000000+D$28*(1+GREET1_Import_Export!$B286/1000000)+D$29*(GREET1_Import_Export!$B311+GREET1_Import_Export!$C311)/1000000</f>
        <v>0.48874439748406612</v>
      </c>
      <c r="F32" s="347">
        <f>F$25*(GREET1_Import_Export!$F$179*GREET1_Import_Export!$B182+GREET1_Import_Export!$F182)/1000000+F$26*(GREET1_Import_Export!$G$179*GREET1_Import_Export!$B182+GREET1_Import_Export!$G182)/1000000+F$27*GREET1_Import_Export!$B218/1000000+F$28*(1+GREET1_Import_Export!$B286/1000000)
+F$29*($B$11*(GREET1_Import_Export!$B311+GREET1_Import_Export!$C311)+$C$11*GREET1_Import_Export!L344+$D$11*GREET1_Import_Export!H344+$E$11*GREET1_Import_Export!Q344+$F$11*GREET1_Import_Export!R344+SUMPRODUCT($G$11:$I$11,GREET1_Import_Export!N344:P344))/1000000</f>
        <v>1.5930810469472471E-2</v>
      </c>
      <c r="G32" s="348"/>
    </row>
    <row r="33" spans="1:7" s="349" customFormat="1">
      <c r="A33" s="347" t="s">
        <v>804</v>
      </c>
      <c r="B33" s="347">
        <f>B31-B32-B34</f>
        <v>2.4677512848790482</v>
      </c>
      <c r="C33" s="348"/>
      <c r="D33" s="349">
        <f>D31-D32-D34</f>
        <v>2.4677512848790482</v>
      </c>
      <c r="F33" s="347">
        <f>F31-F32-F34</f>
        <v>0.17495300970684133</v>
      </c>
      <c r="G33" s="348"/>
    </row>
    <row r="34" spans="1:7" s="349" customFormat="1">
      <c r="A34" s="347" t="s">
        <v>818</v>
      </c>
      <c r="B34" s="347">
        <f>B$25*(1+(GREET1_Import_Export!$F$179*GREET1_Import_Export!$B184+GREET1_Import_Export!$F184)/1000000)+B$26*(1+(GREET1_Import_Export!$G$179*GREET1_Import_Export!$B184+GREET1_Import_Export!$G184)/1000000)+B$27*GREET1_Import_Export!$B220/1000000+B$28*GREET1_Import_Export!$B288/1000000+B$29*(GREET1_Import_Export!$B313+GREET1_Import_Export!$C313)/1000000</f>
        <v>2.0970545157705134E-2</v>
      </c>
      <c r="C34" s="348"/>
      <c r="D34" s="349">
        <f>D$25*(1+(GREET1_Import_Export!$F$179*GREET1_Import_Export!$B184+GREET1_Import_Export!$F184)/1000000)+D$26*(1+(GREET1_Import_Export!$G$179*GREET1_Import_Export!$B184+GREET1_Import_Export!$G184)/1000000)+D$27*GREET1_Import_Export!$B220/1000000+D$28*GREET1_Import_Export!$B288/1000000+D$29*(GREET1_Import_Export!$B313+GREET1_Import_Export!$C313)/1000000</f>
        <v>2.0970545157705134E-2</v>
      </c>
      <c r="F34" s="347">
        <f>F$25*(1+(GREET1_Import_Export!$F$179*GREET1_Import_Export!$B184+GREET1_Import_Export!$F184)/1000000)+F$26*(1+(GREET1_Import_Export!$G$179*GREET1_Import_Export!$B184+GREET1_Import_Export!$G184)/1000000)+F$27*GREET1_Import_Export!$B220/1000000+F$28*GREET1_Import_Export!$B288/1000000
+F$29*($B$11*(GREET1_Import_Export!$B313+GREET1_Import_Export!$C313)+$C$11*GREET1_Import_Export!L346+$D$11*GREET1_Import_Export!H346+$E$11*GREET1_Import_Export!Q346+$F$11*GREET1_Import_Export!R346+SUMPRODUCT($G$11:$I$11,GREET1_Import_Export!N346:P346))/1000000</f>
        <v>1.0268453983954405E-3</v>
      </c>
      <c r="G34" s="348"/>
    </row>
    <row r="35" spans="1:7" s="419" customFormat="1">
      <c r="A35" s="160" t="s">
        <v>819</v>
      </c>
      <c r="B35" s="650">
        <f>B$25*((GREET1_Import_Export!$F$179*GREET1_Import_Export!$B185+GREET1_Import_Export!$F185))+B$26*((GREET1_Import_Export!$G$179*GREET1_Import_Export!$B185+GREET1_Import_Export!$G185))+B$27*GREET1_Import_Export!$B221+B$28*GREET1_Import_Export!$B289+B$29*(GREET1_Import_Export!$B314+GREET1_Import_Export!$C314)</f>
        <v>99.38596159310309</v>
      </c>
      <c r="C35" s="752"/>
      <c r="D35" s="47">
        <f>D$25*((GREET1_Import_Export!$F$179*GREET1_Import_Export!$B185+GREET1_Import_Export!$F185))+D$26*((GREET1_Import_Export!$G$179*GREET1_Import_Export!$B185+GREET1_Import_Export!$G185))+D$27*GREET1_Import_Export!$B221+D$28*GREET1_Import_Export!$B289+D$29*(GREET1_Import_Export!$B314+GREET1_Import_Export!$C314)</f>
        <v>99.38596159310309</v>
      </c>
      <c r="E35" s="374"/>
      <c r="F35" s="137">
        <f>F$25*((GREET1_Import_Export!$F$179*GREET1_Import_Export!$B185+GREET1_Import_Export!$F185))+F$26*((GREET1_Import_Export!$G$179*GREET1_Import_Export!$B185+GREET1_Import_Export!$G185))+F$27*GREET1_Import_Export!$B221+F$28*GREET1_Import_Export!$B289
+F$29*($B$11*(GREET1_Import_Export!$B314+GREET1_Import_Export!$C314)+$C$11*GREET1_Import_Export!L347+$D$11*GREET1_Import_Export!H347+$E$11*GREET1_Import_Export!Q347+$F$11*GREET1_Import_Export!R347+SUMPRODUCT($G$11:$I$11,GREET1_Import_Export!N347:P347))</f>
        <v>3.4885804959714788</v>
      </c>
      <c r="G35" s="752">
        <v>8.6</v>
      </c>
    </row>
    <row r="36" spans="1:7" s="349" customFormat="1">
      <c r="A36" s="699" t="s">
        <v>1454</v>
      </c>
      <c r="B36" s="510"/>
      <c r="C36" s="509"/>
      <c r="D36" s="512"/>
      <c r="E36" s="512"/>
      <c r="F36" s="661" t="s">
        <v>1453</v>
      </c>
      <c r="G36" s="509"/>
    </row>
    <row r="37" spans="1:7" s="349" customFormat="1">
      <c r="A37" s="347" t="s">
        <v>821</v>
      </c>
      <c r="B37" s="347">
        <f>B$25*($B$5*GREET1_Import_Export!$K72+GREET1_Import_Export!$F$179*GREET1_Import_Export!$B186+GREET1_Import_Export!$F186)+B$26*(GREET1_Import_Export!$O72+GREET1_Import_Export!$G$179*GREET1_Import_Export!$B186+GREET1_Import_Export!$G186)+B$27*($B$6*GREET1_Import_Export!$B72+GREET1_Import_Export!$B222)+B$28*($B$7*GREET1_Import_Export!$AA72+GREET1_Import_Export!$B290)+B$29*(GREET1_Import_Export!$B315+GREET1_Import_Export!$C315)</f>
        <v>30.402010884131137</v>
      </c>
      <c r="C37" s="348"/>
      <c r="D37" s="349">
        <f>D$25*($B$5*GREET1_Import_Export!$K72+GREET1_Import_Export!$F$179*GREET1_Import_Export!$B186+GREET1_Import_Export!$F186)+D$26*(GREET1_Import_Export!Q72+GREET1_Import_Export!$G$179*GREET1_Import_Export!$B186+GREET1_Import_Export!$G186)+D$27*($B$6*GREET1_Import_Export!$B72+GREET1_Import_Export!$B222)+D$28*($B$7*GREET1_Import_Export!$AA72+GREET1_Import_Export!$B290)+D$29*(GREET1_Import_Export!$B315+GREET1_Import_Export!$C315)</f>
        <v>30.402010884131137</v>
      </c>
      <c r="F37" s="347">
        <f>F$25*($B$5*GREET1_Import_Export!$K72+GREET1_Import_Export!$F$179*GREET1_Import_Export!$B186+GREET1_Import_Export!$F186)+F$26*(GREET1_Import_Export!U72+GREET1_Import_Export!$G$179*GREET1_Import_Export!$B186+GREET1_Import_Export!$G186)+F$27*($B$6*GREET1_Import_Export!$B72+GREET1_Import_Export!$B222)+F$28*($B$7*GREET1_Import_Export!$AA72+GREET1_Import_Export!$B290)
+F$29*($B$11*(GREET1_Import_Export!$B315+GREET1_Import_Export!$C315)+$C$11*GREET1_Import_Export!L348+$D$11*GREET1_Import_Export!H348+$E$11*GREET1_Import_Export!Q348+$F$11*GREET1_Import_Export!R348+SUMPRODUCT($G$11:$I$11,GREET1_Import_Export!N348:P348))</f>
        <v>2.0943112846872713</v>
      </c>
      <c r="G37" s="348"/>
    </row>
    <row r="38" spans="1:7" s="349" customFormat="1">
      <c r="A38" s="347" t="s">
        <v>822</v>
      </c>
      <c r="B38" s="347">
        <f>B$25*($B$5*GREET1_Import_Export!$K73+GREET1_Import_Export!$F$179*GREET1_Import_Export!$B187+GREET1_Import_Export!$F187)+B$26*(GREET1_Import_Export!$O73+GREET1_Import_Export!$G$179*GREET1_Import_Export!$B187+GREET1_Import_Export!$G187)+B$27*($B$6*GREET1_Import_Export!$B73+GREET1_Import_Export!$B223)+B$28*($B$7*GREET1_Import_Export!$AA73+GREET1_Import_Export!$B291)+B$29*(GREET1_Import_Export!$B316+GREET1_Import_Export!$C316)</f>
        <v>108.96373196235233</v>
      </c>
      <c r="C38" s="348"/>
      <c r="D38" s="349">
        <f>D$25*($B$5*GREET1_Import_Export!$K73+GREET1_Import_Export!$F$179*GREET1_Import_Export!$B187+GREET1_Import_Export!$F187)+D$26*(GREET1_Import_Export!Q73+GREET1_Import_Export!$G$179*GREET1_Import_Export!$B187+GREET1_Import_Export!$G187)+D$27*($B$6*GREET1_Import_Export!$B73+GREET1_Import_Export!$B223)+D$28*($B$7*GREET1_Import_Export!$AA73+GREET1_Import_Export!$B291)+D$29*(GREET1_Import_Export!$B316+GREET1_Import_Export!$C316)</f>
        <v>108.96373196235233</v>
      </c>
      <c r="F38" s="347">
        <f>F$25*($B$5*GREET1_Import_Export!$K73+GREET1_Import_Export!$F$179*GREET1_Import_Export!$B187+GREET1_Import_Export!$F187)+F$26*(GREET1_Import_Export!U73+GREET1_Import_Export!$G$179*GREET1_Import_Export!$B187+GREET1_Import_Export!$G187)+F$27*($B$6*GREET1_Import_Export!$B73+GREET1_Import_Export!$B223)+F$28*($B$7*GREET1_Import_Export!$AA73+GREET1_Import_Export!$B291)
+F$29*($B$11*(GREET1_Import_Export!$B316+GREET1_Import_Export!$C316)+$C$11*GREET1_Import_Export!L349+$D$11*GREET1_Import_Export!H349+$E$11*GREET1_Import_Export!Q349+$F$11*GREET1_Import_Export!R349+SUMPRODUCT($G$11:$I$11,GREET1_Import_Export!N349:P349))</f>
        <v>8.1529953270486946</v>
      </c>
      <c r="G38" s="348"/>
    </row>
    <row r="39" spans="1:7" s="349" customFormat="1">
      <c r="A39" s="347" t="s">
        <v>823</v>
      </c>
      <c r="B39" s="347">
        <f>B$25*($B$5*GREET1_Import_Export!$K74+GREET1_Import_Export!$F$179*GREET1_Import_Export!$B188+GREET1_Import_Export!$F188)+B$26*(GREET1_Import_Export!$O74+GREET1_Import_Export!$G$179*GREET1_Import_Export!$B188+GREET1_Import_Export!$G188)+B$27*($B$6*GREET1_Import_Export!$B74+GREET1_Import_Export!$B224)+B$28*($B$7*GREET1_Import_Export!$AA74+GREET1_Import_Export!$B292)+B$29*(GREET1_Import_Export!$B317+GREET1_Import_Export!$C317)</f>
        <v>171.06485428410429</v>
      </c>
      <c r="C39" s="348"/>
      <c r="D39" s="349">
        <f>D$25*($B$5*GREET1_Import_Export!$K74+GREET1_Import_Export!$F$179*GREET1_Import_Export!$B188+GREET1_Import_Export!$F188)+D$26*(GREET1_Import_Export!Q74+GREET1_Import_Export!$G$179*GREET1_Import_Export!$B188+GREET1_Import_Export!$G188)+D$27*($B$6*GREET1_Import_Export!$B74+GREET1_Import_Export!$B224)+D$28*($B$7*GREET1_Import_Export!$AA74+GREET1_Import_Export!$B292)+D$29*(GREET1_Import_Export!$B317+GREET1_Import_Export!$C317)</f>
        <v>171.06485428410429</v>
      </c>
      <c r="F39" s="347">
        <f>F$25*($B$5*GREET1_Import_Export!$K74+GREET1_Import_Export!$F$179*GREET1_Import_Export!$B188+GREET1_Import_Export!$F188)+F$26*(GREET1_Import_Export!U74+GREET1_Import_Export!$G$179*GREET1_Import_Export!$B188+GREET1_Import_Export!$G188)+F$27*($B$6*GREET1_Import_Export!$B74+GREET1_Import_Export!$B224)+F$28*($B$7*GREET1_Import_Export!$AA74+GREET1_Import_Export!$B292)
+F$29*($B$11*(GREET1_Import_Export!$B317+GREET1_Import_Export!$C317)+$C$11*GREET1_Import_Export!L350+$D$11*GREET1_Import_Export!H350+$E$11*GREET1_Import_Export!Q350+$F$11*GREET1_Import_Export!R350+SUMPRODUCT($G$11:$I$11,GREET1_Import_Export!N350:P350))</f>
        <v>11.827084145385248</v>
      </c>
      <c r="G39" s="348"/>
    </row>
    <row r="40" spans="1:7" s="349" customFormat="1">
      <c r="A40" s="347" t="s">
        <v>824</v>
      </c>
      <c r="B40" s="347">
        <f>B$25*($B$5*GREET1_Import_Export!$K75+GREET1_Import_Export!$F$179*GREET1_Import_Export!$B189+GREET1_Import_Export!$F189)+B$26*(GREET1_Import_Export!$O75+GREET1_Import_Export!$G$179*GREET1_Import_Export!$B189+GREET1_Import_Export!$G189)+B$27*($B$6*GREET1_Import_Export!$B75+GREET1_Import_Export!$B225)+B$28*($B$7*GREET1_Import_Export!$AA75+GREET1_Import_Export!$B293)+B$29*(GREET1_Import_Export!$B318+GREET1_Import_Export!$C318)</f>
        <v>16.395106293835493</v>
      </c>
      <c r="C40" s="348"/>
      <c r="D40" s="349">
        <f>D$25*($B$5*GREET1_Import_Export!$K75+GREET1_Import_Export!$F$179*GREET1_Import_Export!$B189+GREET1_Import_Export!$F189)+D$26*(GREET1_Import_Export!Q75+GREET1_Import_Export!$G$179*GREET1_Import_Export!$B189+GREET1_Import_Export!$G189)+D$27*($B$6*GREET1_Import_Export!$B75+GREET1_Import_Export!$B225)+D$28*($B$7*GREET1_Import_Export!$AA75+GREET1_Import_Export!$B293)+D$29*(GREET1_Import_Export!$B318+GREET1_Import_Export!$C318)</f>
        <v>16.395106293835493</v>
      </c>
      <c r="F40" s="347">
        <f>F$25*($B$5*GREET1_Import_Export!$K75+GREET1_Import_Export!$F$179*GREET1_Import_Export!$B189+GREET1_Import_Export!$F189)+F$26*(GREET1_Import_Export!U75+GREET1_Import_Export!$G$179*GREET1_Import_Export!$B189+GREET1_Import_Export!$G189)+F$27*($B$6*GREET1_Import_Export!$B75+GREET1_Import_Export!$B225)+F$28*($B$7*GREET1_Import_Export!$AA75+GREET1_Import_Export!$B293)
+F$29*($B$11*(GREET1_Import_Export!$B318+GREET1_Import_Export!$C318)+$C$11*GREET1_Import_Export!L351+$D$11*GREET1_Import_Export!H351+$E$11*GREET1_Import_Export!Q351+$F$11*GREET1_Import_Export!R351+SUMPRODUCT($G$11:$I$11,GREET1_Import_Export!N351:P351))</f>
        <v>0.87096752752106665</v>
      </c>
      <c r="G40" s="348"/>
    </row>
    <row r="41" spans="1:7" s="349" customFormat="1">
      <c r="A41" s="347" t="s">
        <v>825</v>
      </c>
      <c r="B41" s="347">
        <f>B$25*($B$5*GREET1_Import_Export!$K76+GREET1_Import_Export!$F$179*GREET1_Import_Export!$B190+GREET1_Import_Export!$F190)+B$26*(GREET1_Import_Export!$O76+GREET1_Import_Export!$G$179*GREET1_Import_Export!$B190+GREET1_Import_Export!$G190)+B$27*($B$6*GREET1_Import_Export!$B76+GREET1_Import_Export!$B226)+B$28*($B$7*GREET1_Import_Export!$AA76+GREET1_Import_Export!$B294)+B$29*(GREET1_Import_Export!$B319+GREET1_Import_Export!$C319)</f>
        <v>12.020996745835989</v>
      </c>
      <c r="C41" s="348"/>
      <c r="D41" s="349">
        <f>D$25*($B$5*GREET1_Import_Export!$K76+GREET1_Import_Export!$F$179*GREET1_Import_Export!$B190+GREET1_Import_Export!$F190)+D$26*(GREET1_Import_Export!Q76+GREET1_Import_Export!$G$179*GREET1_Import_Export!$B190+GREET1_Import_Export!$G190)+D$27*($B$6*GREET1_Import_Export!$B76+GREET1_Import_Export!$B226)+D$28*($B$7*GREET1_Import_Export!$AA76+GREET1_Import_Export!$B294)+D$29*(GREET1_Import_Export!$B319+GREET1_Import_Export!$C319)</f>
        <v>12.020996745835989</v>
      </c>
      <c r="F41" s="347">
        <f>F$25*($B$5*GREET1_Import_Export!$K76+GREET1_Import_Export!$F$179*GREET1_Import_Export!$B190+GREET1_Import_Export!$F190)+F$26*(GREET1_Import_Export!U76+GREET1_Import_Export!$G$179*GREET1_Import_Export!$B190+GREET1_Import_Export!$G190)+F$27*($B$6*GREET1_Import_Export!$B76+GREET1_Import_Export!$B226)+F$28*($B$7*GREET1_Import_Export!$AA76+GREET1_Import_Export!$B294)
+F$29*($B$11*(GREET1_Import_Export!$B319+GREET1_Import_Export!$C319)+$C$11*GREET1_Import_Export!L352+$D$11*GREET1_Import_Export!H352+$E$11*GREET1_Import_Export!Q352+$F$11*GREET1_Import_Export!R352+SUMPRODUCT($G$11:$I$11,GREET1_Import_Export!N352:P352))</f>
        <v>0.72558038118511703</v>
      </c>
      <c r="G41" s="348"/>
    </row>
    <row r="42" spans="1:7" s="349" customFormat="1">
      <c r="A42" s="347" t="s">
        <v>826</v>
      </c>
      <c r="B42" s="347">
        <f>B$25*($B$5*GREET1_Import_Export!$K77+GREET1_Import_Export!$F$179*GREET1_Import_Export!$B191+GREET1_Import_Export!$F191)+B$26*(GREET1_Import_Export!$O77+GREET1_Import_Export!$G$179*GREET1_Import_Export!$B191+GREET1_Import_Export!$G191)+B$27*($B$6*GREET1_Import_Export!$B77+GREET1_Import_Export!$B227)+B$28*($B$7*GREET1_Import_Export!$AA77+GREET1_Import_Export!$B295)+B$29*(GREET1_Import_Export!$B320+GREET1_Import_Export!$C320)</f>
        <v>72.835169646072245</v>
      </c>
      <c r="C42" s="348"/>
      <c r="D42" s="349">
        <f>D$25*($B$5*GREET1_Import_Export!$K77+GREET1_Import_Export!$F$179*GREET1_Import_Export!$B191+GREET1_Import_Export!$F191)+D$26*(GREET1_Import_Export!Q77+GREET1_Import_Export!$G$179*GREET1_Import_Export!$B191+GREET1_Import_Export!$G191)+D$27*($B$6*GREET1_Import_Export!$B77+GREET1_Import_Export!$B227)+D$28*($B$7*GREET1_Import_Export!$AA77+GREET1_Import_Export!$B295)+D$29*(GREET1_Import_Export!$B320+GREET1_Import_Export!$C320)</f>
        <v>72.835169646072245</v>
      </c>
      <c r="F42" s="347">
        <f>F$25*($B$5*GREET1_Import_Export!$K77+GREET1_Import_Export!$F$179*GREET1_Import_Export!$B191+GREET1_Import_Export!$F191)+F$26*(GREET1_Import_Export!U77+GREET1_Import_Export!$G$179*GREET1_Import_Export!$B191+GREET1_Import_Export!$G191)+F$27*($B$6*GREET1_Import_Export!$B77+GREET1_Import_Export!$B227)+F$28*($B$7*GREET1_Import_Export!$AA77+GREET1_Import_Export!$B295)
+F$29*($B$11*(GREET1_Import_Export!$B320+GREET1_Import_Export!$C320)+$C$11*GREET1_Import_Export!L353+$D$11*GREET1_Import_Export!H353+$E$11*GREET1_Import_Export!Q353+$F$11*GREET1_Import_Export!R353+SUMPRODUCT($G$11:$I$11,GREET1_Import_Export!N353:P353))</f>
        <v>3.3440292356560382</v>
      </c>
      <c r="G42" s="348"/>
    </row>
    <row r="43" spans="1:7" s="349" customFormat="1">
      <c r="A43" s="749" t="s">
        <v>827</v>
      </c>
      <c r="B43" s="347">
        <f>B$25*($B$5*GREET1_Import_Export!$K78+GREET1_Import_Export!$F$179*GREET1_Import_Export!$B192+GREET1_Import_Export!$F192)+B$26*(GREET1_Import_Export!$O78+GREET1_Import_Export!$G$179*GREET1_Import_Export!$B192+GREET1_Import_Export!$G192)+B$27*($B$6*GREET1_Import_Export!$B78+GREET1_Import_Export!$B228)+B$28*($B$7*GREET1_Import_Export!$AA78+GREET1_Import_Export!$B296)+B$29*(GREET1_Import_Export!$B321+GREET1_Import_Export!$C321)</f>
        <v>1.3620367596220195</v>
      </c>
      <c r="C43" s="348"/>
      <c r="D43" s="349">
        <f>D$25*($B$5*GREET1_Import_Export!$K78+GREET1_Import_Export!$F$179*GREET1_Import_Export!$B192+GREET1_Import_Export!$F192)+D$26*(GREET1_Import_Export!Q78+GREET1_Import_Export!$G$179*GREET1_Import_Export!$B192+GREET1_Import_Export!$G192)+D$27*($B$6*GREET1_Import_Export!$B78+GREET1_Import_Export!$B228)+D$28*($B$7*GREET1_Import_Export!$AA78+GREET1_Import_Export!$B296)+D$29*(GREET1_Import_Export!$B321+GREET1_Import_Export!$C321)</f>
        <v>1.3620367596220195</v>
      </c>
      <c r="F43" s="347">
        <f>F$25*($B$5*GREET1_Import_Export!$K78+GREET1_Import_Export!$F$179*GREET1_Import_Export!$B192+GREET1_Import_Export!$F192)+F$26*(GREET1_Import_Export!U78+GREET1_Import_Export!$G$179*GREET1_Import_Export!$B192+GREET1_Import_Export!$G192)+F$27*($B$6*GREET1_Import_Export!$B78+GREET1_Import_Export!$B228)+F$28*($B$7*GREET1_Import_Export!$AA78+GREET1_Import_Export!$B296)
+F$29*($B$11*(GREET1_Import_Export!$B321+GREET1_Import_Export!$C321)+$C$11*GREET1_Import_Export!L354+$D$11*GREET1_Import_Export!H354+$E$11*GREET1_Import_Export!Q354+$F$11*GREET1_Import_Export!R354+SUMPRODUCT($G$11:$I$11,GREET1_Import_Export!N354:P354))</f>
        <v>0.10274925672320852</v>
      </c>
      <c r="G43" s="348"/>
    </row>
    <row r="44" spans="1:7" s="349" customFormat="1">
      <c r="A44" s="749" t="s">
        <v>828</v>
      </c>
      <c r="B44" s="347">
        <f>B$25*($B$5*GREET1_Import_Export!$K79+GREET1_Import_Export!$F$179*GREET1_Import_Export!$B193+GREET1_Import_Export!$F193)+B$26*(GREET1_Import_Export!$O79+GREET1_Import_Export!$G$179*GREET1_Import_Export!$B193+GREET1_Import_Export!$G193)+B$27*($B$6*GREET1_Import_Export!$B79+GREET1_Import_Export!$B229)+B$28*($B$7*GREET1_Import_Export!$AA79+GREET1_Import_Export!$B297)+B$29*(GREET1_Import_Export!$B322+GREET1_Import_Export!$C322)</f>
        <v>4.226621900296446</v>
      </c>
      <c r="C44" s="348"/>
      <c r="D44" s="349">
        <f>D$25*($B$5*GREET1_Import_Export!$K79+GREET1_Import_Export!$F$179*GREET1_Import_Export!$B193+GREET1_Import_Export!$F193)+D$26*(GREET1_Import_Export!Q79+GREET1_Import_Export!$G$179*GREET1_Import_Export!$B193+GREET1_Import_Export!$G193)+D$27*($B$6*GREET1_Import_Export!$B79+GREET1_Import_Export!$B229)+D$28*($B$7*GREET1_Import_Export!$AA79+GREET1_Import_Export!$B297)+D$29*(GREET1_Import_Export!$B322+GREET1_Import_Export!$C322)</f>
        <v>4.226621900296446</v>
      </c>
      <c r="F44" s="347">
        <f>F$25*($B$5*GREET1_Import_Export!$K79+GREET1_Import_Export!$F$179*GREET1_Import_Export!$B193+GREET1_Import_Export!$F193)+F$26*(GREET1_Import_Export!U79+GREET1_Import_Export!$G$179*GREET1_Import_Export!$B193+GREET1_Import_Export!$G193)+F$27*($B$6*GREET1_Import_Export!$B79+GREET1_Import_Export!$B229)+F$28*($B$7*GREET1_Import_Export!$AA79+GREET1_Import_Export!$B297)
+F$29*($B$11*(GREET1_Import_Export!$B322+GREET1_Import_Export!$C322)+$C$11*GREET1_Import_Export!L355+$D$11*GREET1_Import_Export!H355+$E$11*GREET1_Import_Export!Q355+$F$11*GREET1_Import_Export!R355+SUMPRODUCT($G$11:$I$11,GREET1_Import_Export!N355:P355))</f>
        <v>0.27914887586088549</v>
      </c>
      <c r="G44" s="348"/>
    </row>
    <row r="45" spans="1:7" s="349" customFormat="1">
      <c r="A45" s="347" t="s">
        <v>829</v>
      </c>
      <c r="B45" s="347">
        <f>B$25*($B$5*GREET1_Import_Export!$K80+GREET1_Import_Export!$F$179*GREET1_Import_Export!$B194+GREET1_Import_Export!$F194)+B$26*(GREET1_Import_Export!$O80+GREET1_Import_Export!$G$179*GREET1_Import_Export!$B194+GREET1_Import_Export!$G194)+B$27*($B$6*GREET1_Import_Export!$B80+GREET1_Import_Export!$B230)+B$28*($B$7*GREET1_Import_Export!$AA80+GREET1_Import_Export!$B298)+B$29*(GREET1_Import_Export!$B323+GREET1_Import_Export!$C323)</f>
        <v>544.19132045719402</v>
      </c>
      <c r="C45" s="348"/>
      <c r="D45" s="349">
        <f>D$25*($B$5*GREET1_Import_Export!$K80+GREET1_Import_Export!$F$179*GREET1_Import_Export!$B194+GREET1_Import_Export!$F194)+D$26*(GREET1_Import_Export!Q80+GREET1_Import_Export!$G$179*GREET1_Import_Export!$B194+GREET1_Import_Export!$G194)+D$27*($B$6*GREET1_Import_Export!$B80+GREET1_Import_Export!$B230)+D$28*($B$7*GREET1_Import_Export!$AA80+GREET1_Import_Export!$B298)+D$29*(GREET1_Import_Export!$B323+GREET1_Import_Export!$C323)</f>
        <v>544.19132045719402</v>
      </c>
      <c r="F45" s="347">
        <f>F$25*($B$5*GREET1_Import_Export!$K80+GREET1_Import_Export!$F$179*GREET1_Import_Export!$B194+GREET1_Import_Export!$F194)+F$26*(GREET1_Import_Export!U80+GREET1_Import_Export!$G$179*GREET1_Import_Export!$B194+GREET1_Import_Export!$G194)+F$27*($B$6*GREET1_Import_Export!$B80+GREET1_Import_Export!$B230)+F$28*($B$7*GREET1_Import_Export!$AA80+GREET1_Import_Export!$B298)
+F$29*($B$11*(GREET1_Import_Export!$B323+GREET1_Import_Export!$C323)+$C$11*GREET1_Import_Export!L356+$D$11*GREET1_Import_Export!H356+$E$11*GREET1_Import_Export!Q356+$F$11*GREET1_Import_Export!R356+SUMPRODUCT($G$11:$I$11,GREET1_Import_Export!N356:P356))</f>
        <v>36.435551099016536</v>
      </c>
      <c r="G45" s="348"/>
    </row>
    <row r="46" spans="1:7" s="349" customFormat="1">
      <c r="A46" s="347" t="s">
        <v>830</v>
      </c>
      <c r="B46" s="347">
        <f>B$25*($B$5*GREET1_Import_Export!$K81+GREET1_Import_Export!$F$179*GREET1_Import_Export!$B195+GREET1_Import_Export!$F195)+B$26*(GREET1_Import_Export!$O81+GREET1_Import_Export!$G$179*GREET1_Import_Export!$B195+GREET1_Import_Export!$G195)+B$27*($B$6*GREET1_Import_Export!$B81+GREET1_Import_Export!$B231)+B$28*($B$7*GREET1_Import_Export!$AA81+GREET1_Import_Export!$B299)+B$29*(GREET1_Import_Export!$B324+GREET1_Import_Export!$C324)</f>
        <v>5.2183871769013344</v>
      </c>
      <c r="C46" s="348"/>
      <c r="D46" s="349">
        <f>D$25*($B$5*GREET1_Import_Export!$K81+GREET1_Import_Export!$F$179*GREET1_Import_Export!$B195+GREET1_Import_Export!$F195)+D$26*(GREET1_Import_Export!Q81+GREET1_Import_Export!$G$179*GREET1_Import_Export!$B195+GREET1_Import_Export!$G195)+D$27*($B$6*GREET1_Import_Export!$B81+GREET1_Import_Export!$B231)+D$28*($B$7*GREET1_Import_Export!$AA81+GREET1_Import_Export!$B299)+D$29*(GREET1_Import_Export!$B324+GREET1_Import_Export!$C324)</f>
        <v>5.2183871769013344</v>
      </c>
      <c r="F46" s="347">
        <f>F$25*($B$5*GREET1_Import_Export!$K81+GREET1_Import_Export!$F$179*GREET1_Import_Export!$B195+GREET1_Import_Export!$F195)+F$26*(GREET1_Import_Export!U81+GREET1_Import_Export!$G$179*GREET1_Import_Export!$B195+GREET1_Import_Export!$G195)+F$27*($B$6*GREET1_Import_Export!$B81+GREET1_Import_Export!$B231)+F$28*($B$7*GREET1_Import_Export!$AA81+GREET1_Import_Export!$B299)
+F$29*($B$11*(GREET1_Import_Export!$B324+GREET1_Import_Export!$C324)+$C$11*GREET1_Import_Export!L357+$D$11*GREET1_Import_Export!H357+$E$11*GREET1_Import_Export!Q357+$F$11*GREET1_Import_Export!R357+SUMPRODUCT($G$11:$I$11,GREET1_Import_Export!N357:P357))</f>
        <v>0.35671893545958555</v>
      </c>
      <c r="G46" s="348"/>
    </row>
    <row r="47" spans="1:7" s="419" customFormat="1">
      <c r="A47" s="668" t="s">
        <v>831</v>
      </c>
      <c r="B47" s="295">
        <f>B$25*($B$5*GREET1_Import_Export!$K82+GREET1_Import_Export!$F$179*GREET1_Import_Export!$B196+GREET1_Import_Export!$F196)+B$26*(GREET1_Import_Export!$O82+GREET1_Import_Export!$G$179*GREET1_Import_Export!$B196+GREET1_Import_Export!$G196)+B$27*($B$6*GREET1_Import_Export!$B82+GREET1_Import_Export!$B232)+B$28*($B$7*GREET1_Import_Export!$AA82+GREET1_Import_Export!$B300)+B$29*(GREET1_Import_Export!$B325+GREET1_Import_Export!$C325)</f>
        <v>196860.53703992948</v>
      </c>
      <c r="C47" s="752"/>
      <c r="D47" s="374">
        <f>D$25*($B$5*GREET1_Import_Export!$K82+GREET1_Import_Export!$F$179*GREET1_Import_Export!$B196+GREET1_Import_Export!$F196)+D$26*(GREET1_Import_Export!Q82+GREET1_Import_Export!$G$179*GREET1_Import_Export!$B196+GREET1_Import_Export!$G196)+D$27*($B$6*GREET1_Import_Export!$B82+GREET1_Import_Export!$B232)+D$28*($B$7*GREET1_Import_Export!$AA82+GREET1_Import_Export!$B300)+D$29*(GREET1_Import_Export!$B325+GREET1_Import_Export!$C325)</f>
        <v>196860.53703992948</v>
      </c>
      <c r="E47" s="374"/>
      <c r="F47" s="668">
        <f>F$25*($B$5*GREET1_Import_Export!$K82+GREET1_Import_Export!$F$179*GREET1_Import_Export!$B196+GREET1_Import_Export!$F196)+F$26*(GREET1_Import_Export!U82+GREET1_Import_Export!$G$179*GREET1_Import_Export!$B196+GREET1_Import_Export!$G196)+F$27*($B$6*GREET1_Import_Export!$B82+GREET1_Import_Export!$B232)+F$28*($B$7*GREET1_Import_Export!$AA82+GREET1_Import_Export!$B300)
+F$29*($B$11*(GREET1_Import_Export!$B325+GREET1_Import_Export!$C325)+$C$11*GREET1_Import_Export!L358+$D$11*GREET1_Import_Export!H358+$E$11*GREET1_Import_Export!Q358+$F$11*GREET1_Import_Export!R358+SUMPRODUCT($G$11:$I$11,GREET1_Import_Export!N358:P358))</f>
        <v>12043.664419419636</v>
      </c>
      <c r="G47" s="752"/>
    </row>
    <row r="48" spans="1:7" s="349" customFormat="1">
      <c r="A48" s="758" t="s">
        <v>1455</v>
      </c>
      <c r="B48" s="347"/>
      <c r="C48" s="348"/>
      <c r="D48" s="389"/>
      <c r="F48" s="661" t="s">
        <v>1453</v>
      </c>
      <c r="G48" s="348"/>
    </row>
    <row r="49" spans="1:7" s="349" customFormat="1">
      <c r="A49" s="347" t="s">
        <v>821</v>
      </c>
      <c r="B49" s="347">
        <f>B$25*(B$17*($B$5*GREET1_Import_Export!$K72)+GREET1_Import_Export!$F$200*GREET1_Import_Export!$B201+GREET1_Import_Export!$F201)+B$26*(B$17*(GREET1_Import_Export!$O72)+GREET1_Import_Export!$G$200*GREET1_Import_Export!$B201+GREET1_Import_Export!$G201)+B$27*(B$17*($B$6*GREET1_Import_Export!$B72)+GREET1_Import_Export!$B237)+B$28*(B$17*($B$7*GREET1_Import_Export!$AA72)+GREET1_Import_Export!$C290)+B$29*(GREET1_Import_Export!$D315+GREET1_Import_Export!$E315)</f>
        <v>1.6081540604437603</v>
      </c>
      <c r="C49" s="348"/>
      <c r="D49" s="349">
        <f>D$25*(D$17*($B$5*GREET1_Import_Export!$K72)+GREET1_Import_Export!$F$200*GREET1_Import_Export!$B201+GREET1_Import_Export!$F201)+D$26*(D$17*(GREET1_Import_Export!$O72)+GREET1_Import_Export!$G$200*GREET1_Import_Export!$B201+GREET1_Import_Export!$G201)+D$27*(D$17*($B$6*GREET1_Import_Export!$B72)+GREET1_Import_Export!$B237)+D$28*(D$17*($B$7*GREET1_Import_Export!$AA72)+GREET1_Import_Export!$C290)+D$29*(GREET1_Import_Export!$D315+GREET1_Import_Export!$E315)</f>
        <v>1.6081540604437603</v>
      </c>
      <c r="F49" s="347">
        <f>F$25*(F$17*($B$5*GREET1_Import_Export!$K72)+GREET1_Import_Export!$F$200*GREET1_Import_Export!$B201+GREET1_Import_Export!$F201)+F$26*(F$17*(GREET1_Import_Export!$O72)+GREET1_Import_Export!$G$200*GREET1_Import_Export!$B201+GREET1_Import_Export!$G201)+F$27*(F$17*($B$6*GREET1_Import_Export!$B72)+GREET1_Import_Export!$B237)+F$28*(F$17*($B$7*GREET1_Import_Export!$AA72)+GREET1_Import_Export!$C290)
+F$29*($B$11*(GREET1_Import_Export!$D315+GREET1_Import_Export!$E315)+$C$11*GREET1_Import_Export!L363+$D$11*GREET1_Import_Export!H363+$E$11*GREET1_Import_Export!Q363+$F$11*GREET1_Import_Export!R363+SUMPRODUCT($G$11:$I$11,GREET1_Import_Export!N363:P363))</f>
        <v>0.10383478868014308</v>
      </c>
      <c r="G49" s="348"/>
    </row>
    <row r="50" spans="1:7" s="349" customFormat="1">
      <c r="A50" s="347" t="s">
        <v>822</v>
      </c>
      <c r="B50" s="347">
        <f>B$25*(B$17*($B$5*GREET1_Import_Export!$K73)+GREET1_Import_Export!$F$200*GREET1_Import_Export!$B202+GREET1_Import_Export!$F202)+B$26*(B$17*(GREET1_Import_Export!$O73)+GREET1_Import_Export!$G$200*GREET1_Import_Export!$B202+GREET1_Import_Export!$G202)+B$27*(B$17*($B$6*GREET1_Import_Export!$B73)+GREET1_Import_Export!$B238)+B$28*(B$17*($B$7*GREET1_Import_Export!$AA73)+GREET1_Import_Export!$C291)+B$29*(GREET1_Import_Export!$D316+GREET1_Import_Export!$E316)</f>
        <v>9.6734647035788992</v>
      </c>
      <c r="C50" s="348"/>
      <c r="D50" s="349">
        <f>D$25*(D$17*($B$5*GREET1_Import_Export!$K73)+GREET1_Import_Export!$F$200*GREET1_Import_Export!$B202+GREET1_Import_Export!$F202)+D$26*(D$17*(GREET1_Import_Export!$O73)+GREET1_Import_Export!$G$200*GREET1_Import_Export!$B202+GREET1_Import_Export!$G202)+D$27*(D$17*($B$6*GREET1_Import_Export!$B73)+GREET1_Import_Export!$B238)+D$28*(D$17*($B$7*GREET1_Import_Export!$AA73)+GREET1_Import_Export!$C291)+D$29*(GREET1_Import_Export!$D316+GREET1_Import_Export!$E316)</f>
        <v>9.6734647035788992</v>
      </c>
      <c r="F50" s="347">
        <f>F$25*(F$17*($B$5*GREET1_Import_Export!$K73)+GREET1_Import_Export!$F$200*GREET1_Import_Export!$B202+GREET1_Import_Export!$F202)+F$26*(F$17*(GREET1_Import_Export!$O73)+GREET1_Import_Export!$G$200*GREET1_Import_Export!$B202+GREET1_Import_Export!$G202)+F$27*(F$17*($B$6*GREET1_Import_Export!$B73)+GREET1_Import_Export!$B238)+F$28*(F$17*($B$7*GREET1_Import_Export!$AA73)+GREET1_Import_Export!$C291)
+F$29*($B$11*(GREET1_Import_Export!$D316+GREET1_Import_Export!$E316)+$C$11*GREET1_Import_Export!L364+$D$11*GREET1_Import_Export!H364+$E$11*GREET1_Import_Export!Q364+$F$11*GREET1_Import_Export!R364+SUMPRODUCT($G$11:$I$11,GREET1_Import_Export!N364:P364))</f>
        <v>0.56200392757837681</v>
      </c>
      <c r="G50" s="348"/>
    </row>
    <row r="51" spans="1:7" s="349" customFormat="1">
      <c r="A51" s="347" t="s">
        <v>823</v>
      </c>
      <c r="B51" s="347">
        <f>B$25*(B$17*($B$5*GREET1_Import_Export!$K74)+GREET1_Import_Export!$F$200*GREET1_Import_Export!$B203+GREET1_Import_Export!$F203)+B$26*(B$17*(GREET1_Import_Export!$O74)+GREET1_Import_Export!$G$200*GREET1_Import_Export!$B203+GREET1_Import_Export!$G203)+B$27*(B$17*($B$6*GREET1_Import_Export!$B74)+GREET1_Import_Export!$B239)+B$28*(B$17*($B$7*GREET1_Import_Export!$AA74)+GREET1_Import_Export!$C292)+B$29*(GREET1_Import_Export!$D317+GREET1_Import_Export!$E317)</f>
        <v>21.51020185876628</v>
      </c>
      <c r="C51" s="348"/>
      <c r="D51" s="349">
        <f>D$25*(D$17*($B$5*GREET1_Import_Export!$K74)+GREET1_Import_Export!$F$200*GREET1_Import_Export!$B203+GREET1_Import_Export!$F203)+D$26*(D$17*(GREET1_Import_Export!$O74)+GREET1_Import_Export!$G$200*GREET1_Import_Export!$B203+GREET1_Import_Export!$G203)+D$27*(D$17*($B$6*GREET1_Import_Export!$B74)+GREET1_Import_Export!$B239)+D$28*(D$17*($B$7*GREET1_Import_Export!$AA74)+GREET1_Import_Export!$C292)+D$29*(GREET1_Import_Export!$D317+GREET1_Import_Export!$E317)</f>
        <v>21.51020185876628</v>
      </c>
      <c r="F51" s="347">
        <f>F$25*(F$17*($B$5*GREET1_Import_Export!$K74)+GREET1_Import_Export!$F$200*GREET1_Import_Export!$B203+GREET1_Import_Export!$F203)+F$26*(F$17*(GREET1_Import_Export!$O74)+GREET1_Import_Export!$G$200*GREET1_Import_Export!$B203+GREET1_Import_Export!$G203)+F$27*(F$17*($B$6*GREET1_Import_Export!$B74)+GREET1_Import_Export!$B239)+F$28*(F$17*($B$7*GREET1_Import_Export!$AA74)+GREET1_Import_Export!$C292)
+F$29*($B$11*(GREET1_Import_Export!$D317+GREET1_Import_Export!$E317)+$C$11*GREET1_Import_Export!L365+$D$11*GREET1_Import_Export!H365+$E$11*GREET1_Import_Export!Q365+$F$11*GREET1_Import_Export!R365+SUMPRODUCT($G$11:$I$11,GREET1_Import_Export!N365:P365))</f>
        <v>0.99179264012164825</v>
      </c>
      <c r="G51" s="348"/>
    </row>
    <row r="52" spans="1:7" s="349" customFormat="1">
      <c r="A52" s="347" t="s">
        <v>824</v>
      </c>
      <c r="B52" s="347">
        <f>B$25*(B$17*($B$5*GREET1_Import_Export!$K75)+GREET1_Import_Export!$F$200*GREET1_Import_Export!$B204+GREET1_Import_Export!$F204)+B$26*(B$17*(GREET1_Import_Export!$O75)+GREET1_Import_Export!$G$200*GREET1_Import_Export!$B204+GREET1_Import_Export!$G204)+B$27*(B$17*($B$6*GREET1_Import_Export!$B75)+GREET1_Import_Export!$B240)+B$28*(B$17*($B$7*GREET1_Import_Export!$AA75)+GREET1_Import_Export!$C293)+B$29*(GREET1_Import_Export!$D318+GREET1_Import_Export!$E318)</f>
        <v>2.2441820666486825</v>
      </c>
      <c r="C52" s="348"/>
      <c r="D52" s="349">
        <f>D$25*(D$17*($B$5*GREET1_Import_Export!$K75)+GREET1_Import_Export!$F$200*GREET1_Import_Export!$B204+GREET1_Import_Export!$F204)+D$26*(D$17*(GREET1_Import_Export!$O75)+GREET1_Import_Export!$G$200*GREET1_Import_Export!$B204+GREET1_Import_Export!$G204)+D$27*(D$17*($B$6*GREET1_Import_Export!$B75)+GREET1_Import_Export!$B240)+D$28*(D$17*($B$7*GREET1_Import_Export!$AA75)+GREET1_Import_Export!$C293)+D$29*(GREET1_Import_Export!$D318+GREET1_Import_Export!$E318)</f>
        <v>2.2441820666486825</v>
      </c>
      <c r="F52" s="347">
        <f>F$25*(F$17*($B$5*GREET1_Import_Export!$K75)+GREET1_Import_Export!$F$200*GREET1_Import_Export!$B204+GREET1_Import_Export!$F204)+F$26*(F$17*(GREET1_Import_Export!$O75)+GREET1_Import_Export!$G$200*GREET1_Import_Export!$B204+GREET1_Import_Export!$G204)+F$27*(F$17*($B$6*GREET1_Import_Export!$B75)+GREET1_Import_Export!$B240)+F$28*(F$17*($B$7*GREET1_Import_Export!$AA75)+GREET1_Import_Export!$C293)
+F$29*($B$11*(GREET1_Import_Export!$D318+GREET1_Import_Export!$E318)+$C$11*GREET1_Import_Export!L366+$D$11*GREET1_Import_Export!H366+$E$11*GREET1_Import_Export!Q366+$F$11*GREET1_Import_Export!R366+SUMPRODUCT($G$11:$I$11,GREET1_Import_Export!N366:P366))</f>
        <v>7.4021716729723755E-2</v>
      </c>
      <c r="G52" s="348"/>
    </row>
    <row r="53" spans="1:7" s="349" customFormat="1">
      <c r="A53" s="347" t="s">
        <v>825</v>
      </c>
      <c r="B53" s="347">
        <f>B$25*(B$17*($B$5*GREET1_Import_Export!$K76)+GREET1_Import_Export!$F$200*GREET1_Import_Export!$B205+GREET1_Import_Export!$F205)+B$26*(B$17*(GREET1_Import_Export!$O76)+GREET1_Import_Export!$G$200*GREET1_Import_Export!$B205+GREET1_Import_Export!$G205)+B$27*(B$17*($B$6*GREET1_Import_Export!$B76)+GREET1_Import_Export!$B241)+B$28*(B$17*($B$7*GREET1_Import_Export!$AA76)+GREET1_Import_Export!$C294)+B$29*(GREET1_Import_Export!$D319+GREET1_Import_Export!$E319)</f>
        <v>1.9743004605169667</v>
      </c>
      <c r="C53" s="348"/>
      <c r="D53" s="349">
        <f>D$25*(D$17*($B$5*GREET1_Import_Export!$K76)+GREET1_Import_Export!$F$200*GREET1_Import_Export!$B205+GREET1_Import_Export!$F205)+D$26*(D$17*(GREET1_Import_Export!$O76)+GREET1_Import_Export!$G$200*GREET1_Import_Export!$B205+GREET1_Import_Export!$G205)+D$27*(D$17*($B$6*GREET1_Import_Export!$B76)+GREET1_Import_Export!$B241)+D$28*(D$17*($B$7*GREET1_Import_Export!$AA76)+GREET1_Import_Export!$C294)+D$29*(GREET1_Import_Export!$D319+GREET1_Import_Export!$E319)</f>
        <v>1.9743004605169667</v>
      </c>
      <c r="F53" s="347">
        <f>F$25*(F$17*($B$5*GREET1_Import_Export!$K76)+GREET1_Import_Export!$F$200*GREET1_Import_Export!$B205+GREET1_Import_Export!$F205)+F$26*(F$17*(GREET1_Import_Export!$O76)+GREET1_Import_Export!$G$200*GREET1_Import_Export!$B205+GREET1_Import_Export!$G205)+F$27*(F$17*($B$6*GREET1_Import_Export!$B76)+GREET1_Import_Export!$B241)+F$28*(F$17*($B$7*GREET1_Import_Export!$AA76)+GREET1_Import_Export!$C294)
+F$29*($B$11*(GREET1_Import_Export!$D319+GREET1_Import_Export!$E319)+$C$11*GREET1_Import_Export!L367+$D$11*GREET1_Import_Export!H367+$E$11*GREET1_Import_Export!Q367+$F$11*GREET1_Import_Export!R367+SUMPRODUCT($G$11:$I$11,GREET1_Import_Export!N367:P367))</f>
        <v>6.5175457478282059E-2</v>
      </c>
      <c r="G53" s="348"/>
    </row>
    <row r="54" spans="1:7" s="349" customFormat="1">
      <c r="A54" s="347" t="s">
        <v>826</v>
      </c>
      <c r="B54" s="347">
        <f>B$25*(B$17*($B$5*GREET1_Import_Export!$K77)+GREET1_Import_Export!$F$200*GREET1_Import_Export!$B206+GREET1_Import_Export!$F206)+B$26*(B$17*(GREET1_Import_Export!$O77)+GREET1_Import_Export!$G$200*GREET1_Import_Export!$B206+GREET1_Import_Export!$G206)+B$27*(B$17*($B$6*GREET1_Import_Export!$B77)+GREET1_Import_Export!$B242)+B$28*(B$17*($B$7*GREET1_Import_Export!$AA77)+GREET1_Import_Export!$C295)+B$29*(GREET1_Import_Export!$D320+GREET1_Import_Export!$E320)</f>
        <v>16.755810634573486</v>
      </c>
      <c r="C54" s="348"/>
      <c r="D54" s="349">
        <f>D$25*(D$17*($B$5*GREET1_Import_Export!$K77)+GREET1_Import_Export!$F$200*GREET1_Import_Export!$B206+GREET1_Import_Export!$F206)+D$26*(D$17*(GREET1_Import_Export!$O77)+GREET1_Import_Export!$G$200*GREET1_Import_Export!$B206+GREET1_Import_Export!$G206)+D$27*(D$17*($B$6*GREET1_Import_Export!$B77)+GREET1_Import_Export!$B242)+D$28*(D$17*($B$7*GREET1_Import_Export!$AA77)+GREET1_Import_Export!$C295)+D$29*(GREET1_Import_Export!$D320+GREET1_Import_Export!$E320)</f>
        <v>16.755810634573486</v>
      </c>
      <c r="F54" s="347">
        <f>F$25*(F$17*($B$5*GREET1_Import_Export!$K77)+GREET1_Import_Export!$F$200*GREET1_Import_Export!$B206+GREET1_Import_Export!$F206)+F$26*(F$17*(GREET1_Import_Export!$O77)+GREET1_Import_Export!$G$200*GREET1_Import_Export!$B206+GREET1_Import_Export!$G206)+F$27*(F$17*($B$6*GREET1_Import_Export!$B77)+GREET1_Import_Export!$B242)+F$28*(F$17*($B$7*GREET1_Import_Export!$AA77)+GREET1_Import_Export!$C295)
+F$29*($B$11*(GREET1_Import_Export!$D320+GREET1_Import_Export!$E320)+$C$11*GREET1_Import_Export!L368+$D$11*GREET1_Import_Export!H368+$E$11*GREET1_Import_Export!Q368+$F$11*GREET1_Import_Export!R368+SUMPRODUCT($G$11:$I$11,GREET1_Import_Export!N368:P368))</f>
        <v>0.55595087005687027</v>
      </c>
      <c r="G54" s="348"/>
    </row>
    <row r="55" spans="1:7" s="349" customFormat="1">
      <c r="A55" s="347" t="s">
        <v>827</v>
      </c>
      <c r="B55" s="347">
        <f>B$25*(B$17*($B$5*GREET1_Import_Export!$K78)+GREET1_Import_Export!$F$200*GREET1_Import_Export!$B207+GREET1_Import_Export!$F207)+B$26*(B$17*(GREET1_Import_Export!$O78)+GREET1_Import_Export!$G$200*GREET1_Import_Export!$B207+GREET1_Import_Export!$G207)+B$27*(B$17*($B$6*GREET1_Import_Export!$B78)+GREET1_Import_Export!$B243)+B$28*(B$17*($B$7*GREET1_Import_Export!$AA78)+GREET1_Import_Export!$C296)+B$29*(GREET1_Import_Export!$D321+GREET1_Import_Export!$E321)</f>
        <v>0.10396979059958361</v>
      </c>
      <c r="C55" s="348"/>
      <c r="D55" s="349">
        <f>D$25*(D$17*($B$5*GREET1_Import_Export!$K78)+GREET1_Import_Export!$F$200*GREET1_Import_Export!$B207+GREET1_Import_Export!$F207)+D$26*(D$17*(GREET1_Import_Export!$O78)+GREET1_Import_Export!$G$200*GREET1_Import_Export!$B207+GREET1_Import_Export!$G207)+D$27*(D$17*($B$6*GREET1_Import_Export!$B78)+GREET1_Import_Export!$B243)+D$28*(D$17*($B$7*GREET1_Import_Export!$AA78)+GREET1_Import_Export!$C296)+D$29*(GREET1_Import_Export!$D321+GREET1_Import_Export!$E321)</f>
        <v>0.10396979059958361</v>
      </c>
      <c r="F55" s="347">
        <f>F$25*(F$17*($B$5*GREET1_Import_Export!$K78)+GREET1_Import_Export!$F$200*GREET1_Import_Export!$B207+GREET1_Import_Export!$F207)+F$26*(F$17*(GREET1_Import_Export!$O78)+GREET1_Import_Export!$G$200*GREET1_Import_Export!$B207+GREET1_Import_Export!$G207)+F$27*(F$17*($B$6*GREET1_Import_Export!$B78)+GREET1_Import_Export!$B243)+F$28*(F$17*($B$7*GREET1_Import_Export!$AA78)+GREET1_Import_Export!$C296)
+F$29*($B$11*(GREET1_Import_Export!$D321+GREET1_Import_Export!$E321)+$C$11*GREET1_Import_Export!L369+$D$11*GREET1_Import_Export!H369+$E$11*GREET1_Import_Export!Q369+$F$11*GREET1_Import_Export!R369+SUMPRODUCT($G$11:$I$11,GREET1_Import_Export!N369:P369))</f>
        <v>3.5656319816076689E-3</v>
      </c>
      <c r="G55" s="348"/>
    </row>
    <row r="56" spans="1:7" s="349" customFormat="1">
      <c r="A56" s="503" t="s">
        <v>828</v>
      </c>
      <c r="B56" s="503">
        <f>B$25*(B$17*($B$5*GREET1_Import_Export!$K79)+GREET1_Import_Export!$F$200*GREET1_Import_Export!$B208+GREET1_Import_Export!$F208)+B$26*(B$17*(GREET1_Import_Export!$O79)+GREET1_Import_Export!$G$200*GREET1_Import_Export!$B208+GREET1_Import_Export!$G208)+B$27*(B$17*($B$6*GREET1_Import_Export!$B79)+GREET1_Import_Export!$B244)+B$28*(B$17*($B$7*GREET1_Import_Export!$AA79)+GREET1_Import_Export!$C297)+B$29*(GREET1_Import_Export!$D322+GREET1_Import_Export!$E322)</f>
        <v>0.56576462550571205</v>
      </c>
      <c r="C56" s="502"/>
      <c r="D56" s="505">
        <f>D$25*(D$17*($B$5*GREET1_Import_Export!$K79)+GREET1_Import_Export!$F$200*GREET1_Import_Export!$B208+GREET1_Import_Export!$F208)+D$26*(D$17*(GREET1_Import_Export!$O79)+GREET1_Import_Export!$G$200*GREET1_Import_Export!$B208+GREET1_Import_Export!$G208)+D$27*(D$17*($B$6*GREET1_Import_Export!$B79)+GREET1_Import_Export!$B244)+D$28*(D$17*($B$7*GREET1_Import_Export!$AA79)+GREET1_Import_Export!$C297)+D$29*(GREET1_Import_Export!$D322+GREET1_Import_Export!$E322)</f>
        <v>0.56576462550571205</v>
      </c>
      <c r="E56" s="505"/>
      <c r="F56" s="503">
        <f>F$25*(F$17*($B$5*GREET1_Import_Export!$K79)+GREET1_Import_Export!$F$200*GREET1_Import_Export!$B208+GREET1_Import_Export!$F208)+F$26*(F$17*(GREET1_Import_Export!$O79)+GREET1_Import_Export!$G$200*GREET1_Import_Export!$B208+GREET1_Import_Export!$G208)+F$27*(F$17*($B$6*GREET1_Import_Export!$B79)+GREET1_Import_Export!$B244)+F$28*(F$17*($B$7*GREET1_Import_Export!$AA79)+GREET1_Import_Export!$C297)
+F$29*($B$11*(GREET1_Import_Export!$D322+GREET1_Import_Export!$E322)+$C$11*GREET1_Import_Export!L370+$D$11*GREET1_Import_Export!H370+$E$11*GREET1_Import_Export!Q370+$F$11*GREET1_Import_Export!R370+SUMPRODUCT($G$11:$I$11,GREET1_Import_Export!N370:P370))</f>
        <v>1.8743327505385966E-2</v>
      </c>
      <c r="G56" s="502"/>
    </row>
    <row r="57" spans="1:7" s="349" customFormat="1"/>
    <row r="58" spans="1:7" s="349" customFormat="1" ht="15">
      <c r="A58" s="602" t="s">
        <v>1456</v>
      </c>
    </row>
    <row r="59" spans="1:7" s="349" customFormat="1" ht="40.5" customHeight="1">
      <c r="A59" s="510"/>
      <c r="B59" s="3072" t="s">
        <v>1449</v>
      </c>
      <c r="C59" s="3079"/>
      <c r="D59" s="3094" t="s">
        <v>1450</v>
      </c>
      <c r="E59" s="3094"/>
      <c r="F59" s="1711" t="s">
        <v>1457</v>
      </c>
      <c r="G59" s="1321"/>
    </row>
    <row r="60" spans="1:7" s="349" customFormat="1">
      <c r="A60" s="699" t="s">
        <v>1029</v>
      </c>
      <c r="B60" s="679" t="s">
        <v>845</v>
      </c>
      <c r="C60" s="673" t="s">
        <v>846</v>
      </c>
      <c r="D60" s="679" t="s">
        <v>845</v>
      </c>
      <c r="E60" s="673" t="s">
        <v>846</v>
      </c>
      <c r="F60" s="677" t="s">
        <v>1453</v>
      </c>
      <c r="G60" s="1321"/>
    </row>
    <row r="61" spans="1:7" s="349" customFormat="1">
      <c r="A61" s="347" t="s">
        <v>816</v>
      </c>
      <c r="B61" s="494">
        <f>B30</f>
        <v>3.3471895933626428</v>
      </c>
      <c r="C61" s="348">
        <f>B61/2000</f>
        <v>1.6735947966813214E-3</v>
      </c>
      <c r="D61" s="494">
        <f>D30</f>
        <v>3.3471895933626428</v>
      </c>
      <c r="E61" s="348">
        <f>D61/2000</f>
        <v>1.6735947966813214E-3</v>
      </c>
      <c r="F61" s="494">
        <f>F30</f>
        <v>0.20396201399675187</v>
      </c>
      <c r="G61" s="1321"/>
    </row>
    <row r="62" spans="1:7" s="349" customFormat="1">
      <c r="A62" s="347" t="s">
        <v>817</v>
      </c>
      <c r="B62" s="494">
        <f>B31</f>
        <v>2.9774662275208192</v>
      </c>
      <c r="C62" s="348">
        <f>B62/2000</f>
        <v>1.4887331137604096E-3</v>
      </c>
      <c r="D62" s="494">
        <f>D31</f>
        <v>2.9774662275208192</v>
      </c>
      <c r="E62" s="348">
        <f>D62/2000</f>
        <v>1.4887331137604096E-3</v>
      </c>
      <c r="F62" s="494">
        <f>F31</f>
        <v>0.19191066557470926</v>
      </c>
      <c r="G62" s="1321"/>
    </row>
    <row r="63" spans="1:7" s="349" customFormat="1">
      <c r="A63" s="347" t="s">
        <v>805</v>
      </c>
      <c r="B63" s="494">
        <f>B32</f>
        <v>0.48874439748406612</v>
      </c>
      <c r="C63" s="348">
        <f>B63/2000</f>
        <v>2.4437219874203305E-4</v>
      </c>
      <c r="D63" s="494">
        <f>D32</f>
        <v>0.48874439748406612</v>
      </c>
      <c r="E63" s="348">
        <f>D63/2000</f>
        <v>2.4437219874203305E-4</v>
      </c>
      <c r="F63" s="494">
        <f>F32</f>
        <v>1.5930810469472471E-2</v>
      </c>
      <c r="G63" s="1321"/>
    </row>
    <row r="64" spans="1:7" s="349" customFormat="1">
      <c r="A64" s="347" t="s">
        <v>804</v>
      </c>
      <c r="B64" s="494">
        <f>B62-B63-B65</f>
        <v>2.4677512848790482</v>
      </c>
      <c r="C64" s="348">
        <f>C62-C63-C65</f>
        <v>1.2338756424395241E-3</v>
      </c>
      <c r="D64" s="494">
        <f>D62-D63-D65</f>
        <v>2.4677512848790482</v>
      </c>
      <c r="E64" s="348">
        <f>E62-E63-E65</f>
        <v>1.2338756424395241E-3</v>
      </c>
      <c r="F64" s="494">
        <f>F62-F63-F65</f>
        <v>0.17495300970684133</v>
      </c>
      <c r="G64" s="1321"/>
    </row>
    <row r="65" spans="1:7" s="349" customFormat="1">
      <c r="A65" s="347" t="s">
        <v>818</v>
      </c>
      <c r="B65" s="494">
        <f>B34</f>
        <v>2.0970545157705134E-2</v>
      </c>
      <c r="C65" s="348">
        <f>B65/2000</f>
        <v>1.0485272578852566E-5</v>
      </c>
      <c r="D65" s="494">
        <f>D34</f>
        <v>2.0970545157705134E-2</v>
      </c>
      <c r="E65" s="348">
        <f>D65/2000</f>
        <v>1.0485272578852566E-5</v>
      </c>
      <c r="F65" s="494">
        <f>F34</f>
        <v>1.0268453983954405E-3</v>
      </c>
      <c r="G65" s="1321"/>
    </row>
    <row r="66" spans="1:7" s="349" customFormat="1">
      <c r="A66" s="1570" t="s">
        <v>819</v>
      </c>
      <c r="B66" s="1504">
        <f>B35</f>
        <v>99.38596159310309</v>
      </c>
      <c r="C66" s="1573">
        <f>B66/2000</f>
        <v>4.9692980796551545E-2</v>
      </c>
      <c r="D66" s="1504">
        <f>D35</f>
        <v>99.38596159310309</v>
      </c>
      <c r="E66" s="1573">
        <f>D66/2000</f>
        <v>4.9692980796551545E-2</v>
      </c>
      <c r="F66" s="1504">
        <f>SUM(F35:G35)</f>
        <v>12.088580495971478</v>
      </c>
      <c r="G66" s="1321"/>
    </row>
    <row r="67" spans="1:7" s="349" customFormat="1">
      <c r="A67" s="699" t="s">
        <v>1030</v>
      </c>
      <c r="B67" s="679" t="s">
        <v>845</v>
      </c>
      <c r="C67" s="673" t="s">
        <v>846</v>
      </c>
      <c r="D67" s="679" t="s">
        <v>845</v>
      </c>
      <c r="E67" s="673" t="s">
        <v>846</v>
      </c>
      <c r="F67" s="677" t="s">
        <v>1453</v>
      </c>
      <c r="G67" s="1321"/>
    </row>
    <row r="68" spans="1:7" s="349" customFormat="1">
      <c r="A68" s="347" t="s">
        <v>821</v>
      </c>
      <c r="B68" s="494">
        <f t="shared" ref="B68:B78" si="0">SUM(B37:C37)</f>
        <v>30.402010884131137</v>
      </c>
      <c r="C68" s="348">
        <f t="shared" ref="C68:C79" si="1">B68/2000</f>
        <v>1.5201005442065568E-2</v>
      </c>
      <c r="D68" s="494">
        <f t="shared" ref="D68:D78" si="2">SUM(D37:E37)</f>
        <v>30.402010884131137</v>
      </c>
      <c r="E68" s="348">
        <f t="shared" ref="E68:E79" si="3">D68/2000</f>
        <v>1.5201005442065568E-2</v>
      </c>
      <c r="F68" s="494">
        <f t="shared" ref="F68:F78" si="4">SUM(F37:G37)</f>
        <v>2.0943112846872713</v>
      </c>
      <c r="G68" s="1321"/>
    </row>
    <row r="69" spans="1:7" s="349" customFormat="1">
      <c r="A69" s="347" t="s">
        <v>822</v>
      </c>
      <c r="B69" s="494">
        <f t="shared" si="0"/>
        <v>108.96373196235233</v>
      </c>
      <c r="C69" s="348">
        <f t="shared" si="1"/>
        <v>5.4481865981176165E-2</v>
      </c>
      <c r="D69" s="494">
        <f t="shared" si="2"/>
        <v>108.96373196235233</v>
      </c>
      <c r="E69" s="348">
        <f t="shared" si="3"/>
        <v>5.4481865981176165E-2</v>
      </c>
      <c r="F69" s="494">
        <f t="shared" si="4"/>
        <v>8.1529953270486946</v>
      </c>
      <c r="G69" s="1321"/>
    </row>
    <row r="70" spans="1:7" s="349" customFormat="1">
      <c r="A70" s="347" t="s">
        <v>849</v>
      </c>
      <c r="B70" s="494">
        <f t="shared" si="0"/>
        <v>171.06485428410429</v>
      </c>
      <c r="C70" s="348">
        <f t="shared" si="1"/>
        <v>8.5532427142052142E-2</v>
      </c>
      <c r="D70" s="494">
        <f t="shared" si="2"/>
        <v>171.06485428410429</v>
      </c>
      <c r="E70" s="348">
        <f t="shared" si="3"/>
        <v>8.5532427142052142E-2</v>
      </c>
      <c r="F70" s="494">
        <f t="shared" si="4"/>
        <v>11.827084145385248</v>
      </c>
      <c r="G70" s="1321"/>
    </row>
    <row r="71" spans="1:7" s="349" customFormat="1">
      <c r="A71" s="347" t="s">
        <v>824</v>
      </c>
      <c r="B71" s="494">
        <f t="shared" si="0"/>
        <v>16.395106293835493</v>
      </c>
      <c r="C71" s="348">
        <f t="shared" si="1"/>
        <v>8.1975531469177468E-3</v>
      </c>
      <c r="D71" s="494">
        <f t="shared" si="2"/>
        <v>16.395106293835493</v>
      </c>
      <c r="E71" s="348">
        <f t="shared" si="3"/>
        <v>8.1975531469177468E-3</v>
      </c>
      <c r="F71" s="494">
        <f t="shared" si="4"/>
        <v>0.87096752752106665</v>
      </c>
      <c r="G71" s="1321"/>
    </row>
    <row r="72" spans="1:7" s="349" customFormat="1">
      <c r="A72" s="347" t="s">
        <v>825</v>
      </c>
      <c r="B72" s="494">
        <f t="shared" si="0"/>
        <v>12.020996745835989</v>
      </c>
      <c r="C72" s="348">
        <f t="shared" si="1"/>
        <v>6.0104983729179946E-3</v>
      </c>
      <c r="D72" s="494">
        <f t="shared" si="2"/>
        <v>12.020996745835989</v>
      </c>
      <c r="E72" s="348">
        <f t="shared" si="3"/>
        <v>6.0104983729179946E-3</v>
      </c>
      <c r="F72" s="494">
        <f t="shared" si="4"/>
        <v>0.72558038118511703</v>
      </c>
      <c r="G72" s="1321"/>
    </row>
    <row r="73" spans="1:7" s="349" customFormat="1">
      <c r="A73" s="347" t="s">
        <v>826</v>
      </c>
      <c r="B73" s="494">
        <f t="shared" si="0"/>
        <v>72.835169646072245</v>
      </c>
      <c r="C73" s="348">
        <f t="shared" si="1"/>
        <v>3.6417584823036121E-2</v>
      </c>
      <c r="D73" s="494">
        <f t="shared" si="2"/>
        <v>72.835169646072245</v>
      </c>
      <c r="E73" s="348">
        <f t="shared" si="3"/>
        <v>3.6417584823036121E-2</v>
      </c>
      <c r="F73" s="494">
        <f t="shared" si="4"/>
        <v>3.3440292356560382</v>
      </c>
      <c r="G73" s="1321"/>
    </row>
    <row r="74" spans="1:7" s="349" customFormat="1">
      <c r="A74" s="749" t="s">
        <v>827</v>
      </c>
      <c r="B74" s="494">
        <f t="shared" si="0"/>
        <v>1.3620367596220195</v>
      </c>
      <c r="C74" s="348">
        <f t="shared" si="1"/>
        <v>6.8101837981100971E-4</v>
      </c>
      <c r="D74" s="494">
        <f t="shared" si="2"/>
        <v>1.3620367596220195</v>
      </c>
      <c r="E74" s="348">
        <f t="shared" si="3"/>
        <v>6.8101837981100971E-4</v>
      </c>
      <c r="F74" s="494">
        <f t="shared" si="4"/>
        <v>0.10274925672320852</v>
      </c>
      <c r="G74" s="1321"/>
    </row>
    <row r="75" spans="1:7" s="349" customFormat="1">
      <c r="A75" s="749" t="s">
        <v>828</v>
      </c>
      <c r="B75" s="494">
        <f t="shared" si="0"/>
        <v>4.226621900296446</v>
      </c>
      <c r="C75" s="348">
        <f t="shared" si="1"/>
        <v>2.1133109501482229E-3</v>
      </c>
      <c r="D75" s="494">
        <f t="shared" si="2"/>
        <v>4.226621900296446</v>
      </c>
      <c r="E75" s="348">
        <f t="shared" si="3"/>
        <v>2.1133109501482229E-3</v>
      </c>
      <c r="F75" s="494">
        <f t="shared" si="4"/>
        <v>0.27914887586088549</v>
      </c>
      <c r="G75" s="1321"/>
    </row>
    <row r="76" spans="1:7" s="349" customFormat="1">
      <c r="A76" s="347" t="s">
        <v>829</v>
      </c>
      <c r="B76" s="494">
        <f t="shared" si="0"/>
        <v>544.19132045719402</v>
      </c>
      <c r="C76" s="348">
        <f t="shared" si="1"/>
        <v>0.27209566022859699</v>
      </c>
      <c r="D76" s="494">
        <f t="shared" si="2"/>
        <v>544.19132045719402</v>
      </c>
      <c r="E76" s="348">
        <f t="shared" si="3"/>
        <v>0.27209566022859699</v>
      </c>
      <c r="F76" s="494">
        <f t="shared" si="4"/>
        <v>36.435551099016536</v>
      </c>
      <c r="G76" s="1321"/>
    </row>
    <row r="77" spans="1:7" s="349" customFormat="1">
      <c r="A77" s="347" t="s">
        <v>830</v>
      </c>
      <c r="B77" s="494">
        <f t="shared" si="0"/>
        <v>5.2183871769013344</v>
      </c>
      <c r="C77" s="348">
        <f t="shared" si="1"/>
        <v>2.6091935884506672E-3</v>
      </c>
      <c r="D77" s="494">
        <f t="shared" si="2"/>
        <v>5.2183871769013344</v>
      </c>
      <c r="E77" s="348">
        <f t="shared" si="3"/>
        <v>2.6091935884506672E-3</v>
      </c>
      <c r="F77" s="494">
        <f t="shared" si="4"/>
        <v>0.35671893545958555</v>
      </c>
      <c r="G77" s="1321"/>
    </row>
    <row r="78" spans="1:7" s="419" customFormat="1">
      <c r="A78" s="517" t="s">
        <v>831</v>
      </c>
      <c r="B78" s="630">
        <f t="shared" si="0"/>
        <v>196860.53703992948</v>
      </c>
      <c r="C78" s="516">
        <f t="shared" si="1"/>
        <v>98.430268519964741</v>
      </c>
      <c r="D78" s="630">
        <f t="shared" si="2"/>
        <v>196860.53703992948</v>
      </c>
      <c r="E78" s="516">
        <f t="shared" si="3"/>
        <v>98.430268519964741</v>
      </c>
      <c r="F78" s="630">
        <f t="shared" si="4"/>
        <v>12043.664419419636</v>
      </c>
      <c r="G78" s="1321"/>
    </row>
    <row r="79" spans="1:7" s="419" customFormat="1">
      <c r="A79" s="517" t="s">
        <v>850</v>
      </c>
      <c r="B79" s="630">
        <f>B78+B68*GREET1_Import_Export!$B$62/GREET1_Import_Export!$B$65+B69*GREET1_Import_Export!$B$63/GREET1_Import_Export!$B$65</f>
        <v>197126.51869550679</v>
      </c>
      <c r="C79" s="516">
        <f t="shared" si="1"/>
        <v>98.563259347753402</v>
      </c>
      <c r="D79" s="630">
        <f>D78+D68*GREET1_Import_Export!$B$62/GREET1_Import_Export!$B$65+D69*GREET1_Import_Export!$B$63/GREET1_Import_Export!$B$65</f>
        <v>197126.51869550679</v>
      </c>
      <c r="E79" s="516">
        <f t="shared" si="3"/>
        <v>98.563259347753402</v>
      </c>
      <c r="F79" s="630">
        <f>F78+F68*GREET1_Import_Export!$B$62/GREET1_Import_Export!$B$65+F69*GREET1_Import_Export!$B$63/GREET1_Import_Export!$B$65</f>
        <v>12063.003539389892</v>
      </c>
      <c r="G79" s="1321"/>
    </row>
    <row r="80" spans="1:7" s="419" customFormat="1">
      <c r="A80" s="668" t="s">
        <v>851</v>
      </c>
      <c r="B80" s="756">
        <f>B79+SUMPRODUCT(B76:B77,GREET1_Import_Export!$B$51:$B$52)+SUMPRODUCT(B68:B70,GREET1_Import_Export!$B$55:$B$57)+SUMPRODUCT(B74:B75,GREET1_Import_Export!$B$58:$B$59)</f>
        <v>214835.13091110147</v>
      </c>
      <c r="C80" s="752">
        <f>C79+SUMPRODUCT(C76:C77,GREET1_Import_Export!$B$51:$B$52)+SUMPRODUCT(C68:C70,GREET1_Import_Export!$B$55:$B$57)+SUMPRODUCT(C74:C75,GREET1_Import_Export!$B$58:$B$59)</f>
        <v>107.41756545555074</v>
      </c>
      <c r="D80" s="756">
        <f>D79+SUMPRODUCT(D76:D77,GREET1_Import_Export!$B$51:$B$52)+SUMPRODUCT(D68:D70,GREET1_Import_Export!$B$55:$B$57)+SUMPRODUCT(D74:D75,GREET1_Import_Export!$B$58:$B$59)</f>
        <v>214835.13091110147</v>
      </c>
      <c r="E80" s="752">
        <f>E79+SUMPRODUCT(E76:E77,GREET1_Import_Export!$B$51:$B$52)+SUMPRODUCT(E68:E70,GREET1_Import_Export!$B$55:$B$57)+SUMPRODUCT(E74:E75,GREET1_Import_Export!$B$58:$B$59)</f>
        <v>107.41756545555074</v>
      </c>
      <c r="F80" s="756">
        <f>F79+SUMPRODUCT(F76:F77,GREET1_Import_Export!$B$51:$B$52)+SUMPRODUCT(F68:F70,GREET1_Import_Export!$B$55:$B$57)+SUMPRODUCT(F74:F75,GREET1_Import_Export!$B$58:$B$59)</f>
        <v>13250.600590257178</v>
      </c>
      <c r="G80" s="1321"/>
    </row>
    <row r="81" spans="1:7" s="349" customFormat="1">
      <c r="A81" s="758" t="s">
        <v>1031</v>
      </c>
      <c r="B81" s="762" t="s">
        <v>845</v>
      </c>
      <c r="C81" s="710" t="s">
        <v>846</v>
      </c>
      <c r="D81" s="762" t="s">
        <v>845</v>
      </c>
      <c r="E81" s="710" t="s">
        <v>846</v>
      </c>
      <c r="F81" s="677" t="s">
        <v>1453</v>
      </c>
      <c r="G81" s="1321"/>
    </row>
    <row r="82" spans="1:7" s="349" customFormat="1">
      <c r="A82" s="347" t="s">
        <v>821</v>
      </c>
      <c r="B82" s="494">
        <f t="shared" ref="B82:B89" si="5">SUM(B49:C49)</f>
        <v>1.6081540604437603</v>
      </c>
      <c r="C82" s="348">
        <f t="shared" ref="C82:C89" si="6">B82/2000</f>
        <v>8.0407703022188017E-4</v>
      </c>
      <c r="D82" s="494">
        <f t="shared" ref="D82:D89" si="7">SUM(D49:E49)</f>
        <v>1.6081540604437603</v>
      </c>
      <c r="E82" s="348">
        <f t="shared" ref="E82:E89" si="8">D82/2000</f>
        <v>8.0407703022188017E-4</v>
      </c>
      <c r="F82" s="494">
        <f t="shared" ref="F82:F89" si="9">SUM(F49:G49)</f>
        <v>0.10383478868014308</v>
      </c>
      <c r="G82" s="1321"/>
    </row>
    <row r="83" spans="1:7" s="349" customFormat="1">
      <c r="A83" s="347" t="s">
        <v>822</v>
      </c>
      <c r="B83" s="494">
        <f t="shared" si="5"/>
        <v>9.6734647035788992</v>
      </c>
      <c r="C83" s="348">
        <f t="shared" si="6"/>
        <v>4.8367323517894498E-3</v>
      </c>
      <c r="D83" s="494">
        <f t="shared" si="7"/>
        <v>9.6734647035788992</v>
      </c>
      <c r="E83" s="348">
        <f t="shared" si="8"/>
        <v>4.8367323517894498E-3</v>
      </c>
      <c r="F83" s="494">
        <f t="shared" si="9"/>
        <v>0.56200392757837681</v>
      </c>
      <c r="G83" s="1321"/>
    </row>
    <row r="84" spans="1:7" s="349" customFormat="1">
      <c r="A84" s="347" t="s">
        <v>823</v>
      </c>
      <c r="B84" s="494">
        <f t="shared" si="5"/>
        <v>21.51020185876628</v>
      </c>
      <c r="C84" s="348">
        <f t="shared" si="6"/>
        <v>1.075510092938314E-2</v>
      </c>
      <c r="D84" s="494">
        <f t="shared" si="7"/>
        <v>21.51020185876628</v>
      </c>
      <c r="E84" s="348">
        <f t="shared" si="8"/>
        <v>1.075510092938314E-2</v>
      </c>
      <c r="F84" s="494">
        <f t="shared" si="9"/>
        <v>0.99179264012164825</v>
      </c>
      <c r="G84" s="1321"/>
    </row>
    <row r="85" spans="1:7" s="349" customFormat="1">
      <c r="A85" s="749" t="s">
        <v>824</v>
      </c>
      <c r="B85" s="494">
        <f t="shared" si="5"/>
        <v>2.2441820666486825</v>
      </c>
      <c r="C85" s="348">
        <f t="shared" si="6"/>
        <v>1.1220910333243413E-3</v>
      </c>
      <c r="D85" s="494">
        <f t="shared" si="7"/>
        <v>2.2441820666486825</v>
      </c>
      <c r="E85" s="348">
        <f t="shared" si="8"/>
        <v>1.1220910333243413E-3</v>
      </c>
      <c r="F85" s="494">
        <f t="shared" si="9"/>
        <v>7.4021716729723755E-2</v>
      </c>
      <c r="G85" s="1321"/>
    </row>
    <row r="86" spans="1:7" s="349" customFormat="1">
      <c r="A86" s="347" t="s">
        <v>825</v>
      </c>
      <c r="B86" s="494">
        <f t="shared" si="5"/>
        <v>1.9743004605169667</v>
      </c>
      <c r="C86" s="348">
        <f t="shared" si="6"/>
        <v>9.8715023025848329E-4</v>
      </c>
      <c r="D86" s="494">
        <f t="shared" si="7"/>
        <v>1.9743004605169667</v>
      </c>
      <c r="E86" s="348">
        <f t="shared" si="8"/>
        <v>9.8715023025848329E-4</v>
      </c>
      <c r="F86" s="494">
        <f t="shared" si="9"/>
        <v>6.5175457478282059E-2</v>
      </c>
      <c r="G86" s="1321"/>
    </row>
    <row r="87" spans="1:7" s="349" customFormat="1">
      <c r="A87" s="749" t="s">
        <v>826</v>
      </c>
      <c r="B87" s="494">
        <f t="shared" si="5"/>
        <v>16.755810634573486</v>
      </c>
      <c r="C87" s="348">
        <f t="shared" si="6"/>
        <v>8.3779053172867435E-3</v>
      </c>
      <c r="D87" s="494">
        <f t="shared" si="7"/>
        <v>16.755810634573486</v>
      </c>
      <c r="E87" s="348">
        <f t="shared" si="8"/>
        <v>8.3779053172867435E-3</v>
      </c>
      <c r="F87" s="494">
        <f t="shared" si="9"/>
        <v>0.55595087005687027</v>
      </c>
      <c r="G87" s="1321"/>
    </row>
    <row r="88" spans="1:7" s="349" customFormat="1">
      <c r="A88" s="347" t="s">
        <v>827</v>
      </c>
      <c r="B88" s="494">
        <f t="shared" si="5"/>
        <v>0.10396979059958361</v>
      </c>
      <c r="C88" s="348">
        <f t="shared" si="6"/>
        <v>5.1984895299791805E-5</v>
      </c>
      <c r="D88" s="494">
        <f t="shared" si="7"/>
        <v>0.10396979059958361</v>
      </c>
      <c r="E88" s="348">
        <f t="shared" si="8"/>
        <v>5.1984895299791805E-5</v>
      </c>
      <c r="F88" s="494">
        <f t="shared" si="9"/>
        <v>3.5656319816076689E-3</v>
      </c>
      <c r="G88" s="1321"/>
    </row>
    <row r="89" spans="1:7" s="349" customFormat="1">
      <c r="A89" s="501" t="s">
        <v>828</v>
      </c>
      <c r="B89" s="504">
        <f t="shared" si="5"/>
        <v>0.56576462550571205</v>
      </c>
      <c r="C89" s="502">
        <f t="shared" si="6"/>
        <v>2.8288231275285604E-4</v>
      </c>
      <c r="D89" s="504">
        <f t="shared" si="7"/>
        <v>0.56576462550571205</v>
      </c>
      <c r="E89" s="502">
        <f t="shared" si="8"/>
        <v>2.8288231275285604E-4</v>
      </c>
      <c r="F89" s="504">
        <f t="shared" si="9"/>
        <v>1.8743327505385966E-2</v>
      </c>
      <c r="G89" s="1321"/>
    </row>
    <row r="90" spans="1:7">
      <c r="G90" s="1321"/>
    </row>
  </sheetData>
  <mergeCells count="5">
    <mergeCell ref="B14:C14"/>
    <mergeCell ref="D14:E14"/>
    <mergeCell ref="F14:G14"/>
    <mergeCell ref="D59:E59"/>
    <mergeCell ref="B59:C59"/>
  </mergeCells>
  <phoneticPr fontId="4" type="noConversion"/>
  <pageMargins left="0.75" right="0.75" top="1" bottom="1" header="0.5" footer="0.5"/>
  <pageSetup paperSize="9" orientation="landscape"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1"/>
  <dimension ref="A1:BI279"/>
  <sheetViews>
    <sheetView showGridLines="0" zoomScale="85" zoomScaleNormal="85" workbookViewId="0"/>
  </sheetViews>
  <sheetFormatPr defaultColWidth="9.140625" defaultRowHeight="12.75"/>
  <cols>
    <col min="1" max="1" width="30.42578125" style="5" customWidth="1"/>
    <col min="2" max="4" width="12.7109375" style="5" bestFit="1" customWidth="1"/>
    <col min="5" max="5" width="10.42578125" style="5" customWidth="1"/>
    <col min="6" max="11" width="12.7109375" style="5" bestFit="1" customWidth="1"/>
    <col min="12" max="12" width="10.28515625" style="5" bestFit="1" customWidth="1"/>
    <col min="13" max="13" width="9.42578125" style="5" bestFit="1" customWidth="1"/>
    <col min="14" max="14" width="10.28515625" style="5" bestFit="1" customWidth="1"/>
    <col min="15" max="15" width="10.140625" style="5" bestFit="1" customWidth="1"/>
    <col min="16" max="16" width="11.28515625" style="5" bestFit="1" customWidth="1"/>
    <col min="17" max="31" width="9.42578125" style="5" bestFit="1" customWidth="1"/>
    <col min="32" max="37" width="11.28515625" style="5" bestFit="1" customWidth="1"/>
    <col min="38" max="38" width="12.7109375" style="5" bestFit="1" customWidth="1"/>
    <col min="39" max="47" width="11.28515625" style="5" bestFit="1" customWidth="1"/>
    <col min="48" max="48" width="12.7109375" style="5" bestFit="1" customWidth="1"/>
    <col min="49" max="50" width="11.28515625" style="5" bestFit="1" customWidth="1"/>
    <col min="51" max="51" width="12.7109375" style="5" bestFit="1" customWidth="1"/>
    <col min="52" max="56" width="11.28515625" style="5" bestFit="1" customWidth="1"/>
    <col min="57" max="57" width="12.7109375" style="5" bestFit="1" customWidth="1"/>
    <col min="58" max="61" width="11.28515625" style="5" bestFit="1" customWidth="1"/>
    <col min="62" max="62" width="9.28515625" style="5" bestFit="1" customWidth="1"/>
    <col min="63" max="16384" width="9.140625" style="5"/>
  </cols>
  <sheetData>
    <row r="1" spans="1:19" ht="15.75">
      <c r="A1" s="6" t="s">
        <v>1458</v>
      </c>
      <c r="B1" s="64"/>
      <c r="C1" s="64"/>
      <c r="D1" s="64"/>
      <c r="E1" s="64"/>
      <c r="F1" s="64"/>
      <c r="G1" s="64"/>
      <c r="H1" s="64"/>
      <c r="I1" s="64"/>
      <c r="J1" s="64"/>
      <c r="K1" s="64"/>
      <c r="L1" s="64"/>
      <c r="M1" s="64"/>
      <c r="N1" s="64"/>
      <c r="O1" s="64"/>
      <c r="P1" s="64"/>
      <c r="Q1" s="64"/>
      <c r="R1" s="64"/>
      <c r="S1" s="64"/>
    </row>
    <row r="2" spans="1:19">
      <c r="A2" s="111"/>
      <c r="B2" s="64"/>
      <c r="C2" s="64"/>
      <c r="D2" s="64"/>
      <c r="E2" s="64"/>
      <c r="F2" s="64"/>
      <c r="G2" s="64"/>
      <c r="H2" s="64"/>
      <c r="I2" s="64"/>
      <c r="J2" s="64"/>
      <c r="K2" s="64"/>
      <c r="L2" s="64"/>
      <c r="M2" s="64"/>
      <c r="N2" s="64"/>
      <c r="O2" s="64"/>
      <c r="P2" s="64"/>
      <c r="Q2" s="64"/>
      <c r="R2" s="64"/>
      <c r="S2" s="64"/>
    </row>
    <row r="3" spans="1:19" ht="15">
      <c r="A3" s="381" t="s">
        <v>872</v>
      </c>
      <c r="B3" s="64"/>
      <c r="C3" s="64"/>
      <c r="D3" s="64"/>
      <c r="E3" s="64"/>
      <c r="F3" s="64"/>
      <c r="G3" s="64"/>
      <c r="H3" s="64"/>
      <c r="I3" s="64"/>
      <c r="J3" s="64"/>
      <c r="K3" s="64"/>
      <c r="L3" s="64"/>
      <c r="M3" s="64"/>
      <c r="N3" s="64"/>
      <c r="O3" s="64"/>
      <c r="P3" s="64"/>
      <c r="Q3" s="64"/>
      <c r="R3" s="64"/>
      <c r="S3" s="64"/>
    </row>
    <row r="4" spans="1:19">
      <c r="A4" s="111" t="s">
        <v>1459</v>
      </c>
      <c r="B4" s="62"/>
      <c r="C4" s="64"/>
      <c r="D4" s="64"/>
      <c r="E4" s="64"/>
      <c r="F4" s="64"/>
      <c r="G4" s="64"/>
      <c r="H4" s="64"/>
      <c r="I4" s="64"/>
      <c r="J4" s="64"/>
      <c r="K4" s="64"/>
      <c r="L4" s="64"/>
      <c r="M4" s="64"/>
      <c r="N4" s="64"/>
      <c r="O4" s="64"/>
      <c r="P4" s="64"/>
      <c r="Q4" s="64"/>
      <c r="R4" s="64"/>
      <c r="S4" s="64"/>
    </row>
    <row r="5" spans="1:19" ht="25.5">
      <c r="A5" s="836"/>
      <c r="B5" s="378" t="str">
        <f>Mat_Inputs!C170</f>
        <v>Virgin Material</v>
      </c>
      <c r="C5" s="380" t="str">
        <f>Mat_Inputs!D170</f>
        <v>Recycled Material</v>
      </c>
      <c r="D5" s="64"/>
      <c r="E5" s="64"/>
      <c r="F5" s="64"/>
      <c r="G5" s="64"/>
      <c r="H5" s="64"/>
      <c r="I5" s="64"/>
      <c r="J5" s="64"/>
      <c r="K5" s="64"/>
      <c r="L5" s="64"/>
      <c r="M5" s="64"/>
      <c r="N5" s="64"/>
      <c r="O5" s="64"/>
      <c r="P5" s="64"/>
      <c r="Q5" s="64"/>
      <c r="R5" s="64"/>
      <c r="S5" s="64"/>
    </row>
    <row r="6" spans="1:19">
      <c r="A6" s="837" t="str">
        <f>Mat_Inputs!B171</f>
        <v>Steel</v>
      </c>
      <c r="B6" s="434">
        <f>Mat_Inputs!C171</f>
        <v>0.73599999999999999</v>
      </c>
      <c r="C6" s="838">
        <f>Mat_Inputs!D171</f>
        <v>0.26400000000000001</v>
      </c>
      <c r="D6" s="64"/>
      <c r="E6" s="64"/>
      <c r="F6" s="64"/>
      <c r="G6" s="64"/>
      <c r="H6" s="64"/>
      <c r="I6" s="64"/>
      <c r="J6" s="64"/>
      <c r="K6" s="64"/>
      <c r="L6" s="64"/>
      <c r="M6" s="64"/>
      <c r="N6" s="64"/>
      <c r="O6" s="64"/>
      <c r="P6" s="64"/>
      <c r="Q6" s="64"/>
      <c r="R6" s="64"/>
      <c r="S6" s="64"/>
    </row>
    <row r="7" spans="1:19">
      <c r="A7" s="700" t="str">
        <f>Mat_Inputs!B172</f>
        <v>Wrought Aluminum</v>
      </c>
      <c r="B7" s="412">
        <f>Mat_Inputs!C172</f>
        <v>0.89</v>
      </c>
      <c r="C7" s="839">
        <f>Mat_Inputs!D172</f>
        <v>0.10999999999999999</v>
      </c>
      <c r="D7" s="64"/>
      <c r="E7" s="64"/>
      <c r="F7" s="64"/>
      <c r="G7" s="64"/>
      <c r="H7" s="64"/>
      <c r="I7" s="64"/>
      <c r="J7" s="64"/>
      <c r="K7" s="64"/>
      <c r="L7" s="64"/>
      <c r="M7" s="64"/>
      <c r="N7" s="64"/>
      <c r="O7" s="64"/>
      <c r="P7" s="64"/>
      <c r="Q7" s="64"/>
      <c r="R7" s="64"/>
      <c r="S7" s="64"/>
    </row>
    <row r="8" spans="1:19">
      <c r="A8" s="700" t="str">
        <f>Mat_Inputs!B173</f>
        <v>Cast Aluminum</v>
      </c>
      <c r="B8" s="412">
        <f>Mat_Inputs!C173</f>
        <v>0.15</v>
      </c>
      <c r="C8" s="839">
        <f>Mat_Inputs!D173</f>
        <v>0.85</v>
      </c>
      <c r="D8" s="64"/>
      <c r="E8" s="64"/>
      <c r="F8" s="64"/>
      <c r="G8" s="64"/>
      <c r="H8" s="64"/>
      <c r="I8" s="64"/>
      <c r="J8" s="64"/>
      <c r="K8" s="64"/>
      <c r="L8" s="64"/>
      <c r="M8" s="64"/>
      <c r="N8" s="64"/>
      <c r="O8" s="64"/>
      <c r="P8" s="64"/>
      <c r="Q8" s="64"/>
      <c r="R8" s="64"/>
      <c r="S8" s="64"/>
    </row>
    <row r="9" spans="1:19">
      <c r="A9" s="700" t="str">
        <f>Mat_Inputs!B174</f>
        <v>Lead</v>
      </c>
      <c r="B9" s="412">
        <f>Mat_Inputs!C174</f>
        <v>0.27</v>
      </c>
      <c r="C9" s="839">
        <f>Mat_Inputs!D174</f>
        <v>0.73</v>
      </c>
      <c r="D9" s="64"/>
      <c r="E9" s="64"/>
      <c r="F9" s="64"/>
      <c r="G9" s="64"/>
      <c r="H9" s="64"/>
      <c r="I9" s="64"/>
      <c r="J9" s="64"/>
      <c r="K9" s="64"/>
      <c r="L9" s="64"/>
      <c r="M9" s="64"/>
      <c r="N9" s="64"/>
      <c r="O9" s="64"/>
      <c r="P9" s="64"/>
      <c r="Q9" s="64"/>
      <c r="R9" s="64"/>
      <c r="S9" s="64"/>
    </row>
    <row r="10" spans="1:19">
      <c r="A10" s="701" t="str">
        <f>Mat_Inputs!B175</f>
        <v>Nickel</v>
      </c>
      <c r="B10" s="781">
        <f>Mat_Inputs!C175</f>
        <v>0.56000000000000005</v>
      </c>
      <c r="C10" s="782">
        <f>Mat_Inputs!D175</f>
        <v>0.43999999999999995</v>
      </c>
      <c r="D10" s="64"/>
      <c r="E10" s="64"/>
      <c r="F10" s="64"/>
      <c r="G10" s="64"/>
      <c r="H10" s="64"/>
      <c r="I10" s="64"/>
      <c r="J10" s="64"/>
      <c r="K10" s="64"/>
      <c r="L10" s="64"/>
      <c r="M10" s="64"/>
      <c r="N10" s="64"/>
      <c r="O10" s="64"/>
      <c r="P10" s="64"/>
      <c r="Q10" s="64"/>
      <c r="R10" s="64"/>
      <c r="S10" s="64"/>
    </row>
    <row r="11" spans="1:19">
      <c r="A11" s="397"/>
      <c r="B11" s="412"/>
      <c r="C11" s="412"/>
      <c r="D11" s="64"/>
      <c r="E11" s="64"/>
      <c r="F11" s="64"/>
      <c r="G11" s="64"/>
      <c r="H11" s="64"/>
      <c r="I11" s="64"/>
      <c r="J11" s="64"/>
      <c r="K11" s="64"/>
      <c r="L11" s="64"/>
      <c r="M11" s="64"/>
      <c r="N11" s="64"/>
      <c r="O11" s="64"/>
      <c r="P11" s="64"/>
      <c r="Q11" s="64"/>
      <c r="R11" s="64"/>
      <c r="S11" s="64"/>
    </row>
    <row r="12" spans="1:19">
      <c r="A12" s="111" t="s">
        <v>1460</v>
      </c>
      <c r="B12" s="64"/>
      <c r="C12" s="64"/>
      <c r="D12" s="64"/>
      <c r="E12" s="64"/>
      <c r="F12" s="62"/>
      <c r="G12" s="62"/>
      <c r="H12" s="66"/>
      <c r="I12" s="64"/>
      <c r="J12" s="64"/>
      <c r="K12" s="62"/>
      <c r="L12" s="62"/>
      <c r="M12" s="62"/>
      <c r="N12" s="62"/>
      <c r="O12" s="62"/>
      <c r="P12" s="62"/>
      <c r="Q12" s="62"/>
      <c r="R12" s="62"/>
      <c r="S12" s="64"/>
    </row>
    <row r="13" spans="1:19" ht="25.5">
      <c r="A13" s="1696" t="str">
        <f>Mat_Inputs!B179</f>
        <v>Hot Rolled</v>
      </c>
      <c r="B13" s="1659" t="str">
        <f>Mat_Inputs!C179</f>
        <v>Cold Rolled</v>
      </c>
      <c r="C13" s="1660" t="str">
        <f>Mat_Inputs!D179</f>
        <v>Galvanized Rolled</v>
      </c>
      <c r="D13" s="62"/>
      <c r="E13" s="62"/>
      <c r="F13" s="62"/>
      <c r="G13" s="66"/>
      <c r="H13" s="64"/>
      <c r="I13" s="64"/>
      <c r="J13" s="62"/>
      <c r="K13" s="62"/>
      <c r="L13" s="62"/>
      <c r="M13" s="62"/>
      <c r="N13" s="62"/>
      <c r="O13" s="62"/>
      <c r="P13" s="62"/>
      <c r="Q13" s="62"/>
      <c r="R13" s="64"/>
    </row>
    <row r="14" spans="1:19">
      <c r="A14" s="664">
        <f>Mat_Inputs!B180</f>
        <v>0.21099999999999999</v>
      </c>
      <c r="B14" s="368">
        <f>Mat_Inputs!C180</f>
        <v>0.191</v>
      </c>
      <c r="C14" s="428">
        <f>Mat_Inputs!D180</f>
        <v>0.59800000000000009</v>
      </c>
      <c r="D14" s="62"/>
      <c r="E14" s="62"/>
      <c r="F14" s="62"/>
      <c r="G14" s="66"/>
      <c r="H14" s="64"/>
      <c r="I14" s="64"/>
      <c r="J14" s="62"/>
      <c r="K14" s="62"/>
      <c r="L14" s="62"/>
      <c r="M14" s="62"/>
      <c r="N14" s="62"/>
      <c r="O14" s="62"/>
      <c r="P14" s="62"/>
      <c r="Q14" s="62"/>
      <c r="R14" s="64"/>
    </row>
    <row r="15" spans="1:19">
      <c r="A15" s="382"/>
      <c r="B15" s="382"/>
      <c r="C15" s="382"/>
      <c r="D15" s="62"/>
      <c r="E15" s="62"/>
      <c r="F15" s="62"/>
      <c r="G15" s="66"/>
      <c r="H15" s="64"/>
      <c r="I15" s="64"/>
      <c r="J15" s="62"/>
      <c r="K15" s="62"/>
      <c r="L15" s="62"/>
      <c r="M15" s="62"/>
      <c r="N15" s="62"/>
      <c r="O15" s="62"/>
      <c r="P15" s="62"/>
      <c r="Q15" s="62"/>
      <c r="R15" s="64"/>
    </row>
    <row r="16" spans="1:19">
      <c r="A16" s="111" t="s">
        <v>1461</v>
      </c>
      <c r="B16" s="64"/>
      <c r="C16" s="64"/>
      <c r="D16" s="64"/>
      <c r="E16" s="64"/>
      <c r="F16" s="377"/>
      <c r="G16" s="377"/>
      <c r="H16" s="435"/>
      <c r="I16" s="64"/>
      <c r="J16" s="64"/>
      <c r="K16" s="377"/>
      <c r="L16" s="377"/>
      <c r="M16" s="377"/>
      <c r="N16" s="62"/>
      <c r="O16" s="62"/>
      <c r="P16" s="62"/>
      <c r="Q16" s="64"/>
      <c r="R16" s="64"/>
      <c r="S16" s="64"/>
    </row>
    <row r="17" spans="1:19">
      <c r="A17" s="1696" t="str">
        <f>Mat_Inputs!B190</f>
        <v>Cast Iron</v>
      </c>
      <c r="B17" s="1660" t="str">
        <f>Mat_Inputs!C190</f>
        <v>Forged Iron</v>
      </c>
      <c r="C17" s="377"/>
      <c r="D17" s="64"/>
      <c r="E17" s="377"/>
      <c r="F17" s="377"/>
      <c r="G17" s="435"/>
      <c r="H17" s="64"/>
      <c r="I17" s="64"/>
      <c r="J17" s="377"/>
      <c r="K17" s="377"/>
      <c r="L17" s="377"/>
      <c r="M17" s="62"/>
      <c r="N17" s="62"/>
      <c r="O17" s="62"/>
      <c r="P17" s="64"/>
      <c r="Q17" s="64"/>
      <c r="R17" s="64"/>
    </row>
    <row r="18" spans="1:19">
      <c r="A18" s="664">
        <f>Mat_Inputs!B191</f>
        <v>0.85</v>
      </c>
      <c r="B18" s="428">
        <f>Mat_Inputs!C191</f>
        <v>0.15000000000000002</v>
      </c>
      <c r="C18" s="377"/>
      <c r="D18" s="64"/>
      <c r="E18" s="377"/>
      <c r="F18" s="377"/>
      <c r="G18" s="435"/>
      <c r="H18" s="64"/>
      <c r="I18" s="64"/>
      <c r="J18" s="377"/>
      <c r="K18" s="377"/>
      <c r="L18" s="377"/>
      <c r="M18" s="62"/>
      <c r="N18" s="62"/>
      <c r="O18" s="62"/>
      <c r="P18" s="64"/>
      <c r="Q18" s="64"/>
      <c r="R18" s="64"/>
    </row>
    <row r="19" spans="1:19">
      <c r="A19" s="62"/>
      <c r="B19" s="64"/>
      <c r="C19" s="64"/>
      <c r="D19" s="64"/>
      <c r="E19" s="64"/>
      <c r="F19" s="62"/>
      <c r="G19" s="62"/>
      <c r="H19" s="66"/>
      <c r="I19" s="64"/>
      <c r="J19" s="64"/>
      <c r="K19" s="62"/>
      <c r="L19" s="62"/>
      <c r="M19" s="62"/>
      <c r="N19" s="62"/>
      <c r="O19" s="62"/>
      <c r="P19" s="62"/>
      <c r="Q19" s="62"/>
      <c r="R19" s="62"/>
      <c r="S19" s="64"/>
    </row>
    <row r="20" spans="1:19">
      <c r="A20" s="111" t="s">
        <v>1462</v>
      </c>
      <c r="B20" s="64"/>
      <c r="C20" s="64"/>
      <c r="D20" s="64"/>
      <c r="E20" s="64"/>
      <c r="F20" s="62"/>
      <c r="G20" s="62"/>
      <c r="H20" s="66"/>
      <c r="I20" s="64"/>
      <c r="J20" s="64"/>
      <c r="K20" s="62"/>
      <c r="L20" s="62"/>
      <c r="M20" s="62"/>
      <c r="N20" s="62"/>
      <c r="O20" s="62"/>
      <c r="P20" s="62"/>
      <c r="Q20" s="62"/>
      <c r="R20" s="62"/>
      <c r="S20" s="64"/>
    </row>
    <row r="21" spans="1:19">
      <c r="A21" s="1696" t="str">
        <f>Mat_Inputs!B194</f>
        <v>Hot Rolled</v>
      </c>
      <c r="B21" s="1659" t="str">
        <f>Mat_Inputs!C194</f>
        <v>Cold Rolled</v>
      </c>
      <c r="C21" s="1660" t="str">
        <f>Mat_Inputs!D194</f>
        <v>Extruded</v>
      </c>
      <c r="D21" s="64"/>
      <c r="E21" s="64"/>
      <c r="F21" s="62"/>
      <c r="G21" s="66"/>
      <c r="H21" s="64"/>
      <c r="I21" s="64"/>
      <c r="J21" s="62"/>
      <c r="K21" s="62"/>
      <c r="L21" s="62"/>
      <c r="M21" s="62"/>
      <c r="N21" s="62"/>
      <c r="O21" s="62"/>
      <c r="P21" s="62"/>
      <c r="Q21" s="62"/>
      <c r="R21" s="64"/>
    </row>
    <row r="22" spans="1:19">
      <c r="A22" s="664">
        <f>Mat_Inputs!B195</f>
        <v>0</v>
      </c>
      <c r="B22" s="368">
        <f>Mat_Inputs!C195</f>
        <v>0.13</v>
      </c>
      <c r="C22" s="428">
        <f>Mat_Inputs!D195</f>
        <v>0.87</v>
      </c>
      <c r="D22" s="64"/>
      <c r="E22" s="436"/>
      <c r="F22" s="62"/>
      <c r="G22" s="66"/>
      <c r="H22" s="64"/>
      <c r="I22" s="64"/>
      <c r="J22" s="62"/>
      <c r="K22" s="62"/>
      <c r="L22" s="62"/>
      <c r="M22" s="62"/>
      <c r="N22" s="62"/>
      <c r="O22" s="62"/>
      <c r="P22" s="62"/>
      <c r="Q22" s="62"/>
      <c r="R22" s="64"/>
    </row>
    <row r="23" spans="1:19">
      <c r="A23" s="111"/>
      <c r="B23" s="64"/>
      <c r="C23" s="64"/>
      <c r="D23" s="64"/>
      <c r="E23" s="64"/>
      <c r="F23" s="64"/>
      <c r="G23" s="62"/>
      <c r="H23" s="66"/>
      <c r="I23" s="64"/>
      <c r="J23" s="64"/>
      <c r="K23" s="62"/>
      <c r="L23" s="62"/>
      <c r="M23" s="62"/>
      <c r="N23" s="62"/>
      <c r="O23" s="62"/>
      <c r="P23" s="62"/>
      <c r="Q23" s="62"/>
      <c r="R23" s="62"/>
      <c r="S23" s="64"/>
    </row>
    <row r="24" spans="1:19">
      <c r="A24" s="111" t="s">
        <v>1463</v>
      </c>
      <c r="B24" s="64"/>
      <c r="C24" s="64"/>
      <c r="D24" s="64"/>
      <c r="E24" s="64"/>
      <c r="F24" s="436"/>
      <c r="G24" s="62"/>
      <c r="H24" s="66"/>
      <c r="I24" s="62"/>
      <c r="J24" s="62"/>
      <c r="K24" s="62"/>
      <c r="L24" s="62"/>
      <c r="M24" s="62"/>
      <c r="N24" s="62"/>
      <c r="O24" s="62"/>
      <c r="P24" s="62"/>
      <c r="Q24" s="62"/>
      <c r="R24" s="62"/>
      <c r="S24" s="64"/>
    </row>
    <row r="25" spans="1:19">
      <c r="A25" s="837" t="str">
        <f>Mat_Inputs!B215</f>
        <v>Glass</v>
      </c>
      <c r="B25" s="840" t="str">
        <f>Mat_Inputs!C215</f>
        <v>Glass Fiber</v>
      </c>
      <c r="C25" s="64"/>
      <c r="D25" s="64"/>
      <c r="E25" s="64"/>
      <c r="F25" s="62"/>
      <c r="G25" s="62"/>
      <c r="H25" s="62"/>
      <c r="I25" s="62"/>
      <c r="J25" s="62"/>
      <c r="K25" s="62"/>
      <c r="L25" s="62"/>
      <c r="M25" s="62"/>
      <c r="N25" s="62"/>
      <c r="O25" s="62"/>
      <c r="P25" s="62"/>
      <c r="Q25" s="62"/>
      <c r="R25" s="64"/>
    </row>
    <row r="26" spans="1:19">
      <c r="A26" s="664">
        <f>Mat_Inputs!B216</f>
        <v>0</v>
      </c>
      <c r="B26" s="428">
        <f>Mat_Inputs!C216</f>
        <v>1</v>
      </c>
      <c r="C26" s="64"/>
      <c r="D26" s="64"/>
      <c r="E26" s="64"/>
      <c r="F26" s="64"/>
      <c r="G26" s="62"/>
      <c r="H26" s="62"/>
      <c r="I26" s="62"/>
      <c r="J26" s="62"/>
      <c r="K26" s="62"/>
      <c r="L26" s="62"/>
      <c r="M26" s="62"/>
      <c r="N26" s="62"/>
      <c r="O26" s="62"/>
      <c r="P26" s="62"/>
      <c r="Q26" s="62"/>
      <c r="R26" s="64"/>
    </row>
    <row r="27" spans="1:19">
      <c r="A27" s="62"/>
      <c r="B27" s="64"/>
      <c r="C27" s="64"/>
      <c r="D27" s="64"/>
      <c r="E27" s="64"/>
      <c r="F27" s="64"/>
      <c r="G27" s="64"/>
      <c r="H27" s="62"/>
      <c r="I27" s="62"/>
      <c r="J27" s="62"/>
      <c r="K27" s="62"/>
      <c r="L27" s="62"/>
      <c r="M27" s="62"/>
      <c r="N27" s="62"/>
      <c r="O27" s="62"/>
      <c r="P27" s="62"/>
      <c r="Q27" s="62"/>
      <c r="R27" s="62"/>
      <c r="S27" s="64"/>
    </row>
    <row r="28" spans="1:19">
      <c r="A28" s="111" t="s">
        <v>1464</v>
      </c>
      <c r="B28" s="64"/>
      <c r="C28" s="64"/>
      <c r="D28" s="64"/>
      <c r="E28" s="64"/>
      <c r="F28" s="62"/>
      <c r="G28" s="62"/>
      <c r="H28" s="62"/>
      <c r="I28" s="62"/>
      <c r="J28" s="62"/>
      <c r="K28" s="62"/>
      <c r="L28" s="62"/>
      <c r="M28" s="62"/>
      <c r="N28" s="62"/>
      <c r="O28" s="62"/>
      <c r="P28" s="62"/>
      <c r="Q28" s="62"/>
      <c r="R28" s="62"/>
      <c r="S28" s="64"/>
    </row>
    <row r="29" spans="1:19" ht="38.25">
      <c r="A29" s="1696" t="str">
        <f>Mat_Inputs!B219</f>
        <v>ABS</v>
      </c>
      <c r="B29" s="1659" t="str">
        <f>Mat_Inputs!C219</f>
        <v>EPDM</v>
      </c>
      <c r="C29" s="1659" t="str">
        <f>Mat_Inputs!D219</f>
        <v>Liquid Epoxy</v>
      </c>
      <c r="D29" s="1659" t="str">
        <f>Mat_Inputs!E219</f>
        <v>GPPS</v>
      </c>
      <c r="E29" s="1659" t="str">
        <f>Mat_Inputs!F219</f>
        <v>HIPS</v>
      </c>
      <c r="F29" s="1659" t="str">
        <f>Mat_Inputs!G219</f>
        <v>HDPE</v>
      </c>
      <c r="G29" s="1659" t="str">
        <f>Mat_Inputs!H219</f>
        <v>LDPE</v>
      </c>
      <c r="H29" s="1659" t="str">
        <f>Mat_Inputs!I219</f>
        <v>LLDPE</v>
      </c>
      <c r="I29" s="1659" t="str">
        <f>Mat_Inputs!J219</f>
        <v>Nylon 6</v>
      </c>
      <c r="J29" s="1659" t="str">
        <f>Mat_Inputs!K219</f>
        <v>Nylon 66</v>
      </c>
      <c r="K29" s="1659" t="str">
        <f>Mat_Inputs!L219</f>
        <v>PC</v>
      </c>
      <c r="L29" s="1659" t="str">
        <f>Mat_Inputs!M219</f>
        <v>PET</v>
      </c>
      <c r="M29" s="1659" t="str">
        <f>Mat_Inputs!N219</f>
        <v>PP</v>
      </c>
      <c r="N29" s="1659" t="str">
        <f>Mat_Inputs!O219</f>
        <v>PUR Flexible Foam</v>
      </c>
      <c r="O29" s="1659" t="str">
        <f>Mat_Inputs!P219</f>
        <v>PUR Rigid Foam</v>
      </c>
      <c r="P29" s="1660" t="str">
        <f>Mat_Inputs!Q219</f>
        <v>PVC</v>
      </c>
      <c r="Q29" s="62"/>
      <c r="R29" s="64"/>
    </row>
    <row r="30" spans="1:19">
      <c r="A30" s="664">
        <f>Mat_Inputs!B220</f>
        <v>7.5999999999999998E-2</v>
      </c>
      <c r="B30" s="368">
        <f>Mat_Inputs!C220</f>
        <v>7.0999999999999994E-2</v>
      </c>
      <c r="C30" s="368">
        <f>Mat_Inputs!D220</f>
        <v>0.107</v>
      </c>
      <c r="D30" s="368">
        <f>Mat_Inputs!E220</f>
        <v>7.0000000000000001E-3</v>
      </c>
      <c r="E30" s="368">
        <f>Mat_Inputs!F220</f>
        <v>7.0000000000000001E-3</v>
      </c>
      <c r="F30" s="368">
        <f>Mat_Inputs!G220</f>
        <v>1.4E-2</v>
      </c>
      <c r="G30" s="368">
        <f>Mat_Inputs!H220</f>
        <v>1.4E-2</v>
      </c>
      <c r="H30" s="368">
        <f>Mat_Inputs!I220</f>
        <v>1.4E-2</v>
      </c>
      <c r="I30" s="368">
        <f>Mat_Inputs!J220</f>
        <v>1.0999999999999999E-2</v>
      </c>
      <c r="J30" s="368">
        <f>Mat_Inputs!K220</f>
        <v>7.0000000000000007E-2</v>
      </c>
      <c r="K30" s="368">
        <f>Mat_Inputs!L220</f>
        <v>3.5000000000000003E-2</v>
      </c>
      <c r="L30" s="368">
        <f>Mat_Inputs!M220</f>
        <v>1.7000000000000001E-2</v>
      </c>
      <c r="M30" s="368">
        <f>Mat_Inputs!N220</f>
        <v>0.18099999999999999</v>
      </c>
      <c r="N30" s="368">
        <f>Mat_Inputs!O220</f>
        <v>0.122</v>
      </c>
      <c r="O30" s="368">
        <f>Mat_Inputs!P220</f>
        <v>0.11600000000000001</v>
      </c>
      <c r="P30" s="428">
        <f>Mat_Inputs!Q220</f>
        <v>0.1379999999999999</v>
      </c>
      <c r="Q30" s="62"/>
      <c r="R30" s="64"/>
    </row>
    <row r="31" spans="1:19">
      <c r="A31" s="397"/>
      <c r="B31" s="412"/>
      <c r="C31" s="412"/>
      <c r="D31" s="64"/>
      <c r="E31" s="64"/>
      <c r="F31" s="64"/>
      <c r="G31" s="64"/>
      <c r="H31" s="64"/>
      <c r="I31" s="64"/>
      <c r="J31" s="64"/>
      <c r="K31" s="64"/>
      <c r="L31" s="64"/>
      <c r="M31" s="64"/>
      <c r="N31" s="64"/>
      <c r="O31" s="64"/>
      <c r="P31" s="64"/>
      <c r="Q31" s="64"/>
      <c r="R31" s="64"/>
      <c r="S31" s="64"/>
    </row>
    <row r="32" spans="1:19">
      <c r="A32" s="111" t="s">
        <v>1465</v>
      </c>
      <c r="B32" s="62"/>
      <c r="C32" s="62"/>
      <c r="D32" s="62"/>
      <c r="E32" s="62"/>
      <c r="F32" s="62"/>
      <c r="G32" s="62"/>
      <c r="H32" s="62"/>
      <c r="I32" s="62"/>
      <c r="J32" s="62"/>
      <c r="K32" s="62"/>
      <c r="L32" s="62"/>
      <c r="M32" s="62"/>
      <c r="N32" s="62"/>
      <c r="O32" s="62"/>
      <c r="P32" s="64"/>
      <c r="Q32" s="64"/>
      <c r="R32" s="64"/>
      <c r="S32" s="64"/>
    </row>
    <row r="33" spans="1:19" ht="38.25">
      <c r="A33" s="1651" t="str">
        <f>Vehi_Plastics!A22</f>
        <v/>
      </c>
      <c r="B33" s="1696" t="str">
        <f>Vehi_Plastics!B22</f>
        <v>Glass Fiber-Reinforced Plastic</v>
      </c>
      <c r="C33" s="1659" t="str">
        <f>Vehi_Plastics!C22</f>
        <v>Carbon Fiber-Reinforced Plastic</v>
      </c>
      <c r="D33" s="1659" t="str">
        <f>Vehi_Plastics!D22</f>
        <v>Blow Molding (HDPE)</v>
      </c>
      <c r="E33" s="1659" t="str">
        <f>Vehi_Plastics!E22</f>
        <v>Calendaring (PVC)</v>
      </c>
      <c r="F33" s="1659" t="str">
        <f>Vehi_Plastics!F22</f>
        <v>Compression Molding</v>
      </c>
      <c r="G33" s="1659" t="str">
        <f>Vehi_Plastics!G22</f>
        <v>Extrusion (HDPE)</v>
      </c>
      <c r="H33" s="1659" t="str">
        <f>Vehi_Plastics!H22</f>
        <v>Extrusion (PVC)</v>
      </c>
      <c r="I33" s="1659" t="str">
        <f>Vehi_Plastics!I22</f>
        <v>Extrusion (PP)</v>
      </c>
      <c r="J33" s="1659" t="str">
        <f>Vehi_Plastics!J22</f>
        <v>Injection Molding (HDPE)</v>
      </c>
      <c r="K33" s="1659" t="str">
        <f>Vehi_Plastics!K22</f>
        <v>Injection Molding (PVC)</v>
      </c>
      <c r="L33" s="1660" t="str">
        <f>Vehi_Plastics!L22</f>
        <v>Injection Molding (PP)</v>
      </c>
      <c r="N33" s="437"/>
      <c r="O33" s="437"/>
      <c r="P33" s="64"/>
      <c r="Q33" s="64"/>
      <c r="R33" s="64"/>
      <c r="S33" s="64"/>
    </row>
    <row r="34" spans="1:19">
      <c r="A34" s="841" t="str">
        <f>Vehi_Plastics!A23</f>
        <v>GFRP</v>
      </c>
      <c r="B34" s="416">
        <f>Vehi_Plastics!B23</f>
        <v>1</v>
      </c>
      <c r="C34" s="382">
        <f>Vehi_Plastics!C23</f>
        <v>0</v>
      </c>
      <c r="D34" s="382">
        <f>Vehi_Plastics!D23</f>
        <v>0</v>
      </c>
      <c r="E34" s="382">
        <f>Vehi_Plastics!E23</f>
        <v>0</v>
      </c>
      <c r="F34" s="382">
        <f>Vehi_Plastics!F23</f>
        <v>0</v>
      </c>
      <c r="G34" s="382">
        <f>Vehi_Plastics!G23</f>
        <v>0</v>
      </c>
      <c r="H34" s="382">
        <f>Vehi_Plastics!H23</f>
        <v>0</v>
      </c>
      <c r="I34" s="382">
        <f>Vehi_Plastics!I23</f>
        <v>0</v>
      </c>
      <c r="J34" s="382">
        <f>Vehi_Plastics!J23</f>
        <v>0</v>
      </c>
      <c r="K34" s="382">
        <f>Vehi_Plastics!K23</f>
        <v>0</v>
      </c>
      <c r="L34" s="588">
        <f>Vehi_Plastics!L23</f>
        <v>0</v>
      </c>
      <c r="N34" s="437"/>
      <c r="O34" s="437"/>
      <c r="P34" s="64"/>
      <c r="Q34" s="64"/>
      <c r="R34" s="64"/>
      <c r="S34" s="64"/>
    </row>
    <row r="35" spans="1:19">
      <c r="A35" s="841" t="str">
        <f>Vehi_Plastics!A24</f>
        <v>CFRP</v>
      </c>
      <c r="B35" s="416">
        <f>Vehi_Plastics!B24</f>
        <v>0</v>
      </c>
      <c r="C35" s="382">
        <f>Vehi_Plastics!C24</f>
        <v>1</v>
      </c>
      <c r="D35" s="382">
        <f>Vehi_Plastics!D24</f>
        <v>0</v>
      </c>
      <c r="E35" s="382">
        <f>Vehi_Plastics!E24</f>
        <v>0</v>
      </c>
      <c r="F35" s="382">
        <f>Vehi_Plastics!F24</f>
        <v>0</v>
      </c>
      <c r="G35" s="382">
        <f>Vehi_Plastics!G24</f>
        <v>0</v>
      </c>
      <c r="H35" s="382">
        <f>Vehi_Plastics!H24</f>
        <v>0</v>
      </c>
      <c r="I35" s="382">
        <f>Vehi_Plastics!I24</f>
        <v>0</v>
      </c>
      <c r="J35" s="382">
        <f>Vehi_Plastics!J24</f>
        <v>0</v>
      </c>
      <c r="K35" s="382">
        <f>Vehi_Plastics!K24</f>
        <v>0</v>
      </c>
      <c r="L35" s="588">
        <f>Vehi_Plastics!L24</f>
        <v>0</v>
      </c>
      <c r="N35" s="437"/>
      <c r="O35" s="437"/>
      <c r="P35" s="64"/>
      <c r="Q35" s="64"/>
      <c r="R35" s="64"/>
      <c r="S35" s="64"/>
    </row>
    <row r="36" spans="1:19">
      <c r="A36" s="841" t="str">
        <f>Vehi_Plastics!A25</f>
        <v>ABS</v>
      </c>
      <c r="B36" s="416">
        <f>Vehi_Plastics!B25</f>
        <v>0</v>
      </c>
      <c r="C36" s="382">
        <f>Vehi_Plastics!C25</f>
        <v>0</v>
      </c>
      <c r="D36" s="382">
        <f>Vehi_Plastics!D25</f>
        <v>0</v>
      </c>
      <c r="E36" s="382">
        <f>Vehi_Plastics!E25</f>
        <v>0</v>
      </c>
      <c r="F36" s="382">
        <f>Vehi_Plastics!F25</f>
        <v>0.23799999999999999</v>
      </c>
      <c r="G36" s="382">
        <f>Vehi_Plastics!G25</f>
        <v>0.17499999999999999</v>
      </c>
      <c r="H36" s="382">
        <f>Vehi_Plastics!H25</f>
        <v>0</v>
      </c>
      <c r="I36" s="382">
        <f>Vehi_Plastics!I25</f>
        <v>0</v>
      </c>
      <c r="J36" s="382">
        <f>Vehi_Plastics!J25</f>
        <v>0</v>
      </c>
      <c r="K36" s="382">
        <f>Vehi_Plastics!K25</f>
        <v>0</v>
      </c>
      <c r="L36" s="588">
        <f>Vehi_Plastics!L25</f>
        <v>0.58699999999999997</v>
      </c>
      <c r="N36" s="437"/>
      <c r="O36" s="437"/>
      <c r="P36" s="64"/>
      <c r="Q36" s="64"/>
      <c r="R36" s="64"/>
      <c r="S36" s="64"/>
    </row>
    <row r="37" spans="1:19">
      <c r="A37" s="841" t="str">
        <f>Vehi_Plastics!A26</f>
        <v>EPDM</v>
      </c>
      <c r="B37" s="416">
        <f>Vehi_Plastics!B26</f>
        <v>0</v>
      </c>
      <c r="C37" s="382">
        <f>Vehi_Plastics!C26</f>
        <v>0</v>
      </c>
      <c r="D37" s="382">
        <f>Vehi_Plastics!D26</f>
        <v>0</v>
      </c>
      <c r="E37" s="382">
        <f>Vehi_Plastics!E26</f>
        <v>0</v>
      </c>
      <c r="F37" s="382">
        <f>Vehi_Plastics!F26</f>
        <v>0.31900000000000001</v>
      </c>
      <c r="G37" s="382">
        <f>Vehi_Plastics!G26</f>
        <v>0.27500000000000002</v>
      </c>
      <c r="H37" s="382">
        <f>Vehi_Plastics!H26</f>
        <v>0</v>
      </c>
      <c r="I37" s="382">
        <f>Vehi_Plastics!I26</f>
        <v>0</v>
      </c>
      <c r="J37" s="382">
        <f>Vehi_Plastics!J26</f>
        <v>0</v>
      </c>
      <c r="K37" s="382">
        <f>Vehi_Plastics!K26</f>
        <v>0</v>
      </c>
      <c r="L37" s="588">
        <f>Vehi_Plastics!L26</f>
        <v>0.40599999999999992</v>
      </c>
      <c r="N37" s="437"/>
      <c r="O37" s="437"/>
      <c r="P37" s="64"/>
      <c r="Q37" s="64"/>
      <c r="R37" s="64"/>
      <c r="S37" s="64"/>
    </row>
    <row r="38" spans="1:19">
      <c r="A38" s="841" t="str">
        <f>Vehi_Plastics!A27</f>
        <v>HPDE</v>
      </c>
      <c r="B38" s="416">
        <f>Vehi_Plastics!B27</f>
        <v>0</v>
      </c>
      <c r="C38" s="382">
        <f>Vehi_Plastics!C27</f>
        <v>0</v>
      </c>
      <c r="D38" s="382">
        <f>Vehi_Plastics!D27</f>
        <v>0</v>
      </c>
      <c r="E38" s="382">
        <f>Vehi_Plastics!E27</f>
        <v>0</v>
      </c>
      <c r="F38" s="382">
        <f>Vehi_Plastics!F27</f>
        <v>0.24249999999999999</v>
      </c>
      <c r="G38" s="382">
        <f>Vehi_Plastics!G27</f>
        <v>9.2499999999999999E-2</v>
      </c>
      <c r="H38" s="382">
        <f>Vehi_Plastics!H27</f>
        <v>0</v>
      </c>
      <c r="I38" s="382">
        <f>Vehi_Plastics!I27</f>
        <v>0</v>
      </c>
      <c r="J38" s="382">
        <f>Vehi_Plastics!J27</f>
        <v>0.66500000000000004</v>
      </c>
      <c r="K38" s="382">
        <f>Vehi_Plastics!K27</f>
        <v>0</v>
      </c>
      <c r="L38" s="588">
        <f>Vehi_Plastics!L27</f>
        <v>0</v>
      </c>
      <c r="N38" s="437"/>
      <c r="O38" s="437"/>
      <c r="P38" s="64"/>
      <c r="Q38" s="64"/>
      <c r="R38" s="64"/>
      <c r="S38" s="64"/>
    </row>
    <row r="39" spans="1:19">
      <c r="A39" s="841" t="str">
        <f>Vehi_Plastics!A28</f>
        <v>LDPE</v>
      </c>
      <c r="B39" s="416">
        <f>Vehi_Plastics!B28</f>
        <v>0</v>
      </c>
      <c r="C39" s="382">
        <f>Vehi_Plastics!C28</f>
        <v>0</v>
      </c>
      <c r="D39" s="382">
        <f>Vehi_Plastics!D28</f>
        <v>0</v>
      </c>
      <c r="E39" s="382">
        <f>Vehi_Plastics!E28</f>
        <v>0</v>
      </c>
      <c r="F39" s="382">
        <f>Vehi_Plastics!F28</f>
        <v>0.24249999999999999</v>
      </c>
      <c r="G39" s="382">
        <f>Vehi_Plastics!G28</f>
        <v>9.2499999999999999E-2</v>
      </c>
      <c r="H39" s="382">
        <f>Vehi_Plastics!H28</f>
        <v>0</v>
      </c>
      <c r="I39" s="382">
        <f>Vehi_Plastics!I28</f>
        <v>0</v>
      </c>
      <c r="J39" s="382">
        <f>Vehi_Plastics!J28</f>
        <v>0.66500000000000004</v>
      </c>
      <c r="K39" s="382">
        <f>Vehi_Plastics!K28</f>
        <v>0</v>
      </c>
      <c r="L39" s="588">
        <f>Vehi_Plastics!L28</f>
        <v>0</v>
      </c>
      <c r="N39" s="437"/>
      <c r="O39" s="437"/>
      <c r="P39" s="64"/>
      <c r="Q39" s="64"/>
      <c r="R39" s="64"/>
      <c r="S39" s="64"/>
    </row>
    <row r="40" spans="1:19">
      <c r="A40" s="841" t="str">
        <f>Vehi_Plastics!A29</f>
        <v>LLDPE</v>
      </c>
      <c r="B40" s="416">
        <f>Vehi_Plastics!B29</f>
        <v>0</v>
      </c>
      <c r="C40" s="382">
        <f>Vehi_Plastics!C29</f>
        <v>0</v>
      </c>
      <c r="D40" s="382">
        <f>Vehi_Plastics!D29</f>
        <v>0</v>
      </c>
      <c r="E40" s="382">
        <f>Vehi_Plastics!E29</f>
        <v>0</v>
      </c>
      <c r="F40" s="382">
        <f>Vehi_Plastics!F29</f>
        <v>0.24249999999999999</v>
      </c>
      <c r="G40" s="382">
        <f>Vehi_Plastics!G29</f>
        <v>9.2499999999999999E-2</v>
      </c>
      <c r="H40" s="382">
        <f>Vehi_Plastics!H29</f>
        <v>0</v>
      </c>
      <c r="I40" s="382">
        <f>Vehi_Plastics!I29</f>
        <v>0</v>
      </c>
      <c r="J40" s="382">
        <f>Vehi_Plastics!J29</f>
        <v>0.66500000000000004</v>
      </c>
      <c r="K40" s="382">
        <f>Vehi_Plastics!K29</f>
        <v>0</v>
      </c>
      <c r="L40" s="588">
        <f>Vehi_Plastics!L29</f>
        <v>0</v>
      </c>
      <c r="N40" s="437"/>
      <c r="O40" s="437"/>
      <c r="P40" s="64"/>
      <c r="Q40" s="64"/>
      <c r="R40" s="64"/>
      <c r="S40" s="64"/>
    </row>
    <row r="41" spans="1:19">
      <c r="A41" s="841" t="str">
        <f>Vehi_Plastics!A30</f>
        <v>Nylon 6</v>
      </c>
      <c r="B41" s="416">
        <f>Vehi_Plastics!B30</f>
        <v>0</v>
      </c>
      <c r="C41" s="382">
        <f>Vehi_Plastics!C30</f>
        <v>0</v>
      </c>
      <c r="D41" s="382">
        <f>Vehi_Plastics!D30</f>
        <v>0.36399999999999999</v>
      </c>
      <c r="E41" s="382">
        <f>Vehi_Plastics!E30</f>
        <v>0</v>
      </c>
      <c r="F41" s="382">
        <f>Vehi_Plastics!F30</f>
        <v>0.45400000000000001</v>
      </c>
      <c r="G41" s="382">
        <f>Vehi_Plastics!G30</f>
        <v>0</v>
      </c>
      <c r="H41" s="382">
        <f>Vehi_Plastics!H30</f>
        <v>0</v>
      </c>
      <c r="I41" s="382">
        <f>Vehi_Plastics!I30</f>
        <v>0</v>
      </c>
      <c r="J41" s="382">
        <f>Vehi_Plastics!J30</f>
        <v>0</v>
      </c>
      <c r="K41" s="382">
        <f>Vehi_Plastics!K30</f>
        <v>0</v>
      </c>
      <c r="L41" s="588">
        <f>Vehi_Plastics!L30</f>
        <v>0.18199999999999994</v>
      </c>
      <c r="N41" s="437"/>
      <c r="O41" s="437"/>
      <c r="P41" s="64"/>
      <c r="Q41" s="64"/>
      <c r="R41" s="64"/>
      <c r="S41" s="64"/>
    </row>
    <row r="42" spans="1:19">
      <c r="A42" s="841" t="str">
        <f>Vehi_Plastics!A31</f>
        <v>Nylon 66</v>
      </c>
      <c r="B42" s="416">
        <f>Vehi_Plastics!B31</f>
        <v>0</v>
      </c>
      <c r="C42" s="382">
        <f>Vehi_Plastics!C31</f>
        <v>0</v>
      </c>
      <c r="D42" s="382">
        <f>Vehi_Plastics!D31</f>
        <v>0</v>
      </c>
      <c r="E42" s="382">
        <f>Vehi_Plastics!E31</f>
        <v>0</v>
      </c>
      <c r="F42" s="382">
        <f>Vehi_Plastics!F31</f>
        <v>0.34300000000000003</v>
      </c>
      <c r="G42" s="382">
        <f>Vehi_Plastics!G31</f>
        <v>0.29899999999999999</v>
      </c>
      <c r="H42" s="382">
        <f>Vehi_Plastics!H31</f>
        <v>0</v>
      </c>
      <c r="I42" s="382">
        <f>Vehi_Plastics!I31</f>
        <v>0</v>
      </c>
      <c r="J42" s="382">
        <f>Vehi_Plastics!J31</f>
        <v>0</v>
      </c>
      <c r="K42" s="382">
        <f>Vehi_Plastics!K31</f>
        <v>0</v>
      </c>
      <c r="L42" s="588">
        <f>Vehi_Plastics!L31</f>
        <v>0.35799999999999998</v>
      </c>
      <c r="N42" s="437"/>
      <c r="O42" s="437"/>
      <c r="P42" s="64"/>
      <c r="Q42" s="64"/>
      <c r="R42" s="64"/>
      <c r="S42" s="64"/>
    </row>
    <row r="43" spans="1:19">
      <c r="A43" s="841" t="str">
        <f>Vehi_Plastics!A32</f>
        <v>PC</v>
      </c>
      <c r="B43" s="416">
        <f>Vehi_Plastics!B32</f>
        <v>0</v>
      </c>
      <c r="C43" s="382">
        <f>Vehi_Plastics!C32</f>
        <v>0</v>
      </c>
      <c r="D43" s="382">
        <f>Vehi_Plastics!D32</f>
        <v>0</v>
      </c>
      <c r="E43" s="382">
        <f>Vehi_Plastics!E32</f>
        <v>0</v>
      </c>
      <c r="F43" s="382">
        <f>Vehi_Plastics!F32</f>
        <v>0.22</v>
      </c>
      <c r="G43" s="382">
        <f>Vehi_Plastics!G32</f>
        <v>0</v>
      </c>
      <c r="H43" s="382">
        <f>Vehi_Plastics!H32</f>
        <v>0</v>
      </c>
      <c r="I43" s="382">
        <f>Vehi_Plastics!I32</f>
        <v>0</v>
      </c>
      <c r="J43" s="382">
        <f>Vehi_Plastics!J32</f>
        <v>0</v>
      </c>
      <c r="K43" s="382">
        <f>Vehi_Plastics!K32</f>
        <v>0</v>
      </c>
      <c r="L43" s="588">
        <f>Vehi_Plastics!L32</f>
        <v>0.78</v>
      </c>
      <c r="N43" s="437"/>
      <c r="O43" s="437"/>
      <c r="P43" s="64"/>
      <c r="Q43" s="64"/>
      <c r="R43" s="64"/>
      <c r="S43" s="64"/>
    </row>
    <row r="44" spans="1:19">
      <c r="A44" s="841" t="str">
        <f>Vehi_Plastics!A33</f>
        <v>PET</v>
      </c>
      <c r="B44" s="416">
        <f>Vehi_Plastics!B33</f>
        <v>0</v>
      </c>
      <c r="C44" s="382">
        <f>Vehi_Plastics!C33</f>
        <v>0</v>
      </c>
      <c r="D44" s="382">
        <f>Vehi_Plastics!D33</f>
        <v>0</v>
      </c>
      <c r="E44" s="382">
        <f>Vehi_Plastics!E33</f>
        <v>0</v>
      </c>
      <c r="F44" s="382">
        <f>Vehi_Plastics!F33</f>
        <v>0.5</v>
      </c>
      <c r="G44" s="382">
        <f>Vehi_Plastics!G33</f>
        <v>0</v>
      </c>
      <c r="H44" s="382">
        <f>Vehi_Plastics!H33</f>
        <v>0</v>
      </c>
      <c r="I44" s="382">
        <f>Vehi_Plastics!I33</f>
        <v>0</v>
      </c>
      <c r="J44" s="382">
        <f>Vehi_Plastics!J33</f>
        <v>0</v>
      </c>
      <c r="K44" s="382">
        <f>Vehi_Plastics!K33</f>
        <v>0</v>
      </c>
      <c r="L44" s="588">
        <f>Vehi_Plastics!L33</f>
        <v>0.5</v>
      </c>
      <c r="N44" s="437"/>
      <c r="O44" s="437"/>
      <c r="P44" s="64"/>
      <c r="Q44" s="64"/>
      <c r="R44" s="64"/>
      <c r="S44" s="64"/>
    </row>
    <row r="45" spans="1:19">
      <c r="A45" s="841" t="str">
        <f>Vehi_Plastics!A34</f>
        <v>PP</v>
      </c>
      <c r="B45" s="416">
        <f>Vehi_Plastics!B34</f>
        <v>0</v>
      </c>
      <c r="C45" s="382">
        <f>Vehi_Plastics!C34</f>
        <v>0</v>
      </c>
      <c r="D45" s="382">
        <f>Vehi_Plastics!D34</f>
        <v>9.1999999999999998E-2</v>
      </c>
      <c r="E45" s="382">
        <f>Vehi_Plastics!E34</f>
        <v>0</v>
      </c>
      <c r="F45" s="382">
        <f>Vehi_Plastics!F34</f>
        <v>0.15329999999999999</v>
      </c>
      <c r="G45" s="382">
        <f>Vehi_Plastics!G34</f>
        <v>0</v>
      </c>
      <c r="H45" s="382">
        <f>Vehi_Plastics!H34</f>
        <v>0</v>
      </c>
      <c r="I45" s="382">
        <f>Vehi_Plastics!I34</f>
        <v>1.9E-2</v>
      </c>
      <c r="J45" s="382">
        <f>Vehi_Plastics!J34</f>
        <v>0</v>
      </c>
      <c r="K45" s="382">
        <f>Vehi_Plastics!K34</f>
        <v>0</v>
      </c>
      <c r="L45" s="588">
        <f>Vehi_Plastics!L34</f>
        <v>0.73570000000000002</v>
      </c>
      <c r="N45" s="437"/>
      <c r="O45" s="437"/>
      <c r="P45" s="64"/>
      <c r="Q45" s="64"/>
      <c r="R45" s="64"/>
      <c r="S45" s="64"/>
    </row>
    <row r="46" spans="1:19">
      <c r="A46" s="842" t="str">
        <f>Vehi_Plastics!A35</f>
        <v>PVC</v>
      </c>
      <c r="B46" s="664">
        <f>Vehi_Plastics!B35</f>
        <v>0</v>
      </c>
      <c r="C46" s="368">
        <f>Vehi_Plastics!C35</f>
        <v>0</v>
      </c>
      <c r="D46" s="368">
        <f>Vehi_Plastics!D35</f>
        <v>0</v>
      </c>
      <c r="E46" s="368">
        <f>Vehi_Plastics!E35</f>
        <v>0.18099999999999999</v>
      </c>
      <c r="F46" s="368">
        <f>Vehi_Plastics!F35</f>
        <v>1.4999999999999999E-2</v>
      </c>
      <c r="G46" s="368">
        <f>Vehi_Plastics!G35</f>
        <v>0</v>
      </c>
      <c r="H46" s="368">
        <f>Vehi_Plastics!H35</f>
        <v>0.51100000000000001</v>
      </c>
      <c r="I46" s="368">
        <f>Vehi_Plastics!I35</f>
        <v>0</v>
      </c>
      <c r="J46" s="368">
        <f>Vehi_Plastics!J35</f>
        <v>0</v>
      </c>
      <c r="K46" s="368">
        <f>Vehi_Plastics!K35</f>
        <v>0.29299999999999998</v>
      </c>
      <c r="L46" s="428">
        <f>Vehi_Plastics!L35</f>
        <v>0</v>
      </c>
      <c r="N46" s="438"/>
      <c r="O46" s="438"/>
    </row>
    <row r="47" spans="1:19">
      <c r="A47" s="439"/>
      <c r="B47" s="438"/>
      <c r="C47" s="438"/>
      <c r="D47" s="438"/>
      <c r="E47" s="438"/>
      <c r="F47" s="438"/>
      <c r="G47" s="438"/>
      <c r="H47" s="438"/>
      <c r="I47" s="438"/>
      <c r="J47" s="438"/>
      <c r="K47" s="438"/>
      <c r="L47" s="438"/>
      <c r="M47" s="438"/>
      <c r="N47" s="438"/>
      <c r="O47" s="438"/>
    </row>
    <row r="48" spans="1:19">
      <c r="A48" s="111" t="s">
        <v>1466</v>
      </c>
      <c r="B48" s="440"/>
      <c r="C48" s="382"/>
      <c r="D48" s="382"/>
      <c r="E48" s="382"/>
      <c r="F48" s="382"/>
      <c r="G48" s="382"/>
      <c r="H48" s="382"/>
      <c r="I48" s="382"/>
      <c r="J48" s="382"/>
      <c r="K48" s="382"/>
      <c r="L48" s="382"/>
      <c r="M48" s="382"/>
      <c r="N48" s="382"/>
      <c r="O48" s="382"/>
    </row>
    <row r="49" spans="1:17" ht="38.25">
      <c r="A49" s="1696" t="str">
        <f>Mat_Inputs!B267</f>
        <v>Compression Molding</v>
      </c>
      <c r="B49" s="1654" t="str">
        <f>Mat_Inputs!C267</f>
        <v>Injection Molding (PVC)</v>
      </c>
      <c r="C49" s="382"/>
      <c r="D49" s="382"/>
      <c r="E49" s="382"/>
      <c r="F49" s="382"/>
      <c r="G49" s="382"/>
      <c r="H49" s="382"/>
      <c r="I49" s="382"/>
      <c r="J49" s="382"/>
      <c r="K49" s="382"/>
      <c r="L49" s="382"/>
      <c r="M49" s="382"/>
      <c r="N49" s="382"/>
    </row>
    <row r="50" spans="1:17">
      <c r="A50" s="664">
        <f>Mat_Inputs!B268</f>
        <v>0.89</v>
      </c>
      <c r="B50" s="747">
        <f>Mat_Inputs!C268</f>
        <v>0.10999999999999999</v>
      </c>
      <c r="C50" s="382"/>
      <c r="D50" s="382"/>
      <c r="E50" s="382"/>
      <c r="F50" s="382"/>
      <c r="G50" s="382"/>
      <c r="H50" s="382"/>
      <c r="I50" s="382"/>
      <c r="J50" s="382"/>
      <c r="K50" s="382"/>
      <c r="L50" s="382"/>
      <c r="M50" s="382"/>
      <c r="N50" s="382"/>
    </row>
    <row r="51" spans="1:17">
      <c r="A51" s="439"/>
      <c r="B51" s="439"/>
      <c r="C51" s="439"/>
      <c r="D51" s="439"/>
      <c r="E51" s="439"/>
      <c r="F51" s="439"/>
      <c r="G51" s="439"/>
      <c r="H51" s="439"/>
      <c r="I51" s="382"/>
      <c r="J51" s="64"/>
      <c r="K51" s="64"/>
      <c r="L51" s="439"/>
      <c r="M51" s="439"/>
      <c r="N51" s="439"/>
      <c r="O51" s="439"/>
    </row>
    <row r="52" spans="1:17" ht="15">
      <c r="A52" s="75" t="s">
        <v>762</v>
      </c>
    </row>
    <row r="53" spans="1:17">
      <c r="A53" s="393" t="s">
        <v>769</v>
      </c>
      <c r="B53" s="533">
        <v>1</v>
      </c>
      <c r="C53" s="64"/>
    </row>
    <row r="54" spans="1:17">
      <c r="A54" s="230" t="s">
        <v>770</v>
      </c>
      <c r="B54" s="588">
        <v>1</v>
      </c>
      <c r="C54" s="64"/>
    </row>
    <row r="55" spans="1:17">
      <c r="A55" s="589" t="s">
        <v>773</v>
      </c>
      <c r="B55" s="428">
        <v>1</v>
      </c>
      <c r="C55" s="64"/>
    </row>
    <row r="57" spans="1:17" ht="15">
      <c r="A57" s="75" t="s">
        <v>784</v>
      </c>
    </row>
    <row r="58" spans="1:17" ht="26.45" customHeight="1">
      <c r="A58" s="238"/>
      <c r="B58" s="2980" t="s">
        <v>236</v>
      </c>
      <c r="C58" s="2981"/>
      <c r="D58" s="2980" t="s">
        <v>237</v>
      </c>
      <c r="E58" s="2981"/>
      <c r="F58" s="2980" t="s">
        <v>238</v>
      </c>
      <c r="G58" s="2981"/>
      <c r="H58" s="2980" t="s">
        <v>239</v>
      </c>
      <c r="I58" s="2981"/>
      <c r="J58" s="2980" t="s">
        <v>240</v>
      </c>
      <c r="K58" s="2981"/>
      <c r="L58" s="2980" t="s">
        <v>241</v>
      </c>
      <c r="M58" s="2981"/>
      <c r="N58" s="2980" t="s">
        <v>242</v>
      </c>
      <c r="O58" s="2981"/>
      <c r="P58" s="2980" t="s">
        <v>243</v>
      </c>
      <c r="Q58" s="2981"/>
    </row>
    <row r="59" spans="1:17" ht="70.5" customHeight="1">
      <c r="A59" s="571"/>
      <c r="B59" s="1673" t="s">
        <v>785</v>
      </c>
      <c r="C59" s="1674" t="s">
        <v>786</v>
      </c>
      <c r="D59" s="1673" t="s">
        <v>785</v>
      </c>
      <c r="E59" s="1674" t="s">
        <v>786</v>
      </c>
      <c r="F59" s="1673" t="s">
        <v>785</v>
      </c>
      <c r="G59" s="1674" t="s">
        <v>786</v>
      </c>
      <c r="H59" s="1673" t="s">
        <v>785</v>
      </c>
      <c r="I59" s="1674" t="s">
        <v>786</v>
      </c>
      <c r="J59" s="1673" t="s">
        <v>785</v>
      </c>
      <c r="K59" s="1674" t="s">
        <v>786</v>
      </c>
      <c r="L59" s="1673" t="s">
        <v>785</v>
      </c>
      <c r="M59" s="1674" t="s">
        <v>786</v>
      </c>
      <c r="N59" s="1673" t="s">
        <v>785</v>
      </c>
      <c r="O59" s="1674" t="s">
        <v>786</v>
      </c>
      <c r="P59" s="1673" t="s">
        <v>785</v>
      </c>
      <c r="Q59" s="1674" t="s">
        <v>786</v>
      </c>
    </row>
    <row r="60" spans="1:17">
      <c r="A60" s="659" t="s">
        <v>1467</v>
      </c>
      <c r="B60" s="383">
        <f>Vehi_Inputs!B135</f>
        <v>0.28699999999999998</v>
      </c>
      <c r="C60" s="395"/>
      <c r="D60" s="383">
        <f>Vehi_Inputs!B136</f>
        <v>2.7589999999999999</v>
      </c>
      <c r="E60" s="395"/>
      <c r="F60" s="383">
        <f>Vehi_Inputs!B137</f>
        <v>0.99</v>
      </c>
      <c r="G60" s="395"/>
      <c r="H60" s="383">
        <f>Vehi_Inputs!B138</f>
        <v>2.9820000000000002</v>
      </c>
      <c r="I60" s="395"/>
      <c r="J60" s="383">
        <f>Vehi_Inputs!B139</f>
        <v>0.20499999999999999</v>
      </c>
      <c r="K60" s="395"/>
      <c r="L60" s="383">
        <f>Vehi_Inputs!B140</f>
        <v>0.27300000000000002</v>
      </c>
      <c r="M60" s="395"/>
      <c r="N60" s="383">
        <f>Vehi_Inputs!B141</f>
        <v>0.40899999999999997</v>
      </c>
      <c r="O60" s="395"/>
      <c r="P60" s="383">
        <f>Vehi_Inputs!B142</f>
        <v>1.4520190956924603</v>
      </c>
      <c r="Q60" s="395"/>
    </row>
    <row r="61" spans="1:17">
      <c r="A61" s="571" t="s">
        <v>798</v>
      </c>
      <c r="B61" s="416">
        <v>0</v>
      </c>
      <c r="C61" s="395"/>
      <c r="D61" s="416">
        <v>0</v>
      </c>
      <c r="E61" s="395"/>
      <c r="F61" s="416">
        <v>0</v>
      </c>
      <c r="G61" s="395"/>
      <c r="H61" s="416">
        <v>0</v>
      </c>
      <c r="I61" s="395"/>
      <c r="J61" s="416">
        <v>0</v>
      </c>
      <c r="K61" s="395"/>
      <c r="L61" s="416">
        <v>0</v>
      </c>
      <c r="M61" s="395"/>
      <c r="N61" s="416">
        <v>0</v>
      </c>
      <c r="O61" s="395"/>
      <c r="P61" s="416">
        <v>0</v>
      </c>
      <c r="Q61" s="395"/>
    </row>
    <row r="62" spans="1:17">
      <c r="A62" s="238" t="s">
        <v>799</v>
      </c>
      <c r="B62" s="393"/>
      <c r="C62" s="394"/>
      <c r="D62" s="393"/>
      <c r="E62" s="394"/>
      <c r="F62" s="393"/>
      <c r="G62" s="394"/>
      <c r="H62" s="393"/>
      <c r="I62" s="394"/>
      <c r="J62" s="393"/>
      <c r="K62" s="394"/>
      <c r="L62" s="393"/>
      <c r="M62" s="394"/>
      <c r="N62" s="393"/>
      <c r="O62" s="394"/>
      <c r="P62" s="393"/>
      <c r="Q62" s="394"/>
    </row>
    <row r="63" spans="1:17">
      <c r="A63" s="230" t="s">
        <v>800</v>
      </c>
      <c r="B63" s="416">
        <v>0</v>
      </c>
      <c r="C63" s="588"/>
      <c r="D63" s="416">
        <v>0</v>
      </c>
      <c r="E63" s="588"/>
      <c r="F63" s="416">
        <v>0</v>
      </c>
      <c r="G63" s="588"/>
      <c r="H63" s="416">
        <v>0</v>
      </c>
      <c r="I63" s="588"/>
      <c r="J63" s="416">
        <v>0</v>
      </c>
      <c r="K63" s="588"/>
      <c r="L63" s="416">
        <v>0</v>
      </c>
      <c r="M63" s="588"/>
      <c r="N63" s="416">
        <v>0</v>
      </c>
      <c r="O63" s="588"/>
      <c r="P63" s="416">
        <v>0</v>
      </c>
      <c r="Q63" s="588"/>
    </row>
    <row r="64" spans="1:17">
      <c r="A64" s="230" t="s">
        <v>802</v>
      </c>
      <c r="B64" s="416">
        <v>0</v>
      </c>
      <c r="C64" s="395"/>
      <c r="D64" s="416">
        <v>0</v>
      </c>
      <c r="E64" s="395"/>
      <c r="F64" s="416">
        <v>0</v>
      </c>
      <c r="G64" s="395"/>
      <c r="H64" s="416">
        <v>0</v>
      </c>
      <c r="I64" s="395"/>
      <c r="J64" s="416">
        <v>0</v>
      </c>
      <c r="K64" s="395"/>
      <c r="L64" s="416">
        <v>0</v>
      </c>
      <c r="M64" s="395"/>
      <c r="N64" s="416">
        <v>0</v>
      </c>
      <c r="O64" s="395"/>
      <c r="P64" s="416">
        <v>0</v>
      </c>
      <c r="Q64" s="395"/>
    </row>
    <row r="65" spans="1:17">
      <c r="A65" s="230" t="s">
        <v>804</v>
      </c>
      <c r="B65" s="416">
        <v>0</v>
      </c>
      <c r="C65" s="588"/>
      <c r="D65" s="416">
        <v>0.83399999999999996</v>
      </c>
      <c r="E65" s="588"/>
      <c r="F65" s="416">
        <v>0</v>
      </c>
      <c r="G65" s="588"/>
      <c r="H65" s="416">
        <v>1</v>
      </c>
      <c r="I65" s="588"/>
      <c r="J65" s="416">
        <v>0</v>
      </c>
      <c r="K65" s="588"/>
      <c r="L65" s="416">
        <v>0</v>
      </c>
      <c r="M65" s="588"/>
      <c r="N65" s="416">
        <v>0</v>
      </c>
      <c r="O65" s="588"/>
      <c r="P65" s="416">
        <v>0</v>
      </c>
      <c r="Q65" s="588"/>
    </row>
    <row r="66" spans="1:17">
      <c r="A66" s="230" t="s">
        <v>805</v>
      </c>
      <c r="B66" s="416">
        <v>0</v>
      </c>
      <c r="C66" s="588"/>
      <c r="D66" s="416">
        <v>0</v>
      </c>
      <c r="E66" s="588"/>
      <c r="F66" s="416">
        <v>0</v>
      </c>
      <c r="G66" s="588"/>
      <c r="H66" s="416">
        <v>0</v>
      </c>
      <c r="I66" s="588"/>
      <c r="J66" s="416">
        <v>0</v>
      </c>
      <c r="K66" s="588"/>
      <c r="L66" s="416">
        <v>0</v>
      </c>
      <c r="M66" s="588"/>
      <c r="N66" s="416">
        <v>0</v>
      </c>
      <c r="O66" s="588"/>
      <c r="P66" s="416">
        <v>0</v>
      </c>
      <c r="Q66" s="588"/>
    </row>
    <row r="67" spans="1:17">
      <c r="A67" s="589" t="s">
        <v>806</v>
      </c>
      <c r="B67" s="664">
        <f>1-SUM(B63:B66)</f>
        <v>1</v>
      </c>
      <c r="C67" s="428"/>
      <c r="D67" s="664">
        <f>1-SUM(D63:D66)</f>
        <v>0.16600000000000004</v>
      </c>
      <c r="E67" s="428"/>
      <c r="F67" s="664">
        <f>1-SUM(F63:F66)</f>
        <v>1</v>
      </c>
      <c r="G67" s="428"/>
      <c r="H67" s="664">
        <f>1-SUM(H63:H66)</f>
        <v>0</v>
      </c>
      <c r="I67" s="428"/>
      <c r="J67" s="664">
        <f>1-SUM(J63:J66)</f>
        <v>1</v>
      </c>
      <c r="K67" s="428"/>
      <c r="L67" s="664">
        <f>1-SUM(L63:L66)</f>
        <v>1</v>
      </c>
      <c r="M67" s="428"/>
      <c r="N67" s="664">
        <f>1-SUM(N63:N66)</f>
        <v>1</v>
      </c>
      <c r="O67" s="428"/>
      <c r="P67" s="664">
        <f>1-SUM(P63:P66)</f>
        <v>1</v>
      </c>
      <c r="Q67" s="428"/>
    </row>
    <row r="68" spans="1:17">
      <c r="A68" s="571" t="s">
        <v>1467</v>
      </c>
      <c r="B68" s="230"/>
      <c r="C68" s="395"/>
      <c r="D68" s="230"/>
      <c r="E68" s="395"/>
      <c r="F68" s="230"/>
      <c r="G68" s="395"/>
      <c r="H68" s="230"/>
      <c r="I68" s="395"/>
      <c r="J68" s="230"/>
      <c r="K68" s="395"/>
      <c r="L68" s="230"/>
      <c r="M68" s="395"/>
      <c r="N68" s="230"/>
      <c r="O68" s="395"/>
      <c r="P68" s="230"/>
      <c r="Q68" s="395"/>
    </row>
    <row r="69" spans="1:17" s="496" customFormat="1">
      <c r="A69" s="347" t="s">
        <v>800</v>
      </c>
      <c r="B69" s="390">
        <f>B$60*B63</f>
        <v>0</v>
      </c>
      <c r="C69" s="348"/>
      <c r="D69" s="390">
        <f>D$60*D63</f>
        <v>0</v>
      </c>
      <c r="E69" s="348"/>
      <c r="F69" s="390">
        <f>F$60*F63</f>
        <v>0</v>
      </c>
      <c r="G69" s="348"/>
      <c r="H69" s="390">
        <f>H$60*H63</f>
        <v>0</v>
      </c>
      <c r="I69" s="348"/>
      <c r="J69" s="390">
        <f>J$60*J63</f>
        <v>0</v>
      </c>
      <c r="K69" s="348"/>
      <c r="L69" s="390">
        <f>L$60*L63</f>
        <v>0</v>
      </c>
      <c r="M69" s="348"/>
      <c r="N69" s="390">
        <f>N$60*N63</f>
        <v>0</v>
      </c>
      <c r="O69" s="348"/>
      <c r="P69" s="390">
        <f>P$60*P63</f>
        <v>0</v>
      </c>
      <c r="Q69" s="348"/>
    </row>
    <row r="70" spans="1:17" s="496" customFormat="1">
      <c r="A70" s="347" t="s">
        <v>802</v>
      </c>
      <c r="B70" s="390">
        <f>B$60*B64</f>
        <v>0</v>
      </c>
      <c r="C70" s="348"/>
      <c r="D70" s="390">
        <f>D$60*D64</f>
        <v>0</v>
      </c>
      <c r="E70" s="348"/>
      <c r="F70" s="390">
        <f>F$60*F64</f>
        <v>0</v>
      </c>
      <c r="G70" s="348"/>
      <c r="H70" s="390">
        <f>H$60*H64</f>
        <v>0</v>
      </c>
      <c r="I70" s="348"/>
      <c r="J70" s="390">
        <f>J$60*J64</f>
        <v>0</v>
      </c>
      <c r="K70" s="348"/>
      <c r="L70" s="390">
        <f>L$60*L64</f>
        <v>0</v>
      </c>
      <c r="M70" s="348"/>
      <c r="N70" s="390">
        <f>N$60*N64</f>
        <v>0</v>
      </c>
      <c r="O70" s="348"/>
      <c r="P70" s="390">
        <f>P$60*P64</f>
        <v>0</v>
      </c>
      <c r="Q70" s="348"/>
    </row>
    <row r="71" spans="1:17" s="496" customFormat="1">
      <c r="A71" s="347" t="s">
        <v>804</v>
      </c>
      <c r="B71" s="390">
        <f>B$60*B65</f>
        <v>0</v>
      </c>
      <c r="C71" s="348"/>
      <c r="D71" s="390">
        <f>D$60*D65</f>
        <v>2.3010059999999997</v>
      </c>
      <c r="E71" s="348"/>
      <c r="F71" s="390">
        <f>F$60*F65</f>
        <v>0</v>
      </c>
      <c r="G71" s="348"/>
      <c r="H71" s="390">
        <f>H$60*H65</f>
        <v>2.9820000000000002</v>
      </c>
      <c r="I71" s="348"/>
      <c r="J71" s="390">
        <f>J$60*J65</f>
        <v>0</v>
      </c>
      <c r="K71" s="348"/>
      <c r="L71" s="390">
        <f>L$60*L65</f>
        <v>0</v>
      </c>
      <c r="M71" s="348"/>
      <c r="N71" s="390">
        <f>N$60*N65</f>
        <v>0</v>
      </c>
      <c r="O71" s="348"/>
      <c r="P71" s="390">
        <f>P$60*P65</f>
        <v>0</v>
      </c>
      <c r="Q71" s="348"/>
    </row>
    <row r="72" spans="1:17" s="496" customFormat="1">
      <c r="A72" s="347" t="s">
        <v>805</v>
      </c>
      <c r="B72" s="390">
        <f>B$60*B66</f>
        <v>0</v>
      </c>
      <c r="C72" s="348"/>
      <c r="D72" s="390">
        <f>D$60*D66</f>
        <v>0</v>
      </c>
      <c r="E72" s="348"/>
      <c r="F72" s="390">
        <f>F$60*F66</f>
        <v>0</v>
      </c>
      <c r="G72" s="348"/>
      <c r="H72" s="390">
        <f>H$60*H66</f>
        <v>0</v>
      </c>
      <c r="I72" s="348"/>
      <c r="J72" s="390">
        <f>J$60*J66</f>
        <v>0</v>
      </c>
      <c r="K72" s="348"/>
      <c r="L72" s="390">
        <f>L$60*L66</f>
        <v>0</v>
      </c>
      <c r="M72" s="348"/>
      <c r="N72" s="390">
        <f>N$60*N66</f>
        <v>0</v>
      </c>
      <c r="O72" s="348"/>
      <c r="P72" s="390">
        <f>P$60*P66</f>
        <v>0</v>
      </c>
      <c r="Q72" s="348"/>
    </row>
    <row r="73" spans="1:17" s="496" customFormat="1">
      <c r="A73" s="347" t="s">
        <v>806</v>
      </c>
      <c r="B73" s="390">
        <f>B$60*B67</f>
        <v>0.28699999999999998</v>
      </c>
      <c r="C73" s="348"/>
      <c r="D73" s="390">
        <f>D$60*D67</f>
        <v>0.45799400000000007</v>
      </c>
      <c r="E73" s="348"/>
      <c r="F73" s="390">
        <f>F$60*F67</f>
        <v>0.99</v>
      </c>
      <c r="G73" s="348"/>
      <c r="H73" s="390">
        <f>H$60*H67</f>
        <v>0</v>
      </c>
      <c r="I73" s="348"/>
      <c r="J73" s="390">
        <f>J$60*J67</f>
        <v>0.20499999999999999</v>
      </c>
      <c r="K73" s="348"/>
      <c r="L73" s="390">
        <f>L$60*L67</f>
        <v>0.27300000000000002</v>
      </c>
      <c r="M73" s="348"/>
      <c r="N73" s="390">
        <f>N$60*N67</f>
        <v>0.40899999999999997</v>
      </c>
      <c r="O73" s="348"/>
      <c r="P73" s="390">
        <f>P$60*P67</f>
        <v>1.4520190956924603</v>
      </c>
      <c r="Q73" s="348"/>
    </row>
    <row r="74" spans="1:17" s="496" customFormat="1">
      <c r="A74" s="510" t="s">
        <v>816</v>
      </c>
      <c r="B74" s="510">
        <f>B$69*(1+(GREET1_Import_Export!$G$179*GREET1_Import_Export!$B180+GREET1_Import_Export!$G180)/1000000)+B$70*(1+(GREET1_Import_Export!$G$179*GREET1_Import_Export!$B180+GREET1_Import_Export!$G180)/1000000)+B$71*(1+GREET1_Import_Export!$B216/1000000)+B$72*(1+GREET1_Import_Export!$B284/1000000)+B$73*(GREET1_Import_Export!$B309+GREET1_Import_Export!$C309)/1000000</f>
        <v>0.58205186056138436</v>
      </c>
      <c r="C74" s="509"/>
      <c r="D74" s="510">
        <f>D$69*(1+(GREET1_Import_Export!$G$179*GREET1_Import_Export!$B180+GREET1_Import_Export!$G180)/1000000)+D$70*(1+(GREET1_Import_Export!$G$179*GREET1_Import_Export!$B180+GREET1_Import_Export!$G180)/1000000)+D$71*(1+GREET1_Import_Export!$B216/1000000)+D$72*(1+GREET1_Import_Export!$B284/1000000)+D$73*(GREET1_Import_Export!$B309+GREET1_Import_Export!$C309)/1000000</f>
        <v>3.4697372066247998</v>
      </c>
      <c r="E74" s="509"/>
      <c r="F74" s="510">
        <f>F$69*(1+(GREET1_Import_Export!$G$179*GREET1_Import_Export!$B180+GREET1_Import_Export!$G180)/1000000)+F$70*(1+(GREET1_Import_Export!$G$179*GREET1_Import_Export!$B180+GREET1_Import_Export!$G180)/1000000)+F$71*(1+GREET1_Import_Export!$B216/1000000)+F$72*(1+GREET1_Import_Export!$B284/1000000)+F$73*(GREET1_Import_Export!$B309+GREET1_Import_Export!$C309)/1000000</f>
        <v>2.0077747106472841</v>
      </c>
      <c r="G74" s="509"/>
      <c r="H74" s="510">
        <f>H$69*(1+(GREET1_Import_Export!$G$179*GREET1_Import_Export!$B180+GREET1_Import_Export!$G180)/1000000)+H$70*(1+(GREET1_Import_Export!$G$179*GREET1_Import_Export!$B180+GREET1_Import_Export!$G180)/1000000)+H$71*(1+GREET1_Import_Export!$B216/1000000)+H$72*(1+GREET1_Import_Export!$B284/1000000)+H$73*(GREET1_Import_Export!$B309+GREET1_Import_Export!$C309)/1000000</f>
        <v>3.2928918881409128</v>
      </c>
      <c r="I74" s="509"/>
      <c r="J74" s="510">
        <f>J$69*(1+(GREET1_Import_Export!$G$179*GREET1_Import_Export!$B180+GREET1_Import_Export!$G180)/1000000)+J$70*(1+(GREET1_Import_Export!$G$179*GREET1_Import_Export!$B180+GREET1_Import_Export!$G180)/1000000)+J$71*(1+GREET1_Import_Export!$B216/1000000)+J$72*(1+GREET1_Import_Export!$B284/1000000)+J$73*(GREET1_Import_Export!$B309+GREET1_Import_Export!$C309)/1000000</f>
        <v>0.41575132897241734</v>
      </c>
      <c r="K74" s="509"/>
      <c r="L74" s="510">
        <f>L$69*(1+(GREET1_Import_Export!$G$179*GREET1_Import_Export!$B180+GREET1_Import_Export!$G180)/1000000)+L$70*(1+(GREET1_Import_Export!$G$179*GREET1_Import_Export!$B180+GREET1_Import_Export!$G180)/1000000)+L$71*(1+GREET1_Import_Export!$B216/1000000)+L$72*(1+GREET1_Import_Export!$B284/1000000)+L$73*(GREET1_Import_Export!$B309+GREET1_Import_Export!$C309)/1000000</f>
        <v>0.55365908687546328</v>
      </c>
      <c r="M74" s="509"/>
      <c r="N74" s="510">
        <f>N$69*(1+(GREET1_Import_Export!$G$179*GREET1_Import_Export!$B180+GREET1_Import_Export!$G180)/1000000)+N$70*(1+(GREET1_Import_Export!$G$179*GREET1_Import_Export!$B180+GREET1_Import_Export!$G180)/1000000)+N$71*(1+GREET1_Import_Export!$B216/1000000)+N$72*(1+GREET1_Import_Export!$B284/1000000)+N$73*(GREET1_Import_Export!$B309+GREET1_Import_Export!$C309)/1000000</f>
        <v>0.8294746026815546</v>
      </c>
      <c r="O74" s="509"/>
      <c r="P74" s="510">
        <f>P$69*(1+(GREET1_Import_Export!$G$179*GREET1_Import_Export!$B180+GREET1_Import_Export!$G180)/1000000)+P$70*(1+(GREET1_Import_Export!$G$179*GREET1_Import_Export!$B180+GREET1_Import_Export!$G180)/1000000)+P$71*(1+GREET1_Import_Export!$B216/1000000)+P$72*(1+GREET1_Import_Export!$B284/1000000)+P$73*(GREET1_Import_Export!$B309+GREET1_Import_Export!$C309)/1000000</f>
        <v>2.9447749694022836</v>
      </c>
      <c r="Q74" s="509"/>
    </row>
    <row r="75" spans="1:17" s="496" customFormat="1">
      <c r="A75" s="347" t="s">
        <v>817</v>
      </c>
      <c r="B75" s="347">
        <f>B$69*(1+(GREET1_Import_Export!$G$179*GREET1_Import_Export!$B181+GREET1_Import_Export!$G181)/1000000)+B$70*(1+(GREET1_Import_Export!$G$179*GREET1_Import_Export!$B181+GREET1_Import_Export!$G181)/1000000)+B$71*(1+GREET1_Import_Export!$B217/1000000)+B$72*(1+GREET1_Import_Export!$B285/1000000)+B$73*(GREET1_Import_Export!$B310+GREET1_Import_Export!$C310)/1000000</f>
        <v>0.46099343845488616</v>
      </c>
      <c r="C75" s="348"/>
      <c r="D75" s="347">
        <f>D$69*(1+(GREET1_Import_Export!$G$179*GREET1_Import_Export!$B181+GREET1_Import_Export!$G181)/1000000)+D$70*(1+(GREET1_Import_Export!$G$179*GREET1_Import_Export!$B181+GREET1_Import_Export!$G181)/1000000)+D$71*(1+GREET1_Import_Export!$B217/1000000)+D$72*(1+GREET1_Import_Export!$B285/1000000)+D$73*(GREET1_Import_Export!$B310+GREET1_Import_Export!$C310)/1000000</f>
        <v>3.2748345544818638</v>
      </c>
      <c r="E75" s="348"/>
      <c r="F75" s="347">
        <f>F$69*(1+(GREET1_Import_Export!$G$179*GREET1_Import_Export!$B181+GREET1_Import_Export!$G181)/1000000)+F$70*(1+(GREET1_Import_Export!$G$179*GREET1_Import_Export!$B181+GREET1_Import_Export!$G181)/1000000)+F$71*(1+GREET1_Import_Export!$B217/1000000)+F$72*(1+GREET1_Import_Export!$B285/1000000)+F$73*(GREET1_Import_Export!$B310+GREET1_Import_Export!$C310)/1000000</f>
        <v>1.5901864253321858</v>
      </c>
      <c r="G75" s="348"/>
      <c r="H75" s="347">
        <f>H$69*(1+(GREET1_Import_Export!$G$179*GREET1_Import_Export!$B181+GREET1_Import_Export!$G181)/1000000)+H$70*(1+(GREET1_Import_Export!$G$179*GREET1_Import_Export!$B181+GREET1_Import_Export!$G181)/1000000)+H$71*(1+GREET1_Import_Export!$B217/1000000)+H$72*(1+GREET1_Import_Export!$B285/1000000)+H$73*(GREET1_Import_Export!$B310+GREET1_Import_Export!$C310)/1000000</f>
        <v>3.2906655993205178</v>
      </c>
      <c r="I75" s="348"/>
      <c r="J75" s="347">
        <f>J$69*(1+(GREET1_Import_Export!$G$179*GREET1_Import_Export!$B181+GREET1_Import_Export!$G181)/1000000)+J$70*(1+(GREET1_Import_Export!$G$179*GREET1_Import_Export!$B181+GREET1_Import_Export!$G181)/1000000)+J$71*(1+GREET1_Import_Export!$B217/1000000)+J$72*(1+GREET1_Import_Export!$B285/1000000)+J$73*(GREET1_Import_Export!$B310+GREET1_Import_Export!$C310)/1000000</f>
        <v>0.32928102746777582</v>
      </c>
      <c r="K75" s="348"/>
      <c r="L75" s="347">
        <f>L$69*(1+(GREET1_Import_Export!$G$179*GREET1_Import_Export!$B181+GREET1_Import_Export!$G181)/1000000)+L$70*(1+(GREET1_Import_Export!$G$179*GREET1_Import_Export!$B181+GREET1_Import_Export!$G181)/1000000)+L$71*(1+GREET1_Import_Export!$B217/1000000)+L$72*(1+GREET1_Import_Export!$B285/1000000)+L$73*(GREET1_Import_Export!$B310+GREET1_Import_Export!$C310)/1000000</f>
        <v>0.43850595365220885</v>
      </c>
      <c r="M75" s="348"/>
      <c r="N75" s="347">
        <f>N$69*(1+(GREET1_Import_Export!$G$179*GREET1_Import_Export!$B181+GREET1_Import_Export!$G181)/1000000)+N$70*(1+(GREET1_Import_Export!$G$179*GREET1_Import_Export!$B181+GREET1_Import_Export!$G181)/1000000)+N$71*(1+GREET1_Import_Export!$B217/1000000)+N$72*(1+GREET1_Import_Export!$B285/1000000)+N$73*(GREET1_Import_Export!$B310+GREET1_Import_Export!$C310)/1000000</f>
        <v>0.65695580602107462</v>
      </c>
      <c r="O75" s="348"/>
      <c r="P75" s="347">
        <f>P$69*(1+(GREET1_Import_Export!$G$179*GREET1_Import_Export!$B181+GREET1_Import_Export!$G181)/1000000)+P$70*(1+(GREET1_Import_Export!$G$179*GREET1_Import_Export!$B181+GREET1_Import_Export!$G181)/1000000)+P$71*(1+GREET1_Import_Export!$B217/1000000)+P$72*(1+GREET1_Import_Export!$B285/1000000)+P$73*(GREET1_Import_Export!$B310+GREET1_Import_Export!$C310)/1000000</f>
        <v>2.3323040962558248</v>
      </c>
      <c r="Q75" s="348"/>
    </row>
    <row r="76" spans="1:17" s="496" customFormat="1">
      <c r="A76" s="347" t="s">
        <v>805</v>
      </c>
      <c r="B76" s="347">
        <f>B$69*(GREET1_Import_Export!$F$179*GREET1_Import_Export!$B182+GREET1_Import_Export!$F182)/1000000+B$70*(GREET1_Import_Export!$G$179*GREET1_Import_Export!$B182+GREET1_Import_Export!$G182)/1000000+B$71*GREET1_Import_Export!$B218/1000000+B$72*(1+GREET1_Import_Export!$B286/1000000)+B$73*(GREET1_Import_Export!$B311+GREET1_Import_Export!$C311)/1000000</f>
        <v>0.16002997625492929</v>
      </c>
      <c r="C76" s="348"/>
      <c r="D76" s="347">
        <f>D$69*(GREET1_Import_Export!$F$179*GREET1_Import_Export!$B182+GREET1_Import_Export!$F182)/1000000+D$70*(GREET1_Import_Export!$G$179*GREET1_Import_Export!$B182+GREET1_Import_Export!$G182)/1000000+D$71*GREET1_Import_Export!$B218/1000000+D$72*(1+GREET1_Import_Export!$B286/1000000)+D$73*(GREET1_Import_Export!$B311+GREET1_Import_Export!$C311)/1000000</f>
        <v>0.25764379026268952</v>
      </c>
      <c r="E76" s="348"/>
      <c r="F76" s="347">
        <f>F$69*(GREET1_Import_Export!$F$179*GREET1_Import_Export!$B182+GREET1_Import_Export!$F182)/1000000+F$70*(GREET1_Import_Export!$G$179*GREET1_Import_Export!$B182+GREET1_Import_Export!$G182)/1000000+F$71*GREET1_Import_Export!$B218/1000000+F$72*(1+GREET1_Import_Export!$B286/1000000)+F$73*(GREET1_Import_Export!$B311+GREET1_Import_Export!$C311)/1000000</f>
        <v>0.55201977871909413</v>
      </c>
      <c r="G76" s="348"/>
      <c r="H76" s="347">
        <f>H$69*(GREET1_Import_Export!$F$179*GREET1_Import_Export!$B182+GREET1_Import_Export!$F182)/1000000+H$70*(GREET1_Import_Export!$G$179*GREET1_Import_Export!$B182+GREET1_Import_Export!$G182)/1000000+H$71*GREET1_Import_Export!$B218/1000000+H$72*(1+GREET1_Import_Export!$B286/1000000)+H$73*(GREET1_Import_Export!$B311+GREET1_Import_Export!$C311)/1000000</f>
        <v>2.9395998709779987E-3</v>
      </c>
      <c r="I76" s="348"/>
      <c r="J76" s="347">
        <f>J$69*(GREET1_Import_Export!$F$179*GREET1_Import_Export!$B182+GREET1_Import_Export!$F182)/1000000+J$70*(GREET1_Import_Export!$G$179*GREET1_Import_Export!$B182+GREET1_Import_Export!$G182)/1000000+J$71*GREET1_Import_Export!$B218/1000000+J$72*(1+GREET1_Import_Export!$B286/1000000)+J$73*(GREET1_Import_Export!$B311+GREET1_Import_Export!$C311)/1000000</f>
        <v>0.11430712589637806</v>
      </c>
      <c r="K76" s="348"/>
      <c r="L76" s="347">
        <f>L$69*(GREET1_Import_Export!$F$179*GREET1_Import_Export!$B182+GREET1_Import_Export!$F182)/1000000+L$70*(GREET1_Import_Export!$G$179*GREET1_Import_Export!$B182+GREET1_Import_Export!$G182)/1000000+L$71*GREET1_Import_Export!$B218/1000000+L$72*(1+GREET1_Import_Export!$B286/1000000)+L$73*(GREET1_Import_Export!$B311+GREET1_Import_Export!$C311)/1000000</f>
        <v>0.15222363594981081</v>
      </c>
      <c r="M76" s="348"/>
      <c r="N76" s="347">
        <f>N$69*(GREET1_Import_Export!$F$179*GREET1_Import_Export!$B182+GREET1_Import_Export!$F182)/1000000+N$70*(GREET1_Import_Export!$G$179*GREET1_Import_Export!$B182+GREET1_Import_Export!$G182)/1000000+N$71*GREET1_Import_Export!$B218/1000000+N$72*(1+GREET1_Import_Export!$B286/1000000)+N$73*(GREET1_Import_Export!$B311+GREET1_Import_Export!$C311)/1000000</f>
        <v>0.22805665605667627</v>
      </c>
      <c r="O76" s="348"/>
      <c r="P76" s="347">
        <f>P$69*(GREET1_Import_Export!$F$179*GREET1_Import_Export!$B182+GREET1_Import_Export!$F182)/1000000+P$70*(GREET1_Import_Export!$G$179*GREET1_Import_Export!$B182+GREET1_Import_Export!$G182)/1000000+P$71*GREET1_Import_Export!$B218/1000000+P$72*(1+GREET1_Import_Export!$B286/1000000)+P$73*(GREET1_Import_Export!$B311+GREET1_Import_Export!$C311)/1000000</f>
        <v>0.80963965646469815</v>
      </c>
      <c r="Q76" s="348"/>
    </row>
    <row r="77" spans="1:17" s="496" customFormat="1">
      <c r="A77" s="347" t="s">
        <v>804</v>
      </c>
      <c r="B77" s="347">
        <f>B75-B76-B78</f>
        <v>0.29595698035738616</v>
      </c>
      <c r="C77" s="348"/>
      <c r="D77" s="347">
        <f>D75-D76-D78</f>
        <v>2.9999646100561628</v>
      </c>
      <c r="E77" s="348"/>
      <c r="F77" s="347">
        <f>F75-F76-F78</f>
        <v>1.0208969008843636</v>
      </c>
      <c r="G77" s="348"/>
      <c r="H77" s="347">
        <f>H75-H76-H78</f>
        <v>3.2757554961396154</v>
      </c>
      <c r="I77" s="348"/>
      <c r="J77" s="347">
        <f>J75-J76-J78</f>
        <v>0.21139784311241872</v>
      </c>
      <c r="K77" s="348"/>
      <c r="L77" s="347">
        <f>L75-L76-L78</f>
        <v>0.28152005448629425</v>
      </c>
      <c r="M77" s="348"/>
      <c r="N77" s="347">
        <f>N75-N76-N78</f>
        <v>0.42176447723404503</v>
      </c>
      <c r="O77" s="348"/>
      <c r="P77" s="347">
        <f>P75-P76-P78</f>
        <v>1.4973351462801503</v>
      </c>
      <c r="Q77" s="348"/>
    </row>
    <row r="78" spans="1:17" s="496" customFormat="1">
      <c r="A78" s="347" t="s">
        <v>818</v>
      </c>
      <c r="B78" s="347">
        <f>B$69*(1+(GREET1_Import_Export!$G$179*GREET1_Import_Export!$B184+GREET1_Import_Export!$G184)/1000000)+B$70*(1+(GREET1_Import_Export!$G$179*GREET1_Import_Export!$B184+GREET1_Import_Export!$G184)/1000000)+B$71*GREET1_Import_Export!$B220/1000000+B$72*GREET1_Import_Export!$B288/1000000+B$73*(GREET1_Import_Export!$B313+GREET1_Import_Export!$C313)/1000000</f>
        <v>5.0064818425706774E-3</v>
      </c>
      <c r="C78" s="348"/>
      <c r="D78" s="347">
        <f>D$69*(1+(GREET1_Import_Export!$G$179*GREET1_Import_Export!$B184+GREET1_Import_Export!$G184)/1000000)+D$70*(1+(GREET1_Import_Export!$G$179*GREET1_Import_Export!$B184+GREET1_Import_Export!$G184)/1000000)+D$71*GREET1_Import_Export!$B220/1000000+D$72*GREET1_Import_Export!$B288/1000000+D$73*(GREET1_Import_Export!$B313+GREET1_Import_Export!$C313)/1000000</f>
        <v>1.7226154163011521E-2</v>
      </c>
      <c r="E78" s="348"/>
      <c r="F78" s="347">
        <f>F$69*(1+(GREET1_Import_Export!$G$179*GREET1_Import_Export!$B184+GREET1_Import_Export!$G184)/1000000)+F$70*(1+(GREET1_Import_Export!$G$179*GREET1_Import_Export!$B184+GREET1_Import_Export!$G184)/1000000)+F$71*GREET1_Import_Export!$B220/1000000+F$72*GREET1_Import_Export!$B288/1000000+F$73*(GREET1_Import_Export!$B313+GREET1_Import_Export!$C313)/1000000</f>
        <v>1.7269745728728123E-2</v>
      </c>
      <c r="G78" s="348"/>
      <c r="H78" s="347">
        <f>H$69*(1+(GREET1_Import_Export!$G$179*GREET1_Import_Export!$B184+GREET1_Import_Export!$G184)/1000000)+H$70*(1+(GREET1_Import_Export!$G$179*GREET1_Import_Export!$B184+GREET1_Import_Export!$G184)/1000000)+H$71*GREET1_Import_Export!$B220/1000000+H$72*GREET1_Import_Export!$B288/1000000+H$73*(GREET1_Import_Export!$B313+GREET1_Import_Export!$C313)/1000000</f>
        <v>1.1970503309924744E-2</v>
      </c>
      <c r="I78" s="348"/>
      <c r="J78" s="347">
        <f>J$69*(1+(GREET1_Import_Export!$G$179*GREET1_Import_Export!$B184+GREET1_Import_Export!$G184)/1000000)+J$70*(1+(GREET1_Import_Export!$G$179*GREET1_Import_Export!$B184+GREET1_Import_Export!$G184)/1000000)+J$71*GREET1_Import_Export!$B220/1000000+J$72*GREET1_Import_Export!$B288/1000000+J$73*(GREET1_Import_Export!$B313+GREET1_Import_Export!$C313)/1000000</f>
        <v>3.5760584589790557E-3</v>
      </c>
      <c r="K78" s="348"/>
      <c r="L78" s="347">
        <f>L$69*(1+(GREET1_Import_Export!$G$179*GREET1_Import_Export!$B184+GREET1_Import_Export!$G184)/1000000)+L$70*(1+(GREET1_Import_Export!$G$179*GREET1_Import_Export!$B184+GREET1_Import_Export!$G184)/1000000)+L$71*GREET1_Import_Export!$B220/1000000+L$72*GREET1_Import_Export!$B288/1000000+L$73*(GREET1_Import_Export!$B313+GREET1_Import_Export!$C313)/1000000</f>
        <v>4.7622632161038164E-3</v>
      </c>
      <c r="M78" s="348"/>
      <c r="N78" s="347">
        <f>N$69*(1+(GREET1_Import_Export!$G$179*GREET1_Import_Export!$B184+GREET1_Import_Export!$G184)/1000000)+N$70*(1+(GREET1_Import_Export!$G$179*GREET1_Import_Export!$B184+GREET1_Import_Export!$G184)/1000000)+N$71*GREET1_Import_Export!$B220/1000000+N$72*GREET1_Import_Export!$B288/1000000+N$73*(GREET1_Import_Export!$B313+GREET1_Import_Export!$C313)/1000000</f>
        <v>7.134672730353335E-3</v>
      </c>
      <c r="O78" s="348"/>
      <c r="P78" s="347">
        <f>P$69*(1+(GREET1_Import_Export!$G$179*GREET1_Import_Export!$B184+GREET1_Import_Export!$G184)/1000000)+P$70*(1+(GREET1_Import_Export!$G$179*GREET1_Import_Export!$B184+GREET1_Import_Export!$G184)/1000000)+P$71*GREET1_Import_Export!$B220/1000000+P$72*GREET1_Import_Export!$B288/1000000+P$73*(GREET1_Import_Export!$B313+GREET1_Import_Export!$C313)/1000000</f>
        <v>2.5329293510976302E-2</v>
      </c>
      <c r="Q78" s="348"/>
    </row>
    <row r="79" spans="1:17" s="535" customFormat="1">
      <c r="A79" s="160" t="s">
        <v>819</v>
      </c>
      <c r="B79" s="650">
        <f>B$69*((GREET1_Import_Export!$G$179*GREET1_Import_Export!$B185+GREET1_Import_Export!$G185))+B$70*((GREET1_Import_Export!$G$179*GREET1_Import_Export!$B185+GREET1_Import_Export!$G185))+B$71*GREET1_Import_Export!$B221+B$72*GREET1_Import_Export!$B289+B$73*(GREET1_Import_Export!$B314+GREET1_Import_Export!$C314)</f>
        <v>31.192701757183013</v>
      </c>
      <c r="C79" s="752"/>
      <c r="D79" s="650">
        <f>D$69*((GREET1_Import_Export!$G$179*GREET1_Import_Export!$B185+GREET1_Import_Export!$G185))+D$70*((GREET1_Import_Export!$G$179*GREET1_Import_Export!$B185+GREET1_Import_Export!$G185))+D$71*GREET1_Import_Export!$B221+D$72*GREET1_Import_Export!$B289+D$73*(GREET1_Import_Export!$B314+GREET1_Import_Export!$C314)</f>
        <v>56.868972119403729</v>
      </c>
      <c r="E79" s="752"/>
      <c r="F79" s="650">
        <f>F$69*((GREET1_Import_Export!$G$179*GREET1_Import_Export!$B185+GREET1_Import_Export!$G185))+F$70*((GREET1_Import_Export!$G$179*GREET1_Import_Export!$B185+GREET1_Import_Export!$G185))+F$71*GREET1_Import_Export!$B221+F$72*GREET1_Import_Export!$B289+F$73*(GREET1_Import_Export!$B314+GREET1_Import_Export!$C314)</f>
        <v>107.59851825648497</v>
      </c>
      <c r="G79" s="752"/>
      <c r="H79" s="650">
        <f>H$69*((GREET1_Import_Export!$G$179*GREET1_Import_Export!$B185+GREET1_Import_Export!$G185))+H$70*((GREET1_Import_Export!$G$179*GREET1_Import_Export!$B185+GREET1_Import_Export!$G185))+H$71*GREET1_Import_Export!$B221+H$72*GREET1_Import_Export!$B289+H$73*(GREET1_Import_Export!$B314+GREET1_Import_Export!$C314)</f>
        <v>9.1905542923162731</v>
      </c>
      <c r="I79" s="752"/>
      <c r="J79" s="650">
        <f>J$69*((GREET1_Import_Export!$G$179*GREET1_Import_Export!$B185+GREET1_Import_Export!$G185))+J$70*((GREET1_Import_Export!$G$179*GREET1_Import_Export!$B185+GREET1_Import_Export!$G185))+J$71*GREET1_Import_Export!$B221+J$72*GREET1_Import_Export!$B289+J$73*(GREET1_Import_Export!$B314+GREET1_Import_Export!$C314)</f>
        <v>22.280501255130723</v>
      </c>
      <c r="K79" s="752"/>
      <c r="L79" s="650">
        <f>L$69*((GREET1_Import_Export!$G$179*GREET1_Import_Export!$B185+GREET1_Import_Export!$G185))+L$70*((GREET1_Import_Export!$G$179*GREET1_Import_Export!$B185+GREET1_Import_Export!$G185))+L$71*GREET1_Import_Export!$B221+L$72*GREET1_Import_Export!$B289+L$73*(GREET1_Import_Export!$B314+GREET1_Import_Export!$C314)</f>
        <v>29.671106549515553</v>
      </c>
      <c r="M79" s="752"/>
      <c r="N79" s="650">
        <f>N$69*((GREET1_Import_Export!$G$179*GREET1_Import_Export!$B185+GREET1_Import_Export!$G185))+N$70*((GREET1_Import_Export!$G$179*GREET1_Import_Export!$B185+GREET1_Import_Export!$G185))+N$71*GREET1_Import_Export!$B221+N$72*GREET1_Import_Export!$B289+N$73*(GREET1_Import_Export!$B314+GREET1_Import_Export!$C314)</f>
        <v>44.452317138285203</v>
      </c>
      <c r="O79" s="752"/>
      <c r="P79" s="650">
        <f>P$69*((GREET1_Import_Export!$G$179*GREET1_Import_Export!$B185+GREET1_Import_Export!$G185))+P$70*((GREET1_Import_Export!$G$179*GREET1_Import_Export!$B185+GREET1_Import_Export!$G185))+P$71*GREET1_Import_Export!$B221+P$72*GREET1_Import_Export!$B289+P$73*(GREET1_Import_Export!$B314+GREET1_Import_Export!$C314)</f>
        <v>157.81323553194949</v>
      </c>
      <c r="Q79" s="752"/>
    </row>
    <row r="80" spans="1:17" s="496" customFormat="1">
      <c r="A80" s="699" t="s">
        <v>864</v>
      </c>
      <c r="B80" s="510"/>
      <c r="C80" s="509"/>
      <c r="D80" s="510"/>
      <c r="E80" s="509"/>
      <c r="F80" s="510"/>
      <c r="G80" s="509"/>
      <c r="H80" s="510"/>
      <c r="I80" s="509"/>
      <c r="J80" s="510"/>
      <c r="K80" s="509"/>
      <c r="L80" s="510"/>
      <c r="M80" s="509"/>
      <c r="N80" s="510"/>
      <c r="O80" s="509"/>
      <c r="P80" s="510"/>
      <c r="Q80" s="509"/>
    </row>
    <row r="81" spans="1:17" s="496" customFormat="1">
      <c r="A81" s="347" t="s">
        <v>821</v>
      </c>
      <c r="B81" s="347">
        <f>B$69*($B$53*GREET1_Import_Export!$K72+GREET1_Import_Export!$G$179*GREET1_Import_Export!$B186+GREET1_Import_Export!$G186)+B$70*(GREET1_Import_Export!$O72+GREET1_Import_Export!$G$179*GREET1_Import_Export!$B186+GREET1_Import_Export!$G186)+B$71*($B$54*GREET1_Import_Export!$B72+GREET1_Import_Export!$B222)+B$72*($B$55*GREET1_Import_Export!$AA72+GREET1_Import_Export!$B290)+B$73*(GREET1_Import_Export!$B315+GREET1_Import_Export!$C315)</f>
        <v>3.976921279393351</v>
      </c>
      <c r="C81" s="348"/>
      <c r="D81" s="347">
        <f>D$69*($B$53*GREET1_Import_Export!$K72+GREET1_Import_Export!$G$179*GREET1_Import_Export!$B186+GREET1_Import_Export!$G186)+D$70*(GREET1_Import_Export!$O72+GREET1_Import_Export!$G$179*GREET1_Import_Export!$B186+GREET1_Import_Export!$G186)+D$71*($B$54*GREET1_Import_Export!$B72+GREET1_Import_Export!$B222)+D$72*($B$55*GREET1_Import_Export!$AA72+GREET1_Import_Export!$B290)+D$73*(GREET1_Import_Export!$B315+GREET1_Import_Export!$C315)</f>
        <v>35.86105318938754</v>
      </c>
      <c r="E81" s="843">
        <f>(1200+2000)/2</f>
        <v>1600</v>
      </c>
      <c r="F81" s="347">
        <f>F$69*($B$53*GREET1_Import_Export!$K72+GREET1_Import_Export!$G$179*GREET1_Import_Export!$B186+GREET1_Import_Export!$G186)+F$70*(GREET1_Import_Export!D72+GREET1_Import_Export!$G$179*GREET1_Import_Export!$B186+GREET1_Import_Export!$G186)+F$71*($B$54*GREET1_Import_Export!$B72+GREET1_Import_Export!$B222)+F$72*($B$55*GREET1_Import_Export!$AA72+GREET1_Import_Export!$B290)+F$73*(GREET1_Import_Export!$B315+GREET1_Import_Export!$C315)</f>
        <v>13.718299883621665</v>
      </c>
      <c r="G81" s="348"/>
      <c r="H81" s="347">
        <f>H$69*($B$53*GREET1_Import_Export!$K72+GREET1_Import_Export!$G$179*GREET1_Import_Export!$B186+GREET1_Import_Export!$G186)+H$70*(GREET1_Import_Export!F72+GREET1_Import_Export!$G$179*GREET1_Import_Export!$B186+GREET1_Import_Export!$G186)+H$71*($B$54*GREET1_Import_Export!$B72+GREET1_Import_Export!$B222)+H$72*($B$55*GREET1_Import_Export!$AA72+GREET1_Import_Export!$B290)+H$73*(GREET1_Import_Export!$B315+GREET1_Import_Export!$C315)</f>
        <v>38.249707800889254</v>
      </c>
      <c r="I81" s="348"/>
      <c r="J81" s="347">
        <f>J$69*($B$53*GREET1_Import_Export!$K72+GREET1_Import_Export!$G$179*GREET1_Import_Export!$B186+GREET1_Import_Export!$G186)+J$70*(GREET1_Import_Export!H72+GREET1_Import_Export!$G$179*GREET1_Import_Export!$B186+GREET1_Import_Export!$G186)+J$71*($B$54*GREET1_Import_Export!$B72+GREET1_Import_Export!$B222)+J$72*($B$55*GREET1_Import_Export!$AA72+GREET1_Import_Export!$B290)+J$73*(GREET1_Import_Export!$B315+GREET1_Import_Export!$C315)</f>
        <v>2.8406580567095365</v>
      </c>
      <c r="K81" s="348"/>
      <c r="L81" s="347">
        <f>L$69*($B$53*GREET1_Import_Export!$K72+GREET1_Import_Export!$G$179*GREET1_Import_Export!$B186+GREET1_Import_Export!$G186)+L$70*(GREET1_Import_Export!K72+GREET1_Import_Export!$G$179*GREET1_Import_Export!$B186+GREET1_Import_Export!$G186)+L$71*($B$54*GREET1_Import_Export!$B72+GREET1_Import_Export!$B222)+L$72*($B$55*GREET1_Import_Export!$AA72+GREET1_Import_Export!$B290)+L$73*(GREET1_Import_Export!$B315+GREET1_Import_Export!$C315)</f>
        <v>3.7829251194229441</v>
      </c>
      <c r="M81" s="348"/>
      <c r="N81" s="347">
        <f>N$69*($B$53*GREET1_Import_Export!$K72+GREET1_Import_Export!$G$179*GREET1_Import_Export!$B186+GREET1_Import_Export!$G186)+N$70*(GREET1_Import_Export!M72+GREET1_Import_Export!$G$179*GREET1_Import_Export!$B186+GREET1_Import_Export!$G186)+N$71*($B$54*GREET1_Import_Export!$B72+GREET1_Import_Export!$B222)+N$72*($B$55*GREET1_Import_Export!$AA72+GREET1_Import_Export!$B290)+N$73*(GREET1_Import_Export!$B315+GREET1_Import_Export!$C315)</f>
        <v>5.6674592448497583</v>
      </c>
      <c r="O81" s="348"/>
      <c r="P81" s="347">
        <f>P$69*($B$53*GREET1_Import_Export!$K72+GREET1_Import_Export!$G$179*GREET1_Import_Export!$B186+GREET1_Import_Export!$G186)+P$70*(GREET1_Import_Export!Q72+GREET1_Import_Export!$G$179*GREET1_Import_Export!$B186+GREET1_Import_Export!$G186)+P$71*($B$54*GREET1_Import_Export!$B72+GREET1_Import_Export!$B222)+P$72*($B$55*GREET1_Import_Export!$AA72+GREET1_Import_Export!$B290)+P$73*(GREET1_Import_Export!$B315+GREET1_Import_Export!$C315)</f>
        <v>20.12043776914577</v>
      </c>
      <c r="Q81" s="348"/>
    </row>
    <row r="82" spans="1:17" s="496" customFormat="1">
      <c r="A82" s="347" t="s">
        <v>822</v>
      </c>
      <c r="B82" s="347">
        <f>B$69*($B$53*GREET1_Import_Export!$K73+GREET1_Import_Export!$G$179*GREET1_Import_Export!$B187+GREET1_Import_Export!$G187)+B$70*(GREET1_Import_Export!$O73+GREET1_Import_Export!$G$179*GREET1_Import_Export!$B187+GREET1_Import_Export!$G187)+B$71*($B$54*GREET1_Import_Export!$B73+GREET1_Import_Export!$B223)+B$72*($B$55*GREET1_Import_Export!$AA73+GREET1_Import_Export!$B291)+B$73*(GREET1_Import_Export!$B316+GREET1_Import_Export!$C316)</f>
        <v>10.749575709622755</v>
      </c>
      <c r="C82" s="348"/>
      <c r="D82" s="347">
        <f>D$69*($B$53*GREET1_Import_Export!$K73+GREET1_Import_Export!$G$179*GREET1_Import_Export!$B187+GREET1_Import_Export!$G187)+D$70*(GREET1_Import_Export!$O73+GREET1_Import_Export!$G$179*GREET1_Import_Export!$B187+GREET1_Import_Export!$G187)+D$71*($B$54*GREET1_Import_Export!$B73+GREET1_Import_Export!$B223)+D$72*($B$55*GREET1_Import_Export!$AA73+GREET1_Import_Export!$B291)+D$73*(GREET1_Import_Export!$B316+GREET1_Import_Export!$C316)</f>
        <v>140.15645973173673</v>
      </c>
      <c r="E82" s="843">
        <f>(21.3+23.6)/2</f>
        <v>22.450000000000003</v>
      </c>
      <c r="F82" s="347">
        <f>F$69*($B$53*GREET1_Import_Export!$K73+GREET1_Import_Export!$G$179*GREET1_Import_Export!$B187+GREET1_Import_Export!$G187)+F$70*(GREET1_Import_Export!D73+GREET1_Import_Export!$G$179*GREET1_Import_Export!$B187+GREET1_Import_Export!$G187)+F$71*($B$54*GREET1_Import_Export!$B73+GREET1_Import_Export!$B223)+F$72*($B$55*GREET1_Import_Export!$AA73+GREET1_Import_Export!$B291)+F$73*(GREET1_Import_Export!$B316+GREET1_Import_Export!$C316)</f>
        <v>37.080417953054109</v>
      </c>
      <c r="G82" s="348"/>
      <c r="H82" s="347">
        <f>H$69*($B$53*GREET1_Import_Export!$K73+GREET1_Import_Export!$G$179*GREET1_Import_Export!$B187+GREET1_Import_Export!$G187)+H$70*(GREET1_Import_Export!F73+GREET1_Import_Export!$G$179*GREET1_Import_Export!$B187+GREET1_Import_Export!$G187)+H$71*($B$54*GREET1_Import_Export!$B73+GREET1_Import_Export!$B223)+H$72*($B$55*GREET1_Import_Export!$AA73+GREET1_Import_Export!$B291)+H$73*(GREET1_Import_Export!$B316+GREET1_Import_Export!$C316)</f>
        <v>159.40544539854855</v>
      </c>
      <c r="I82" s="348"/>
      <c r="J82" s="347">
        <f>J$69*($B$53*GREET1_Import_Export!$K73+GREET1_Import_Export!$G$179*GREET1_Import_Export!$B187+GREET1_Import_Export!$G187)+J$70*(GREET1_Import_Export!H73+GREET1_Import_Export!$G$179*GREET1_Import_Export!$B187+GREET1_Import_Export!$G187)+J$71*($B$54*GREET1_Import_Export!$B73+GREET1_Import_Export!$B223)+J$72*($B$55*GREET1_Import_Export!$AA73+GREET1_Import_Export!$B291)+J$73*(GREET1_Import_Export!$B316+GREET1_Import_Export!$C316)</f>
        <v>7.6782683640162546</v>
      </c>
      <c r="K82" s="348"/>
      <c r="L82" s="347">
        <f>L$69*($B$53*GREET1_Import_Export!$K73+GREET1_Import_Export!$G$179*GREET1_Import_Export!$B187+GREET1_Import_Export!$G187)+L$70*(GREET1_Import_Export!K73+GREET1_Import_Export!$G$179*GREET1_Import_Export!$B187+GREET1_Import_Export!$G187)+L$71*($B$54*GREET1_Import_Export!$B73+GREET1_Import_Export!$B223)+L$72*($B$55*GREET1_Import_Export!$AA73+GREET1_Import_Export!$B291)+L$73*(GREET1_Import_Export!$B316+GREET1_Import_Export!$C316)</f>
        <v>10.225206162811892</v>
      </c>
      <c r="M82" s="348"/>
      <c r="N82" s="347">
        <f>N$69*($B$53*GREET1_Import_Export!$K73+GREET1_Import_Export!$G$179*GREET1_Import_Export!$B187+GREET1_Import_Export!$G187)+N$70*(GREET1_Import_Export!M73+GREET1_Import_Export!$G$179*GREET1_Import_Export!$B187+GREET1_Import_Export!$G187)+N$71*($B$54*GREET1_Import_Export!$B73+GREET1_Import_Export!$B223)+N$72*($B$55*GREET1_Import_Export!$AA73+GREET1_Import_Export!$B291)+N$73*(GREET1_Import_Export!$B316+GREET1_Import_Export!$C316)</f>
        <v>15.319081760403161</v>
      </c>
      <c r="O82" s="348"/>
      <c r="P82" s="347">
        <f>P$69*($B$53*GREET1_Import_Export!$K73+GREET1_Import_Export!$G$179*GREET1_Import_Export!$B187+GREET1_Import_Export!$G187)+P$70*(GREET1_Import_Export!Q73+GREET1_Import_Export!$G$179*GREET1_Import_Export!$B187+GREET1_Import_Export!$G187)+P$71*($B$54*GREET1_Import_Export!$B73+GREET1_Import_Export!$B223)+P$72*($B$55*GREET1_Import_Export!$AA73+GREET1_Import_Export!$B291)+P$73*(GREET1_Import_Export!$B316+GREET1_Import_Export!$C316)</f>
        <v>54.385328226355654</v>
      </c>
      <c r="Q82" s="348"/>
    </row>
    <row r="83" spans="1:17" s="496" customFormat="1">
      <c r="A83" s="347" t="s">
        <v>823</v>
      </c>
      <c r="B83" s="347">
        <f>B$69*($B$53*GREET1_Import_Export!$K74+GREET1_Import_Export!$G$179*GREET1_Import_Export!$B188+GREET1_Import_Export!$G188)+B$70*(GREET1_Import_Export!$O74+GREET1_Import_Export!$G$179*GREET1_Import_Export!$B188+GREET1_Import_Export!$G188)+B$71*($B$54*GREET1_Import_Export!$B74+GREET1_Import_Export!$B224)+B$72*($B$55*GREET1_Import_Export!$AA74+GREET1_Import_Export!$B292)+B$73*(GREET1_Import_Export!$B317+GREET1_Import_Export!$C317)</f>
        <v>22.144794037446616</v>
      </c>
      <c r="C83" s="348"/>
      <c r="D83" s="347">
        <f>D$69*($B$53*GREET1_Import_Export!$K74+GREET1_Import_Export!$G$179*GREET1_Import_Export!$B188+GREET1_Import_Export!$G188)+D$70*(GREET1_Import_Export!$O74+GREET1_Import_Export!$G$179*GREET1_Import_Export!$B188+GREET1_Import_Export!$G188)+D$71*($B$54*GREET1_Import_Export!$B74+GREET1_Import_Export!$B224)+D$72*($B$55*GREET1_Import_Export!$AA74+GREET1_Import_Export!$B292)+D$73*(GREET1_Import_Export!$B317+GREET1_Import_Export!$C317)</f>
        <v>202.55268635197717</v>
      </c>
      <c r="E83" s="843">
        <f>(25.4+28.1)/2</f>
        <v>26.75</v>
      </c>
      <c r="F83" s="347">
        <f>F$69*($B$53*GREET1_Import_Export!$K74+GREET1_Import_Export!$G$179*GREET1_Import_Export!$B188+GREET1_Import_Export!$G188)+F$70*(GREET1_Import_Export!D74+GREET1_Import_Export!$G$179*GREET1_Import_Export!$B188+GREET1_Import_Export!$G188)+F$71*($B$54*GREET1_Import_Export!$B74+GREET1_Import_Export!$B224)+F$72*($B$55*GREET1_Import_Export!$AA74+GREET1_Import_Export!$B292)+F$73*(GREET1_Import_Export!$B317+GREET1_Import_Export!$C317)</f>
        <v>76.387965495024915</v>
      </c>
      <c r="G83" s="348"/>
      <c r="H83" s="347">
        <f>H$69*($B$53*GREET1_Import_Export!$K74+GREET1_Import_Export!$G$179*GREET1_Import_Export!$B188+GREET1_Import_Export!$G188)+H$70*(GREET1_Import_Export!F74+GREET1_Import_Export!$G$179*GREET1_Import_Export!$B188+GREET1_Import_Export!$G188)+H$71*($B$54*GREET1_Import_Export!$B74+GREET1_Import_Export!$B224)+H$72*($B$55*GREET1_Import_Export!$AA74+GREET1_Import_Export!$B292)+H$73*(GREET1_Import_Export!$B317+GREET1_Import_Export!$C317)</f>
        <v>216.70189373798249</v>
      </c>
      <c r="I83" s="348"/>
      <c r="J83" s="347">
        <f>J$69*($B$53*GREET1_Import_Export!$K74+GREET1_Import_Export!$G$179*GREET1_Import_Export!$B188+GREET1_Import_Export!$G188)+J$70*(GREET1_Import_Export!H74+GREET1_Import_Export!$G$179*GREET1_Import_Export!$B188+GREET1_Import_Export!$G188)+J$71*($B$54*GREET1_Import_Export!$B74+GREET1_Import_Export!$B224)+J$72*($B$55*GREET1_Import_Export!$AA74+GREET1_Import_Export!$B292)+J$73*(GREET1_Import_Export!$B317+GREET1_Import_Export!$C317)</f>
        <v>15.817710026747584</v>
      </c>
      <c r="K83" s="348"/>
      <c r="L83" s="347">
        <f>L$69*($B$53*GREET1_Import_Export!$K74+GREET1_Import_Export!$G$179*GREET1_Import_Export!$B188+GREET1_Import_Export!$G188)+L$70*(GREET1_Import_Export!K74+GREET1_Import_Export!$G$179*GREET1_Import_Export!$B188+GREET1_Import_Export!$G188)+L$71*($B$54*GREET1_Import_Export!$B74+GREET1_Import_Export!$B224)+L$72*($B$55*GREET1_Import_Export!$AA74+GREET1_Import_Export!$B292)+L$73*(GREET1_Import_Export!$B317+GREET1_Import_Export!$C317)</f>
        <v>21.064560181961419</v>
      </c>
      <c r="M83" s="348"/>
      <c r="N83" s="347">
        <f>N$69*($B$53*GREET1_Import_Export!$K74+GREET1_Import_Export!$G$179*GREET1_Import_Export!$B188+GREET1_Import_Export!$G188)+N$70*(GREET1_Import_Export!M74+GREET1_Import_Export!$G$179*GREET1_Import_Export!$B188+GREET1_Import_Export!$G188)+N$71*($B$54*GREET1_Import_Export!$B74+GREET1_Import_Export!$B224)+N$72*($B$55*GREET1_Import_Export!$AA74+GREET1_Import_Export!$B292)+N$73*(GREET1_Import_Export!$B317+GREET1_Import_Export!$C317)</f>
        <v>31.558260492389081</v>
      </c>
      <c r="O83" s="348"/>
      <c r="P83" s="347">
        <f>P$69*($B$53*GREET1_Import_Export!$K74+GREET1_Import_Export!$G$179*GREET1_Import_Export!$B188+GREET1_Import_Export!$G188)+P$70*(GREET1_Import_Export!Q74+GREET1_Import_Export!$G$179*GREET1_Import_Export!$B188+GREET1_Import_Export!$G188)+P$71*($B$54*GREET1_Import_Export!$B74+GREET1_Import_Export!$B224)+P$72*($B$55*GREET1_Import_Export!$AA74+GREET1_Import_Export!$B292)+P$73*(GREET1_Import_Export!$B317+GREET1_Import_Export!$C317)</f>
        <v>112.03715614128581</v>
      </c>
      <c r="Q83" s="348"/>
    </row>
    <row r="84" spans="1:17" s="496" customFormat="1">
      <c r="A84" s="347" t="s">
        <v>824</v>
      </c>
      <c r="B84" s="347">
        <f>B$69*($B$53*GREET1_Import_Export!$K75+GREET1_Import_Export!$G$179*GREET1_Import_Export!$B189+GREET1_Import_Export!$G189)+B$70*(GREET1_Import_Export!$O75+GREET1_Import_Export!$G$179*GREET1_Import_Export!$B189+GREET1_Import_Export!$G189)+B$71*($B$54*GREET1_Import_Export!$B75+GREET1_Import_Export!$B225)+B$72*($B$55*GREET1_Import_Export!$AA75+GREET1_Import_Export!$B293)+B$73*(GREET1_Import_Export!$B318+GREET1_Import_Export!$C318)</f>
        <v>3.544856015042662</v>
      </c>
      <c r="C84" s="348"/>
      <c r="D84" s="347">
        <f>D$69*($B$53*GREET1_Import_Export!$K75+GREET1_Import_Export!$G$179*GREET1_Import_Export!$B189+GREET1_Import_Export!$G189)+D$70*(GREET1_Import_Export!$O75+GREET1_Import_Export!$G$179*GREET1_Import_Export!$B189+GREET1_Import_Export!$G189)+D$71*($B$54*GREET1_Import_Export!$B75+GREET1_Import_Export!$B225)+D$72*($B$55*GREET1_Import_Export!$AA75+GREET1_Import_Export!$B293)+D$73*(GREET1_Import_Export!$B318+GREET1_Import_Export!$C318)</f>
        <v>14.69303387586374</v>
      </c>
      <c r="E84" s="843">
        <v>60</v>
      </c>
      <c r="F84" s="347">
        <f>F$69*($B$53*GREET1_Import_Export!$K75+GREET1_Import_Export!$G$179*GREET1_Import_Export!$B189+GREET1_Import_Export!$G189)+F$70*(GREET1_Import_Export!D75+GREET1_Import_Export!$G$179*GREET1_Import_Export!$B189+GREET1_Import_Export!$G189)+F$71*($B$54*GREET1_Import_Export!$B75+GREET1_Import_Export!$B225)+F$72*($B$55*GREET1_Import_Export!$AA75+GREET1_Import_Export!$B293)+F$73*(GREET1_Import_Export!$B318+GREET1_Import_Export!$C318)</f>
        <v>12.2279005396942</v>
      </c>
      <c r="G84" s="348"/>
      <c r="H84" s="347">
        <f>H$69*($B$53*GREET1_Import_Export!$K75+GREET1_Import_Export!$G$179*GREET1_Import_Export!$B189+GREET1_Import_Export!$G189)+H$70*(GREET1_Import_Export!F75+GREET1_Import_Export!$G$179*GREET1_Import_Export!$B189+GREET1_Import_Export!$G189)+H$71*($B$54*GREET1_Import_Export!$B75+GREET1_Import_Export!$B225)+H$72*($B$55*GREET1_Import_Export!$AA75+GREET1_Import_Export!$B293)+H$73*(GREET1_Import_Export!$B318+GREET1_Import_Export!$C318)</f>
        <v>11.71045590175779</v>
      </c>
      <c r="I84" s="348"/>
      <c r="J84" s="347">
        <f>J$69*($B$53*GREET1_Import_Export!$K75+GREET1_Import_Export!$G$179*GREET1_Import_Export!$B189+GREET1_Import_Export!$G189)+J$70*(GREET1_Import_Export!H75+GREET1_Import_Export!$G$179*GREET1_Import_Export!$B189+GREET1_Import_Export!$G189)+J$71*($B$54*GREET1_Import_Export!$B75+GREET1_Import_Export!$B225)+J$72*($B$55*GREET1_Import_Export!$AA75+GREET1_Import_Export!$B293)+J$73*(GREET1_Import_Export!$B318+GREET1_Import_Export!$C318)</f>
        <v>2.5320400107447587</v>
      </c>
      <c r="K84" s="348"/>
      <c r="L84" s="347">
        <f>L$69*($B$53*GREET1_Import_Export!$K75+GREET1_Import_Export!$G$179*GREET1_Import_Export!$B189+GREET1_Import_Export!$G189)+L$70*(GREET1_Import_Export!K75+GREET1_Import_Export!$G$179*GREET1_Import_Export!$B189+GREET1_Import_Export!$G189)+L$71*($B$54*GREET1_Import_Export!$B75+GREET1_Import_Export!$B225)+L$72*($B$55*GREET1_Import_Export!$AA75+GREET1_Import_Export!$B293)+L$73*(GREET1_Import_Export!$B318+GREET1_Import_Export!$C318)</f>
        <v>3.3719362094308254</v>
      </c>
      <c r="M84" s="348"/>
      <c r="N84" s="347">
        <f>N$69*($B$53*GREET1_Import_Export!$K75+GREET1_Import_Export!$G$179*GREET1_Import_Export!$B189+GREET1_Import_Export!$G189)+N$70*(GREET1_Import_Export!M75+GREET1_Import_Export!$G$179*GREET1_Import_Export!$B189+GREET1_Import_Export!$G189)+N$71*($B$54*GREET1_Import_Export!$B75+GREET1_Import_Export!$B225)+N$72*($B$55*GREET1_Import_Export!$AA75+GREET1_Import_Export!$B293)+N$73*(GREET1_Import_Export!$B318+GREET1_Import_Export!$C318)</f>
        <v>5.0517286068029579</v>
      </c>
      <c r="O84" s="348"/>
      <c r="P84" s="347">
        <f>P$69*($B$53*GREET1_Import_Export!$K75+GREET1_Import_Export!$G$179*GREET1_Import_Export!$B189+GREET1_Import_Export!$G189)+P$70*(GREET1_Import_Export!Q75+GREET1_Import_Export!$G$179*GREET1_Import_Export!$B189+GREET1_Import_Export!$G189)+P$71*($B$54*GREET1_Import_Export!$B75+GREET1_Import_Export!$B225)+P$72*($B$55*GREET1_Import_Export!$AA75+GREET1_Import_Export!$B293)+P$73*(GREET1_Import_Export!$B318+GREET1_Import_Export!$C318)</f>
        <v>17.934489983701134</v>
      </c>
      <c r="Q84" s="348"/>
    </row>
    <row r="85" spans="1:17" s="349" customFormat="1">
      <c r="A85" s="347" t="s">
        <v>825</v>
      </c>
      <c r="B85" s="347">
        <f>B$69*($B$53*GREET1_Import_Export!$K76+GREET1_Import_Export!$G$179*GREET1_Import_Export!$B190+GREET1_Import_Export!$G190)+B$70*(GREET1_Import_Export!$O76+GREET1_Import_Export!$G$179*GREET1_Import_Export!$B190+GREET1_Import_Export!$G190)+B$71*($B$54*GREET1_Import_Export!$B76+GREET1_Import_Export!$B226)+B$72*($B$55*GREET1_Import_Export!$AA76+GREET1_Import_Export!$B294)+B$73*(GREET1_Import_Export!$B319+GREET1_Import_Export!$C319)</f>
        <v>2.1278690312376258</v>
      </c>
      <c r="C85" s="348"/>
      <c r="D85" s="347">
        <f>D$69*($B$53*GREET1_Import_Export!$K76+GREET1_Import_Export!$G$179*GREET1_Import_Export!$B190+GREET1_Import_Export!$G190)+D$70*(GREET1_Import_Export!$O76+GREET1_Import_Export!$G$179*GREET1_Import_Export!$B190+GREET1_Import_Export!$G190)+D$71*($B$54*GREET1_Import_Export!$B76+GREET1_Import_Export!$B226)+D$72*($B$55*GREET1_Import_Export!$AA76+GREET1_Import_Export!$B294)+D$73*(GREET1_Import_Export!$B319+GREET1_Import_Export!$C319)</f>
        <v>12.336663351795483</v>
      </c>
      <c r="E85" s="348">
        <f>E84/2</f>
        <v>30</v>
      </c>
      <c r="F85" s="347">
        <f>F$69*($B$53*GREET1_Import_Export!$K76+GREET1_Import_Export!$G$179*GREET1_Import_Export!$B190+GREET1_Import_Export!$G190)+F$70*(GREET1_Import_Export!D76+GREET1_Import_Export!$G$179*GREET1_Import_Export!$B190+GREET1_Import_Export!$G190)+F$71*($B$54*GREET1_Import_Export!$B76+GREET1_Import_Export!$B226)+F$72*($B$55*GREET1_Import_Export!$AA76+GREET1_Import_Export!$B294)+F$73*(GREET1_Import_Export!$B319+GREET1_Import_Export!$C319)</f>
        <v>7.3400360310984301</v>
      </c>
      <c r="G85" s="348"/>
      <c r="H85" s="347">
        <f>H$69*($B$53*GREET1_Import_Export!$K76+GREET1_Import_Export!$G$179*GREET1_Import_Export!$B190+GREET1_Import_Export!$G190)+H$70*(GREET1_Import_Export!F76+GREET1_Import_Export!$G$179*GREET1_Import_Export!$B190+GREET1_Import_Export!$G190)+H$71*($B$54*GREET1_Import_Export!$B76+GREET1_Import_Export!$B226)+H$72*($B$55*GREET1_Import_Export!$AA76+GREET1_Import_Export!$B294)+H$73*(GREET1_Import_Export!$B319+GREET1_Import_Export!$C319)</f>
        <v>11.587151420532994</v>
      </c>
      <c r="I85" s="348"/>
      <c r="J85" s="347">
        <f>J$69*($B$53*GREET1_Import_Export!$K76+GREET1_Import_Export!$G$179*GREET1_Import_Export!$B190+GREET1_Import_Export!$G190)+J$70*(GREET1_Import_Export!H76+GREET1_Import_Export!$G$179*GREET1_Import_Export!$B190+GREET1_Import_Export!$G190)+J$71*($B$54*GREET1_Import_Export!$B76+GREET1_Import_Export!$B226)+J$72*($B$55*GREET1_Import_Export!$AA76+GREET1_Import_Export!$B294)+J$73*(GREET1_Import_Export!$B319+GREET1_Import_Export!$C319)</f>
        <v>1.5199064508840183</v>
      </c>
      <c r="K85" s="348"/>
      <c r="L85" s="347">
        <f>L$69*($B$53*GREET1_Import_Export!$K76+GREET1_Import_Export!$G$179*GREET1_Import_Export!$B190+GREET1_Import_Export!$G190)+L$70*(GREET1_Import_Export!K76+GREET1_Import_Export!$G$179*GREET1_Import_Export!$B190+GREET1_Import_Export!$G190)+L$71*($B$54*GREET1_Import_Export!$B76+GREET1_Import_Export!$B226)+L$72*($B$55*GREET1_Import_Export!$AA76+GREET1_Import_Export!$B294)+L$73*(GREET1_Import_Export!$B319+GREET1_Import_Export!$C319)</f>
        <v>2.0240705419089613</v>
      </c>
      <c r="M85" s="348"/>
      <c r="N85" s="347">
        <f>N$69*($B$53*GREET1_Import_Export!$K76+GREET1_Import_Export!$G$179*GREET1_Import_Export!$B190+GREET1_Import_Export!$G190)+N$70*(GREET1_Import_Export!M76+GREET1_Import_Export!$G$179*GREET1_Import_Export!$B190+GREET1_Import_Export!$G190)+N$71*($B$54*GREET1_Import_Export!$B76+GREET1_Import_Export!$B226)+N$72*($B$55*GREET1_Import_Export!$AA76+GREET1_Import_Export!$B294)+N$73*(GREET1_Import_Export!$B319+GREET1_Import_Export!$C319)</f>
        <v>3.0323987239588464</v>
      </c>
      <c r="O85" s="348"/>
      <c r="P85" s="347">
        <f>P$69*($B$53*GREET1_Import_Export!$K76+GREET1_Import_Export!$G$179*GREET1_Import_Export!$B190+GREET1_Import_Export!$G190)+P$70*(GREET1_Import_Export!Q76+GREET1_Import_Export!$G$179*GREET1_Import_Export!$B190+GREET1_Import_Export!$G190)+P$71*($B$54*GREET1_Import_Export!$B76+GREET1_Import_Export!$B226)+P$72*($B$55*GREET1_Import_Export!$AA76+GREET1_Import_Export!$B294)+P$73*(GREET1_Import_Export!$B319+GREET1_Import_Export!$C319)</f>
        <v>10.765527757803655</v>
      </c>
      <c r="Q85" s="348"/>
    </row>
    <row r="86" spans="1:17" s="496" customFormat="1">
      <c r="A86" s="347" t="s">
        <v>826</v>
      </c>
      <c r="B86" s="347">
        <f>B$69*($B$53*GREET1_Import_Export!$K77+GREET1_Import_Export!$G$179*GREET1_Import_Export!$B191+GREET1_Import_Export!$G191)+B$70*(GREET1_Import_Export!$O77+GREET1_Import_Export!$G$179*GREET1_Import_Export!$B191+GREET1_Import_Export!$G191)+B$71*($B$54*GREET1_Import_Export!$B77+GREET1_Import_Export!$B227)+B$72*($B$55*GREET1_Import_Export!$AA77+GREET1_Import_Export!$B295)+B$73*(GREET1_Import_Export!$B320+GREET1_Import_Export!$C320)</f>
        <v>18.593608870892343</v>
      </c>
      <c r="C86" s="348"/>
      <c r="D86" s="347">
        <f>D$69*($B$53*GREET1_Import_Export!$K77+GREET1_Import_Export!$G$179*GREET1_Import_Export!$B191+GREET1_Import_Export!$G191)+D$70*(GREET1_Import_Export!$O77+GREET1_Import_Export!$G$179*GREET1_Import_Export!$B191+GREET1_Import_Export!$G191)+D$71*($B$54*GREET1_Import_Export!$B77+GREET1_Import_Export!$B227)+D$72*($B$55*GREET1_Import_Export!$AA77+GREET1_Import_Export!$B295)+D$73*(GREET1_Import_Export!$B320+GREET1_Import_Export!$C320)</f>
        <v>55.831666129399352</v>
      </c>
      <c r="E86" s="348"/>
      <c r="F86" s="347">
        <f>F$69*($B$53*GREET1_Import_Export!$K77+GREET1_Import_Export!$G$179*GREET1_Import_Export!$B191+GREET1_Import_Export!$G191)+F$70*(GREET1_Import_Export!D77+GREET1_Import_Export!$G$179*GREET1_Import_Export!$B191+GREET1_Import_Export!$G191)+F$71*($B$54*GREET1_Import_Export!$B77+GREET1_Import_Export!$B227)+F$72*($B$55*GREET1_Import_Export!$AA77+GREET1_Import_Export!$B295)+F$73*(GREET1_Import_Export!$B320+GREET1_Import_Export!$C320)</f>
        <v>64.138232690534565</v>
      </c>
      <c r="G86" s="348"/>
      <c r="H86" s="347">
        <f>H$69*($B$53*GREET1_Import_Export!$K77+GREET1_Import_Export!$G$179*GREET1_Import_Export!$B191+GREET1_Import_Export!$G191)+H$70*(GREET1_Import_Export!F77+GREET1_Import_Export!$G$179*GREET1_Import_Export!$B191+GREET1_Import_Export!$G191)+H$71*($B$54*GREET1_Import_Export!$B77+GREET1_Import_Export!$B227)+H$72*($B$55*GREET1_Import_Export!$AA77+GREET1_Import_Export!$B295)+H$73*(GREET1_Import_Export!$B320+GREET1_Import_Export!$C320)</f>
        <v>33.902211234255212</v>
      </c>
      <c r="I86" s="348"/>
      <c r="J86" s="347">
        <f>J$69*($B$53*GREET1_Import_Export!$K77+GREET1_Import_Export!$G$179*GREET1_Import_Export!$B191+GREET1_Import_Export!$G191)+J$70*(GREET1_Import_Export!H77+GREET1_Import_Export!$G$179*GREET1_Import_Export!$B191+GREET1_Import_Export!$G191)+J$71*($B$54*GREET1_Import_Export!$B77+GREET1_Import_Export!$B227)+J$72*($B$55*GREET1_Import_Export!$AA77+GREET1_Import_Export!$B295)+J$73*(GREET1_Import_Export!$B320+GREET1_Import_Export!$C320)</f>
        <v>13.281149193494532</v>
      </c>
      <c r="K86" s="348"/>
      <c r="L86" s="347">
        <f>L$69*($B$53*GREET1_Import_Export!$K77+GREET1_Import_Export!$G$179*GREET1_Import_Export!$B191+GREET1_Import_Export!$G191)+L$70*(GREET1_Import_Export!K77+GREET1_Import_Export!$G$179*GREET1_Import_Export!$B191+GREET1_Import_Export!$G191)+L$71*($B$54*GREET1_Import_Export!$B77+GREET1_Import_Export!$B227)+L$72*($B$55*GREET1_Import_Export!$AA77+GREET1_Import_Export!$B295)+L$73*(GREET1_Import_Export!$B320+GREET1_Import_Export!$C320)</f>
        <v>17.68660356011711</v>
      </c>
      <c r="M86" s="348"/>
      <c r="N86" s="347">
        <f>N$69*($B$53*GREET1_Import_Export!$K77+GREET1_Import_Export!$G$179*GREET1_Import_Export!$B191+GREET1_Import_Export!$G191)+N$70*(GREET1_Import_Export!M77+GREET1_Import_Export!$G$179*GREET1_Import_Export!$B191+GREET1_Import_Export!$G191)+N$71*($B$54*GREET1_Import_Export!$B77+GREET1_Import_Export!$B227)+N$72*($B$55*GREET1_Import_Export!$AA77+GREET1_Import_Export!$B295)+N$73*(GREET1_Import_Export!$B320+GREET1_Import_Export!$C320)</f>
        <v>26.497512293362259</v>
      </c>
      <c r="O86" s="348"/>
      <c r="P86" s="347">
        <f>P$69*($B$53*GREET1_Import_Export!$K77+GREET1_Import_Export!$G$179*GREET1_Import_Export!$B191+GREET1_Import_Export!$G191)+P$70*(GREET1_Import_Export!Q77+GREET1_Import_Export!$G$179*GREET1_Import_Export!$B191+GREET1_Import_Export!$G191)+P$71*($B$54*GREET1_Import_Export!$B77+GREET1_Import_Export!$B227)+P$72*($B$55*GREET1_Import_Export!$AA77+GREET1_Import_Export!$B295)+P$73*(GREET1_Import_Export!$B320+GREET1_Import_Export!$C320)</f>
        <v>94.070645081436979</v>
      </c>
      <c r="Q86" s="348"/>
    </row>
    <row r="87" spans="1:17" s="496" customFormat="1">
      <c r="A87" s="749" t="s">
        <v>827</v>
      </c>
      <c r="B87" s="347">
        <f>B$69*($B$53*GREET1_Import_Export!$K78+GREET1_Import_Export!$G$179*GREET1_Import_Export!$B192+GREET1_Import_Export!$G192)+B$70*(GREET1_Import_Export!$O78+GREET1_Import_Export!$G$179*GREET1_Import_Export!$B192+GREET1_Import_Export!$G192)+B$71*($B$54*GREET1_Import_Export!$B78+GREET1_Import_Export!$B228)+B$72*($B$55*GREET1_Import_Export!$AA78+GREET1_Import_Export!$B296)+B$73*(GREET1_Import_Export!$B321+GREET1_Import_Export!$C321)</f>
        <v>0.12983107122569518</v>
      </c>
      <c r="C87" s="348"/>
      <c r="D87" s="347">
        <f>D$69*($B$53*GREET1_Import_Export!$K78+GREET1_Import_Export!$G$179*GREET1_Import_Export!$B192+GREET1_Import_Export!$G192)+D$70*(GREET1_Import_Export!$O78+GREET1_Import_Export!$G$179*GREET1_Import_Export!$B192+GREET1_Import_Export!$G192)+D$71*($B$54*GREET1_Import_Export!$B78+GREET1_Import_Export!$B228)+D$72*($B$55*GREET1_Import_Export!$AA78+GREET1_Import_Export!$B296)+D$73*(GREET1_Import_Export!$B321+GREET1_Import_Export!$C321)</f>
        <v>1.7669994841127479</v>
      </c>
      <c r="E87" s="348"/>
      <c r="F87" s="347">
        <f>F$69*($B$53*GREET1_Import_Export!$K78+GREET1_Import_Export!$G$179*GREET1_Import_Export!$B192+GREET1_Import_Export!$G192)+F$70*(GREET1_Import_Export!D78+GREET1_Import_Export!$G$179*GREET1_Import_Export!$B192+GREET1_Import_Export!$G192)+F$71*($B$54*GREET1_Import_Export!$B78+GREET1_Import_Export!$B228)+F$72*($B$55*GREET1_Import_Export!$AA78+GREET1_Import_Export!$B296)+F$73*(GREET1_Import_Export!$B321+GREET1_Import_Export!$C321)</f>
        <v>0.44784933976807745</v>
      </c>
      <c r="G87" s="348"/>
      <c r="H87" s="347">
        <f>H$69*($B$53*GREET1_Import_Export!$K78+GREET1_Import_Export!$G$179*GREET1_Import_Export!$B192+GREET1_Import_Export!$G192)+H$70*(GREET1_Import_Export!F78+GREET1_Import_Export!$G$179*GREET1_Import_Export!$B192+GREET1_Import_Export!$G192)+H$71*($B$54*GREET1_Import_Export!$B78+GREET1_Import_Export!$B228)+H$72*($B$55*GREET1_Import_Export!$AA78+GREET1_Import_Export!$B296)+H$73*(GREET1_Import_Export!$B321+GREET1_Import_Export!$C321)</f>
        <v>2.0214503222705784</v>
      </c>
      <c r="I87" s="348"/>
      <c r="J87" s="347">
        <f>J$69*($B$53*GREET1_Import_Export!$K78+GREET1_Import_Export!$G$179*GREET1_Import_Export!$B192+GREET1_Import_Export!$G192)+J$70*(GREET1_Import_Export!H78+GREET1_Import_Export!$G$179*GREET1_Import_Export!$B192+GREET1_Import_Export!$G192)+J$71*($B$54*GREET1_Import_Export!$B78+GREET1_Import_Export!$B228)+J$72*($B$55*GREET1_Import_Export!$AA78+GREET1_Import_Export!$B296)+J$73*(GREET1_Import_Export!$B321+GREET1_Import_Export!$C321)</f>
        <v>9.2736479446925119E-2</v>
      </c>
      <c r="K87" s="348"/>
      <c r="L87" s="347">
        <f>L$69*($B$53*GREET1_Import_Export!$K78+GREET1_Import_Export!$G$179*GREET1_Import_Export!$B192+GREET1_Import_Export!$G192)+L$70*(GREET1_Import_Export!K78+GREET1_Import_Export!$G$179*GREET1_Import_Export!$B192+GREET1_Import_Export!$G192)+L$71*($B$54*GREET1_Import_Export!$B78+GREET1_Import_Export!$B228)+L$72*($B$55*GREET1_Import_Export!$AA78+GREET1_Import_Export!$B296)+L$73*(GREET1_Import_Export!$B321+GREET1_Import_Export!$C321)</f>
        <v>0.12349784823907591</v>
      </c>
      <c r="M87" s="348"/>
      <c r="N87" s="347">
        <f>N$69*($B$53*GREET1_Import_Export!$K78+GREET1_Import_Export!$G$179*GREET1_Import_Export!$B192+GREET1_Import_Export!$G192)+N$70*(GREET1_Import_Export!M78+GREET1_Import_Export!$G$179*GREET1_Import_Export!$B192+GREET1_Import_Export!$G192)+N$71*($B$54*GREET1_Import_Export!$B78+GREET1_Import_Export!$B228)+N$72*($B$55*GREET1_Import_Export!$AA78+GREET1_Import_Export!$B296)+N$73*(GREET1_Import_Export!$B321+GREET1_Import_Export!$C321)</f>
        <v>0.18502058582337744</v>
      </c>
      <c r="O87" s="348"/>
      <c r="P87" s="347">
        <f>P$69*($B$53*GREET1_Import_Export!$K78+GREET1_Import_Export!$G$179*GREET1_Import_Export!$B192+GREET1_Import_Export!$G192)+P$70*(GREET1_Import_Export!Q78+GREET1_Import_Export!$G$179*GREET1_Import_Export!$B192+GREET1_Import_Export!$G192)+P$71*($B$54*GREET1_Import_Export!$B78+GREET1_Import_Export!$B228)+P$72*($B$55*GREET1_Import_Export!$AA78+GREET1_Import_Export!$B296)+P$73*(GREET1_Import_Export!$B321+GREET1_Import_Export!$C321)</f>
        <v>0.65685433670354465</v>
      </c>
      <c r="Q87" s="348"/>
    </row>
    <row r="88" spans="1:17" s="496" customFormat="1">
      <c r="A88" s="749" t="s">
        <v>828</v>
      </c>
      <c r="B88" s="347">
        <f>B$69*($B$53*GREET1_Import_Export!$K79+GREET1_Import_Export!$G$179*GREET1_Import_Export!$B193+GREET1_Import_Export!$G193)+B$70*(GREET1_Import_Export!$O79+GREET1_Import_Export!$G$179*GREET1_Import_Export!$B193+GREET1_Import_Export!$G193)+B$71*($B$54*GREET1_Import_Export!$B79+GREET1_Import_Export!$B229)+B$72*($B$55*GREET1_Import_Export!$AA79+GREET1_Import_Export!$B297)+B$73*(GREET1_Import_Export!$B322+GREET1_Import_Export!$C322)</f>
        <v>0.61796444484001511</v>
      </c>
      <c r="C88" s="348"/>
      <c r="D88" s="347">
        <f>D$69*($B$53*GREET1_Import_Export!$K79+GREET1_Import_Export!$G$179*GREET1_Import_Export!$B193+GREET1_Import_Export!$G193)+D$70*(GREET1_Import_Export!$O79+GREET1_Import_Export!$G$179*GREET1_Import_Export!$B193+GREET1_Import_Export!$G193)+D$71*($B$54*GREET1_Import_Export!$B79+GREET1_Import_Export!$B229)+D$72*($B$55*GREET1_Import_Export!$AA79+GREET1_Import_Export!$B297)+D$73*(GREET1_Import_Export!$B322+GREET1_Import_Export!$C322)</f>
        <v>4.769634615241646</v>
      </c>
      <c r="E88" s="348"/>
      <c r="F88" s="347">
        <f>F$69*($B$53*GREET1_Import_Export!$K79+GREET1_Import_Export!$G$179*GREET1_Import_Export!$B193+GREET1_Import_Export!$G193)+F$70*(GREET1_Import_Export!D79+GREET1_Import_Export!$G$179*GREET1_Import_Export!$B193+GREET1_Import_Export!$G193)+F$71*($B$54*GREET1_Import_Export!$B79+GREET1_Import_Export!$B229)+F$72*($B$55*GREET1_Import_Export!$AA79+GREET1_Import_Export!$B297)+F$73*(GREET1_Import_Export!$B322+GREET1_Import_Export!$C322)</f>
        <v>2.1316543567652091</v>
      </c>
      <c r="G88" s="348"/>
      <c r="H88" s="347">
        <f>H$69*($B$53*GREET1_Import_Export!$K79+GREET1_Import_Export!$G$179*GREET1_Import_Export!$B193+GREET1_Import_Export!$G193)+H$70*(GREET1_Import_Export!F79+GREET1_Import_Export!$G$179*GREET1_Import_Export!$B193+GREET1_Import_Export!$G193)+H$71*($B$54*GREET1_Import_Export!$B79+GREET1_Import_Export!$B229)+H$72*($B$55*GREET1_Import_Export!$AA79+GREET1_Import_Export!$B297)+H$73*(GREET1_Import_Export!$B322+GREET1_Import_Export!$C322)</f>
        <v>4.9032301305618704</v>
      </c>
      <c r="I88" s="348"/>
      <c r="J88" s="347">
        <f>J$69*($B$53*GREET1_Import_Export!$K79+GREET1_Import_Export!$G$179*GREET1_Import_Export!$B193+GREET1_Import_Export!$G193)+J$70*(GREET1_Import_Export!H79+GREET1_Import_Export!$G$179*GREET1_Import_Export!$B193+GREET1_Import_Export!$G193)+J$71*($B$54*GREET1_Import_Export!$B79+GREET1_Import_Export!$B229)+J$72*($B$55*GREET1_Import_Export!$AA79+GREET1_Import_Export!$B297)+J$73*(GREET1_Import_Export!$B322+GREET1_Import_Export!$C322)</f>
        <v>0.44140317488572511</v>
      </c>
      <c r="K88" s="348"/>
      <c r="L88" s="347">
        <f>L$69*($B$53*GREET1_Import_Export!$K79+GREET1_Import_Export!$G$179*GREET1_Import_Export!$B193+GREET1_Import_Export!$G193)+L$70*(GREET1_Import_Export!K79+GREET1_Import_Export!$G$179*GREET1_Import_Export!$B193+GREET1_Import_Export!$G193)+L$71*($B$54*GREET1_Import_Export!$B79+GREET1_Import_Export!$B229)+L$72*($B$55*GREET1_Import_Export!$AA79+GREET1_Import_Export!$B297)+L$73*(GREET1_Import_Export!$B322+GREET1_Import_Export!$C322)</f>
        <v>0.58781983777464863</v>
      </c>
      <c r="M88" s="348"/>
      <c r="N88" s="347">
        <f>N$69*($B$53*GREET1_Import_Export!$K79+GREET1_Import_Export!$G$179*GREET1_Import_Export!$B193+GREET1_Import_Export!$G193)+N$70*(GREET1_Import_Export!M79+GREET1_Import_Export!$G$179*GREET1_Import_Export!$B193+GREET1_Import_Export!$G193)+N$71*($B$54*GREET1_Import_Export!$B79+GREET1_Import_Export!$B229)+N$72*($B$55*GREET1_Import_Export!$AA79+GREET1_Import_Export!$B297)+N$73*(GREET1_Import_Export!$B322+GREET1_Import_Export!$C322)</f>
        <v>0.88065316355249545</v>
      </c>
      <c r="O88" s="348"/>
      <c r="P88" s="347">
        <f>P$69*($B$53*GREET1_Import_Export!$K79+GREET1_Import_Export!$G$179*GREET1_Import_Export!$B193+GREET1_Import_Export!$G193)+P$70*(GREET1_Import_Export!Q79+GREET1_Import_Export!$G$179*GREET1_Import_Export!$B193+GREET1_Import_Export!$G193)+P$71*($B$54*GREET1_Import_Export!$B79+GREET1_Import_Export!$B229)+P$72*($B$55*GREET1_Import_Export!$AA79+GREET1_Import_Export!$B297)+P$73*(GREET1_Import_Export!$B322+GREET1_Import_Export!$C322)</f>
        <v>3.1264675065041541</v>
      </c>
      <c r="Q88" s="348"/>
    </row>
    <row r="89" spans="1:17" s="496" customFormat="1">
      <c r="A89" s="347" t="s">
        <v>829</v>
      </c>
      <c r="B89" s="347">
        <f>B$69*($B$53*GREET1_Import_Export!$K80+GREET1_Import_Export!$G$179*GREET1_Import_Export!$B194+GREET1_Import_Export!$G194)+B$70*(GREET1_Import_Export!$O80+GREET1_Import_Export!$G$179*GREET1_Import_Export!$B194+GREET1_Import_Export!$G194)+B$71*($B$54*GREET1_Import_Export!$B80+GREET1_Import_Export!$B230)+B$72*($B$55*GREET1_Import_Export!$AA80+GREET1_Import_Export!$B298)+B$73*(GREET1_Import_Export!$B323+GREET1_Import_Export!$C323)</f>
        <v>76.887353151280678</v>
      </c>
      <c r="C89" s="348"/>
      <c r="D89" s="347">
        <f>D$69*($B$53*GREET1_Import_Export!$K80+GREET1_Import_Export!$G$179*GREET1_Import_Export!$B194+GREET1_Import_Export!$G194)+D$70*(GREET1_Import_Export!$O80+GREET1_Import_Export!$G$179*GREET1_Import_Export!$B194+GREET1_Import_Export!$G194)+D$71*($B$54*GREET1_Import_Export!$B80+GREET1_Import_Export!$B230)+D$72*($B$55*GREET1_Import_Export!$AA80+GREET1_Import_Export!$B298)+D$73*(GREET1_Import_Export!$B323+GREET1_Import_Export!$C323)</f>
        <v>622.99050042592114</v>
      </c>
      <c r="E89" s="348"/>
      <c r="F89" s="347">
        <f>F$69*($B$53*GREET1_Import_Export!$K80+GREET1_Import_Export!$G$179*GREET1_Import_Export!$B194+GREET1_Import_Export!$G194)+F$70*(GREET1_Import_Export!D80+GREET1_Import_Export!$G$179*GREET1_Import_Export!$B194+GREET1_Import_Export!$G194)+F$71*($B$54*GREET1_Import_Export!$B80+GREET1_Import_Export!$B230)+F$72*($B$55*GREET1_Import_Export!$AA80+GREET1_Import_Export!$B298)+F$73*(GREET1_Import_Export!$B323+GREET1_Import_Export!$C323)</f>
        <v>265.22118334413892</v>
      </c>
      <c r="G89" s="348"/>
      <c r="H89" s="347">
        <f>H$69*($B$53*GREET1_Import_Export!$K80+GREET1_Import_Export!$G$179*GREET1_Import_Export!$B194+GREET1_Import_Export!$G194)+H$70*(GREET1_Import_Export!F80+GREET1_Import_Export!$G$179*GREET1_Import_Export!$B194+GREET1_Import_Export!$G194)+H$71*($B$54*GREET1_Import_Export!$B80+GREET1_Import_Export!$B230)+H$72*($B$55*GREET1_Import_Export!$AA80+GREET1_Import_Export!$B298)+H$73*(GREET1_Import_Export!$B323+GREET1_Import_Export!$C323)</f>
        <v>648.35823122909107</v>
      </c>
      <c r="I89" s="348"/>
      <c r="J89" s="347">
        <f>J$69*($B$53*GREET1_Import_Export!$K80+GREET1_Import_Export!$G$179*GREET1_Import_Export!$B194+GREET1_Import_Export!$G194)+J$70*(GREET1_Import_Export!H80+GREET1_Import_Export!$G$179*GREET1_Import_Export!$B194+GREET1_Import_Export!$G194)+J$71*($B$54*GREET1_Import_Export!$B80+GREET1_Import_Export!$B230)+J$72*($B$55*GREET1_Import_Export!$AA80+GREET1_Import_Export!$B298)+J$73*(GREET1_Import_Export!$B323+GREET1_Import_Export!$C323)</f>
        <v>54.919537965200483</v>
      </c>
      <c r="K89" s="348"/>
      <c r="L89" s="347">
        <f>L$69*($B$53*GREET1_Import_Export!$K80+GREET1_Import_Export!$G$179*GREET1_Import_Export!$B194+GREET1_Import_Export!$G194)+L$70*(GREET1_Import_Export!K80+GREET1_Import_Export!$G$179*GREET1_Import_Export!$B194+GREET1_Import_Export!$G194)+L$71*($B$54*GREET1_Import_Export!$B80+GREET1_Import_Export!$B230)+L$72*($B$55*GREET1_Import_Export!$AA80+GREET1_Import_Export!$B298)+L$73*(GREET1_Import_Export!$B323+GREET1_Import_Export!$C323)</f>
        <v>73.136750558535283</v>
      </c>
      <c r="M89" s="348"/>
      <c r="N89" s="347">
        <f>N$69*($B$53*GREET1_Import_Export!$K80+GREET1_Import_Export!$G$179*GREET1_Import_Export!$B194+GREET1_Import_Export!$G194)+N$70*(GREET1_Import_Export!M80+GREET1_Import_Export!$G$179*GREET1_Import_Export!$B194+GREET1_Import_Export!$G194)+N$71*($B$54*GREET1_Import_Export!$B80+GREET1_Import_Export!$B230)+N$72*($B$55*GREET1_Import_Export!$AA80+GREET1_Import_Export!$B298)+N$73*(GREET1_Import_Export!$B323+GREET1_Import_Export!$C323)</f>
        <v>109.57117574520487</v>
      </c>
      <c r="O89" s="348"/>
      <c r="P89" s="347">
        <f>P$69*($B$53*GREET1_Import_Export!$K80+GREET1_Import_Export!$G$179*GREET1_Import_Export!$B194+GREET1_Import_Export!$G194)+P$70*(GREET1_Import_Export!Q80+GREET1_Import_Export!$G$179*GREET1_Import_Export!$B194+GREET1_Import_Export!$G194)+P$71*($B$54*GREET1_Import_Export!$B80+GREET1_Import_Export!$B230)+P$72*($B$55*GREET1_Import_Export!$AA80+GREET1_Import_Export!$B298)+P$73*(GREET1_Import_Export!$B323+GREET1_Import_Export!$C323)</f>
        <v>388.99618464428369</v>
      </c>
      <c r="Q89" s="348"/>
    </row>
    <row r="90" spans="1:17" s="496" customFormat="1">
      <c r="A90" s="347" t="s">
        <v>830</v>
      </c>
      <c r="B90" s="347">
        <f>B$69*($B$53*GREET1_Import_Export!$K81+GREET1_Import_Export!$G$179*GREET1_Import_Export!$B195+GREET1_Import_Export!$G195)+B$70*(GREET1_Import_Export!$O81+GREET1_Import_Export!$G$179*GREET1_Import_Export!$B195+GREET1_Import_Export!$G195)+B$71*($B$54*GREET1_Import_Export!$B81+GREET1_Import_Export!$B231)+B$72*($B$55*GREET1_Import_Export!$AA81+GREET1_Import_Export!$B299)+B$73*(GREET1_Import_Export!$B324+GREET1_Import_Export!$C324)</f>
        <v>0.69758399989935316</v>
      </c>
      <c r="C90" s="348"/>
      <c r="D90" s="347">
        <f>D$69*($B$53*GREET1_Import_Export!$K81+GREET1_Import_Export!$G$179*GREET1_Import_Export!$B195+GREET1_Import_Export!$G195)+D$70*(GREET1_Import_Export!$O81+GREET1_Import_Export!$G$179*GREET1_Import_Export!$B195+GREET1_Import_Export!$G195)+D$71*($B$54*GREET1_Import_Export!$B81+GREET1_Import_Export!$B231)+D$72*($B$55*GREET1_Import_Export!$AA81+GREET1_Import_Export!$B299)+D$73*(GREET1_Import_Export!$B324+GREET1_Import_Export!$C324)</f>
        <v>6.1057685736485103</v>
      </c>
      <c r="E90" s="348"/>
      <c r="F90" s="347">
        <f>F$69*($B$53*GREET1_Import_Export!$K81+GREET1_Import_Export!$G$179*GREET1_Import_Export!$B195+GREET1_Import_Export!$G195)+F$70*(GREET1_Import_Export!D81+GREET1_Import_Export!$G$179*GREET1_Import_Export!$B195+GREET1_Import_Export!$G195)+F$71*($B$54*GREET1_Import_Export!$B81+GREET1_Import_Export!$B231)+F$72*($B$55*GREET1_Import_Export!$AA81+GREET1_Import_Export!$B299)+F$73*(GREET1_Import_Export!$B324+GREET1_Import_Export!$C324)</f>
        <v>2.4063002087120546</v>
      </c>
      <c r="G90" s="348"/>
      <c r="H90" s="347">
        <f>H$69*($B$53*GREET1_Import_Export!$K81+GREET1_Import_Export!$G$179*GREET1_Import_Export!$B195+GREET1_Import_Export!$G195)+H$70*(GREET1_Import_Export!F81+GREET1_Import_Export!$G$179*GREET1_Import_Export!$B195+GREET1_Import_Export!$G195)+H$71*($B$54*GREET1_Import_Export!$B81+GREET1_Import_Export!$B231)+H$72*($B$55*GREET1_Import_Export!$AA81+GREET1_Import_Export!$B299)+H$73*(GREET1_Import_Export!$B324+GREET1_Import_Export!$C324)</f>
        <v>6.4701397024558593</v>
      </c>
      <c r="I90" s="348"/>
      <c r="J90" s="347">
        <f>J$69*($B$53*GREET1_Import_Export!$K81+GREET1_Import_Export!$G$179*GREET1_Import_Export!$B195+GREET1_Import_Export!$G195)+J$70*(GREET1_Import_Export!H81+GREET1_Import_Export!$G$179*GREET1_Import_Export!$B195+GREET1_Import_Export!$G195)+J$71*($B$54*GREET1_Import_Export!$B81+GREET1_Import_Export!$B231)+J$72*($B$55*GREET1_Import_Export!$AA81+GREET1_Import_Export!$B299)+J$73*(GREET1_Import_Export!$B324+GREET1_Import_Export!$C324)</f>
        <v>0.49827428564239512</v>
      </c>
      <c r="K90" s="348"/>
      <c r="L90" s="347">
        <f>L$69*($B$53*GREET1_Import_Export!$K81+GREET1_Import_Export!$G$179*GREET1_Import_Export!$B195+GREET1_Import_Export!$G195)+L$70*(GREET1_Import_Export!K81+GREET1_Import_Export!$G$179*GREET1_Import_Export!$B195+GREET1_Import_Export!$G195)+L$71*($B$54*GREET1_Import_Export!$B81+GREET1_Import_Export!$B231)+L$72*($B$55*GREET1_Import_Export!$AA81+GREET1_Import_Export!$B299)+L$73*(GREET1_Import_Export!$B324+GREET1_Import_Export!$C324)</f>
        <v>0.66355551209938479</v>
      </c>
      <c r="M90" s="348"/>
      <c r="N90" s="347">
        <f>N$69*($B$53*GREET1_Import_Export!$K81+GREET1_Import_Export!$G$179*GREET1_Import_Export!$B195+GREET1_Import_Export!$G195)+N$70*(GREET1_Import_Export!M81+GREET1_Import_Export!$G$179*GREET1_Import_Export!$B195+GREET1_Import_Export!$G195)+N$71*($B$54*GREET1_Import_Export!$B81+GREET1_Import_Export!$B231)+N$72*($B$55*GREET1_Import_Export!$AA81+GREET1_Import_Export!$B299)+N$73*(GREET1_Import_Export!$B324+GREET1_Import_Export!$C324)</f>
        <v>0.99411796501336391</v>
      </c>
      <c r="O90" s="348"/>
      <c r="P90" s="347">
        <f>P$69*($B$53*GREET1_Import_Export!$K81+GREET1_Import_Export!$G$179*GREET1_Import_Export!$B195+GREET1_Import_Export!$G195)+P$70*(GREET1_Import_Export!Q81+GREET1_Import_Export!$G$179*GREET1_Import_Export!$B195+GREET1_Import_Export!$G195)+P$71*($B$54*GREET1_Import_Export!$B81+GREET1_Import_Export!$B231)+P$72*($B$55*GREET1_Import_Export!$AA81+GREET1_Import_Export!$B299)+P$73*(GREET1_Import_Export!$B324+GREET1_Import_Export!$C324)</f>
        <v>3.5292867202208651</v>
      </c>
      <c r="Q90" s="348"/>
    </row>
    <row r="91" spans="1:17" s="535" customFormat="1">
      <c r="A91" s="668" t="s">
        <v>831</v>
      </c>
      <c r="B91" s="295">
        <f>B$69*($B$53*GREET1_Import_Export!$K82+GREET1_Import_Export!$G$179*GREET1_Import_Export!$B196+GREET1_Import_Export!$G196)+B$70*(GREET1_Import_Export!$O82+GREET1_Import_Export!$G$179*GREET1_Import_Export!$B196+GREET1_Import_Export!$G196)+B$71*($B$54*GREET1_Import_Export!$B82+GREET1_Import_Export!$B232)+B$72*($B$55*GREET1_Import_Export!$AA82+GREET1_Import_Export!$B300)+B$73*(GREET1_Import_Export!$B325+GREET1_Import_Export!$C325)</f>
        <v>33973.059951692521</v>
      </c>
      <c r="C91" s="752"/>
      <c r="D91" s="295">
        <f>D$69*($B$53*GREET1_Import_Export!$K82+GREET1_Import_Export!$G$179*GREET1_Import_Export!$B196+GREET1_Import_Export!$G196)+D$70*(GREET1_Import_Export!$O82+GREET1_Import_Export!$G$179*GREET1_Import_Export!$B196+GREET1_Import_Export!$G196)+D$71*($B$54*GREET1_Import_Export!$B82+GREET1_Import_Export!$B232)+D$72*($B$55*GREET1_Import_Export!$AA82+GREET1_Import_Export!$B300)+D$73*(GREET1_Import_Export!$B325+GREET1_Import_Export!$C325)</f>
        <v>204929.23679561081</v>
      </c>
      <c r="E91" s="752"/>
      <c r="F91" s="295">
        <f>F$69*($B$53*GREET1_Import_Export!$K82+GREET1_Import_Export!$G$179*GREET1_Import_Export!$B196+GREET1_Import_Export!$G196)+F$70*(GREET1_Import_Export!D82+GREET1_Import_Export!$G$179*GREET1_Import_Export!$B196+GREET1_Import_Export!$G196)+F$71*($B$54*GREET1_Import_Export!$B82+GREET1_Import_Export!$B232)+F$72*($B$55*GREET1_Import_Export!$AA82+GREET1_Import_Export!$B300)+F$73*(GREET1_Import_Export!$B325+GREET1_Import_Export!$C325)</f>
        <v>117189.30087866062</v>
      </c>
      <c r="G91" s="752"/>
      <c r="H91" s="295">
        <f>H$69*($B$53*GREET1_Import_Export!$K82+GREET1_Import_Export!$G$179*GREET1_Import_Export!$B196+GREET1_Import_Export!$G196)+H$70*(GREET1_Import_Export!F82+GREET1_Import_Export!$G$179*GREET1_Import_Export!$B196+GREET1_Import_Export!$G196)+H$71*($B$54*GREET1_Import_Export!$B82+GREET1_Import_Export!$B232)+H$72*($B$55*GREET1_Import_Export!$AA82+GREET1_Import_Export!$B300)+H$73*(GREET1_Import_Export!$B325+GREET1_Import_Export!$C325)</f>
        <v>195319.97068590109</v>
      </c>
      <c r="I91" s="752"/>
      <c r="J91" s="295">
        <f>J$69*($B$53*GREET1_Import_Export!$K82+GREET1_Import_Export!$G$179*GREET1_Import_Export!$B196+GREET1_Import_Export!$G196)+J$70*(GREET1_Import_Export!H82+GREET1_Import_Export!$G$179*GREET1_Import_Export!$B196+GREET1_Import_Export!$G196)+J$71*($B$54*GREET1_Import_Export!$B82+GREET1_Import_Export!$B232)+J$72*($B$55*GREET1_Import_Export!$AA82+GREET1_Import_Export!$B300)+J$73*(GREET1_Import_Export!$B325+GREET1_Import_Export!$C325)</f>
        <v>24266.471394066088</v>
      </c>
      <c r="K91" s="752"/>
      <c r="L91" s="295">
        <f>L$69*($B$53*GREET1_Import_Export!$K82+GREET1_Import_Export!$G$179*GREET1_Import_Export!$B196+GREET1_Import_Export!$G196)+L$70*(GREET1_Import_Export!K82+GREET1_Import_Export!$G$179*GREET1_Import_Export!$B196+GREET1_Import_Export!$G196)+L$71*($B$54*GREET1_Import_Export!$B82+GREET1_Import_Export!$B232)+L$72*($B$55*GREET1_Import_Export!$AA82+GREET1_Import_Export!$B300)+L$73*(GREET1_Import_Export!$B325+GREET1_Import_Export!$C325)</f>
        <v>32315.837515024596</v>
      </c>
      <c r="M91" s="752"/>
      <c r="N91" s="295">
        <f>N$69*($B$53*GREET1_Import_Export!$K82+GREET1_Import_Export!$G$179*GREET1_Import_Export!$B196+GREET1_Import_Export!$G196)+N$70*(GREET1_Import_Export!M82+GREET1_Import_Export!$G$179*GREET1_Import_Export!$B196+GREET1_Import_Export!$G196)+N$71*($B$54*GREET1_Import_Export!$B82+GREET1_Import_Export!$B232)+N$72*($B$55*GREET1_Import_Export!$AA82+GREET1_Import_Export!$B300)+N$73*(GREET1_Import_Export!$B325+GREET1_Import_Export!$C325)</f>
        <v>48414.569756941608</v>
      </c>
      <c r="O91" s="752"/>
      <c r="P91" s="295">
        <f>P$69*($B$53*GREET1_Import_Export!$K82+GREET1_Import_Export!$G$179*GREET1_Import_Export!$B196+GREET1_Import_Export!$G196)+P$70*(GREET1_Import_Export!Q82+GREET1_Import_Export!$G$179*GREET1_Import_Export!$B196+GREET1_Import_Export!$G196)+P$71*($B$54*GREET1_Import_Export!$B82+GREET1_Import_Export!$B232)+P$72*($B$55*GREET1_Import_Export!$AA82+GREET1_Import_Export!$B300)+P$73*(GREET1_Import_Export!$B325+GREET1_Import_Export!$C325)</f>
        <v>171879.90170370144</v>
      </c>
      <c r="Q91" s="752"/>
    </row>
    <row r="92" spans="1:17" s="496" customFormat="1">
      <c r="A92" s="758" t="s">
        <v>865</v>
      </c>
      <c r="B92" s="347"/>
      <c r="C92" s="348"/>
      <c r="D92" s="347"/>
      <c r="E92" s="348"/>
      <c r="F92" s="347"/>
      <c r="G92" s="348"/>
      <c r="H92" s="347"/>
      <c r="I92" s="348"/>
      <c r="J92" s="347"/>
      <c r="K92" s="348"/>
      <c r="L92" s="347"/>
      <c r="M92" s="348"/>
      <c r="N92" s="347"/>
      <c r="O92" s="348"/>
      <c r="P92" s="347"/>
      <c r="Q92" s="348"/>
    </row>
    <row r="93" spans="1:17" s="496" customFormat="1">
      <c r="A93" s="347" t="s">
        <v>821</v>
      </c>
      <c r="B93" s="347">
        <f>B$69*(B$61*($B$53*GREET1_Import_Export!$K72)+GREET1_Import_Export!$G$200*GREET1_Import_Export!$B201+GREET1_Import_Export!$G201)+B$70*(B$61*(GREET1_Import_Export!$O72)+GREET1_Import_Export!$G$200*GREET1_Import_Export!$B201+GREET1_Import_Export!$G201)+B$71*(B$61*($B$54*GREET1_Import_Export!$B72)+GREET1_Import_Export!$B237)+B$72*(B$61*($B$55*GREET1_Import_Export!$AA72)+GREET1_Import_Export!$C290)+B$73*(GREET1_Import_Export!$D315+GREET1_Import_Export!$E315)</f>
        <v>0.24799894420566984</v>
      </c>
      <c r="C93" s="348"/>
      <c r="D93" s="347">
        <f>D$69*(D$61*($B$53*GREET1_Import_Export!$K72)+GREET1_Import_Export!$G$200*GREET1_Import_Export!$B201+GREET1_Import_Export!$G201)+D$70*(D$61*(GREET1_Import_Export!$O72)+GREET1_Import_Export!$G$200*GREET1_Import_Export!$B201+GREET1_Import_Export!$G201)+D$71*(D$61*($B$54*GREET1_Import_Export!$B72)+GREET1_Import_Export!$B237)+D$72*(D$61*($B$55*GREET1_Import_Export!$AA72)+GREET1_Import_Export!$C290)+D$73*(GREET1_Import_Export!$D315+GREET1_Import_Export!$E315)</f>
        <v>1.7720414993401268</v>
      </c>
      <c r="E93" s="348">
        <f t="shared" ref="E93:E100" si="0">E81*D$61</f>
        <v>0</v>
      </c>
      <c r="F93" s="347">
        <f>F$69*(F$61*($B$53*GREET1_Import_Export!$K72)+GREET1_Import_Export!$G$200*GREET1_Import_Export!$B201+GREET1_Import_Export!$G201)+F$70*(F$61*(GREET1_Import_Export!$O72)+GREET1_Import_Export!$G$200*GREET1_Import_Export!$B201+GREET1_Import_Export!$G201)+F$71*(F$61*($B$54*GREET1_Import_Export!$B72)+GREET1_Import_Export!$B237)+F$72*(F$61*($B$55*GREET1_Import_Export!$AA72)+GREET1_Import_Export!$C290)+F$73*(GREET1_Import_Export!$D315+GREET1_Import_Export!$E315)</f>
        <v>0.85546674133663114</v>
      </c>
      <c r="G93" s="348"/>
      <c r="H93" s="347">
        <f>H$69*(H$61*($B$53*GREET1_Import_Export!$K72)+GREET1_Import_Export!$G$200*GREET1_Import_Export!$B201+GREET1_Import_Export!$G201)+H$70*(H$61*(GREET1_Import_Export!$O72)+GREET1_Import_Export!$G$200*GREET1_Import_Export!$B201+GREET1_Import_Export!$G201)+H$71*(H$61*($B$54*GREET1_Import_Export!$B72)+GREET1_Import_Export!$B237)+H$72*(H$61*($B$55*GREET1_Import_Export!$AA72)+GREET1_Import_Export!$C290)+H$73*(GREET1_Import_Export!$D315+GREET1_Import_Export!$E315)</f>
        <v>1.7836036813796603</v>
      </c>
      <c r="I93" s="348"/>
      <c r="J93" s="347">
        <f>J$69*(J$61*($B$53*GREET1_Import_Export!$K72)+GREET1_Import_Export!$G$200*GREET1_Import_Export!$B201+GREET1_Import_Export!$G201)+J$70*(J$61*(GREET1_Import_Export!$O72)+GREET1_Import_Export!$G$200*GREET1_Import_Export!$B201+GREET1_Import_Export!$G201)+J$71*(J$61*($B$54*GREET1_Import_Export!$B72)+GREET1_Import_Export!$B237)+J$72*(J$61*($B$55*GREET1_Import_Export!$AA72)+GREET1_Import_Export!$C290)+J$73*(GREET1_Import_Export!$D315+GREET1_Import_Export!$E315)</f>
        <v>0.17714210300404989</v>
      </c>
      <c r="K93" s="348"/>
      <c r="L93" s="347">
        <f>L$69*(L$61*($B$53*GREET1_Import_Export!$K72)+GREET1_Import_Export!$G$200*GREET1_Import_Export!$B201+GREET1_Import_Export!$G201)+L$70*(L$61*(GREET1_Import_Export!$O72)+GREET1_Import_Export!$G$200*GREET1_Import_Export!$B201+GREET1_Import_Export!$G201)+L$71*(L$61*($B$54*GREET1_Import_Export!$B72)+GREET1_Import_Export!$B237)+L$72*(L$61*($B$55*GREET1_Import_Export!$AA72)+GREET1_Import_Export!$C290)+L$73*(GREET1_Import_Export!$D315+GREET1_Import_Export!$E315)</f>
        <v>0.23590143473222255</v>
      </c>
      <c r="M93" s="348"/>
      <c r="N93" s="347">
        <f>N$69*(N$61*($B$53*GREET1_Import_Export!$K72)+GREET1_Import_Export!$G$200*GREET1_Import_Export!$B201+GREET1_Import_Export!$G201)+N$70*(N$61*(GREET1_Import_Export!$O72)+GREET1_Import_Export!$G$200*GREET1_Import_Export!$B201+GREET1_Import_Export!$G201)+N$71*(N$61*($B$54*GREET1_Import_Export!$B72)+GREET1_Import_Export!$B237)+N$72*(N$61*($B$55*GREET1_Import_Export!$AA72)+GREET1_Import_Export!$C290)+N$73*(GREET1_Import_Export!$D315+GREET1_Import_Export!$E315)</f>
        <v>0.35342009818856784</v>
      </c>
      <c r="O93" s="348"/>
      <c r="P93" s="347">
        <f>P$69*(P$61*($B$53*GREET1_Import_Export!$K72)+GREET1_Import_Export!$G$200*GREET1_Import_Export!$B201+GREET1_Import_Export!$G201)+P$70*(P$61*(GREET1_Import_Export!$O72)+GREET1_Import_Export!$G$200*GREET1_Import_Export!$B201+GREET1_Import_Export!$G201)+P$71*(P$61*($B$54*GREET1_Import_Export!$B72)+GREET1_Import_Export!$B237)+P$72*(P$61*($B$55*GREET1_Import_Export!$AA72)+GREET1_Import_Export!$C290)+P$73*(GREET1_Import_Export!$D315+GREET1_Import_Export!$E315)</f>
        <v>1.2547010546975668</v>
      </c>
      <c r="Q93" s="348"/>
    </row>
    <row r="94" spans="1:17" s="496" customFormat="1">
      <c r="A94" s="347" t="s">
        <v>822</v>
      </c>
      <c r="B94" s="347">
        <f>B$69*(B$61*($B$53*GREET1_Import_Export!$K73)+GREET1_Import_Export!$G$200*GREET1_Import_Export!$B202+GREET1_Import_Export!$G202)+B$70*(B$61*(GREET1_Import_Export!$O73)+GREET1_Import_Export!$G$200*GREET1_Import_Export!$B202+GREET1_Import_Export!$G202)+B$71*(B$61*($B$54*GREET1_Import_Export!$B73)+GREET1_Import_Export!$B238)+B$72*(B$61*($B$55*GREET1_Import_Export!$AA73)+GREET1_Import_Export!$C291)+B$73*(GREET1_Import_Export!$D316+GREET1_Import_Export!$E316)</f>
        <v>1.8308702832816139</v>
      </c>
      <c r="C94" s="348"/>
      <c r="D94" s="347">
        <f>D$69*(D$61*($B$53*GREET1_Import_Export!$K73)+GREET1_Import_Export!$G$200*GREET1_Import_Export!$B202+GREET1_Import_Export!$G202)+D$70*(D$61*(GREET1_Import_Export!$O73)+GREET1_Import_Export!$G$200*GREET1_Import_Export!$B202+GREET1_Import_Export!$G202)+D$71*(D$61*($B$54*GREET1_Import_Export!$B73)+GREET1_Import_Export!$B238)+D$72*(D$61*($B$55*GREET1_Import_Export!$AA73)+GREET1_Import_Export!$C291)+D$73*(GREET1_Import_Export!$D316+GREET1_Import_Export!$E316)</f>
        <v>9.5341422653260466</v>
      </c>
      <c r="E94" s="348">
        <f t="shared" si="0"/>
        <v>0</v>
      </c>
      <c r="F94" s="347">
        <f>F$69*(F$61*($B$53*GREET1_Import_Export!$K73)+GREET1_Import_Export!$G$200*GREET1_Import_Export!$B202+GREET1_Import_Export!$G202)+F$70*(F$61*(GREET1_Import_Export!$O73)+GREET1_Import_Export!$G$200*GREET1_Import_Export!$B202+GREET1_Import_Export!$G202)+F$71*(F$61*($B$54*GREET1_Import_Export!$B73)+GREET1_Import_Export!$B238)+F$72*(F$61*($B$55*GREET1_Import_Export!$AA73)+GREET1_Import_Export!$C291)+F$73*(GREET1_Import_Export!$D316+GREET1_Import_Export!$E316)</f>
        <v>6.3155455764766479</v>
      </c>
      <c r="G94" s="348"/>
      <c r="H94" s="347">
        <f>H$69*(H$61*($B$53*GREET1_Import_Export!$K73)+GREET1_Import_Export!$G$200*GREET1_Import_Export!$B202+GREET1_Import_Export!$G202)+H$70*(H$61*(GREET1_Import_Export!$O73)+GREET1_Import_Export!$G$200*GREET1_Import_Export!$B202+GREET1_Import_Export!$G202)+H$71*(H$61*($B$54*GREET1_Import_Export!$B73)+GREET1_Import_Export!$B238)+H$72*(H$61*($B$55*GREET1_Import_Export!$AA73)+GREET1_Import_Export!$C291)+H$73*(GREET1_Import_Export!$D316+GREET1_Import_Export!$E316)</f>
        <v>8.5694282871484244</v>
      </c>
      <c r="I94" s="348"/>
      <c r="J94" s="347">
        <f>J$69*(J$61*($B$53*GREET1_Import_Export!$K73)+GREET1_Import_Export!$G$200*GREET1_Import_Export!$B202+GREET1_Import_Export!$G202)+J$70*(J$61*(GREET1_Import_Export!$O73)+GREET1_Import_Export!$G$200*GREET1_Import_Export!$B202+GREET1_Import_Export!$G202)+J$71*(J$61*($B$54*GREET1_Import_Export!$B73)+GREET1_Import_Export!$B238)+J$72*(J$61*($B$55*GREET1_Import_Export!$AA73)+GREET1_Import_Export!$C291)+J$73*(GREET1_Import_Export!$D316+GREET1_Import_Export!$E316)</f>
        <v>1.3077644880582957</v>
      </c>
      <c r="K94" s="348"/>
      <c r="L94" s="347">
        <f>L$69*(L$61*($B$53*GREET1_Import_Export!$K73)+GREET1_Import_Export!$G$200*GREET1_Import_Export!$B202+GREET1_Import_Export!$G202)+L$70*(L$61*(GREET1_Import_Export!$O73)+GREET1_Import_Export!$G$200*GREET1_Import_Export!$B202+GREET1_Import_Export!$G202)+L$71*(L$61*($B$54*GREET1_Import_Export!$B73)+GREET1_Import_Export!$B238)+L$72*(L$61*($B$55*GREET1_Import_Export!$AA73)+GREET1_Import_Export!$C291)+L$73*(GREET1_Import_Export!$D316+GREET1_Import_Export!$E316)</f>
        <v>1.7415595377556818</v>
      </c>
      <c r="M94" s="348"/>
      <c r="N94" s="347">
        <f>N$69*(N$61*($B$53*GREET1_Import_Export!$K73)+GREET1_Import_Export!$G$200*GREET1_Import_Export!$B202+GREET1_Import_Export!$G202)+N$70*(N$61*(GREET1_Import_Export!$O73)+GREET1_Import_Export!$G$200*GREET1_Import_Export!$B202+GREET1_Import_Export!$G202)+N$71*(N$61*($B$54*GREET1_Import_Export!$B73)+GREET1_Import_Export!$B238)+N$72*(N$61*($B$55*GREET1_Import_Export!$AA73)+GREET1_Import_Export!$C291)+N$73*(GREET1_Import_Export!$D316+GREET1_Import_Export!$E316)</f>
        <v>2.6091496371504532</v>
      </c>
      <c r="O94" s="348"/>
      <c r="P94" s="347">
        <f>P$69*(P$61*($B$53*GREET1_Import_Export!$K73)+GREET1_Import_Export!$G$200*GREET1_Import_Export!$B202+GREET1_Import_Export!$G202)+P$70*(P$61*(GREET1_Import_Export!$O73)+GREET1_Import_Export!$G$200*GREET1_Import_Export!$B202+GREET1_Import_Export!$G202)+P$71*(P$61*($B$54*GREET1_Import_Export!$B73)+GREET1_Import_Export!$B238)+P$72*(P$61*($B$55*GREET1_Import_Export!$AA73)+GREET1_Import_Export!$C291)+P$73*(GREET1_Import_Export!$D316+GREET1_Import_Export!$E316)</f>
        <v>9.2629219967274139</v>
      </c>
      <c r="Q94" s="348"/>
    </row>
    <row r="95" spans="1:17" s="349" customFormat="1">
      <c r="A95" s="347" t="s">
        <v>823</v>
      </c>
      <c r="B95" s="347">
        <f>B$69*(B$61*($B$53*GREET1_Import_Export!$K74)+GREET1_Import_Export!$G$200*GREET1_Import_Export!$B203+GREET1_Import_Export!$G203)+B$70*(B$61*(GREET1_Import_Export!$O74)+GREET1_Import_Export!$G$200*GREET1_Import_Export!$B203+GREET1_Import_Export!$G203)+B$71*(B$61*($B$54*GREET1_Import_Export!$B74)+GREET1_Import_Export!$B239)+B$72*(B$61*($B$55*GREET1_Import_Export!$AA74)+GREET1_Import_Export!$C292)+B$73*(GREET1_Import_Export!$D317+GREET1_Import_Export!$E317)</f>
        <v>5.4683881628019844</v>
      </c>
      <c r="C95" s="348"/>
      <c r="D95" s="347">
        <f>D$69*(D$61*($B$53*GREET1_Import_Export!$K74)+GREET1_Import_Export!$G$200*GREET1_Import_Export!$B203+GREET1_Import_Export!$G203)+D$70*(D$61*(GREET1_Import_Export!$O74)+GREET1_Import_Export!$G$200*GREET1_Import_Export!$B203+GREET1_Import_Export!$G203)+D$71*(D$61*($B$54*GREET1_Import_Export!$B74)+GREET1_Import_Export!$B239)+D$72*(D$61*($B$55*GREET1_Import_Export!$AA74)+GREET1_Import_Export!$C292)+D$73*(GREET1_Import_Export!$D317+GREET1_Import_Export!$E317)</f>
        <v>16.564289017373916</v>
      </c>
      <c r="E95" s="348">
        <f t="shared" si="0"/>
        <v>0</v>
      </c>
      <c r="F95" s="347">
        <f>F$69*(F$61*($B$53*GREET1_Import_Export!$K74)+GREET1_Import_Export!$G$200*GREET1_Import_Export!$B203+GREET1_Import_Export!$G203)+F$70*(F$61*(GREET1_Import_Export!$O74)+GREET1_Import_Export!$G$200*GREET1_Import_Export!$B203+GREET1_Import_Export!$G203)+F$71*(F$61*($B$54*GREET1_Import_Export!$B74)+GREET1_Import_Export!$B239)+F$72*(F$61*($B$55*GREET1_Import_Export!$AA74)+GREET1_Import_Export!$C292)+F$73*(GREET1_Import_Export!$D317+GREET1_Import_Export!$E317)</f>
        <v>18.863081119073048</v>
      </c>
      <c r="G95" s="348"/>
      <c r="H95" s="347">
        <f>H$69*(H$61*($B$53*GREET1_Import_Export!$K74)+GREET1_Import_Export!$G$200*GREET1_Import_Export!$B203+GREET1_Import_Export!$G203)+H$70*(H$61*(GREET1_Import_Export!$O74)+GREET1_Import_Export!$G$200*GREET1_Import_Export!$B203+GREET1_Import_Export!$G203)+H$71*(H$61*($B$54*GREET1_Import_Export!$B74)+GREET1_Import_Export!$B239)+H$72*(H$61*($B$55*GREET1_Import_Export!$AA74)+GREET1_Import_Export!$C292)+H$73*(GREET1_Import_Export!$D317+GREET1_Import_Export!$E317)</f>
        <v>10.157495729644531</v>
      </c>
      <c r="I95" s="348"/>
      <c r="J95" s="347">
        <f>J$69*(J$61*($B$53*GREET1_Import_Export!$K74)+GREET1_Import_Export!$G$200*GREET1_Import_Export!$B203+GREET1_Import_Export!$G203)+J$70*(J$61*(GREET1_Import_Export!$O74)+GREET1_Import_Export!$G$200*GREET1_Import_Export!$B203+GREET1_Import_Export!$G203)+J$71*(J$61*($B$54*GREET1_Import_Export!$B74)+GREET1_Import_Export!$B239)+J$72*(J$61*($B$55*GREET1_Import_Export!$AA74)+GREET1_Import_Export!$C292)+J$73*(GREET1_Import_Export!$D317+GREET1_Import_Export!$E317)</f>
        <v>3.9059915448585603</v>
      </c>
      <c r="K95" s="348"/>
      <c r="L95" s="347">
        <f>L$69*(L$61*($B$53*GREET1_Import_Export!$K74)+GREET1_Import_Export!$G$200*GREET1_Import_Export!$B203+GREET1_Import_Export!$G203)+L$70*(L$61*(GREET1_Import_Export!$O74)+GREET1_Import_Export!$G$200*GREET1_Import_Export!$B203+GREET1_Import_Export!$G203)+L$71*(L$61*($B$54*GREET1_Import_Export!$B74)+GREET1_Import_Export!$B239)+L$72*(L$61*($B$55*GREET1_Import_Export!$AA74)+GREET1_Import_Export!$C292)+L$73*(GREET1_Import_Export!$D317+GREET1_Import_Export!$E317)</f>
        <v>5.2016375207140833</v>
      </c>
      <c r="M95" s="348"/>
      <c r="N95" s="347">
        <f>N$69*(N$61*($B$53*GREET1_Import_Export!$K74)+GREET1_Import_Export!$G$200*GREET1_Import_Export!$B203+GREET1_Import_Export!$G203)+N$70*(N$61*(GREET1_Import_Export!$O74)+GREET1_Import_Export!$G$200*GREET1_Import_Export!$B203+GREET1_Import_Export!$G203)+N$71*(N$61*($B$54*GREET1_Import_Export!$B74)+GREET1_Import_Export!$B239)+N$72*(N$61*($B$55*GREET1_Import_Export!$AA74)+GREET1_Import_Export!$C292)+N$73*(GREET1_Import_Export!$D317+GREET1_Import_Export!$E317)</f>
        <v>7.7929294724251275</v>
      </c>
      <c r="O95" s="348"/>
      <c r="P95" s="347">
        <f>P$69*(P$61*($B$53*GREET1_Import_Export!$K74)+GREET1_Import_Export!$G$200*GREET1_Import_Export!$B203+GREET1_Import_Export!$G203)+P$70*(P$61*(GREET1_Import_Export!$O74)+GREET1_Import_Export!$G$200*GREET1_Import_Export!$B203+GREET1_Import_Export!$G203)+P$71*(P$61*($B$54*GREET1_Import_Export!$B74)+GREET1_Import_Export!$B239)+P$72*(P$61*($B$55*GREET1_Import_Export!$AA74)+GREET1_Import_Export!$C292)+P$73*(GREET1_Import_Export!$D317+GREET1_Import_Export!$E317)</f>
        <v>27.666216149989868</v>
      </c>
      <c r="Q95" s="348"/>
    </row>
    <row r="96" spans="1:17" s="349" customFormat="1">
      <c r="A96" s="347" t="s">
        <v>824</v>
      </c>
      <c r="B96" s="347">
        <f>B$69*(B$61*($B$53*GREET1_Import_Export!$K75)+GREET1_Import_Export!$G$200*GREET1_Import_Export!$B204+GREET1_Import_Export!$G204)+B$70*(B$61*(GREET1_Import_Export!$O75)+GREET1_Import_Export!$G$200*GREET1_Import_Export!$B204+GREET1_Import_Export!$G204)+B$71*(B$61*($B$54*GREET1_Import_Export!$B75)+GREET1_Import_Export!$B240)+B$72*(B$61*($B$55*GREET1_Import_Export!$AA75)+GREET1_Import_Export!$C293)+B$73*(GREET1_Import_Export!$D318+GREET1_Import_Export!$E318)</f>
        <v>0.73009148476269392</v>
      </c>
      <c r="C96" s="348"/>
      <c r="D96" s="347">
        <f>D$69*(D$61*($B$53*GREET1_Import_Export!$K75)+GREET1_Import_Export!$G$200*GREET1_Import_Export!$B204+GREET1_Import_Export!$G204)+D$70*(D$61*(GREET1_Import_Export!$O75)+GREET1_Import_Export!$G$200*GREET1_Import_Export!$B204+GREET1_Import_Export!$G204)+D$71*(D$61*($B$54*GREET1_Import_Export!$B75)+GREET1_Import_Export!$B240)+D$72*(D$61*($B$55*GREET1_Import_Export!$AA75)+GREET1_Import_Export!$C293)+D$73*(GREET1_Import_Export!$D318+GREET1_Import_Export!$E318)</f>
        <v>1.1987016592542099</v>
      </c>
      <c r="E96" s="348">
        <f t="shared" si="0"/>
        <v>0</v>
      </c>
      <c r="F96" s="347">
        <f>F$69*(F$61*($B$53*GREET1_Import_Export!$K75)+GREET1_Import_Export!$G$200*GREET1_Import_Export!$B204+GREET1_Import_Export!$G204)+F$70*(F$61*(GREET1_Import_Export!$O75)+GREET1_Import_Export!$G$200*GREET1_Import_Export!$B204+GREET1_Import_Export!$G204)+F$71*(F$61*($B$54*GREET1_Import_Export!$B75)+GREET1_Import_Export!$B240)+F$72*(F$61*($B$55*GREET1_Import_Export!$AA75)+GREET1_Import_Export!$C293)+F$73*(GREET1_Import_Export!$D318+GREET1_Import_Export!$E318)</f>
        <v>2.518434041515913</v>
      </c>
      <c r="G96" s="348"/>
      <c r="H96" s="347">
        <f>H$69*(H$61*($B$53*GREET1_Import_Export!$K75)+GREET1_Import_Export!$G$200*GREET1_Import_Export!$B204+GREET1_Import_Export!$G204)+H$70*(H$61*(GREET1_Import_Export!$O75)+GREET1_Import_Export!$G$200*GREET1_Import_Export!$B204+GREET1_Import_Export!$G204)+H$71*(H$61*($B$54*GREET1_Import_Export!$B75)+GREET1_Import_Export!$B240)+H$72*(H$61*($B$55*GREET1_Import_Export!$AA75)+GREET1_Import_Export!$C293)+H$73*(GREET1_Import_Export!$D318+GREET1_Import_Export!$E318)</f>
        <v>4.3574143259604216E-2</v>
      </c>
      <c r="I96" s="348"/>
      <c r="J96" s="347">
        <f>J$69*(J$61*($B$53*GREET1_Import_Export!$K75)+GREET1_Import_Export!$G$200*GREET1_Import_Export!$B204+GREET1_Import_Export!$G204)+J$70*(J$61*(GREET1_Import_Export!$O75)+GREET1_Import_Export!$G$200*GREET1_Import_Export!$B204+GREET1_Import_Export!$G204)+J$71*(J$61*($B$54*GREET1_Import_Export!$B75)+GREET1_Import_Export!$B240)+J$72*(J$61*($B$55*GREET1_Import_Export!$AA75)+GREET1_Import_Export!$C293)+J$73*(GREET1_Import_Export!$D318+GREET1_Import_Export!$E318)</f>
        <v>0.52149391768763853</v>
      </c>
      <c r="K96" s="348"/>
      <c r="L96" s="347">
        <f>L$69*(L$61*($B$53*GREET1_Import_Export!$K75)+GREET1_Import_Export!$G$200*GREET1_Import_Export!$B204+GREET1_Import_Export!$G204)+L$70*(L$61*(GREET1_Import_Export!$O75)+GREET1_Import_Export!$G$200*GREET1_Import_Export!$B204+GREET1_Import_Export!$G204)+L$71*(L$61*($B$54*GREET1_Import_Export!$B75)+GREET1_Import_Export!$B240)+L$72*(L$61*($B$55*GREET1_Import_Export!$AA75)+GREET1_Import_Export!$C293)+L$73*(GREET1_Import_Export!$D318+GREET1_Import_Export!$E318)</f>
        <v>0.69447726599378212</v>
      </c>
      <c r="M96" s="348"/>
      <c r="N96" s="347">
        <f>N$69*(N$61*($B$53*GREET1_Import_Export!$K75)+GREET1_Import_Export!$G$200*GREET1_Import_Export!$B204+GREET1_Import_Export!$G204)+N$70*(N$61*(GREET1_Import_Export!$O75)+GREET1_Import_Export!$G$200*GREET1_Import_Export!$B204+GREET1_Import_Export!$G204)+N$71*(N$61*($B$54*GREET1_Import_Export!$B75)+GREET1_Import_Export!$B240)+N$72*(N$61*($B$55*GREET1_Import_Export!$AA75)+GREET1_Import_Export!$C293)+N$73*(GREET1_Import_Export!$D318+GREET1_Import_Export!$E318)</f>
        <v>1.0404439626060691</v>
      </c>
      <c r="O96" s="348"/>
      <c r="P96" s="347">
        <f>P$69*(P$61*($B$53*GREET1_Import_Export!$K75)+GREET1_Import_Export!$G$200*GREET1_Import_Export!$B204+GREET1_Import_Export!$G204)+P$70*(P$61*(GREET1_Import_Export!$O75)+GREET1_Import_Export!$G$200*GREET1_Import_Export!$B204+GREET1_Import_Export!$G204)+P$71*(P$61*($B$54*GREET1_Import_Export!$B75)+GREET1_Import_Export!$B240)+P$72*(P$61*($B$55*GREET1_Import_Export!$AA75)+GREET1_Import_Export!$C293)+P$73*(GREET1_Import_Export!$D318+GREET1_Import_Export!$E318)</f>
        <v>3.6937518379020644</v>
      </c>
      <c r="Q96" s="348"/>
    </row>
    <row r="97" spans="1:17" s="349" customFormat="1">
      <c r="A97" s="347" t="s">
        <v>825</v>
      </c>
      <c r="B97" s="347">
        <f>B$69*(B$61*($B$53*GREET1_Import_Export!$K76)+GREET1_Import_Export!$G$200*GREET1_Import_Export!$B205+GREET1_Import_Export!$G205)+B$70*(B$61*(GREET1_Import_Export!$O76)+GREET1_Import_Export!$G$200*GREET1_Import_Export!$B205+GREET1_Import_Export!$G205)+B$71*(B$61*($B$54*GREET1_Import_Export!$B76)+GREET1_Import_Export!$B241)+B$72*(B$61*($B$55*GREET1_Import_Export!$AA76)+GREET1_Import_Export!$C294)+B$73*(GREET1_Import_Export!$D319+GREET1_Import_Export!$E319)</f>
        <v>0.64199137765759484</v>
      </c>
      <c r="C97" s="348"/>
      <c r="D97" s="347">
        <f>D$69*(D$61*($B$53*GREET1_Import_Export!$K76)+GREET1_Import_Export!$G$200*GREET1_Import_Export!$B205+GREET1_Import_Export!$G205)+D$70*(D$61*(GREET1_Import_Export!$O76)+GREET1_Import_Export!$G$200*GREET1_Import_Export!$B205+GREET1_Import_Export!$G205)+D$71*(D$61*($B$54*GREET1_Import_Export!$B76)+GREET1_Import_Export!$B241)+D$72*(D$61*($B$55*GREET1_Import_Export!$AA76)+GREET1_Import_Export!$C294)+D$73*(GREET1_Import_Export!$D319+GREET1_Import_Export!$E319)</f>
        <v>1.0555449451247028</v>
      </c>
      <c r="E97" s="348">
        <f t="shared" si="0"/>
        <v>0</v>
      </c>
      <c r="F97" s="347">
        <f>F$69*(F$61*($B$53*GREET1_Import_Export!$K76)+GREET1_Import_Export!$G$200*GREET1_Import_Export!$B205+GREET1_Import_Export!$G205)+F$70*(F$61*(GREET1_Import_Export!$O76)+GREET1_Import_Export!$G$200*GREET1_Import_Export!$B205+GREET1_Import_Export!$G205)+F$71*(F$61*($B$54*GREET1_Import_Export!$B76)+GREET1_Import_Export!$B241)+F$72*(F$61*($B$55*GREET1_Import_Export!$AA76)+GREET1_Import_Export!$C294)+F$73*(GREET1_Import_Export!$D319+GREET1_Import_Export!$E319)</f>
        <v>2.2145347173554666</v>
      </c>
      <c r="G97" s="348"/>
      <c r="H97" s="347">
        <f>H$69*(H$61*($B$53*GREET1_Import_Export!$K76)+GREET1_Import_Export!$G$200*GREET1_Import_Export!$B205+GREET1_Import_Export!$G205)+H$70*(H$61*(GREET1_Import_Export!$O76)+GREET1_Import_Export!$G$200*GREET1_Import_Export!$B205+GREET1_Import_Export!$G205)+H$71*(H$61*($B$54*GREET1_Import_Export!$B76)+GREET1_Import_Export!$B241)+H$72*(H$61*($B$55*GREET1_Import_Export!$AA76)+GREET1_Import_Export!$C294)+H$73*(GREET1_Import_Export!$D319+GREET1_Import_Export!$E319)</f>
        <v>4.0247754399806011E-2</v>
      </c>
      <c r="I97" s="348"/>
      <c r="J97" s="347">
        <f>J$69*(J$61*($B$53*GREET1_Import_Export!$K76)+GREET1_Import_Export!$G$200*GREET1_Import_Export!$B205+GREET1_Import_Export!$G205)+J$70*(J$61*(GREET1_Import_Export!$O76)+GREET1_Import_Export!$G$200*GREET1_Import_Export!$B205+GREET1_Import_Export!$G205)+J$71*(J$61*($B$54*GREET1_Import_Export!$B76)+GREET1_Import_Export!$B241)+J$72*(J$61*($B$55*GREET1_Import_Export!$AA76)+GREET1_Import_Export!$C294)+J$73*(GREET1_Import_Export!$D319+GREET1_Import_Export!$E319)</f>
        <v>0.45856526975542489</v>
      </c>
      <c r="K97" s="348"/>
      <c r="L97" s="347">
        <f>L$69*(L$61*($B$53*GREET1_Import_Export!$K76)+GREET1_Import_Export!$G$200*GREET1_Import_Export!$B205+GREET1_Import_Export!$G205)+L$70*(L$61*(GREET1_Import_Export!$O76)+GREET1_Import_Export!$G$200*GREET1_Import_Export!$B205+GREET1_Import_Export!$G205)+L$71*(L$61*($B$54*GREET1_Import_Export!$B76)+GREET1_Import_Export!$B241)+L$72*(L$61*($B$55*GREET1_Import_Export!$AA76)+GREET1_Import_Export!$C294)+L$73*(GREET1_Import_Export!$D319+GREET1_Import_Export!$E319)</f>
        <v>0.61067472508893172</v>
      </c>
      <c r="M97" s="348"/>
      <c r="N97" s="347">
        <f>N$69*(N$61*($B$53*GREET1_Import_Export!$K76)+GREET1_Import_Export!$G$200*GREET1_Import_Export!$B205+GREET1_Import_Export!$G205)+N$70*(N$61*(GREET1_Import_Export!$O76)+GREET1_Import_Export!$G$200*GREET1_Import_Export!$B205+GREET1_Import_Export!$G205)+N$71*(N$61*($B$54*GREET1_Import_Export!$B76)+GREET1_Import_Export!$B241)+N$72*(N$61*($B$55*GREET1_Import_Export!$AA76)+GREET1_Import_Export!$C294)+N$73*(GREET1_Import_Export!$D319+GREET1_Import_Export!$E319)</f>
        <v>0.91489363575594518</v>
      </c>
      <c r="O97" s="348"/>
      <c r="P97" s="347">
        <f>P$69*(P$61*($B$53*GREET1_Import_Export!$K76)+GREET1_Import_Export!$G$200*GREET1_Import_Export!$B205+GREET1_Import_Export!$G205)+P$70*(P$61*(GREET1_Import_Export!$O76)+GREET1_Import_Export!$G$200*GREET1_Import_Export!$B205+GREET1_Import_Export!$G205)+P$71*(P$61*($B$54*GREET1_Import_Export!$B76)+GREET1_Import_Export!$B241)+P$72*(P$61*($B$55*GREET1_Import_Export!$AA76)+GREET1_Import_Export!$C294)+P$73*(GREET1_Import_Export!$D319+GREET1_Import_Export!$E319)</f>
        <v>3.2480269673475179</v>
      </c>
      <c r="Q97" s="348"/>
    </row>
    <row r="98" spans="1:17" s="349" customFormat="1">
      <c r="A98" s="347" t="s">
        <v>826</v>
      </c>
      <c r="B98" s="347">
        <f>B$69*(B$61*($B$53*GREET1_Import_Export!$K77)+GREET1_Import_Export!$G$200*GREET1_Import_Export!$B206+GREET1_Import_Export!$G206)+B$70*(B$61*(GREET1_Import_Export!$O77)+GREET1_Import_Export!$G$200*GREET1_Import_Export!$B206+GREET1_Import_Export!$G206)+B$71*(B$61*($B$54*GREET1_Import_Export!$B77)+GREET1_Import_Export!$B242)+B$72*(B$61*($B$55*GREET1_Import_Export!$AA77)+GREET1_Import_Export!$C295)+B$73*(GREET1_Import_Export!$D320+GREET1_Import_Export!$E320)</f>
        <v>5.4333355363692464</v>
      </c>
      <c r="C98" s="348"/>
      <c r="D98" s="347">
        <f>D$69*(D$61*($B$53*GREET1_Import_Export!$K77)+GREET1_Import_Export!$G$200*GREET1_Import_Export!$B206+GREET1_Import_Export!$G206)+D$70*(D$61*(GREET1_Import_Export!$O77)+GREET1_Import_Export!$G$200*GREET1_Import_Export!$B206+GREET1_Import_Export!$G206)+D$71*(D$61*($B$54*GREET1_Import_Export!$B77)+GREET1_Import_Export!$B242)+D$72*(D$61*($B$55*GREET1_Import_Export!$AA77)+GREET1_Import_Export!$C295)+D$73*(GREET1_Import_Export!$D320+GREET1_Import_Export!$E320)</f>
        <v>9.0088707625638129</v>
      </c>
      <c r="E98" s="348">
        <f t="shared" si="0"/>
        <v>0</v>
      </c>
      <c r="F98" s="347">
        <f>F$69*(F$61*($B$53*GREET1_Import_Export!$K77)+GREET1_Import_Export!$G$200*GREET1_Import_Export!$B206+GREET1_Import_Export!$G206)+F$70*(F$61*(GREET1_Import_Export!$O77)+GREET1_Import_Export!$G$200*GREET1_Import_Export!$B206+GREET1_Import_Export!$G206)+F$71*(F$61*($B$54*GREET1_Import_Export!$B77)+GREET1_Import_Export!$B242)+F$72*(F$61*($B$55*GREET1_Import_Export!$AA77)+GREET1_Import_Export!$C295)+F$73*(GREET1_Import_Export!$D320+GREET1_Import_Export!$E320)</f>
        <v>18.74216787806813</v>
      </c>
      <c r="G98" s="348"/>
      <c r="H98" s="347">
        <f>H$69*(H$61*($B$53*GREET1_Import_Export!$K77)+GREET1_Import_Export!$G$200*GREET1_Import_Export!$B206+GREET1_Import_Export!$G206)+H$70*(H$61*(GREET1_Import_Export!$O77)+GREET1_Import_Export!$G$200*GREET1_Import_Export!$B206+GREET1_Import_Export!$G206)+H$71*(H$61*($B$54*GREET1_Import_Export!$B77)+GREET1_Import_Export!$B242)+H$72*(H$61*($B$55*GREET1_Import_Export!$AA77)+GREET1_Import_Export!$C295)+H$73*(GREET1_Import_Export!$D320+GREET1_Import_Export!$E320)</f>
        <v>0.43850613281360329</v>
      </c>
      <c r="I98" s="348"/>
      <c r="J98" s="347">
        <f>J$69*(J$61*($B$53*GREET1_Import_Export!$K77)+GREET1_Import_Export!$G$200*GREET1_Import_Export!$B206+GREET1_Import_Export!$G206)+J$70*(J$61*(GREET1_Import_Export!$O77)+GREET1_Import_Export!$G$200*GREET1_Import_Export!$B206+GREET1_Import_Export!$G206)+J$71*(J$61*($B$54*GREET1_Import_Export!$B77)+GREET1_Import_Export!$B242)+J$72*(J$61*($B$55*GREET1_Import_Export!$AA77)+GREET1_Import_Export!$C295)+J$73*(GREET1_Import_Export!$D320+GREET1_Import_Export!$E320)</f>
        <v>3.8809539545494616</v>
      </c>
      <c r="K98" s="348"/>
      <c r="L98" s="347">
        <f>L$69*(L$61*($B$53*GREET1_Import_Export!$K77)+GREET1_Import_Export!$G$200*GREET1_Import_Export!$B206+GREET1_Import_Export!$G206)+L$70*(L$61*(GREET1_Import_Export!$O77)+GREET1_Import_Export!$G$200*GREET1_Import_Export!$B206+GREET1_Import_Export!$G206)+L$71*(L$61*($B$54*GREET1_Import_Export!$B77)+GREET1_Import_Export!$B242)+L$72*(L$61*($B$55*GREET1_Import_Export!$AA77)+GREET1_Import_Export!$C295)+L$73*(GREET1_Import_Export!$D320+GREET1_Import_Export!$E320)</f>
        <v>5.1682947784975761</v>
      </c>
      <c r="M98" s="348"/>
      <c r="N98" s="347">
        <f>N$69*(N$61*($B$53*GREET1_Import_Export!$K77)+GREET1_Import_Export!$G$200*GREET1_Import_Export!$B206+GREET1_Import_Export!$G206)+N$70*(N$61*(GREET1_Import_Export!$O77)+GREET1_Import_Export!$G$200*GREET1_Import_Export!$B206+GREET1_Import_Export!$G206)+N$71*(N$61*($B$54*GREET1_Import_Export!$B77)+GREET1_Import_Export!$B242)+N$72*(N$61*($B$55*GREET1_Import_Export!$AA77)+GREET1_Import_Export!$C295)+N$73*(GREET1_Import_Export!$D320+GREET1_Import_Export!$E320)</f>
        <v>7.7429764263938035</v>
      </c>
      <c r="O98" s="348"/>
      <c r="P98" s="347">
        <f>P$69*(P$61*($B$53*GREET1_Import_Export!$K77)+GREET1_Import_Export!$G$200*GREET1_Import_Export!$B206+GREET1_Import_Export!$G206)+P$70*(P$61*(GREET1_Import_Export!$O77)+GREET1_Import_Export!$G$200*GREET1_Import_Export!$B206+GREET1_Import_Export!$G206)+P$71*(P$61*($B$54*GREET1_Import_Export!$B77)+GREET1_Import_Export!$B242)+P$72*(P$61*($B$55*GREET1_Import_Export!$AA77)+GREET1_Import_Export!$C295)+P$73*(GREET1_Import_Export!$D320+GREET1_Import_Export!$E320)</f>
        <v>27.488874397604818</v>
      </c>
      <c r="Q98" s="348"/>
    </row>
    <row r="99" spans="1:17" s="349" customFormat="1">
      <c r="A99" s="347" t="s">
        <v>827</v>
      </c>
      <c r="B99" s="347">
        <f>B$69*(B$61*($B$53*GREET1_Import_Export!$K78)+GREET1_Import_Export!$G$200*GREET1_Import_Export!$B207+GREET1_Import_Export!$G207)+B$70*(B$61*(GREET1_Import_Export!$O78)+GREET1_Import_Export!$G$200*GREET1_Import_Export!$B207+GREET1_Import_Export!$G207)+B$71*(B$61*($B$54*GREET1_Import_Export!$B78)+GREET1_Import_Export!$B243)+B$72*(B$61*($B$55*GREET1_Import_Export!$AA78)+GREET1_Import_Export!$C296)+B$73*(GREET1_Import_Export!$D321+GREET1_Import_Export!$E321)</f>
        <v>3.3085616671073396E-2</v>
      </c>
      <c r="C99" s="348"/>
      <c r="D99" s="347">
        <f>D$69*(D$61*($B$53*GREET1_Import_Export!$K78)+GREET1_Import_Export!$G$200*GREET1_Import_Export!$B207+GREET1_Import_Export!$G207)+D$70*(D$61*(GREET1_Import_Export!$O78)+GREET1_Import_Export!$G$200*GREET1_Import_Export!$B207+GREET1_Import_Export!$G207)+D$71*(D$61*($B$54*GREET1_Import_Export!$B78)+GREET1_Import_Export!$B243)+D$72*(D$61*($B$55*GREET1_Import_Export!$AA78)+GREET1_Import_Export!$C296)+D$73*(GREET1_Import_Export!$D321+GREET1_Import_Export!$E321)</f>
        <v>5.7984562531595216E-2</v>
      </c>
      <c r="E99" s="348">
        <f t="shared" si="0"/>
        <v>0</v>
      </c>
      <c r="F99" s="347">
        <f>F$69*(F$61*($B$53*GREET1_Import_Export!$K78)+GREET1_Import_Export!$G$200*GREET1_Import_Export!$B207+GREET1_Import_Export!$G207)+F$70*(F$61*(GREET1_Import_Export!$O78)+GREET1_Import_Export!$G$200*GREET1_Import_Export!$B207+GREET1_Import_Export!$G207)+F$71*(F$61*($B$54*GREET1_Import_Export!$B78)+GREET1_Import_Export!$B243)+F$72*(F$61*($B$55*GREET1_Import_Export!$AA78)+GREET1_Import_Export!$C296)+F$73*(GREET1_Import_Export!$D321+GREET1_Import_Export!$E321)</f>
        <v>0.11412808538105459</v>
      </c>
      <c r="G99" s="348"/>
      <c r="H99" s="347">
        <f>H$69*(H$61*($B$53*GREET1_Import_Export!$K78)+GREET1_Import_Export!$G$200*GREET1_Import_Export!$B207+GREET1_Import_Export!$G207)+H$70*(H$61*(GREET1_Import_Export!$O78)+GREET1_Import_Export!$G$200*GREET1_Import_Export!$B207+GREET1_Import_Export!$G207)+H$71*(H$61*($B$54*GREET1_Import_Export!$B78)+GREET1_Import_Export!$B243)+H$72*(H$61*($B$55*GREET1_Import_Export!$AA78)+GREET1_Import_Export!$C296)+H$73*(GREET1_Import_Export!$D321+GREET1_Import_Export!$E321)</f>
        <v>6.721605665610096E-3</v>
      </c>
      <c r="I99" s="348"/>
      <c r="J99" s="347">
        <f>J$69*(J$61*($B$53*GREET1_Import_Export!$K78)+GREET1_Import_Export!$G$200*GREET1_Import_Export!$B207+GREET1_Import_Export!$G207)+J$70*(J$61*(GREET1_Import_Export!$O78)+GREET1_Import_Export!$G$200*GREET1_Import_Export!$B207+GREET1_Import_Export!$G207)+J$71*(J$61*($B$54*GREET1_Import_Export!$B78)+GREET1_Import_Export!$B243)+J$72*(J$61*($B$55*GREET1_Import_Export!$AA78)+GREET1_Import_Export!$C296)+J$73*(GREET1_Import_Export!$D321+GREET1_Import_Export!$E321)</f>
        <v>2.3632583336481001E-2</v>
      </c>
      <c r="K99" s="348"/>
      <c r="L99" s="347">
        <f>L$69*(L$61*($B$53*GREET1_Import_Export!$K78)+GREET1_Import_Export!$G$200*GREET1_Import_Export!$B207+GREET1_Import_Export!$G207)+L$70*(L$61*(GREET1_Import_Export!$O78)+GREET1_Import_Export!$G$200*GREET1_Import_Export!$B207+GREET1_Import_Export!$G207)+L$71*(L$61*($B$54*GREET1_Import_Export!$B78)+GREET1_Import_Export!$B243)+L$72*(L$61*($B$55*GREET1_Import_Export!$AA78)+GREET1_Import_Export!$C296)+L$73*(GREET1_Import_Export!$D321+GREET1_Import_Export!$E321)</f>
        <v>3.1471684150533238E-2</v>
      </c>
      <c r="M99" s="348"/>
      <c r="N99" s="347">
        <f>N$69*(N$61*($B$53*GREET1_Import_Export!$K78)+GREET1_Import_Export!$G$200*GREET1_Import_Export!$B207+GREET1_Import_Export!$G207)+N$70*(N$61*(GREET1_Import_Export!$O78)+GREET1_Import_Export!$G$200*GREET1_Import_Export!$B207+GREET1_Import_Export!$G207)+N$71*(N$61*($B$54*GREET1_Import_Export!$B78)+GREET1_Import_Export!$B243)+N$72*(N$61*($B$55*GREET1_Import_Export!$AA78)+GREET1_Import_Export!$C296)+N$73*(GREET1_Import_Export!$D321+GREET1_Import_Export!$E321)</f>
        <v>4.7149885778637705E-2</v>
      </c>
      <c r="O99" s="348"/>
      <c r="P99" s="347">
        <f>P$69*(P$61*($B$53*GREET1_Import_Export!$K78)+GREET1_Import_Export!$G$200*GREET1_Import_Export!$B207+GREET1_Import_Export!$G207)+P$70*(P$61*(GREET1_Import_Export!$O78)+GREET1_Import_Export!$G$200*GREET1_Import_Export!$B207+GREET1_Import_Export!$G207)+P$71*(P$61*($B$54*GREET1_Import_Export!$B78)+GREET1_Import_Export!$B243)+P$72*(P$61*($B$55*GREET1_Import_Export!$AA78)+GREET1_Import_Export!$C296)+P$73*(GREET1_Import_Export!$D321+GREET1_Import_Export!$E321)</f>
        <v>0.16739005992738465</v>
      </c>
      <c r="Q99" s="348"/>
    </row>
    <row r="100" spans="1:17" s="349" customFormat="1">
      <c r="A100" s="503" t="s">
        <v>828</v>
      </c>
      <c r="B100" s="503">
        <f>B$69*(B$61*($B$53*GREET1_Import_Export!$K79)+GREET1_Import_Export!$G$200*GREET1_Import_Export!$B208+GREET1_Import_Export!$G208)+B$70*(B$61*(GREET1_Import_Export!$O79)+GREET1_Import_Export!$G$200*GREET1_Import_Export!$B208+GREET1_Import_Export!$G208)+B$71*(B$61*($B$54*GREET1_Import_Export!$B79)+GREET1_Import_Export!$B244)+B$72*(B$61*($B$55*GREET1_Import_Export!$AA79)+GREET1_Import_Export!$C297)+B$73*(GREET1_Import_Export!$D322+GREET1_Import_Export!$E322)</f>
        <v>0.18361254526407442</v>
      </c>
      <c r="C100" s="502"/>
      <c r="D100" s="503">
        <f>D$69*(D$61*($B$53*GREET1_Import_Export!$K79)+GREET1_Import_Export!$G$200*GREET1_Import_Export!$B208+GREET1_Import_Export!$G208)+D$70*(D$61*(GREET1_Import_Export!$O79)+GREET1_Import_Export!$G$200*GREET1_Import_Export!$B208+GREET1_Import_Export!$G208)+D$71*(D$61*($B$54*GREET1_Import_Export!$B79)+GREET1_Import_Export!$B244)+D$72*(D$61*($B$55*GREET1_Import_Export!$AA79)+GREET1_Import_Export!$C297)+D$73*(GREET1_Import_Export!$D322+GREET1_Import_Export!$E322)</f>
        <v>0.3036745422133672</v>
      </c>
      <c r="E100" s="502">
        <f t="shared" si="0"/>
        <v>0</v>
      </c>
      <c r="F100" s="503">
        <f>F$69*(F$61*($B$53*GREET1_Import_Export!$K79)+GREET1_Import_Export!$G$200*GREET1_Import_Export!$B208+GREET1_Import_Export!$G208)+F$70*(F$61*(GREET1_Import_Export!$O79)+GREET1_Import_Export!$G$200*GREET1_Import_Export!$B208+GREET1_Import_Export!$G208)+F$71*(F$61*($B$54*GREET1_Import_Export!$B79)+GREET1_Import_Export!$B244)+F$72*(F$61*($B$55*GREET1_Import_Export!$AA79)+GREET1_Import_Export!$C297)+F$73*(GREET1_Import_Export!$D322+GREET1_Import_Export!$E322)</f>
        <v>0.63336731641614519</v>
      </c>
      <c r="G100" s="502"/>
      <c r="H100" s="503">
        <f>H$69*(H$61*($B$53*GREET1_Import_Export!$K79)+GREET1_Import_Export!$G$200*GREET1_Import_Export!$B208+GREET1_Import_Export!$G208)+H$70*(H$61*(GREET1_Import_Export!$O79)+GREET1_Import_Export!$G$200*GREET1_Import_Export!$B208+GREET1_Import_Export!$G208)+H$71*(H$61*($B$54*GREET1_Import_Export!$B79)+GREET1_Import_Export!$B244)+H$72*(H$61*($B$55*GREET1_Import_Export!$AA79)+GREET1_Import_Export!$C297)+H$73*(GREET1_Import_Export!$D322+GREET1_Import_Export!$E322)</f>
        <v>1.3822689095852707E-2</v>
      </c>
      <c r="I100" s="502"/>
      <c r="J100" s="503">
        <f>J$69*(J$61*($B$53*GREET1_Import_Export!$K79)+GREET1_Import_Export!$G$200*GREET1_Import_Export!$B208+GREET1_Import_Export!$G208)+J$70*(J$61*(GREET1_Import_Export!$O79)+GREET1_Import_Export!$G$200*GREET1_Import_Export!$B208+GREET1_Import_Export!$G208)+J$71*(J$61*($B$54*GREET1_Import_Export!$B79)+GREET1_Import_Export!$B244)+J$72*(J$61*($B$55*GREET1_Import_Export!$AA79)+GREET1_Import_Export!$C297)+J$73*(GREET1_Import_Export!$D322+GREET1_Import_Export!$E322)</f>
        <v>0.13115181804576742</v>
      </c>
      <c r="K100" s="502"/>
      <c r="L100" s="503">
        <f>L$69*(L$61*($B$53*GREET1_Import_Export!$K79)+GREET1_Import_Export!$G$200*GREET1_Import_Export!$B208+GREET1_Import_Export!$G208)+L$70*(L$61*(GREET1_Import_Export!$O79)+GREET1_Import_Export!$G$200*GREET1_Import_Export!$B208+GREET1_Import_Export!$G208)+L$71*(L$61*($B$54*GREET1_Import_Export!$B79)+GREET1_Import_Export!$B244)+L$72*(L$61*($B$55*GREET1_Import_Export!$AA79)+GREET1_Import_Export!$C297)+L$73*(GREET1_Import_Export!$D322+GREET1_Import_Export!$E322)</f>
        <v>0.17465583573899762</v>
      </c>
      <c r="M100" s="502"/>
      <c r="N100" s="503">
        <f>N$69*(N$61*($B$53*GREET1_Import_Export!$K79)+GREET1_Import_Export!$G$200*GREET1_Import_Export!$B208+GREET1_Import_Export!$G208)+N$70*(N$61*(GREET1_Import_Export!$O79)+GREET1_Import_Export!$G$200*GREET1_Import_Export!$B208+GREET1_Import_Export!$G208)+N$71*(N$61*($B$54*GREET1_Import_Export!$B79)+GREET1_Import_Export!$B244)+N$72*(N$61*($B$55*GREET1_Import_Export!$AA79)+GREET1_Import_Export!$C297)+N$73*(GREET1_Import_Export!$D322+GREET1_Import_Export!$E322)</f>
        <v>0.26166387112545797</v>
      </c>
      <c r="O100" s="502"/>
      <c r="P100" s="503">
        <f>P$69*(P$61*($B$53*GREET1_Import_Export!$K79)+GREET1_Import_Export!$G$200*GREET1_Import_Export!$B208+GREET1_Import_Export!$G208)+P$70*(P$61*(GREET1_Import_Export!$O79)+GREET1_Import_Export!$G$200*GREET1_Import_Export!$B208+GREET1_Import_Export!$G208)+P$71*(P$61*($B$54*GREET1_Import_Export!$B79)+GREET1_Import_Export!$B244)+P$72*(P$61*($B$55*GREET1_Import_Export!$AA79)+GREET1_Import_Export!$C297)+P$73*(GREET1_Import_Export!$D322+GREET1_Import_Export!$E322)</f>
        <v>0.92895094749871876</v>
      </c>
      <c r="Q100" s="502"/>
    </row>
    <row r="101" spans="1:17" s="349" customFormat="1"/>
    <row r="102" spans="1:17" s="349" customFormat="1"/>
    <row r="103" spans="1:17" s="349" customFormat="1" ht="15">
      <c r="A103" s="602" t="s">
        <v>1468</v>
      </c>
    </row>
    <row r="104" spans="1:17" s="349" customFormat="1" ht="51">
      <c r="A104" s="1134"/>
      <c r="B104" s="1712" t="s">
        <v>236</v>
      </c>
      <c r="C104" s="1712" t="s">
        <v>237</v>
      </c>
      <c r="D104" s="1713" t="s">
        <v>238</v>
      </c>
      <c r="E104" s="1712" t="s">
        <v>239</v>
      </c>
      <c r="F104" s="1712" t="s">
        <v>240</v>
      </c>
      <c r="G104" s="1712" t="s">
        <v>241</v>
      </c>
      <c r="H104" s="1712" t="s">
        <v>242</v>
      </c>
      <c r="I104" s="1712" t="s">
        <v>243</v>
      </c>
      <c r="J104" s="844" t="s">
        <v>1469</v>
      </c>
    </row>
    <row r="105" spans="1:17" s="349" customFormat="1">
      <c r="A105" s="758" t="s">
        <v>1443</v>
      </c>
      <c r="B105" s="600"/>
      <c r="C105" s="600"/>
      <c r="D105" s="600"/>
      <c r="E105" s="600"/>
      <c r="H105" s="600"/>
      <c r="I105" s="600"/>
      <c r="J105" s="844"/>
    </row>
    <row r="106" spans="1:17" s="349" customFormat="1">
      <c r="A106" s="347" t="s">
        <v>855</v>
      </c>
      <c r="B106" s="349">
        <f>B74</f>
        <v>0.58205186056138436</v>
      </c>
      <c r="C106" s="349">
        <f>D74</f>
        <v>3.4697372066247998</v>
      </c>
      <c r="D106" s="349">
        <f>F74</f>
        <v>2.0077747106472841</v>
      </c>
      <c r="E106" s="349">
        <f>H74</f>
        <v>3.2928918881409128</v>
      </c>
      <c r="F106" s="349">
        <f>J74</f>
        <v>0.41575132897241734</v>
      </c>
      <c r="G106" s="349">
        <f>L74</f>
        <v>0.55365908687546328</v>
      </c>
      <c r="H106" s="349">
        <f>N74</f>
        <v>0.8294746026815546</v>
      </c>
      <c r="I106" s="349">
        <f>P74</f>
        <v>2.9447749694022836</v>
      </c>
      <c r="J106" s="494">
        <f>SUM(B106:I106)</f>
        <v>14.096115653906098</v>
      </c>
    </row>
    <row r="107" spans="1:17" s="349" customFormat="1">
      <c r="A107" s="347" t="s">
        <v>817</v>
      </c>
      <c r="B107" s="349">
        <f>B75</f>
        <v>0.46099343845488616</v>
      </c>
      <c r="C107" s="349">
        <f>D75</f>
        <v>3.2748345544818638</v>
      </c>
      <c r="D107" s="349">
        <f>F75</f>
        <v>1.5901864253321858</v>
      </c>
      <c r="E107" s="349">
        <f>H75</f>
        <v>3.2906655993205178</v>
      </c>
      <c r="F107" s="349">
        <f>J75</f>
        <v>0.32928102746777582</v>
      </c>
      <c r="G107" s="349">
        <f>L75</f>
        <v>0.43850595365220885</v>
      </c>
      <c r="H107" s="349">
        <f>N75</f>
        <v>0.65695580602107462</v>
      </c>
      <c r="I107" s="349">
        <f>P75</f>
        <v>2.3323040962558248</v>
      </c>
      <c r="J107" s="494">
        <f>SUM(B107:I107)</f>
        <v>12.373726900986338</v>
      </c>
    </row>
    <row r="108" spans="1:17" s="349" customFormat="1">
      <c r="A108" s="347" t="s">
        <v>805</v>
      </c>
      <c r="B108" s="349">
        <f>B76</f>
        <v>0.16002997625492929</v>
      </c>
      <c r="C108" s="349">
        <f>D76</f>
        <v>0.25764379026268952</v>
      </c>
      <c r="D108" s="349">
        <f>F76</f>
        <v>0.55201977871909413</v>
      </c>
      <c r="E108" s="349">
        <f>H76</f>
        <v>2.9395998709779987E-3</v>
      </c>
      <c r="F108" s="349">
        <f>J76</f>
        <v>0.11430712589637806</v>
      </c>
      <c r="G108" s="349">
        <f>L76</f>
        <v>0.15222363594981081</v>
      </c>
      <c r="H108" s="349">
        <f>N76</f>
        <v>0.22805665605667627</v>
      </c>
      <c r="I108" s="349">
        <f>P76</f>
        <v>0.80963965646469815</v>
      </c>
      <c r="J108" s="494">
        <f>SUM(B108:I108)</f>
        <v>2.2768602194752541</v>
      </c>
    </row>
    <row r="109" spans="1:17" s="349" customFormat="1">
      <c r="A109" s="347" t="s">
        <v>804</v>
      </c>
      <c r="B109" s="349">
        <f t="shared" ref="B109:J109" si="1">B107-B108-B110</f>
        <v>0.29595698035738616</v>
      </c>
      <c r="C109" s="349">
        <f t="shared" si="1"/>
        <v>2.9999646100561628</v>
      </c>
      <c r="D109" s="349">
        <f t="shared" si="1"/>
        <v>1.0208969008843636</v>
      </c>
      <c r="E109" s="349">
        <f t="shared" si="1"/>
        <v>3.2757554961396154</v>
      </c>
      <c r="F109" s="349">
        <f t="shared" si="1"/>
        <v>0.21139784311241872</v>
      </c>
      <c r="G109" s="349">
        <f t="shared" si="1"/>
        <v>0.28152005448629425</v>
      </c>
      <c r="H109" s="349">
        <f t="shared" si="1"/>
        <v>0.42176447723404503</v>
      </c>
      <c r="I109" s="349">
        <f t="shared" si="1"/>
        <v>1.4973351462801503</v>
      </c>
      <c r="J109" s="494">
        <f t="shared" si="1"/>
        <v>10.004591508550437</v>
      </c>
    </row>
    <row r="110" spans="1:17" s="349" customFormat="1">
      <c r="A110" s="503" t="s">
        <v>818</v>
      </c>
      <c r="B110" s="505">
        <f>B78</f>
        <v>5.0064818425706774E-3</v>
      </c>
      <c r="C110" s="505">
        <f>D78</f>
        <v>1.7226154163011521E-2</v>
      </c>
      <c r="D110" s="505">
        <f>F78</f>
        <v>1.7269745728728123E-2</v>
      </c>
      <c r="E110" s="505">
        <f>H78</f>
        <v>1.1970503309924744E-2</v>
      </c>
      <c r="F110" s="505">
        <f>J78</f>
        <v>3.5760584589790557E-3</v>
      </c>
      <c r="G110" s="505">
        <f>L78</f>
        <v>4.7622632161038164E-3</v>
      </c>
      <c r="H110" s="505">
        <f>N78</f>
        <v>7.134672730353335E-3</v>
      </c>
      <c r="I110" s="505">
        <f>P78</f>
        <v>2.5329293510976302E-2</v>
      </c>
      <c r="J110" s="504">
        <f>SUM(B110:I110)</f>
        <v>9.2275172960647592E-2</v>
      </c>
    </row>
    <row r="111" spans="1:17" s="349" customFormat="1">
      <c r="A111" s="503" t="s">
        <v>819</v>
      </c>
      <c r="B111" s="374">
        <f>B79</f>
        <v>31.192701757183013</v>
      </c>
      <c r="C111" s="374">
        <f>D79</f>
        <v>56.868972119403729</v>
      </c>
      <c r="D111" s="374">
        <f>F79</f>
        <v>107.59851825648497</v>
      </c>
      <c r="E111" s="374">
        <f>H79</f>
        <v>9.1905542923162731</v>
      </c>
      <c r="F111" s="374">
        <f>J79</f>
        <v>22.280501255130723</v>
      </c>
      <c r="G111" s="374">
        <f>L79</f>
        <v>29.671106549515553</v>
      </c>
      <c r="H111" s="374">
        <f>N79</f>
        <v>44.452317138285203</v>
      </c>
      <c r="I111" s="374">
        <f>P79</f>
        <v>157.81323553194949</v>
      </c>
      <c r="J111" s="756">
        <f>SUM(B111:I111)</f>
        <v>459.06790690026895</v>
      </c>
    </row>
    <row r="112" spans="1:17" s="349" customFormat="1">
      <c r="A112" s="699" t="s">
        <v>1470</v>
      </c>
      <c r="B112" s="512"/>
      <c r="C112" s="512"/>
      <c r="D112" s="512"/>
      <c r="E112" s="512"/>
      <c r="F112" s="512"/>
      <c r="G112" s="512"/>
      <c r="H112" s="512"/>
      <c r="I112" s="512"/>
      <c r="J112" s="511"/>
    </row>
    <row r="113" spans="1:12" s="349" customFormat="1">
      <c r="A113" s="347" t="s">
        <v>821</v>
      </c>
      <c r="B113" s="349">
        <f t="shared" ref="B113:B123" si="2">SUM(B81:C81)</f>
        <v>3.976921279393351</v>
      </c>
      <c r="C113" s="349">
        <f t="shared" ref="C113:C123" si="3">SUM(D81:E81)</f>
        <v>1635.8610531893876</v>
      </c>
      <c r="D113" s="349">
        <f t="shared" ref="D113:D123" si="4">SUM(F81:G81)</f>
        <v>13.718299883621665</v>
      </c>
      <c r="E113" s="349">
        <f t="shared" ref="E113:E123" si="5">SUM(H81:I81)</f>
        <v>38.249707800889254</v>
      </c>
      <c r="F113" s="349">
        <f t="shared" ref="F113:F123" si="6">SUM(J81:K81)</f>
        <v>2.8406580567095365</v>
      </c>
      <c r="G113" s="349">
        <f t="shared" ref="G113:G123" si="7">SUM(L81:M81)</f>
        <v>3.7829251194229441</v>
      </c>
      <c r="H113" s="349">
        <f t="shared" ref="H113:H123" si="8">SUM(N81:O81)</f>
        <v>5.6674592448497583</v>
      </c>
      <c r="I113" s="349">
        <f t="shared" ref="I113:I123" si="9">SUM(P81:Q81)</f>
        <v>20.12043776914577</v>
      </c>
      <c r="J113" s="494">
        <f t="shared" ref="J113:J124" si="10">SUM(B113:I113)</f>
        <v>1724.21746234342</v>
      </c>
    </row>
    <row r="114" spans="1:12" s="349" customFormat="1">
      <c r="A114" s="347" t="s">
        <v>822</v>
      </c>
      <c r="B114" s="349">
        <f t="shared" si="2"/>
        <v>10.749575709622755</v>
      </c>
      <c r="C114" s="349">
        <f t="shared" si="3"/>
        <v>162.60645973173672</v>
      </c>
      <c r="D114" s="349">
        <f t="shared" si="4"/>
        <v>37.080417953054109</v>
      </c>
      <c r="E114" s="349">
        <f t="shared" si="5"/>
        <v>159.40544539854855</v>
      </c>
      <c r="F114" s="349">
        <f t="shared" si="6"/>
        <v>7.6782683640162546</v>
      </c>
      <c r="G114" s="349">
        <f t="shared" si="7"/>
        <v>10.225206162811892</v>
      </c>
      <c r="H114" s="349">
        <f t="shared" si="8"/>
        <v>15.319081760403161</v>
      </c>
      <c r="I114" s="349">
        <f t="shared" si="9"/>
        <v>54.385328226355654</v>
      </c>
      <c r="J114" s="494">
        <f t="shared" si="10"/>
        <v>457.44978330654908</v>
      </c>
    </row>
    <row r="115" spans="1:12" s="349" customFormat="1">
      <c r="A115" s="347" t="s">
        <v>849</v>
      </c>
      <c r="B115" s="349">
        <f t="shared" si="2"/>
        <v>22.144794037446616</v>
      </c>
      <c r="C115" s="349">
        <f t="shared" si="3"/>
        <v>229.30268635197717</v>
      </c>
      <c r="D115" s="349">
        <f t="shared" si="4"/>
        <v>76.387965495024915</v>
      </c>
      <c r="E115" s="349">
        <f t="shared" si="5"/>
        <v>216.70189373798249</v>
      </c>
      <c r="F115" s="349">
        <f t="shared" si="6"/>
        <v>15.817710026747584</v>
      </c>
      <c r="G115" s="349">
        <f t="shared" si="7"/>
        <v>21.064560181961419</v>
      </c>
      <c r="H115" s="349">
        <f t="shared" si="8"/>
        <v>31.558260492389081</v>
      </c>
      <c r="I115" s="349">
        <f t="shared" si="9"/>
        <v>112.03715614128581</v>
      </c>
      <c r="J115" s="494">
        <f t="shared" si="10"/>
        <v>725.01502646481504</v>
      </c>
    </row>
    <row r="116" spans="1:12" s="349" customFormat="1">
      <c r="A116" s="347" t="s">
        <v>824</v>
      </c>
      <c r="B116" s="349">
        <f t="shared" si="2"/>
        <v>3.544856015042662</v>
      </c>
      <c r="C116" s="349">
        <f t="shared" si="3"/>
        <v>74.693033875863733</v>
      </c>
      <c r="D116" s="349">
        <f t="shared" si="4"/>
        <v>12.2279005396942</v>
      </c>
      <c r="E116" s="349">
        <f t="shared" si="5"/>
        <v>11.71045590175779</v>
      </c>
      <c r="F116" s="349">
        <f t="shared" si="6"/>
        <v>2.5320400107447587</v>
      </c>
      <c r="G116" s="349">
        <f t="shared" si="7"/>
        <v>3.3719362094308254</v>
      </c>
      <c r="H116" s="349">
        <f t="shared" si="8"/>
        <v>5.0517286068029579</v>
      </c>
      <c r="I116" s="349">
        <f t="shared" si="9"/>
        <v>17.934489983701134</v>
      </c>
      <c r="J116" s="494">
        <f t="shared" si="10"/>
        <v>131.06644114303808</v>
      </c>
    </row>
    <row r="117" spans="1:12" s="349" customFormat="1">
      <c r="A117" s="347" t="s">
        <v>825</v>
      </c>
      <c r="B117" s="349">
        <f t="shared" si="2"/>
        <v>2.1278690312376258</v>
      </c>
      <c r="C117" s="349">
        <f t="shared" si="3"/>
        <v>42.33666335179548</v>
      </c>
      <c r="D117" s="349">
        <f t="shared" si="4"/>
        <v>7.3400360310984301</v>
      </c>
      <c r="E117" s="349">
        <f t="shared" si="5"/>
        <v>11.587151420532994</v>
      </c>
      <c r="F117" s="349">
        <f t="shared" si="6"/>
        <v>1.5199064508840183</v>
      </c>
      <c r="G117" s="349">
        <f t="shared" si="7"/>
        <v>2.0240705419089613</v>
      </c>
      <c r="H117" s="349">
        <f t="shared" si="8"/>
        <v>3.0323987239588464</v>
      </c>
      <c r="I117" s="349">
        <f t="shared" si="9"/>
        <v>10.765527757803655</v>
      </c>
      <c r="J117" s="494">
        <f t="shared" si="10"/>
        <v>80.733623309220008</v>
      </c>
    </row>
    <row r="118" spans="1:12" s="349" customFormat="1">
      <c r="A118" s="347" t="s">
        <v>826</v>
      </c>
      <c r="B118" s="349">
        <f t="shared" si="2"/>
        <v>18.593608870892343</v>
      </c>
      <c r="C118" s="349">
        <f t="shared" si="3"/>
        <v>55.831666129399352</v>
      </c>
      <c r="D118" s="349">
        <f t="shared" si="4"/>
        <v>64.138232690534565</v>
      </c>
      <c r="E118" s="349">
        <f t="shared" si="5"/>
        <v>33.902211234255212</v>
      </c>
      <c r="F118" s="349">
        <f t="shared" si="6"/>
        <v>13.281149193494532</v>
      </c>
      <c r="G118" s="349">
        <f t="shared" si="7"/>
        <v>17.68660356011711</v>
      </c>
      <c r="H118" s="349">
        <f t="shared" si="8"/>
        <v>26.497512293362259</v>
      </c>
      <c r="I118" s="349">
        <f t="shared" si="9"/>
        <v>94.070645081436979</v>
      </c>
      <c r="J118" s="494">
        <f t="shared" si="10"/>
        <v>324.00162905349237</v>
      </c>
    </row>
    <row r="119" spans="1:12" s="349" customFormat="1">
      <c r="A119" s="749" t="s">
        <v>827</v>
      </c>
      <c r="B119" s="349">
        <f t="shared" si="2"/>
        <v>0.12983107122569518</v>
      </c>
      <c r="C119" s="349">
        <f t="shared" si="3"/>
        <v>1.7669994841127479</v>
      </c>
      <c r="D119" s="349">
        <f t="shared" si="4"/>
        <v>0.44784933976807745</v>
      </c>
      <c r="E119" s="349">
        <f t="shared" si="5"/>
        <v>2.0214503222705784</v>
      </c>
      <c r="F119" s="349">
        <f t="shared" si="6"/>
        <v>9.2736479446925119E-2</v>
      </c>
      <c r="G119" s="349">
        <f t="shared" si="7"/>
        <v>0.12349784823907591</v>
      </c>
      <c r="H119" s="349">
        <f t="shared" si="8"/>
        <v>0.18502058582337744</v>
      </c>
      <c r="I119" s="349">
        <f t="shared" si="9"/>
        <v>0.65685433670354465</v>
      </c>
      <c r="J119" s="494">
        <f t="shared" si="10"/>
        <v>5.4242394675900218</v>
      </c>
    </row>
    <row r="120" spans="1:12" s="349" customFormat="1">
      <c r="A120" s="749" t="s">
        <v>828</v>
      </c>
      <c r="B120" s="349">
        <f t="shared" si="2"/>
        <v>0.61796444484001511</v>
      </c>
      <c r="C120" s="349">
        <f t="shared" si="3"/>
        <v>4.769634615241646</v>
      </c>
      <c r="D120" s="349">
        <f t="shared" si="4"/>
        <v>2.1316543567652091</v>
      </c>
      <c r="E120" s="349">
        <f t="shared" si="5"/>
        <v>4.9032301305618704</v>
      </c>
      <c r="F120" s="349">
        <f t="shared" si="6"/>
        <v>0.44140317488572511</v>
      </c>
      <c r="G120" s="349">
        <f t="shared" si="7"/>
        <v>0.58781983777464863</v>
      </c>
      <c r="H120" s="349">
        <f t="shared" si="8"/>
        <v>0.88065316355249545</v>
      </c>
      <c r="I120" s="349">
        <f t="shared" si="9"/>
        <v>3.1264675065041541</v>
      </c>
      <c r="J120" s="494">
        <f t="shared" si="10"/>
        <v>17.458827230125763</v>
      </c>
    </row>
    <row r="121" spans="1:12" s="349" customFormat="1">
      <c r="A121" s="347" t="s">
        <v>829</v>
      </c>
      <c r="B121" s="349">
        <f t="shared" si="2"/>
        <v>76.887353151280678</v>
      </c>
      <c r="C121" s="349">
        <f t="shared" si="3"/>
        <v>622.99050042592114</v>
      </c>
      <c r="D121" s="349">
        <f t="shared" si="4"/>
        <v>265.22118334413892</v>
      </c>
      <c r="E121" s="349">
        <f t="shared" si="5"/>
        <v>648.35823122909107</v>
      </c>
      <c r="F121" s="349">
        <f t="shared" si="6"/>
        <v>54.919537965200483</v>
      </c>
      <c r="G121" s="349">
        <f t="shared" si="7"/>
        <v>73.136750558535283</v>
      </c>
      <c r="H121" s="349">
        <f t="shared" si="8"/>
        <v>109.57117574520487</v>
      </c>
      <c r="I121" s="349">
        <f t="shared" si="9"/>
        <v>388.99618464428369</v>
      </c>
      <c r="J121" s="494">
        <f t="shared" si="10"/>
        <v>2240.0809170636567</v>
      </c>
    </row>
    <row r="122" spans="1:12" s="349" customFormat="1">
      <c r="A122" s="347" t="s">
        <v>830</v>
      </c>
      <c r="B122" s="349">
        <f t="shared" si="2"/>
        <v>0.69758399989935316</v>
      </c>
      <c r="C122" s="349">
        <f t="shared" si="3"/>
        <v>6.1057685736485103</v>
      </c>
      <c r="D122" s="349">
        <f t="shared" si="4"/>
        <v>2.4063002087120546</v>
      </c>
      <c r="E122" s="349">
        <f t="shared" si="5"/>
        <v>6.4701397024558593</v>
      </c>
      <c r="F122" s="349">
        <f t="shared" si="6"/>
        <v>0.49827428564239512</v>
      </c>
      <c r="G122" s="349">
        <f t="shared" si="7"/>
        <v>0.66355551209938479</v>
      </c>
      <c r="H122" s="349">
        <f t="shared" si="8"/>
        <v>0.99411796501336391</v>
      </c>
      <c r="I122" s="349">
        <f t="shared" si="9"/>
        <v>3.5292867202208651</v>
      </c>
      <c r="J122" s="494">
        <f t="shared" si="10"/>
        <v>21.36502696769179</v>
      </c>
    </row>
    <row r="123" spans="1:12" s="419" customFormat="1">
      <c r="A123" s="517" t="s">
        <v>831</v>
      </c>
      <c r="B123" s="246">
        <f t="shared" si="2"/>
        <v>33973.059951692521</v>
      </c>
      <c r="C123" s="246">
        <f t="shared" si="3"/>
        <v>204929.23679561081</v>
      </c>
      <c r="D123" s="246">
        <f t="shared" si="4"/>
        <v>117189.30087866062</v>
      </c>
      <c r="E123" s="246">
        <f t="shared" si="5"/>
        <v>195319.97068590109</v>
      </c>
      <c r="F123" s="246">
        <f t="shared" si="6"/>
        <v>24266.471394066088</v>
      </c>
      <c r="G123" s="246">
        <f t="shared" si="7"/>
        <v>32315.837515024596</v>
      </c>
      <c r="H123" s="246">
        <f t="shared" si="8"/>
        <v>48414.569756941608</v>
      </c>
      <c r="I123" s="246">
        <f t="shared" si="9"/>
        <v>171879.90170370144</v>
      </c>
      <c r="J123" s="630">
        <f t="shared" si="10"/>
        <v>828288.3486815989</v>
      </c>
      <c r="L123" s="246"/>
    </row>
    <row r="124" spans="1:12" s="419" customFormat="1">
      <c r="A124" s="517" t="s">
        <v>850</v>
      </c>
      <c r="B124" s="246">
        <f>B123+B113*GREET1_Import_Export!$B$62/GREET1_Import_Export!$B$65+B114*GREET1_Import_Export!$B$63/GREET1_Import_Export!$B$65</f>
        <v>34002.346880080804</v>
      </c>
      <c r="C124" s="246">
        <f>C123+C113*GREET1_Import_Export!$B$62/GREET1_Import_Export!$B$65+C114*GREET1_Import_Export!$B$63/GREET1_Import_Export!$B$65</f>
        <v>210283.19484810569</v>
      </c>
      <c r="D124" s="246">
        <f>D123+D113*GREET1_Import_Export!$B$62/GREET1_Import_Export!$B$65+D114*GREET1_Import_Export!$B$63/GREET1_Import_Export!$B$65</f>
        <v>117290.32547484318</v>
      </c>
      <c r="E124" s="246">
        <f>E123+E113*GREET1_Import_Export!$B$62/GREET1_Import_Export!$B$65+E114*GREET1_Import_Export!$B$63/GREET1_Import_Export!$B$65</f>
        <v>195689.67654655443</v>
      </c>
      <c r="F124" s="246">
        <f>F123+F113*GREET1_Import_Export!$B$62/GREET1_Import_Export!$B$65+F114*GREET1_Import_Export!$B$63/GREET1_Import_Export!$B$65</f>
        <v>24287.390628629146</v>
      </c>
      <c r="G124" s="246">
        <f>G123+G113*GREET1_Import_Export!$B$62/GREET1_Import_Export!$B$65+G114*GREET1_Import_Export!$B$63/GREET1_Import_Export!$B$65</f>
        <v>32343.695812759786</v>
      </c>
      <c r="H124" s="246">
        <f>H123+H113*GREET1_Import_Export!$B$62/GREET1_Import_Export!$B$65+H114*GREET1_Import_Export!$B$63/GREET1_Import_Export!$B$65</f>
        <v>48456.306181021071</v>
      </c>
      <c r="I124" s="246">
        <f>I123+I113*GREET1_Import_Export!$B$62/GREET1_Import_Export!$B$65+I114*GREET1_Import_Export!$B$63/GREET1_Import_Export!$B$65</f>
        <v>172028.07306005669</v>
      </c>
      <c r="J124" s="630">
        <f t="shared" si="10"/>
        <v>834381.00943205075</v>
      </c>
      <c r="L124" s="246"/>
    </row>
    <row r="125" spans="1:12" s="419" customFormat="1">
      <c r="A125" s="668" t="s">
        <v>851</v>
      </c>
      <c r="B125" s="294">
        <f>B124+SUMPRODUCT(B121:B122,GREET1_Import_Export!$B$51:$B$52)+SUMPRODUCT(B113:B115,GREET1_Import_Export!$B$55:$B$57)+SUMPRODUCT(B119:B120,GREET1_Import_Export!$B$58:$B$59)</f>
        <v>36493.827234592551</v>
      </c>
      <c r="C125" s="294">
        <f>C124+SUMPRODUCT(C121:C122,GREET1_Import_Export!$B$51:$B$52)+SUMPRODUCT(C113:C115,GREET1_Import_Export!$B$55:$B$57)+SUMPRODUCT(C119:C120,GREET1_Import_Export!$B$58:$B$59)</f>
        <v>230590.93853290018</v>
      </c>
      <c r="D125" s="294">
        <f>D124+SUMPRODUCT(D121:D122,GREET1_Import_Export!$B$51:$B$52)+SUMPRODUCT(D113:D115,GREET1_Import_Export!$B$55:$B$57)+SUMPRODUCT(D119:D120,GREET1_Import_Export!$B$58:$B$59)</f>
        <v>125884.63053047605</v>
      </c>
      <c r="E125" s="294">
        <f>E124+SUMPRODUCT(E121:E122,GREET1_Import_Export!$B$51:$B$52)+SUMPRODUCT(E113:E115,GREET1_Import_Export!$B$55:$B$57)+SUMPRODUCT(E119:E120,GREET1_Import_Export!$B$58:$B$59)</f>
        <v>216855.01050457795</v>
      </c>
      <c r="F125" s="294">
        <f>F124+SUMPRODUCT(F121:F122,GREET1_Import_Export!$B$51:$B$52)+SUMPRODUCT(F113:F115,GREET1_Import_Export!$B$55:$B$57)+SUMPRODUCT(F119:F120,GREET1_Import_Export!$B$58:$B$59)</f>
        <v>26067.019453280394</v>
      </c>
      <c r="G125" s="294">
        <f>G124+SUMPRODUCT(G121:G122,GREET1_Import_Export!$B$51:$B$52)+SUMPRODUCT(G113:G115,GREET1_Import_Export!$B$55:$B$57)+SUMPRODUCT(G119:G120,GREET1_Import_Export!$B$58:$B$59)</f>
        <v>34713.640540222179</v>
      </c>
      <c r="H125" s="294">
        <f>H124+SUMPRODUCT(H121:H122,GREET1_Import_Export!$B$51:$B$52)+SUMPRODUCT(H113:H115,GREET1_Import_Export!$B$55:$B$57)+SUMPRODUCT(H119:H120,GREET1_Import_Export!$B$58:$B$59)</f>
        <v>52006.882714105755</v>
      </c>
      <c r="I125" s="294">
        <f>I124+SUMPRODUCT(I121:I122,GREET1_Import_Export!$B$51:$B$52)+SUMPRODUCT(I113:I115,GREET1_Import_Export!$B$55:$B$57)+SUMPRODUCT(I119:I120,GREET1_Import_Export!$B$58:$B$59)</f>
        <v>184633.21958024372</v>
      </c>
      <c r="J125" s="756">
        <f>J124+SUMPRODUCT(J121:J122,GREET1_Import_Export!$B$51:$B$52)+SUMPRODUCT(J113:J115,GREET1_Import_Export!$B$55:$B$57)+SUMPRODUCT(J119:J120,GREET1_Import_Export!$B$58:$B$59)</f>
        <v>907245.16909039882</v>
      </c>
    </row>
    <row r="126" spans="1:12" s="349" customFormat="1">
      <c r="A126" s="758" t="s">
        <v>1471</v>
      </c>
      <c r="C126" s="389"/>
      <c r="D126" s="389"/>
      <c r="E126" s="389"/>
      <c r="F126" s="389"/>
      <c r="G126" s="389"/>
      <c r="H126" s="389"/>
      <c r="I126" s="389"/>
      <c r="J126" s="494"/>
    </row>
    <row r="127" spans="1:12" s="349" customFormat="1">
      <c r="A127" s="347" t="s">
        <v>821</v>
      </c>
      <c r="B127" s="349">
        <f t="shared" ref="B127:B134" si="11">SUM(B93:C93)</f>
        <v>0.24799894420566984</v>
      </c>
      <c r="C127" s="349">
        <f t="shared" ref="C127:C134" si="12">SUM(D93:E93)</f>
        <v>1.7720414993401268</v>
      </c>
      <c r="D127" s="349">
        <f t="shared" ref="D127:D134" si="13">SUM(F93:G93)</f>
        <v>0.85546674133663114</v>
      </c>
      <c r="E127" s="349">
        <f t="shared" ref="E127:E134" si="14">SUM(H93:I93)</f>
        <v>1.7836036813796603</v>
      </c>
      <c r="F127" s="349">
        <f t="shared" ref="F127:F134" si="15">SUM(J93:K93)</f>
        <v>0.17714210300404989</v>
      </c>
      <c r="G127" s="349">
        <f t="shared" ref="G127:G134" si="16">SUM(L93:M93)</f>
        <v>0.23590143473222255</v>
      </c>
      <c r="H127" s="349">
        <f t="shared" ref="H127:H134" si="17">SUM(N93:O93)</f>
        <v>0.35342009818856784</v>
      </c>
      <c r="I127" s="349">
        <f t="shared" ref="I127:I134" si="18">SUM(P93:Q93)</f>
        <v>1.2547010546975668</v>
      </c>
      <c r="J127" s="494">
        <f t="shared" ref="J127:J134" si="19">SUM(B127:I127)</f>
        <v>6.6802755568844958</v>
      </c>
    </row>
    <row r="128" spans="1:12" s="349" customFormat="1">
      <c r="A128" s="347" t="s">
        <v>822</v>
      </c>
      <c r="B128" s="349">
        <f t="shared" si="11"/>
        <v>1.8308702832816139</v>
      </c>
      <c r="C128" s="349">
        <f t="shared" si="12"/>
        <v>9.5341422653260466</v>
      </c>
      <c r="D128" s="349">
        <f t="shared" si="13"/>
        <v>6.3155455764766479</v>
      </c>
      <c r="E128" s="349">
        <f t="shared" si="14"/>
        <v>8.5694282871484244</v>
      </c>
      <c r="F128" s="349">
        <f t="shared" si="15"/>
        <v>1.3077644880582957</v>
      </c>
      <c r="G128" s="349">
        <f t="shared" si="16"/>
        <v>1.7415595377556818</v>
      </c>
      <c r="H128" s="349">
        <f t="shared" si="17"/>
        <v>2.6091496371504532</v>
      </c>
      <c r="I128" s="349">
        <f t="shared" si="18"/>
        <v>9.2629219967274139</v>
      </c>
      <c r="J128" s="494">
        <f t="shared" si="19"/>
        <v>41.171382071924583</v>
      </c>
    </row>
    <row r="129" spans="1:61" s="349" customFormat="1">
      <c r="A129" s="347" t="s">
        <v>823</v>
      </c>
      <c r="B129" s="349">
        <f t="shared" si="11"/>
        <v>5.4683881628019844</v>
      </c>
      <c r="C129" s="349">
        <f t="shared" si="12"/>
        <v>16.564289017373916</v>
      </c>
      <c r="D129" s="349">
        <f t="shared" si="13"/>
        <v>18.863081119073048</v>
      </c>
      <c r="E129" s="349">
        <f t="shared" si="14"/>
        <v>10.157495729644531</v>
      </c>
      <c r="F129" s="349">
        <f t="shared" si="15"/>
        <v>3.9059915448585603</v>
      </c>
      <c r="G129" s="349">
        <f t="shared" si="16"/>
        <v>5.2016375207140833</v>
      </c>
      <c r="H129" s="349">
        <f t="shared" si="17"/>
        <v>7.7929294724251275</v>
      </c>
      <c r="I129" s="349">
        <f t="shared" si="18"/>
        <v>27.666216149989868</v>
      </c>
      <c r="J129" s="494">
        <f t="shared" si="19"/>
        <v>95.620028716881123</v>
      </c>
    </row>
    <row r="130" spans="1:61" s="496" customFormat="1">
      <c r="A130" s="347" t="s">
        <v>824</v>
      </c>
      <c r="B130" s="349">
        <f t="shared" si="11"/>
        <v>0.73009148476269392</v>
      </c>
      <c r="C130" s="349">
        <f t="shared" si="12"/>
        <v>1.1987016592542099</v>
      </c>
      <c r="D130" s="349">
        <f t="shared" si="13"/>
        <v>2.518434041515913</v>
      </c>
      <c r="E130" s="349">
        <f t="shared" si="14"/>
        <v>4.3574143259604216E-2</v>
      </c>
      <c r="F130" s="349">
        <f t="shared" si="15"/>
        <v>0.52149391768763853</v>
      </c>
      <c r="G130" s="349">
        <f t="shared" si="16"/>
        <v>0.69447726599378212</v>
      </c>
      <c r="H130" s="349">
        <f t="shared" si="17"/>
        <v>1.0404439626060691</v>
      </c>
      <c r="I130" s="349">
        <f t="shared" si="18"/>
        <v>3.6937518379020644</v>
      </c>
      <c r="J130" s="494">
        <f t="shared" si="19"/>
        <v>10.440968312981976</v>
      </c>
      <c r="K130" s="349"/>
      <c r="L130" s="349"/>
      <c r="M130" s="349"/>
      <c r="N130" s="349"/>
      <c r="O130" s="349"/>
      <c r="P130" s="349"/>
      <c r="Q130" s="349"/>
    </row>
    <row r="131" spans="1:61" s="496" customFormat="1">
      <c r="A131" s="347" t="s">
        <v>825</v>
      </c>
      <c r="B131" s="349">
        <f t="shared" si="11"/>
        <v>0.64199137765759484</v>
      </c>
      <c r="C131" s="349">
        <f t="shared" si="12"/>
        <v>1.0555449451247028</v>
      </c>
      <c r="D131" s="349">
        <f t="shared" si="13"/>
        <v>2.2145347173554666</v>
      </c>
      <c r="E131" s="349">
        <f t="shared" si="14"/>
        <v>4.0247754399806011E-2</v>
      </c>
      <c r="F131" s="349">
        <f t="shared" si="15"/>
        <v>0.45856526975542489</v>
      </c>
      <c r="G131" s="349">
        <f t="shared" si="16"/>
        <v>0.61067472508893172</v>
      </c>
      <c r="H131" s="349">
        <f t="shared" si="17"/>
        <v>0.91489363575594518</v>
      </c>
      <c r="I131" s="349">
        <f t="shared" si="18"/>
        <v>3.2480269673475179</v>
      </c>
      <c r="J131" s="494">
        <f t="shared" si="19"/>
        <v>9.1844793924853896</v>
      </c>
      <c r="K131" s="349"/>
      <c r="L131" s="349"/>
      <c r="M131" s="349"/>
      <c r="N131" s="349"/>
      <c r="O131" s="349"/>
      <c r="P131" s="349"/>
      <c r="Q131" s="349"/>
    </row>
    <row r="132" spans="1:61" s="496" customFormat="1">
      <c r="A132" s="347" t="s">
        <v>826</v>
      </c>
      <c r="B132" s="349">
        <f t="shared" si="11"/>
        <v>5.4333355363692464</v>
      </c>
      <c r="C132" s="349">
        <f t="shared" si="12"/>
        <v>9.0088707625638129</v>
      </c>
      <c r="D132" s="349">
        <f t="shared" si="13"/>
        <v>18.74216787806813</v>
      </c>
      <c r="E132" s="349">
        <f t="shared" si="14"/>
        <v>0.43850613281360329</v>
      </c>
      <c r="F132" s="349">
        <f t="shared" si="15"/>
        <v>3.8809539545494616</v>
      </c>
      <c r="G132" s="349">
        <f t="shared" si="16"/>
        <v>5.1682947784975761</v>
      </c>
      <c r="H132" s="349">
        <f t="shared" si="17"/>
        <v>7.7429764263938035</v>
      </c>
      <c r="I132" s="349">
        <f t="shared" si="18"/>
        <v>27.488874397604818</v>
      </c>
      <c r="J132" s="494">
        <f t="shared" si="19"/>
        <v>77.903979866860453</v>
      </c>
      <c r="K132" s="349"/>
      <c r="L132" s="349"/>
      <c r="M132" s="349"/>
      <c r="N132" s="349"/>
      <c r="O132" s="349"/>
      <c r="P132" s="349"/>
      <c r="Q132" s="349"/>
    </row>
    <row r="133" spans="1:61" s="496" customFormat="1">
      <c r="A133" s="347" t="s">
        <v>827</v>
      </c>
      <c r="B133" s="349">
        <f t="shared" si="11"/>
        <v>3.3085616671073396E-2</v>
      </c>
      <c r="C133" s="349">
        <f t="shared" si="12"/>
        <v>5.7984562531595216E-2</v>
      </c>
      <c r="D133" s="349">
        <f t="shared" si="13"/>
        <v>0.11412808538105459</v>
      </c>
      <c r="E133" s="349">
        <f t="shared" si="14"/>
        <v>6.721605665610096E-3</v>
      </c>
      <c r="F133" s="349">
        <f t="shared" si="15"/>
        <v>2.3632583336481001E-2</v>
      </c>
      <c r="G133" s="349">
        <f t="shared" si="16"/>
        <v>3.1471684150533238E-2</v>
      </c>
      <c r="H133" s="349">
        <f t="shared" si="17"/>
        <v>4.7149885778637705E-2</v>
      </c>
      <c r="I133" s="349">
        <f t="shared" si="18"/>
        <v>0.16739005992738465</v>
      </c>
      <c r="J133" s="494">
        <f t="shared" si="19"/>
        <v>0.48156408344236989</v>
      </c>
      <c r="K133" s="349"/>
      <c r="L133" s="349"/>
      <c r="M133" s="349"/>
      <c r="N133" s="349"/>
      <c r="O133" s="349"/>
      <c r="P133" s="349"/>
      <c r="Q133" s="349"/>
    </row>
    <row r="134" spans="1:61" s="496" customFormat="1">
      <c r="A134" s="503" t="s">
        <v>828</v>
      </c>
      <c r="B134" s="499">
        <f t="shared" si="11"/>
        <v>0.18361254526407442</v>
      </c>
      <c r="C134" s="499">
        <f t="shared" si="12"/>
        <v>0.3036745422133672</v>
      </c>
      <c r="D134" s="499">
        <f t="shared" si="13"/>
        <v>0.63336731641614519</v>
      </c>
      <c r="E134" s="499">
        <f t="shared" si="14"/>
        <v>1.3822689095852707E-2</v>
      </c>
      <c r="F134" s="499">
        <f t="shared" si="15"/>
        <v>0.13115181804576742</v>
      </c>
      <c r="G134" s="499">
        <f t="shared" si="16"/>
        <v>0.17465583573899762</v>
      </c>
      <c r="H134" s="499">
        <f t="shared" si="17"/>
        <v>0.26166387112545797</v>
      </c>
      <c r="I134" s="499">
        <f t="shared" si="18"/>
        <v>0.92895094749871876</v>
      </c>
      <c r="J134" s="492">
        <f t="shared" si="19"/>
        <v>2.6308995653983809</v>
      </c>
    </row>
    <row r="135" spans="1:61" s="496" customFormat="1"/>
    <row r="136" spans="1:61" s="496" customFormat="1" ht="15">
      <c r="A136" s="607" t="s">
        <v>1472</v>
      </c>
    </row>
    <row r="137" spans="1:61" s="496" customFormat="1">
      <c r="A137" s="608" t="s">
        <v>1473</v>
      </c>
    </row>
    <row r="138" spans="1:61" s="496" customFormat="1" ht="89.25">
      <c r="A138" s="1714"/>
      <c r="B138" s="1672" t="s">
        <v>1474</v>
      </c>
      <c r="C138" s="1672" t="s">
        <v>1475</v>
      </c>
      <c r="D138" s="1672" t="s">
        <v>1476</v>
      </c>
      <c r="E138" s="1672" t="s">
        <v>1477</v>
      </c>
      <c r="F138" s="1672" t="s">
        <v>1478</v>
      </c>
      <c r="G138" s="1672" t="s">
        <v>281</v>
      </c>
      <c r="H138" s="1672" t="s">
        <v>344</v>
      </c>
      <c r="I138" s="1672" t="s">
        <v>1479</v>
      </c>
      <c r="J138" s="1672" t="s">
        <v>1480</v>
      </c>
      <c r="K138" s="1672" t="s">
        <v>1481</v>
      </c>
      <c r="L138" s="1672" t="s">
        <v>1482</v>
      </c>
      <c r="M138" s="1672" t="s">
        <v>1483</v>
      </c>
      <c r="N138" s="1672" t="s">
        <v>1484</v>
      </c>
      <c r="O138" s="1672" t="s">
        <v>364</v>
      </c>
      <c r="P138" s="1672" t="s">
        <v>365</v>
      </c>
      <c r="Q138" s="1672" t="s">
        <v>1485</v>
      </c>
      <c r="R138" s="1672" t="s">
        <v>1486</v>
      </c>
      <c r="S138" s="1672" t="s">
        <v>1487</v>
      </c>
      <c r="T138" s="1672" t="s">
        <v>1178</v>
      </c>
      <c r="U138" s="1672" t="s">
        <v>1488</v>
      </c>
      <c r="V138" s="1672" t="s">
        <v>1489</v>
      </c>
      <c r="W138" s="1672" t="s">
        <v>1490</v>
      </c>
      <c r="X138" s="1672" t="s">
        <v>1491</v>
      </c>
      <c r="Y138" s="1672" t="s">
        <v>1492</v>
      </c>
      <c r="Z138" s="1672" t="s">
        <v>1493</v>
      </c>
      <c r="AA138" s="1672" t="s">
        <v>1494</v>
      </c>
      <c r="AB138" s="1672" t="s">
        <v>1495</v>
      </c>
      <c r="AC138" s="1672" t="s">
        <v>1496</v>
      </c>
      <c r="AD138" s="1672" t="s">
        <v>1497</v>
      </c>
      <c r="AE138" s="1672" t="s">
        <v>1498</v>
      </c>
      <c r="AF138" s="1672" t="s">
        <v>1474</v>
      </c>
      <c r="AG138" s="1672" t="s">
        <v>1475</v>
      </c>
      <c r="AH138" s="1672" t="s">
        <v>1476</v>
      </c>
      <c r="AI138" s="1672" t="s">
        <v>1477</v>
      </c>
      <c r="AJ138" s="1672" t="s">
        <v>1478</v>
      </c>
      <c r="AK138" s="1672" t="s">
        <v>281</v>
      </c>
      <c r="AL138" s="1672" t="s">
        <v>344</v>
      </c>
      <c r="AM138" s="1672" t="s">
        <v>1479</v>
      </c>
      <c r="AN138" s="1672" t="s">
        <v>1480</v>
      </c>
      <c r="AO138" s="1672" t="s">
        <v>1481</v>
      </c>
      <c r="AP138" s="1672" t="s">
        <v>1482</v>
      </c>
      <c r="AQ138" s="1672" t="s">
        <v>1483</v>
      </c>
      <c r="AR138" s="1672" t="s">
        <v>1484</v>
      </c>
      <c r="AS138" s="1672" t="s">
        <v>364</v>
      </c>
      <c r="AT138" s="1672" t="s">
        <v>365</v>
      </c>
      <c r="AU138" s="1672" t="s">
        <v>1485</v>
      </c>
      <c r="AV138" s="1672" t="s">
        <v>1486</v>
      </c>
      <c r="AW138" s="1672" t="s">
        <v>1487</v>
      </c>
      <c r="AX138" s="1672" t="s">
        <v>1178</v>
      </c>
      <c r="AY138" s="1672" t="s">
        <v>1488</v>
      </c>
      <c r="AZ138" s="1672" t="s">
        <v>1489</v>
      </c>
      <c r="BA138" s="1672" t="s">
        <v>1490</v>
      </c>
      <c r="BB138" s="1672" t="s">
        <v>1491</v>
      </c>
      <c r="BC138" s="1672" t="s">
        <v>1492</v>
      </c>
      <c r="BD138" s="1672" t="s">
        <v>1493</v>
      </c>
      <c r="BE138" s="1672" t="s">
        <v>1494</v>
      </c>
      <c r="BF138" s="1672" t="s">
        <v>1495</v>
      </c>
      <c r="BG138" s="1672" t="s">
        <v>1496</v>
      </c>
      <c r="BH138" s="1672" t="s">
        <v>1497</v>
      </c>
      <c r="BI138" s="1135" t="s">
        <v>1498</v>
      </c>
    </row>
    <row r="139" spans="1:61" s="496" customFormat="1">
      <c r="A139" s="797" t="s">
        <v>1499</v>
      </c>
      <c r="B139" s="618" t="s">
        <v>846</v>
      </c>
      <c r="C139" s="618" t="s">
        <v>846</v>
      </c>
      <c r="D139" s="618" t="s">
        <v>846</v>
      </c>
      <c r="E139" s="618" t="s">
        <v>846</v>
      </c>
      <c r="F139" s="618" t="s">
        <v>846</v>
      </c>
      <c r="G139" s="618" t="s">
        <v>846</v>
      </c>
      <c r="H139" s="618" t="s">
        <v>846</v>
      </c>
      <c r="I139" s="618" t="s">
        <v>846</v>
      </c>
      <c r="J139" s="618" t="s">
        <v>846</v>
      </c>
      <c r="K139" s="618" t="s">
        <v>846</v>
      </c>
      <c r="L139" s="618" t="s">
        <v>846</v>
      </c>
      <c r="M139" s="618" t="s">
        <v>846</v>
      </c>
      <c r="N139" s="618" t="s">
        <v>846</v>
      </c>
      <c r="O139" s="618" t="s">
        <v>846</v>
      </c>
      <c r="P139" s="618" t="s">
        <v>846</v>
      </c>
      <c r="Q139" s="618" t="s">
        <v>846</v>
      </c>
      <c r="R139" s="618" t="s">
        <v>846</v>
      </c>
      <c r="S139" s="618" t="s">
        <v>846</v>
      </c>
      <c r="T139" s="618" t="s">
        <v>846</v>
      </c>
      <c r="U139" s="618" t="s">
        <v>846</v>
      </c>
      <c r="V139" s="618" t="s">
        <v>846</v>
      </c>
      <c r="W139" s="618" t="s">
        <v>846</v>
      </c>
      <c r="X139" s="618" t="s">
        <v>846</v>
      </c>
      <c r="Y139" s="618" t="s">
        <v>846</v>
      </c>
      <c r="Z139" s="618" t="s">
        <v>846</v>
      </c>
      <c r="AA139" s="618" t="s">
        <v>846</v>
      </c>
      <c r="AB139" s="618" t="s">
        <v>846</v>
      </c>
      <c r="AC139" s="618" t="s">
        <v>846</v>
      </c>
      <c r="AD139" s="618" t="s">
        <v>846</v>
      </c>
      <c r="AE139" s="618" t="s">
        <v>846</v>
      </c>
      <c r="AF139" s="618" t="s">
        <v>845</v>
      </c>
      <c r="AG139" s="618" t="s">
        <v>845</v>
      </c>
      <c r="AH139" s="618" t="s">
        <v>845</v>
      </c>
      <c r="AI139" s="618" t="s">
        <v>845</v>
      </c>
      <c r="AJ139" s="618" t="s">
        <v>845</v>
      </c>
      <c r="AK139" s="618" t="s">
        <v>845</v>
      </c>
      <c r="AL139" s="618" t="s">
        <v>845</v>
      </c>
      <c r="AM139" s="618" t="s">
        <v>845</v>
      </c>
      <c r="AN139" s="618" t="s">
        <v>845</v>
      </c>
      <c r="AO139" s="618" t="s">
        <v>845</v>
      </c>
      <c r="AP139" s="618" t="s">
        <v>845</v>
      </c>
      <c r="AQ139" s="618" t="s">
        <v>845</v>
      </c>
      <c r="AR139" s="618" t="s">
        <v>845</v>
      </c>
      <c r="AS139" s="618" t="s">
        <v>845</v>
      </c>
      <c r="AT139" s="618" t="s">
        <v>845</v>
      </c>
      <c r="AU139" s="618" t="s">
        <v>845</v>
      </c>
      <c r="AV139" s="618" t="s">
        <v>845</v>
      </c>
      <c r="AW139" s="618" t="s">
        <v>845</v>
      </c>
      <c r="AX139" s="618" t="s">
        <v>845</v>
      </c>
      <c r="AY139" s="618" t="s">
        <v>845</v>
      </c>
      <c r="AZ139" s="618" t="s">
        <v>845</v>
      </c>
      <c r="BA139" s="618" t="s">
        <v>845</v>
      </c>
      <c r="BB139" s="618" t="s">
        <v>845</v>
      </c>
      <c r="BC139" s="618" t="s">
        <v>845</v>
      </c>
      <c r="BD139" s="618" t="s">
        <v>845</v>
      </c>
      <c r="BE139" s="618" t="s">
        <v>845</v>
      </c>
      <c r="BF139" s="618" t="s">
        <v>845</v>
      </c>
      <c r="BG139" s="618" t="s">
        <v>845</v>
      </c>
      <c r="BH139" s="618" t="s">
        <v>845</v>
      </c>
      <c r="BI139" s="710" t="s">
        <v>845</v>
      </c>
    </row>
    <row r="140" spans="1:61" s="496" customFormat="1">
      <c r="A140" s="494" t="s">
        <v>816</v>
      </c>
      <c r="B140" s="349">
        <f t="shared" ref="B140:K142" ca="1" si="20">AF140/2000</f>
        <v>8.7196764684724772E-4</v>
      </c>
      <c r="C140" s="349">
        <f t="shared" ca="1" si="20"/>
        <v>8.7196764684724772E-4</v>
      </c>
      <c r="D140" s="349">
        <f t="shared" ca="1" si="20"/>
        <v>8.7196764684724772E-4</v>
      </c>
      <c r="E140" s="349">
        <f t="shared" ca="1" si="20"/>
        <v>2.8302339573200515E-3</v>
      </c>
      <c r="F140" s="349">
        <f t="shared" ca="1" si="20"/>
        <v>2.8302339573200515E-3</v>
      </c>
      <c r="G140" s="349">
        <f t="shared" ca="1" si="20"/>
        <v>1.1700611895443606E-2</v>
      </c>
      <c r="H140" s="349">
        <f t="shared" si="20"/>
        <v>1.9756499593268181E-2</v>
      </c>
      <c r="I140" s="349">
        <f t="shared" ca="1" si="20"/>
        <v>8.7196764684724793E-4</v>
      </c>
      <c r="J140" s="349">
        <f t="shared" ca="1" si="20"/>
        <v>8.7196764684724793E-4</v>
      </c>
      <c r="K140" s="349">
        <f t="shared" ca="1" si="20"/>
        <v>3.5988851858332503E-3</v>
      </c>
      <c r="L140" s="349">
        <f t="shared" ref="L140:U142" ca="1" si="21">AP140/2000</f>
        <v>8.7196764684724793E-4</v>
      </c>
      <c r="M140" s="349">
        <f t="shared" ca="1" si="21"/>
        <v>8.7196764684724793E-4</v>
      </c>
      <c r="N140" s="349">
        <f t="shared" ca="1" si="21"/>
        <v>3.5988851858332503E-3</v>
      </c>
      <c r="O140" s="349">
        <f t="shared" ca="1" si="21"/>
        <v>5.1737915311429331E-3</v>
      </c>
      <c r="P140" s="349">
        <f t="shared" ca="1" si="21"/>
        <v>5.1737915311429331E-3</v>
      </c>
      <c r="Q140" s="349">
        <f t="shared" si="21"/>
        <v>2.1343115748556703E-3</v>
      </c>
      <c r="R140" s="349">
        <f t="shared" si="21"/>
        <v>1.0029426172139236E-3</v>
      </c>
      <c r="S140" s="349">
        <f t="shared" si="21"/>
        <v>3.4795344152096412E-3</v>
      </c>
      <c r="T140" s="349">
        <f t="shared" si="21"/>
        <v>5.7225572411932959E-3</v>
      </c>
      <c r="U140" s="349">
        <f t="shared" si="21"/>
        <v>5.3784855374132395E-3</v>
      </c>
      <c r="V140" s="349">
        <f t="shared" ref="V140:AE142" si="22">AZ140/2000</f>
        <v>2.1065503310232353E-3</v>
      </c>
      <c r="W140" s="349">
        <f t="shared" si="22"/>
        <v>4.4029899104311232E-3</v>
      </c>
      <c r="X140" s="349">
        <f t="shared" si="22"/>
        <v>1.6257910088222959E-3</v>
      </c>
      <c r="Y140" s="349">
        <f t="shared" si="22"/>
        <v>1.6598812995621129E-3</v>
      </c>
      <c r="Z140" s="349">
        <f t="shared" si="22"/>
        <v>2.202369046825324E-3</v>
      </c>
      <c r="AA140" s="349">
        <f t="shared" si="22"/>
        <v>6.3068827627431471E-3</v>
      </c>
      <c r="AB140" s="349">
        <f t="shared" si="22"/>
        <v>3.9747369385790829E-3</v>
      </c>
      <c r="AC140" s="349">
        <f t="shared" si="22"/>
        <v>2.8581668781198365E-3</v>
      </c>
      <c r="AD140" s="349">
        <f t="shared" si="22"/>
        <v>4.4029899104311224E-3</v>
      </c>
      <c r="AE140" s="349">
        <f t="shared" si="22"/>
        <v>3.9747369385790829E-3</v>
      </c>
      <c r="AF140" s="349">
        <f ca="1">Steel!H108</f>
        <v>1.7439352936944954</v>
      </c>
      <c r="AG140" s="349">
        <f ca="1">Steel!H108</f>
        <v>1.7439352936944954</v>
      </c>
      <c r="AH140" s="349">
        <f ca="1">Steel!H108</f>
        <v>1.7439352936944954</v>
      </c>
      <c r="AI140" s="349">
        <f ca="1">Steel!$D$140*Steel!C142+Steel!D142</f>
        <v>5.6604679146401029</v>
      </c>
      <c r="AJ140" s="349">
        <f ca="1">Steel!$D$208*Steel!C210+Steel!D210</f>
        <v>5.6604679146401029</v>
      </c>
      <c r="AK140" s="349">
        <f ca="1">'C.Iron'!C62+'C.Iron'!E62</f>
        <v>23.401223790887212</v>
      </c>
      <c r="AL140" s="349">
        <f>'C.Iron'!D62+'C.Iron'!E62</f>
        <v>39.512999186536362</v>
      </c>
      <c r="AM140" s="349">
        <f ca="1">W.Al!$I$122*W.Al!I126</f>
        <v>1.7439352936944958</v>
      </c>
      <c r="AN140" s="349">
        <f ca="1">W.Al!$I$123*W.Al!I126</f>
        <v>1.7439352936944958</v>
      </c>
      <c r="AO140" s="349">
        <f ca="1">W.Al!$J$124*W.Al!J126</f>
        <v>7.1977703716665005</v>
      </c>
      <c r="AP140" s="349">
        <f ca="1">W.Al!$F$160*W.Al!F164</f>
        <v>1.7439352936944958</v>
      </c>
      <c r="AQ140" s="349">
        <f ca="1">W.Al!$F$161*W.Al!F164</f>
        <v>1.7439352936944958</v>
      </c>
      <c r="AR140" s="349">
        <f ca="1">W.Al!$G$162*W.Al!G164</f>
        <v>7.1977703716665005</v>
      </c>
      <c r="AS140" s="349">
        <f ca="1">'C.Al'!$G$113*'C.Al'!G115+'C.Al'!$H$113*'C.Al'!H115</f>
        <v>10.347583062285866</v>
      </c>
      <c r="AT140" s="349">
        <f ca="1">'C.Al'!$D$149*'C.Al'!D151+'C.Al'!$E$149*'C.Al'!E151</f>
        <v>10.347583062285866</v>
      </c>
      <c r="AU140" s="349">
        <f>Copper!D63</f>
        <v>4.2686231497113409</v>
      </c>
      <c r="AV140" s="349">
        <f>Glass!B71</f>
        <v>2.0058852344278471</v>
      </c>
      <c r="AW140" s="349">
        <f>Vehi_Plastics!B$19*Vehi_Plastics!X105</f>
        <v>6.9590688304192829</v>
      </c>
      <c r="AX140" s="349">
        <f>Vehi_Plastics!C$19*Vehi_Plastics!AA105</f>
        <v>11.445114482386591</v>
      </c>
      <c r="AY140" s="349">
        <f>Vehi_Plastics!D$19*Vehi_Plastics!AB105</f>
        <v>10.756971074826479</v>
      </c>
      <c r="AZ140" s="349">
        <f>Vehi_Plastics!E$19*Vehi_Plastics!AC105</f>
        <v>4.2131006620464708</v>
      </c>
      <c r="BA140" s="349">
        <f>Vehi_Plastics!F$19*Vehi_Plastics!AD105</f>
        <v>8.8059798208622464</v>
      </c>
      <c r="BB140" s="349">
        <f>Vehi_Plastics!G$19*Vehi_Plastics!AE105</f>
        <v>3.251582017644592</v>
      </c>
      <c r="BC140" s="349">
        <f>Vehi_Plastics!H$19*Vehi_Plastics!AF105</f>
        <v>3.3197625991242261</v>
      </c>
      <c r="BD140" s="349">
        <f>Vehi_Plastics!I$19*Vehi_Plastics!AG105</f>
        <v>4.4047380936506482</v>
      </c>
      <c r="BE140" s="349">
        <f>Vehi_Plastics!J$19*Vehi_Plastics!AH105</f>
        <v>12.613765525486293</v>
      </c>
      <c r="BF140" s="349">
        <f>Vehi_Plastics!K$19*Vehi_Plastics!AI105</f>
        <v>7.949473877158165</v>
      </c>
      <c r="BG140" s="349">
        <f>Vehi_Plastics!L$19*Vehi_Plastics!AJ105</f>
        <v>5.7163337562396732</v>
      </c>
      <c r="BH140" s="349">
        <f>Rubber!$A$6*Rubber!C65</f>
        <v>8.8059798208622446</v>
      </c>
      <c r="BI140" s="348">
        <f>Rubber!$B$6*Rubber!D65</f>
        <v>7.949473877158165</v>
      </c>
    </row>
    <row r="141" spans="1:61" s="496" customFormat="1">
      <c r="A141" s="494" t="s">
        <v>817</v>
      </c>
      <c r="B141" s="349">
        <f t="shared" ca="1" si="20"/>
        <v>6.9061090768412028E-4</v>
      </c>
      <c r="C141" s="349">
        <f t="shared" ca="1" si="20"/>
        <v>6.9061090768412028E-4</v>
      </c>
      <c r="D141" s="349">
        <f t="shared" ca="1" si="20"/>
        <v>6.9061090768412028E-4</v>
      </c>
      <c r="E141" s="349">
        <f t="shared" ca="1" si="20"/>
        <v>2.4884500035914454E-3</v>
      </c>
      <c r="F141" s="349">
        <f t="shared" ca="1" si="20"/>
        <v>2.4884500035914454E-3</v>
      </c>
      <c r="G141" s="349">
        <f t="shared" ca="1" si="20"/>
        <v>1.1554469015862894E-2</v>
      </c>
      <c r="H141" s="349">
        <f t="shared" si="20"/>
        <v>1.9380930151683046E-2</v>
      </c>
      <c r="I141" s="349">
        <f t="shared" ca="1" si="20"/>
        <v>6.9061090768412039E-4</v>
      </c>
      <c r="J141" s="349">
        <f t="shared" ca="1" si="20"/>
        <v>6.9061090768412039E-4</v>
      </c>
      <c r="K141" s="349">
        <f t="shared" ca="1" si="20"/>
        <v>3.4627871491752808E-3</v>
      </c>
      <c r="L141" s="349">
        <f t="shared" ca="1" si="21"/>
        <v>6.9061090768412039E-4</v>
      </c>
      <c r="M141" s="349">
        <f t="shared" ca="1" si="21"/>
        <v>6.9061090768412039E-4</v>
      </c>
      <c r="N141" s="349">
        <f t="shared" ca="1" si="21"/>
        <v>3.4627871491752808E-3</v>
      </c>
      <c r="O141" s="349">
        <f t="shared" ca="1" si="21"/>
        <v>5.0567760816290159E-3</v>
      </c>
      <c r="P141" s="349">
        <f t="shared" ca="1" si="21"/>
        <v>5.0567760816290159E-3</v>
      </c>
      <c r="Q141" s="349">
        <f t="shared" si="21"/>
        <v>1.7883668205693718E-3</v>
      </c>
      <c r="R141" s="349">
        <f t="shared" si="21"/>
        <v>9.2041143988632105E-4</v>
      </c>
      <c r="S141" s="349">
        <f t="shared" si="21"/>
        <v>2.755841262568112E-3</v>
      </c>
      <c r="T141" s="349">
        <f t="shared" si="21"/>
        <v>5.3893732234284149E-3</v>
      </c>
      <c r="U141" s="349">
        <f t="shared" si="21"/>
        <v>4.2629664591391017E-3</v>
      </c>
      <c r="V141" s="349">
        <f t="shared" si="22"/>
        <v>1.6684181362122202E-3</v>
      </c>
      <c r="W141" s="349">
        <f t="shared" si="22"/>
        <v>3.9726878017364593E-3</v>
      </c>
      <c r="X141" s="349">
        <f t="shared" si="22"/>
        <v>1.2876498438526801E-3</v>
      </c>
      <c r="Y141" s="349">
        <f t="shared" si="22"/>
        <v>1.314649844043243E-3</v>
      </c>
      <c r="Z141" s="349">
        <f t="shared" si="22"/>
        <v>1.7443079361749473E-3</v>
      </c>
      <c r="AA141" s="349">
        <f t="shared" si="22"/>
        <v>4.9951417867208957E-3</v>
      </c>
      <c r="AB141" s="349">
        <f t="shared" si="22"/>
        <v>3.1480487778218825E-3</v>
      </c>
      <c r="AC141" s="349">
        <f t="shared" si="22"/>
        <v>2.2637092432820673E-3</v>
      </c>
      <c r="AD141" s="349">
        <f t="shared" si="22"/>
        <v>3.9726878017364584E-3</v>
      </c>
      <c r="AE141" s="349">
        <f t="shared" si="22"/>
        <v>3.1480487778218825E-3</v>
      </c>
      <c r="AF141" s="349">
        <f ca="1">Steel!H109</f>
        <v>1.3812218153682405</v>
      </c>
      <c r="AG141" s="349">
        <f ca="1">Steel!H109</f>
        <v>1.3812218153682405</v>
      </c>
      <c r="AH141" s="349">
        <f ca="1">Steel!H109</f>
        <v>1.3812218153682405</v>
      </c>
      <c r="AI141" s="349">
        <f ca="1">Steel!$D$140*Steel!C143+Steel!D143</f>
        <v>4.9769000071828904</v>
      </c>
      <c r="AJ141" s="349">
        <f ca="1">Steel!$D$208*Steel!C211+Steel!D211</f>
        <v>4.9769000071828904</v>
      </c>
      <c r="AK141" s="349">
        <f ca="1">'C.Iron'!C63+'C.Iron'!E63</f>
        <v>23.108938031725788</v>
      </c>
      <c r="AL141" s="349">
        <f>'C.Iron'!D63+'C.Iron'!E63</f>
        <v>38.761860303366092</v>
      </c>
      <c r="AM141" s="349">
        <f ca="1">W.Al!$I$122*W.Al!I127</f>
        <v>1.3812218153682407</v>
      </c>
      <c r="AN141" s="349">
        <f ca="1">W.Al!$I$123*W.Al!I127</f>
        <v>1.3812218153682407</v>
      </c>
      <c r="AO141" s="349">
        <f ca="1">W.Al!$J$124*W.Al!J127</f>
        <v>6.9255742983505613</v>
      </c>
      <c r="AP141" s="349">
        <f ca="1">W.Al!$F$160*W.Al!F165</f>
        <v>1.3812218153682407</v>
      </c>
      <c r="AQ141" s="349">
        <f ca="1">W.Al!$F$161*W.Al!F165</f>
        <v>1.3812218153682407</v>
      </c>
      <c r="AR141" s="349">
        <f ca="1">W.Al!$G$162*W.Al!G165</f>
        <v>6.9255742983505613</v>
      </c>
      <c r="AS141" s="349">
        <f ca="1">'C.Al'!$G$113*'C.Al'!G116+'C.Al'!$H$113*'C.Al'!H116</f>
        <v>10.113552163258031</v>
      </c>
      <c r="AT141" s="349">
        <f ca="1">'C.Al'!$D$149*'C.Al'!D152+'C.Al'!$E$149*'C.Al'!E152</f>
        <v>10.113552163258031</v>
      </c>
      <c r="AU141" s="349">
        <f>Copper!D64</f>
        <v>3.5767336411387434</v>
      </c>
      <c r="AV141" s="349">
        <f>Glass!B72</f>
        <v>1.840822879772642</v>
      </c>
      <c r="AW141" s="349">
        <f>Vehi_Plastics!B$19*Vehi_Plastics!X106</f>
        <v>5.5116825251362238</v>
      </c>
      <c r="AX141" s="349">
        <f>Vehi_Plastics!C$19*Vehi_Plastics!AA106</f>
        <v>10.778746446856831</v>
      </c>
      <c r="AY141" s="349">
        <f>Vehi_Plastics!D$19*Vehi_Plastics!AB106</f>
        <v>8.5259329182782029</v>
      </c>
      <c r="AZ141" s="349">
        <f>Vehi_Plastics!E$19*Vehi_Plastics!AC106</f>
        <v>3.3368362724244403</v>
      </c>
      <c r="BA141" s="349">
        <f>Vehi_Plastics!F$19*Vehi_Plastics!AD106</f>
        <v>7.9453756034729182</v>
      </c>
      <c r="BB141" s="349">
        <f>Vehi_Plastics!G$19*Vehi_Plastics!AE106</f>
        <v>2.57529968770536</v>
      </c>
      <c r="BC141" s="349">
        <f>Vehi_Plastics!H$19*Vehi_Plastics!AF106</f>
        <v>2.6292996880864861</v>
      </c>
      <c r="BD141" s="349">
        <f>Vehi_Plastics!I$19*Vehi_Plastics!AG106</f>
        <v>3.4886158723498948</v>
      </c>
      <c r="BE141" s="349">
        <f>Vehi_Plastics!J$19*Vehi_Plastics!AH106</f>
        <v>9.9902835734417916</v>
      </c>
      <c r="BF141" s="349">
        <f>Vehi_Plastics!K$19*Vehi_Plastics!AI106</f>
        <v>6.2960975556437653</v>
      </c>
      <c r="BG141" s="349">
        <f>Vehi_Plastics!L$19*Vehi_Plastics!AJ106</f>
        <v>4.5274184865641347</v>
      </c>
      <c r="BH141" s="349">
        <f>Rubber!$A$6*Rubber!C66</f>
        <v>7.9453756034729164</v>
      </c>
      <c r="BI141" s="348">
        <f>Rubber!$B$6*Rubber!D66</f>
        <v>6.2960975556437653</v>
      </c>
    </row>
    <row r="142" spans="1:61" s="496" customFormat="1">
      <c r="A142" s="494" t="s">
        <v>805</v>
      </c>
      <c r="B142" s="349">
        <f t="shared" ca="1" si="20"/>
        <v>2.3973974017615113E-4</v>
      </c>
      <c r="C142" s="349">
        <f t="shared" ca="1" si="20"/>
        <v>2.3973974017615113E-4</v>
      </c>
      <c r="D142" s="349">
        <f t="shared" ca="1" si="20"/>
        <v>2.3973974017615113E-4</v>
      </c>
      <c r="E142" s="349">
        <f t="shared" ca="1" si="20"/>
        <v>4.5181102575277864E-4</v>
      </c>
      <c r="F142" s="349">
        <f t="shared" ca="1" si="20"/>
        <v>4.5181102575277864E-4</v>
      </c>
      <c r="G142" s="349">
        <f t="shared" ca="1" si="20"/>
        <v>1.0842560131033555E-2</v>
      </c>
      <c r="H142" s="349">
        <f t="shared" si="20"/>
        <v>4.9645557471675501E-4</v>
      </c>
      <c r="I142" s="349">
        <f t="shared" ca="1" si="20"/>
        <v>2.3973974017615121E-4</v>
      </c>
      <c r="J142" s="349">
        <f t="shared" ca="1" si="20"/>
        <v>2.3973974017615121E-4</v>
      </c>
      <c r="K142" s="349">
        <f t="shared" ca="1" si="20"/>
        <v>1.8740749217524135E-4</v>
      </c>
      <c r="L142" s="349">
        <f t="shared" ca="1" si="21"/>
        <v>2.3973974017615121E-4</v>
      </c>
      <c r="M142" s="349">
        <f t="shared" ca="1" si="21"/>
        <v>2.3973974017615121E-4</v>
      </c>
      <c r="N142" s="349">
        <f t="shared" ca="1" si="21"/>
        <v>1.8740749217524135E-4</v>
      </c>
      <c r="O142" s="349">
        <f t="shared" ca="1" si="21"/>
        <v>1.5468072187801307E-4</v>
      </c>
      <c r="P142" s="349">
        <f t="shared" ca="1" si="21"/>
        <v>1.5468072187801307E-4</v>
      </c>
      <c r="Q142" s="349">
        <f t="shared" si="21"/>
        <v>4.633970313442268E-4</v>
      </c>
      <c r="R142" s="349">
        <f t="shared" si="21"/>
        <v>5.9986759883426247E-4</v>
      </c>
      <c r="S142" s="349">
        <f t="shared" si="21"/>
        <v>9.5666700439227237E-4</v>
      </c>
      <c r="T142" s="349">
        <f t="shared" si="21"/>
        <v>4.3985528301046804E-4</v>
      </c>
      <c r="U142" s="349">
        <f t="shared" si="21"/>
        <v>1.4746292965198359E-3</v>
      </c>
      <c r="V142" s="349">
        <f t="shared" si="22"/>
        <v>5.7917725600657092E-4</v>
      </c>
      <c r="W142" s="349">
        <f t="shared" si="22"/>
        <v>5.688240746813735E-4</v>
      </c>
      <c r="X142" s="349">
        <f t="shared" si="22"/>
        <v>4.469967612273803E-4</v>
      </c>
      <c r="Y142" s="349">
        <f t="shared" si="22"/>
        <v>4.5636958311365484E-4</v>
      </c>
      <c r="Z142" s="349">
        <f t="shared" si="22"/>
        <v>6.0552175871084321E-4</v>
      </c>
      <c r="AA142" s="349">
        <f t="shared" si="22"/>
        <v>1.7340212567845011E-3</v>
      </c>
      <c r="AB142" s="349">
        <f t="shared" si="22"/>
        <v>1.0928185287251032E-3</v>
      </c>
      <c r="AC142" s="349">
        <f t="shared" si="22"/>
        <v>7.8582753295727218E-4</v>
      </c>
      <c r="AD142" s="349">
        <f t="shared" si="22"/>
        <v>5.6882407468137339E-4</v>
      </c>
      <c r="AE142" s="349">
        <f t="shared" si="22"/>
        <v>1.0928185287251032E-3</v>
      </c>
      <c r="AF142" s="349">
        <f ca="1">Steel!H110</f>
        <v>0.47947948035230226</v>
      </c>
      <c r="AG142" s="349">
        <f ca="1">Steel!H110</f>
        <v>0.47947948035230226</v>
      </c>
      <c r="AH142" s="349">
        <f ca="1">Steel!H110</f>
        <v>0.47947948035230226</v>
      </c>
      <c r="AI142" s="349">
        <f ca="1">Steel!$D$140*Steel!C144+Steel!D144</f>
        <v>0.9036220515055573</v>
      </c>
      <c r="AJ142" s="349">
        <f ca="1">Steel!$D$208*Steel!C212+Steel!D212</f>
        <v>0.9036220515055573</v>
      </c>
      <c r="AK142" s="349">
        <f ca="1">'C.Iron'!C64+'C.Iron'!E64</f>
        <v>21.685120262067109</v>
      </c>
      <c r="AL142" s="349">
        <f>'C.Iron'!D64+'C.Iron'!E64</f>
        <v>0.99291114943351011</v>
      </c>
      <c r="AM142" s="349">
        <f ca="1">W.Al!$I$122*W.Al!I128</f>
        <v>0.47947948035230242</v>
      </c>
      <c r="AN142" s="349">
        <f ca="1">W.Al!$I$123*W.Al!I128</f>
        <v>0.47947948035230242</v>
      </c>
      <c r="AO142" s="349">
        <f ca="1">W.Al!$J$124*W.Al!J128</f>
        <v>0.37481498435048272</v>
      </c>
      <c r="AP142" s="349">
        <f ca="1">W.Al!$F$160*W.Al!F166</f>
        <v>0.47947948035230242</v>
      </c>
      <c r="AQ142" s="349">
        <f ca="1">W.Al!$F$161*W.Al!F166</f>
        <v>0.47947948035230242</v>
      </c>
      <c r="AR142" s="349">
        <f ca="1">W.Al!$G$162*W.Al!G166</f>
        <v>0.37481498435048272</v>
      </c>
      <c r="AS142" s="349">
        <f ca="1">'C.Al'!$G$113*'C.Al'!G117+'C.Al'!$H$113*'C.Al'!H117</f>
        <v>0.30936144375602614</v>
      </c>
      <c r="AT142" s="349">
        <f ca="1">'C.Al'!$D$149*'C.Al'!D153+'C.Al'!$E$149*'C.Al'!E153</f>
        <v>0.30936144375602614</v>
      </c>
      <c r="AU142" s="349">
        <f>Copper!D65</f>
        <v>0.92679406268845355</v>
      </c>
      <c r="AV142" s="349">
        <f>Glass!B73</f>
        <v>1.1997351976685249</v>
      </c>
      <c r="AW142" s="349">
        <f>Vehi_Plastics!B$19*Vehi_Plastics!X107</f>
        <v>1.9133340087845447</v>
      </c>
      <c r="AX142" s="349">
        <f>Vehi_Plastics!C$19*Vehi_Plastics!AA107</f>
        <v>0.87971056602093611</v>
      </c>
      <c r="AY142" s="349">
        <f>Vehi_Plastics!D$19*Vehi_Plastics!AB107</f>
        <v>2.949258593039672</v>
      </c>
      <c r="AZ142" s="349">
        <f>Vehi_Plastics!E$19*Vehi_Plastics!AC107</f>
        <v>1.1583545120131418</v>
      </c>
      <c r="BA142" s="349">
        <f>Vehi_Plastics!F$19*Vehi_Plastics!AD107</f>
        <v>1.1376481493627471</v>
      </c>
      <c r="BB142" s="349">
        <f>Vehi_Plastics!G$19*Vehi_Plastics!AE107</f>
        <v>0.8939935224547606</v>
      </c>
      <c r="BC142" s="349">
        <f>Vehi_Plastics!H$19*Vehi_Plastics!AF107</f>
        <v>0.91273916622730966</v>
      </c>
      <c r="BD142" s="349">
        <f>Vehi_Plastics!I$19*Vehi_Plastics!AG107</f>
        <v>1.2110435174216865</v>
      </c>
      <c r="BE142" s="349">
        <f>Vehi_Plastics!J$19*Vehi_Plastics!AH107</f>
        <v>3.4680425135690021</v>
      </c>
      <c r="BF142" s="349">
        <f>Vehi_Plastics!K$19*Vehi_Plastics!AI107</f>
        <v>2.1856370574502062</v>
      </c>
      <c r="BG142" s="349">
        <f>Vehi_Plastics!L$19*Vehi_Plastics!AJ107</f>
        <v>1.5716550659145443</v>
      </c>
      <c r="BH142" s="349">
        <f>Rubber!$A$6*Rubber!C67</f>
        <v>1.1376481493627468</v>
      </c>
      <c r="BI142" s="348">
        <f>Rubber!$B$6*Rubber!D67</f>
        <v>2.1856370574502062</v>
      </c>
    </row>
    <row r="143" spans="1:61" s="496" customFormat="1">
      <c r="A143" s="494" t="s">
        <v>804</v>
      </c>
      <c r="B143" s="349">
        <f t="shared" ref="B143:AE143" ca="1" si="23">B141-B142-B144</f>
        <v>4.4337099357666452E-4</v>
      </c>
      <c r="C143" s="349">
        <f t="shared" ca="1" si="23"/>
        <v>4.4337099357666452E-4</v>
      </c>
      <c r="D143" s="349">
        <f t="shared" ca="1" si="23"/>
        <v>4.4337099357666452E-4</v>
      </c>
      <c r="E143" s="349">
        <f t="shared" ca="1" si="23"/>
        <v>2.018208625360042E-3</v>
      </c>
      <c r="F143" s="349">
        <f t="shared" ca="1" si="23"/>
        <v>2.018208625360042E-3</v>
      </c>
      <c r="G143" s="349">
        <f t="shared" ca="1" si="23"/>
        <v>5.6464859267675864E-4</v>
      </c>
      <c r="H143" s="349">
        <f t="shared" si="23"/>
        <v>1.8803977717418992E-2</v>
      </c>
      <c r="I143" s="349">
        <f t="shared" ca="1" si="23"/>
        <v>4.4337099357666458E-4</v>
      </c>
      <c r="J143" s="349">
        <f t="shared" ca="1" si="23"/>
        <v>4.4337099357666458E-4</v>
      </c>
      <c r="K143" s="349">
        <f t="shared" ca="1" si="23"/>
        <v>3.2577212060282829E-3</v>
      </c>
      <c r="L143" s="349">
        <f t="shared" ca="1" si="23"/>
        <v>4.4337099357666458E-4</v>
      </c>
      <c r="M143" s="349">
        <f t="shared" ca="1" si="23"/>
        <v>4.4337099357666458E-4</v>
      </c>
      <c r="N143" s="349">
        <f t="shared" ca="1" si="23"/>
        <v>3.2577212060282829E-3</v>
      </c>
      <c r="O143" s="349">
        <f t="shared" ca="1" si="23"/>
        <v>4.8805679497742772E-3</v>
      </c>
      <c r="P143" s="349">
        <f t="shared" ca="1" si="23"/>
        <v>4.8805679497742772E-3</v>
      </c>
      <c r="Q143" s="349">
        <f t="shared" si="23"/>
        <v>8.7394363769148367E-4</v>
      </c>
      <c r="R143" s="349">
        <f t="shared" si="23"/>
        <v>2.1094378198197508E-4</v>
      </c>
      <c r="S143" s="349">
        <f t="shared" si="23"/>
        <v>1.7692452655023257E-3</v>
      </c>
      <c r="T143" s="349">
        <f t="shared" si="23"/>
        <v>2.8700052456866344E-3</v>
      </c>
      <c r="U143" s="349">
        <f t="shared" si="23"/>
        <v>2.7365271812680014E-3</v>
      </c>
      <c r="V143" s="349">
        <f t="shared" si="23"/>
        <v>1.0711215222973056E-3</v>
      </c>
      <c r="W143" s="349">
        <f t="shared" si="23"/>
        <v>3.3776209904066378E-3</v>
      </c>
      <c r="X143" s="349">
        <f t="shared" si="23"/>
        <v>8.2666894527088437E-4</v>
      </c>
      <c r="Y143" s="349">
        <f t="shared" si="23"/>
        <v>8.4400289812025834E-4</v>
      </c>
      <c r="Z143" s="349">
        <f t="shared" si="23"/>
        <v>1.1198426410016725E-3</v>
      </c>
      <c r="AA143" s="349">
        <f t="shared" si="23"/>
        <v>3.2068722813276855E-3</v>
      </c>
      <c r="AB143" s="349">
        <f t="shared" si="23"/>
        <v>2.0210418035984724E-3</v>
      </c>
      <c r="AC143" s="349">
        <f t="shared" si="23"/>
        <v>1.453297370770339E-3</v>
      </c>
      <c r="AD143" s="349">
        <f t="shared" si="23"/>
        <v>3.3776209904066369E-3</v>
      </c>
      <c r="AE143" s="349">
        <f t="shared" si="23"/>
        <v>2.0210418035984724E-3</v>
      </c>
      <c r="AF143" s="349">
        <f ca="1">Steel!H111</f>
        <v>0.88674198715332908</v>
      </c>
      <c r="AG143" s="349">
        <f ca="1">Steel!H111</f>
        <v>0.88674198715332908</v>
      </c>
      <c r="AH143" s="349">
        <f ca="1">Steel!H111</f>
        <v>0.88674198715332908</v>
      </c>
      <c r="AI143" s="349">
        <f ca="1">Steel!$D$140*Steel!C145+Steel!D145</f>
        <v>4.0364172507200839</v>
      </c>
      <c r="AJ143" s="349">
        <f ca="1">Steel!$D$208*Steel!C213+Steel!D213</f>
        <v>4.0364172507200839</v>
      </c>
      <c r="AK143" s="349">
        <f ca="1">'C.Iron'!C65+'C.Iron'!E65</f>
        <v>1.1292971853535188</v>
      </c>
      <c r="AL143" s="349">
        <f>'C.Iron'!D65+'C.Iron'!E65</f>
        <v>37.607955434837983</v>
      </c>
      <c r="AM143" s="349">
        <f ca="1">W.Al!$I$122*W.Al!I129</f>
        <v>0.88674198715332919</v>
      </c>
      <c r="AN143" s="349">
        <f ca="1">W.Al!$I$123*W.Al!I129</f>
        <v>0.88674198715332919</v>
      </c>
      <c r="AO143" s="349">
        <f ca="1">W.Al!$J$124*W.Al!J129</f>
        <v>6.5154424120565659</v>
      </c>
      <c r="AP143" s="349">
        <f ca="1">W.Al!$F$160*W.Al!F167</f>
        <v>0.88674198715332919</v>
      </c>
      <c r="AQ143" s="349">
        <f ca="1">W.Al!$F$161*W.Al!F167</f>
        <v>0.88674198715332919</v>
      </c>
      <c r="AR143" s="349">
        <f ca="1">W.Al!$G$162*W.Al!G167</f>
        <v>6.5154424120565659</v>
      </c>
      <c r="AS143" s="349">
        <f ca="1">'C.Al'!$G$113*'C.Al'!G118+'C.Al'!$H$113*'C.Al'!H118</f>
        <v>9.7611358995485542</v>
      </c>
      <c r="AT143" s="349">
        <f ca="1">'C.Al'!$D$149*'C.Al'!D154+'C.Al'!$E$149*'C.Al'!E154</f>
        <v>9.7611358995485542</v>
      </c>
      <c r="AU143" s="349">
        <f>Copper!D66</f>
        <v>1.7478872753829671</v>
      </c>
      <c r="AV143" s="349">
        <f>Glass!B74</f>
        <v>0.42188756396395016</v>
      </c>
      <c r="AW143" s="349">
        <f>Vehi_Plastics!B$19*Vehi_Plastics!X108</f>
        <v>3.5384905310046504</v>
      </c>
      <c r="AX143" s="349">
        <f>Vehi_Plastics!C$19*Vehi_Plastics!AA108</f>
        <v>5.7400104913732681</v>
      </c>
      <c r="AY143" s="349">
        <f>Vehi_Plastics!D$19*Vehi_Plastics!AB108</f>
        <v>5.4730543625360015</v>
      </c>
      <c r="AZ143" s="349">
        <f>Vehi_Plastics!E$19*Vehi_Plastics!AC108</f>
        <v>2.1422430445946108</v>
      </c>
      <c r="BA143" s="349">
        <f>Vehi_Plastics!F$19*Vehi_Plastics!AD108</f>
        <v>6.7552419808132749</v>
      </c>
      <c r="BB143" s="349">
        <f>Vehi_Plastics!G$19*Vehi_Plastics!AE108</f>
        <v>1.6533378905417682</v>
      </c>
      <c r="BC143" s="349">
        <f>Vehi_Plastics!H$19*Vehi_Plastics!AF108</f>
        <v>1.6880057962405166</v>
      </c>
      <c r="BD143" s="349">
        <f>Vehi_Plastics!I$19*Vehi_Plastics!AG108</f>
        <v>2.2396852820033448</v>
      </c>
      <c r="BE143" s="349">
        <f>Vehi_Plastics!J$19*Vehi_Plastics!AH108</f>
        <v>6.4137445626553724</v>
      </c>
      <c r="BF143" s="349">
        <f>Vehi_Plastics!K$19*Vehi_Plastics!AI108</f>
        <v>4.042083607196945</v>
      </c>
      <c r="BG143" s="349">
        <f>Vehi_Plastics!L$19*Vehi_Plastics!AJ108</f>
        <v>2.9065947415406788</v>
      </c>
      <c r="BH143" s="349">
        <f>Rubber!$A$6*Rubber!C68</f>
        <v>6.7552419808132731</v>
      </c>
      <c r="BI143" s="348">
        <f>Rubber!$B$6*Rubber!D68</f>
        <v>4.042083607196945</v>
      </c>
    </row>
    <row r="144" spans="1:61" s="496" customFormat="1">
      <c r="A144" s="504" t="s">
        <v>818</v>
      </c>
      <c r="B144" s="505">
        <f t="shared" ref="B144:K145" ca="1" si="24">AF144/2000</f>
        <v>7.5001739313045865E-6</v>
      </c>
      <c r="C144" s="505">
        <f t="shared" ca="1" si="24"/>
        <v>7.5001739313045865E-6</v>
      </c>
      <c r="D144" s="505">
        <f t="shared" ca="1" si="24"/>
        <v>7.5001739313045865E-6</v>
      </c>
      <c r="E144" s="505">
        <f t="shared" ca="1" si="24"/>
        <v>1.8430352478624533E-5</v>
      </c>
      <c r="F144" s="505">
        <f t="shared" ca="1" si="24"/>
        <v>1.8430352478624533E-5</v>
      </c>
      <c r="G144" s="505">
        <f t="shared" ca="1" si="24"/>
        <v>1.4726029215258036E-4</v>
      </c>
      <c r="H144" s="505">
        <f t="shared" si="24"/>
        <v>8.0496859547297416E-5</v>
      </c>
      <c r="I144" s="505">
        <f t="shared" ca="1" si="24"/>
        <v>7.5001739313045882E-6</v>
      </c>
      <c r="J144" s="505">
        <f t="shared" ca="1" si="24"/>
        <v>7.5001739313045882E-6</v>
      </c>
      <c r="K144" s="505">
        <f t="shared" ca="1" si="24"/>
        <v>1.765845097175652E-5</v>
      </c>
      <c r="L144" s="505">
        <f t="shared" ref="L144:U145" ca="1" si="25">AP144/2000</f>
        <v>7.5001739313045882E-6</v>
      </c>
      <c r="M144" s="505">
        <f t="shared" ca="1" si="25"/>
        <v>7.5001739313045882E-6</v>
      </c>
      <c r="N144" s="505">
        <f t="shared" ca="1" si="25"/>
        <v>1.765845097175652E-5</v>
      </c>
      <c r="O144" s="505">
        <f t="shared" ca="1" si="25"/>
        <v>2.1527409976725463E-5</v>
      </c>
      <c r="P144" s="505">
        <f t="shared" ca="1" si="25"/>
        <v>2.1527409976725463E-5</v>
      </c>
      <c r="Q144" s="505">
        <f t="shared" si="25"/>
        <v>4.5102615153366131E-4</v>
      </c>
      <c r="R144" s="505">
        <f t="shared" si="25"/>
        <v>1.0960005907008349E-4</v>
      </c>
      <c r="S144" s="505">
        <f t="shared" si="25"/>
        <v>2.9928992673513975E-5</v>
      </c>
      <c r="T144" s="505">
        <f t="shared" si="25"/>
        <v>2.0795126947313128E-3</v>
      </c>
      <c r="U144" s="505">
        <f t="shared" si="25"/>
        <v>5.1809981351264606E-5</v>
      </c>
      <c r="V144" s="505">
        <f t="shared" ref="V144:AE145" si="26">AZ144/2000</f>
        <v>1.8119357908343686E-5</v>
      </c>
      <c r="W144" s="505">
        <f t="shared" si="26"/>
        <v>2.6242736648448225E-5</v>
      </c>
      <c r="X144" s="505">
        <f t="shared" si="26"/>
        <v>1.3984137354415485E-5</v>
      </c>
      <c r="Y144" s="505">
        <f t="shared" si="26"/>
        <v>1.4277362809329826E-5</v>
      </c>
      <c r="Z144" s="505">
        <f t="shared" si="26"/>
        <v>1.8943536462431492E-5</v>
      </c>
      <c r="AA144" s="505">
        <f t="shared" si="26"/>
        <v>5.4248248608708923E-5</v>
      </c>
      <c r="AB144" s="505">
        <f t="shared" si="26"/>
        <v>3.4188445498307114E-5</v>
      </c>
      <c r="AC144" s="505">
        <f t="shared" si="26"/>
        <v>2.4584339554455879E-5</v>
      </c>
      <c r="AD144" s="505">
        <f t="shared" si="26"/>
        <v>2.6242736648448221E-5</v>
      </c>
      <c r="AE144" s="505">
        <f t="shared" si="26"/>
        <v>3.4188445498307114E-5</v>
      </c>
      <c r="AF144" s="505">
        <f ca="1">Steel!H112</f>
        <v>1.5000347862609172E-2</v>
      </c>
      <c r="AG144" s="505">
        <f ca="1">Steel!H112</f>
        <v>1.5000347862609172E-2</v>
      </c>
      <c r="AH144" s="505">
        <f ca="1">Steel!H112</f>
        <v>1.5000347862609172E-2</v>
      </c>
      <c r="AI144" s="505">
        <f ca="1">Steel!$D$140*Steel!C146+Steel!D146</f>
        <v>3.6860704957249066E-2</v>
      </c>
      <c r="AJ144" s="505">
        <f ca="1">Steel!$D$208*Steel!C214+Steel!D214</f>
        <v>3.6860704957249066E-2</v>
      </c>
      <c r="AK144" s="505">
        <f ca="1">'C.Iron'!C66+'C.Iron'!E66</f>
        <v>0.2945205843051607</v>
      </c>
      <c r="AL144" s="505">
        <f>'C.Iron'!D66+'C.Iron'!E66</f>
        <v>0.16099371909459484</v>
      </c>
      <c r="AM144" s="505">
        <f ca="1">W.Al!$I$122*W.Al!I130</f>
        <v>1.5000347862609176E-2</v>
      </c>
      <c r="AN144" s="505">
        <f ca="1">W.Al!$I$123*W.Al!I130</f>
        <v>1.5000347862609176E-2</v>
      </c>
      <c r="AO144" s="505">
        <f ca="1">W.Al!$J$124*W.Al!J130</f>
        <v>3.5316901943513036E-2</v>
      </c>
      <c r="AP144" s="505">
        <f ca="1">W.Al!$F$160*W.Al!F168</f>
        <v>1.5000347862609176E-2</v>
      </c>
      <c r="AQ144" s="505">
        <f ca="1">W.Al!$F$161*W.Al!F168</f>
        <v>1.5000347862609176E-2</v>
      </c>
      <c r="AR144" s="505">
        <f ca="1">W.Al!$G$162*W.Al!G168</f>
        <v>3.5316901943513036E-2</v>
      </c>
      <c r="AS144" s="505">
        <f ca="1">'C.Al'!$G$113*'C.Al'!G119+'C.Al'!$H$113*'C.Al'!H119</f>
        <v>4.3054819953450923E-2</v>
      </c>
      <c r="AT144" s="505">
        <f ca="1">'C.Al'!$D$149*'C.Al'!D155+'C.Al'!$E$149*'C.Al'!E155</f>
        <v>4.3054819953450923E-2</v>
      </c>
      <c r="AU144" s="505">
        <f>Copper!D67</f>
        <v>0.90205230306732265</v>
      </c>
      <c r="AV144" s="505">
        <f>Glass!B75</f>
        <v>0.21920011814016699</v>
      </c>
      <c r="AW144" s="505">
        <f>Vehi_Plastics!B$19*Vehi_Plastics!X109</f>
        <v>5.985798534702795E-2</v>
      </c>
      <c r="AX144" s="505">
        <f>Vehi_Plastics!C$19*Vehi_Plastics!AA109</f>
        <v>4.1590253894626255</v>
      </c>
      <c r="AY144" s="505">
        <f>Vehi_Plastics!D$19*Vehi_Plastics!AB109</f>
        <v>0.10361996270252921</v>
      </c>
      <c r="AZ144" s="505">
        <f>Vehi_Plastics!E$19*Vehi_Plastics!AC109</f>
        <v>3.6238715816687375E-2</v>
      </c>
      <c r="BA144" s="505">
        <f>Vehi_Plastics!F$19*Vehi_Plastics!AD109</f>
        <v>5.248547329689645E-2</v>
      </c>
      <c r="BB144" s="505">
        <f>Vehi_Plastics!G$19*Vehi_Plastics!AE109</f>
        <v>2.7968274708830971E-2</v>
      </c>
      <c r="BC144" s="505">
        <f>Vehi_Plastics!H$19*Vehi_Plastics!AF109</f>
        <v>2.8554725618659651E-2</v>
      </c>
      <c r="BD144" s="505">
        <f>Vehi_Plastics!I$19*Vehi_Plastics!AG109</f>
        <v>3.7887072924862986E-2</v>
      </c>
      <c r="BE144" s="505">
        <f>Vehi_Plastics!J$19*Vehi_Plastics!AH109</f>
        <v>0.10849649721741784</v>
      </c>
      <c r="BF144" s="505">
        <f>Vehi_Plastics!K$19*Vehi_Plastics!AI109</f>
        <v>6.8376890996614231E-2</v>
      </c>
      <c r="BG144" s="505">
        <f>Vehi_Plastics!L$19*Vehi_Plastics!AJ109</f>
        <v>4.9168679108911761E-2</v>
      </c>
      <c r="BH144" s="505">
        <f>Rubber!$A$6*Rubber!C69</f>
        <v>5.2485473296896443E-2</v>
      </c>
      <c r="BI144" s="502">
        <f>Rubber!$B$6*Rubber!D69</f>
        <v>6.8376890996614231E-2</v>
      </c>
    </row>
    <row r="145" spans="1:61" s="496" customFormat="1">
      <c r="A145" s="504" t="s">
        <v>819</v>
      </c>
      <c r="B145" s="505">
        <f t="shared" ca="1" si="24"/>
        <v>4.672955898428989E-2</v>
      </c>
      <c r="C145" s="505">
        <f t="shared" ca="1" si="24"/>
        <v>4.672955898428989E-2</v>
      </c>
      <c r="D145" s="505">
        <f t="shared" ca="1" si="24"/>
        <v>4.672955898428989E-2</v>
      </c>
      <c r="E145" s="505">
        <f t="shared" ca="1" si="24"/>
        <v>9.1182390685096856E-2</v>
      </c>
      <c r="F145" s="505">
        <f t="shared" ca="1" si="24"/>
        <v>9.1182390685096856E-2</v>
      </c>
      <c r="G145" s="505">
        <f t="shared" ca="1" si="24"/>
        <v>7.0582086632344304E-2</v>
      </c>
      <c r="H145" s="505">
        <f t="shared" si="24"/>
        <v>0.14389879968953673</v>
      </c>
      <c r="I145" s="505">
        <f t="shared" ca="1" si="24"/>
        <v>4.6729558984289897E-2</v>
      </c>
      <c r="J145" s="505">
        <f t="shared" ca="1" si="24"/>
        <v>4.6729558984289897E-2</v>
      </c>
      <c r="K145" s="505">
        <f t="shared" ca="1" si="24"/>
        <v>9.9249333456050151E-2</v>
      </c>
      <c r="L145" s="505">
        <f t="shared" ca="1" si="25"/>
        <v>4.6729558984289897E-2</v>
      </c>
      <c r="M145" s="505">
        <f t="shared" ca="1" si="25"/>
        <v>4.6729558984289897E-2</v>
      </c>
      <c r="N145" s="505">
        <f t="shared" ca="1" si="25"/>
        <v>9.9249333456050151E-2</v>
      </c>
      <c r="O145" s="505">
        <f t="shared" ca="1" si="25"/>
        <v>4.2256951694563644E-2</v>
      </c>
      <c r="P145" s="505">
        <f t="shared" ca="1" si="25"/>
        <v>4.2256951694563644E-2</v>
      </c>
      <c r="Q145" s="505">
        <f t="shared" si="25"/>
        <v>9.7117846074770406E-2</v>
      </c>
      <c r="R145" s="505">
        <f t="shared" si="25"/>
        <v>3.0388339157698521E-2</v>
      </c>
      <c r="S145" s="505">
        <f t="shared" si="25"/>
        <v>0.18647149269964772</v>
      </c>
      <c r="T145" s="505">
        <f t="shared" si="25"/>
        <v>0.12843713514932553</v>
      </c>
      <c r="U145" s="505">
        <f t="shared" si="25"/>
        <v>0.28757051284470447</v>
      </c>
      <c r="V145" s="505">
        <f t="shared" si="26"/>
        <v>0.11289199582443932</v>
      </c>
      <c r="W145" s="505">
        <f t="shared" si="26"/>
        <v>0.11700225557819599</v>
      </c>
      <c r="X145" s="505">
        <f t="shared" si="26"/>
        <v>8.7127655616101751E-2</v>
      </c>
      <c r="Y145" s="505">
        <f t="shared" si="26"/>
        <v>8.8954586073530698E-2</v>
      </c>
      <c r="Z145" s="505">
        <f t="shared" si="26"/>
        <v>0.11802701012005228</v>
      </c>
      <c r="AA145" s="505">
        <f t="shared" si="26"/>
        <v>0.33799172610842987</v>
      </c>
      <c r="AB145" s="505">
        <f t="shared" si="26"/>
        <v>0.21300985752158852</v>
      </c>
      <c r="AC145" s="505">
        <f t="shared" si="26"/>
        <v>0.15317182718987038</v>
      </c>
      <c r="AD145" s="505">
        <f t="shared" si="26"/>
        <v>0.11700225557819599</v>
      </c>
      <c r="AE145" s="505">
        <f t="shared" si="26"/>
        <v>0.21300985752158852</v>
      </c>
      <c r="AF145" s="505">
        <f ca="1">Steel!H113</f>
        <v>93.459117968579775</v>
      </c>
      <c r="AG145" s="505">
        <f ca="1">Steel!H113</f>
        <v>93.459117968579775</v>
      </c>
      <c r="AH145" s="505">
        <f ca="1">Steel!H113</f>
        <v>93.459117968579775</v>
      </c>
      <c r="AI145" s="505">
        <f ca="1">Steel!$D$140*Steel!C147+Steel!D147</f>
        <v>182.36478137019373</v>
      </c>
      <c r="AJ145" s="505">
        <f ca="1">Steel!$D$208*Steel!C215+Steel!D215</f>
        <v>182.36478137019373</v>
      </c>
      <c r="AK145" s="505">
        <f ca="1">'C.Iron'!C67+'C.Iron'!E67</f>
        <v>141.1641732646886</v>
      </c>
      <c r="AL145" s="505">
        <f>'C.Iron'!D67+'C.Iron'!E67</f>
        <v>287.79759937907346</v>
      </c>
      <c r="AM145" s="505">
        <f ca="1">W.Al!$I$122*W.Al!I131</f>
        <v>93.45911796857979</v>
      </c>
      <c r="AN145" s="505">
        <f ca="1">W.Al!$I$123*W.Al!I131</f>
        <v>93.45911796857979</v>
      </c>
      <c r="AO145" s="505">
        <f ca="1">W.Al!$J$124*W.Al!J131</f>
        <v>198.4986669121003</v>
      </c>
      <c r="AP145" s="505">
        <f ca="1">W.Al!$F$160*W.Al!F169</f>
        <v>93.45911796857979</v>
      </c>
      <c r="AQ145" s="505">
        <f ca="1">W.Al!$F$161*W.Al!F169</f>
        <v>93.45911796857979</v>
      </c>
      <c r="AR145" s="505">
        <f ca="1">W.Al!$G$162*W.Al!G169</f>
        <v>198.4986669121003</v>
      </c>
      <c r="AS145" s="505">
        <f ca="1">'C.Al'!$G$113*'C.Al'!G120+'C.Al'!$H$113*'C.Al'!H120</f>
        <v>84.513903389127293</v>
      </c>
      <c r="AT145" s="505">
        <f ca="1">'C.Al'!$D$149*'C.Al'!D156+'C.Al'!$E$149*'C.Al'!E156</f>
        <v>84.513903389127293</v>
      </c>
      <c r="AU145" s="505">
        <f>Copper!D68</f>
        <v>194.23569214954082</v>
      </c>
      <c r="AV145" s="505">
        <f>Glass!B76</f>
        <v>60.776678315397042</v>
      </c>
      <c r="AW145" s="505">
        <f>Vehi_Plastics!B$19*Vehi_Plastics!X110</f>
        <v>372.94298539929542</v>
      </c>
      <c r="AX145" s="505">
        <f>Vehi_Plastics!C$19*Vehi_Plastics!AA110</f>
        <v>256.87427029865108</v>
      </c>
      <c r="AY145" s="505">
        <f>Vehi_Plastics!D$19*Vehi_Plastics!AB110</f>
        <v>575.14102568940893</v>
      </c>
      <c r="AZ145" s="505">
        <f>Vehi_Plastics!E$19*Vehi_Plastics!AC110</f>
        <v>225.78399164887864</v>
      </c>
      <c r="BA145" s="505">
        <f>Vehi_Plastics!F$19*Vehi_Plastics!AD110</f>
        <v>234.00451115639197</v>
      </c>
      <c r="BB145" s="505">
        <f>Vehi_Plastics!G$19*Vehi_Plastics!AE110</f>
        <v>174.2553112322035</v>
      </c>
      <c r="BC145" s="505">
        <f>Vehi_Plastics!H$19*Vehi_Plastics!AF110</f>
        <v>177.90917214706138</v>
      </c>
      <c r="BD145" s="505">
        <f>Vehi_Plastics!I$19*Vehi_Plastics!AG110</f>
        <v>236.05402024010456</v>
      </c>
      <c r="BE145" s="505">
        <f>Vehi_Plastics!J$19*Vehi_Plastics!AH110</f>
        <v>675.98345221685975</v>
      </c>
      <c r="BF145" s="505">
        <f>Vehi_Plastics!K$19*Vehi_Plastics!AI110</f>
        <v>426.01971504317703</v>
      </c>
      <c r="BG145" s="505">
        <f>Vehi_Plastics!L$19*Vehi_Plastics!AJ110</f>
        <v>306.34365437974077</v>
      </c>
      <c r="BH145" s="505">
        <f>Rubber!$A$6*Rubber!C70</f>
        <v>234.00451115639197</v>
      </c>
      <c r="BI145" s="502">
        <f>Rubber!$B$6*Rubber!D70</f>
        <v>426.01971504317703</v>
      </c>
    </row>
    <row r="146" spans="1:61" s="496" customFormat="1">
      <c r="A146" s="795" t="s">
        <v>1030</v>
      </c>
      <c r="B146" s="615" t="s">
        <v>846</v>
      </c>
      <c r="C146" s="615" t="s">
        <v>846</v>
      </c>
      <c r="D146" s="615" t="s">
        <v>846</v>
      </c>
      <c r="E146" s="615" t="s">
        <v>846</v>
      </c>
      <c r="F146" s="615" t="s">
        <v>846</v>
      </c>
      <c r="G146" s="615" t="s">
        <v>846</v>
      </c>
      <c r="H146" s="615" t="s">
        <v>846</v>
      </c>
      <c r="I146" s="615" t="s">
        <v>846</v>
      </c>
      <c r="J146" s="615" t="s">
        <v>846</v>
      </c>
      <c r="K146" s="615" t="s">
        <v>846</v>
      </c>
      <c r="L146" s="615" t="s">
        <v>846</v>
      </c>
      <c r="M146" s="615" t="s">
        <v>846</v>
      </c>
      <c r="N146" s="615" t="s">
        <v>846</v>
      </c>
      <c r="O146" s="615" t="s">
        <v>846</v>
      </c>
      <c r="P146" s="615" t="s">
        <v>846</v>
      </c>
      <c r="Q146" s="615" t="s">
        <v>846</v>
      </c>
      <c r="R146" s="615" t="s">
        <v>846</v>
      </c>
      <c r="S146" s="615" t="s">
        <v>846</v>
      </c>
      <c r="T146" s="615" t="s">
        <v>846</v>
      </c>
      <c r="U146" s="615" t="s">
        <v>846</v>
      </c>
      <c r="V146" s="615" t="s">
        <v>846</v>
      </c>
      <c r="W146" s="615" t="s">
        <v>846</v>
      </c>
      <c r="X146" s="615" t="s">
        <v>846</v>
      </c>
      <c r="Y146" s="615" t="s">
        <v>846</v>
      </c>
      <c r="Z146" s="615" t="s">
        <v>846</v>
      </c>
      <c r="AA146" s="615" t="s">
        <v>846</v>
      </c>
      <c r="AB146" s="615" t="s">
        <v>846</v>
      </c>
      <c r="AC146" s="615" t="s">
        <v>846</v>
      </c>
      <c r="AD146" s="615" t="s">
        <v>846</v>
      </c>
      <c r="AE146" s="615" t="s">
        <v>846</v>
      </c>
      <c r="AF146" s="512"/>
      <c r="AG146" s="512"/>
      <c r="AH146" s="512"/>
      <c r="AI146" s="512"/>
      <c r="AJ146" s="512"/>
      <c r="AK146" s="512"/>
      <c r="AL146" s="512"/>
      <c r="AM146" s="512"/>
      <c r="AN146" s="512"/>
      <c r="AO146" s="512"/>
      <c r="AP146" s="512"/>
      <c r="AQ146" s="512"/>
      <c r="AR146" s="512"/>
      <c r="AS146" s="512"/>
      <c r="AT146" s="512"/>
      <c r="AU146" s="512"/>
      <c r="AV146" s="512"/>
      <c r="AW146" s="512"/>
      <c r="AX146" s="512"/>
      <c r="AY146" s="512"/>
      <c r="AZ146" s="512"/>
      <c r="BA146" s="512"/>
      <c r="BB146" s="512"/>
      <c r="BC146" s="512"/>
      <c r="BD146" s="512"/>
      <c r="BE146" s="512"/>
      <c r="BF146" s="512"/>
      <c r="BG146" s="512"/>
      <c r="BH146" s="512"/>
      <c r="BI146" s="509"/>
    </row>
    <row r="147" spans="1:61" s="496" customFormat="1">
      <c r="A147" s="494" t="s">
        <v>821</v>
      </c>
      <c r="B147" s="349">
        <f t="shared" ref="B147:B159" ca="1" si="27">AF147/2000</f>
        <v>5.9577967611764912E-3</v>
      </c>
      <c r="C147" s="349">
        <f t="shared" ref="C147:C159" ca="1" si="28">AG147/2000</f>
        <v>5.9577967611764912E-3</v>
      </c>
      <c r="D147" s="349">
        <f t="shared" ref="D147:D159" ca="1" si="29">AH147/2000</f>
        <v>5.9577967611764912E-3</v>
      </c>
      <c r="E147" s="349">
        <f t="shared" ref="E147:E159" ca="1" si="30">AI147/2000</f>
        <v>2.5033718194219592E-2</v>
      </c>
      <c r="F147" s="349">
        <f t="shared" ref="F147:F159" ca="1" si="31">AJ147/2000</f>
        <v>2.5033718194219592E-2</v>
      </c>
      <c r="G147" s="349">
        <f t="shared" ref="G147:G159" ca="1" si="32">AK147/2000</f>
        <v>0.94214786353526025</v>
      </c>
      <c r="H147" s="349">
        <f t="shared" ref="H147:H159" si="33">AL147/2000</f>
        <v>0.22113103173440388</v>
      </c>
      <c r="I147" s="349">
        <f t="shared" ref="I147:I159" ca="1" si="34">AM147/2000</f>
        <v>5.9577967611764929E-3</v>
      </c>
      <c r="J147" s="349">
        <f t="shared" ref="J147:J159" ca="1" si="35">AN147/2000</f>
        <v>5.9577967611764929E-3</v>
      </c>
      <c r="K147" s="349">
        <f t="shared" ref="K147:K159" ca="1" si="36">AO147/2000</f>
        <v>0.16145262570285229</v>
      </c>
      <c r="L147" s="349">
        <f t="shared" ref="L147:L159" ca="1" si="37">AP147/2000</f>
        <v>5.9577967611764929E-3</v>
      </c>
      <c r="M147" s="349">
        <f t="shared" ref="M147:M159" ca="1" si="38">AQ147/2000</f>
        <v>5.9577967611764929E-3</v>
      </c>
      <c r="N147" s="349">
        <f t="shared" ref="N147:N159" ca="1" si="39">AR147/2000</f>
        <v>0.16145262570285229</v>
      </c>
      <c r="O147" s="349">
        <f t="shared" ref="O147:O159" ca="1" si="40">AS147/2000</f>
        <v>5.7478749961038668E-2</v>
      </c>
      <c r="P147" s="349">
        <f t="shared" ref="P147:P159" ca="1" si="41">AT147/2000</f>
        <v>5.7478749961038668E-2</v>
      </c>
      <c r="Q147" s="349">
        <f t="shared" ref="Q147:Q159" si="42">AU147/2000</f>
        <v>1.4227295644852674E-2</v>
      </c>
      <c r="R147" s="349">
        <f t="shared" ref="R147:R159" si="43">AV147/2000</f>
        <v>1.2296336680193656E-2</v>
      </c>
      <c r="S147" s="349">
        <f t="shared" ref="S147:S159" si="44">AW147/2000</f>
        <v>2.3774229404373418E-2</v>
      </c>
      <c r="T147" s="349">
        <f t="shared" ref="T147:T159" si="45">AX147/2000</f>
        <v>4.6657610030189506E-2</v>
      </c>
      <c r="U147" s="349">
        <f t="shared" ref="U147:U159" si="46">AY147/2000</f>
        <v>3.6839110476680308E-2</v>
      </c>
      <c r="V147" s="349">
        <f t="shared" ref="V147:V159" si="47">AZ147/2000</f>
        <v>1.4393193124542715E-2</v>
      </c>
      <c r="W147" s="349">
        <f t="shared" ref="W147:W159" si="48">BA147/2000</f>
        <v>4.1284756192012023E-2</v>
      </c>
      <c r="X147" s="349">
        <f t="shared" ref="X147:X159" si="49">BB147/2000</f>
        <v>1.1108362152808362E-2</v>
      </c>
      <c r="Y147" s="349">
        <f t="shared" ref="Y147:Y159" si="50">BC147/2000</f>
        <v>1.1341287106493974E-2</v>
      </c>
      <c r="Z147" s="349">
        <f t="shared" ref="Z147:Z159" si="51">BD147/2000</f>
        <v>1.5047883051089705E-2</v>
      </c>
      <c r="AA147" s="349">
        <f t="shared" ref="AA147:AA159" si="52">BE147/2000</f>
        <v>4.3092339300489453E-2</v>
      </c>
      <c r="AB147" s="349">
        <f t="shared" ref="AB147:AB159" si="53">BF147/2000</f>
        <v>2.7157744836997864E-2</v>
      </c>
      <c r="AC147" s="349">
        <f t="shared" ref="AC147:AC159" si="54">BG147/2000</f>
        <v>1.9528680256582196E-2</v>
      </c>
      <c r="AD147" s="349">
        <f t="shared" ref="AD147:AD159" si="55">BH147/2000</f>
        <v>4.1284756192012023E-2</v>
      </c>
      <c r="AE147" s="349">
        <f t="shared" ref="AE147:AE159" si="56">BI147/2000</f>
        <v>2.7157744836997864E-2</v>
      </c>
      <c r="AF147" s="349">
        <f ca="1">Steel!H115</f>
        <v>11.915593522352982</v>
      </c>
      <c r="AG147" s="349">
        <f ca="1">Steel!H115</f>
        <v>11.915593522352982</v>
      </c>
      <c r="AH147" s="349">
        <f ca="1">Steel!H115</f>
        <v>11.915593522352982</v>
      </c>
      <c r="AI147" s="349">
        <f ca="1">Steel!$D$140*Steel!C149+Steel!D149</f>
        <v>50.067436388439184</v>
      </c>
      <c r="AJ147" s="349">
        <f ca="1">Steel!$D$208*Steel!C217+Steel!D217</f>
        <v>50.067436388439184</v>
      </c>
      <c r="AK147" s="349">
        <f ca="1">'C.Iron'!C69+'C.Iron'!E69</f>
        <v>1884.2957270705206</v>
      </c>
      <c r="AL147" s="349">
        <f>'C.Iron'!D69+'C.Iron'!E69</f>
        <v>442.26206346880775</v>
      </c>
      <c r="AM147" s="349">
        <f ca="1">W.Al!$I$122*W.Al!I133</f>
        <v>11.915593522352985</v>
      </c>
      <c r="AN147" s="349">
        <f ca="1">W.Al!$I$123*W.Al!I133</f>
        <v>11.915593522352985</v>
      </c>
      <c r="AO147" s="349">
        <f ca="1">W.Al!$J$124*W.Al!J133</f>
        <v>322.90525140570458</v>
      </c>
      <c r="AP147" s="349">
        <f ca="1">W.Al!$F$160*W.Al!F171</f>
        <v>11.915593522352985</v>
      </c>
      <c r="AQ147" s="349">
        <f ca="1">W.Al!$F$161*W.Al!F171</f>
        <v>11.915593522352985</v>
      </c>
      <c r="AR147" s="349">
        <f ca="1">W.Al!$G$162*W.Al!G171</f>
        <v>322.90525140570458</v>
      </c>
      <c r="AS147" s="349">
        <f ca="1">'C.Al'!$G$113*'C.Al'!G122+'C.Al'!$H$113*'C.Al'!H122</f>
        <v>114.95749992207733</v>
      </c>
      <c r="AT147" s="349">
        <f ca="1">'C.Al'!$D$149*'C.Al'!D158+'C.Al'!$E$149*'C.Al'!E158</f>
        <v>114.95749992207733</v>
      </c>
      <c r="AU147" s="349">
        <f>Copper!D70</f>
        <v>28.454591289705348</v>
      </c>
      <c r="AV147" s="349">
        <f>Glass!B78</f>
        <v>24.592673360387312</v>
      </c>
      <c r="AW147" s="349">
        <f>Vehi_Plastics!B$19*Vehi_Plastics!X112</f>
        <v>47.548458808746837</v>
      </c>
      <c r="AX147" s="349">
        <f>Vehi_Plastics!C$19*Vehi_Plastics!AA112</f>
        <v>93.315220060379005</v>
      </c>
      <c r="AY147" s="349">
        <f>Vehi_Plastics!D$19*Vehi_Plastics!AB112</f>
        <v>73.678220953360622</v>
      </c>
      <c r="AZ147" s="349">
        <f>Vehi_Plastics!E$19*Vehi_Plastics!AC112</f>
        <v>28.786386249085432</v>
      </c>
      <c r="BA147" s="349">
        <f>Vehi_Plastics!F$19*Vehi_Plastics!AD112</f>
        <v>82.569512384024051</v>
      </c>
      <c r="BB147" s="349">
        <f>Vehi_Plastics!G$19*Vehi_Plastics!AE112</f>
        <v>22.216724305616722</v>
      </c>
      <c r="BC147" s="349">
        <f>Vehi_Plastics!H$19*Vehi_Plastics!AF112</f>
        <v>22.682574212987948</v>
      </c>
      <c r="BD147" s="349">
        <f>Vehi_Plastics!I$19*Vehi_Plastics!AG112</f>
        <v>30.095766102179411</v>
      </c>
      <c r="BE147" s="349">
        <f>Vehi_Plastics!J$19*Vehi_Plastics!AH112</f>
        <v>86.184678600978913</v>
      </c>
      <c r="BF147" s="349">
        <f>Vehi_Plastics!K$19*Vehi_Plastics!AI112</f>
        <v>54.315489673995728</v>
      </c>
      <c r="BG147" s="349">
        <f>Vehi_Plastics!L$19*Vehi_Plastics!AJ112</f>
        <v>39.05736051316439</v>
      </c>
      <c r="BH147" s="349">
        <f>Rubber!$A$6*Rubber!C72</f>
        <v>82.569512384024051</v>
      </c>
      <c r="BI147" s="348">
        <f>Rubber!$B$6*Rubber!D72</f>
        <v>54.315489673995728</v>
      </c>
    </row>
    <row r="148" spans="1:61" s="496" customFormat="1">
      <c r="A148" s="494" t="s">
        <v>822</v>
      </c>
      <c r="B148" s="349">
        <f t="shared" ca="1" si="27"/>
        <v>1.61038609636702E-2</v>
      </c>
      <c r="C148" s="349">
        <f t="shared" ca="1" si="28"/>
        <v>1.61038609636702E-2</v>
      </c>
      <c r="D148" s="349">
        <f t="shared" ca="1" si="29"/>
        <v>1.61038609636702E-2</v>
      </c>
      <c r="E148" s="349">
        <f t="shared" ca="1" si="30"/>
        <v>8.7923104114029454E-2</v>
      </c>
      <c r="F148" s="349">
        <f t="shared" ca="1" si="31"/>
        <v>8.7923104114029454E-2</v>
      </c>
      <c r="G148" s="349">
        <f t="shared" ca="1" si="32"/>
        <v>0.25336889671387081</v>
      </c>
      <c r="H148" s="349">
        <f t="shared" si="33"/>
        <v>0.90407918298193801</v>
      </c>
      <c r="I148" s="349">
        <f t="shared" ca="1" si="34"/>
        <v>1.6103860963670204E-2</v>
      </c>
      <c r="J148" s="349">
        <f t="shared" ca="1" si="35"/>
        <v>1.6103860963670204E-2</v>
      </c>
      <c r="K148" s="349">
        <f t="shared" ca="1" si="36"/>
        <v>0.16263227905576944</v>
      </c>
      <c r="L148" s="349">
        <f t="shared" ca="1" si="37"/>
        <v>1.6103860963670204E-2</v>
      </c>
      <c r="M148" s="349">
        <f t="shared" ca="1" si="38"/>
        <v>1.6103860963670204E-2</v>
      </c>
      <c r="N148" s="349">
        <f t="shared" ca="1" si="39"/>
        <v>0.16263227905576944</v>
      </c>
      <c r="O148" s="349">
        <f t="shared" ca="1" si="40"/>
        <v>0.23406313914009261</v>
      </c>
      <c r="P148" s="349">
        <f t="shared" ca="1" si="41"/>
        <v>0.23406313914009261</v>
      </c>
      <c r="Q148" s="349">
        <f t="shared" si="42"/>
        <v>5.0093424974832094E-2</v>
      </c>
      <c r="R148" s="349">
        <f t="shared" si="43"/>
        <v>7.3068681140029762E-2</v>
      </c>
      <c r="S148" s="349">
        <f t="shared" si="44"/>
        <v>6.4261487961671637E-2</v>
      </c>
      <c r="T148" s="349">
        <f t="shared" si="45"/>
        <v>0.2137834550111089</v>
      </c>
      <c r="U148" s="349">
        <f t="shared" si="46"/>
        <v>0.10068070419136016</v>
      </c>
      <c r="V148" s="349">
        <f t="shared" si="47"/>
        <v>3.890464716945443E-2</v>
      </c>
      <c r="W148" s="349">
        <f t="shared" si="48"/>
        <v>0.15142796822957053</v>
      </c>
      <c r="X148" s="349">
        <f t="shared" si="49"/>
        <v>3.0025784163808401E-2</v>
      </c>
      <c r="Y148" s="349">
        <f t="shared" si="50"/>
        <v>3.065537782392877E-2</v>
      </c>
      <c r="Z148" s="349">
        <f t="shared" si="51"/>
        <v>4.0674267043051174E-2</v>
      </c>
      <c r="AA148" s="349">
        <f t="shared" si="52"/>
        <v>0.11647813252316246</v>
      </c>
      <c r="AB148" s="349">
        <f t="shared" si="53"/>
        <v>7.3407094010283613E-2</v>
      </c>
      <c r="AC148" s="349">
        <f t="shared" si="54"/>
        <v>5.2785813995083128E-2</v>
      </c>
      <c r="AD148" s="349">
        <f t="shared" si="55"/>
        <v>0.15142796822957053</v>
      </c>
      <c r="AE148" s="349">
        <f t="shared" si="56"/>
        <v>7.3407094010283613E-2</v>
      </c>
      <c r="AF148" s="349">
        <f ca="1">Steel!H116</f>
        <v>32.207721927340401</v>
      </c>
      <c r="AG148" s="349">
        <f ca="1">Steel!H116</f>
        <v>32.207721927340401</v>
      </c>
      <c r="AH148" s="349">
        <f ca="1">Steel!H116</f>
        <v>32.207721927340401</v>
      </c>
      <c r="AI148" s="349">
        <f ca="1">Steel!$D$140*Steel!C150+Steel!D150</f>
        <v>175.84620822805891</v>
      </c>
      <c r="AJ148" s="349">
        <f ca="1">Steel!$D$208*Steel!C218+Steel!D218</f>
        <v>175.84620822805891</v>
      </c>
      <c r="AK148" s="349">
        <f ca="1">'C.Iron'!C70+'C.Iron'!E70</f>
        <v>506.73779342774162</v>
      </c>
      <c r="AL148" s="349">
        <f>'C.Iron'!D70+'C.Iron'!E70</f>
        <v>1808.1583659638761</v>
      </c>
      <c r="AM148" s="349">
        <f ca="1">W.Al!$I$122*W.Al!I134</f>
        <v>32.207721927340408</v>
      </c>
      <c r="AN148" s="349">
        <f ca="1">W.Al!$I$123*W.Al!I134</f>
        <v>32.207721927340408</v>
      </c>
      <c r="AO148" s="349">
        <f ca="1">W.Al!$J$124*W.Al!J134</f>
        <v>325.26455811153886</v>
      </c>
      <c r="AP148" s="349">
        <f ca="1">W.Al!$F$160*W.Al!F172</f>
        <v>32.207721927340408</v>
      </c>
      <c r="AQ148" s="349">
        <f ca="1">W.Al!$F$161*W.Al!F172</f>
        <v>32.207721927340408</v>
      </c>
      <c r="AR148" s="349">
        <f ca="1">W.Al!$G$162*W.Al!G172</f>
        <v>325.26455811153886</v>
      </c>
      <c r="AS148" s="349">
        <f ca="1">'C.Al'!$G$113*'C.Al'!G123+'C.Al'!$H$113*'C.Al'!H123</f>
        <v>468.1262782801852</v>
      </c>
      <c r="AT148" s="349">
        <f ca="1">'C.Al'!$D$149*'C.Al'!D159+'C.Al'!$E$149*'C.Al'!E159</f>
        <v>468.1262782801852</v>
      </c>
      <c r="AU148" s="349">
        <f>Copper!D71</f>
        <v>100.18684994966419</v>
      </c>
      <c r="AV148" s="349">
        <f>Glass!B79</f>
        <v>146.13736228005953</v>
      </c>
      <c r="AW148" s="349">
        <f>Vehi_Plastics!B$19*Vehi_Plastics!X113</f>
        <v>128.52297592334327</v>
      </c>
      <c r="AX148" s="349">
        <f>Vehi_Plastics!C$19*Vehi_Plastics!AA113</f>
        <v>427.56691002221783</v>
      </c>
      <c r="AY148" s="349">
        <f>Vehi_Plastics!D$19*Vehi_Plastics!AB113</f>
        <v>201.36140838272033</v>
      </c>
      <c r="AZ148" s="349">
        <f>Vehi_Plastics!E$19*Vehi_Plastics!AC113</f>
        <v>77.809294338908856</v>
      </c>
      <c r="BA148" s="349">
        <f>Vehi_Plastics!F$19*Vehi_Plastics!AD113</f>
        <v>302.85593645914105</v>
      </c>
      <c r="BB148" s="349">
        <f>Vehi_Plastics!G$19*Vehi_Plastics!AE113</f>
        <v>60.051568327616799</v>
      </c>
      <c r="BC148" s="349">
        <f>Vehi_Plastics!H$19*Vehi_Plastics!AF113</f>
        <v>61.31075564785754</v>
      </c>
      <c r="BD148" s="349">
        <f>Vehi_Plastics!I$19*Vehi_Plastics!AG113</f>
        <v>81.348534086102347</v>
      </c>
      <c r="BE148" s="349">
        <f>Vehi_Plastics!J$19*Vehi_Plastics!AH113</f>
        <v>232.95626504632492</v>
      </c>
      <c r="BF148" s="349">
        <f>Vehi_Plastics!K$19*Vehi_Plastics!AI113</f>
        <v>146.81418802056723</v>
      </c>
      <c r="BG148" s="349">
        <f>Vehi_Plastics!L$19*Vehi_Plastics!AJ113</f>
        <v>105.57162799016625</v>
      </c>
      <c r="BH148" s="349">
        <f>Rubber!$A$6*Rubber!C73</f>
        <v>302.85593645914105</v>
      </c>
      <c r="BI148" s="348">
        <f>Rubber!$B$6*Rubber!D73</f>
        <v>146.81418802056723</v>
      </c>
    </row>
    <row r="149" spans="1:61" s="496" customFormat="1">
      <c r="A149" s="494" t="s">
        <v>849</v>
      </c>
      <c r="B149" s="349">
        <f t="shared" ca="1" si="27"/>
        <v>3.3174954424379621E-2</v>
      </c>
      <c r="C149" s="349">
        <f t="shared" ca="1" si="28"/>
        <v>3.3174954424379621E-2</v>
      </c>
      <c r="D149" s="349">
        <f t="shared" ca="1" si="29"/>
        <v>3.3174954424379621E-2</v>
      </c>
      <c r="E149" s="349">
        <f t="shared" ca="1" si="30"/>
        <v>0.14073936707582224</v>
      </c>
      <c r="F149" s="349">
        <f t="shared" ca="1" si="31"/>
        <v>0.14073936707582224</v>
      </c>
      <c r="G149" s="349">
        <f t="shared" ca="1" si="32"/>
        <v>0.40385257944107972</v>
      </c>
      <c r="H149" s="349">
        <f t="shared" si="33"/>
        <v>1.2516478174466525</v>
      </c>
      <c r="I149" s="349">
        <f t="shared" ca="1" si="34"/>
        <v>3.3174954424379628E-2</v>
      </c>
      <c r="J149" s="349">
        <f t="shared" ca="1" si="35"/>
        <v>3.3174954424379628E-2</v>
      </c>
      <c r="K149" s="349">
        <f t="shared" ca="1" si="36"/>
        <v>0.21950109241669052</v>
      </c>
      <c r="L149" s="349">
        <f t="shared" ca="1" si="37"/>
        <v>3.3174954424379628E-2</v>
      </c>
      <c r="M149" s="349">
        <f t="shared" ca="1" si="38"/>
        <v>3.3174954424379628E-2</v>
      </c>
      <c r="N149" s="349">
        <f t="shared" ca="1" si="39"/>
        <v>0.21950109241669052</v>
      </c>
      <c r="O149" s="349">
        <f t="shared" ca="1" si="40"/>
        <v>0.32527973030967394</v>
      </c>
      <c r="P149" s="349">
        <f t="shared" ca="1" si="41"/>
        <v>0.32527973030967394</v>
      </c>
      <c r="Q149" s="349">
        <f t="shared" si="42"/>
        <v>0.12910006508044239</v>
      </c>
      <c r="R149" s="349">
        <f t="shared" si="43"/>
        <v>5.2961715694133112E-2</v>
      </c>
      <c r="S149" s="349">
        <f t="shared" si="44"/>
        <v>0.13238265898971135</v>
      </c>
      <c r="T149" s="349">
        <f t="shared" si="45"/>
        <v>0.49473005379423596</v>
      </c>
      <c r="U149" s="349">
        <f t="shared" si="46"/>
        <v>0.20575333932766313</v>
      </c>
      <c r="V149" s="349">
        <f t="shared" si="47"/>
        <v>8.0145991054872384E-2</v>
      </c>
      <c r="W149" s="349">
        <f t="shared" si="48"/>
        <v>0.23252889313483718</v>
      </c>
      <c r="X149" s="349">
        <f t="shared" si="49"/>
        <v>6.1854981450583935E-2</v>
      </c>
      <c r="Y149" s="349">
        <f t="shared" si="50"/>
        <v>6.3151983519062524E-2</v>
      </c>
      <c r="Z149" s="349">
        <f t="shared" si="51"/>
        <v>8.379151797462718E-2</v>
      </c>
      <c r="AA149" s="349">
        <f t="shared" si="52"/>
        <v>0.23995219199980544</v>
      </c>
      <c r="AB149" s="349">
        <f t="shared" si="53"/>
        <v>0.15122317584032902</v>
      </c>
      <c r="AC149" s="349">
        <f t="shared" si="54"/>
        <v>0.1087420574166183</v>
      </c>
      <c r="AD149" s="349">
        <f t="shared" si="55"/>
        <v>0.23252889313483718</v>
      </c>
      <c r="AE149" s="349">
        <f t="shared" si="56"/>
        <v>0.15122317584032902</v>
      </c>
      <c r="AF149" s="349">
        <f ca="1">Steel!H117</f>
        <v>66.349908848759242</v>
      </c>
      <c r="AG149" s="349">
        <f ca="1">Steel!H117</f>
        <v>66.349908848759242</v>
      </c>
      <c r="AH149" s="349">
        <f ca="1">Steel!H117</f>
        <v>66.349908848759242</v>
      </c>
      <c r="AI149" s="349">
        <f ca="1">Steel!$D$140*Steel!C151+Steel!D151</f>
        <v>281.47873415164446</v>
      </c>
      <c r="AJ149" s="349">
        <f ca="1">Steel!$D$208*Steel!C219+Steel!D219</f>
        <v>281.47873415164446</v>
      </c>
      <c r="AK149" s="349">
        <f ca="1">'C.Iron'!C71+'C.Iron'!E71</f>
        <v>807.70515888215948</v>
      </c>
      <c r="AL149" s="349">
        <f>'C.Iron'!D71+'C.Iron'!E71</f>
        <v>2503.2956348933053</v>
      </c>
      <c r="AM149" s="349">
        <f ca="1">W.Al!$I$122*W.Al!I135</f>
        <v>66.349908848759256</v>
      </c>
      <c r="AN149" s="349">
        <f ca="1">W.Al!$I$123*W.Al!I135</f>
        <v>66.349908848759256</v>
      </c>
      <c r="AO149" s="349">
        <f ca="1">W.Al!$J$124*W.Al!J135</f>
        <v>439.00218483338102</v>
      </c>
      <c r="AP149" s="349">
        <f ca="1">W.Al!$F$160*W.Al!F173</f>
        <v>66.349908848759256</v>
      </c>
      <c r="AQ149" s="349">
        <f ca="1">W.Al!$F$161*W.Al!F173</f>
        <v>66.349908848759256</v>
      </c>
      <c r="AR149" s="349">
        <f ca="1">W.Al!$G$162*W.Al!G173</f>
        <v>439.00218483338102</v>
      </c>
      <c r="AS149" s="349">
        <f ca="1">'C.Al'!$G$113*'C.Al'!G124+'C.Al'!$H$113*'C.Al'!H124</f>
        <v>650.55946061934787</v>
      </c>
      <c r="AT149" s="349">
        <f ca="1">'C.Al'!$D$149*'C.Al'!D160+'C.Al'!$E$149*'C.Al'!E160</f>
        <v>650.55946061934787</v>
      </c>
      <c r="AU149" s="349">
        <f>Copper!D72</f>
        <v>258.20013016088478</v>
      </c>
      <c r="AV149" s="349">
        <f>Glass!B80</f>
        <v>105.92343138826622</v>
      </c>
      <c r="AW149" s="349">
        <f>Vehi_Plastics!B$19*Vehi_Plastics!X114</f>
        <v>264.76531797942272</v>
      </c>
      <c r="AX149" s="349">
        <f>Vehi_Plastics!C$19*Vehi_Plastics!AA114</f>
        <v>989.46010758847194</v>
      </c>
      <c r="AY149" s="349">
        <f>Vehi_Plastics!D$19*Vehi_Plastics!AB114</f>
        <v>411.50667865532625</v>
      </c>
      <c r="AZ149" s="349">
        <f>Vehi_Plastics!E$19*Vehi_Plastics!AC114</f>
        <v>160.29198210974477</v>
      </c>
      <c r="BA149" s="349">
        <f>Vehi_Plastics!F$19*Vehi_Plastics!AD114</f>
        <v>465.05778626967435</v>
      </c>
      <c r="BB149" s="349">
        <f>Vehi_Plastics!G$19*Vehi_Plastics!AE114</f>
        <v>123.70996290116787</v>
      </c>
      <c r="BC149" s="349">
        <f>Vehi_Plastics!H$19*Vehi_Plastics!AF114</f>
        <v>126.30396703812504</v>
      </c>
      <c r="BD149" s="349">
        <f>Vehi_Plastics!I$19*Vehi_Plastics!AG114</f>
        <v>167.58303594925437</v>
      </c>
      <c r="BE149" s="349">
        <f>Vehi_Plastics!J$19*Vehi_Plastics!AH114</f>
        <v>479.9043839996109</v>
      </c>
      <c r="BF149" s="349">
        <f>Vehi_Plastics!K$19*Vehi_Plastics!AI114</f>
        <v>302.44635168065804</v>
      </c>
      <c r="BG149" s="349">
        <f>Vehi_Plastics!L$19*Vehi_Plastics!AJ114</f>
        <v>217.48411483323659</v>
      </c>
      <c r="BH149" s="349">
        <f>Rubber!$A$6*Rubber!C74</f>
        <v>465.05778626967435</v>
      </c>
      <c r="BI149" s="348">
        <f>Rubber!$B$6*Rubber!D74</f>
        <v>302.44635168065804</v>
      </c>
    </row>
    <row r="150" spans="1:61" s="496" customFormat="1">
      <c r="A150" s="494" t="s">
        <v>824</v>
      </c>
      <c r="B150" s="349">
        <f t="shared" ca="1" si="27"/>
        <v>5.3105229401170847E-3</v>
      </c>
      <c r="C150" s="349">
        <f t="shared" ca="1" si="28"/>
        <v>5.3105229401170847E-3</v>
      </c>
      <c r="D150" s="349">
        <f t="shared" ca="1" si="29"/>
        <v>5.3105229401170847E-3</v>
      </c>
      <c r="E150" s="349">
        <f t="shared" ca="1" si="30"/>
        <v>1.4219427954920637E-2</v>
      </c>
      <c r="F150" s="349">
        <f t="shared" ca="1" si="31"/>
        <v>1.4219427954920637E-2</v>
      </c>
      <c r="G150" s="349">
        <f t="shared" ca="1" si="32"/>
        <v>0.47482525594914438</v>
      </c>
      <c r="H150" s="349">
        <f t="shared" si="33"/>
        <v>7.4687110260641926E-2</v>
      </c>
      <c r="I150" s="349">
        <f t="shared" ca="1" si="34"/>
        <v>5.3105229401170856E-3</v>
      </c>
      <c r="J150" s="349">
        <f t="shared" ca="1" si="35"/>
        <v>5.3105229401170856E-3</v>
      </c>
      <c r="K150" s="349">
        <f t="shared" ca="1" si="36"/>
        <v>1.4994144801251332E-2</v>
      </c>
      <c r="L150" s="349">
        <f t="shared" ca="1" si="37"/>
        <v>5.3105229401170856E-3</v>
      </c>
      <c r="M150" s="349">
        <f t="shared" ca="1" si="38"/>
        <v>5.3105229401170856E-3</v>
      </c>
      <c r="N150" s="349">
        <f t="shared" ca="1" si="39"/>
        <v>1.4994144801251332E-2</v>
      </c>
      <c r="O150" s="349">
        <f t="shared" ca="1" si="40"/>
        <v>1.9787018095063971E-2</v>
      </c>
      <c r="P150" s="349">
        <f t="shared" ca="1" si="41"/>
        <v>1.9787018095063971E-2</v>
      </c>
      <c r="Q150" s="349">
        <f t="shared" si="42"/>
        <v>2.2999699164006245E-2</v>
      </c>
      <c r="R150" s="349">
        <f t="shared" si="43"/>
        <v>2.0543241656535594E-2</v>
      </c>
      <c r="S150" s="349">
        <f t="shared" si="44"/>
        <v>2.1191322177730645E-2</v>
      </c>
      <c r="T150" s="349">
        <f t="shared" si="45"/>
        <v>7.6958465248916613E-2</v>
      </c>
      <c r="U150" s="349">
        <f t="shared" si="46"/>
        <v>3.2776558074100709E-2</v>
      </c>
      <c r="V150" s="349">
        <f t="shared" si="47"/>
        <v>1.282947125143722E-2</v>
      </c>
      <c r="W150" s="349">
        <f t="shared" si="48"/>
        <v>2.0881573906103231E-2</v>
      </c>
      <c r="X150" s="349">
        <f t="shared" si="49"/>
        <v>9.9015146713343338E-3</v>
      </c>
      <c r="Y150" s="349">
        <f t="shared" si="50"/>
        <v>1.0109133923795859E-2</v>
      </c>
      <c r="Z150" s="349">
        <f t="shared" si="51"/>
        <v>1.341303360056724E-2</v>
      </c>
      <c r="AA150" s="349">
        <f t="shared" si="52"/>
        <v>3.841065171772802E-2</v>
      </c>
      <c r="AB150" s="349">
        <f t="shared" si="53"/>
        <v>2.4207241827806803E-2</v>
      </c>
      <c r="AC150" s="349">
        <f t="shared" si="54"/>
        <v>1.7407022872715807E-2</v>
      </c>
      <c r="AD150" s="349">
        <f t="shared" si="55"/>
        <v>2.0881573906103228E-2</v>
      </c>
      <c r="AE150" s="349">
        <f t="shared" si="56"/>
        <v>2.4207241827806803E-2</v>
      </c>
      <c r="AF150" s="349">
        <f ca="1">Steel!H118</f>
        <v>10.621045880234169</v>
      </c>
      <c r="AG150" s="349">
        <f ca="1">Steel!H118</f>
        <v>10.621045880234169</v>
      </c>
      <c r="AH150" s="349">
        <f ca="1">Steel!H118</f>
        <v>10.621045880234169</v>
      </c>
      <c r="AI150" s="349">
        <f ca="1">Steel!$D$140*Steel!C152+Steel!D152</f>
        <v>28.438855909841273</v>
      </c>
      <c r="AJ150" s="349">
        <f ca="1">Steel!$D$208*Steel!C220+Steel!D220</f>
        <v>28.438855909841273</v>
      </c>
      <c r="AK150" s="349">
        <f ca="1">'C.Iron'!C72+'C.Iron'!E72</f>
        <v>949.65051189828876</v>
      </c>
      <c r="AL150" s="349">
        <f>'C.Iron'!D72+'C.Iron'!E72</f>
        <v>149.37422052128386</v>
      </c>
      <c r="AM150" s="349">
        <f ca="1">W.Al!$I$122*W.Al!I136</f>
        <v>10.621045880234171</v>
      </c>
      <c r="AN150" s="349">
        <f ca="1">W.Al!$I$123*W.Al!I136</f>
        <v>10.621045880234171</v>
      </c>
      <c r="AO150" s="349">
        <f ca="1">W.Al!$J$124*W.Al!J136</f>
        <v>29.988289602502665</v>
      </c>
      <c r="AP150" s="349">
        <f ca="1">W.Al!$F$160*W.Al!F174</f>
        <v>10.621045880234171</v>
      </c>
      <c r="AQ150" s="349">
        <f ca="1">W.Al!$F$161*W.Al!F174</f>
        <v>10.621045880234171</v>
      </c>
      <c r="AR150" s="349">
        <f ca="1">W.Al!$G$162*W.Al!G174</f>
        <v>29.988289602502665</v>
      </c>
      <c r="AS150" s="349">
        <f ca="1">'C.Al'!$G$113*'C.Al'!G125+'C.Al'!$H$113*'C.Al'!H125</f>
        <v>39.574036190127941</v>
      </c>
      <c r="AT150" s="349">
        <f ca="1">'C.Al'!$D$149*'C.Al'!D161+'C.Al'!$E$149*'C.Al'!E161</f>
        <v>39.574036190127941</v>
      </c>
      <c r="AU150" s="349">
        <f>Copper!D73</f>
        <v>45.999398328012489</v>
      </c>
      <c r="AV150" s="349">
        <f>Glass!B81</f>
        <v>41.086483313071184</v>
      </c>
      <c r="AW150" s="349">
        <f>Vehi_Plastics!B$19*Vehi_Plastics!X115</f>
        <v>42.382644355461288</v>
      </c>
      <c r="AX150" s="349">
        <f>Vehi_Plastics!C$19*Vehi_Plastics!AA115</f>
        <v>153.91693049783322</v>
      </c>
      <c r="AY150" s="349">
        <f>Vehi_Plastics!D$19*Vehi_Plastics!AB115</f>
        <v>65.553116148201411</v>
      </c>
      <c r="AZ150" s="349">
        <f>Vehi_Plastics!E$19*Vehi_Plastics!AC115</f>
        <v>25.658942502874442</v>
      </c>
      <c r="BA150" s="349">
        <f>Vehi_Plastics!F$19*Vehi_Plastics!AD115</f>
        <v>41.763147812206462</v>
      </c>
      <c r="BB150" s="349">
        <f>Vehi_Plastics!G$19*Vehi_Plastics!AE115</f>
        <v>19.803029342668669</v>
      </c>
      <c r="BC150" s="349">
        <f>Vehi_Plastics!H$19*Vehi_Plastics!AF115</f>
        <v>20.218267847591719</v>
      </c>
      <c r="BD150" s="349">
        <f>Vehi_Plastics!I$19*Vehi_Plastics!AG115</f>
        <v>26.826067201134478</v>
      </c>
      <c r="BE150" s="349">
        <f>Vehi_Plastics!J$19*Vehi_Plastics!AH115</f>
        <v>76.821303435456045</v>
      </c>
      <c r="BF150" s="349">
        <f>Vehi_Plastics!K$19*Vehi_Plastics!AI115</f>
        <v>48.414483655613608</v>
      </c>
      <c r="BG150" s="349">
        <f>Vehi_Plastics!L$19*Vehi_Plastics!AJ115</f>
        <v>34.814045745431613</v>
      </c>
      <c r="BH150" s="349">
        <f>Rubber!$A$6*Rubber!C75</f>
        <v>41.763147812206455</v>
      </c>
      <c r="BI150" s="348">
        <f>Rubber!$B$6*Rubber!D75</f>
        <v>48.414483655613608</v>
      </c>
    </row>
    <row r="151" spans="1:61" s="496" customFormat="1">
      <c r="A151" s="494" t="s">
        <v>825</v>
      </c>
      <c r="B151" s="349">
        <f t="shared" ca="1" si="27"/>
        <v>3.187745075117284E-3</v>
      </c>
      <c r="C151" s="349">
        <f t="shared" ca="1" si="28"/>
        <v>3.187745075117284E-3</v>
      </c>
      <c r="D151" s="349">
        <f t="shared" ca="1" si="29"/>
        <v>3.187745075117284E-3</v>
      </c>
      <c r="E151" s="349">
        <f t="shared" ca="1" si="30"/>
        <v>1.0183685264980423E-2</v>
      </c>
      <c r="F151" s="349">
        <f t="shared" ca="1" si="31"/>
        <v>1.0183685264980423E-2</v>
      </c>
      <c r="G151" s="349">
        <f t="shared" ca="1" si="32"/>
        <v>0.21178799533264553</v>
      </c>
      <c r="H151" s="349">
        <f t="shared" si="33"/>
        <v>6.9759224528422883E-2</v>
      </c>
      <c r="I151" s="349">
        <f t="shared" ca="1" si="34"/>
        <v>3.1877450751172849E-3</v>
      </c>
      <c r="J151" s="349">
        <f t="shared" ca="1" si="35"/>
        <v>3.1877450751172849E-3</v>
      </c>
      <c r="K151" s="349">
        <f t="shared" ca="1" si="36"/>
        <v>1.2999770941963355E-2</v>
      </c>
      <c r="L151" s="349">
        <f t="shared" ca="1" si="37"/>
        <v>3.1877450751172849E-3</v>
      </c>
      <c r="M151" s="349">
        <f t="shared" ca="1" si="38"/>
        <v>3.1877450751172849E-3</v>
      </c>
      <c r="N151" s="349">
        <f t="shared" ca="1" si="39"/>
        <v>1.2999770941963355E-2</v>
      </c>
      <c r="O151" s="349">
        <f t="shared" ca="1" si="40"/>
        <v>1.8280732444418638E-2</v>
      </c>
      <c r="P151" s="349">
        <f t="shared" ca="1" si="41"/>
        <v>1.8280732444418638E-2</v>
      </c>
      <c r="Q151" s="349">
        <f t="shared" si="42"/>
        <v>1.2822057661545866E-2</v>
      </c>
      <c r="R151" s="349">
        <f t="shared" si="43"/>
        <v>1.3005839665477777E-2</v>
      </c>
      <c r="S151" s="349">
        <f t="shared" si="44"/>
        <v>1.2720504867227854E-2</v>
      </c>
      <c r="T151" s="349">
        <f t="shared" si="45"/>
        <v>4.4323302633176846E-2</v>
      </c>
      <c r="U151" s="349">
        <f t="shared" si="46"/>
        <v>1.9717522370512955E-2</v>
      </c>
      <c r="V151" s="349">
        <f t="shared" si="47"/>
        <v>7.7011405956239213E-3</v>
      </c>
      <c r="W151" s="349">
        <f t="shared" si="48"/>
        <v>1.5775739151304174E-2</v>
      </c>
      <c r="X151" s="349">
        <f t="shared" si="49"/>
        <v>5.943577494281883E-3</v>
      </c>
      <c r="Y151" s="349">
        <f t="shared" si="50"/>
        <v>6.0682050040387963E-3</v>
      </c>
      <c r="Z151" s="349">
        <f t="shared" si="51"/>
        <v>8.0514352889036155E-3</v>
      </c>
      <c r="AA151" s="349">
        <f t="shared" si="52"/>
        <v>2.3056743606220665E-2</v>
      </c>
      <c r="AB151" s="349">
        <f t="shared" si="53"/>
        <v>1.4530869518673604E-2</v>
      </c>
      <c r="AC151" s="349">
        <f t="shared" si="54"/>
        <v>1.0448905326399046E-2</v>
      </c>
      <c r="AD151" s="349">
        <f t="shared" si="55"/>
        <v>1.5775739151304174E-2</v>
      </c>
      <c r="AE151" s="349">
        <f t="shared" si="56"/>
        <v>1.4530869518673604E-2</v>
      </c>
      <c r="AF151" s="349">
        <f ca="1">Steel!H119</f>
        <v>6.375490150234568</v>
      </c>
      <c r="AG151" s="349">
        <f ca="1">Steel!H119</f>
        <v>6.375490150234568</v>
      </c>
      <c r="AH151" s="349">
        <f ca="1">Steel!H119</f>
        <v>6.375490150234568</v>
      </c>
      <c r="AI151" s="349">
        <f ca="1">Steel!$D$140*Steel!C153+Steel!D153</f>
        <v>20.367370529960844</v>
      </c>
      <c r="AJ151" s="349">
        <f ca="1">Steel!$D$208*Steel!C221+Steel!D221</f>
        <v>20.367370529960844</v>
      </c>
      <c r="AK151" s="349">
        <f ca="1">'C.Iron'!C73+'C.Iron'!E73</f>
        <v>423.57599066529104</v>
      </c>
      <c r="AL151" s="349">
        <f>'C.Iron'!D73+'C.Iron'!E73</f>
        <v>139.51844905684575</v>
      </c>
      <c r="AM151" s="349">
        <f ca="1">W.Al!$I$122*W.Al!I137</f>
        <v>6.3754901502345698</v>
      </c>
      <c r="AN151" s="349">
        <f ca="1">W.Al!$I$123*W.Al!I137</f>
        <v>6.3754901502345698</v>
      </c>
      <c r="AO151" s="349">
        <f ca="1">W.Al!$J$124*W.Al!J137</f>
        <v>25.99954188392671</v>
      </c>
      <c r="AP151" s="349">
        <f ca="1">W.Al!$F$160*W.Al!F175</f>
        <v>6.3754901502345698</v>
      </c>
      <c r="AQ151" s="349">
        <f ca="1">W.Al!$F$161*W.Al!F175</f>
        <v>6.3754901502345698</v>
      </c>
      <c r="AR151" s="349">
        <f ca="1">W.Al!$G$162*W.Al!G175</f>
        <v>25.99954188392671</v>
      </c>
      <c r="AS151" s="349">
        <f ca="1">'C.Al'!$G$113*'C.Al'!G126+'C.Al'!$H$113*'C.Al'!H126</f>
        <v>36.561464888837278</v>
      </c>
      <c r="AT151" s="349">
        <f ca="1">'C.Al'!$D$149*'C.Al'!D162+'C.Al'!$E$149*'C.Al'!E162</f>
        <v>36.561464888837278</v>
      </c>
      <c r="AU151" s="349">
        <f>Copper!D74</f>
        <v>25.644115323091732</v>
      </c>
      <c r="AV151" s="349">
        <f>Glass!B82</f>
        <v>26.011679330955555</v>
      </c>
      <c r="AW151" s="349">
        <f>Vehi_Plastics!B$19*Vehi_Plastics!X116</f>
        <v>25.441009734455708</v>
      </c>
      <c r="AX151" s="349">
        <f>Vehi_Plastics!C$19*Vehi_Plastics!AA116</f>
        <v>88.646605266353689</v>
      </c>
      <c r="AY151" s="349">
        <f>Vehi_Plastics!D$19*Vehi_Plastics!AB116</f>
        <v>39.435044741025912</v>
      </c>
      <c r="AZ151" s="349">
        <f>Vehi_Plastics!E$19*Vehi_Plastics!AC116</f>
        <v>15.402281191247843</v>
      </c>
      <c r="BA151" s="349">
        <f>Vehi_Plastics!F$19*Vehi_Plastics!AD116</f>
        <v>31.551478302608352</v>
      </c>
      <c r="BB151" s="349">
        <f>Vehi_Plastics!G$19*Vehi_Plastics!AE116</f>
        <v>11.887154988563767</v>
      </c>
      <c r="BC151" s="349">
        <f>Vehi_Plastics!H$19*Vehi_Plastics!AF116</f>
        <v>12.136410008077593</v>
      </c>
      <c r="BD151" s="349">
        <f>Vehi_Plastics!I$19*Vehi_Plastics!AG116</f>
        <v>16.102870577807231</v>
      </c>
      <c r="BE151" s="349">
        <f>Vehi_Plastics!J$19*Vehi_Plastics!AH116</f>
        <v>46.113487212441328</v>
      </c>
      <c r="BF151" s="349">
        <f>Vehi_Plastics!K$19*Vehi_Plastics!AI116</f>
        <v>29.061739037347209</v>
      </c>
      <c r="BG151" s="349">
        <f>Vehi_Plastics!L$19*Vehi_Plastics!AJ116</f>
        <v>20.897810652798093</v>
      </c>
      <c r="BH151" s="349">
        <f>Rubber!$A$6*Rubber!C76</f>
        <v>31.551478302608352</v>
      </c>
      <c r="BI151" s="348">
        <f>Rubber!$B$6*Rubber!D76</f>
        <v>29.061739037347209</v>
      </c>
    </row>
    <row r="152" spans="1:61" s="496" customFormat="1">
      <c r="A152" s="494" t="s">
        <v>826</v>
      </c>
      <c r="B152" s="349">
        <f t="shared" ca="1" si="27"/>
        <v>2.785494982854754E-2</v>
      </c>
      <c r="C152" s="349">
        <f t="shared" ca="1" si="28"/>
        <v>2.785494982854754E-2</v>
      </c>
      <c r="D152" s="349">
        <f t="shared" ca="1" si="29"/>
        <v>2.785494982854754E-2</v>
      </c>
      <c r="E152" s="349">
        <f t="shared" ca="1" si="30"/>
        <v>6.4631597633091661E-2</v>
      </c>
      <c r="F152" s="349">
        <f t="shared" ca="1" si="31"/>
        <v>6.4631597633091661E-2</v>
      </c>
      <c r="G152" s="349">
        <f t="shared" ca="1" si="32"/>
        <v>1.6566602285275109</v>
      </c>
      <c r="H152" s="349">
        <f t="shared" si="33"/>
        <v>0.24123037277587794</v>
      </c>
      <c r="I152" s="349">
        <f t="shared" ca="1" si="34"/>
        <v>2.7854949828547547E-2</v>
      </c>
      <c r="J152" s="349">
        <f t="shared" ca="1" si="35"/>
        <v>2.7854949828547547E-2</v>
      </c>
      <c r="K152" s="349">
        <f t="shared" ca="1" si="36"/>
        <v>5.7523446991827737E-2</v>
      </c>
      <c r="L152" s="349">
        <f t="shared" ca="1" si="37"/>
        <v>2.7854949828547547E-2</v>
      </c>
      <c r="M152" s="349">
        <f t="shared" ca="1" si="38"/>
        <v>2.7854949828547547E-2</v>
      </c>
      <c r="N152" s="349">
        <f t="shared" ca="1" si="39"/>
        <v>5.7523446991827737E-2</v>
      </c>
      <c r="O152" s="349">
        <f t="shared" ca="1" si="40"/>
        <v>6.5121799500080083E-2</v>
      </c>
      <c r="P152" s="349">
        <f t="shared" ca="1" si="41"/>
        <v>6.5121799500080083E-2</v>
      </c>
      <c r="Q152" s="349">
        <f t="shared" si="42"/>
        <v>0.10525186349234145</v>
      </c>
      <c r="R152" s="349">
        <f t="shared" si="43"/>
        <v>3.1689818080734469E-2</v>
      </c>
      <c r="S152" s="349">
        <f t="shared" si="44"/>
        <v>0.1111535008355052</v>
      </c>
      <c r="T152" s="349">
        <f t="shared" si="45"/>
        <v>0.31008169579241784</v>
      </c>
      <c r="U152" s="349">
        <f t="shared" si="46"/>
        <v>0.17153244341241625</v>
      </c>
      <c r="V152" s="349">
        <f t="shared" si="47"/>
        <v>6.7293613466190533E-2</v>
      </c>
      <c r="W152" s="349">
        <f t="shared" si="48"/>
        <v>8.9956941586535027E-2</v>
      </c>
      <c r="X152" s="349">
        <f t="shared" si="49"/>
        <v>5.1935788152449709E-2</v>
      </c>
      <c r="Y152" s="349">
        <f t="shared" si="50"/>
        <v>5.3024800275355402E-2</v>
      </c>
      <c r="Z152" s="349">
        <f t="shared" si="51"/>
        <v>7.0354536117338634E-2</v>
      </c>
      <c r="AA152" s="349">
        <f t="shared" si="52"/>
        <v>0.20147296011031599</v>
      </c>
      <c r="AB152" s="349">
        <f t="shared" si="53"/>
        <v>0.12697271327222803</v>
      </c>
      <c r="AC152" s="349">
        <f t="shared" si="54"/>
        <v>9.1303955232173037E-2</v>
      </c>
      <c r="AD152" s="349">
        <f t="shared" si="55"/>
        <v>8.9956941586535014E-2</v>
      </c>
      <c r="AE152" s="349">
        <f t="shared" si="56"/>
        <v>0.12697271327222803</v>
      </c>
      <c r="AF152" s="349">
        <f ca="1">Steel!H120</f>
        <v>55.709899657095079</v>
      </c>
      <c r="AG152" s="349">
        <f ca="1">Steel!H120</f>
        <v>55.709899657095079</v>
      </c>
      <c r="AH152" s="349">
        <f ca="1">Steel!H120</f>
        <v>55.709899657095079</v>
      </c>
      <c r="AI152" s="349">
        <f ca="1">Steel!$D$140*Steel!C154+Steel!D154</f>
        <v>129.26319526618332</v>
      </c>
      <c r="AJ152" s="349">
        <f ca="1">Steel!$D$208*Steel!C222+Steel!D222</f>
        <v>129.26319526618332</v>
      </c>
      <c r="AK152" s="349">
        <f ca="1">'C.Iron'!C74+'C.Iron'!E74</f>
        <v>3313.320457055022</v>
      </c>
      <c r="AL152" s="349">
        <f>'C.Iron'!D74+'C.Iron'!E74</f>
        <v>482.46074555175591</v>
      </c>
      <c r="AM152" s="349">
        <f ca="1">W.Al!$I$122*W.Al!I138</f>
        <v>55.709899657095093</v>
      </c>
      <c r="AN152" s="349">
        <f ca="1">W.Al!$I$123*W.Al!I138</f>
        <v>55.709899657095093</v>
      </c>
      <c r="AO152" s="349">
        <f ca="1">W.Al!$J$124*W.Al!J138</f>
        <v>115.04689398365548</v>
      </c>
      <c r="AP152" s="349">
        <f ca="1">W.Al!$F$160*W.Al!F176</f>
        <v>55.709899657095093</v>
      </c>
      <c r="AQ152" s="349">
        <f ca="1">W.Al!$F$161*W.Al!F176</f>
        <v>55.709899657095093</v>
      </c>
      <c r="AR152" s="349">
        <f ca="1">W.Al!$G$162*W.Al!G176</f>
        <v>115.04689398365548</v>
      </c>
      <c r="AS152" s="349">
        <f ca="1">'C.Al'!$G$113*'C.Al'!G127+'C.Al'!$H$113*'C.Al'!H127</f>
        <v>130.24359900016017</v>
      </c>
      <c r="AT152" s="349">
        <f ca="1">'C.Al'!$D$149*'C.Al'!D163+'C.Al'!$E$149*'C.Al'!E163</f>
        <v>130.24359900016017</v>
      </c>
      <c r="AU152" s="349">
        <f>Copper!D75</f>
        <v>210.50372698468288</v>
      </c>
      <c r="AV152" s="349">
        <f>Glass!B83</f>
        <v>63.379636161468937</v>
      </c>
      <c r="AW152" s="349">
        <f>Vehi_Plastics!B$19*Vehi_Plastics!X117</f>
        <v>222.3070016710104</v>
      </c>
      <c r="AX152" s="349">
        <f>Vehi_Plastics!C$19*Vehi_Plastics!AA117</f>
        <v>620.16339158483572</v>
      </c>
      <c r="AY152" s="349">
        <f>Vehi_Plastics!D$19*Vehi_Plastics!AB117</f>
        <v>343.06488682483251</v>
      </c>
      <c r="AZ152" s="349">
        <f>Vehi_Plastics!E$19*Vehi_Plastics!AC117</f>
        <v>134.58722693238107</v>
      </c>
      <c r="BA152" s="349">
        <f>Vehi_Plastics!F$19*Vehi_Plastics!AD117</f>
        <v>179.91388317307005</v>
      </c>
      <c r="BB152" s="349">
        <f>Vehi_Plastics!G$19*Vehi_Plastics!AE117</f>
        <v>103.87157630489942</v>
      </c>
      <c r="BC152" s="349">
        <f>Vehi_Plastics!H$19*Vehi_Plastics!AF117</f>
        <v>106.04960055071081</v>
      </c>
      <c r="BD152" s="349">
        <f>Vehi_Plastics!I$19*Vehi_Plastics!AG117</f>
        <v>140.70907223467728</v>
      </c>
      <c r="BE152" s="349">
        <f>Vehi_Plastics!J$19*Vehi_Plastics!AH117</f>
        <v>402.94592022063199</v>
      </c>
      <c r="BF152" s="349">
        <f>Vehi_Plastics!K$19*Vehi_Plastics!AI117</f>
        <v>253.94542654445607</v>
      </c>
      <c r="BG152" s="349">
        <f>Vehi_Plastics!L$19*Vehi_Plastics!AJ117</f>
        <v>182.60791046434608</v>
      </c>
      <c r="BH152" s="349">
        <f>Rubber!$A$6*Rubber!C77</f>
        <v>179.91388317307002</v>
      </c>
      <c r="BI152" s="348">
        <f>Rubber!$B$6*Rubber!D77</f>
        <v>253.94542654445607</v>
      </c>
    </row>
    <row r="153" spans="1:61" s="496" customFormat="1">
      <c r="A153" s="794" t="s">
        <v>827</v>
      </c>
      <c r="B153" s="349">
        <f t="shared" ca="1" si="27"/>
        <v>1.9449898082129341E-4</v>
      </c>
      <c r="C153" s="349">
        <f t="shared" ca="1" si="28"/>
        <v>1.9449898082129341E-4</v>
      </c>
      <c r="D153" s="349">
        <f t="shared" ca="1" si="29"/>
        <v>1.9449898082129341E-4</v>
      </c>
      <c r="E153" s="349">
        <f t="shared" ca="1" si="30"/>
        <v>1.0966997039070065E-3</v>
      </c>
      <c r="F153" s="349">
        <f t="shared" ca="1" si="31"/>
        <v>1.0966997039070065E-3</v>
      </c>
      <c r="G153" s="349">
        <f t="shared" ca="1" si="32"/>
        <v>1.1729182909814093E-3</v>
      </c>
      <c r="H153" s="349">
        <f t="shared" si="33"/>
        <v>1.1445326891030196E-2</v>
      </c>
      <c r="I153" s="349">
        <f t="shared" ca="1" si="34"/>
        <v>1.9449898082129347E-4</v>
      </c>
      <c r="J153" s="349">
        <f t="shared" ca="1" si="35"/>
        <v>1.9449898082129347E-4</v>
      </c>
      <c r="K153" s="349">
        <f t="shared" ca="1" si="36"/>
        <v>1.9551939272697805E-3</v>
      </c>
      <c r="L153" s="349">
        <f t="shared" ca="1" si="37"/>
        <v>1.9449898082129347E-4</v>
      </c>
      <c r="M153" s="349">
        <f t="shared" ca="1" si="38"/>
        <v>1.9449898082129347E-4</v>
      </c>
      <c r="N153" s="349">
        <f t="shared" ca="1" si="39"/>
        <v>1.9551939272697805E-3</v>
      </c>
      <c r="O153" s="349">
        <f t="shared" ca="1" si="40"/>
        <v>2.9620964199427269E-3</v>
      </c>
      <c r="P153" s="349">
        <f t="shared" ca="1" si="41"/>
        <v>2.9620964199427269E-3</v>
      </c>
      <c r="Q153" s="349">
        <f t="shared" si="42"/>
        <v>8.4130759804343196E-4</v>
      </c>
      <c r="R153" s="349">
        <f t="shared" si="43"/>
        <v>8.400924224317471E-4</v>
      </c>
      <c r="S153" s="349">
        <f t="shared" si="44"/>
        <v>7.7613647701019227E-4</v>
      </c>
      <c r="T153" s="349">
        <f t="shared" si="45"/>
        <v>3.7576012213422815E-3</v>
      </c>
      <c r="U153" s="349">
        <f t="shared" si="46"/>
        <v>1.2529077624518731E-3</v>
      </c>
      <c r="V153" s="349">
        <f t="shared" si="47"/>
        <v>4.6988198921622722E-4</v>
      </c>
      <c r="W153" s="349">
        <f t="shared" si="48"/>
        <v>1.8973156719583055E-3</v>
      </c>
      <c r="X153" s="349">
        <f t="shared" si="49"/>
        <v>3.6264498503779213E-4</v>
      </c>
      <c r="Y153" s="349">
        <f t="shared" si="50"/>
        <v>3.7024908230994419E-4</v>
      </c>
      <c r="Z153" s="349">
        <f t="shared" si="51"/>
        <v>4.9125507872762773E-4</v>
      </c>
      <c r="AA153" s="349">
        <f t="shared" si="52"/>
        <v>1.4067979172715992E-3</v>
      </c>
      <c r="AB153" s="349">
        <f t="shared" si="53"/>
        <v>8.8659514648461361E-4</v>
      </c>
      <c r="AC153" s="349">
        <f t="shared" si="54"/>
        <v>6.3753574667761844E-4</v>
      </c>
      <c r="AD153" s="349">
        <f t="shared" si="55"/>
        <v>1.8973156719583053E-3</v>
      </c>
      <c r="AE153" s="349">
        <f t="shared" si="56"/>
        <v>8.8659514648461361E-4</v>
      </c>
      <c r="AF153" s="349">
        <f ca="1">Steel!H121</f>
        <v>0.38899796164258682</v>
      </c>
      <c r="AG153" s="349">
        <f ca="1">Steel!H121</f>
        <v>0.38899796164258682</v>
      </c>
      <c r="AH153" s="349">
        <f ca="1">Steel!H121</f>
        <v>0.38899796164258682</v>
      </c>
      <c r="AI153" s="349">
        <f ca="1">Steel!$D$140*Steel!C155+Steel!D155</f>
        <v>2.1933994078140131</v>
      </c>
      <c r="AJ153" s="349">
        <f ca="1">Steel!$D$208*Steel!C223+Steel!D223</f>
        <v>2.1933994078140131</v>
      </c>
      <c r="AK153" s="349">
        <f ca="1">'C.Iron'!C75+'C.Iron'!E75</f>
        <v>2.3458365819628186</v>
      </c>
      <c r="AL153" s="349">
        <f>'C.Iron'!D75+'C.Iron'!E75</f>
        <v>22.890653782060394</v>
      </c>
      <c r="AM153" s="349">
        <f ca="1">W.Al!$I$122*W.Al!I139</f>
        <v>0.38899796164258693</v>
      </c>
      <c r="AN153" s="349">
        <f ca="1">W.Al!$I$123*W.Al!I139</f>
        <v>0.38899796164258693</v>
      </c>
      <c r="AO153" s="349">
        <f ca="1">W.Al!$J$124*W.Al!J139</f>
        <v>3.9103878545395609</v>
      </c>
      <c r="AP153" s="349">
        <f ca="1">W.Al!$F$160*W.Al!F177</f>
        <v>0.38899796164258693</v>
      </c>
      <c r="AQ153" s="349">
        <f ca="1">W.Al!$F$161*W.Al!F177</f>
        <v>0.38899796164258693</v>
      </c>
      <c r="AR153" s="349">
        <f ca="1">W.Al!$G$162*W.Al!G177</f>
        <v>3.9103878545395609</v>
      </c>
      <c r="AS153" s="349">
        <f ca="1">'C.Al'!$G$113*'C.Al'!G128+'C.Al'!$H$113*'C.Al'!H128</f>
        <v>5.9241928398854533</v>
      </c>
      <c r="AT153" s="349">
        <f ca="1">'C.Al'!$D$149*'C.Al'!D164+'C.Al'!$E$149*'C.Al'!E164</f>
        <v>5.9241928398854533</v>
      </c>
      <c r="AU153" s="349">
        <f>Copper!D76</f>
        <v>1.6826151960868638</v>
      </c>
      <c r="AV153" s="349">
        <f>Glass!B84</f>
        <v>1.6801848448634942</v>
      </c>
      <c r="AW153" s="349">
        <f>Vehi_Plastics!B$19*Vehi_Plastics!X118</f>
        <v>1.5522729540203846</v>
      </c>
      <c r="AX153" s="349">
        <f>Vehi_Plastics!C$19*Vehi_Plastics!AA118</f>
        <v>7.5152024426845632</v>
      </c>
      <c r="AY153" s="349">
        <f>Vehi_Plastics!D$19*Vehi_Plastics!AB118</f>
        <v>2.5058155249037459</v>
      </c>
      <c r="AZ153" s="349">
        <f>Vehi_Plastics!E$19*Vehi_Plastics!AC118</f>
        <v>0.93976397843245441</v>
      </c>
      <c r="BA153" s="349">
        <f>Vehi_Plastics!F$19*Vehi_Plastics!AD118</f>
        <v>3.7946313439166111</v>
      </c>
      <c r="BB153" s="349">
        <f>Vehi_Plastics!G$19*Vehi_Plastics!AE118</f>
        <v>0.72528997007558427</v>
      </c>
      <c r="BC153" s="349">
        <f>Vehi_Plastics!H$19*Vehi_Plastics!AF118</f>
        <v>0.74049816461988838</v>
      </c>
      <c r="BD153" s="349">
        <f>Vehi_Plastics!I$19*Vehi_Plastics!AG118</f>
        <v>0.9825101574552555</v>
      </c>
      <c r="BE153" s="349">
        <f>Vehi_Plastics!J$19*Vehi_Plastics!AH118</f>
        <v>2.8135958345431984</v>
      </c>
      <c r="BF153" s="349">
        <f>Vehi_Plastics!K$19*Vehi_Plastics!AI118</f>
        <v>1.7731902929692271</v>
      </c>
      <c r="BG153" s="349">
        <f>Vehi_Plastics!L$19*Vehi_Plastics!AJ118</f>
        <v>1.275071493355237</v>
      </c>
      <c r="BH153" s="349">
        <f>Rubber!$A$6*Rubber!C78</f>
        <v>3.7946313439166106</v>
      </c>
      <c r="BI153" s="348">
        <f>Rubber!$B$6*Rubber!D78</f>
        <v>1.7731902929692271</v>
      </c>
    </row>
    <row r="154" spans="1:61" s="496" customFormat="1">
      <c r="A154" s="794" t="s">
        <v>828</v>
      </c>
      <c r="B154" s="349">
        <f t="shared" ca="1" si="27"/>
        <v>9.2576802741031034E-4</v>
      </c>
      <c r="C154" s="349">
        <f t="shared" ca="1" si="28"/>
        <v>9.2576802741031034E-4</v>
      </c>
      <c r="D154" s="349">
        <f t="shared" ca="1" si="29"/>
        <v>9.2576802741031034E-4</v>
      </c>
      <c r="E154" s="349">
        <f t="shared" ca="1" si="30"/>
        <v>3.5137291147661256E-3</v>
      </c>
      <c r="F154" s="349">
        <f t="shared" ca="1" si="31"/>
        <v>3.5137291147661256E-3</v>
      </c>
      <c r="G154" s="349">
        <f t="shared" ca="1" si="32"/>
        <v>3.2164811464074111E-3</v>
      </c>
      <c r="H154" s="349">
        <f t="shared" si="33"/>
        <v>2.8671471187464898E-2</v>
      </c>
      <c r="I154" s="349">
        <f t="shared" ca="1" si="34"/>
        <v>9.2576802741031077E-4</v>
      </c>
      <c r="J154" s="349">
        <f t="shared" ca="1" si="35"/>
        <v>9.2576802741031077E-4</v>
      </c>
      <c r="K154" s="349">
        <f t="shared" ca="1" si="36"/>
        <v>5.0756568424808555E-3</v>
      </c>
      <c r="L154" s="349">
        <f t="shared" ca="1" si="37"/>
        <v>9.2576802741031077E-4</v>
      </c>
      <c r="M154" s="349">
        <f t="shared" ca="1" si="38"/>
        <v>9.2576802741031077E-4</v>
      </c>
      <c r="N154" s="349">
        <f t="shared" ca="1" si="39"/>
        <v>5.0756568424808555E-3</v>
      </c>
      <c r="O154" s="349">
        <f t="shared" ca="1" si="40"/>
        <v>7.4699571245323776E-3</v>
      </c>
      <c r="P154" s="349">
        <f t="shared" ca="1" si="41"/>
        <v>7.4699571245323776E-3</v>
      </c>
      <c r="Q154" s="349">
        <f t="shared" si="42"/>
        <v>2.1829870722602988E-3</v>
      </c>
      <c r="R154" s="349">
        <f t="shared" si="43"/>
        <v>1.3768587811476022E-3</v>
      </c>
      <c r="S154" s="349">
        <f t="shared" si="44"/>
        <v>3.6942215958606756E-3</v>
      </c>
      <c r="T154" s="349">
        <f t="shared" si="45"/>
        <v>6.5349028525160183E-3</v>
      </c>
      <c r="U154" s="349">
        <f t="shared" si="46"/>
        <v>5.7253526494666206E-3</v>
      </c>
      <c r="V154" s="349">
        <f t="shared" si="47"/>
        <v>2.2365244302849133E-3</v>
      </c>
      <c r="W154" s="349">
        <f t="shared" si="48"/>
        <v>5.6753434105765374E-3</v>
      </c>
      <c r="X154" s="349">
        <f t="shared" si="49"/>
        <v>1.7261022707216356E-3</v>
      </c>
      <c r="Y154" s="349">
        <f t="shared" si="50"/>
        <v>1.7622959314912226E-3</v>
      </c>
      <c r="Z154" s="349">
        <f t="shared" si="51"/>
        <v>2.3382551582973809E-3</v>
      </c>
      <c r="AA154" s="349">
        <f t="shared" si="52"/>
        <v>6.6960172610574433E-3</v>
      </c>
      <c r="AB154" s="349">
        <f t="shared" si="53"/>
        <v>4.2199781017194836E-3</v>
      </c>
      <c r="AC154" s="349">
        <f t="shared" si="54"/>
        <v>3.0345156982986262E-3</v>
      </c>
      <c r="AD154" s="349">
        <f t="shared" si="55"/>
        <v>5.6753434105765365E-3</v>
      </c>
      <c r="AE154" s="349">
        <f t="shared" si="56"/>
        <v>4.2199781017194836E-3</v>
      </c>
      <c r="AF154" s="349">
        <f ca="1">Steel!H122</f>
        <v>1.8515360548206208</v>
      </c>
      <c r="AG154" s="349">
        <f ca="1">Steel!H122</f>
        <v>1.8515360548206208</v>
      </c>
      <c r="AH154" s="349">
        <f ca="1">Steel!H122</f>
        <v>1.8515360548206208</v>
      </c>
      <c r="AI154" s="349">
        <f ca="1">Steel!$D$140*Steel!C156+Steel!D156</f>
        <v>7.0274582295322512</v>
      </c>
      <c r="AJ154" s="349">
        <f ca="1">Steel!$D$208*Steel!C224+Steel!D224</f>
        <v>7.0274582295322512</v>
      </c>
      <c r="AK154" s="349">
        <f ca="1">'C.Iron'!C76+'C.Iron'!E76</f>
        <v>6.432962292814822</v>
      </c>
      <c r="AL154" s="349">
        <f>'C.Iron'!D76+'C.Iron'!E76</f>
        <v>57.342942374929798</v>
      </c>
      <c r="AM154" s="349">
        <f ca="1">W.Al!$I$122*W.Al!I140</f>
        <v>1.8515360548206214</v>
      </c>
      <c r="AN154" s="349">
        <f ca="1">W.Al!$I$123*W.Al!I140</f>
        <v>1.8515360548206214</v>
      </c>
      <c r="AO154" s="349">
        <f ca="1">W.Al!$J$124*W.Al!J140</f>
        <v>10.15131368496171</v>
      </c>
      <c r="AP154" s="349">
        <f ca="1">W.Al!$F$160*W.Al!F178</f>
        <v>1.8515360548206214</v>
      </c>
      <c r="AQ154" s="349">
        <f ca="1">W.Al!$F$161*W.Al!F178</f>
        <v>1.8515360548206214</v>
      </c>
      <c r="AR154" s="349">
        <f ca="1">W.Al!$G$162*W.Al!G178</f>
        <v>10.15131368496171</v>
      </c>
      <c r="AS154" s="349">
        <f ca="1">'C.Al'!$G$113*'C.Al'!G129+'C.Al'!$H$113*'C.Al'!H129</f>
        <v>14.939914249064755</v>
      </c>
      <c r="AT154" s="349">
        <f ca="1">'C.Al'!$D$149*'C.Al'!D165+'C.Al'!$E$149*'C.Al'!E165</f>
        <v>14.939914249064755</v>
      </c>
      <c r="AU154" s="349">
        <f>Copper!D77</f>
        <v>4.3659741445205977</v>
      </c>
      <c r="AV154" s="349">
        <f>Glass!B85</f>
        <v>2.7537175622952046</v>
      </c>
      <c r="AW154" s="349">
        <f>Vehi_Plastics!B$19*Vehi_Plastics!X119</f>
        <v>7.3884431917213513</v>
      </c>
      <c r="AX154" s="349">
        <f>Vehi_Plastics!C$19*Vehi_Plastics!AA119</f>
        <v>13.069805705032037</v>
      </c>
      <c r="AY154" s="349">
        <f>Vehi_Plastics!D$19*Vehi_Plastics!AB119</f>
        <v>11.450705298933242</v>
      </c>
      <c r="AZ154" s="349">
        <f>Vehi_Plastics!E$19*Vehi_Plastics!AC119</f>
        <v>4.4730488605698264</v>
      </c>
      <c r="BA154" s="349">
        <f>Vehi_Plastics!F$19*Vehi_Plastics!AD119</f>
        <v>11.350686821153074</v>
      </c>
      <c r="BB154" s="349">
        <f>Vehi_Plastics!G$19*Vehi_Plastics!AE119</f>
        <v>3.4522045414432712</v>
      </c>
      <c r="BC154" s="349">
        <f>Vehi_Plastics!H$19*Vehi_Plastics!AF119</f>
        <v>3.5245918629824451</v>
      </c>
      <c r="BD154" s="349">
        <f>Vehi_Plastics!I$19*Vehi_Plastics!AG119</f>
        <v>4.6765103165947615</v>
      </c>
      <c r="BE154" s="349">
        <f>Vehi_Plastics!J$19*Vehi_Plastics!AH119</f>
        <v>13.392034522114887</v>
      </c>
      <c r="BF154" s="349">
        <f>Vehi_Plastics!K$19*Vehi_Plastics!AI119</f>
        <v>8.4399562034389675</v>
      </c>
      <c r="BG154" s="349">
        <f>Vehi_Plastics!L$19*Vehi_Plastics!AJ119</f>
        <v>6.0690313965972527</v>
      </c>
      <c r="BH154" s="349">
        <f>Rubber!$A$6*Rubber!C79</f>
        <v>11.350686821153072</v>
      </c>
      <c r="BI154" s="348">
        <f>Rubber!$B$6*Rubber!D79</f>
        <v>8.4399562034389675</v>
      </c>
    </row>
    <row r="155" spans="1:61" s="496" customFormat="1">
      <c r="A155" s="494" t="s">
        <v>829</v>
      </c>
      <c r="B155" s="349">
        <f t="shared" ca="1" si="27"/>
        <v>0.11518438294308143</v>
      </c>
      <c r="C155" s="349">
        <f t="shared" ca="1" si="28"/>
        <v>0.11518438294308143</v>
      </c>
      <c r="D155" s="349">
        <f t="shared" ca="1" si="29"/>
        <v>0.11518438294308143</v>
      </c>
      <c r="E155" s="349">
        <f t="shared" ca="1" si="30"/>
        <v>0.45102850755732854</v>
      </c>
      <c r="F155" s="349">
        <f t="shared" ca="1" si="31"/>
        <v>0.45102850755732854</v>
      </c>
      <c r="G155" s="349">
        <f t="shared" ca="1" si="32"/>
        <v>1.483468559301454</v>
      </c>
      <c r="H155" s="349">
        <f t="shared" si="33"/>
        <v>3.7767641608601097</v>
      </c>
      <c r="I155" s="349">
        <f t="shared" ca="1" si="34"/>
        <v>0.11518438294308146</v>
      </c>
      <c r="J155" s="349">
        <f t="shared" ca="1" si="35"/>
        <v>0.11518438294308146</v>
      </c>
      <c r="K155" s="349">
        <f t="shared" ca="1" si="36"/>
        <v>0.66637660548352973</v>
      </c>
      <c r="L155" s="349">
        <f t="shared" ca="1" si="37"/>
        <v>0.11518438294308146</v>
      </c>
      <c r="M155" s="349">
        <f t="shared" ca="1" si="38"/>
        <v>0.11518438294308146</v>
      </c>
      <c r="N155" s="349">
        <f t="shared" ca="1" si="39"/>
        <v>0.66637660548352973</v>
      </c>
      <c r="O155" s="349">
        <f t="shared" ca="1" si="40"/>
        <v>0.98321798654813475</v>
      </c>
      <c r="P155" s="349">
        <f t="shared" ca="1" si="41"/>
        <v>0.98321798654813475</v>
      </c>
      <c r="Q155" s="349">
        <f t="shared" si="42"/>
        <v>0.26301426307173287</v>
      </c>
      <c r="R155" s="349">
        <f t="shared" si="43"/>
        <v>0.13453960608545398</v>
      </c>
      <c r="S155" s="349">
        <f t="shared" si="44"/>
        <v>0.45963634774094858</v>
      </c>
      <c r="T155" s="349">
        <f t="shared" si="45"/>
        <v>0.79173939372032631</v>
      </c>
      <c r="U155" s="349">
        <f t="shared" si="46"/>
        <v>0.71036412517202663</v>
      </c>
      <c r="V155" s="349">
        <f t="shared" si="47"/>
        <v>0.2782691547040409</v>
      </c>
      <c r="W155" s="349">
        <f t="shared" si="48"/>
        <v>0.73336237965617257</v>
      </c>
      <c r="X155" s="349">
        <f t="shared" si="49"/>
        <v>0.21476225043749983</v>
      </c>
      <c r="Y155" s="349">
        <f t="shared" si="50"/>
        <v>0.21926547841552585</v>
      </c>
      <c r="Z155" s="349">
        <f t="shared" si="51"/>
        <v>0.29092652759392701</v>
      </c>
      <c r="AA155" s="349">
        <f t="shared" si="52"/>
        <v>0.83312081812616512</v>
      </c>
      <c r="AB155" s="349">
        <f t="shared" si="53"/>
        <v>0.52505115675640079</v>
      </c>
      <c r="AC155" s="349">
        <f t="shared" si="54"/>
        <v>0.37755550838947488</v>
      </c>
      <c r="AD155" s="349">
        <f t="shared" si="55"/>
        <v>0.73336237965617246</v>
      </c>
      <c r="AE155" s="349">
        <f t="shared" si="56"/>
        <v>0.52505115675640079</v>
      </c>
      <c r="AF155" s="349">
        <f ca="1">Steel!H123</f>
        <v>230.36876588616286</v>
      </c>
      <c r="AG155" s="349">
        <f ca="1">Steel!H123</f>
        <v>230.36876588616286</v>
      </c>
      <c r="AH155" s="349">
        <f ca="1">Steel!H123</f>
        <v>230.36876588616286</v>
      </c>
      <c r="AI155" s="349">
        <f ca="1">Steel!$D$140*Steel!C157+Steel!D157</f>
        <v>902.05701511465713</v>
      </c>
      <c r="AJ155" s="349">
        <f ca="1">Steel!$D$208*Steel!C225+Steel!D225</f>
        <v>902.05701511465713</v>
      </c>
      <c r="AK155" s="349">
        <f ca="1">'C.Iron'!C77+'C.Iron'!E77</f>
        <v>2966.937118602908</v>
      </c>
      <c r="AL155" s="349">
        <f>'C.Iron'!D77+'C.Iron'!E77</f>
        <v>7553.5283217202195</v>
      </c>
      <c r="AM155" s="349">
        <f ca="1">W.Al!$I$122*W.Al!I141</f>
        <v>230.36876588616292</v>
      </c>
      <c r="AN155" s="349">
        <f ca="1">W.Al!$I$123*W.Al!I141</f>
        <v>230.36876588616292</v>
      </c>
      <c r="AO155" s="349">
        <f ca="1">W.Al!$J$124*W.Al!J141</f>
        <v>1332.7532109670594</v>
      </c>
      <c r="AP155" s="349">
        <f ca="1">W.Al!$F$160*W.Al!F179</f>
        <v>230.36876588616292</v>
      </c>
      <c r="AQ155" s="349">
        <f ca="1">W.Al!$F$161*W.Al!F179</f>
        <v>230.36876588616292</v>
      </c>
      <c r="AR155" s="349">
        <f ca="1">W.Al!$G$162*W.Al!G179</f>
        <v>1332.7532109670594</v>
      </c>
      <c r="AS155" s="349">
        <f ca="1">'C.Al'!$G$113*'C.Al'!G130+'C.Al'!$H$113*'C.Al'!H130</f>
        <v>1966.4359730962694</v>
      </c>
      <c r="AT155" s="349">
        <f ca="1">'C.Al'!$D$149*'C.Al'!D166+'C.Al'!$E$149*'C.Al'!E166</f>
        <v>1966.4359730962694</v>
      </c>
      <c r="AU155" s="349">
        <f>Copper!D78</f>
        <v>526.02852614346568</v>
      </c>
      <c r="AV155" s="349">
        <f>Glass!B86</f>
        <v>269.07921217090797</v>
      </c>
      <c r="AW155" s="349">
        <f>Vehi_Plastics!B$19*Vehi_Plastics!X120</f>
        <v>919.27269548189713</v>
      </c>
      <c r="AX155" s="349">
        <f>Vehi_Plastics!C$19*Vehi_Plastics!AA120</f>
        <v>1583.4787874406527</v>
      </c>
      <c r="AY155" s="349">
        <f>Vehi_Plastics!D$19*Vehi_Plastics!AB120</f>
        <v>1420.7282503440533</v>
      </c>
      <c r="AZ155" s="349">
        <f>Vehi_Plastics!E$19*Vehi_Plastics!AC120</f>
        <v>556.53830940808177</v>
      </c>
      <c r="BA155" s="349">
        <f>Vehi_Plastics!F$19*Vehi_Plastics!AD120</f>
        <v>1466.7247593123452</v>
      </c>
      <c r="BB155" s="349">
        <f>Vehi_Plastics!G$19*Vehi_Plastics!AE120</f>
        <v>429.52450087499966</v>
      </c>
      <c r="BC155" s="349">
        <f>Vehi_Plastics!H$19*Vehi_Plastics!AF120</f>
        <v>438.5309568310517</v>
      </c>
      <c r="BD155" s="349">
        <f>Vehi_Plastics!I$19*Vehi_Plastics!AG120</f>
        <v>581.85305518785401</v>
      </c>
      <c r="BE155" s="349">
        <f>Vehi_Plastics!J$19*Vehi_Plastics!AH120</f>
        <v>1666.2416362523302</v>
      </c>
      <c r="BF155" s="349">
        <f>Vehi_Plastics!K$19*Vehi_Plastics!AI120</f>
        <v>1050.1023135128016</v>
      </c>
      <c r="BG155" s="349">
        <f>Vehi_Plastics!L$19*Vehi_Plastics!AJ120</f>
        <v>755.11101677894976</v>
      </c>
      <c r="BH155" s="349">
        <f>Rubber!$A$6*Rubber!C80</f>
        <v>1466.724759312345</v>
      </c>
      <c r="BI155" s="348">
        <f>Rubber!$B$6*Rubber!D80</f>
        <v>1050.1023135128016</v>
      </c>
    </row>
    <row r="156" spans="1:61" s="496" customFormat="1">
      <c r="A156" s="494" t="s">
        <v>830</v>
      </c>
      <c r="B156" s="349">
        <f t="shared" ca="1" si="27"/>
        <v>1.0450455021032963E-3</v>
      </c>
      <c r="C156" s="349">
        <f t="shared" ca="1" si="28"/>
        <v>1.0450455021032963E-3</v>
      </c>
      <c r="D156" s="349">
        <f t="shared" ca="1" si="29"/>
        <v>1.0450455021032963E-3</v>
      </c>
      <c r="E156" s="349">
        <f t="shared" ca="1" si="30"/>
        <v>4.3046264019876521E-3</v>
      </c>
      <c r="F156" s="349">
        <f t="shared" ca="1" si="31"/>
        <v>4.3046264019876521E-3</v>
      </c>
      <c r="G156" s="349">
        <f t="shared" ca="1" si="32"/>
        <v>2.182996905942142E-3</v>
      </c>
      <c r="H156" s="349">
        <f t="shared" si="33"/>
        <v>3.7480124922248961E-2</v>
      </c>
      <c r="I156" s="349">
        <f t="shared" ca="1" si="34"/>
        <v>1.0450455021032965E-3</v>
      </c>
      <c r="J156" s="349">
        <f t="shared" ca="1" si="35"/>
        <v>1.0450455021032965E-3</v>
      </c>
      <c r="K156" s="349">
        <f t="shared" ca="1" si="36"/>
        <v>6.560946219583589E-3</v>
      </c>
      <c r="L156" s="349">
        <f t="shared" ca="1" si="37"/>
        <v>1.0450455021032965E-3</v>
      </c>
      <c r="M156" s="349">
        <f t="shared" ca="1" si="38"/>
        <v>1.0450455021032965E-3</v>
      </c>
      <c r="N156" s="349">
        <f t="shared" ca="1" si="39"/>
        <v>6.560946219583589E-3</v>
      </c>
      <c r="O156" s="349">
        <f t="shared" ca="1" si="40"/>
        <v>9.7462274022945723E-3</v>
      </c>
      <c r="P156" s="349">
        <f t="shared" ca="1" si="41"/>
        <v>9.7462274022945723E-3</v>
      </c>
      <c r="Q156" s="349">
        <f t="shared" si="42"/>
        <v>2.7741763788458186E-3</v>
      </c>
      <c r="R156" s="349">
        <f t="shared" si="43"/>
        <v>5.9928737588816911E-4</v>
      </c>
      <c r="S156" s="349">
        <f t="shared" si="44"/>
        <v>4.1701911798861322E-3</v>
      </c>
      <c r="T156" s="349">
        <f t="shared" si="45"/>
        <v>9.3713476133657422E-3</v>
      </c>
      <c r="U156" s="349">
        <f t="shared" si="46"/>
        <v>6.4830263241624541E-3</v>
      </c>
      <c r="V156" s="349">
        <f t="shared" si="47"/>
        <v>2.5246819149193651E-3</v>
      </c>
      <c r="W156" s="349">
        <f t="shared" si="48"/>
        <v>7.0715979654143654E-3</v>
      </c>
      <c r="X156" s="349">
        <f t="shared" si="49"/>
        <v>1.9484961251404758E-3</v>
      </c>
      <c r="Y156" s="349">
        <f t="shared" si="50"/>
        <v>1.9893530366690755E-3</v>
      </c>
      <c r="Z156" s="349">
        <f t="shared" si="51"/>
        <v>2.6395197971829359E-3</v>
      </c>
      <c r="AA156" s="349">
        <f t="shared" si="52"/>
        <v>7.5587431337944483E-3</v>
      </c>
      <c r="AB156" s="349">
        <f t="shared" si="53"/>
        <v>4.7636870183482396E-3</v>
      </c>
      <c r="AC156" s="349">
        <f t="shared" si="54"/>
        <v>3.425487689869537E-3</v>
      </c>
      <c r="AD156" s="349">
        <f t="shared" si="55"/>
        <v>7.0715979654143645E-3</v>
      </c>
      <c r="AE156" s="349">
        <f t="shared" si="56"/>
        <v>4.7636870183482396E-3</v>
      </c>
      <c r="AF156" s="349">
        <f ca="1">Steel!H124</f>
        <v>2.0900910042065926</v>
      </c>
      <c r="AG156" s="349">
        <f ca="1">Steel!H124</f>
        <v>2.0900910042065926</v>
      </c>
      <c r="AH156" s="349">
        <f ca="1">Steel!H124</f>
        <v>2.0900910042065926</v>
      </c>
      <c r="AI156" s="349">
        <f ca="1">Steel!$D$140*Steel!C158+Steel!D158</f>
        <v>8.6092528039753038</v>
      </c>
      <c r="AJ156" s="349">
        <f ca="1">Steel!$D$208*Steel!C226+Steel!D226</f>
        <v>8.6092528039753038</v>
      </c>
      <c r="AK156" s="349">
        <f ca="1">'C.Iron'!C78+'C.Iron'!E78</f>
        <v>4.3659938118842838</v>
      </c>
      <c r="AL156" s="349">
        <f>'C.Iron'!D78+'C.Iron'!E78</f>
        <v>74.960249844497923</v>
      </c>
      <c r="AM156" s="349">
        <f ca="1">W.Al!$I$122*W.Al!I142</f>
        <v>2.090091004206593</v>
      </c>
      <c r="AN156" s="349">
        <f ca="1">W.Al!$I$123*W.Al!I142</f>
        <v>2.090091004206593</v>
      </c>
      <c r="AO156" s="349">
        <f ca="1">W.Al!$J$124*W.Al!J142</f>
        <v>13.121892439167178</v>
      </c>
      <c r="AP156" s="349">
        <f ca="1">W.Al!$F$160*W.Al!F180</f>
        <v>2.090091004206593</v>
      </c>
      <c r="AQ156" s="349">
        <f ca="1">W.Al!$F$161*W.Al!F180</f>
        <v>2.090091004206593</v>
      </c>
      <c r="AR156" s="349">
        <f ca="1">W.Al!$G$162*W.Al!G180</f>
        <v>13.121892439167178</v>
      </c>
      <c r="AS156" s="349">
        <f ca="1">'C.Al'!$G$113*'C.Al'!G131+'C.Al'!$H$113*'C.Al'!H131</f>
        <v>19.492454804589144</v>
      </c>
      <c r="AT156" s="349">
        <f ca="1">'C.Al'!$D$149*'C.Al'!D167+'C.Al'!$E$149*'C.Al'!E167</f>
        <v>19.492454804589144</v>
      </c>
      <c r="AU156" s="349">
        <f>Copper!D79</f>
        <v>5.5483527576916369</v>
      </c>
      <c r="AV156" s="349">
        <f>Glass!B87</f>
        <v>1.1985747517763383</v>
      </c>
      <c r="AW156" s="349">
        <f>Vehi_Plastics!B$19*Vehi_Plastics!X121</f>
        <v>8.3403823597722653</v>
      </c>
      <c r="AX156" s="349">
        <f>Vehi_Plastics!C$19*Vehi_Plastics!AA121</f>
        <v>18.742695226731485</v>
      </c>
      <c r="AY156" s="349">
        <f>Vehi_Plastics!D$19*Vehi_Plastics!AB121</f>
        <v>12.966052648324908</v>
      </c>
      <c r="AZ156" s="349">
        <f>Vehi_Plastics!E$19*Vehi_Plastics!AC121</f>
        <v>5.0493638298387298</v>
      </c>
      <c r="BA156" s="349">
        <f>Vehi_Plastics!F$19*Vehi_Plastics!AD121</f>
        <v>14.14319593082873</v>
      </c>
      <c r="BB156" s="349">
        <f>Vehi_Plastics!G$19*Vehi_Plastics!AE121</f>
        <v>3.8969922502809515</v>
      </c>
      <c r="BC156" s="349">
        <f>Vehi_Plastics!H$19*Vehi_Plastics!AF121</f>
        <v>3.978706073338151</v>
      </c>
      <c r="BD156" s="349">
        <f>Vehi_Plastics!I$19*Vehi_Plastics!AG121</f>
        <v>5.2790395943658721</v>
      </c>
      <c r="BE156" s="349">
        <f>Vehi_Plastics!J$19*Vehi_Plastics!AH121</f>
        <v>15.117486267588896</v>
      </c>
      <c r="BF156" s="349">
        <f>Vehi_Plastics!K$19*Vehi_Plastics!AI121</f>
        <v>9.5273740366964788</v>
      </c>
      <c r="BG156" s="349">
        <f>Vehi_Plastics!L$19*Vehi_Plastics!AJ121</f>
        <v>6.850975379739074</v>
      </c>
      <c r="BH156" s="349">
        <f>Rubber!$A$6*Rubber!C81</f>
        <v>14.143195930828728</v>
      </c>
      <c r="BI156" s="348">
        <f>Rubber!$B$6*Rubber!D81</f>
        <v>9.5273740366964788</v>
      </c>
    </row>
    <row r="157" spans="1:61" s="535" customFormat="1">
      <c r="A157" s="630" t="s">
        <v>831</v>
      </c>
      <c r="B157" s="246">
        <f t="shared" ca="1" si="27"/>
        <v>50.894793315678534</v>
      </c>
      <c r="C157" s="246">
        <f t="shared" ca="1" si="28"/>
        <v>50.894793315678534</v>
      </c>
      <c r="D157" s="246">
        <f t="shared" ca="1" si="29"/>
        <v>50.894793315678534</v>
      </c>
      <c r="E157" s="246">
        <f t="shared" ca="1" si="30"/>
        <v>166.32313476155511</v>
      </c>
      <c r="F157" s="246">
        <f t="shared" ca="1" si="31"/>
        <v>166.32313476155511</v>
      </c>
      <c r="G157" s="246">
        <f t="shared" ca="1" si="32"/>
        <v>137.61681706962949</v>
      </c>
      <c r="H157" s="246">
        <f t="shared" si="33"/>
        <v>1170.2131621833844</v>
      </c>
      <c r="I157" s="246">
        <f t="shared" ca="1" si="34"/>
        <v>50.894793315678548</v>
      </c>
      <c r="J157" s="246">
        <f t="shared" ca="1" si="35"/>
        <v>50.894793315678548</v>
      </c>
      <c r="K157" s="246">
        <f t="shared" ca="1" si="36"/>
        <v>213.22712765728267</v>
      </c>
      <c r="L157" s="246">
        <f t="shared" ca="1" si="37"/>
        <v>50.894793315678548</v>
      </c>
      <c r="M157" s="246">
        <f t="shared" ca="1" si="38"/>
        <v>50.894793315678548</v>
      </c>
      <c r="N157" s="246">
        <f t="shared" ca="1" si="39"/>
        <v>213.22712765728267</v>
      </c>
      <c r="O157" s="246">
        <f t="shared" ca="1" si="40"/>
        <v>306.36769057782362</v>
      </c>
      <c r="P157" s="246">
        <f t="shared" ca="1" si="41"/>
        <v>306.36769057782362</v>
      </c>
      <c r="Q157" s="246">
        <f t="shared" si="42"/>
        <v>136.92304188246058</v>
      </c>
      <c r="R157" s="246">
        <f t="shared" si="43"/>
        <v>96.206340744808628</v>
      </c>
      <c r="S157" s="246">
        <f t="shared" si="44"/>
        <v>203.09260961365456</v>
      </c>
      <c r="T157" s="246">
        <f t="shared" si="45"/>
        <v>392.84246437981591</v>
      </c>
      <c r="U157" s="246">
        <f t="shared" si="46"/>
        <v>314.10581919646216</v>
      </c>
      <c r="V157" s="246">
        <f t="shared" si="47"/>
        <v>122.95461201358468</v>
      </c>
      <c r="W157" s="246">
        <f t="shared" si="48"/>
        <v>259.21228244187091</v>
      </c>
      <c r="X157" s="246">
        <f t="shared" si="49"/>
        <v>94.893770047175266</v>
      </c>
      <c r="Y157" s="246">
        <f t="shared" si="50"/>
        <v>96.883543759018394</v>
      </c>
      <c r="Z157" s="246">
        <f t="shared" si="51"/>
        <v>128.54733526903289</v>
      </c>
      <c r="AA157" s="246">
        <f t="shared" si="52"/>
        <v>368.11858311098445</v>
      </c>
      <c r="AB157" s="246">
        <f t="shared" si="53"/>
        <v>231.99646879629384</v>
      </c>
      <c r="AC157" s="246">
        <f t="shared" si="54"/>
        <v>166.82478191660485</v>
      </c>
      <c r="AD157" s="246">
        <f t="shared" si="55"/>
        <v>259.21228244187091</v>
      </c>
      <c r="AE157" s="246">
        <f t="shared" si="56"/>
        <v>231.99646879629384</v>
      </c>
      <c r="AF157" s="246">
        <f ca="1">Steel!H125</f>
        <v>101789.58663135707</v>
      </c>
      <c r="AG157" s="246">
        <f ca="1">Steel!H125</f>
        <v>101789.58663135707</v>
      </c>
      <c r="AH157" s="246">
        <f ca="1">Steel!H125</f>
        <v>101789.58663135707</v>
      </c>
      <c r="AI157" s="246">
        <f ca="1">Steel!$D$140*Steel!C159+Steel!D159</f>
        <v>332646.26952311024</v>
      </c>
      <c r="AJ157" s="246">
        <f ca="1">Steel!$D$208*Steel!C227+Steel!D227</f>
        <v>332646.26952311024</v>
      </c>
      <c r="AK157" s="246">
        <f ca="1">'C.Iron'!C79+'C.Iron'!E79</f>
        <v>275233.634139259</v>
      </c>
      <c r="AL157" s="246">
        <f>'C.Iron'!D79+'C.Iron'!E79</f>
        <v>2340426.3243667688</v>
      </c>
      <c r="AM157" s="246">
        <f ca="1">W.Al!$I$122*W.Al!I145</f>
        <v>101789.5866313571</v>
      </c>
      <c r="AN157" s="246">
        <f ca="1">W.Al!$I$123*W.Al!I145</f>
        <v>101789.5866313571</v>
      </c>
      <c r="AO157" s="246">
        <f ca="1">W.Al!$J$124*W.Al!J145</f>
        <v>426454.25531456532</v>
      </c>
      <c r="AP157" s="246">
        <f ca="1">W.Al!$F$160*W.Al!F183</f>
        <v>101789.5866313571</v>
      </c>
      <c r="AQ157" s="246">
        <f ca="1">W.Al!$F$161*W.Al!F183</f>
        <v>101789.5866313571</v>
      </c>
      <c r="AR157" s="246">
        <f ca="1">W.Al!$G$162*W.Al!G183</f>
        <v>426454.25531456532</v>
      </c>
      <c r="AS157" s="246">
        <f ca="1">'C.Al'!$G$113*'C.Al'!G134+'C.Al'!$H$113*'C.Al'!H134</f>
        <v>612735.38115564722</v>
      </c>
      <c r="AT157" s="246">
        <f ca="1">'C.Al'!$D$149*'C.Al'!D170+'C.Al'!$E$149*'C.Al'!E170</f>
        <v>612735.38115564722</v>
      </c>
      <c r="AU157" s="246">
        <f>Copper!D80</f>
        <v>273846.08376492118</v>
      </c>
      <c r="AV157" s="246">
        <f>Glass!B88</f>
        <v>192412.68148961724</v>
      </c>
      <c r="AW157" s="246">
        <f>Vehi_Plastics!B$19*Vehi_Plastics!X122</f>
        <v>406185.21922730911</v>
      </c>
      <c r="AX157" s="246">
        <f>Vehi_Plastics!C$19*Vehi_Plastics!AA122</f>
        <v>785684.92875963182</v>
      </c>
      <c r="AY157" s="246">
        <f>Vehi_Plastics!D$19*Vehi_Plastics!AB122</f>
        <v>628211.63839292433</v>
      </c>
      <c r="AZ157" s="246">
        <f>Vehi_Plastics!E$19*Vehi_Plastics!AC122</f>
        <v>245909.22402716934</v>
      </c>
      <c r="BA157" s="246">
        <f>Vehi_Plastics!F$19*Vehi_Plastics!AD122</f>
        <v>518424.56488374178</v>
      </c>
      <c r="BB157" s="246">
        <f>Vehi_Plastics!G$19*Vehi_Plastics!AE122</f>
        <v>189787.54009435052</v>
      </c>
      <c r="BC157" s="246">
        <f>Vehi_Plastics!H$19*Vehi_Plastics!AF122</f>
        <v>193767.0875180368</v>
      </c>
      <c r="BD157" s="246">
        <f>Vehi_Plastics!I$19*Vehi_Plastics!AG122</f>
        <v>257094.67053806578</v>
      </c>
      <c r="BE157" s="246">
        <f>Vehi_Plastics!J$19*Vehi_Plastics!AH122</f>
        <v>736237.16622196895</v>
      </c>
      <c r="BF157" s="246">
        <f>Vehi_Plastics!K$19*Vehi_Plastics!AI122</f>
        <v>463992.93759258767</v>
      </c>
      <c r="BG157" s="246">
        <f>Vehi_Plastics!L$19*Vehi_Plastics!AJ122</f>
        <v>333649.56383320969</v>
      </c>
      <c r="BH157" s="246">
        <f>Rubber!$A$6*Rubber!C82</f>
        <v>518424.56488374178</v>
      </c>
      <c r="BI157" s="247">
        <f>Rubber!$B$6*Rubber!D82</f>
        <v>463992.93759258767</v>
      </c>
    </row>
    <row r="158" spans="1:61" s="535" customFormat="1">
      <c r="A158" s="630" t="s">
        <v>850</v>
      </c>
      <c r="B158" s="246">
        <f t="shared" ca="1" si="27"/>
        <v>50.938667849479494</v>
      </c>
      <c r="C158" s="246">
        <f t="shared" ca="1" si="28"/>
        <v>50.938667849479494</v>
      </c>
      <c r="D158" s="246">
        <f t="shared" ca="1" si="29"/>
        <v>50.938667849479494</v>
      </c>
      <c r="E158" s="246">
        <f t="shared" ca="1" si="30"/>
        <v>166.53932139448725</v>
      </c>
      <c r="F158" s="246">
        <f t="shared" ca="1" si="31"/>
        <v>166.53932139448725</v>
      </c>
      <c r="G158" s="246">
        <f t="shared" ca="1" si="32"/>
        <v>140.95132903438858</v>
      </c>
      <c r="H158" s="246">
        <f t="shared" si="33"/>
        <v>1172.3230497579282</v>
      </c>
      <c r="I158" s="246">
        <f t="shared" ca="1" si="34"/>
        <v>50.938667849479508</v>
      </c>
      <c r="J158" s="246">
        <f t="shared" ca="1" si="35"/>
        <v>50.938667849479508</v>
      </c>
      <c r="K158" s="246">
        <f t="shared" ca="1" si="36"/>
        <v>213.98588668400134</v>
      </c>
      <c r="L158" s="246">
        <f t="shared" ca="1" si="37"/>
        <v>50.938667849479508</v>
      </c>
      <c r="M158" s="246">
        <f t="shared" ca="1" si="38"/>
        <v>50.938667849479508</v>
      </c>
      <c r="N158" s="246">
        <f t="shared" ca="1" si="39"/>
        <v>213.98588668400134</v>
      </c>
      <c r="O158" s="246">
        <f t="shared" ca="1" si="40"/>
        <v>306.91464618623183</v>
      </c>
      <c r="P158" s="246">
        <f t="shared" ca="1" si="41"/>
        <v>306.91464618623183</v>
      </c>
      <c r="Q158" s="246">
        <f t="shared" si="42"/>
        <v>137.04610185979988</v>
      </c>
      <c r="R158" s="246">
        <f t="shared" si="43"/>
        <v>96.359486540681942</v>
      </c>
      <c r="S158" s="246">
        <f t="shared" si="44"/>
        <v>203.26768830019031</v>
      </c>
      <c r="T158" s="246">
        <f t="shared" si="45"/>
        <v>393.32382602704655</v>
      </c>
      <c r="U158" s="246">
        <f t="shared" si="46"/>
        <v>314.37884695927232</v>
      </c>
      <c r="V158" s="246">
        <f t="shared" si="47"/>
        <v>123.06060667294626</v>
      </c>
      <c r="W158" s="246">
        <f t="shared" si="48"/>
        <v>259.57891150112533</v>
      </c>
      <c r="X158" s="246">
        <f t="shared" si="49"/>
        <v>94.975574484332725</v>
      </c>
      <c r="Y158" s="246">
        <f t="shared" si="50"/>
        <v>96.967063507080766</v>
      </c>
      <c r="Z158" s="246">
        <f t="shared" si="51"/>
        <v>128.65815120989549</v>
      </c>
      <c r="AA158" s="246">
        <f t="shared" si="52"/>
        <v>368.43592463386449</v>
      </c>
      <c r="AB158" s="246">
        <f t="shared" si="53"/>
        <v>232.19646443924242</v>
      </c>
      <c r="AC158" s="246">
        <f t="shared" si="54"/>
        <v>166.96859543968253</v>
      </c>
      <c r="AD158" s="246">
        <f t="shared" si="55"/>
        <v>259.57891150112533</v>
      </c>
      <c r="AE158" s="246">
        <f t="shared" si="56"/>
        <v>232.19646443924242</v>
      </c>
      <c r="AF158" s="246">
        <f ca="1">Steel!H126</f>
        <v>101877.33569895898</v>
      </c>
      <c r="AG158" s="246">
        <f ca="1">Steel!H126</f>
        <v>101877.33569895898</v>
      </c>
      <c r="AH158" s="246">
        <f ca="1">Steel!H126</f>
        <v>101877.33569895898</v>
      </c>
      <c r="AI158" s="246">
        <f ca="1">Steel!$D$140*Steel!C160+Steel!D160</f>
        <v>333078.64278897451</v>
      </c>
      <c r="AJ158" s="246">
        <f ca="1">Steel!$D$208*Steel!C228+Steel!D228</f>
        <v>333078.64278897451</v>
      </c>
      <c r="AK158" s="246">
        <f ca="1">'C.Iron'!C80+'C.Iron'!E80</f>
        <v>281902.65806877718</v>
      </c>
      <c r="AL158" s="246">
        <f>'C.Iron'!D80+'C.Iron'!E80</f>
        <v>2344646.0995158562</v>
      </c>
      <c r="AM158" s="246">
        <f ca="1">W.Al!$I$122*W.Al!I146</f>
        <v>101877.33569895901</v>
      </c>
      <c r="AN158" s="246">
        <f ca="1">W.Al!$I$123*W.Al!I146</f>
        <v>101877.33569895901</v>
      </c>
      <c r="AO158" s="246">
        <f ca="1">W.Al!$J$124*W.Al!J146</f>
        <v>427971.77336800267</v>
      </c>
      <c r="AP158" s="246">
        <f ca="1">W.Al!$F$160*W.Al!F184</f>
        <v>101877.33569895901</v>
      </c>
      <c r="AQ158" s="246">
        <f ca="1">W.Al!$F$161*W.Al!F184</f>
        <v>101877.33569895901</v>
      </c>
      <c r="AR158" s="246">
        <f ca="1">W.Al!$G$162*W.Al!G184</f>
        <v>427971.77336800267</v>
      </c>
      <c r="AS158" s="246">
        <f ca="1">'C.Al'!$G$113*'C.Al'!G135+'C.Al'!$H$113*'C.Al'!H135</f>
        <v>613829.29237246362</v>
      </c>
      <c r="AT158" s="246">
        <f ca="1">'C.Al'!$D$149*'C.Al'!D171+'C.Al'!$E$149*'C.Al'!E171</f>
        <v>613829.29237246362</v>
      </c>
      <c r="AU158" s="246">
        <f>Copper!D81</f>
        <v>274092.20371959975</v>
      </c>
      <c r="AV158" s="246">
        <f>Glass!B89</f>
        <v>192718.97308136389</v>
      </c>
      <c r="AW158" s="246">
        <f>Vehi_Plastics!B$19*Vehi_Plastics!X123</f>
        <v>406535.37660038064</v>
      </c>
      <c r="AX158" s="246">
        <f>Vehi_Plastics!C$19*Vehi_Plastics!AA123</f>
        <v>786647.65205409308</v>
      </c>
      <c r="AY158" s="246">
        <f>Vehi_Plastics!D$19*Vehi_Plastics!AB123</f>
        <v>628757.69391854468</v>
      </c>
      <c r="AZ158" s="246">
        <f>Vehi_Plastics!E$19*Vehi_Plastics!AC123</f>
        <v>246121.21334589252</v>
      </c>
      <c r="BA158" s="246">
        <f>Vehi_Plastics!F$19*Vehi_Plastics!AD123</f>
        <v>519157.82300225063</v>
      </c>
      <c r="BB158" s="246">
        <f>Vehi_Plastics!G$19*Vehi_Plastics!AE123</f>
        <v>189951.14896866545</v>
      </c>
      <c r="BC158" s="246">
        <f>Vehi_Plastics!H$19*Vehi_Plastics!AF123</f>
        <v>193934.12701416152</v>
      </c>
      <c r="BD158" s="246">
        <f>Vehi_Plastics!I$19*Vehi_Plastics!AG123</f>
        <v>257316.302419791</v>
      </c>
      <c r="BE158" s="246">
        <f>Vehi_Plastics!J$19*Vehi_Plastics!AH123</f>
        <v>736871.84926772898</v>
      </c>
      <c r="BF158" s="246">
        <f>Vehi_Plastics!K$19*Vehi_Plastics!AI123</f>
        <v>464392.92887848482</v>
      </c>
      <c r="BG158" s="246">
        <f>Vehi_Plastics!L$19*Vehi_Plastics!AJ123</f>
        <v>333937.19087936508</v>
      </c>
      <c r="BH158" s="246">
        <f>Rubber!$A$6*Rubber!C83</f>
        <v>519157.82300225063</v>
      </c>
      <c r="BI158" s="247">
        <f>Rubber!$B$6*Rubber!D83</f>
        <v>464392.92887848482</v>
      </c>
    </row>
    <row r="159" spans="1:61" s="535" customFormat="1">
      <c r="A159" s="756" t="s">
        <v>851</v>
      </c>
      <c r="B159" s="294">
        <f t="shared" ca="1" si="27"/>
        <v>54.671136395829308</v>
      </c>
      <c r="C159" s="294">
        <f t="shared" ca="1" si="28"/>
        <v>54.671136395829308</v>
      </c>
      <c r="D159" s="294">
        <f t="shared" ca="1" si="29"/>
        <v>54.671136395829308</v>
      </c>
      <c r="E159" s="294">
        <f t="shared" ca="1" si="30"/>
        <v>181.21090261773384</v>
      </c>
      <c r="F159" s="294">
        <f t="shared" ca="1" si="31"/>
        <v>181.21090261773384</v>
      </c>
      <c r="G159" s="294">
        <f t="shared" ca="1" si="32"/>
        <v>186.03387999350684</v>
      </c>
      <c r="H159" s="294">
        <f t="shared" si="33"/>
        <v>1295.5582076881271</v>
      </c>
      <c r="I159" s="294">
        <f t="shared" ca="1" si="34"/>
        <v>54.671136395829322</v>
      </c>
      <c r="J159" s="294">
        <f t="shared" ca="1" si="35"/>
        <v>54.671136395829322</v>
      </c>
      <c r="K159" s="294">
        <f t="shared" ca="1" si="36"/>
        <v>235.71583559669688</v>
      </c>
      <c r="L159" s="294">
        <f t="shared" ca="1" si="37"/>
        <v>54.671136395829322</v>
      </c>
      <c r="M159" s="294">
        <f t="shared" ca="1" si="38"/>
        <v>54.671136395829322</v>
      </c>
      <c r="N159" s="294">
        <f t="shared" ca="1" si="39"/>
        <v>235.71583559669688</v>
      </c>
      <c r="O159" s="294">
        <f t="shared" ca="1" si="40"/>
        <v>338.99393604428388</v>
      </c>
      <c r="P159" s="294">
        <f t="shared" ca="1" si="41"/>
        <v>338.99393604428388</v>
      </c>
      <c r="Q159" s="294">
        <f t="shared" si="42"/>
        <v>145.671686492346</v>
      </c>
      <c r="R159" s="294">
        <f t="shared" si="43"/>
        <v>100.55448587785592</v>
      </c>
      <c r="S159" s="294">
        <f t="shared" si="44"/>
        <v>218.16187939508862</v>
      </c>
      <c r="T159" s="294">
        <f t="shared" si="45"/>
        <v>419.55941495619822</v>
      </c>
      <c r="U159" s="294">
        <f t="shared" si="46"/>
        <v>337.40777269033617</v>
      </c>
      <c r="V159" s="294">
        <f t="shared" si="47"/>
        <v>132.07772202152114</v>
      </c>
      <c r="W159" s="294">
        <f t="shared" si="48"/>
        <v>283.45375635164527</v>
      </c>
      <c r="X159" s="294">
        <f t="shared" si="49"/>
        <v>101.93479347061995</v>
      </c>
      <c r="Y159" s="294">
        <f t="shared" si="50"/>
        <v>104.07220641426385</v>
      </c>
      <c r="Z159" s="294">
        <f t="shared" si="51"/>
        <v>138.08541978396678</v>
      </c>
      <c r="AA159" s="294">
        <f t="shared" si="52"/>
        <v>395.43261610810498</v>
      </c>
      <c r="AB159" s="294">
        <f t="shared" si="53"/>
        <v>249.21037620179672</v>
      </c>
      <c r="AC159" s="294">
        <f t="shared" si="54"/>
        <v>179.20301492918222</v>
      </c>
      <c r="AD159" s="294">
        <f t="shared" si="55"/>
        <v>283.45375635164527</v>
      </c>
      <c r="AE159" s="294">
        <f t="shared" si="56"/>
        <v>249.21037620179672</v>
      </c>
      <c r="AF159" s="294">
        <f ca="1">Steel!H127</f>
        <v>109342.27279165862</v>
      </c>
      <c r="AG159" s="294">
        <f ca="1">Steel!H127</f>
        <v>109342.27279165862</v>
      </c>
      <c r="AH159" s="294">
        <f ca="1">Steel!H127</f>
        <v>109342.27279165862</v>
      </c>
      <c r="AI159" s="294">
        <f ca="1">Steel!$D$140*Steel!C161+Steel!D161</f>
        <v>362421.80523546768</v>
      </c>
      <c r="AJ159" s="294">
        <f ca="1">Steel!$D$208*Steel!C229+Steel!D229</f>
        <v>362421.80523546768</v>
      </c>
      <c r="AK159" s="294">
        <f ca="1">'C.Iron'!C81+'C.Iron'!E81</f>
        <v>372067.75998701371</v>
      </c>
      <c r="AL159" s="294">
        <f>'C.Iron'!D81+'C.Iron'!E81</f>
        <v>2591116.4153762544</v>
      </c>
      <c r="AM159" s="294">
        <f ca="1">W.Al!$I$122*W.Al!I147</f>
        <v>109342.27279165864</v>
      </c>
      <c r="AN159" s="294">
        <f ca="1">W.Al!$I$123*W.Al!I147</f>
        <v>109342.27279165864</v>
      </c>
      <c r="AO159" s="294">
        <f ca="1">W.Al!$J$124*W.Al!J147</f>
        <v>471431.67119339376</v>
      </c>
      <c r="AP159" s="294">
        <f ca="1">W.Al!$F$160*W.Al!F185</f>
        <v>109342.27279165864</v>
      </c>
      <c r="AQ159" s="294">
        <f ca="1">W.Al!$F$161*W.Al!F185</f>
        <v>109342.27279165864</v>
      </c>
      <c r="AR159" s="294">
        <f ca="1">W.Al!$G$162*W.Al!G185</f>
        <v>471431.67119339376</v>
      </c>
      <c r="AS159" s="294">
        <f ca="1">'C.Al'!$G$113*'C.Al'!G136+'C.Al'!$H$113*'C.Al'!H136</f>
        <v>677987.87208856782</v>
      </c>
      <c r="AT159" s="294">
        <f ca="1">'C.Al'!$D$149*'C.Al'!D172+'C.Al'!$E$149*'C.Al'!E172</f>
        <v>677987.87208856782</v>
      </c>
      <c r="AU159" s="294">
        <f>Copper!D82</f>
        <v>291343.37298469199</v>
      </c>
      <c r="AV159" s="294">
        <f>Glass!B90</f>
        <v>201108.97175571186</v>
      </c>
      <c r="AW159" s="294">
        <f>Vehi_Plastics!B$19*Vehi_Plastics!X124</f>
        <v>436323.75879017723</v>
      </c>
      <c r="AX159" s="294">
        <f>Vehi_Plastics!C$19*Vehi_Plastics!AA124</f>
        <v>839118.8299123965</v>
      </c>
      <c r="AY159" s="294">
        <f>Vehi_Plastics!D$19*Vehi_Plastics!AB124</f>
        <v>674815.54538067232</v>
      </c>
      <c r="AZ159" s="294">
        <f>Vehi_Plastics!E$19*Vehi_Plastics!AC124</f>
        <v>264155.44404304225</v>
      </c>
      <c r="BA159" s="294">
        <f>Vehi_Plastics!F$19*Vehi_Plastics!AD124</f>
        <v>566907.51270329056</v>
      </c>
      <c r="BB159" s="294">
        <f>Vehi_Plastics!G$19*Vehi_Plastics!AE124</f>
        <v>203869.58694123989</v>
      </c>
      <c r="BC159" s="294">
        <f>Vehi_Plastics!H$19*Vehi_Plastics!AF124</f>
        <v>208144.41282852768</v>
      </c>
      <c r="BD159" s="294">
        <f>Vehi_Plastics!I$19*Vehi_Plastics!AG124</f>
        <v>276170.83956793358</v>
      </c>
      <c r="BE159" s="294">
        <f>Vehi_Plastics!J$19*Vehi_Plastics!AH124</f>
        <v>790865.23221620999</v>
      </c>
      <c r="BF159" s="294">
        <f>Vehi_Plastics!K$19*Vehi_Plastics!AI124</f>
        <v>498420.75240359345</v>
      </c>
      <c r="BG159" s="294">
        <f>Vehi_Plastics!L$19*Vehi_Plastics!AJ124</f>
        <v>358406.02985836443</v>
      </c>
      <c r="BH159" s="294">
        <f>Rubber!$A$6*Rubber!C84</f>
        <v>566907.51270329056</v>
      </c>
      <c r="BI159" s="296">
        <f>Rubber!$B$6*Rubber!D84</f>
        <v>498420.75240359345</v>
      </c>
    </row>
    <row r="160" spans="1:61" s="496" customFormat="1">
      <c r="A160" s="797" t="s">
        <v>1031</v>
      </c>
      <c r="B160" s="845" t="s">
        <v>846</v>
      </c>
      <c r="C160" s="845" t="s">
        <v>846</v>
      </c>
      <c r="D160" s="845" t="s">
        <v>846</v>
      </c>
      <c r="E160" s="845" t="s">
        <v>846</v>
      </c>
      <c r="F160" s="845" t="s">
        <v>846</v>
      </c>
      <c r="G160" s="845" t="s">
        <v>846</v>
      </c>
      <c r="H160" s="845" t="s">
        <v>846</v>
      </c>
      <c r="I160" s="845" t="s">
        <v>846</v>
      </c>
      <c r="J160" s="845" t="s">
        <v>846</v>
      </c>
      <c r="K160" s="845" t="s">
        <v>846</v>
      </c>
      <c r="L160" s="845" t="s">
        <v>846</v>
      </c>
      <c r="M160" s="845" t="s">
        <v>846</v>
      </c>
      <c r="N160" s="845" t="s">
        <v>846</v>
      </c>
      <c r="O160" s="845" t="s">
        <v>846</v>
      </c>
      <c r="P160" s="845" t="s">
        <v>846</v>
      </c>
      <c r="Q160" s="845" t="s">
        <v>846</v>
      </c>
      <c r="R160" s="845" t="s">
        <v>846</v>
      </c>
      <c r="S160" s="845" t="s">
        <v>846</v>
      </c>
      <c r="T160" s="845" t="s">
        <v>846</v>
      </c>
      <c r="U160" s="845" t="s">
        <v>846</v>
      </c>
      <c r="V160" s="845" t="s">
        <v>846</v>
      </c>
      <c r="W160" s="845" t="s">
        <v>846</v>
      </c>
      <c r="X160" s="845" t="s">
        <v>846</v>
      </c>
      <c r="Y160" s="845" t="s">
        <v>846</v>
      </c>
      <c r="Z160" s="845" t="s">
        <v>846</v>
      </c>
      <c r="AA160" s="845" t="s">
        <v>846</v>
      </c>
      <c r="AB160" s="845" t="s">
        <v>846</v>
      </c>
      <c r="AC160" s="845" t="s">
        <v>846</v>
      </c>
      <c r="AD160" s="845" t="s">
        <v>846</v>
      </c>
      <c r="AE160" s="845" t="s">
        <v>846</v>
      </c>
      <c r="AF160" s="389"/>
      <c r="AG160" s="389"/>
      <c r="AH160" s="389"/>
      <c r="AI160" s="389"/>
      <c r="AJ160" s="389"/>
      <c r="AK160" s="389"/>
      <c r="AL160" s="389"/>
      <c r="AM160" s="389"/>
      <c r="AN160" s="389"/>
      <c r="AO160" s="389"/>
      <c r="AP160" s="389"/>
      <c r="AQ160" s="389"/>
      <c r="AR160" s="389"/>
      <c r="AS160" s="389"/>
      <c r="AT160" s="389"/>
      <c r="AU160" s="389"/>
      <c r="AV160" s="389"/>
      <c r="AW160" s="389"/>
      <c r="AX160" s="389"/>
      <c r="AY160" s="389"/>
      <c r="AZ160" s="389"/>
      <c r="BA160" s="389"/>
      <c r="BB160" s="389"/>
      <c r="BC160" s="389"/>
      <c r="BD160" s="389"/>
      <c r="BE160" s="389"/>
      <c r="BF160" s="389"/>
      <c r="BG160" s="389"/>
      <c r="BH160" s="389"/>
      <c r="BI160" s="391"/>
    </row>
    <row r="161" spans="1:61" s="496" customFormat="1">
      <c r="A161" s="494" t="s">
        <v>821</v>
      </c>
      <c r="B161" s="349">
        <f t="shared" ref="B161:K168" ca="1" si="57">AF161/2000</f>
        <v>3.7152540942150976E-4</v>
      </c>
      <c r="C161" s="349">
        <f t="shared" ca="1" si="57"/>
        <v>3.7152540942150976E-4</v>
      </c>
      <c r="D161" s="349">
        <f t="shared" ca="1" si="57"/>
        <v>3.7152540942150976E-4</v>
      </c>
      <c r="E161" s="349">
        <f t="shared" ca="1" si="57"/>
        <v>1.3435251039910156E-3</v>
      </c>
      <c r="F161" s="349">
        <f t="shared" ca="1" si="57"/>
        <v>1.3435251039910156E-3</v>
      </c>
      <c r="G161" s="349">
        <f t="shared" ca="1" si="57"/>
        <v>9.7555181899713558E-4</v>
      </c>
      <c r="H161" s="349">
        <f t="shared" si="57"/>
        <v>1.0499226445219939E-2</v>
      </c>
      <c r="I161" s="349">
        <f t="shared" ca="1" si="57"/>
        <v>3.7152540942150987E-4</v>
      </c>
      <c r="J161" s="349">
        <f t="shared" ca="1" si="57"/>
        <v>3.7152540942150987E-4</v>
      </c>
      <c r="K161" s="349">
        <f t="shared" ca="1" si="57"/>
        <v>1.8728100961317804E-3</v>
      </c>
      <c r="L161" s="349">
        <f t="shared" ref="L161:U168" ca="1" si="58">AP161/2000</f>
        <v>3.7152540942150987E-4</v>
      </c>
      <c r="M161" s="349">
        <f t="shared" ca="1" si="58"/>
        <v>3.7152540942150987E-4</v>
      </c>
      <c r="N161" s="349">
        <f t="shared" ca="1" si="58"/>
        <v>1.8728100961317804E-3</v>
      </c>
      <c r="O161" s="349">
        <f t="shared" ca="1" si="58"/>
        <v>2.7391116875059287E-3</v>
      </c>
      <c r="P161" s="349">
        <f t="shared" ca="1" si="58"/>
        <v>2.7391116875059287E-3</v>
      </c>
      <c r="Q161" s="349">
        <f t="shared" si="58"/>
        <v>1.542189434674972E-3</v>
      </c>
      <c r="R161" s="349">
        <f t="shared" si="58"/>
        <v>4.2754832914728699E-4</v>
      </c>
      <c r="S161" s="349">
        <f t="shared" si="58"/>
        <v>1.4825497859709675E-3</v>
      </c>
      <c r="T161" s="349">
        <f t="shared" si="58"/>
        <v>5.6566354373463607E-3</v>
      </c>
      <c r="U161" s="349">
        <f t="shared" si="58"/>
        <v>2.3075606954303727E-3</v>
      </c>
      <c r="V161" s="349">
        <f t="shared" ref="V161:AE168" si="59">AZ161/2000</f>
        <v>8.9755276704380708E-4</v>
      </c>
      <c r="W161" s="349">
        <f t="shared" si="59"/>
        <v>2.1466562664924859E-3</v>
      </c>
      <c r="X161" s="349">
        <f t="shared" si="59"/>
        <v>6.9271224955474325E-4</v>
      </c>
      <c r="Y161" s="349">
        <f t="shared" si="59"/>
        <v>7.0723734033099255E-4</v>
      </c>
      <c r="Z161" s="349">
        <f t="shared" si="59"/>
        <v>9.3837892355010544E-4</v>
      </c>
      <c r="AA161" s="349">
        <f t="shared" si="59"/>
        <v>2.6872180511212118E-3</v>
      </c>
      <c r="AB161" s="349">
        <f t="shared" si="59"/>
        <v>1.6935442201183922E-3</v>
      </c>
      <c r="AC161" s="349">
        <f t="shared" si="59"/>
        <v>1.2177993339866336E-3</v>
      </c>
      <c r="AD161" s="349">
        <f t="shared" si="59"/>
        <v>2.1466562664924859E-3</v>
      </c>
      <c r="AE161" s="349">
        <f t="shared" si="59"/>
        <v>1.6935442201183922E-3</v>
      </c>
      <c r="AF161" s="349">
        <f ca="1">Steel!H129</f>
        <v>0.74305081884301949</v>
      </c>
      <c r="AG161" s="349">
        <f ca="1">Steel!H129</f>
        <v>0.74305081884301949</v>
      </c>
      <c r="AH161" s="349">
        <f ca="1">Steel!H129</f>
        <v>0.74305081884301949</v>
      </c>
      <c r="AI161" s="349">
        <f ca="1">Steel!$D$140*Steel!C163+Steel!D163</f>
        <v>2.6870502079820313</v>
      </c>
      <c r="AJ161" s="349">
        <f ca="1">Steel!$D$208*Steel!C231+Steel!D231</f>
        <v>2.6870502079820313</v>
      </c>
      <c r="AK161" s="349">
        <f ca="1">'C.Iron'!C83+'C.Iron'!E83</f>
        <v>1.9511036379942712</v>
      </c>
      <c r="AL161" s="349">
        <f>'C.Iron'!D83+'C.Iron'!E83</f>
        <v>20.998452890439879</v>
      </c>
      <c r="AM161" s="349">
        <f ca="1">W.Al!$I$122*W.Al!I149</f>
        <v>0.74305081884301971</v>
      </c>
      <c r="AN161" s="349">
        <f ca="1">W.Al!$I$123*W.Al!I149</f>
        <v>0.74305081884301971</v>
      </c>
      <c r="AO161" s="349">
        <f ca="1">W.Al!$J$124*W.Al!J149</f>
        <v>3.7456201922635608</v>
      </c>
      <c r="AP161" s="349">
        <f ca="1">W.Al!$F$160*W.Al!F187</f>
        <v>0.74305081884301971</v>
      </c>
      <c r="AQ161" s="349">
        <f ca="1">W.Al!$F$161*W.Al!F187</f>
        <v>0.74305081884301971</v>
      </c>
      <c r="AR161" s="349">
        <f ca="1">W.Al!$G$162*W.Al!G187</f>
        <v>3.7456201922635608</v>
      </c>
      <c r="AS161" s="349">
        <f ca="1">'C.Al'!$G$113*'C.Al'!G138+'C.Al'!$H$113*'C.Al'!H138</f>
        <v>5.4782233750118579</v>
      </c>
      <c r="AT161" s="349">
        <f ca="1">'C.Al'!$D$149*'C.Al'!D174+'C.Al'!$E$149*'C.Al'!E174</f>
        <v>5.4782233750118579</v>
      </c>
      <c r="AU161" s="349">
        <f>Copper!D84</f>
        <v>3.0843788693499441</v>
      </c>
      <c r="AV161" s="349">
        <f>Glass!B92</f>
        <v>0.85509665829457393</v>
      </c>
      <c r="AW161" s="349">
        <f>Vehi_Plastics!B$19*Vehi_Plastics!X126</f>
        <v>2.9650995719419351</v>
      </c>
      <c r="AX161" s="349">
        <f>Vehi_Plastics!C$19*Vehi_Plastics!AA126</f>
        <v>11.313270874692721</v>
      </c>
      <c r="AY161" s="349">
        <f>Vehi_Plastics!D$19*Vehi_Plastics!AB126</f>
        <v>4.6151213908607458</v>
      </c>
      <c r="AZ161" s="349">
        <f>Vehi_Plastics!E$19*Vehi_Plastics!AC126</f>
        <v>1.7951055340876141</v>
      </c>
      <c r="BA161" s="349">
        <f>Vehi_Plastics!F$19*Vehi_Plastics!AD126</f>
        <v>4.293312532984972</v>
      </c>
      <c r="BB161" s="349">
        <f>Vehi_Plastics!G$19*Vehi_Plastics!AE126</f>
        <v>1.3854244991094864</v>
      </c>
      <c r="BC161" s="349">
        <f>Vehi_Plastics!H$19*Vehi_Plastics!AF126</f>
        <v>1.414474680661985</v>
      </c>
      <c r="BD161" s="349">
        <f>Vehi_Plastics!I$19*Vehi_Plastics!AG126</f>
        <v>1.8767578471002109</v>
      </c>
      <c r="BE161" s="349">
        <f>Vehi_Plastics!J$19*Vehi_Plastics!AH126</f>
        <v>5.3744361022424236</v>
      </c>
      <c r="BF161" s="349">
        <f>Vehi_Plastics!K$19*Vehi_Plastics!AI126</f>
        <v>3.3870884402367842</v>
      </c>
      <c r="BG161" s="349">
        <f>Vehi_Plastics!L$19*Vehi_Plastics!AJ126</f>
        <v>2.4355986679732671</v>
      </c>
      <c r="BH161" s="349">
        <f>Rubber!$A$6*Rubber!C86</f>
        <v>4.293312532984972</v>
      </c>
      <c r="BI161" s="348">
        <f>Rubber!$B$6*Rubber!D86</f>
        <v>3.3870884402367842</v>
      </c>
    </row>
    <row r="162" spans="1:61" s="496" customFormat="1">
      <c r="A162" s="494" t="s">
        <v>822</v>
      </c>
      <c r="B162" s="349">
        <f t="shared" ca="1" si="57"/>
        <v>2.7428134170997239E-3</v>
      </c>
      <c r="C162" s="349">
        <f t="shared" ca="1" si="57"/>
        <v>2.7428134170997239E-3</v>
      </c>
      <c r="D162" s="349">
        <f t="shared" ca="1" si="57"/>
        <v>2.7428134170997239E-3</v>
      </c>
      <c r="E162" s="349">
        <f t="shared" ca="1" si="57"/>
        <v>8.2558538634436747E-3</v>
      </c>
      <c r="F162" s="349">
        <f t="shared" ca="1" si="57"/>
        <v>8.2558538634436747E-3</v>
      </c>
      <c r="G162" s="349">
        <f t="shared" ca="1" si="57"/>
        <v>3.288365147272846E-3</v>
      </c>
      <c r="H162" s="349">
        <f t="shared" si="57"/>
        <v>5.2363335353637963E-2</v>
      </c>
      <c r="I162" s="349">
        <f t="shared" ca="1" si="57"/>
        <v>2.7428134170997247E-3</v>
      </c>
      <c r="J162" s="349">
        <f t="shared" ca="1" si="57"/>
        <v>2.7428134170997247E-3</v>
      </c>
      <c r="K162" s="349">
        <f t="shared" ca="1" si="57"/>
        <v>9.6944849635401103E-3</v>
      </c>
      <c r="L162" s="349">
        <f t="shared" ca="1" si="58"/>
        <v>2.7428134170997247E-3</v>
      </c>
      <c r="M162" s="349">
        <f t="shared" ca="1" si="58"/>
        <v>2.7428134170997247E-3</v>
      </c>
      <c r="N162" s="349">
        <f t="shared" ca="1" si="58"/>
        <v>9.6944849635401103E-3</v>
      </c>
      <c r="O162" s="349">
        <f t="shared" ca="1" si="58"/>
        <v>1.3761696670908751E-2</v>
      </c>
      <c r="P162" s="349">
        <f t="shared" ca="1" si="58"/>
        <v>1.3761696670908751E-2</v>
      </c>
      <c r="Q162" s="349">
        <f t="shared" si="58"/>
        <v>5.7426217580798262E-3</v>
      </c>
      <c r="R162" s="349">
        <f t="shared" si="58"/>
        <v>1.4179987388401563E-3</v>
      </c>
      <c r="S162" s="349">
        <f t="shared" si="58"/>
        <v>1.0945031864203014E-2</v>
      </c>
      <c r="T162" s="349">
        <f t="shared" si="58"/>
        <v>1.2462759840402115E-2</v>
      </c>
      <c r="U162" s="349">
        <f t="shared" si="58"/>
        <v>1.6887333100720159E-2</v>
      </c>
      <c r="V162" s="349">
        <f t="shared" si="59"/>
        <v>6.6262487290868139E-3</v>
      </c>
      <c r="W162" s="349">
        <f t="shared" si="59"/>
        <v>1.2577925309824151E-2</v>
      </c>
      <c r="X162" s="349">
        <f t="shared" si="59"/>
        <v>5.1139986770392916E-3</v>
      </c>
      <c r="Y162" s="349">
        <f t="shared" si="59"/>
        <v>5.2212312184897443E-3</v>
      </c>
      <c r="Z162" s="349">
        <f t="shared" si="59"/>
        <v>6.9276508054843507E-3</v>
      </c>
      <c r="AA162" s="349">
        <f t="shared" si="59"/>
        <v>1.9838583144997431E-2</v>
      </c>
      <c r="AB162" s="349">
        <f t="shared" si="59"/>
        <v>1.2502713654565682E-2</v>
      </c>
      <c r="AC162" s="349">
        <f t="shared" si="59"/>
        <v>8.9904923536577464E-3</v>
      </c>
      <c r="AD162" s="349">
        <f t="shared" si="59"/>
        <v>1.2577925309824149E-2</v>
      </c>
      <c r="AE162" s="349">
        <f t="shared" si="59"/>
        <v>1.2502713654565682E-2</v>
      </c>
      <c r="AF162" s="349">
        <f ca="1">Steel!H130</f>
        <v>5.4856268341994481</v>
      </c>
      <c r="AG162" s="349">
        <f ca="1">Steel!H130</f>
        <v>5.4856268341994481</v>
      </c>
      <c r="AH162" s="349">
        <f ca="1">Steel!H130</f>
        <v>5.4856268341994481</v>
      </c>
      <c r="AI162" s="349">
        <f ca="1">Steel!$D$140*Steel!C164+Steel!D164</f>
        <v>16.511707726887348</v>
      </c>
      <c r="AJ162" s="349">
        <f ca="1">Steel!$D$208*Steel!C232+Steel!D232</f>
        <v>16.511707726887348</v>
      </c>
      <c r="AK162" s="349">
        <f ca="1">'C.Iron'!C84+'C.Iron'!E84</f>
        <v>6.5767302945456922</v>
      </c>
      <c r="AL162" s="349">
        <f>'C.Iron'!D84+'C.Iron'!E84</f>
        <v>104.72667070727593</v>
      </c>
      <c r="AM162" s="349">
        <f ca="1">W.Al!$I$122*W.Al!I150</f>
        <v>5.4856268341994499</v>
      </c>
      <c r="AN162" s="349">
        <f ca="1">W.Al!$I$123*W.Al!I150</f>
        <v>5.4856268341994499</v>
      </c>
      <c r="AO162" s="349">
        <f ca="1">W.Al!$J$124*W.Al!J150</f>
        <v>19.388969927080222</v>
      </c>
      <c r="AP162" s="349">
        <f ca="1">W.Al!$F$160*W.Al!F188</f>
        <v>5.4856268341994499</v>
      </c>
      <c r="AQ162" s="349">
        <f ca="1">W.Al!$F$161*W.Al!F188</f>
        <v>5.4856268341994499</v>
      </c>
      <c r="AR162" s="349">
        <f ca="1">W.Al!$G$162*W.Al!G188</f>
        <v>19.388969927080222</v>
      </c>
      <c r="AS162" s="349">
        <f ca="1">'C.Al'!$G$113*'C.Al'!G139+'C.Al'!$H$113*'C.Al'!H139</f>
        <v>27.523393341817503</v>
      </c>
      <c r="AT162" s="349">
        <f ca="1">'C.Al'!$D$149*'C.Al'!D175+'C.Al'!$E$149*'C.Al'!E175</f>
        <v>27.523393341817503</v>
      </c>
      <c r="AU162" s="349">
        <f>Copper!D85</f>
        <v>11.485243516159652</v>
      </c>
      <c r="AV162" s="349">
        <f>Glass!B93</f>
        <v>2.8359974776803125</v>
      </c>
      <c r="AW162" s="349">
        <f>Vehi_Plastics!B$19*Vehi_Plastics!X127</f>
        <v>21.890063728406027</v>
      </c>
      <c r="AX162" s="349">
        <f>Vehi_Plastics!C$19*Vehi_Plastics!AA127</f>
        <v>24.925519680804229</v>
      </c>
      <c r="AY162" s="349">
        <f>Vehi_Plastics!D$19*Vehi_Plastics!AB127</f>
        <v>33.774666201440319</v>
      </c>
      <c r="AZ162" s="349">
        <f>Vehi_Plastics!E$19*Vehi_Plastics!AC127</f>
        <v>13.252497458173627</v>
      </c>
      <c r="BA162" s="349">
        <f>Vehi_Plastics!F$19*Vehi_Plastics!AD127</f>
        <v>25.155850619648302</v>
      </c>
      <c r="BB162" s="349">
        <f>Vehi_Plastics!G$19*Vehi_Plastics!AE127</f>
        <v>10.227997354078584</v>
      </c>
      <c r="BC162" s="349">
        <f>Vehi_Plastics!H$19*Vehi_Plastics!AF127</f>
        <v>10.442462436979488</v>
      </c>
      <c r="BD162" s="349">
        <f>Vehi_Plastics!I$19*Vehi_Plastics!AG127</f>
        <v>13.855301610968702</v>
      </c>
      <c r="BE162" s="349">
        <f>Vehi_Plastics!J$19*Vehi_Plastics!AH127</f>
        <v>39.677166289994858</v>
      </c>
      <c r="BF162" s="349">
        <f>Vehi_Plastics!K$19*Vehi_Plastics!AI127</f>
        <v>25.005427309131363</v>
      </c>
      <c r="BG162" s="349">
        <f>Vehi_Plastics!L$19*Vehi_Plastics!AJ127</f>
        <v>17.980984707315493</v>
      </c>
      <c r="BH162" s="349">
        <f>Rubber!$A$6*Rubber!C87</f>
        <v>25.155850619648298</v>
      </c>
      <c r="BI162" s="348">
        <f>Rubber!$B$6*Rubber!D87</f>
        <v>25.005427309131363</v>
      </c>
    </row>
    <row r="163" spans="1:61" s="496" customFormat="1">
      <c r="A163" s="494" t="s">
        <v>823</v>
      </c>
      <c r="B163" s="349">
        <f t="shared" ca="1" si="57"/>
        <v>8.1921524205194433E-3</v>
      </c>
      <c r="C163" s="349">
        <f t="shared" ca="1" si="57"/>
        <v>8.1921524205194433E-3</v>
      </c>
      <c r="D163" s="349">
        <f t="shared" ca="1" si="57"/>
        <v>8.1921524205194433E-3</v>
      </c>
      <c r="E163" s="349">
        <f t="shared" ca="1" si="57"/>
        <v>1.9075746809847003E-2</v>
      </c>
      <c r="F163" s="349">
        <f t="shared" ca="1" si="57"/>
        <v>1.9075746809847003E-2</v>
      </c>
      <c r="G163" s="349">
        <f t="shared" ca="1" si="57"/>
        <v>1.0158601682316191E-2</v>
      </c>
      <c r="H163" s="349">
        <f t="shared" si="57"/>
        <v>7.1967814842194736E-2</v>
      </c>
      <c r="I163" s="349">
        <f t="shared" ca="1" si="57"/>
        <v>8.1921524205194468E-3</v>
      </c>
      <c r="J163" s="349">
        <f t="shared" ca="1" si="57"/>
        <v>8.1921524205194468E-3</v>
      </c>
      <c r="K163" s="349">
        <f t="shared" ca="1" si="57"/>
        <v>1.5147361506772102E-2</v>
      </c>
      <c r="L163" s="349">
        <f t="shared" ca="1" si="58"/>
        <v>8.1921524205194468E-3</v>
      </c>
      <c r="M163" s="349">
        <f t="shared" ca="1" si="58"/>
        <v>8.1921524205194468E-3</v>
      </c>
      <c r="N163" s="349">
        <f t="shared" ca="1" si="58"/>
        <v>1.5147361506772102E-2</v>
      </c>
      <c r="O163" s="349">
        <f t="shared" ca="1" si="58"/>
        <v>1.9414843585620657E-2</v>
      </c>
      <c r="P163" s="349">
        <f t="shared" ca="1" si="58"/>
        <v>1.9414843585620657E-2</v>
      </c>
      <c r="Q163" s="349">
        <f t="shared" si="58"/>
        <v>1.6444044389891038E-2</v>
      </c>
      <c r="R163" s="349">
        <f t="shared" si="58"/>
        <v>4.0990721172753392E-3</v>
      </c>
      <c r="S163" s="349">
        <f t="shared" si="58"/>
        <v>3.2690291187872346E-2</v>
      </c>
      <c r="T163" s="349">
        <f t="shared" si="58"/>
        <v>2.4806486062219246E-2</v>
      </c>
      <c r="U163" s="349">
        <f t="shared" si="58"/>
        <v>5.0410652280512232E-2</v>
      </c>
      <c r="V163" s="349">
        <f t="shared" si="59"/>
        <v>1.9791079927832651E-2</v>
      </c>
      <c r="W163" s="349">
        <f t="shared" si="59"/>
        <v>2.658924400645751E-2</v>
      </c>
      <c r="X163" s="349">
        <f t="shared" si="59"/>
        <v>1.5274337065530493E-2</v>
      </c>
      <c r="Y163" s="349">
        <f t="shared" si="59"/>
        <v>1.5594615987357655E-2</v>
      </c>
      <c r="Z163" s="349">
        <f t="shared" si="59"/>
        <v>2.0691298562580524E-2</v>
      </c>
      <c r="AA163" s="349">
        <f t="shared" si="59"/>
        <v>5.9253282019751018E-2</v>
      </c>
      <c r="AB163" s="349">
        <f t="shared" si="59"/>
        <v>3.7342728196442888E-2</v>
      </c>
      <c r="AC163" s="349">
        <f t="shared" si="59"/>
        <v>2.6852531505609522E-2</v>
      </c>
      <c r="AD163" s="349">
        <f t="shared" si="59"/>
        <v>2.6589244006457506E-2</v>
      </c>
      <c r="AE163" s="349">
        <f t="shared" si="59"/>
        <v>3.7342728196442888E-2</v>
      </c>
      <c r="AF163" s="349">
        <f ca="1">Steel!H131</f>
        <v>16.384304841038887</v>
      </c>
      <c r="AG163" s="349">
        <f ca="1">Steel!H131</f>
        <v>16.384304841038887</v>
      </c>
      <c r="AH163" s="349">
        <f ca="1">Steel!H131</f>
        <v>16.384304841038887</v>
      </c>
      <c r="AI163" s="349">
        <f ca="1">Steel!$D$140*Steel!C165+Steel!D165</f>
        <v>38.151493619694008</v>
      </c>
      <c r="AJ163" s="349">
        <f ca="1">Steel!$D$208*Steel!C233+Steel!D233</f>
        <v>38.151493619694008</v>
      </c>
      <c r="AK163" s="349">
        <f ca="1">'C.Iron'!C85+'C.Iron'!E85</f>
        <v>20.317203364632384</v>
      </c>
      <c r="AL163" s="349">
        <f>'C.Iron'!D85+'C.Iron'!E85</f>
        <v>143.93562968438948</v>
      </c>
      <c r="AM163" s="349">
        <f ca="1">W.Al!$I$122*W.Al!I151</f>
        <v>16.384304841038894</v>
      </c>
      <c r="AN163" s="349">
        <f ca="1">W.Al!$I$123*W.Al!I151</f>
        <v>16.384304841038894</v>
      </c>
      <c r="AO163" s="349">
        <f ca="1">W.Al!$J$124*W.Al!J151</f>
        <v>30.294723013544203</v>
      </c>
      <c r="AP163" s="349">
        <f ca="1">W.Al!$F$160*W.Al!F189</f>
        <v>16.384304841038894</v>
      </c>
      <c r="AQ163" s="349">
        <f ca="1">W.Al!$F$161*W.Al!F189</f>
        <v>16.384304841038894</v>
      </c>
      <c r="AR163" s="349">
        <f ca="1">W.Al!$G$162*W.Al!G189</f>
        <v>30.294723013544203</v>
      </c>
      <c r="AS163" s="349">
        <f ca="1">'C.Al'!$G$113*'C.Al'!G140+'C.Al'!$H$113*'C.Al'!H140</f>
        <v>38.829687171241318</v>
      </c>
      <c r="AT163" s="349">
        <f ca="1">'C.Al'!$D$149*'C.Al'!D176+'C.Al'!$E$149*'C.Al'!E176</f>
        <v>38.829687171241318</v>
      </c>
      <c r="AU163" s="349">
        <f>Copper!D86</f>
        <v>32.888088779782073</v>
      </c>
      <c r="AV163" s="349">
        <f>Glass!B94</f>
        <v>8.1981442345506785</v>
      </c>
      <c r="AW163" s="349">
        <f>Vehi_Plastics!B$19*Vehi_Plastics!X128</f>
        <v>65.380582375744694</v>
      </c>
      <c r="AX163" s="349">
        <f>Vehi_Plastics!C$19*Vehi_Plastics!AA128</f>
        <v>49.612972124438492</v>
      </c>
      <c r="AY163" s="349">
        <f>Vehi_Plastics!D$19*Vehi_Plastics!AB128</f>
        <v>100.82130456102446</v>
      </c>
      <c r="AZ163" s="349">
        <f>Vehi_Plastics!E$19*Vehi_Plastics!AC128</f>
        <v>39.582159855665303</v>
      </c>
      <c r="BA163" s="349">
        <f>Vehi_Plastics!F$19*Vehi_Plastics!AD128</f>
        <v>53.178488012915018</v>
      </c>
      <c r="BB163" s="349">
        <f>Vehi_Plastics!G$19*Vehi_Plastics!AE128</f>
        <v>30.548674131060988</v>
      </c>
      <c r="BC163" s="349">
        <f>Vehi_Plastics!H$19*Vehi_Plastics!AF128</f>
        <v>31.189231974715309</v>
      </c>
      <c r="BD163" s="349">
        <f>Vehi_Plastics!I$19*Vehi_Plastics!AG128</f>
        <v>41.382597125161048</v>
      </c>
      <c r="BE163" s="349">
        <f>Vehi_Plastics!J$19*Vehi_Plastics!AH128</f>
        <v>118.50656403950204</v>
      </c>
      <c r="BF163" s="349">
        <f>Vehi_Plastics!K$19*Vehi_Plastics!AI128</f>
        <v>74.685456392885783</v>
      </c>
      <c r="BG163" s="349">
        <f>Vehi_Plastics!L$19*Vehi_Plastics!AJ128</f>
        <v>53.705063011219046</v>
      </c>
      <c r="BH163" s="349">
        <f>Rubber!$A$6*Rubber!C88</f>
        <v>53.178488012915011</v>
      </c>
      <c r="BI163" s="348">
        <f>Rubber!$B$6*Rubber!D88</f>
        <v>74.685456392885783</v>
      </c>
    </row>
    <row r="164" spans="1:61" s="496" customFormat="1">
      <c r="A164" s="794" t="s">
        <v>824</v>
      </c>
      <c r="B164" s="349">
        <f t="shared" ca="1" si="57"/>
        <v>1.093744728068953E-3</v>
      </c>
      <c r="C164" s="349">
        <f t="shared" ca="1" si="57"/>
        <v>1.093744728068953E-3</v>
      </c>
      <c r="D164" s="349">
        <f t="shared" ca="1" si="57"/>
        <v>1.093744728068953E-3</v>
      </c>
      <c r="E164" s="349">
        <f t="shared" ca="1" si="57"/>
        <v>2.0721677399954076E-3</v>
      </c>
      <c r="F164" s="349">
        <f t="shared" ca="1" si="57"/>
        <v>2.0721677399954076E-3</v>
      </c>
      <c r="G164" s="349">
        <f t="shared" ca="1" si="57"/>
        <v>9.9021350592414068E-4</v>
      </c>
      <c r="H164" s="349">
        <f t="shared" si="57"/>
        <v>2.429904100891949E-3</v>
      </c>
      <c r="I164" s="349">
        <f t="shared" ca="1" si="57"/>
        <v>1.0937447280689532E-3</v>
      </c>
      <c r="J164" s="349">
        <f t="shared" ca="1" si="57"/>
        <v>1.0937447280689532E-3</v>
      </c>
      <c r="K164" s="349">
        <f t="shared" ca="1" si="57"/>
        <v>8.4828626627595123E-4</v>
      </c>
      <c r="L164" s="349">
        <f t="shared" ca="1" si="58"/>
        <v>1.0937447280689532E-3</v>
      </c>
      <c r="M164" s="349">
        <f t="shared" ca="1" si="58"/>
        <v>1.0937447280689532E-3</v>
      </c>
      <c r="N164" s="349">
        <f t="shared" ca="1" si="58"/>
        <v>8.4828626627595123E-4</v>
      </c>
      <c r="O164" s="349">
        <f t="shared" ca="1" si="58"/>
        <v>7.4806339553952191E-4</v>
      </c>
      <c r="P164" s="349">
        <f t="shared" ca="1" si="58"/>
        <v>7.4806339553952191E-4</v>
      </c>
      <c r="Q164" s="349">
        <f t="shared" si="58"/>
        <v>2.2439744452023122E-3</v>
      </c>
      <c r="R164" s="349">
        <f t="shared" si="58"/>
        <v>5.4325167733162299E-4</v>
      </c>
      <c r="S164" s="349">
        <f t="shared" si="58"/>
        <v>4.3645225101301525E-3</v>
      </c>
      <c r="T164" s="349">
        <f t="shared" si="58"/>
        <v>2.7699633803385765E-3</v>
      </c>
      <c r="U164" s="349">
        <f t="shared" si="58"/>
        <v>6.7313273798485923E-3</v>
      </c>
      <c r="V164" s="349">
        <f t="shared" si="59"/>
        <v>2.6423323471910804E-3</v>
      </c>
      <c r="W164" s="349">
        <f t="shared" si="59"/>
        <v>2.6165489630867408E-3</v>
      </c>
      <c r="X164" s="349">
        <f t="shared" si="59"/>
        <v>2.0392962414037792E-3</v>
      </c>
      <c r="Y164" s="349">
        <f t="shared" si="59"/>
        <v>2.0820570891368663E-3</v>
      </c>
      <c r="Z164" s="349">
        <f t="shared" si="59"/>
        <v>2.7625216863687426E-3</v>
      </c>
      <c r="AA164" s="349">
        <f t="shared" si="59"/>
        <v>7.9109813273928603E-3</v>
      </c>
      <c r="AB164" s="349">
        <f t="shared" si="59"/>
        <v>4.9856753146179213E-3</v>
      </c>
      <c r="AC164" s="349">
        <f t="shared" si="59"/>
        <v>3.5851157622508699E-3</v>
      </c>
      <c r="AD164" s="349">
        <f t="shared" si="59"/>
        <v>2.6165489630867399E-3</v>
      </c>
      <c r="AE164" s="349">
        <f t="shared" si="59"/>
        <v>4.9856753146179213E-3</v>
      </c>
      <c r="AF164" s="349">
        <f ca="1">Steel!H132</f>
        <v>2.1874894561379059</v>
      </c>
      <c r="AG164" s="349">
        <f ca="1">Steel!H132</f>
        <v>2.1874894561379059</v>
      </c>
      <c r="AH164" s="349">
        <f ca="1">Steel!H132</f>
        <v>2.1874894561379059</v>
      </c>
      <c r="AI164" s="349">
        <f ca="1">Steel!$D$140*Steel!C166+Steel!D166</f>
        <v>4.144335479990815</v>
      </c>
      <c r="AJ164" s="349">
        <f ca="1">Steel!$D$208*Steel!C234+Steel!D234</f>
        <v>4.144335479990815</v>
      </c>
      <c r="AK164" s="349">
        <f ca="1">'C.Iron'!C86+'C.Iron'!E86</f>
        <v>1.9804270118482812</v>
      </c>
      <c r="AL164" s="349">
        <f>'C.Iron'!D86+'C.Iron'!E86</f>
        <v>4.8598082017838982</v>
      </c>
      <c r="AM164" s="349">
        <f ca="1">W.Al!$I$122*W.Al!I152</f>
        <v>2.1874894561379064</v>
      </c>
      <c r="AN164" s="349">
        <f ca="1">W.Al!$I$123*W.Al!I152</f>
        <v>2.1874894561379064</v>
      </c>
      <c r="AO164" s="349">
        <f ca="1">W.Al!$J$124*W.Al!J152</f>
        <v>1.6965725325519025</v>
      </c>
      <c r="AP164" s="349">
        <f ca="1">W.Al!$F$160*W.Al!F190</f>
        <v>2.1874894561379064</v>
      </c>
      <c r="AQ164" s="349">
        <f ca="1">W.Al!$F$161*W.Al!F190</f>
        <v>2.1874894561379064</v>
      </c>
      <c r="AR164" s="349">
        <f ca="1">W.Al!$G$162*W.Al!G190</f>
        <v>1.6965725325519025</v>
      </c>
      <c r="AS164" s="349">
        <f ca="1">'C.Al'!$G$113*'C.Al'!G141+'C.Al'!$H$113*'C.Al'!H141</f>
        <v>1.4961267910790439</v>
      </c>
      <c r="AT164" s="349">
        <f ca="1">'C.Al'!$D$149*'C.Al'!D177+'C.Al'!$E$149*'C.Al'!E177</f>
        <v>1.4961267910790439</v>
      </c>
      <c r="AU164" s="349">
        <f>Copper!D87</f>
        <v>4.4879488904046241</v>
      </c>
      <c r="AV164" s="349">
        <f>Glass!B95</f>
        <v>1.0865033546632459</v>
      </c>
      <c r="AW164" s="349">
        <f>Vehi_Plastics!B$19*Vehi_Plastics!X129</f>
        <v>8.7290450202603047</v>
      </c>
      <c r="AX164" s="349">
        <f>Vehi_Plastics!C$19*Vehi_Plastics!AA129</f>
        <v>5.5399267606771527</v>
      </c>
      <c r="AY164" s="349">
        <f>Vehi_Plastics!D$19*Vehi_Plastics!AB129</f>
        <v>13.462654759697184</v>
      </c>
      <c r="AZ164" s="349">
        <f>Vehi_Plastics!E$19*Vehi_Plastics!AC129</f>
        <v>5.2846646943821609</v>
      </c>
      <c r="BA164" s="349">
        <f>Vehi_Plastics!F$19*Vehi_Plastics!AD129</f>
        <v>5.2330979261734818</v>
      </c>
      <c r="BB164" s="349">
        <f>Vehi_Plastics!G$19*Vehi_Plastics!AE129</f>
        <v>4.0785924828075588</v>
      </c>
      <c r="BC164" s="349">
        <f>Vehi_Plastics!H$19*Vehi_Plastics!AF129</f>
        <v>4.1641141782737323</v>
      </c>
      <c r="BD164" s="349">
        <f>Vehi_Plastics!I$19*Vehi_Plastics!AG129</f>
        <v>5.5250433727374855</v>
      </c>
      <c r="BE164" s="349">
        <f>Vehi_Plastics!J$19*Vehi_Plastics!AH129</f>
        <v>15.821962654785722</v>
      </c>
      <c r="BF164" s="349">
        <f>Vehi_Plastics!K$19*Vehi_Plastics!AI129</f>
        <v>9.9713506292358431</v>
      </c>
      <c r="BG164" s="349">
        <f>Vehi_Plastics!L$19*Vehi_Plastics!AJ129</f>
        <v>7.1702315245017401</v>
      </c>
      <c r="BH164" s="349">
        <f>Rubber!$A$6*Rubber!C89</f>
        <v>5.23309792617348</v>
      </c>
      <c r="BI164" s="348">
        <f>Rubber!$B$6*Rubber!D89</f>
        <v>9.9713506292358431</v>
      </c>
    </row>
    <row r="165" spans="1:61" s="496" customFormat="1">
      <c r="A165" s="494" t="s">
        <v>825</v>
      </c>
      <c r="B165" s="349">
        <f t="shared" ca="1" si="57"/>
        <v>9.6176260021297276E-4</v>
      </c>
      <c r="C165" s="349">
        <f t="shared" ca="1" si="57"/>
        <v>9.6176260021297276E-4</v>
      </c>
      <c r="D165" s="349">
        <f t="shared" ca="1" si="57"/>
        <v>9.6176260021297276E-4</v>
      </c>
      <c r="E165" s="349">
        <f t="shared" ca="1" si="57"/>
        <v>1.8228179062709374E-3</v>
      </c>
      <c r="F165" s="349">
        <f t="shared" ca="1" si="57"/>
        <v>1.8228179062709374E-3</v>
      </c>
      <c r="G165" s="349">
        <f t="shared" ca="1" si="57"/>
        <v>8.7300484224612585E-4</v>
      </c>
      <c r="H165" s="349">
        <f t="shared" si="57"/>
        <v>2.1472524289123385E-3</v>
      </c>
      <c r="I165" s="349">
        <f t="shared" ca="1" si="57"/>
        <v>9.6176260021297298E-4</v>
      </c>
      <c r="J165" s="349">
        <f t="shared" ca="1" si="57"/>
        <v>9.6176260021297298E-4</v>
      </c>
      <c r="K165" s="349">
        <f t="shared" ca="1" si="57"/>
        <v>7.4765277137568492E-4</v>
      </c>
      <c r="L165" s="349">
        <f t="shared" ca="1" si="58"/>
        <v>9.6176260021297298E-4</v>
      </c>
      <c r="M165" s="349">
        <f t="shared" ca="1" si="58"/>
        <v>9.6176260021297298E-4</v>
      </c>
      <c r="N165" s="349">
        <f t="shared" ca="1" si="58"/>
        <v>7.4765277137568492E-4</v>
      </c>
      <c r="O165" s="349">
        <f t="shared" ca="1" si="58"/>
        <v>6.6050848483842177E-4</v>
      </c>
      <c r="P165" s="349">
        <f t="shared" ca="1" si="58"/>
        <v>6.6050848483842177E-4</v>
      </c>
      <c r="Q165" s="349">
        <f t="shared" si="58"/>
        <v>1.9735585724054276E-3</v>
      </c>
      <c r="R165" s="349">
        <f t="shared" si="58"/>
        <v>4.7746780270721187E-4</v>
      </c>
      <c r="S165" s="349">
        <f t="shared" si="58"/>
        <v>3.8378557722896704E-3</v>
      </c>
      <c r="T165" s="349">
        <f t="shared" si="58"/>
        <v>2.43855903776336E-3</v>
      </c>
      <c r="U165" s="349">
        <f t="shared" si="58"/>
        <v>5.9189934486524563E-3</v>
      </c>
      <c r="V165" s="349">
        <f t="shared" si="59"/>
        <v>2.3234822199765886E-3</v>
      </c>
      <c r="W165" s="349">
        <f t="shared" si="59"/>
        <v>2.3021838207469567E-3</v>
      </c>
      <c r="X165" s="349">
        <f t="shared" si="59"/>
        <v>1.7932144543451405E-3</v>
      </c>
      <c r="Y165" s="349">
        <f t="shared" si="59"/>
        <v>1.8308153524776445E-3</v>
      </c>
      <c r="Z165" s="349">
        <f t="shared" si="59"/>
        <v>2.4291683169230609E-3</v>
      </c>
      <c r="AA165" s="349">
        <f t="shared" si="59"/>
        <v>6.9563635612696385E-3</v>
      </c>
      <c r="AB165" s="349">
        <f t="shared" si="59"/>
        <v>4.3840540953924223E-3</v>
      </c>
      <c r="AC165" s="349">
        <f t="shared" si="59"/>
        <v>3.1525000021298726E-3</v>
      </c>
      <c r="AD165" s="349">
        <f t="shared" si="59"/>
        <v>2.3021838207469563E-3</v>
      </c>
      <c r="AE165" s="349">
        <f t="shared" si="59"/>
        <v>4.3840540953924223E-3</v>
      </c>
      <c r="AF165" s="349">
        <f ca="1">Steel!H133</f>
        <v>1.9235252004259455</v>
      </c>
      <c r="AG165" s="349">
        <f ca="1">Steel!H133</f>
        <v>1.9235252004259455</v>
      </c>
      <c r="AH165" s="349">
        <f ca="1">Steel!H133</f>
        <v>1.9235252004259455</v>
      </c>
      <c r="AI165" s="349">
        <f ca="1">Steel!$D$140*Steel!C167+Steel!D167</f>
        <v>3.6456358125418751</v>
      </c>
      <c r="AJ165" s="349">
        <f ca="1">Steel!$D$208*Steel!C235+Steel!D235</f>
        <v>3.6456358125418751</v>
      </c>
      <c r="AK165" s="349">
        <f ca="1">'C.Iron'!C87+'C.Iron'!E87</f>
        <v>1.7460096844922517</v>
      </c>
      <c r="AL165" s="349">
        <f>'C.Iron'!D87+'C.Iron'!E87</f>
        <v>4.2945048578246769</v>
      </c>
      <c r="AM165" s="349">
        <f ca="1">W.Al!$I$122*W.Al!I153</f>
        <v>1.923525200425946</v>
      </c>
      <c r="AN165" s="349">
        <f ca="1">W.Al!$I$123*W.Al!I153</f>
        <v>1.923525200425946</v>
      </c>
      <c r="AO165" s="349">
        <f ca="1">W.Al!$J$124*W.Al!J153</f>
        <v>1.4953055427513697</v>
      </c>
      <c r="AP165" s="349">
        <f ca="1">W.Al!$F$160*W.Al!F191</f>
        <v>1.923525200425946</v>
      </c>
      <c r="AQ165" s="349">
        <f ca="1">W.Al!$F$161*W.Al!F191</f>
        <v>1.923525200425946</v>
      </c>
      <c r="AR165" s="349">
        <f ca="1">W.Al!$G$162*W.Al!G191</f>
        <v>1.4953055427513697</v>
      </c>
      <c r="AS165" s="349">
        <f ca="1">'C.Al'!$G$113*'C.Al'!G142+'C.Al'!$H$113*'C.Al'!H142</f>
        <v>1.3210169696768435</v>
      </c>
      <c r="AT165" s="349">
        <f ca="1">'C.Al'!$D$149*'C.Al'!D178+'C.Al'!$E$149*'C.Al'!E178</f>
        <v>1.3210169696768435</v>
      </c>
      <c r="AU165" s="349">
        <f>Copper!D88</f>
        <v>3.9471171448108548</v>
      </c>
      <c r="AV165" s="349">
        <f>Glass!B96</f>
        <v>0.95493560541442379</v>
      </c>
      <c r="AW165" s="349">
        <f>Vehi_Plastics!B$19*Vehi_Plastics!X130</f>
        <v>7.6757115445793405</v>
      </c>
      <c r="AX165" s="349">
        <f>Vehi_Plastics!C$19*Vehi_Plastics!AA130</f>
        <v>4.8771180755267203</v>
      </c>
      <c r="AY165" s="349">
        <f>Vehi_Plastics!D$19*Vehi_Plastics!AB130</f>
        <v>11.837986897304912</v>
      </c>
      <c r="AZ165" s="349">
        <f>Vehi_Plastics!E$19*Vehi_Plastics!AC130</f>
        <v>4.6469644399531775</v>
      </c>
      <c r="BA165" s="349">
        <f>Vehi_Plastics!F$19*Vehi_Plastics!AD130</f>
        <v>4.604367641493913</v>
      </c>
      <c r="BB165" s="349">
        <f>Vehi_Plastics!G$19*Vehi_Plastics!AE130</f>
        <v>3.586428908690281</v>
      </c>
      <c r="BC165" s="349">
        <f>Vehi_Plastics!H$19*Vehi_Plastics!AF130</f>
        <v>3.661630704955289</v>
      </c>
      <c r="BD165" s="349">
        <f>Vehi_Plastics!I$19*Vehi_Plastics!AG130</f>
        <v>4.8583366338461218</v>
      </c>
      <c r="BE165" s="349">
        <f>Vehi_Plastics!J$19*Vehi_Plastics!AH130</f>
        <v>13.912727122539277</v>
      </c>
      <c r="BF165" s="349">
        <f>Vehi_Plastics!K$19*Vehi_Plastics!AI130</f>
        <v>8.7681081907848455</v>
      </c>
      <c r="BG165" s="349">
        <f>Vehi_Plastics!L$19*Vehi_Plastics!AJ130</f>
        <v>6.3050000042597452</v>
      </c>
      <c r="BH165" s="349">
        <f>Rubber!$A$6*Rubber!C90</f>
        <v>4.6043676414939121</v>
      </c>
      <c r="BI165" s="348">
        <f>Rubber!$B$6*Rubber!D90</f>
        <v>8.7681081907848455</v>
      </c>
    </row>
    <row r="166" spans="1:61" s="496" customFormat="1">
      <c r="A166" s="794" t="s">
        <v>826</v>
      </c>
      <c r="B166" s="349">
        <f t="shared" ca="1" si="57"/>
        <v>8.139640336532819E-3</v>
      </c>
      <c r="C166" s="349">
        <f t="shared" ca="1" si="57"/>
        <v>8.139640336532819E-3</v>
      </c>
      <c r="D166" s="349">
        <f t="shared" ca="1" si="57"/>
        <v>8.139640336532819E-3</v>
      </c>
      <c r="E166" s="349">
        <f t="shared" ca="1" si="57"/>
        <v>1.5462365129438606E-2</v>
      </c>
      <c r="F166" s="349">
        <f t="shared" ca="1" si="57"/>
        <v>1.5462365129438606E-2</v>
      </c>
      <c r="G166" s="349">
        <f t="shared" ca="1" si="57"/>
        <v>6.6798122773228585E-3</v>
      </c>
      <c r="H166" s="349">
        <f t="shared" si="57"/>
        <v>1.8708056114921975E-2</v>
      </c>
      <c r="I166" s="349">
        <f t="shared" ca="1" si="57"/>
        <v>8.1396403365328208E-3</v>
      </c>
      <c r="J166" s="349">
        <f t="shared" ca="1" si="57"/>
        <v>8.1396403365328208E-3</v>
      </c>
      <c r="K166" s="349">
        <f t="shared" ca="1" si="57"/>
        <v>6.4120378155101262E-3</v>
      </c>
      <c r="L166" s="349">
        <f t="shared" ca="1" si="58"/>
        <v>8.1396403365328208E-3</v>
      </c>
      <c r="M166" s="349">
        <f t="shared" ca="1" si="58"/>
        <v>8.1396403365328208E-3</v>
      </c>
      <c r="N166" s="349">
        <f t="shared" ca="1" si="58"/>
        <v>6.4120378155101262E-3</v>
      </c>
      <c r="O166" s="349">
        <f t="shared" ca="1" si="58"/>
        <v>5.7275619637872548E-3</v>
      </c>
      <c r="P166" s="349">
        <f t="shared" ca="1" si="58"/>
        <v>5.7275619637872548E-3</v>
      </c>
      <c r="Q166" s="349">
        <f t="shared" si="58"/>
        <v>1.58185187417757E-2</v>
      </c>
      <c r="R166" s="349">
        <f t="shared" si="58"/>
        <v>3.7764633317638407E-3</v>
      </c>
      <c r="S166" s="349">
        <f t="shared" si="58"/>
        <v>3.2480744877173222E-2</v>
      </c>
      <c r="T166" s="349">
        <f t="shared" si="58"/>
        <v>1.6528789311366362E-2</v>
      </c>
      <c r="U166" s="349">
        <f t="shared" si="58"/>
        <v>5.0076337822765535E-2</v>
      </c>
      <c r="V166" s="349">
        <f t="shared" si="59"/>
        <v>1.9664218170627891E-2</v>
      </c>
      <c r="W166" s="349">
        <f t="shared" si="59"/>
        <v>1.9553569995038281E-2</v>
      </c>
      <c r="X166" s="349">
        <f t="shared" si="59"/>
        <v>1.5176427843429584E-2</v>
      </c>
      <c r="Y166" s="349">
        <f t="shared" si="59"/>
        <v>1.5494653762238882E-2</v>
      </c>
      <c r="Z166" s="349">
        <f t="shared" si="59"/>
        <v>2.055866636140358E-2</v>
      </c>
      <c r="AA166" s="349">
        <f t="shared" si="59"/>
        <v>5.8873465683068768E-2</v>
      </c>
      <c r="AB166" s="349">
        <f t="shared" si="59"/>
        <v>3.7103359544752579E-2</v>
      </c>
      <c r="AC166" s="349">
        <f t="shared" si="59"/>
        <v>2.668040551023081E-2</v>
      </c>
      <c r="AD166" s="349">
        <f t="shared" si="59"/>
        <v>1.9553569995038277E-2</v>
      </c>
      <c r="AE166" s="349">
        <f t="shared" si="59"/>
        <v>3.7103359544752579E-2</v>
      </c>
      <c r="AF166" s="349">
        <f ca="1">Steel!H134</f>
        <v>16.279280673065639</v>
      </c>
      <c r="AG166" s="349">
        <f ca="1">Steel!H134</f>
        <v>16.279280673065639</v>
      </c>
      <c r="AH166" s="349">
        <f ca="1">Steel!H134</f>
        <v>16.279280673065639</v>
      </c>
      <c r="AI166" s="349">
        <f ca="1">Steel!$D$140*Steel!C168+Steel!D168</f>
        <v>30.924730258877211</v>
      </c>
      <c r="AJ166" s="349">
        <f ca="1">Steel!$D$208*Steel!C236+Steel!D236</f>
        <v>30.924730258877211</v>
      </c>
      <c r="AK166" s="349">
        <f ca="1">'C.Iron'!C88+'C.Iron'!E88</f>
        <v>13.359624554645716</v>
      </c>
      <c r="AL166" s="349">
        <f>'C.Iron'!D88+'C.Iron'!E88</f>
        <v>37.416112229843954</v>
      </c>
      <c r="AM166" s="349">
        <f ca="1">W.Al!$I$122*W.Al!I154</f>
        <v>16.279280673065642</v>
      </c>
      <c r="AN166" s="349">
        <f ca="1">W.Al!$I$123*W.Al!I154</f>
        <v>16.279280673065642</v>
      </c>
      <c r="AO166" s="349">
        <f ca="1">W.Al!$J$124*W.Al!J154</f>
        <v>12.824075631020252</v>
      </c>
      <c r="AP166" s="349">
        <f ca="1">W.Al!$F$160*W.Al!F192</f>
        <v>16.279280673065642</v>
      </c>
      <c r="AQ166" s="349">
        <f ca="1">W.Al!$F$161*W.Al!F192</f>
        <v>16.279280673065642</v>
      </c>
      <c r="AR166" s="349">
        <f ca="1">W.Al!$G$162*W.Al!G192</f>
        <v>12.824075631020252</v>
      </c>
      <c r="AS166" s="349">
        <f ca="1">'C.Al'!$G$113*'C.Al'!G143+'C.Al'!$H$113*'C.Al'!H143</f>
        <v>11.45512392757451</v>
      </c>
      <c r="AT166" s="349">
        <f ca="1">'C.Al'!$D$149*'C.Al'!D179+'C.Al'!$E$149*'C.Al'!E179</f>
        <v>11.45512392757451</v>
      </c>
      <c r="AU166" s="349">
        <f>Copper!D89</f>
        <v>31.637037483551403</v>
      </c>
      <c r="AV166" s="349">
        <f>Glass!B97</f>
        <v>7.5529266635276811</v>
      </c>
      <c r="AW166" s="349">
        <f>Vehi_Plastics!B$19*Vehi_Plastics!X131</f>
        <v>64.961489754346445</v>
      </c>
      <c r="AX166" s="349">
        <f>Vehi_Plastics!C$19*Vehi_Plastics!AA131</f>
        <v>33.057578622732727</v>
      </c>
      <c r="AY166" s="349">
        <f>Vehi_Plastics!D$19*Vehi_Plastics!AB131</f>
        <v>100.15267564553108</v>
      </c>
      <c r="AZ166" s="349">
        <f>Vehi_Plastics!E$19*Vehi_Plastics!AC131</f>
        <v>39.328436341255781</v>
      </c>
      <c r="BA166" s="349">
        <f>Vehi_Plastics!F$19*Vehi_Plastics!AD131</f>
        <v>39.107139990076561</v>
      </c>
      <c r="BB166" s="349">
        <f>Vehi_Plastics!G$19*Vehi_Plastics!AE131</f>
        <v>30.352855686859169</v>
      </c>
      <c r="BC166" s="349">
        <f>Vehi_Plastics!H$19*Vehi_Plastics!AF131</f>
        <v>30.989307524477763</v>
      </c>
      <c r="BD166" s="349">
        <f>Vehi_Plastics!I$19*Vehi_Plastics!AG131</f>
        <v>41.117332722807163</v>
      </c>
      <c r="BE166" s="349">
        <f>Vehi_Plastics!J$19*Vehi_Plastics!AH131</f>
        <v>117.74693136613753</v>
      </c>
      <c r="BF166" s="349">
        <f>Vehi_Plastics!K$19*Vehi_Plastics!AI131</f>
        <v>74.206719089505157</v>
      </c>
      <c r="BG166" s="349">
        <f>Vehi_Plastics!L$19*Vehi_Plastics!AJ131</f>
        <v>53.360811020461618</v>
      </c>
      <c r="BH166" s="349">
        <f>Rubber!$A$6*Rubber!C91</f>
        <v>39.107139990076554</v>
      </c>
      <c r="BI166" s="348">
        <f>Rubber!$B$6*Rubber!D91</f>
        <v>74.206719089505157</v>
      </c>
    </row>
    <row r="167" spans="1:61" s="496" customFormat="1">
      <c r="A167" s="494" t="s">
        <v>827</v>
      </c>
      <c r="B167" s="349">
        <f t="shared" ca="1" si="57"/>
        <v>4.95653210099539E-5</v>
      </c>
      <c r="C167" s="349">
        <f t="shared" ca="1" si="57"/>
        <v>4.95653210099539E-5</v>
      </c>
      <c r="D167" s="349">
        <f t="shared" ca="1" si="57"/>
        <v>4.95653210099539E-5</v>
      </c>
      <c r="E167" s="349">
        <f t="shared" ca="1" si="57"/>
        <v>9.5621225272076951E-5</v>
      </c>
      <c r="F167" s="349">
        <f t="shared" ca="1" si="57"/>
        <v>9.5621225272076951E-5</v>
      </c>
      <c r="G167" s="349">
        <f t="shared" ca="1" si="57"/>
        <v>5.1041423239821792E-5</v>
      </c>
      <c r="H167" s="349">
        <f t="shared" si="57"/>
        <v>1.3607792610954614E-4</v>
      </c>
      <c r="I167" s="349">
        <f t="shared" ca="1" si="57"/>
        <v>4.9565321009953913E-5</v>
      </c>
      <c r="J167" s="349">
        <f t="shared" ca="1" si="57"/>
        <v>4.9565321009953913E-5</v>
      </c>
      <c r="K167" s="349">
        <f t="shared" ca="1" si="57"/>
        <v>4.2716860960673803E-5</v>
      </c>
      <c r="L167" s="349">
        <f t="shared" ca="1" si="58"/>
        <v>4.9565321009953913E-5</v>
      </c>
      <c r="M167" s="349">
        <f t="shared" ca="1" si="58"/>
        <v>4.9565321009953913E-5</v>
      </c>
      <c r="N167" s="349">
        <f t="shared" ca="1" si="58"/>
        <v>4.2716860960673803E-5</v>
      </c>
      <c r="O167" s="349">
        <f t="shared" ca="1" si="58"/>
        <v>4.0569092212745473E-5</v>
      </c>
      <c r="P167" s="349">
        <f t="shared" ca="1" si="58"/>
        <v>4.0569092212745473E-5</v>
      </c>
      <c r="Q167" s="349">
        <f t="shared" si="58"/>
        <v>1.1006073191033915E-4</v>
      </c>
      <c r="R167" s="349">
        <f t="shared" si="58"/>
        <v>2.7401272270988606E-5</v>
      </c>
      <c r="S167" s="349">
        <f t="shared" si="58"/>
        <v>1.9778743039219733E-4</v>
      </c>
      <c r="T167" s="349">
        <f t="shared" si="58"/>
        <v>1.6776603333168742E-4</v>
      </c>
      <c r="U167" s="349">
        <f t="shared" si="58"/>
        <v>3.0519671392279256E-4</v>
      </c>
      <c r="V167" s="349">
        <f t="shared" si="59"/>
        <v>1.1974279522676178E-4</v>
      </c>
      <c r="W167" s="349">
        <f t="shared" si="59"/>
        <v>1.2195010341316048E-4</v>
      </c>
      <c r="X167" s="349">
        <f t="shared" si="59"/>
        <v>9.2414957755296729E-5</v>
      </c>
      <c r="Y167" s="349">
        <f t="shared" si="59"/>
        <v>9.4352754656306853E-5</v>
      </c>
      <c r="Z167" s="349">
        <f t="shared" si="59"/>
        <v>1.2518942552854415E-4</v>
      </c>
      <c r="AA167" s="349">
        <f t="shared" si="59"/>
        <v>3.5850260022579844E-4</v>
      </c>
      <c r="AB167" s="349">
        <f t="shared" si="59"/>
        <v>2.2593626380877174E-4</v>
      </c>
      <c r="AC167" s="349">
        <f t="shared" si="59"/>
        <v>1.6246698983184255E-4</v>
      </c>
      <c r="AD167" s="349">
        <f t="shared" si="59"/>
        <v>1.2195010341316045E-4</v>
      </c>
      <c r="AE167" s="349">
        <f t="shared" si="59"/>
        <v>2.2593626380877174E-4</v>
      </c>
      <c r="AF167" s="349">
        <f ca="1">Steel!H135</f>
        <v>9.9130642019907803E-2</v>
      </c>
      <c r="AG167" s="349">
        <f ca="1">Steel!H135</f>
        <v>9.9130642019907803E-2</v>
      </c>
      <c r="AH167" s="349">
        <f ca="1">Steel!H135</f>
        <v>9.9130642019907803E-2</v>
      </c>
      <c r="AI167" s="349">
        <f ca="1">Steel!$D$140*Steel!C169+Steel!D169</f>
        <v>0.1912424505441539</v>
      </c>
      <c r="AJ167" s="349">
        <f ca="1">Steel!$D$208*Steel!C237+Steel!D237</f>
        <v>0.1912424505441539</v>
      </c>
      <c r="AK167" s="349">
        <f ca="1">'C.Iron'!C89+'C.Iron'!E89</f>
        <v>0.10208284647964358</v>
      </c>
      <c r="AL167" s="349">
        <f>'C.Iron'!D89+'C.Iron'!E89</f>
        <v>0.27215585221909228</v>
      </c>
      <c r="AM167" s="349">
        <f ca="1">W.Al!$I$122*W.Al!I155</f>
        <v>9.913064201990783E-2</v>
      </c>
      <c r="AN167" s="349">
        <f ca="1">W.Al!$I$123*W.Al!I155</f>
        <v>9.913064201990783E-2</v>
      </c>
      <c r="AO167" s="349">
        <f ca="1">W.Al!$J$124*W.Al!J155</f>
        <v>8.54337219213476E-2</v>
      </c>
      <c r="AP167" s="349">
        <f ca="1">W.Al!$F$160*W.Al!F193</f>
        <v>9.913064201990783E-2</v>
      </c>
      <c r="AQ167" s="349">
        <f ca="1">W.Al!$F$161*W.Al!F193</f>
        <v>9.913064201990783E-2</v>
      </c>
      <c r="AR167" s="349">
        <f ca="1">W.Al!$G$162*W.Al!G193</f>
        <v>8.54337219213476E-2</v>
      </c>
      <c r="AS167" s="349">
        <f ca="1">'C.Al'!$G$113*'C.Al'!G144+'C.Al'!$H$113*'C.Al'!H144</f>
        <v>8.113818442549095E-2</v>
      </c>
      <c r="AT167" s="349">
        <f ca="1">'C.Al'!$D$149*'C.Al'!D180+'C.Al'!$E$149*'C.Al'!E180</f>
        <v>8.113818442549095E-2</v>
      </c>
      <c r="AU167" s="349">
        <f>Copper!D90</f>
        <v>0.22012146382067829</v>
      </c>
      <c r="AV167" s="349">
        <f>Glass!B98</f>
        <v>5.4802544541977215E-2</v>
      </c>
      <c r="AW167" s="349">
        <f>Vehi_Plastics!B$19*Vehi_Plastics!X132</f>
        <v>0.39557486078439463</v>
      </c>
      <c r="AX167" s="349">
        <f>Vehi_Plastics!C$19*Vehi_Plastics!AA132</f>
        <v>0.33553206666337482</v>
      </c>
      <c r="AY167" s="349">
        <f>Vehi_Plastics!D$19*Vehi_Plastics!AB132</f>
        <v>0.61039342784558515</v>
      </c>
      <c r="AZ167" s="349">
        <f>Vehi_Plastics!E$19*Vehi_Plastics!AC132</f>
        <v>0.23948559045352355</v>
      </c>
      <c r="BA167" s="349">
        <f>Vehi_Plastics!F$19*Vehi_Plastics!AD132</f>
        <v>0.24390020682632096</v>
      </c>
      <c r="BB167" s="349">
        <f>Vehi_Plastics!G$19*Vehi_Plastics!AE132</f>
        <v>0.18482991551059347</v>
      </c>
      <c r="BC167" s="349">
        <f>Vehi_Plastics!H$19*Vehi_Plastics!AF132</f>
        <v>0.18870550931261371</v>
      </c>
      <c r="BD167" s="349">
        <f>Vehi_Plastics!I$19*Vehi_Plastics!AG132</f>
        <v>0.25037885105708829</v>
      </c>
      <c r="BE167" s="349">
        <f>Vehi_Plastics!J$19*Vehi_Plastics!AH132</f>
        <v>0.71700520045159688</v>
      </c>
      <c r="BF167" s="349">
        <f>Vehi_Plastics!K$19*Vehi_Plastics!AI132</f>
        <v>0.45187252761754348</v>
      </c>
      <c r="BG167" s="349">
        <f>Vehi_Plastics!L$19*Vehi_Plastics!AJ132</f>
        <v>0.32493397966368509</v>
      </c>
      <c r="BH167" s="349">
        <f>Rubber!$A$6*Rubber!C92</f>
        <v>0.24390020682632091</v>
      </c>
      <c r="BI167" s="348">
        <f>Rubber!$B$6*Rubber!D92</f>
        <v>0.45187252761754348</v>
      </c>
    </row>
    <row r="168" spans="1:61" s="496" customFormat="1">
      <c r="A168" s="492" t="s">
        <v>828</v>
      </c>
      <c r="B168" s="499">
        <f t="shared" ca="1" si="57"/>
        <v>2.7506861479856709E-4</v>
      </c>
      <c r="C168" s="499">
        <f t="shared" ca="1" si="57"/>
        <v>2.7506861479856709E-4</v>
      </c>
      <c r="D168" s="499">
        <f t="shared" ca="1" si="57"/>
        <v>2.7506861479856709E-4</v>
      </c>
      <c r="E168" s="499">
        <f t="shared" ca="1" si="57"/>
        <v>5.221704238803094E-4</v>
      </c>
      <c r="F168" s="499">
        <f t="shared" ca="1" si="57"/>
        <v>5.221704238803094E-4</v>
      </c>
      <c r="G168" s="499">
        <f t="shared" ca="1" si="57"/>
        <v>2.6832366992326671E-4</v>
      </c>
      <c r="H168" s="499">
        <f t="shared" si="57"/>
        <v>6.2676696854419478E-4</v>
      </c>
      <c r="I168" s="499">
        <f t="shared" ca="1" si="57"/>
        <v>2.750686147985672E-4</v>
      </c>
      <c r="J168" s="499">
        <f t="shared" ca="1" si="57"/>
        <v>2.750686147985672E-4</v>
      </c>
      <c r="K168" s="499">
        <f t="shared" ca="1" si="57"/>
        <v>2.1586656852007059E-4</v>
      </c>
      <c r="L168" s="499">
        <f t="shared" ca="1" si="58"/>
        <v>2.750686147985672E-4</v>
      </c>
      <c r="M168" s="499">
        <f t="shared" ca="1" si="58"/>
        <v>2.750686147985672E-4</v>
      </c>
      <c r="N168" s="499">
        <f t="shared" ca="1" si="58"/>
        <v>2.1586656852007059E-4</v>
      </c>
      <c r="O168" s="499">
        <f t="shared" ca="1" si="58"/>
        <v>1.9215617442217627E-4</v>
      </c>
      <c r="P168" s="499">
        <f t="shared" ca="1" si="58"/>
        <v>1.9215617442217627E-4</v>
      </c>
      <c r="Q168" s="499">
        <f t="shared" si="58"/>
        <v>5.4598587531439098E-4</v>
      </c>
      <c r="R168" s="499">
        <f t="shared" si="58"/>
        <v>1.332978986546096E-4</v>
      </c>
      <c r="S168" s="499">
        <f t="shared" si="58"/>
        <v>1.0976447522981618E-3</v>
      </c>
      <c r="T168" s="499">
        <f t="shared" si="58"/>
        <v>6.1169222640634479E-4</v>
      </c>
      <c r="U168" s="499">
        <f t="shared" si="58"/>
        <v>1.6923705850527731E-3</v>
      </c>
      <c r="V168" s="499">
        <f t="shared" si="59"/>
        <v>6.6452681318293497E-4</v>
      </c>
      <c r="W168" s="499">
        <f t="shared" si="59"/>
        <v>6.6007926679200043E-4</v>
      </c>
      <c r="X168" s="499">
        <f t="shared" si="59"/>
        <v>5.1286774499679989E-4</v>
      </c>
      <c r="Y168" s="499">
        <f t="shared" si="59"/>
        <v>5.2362177822932489E-4</v>
      </c>
      <c r="Z168" s="499">
        <f t="shared" si="59"/>
        <v>6.9475353262918446E-4</v>
      </c>
      <c r="AA168" s="499">
        <f t="shared" si="59"/>
        <v>1.9895526072753779E-3</v>
      </c>
      <c r="AB168" s="499">
        <f t="shared" si="59"/>
        <v>1.2538600346432068E-3</v>
      </c>
      <c r="AC168" s="499">
        <f t="shared" si="59"/>
        <v>9.0162978737821713E-4</v>
      </c>
      <c r="AD168" s="499">
        <f t="shared" si="59"/>
        <v>6.6007926679200021E-4</v>
      </c>
      <c r="AE168" s="499">
        <f t="shared" si="59"/>
        <v>1.2538600346432068E-3</v>
      </c>
      <c r="AF168" s="499">
        <f ca="1">Steel!H136</f>
        <v>0.55013722959713418</v>
      </c>
      <c r="AG168" s="499">
        <f ca="1">Steel!H136</f>
        <v>0.55013722959713418</v>
      </c>
      <c r="AH168" s="499">
        <f ca="1">Steel!H136</f>
        <v>0.55013722959713418</v>
      </c>
      <c r="AI168" s="499">
        <f ca="1">Steel!$D$140*Steel!C170+Steel!D170</f>
        <v>1.0443408477606189</v>
      </c>
      <c r="AJ168" s="499">
        <f ca="1">Steel!$D$208*Steel!C238+Steel!D238</f>
        <v>1.0443408477606189</v>
      </c>
      <c r="AK168" s="499">
        <f ca="1">'C.Iron'!C90+'C.Iron'!E90</f>
        <v>0.53664733984653346</v>
      </c>
      <c r="AL168" s="499">
        <f>'C.Iron'!D90+'C.Iron'!E90</f>
        <v>1.2535339370883896</v>
      </c>
      <c r="AM168" s="499">
        <f ca="1">W.Al!$I$122*W.Al!I156</f>
        <v>0.5501372295971344</v>
      </c>
      <c r="AN168" s="499">
        <f ca="1">W.Al!$I$123*W.Al!I156</f>
        <v>0.5501372295971344</v>
      </c>
      <c r="AO168" s="499">
        <f ca="1">W.Al!$J$124*W.Al!J156</f>
        <v>0.43173313704014116</v>
      </c>
      <c r="AP168" s="499">
        <f ca="1">W.Al!$F$160*W.Al!F194</f>
        <v>0.5501372295971344</v>
      </c>
      <c r="AQ168" s="499">
        <f ca="1">W.Al!$F$161*W.Al!F194</f>
        <v>0.5501372295971344</v>
      </c>
      <c r="AR168" s="499">
        <f ca="1">W.Al!$G$162*W.Al!G194</f>
        <v>0.43173313704014116</v>
      </c>
      <c r="AS168" s="499">
        <f ca="1">'C.Al'!$G$113*'C.Al'!G145+'C.Al'!$H$113*'C.Al'!H145</f>
        <v>0.38431234884435256</v>
      </c>
      <c r="AT168" s="499">
        <f ca="1">'C.Al'!$D$149*'C.Al'!D181+'C.Al'!$E$149*'C.Al'!E181</f>
        <v>0.38431234884435256</v>
      </c>
      <c r="AU168" s="499">
        <f>Copper!D91</f>
        <v>1.091971750628782</v>
      </c>
      <c r="AV168" s="499">
        <f>Glass!B99</f>
        <v>0.26659579730921917</v>
      </c>
      <c r="AW168" s="499">
        <f>Vehi_Plastics!B$19*Vehi_Plastics!X133</f>
        <v>2.1952895045963237</v>
      </c>
      <c r="AX168" s="499">
        <f>Vehi_Plastics!C$19*Vehi_Plastics!AA133</f>
        <v>1.2233844528126896</v>
      </c>
      <c r="AY168" s="499">
        <f>Vehi_Plastics!D$19*Vehi_Plastics!AB133</f>
        <v>3.3847411701055461</v>
      </c>
      <c r="AZ168" s="499">
        <f>Vehi_Plastics!E$19*Vehi_Plastics!AC133</f>
        <v>1.3290536263658699</v>
      </c>
      <c r="BA168" s="499">
        <f>Vehi_Plastics!F$19*Vehi_Plastics!AD133</f>
        <v>1.3201585335840009</v>
      </c>
      <c r="BB168" s="499">
        <f>Vehi_Plastics!G$19*Vehi_Plastics!AE133</f>
        <v>1.0257354899935998</v>
      </c>
      <c r="BC168" s="499">
        <f>Vehi_Plastics!H$19*Vehi_Plastics!AF133</f>
        <v>1.0472435564586497</v>
      </c>
      <c r="BD168" s="499">
        <f>Vehi_Plastics!I$19*Vehi_Plastics!AG133</f>
        <v>1.389507065258369</v>
      </c>
      <c r="BE168" s="499">
        <f>Vehi_Plastics!J$19*Vehi_Plastics!AH133</f>
        <v>3.9791052145507555</v>
      </c>
      <c r="BF168" s="499">
        <f>Vehi_Plastics!K$19*Vehi_Plastics!AI133</f>
        <v>2.5077200692864134</v>
      </c>
      <c r="BG168" s="499">
        <f>Vehi_Plastics!L$19*Vehi_Plastics!AJ133</f>
        <v>1.8032595747564342</v>
      </c>
      <c r="BH168" s="499">
        <f>Rubber!$A$6*Rubber!C93</f>
        <v>1.3201585335840005</v>
      </c>
      <c r="BI168" s="500">
        <f>Rubber!$B$6*Rubber!D93</f>
        <v>2.5077200692864134</v>
      </c>
    </row>
    <row r="169" spans="1:61" s="496" customFormat="1">
      <c r="A169" s="349"/>
      <c r="B169" s="349"/>
      <c r="C169" s="349"/>
      <c r="D169" s="349"/>
      <c r="E169" s="349"/>
      <c r="F169" s="349"/>
      <c r="H169" s="349"/>
      <c r="I169" s="349"/>
      <c r="L169" s="349"/>
      <c r="M169" s="349"/>
      <c r="N169" s="349"/>
      <c r="O169" s="349"/>
      <c r="AF169" s="349"/>
      <c r="AH169" s="349"/>
      <c r="AJ169" s="349"/>
      <c r="AL169" s="349"/>
      <c r="AN169" s="349"/>
    </row>
    <row r="170" spans="1:61" s="496" customFormat="1">
      <c r="A170" s="619" t="s">
        <v>1500</v>
      </c>
      <c r="C170" s="620"/>
      <c r="D170" s="620"/>
      <c r="E170" s="620"/>
      <c r="H170" s="620"/>
    </row>
    <row r="171" spans="1:61" s="496" customFormat="1" ht="51">
      <c r="A171" s="508"/>
      <c r="B171" s="769" t="str">
        <f>Vehi_Comp_Sum!B147</f>
        <v>ICEV: Conventional Material</v>
      </c>
      <c r="C171" s="801" t="str">
        <f>Vehi_Comp_Sum!C147</f>
        <v>ICEV: Lightweight Material</v>
      </c>
      <c r="D171" s="801" t="str">
        <f>Vehi_Comp_Sum!D147</f>
        <v>HEV: Conventional Material</v>
      </c>
      <c r="E171" s="801" t="str">
        <f>Vehi_Comp_Sum!E147</f>
        <v>HEV: Lightweight Material</v>
      </c>
      <c r="F171" s="610" t="str">
        <f>Vehi_Comp_Sum!F147</f>
        <v>PHEV: Conventional Material</v>
      </c>
      <c r="G171" s="610" t="str">
        <f>Vehi_Comp_Sum!G147</f>
        <v>PHEV: Lightweight Material</v>
      </c>
      <c r="H171" s="610" t="str">
        <f>Vehi_Comp_Sum!H147</f>
        <v>EV: Conventional Material</v>
      </c>
      <c r="I171" s="610" t="str">
        <f>Vehi_Comp_Sum!I147</f>
        <v>EV: Lightweight Material</v>
      </c>
      <c r="J171" s="801" t="str">
        <f>Vehi_Comp_Sum!J147</f>
        <v>FCV: Conventional Material</v>
      </c>
      <c r="K171" s="846" t="str">
        <f>Vehi_Comp_Sum!K147</f>
        <v>FCV: Lightweight Material</v>
      </c>
    </row>
    <row r="172" spans="1:61" s="496" customFormat="1">
      <c r="A172" s="1715" t="str">
        <f>Vehi_Comp_Sum!A148</f>
        <v>Vehicle Weight: lbs</v>
      </c>
      <c r="B172" s="1687">
        <f>Vehi_Comp_Sum!B148</f>
        <v>2959.8626743605541</v>
      </c>
      <c r="C172" s="1505">
        <f>Vehi_Comp_Sum!C148</f>
        <v>2575.5290831000002</v>
      </c>
      <c r="D172" s="1505">
        <f>Vehi_Comp_Sum!D148</f>
        <v>3098.8981258685394</v>
      </c>
      <c r="E172" s="1505">
        <f>Vehi_Comp_Sum!E148</f>
        <v>2677.75813565</v>
      </c>
      <c r="F172" s="1505">
        <f>Vehi_Comp_Sum!F148</f>
        <v>3103.307371112237</v>
      </c>
      <c r="G172" s="1505">
        <f>Vehi_Comp_Sum!G148</f>
        <v>2688.7812356499999</v>
      </c>
      <c r="H172" s="1505">
        <f>Vehi_Comp_Sum!H148</f>
        <v>2664.8841124925889</v>
      </c>
      <c r="I172" s="1505">
        <f>Vehi_Comp_Sum!I148</f>
        <v>2327.5202171311998</v>
      </c>
      <c r="J172" s="1505">
        <f>Vehi_Comp_Sum!J148</f>
        <v>2945.7530345161235</v>
      </c>
      <c r="K172" s="1136">
        <f>Vehi_Comp_Sum!K148</f>
        <v>2766.2395971312003</v>
      </c>
    </row>
    <row r="173" spans="1:61" s="496" customFormat="1">
      <c r="A173" s="609" t="str">
        <f>Vehi_Comp_Sum!A149</f>
        <v>Weight by Materials: lbs, per-vehicle lifetime</v>
      </c>
      <c r="B173" s="624"/>
      <c r="C173" s="625"/>
      <c r="D173" s="625"/>
      <c r="E173" s="625"/>
      <c r="F173" s="625"/>
      <c r="G173" s="625"/>
      <c r="H173" s="625"/>
      <c r="I173" s="625"/>
      <c r="J173" s="625"/>
      <c r="K173" s="847"/>
    </row>
    <row r="174" spans="1:61" s="627" customFormat="1">
      <c r="A174" s="626" t="str">
        <f>Vehi_Comp_Sum!A150</f>
        <v>Steel</v>
      </c>
      <c r="B174" s="626">
        <f>Vehi_Comp_Sum!B150</f>
        <v>1853.5478390380677</v>
      </c>
      <c r="C174" s="627">
        <f>Vehi_Comp_Sum!C150</f>
        <v>870.72864533693655</v>
      </c>
      <c r="D174" s="627">
        <f>Vehi_Comp_Sum!D150</f>
        <v>1916.0767799183943</v>
      </c>
      <c r="E174" s="627">
        <f>Vehi_Comp_Sum!E150</f>
        <v>965.07494904241844</v>
      </c>
      <c r="F174" s="627">
        <f>Vehi_Comp_Sum!F150</f>
        <v>1929.4022151760346</v>
      </c>
      <c r="G174" s="627">
        <f>Vehi_Comp_Sum!G150</f>
        <v>979.01707874440751</v>
      </c>
      <c r="H174" s="627">
        <f>Vehi_Comp_Sum!H150</f>
        <v>1636.5239581316023</v>
      </c>
      <c r="I174" s="627">
        <f>Vehi_Comp_Sum!I150</f>
        <v>591.19400255555911</v>
      </c>
      <c r="J174" s="627">
        <f>Vehi_Comp_Sum!J150</f>
        <v>1626.1696563276744</v>
      </c>
      <c r="K174" s="848">
        <f>Vehi_Comp_Sum!K150</f>
        <v>631.23835533063004</v>
      </c>
    </row>
    <row r="175" spans="1:61" s="627" customFormat="1">
      <c r="A175" s="626" t="str">
        <f>Vehi_Comp_Sum!A151</f>
        <v>Stainless steel</v>
      </c>
      <c r="B175" s="626">
        <f>Vehi_Comp_Sum!B151</f>
        <v>0</v>
      </c>
      <c r="C175" s="627">
        <f>Vehi_Comp_Sum!C151</f>
        <v>26.532858227563175</v>
      </c>
      <c r="D175" s="627">
        <f>Vehi_Comp_Sum!D151</f>
        <v>0</v>
      </c>
      <c r="E175" s="627">
        <f>Vehi_Comp_Sum!E151</f>
        <v>21.973984580186563</v>
      </c>
      <c r="F175" s="627">
        <f>Vehi_Comp_Sum!F151</f>
        <v>0</v>
      </c>
      <c r="G175" s="627">
        <f>Vehi_Comp_Sum!G151</f>
        <v>20.870661213986985</v>
      </c>
      <c r="H175" s="627">
        <f>Vehi_Comp_Sum!H151</f>
        <v>0</v>
      </c>
      <c r="I175" s="627">
        <f>Vehi_Comp_Sum!I151</f>
        <v>0</v>
      </c>
      <c r="J175" s="627">
        <f>Vehi_Comp_Sum!J151</f>
        <v>100.5072483650026</v>
      </c>
      <c r="K175" s="848">
        <f>Vehi_Comp_Sum!K151</f>
        <v>73.978153344274119</v>
      </c>
    </row>
    <row r="176" spans="1:61" s="627" customFormat="1">
      <c r="A176" s="626" t="str">
        <f>Vehi_Comp_Sum!A152</f>
        <v>Cast iron</v>
      </c>
      <c r="B176" s="626">
        <f>Vehi_Comp_Sum!B152</f>
        <v>56.035146783036723</v>
      </c>
      <c r="C176" s="627">
        <f>Vehi_Comp_Sum!C152</f>
        <v>90.598600454521232</v>
      </c>
      <c r="D176" s="627">
        <f>Vehi_Comp_Sum!D152</f>
        <v>167.43784638200697</v>
      </c>
      <c r="E176" s="627">
        <f>Vehi_Comp_Sum!E152</f>
        <v>89.350704513528754</v>
      </c>
      <c r="F176" s="627">
        <f>Vehi_Comp_Sum!F152</f>
        <v>162.62410119594423</v>
      </c>
      <c r="G176" s="627">
        <f>Vehi_Comp_Sum!G152</f>
        <v>91.871494786897173</v>
      </c>
      <c r="H176" s="627">
        <f>Vehi_Comp_Sum!H152</f>
        <v>0</v>
      </c>
      <c r="I176" s="627">
        <f>Vehi_Comp_Sum!I152</f>
        <v>66.809140312533955</v>
      </c>
      <c r="J176" s="627">
        <f>Vehi_Comp_Sum!J152</f>
        <v>0.18584133153129864</v>
      </c>
      <c r="K176" s="848">
        <f>Vehi_Comp_Sum!K152</f>
        <v>68.846430790233896</v>
      </c>
    </row>
    <row r="177" spans="1:11" s="627" customFormat="1">
      <c r="A177" s="849" t="str">
        <f>Vehi_Comp_Sum!A153</f>
        <v>Wrought Aluminum</v>
      </c>
      <c r="B177" s="626">
        <f>Vehi_Comp_Sum!B153</f>
        <v>137.45396221799808</v>
      </c>
      <c r="C177" s="627">
        <f>Vehi_Comp_Sum!C153</f>
        <v>173.47877748733995</v>
      </c>
      <c r="D177" s="627">
        <f>Vehi_Comp_Sum!D153</f>
        <v>83.703692350396196</v>
      </c>
      <c r="E177" s="627">
        <f>Vehi_Comp_Sum!E153</f>
        <v>156.52158117699307</v>
      </c>
      <c r="F177" s="627">
        <f>Vehi_Comp_Sum!F153</f>
        <v>83.355775840592983</v>
      </c>
      <c r="G177" s="627">
        <f>Vehi_Comp_Sum!G153</f>
        <v>133.07487923941434</v>
      </c>
      <c r="H177" s="627">
        <f>Vehi_Comp_Sum!H153</f>
        <v>80.770121912978439</v>
      </c>
      <c r="I177" s="627">
        <f>Vehi_Comp_Sum!I153</f>
        <v>157.264415570718</v>
      </c>
      <c r="J177" s="627">
        <f>Vehi_Comp_Sum!J153</f>
        <v>110.69273194555504</v>
      </c>
      <c r="K177" s="848">
        <f>Vehi_Comp_Sum!K153</f>
        <v>175.270169980052</v>
      </c>
    </row>
    <row r="178" spans="1:11" s="627" customFormat="1">
      <c r="A178" s="849" t="str">
        <f>Vehi_Comp_Sum!A154</f>
        <v>Cast Aluminum</v>
      </c>
      <c r="B178" s="626">
        <f>Vehi_Comp_Sum!B154</f>
        <v>243.93473465053088</v>
      </c>
      <c r="C178" s="627">
        <f>Vehi_Comp_Sum!C154</f>
        <v>362.46610738933322</v>
      </c>
      <c r="D178" s="627">
        <f>Vehi_Comp_Sum!D154</f>
        <v>300.55447102836922</v>
      </c>
      <c r="E178" s="627">
        <f>Vehi_Comp_Sum!E154</f>
        <v>379.05947842882875</v>
      </c>
      <c r="F178" s="627">
        <f>Vehi_Comp_Sum!F154</f>
        <v>296.73645943110387</v>
      </c>
      <c r="G178" s="627">
        <f>Vehi_Comp_Sum!G154</f>
        <v>392.20169569163789</v>
      </c>
      <c r="H178" s="627">
        <f>Vehi_Comp_Sum!H154</f>
        <v>285.6164523281584</v>
      </c>
      <c r="I178" s="627">
        <f>Vehi_Comp_Sum!I154</f>
        <v>380.59152694787645</v>
      </c>
      <c r="J178" s="627">
        <f>Vehi_Comp_Sum!J154</f>
        <v>226.60139159667537</v>
      </c>
      <c r="K178" s="848">
        <f>Vehi_Comp_Sum!K154</f>
        <v>356.87799220189919</v>
      </c>
    </row>
    <row r="179" spans="1:11" s="627" customFormat="1">
      <c r="A179" s="626" t="str">
        <f>Vehi_Comp_Sum!A155</f>
        <v>Copper/Brass</v>
      </c>
      <c r="B179" s="626">
        <f>Vehi_Comp_Sum!B155</f>
        <v>70.41017488702299</v>
      </c>
      <c r="C179" s="627">
        <f>Vehi_Comp_Sum!C155</f>
        <v>79.590642497518502</v>
      </c>
      <c r="D179" s="627">
        <f>Vehi_Comp_Sum!D155</f>
        <v>123.77348770108543</v>
      </c>
      <c r="E179" s="627">
        <f>Vehi_Comp_Sum!E155</f>
        <v>129.1128328639488</v>
      </c>
      <c r="F179" s="627">
        <f>Vehi_Comp_Sum!F155</f>
        <v>124.7312984944309</v>
      </c>
      <c r="G179" s="627">
        <f>Vehi_Comp_Sum!G155</f>
        <v>129.60898114442708</v>
      </c>
      <c r="H179" s="627">
        <f>Vehi_Comp_Sum!H155</f>
        <v>168.94462367518676</v>
      </c>
      <c r="I179" s="627">
        <f>Vehi_Comp_Sum!I155</f>
        <v>175.35928724689072</v>
      </c>
      <c r="J179" s="627">
        <f>Vehi_Comp_Sum!J155</f>
        <v>98.959344662177926</v>
      </c>
      <c r="K179" s="848">
        <f>Vehi_Comp_Sum!K155</f>
        <v>120.23755721681087</v>
      </c>
    </row>
    <row r="180" spans="1:11" s="627" customFormat="1">
      <c r="A180" s="849" t="str">
        <f>Vehi_Comp_Sum!A157</f>
        <v>Magnesium</v>
      </c>
      <c r="B180" s="626">
        <f>Vehi_Comp_Sum!B157</f>
        <v>0.75642059514562765</v>
      </c>
      <c r="C180" s="627">
        <f>Vehi_Comp_Sum!C157</f>
        <v>9.7859827798183154</v>
      </c>
      <c r="D180" s="627">
        <f>Vehi_Comp_Sum!D157</f>
        <v>0.67181961885795149</v>
      </c>
      <c r="E180" s="627">
        <f>Vehi_Comp_Sum!E157</f>
        <v>9.384333614045957</v>
      </c>
      <c r="F180" s="627">
        <f>Vehi_Comp_Sum!F157</f>
        <v>0.66890653500979103</v>
      </c>
      <c r="G180" s="627">
        <f>Vehi_Comp_Sum!G157</f>
        <v>9.0956365871750613</v>
      </c>
      <c r="H180" s="627">
        <f>Vehi_Comp_Sum!H157</f>
        <v>0.64891095354964978</v>
      </c>
      <c r="I180" s="627">
        <f>Vehi_Comp_Sum!I157</f>
        <v>8.7875497434147967</v>
      </c>
      <c r="J180" s="627">
        <f>Vehi_Comp_Sum!J157</f>
        <v>0.69506982479626545</v>
      </c>
      <c r="K180" s="848">
        <f>Vehi_Comp_Sum!K157</f>
        <v>11.772291350051104</v>
      </c>
    </row>
    <row r="181" spans="1:11" s="627" customFormat="1">
      <c r="A181" s="626" t="str">
        <f>Vehi_Comp_Sum!A158</f>
        <v>Glass</v>
      </c>
      <c r="B181" s="626">
        <f>Vehi_Comp_Sum!B158</f>
        <v>69.583151120989214</v>
      </c>
      <c r="C181" s="627">
        <f>Vehi_Comp_Sum!C158</f>
        <v>83.724519338445575</v>
      </c>
      <c r="D181" s="627">
        <f>Vehi_Comp_Sum!D158</f>
        <v>61.80070501126206</v>
      </c>
      <c r="E181" s="627">
        <f>Vehi_Comp_Sum!E158</f>
        <v>78.202780117049642</v>
      </c>
      <c r="F181" s="627">
        <f>Vehi_Comp_Sum!F158</f>
        <v>61.532730348838129</v>
      </c>
      <c r="G181" s="627">
        <f>Vehi_Comp_Sum!G158</f>
        <v>73.775718984864397</v>
      </c>
      <c r="H181" s="627">
        <f>Vehi_Comp_Sum!H158</f>
        <v>59.693336266468926</v>
      </c>
      <c r="I181" s="627">
        <f>Vehi_Comp_Sum!I158</f>
        <v>70.300397947318373</v>
      </c>
      <c r="J181" s="627">
        <f>Vehi_Comp_Sum!J158</f>
        <v>61.987581317832984</v>
      </c>
      <c r="K181" s="848">
        <f>Vehi_Comp_Sum!K158</f>
        <v>94.17833080040883</v>
      </c>
    </row>
    <row r="182" spans="1:11" s="627" customFormat="1">
      <c r="A182" s="849" t="str">
        <f>Vehi_Comp_Sum!A159</f>
        <v>Average Plastic</v>
      </c>
      <c r="B182" s="626">
        <f>Vehi_Comp_Sum!B159</f>
        <v>452.83697478535873</v>
      </c>
      <c r="C182" s="627">
        <f>Vehi_Comp_Sum!C159</f>
        <v>364.7234903970247</v>
      </c>
      <c r="D182" s="627">
        <f>Vehi_Comp_Sum!D159</f>
        <v>389.34282217030068</v>
      </c>
      <c r="E182" s="627">
        <f>Vehi_Comp_Sum!E159</f>
        <v>334.14592897161083</v>
      </c>
      <c r="F182" s="627">
        <f>Vehi_Comp_Sum!F159</f>
        <v>389.4524197804954</v>
      </c>
      <c r="G182" s="627">
        <f>Vehi_Comp_Sum!G159</f>
        <v>340.76183545411089</v>
      </c>
      <c r="H182" s="627">
        <f>Vehi_Comp_Sum!H159</f>
        <v>379.89217259270401</v>
      </c>
      <c r="I182" s="627">
        <f>Vehi_Comp_Sum!I159</f>
        <v>350.69533515508465</v>
      </c>
      <c r="J182" s="627">
        <f>Vehi_Comp_Sum!J159</f>
        <v>408.46670814357412</v>
      </c>
      <c r="K182" s="848">
        <f>Vehi_Comp_Sum!K159</f>
        <v>379.44058519056546</v>
      </c>
    </row>
    <row r="183" spans="1:11" s="627" customFormat="1">
      <c r="A183" s="849" t="str">
        <f>Vehi_Comp_Sum!A160</f>
        <v>Rubber</v>
      </c>
      <c r="B183" s="626">
        <f>Vehi_Comp_Sum!B160</f>
        <v>276.06579686378774</v>
      </c>
      <c r="C183" s="627">
        <f>Vehi_Comp_Sum!C160</f>
        <v>234.90802360559468</v>
      </c>
      <c r="D183" s="627">
        <f>Vehi_Comp_Sum!D160</f>
        <v>263.24431391710038</v>
      </c>
      <c r="E183" s="627">
        <f>Vehi_Comp_Sum!E160</f>
        <v>226.45951037075139</v>
      </c>
      <c r="F183" s="627">
        <f>Vehi_Comp_Sum!F160</f>
        <v>262.5297731688085</v>
      </c>
      <c r="G183" s="627">
        <f>Vehi_Comp_Sum!G160</f>
        <v>225.72123206147091</v>
      </c>
      <c r="H183" s="627">
        <f>Vehi_Comp_Sum!H160</f>
        <v>248.74011439343218</v>
      </c>
      <c r="I183" s="627">
        <f>Vehi_Comp_Sum!I160</f>
        <v>220.05088339339002</v>
      </c>
      <c r="J183" s="627">
        <f>Vehi_Comp_Sum!J160</f>
        <v>267.76866069585151</v>
      </c>
      <c r="K183" s="848">
        <f>Vehi_Comp_Sum!K160</f>
        <v>234.85530683445393</v>
      </c>
    </row>
    <row r="184" spans="1:11" s="627" customFormat="1">
      <c r="A184" s="849" t="str">
        <f>Vehi_Comp_Sum!A161</f>
        <v>Carbon Fiber-Reinforced Plastic for General Use</v>
      </c>
      <c r="B184" s="626">
        <f>Vehi_Comp_Sum!B161</f>
        <v>0</v>
      </c>
      <c r="C184" s="627">
        <f>Vehi_Comp_Sum!C161</f>
        <v>414.27327101230873</v>
      </c>
      <c r="D184" s="627">
        <f>Vehi_Comp_Sum!D161</f>
        <v>0</v>
      </c>
      <c r="E184" s="627">
        <f>Vehi_Comp_Sum!E161</f>
        <v>413.95338275291618</v>
      </c>
      <c r="F184" s="627">
        <f>Vehi_Comp_Sum!F161</f>
        <v>0</v>
      </c>
      <c r="G184" s="627">
        <f>Vehi_Comp_Sum!G161</f>
        <v>416.37803043512508</v>
      </c>
      <c r="H184" s="627">
        <f>Vehi_Comp_Sum!H161</f>
        <v>0</v>
      </c>
      <c r="I184" s="627">
        <f>Vehi_Comp_Sum!I161</f>
        <v>415.94402118830038</v>
      </c>
      <c r="J184" s="627">
        <f>Vehi_Comp_Sum!J161</f>
        <v>0</v>
      </c>
      <c r="K184" s="848">
        <f>Vehi_Comp_Sum!K161</f>
        <v>553.29769345240197</v>
      </c>
    </row>
    <row r="185" spans="1:11" s="627" customFormat="1">
      <c r="A185" s="849" t="str">
        <f>Vehi_Comp_Sum!A163</f>
        <v>Glass Fiber-Reinforced Plastic</v>
      </c>
      <c r="B185" s="626">
        <f>Vehi_Comp_Sum!B163</f>
        <v>25.742077151607727</v>
      </c>
      <c r="C185" s="627">
        <f>Vehi_Comp_Sum!C163</f>
        <v>46.20499175081401</v>
      </c>
      <c r="D185" s="627">
        <f>Vehi_Comp_Sum!D163</f>
        <v>12.846799094244707</v>
      </c>
      <c r="E185" s="627">
        <f>Vehi_Comp_Sum!E163</f>
        <v>51.171957972271493</v>
      </c>
      <c r="F185" s="627">
        <f>Vehi_Comp_Sum!F163</f>
        <v>12.791093958682243</v>
      </c>
      <c r="G185" s="627">
        <f>Vehi_Comp_Sum!G163</f>
        <v>55.066239706112</v>
      </c>
      <c r="H185" s="627">
        <f>Vehi_Comp_Sum!H163</f>
        <v>12.408730582293034</v>
      </c>
      <c r="I185" s="627">
        <f>Vehi_Comp_Sum!I163</f>
        <v>60.273463542829553</v>
      </c>
      <c r="J185" s="627">
        <f>Vehi_Comp_Sum!J163</f>
        <v>32.660384676858584</v>
      </c>
      <c r="K185" s="848">
        <f>Vehi_Comp_Sum!K163</f>
        <v>75.495267958868368</v>
      </c>
    </row>
    <row r="186" spans="1:11" s="627" customFormat="1">
      <c r="A186" s="626" t="str">
        <f>Vehi_Comp_Sum!A164</f>
        <v>Nickel</v>
      </c>
      <c r="B186" s="626">
        <f>Vehi_Comp_Sum!B164</f>
        <v>0</v>
      </c>
      <c r="C186" s="627">
        <f>Vehi_Comp_Sum!C164</f>
        <v>0</v>
      </c>
      <c r="D186" s="627">
        <f>Vehi_Comp_Sum!D164</f>
        <v>0</v>
      </c>
      <c r="E186" s="627">
        <f>Vehi_Comp_Sum!E164</f>
        <v>0</v>
      </c>
      <c r="F186" s="627">
        <f>Vehi_Comp_Sum!F164</f>
        <v>0</v>
      </c>
      <c r="G186" s="627">
        <f>Vehi_Comp_Sum!G164</f>
        <v>0</v>
      </c>
      <c r="H186" s="627">
        <f>Vehi_Comp_Sum!H164</f>
        <v>0</v>
      </c>
      <c r="I186" s="627">
        <f>Vehi_Comp_Sum!I164</f>
        <v>0</v>
      </c>
      <c r="J186" s="627">
        <f>Vehi_Comp_Sum!J164</f>
        <v>4.6529115135795426E-3</v>
      </c>
      <c r="K186" s="848">
        <f>Vehi_Comp_Sum!K164</f>
        <v>3.5471228402685511E-3</v>
      </c>
    </row>
    <row r="187" spans="1:11" s="627" customFormat="1">
      <c r="A187" s="626" t="str">
        <f>Vehi_Comp_Sum!A165</f>
        <v>PFSA (Nafion117 Sheet)</v>
      </c>
      <c r="B187" s="626">
        <f>Vehi_Comp_Sum!B165</f>
        <v>0</v>
      </c>
      <c r="C187" s="627">
        <f>Vehi_Comp_Sum!C165</f>
        <v>0</v>
      </c>
      <c r="D187" s="627">
        <f>Vehi_Comp_Sum!D165</f>
        <v>0</v>
      </c>
      <c r="E187" s="627">
        <f>Vehi_Comp_Sum!E165</f>
        <v>0</v>
      </c>
      <c r="F187" s="627">
        <f>Vehi_Comp_Sum!F165</f>
        <v>0</v>
      </c>
      <c r="G187" s="627">
        <f>Vehi_Comp_Sum!G165</f>
        <v>0</v>
      </c>
      <c r="H187" s="627">
        <f>Vehi_Comp_Sum!H165</f>
        <v>0</v>
      </c>
      <c r="I187" s="627">
        <f>Vehi_Comp_Sum!I165</f>
        <v>0</v>
      </c>
      <c r="J187" s="627">
        <f>Vehi_Comp_Sum!J165</f>
        <v>1.5079250048969692</v>
      </c>
      <c r="K187" s="848">
        <f>Vehi_Comp_Sum!K165</f>
        <v>1.1495587678105683</v>
      </c>
    </row>
    <row r="188" spans="1:11" s="627" customFormat="1">
      <c r="A188" s="626" t="str">
        <f>Vehi_Comp_Sum!A166</f>
        <v>Carbon Paper</v>
      </c>
      <c r="B188" s="626">
        <f>Vehi_Comp_Sum!B166</f>
        <v>0</v>
      </c>
      <c r="C188" s="627">
        <f>Vehi_Comp_Sum!C166</f>
        <v>0</v>
      </c>
      <c r="D188" s="627">
        <f>Vehi_Comp_Sum!D166</f>
        <v>0</v>
      </c>
      <c r="E188" s="627">
        <f>Vehi_Comp_Sum!E166</f>
        <v>0</v>
      </c>
      <c r="F188" s="627">
        <f>Vehi_Comp_Sum!F166</f>
        <v>0</v>
      </c>
      <c r="G188" s="627">
        <f>Vehi_Comp_Sum!G166</f>
        <v>0</v>
      </c>
      <c r="H188" s="627">
        <f>Vehi_Comp_Sum!H166</f>
        <v>0</v>
      </c>
      <c r="I188" s="627">
        <f>Vehi_Comp_Sum!I166</f>
        <v>0</v>
      </c>
      <c r="J188" s="627">
        <f>Vehi_Comp_Sum!J166</f>
        <v>5.2062811447277886</v>
      </c>
      <c r="K188" s="848">
        <f>Vehi_Comp_Sum!K166</f>
        <v>3.9689812942770319</v>
      </c>
    </row>
    <row r="189" spans="1:11" s="627" customFormat="1">
      <c r="A189" s="626" t="str">
        <f>Vehi_Comp_Sum!A167</f>
        <v xml:space="preserve">PTFE </v>
      </c>
      <c r="B189" s="626">
        <f>Vehi_Comp_Sum!B167</f>
        <v>0</v>
      </c>
      <c r="C189" s="627">
        <f>Vehi_Comp_Sum!C167</f>
        <v>0</v>
      </c>
      <c r="D189" s="627">
        <f>Vehi_Comp_Sum!D167</f>
        <v>0</v>
      </c>
      <c r="E189" s="627">
        <f>Vehi_Comp_Sum!E167</f>
        <v>0</v>
      </c>
      <c r="F189" s="627">
        <f>Vehi_Comp_Sum!F167</f>
        <v>0</v>
      </c>
      <c r="G189" s="627">
        <f>Vehi_Comp_Sum!G167</f>
        <v>0</v>
      </c>
      <c r="H189" s="627">
        <f>Vehi_Comp_Sum!H167</f>
        <v>0</v>
      </c>
      <c r="I189" s="627">
        <f>Vehi_Comp_Sum!I167</f>
        <v>0</v>
      </c>
      <c r="J189" s="627">
        <f>Vehi_Comp_Sum!J167</f>
        <v>6.2402344142288548</v>
      </c>
      <c r="K189" s="848">
        <f>Vehi_Comp_Sum!K167</f>
        <v>4.7572101800647344</v>
      </c>
    </row>
    <row r="190" spans="1:11" s="627" customFormat="1">
      <c r="A190" s="626" t="str">
        <f>Vehi_Comp_Sum!A168</f>
        <v>Carbon &amp; PFSA Suspension (Nafion Dry Polymer)</v>
      </c>
      <c r="B190" s="626">
        <f>Vehi_Comp_Sum!B168</f>
        <v>0</v>
      </c>
      <c r="C190" s="627">
        <f>Vehi_Comp_Sum!C168</f>
        <v>0</v>
      </c>
      <c r="D190" s="627">
        <f>Vehi_Comp_Sum!D168</f>
        <v>0</v>
      </c>
      <c r="E190" s="627">
        <f>Vehi_Comp_Sum!E168</f>
        <v>0</v>
      </c>
      <c r="F190" s="627">
        <f>Vehi_Comp_Sum!F168</f>
        <v>0</v>
      </c>
      <c r="G190" s="627">
        <f>Vehi_Comp_Sum!G168</f>
        <v>0</v>
      </c>
      <c r="H190" s="627">
        <f>Vehi_Comp_Sum!H168</f>
        <v>0</v>
      </c>
      <c r="I190" s="627">
        <f>Vehi_Comp_Sum!I168</f>
        <v>0</v>
      </c>
      <c r="J190" s="627">
        <f>Vehi_Comp_Sum!J168</f>
        <v>0</v>
      </c>
      <c r="K190" s="848">
        <f>Vehi_Comp_Sum!K168</f>
        <v>0</v>
      </c>
    </row>
    <row r="191" spans="1:11" s="627" customFormat="1">
      <c r="A191" s="626" t="str">
        <f>Vehi_Comp_Sum!A169</f>
        <v>Platinum</v>
      </c>
      <c r="B191" s="626">
        <f>Vehi_Comp_Sum!B169</f>
        <v>9.0830331321523679E-3</v>
      </c>
      <c r="C191" s="627">
        <f>Vehi_Comp_Sum!C169</f>
        <v>2.211071518963598E-2</v>
      </c>
      <c r="D191" s="627">
        <f>Vehi_Comp_Sum!D169</f>
        <v>1.395315386516725E-2</v>
      </c>
      <c r="E191" s="627">
        <f>Vehi_Comp_Sum!E169</f>
        <v>1.3733740362616603E-2</v>
      </c>
      <c r="F191" s="627">
        <f>Vehi_Comp_Sum!F169</f>
        <v>1.4265272034731951E-2</v>
      </c>
      <c r="G191" s="627">
        <f>Vehi_Comp_Sum!G169</f>
        <v>1.3913774142657992E-2</v>
      </c>
      <c r="H191" s="627">
        <f>Vehi_Comp_Sum!H169</f>
        <v>0</v>
      </c>
      <c r="I191" s="627">
        <f>Vehi_Comp_Sum!I169</f>
        <v>0</v>
      </c>
      <c r="J191" s="627">
        <f>Vehi_Comp_Sum!J169</f>
        <v>4.2982088520427085E-2</v>
      </c>
      <c r="K191" s="848">
        <f>Vehi_Comp_Sum!K169</f>
        <v>3.2767171150426655E-2</v>
      </c>
    </row>
    <row r="192" spans="1:11" s="627" customFormat="1">
      <c r="A192" s="628" t="str">
        <f>Vehi_Comp_Sum!A172</f>
        <v>Others</v>
      </c>
      <c r="B192" s="628">
        <f>Vehi_Comp_Sum!B172</f>
        <v>13.487313233877455</v>
      </c>
      <c r="C192" s="629">
        <f>Vehi_Comp_Sum!C172</f>
        <v>58.491062107592413</v>
      </c>
      <c r="D192" s="629">
        <f>Vehi_Comp_Sum!D172</f>
        <v>19.431435522655899</v>
      </c>
      <c r="E192" s="629">
        <f>Vehi_Comp_Sum!E172</f>
        <v>63.332977505087428</v>
      </c>
      <c r="F192" s="629">
        <f>Vehi_Comp_Sum!F172</f>
        <v>19.468331910261576</v>
      </c>
      <c r="G192" s="629">
        <f>Vehi_Comp_Sum!G172</f>
        <v>61.323837826227191</v>
      </c>
      <c r="H192" s="629">
        <f>Vehi_Comp_Sum!H172</f>
        <v>31.645691656214822</v>
      </c>
      <c r="I192" s="629">
        <f>Vehi_Comp_Sum!I172</f>
        <v>70.250193527283741</v>
      </c>
      <c r="J192" s="629">
        <f>Vehi_Comp_Sum!J172</f>
        <v>37.456010075549521</v>
      </c>
      <c r="K192" s="850">
        <f>Vehi_Comp_Sum!K172</f>
        <v>89.693843934525688</v>
      </c>
    </row>
    <row r="193" spans="1:11" s="496" customFormat="1">
      <c r="A193" s="818" t="s">
        <v>1501</v>
      </c>
      <c r="B193" s="498"/>
      <c r="K193" s="497"/>
    </row>
    <row r="194" spans="1:11" s="496" customFormat="1">
      <c r="A194" s="347" t="s">
        <v>816</v>
      </c>
      <c r="B194" s="347">
        <f t="shared" ref="B194:K194" ca="1" si="60">B$174*($B$6*($A$14*$B140+$B$14*$C140+$C$14*$D140)+$C$6*$E140)+B$175*$F140+B$176*($A$18*$G140+$B$18*$H140)+B$177*($B$7*($A$22*$I140+$B$22*$J140+$C$22*$K140)+$C$7*($A$22*$L140+$B$22*$M140+$C$22*$N140))+B$178*($B$8*$O140+$C$8*$P140)+B$179*$Q140+B$181*$R140+B$182*($A$30*SUMPRODUCT($B$36:$L$36,$S140:$AC140)+$B$30*SUMPRODUCT($B$37:$L$37,$S140:$AC140)+$F$30*SUMPRODUCT($B$38:$L$38,$S140:$AC140)+$G$30*SUMPRODUCT($B$39:$L$39,$S140:$AC140)+$H$30*SUMPRODUCT($B$40:$L$40,$S140:$AC140)+$I$30*SUMPRODUCT($B$41:$L$41,$S140:$AC140)+$J$30*SUMPRODUCT($B$42:$L$42,$S140:$AC140)+$K$30*SUMPRODUCT($B$43:$L$43,$S140:$AC140)+$L$30*SUMPRODUCT($B$44:$L$44,$S140:$AC140)+$M$30*SUMPRODUCT($B$45:$L$45,$S140:$AC140)+$P$30*SUMPRODUCT($B$46:$L$46,$S140:$AC140))+B$183*($A$50*$AD140+$B$50*$AE140)+B$184*$S140+B$185*$T140</f>
        <v>7.5011720358170724</v>
      </c>
      <c r="C194" s="349">
        <f t="shared" ca="1" si="60"/>
        <v>8.6205012151264775</v>
      </c>
      <c r="D194" s="349">
        <f t="shared" ca="1" si="60"/>
        <v>8.9913590164844788</v>
      </c>
      <c r="E194" s="349">
        <f t="shared" ca="1" si="60"/>
        <v>8.7815458222881269</v>
      </c>
      <c r="F194" s="349">
        <f t="shared" ca="1" si="60"/>
        <v>8.9254126421313931</v>
      </c>
      <c r="G194" s="349">
        <f t="shared" ca="1" si="60"/>
        <v>8.8598991182371911</v>
      </c>
      <c r="H194" s="349">
        <f t="shared" ca="1" si="60"/>
        <v>6.3641127824378954</v>
      </c>
      <c r="I194" s="349">
        <f t="shared" ca="1" si="60"/>
        <v>8.0750943926619563</v>
      </c>
      <c r="J194" s="349">
        <f t="shared" ca="1" si="60"/>
        <v>6.5384412884805041</v>
      </c>
      <c r="K194" s="348">
        <f t="shared" ca="1" si="60"/>
        <v>8.8966837324802448</v>
      </c>
    </row>
    <row r="195" spans="1:11" s="496" customFormat="1">
      <c r="A195" s="347" t="s">
        <v>817</v>
      </c>
      <c r="B195" s="347">
        <f t="shared" ref="B195:K195" ca="1" si="61">B$174*($B$6*($A$14*$B141+$B$14*$C141+$C$14*$D141)+$C$6*$E141)+B$175*$F141+B$176*($A$18*$G141+$B$18*$H141)+B$177*($B$7*($A$22*$I141+$B$22*$J141+$C$22*$K141)+$C$7*($A$22*$L141+$B$22*$M141+$C$22*$N141))+B$178*($B$8*$O141+$C$8*$P141)+B$179*$Q141+B$181*$R141+B$182*($A$30*SUMPRODUCT($B$36:$L$36,$S141:$AC141)+$B$30*SUMPRODUCT($B$37:$L$37,$S141:$AC141)+$F$30*SUMPRODUCT($B$38:$L$38,$S141:$AC141)+$G$30*SUMPRODUCT($B$39:$L$39,$S141:$AC141)+$H$30*SUMPRODUCT($B$40:$L$40,$S141:$AC141)+$I$30*SUMPRODUCT($B$41:$L$41,$S141:$AC141)+$J$30*SUMPRODUCT($B$42:$L$42,$S141:$AC141)+$K$30*SUMPRODUCT($B$43:$L$43,$S141:$AC141)+$L$30*SUMPRODUCT($B$44:$L$44,$S141:$AC141)+$M$30*SUMPRODUCT($B$45:$L$45,$S141:$AC141)+$P$30*SUMPRODUCT($B$46:$L$46,$S141:$AC141))+B$183*($A$50*$AD141+$B$50*$AE141)+B$184*$S141+B$185*$T141</f>
        <v>6.6940727512417695</v>
      </c>
      <c r="C195" s="349">
        <f t="shared" ca="1" si="61"/>
        <v>7.7395700288652254</v>
      </c>
      <c r="D195" s="349">
        <f t="shared" ca="1" si="61"/>
        <v>8.1668187811353938</v>
      </c>
      <c r="E195" s="349">
        <f t="shared" ca="1" si="61"/>
        <v>7.8787872654653457</v>
      </c>
      <c r="F195" s="349">
        <f t="shared" ca="1" si="61"/>
        <v>8.0992647740134078</v>
      </c>
      <c r="G195" s="349">
        <f t="shared" ca="1" si="61"/>
        <v>7.9508189646884793</v>
      </c>
      <c r="H195" s="349">
        <f t="shared" ca="1" si="61"/>
        <v>5.6295129868992273</v>
      </c>
      <c r="I195" s="349">
        <f t="shared" ca="1" si="61"/>
        <v>7.2444683890225301</v>
      </c>
      <c r="J195" s="349">
        <f t="shared" ca="1" si="61"/>
        <v>5.7722897169005059</v>
      </c>
      <c r="K195" s="348">
        <f t="shared" ca="1" si="61"/>
        <v>7.9268157503657255</v>
      </c>
    </row>
    <row r="196" spans="1:11" s="496" customFormat="1">
      <c r="A196" s="347" t="s">
        <v>805</v>
      </c>
      <c r="B196" s="347">
        <f t="shared" ref="B196:K196" ca="1" si="62">B$174*($B$6*($A$14*$B142+$B$14*$C142+$C$14*$D142)+$C$6*$E142)+B$175*$F142+B$176*($A$18*$G142+$B$18*$H142)+B$177*($B$7*($A$22*$I142+$B$22*$J142+$C$22*$K142)+$C$7*($A$22*$L142+$B$22*$M142+$C$22*$N142))+B$178*($B$8*$O142+$C$8*$P142)+B$179*$Q142+B$181*$R142+B$182*($A$30*SUMPRODUCT($B$36:$L$36,$S142:$AC142)+$B$30*SUMPRODUCT($B$37:$L$37,$S142:$AC142)+$F$30*SUMPRODUCT($B$38:$L$38,$S142:$AC142)+$G$30*SUMPRODUCT($B$39:$L$39,$S142:$AC142)+$H$30*SUMPRODUCT($B$40:$L$40,$S142:$AC142)+$I$30*SUMPRODUCT($B$41:$L$41,$S142:$AC142)+$J$30*SUMPRODUCT($B$42:$L$42,$S142:$AC142)+$K$30*SUMPRODUCT($B$43:$L$43,$S142:$AC142)+$L$30*SUMPRODUCT($B$44:$L$44,$S142:$AC142)+$M$30*SUMPRODUCT($B$45:$L$45,$S142:$AC142)+$P$30*SUMPRODUCT($B$46:$L$46,$S142:$AC142))+B$183*($A$50*$AD142+$B$50*$AE142)+B$184*$S142+B$185*$T142</f>
        <v>1.6096079239136936</v>
      </c>
      <c r="C196" s="349">
        <f t="shared" ca="1" si="62"/>
        <v>2.027293851766752</v>
      </c>
      <c r="D196" s="349">
        <f t="shared" ca="1" si="62"/>
        <v>2.6372386578703129</v>
      </c>
      <c r="E196" s="349">
        <f t="shared" ca="1" si="62"/>
        <v>2.0423298977580573</v>
      </c>
      <c r="F196" s="349">
        <f t="shared" ca="1" si="62"/>
        <v>2.5956620801571142</v>
      </c>
      <c r="G196" s="349">
        <f t="shared" ca="1" si="62"/>
        <v>2.0711797511483483</v>
      </c>
      <c r="H196" s="349">
        <f t="shared" ca="1" si="62"/>
        <v>1.0019251756105945</v>
      </c>
      <c r="I196" s="349">
        <f t="shared" ca="1" si="62"/>
        <v>1.7393335847936677</v>
      </c>
      <c r="J196" s="349">
        <f t="shared" ca="1" si="62"/>
        <v>1.0461998946040478</v>
      </c>
      <c r="K196" s="348">
        <f t="shared" ca="1" si="62"/>
        <v>1.9533338760794918</v>
      </c>
    </row>
    <row r="197" spans="1:11" s="496" customFormat="1">
      <c r="A197" s="347" t="s">
        <v>804</v>
      </c>
      <c r="B197" s="347">
        <f t="shared" ref="B197:K197" ca="1" si="63">B$174*($B$6*($A$14*$B143+$B$14*$C143+$C$14*$D143)+$C$6*$E143)+B$175*$F143+B$176*($A$18*$G143+$B$18*$H143)+B$177*($B$7*($A$22*$I143+$B$22*$J143+$C$22*$K143)+$C$7*($A$22*$L143+$B$22*$M143+$C$22*$N143))+B$178*($B$8*$O143+$C$8*$P143)+B$179*$Q143+B$181*$R143+B$182*($A$30*SUMPRODUCT($B$36:$L$36,$S143:$AC143)+$B$30*SUMPRODUCT($B$37:$L$37,$S143:$AC143)+$F$30*SUMPRODUCT($B$38:$L$38,$S143:$AC143)+$G$30*SUMPRODUCT($B$39:$L$39,$S143:$AC143)+$H$30*SUMPRODUCT($B$40:$L$40,$S143:$AC143)+$I$30*SUMPRODUCT($B$41:$L$41,$S143:$AC143)+$J$30*SUMPRODUCT($B$42:$L$42,$S143:$AC143)+$K$30*SUMPRODUCT($B$43:$L$43,$S143:$AC143)+$L$30*SUMPRODUCT($B$44:$L$44,$S143:$AC143)+$M$30*SUMPRODUCT($B$45:$L$45,$S143:$AC143)+$P$30*SUMPRODUCT($B$46:$L$46,$S143:$AC143))+B$183*($A$50*$AD143+$B$50*$AE143)+B$184*$S143+B$185*$T143</f>
        <v>4.9422780371290935</v>
      </c>
      <c r="C197" s="349">
        <f t="shared" ca="1" si="63"/>
        <v>5.5138275200177658</v>
      </c>
      <c r="D197" s="349">
        <f t="shared" ca="1" si="63"/>
        <v>5.3760923202796054</v>
      </c>
      <c r="E197" s="349">
        <f t="shared" ca="1" si="63"/>
        <v>5.6058793684957884</v>
      </c>
      <c r="F197" s="349">
        <f t="shared" ca="1" si="63"/>
        <v>5.3504558480168338</v>
      </c>
      <c r="G197" s="349">
        <f t="shared" ca="1" si="63"/>
        <v>5.6406942451168627</v>
      </c>
      <c r="H197" s="349">
        <f t="shared" ca="1" si="63"/>
        <v>4.4816682587437038</v>
      </c>
      <c r="I197" s="349">
        <f t="shared" ca="1" si="63"/>
        <v>5.242820126619641</v>
      </c>
      <c r="J197" s="349">
        <f t="shared" ca="1" si="63"/>
        <v>4.5674019578731695</v>
      </c>
      <c r="K197" s="348">
        <f t="shared" ca="1" si="63"/>
        <v>5.6949361707467006</v>
      </c>
    </row>
    <row r="198" spans="1:11" s="496" customFormat="1">
      <c r="A198" s="347" t="s">
        <v>818</v>
      </c>
      <c r="B198" s="347">
        <f t="shared" ref="B198:K198" ca="1" si="64">B$174*($B$6*($A$14*$B144+$B$14*$C144+$C$14*$D144)+$C$6*$E144)+B$175*$F144+B$176*($A$18*$G144+$B$18*$H144)+B$177*($B$7*($A$22*$I144+$B$22*$J144+$C$22*$K144)+$C$7*($A$22*$L144+$B$22*$M144+$C$22*$N144))+B$178*($B$8*$O144+$C$8*$P144)+B$179*$Q144+B$181*$R144+B$182*($A$30*SUMPRODUCT($B$36:$L$36,$S144:$AC144)+$B$30*SUMPRODUCT($B$37:$L$37,$S144:$AC144)+$F$30*SUMPRODUCT($B$38:$L$38,$S144:$AC144)+$G$30*SUMPRODUCT($B$39:$L$39,$S144:$AC144)+$H$30*SUMPRODUCT($B$40:$L$40,$S144:$AC144)+$I$30*SUMPRODUCT($B$41:$L$41,$S144:$AC144)+$J$30*SUMPRODUCT($B$42:$L$42,$S144:$AC144)+$K$30*SUMPRODUCT($B$43:$L$43,$S144:$AC144)+$L$30*SUMPRODUCT($B$44:$L$44,$S144:$AC144)+$M$30*SUMPRODUCT($B$45:$L$45,$S144:$AC144)+$P$30*SUMPRODUCT($B$46:$L$46,$S144:$AC144))+B$183*($A$50*$AD144+$B$50*$AE144)+B$184*$S144+B$185*$T144</f>
        <v>0.14218679019898095</v>
      </c>
      <c r="C198" s="349">
        <f t="shared" ca="1" si="64"/>
        <v>0.19844865708070752</v>
      </c>
      <c r="D198" s="349">
        <f t="shared" ca="1" si="64"/>
        <v>0.1534878029854759</v>
      </c>
      <c r="E198" s="349">
        <f t="shared" ca="1" si="64"/>
        <v>0.23057799921150135</v>
      </c>
      <c r="F198" s="349">
        <f t="shared" ca="1" si="64"/>
        <v>0.15314684583945914</v>
      </c>
      <c r="G198" s="349">
        <f t="shared" ca="1" si="64"/>
        <v>0.23894496842326746</v>
      </c>
      <c r="H198" s="349">
        <f t="shared" ca="1" si="64"/>
        <v>0.14591955254492983</v>
      </c>
      <c r="I198" s="349">
        <f t="shared" ca="1" si="64"/>
        <v>0.26231467760922117</v>
      </c>
      <c r="J198" s="349">
        <f t="shared" ca="1" si="64"/>
        <v>0.15868786442328847</v>
      </c>
      <c r="K198" s="348">
        <f t="shared" ca="1" si="64"/>
        <v>0.27854570353953351</v>
      </c>
    </row>
    <row r="199" spans="1:11" s="496" customFormat="1">
      <c r="A199" s="1570" t="s">
        <v>819</v>
      </c>
      <c r="B199" s="1687">
        <f t="shared" ref="B199:K199" ca="1" si="65">B$174*($B$6*($A$14*$B145+$B$14*$C145+$C$14*$D145)+$C$6*$E145)+B$175*$F145+B$176*($A$18*$G145+$B$18*$H145)+B$177*($B$7*($A$22*$I145+$B$22*$J145+$C$22*$K145)+$C$7*($A$22*$L145+$B$22*$M145+$C$22*$N145))+B$178*($B$8*$O145+$C$8*$P145)+B$179*$Q145+B$181*$R145+B$182*($A$30*SUMPRODUCT($B$36:$L$36,$S145:$AC145)+$B$30*SUMPRODUCT($B$37:$L$37,$S145:$AC145)+$F$30*SUMPRODUCT($B$38:$L$38,$S145:$AC145)+$G$30*SUMPRODUCT($B$39:$L$39,$S145:$AC145)+$H$30*SUMPRODUCT($B$40:$L$40,$S145:$AC145)+$I$30*SUMPRODUCT($B$41:$L$41,$S145:$AC145)+$J$30*SUMPRODUCT($B$42:$L$42,$S145:$AC145)+$K$30*SUMPRODUCT($B$43:$L$43,$S145:$AC145)+$L$30*SUMPRODUCT($B$44:$L$44,$S145:$AC145)+$M$30*SUMPRODUCT($B$45:$L$45,$S145:$AC145)+$P$30*SUMPRODUCT($B$46:$L$46,$S145:$AC145))+B$183*($A$50*$AD145+$B$50*$AE145)+B$184*$S145+B$185*$T145</f>
        <v>226.22913904997881</v>
      </c>
      <c r="C199" s="1505">
        <f t="shared" ca="1" si="65"/>
        <v>249.9664514760693</v>
      </c>
      <c r="D199" s="1505">
        <f t="shared" ca="1" si="65"/>
        <v>232.0505503871679</v>
      </c>
      <c r="E199" s="1505">
        <f t="shared" ca="1" si="65"/>
        <v>255.35087365937497</v>
      </c>
      <c r="F199" s="1505">
        <f t="shared" ca="1" si="65"/>
        <v>232.24036051771105</v>
      </c>
      <c r="G199" s="1505">
        <f t="shared" ca="1" si="65"/>
        <v>256.05653942785858</v>
      </c>
      <c r="H199" s="1505">
        <f t="shared" ca="1" si="65"/>
        <v>202.66770564988835</v>
      </c>
      <c r="I199" s="1505">
        <f t="shared" ca="1" si="65"/>
        <v>236.32088966411771</v>
      </c>
      <c r="J199" s="1505">
        <f t="shared" ca="1" si="65"/>
        <v>212.51595735816051</v>
      </c>
      <c r="K199" s="1136">
        <f t="shared" ca="1" si="65"/>
        <v>273.78134373383386</v>
      </c>
    </row>
    <row r="200" spans="1:11" s="496" customFormat="1">
      <c r="A200" s="699" t="s">
        <v>1030</v>
      </c>
      <c r="B200" s="623"/>
      <c r="C200" s="615"/>
      <c r="D200" s="615"/>
      <c r="E200" s="615"/>
      <c r="F200" s="615"/>
      <c r="G200" s="615"/>
      <c r="H200" s="615"/>
      <c r="I200" s="615"/>
      <c r="J200" s="615"/>
      <c r="K200" s="673"/>
    </row>
    <row r="201" spans="1:11" s="496" customFormat="1">
      <c r="A201" s="347" t="s">
        <v>821</v>
      </c>
      <c r="B201" s="347">
        <f t="shared" ref="B201:K201" ca="1" si="66">B$174*($B$6*($A$14*$B147+$B$14*$C147+$C$14*$D147)+$C$6*$E147)+B$175*$F147+B$176*($A$18*$G147+$B$18*$H147)+B$177*($B$7*($A$22*$I147+$B$22*$J147+$C$22*$K147)+$C$7*($A$22*$L147+$B$22*$M147+$C$22*$N147))+B$178*($B$8*$O147+$C$8*$P147)+B$179*$Q147+B$181*$R147+B$182*($A$30*SUMPRODUCT($B$36:$L$36,$S147:$AC147)+$B$30*SUMPRODUCT($B$37:$L$37,$S147:$AC147)+$F$30*SUMPRODUCT($B$38:$L$38,$S147:$AC147)+$G$30*SUMPRODUCT($B$39:$L$39,$S147:$AC147)+$H$30*SUMPRODUCT($B$40:$L$40,$S147:$AC147)+$I$30*SUMPRODUCT($B$41:$L$41,$S147:$AC147)+$J$30*SUMPRODUCT($B$42:$L$42,$S147:$AC147)+$K$30*SUMPRODUCT($B$43:$L$43,$S147:$AC147)+$L$30*SUMPRODUCT($B$44:$L$44,$S147:$AC147)+$M$30*SUMPRODUCT($B$45:$L$45,$S147:$AC147)+$P$30*SUMPRODUCT($B$46:$L$46,$S147:$AC147))+B$183*($A$50*$AD147+$B$50*$AE147)+B$184*$S147+B$185*$T147</f>
        <v>121.53491009460537</v>
      </c>
      <c r="C201" s="349">
        <f t="shared" ca="1" si="66"/>
        <v>160.23928899139625</v>
      </c>
      <c r="D201" s="349">
        <f t="shared" ca="1" si="66"/>
        <v>209.3706932292441</v>
      </c>
      <c r="E201" s="349">
        <f t="shared" ca="1" si="66"/>
        <v>158.73540684259137</v>
      </c>
      <c r="F201" s="349">
        <f t="shared" ca="1" si="66"/>
        <v>205.21498497292359</v>
      </c>
      <c r="G201" s="349">
        <f t="shared" ca="1" si="66"/>
        <v>158.67157340664969</v>
      </c>
      <c r="H201" s="349">
        <f t="shared" ca="1" si="66"/>
        <v>65.256737076408868</v>
      </c>
      <c r="I201" s="349">
        <f t="shared" ca="1" si="66"/>
        <v>136.50095732283012</v>
      </c>
      <c r="J201" s="349">
        <f t="shared" ca="1" si="66"/>
        <v>69.820846895577333</v>
      </c>
      <c r="K201" s="348">
        <f t="shared" ca="1" si="66"/>
        <v>146.18755362128982</v>
      </c>
    </row>
    <row r="202" spans="1:11" s="496" customFormat="1">
      <c r="A202" s="347" t="s">
        <v>822</v>
      </c>
      <c r="B202" s="347">
        <f t="shared" ref="B202:K202" ca="1" si="67">B$174*($B$6*($A$14*$B148+$B$14*$C148+$C$14*$D148)+$C$6*$E148)+B$175*$F148+B$176*($A$18*$G148+$B$18*$H148)+B$177*($B$7*($A$22*$I148+$B$22*$J148+$C$22*$K148)+$C$7*($A$22*$L148+$B$22*$M148+$C$22*$N148))+B$178*($B$8*$O148+$C$8*$P148)+B$179*$Q148+B$181*$R148+B$182*($A$30*SUMPRODUCT($B$36:$L$36,$S148:$AC148)+$B$30*SUMPRODUCT($B$37:$L$37,$S148:$AC148)+$F$30*SUMPRODUCT($B$38:$L$38,$S148:$AC148)+$G$30*SUMPRODUCT($B$39:$L$39,$S148:$AC148)+$H$30*SUMPRODUCT($B$40:$L$40,$S148:$AC148)+$I$30*SUMPRODUCT($B$41:$L$41,$S148:$AC148)+$J$30*SUMPRODUCT($B$42:$L$42,$S148:$AC148)+$K$30*SUMPRODUCT($B$43:$L$43,$S148:$AC148)+$L$30*SUMPRODUCT($B$44:$L$44,$S148:$AC148)+$M$30*SUMPRODUCT($B$45:$L$45,$S148:$AC148)+$P$30*SUMPRODUCT($B$46:$L$46,$S148:$AC148))+B$183*($A$50*$AD148+$B$50*$AE148)+B$184*$S148+B$185*$T148</f>
        <v>236.14405498674626</v>
      </c>
      <c r="C202" s="349">
        <f t="shared" ca="1" si="67"/>
        <v>271.56682073882422</v>
      </c>
      <c r="D202" s="349">
        <f t="shared" ca="1" si="67"/>
        <v>277.52849350746317</v>
      </c>
      <c r="E202" s="349">
        <f t="shared" ca="1" si="67"/>
        <v>275.97211742415465</v>
      </c>
      <c r="F202" s="349">
        <f t="shared" ca="1" si="67"/>
        <v>275.28215008789203</v>
      </c>
      <c r="G202" s="349">
        <f t="shared" ca="1" si="67"/>
        <v>277.8508227031046</v>
      </c>
      <c r="H202" s="349">
        <f t="shared" ca="1" si="67"/>
        <v>204.54486810247698</v>
      </c>
      <c r="I202" s="349">
        <f t="shared" ca="1" si="67"/>
        <v>257.15266226103887</v>
      </c>
      <c r="J202" s="349">
        <f t="shared" ca="1" si="67"/>
        <v>208.60811225873979</v>
      </c>
      <c r="K202" s="348">
        <f t="shared" ca="1" si="67"/>
        <v>277.32957394382134</v>
      </c>
    </row>
    <row r="203" spans="1:11" s="496" customFormat="1">
      <c r="A203" s="347" t="s">
        <v>849</v>
      </c>
      <c r="B203" s="347">
        <f t="shared" ref="B203:K203" ca="1" si="68">B$174*($B$6*($A$14*$B149+$B$14*$C149+$C$14*$D149)+$C$6*$E149)+B$175*$F149+B$176*($A$18*$G149+$B$18*$H149)+B$177*($B$7*($A$22*$I149+$B$22*$J149+$C$22*$K149)+$C$7*($A$22*$L149+$B$22*$M149+$C$22*$N149))+B$178*($B$8*$O149+$C$8*$P149)+B$179*$Q149+B$181*$R149+B$182*($A$30*SUMPRODUCT($B$36:$L$36,$S149:$AC149)+$B$30*SUMPRODUCT($B$37:$L$37,$S149:$AC149)+$F$30*SUMPRODUCT($B$38:$L$38,$S149:$AC149)+$G$30*SUMPRODUCT($B$39:$L$39,$S149:$AC149)+$H$30*SUMPRODUCT($B$40:$L$40,$S149:$AC149)+$I$30*SUMPRODUCT($B$41:$L$41,$S149:$AC149)+$J$30*SUMPRODUCT($B$42:$L$42,$S149:$AC149)+$K$30*SUMPRODUCT($B$43:$L$43,$S149:$AC149)+$L$30*SUMPRODUCT($B$44:$L$44,$S149:$AC149)+$M$30*SUMPRODUCT($B$45:$L$45,$S149:$AC149)+$P$30*SUMPRODUCT($B$46:$L$46,$S149:$AC149))+B$183*($A$50*$AD149+$B$50*$AE149)+B$184*$S149+B$185*$T149</f>
        <v>376.23311924055486</v>
      </c>
      <c r="C203" s="349">
        <f t="shared" ca="1" si="68"/>
        <v>433.52155775541485</v>
      </c>
      <c r="D203" s="349">
        <f t="shared" ca="1" si="68"/>
        <v>438.93393381369276</v>
      </c>
      <c r="E203" s="349">
        <f t="shared" ca="1" si="68"/>
        <v>444.11083124044012</v>
      </c>
      <c r="F203" s="349">
        <f t="shared" ca="1" si="68"/>
        <v>435.81990309144379</v>
      </c>
      <c r="G203" s="349">
        <f t="shared" ca="1" si="68"/>
        <v>448.32968371844402</v>
      </c>
      <c r="H203" s="349">
        <f t="shared" ca="1" si="68"/>
        <v>328.82419757374396</v>
      </c>
      <c r="I203" s="349">
        <f t="shared" ca="1" si="68"/>
        <v>416.97894868402858</v>
      </c>
      <c r="J203" s="349">
        <f t="shared" ca="1" si="68"/>
        <v>336.8938652941506</v>
      </c>
      <c r="K203" s="348">
        <f t="shared" ca="1" si="68"/>
        <v>452.38403933924462</v>
      </c>
    </row>
    <row r="204" spans="1:11" s="496" customFormat="1">
      <c r="A204" s="347" t="s">
        <v>824</v>
      </c>
      <c r="B204" s="347">
        <f t="shared" ref="B204:K204" ca="1" si="69">B$174*($B$6*($A$14*$B150+$B$14*$C150+$C$14*$D150)+$C$6*$E150)+B$175*$F150+B$176*($A$18*$G150+$B$18*$H150)+B$177*($B$7*($A$22*$I150+$B$22*$J150+$C$22*$K150)+$C$7*($A$22*$L150+$B$22*$M150+$C$22*$N150))+B$178*($B$8*$O150+$C$8*$P150)+B$179*$Q150+B$181*$R150+B$182*($A$30*SUMPRODUCT($B$36:$L$36,$S150:$AC150)+$B$30*SUMPRODUCT($B$37:$L$37,$S150:$AC150)+$F$30*SUMPRODUCT($B$38:$L$38,$S150:$AC150)+$G$30*SUMPRODUCT($B$39:$L$39,$S150:$AC150)+$H$30*SUMPRODUCT($B$40:$L$40,$S150:$AC150)+$I$30*SUMPRODUCT($B$41:$L$41,$S150:$AC150)+$J$30*SUMPRODUCT($B$42:$L$42,$S150:$AC150)+$K$30*SUMPRODUCT($B$43:$L$43,$S150:$AC150)+$L$30*SUMPRODUCT($B$44:$L$44,$S150:$AC150)+$M$30*SUMPRODUCT($B$45:$L$45,$S150:$AC150)+$P$30*SUMPRODUCT($B$46:$L$46,$S150:$AC150))+B$183*($A$50*$AD150+$B$50*$AE150)+B$184*$S150+B$185*$T150</f>
        <v>60.354578504157971</v>
      </c>
      <c r="C204" s="349">
        <f t="shared" ca="1" si="69"/>
        <v>79.328398710496359</v>
      </c>
      <c r="D204" s="349">
        <f t="shared" ca="1" si="69"/>
        <v>106.48591709098591</v>
      </c>
      <c r="E204" s="349">
        <f t="shared" ca="1" si="69"/>
        <v>80.428078100148426</v>
      </c>
      <c r="F204" s="349">
        <f t="shared" ca="1" si="69"/>
        <v>104.50927115562246</v>
      </c>
      <c r="G204" s="349">
        <f t="shared" ca="1" si="69"/>
        <v>81.836113418485354</v>
      </c>
      <c r="H204" s="349">
        <f t="shared" ca="1" si="69"/>
        <v>35.097176173871532</v>
      </c>
      <c r="I204" s="349">
        <f t="shared" ca="1" si="69"/>
        <v>69.642327267579006</v>
      </c>
      <c r="J204" s="349">
        <f t="shared" ca="1" si="69"/>
        <v>36.501977678330171</v>
      </c>
      <c r="K204" s="348">
        <f t="shared" ca="1" si="69"/>
        <v>75.580016838990005</v>
      </c>
    </row>
    <row r="205" spans="1:11" s="496" customFormat="1">
      <c r="A205" s="347" t="s">
        <v>825</v>
      </c>
      <c r="B205" s="347">
        <f t="shared" ref="B205:K205" ca="1" si="70">B$174*($B$6*($A$14*$B151+$B$14*$C151+$C$14*$D151)+$C$6*$E151)+B$175*$F151+B$176*($A$18*$G151+$B$18*$H151)+B$177*($B$7*($A$22*$I151+$B$22*$J151+$C$22*$K151)+$C$7*($A$22*$L151+$B$22*$M151+$C$22*$N151))+B$178*($B$8*$O151+$C$8*$P151)+B$179*$Q151+B$181*$R151+B$182*($A$30*SUMPRODUCT($B$36:$L$36,$S151:$AC151)+$B$30*SUMPRODUCT($B$37:$L$37,$S151:$AC151)+$F$30*SUMPRODUCT($B$38:$L$38,$S151:$AC151)+$G$30*SUMPRODUCT($B$39:$L$39,$S151:$AC151)+$H$30*SUMPRODUCT($B$40:$L$40,$S151:$AC151)+$I$30*SUMPRODUCT($B$41:$L$41,$S151:$AC151)+$J$30*SUMPRODUCT($B$42:$L$42,$S151:$AC151)+$K$30*SUMPRODUCT($B$43:$L$43,$S151:$AC151)+$L$30*SUMPRODUCT($B$44:$L$44,$S151:$AC151)+$M$30*SUMPRODUCT($B$45:$L$45,$S151:$AC151)+$P$30*SUMPRODUCT($B$46:$L$46,$S151:$AC151))+B$183*($A$50*$AD151+$B$50*$AE151)+B$184*$S151+B$185*$T151</f>
        <v>36.708122561549914</v>
      </c>
      <c r="C205" s="349">
        <f t="shared" ca="1" si="70"/>
        <v>46.383011202224495</v>
      </c>
      <c r="D205" s="349">
        <f t="shared" ca="1" si="70"/>
        <v>57.987263924448982</v>
      </c>
      <c r="E205" s="349">
        <f t="shared" ca="1" si="70"/>
        <v>47.098287649306201</v>
      </c>
      <c r="F205" s="349">
        <f t="shared" ca="1" si="70"/>
        <v>57.059504924717551</v>
      </c>
      <c r="G205" s="349">
        <f t="shared" ca="1" si="70"/>
        <v>47.792626940811573</v>
      </c>
      <c r="H205" s="349">
        <f t="shared" ca="1" si="70"/>
        <v>24.613456650161762</v>
      </c>
      <c r="I205" s="349">
        <f t="shared" ca="1" si="70"/>
        <v>41.676755751201142</v>
      </c>
      <c r="J205" s="349">
        <f t="shared" ca="1" si="70"/>
        <v>25.432287343835732</v>
      </c>
      <c r="K205" s="348">
        <f t="shared" ca="1" si="70"/>
        <v>45.268228416986879</v>
      </c>
    </row>
    <row r="206" spans="1:11" s="496" customFormat="1">
      <c r="A206" s="347" t="s">
        <v>826</v>
      </c>
      <c r="B206" s="347">
        <f t="shared" ref="B206:K206" ca="1" si="71">B$174*($B$6*($A$14*$B152+$B$14*$C152+$C$14*$D152)+$C$6*$E152)+B$175*$F152+B$176*($A$18*$G152+$B$18*$H152)+B$177*($B$7*($A$22*$I152+$B$22*$J152+$C$22*$K152)+$C$7*($A$22*$L152+$B$22*$M152+$C$22*$N152))+B$178*($B$8*$O152+$C$8*$P152)+B$179*$Q152+B$181*$R152+B$182*($A$30*SUMPRODUCT($B$36:$L$36,$S152:$AC152)+$B$30*SUMPRODUCT($B$37:$L$37,$S152:$AC152)+$F$30*SUMPRODUCT($B$38:$L$38,$S152:$AC152)+$G$30*SUMPRODUCT($B$39:$L$39,$S152:$AC152)+$H$30*SUMPRODUCT($B$40:$L$40,$S152:$AC152)+$I$30*SUMPRODUCT($B$41:$L$41,$S152:$AC152)+$J$30*SUMPRODUCT($B$42:$L$42,$S152:$AC152)+$K$30*SUMPRODUCT($B$43:$L$43,$S152:$AC152)+$L$30*SUMPRODUCT($B$44:$L$44,$S152:$AC152)+$M$30*SUMPRODUCT($B$45:$L$45,$S152:$AC152)+$P$30*SUMPRODUCT($B$46:$L$46,$S152:$AC152))+B$183*($A$50*$AD152+$B$50*$AE152)+B$184*$S152+B$185*$T152</f>
        <v>244.04766141235817</v>
      </c>
      <c r="C206" s="349">
        <f t="shared" ca="1" si="71"/>
        <v>313.16607865420792</v>
      </c>
      <c r="D206" s="349">
        <f t="shared" ca="1" si="71"/>
        <v>404.52957088450148</v>
      </c>
      <c r="E206" s="349">
        <f t="shared" ca="1" si="71"/>
        <v>318.73036007556186</v>
      </c>
      <c r="F206" s="349">
        <f t="shared" ca="1" si="71"/>
        <v>397.82442096445556</v>
      </c>
      <c r="G206" s="349">
        <f t="shared" ca="1" si="71"/>
        <v>324.13039463690751</v>
      </c>
      <c r="H206" s="349">
        <f t="shared" ca="1" si="71"/>
        <v>153.69143162822516</v>
      </c>
      <c r="I206" s="349">
        <f t="shared" ca="1" si="71"/>
        <v>278.88012604189583</v>
      </c>
      <c r="J206" s="349">
        <f t="shared" ca="1" si="71"/>
        <v>160.28786195244888</v>
      </c>
      <c r="K206" s="348">
        <f t="shared" ca="1" si="71"/>
        <v>305.55754969851245</v>
      </c>
    </row>
    <row r="207" spans="1:11" s="496" customFormat="1">
      <c r="A207" s="749" t="s">
        <v>827</v>
      </c>
      <c r="B207" s="347">
        <f t="shared" ref="B207:K207" ca="1" si="72">B$174*($B$6*($A$14*$B153+$B$14*$C153+$C$14*$D153)+$C$6*$E153)+B$175*$F153+B$176*($A$18*$G153+$B$18*$H153)+B$177*($B$7*($A$22*$I153+$B$22*$J153+$C$22*$K153)+$C$7*($A$22*$L153+$B$22*$M153+$C$22*$N153))+B$178*($B$8*$O153+$C$8*$P153)+B$179*$Q153+B$181*$R153+B$182*($A$30*SUMPRODUCT($B$36:$L$36,$S153:$AC153)+$B$30*SUMPRODUCT($B$37:$L$37,$S153:$AC153)+$F$30*SUMPRODUCT($B$38:$L$38,$S153:$AC153)+$G$30*SUMPRODUCT($B$39:$L$39,$S153:$AC153)+$H$30*SUMPRODUCT($B$40:$L$40,$S153:$AC153)+$I$30*SUMPRODUCT($B$41:$L$41,$S153:$AC153)+$J$30*SUMPRODUCT($B$42:$L$42,$S153:$AC153)+$K$30*SUMPRODUCT($B$43:$L$43,$S153:$AC153)+$L$30*SUMPRODUCT($B$44:$L$44,$S153:$AC153)+$M$30*SUMPRODUCT($B$45:$L$45,$S153:$AC153)+$P$30*SUMPRODUCT($B$46:$L$46,$S153:$AC153))+B$183*($A$50*$AD153+$B$50*$AE153)+B$184*$S153+B$185*$T153</f>
        <v>2.8805333711429064</v>
      </c>
      <c r="C207" s="349">
        <f t="shared" ca="1" si="72"/>
        <v>3.2855698877599617</v>
      </c>
      <c r="D207" s="349">
        <f t="shared" ca="1" si="72"/>
        <v>3.2155037207215935</v>
      </c>
      <c r="E207" s="349">
        <f t="shared" ca="1" si="72"/>
        <v>3.3607367228772227</v>
      </c>
      <c r="F207" s="349">
        <f t="shared" ca="1" si="72"/>
        <v>3.195453815590561</v>
      </c>
      <c r="G207" s="349">
        <f t="shared" ca="1" si="72"/>
        <v>3.3865327201799653</v>
      </c>
      <c r="H207" s="349">
        <f t="shared" ca="1" si="72"/>
        <v>2.5941174866475993</v>
      </c>
      <c r="I207" s="349">
        <f t="shared" ca="1" si="72"/>
        <v>3.1855512182522912</v>
      </c>
      <c r="J207" s="349">
        <f t="shared" ca="1" si="72"/>
        <v>2.6466991238889594</v>
      </c>
      <c r="K207" s="348">
        <f t="shared" ca="1" si="72"/>
        <v>3.4307586905129397</v>
      </c>
    </row>
    <row r="208" spans="1:11" s="496" customFormat="1">
      <c r="A208" s="749" t="s">
        <v>828</v>
      </c>
      <c r="B208" s="347">
        <f t="shared" ref="B208:K208" ca="1" si="73">B$174*($B$6*($A$14*$B154+$B$14*$C154+$C$14*$D154)+$C$6*$E154)+B$175*$F154+B$176*($A$18*$G154+$B$18*$H154)+B$177*($B$7*($A$22*$I154+$B$22*$J154+$C$22*$K154)+$C$7*($A$22*$L154+$B$22*$M154+$C$22*$N154))+B$178*($B$8*$O154+$C$8*$P154)+B$179*$Q154+B$181*$R154+B$182*($A$30*SUMPRODUCT($B$36:$L$36,$S154:$AC154)+$B$30*SUMPRODUCT($B$37:$L$37,$S154:$AC154)+$F$30*SUMPRODUCT($B$38:$L$38,$S154:$AC154)+$G$30*SUMPRODUCT($B$39:$L$39,$S154:$AC154)+$H$30*SUMPRODUCT($B$40:$L$40,$S154:$AC154)+$I$30*SUMPRODUCT($B$41:$L$41,$S154:$AC154)+$J$30*SUMPRODUCT($B$42:$L$42,$S154:$AC154)+$K$30*SUMPRODUCT($B$43:$L$43,$S154:$AC154)+$L$30*SUMPRODUCT($B$44:$L$44,$S154:$AC154)+$M$30*SUMPRODUCT($B$45:$L$45,$S154:$AC154)+$P$30*SUMPRODUCT($B$46:$L$46,$S154:$AC154))+B$183*($A$50*$AD154+$B$50*$AE154)+B$184*$S154+B$185*$T154</f>
        <v>8.8022663488200052</v>
      </c>
      <c r="C208" s="349">
        <f t="shared" ca="1" si="73"/>
        <v>9.8804773204170075</v>
      </c>
      <c r="D208" s="349">
        <f t="shared" ca="1" si="73"/>
        <v>9.6706969721311626</v>
      </c>
      <c r="E208" s="349">
        <f t="shared" ca="1" si="73"/>
        <v>10.069490823749495</v>
      </c>
      <c r="F208" s="349">
        <f t="shared" ca="1" si="73"/>
        <v>9.6258441383022166</v>
      </c>
      <c r="G208" s="349">
        <f t="shared" ca="1" si="73"/>
        <v>10.138105601080829</v>
      </c>
      <c r="H208" s="349">
        <f t="shared" ca="1" si="73"/>
        <v>7.9092761281022028</v>
      </c>
      <c r="I208" s="349">
        <f t="shared" ca="1" si="73"/>
        <v>9.4065089219088929</v>
      </c>
      <c r="J208" s="349">
        <f t="shared" ca="1" si="73"/>
        <v>8.0952529249303549</v>
      </c>
      <c r="K208" s="348">
        <f t="shared" ca="1" si="73"/>
        <v>10.316833824398767</v>
      </c>
    </row>
    <row r="209" spans="1:26" s="496" customFormat="1">
      <c r="A209" s="347" t="s">
        <v>829</v>
      </c>
      <c r="B209" s="347">
        <f t="shared" ref="B209:K209" ca="1" si="74">B$174*($B$6*($A$14*$B155+$B$14*$C155+$C$14*$D155)+$C$6*$E155)+B$175*$F155+B$176*($A$18*$G155+$B$18*$H155)+B$177*($B$7*($A$22*$I155+$B$22*$J155+$C$22*$K155)+$C$7*($A$22*$L155+$B$22*$M155+$C$22*$N155))+B$178*($B$8*$O155+$C$8*$P155)+B$179*$Q155+B$181*$R155+B$182*($A$30*SUMPRODUCT($B$36:$L$36,$S155:$AC155)+$B$30*SUMPRODUCT($B$37:$L$37,$S155:$AC155)+$F$30*SUMPRODUCT($B$38:$L$38,$S155:$AC155)+$G$30*SUMPRODUCT($B$39:$L$39,$S155:$AC155)+$H$30*SUMPRODUCT($B$40:$L$40,$S155:$AC155)+$I$30*SUMPRODUCT($B$41:$L$41,$S155:$AC155)+$J$30*SUMPRODUCT($B$42:$L$42,$S155:$AC155)+$K$30*SUMPRODUCT($B$43:$L$43,$S155:$AC155)+$L$30*SUMPRODUCT($B$44:$L$44,$S155:$AC155)+$M$30*SUMPRODUCT($B$45:$L$45,$S155:$AC155)+$P$30*SUMPRODUCT($B$46:$L$46,$S155:$AC155))+B$183*($A$50*$AD155+$B$50*$AE155)+B$184*$S155+B$185*$T155</f>
        <v>1177.1211585000233</v>
      </c>
      <c r="C209" s="349">
        <f t="shared" ca="1" si="74"/>
        <v>1346.0962878927132</v>
      </c>
      <c r="D209" s="349">
        <f t="shared" ca="1" si="74"/>
        <v>1392.4706466348573</v>
      </c>
      <c r="E209" s="349">
        <f t="shared" ca="1" si="74"/>
        <v>1368.4485252636182</v>
      </c>
      <c r="F209" s="349">
        <f t="shared" ca="1" si="74"/>
        <v>1382.1250050822241</v>
      </c>
      <c r="G209" s="349">
        <f t="shared" ca="1" si="74"/>
        <v>1379.4975126152954</v>
      </c>
      <c r="H209" s="349">
        <f t="shared" ca="1" si="74"/>
        <v>1011.280114310505</v>
      </c>
      <c r="I209" s="349">
        <f t="shared" ca="1" si="74"/>
        <v>1262.5293929425391</v>
      </c>
      <c r="J209" s="349">
        <f t="shared" ca="1" si="74"/>
        <v>1034.3258409672374</v>
      </c>
      <c r="K209" s="348">
        <f t="shared" ca="1" si="74"/>
        <v>1377.9006293788721</v>
      </c>
    </row>
    <row r="210" spans="1:26" s="496" customFormat="1">
      <c r="A210" s="347" t="s">
        <v>830</v>
      </c>
      <c r="B210" s="347">
        <f t="shared" ref="B210:K210" ca="1" si="75">B$174*($B$6*($A$14*$B156+$B$14*$C156+$C$14*$D156)+$C$6*$E156)+B$175*$F156+B$176*($A$18*$G156+$B$18*$H156)+B$177*($B$7*($A$22*$I156+$B$22*$J156+$C$22*$K156)+$C$7*($A$22*$L156+$B$22*$M156+$C$22*$N156))+B$178*($B$8*$O156+$C$8*$P156)+B$179*$Q156+B$181*$R156+B$182*($A$30*SUMPRODUCT($B$36:$L$36,$S156:$AC156)+$B$30*SUMPRODUCT($B$37:$L$37,$S156:$AC156)+$F$30*SUMPRODUCT($B$38:$L$38,$S156:$AC156)+$G$30*SUMPRODUCT($B$39:$L$39,$S156:$AC156)+$H$30*SUMPRODUCT($B$40:$L$40,$S156:$AC156)+$I$30*SUMPRODUCT($B$41:$L$41,$S156:$AC156)+$J$30*SUMPRODUCT($B$42:$L$42,$S156:$AC156)+$K$30*SUMPRODUCT($B$43:$L$43,$S156:$AC156)+$L$30*SUMPRODUCT($B$44:$L$44,$S156:$AC156)+$M$30*SUMPRODUCT($B$45:$L$45,$S156:$AC156)+$P$30*SUMPRODUCT($B$46:$L$46,$S156:$AC156))+B$183*($A$50*$AD156+$B$50*$AE156)+B$184*$S156+B$185*$T156</f>
        <v>10.704007068199148</v>
      </c>
      <c r="C210" s="349">
        <f t="shared" ca="1" si="75"/>
        <v>12.006503780507234</v>
      </c>
      <c r="D210" s="349">
        <f t="shared" ca="1" si="75"/>
        <v>11.659103519008793</v>
      </c>
      <c r="E210" s="349">
        <f t="shared" ca="1" si="75"/>
        <v>12.259820205719278</v>
      </c>
      <c r="F210" s="349">
        <f t="shared" ca="1" si="75"/>
        <v>11.606652897362018</v>
      </c>
      <c r="G210" s="349">
        <f t="shared" ca="1" si="75"/>
        <v>12.349555570803343</v>
      </c>
      <c r="H210" s="349">
        <f t="shared" ca="1" si="75"/>
        <v>9.7074028768907077</v>
      </c>
      <c r="I210" s="349">
        <f t="shared" ca="1" si="75"/>
        <v>11.521238266171855</v>
      </c>
      <c r="J210" s="349">
        <f t="shared" ca="1" si="75"/>
        <v>9.9246043598210765</v>
      </c>
      <c r="K210" s="348">
        <f t="shared" ca="1" si="75"/>
        <v>12.560022144439458</v>
      </c>
    </row>
    <row r="211" spans="1:26" s="535" customFormat="1">
      <c r="A211" s="517" t="s">
        <v>831</v>
      </c>
      <c r="B211" s="251">
        <f t="shared" ref="B211:K211" ca="1" si="76">B$174*($B$6*($A$14*$B157+$B$14*$C157+$C$14*$D157)+$C$6*$E157)+B$175*$F157+B$176*($A$18*$G157+$B$18*$H157)+B$177*($B$7*($A$22*$I157+$B$22*$J157+$C$22*$K157)+$C$7*($A$22*$L157+$B$22*$M157+$C$22*$N157))+B$178*($B$8*$O157+$C$8*$P157)+B$179*$Q157+B$181*$R157+B$182*($A$30*SUMPRODUCT($B$36:$L$36,$S157:$AC157)+$B$30*SUMPRODUCT($B$37:$L$37,$S157:$AC157)+$F$30*SUMPRODUCT($B$38:$L$38,$S157:$AC157)+$G$30*SUMPRODUCT($B$39:$L$39,$S157:$AC157)+$H$30*SUMPRODUCT($B$40:$L$40,$S157:$AC157)+$I$30*SUMPRODUCT($B$41:$L$41,$S157:$AC157)+$J$30*SUMPRODUCT($B$42:$L$42,$S157:$AC157)+$K$30*SUMPRODUCT($B$43:$L$43,$S157:$AC157)+$L$30*SUMPRODUCT($B$44:$L$44,$S157:$AC157)+$M$30*SUMPRODUCT($B$45:$L$45,$S157:$AC157)+$P$30*SUMPRODUCT($B$46:$L$46,$S157:$AC157))+B$183*($A$50*$AD157+$B$50*$AE157)+B$184*$S157+B$185*$T157</f>
        <v>419675.73910396203</v>
      </c>
      <c r="C211" s="246">
        <f t="shared" ca="1" si="76"/>
        <v>471175.74580421584</v>
      </c>
      <c r="D211" s="246">
        <f t="shared" ca="1" si="76"/>
        <v>454984.72673535597</v>
      </c>
      <c r="E211" s="246">
        <f t="shared" ca="1" si="76"/>
        <v>481870.15519938763</v>
      </c>
      <c r="F211" s="246">
        <f t="shared" ca="1" si="76"/>
        <v>453337.88748636667</v>
      </c>
      <c r="G211" s="246">
        <f t="shared" ca="1" si="76"/>
        <v>485346.26848850067</v>
      </c>
      <c r="H211" s="246">
        <f t="shared" ca="1" si="76"/>
        <v>379085.28390959668</v>
      </c>
      <c r="I211" s="246">
        <f t="shared" ca="1" si="76"/>
        <v>451700.40691740037</v>
      </c>
      <c r="J211" s="246">
        <f t="shared" ca="1" si="76"/>
        <v>389568.1479846547</v>
      </c>
      <c r="K211" s="247">
        <f t="shared" ca="1" si="76"/>
        <v>499908.33448846987</v>
      </c>
    </row>
    <row r="212" spans="1:26" s="535" customFormat="1">
      <c r="A212" s="517" t="s">
        <v>850</v>
      </c>
      <c r="B212" s="251">
        <f t="shared" ref="B212:K212" ca="1" si="77">B$174*($B$6*($A$14*$B158+$B$14*$C158+$C$14*$D158)+$C$6*$E158)+B$175*$F158+B$176*($A$18*$G158+$B$18*$H158)+B$177*($B$7*($A$22*$I158+$B$22*$J158+$C$22*$K158)+$C$7*($A$22*$L158+$B$22*$M158+$C$22*$N158))+B$178*($B$8*$O158+$C$8*$P158)+B$179*$Q158+B$181*$R158+B$182*($A$30*SUMPRODUCT($B$36:$L$36,$S158:$AC158)+$B$30*SUMPRODUCT($B$37:$L$37,$S158:$AC158)+$F$30*SUMPRODUCT($B$38:$L$38,$S158:$AC158)+$G$30*SUMPRODUCT($B$39:$L$39,$S158:$AC158)+$H$30*SUMPRODUCT($B$40:$L$40,$S158:$AC158)+$I$30*SUMPRODUCT($B$41:$L$41,$S158:$AC158)+$J$30*SUMPRODUCT($B$42:$L$42,$S158:$AC158)+$K$30*SUMPRODUCT($B$43:$L$43,$S158:$AC158)+$L$30*SUMPRODUCT($B$44:$L$44,$S158:$AC158)+$M$30*SUMPRODUCT($B$45:$L$45,$S158:$AC158)+$P$30*SUMPRODUCT($B$46:$L$46,$S158:$AC158))+B$183*($A$50*$AD158+$B$50*$AE158)+B$184*$S158+B$185*$T158</f>
        <v>420425.60642206937</v>
      </c>
      <c r="C212" s="246">
        <f t="shared" ca="1" si="77"/>
        <v>472101.90611606673</v>
      </c>
      <c r="D212" s="246">
        <f t="shared" ca="1" si="77"/>
        <v>456073.38160000363</v>
      </c>
      <c r="E212" s="246">
        <f t="shared" ca="1" si="77"/>
        <v>482798.55102095171</v>
      </c>
      <c r="F212" s="246">
        <f t="shared" ca="1" si="77"/>
        <v>454410.06042538467</v>
      </c>
      <c r="G212" s="246">
        <f t="shared" ca="1" si="77"/>
        <v>486277.41761367529</v>
      </c>
      <c r="H212" s="246">
        <f t="shared" ca="1" si="77"/>
        <v>379610.09505669348</v>
      </c>
      <c r="I212" s="246">
        <f t="shared" ca="1" si="77"/>
        <v>452529.93194175238</v>
      </c>
      <c r="J212" s="246">
        <f t="shared" ca="1" si="77"/>
        <v>390113.56903864775</v>
      </c>
      <c r="K212" s="247">
        <f t="shared" ca="1" si="77"/>
        <v>500799.75598012027</v>
      </c>
    </row>
    <row r="213" spans="1:26" s="535" customFormat="1">
      <c r="A213" s="668" t="s">
        <v>851</v>
      </c>
      <c r="B213" s="295">
        <f t="shared" ref="B213:K213" ca="1" si="78">B$174*($B$6*($A$14*$B159+$B$14*$C159+$C$14*$D159)+$C$6*$E159)+B$175*$F159+B$176*($A$18*$G159+$B$18*$H159)+B$177*($B$7*($A$22*$I159+$B$22*$J159+$C$22*$K159)+$C$7*($A$22*$L159+$B$22*$M159+$C$22*$N159))+B$178*($B$8*$O159+$C$8*$P159)+B$179*$Q159+B$181*$R159+B$182*($A$30*SUMPRODUCT($B$36:$L$36,$S159:$AC159)+$B$30*SUMPRODUCT($B$37:$L$37,$S159:$AC159)+$F$30*SUMPRODUCT($B$38:$L$38,$S159:$AC159)+$G$30*SUMPRODUCT($B$39:$L$39,$S159:$AC159)+$H$30*SUMPRODUCT($B$40:$L$40,$S159:$AC159)+$I$30*SUMPRODUCT($B$41:$L$41,$S159:$AC159)+$J$30*SUMPRODUCT($B$42:$L$42,$S159:$AC159)+$K$30*SUMPRODUCT($B$43:$L$43,$S159:$AC159)+$L$30*SUMPRODUCT($B$44:$L$44,$S159:$AC159)+$M$30*SUMPRODUCT($B$45:$L$45,$S159:$AC159)+$P$30*SUMPRODUCT($B$46:$L$46,$S159:$AC159))+B$183*($A$50*$AD159+$B$50*$AE159)+B$184*$S159+B$185*$T159</f>
        <v>458575.80305014277</v>
      </c>
      <c r="C213" s="294">
        <f t="shared" ca="1" si="78"/>
        <v>515666.51825468248</v>
      </c>
      <c r="D213" s="294">
        <f t="shared" ca="1" si="78"/>
        <v>500937.16343158664</v>
      </c>
      <c r="E213" s="294">
        <f t="shared" ca="1" si="78"/>
        <v>527100.85913337581</v>
      </c>
      <c r="F213" s="294">
        <f t="shared" ca="1" si="78"/>
        <v>498949.5735956523</v>
      </c>
      <c r="G213" s="294">
        <f t="shared" ca="1" si="78"/>
        <v>530934.97521839698</v>
      </c>
      <c r="H213" s="294">
        <f t="shared" ca="1" si="78"/>
        <v>412520.96024838462</v>
      </c>
      <c r="I213" s="294">
        <f t="shared" ca="1" si="78"/>
        <v>493458.94187056407</v>
      </c>
      <c r="J213" s="294">
        <f t="shared" ca="1" si="78"/>
        <v>423773.36442301737</v>
      </c>
      <c r="K213" s="296">
        <f t="shared" ca="1" si="78"/>
        <v>545465.18072976288</v>
      </c>
    </row>
    <row r="214" spans="1:26" s="496" customFormat="1">
      <c r="A214" s="758" t="s">
        <v>1031</v>
      </c>
      <c r="B214" s="623"/>
      <c r="C214" s="615"/>
      <c r="D214" s="615"/>
      <c r="E214" s="615"/>
      <c r="F214" s="615"/>
      <c r="G214" s="615"/>
      <c r="H214" s="615"/>
      <c r="I214" s="615"/>
      <c r="J214" s="615"/>
      <c r="K214" s="673"/>
    </row>
    <row r="215" spans="1:26" s="496" customFormat="1">
      <c r="A215" s="347" t="s">
        <v>821</v>
      </c>
      <c r="B215" s="347">
        <f t="shared" ref="B215:K215" ca="1" si="79">B$174*($B$6*($A$14*$B161+$B$14*$C161+$C$14*$D161)+$C$6*$E161)+B$175*$F161+B$176*($A$18*$G161+$B$18*$H161)+B$177*($B$7*($A$22*$I161+$B$22*$J161+$C$22*$K161)+$C$7*($A$22*$L161+$B$22*$M161+$C$22*$N161))+B$178*($B$8*$O161+$C$8*$P161)+B$179*$Q161+B$181*$R161+B$182*($A$30*SUMPRODUCT($B$36:$L$36,$S161:$AC161)+$B$30*SUMPRODUCT($B$37:$L$37,$S161:$AC161)+$F$30*SUMPRODUCT($B$38:$L$38,$S161:$AC161)+$G$30*SUMPRODUCT($B$39:$L$39,$S161:$AC161)+$H$30*SUMPRODUCT($B$40:$L$40,$S161:$AC161)+$I$30*SUMPRODUCT($B$41:$L$41,$S161:$AC161)+$J$30*SUMPRODUCT($B$42:$L$42,$S161:$AC161)+$K$30*SUMPRODUCT($B$43:$L$43,$S161:$AC161)+$L$30*SUMPRODUCT($B$44:$L$44,$S161:$AC161)+$M$30*SUMPRODUCT($B$45:$L$45,$S161:$AC161)+$P$30*SUMPRODUCT($B$46:$L$46,$S161:$AC161))+B$183*($A$50*$AD161+$B$50*$AE161)+B$184*$S161+B$185*$T161</f>
        <v>3.4704461666470166</v>
      </c>
      <c r="C215" s="349">
        <f t="shared" ca="1" si="79"/>
        <v>3.9410338080200011</v>
      </c>
      <c r="D215" s="349">
        <f t="shared" ca="1" si="79"/>
        <v>3.764129336203673</v>
      </c>
      <c r="E215" s="349">
        <f t="shared" ca="1" si="79"/>
        <v>4.0644154213386345</v>
      </c>
      <c r="F215" s="349">
        <f t="shared" ca="1" si="79"/>
        <v>3.7495335001901142</v>
      </c>
      <c r="G215" s="349">
        <f t="shared" ca="1" si="79"/>
        <v>4.1033495588497848</v>
      </c>
      <c r="H215" s="349">
        <f t="shared" ca="1" si="79"/>
        <v>3.1674732640436911</v>
      </c>
      <c r="I215" s="349">
        <f t="shared" ca="1" si="79"/>
        <v>3.8752154185122452</v>
      </c>
      <c r="J215" s="349">
        <f t="shared" ca="1" si="79"/>
        <v>3.2583709226722557</v>
      </c>
      <c r="K215" s="348">
        <f t="shared" ca="1" si="79"/>
        <v>4.2419107449516256</v>
      </c>
    </row>
    <row r="216" spans="1:26" s="496" customFormat="1">
      <c r="A216" s="347" t="s">
        <v>822</v>
      </c>
      <c r="B216" s="347">
        <f t="shared" ref="B216:K216" ca="1" si="80">B$174*($B$6*($A$14*$B162+$B$14*$C162+$C$14*$D162)+$C$6*$E162)+B$175*$F162+B$176*($A$18*$G162+$B$18*$H162)+B$177*($B$7*($A$22*$I162+$B$22*$J162+$C$22*$K162)+$C$7*($A$22*$L162+$B$22*$M162+$C$22*$N162))+B$178*($B$8*$O162+$C$8*$P162)+B$179*$Q162+B$181*$R162+B$182*($A$30*SUMPRODUCT($B$36:$L$36,$S162:$AC162)+$B$30*SUMPRODUCT($B$37:$L$37,$S162:$AC162)+$F$30*SUMPRODUCT($B$38:$L$38,$S162:$AC162)+$G$30*SUMPRODUCT($B$39:$L$39,$S162:$AC162)+$H$30*SUMPRODUCT($B$40:$L$40,$S162:$AC162)+$I$30*SUMPRODUCT($B$41:$L$41,$S162:$AC162)+$J$30*SUMPRODUCT($B$42:$L$42,$S162:$AC162)+$K$30*SUMPRODUCT($B$43:$L$43,$S162:$AC162)+$L$30*SUMPRODUCT($B$44:$L$44,$S162:$AC162)+$M$30*SUMPRODUCT($B$45:$L$45,$S162:$AC162)+$P$30*SUMPRODUCT($B$46:$L$46,$S162:$AC162))+B$183*($A$50*$AD162+$B$50*$AE162)+B$184*$S162+B$185*$T162</f>
        <v>20.075710199634443</v>
      </c>
      <c r="C216" s="349">
        <f t="shared" ca="1" si="80"/>
        <v>22.277046362027729</v>
      </c>
      <c r="D216" s="349">
        <f t="shared" ca="1" si="80"/>
        <v>21.406886895263646</v>
      </c>
      <c r="E216" s="349">
        <f t="shared" ca="1" si="80"/>
        <v>22.738615688721751</v>
      </c>
      <c r="F216" s="349">
        <f t="shared" ca="1" si="80"/>
        <v>21.352096688424258</v>
      </c>
      <c r="G216" s="349">
        <f t="shared" ca="1" si="80"/>
        <v>22.893457481915544</v>
      </c>
      <c r="H216" s="349">
        <f t="shared" ca="1" si="80"/>
        <v>18.228152643105886</v>
      </c>
      <c r="I216" s="349">
        <f t="shared" ca="1" si="80"/>
        <v>21.187864617481221</v>
      </c>
      <c r="J216" s="349">
        <f t="shared" ca="1" si="80"/>
        <v>18.739347593979907</v>
      </c>
      <c r="K216" s="348">
        <f t="shared" ca="1" si="80"/>
        <v>23.596983573923204</v>
      </c>
    </row>
    <row r="217" spans="1:26" s="496" customFormat="1">
      <c r="A217" s="347" t="s">
        <v>823</v>
      </c>
      <c r="B217" s="347">
        <f t="shared" ref="B217:K217" ca="1" si="81">B$174*($B$6*($A$14*$B163+$B$14*$C163+$C$14*$D163)+$C$6*$E163)+B$175*$F163+B$176*($A$18*$G163+$B$18*$H163)+B$177*($B$7*($A$22*$I163+$B$22*$J163+$C$22*$K163)+$C$7*($A$22*$L163+$B$22*$M163+$C$22*$N163))+B$178*($B$8*$O163+$C$8*$P163)+B$179*$Q163+B$181*$R163+B$182*($A$30*SUMPRODUCT($B$36:$L$36,$S163:$AC163)+$B$30*SUMPRODUCT($B$37:$L$37,$S163:$AC163)+$F$30*SUMPRODUCT($B$38:$L$38,$S163:$AC163)+$G$30*SUMPRODUCT($B$39:$L$39,$S163:$AC163)+$H$30*SUMPRODUCT($B$40:$L$40,$S163:$AC163)+$I$30*SUMPRODUCT($B$41:$L$41,$S163:$AC163)+$J$30*SUMPRODUCT($B$42:$L$42,$S163:$AC163)+$K$30*SUMPRODUCT($B$43:$L$43,$S163:$AC163)+$L$30*SUMPRODUCT($B$44:$L$44,$S163:$AC163)+$M$30*SUMPRODUCT($B$45:$L$45,$S163:$AC163)+$P$30*SUMPRODUCT($B$46:$L$46,$S163:$AC163))+B$183*($A$50*$AD163+$B$50*$AE163)+B$184*$S163+B$185*$T163</f>
        <v>45.891827955546816</v>
      </c>
      <c r="C217" s="349">
        <f t="shared" ca="1" si="81"/>
        <v>50.597260639545397</v>
      </c>
      <c r="D217" s="349">
        <f t="shared" ca="1" si="81"/>
        <v>48.150870794419582</v>
      </c>
      <c r="E217" s="349">
        <f t="shared" ca="1" si="81"/>
        <v>51.750399226670801</v>
      </c>
      <c r="F217" s="349">
        <f t="shared" ca="1" si="81"/>
        <v>48.121035501726553</v>
      </c>
      <c r="G217" s="349">
        <f t="shared" ca="1" si="81"/>
        <v>52.11387434324871</v>
      </c>
      <c r="H217" s="349">
        <f t="shared" ca="1" si="81"/>
        <v>41.629023675852963</v>
      </c>
      <c r="I217" s="349">
        <f t="shared" ca="1" si="81"/>
        <v>47.924281641565074</v>
      </c>
      <c r="J217" s="349">
        <f t="shared" ca="1" si="81"/>
        <v>43.100509054277552</v>
      </c>
      <c r="K217" s="348">
        <f t="shared" ca="1" si="81"/>
        <v>54.582895593497803</v>
      </c>
      <c r="L217" s="621"/>
      <c r="M217" s="621"/>
      <c r="N217" s="621"/>
      <c r="O217" s="621"/>
      <c r="P217" s="621"/>
      <c r="Q217" s="621"/>
      <c r="R217" s="621"/>
      <c r="S217" s="621"/>
      <c r="T217" s="621"/>
      <c r="U217" s="621"/>
      <c r="V217" s="621"/>
      <c r="W217" s="621"/>
      <c r="X217" s="621"/>
      <c r="Y217" s="621"/>
      <c r="Z217" s="621"/>
    </row>
    <row r="218" spans="1:26" s="496" customFormat="1">
      <c r="A218" s="749" t="s">
        <v>824</v>
      </c>
      <c r="B218" s="347">
        <f t="shared" ref="B218:K218" ca="1" si="82">B$174*($B$6*($A$14*$B164+$B$14*$C164+$C$14*$D164)+$C$6*$E164)+B$175*$F164+B$176*($A$18*$G164+$B$18*$H164)+B$177*($B$7*($A$22*$I164+$B$22*$J164+$C$22*$K164)+$C$7*($A$22*$L164+$B$22*$M164+$C$22*$N164))+B$178*($B$8*$O164+$C$8*$P164)+B$179*$Q164+B$181*$R164+B$182*($A$30*SUMPRODUCT($B$36:$L$36,$S164:$AC164)+$B$30*SUMPRODUCT($B$37:$L$37,$S164:$AC164)+$F$30*SUMPRODUCT($B$38:$L$38,$S164:$AC164)+$G$30*SUMPRODUCT($B$39:$L$39,$S164:$AC164)+$H$30*SUMPRODUCT($B$40:$L$40,$S164:$AC164)+$I$30*SUMPRODUCT($B$41:$L$41,$S164:$AC164)+$J$30*SUMPRODUCT($B$42:$L$42,$S164:$AC164)+$K$30*SUMPRODUCT($B$43:$L$43,$S164:$AC164)+$L$30*SUMPRODUCT($B$44:$L$44,$S164:$AC164)+$M$30*SUMPRODUCT($B$45:$L$45,$S164:$AC164)+$P$30*SUMPRODUCT($B$46:$L$46,$S164:$AC164))+B$183*($A$50*$AD164+$B$50*$AE164)+B$184*$S164+B$185*$T164</f>
        <v>4.9334294250715747</v>
      </c>
      <c r="C218" s="349">
        <f t="shared" ca="1" si="82"/>
        <v>5.4027212874299178</v>
      </c>
      <c r="D218" s="349">
        <f t="shared" ca="1" si="82"/>
        <v>5.0507961208948453</v>
      </c>
      <c r="E218" s="349">
        <f t="shared" ca="1" si="82"/>
        <v>5.5458184825827104</v>
      </c>
      <c r="F218" s="349">
        <f t="shared" ca="1" si="82"/>
        <v>5.059878595695495</v>
      </c>
      <c r="G218" s="349">
        <f t="shared" ca="1" si="82"/>
        <v>5.5871057360477216</v>
      </c>
      <c r="H218" s="349">
        <f t="shared" ca="1" si="82"/>
        <v>4.4936227787393266</v>
      </c>
      <c r="I218" s="349">
        <f t="shared" ca="1" si="82"/>
        <v>5.1206936409649622</v>
      </c>
      <c r="J218" s="349">
        <f t="shared" ca="1" si="82"/>
        <v>4.6881310814799324</v>
      </c>
      <c r="K218" s="348">
        <f t="shared" ca="1" si="82"/>
        <v>5.9653735122569813</v>
      </c>
      <c r="L218" s="621"/>
      <c r="M218" s="621"/>
      <c r="N218" s="621"/>
      <c r="O218" s="621"/>
      <c r="P218" s="621"/>
      <c r="Q218" s="621"/>
      <c r="R218" s="621"/>
      <c r="S218" s="621"/>
      <c r="T218" s="621"/>
      <c r="U218" s="621"/>
      <c r="V218" s="621"/>
      <c r="W218" s="621"/>
      <c r="X218" s="621"/>
      <c r="Y218" s="621"/>
      <c r="Z218" s="621"/>
    </row>
    <row r="219" spans="1:26" s="496" customFormat="1">
      <c r="A219" s="347" t="s">
        <v>825</v>
      </c>
      <c r="B219" s="347">
        <f t="shared" ref="B219:K219" ca="1" si="83">B$174*($B$6*($A$14*$B165+$B$14*$C165+$C$14*$D165)+$C$6*$E165)+B$175*$F165+B$176*($A$18*$G165+$B$18*$H165)+B$177*($B$7*($A$22*$I165+$B$22*$J165+$C$22*$K165)+$C$7*($A$22*$L165+$B$22*$M165+$C$22*$N165))+B$178*($B$8*$O165+$C$8*$P165)+B$179*$Q165+B$181*$R165+B$182*($A$30*SUMPRODUCT($B$36:$L$36,$S165:$AC165)+$B$30*SUMPRODUCT($B$37:$L$37,$S165:$AC165)+$F$30*SUMPRODUCT($B$38:$L$38,$S165:$AC165)+$G$30*SUMPRODUCT($B$39:$L$39,$S165:$AC165)+$H$30*SUMPRODUCT($B$40:$L$40,$S165:$AC165)+$I$30*SUMPRODUCT($B$41:$L$41,$S165:$AC165)+$J$30*SUMPRODUCT($B$42:$L$42,$S165:$AC165)+$K$30*SUMPRODUCT($B$43:$L$43,$S165:$AC165)+$L$30*SUMPRODUCT($B$44:$L$44,$S165:$AC165)+$M$30*SUMPRODUCT($B$45:$L$45,$S165:$AC165)+$P$30*SUMPRODUCT($B$46:$L$46,$S165:$AC165))+B$183*($A$50*$AD165+$B$50*$AE165)+B$184*$S165+B$185*$T165</f>
        <v>4.3400189629186396</v>
      </c>
      <c r="C219" s="349">
        <f t="shared" ca="1" si="83"/>
        <v>4.7530092320122908</v>
      </c>
      <c r="D219" s="349">
        <f t="shared" ca="1" si="83"/>
        <v>4.4436577734591038</v>
      </c>
      <c r="E219" s="349">
        <f t="shared" ca="1" si="83"/>
        <v>4.8788861136020767</v>
      </c>
      <c r="F219" s="349">
        <f t="shared" ca="1" si="83"/>
        <v>4.4516182772537345</v>
      </c>
      <c r="G219" s="349">
        <f t="shared" ca="1" si="83"/>
        <v>4.9152148287379918</v>
      </c>
      <c r="H219" s="349">
        <f t="shared" ca="1" si="83"/>
        <v>3.9530284632128589</v>
      </c>
      <c r="I219" s="349">
        <f t="shared" ca="1" si="83"/>
        <v>4.5049422147026332</v>
      </c>
      <c r="J219" s="349">
        <f t="shared" ca="1" si="83"/>
        <v>4.1240790637487779</v>
      </c>
      <c r="K219" s="348">
        <f t="shared" ca="1" si="83"/>
        <v>5.24776437396521</v>
      </c>
      <c r="L219" s="621"/>
      <c r="M219" s="621"/>
      <c r="N219" s="621"/>
      <c r="O219" s="621"/>
      <c r="P219" s="621"/>
      <c r="Q219" s="621"/>
      <c r="R219" s="621"/>
      <c r="S219" s="621"/>
      <c r="T219" s="621"/>
      <c r="U219" s="621"/>
      <c r="V219" s="621"/>
      <c r="W219" s="621"/>
      <c r="X219" s="621"/>
      <c r="Y219" s="621"/>
      <c r="Z219" s="621"/>
    </row>
    <row r="220" spans="1:26" s="496" customFormat="1">
      <c r="A220" s="749" t="s">
        <v>826</v>
      </c>
      <c r="B220" s="347">
        <f t="shared" ref="B220:K220" ca="1" si="84">B$174*($B$6*($A$14*$B166+$B$14*$C166+$C$14*$D166)+$C$6*$E166)+B$175*$F166+B$176*($A$18*$G166+$B$18*$H166)+B$177*($B$7*($A$22*$I166+$B$22*$J166+$C$22*$K166)+$C$7*($A$22*$L166+$B$22*$M166+$C$22*$N166))+B$178*($B$8*$O166+$C$8*$P166)+B$179*$Q166+B$181*$R166+B$182*($A$30*SUMPRODUCT($B$36:$L$36,$S166:$AC166)+$B$30*SUMPRODUCT($B$37:$L$37,$S166:$AC166)+$F$30*SUMPRODUCT($B$38:$L$38,$S166:$AC166)+$G$30*SUMPRODUCT($B$39:$L$39,$S166:$AC166)+$H$30*SUMPRODUCT($B$40:$L$40,$S166:$AC166)+$I$30*SUMPRODUCT($B$41:$L$41,$S166:$AC166)+$J$30*SUMPRODUCT($B$42:$L$42,$S166:$AC166)+$K$30*SUMPRODUCT($B$43:$L$43,$S166:$AC166)+$L$30*SUMPRODUCT($B$44:$L$44,$S166:$AC166)+$M$30*SUMPRODUCT($B$45:$L$45,$S166:$AC166)+$P$30*SUMPRODUCT($B$46:$L$46,$S166:$AC166))+B$183*($A$50*$AD166+$B$50*$AE166)+B$184*$S166+B$185*$T166</f>
        <v>36.596854620913696</v>
      </c>
      <c r="C220" s="349">
        <f t="shared" ca="1" si="84"/>
        <v>39.98551687279533</v>
      </c>
      <c r="D220" s="349">
        <f t="shared" ca="1" si="84"/>
        <v>37.426775743827925</v>
      </c>
      <c r="E220" s="349">
        <f t="shared" ca="1" si="84"/>
        <v>40.989733342350021</v>
      </c>
      <c r="F220" s="349">
        <f t="shared" ca="1" si="84"/>
        <v>37.495644006418587</v>
      </c>
      <c r="G220" s="349">
        <f t="shared" ca="1" si="84"/>
        <v>41.280790961179257</v>
      </c>
      <c r="H220" s="349">
        <f t="shared" ca="1" si="84"/>
        <v>33.318424259114792</v>
      </c>
      <c r="I220" s="349">
        <f t="shared" ca="1" si="84"/>
        <v>37.756252370656853</v>
      </c>
      <c r="J220" s="349">
        <f t="shared" ca="1" si="84"/>
        <v>34.74298852941638</v>
      </c>
      <c r="K220" s="348">
        <f t="shared" ca="1" si="84"/>
        <v>44.023966672197709</v>
      </c>
      <c r="L220" s="621"/>
      <c r="M220" s="621"/>
      <c r="N220" s="621"/>
      <c r="O220" s="621"/>
      <c r="P220" s="621"/>
      <c r="Q220" s="621"/>
      <c r="R220" s="621"/>
      <c r="S220" s="621"/>
      <c r="T220" s="621"/>
      <c r="U220" s="621"/>
      <c r="V220" s="621"/>
      <c r="W220" s="621"/>
      <c r="X220" s="621"/>
      <c r="Y220" s="621"/>
      <c r="Z220" s="621"/>
    </row>
    <row r="221" spans="1:26" s="496" customFormat="1">
      <c r="A221" s="347" t="s">
        <v>827</v>
      </c>
      <c r="B221" s="347">
        <f t="shared" ref="B221:K221" ca="1" si="85">B$174*($B$6*($A$14*$B167+$B$14*$C167+$C$14*$D167)+$C$6*$E167)+B$175*$F167+B$176*($A$18*$G167+$B$18*$H167)+B$177*($B$7*($A$22*$I167+$B$22*$J167+$C$22*$K167)+$C$7*($A$22*$L167+$B$22*$M167+$C$22*$N167))+B$178*($B$8*$O167+$C$8*$P167)+B$179*$Q167+B$181*$R167+B$182*($A$30*SUMPRODUCT($B$36:$L$36,$S167:$AC167)+$B$30*SUMPRODUCT($B$37:$L$37,$S167:$AC167)+$F$30*SUMPRODUCT($B$38:$L$38,$S167:$AC167)+$G$30*SUMPRODUCT($B$39:$L$39,$S167:$AC167)+$H$30*SUMPRODUCT($B$40:$L$40,$S167:$AC167)+$I$30*SUMPRODUCT($B$41:$L$41,$S167:$AC167)+$J$30*SUMPRODUCT($B$42:$L$42,$S167:$AC167)+$K$30*SUMPRODUCT($B$43:$L$43,$S167:$AC167)+$L$30*SUMPRODUCT($B$44:$L$44,$S167:$AC167)+$M$30*SUMPRODUCT($B$45:$L$45,$S167:$AC167)+$P$30*SUMPRODUCT($B$46:$L$46,$S167:$AC167))+B$183*($A$50*$AD167+$B$50*$AE167)+B$184*$S167+B$185*$T167</f>
        <v>0.229952347135541</v>
      </c>
      <c r="C221" s="349">
        <f t="shared" ca="1" si="85"/>
        <v>0.25287885036166124</v>
      </c>
      <c r="D221" s="349">
        <f t="shared" ca="1" si="85"/>
        <v>0.2363095771047557</v>
      </c>
      <c r="E221" s="349">
        <f t="shared" ca="1" si="85"/>
        <v>0.26000519594898508</v>
      </c>
      <c r="F221" s="349">
        <f t="shared" ca="1" si="85"/>
        <v>0.23665928677928158</v>
      </c>
      <c r="G221" s="349">
        <f t="shared" ca="1" si="85"/>
        <v>0.26206105370212651</v>
      </c>
      <c r="H221" s="349">
        <f t="shared" ca="1" si="85"/>
        <v>0.20959912241074424</v>
      </c>
      <c r="I221" s="349">
        <f t="shared" ca="1" si="85"/>
        <v>0.24107702280152687</v>
      </c>
      <c r="J221" s="349">
        <f t="shared" ca="1" si="85"/>
        <v>0.21864633397320704</v>
      </c>
      <c r="K221" s="348">
        <f t="shared" ca="1" si="85"/>
        <v>0.27973283356166756</v>
      </c>
      <c r="L221" s="621"/>
      <c r="M221" s="621"/>
      <c r="N221" s="621"/>
      <c r="O221" s="621"/>
      <c r="P221" s="621"/>
      <c r="Q221" s="621"/>
      <c r="R221" s="621"/>
      <c r="S221" s="621"/>
      <c r="T221" s="621"/>
      <c r="U221" s="621"/>
      <c r="V221" s="621"/>
      <c r="W221" s="621"/>
      <c r="X221" s="621"/>
      <c r="Y221" s="621"/>
      <c r="Z221" s="621"/>
    </row>
    <row r="222" spans="1:26" s="496" customFormat="1">
      <c r="A222" s="501" t="s">
        <v>828</v>
      </c>
      <c r="B222" s="503">
        <f t="shared" ref="B222:K222" ca="1" si="86">B$174*($B$6*($A$14*$B168+$B$14*$C168+$C$14*$D168)+$C$6*$E168)+B$175*$F168+B$176*($A$18*$G168+$B$18*$H168)+B$177*($B$7*($A$22*$I168+$B$22*$J168+$C$22*$K168)+$C$7*($A$22*$L168+$B$22*$M168+$C$22*$N168))+B$178*($B$8*$O168+$C$8*$P168)+B$179*$Q168+B$181*$R168+B$182*($A$30*SUMPRODUCT($B$36:$L$36,$S168:$AC168)+$B$30*SUMPRODUCT($B$37:$L$37,$S168:$AC168)+$F$30*SUMPRODUCT($B$38:$L$38,$S168:$AC168)+$G$30*SUMPRODUCT($B$39:$L$39,$S168:$AC168)+$H$30*SUMPRODUCT($B$40:$L$40,$S168:$AC168)+$I$30*SUMPRODUCT($B$41:$L$41,$S168:$AC168)+$J$30*SUMPRODUCT($B$42:$L$42,$S168:$AC168)+$K$30*SUMPRODUCT($B$43:$L$43,$S168:$AC168)+$L$30*SUMPRODUCT($B$44:$L$44,$S168:$AC168)+$M$30*SUMPRODUCT($B$45:$L$45,$S168:$AC168)+$P$30*SUMPRODUCT($B$46:$L$46,$S168:$AC168))+B$183*($A$50*$AD168+$B$50*$AE168)+B$184*$S168+B$185*$T168</f>
        <v>1.2404635022314987</v>
      </c>
      <c r="C222" s="505">
        <f t="shared" ca="1" si="86"/>
        <v>1.3574000317491501</v>
      </c>
      <c r="D222" s="505">
        <f t="shared" ca="1" si="86"/>
        <v>1.2722982778273662</v>
      </c>
      <c r="E222" s="505">
        <f t="shared" ca="1" si="86"/>
        <v>1.3920796397600377</v>
      </c>
      <c r="F222" s="505">
        <f t="shared" ca="1" si="86"/>
        <v>1.2744664902268821</v>
      </c>
      <c r="G222" s="505">
        <f t="shared" ca="1" si="86"/>
        <v>1.4021894532136967</v>
      </c>
      <c r="H222" s="505">
        <f t="shared" ca="1" si="86"/>
        <v>1.1280775922478421</v>
      </c>
      <c r="I222" s="505">
        <f t="shared" ca="1" si="86"/>
        <v>1.2830208952997986</v>
      </c>
      <c r="J222" s="505">
        <f t="shared" ca="1" si="86"/>
        <v>1.1765266719979701</v>
      </c>
      <c r="K222" s="502">
        <f t="shared" ca="1" si="86"/>
        <v>1.495195054118166</v>
      </c>
      <c r="L222" s="621"/>
      <c r="M222" s="621"/>
      <c r="N222" s="621"/>
      <c r="O222" s="621"/>
      <c r="P222" s="621"/>
      <c r="Q222" s="621"/>
      <c r="R222" s="621"/>
      <c r="S222" s="621"/>
      <c r="T222" s="621"/>
      <c r="U222" s="621"/>
      <c r="V222" s="621"/>
      <c r="W222" s="621"/>
      <c r="X222" s="621"/>
      <c r="Y222" s="621"/>
      <c r="Z222" s="621"/>
    </row>
    <row r="223" spans="1:26" s="496" customFormat="1">
      <c r="A223" s="349"/>
      <c r="B223" s="349"/>
      <c r="C223" s="349"/>
      <c r="D223" s="349"/>
      <c r="E223" s="349"/>
      <c r="F223" s="349"/>
      <c r="G223" s="349"/>
      <c r="H223" s="349"/>
      <c r="I223" s="349"/>
      <c r="J223" s="349"/>
      <c r="K223" s="349"/>
      <c r="L223" s="621"/>
      <c r="M223" s="621"/>
      <c r="N223" s="621"/>
      <c r="O223" s="621"/>
      <c r="P223" s="621"/>
      <c r="Q223" s="621"/>
      <c r="R223" s="621"/>
      <c r="S223" s="621"/>
      <c r="T223" s="621"/>
      <c r="U223" s="621"/>
      <c r="V223" s="621"/>
      <c r="W223" s="621"/>
      <c r="X223" s="621"/>
      <c r="Y223" s="621"/>
      <c r="Z223" s="621"/>
    </row>
    <row r="224" spans="1:26" s="496" customFormat="1" ht="15">
      <c r="A224" s="607" t="s">
        <v>1502</v>
      </c>
      <c r="B224" s="349"/>
      <c r="C224" s="349"/>
      <c r="D224" s="349"/>
      <c r="E224" s="349"/>
      <c r="F224" s="349"/>
      <c r="G224" s="349"/>
      <c r="H224" s="349"/>
      <c r="I224" s="349"/>
      <c r="J224" s="349"/>
      <c r="K224" s="349"/>
      <c r="L224" s="621"/>
      <c r="M224" s="621"/>
      <c r="N224" s="621"/>
      <c r="O224" s="621"/>
      <c r="P224" s="621"/>
      <c r="Q224" s="621"/>
      <c r="R224" s="621"/>
      <c r="S224" s="621"/>
      <c r="T224" s="621"/>
      <c r="U224" s="621"/>
      <c r="V224" s="621"/>
      <c r="W224" s="621"/>
      <c r="X224" s="621"/>
      <c r="Y224" s="621"/>
      <c r="Z224" s="621"/>
    </row>
    <row r="225" spans="1:26" s="496" customFormat="1" ht="51">
      <c r="A225" s="493"/>
      <c r="B225" s="801" t="str">
        <f t="shared" ref="B225:K225" si="87">B171</f>
        <v>ICEV: Conventional Material</v>
      </c>
      <c r="C225" s="801" t="str">
        <f t="shared" si="87"/>
        <v>ICEV: Lightweight Material</v>
      </c>
      <c r="D225" s="801" t="str">
        <f t="shared" si="87"/>
        <v>HEV: Conventional Material</v>
      </c>
      <c r="E225" s="801" t="str">
        <f t="shared" si="87"/>
        <v>HEV: Lightweight Material</v>
      </c>
      <c r="F225" s="610" t="str">
        <f t="shared" si="87"/>
        <v>PHEV: Conventional Material</v>
      </c>
      <c r="G225" s="610" t="str">
        <f t="shared" si="87"/>
        <v>PHEV: Lightweight Material</v>
      </c>
      <c r="H225" s="610" t="str">
        <f t="shared" si="87"/>
        <v>EV: Conventional Material</v>
      </c>
      <c r="I225" s="610" t="str">
        <f t="shared" si="87"/>
        <v>EV: Lightweight Material</v>
      </c>
      <c r="J225" s="801" t="str">
        <f t="shared" si="87"/>
        <v>FCV: Conventional Material</v>
      </c>
      <c r="K225" s="846" t="str">
        <f t="shared" si="87"/>
        <v>FCV: Lightweight Material</v>
      </c>
      <c r="M225" s="621"/>
      <c r="N225" s="621"/>
      <c r="O225" s="621"/>
      <c r="P225" s="621"/>
      <c r="Q225" s="621"/>
      <c r="R225" s="621"/>
      <c r="S225" s="621"/>
      <c r="T225" s="621"/>
      <c r="U225" s="621"/>
      <c r="V225" s="621"/>
      <c r="W225" s="621"/>
      <c r="X225" s="621"/>
      <c r="Y225" s="621"/>
      <c r="Z225" s="621"/>
    </row>
    <row r="226" spans="1:26" s="496" customFormat="1">
      <c r="A226" s="851" t="s">
        <v>1443</v>
      </c>
      <c r="B226" s="512"/>
      <c r="C226" s="512"/>
      <c r="D226" s="512"/>
      <c r="E226" s="512"/>
      <c r="F226" s="512"/>
      <c r="G226" s="512"/>
      <c r="H226" s="512"/>
      <c r="I226" s="512"/>
      <c r="J226" s="512"/>
      <c r="K226" s="509"/>
      <c r="L226" s="621"/>
      <c r="M226" s="621"/>
      <c r="N226" s="621"/>
      <c r="O226" s="621"/>
      <c r="P226" s="621"/>
      <c r="Q226" s="621"/>
      <c r="R226" s="621"/>
      <c r="S226" s="621"/>
      <c r="T226" s="621"/>
      <c r="U226" s="621"/>
      <c r="V226" s="621"/>
      <c r="W226" s="621"/>
      <c r="X226" s="621"/>
      <c r="Y226" s="621"/>
      <c r="Z226" s="621"/>
    </row>
    <row r="227" spans="1:26" s="496" customFormat="1">
      <c r="A227" s="494" t="s">
        <v>816</v>
      </c>
      <c r="B227" s="349">
        <f t="shared" ref="B227:K227" ca="1" si="88">SUM($C106:$H106)+B194</f>
        <v>18.070460859759503</v>
      </c>
      <c r="C227" s="349">
        <f t="shared" ca="1" si="88"/>
        <v>19.18979003906891</v>
      </c>
      <c r="D227" s="349">
        <f t="shared" ca="1" si="88"/>
        <v>19.56064784042691</v>
      </c>
      <c r="E227" s="349">
        <f t="shared" ca="1" si="88"/>
        <v>19.35083464623056</v>
      </c>
      <c r="F227" s="349">
        <f t="shared" ca="1" si="88"/>
        <v>19.494701466073824</v>
      </c>
      <c r="G227" s="349">
        <f t="shared" ca="1" si="88"/>
        <v>19.429187942179624</v>
      </c>
      <c r="H227" s="349">
        <f t="shared" ca="1" si="88"/>
        <v>16.933401606380325</v>
      </c>
      <c r="I227" s="349">
        <f t="shared" ca="1" si="88"/>
        <v>18.644383216604389</v>
      </c>
      <c r="J227" s="349">
        <f t="shared" ca="1" si="88"/>
        <v>17.107730112422935</v>
      </c>
      <c r="K227" s="348">
        <f t="shared" ca="1" si="88"/>
        <v>19.465972556422678</v>
      </c>
      <c r="S227" s="621"/>
      <c r="T227" s="621"/>
      <c r="U227" s="621"/>
      <c r="V227" s="621"/>
      <c r="W227" s="621"/>
      <c r="X227" s="621"/>
      <c r="Y227" s="621"/>
      <c r="Z227" s="621"/>
    </row>
    <row r="228" spans="1:26" s="496" customFormat="1">
      <c r="A228" s="494" t="s">
        <v>817</v>
      </c>
      <c r="B228" s="349">
        <f t="shared" ref="B228:K228" ca="1" si="89">SUM($C107:$H107)+B195</f>
        <v>16.274502117517393</v>
      </c>
      <c r="C228" s="349">
        <f t="shared" ca="1" si="89"/>
        <v>17.319999395140851</v>
      </c>
      <c r="D228" s="349">
        <f t="shared" ca="1" si="89"/>
        <v>17.747248147411021</v>
      </c>
      <c r="E228" s="349">
        <f t="shared" ca="1" si="89"/>
        <v>17.459216631740972</v>
      </c>
      <c r="F228" s="349">
        <f t="shared" ca="1" si="89"/>
        <v>17.679694140289033</v>
      </c>
      <c r="G228" s="349">
        <f t="shared" ca="1" si="89"/>
        <v>17.531248330964104</v>
      </c>
      <c r="H228" s="349">
        <f t="shared" ca="1" si="89"/>
        <v>15.209942353174853</v>
      </c>
      <c r="I228" s="349">
        <f t="shared" ca="1" si="89"/>
        <v>16.824897755298156</v>
      </c>
      <c r="J228" s="349">
        <f t="shared" ca="1" si="89"/>
        <v>15.352719083176131</v>
      </c>
      <c r="K228" s="348">
        <f t="shared" ca="1" si="89"/>
        <v>17.50724511664135</v>
      </c>
      <c r="S228" s="621"/>
      <c r="T228" s="621"/>
      <c r="U228" s="621"/>
      <c r="V228" s="621"/>
      <c r="W228" s="621"/>
      <c r="X228" s="621"/>
      <c r="Y228" s="621"/>
      <c r="Z228" s="621"/>
    </row>
    <row r="229" spans="1:26" s="496" customFormat="1">
      <c r="A229" s="494" t="s">
        <v>805</v>
      </c>
      <c r="B229" s="349">
        <f t="shared" ref="B229:K229" ca="1" si="90">SUM($C108:$H108)+B196</f>
        <v>2.9167985106693202</v>
      </c>
      <c r="C229" s="349">
        <f t="shared" ca="1" si="90"/>
        <v>3.3344844385223791</v>
      </c>
      <c r="D229" s="349">
        <f t="shared" ca="1" si="90"/>
        <v>3.9444292446259395</v>
      </c>
      <c r="E229" s="349">
        <f t="shared" ca="1" si="90"/>
        <v>3.3495204845136843</v>
      </c>
      <c r="F229" s="349">
        <f t="shared" ca="1" si="90"/>
        <v>3.9028526669127412</v>
      </c>
      <c r="G229" s="349">
        <f t="shared" ca="1" si="90"/>
        <v>3.3783703379039753</v>
      </c>
      <c r="H229" s="349">
        <f t="shared" ca="1" si="90"/>
        <v>2.3091157623662211</v>
      </c>
      <c r="I229" s="349">
        <f t="shared" ca="1" si="90"/>
        <v>3.0465241715492946</v>
      </c>
      <c r="J229" s="349">
        <f t="shared" ca="1" si="90"/>
        <v>2.3533904813596749</v>
      </c>
      <c r="K229" s="348">
        <f t="shared" ca="1" si="90"/>
        <v>3.2605244628351189</v>
      </c>
      <c r="S229" s="621"/>
      <c r="T229" s="621"/>
      <c r="U229" s="621"/>
      <c r="V229" s="621"/>
      <c r="W229" s="621"/>
      <c r="X229" s="621"/>
      <c r="Y229" s="621"/>
      <c r="Z229" s="621"/>
    </row>
    <row r="230" spans="1:26" s="496" customFormat="1">
      <c r="A230" s="494" t="s">
        <v>804</v>
      </c>
      <c r="B230" s="349">
        <f t="shared" ref="B230:K230" ca="1" si="91">SUM($C109:$H109)+B197</f>
        <v>13.153577419041994</v>
      </c>
      <c r="C230" s="349">
        <f t="shared" ca="1" si="91"/>
        <v>13.725126901930665</v>
      </c>
      <c r="D230" s="349">
        <f t="shared" ca="1" si="91"/>
        <v>13.587391702192505</v>
      </c>
      <c r="E230" s="349">
        <f t="shared" ca="1" si="91"/>
        <v>13.817178750408688</v>
      </c>
      <c r="F230" s="349">
        <f t="shared" ca="1" si="91"/>
        <v>13.561755229929734</v>
      </c>
      <c r="G230" s="349">
        <f t="shared" ca="1" si="91"/>
        <v>13.851993627029763</v>
      </c>
      <c r="H230" s="349">
        <f t="shared" ca="1" si="91"/>
        <v>12.692967640656605</v>
      </c>
      <c r="I230" s="349">
        <f t="shared" ca="1" si="91"/>
        <v>13.454119508532541</v>
      </c>
      <c r="J230" s="349">
        <f t="shared" ca="1" si="91"/>
        <v>12.778701339786069</v>
      </c>
      <c r="K230" s="348">
        <f t="shared" ca="1" si="91"/>
        <v>13.9062355526596</v>
      </c>
      <c r="S230" s="349"/>
      <c r="T230" s="349"/>
      <c r="U230" s="349"/>
      <c r="V230" s="349"/>
      <c r="W230" s="349"/>
      <c r="X230" s="349"/>
      <c r="Y230" s="349"/>
      <c r="Z230" s="349"/>
    </row>
    <row r="231" spans="1:26" s="496" customFormat="1">
      <c r="A231" s="494" t="s">
        <v>818</v>
      </c>
      <c r="B231" s="349">
        <f t="shared" ref="B231:K231" ca="1" si="92">SUM($C110:$H110)+B198</f>
        <v>0.20412618780608155</v>
      </c>
      <c r="C231" s="349">
        <f t="shared" ca="1" si="92"/>
        <v>0.26038805468780812</v>
      </c>
      <c r="D231" s="349">
        <f t="shared" ca="1" si="92"/>
        <v>0.2154272005925765</v>
      </c>
      <c r="E231" s="349">
        <f t="shared" ca="1" si="92"/>
        <v>0.29251739681860195</v>
      </c>
      <c r="F231" s="349">
        <f t="shared" ca="1" si="92"/>
        <v>0.21508624344655974</v>
      </c>
      <c r="G231" s="349">
        <f t="shared" ca="1" si="92"/>
        <v>0.30088436603036806</v>
      </c>
      <c r="H231" s="349">
        <f t="shared" ca="1" si="92"/>
        <v>0.20785895015203043</v>
      </c>
      <c r="I231" s="349">
        <f t="shared" ca="1" si="92"/>
        <v>0.32425407521632177</v>
      </c>
      <c r="J231" s="349">
        <f t="shared" ca="1" si="92"/>
        <v>0.22062726203038907</v>
      </c>
      <c r="K231" s="348">
        <f t="shared" ca="1" si="92"/>
        <v>0.34048510114663411</v>
      </c>
      <c r="S231" s="349"/>
      <c r="T231" s="349"/>
      <c r="U231" s="349"/>
      <c r="V231" s="349"/>
      <c r="W231" s="349"/>
      <c r="X231" s="349"/>
      <c r="Y231" s="349"/>
      <c r="Z231" s="349"/>
    </row>
    <row r="232" spans="1:26" s="496" customFormat="1">
      <c r="A232" s="1504" t="s">
        <v>819</v>
      </c>
      <c r="B232" s="1505">
        <f t="shared" ref="B232:K232" ca="1" si="93">SUM($C111:$H111)+B199</f>
        <v>496.29110866111529</v>
      </c>
      <c r="C232" s="1505">
        <f t="shared" ca="1" si="93"/>
        <v>520.02842108720574</v>
      </c>
      <c r="D232" s="1505">
        <f t="shared" ca="1" si="93"/>
        <v>502.11251999830438</v>
      </c>
      <c r="E232" s="1505">
        <f t="shared" ca="1" si="93"/>
        <v>525.41284327051142</v>
      </c>
      <c r="F232" s="1505">
        <f t="shared" ca="1" si="93"/>
        <v>502.30233012884753</v>
      </c>
      <c r="G232" s="1505">
        <f t="shared" ca="1" si="93"/>
        <v>526.11850903899506</v>
      </c>
      <c r="H232" s="1505">
        <f t="shared" ca="1" si="93"/>
        <v>472.72967526102479</v>
      </c>
      <c r="I232" s="1505">
        <f t="shared" ca="1" si="93"/>
        <v>506.38285927525419</v>
      </c>
      <c r="J232" s="1505">
        <f t="shared" ca="1" si="93"/>
        <v>482.57792696929698</v>
      </c>
      <c r="K232" s="1136">
        <f t="shared" ca="1" si="93"/>
        <v>543.84331334497028</v>
      </c>
      <c r="S232" s="349"/>
      <c r="T232" s="349"/>
      <c r="U232" s="349"/>
      <c r="V232" s="349"/>
      <c r="W232" s="349"/>
      <c r="X232" s="349"/>
      <c r="Y232" s="349"/>
      <c r="Z232" s="349"/>
    </row>
    <row r="233" spans="1:26" s="496" customFormat="1">
      <c r="A233" s="795" t="s">
        <v>1030</v>
      </c>
      <c r="B233" s="615"/>
      <c r="C233" s="615"/>
      <c r="D233" s="615"/>
      <c r="E233" s="615"/>
      <c r="F233" s="615"/>
      <c r="G233" s="615"/>
      <c r="H233" s="615"/>
      <c r="I233" s="615"/>
      <c r="J233" s="615"/>
      <c r="K233" s="673"/>
      <c r="S233" s="349"/>
      <c r="T233" s="349"/>
      <c r="U233" s="349"/>
      <c r="V233" s="349"/>
      <c r="W233" s="349"/>
      <c r="X233" s="349"/>
      <c r="Y233" s="349"/>
      <c r="Z233" s="349"/>
    </row>
    <row r="234" spans="1:26" s="496" customFormat="1">
      <c r="A234" s="494" t="s">
        <v>821</v>
      </c>
      <c r="B234" s="349">
        <f t="shared" ref="B234:K234" ca="1" si="94">SUM($C113:$H113)+B201</f>
        <v>1821.6550133894862</v>
      </c>
      <c r="C234" s="349">
        <f t="shared" ca="1" si="94"/>
        <v>1860.3593922862772</v>
      </c>
      <c r="D234" s="349">
        <f t="shared" ca="1" si="94"/>
        <v>1909.490796524125</v>
      </c>
      <c r="E234" s="349">
        <f t="shared" ca="1" si="94"/>
        <v>1858.8555101374723</v>
      </c>
      <c r="F234" s="349">
        <f t="shared" ca="1" si="94"/>
        <v>1905.3350882678044</v>
      </c>
      <c r="G234" s="349">
        <f t="shared" ca="1" si="94"/>
        <v>1858.7916767015306</v>
      </c>
      <c r="H234" s="349">
        <f t="shared" ca="1" si="94"/>
        <v>1765.3768403712897</v>
      </c>
      <c r="I234" s="349">
        <f t="shared" ca="1" si="94"/>
        <v>1836.621060617711</v>
      </c>
      <c r="J234" s="349">
        <f t="shared" ca="1" si="94"/>
        <v>1769.9409501904581</v>
      </c>
      <c r="K234" s="348">
        <f t="shared" ca="1" si="94"/>
        <v>1846.3076569161708</v>
      </c>
      <c r="S234" s="621"/>
      <c r="T234" s="621"/>
      <c r="U234" s="621"/>
      <c r="V234" s="621"/>
      <c r="W234" s="621"/>
      <c r="X234" s="621"/>
      <c r="Y234" s="621"/>
      <c r="Z234" s="621"/>
    </row>
    <row r="235" spans="1:26" s="496" customFormat="1">
      <c r="A235" s="494" t="s">
        <v>822</v>
      </c>
      <c r="B235" s="349">
        <f t="shared" ref="B235:K235" ca="1" si="95">SUM($C114:$H114)+B202</f>
        <v>628.45893435731693</v>
      </c>
      <c r="C235" s="349">
        <f t="shared" ca="1" si="95"/>
        <v>663.88170010939484</v>
      </c>
      <c r="D235" s="349">
        <f t="shared" ca="1" si="95"/>
        <v>669.84337287803385</v>
      </c>
      <c r="E235" s="349">
        <f t="shared" ca="1" si="95"/>
        <v>668.28699679472538</v>
      </c>
      <c r="F235" s="349">
        <f t="shared" ca="1" si="95"/>
        <v>667.59702945846266</v>
      </c>
      <c r="G235" s="349">
        <f t="shared" ca="1" si="95"/>
        <v>670.16570207367522</v>
      </c>
      <c r="H235" s="349">
        <f t="shared" ca="1" si="95"/>
        <v>596.85974747304772</v>
      </c>
      <c r="I235" s="349">
        <f t="shared" ca="1" si="95"/>
        <v>649.46754163160949</v>
      </c>
      <c r="J235" s="349">
        <f t="shared" ca="1" si="95"/>
        <v>600.92299162931045</v>
      </c>
      <c r="K235" s="348">
        <f t="shared" ca="1" si="95"/>
        <v>669.64445331439197</v>
      </c>
      <c r="S235" s="621"/>
      <c r="T235" s="621"/>
      <c r="U235" s="621"/>
      <c r="V235" s="621"/>
      <c r="W235" s="621"/>
      <c r="X235" s="621"/>
      <c r="Y235" s="621"/>
      <c r="Z235" s="621"/>
    </row>
    <row r="236" spans="1:26" s="496" customFormat="1">
      <c r="A236" s="494" t="s">
        <v>849</v>
      </c>
      <c r="B236" s="349">
        <f t="shared" ref="B236:K236" ca="1" si="96">SUM($C115:$H115)+B203</f>
        <v>967.06619552663744</v>
      </c>
      <c r="C236" s="349">
        <f t="shared" ca="1" si="96"/>
        <v>1024.3546340414973</v>
      </c>
      <c r="D236" s="349">
        <f t="shared" ca="1" si="96"/>
        <v>1029.7670100997752</v>
      </c>
      <c r="E236" s="349">
        <f t="shared" ca="1" si="96"/>
        <v>1034.9439075265227</v>
      </c>
      <c r="F236" s="349">
        <f t="shared" ca="1" si="96"/>
        <v>1026.6529793775264</v>
      </c>
      <c r="G236" s="349">
        <f t="shared" ca="1" si="96"/>
        <v>1039.1627600045267</v>
      </c>
      <c r="H236" s="349">
        <f t="shared" ca="1" si="96"/>
        <v>919.65727385982655</v>
      </c>
      <c r="I236" s="349">
        <f t="shared" ca="1" si="96"/>
        <v>1007.8120249701112</v>
      </c>
      <c r="J236" s="349">
        <f t="shared" ca="1" si="96"/>
        <v>927.72694158023319</v>
      </c>
      <c r="K236" s="348">
        <f t="shared" ca="1" si="96"/>
        <v>1043.2171156253271</v>
      </c>
      <c r="S236" s="621"/>
      <c r="T236" s="621"/>
      <c r="U236" s="621"/>
      <c r="V236" s="621"/>
      <c r="W236" s="621"/>
      <c r="X236" s="621"/>
      <c r="Y236" s="621"/>
      <c r="Z236" s="621"/>
    </row>
    <row r="237" spans="1:26" s="496" customFormat="1">
      <c r="A237" s="494" t="s">
        <v>824</v>
      </c>
      <c r="B237" s="349">
        <f t="shared" ref="B237:K237" ca="1" si="97">SUM($C116:$H116)+B204</f>
        <v>169.94167364845225</v>
      </c>
      <c r="C237" s="349">
        <f t="shared" ca="1" si="97"/>
        <v>188.91549385479061</v>
      </c>
      <c r="D237" s="349">
        <f t="shared" ca="1" si="97"/>
        <v>216.07301223528017</v>
      </c>
      <c r="E237" s="349">
        <f t="shared" ca="1" si="97"/>
        <v>190.01517324444268</v>
      </c>
      <c r="F237" s="349">
        <f t="shared" ca="1" si="97"/>
        <v>214.09636629991672</v>
      </c>
      <c r="G237" s="349">
        <f t="shared" ca="1" si="97"/>
        <v>191.42320856277962</v>
      </c>
      <c r="H237" s="349">
        <f t="shared" ca="1" si="97"/>
        <v>144.6842713181658</v>
      </c>
      <c r="I237" s="349">
        <f t="shared" ca="1" si="97"/>
        <v>179.22942241187326</v>
      </c>
      <c r="J237" s="349">
        <f t="shared" ca="1" si="97"/>
        <v>146.08907282262444</v>
      </c>
      <c r="K237" s="348">
        <f t="shared" ca="1" si="97"/>
        <v>185.16711198328426</v>
      </c>
      <c r="S237" s="621"/>
      <c r="T237" s="621"/>
      <c r="U237" s="621"/>
      <c r="V237" s="621"/>
      <c r="W237" s="621"/>
      <c r="X237" s="621"/>
      <c r="Y237" s="621"/>
      <c r="Z237" s="621"/>
    </row>
    <row r="238" spans="1:26" s="496" customFormat="1">
      <c r="A238" s="494" t="s">
        <v>825</v>
      </c>
      <c r="B238" s="349">
        <f t="shared" ref="B238:K238" ca="1" si="98">SUM($C117:$H117)+B205</f>
        <v>104.54834908172865</v>
      </c>
      <c r="C238" s="349">
        <f t="shared" ca="1" si="98"/>
        <v>114.22323772240323</v>
      </c>
      <c r="D238" s="349">
        <f t="shared" ca="1" si="98"/>
        <v>125.82749044462771</v>
      </c>
      <c r="E238" s="349">
        <f t="shared" ca="1" si="98"/>
        <v>114.93851416948493</v>
      </c>
      <c r="F238" s="349">
        <f t="shared" ca="1" si="98"/>
        <v>124.89973144489628</v>
      </c>
      <c r="G238" s="349">
        <f t="shared" ca="1" si="98"/>
        <v>115.6328534609903</v>
      </c>
      <c r="H238" s="349">
        <f t="shared" ca="1" si="98"/>
        <v>92.453683170340497</v>
      </c>
      <c r="I238" s="349">
        <f t="shared" ca="1" si="98"/>
        <v>109.51698227137987</v>
      </c>
      <c r="J238" s="349">
        <f t="shared" ca="1" si="98"/>
        <v>93.272513864014456</v>
      </c>
      <c r="K238" s="348">
        <f t="shared" ca="1" si="98"/>
        <v>113.10845493716562</v>
      </c>
      <c r="S238" s="621"/>
      <c r="T238" s="621"/>
      <c r="U238" s="621"/>
      <c r="V238" s="621"/>
      <c r="W238" s="621"/>
      <c r="X238" s="621"/>
      <c r="Y238" s="621"/>
      <c r="Z238" s="621"/>
    </row>
    <row r="239" spans="1:26" s="496" customFormat="1">
      <c r="A239" s="494" t="s">
        <v>826</v>
      </c>
      <c r="B239" s="349">
        <f t="shared" ref="B239:K239" ca="1" si="99">SUM($C118:$H118)+B206</f>
        <v>455.38503651352119</v>
      </c>
      <c r="C239" s="349">
        <f t="shared" ca="1" si="99"/>
        <v>524.50345375537097</v>
      </c>
      <c r="D239" s="349">
        <f t="shared" ca="1" si="99"/>
        <v>615.86694598566453</v>
      </c>
      <c r="E239" s="349">
        <f t="shared" ca="1" si="99"/>
        <v>530.06773517672491</v>
      </c>
      <c r="F239" s="349">
        <f t="shared" ca="1" si="99"/>
        <v>609.16179606561855</v>
      </c>
      <c r="G239" s="349">
        <f t="shared" ca="1" si="99"/>
        <v>535.4677697380705</v>
      </c>
      <c r="H239" s="349">
        <f t="shared" ca="1" si="99"/>
        <v>365.02880672938818</v>
      </c>
      <c r="I239" s="349">
        <f t="shared" ca="1" si="99"/>
        <v>490.21750114305888</v>
      </c>
      <c r="J239" s="349">
        <f t="shared" ca="1" si="99"/>
        <v>371.62523705361195</v>
      </c>
      <c r="K239" s="348">
        <f t="shared" ca="1" si="99"/>
        <v>516.89492479967544</v>
      </c>
      <c r="S239" s="621"/>
      <c r="T239" s="621"/>
      <c r="U239" s="621"/>
      <c r="V239" s="621"/>
      <c r="W239" s="621"/>
      <c r="X239" s="621"/>
      <c r="Y239" s="621"/>
      <c r="Z239" s="621"/>
    </row>
    <row r="240" spans="1:26" s="496" customFormat="1">
      <c r="A240" s="794" t="s">
        <v>827</v>
      </c>
      <c r="B240" s="349">
        <f t="shared" ref="B240:K240" ca="1" si="100">SUM($C119:$H119)+B207</f>
        <v>7.5180874308036882</v>
      </c>
      <c r="C240" s="349">
        <f t="shared" ca="1" si="100"/>
        <v>7.9231239474207431</v>
      </c>
      <c r="D240" s="349">
        <f t="shared" ca="1" si="100"/>
        <v>7.8530577803823753</v>
      </c>
      <c r="E240" s="349">
        <f t="shared" ca="1" si="100"/>
        <v>7.998290782538005</v>
      </c>
      <c r="F240" s="349">
        <f t="shared" ca="1" si="100"/>
        <v>7.8330078752513428</v>
      </c>
      <c r="G240" s="349">
        <f t="shared" ca="1" si="100"/>
        <v>8.0240867798407471</v>
      </c>
      <c r="H240" s="349">
        <f t="shared" ca="1" si="100"/>
        <v>7.2316715463083812</v>
      </c>
      <c r="I240" s="349">
        <f t="shared" ca="1" si="100"/>
        <v>7.823105277913073</v>
      </c>
      <c r="J240" s="349">
        <f t="shared" ca="1" si="100"/>
        <v>7.2842531835497413</v>
      </c>
      <c r="K240" s="348">
        <f t="shared" ca="1" si="100"/>
        <v>8.0683127501737211</v>
      </c>
      <c r="S240" s="621"/>
      <c r="T240" s="621"/>
      <c r="U240" s="621"/>
      <c r="V240" s="621"/>
      <c r="W240" s="621"/>
      <c r="X240" s="621"/>
      <c r="Y240" s="621"/>
      <c r="Z240" s="621"/>
    </row>
    <row r="241" spans="1:26" s="496" customFormat="1">
      <c r="A241" s="794" t="s">
        <v>828</v>
      </c>
      <c r="B241" s="349">
        <f t="shared" ref="B241:K241" ca="1" si="101">SUM($C120:$H120)+B208</f>
        <v>22.5166616276016</v>
      </c>
      <c r="C241" s="349">
        <f t="shared" ca="1" si="101"/>
        <v>23.594872599198602</v>
      </c>
      <c r="D241" s="349">
        <f t="shared" ca="1" si="101"/>
        <v>23.385092250912756</v>
      </c>
      <c r="E241" s="349">
        <f t="shared" ca="1" si="101"/>
        <v>23.783886102531092</v>
      </c>
      <c r="F241" s="349">
        <f t="shared" ca="1" si="101"/>
        <v>23.340239417083811</v>
      </c>
      <c r="G241" s="349">
        <f t="shared" ca="1" si="101"/>
        <v>23.852500879862426</v>
      </c>
      <c r="H241" s="349">
        <f t="shared" ca="1" si="101"/>
        <v>21.623671406883798</v>
      </c>
      <c r="I241" s="349">
        <f t="shared" ca="1" si="101"/>
        <v>23.120904200690489</v>
      </c>
      <c r="J241" s="349">
        <f t="shared" ca="1" si="101"/>
        <v>21.809648203711951</v>
      </c>
      <c r="K241" s="348">
        <f t="shared" ca="1" si="101"/>
        <v>24.031229103180362</v>
      </c>
      <c r="S241" s="621"/>
      <c r="T241" s="621"/>
      <c r="U241" s="621"/>
      <c r="V241" s="621"/>
      <c r="W241" s="621"/>
      <c r="X241" s="621"/>
      <c r="Y241" s="621"/>
      <c r="Z241" s="621"/>
    </row>
    <row r="242" spans="1:26" s="496" customFormat="1">
      <c r="A242" s="494" t="s">
        <v>829</v>
      </c>
      <c r="B242" s="349">
        <f t="shared" ref="B242:K242" ca="1" si="102">SUM($C121:$H121)+B209</f>
        <v>2951.3185377681152</v>
      </c>
      <c r="C242" s="349">
        <f t="shared" ca="1" si="102"/>
        <v>3120.2936671608049</v>
      </c>
      <c r="D242" s="349">
        <f t="shared" ca="1" si="102"/>
        <v>3166.668025902949</v>
      </c>
      <c r="E242" s="349">
        <f t="shared" ca="1" si="102"/>
        <v>3142.6459045317101</v>
      </c>
      <c r="F242" s="349">
        <f t="shared" ca="1" si="102"/>
        <v>3156.322384350316</v>
      </c>
      <c r="G242" s="349">
        <f t="shared" ca="1" si="102"/>
        <v>3153.6948918833873</v>
      </c>
      <c r="H242" s="349">
        <f t="shared" ca="1" si="102"/>
        <v>2785.4774935785972</v>
      </c>
      <c r="I242" s="349">
        <f t="shared" ca="1" si="102"/>
        <v>3036.7267722106308</v>
      </c>
      <c r="J242" s="349">
        <f t="shared" ca="1" si="102"/>
        <v>2808.5232202353291</v>
      </c>
      <c r="K242" s="348">
        <f t="shared" ca="1" si="102"/>
        <v>3152.098008646964</v>
      </c>
      <c r="S242" s="621"/>
      <c r="T242" s="621"/>
      <c r="U242" s="621"/>
      <c r="V242" s="621"/>
      <c r="W242" s="621"/>
      <c r="X242" s="621"/>
      <c r="Y242" s="621"/>
      <c r="Z242" s="621"/>
    </row>
    <row r="243" spans="1:26" s="496" customFormat="1">
      <c r="A243" s="494" t="s">
        <v>830</v>
      </c>
      <c r="B243" s="349">
        <f t="shared" ref="B243:K243" ca="1" si="103">SUM($C122:$H122)+B210</f>
        <v>27.842163315770719</v>
      </c>
      <c r="C243" s="349">
        <f t="shared" ca="1" si="103"/>
        <v>29.144660028078803</v>
      </c>
      <c r="D243" s="349">
        <f t="shared" ca="1" si="103"/>
        <v>28.79725976658036</v>
      </c>
      <c r="E243" s="349">
        <f t="shared" ca="1" si="103"/>
        <v>29.397976453290845</v>
      </c>
      <c r="F243" s="349">
        <f t="shared" ca="1" si="103"/>
        <v>28.744809144933587</v>
      </c>
      <c r="G243" s="349">
        <f t="shared" ca="1" si="103"/>
        <v>29.487711818374912</v>
      </c>
      <c r="H243" s="349">
        <f t="shared" ca="1" si="103"/>
        <v>26.845559124462277</v>
      </c>
      <c r="I243" s="349">
        <f t="shared" ca="1" si="103"/>
        <v>28.659394513743422</v>
      </c>
      <c r="J243" s="349">
        <f t="shared" ca="1" si="103"/>
        <v>27.062760607392647</v>
      </c>
      <c r="K243" s="348">
        <f t="shared" ca="1" si="103"/>
        <v>29.698178392011027</v>
      </c>
      <c r="S243" s="621"/>
      <c r="T243" s="621"/>
      <c r="U243" s="621"/>
      <c r="V243" s="621"/>
      <c r="W243" s="621"/>
      <c r="X243" s="621"/>
      <c r="Y243" s="621"/>
      <c r="Z243" s="621"/>
    </row>
    <row r="244" spans="1:26" s="535" customFormat="1">
      <c r="A244" s="630" t="s">
        <v>831</v>
      </c>
      <c r="B244" s="246">
        <f t="shared" ref="B244:K244" ca="1" si="104">SUM($C123:$H123)+B211</f>
        <v>1042111.1261301669</v>
      </c>
      <c r="C244" s="246">
        <f t="shared" ca="1" si="104"/>
        <v>1093611.1328304207</v>
      </c>
      <c r="D244" s="246">
        <f t="shared" ca="1" si="104"/>
        <v>1077420.1137615608</v>
      </c>
      <c r="E244" s="246">
        <f t="shared" ca="1" si="104"/>
        <v>1104305.5422255925</v>
      </c>
      <c r="F244" s="246">
        <f t="shared" ca="1" si="104"/>
        <v>1075773.2745125715</v>
      </c>
      <c r="G244" s="246">
        <f t="shared" ca="1" si="104"/>
        <v>1107781.6555147055</v>
      </c>
      <c r="H244" s="246">
        <f t="shared" ca="1" si="104"/>
        <v>1001520.6709358015</v>
      </c>
      <c r="I244" s="246">
        <f t="shared" ca="1" si="104"/>
        <v>1074135.7939436052</v>
      </c>
      <c r="J244" s="246">
        <f t="shared" ca="1" si="104"/>
        <v>1012003.5350108596</v>
      </c>
      <c r="K244" s="247">
        <f t="shared" ca="1" si="104"/>
        <v>1122343.7215146748</v>
      </c>
      <c r="S244" s="622"/>
      <c r="T244" s="622"/>
      <c r="U244" s="622"/>
      <c r="V244" s="622"/>
      <c r="W244" s="622"/>
      <c r="X244" s="622"/>
      <c r="Y244" s="622"/>
      <c r="Z244" s="622"/>
    </row>
    <row r="245" spans="1:26" s="535" customFormat="1">
      <c r="A245" s="630" t="s">
        <v>850</v>
      </c>
      <c r="B245" s="246">
        <f t="shared" ref="B245:K245" ca="1" si="105">SUM($C124:$H124)+B212</f>
        <v>1048776.1959139826</v>
      </c>
      <c r="C245" s="246">
        <f t="shared" ca="1" si="105"/>
        <v>1100452.4956079801</v>
      </c>
      <c r="D245" s="246">
        <f t="shared" ca="1" si="105"/>
        <v>1084423.971091917</v>
      </c>
      <c r="E245" s="246">
        <f t="shared" ca="1" si="105"/>
        <v>1111149.140512865</v>
      </c>
      <c r="F245" s="246">
        <f t="shared" ca="1" si="105"/>
        <v>1082760.649917298</v>
      </c>
      <c r="G245" s="246">
        <f t="shared" ca="1" si="105"/>
        <v>1114628.0071055887</v>
      </c>
      <c r="H245" s="246">
        <f t="shared" ca="1" si="105"/>
        <v>1007960.6845486069</v>
      </c>
      <c r="I245" s="246">
        <f t="shared" ca="1" si="105"/>
        <v>1080880.5214336656</v>
      </c>
      <c r="J245" s="246">
        <f t="shared" ca="1" si="105"/>
        <v>1018464.158530561</v>
      </c>
      <c r="K245" s="247">
        <f t="shared" ca="1" si="105"/>
        <v>1129150.3454720336</v>
      </c>
      <c r="S245" s="622"/>
      <c r="T245" s="622"/>
      <c r="U245" s="622"/>
      <c r="V245" s="622"/>
      <c r="W245" s="622"/>
      <c r="X245" s="622"/>
      <c r="Y245" s="622"/>
      <c r="Z245" s="622"/>
    </row>
    <row r="246" spans="1:26" s="535" customFormat="1">
      <c r="A246" s="756" t="s">
        <v>851</v>
      </c>
      <c r="B246" s="294">
        <f t="shared" ref="B246:K246" ca="1" si="106">SUM($C125:$H125)+B213</f>
        <v>1144693.9253257052</v>
      </c>
      <c r="C246" s="294">
        <f t="shared" ca="1" si="106"/>
        <v>1201784.6405302449</v>
      </c>
      <c r="D246" s="294">
        <f t="shared" ca="1" si="106"/>
        <v>1187055.2857071492</v>
      </c>
      <c r="E246" s="294">
        <f t="shared" ca="1" si="106"/>
        <v>1213218.9814089383</v>
      </c>
      <c r="F246" s="294">
        <f t="shared" ca="1" si="106"/>
        <v>1185067.6958712148</v>
      </c>
      <c r="G246" s="294">
        <f t="shared" ca="1" si="106"/>
        <v>1217053.0974939596</v>
      </c>
      <c r="H246" s="294">
        <f t="shared" ca="1" si="106"/>
        <v>1098639.0825239471</v>
      </c>
      <c r="I246" s="294">
        <f t="shared" ca="1" si="106"/>
        <v>1179577.0641461266</v>
      </c>
      <c r="J246" s="294">
        <f t="shared" ca="1" si="106"/>
        <v>1109891.48669858</v>
      </c>
      <c r="K246" s="296">
        <f t="shared" ca="1" si="106"/>
        <v>1231583.3030053254</v>
      </c>
      <c r="S246" s="622"/>
      <c r="T246" s="622"/>
      <c r="U246" s="622"/>
      <c r="V246" s="622"/>
      <c r="W246" s="622"/>
      <c r="X246" s="622"/>
      <c r="Y246" s="622"/>
      <c r="Z246" s="622"/>
    </row>
    <row r="247" spans="1:26" s="496" customFormat="1">
      <c r="A247" s="797" t="s">
        <v>1031</v>
      </c>
      <c r="B247" s="615"/>
      <c r="C247" s="615"/>
      <c r="D247" s="615"/>
      <c r="E247" s="615"/>
      <c r="F247" s="615"/>
      <c r="G247" s="615"/>
      <c r="H247" s="615"/>
      <c r="I247" s="615"/>
      <c r="J247" s="615"/>
      <c r="K247" s="673"/>
      <c r="S247" s="621"/>
      <c r="T247" s="621"/>
      <c r="U247" s="621"/>
      <c r="V247" s="621"/>
      <c r="W247" s="621"/>
      <c r="X247" s="621"/>
      <c r="Y247" s="621"/>
      <c r="Z247" s="621"/>
    </row>
    <row r="248" spans="1:26" s="496" customFormat="1">
      <c r="A248" s="494" t="s">
        <v>821</v>
      </c>
      <c r="B248" s="349">
        <f t="shared" ref="B248:K248" ca="1" si="107">SUM($C127:$H127)+B215</f>
        <v>8.6480217246282756</v>
      </c>
      <c r="C248" s="349">
        <f t="shared" ca="1" si="107"/>
        <v>9.1186093660012588</v>
      </c>
      <c r="D248" s="349">
        <f t="shared" ca="1" si="107"/>
        <v>8.941704894184932</v>
      </c>
      <c r="E248" s="349">
        <f t="shared" ca="1" si="107"/>
        <v>9.241990979319894</v>
      </c>
      <c r="F248" s="349">
        <f t="shared" ca="1" si="107"/>
        <v>8.9271090581713732</v>
      </c>
      <c r="G248" s="349">
        <f t="shared" ca="1" si="107"/>
        <v>9.2809251168310425</v>
      </c>
      <c r="H248" s="349">
        <f t="shared" ca="1" si="107"/>
        <v>8.3450488220249497</v>
      </c>
      <c r="I248" s="349">
        <f t="shared" ca="1" si="107"/>
        <v>9.0527909764935046</v>
      </c>
      <c r="J248" s="349">
        <f t="shared" ca="1" si="107"/>
        <v>8.4359464806535147</v>
      </c>
      <c r="K248" s="348">
        <f t="shared" ca="1" si="107"/>
        <v>9.419486302932885</v>
      </c>
      <c r="L248" s="621"/>
      <c r="M248" s="621"/>
      <c r="N248" s="621"/>
      <c r="O248" s="621"/>
      <c r="P248" s="621"/>
      <c r="Q248" s="621"/>
      <c r="R248" s="621"/>
      <c r="S248" s="621"/>
      <c r="T248" s="621"/>
      <c r="U248" s="621"/>
      <c r="V248" s="621"/>
      <c r="W248" s="621"/>
      <c r="X248" s="621"/>
      <c r="Y248" s="621"/>
      <c r="Z248" s="621"/>
    </row>
    <row r="249" spans="1:26" s="496" customFormat="1">
      <c r="A249" s="494" t="s">
        <v>822</v>
      </c>
      <c r="B249" s="349">
        <f t="shared" ref="B249:K249" ca="1" si="108">SUM($C128:$H128)+B216</f>
        <v>50.153299991549986</v>
      </c>
      <c r="C249" s="349">
        <f t="shared" ca="1" si="108"/>
        <v>52.354636153943275</v>
      </c>
      <c r="D249" s="349">
        <f t="shared" ca="1" si="108"/>
        <v>51.484476687179196</v>
      </c>
      <c r="E249" s="349">
        <f t="shared" ca="1" si="108"/>
        <v>52.816205480637294</v>
      </c>
      <c r="F249" s="349">
        <f t="shared" ca="1" si="108"/>
        <v>51.429686480339804</v>
      </c>
      <c r="G249" s="349">
        <f t="shared" ca="1" si="108"/>
        <v>52.97104727383109</v>
      </c>
      <c r="H249" s="349">
        <f t="shared" ca="1" si="108"/>
        <v>48.305742435021429</v>
      </c>
      <c r="I249" s="349">
        <f t="shared" ca="1" si="108"/>
        <v>51.265454409396767</v>
      </c>
      <c r="J249" s="349">
        <f t="shared" ca="1" si="108"/>
        <v>48.816937385895457</v>
      </c>
      <c r="K249" s="348">
        <f t="shared" ca="1" si="108"/>
        <v>53.674573365838754</v>
      </c>
      <c r="P249" s="621"/>
      <c r="Q249" s="621"/>
      <c r="R249" s="621"/>
      <c r="S249" s="621"/>
      <c r="T249" s="621"/>
      <c r="U249" s="621"/>
      <c r="V249" s="621"/>
      <c r="W249" s="621"/>
      <c r="X249" s="621"/>
      <c r="Y249" s="621"/>
      <c r="Z249" s="621"/>
    </row>
    <row r="250" spans="1:26" s="496" customFormat="1">
      <c r="A250" s="494" t="s">
        <v>823</v>
      </c>
      <c r="B250" s="349">
        <f t="shared" ref="B250:K250" ca="1" si="109">SUM($C129:$H129)+B217</f>
        <v>108.37725235963609</v>
      </c>
      <c r="C250" s="349">
        <f t="shared" ca="1" si="109"/>
        <v>113.08268504363467</v>
      </c>
      <c r="D250" s="349">
        <f t="shared" ca="1" si="109"/>
        <v>110.63629519850886</v>
      </c>
      <c r="E250" s="349">
        <f t="shared" ca="1" si="109"/>
        <v>114.23582363076008</v>
      </c>
      <c r="F250" s="349">
        <f t="shared" ca="1" si="109"/>
        <v>110.60645990581583</v>
      </c>
      <c r="G250" s="349">
        <f t="shared" ca="1" si="109"/>
        <v>114.59929874733798</v>
      </c>
      <c r="H250" s="349">
        <f t="shared" ca="1" si="109"/>
        <v>104.11444807994224</v>
      </c>
      <c r="I250" s="349">
        <f t="shared" ca="1" si="109"/>
        <v>110.40970604565435</v>
      </c>
      <c r="J250" s="349">
        <f t="shared" ca="1" si="109"/>
        <v>105.58593345836682</v>
      </c>
      <c r="K250" s="348">
        <f t="shared" ca="1" si="109"/>
        <v>117.06831999758708</v>
      </c>
      <c r="P250" s="621"/>
      <c r="Q250" s="621"/>
      <c r="R250" s="621"/>
      <c r="S250" s="621"/>
      <c r="T250" s="621"/>
      <c r="U250" s="621"/>
      <c r="V250" s="621"/>
      <c r="W250" s="621"/>
      <c r="X250" s="621"/>
      <c r="Y250" s="621"/>
      <c r="Z250" s="621"/>
    </row>
    <row r="251" spans="1:26" s="496" customFormat="1">
      <c r="A251" s="794" t="s">
        <v>824</v>
      </c>
      <c r="B251" s="349">
        <f t="shared" ref="B251:K251" ca="1" si="110">SUM($C130:$H130)+B218</f>
        <v>10.950554415388792</v>
      </c>
      <c r="C251" s="349">
        <f t="shared" ca="1" si="110"/>
        <v>11.419846277747135</v>
      </c>
      <c r="D251" s="349">
        <f t="shared" ca="1" si="110"/>
        <v>11.067921111212062</v>
      </c>
      <c r="E251" s="349">
        <f t="shared" ca="1" si="110"/>
        <v>11.562943472899928</v>
      </c>
      <c r="F251" s="349">
        <f t="shared" ca="1" si="110"/>
        <v>11.077003586012712</v>
      </c>
      <c r="G251" s="349">
        <f t="shared" ca="1" si="110"/>
        <v>11.604230726364939</v>
      </c>
      <c r="H251" s="349">
        <f t="shared" ca="1" si="110"/>
        <v>10.510747769056543</v>
      </c>
      <c r="I251" s="349">
        <f t="shared" ca="1" si="110"/>
        <v>11.13781863128218</v>
      </c>
      <c r="J251" s="349">
        <f t="shared" ca="1" si="110"/>
        <v>10.70525607179715</v>
      </c>
      <c r="K251" s="348">
        <f t="shared" ca="1" si="110"/>
        <v>11.982498502574199</v>
      </c>
      <c r="P251" s="621"/>
      <c r="Q251" s="621"/>
      <c r="R251" s="621"/>
      <c r="S251" s="621"/>
      <c r="T251" s="621"/>
      <c r="U251" s="621"/>
      <c r="V251" s="621"/>
      <c r="W251" s="621"/>
      <c r="X251" s="621"/>
      <c r="Y251" s="621"/>
      <c r="Z251" s="621"/>
    </row>
    <row r="252" spans="1:26" s="496" customFormat="1">
      <c r="A252" s="494" t="s">
        <v>825</v>
      </c>
      <c r="B252" s="349">
        <f t="shared" ref="B252:K252" ca="1" si="111">SUM($C131:$H131)+B219</f>
        <v>9.6344800103989172</v>
      </c>
      <c r="C252" s="349">
        <f t="shared" ca="1" si="111"/>
        <v>10.047470279492568</v>
      </c>
      <c r="D252" s="349">
        <f t="shared" ca="1" si="111"/>
        <v>9.7381188209393805</v>
      </c>
      <c r="E252" s="349">
        <f t="shared" ca="1" si="111"/>
        <v>10.173347161082354</v>
      </c>
      <c r="F252" s="349">
        <f t="shared" ca="1" si="111"/>
        <v>9.7460793247340121</v>
      </c>
      <c r="G252" s="349">
        <f t="shared" ca="1" si="111"/>
        <v>10.209675876218268</v>
      </c>
      <c r="H252" s="349">
        <f t="shared" ca="1" si="111"/>
        <v>9.2474895106931356</v>
      </c>
      <c r="I252" s="349">
        <f t="shared" ca="1" si="111"/>
        <v>9.7994032621829099</v>
      </c>
      <c r="J252" s="349">
        <f t="shared" ca="1" si="111"/>
        <v>9.4185401112290545</v>
      </c>
      <c r="K252" s="348">
        <f t="shared" ca="1" si="111"/>
        <v>10.542225421445487</v>
      </c>
      <c r="P252" s="621"/>
      <c r="Q252" s="621"/>
      <c r="R252" s="621"/>
      <c r="S252" s="621"/>
      <c r="T252" s="621"/>
      <c r="U252" s="621"/>
      <c r="V252" s="621"/>
      <c r="W252" s="621"/>
      <c r="X252" s="621"/>
      <c r="Y252" s="621"/>
      <c r="Z252" s="621"/>
    </row>
    <row r="253" spans="1:26" s="496" customFormat="1">
      <c r="A253" s="794" t="s">
        <v>826</v>
      </c>
      <c r="B253" s="349">
        <f t="shared" ref="B253:K253" ca="1" si="112">SUM($C132:$H132)+B220</f>
        <v>81.578624553800083</v>
      </c>
      <c r="C253" s="349">
        <f t="shared" ca="1" si="112"/>
        <v>84.967286805681709</v>
      </c>
      <c r="D253" s="349">
        <f t="shared" ca="1" si="112"/>
        <v>82.408545676714311</v>
      </c>
      <c r="E253" s="349">
        <f t="shared" ca="1" si="112"/>
        <v>85.971503275236415</v>
      </c>
      <c r="F253" s="349">
        <f t="shared" ca="1" si="112"/>
        <v>82.477413939304967</v>
      </c>
      <c r="G253" s="349">
        <f t="shared" ca="1" si="112"/>
        <v>86.262560894065643</v>
      </c>
      <c r="H253" s="349">
        <f t="shared" ca="1" si="112"/>
        <v>78.300194192001186</v>
      </c>
      <c r="I253" s="349">
        <f t="shared" ca="1" si="112"/>
        <v>82.738022303543232</v>
      </c>
      <c r="J253" s="349">
        <f t="shared" ca="1" si="112"/>
        <v>79.724758462302759</v>
      </c>
      <c r="K253" s="348">
        <f t="shared" ca="1" si="112"/>
        <v>89.005736605084095</v>
      </c>
      <c r="P253" s="621"/>
      <c r="Q253" s="621"/>
      <c r="R253" s="621"/>
      <c r="S253" s="621"/>
      <c r="T253" s="621"/>
      <c r="U253" s="621"/>
      <c r="V253" s="621"/>
      <c r="W253" s="621"/>
      <c r="X253" s="621"/>
      <c r="Y253" s="621"/>
      <c r="Z253" s="621"/>
    </row>
    <row r="254" spans="1:26" s="496" customFormat="1">
      <c r="A254" s="494" t="s">
        <v>827</v>
      </c>
      <c r="B254" s="349">
        <f t="shared" ref="B254:K254" ca="1" si="113">SUM($C133:$H133)+B221</f>
        <v>0.51104075397945281</v>
      </c>
      <c r="C254" s="349">
        <f t="shared" ca="1" si="113"/>
        <v>0.53396725720557314</v>
      </c>
      <c r="D254" s="349">
        <f t="shared" ca="1" si="113"/>
        <v>0.51739798394866754</v>
      </c>
      <c r="E254" s="349">
        <f t="shared" ca="1" si="113"/>
        <v>0.54109360279289698</v>
      </c>
      <c r="F254" s="349">
        <f t="shared" ca="1" si="113"/>
        <v>0.51774769362319339</v>
      </c>
      <c r="G254" s="349">
        <f t="shared" ca="1" si="113"/>
        <v>0.5431494605460383</v>
      </c>
      <c r="H254" s="349">
        <f t="shared" ca="1" si="113"/>
        <v>0.49068752925465609</v>
      </c>
      <c r="I254" s="349">
        <f t="shared" ca="1" si="113"/>
        <v>0.52216542964543877</v>
      </c>
      <c r="J254" s="349">
        <f t="shared" ca="1" si="113"/>
        <v>0.49973474081711888</v>
      </c>
      <c r="K254" s="348">
        <f t="shared" ca="1" si="113"/>
        <v>0.56082124040557946</v>
      </c>
      <c r="P254" s="621"/>
      <c r="Q254" s="621"/>
      <c r="R254" s="621"/>
      <c r="S254" s="621"/>
      <c r="T254" s="621"/>
      <c r="U254" s="621"/>
      <c r="V254" s="621"/>
      <c r="W254" s="621"/>
      <c r="X254" s="621"/>
      <c r="Y254" s="621"/>
      <c r="Z254" s="621"/>
    </row>
    <row r="255" spans="1:26" s="496" customFormat="1">
      <c r="A255" s="492" t="s">
        <v>828</v>
      </c>
      <c r="B255" s="505">
        <f t="shared" ref="B255:K255" ca="1" si="114">SUM($C134:$H134)+B222</f>
        <v>2.758799574867087</v>
      </c>
      <c r="C255" s="505">
        <f t="shared" ca="1" si="114"/>
        <v>2.875736104384738</v>
      </c>
      <c r="D255" s="505">
        <f t="shared" ca="1" si="114"/>
        <v>2.7906343504629545</v>
      </c>
      <c r="E255" s="505">
        <f t="shared" ca="1" si="114"/>
        <v>2.9104157123956256</v>
      </c>
      <c r="F255" s="505">
        <f t="shared" ca="1" si="114"/>
        <v>2.7928025628624704</v>
      </c>
      <c r="G255" s="505">
        <f t="shared" ca="1" si="114"/>
        <v>2.9205255258492846</v>
      </c>
      <c r="H255" s="505">
        <f t="shared" ca="1" si="114"/>
        <v>2.64641366488343</v>
      </c>
      <c r="I255" s="505">
        <f t="shared" ca="1" si="114"/>
        <v>2.8013569679353867</v>
      </c>
      <c r="J255" s="505">
        <f t="shared" ca="1" si="114"/>
        <v>2.694862744633558</v>
      </c>
      <c r="K255" s="502">
        <f t="shared" ca="1" si="114"/>
        <v>3.0135311267537541</v>
      </c>
      <c r="P255" s="621"/>
      <c r="Q255" s="621"/>
      <c r="R255" s="621"/>
      <c r="S255" s="621"/>
      <c r="T255" s="621"/>
      <c r="U255" s="621"/>
      <c r="V255" s="621"/>
      <c r="W255" s="621"/>
      <c r="X255" s="621"/>
      <c r="Y255" s="621"/>
      <c r="Z255" s="621"/>
    </row>
    <row r="256" spans="1:26">
      <c r="P256" s="62"/>
      <c r="Q256" s="62"/>
      <c r="R256" s="62"/>
      <c r="S256" s="62"/>
      <c r="T256" s="62"/>
      <c r="U256" s="62"/>
      <c r="V256" s="62"/>
      <c r="W256" s="62"/>
      <c r="X256" s="62"/>
      <c r="Y256" s="62"/>
      <c r="Z256" s="62"/>
    </row>
    <row r="257" spans="16:26">
      <c r="P257" s="439"/>
      <c r="Q257" s="62"/>
      <c r="R257" s="62"/>
      <c r="S257" s="62"/>
      <c r="T257" s="62"/>
      <c r="U257" s="62"/>
      <c r="V257" s="62"/>
      <c r="W257" s="62"/>
      <c r="X257" s="62"/>
      <c r="Y257" s="62"/>
      <c r="Z257" s="62"/>
    </row>
    <row r="258" spans="16:26">
      <c r="P258" s="439"/>
      <c r="Q258" s="62"/>
      <c r="R258" s="62"/>
      <c r="S258" s="62"/>
      <c r="T258" s="62"/>
      <c r="U258" s="62"/>
      <c r="V258" s="62"/>
      <c r="W258" s="62"/>
      <c r="X258" s="62"/>
      <c r="Y258" s="62"/>
      <c r="Z258" s="62"/>
    </row>
    <row r="259" spans="16:26">
      <c r="P259" s="439"/>
      <c r="Q259" s="62"/>
      <c r="R259" s="62"/>
      <c r="S259" s="62"/>
      <c r="T259" s="62"/>
      <c r="U259" s="62"/>
      <c r="V259" s="62"/>
      <c r="W259" s="62"/>
      <c r="X259" s="62"/>
      <c r="Y259" s="62"/>
      <c r="Z259" s="62"/>
    </row>
    <row r="260" spans="16:26">
      <c r="P260" s="439"/>
      <c r="Q260" s="62"/>
      <c r="R260" s="62"/>
      <c r="S260" s="62"/>
      <c r="T260" s="62"/>
      <c r="U260" s="62"/>
      <c r="V260" s="62"/>
      <c r="W260" s="62"/>
      <c r="X260" s="62"/>
      <c r="Y260" s="62"/>
      <c r="Z260" s="62"/>
    </row>
    <row r="261" spans="16:26">
      <c r="P261" s="439"/>
      <c r="Q261" s="62"/>
      <c r="R261" s="62"/>
      <c r="S261" s="62"/>
      <c r="T261" s="62"/>
      <c r="U261" s="62"/>
      <c r="V261" s="62"/>
      <c r="W261" s="62"/>
      <c r="X261" s="62"/>
      <c r="Y261" s="62"/>
      <c r="Z261" s="62"/>
    </row>
    <row r="262" spans="16:26">
      <c r="P262" s="439"/>
      <c r="Q262" s="62"/>
      <c r="R262" s="62"/>
      <c r="S262" s="62"/>
      <c r="T262" s="62"/>
      <c r="U262" s="62"/>
      <c r="V262" s="62"/>
      <c r="W262" s="62"/>
      <c r="X262" s="62"/>
      <c r="Y262" s="62"/>
      <c r="Z262" s="62"/>
    </row>
    <row r="263" spans="16:26">
      <c r="P263" s="439"/>
      <c r="Q263" s="62"/>
      <c r="R263" s="62"/>
      <c r="S263" s="62"/>
      <c r="T263" s="62"/>
      <c r="U263" s="62"/>
      <c r="V263" s="62"/>
      <c r="W263" s="62"/>
      <c r="X263" s="62"/>
      <c r="Y263" s="62"/>
      <c r="Z263" s="62"/>
    </row>
    <row r="264" spans="16:26">
      <c r="P264" s="439"/>
      <c r="Q264" s="62"/>
      <c r="R264" s="62"/>
      <c r="S264" s="62"/>
      <c r="T264" s="62"/>
      <c r="U264" s="62"/>
      <c r="V264" s="62"/>
      <c r="W264" s="62"/>
      <c r="X264" s="62"/>
      <c r="Y264" s="62"/>
      <c r="Z264" s="62"/>
    </row>
    <row r="265" spans="16:26">
      <c r="P265" s="439"/>
      <c r="Q265" s="62"/>
      <c r="R265" s="62"/>
      <c r="S265" s="62"/>
      <c r="T265" s="62"/>
      <c r="U265" s="62"/>
      <c r="V265" s="62"/>
      <c r="W265" s="62"/>
      <c r="X265" s="62"/>
      <c r="Y265" s="62"/>
      <c r="Z265" s="62"/>
    </row>
    <row r="266" spans="16:26">
      <c r="P266" s="439"/>
      <c r="Q266" s="62"/>
      <c r="R266" s="62"/>
      <c r="S266" s="62"/>
      <c r="T266" s="62"/>
      <c r="U266" s="62"/>
      <c r="V266" s="62"/>
      <c r="W266" s="62"/>
      <c r="X266" s="62"/>
      <c r="Y266" s="62"/>
      <c r="Z266" s="62"/>
    </row>
    <row r="267" spans="16:26">
      <c r="P267" s="439"/>
      <c r="Q267" s="62"/>
      <c r="R267" s="62"/>
      <c r="S267" s="62"/>
      <c r="T267" s="62"/>
      <c r="U267" s="62"/>
      <c r="V267" s="62"/>
      <c r="W267" s="62"/>
      <c r="X267" s="62"/>
      <c r="Y267" s="62"/>
      <c r="Z267" s="62"/>
    </row>
    <row r="268" spans="16:26">
      <c r="P268" s="439"/>
      <c r="Q268" s="62"/>
      <c r="R268" s="62"/>
      <c r="S268" s="62"/>
      <c r="T268" s="62"/>
      <c r="U268" s="62"/>
      <c r="V268" s="62"/>
      <c r="W268" s="62"/>
      <c r="X268" s="62"/>
      <c r="Y268" s="62"/>
      <c r="Z268" s="62"/>
    </row>
    <row r="269" spans="16:26">
      <c r="P269" s="439"/>
      <c r="Q269" s="62"/>
      <c r="R269" s="62"/>
      <c r="S269" s="62"/>
      <c r="T269" s="62"/>
      <c r="U269" s="62"/>
      <c r="V269" s="62"/>
      <c r="W269" s="62"/>
      <c r="X269" s="62"/>
      <c r="Y269" s="62"/>
      <c r="Z269" s="62"/>
    </row>
    <row r="270" spans="16:26">
      <c r="P270" s="439"/>
      <c r="Q270" s="62"/>
      <c r="R270" s="62"/>
      <c r="S270" s="62"/>
      <c r="T270" s="62"/>
      <c r="U270" s="62"/>
      <c r="V270" s="62"/>
      <c r="W270" s="62"/>
      <c r="X270" s="62"/>
      <c r="Y270" s="62"/>
      <c r="Z270" s="62"/>
    </row>
    <row r="271" spans="16:26">
      <c r="P271" s="439"/>
      <c r="Q271" s="62"/>
      <c r="R271" s="62"/>
      <c r="S271" s="62"/>
      <c r="T271" s="62"/>
      <c r="U271" s="62"/>
      <c r="V271" s="62"/>
      <c r="W271" s="62"/>
      <c r="X271" s="62"/>
      <c r="Y271" s="62"/>
      <c r="Z271" s="62"/>
    </row>
    <row r="272" spans="16:26">
      <c r="P272" s="439"/>
      <c r="Q272" s="62"/>
      <c r="R272" s="62"/>
      <c r="S272" s="62"/>
      <c r="T272" s="62"/>
      <c r="U272" s="62"/>
      <c r="V272" s="62"/>
      <c r="W272" s="62"/>
      <c r="X272" s="62"/>
      <c r="Y272" s="62"/>
      <c r="Z272" s="62"/>
    </row>
    <row r="273" spans="16:26">
      <c r="P273" s="439"/>
      <c r="Q273" s="62"/>
      <c r="R273" s="62"/>
      <c r="S273" s="62"/>
      <c r="T273" s="62"/>
      <c r="U273" s="62"/>
      <c r="V273" s="62"/>
      <c r="W273" s="62"/>
      <c r="X273" s="62"/>
      <c r="Y273" s="62"/>
      <c r="Z273" s="62"/>
    </row>
    <row r="274" spans="16:26">
      <c r="P274" s="439"/>
      <c r="Q274" s="62"/>
      <c r="R274" s="62"/>
      <c r="S274" s="62"/>
      <c r="T274" s="62"/>
      <c r="U274" s="62"/>
      <c r="V274" s="62"/>
      <c r="W274" s="62"/>
      <c r="X274" s="62"/>
      <c r="Y274" s="62"/>
      <c r="Z274" s="62"/>
    </row>
    <row r="275" spans="16:26">
      <c r="P275" s="439"/>
      <c r="Q275" s="62"/>
      <c r="R275" s="62"/>
      <c r="S275" s="62"/>
      <c r="T275" s="62"/>
      <c r="U275" s="62"/>
      <c r="V275" s="62"/>
      <c r="W275" s="62"/>
      <c r="X275" s="62"/>
      <c r="Y275" s="62"/>
      <c r="Z275" s="62"/>
    </row>
    <row r="276" spans="16:26">
      <c r="P276" s="439"/>
      <c r="Q276" s="62"/>
      <c r="R276" s="62"/>
      <c r="S276" s="62"/>
      <c r="T276" s="62"/>
      <c r="U276" s="62"/>
      <c r="V276" s="62"/>
      <c r="W276" s="62"/>
      <c r="X276" s="62"/>
      <c r="Y276" s="62"/>
      <c r="Z276" s="62"/>
    </row>
    <row r="277" spans="16:26">
      <c r="P277" s="439"/>
      <c r="Q277" s="62"/>
      <c r="R277" s="62"/>
      <c r="S277" s="62"/>
      <c r="T277" s="62"/>
      <c r="U277" s="62"/>
      <c r="V277" s="62"/>
      <c r="W277" s="62"/>
      <c r="X277" s="62"/>
      <c r="Y277" s="62"/>
      <c r="Z277" s="62"/>
    </row>
    <row r="278" spans="16:26">
      <c r="P278" s="439"/>
      <c r="Q278" s="62"/>
      <c r="R278" s="62"/>
      <c r="S278" s="62"/>
      <c r="T278" s="62"/>
      <c r="U278" s="62"/>
      <c r="V278" s="62"/>
      <c r="W278" s="62"/>
      <c r="X278" s="62"/>
      <c r="Y278" s="62"/>
      <c r="Z278" s="62"/>
    </row>
    <row r="279" spans="16:26">
      <c r="P279" s="439"/>
      <c r="Q279" s="62"/>
      <c r="R279" s="62"/>
      <c r="S279" s="62"/>
      <c r="T279" s="62"/>
      <c r="U279" s="62"/>
      <c r="V279" s="62"/>
      <c r="W279" s="62"/>
      <c r="X279" s="62"/>
      <c r="Y279" s="62"/>
      <c r="Z279" s="62"/>
    </row>
  </sheetData>
  <mergeCells count="8">
    <mergeCell ref="B58:C58"/>
    <mergeCell ref="D58:E58"/>
    <mergeCell ref="P58:Q58"/>
    <mergeCell ref="F58:G58"/>
    <mergeCell ref="H58:I58"/>
    <mergeCell ref="J58:K58"/>
    <mergeCell ref="L58:M58"/>
    <mergeCell ref="N58:O58"/>
  </mergeCells>
  <phoneticPr fontId="5" type="noConversion"/>
  <pageMargins left="0.75" right="0.75" top="1" bottom="1" header="0.5" footer="0.5"/>
  <pageSetup orientation="landscape" r:id="rId1"/>
  <headerFooter alignWithMargins="0">
    <oddHeader>&amp;A</oddHeader>
    <oddFooter>Page &amp;P</oddFooter>
  </headerFooter>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1"/>
  <dimension ref="A1:Z117"/>
  <sheetViews>
    <sheetView showGridLines="0" topLeftCell="A56" zoomScale="85" zoomScaleNormal="85" workbookViewId="0">
      <selection activeCell="D89" sqref="D89"/>
    </sheetView>
  </sheetViews>
  <sheetFormatPr defaultColWidth="8.85546875" defaultRowHeight="12.75"/>
  <cols>
    <col min="1" max="1" width="35.140625" customWidth="1"/>
    <col min="2" max="2" width="10.28515625" bestFit="1" customWidth="1"/>
    <col min="3" max="3" width="13.85546875" bestFit="1" customWidth="1"/>
    <col min="4" max="4" width="12.7109375" bestFit="1" customWidth="1"/>
    <col min="5" max="5" width="13.85546875" bestFit="1" customWidth="1"/>
    <col min="7" max="7" width="12.7109375" bestFit="1" customWidth="1"/>
    <col min="8" max="8" width="10.28515625" bestFit="1" customWidth="1"/>
    <col min="9" max="9" width="12.7109375" bestFit="1" customWidth="1"/>
    <col min="10" max="10" width="10.28515625" bestFit="1" customWidth="1"/>
    <col min="11" max="11" width="11.28515625" bestFit="1" customWidth="1"/>
    <col min="12" max="12" width="10.28515625" bestFit="1" customWidth="1"/>
    <col min="13" max="13" width="11.28515625" bestFit="1" customWidth="1"/>
    <col min="14" max="14" width="10.28515625" bestFit="1" customWidth="1"/>
    <col min="15" max="15" width="13.85546875" bestFit="1" customWidth="1"/>
    <col min="16" max="16" width="11.28515625" bestFit="1" customWidth="1"/>
    <col min="17" max="17" width="10.28515625" bestFit="1" customWidth="1"/>
    <col min="23" max="23" width="11.28515625" bestFit="1" customWidth="1"/>
  </cols>
  <sheetData>
    <row r="1" spans="1:26" ht="15.75">
      <c r="A1" s="81" t="s">
        <v>1525</v>
      </c>
      <c r="B1" s="1321"/>
      <c r="C1" s="1321"/>
      <c r="D1" s="1321"/>
      <c r="E1" s="1321"/>
      <c r="F1" s="1321"/>
      <c r="G1" s="1321"/>
      <c r="H1" s="1321"/>
      <c r="I1" s="1321"/>
      <c r="J1" s="1321"/>
      <c r="K1" s="1321"/>
      <c r="L1" s="1321"/>
      <c r="M1" s="1321"/>
      <c r="N1" s="1321"/>
      <c r="O1" s="1321"/>
      <c r="P1" s="1321"/>
      <c r="Q1" s="1321"/>
      <c r="R1" s="1321"/>
      <c r="S1" s="1321"/>
      <c r="T1" s="1321"/>
      <c r="U1" s="1321"/>
      <c r="V1" s="1321"/>
      <c r="W1" s="1321"/>
      <c r="X1" s="1321"/>
      <c r="Y1" s="1321"/>
      <c r="Z1" s="1321"/>
    </row>
    <row r="3" spans="1:26" ht="15">
      <c r="A3" s="120" t="s">
        <v>1526</v>
      </c>
      <c r="B3" s="1321"/>
      <c r="C3" s="1321"/>
      <c r="D3" s="1321"/>
      <c r="E3" s="1321"/>
      <c r="F3" s="1321"/>
      <c r="G3" s="1321"/>
      <c r="H3" s="1321"/>
      <c r="I3" s="1321"/>
      <c r="J3" s="1321"/>
      <c r="K3" s="1321"/>
      <c r="L3" s="1321"/>
      <c r="M3" s="1321"/>
      <c r="N3" s="1321"/>
      <c r="O3" s="1321"/>
      <c r="P3" s="1321"/>
      <c r="Q3" s="1321"/>
      <c r="R3" s="1321"/>
      <c r="S3" s="1321"/>
      <c r="T3" s="1321"/>
      <c r="U3" s="1321"/>
      <c r="V3" s="1321"/>
      <c r="W3" s="1321"/>
      <c r="X3" s="1321"/>
      <c r="Y3" s="1321"/>
      <c r="Z3" s="1321"/>
    </row>
    <row r="4" spans="1:26">
      <c r="A4" s="111" t="s">
        <v>1527</v>
      </c>
      <c r="B4" s="1321"/>
      <c r="C4" s="1321"/>
      <c r="D4" s="1321"/>
      <c r="E4" s="1321"/>
      <c r="F4" s="1321"/>
      <c r="G4" s="1321"/>
      <c r="H4" s="1321"/>
      <c r="I4" s="1321"/>
      <c r="J4" s="1321"/>
      <c r="K4" s="1321"/>
      <c r="L4" s="1321"/>
      <c r="M4" s="1321"/>
      <c r="N4" s="1321"/>
      <c r="O4" s="1321"/>
      <c r="P4" s="1321"/>
      <c r="Q4" s="1321"/>
      <c r="R4" s="1321"/>
      <c r="S4" s="1321"/>
      <c r="T4" s="1321"/>
      <c r="U4" s="1321"/>
      <c r="V4" s="1321"/>
      <c r="W4" s="1321"/>
      <c r="X4" s="1321"/>
      <c r="Y4" s="1321"/>
      <c r="Z4" s="1321"/>
    </row>
    <row r="5" spans="1:26" ht="87.75">
      <c r="A5" s="1499"/>
      <c r="B5" s="1338" t="s">
        <v>1528</v>
      </c>
      <c r="C5" s="1338" t="s">
        <v>1529</v>
      </c>
      <c r="D5" s="1338" t="s">
        <v>1530</v>
      </c>
      <c r="E5" s="1338" t="s">
        <v>1531</v>
      </c>
      <c r="F5" s="1338" t="s">
        <v>1532</v>
      </c>
      <c r="G5" s="1338" t="s">
        <v>1533</v>
      </c>
      <c r="H5" s="1339" t="s">
        <v>1534</v>
      </c>
      <c r="I5" s="1321"/>
      <c r="J5" s="1321"/>
      <c r="K5" s="1321"/>
      <c r="L5" s="1321"/>
      <c r="M5" s="1321"/>
      <c r="N5" s="1321"/>
      <c r="O5" s="1321"/>
      <c r="P5" s="1321"/>
      <c r="Q5" s="1321"/>
      <c r="R5" s="1321"/>
      <c r="S5" s="1321"/>
      <c r="T5" s="1321"/>
      <c r="U5" s="1321"/>
      <c r="V5" s="1321"/>
      <c r="W5" s="1321"/>
      <c r="X5" s="1321"/>
      <c r="Y5" s="1321"/>
      <c r="Z5" s="1321"/>
    </row>
    <row r="6" spans="1:26" ht="15.75">
      <c r="A6" s="191" t="s">
        <v>1535</v>
      </c>
      <c r="B6" s="194">
        <v>5.8</v>
      </c>
      <c r="C6" s="122"/>
      <c r="D6" s="122"/>
      <c r="E6" s="122"/>
      <c r="F6" s="122"/>
      <c r="G6" s="122"/>
      <c r="H6" s="51"/>
      <c r="I6" s="1321"/>
      <c r="J6" s="1321"/>
      <c r="K6" s="1321"/>
      <c r="L6" s="1321"/>
      <c r="M6" s="1321"/>
      <c r="N6" s="1321"/>
      <c r="O6" s="1321"/>
      <c r="P6" s="1321"/>
      <c r="Q6" s="1321"/>
      <c r="R6" s="1321"/>
      <c r="S6" s="1321"/>
      <c r="T6" s="1321"/>
      <c r="U6" s="1321"/>
      <c r="V6" s="1321"/>
      <c r="W6" s="1321"/>
      <c r="X6" s="1321"/>
      <c r="Y6" s="1321"/>
      <c r="Z6" s="1321"/>
    </row>
    <row r="7" spans="1:26">
      <c r="A7" s="191" t="s">
        <v>1536</v>
      </c>
      <c r="B7" s="122"/>
      <c r="C7" s="194">
        <v>0.79</v>
      </c>
      <c r="D7" s="122"/>
      <c r="E7" s="122"/>
      <c r="F7" s="122"/>
      <c r="G7" s="122"/>
      <c r="H7" s="51"/>
      <c r="I7" s="1321"/>
      <c r="J7" s="1321"/>
      <c r="K7" s="1321"/>
      <c r="L7" s="1321"/>
      <c r="M7" s="1321"/>
      <c r="N7" s="1321"/>
      <c r="O7" s="1321"/>
      <c r="P7" s="1321"/>
      <c r="Q7" s="1321"/>
      <c r="R7" s="1321"/>
      <c r="S7" s="1321"/>
      <c r="T7" s="1321"/>
      <c r="U7" s="1321"/>
      <c r="V7" s="1321"/>
      <c r="W7" s="1321"/>
      <c r="X7" s="1321"/>
      <c r="Y7" s="1321"/>
      <c r="Z7" s="1321"/>
    </row>
    <row r="8" spans="1:26">
      <c r="A8" s="191" t="s">
        <v>1537</v>
      </c>
      <c r="B8" s="122"/>
      <c r="C8" s="122"/>
      <c r="D8" s="194">
        <v>0.16</v>
      </c>
      <c r="E8" s="194">
        <v>0.57999999999999996</v>
      </c>
      <c r="F8" s="480"/>
      <c r="G8" s="480"/>
      <c r="H8" s="51"/>
      <c r="I8" s="1321"/>
      <c r="J8" s="1321"/>
      <c r="K8" s="1321"/>
      <c r="L8" s="1321"/>
      <c r="M8" s="1321"/>
      <c r="N8" s="1321"/>
      <c r="O8" s="1321"/>
      <c r="P8" s="1321"/>
      <c r="Q8" s="1321"/>
      <c r="R8" s="1321"/>
      <c r="S8" s="1321"/>
      <c r="T8" s="1321"/>
      <c r="U8" s="1321"/>
      <c r="V8" s="1321"/>
      <c r="W8" s="1321"/>
      <c r="X8" s="1321"/>
      <c r="Y8" s="1321"/>
      <c r="Z8" s="1321"/>
    </row>
    <row r="9" spans="1:26">
      <c r="A9" s="191" t="s">
        <v>1538</v>
      </c>
      <c r="B9" s="122"/>
      <c r="C9" s="122"/>
      <c r="D9" s="122"/>
      <c r="E9" s="122"/>
      <c r="F9" s="1">
        <v>0.91400000000000003</v>
      </c>
      <c r="G9" s="122"/>
      <c r="H9" s="51"/>
      <c r="I9" s="112"/>
      <c r="J9" s="112"/>
      <c r="K9" s="1321"/>
      <c r="L9" s="1321"/>
      <c r="M9" s="1321"/>
      <c r="N9" s="1321"/>
      <c r="O9" s="1321"/>
      <c r="P9" s="1321"/>
      <c r="Q9" s="1321"/>
      <c r="R9" s="1321"/>
      <c r="S9" s="1321"/>
      <c r="T9" s="1321"/>
      <c r="U9" s="1321"/>
      <c r="V9" s="1321"/>
      <c r="W9" s="1321"/>
      <c r="X9" s="1321"/>
      <c r="Y9" s="1321"/>
      <c r="Z9" s="1321"/>
    </row>
    <row r="10" spans="1:26">
      <c r="A10" s="191" t="s">
        <v>1539</v>
      </c>
      <c r="B10" s="122"/>
      <c r="C10" s="122"/>
      <c r="D10" s="122"/>
      <c r="E10" s="122"/>
      <c r="F10" s="1">
        <v>0.33</v>
      </c>
      <c r="G10" s="122"/>
      <c r="H10" s="51"/>
      <c r="I10" s="112"/>
      <c r="J10" s="112"/>
      <c r="K10" s="1321"/>
      <c r="L10" s="1321"/>
      <c r="M10" s="1321"/>
      <c r="N10" s="1321"/>
      <c r="O10" s="1321"/>
      <c r="P10" s="1321"/>
      <c r="Q10" s="1321"/>
      <c r="R10" s="1321"/>
      <c r="S10" s="1321"/>
      <c r="T10" s="1321"/>
      <c r="U10" s="1321"/>
      <c r="V10" s="1321"/>
      <c r="W10" s="1321"/>
      <c r="X10" s="1321"/>
      <c r="Y10" s="1321"/>
      <c r="Z10" s="1321"/>
    </row>
    <row r="11" spans="1:26">
      <c r="A11" s="191" t="s">
        <v>998</v>
      </c>
      <c r="B11" s="122"/>
      <c r="C11" s="122"/>
      <c r="D11" s="122"/>
      <c r="E11" s="122"/>
      <c r="F11" s="122"/>
      <c r="G11" s="122"/>
      <c r="H11" s="51">
        <v>0.56000000000000005</v>
      </c>
      <c r="I11" s="112"/>
      <c r="J11" s="112"/>
      <c r="K11" s="1321"/>
      <c r="L11" s="1321"/>
      <c r="M11" s="1321"/>
      <c r="N11" s="1321"/>
      <c r="O11" s="1321"/>
      <c r="P11" s="1321"/>
      <c r="Q11" s="1321"/>
      <c r="R11" s="1321"/>
      <c r="S11" s="1321"/>
      <c r="T11" s="1321"/>
      <c r="U11" s="1321"/>
      <c r="V11" s="1321"/>
      <c r="W11" s="1321"/>
      <c r="X11" s="1321"/>
      <c r="Y11" s="1321"/>
      <c r="Z11" s="1321"/>
    </row>
    <row r="12" spans="1:26">
      <c r="A12" s="191" t="s">
        <v>1429</v>
      </c>
      <c r="B12" s="122"/>
      <c r="C12" s="122"/>
      <c r="D12" s="122"/>
      <c r="E12" s="122"/>
      <c r="F12" s="122"/>
      <c r="G12" s="122"/>
      <c r="H12" s="51">
        <v>1.1000000000000001</v>
      </c>
      <c r="I12" s="112"/>
      <c r="J12" s="112"/>
      <c r="K12" s="112"/>
      <c r="L12" s="1321"/>
      <c r="M12" s="1321"/>
      <c r="N12" s="1321"/>
      <c r="O12" s="1321"/>
      <c r="P12" s="1321"/>
      <c r="Q12" s="1321"/>
      <c r="R12" s="1321"/>
      <c r="S12" s="1321"/>
      <c r="T12" s="1321"/>
      <c r="U12" s="1321"/>
      <c r="V12" s="1321"/>
      <c r="W12" s="1321"/>
      <c r="X12" s="1321"/>
      <c r="Y12" s="1321"/>
      <c r="Z12" s="1321"/>
    </row>
    <row r="13" spans="1:26">
      <c r="A13" s="192" t="s">
        <v>1540</v>
      </c>
      <c r="B13" s="124"/>
      <c r="C13" s="124"/>
      <c r="D13" s="124"/>
      <c r="E13" s="124"/>
      <c r="F13" s="124"/>
      <c r="G13" s="125">
        <v>1.1000000000000001</v>
      </c>
      <c r="H13" s="254"/>
      <c r="I13" s="112"/>
      <c r="J13" s="112"/>
      <c r="K13" s="112"/>
      <c r="L13" s="1321"/>
      <c r="M13" s="1321"/>
      <c r="N13" s="1321"/>
      <c r="O13" s="1321"/>
      <c r="P13" s="1321"/>
      <c r="Q13" s="1321"/>
      <c r="R13" s="1321"/>
      <c r="S13" s="1321"/>
      <c r="T13" s="1321"/>
      <c r="U13" s="1321"/>
      <c r="V13" s="1321"/>
      <c r="W13" s="1321"/>
      <c r="X13" s="1321"/>
      <c r="Y13" s="1321"/>
      <c r="Z13" s="1321"/>
    </row>
    <row r="14" spans="1:26">
      <c r="A14" s="8"/>
      <c r="B14" s="1125"/>
      <c r="C14" s="1125"/>
      <c r="D14" s="1125"/>
      <c r="E14" s="1125"/>
      <c r="F14" s="1125"/>
      <c r="G14" s="1125"/>
      <c r="H14" s="1125"/>
      <c r="I14" s="1125"/>
      <c r="J14" s="112"/>
      <c r="K14" s="112"/>
      <c r="L14" s="112"/>
      <c r="M14" s="112"/>
      <c r="N14" s="112"/>
      <c r="O14" s="112"/>
      <c r="P14" s="112"/>
      <c r="Q14" s="112"/>
      <c r="R14" s="112"/>
      <c r="S14" s="112"/>
      <c r="T14" s="112"/>
      <c r="U14" s="112"/>
      <c r="V14" s="112"/>
      <c r="W14" s="112"/>
      <c r="X14" s="112"/>
      <c r="Y14" s="112"/>
      <c r="Z14" s="1321"/>
    </row>
    <row r="15" spans="1:26" s="1321" customFormat="1">
      <c r="A15" s="363" t="s">
        <v>1541</v>
      </c>
      <c r="B15" s="64"/>
      <c r="C15" s="64"/>
      <c r="D15" s="64"/>
      <c r="E15" s="64"/>
      <c r="F15" s="363"/>
      <c r="G15" s="363"/>
      <c r="H15" s="363"/>
      <c r="I15" s="363"/>
      <c r="J15" s="112"/>
      <c r="K15" s="112"/>
      <c r="L15" s="112"/>
      <c r="M15" s="112"/>
      <c r="N15" s="112"/>
      <c r="O15" s="112"/>
      <c r="P15" s="112"/>
      <c r="Q15" s="112"/>
      <c r="R15" s="112"/>
      <c r="S15" s="112"/>
      <c r="T15" s="112"/>
      <c r="U15" s="112"/>
      <c r="V15" s="112"/>
      <c r="W15" s="112"/>
      <c r="X15" s="112"/>
      <c r="Y15" s="112"/>
    </row>
    <row r="16" spans="1:26" s="1321" customFormat="1">
      <c r="A16" s="393"/>
      <c r="B16" s="1329" t="s">
        <v>1052</v>
      </c>
      <c r="C16" s="1710" t="s">
        <v>953</v>
      </c>
      <c r="D16" s="1710" t="s">
        <v>949</v>
      </c>
      <c r="E16" s="1710" t="s">
        <v>1447</v>
      </c>
      <c r="F16" s="1710" t="s">
        <v>1448</v>
      </c>
      <c r="G16" s="1710" t="s">
        <v>442</v>
      </c>
      <c r="H16" s="1710" t="s">
        <v>445</v>
      </c>
      <c r="I16" s="1330" t="s">
        <v>1053</v>
      </c>
      <c r="J16" s="112"/>
      <c r="K16" s="112"/>
      <c r="L16" s="112"/>
      <c r="M16" s="112"/>
      <c r="N16" s="112"/>
      <c r="O16" s="112"/>
      <c r="P16" s="112"/>
      <c r="Q16" s="112"/>
      <c r="R16" s="112"/>
      <c r="S16" s="112"/>
      <c r="T16" s="112"/>
      <c r="U16" s="112"/>
      <c r="V16" s="112"/>
      <c r="W16" s="112"/>
      <c r="X16" s="112"/>
      <c r="Y16" s="112"/>
    </row>
    <row r="17" spans="1:25" s="1321" customFormat="1">
      <c r="A17" s="897" t="s">
        <v>1054</v>
      </c>
      <c r="B17" s="1331">
        <v>1</v>
      </c>
      <c r="C17" s="1236">
        <v>0</v>
      </c>
      <c r="D17" s="1236">
        <v>0</v>
      </c>
      <c r="E17" s="1236">
        <v>0</v>
      </c>
      <c r="F17" s="1236">
        <v>0</v>
      </c>
      <c r="G17" s="1236">
        <v>0</v>
      </c>
      <c r="H17" s="1236">
        <v>0</v>
      </c>
      <c r="I17" s="1328">
        <f>1-SUM(B17:H17)</f>
        <v>0</v>
      </c>
      <c r="J17" s="112"/>
      <c r="K17" s="112"/>
      <c r="L17" s="112"/>
      <c r="M17" s="112"/>
      <c r="N17" s="112"/>
      <c r="O17" s="112"/>
      <c r="P17" s="112"/>
      <c r="Q17" s="112"/>
      <c r="R17" s="112"/>
      <c r="S17" s="112"/>
      <c r="T17" s="112"/>
      <c r="U17" s="112"/>
      <c r="V17" s="112"/>
      <c r="W17" s="112"/>
      <c r="X17" s="112"/>
      <c r="Y17" s="112"/>
    </row>
    <row r="18" spans="1:25" s="1321" customFormat="1">
      <c r="B18" s="112"/>
      <c r="C18" s="112"/>
      <c r="D18" s="112"/>
      <c r="E18" s="112"/>
      <c r="F18" s="112"/>
      <c r="G18" s="112"/>
      <c r="H18" s="112"/>
      <c r="I18" s="112"/>
      <c r="J18" s="112"/>
      <c r="K18" s="112"/>
      <c r="L18" s="112"/>
      <c r="M18" s="112"/>
      <c r="N18" s="112"/>
      <c r="O18" s="112"/>
      <c r="P18" s="112"/>
      <c r="Q18" s="112"/>
      <c r="R18" s="112"/>
      <c r="S18" s="112"/>
      <c r="T18" s="112"/>
      <c r="U18" s="112"/>
      <c r="V18" s="112"/>
      <c r="W18" s="112"/>
      <c r="X18" s="112"/>
      <c r="Y18" s="112"/>
    </row>
    <row r="19" spans="1:25" ht="15">
      <c r="A19" s="134" t="s">
        <v>933</v>
      </c>
      <c r="B19" s="1321"/>
      <c r="C19" s="1321"/>
      <c r="D19" s="1321"/>
      <c r="E19" s="1321"/>
      <c r="F19" s="1321"/>
      <c r="G19" s="1321"/>
      <c r="H19" s="1321"/>
      <c r="I19" s="1321"/>
      <c r="J19" s="1321"/>
      <c r="K19" s="1321"/>
      <c r="L19" s="1321"/>
      <c r="M19" s="1321"/>
      <c r="N19" s="1321"/>
      <c r="O19" s="1321"/>
      <c r="P19" s="1321"/>
      <c r="Q19" s="1321"/>
      <c r="R19" s="1321"/>
      <c r="S19" s="1321"/>
      <c r="T19" s="1321"/>
      <c r="U19" s="1321"/>
      <c r="V19" s="1321"/>
      <c r="W19" s="1321"/>
      <c r="X19" s="1321"/>
      <c r="Y19" s="1321"/>
    </row>
    <row r="20" spans="1:25" ht="60.75">
      <c r="A20" s="1299"/>
      <c r="B20" s="1338" t="s">
        <v>1410</v>
      </c>
      <c r="C20" s="1338" t="s">
        <v>1411</v>
      </c>
      <c r="D20" s="1338" t="s">
        <v>1542</v>
      </c>
      <c r="E20" s="1338" t="s">
        <v>1543</v>
      </c>
      <c r="F20" s="1338" t="s">
        <v>1412</v>
      </c>
      <c r="G20" s="1338" t="s">
        <v>1413</v>
      </c>
      <c r="H20" s="1338" t="s">
        <v>1532</v>
      </c>
      <c r="I20" s="1339" t="s">
        <v>1544</v>
      </c>
      <c r="J20" s="1339" t="s">
        <v>1538</v>
      </c>
      <c r="K20" s="1339" t="s">
        <v>1545</v>
      </c>
      <c r="L20" s="1321"/>
      <c r="M20" s="1321"/>
      <c r="N20" s="1321"/>
      <c r="O20" s="1321"/>
      <c r="P20" s="1321"/>
      <c r="Q20" s="1321"/>
      <c r="R20" s="1321"/>
      <c r="S20" s="1321"/>
      <c r="T20" s="1321"/>
      <c r="U20" s="1321"/>
      <c r="V20" s="1321"/>
      <c r="W20" s="1321"/>
      <c r="X20" s="1321"/>
      <c r="Y20" s="1321"/>
    </row>
    <row r="21" spans="1:25">
      <c r="A21" s="59" t="s">
        <v>769</v>
      </c>
      <c r="B21" s="127">
        <v>1</v>
      </c>
      <c r="C21" s="127">
        <v>1</v>
      </c>
      <c r="D21" s="127">
        <v>8.0899999999999972E-2</v>
      </c>
      <c r="E21" s="127">
        <v>1</v>
      </c>
      <c r="F21" s="127">
        <v>1</v>
      </c>
      <c r="G21" s="127">
        <v>1</v>
      </c>
      <c r="H21" s="127">
        <v>1</v>
      </c>
      <c r="I21" s="128">
        <v>1</v>
      </c>
      <c r="J21" s="128">
        <v>1</v>
      </c>
      <c r="K21" s="128">
        <v>1</v>
      </c>
      <c r="L21" s="1321"/>
      <c r="M21" s="1321"/>
      <c r="N21" s="1321"/>
      <c r="O21" s="1321"/>
      <c r="P21" s="1321"/>
      <c r="Q21" s="1321"/>
      <c r="R21" s="1321"/>
      <c r="S21" s="1321"/>
      <c r="T21" s="1321"/>
      <c r="U21" s="1321"/>
      <c r="V21" s="1321"/>
      <c r="W21" s="1321"/>
      <c r="X21" s="1321"/>
      <c r="Y21" s="1321"/>
    </row>
    <row r="22" spans="1:25">
      <c r="A22" s="59" t="s">
        <v>1546</v>
      </c>
      <c r="B22" s="127">
        <f t="shared" ref="B22:I22" si="0">1-B21</f>
        <v>0</v>
      </c>
      <c r="C22" s="127">
        <f t="shared" si="0"/>
        <v>0</v>
      </c>
      <c r="D22" s="127">
        <f t="shared" si="0"/>
        <v>0.91910000000000003</v>
      </c>
      <c r="E22" s="127">
        <f t="shared" si="0"/>
        <v>0</v>
      </c>
      <c r="F22" s="127">
        <f t="shared" si="0"/>
        <v>0</v>
      </c>
      <c r="G22" s="127">
        <f t="shared" si="0"/>
        <v>0</v>
      </c>
      <c r="H22" s="127">
        <f t="shared" si="0"/>
        <v>0</v>
      </c>
      <c r="I22" s="128">
        <f t="shared" si="0"/>
        <v>0</v>
      </c>
      <c r="J22" s="128">
        <f>1-J21</f>
        <v>0</v>
      </c>
      <c r="K22" s="128">
        <f>1-K21</f>
        <v>0</v>
      </c>
      <c r="L22" s="1321"/>
      <c r="M22" s="1321"/>
      <c r="N22" s="1321"/>
      <c r="O22" s="1321"/>
      <c r="P22" s="1321"/>
      <c r="Q22" s="1321"/>
      <c r="R22" s="1321"/>
      <c r="S22" s="1321"/>
      <c r="T22" s="1321"/>
      <c r="U22" s="1321"/>
      <c r="V22" s="1321"/>
      <c r="W22" s="1321"/>
      <c r="X22" s="1321"/>
      <c r="Y22" s="1321"/>
    </row>
    <row r="23" spans="1:25">
      <c r="A23" s="58" t="s">
        <v>1547</v>
      </c>
      <c r="B23" s="179">
        <v>0</v>
      </c>
      <c r="C23" s="179">
        <v>0</v>
      </c>
      <c r="D23" s="179">
        <v>0</v>
      </c>
      <c r="E23" s="179">
        <v>0</v>
      </c>
      <c r="F23" s="179">
        <v>0</v>
      </c>
      <c r="G23" s="179">
        <v>0</v>
      </c>
      <c r="H23" s="179">
        <v>0</v>
      </c>
      <c r="I23" s="180">
        <v>0</v>
      </c>
      <c r="J23" s="180">
        <v>0</v>
      </c>
      <c r="K23" s="180">
        <v>0</v>
      </c>
      <c r="L23" s="1321"/>
      <c r="M23" s="1321"/>
      <c r="N23" s="1321"/>
      <c r="O23" s="1321"/>
      <c r="P23" s="1321"/>
      <c r="Q23" s="1321"/>
      <c r="R23" s="1321"/>
      <c r="S23" s="1321"/>
      <c r="T23" s="1321"/>
      <c r="U23" s="1321"/>
      <c r="V23" s="1321"/>
      <c r="W23" s="1321"/>
      <c r="X23" s="1321"/>
      <c r="Y23" s="1321"/>
    </row>
    <row r="24" spans="1:25">
      <c r="A24" s="59" t="s">
        <v>1214</v>
      </c>
      <c r="B24" s="127">
        <v>0</v>
      </c>
      <c r="C24" s="127">
        <v>0</v>
      </c>
      <c r="D24" s="127">
        <v>0</v>
      </c>
      <c r="E24" s="127">
        <v>0</v>
      </c>
      <c r="F24" s="127">
        <v>0</v>
      </c>
      <c r="G24" s="127">
        <v>0</v>
      </c>
      <c r="H24" s="127">
        <v>0</v>
      </c>
      <c r="I24" s="128">
        <v>0</v>
      </c>
      <c r="J24" s="128">
        <v>0</v>
      </c>
      <c r="K24" s="128">
        <v>0</v>
      </c>
      <c r="L24" s="1321"/>
      <c r="M24" s="1321"/>
      <c r="N24" s="1321"/>
      <c r="O24" s="1321"/>
      <c r="P24" s="1321"/>
      <c r="Q24" s="1321"/>
      <c r="R24" s="1321"/>
      <c r="S24" s="1321"/>
      <c r="T24" s="1321"/>
      <c r="U24" s="1321"/>
      <c r="V24" s="1321"/>
      <c r="W24" s="1321"/>
      <c r="X24" s="1321"/>
      <c r="Y24" s="1321"/>
    </row>
    <row r="25" spans="1:25">
      <c r="A25" s="118" t="s">
        <v>1548</v>
      </c>
      <c r="B25" s="129">
        <f t="shared" ref="B25:I25" si="1">1-B23-B24</f>
        <v>1</v>
      </c>
      <c r="C25" s="129">
        <f t="shared" si="1"/>
        <v>1</v>
      </c>
      <c r="D25" s="129">
        <f t="shared" si="1"/>
        <v>1</v>
      </c>
      <c r="E25" s="129">
        <f t="shared" si="1"/>
        <v>1</v>
      </c>
      <c r="F25" s="129">
        <f t="shared" si="1"/>
        <v>1</v>
      </c>
      <c r="G25" s="129">
        <f t="shared" si="1"/>
        <v>1</v>
      </c>
      <c r="H25" s="129">
        <f t="shared" si="1"/>
        <v>1</v>
      </c>
      <c r="I25" s="130">
        <f t="shared" si="1"/>
        <v>1</v>
      </c>
      <c r="J25" s="130">
        <f>1-J23-J24</f>
        <v>1</v>
      </c>
      <c r="K25" s="130">
        <f>1-K23-K24</f>
        <v>1</v>
      </c>
      <c r="L25" s="1321"/>
      <c r="M25" s="1321"/>
      <c r="N25" s="1321"/>
      <c r="O25" s="1321"/>
      <c r="P25" s="1321"/>
      <c r="Q25" s="1321"/>
      <c r="R25" s="1321"/>
      <c r="S25" s="1321"/>
      <c r="T25" s="1321"/>
      <c r="U25" s="1321"/>
      <c r="V25" s="1321"/>
      <c r="W25" s="1321"/>
      <c r="X25" s="1321"/>
      <c r="Y25" s="1321"/>
    </row>
    <row r="26" spans="1:25">
      <c r="A26" s="59" t="s">
        <v>1549</v>
      </c>
      <c r="B26" s="127">
        <v>1</v>
      </c>
      <c r="C26" s="127">
        <v>1</v>
      </c>
      <c r="D26" s="127">
        <v>1</v>
      </c>
      <c r="E26" s="127">
        <v>1</v>
      </c>
      <c r="F26" s="127">
        <v>1</v>
      </c>
      <c r="G26" s="127">
        <v>1</v>
      </c>
      <c r="H26" s="127">
        <v>1</v>
      </c>
      <c r="I26" s="128">
        <v>1</v>
      </c>
      <c r="J26" s="128">
        <v>1</v>
      </c>
      <c r="K26" s="128">
        <v>1</v>
      </c>
      <c r="L26" s="1321"/>
      <c r="M26" s="1321"/>
      <c r="N26" s="1321"/>
      <c r="O26" s="1321"/>
      <c r="P26" s="1321"/>
      <c r="Q26" s="1321"/>
      <c r="R26" s="1321"/>
      <c r="S26" s="1321"/>
      <c r="T26" s="1321"/>
      <c r="U26" s="1321"/>
      <c r="V26" s="1321"/>
      <c r="W26" s="1321"/>
      <c r="X26" s="1321"/>
      <c r="Y26" s="1321"/>
    </row>
    <row r="27" spans="1:25">
      <c r="A27" s="1299" t="s">
        <v>1550</v>
      </c>
      <c r="B27" s="1340">
        <v>1</v>
      </c>
      <c r="C27" s="1340">
        <v>1</v>
      </c>
      <c r="D27" s="1340">
        <v>1</v>
      </c>
      <c r="E27" s="1340">
        <v>1</v>
      </c>
      <c r="F27" s="1340">
        <v>1</v>
      </c>
      <c r="G27" s="1340">
        <v>1</v>
      </c>
      <c r="H27" s="1340">
        <v>1</v>
      </c>
      <c r="I27" s="1341">
        <v>1</v>
      </c>
      <c r="J27" s="1341">
        <v>1</v>
      </c>
      <c r="K27" s="1341">
        <v>1</v>
      </c>
      <c r="L27" s="1321"/>
      <c r="M27" s="1321"/>
      <c r="N27" s="1321"/>
      <c r="O27" s="1321"/>
      <c r="P27" s="1321"/>
      <c r="Q27" s="1321"/>
      <c r="R27" s="1321"/>
      <c r="S27" s="1321"/>
      <c r="T27" s="1321"/>
      <c r="U27" s="1321"/>
      <c r="V27" s="1321"/>
      <c r="W27" s="1321"/>
      <c r="X27" s="1321"/>
      <c r="Y27" s="1321"/>
    </row>
    <row r="28" spans="1:25">
      <c r="A28" s="59" t="s">
        <v>1551</v>
      </c>
      <c r="B28" s="127">
        <v>1</v>
      </c>
      <c r="C28" s="127">
        <v>1</v>
      </c>
      <c r="D28" s="127">
        <v>8.72E-2</v>
      </c>
      <c r="E28" s="127">
        <v>1</v>
      </c>
      <c r="F28" s="127">
        <v>1</v>
      </c>
      <c r="G28" s="127">
        <v>1</v>
      </c>
      <c r="H28" s="127">
        <v>1</v>
      </c>
      <c r="I28" s="128">
        <v>1</v>
      </c>
      <c r="J28" s="128">
        <v>1</v>
      </c>
      <c r="K28" s="128">
        <v>1</v>
      </c>
      <c r="L28" s="1321"/>
      <c r="M28" s="1321"/>
      <c r="N28" s="1321"/>
      <c r="O28" s="1321"/>
      <c r="P28" s="1321"/>
      <c r="Q28" s="1321"/>
      <c r="R28" s="1321"/>
      <c r="S28" s="1321"/>
      <c r="T28" s="1321"/>
      <c r="U28" s="1321"/>
      <c r="V28" s="1321"/>
      <c r="W28" s="1321"/>
      <c r="X28" s="1321"/>
      <c r="Y28" s="1321"/>
    </row>
    <row r="29" spans="1:25">
      <c r="A29" s="59" t="s">
        <v>1042</v>
      </c>
      <c r="B29" s="127">
        <v>0</v>
      </c>
      <c r="C29" s="127">
        <v>0</v>
      </c>
      <c r="D29" s="127">
        <v>0</v>
      </c>
      <c r="E29" s="127">
        <v>0</v>
      </c>
      <c r="F29" s="127">
        <v>0</v>
      </c>
      <c r="G29" s="127">
        <v>0</v>
      </c>
      <c r="H29" s="127">
        <v>0</v>
      </c>
      <c r="I29" s="128">
        <v>0</v>
      </c>
      <c r="J29" s="128">
        <v>0</v>
      </c>
      <c r="K29" s="128">
        <v>0</v>
      </c>
      <c r="L29" s="1321"/>
      <c r="M29" s="1321"/>
      <c r="N29" s="1321"/>
      <c r="O29" s="1321"/>
      <c r="P29" s="1321"/>
      <c r="Q29" s="1321"/>
      <c r="R29" s="1321"/>
      <c r="S29" s="1321"/>
      <c r="T29" s="1321"/>
      <c r="U29" s="1321"/>
      <c r="V29" s="1321"/>
      <c r="W29" s="1321"/>
      <c r="X29" s="1321"/>
      <c r="Y29" s="1321"/>
    </row>
    <row r="30" spans="1:25">
      <c r="A30" s="59" t="s">
        <v>1552</v>
      </c>
      <c r="B30" s="127">
        <v>0</v>
      </c>
      <c r="C30" s="127">
        <v>0</v>
      </c>
      <c r="D30" s="127">
        <v>0</v>
      </c>
      <c r="E30" s="127">
        <v>0</v>
      </c>
      <c r="F30" s="127">
        <v>0</v>
      </c>
      <c r="G30" s="127">
        <v>0</v>
      </c>
      <c r="H30" s="127">
        <v>0</v>
      </c>
      <c r="I30" s="128">
        <v>0</v>
      </c>
      <c r="J30" s="128">
        <v>0</v>
      </c>
      <c r="K30" s="128">
        <v>0</v>
      </c>
      <c r="L30" s="1321"/>
      <c r="M30" s="1321"/>
      <c r="N30" s="1321"/>
      <c r="O30" s="1321"/>
      <c r="P30" s="1321"/>
      <c r="Q30" s="1321"/>
      <c r="R30" s="1321"/>
      <c r="S30" s="1321"/>
      <c r="T30" s="1321"/>
      <c r="U30" s="1321"/>
      <c r="V30" s="1321"/>
      <c r="W30" s="1321"/>
      <c r="X30" s="1321"/>
      <c r="Y30" s="1321"/>
    </row>
    <row r="31" spans="1:25">
      <c r="A31" s="59" t="s">
        <v>1553</v>
      </c>
      <c r="B31" s="127">
        <v>0</v>
      </c>
      <c r="C31" s="127">
        <v>0</v>
      </c>
      <c r="D31" s="127">
        <v>0.91279999999999994</v>
      </c>
      <c r="E31" s="127">
        <v>0</v>
      </c>
      <c r="F31" s="127">
        <v>0</v>
      </c>
      <c r="G31" s="127">
        <v>0</v>
      </c>
      <c r="H31" s="127">
        <v>0</v>
      </c>
      <c r="I31" s="128">
        <v>0</v>
      </c>
      <c r="J31" s="128">
        <v>0</v>
      </c>
      <c r="K31" s="128">
        <v>0</v>
      </c>
      <c r="L31" s="1321"/>
      <c r="M31" s="1321"/>
      <c r="N31" s="1321"/>
      <c r="O31" s="1321"/>
      <c r="P31" s="1321"/>
      <c r="Q31" s="1321"/>
      <c r="R31" s="1321"/>
      <c r="S31" s="1321"/>
      <c r="T31" s="1321"/>
      <c r="U31" s="1321"/>
      <c r="V31" s="1321"/>
      <c r="W31" s="1321"/>
      <c r="X31" s="1321"/>
      <c r="Y31" s="1321"/>
    </row>
    <row r="32" spans="1:25">
      <c r="A32" s="59" t="s">
        <v>1554</v>
      </c>
      <c r="B32" s="127">
        <v>0</v>
      </c>
      <c r="C32" s="127">
        <v>0</v>
      </c>
      <c r="D32" s="127">
        <v>0</v>
      </c>
      <c r="E32" s="127">
        <v>0</v>
      </c>
      <c r="F32" s="127">
        <v>0</v>
      </c>
      <c r="G32" s="127">
        <v>0</v>
      </c>
      <c r="H32" s="127">
        <v>0</v>
      </c>
      <c r="I32" s="128">
        <v>0</v>
      </c>
      <c r="J32" s="128">
        <v>0</v>
      </c>
      <c r="K32" s="128">
        <v>0</v>
      </c>
      <c r="L32" s="1321"/>
      <c r="M32" s="1321"/>
      <c r="N32" s="1321"/>
      <c r="O32" s="1321"/>
      <c r="P32" s="1321"/>
      <c r="Q32" s="1321"/>
      <c r="R32" s="1321"/>
      <c r="S32" s="1321"/>
      <c r="T32" s="1321"/>
      <c r="U32" s="1321"/>
      <c r="V32" s="1321"/>
      <c r="W32" s="1321"/>
      <c r="X32" s="1321"/>
      <c r="Y32" s="1321"/>
    </row>
    <row r="33" spans="1:25">
      <c r="A33" s="59" t="s">
        <v>1555</v>
      </c>
      <c r="B33" s="127">
        <f t="shared" ref="B33:I33" si="2">1-SUM(B28:B32)</f>
        <v>0</v>
      </c>
      <c r="C33" s="127">
        <f t="shared" si="2"/>
        <v>0</v>
      </c>
      <c r="D33" s="127">
        <f t="shared" si="2"/>
        <v>0</v>
      </c>
      <c r="E33" s="127">
        <f t="shared" si="2"/>
        <v>0</v>
      </c>
      <c r="F33" s="127">
        <f t="shared" si="2"/>
        <v>0</v>
      </c>
      <c r="G33" s="127">
        <f t="shared" si="2"/>
        <v>0</v>
      </c>
      <c r="H33" s="127">
        <f t="shared" si="2"/>
        <v>0</v>
      </c>
      <c r="I33" s="128">
        <f t="shared" si="2"/>
        <v>0</v>
      </c>
      <c r="J33" s="128">
        <f>1-SUM(J28:J32)</f>
        <v>0</v>
      </c>
      <c r="K33" s="128">
        <f>1-SUM(K28:K32)</f>
        <v>0</v>
      </c>
      <c r="L33" s="1321"/>
      <c r="M33" s="1321"/>
      <c r="N33" s="1321"/>
      <c r="O33" s="1321"/>
      <c r="P33" s="1321"/>
      <c r="Q33" s="1321"/>
      <c r="R33" s="1321"/>
      <c r="S33" s="1321"/>
      <c r="T33" s="1321"/>
      <c r="U33" s="1321"/>
      <c r="V33" s="1321"/>
      <c r="W33" s="1321"/>
      <c r="X33" s="1321"/>
      <c r="Y33" s="1321"/>
    </row>
    <row r="34" spans="1:25">
      <c r="A34" s="58" t="s">
        <v>773</v>
      </c>
      <c r="B34" s="179">
        <v>1</v>
      </c>
      <c r="C34" s="179">
        <v>1</v>
      </c>
      <c r="D34" s="179">
        <v>1</v>
      </c>
      <c r="E34" s="179">
        <v>1</v>
      </c>
      <c r="F34" s="179">
        <v>1</v>
      </c>
      <c r="G34" s="179">
        <v>1</v>
      </c>
      <c r="H34" s="179">
        <v>1</v>
      </c>
      <c r="I34" s="180">
        <v>1</v>
      </c>
      <c r="J34" s="180">
        <v>1</v>
      </c>
      <c r="K34" s="180">
        <v>1</v>
      </c>
      <c r="L34" s="1321"/>
      <c r="M34" s="1321"/>
      <c r="N34" s="1321"/>
      <c r="O34" s="1321"/>
      <c r="P34" s="1321"/>
      <c r="Q34" s="1321"/>
      <c r="R34" s="1321"/>
      <c r="S34" s="1321"/>
      <c r="T34" s="1321"/>
      <c r="U34" s="1321"/>
      <c r="V34" s="1321"/>
      <c r="W34" s="1321"/>
      <c r="X34" s="1321"/>
      <c r="Y34" s="1321"/>
    </row>
    <row r="35" spans="1:25">
      <c r="A35" s="118" t="s">
        <v>1556</v>
      </c>
      <c r="B35" s="129">
        <f t="shared" ref="B35:I35" si="3">1-B34</f>
        <v>0</v>
      </c>
      <c r="C35" s="129">
        <f t="shared" si="3"/>
        <v>0</v>
      </c>
      <c r="D35" s="129">
        <f t="shared" si="3"/>
        <v>0</v>
      </c>
      <c r="E35" s="129">
        <f t="shared" si="3"/>
        <v>0</v>
      </c>
      <c r="F35" s="129">
        <f t="shared" si="3"/>
        <v>0</v>
      </c>
      <c r="G35" s="129">
        <f t="shared" si="3"/>
        <v>0</v>
      </c>
      <c r="H35" s="129">
        <f t="shared" si="3"/>
        <v>0</v>
      </c>
      <c r="I35" s="130">
        <f t="shared" si="3"/>
        <v>0</v>
      </c>
      <c r="J35" s="130">
        <f>1-J34</f>
        <v>0</v>
      </c>
      <c r="K35" s="130">
        <f>1-K34</f>
        <v>0</v>
      </c>
      <c r="L35" s="1321"/>
      <c r="M35" s="1321"/>
      <c r="N35" s="1321"/>
      <c r="O35" s="1321"/>
      <c r="P35" s="1321"/>
      <c r="Q35" s="1321"/>
      <c r="R35" s="1321"/>
      <c r="S35" s="1321"/>
      <c r="T35" s="1321"/>
      <c r="U35" s="1321"/>
      <c r="V35" s="1321"/>
      <c r="W35" s="1321"/>
      <c r="X35" s="1321"/>
      <c r="Y35" s="1321"/>
    </row>
    <row r="37" spans="1:25" ht="15">
      <c r="A37" s="134" t="s">
        <v>784</v>
      </c>
      <c r="B37" s="1321"/>
      <c r="C37" s="1321"/>
      <c r="D37" s="1321"/>
      <c r="E37" s="1321"/>
      <c r="F37" s="1321"/>
      <c r="G37" s="1321"/>
      <c r="H37" s="1321"/>
      <c r="I37" s="1321"/>
      <c r="J37" s="1321"/>
      <c r="K37" s="1321"/>
      <c r="L37" s="1321"/>
      <c r="M37" s="1321"/>
      <c r="N37" s="1321"/>
      <c r="O37" s="1321"/>
      <c r="P37" s="1321"/>
      <c r="Q37" s="1321"/>
      <c r="R37" s="1321"/>
      <c r="S37" s="1321"/>
      <c r="T37" s="1321"/>
      <c r="U37" s="1321"/>
      <c r="V37" s="1321"/>
      <c r="W37" s="1321"/>
      <c r="X37" s="1321"/>
      <c r="Y37" s="1321"/>
    </row>
    <row r="38" spans="1:25" s="7" customFormat="1" ht="25.5">
      <c r="A38" s="259"/>
      <c r="B38" s="1452" t="s">
        <v>1410</v>
      </c>
      <c r="C38" s="1453"/>
      <c r="D38" s="1454"/>
      <c r="E38" s="1452" t="s">
        <v>1557</v>
      </c>
      <c r="F38" s="1453"/>
      <c r="G38" s="1454"/>
      <c r="H38" s="1452" t="s">
        <v>1412</v>
      </c>
      <c r="I38" s="1453"/>
      <c r="J38" s="1454"/>
      <c r="K38" s="1452" t="s">
        <v>1413</v>
      </c>
      <c r="L38" s="1453"/>
      <c r="M38" s="1454"/>
      <c r="N38" s="1452" t="s">
        <v>1558</v>
      </c>
      <c r="O38" s="1453"/>
      <c r="P38" s="1454"/>
      <c r="Q38" s="1452" t="s">
        <v>1544</v>
      </c>
      <c r="R38" s="1453"/>
      <c r="S38" s="1454"/>
      <c r="T38" s="1452" t="s">
        <v>1538</v>
      </c>
      <c r="U38" s="1453"/>
      <c r="V38" s="1454"/>
      <c r="W38" s="1452" t="s">
        <v>1545</v>
      </c>
      <c r="X38" s="1453"/>
      <c r="Y38" s="1454"/>
    </row>
    <row r="39" spans="1:25" s="7" customFormat="1" ht="81" customHeight="1">
      <c r="A39" s="260"/>
      <c r="B39" s="269" t="s">
        <v>785</v>
      </c>
      <c r="C39" s="255" t="s">
        <v>786</v>
      </c>
      <c r="D39" s="261" t="s">
        <v>1057</v>
      </c>
      <c r="E39" s="269" t="s">
        <v>785</v>
      </c>
      <c r="F39" s="255" t="s">
        <v>786</v>
      </c>
      <c r="G39" s="261" t="s">
        <v>1057</v>
      </c>
      <c r="H39" s="269" t="s">
        <v>785</v>
      </c>
      <c r="I39" s="255" t="s">
        <v>786</v>
      </c>
      <c r="J39" s="261" t="s">
        <v>1057</v>
      </c>
      <c r="K39" s="269" t="s">
        <v>785</v>
      </c>
      <c r="L39" s="255" t="s">
        <v>786</v>
      </c>
      <c r="M39" s="261" t="s">
        <v>1057</v>
      </c>
      <c r="N39" s="269" t="s">
        <v>785</v>
      </c>
      <c r="O39" s="255" t="s">
        <v>786</v>
      </c>
      <c r="P39" s="261" t="s">
        <v>1057</v>
      </c>
      <c r="Q39" s="269" t="s">
        <v>785</v>
      </c>
      <c r="R39" s="255" t="s">
        <v>786</v>
      </c>
      <c r="S39" s="261" t="s">
        <v>1057</v>
      </c>
      <c r="T39" s="269" t="s">
        <v>785</v>
      </c>
      <c r="U39" s="255" t="s">
        <v>786</v>
      </c>
      <c r="V39" s="261" t="s">
        <v>1057</v>
      </c>
      <c r="W39" s="269" t="s">
        <v>785</v>
      </c>
      <c r="X39" s="255" t="s">
        <v>786</v>
      </c>
      <c r="Y39" s="261" t="s">
        <v>1057</v>
      </c>
    </row>
    <row r="40" spans="1:25" s="7" customFormat="1">
      <c r="A40" s="227" t="s">
        <v>1559</v>
      </c>
      <c r="B40" s="272">
        <v>21</v>
      </c>
      <c r="C40" s="257"/>
      <c r="D40" s="289"/>
      <c r="E40" s="272">
        <v>73</v>
      </c>
      <c r="F40" s="257"/>
      <c r="G40" s="289"/>
      <c r="H40" s="272">
        <v>0.255</v>
      </c>
      <c r="I40" s="257"/>
      <c r="J40" s="289"/>
      <c r="K40" s="272">
        <v>1.3580000000000001</v>
      </c>
      <c r="L40" s="257"/>
      <c r="M40" s="289"/>
      <c r="N40" s="272">
        <v>2.75</v>
      </c>
      <c r="O40" s="257"/>
      <c r="P40" s="289"/>
      <c r="Q40" s="272">
        <v>205</v>
      </c>
      <c r="R40" s="257"/>
      <c r="S40" s="289"/>
      <c r="T40" s="272">
        <v>0.7</v>
      </c>
      <c r="U40" s="257"/>
      <c r="V40" s="289"/>
      <c r="W40" s="272">
        <v>8.07</v>
      </c>
      <c r="X40" s="257"/>
      <c r="Y40" s="289"/>
    </row>
    <row r="41" spans="1:25" s="7" customFormat="1">
      <c r="A41" s="260" t="s">
        <v>798</v>
      </c>
      <c r="B41" s="271">
        <v>0</v>
      </c>
      <c r="C41" s="256"/>
      <c r="D41" s="263"/>
      <c r="E41" s="271">
        <v>0</v>
      </c>
      <c r="F41" s="256"/>
      <c r="G41" s="263"/>
      <c r="H41" s="271">
        <v>0</v>
      </c>
      <c r="I41" s="256"/>
      <c r="J41" s="263"/>
      <c r="K41" s="271">
        <v>0</v>
      </c>
      <c r="L41" s="256"/>
      <c r="M41" s="263"/>
      <c r="N41" s="271">
        <v>0</v>
      </c>
      <c r="O41" s="256"/>
      <c r="P41" s="263"/>
      <c r="Q41" s="271">
        <v>0</v>
      </c>
      <c r="R41" s="256"/>
      <c r="S41" s="263"/>
      <c r="T41" s="271">
        <v>0</v>
      </c>
      <c r="U41" s="256"/>
      <c r="V41" s="263"/>
      <c r="W41" s="271">
        <v>0</v>
      </c>
      <c r="X41" s="256"/>
      <c r="Y41" s="263"/>
    </row>
    <row r="42" spans="1:25" s="7" customFormat="1">
      <c r="A42" s="259" t="s">
        <v>799</v>
      </c>
      <c r="B42" s="274"/>
      <c r="C42" s="275"/>
      <c r="D42" s="276"/>
      <c r="E42" s="274"/>
      <c r="F42" s="275"/>
      <c r="G42" s="276"/>
      <c r="H42" s="274"/>
      <c r="I42" s="275"/>
      <c r="J42" s="276"/>
      <c r="K42" s="274"/>
      <c r="L42" s="275"/>
      <c r="M42" s="276"/>
      <c r="N42" s="274"/>
      <c r="O42" s="275"/>
      <c r="P42" s="276"/>
      <c r="Q42" s="274"/>
      <c r="R42" s="275"/>
      <c r="S42" s="276"/>
      <c r="T42" s="274"/>
      <c r="U42" s="275"/>
      <c r="V42" s="276"/>
      <c r="W42" s="274"/>
      <c r="X42" s="275"/>
      <c r="Y42" s="276"/>
    </row>
    <row r="43" spans="1:25" s="7" customFormat="1">
      <c r="A43" s="106" t="s">
        <v>800</v>
      </c>
      <c r="B43" s="271">
        <v>0.04</v>
      </c>
      <c r="C43" s="256"/>
      <c r="D43" s="263"/>
      <c r="E43" s="271">
        <v>5.0000000000000001E-3</v>
      </c>
      <c r="F43" s="256"/>
      <c r="G43" s="263"/>
      <c r="H43" s="271"/>
      <c r="I43" s="256"/>
      <c r="J43" s="263"/>
      <c r="K43" s="271"/>
      <c r="L43" s="256"/>
      <c r="M43" s="263"/>
      <c r="N43" s="271"/>
      <c r="O43" s="256"/>
      <c r="P43" s="263"/>
      <c r="Q43" s="271"/>
      <c r="R43" s="256"/>
      <c r="S43" s="263"/>
      <c r="T43" s="271"/>
      <c r="U43" s="256"/>
      <c r="V43" s="263"/>
      <c r="W43" s="271"/>
      <c r="X43" s="256"/>
      <c r="Y43" s="263"/>
    </row>
    <row r="44" spans="1:25" s="7" customFormat="1">
      <c r="A44" s="106" t="s">
        <v>802</v>
      </c>
      <c r="B44" s="271"/>
      <c r="C44" s="256"/>
      <c r="D44" s="263"/>
      <c r="E44" s="271"/>
      <c r="F44" s="256"/>
      <c r="G44" s="263"/>
      <c r="H44" s="271"/>
      <c r="I44" s="256"/>
      <c r="J44" s="263"/>
      <c r="K44" s="271"/>
      <c r="L44" s="256"/>
      <c r="M44" s="263"/>
      <c r="N44" s="271"/>
      <c r="O44" s="256"/>
      <c r="P44" s="263"/>
      <c r="Q44" s="271"/>
      <c r="R44" s="256"/>
      <c r="S44" s="263"/>
      <c r="T44" s="271"/>
      <c r="U44" s="256"/>
      <c r="V44" s="263"/>
      <c r="W44" s="271"/>
      <c r="X44" s="256"/>
      <c r="Y44" s="263"/>
    </row>
    <row r="45" spans="1:25" s="7" customFormat="1">
      <c r="A45" s="106" t="s">
        <v>801</v>
      </c>
      <c r="B45" s="271"/>
      <c r="C45" s="256"/>
      <c r="D45" s="263"/>
      <c r="E45" s="271"/>
      <c r="F45" s="256"/>
      <c r="G45" s="263"/>
      <c r="H45" s="271"/>
      <c r="I45" s="256"/>
      <c r="J45" s="263"/>
      <c r="K45" s="271"/>
      <c r="L45" s="256"/>
      <c r="M45" s="263"/>
      <c r="N45" s="271"/>
      <c r="O45" s="256"/>
      <c r="P45" s="263"/>
      <c r="Q45" s="271"/>
      <c r="R45" s="256"/>
      <c r="S45" s="263"/>
      <c r="T45" s="271"/>
      <c r="U45" s="256"/>
      <c r="V45" s="263"/>
      <c r="W45" s="271"/>
      <c r="X45" s="256"/>
      <c r="Y45" s="263"/>
    </row>
    <row r="46" spans="1:25" s="7" customFormat="1">
      <c r="A46" s="106" t="s">
        <v>1319</v>
      </c>
      <c r="B46" s="271"/>
      <c r="C46" s="256"/>
      <c r="D46" s="263"/>
      <c r="E46" s="271"/>
      <c r="F46" s="256"/>
      <c r="G46" s="263"/>
      <c r="H46" s="271"/>
      <c r="I46" s="256"/>
      <c r="J46" s="263"/>
      <c r="K46" s="271"/>
      <c r="L46" s="256"/>
      <c r="M46" s="263"/>
      <c r="N46" s="271"/>
      <c r="O46" s="256"/>
      <c r="P46" s="263"/>
      <c r="Q46" s="271"/>
      <c r="R46" s="256"/>
      <c r="S46" s="263"/>
      <c r="T46" s="271"/>
      <c r="U46" s="256"/>
      <c r="V46" s="263"/>
      <c r="W46" s="271"/>
      <c r="X46" s="256"/>
      <c r="Y46" s="263"/>
    </row>
    <row r="47" spans="1:25" s="7" customFormat="1">
      <c r="A47" s="106" t="s">
        <v>804</v>
      </c>
      <c r="B47" s="271">
        <v>0.56999999999999995</v>
      </c>
      <c r="C47" s="256"/>
      <c r="D47" s="263"/>
      <c r="E47" s="271"/>
      <c r="F47" s="256"/>
      <c r="G47" s="263"/>
      <c r="H47" s="271">
        <v>0.86</v>
      </c>
      <c r="I47" s="256"/>
      <c r="J47" s="263"/>
      <c r="K47" s="271">
        <v>0.93600000000000005</v>
      </c>
      <c r="L47" s="256"/>
      <c r="M47" s="263"/>
      <c r="N47" s="271">
        <v>0.63</v>
      </c>
      <c r="O47" s="256"/>
      <c r="P47" s="263"/>
      <c r="Q47" s="271">
        <v>0.41</v>
      </c>
      <c r="R47" s="256"/>
      <c r="S47" s="263"/>
      <c r="T47" s="271">
        <v>1</v>
      </c>
      <c r="U47" s="256"/>
      <c r="V47" s="263"/>
      <c r="W47" s="271">
        <v>0.99132589838909546</v>
      </c>
      <c r="X47" s="256"/>
      <c r="Y47" s="263"/>
    </row>
    <row r="48" spans="1:25" s="7" customFormat="1">
      <c r="A48" s="106" t="s">
        <v>805</v>
      </c>
      <c r="B48" s="271"/>
      <c r="C48" s="256"/>
      <c r="D48" s="263"/>
      <c r="E48" s="271"/>
      <c r="F48" s="256"/>
      <c r="G48" s="263"/>
      <c r="H48" s="271"/>
      <c r="I48" s="256"/>
      <c r="J48" s="263"/>
      <c r="K48" s="271"/>
      <c r="L48" s="256"/>
      <c r="M48" s="263"/>
      <c r="N48" s="271"/>
      <c r="O48" s="256"/>
      <c r="P48" s="263"/>
      <c r="Q48" s="271"/>
      <c r="R48" s="256"/>
      <c r="S48" s="263"/>
      <c r="T48" s="271"/>
      <c r="U48" s="256"/>
      <c r="V48" s="263"/>
      <c r="W48" s="271"/>
      <c r="X48" s="256"/>
      <c r="Y48" s="263"/>
    </row>
    <row r="49" spans="1:25" s="7" customFormat="1">
      <c r="A49" s="277" t="s">
        <v>806</v>
      </c>
      <c r="B49" s="278">
        <f>1-SUM(B43:B48)</f>
        <v>0.39</v>
      </c>
      <c r="C49" s="279"/>
      <c r="D49" s="280"/>
      <c r="E49" s="278">
        <f>1-SUM(E43:E48)</f>
        <v>0.995</v>
      </c>
      <c r="F49" s="279"/>
      <c r="G49" s="280"/>
      <c r="H49" s="278">
        <f>1-SUM(H43:H48)</f>
        <v>0.14000000000000001</v>
      </c>
      <c r="I49" s="279"/>
      <c r="J49" s="280"/>
      <c r="K49" s="278">
        <f>1-SUM(K43:K48)</f>
        <v>6.3999999999999946E-2</v>
      </c>
      <c r="L49" s="279"/>
      <c r="M49" s="280"/>
      <c r="N49" s="278">
        <f>1-SUM(N43:N48)</f>
        <v>0.37</v>
      </c>
      <c r="O49" s="279"/>
      <c r="P49" s="280"/>
      <c r="Q49" s="278">
        <f>1-SUM(Q43:Q48)</f>
        <v>0.59000000000000008</v>
      </c>
      <c r="R49" s="279"/>
      <c r="S49" s="280"/>
      <c r="T49" s="278"/>
      <c r="U49" s="279"/>
      <c r="V49" s="280"/>
      <c r="W49" s="278">
        <v>8.6741016109045856E-3</v>
      </c>
      <c r="X49" s="279"/>
      <c r="Y49" s="280"/>
    </row>
    <row r="50" spans="1:25" s="7" customFormat="1">
      <c r="A50" s="260" t="s">
        <v>862</v>
      </c>
      <c r="B50" s="270"/>
      <c r="D50" s="262"/>
      <c r="E50" s="270"/>
      <c r="G50" s="262"/>
      <c r="H50" s="270"/>
      <c r="J50" s="262"/>
      <c r="K50" s="270"/>
      <c r="M50" s="262"/>
      <c r="N50" s="270"/>
      <c r="P50" s="262"/>
      <c r="Q50" s="270"/>
      <c r="S50" s="262"/>
      <c r="T50" s="270"/>
      <c r="V50" s="262"/>
      <c r="W50" s="270"/>
      <c r="Y50" s="262"/>
    </row>
    <row r="51" spans="1:25" s="7" customFormat="1">
      <c r="A51" s="106" t="s">
        <v>800</v>
      </c>
      <c r="B51" s="273">
        <f t="shared" ref="B51:B57" si="4">B$40*B43</f>
        <v>0.84</v>
      </c>
      <c r="C51" s="258"/>
      <c r="D51" s="267"/>
      <c r="E51" s="273">
        <f t="shared" ref="E51:E57" si="5">E$40*E43</f>
        <v>0.36499999999999999</v>
      </c>
      <c r="F51" s="258"/>
      <c r="G51" s="267"/>
      <c r="H51" s="273">
        <f t="shared" ref="H51:H57" si="6">H$40*H43</f>
        <v>0</v>
      </c>
      <c r="I51" s="258"/>
      <c r="J51" s="267"/>
      <c r="K51" s="273">
        <f t="shared" ref="K51:K57" si="7">K$40*K43</f>
        <v>0</v>
      </c>
      <c r="L51" s="258"/>
      <c r="M51" s="267"/>
      <c r="N51" s="273">
        <f t="shared" ref="N51:N57" si="8">N$40*N43</f>
        <v>0</v>
      </c>
      <c r="O51" s="258"/>
      <c r="P51" s="267"/>
      <c r="Q51" s="273">
        <f t="shared" ref="Q51:Q57" si="9">Q$40*Q43</f>
        <v>0</v>
      </c>
      <c r="R51" s="258"/>
      <c r="S51" s="267"/>
      <c r="T51" s="273">
        <f t="shared" ref="T51:T57" si="10">T$40*T43</f>
        <v>0</v>
      </c>
      <c r="U51" s="258"/>
      <c r="V51" s="267"/>
      <c r="W51" s="273">
        <f t="shared" ref="W51:W57" si="11">W$40*W43</f>
        <v>0</v>
      </c>
      <c r="X51" s="258"/>
      <c r="Y51" s="267"/>
    </row>
    <row r="52" spans="1:25" s="7" customFormat="1">
      <c r="A52" s="106" t="s">
        <v>802</v>
      </c>
      <c r="B52" s="273">
        <f t="shared" si="4"/>
        <v>0</v>
      </c>
      <c r="C52" s="258"/>
      <c r="D52" s="267"/>
      <c r="E52" s="273">
        <f t="shared" si="5"/>
        <v>0</v>
      </c>
      <c r="F52" s="258"/>
      <c r="G52" s="267"/>
      <c r="H52" s="273">
        <f t="shared" si="6"/>
        <v>0</v>
      </c>
      <c r="I52" s="258"/>
      <c r="J52" s="267"/>
      <c r="K52" s="273">
        <f t="shared" si="7"/>
        <v>0</v>
      </c>
      <c r="L52" s="258"/>
      <c r="M52" s="267"/>
      <c r="N52" s="273">
        <f t="shared" si="8"/>
        <v>0</v>
      </c>
      <c r="O52" s="258"/>
      <c r="P52" s="267"/>
      <c r="Q52" s="273">
        <f t="shared" si="9"/>
        <v>0</v>
      </c>
      <c r="R52" s="258"/>
      <c r="S52" s="267"/>
      <c r="T52" s="273">
        <f t="shared" si="10"/>
        <v>0</v>
      </c>
      <c r="U52" s="258"/>
      <c r="V52" s="267"/>
      <c r="W52" s="273">
        <f t="shared" si="11"/>
        <v>0</v>
      </c>
      <c r="X52" s="258"/>
      <c r="Y52" s="267"/>
    </row>
    <row r="53" spans="1:25" s="7" customFormat="1">
      <c r="A53" s="106" t="s">
        <v>801</v>
      </c>
      <c r="B53" s="273">
        <f t="shared" si="4"/>
        <v>0</v>
      </c>
      <c r="C53" s="258"/>
      <c r="D53" s="267"/>
      <c r="E53" s="273">
        <f t="shared" si="5"/>
        <v>0</v>
      </c>
      <c r="F53" s="258"/>
      <c r="G53" s="267"/>
      <c r="H53" s="273">
        <f t="shared" si="6"/>
        <v>0</v>
      </c>
      <c r="I53" s="258"/>
      <c r="J53" s="267"/>
      <c r="K53" s="273">
        <f t="shared" si="7"/>
        <v>0</v>
      </c>
      <c r="L53" s="258"/>
      <c r="M53" s="267"/>
      <c r="N53" s="273">
        <f t="shared" si="8"/>
        <v>0</v>
      </c>
      <c r="O53" s="258"/>
      <c r="P53" s="267"/>
      <c r="Q53" s="273">
        <f t="shared" si="9"/>
        <v>0</v>
      </c>
      <c r="R53" s="258"/>
      <c r="S53" s="267"/>
      <c r="T53" s="273">
        <f t="shared" si="10"/>
        <v>0</v>
      </c>
      <c r="U53" s="258"/>
      <c r="V53" s="267"/>
      <c r="W53" s="273">
        <f t="shared" si="11"/>
        <v>0</v>
      </c>
      <c r="X53" s="258"/>
      <c r="Y53" s="267"/>
    </row>
    <row r="54" spans="1:25" s="7" customFormat="1">
      <c r="A54" s="106" t="s">
        <v>1319</v>
      </c>
      <c r="B54" s="273">
        <f t="shared" si="4"/>
        <v>0</v>
      </c>
      <c r="C54" s="258"/>
      <c r="D54" s="267"/>
      <c r="E54" s="273">
        <f t="shared" si="5"/>
        <v>0</v>
      </c>
      <c r="F54" s="258"/>
      <c r="G54" s="267"/>
      <c r="H54" s="273">
        <f t="shared" si="6"/>
        <v>0</v>
      </c>
      <c r="I54" s="258"/>
      <c r="J54" s="267"/>
      <c r="K54" s="273">
        <f t="shared" si="7"/>
        <v>0</v>
      </c>
      <c r="L54" s="258"/>
      <c r="M54" s="267"/>
      <c r="N54" s="273">
        <f t="shared" si="8"/>
        <v>0</v>
      </c>
      <c r="O54" s="258"/>
      <c r="P54" s="267"/>
      <c r="Q54" s="273">
        <f t="shared" si="9"/>
        <v>0</v>
      </c>
      <c r="R54" s="258"/>
      <c r="S54" s="267"/>
      <c r="T54" s="273">
        <f t="shared" si="10"/>
        <v>0</v>
      </c>
      <c r="U54" s="258"/>
      <c r="V54" s="267"/>
      <c r="W54" s="273">
        <f t="shared" si="11"/>
        <v>0</v>
      </c>
      <c r="X54" s="258"/>
      <c r="Y54" s="267"/>
    </row>
    <row r="55" spans="1:25" s="7" customFormat="1">
      <c r="A55" s="106" t="s">
        <v>804</v>
      </c>
      <c r="B55" s="273">
        <f t="shared" si="4"/>
        <v>11.969999999999999</v>
      </c>
      <c r="C55" s="258"/>
      <c r="D55" s="267"/>
      <c r="E55" s="273">
        <f t="shared" si="5"/>
        <v>0</v>
      </c>
      <c r="F55" s="258"/>
      <c r="G55" s="267"/>
      <c r="H55" s="273">
        <f t="shared" si="6"/>
        <v>0.21929999999999999</v>
      </c>
      <c r="I55" s="1321"/>
      <c r="J55" s="267"/>
      <c r="K55" s="273">
        <f t="shared" si="7"/>
        <v>1.2710880000000002</v>
      </c>
      <c r="L55" s="258"/>
      <c r="M55" s="267"/>
      <c r="N55" s="273">
        <f t="shared" si="8"/>
        <v>1.7324999999999999</v>
      </c>
      <c r="O55" s="258"/>
      <c r="P55" s="267"/>
      <c r="Q55" s="273">
        <f t="shared" si="9"/>
        <v>84.05</v>
      </c>
      <c r="R55" s="258"/>
      <c r="S55" s="267"/>
      <c r="T55" s="273">
        <f t="shared" si="10"/>
        <v>0.7</v>
      </c>
      <c r="U55" s="258"/>
      <c r="V55" s="267"/>
      <c r="W55" s="273">
        <f t="shared" si="11"/>
        <v>8</v>
      </c>
      <c r="X55" s="258"/>
      <c r="Y55" s="267"/>
    </row>
    <row r="56" spans="1:25" s="7" customFormat="1">
      <c r="A56" s="106" t="s">
        <v>805</v>
      </c>
      <c r="B56" s="273">
        <f t="shared" si="4"/>
        <v>0</v>
      </c>
      <c r="C56" s="258"/>
      <c r="D56" s="267"/>
      <c r="E56" s="273">
        <f t="shared" si="5"/>
        <v>0</v>
      </c>
      <c r="F56" s="258"/>
      <c r="G56" s="267"/>
      <c r="H56" s="273">
        <f t="shared" si="6"/>
        <v>0</v>
      </c>
      <c r="I56" s="1321"/>
      <c r="J56" s="267"/>
      <c r="K56" s="273">
        <f t="shared" si="7"/>
        <v>0</v>
      </c>
      <c r="L56" s="258"/>
      <c r="M56" s="267"/>
      <c r="N56" s="273">
        <f t="shared" si="8"/>
        <v>0</v>
      </c>
      <c r="O56" s="258"/>
      <c r="P56" s="267"/>
      <c r="Q56" s="273">
        <f t="shared" si="9"/>
        <v>0</v>
      </c>
      <c r="R56" s="258"/>
      <c r="S56" s="267"/>
      <c r="T56" s="273">
        <f t="shared" si="10"/>
        <v>0</v>
      </c>
      <c r="U56" s="258"/>
      <c r="V56" s="267"/>
      <c r="W56" s="273">
        <f t="shared" si="11"/>
        <v>0</v>
      </c>
      <c r="X56" s="258"/>
      <c r="Y56" s="267"/>
    </row>
    <row r="57" spans="1:25" s="7" customFormat="1">
      <c r="A57" s="106" t="s">
        <v>806</v>
      </c>
      <c r="B57" s="273">
        <f t="shared" si="4"/>
        <v>8.19</v>
      </c>
      <c r="C57" s="258"/>
      <c r="D57" s="267"/>
      <c r="E57" s="273">
        <f t="shared" si="5"/>
        <v>72.635000000000005</v>
      </c>
      <c r="F57" s="258"/>
      <c r="G57" s="267"/>
      <c r="H57" s="273">
        <f t="shared" si="6"/>
        <v>3.5700000000000003E-2</v>
      </c>
      <c r="I57" s="1321"/>
      <c r="J57" s="267"/>
      <c r="K57" s="273">
        <f t="shared" si="7"/>
        <v>8.6911999999999934E-2</v>
      </c>
      <c r="L57" s="258"/>
      <c r="M57" s="267"/>
      <c r="N57" s="273">
        <f t="shared" si="8"/>
        <v>1.0175000000000001</v>
      </c>
      <c r="O57" s="258"/>
      <c r="P57" s="267"/>
      <c r="Q57" s="273">
        <f t="shared" si="9"/>
        <v>120.95000000000002</v>
      </c>
      <c r="R57" s="258"/>
      <c r="S57" s="267"/>
      <c r="T57" s="273">
        <f t="shared" si="10"/>
        <v>0</v>
      </c>
      <c r="U57" s="258"/>
      <c r="V57" s="267"/>
      <c r="W57" s="273">
        <f t="shared" si="11"/>
        <v>7.0000000000000007E-2</v>
      </c>
      <c r="X57" s="258"/>
      <c r="Y57" s="267"/>
    </row>
    <row r="58" spans="1:25" s="7" customFormat="1">
      <c r="A58" s="481" t="s">
        <v>816</v>
      </c>
      <c r="B58" s="281">
        <f>Battery_Materials!B$51*(1+(GREET1_Import_Export!$B180*GREET1_Import_Export!$F$179+GREET1_Import_Export!$F180)/1000000)+Battery_Materials!B$52*(1+(GREET1_Import_Export!$B180*GREET1_Import_Export!$G$179+GREET1_Import_Export!$G180)/1000000)+Battery_Materials!B$53*(1+(GREET1_Import_Export!$B180*GREET1_Import_Export!$C$179+GREET1_Import_Export!$C180)/1000000)+Battery_Materials!B$54*(1+(GREET1_Import_Export!$E216*GREET1_Import_Export!$F$215+GREET1_Import_Export!$F216)/1000000)+Battery_Materials!B$55*(1+GREET1_Import_Export!$B216/1000000)+Battery_Materials!B$56*(1+GREET1_Import_Export!$B284/1000000)+Battery_Materials!B$57*SUM(GREET1_Import_Export!$B309:$C309)/1000000</f>
        <v>30.777795136401167</v>
      </c>
      <c r="C58" s="284"/>
      <c r="D58" s="285"/>
      <c r="E58" s="281">
        <f>Battery_Materials!E$51*(1+(GREET1_Import_Export!$B180*GREET1_Import_Export!$F$179+GREET1_Import_Export!$F180)/1000000)+Battery_Materials!E$52*(1+(GREET1_Import_Export!$B180*GREET1_Import_Export!$G$179+GREET1_Import_Export!$G180)/1000000)+Battery_Materials!E$53*(1+(GREET1_Import_Export!$B180*GREET1_Import_Export!$C$179+GREET1_Import_Export!$C180)/1000000)+Battery_Materials!E$54*(1+(GREET1_Import_Export!$E216*GREET1_Import_Export!$F$215+GREET1_Import_Export!$F216)/1000000)+Battery_Materials!E$55*(1+GREET1_Import_Export!$B216/1000000)+Battery_Materials!E$56*(1+GREET1_Import_Export!$B284/1000000)+Battery_Materials!E$57*SUM(GREET1_Import_Export!$B309:$C309)/1000000</f>
        <v>147.72062478618682</v>
      </c>
      <c r="F58" s="284"/>
      <c r="G58" s="285"/>
      <c r="H58" s="281">
        <f>Battery_Materials!H$51*(1+(GREET1_Import_Export!$B180*GREET1_Import_Export!$F$179+GREET1_Import_Export!$F180)/1000000)+Battery_Materials!H$52*(1+(GREET1_Import_Export!$B180*GREET1_Import_Export!$G$179+GREET1_Import_Export!$G180)/1000000)+Battery_Materials!H$53*(1+(GREET1_Import_Export!$B180*GREET1_Import_Export!$C$179+GREET1_Import_Export!$C180)/1000000)+Battery_Materials!H$54*(1+(GREET1_Import_Export!$E216*GREET1_Import_Export!$F$215+GREET1_Import_Export!$F216)/1000000)+Battery_Materials!H$55*(1+GREET1_Import_Export!$B216/1000000)+Battery_Materials!H$56*(1+GREET1_Import_Export!$B284/1000000)+Battery_Materials!H$57*SUM(GREET1_Import_Export!$B309:$C309)/1000000</f>
        <v>0.31456495018592068</v>
      </c>
      <c r="I58" s="284"/>
      <c r="J58" s="285"/>
      <c r="K58" s="281">
        <f>Battery_Materials!K$51*(1+(GREET1_Import_Export!$B180*GREET1_Import_Export!$F$179+GREET1_Import_Export!$F180)/1000000)+Battery_Materials!K$52*(1+(GREET1_Import_Export!$B180*GREET1_Import_Export!$G$179+GREET1_Import_Export!$G180)/1000000)+Battery_Materials!K$53*(1+(GREET1_Import_Export!$B180*GREET1_Import_Export!$C$179+GREET1_Import_Export!$C180)/1000000)+Battery_Materials!K$54*(1+(GREET1_Import_Export!$E216*GREET1_Import_Export!$F$215+GREET1_Import_Export!$F216)/1000000)+Battery_Materials!K$55*(1+GREET1_Import_Export!$B216/1000000)+Battery_Materials!K$56*(1+GREET1_Import_Export!$B284/1000000)+Battery_Materials!K$57*SUM(GREET1_Import_Export!$B309:$C309)/1000000</f>
        <v>1.5798691010520101</v>
      </c>
      <c r="L58" s="284"/>
      <c r="M58" s="285"/>
      <c r="N58" s="281">
        <f>Battery_Materials!N$51*(1+(GREET1_Import_Export!$B180*GREET1_Import_Export!$F$179+GREET1_Import_Export!$F180)/1000000)+Battery_Materials!N$52*(1+(GREET1_Import_Export!$B180*GREET1_Import_Export!$G$179+GREET1_Import_Export!$G180)/1000000)+Battery_Materials!N$53*(1+(GREET1_Import_Export!$B180*GREET1_Import_Export!$C$179+GREET1_Import_Export!$C180)/1000000)+Battery_Materials!N$54*(1+(GREET1_Import_Export!$E216*GREET1_Import_Export!$F$215+GREET1_Import_Export!$F216)/1000000)+Battery_Materials!N$55*(1+GREET1_Import_Export!$B216/1000000)+Battery_Materials!N$56*(1+GREET1_Import_Export!$B284/1000000)+Battery_Materials!N$57*SUM(GREET1_Import_Export!$B309:$C309)/1000000</f>
        <v>3.9766700386383689</v>
      </c>
      <c r="O58" s="284"/>
      <c r="P58" s="285"/>
      <c r="Q58" s="1334">
        <f>Battery_Materials!Q$51*(1+(GREET1_Import_Export!$B180*GREET1_Import_Export!$F$179+GREET1_Import_Export!$F180)/1000000)+Battery_Materials!Q$52*(1+(GREET1_Import_Export!$B180*GREET1_Import_Export!$G$179+GREET1_Import_Export!$G180)/1000000)+Battery_Materials!Q$53*(1+(GREET1_Import_Export!$B180*GREET1_Import_Export!$C$179+GREET1_Import_Export!$C180)/1000000)+Battery_Materials!Q$54*(1+(GREET1_Import_Export!$E216*GREET1_Import_Export!$F$215+GREET1_Import_Export!$F216)/1000000)+Battery_Materials!Q$55*(1+GREET1_Import_Export!$B216/1000000)+Battery_Materials!Q$56*(1+GREET1_Import_Export!$B284/1000000)+Battery_Materials!Q$57*($B$17*(GREET1_Import_Export!$B309+GREET1_Import_Export!$C309)+$C$17*GREET1_Import_Export!L342+$D$17*GREET1_Import_Export!H342+$E$17*GREET1_Import_Export!Q342+$F$17*GREET1_Import_Export!R342+SUMPRODUCT($G$17:$I$17,GREET1_Import_Export!N342:P342))/1000000</f>
        <v>338.10601487784561</v>
      </c>
      <c r="R58" s="284"/>
      <c r="S58" s="285"/>
      <c r="T58" s="281">
        <f>Battery_Materials!T$51*(1+(GREET1_Import_Export!$B180*GREET1_Import_Export!$F$179+GREET1_Import_Export!$F180)/1000000)+Battery_Materials!T$52*(1+(GREET1_Import_Export!$B180*GREET1_Import_Export!$G$179+GREET1_Import_Export!$G180)/1000000)+Battery_Materials!T$53*(1+(GREET1_Import_Export!$B180*GREET1_Import_Export!$C$179+GREET1_Import_Export!$C180)/1000000)+Battery_Materials!T$54*(1+(GREET1_Import_Export!$E216*GREET1_Import_Export!$F$215+GREET1_Import_Export!$F216)/1000000)+Battery_Materials!T$55*(1+GREET1_Import_Export!$B216/1000000)+Battery_Materials!T$56*(1+GREET1_Import_Export!$B284/1000000)+Battery_Materials!T$57*SUM(GREET1_Import_Export!$B309:$C309)/1000000</f>
        <v>0.77297931646500295</v>
      </c>
      <c r="U58" s="284"/>
      <c r="V58" s="285"/>
      <c r="W58" s="281">
        <f>Battery_Materials!W$51*(1+(GREET1_Import_Export!$B180*GREET1_Import_Export!$F$179+GREET1_Import_Export!$F180)/1000000)+Battery_Materials!W$52*(1+(GREET1_Import_Export!$B180*GREET1_Import_Export!$G$179+GREET1_Import_Export!$G180)/1000000)+Battery_Materials!W$53*(1+(GREET1_Import_Export!$B180*GREET1_Import_Export!$C$179+GREET1_Import_Export!$C180)/1000000)+Battery_Materials!W$54*(1+(GREET1_Import_Export!$E216*GREET1_Import_Export!$F$215+GREET1_Import_Export!$F216)/1000000)+Battery_Materials!W$55*(1+GREET1_Import_Export!$B216/1000000)+Battery_Materials!W$56*(1+GREET1_Import_Export!$B284/1000000)+Battery_Materials!W$57*SUM(GREET1_Import_Export!$B309:$C309)/1000000</f>
        <v>8.9760131994582117</v>
      </c>
      <c r="X58" s="284"/>
      <c r="Y58" s="285"/>
    </row>
    <row r="59" spans="1:25" s="7" customFormat="1">
      <c r="A59" s="100" t="s">
        <v>817</v>
      </c>
      <c r="B59" s="273">
        <f>Battery_Materials!B$51*(1+(GREET1_Import_Export!$B181*GREET1_Import_Export!$F$179+GREET1_Import_Export!$F181)/1000000)+Battery_Materials!B$52*(1+(GREET1_Import_Export!$B181*GREET1_Import_Export!$G$179+GREET1_Import_Export!$G181)/1000000)+Battery_Materials!B$53*(1+(GREET1_Import_Export!$B181*GREET1_Import_Export!$C$179+GREET1_Import_Export!$C181)/1000000)+Battery_Materials!B$54*(1+(GREET1_Import_Export!$E217*GREET1_Import_Export!$F$215+GREET1_Import_Export!$F217)/1000000)+Battery_Materials!B$55*(1+GREET1_Import_Export!$B217/1000000)+Battery_Materials!B$56*(1+GREET1_Import_Export!$B285/1000000)+Battery_Materials!B$57*SUM(GREET1_Import_Export!$B310:$C310)/1000000</f>
        <v>27.31020842407381</v>
      </c>
      <c r="C59" s="258"/>
      <c r="D59" s="267"/>
      <c r="E59" s="273">
        <f>Battery_Materials!E$51*(1+(GREET1_Import_Export!$B181*GREET1_Import_Export!$F$179+GREET1_Import_Export!$F181)/1000000)+Battery_Materials!E$52*(1+(GREET1_Import_Export!$B181*GREET1_Import_Export!$G$179+GREET1_Import_Export!$G181)/1000000)+Battery_Materials!E$53*(1+(GREET1_Import_Export!$B181*GREET1_Import_Export!$C$179+GREET1_Import_Export!$C181)/1000000)+Battery_Materials!E$54*(1+(GREET1_Import_Export!$E217*GREET1_Import_Export!$F$215+GREET1_Import_Export!$F217)/1000000)+Battery_Materials!E$55*(1+GREET1_Import_Export!$B217/1000000)+Battery_Materials!E$56*(1+GREET1_Import_Export!$B285/1000000)+Battery_Materials!E$57*SUM(GREET1_Import_Export!$B310:$C310)/1000000</f>
        <v>117.08095812358441</v>
      </c>
      <c r="F59" s="258"/>
      <c r="G59" s="267"/>
      <c r="H59" s="273">
        <f>Battery_Materials!H$51*(1+(GREET1_Import_Export!$B181*GREET1_Import_Export!$F$179+GREET1_Import_Export!$F181)/1000000)+Battery_Materials!H$52*(1+(GREET1_Import_Export!$B181*GREET1_Import_Export!$G$179+GREET1_Import_Export!$G181)/1000000)+Battery_Materials!H$53*(1+(GREET1_Import_Export!$B181*GREET1_Import_Export!$C$179+GREET1_Import_Export!$C181)/1000000)+Battery_Materials!H$54*(1+(GREET1_Import_Export!$E217*GREET1_Import_Export!$F$215+GREET1_Import_Export!$F217)/1000000)+Battery_Materials!H$55*(1+GREET1_Import_Export!$B217/1000000)+Battery_Materials!H$56*(1+GREET1_Import_Export!$B285/1000000)+Battery_Materials!H$57*SUM(GREET1_Import_Export!$B310:$C310)/1000000</f>
        <v>0.29934273947653539</v>
      </c>
      <c r="I59" s="258"/>
      <c r="J59" s="267"/>
      <c r="K59" s="273">
        <f>Battery_Materials!K$51*(1+(GREET1_Import_Export!$B181*GREET1_Import_Export!$F$179+GREET1_Import_Export!$F181)/1000000)+Battery_Materials!K$52*(1+(GREET1_Import_Export!$B181*GREET1_Import_Export!$G$179+GREET1_Import_Export!$G181)/1000000)+Battery_Materials!K$53*(1+(GREET1_Import_Export!$B181*GREET1_Import_Export!$C$179+GREET1_Import_Export!$C181)/1000000)+Battery_Materials!K$54*(1+(GREET1_Import_Export!$E217*GREET1_Import_Export!$F$215+GREET1_Import_Export!$F217)/1000000)+Battery_Materials!K$55*(1+GREET1_Import_Export!$B217/1000000)+Battery_Materials!K$56*(1+GREET1_Import_Export!$B285/1000000)+Battery_Materials!K$57*SUM(GREET1_Import_Export!$B310:$C310)/1000000</f>
        <v>1.5422601042160939</v>
      </c>
      <c r="L59" s="258"/>
      <c r="M59" s="267"/>
      <c r="N59" s="273">
        <f>Battery_Materials!N$51*(1+(GREET1_Import_Export!$B181*GREET1_Import_Export!$F$179+GREET1_Import_Export!$F181)/1000000)+Battery_Materials!N$52*(1+(GREET1_Import_Export!$B181*GREET1_Import_Export!$G$179+GREET1_Import_Export!$G181)/1000000)+Battery_Materials!N$53*(1+(GREET1_Import_Export!$B181*GREET1_Import_Export!$C$179+GREET1_Import_Export!$C181)/1000000)+Battery_Materials!N$54*(1+(GREET1_Import_Export!$E217*GREET1_Import_Export!$F$215+GREET1_Import_Export!$F217)/1000000)+Battery_Materials!N$55*(1+GREET1_Import_Export!$B217/1000000)+Battery_Materials!N$56*(1+GREET1_Import_Export!$B285/1000000)+Battery_Materials!N$57*SUM(GREET1_Import_Export!$B310:$C310)/1000000</f>
        <v>3.5461886362827153</v>
      </c>
      <c r="O59" s="258"/>
      <c r="P59" s="267"/>
      <c r="Q59" s="1335">
        <f>Battery_Materials!Q$51*(1+(GREET1_Import_Export!$B181*GREET1_Import_Export!$F$179+GREET1_Import_Export!$F181)/1000000)+Battery_Materials!Q$52*(1+(GREET1_Import_Export!$B181*GREET1_Import_Export!$G$179+GREET1_Import_Export!$G181)/1000000)+Battery_Materials!Q$53*(1+(GREET1_Import_Export!$B181*GREET1_Import_Export!$C$179+GREET1_Import_Export!$C181)/1000000)+Battery_Materials!Q$54*(1+(GREET1_Import_Export!$E217*GREET1_Import_Export!$F$215+GREET1_Import_Export!$F217)/1000000)+Battery_Materials!Q$55*(1+GREET1_Import_Export!$B217/1000000)+Battery_Materials!Q$56*(1+GREET1_Import_Export!$B285/1000000)+Battery_Materials!Q$57*($B$17*(GREET1_Import_Export!$B310+GREET1_Import_Export!$C310)+$C$17*GREET1_Import_Export!L343+$D$17*GREET1_Import_Export!H343+$E$17*GREET1_Import_Export!Q343+$F$17*GREET1_Import_Export!R343+SUMPRODUCT($G$17:$I$17,GREET1_Import_Export!N343:P343))/1000000</f>
        <v>287.0257873001828</v>
      </c>
      <c r="R59" s="258"/>
      <c r="S59" s="267"/>
      <c r="T59" s="273">
        <f>Battery_Materials!T$51*(1+(GREET1_Import_Export!$B181*GREET1_Import_Export!$F$179+GREET1_Import_Export!$F181)/1000000)+Battery_Materials!T$52*(1+(GREET1_Import_Export!$B181*GREET1_Import_Export!$G$179+GREET1_Import_Export!$G181)/1000000)+Battery_Materials!T$53*(1+(GREET1_Import_Export!$B181*GREET1_Import_Export!$C$179+GREET1_Import_Export!$C181)/1000000)+Battery_Materials!T$54*(1+(GREET1_Import_Export!$E217*GREET1_Import_Export!$F$215+GREET1_Import_Export!$F217)/1000000)+Battery_Materials!T$55*(1+GREET1_Import_Export!$B217/1000000)+Battery_Materials!T$56*(1+GREET1_Import_Export!$B285/1000000)+Battery_Materials!T$57*SUM(GREET1_Import_Export!$B310:$C310)/1000000</f>
        <v>0.77245671345552058</v>
      </c>
      <c r="U59" s="258"/>
      <c r="V59" s="267"/>
      <c r="W59" s="273">
        <f>Battery_Materials!W$51*(1+(GREET1_Import_Export!$B181*GREET1_Import_Export!$F$179+GREET1_Import_Export!$F181)/1000000)+Battery_Materials!W$52*(1+(GREET1_Import_Export!$B181*GREET1_Import_Export!$G$179+GREET1_Import_Export!$G181)/1000000)+Battery_Materials!W$53*(1+(GREET1_Import_Export!$B181*GREET1_Import_Export!$C$179+GREET1_Import_Export!$C181)/1000000)+Battery_Materials!W$54*(1+(GREET1_Import_Export!$E217*GREET1_Import_Export!$F$215+GREET1_Import_Export!$F217)/1000000)+Battery_Materials!W$55*(1+GREET1_Import_Export!$B217/1000000)+Battery_Materials!W$56*(1+GREET1_Import_Export!$B285/1000000)+Battery_Materials!W$57*SUM(GREET1_Import_Export!$B310:$C310)/1000000</f>
        <v>8.9405141492193358</v>
      </c>
      <c r="X59" s="258"/>
      <c r="Y59" s="267"/>
    </row>
    <row r="60" spans="1:25" s="7" customFormat="1">
      <c r="A60" s="100" t="s">
        <v>805</v>
      </c>
      <c r="B60" s="273">
        <f>Battery_Materials!B$51*((GREET1_Import_Export!$B182*GREET1_Import_Export!$F$179+GREET1_Import_Export!$F182)/1000000)+Battery_Materials!B$52*((GREET1_Import_Export!$B182*GREET1_Import_Export!$G$179+GREET1_Import_Export!$G182)/1000000)+Battery_Materials!B$53*((GREET1_Import_Export!$B182*GREET1_Import_Export!$C$179+GREET1_Import_Export!$C182)/1000000)+Battery_Materials!B$54*((GREET1_Import_Export!$E218*GREET1_Import_Export!$F$215+GREET1_Import_Export!$F218)/1000000)+Battery_Materials!B$55*(GREET1_Import_Export!$B218/1000000)+Battery_Materials!B$56*(1+GREET1_Import_Export!$B286/1000000)+Battery_Materials!B$57*(SUM(GREET1_Import_Export!$B311:$C311)/1000000)</f>
        <v>4.5836217703848154</v>
      </c>
      <c r="C60" s="258"/>
      <c r="D60" s="267"/>
      <c r="E60" s="273">
        <f>Battery_Materials!E$51*((GREET1_Import_Export!$B182*GREET1_Import_Export!$F$179+GREET1_Import_Export!$F182)/1000000)+Battery_Materials!E$52*((GREET1_Import_Export!$B182*GREET1_Import_Export!$G$179+GREET1_Import_Export!$G182)/1000000)+Battery_Materials!E$53*((GREET1_Import_Export!$B182*GREET1_Import_Export!$C$179+GREET1_Import_Export!$C182)/1000000)+Battery_Materials!E$54*((GREET1_Import_Export!$E218*GREET1_Import_Export!$F$215+GREET1_Import_Export!$F218)/1000000)+Battery_Materials!E$55*(GREET1_Import_Export!$B218/1000000)+Battery_Materials!E$56*(1+GREET1_Import_Export!$B286/1000000)+Battery_Materials!E$57*(SUM(GREET1_Import_Export!$B311:$C311)/1000000)</f>
        <v>40.503187962426004</v>
      </c>
      <c r="F60" s="258"/>
      <c r="G60" s="267"/>
      <c r="H60" s="273">
        <f>Battery_Materials!H$51*((GREET1_Import_Export!$B182*GREET1_Import_Export!$F$179+GREET1_Import_Export!$F182)/1000000)+Battery_Materials!H$52*((GREET1_Import_Export!$B182*GREET1_Import_Export!$G$179+GREET1_Import_Export!$G182)/1000000)+Battery_Materials!H$53*((GREET1_Import_Export!$B182*GREET1_Import_Export!$C$179+GREET1_Import_Export!$C182)/1000000)+Battery_Materials!H$54*((GREET1_Import_Export!$E218*GREET1_Import_Export!$F$215+GREET1_Import_Export!$F218)/1000000)+Battery_Materials!H$55*(GREET1_Import_Export!$B218/1000000)+Battery_Materials!H$56*(1+GREET1_Import_Export!$B286/1000000)+Battery_Materials!H$57*(SUM(GREET1_Import_Export!$B311:$C311)/1000000)</f>
        <v>2.0122349619670386E-2</v>
      </c>
      <c r="I60" s="258"/>
      <c r="J60" s="267"/>
      <c r="K60" s="273">
        <f>Battery_Materials!K$51*((GREET1_Import_Export!$B182*GREET1_Import_Export!$F$179+GREET1_Import_Export!$F182)/1000000)+Battery_Materials!K$52*((GREET1_Import_Export!$B182*GREET1_Import_Export!$G$179+GREET1_Import_Export!$G182)/1000000)+Battery_Materials!K$53*((GREET1_Import_Export!$B182*GREET1_Import_Export!$C$179+GREET1_Import_Export!$C182)/1000000)+Battery_Materials!K$54*((GREET1_Import_Export!$E218*GREET1_Import_Export!$F$215+GREET1_Import_Export!$F218)/1000000)+Battery_Materials!K$55*(GREET1_Import_Export!$B218/1000000)+Battery_Materials!K$56*(1+GREET1_Import_Export!$B286/1000000)+Battery_Materials!K$57*(SUM(GREET1_Import_Export!$B311:$C311)/1000000)</f>
        <v>4.9714775409883775E-2</v>
      </c>
      <c r="L60" s="258"/>
      <c r="M60" s="267"/>
      <c r="N60" s="273">
        <f>Battery_Materials!N$51*((GREET1_Import_Export!$B182*GREET1_Import_Export!$F$179+GREET1_Import_Export!$F182)/1000000)+Battery_Materials!N$52*((GREET1_Import_Export!$B182*GREET1_Import_Export!$G$179+GREET1_Import_Export!$G182)/1000000)+Battery_Materials!N$53*((GREET1_Import_Export!$B182*GREET1_Import_Export!$C$179+GREET1_Import_Export!$C182)/1000000)+Battery_Materials!N$54*((GREET1_Import_Export!$E218*GREET1_Import_Export!$F$215+GREET1_Import_Export!$F218)/1000000)+Battery_Materials!N$55*(GREET1_Import_Export!$B218/1000000)+Battery_Materials!N$56*(1+GREET1_Import_Export!$B286/1000000)+Battery_Materials!N$57*(SUM(GREET1_Import_Export!$B311:$C311)/1000000)</f>
        <v>0.56906152758351447</v>
      </c>
      <c r="O60" s="258"/>
      <c r="P60" s="267"/>
      <c r="Q60" s="1335">
        <f>Battery_Materials!Q$51*((GREET1_Import_Export!$B182*GREET1_Import_Export!$F$179+GREET1_Import_Export!$F182)/1000000)+Battery_Materials!Q$52*((GREET1_Import_Export!$B182*GREET1_Import_Export!$G$179+GREET1_Import_Export!$G182)/1000000)+Battery_Materials!Q$53*((GREET1_Import_Export!$B182*GREET1_Import_Export!$C$179+GREET1_Import_Export!$C182)/1000000)+Battery_Materials!Q$54*((GREET1_Import_Export!$E218*GREET1_Import_Export!$F$215+GREET1_Import_Export!$F218)/1000000)+Battery_Materials!Q$55*(GREET1_Import_Export!$B218/1000000)+Battery_Materials!Q$56*(1+GREET1_Import_Export!$B286/1000000)+Battery_Materials!Q$57*($B$17*(GREET1_Import_Export!$B311+GREET1_Import_Export!$C311)+$C$17*GREET1_Import_Export!L344+$D$17*GREET1_Import_Export!H344+$E$17*GREET1_Import_Export!Q344+$F$17*GREET1_Import_Export!R344+SUMPRODUCT($G$17:$I$17,GREET1_Import_Export!N344:P344))/1000000</f>
        <v>67.524059198097035</v>
      </c>
      <c r="R60" s="258"/>
      <c r="S60" s="267"/>
      <c r="T60" s="273">
        <f>Battery_Materials!T$51*((GREET1_Import_Export!$B182*GREET1_Import_Export!$F$179+GREET1_Import_Export!$F182)/1000000)+Battery_Materials!T$52*((GREET1_Import_Export!$B182*GREET1_Import_Export!$G$179+GREET1_Import_Export!$G182)/1000000)+Battery_Materials!T$53*((GREET1_Import_Export!$B182*GREET1_Import_Export!$C$179+GREET1_Import_Export!$C182)/1000000)+Battery_Materials!T$54*((GREET1_Import_Export!$E218*GREET1_Import_Export!$F$215+GREET1_Import_Export!$F218)/1000000)+Battery_Materials!T$55*(GREET1_Import_Export!$B218/1000000)+Battery_Materials!T$56*(1+GREET1_Import_Export!$B286/1000000)+Battery_Materials!T$57*(SUM(GREET1_Import_Export!$B311:$C311)/1000000)</f>
        <v>6.9004691806995278E-4</v>
      </c>
      <c r="U60" s="258"/>
      <c r="V60" s="267"/>
      <c r="W60" s="273">
        <f>Battery_Materials!W$51*((GREET1_Import_Export!$B182*GREET1_Import_Export!$F$179+GREET1_Import_Export!$F182)/1000000)+Battery_Materials!W$52*((GREET1_Import_Export!$B182*GREET1_Import_Export!$G$179+GREET1_Import_Export!$G182)/1000000)+Battery_Materials!W$53*((GREET1_Import_Export!$B182*GREET1_Import_Export!$C$179+GREET1_Import_Export!$C182)/1000000)+Battery_Materials!W$54*((GREET1_Import_Export!$E218*GREET1_Import_Export!$F$215+GREET1_Import_Export!$F218)/1000000)+Battery_Materials!W$55*(GREET1_Import_Export!$B218/1000000)+Battery_Materials!W$56*(1+GREET1_Import_Export!$B286/1000000)+Battery_Materials!W$57*(SUM(GREET1_Import_Export!$B311:$C311)/1000000)</f>
        <v>4.6917952017820556E-2</v>
      </c>
      <c r="X60" s="258"/>
      <c r="Y60" s="267"/>
    </row>
    <row r="61" spans="1:25" s="7" customFormat="1">
      <c r="A61" s="100" t="s">
        <v>804</v>
      </c>
      <c r="B61" s="273">
        <f>Battery_Materials!B$51*((GREET1_Import_Export!$B183*GREET1_Import_Export!$F$179+GREET1_Import_Export!$F183)/1000000)+Battery_Materials!B$52*((GREET1_Import_Export!$B183*GREET1_Import_Export!$G$179+GREET1_Import_Export!$G183)/1000000)+Battery_Materials!B$53*((GREET1_Import_Export!$B183*GREET1_Import_Export!$C$179+GREET1_Import_Export!$C183)/1000000)+Battery_Materials!B$54*(1+(GREET1_Import_Export!$E219*GREET1_Import_Export!$F$215+GREET1_Import_Export!$F219)/1000000)+Battery_Materials!B$55*(1+GREET1_Import_Export!$B219/1000000)+Battery_Materials!B$56*(GREET1_Import_Export!$B287/1000000)+Battery_Materials!B$57*SUM(GREET1_Import_Export!$B312:$C312)/1000000</f>
        <v>21.66112346194172</v>
      </c>
      <c r="C61" s="258"/>
      <c r="D61" s="267"/>
      <c r="E61" s="273">
        <f>Battery_Materials!E$51*((GREET1_Import_Export!$B183*GREET1_Import_Export!$F$179+GREET1_Import_Export!$F183)/1000000)+Battery_Materials!E$52*((GREET1_Import_Export!$B183*GREET1_Import_Export!$G$179+GREET1_Import_Export!$G183)/1000000)+Battery_Materials!E$53*((GREET1_Import_Export!$B183*GREET1_Import_Export!$C$179+GREET1_Import_Export!$C183)/1000000)+Battery_Materials!E$54*(1+(GREET1_Import_Export!$E219*GREET1_Import_Export!$F$215+GREET1_Import_Export!$F219)/1000000)+Battery_Materials!E$55*(1+GREET1_Import_Export!$B219/1000000)+Battery_Materials!E$56*(GREET1_Import_Export!$B287/1000000)+Battery_Materials!E$57*SUM(GREET1_Import_Export!$B312:$C312)/1000000</f>
        <v>74.930701107061694</v>
      </c>
      <c r="F61" s="258"/>
      <c r="G61" s="267"/>
      <c r="H61" s="273">
        <f>Battery_Materials!H$51*((GREET1_Import_Export!$B183*GREET1_Import_Export!$F$179+GREET1_Import_Export!$F183)/1000000)+Battery_Materials!H$52*((GREET1_Import_Export!$B183*GREET1_Import_Export!$G$179+GREET1_Import_Export!$G183)/1000000)+Battery_Materials!H$53*((GREET1_Import_Export!$B183*GREET1_Import_Export!$C$179+GREET1_Import_Export!$C183)/1000000)+Battery_Materials!H$54*(1+(GREET1_Import_Export!$E219*GREET1_Import_Export!$F$215+GREET1_Import_Export!$F219)/1000000)+Battery_Materials!H$55*(1+GREET1_Import_Export!$B219/1000000)+Battery_Materials!H$56*(GREET1_Import_Export!$B287/1000000)+Battery_Materials!H$57*SUM(GREET1_Import_Export!$B312:$C312)/1000000</f>
        <v>0.27771730661294047</v>
      </c>
      <c r="I61" s="258"/>
      <c r="J61" s="267"/>
      <c r="K61" s="273">
        <f>Battery_Materials!K$51*((GREET1_Import_Export!$B183*GREET1_Import_Export!$F$179+GREET1_Import_Export!$F183)/1000000)+Battery_Materials!K$52*((GREET1_Import_Export!$B183*GREET1_Import_Export!$G$179+GREET1_Import_Export!$G183)/1000000)+Battery_Materials!K$53*((GREET1_Import_Export!$B183*GREET1_Import_Export!$C$179+GREET1_Import_Export!$C183)/1000000)+Battery_Materials!K$54*(1+(GREET1_Import_Export!$E219*GREET1_Import_Export!$F$215+GREET1_Import_Export!$F219)/1000000)+Battery_Materials!K$55*(1+GREET1_Import_Export!$B219/1000000)+Battery_Materials!K$56*(GREET1_Import_Export!$B287/1000000)+Battery_Materials!K$57*SUM(GREET1_Import_Export!$B312:$C312)/1000000</f>
        <v>1.485926750387589</v>
      </c>
      <c r="L61" s="258"/>
      <c r="M61" s="267"/>
      <c r="N61" s="273">
        <f>Battery_Materials!N$51*((GREET1_Import_Export!$B183*GREET1_Import_Export!$F$179+GREET1_Import_Export!$F183)/1000000)+Battery_Materials!N$52*((GREET1_Import_Export!$B183*GREET1_Import_Export!$G$179+GREET1_Import_Export!$G183)/1000000)+Battery_Materials!N$53*((GREET1_Import_Export!$B183*GREET1_Import_Export!$C$179+GREET1_Import_Export!$C183)/1000000)+Battery_Materials!N$54*(1+(GREET1_Import_Export!$E219*GREET1_Import_Export!$F$215+GREET1_Import_Export!$F219)/1000000)+Battery_Materials!N$55*(1+GREET1_Import_Export!$B219/1000000)+Battery_Materials!N$56*(GREET1_Import_Export!$B287/1000000)+Battery_Materials!N$57*SUM(GREET1_Import_Export!$B312:$C312)/1000000</f>
        <v>2.9524229539869138</v>
      </c>
      <c r="O61" s="258"/>
      <c r="P61" s="267"/>
      <c r="Q61" s="1335">
        <f>Q59-Q60-Q62</f>
        <v>217.05445562228772</v>
      </c>
      <c r="R61" s="258"/>
      <c r="S61" s="267"/>
      <c r="T61" s="273">
        <f>Battery_Materials!T$51*((GREET1_Import_Export!$B183*GREET1_Import_Export!$F$179+GREET1_Import_Export!$F183)/1000000)+Battery_Materials!T$52*((GREET1_Import_Export!$B183*GREET1_Import_Export!$G$179+GREET1_Import_Export!$G183)/1000000)+Battery_Materials!T$53*((GREET1_Import_Export!$B183*GREET1_Import_Export!$C$179+GREET1_Import_Export!$C183)/1000000)+Battery_Materials!T$54*(1+(GREET1_Import_Export!$E219*GREET1_Import_Export!$F$215+GREET1_Import_Export!$F219)/1000000)+Battery_Materials!T$55*(1+GREET1_Import_Export!$B219/1000000)+Battery_Materials!T$56*(GREET1_Import_Export!$B287/1000000)+Battery_Materials!T$57*SUM(GREET1_Import_Export!$B312:$C312)/1000000</f>
        <v>0.76895668923465144</v>
      </c>
      <c r="U61" s="258"/>
      <c r="V61" s="267"/>
      <c r="W61" s="273">
        <f>Battery_Materials!W$51*((GREET1_Import_Export!$B183*GREET1_Import_Export!$F$179+GREET1_Import_Export!$F183)/1000000)+Battery_Materials!W$52*((GREET1_Import_Export!$B183*GREET1_Import_Export!$G$179+GREET1_Import_Export!$G183)/1000000)+Battery_Materials!W$53*((GREET1_Import_Export!$B183*GREET1_Import_Export!$C$179+GREET1_Import_Export!$C183)/1000000)+Battery_Materials!W$54*(1+(GREET1_Import_Export!$E219*GREET1_Import_Export!$F$215+GREET1_Import_Export!$F219)/1000000)+Battery_Materials!W$55*(1+GREET1_Import_Export!$B219/1000000)+Battery_Materials!W$56*(GREET1_Import_Export!$B287/1000000)+Battery_Materials!W$57*SUM(GREET1_Import_Export!$B312:$C312)/1000000</f>
        <v>8.8602610777514776</v>
      </c>
      <c r="X61" s="258"/>
      <c r="Y61" s="267"/>
    </row>
    <row r="62" spans="1:25" s="7" customFormat="1">
      <c r="A62" s="100" t="s">
        <v>818</v>
      </c>
      <c r="B62" s="286">
        <f>Battery_Materials!B$51*(1+(GREET1_Import_Export!$B184*GREET1_Import_Export!$F$179+GREET1_Import_Export!$F184)/1000000)+Battery_Materials!B$52*(1+(GREET1_Import_Export!$B184*GREET1_Import_Export!$G$179+GREET1_Import_Export!$G184)/1000000)+Battery_Materials!B$53*(1+(GREET1_Import_Export!$B184*GREET1_Import_Export!$C$179+GREET1_Import_Export!$C184)/1000000)+Battery_Materials!B$54*((GREET1_Import_Export!$E220*GREET1_Import_Export!$F$215+GREET1_Import_Export!$F220)/1000000)+Battery_Materials!B$55*(GREET1_Import_Export!$B220/1000000)+Battery_Materials!B$56*(GREET1_Import_Export!$B288/1000000)+Battery_Materials!B$57*SUM(GREET1_Import_Export!$B313:$C313)/1000000</f>
        <v>1.0654631917472772</v>
      </c>
      <c r="C62" s="287"/>
      <c r="D62" s="268"/>
      <c r="E62" s="286">
        <f>Battery_Materials!E$51*(1+(GREET1_Import_Export!$B184*GREET1_Import_Export!$F$179+GREET1_Import_Export!$F184)/1000000)+Battery_Materials!E$52*(1+(GREET1_Import_Export!$B184*GREET1_Import_Export!$G$179+GREET1_Import_Export!$G184)/1000000)+Battery_Materials!E$53*(1+(GREET1_Import_Export!$B184*GREET1_Import_Export!$C$179+GREET1_Import_Export!$C184)/1000000)+Battery_Materials!E$54*((GREET1_Import_Export!$E220*GREET1_Import_Export!$F$215+GREET1_Import_Export!$F220)/1000000)+Battery_Materials!E$55*(GREET1_Import_Export!$B220/1000000)+Battery_Materials!E$56*(GREET1_Import_Export!$B288/1000000)+Battery_Materials!E$57*SUM(GREET1_Import_Export!$B313:$C313)/1000000</f>
        <v>1.6470690540967032</v>
      </c>
      <c r="F62" s="287"/>
      <c r="G62" s="268"/>
      <c r="H62" s="286">
        <f>Battery_Materials!H$51*(1+(GREET1_Import_Export!$B184*GREET1_Import_Export!$F$179+GREET1_Import_Export!$F184)/1000000)+Battery_Materials!H$52*(1+(GREET1_Import_Export!$B184*GREET1_Import_Export!$G$179+GREET1_Import_Export!$G184)/1000000)+Battery_Materials!H$53*(1+(GREET1_Import_Export!$B184*GREET1_Import_Export!$C$179+GREET1_Import_Export!$C184)/1000000)+Battery_Materials!H$54*((GREET1_Import_Export!$E220*GREET1_Import_Export!$F$215+GREET1_Import_Export!$F220)/1000000)+Battery_Materials!H$55*(GREET1_Import_Export!$B220/1000000)+Battery_Materials!H$56*(GREET1_Import_Export!$B288/1000000)+Battery_Materials!H$57*SUM(GREET1_Import_Export!$B313:$C313)/1000000</f>
        <v>1.5030832439246022E-3</v>
      </c>
      <c r="I62" s="287"/>
      <c r="J62" s="268"/>
      <c r="K62" s="286">
        <f>Battery_Materials!K$51*(1+(GREET1_Import_Export!$B184*GREET1_Import_Export!$F$179+GREET1_Import_Export!$F184)/1000000)+Battery_Materials!K$52*(1+(GREET1_Import_Export!$B184*GREET1_Import_Export!$G$179+GREET1_Import_Export!$G184)/1000000)+Battery_Materials!K$53*(1+(GREET1_Import_Export!$B184*GREET1_Import_Export!$C$179+GREET1_Import_Export!$C184)/1000000)+Battery_Materials!K$54*((GREET1_Import_Export!$E220*GREET1_Import_Export!$F$215+GREET1_Import_Export!$F220)/1000000)+Battery_Materials!K$55*(GREET1_Import_Export!$B220/1000000)+Battery_Materials!K$56*(GREET1_Import_Export!$B288/1000000)+Battery_Materials!K$57*SUM(GREET1_Import_Export!$B313:$C313)/1000000</f>
        <v>6.6185784186212453E-3</v>
      </c>
      <c r="L62" s="287"/>
      <c r="M62" s="268"/>
      <c r="N62" s="286">
        <f>Battery_Materials!N$51*(1+(GREET1_Import_Export!$B184*GREET1_Import_Export!$F$179+GREET1_Import_Export!$F184)/1000000)+Battery_Materials!N$52*(1+(GREET1_Import_Export!$B184*GREET1_Import_Export!$G$179+GREET1_Import_Export!$G184)/1000000)+Battery_Materials!N$53*(1+(GREET1_Import_Export!$B184*GREET1_Import_Export!$C$179+GREET1_Import_Export!$C184)/1000000)+Battery_Materials!N$54*((GREET1_Import_Export!$E220*GREET1_Import_Export!$F$215+GREET1_Import_Export!$F220)/1000000)+Battery_Materials!N$55*(GREET1_Import_Export!$B220/1000000)+Battery_Materials!N$56*(GREET1_Import_Export!$B288/1000000)+Battery_Materials!N$57*SUM(GREET1_Import_Export!$B313:$C313)/1000000</f>
        <v>2.4704154712287565E-2</v>
      </c>
      <c r="O62" s="287"/>
      <c r="P62" s="268"/>
      <c r="Q62" s="1336">
        <f>Battery_Materials!Q$51*(1+(GREET1_Import_Export!$B184*GREET1_Import_Export!$F$179+GREET1_Import_Export!$F184)/1000000)+Battery_Materials!Q$52*(1+(GREET1_Import_Export!$B184*GREET1_Import_Export!$G$179+GREET1_Import_Export!$G184)/1000000)+Battery_Materials!Q$53*(1+(GREET1_Import_Export!$B184*GREET1_Import_Export!$C$179+GREET1_Import_Export!$C184)/1000000)+Battery_Materials!Q$54*((GREET1_Import_Export!$E220*GREET1_Import_Export!$F$215+GREET1_Import_Export!$F220)/1000000)+Battery_Materials!Q$55*(GREET1_Import_Export!$B220/1000000)+Battery_Materials!Q$56*(GREET1_Import_Export!$B288/1000000)+Battery_Materials!Q$57*($B$17*(GREET1_Import_Export!$B313+GREET1_Import_Export!$C313)+$C$17*GREET1_Import_Export!L346+$D$17*GREET1_Import_Export!H346+$E$17*GREET1_Import_Export!Q346+$F$17*GREET1_Import_Export!R346+SUMPRODUCT($G$17:$I$17,GREET1_Import_Export!N346:P346))/1000000</f>
        <v>2.4472724797980367</v>
      </c>
      <c r="R62" s="287"/>
      <c r="S62" s="268"/>
      <c r="T62" s="286">
        <f>Battery_Materials!T$51*(1+(GREET1_Import_Export!$B184*GREET1_Import_Export!$F$179+GREET1_Import_Export!$F184)/1000000)+Battery_Materials!T$52*(1+(GREET1_Import_Export!$B184*GREET1_Import_Export!$G$179+GREET1_Import_Export!$G184)/1000000)+Battery_Materials!T$53*(1+(GREET1_Import_Export!$B184*GREET1_Import_Export!$C$179+GREET1_Import_Export!$C184)/1000000)+Battery_Materials!T$54*((GREET1_Import_Export!$E220*GREET1_Import_Export!$F$215+GREET1_Import_Export!$F220)/1000000)+Battery_Materials!T$55*(GREET1_Import_Export!$B220/1000000)+Battery_Materials!T$56*(GREET1_Import_Export!$B288/1000000)+Battery_Materials!T$57*SUM(GREET1_Import_Export!$B313:$C313)/1000000</f>
        <v>2.8099773027992353E-3</v>
      </c>
      <c r="U62" s="287"/>
      <c r="V62" s="268"/>
      <c r="W62" s="286">
        <f>Battery_Materials!W$51*(1+(GREET1_Import_Export!$B184*GREET1_Import_Export!$F$179+GREET1_Import_Export!$F184)/1000000)+Battery_Materials!W$52*(1+(GREET1_Import_Export!$B184*GREET1_Import_Export!$G$179+GREET1_Import_Export!$G184)/1000000)+Battery_Materials!W$53*(1+(GREET1_Import_Export!$B184*GREET1_Import_Export!$C$179+GREET1_Import_Export!$C184)/1000000)+Battery_Materials!W$54*((GREET1_Import_Export!$E220*GREET1_Import_Export!$F$215+GREET1_Import_Export!$F220)/1000000)+Battery_Materials!W$55*(GREET1_Import_Export!$B220/1000000)+Battery_Materials!W$56*(GREET1_Import_Export!$B288/1000000)+Battery_Materials!W$57*SUM(GREET1_Import_Export!$B313:$C313)/1000000</f>
        <v>3.3335119450039856E-2</v>
      </c>
      <c r="X62" s="287"/>
      <c r="Y62" s="268"/>
    </row>
    <row r="63" spans="1:25" s="7" customFormat="1">
      <c r="A63" s="1668" t="s">
        <v>819</v>
      </c>
      <c r="B63" s="631">
        <f>Battery_Materials!B$51*((GREET1_Import_Export!$B185*GREET1_Import_Export!$F$179+GREET1_Import_Export!$F185))+Battery_Materials!B$52*((GREET1_Import_Export!$B185*GREET1_Import_Export!$G$179+GREET1_Import_Export!$G185))+Battery_Materials!B$53*((GREET1_Import_Export!$B185*GREET1_Import_Export!$C$179+GREET1_Import_Export!$C185))+Battery_Materials!B$54*((GREET1_Import_Export!$E221*GREET1_Import_Export!$F$215+GREET1_Import_Export!$F221))+Battery_Materials!B$55*(GREET1_Import_Export!$B221)+Battery_Materials!B$56*(GREET1_Import_Export!$B289)+Battery_Materials!B$57*SUM(GREET1_Import_Export!$B314:$C314)</f>
        <v>944.00566694798272</v>
      </c>
      <c r="C63" s="288"/>
      <c r="D63" s="283"/>
      <c r="E63" s="631">
        <f>Battery_Materials!E$51*((GREET1_Import_Export!$B185*GREET1_Import_Export!$F$179+GREET1_Import_Export!$F185))+Battery_Materials!E$52*((GREET1_Import_Export!$B185*GREET1_Import_Export!$G$179+GREET1_Import_Export!$G185))+Battery_Materials!E$53*((GREET1_Import_Export!$B185*GREET1_Import_Export!$C$179+GREET1_Import_Export!$C185))+Battery_Materials!E$54*((GREET1_Import_Export!$E221*GREET1_Import_Export!$F$215+GREET1_Import_Export!$F221))+Battery_Materials!E$55*(GREET1_Import_Export!$B221)+Battery_Materials!E$56*(GREET1_Import_Export!$B289)+Battery_Materials!E$57*SUM(GREET1_Import_Export!$B314:$C314)</f>
        <v>7901.7405592522427</v>
      </c>
      <c r="F63" s="288"/>
      <c r="G63" s="283"/>
      <c r="H63" s="631">
        <f>Battery_Materials!H$51*((GREET1_Import_Export!$B185*GREET1_Import_Export!$F$179+GREET1_Import_Export!$F185))+Battery_Materials!H$52*((GREET1_Import_Export!$B185*GREET1_Import_Export!$G$179+GREET1_Import_Export!$G185))+Battery_Materials!H$53*((GREET1_Import_Export!$B185*GREET1_Import_Export!$C$179+GREET1_Import_Export!$C185))+Battery_Materials!H$54*((GREET1_Import_Export!$E221*GREET1_Import_Export!$F$215+GREET1_Import_Export!$F221))+Battery_Materials!H$55*(GREET1_Import_Export!$B221)+Battery_Materials!H$56*(GREET1_Import_Export!$B289)+Battery_Materials!H$57*SUM(GREET1_Import_Export!$B314:$C314)</f>
        <v>4.5559526072867618</v>
      </c>
      <c r="I63" s="288"/>
      <c r="J63" s="283"/>
      <c r="K63" s="631">
        <f>Battery_Materials!K$51*((GREET1_Import_Export!$B185*GREET1_Import_Export!$F$179+GREET1_Import_Export!$F185))+Battery_Materials!K$52*((GREET1_Import_Export!$B185*GREET1_Import_Export!$G$179+GREET1_Import_Export!$G185))+Battery_Materials!K$53*((GREET1_Import_Export!$B185*GREET1_Import_Export!$C$179+GREET1_Import_Export!$C185))+Battery_Materials!K$54*((GREET1_Import_Export!$E221*GREET1_Import_Export!$F$215+GREET1_Import_Export!$F221))+Battery_Materials!K$55*(GREET1_Import_Export!$B221)+Battery_Materials!K$56*(GREET1_Import_Export!$B289)+Battery_Materials!K$57*SUM(GREET1_Import_Export!$B314:$C314)</f>
        <v>13.363569177406085</v>
      </c>
      <c r="L63" s="288"/>
      <c r="M63" s="283"/>
      <c r="N63" s="631">
        <f>Battery_Materials!N$51*((GREET1_Import_Export!$B185*GREET1_Import_Export!$F$179+GREET1_Import_Export!$F185))+Battery_Materials!N$52*((GREET1_Import_Export!$B185*GREET1_Import_Export!$G$179+GREET1_Import_Export!$G185))+Battery_Materials!N$53*((GREET1_Import_Export!$B185*GREET1_Import_Export!$C$179+GREET1_Import_Export!$C185))+Battery_Materials!N$54*((GREET1_Import_Export!$E221*GREET1_Import_Export!$F$215+GREET1_Import_Export!$F221))+Battery_Materials!N$55*(GREET1_Import_Export!$B221)+Battery_Materials!N$56*(GREET1_Import_Export!$B289)+Battery_Materials!N$57*SUM(GREET1_Import_Export!$B314:$C314)</f>
        <v>115.92694858524088</v>
      </c>
      <c r="O63" s="288"/>
      <c r="P63" s="283"/>
      <c r="Q63" s="522">
        <f>Battery_Materials!Q$51*((GREET1_Import_Export!$B185*GREET1_Import_Export!$F$179+GREET1_Import_Export!$F185))+Battery_Materials!Q$52*((GREET1_Import_Export!$B185*GREET1_Import_Export!$G$179+GREET1_Import_Export!$G185))+Battery_Materials!Q$53*((GREET1_Import_Export!$B185*GREET1_Import_Export!$C$179+GREET1_Import_Export!$C185))+Battery_Materials!Q$54*((GREET1_Import_Export!$E221*GREET1_Import_Export!$F$215+GREET1_Import_Export!$F221))+Battery_Materials!Q$55*(GREET1_Import_Export!$B221)+Battery_Materials!Q$56*(GREET1_Import_Export!$B289)
+Battery_Materials!Q$57*($B$17*(GREET1_Import_Export!$B314+GREET1_Import_Export!$C314)+$C$17*GREET1_Import_Export!L347+$D$17*GREET1_Import_Export!H347+$E$17*GREET1_Import_Export!Q347+$F$17*GREET1_Import_Export!R347+SUMPRODUCT($G$17:$I$17,GREET1_Import_Export!N347:P347))</f>
        <v>13404.538694339732</v>
      </c>
      <c r="R63" s="288"/>
      <c r="S63" s="283"/>
      <c r="T63" s="631">
        <f>Battery_Materials!T$51*((GREET1_Import_Export!$B185*GREET1_Import_Export!$F$179+GREET1_Import_Export!$F185))+Battery_Materials!T$52*((GREET1_Import_Export!$B185*GREET1_Import_Export!$G$179+GREET1_Import_Export!$G185))+Battery_Materials!T$53*((GREET1_Import_Export!$B185*GREET1_Import_Export!$C$179+GREET1_Import_Export!$C185))+Battery_Materials!T$54*((GREET1_Import_Export!$E221*GREET1_Import_Export!$F$215+GREET1_Import_Export!$F221))+Battery_Materials!T$55*(GREET1_Import_Export!$B221)+Battery_Materials!T$56*(GREET1_Import_Export!$B289)+Battery_Materials!T$57*SUM(GREET1_Import_Export!$B314:$C314)</f>
        <v>2.1574071108723643</v>
      </c>
      <c r="U63" s="288"/>
      <c r="V63" s="283"/>
      <c r="W63" s="631">
        <f>Battery_Materials!W$51*((GREET1_Import_Export!$B185*GREET1_Import_Export!$F$179+GREET1_Import_Export!$F185))+Battery_Materials!W$52*((GREET1_Import_Export!$B185*GREET1_Import_Export!$G$179+GREET1_Import_Export!$G185))+Battery_Materials!W$53*((GREET1_Import_Export!$B185*GREET1_Import_Export!$C$179+GREET1_Import_Export!$C185))+Battery_Materials!W$54*((GREET1_Import_Export!$E221*GREET1_Import_Export!$F$215+GREET1_Import_Export!$F221))+Battery_Materials!W$55*(GREET1_Import_Export!$B221)+Battery_Materials!W$56*(GREET1_Import_Export!$B289)+Battery_Materials!W$57*SUM(GREET1_Import_Export!$B314:$C314)</f>
        <v>32.264057305450059</v>
      </c>
      <c r="X63" s="288"/>
      <c r="Y63" s="283"/>
    </row>
    <row r="64" spans="1:25" s="7" customFormat="1">
      <c r="A64" s="482" t="s">
        <v>864</v>
      </c>
      <c r="B64" s="281"/>
      <c r="C64" s="284"/>
      <c r="D64" s="285"/>
      <c r="E64" s="281"/>
      <c r="F64" s="284"/>
      <c r="G64" s="285"/>
      <c r="H64" s="281"/>
      <c r="I64" s="284"/>
      <c r="J64" s="285"/>
      <c r="K64" s="281"/>
      <c r="L64" s="284"/>
      <c r="M64" s="285"/>
      <c r="N64" s="281"/>
      <c r="O64" s="284"/>
      <c r="P64" s="285"/>
      <c r="Q64" s="1334"/>
      <c r="R64" s="284"/>
      <c r="S64" s="285"/>
      <c r="T64" s="281"/>
      <c r="U64" s="284"/>
      <c r="V64" s="285"/>
      <c r="W64" s="281"/>
      <c r="X64" s="284"/>
      <c r="Y64" s="285"/>
    </row>
    <row r="65" spans="1:25" s="7" customFormat="1">
      <c r="A65" s="100" t="s">
        <v>821</v>
      </c>
      <c r="B65" s="273">
        <f>Battery_Materials!B$51*(Battery_Materials!B$21*GREET1_Import_Export!$K72+GREET1_Import_Export!$B186*GREET1_Import_Export!$F$179+GREET1_Import_Export!$F186)+Battery_Materials!B$52*(Battery_Materials!B$23*GREET1_Import_Export!$Q72+Battery_Materials!B$24*GREET1_Import_Export!$O72+Battery_Materials!B$25*GREET1_Import_Export!$M72+GREET1_Import_Export!$B186*GREET1_Import_Export!$G$179+GREET1_Import_Export!$G186)+Battery_Materials!B$53*(Battery_Materials!B$26*GREET1_Import_Export!$T72+GREET1_Import_Export!$B186*GREET1_Import_Export!$C$179+GREET1_Import_Export!$C186)+Battery_Materials!B$54*(Battery_Materials!B$27*GREET1_Import_Export!$W72+GREET1_Import_Export!$E222*GREET1_Import_Export!$F$215+GREET1_Import_Export!$F222)+Battery_Materials!B$55*(Battery_Materials!B$28*GREET1_Import_Export!$B72+Battery_Materials!B$29*GREET1_Import_Export!$C72+Battery_Materials!B$30*GREET1_Import_Export!$G72+Battery_Materials!B$32*'GREET2_Factors_T&amp;D'!$F15+Battery_Materials!B$33*'GREET2_Factors_T&amp;D'!$G15+GREET1_Import_Export!$B222)+Battery_Materials!B$56*(Battery_Materials!B$34*GREET1_Import_Export!$AA72+Battery_Materials!B$35*GREET1_Import_Export!$AB72+GREET1_Import_Export!$B290)+Battery_Materials!B$57*SUM(GREET1_Import_Export!$B315:$C315)</f>
        <v>272.79401360081181</v>
      </c>
      <c r="C65" s="258"/>
      <c r="D65" s="267"/>
      <c r="E65" s="273">
        <f>Battery_Materials!E$51*(Battery_Materials!C$21*GREET1_Import_Export!$K72+GREET1_Import_Export!$B186*GREET1_Import_Export!$F$179+GREET1_Import_Export!$F186)+Battery_Materials!E$52*(Battery_Materials!C$23*GREET1_Import_Export!$Q72+Battery_Materials!C$24*GREET1_Import_Export!$O72+Battery_Materials!C$25*GREET1_Import_Export!$M72+GREET1_Import_Export!$B186*GREET1_Import_Export!$G$179+GREET1_Import_Export!$G186)+Battery_Materials!E$53*(Battery_Materials!C$26*GREET1_Import_Export!$T72+GREET1_Import_Export!$B186*GREET1_Import_Export!$C$179+GREET1_Import_Export!$C186)+Battery_Materials!E$54*(Battery_Materials!C$27*GREET1_Import_Export!$W72+GREET1_Import_Export!$E222*GREET1_Import_Export!$F$215+GREET1_Import_Export!$F222)+Battery_Materials!E$55*(Battery_Materials!C$28*GREET1_Import_Export!$B72+Battery_Materials!C$29*GREET1_Import_Export!$C72+Battery_Materials!C$30*GREET1_Import_Export!$G72+Battery_Materials!C$32*'GREET2_Factors_T&amp;D'!$F15+Battery_Materials!C$33*'GREET2_Factors_T&amp;D'!$G15+GREET1_Import_Export!$B222)+Battery_Materials!E$56*(Battery_Materials!C$34*GREET1_Import_Export!$AA72+Battery_Materials!C$35*GREET1_Import_Export!$AB72+GREET1_Import_Export!$B290)+Battery_Materials!E$57*SUM(GREET1_Import_Export!$B315:$C315)</f>
        <v>1009.0002862649476</v>
      </c>
      <c r="F65" s="258"/>
      <c r="G65" s="267"/>
      <c r="H65" s="273">
        <f>Battery_Materials!H$51*(Battery_Materials!F$21*GREET1_Import_Export!$K72+GREET1_Import_Export!$B186*GREET1_Import_Export!$F$179+GREET1_Import_Export!$F186)+Battery_Materials!H$52*(Battery_Materials!F$23*GREET1_Import_Export!$Q72+Battery_Materials!F$24*GREET1_Import_Export!$O72+Battery_Materials!F$25*GREET1_Import_Export!$M72+GREET1_Import_Export!$B186*GREET1_Import_Export!$G$179+GREET1_Import_Export!$G186)+Battery_Materials!H$53*(Battery_Materials!F$26*GREET1_Import_Export!$T72+GREET1_Import_Export!$B186*GREET1_Import_Export!$C$179+GREET1_Import_Export!$C186)+Battery_Materials!H$54*(Battery_Materials!F$27*GREET1_Import_Export!$W72+GREET1_Import_Export!$E222*GREET1_Import_Export!$F$215+GREET1_Import_Export!$F222)+Battery_Materials!H$55*(Battery_Materials!F$28*GREET1_Import_Export!$B72+Battery_Materials!F$29*GREET1_Import_Export!$C72+Battery_Materials!F$30*GREET1_Import_Export!$G72+Battery_Materials!F$32*'GREET2_Factors_T&amp;D'!$F15+Battery_Materials!F$33*'GREET2_Factors_T&amp;D'!$G15+GREET1_Import_Export!$B222)+Battery_Materials!H$56*(Battery_Materials!F$34*GREET1_Import_Export!$AA72+Battery_Materials!F$35*GREET1_Import_Export!$AB72+GREET1_Import_Export!$B290)+Battery_Materials!H$57*SUM(GREET1_Import_Export!$B315:$C315)</f>
        <v>3.3076214355352072</v>
      </c>
      <c r="I65" s="258"/>
      <c r="J65" s="267"/>
      <c r="K65" s="273">
        <f>Battery_Materials!K$51*(Battery_Materials!G$21*GREET1_Import_Export!$K72+GREET1_Import_Export!$B186*GREET1_Import_Export!$F$179+GREET1_Import_Export!$F186)+Battery_Materials!K$52*(Battery_Materials!G$23*GREET1_Import_Export!$Q72+Battery_Materials!G$24*GREET1_Import_Export!$O72+Battery_Materials!G$25*GREET1_Import_Export!$M72+GREET1_Import_Export!$B186*GREET1_Import_Export!$G$179+GREET1_Import_Export!$G186)+Battery_Materials!K$53*(Battery_Materials!G$26*GREET1_Import_Export!$T72+GREET1_Import_Export!$B186*GREET1_Import_Export!$C$179+GREET1_Import_Export!$C186)+Battery_Materials!K$54*(Battery_Materials!G$27*GREET1_Import_Export!$W72+GREET1_Import_Export!$E222*GREET1_Import_Export!$F$215+GREET1_Import_Export!$F222)+Battery_Materials!K$55*(Battery_Materials!G$28*GREET1_Import_Export!$B72+Battery_Materials!G$29*GREET1_Import_Export!$C72+Battery_Materials!G$30*GREET1_Import_Export!$G72+Battery_Materials!G$32*'GREET2_Factors_T&amp;D'!$F15+Battery_Materials!G$33*'GREET2_Factors_T&amp;D'!$G15+GREET1_Import_Export!$B222)+Battery_Materials!K$56*(Battery_Materials!G$34*GREET1_Import_Export!$AA72+Battery_Materials!G$35*GREET1_Import_Export!$AB72+GREET1_Import_Export!$B290)+Battery_Materials!K$57*SUM(GREET1_Import_Export!$B315:$C315)</f>
        <v>17.508400793295056</v>
      </c>
      <c r="L65" s="258"/>
      <c r="M65" s="267"/>
      <c r="N65" s="273">
        <f>Battery_Materials!N$51*(Battery_Materials!H$21*GREET1_Import_Export!$K72+GREET1_Import_Export!$B186*GREET1_Import_Export!$F$179+GREET1_Import_Export!$F186)+Battery_Materials!N$52*(Battery_Materials!H$23*GREET1_Import_Export!$Q72+Battery_Materials!H$24*GREET1_Import_Export!$O72+Battery_Materials!H$25*GREET1_Import_Export!$M72+GREET1_Import_Export!$B186*GREET1_Import_Export!$G$179+GREET1_Import_Export!$G186)+Battery_Materials!N$53*(Battery_Materials!H$26*GREET1_Import_Export!$T72+GREET1_Import_Export!$B186*GREET1_Import_Export!$C$179+GREET1_Import_Export!$C186)+Battery_Materials!N$54*(Battery_Materials!H$27*GREET1_Import_Export!$W72+GREET1_Import_Export!$E222*GREET1_Import_Export!$F$215+GREET1_Import_Export!$F222)+Battery_Materials!N$55*(Battery_Materials!H$28*GREET1_Import_Export!$B72+Battery_Materials!H$29*GREET1_Import_Export!$C72+Battery_Materials!H$30*GREET1_Import_Export!$G72+Battery_Materials!H$32*'GREET2_Factors_T&amp;D'!$F15+Battery_Materials!H$33*'GREET2_Factors_T&amp;D'!$G15+GREET1_Import_Export!$B222)+Battery_Materials!N$56*(Battery_Materials!H$34*GREET1_Import_Export!$AA72+Battery_Materials!H$35*GREET1_Import_Export!$AB72+GREET1_Import_Export!$B290)+Battery_Materials!N$57*SUM(GREET1_Import_Export!$B315:$C315)</f>
        <v>36.321905273315593</v>
      </c>
      <c r="O65" s="258"/>
      <c r="P65" s="267"/>
      <c r="Q65" s="1335">
        <f>Battery_Materials!Q$51*(Battery_Materials!I$21*GREET1_Import_Export!$K72+GREET1_Import_Export!$B186*GREET1_Import_Export!$F$179+GREET1_Import_Export!$F186)+Battery_Materials!Q$52*(Battery_Materials!I$23*GREET1_Import_Export!$Q72+Battery_Materials!I$24*GREET1_Import_Export!$O72+Battery_Materials!I$25*GREET1_Import_Export!$M72+GREET1_Import_Export!$B186*GREET1_Import_Export!$G$179+GREET1_Import_Export!$G186)+Battery_Materials!Q$53*(Battery_Materials!I$26*GREET1_Import_Export!$T72+GREET1_Import_Export!$B186*GREET1_Import_Export!$C$179+GREET1_Import_Export!$C186)+Battery_Materials!Q$54*(Battery_Materials!I$27*GREET1_Import_Export!$W72+GREET1_Import_Export!$E222*GREET1_Import_Export!$F$215+GREET1_Import_Export!$F222)+Battery_Materials!Q$55*(Battery_Materials!I$28*GREET1_Import_Export!$B72+Battery_Materials!I$29*GREET1_Import_Export!$C72+Battery_Materials!I$30*GREET1_Import_Export!$G72+Battery_Materials!I$32*'GREET2_Factors_T&amp;D'!$F15+Battery_Materials!I$33*'GREET2_Factors_T&amp;D'!$G15+GREET1_Import_Export!$B222)+Battery_Materials!Q$56*(Battery_Materials!I$34*GREET1_Import_Export!$AA72+Battery_Materials!I$35*GREET1_Import_Export!$AB72+GREET1_Import_Export!$B290)+Battery_Materials!Q$57*($B$17*(GREET1_Import_Export!$B315+GREET1_Import_Export!$C315)+$C$17*GREET1_Import_Export!L348+$D$17*GREET1_Import_Export!H348+$E$17*GREET1_Import_Export!Q348+$F$17*GREET1_Import_Export!R348+SUMPRODUCT($G$17:$I$17,GREET1_Import_Export!N348:P348))</f>
        <v>2754.0861544193049</v>
      </c>
      <c r="R65" s="258"/>
      <c r="S65" s="267"/>
      <c r="T65" s="273">
        <f>Battery_Materials!T$51*(Battery_Materials!J$21*GREET1_Import_Export!$K72+GREET1_Import_Export!$B186*GREET1_Import_Export!$F$179+GREET1_Import_Export!$F186)+Battery_Materials!T$52*(Battery_Materials!J$23*GREET1_Import_Export!$Q72+Battery_Materials!J$24*GREET1_Import_Export!$O72+Battery_Materials!J$25*GREET1_Import_Export!$M72+GREET1_Import_Export!$B186*GREET1_Import_Export!$G$179+GREET1_Import_Export!$G186)+Battery_Materials!T$53*(Battery_Materials!J$26*GREET1_Import_Export!$T72+GREET1_Import_Export!$B186*GREET1_Import_Export!$C$179+GREET1_Import_Export!$C186)+Battery_Materials!T$54*(Battery_Materials!J$27*GREET1_Import_Export!$W72+GREET1_Import_Export!$E222*GREET1_Import_Export!$F$215+GREET1_Import_Export!$F222)+Battery_Materials!T$55*(Battery_Materials!J$28*GREET1_Import_Export!$B72+Battery_Materials!J$29*GREET1_Import_Export!$C72+Battery_Materials!J$30*GREET1_Import_Export!$G72+Battery_Materials!J$32*'GREET2_Factors_T&amp;D'!$F15+Battery_Materials!J$33*'GREET2_Factors_T&amp;D'!$G15+GREET1_Import_Export!$B222)+Battery_Materials!T$56*(Battery_Materials!J$34*GREET1_Import_Export!$AA72+Battery_Materials!J$35*GREET1_Import_Export!$AB72+GREET1_Import_Export!$B290)+Battery_Materials!T$57*SUM(GREET1_Import_Export!$B315:$C315)</f>
        <v>8.9788046480960677</v>
      </c>
      <c r="U65" s="258"/>
      <c r="V65" s="267"/>
      <c r="W65" s="273">
        <f>Battery_Materials!W$51*(Battery_Materials!K$21*GREET1_Import_Export!$K72+GREET1_Import_Export!$B186*GREET1_Import_Export!$F$179+GREET1_Import_Export!$F186)+Battery_Materials!W$52*(Battery_Materials!K$23*GREET1_Import_Export!$Q72+Battery_Materials!K$24*GREET1_Import_Export!$O72+Battery_Materials!K$25*GREET1_Import_Export!$M72+GREET1_Import_Export!$B186*GREET1_Import_Export!$G$179+GREET1_Import_Export!$G186)+Battery_Materials!W$53*(Battery_Materials!K$26*GREET1_Import_Export!$T72+GREET1_Import_Export!$B186*GREET1_Import_Export!$C$179+GREET1_Import_Export!$C186)+Battery_Materials!W$54*(Battery_Materials!K$27*GREET1_Import_Export!$W72+GREET1_Import_Export!$E222*GREET1_Import_Export!$F$215+GREET1_Import_Export!$F222)+Battery_Materials!W$55*(Battery_Materials!K$28*GREET1_Import_Export!$B72+Battery_Materials!K$29*GREET1_Import_Export!$C72+Battery_Materials!K$30*GREET1_Import_Export!$G72+Battery_Materials!K$32*'GREET2_Factors_T&amp;D'!$F15+Battery_Materials!K$33*'GREET2_Factors_T&amp;D'!$G15+GREET1_Import_Export!$B222)+Battery_Materials!W$56*(Battery_Materials!K$34*GREET1_Import_Export!$AA72+Battery_Materials!K$35*GREET1_Import_Export!$AB72+GREET1_Import_Export!$B290)+Battery_Materials!W$57*SUM(GREET1_Import_Export!$B315:$C315)</f>
        <v>103.58489106380711</v>
      </c>
      <c r="X65" s="258"/>
      <c r="Y65" s="267"/>
    </row>
    <row r="66" spans="1:25" s="7" customFormat="1">
      <c r="A66" s="100" t="s">
        <v>822</v>
      </c>
      <c r="B66" s="273">
        <f>Battery_Materials!B$51*(Battery_Materials!B$21*GREET1_Import_Export!$K73+GREET1_Import_Export!$B187*GREET1_Import_Export!$F$179+GREET1_Import_Export!$F187)+Battery_Materials!B$52*(Battery_Materials!B$23*GREET1_Import_Export!$Q73+Battery_Materials!B$24*GREET1_Import_Export!$O73+Battery_Materials!B$25*GREET1_Import_Export!$M73+GREET1_Import_Export!$B187*GREET1_Import_Export!$G$179+GREET1_Import_Export!$G187)+Battery_Materials!B$53*(Battery_Materials!B$26*GREET1_Import_Export!$T73+GREET1_Import_Export!$B187*GREET1_Import_Export!$C$179+GREET1_Import_Export!$C187)+Battery_Materials!B$54*(Battery_Materials!B$27*GREET1_Import_Export!$W73+GREET1_Import_Export!$E223*GREET1_Import_Export!$F$215+GREET1_Import_Export!$F223)+Battery_Materials!B$55*(Battery_Materials!B$28*GREET1_Import_Export!$B73+Battery_Materials!B$29*GREET1_Import_Export!$C73+Battery_Materials!B$30*GREET1_Import_Export!$G73+Battery_Materials!B$32*'GREET2_Factors_T&amp;D'!$F16+Battery_Materials!B$33*'GREET2_Factors_T&amp;D'!$G16+GREET1_Import_Export!$B223)+Battery_Materials!B$56*(Battery_Materials!B$34*GREET1_Import_Export!$AA73+Battery_Materials!B$35*GREET1_Import_Export!$AB73+GREET1_Import_Export!$B291)+Battery_Materials!B$57*SUM(GREET1_Import_Export!$B316:$C316)</f>
        <v>985.46343149254221</v>
      </c>
      <c r="C66" s="258"/>
      <c r="D66" s="267"/>
      <c r="E66" s="273">
        <f>Battery_Materials!E$51*(Battery_Materials!C$21*GREET1_Import_Export!$K73+GREET1_Import_Export!$B187*GREET1_Import_Export!$F$179+GREET1_Import_Export!$F187)+Battery_Materials!E$52*(Battery_Materials!C$23*GREET1_Import_Export!$Q73+Battery_Materials!C$24*GREET1_Import_Export!$O73+Battery_Materials!C$25*GREET1_Import_Export!$M73+GREET1_Import_Export!$B187*GREET1_Import_Export!$G$179+GREET1_Import_Export!$G187)+Battery_Materials!E$53*(Battery_Materials!C$26*GREET1_Import_Export!$T73+GREET1_Import_Export!$B187*GREET1_Import_Export!$C$179+GREET1_Import_Export!$C187)+Battery_Materials!E$54*(Battery_Materials!C$27*GREET1_Import_Export!$W73+GREET1_Import_Export!$E223*GREET1_Import_Export!$F$215+GREET1_Import_Export!$F223)+Battery_Materials!E$55*(Battery_Materials!C$28*GREET1_Import_Export!$B73+Battery_Materials!C$29*GREET1_Import_Export!$C73+Battery_Materials!C$30*GREET1_Import_Export!$G73+Battery_Materials!C$32*'GREET2_Factors_T&amp;D'!$F16+Battery_Materials!C$33*'GREET2_Factors_T&amp;D'!$G16+GREET1_Import_Export!$B223)+Battery_Materials!E$56*(Battery_Materials!C$34*GREET1_Import_Export!$AA73+Battery_Materials!C$35*GREET1_Import_Export!$AB73+GREET1_Import_Export!$B291)+Battery_Materials!E$57*SUM(GREET1_Import_Export!$B316:$C316)</f>
        <v>2737.4186166528184</v>
      </c>
      <c r="F66" s="258"/>
      <c r="G66" s="267"/>
      <c r="H66" s="273">
        <f>Battery_Materials!H$51*(Battery_Materials!F$21*GREET1_Import_Export!$K73+GREET1_Import_Export!$B187*GREET1_Import_Export!$F$179+GREET1_Import_Export!$F187)+Battery_Materials!H$52*(Battery_Materials!F$23*GREET1_Import_Export!$Q73+Battery_Materials!F$24*GREET1_Import_Export!$O73+Battery_Materials!F$25*GREET1_Import_Export!$M73+GREET1_Import_Export!$B187*GREET1_Import_Export!$G$179+GREET1_Import_Export!$G187)+Battery_Materials!H$53*(Battery_Materials!F$26*GREET1_Import_Export!$T73+GREET1_Import_Export!$B187*GREET1_Import_Export!$C$179+GREET1_Import_Export!$C187)+Battery_Materials!H$54*(Battery_Materials!F$27*GREET1_Import_Export!$W73+GREET1_Import_Export!$E223*GREET1_Import_Export!$F$215+GREET1_Import_Export!$F223)+Battery_Materials!H$55*(Battery_Materials!F$28*GREET1_Import_Export!$B73+Battery_Materials!F$29*GREET1_Import_Export!$C73+Battery_Materials!F$30*GREET1_Import_Export!$G73+Battery_Materials!F$32*'GREET2_Factors_T&amp;D'!$F16+Battery_Materials!F$33*'GREET2_Factors_T&amp;D'!$G16+GREET1_Import_Export!$B223)+Battery_Materials!H$56*(Battery_Materials!F$34*GREET1_Import_Export!$AA73+Battery_Materials!F$35*GREET1_Import_Export!$AB73+GREET1_Import_Export!$B291)+Battery_Materials!H$57*SUM(GREET1_Import_Export!$B316:$C316)</f>
        <v>13.060017654864588</v>
      </c>
      <c r="I66" s="258"/>
      <c r="J66" s="267"/>
      <c r="K66" s="273">
        <f>Battery_Materials!K$51*(Battery_Materials!G$21*GREET1_Import_Export!$K73+GREET1_Import_Export!$B187*GREET1_Import_Export!$F$179+GREET1_Import_Export!$F187)+Battery_Materials!K$52*(Battery_Materials!G$23*GREET1_Import_Export!$Q73+Battery_Materials!G$24*GREET1_Import_Export!$O73+Battery_Materials!G$25*GREET1_Import_Export!$M73+GREET1_Import_Export!$B187*GREET1_Import_Export!$G$179+GREET1_Import_Export!$G187)+Battery_Materials!K$53*(Battery_Materials!G$26*GREET1_Import_Export!$T73+GREET1_Import_Export!$B187*GREET1_Import_Export!$C$179+GREET1_Import_Export!$C187)+Battery_Materials!K$54*(Battery_Materials!G$27*GREET1_Import_Export!$W73+GREET1_Import_Export!$E223*GREET1_Import_Export!$F$215+GREET1_Import_Export!$F223)+Battery_Materials!K$55*(Battery_Materials!G$28*GREET1_Import_Export!$B73+Battery_Materials!G$29*GREET1_Import_Export!$C73+Battery_Materials!G$30*GREET1_Import_Export!$G73+Battery_Materials!G$32*'GREET2_Factors_T&amp;D'!$F16+Battery_Materials!G$33*'GREET2_Factors_T&amp;D'!$G16+GREET1_Import_Export!$B223)+Battery_Materials!K$56*(Battery_Materials!G$34*GREET1_Import_Export!$AA73+Battery_Materials!G$35*GREET1_Import_Export!$AB73+GREET1_Import_Export!$B291)+Battery_Materials!K$57*SUM(GREET1_Import_Export!$B316:$C316)</f>
        <v>71.202418534512759</v>
      </c>
      <c r="L66" s="258"/>
      <c r="M66" s="267"/>
      <c r="N66" s="273">
        <f>Battery_Materials!N$51*(Battery_Materials!H$21*GREET1_Import_Export!$K73+GREET1_Import_Export!$B187*GREET1_Import_Export!$F$179+GREET1_Import_Export!$F187)+Battery_Materials!N$52*(Battery_Materials!H$23*GREET1_Import_Export!$Q73+Battery_Materials!H$24*GREET1_Import_Export!$O73+Battery_Materials!H$25*GREET1_Import_Export!$M73+GREET1_Import_Export!$B187*GREET1_Import_Export!$G$179+GREET1_Import_Export!$G187)+Battery_Materials!N$53*(Battery_Materials!H$26*GREET1_Import_Export!$T73+GREET1_Import_Export!$B187*GREET1_Import_Export!$C$179+GREET1_Import_Export!$C187)+Battery_Materials!N$54*(Battery_Materials!H$27*GREET1_Import_Export!$W73+GREET1_Import_Export!$E223*GREET1_Import_Export!$F$215+GREET1_Import_Export!$F223)+Battery_Materials!N$55*(Battery_Materials!H$28*GREET1_Import_Export!$B73+Battery_Materials!H$29*GREET1_Import_Export!$C73+Battery_Materials!H$30*GREET1_Import_Export!$G73+Battery_Materials!H$32*'GREET2_Factors_T&amp;D'!$F16+Battery_Materials!H$33*'GREET2_Factors_T&amp;D'!$G16+GREET1_Import_Export!$B223)+Battery_Materials!N$56*(Battery_Materials!H$34*GREET1_Import_Export!$AA73+Battery_Materials!H$35*GREET1_Import_Export!$AB73+GREET1_Import_Export!$B291)+Battery_Materials!N$57*SUM(GREET1_Import_Export!$B316:$C316)</f>
        <v>130.72274819229958</v>
      </c>
      <c r="O66" s="258"/>
      <c r="P66" s="267"/>
      <c r="Q66" s="1335">
        <f>Battery_Materials!Q$51*(Battery_Materials!I$21*GREET1_Import_Export!$K73+GREET1_Import_Export!$B187*GREET1_Import_Export!$F$179+GREET1_Import_Export!$F187)+Battery_Materials!Q$52*(Battery_Materials!I$23*GREET1_Import_Export!$Q73+Battery_Materials!I$24*GREET1_Import_Export!$O73+Battery_Materials!I$25*GREET1_Import_Export!$M73+GREET1_Import_Export!$B187*GREET1_Import_Export!$G$179+GREET1_Import_Export!$G187)+Battery_Materials!Q$53*(Battery_Materials!I$26*GREET1_Import_Export!$T73+GREET1_Import_Export!$B187*GREET1_Import_Export!$C$179+GREET1_Import_Export!$C187)+Battery_Materials!Q$54*(Battery_Materials!I$27*GREET1_Import_Export!$W73+GREET1_Import_Export!$E223*GREET1_Import_Export!$F$215+GREET1_Import_Export!$F223)+Battery_Materials!Q$55*(Battery_Materials!I$28*GREET1_Import_Export!$B73+Battery_Materials!I$29*GREET1_Import_Export!$C73+Battery_Materials!I$30*GREET1_Import_Export!$G73+Battery_Materials!I$32*'GREET2_Factors_T&amp;D'!$F16+Battery_Materials!I$33*'GREET2_Factors_T&amp;D'!$G16+GREET1_Import_Export!$B223)+Battery_Materials!Q$56*(Battery_Materials!I$34*GREET1_Import_Export!$AA73+Battery_Materials!I$35*GREET1_Import_Export!$AB73+GREET1_Import_Export!$B291)+Battery_Materials!Q$57*($B$17*(GREET1_Import_Export!$B316+GREET1_Import_Export!$C316)+$C$17*GREET1_Import_Export!L349+$D$17*GREET1_Import_Export!H349+$E$17*GREET1_Import_Export!Q349+$F$17*GREET1_Import_Export!R349+SUMPRODUCT($G$17:$I$17,GREET1_Import_Export!N349:P349))</f>
        <v>9023.1453655368623</v>
      </c>
      <c r="R66" s="258"/>
      <c r="S66" s="267"/>
      <c r="T66" s="273">
        <f>Battery_Materials!T$51*(Battery_Materials!J$21*GREET1_Import_Export!$K73+GREET1_Import_Export!$B187*GREET1_Import_Export!$F$179+GREET1_Import_Export!$F187)+Battery_Materials!T$52*(Battery_Materials!J$23*GREET1_Import_Export!$Q73+Battery_Materials!J$24*GREET1_Import_Export!$O73+Battery_Materials!J$25*GREET1_Import_Export!$M73+GREET1_Import_Export!$B187*GREET1_Import_Export!$G$179+GREET1_Import_Export!$G187)+Battery_Materials!T$53*(Battery_Materials!J$26*GREET1_Import_Export!$T73+GREET1_Import_Export!$B187*GREET1_Import_Export!$C$179+GREET1_Import_Export!$C187)+Battery_Materials!T$54*(Battery_Materials!J$27*GREET1_Import_Export!$W73+GREET1_Import_Export!$E223*GREET1_Import_Export!$F$215+GREET1_Import_Export!$F223)+Battery_Materials!T$55*(Battery_Materials!J$28*GREET1_Import_Export!$B73+Battery_Materials!J$29*GREET1_Import_Export!$C73+Battery_Materials!J$30*GREET1_Import_Export!$G73+Battery_Materials!J$32*'GREET2_Factors_T&amp;D'!$F16+Battery_Materials!J$33*'GREET2_Factors_T&amp;D'!$G16+GREET1_Import_Export!$B223)+Battery_Materials!T$56*(Battery_Materials!J$34*GREET1_Import_Export!$AA73+Battery_Materials!J$35*GREET1_Import_Export!$AB73+GREET1_Import_Export!$B291)+Battery_Materials!T$57*SUM(GREET1_Import_Export!$B316:$C316)</f>
        <v>37.419118638156931</v>
      </c>
      <c r="U66" s="258"/>
      <c r="V66" s="267"/>
      <c r="W66" s="273">
        <f>Battery_Materials!W$51*(Battery_Materials!K$21*GREET1_Import_Export!$K73+GREET1_Import_Export!$B187*GREET1_Import_Export!$F$179+GREET1_Import_Export!$F187)+Battery_Materials!W$52*(Battery_Materials!K$23*GREET1_Import_Export!$Q73+Battery_Materials!K$24*GREET1_Import_Export!$O73+Battery_Materials!K$25*GREET1_Import_Export!$M73+GREET1_Import_Export!$B187*GREET1_Import_Export!$G$179+GREET1_Import_Export!$G187)+Battery_Materials!W$53*(Battery_Materials!K$26*GREET1_Import_Export!$T73+GREET1_Import_Export!$B187*GREET1_Import_Export!$C$179+GREET1_Import_Export!$C187)+Battery_Materials!W$54*(Battery_Materials!K$27*GREET1_Import_Export!$W73+GREET1_Import_Export!$E223*GREET1_Import_Export!$F$215+GREET1_Import_Export!$F223)+Battery_Materials!W$55*(Battery_Materials!K$28*GREET1_Import_Export!$B73+Battery_Materials!K$29*GREET1_Import_Export!$C73+Battery_Materials!K$30*GREET1_Import_Export!$G73+Battery_Materials!K$32*'GREET2_Factors_T&amp;D'!$F16+Battery_Materials!K$33*'GREET2_Factors_T&amp;D'!$G16+GREET1_Import_Export!$B223)+Battery_Materials!W$56*(Battery_Materials!K$34*GREET1_Import_Export!$AA73+Battery_Materials!K$35*GREET1_Import_Export!$AB73+GREET1_Import_Export!$B291)+Battery_Materials!W$57*SUM(GREET1_Import_Export!$B316:$C316)</f>
        <v>430.26891788441924</v>
      </c>
      <c r="X66" s="258"/>
      <c r="Y66" s="267"/>
    </row>
    <row r="67" spans="1:25" s="7" customFormat="1">
      <c r="A67" s="100" t="s">
        <v>823</v>
      </c>
      <c r="B67" s="273">
        <f>Battery_Materials!B$51*(Battery_Materials!B$21*GREET1_Import_Export!$K74+GREET1_Import_Export!$B188*GREET1_Import_Export!$F$179+GREET1_Import_Export!$F188)+Battery_Materials!B$52*(Battery_Materials!B$23*GREET1_Import_Export!$Q74+Battery_Materials!B$24*GREET1_Import_Export!$O74+Battery_Materials!B$25*GREET1_Import_Export!$M74+GREET1_Import_Export!$B188*GREET1_Import_Export!$G$179+GREET1_Import_Export!$G188)+Battery_Materials!B$53*(Battery_Materials!B$26*GREET1_Import_Export!$T74+GREET1_Import_Export!$B188*GREET1_Import_Export!$C$179+GREET1_Import_Export!$C188)+Battery_Materials!B$54*(Battery_Materials!B$27*GREET1_Import_Export!$W74+GREET1_Import_Export!$E224*GREET1_Import_Export!$F$215+GREET1_Import_Export!$F224)+Battery_Materials!B$55*(Battery_Materials!B$28*GREET1_Import_Export!$B74+Battery_Materials!B$29*GREET1_Import_Export!$C74+Battery_Materials!B$30*GREET1_Import_Export!$G74+Battery_Materials!B$32*'GREET2_Factors_T&amp;D'!$F17+Battery_Materials!B$33*'GREET2_Factors_T&amp;D'!$G17+GREET1_Import_Export!$B224)+Battery_Materials!B$56*(Battery_Materials!B$34*GREET1_Import_Export!$AA74+Battery_Materials!B$35*GREET1_Import_Export!$AB74+GREET1_Import_Export!$B292)+Battery_Materials!B$57*SUM(GREET1_Import_Export!$B317:$C317)</f>
        <v>1632.7666362591003</v>
      </c>
      <c r="C67" s="258"/>
      <c r="D67" s="267"/>
      <c r="E67" s="273">
        <f>Battery_Materials!E$51*(Battery_Materials!C$21*GREET1_Import_Export!$K74+GREET1_Import_Export!$B188*GREET1_Import_Export!$F$179+GREET1_Import_Export!$F188)+Battery_Materials!E$52*(Battery_Materials!C$23*GREET1_Import_Export!$Q74+Battery_Materials!C$24*GREET1_Import_Export!$O74+Battery_Materials!C$25*GREET1_Import_Export!$M74+GREET1_Import_Export!$B188*GREET1_Import_Export!$G$179+GREET1_Import_Export!$G188)+Battery_Materials!E$53*(Battery_Materials!C$26*GREET1_Import_Export!$T74+GREET1_Import_Export!$B188*GREET1_Import_Export!$C$179+GREET1_Import_Export!$C188)+Battery_Materials!E$54*(Battery_Materials!C$27*GREET1_Import_Export!$W74+GREET1_Import_Export!$E224*GREET1_Import_Export!$F$215+GREET1_Import_Export!$F224)+Battery_Materials!E$55*(Battery_Materials!C$28*GREET1_Import_Export!$B74+Battery_Materials!C$29*GREET1_Import_Export!$C74+Battery_Materials!C$30*GREET1_Import_Export!$G74+Battery_Materials!C$32*'GREET2_Factors_T&amp;D'!$F17+Battery_Materials!C$33*'GREET2_Factors_T&amp;D'!$G17+GREET1_Import_Export!$B224)+Battery_Materials!E$56*(Battery_Materials!C$34*GREET1_Import_Export!$AA74+Battery_Materials!C$35*GREET1_Import_Export!$AB74+GREET1_Import_Export!$B292)+Battery_Materials!E$57*SUM(GREET1_Import_Export!$B317:$C317)</f>
        <v>5661.3943548958568</v>
      </c>
      <c r="F67" s="258"/>
      <c r="G67" s="267"/>
      <c r="H67" s="273">
        <f>Battery_Materials!H$51*(Battery_Materials!F$21*GREET1_Import_Export!$K74+GREET1_Import_Export!$B188*GREET1_Import_Export!$F$179+GREET1_Import_Export!$F188)+Battery_Materials!H$52*(Battery_Materials!F$23*GREET1_Import_Export!$Q74+Battery_Materials!F$24*GREET1_Import_Export!$O74+Battery_Materials!F$25*GREET1_Import_Export!$M74+GREET1_Import_Export!$B188*GREET1_Import_Export!$G$179+GREET1_Import_Export!$G188)+Battery_Materials!H$53*(Battery_Materials!F$26*GREET1_Import_Export!$T74+GREET1_Import_Export!$B188*GREET1_Import_Export!$C$179+GREET1_Import_Export!$C188)+Battery_Materials!H$54*(Battery_Materials!F$27*GREET1_Import_Export!$W74+GREET1_Import_Export!$E224*GREET1_Import_Export!$F$215+GREET1_Import_Export!$F224)+Battery_Materials!H$55*(Battery_Materials!F$28*GREET1_Import_Export!$B74+Battery_Materials!F$29*GREET1_Import_Export!$C74+Battery_Materials!F$30*GREET1_Import_Export!$G74+Battery_Materials!F$32*'GREET2_Factors_T&amp;D'!$F17+Battery_Materials!F$33*'GREET2_Factors_T&amp;D'!$G17+GREET1_Import_Export!$B224)+Battery_Materials!H$56*(Battery_Materials!F$34*GREET1_Import_Export!$AA74+Battery_Materials!F$35*GREET1_Import_Export!$AB74+GREET1_Import_Export!$B292)+Battery_Materials!H$57*SUM(GREET1_Import_Export!$B317:$C317)</f>
        <v>18.691123929320781</v>
      </c>
      <c r="I67" s="258"/>
      <c r="J67" s="267"/>
      <c r="K67" s="273">
        <f>Battery_Materials!K$51*(Battery_Materials!G$21*GREET1_Import_Export!$K74+GREET1_Import_Export!$B188*GREET1_Import_Export!$F$179+GREET1_Import_Export!$F188)+Battery_Materials!K$52*(Battery_Materials!G$23*GREET1_Import_Export!$Q74+Battery_Materials!G$24*GREET1_Import_Export!$O74+Battery_Materials!G$25*GREET1_Import_Export!$M74+GREET1_Import_Export!$B188*GREET1_Import_Export!$G$179+GREET1_Import_Export!$G188)+Battery_Materials!K$53*(Battery_Materials!G$26*GREET1_Import_Export!$T74+GREET1_Import_Export!$B188*GREET1_Import_Export!$C$179+GREET1_Import_Export!$C188)+Battery_Materials!K$54*(Battery_Materials!G$27*GREET1_Import_Export!$W74+GREET1_Import_Export!$E224*GREET1_Import_Export!$F$215+GREET1_Import_Export!$F224)+Battery_Materials!K$55*(Battery_Materials!G$28*GREET1_Import_Export!$B74+Battery_Materials!G$29*GREET1_Import_Export!$C74+Battery_Materials!G$30*GREET1_Import_Export!$G74+Battery_Materials!G$32*'GREET2_Factors_T&amp;D'!$F17+Battery_Materials!G$33*'GREET2_Factors_T&amp;D'!$G17+GREET1_Import_Export!$B224)+Battery_Materials!K$56*(Battery_Materials!G$34*GREET1_Import_Export!$AA74+Battery_Materials!G$35*GREET1_Import_Export!$AB74+GREET1_Import_Export!$B292)+Battery_Materials!K$57*SUM(GREET1_Import_Export!$B317:$C317)</f>
        <v>99.076037015504269</v>
      </c>
      <c r="L67" s="258"/>
      <c r="M67" s="267"/>
      <c r="N67" s="273">
        <f>Battery_Materials!N$51*(Battery_Materials!H$21*GREET1_Import_Export!$K74+GREET1_Import_Export!$B188*GREET1_Import_Export!$F$179+GREET1_Import_Export!$F188)+Battery_Materials!N$52*(Battery_Materials!H$23*GREET1_Import_Export!$Q74+Battery_Materials!H$24*GREET1_Import_Export!$O74+Battery_Materials!H$25*GREET1_Import_Export!$M74+GREET1_Import_Export!$B188*GREET1_Import_Export!$G$179+GREET1_Import_Export!$G188)+Battery_Materials!N$53*(Battery_Materials!H$26*GREET1_Import_Export!$T74+GREET1_Import_Export!$B188*GREET1_Import_Export!$C$179+GREET1_Import_Export!$C188)+Battery_Materials!N$54*(Battery_Materials!H$27*GREET1_Import_Export!$W74+GREET1_Import_Export!$E224*GREET1_Import_Export!$F$215+GREET1_Import_Export!$F224)+Battery_Materials!N$55*(Battery_Materials!H$28*GREET1_Import_Export!$B74+Battery_Materials!H$29*GREET1_Import_Export!$C74+Battery_Materials!H$30*GREET1_Import_Export!$G74+Battery_Materials!H$32*'GREET2_Factors_T&amp;D'!$F17+Battery_Materials!H$33*'GREET2_Factors_T&amp;D'!$G17+GREET1_Import_Export!$B224)+Battery_Materials!N$56*(Battery_Materials!H$34*GREET1_Import_Export!$AA74+Battery_Materials!H$35*GREET1_Import_Export!$AB74+GREET1_Import_Export!$B292)+Battery_Materials!N$57*SUM(GREET1_Import_Export!$B317:$C317)</f>
        <v>204.41060154786169</v>
      </c>
      <c r="O67" s="258"/>
      <c r="P67" s="267"/>
      <c r="Q67" s="1335">
        <f>Battery_Materials!Q$51*(Battery_Materials!I$21*GREET1_Import_Export!$K74+GREET1_Import_Export!$B188*GREET1_Import_Export!$F$179+GREET1_Import_Export!$F188)+Battery_Materials!Q$52*(Battery_Materials!I$23*GREET1_Import_Export!$Q74+Battery_Materials!I$24*GREET1_Import_Export!$O74+Battery_Materials!I$25*GREET1_Import_Export!$M74+GREET1_Import_Export!$B188*GREET1_Import_Export!$G$179+GREET1_Import_Export!$G188)+Battery_Materials!Q$53*(Battery_Materials!I$26*GREET1_Import_Export!$T74+GREET1_Import_Export!$B188*GREET1_Import_Export!$C$179+GREET1_Import_Export!$C188)+Battery_Materials!Q$54*(Battery_Materials!I$27*GREET1_Import_Export!$W74+GREET1_Import_Export!$E224*GREET1_Import_Export!$F$215+GREET1_Import_Export!$F224)+Battery_Materials!Q$55*(Battery_Materials!I$28*GREET1_Import_Export!$B74+Battery_Materials!I$29*GREET1_Import_Export!$C74+Battery_Materials!I$30*GREET1_Import_Export!$G74+Battery_Materials!I$32*'GREET2_Factors_T&amp;D'!$F17+Battery_Materials!I$33*'GREET2_Factors_T&amp;D'!$G17+GREET1_Import_Export!$B224)+Battery_Materials!Q$56*(Battery_Materials!I$34*GREET1_Import_Export!$AA74+Battery_Materials!I$35*GREET1_Import_Export!$AB74+GREET1_Import_Export!$B292)+Battery_Materials!Q$57*($B$17*(GREET1_Import_Export!$B317+GREET1_Import_Export!$C317)+$C$17*GREET1_Import_Export!L350+$D$17*GREET1_Import_Export!H350+$E$17*GREET1_Import_Export!Q350+$F$17*GREET1_Import_Export!R350+SUMPRODUCT($G$17:$I$17,GREET1_Import_Export!N350:P350))</f>
        <v>15440.361111849963</v>
      </c>
      <c r="R67" s="258"/>
      <c r="S67" s="267"/>
      <c r="T67" s="273">
        <f>Battery_Materials!T$51*(Battery_Materials!J$21*GREET1_Import_Export!$K74+GREET1_Import_Export!$B188*GREET1_Import_Export!$F$179+GREET1_Import_Export!$F188)+Battery_Materials!T$52*(Battery_Materials!J$23*GREET1_Import_Export!$Q74+Battery_Materials!J$24*GREET1_Import_Export!$O74+Battery_Materials!J$25*GREET1_Import_Export!$M74+GREET1_Import_Export!$B188*GREET1_Import_Export!$G$179+GREET1_Import_Export!$G188)+Battery_Materials!T$53*(Battery_Materials!J$26*GREET1_Import_Export!$T74+GREET1_Import_Export!$B188*GREET1_Import_Export!$C$179+GREET1_Import_Export!$C188)+Battery_Materials!T$54*(Battery_Materials!J$27*GREET1_Import_Export!$W74+GREET1_Import_Export!$E224*GREET1_Import_Export!$F$215+GREET1_Import_Export!$F224)+Battery_Materials!T$55*(Battery_Materials!J$28*GREET1_Import_Export!$B74+Battery_Materials!J$29*GREET1_Import_Export!$C74+Battery_Materials!J$30*GREET1_Import_Export!$G74+Battery_Materials!J$32*'GREET2_Factors_T&amp;D'!$F17+Battery_Materials!J$33*'GREET2_Factors_T&amp;D'!$G17+GREET1_Import_Export!$B224)+Battery_Materials!T$56*(Battery_Materials!J$34*GREET1_Import_Export!$AA74+Battery_Materials!J$35*GREET1_Import_Export!$AB74+GREET1_Import_Export!$B292)+Battery_Materials!T$57*SUM(GREET1_Import_Export!$B317:$C317)</f>
        <v>50.868989140371468</v>
      </c>
      <c r="U67" s="258"/>
      <c r="V67" s="267"/>
      <c r="W67" s="273">
        <f>Battery_Materials!W$51*(Battery_Materials!K$21*GREET1_Import_Export!$K74+GREET1_Import_Export!$B188*GREET1_Import_Export!$F$179+GREET1_Import_Export!$F188)+Battery_Materials!W$52*(Battery_Materials!K$23*GREET1_Import_Export!$Q74+Battery_Materials!K$24*GREET1_Import_Export!$O74+Battery_Materials!K$25*GREET1_Import_Export!$M74+GREET1_Import_Export!$B188*GREET1_Import_Export!$G$179+GREET1_Import_Export!$G188)+Battery_Materials!W$53*(Battery_Materials!K$26*GREET1_Import_Export!$T74+GREET1_Import_Export!$B188*GREET1_Import_Export!$C$179+GREET1_Import_Export!$C188)+Battery_Materials!W$54*(Battery_Materials!K$27*GREET1_Import_Export!$W74+GREET1_Import_Export!$E224*GREET1_Import_Export!$F$215+GREET1_Import_Export!$F224)+Battery_Materials!W$55*(Battery_Materials!K$28*GREET1_Import_Export!$B74+Battery_Materials!K$29*GREET1_Import_Export!$C74+Battery_Materials!K$30*GREET1_Import_Export!$G74+Battery_Materials!K$32*'GREET2_Factors_T&amp;D'!$F17+Battery_Materials!K$33*'GREET2_Factors_T&amp;D'!$G17+GREET1_Import_Export!$B224)+Battery_Materials!W$56*(Battery_Materials!K$34*GREET1_Import_Export!$AA74+Battery_Materials!K$35*GREET1_Import_Export!$AB74+GREET1_Import_Export!$B292)+Battery_Materials!W$57*SUM(GREET1_Import_Export!$B317:$C317)</f>
        <v>586.76104516738565</v>
      </c>
      <c r="X67" s="258"/>
      <c r="Y67" s="267"/>
    </row>
    <row r="68" spans="1:25" s="7" customFormat="1">
      <c r="A68" s="100" t="s">
        <v>824</v>
      </c>
      <c r="B68" s="273">
        <f>Battery_Materials!B$51*(Battery_Materials!B$21*GREET1_Import_Export!$K75+GREET1_Import_Export!$B189*GREET1_Import_Export!$F$179+GREET1_Import_Export!$F189)+Battery_Materials!B$52*(Battery_Materials!B$23*GREET1_Import_Export!$Q75+Battery_Materials!B$24*GREET1_Import_Export!$O75+Battery_Materials!B$25*GREET1_Import_Export!$M75+GREET1_Import_Export!$B189*GREET1_Import_Export!$G$179+GREET1_Import_Export!$G189)+Battery_Materials!B$53*(Battery_Materials!B$26*GREET1_Import_Export!$T75+GREET1_Import_Export!$B189*GREET1_Import_Export!$C$179+GREET1_Import_Export!$C189)+Battery_Materials!B$54*(Battery_Materials!B$27*GREET1_Import_Export!$W75+GREET1_Import_Export!$E225*GREET1_Import_Export!$F$215+GREET1_Import_Export!$F225)+Battery_Materials!B$55*(Battery_Materials!B$28*GREET1_Import_Export!$B75+Battery_Materials!B$29*GREET1_Import_Export!$C75+Battery_Materials!B$30*GREET1_Import_Export!$G75+Battery_Materials!B$32*'GREET2_Factors_T&amp;D'!$F18+Battery_Materials!B$33*'GREET2_Factors_T&amp;D'!$G18+GREET1_Import_Export!$B225)+Battery_Materials!B$56*(Battery_Materials!B$34*GREET1_Import_Export!$AA75+Battery_Materials!B$35*GREET1_Import_Export!$AB75+GREET1_Import_Export!$B293)+Battery_Materials!B$57*SUM(GREET1_Import_Export!$B318:$C318)</f>
        <v>173.91760246870797</v>
      </c>
      <c r="C68" s="258"/>
      <c r="D68" s="267"/>
      <c r="E68" s="273">
        <f>Battery_Materials!E$51*(Battery_Materials!C$21*GREET1_Import_Export!$K75+GREET1_Import_Export!$B189*GREET1_Import_Export!$F$179+GREET1_Import_Export!$F189)+Battery_Materials!E$52*(Battery_Materials!C$23*GREET1_Import_Export!$Q75+Battery_Materials!C$24*GREET1_Import_Export!$O75+Battery_Materials!C$25*GREET1_Import_Export!$M75+GREET1_Import_Export!$B189*GREET1_Import_Export!$G$179+GREET1_Import_Export!$G189)+Battery_Materials!E$53*(Battery_Materials!C$26*GREET1_Import_Export!$T75+GREET1_Import_Export!$B189*GREET1_Import_Export!$C$179+GREET1_Import_Export!$C189)+Battery_Materials!E$54*(Battery_Materials!C$27*GREET1_Import_Export!$W75+GREET1_Import_Export!$E225*GREET1_Import_Export!$F$215+GREET1_Import_Export!$F225)+Battery_Materials!E$55*(Battery_Materials!C$28*GREET1_Import_Export!$B75+Battery_Materials!C$29*GREET1_Import_Export!$C75+Battery_Materials!C$30*GREET1_Import_Export!$G75+Battery_Materials!C$32*'GREET2_Factors_T&amp;D'!$F18+Battery_Materials!C$33*'GREET2_Factors_T&amp;D'!$G18+GREET1_Import_Export!$B225)+Battery_Materials!E$56*(Battery_Materials!C$34*GREET1_Import_Export!$AA75+Battery_Materials!C$35*GREET1_Import_Export!$AB75+GREET1_Import_Export!$B293)+Battery_Materials!E$57*SUM(GREET1_Import_Export!$B318:$C318)</f>
        <v>908.33519165321104</v>
      </c>
      <c r="F68" s="258"/>
      <c r="G68" s="267"/>
      <c r="H68" s="273">
        <f>Battery_Materials!H$51*(Battery_Materials!F$21*GREET1_Import_Export!$K75+GREET1_Import_Export!$B189*GREET1_Import_Export!$F$179+GREET1_Import_Export!$F189)+Battery_Materials!H$52*(Battery_Materials!F$23*GREET1_Import_Export!$Q75+Battery_Materials!F$24*GREET1_Import_Export!$O75+Battery_Materials!F$25*GREET1_Import_Export!$M75+GREET1_Import_Export!$B189*GREET1_Import_Export!$G$179+GREET1_Import_Export!$G189)+Battery_Materials!H$53*(Battery_Materials!F$26*GREET1_Import_Export!$T75+GREET1_Import_Export!$B189*GREET1_Import_Export!$C$179+GREET1_Import_Export!$C189)+Battery_Materials!H$54*(Battery_Materials!F$27*GREET1_Import_Export!$W75+GREET1_Import_Export!$E225*GREET1_Import_Export!$F$215+GREET1_Import_Export!$F225)+Battery_Materials!H$55*(Battery_Materials!F$28*GREET1_Import_Export!$B75+Battery_Materials!F$29*GREET1_Import_Export!$C75+Battery_Materials!F$30*GREET1_Import_Export!$G75+Battery_Materials!F$32*'GREET2_Factors_T&amp;D'!$F18+Battery_Materials!F$33*'GREET2_Factors_T&amp;D'!$G18+GREET1_Import_Export!$B225)+Battery_Materials!H$56*(Battery_Materials!F$34*GREET1_Import_Export!$AA75+Battery_Materials!F$35*GREET1_Import_Export!$AB75+GREET1_Import_Export!$B293)+Battery_Materials!H$57*SUM(GREET1_Import_Export!$B318:$C318)</f>
        <v>1.3021470399424731</v>
      </c>
      <c r="I68" s="258"/>
      <c r="J68" s="267"/>
      <c r="K68" s="273">
        <f>Battery_Materials!K$51*(Battery_Materials!G$21*GREET1_Import_Export!$K75+GREET1_Import_Export!$B189*GREET1_Import_Export!$F$179+GREET1_Import_Export!$F189)+Battery_Materials!K$52*(Battery_Materials!G$23*GREET1_Import_Export!$Q75+Battery_Materials!G$24*GREET1_Import_Export!$O75+Battery_Materials!G$25*GREET1_Import_Export!$M75+GREET1_Import_Export!$B189*GREET1_Import_Export!$G$179+GREET1_Import_Export!$G189)+Battery_Materials!K$53*(Battery_Materials!G$26*GREET1_Import_Export!$T75+GREET1_Import_Export!$B189*GREET1_Import_Export!$C$179+GREET1_Import_Export!$C189)+Battery_Materials!K$54*(Battery_Materials!G$27*GREET1_Import_Export!$W75+GREET1_Import_Export!$E225*GREET1_Import_Export!$F$215+GREET1_Import_Export!$F225)+Battery_Materials!K$55*(Battery_Materials!G$28*GREET1_Import_Export!$B75+Battery_Materials!G$29*GREET1_Import_Export!$C75+Battery_Materials!G$30*GREET1_Import_Export!$G75+Battery_Materials!G$32*'GREET2_Factors_T&amp;D'!$F18+Battery_Materials!G$33*'GREET2_Factors_T&amp;D'!$G18+GREET1_Import_Export!$B225)+Battery_Materials!K$56*(Battery_Materials!G$34*GREET1_Import_Export!$AA75+Battery_Materials!G$35*GREET1_Import_Export!$AB75+GREET1_Import_Export!$B293)+Battery_Materials!K$57*SUM(GREET1_Import_Export!$B318:$C318)</f>
        <v>6.0651092153621962</v>
      </c>
      <c r="L68" s="258"/>
      <c r="M68" s="267"/>
      <c r="N68" s="273">
        <f>Battery_Materials!N$51*(Battery_Materials!H$21*GREET1_Import_Export!$K75+GREET1_Import_Export!$B189*GREET1_Import_Export!$F$179+GREET1_Import_Export!$F189)+Battery_Materials!N$52*(Battery_Materials!H$23*GREET1_Import_Export!$Q75+Battery_Materials!H$24*GREET1_Import_Export!$O75+Battery_Materials!H$25*GREET1_Import_Export!$M75+GREET1_Import_Export!$B189*GREET1_Import_Export!$G$179+GREET1_Import_Export!$G189)+Battery_Materials!N$53*(Battery_Materials!H$26*GREET1_Import_Export!$T75+GREET1_Import_Export!$B189*GREET1_Import_Export!$C$179+GREET1_Import_Export!$C189)+Battery_Materials!N$54*(Battery_Materials!H$27*GREET1_Import_Export!$W75+GREET1_Import_Export!$E225*GREET1_Import_Export!$F$215+GREET1_Import_Export!$F225)+Battery_Materials!N$55*(Battery_Materials!H$28*GREET1_Import_Export!$B75+Battery_Materials!H$29*GREET1_Import_Export!$C75+Battery_Materials!H$30*GREET1_Import_Export!$G75+Battery_Materials!H$32*'GREET2_Factors_T&amp;D'!$F18+Battery_Materials!H$33*'GREET2_Factors_T&amp;D'!$G18+GREET1_Import_Export!$B225)+Battery_Materials!N$56*(Battery_Materials!H$34*GREET1_Import_Export!$AA75+Battery_Materials!H$35*GREET1_Import_Export!$AB75+GREET1_Import_Export!$B293)+Battery_Materials!N$57*SUM(GREET1_Import_Export!$B318:$C318)</f>
        <v>19.371174386497255</v>
      </c>
      <c r="O68" s="258"/>
      <c r="P68" s="267"/>
      <c r="Q68" s="1335">
        <f>Battery_Materials!Q$51*(Battery_Materials!I$21*GREET1_Import_Export!$K75+GREET1_Import_Export!$B189*GREET1_Import_Export!$F$179+GREET1_Import_Export!$F189)+Battery_Materials!Q$52*(Battery_Materials!I$23*GREET1_Import_Export!$Q75+Battery_Materials!I$24*GREET1_Import_Export!$O75+Battery_Materials!I$25*GREET1_Import_Export!$M75+GREET1_Import_Export!$B189*GREET1_Import_Export!$G$179+GREET1_Import_Export!$G189)+Battery_Materials!Q$53*(Battery_Materials!I$26*GREET1_Import_Export!$T75+GREET1_Import_Export!$B189*GREET1_Import_Export!$C$179+GREET1_Import_Export!$C189)+Battery_Materials!Q$54*(Battery_Materials!I$27*GREET1_Import_Export!$W75+GREET1_Import_Export!$E225*GREET1_Import_Export!$F$215+GREET1_Import_Export!$F225)+Battery_Materials!Q$55*(Battery_Materials!I$28*GREET1_Import_Export!$B75+Battery_Materials!I$29*GREET1_Import_Export!$C75+Battery_Materials!I$30*GREET1_Import_Export!$G75+Battery_Materials!I$32*'GREET2_Factors_T&amp;D'!$F18+Battery_Materials!I$33*'GREET2_Factors_T&amp;D'!$G18+GREET1_Import_Export!$B225)+Battery_Materials!Q$56*(Battery_Materials!I$34*GREET1_Import_Export!$AA75+Battery_Materials!I$35*GREET1_Import_Export!$AB75+GREET1_Import_Export!$B293)+Battery_Materials!Q$57*($B$17*(GREET1_Import_Export!$B318+GREET1_Import_Export!$C318)+$C$17*GREET1_Import_Export!L351+$D$17*GREET1_Import_Export!H351+$E$17*GREET1_Import_Export!Q351+$F$17*GREET1_Import_Export!R351+SUMPRODUCT($G$17:$I$17,GREET1_Import_Export!N351:P351))</f>
        <v>1823.9719559513269</v>
      </c>
      <c r="R68" s="258"/>
      <c r="S68" s="267"/>
      <c r="T68" s="273">
        <f>Battery_Materials!T$51*(Battery_Materials!J$21*GREET1_Import_Export!$K75+GREET1_Import_Export!$B189*GREET1_Import_Export!$F$179+GREET1_Import_Export!$F189)+Battery_Materials!T$52*(Battery_Materials!J$23*GREET1_Import_Export!$Q75+Battery_Materials!J$24*GREET1_Import_Export!$O75+Battery_Materials!J$25*GREET1_Import_Export!$M75+GREET1_Import_Export!$B189*GREET1_Import_Export!$G$179+GREET1_Import_Export!$G189)+Battery_Materials!T$53*(Battery_Materials!J$26*GREET1_Import_Export!$T75+GREET1_Import_Export!$B189*GREET1_Import_Export!$C$179+GREET1_Import_Export!$C189)+Battery_Materials!T$54*(Battery_Materials!J$27*GREET1_Import_Export!$W75+GREET1_Import_Export!$E225*GREET1_Import_Export!$F$215+GREET1_Import_Export!$F225)+Battery_Materials!T$55*(Battery_Materials!J$28*GREET1_Import_Export!$B75+Battery_Materials!J$29*GREET1_Import_Export!$C75+Battery_Materials!J$30*GREET1_Import_Export!$G75+Battery_Materials!J$32*'GREET2_Factors_T&amp;D'!$F18+Battery_Materials!J$33*'GREET2_Factors_T&amp;D'!$G18+GREET1_Import_Export!$B225)+Battery_Materials!T$56*(Battery_Materials!J$34*GREET1_Import_Export!$AA75+Battery_Materials!J$35*GREET1_Import_Export!$AB75+GREET1_Import_Export!$B293)+Battery_Materials!T$57*SUM(GREET1_Import_Export!$B318:$C318)</f>
        <v>2.7489333102717812</v>
      </c>
      <c r="U68" s="258"/>
      <c r="V68" s="267"/>
      <c r="W68" s="273">
        <f>Battery_Materials!W$51*(Battery_Materials!K$21*GREET1_Import_Export!$K75+GREET1_Import_Export!$B189*GREET1_Import_Export!$F$179+GREET1_Import_Export!$F189)+Battery_Materials!W$52*(Battery_Materials!K$23*GREET1_Import_Export!$Q75+Battery_Materials!K$24*GREET1_Import_Export!$O75+Battery_Materials!K$25*GREET1_Import_Export!$M75+GREET1_Import_Export!$B189*GREET1_Import_Export!$G$179+GREET1_Import_Export!$G189)+Battery_Materials!W$53*(Battery_Materials!K$26*GREET1_Import_Export!$T75+GREET1_Import_Export!$B189*GREET1_Import_Export!$C$179+GREET1_Import_Export!$C189)+Battery_Materials!W$54*(Battery_Materials!K$27*GREET1_Import_Export!$W75+GREET1_Import_Export!$E225*GREET1_Import_Export!$F$215+GREET1_Import_Export!$F225)+Battery_Materials!W$55*(Battery_Materials!K$28*GREET1_Import_Export!$B75+Battery_Materials!K$29*GREET1_Import_Export!$C75+Battery_Materials!K$30*GREET1_Import_Export!$G75+Battery_Materials!K$32*'GREET2_Factors_T&amp;D'!$F18+Battery_Materials!K$33*'GREET2_Factors_T&amp;D'!$G18+GREET1_Import_Export!$B225)+Battery_Materials!W$56*(Battery_Materials!K$34*GREET1_Import_Export!$AA75+Battery_Materials!K$35*GREET1_Import_Export!$AB75+GREET1_Import_Export!$B293)+Battery_Materials!W$57*SUM(GREET1_Import_Export!$B318:$C318)</f>
        <v>32.280979716879543</v>
      </c>
      <c r="X68" s="258"/>
      <c r="Y68" s="267"/>
    </row>
    <row r="69" spans="1:25" s="7" customFormat="1">
      <c r="A69" s="291" t="s">
        <v>825</v>
      </c>
      <c r="B69" s="273">
        <f>Battery_Materials!B$51*(Battery_Materials!B$21*GREET1_Import_Export!$K76+GREET1_Import_Export!$B190*GREET1_Import_Export!$F$179+GREET1_Import_Export!$F190)+Battery_Materials!B$52*(Battery_Materials!B$23*GREET1_Import_Export!$Q76+Battery_Materials!B$24*GREET1_Import_Export!$O76+Battery_Materials!B$25*GREET1_Import_Export!$M76+GREET1_Import_Export!$B190*GREET1_Import_Export!$G$179+GREET1_Import_Export!$G190)+Battery_Materials!B$53*(Battery_Materials!B$26*GREET1_Import_Export!$T76+GREET1_Import_Export!$B190*GREET1_Import_Export!$C$179+GREET1_Import_Export!$C190)+Battery_Materials!B$54*(Battery_Materials!B$27*GREET1_Import_Export!$W76+GREET1_Import_Export!$E226*GREET1_Import_Export!$F$215+GREET1_Import_Export!$F226)+Battery_Materials!B$55*(Battery_Materials!B$28*GREET1_Import_Export!$B76+Battery_Materials!B$29*GREET1_Import_Export!$C76+Battery_Materials!B$30*GREET1_Import_Export!$G76+Battery_Materials!B$32*'GREET2_Factors_T&amp;D'!$F19+Battery_Materials!B$33*'GREET2_Factors_T&amp;D'!$G19+GREET1_Import_Export!$B226)+Battery_Materials!B$56*(Battery_Materials!B$34*GREET1_Import_Export!$AA76+Battery_Materials!B$35*GREET1_Import_Export!$AB76+GREET1_Import_Export!$B294)+Battery_Materials!B$57*SUM(GREET1_Import_Export!$B319:$C319)</f>
        <v>120.75926274927247</v>
      </c>
      <c r="C69" s="258"/>
      <c r="D69" s="267"/>
      <c r="E69" s="273">
        <f>Battery_Materials!E$51*(Battery_Materials!C$21*GREET1_Import_Export!$K76+GREET1_Import_Export!$B190*GREET1_Import_Export!$F$179+GREET1_Import_Export!$F190)+Battery_Materials!E$52*(Battery_Materials!C$23*GREET1_Import_Export!$Q76+Battery_Materials!C$24*GREET1_Import_Export!$O76+Battery_Materials!C$25*GREET1_Import_Export!$M76+GREET1_Import_Export!$B190*GREET1_Import_Export!$G$179+GREET1_Import_Export!$G190)+Battery_Materials!E$53*(Battery_Materials!C$26*GREET1_Import_Export!$T76+GREET1_Import_Export!$B190*GREET1_Import_Export!$C$179+GREET1_Import_Export!$C190)+Battery_Materials!E$54*(Battery_Materials!C$27*GREET1_Import_Export!$W76+GREET1_Import_Export!$E226*GREET1_Import_Export!$F$215+GREET1_Import_Export!$F226)+Battery_Materials!E$55*(Battery_Materials!C$28*GREET1_Import_Export!$B76+Battery_Materials!C$29*GREET1_Import_Export!$C76+Battery_Materials!C$30*GREET1_Import_Export!$G76+Battery_Materials!C$32*'GREET2_Factors_T&amp;D'!$F19+Battery_Materials!C$33*'GREET2_Factors_T&amp;D'!$G19+GREET1_Import_Export!$B226)+Battery_Materials!E$56*(Battery_Materials!C$34*GREET1_Import_Export!$AA76+Battery_Materials!C$35*GREET1_Import_Export!$AB76+GREET1_Import_Export!$B294)+Battery_Materials!E$57*SUM(GREET1_Import_Export!$B319:$C319)</f>
        <v>544.40588808166217</v>
      </c>
      <c r="F69" s="258"/>
      <c r="G69" s="267"/>
      <c r="H69" s="273">
        <f>Battery_Materials!H$51*(Battery_Materials!F$21*GREET1_Import_Export!$K76+GREET1_Import_Export!$B190*GREET1_Import_Export!$F$179+GREET1_Import_Export!$F190)+Battery_Materials!H$52*(Battery_Materials!F$23*GREET1_Import_Export!$Q76+Battery_Materials!F$24*GREET1_Import_Export!$O76+Battery_Materials!F$25*GREET1_Import_Export!$M76+GREET1_Import_Export!$B190*GREET1_Import_Export!$G$179+GREET1_Import_Export!$G190)+Battery_Materials!H$53*(Battery_Materials!F$26*GREET1_Import_Export!$T76+GREET1_Import_Export!$B190*GREET1_Import_Export!$C$179+GREET1_Import_Export!$C190)+Battery_Materials!H$54*(Battery_Materials!F$27*GREET1_Import_Export!$W76+GREET1_Import_Export!$E226*GREET1_Import_Export!$F$215+GREET1_Import_Export!$F226)+Battery_Materials!H$55*(Battery_Materials!F$28*GREET1_Import_Export!$B76+Battery_Materials!F$29*GREET1_Import_Export!$C76+Battery_Materials!F$30*GREET1_Import_Export!$G76+Battery_Materials!F$32*'GREET2_Factors_T&amp;D'!$F19+Battery_Materials!F$33*'GREET2_Factors_T&amp;D'!$G19+GREET1_Import_Export!$B226)+Battery_Materials!H$56*(Battery_Materials!F$34*GREET1_Import_Export!$AA76+Battery_Materials!F$35*GREET1_Import_Export!$AB76+GREET1_Import_Export!$B294)+Battery_Materials!H$57*SUM(GREET1_Import_Export!$B319:$C319)</f>
        <v>1.1168197180506318</v>
      </c>
      <c r="I69" s="258"/>
      <c r="J69" s="267"/>
      <c r="K69" s="273">
        <f>Battery_Materials!K$51*(Battery_Materials!G$21*GREET1_Import_Export!$K76+GREET1_Import_Export!$B190*GREET1_Import_Export!$F$179+GREET1_Import_Export!$F190)+Battery_Materials!K$52*(Battery_Materials!G$23*GREET1_Import_Export!$Q76+Battery_Materials!G$24*GREET1_Import_Export!$O76+Battery_Materials!G$25*GREET1_Import_Export!$M76+GREET1_Import_Export!$B190*GREET1_Import_Export!$G$179+GREET1_Import_Export!$G190)+Battery_Materials!K$53*(Battery_Materials!G$26*GREET1_Import_Export!$T76+GREET1_Import_Export!$B190*GREET1_Import_Export!$C$179+GREET1_Import_Export!$C190)+Battery_Materials!K$54*(Battery_Materials!G$27*GREET1_Import_Export!$W76+GREET1_Import_Export!$E226*GREET1_Import_Export!$F$215+GREET1_Import_Export!$F226)+Battery_Materials!K$55*(Battery_Materials!G$28*GREET1_Import_Export!$B76+Battery_Materials!G$29*GREET1_Import_Export!$C76+Battery_Materials!G$30*GREET1_Import_Export!$G76+Battery_Materials!G$32*'GREET2_Factors_T&amp;D'!$F19+Battery_Materials!G$33*'GREET2_Factors_T&amp;D'!$G19+GREET1_Import_Export!$B226)+Battery_Materials!K$56*(Battery_Materials!G$34*GREET1_Import_Export!$AA76+Battery_Materials!G$35*GREET1_Import_Export!$AB76+GREET1_Import_Export!$B294)+Battery_Materials!K$57*SUM(GREET1_Import_Export!$B319:$C319)</f>
        <v>5.5834451145834851</v>
      </c>
      <c r="L69" s="258"/>
      <c r="M69" s="267"/>
      <c r="N69" s="273">
        <f>Battery_Materials!N$51*(Battery_Materials!H$21*GREET1_Import_Export!$K76+GREET1_Import_Export!$B190*GREET1_Import_Export!$F$179+GREET1_Import_Export!$F190)+Battery_Materials!N$52*(Battery_Materials!H$23*GREET1_Import_Export!$Q76+Battery_Materials!H$24*GREET1_Import_Export!$O76+Battery_Materials!H$25*GREET1_Import_Export!$M76+GREET1_Import_Export!$B190*GREET1_Import_Export!$G$179+GREET1_Import_Export!$G190)+Battery_Materials!N$53*(Battery_Materials!H$26*GREET1_Import_Export!$T76+GREET1_Import_Export!$B190*GREET1_Import_Export!$C$179+GREET1_Import_Export!$C190)+Battery_Materials!N$54*(Battery_Materials!H$27*GREET1_Import_Export!$W76+GREET1_Import_Export!$E226*GREET1_Import_Export!$F$215+GREET1_Import_Export!$F226)+Battery_Materials!N$55*(Battery_Materials!H$28*GREET1_Import_Export!$B76+Battery_Materials!H$29*GREET1_Import_Export!$C76+Battery_Materials!H$30*GREET1_Import_Export!$G76+Battery_Materials!H$32*'GREET2_Factors_T&amp;D'!$F19+Battery_Materials!H$33*'GREET2_Factors_T&amp;D'!$G19+GREET1_Import_Export!$B226)+Battery_Materials!N$56*(Battery_Materials!H$34*GREET1_Import_Export!$AA76+Battery_Materials!H$35*GREET1_Import_Export!$AB76+GREET1_Import_Export!$B294)+Battery_Materials!N$57*SUM(GREET1_Import_Export!$B319:$C319)</f>
        <v>14.275897696865052</v>
      </c>
      <c r="O69" s="258"/>
      <c r="P69" s="267"/>
      <c r="Q69" s="1335">
        <f>Battery_Materials!Q$51*(Battery_Materials!I$21*GREET1_Import_Export!$K76+GREET1_Import_Export!$B190*GREET1_Import_Export!$F$179+GREET1_Import_Export!$F190)+Battery_Materials!Q$52*(Battery_Materials!I$23*GREET1_Import_Export!$Q76+Battery_Materials!I$24*GREET1_Import_Export!$O76+Battery_Materials!I$25*GREET1_Import_Export!$M76+GREET1_Import_Export!$B190*GREET1_Import_Export!$G$179+GREET1_Import_Export!$G190)+Battery_Materials!Q$53*(Battery_Materials!I$26*GREET1_Import_Export!$T76+GREET1_Import_Export!$B190*GREET1_Import_Export!$C$179+GREET1_Import_Export!$C190)+Battery_Materials!Q$54*(Battery_Materials!I$27*GREET1_Import_Export!$W76+GREET1_Import_Export!$E226*GREET1_Import_Export!$F$215+GREET1_Import_Export!$F226)+Battery_Materials!Q$55*(Battery_Materials!I$28*GREET1_Import_Export!$B76+Battery_Materials!I$29*GREET1_Import_Export!$C76+Battery_Materials!I$30*GREET1_Import_Export!$G76+Battery_Materials!I$32*'GREET2_Factors_T&amp;D'!$F19+Battery_Materials!I$33*'GREET2_Factors_T&amp;D'!$G19+GREET1_Import_Export!$B226)+Battery_Materials!Q$56*(Battery_Materials!I$34*GREET1_Import_Export!$AA76+Battery_Materials!I$35*GREET1_Import_Export!$AB76+GREET1_Import_Export!$B294)+Battery_Materials!Q$57*($B$17*(GREET1_Import_Export!$B319+GREET1_Import_Export!$C319)+$C$17*GREET1_Import_Export!L352+$D$17*GREET1_Import_Export!H352+$E$17*GREET1_Import_Export!Q352+$F$17*GREET1_Import_Export!R352+SUMPRODUCT($G$17:$I$17,GREET1_Import_Export!N352:P352))</f>
        <v>1223.3377224856213</v>
      </c>
      <c r="R69" s="258"/>
      <c r="S69" s="267"/>
      <c r="T69" s="273">
        <f>Battery_Materials!T$51*(Battery_Materials!J$21*GREET1_Import_Export!$K76+GREET1_Import_Export!$B190*GREET1_Import_Export!$F$179+GREET1_Import_Export!$F190)+Battery_Materials!T$52*(Battery_Materials!J$23*GREET1_Import_Export!$Q76+Battery_Materials!J$24*GREET1_Import_Export!$O76+Battery_Materials!J$25*GREET1_Import_Export!$M76+GREET1_Import_Export!$B190*GREET1_Import_Export!$G$179+GREET1_Import_Export!$G190)+Battery_Materials!T$53*(Battery_Materials!J$26*GREET1_Import_Export!$T76+GREET1_Import_Export!$B190*GREET1_Import_Export!$C$179+GREET1_Import_Export!$C190)+Battery_Materials!T$54*(Battery_Materials!J$27*GREET1_Import_Export!$W76+GREET1_Import_Export!$E226*GREET1_Import_Export!$F$215+GREET1_Import_Export!$F226)+Battery_Materials!T$55*(Battery_Materials!J$28*GREET1_Import_Export!$B76+Battery_Materials!J$29*GREET1_Import_Export!$C76+Battery_Materials!J$30*GREET1_Import_Export!$G76+Battery_Materials!J$32*'GREET2_Factors_T&amp;D'!$F19+Battery_Materials!J$33*'GREET2_Factors_T&amp;D'!$G19+GREET1_Import_Export!$B226)+Battery_Materials!T$56*(Battery_Materials!J$34*GREET1_Import_Export!$AA76+Battery_Materials!J$35*GREET1_Import_Export!$AB76+GREET1_Import_Export!$B294)+Battery_Materials!T$57*SUM(GREET1_Import_Export!$B319:$C319)</f>
        <v>2.7199885963692472</v>
      </c>
      <c r="U69" s="258"/>
      <c r="V69" s="267"/>
      <c r="W69" s="273">
        <f>Battery_Materials!W$51*(Battery_Materials!K$21*GREET1_Import_Export!$K76+GREET1_Import_Export!$B190*GREET1_Import_Export!$F$179+GREET1_Import_Export!$F190)+Battery_Materials!W$52*(Battery_Materials!K$23*GREET1_Import_Export!$Q76+Battery_Materials!K$24*GREET1_Import_Export!$O76+Battery_Materials!K$25*GREET1_Import_Export!$M76+GREET1_Import_Export!$B190*GREET1_Import_Export!$G$179+GREET1_Import_Export!$G190)+Battery_Materials!W$53*(Battery_Materials!K$26*GREET1_Import_Export!$T76+GREET1_Import_Export!$B190*GREET1_Import_Export!$C$179+GREET1_Import_Export!$C190)+Battery_Materials!W$54*(Battery_Materials!K$27*GREET1_Import_Export!$W76+GREET1_Import_Export!$E226*GREET1_Import_Export!$F$215+GREET1_Import_Export!$F226)+Battery_Materials!W$55*(Battery_Materials!K$28*GREET1_Import_Export!$B76+Battery_Materials!K$29*GREET1_Import_Export!$C76+Battery_Materials!K$30*GREET1_Import_Export!$G76+Battery_Materials!K$32*'GREET2_Factors_T&amp;D'!$F19+Battery_Materials!K$33*'GREET2_Factors_T&amp;D'!$G19+GREET1_Import_Export!$B226)+Battery_Materials!W$56*(Battery_Materials!K$34*GREET1_Import_Export!$AA76+Battery_Materials!K$35*GREET1_Import_Export!$AB76+GREET1_Import_Export!$B294)+Battery_Materials!W$57*SUM(GREET1_Import_Export!$B319:$C319)</f>
        <v>31.604576405149007</v>
      </c>
      <c r="X69" s="258"/>
      <c r="Y69" s="267"/>
    </row>
    <row r="70" spans="1:25" s="7" customFormat="1">
      <c r="A70" s="291" t="s">
        <v>826</v>
      </c>
      <c r="B70" s="273">
        <f>Battery_Materials!B$51*(Battery_Materials!B$21*GREET1_Import_Export!$K77+GREET1_Import_Export!$B191*GREET1_Import_Export!$F$179+GREET1_Import_Export!$F191)+Battery_Materials!B$52*(Battery_Materials!B$23*GREET1_Import_Export!$Q77+Battery_Materials!B$24*GREET1_Import_Export!$O77+Battery_Materials!B$25*GREET1_Import_Export!$M77+GREET1_Import_Export!$B191*GREET1_Import_Export!$G$179+GREET1_Import_Export!$G191)+Battery_Materials!B$53*(Battery_Materials!B$26*GREET1_Import_Export!$T77+GREET1_Import_Export!$B191*GREET1_Import_Export!$C$179+GREET1_Import_Export!$C191)+Battery_Materials!B$54*(Battery_Materials!B$27*GREET1_Import_Export!$W77+GREET1_Import_Export!$E227*GREET1_Import_Export!$F$215+GREET1_Import_Export!$F227)+Battery_Materials!B$55*(Battery_Materials!B$28*GREET1_Import_Export!$B77+Battery_Materials!B$29*GREET1_Import_Export!$C77+Battery_Materials!B$30*GREET1_Import_Export!$G77+Battery_Materials!B$32*'GREET2_Factors_T&amp;D'!$F20+Battery_Materials!B$33*'GREET2_Factors_T&amp;D'!$G20+GREET1_Import_Export!$B227)+Battery_Materials!B$56*(Battery_Materials!B$34*GREET1_Import_Export!$AA77+Battery_Materials!B$35*GREET1_Import_Export!$AB77+GREET1_Import_Export!$B295)+Battery_Materials!B$57*SUM(GREET1_Import_Export!$B320:$C320)</f>
        <v>768.88926825609497</v>
      </c>
      <c r="C70" s="258"/>
      <c r="D70" s="267"/>
      <c r="E70" s="273">
        <f>Battery_Materials!E$51*(Battery_Materials!C$21*GREET1_Import_Export!$K77+GREET1_Import_Export!$B191*GREET1_Import_Export!$F$179+GREET1_Import_Export!$F191)+Battery_Materials!E$52*(Battery_Materials!C$23*GREET1_Import_Export!$Q77+Battery_Materials!C$24*GREET1_Import_Export!$O77+Battery_Materials!C$25*GREET1_Import_Export!$M77+GREET1_Import_Export!$B191*GREET1_Import_Export!$G$179+GREET1_Import_Export!$G191)+Battery_Materials!E$53*(Battery_Materials!C$26*GREET1_Import_Export!$T77+GREET1_Import_Export!$B191*GREET1_Import_Export!$C$179+GREET1_Import_Export!$C191)+Battery_Materials!E$54*(Battery_Materials!C$27*GREET1_Import_Export!$W77+GREET1_Import_Export!$E227*GREET1_Import_Export!$F$215+GREET1_Import_Export!$F227)+Battery_Materials!E$55*(Battery_Materials!C$28*GREET1_Import_Export!$B77+Battery_Materials!C$29*GREET1_Import_Export!$C77+Battery_Materials!C$30*GREET1_Import_Export!$G77+Battery_Materials!C$32*'GREET2_Factors_T&amp;D'!$F20+Battery_Materials!C$33*'GREET2_Factors_T&amp;D'!$G20+GREET1_Import_Export!$B227)+Battery_Materials!E$56*(Battery_Materials!C$34*GREET1_Import_Export!$AA77+Battery_Materials!C$35*GREET1_Import_Export!$AB77+GREET1_Import_Export!$B295)+Battery_Materials!E$57*SUM(GREET1_Import_Export!$B320:$C320)</f>
        <v>4750.1483385740921</v>
      </c>
      <c r="F70" s="258"/>
      <c r="G70" s="267"/>
      <c r="H70" s="273">
        <f>Battery_Materials!H$51*(Battery_Materials!F$21*GREET1_Import_Export!$K77+GREET1_Import_Export!$B191*GREET1_Import_Export!$F$179+GREET1_Import_Export!$F191)+Battery_Materials!H$52*(Battery_Materials!F$23*GREET1_Import_Export!$Q77+Battery_Materials!F$24*GREET1_Import_Export!$O77+Battery_Materials!F$25*GREET1_Import_Export!$M77+GREET1_Import_Export!$B191*GREET1_Import_Export!$G$179+GREET1_Import_Export!$G191)+Battery_Materials!H$53*(Battery_Materials!F$26*GREET1_Import_Export!$T77+GREET1_Import_Export!$B191*GREET1_Import_Export!$C$179+GREET1_Import_Export!$C191)+Battery_Materials!H$54*(Battery_Materials!F$27*GREET1_Import_Export!$W77+GREET1_Import_Export!$E227*GREET1_Import_Export!$F$215+GREET1_Import_Export!$F227)+Battery_Materials!H$55*(Battery_Materials!F$28*GREET1_Import_Export!$B77+Battery_Materials!F$29*GREET1_Import_Export!$C77+Battery_Materials!F$30*GREET1_Import_Export!$G77+Battery_Materials!F$32*'GREET2_Factors_T&amp;D'!$F20+Battery_Materials!F$33*'GREET2_Factors_T&amp;D'!$G20+GREET1_Import_Export!$B227)+Battery_Materials!H$56*(Battery_Materials!F$34*GREET1_Import_Export!$AA77+Battery_Materials!F$35*GREET1_Import_Export!$AB77+GREET1_Import_Export!$B295)+Battery_Materials!H$57*SUM(GREET1_Import_Export!$B320:$C320)</f>
        <v>4.8060744491408922</v>
      </c>
      <c r="I70" s="258"/>
      <c r="J70" s="267"/>
      <c r="K70" s="273">
        <f>Battery_Materials!K$51*(Battery_Materials!G$21*GREET1_Import_Export!$K77+GREET1_Import_Export!$B191*GREET1_Import_Export!$F$179+GREET1_Import_Export!$F191)+Battery_Materials!K$52*(Battery_Materials!G$23*GREET1_Import_Export!$Q77+Battery_Materials!G$24*GREET1_Import_Export!$O77+Battery_Materials!G$25*GREET1_Import_Export!$M77+GREET1_Import_Export!$B191*GREET1_Import_Export!$G$179+GREET1_Import_Export!$G191)+Battery_Materials!K$53*(Battery_Materials!G$26*GREET1_Import_Export!$T77+GREET1_Import_Export!$B191*GREET1_Import_Export!$C$179+GREET1_Import_Export!$C191)+Battery_Materials!K$54*(Battery_Materials!G$27*GREET1_Import_Export!$W77+GREET1_Import_Export!$E227*GREET1_Import_Export!$F$215+GREET1_Import_Export!$F227)+Battery_Materials!K$55*(Battery_Materials!G$28*GREET1_Import_Export!$B77+Battery_Materials!G$29*GREET1_Import_Export!$C77+Battery_Materials!G$30*GREET1_Import_Export!$G77+Battery_Materials!G$32*'GREET2_Factors_T&amp;D'!$F20+Battery_Materials!G$33*'GREET2_Factors_T&amp;D'!$G20+GREET1_Import_Export!$B227)+Battery_Materials!K$56*(Battery_Materials!G$34*GREET1_Import_Export!$AA77+Battery_Materials!G$35*GREET1_Import_Export!$AB77+GREET1_Import_Export!$B295)+Battery_Materials!K$57*SUM(GREET1_Import_Export!$B320:$C320)</f>
        <v>20.081625881877166</v>
      </c>
      <c r="L70" s="258"/>
      <c r="M70" s="267"/>
      <c r="N70" s="273">
        <f>Battery_Materials!N$51*(Battery_Materials!H$21*GREET1_Import_Export!$K77+GREET1_Import_Export!$B191*GREET1_Import_Export!$F$179+GREET1_Import_Export!$F191)+Battery_Materials!N$52*(Battery_Materials!H$23*GREET1_Import_Export!$Q77+Battery_Materials!H$24*GREET1_Import_Export!$O77+Battery_Materials!H$25*GREET1_Import_Export!$M77+GREET1_Import_Export!$B191*GREET1_Import_Export!$G$179+GREET1_Import_Export!$G191)+Battery_Materials!N$53*(Battery_Materials!H$26*GREET1_Import_Export!$T77+GREET1_Import_Export!$B191*GREET1_Import_Export!$C$179+GREET1_Import_Export!$C191)+Battery_Materials!N$54*(Battery_Materials!H$27*GREET1_Import_Export!$W77+GREET1_Import_Export!$E227*GREET1_Import_Export!$F$215+GREET1_Import_Export!$F227)+Battery_Materials!N$55*(Battery_Materials!H$28*GREET1_Import_Export!$B77+Battery_Materials!H$29*GREET1_Import_Export!$C77+Battery_Materials!H$30*GREET1_Import_Export!$G77+Battery_Materials!H$32*'GREET2_Factors_T&amp;D'!$F20+Battery_Materials!H$33*'GREET2_Factors_T&amp;D'!$G20+GREET1_Import_Export!$B227)+Battery_Materials!N$56*(Battery_Materials!H$34*GREET1_Import_Export!$AA77+Battery_Materials!H$35*GREET1_Import_Export!$AB77+GREET1_Import_Export!$B295)+Battery_Materials!N$57*SUM(GREET1_Import_Export!$B320:$C320)</f>
        <v>85.616557496441047</v>
      </c>
      <c r="O70" s="258"/>
      <c r="P70" s="267"/>
      <c r="Q70" s="1335">
        <f>Battery_Materials!Q$51*(Battery_Materials!I$21*GREET1_Import_Export!$K77+GREET1_Import_Export!$B191*GREET1_Import_Export!$F$179+GREET1_Import_Export!$F191)+Battery_Materials!Q$52*(Battery_Materials!I$23*GREET1_Import_Export!$Q77+Battery_Materials!I$24*GREET1_Import_Export!$O77+Battery_Materials!I$25*GREET1_Import_Export!$M77+GREET1_Import_Export!$B191*GREET1_Import_Export!$G$179+GREET1_Import_Export!$G191)+Battery_Materials!Q$53*(Battery_Materials!I$26*GREET1_Import_Export!$T77+GREET1_Import_Export!$B191*GREET1_Import_Export!$C$179+GREET1_Import_Export!$C191)+Battery_Materials!Q$54*(Battery_Materials!I$27*GREET1_Import_Export!$W77+GREET1_Import_Export!$E227*GREET1_Import_Export!$F$215+GREET1_Import_Export!$F227)+Battery_Materials!Q$55*(Battery_Materials!I$28*GREET1_Import_Export!$B77+Battery_Materials!I$29*GREET1_Import_Export!$C77+Battery_Materials!I$30*GREET1_Import_Export!$G77+Battery_Materials!I$32*'GREET2_Factors_T&amp;D'!$F20+Battery_Materials!I$33*'GREET2_Factors_T&amp;D'!$G20+GREET1_Import_Export!$B227)+Battery_Materials!Q$56*(Battery_Materials!I$34*GREET1_Import_Export!$AA77+Battery_Materials!I$35*GREET1_Import_Export!$AB77+GREET1_Import_Export!$B295)+Battery_Materials!Q$57*($B$17*(GREET1_Import_Export!$B320+GREET1_Import_Export!$C320)+$C$17*GREET1_Import_Export!L353+$D$17*GREET1_Import_Export!H353+$E$17*GREET1_Import_Export!Q353+$F$17*GREET1_Import_Export!R353+SUMPRODUCT($G$17:$I$17,GREET1_Import_Export!N353:P353))</f>
        <v>8791.4383374545814</v>
      </c>
      <c r="R70" s="258"/>
      <c r="S70" s="267"/>
      <c r="T70" s="273">
        <f>Battery_Materials!T$51*(Battery_Materials!J$21*GREET1_Import_Export!$K77+GREET1_Import_Export!$B191*GREET1_Import_Export!$F$179+GREET1_Import_Export!$F191)+Battery_Materials!T$52*(Battery_Materials!J$23*GREET1_Import_Export!$Q77+Battery_Materials!J$24*GREET1_Import_Export!$O77+Battery_Materials!J$25*GREET1_Import_Export!$M77+GREET1_Import_Export!$B191*GREET1_Import_Export!$G$179+GREET1_Import_Export!$G191)+Battery_Materials!T$53*(Battery_Materials!J$26*GREET1_Import_Export!$T77+GREET1_Import_Export!$B191*GREET1_Import_Export!$C$179+GREET1_Import_Export!$C191)+Battery_Materials!T$54*(Battery_Materials!J$27*GREET1_Import_Export!$W77+GREET1_Import_Export!$E227*GREET1_Import_Export!$F$215+GREET1_Import_Export!$F227)+Battery_Materials!T$55*(Battery_Materials!J$28*GREET1_Import_Export!$B77+Battery_Materials!J$29*GREET1_Import_Export!$C77+Battery_Materials!J$30*GREET1_Import_Export!$G77+Battery_Materials!J$32*'GREET2_Factors_T&amp;D'!$F20+Battery_Materials!J$33*'GREET2_Factors_T&amp;D'!$G20+GREET1_Import_Export!$B227)+Battery_Materials!T$56*(Battery_Materials!J$34*GREET1_Import_Export!$AA77+Battery_Materials!J$35*GREET1_Import_Export!$AB77+GREET1_Import_Export!$B295)+Battery_Materials!T$57*SUM(GREET1_Import_Export!$B320:$C320)</f>
        <v>7.9582655479472306</v>
      </c>
      <c r="U70" s="258"/>
      <c r="V70" s="267"/>
      <c r="W70" s="273">
        <f>Battery_Materials!W$51*(Battery_Materials!K$21*GREET1_Import_Export!$K77+GREET1_Import_Export!$B191*GREET1_Import_Export!$F$179+GREET1_Import_Export!$F191)+Battery_Materials!W$52*(Battery_Materials!K$23*GREET1_Import_Export!$Q77+Battery_Materials!K$24*GREET1_Import_Export!$O77+Battery_Materials!K$25*GREET1_Import_Export!$M77+GREET1_Import_Export!$B191*GREET1_Import_Export!$G$179+GREET1_Import_Export!$G191)+Battery_Materials!W$53*(Battery_Materials!K$26*GREET1_Import_Export!$T77+GREET1_Import_Export!$B191*GREET1_Import_Export!$C$179+GREET1_Import_Export!$C191)+Battery_Materials!W$54*(Battery_Materials!K$27*GREET1_Import_Export!$W77+GREET1_Import_Export!$E227*GREET1_Import_Export!$F$215+GREET1_Import_Export!$F227)+Battery_Materials!W$55*(Battery_Materials!K$28*GREET1_Import_Export!$B77+Battery_Materials!K$29*GREET1_Import_Export!$C77+Battery_Materials!K$30*GREET1_Import_Export!$G77+Battery_Materials!K$32*'GREET2_Factors_T&amp;D'!$F20+Battery_Materials!K$33*'GREET2_Factors_T&amp;D'!$G20+GREET1_Import_Export!$B227)+Battery_Materials!W$56*(Battery_Materials!K$34*GREET1_Import_Export!$AA77+Battery_Materials!K$35*GREET1_Import_Export!$AB77+GREET1_Import_Export!$B295)+Battery_Materials!W$57*SUM(GREET1_Import_Export!$B320:$C320)</f>
        <v>95.486632816130253</v>
      </c>
      <c r="X70" s="258"/>
      <c r="Y70" s="267"/>
    </row>
    <row r="71" spans="1:25" s="7" customFormat="1">
      <c r="A71" s="483" t="s">
        <v>827</v>
      </c>
      <c r="B71" s="273">
        <f>Battery_Materials!B$51*(Battery_Materials!B$21*GREET1_Import_Export!$K78+GREET1_Import_Export!$B192*GREET1_Import_Export!$F$179+GREET1_Import_Export!$F192)+Battery_Materials!B$52*(Battery_Materials!B$23*GREET1_Import_Export!$Q78+Battery_Materials!B$24*GREET1_Import_Export!$O78+Battery_Materials!B$25*GREET1_Import_Export!$M78+GREET1_Import_Export!$B192*GREET1_Import_Export!$G$179+GREET1_Import_Export!$G192)+Battery_Materials!B$53*(Battery_Materials!B$26*GREET1_Import_Export!$T78+GREET1_Import_Export!$B192*GREET1_Import_Export!$C$179+GREET1_Import_Export!$C192)+Battery_Materials!B$54*(Battery_Materials!B$27*GREET1_Import_Export!$W78+GREET1_Import_Export!$E228*GREET1_Import_Export!$F$215+GREET1_Import_Export!$F228)+Battery_Materials!B$55*(Battery_Materials!B$28*GREET1_Import_Export!$B78+Battery_Materials!B$29*GREET1_Import_Export!$C78+Battery_Materials!B$30*GREET1_Import_Export!$G78+Battery_Materials!B$32*'GREET2_Factors_T&amp;D'!$F21+Battery_Materials!B$33*'GREET2_Factors_T&amp;D'!$G21+GREET1_Import_Export!$B228)+Battery_Materials!B$56*(Battery_Materials!B$34*GREET1_Import_Export!$AA78+Battery_Materials!B$35*GREET1_Import_Export!$AB78+GREET1_Import_Export!$B296)+Battery_Materials!B$57*SUM(GREET1_Import_Export!$B321:$C321)</f>
        <v>12.76357671516233</v>
      </c>
      <c r="C71" s="258"/>
      <c r="D71" s="267"/>
      <c r="E71" s="273">
        <f>Battery_Materials!E$51*(Battery_Materials!C$21*GREET1_Import_Export!$K78+GREET1_Import_Export!$B192*GREET1_Import_Export!$F$179+GREET1_Import_Export!$F192)+Battery_Materials!E$52*(Battery_Materials!C$23*GREET1_Import_Export!$Q78+Battery_Materials!C$24*GREET1_Import_Export!$O78+Battery_Materials!C$25*GREET1_Import_Export!$M78+GREET1_Import_Export!$B192*GREET1_Import_Export!$G$179+GREET1_Import_Export!$G192)+Battery_Materials!E$53*(Battery_Materials!C$26*GREET1_Import_Export!$T78+GREET1_Import_Export!$B192*GREET1_Import_Export!$C$179+GREET1_Import_Export!$C192)+Battery_Materials!E$54*(Battery_Materials!C$27*GREET1_Import_Export!$W78+GREET1_Import_Export!$E228*GREET1_Import_Export!$F$215+GREET1_Import_Export!$F228)+Battery_Materials!E$55*(Battery_Materials!C$28*GREET1_Import_Export!$B78+Battery_Materials!C$29*GREET1_Import_Export!$C78+Battery_Materials!C$30*GREET1_Import_Export!$G78+Battery_Materials!C$32*'GREET2_Factors_T&amp;D'!$F21+Battery_Materials!C$33*'GREET2_Factors_T&amp;D'!$G21+GREET1_Import_Export!$B228)+Battery_Materials!E$56*(Battery_Materials!C$34*GREET1_Import_Export!$AA78+Battery_Materials!C$35*GREET1_Import_Export!$AB78+GREET1_Import_Export!$B296)+Battery_Materials!E$57*SUM(GREET1_Import_Export!$B321:$C321)</f>
        <v>33.268468723050539</v>
      </c>
      <c r="F71" s="258"/>
      <c r="G71" s="267"/>
      <c r="H71" s="273">
        <f>Battery_Materials!H$51*(Battery_Materials!F$21*GREET1_Import_Export!$K78+GREET1_Import_Export!$B192*GREET1_Import_Export!$F$179+GREET1_Import_Export!$F192)+Battery_Materials!H$52*(Battery_Materials!F$23*GREET1_Import_Export!$Q78+Battery_Materials!F$24*GREET1_Import_Export!$O78+Battery_Materials!F$25*GREET1_Import_Export!$M78+GREET1_Import_Export!$B192*GREET1_Import_Export!$G$179+GREET1_Import_Export!$G192)+Battery_Materials!H$53*(Battery_Materials!F$26*GREET1_Import_Export!$T78+GREET1_Import_Export!$B192*GREET1_Import_Export!$C$179+GREET1_Import_Export!$C192)+Battery_Materials!H$54*(Battery_Materials!F$27*GREET1_Import_Export!$W78+GREET1_Import_Export!$E228*GREET1_Import_Export!$F$215+GREET1_Import_Export!$F228)+Battery_Materials!H$55*(Battery_Materials!F$28*GREET1_Import_Export!$B78+Battery_Materials!F$29*GREET1_Import_Export!$C78+Battery_Materials!F$30*GREET1_Import_Export!$G78+Battery_Materials!F$32*'GREET2_Factors_T&amp;D'!$F21+Battery_Materials!F$33*'GREET2_Factors_T&amp;D'!$G21+GREET1_Import_Export!$B228)+Battery_Materials!H$56*(Battery_Materials!F$34*GREET1_Import_Export!$AA78+Battery_Materials!F$35*GREET1_Import_Export!$AB78+GREET1_Import_Export!$B296)+Battery_Materials!H$57*SUM(GREET1_Import_Export!$B321:$C321)</f>
        <v>0.16480969704442974</v>
      </c>
      <c r="I71" s="258"/>
      <c r="J71" s="267"/>
      <c r="K71" s="273">
        <f>Battery_Materials!K$51*(Battery_Materials!G$21*GREET1_Import_Export!$K78+GREET1_Import_Export!$B192*GREET1_Import_Export!$F$179+GREET1_Import_Export!$F192)+Battery_Materials!K$52*(Battery_Materials!G$23*GREET1_Import_Export!$Q78+Battery_Materials!G$24*GREET1_Import_Export!$O78+Battery_Materials!G$25*GREET1_Import_Export!$M78+GREET1_Import_Export!$B192*GREET1_Import_Export!$G$179+GREET1_Import_Export!$G192)+Battery_Materials!K$53*(Battery_Materials!G$26*GREET1_Import_Export!$T78+GREET1_Import_Export!$B192*GREET1_Import_Export!$C$179+GREET1_Import_Export!$C192)+Battery_Materials!K$54*(Battery_Materials!G$27*GREET1_Import_Export!$W78+GREET1_Import_Export!$E228*GREET1_Import_Export!$F$215+GREET1_Import_Export!$F228)+Battery_Materials!K$55*(Battery_Materials!G$28*GREET1_Import_Export!$B78+Battery_Materials!G$29*GREET1_Import_Export!$C78+Battery_Materials!G$30*GREET1_Import_Export!$G78+Battery_Materials!G$32*'GREET2_Factors_T&amp;D'!$F21+Battery_Materials!G$33*'GREET2_Factors_T&amp;D'!$G21+GREET1_Import_Export!$B228)+Battery_Materials!K$56*(Battery_Materials!G$34*GREET1_Import_Export!$AA78+Battery_Materials!G$35*GREET1_Import_Export!$AB78+GREET1_Import_Export!$B296)+Battery_Materials!K$57*SUM(GREET1_Import_Export!$B321:$C321)</f>
        <v>0.90096696595159154</v>
      </c>
      <c r="L71" s="258"/>
      <c r="M71" s="267"/>
      <c r="N71" s="273">
        <f>Battery_Materials!N$51*(Battery_Materials!H$21*GREET1_Import_Export!$K78+GREET1_Import_Export!$B192*GREET1_Import_Export!$F$179+GREET1_Import_Export!$F192)+Battery_Materials!N$52*(Battery_Materials!H$23*GREET1_Import_Export!$Q78+Battery_Materials!H$24*GREET1_Import_Export!$O78+Battery_Materials!H$25*GREET1_Import_Export!$M78+GREET1_Import_Export!$B192*GREET1_Import_Export!$G$179+GREET1_Import_Export!$G192)+Battery_Materials!N$53*(Battery_Materials!H$26*GREET1_Import_Export!$T78+GREET1_Import_Export!$B192*GREET1_Import_Export!$C$179+GREET1_Import_Export!$C192)+Battery_Materials!N$54*(Battery_Materials!H$27*GREET1_Import_Export!$W78+GREET1_Import_Export!$E228*GREET1_Import_Export!$F$215+GREET1_Import_Export!$F228)+Battery_Materials!N$55*(Battery_Materials!H$28*GREET1_Import_Export!$B78+Battery_Materials!H$29*GREET1_Import_Export!$C78+Battery_Materials!H$30*GREET1_Import_Export!$G78+Battery_Materials!H$32*'GREET2_Factors_T&amp;D'!$F21+Battery_Materials!H$33*'GREET2_Factors_T&amp;D'!$G21+GREET1_Import_Export!$B228)+Battery_Materials!N$56*(Battery_Materials!H$34*GREET1_Import_Export!$AA78+Battery_Materials!H$35*GREET1_Import_Export!$AB78+GREET1_Import_Export!$B296)+Battery_Materials!N$57*SUM(GREET1_Import_Export!$B321:$C321)</f>
        <v>1.6347237653139861</v>
      </c>
      <c r="O71" s="258"/>
      <c r="P71" s="267"/>
      <c r="Q71" s="1335">
        <f>Battery_Materials!Q$51*(Battery_Materials!I$21*GREET1_Import_Export!$K78+GREET1_Import_Export!$B192*GREET1_Import_Export!$F$179+GREET1_Import_Export!$F192)+Battery_Materials!Q$52*(Battery_Materials!I$23*GREET1_Import_Export!$Q78+Battery_Materials!I$24*GREET1_Import_Export!$O78+Battery_Materials!I$25*GREET1_Import_Export!$M78+GREET1_Import_Export!$B192*GREET1_Import_Export!$G$179+GREET1_Import_Export!$G192)+Battery_Materials!Q$53*(Battery_Materials!I$26*GREET1_Import_Export!$T78+GREET1_Import_Export!$B192*GREET1_Import_Export!$C$179+GREET1_Import_Export!$C192)+Battery_Materials!Q$54*(Battery_Materials!I$27*GREET1_Import_Export!$W78+GREET1_Import_Export!$E228*GREET1_Import_Export!$F$215+GREET1_Import_Export!$F228)+Battery_Materials!Q$55*(Battery_Materials!I$28*GREET1_Import_Export!$B78+Battery_Materials!I$29*GREET1_Import_Export!$C78+Battery_Materials!I$30*GREET1_Import_Export!$G78+Battery_Materials!I$32*'GREET2_Factors_T&amp;D'!$F21+Battery_Materials!I$33*'GREET2_Factors_T&amp;D'!$G21+GREET1_Import_Export!$B228)+Battery_Materials!Q$56*(Battery_Materials!I$34*GREET1_Import_Export!$AA78+Battery_Materials!I$35*GREET1_Import_Export!$AB78+GREET1_Import_Export!$B296)+Battery_Materials!Q$57*($B$17*(GREET1_Import_Export!$B321+GREET1_Import_Export!$C321)+$C$17*GREET1_Import_Export!L354+$D$17*GREET1_Import_Export!H354+$E$17*GREET1_Import_Export!Q354+$F$17*GREET1_Import_Export!R354+SUMPRODUCT($G$17:$I$17,GREET1_Import_Export!N354:P354))</f>
        <v>111.69067967678514</v>
      </c>
      <c r="R71" s="258"/>
      <c r="S71" s="267"/>
      <c r="T71" s="273">
        <f>Battery_Materials!T$51*(Battery_Materials!J$21*GREET1_Import_Export!$K78+GREET1_Import_Export!$B192*GREET1_Import_Export!$F$179+GREET1_Import_Export!$F192)+Battery_Materials!T$52*(Battery_Materials!J$23*GREET1_Import_Export!$Q78+Battery_Materials!J$24*GREET1_Import_Export!$O78+Battery_Materials!J$25*GREET1_Import_Export!$M78+GREET1_Import_Export!$B192*GREET1_Import_Export!$G$179+GREET1_Import_Export!$G192)+Battery_Materials!T$53*(Battery_Materials!J$26*GREET1_Import_Export!$T78+GREET1_Import_Export!$B192*GREET1_Import_Export!$C$179+GREET1_Import_Export!$C192)+Battery_Materials!T$54*(Battery_Materials!J$27*GREET1_Import_Export!$W78+GREET1_Import_Export!$E228*GREET1_Import_Export!$F$215+GREET1_Import_Export!$F228)+Battery_Materials!T$55*(Battery_Materials!J$28*GREET1_Import_Export!$B78+Battery_Materials!J$29*GREET1_Import_Export!$C78+Battery_Materials!J$30*GREET1_Import_Export!$G78+Battery_Materials!J$32*'GREET2_Factors_T&amp;D'!$F21+Battery_Materials!J$33*'GREET2_Factors_T&amp;D'!$G21+GREET1_Import_Export!$B228)+Battery_Materials!T$56*(Battery_Materials!J$34*GREET1_Import_Export!$AA78+Battery_Materials!J$35*GREET1_Import_Export!$AB78+GREET1_Import_Export!$B296)+Battery_Materials!T$57*SUM(GREET1_Import_Export!$B321:$C321)</f>
        <v>0.47451885499309349</v>
      </c>
      <c r="U71" s="258"/>
      <c r="V71" s="267"/>
      <c r="W71" s="273">
        <f>Battery_Materials!W$51*(Battery_Materials!K$21*GREET1_Import_Export!$K78+GREET1_Import_Export!$B192*GREET1_Import_Export!$F$179+GREET1_Import_Export!$F192)+Battery_Materials!W$52*(Battery_Materials!K$23*GREET1_Import_Export!$Q78+Battery_Materials!K$24*GREET1_Import_Export!$O78+Battery_Materials!K$25*GREET1_Import_Export!$M78+GREET1_Import_Export!$B192*GREET1_Import_Export!$G$179+GREET1_Import_Export!$G192)+Battery_Materials!W$53*(Battery_Materials!K$26*GREET1_Import_Export!$T78+GREET1_Import_Export!$B192*GREET1_Import_Export!$C$179+GREET1_Import_Export!$C192)+Battery_Materials!W$54*(Battery_Materials!K$27*GREET1_Import_Export!$W78+GREET1_Import_Export!$E228*GREET1_Import_Export!$F$215+GREET1_Import_Export!$F228)+Battery_Materials!W$55*(Battery_Materials!K$28*GREET1_Import_Export!$B78+Battery_Materials!K$29*GREET1_Import_Export!$C78+Battery_Materials!K$30*GREET1_Import_Export!$G78+Battery_Materials!K$32*'GREET2_Factors_T&amp;D'!$F21+Battery_Materials!K$33*'GREET2_Factors_T&amp;D'!$G21+GREET1_Import_Export!$B228)+Battery_Materials!W$56*(Battery_Materials!K$34*GREET1_Import_Export!$AA78+Battery_Materials!K$35*GREET1_Import_Export!$AB78+GREET1_Import_Export!$B296)+Battery_Materials!W$57*SUM(GREET1_Import_Export!$B321:$C321)</f>
        <v>5.4547387434255938</v>
      </c>
      <c r="X71" s="258"/>
      <c r="Y71" s="267"/>
    </row>
    <row r="72" spans="1:25" s="7" customFormat="1">
      <c r="A72" s="483" t="s">
        <v>828</v>
      </c>
      <c r="B72" s="273">
        <f>Battery_Materials!B$51*(Battery_Materials!B$21*GREET1_Import_Export!$K79+GREET1_Import_Export!$B193*GREET1_Import_Export!$F$179+GREET1_Import_Export!$F193)+Battery_Materials!B$52*(Battery_Materials!B$23*GREET1_Import_Export!$Q79+Battery_Materials!B$24*GREET1_Import_Export!$O79+Battery_Materials!B$25*GREET1_Import_Export!$M79+GREET1_Import_Export!$B193*GREET1_Import_Export!$G$179+GREET1_Import_Export!$G193)+Battery_Materials!B$53*(Battery_Materials!B$26*GREET1_Import_Export!$T79+GREET1_Import_Export!$B193*GREET1_Import_Export!$C$179+GREET1_Import_Export!$C193)+Battery_Materials!B$54*(Battery_Materials!B$27*GREET1_Import_Export!$W79+GREET1_Import_Export!$E229*GREET1_Import_Export!$F$215+GREET1_Import_Export!$F229)+Battery_Materials!B$55*(Battery_Materials!B$28*GREET1_Import_Export!$B79+Battery_Materials!B$29*GREET1_Import_Export!$C79+Battery_Materials!B$30*GREET1_Import_Export!$G79+Battery_Materials!B$32*'GREET2_Factors_T&amp;D'!$F22+Battery_Materials!B$33*'GREET2_Factors_T&amp;D'!$G22+GREET1_Import_Export!$B229)+Battery_Materials!B$56*(Battery_Materials!B$34*GREET1_Import_Export!$AA79+Battery_Materials!B$35*GREET1_Import_Export!$AB79+GREET1_Import_Export!$B297)+Battery_Materials!B$57*SUM(GREET1_Import_Export!$B322:$C322)</f>
        <v>38.168984969246573</v>
      </c>
      <c r="C72" s="258"/>
      <c r="D72" s="267"/>
      <c r="E72" s="273">
        <f>Battery_Materials!E$51*(Battery_Materials!C$21*GREET1_Import_Export!$K79+GREET1_Import_Export!$B193*GREET1_Import_Export!$F$179+GREET1_Import_Export!$F193)+Battery_Materials!E$52*(Battery_Materials!C$23*GREET1_Import_Export!$Q79+Battery_Materials!C$24*GREET1_Import_Export!$O79+Battery_Materials!C$25*GREET1_Import_Export!$M79+GREET1_Import_Export!$B193*GREET1_Import_Export!$G$179+GREET1_Import_Export!$G193)+Battery_Materials!E$53*(Battery_Materials!C$26*GREET1_Import_Export!$T79+GREET1_Import_Export!$B193*GREET1_Import_Export!$C$179+GREET1_Import_Export!$C193)+Battery_Materials!E$54*(Battery_Materials!C$27*GREET1_Import_Export!$W79+GREET1_Import_Export!$E229*GREET1_Import_Export!$F$215+GREET1_Import_Export!$F229)+Battery_Materials!E$55*(Battery_Materials!C$28*GREET1_Import_Export!$B79+Battery_Materials!C$29*GREET1_Import_Export!$C79+Battery_Materials!C$30*GREET1_Import_Export!$G79+Battery_Materials!C$32*'GREET2_Factors_T&amp;D'!$F22+Battery_Materials!C$33*'GREET2_Factors_T&amp;D'!$G22+GREET1_Import_Export!$B229)+Battery_Materials!E$56*(Battery_Materials!C$34*GREET1_Import_Export!$AA79+Battery_Materials!C$35*GREET1_Import_Export!$AB79+GREET1_Import_Export!$B297)+Battery_Materials!E$57*SUM(GREET1_Import_Export!$B322:$C322)</f>
        <v>156.76707333886975</v>
      </c>
      <c r="F72" s="258"/>
      <c r="G72" s="267"/>
      <c r="H72" s="273">
        <f>Battery_Materials!H$51*(Battery_Materials!F$21*GREET1_Import_Export!$K79+GREET1_Import_Export!$B193*GREET1_Import_Export!$F$179+GREET1_Import_Export!$F193)+Battery_Materials!H$52*(Battery_Materials!F$23*GREET1_Import_Export!$Q79+Battery_Materials!F$24*GREET1_Import_Export!$O79+Battery_Materials!F$25*GREET1_Import_Export!$M79+GREET1_Import_Export!$B193*GREET1_Import_Export!$G$179+GREET1_Import_Export!$G193)+Battery_Materials!H$53*(Battery_Materials!F$26*GREET1_Import_Export!$T79+GREET1_Import_Export!$B193*GREET1_Import_Export!$C$179+GREET1_Import_Export!$C193)+Battery_Materials!H$54*(Battery_Materials!F$27*GREET1_Import_Export!$W79+GREET1_Import_Export!$E229*GREET1_Import_Export!$F$215+GREET1_Import_Export!$F229)+Battery_Materials!H$55*(Battery_Materials!F$28*GREET1_Import_Export!$B79+Battery_Materials!F$29*GREET1_Import_Export!$C79+Battery_Materials!F$30*GREET1_Import_Export!$G79+Battery_Materials!F$32*'GREET2_Factors_T&amp;D'!$F22+Battery_Materials!F$33*'GREET2_Factors_T&amp;D'!$G22+GREET1_Import_Export!$B229)+Battery_Materials!H$56*(Battery_Materials!F$34*GREET1_Import_Export!$AA79+Battery_Materials!F$35*GREET1_Import_Export!$AB79+GREET1_Import_Export!$B297)+Battery_Materials!H$57*SUM(GREET1_Import_Export!$B322:$C322)</f>
        <v>0.43745840852380019</v>
      </c>
      <c r="I72" s="258"/>
      <c r="J72" s="267"/>
      <c r="K72" s="273">
        <f>Battery_Materials!K$51*(Battery_Materials!G$21*GREET1_Import_Export!$K79+GREET1_Import_Export!$B193*GREET1_Import_Export!$F$179+GREET1_Import_Export!$F193)+Battery_Materials!K$52*(Battery_Materials!G$23*GREET1_Import_Export!$Q79+Battery_Materials!G$24*GREET1_Import_Export!$O79+Battery_Materials!G$25*GREET1_Import_Export!$M79+GREET1_Import_Export!$B193*GREET1_Import_Export!$G$179+GREET1_Import_Export!$G193)+Battery_Materials!K$53*(Battery_Materials!G$26*GREET1_Import_Export!$T79+GREET1_Import_Export!$B193*GREET1_Import_Export!$C$179+GREET1_Import_Export!$C193)+Battery_Materials!K$54*(Battery_Materials!G$27*GREET1_Import_Export!$W79+GREET1_Import_Export!$E229*GREET1_Import_Export!$F$215+GREET1_Import_Export!$F229)+Battery_Materials!K$55*(Battery_Materials!G$28*GREET1_Import_Export!$B79+Battery_Materials!G$29*GREET1_Import_Export!$C79+Battery_Materials!G$30*GREET1_Import_Export!$G79+Battery_Materials!G$32*'GREET2_Factors_T&amp;D'!$F22+Battery_Materials!G$33*'GREET2_Factors_T&amp;D'!$G22+GREET1_Import_Export!$B229)+Battery_Materials!K$56*(Battery_Materials!G$34*GREET1_Import_Export!$AA79+Battery_Materials!G$35*GREET1_Import_Export!$AB79+GREET1_Import_Export!$B297)+Battery_Materials!K$57*SUM(GREET1_Import_Export!$B322:$C322)</f>
        <v>2.2771568287086188</v>
      </c>
      <c r="L72" s="258"/>
      <c r="M72" s="267"/>
      <c r="N72" s="273">
        <f>Battery_Materials!N$51*(Battery_Materials!H$21*GREET1_Import_Export!$K79+GREET1_Import_Export!$B193*GREET1_Import_Export!$F$179+GREET1_Import_Export!$F193)+Battery_Materials!N$52*(Battery_Materials!H$23*GREET1_Import_Export!$Q79+Battery_Materials!H$24*GREET1_Import_Export!$O79+Battery_Materials!H$25*GREET1_Import_Export!$M79+GREET1_Import_Export!$B193*GREET1_Import_Export!$G$179+GREET1_Import_Export!$G193)+Battery_Materials!N$53*(Battery_Materials!H$26*GREET1_Import_Export!$T79+GREET1_Import_Export!$B193*GREET1_Import_Export!$C$179+GREET1_Import_Export!$C193)+Battery_Materials!N$54*(Battery_Materials!H$27*GREET1_Import_Export!$W79+GREET1_Import_Export!$E229*GREET1_Import_Export!$F$215+GREET1_Import_Export!$F229)+Battery_Materials!N$55*(Battery_Materials!H$28*GREET1_Import_Export!$B79+Battery_Materials!H$29*GREET1_Import_Export!$C79+Battery_Materials!H$30*GREET1_Import_Export!$G79+Battery_Materials!H$32*'GREET2_Factors_T&amp;D'!$F22+Battery_Materials!H$33*'GREET2_Factors_T&amp;D'!$G22+GREET1_Import_Export!$B229)+Battery_Materials!N$56*(Battery_Materials!H$34*GREET1_Import_Export!$AA79+Battery_Materials!H$35*GREET1_Import_Export!$AB79+GREET1_Import_Export!$B297)+Battery_Materials!N$57*SUM(GREET1_Import_Export!$B322:$C322)</f>
        <v>5.0395746240636079</v>
      </c>
      <c r="O72" s="258"/>
      <c r="P72" s="267"/>
      <c r="Q72" s="1335">
        <f>Battery_Materials!Q$51*(Battery_Materials!I$21*GREET1_Import_Export!$K79+GREET1_Import_Export!$B193*GREET1_Import_Export!$F$179+GREET1_Import_Export!$F193)+Battery_Materials!Q$52*(Battery_Materials!I$23*GREET1_Import_Export!$Q79+Battery_Materials!I$24*GREET1_Import_Export!$O79+Battery_Materials!I$25*GREET1_Import_Export!$M79+GREET1_Import_Export!$B193*GREET1_Import_Export!$G$179+GREET1_Import_Export!$G193)+Battery_Materials!Q$53*(Battery_Materials!I$26*GREET1_Import_Export!$T79+GREET1_Import_Export!$B193*GREET1_Import_Export!$C$179+GREET1_Import_Export!$C193)+Battery_Materials!Q$54*(Battery_Materials!I$27*GREET1_Import_Export!$W79+GREET1_Import_Export!$E229*GREET1_Import_Export!$F$215+GREET1_Import_Export!$F229)+Battery_Materials!Q$55*(Battery_Materials!I$28*GREET1_Import_Export!$B79+Battery_Materials!I$29*GREET1_Import_Export!$C79+Battery_Materials!I$30*GREET1_Import_Export!$G79+Battery_Materials!I$32*'GREET2_Factors_T&amp;D'!$F22+Battery_Materials!I$33*'GREET2_Factors_T&amp;D'!$G22+GREET1_Import_Export!$B229)+Battery_Materials!Q$56*(Battery_Materials!I$34*GREET1_Import_Export!$AA79+Battery_Materials!I$35*GREET1_Import_Export!$AB79+GREET1_Import_Export!$B297)+Battery_Materials!Q$57*($B$17*(GREET1_Import_Export!$B322+GREET1_Import_Export!$C322)+$C$17*GREET1_Import_Export!L355+$D$17*GREET1_Import_Export!H355+$E$17*GREET1_Import_Export!Q355+$F$17*GREET1_Import_Export!R355+SUMPRODUCT($G$17:$I$17,GREET1_Import_Export!N355:P355))</f>
        <v>398.62924557483984</v>
      </c>
      <c r="R72" s="258"/>
      <c r="S72" s="267"/>
      <c r="T72" s="273">
        <f>Battery_Materials!T$51*(Battery_Materials!J$21*GREET1_Import_Export!$K79+GREET1_Import_Export!$B193*GREET1_Import_Export!$F$179+GREET1_Import_Export!$F193)+Battery_Materials!T$52*(Battery_Materials!J$23*GREET1_Import_Export!$Q79+Battery_Materials!J$24*GREET1_Import_Export!$O79+Battery_Materials!J$25*GREET1_Import_Export!$M79+GREET1_Import_Export!$B193*GREET1_Import_Export!$G$179+GREET1_Import_Export!$G193)+Battery_Materials!T$53*(Battery_Materials!J$26*GREET1_Import_Export!$T79+GREET1_Import_Export!$B193*GREET1_Import_Export!$C$179+GREET1_Import_Export!$C193)+Battery_Materials!T$54*(Battery_Materials!J$27*GREET1_Import_Export!$W79+GREET1_Import_Export!$E229*GREET1_Import_Export!$F$215+GREET1_Import_Export!$F229)+Battery_Materials!T$55*(Battery_Materials!J$28*GREET1_Import_Export!$B79+Battery_Materials!J$29*GREET1_Import_Export!$C79+Battery_Materials!J$30*GREET1_Import_Export!$G79+Battery_Materials!J$32*'GREET2_Factors_T&amp;D'!$F22+Battery_Materials!J$33*'GREET2_Factors_T&amp;D'!$G22+GREET1_Import_Export!$B229)+Battery_Materials!T$56*(Battery_Materials!J$34*GREET1_Import_Export!$AA79+Battery_Materials!J$35*GREET1_Import_Export!$AB79+GREET1_Import_Export!$B297)+Battery_Materials!T$57*SUM(GREET1_Import_Export!$B322:$C322)</f>
        <v>1.1509929883948051</v>
      </c>
      <c r="U72" s="258"/>
      <c r="V72" s="267"/>
      <c r="W72" s="273">
        <f>Battery_Materials!W$51*(Battery_Materials!K$21*GREET1_Import_Export!$K79+GREET1_Import_Export!$B193*GREET1_Import_Export!$F$179+GREET1_Import_Export!$F193)+Battery_Materials!W$52*(Battery_Materials!K$23*GREET1_Import_Export!$Q79+Battery_Materials!K$24*GREET1_Import_Export!$O79+Battery_Materials!K$25*GREET1_Import_Export!$M79+GREET1_Import_Export!$B193*GREET1_Import_Export!$G$179+GREET1_Import_Export!$G193)+Battery_Materials!W$53*(Battery_Materials!K$26*GREET1_Import_Export!$T79+GREET1_Import_Export!$B193*GREET1_Import_Export!$C$179+GREET1_Import_Export!$C193)+Battery_Materials!W$54*(Battery_Materials!K$27*GREET1_Import_Export!$W79+GREET1_Import_Export!$E229*GREET1_Import_Export!$F$215+GREET1_Import_Export!$F229)+Battery_Materials!W$55*(Battery_Materials!K$28*GREET1_Import_Export!$B79+Battery_Materials!K$29*GREET1_Import_Export!$C79+Battery_Materials!K$30*GREET1_Import_Export!$G79+Battery_Materials!K$32*'GREET2_Factors_T&amp;D'!$F22+Battery_Materials!K$33*'GREET2_Factors_T&amp;D'!$G22+GREET1_Import_Export!$B229)+Battery_Materials!W$56*(Battery_Materials!K$34*GREET1_Import_Export!$AA79+Battery_Materials!K$35*GREET1_Import_Export!$AB79+GREET1_Import_Export!$B297)+Battery_Materials!W$57*SUM(GREET1_Import_Export!$B322:$C322)</f>
        <v>13.30492861698175</v>
      </c>
      <c r="X72" s="258"/>
      <c r="Y72" s="267"/>
    </row>
    <row r="73" spans="1:25" s="7" customFormat="1">
      <c r="A73" s="291" t="s">
        <v>829</v>
      </c>
      <c r="B73" s="273">
        <f>Battery_Materials!B$51*(Battery_Materials!B$21*GREET1_Import_Export!$K80+GREET1_Import_Export!$B194*GREET1_Import_Export!$F$179+GREET1_Import_Export!$F194)+Battery_Materials!B$52*(Battery_Materials!B$23*GREET1_Import_Export!$Q80+Battery_Materials!B$24*GREET1_Import_Export!$O80+Battery_Materials!B$25*GREET1_Import_Export!$M80+GREET1_Import_Export!$B194*GREET1_Import_Export!$G$179+GREET1_Import_Export!$G194)+Battery_Materials!B$53*(Battery_Materials!B$26*GREET1_Import_Export!$T80+GREET1_Import_Export!$B194*GREET1_Import_Export!$C$179+GREET1_Import_Export!$C194)+Battery_Materials!B$54*(Battery_Materials!B$27*GREET1_Import_Export!$W80+GREET1_Import_Export!$E230*GREET1_Import_Export!$F$215+GREET1_Import_Export!$F230)+Battery_Materials!B$55*(Battery_Materials!B$28*GREET1_Import_Export!$B80+Battery_Materials!B$29*GREET1_Import_Export!$C80+Battery_Materials!B$30*GREET1_Import_Export!$G80+Battery_Materials!B$32*'GREET2_Factors_T&amp;D'!$F23+Battery_Materials!B$33*'GREET2_Factors_T&amp;D'!$G23+GREET1_Import_Export!$B230)+Battery_Materials!B$56*(Battery_Materials!B$34*GREET1_Import_Export!$AA80+Battery_Materials!B$35*GREET1_Import_Export!$AB80+GREET1_Import_Export!$B298)+Battery_Materials!B$57*SUM(GREET1_Import_Export!$B323:$C323)</f>
        <v>4884.1010128387334</v>
      </c>
      <c r="C73" s="258"/>
      <c r="D73" s="267"/>
      <c r="E73" s="273">
        <f>Battery_Materials!E$51*(Battery_Materials!C$21*GREET1_Import_Export!$K80+GREET1_Import_Export!$B194*GREET1_Import_Export!$F$179+GREET1_Import_Export!$F194)+Battery_Materials!E$52*(Battery_Materials!C$23*GREET1_Import_Export!$Q80+Battery_Materials!C$24*GREET1_Import_Export!$O80+Battery_Materials!C$25*GREET1_Import_Export!$M80+GREET1_Import_Export!$B194*GREET1_Import_Export!$G$179+GREET1_Import_Export!$G194)+Battery_Materials!E$53*(Battery_Materials!C$26*GREET1_Import_Export!$T80+GREET1_Import_Export!$B194*GREET1_Import_Export!$C$179+GREET1_Import_Export!$C194)+Battery_Materials!E$54*(Battery_Materials!C$27*GREET1_Import_Export!$W80+GREET1_Import_Export!$E230*GREET1_Import_Export!$F$215+GREET1_Import_Export!$F230)+Battery_Materials!E$55*(Battery_Materials!C$28*GREET1_Import_Export!$B80+Battery_Materials!C$29*GREET1_Import_Export!$C80+Battery_Materials!C$30*GREET1_Import_Export!$G80+Battery_Materials!C$32*'GREET2_Factors_T&amp;D'!$F23+Battery_Materials!C$33*'GREET2_Factors_T&amp;D'!$G23+GREET1_Import_Export!$B230)+Battery_Materials!E$56*(Battery_Materials!C$34*GREET1_Import_Export!$AA80+Battery_Materials!C$35*GREET1_Import_Export!$AB80+GREET1_Import_Export!$B298)+Battery_Materials!E$57*SUM(GREET1_Import_Export!$B323:$C323)</f>
        <v>19496.922004407796</v>
      </c>
      <c r="F73" s="258"/>
      <c r="G73" s="267"/>
      <c r="H73" s="273">
        <f>Battery_Materials!H$51*(Battery_Materials!F$21*GREET1_Import_Export!$K80+GREET1_Import_Export!$B194*GREET1_Import_Export!$F$179+GREET1_Import_Export!$F194)+Battery_Materials!H$52*(Battery_Materials!F$23*GREET1_Import_Export!$Q80+Battery_Materials!F$24*GREET1_Import_Export!$O80+Battery_Materials!F$25*GREET1_Import_Export!$M80+GREET1_Import_Export!$B194*GREET1_Import_Export!$G$179+GREET1_Import_Export!$G194)+Battery_Materials!H$53*(Battery_Materials!F$26*GREET1_Import_Export!$T80+GREET1_Import_Export!$B194*GREET1_Import_Export!$C$179+GREET1_Import_Export!$C194)+Battery_Materials!H$54*(Battery_Materials!F$27*GREET1_Import_Export!$W80+GREET1_Import_Export!$E230*GREET1_Import_Export!$F$215+GREET1_Import_Export!$F230)+Battery_Materials!H$55*(Battery_Materials!F$28*GREET1_Import_Export!$B80+Battery_Materials!F$29*GREET1_Import_Export!$C80+Battery_Materials!F$30*GREET1_Import_Export!$G80+Battery_Materials!F$32*'GREET2_Factors_T&amp;D'!$F23+Battery_Materials!F$33*'GREET2_Factors_T&amp;D'!$G23+GREET1_Import_Export!$B230)+Battery_Materials!H$56*(Battery_Materials!F$34*GREET1_Import_Export!$AA80+Battery_Materials!F$35*GREET1_Import_Export!$AB80+GREET1_Import_Export!$B298)+Battery_Materials!H$57*SUM(GREET1_Import_Export!$B323:$C323)</f>
        <v>57.245109753197504</v>
      </c>
      <c r="I73" s="258"/>
      <c r="J73" s="267"/>
      <c r="K73" s="273">
        <f>Battery_Materials!K$51*(Battery_Materials!G$21*GREET1_Import_Export!$K80+GREET1_Import_Export!$B194*GREET1_Import_Export!$F$179+GREET1_Import_Export!$F194)+Battery_Materials!K$52*(Battery_Materials!G$23*GREET1_Import_Export!$Q80+Battery_Materials!G$24*GREET1_Import_Export!$O80+Battery_Materials!G$25*GREET1_Import_Export!$M80+GREET1_Import_Export!$B194*GREET1_Import_Export!$G$179+GREET1_Import_Export!$G194)+Battery_Materials!K$53*(Battery_Materials!G$26*GREET1_Import_Export!$T80+GREET1_Import_Export!$B194*GREET1_Import_Export!$C$179+GREET1_Import_Export!$C194)+Battery_Materials!K$54*(Battery_Materials!G$27*GREET1_Import_Export!$W80+GREET1_Import_Export!$E230*GREET1_Import_Export!$F$215+GREET1_Import_Export!$F230)+Battery_Materials!K$55*(Battery_Materials!G$28*GREET1_Import_Export!$B80+Battery_Materials!G$29*GREET1_Import_Export!$C80+Battery_Materials!G$30*GREET1_Import_Export!$G80+Battery_Materials!G$32*'GREET2_Factors_T&amp;D'!$F23+Battery_Materials!G$33*'GREET2_Factors_T&amp;D'!$G23+GREET1_Import_Export!$B230)+Battery_Materials!K$56*(Battery_Materials!G$34*GREET1_Import_Export!$AA80+Battery_Materials!G$35*GREET1_Import_Export!$AB80+GREET1_Import_Export!$B298)+Battery_Materials!K$57*SUM(GREET1_Import_Export!$B323:$C323)</f>
        <v>299.64871990868193</v>
      </c>
      <c r="L73" s="258"/>
      <c r="M73" s="267"/>
      <c r="N73" s="273">
        <f>Battery_Materials!N$51*(Battery_Materials!H$21*GREET1_Import_Export!$K80+GREET1_Import_Export!$B194*GREET1_Import_Export!$F$179+GREET1_Import_Export!$F194)+Battery_Materials!N$52*(Battery_Materials!H$23*GREET1_Import_Export!$Q80+Battery_Materials!H$24*GREET1_Import_Export!$O80+Battery_Materials!H$25*GREET1_Import_Export!$M80+GREET1_Import_Export!$B194*GREET1_Import_Export!$G$179+GREET1_Import_Export!$G194)+Battery_Materials!N$53*(Battery_Materials!H$26*GREET1_Import_Export!$T80+GREET1_Import_Export!$B194*GREET1_Import_Export!$C$179+GREET1_Import_Export!$C194)+Battery_Materials!N$54*(Battery_Materials!H$27*GREET1_Import_Export!$W80+GREET1_Import_Export!$E230*GREET1_Import_Export!$F$215+GREET1_Import_Export!$F230)+Battery_Materials!N$55*(Battery_Materials!H$28*GREET1_Import_Export!$B80+Battery_Materials!H$29*GREET1_Import_Export!$C80+Battery_Materials!H$30*GREET1_Import_Export!$G80+Battery_Materials!H$32*'GREET2_Factors_T&amp;D'!$F23+Battery_Materials!H$33*'GREET2_Factors_T&amp;D'!$G23+GREET1_Import_Export!$B230)+Battery_Materials!N$56*(Battery_Materials!H$34*GREET1_Import_Export!$AA80+Battery_Materials!H$35*GREET1_Import_Export!$AB80+GREET1_Import_Export!$B298)+Battery_Materials!N$57*SUM(GREET1_Import_Export!$B323:$C323)</f>
        <v>649.27543897505996</v>
      </c>
      <c r="O73" s="258"/>
      <c r="P73" s="267"/>
      <c r="Q73" s="1335">
        <f>Battery_Materials!Q$51*(Battery_Materials!I$21*GREET1_Import_Export!$K80+GREET1_Import_Export!$B194*GREET1_Import_Export!$F$179+GREET1_Import_Export!$F194)+Battery_Materials!Q$52*(Battery_Materials!I$23*GREET1_Import_Export!$Q80+Battery_Materials!I$24*GREET1_Import_Export!$O80+Battery_Materials!I$25*GREET1_Import_Export!$M80+GREET1_Import_Export!$B194*GREET1_Import_Export!$G$179+GREET1_Import_Export!$G194)+Battery_Materials!Q$53*(Battery_Materials!I$26*GREET1_Import_Export!$T80+GREET1_Import_Export!$B194*GREET1_Import_Export!$C$179+GREET1_Import_Export!$C194)+Battery_Materials!Q$54*(Battery_Materials!I$27*GREET1_Import_Export!$W80+GREET1_Import_Export!$E230*GREET1_Import_Export!$F$215+GREET1_Import_Export!$F230)+Battery_Materials!Q$55*(Battery_Materials!I$28*GREET1_Import_Export!$B80+Battery_Materials!I$29*GREET1_Import_Export!$C80+Battery_Materials!I$30*GREET1_Import_Export!$G80+Battery_Materials!I$32*'GREET2_Factors_T&amp;D'!$F23+Battery_Materials!I$33*'GREET2_Factors_T&amp;D'!$G23+GREET1_Import_Export!$B230)+Battery_Materials!Q$56*(Battery_Materials!I$34*GREET1_Import_Export!$AA80+Battery_Materials!I$35*GREET1_Import_Export!$AB80+GREET1_Import_Export!$B298)+Battery_Materials!Q$57*($B$17*(GREET1_Import_Export!$B323+GREET1_Import_Export!$C323)+$C$17*GREET1_Import_Export!L356+$D$17*GREET1_Import_Export!H356+$E$17*GREET1_Import_Export!Q356+$F$17*GREET1_Import_Export!R356+SUMPRODUCT($G$17:$I$17,GREET1_Import_Export!N356:P356))</f>
        <v>50677.010744473358</v>
      </c>
      <c r="R73" s="258"/>
      <c r="S73" s="267"/>
      <c r="T73" s="273">
        <f>Battery_Materials!T$51*(Battery_Materials!J$21*GREET1_Import_Export!$K80+GREET1_Import_Export!$B194*GREET1_Import_Export!$F$179+GREET1_Import_Export!$F194)+Battery_Materials!T$52*(Battery_Materials!J$23*GREET1_Import_Export!$Q80+Battery_Materials!J$24*GREET1_Import_Export!$O80+Battery_Materials!J$25*GREET1_Import_Export!$M80+GREET1_Import_Export!$B194*GREET1_Import_Export!$G$179+GREET1_Import_Export!$G194)+Battery_Materials!T$53*(Battery_Materials!J$26*GREET1_Import_Export!$T80+GREET1_Import_Export!$B194*GREET1_Import_Export!$C$179+GREET1_Import_Export!$C194)+Battery_Materials!T$54*(Battery_Materials!J$27*GREET1_Import_Export!$W80+GREET1_Import_Export!$E230*GREET1_Import_Export!$F$215+GREET1_Import_Export!$F230)+Battery_Materials!T$55*(Battery_Materials!J$28*GREET1_Import_Export!$B80+Battery_Materials!J$29*GREET1_Import_Export!$C80+Battery_Materials!J$30*GREET1_Import_Export!$G80+Battery_Materials!J$32*'GREET2_Factors_T&amp;D'!$F23+Battery_Materials!J$33*'GREET2_Factors_T&amp;D'!$G23+GREET1_Import_Export!$B230)+Battery_Materials!T$56*(Battery_Materials!J$34*GREET1_Import_Export!$AA80+Battery_Materials!J$35*GREET1_Import_Export!$AB80+GREET1_Import_Export!$B298)+Battery_Materials!T$57*SUM(GREET1_Import_Export!$B323:$C323)</f>
        <v>152.19676789415283</v>
      </c>
      <c r="U73" s="258"/>
      <c r="V73" s="267"/>
      <c r="W73" s="273">
        <f>Battery_Materials!W$51*(Battery_Materials!K$21*GREET1_Import_Export!$K80+GREET1_Import_Export!$B194*GREET1_Import_Export!$F$179+GREET1_Import_Export!$F194)+Battery_Materials!W$52*(Battery_Materials!K$23*GREET1_Import_Export!$Q80+Battery_Materials!K$24*GREET1_Import_Export!$O80+Battery_Materials!K$25*GREET1_Import_Export!$M80+GREET1_Import_Export!$B194*GREET1_Import_Export!$G$179+GREET1_Import_Export!$G194)+Battery_Materials!W$53*(Battery_Materials!K$26*GREET1_Import_Export!$T80+GREET1_Import_Export!$B194*GREET1_Import_Export!$C$179+GREET1_Import_Export!$C194)+Battery_Materials!W$54*(Battery_Materials!K$27*GREET1_Import_Export!$W80+GREET1_Import_Export!$E230*GREET1_Import_Export!$F$215+GREET1_Import_Export!$F230)+Battery_Materials!W$55*(Battery_Materials!K$28*GREET1_Import_Export!$B80+Battery_Materials!K$29*GREET1_Import_Export!$C80+Battery_Materials!K$30*GREET1_Import_Export!$G80+Battery_Materials!K$32*'GREET2_Factors_T&amp;D'!$F23+Battery_Materials!K$33*'GREET2_Factors_T&amp;D'!$G23+GREET1_Import_Export!$B230)+Battery_Materials!W$56*(Battery_Materials!K$34*GREET1_Import_Export!$AA80+Battery_Materials!K$35*GREET1_Import_Export!$AB80+GREET1_Import_Export!$B298)+Battery_Materials!W$57*SUM(GREET1_Import_Export!$B323:$C323)</f>
        <v>1758.1446460397594</v>
      </c>
      <c r="X73" s="258"/>
      <c r="Y73" s="267"/>
    </row>
    <row r="74" spans="1:25" s="7" customFormat="1">
      <c r="A74" s="291" t="s">
        <v>830</v>
      </c>
      <c r="B74" s="273">
        <f>Battery_Materials!B$51*(Battery_Materials!B$21*GREET1_Import_Export!$K81+GREET1_Import_Export!$B195*GREET1_Import_Export!$F$179+GREET1_Import_Export!$F195)+Battery_Materials!B$52*(Battery_Materials!B$23*GREET1_Import_Export!$Q81+Battery_Materials!B$24*GREET1_Import_Export!$O81+Battery_Materials!B$25*GREET1_Import_Export!$M81+GREET1_Import_Export!$B195*GREET1_Import_Export!$G$179+GREET1_Import_Export!$G195)+Battery_Materials!B$53*(Battery_Materials!B$26*GREET1_Import_Export!$T81+GREET1_Import_Export!$B195*GREET1_Import_Export!$C$179+GREET1_Import_Export!$C195)+Battery_Materials!B$54*(Battery_Materials!B$27*GREET1_Import_Export!$W81+GREET1_Import_Export!$E231*GREET1_Import_Export!$F$215+GREET1_Import_Export!$F231)+Battery_Materials!B$55*(Battery_Materials!B$28*GREET1_Import_Export!$B81+Battery_Materials!B$29*GREET1_Import_Export!$C81+Battery_Materials!B$30*GREET1_Import_Export!$G81+Battery_Materials!B$32*'GREET2_Factors_T&amp;D'!$F24+Battery_Materials!B$33*'GREET2_Factors_T&amp;D'!$G24+GREET1_Import_Export!$B231)+Battery_Materials!B$56*(Battery_Materials!B$34*GREET1_Import_Export!$AA81+Battery_Materials!B$35*GREET1_Import_Export!$AB81+GREET1_Import_Export!$B299)+Battery_Materials!B$57*SUM(GREET1_Import_Export!$B324:$C324)</f>
        <v>47.454174770466743</v>
      </c>
      <c r="C74" s="258"/>
      <c r="D74" s="267"/>
      <c r="E74" s="273">
        <f>Battery_Materials!E$51*(Battery_Materials!C$21*GREET1_Import_Export!$K81+GREET1_Import_Export!$B195*GREET1_Import_Export!$F$179+GREET1_Import_Export!$F195)+Battery_Materials!E$52*(Battery_Materials!C$23*GREET1_Import_Export!$Q81+Battery_Materials!C$24*GREET1_Import_Export!$O81+Battery_Materials!C$25*GREET1_Import_Export!$M81+GREET1_Import_Export!$B195*GREET1_Import_Export!$G$179+GREET1_Import_Export!$G195)+Battery_Materials!E$53*(Battery_Materials!C$26*GREET1_Import_Export!$T81+GREET1_Import_Export!$B195*GREET1_Import_Export!$C$179+GREET1_Import_Export!$C195)+Battery_Materials!E$54*(Battery_Materials!C$27*GREET1_Import_Export!$W81+GREET1_Import_Export!$E231*GREET1_Import_Export!$F$215+GREET1_Import_Export!$F231)+Battery_Materials!E$55*(Battery_Materials!C$28*GREET1_Import_Export!$B81+Battery_Materials!C$29*GREET1_Import_Export!$C81+Battery_Materials!C$30*GREET1_Import_Export!$G81+Battery_Materials!C$32*'GREET2_Factors_T&amp;D'!$F24+Battery_Materials!C$33*'GREET2_Factors_T&amp;D'!$G24+GREET1_Import_Export!$B231)+Battery_Materials!E$56*(Battery_Materials!C$34*GREET1_Import_Export!$AA81+Battery_Materials!C$35*GREET1_Import_Export!$AB81+GREET1_Import_Export!$B299)+Battery_Materials!E$57*SUM(GREET1_Import_Export!$B324:$C324)</f>
        <v>177.23181864689852</v>
      </c>
      <c r="F74" s="258"/>
      <c r="G74" s="267"/>
      <c r="H74" s="273">
        <f>Battery_Materials!H$51*(Battery_Materials!F$21*GREET1_Import_Export!$K81+GREET1_Import_Export!$B195*GREET1_Import_Export!$F$179+GREET1_Import_Export!$F195)+Battery_Materials!H$52*(Battery_Materials!F$23*GREET1_Import_Export!$Q81+Battery_Materials!F$24*GREET1_Import_Export!$O81+Battery_Materials!F$25*GREET1_Import_Export!$M81+GREET1_Import_Export!$B195*GREET1_Import_Export!$G$179+GREET1_Import_Export!$G195)+Battery_Materials!H$53*(Battery_Materials!F$26*GREET1_Import_Export!$T81+GREET1_Import_Export!$B195*GREET1_Import_Export!$C$179+GREET1_Import_Export!$C195)+Battery_Materials!H$54*(Battery_Materials!F$27*GREET1_Import_Export!$W81+GREET1_Import_Export!$E231*GREET1_Import_Export!$F$215+GREET1_Import_Export!$F231)+Battery_Materials!H$55*(Battery_Materials!F$28*GREET1_Import_Export!$B81+Battery_Materials!F$29*GREET1_Import_Export!$C81+Battery_Materials!F$30*GREET1_Import_Export!$G81+Battery_Materials!F$32*'GREET2_Factors_T&amp;D'!$F24+Battery_Materials!F$33*'GREET2_Factors_T&amp;D'!$G24+GREET1_Import_Export!$B231)+Battery_Materials!H$56*(Battery_Materials!F$34*GREET1_Import_Export!$AA81+Battery_Materials!F$35*GREET1_Import_Export!$AB81+GREET1_Import_Export!$B299)+Battery_Materials!H$57*SUM(GREET1_Import_Export!$B324:$C324)</f>
        <v>0.56259478901016424</v>
      </c>
      <c r="I74" s="258"/>
      <c r="J74" s="267"/>
      <c r="K74" s="273">
        <f>Battery_Materials!K$51*(Battery_Materials!G$21*GREET1_Import_Export!$K81+GREET1_Import_Export!$B195*GREET1_Import_Export!$F$179+GREET1_Import_Export!$F195)+Battery_Materials!K$52*(Battery_Materials!G$23*GREET1_Import_Export!$Q81+Battery_Materials!G$24*GREET1_Import_Export!$O81+Battery_Materials!G$25*GREET1_Import_Export!$M81+GREET1_Import_Export!$B195*GREET1_Import_Export!$G$179+GREET1_Import_Export!$G195)+Battery_Materials!K$53*(Battery_Materials!G$26*GREET1_Import_Export!$T81+GREET1_Import_Export!$B195*GREET1_Import_Export!$C$179+GREET1_Import_Export!$C195)+Battery_Materials!K$54*(Battery_Materials!G$27*GREET1_Import_Export!$W81+GREET1_Import_Export!$E231*GREET1_Import_Export!$F$215+GREET1_Import_Export!$F231)+Battery_Materials!K$55*(Battery_Materials!G$28*GREET1_Import_Export!$B81+Battery_Materials!G$29*GREET1_Import_Export!$C81+Battery_Materials!G$30*GREET1_Import_Export!$G81+Battery_Materials!G$32*'GREET2_Factors_T&amp;D'!$F24+Battery_Materials!G$33*'GREET2_Factors_T&amp;D'!$G24+GREET1_Import_Export!$B231)+Battery_Materials!K$56*(Battery_Materials!G$34*GREET1_Import_Export!$AA81+Battery_Materials!G$35*GREET1_Import_Export!$AB81+GREET1_Import_Export!$B299)+Battery_Materials!K$57*SUM(GREET1_Import_Export!$B324:$C324)</f>
        <v>2.9691686826160648</v>
      </c>
      <c r="L74" s="258"/>
      <c r="M74" s="267"/>
      <c r="N74" s="273">
        <f>Battery_Materials!N$51*(Battery_Materials!H$21*GREET1_Import_Export!$K81+GREET1_Import_Export!$B195*GREET1_Import_Export!$F$179+GREET1_Import_Export!$F195)+Battery_Materials!N$52*(Battery_Materials!H$23*GREET1_Import_Export!$Q81+Battery_Materials!H$24*GREET1_Import_Export!$O81+Battery_Materials!H$25*GREET1_Import_Export!$M81+GREET1_Import_Export!$B195*GREET1_Import_Export!$G$179+GREET1_Import_Export!$G195)+Battery_Materials!N$53*(Battery_Materials!H$26*GREET1_Import_Export!$T81+GREET1_Import_Export!$B195*GREET1_Import_Export!$C$179+GREET1_Import_Export!$C195)+Battery_Materials!N$54*(Battery_Materials!H$27*GREET1_Import_Export!$W81+GREET1_Import_Export!$E231*GREET1_Import_Export!$F$215+GREET1_Import_Export!$F231)+Battery_Materials!N$55*(Battery_Materials!H$28*GREET1_Import_Export!$B81+Battery_Materials!H$29*GREET1_Import_Export!$C81+Battery_Materials!H$30*GREET1_Import_Export!$G81+Battery_Materials!H$32*'GREET2_Factors_T&amp;D'!$F24+Battery_Materials!H$33*'GREET2_Factors_T&amp;D'!$G24+GREET1_Import_Export!$B231)+Battery_Materials!N$56*(Battery_Materials!H$34*GREET1_Import_Export!$AA81+Battery_Materials!H$35*GREET1_Import_Export!$AB81+GREET1_Import_Export!$B299)+Battery_Materials!N$57*SUM(GREET1_Import_Export!$B324:$C324)</f>
        <v>6.2322019195749281</v>
      </c>
      <c r="O74" s="258"/>
      <c r="P74" s="267"/>
      <c r="Q74" s="1335">
        <f>Battery_Materials!Q$51*(Battery_Materials!I$21*GREET1_Import_Export!$K81+GREET1_Import_Export!$B195*GREET1_Import_Export!$F$179+GREET1_Import_Export!$F195)+Battery_Materials!Q$52*(Battery_Materials!I$23*GREET1_Import_Export!$Q81+Battery_Materials!I$24*GREET1_Import_Export!$O81+Battery_Materials!I$25*GREET1_Import_Export!$M81+GREET1_Import_Export!$B195*GREET1_Import_Export!$G$179+GREET1_Import_Export!$G195)+Battery_Materials!Q$53*(Battery_Materials!I$26*GREET1_Import_Export!$T81+GREET1_Import_Export!$B195*GREET1_Import_Export!$C$179+GREET1_Import_Export!$C195)+Battery_Materials!Q$54*(Battery_Materials!I$27*GREET1_Import_Export!$W81+GREET1_Import_Export!$E231*GREET1_Import_Export!$F$215+GREET1_Import_Export!$F231)+Battery_Materials!Q$55*(Battery_Materials!I$28*GREET1_Import_Export!$B81+Battery_Materials!I$29*GREET1_Import_Export!$C81+Battery_Materials!I$30*GREET1_Import_Export!$G81+Battery_Materials!I$32*'GREET2_Factors_T&amp;D'!$F24+Battery_Materials!I$33*'GREET2_Factors_T&amp;D'!$G24+GREET1_Import_Export!$B231)+Battery_Materials!Q$56*(Battery_Materials!I$34*GREET1_Import_Export!$AA81+Battery_Materials!I$35*GREET1_Import_Export!$AB81+GREET1_Import_Export!$B299)+Battery_Materials!Q$57*($B$17*(GREET1_Import_Export!$B324+GREET1_Import_Export!$C324)+$C$17*GREET1_Import_Export!L357+$D$17*GREET1_Import_Export!H357+$E$17*GREET1_Import_Export!Q357+$F$17*GREET1_Import_Export!R357+SUMPRODUCT($G$17:$I$17,GREET1_Import_Export!N357:P357))</f>
        <v>476.34777151741525</v>
      </c>
      <c r="R74" s="258"/>
      <c r="S74" s="267"/>
      <c r="T74" s="273">
        <f>Battery_Materials!T$51*(Battery_Materials!J$21*GREET1_Import_Export!$K81+GREET1_Import_Export!$B195*GREET1_Import_Export!$F$179+GREET1_Import_Export!$F195)+Battery_Materials!T$52*(Battery_Materials!J$23*GREET1_Import_Export!$Q81+Battery_Materials!J$24*GREET1_Import_Export!$O81+Battery_Materials!J$25*GREET1_Import_Export!$M81+GREET1_Import_Export!$B195*GREET1_Import_Export!$G$179+GREET1_Import_Export!$G195)+Battery_Materials!T$53*(Battery_Materials!J$26*GREET1_Import_Export!$T81+GREET1_Import_Export!$B195*GREET1_Import_Export!$C$179+GREET1_Import_Export!$C195)+Battery_Materials!T$54*(Battery_Materials!J$27*GREET1_Import_Export!$W81+GREET1_Import_Export!$E231*GREET1_Import_Export!$F$215+GREET1_Import_Export!$F231)+Battery_Materials!T$55*(Battery_Materials!J$28*GREET1_Import_Export!$B81+Battery_Materials!J$29*GREET1_Import_Export!$C81+Battery_Materials!J$30*GREET1_Import_Export!$G81+Battery_Materials!J$32*'GREET2_Factors_T&amp;D'!$F24+Battery_Materials!J$33*'GREET2_Factors_T&amp;D'!$G24+GREET1_Import_Export!$B231)+Battery_Materials!T$56*(Battery_Materials!J$34*GREET1_Import_Export!$AA81+Battery_Materials!J$35*GREET1_Import_Export!$AB81+GREET1_Import_Export!$B299)+Battery_Materials!T$57*SUM(GREET1_Import_Export!$B324:$C324)</f>
        <v>1.5188121367267273</v>
      </c>
      <c r="U74" s="258"/>
      <c r="V74" s="267"/>
      <c r="W74" s="273">
        <f>Battery_Materials!W$51*(Battery_Materials!K$21*GREET1_Import_Export!$K81+GREET1_Import_Export!$B195*GREET1_Import_Export!$F$179+GREET1_Import_Export!$F195)+Battery_Materials!W$52*(Battery_Materials!K$23*GREET1_Import_Export!$Q81+Battery_Materials!K$24*GREET1_Import_Export!$O81+Battery_Materials!K$25*GREET1_Import_Export!$M81+GREET1_Import_Export!$B195*GREET1_Import_Export!$G$179+GREET1_Import_Export!$G195)+Battery_Materials!W$53*(Battery_Materials!K$26*GREET1_Import_Export!$T81+GREET1_Import_Export!$B195*GREET1_Import_Export!$C$179+GREET1_Import_Export!$C195)+Battery_Materials!W$54*(Battery_Materials!K$27*GREET1_Import_Export!$W81+GREET1_Import_Export!$E231*GREET1_Import_Export!$F$215+GREET1_Import_Export!$F231)+Battery_Materials!W$55*(Battery_Materials!K$28*GREET1_Import_Export!$B81+Battery_Materials!K$29*GREET1_Import_Export!$C81+Battery_Materials!K$30*GREET1_Import_Export!$G81+Battery_Materials!K$32*'GREET2_Factors_T&amp;D'!$F24+Battery_Materials!K$33*'GREET2_Factors_T&amp;D'!$G24+GREET1_Import_Export!$B231)+Battery_Materials!W$56*(Battery_Materials!K$34*GREET1_Import_Export!$AA81+Battery_Materials!K$35*GREET1_Import_Export!$AB81+GREET1_Import_Export!$B299)+Battery_Materials!W$57*SUM(GREET1_Import_Export!$B324:$C324)</f>
        <v>17.527995430162441</v>
      </c>
      <c r="X74" s="258"/>
      <c r="Y74" s="267"/>
    </row>
    <row r="75" spans="1:25" s="7" customFormat="1">
      <c r="A75" s="292" t="s">
        <v>831</v>
      </c>
      <c r="B75" s="282">
        <f>Battery_Materials!B$51*(Battery_Materials!B$21*GREET1_Import_Export!$K82+GREET1_Import_Export!$B196*GREET1_Import_Export!$F$179+GREET1_Import_Export!$F196)+Battery_Materials!B$52*(Battery_Materials!B$23*GREET1_Import_Export!$Q82+Battery_Materials!B$24*GREET1_Import_Export!$O82+Battery_Materials!B$25*GREET1_Import_Export!$M82+GREET1_Import_Export!$B196*GREET1_Import_Export!$G$179+GREET1_Import_Export!$G196)+Battery_Materials!B$53*(Battery_Materials!B$26*GREET1_Import_Export!$T82+GREET1_Import_Export!$B196*GREET1_Import_Export!$C$179+GREET1_Import_Export!$C196)+Battery_Materials!B$54*(Battery_Materials!B$27*GREET1_Import_Export!$W82+GREET1_Import_Export!$E232*GREET1_Import_Export!$F$215+GREET1_Import_Export!$F232)+Battery_Materials!B$55*(Battery_Materials!B$28*GREET1_Import_Export!$B82+Battery_Materials!B$29*GREET1_Import_Export!$C82+Battery_Materials!B$30*GREET1_Import_Export!$G82+Battery_Materials!B$32*'GREET2_Factors_T&amp;D'!$F25+Battery_Materials!B$33*'GREET2_Factors_T&amp;D'!$G25+GREET1_Import_Export!$B232)+Battery_Materials!B$56*(Battery_Materials!B$34*GREET1_Import_Export!$AA82+Battery_Materials!B$35*GREET1_Import_Export!$AB82+GREET1_Import_Export!$B300)+Battery_Materials!B$57*SUM(GREET1_Import_Export!$B325:$C325)</f>
        <v>1833166.175533466</v>
      </c>
      <c r="C75" s="288"/>
      <c r="D75" s="283"/>
      <c r="E75" s="282">
        <f>Battery_Materials!E$51*(Battery_Materials!C$21*GREET1_Import_Export!$K82+GREET1_Import_Export!$B196*GREET1_Import_Export!$F$179+GREET1_Import_Export!$F196)+Battery_Materials!E$52*(Battery_Materials!C$23*GREET1_Import_Export!$Q82+Battery_Materials!C$24*GREET1_Import_Export!$O82+Battery_Materials!C$25*GREET1_Import_Export!$M82+GREET1_Import_Export!$B196*GREET1_Import_Export!$G$179+GREET1_Import_Export!$G196)+Battery_Materials!E$53*(Battery_Materials!C$26*GREET1_Import_Export!$T82+GREET1_Import_Export!$B196*GREET1_Import_Export!$C$179+GREET1_Import_Export!$C196)+Battery_Materials!E$54*(Battery_Materials!C$27*GREET1_Import_Export!$W82+GREET1_Import_Export!$E232*GREET1_Import_Export!$F$215+GREET1_Import_Export!$F232)+Battery_Materials!E$55*(Battery_Materials!C$28*GREET1_Import_Export!$B82+Battery_Materials!C$29*GREET1_Import_Export!$C82+Battery_Materials!C$30*GREET1_Import_Export!$G82+Battery_Materials!C$32*'GREET2_Factors_T&amp;D'!$F25+Battery_Materials!C$33*'GREET2_Factors_T&amp;D'!$G25+GREET1_Import_Export!$B232)+Battery_Materials!E$56*(Battery_Materials!C$34*GREET1_Import_Export!$AA82+Battery_Materials!C$35*GREET1_Import_Export!$AB82+GREET1_Import_Export!$B300)+Battery_Materials!E$57*SUM(GREET1_Import_Export!$B325:$C325)</f>
        <v>8632639.3662057407</v>
      </c>
      <c r="F75" s="288"/>
      <c r="G75" s="283"/>
      <c r="H75" s="282">
        <f>Battery_Materials!H$51*(Battery_Materials!F$21*GREET1_Import_Export!$K82+GREET1_Import_Export!$B196*GREET1_Import_Export!$F$179+GREET1_Import_Export!$F196)+Battery_Materials!H$52*(Battery_Materials!F$23*GREET1_Import_Export!$Q82+Battery_Materials!F$24*GREET1_Import_Export!$O82+Battery_Materials!F$25*GREET1_Import_Export!$M82+GREET1_Import_Export!$B196*GREET1_Import_Export!$G$179+GREET1_Import_Export!$G196)+Battery_Materials!H$53*(Battery_Materials!F$26*GREET1_Import_Export!$T82+GREET1_Import_Export!$B196*GREET1_Import_Export!$C$179+GREET1_Import_Export!$C196)+Battery_Materials!H$54*(Battery_Materials!F$27*GREET1_Import_Export!$W82+GREET1_Import_Export!$E232*GREET1_Import_Export!$F$215+GREET1_Import_Export!$F232)+Battery_Materials!H$55*(Battery_Materials!F$28*GREET1_Import_Export!$B82+Battery_Materials!F$29*GREET1_Import_Export!$C82+Battery_Materials!F$30*GREET1_Import_Export!$G82+Battery_Materials!F$32*'GREET2_Factors_T&amp;D'!$F25+Battery_Materials!F$33*'GREET2_Factors_T&amp;D'!$G25+GREET1_Import_Export!$B232)+Battery_Materials!H$56*(Battery_Materials!F$34*GREET1_Import_Export!$AA82+Battery_Materials!F$35*GREET1_Import_Export!$AB82+GREET1_Import_Export!$B300)+Battery_Materials!H$57*SUM(GREET1_Import_Export!$B325:$C325)</f>
        <v>18589.991516460326</v>
      </c>
      <c r="I75" s="288"/>
      <c r="J75" s="283"/>
      <c r="K75" s="282">
        <f>Battery_Materials!K$51*(Battery_Materials!G$21*GREET1_Import_Export!$K82+GREET1_Import_Export!$B196*GREET1_Import_Export!$F$179+GREET1_Import_Export!$F196)+Battery_Materials!K$52*(Battery_Materials!G$23*GREET1_Import_Export!$Q82+Battery_Materials!G$24*GREET1_Import_Export!$O82+Battery_Materials!G$25*GREET1_Import_Export!$M82+GREET1_Import_Export!$B196*GREET1_Import_Export!$G$179+GREET1_Import_Export!$G196)+Battery_Materials!K$53*(Battery_Materials!G$26*GREET1_Import_Export!$T82+GREET1_Import_Export!$B196*GREET1_Import_Export!$C$179+GREET1_Import_Export!$C196)+Battery_Materials!K$54*(Battery_Materials!G$27*GREET1_Import_Export!$W82+GREET1_Import_Export!$E232*GREET1_Import_Export!$F$215+GREET1_Import_Export!$F232)+Battery_Materials!K$55*(Battery_Materials!G$28*GREET1_Import_Export!$B82+Battery_Materials!G$29*GREET1_Import_Export!$C82+Battery_Materials!G$30*GREET1_Import_Export!$G82+Battery_Materials!G$32*'GREET2_Factors_T&amp;D'!$F25+Battery_Materials!G$33*'GREET2_Factors_T&amp;D'!$G25+GREET1_Import_Export!$B232)+Battery_Materials!K$56*(Battery_Materials!G$34*GREET1_Import_Export!$AA82+Battery_Materials!G$35*GREET1_Import_Export!$AB82+GREET1_Import_Export!$B300)+Battery_Materials!K$57*SUM(GREET1_Import_Export!$B325:$C325)</f>
        <v>93543.862138075492</v>
      </c>
      <c r="L75" s="288"/>
      <c r="M75" s="283"/>
      <c r="N75" s="282">
        <f>Battery_Materials!N$51*(Battery_Materials!H$21*GREET1_Import_Export!$K82+GREET1_Import_Export!$B196*GREET1_Import_Export!$F$179+GREET1_Import_Export!$F196)+Battery_Materials!N$52*(Battery_Materials!H$23*GREET1_Import_Export!$Q82+Battery_Materials!H$24*GREET1_Import_Export!$O82+Battery_Materials!H$25*GREET1_Import_Export!$M82+GREET1_Import_Export!$B196*GREET1_Import_Export!$G$179+GREET1_Import_Export!$G196)+Battery_Materials!N$53*(Battery_Materials!H$26*GREET1_Import_Export!$T82+GREET1_Import_Export!$B196*GREET1_Import_Export!$C$179+GREET1_Import_Export!$C196)+Battery_Materials!N$54*(Battery_Materials!H$27*GREET1_Import_Export!$W82+GREET1_Import_Export!$E232*GREET1_Import_Export!$F$215+GREET1_Import_Export!$F232)+Battery_Materials!N$55*(Battery_Materials!H$28*GREET1_Import_Export!$B82+Battery_Materials!H$29*GREET1_Import_Export!$C82+Battery_Materials!H$30*GREET1_Import_Export!$G82+Battery_Materials!H$32*'GREET2_Factors_T&amp;D'!$F25+Battery_Materials!H$33*'GREET2_Factors_T&amp;D'!$G25+GREET1_Import_Export!$B232)+Battery_Materials!N$56*(Battery_Materials!H$34*GREET1_Import_Export!$AA82+Battery_Materials!H$35*GREET1_Import_Export!$AB82+GREET1_Import_Export!$B300)+Battery_Materials!N$57*SUM(GREET1_Import_Export!$B325:$C325)</f>
        <v>233922.71121940709</v>
      </c>
      <c r="O75" s="288"/>
      <c r="P75" s="283"/>
      <c r="Q75" s="1337">
        <f>Battery_Materials!Q$51*(Battery_Materials!I$21*GREET1_Import_Export!$K82+GREET1_Import_Export!$B196*GREET1_Import_Export!$F$179+GREET1_Import_Export!$F196)+Battery_Materials!Q$52*(Battery_Materials!I$23*GREET1_Import_Export!$Q82+Battery_Materials!I$24*GREET1_Import_Export!$O82+Battery_Materials!I$25*GREET1_Import_Export!$M82+GREET1_Import_Export!$B196*GREET1_Import_Export!$G$179+GREET1_Import_Export!$G196)+Battery_Materials!Q$53*(Battery_Materials!I$26*GREET1_Import_Export!$T82+GREET1_Import_Export!$B196*GREET1_Import_Export!$C$179+GREET1_Import_Export!$C196)+Battery_Materials!Q$54*(Battery_Materials!I$27*GREET1_Import_Export!$W82+GREET1_Import_Export!$E232*GREET1_Import_Export!$F$215+GREET1_Import_Export!$F232)+Battery_Materials!Q$55*(Battery_Materials!I$28*GREET1_Import_Export!$B82+Battery_Materials!I$29*GREET1_Import_Export!$C82+Battery_Materials!I$30*GREET1_Import_Export!$G82+Battery_Materials!I$32*'GREET2_Factors_T&amp;D'!$F25+Battery_Materials!I$33*'GREET2_Factors_T&amp;D'!$G25+GREET1_Import_Export!$B232)+Battery_Materials!Q$56*(Battery_Materials!I$34*GREET1_Import_Export!$AA82+Battery_Materials!I$35*GREET1_Import_Export!$AB82+GREET1_Import_Export!$B300)+Battery_Materials!Q$57*($B$17*(GREET1_Import_Export!$B325+GREET1_Import_Export!$C325)+$C$17*GREET1_Import_Export!L358+$D$17*GREET1_Import_Export!H358+$E$17*GREET1_Import_Export!Q358+$F$17*GREET1_Import_Export!R358+SUMPRODUCT($G$17:$I$17,GREET1_Import_Export!N358:P358))</f>
        <v>19822464.110476855</v>
      </c>
      <c r="R75" s="288"/>
      <c r="S75" s="283"/>
      <c r="T75" s="282">
        <f>Battery_Materials!T$51*(Battery_Materials!J$21*GREET1_Import_Export!$K82+GREET1_Import_Export!$B196*GREET1_Import_Export!$F$179+GREET1_Import_Export!$F196)+Battery_Materials!T$52*(Battery_Materials!J$23*GREET1_Import_Export!$Q82+Battery_Materials!J$24*GREET1_Import_Export!$O82+Battery_Materials!J$25*GREET1_Import_Export!$M82+GREET1_Import_Export!$B196*GREET1_Import_Export!$G$179+GREET1_Import_Export!$G196)+Battery_Materials!T$53*(Battery_Materials!J$26*GREET1_Import_Export!$T82+GREET1_Import_Export!$B196*GREET1_Import_Export!$C$179+GREET1_Import_Export!$C196)+Battery_Materials!T$54*(Battery_Materials!J$27*GREET1_Import_Export!$W82+GREET1_Import_Export!$E232*GREET1_Import_Export!$F$215+GREET1_Import_Export!$F232)+Battery_Materials!T$55*(Battery_Materials!J$28*GREET1_Import_Export!$B82+Battery_Materials!J$29*GREET1_Import_Export!$C82+Battery_Materials!J$30*GREET1_Import_Export!$G82+Battery_Materials!J$32*'GREET2_Factors_T&amp;D'!$F25+Battery_Materials!J$33*'GREET2_Factors_T&amp;D'!$G25+GREET1_Import_Export!$B232)+Battery_Materials!T$56*(Battery_Materials!J$34*GREET1_Import_Export!$AA82+Battery_Materials!J$35*GREET1_Import_Export!$AB82+GREET1_Import_Export!$B300)+Battery_Materials!T$57*SUM(GREET1_Import_Export!$B325:$C325)</f>
        <v>45849.75837697208</v>
      </c>
      <c r="U75" s="288"/>
      <c r="V75" s="283"/>
      <c r="W75" s="282">
        <f>Battery_Materials!W$51*(Battery_Materials!K$21*GREET1_Import_Export!$K82+GREET1_Import_Export!$B196*GREET1_Import_Export!$F$179+GREET1_Import_Export!$F196)+Battery_Materials!W$52*(Battery_Materials!K$23*GREET1_Import_Export!$Q82+Battery_Materials!K$24*GREET1_Import_Export!$O82+Battery_Materials!K$25*GREET1_Import_Export!$M82+GREET1_Import_Export!$B196*GREET1_Import_Export!$G$179+GREET1_Import_Export!$G196)+Battery_Materials!W$53*(Battery_Materials!K$26*GREET1_Import_Export!$T82+GREET1_Import_Export!$B196*GREET1_Import_Export!$C$179+GREET1_Import_Export!$C196)+Battery_Materials!W$54*(Battery_Materials!K$27*GREET1_Import_Export!$W82+GREET1_Import_Export!$E232*GREET1_Import_Export!$F$215+GREET1_Import_Export!$F232)+Battery_Materials!W$55*(Battery_Materials!K$28*GREET1_Import_Export!$B82+Battery_Materials!K$29*GREET1_Import_Export!$C82+Battery_Materials!K$30*GREET1_Import_Export!$G82+Battery_Materials!K$32*'GREET2_Factors_T&amp;D'!$F25+Battery_Materials!K$33*'GREET2_Factors_T&amp;D'!$G25+GREET1_Import_Export!$B232)+Battery_Materials!W$56*(Battery_Materials!K$34*GREET1_Import_Export!$AA82+Battery_Materials!K$35*GREET1_Import_Export!$AB82+GREET1_Import_Export!$B300)+Battery_Materials!W$57*SUM(GREET1_Import_Export!$B325:$C325)</f>
        <v>532283.35077730624</v>
      </c>
      <c r="X75" s="288"/>
      <c r="Y75" s="283"/>
    </row>
    <row r="76" spans="1:25" s="7" customFormat="1">
      <c r="A76" s="290" t="s">
        <v>865</v>
      </c>
      <c r="B76" s="273"/>
      <c r="C76" s="258"/>
      <c r="D76" s="267"/>
      <c r="E76" s="273"/>
      <c r="F76" s="258"/>
      <c r="G76" s="267"/>
      <c r="H76" s="273"/>
      <c r="I76" s="258"/>
      <c r="J76" s="267"/>
      <c r="K76" s="273"/>
      <c r="L76" s="258"/>
      <c r="M76" s="267"/>
      <c r="N76" s="273"/>
      <c r="O76" s="258"/>
      <c r="P76" s="267"/>
      <c r="Q76" s="1335"/>
      <c r="R76" s="258"/>
      <c r="S76" s="267"/>
      <c r="T76" s="273"/>
      <c r="U76" s="258"/>
      <c r="V76" s="267"/>
      <c r="W76" s="273"/>
      <c r="X76" s="258"/>
      <c r="Y76" s="267"/>
    </row>
    <row r="77" spans="1:25" s="7" customFormat="1">
      <c r="A77" s="291" t="s">
        <v>821</v>
      </c>
      <c r="B77" s="273">
        <f>Battery_Materials!B$51*(Battery_Materials!B$41*Battery_Materials!B$21*GREET1_Import_Export!$K72+GREET1_Import_Export!$B201*GREET1_Import_Export!$F$179+GREET1_Import_Export!$F201)+Battery_Materials!B$52*(Battery_Materials!B$41*(Battery_Materials!B$23*GREET1_Import_Export!$Q72+Battery_Materials!B$24*GREET1_Import_Export!$O72+Battery_Materials!B$25*GREET1_Import_Export!$M72)+GREET1_Import_Export!$B201*GREET1_Import_Export!$G$179+GREET1_Import_Export!$G201)+Battery_Materials!B$53*(Battery_Materials!B$41*Battery_Materials!B$26*GREET1_Import_Export!$T72+GREET1_Import_Export!$B201*GREET1_Import_Export!$C$179+GREET1_Import_Export!$C201)+Battery_Materials!B$54*(Battery_Materials!B$41*Battery_Materials!B$27*GREET1_Import_Export!$W72+GREET1_Import_Export!$E237*GREET1_Import_Export!$F$215+GREET1_Import_Export!$F237)+Battery_Materials!B$55*(Battery_Materials!B$41*(Battery_Materials!B$28*GREET1_Import_Export!$B72+Battery_Materials!B$29*GREET1_Import_Export!$C72+Battery_Materials!B$30*GREET1_Import_Export!$G72+Battery_Materials!B$32*'GREET2_Factors_T&amp;D'!$F15+Battery_Materials!B$33*'GREET2_Factors_T&amp;D'!$G15)+GREET1_Import_Export!$B237)+Battery_Materials!B$56*(Battery_Materials!B$41*(Battery_Materials!B$34*GREET1_Import_Export!$AA72+Battery_Materials!B$35*GREET1_Import_Export!$AB72)+GREET1_Import_Export!$C290)+Battery_Materials!B$57*SUM(GREET1_Import_Export!$D315:$E315)</f>
        <v>15.913250131626189</v>
      </c>
      <c r="C77" s="258"/>
      <c r="D77" s="267"/>
      <c r="E77" s="273">
        <f>Battery_Materials!E$51*(Battery_Materials!E$41*Battery_Materials!C$21*GREET1_Import_Export!$K72+GREET1_Import_Export!$B201*GREET1_Import_Export!$F$179+GREET1_Import_Export!$F201)+Battery_Materials!E$52*(Battery_Materials!E$41*(Battery_Materials!C$23*GREET1_Import_Export!$Q72+Battery_Materials!C$24*GREET1_Import_Export!$O72+Battery_Materials!C$25*GREET1_Import_Export!$M72)+GREET1_Import_Export!$B201*GREET1_Import_Export!$G$179+GREET1_Import_Export!$G201)+Battery_Materials!E$53*(Battery_Materials!E$41*Battery_Materials!C$26*GREET1_Import_Export!$T72+GREET1_Import_Export!$B201*GREET1_Import_Export!$C$179+GREET1_Import_Export!$C201)+Battery_Materials!E$54*(Battery_Materials!E$41*Battery_Materials!C$27*GREET1_Import_Export!$W72+GREET1_Import_Export!$E237*GREET1_Import_Export!$F$215+GREET1_Import_Export!$F237)+Battery_Materials!E$55*(Battery_Materials!E$41*(Battery_Materials!C$28*GREET1_Import_Export!$B72+Battery_Materials!C$29*GREET1_Import_Export!$C72+Battery_Materials!C$30*GREET1_Import_Export!$G72+Battery_Materials!C$32*'GREET2_Factors_T&amp;D'!$F15+Battery_Materials!C$33*'GREET2_Factors_T&amp;D'!$G15)+GREET1_Import_Export!$B237)+Battery_Materials!E$56*(Battery_Materials!E$41*(Battery_Materials!C$34*GREET1_Import_Export!$AA72+Battery_Materials!C$35*GREET1_Import_Export!$AB72)+GREET1_Import_Export!$C290)+Battery_Materials!E$57*SUM(GREET1_Import_Export!$D315:$E315)</f>
        <v>63.493025022558498</v>
      </c>
      <c r="F77" s="258"/>
      <c r="G77" s="267"/>
      <c r="H77" s="273">
        <f>Battery_Materials!H$51*(Battery_Materials!H$41*Battery_Materials!F$21*GREET1_Import_Export!$K72+GREET1_Import_Export!$B201*GREET1_Import_Export!$F$179+GREET1_Import_Export!$F201)+Battery_Materials!H$52*(Battery_Materials!H$41*(Battery_Materials!F$23*GREET1_Import_Export!$Q72+Battery_Materials!F$24*GREET1_Import_Export!$O72+Battery_Materials!F$25*GREET1_Import_Export!$M72)+GREET1_Import_Export!$B201*GREET1_Import_Export!$G$179+GREET1_Import_Export!$G201)+Battery_Materials!H$53*(Battery_Materials!H$41*Battery_Materials!F$26*GREET1_Import_Export!$T72+GREET1_Import_Export!$B201*GREET1_Import_Export!$C$179+GREET1_Import_Export!$C201)+Battery_Materials!H$54*(Battery_Materials!H$41*Battery_Materials!F$27*GREET1_Import_Export!$W72+GREET1_Import_Export!$E237*GREET1_Import_Export!$F$215+GREET1_Import_Export!$F237)+Battery_Materials!H$55*(Battery_Materials!H$41*(Battery_Materials!F$28*GREET1_Import_Export!$B72+Battery_Materials!F$29*GREET1_Import_Export!$C72+Battery_Materials!F$30*GREET1_Import_Export!$G72+Battery_Materials!F$32*'GREET2_Factors_T&amp;D'!$F15+Battery_Materials!F$33*'GREET2_Factors_T&amp;D'!$G15)+GREET1_Import_Export!$B237)+Battery_Materials!H$56*(Battery_Materials!H$41*(Battery_Materials!F$34*GREET1_Import_Export!$AA72+Battery_Materials!F$35*GREET1_Import_Export!$AB72)+GREET1_Import_Export!$C290)+Battery_Materials!H$57*SUM(GREET1_Import_Export!$D315:$E315)</f>
        <v>0.16201708890462779</v>
      </c>
      <c r="I77" s="258"/>
      <c r="J77" s="267"/>
      <c r="K77" s="273">
        <f>Battery_Materials!K$51*(Battery_Materials!K$41*Battery_Materials!G$21*GREET1_Import_Export!$K72+GREET1_Import_Export!$B201*GREET1_Import_Export!$F$179+GREET1_Import_Export!$F201)+Battery_Materials!K$52*(Battery_Materials!K$41*(Battery_Materials!G$23*GREET1_Import_Export!$Q72+Battery_Materials!G$24*GREET1_Import_Export!$O72+Battery_Materials!G$25*GREET1_Import_Export!$M72)+GREET1_Import_Export!$B201*GREET1_Import_Export!$G$179+GREET1_Import_Export!$G201)+Battery_Materials!K$53*(Battery_Materials!K$41*Battery_Materials!G$26*GREET1_Import_Export!$T72+GREET1_Import_Export!$B201*GREET1_Import_Export!$C$179+GREET1_Import_Export!$C201)+Battery_Materials!K$54*(Battery_Materials!K$41*Battery_Materials!G$27*GREET1_Import_Export!$W72+GREET1_Import_Export!$E237*GREET1_Import_Export!$F$215+GREET1_Import_Export!$F237)+Battery_Materials!K$55*(Battery_Materials!K$41*(Battery_Materials!G$28*GREET1_Import_Export!$B72+Battery_Materials!G$29*GREET1_Import_Export!$C72+Battery_Materials!G$30*GREET1_Import_Export!$G72+Battery_Materials!G$32*'GREET2_Factors_T&amp;D'!$F15+Battery_Materials!G$33*'GREET2_Factors_T&amp;D'!$G15)+GREET1_Import_Export!$B237)+Battery_Materials!K$56*(Battery_Materials!K$41*(Battery_Materials!G$34*GREET1_Import_Export!$AA72+Battery_Materials!G$35*GREET1_Import_Export!$AB72)+GREET1_Import_Export!$C290)+Battery_Materials!K$57*SUM(GREET1_Import_Export!$D315:$E315)</f>
        <v>0.83536868829389388</v>
      </c>
      <c r="L77" s="258"/>
      <c r="M77" s="267"/>
      <c r="N77" s="273">
        <f>Battery_Materials!N$51*(Battery_Materials!N$41*Battery_Materials!H$21*GREET1_Import_Export!$K72+GREET1_Import_Export!$B201*GREET1_Import_Export!$F$179+GREET1_Import_Export!$F201)+Battery_Materials!N$52*(Battery_Materials!N$41*(Battery_Materials!H$23*GREET1_Import_Export!$Q72+Battery_Materials!H$24*GREET1_Import_Export!$O72+Battery_Materials!H$25*GREET1_Import_Export!$M72)+GREET1_Import_Export!$B201*GREET1_Import_Export!$G$179+GREET1_Import_Export!$G201)+Battery_Materials!N$53*(Battery_Materials!N$41*Battery_Materials!H$26*GREET1_Import_Export!$T72+GREET1_Import_Export!$B201*GREET1_Import_Export!$C$179+GREET1_Import_Export!$C201)+Battery_Materials!N$54*(Battery_Materials!N$41*Battery_Materials!H$27*GREET1_Import_Export!$W72+GREET1_Import_Export!$E237*GREET1_Import_Export!$F$215+GREET1_Import_Export!$F237)+Battery_Materials!N$55*(Battery_Materials!N$41*(Battery_Materials!H$28*GREET1_Import_Export!$B72+Battery_Materials!H$29*GREET1_Import_Export!$C72+Battery_Materials!H$30*GREET1_Import_Export!$G72+Battery_Materials!H$32*'GREET2_Factors_T&amp;D'!$F15+Battery_Materials!H$33*'GREET2_Factors_T&amp;D'!$G15)+GREET1_Import_Export!$B237)+Battery_Materials!N$56*(Battery_Materials!N$41*(Battery_Materials!H$34*GREET1_Import_Export!$AA72+Battery_Materials!H$35*GREET1_Import_Export!$AB72)+GREET1_Import_Export!$C290)+Battery_Materials!N$57*SUM(GREET1_Import_Export!$D315:$E315)</f>
        <v>1.9154783240767315</v>
      </c>
      <c r="O77" s="258"/>
      <c r="P77" s="267"/>
      <c r="Q77" s="1335">
        <f>Battery_Materials!Q$51*(Battery_Materials!Q$41*Battery_Materials!I$21*GREET1_Import_Export!$K72+GREET1_Import_Export!$B201*GREET1_Import_Export!$F$179+GREET1_Import_Export!$F201)+Battery_Materials!Q$52*(Battery_Materials!Q$41*(Battery_Materials!I$23*GREET1_Import_Export!$Q72+Battery_Materials!I$24*GREET1_Import_Export!$O72+Battery_Materials!I$25*GREET1_Import_Export!$M72)+GREET1_Import_Export!$B201*GREET1_Import_Export!$G$179+GREET1_Import_Export!$G201)+Battery_Materials!Q$53*(Battery_Materials!Q$41*Battery_Materials!I$26*GREET1_Import_Export!$T72+GREET1_Import_Export!$B201*GREET1_Import_Export!$C$179+GREET1_Import_Export!$C201)+Battery_Materials!Q$54*(Battery_Materials!Q$41*Battery_Materials!I$27*GREET1_Import_Export!$W72+GREET1_Import_Export!$E237*GREET1_Import_Export!$F$215+GREET1_Import_Export!$F237)+Battery_Materials!Q$55*(Battery_Materials!Q$41*(Battery_Materials!I$28*GREET1_Import_Export!$B72+Battery_Materials!I$29*GREET1_Import_Export!$C72+Battery_Materials!I$30*GREET1_Import_Export!$G72+Battery_Materials!I$32*'GREET2_Factors_T&amp;D'!$F15+Battery_Materials!I$33*'GREET2_Factors_T&amp;D'!$G15)+GREET1_Import_Export!$B237)+Battery_Materials!Q$56*(Battery_Materials!Q$41*(Battery_Materials!I$34*GREET1_Import_Export!$AA72+Battery_Materials!I$35*GREET1_Import_Export!$AB72)+GREET1_Import_Export!$C290)+Battery_Materials!Q$57*($B$17*(GREET1_Import_Export!$D315+GREET1_Import_Export!$E315)+$C$17*GREET1_Import_Export!L363+$D$17*GREET1_Import_Export!H363+$E$17*GREET1_Import_Export!Q363+$F$17*GREET1_Import_Export!R363+SUMPRODUCT($G$17:$I$17,GREET1_Import_Export!N363:P363))</f>
        <v>154.78610415936478</v>
      </c>
      <c r="R77" s="258"/>
      <c r="S77" s="267"/>
      <c r="T77" s="273">
        <f>Battery_Materials!T$51*(Battery_Materials!T$41*Battery_Materials!J$21*GREET1_Import_Export!$K72+GREET1_Import_Export!$B201*GREET1_Import_Export!$F$179+GREET1_Import_Export!$F201)+Battery_Materials!T$52*(Battery_Materials!T$41*(Battery_Materials!J$23*GREET1_Import_Export!$Q72+Battery_Materials!J$24*GREET1_Import_Export!$O72+Battery_Materials!J$25*GREET1_Import_Export!$M72)+GREET1_Import_Export!$B201*GREET1_Import_Export!$G$179+GREET1_Import_Export!$G201)+Battery_Materials!T$53*(Battery_Materials!T$41*Battery_Materials!J$26*GREET1_Import_Export!$T72+GREET1_Import_Export!$B201*GREET1_Import_Export!$C$179+GREET1_Import_Export!$C201)+Battery_Materials!T$54*(Battery_Materials!T$41*Battery_Materials!J$27*GREET1_Import_Export!$W72+GREET1_Import_Export!$E237*GREET1_Import_Export!$F$215+GREET1_Import_Export!$F237)+Battery_Materials!T$55*(Battery_Materials!T$41*(Battery_Materials!J$28*GREET1_Import_Export!$B72+Battery_Materials!J$29*GREET1_Import_Export!$C72+Battery_Materials!J$30*GREET1_Import_Export!$G72+Battery_Materials!J$32*'GREET2_Factors_T&amp;D'!$F15+Battery_Materials!J$33*'GREET2_Factors_T&amp;D'!$G15)+GREET1_Import_Export!$B237)+Battery_Materials!T$56*(Battery_Materials!T$41*(Battery_Materials!J$34*GREET1_Import_Export!$AA72+Battery_Materials!J$35*GREET1_Import_Export!$AB72)+GREET1_Import_Export!$C290)+Battery_Materials!T$57*SUM(GREET1_Import_Export!$D315:$E315)</f>
        <v>0.41868631018301877</v>
      </c>
      <c r="U77" s="258"/>
      <c r="V77" s="267"/>
      <c r="W77" s="273">
        <f>Battery_Materials!W$51*(Battery_Materials!W$41*Battery_Materials!K$21*GREET1_Import_Export!$K72+GREET1_Import_Export!$B201*GREET1_Import_Export!$F$179+GREET1_Import_Export!$F201)+Battery_Materials!W$52*(Battery_Materials!W$41*(Battery_Materials!K$23*GREET1_Import_Export!$Q72+Battery_Materials!K$24*GREET1_Import_Export!$O72+Battery_Materials!K$25*GREET1_Import_Export!$M72)+GREET1_Import_Export!$B201*GREET1_Import_Export!$G$179+GREET1_Import_Export!$G201)+Battery_Materials!W$53*(Battery_Materials!W$41*Battery_Materials!K$26*GREET1_Import_Export!$T72+GREET1_Import_Export!$B201*GREET1_Import_Export!$C$179+GREET1_Import_Export!$C201)+Battery_Materials!W$54*(Battery_Materials!W$41*Battery_Materials!K$27*GREET1_Import_Export!$W72+GREET1_Import_Export!$E237*GREET1_Import_Export!$F$215+GREET1_Import_Export!$F237)+Battery_Materials!W$55*(Battery_Materials!W$41*(Battery_Materials!K$28*GREET1_Import_Export!$B72+Battery_Materials!K$29*GREET1_Import_Export!$C72+Battery_Materials!K$30*GREET1_Import_Export!$G72+Battery_Materials!K$32*'GREET2_Factors_T&amp;D'!$F15+Battery_Materials!K$33*'GREET2_Factors_T&amp;D'!$G15)+GREET1_Import_Export!$B237)+Battery_Materials!W$56*(Battery_Materials!W$41*(Battery_Materials!K$34*GREET1_Import_Export!$AA72+Battery_Materials!K$35*GREET1_Import_Export!$AB72)+GREET1_Import_Export!$C290)+Battery_Materials!W$57*SUM(GREET1_Import_Export!$D315:$E315)</f>
        <v>4.8454739494588797</v>
      </c>
      <c r="X77" s="258"/>
      <c r="Y77" s="267"/>
    </row>
    <row r="78" spans="1:25" s="7" customFormat="1">
      <c r="A78" s="291" t="s">
        <v>822</v>
      </c>
      <c r="B78" s="273">
        <f>Battery_Materials!B$51*(Battery_Materials!B$41*Battery_Materials!B$21*GREET1_Import_Export!$K73+GREET1_Import_Export!$B202*GREET1_Import_Export!$F$179+GREET1_Import_Export!$F202)+Battery_Materials!B$52*(Battery_Materials!B$41*(Battery_Materials!B$23*GREET1_Import_Export!$Q73+Battery_Materials!B$24*GREET1_Import_Export!$O73+Battery_Materials!B$25*GREET1_Import_Export!$M73)+GREET1_Import_Export!$B202*GREET1_Import_Export!$G$179+GREET1_Import_Export!$G202)+Battery_Materials!B$53*(Battery_Materials!B$41*Battery_Materials!B$26*GREET1_Import_Export!$T73+GREET1_Import_Export!$B202*GREET1_Import_Export!$C$179+GREET1_Import_Export!$C202)+Battery_Materials!B$54*(Battery_Materials!B$41*Battery_Materials!B$27*GREET1_Import_Export!$W73+GREET1_Import_Export!$E238*GREET1_Import_Export!$F$215+GREET1_Import_Export!$F238)+Battery_Materials!B$55*(Battery_Materials!B$41*(Battery_Materials!B$28*GREET1_Import_Export!$B73+Battery_Materials!B$29*GREET1_Import_Export!$C73+Battery_Materials!B$30*GREET1_Import_Export!$G73+Battery_Materials!B$32*'GREET2_Factors_T&amp;D'!$F16+Battery_Materials!B$33*'GREET2_Factors_T&amp;D'!$G16)+GREET1_Import_Export!$B238)+Battery_Materials!B$56*(Battery_Materials!B$41*(Battery_Materials!B$34*GREET1_Import_Export!$AA73+Battery_Materials!B$35*GREET1_Import_Export!$AB73)+GREET1_Import_Export!$C291)+Battery_Materials!B$57*SUM(GREET1_Import_Export!$D316:$E316)</f>
        <v>87.728285145663136</v>
      </c>
      <c r="C78" s="258"/>
      <c r="D78" s="267"/>
      <c r="E78" s="273">
        <f>Battery_Materials!E$51*(Battery_Materials!E$41*Battery_Materials!C$21*GREET1_Import_Export!$K73+GREET1_Import_Export!$B202*GREET1_Import_Export!$F$179+GREET1_Import_Export!$F202)+Battery_Materials!E$52*(Battery_Materials!E$41*(Battery_Materials!C$23*GREET1_Import_Export!$Q73+Battery_Materials!C$24*GREET1_Import_Export!$O73+Battery_Materials!C$25*GREET1_Import_Export!$M73)+GREET1_Import_Export!$B202*GREET1_Import_Export!$G$179+GREET1_Import_Export!$G202)+Battery_Materials!E$53*(Battery_Materials!E$41*Battery_Materials!C$26*GREET1_Import_Export!$T73+GREET1_Import_Export!$B202*GREET1_Import_Export!$C$179+GREET1_Import_Export!$C202)+Battery_Materials!E$54*(Battery_Materials!E$41*Battery_Materials!C$27*GREET1_Import_Export!$W73+GREET1_Import_Export!$E238*GREET1_Import_Export!$F$215+GREET1_Import_Export!$F238)+Battery_Materials!E$55*(Battery_Materials!E$41*(Battery_Materials!C$28*GREET1_Import_Export!$B73+Battery_Materials!C$29*GREET1_Import_Export!$C73+Battery_Materials!C$30*GREET1_Import_Export!$G73+Battery_Materials!C$32*'GREET2_Factors_T&amp;D'!$F16+Battery_Materials!C$33*'GREET2_Factors_T&amp;D'!$G16)+GREET1_Import_Export!$B238)+Battery_Materials!E$56*(Battery_Materials!E$41*(Battery_Materials!C$34*GREET1_Import_Export!$AA73+Battery_Materials!C$35*GREET1_Import_Export!$AB73)+GREET1_Import_Export!$C291)+Battery_Materials!E$57*SUM(GREET1_Import_Export!$D316:$E316)</f>
        <v>463.83391406417297</v>
      </c>
      <c r="F78" s="258"/>
      <c r="G78" s="267"/>
      <c r="H78" s="273">
        <f>Battery_Materials!H$51*(Battery_Materials!H$41*Battery_Materials!F$21*GREET1_Import_Export!$K73+GREET1_Import_Export!$B202*GREET1_Import_Export!$F$179+GREET1_Import_Export!$F202)+Battery_Materials!H$52*(Battery_Materials!H$41*(Battery_Materials!F$23*GREET1_Import_Export!$Q73+Battery_Materials!F$24*GREET1_Import_Export!$O73+Battery_Materials!F$25*GREET1_Import_Export!$M73)+GREET1_Import_Export!$B202*GREET1_Import_Export!$G$179+GREET1_Import_Export!$G202)+Battery_Materials!H$53*(Battery_Materials!H$41*Battery_Materials!F$26*GREET1_Import_Export!$T73+GREET1_Import_Export!$B202*GREET1_Import_Export!$C$179+GREET1_Import_Export!$C202)+Battery_Materials!H$54*(Battery_Materials!H$41*Battery_Materials!F$27*GREET1_Import_Export!$W73+GREET1_Import_Export!$E238*GREET1_Import_Export!$F$215+GREET1_Import_Export!$F238)+Battery_Materials!H$55*(Battery_Materials!H$41*(Battery_Materials!F$28*GREET1_Import_Export!$B73+Battery_Materials!F$29*GREET1_Import_Export!$C73+Battery_Materials!F$30*GREET1_Import_Export!$G73+Battery_Materials!F$32*'GREET2_Factors_T&amp;D'!$F16+Battery_Materials!F$33*'GREET2_Factors_T&amp;D'!$G16)+GREET1_Import_Export!$B238)+Battery_Materials!H$56*(Battery_Materials!H$41*(Battery_Materials!F$34*GREET1_Import_Export!$AA73+Battery_Materials!F$35*GREET1_Import_Export!$AB73)+GREET1_Import_Export!$C291)+Battery_Materials!H$57*SUM(GREET1_Import_Export!$D316:$E316)</f>
        <v>0.85794884756049361</v>
      </c>
      <c r="I78" s="258"/>
      <c r="J78" s="267"/>
      <c r="K78" s="273">
        <f>Battery_Materials!K$51*(Battery_Materials!K$41*Battery_Materials!G$21*GREET1_Import_Export!$K73+GREET1_Import_Export!$B202*GREET1_Import_Export!$F$179+GREET1_Import_Export!$F202)+Battery_Materials!K$52*(Battery_Materials!K$41*(Battery_Materials!G$23*GREET1_Import_Export!$Q73+Battery_Materials!G$24*GREET1_Import_Export!$O73+Battery_Materials!G$25*GREET1_Import_Export!$M73)+GREET1_Import_Export!$B202*GREET1_Import_Export!$G$179+GREET1_Import_Export!$G202)+Battery_Materials!K$53*(Battery_Materials!K$41*Battery_Materials!G$26*GREET1_Import_Export!$T73+GREET1_Import_Export!$B202*GREET1_Import_Export!$C$179+GREET1_Import_Export!$C202)+Battery_Materials!K$54*(Battery_Materials!K$41*Battery_Materials!G$27*GREET1_Import_Export!$W73+GREET1_Import_Export!$E238*GREET1_Import_Export!$F$215+GREET1_Import_Export!$F238)+Battery_Materials!K$55*(Battery_Materials!K$41*(Battery_Materials!G$28*GREET1_Import_Export!$B73+Battery_Materials!G$29*GREET1_Import_Export!$C73+Battery_Materials!G$30*GREET1_Import_Export!$G73+Battery_Materials!G$32*'GREET2_Factors_T&amp;D'!$F16+Battery_Materials!G$33*'GREET2_Factors_T&amp;D'!$G16)+GREET1_Import_Export!$B238)+Battery_Materials!K$56*(Battery_Materials!K$41*(Battery_Materials!G$34*GREET1_Import_Export!$AA73+Battery_Materials!G$35*GREET1_Import_Export!$AB73)+GREET1_Import_Export!$C291)+Battery_Materials!K$57*SUM(GREET1_Import_Export!$D316:$E316)</f>
        <v>4.2071900896652696</v>
      </c>
      <c r="L78" s="258"/>
      <c r="M78" s="267"/>
      <c r="N78" s="273">
        <f>Battery_Materials!N$51*(Battery_Materials!N$41*Battery_Materials!H$21*GREET1_Import_Export!$K73+GREET1_Import_Export!$B202*GREET1_Import_Export!$F$179+GREET1_Import_Export!$F202)+Battery_Materials!N$52*(Battery_Materials!N$41*(Battery_Materials!H$23*GREET1_Import_Export!$Q73+Battery_Materials!H$24*GREET1_Import_Export!$O73+Battery_Materials!H$25*GREET1_Import_Export!$M73)+GREET1_Import_Export!$B202*GREET1_Import_Export!$G$179+GREET1_Import_Export!$G202)+Battery_Materials!N$53*(Battery_Materials!N$41*Battery_Materials!H$26*GREET1_Import_Export!$T73+GREET1_Import_Export!$B202*GREET1_Import_Export!$C$179+GREET1_Import_Export!$C202)+Battery_Materials!N$54*(Battery_Materials!N$41*Battery_Materials!H$27*GREET1_Import_Export!$W73+GREET1_Import_Export!$E238*GREET1_Import_Export!$F$215+GREET1_Import_Export!$F238)+Battery_Materials!N$55*(Battery_Materials!N$41*(Battery_Materials!H$28*GREET1_Import_Export!$B73+Battery_Materials!H$29*GREET1_Import_Export!$C73+Battery_Materials!H$30*GREET1_Import_Export!$G73+Battery_Materials!H$32*'GREET2_Factors_T&amp;D'!$F16+Battery_Materials!H$33*'GREET2_Factors_T&amp;D'!$G16)+GREET1_Import_Export!$B238)+Battery_Materials!N$56*(Battery_Materials!N$41*(Battery_Materials!H$34*GREET1_Import_Export!$AA73+Battery_Materials!H$35*GREET1_Import_Export!$AB73)+GREET1_Import_Export!$C291)+Battery_Materials!N$57*SUM(GREET1_Import_Export!$D316:$E316)</f>
        <v>11.469694536705621</v>
      </c>
      <c r="O78" s="258"/>
      <c r="P78" s="267"/>
      <c r="Q78" s="1335">
        <f>Battery_Materials!Q$51*(Battery_Materials!Q$41*Battery_Materials!I$21*GREET1_Import_Export!$K73+GREET1_Import_Export!$B202*GREET1_Import_Export!$F$179+GREET1_Import_Export!$F202)+Battery_Materials!Q$52*(Battery_Materials!Q$41*(Battery_Materials!I$23*GREET1_Import_Export!$Q73+Battery_Materials!I$24*GREET1_Import_Export!$O73+Battery_Materials!I$25*GREET1_Import_Export!$M73)+GREET1_Import_Export!$B202*GREET1_Import_Export!$G$179+GREET1_Import_Export!$G202)+Battery_Materials!Q$53*(Battery_Materials!Q$41*Battery_Materials!I$26*GREET1_Import_Export!$T73+GREET1_Import_Export!$B202*GREET1_Import_Export!$C$179+GREET1_Import_Export!$C202)+Battery_Materials!Q$54*(Battery_Materials!Q$41*Battery_Materials!I$27*GREET1_Import_Export!$W73+GREET1_Import_Export!$E238*GREET1_Import_Export!$F$215+GREET1_Import_Export!$F238)+Battery_Materials!Q$55*(Battery_Materials!Q$41*(Battery_Materials!I$28*GREET1_Import_Export!$B73+Battery_Materials!I$29*GREET1_Import_Export!$C73+Battery_Materials!I$30*GREET1_Import_Export!$G73+Battery_Materials!I$32*'GREET2_Factors_T&amp;D'!$F16+Battery_Materials!I$33*'GREET2_Factors_T&amp;D'!$G16)+GREET1_Import_Export!$B238)+Battery_Materials!Q$56*(Battery_Materials!Q$41*(Battery_Materials!I$34*GREET1_Import_Export!$AA73+Battery_Materials!I$35*GREET1_Import_Export!$AB73)+GREET1_Import_Export!$C291)+Battery_Materials!Q$57*($B$17*(GREET1_Import_Export!$D316+GREET1_Import_Export!$E316)+$C$17*GREET1_Import_Export!L364+$D$17*GREET1_Import_Export!H364+$E$17*GREET1_Import_Export!Q364+$F$17*GREET1_Import_Export!R364+SUMPRODUCT($G$17:$I$17,GREET1_Import_Export!N364:P364))</f>
        <v>1013.1170799915593</v>
      </c>
      <c r="R78" s="258"/>
      <c r="S78" s="267"/>
      <c r="T78" s="273">
        <f>Battery_Materials!T$51*(Battery_Materials!T$41*Battery_Materials!J$21*GREET1_Import_Export!$K73+GREET1_Import_Export!$B202*GREET1_Import_Export!$F$179+GREET1_Import_Export!$F202)+Battery_Materials!T$52*(Battery_Materials!T$41*(Battery_Materials!J$23*GREET1_Import_Export!$Q73+Battery_Materials!J$24*GREET1_Import_Export!$O73+Battery_Materials!J$25*GREET1_Import_Export!$M73)+GREET1_Import_Export!$B202*GREET1_Import_Export!$G$179+GREET1_Import_Export!$G202)+Battery_Materials!T$53*(Battery_Materials!T$41*Battery_Materials!J$26*GREET1_Import_Export!$T73+GREET1_Import_Export!$B202*GREET1_Import_Export!$C$179+GREET1_Import_Export!$C202)+Battery_Materials!T$54*(Battery_Materials!T$41*Battery_Materials!J$27*GREET1_Import_Export!$W73+GREET1_Import_Export!$E238*GREET1_Import_Export!$F$215+GREET1_Import_Export!$F238)+Battery_Materials!T$55*(Battery_Materials!T$41*(Battery_Materials!J$28*GREET1_Import_Export!$B73+Battery_Materials!J$29*GREET1_Import_Export!$C73+Battery_Materials!J$30*GREET1_Import_Export!$G73+Battery_Materials!J$32*'GREET2_Factors_T&amp;D'!$F16+Battery_Materials!J$33*'GREET2_Factors_T&amp;D'!$G16)+GREET1_Import_Export!$B238)+Battery_Materials!T$56*(Battery_Materials!T$41*(Battery_Materials!J$34*GREET1_Import_Export!$AA73+Battery_Materials!J$35*GREET1_Import_Export!$AB73)+GREET1_Import_Export!$C291)+Battery_Materials!T$57*SUM(GREET1_Import_Export!$D316:$E316)</f>
        <v>2.0116028843071416</v>
      </c>
      <c r="U78" s="258"/>
      <c r="V78" s="267"/>
      <c r="W78" s="273">
        <f>Battery_Materials!W$51*(Battery_Materials!W$41*Battery_Materials!K$21*GREET1_Import_Export!$K73+GREET1_Import_Export!$B202*GREET1_Import_Export!$F$179+GREET1_Import_Export!$F202)+Battery_Materials!W$52*(Battery_Materials!W$41*(Battery_Materials!K$23*GREET1_Import_Export!$Q73+Battery_Materials!K$24*GREET1_Import_Export!$O73+Battery_Materials!K$25*GREET1_Import_Export!$M73)+GREET1_Import_Export!$B202*GREET1_Import_Export!$G$179+GREET1_Import_Export!$G202)+Battery_Materials!W$53*(Battery_Materials!W$41*Battery_Materials!K$26*GREET1_Import_Export!$T73+GREET1_Import_Export!$B202*GREET1_Import_Export!$C$179+GREET1_Import_Export!$C202)+Battery_Materials!W$54*(Battery_Materials!W$41*Battery_Materials!K$27*GREET1_Import_Export!$W73+GREET1_Import_Export!$E238*GREET1_Import_Export!$F$215+GREET1_Import_Export!$F238)+Battery_Materials!W$55*(Battery_Materials!W$41*(Battery_Materials!K$28*GREET1_Import_Export!$B73+Battery_Materials!K$29*GREET1_Import_Export!$C73+Battery_Materials!K$30*GREET1_Import_Export!$G73+Battery_Materials!K$32*'GREET2_Factors_T&amp;D'!$F16+Battery_Materials!K$33*'GREET2_Factors_T&amp;D'!$G16)+GREET1_Import_Export!$B238)+Battery_Materials!W$56*(Battery_Materials!W$41*(Battery_Materials!K$34*GREET1_Import_Export!$AA73+Battery_Materials!K$35*GREET1_Import_Export!$AB73)+GREET1_Import_Export!$C291)+Battery_Materials!W$57*SUM(GREET1_Import_Export!$D316:$E316)</f>
        <v>23.436300976854142</v>
      </c>
      <c r="X78" s="258"/>
      <c r="Y78" s="267"/>
    </row>
    <row r="79" spans="1:25" s="7" customFormat="1">
      <c r="A79" s="291" t="s">
        <v>823</v>
      </c>
      <c r="B79" s="273">
        <f>Battery_Materials!B$51*(Battery_Materials!B$41*Battery_Materials!B$21*GREET1_Import_Export!$K74+GREET1_Import_Export!$B203*GREET1_Import_Export!$F$179+GREET1_Import_Export!$F203)+Battery_Materials!B$52*(Battery_Materials!B$41*(Battery_Materials!B$23*GREET1_Import_Export!$Q74+Battery_Materials!B$24*GREET1_Import_Export!$O74+Battery_Materials!B$25*GREET1_Import_Export!$M74)+GREET1_Import_Export!$B203*GREET1_Import_Export!$G$179+GREET1_Import_Export!$G203)+Battery_Materials!B$53*(Battery_Materials!B$41*Battery_Materials!B$26*GREET1_Import_Export!$T74+GREET1_Import_Export!$B203*GREET1_Import_Export!$C$179+GREET1_Import_Export!$C203)+Battery_Materials!B$54*(Battery_Materials!B$41*Battery_Materials!B$27*GREET1_Import_Export!$W74+GREET1_Import_Export!$E239*GREET1_Import_Export!$F$215+GREET1_Import_Export!$F239)+Battery_Materials!B$55*(Battery_Materials!B$41*(Battery_Materials!B$28*GREET1_Import_Export!$B74+Battery_Materials!B$29*GREET1_Import_Export!$C74+Battery_Materials!B$30*GREET1_Import_Export!$G74+Battery_Materials!B$32*'GREET2_Factors_T&amp;D'!$F17+Battery_Materials!B$33*'GREET2_Factors_T&amp;D'!$G17)+GREET1_Import_Export!$B239)+Battery_Materials!B$56*(Battery_Materials!B$41*(Battery_Materials!B$34*GREET1_Import_Export!$AA74+Battery_Materials!B$35*GREET1_Import_Export!$AB74)+GREET1_Import_Export!$C292)+Battery_Materials!B$57*SUM(GREET1_Import_Export!$D317:$E317)</f>
        <v>198.63790768904187</v>
      </c>
      <c r="C79" s="258"/>
      <c r="D79" s="267"/>
      <c r="E79" s="273">
        <f>Battery_Materials!E$51*(Battery_Materials!E$41*Battery_Materials!C$21*GREET1_Import_Export!$K74+GREET1_Import_Export!$B203*GREET1_Import_Export!$F$179+GREET1_Import_Export!$F203)+Battery_Materials!E$52*(Battery_Materials!E$41*(Battery_Materials!C$23*GREET1_Import_Export!$Q74+Battery_Materials!C$24*GREET1_Import_Export!$O74+Battery_Materials!C$25*GREET1_Import_Export!$M74)+GREET1_Import_Export!$B203*GREET1_Import_Export!$G$179+GREET1_Import_Export!$G203)+Battery_Materials!E$53*(Battery_Materials!E$41*Battery_Materials!C$26*GREET1_Import_Export!$T74+GREET1_Import_Export!$B203*GREET1_Import_Export!$C$179+GREET1_Import_Export!$C203)+Battery_Materials!E$54*(Battery_Materials!E$41*Battery_Materials!C$27*GREET1_Import_Export!$W74+GREET1_Import_Export!$E239*GREET1_Import_Export!$F$215+GREET1_Import_Export!$F239)+Battery_Materials!E$55*(Battery_Materials!E$41*(Battery_Materials!C$28*GREET1_Import_Export!$B74+Battery_Materials!C$29*GREET1_Import_Export!$C74+Battery_Materials!C$30*GREET1_Import_Export!$G74+Battery_Materials!C$32*'GREET2_Factors_T&amp;D'!$F17+Battery_Materials!C$33*'GREET2_Factors_T&amp;D'!$G17)+GREET1_Import_Export!$B239)+Battery_Materials!E$56*(Battery_Materials!E$41*(Battery_Materials!C$34*GREET1_Import_Export!$AA74+Battery_Materials!C$35*GREET1_Import_Export!$AB74)+GREET1_Import_Export!$C292)+Battery_Materials!E$57*SUM(GREET1_Import_Export!$D317:$E317)</f>
        <v>1384.7484724533749</v>
      </c>
      <c r="F79" s="258"/>
      <c r="G79" s="267"/>
      <c r="H79" s="273">
        <f>Battery_Materials!H$51*(Battery_Materials!H$41*Battery_Materials!F$21*GREET1_Import_Export!$K74+GREET1_Import_Export!$B203*GREET1_Import_Export!$F$179+GREET1_Import_Export!$F203)+Battery_Materials!H$52*(Battery_Materials!H$41*(Battery_Materials!F$23*GREET1_Import_Export!$Q74+Battery_Materials!F$24*GREET1_Import_Export!$O74+Battery_Materials!F$25*GREET1_Import_Export!$M74)+GREET1_Import_Export!$B203*GREET1_Import_Export!$G$179+GREET1_Import_Export!$G203)+Battery_Materials!H$53*(Battery_Materials!H$41*Battery_Materials!F$26*GREET1_Import_Export!$T74+GREET1_Import_Export!$B203*GREET1_Import_Export!$C$179+GREET1_Import_Export!$C203)+Battery_Materials!H$54*(Battery_Materials!H$41*Battery_Materials!F$27*GREET1_Import_Export!$W74+GREET1_Import_Export!$E239*GREET1_Import_Export!$F$215+GREET1_Import_Export!$F239)+Battery_Materials!H$55*(Battery_Materials!H$41*(Battery_Materials!F$28*GREET1_Import_Export!$B74+Battery_Materials!F$29*GREET1_Import_Export!$C74+Battery_Materials!F$30*GREET1_Import_Export!$G74+Battery_Materials!F$32*'GREET2_Factors_T&amp;D'!$F17+Battery_Materials!F$33*'GREET2_Factors_T&amp;D'!$G17)+GREET1_Import_Export!$B239)+Battery_Materials!H$56*(Battery_Materials!H$41*(Battery_Materials!F$34*GREET1_Import_Export!$AA74+Battery_Materials!F$35*GREET1_Import_Export!$AB74)+GREET1_Import_Export!$C292)+Battery_Materials!H$57*SUM(GREET1_Import_Export!$D317:$E317)</f>
        <v>1.4272090446048487</v>
      </c>
      <c r="I79" s="258"/>
      <c r="J79" s="267"/>
      <c r="K79" s="273">
        <f>Battery_Materials!K$51*(Battery_Materials!K$41*Battery_Materials!G$21*GREET1_Import_Export!$K74+GREET1_Import_Export!$B203*GREET1_Import_Export!$F$179+GREET1_Import_Export!$F203)+Battery_Materials!K$52*(Battery_Materials!K$41*(Battery_Materials!G$23*GREET1_Import_Export!$Q74+Battery_Materials!G$24*GREET1_Import_Export!$O74+Battery_Materials!G$25*GREET1_Import_Export!$M74)+GREET1_Import_Export!$B203*GREET1_Import_Export!$G$179+GREET1_Import_Export!$G203)+Battery_Materials!K$53*(Battery_Materials!K$41*Battery_Materials!G$26*GREET1_Import_Export!$T74+GREET1_Import_Export!$B203*GREET1_Import_Export!$C$179+GREET1_Import_Export!$C203)+Battery_Materials!K$54*(Battery_Materials!K$41*Battery_Materials!G$27*GREET1_Import_Export!$W74+GREET1_Import_Export!$E239*GREET1_Import_Export!$F$215+GREET1_Import_Export!$F239)+Battery_Materials!K$55*(Battery_Materials!K$41*(Battery_Materials!G$28*GREET1_Import_Export!$B74+Battery_Materials!G$29*GREET1_Import_Export!$C74+Battery_Materials!G$30*GREET1_Import_Export!$G74+Battery_Materials!G$32*'GREET2_Factors_T&amp;D'!$F17+Battery_Materials!G$33*'GREET2_Factors_T&amp;D'!$G17)+GREET1_Import_Export!$B239)+Battery_Materials!K$56*(Battery_Materials!K$41*(Battery_Materials!G$34*GREET1_Import_Export!$AA74+Battery_Materials!G$35*GREET1_Import_Export!$AB74)+GREET1_Import_Export!$C292)+Battery_Materials!K$57*SUM(GREET1_Import_Export!$D317:$E317)</f>
        <v>5.9856563066727082</v>
      </c>
      <c r="L79" s="258"/>
      <c r="M79" s="267"/>
      <c r="N79" s="273">
        <f>Battery_Materials!N$51*(Battery_Materials!N$41*Battery_Materials!H$21*GREET1_Import_Export!$K74+GREET1_Import_Export!$B203*GREET1_Import_Export!$F$179+GREET1_Import_Export!$F203)+Battery_Materials!N$52*(Battery_Materials!N$41*(Battery_Materials!H$23*GREET1_Import_Export!$Q74+Battery_Materials!H$24*GREET1_Import_Export!$O74+Battery_Materials!H$25*GREET1_Import_Export!$M74)+GREET1_Import_Export!$B203*GREET1_Import_Export!$G$179+GREET1_Import_Export!$G203)+Battery_Materials!N$53*(Battery_Materials!N$41*Battery_Materials!H$26*GREET1_Import_Export!$T74+GREET1_Import_Export!$B203*GREET1_Import_Export!$C$179+GREET1_Import_Export!$C203)+Battery_Materials!N$54*(Battery_Materials!N$41*Battery_Materials!H$27*GREET1_Import_Export!$W74+GREET1_Import_Export!$E239*GREET1_Import_Export!$F$215+GREET1_Import_Export!$F239)+Battery_Materials!N$55*(Battery_Materials!N$41*(Battery_Materials!H$28*GREET1_Import_Export!$B74+Battery_Materials!H$29*GREET1_Import_Export!$C74+Battery_Materials!H$30*GREET1_Import_Export!$G74+Battery_Materials!H$32*'GREET2_Factors_T&amp;D'!$F17+Battery_Materials!H$33*'GREET2_Factors_T&amp;D'!$G17)+GREET1_Import_Export!$B239)+Battery_Materials!N$56*(Battery_Materials!N$41*(Battery_Materials!H$34*GREET1_Import_Export!$AA74+Battery_Materials!H$35*GREET1_Import_Export!$AB74)+GREET1_Import_Export!$C292)+Battery_Materials!N$57*SUM(GREET1_Import_Export!$D317:$E317)</f>
        <v>25.288417550206191</v>
      </c>
      <c r="O79" s="258"/>
      <c r="P79" s="267"/>
      <c r="Q79" s="1335">
        <f>Battery_Materials!Q$51*(Battery_Materials!Q$41*Battery_Materials!I$21*GREET1_Import_Export!$K74+GREET1_Import_Export!$B203*GREET1_Import_Export!$F$179+GREET1_Import_Export!$F203)+Battery_Materials!Q$52*(Battery_Materials!Q$41*(Battery_Materials!I$23*GREET1_Import_Export!$Q74+Battery_Materials!I$24*GREET1_Import_Export!$O74+Battery_Materials!I$25*GREET1_Import_Export!$M74)+GREET1_Import_Export!$B203*GREET1_Import_Export!$G$179+GREET1_Import_Export!$G203)+Battery_Materials!Q$53*(Battery_Materials!Q$41*Battery_Materials!I$26*GREET1_Import_Export!$T74+GREET1_Import_Export!$B203*GREET1_Import_Export!$C$179+GREET1_Import_Export!$C203)+Battery_Materials!Q$54*(Battery_Materials!Q$41*Battery_Materials!I$27*GREET1_Import_Export!$W74+GREET1_Import_Export!$E239*GREET1_Import_Export!$F$215+GREET1_Import_Export!$F239)+Battery_Materials!Q$55*(Battery_Materials!Q$41*(Battery_Materials!I$28*GREET1_Import_Export!$B74+Battery_Materials!I$29*GREET1_Import_Export!$C74+Battery_Materials!I$30*GREET1_Import_Export!$G74+Battery_Materials!I$32*'GREET2_Factors_T&amp;D'!$F17+Battery_Materials!I$33*'GREET2_Factors_T&amp;D'!$G17)+GREET1_Import_Export!$B239)+Battery_Materials!Q$56*(Battery_Materials!Q$41*(Battery_Materials!I$34*GREET1_Import_Export!$AA74+Battery_Materials!I$35*GREET1_Import_Export!$AB74)+GREET1_Import_Export!$C292)+Battery_Materials!Q$57*($B$17*(GREET1_Import_Export!$D317+GREET1_Import_Export!$E317)+$C$17*GREET1_Import_Export!L365+$D$17*GREET1_Import_Export!H365+$E$17*GREET1_Import_Export!Q365+$F$17*GREET1_Import_Export!R365+SUMPRODUCT($G$17:$I$17,GREET1_Import_Export!N365:P365))</f>
        <v>2590.8319652145801</v>
      </c>
      <c r="R79" s="258"/>
      <c r="S79" s="267"/>
      <c r="T79" s="273">
        <f>Battery_Materials!T$51*(Battery_Materials!T$41*Battery_Materials!J$21*GREET1_Import_Export!$K74+GREET1_Import_Export!$B203*GREET1_Import_Export!$F$179+GREET1_Import_Export!$F203)+Battery_Materials!T$52*(Battery_Materials!T$41*(Battery_Materials!J$23*GREET1_Import_Export!$Q74+Battery_Materials!J$24*GREET1_Import_Export!$O74+Battery_Materials!J$25*GREET1_Import_Export!$M74)+GREET1_Import_Export!$B203*GREET1_Import_Export!$G$179+GREET1_Import_Export!$G203)+Battery_Materials!T$53*(Battery_Materials!T$41*Battery_Materials!J$26*GREET1_Import_Export!$T74+GREET1_Import_Export!$B203*GREET1_Import_Export!$C$179+GREET1_Import_Export!$C203)+Battery_Materials!T$54*(Battery_Materials!T$41*Battery_Materials!J$27*GREET1_Import_Export!$W74+GREET1_Import_Export!$E239*GREET1_Import_Export!$F$215+GREET1_Import_Export!$F239)+Battery_Materials!T$55*(Battery_Materials!T$41*(Battery_Materials!J$28*GREET1_Import_Export!$B74+Battery_Materials!J$29*GREET1_Import_Export!$C74+Battery_Materials!J$30*GREET1_Import_Export!$G74+Battery_Materials!J$32*'GREET2_Factors_T&amp;D'!$F17+Battery_Materials!J$33*'GREET2_Factors_T&amp;D'!$G17)+GREET1_Import_Export!$B239)+Battery_Materials!T$56*(Battery_Materials!T$41*(Battery_Materials!J$34*GREET1_Import_Export!$AA74+Battery_Materials!J$35*GREET1_Import_Export!$AB74)+GREET1_Import_Export!$C292)+Battery_Materials!T$57*SUM(GREET1_Import_Export!$D317:$E317)</f>
        <v>2.3843886689306406</v>
      </c>
      <c r="U79" s="258"/>
      <c r="V79" s="267"/>
      <c r="W79" s="273">
        <f>Battery_Materials!W$51*(Battery_Materials!W$41*Battery_Materials!K$21*GREET1_Import_Export!$K74+GREET1_Import_Export!$B203*GREET1_Import_Export!$F$179+GREET1_Import_Export!$F203)+Battery_Materials!W$52*(Battery_Materials!W$41*(Battery_Materials!K$23*GREET1_Import_Export!$Q74+Battery_Materials!K$24*GREET1_Import_Export!$O74+Battery_Materials!K$25*GREET1_Import_Export!$M74)+GREET1_Import_Export!$B203*GREET1_Import_Export!$G$179+GREET1_Import_Export!$G203)+Battery_Materials!W$53*(Battery_Materials!W$41*Battery_Materials!K$26*GREET1_Import_Export!$T74+GREET1_Import_Export!$B203*GREET1_Import_Export!$C$179+GREET1_Import_Export!$C203)+Battery_Materials!W$54*(Battery_Materials!W$41*Battery_Materials!K$27*GREET1_Import_Export!$W74+GREET1_Import_Export!$E239*GREET1_Import_Export!$F$215+GREET1_Import_Export!$F239)+Battery_Materials!W$55*(Battery_Materials!W$41*(Battery_Materials!K$28*GREET1_Import_Export!$B74+Battery_Materials!K$29*GREET1_Import_Export!$C74+Battery_Materials!K$30*GREET1_Import_Export!$G74+Battery_Materials!K$32*'GREET2_Factors_T&amp;D'!$F17+Battery_Materials!K$33*'GREET2_Factors_T&amp;D'!$G17)+GREET1_Import_Export!$B239)+Battery_Materials!W$56*(Battery_Materials!W$41*(Battery_Materials!K$34*GREET1_Import_Export!$AA74+Battery_Materials!K$35*GREET1_Import_Export!$AB74)+GREET1_Import_Export!$C292)+Battery_Materials!W$57*SUM(GREET1_Import_Export!$D317:$E317)</f>
        <v>28.583909426789688</v>
      </c>
      <c r="X79" s="258"/>
      <c r="Y79" s="267"/>
    </row>
    <row r="80" spans="1:25" s="7" customFormat="1">
      <c r="A80" s="291" t="s">
        <v>824</v>
      </c>
      <c r="B80" s="273">
        <f>Battery_Materials!B$51*(Battery_Materials!B$41*Battery_Materials!B$21*GREET1_Import_Export!$K75+GREET1_Import_Export!$B204*GREET1_Import_Export!$F$179+GREET1_Import_Export!$F204)+Battery_Materials!B$52*(Battery_Materials!B$41*(Battery_Materials!B$23*GREET1_Import_Export!$Q75+Battery_Materials!B$24*GREET1_Import_Export!$O75+Battery_Materials!B$25*GREET1_Import_Export!$M75)+GREET1_Import_Export!$B204*GREET1_Import_Export!$G$179+GREET1_Import_Export!$G204)+Battery_Materials!B$53*(Battery_Materials!B$41*Battery_Materials!B$26*GREET1_Import_Export!$T75+GREET1_Import_Export!$B204*GREET1_Import_Export!$C$179+GREET1_Import_Export!$C204)+Battery_Materials!B$54*(Battery_Materials!B$41*Battery_Materials!B$27*GREET1_Import_Export!$W75+GREET1_Import_Export!$E240*GREET1_Import_Export!$F$215+GREET1_Import_Export!$F240)+Battery_Materials!B$55*(Battery_Materials!B$41*(Battery_Materials!B$28*GREET1_Import_Export!$B75+Battery_Materials!B$29*GREET1_Import_Export!$C75+Battery_Materials!B$30*GREET1_Import_Export!$G75+Battery_Materials!B$32*'GREET2_Factors_T&amp;D'!$F18+Battery_Materials!B$33*'GREET2_Factors_T&amp;D'!$G18)+GREET1_Import_Export!$B240)+Battery_Materials!B$56*(Battery_Materials!B$41*(Battery_Materials!B$34*GREET1_Import_Export!$AA75+Battery_Materials!B$35*GREET1_Import_Export!$AB75)+GREET1_Import_Export!$C293)+Battery_Materials!B$57*SUM(GREET1_Import_Export!$D318:$E318)</f>
        <v>21.349184245516934</v>
      </c>
      <c r="C80" s="258"/>
      <c r="D80" s="267"/>
      <c r="E80" s="273">
        <f>Battery_Materials!E$51*(Battery_Materials!E$41*Battery_Materials!C$21*GREET1_Import_Export!$K75+GREET1_Import_Export!$B204*GREET1_Import_Export!$F$179+GREET1_Import_Export!$F204)+Battery_Materials!E$52*(Battery_Materials!E$41*(Battery_Materials!C$23*GREET1_Import_Export!$Q75+Battery_Materials!C$24*GREET1_Import_Export!$O75+Battery_Materials!C$25*GREET1_Import_Export!$M75)+GREET1_Import_Export!$B204*GREET1_Import_Export!$G$179+GREET1_Import_Export!$G204)+Battery_Materials!E$53*(Battery_Materials!E$41*Battery_Materials!C$26*GREET1_Import_Export!$T75+GREET1_Import_Export!$B204*GREET1_Import_Export!$C$179+GREET1_Import_Export!$C204)+Battery_Materials!E$54*(Battery_Materials!E$41*Battery_Materials!C$27*GREET1_Import_Export!$W75+GREET1_Import_Export!$E240*GREET1_Import_Export!$F$215+GREET1_Import_Export!$F240)+Battery_Materials!E$55*(Battery_Materials!E$41*(Battery_Materials!C$28*GREET1_Import_Export!$B75+Battery_Materials!C$29*GREET1_Import_Export!$C75+Battery_Materials!C$30*GREET1_Import_Export!$G75+Battery_Materials!C$32*'GREET2_Factors_T&amp;D'!$F18+Battery_Materials!C$33*'GREET2_Factors_T&amp;D'!$G18)+GREET1_Import_Export!$B240)+Battery_Materials!E$56*(Battery_Materials!E$41*(Battery_Materials!C$34*GREET1_Import_Export!$AA75+Battery_Materials!C$35*GREET1_Import_Export!$AB75)+GREET1_Import_Export!$C293)+Battery_Materials!E$57*SUM(GREET1_Import_Export!$D318:$E318)</f>
        <v>184.92191755559301</v>
      </c>
      <c r="F80" s="258"/>
      <c r="G80" s="267"/>
      <c r="H80" s="273">
        <f>Battery_Materials!H$51*(Battery_Materials!H$41*Battery_Materials!F$21*GREET1_Import_Export!$K75+GREET1_Import_Export!$B204*GREET1_Import_Export!$F$179+GREET1_Import_Export!$F204)+Battery_Materials!H$52*(Battery_Materials!H$41*(Battery_Materials!F$23*GREET1_Import_Export!$Q75+Battery_Materials!F$24*GREET1_Import_Export!$O75+Battery_Materials!F$25*GREET1_Import_Export!$M75)+GREET1_Import_Export!$B204*GREET1_Import_Export!$G$179+GREET1_Import_Export!$G204)+Battery_Materials!H$53*(Battery_Materials!H$41*Battery_Materials!F$26*GREET1_Import_Export!$T75+GREET1_Import_Export!$B204*GREET1_Import_Export!$C$179+GREET1_Import_Export!$C204)+Battery_Materials!H$54*(Battery_Materials!H$41*Battery_Materials!F$27*GREET1_Import_Export!$W75+GREET1_Import_Export!$E240*GREET1_Import_Export!$F$215+GREET1_Import_Export!$F240)+Battery_Materials!H$55*(Battery_Materials!H$41*(Battery_Materials!F$28*GREET1_Import_Export!$B75+Battery_Materials!F$29*GREET1_Import_Export!$C75+Battery_Materials!F$30*GREET1_Import_Export!$G75+Battery_Materials!F$32*'GREET2_Factors_T&amp;D'!$F18+Battery_Materials!F$33*'GREET2_Factors_T&amp;D'!$G18)+GREET1_Import_Export!$B240)+Battery_Materials!H$56*(Battery_Materials!H$41*(Battery_Materials!F$34*GREET1_Import_Export!$AA75+Battery_Materials!F$35*GREET1_Import_Export!$AB75)+GREET1_Import_Export!$C293)+Battery_Materials!H$57*SUM(GREET1_Import_Export!$D318:$E318)</f>
        <v>9.4020754714122801E-2</v>
      </c>
      <c r="I80" s="258"/>
      <c r="J80" s="267"/>
      <c r="K80" s="273">
        <f>Battery_Materials!K$51*(Battery_Materials!K$41*Battery_Materials!G$21*GREET1_Import_Export!$K75+GREET1_Import_Export!$B204*GREET1_Import_Export!$F$179+GREET1_Import_Export!$F204)+Battery_Materials!K$52*(Battery_Materials!K$41*(Battery_Materials!G$23*GREET1_Import_Export!$Q75+Battery_Materials!G$24*GREET1_Import_Export!$O75+Battery_Materials!G$25*GREET1_Import_Export!$M75)+GREET1_Import_Export!$B204*GREET1_Import_Export!$G$179+GREET1_Import_Export!$G204)+Battery_Materials!K$53*(Battery_Materials!K$41*Battery_Materials!G$26*GREET1_Import_Export!$T75+GREET1_Import_Export!$B204*GREET1_Import_Export!$C$179+GREET1_Import_Export!$C204)+Battery_Materials!K$54*(Battery_Materials!K$41*Battery_Materials!G$27*GREET1_Import_Export!$W75+GREET1_Import_Export!$E240*GREET1_Import_Export!$F$215+GREET1_Import_Export!$F240)+Battery_Materials!K$55*(Battery_Materials!K$41*(Battery_Materials!G$28*GREET1_Import_Export!$B75+Battery_Materials!G$29*GREET1_Import_Export!$C75+Battery_Materials!G$30*GREET1_Import_Export!$G75+Battery_Materials!G$32*'GREET2_Factors_T&amp;D'!$F18+Battery_Materials!G$33*'GREET2_Factors_T&amp;D'!$G18)+GREET1_Import_Export!$B240)+Battery_Materials!K$56*(Battery_Materials!K$41*(Battery_Materials!G$34*GREET1_Import_Export!$AA75+Battery_Materials!G$35*GREET1_Import_Export!$AB75)+GREET1_Import_Export!$C293)+Battery_Materials!K$57*SUM(GREET1_Import_Export!$D318:$E318)</f>
        <v>0.23966670211189309</v>
      </c>
      <c r="L80" s="258"/>
      <c r="M80" s="267"/>
      <c r="N80" s="273">
        <f>Battery_Materials!N$51*(Battery_Materials!N$41*Battery_Materials!H$21*GREET1_Import_Export!$K75+GREET1_Import_Export!$B204*GREET1_Import_Export!$F$179+GREET1_Import_Export!$F204)+Battery_Materials!N$52*(Battery_Materials!N$41*(Battery_Materials!H$23*GREET1_Import_Export!$Q75+Battery_Materials!H$24*GREET1_Import_Export!$O75+Battery_Materials!H$25*GREET1_Import_Export!$M75)+GREET1_Import_Export!$B204*GREET1_Import_Export!$G$179+GREET1_Import_Export!$G204)+Battery_Materials!N$53*(Battery_Materials!N$41*Battery_Materials!H$26*GREET1_Import_Export!$T75+GREET1_Import_Export!$B204*GREET1_Import_Export!$C$179+GREET1_Import_Export!$C204)+Battery_Materials!N$54*(Battery_Materials!N$41*Battery_Materials!H$27*GREET1_Import_Export!$W75+GREET1_Import_Export!$E240*GREET1_Import_Export!$F$215+GREET1_Import_Export!$F240)+Battery_Materials!N$55*(Battery_Materials!N$41*(Battery_Materials!H$28*GREET1_Import_Export!$B75+Battery_Materials!H$29*GREET1_Import_Export!$C75+Battery_Materials!H$30*GREET1_Import_Export!$G75+Battery_Materials!H$32*'GREET2_Factors_T&amp;D'!$F18+Battery_Materials!H$33*'GREET2_Factors_T&amp;D'!$G18)+GREET1_Import_Export!$B240)+Battery_Materials!N$56*(Battery_Materials!N$41*(Battery_Materials!H$34*GREET1_Import_Export!$AA75+Battery_Materials!H$35*GREET1_Import_Export!$AB75)+GREET1_Import_Export!$C293)+Battery_Materials!N$57*SUM(GREET1_Import_Export!$D318:$E318)</f>
        <v>2.613706506182635</v>
      </c>
      <c r="O80" s="258"/>
      <c r="P80" s="267"/>
      <c r="Q80" s="1335">
        <f>Battery_Materials!Q$51*(Battery_Materials!Q$41*Battery_Materials!I$21*GREET1_Import_Export!$K75+GREET1_Import_Export!$B204*GREET1_Import_Export!$F$179+GREET1_Import_Export!$F204)+Battery_Materials!Q$52*(Battery_Materials!Q$41*(Battery_Materials!I$23*GREET1_Import_Export!$Q75+Battery_Materials!I$24*GREET1_Import_Export!$O75+Battery_Materials!I$25*GREET1_Import_Export!$M75)+GREET1_Import_Export!$B204*GREET1_Import_Export!$G$179+GREET1_Import_Export!$G204)+Battery_Materials!Q$53*(Battery_Materials!Q$41*Battery_Materials!I$26*GREET1_Import_Export!$T75+GREET1_Import_Export!$B204*GREET1_Import_Export!$C$179+GREET1_Import_Export!$C204)+Battery_Materials!Q$54*(Battery_Materials!Q$41*Battery_Materials!I$27*GREET1_Import_Export!$W75+GREET1_Import_Export!$E240*GREET1_Import_Export!$F$215+GREET1_Import_Export!$F240)+Battery_Materials!Q$55*(Battery_Materials!Q$41*(Battery_Materials!I$28*GREET1_Import_Export!$B75+Battery_Materials!I$29*GREET1_Import_Export!$C75+Battery_Materials!I$30*GREET1_Import_Export!$G75+Battery_Materials!I$32*'GREET2_Factors_T&amp;D'!$F18+Battery_Materials!I$33*'GREET2_Factors_T&amp;D'!$G18)+GREET1_Import_Export!$B240)+Battery_Materials!Q$56*(Battery_Materials!Q$41*(Battery_Materials!I$34*GREET1_Import_Export!$AA75+Battery_Materials!I$35*GREET1_Import_Export!$AB75)+GREET1_Import_Export!$C293)+Battery_Materials!Q$57*($B$17*(GREET1_Import_Export!$D318+GREET1_Import_Export!$E318)+$C$17*GREET1_Import_Export!L366+$D$17*GREET1_Import_Export!H366+$E$17*GREET1_Import_Export!Q366+$F$17*GREET1_Import_Export!R366+SUMPRODUCT($G$17:$I$17,GREET1_Import_Export!N366:P366))</f>
        <v>308.90958271034452</v>
      </c>
      <c r="R80" s="258"/>
      <c r="S80" s="267"/>
      <c r="T80" s="273">
        <f>Battery_Materials!T$51*(Battery_Materials!T$41*Battery_Materials!J$21*GREET1_Import_Export!$K75+GREET1_Import_Export!$B204*GREET1_Import_Export!$F$179+GREET1_Import_Export!$F204)+Battery_Materials!T$52*(Battery_Materials!T$41*(Battery_Materials!J$23*GREET1_Import_Export!$Q75+Battery_Materials!J$24*GREET1_Import_Export!$O75+Battery_Materials!J$25*GREET1_Import_Export!$M75)+GREET1_Import_Export!$B204*GREET1_Import_Export!$G$179+GREET1_Import_Export!$G204)+Battery_Materials!T$53*(Battery_Materials!T$41*Battery_Materials!J$26*GREET1_Import_Export!$T75+GREET1_Import_Export!$B204*GREET1_Import_Export!$C$179+GREET1_Import_Export!$C204)+Battery_Materials!T$54*(Battery_Materials!T$41*Battery_Materials!J$27*GREET1_Import_Export!$W75+GREET1_Import_Export!$E240*GREET1_Import_Export!$F$215+GREET1_Import_Export!$F240)+Battery_Materials!T$55*(Battery_Materials!T$41*(Battery_Materials!J$28*GREET1_Import_Export!$B75+Battery_Materials!J$29*GREET1_Import_Export!$C75+Battery_Materials!J$30*GREET1_Import_Export!$G75+Battery_Materials!J$32*'GREET2_Factors_T&amp;D'!$F18+Battery_Materials!J$33*'GREET2_Factors_T&amp;D'!$G18)+GREET1_Import_Export!$B240)+Battery_Materials!T$56*(Battery_Materials!T$41*(Battery_Materials!J$34*GREET1_Import_Export!$AA75+Battery_Materials!J$35*GREET1_Import_Export!$AB75)+GREET1_Import_Export!$C293)+Battery_Materials!T$57*SUM(GREET1_Import_Export!$D318:$E318)</f>
        <v>1.0228672126667655E-2</v>
      </c>
      <c r="U80" s="258"/>
      <c r="V80" s="267"/>
      <c r="W80" s="273">
        <f>Battery_Materials!W$51*(Battery_Materials!W$41*Battery_Materials!K$21*GREET1_Import_Export!$K75+GREET1_Import_Export!$B204*GREET1_Import_Export!$F$179+GREET1_Import_Export!$F204)+Battery_Materials!W$52*(Battery_Materials!W$41*(Battery_Materials!K$23*GREET1_Import_Export!$Q75+Battery_Materials!K$24*GREET1_Import_Export!$O75+Battery_Materials!K$25*GREET1_Import_Export!$M75)+GREET1_Import_Export!$B204*GREET1_Import_Export!$G$179+GREET1_Import_Export!$G204)+Battery_Materials!W$53*(Battery_Materials!W$41*Battery_Materials!K$26*GREET1_Import_Export!$T75+GREET1_Import_Export!$B204*GREET1_Import_Export!$C$179+GREET1_Import_Export!$C204)+Battery_Materials!W$54*(Battery_Materials!W$41*Battery_Materials!K$27*GREET1_Import_Export!$W75+GREET1_Import_Export!$E240*GREET1_Import_Export!$F$215+GREET1_Import_Export!$F240)+Battery_Materials!W$55*(Battery_Materials!W$41*(Battery_Materials!K$28*GREET1_Import_Export!$B75+Battery_Materials!K$29*GREET1_Import_Export!$C75+Battery_Materials!K$30*GREET1_Import_Export!$G75+Battery_Materials!K$32*'GREET2_Factors_T&amp;D'!$F18+Battery_Materials!K$33*'GREET2_Factors_T&amp;D'!$G18)+GREET1_Import_Export!$B240)+Battery_Materials!W$56*(Battery_Materials!W$41*(Battery_Materials!K$34*GREET1_Import_Export!$AA75+Battery_Materials!K$35*GREET1_Import_Export!$AB75)+GREET1_Import_Export!$C293)+Battery_Materials!W$57*SUM(GREET1_Import_Export!$D318:$E318)</f>
        <v>0.29497020386361844</v>
      </c>
      <c r="X80" s="258"/>
      <c r="Y80" s="267"/>
    </row>
    <row r="81" spans="1:25" s="7" customFormat="1">
      <c r="A81" s="291" t="s">
        <v>825</v>
      </c>
      <c r="B81" s="273">
        <f>Battery_Materials!B$51*(Battery_Materials!B$41*Battery_Materials!B$21*GREET1_Import_Export!$K76+GREET1_Import_Export!$B205*GREET1_Import_Export!$F$179+GREET1_Import_Export!$F205)+Battery_Materials!B$52*(Battery_Materials!B$41*(Battery_Materials!B$23*GREET1_Import_Export!$Q76+Battery_Materials!B$24*GREET1_Import_Export!$O76+Battery_Materials!B$25*GREET1_Import_Export!$M76)+GREET1_Import_Export!$B205*GREET1_Import_Export!$G$179+GREET1_Import_Export!$G205)+Battery_Materials!B$53*(Battery_Materials!B$41*Battery_Materials!B$26*GREET1_Import_Export!$T76+GREET1_Import_Export!$B205*GREET1_Import_Export!$C$179+GREET1_Import_Export!$C205)+Battery_Materials!B$54*(Battery_Materials!B$41*Battery_Materials!B$27*GREET1_Import_Export!$W76+GREET1_Import_Export!$E241*GREET1_Import_Export!$F$215+GREET1_Import_Export!$F241)+Battery_Materials!B$55*(Battery_Materials!B$41*(Battery_Materials!B$28*GREET1_Import_Export!$B76+Battery_Materials!B$29*GREET1_Import_Export!$C76+Battery_Materials!B$30*GREET1_Import_Export!$G76+Battery_Materials!B$32*'GREET2_Factors_T&amp;D'!$F19+Battery_Materials!B$33*'GREET2_Factors_T&amp;D'!$G19)+GREET1_Import_Export!$B241)+Battery_Materials!B$56*(Battery_Materials!B$41*(Battery_Materials!B$34*GREET1_Import_Export!$AA76+Battery_Materials!B$35*GREET1_Import_Export!$AB76)+GREET1_Import_Export!$C294)+Battery_Materials!B$57*SUM(GREET1_Import_Export!$D319:$E319)</f>
        <v>18.781459996349547</v>
      </c>
      <c r="C81" s="258"/>
      <c r="D81" s="267"/>
      <c r="E81" s="273">
        <f>Battery_Materials!E$51*(Battery_Materials!E$41*Battery_Materials!C$21*GREET1_Import_Export!$K76+GREET1_Import_Export!$B205*GREET1_Import_Export!$F$179+GREET1_Import_Export!$F205)+Battery_Materials!E$52*(Battery_Materials!E$41*(Battery_Materials!C$23*GREET1_Import_Export!$Q76+Battery_Materials!C$24*GREET1_Import_Export!$O76+Battery_Materials!C$25*GREET1_Import_Export!$M76)+GREET1_Import_Export!$B205*GREET1_Import_Export!$G$179+GREET1_Import_Export!$G205)+Battery_Materials!E$53*(Battery_Materials!E$41*Battery_Materials!C$26*GREET1_Import_Export!$T76+GREET1_Import_Export!$B205*GREET1_Import_Export!$C$179+GREET1_Import_Export!$C205)+Battery_Materials!E$54*(Battery_Materials!E$41*Battery_Materials!C$27*GREET1_Import_Export!$W76+GREET1_Import_Export!$E241*GREET1_Import_Export!$F$215+GREET1_Import_Export!$F241)+Battery_Materials!E$55*(Battery_Materials!E$41*(Battery_Materials!C$28*GREET1_Import_Export!$B76+Battery_Materials!C$29*GREET1_Import_Export!$C76+Battery_Materials!C$30*GREET1_Import_Export!$G76+Battery_Materials!C$32*'GREET2_Factors_T&amp;D'!$F19+Battery_Materials!C$33*'GREET2_Factors_T&amp;D'!$G19)+GREET1_Import_Export!$B241)+Battery_Materials!E$56*(Battery_Materials!E$41*(Battery_Materials!C$34*GREET1_Import_Export!$AA76+Battery_Materials!C$35*GREET1_Import_Export!$AB76)+GREET1_Import_Export!$C294)+Battery_Materials!E$57*SUM(GREET1_Import_Export!$D319:$E319)</f>
        <v>162.60771379707288</v>
      </c>
      <c r="F81" s="258"/>
      <c r="G81" s="267"/>
      <c r="H81" s="273">
        <f>Battery_Materials!H$51*(Battery_Materials!H$41*Battery_Materials!F$21*GREET1_Import_Export!$K76+GREET1_Import_Export!$B205*GREET1_Import_Export!$F$179+GREET1_Import_Export!$F205)+Battery_Materials!H$52*(Battery_Materials!H$41*(Battery_Materials!F$23*GREET1_Import_Export!$Q76+Battery_Materials!F$24*GREET1_Import_Export!$O76+Battery_Materials!F$25*GREET1_Import_Export!$M76)+GREET1_Import_Export!$B205*GREET1_Import_Export!$G$179+GREET1_Import_Export!$G205)+Battery_Materials!H$53*(Battery_Materials!H$41*Battery_Materials!F$26*GREET1_Import_Export!$T76+GREET1_Import_Export!$B205*GREET1_Import_Export!$C$179+GREET1_Import_Export!$C205)+Battery_Materials!H$54*(Battery_Materials!H$41*Battery_Materials!F$27*GREET1_Import_Export!$W76+GREET1_Import_Export!$E241*GREET1_Import_Export!$F$215+GREET1_Import_Export!$F241)+Battery_Materials!H$55*(Battery_Materials!H$41*(Battery_Materials!F$28*GREET1_Import_Export!$B76+Battery_Materials!F$29*GREET1_Import_Export!$C76+Battery_Materials!F$30*GREET1_Import_Export!$G76+Battery_Materials!F$32*'GREET2_Factors_T&amp;D'!$F19+Battery_Materials!F$33*'GREET2_Factors_T&amp;D'!$G19)+GREET1_Import_Export!$B241)+Battery_Materials!H$56*(Battery_Materials!H$41*(Battery_Materials!F$34*GREET1_Import_Export!$AA76+Battery_Materials!F$35*GREET1_Import_Export!$AB76)+GREET1_Import_Export!$C294)+Battery_Materials!H$57*SUM(GREET1_Import_Export!$D319:$E319)</f>
        <v>8.2817334117119057E-2</v>
      </c>
      <c r="I81" s="258"/>
      <c r="J81" s="267"/>
      <c r="K81" s="273">
        <f>Battery_Materials!K$51*(Battery_Materials!K$41*Battery_Materials!G$21*GREET1_Import_Export!$K76+GREET1_Import_Export!$B205*GREET1_Import_Export!$F$179+GREET1_Import_Export!$F205)+Battery_Materials!K$52*(Battery_Materials!K$41*(Battery_Materials!G$23*GREET1_Import_Export!$Q76+Battery_Materials!G$24*GREET1_Import_Export!$O76+Battery_Materials!G$25*GREET1_Import_Export!$M76)+GREET1_Import_Export!$B205*GREET1_Import_Export!$G$179+GREET1_Import_Export!$G205)+Battery_Materials!K$53*(Battery_Materials!K$41*Battery_Materials!G$26*GREET1_Import_Export!$T76+GREET1_Import_Export!$B205*GREET1_Import_Export!$C$179+GREET1_Import_Export!$C205)+Battery_Materials!K$54*(Battery_Materials!K$41*Battery_Materials!G$27*GREET1_Import_Export!$W76+GREET1_Import_Export!$E241*GREET1_Import_Export!$F$215+GREET1_Import_Export!$F241)+Battery_Materials!K$55*(Battery_Materials!K$41*(Battery_Materials!G$28*GREET1_Import_Export!$B76+Battery_Materials!G$29*GREET1_Import_Export!$C76+Battery_Materials!G$30*GREET1_Import_Export!$G76+Battery_Materials!G$32*'GREET2_Factors_T&amp;D'!$F19+Battery_Materials!G$33*'GREET2_Factors_T&amp;D'!$G19)+GREET1_Import_Export!$B241)+Battery_Materials!K$56*(Battery_Materials!K$41*(Battery_Materials!G$34*GREET1_Import_Export!$AA76+Battery_Materials!G$35*GREET1_Import_Export!$AB76)+GREET1_Import_Export!$C294)+Battery_Materials!K$57*SUM(GREET1_Import_Export!$D319:$E319)</f>
        <v>0.21156952617662314</v>
      </c>
      <c r="L81" s="258"/>
      <c r="M81" s="267"/>
      <c r="N81" s="273">
        <f>Battery_Materials!N$51*(Battery_Materials!N$41*Battery_Materials!H$21*GREET1_Import_Export!$K76+GREET1_Import_Export!$B205*GREET1_Import_Export!$F$179+GREET1_Import_Export!$F205)+Battery_Materials!N$52*(Battery_Materials!N$41*(Battery_Materials!H$23*GREET1_Import_Export!$Q76+Battery_Materials!H$24*GREET1_Import_Export!$O76+Battery_Materials!H$25*GREET1_Import_Export!$M76)+GREET1_Import_Export!$B205*GREET1_Import_Export!$G$179+GREET1_Import_Export!$G205)+Battery_Materials!N$53*(Battery_Materials!N$41*Battery_Materials!H$26*GREET1_Import_Export!$T76+GREET1_Import_Export!$B205*GREET1_Import_Export!$C$179+GREET1_Import_Export!$C205)+Battery_Materials!N$54*(Battery_Materials!N$41*Battery_Materials!H$27*GREET1_Import_Export!$W76+GREET1_Import_Export!$E241*GREET1_Import_Export!$F$215+GREET1_Import_Export!$F241)+Battery_Materials!N$55*(Battery_Materials!N$41*(Battery_Materials!H$28*GREET1_Import_Export!$B76+Battery_Materials!H$29*GREET1_Import_Export!$C76+Battery_Materials!H$30*GREET1_Import_Export!$G76+Battery_Materials!H$32*'GREET2_Factors_T&amp;D'!$F19+Battery_Materials!H$33*'GREET2_Factors_T&amp;D'!$G19)+GREET1_Import_Export!$B241)+Battery_Materials!N$56*(Battery_Materials!N$41*(Battery_Materials!H$34*GREET1_Import_Export!$AA76+Battery_Materials!H$35*GREET1_Import_Export!$AB76)+GREET1_Import_Export!$C294)+Battery_Materials!N$57*SUM(GREET1_Import_Export!$D319:$E319)</f>
        <v>2.2994329490518477</v>
      </c>
      <c r="O81" s="258"/>
      <c r="P81" s="267"/>
      <c r="Q81" s="1335">
        <f>Battery_Materials!Q$51*(Battery_Materials!Q$41*Battery_Materials!I$21*GREET1_Import_Export!$K76+GREET1_Import_Export!$B205*GREET1_Import_Export!$F$179+GREET1_Import_Export!$F205)+Battery_Materials!Q$52*(Battery_Materials!Q$41*(Battery_Materials!I$23*GREET1_Import_Export!$Q76+Battery_Materials!I$24*GREET1_Import_Export!$O76+Battery_Materials!I$25*GREET1_Import_Export!$M76)+GREET1_Import_Export!$B205*GREET1_Import_Export!$G$179+GREET1_Import_Export!$G205)+Battery_Materials!Q$53*(Battery_Materials!Q$41*Battery_Materials!I$26*GREET1_Import_Export!$T76+GREET1_Import_Export!$B205*GREET1_Import_Export!$C$179+GREET1_Import_Export!$C205)+Battery_Materials!Q$54*(Battery_Materials!Q$41*Battery_Materials!I$27*GREET1_Import_Export!$W76+GREET1_Import_Export!$E241*GREET1_Import_Export!$F$215+GREET1_Import_Export!$F241)+Battery_Materials!Q$55*(Battery_Materials!Q$41*(Battery_Materials!I$28*GREET1_Import_Export!$B76+Battery_Materials!I$29*GREET1_Import_Export!$C76+Battery_Materials!I$30*GREET1_Import_Export!$G76+Battery_Materials!I$32*'GREET2_Factors_T&amp;D'!$F19+Battery_Materials!I$33*'GREET2_Factors_T&amp;D'!$G19)+GREET1_Import_Export!$B241)+Battery_Materials!Q$56*(Battery_Materials!Q$41*(Battery_Materials!I$34*GREET1_Import_Export!$AA76+Battery_Materials!I$35*GREET1_Import_Export!$AB76)+GREET1_Import_Export!$C294)+Battery_Materials!Q$57*($B$17*(GREET1_Import_Export!$D319+GREET1_Import_Export!$E319)+$C$17*GREET1_Import_Export!L367+$D$17*GREET1_Import_Export!H367+$E$17*GREET1_Import_Export!Q367+$F$17*GREET1_Import_Export!R367+SUMPRODUCT($G$17:$I$17,GREET1_Import_Export!N367:P367))</f>
        <v>271.68792356123515</v>
      </c>
      <c r="R81" s="258"/>
      <c r="S81" s="267"/>
      <c r="T81" s="273">
        <f>Battery_Materials!T$51*(Battery_Materials!T$41*Battery_Materials!J$21*GREET1_Import_Export!$K76+GREET1_Import_Export!$B205*GREET1_Import_Export!$F$179+GREET1_Import_Export!$F205)+Battery_Materials!T$52*(Battery_Materials!T$41*(Battery_Materials!J$23*GREET1_Import_Export!$Q76+Battery_Materials!J$24*GREET1_Import_Export!$O76+Battery_Materials!J$25*GREET1_Import_Export!$M76)+GREET1_Import_Export!$B205*GREET1_Import_Export!$G$179+GREET1_Import_Export!$G205)+Battery_Materials!T$53*(Battery_Materials!T$41*Battery_Materials!J$26*GREET1_Import_Export!$T76+GREET1_Import_Export!$B205*GREET1_Import_Export!$C$179+GREET1_Import_Export!$C205)+Battery_Materials!T$54*(Battery_Materials!T$41*Battery_Materials!J$27*GREET1_Import_Export!$W76+GREET1_Import_Export!$E241*GREET1_Import_Export!$F$215+GREET1_Import_Export!$F241)+Battery_Materials!T$55*(Battery_Materials!T$41*(Battery_Materials!J$28*GREET1_Import_Export!$B76+Battery_Materials!J$29*GREET1_Import_Export!$C76+Battery_Materials!J$30*GREET1_Import_Export!$G76+Battery_Materials!J$32*'GREET2_Factors_T&amp;D'!$F19+Battery_Materials!J$33*'GREET2_Factors_T&amp;D'!$G19)+GREET1_Import_Export!$B241)+Battery_Materials!T$56*(Battery_Materials!T$41*(Battery_Materials!J$34*GREET1_Import_Export!$AA76+Battery_Materials!J$35*GREET1_Import_Export!$AB76)+GREET1_Import_Export!$C294)+Battery_Materials!T$57*SUM(GREET1_Import_Export!$D319:$E319)</f>
        <v>9.4478296713159625E-3</v>
      </c>
      <c r="U81" s="258"/>
      <c r="V81" s="267"/>
      <c r="W81" s="273">
        <f>Battery_Materials!W$51*(Battery_Materials!W$41*Battery_Materials!K$21*GREET1_Import_Export!$K76+GREET1_Import_Export!$B205*GREET1_Import_Export!$F$179+GREET1_Import_Export!$F205)+Battery_Materials!W$52*(Battery_Materials!W$41*(Battery_Materials!K$23*GREET1_Import_Export!$Q76+Battery_Materials!K$24*GREET1_Import_Export!$O76+Battery_Materials!K$25*GREET1_Import_Export!$M76)+GREET1_Import_Export!$B205*GREET1_Import_Export!$G$179+GREET1_Import_Export!$G205)+Battery_Materials!W$53*(Battery_Materials!W$41*Battery_Materials!K$26*GREET1_Import_Export!$T76+GREET1_Import_Export!$B205*GREET1_Import_Export!$C$179+GREET1_Import_Export!$C205)+Battery_Materials!W$54*(Battery_Materials!W$41*Battery_Materials!K$27*GREET1_Import_Export!$W76+GREET1_Import_Export!$E241*GREET1_Import_Export!$F$215+GREET1_Import_Export!$F241)+Battery_Materials!W$55*(Battery_Materials!W$41*(Battery_Materials!K$28*GREET1_Import_Export!$B76+Battery_Materials!K$29*GREET1_Import_Export!$C76+Battery_Materials!K$30*GREET1_Import_Export!$G76+Battery_Materials!K$32*'GREET2_Factors_T&amp;D'!$F19+Battery_Materials!K$33*'GREET2_Factors_T&amp;D'!$G19)+GREET1_Import_Export!$B241)+Battery_Materials!W$56*(Battery_Materials!W$41*(Battery_Materials!K$34*GREET1_Import_Export!$AA76+Battery_Materials!K$35*GREET1_Import_Export!$AB76)+GREET1_Import_Export!$C294)+Battery_Materials!W$57*SUM(GREET1_Import_Export!$D319:$E319)</f>
        <v>0.26455845908692688</v>
      </c>
      <c r="X81" s="258"/>
      <c r="Y81" s="267"/>
    </row>
    <row r="82" spans="1:25" s="7" customFormat="1">
      <c r="A82" s="291" t="s">
        <v>826</v>
      </c>
      <c r="B82" s="273">
        <f>Battery_Materials!B$51*(Battery_Materials!B$41*Battery_Materials!B$21*GREET1_Import_Export!$K77+GREET1_Import_Export!$B206*GREET1_Import_Export!$F$179+GREET1_Import_Export!$F206)+Battery_Materials!B$52*(Battery_Materials!B$41*(Battery_Materials!B$23*GREET1_Import_Export!$Q77+Battery_Materials!B$24*GREET1_Import_Export!$O77+Battery_Materials!B$25*GREET1_Import_Export!$M77)+GREET1_Import_Export!$B206*GREET1_Import_Export!$G$179+GREET1_Import_Export!$G206)+Battery_Materials!B$53*(Battery_Materials!B$41*Battery_Materials!B$26*GREET1_Import_Export!$T77+GREET1_Import_Export!$B206*GREET1_Import_Export!$C$179+GREET1_Import_Export!$C206)+Battery_Materials!B$54*(Battery_Materials!B$41*Battery_Materials!B$27*GREET1_Import_Export!$W77+GREET1_Import_Export!$E242*GREET1_Import_Export!$F$215+GREET1_Import_Export!$F242)+Battery_Materials!B$55*(Battery_Materials!B$41*(Battery_Materials!B$28*GREET1_Import_Export!$B77+Battery_Materials!B$29*GREET1_Import_Export!$C77+Battery_Materials!B$30*GREET1_Import_Export!$G77+Battery_Materials!B$32*'GREET2_Factors_T&amp;D'!$F20+Battery_Materials!B$33*'GREET2_Factors_T&amp;D'!$G20)+GREET1_Import_Export!$B242)+Battery_Materials!B$56*(Battery_Materials!B$41*(Battery_Materials!B$34*GREET1_Import_Export!$AA77+Battery_Materials!B$35*GREET1_Import_Export!$AB77)+GREET1_Import_Export!$C295)+Battery_Materials!B$57*SUM(GREET1_Import_Export!$D320:$E320)</f>
        <v>157.57541363062128</v>
      </c>
      <c r="C82" s="258"/>
      <c r="D82" s="267"/>
      <c r="E82" s="273">
        <f>Battery_Materials!E$51*(Battery_Materials!E$41*Battery_Materials!C$21*GREET1_Import_Export!$K77+GREET1_Import_Export!$B206*GREET1_Import_Export!$F$179+GREET1_Import_Export!$F206)+Battery_Materials!E$52*(Battery_Materials!E$41*(Battery_Materials!C$23*GREET1_Import_Export!$Q77+Battery_Materials!C$24*GREET1_Import_Export!$O77+Battery_Materials!C$25*GREET1_Import_Export!$M77)+GREET1_Import_Export!$B206*GREET1_Import_Export!$G$179+GREET1_Import_Export!$G206)+Battery_Materials!E$53*(Battery_Materials!E$41*Battery_Materials!C$26*GREET1_Import_Export!$T77+GREET1_Import_Export!$B206*GREET1_Import_Export!$C$179+GREET1_Import_Export!$C206)+Battery_Materials!E$54*(Battery_Materials!E$41*Battery_Materials!C$27*GREET1_Import_Export!$W77+GREET1_Import_Export!$E242*GREET1_Import_Export!$F$215+GREET1_Import_Export!$F242)+Battery_Materials!E$55*(Battery_Materials!E$41*(Battery_Materials!C$28*GREET1_Import_Export!$B77+Battery_Materials!C$29*GREET1_Import_Export!$C77+Battery_Materials!C$30*GREET1_Import_Export!$G77+Battery_Materials!C$32*'GREET2_Factors_T&amp;D'!$F20+Battery_Materials!C$33*'GREET2_Factors_T&amp;D'!$G20)+GREET1_Import_Export!$B242)+Battery_Materials!E$56*(Battery_Materials!E$41*(Battery_Materials!C$34*GREET1_Import_Export!$AA77+Battery_Materials!C$35*GREET1_Import_Export!$AB77)+GREET1_Import_Export!$C295)+Battery_Materials!E$57*SUM(GREET1_Import_Export!$D320:$E320)</f>
        <v>1375.4212521251868</v>
      </c>
      <c r="F82" s="258"/>
      <c r="G82" s="267"/>
      <c r="H82" s="273">
        <f>Battery_Materials!H$51*(Battery_Materials!H$41*Battery_Materials!F$21*GREET1_Import_Export!$K77+GREET1_Import_Export!$B206*GREET1_Import_Export!$F$179+GREET1_Import_Export!$F206)+Battery_Materials!H$52*(Battery_Materials!H$41*(Battery_Materials!F$23*GREET1_Import_Export!$Q77+Battery_Materials!F$24*GREET1_Import_Export!$O77+Battery_Materials!F$25*GREET1_Import_Export!$M77)+GREET1_Import_Export!$B206*GREET1_Import_Export!$G$179+GREET1_Import_Export!$G206)+Battery_Materials!H$53*(Battery_Materials!H$41*Battery_Materials!F$26*GREET1_Import_Export!$T77+GREET1_Import_Export!$B206*GREET1_Import_Export!$C$179+GREET1_Import_Export!$C206)+Battery_Materials!H$54*(Battery_Materials!H$41*Battery_Materials!F$27*GREET1_Import_Export!$W77+GREET1_Import_Export!$E242*GREET1_Import_Export!$F$215+GREET1_Import_Export!$F242)+Battery_Materials!H$55*(Battery_Materials!H$41*(Battery_Materials!F$28*GREET1_Import_Export!$B77+Battery_Materials!F$29*GREET1_Import_Export!$C77+Battery_Materials!F$30*GREET1_Import_Export!$G77+Battery_Materials!F$32*'GREET2_Factors_T&amp;D'!$F20+Battery_Materials!F$33*'GREET2_Factors_T&amp;D'!$G20)+GREET1_Import_Export!$B242)+Battery_Materials!H$56*(Battery_Materials!H$41*(Battery_Materials!F$34*GREET1_Import_Export!$AA77+Battery_Materials!F$35*GREET1_Import_Export!$AB77)+GREET1_Import_Export!$C295)+Battery_Materials!H$57*SUM(GREET1_Import_Export!$D320:$E320)</f>
        <v>0.70810222060965566</v>
      </c>
      <c r="I82" s="258"/>
      <c r="J82" s="267"/>
      <c r="K82" s="273">
        <f>Battery_Materials!K$51*(Battery_Materials!K$41*Battery_Materials!G$21*GREET1_Import_Export!$K77+GREET1_Import_Export!$B206*GREET1_Import_Export!$F$179+GREET1_Import_Export!$F206)+Battery_Materials!K$52*(Battery_Materials!K$41*(Battery_Materials!G$23*GREET1_Import_Export!$Q77+Battery_Materials!G$24*GREET1_Import_Export!$O77+Battery_Materials!G$25*GREET1_Import_Export!$M77)+GREET1_Import_Export!$B206*GREET1_Import_Export!$G$179+GREET1_Import_Export!$G206)+Battery_Materials!K$53*(Battery_Materials!K$41*Battery_Materials!G$26*GREET1_Import_Export!$T77+GREET1_Import_Export!$B206*GREET1_Import_Export!$C$179+GREET1_Import_Export!$C206)+Battery_Materials!K$54*(Battery_Materials!K$41*Battery_Materials!G$27*GREET1_Import_Export!$W77+GREET1_Import_Export!$E242*GREET1_Import_Export!$F$215+GREET1_Import_Export!$F242)+Battery_Materials!K$55*(Battery_Materials!K$41*(Battery_Materials!G$28*GREET1_Import_Export!$B77+Battery_Materials!G$29*GREET1_Import_Export!$C77+Battery_Materials!G$30*GREET1_Import_Export!$G77+Battery_Materials!G$32*'GREET2_Factors_T&amp;D'!$F20+Battery_Materials!G$33*'GREET2_Factors_T&amp;D'!$G20)+GREET1_Import_Export!$B242)+Battery_Materials!K$56*(Battery_Materials!K$41*(Battery_Materials!G$34*GREET1_Import_Export!$AA77+Battery_Materials!G$35*GREET1_Import_Export!$AB77)+GREET1_Import_Export!$C295)+Battery_Materials!K$57*SUM(GREET1_Import_Export!$D320:$E320)</f>
        <v>1.8322878080148068</v>
      </c>
      <c r="L82" s="258"/>
      <c r="M82" s="267"/>
      <c r="N82" s="273">
        <f>Battery_Materials!N$51*(Battery_Materials!N$41*Battery_Materials!H$21*GREET1_Import_Export!$K77+GREET1_Import_Export!$B206*GREET1_Import_Export!$F$179+GREET1_Import_Export!$F206)+Battery_Materials!N$52*(Battery_Materials!N$41*(Battery_Materials!H$23*GREET1_Import_Export!$Q77+Battery_Materials!H$24*GREET1_Import_Export!$O77+Battery_Materials!H$25*GREET1_Import_Export!$M77)+GREET1_Import_Export!$B206*GREET1_Import_Export!$G$179+GREET1_Import_Export!$G206)+Battery_Materials!N$53*(Battery_Materials!N$41*Battery_Materials!H$26*GREET1_Import_Export!$T77+GREET1_Import_Export!$B206*GREET1_Import_Export!$C$179+GREET1_Import_Export!$C206)+Battery_Materials!N$54*(Battery_Materials!N$41*Battery_Materials!H$27*GREET1_Import_Export!$W77+GREET1_Import_Export!$E242*GREET1_Import_Export!$F$215+GREET1_Import_Export!$F242)+Battery_Materials!N$55*(Battery_Materials!N$41*(Battery_Materials!H$28*GREET1_Import_Export!$B77+Battery_Materials!H$29*GREET1_Import_Export!$C77+Battery_Materials!H$30*GREET1_Import_Export!$G77+Battery_Materials!H$32*'GREET2_Factors_T&amp;D'!$F20+Battery_Materials!H$33*'GREET2_Factors_T&amp;D'!$G20)+GREET1_Import_Export!$B242)+Battery_Materials!N$56*(Battery_Materials!N$41*(Battery_Materials!H$34*GREET1_Import_Export!$AA77+Battery_Materials!H$35*GREET1_Import_Export!$AB77)+GREET1_Import_Export!$C295)+Battery_Materials!N$57*SUM(GREET1_Import_Export!$D320:$E320)</f>
        <v>19.517549539480903</v>
      </c>
      <c r="O82" s="258"/>
      <c r="P82" s="267"/>
      <c r="Q82" s="1335">
        <f>Battery_Materials!Q$51*(Battery_Materials!Q$41*Battery_Materials!I$21*GREET1_Import_Export!$K77+GREET1_Import_Export!$B206*GREET1_Import_Export!$F$179+GREET1_Import_Export!$F206)+Battery_Materials!Q$52*(Battery_Materials!Q$41*(Battery_Materials!I$23*GREET1_Import_Export!$Q77+Battery_Materials!I$24*GREET1_Import_Export!$O77+Battery_Materials!I$25*GREET1_Import_Export!$M77)+GREET1_Import_Export!$B206*GREET1_Import_Export!$G$179+GREET1_Import_Export!$G206)+Battery_Materials!Q$53*(Battery_Materials!Q$41*Battery_Materials!I$26*GREET1_Import_Export!$T77+GREET1_Import_Export!$B206*GREET1_Import_Export!$C$179+GREET1_Import_Export!$C206)+Battery_Materials!Q$54*(Battery_Materials!Q$41*Battery_Materials!I$27*GREET1_Import_Export!$W77+GREET1_Import_Export!$E242*GREET1_Import_Export!$F$215+GREET1_Import_Export!$F242)+Battery_Materials!Q$55*(Battery_Materials!Q$41*(Battery_Materials!I$28*GREET1_Import_Export!$B77+Battery_Materials!I$29*GREET1_Import_Export!$C77+Battery_Materials!I$30*GREET1_Import_Export!$G77+Battery_Materials!I$32*'GREET2_Factors_T&amp;D'!$F20+Battery_Materials!I$33*'GREET2_Factors_T&amp;D'!$G20)+GREET1_Import_Export!$B242)+Battery_Materials!Q$56*(Battery_Materials!Q$41*(Battery_Materials!I$34*GREET1_Import_Export!$AA77+Battery_Materials!I$35*GREET1_Import_Export!$AB77)+GREET1_Import_Export!$C295)+Battery_Materials!Q$57*($B$17*(GREET1_Import_Export!$D320+GREET1_Import_Export!$E320)+$C$17*GREET1_Import_Export!L368+$D$17*GREET1_Import_Export!H368+$E$17*GREET1_Import_Export!Q368+$F$17*GREET1_Import_Export!R368+SUMPRODUCT($G$17:$I$17,GREET1_Import_Export!N368:P368))</f>
        <v>2302.122471166404</v>
      </c>
      <c r="R82" s="258"/>
      <c r="S82" s="267"/>
      <c r="T82" s="273">
        <f>Battery_Materials!T$51*(Battery_Materials!T$41*Battery_Materials!J$21*GREET1_Import_Export!$K77+GREET1_Import_Export!$B206*GREET1_Import_Export!$F$179+GREET1_Import_Export!$F206)+Battery_Materials!T$52*(Battery_Materials!T$41*(Battery_Materials!J$23*GREET1_Import_Export!$Q77+Battery_Materials!J$24*GREET1_Import_Export!$O77+Battery_Materials!J$25*GREET1_Import_Export!$M77)+GREET1_Import_Export!$B206*GREET1_Import_Export!$G$179+GREET1_Import_Export!$G206)+Battery_Materials!T$53*(Battery_Materials!T$41*Battery_Materials!J$26*GREET1_Import_Export!$T77+GREET1_Import_Export!$B206*GREET1_Import_Export!$C$179+GREET1_Import_Export!$C206)+Battery_Materials!T$54*(Battery_Materials!T$41*Battery_Materials!J$27*GREET1_Import_Export!$W77+GREET1_Import_Export!$E242*GREET1_Import_Export!$F$215+GREET1_Import_Export!$F242)+Battery_Materials!T$55*(Battery_Materials!T$41*(Battery_Materials!J$28*GREET1_Import_Export!$B77+Battery_Materials!J$29*GREET1_Import_Export!$C77+Battery_Materials!J$30*GREET1_Import_Export!$G77+Battery_Materials!J$32*'GREET2_Factors_T&amp;D'!$F20+Battery_Materials!J$33*'GREET2_Factors_T&amp;D'!$G20)+GREET1_Import_Export!$B242)+Battery_Materials!T$56*(Battery_Materials!T$41*(Battery_Materials!J$34*GREET1_Import_Export!$AA77+Battery_Materials!J$35*GREET1_Import_Export!$AB77)+GREET1_Import_Export!$C295)+Battery_Materials!T$57*SUM(GREET1_Import_Export!$D320:$E320)</f>
        <v>0.10293571192807587</v>
      </c>
      <c r="U82" s="258"/>
      <c r="V82" s="267"/>
      <c r="W82" s="273">
        <f>Battery_Materials!W$51*(Battery_Materials!W$41*Battery_Materials!K$21*GREET1_Import_Export!$K77+GREET1_Import_Export!$B206*GREET1_Import_Export!$F$179+GREET1_Import_Export!$F206)+Battery_Materials!W$52*(Battery_Materials!W$41*(Battery_Materials!K$23*GREET1_Import_Export!$Q77+Battery_Materials!K$24*GREET1_Import_Export!$O77+Battery_Materials!K$25*GREET1_Import_Export!$M77)+GREET1_Import_Export!$B206*GREET1_Import_Export!$G$179+GREET1_Import_Export!$G206)+Battery_Materials!W$53*(Battery_Materials!W$41*Battery_Materials!K$26*GREET1_Import_Export!$T77+GREET1_Import_Export!$B206*GREET1_Import_Export!$C$179+GREET1_Import_Export!$C206)+Battery_Materials!W$54*(Battery_Materials!W$41*Battery_Materials!K$27*GREET1_Import_Export!$W77+GREET1_Import_Export!$E242*GREET1_Import_Export!$F$215+GREET1_Import_Export!$F242)+Battery_Materials!W$55*(Battery_Materials!W$41*(Battery_Materials!K$28*GREET1_Import_Export!$B77+Battery_Materials!K$29*GREET1_Import_Export!$C77+Battery_Materials!K$30*GREET1_Import_Export!$G77+Battery_Materials!K$32*'GREET2_Factors_T&amp;D'!$F20+Battery_Materials!K$33*'GREET2_Factors_T&amp;D'!$G20)+GREET1_Import_Export!$B242)+Battery_Materials!W$56*(Battery_Materials!W$41*(Battery_Materials!K$34*GREET1_Import_Export!$AA77+Battery_Materials!K$35*GREET1_Import_Export!$AB77)+GREET1_Import_Export!$C295)+Battery_Materials!W$57*SUM(GREET1_Import_Export!$D320:$E320)</f>
        <v>2.50161192567922</v>
      </c>
      <c r="X82" s="258"/>
      <c r="Y82" s="267"/>
    </row>
    <row r="83" spans="1:25" s="7" customFormat="1">
      <c r="A83" s="291" t="s">
        <v>827</v>
      </c>
      <c r="B83" s="273">
        <f>Battery_Materials!B$51*(Battery_Materials!B$41*Battery_Materials!B$21*GREET1_Import_Export!$K78+GREET1_Import_Export!$B207*GREET1_Import_Export!$F$179+GREET1_Import_Export!$F207)+Battery_Materials!B$52*(Battery_Materials!B$41*(Battery_Materials!B$23*GREET1_Import_Export!$Q78+Battery_Materials!B$24*GREET1_Import_Export!$O78+Battery_Materials!B$25*GREET1_Import_Export!$M78)+GREET1_Import_Export!$B207*GREET1_Import_Export!$G$179+GREET1_Import_Export!$G207)+Battery_Materials!B$53*(Battery_Materials!B$41*Battery_Materials!B$26*GREET1_Import_Export!$T78+GREET1_Import_Export!$B207*GREET1_Import_Export!$C$179+GREET1_Import_Export!$C207)+Battery_Materials!B$54*(Battery_Materials!B$41*Battery_Materials!B$27*GREET1_Import_Export!$W78+GREET1_Import_Export!$E243*GREET1_Import_Export!$F$215+GREET1_Import_Export!$F243)+Battery_Materials!B$55*(Battery_Materials!B$41*(Battery_Materials!B$28*GREET1_Import_Export!$B78+Battery_Materials!B$29*GREET1_Import_Export!$C78+Battery_Materials!B$30*GREET1_Import_Export!$G78+Battery_Materials!B$32*'GREET2_Factors_T&amp;D'!$F21+Battery_Materials!B$33*'GREET2_Factors_T&amp;D'!$G21)+GREET1_Import_Export!$B243)+Battery_Materials!B$56*(Battery_Materials!B$41*(Battery_Materials!B$34*GREET1_Import_Export!$AA78+Battery_Materials!B$35*GREET1_Import_Export!$AB78)+GREET1_Import_Export!$C296)+Battery_Materials!B$57*SUM(GREET1_Import_Export!$D321:$E321)</f>
        <v>1.0032917988728334</v>
      </c>
      <c r="C83" s="258"/>
      <c r="D83" s="267"/>
      <c r="E83" s="273">
        <f>Battery_Materials!E$51*(Battery_Materials!E$41*Battery_Materials!C$21*GREET1_Import_Export!$K78+GREET1_Import_Export!$B207*GREET1_Import_Export!$F$179+GREET1_Import_Export!$F207)+Battery_Materials!E$52*(Battery_Materials!E$41*(Battery_Materials!C$23*GREET1_Import_Export!$Q78+Battery_Materials!C$24*GREET1_Import_Export!$O78+Battery_Materials!C$25*GREET1_Import_Export!$M78)+GREET1_Import_Export!$B207*GREET1_Import_Export!$G$179+GREET1_Import_Export!$G207)+Battery_Materials!E$53*(Battery_Materials!E$41*Battery_Materials!C$26*GREET1_Import_Export!$T78+GREET1_Import_Export!$B207*GREET1_Import_Export!$C$179+GREET1_Import_Export!$C207)+Battery_Materials!E$54*(Battery_Materials!E$41*Battery_Materials!C$27*GREET1_Import_Export!$W78+GREET1_Import_Export!$E243*GREET1_Import_Export!$F$215+GREET1_Import_Export!$F243)+Battery_Materials!E$55*(Battery_Materials!E$41*(Battery_Materials!C$28*GREET1_Import_Export!$B78+Battery_Materials!C$29*GREET1_Import_Export!$C78+Battery_Materials!C$30*GREET1_Import_Export!$G78+Battery_Materials!C$32*'GREET2_Factors_T&amp;D'!$F21+Battery_Materials!C$33*'GREET2_Factors_T&amp;D'!$G21)+GREET1_Import_Export!$B243)+Battery_Materials!E$56*(Battery_Materials!E$41*(Battery_Materials!C$34*GREET1_Import_Export!$AA78+Battery_Materials!C$35*GREET1_Import_Export!$AB78)+GREET1_Import_Export!$C296)+Battery_Materials!E$57*SUM(GREET1_Import_Export!$D321:$E321)</f>
        <v>8.3874021236919063</v>
      </c>
      <c r="F83" s="258"/>
      <c r="G83" s="267"/>
      <c r="H83" s="273">
        <f>Battery_Materials!H$51*(Battery_Materials!H$41*Battery_Materials!F$21*GREET1_Import_Export!$K78+GREET1_Import_Export!$B207*GREET1_Import_Export!$F$179+GREET1_Import_Export!$F207)+Battery_Materials!H$52*(Battery_Materials!H$41*(Battery_Materials!F$23*GREET1_Import_Export!$Q78+Battery_Materials!F$24*GREET1_Import_Export!$O78+Battery_Materials!F$25*GREET1_Import_Export!$M78)+GREET1_Import_Export!$B207*GREET1_Import_Export!$G$179+GREET1_Import_Export!$G207)+Battery_Materials!H$53*(Battery_Materials!H$41*Battery_Materials!F$26*GREET1_Import_Export!$T78+GREET1_Import_Export!$B207*GREET1_Import_Export!$C$179+GREET1_Import_Export!$C207)+Battery_Materials!H$54*(Battery_Materials!H$41*Battery_Materials!F$27*GREET1_Import_Export!$W78+GREET1_Import_Export!$E243*GREET1_Import_Export!$F$215+GREET1_Import_Export!$F243)+Battery_Materials!H$55*(Battery_Materials!H$41*(Battery_Materials!F$28*GREET1_Import_Export!$B78+Battery_Materials!F$29*GREET1_Import_Export!$C78+Battery_Materials!F$30*GREET1_Import_Export!$G78+Battery_Materials!F$32*'GREET2_Factors_T&amp;D'!$F21+Battery_Materials!F$33*'GREET2_Factors_T&amp;D'!$G21)+GREET1_Import_Export!$B243)+Battery_Materials!H$56*(Battery_Materials!H$41*(Battery_Materials!F$34*GREET1_Import_Export!$AA78+Battery_Materials!F$35*GREET1_Import_Export!$AB78)+GREET1_Import_Export!$C296)+Battery_Materials!H$57*SUM(GREET1_Import_Export!$D321:$E321)</f>
        <v>4.6098431931280255E-3</v>
      </c>
      <c r="I83" s="258"/>
      <c r="J83" s="267"/>
      <c r="K83" s="273">
        <f>Battery_Materials!K$51*(Battery_Materials!K$41*Battery_Materials!G$21*GREET1_Import_Export!$K78+GREET1_Import_Export!$B207*GREET1_Import_Export!$F$179+GREET1_Import_Export!$F207)+Battery_Materials!K$52*(Battery_Materials!K$41*(Battery_Materials!G$23*GREET1_Import_Export!$Q78+Battery_Materials!G$24*GREET1_Import_Export!$O78+Battery_Materials!G$25*GREET1_Import_Export!$M78)+GREET1_Import_Export!$B207*GREET1_Import_Export!$G$179+GREET1_Import_Export!$G207)+Battery_Materials!K$53*(Battery_Materials!K$41*Battery_Materials!G$26*GREET1_Import_Export!$T78+GREET1_Import_Export!$B207*GREET1_Import_Export!$C$179+GREET1_Import_Export!$C207)+Battery_Materials!K$54*(Battery_Materials!K$41*Battery_Materials!G$27*GREET1_Import_Export!$W78+GREET1_Import_Export!$E243*GREET1_Import_Export!$F$215+GREET1_Import_Export!$F243)+Battery_Materials!K$55*(Battery_Materials!K$41*(Battery_Materials!G$28*GREET1_Import_Export!$B78+Battery_Materials!G$29*GREET1_Import_Export!$C78+Battery_Materials!G$30*GREET1_Import_Export!$G78+Battery_Materials!G$32*'GREET2_Factors_T&amp;D'!$F21+Battery_Materials!G$33*'GREET2_Factors_T&amp;D'!$G21)+GREET1_Import_Export!$B243)+Battery_Materials!K$56*(Battery_Materials!K$41*(Battery_Materials!G$34*GREET1_Import_Export!$AA78+Battery_Materials!G$35*GREET1_Import_Export!$AB78)+GREET1_Import_Export!$C296)+Battery_Materials!K$57*SUM(GREET1_Import_Export!$D321:$E321)</f>
        <v>1.2884401170105229E-2</v>
      </c>
      <c r="L83" s="258"/>
      <c r="M83" s="267"/>
      <c r="N83" s="273">
        <f>Battery_Materials!N$51*(Battery_Materials!N$41*Battery_Materials!H$21*GREET1_Import_Export!$K78+GREET1_Import_Export!$B207*GREET1_Import_Export!$F$179+GREET1_Import_Export!$F207)+Battery_Materials!N$52*(Battery_Materials!N$41*(Battery_Materials!H$23*GREET1_Import_Export!$Q78+Battery_Materials!H$24*GREET1_Import_Export!$O78+Battery_Materials!H$25*GREET1_Import_Export!$M78)+GREET1_Import_Export!$B207*GREET1_Import_Export!$G$179+GREET1_Import_Export!$G207)+Battery_Materials!N$53*(Battery_Materials!N$41*Battery_Materials!H$26*GREET1_Import_Export!$T78+GREET1_Import_Export!$B207*GREET1_Import_Export!$C$179+GREET1_Import_Export!$C207)+Battery_Materials!N$54*(Battery_Materials!N$41*Battery_Materials!H$27*GREET1_Import_Export!$W78+GREET1_Import_Export!$E243*GREET1_Import_Export!$F$215+GREET1_Import_Export!$F243)+Battery_Materials!N$55*(Battery_Materials!N$41*(Battery_Materials!H$28*GREET1_Import_Export!$B78+Battery_Materials!H$29*GREET1_Import_Export!$C78+Battery_Materials!H$30*GREET1_Import_Export!$G78+Battery_Materials!H$32*'GREET2_Factors_T&amp;D'!$F21+Battery_Materials!H$33*'GREET2_Factors_T&amp;D'!$G21)+GREET1_Import_Export!$B243)+Battery_Materials!N$56*(Battery_Materials!N$41*(Battery_Materials!H$34*GREET1_Import_Export!$AA78+Battery_Materials!H$35*GREET1_Import_Export!$AB78)+GREET1_Import_Export!$C296)+Battery_Materials!N$57*SUM(GREET1_Import_Export!$D321:$E321)</f>
        <v>0.12120346819618992</v>
      </c>
      <c r="O83" s="258"/>
      <c r="P83" s="267"/>
      <c r="Q83" s="1335">
        <f>Battery_Materials!Q$51*(Battery_Materials!Q$41*Battery_Materials!I$21*GREET1_Import_Export!$K78+GREET1_Import_Export!$B207*GREET1_Import_Export!$F$179+GREET1_Import_Export!$F207)+Battery_Materials!Q$52*(Battery_Materials!Q$41*(Battery_Materials!I$23*GREET1_Import_Export!$Q78+Battery_Materials!I$24*GREET1_Import_Export!$O78+Battery_Materials!I$25*GREET1_Import_Export!$M78)+GREET1_Import_Export!$B207*GREET1_Import_Export!$G$179+GREET1_Import_Export!$G207)+Battery_Materials!Q$53*(Battery_Materials!Q$41*Battery_Materials!I$26*GREET1_Import_Export!$T78+GREET1_Import_Export!$B207*GREET1_Import_Export!$C$179+GREET1_Import_Export!$C207)+Battery_Materials!Q$54*(Battery_Materials!Q$41*Battery_Materials!I$27*GREET1_Import_Export!$W78+GREET1_Import_Export!$E243*GREET1_Import_Export!$F$215+GREET1_Import_Export!$F243)+Battery_Materials!Q$55*(Battery_Materials!Q$41*(Battery_Materials!I$28*GREET1_Import_Export!$B78+Battery_Materials!I$29*GREET1_Import_Export!$C78+Battery_Materials!I$30*GREET1_Import_Export!$G78+Battery_Materials!I$32*'GREET2_Factors_T&amp;D'!$F21+Battery_Materials!I$33*'GREET2_Factors_T&amp;D'!$G21)+GREET1_Import_Export!$B243)+Battery_Materials!Q$56*(Battery_Materials!Q$41*(Battery_Materials!I$34*GREET1_Import_Export!$AA78+Battery_Materials!I$35*GREET1_Import_Export!$AB78)+GREET1_Import_Export!$C296)+Battery_Materials!Q$57*($B$17*(GREET1_Import_Export!$D321+GREET1_Import_Export!$E321)+$C$17*GREET1_Import_Export!L369+$D$17*GREET1_Import_Export!H369+$E$17*GREET1_Import_Export!Q369+$F$17*GREET1_Import_Export!R369+SUMPRODUCT($G$17:$I$17,GREET1_Import_Export!N369:P369))</f>
        <v>14.132677876167833</v>
      </c>
      <c r="R83" s="258"/>
      <c r="S83" s="267"/>
      <c r="T83" s="273">
        <f>Battery_Materials!T$51*(Battery_Materials!T$41*Battery_Materials!J$21*GREET1_Import_Export!$K78+GREET1_Import_Export!$B207*GREET1_Import_Export!$F$179+GREET1_Import_Export!$F207)+Battery_Materials!T$52*(Battery_Materials!T$41*(Battery_Materials!J$23*GREET1_Import_Export!$Q78+Battery_Materials!J$24*GREET1_Import_Export!$O78+Battery_Materials!J$25*GREET1_Import_Export!$M78)+GREET1_Import_Export!$B207*GREET1_Import_Export!$G$179+GREET1_Import_Export!$G207)+Battery_Materials!T$53*(Battery_Materials!T$41*Battery_Materials!J$26*GREET1_Import_Export!$T78+GREET1_Import_Export!$B207*GREET1_Import_Export!$C$179+GREET1_Import_Export!$C207)+Battery_Materials!T$54*(Battery_Materials!T$41*Battery_Materials!J$27*GREET1_Import_Export!$W78+GREET1_Import_Export!$E243*GREET1_Import_Export!$F$215+GREET1_Import_Export!$F243)+Battery_Materials!T$55*(Battery_Materials!T$41*(Battery_Materials!J$28*GREET1_Import_Export!$B78+Battery_Materials!J$29*GREET1_Import_Export!$C78+Battery_Materials!J$30*GREET1_Import_Export!$G78+Battery_Materials!J$32*'GREET2_Factors_T&amp;D'!$F21+Battery_Materials!J$33*'GREET2_Factors_T&amp;D'!$G21)+GREET1_Import_Export!$B243)+Battery_Materials!T$56*(Battery_Materials!T$41*(Battery_Materials!J$34*GREET1_Import_Export!$AA78+Battery_Materials!J$35*GREET1_Import_Export!$AB78)+GREET1_Import_Export!$C296)+Battery_Materials!T$57*SUM(GREET1_Import_Export!$D321:$E321)</f>
        <v>1.5778417055422758E-3</v>
      </c>
      <c r="U83" s="258"/>
      <c r="V83" s="267"/>
      <c r="W83" s="273">
        <f>Battery_Materials!W$51*(Battery_Materials!W$41*Battery_Materials!K$21*GREET1_Import_Export!$K78+GREET1_Import_Export!$B207*GREET1_Import_Export!$F$179+GREET1_Import_Export!$F207)+Battery_Materials!W$52*(Battery_Materials!W$41*(Battery_Materials!K$23*GREET1_Import_Export!$Q78+Battery_Materials!K$24*GREET1_Import_Export!$O78+Battery_Materials!K$25*GREET1_Import_Export!$M78)+GREET1_Import_Export!$B207*GREET1_Import_Export!$G$179+GREET1_Import_Export!$G207)+Battery_Materials!W$53*(Battery_Materials!W$41*Battery_Materials!K$26*GREET1_Import_Export!$T78+GREET1_Import_Export!$B207*GREET1_Import_Export!$C$179+GREET1_Import_Export!$C207)+Battery_Materials!W$54*(Battery_Materials!W$41*Battery_Materials!K$27*GREET1_Import_Export!$W78+GREET1_Import_Export!$E243*GREET1_Import_Export!$F$215+GREET1_Import_Export!$F243)+Battery_Materials!W$55*(Battery_Materials!W$41*(Battery_Materials!K$28*GREET1_Import_Export!$B78+Battery_Materials!K$29*GREET1_Import_Export!$C78+Battery_Materials!K$30*GREET1_Import_Export!$G78+Battery_Materials!K$32*'GREET2_Factors_T&amp;D'!$F21+Battery_Materials!K$33*'GREET2_Factors_T&amp;D'!$G21)+GREET1_Import_Export!$B243)+Battery_Materials!W$56*(Battery_Materials!W$41*(Battery_Materials!K$34*GREET1_Import_Export!$AA78+Battery_Materials!K$35*GREET1_Import_Export!$AB78)+GREET1_Import_Export!$C296)+Battery_Materials!W$57*SUM(GREET1_Import_Export!$D321:$E321)</f>
        <v>2.61021392374697E-2</v>
      </c>
      <c r="X83" s="258"/>
      <c r="Y83" s="267"/>
    </row>
    <row r="84" spans="1:25" s="7" customFormat="1">
      <c r="A84" s="292" t="s">
        <v>828</v>
      </c>
      <c r="B84" s="286">
        <f>Battery_Materials!B$51*(Battery_Materials!B$41*Battery_Materials!B$21*GREET1_Import_Export!$K79+GREET1_Import_Export!$B208*GREET1_Import_Export!$F$179+GREET1_Import_Export!$F208)+Battery_Materials!B$52*(Battery_Materials!B$41*(Battery_Materials!B$23*GREET1_Import_Export!$Q79+Battery_Materials!B$24*GREET1_Import_Export!$O79+Battery_Materials!B$25*GREET1_Import_Export!$M79)+GREET1_Import_Export!$B208*GREET1_Import_Export!$G$179+GREET1_Import_Export!$G208)+Battery_Materials!B$53*(Battery_Materials!B$41*Battery_Materials!B$26*GREET1_Import_Export!$T79+GREET1_Import_Export!$B208*GREET1_Import_Export!$C$179+GREET1_Import_Export!$C208)+Battery_Materials!B$54*(Battery_Materials!B$41*Battery_Materials!B$27*GREET1_Import_Export!$W79+GREET1_Import_Export!$E244*GREET1_Import_Export!$F$215+GREET1_Import_Export!$F244)+Battery_Materials!B$55*(Battery_Materials!B$41*(Battery_Materials!B$28*GREET1_Import_Export!$B79+Battery_Materials!B$29*GREET1_Import_Export!$C79+Battery_Materials!B$30*GREET1_Import_Export!$G79+Battery_Materials!B$32*'GREET2_Factors_T&amp;D'!$F22+Battery_Materials!B$33*'GREET2_Factors_T&amp;D'!$G22)+GREET1_Import_Export!$B244)+Battery_Materials!B$56*(Battery_Materials!B$41*(Battery_Materials!B$34*GREET1_Import_Export!$AA79+Battery_Materials!B$35*GREET1_Import_Export!$AB79)+GREET1_Import_Export!$C297)+Battery_Materials!B$57*SUM(GREET1_Import_Export!$D322:$E322)</f>
        <v>5.3438697526035615</v>
      </c>
      <c r="C84" s="287"/>
      <c r="D84" s="268"/>
      <c r="E84" s="286">
        <f>Battery_Materials!E$51*(Battery_Materials!E$41*Battery_Materials!C$21*GREET1_Import_Export!$K79+GREET1_Import_Export!$B208*GREET1_Import_Export!$F$179+GREET1_Import_Export!$F208)+Battery_Materials!E$52*(Battery_Materials!E$41*(Battery_Materials!C$23*GREET1_Import_Export!$Q79+Battery_Materials!C$24*GREET1_Import_Export!$O79+Battery_Materials!C$25*GREET1_Import_Export!$M79)+GREET1_Import_Export!$B208*GREET1_Import_Export!$G$179+GREET1_Import_Export!$G208)+Battery_Materials!E$53*(Battery_Materials!E$41*Battery_Materials!C$26*GREET1_Import_Export!$T79+GREET1_Import_Export!$B208*GREET1_Import_Export!$C$179+GREET1_Import_Export!$C208)+Battery_Materials!E$54*(Battery_Materials!E$41*Battery_Materials!C$27*GREET1_Import_Export!$W79+GREET1_Import_Export!$E244*GREET1_Import_Export!$F$215+GREET1_Import_Export!$F244)+Battery_Materials!E$55*(Battery_Materials!E$41*(Battery_Materials!C$28*GREET1_Import_Export!$B79+Battery_Materials!C$29*GREET1_Import_Export!$C79+Battery_Materials!C$30*GREET1_Import_Export!$G79+Battery_Materials!C$32*'GREET2_Factors_T&amp;D'!$F22+Battery_Materials!C$33*'GREET2_Factors_T&amp;D'!$G22)+GREET1_Import_Export!$B244)+Battery_Materials!E$56*(Battery_Materials!E$41*(Battery_Materials!C$34*GREET1_Import_Export!$AA79+Battery_Materials!C$35*GREET1_Import_Export!$AB79)+GREET1_Import_Export!$C297)+Battery_Materials!E$57*SUM(GREET1_Import_Export!$D322:$E322)</f>
        <v>46.490493634776719</v>
      </c>
      <c r="F84" s="287"/>
      <c r="G84" s="268"/>
      <c r="H84" s="286">
        <f>Battery_Materials!H$51*(Battery_Materials!H$41*Battery_Materials!F$21*GREET1_Import_Export!$K79+GREET1_Import_Export!$B208*GREET1_Import_Export!$F$179+GREET1_Import_Export!$F208)+Battery_Materials!H$52*(Battery_Materials!H$41*(Battery_Materials!F$23*GREET1_Import_Export!$Q79+Battery_Materials!F$24*GREET1_Import_Export!$O79+Battery_Materials!F$25*GREET1_Import_Export!$M79)+GREET1_Import_Export!$B208*GREET1_Import_Export!$G$179+GREET1_Import_Export!$G208)+Battery_Materials!H$53*(Battery_Materials!H$41*Battery_Materials!F$26*GREET1_Import_Export!$T79+GREET1_Import_Export!$B208*GREET1_Import_Export!$C$179+GREET1_Import_Export!$C208)+Battery_Materials!H$54*(Battery_Materials!H$41*Battery_Materials!F$27*GREET1_Import_Export!$W79+GREET1_Import_Export!$E244*GREET1_Import_Export!$F$215+GREET1_Import_Export!$F244)+Battery_Materials!H$55*(Battery_Materials!H$41*(Battery_Materials!F$28*GREET1_Import_Export!$B79+Battery_Materials!F$29*GREET1_Import_Export!$C79+Battery_Materials!F$30*GREET1_Import_Export!$G79+Battery_Materials!F$32*'GREET2_Factors_T&amp;D'!$F22+Battery_Materials!F$33*'GREET2_Factors_T&amp;D'!$G22)+GREET1_Import_Export!$B244)+Battery_Materials!H$56*(Battery_Materials!H$41*(Battery_Materials!F$34*GREET1_Import_Export!$AA79+Battery_Materials!F$35*GREET1_Import_Export!$AB79)+GREET1_Import_Export!$C297)+Battery_Materials!H$57*SUM(GREET1_Import_Export!$D322:$E322)</f>
        <v>2.3856147088650907E-2</v>
      </c>
      <c r="I84" s="287"/>
      <c r="J84" s="268"/>
      <c r="K84" s="286">
        <f>Battery_Materials!K$51*(Battery_Materials!K$41*Battery_Materials!G$21*GREET1_Import_Export!$K79+GREET1_Import_Export!$B208*GREET1_Import_Export!$F$179+GREET1_Import_Export!$F208)+Battery_Materials!K$52*(Battery_Materials!K$41*(Battery_Materials!G$23*GREET1_Import_Export!$Q79+Battery_Materials!G$24*GREET1_Import_Export!$O79+Battery_Materials!G$25*GREET1_Import_Export!$M79)+GREET1_Import_Export!$B208*GREET1_Import_Export!$G$179+GREET1_Import_Export!$G208)+Battery_Materials!K$53*(Battery_Materials!K$41*Battery_Materials!G$26*GREET1_Import_Export!$T79+GREET1_Import_Export!$B208*GREET1_Import_Export!$C$179+GREET1_Import_Export!$C208)+Battery_Materials!K$54*(Battery_Materials!K$41*Battery_Materials!G$27*GREET1_Import_Export!$W79+GREET1_Import_Export!$E244*GREET1_Import_Export!$F$215+GREET1_Import_Export!$F244)+Battery_Materials!K$55*(Battery_Materials!K$41*(Battery_Materials!G$28*GREET1_Import_Export!$B79+Battery_Materials!G$29*GREET1_Import_Export!$C79+Battery_Materials!G$30*GREET1_Import_Export!$G79+Battery_Materials!G$32*'GREET2_Factors_T&amp;D'!$F22+Battery_Materials!G$33*'GREET2_Factors_T&amp;D'!$G22)+GREET1_Import_Export!$B244)+Battery_Materials!K$56*(Battery_Materials!K$41*(Battery_Materials!G$34*GREET1_Import_Export!$AA79+Battery_Materials!G$35*GREET1_Import_Export!$AB79)+GREET1_Import_Export!$C297)+Battery_Materials!K$57*SUM(GREET1_Import_Export!$D322:$E322)</f>
        <v>6.149522263022443E-2</v>
      </c>
      <c r="L84" s="287"/>
      <c r="M84" s="268"/>
      <c r="N84" s="286">
        <f>Battery_Materials!N$51*(Battery_Materials!N$41*Battery_Materials!H$21*GREET1_Import_Export!$K79+GREET1_Import_Export!$B208*GREET1_Import_Export!$F$179+GREET1_Import_Export!$F208)+Battery_Materials!N$52*(Battery_Materials!N$41*(Battery_Materials!H$23*GREET1_Import_Export!$Q79+Battery_Materials!H$24*GREET1_Import_Export!$O79+Battery_Materials!H$25*GREET1_Import_Export!$M79)+GREET1_Import_Export!$B208*GREET1_Import_Export!$G$179+GREET1_Import_Export!$G208)+Battery_Materials!N$53*(Battery_Materials!N$41*Battery_Materials!H$26*GREET1_Import_Export!$T79+GREET1_Import_Export!$B208*GREET1_Import_Export!$C$179+GREET1_Import_Export!$C208)+Battery_Materials!N$54*(Battery_Materials!N$41*Battery_Materials!H$27*GREET1_Import_Export!$W79+GREET1_Import_Export!$E244*GREET1_Import_Export!$F$215+GREET1_Import_Export!$F244)+Battery_Materials!N$55*(Battery_Materials!N$41*(Battery_Materials!H$28*GREET1_Import_Export!$B79+Battery_Materials!H$29*GREET1_Import_Export!$C79+Battery_Materials!H$30*GREET1_Import_Export!$G79+Battery_Materials!H$32*'GREET2_Factors_T&amp;D'!$F22+Battery_Materials!H$33*'GREET2_Factors_T&amp;D'!$G22)+GREET1_Import_Export!$B244)+Battery_Materials!N$56*(Battery_Materials!N$41*(Battery_Materials!H$34*GREET1_Import_Export!$AA79+Battery_Materials!H$35*GREET1_Import_Export!$AB79)+GREET1_Import_Export!$C297)+Battery_Materials!N$57*SUM(GREET1_Import_Export!$D322:$E322)</f>
        <v>0.65899164066218896</v>
      </c>
      <c r="O84" s="287"/>
      <c r="P84" s="268"/>
      <c r="Q84" s="1336">
        <f>Battery_Materials!Q$51*(Battery_Materials!Q$41*Battery_Materials!I$21*GREET1_Import_Export!$K79+GREET1_Import_Export!$B208*GREET1_Import_Export!$F$179+GREET1_Import_Export!$F208)+Battery_Materials!Q$52*(Battery_Materials!Q$41*(Battery_Materials!I$23*GREET1_Import_Export!$Q79+Battery_Materials!I$24*GREET1_Import_Export!$O79+Battery_Materials!I$25*GREET1_Import_Export!$M79)+GREET1_Import_Export!$B208*GREET1_Import_Export!$G$179+GREET1_Import_Export!$G208)+Battery_Materials!Q$53*(Battery_Materials!Q$41*Battery_Materials!I$26*GREET1_Import_Export!$T79+GREET1_Import_Export!$B208*GREET1_Import_Export!$C$179+GREET1_Import_Export!$C208)+Battery_Materials!Q$54*(Battery_Materials!Q$41*Battery_Materials!I$27*GREET1_Import_Export!$W79+GREET1_Import_Export!$E244*GREET1_Import_Export!$F$215+GREET1_Import_Export!$F244)+Battery_Materials!Q$55*(Battery_Materials!Q$41*(Battery_Materials!I$28*GREET1_Import_Export!$B79+Battery_Materials!I$29*GREET1_Import_Export!$C79+Battery_Materials!I$30*GREET1_Import_Export!$G79+Battery_Materials!I$32*'GREET2_Factors_T&amp;D'!$F22+Battery_Materials!I$33*'GREET2_Factors_T&amp;D'!$G22)+GREET1_Import_Export!$B244)+Battery_Materials!Q$56*(Battery_Materials!Q$41*(Battery_Materials!I$34*GREET1_Import_Export!$AA79+Battery_Materials!I$35*GREET1_Import_Export!$AB79)+GREET1_Import_Export!$C297)+Battery_Materials!Q$57*($B$17*(GREET1_Import_Export!$D322+GREET1_Import_Export!$E322)+$C$17*GREET1_Import_Export!L370+$D$17*GREET1_Import_Export!H370+$E$17*GREET1_Import_Export!Q370+$F$17*GREET1_Import_Export!R370+SUMPRODUCT($G$17:$I$17,GREET1_Import_Export!N370:P370))</f>
        <v>77.769175939593822</v>
      </c>
      <c r="R84" s="287"/>
      <c r="S84" s="268"/>
      <c r="T84" s="286">
        <f>Battery_Materials!T$51*(Battery_Materials!T$41*Battery_Materials!J$21*GREET1_Import_Export!$K79+GREET1_Import_Export!$B208*GREET1_Import_Export!$F$179+GREET1_Import_Export!$F208)+Battery_Materials!T$52*(Battery_Materials!T$41*(Battery_Materials!J$23*GREET1_Import_Export!$Q79+Battery_Materials!J$24*GREET1_Import_Export!$O79+Battery_Materials!J$25*GREET1_Import_Export!$M79)+GREET1_Import_Export!$B208*GREET1_Import_Export!$G$179+GREET1_Import_Export!$G208)+Battery_Materials!T$53*(Battery_Materials!T$41*Battery_Materials!J$26*GREET1_Import_Export!$T79+GREET1_Import_Export!$B208*GREET1_Import_Export!$C$179+GREET1_Import_Export!$C208)+Battery_Materials!T$54*(Battery_Materials!T$41*Battery_Materials!J$27*GREET1_Import_Export!$W79+GREET1_Import_Export!$E244*GREET1_Import_Export!$F$215+GREET1_Import_Export!$F244)+Battery_Materials!T$55*(Battery_Materials!T$41*(Battery_Materials!J$28*GREET1_Import_Export!$B79+Battery_Materials!J$29*GREET1_Import_Export!$C79+Battery_Materials!J$30*GREET1_Import_Export!$G79+Battery_Materials!J$32*'GREET2_Factors_T&amp;D'!$F22+Battery_Materials!J$33*'GREET2_Factors_T&amp;D'!$G22)+GREET1_Import_Export!$B244)+Battery_Materials!T$56*(Battery_Materials!T$41*(Battery_Materials!J$34*GREET1_Import_Export!$AA79+Battery_Materials!J$35*GREET1_Import_Export!$AB79)+GREET1_Import_Export!$C297)+Battery_Materials!T$57*SUM(GREET1_Import_Export!$D322:$E322)</f>
        <v>3.2447626985569731E-3</v>
      </c>
      <c r="U84" s="287"/>
      <c r="V84" s="268"/>
      <c r="W84" s="286">
        <f>Battery_Materials!W$51*(Battery_Materials!W$41*Battery_Materials!K$21*GREET1_Import_Export!$K79+GREET1_Import_Export!$B208*GREET1_Import_Export!$F$179+GREET1_Import_Export!$F208)+Battery_Materials!W$52*(Battery_Materials!W$41*(Battery_Materials!K$23*GREET1_Import_Export!$Q79+Battery_Materials!K$24*GREET1_Import_Export!$O79+Battery_Materials!K$25*GREET1_Import_Export!$M79)+GREET1_Import_Export!$B208*GREET1_Import_Export!$G$179+GREET1_Import_Export!$G208)+Battery_Materials!W$53*(Battery_Materials!W$41*Battery_Materials!K$26*GREET1_Import_Export!$T79+GREET1_Import_Export!$B208*GREET1_Import_Export!$C$179+GREET1_Import_Export!$C208)+Battery_Materials!W$54*(Battery_Materials!W$41*Battery_Materials!K$27*GREET1_Import_Export!$W79+GREET1_Import_Export!$E244*GREET1_Import_Export!$F$215+GREET1_Import_Export!$F244)+Battery_Materials!W$55*(Battery_Materials!W$41*(Battery_Materials!K$28*GREET1_Import_Export!$B79+Battery_Materials!K$29*GREET1_Import_Export!$C79+Battery_Materials!K$30*GREET1_Import_Export!$G79+Battery_Materials!K$32*'GREET2_Factors_T&amp;D'!$F22+Battery_Materials!K$33*'GREET2_Factors_T&amp;D'!$G22)+GREET1_Import_Export!$B244)+Battery_Materials!W$56*(Battery_Materials!W$41*(Battery_Materials!K$34*GREET1_Import_Export!$AA79+Battery_Materials!K$35*GREET1_Import_Export!$AB79)+GREET1_Import_Export!$C297)+Battery_Materials!W$57*SUM(GREET1_Import_Export!$D322:$E322)</f>
        <v>8.1866549894606566E-2</v>
      </c>
      <c r="X84" s="287"/>
      <c r="Y84" s="268"/>
    </row>
    <row r="85" spans="1:25" s="7" customFormat="1"/>
    <row r="86" spans="1:25" ht="15">
      <c r="A86" s="134" t="s">
        <v>1560</v>
      </c>
      <c r="B86" s="7"/>
      <c r="C86" s="7"/>
      <c r="D86" s="7"/>
      <c r="E86" s="7"/>
      <c r="F86" s="7"/>
      <c r="G86" s="7"/>
      <c r="H86" s="7"/>
      <c r="I86" s="7"/>
      <c r="J86" s="7"/>
      <c r="K86" s="7"/>
      <c r="L86" s="7"/>
      <c r="M86" s="7"/>
      <c r="N86" s="7"/>
      <c r="O86" s="7"/>
      <c r="P86" s="7"/>
      <c r="Q86" s="7"/>
      <c r="R86" s="7"/>
      <c r="S86" s="7"/>
      <c r="T86" s="7"/>
      <c r="U86" s="7"/>
      <c r="V86" s="7"/>
      <c r="W86" s="7"/>
      <c r="X86" s="7"/>
      <c r="Y86" s="7"/>
    </row>
    <row r="87" spans="1:25" ht="25.5">
      <c r="A87" s="1299"/>
      <c r="B87" s="1452" t="s">
        <v>1410</v>
      </c>
      <c r="C87" s="1454"/>
      <c r="D87" s="1453" t="s">
        <v>1557</v>
      </c>
      <c r="E87" s="1453"/>
      <c r="F87" s="1452" t="s">
        <v>1412</v>
      </c>
      <c r="G87" s="1454"/>
      <c r="H87" s="1453" t="s">
        <v>1413</v>
      </c>
      <c r="I87" s="1453"/>
      <c r="J87" s="1452" t="s">
        <v>1558</v>
      </c>
      <c r="K87" s="1454"/>
      <c r="L87" s="1453" t="s">
        <v>1544</v>
      </c>
      <c r="M87" s="1454"/>
      <c r="N87" s="1453" t="s">
        <v>1538</v>
      </c>
      <c r="O87" s="1454"/>
      <c r="P87" s="1453" t="s">
        <v>1539</v>
      </c>
      <c r="Q87" s="1454"/>
      <c r="R87" s="1321"/>
      <c r="S87" s="1321"/>
      <c r="T87" s="1321"/>
      <c r="U87" s="1321"/>
      <c r="V87" s="1321"/>
      <c r="W87" s="1321"/>
      <c r="X87" s="1321"/>
      <c r="Y87" s="1321"/>
    </row>
    <row r="88" spans="1:25">
      <c r="A88" s="290" t="s">
        <v>1029</v>
      </c>
      <c r="B88" s="173" t="s">
        <v>845</v>
      </c>
      <c r="C88" s="51" t="s">
        <v>846</v>
      </c>
      <c r="D88" s="1" t="s">
        <v>845</v>
      </c>
      <c r="E88" s="1" t="s">
        <v>846</v>
      </c>
      <c r="F88" s="173" t="s">
        <v>845</v>
      </c>
      <c r="G88" s="51" t="s">
        <v>846</v>
      </c>
      <c r="H88" s="1" t="s">
        <v>845</v>
      </c>
      <c r="I88" s="1" t="s">
        <v>846</v>
      </c>
      <c r="J88" s="173" t="s">
        <v>845</v>
      </c>
      <c r="K88" s="51" t="s">
        <v>846</v>
      </c>
      <c r="L88" s="1" t="s">
        <v>845</v>
      </c>
      <c r="M88" s="51" t="s">
        <v>846</v>
      </c>
      <c r="N88" s="1" t="s">
        <v>845</v>
      </c>
      <c r="O88" s="51" t="s">
        <v>846</v>
      </c>
      <c r="P88" s="1" t="s">
        <v>845</v>
      </c>
      <c r="Q88" s="51" t="s">
        <v>846</v>
      </c>
      <c r="R88" s="1321"/>
      <c r="S88" s="1321"/>
      <c r="T88" s="1321"/>
      <c r="U88" s="1321"/>
      <c r="V88" s="1321"/>
      <c r="W88" s="1321"/>
      <c r="X88" s="1321"/>
      <c r="Y88" s="1321"/>
    </row>
    <row r="89" spans="1:25">
      <c r="A89" s="291" t="s">
        <v>816</v>
      </c>
      <c r="B89" s="234">
        <f t="shared" ref="B89:B94" si="12">SUM(B58:D58)</f>
        <v>30.777795136401167</v>
      </c>
      <c r="C89" s="235">
        <f t="shared" ref="C89:C94" si="13">B89/2000</f>
        <v>1.5388897568200584E-2</v>
      </c>
      <c r="D89" s="228">
        <f>Battery_Materials!B$6*GREET1_Import_Export!G494+E58</f>
        <v>150.70091209609816</v>
      </c>
      <c r="E89" s="228">
        <f t="shared" ref="E89:E94" si="14">D89/2000</f>
        <v>7.5350456048049089E-2</v>
      </c>
      <c r="F89" s="234">
        <f>GREET1_Import_Export!E525*Battery_Materials!D$8+SUM(H58:J58)</f>
        <v>8.5864089595218935</v>
      </c>
      <c r="G89" s="235">
        <f t="shared" ref="G89:G94" si="15">F89/2000</f>
        <v>4.2932044797609464E-3</v>
      </c>
      <c r="H89" s="228">
        <f>GREET1_Import_Export!E525*Battery_Materials!E$8+SUM(K58:M58)</f>
        <v>31.565303634894914</v>
      </c>
      <c r="I89" s="228">
        <f t="shared" ref="I89:I94" si="16">H89/2000</f>
        <v>1.5782651817447455E-2</v>
      </c>
      <c r="J89" s="234">
        <f t="shared" ref="J89:J94" si="17">SUM(N58:P58)+$F$9*$N89+$F$10*$P89</f>
        <v>85.221901268924427</v>
      </c>
      <c r="K89" s="235">
        <f t="shared" ref="K89:K94" si="18">J89/2000</f>
        <v>4.2610950634462214E-2</v>
      </c>
      <c r="L89" s="228">
        <f t="shared" ref="L89:L94" si="19">SUM(Q58:S58)</f>
        <v>338.10601487784561</v>
      </c>
      <c r="M89" s="235">
        <f t="shared" ref="M89:Q94" si="20">L89/2000</f>
        <v>0.16905300743892279</v>
      </c>
      <c r="N89" s="228">
        <f>SUM(T58:V58)+$G$13*GREET1_Import_Export!$H525</f>
        <v>67.820536749733122</v>
      </c>
      <c r="O89" s="235">
        <f t="shared" si="20"/>
        <v>3.3910268374866562E-2</v>
      </c>
      <c r="P89" s="228">
        <f>SUM(W58:Y58)+$H$11*GREET1_Import_Export!$J494+$H$12*Vehi_Fluids!$L40</f>
        <v>58.355335275848418</v>
      </c>
      <c r="Q89" s="235">
        <f t="shared" si="20"/>
        <v>2.9177667637924207E-2</v>
      </c>
      <c r="R89" s="1321"/>
      <c r="S89" s="1321"/>
      <c r="T89" s="1321"/>
      <c r="U89" s="1321"/>
      <c r="V89" s="1321"/>
      <c r="W89" s="1321"/>
      <c r="X89" s="1321"/>
      <c r="Y89" s="1321"/>
    </row>
    <row r="90" spans="1:25">
      <c r="A90" s="291" t="s">
        <v>817</v>
      </c>
      <c r="B90" s="234">
        <f t="shared" si="12"/>
        <v>27.31020842407381</v>
      </c>
      <c r="C90" s="235">
        <f t="shared" si="13"/>
        <v>1.3655104212036905E-2</v>
      </c>
      <c r="D90" s="228">
        <f>Battery_Materials!B$6*GREET1_Import_Export!G495+E59</f>
        <v>119.89179942176688</v>
      </c>
      <c r="E90" s="228">
        <f t="shared" si="14"/>
        <v>5.9945899710883439E-2</v>
      </c>
      <c r="F90" s="234">
        <f>GREET1_Import_Export!E526*Battery_Materials!D$8+SUM(H59:J59)</f>
        <v>8.3353809539555339</v>
      </c>
      <c r="G90" s="235">
        <f t="shared" si="15"/>
        <v>4.1676904769777671E-3</v>
      </c>
      <c r="H90" s="228">
        <f>GREET1_Import_Export!E526*Battery_Materials!E$8+SUM(K59:M59)</f>
        <v>30.672898631702459</v>
      </c>
      <c r="I90" s="228">
        <f t="shared" si="16"/>
        <v>1.5336449315851229E-2</v>
      </c>
      <c r="J90" s="234">
        <f t="shared" si="17"/>
        <v>84.058273372872293</v>
      </c>
      <c r="K90" s="235">
        <f t="shared" si="18"/>
        <v>4.2029136686436146E-2</v>
      </c>
      <c r="L90" s="228">
        <f t="shared" si="19"/>
        <v>287.0257873001828</v>
      </c>
      <c r="M90" s="235">
        <f t="shared" si="20"/>
        <v>0.1435128936500914</v>
      </c>
      <c r="N90" s="228">
        <f>SUM(T59:V59)+$G$13*GREET1_Import_Export!$H526</f>
        <v>67.201719597228205</v>
      </c>
      <c r="O90" s="235">
        <f t="shared" si="20"/>
        <v>3.3600859798614102E-2</v>
      </c>
      <c r="P90" s="228">
        <f>SUM(W59:Y59)+$H$11*GREET1_Import_Export!$J495+$H$12*Vehi_Fluids!$L41</f>
        <v>57.847615226433341</v>
      </c>
      <c r="Q90" s="235">
        <f t="shared" si="20"/>
        <v>2.8923807613216671E-2</v>
      </c>
      <c r="R90" s="1321"/>
      <c r="S90" s="1321"/>
      <c r="T90" s="1321"/>
      <c r="U90" s="1321"/>
      <c r="V90" s="1321"/>
      <c r="W90" s="1321"/>
      <c r="X90" s="1321"/>
      <c r="Y90" s="1321"/>
    </row>
    <row r="91" spans="1:25">
      <c r="A91" s="291" t="s">
        <v>805</v>
      </c>
      <c r="B91" s="234">
        <f t="shared" si="12"/>
        <v>4.5836217703848154</v>
      </c>
      <c r="C91" s="235">
        <f t="shared" si="13"/>
        <v>2.2918108851924077E-3</v>
      </c>
      <c r="D91" s="228">
        <f>Battery_Materials!B$6*GREET1_Import_Export!G496+E60</f>
        <v>40.726664852658189</v>
      </c>
      <c r="E91" s="228">
        <f t="shared" si="14"/>
        <v>2.0363332426329095E-2</v>
      </c>
      <c r="F91" s="234">
        <f>GREET1_Import_Export!E527*Battery_Materials!D$8+SUM(H60:J60)</f>
        <v>0.33106242858927926</v>
      </c>
      <c r="G91" s="235">
        <f t="shared" si="15"/>
        <v>1.6553121429463963E-4</v>
      </c>
      <c r="H91" s="228">
        <f>GREET1_Import_Export!E527*Battery_Materials!E$8+SUM(K60:M60)</f>
        <v>1.1768725616747155</v>
      </c>
      <c r="I91" s="228">
        <f t="shared" si="16"/>
        <v>5.8843628083735772E-4</v>
      </c>
      <c r="J91" s="234">
        <f t="shared" si="17"/>
        <v>1.5403273292594508</v>
      </c>
      <c r="K91" s="235">
        <f t="shared" si="18"/>
        <v>7.7016366462972542E-4</v>
      </c>
      <c r="L91" s="228">
        <f t="shared" si="19"/>
        <v>67.524059198097035</v>
      </c>
      <c r="M91" s="235">
        <f t="shared" si="20"/>
        <v>3.3762029599048518E-2</v>
      </c>
      <c r="N91" s="228">
        <f>SUM(T60:V60)+$G$13*GREET1_Import_Export!$H527</f>
        <v>0.82042137892032441</v>
      </c>
      <c r="O91" s="235">
        <f t="shared" si="20"/>
        <v>4.1021068946016218E-4</v>
      </c>
      <c r="P91" s="228">
        <f>SUM(W60:Y60)+$H$11*GREET1_Import_Export!$J496+$H$12*Vehi_Fluids!$L42</f>
        <v>0.6709110949780599</v>
      </c>
      <c r="Q91" s="235">
        <f t="shared" si="20"/>
        <v>3.3545554748902993E-4</v>
      </c>
      <c r="R91" s="1321"/>
      <c r="S91" s="1321"/>
      <c r="T91" s="1321"/>
      <c r="U91" s="1321"/>
      <c r="V91" s="1321"/>
      <c r="W91" s="1321"/>
      <c r="X91" s="1321"/>
      <c r="Y91" s="1321"/>
    </row>
    <row r="92" spans="1:25">
      <c r="A92" s="291" t="s">
        <v>804</v>
      </c>
      <c r="B92" s="234">
        <f t="shared" si="12"/>
        <v>21.66112346194172</v>
      </c>
      <c r="C92" s="235">
        <f t="shared" si="13"/>
        <v>1.0830561730970861E-2</v>
      </c>
      <c r="D92" s="228">
        <f>Battery_Materials!B$6*GREET1_Import_Export!G497+E61</f>
        <v>75.693593891483147</v>
      </c>
      <c r="E92" s="228">
        <f t="shared" si="14"/>
        <v>3.784679694574157E-2</v>
      </c>
      <c r="F92" s="234">
        <f>GREET1_Import_Export!E528*Battery_Materials!D$8+SUM(H61:J61)</f>
        <v>5.2651898540348352</v>
      </c>
      <c r="G92" s="235">
        <f t="shared" si="15"/>
        <v>2.6325949270174175E-3</v>
      </c>
      <c r="H92" s="228">
        <f>GREET1_Import_Export!E528*Battery_Materials!E$8+SUM(K61:M61)</f>
        <v>19.565514734791957</v>
      </c>
      <c r="I92" s="228">
        <f t="shared" si="16"/>
        <v>9.7827573673959795E-3</v>
      </c>
      <c r="J92" s="234">
        <f t="shared" si="17"/>
        <v>81.874842847687376</v>
      </c>
      <c r="K92" s="235">
        <f t="shared" si="18"/>
        <v>4.0937421423843691E-2</v>
      </c>
      <c r="L92" s="228">
        <f t="shared" si="19"/>
        <v>217.05445562228772</v>
      </c>
      <c r="M92" s="235">
        <f t="shared" si="20"/>
        <v>0.10852722781114386</v>
      </c>
      <c r="N92" s="228">
        <f>SUM(T61:V61)+$G$13*GREET1_Import_Export!$H528</f>
        <v>66.036716225517068</v>
      </c>
      <c r="O92" s="235">
        <f t="shared" si="20"/>
        <v>3.3018358112758536E-2</v>
      </c>
      <c r="P92" s="228">
        <f>SUM(W61:Y61)+$H$11*GREET1_Import_Export!$J497+$H$12*Vehi_Fluids!$L43</f>
        <v>56.257155344175352</v>
      </c>
      <c r="Q92" s="235">
        <f t="shared" si="20"/>
        <v>2.8128577672087676E-2</v>
      </c>
      <c r="R92" s="1321"/>
      <c r="S92" s="1321"/>
      <c r="T92" s="1321"/>
      <c r="U92" s="1321"/>
      <c r="V92" s="1321"/>
      <c r="W92" s="1321"/>
      <c r="X92" s="1321"/>
      <c r="Y92" s="1321"/>
    </row>
    <row r="93" spans="1:25">
      <c r="A93" s="291" t="s">
        <v>818</v>
      </c>
      <c r="B93" s="234">
        <f t="shared" si="12"/>
        <v>1.0654631917472772</v>
      </c>
      <c r="C93" s="235">
        <f t="shared" si="13"/>
        <v>5.3273159587363856E-4</v>
      </c>
      <c r="D93" s="228">
        <f>Battery_Materials!B$6*GREET1_Import_Export!G498+E62</f>
        <v>3.4715406776255264</v>
      </c>
      <c r="E93" s="228">
        <f t="shared" si="14"/>
        <v>1.7357703388127632E-3</v>
      </c>
      <c r="F93" s="234">
        <f>GREET1_Import_Export!E529*Battery_Materials!D$8+SUM(H62:J62)</f>
        <v>2.7391286713314189</v>
      </c>
      <c r="G93" s="235">
        <f t="shared" si="15"/>
        <v>1.3695643356657094E-3</v>
      </c>
      <c r="H93" s="228">
        <f>GREET1_Import_Export!E529*Battery_Materials!E$8+SUM(K62:M62)</f>
        <v>9.9305113352357868</v>
      </c>
      <c r="I93" s="228">
        <f t="shared" si="16"/>
        <v>4.9652556676178933E-3</v>
      </c>
      <c r="J93" s="234">
        <f t="shared" si="17"/>
        <v>0.64310319592548315</v>
      </c>
      <c r="K93" s="235">
        <f t="shared" si="18"/>
        <v>3.2155159796274155E-4</v>
      </c>
      <c r="L93" s="228">
        <f t="shared" si="19"/>
        <v>2.4472724797980367</v>
      </c>
      <c r="M93" s="235">
        <f t="shared" si="20"/>
        <v>1.2236362398990184E-3</v>
      </c>
      <c r="N93" s="228">
        <f>SUM(T62:V62)+$G$13*GREET1_Import_Export!$H529</f>
        <v>0.34458199279082768</v>
      </c>
      <c r="O93" s="235">
        <f t="shared" si="20"/>
        <v>1.7229099639541384E-4</v>
      </c>
      <c r="P93" s="228">
        <f>SUM(W62:Y62)+$H$11*GREET1_Import_Export!$J498+$H$12*Vehi_Fluids!$L44</f>
        <v>0.9195487872799365</v>
      </c>
      <c r="Q93" s="235">
        <f t="shared" si="20"/>
        <v>4.5977439363996826E-4</v>
      </c>
      <c r="R93" s="1321"/>
      <c r="S93" s="1321"/>
      <c r="T93" s="1321"/>
      <c r="U93" s="1321"/>
      <c r="V93" s="1321"/>
      <c r="W93" s="1321"/>
      <c r="X93" s="1321"/>
      <c r="Y93" s="1321"/>
    </row>
    <row r="94" spans="1:25">
      <c r="A94" s="1352" t="s">
        <v>819</v>
      </c>
      <c r="B94" s="1309">
        <f t="shared" si="12"/>
        <v>944.00566694798272</v>
      </c>
      <c r="C94" s="1650">
        <f t="shared" si="13"/>
        <v>0.47200283347399136</v>
      </c>
      <c r="D94" s="1310">
        <f>Battery_Materials!B$6*GREET1_Import_Export!G499+E63</f>
        <v>8316.9387512228859</v>
      </c>
      <c r="E94" s="1717">
        <f t="shared" si="14"/>
        <v>4.1584693756114426</v>
      </c>
      <c r="F94" s="1309">
        <f>GREET1_Import_Export!E530*Battery_Materials!D$8+SUM(H63:J63)</f>
        <v>251.04369208054561</v>
      </c>
      <c r="G94" s="1650">
        <f t="shared" si="15"/>
        <v>0.12552184604027281</v>
      </c>
      <c r="H94" s="1310">
        <f>GREET1_Import_Export!E530*Battery_Materials!E$8+SUM(K63:M63)</f>
        <v>906.88162476796936</v>
      </c>
      <c r="I94" s="1717">
        <f t="shared" si="16"/>
        <v>0.4534408123839847</v>
      </c>
      <c r="J94" s="1309">
        <f t="shared" si="17"/>
        <v>668.38812743136555</v>
      </c>
      <c r="K94" s="1650">
        <f t="shared" si="18"/>
        <v>0.33419406371568278</v>
      </c>
      <c r="L94" s="1310">
        <f t="shared" si="19"/>
        <v>13404.538694339732</v>
      </c>
      <c r="M94" s="1650">
        <f t="shared" si="20"/>
        <v>6.7022693471698656</v>
      </c>
      <c r="N94" s="1310">
        <f>SUM(T63:V63)+$G$13*GREET1_Import_Export!$H530</f>
        <v>446.64007159929281</v>
      </c>
      <c r="O94" s="1650">
        <f t="shared" si="20"/>
        <v>0.2233200357996464</v>
      </c>
      <c r="P94" s="1310">
        <f>SUM(W63:Y63)+$H$11*GREET1_Import_Export!$J499+$H$12*Vehi_Fluids!$L45</f>
        <v>437.06713152839711</v>
      </c>
      <c r="Q94" s="1650">
        <f t="shared" si="20"/>
        <v>0.21853356576419855</v>
      </c>
      <c r="R94" s="1321"/>
      <c r="S94" s="1321"/>
      <c r="T94" s="1321"/>
      <c r="U94" s="1321"/>
      <c r="V94" s="1321"/>
      <c r="W94" s="1321"/>
      <c r="X94" s="1321"/>
      <c r="Y94" s="1321"/>
    </row>
    <row r="95" spans="1:25">
      <c r="A95" s="293" t="s">
        <v>1030</v>
      </c>
      <c r="B95" s="240"/>
      <c r="C95" s="248"/>
      <c r="D95" s="241"/>
      <c r="E95" s="241"/>
      <c r="F95" s="240"/>
      <c r="G95" s="248"/>
      <c r="H95" s="241"/>
      <c r="I95" s="241"/>
      <c r="J95" s="240"/>
      <c r="K95" s="248"/>
      <c r="L95" s="241"/>
      <c r="M95" s="248"/>
      <c r="N95" s="241"/>
      <c r="O95" s="248"/>
      <c r="P95" s="241"/>
      <c r="Q95" s="248"/>
      <c r="R95" s="1321"/>
      <c r="S95" s="1321"/>
      <c r="T95" s="1321"/>
      <c r="U95" s="1321"/>
      <c r="V95" s="1321"/>
      <c r="W95" s="1321"/>
      <c r="X95" s="1321"/>
      <c r="Y95" s="1321"/>
    </row>
    <row r="96" spans="1:25">
      <c r="A96" s="291" t="s">
        <v>821</v>
      </c>
      <c r="B96" s="234">
        <f t="shared" ref="B96:B106" si="21">SUM(B65:D65)</f>
        <v>272.79401360081181</v>
      </c>
      <c r="C96" s="235">
        <f t="shared" ref="C96:C106" si="22">B96/2000</f>
        <v>0.1363970068004059</v>
      </c>
      <c r="D96" s="228">
        <f>Battery_Materials!B$6*GREET1_Import_Export!G501+E65</f>
        <v>1104.0410740116376</v>
      </c>
      <c r="E96" s="228">
        <f t="shared" ref="E96:E106" si="23">D96/2000</f>
        <v>0.55202053700581888</v>
      </c>
      <c r="F96" s="234">
        <f>GREET1_Import_Export!E532*Battery_Materials!D$8+SUM(H65:J65)</f>
        <v>138.68554178222379</v>
      </c>
      <c r="G96" s="235">
        <f t="shared" ref="G96:G106" si="24">F96/2000</f>
        <v>6.9342770891111891E-2</v>
      </c>
      <c r="H96" s="228">
        <f>GREET1_Import_Export!E532*Battery_Materials!E$8+SUM(K65:M65)</f>
        <v>508.25336205004118</v>
      </c>
      <c r="I96" s="228">
        <f t="shared" ref="I96:I106" si="25">H96/2000</f>
        <v>0.25412668102502056</v>
      </c>
      <c r="J96" s="234">
        <f t="shared" ref="J96:J106" si="26">SUM(N65:P65)+$F$9*$N96+$F$10*$P96</f>
        <v>1819.0977135235503</v>
      </c>
      <c r="K96" s="235">
        <f t="shared" ref="K96:K106" si="27">J96/2000</f>
        <v>0.9095488567617751</v>
      </c>
      <c r="L96" s="228">
        <f t="shared" ref="L96:L106" si="28">SUM(Q65:S65)</f>
        <v>2754.0861544193049</v>
      </c>
      <c r="M96" s="235">
        <f t="shared" ref="M96:Q106" si="29">L96/2000</f>
        <v>1.3770430772096525</v>
      </c>
      <c r="N96" s="228">
        <f>SUM(T65:V65)+$G$13*GREET1_Import_Export!$H532</f>
        <v>812.06794227703392</v>
      </c>
      <c r="O96" s="235">
        <f t="shared" si="29"/>
        <v>0.40603397113851697</v>
      </c>
      <c r="P96" s="228">
        <f>SUM(W65:Y65)+$H$11*GREET1_Import_Export!$J501+$H$12*Vehi_Fluids!$L47</f>
        <v>3153.1688151788662</v>
      </c>
      <c r="Q96" s="235">
        <f t="shared" si="29"/>
        <v>1.5765844075894331</v>
      </c>
      <c r="R96" s="1321"/>
      <c r="S96" s="1321"/>
      <c r="T96" s="1321"/>
      <c r="U96" s="1321"/>
      <c r="V96" s="1321"/>
      <c r="W96" s="1321"/>
      <c r="X96" s="1321"/>
      <c r="Y96" s="1321"/>
    </row>
    <row r="97" spans="1:17">
      <c r="A97" s="291" t="s">
        <v>822</v>
      </c>
      <c r="B97" s="234">
        <f t="shared" si="21"/>
        <v>985.46343149254221</v>
      </c>
      <c r="C97" s="235">
        <f t="shared" si="22"/>
        <v>0.49273171574627112</v>
      </c>
      <c r="D97" s="228">
        <f>Battery_Materials!B$6*GREET1_Import_Export!G502+E66</f>
        <v>2947.3388646220419</v>
      </c>
      <c r="E97" s="228">
        <f t="shared" si="23"/>
        <v>1.4736694323110209</v>
      </c>
      <c r="F97" s="234">
        <f>GREET1_Import_Export!E533*Battery_Materials!D$8+SUM(H66:J66)</f>
        <v>170.56609784145775</v>
      </c>
      <c r="G97" s="235">
        <f t="shared" si="24"/>
        <v>8.5283048920728868E-2</v>
      </c>
      <c r="H97" s="228">
        <f>GREET1_Import_Export!E533*Battery_Materials!E$8+SUM(K66:M66)</f>
        <v>642.16195921091276</v>
      </c>
      <c r="I97" s="228">
        <f t="shared" si="25"/>
        <v>0.3210809796054564</v>
      </c>
      <c r="J97" s="234">
        <f t="shared" si="26"/>
        <v>3624.9780147025094</v>
      </c>
      <c r="K97" s="235">
        <f t="shared" si="27"/>
        <v>1.8124890073512547</v>
      </c>
      <c r="L97" s="228">
        <f t="shared" si="28"/>
        <v>9023.1453655368623</v>
      </c>
      <c r="M97" s="235">
        <f t="shared" si="29"/>
        <v>4.5115726827684313</v>
      </c>
      <c r="N97" s="228">
        <f>SUM(T66:V66)+$G$13*GREET1_Import_Export!$H533</f>
        <v>2549.6336709362399</v>
      </c>
      <c r="O97" s="235">
        <f t="shared" si="29"/>
        <v>1.27481683546812</v>
      </c>
      <c r="P97" s="228">
        <f>SUM(W66:Y66)+$H$11*GREET1_Import_Export!$J502+$H$12*Vehi_Fluids!$L48</f>
        <v>3526.9396705287463</v>
      </c>
      <c r="Q97" s="235">
        <f t="shared" si="29"/>
        <v>1.7634698352643732</v>
      </c>
    </row>
    <row r="98" spans="1:17">
      <c r="A98" s="291" t="s">
        <v>849</v>
      </c>
      <c r="B98" s="234">
        <f t="shared" si="21"/>
        <v>1632.7666362591003</v>
      </c>
      <c r="C98" s="235">
        <f t="shared" si="22"/>
        <v>0.81638331812955012</v>
      </c>
      <c r="D98" s="228">
        <f>Battery_Materials!B$6*GREET1_Import_Export!G503+E67</f>
        <v>7337.5521013473726</v>
      </c>
      <c r="E98" s="228">
        <f t="shared" si="23"/>
        <v>3.6687760506736864</v>
      </c>
      <c r="F98" s="234">
        <f>GREET1_Import_Export!E534*Battery_Materials!D$8+SUM(H67:J67)</f>
        <v>249.34545501389701</v>
      </c>
      <c r="G98" s="235">
        <f t="shared" si="24"/>
        <v>0.12467272750694851</v>
      </c>
      <c r="H98" s="228">
        <f>GREET1_Import_Export!E534*Battery_Materials!E$8+SUM(K67:M67)</f>
        <v>935.19798719709308</v>
      </c>
      <c r="I98" s="228">
        <f t="shared" si="25"/>
        <v>0.46759899359854656</v>
      </c>
      <c r="J98" s="234">
        <f t="shared" si="26"/>
        <v>4040.8914758383298</v>
      </c>
      <c r="K98" s="235">
        <f t="shared" si="27"/>
        <v>2.0204457379191649</v>
      </c>
      <c r="L98" s="228">
        <f t="shared" si="28"/>
        <v>15440.361111849963</v>
      </c>
      <c r="M98" s="235">
        <f t="shared" si="29"/>
        <v>7.7201805559249816</v>
      </c>
      <c r="N98" s="228">
        <f>SUM(T67:V67)+$G$13*GREET1_Import_Export!$H534</f>
        <v>3431.809205803901</v>
      </c>
      <c r="O98" s="235">
        <f t="shared" si="29"/>
        <v>1.7159046029019505</v>
      </c>
      <c r="P98" s="228">
        <f>SUM(W67:Y67)+$H$11*GREET1_Import_Export!$J503+$H$12*Vehi_Fluids!$L49</f>
        <v>2120.6280611687944</v>
      </c>
      <c r="Q98" s="235">
        <f t="shared" si="29"/>
        <v>1.0603140305843972</v>
      </c>
    </row>
    <row r="99" spans="1:17">
      <c r="A99" s="291" t="s">
        <v>824</v>
      </c>
      <c r="B99" s="234">
        <f t="shared" si="21"/>
        <v>173.91760246870797</v>
      </c>
      <c r="C99" s="235">
        <f t="shared" si="22"/>
        <v>8.6958801234353983E-2</v>
      </c>
      <c r="D99" s="228">
        <f>Battery_Materials!B$6*GREET1_Import_Export!G504+E68</f>
        <v>1020.2770318059702</v>
      </c>
      <c r="E99" s="228">
        <f t="shared" si="23"/>
        <v>0.51013851590298509</v>
      </c>
      <c r="F99" s="234">
        <f>GREET1_Import_Export!E535*Battery_Materials!D$8+SUM(H68:J68)</f>
        <v>20.308519092935327</v>
      </c>
      <c r="G99" s="235">
        <f t="shared" si="24"/>
        <v>1.0154259546467663E-2</v>
      </c>
      <c r="H99" s="228">
        <f>GREET1_Import_Export!E535*Battery_Materials!E$8+SUM(K68:M68)</f>
        <v>74.963207907461296</v>
      </c>
      <c r="I99" s="228">
        <f t="shared" si="25"/>
        <v>3.7481603953730645E-2</v>
      </c>
      <c r="J99" s="234">
        <f t="shared" si="26"/>
        <v>240.98187984543</v>
      </c>
      <c r="K99" s="235">
        <f t="shared" si="27"/>
        <v>0.12049093992271501</v>
      </c>
      <c r="L99" s="228">
        <f t="shared" si="28"/>
        <v>1823.9719559513269</v>
      </c>
      <c r="M99" s="235">
        <f t="shared" si="29"/>
        <v>0.9119859779756635</v>
      </c>
      <c r="N99" s="228">
        <f>SUM(T68:V68)+$G$13*GREET1_Import_Export!$H535</f>
        <v>199.39962242460032</v>
      </c>
      <c r="O99" s="235">
        <f t="shared" si="29"/>
        <v>9.9699811212300163E-2</v>
      </c>
      <c r="P99" s="228">
        <f>SUM(W68:Y68)+$H$11*GREET1_Import_Export!$J504+$H$12*Vehi_Fluids!$L50</f>
        <v>119.27106231166076</v>
      </c>
      <c r="Q99" s="235">
        <f t="shared" si="29"/>
        <v>5.9635531155830375E-2</v>
      </c>
    </row>
    <row r="100" spans="1:17">
      <c r="A100" s="291" t="s">
        <v>825</v>
      </c>
      <c r="B100" s="234">
        <f t="shared" si="21"/>
        <v>120.75926274927247</v>
      </c>
      <c r="C100" s="235">
        <f t="shared" si="22"/>
        <v>6.0379631374636235E-2</v>
      </c>
      <c r="D100" s="228">
        <f>Battery_Materials!B$6*GREET1_Import_Export!G505+E69</f>
        <v>646.30661717966052</v>
      </c>
      <c r="E100" s="228">
        <f t="shared" si="23"/>
        <v>0.32315330858983027</v>
      </c>
      <c r="F100" s="234">
        <f>GREET1_Import_Export!E536*Battery_Materials!D$8+SUM(H69:J69)</f>
        <v>16.466136718456561</v>
      </c>
      <c r="G100" s="235">
        <f t="shared" si="24"/>
        <v>8.2330683592282804E-3</v>
      </c>
      <c r="H100" s="228">
        <f>GREET1_Import_Export!E536*Battery_Materials!E$8+SUM(K69:M69)</f>
        <v>61.22471924105497</v>
      </c>
      <c r="I100" s="228">
        <f t="shared" si="25"/>
        <v>3.0612359620527486E-2</v>
      </c>
      <c r="J100" s="234">
        <f t="shared" si="26"/>
        <v>222.75131217260619</v>
      </c>
      <c r="K100" s="235">
        <f t="shared" si="27"/>
        <v>0.11137565608630309</v>
      </c>
      <c r="L100" s="228">
        <f t="shared" si="28"/>
        <v>1223.3377224856213</v>
      </c>
      <c r="M100" s="235">
        <f t="shared" si="29"/>
        <v>0.61166886124281061</v>
      </c>
      <c r="N100" s="228">
        <f>SUM(T69:V69)+$G$13*GREET1_Import_Export!$H536</f>
        <v>189.33847046439786</v>
      </c>
      <c r="O100" s="235">
        <f t="shared" si="29"/>
        <v>9.4669235232198931E-2</v>
      </c>
      <c r="P100" s="228">
        <f>SUM(W69:Y69)+$H$11*GREET1_Import_Export!$J505+$H$12*Vehi_Fluids!$L51</f>
        <v>107.33349233721658</v>
      </c>
      <c r="Q100" s="235">
        <f t="shared" si="29"/>
        <v>5.3666746168608288E-2</v>
      </c>
    </row>
    <row r="101" spans="1:17">
      <c r="A101" s="291" t="s">
        <v>826</v>
      </c>
      <c r="B101" s="234">
        <f t="shared" si="21"/>
        <v>768.88926825609497</v>
      </c>
      <c r="C101" s="235">
        <f t="shared" si="22"/>
        <v>0.38444463412804747</v>
      </c>
      <c r="D101" s="228">
        <f>Battery_Materials!B$6*GREET1_Import_Export!G506+E70</f>
        <v>16063.636813103865</v>
      </c>
      <c r="E101" s="228">
        <f t="shared" si="23"/>
        <v>8.0318184065519329</v>
      </c>
      <c r="F101" s="234">
        <f>GREET1_Import_Export!E537*Battery_Materials!D$8+SUM(H70:J70)</f>
        <v>98.696923479993586</v>
      </c>
      <c r="G101" s="235">
        <f t="shared" si="24"/>
        <v>4.9348461739996796E-2</v>
      </c>
      <c r="H101" s="228">
        <f>GREET1_Import_Export!E537*Battery_Materials!E$8+SUM(K70:M70)</f>
        <v>360.4359536187182</v>
      </c>
      <c r="I101" s="228">
        <f t="shared" si="25"/>
        <v>0.18021797680935911</v>
      </c>
      <c r="J101" s="234">
        <f t="shared" si="26"/>
        <v>1038.6278257584636</v>
      </c>
      <c r="K101" s="235">
        <f t="shared" si="27"/>
        <v>0.51931391287923179</v>
      </c>
      <c r="L101" s="228">
        <f t="shared" si="28"/>
        <v>8791.4383374545814</v>
      </c>
      <c r="M101" s="235">
        <f t="shared" si="29"/>
        <v>4.3957191687272905</v>
      </c>
      <c r="N101" s="228">
        <f>SUM(T70:V70)+$G$13*GREET1_Import_Export!$H537</f>
        <v>755.10066377195085</v>
      </c>
      <c r="O101" s="235">
        <f t="shared" si="29"/>
        <v>0.37755033188597542</v>
      </c>
      <c r="P101" s="228">
        <f>SUM(W70:Y70)+$H$11*GREET1_Import_Export!$J506+$H$12*Vehi_Fluids!$L52</f>
        <v>796.5129138619983</v>
      </c>
      <c r="Q101" s="235">
        <f t="shared" si="29"/>
        <v>0.39825645693099915</v>
      </c>
    </row>
    <row r="102" spans="1:17">
      <c r="A102" s="483" t="s">
        <v>827</v>
      </c>
      <c r="B102" s="234">
        <f t="shared" si="21"/>
        <v>12.76357671516233</v>
      </c>
      <c r="C102" s="235">
        <f t="shared" si="22"/>
        <v>6.3817883575811645E-3</v>
      </c>
      <c r="D102" s="228">
        <f>Battery_Materials!B$6*GREET1_Import_Export!G507+E71</f>
        <v>47.828424907716595</v>
      </c>
      <c r="E102" s="228">
        <f t="shared" si="23"/>
        <v>2.3914212453858299E-2</v>
      </c>
      <c r="F102" s="234">
        <f>GREET1_Import_Export!E538*Battery_Materials!D$8+SUM(H71:J71)</f>
        <v>1.9512192052035406</v>
      </c>
      <c r="G102" s="235">
        <f t="shared" si="24"/>
        <v>9.7560960260177035E-4</v>
      </c>
      <c r="H102" s="228">
        <f>GREET1_Import_Export!E538*Battery_Materials!E$8+SUM(K71:M71)</f>
        <v>7.3767014330283676</v>
      </c>
      <c r="I102" s="228">
        <f t="shared" si="25"/>
        <v>3.6883507165141839E-3</v>
      </c>
      <c r="J102" s="234">
        <f t="shared" si="26"/>
        <v>33.67534296078879</v>
      </c>
      <c r="K102" s="235">
        <f t="shared" si="27"/>
        <v>1.6837671480394396E-2</v>
      </c>
      <c r="L102" s="228">
        <f t="shared" si="28"/>
        <v>111.69067967678514</v>
      </c>
      <c r="M102" s="235">
        <f t="shared" si="29"/>
        <v>5.5845339838392571E-2</v>
      </c>
      <c r="N102" s="228">
        <f>SUM(T71:V71)+$G$13*GREET1_Import_Export!$H538</f>
        <v>29.887478242730761</v>
      </c>
      <c r="O102" s="235">
        <f t="shared" si="29"/>
        <v>1.4943739121365381E-2</v>
      </c>
      <c r="P102" s="228">
        <f>SUM(W71:Y71)+$H$11*GREET1_Import_Export!$J507+$H$12*Vehi_Fluids!$L53</f>
        <v>14.313527520057228</v>
      </c>
      <c r="Q102" s="235">
        <f t="shared" si="29"/>
        <v>7.1567637600286138E-3</v>
      </c>
    </row>
    <row r="103" spans="1:17">
      <c r="A103" s="483" t="s">
        <v>828</v>
      </c>
      <c r="B103" s="234">
        <f t="shared" si="21"/>
        <v>38.168984969246573</v>
      </c>
      <c r="C103" s="235">
        <f t="shared" si="22"/>
        <v>1.9084492484623287E-2</v>
      </c>
      <c r="D103" s="228">
        <f>Battery_Materials!B$6*GREET1_Import_Export!G508+E72</f>
        <v>199.75806724149601</v>
      </c>
      <c r="E103" s="228">
        <f t="shared" si="23"/>
        <v>9.9879033620748001E-2</v>
      </c>
      <c r="F103" s="234">
        <f>GREET1_Import_Export!E539*Battery_Materials!D$8+SUM(H72:J72)</f>
        <v>5.4375634488726954</v>
      </c>
      <c r="G103" s="235">
        <f t="shared" si="24"/>
        <v>2.7187817244363477E-3</v>
      </c>
      <c r="H103" s="228">
        <f>GREET1_Import_Export!E539*Battery_Materials!E$8+SUM(K72:M72)</f>
        <v>20.402537599973364</v>
      </c>
      <c r="I103" s="228">
        <f t="shared" si="25"/>
        <v>1.0201268799986682E-2</v>
      </c>
      <c r="J103" s="234">
        <f t="shared" si="26"/>
        <v>82.07138929462441</v>
      </c>
      <c r="K103" s="235">
        <f t="shared" si="27"/>
        <v>4.1035694647312208E-2</v>
      </c>
      <c r="L103" s="228">
        <f t="shared" si="28"/>
        <v>398.62924557483984</v>
      </c>
      <c r="M103" s="235">
        <f t="shared" si="29"/>
        <v>0.19931462278741993</v>
      </c>
      <c r="N103" s="228">
        <f>SUM(T72:V72)+$G$13*GREET1_Import_Export!$H539</f>
        <v>72.287283311117505</v>
      </c>
      <c r="O103" s="235">
        <f t="shared" si="29"/>
        <v>3.614364165555875E-2</v>
      </c>
      <c r="P103" s="228">
        <f>SUM(W72:Y72)+$H$11*GREET1_Import_Export!$J508+$H$12*Vehi_Fluids!$L54</f>
        <v>33.215871891513366</v>
      </c>
      <c r="Q103" s="235">
        <f t="shared" si="29"/>
        <v>1.6607935945756682E-2</v>
      </c>
    </row>
    <row r="104" spans="1:17">
      <c r="A104" s="291" t="s">
        <v>829</v>
      </c>
      <c r="B104" s="234">
        <f t="shared" si="21"/>
        <v>4884.1010128387334</v>
      </c>
      <c r="C104" s="235">
        <f t="shared" si="22"/>
        <v>2.4420505064193665</v>
      </c>
      <c r="D104" s="228">
        <f>Battery_Materials!B$6*GREET1_Import_Export!G509+E73</f>
        <v>19830.387760444311</v>
      </c>
      <c r="E104" s="228">
        <f t="shared" si="23"/>
        <v>9.9151938802221551</v>
      </c>
      <c r="F104" s="234">
        <f>GREET1_Import_Export!E540*Battery_Materials!D$8+SUM(H73:J73)</f>
        <v>1107.4968871859007</v>
      </c>
      <c r="G104" s="235">
        <f t="shared" si="24"/>
        <v>0.55374844359295039</v>
      </c>
      <c r="H104" s="228">
        <f>GREET1_Import_Export!E540*Battery_Materials!E$8+SUM(K73:M73)</f>
        <v>4106.8114131022312</v>
      </c>
      <c r="I104" s="228">
        <f t="shared" si="25"/>
        <v>2.0534057065511155</v>
      </c>
      <c r="J104" s="234">
        <f t="shared" si="26"/>
        <v>14971.044901536965</v>
      </c>
      <c r="K104" s="235">
        <f t="shared" si="27"/>
        <v>7.4855224507684825</v>
      </c>
      <c r="L104" s="228">
        <f t="shared" si="28"/>
        <v>50677.010744473358</v>
      </c>
      <c r="M104" s="235">
        <f t="shared" si="29"/>
        <v>25.338505372236678</v>
      </c>
      <c r="N104" s="228">
        <f>SUM(T73:V73)+$G$13*GREET1_Import_Export!$H540</f>
        <v>12196.219956312489</v>
      </c>
      <c r="O104" s="235">
        <f t="shared" si="29"/>
        <v>6.098109978156244</v>
      </c>
      <c r="P104" s="228">
        <f>SUM(W73:Y73)+$H$11*GREET1_Import_Export!$J509+$H$12*Vehi_Fluids!$L55</f>
        <v>9619.4679469463299</v>
      </c>
      <c r="Q104" s="235">
        <f t="shared" si="29"/>
        <v>4.8097339734731648</v>
      </c>
    </row>
    <row r="105" spans="1:17">
      <c r="A105" s="291" t="s">
        <v>830</v>
      </c>
      <c r="B105" s="234">
        <f t="shared" si="21"/>
        <v>47.454174770466743</v>
      </c>
      <c r="C105" s="235">
        <f t="shared" si="22"/>
        <v>2.372708738523337E-2</v>
      </c>
      <c r="D105" s="228">
        <f>Battery_Materials!B$6*GREET1_Import_Export!G510+E74</f>
        <v>182.46121745678863</v>
      </c>
      <c r="E105" s="228">
        <f t="shared" si="23"/>
        <v>9.1230608728394322E-2</v>
      </c>
      <c r="F105" s="234">
        <f>GREET1_Import_Export!E541*Battery_Materials!D$8+SUM(H74:J74)</f>
        <v>4.9966558563020858</v>
      </c>
      <c r="G105" s="235">
        <f t="shared" si="24"/>
        <v>2.4983279281510428E-3</v>
      </c>
      <c r="H105" s="228">
        <f>GREET1_Import_Export!E541*Battery_Materials!E$8+SUM(K74:M74)</f>
        <v>19.042640051549277</v>
      </c>
      <c r="I105" s="228">
        <f t="shared" si="25"/>
        <v>9.5213200257746392E-3</v>
      </c>
      <c r="J105" s="234">
        <f t="shared" si="26"/>
        <v>106.04882876377749</v>
      </c>
      <c r="K105" s="235">
        <f t="shared" si="27"/>
        <v>5.3024414381888749E-2</v>
      </c>
      <c r="L105" s="228">
        <f t="shared" si="28"/>
        <v>476.34777151741525</v>
      </c>
      <c r="M105" s="235">
        <f t="shared" si="29"/>
        <v>0.23817388575870763</v>
      </c>
      <c r="N105" s="228">
        <f>SUM(T74:V74)+$G$13*GREET1_Import_Export!$H541</f>
        <v>91.51824972053258</v>
      </c>
      <c r="O105" s="235">
        <f t="shared" si="29"/>
        <v>4.5759124860266287E-2</v>
      </c>
      <c r="P105" s="228">
        <f>SUM(W74:Y74)+$H$11*GREET1_Import_Export!$J510+$H$12*Vehi_Fluids!$L56</f>
        <v>48.996807877684176</v>
      </c>
      <c r="Q105" s="235">
        <f t="shared" si="29"/>
        <v>2.4498403938842089E-2</v>
      </c>
    </row>
    <row r="106" spans="1:17" s="631" customFormat="1">
      <c r="A106" s="630" t="s">
        <v>831</v>
      </c>
      <c r="B106" s="250">
        <f t="shared" si="21"/>
        <v>1833166.175533466</v>
      </c>
      <c r="C106" s="245">
        <f t="shared" si="22"/>
        <v>916.583087766733</v>
      </c>
      <c r="D106" s="47">
        <f>Battery_Materials!B$6*GREET1_Import_Export!G511+E75</f>
        <v>8848207.8148504514</v>
      </c>
      <c r="E106" s="47">
        <f t="shared" si="23"/>
        <v>4424.1039074252258</v>
      </c>
      <c r="F106" s="250">
        <f>GREET1_Import_Export!E542*Battery_Materials!D$8+SUM(H75:J75)</f>
        <v>302329.51358439674</v>
      </c>
      <c r="G106" s="245">
        <f t="shared" si="24"/>
        <v>151.16475679219838</v>
      </c>
      <c r="H106" s="47">
        <f>GREET1_Import_Export!E542*Battery_Materials!E$8+SUM(K75:M75)</f>
        <v>1122099.629634345</v>
      </c>
      <c r="I106" s="47">
        <f t="shared" si="25"/>
        <v>561.04981481717243</v>
      </c>
      <c r="J106" s="250">
        <f t="shared" si="26"/>
        <v>4033777.6898981184</v>
      </c>
      <c r="K106" s="245">
        <f t="shared" si="27"/>
        <v>2016.8888449490591</v>
      </c>
      <c r="L106" s="47">
        <f t="shared" si="28"/>
        <v>19822464.110476855</v>
      </c>
      <c r="M106" s="245">
        <f t="shared" si="29"/>
        <v>9911.2320552384281</v>
      </c>
      <c r="N106" s="47">
        <f>SUM(T75:V75)+$G$13*GREET1_Import_Export!$H542</f>
        <v>3400369.9485329641</v>
      </c>
      <c r="O106" s="245">
        <f t="shared" si="29"/>
        <v>1700.184974266482</v>
      </c>
      <c r="P106" s="47">
        <f>SUM(W75:Y75)+$H$11*GREET1_Import_Export!$J511+$H$12*Vehi_Fluids!$L57</f>
        <v>2096717.714301764</v>
      </c>
      <c r="Q106" s="245">
        <f t="shared" si="29"/>
        <v>1048.3588571508819</v>
      </c>
    </row>
    <row r="107" spans="1:17">
      <c r="A107" s="291" t="s">
        <v>850</v>
      </c>
      <c r="B107" s="251">
        <f>B106+B96*GREET1_Import_Export!$B$62/GREET1_Import_Export!$B$65+B97*GREET1_Import_Export!$B$63/GREET1_Import_Export!$B$65</f>
        <v>1835564.9689348673</v>
      </c>
      <c r="C107" s="247">
        <f>C106+C96*GREET1_Import_Export!$B$62/GREET1_Import_Export!$B$65+C97*GREET1_Import_Export!$B$63/GREET1_Import_Export!$B$65</f>
        <v>917.78248446743362</v>
      </c>
      <c r="D107" s="246">
        <f>D106+D96*GREET1_Import_Export!$B$62/GREET1_Import_Export!$B$65+D97*GREET1_Import_Export!$B$63/GREET1_Import_Export!$B$65</f>
        <v>8856280.2753660027</v>
      </c>
      <c r="E107" s="246">
        <f>E106+E96*GREET1_Import_Export!$B$62/GREET1_Import_Export!$B$65+E97*GREET1_Import_Export!$B$63/GREET1_Import_Export!$B$65</f>
        <v>4428.1401376830017</v>
      </c>
      <c r="F107" s="251">
        <f>F106+F96*GREET1_Import_Export!$B$62/GREET1_Import_Export!$B$65+F97*GREET1_Import_Export!$B$63/GREET1_Import_Export!$B$65</f>
        <v>303029.7826290832</v>
      </c>
      <c r="G107" s="247">
        <f>G106+G96*GREET1_Import_Export!$B$62/GREET1_Import_Export!$B$65+G97*GREET1_Import_Export!$B$63/GREET1_Import_Export!$B$65</f>
        <v>151.51489131454159</v>
      </c>
      <c r="H107" s="246">
        <f>H106+H96*GREET1_Import_Export!$B$62/GREET1_Import_Export!$B$65+H97*GREET1_Import_Export!$B$63/GREET1_Import_Export!$B$65</f>
        <v>1124692.7975962562</v>
      </c>
      <c r="I107" s="246">
        <f>I106+I96*GREET1_Import_Export!$B$62/GREET1_Import_Export!$B$65+I97*GREET1_Import_Export!$B$63/GREET1_Import_Export!$B$65</f>
        <v>562.34639879812801</v>
      </c>
      <c r="J107" s="251">
        <f>J106+J96*GREET1_Import_Export!$B$62/GREET1_Import_Export!$B$65+J97*GREET1_Import_Export!$B$63/GREET1_Import_Export!$B$65</f>
        <v>4045143.6051283707</v>
      </c>
      <c r="K107" s="247">
        <f>K106+K96*GREET1_Import_Export!$B$62/GREET1_Import_Export!$B$65+K97*GREET1_Import_Export!$B$63/GREET1_Import_Export!$B$65</f>
        <v>2022.5718025641854</v>
      </c>
      <c r="L107" s="246">
        <f>L106+L96*GREET1_Import_Export!$B$62/GREET1_Import_Export!$B$65+L97*GREET1_Import_Export!$B$63/GREET1_Import_Export!$B$65</f>
        <v>19845226.907423019</v>
      </c>
      <c r="M107" s="247">
        <f>M106+M96*GREET1_Import_Export!$B$62/GREET1_Import_Export!$B$65+M97*GREET1_Import_Export!$B$63/GREET1_Import_Export!$B$65</f>
        <v>9922.6134537115104</v>
      </c>
      <c r="N107" s="246">
        <f>N106+N96*GREET1_Import_Export!$B$62/GREET1_Import_Export!$B$65+N97*GREET1_Import_Export!$B$63/GREET1_Import_Export!$B$65</f>
        <v>3406907.4608169128</v>
      </c>
      <c r="O107" s="247">
        <f>O106+O96*GREET1_Import_Export!$B$62/GREET1_Import_Export!$B$65+O97*GREET1_Import_Export!$B$63/GREET1_Import_Export!$B$65</f>
        <v>1703.4537304084565</v>
      </c>
      <c r="P107" s="246">
        <f>P106+P96*GREET1_Import_Export!$B$62/GREET1_Import_Export!$B$65+P97*GREET1_Import_Export!$B$63/GREET1_Import_Export!$B$65</f>
        <v>2112087.4242103784</v>
      </c>
      <c r="Q107" s="247">
        <f>Q106+Q96*GREET1_Import_Export!$B$62/GREET1_Import_Export!$B$65+Q97*GREET1_Import_Export!$B$63/GREET1_Import_Export!$B$65</f>
        <v>1056.0437121051891</v>
      </c>
    </row>
    <row r="108" spans="1:17">
      <c r="A108" s="292" t="s">
        <v>851</v>
      </c>
      <c r="B108" s="295">
        <f>B107+SUMPRODUCT(B104:B105,GREET1_Import_Export!$B$51:$B$52)+SUMPRODUCT(B96:B98,GREET1_Import_Export!$B$55:$B$57)+SUMPRODUCT(B102:B103,GREET1_Import_Export!$B$58:$B$59)</f>
        <v>1994663.3556342029</v>
      </c>
      <c r="C108" s="296">
        <f>C107+SUMPRODUCT(C104:C105,GREET1_Import_Export!$B$51:$B$52)+SUMPRODUCT(C96:C98,GREET1_Import_Export!$B$55:$B$57)+SUMPRODUCT(C102:C103,GREET1_Import_Export!$B$58:$B$59)</f>
        <v>997.33167781710142</v>
      </c>
      <c r="D108" s="294">
        <f>D107+SUMPRODUCT(D104:D105,GREET1_Import_Export!$B$51:$B$52)+SUMPRODUCT(D96:D98,GREET1_Import_Export!$B$55:$B$57)+SUMPRODUCT(D102:D103,GREET1_Import_Export!$B$58:$B$59)</f>
        <v>9499544.1308053806</v>
      </c>
      <c r="E108" s="294">
        <f>E107+SUMPRODUCT(E104:E105,GREET1_Import_Export!$B$51:$B$52)+SUMPRODUCT(E96:E98,GREET1_Import_Export!$B$55:$B$57)+SUMPRODUCT(E102:E103,GREET1_Import_Export!$B$58:$B$59)</f>
        <v>4749.7720654026907</v>
      </c>
      <c r="F108" s="295">
        <f>F107+SUMPRODUCT(F104:F105,GREET1_Import_Export!$B$51:$B$52)+SUMPRODUCT(F96:F98,GREET1_Import_Export!$B$55:$B$57)+SUMPRODUCT(F102:F103,GREET1_Import_Export!$B$58:$B$59)</f>
        <v>337578.80304658029</v>
      </c>
      <c r="G108" s="296">
        <f>G107+SUMPRODUCT(G104:G105,GREET1_Import_Export!$B$51:$B$52)+SUMPRODUCT(G96:G98,GREET1_Import_Export!$B$55:$B$57)+SUMPRODUCT(G102:G103,GREET1_Import_Export!$B$58:$B$59)</f>
        <v>168.78940152329011</v>
      </c>
      <c r="H108" s="294">
        <f>H107+SUMPRODUCT(H104:H105,GREET1_Import_Export!$B$51:$B$52)+SUMPRODUCT(H96:H98,GREET1_Import_Export!$B$55:$B$57)+SUMPRODUCT(H102:H103,GREET1_Import_Export!$B$58:$B$59)</f>
        <v>1252943.4396029836</v>
      </c>
      <c r="I108" s="294">
        <f>I107+SUMPRODUCT(I104:I105,GREET1_Import_Export!$B$51:$B$52)+SUMPRODUCT(I96:I98,GREET1_Import_Export!$B$55:$B$57)+SUMPRODUCT(I102:I103,GREET1_Import_Export!$B$58:$B$59)</f>
        <v>626.47171980149176</v>
      </c>
      <c r="J108" s="295">
        <f>J107+SUMPRODUCT(J104:J105,GREET1_Import_Export!$B$51:$B$52)+SUMPRODUCT(J96:J98,GREET1_Import_Export!$B$55:$B$57)+SUMPRODUCT(J102:J103,GREET1_Import_Export!$B$58:$B$59)</f>
        <v>4522377.8917968804</v>
      </c>
      <c r="K108" s="296">
        <f>K107+SUMPRODUCT(K104:K105,GREET1_Import_Export!$B$51:$B$52)+SUMPRODUCT(K96:K98,GREET1_Import_Export!$B$55:$B$57)+SUMPRODUCT(K102:K103,GREET1_Import_Export!$B$58:$B$59)</f>
        <v>2261.1889458984406</v>
      </c>
      <c r="L108" s="294">
        <f>L107+SUMPRODUCT(L104:L105,GREET1_Import_Export!$B$51:$B$52)+SUMPRODUCT(L96:L98,GREET1_Import_Export!$B$55:$B$57)+SUMPRODUCT(L102:L103,GREET1_Import_Export!$B$58:$B$59)</f>
        <v>21491769.389209334</v>
      </c>
      <c r="M108" s="296">
        <f>M107+SUMPRODUCT(M104:M105,GREET1_Import_Export!$B$51:$B$52)+SUMPRODUCT(M96:M98,GREET1_Import_Export!$B$55:$B$57)+SUMPRODUCT(M102:M103,GREET1_Import_Export!$B$58:$B$59)</f>
        <v>10745.884694604669</v>
      </c>
      <c r="N108" s="294">
        <f>N107+SUMPRODUCT(N104:N105,GREET1_Import_Export!$B$51:$B$52)+SUMPRODUCT(N96:N98,GREET1_Import_Export!$B$55:$B$57)+SUMPRODUCT(N102:N103,GREET1_Import_Export!$B$58:$B$59)</f>
        <v>3797046.3956822287</v>
      </c>
      <c r="O108" s="296">
        <f>O107+SUMPRODUCT(O104:O105,GREET1_Import_Export!$B$51:$B$52)+SUMPRODUCT(O96:O98,GREET1_Import_Export!$B$55:$B$57)+SUMPRODUCT(O102:O103,GREET1_Import_Export!$B$58:$B$59)</f>
        <v>1898.5231978411143</v>
      </c>
      <c r="P108" s="294">
        <f>P107+SUMPRODUCT(P104:P105,GREET1_Import_Export!$B$51:$B$52)+SUMPRODUCT(P96:P98,GREET1_Import_Export!$B$55:$B$57)+SUMPRODUCT(P102:P103,GREET1_Import_Export!$B$58:$B$59)</f>
        <v>2413655.6167063545</v>
      </c>
      <c r="Q108" s="296">
        <f>Q107+SUMPRODUCT(Q104:Q105,GREET1_Import_Export!$B$51:$B$52)+SUMPRODUCT(Q96:Q98,GREET1_Import_Export!$B$55:$B$57)+SUMPRODUCT(Q102:Q103,GREET1_Import_Export!$B$58:$B$59)</f>
        <v>1206.8278083531773</v>
      </c>
    </row>
    <row r="109" spans="1:17">
      <c r="A109" s="290" t="s">
        <v>1031</v>
      </c>
      <c r="B109" s="234"/>
      <c r="C109" s="235"/>
      <c r="D109" s="228"/>
      <c r="E109" s="228"/>
      <c r="F109" s="234"/>
      <c r="G109" s="235"/>
      <c r="H109" s="228"/>
      <c r="I109" s="228"/>
      <c r="J109" s="234"/>
      <c r="K109" s="235"/>
      <c r="L109" s="228"/>
      <c r="M109" s="235"/>
      <c r="N109" s="228"/>
      <c r="O109" s="235"/>
      <c r="P109" s="228"/>
      <c r="Q109" s="235"/>
    </row>
    <row r="110" spans="1:17">
      <c r="A110" s="291" t="s">
        <v>821</v>
      </c>
      <c r="B110" s="234">
        <f t="shared" ref="B110:B117" si="30">SUM(B77:D77)</f>
        <v>15.913250131626189</v>
      </c>
      <c r="C110" s="235">
        <f t="shared" ref="C110:C117" si="31">B110/2000</f>
        <v>7.9566250658130947E-3</v>
      </c>
      <c r="D110" s="228">
        <f>Battery_Materials!B$6*GREET1_Import_Export!G513+E77</f>
        <v>72.104641042285763</v>
      </c>
      <c r="E110" s="228">
        <f t="shared" ref="E110:E117" si="32">D110/2000</f>
        <v>3.6052320521142885E-2</v>
      </c>
      <c r="F110" s="234">
        <f>GREET1_Import_Export!E544*Battery_Materials!D$8+SUM(H77:J77)</f>
        <v>62.744502870270907</v>
      </c>
      <c r="G110" s="235">
        <f t="shared" ref="G110:G117" si="33">F110/2000</f>
        <v>3.1372251435135452E-2</v>
      </c>
      <c r="H110" s="228">
        <f>GREET1_Import_Export!E544*Battery_Materials!E$8+SUM(K77:M77)</f>
        <v>227.69687964574663</v>
      </c>
      <c r="I110" s="228">
        <f t="shared" ref="I110:I117" si="34">H110/2000</f>
        <v>0.11384843982287332</v>
      </c>
      <c r="J110" s="234">
        <f>SUM(N77:P77)+$F$9*$N110+$F$10*$P110</f>
        <v>157.42665012006867</v>
      </c>
      <c r="K110" s="235">
        <f t="shared" ref="K110:K117" si="35">J110/2000</f>
        <v>7.8713325060034339E-2</v>
      </c>
      <c r="L110" s="228">
        <f t="shared" ref="L110:L117" si="36">SUM(Q77:S77)</f>
        <v>154.78610415936478</v>
      </c>
      <c r="M110" s="235">
        <f t="shared" ref="M110:Q117" si="37">L110/2000</f>
        <v>7.739305207968239E-2</v>
      </c>
      <c r="N110" s="228">
        <f>SUM(T77:V77)+$G$13*GREET1_Import_Export!$H544</f>
        <v>101.87872975655986</v>
      </c>
      <c r="O110" s="235">
        <f t="shared" si="37"/>
        <v>5.0939364878279929E-2</v>
      </c>
      <c r="P110" s="228">
        <f>SUM(W77:Y77)+$H$11*GREET1_Import_Export!$J513+$H$12*Vehi_Fluids!$L59</f>
        <v>189.07276605604918</v>
      </c>
      <c r="Q110" s="235">
        <f t="shared" si="37"/>
        <v>9.4536383028024584E-2</v>
      </c>
    </row>
    <row r="111" spans="1:17">
      <c r="A111" s="291" t="s">
        <v>822</v>
      </c>
      <c r="B111" s="234">
        <f t="shared" si="30"/>
        <v>87.728285145663136</v>
      </c>
      <c r="C111" s="235">
        <f t="shared" si="31"/>
        <v>4.3864142572831569E-2</v>
      </c>
      <c r="D111" s="228">
        <f>Battery_Materials!B$6*GREET1_Import_Export!G514+E78</f>
        <v>477.95288891318734</v>
      </c>
      <c r="E111" s="228">
        <f t="shared" si="32"/>
        <v>0.23897644445659366</v>
      </c>
      <c r="F111" s="234">
        <f>GREET1_Import_Export!E545*Battery_Materials!D$8+SUM(H78:J78)</f>
        <v>36.055671189397856</v>
      </c>
      <c r="G111" s="235">
        <f t="shared" si="33"/>
        <v>1.8027835594698928E-2</v>
      </c>
      <c r="H111" s="228">
        <f>GREET1_Import_Export!E545*Battery_Materials!E$8+SUM(K78:M78)</f>
        <v>131.79893357882568</v>
      </c>
      <c r="I111" s="228">
        <f t="shared" si="34"/>
        <v>6.5899466789412844E-2</v>
      </c>
      <c r="J111" s="234">
        <f t="shared" ref="J111:J117" si="38">SUM(N78:P78)+$F$9*$N111+$F$10*$P111</f>
        <v>171.83492974311125</v>
      </c>
      <c r="K111" s="235">
        <f t="shared" si="35"/>
        <v>8.5917464871555618E-2</v>
      </c>
      <c r="L111" s="228">
        <f t="shared" si="36"/>
        <v>1013.1170799915593</v>
      </c>
      <c r="M111" s="235">
        <f t="shared" si="37"/>
        <v>0.5065585399957796</v>
      </c>
      <c r="N111" s="228">
        <f>SUM(T78:V78)+$G$13*GREET1_Import_Export!$H545</f>
        <v>140.51462711136153</v>
      </c>
      <c r="O111" s="235">
        <f t="shared" si="37"/>
        <v>7.0257313555680767E-2</v>
      </c>
      <c r="P111" s="228">
        <f>SUM(W78:Y78)+$H$11*GREET1_Import_Export!$J514+$H$12*Vehi_Fluids!$L60</f>
        <v>96.772321292791474</v>
      </c>
      <c r="Q111" s="235">
        <f t="shared" si="37"/>
        <v>4.838616064639574E-2</v>
      </c>
    </row>
    <row r="112" spans="1:17">
      <c r="A112" s="291" t="s">
        <v>823</v>
      </c>
      <c r="B112" s="234">
        <f t="shared" si="30"/>
        <v>198.63790768904187</v>
      </c>
      <c r="C112" s="235">
        <f t="shared" si="31"/>
        <v>9.9318953844520927E-2</v>
      </c>
      <c r="D112" s="228">
        <f>Battery_Materials!B$6*GREET1_Import_Export!G515+E79</f>
        <v>1477.2222635141566</v>
      </c>
      <c r="E112" s="228">
        <f t="shared" si="32"/>
        <v>0.73861113175707827</v>
      </c>
      <c r="F112" s="234">
        <f>GREET1_Import_Export!E546*Battery_Materials!D$8+SUM(H79:J79)</f>
        <v>59.245580766574939</v>
      </c>
      <c r="G112" s="235">
        <f t="shared" si="33"/>
        <v>2.9622790383287471E-2</v>
      </c>
      <c r="H112" s="228">
        <f>GREET1_Import_Export!E546*Battery_Materials!E$8+SUM(K79:M79)</f>
        <v>215.57725379881424</v>
      </c>
      <c r="I112" s="228">
        <f t="shared" si="34"/>
        <v>0.10778862689940712</v>
      </c>
      <c r="J112" s="234">
        <f t="shared" si="38"/>
        <v>237.54360586419736</v>
      </c>
      <c r="K112" s="235">
        <f t="shared" si="35"/>
        <v>0.11877180293209869</v>
      </c>
      <c r="L112" s="228">
        <f t="shared" si="36"/>
        <v>2590.8319652145801</v>
      </c>
      <c r="M112" s="235">
        <f t="shared" si="37"/>
        <v>1.29541598260729</v>
      </c>
      <c r="N112" s="228">
        <f>SUM(T79:V79)+$G$13*GREET1_Import_Export!$H546</f>
        <v>183.85152791962597</v>
      </c>
      <c r="O112" s="235">
        <f t="shared" si="37"/>
        <v>9.1925763959812987E-2</v>
      </c>
      <c r="P112" s="228">
        <f>SUM(W79:Y79)+$H$11*GREET1_Import_Export!$J515+$H$12*Vehi_Fluids!$L61</f>
        <v>133.98452059228194</v>
      </c>
      <c r="Q112" s="235">
        <f t="shared" si="37"/>
        <v>6.6992260296140971E-2</v>
      </c>
    </row>
    <row r="113" spans="1:17">
      <c r="A113" s="483" t="s">
        <v>824</v>
      </c>
      <c r="B113" s="234">
        <f t="shared" si="30"/>
        <v>21.349184245516934</v>
      </c>
      <c r="C113" s="235">
        <f t="shared" si="31"/>
        <v>1.0674592122758467E-2</v>
      </c>
      <c r="D113" s="228">
        <f>Battery_Materials!B$6*GREET1_Import_Export!G516+E80</f>
        <v>191.92096139998884</v>
      </c>
      <c r="E113" s="228">
        <f t="shared" si="32"/>
        <v>9.5960480699994424E-2</v>
      </c>
      <c r="F113" s="234">
        <f>GREET1_Import_Export!E547*Battery_Materials!D$8+SUM(H80:J80)</f>
        <v>6.6660122843523775</v>
      </c>
      <c r="G113" s="235">
        <f t="shared" si="33"/>
        <v>3.3330061421761887E-3</v>
      </c>
      <c r="H113" s="228">
        <f>GREET1_Import_Export!E547*Battery_Materials!E$8+SUM(K80:M80)</f>
        <v>24.063135997050566</v>
      </c>
      <c r="I113" s="228">
        <f t="shared" si="34"/>
        <v>1.2031567998525283E-2</v>
      </c>
      <c r="J113" s="234">
        <f t="shared" si="38"/>
        <v>12.286422343110567</v>
      </c>
      <c r="K113" s="235">
        <f t="shared" si="35"/>
        <v>6.1432111715552839E-3</v>
      </c>
      <c r="L113" s="228">
        <f t="shared" si="36"/>
        <v>308.90958271034452</v>
      </c>
      <c r="M113" s="235">
        <f t="shared" si="37"/>
        <v>0.15445479135517226</v>
      </c>
      <c r="N113" s="228">
        <f>SUM(T80:V80)+$G$13*GREET1_Import_Export!$H547</f>
        <v>8.1171239286467642</v>
      </c>
      <c r="O113" s="235">
        <f t="shared" si="37"/>
        <v>4.058561964323382E-3</v>
      </c>
      <c r="P113" s="228">
        <f>SUM(W80:Y80)+$H$11*GREET1_Import_Export!$J516+$H$12*Vehi_Fluids!$L62</f>
        <v>6.8292865640751206</v>
      </c>
      <c r="Q113" s="235">
        <f t="shared" si="37"/>
        <v>3.4146432820375602E-3</v>
      </c>
    </row>
    <row r="114" spans="1:17">
      <c r="A114" s="291" t="s">
        <v>825</v>
      </c>
      <c r="B114" s="234">
        <f t="shared" si="30"/>
        <v>18.781459996349547</v>
      </c>
      <c r="C114" s="235">
        <f t="shared" si="31"/>
        <v>9.3907299981747742E-3</v>
      </c>
      <c r="D114" s="228">
        <f>Battery_Materials!B$6*GREET1_Import_Export!G517+E81</f>
        <v>168.99014394918206</v>
      </c>
      <c r="E114" s="228">
        <f t="shared" si="32"/>
        <v>8.4495071974591024E-2</v>
      </c>
      <c r="F114" s="234">
        <f>GREET1_Import_Export!E548*Battery_Materials!D$8+SUM(H81:J81)</f>
        <v>6.0118010523140288</v>
      </c>
      <c r="G114" s="235">
        <f t="shared" si="33"/>
        <v>3.0059005261570144E-3</v>
      </c>
      <c r="H114" s="228">
        <f>GREET1_Import_Export!E548*Battery_Materials!E$8+SUM(K81:M81)</f>
        <v>21.704135504640419</v>
      </c>
      <c r="I114" s="228">
        <f t="shared" si="34"/>
        <v>1.085206775232021E-2</v>
      </c>
      <c r="J114" s="234">
        <f t="shared" si="38"/>
        <v>11.050435060867866</v>
      </c>
      <c r="K114" s="235">
        <f t="shared" si="35"/>
        <v>5.5252175304339327E-3</v>
      </c>
      <c r="L114" s="228">
        <f t="shared" si="36"/>
        <v>271.68792356123515</v>
      </c>
      <c r="M114" s="235">
        <f t="shared" si="37"/>
        <v>0.13584396178061758</v>
      </c>
      <c r="N114" s="228">
        <f>SUM(T81:V81)+$G$13*GREET1_Import_Export!$H548</f>
        <v>7.4316121207683086</v>
      </c>
      <c r="O114" s="235">
        <f t="shared" si="37"/>
        <v>3.7158060603841542E-3</v>
      </c>
      <c r="P114" s="228">
        <f>SUM(W81:Y81)+$H$11*GREET1_Import_Export!$J517+$H$12*Vehi_Fluids!$L63</f>
        <v>5.9348746467690434</v>
      </c>
      <c r="Q114" s="235">
        <f t="shared" si="37"/>
        <v>2.9674373233845217E-3</v>
      </c>
    </row>
    <row r="115" spans="1:17">
      <c r="A115" s="483" t="s">
        <v>826</v>
      </c>
      <c r="B115" s="234">
        <f t="shared" si="30"/>
        <v>157.57541363062128</v>
      </c>
      <c r="C115" s="235">
        <f t="shared" si="31"/>
        <v>7.8787706815310637E-2</v>
      </c>
      <c r="D115" s="228">
        <f>Battery_Materials!B$6*GREET1_Import_Export!G518+E82</f>
        <v>1422.0252397736394</v>
      </c>
      <c r="E115" s="228">
        <f t="shared" si="32"/>
        <v>0.71101261988681974</v>
      </c>
      <c r="F115" s="234">
        <f>GREET1_Import_Export!E549*Battery_Materials!D$8+SUM(H82:J82)</f>
        <v>16.841374664007429</v>
      </c>
      <c r="G115" s="235">
        <f t="shared" si="33"/>
        <v>8.4206873320037141E-3</v>
      </c>
      <c r="H115" s="228">
        <f>GREET1_Import_Export!E549*Battery_Materials!E$8+SUM(K82:M82)</f>
        <v>60.31540041533173</v>
      </c>
      <c r="I115" s="228">
        <f t="shared" si="34"/>
        <v>3.0157700207665866E-2</v>
      </c>
      <c r="J115" s="234">
        <f t="shared" si="38"/>
        <v>63.418319411778015</v>
      </c>
      <c r="K115" s="235">
        <f t="shared" si="35"/>
        <v>3.1709159705889008E-2</v>
      </c>
      <c r="L115" s="228">
        <f t="shared" si="36"/>
        <v>2302.122471166404</v>
      </c>
      <c r="M115" s="235">
        <f t="shared" si="37"/>
        <v>1.1510612355832019</v>
      </c>
      <c r="N115" s="228">
        <f>SUM(T82:V82)+$G$13*GREET1_Import_Export!$H549</f>
        <v>34.891348304633475</v>
      </c>
      <c r="O115" s="235">
        <f t="shared" si="37"/>
        <v>1.7445674152316737E-2</v>
      </c>
      <c r="P115" s="228">
        <f>SUM(W82:Y82)+$H$11*GREET1_Import_Export!$J518+$H$12*Vehi_Fluids!$L64</f>
        <v>36.394174308673087</v>
      </c>
      <c r="Q115" s="235">
        <f t="shared" si="37"/>
        <v>1.8197087154336544E-2</v>
      </c>
    </row>
    <row r="116" spans="1:17">
      <c r="A116" s="291" t="s">
        <v>827</v>
      </c>
      <c r="B116" s="234">
        <f t="shared" si="30"/>
        <v>1.0032917988728334</v>
      </c>
      <c r="C116" s="235">
        <f t="shared" si="31"/>
        <v>5.0164589943641673E-4</v>
      </c>
      <c r="D116" s="228">
        <f>Battery_Materials!B$6*GREET1_Import_Export!G519+E83</f>
        <v>9.216680337506812</v>
      </c>
      <c r="E116" s="228">
        <f t="shared" si="32"/>
        <v>4.608340168753406E-3</v>
      </c>
      <c r="F116" s="234">
        <f>GREET1_Import_Export!E550*Battery_Materials!D$8+SUM(H83:J83)</f>
        <v>0.49698970665308545</v>
      </c>
      <c r="G116" s="235">
        <f t="shared" si="33"/>
        <v>2.4849485332654271E-4</v>
      </c>
      <c r="H116" s="228">
        <f>GREET1_Import_Export!E550*Battery_Materials!E$8+SUM(K83:M83)</f>
        <v>1.7977614062124507</v>
      </c>
      <c r="I116" s="228">
        <f t="shared" si="34"/>
        <v>8.9888070310622538E-4</v>
      </c>
      <c r="J116" s="234">
        <f t="shared" si="38"/>
        <v>0.67997285414770547</v>
      </c>
      <c r="K116" s="235">
        <f t="shared" si="35"/>
        <v>3.3998642707385276E-4</v>
      </c>
      <c r="L116" s="228">
        <f t="shared" si="36"/>
        <v>14.132677876167833</v>
      </c>
      <c r="M116" s="235">
        <f t="shared" si="37"/>
        <v>7.0663389380839162E-3</v>
      </c>
      <c r="N116" s="228">
        <f>SUM(T83:V83)+$G$13*GREET1_Import_Export!$H550</f>
        <v>0.51650515651754092</v>
      </c>
      <c r="O116" s="235">
        <f t="shared" si="37"/>
        <v>2.5825257825877045E-4</v>
      </c>
      <c r="P116" s="228">
        <f>SUM(W83:Y83)+$H$11*GREET1_Import_Export!$J519+$H$12*Vehi_Fluids!$L65</f>
        <v>0.26267779664994911</v>
      </c>
      <c r="Q116" s="235">
        <f t="shared" si="37"/>
        <v>1.3133889832497457E-4</v>
      </c>
    </row>
    <row r="117" spans="1:17">
      <c r="A117" s="484" t="s">
        <v>828</v>
      </c>
      <c r="B117" s="249">
        <f t="shared" si="30"/>
        <v>5.3438697526035615</v>
      </c>
      <c r="C117" s="237">
        <f t="shared" si="31"/>
        <v>2.6719348763017806E-3</v>
      </c>
      <c r="D117" s="231">
        <f>Battery_Materials!B$6*GREET1_Import_Export!G520+E84</f>
        <v>48.925684521620106</v>
      </c>
      <c r="E117" s="231">
        <f t="shared" si="32"/>
        <v>2.4462842260810053E-2</v>
      </c>
      <c r="F117" s="249">
        <f>GREET1_Import_Export!E551*Battery_Materials!D$8+SUM(H84:J84)</f>
        <v>1.7530949809991478</v>
      </c>
      <c r="G117" s="237">
        <f t="shared" si="33"/>
        <v>8.7654749049957388E-4</v>
      </c>
      <c r="H117" s="231">
        <f>GREET1_Import_Export!E551*Battery_Materials!E$8+SUM(K84:M84)</f>
        <v>6.3299859955557753</v>
      </c>
      <c r="I117" s="231">
        <f t="shared" si="34"/>
        <v>3.1649929977778878E-3</v>
      </c>
      <c r="J117" s="249">
        <f t="shared" si="38"/>
        <v>2.5880530714122703</v>
      </c>
      <c r="K117" s="237">
        <f t="shared" si="35"/>
        <v>1.294026535706135E-3</v>
      </c>
      <c r="L117" s="231">
        <f t="shared" si="36"/>
        <v>77.769175939593822</v>
      </c>
      <c r="M117" s="237">
        <f t="shared" si="37"/>
        <v>3.8884587969796908E-2</v>
      </c>
      <c r="N117" s="231">
        <f>SUM(T84:V84)+$G$13*GREET1_Import_Export!$H551</f>
        <v>1.7438809223355682</v>
      </c>
      <c r="O117" s="237">
        <f t="shared" si="37"/>
        <v>8.7194046116778417E-4</v>
      </c>
      <c r="P117" s="231">
        <f>SUM(W84:Y84)+$H$11*GREET1_Import_Export!$J520+$H$12*Vehi_Fluids!$L66</f>
        <v>1.0156189931374908</v>
      </c>
      <c r="Q117" s="237">
        <f t="shared" si="37"/>
        <v>5.0780949656874545E-4</v>
      </c>
    </row>
  </sheetData>
  <phoneticPr fontId="4" type="noConversion"/>
  <pageMargins left="0.75" right="0.75" top="1" bottom="1" header="0.5" footer="0.5"/>
  <headerFooter alignWithMargins="0"/>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dimension ref="A1:P109"/>
  <sheetViews>
    <sheetView showGridLines="0" zoomScale="85" zoomScaleNormal="85" workbookViewId="0"/>
  </sheetViews>
  <sheetFormatPr defaultColWidth="8.85546875" defaultRowHeight="12.75"/>
  <cols>
    <col min="1" max="1" width="35.140625" customWidth="1"/>
    <col min="2" max="2" width="12.7109375" bestFit="1" customWidth="1"/>
    <col min="3" max="3" width="10.28515625" bestFit="1" customWidth="1"/>
    <col min="4" max="5" width="12.7109375" bestFit="1" customWidth="1"/>
    <col min="8" max="8" width="10" customWidth="1"/>
    <col min="14" max="14" width="10.85546875" customWidth="1"/>
    <col min="15" max="16" width="9.7109375" customWidth="1"/>
  </cols>
  <sheetData>
    <row r="1" spans="1:6" ht="15.75">
      <c r="A1" s="81" t="s">
        <v>1561</v>
      </c>
      <c r="B1" s="1321"/>
      <c r="C1" s="1321"/>
      <c r="D1" s="1321"/>
      <c r="E1" s="1321"/>
      <c r="F1" s="1321"/>
    </row>
    <row r="3" spans="1:6">
      <c r="A3" s="172" t="s">
        <v>1526</v>
      </c>
      <c r="B3" s="1321"/>
      <c r="C3" s="1321"/>
      <c r="D3" s="1321"/>
      <c r="E3" s="1321"/>
      <c r="F3" s="1321"/>
    </row>
    <row r="4" spans="1:6">
      <c r="A4" s="1321" t="s">
        <v>1562</v>
      </c>
      <c r="B4" s="1321"/>
      <c r="C4" s="1321"/>
      <c r="D4" s="879">
        <v>5.1079999999999997</v>
      </c>
      <c r="E4" s="1321" t="s">
        <v>1563</v>
      </c>
      <c r="F4" s="1321"/>
    </row>
    <row r="5" spans="1:6">
      <c r="A5" s="172"/>
      <c r="B5" s="112"/>
      <c r="C5" s="1321"/>
      <c r="D5" s="1321"/>
      <c r="E5" s="1321"/>
      <c r="F5" s="1321"/>
    </row>
    <row r="6" spans="1:6">
      <c r="A6" s="172" t="s">
        <v>762</v>
      </c>
      <c r="B6" s="1321"/>
      <c r="C6" s="1321"/>
      <c r="D6" s="1321"/>
      <c r="E6" s="1321"/>
      <c r="F6" s="1321"/>
    </row>
    <row r="7" spans="1:6" ht="77.25" customHeight="1">
      <c r="A7" s="80"/>
      <c r="B7" s="1338" t="s">
        <v>1564</v>
      </c>
      <c r="C7" s="1338" t="s">
        <v>1565</v>
      </c>
      <c r="D7" s="1338" t="s">
        <v>1566</v>
      </c>
      <c r="E7" s="1338" t="s">
        <v>1567</v>
      </c>
      <c r="F7" s="1339" t="s">
        <v>962</v>
      </c>
    </row>
    <row r="8" spans="1:6">
      <c r="A8" s="80" t="s">
        <v>769</v>
      </c>
      <c r="B8" s="127">
        <v>1</v>
      </c>
      <c r="C8" s="127">
        <v>1</v>
      </c>
      <c r="D8" s="127">
        <v>1</v>
      </c>
      <c r="E8" s="127">
        <v>1</v>
      </c>
      <c r="F8" s="128">
        <v>1</v>
      </c>
    </row>
    <row r="9" spans="1:6">
      <c r="A9" s="174" t="s">
        <v>1546</v>
      </c>
      <c r="B9" s="127">
        <f>1-B8</f>
        <v>0</v>
      </c>
      <c r="C9" s="127">
        <f>1-C8</f>
        <v>0</v>
      </c>
      <c r="D9" s="127">
        <f>1-D8</f>
        <v>0</v>
      </c>
      <c r="E9" s="127">
        <f>1-E8</f>
        <v>0</v>
      </c>
      <c r="F9" s="128">
        <f>1-F8</f>
        <v>0</v>
      </c>
    </row>
    <row r="10" spans="1:6">
      <c r="A10" s="173" t="s">
        <v>1547</v>
      </c>
      <c r="B10" s="179">
        <v>0</v>
      </c>
      <c r="C10" s="179">
        <v>0</v>
      </c>
      <c r="D10" s="179">
        <v>0</v>
      </c>
      <c r="E10" s="179">
        <v>0</v>
      </c>
      <c r="F10" s="180">
        <v>0</v>
      </c>
    </row>
    <row r="11" spans="1:6">
      <c r="A11" s="173" t="s">
        <v>1214</v>
      </c>
      <c r="B11" s="127">
        <v>0</v>
      </c>
      <c r="C11" s="127">
        <v>0</v>
      </c>
      <c r="D11" s="127">
        <v>0</v>
      </c>
      <c r="E11" s="127">
        <v>0</v>
      </c>
      <c r="F11" s="128">
        <v>0</v>
      </c>
    </row>
    <row r="12" spans="1:6">
      <c r="A12" s="173" t="s">
        <v>1548</v>
      </c>
      <c r="B12" s="127">
        <f>1-B10-B11</f>
        <v>1</v>
      </c>
      <c r="C12" s="127">
        <f>1-C10-C11</f>
        <v>1</v>
      </c>
      <c r="D12" s="127">
        <f>1-D10-D11</f>
        <v>1</v>
      </c>
      <c r="E12" s="127">
        <f>1-E10-E11</f>
        <v>1</v>
      </c>
      <c r="F12" s="128">
        <f>1-F10-F11</f>
        <v>1</v>
      </c>
    </row>
    <row r="13" spans="1:6">
      <c r="A13" s="1627" t="s">
        <v>1549</v>
      </c>
      <c r="B13" s="1340">
        <v>1</v>
      </c>
      <c r="C13" s="1340">
        <v>1</v>
      </c>
      <c r="D13" s="1340">
        <v>1</v>
      </c>
      <c r="E13" s="1340">
        <v>1</v>
      </c>
      <c r="F13" s="1341">
        <v>1</v>
      </c>
    </row>
    <row r="14" spans="1:6">
      <c r="A14" s="1627" t="s">
        <v>1550</v>
      </c>
      <c r="B14" s="1340">
        <v>1</v>
      </c>
      <c r="C14" s="1340">
        <v>1</v>
      </c>
      <c r="D14" s="1340">
        <v>1</v>
      </c>
      <c r="E14" s="1340">
        <v>1</v>
      </c>
      <c r="F14" s="1341">
        <v>1</v>
      </c>
    </row>
    <row r="15" spans="1:6">
      <c r="A15" s="173" t="s">
        <v>1551</v>
      </c>
      <c r="B15" s="127">
        <v>0</v>
      </c>
      <c r="C15" s="127">
        <v>0</v>
      </c>
      <c r="D15" s="127">
        <v>0</v>
      </c>
      <c r="E15" s="127">
        <v>0</v>
      </c>
      <c r="F15" s="128">
        <v>0</v>
      </c>
    </row>
    <row r="16" spans="1:6">
      <c r="A16" s="173" t="s">
        <v>1042</v>
      </c>
      <c r="B16" s="127">
        <v>1</v>
      </c>
      <c r="C16" s="127">
        <v>1</v>
      </c>
      <c r="D16" s="127">
        <v>1</v>
      </c>
      <c r="E16" s="127">
        <v>1</v>
      </c>
      <c r="F16" s="128">
        <v>1</v>
      </c>
    </row>
    <row r="17" spans="1:16">
      <c r="A17" s="173" t="s">
        <v>1552</v>
      </c>
      <c r="B17" s="127">
        <v>0</v>
      </c>
      <c r="C17" s="127">
        <v>0</v>
      </c>
      <c r="D17" s="127">
        <v>0</v>
      </c>
      <c r="E17" s="127">
        <v>0</v>
      </c>
      <c r="F17" s="128">
        <v>0</v>
      </c>
      <c r="G17" s="1321"/>
      <c r="H17" s="1321"/>
      <c r="I17" s="1321"/>
      <c r="J17" s="1321"/>
      <c r="K17" s="1321"/>
      <c r="L17" s="1321"/>
      <c r="M17" s="1321"/>
      <c r="N17" s="1321"/>
      <c r="O17" s="1321"/>
      <c r="P17" s="1321"/>
    </row>
    <row r="18" spans="1:16">
      <c r="A18" s="173" t="s">
        <v>1553</v>
      </c>
      <c r="B18" s="127">
        <v>0</v>
      </c>
      <c r="C18" s="127">
        <v>0</v>
      </c>
      <c r="D18" s="127">
        <v>0</v>
      </c>
      <c r="E18" s="127">
        <v>0</v>
      </c>
      <c r="F18" s="128">
        <v>0</v>
      </c>
      <c r="G18" s="1321"/>
      <c r="H18" s="1321"/>
      <c r="I18" s="1321"/>
      <c r="J18" s="1321"/>
      <c r="K18" s="1321"/>
      <c r="L18" s="1321"/>
      <c r="M18" s="1321"/>
      <c r="N18" s="1321"/>
      <c r="O18" s="1321"/>
      <c r="P18" s="1321"/>
    </row>
    <row r="19" spans="1:16">
      <c r="A19" s="173" t="s">
        <v>1554</v>
      </c>
      <c r="B19" s="127">
        <v>0</v>
      </c>
      <c r="C19" s="127">
        <v>0</v>
      </c>
      <c r="D19" s="127">
        <v>0</v>
      </c>
      <c r="E19" s="127">
        <v>0</v>
      </c>
      <c r="F19" s="128">
        <v>0</v>
      </c>
      <c r="G19" s="1321"/>
      <c r="H19" s="1321"/>
      <c r="I19" s="1321"/>
      <c r="J19" s="1321"/>
      <c r="K19" s="1321"/>
      <c r="L19" s="1321"/>
      <c r="M19" s="1321"/>
      <c r="N19" s="1321"/>
      <c r="O19" s="1321"/>
      <c r="P19" s="1321"/>
    </row>
    <row r="20" spans="1:16">
      <c r="A20" s="173" t="s">
        <v>1555</v>
      </c>
      <c r="B20" s="127">
        <f>1-SUM(B15:B19)</f>
        <v>0</v>
      </c>
      <c r="C20" s="127">
        <f>1-SUM(C15:C19)</f>
        <v>0</v>
      </c>
      <c r="D20" s="127">
        <f>1-SUM(D15:D19)</f>
        <v>0</v>
      </c>
      <c r="E20" s="127">
        <f>1-SUM(E15:E19)</f>
        <v>0</v>
      </c>
      <c r="F20" s="128">
        <f>1-SUM(F15:F19)</f>
        <v>0</v>
      </c>
      <c r="G20" s="1321"/>
      <c r="H20" s="1321"/>
      <c r="I20" s="1321"/>
      <c r="J20" s="1321"/>
      <c r="K20" s="1321"/>
      <c r="L20" s="1321"/>
      <c r="M20" s="1321"/>
      <c r="N20" s="1321"/>
      <c r="O20" s="1321"/>
      <c r="P20" s="1321"/>
    </row>
    <row r="21" spans="1:16">
      <c r="A21" s="80" t="s">
        <v>773</v>
      </c>
      <c r="B21" s="179">
        <v>1</v>
      </c>
      <c r="C21" s="179">
        <v>1</v>
      </c>
      <c r="D21" s="179">
        <v>1</v>
      </c>
      <c r="E21" s="179">
        <v>1</v>
      </c>
      <c r="F21" s="180">
        <v>1</v>
      </c>
      <c r="G21" s="1321"/>
      <c r="H21" s="1321"/>
      <c r="I21" s="1321"/>
      <c r="J21" s="1321"/>
      <c r="K21" s="1321"/>
      <c r="L21" s="1321"/>
      <c r="M21" s="1321"/>
      <c r="N21" s="1321"/>
      <c r="O21" s="1321"/>
      <c r="P21" s="1321"/>
    </row>
    <row r="22" spans="1:16">
      <c r="A22" s="174" t="s">
        <v>1556</v>
      </c>
      <c r="B22" s="129">
        <f>1-B21</f>
        <v>0</v>
      </c>
      <c r="C22" s="129">
        <f>1-C21</f>
        <v>0</v>
      </c>
      <c r="D22" s="129">
        <f>1-D21</f>
        <v>0</v>
      </c>
      <c r="E22" s="129">
        <f>1-E21</f>
        <v>0</v>
      </c>
      <c r="F22" s="130">
        <f>1-F21</f>
        <v>0</v>
      </c>
      <c r="G22" s="1321"/>
      <c r="H22" s="1321"/>
      <c r="I22" s="1321"/>
      <c r="J22" s="1321"/>
      <c r="K22" s="1321"/>
      <c r="L22" s="1321"/>
      <c r="M22" s="1321"/>
      <c r="N22" s="1321"/>
      <c r="O22" s="1321"/>
      <c r="P22" s="1321"/>
    </row>
    <row r="24" spans="1:16">
      <c r="A24" s="172" t="s">
        <v>784</v>
      </c>
      <c r="B24" s="1321"/>
      <c r="C24" s="1321"/>
      <c r="D24" s="1321"/>
      <c r="E24" s="1321"/>
      <c r="F24" s="1321"/>
      <c r="G24" s="1321"/>
      <c r="H24" s="1321"/>
      <c r="I24" s="1321"/>
      <c r="J24" s="1321"/>
      <c r="K24" s="1321"/>
      <c r="L24" s="1321"/>
      <c r="M24" s="1321"/>
      <c r="N24" s="1321"/>
      <c r="O24" s="1321"/>
      <c r="P24" s="1321"/>
    </row>
    <row r="25" spans="1:16">
      <c r="A25" s="1299"/>
      <c r="B25" s="2986" t="s">
        <v>1568</v>
      </c>
      <c r="C25" s="2987"/>
      <c r="D25" s="2987"/>
      <c r="E25" s="2987"/>
      <c r="F25" s="2987"/>
      <c r="G25" s="2988"/>
      <c r="H25" s="2986" t="s">
        <v>1569</v>
      </c>
      <c r="I25" s="2987"/>
      <c r="J25" s="2987"/>
      <c r="K25" s="2987"/>
      <c r="L25" s="2987"/>
      <c r="M25" s="2987"/>
      <c r="N25" s="2987"/>
      <c r="O25" s="2987"/>
      <c r="P25" s="2988"/>
    </row>
    <row r="26" spans="1:16" ht="12" customHeight="1">
      <c r="A26" s="80"/>
      <c r="B26" s="1452" t="s">
        <v>1564</v>
      </c>
      <c r="C26" s="1453"/>
      <c r="D26" s="1454"/>
      <c r="E26" s="1452" t="s">
        <v>1565</v>
      </c>
      <c r="F26" s="1453"/>
      <c r="G26" s="1454"/>
      <c r="H26" s="1452" t="s">
        <v>1566</v>
      </c>
      <c r="I26" s="1453"/>
      <c r="J26" s="1454"/>
      <c r="K26" s="1452" t="s">
        <v>1567</v>
      </c>
      <c r="L26" s="1453"/>
      <c r="M26" s="1454"/>
      <c r="N26" s="1452" t="s">
        <v>962</v>
      </c>
      <c r="O26" s="1453"/>
      <c r="P26" s="1454"/>
    </row>
    <row r="27" spans="1:16" ht="85.5" customHeight="1">
      <c r="A27" s="174"/>
      <c r="B27" s="1673" t="s">
        <v>785</v>
      </c>
      <c r="C27" s="1675" t="s">
        <v>786</v>
      </c>
      <c r="D27" s="1674" t="s">
        <v>1057</v>
      </c>
      <c r="E27" s="1673" t="s">
        <v>785</v>
      </c>
      <c r="F27" s="1675" t="s">
        <v>786</v>
      </c>
      <c r="G27" s="1674" t="s">
        <v>1057</v>
      </c>
      <c r="H27" s="1673" t="s">
        <v>785</v>
      </c>
      <c r="I27" s="1675" t="s">
        <v>786</v>
      </c>
      <c r="J27" s="1674" t="s">
        <v>1057</v>
      </c>
      <c r="K27" s="1673" t="s">
        <v>785</v>
      </c>
      <c r="L27" s="1675" t="s">
        <v>786</v>
      </c>
      <c r="M27" s="1674" t="s">
        <v>1057</v>
      </c>
      <c r="N27" s="1673" t="s">
        <v>785</v>
      </c>
      <c r="O27" s="1675" t="s">
        <v>786</v>
      </c>
      <c r="P27" s="1674" t="s">
        <v>1057</v>
      </c>
    </row>
    <row r="28" spans="1:16">
      <c r="A28" s="173" t="s">
        <v>1559</v>
      </c>
      <c r="B28" s="2679">
        <v>5.1479999999999997</v>
      </c>
      <c r="C28" s="257"/>
      <c r="D28" s="289"/>
      <c r="E28" s="2679">
        <v>13.93</v>
      </c>
      <c r="F28" s="257"/>
      <c r="G28" s="289"/>
      <c r="H28" s="641">
        <f>14.15/(1+$D$4)</f>
        <v>2.316633922724296</v>
      </c>
      <c r="I28" s="257"/>
      <c r="J28" s="289"/>
      <c r="K28" s="641">
        <f>99.06/(1+$D$4)</f>
        <v>16.218074656188605</v>
      </c>
      <c r="L28" s="257"/>
      <c r="M28" s="289"/>
      <c r="N28" s="641">
        <v>46.65</v>
      </c>
      <c r="O28" s="257"/>
      <c r="P28" s="289"/>
    </row>
    <row r="29" spans="1:16">
      <c r="A29" s="173" t="s">
        <v>798</v>
      </c>
      <c r="B29" s="271">
        <v>0</v>
      </c>
      <c r="C29" s="256"/>
      <c r="D29" s="263"/>
      <c r="E29" s="271">
        <v>0</v>
      </c>
      <c r="F29" s="256"/>
      <c r="G29" s="263"/>
      <c r="H29" s="271">
        <v>0</v>
      </c>
      <c r="I29" s="256"/>
      <c r="J29" s="263"/>
      <c r="K29" s="271">
        <v>0</v>
      </c>
      <c r="L29" s="256"/>
      <c r="M29" s="263"/>
      <c r="N29" s="271">
        <v>0</v>
      </c>
      <c r="O29" s="256"/>
      <c r="P29" s="263"/>
    </row>
    <row r="30" spans="1:16">
      <c r="A30" s="173" t="s">
        <v>799</v>
      </c>
      <c r="B30" s="274"/>
      <c r="C30" s="275"/>
      <c r="D30" s="276"/>
      <c r="E30" s="274"/>
      <c r="F30" s="275"/>
      <c r="G30" s="276"/>
      <c r="H30" s="274"/>
      <c r="I30" s="275"/>
      <c r="J30" s="276"/>
      <c r="K30" s="274"/>
      <c r="L30" s="275"/>
      <c r="M30" s="276"/>
      <c r="N30" s="274"/>
      <c r="O30" s="275"/>
      <c r="P30" s="276"/>
    </row>
    <row r="31" spans="1:16">
      <c r="A31" s="173" t="s">
        <v>800</v>
      </c>
      <c r="B31" s="271">
        <v>0</v>
      </c>
      <c r="C31" s="256"/>
      <c r="D31" s="263"/>
      <c r="E31" s="271">
        <v>0</v>
      </c>
      <c r="F31" s="256"/>
      <c r="G31" s="263"/>
      <c r="H31" s="271">
        <v>0</v>
      </c>
      <c r="I31" s="256"/>
      <c r="J31" s="263"/>
      <c r="K31" s="271">
        <v>0</v>
      </c>
      <c r="L31" s="256"/>
      <c r="M31" s="263"/>
      <c r="N31" s="271">
        <v>0</v>
      </c>
      <c r="O31" s="256"/>
      <c r="P31" s="263"/>
    </row>
    <row r="32" spans="1:16">
      <c r="A32" s="173" t="s">
        <v>802</v>
      </c>
      <c r="B32" s="271"/>
      <c r="C32" s="256"/>
      <c r="D32" s="263"/>
      <c r="E32" s="271"/>
      <c r="F32" s="256"/>
      <c r="G32" s="263"/>
      <c r="H32" s="271"/>
      <c r="I32" s="256"/>
      <c r="J32" s="263"/>
      <c r="K32" s="271"/>
      <c r="L32" s="256"/>
      <c r="M32" s="263"/>
      <c r="N32" s="271"/>
      <c r="O32" s="256"/>
      <c r="P32" s="263"/>
    </row>
    <row r="33" spans="1:16">
      <c r="A33" s="173" t="s">
        <v>801</v>
      </c>
      <c r="B33" s="2680"/>
      <c r="C33" s="2681"/>
      <c r="D33" s="2682"/>
      <c r="E33" s="2680"/>
      <c r="F33" s="2681"/>
      <c r="G33" s="2682"/>
      <c r="H33" s="2680"/>
      <c r="I33" s="2681"/>
      <c r="J33" s="2682"/>
      <c r="K33" s="2680"/>
      <c r="L33" s="2681"/>
      <c r="M33" s="2682"/>
      <c r="N33" s="2680"/>
      <c r="O33" s="2681"/>
      <c r="P33" s="263"/>
    </row>
    <row r="34" spans="1:16">
      <c r="A34" s="173" t="s">
        <v>1319</v>
      </c>
      <c r="B34" s="2680"/>
      <c r="C34" s="2681"/>
      <c r="D34" s="2682"/>
      <c r="E34" s="2680"/>
      <c r="F34" s="2681"/>
      <c r="G34" s="2682"/>
      <c r="H34" s="2680"/>
      <c r="I34" s="2681"/>
      <c r="J34" s="2682"/>
      <c r="K34" s="2680"/>
      <c r="L34" s="2681"/>
      <c r="M34" s="2682"/>
      <c r="N34" s="2680"/>
      <c r="O34" s="2681"/>
      <c r="P34" s="263"/>
    </row>
    <row r="35" spans="1:16">
      <c r="A35" s="173" t="s">
        <v>804</v>
      </c>
      <c r="B35" s="2680">
        <v>1</v>
      </c>
      <c r="C35" s="2681"/>
      <c r="D35" s="2682"/>
      <c r="E35" s="2680">
        <v>0</v>
      </c>
      <c r="F35" s="2681"/>
      <c r="G35" s="2682"/>
      <c r="H35" s="2680">
        <v>1</v>
      </c>
      <c r="I35" s="2681"/>
      <c r="J35" s="2682"/>
      <c r="K35" s="2680">
        <v>0</v>
      </c>
      <c r="L35" s="2681"/>
      <c r="M35" s="2682"/>
      <c r="N35" s="2680">
        <v>1</v>
      </c>
      <c r="O35" s="2681"/>
      <c r="P35" s="263"/>
    </row>
    <row r="36" spans="1:16">
      <c r="A36" s="173" t="s">
        <v>805</v>
      </c>
      <c r="B36" s="2680">
        <v>0</v>
      </c>
      <c r="C36" s="2681"/>
      <c r="D36" s="2682"/>
      <c r="E36" s="2680">
        <v>0</v>
      </c>
      <c r="F36" s="2681"/>
      <c r="G36" s="2682"/>
      <c r="H36" s="2680">
        <v>0</v>
      </c>
      <c r="I36" s="2681"/>
      <c r="J36" s="2682"/>
      <c r="K36" s="2680">
        <v>0</v>
      </c>
      <c r="L36" s="2681"/>
      <c r="M36" s="2682"/>
      <c r="N36" s="2680">
        <v>0</v>
      </c>
      <c r="O36" s="2681"/>
      <c r="P36" s="263"/>
    </row>
    <row r="37" spans="1:16">
      <c r="A37" s="173" t="s">
        <v>806</v>
      </c>
      <c r="B37" s="2683">
        <f>1-SUM(B31:B36)</f>
        <v>0</v>
      </c>
      <c r="C37" s="2684"/>
      <c r="D37" s="2685"/>
      <c r="E37" s="2683">
        <f>1-SUM(E31:E36)</f>
        <v>1</v>
      </c>
      <c r="F37" s="2684"/>
      <c r="G37" s="2685"/>
      <c r="H37" s="2683">
        <f>1-SUM(H31:H36)</f>
        <v>0</v>
      </c>
      <c r="I37" s="2684"/>
      <c r="J37" s="2685"/>
      <c r="K37" s="2683">
        <f>1-SUM(K31:K36)</f>
        <v>1</v>
      </c>
      <c r="L37" s="2684"/>
      <c r="M37" s="2685"/>
      <c r="N37" s="2683">
        <f>1-SUM(N31:N36)</f>
        <v>0</v>
      </c>
      <c r="O37" s="2684"/>
      <c r="P37" s="280"/>
    </row>
    <row r="38" spans="1:16">
      <c r="A38" s="173" t="s">
        <v>862</v>
      </c>
      <c r="B38" s="2686"/>
      <c r="C38" s="2687"/>
      <c r="D38" s="2688"/>
      <c r="E38" s="2686"/>
      <c r="F38" s="2687"/>
      <c r="G38" s="2688"/>
      <c r="H38" s="2686"/>
      <c r="I38" s="2687"/>
      <c r="J38" s="2688"/>
      <c r="K38" s="2686"/>
      <c r="L38" s="2687"/>
      <c r="M38" s="2688"/>
      <c r="N38" s="2686"/>
      <c r="O38" s="2687"/>
      <c r="P38" s="262"/>
    </row>
    <row r="39" spans="1:16">
      <c r="A39" s="173" t="s">
        <v>800</v>
      </c>
      <c r="B39" s="1335">
        <f t="shared" ref="B39:B45" si="0">B$28*B31</f>
        <v>0</v>
      </c>
      <c r="C39" s="2689"/>
      <c r="D39" s="2690"/>
      <c r="E39" s="1335">
        <f t="shared" ref="E39:E45" si="1">E$28*E31</f>
        <v>0</v>
      </c>
      <c r="F39" s="2689"/>
      <c r="G39" s="2690"/>
      <c r="H39" s="1335">
        <f t="shared" ref="H39:H45" si="2">H$28*H31</f>
        <v>0</v>
      </c>
      <c r="I39" s="2689"/>
      <c r="J39" s="2690"/>
      <c r="K39" s="1335">
        <f t="shared" ref="K39:K45" si="3">K$28*K31</f>
        <v>0</v>
      </c>
      <c r="L39" s="2689"/>
      <c r="M39" s="2690"/>
      <c r="N39" s="1335">
        <f t="shared" ref="N39:N45" si="4">N$28*N31</f>
        <v>0</v>
      </c>
      <c r="O39" s="2689"/>
      <c r="P39" s="267"/>
    </row>
    <row r="40" spans="1:16">
      <c r="A40" s="173" t="s">
        <v>802</v>
      </c>
      <c r="B40" s="1335">
        <f t="shared" si="0"/>
        <v>0</v>
      </c>
      <c r="C40" s="2689"/>
      <c r="D40" s="2690"/>
      <c r="E40" s="1335">
        <f t="shared" si="1"/>
        <v>0</v>
      </c>
      <c r="F40" s="2689"/>
      <c r="G40" s="2690"/>
      <c r="H40" s="1335">
        <f t="shared" si="2"/>
        <v>0</v>
      </c>
      <c r="I40" s="2689"/>
      <c r="J40" s="2690"/>
      <c r="K40" s="1335">
        <f t="shared" si="3"/>
        <v>0</v>
      </c>
      <c r="L40" s="2689"/>
      <c r="M40" s="2690"/>
      <c r="N40" s="1335">
        <f t="shared" si="4"/>
        <v>0</v>
      </c>
      <c r="O40" s="2689"/>
      <c r="P40" s="267"/>
    </row>
    <row r="41" spans="1:16">
      <c r="A41" s="173" t="s">
        <v>801</v>
      </c>
      <c r="B41" s="1335">
        <f t="shared" si="0"/>
        <v>0</v>
      </c>
      <c r="C41" s="2689"/>
      <c r="D41" s="2690"/>
      <c r="E41" s="1335">
        <f t="shared" si="1"/>
        <v>0</v>
      </c>
      <c r="F41" s="2689"/>
      <c r="G41" s="2690"/>
      <c r="H41" s="1335">
        <f t="shared" si="2"/>
        <v>0</v>
      </c>
      <c r="I41" s="2689"/>
      <c r="J41" s="2690"/>
      <c r="K41" s="1335">
        <f t="shared" si="3"/>
        <v>0</v>
      </c>
      <c r="L41" s="2689"/>
      <c r="M41" s="2690"/>
      <c r="N41" s="1335">
        <f t="shared" si="4"/>
        <v>0</v>
      </c>
      <c r="O41" s="2689"/>
      <c r="P41" s="267"/>
    </row>
    <row r="42" spans="1:16">
      <c r="A42" s="173" t="s">
        <v>1319</v>
      </c>
      <c r="B42" s="273">
        <f t="shared" si="0"/>
        <v>0</v>
      </c>
      <c r="C42" s="258"/>
      <c r="D42" s="267"/>
      <c r="E42" s="273">
        <f t="shared" si="1"/>
        <v>0</v>
      </c>
      <c r="F42" s="258"/>
      <c r="G42" s="267"/>
      <c r="H42" s="273">
        <f t="shared" si="2"/>
        <v>0</v>
      </c>
      <c r="I42" s="258"/>
      <c r="J42" s="267"/>
      <c r="K42" s="273">
        <f t="shared" si="3"/>
        <v>0</v>
      </c>
      <c r="L42" s="258"/>
      <c r="M42" s="267"/>
      <c r="N42" s="273">
        <f t="shared" si="4"/>
        <v>0</v>
      </c>
      <c r="O42" s="258"/>
      <c r="P42" s="267"/>
    </row>
    <row r="43" spans="1:16">
      <c r="A43" s="173" t="s">
        <v>804</v>
      </c>
      <c r="B43" s="273">
        <f t="shared" si="0"/>
        <v>5.1479999999999997</v>
      </c>
      <c r="C43" s="258"/>
      <c r="D43" s="267"/>
      <c r="E43" s="273">
        <f t="shared" si="1"/>
        <v>0</v>
      </c>
      <c r="F43" s="258"/>
      <c r="G43" s="267"/>
      <c r="H43" s="273">
        <f t="shared" si="2"/>
        <v>2.316633922724296</v>
      </c>
      <c r="I43" s="258"/>
      <c r="J43" s="267"/>
      <c r="K43" s="273">
        <f t="shared" si="3"/>
        <v>0</v>
      </c>
      <c r="L43" s="258"/>
      <c r="M43" s="267"/>
      <c r="N43" s="273">
        <f t="shared" si="4"/>
        <v>46.65</v>
      </c>
      <c r="O43" s="258"/>
      <c r="P43" s="267"/>
    </row>
    <row r="44" spans="1:16">
      <c r="A44" s="173" t="s">
        <v>805</v>
      </c>
      <c r="B44" s="273">
        <f t="shared" si="0"/>
        <v>0</v>
      </c>
      <c r="C44" s="258"/>
      <c r="D44" s="267"/>
      <c r="E44" s="273">
        <f t="shared" si="1"/>
        <v>0</v>
      </c>
      <c r="F44" s="258"/>
      <c r="G44" s="267"/>
      <c r="H44" s="273">
        <f t="shared" si="2"/>
        <v>0</v>
      </c>
      <c r="I44" s="258"/>
      <c r="J44" s="267"/>
      <c r="K44" s="273">
        <f t="shared" si="3"/>
        <v>0</v>
      </c>
      <c r="L44" s="258"/>
      <c r="M44" s="267"/>
      <c r="N44" s="273">
        <f t="shared" si="4"/>
        <v>0</v>
      </c>
      <c r="O44" s="258"/>
      <c r="P44" s="267"/>
    </row>
    <row r="45" spans="1:16">
      <c r="A45" s="173" t="s">
        <v>806</v>
      </c>
      <c r="B45" s="273">
        <f t="shared" si="0"/>
        <v>0</v>
      </c>
      <c r="C45" s="258"/>
      <c r="D45" s="267"/>
      <c r="E45" s="273">
        <f t="shared" si="1"/>
        <v>13.93</v>
      </c>
      <c r="F45" s="258"/>
      <c r="G45" s="267"/>
      <c r="H45" s="273">
        <f t="shared" si="2"/>
        <v>0</v>
      </c>
      <c r="I45" s="258"/>
      <c r="J45" s="267"/>
      <c r="K45" s="273">
        <f t="shared" si="3"/>
        <v>16.218074656188605</v>
      </c>
      <c r="L45" s="258"/>
      <c r="M45" s="267"/>
      <c r="N45" s="273">
        <f t="shared" si="4"/>
        <v>0</v>
      </c>
      <c r="O45" s="258"/>
      <c r="P45" s="267"/>
    </row>
    <row r="46" spans="1:16">
      <c r="A46" s="80" t="s">
        <v>1570</v>
      </c>
      <c r="B46" s="281">
        <v>0.95</v>
      </c>
      <c r="C46" s="284"/>
      <c r="D46" s="285"/>
      <c r="E46" s="281"/>
      <c r="F46" s="284"/>
      <c r="G46" s="285"/>
      <c r="H46" s="281"/>
      <c r="I46" s="284"/>
      <c r="J46" s="285"/>
      <c r="K46" s="281"/>
      <c r="L46" s="284"/>
      <c r="M46" s="285"/>
      <c r="N46" s="281"/>
      <c r="O46" s="284"/>
      <c r="P46" s="285"/>
    </row>
    <row r="47" spans="1:16">
      <c r="A47" s="173" t="s">
        <v>1571</v>
      </c>
      <c r="B47" s="273">
        <v>0.24</v>
      </c>
      <c r="C47" s="258"/>
      <c r="D47" s="267"/>
      <c r="E47" s="273"/>
      <c r="F47" s="258"/>
      <c r="G47" s="267"/>
      <c r="H47" s="273"/>
      <c r="I47" s="258"/>
      <c r="J47" s="267"/>
      <c r="K47" s="273"/>
      <c r="L47" s="258"/>
      <c r="M47" s="267"/>
      <c r="N47" s="273"/>
      <c r="O47" s="258"/>
      <c r="P47" s="267"/>
    </row>
    <row r="48" spans="1:16">
      <c r="A48" s="173" t="s">
        <v>1572</v>
      </c>
      <c r="B48" s="273"/>
      <c r="C48" s="258"/>
      <c r="D48" s="267"/>
      <c r="E48" s="273"/>
      <c r="F48" s="258"/>
      <c r="G48" s="267"/>
      <c r="H48" s="273">
        <f>6.5/(1+$D$4)</f>
        <v>1.0641781270464965</v>
      </c>
      <c r="I48" s="258"/>
      <c r="J48" s="267"/>
      <c r="K48" s="273"/>
      <c r="L48" s="258"/>
      <c r="M48" s="267"/>
      <c r="N48" s="273"/>
      <c r="O48" s="258"/>
      <c r="P48" s="267"/>
    </row>
    <row r="49" spans="1:16">
      <c r="A49" s="174" t="s">
        <v>1573</v>
      </c>
      <c r="B49" s="286"/>
      <c r="C49" s="287"/>
      <c r="D49" s="268"/>
      <c r="E49" s="286"/>
      <c r="F49" s="287"/>
      <c r="G49" s="268"/>
      <c r="H49" s="286">
        <f>1.5/(1+$D$4)</f>
        <v>0.24557956777996073</v>
      </c>
      <c r="I49" s="287"/>
      <c r="J49" s="268"/>
      <c r="K49" s="286"/>
      <c r="L49" s="287"/>
      <c r="M49" s="268"/>
      <c r="N49" s="286"/>
      <c r="O49" s="287"/>
      <c r="P49" s="268"/>
    </row>
    <row r="50" spans="1:16">
      <c r="A50" s="173" t="s">
        <v>816</v>
      </c>
      <c r="B50" s="273">
        <f ca="1">Anode!B$39*(1+(GREET1_Import_Export!$B180*GREET1_Import_Export!$F$179+GREET1_Import_Export!$F180)/1000000)+Anode!B$40*(1+(GREET1_Import_Export!$B180*GREET1_Import_Export!$G$179+GREET1_Import_Export!$G180)/1000000)+Anode!B$41*(1+(GREET1_Import_Export!$B180*GREET1_Import_Export!$C$179+GREET1_Import_Export!$C180)/1000000)+Anode!B$42*(1+(GREET1_Import_Export!$E216*GREET1_Import_Export!$F$215+GREET1_Import_Export!$F216)/1000000)+Anode!B$43*(1+GREET1_Import_Export!$B216/1000000)+Anode!B$44*(1+GREET1_Import_Export!$B284/1000000)+Anode!B$45*GREET1_Import_Export!$L342/1000000+B$46*GREET1_Import_Export!$B$41/1000000*(1000000+GREET1_Import_Export!$B180*GREET1_Import_Export!$I$179+GREET1_Import_Export!$I180)/1000000+B$47*Steel!$B108+B$48*LiMn2O4!$B90+B$49*GREET1_Import_Export!$M494</f>
        <v>41.573229902463162</v>
      </c>
      <c r="C50" s="258"/>
      <c r="D50" s="267"/>
      <c r="E50" s="273">
        <f ca="1">Anode!E$39*(1+(GREET1_Import_Export!$B180*GREET1_Import_Export!$F$179+GREET1_Import_Export!$F180)/1000000)+Anode!E$40*(1+(GREET1_Import_Export!$B180*GREET1_Import_Export!$G$179+GREET1_Import_Export!$G180)/1000000)+Anode!E$41*(1+(GREET1_Import_Export!$B180*GREET1_Import_Export!$C$179+GREET1_Import_Export!$C180)/1000000)+Anode!E$42*(1+(GREET1_Import_Export!$E216*GREET1_Import_Export!$F$215+GREET1_Import_Export!$F216)/1000000)+Anode!E$43*(1+GREET1_Import_Export!$B216/1000000)+Anode!E$44*(1+GREET1_Import_Export!$B284/1000000)+Anode!E$45*GREET1_Import_Export!$L342/1000000+E$46*GREET1_Import_Export!$B$41/1000000*(1000000+GREET1_Import_Export!$B180*GREET1_Import_Export!$I$179+GREET1_Import_Export!$I180)/1000000+E$47*Steel!$B108+E$48*LiMn2O4!$B90+E$49*GREET1_Import_Export!$M494</f>
        <v>35.814493108781896</v>
      </c>
      <c r="F50" s="258"/>
      <c r="G50" s="267"/>
      <c r="H50" s="273">
        <f ca="1">Anode!H$39*(1+(GREET1_Import_Export!$B180*GREET1_Import_Export!$F$179+GREET1_Import_Export!$F180)/1000000)+Anode!H$40*(1+(GREET1_Import_Export!$B180*GREET1_Import_Export!$G$179+GREET1_Import_Export!$G180)/1000000)+Anode!H$41*(1+(GREET1_Import_Export!$B180*GREET1_Import_Export!$C$179+GREET1_Import_Export!$C180)/1000000)+Anode!H$42*(1+(GREET1_Import_Export!$E216*GREET1_Import_Export!$F$215+GREET1_Import_Export!$F216)/1000000)+Anode!H$43*(1+GREET1_Import_Export!$B216/1000000)+Anode!H$44*(1+GREET1_Import_Export!$B284/1000000)+Anode!H$45*SUM(GREET1_Import_Export!$B309:$C309)/1000000+H$46*GREET1_Import_Export!$B$41/1000000*(1000000+GREET1_Import_Export!$B180*GREET1_Import_Export!$I$179+GREET1_Import_Export!$I180)/1000000+H$47*Steel!$B108+H$48*LiMn2O4!$B90+H$49*GREET1_Import_Export!$M494</f>
        <v>33.266621303081749</v>
      </c>
      <c r="I50" s="258"/>
      <c r="J50" s="267"/>
      <c r="K50" s="273">
        <f ca="1">Anode!K$39*(1+(GREET1_Import_Export!$B180*GREET1_Import_Export!$F$179+GREET1_Import_Export!$F180)/1000000)+Anode!K$40*(1+(GREET1_Import_Export!$B180*GREET1_Import_Export!$G$179+GREET1_Import_Export!$G180)/1000000)+Anode!K$41*(1+(GREET1_Import_Export!$B180*GREET1_Import_Export!$C$179+GREET1_Import_Export!$C180)/1000000)+Anode!K$42*(1+(GREET1_Import_Export!$E216*GREET1_Import_Export!$F$215+GREET1_Import_Export!$F216)/1000000)+Anode!K$43*(1+GREET1_Import_Export!$B216/1000000)+Anode!K$44*(1+GREET1_Import_Export!$B284/1000000)+Anode!K$45*SUM(GREET1_Import_Export!$B309:$C309)/1000000+K$46*GREET1_Import_Export!$B$41/1000000*(1000000+GREET1_Import_Export!$B180*GREET1_Import_Export!$I$179+GREET1_Import_Export!$I180)/1000000+K$47*Steel!$B108+K$48*LiMn2O4!$B90+K$49*GREET1_Import_Export!$M494</f>
        <v>32.891151666752648</v>
      </c>
      <c r="L50" s="258"/>
      <c r="M50" s="267"/>
      <c r="N50" s="273">
        <f ca="1">Anode!N$39*(1+(GREET1_Import_Export!$B180*GREET1_Import_Export!$F$179+GREET1_Import_Export!$F180)/1000000)+Anode!N$40*(1+(GREET1_Import_Export!$B180*GREET1_Import_Export!$G$179+GREET1_Import_Export!$G180)/1000000)+Anode!N$41*(1+(GREET1_Import_Export!$B180*GREET1_Import_Export!$C$179+GREET1_Import_Export!$C180)/1000000)+Anode!N$42*(1+(GREET1_Import_Export!$E216*GREET1_Import_Export!$F$215+GREET1_Import_Export!$F216)/1000000)+Anode!N$43*(1+GREET1_Import_Export!$B216/1000000)+Anode!N$44*(1+GREET1_Import_Export!$B284/1000000)+Anode!N$45*SUM(GREET1_Import_Export!$B309:$C309)/1000000+N$46*GREET1_Import_Export!$B$41/1000000*(1000000+GREET1_Import_Export!$B180*GREET1_Import_Export!$I$179+GREET1_Import_Export!$I180)/1000000+N$47*Steel!$B108+N$48*LiMn2O4!$B90+N$49*GREET1_Import_Export!$M494</f>
        <v>51.513550161560552</v>
      </c>
      <c r="O50" s="258"/>
      <c r="P50" s="267"/>
    </row>
    <row r="51" spans="1:16">
      <c r="A51" s="173" t="s">
        <v>817</v>
      </c>
      <c r="B51" s="273">
        <f ca="1">Anode!B$39*(1+(GREET1_Import_Export!$B181*GREET1_Import_Export!$F$179+GREET1_Import_Export!$F181)/1000000)+Anode!B$40*(1+(GREET1_Import_Export!$B181*GREET1_Import_Export!$G$179+GREET1_Import_Export!$G181)/1000000)+Anode!B$41*(1+(GREET1_Import_Export!$B181*GREET1_Import_Export!$C$179+GREET1_Import_Export!$C181)/1000000)+Anode!B$42*(1+(GREET1_Import_Export!$E217*GREET1_Import_Export!$F$215+GREET1_Import_Export!$F217)/1000000)+Anode!B$43*(1+GREET1_Import_Export!$B217/1000000)+Anode!B$44*(1+GREET1_Import_Export!$B285/1000000)+Anode!B$45*GREET1_Import_Export!$L343/1000000+B$46*GREET1_Import_Export!$B$41/1000000*(1000000+GREET1_Import_Export!$B181*GREET1_Import_Export!$I$179+GREET1_Import_Export!$I181)/1000000+B$47*Steel!$B109+B$48*LiMn2O4!$B91+B$49*GREET1_Import_Export!$M495</f>
        <v>41.421902723903962</v>
      </c>
      <c r="C51" s="258"/>
      <c r="D51" s="267"/>
      <c r="E51" s="273">
        <f ca="1">Anode!E$39*(1+(GREET1_Import_Export!$B181*GREET1_Import_Export!$F$179+GREET1_Import_Export!$F181)/1000000)+Anode!E$40*(1+(GREET1_Import_Export!$B181*GREET1_Import_Export!$G$179+GREET1_Import_Export!$G181)/1000000)+Anode!E$41*(1+(GREET1_Import_Export!$B181*GREET1_Import_Export!$C$179+GREET1_Import_Export!$C181)/1000000)+Anode!E$42*(1+(GREET1_Import_Export!$E217*GREET1_Import_Export!$F$215+GREET1_Import_Export!$F217)/1000000)+Anode!E$43*(1+GREET1_Import_Export!$B217/1000000)+Anode!E$44*(1+GREET1_Import_Export!$B285/1000000)+Anode!E$45*GREET1_Import_Export!$L343/1000000+E$46*GREET1_Import_Export!$B$41/1000000*(1000000+GREET1_Import_Export!$B181*GREET1_Import_Export!$I$179+GREET1_Import_Export!$I181)/1000000+E$47*Steel!$B109+E$48*LiMn2O4!$B91+E$49*GREET1_Import_Export!$M495</f>
        <v>31.312430660499814</v>
      </c>
      <c r="F51" s="258"/>
      <c r="G51" s="267"/>
      <c r="H51" s="273">
        <f ca="1">Anode!H$39*(1+(GREET1_Import_Export!$B181*GREET1_Import_Export!$F$179+GREET1_Import_Export!$F181)/1000000)+Anode!H$40*(1+(GREET1_Import_Export!$B181*GREET1_Import_Export!$G$179+GREET1_Import_Export!$G181)/1000000)+Anode!H$41*(1+(GREET1_Import_Export!$B181*GREET1_Import_Export!$C$179+GREET1_Import_Export!$C181)/1000000)+Anode!H$42*(1+(GREET1_Import_Export!$E217*GREET1_Import_Export!$F$215+GREET1_Import_Export!$F217)/1000000)+Anode!H$43*(1+GREET1_Import_Export!$B217/1000000)+Anode!H$44*(1+GREET1_Import_Export!$B285/1000000)+Anode!H$45*SUM(GREET1_Import_Export!$B310:$C310)/1000000+H$46*GREET1_Import_Export!$B$41/1000000*(1000000+GREET1_Import_Export!$B181*GREET1_Import_Export!$I$179+GREET1_Import_Export!$I181)/1000000+H$47*Steel!$B109+H$48*LiMn2O4!$B91+H$49*GREET1_Import_Export!$M495</f>
        <v>30.434565564531546</v>
      </c>
      <c r="I51" s="258"/>
      <c r="J51" s="267"/>
      <c r="K51" s="273">
        <f ca="1">Anode!K$39*(1+(GREET1_Import_Export!$B181*GREET1_Import_Export!$F$179+GREET1_Import_Export!$F181)/1000000)+Anode!K$40*(1+(GREET1_Import_Export!$B181*GREET1_Import_Export!$G$179+GREET1_Import_Export!$G181)/1000000)+Anode!K$41*(1+(GREET1_Import_Export!$B181*GREET1_Import_Export!$C$179+GREET1_Import_Export!$C181)/1000000)+Anode!K$42*(1+(GREET1_Import_Export!$E217*GREET1_Import_Export!$F$215+GREET1_Import_Export!$F217)/1000000)+Anode!K$43*(1+GREET1_Import_Export!$B217/1000000)+Anode!K$44*(1+GREET1_Import_Export!$B285/1000000)+Anode!K$45*SUM(GREET1_Import_Export!$B310:$C310)/1000000+K$46*GREET1_Import_Export!$B$41/1000000*(1000000+GREET1_Import_Export!$B181*GREET1_Import_Export!$I$179+GREET1_Import_Export!$I181)/1000000+K$47*Steel!$B109+K$48*LiMn2O4!$B91+K$49*GREET1_Import_Export!$M495</f>
        <v>26.050264811409168</v>
      </c>
      <c r="L51" s="258"/>
      <c r="M51" s="267"/>
      <c r="N51" s="273">
        <f ca="1">Anode!N$39*(1+(GREET1_Import_Export!$B181*GREET1_Import_Export!$F$179+GREET1_Import_Export!$F181)/1000000)+Anode!N$40*(1+(GREET1_Import_Export!$B181*GREET1_Import_Export!$G$179+GREET1_Import_Export!$G181)/1000000)+Anode!N$41*(1+(GREET1_Import_Export!$B181*GREET1_Import_Export!$C$179+GREET1_Import_Export!$C181)/1000000)+Anode!N$42*(1+(GREET1_Import_Export!$E217*GREET1_Import_Export!$F$215+GREET1_Import_Export!$F217)/1000000)+Anode!N$43*(1+GREET1_Import_Export!$B217/1000000)+Anode!N$44*(1+GREET1_Import_Export!$B285/1000000)+Anode!N$45*SUM(GREET1_Import_Export!$B310:$C310)/1000000+N$46*GREET1_Import_Export!$B$41/1000000*(1000000+GREET1_Import_Export!$B181*GREET1_Import_Export!$I$179+GREET1_Import_Export!$I181)/1000000+N$47*Steel!$B109+N$48*LiMn2O4!$B91+N$49*GREET1_Import_Export!$M495</f>
        <v>51.478722403857191</v>
      </c>
      <c r="O51" s="258"/>
      <c r="P51" s="267"/>
    </row>
    <row r="52" spans="1:16">
      <c r="A52" s="173" t="s">
        <v>805</v>
      </c>
      <c r="B52" s="273">
        <f ca="1">Anode!B$39*((GREET1_Import_Export!$B182*GREET1_Import_Export!$F$179+GREET1_Import_Export!$F182)/1000000)+Anode!B$40*((GREET1_Import_Export!$B182*GREET1_Import_Export!$G$179+GREET1_Import_Export!$G182)/1000000)+Anode!B$41*((GREET1_Import_Export!$B182*GREET1_Import_Export!$C$179+GREET1_Import_Export!$C182)/1000000)+Anode!B$42*((GREET1_Import_Export!$E218*GREET1_Import_Export!$F$215+GREET1_Import_Export!$F218)/1000000)+Anode!B$43*(GREET1_Import_Export!$B218/1000000)+Anode!B$44*(1+GREET1_Import_Export!$B286/1000000)+Anode!B$45*GREET1_Import_Export!$L344/1000000+B$46*GREET1_Import_Export!$B$41/1000000*(GREET1_Import_Export!$B182*GREET1_Import_Export!$I$179+GREET1_Import_Export!$I182)/1000000+B$47*Steel!$B110+B$48*LiMn2O4!$B92+B$49*GREET1_Import_Export!$M496</f>
        <v>6.2777131758665483</v>
      </c>
      <c r="C52" s="258"/>
      <c r="D52" s="267"/>
      <c r="E52" s="273">
        <f ca="1">Anode!E$39*((GREET1_Import_Export!$B182*GREET1_Import_Export!$F$179+GREET1_Import_Export!$F182)/1000000)+Anode!E$40*((GREET1_Import_Export!$B182*GREET1_Import_Export!$G$179+GREET1_Import_Export!$G182)/1000000)+Anode!E$41*((GREET1_Import_Export!$B182*GREET1_Import_Export!$C$179+GREET1_Import_Export!$C182)/1000000)+Anode!E$42*((GREET1_Import_Export!$E218*GREET1_Import_Export!$F$215+GREET1_Import_Export!$F218)/1000000)+Anode!E$43*(GREET1_Import_Export!$B218/1000000)+Anode!E$44*(1+GREET1_Import_Export!$B286/1000000)+Anode!E$45*GREET1_Import_Export!$L344/1000000+E$46*GREET1_Import_Export!$B$41/1000000*(GREET1_Import_Export!$B182*GREET1_Import_Export!$I$179+GREET1_Import_Export!$I182)/1000000+E$47*Steel!$B110+E$48*LiMn2O4!$B92+E$49*GREET1_Import_Export!$M496</f>
        <v>29.799040248716128</v>
      </c>
      <c r="F52" s="258"/>
      <c r="G52" s="267"/>
      <c r="H52" s="273">
        <f ca="1">Anode!H$39*((GREET1_Import_Export!$B182*GREET1_Import_Export!$F$179+GREET1_Import_Export!$F182)/1000000)+Anode!H$40*((GREET1_Import_Export!$B182*GREET1_Import_Export!$G$179+GREET1_Import_Export!$G182)/1000000)+Anode!H$41*((GREET1_Import_Export!$B182*GREET1_Import_Export!$C$179+GREET1_Import_Export!$C182)/1000000)+Anode!H$42*((GREET1_Import_Export!$E218*GREET1_Import_Export!$F$215+GREET1_Import_Export!$F218)/1000000)+Anode!H$43*(GREET1_Import_Export!$B218/1000000)+Anode!H$44*(1+GREET1_Import_Export!$B286/1000000)+Anode!H$45*(SUM(GREET1_Import_Export!$B311:$C311)/1000000)+H$46*GREET1_Import_Export!$B$41/1000000*(GREET1_Import_Export!$B182*GREET1_Import_Export!$I$179+GREET1_Import_Export!$I182)/1000000+H$47*Steel!$B110+H$48*LiMn2O4!$B92+H$49*GREET1_Import_Export!$M496</f>
        <v>13.041147163205443</v>
      </c>
      <c r="I52" s="258"/>
      <c r="J52" s="267"/>
      <c r="K52" s="273">
        <f ca="1">Anode!K$39*((GREET1_Import_Export!$B182*GREET1_Import_Export!$F$179+GREET1_Import_Export!$F182)/1000000)+Anode!K$40*((GREET1_Import_Export!$B182*GREET1_Import_Export!$G$179+GREET1_Import_Export!$G182)/1000000)+Anode!K$41*((GREET1_Import_Export!$B182*GREET1_Import_Export!$C$179+GREET1_Import_Export!$C182)/1000000)+Anode!K$42*((GREET1_Import_Export!$E218*GREET1_Import_Export!$F$215+GREET1_Import_Export!$F218)/1000000)+Anode!K$43*(GREET1_Import_Export!$B218/1000000)+Anode!K$44*(1+GREET1_Import_Export!$B286/1000000)+Anode!K$45*(SUM(GREET1_Import_Export!$B311:$C311)/1000000)+K$46*GREET1_Import_Export!$B$41/1000000*(GREET1_Import_Export!$B182*GREET1_Import_Export!$I$179+GREET1_Import_Export!$I182)/1000000+K$47*Steel!$B110+K$48*LiMn2O4!$B92+K$49*GREET1_Import_Export!$M496</f>
        <v>9.0431292757161454</v>
      </c>
      <c r="L52" s="258"/>
      <c r="M52" s="267"/>
      <c r="N52" s="273">
        <f ca="1">Anode!N$39*((GREET1_Import_Export!$B182*GREET1_Import_Export!$F$179+GREET1_Import_Export!$F182)/1000000)+Anode!N$40*((GREET1_Import_Export!$B182*GREET1_Import_Export!$G$179+GREET1_Import_Export!$G182)/1000000)+Anode!N$41*((GREET1_Import_Export!$B182*GREET1_Import_Export!$C$179+GREET1_Import_Export!$C182)/1000000)+Anode!N$42*((GREET1_Import_Export!$E218*GREET1_Import_Export!$F$215+GREET1_Import_Export!$F218)/1000000)+Anode!N$43*(GREET1_Import_Export!$B218/1000000)+Anode!N$44*(1+GREET1_Import_Export!$B286/1000000)+Anode!N$45*(SUM(GREET1_Import_Export!$B311:$C311)/1000000)+N$46*GREET1_Import_Export!$B$41/1000000*(GREET1_Import_Export!$B182*GREET1_Import_Export!$I$179+GREET1_Import_Export!$I182)/1000000+N$47*Steel!$B110+N$48*LiMn2O4!$B92+N$49*GREET1_Import_Export!$M496</f>
        <v>4.5986698182804708E-2</v>
      </c>
      <c r="O52" s="258"/>
      <c r="P52" s="267"/>
    </row>
    <row r="53" spans="1:16">
      <c r="A53" s="173" t="s">
        <v>804</v>
      </c>
      <c r="B53" s="273">
        <f ca="1">B51-B52-B54</f>
        <v>8.0844360528460228</v>
      </c>
      <c r="C53" s="258"/>
      <c r="D53" s="267"/>
      <c r="E53" s="273">
        <f ca="1">E51-E52-E54</f>
        <v>0.95800458506460451</v>
      </c>
      <c r="F53" s="258"/>
      <c r="G53" s="267"/>
      <c r="H53" s="273">
        <f ca="1">H51-H52-H54</f>
        <v>8.4812912663334359</v>
      </c>
      <c r="I53" s="258"/>
      <c r="J53" s="267"/>
      <c r="K53" s="273">
        <f ca="1">K51-K52-K54</f>
        <v>16.72422439880221</v>
      </c>
      <c r="L53" s="258"/>
      <c r="M53" s="267"/>
      <c r="N53" s="273">
        <f ca="1">N51-N52-N54</f>
        <v>51.245470789709266</v>
      </c>
      <c r="O53" s="258"/>
      <c r="P53" s="267"/>
    </row>
    <row r="54" spans="1:16">
      <c r="A54" s="173" t="s">
        <v>818</v>
      </c>
      <c r="B54" s="286">
        <f ca="1">Anode!B$39*(1+(GREET1_Import_Export!$B184*GREET1_Import_Export!$F$179+GREET1_Import_Export!$F184)/1000000)+Anode!B$40*(1+(GREET1_Import_Export!$B184*GREET1_Import_Export!$G$179+GREET1_Import_Export!$G184)/1000000)+Anode!B$41*(1+(GREET1_Import_Export!$B184*GREET1_Import_Export!$C$179+GREET1_Import_Export!$C184)/1000000)+Anode!B$42*((GREET1_Import_Export!$E220*GREET1_Import_Export!$F$215+GREET1_Import_Export!$F220)/1000000)+Anode!B$43*(GREET1_Import_Export!$B220/1000000)+Anode!B$44*(GREET1_Import_Export!$B288/1000000)+Anode!B$45*GREET1_Import_Export!$L346/1000000+B$46*GREET1_Import_Export!$B$41/1000000*(1000000+GREET1_Import_Export!$B184*GREET1_Import_Export!$I$179+GREET1_Import_Export!$I184)/1000000+B$47*Steel!$B112+B$48*LiMn2O4!$B94+B$49*GREET1_Import_Export!$M498</f>
        <v>27.059753495191394</v>
      </c>
      <c r="C54" s="287"/>
      <c r="D54" s="268"/>
      <c r="E54" s="286">
        <f ca="1">Anode!E$39*(1+(GREET1_Import_Export!$B184*GREET1_Import_Export!$F$179+GREET1_Import_Export!$F184)/1000000)+Anode!E$40*(1+(GREET1_Import_Export!$B184*GREET1_Import_Export!$G$179+GREET1_Import_Export!$G184)/1000000)+Anode!E$41*(1+(GREET1_Import_Export!$B184*GREET1_Import_Export!$C$179+GREET1_Import_Export!$C184)/1000000)+Anode!E$42*((GREET1_Import_Export!$E220*GREET1_Import_Export!$F$215+GREET1_Import_Export!$F220)/1000000)+Anode!E$43*(GREET1_Import_Export!$B220/1000000)+Anode!E$44*(GREET1_Import_Export!$B288/1000000)+Anode!E$45*GREET1_Import_Export!$L346/1000000+E$46*GREET1_Import_Export!$B$41/1000000*(1000000+GREET1_Import_Export!$B184*GREET1_Import_Export!$I$179+GREET1_Import_Export!$I184)/1000000+E$47*Steel!$B112+E$48*LiMn2O4!$B94+E$49*GREET1_Import_Export!$M498</f>
        <v>0.5553858267190811</v>
      </c>
      <c r="F54" s="287"/>
      <c r="G54" s="268"/>
      <c r="H54" s="286">
        <f ca="1">Anode!H$39*(1+(GREET1_Import_Export!$B184*GREET1_Import_Export!$F$179+GREET1_Import_Export!$F184)/1000000)+Anode!H$40*(1+(GREET1_Import_Export!$B184*GREET1_Import_Export!$G$179+GREET1_Import_Export!$G184)/1000000)+Anode!H$41*(1+(GREET1_Import_Export!$B184*GREET1_Import_Export!$C$179+GREET1_Import_Export!$C184)/1000000)+Anode!H$42*((GREET1_Import_Export!$E220*GREET1_Import_Export!$F$215+GREET1_Import_Export!$F220)/1000000)+Anode!H$43*(GREET1_Import_Export!$B220/1000000)+Anode!H$44*(GREET1_Import_Export!$B288/1000000)+Anode!H$45*SUM(GREET1_Import_Export!$B313:$C313)/1000000+H$46*GREET1_Import_Export!$B$41/1000000*(1000000+GREET1_Import_Export!$B184*GREET1_Import_Export!$I$179+GREET1_Import_Export!$I184)/1000000+H$47*Steel!$B112+H$48*LiMn2O4!$B94+H$49*GREET1_Import_Export!$M498</f>
        <v>8.9121271349926658</v>
      </c>
      <c r="I54" s="287"/>
      <c r="J54" s="268"/>
      <c r="K54" s="286">
        <f ca="1">Anode!K$39*(1+(GREET1_Import_Export!$B184*GREET1_Import_Export!$F$179+GREET1_Import_Export!$F184)/1000000)+Anode!K$40*(1+(GREET1_Import_Export!$B184*GREET1_Import_Export!$G$179+GREET1_Import_Export!$G184)/1000000)+Anode!K$41*(1+(GREET1_Import_Export!$B184*GREET1_Import_Export!$C$179+GREET1_Import_Export!$C184)/1000000)+Anode!K$42*((GREET1_Import_Export!$E220*GREET1_Import_Export!$F$215+GREET1_Import_Export!$F220)/1000000)+Anode!K$43*(GREET1_Import_Export!$B220/1000000)+Anode!K$44*(GREET1_Import_Export!$B288/1000000)+Anode!K$45*SUM(GREET1_Import_Export!$B313:$C313)/1000000+K$46*GREET1_Import_Export!$B$41/1000000*(1000000+GREET1_Import_Export!$B184*GREET1_Import_Export!$I$179+GREET1_Import_Export!$I184)/1000000+K$47*Steel!$B112+K$48*LiMn2O4!$B94+K$49*GREET1_Import_Export!$M498</f>
        <v>0.28291113689081515</v>
      </c>
      <c r="L54" s="287"/>
      <c r="M54" s="268"/>
      <c r="N54" s="286">
        <f ca="1">Anode!N$39*(1+(GREET1_Import_Export!$B184*GREET1_Import_Export!$F$179+GREET1_Import_Export!$F184)/1000000)+Anode!N$40*(1+(GREET1_Import_Export!$B184*GREET1_Import_Export!$G$179+GREET1_Import_Export!$G184)/1000000)+Anode!N$41*(1+(GREET1_Import_Export!$B184*GREET1_Import_Export!$C$179+GREET1_Import_Export!$C184)/1000000)+Anode!N$42*((GREET1_Import_Export!$E220*GREET1_Import_Export!$F$215+GREET1_Import_Export!$F220)/1000000)+Anode!N$43*(GREET1_Import_Export!$B220/1000000)+Anode!N$44*(GREET1_Import_Export!$B288/1000000)+Anode!N$45*SUM(GREET1_Import_Export!$B313:$C313)/1000000+N$46*GREET1_Import_Export!$B$41/1000000*(1000000+GREET1_Import_Export!$B184*GREET1_Import_Export!$I$179+GREET1_Import_Export!$I184)/1000000+N$47*Steel!$B112+N$48*LiMn2O4!$B94+N$49*GREET1_Import_Export!$M498</f>
        <v>0.18726491596512046</v>
      </c>
      <c r="O54" s="287"/>
      <c r="P54" s="268"/>
    </row>
    <row r="55" spans="1:16">
      <c r="A55" s="1299" t="s">
        <v>819</v>
      </c>
      <c r="B55" s="47">
        <f ca="1">Anode!B$39*((GREET1_Import_Export!$B185*GREET1_Import_Export!$F$179+GREET1_Import_Export!$F185))+Anode!B$40*((GREET1_Import_Export!$B185*GREET1_Import_Export!$G$179+GREET1_Import_Export!$G185))+Anode!B$41*((GREET1_Import_Export!$B185*GREET1_Import_Export!$C$179+GREET1_Import_Export!$C185))+Anode!B$42*((GREET1_Import_Export!$E221*GREET1_Import_Export!$F$215+GREET1_Import_Export!$F221))+Anode!B$43*(GREET1_Import_Export!$B221)+Anode!B$44*(GREET1_Import_Export!$B289)+Anode!B$45*GREET1_Import_Export!$L347+B$46*GREET1_Import_Export!$B$41/1000000*(GREET1_Import_Export!$B185*GREET1_Import_Export!$I$179+GREET1_Import_Export!$I185)+B$47*Steel!$B113+B$48*LiMn2O4!$B95+B$49*GREET1_Import_Export!$M499</f>
        <v>568.67571726257586</v>
      </c>
      <c r="C55" s="288"/>
      <c r="D55" s="283"/>
      <c r="E55" s="47">
        <f ca="1">Anode!E$39*((GREET1_Import_Export!$B185*GREET1_Import_Export!$F$179+GREET1_Import_Export!$F185))+Anode!E$40*((GREET1_Import_Export!$B185*GREET1_Import_Export!$G$179+GREET1_Import_Export!$G185))+Anode!E$41*((GREET1_Import_Export!$B185*GREET1_Import_Export!$C$179+GREET1_Import_Export!$C185))+Anode!E$42*((GREET1_Import_Export!$E221*GREET1_Import_Export!$F$215+GREET1_Import_Export!$F221))+Anode!E$43*(GREET1_Import_Export!$B221)+Anode!E$44*(GREET1_Import_Export!$B289)+Anode!E$45*GREET1_Import_Export!$L347+E$46*GREET1_Import_Export!$B$41/1000000*(GREET1_Import_Export!$B185*GREET1_Import_Export!$I$179+GREET1_Import_Export!$I185)+E$47*Steel!$B113+E$48*LiMn2O4!$B95+E$49*GREET1_Import_Export!$M499</f>
        <v>2977.1531128776819</v>
      </c>
      <c r="F55" s="288"/>
      <c r="G55" s="283"/>
      <c r="H55" s="47">
        <f ca="1">Anode!H$39*((GREET1_Import_Export!$B185*GREET1_Import_Export!$F$179+GREET1_Import_Export!$F185))+Anode!H$40*((GREET1_Import_Export!$B185*GREET1_Import_Export!$G$179+GREET1_Import_Export!$G185))+Anode!H$41*((GREET1_Import_Export!$B185*GREET1_Import_Export!$C$179+GREET1_Import_Export!$C185))+Anode!H$42*((GREET1_Import_Export!$E221*GREET1_Import_Export!$F$215+GREET1_Import_Export!$F221))+Anode!H$43*(GREET1_Import_Export!$B221)+Anode!H$44*(GREET1_Import_Export!$B289)+Anode!H$45*SUM(GREET1_Import_Export!$B314:$C314)+H$46*GREET1_Import_Export!$B$41/1000000*(GREET1_Import_Export!$B185*GREET1_Import_Export!$I$179+GREET1_Import_Export!$I185)+H$47*Steel!$B113+H$48*LiMn2O4!$B95+H$49*GREET1_Import_Export!$M499</f>
        <v>3571.5156884266935</v>
      </c>
      <c r="I55" s="288"/>
      <c r="J55" s="283"/>
      <c r="K55" s="47">
        <f ca="1">Anode!K$39*((GREET1_Import_Export!$B185*GREET1_Import_Export!$F$179+GREET1_Import_Export!$F185))+Anode!K$40*((GREET1_Import_Export!$B185*GREET1_Import_Export!$G$179+GREET1_Import_Export!$G185))+Anode!K$41*((GREET1_Import_Export!$B185*GREET1_Import_Export!$C$179+GREET1_Import_Export!$C185))+Anode!K$42*((GREET1_Import_Export!$E221*GREET1_Import_Export!$F$215+GREET1_Import_Export!$F221))+Anode!K$43*(GREET1_Import_Export!$B221)+Anode!K$44*(GREET1_Import_Export!$B289)+Anode!K$45*SUM(GREET1_Import_Export!$B314:$C314)+K$46*GREET1_Import_Export!$B$41/1000000*(GREET1_Import_Export!$B185*GREET1_Import_Export!$I$179+GREET1_Import_Export!$I185)+K$47*Steel!$B113+K$48*LiMn2O4!$B95+K$49*GREET1_Import_Export!$M499</f>
        <v>1762.6674767464099</v>
      </c>
      <c r="L55" s="288"/>
      <c r="M55" s="283"/>
      <c r="N55" s="47">
        <f ca="1">Anode!N$39*((GREET1_Import_Export!$B185*GREET1_Import_Export!$F$179+GREET1_Import_Export!$F185))+Anode!N$40*((GREET1_Import_Export!$B185*GREET1_Import_Export!$G$179+GREET1_Import_Export!$G185))+Anode!N$41*((GREET1_Import_Export!$B185*GREET1_Import_Export!$C$179+GREET1_Import_Export!$C185))+Anode!N$42*((GREET1_Import_Export!$E221*GREET1_Import_Export!$F$215+GREET1_Import_Export!$F221))+Anode!N$43*(GREET1_Import_Export!$B221)+Anode!N$44*(GREET1_Import_Export!$B289)+Anode!N$45*SUM(GREET1_Import_Export!$B314:$C314)+N$46*GREET1_Import_Export!$B$41/1000000*(GREET1_Import_Export!$B185*GREET1_Import_Export!$I$179+GREET1_Import_Export!$I185)+N$47*Steel!$B113+N$48*LiMn2O4!$B95+N$49*GREET1_Import_Export!$M499</f>
        <v>143.77577388885115</v>
      </c>
      <c r="O55" s="288"/>
      <c r="P55" s="283"/>
    </row>
    <row r="56" spans="1:16">
      <c r="A56" s="173" t="s">
        <v>864</v>
      </c>
      <c r="B56" s="281"/>
      <c r="C56" s="284"/>
      <c r="D56" s="285"/>
      <c r="E56" s="281"/>
      <c r="F56" s="284"/>
      <c r="G56" s="285"/>
      <c r="H56" s="281"/>
      <c r="I56" s="284"/>
      <c r="J56" s="285"/>
      <c r="K56" s="281"/>
      <c r="L56" s="284"/>
      <c r="M56" s="285"/>
      <c r="N56" s="281"/>
      <c r="O56" s="284"/>
      <c r="P56" s="285"/>
    </row>
    <row r="57" spans="1:16">
      <c r="A57" s="173" t="s">
        <v>821</v>
      </c>
      <c r="B57" s="273">
        <f ca="1">Anode!B$39*(Anode!B$8*GREET1_Import_Export!$K72+GREET1_Import_Export!$B186*GREET1_Import_Export!$F$179+GREET1_Import_Export!$F186)+Anode!B$40*(Anode!B$10*GREET1_Import_Export!$Q72+Anode!B$11*GREET1_Import_Export!$O72+Anode!B$12*GREET1_Import_Export!$M72+GREET1_Import_Export!$B186*GREET1_Import_Export!$G$179+GREET1_Import_Export!$G186)+Anode!B$41*(Anode!B$13*GREET1_Import_Export!$T72+GREET1_Import_Export!$B186*GREET1_Import_Export!$C$179+GREET1_Import_Export!$C186)+Anode!B$42*(Anode!B$14*GREET1_Import_Export!$W72+GREET1_Import_Export!$E222*GREET1_Import_Export!$F$215+GREET1_Import_Export!$F222)+Anode!B$43*(Anode!B$15*GREET1_Import_Export!$B72+Anode!B$16*GREET1_Import_Export!$C72+Anode!B$17*GREET1_Import_Export!$G72+Anode!B$19*'GREET2_Factors_T&amp;D'!$F15+Anode!B$20*'GREET2_Factors_T&amp;D'!$G15+GREET1_Import_Export!$B222)+Anode!B$44*(Anode!B$21*GREET1_Import_Export!$AA72+Anode!B$22*GREET1_Import_Export!$AB72+GREET1_Import_Export!$B290)+Anode!B$45*GREET1_Import_Export!$L348+B$46*GREET1_Import_Export!$B$41/1000000*(GREET1_Import_Export!$B186*GREET1_Import_Export!$I$179+GREET1_Import_Export!$I186)+B$47*Steel!$B115+B$48*LiMn2O4!$B97+B$49*GREET1_Import_Export!$M501</f>
        <v>762.92426081522603</v>
      </c>
      <c r="C57" s="2691"/>
      <c r="D57" s="267"/>
      <c r="E57" s="273">
        <f ca="1">Anode!E$39*(Anode!C$8*GREET1_Import_Export!$K72+GREET1_Import_Export!$B186*GREET1_Import_Export!$F$179+GREET1_Import_Export!$F186)+Anode!E$40*(Anode!C$10*GREET1_Import_Export!$Q72+Anode!C$11*GREET1_Import_Export!$O72+Anode!C$12*GREET1_Import_Export!$M72+GREET1_Import_Export!$B186*GREET1_Import_Export!$G$179+GREET1_Import_Export!$G186)+Anode!E$41*(Anode!C$13*GREET1_Import_Export!$T72+GREET1_Import_Export!$B186*GREET1_Import_Export!$C$179+GREET1_Import_Export!$C186)+Anode!E$42*(Anode!C$14*GREET1_Import_Export!$W72+GREET1_Import_Export!$E222*GREET1_Import_Export!$F$215+GREET1_Import_Export!$F222)+Anode!E$43*(Anode!C$15*GREET1_Import_Export!$B72+Anode!C$16*GREET1_Import_Export!$C72+Anode!C$17*GREET1_Import_Export!$G72+Anode!C$19*'GREET2_Factors_T&amp;D'!$F15+Anode!C$20*'GREET2_Factors_T&amp;D'!$G15+GREET1_Import_Export!$B222)+Anode!E$44*(Anode!C$21*GREET1_Import_Export!$AA72+Anode!C$22*GREET1_Import_Export!$AB72+GREET1_Import_Export!$B290)+Anode!E$45*GREET1_Import_Export!$L348+E$46*GREET1_Import_Export!$B$41/1000000*(GREET1_Import_Export!$B186*GREET1_Import_Export!$I$179+GREET1_Import_Export!$I186)+E$47*Steel!$B115+E$48*LiMn2O4!$B97+E$49*GREET1_Import_Export!$M501</f>
        <v>262.47677433552582</v>
      </c>
      <c r="F57" s="258"/>
      <c r="G57" s="267"/>
      <c r="H57" s="273">
        <f ca="1">Anode!H$39*(Anode!D$8*GREET1_Import_Export!$K72+GREET1_Import_Export!$B186*GREET1_Import_Export!$F$179+GREET1_Import_Export!$F186)+Anode!H$40*(Anode!D$10*GREET1_Import_Export!$Q72+Anode!D$11*GREET1_Import_Export!$O72+Anode!D$12*GREET1_Import_Export!$M72+GREET1_Import_Export!$B186*GREET1_Import_Export!$G$179+GREET1_Import_Export!$G186)+Anode!H$41*(Anode!D$13*GREET1_Import_Export!$T72+GREET1_Import_Export!$B186*GREET1_Import_Export!$C$179+GREET1_Import_Export!$C186)+Anode!H$42*(Anode!D$14*GREET1_Import_Export!$W72+GREET1_Import_Export!$E222*GREET1_Import_Export!$F$215+GREET1_Import_Export!$F222)+Anode!H$43*(Anode!D$15*GREET1_Import_Export!$B72+Anode!D$16*GREET1_Import_Export!$C72+Anode!D$17*GREET1_Import_Export!$G72+Anode!D$19*'GREET2_Factors_T&amp;D'!$F15+Anode!D$20*'GREET2_Factors_T&amp;D'!$G15+GREET1_Import_Export!$B222)+Anode!H$44*(Anode!D$21*GREET1_Import_Export!$AA72+Anode!D$22*GREET1_Import_Export!$AB72+GREET1_Import_Export!$B290)+Anode!H$45*SUM(GREET1_Import_Export!$B315:$C315)+H$46*GREET1_Import_Export!$B$41/1000000*(GREET1_Import_Export!$B186*GREET1_Import_Export!$I$179+GREET1_Import_Export!$I186)+H$47*Steel!$B115+H$48*LiMn2O4!$B97+H$49*GREET1_Import_Export!$M501</f>
        <v>822.82487708655333</v>
      </c>
      <c r="I57" s="258"/>
      <c r="J57" s="267"/>
      <c r="K57" s="273">
        <f ca="1">Anode!K$39*(Anode!E$8*GREET1_Import_Export!$K72+GREET1_Import_Export!$B186*GREET1_Import_Export!$F$179+GREET1_Import_Export!$F186)+Anode!K$40*(Anode!E$10*GREET1_Import_Export!$Q72+Anode!E$11*GREET1_Import_Export!$O72+Anode!E$12*GREET1_Import_Export!$M72+GREET1_Import_Export!$B186*GREET1_Import_Export!$G$179+GREET1_Import_Export!$G186)+Anode!K$41*(Anode!E$13*GREET1_Import_Export!$T72+GREET1_Import_Export!$B186*GREET1_Import_Export!$C$179+GREET1_Import_Export!$C186)+Anode!K$42*(Anode!E$14*GREET1_Import_Export!$W72+GREET1_Import_Export!$E222*GREET1_Import_Export!$F$215+GREET1_Import_Export!$F222)+Anode!K$43*(Anode!E$15*GREET1_Import_Export!$B72+Anode!E$16*GREET1_Import_Export!$C72+Anode!E$17*GREET1_Import_Export!$G72+Anode!E$19*'GREET2_Factors_T&amp;D'!$F15+Anode!E$20*'GREET2_Factors_T&amp;D'!$G15+GREET1_Import_Export!$B222)+Anode!K$44*(Anode!E$21*GREET1_Import_Export!$AA72+Anode!E$22*GREET1_Import_Export!$AB72+GREET1_Import_Export!$B290)+Anode!K$45*SUM(GREET1_Import_Export!$B315:$C315)+K$46*GREET1_Import_Export!$B$41/1000000*(GREET1_Import_Export!$B186*GREET1_Import_Export!$I$179+GREET1_Import_Export!$I186)+K$47*Steel!$B115+K$48*LiMn2O4!$B97+K$49*GREET1_Import_Export!$M501</f>
        <v>224.73172895814102</v>
      </c>
      <c r="L57" s="258"/>
      <c r="M57" s="267"/>
      <c r="N57" s="273">
        <f ca="1">Anode!N$39*(Anode!F$8*GREET1_Import_Export!$K72+GREET1_Import_Export!$B186*GREET1_Import_Export!$F$179+GREET1_Import_Export!$F186)+Anode!N$40*(Anode!F$10*GREET1_Import_Export!$Q72+Anode!F$11*GREET1_Import_Export!$O72+Anode!F$12*GREET1_Import_Export!$M72+GREET1_Import_Export!$B186*GREET1_Import_Export!$G$179+GREET1_Import_Export!$G186)+Anode!N$41*(Anode!F$13*GREET1_Import_Export!$T72+GREET1_Import_Export!$B186*GREET1_Import_Export!$C$179+GREET1_Import_Export!$C186)+Anode!N$42*(Anode!F$14*GREET1_Import_Export!$W72+GREET1_Import_Export!$E222*GREET1_Import_Export!$F$215+GREET1_Import_Export!$F222)+Anode!N$43*(Anode!F$15*GREET1_Import_Export!$B72+Anode!F$16*GREET1_Import_Export!$C72+Anode!F$17*GREET1_Import_Export!$G72+Anode!F$19*'GREET2_Factors_T&amp;D'!$F15+Anode!F$20*'GREET2_Factors_T&amp;D'!$G15+GREET1_Import_Export!$B222)+Anode!N$44*(Anode!F$21*GREET1_Import_Export!$AA72+Anode!F$22*GREET1_Import_Export!$AB72+GREET1_Import_Export!$B290)+Anode!N$45*SUM(GREET1_Import_Export!$B315:$C315)+N$46*GREET1_Import_Export!$B$41/1000000*(GREET1_Import_Export!$B186*GREET1_Import_Export!$I$179+GREET1_Import_Export!$I186)+N$47*Steel!$B115+N$48*LiMn2O4!$B97+N$49*GREET1_Import_Export!$M501</f>
        <v>598.37319547668801</v>
      </c>
      <c r="O57" s="258"/>
      <c r="P57" s="267"/>
    </row>
    <row r="58" spans="1:16">
      <c r="A58" s="173" t="s">
        <v>822</v>
      </c>
      <c r="B58" s="273">
        <f ca="1">Anode!B$39*(Anode!B$8*GREET1_Import_Export!$K73+GREET1_Import_Export!$B187*GREET1_Import_Export!$F$179+GREET1_Import_Export!$F187)+Anode!B$40*(Anode!B$10*GREET1_Import_Export!$Q73+Anode!B$11*GREET1_Import_Export!$O73+Anode!B$12*GREET1_Import_Export!$M73+GREET1_Import_Export!$B187*GREET1_Import_Export!$G$179+GREET1_Import_Export!$G187)+Anode!B$41*(Anode!B$13*GREET1_Import_Export!$T73+GREET1_Import_Export!$B187*GREET1_Import_Export!$C$179+GREET1_Import_Export!$C187)+Anode!B$42*(Anode!B$14*GREET1_Import_Export!$W73+GREET1_Import_Export!$E223*GREET1_Import_Export!$F$215+GREET1_Import_Export!$F223)+Anode!B$43*(Anode!B$15*GREET1_Import_Export!$B73+Anode!B$16*GREET1_Import_Export!$C73+Anode!B$17*GREET1_Import_Export!$G73+Anode!B$19*'GREET2_Factors_T&amp;D'!$F16+Anode!B$20*'GREET2_Factors_T&amp;D'!$G16+GREET1_Import_Export!$B223)+Anode!B$44*(Anode!B$21*GREET1_Import_Export!$AA73+Anode!B$22*GREET1_Import_Export!$AB73+GREET1_Import_Export!$B291)+Anode!B$45*GREET1_Import_Export!$L349+B$46*GREET1_Import_Export!$B$41/1000000*(GREET1_Import_Export!$B187*GREET1_Import_Export!$I$179+GREET1_Import_Export!$I187)+B$47*Steel!$B116+B$48*LiMn2O4!$B98+B$49*GREET1_Import_Export!$M502</f>
        <v>701.88524459679252</v>
      </c>
      <c r="C58" s="2691"/>
      <c r="D58" s="267"/>
      <c r="E58" s="273">
        <f ca="1">Anode!E$39*(Anode!C$8*GREET1_Import_Export!$K73+GREET1_Import_Export!$B187*GREET1_Import_Export!$F$179+GREET1_Import_Export!$F187)+Anode!E$40*(Anode!C$10*GREET1_Import_Export!$Q73+Anode!C$11*GREET1_Import_Export!$O73+Anode!C$12*GREET1_Import_Export!$M73+GREET1_Import_Export!$B187*GREET1_Import_Export!$G$179+GREET1_Import_Export!$G187)+Anode!E$41*(Anode!C$13*GREET1_Import_Export!$T73+GREET1_Import_Export!$B187*GREET1_Import_Export!$C$179+GREET1_Import_Export!$C187)+Anode!E$42*(Anode!C$14*GREET1_Import_Export!$W73+GREET1_Import_Export!$E223*GREET1_Import_Export!$F$215+GREET1_Import_Export!$F223)+Anode!E$43*(Anode!C$15*GREET1_Import_Export!$B73+Anode!C$16*GREET1_Import_Export!$C73+Anode!C$17*GREET1_Import_Export!$G73+Anode!C$19*'GREET2_Factors_T&amp;D'!$F16+Anode!C$20*'GREET2_Factors_T&amp;D'!$G16+GREET1_Import_Export!$B223)+Anode!E$44*(Anode!C$21*GREET1_Import_Export!$AA73+Anode!C$22*GREET1_Import_Export!$AB73+GREET1_Import_Export!$B291)+Anode!E$45*GREET1_Import_Export!$L349+E$46*GREET1_Import_Export!$B$41/1000000*(GREET1_Import_Export!$B187*GREET1_Import_Export!$I$179+GREET1_Import_Export!$I187)+E$47*Steel!$B116+E$48*LiMn2O4!$B98+E$49*GREET1_Import_Export!$M502</f>
        <v>536.73481027351067</v>
      </c>
      <c r="F58" s="258"/>
      <c r="G58" s="267"/>
      <c r="H58" s="273">
        <f ca="1">Anode!H$39*(Anode!D$8*GREET1_Import_Export!$K73+GREET1_Import_Export!$B187*GREET1_Import_Export!$F$179+GREET1_Import_Export!$F187)+Anode!H$40*(Anode!D$10*GREET1_Import_Export!$Q73+Anode!D$11*GREET1_Import_Export!$O73+Anode!D$12*GREET1_Import_Export!$M73+GREET1_Import_Export!$B187*GREET1_Import_Export!$G$179+GREET1_Import_Export!$G187)+Anode!H$41*(Anode!D$13*GREET1_Import_Export!$T73+GREET1_Import_Export!$B187*GREET1_Import_Export!$C$179+GREET1_Import_Export!$C187)+Anode!H$42*(Anode!D$14*GREET1_Import_Export!$W73+GREET1_Import_Export!$E223*GREET1_Import_Export!$F$215+GREET1_Import_Export!$F223)+Anode!H$43*(Anode!D$15*GREET1_Import_Export!$B73+Anode!D$16*GREET1_Import_Export!$C73+Anode!D$17*GREET1_Import_Export!$G73+Anode!D$19*'GREET2_Factors_T&amp;D'!$F16+Anode!D$20*'GREET2_Factors_T&amp;D'!$G16+GREET1_Import_Export!$B223)+Anode!H$44*(Anode!D$21*GREET1_Import_Export!$AA73+Anode!D$22*GREET1_Import_Export!$AB73+GREET1_Import_Export!$B291)+Anode!H$45*SUM(GREET1_Import_Export!$B316:$C316)+H$46*GREET1_Import_Export!$B$41/1000000*(GREET1_Import_Export!$B187*GREET1_Import_Export!$I$179+GREET1_Import_Export!$I187)+H$47*Steel!$B116+H$48*LiMn2O4!$B98+H$49*GREET1_Import_Export!$M502</f>
        <v>3211.9843560859613</v>
      </c>
      <c r="I58" s="258"/>
      <c r="J58" s="267"/>
      <c r="K58" s="273">
        <f ca="1">Anode!K$39*(Anode!E$8*GREET1_Import_Export!$K73+GREET1_Import_Export!$B187*GREET1_Import_Export!$F$179+GREET1_Import_Export!$F187)+Anode!K$40*(Anode!E$10*GREET1_Import_Export!$Q73+Anode!E$11*GREET1_Import_Export!$O73+Anode!E$12*GREET1_Import_Export!$M73+GREET1_Import_Export!$B187*GREET1_Import_Export!$G$179+GREET1_Import_Export!$G187)+Anode!K$41*(Anode!E$13*GREET1_Import_Export!$T73+GREET1_Import_Export!$B187*GREET1_Import_Export!$C$179+GREET1_Import_Export!$C187)+Anode!K$42*(Anode!E$14*GREET1_Import_Export!$W73+GREET1_Import_Export!$E223*GREET1_Import_Export!$F$215+GREET1_Import_Export!$F223)+Anode!K$43*(Anode!E$15*GREET1_Import_Export!$B73+Anode!E$16*GREET1_Import_Export!$C73+Anode!E$17*GREET1_Import_Export!$G73+Anode!E$19*'GREET2_Factors_T&amp;D'!$F16+Anode!E$20*'GREET2_Factors_T&amp;D'!$G16+GREET1_Import_Export!$B223)+Anode!K$44*(Anode!E$21*GREET1_Import_Export!$AA73+Anode!E$22*GREET1_Import_Export!$AB73+GREET1_Import_Export!$B291)+Anode!K$45*SUM(GREET1_Import_Export!$B316:$C316)+K$46*GREET1_Import_Export!$B$41/1000000*(GREET1_Import_Export!$B187*GREET1_Import_Export!$I$179+GREET1_Import_Export!$I187)+K$47*Steel!$B116+K$48*LiMn2O4!$B98+K$49*GREET1_Import_Export!$M502</f>
        <v>607.44746125788663</v>
      </c>
      <c r="L58" s="258"/>
      <c r="M58" s="267"/>
      <c r="N58" s="273">
        <f ca="1">Anode!N$39*(Anode!F$8*GREET1_Import_Export!$K73+GREET1_Import_Export!$B187*GREET1_Import_Export!$F$179+GREET1_Import_Export!$F187)+Anode!N$40*(Anode!F$10*GREET1_Import_Export!$Q73+Anode!F$11*GREET1_Import_Export!$O73+Anode!F$12*GREET1_Import_Export!$M73+GREET1_Import_Export!$B187*GREET1_Import_Export!$G$179+GREET1_Import_Export!$G187)+Anode!N$41*(Anode!F$13*GREET1_Import_Export!$T73+GREET1_Import_Export!$B187*GREET1_Import_Export!$C$179+GREET1_Import_Export!$C187)+Anode!N$42*(Anode!F$14*GREET1_Import_Export!$W73+GREET1_Import_Export!$E223*GREET1_Import_Export!$F$215+GREET1_Import_Export!$F223)+Anode!N$43*(Anode!F$15*GREET1_Import_Export!$B73+Anode!F$16*GREET1_Import_Export!$C73+Anode!F$17*GREET1_Import_Export!$G73+Anode!F$19*'GREET2_Factors_T&amp;D'!$F16+Anode!F$20*'GREET2_Factors_T&amp;D'!$G16+GREET1_Import_Export!$B223)+Anode!N$44*(Anode!F$21*GREET1_Import_Export!$AA73+Anode!F$22*GREET1_Import_Export!$AB73+GREET1_Import_Export!$B291)+Anode!N$45*SUM(GREET1_Import_Export!$B316:$C316)+N$46*GREET1_Import_Export!$B$41/1000000*(GREET1_Import_Export!$B187*GREET1_Import_Export!$I$179+GREET1_Import_Export!$I187)+N$47*Steel!$B116+N$48*LiMn2O4!$B98+N$49*GREET1_Import_Export!$M502</f>
        <v>2622.4709778143156</v>
      </c>
      <c r="O58" s="258"/>
      <c r="P58" s="267"/>
    </row>
    <row r="59" spans="1:16">
      <c r="A59" s="173" t="s">
        <v>823</v>
      </c>
      <c r="B59" s="273">
        <f ca="1">Anode!B$39*(Anode!B$8*GREET1_Import_Export!$K74+GREET1_Import_Export!$B188*GREET1_Import_Export!$F$179+GREET1_Import_Export!$F188)+Anode!B$40*(Anode!B$10*GREET1_Import_Export!$Q74+Anode!B$11*GREET1_Import_Export!$O74+Anode!B$12*GREET1_Import_Export!$M74+GREET1_Import_Export!$B188*GREET1_Import_Export!$G$179+GREET1_Import_Export!$G188)+Anode!B$41*(Anode!B$13*GREET1_Import_Export!$T74+GREET1_Import_Export!$B188*GREET1_Import_Export!$C$179+GREET1_Import_Export!$C188)+Anode!B$42*(Anode!B$14*GREET1_Import_Export!$W74+GREET1_Import_Export!$E224*GREET1_Import_Export!$F$215+GREET1_Import_Export!$F224)+Anode!B$43*(Anode!B$15*GREET1_Import_Export!$B74+Anode!B$16*GREET1_Import_Export!$C74+Anode!B$17*GREET1_Import_Export!$G74+Anode!B$19*'GREET2_Factors_T&amp;D'!$F17+Anode!B$20*'GREET2_Factors_T&amp;D'!$G17+GREET1_Import_Export!$B224)+Anode!B$44*(Anode!B$21*GREET1_Import_Export!$AA74+Anode!B$22*GREET1_Import_Export!$AB74+GREET1_Import_Export!$B292)+Anode!B$45*GREET1_Import_Export!$L350+B$46*GREET1_Import_Export!$B$41/1000000*(GREET1_Import_Export!$B188*GREET1_Import_Export!$I$179+GREET1_Import_Export!$I188)+B$47*Steel!$B117+B$48*LiMn2O4!$B99+B$49*GREET1_Import_Export!$M503</f>
        <v>1021.134427346472</v>
      </c>
      <c r="C59" s="522">
        <v>9300</v>
      </c>
      <c r="D59" s="267"/>
      <c r="E59" s="273">
        <f ca="1">Anode!E$39*(Anode!C$8*GREET1_Import_Export!$K74+GREET1_Import_Export!$B188*GREET1_Import_Export!$F$179+GREET1_Import_Export!$F188)+Anode!E$40*(Anode!C$10*GREET1_Import_Export!$Q74+Anode!C$11*GREET1_Import_Export!$O74+Anode!C$12*GREET1_Import_Export!$M74+GREET1_Import_Export!$B188*GREET1_Import_Export!$G$179+GREET1_Import_Export!$G188)+Anode!E$41*(Anode!C$13*GREET1_Import_Export!$T74+GREET1_Import_Export!$B188*GREET1_Import_Export!$C$179+GREET1_Import_Export!$C188)+Anode!E$42*(Anode!C$14*GREET1_Import_Export!$W74+GREET1_Import_Export!$E224*GREET1_Import_Export!$F$215+GREET1_Import_Export!$F224)+Anode!E$43*(Anode!C$15*GREET1_Import_Export!$B74+Anode!C$16*GREET1_Import_Export!$C74+Anode!C$17*GREET1_Import_Export!$G74+Anode!C$19*'GREET2_Factors_T&amp;D'!$F17+Anode!C$20*'GREET2_Factors_T&amp;D'!$G17+GREET1_Import_Export!$B224)+Anode!E$44*(Anode!C$21*GREET1_Import_Export!$AA74+Anode!C$22*GREET1_Import_Export!$AB74+GREET1_Import_Export!$B292)+Anode!E$45*GREET1_Import_Export!$L350+E$46*GREET1_Import_Export!$B$41/1000000*(GREET1_Import_Export!$B188*GREET1_Import_Export!$I$179+GREET1_Import_Export!$I188)+E$47*Steel!$B117+E$48*LiMn2O4!$B99+E$49*GREET1_Import_Export!$M503</f>
        <v>2067.7750973858106</v>
      </c>
      <c r="F59" s="258"/>
      <c r="G59" s="267"/>
      <c r="H59" s="273">
        <f ca="1">Anode!H$39*(Anode!D$8*GREET1_Import_Export!$K74+GREET1_Import_Export!$B188*GREET1_Import_Export!$F$179+GREET1_Import_Export!$F188)+Anode!H$40*(Anode!D$10*GREET1_Import_Export!$Q74+Anode!D$11*GREET1_Import_Export!$O74+Anode!D$12*GREET1_Import_Export!$M74+GREET1_Import_Export!$B188*GREET1_Import_Export!$G$179+GREET1_Import_Export!$G188)+Anode!H$41*(Anode!D$13*GREET1_Import_Export!$T74+GREET1_Import_Export!$B188*GREET1_Import_Export!$C$179+GREET1_Import_Export!$C188)+Anode!H$42*(Anode!D$14*GREET1_Import_Export!$W74+GREET1_Import_Export!$E224*GREET1_Import_Export!$F$215+GREET1_Import_Export!$F224)+Anode!H$43*(Anode!D$15*GREET1_Import_Export!$B74+Anode!D$16*GREET1_Import_Export!$C74+Anode!D$17*GREET1_Import_Export!$G74+Anode!D$19*'GREET2_Factors_T&amp;D'!$F17+Anode!D$20*'GREET2_Factors_T&amp;D'!$G17+GREET1_Import_Export!$B224)+Anode!H$44*(Anode!D$21*GREET1_Import_Export!$AA74+Anode!D$22*GREET1_Import_Export!$AB74+GREET1_Import_Export!$B292)+Anode!H$45*SUM(GREET1_Import_Export!$B317:$C317)+H$46*GREET1_Import_Export!$B$41/1000000*(GREET1_Import_Export!$B188*GREET1_Import_Export!$I$179+GREET1_Import_Export!$I188)+H$47*Steel!$B117+H$48*LiMn2O4!$B99+H$49*GREET1_Import_Export!$M503</f>
        <v>7319.8016550122375</v>
      </c>
      <c r="I59" s="258"/>
      <c r="J59" s="267"/>
      <c r="K59" s="273">
        <f ca="1">Anode!K$39*(Anode!E$8*GREET1_Import_Export!$K74+GREET1_Import_Export!$B188*GREET1_Import_Export!$F$179+GREET1_Import_Export!$F188)+Anode!K$40*(Anode!E$10*GREET1_Import_Export!$Q74+Anode!E$11*GREET1_Import_Export!$O74+Anode!E$12*GREET1_Import_Export!$M74+GREET1_Import_Export!$B188*GREET1_Import_Export!$G$179+GREET1_Import_Export!$G188)+Anode!K$41*(Anode!E$13*GREET1_Import_Export!$T74+GREET1_Import_Export!$B188*GREET1_Import_Export!$C$179+GREET1_Import_Export!$C188)+Anode!K$42*(Anode!E$14*GREET1_Import_Export!$W74+GREET1_Import_Export!$E224*GREET1_Import_Export!$F$215+GREET1_Import_Export!$F224)+Anode!K$43*(Anode!E$15*GREET1_Import_Export!$B74+Anode!E$16*GREET1_Import_Export!$C74+Anode!E$17*GREET1_Import_Export!$G74+Anode!E$19*'GREET2_Factors_T&amp;D'!$F17+Anode!E$20*'GREET2_Factors_T&amp;D'!$G17+GREET1_Import_Export!$B224)+Anode!K$44*(Anode!E$21*GREET1_Import_Export!$AA74+Anode!E$22*GREET1_Import_Export!$AB74+GREET1_Import_Export!$B292)+Anode!K$45*SUM(GREET1_Import_Export!$B317:$C317)+K$46*GREET1_Import_Export!$B$41/1000000*(GREET1_Import_Export!$B188*GREET1_Import_Export!$I$179+GREET1_Import_Export!$I188)+K$47*Steel!$B117+K$48*LiMn2O4!$B99+K$49*GREET1_Import_Export!$M503</f>
        <v>1251.3795224572457</v>
      </c>
      <c r="L59" s="258"/>
      <c r="M59" s="267"/>
      <c r="N59" s="273">
        <f ca="1">Anode!N$39*(Anode!F$8*GREET1_Import_Export!$K74+GREET1_Import_Export!$B188*GREET1_Import_Export!$F$179+GREET1_Import_Export!$F188)+Anode!N$40*(Anode!F$10*GREET1_Import_Export!$Q74+Anode!F$11*GREET1_Import_Export!$O74+Anode!F$12*GREET1_Import_Export!$M74+GREET1_Import_Export!$B188*GREET1_Import_Export!$G$179+GREET1_Import_Export!$G188)+Anode!N$41*(Anode!F$13*GREET1_Import_Export!$T74+GREET1_Import_Export!$B188*GREET1_Import_Export!$C$179+GREET1_Import_Export!$C188)+Anode!N$42*(Anode!F$14*GREET1_Import_Export!$W74+GREET1_Import_Export!$E224*GREET1_Import_Export!$F$215+GREET1_Import_Export!$F224)+Anode!N$43*(Anode!F$15*GREET1_Import_Export!$B74+Anode!F$16*GREET1_Import_Export!$C74+Anode!F$17*GREET1_Import_Export!$G74+Anode!F$19*'GREET2_Factors_T&amp;D'!$F17+Anode!F$20*'GREET2_Factors_T&amp;D'!$G17+GREET1_Import_Export!$B224)+Anode!N$44*(Anode!F$21*GREET1_Import_Export!$AA74+Anode!F$22*GREET1_Import_Export!$AB74+GREET1_Import_Export!$B292)+Anode!N$45*SUM(GREET1_Import_Export!$B317:$C317)+N$46*GREET1_Import_Export!$B$41/1000000*(GREET1_Import_Export!$B188*GREET1_Import_Export!$I$179+GREET1_Import_Export!$I188)+N$47*Steel!$B117+N$48*LiMn2O4!$B99+N$49*GREET1_Import_Export!$M503</f>
        <v>3606.9772762833268</v>
      </c>
      <c r="O59" s="258"/>
      <c r="P59" s="267"/>
    </row>
    <row r="60" spans="1:16">
      <c r="A60" s="173" t="s">
        <v>824</v>
      </c>
      <c r="B60" s="273">
        <f ca="1">Anode!B$39*(Anode!B$8*GREET1_Import_Export!$K75+GREET1_Import_Export!$B189*GREET1_Import_Export!$F$179+GREET1_Import_Export!$F189)+Anode!B$40*(Anode!B$10*GREET1_Import_Export!$Q75+Anode!B$11*GREET1_Import_Export!$O75+Anode!B$12*GREET1_Import_Export!$M75+GREET1_Import_Export!$B189*GREET1_Import_Export!$G$179+GREET1_Import_Export!$G189)+Anode!B$41*(Anode!B$13*GREET1_Import_Export!$T75+GREET1_Import_Export!$B189*GREET1_Import_Export!$C$179+GREET1_Import_Export!$C189)+Anode!B$42*(Anode!B$14*GREET1_Import_Export!$W75+GREET1_Import_Export!$E225*GREET1_Import_Export!$F$215+GREET1_Import_Export!$F225)+Anode!B$43*(Anode!B$15*GREET1_Import_Export!$B75+Anode!B$16*GREET1_Import_Export!$C75+Anode!B$17*GREET1_Import_Export!$G75+Anode!B$19*'GREET2_Factors_T&amp;D'!$F18+Anode!B$20*'GREET2_Factors_T&amp;D'!$G18+GREET1_Import_Export!$B225)+Anode!B$44*(Anode!B$21*GREET1_Import_Export!$AA75+Anode!B$22*GREET1_Import_Export!$AB75+GREET1_Import_Export!$B293)+Anode!B$45*GREET1_Import_Export!$L351+B$46*GREET1_Import_Export!$B$41/1000000*(GREET1_Import_Export!$B189*GREET1_Import_Export!$I$179+GREET1_Import_Export!$I189)+B$47*Steel!$B118+B$48*LiMn2O4!$B100+B$49*GREET1_Import_Export!$M504</f>
        <v>321.33151945679657</v>
      </c>
      <c r="C60" s="522">
        <v>4100.5</v>
      </c>
      <c r="D60" s="267"/>
      <c r="E60" s="273">
        <f ca="1">Anode!E$39*(Anode!C$8*GREET1_Import_Export!$K75+GREET1_Import_Export!$B189*GREET1_Import_Export!$F$179+GREET1_Import_Export!$F189)+Anode!E$40*(Anode!C$10*GREET1_Import_Export!$Q75+Anode!C$11*GREET1_Import_Export!$O75+Anode!C$12*GREET1_Import_Export!$M75+GREET1_Import_Export!$B189*GREET1_Import_Export!$G$179+GREET1_Import_Export!$G189)+Anode!E$41*(Anode!C$13*GREET1_Import_Export!$T75+GREET1_Import_Export!$B189*GREET1_Import_Export!$C$179+GREET1_Import_Export!$C189)+Anode!E$42*(Anode!C$14*GREET1_Import_Export!$W75+GREET1_Import_Export!$E225*GREET1_Import_Export!$F$215+GREET1_Import_Export!$F225)+Anode!E$43*(Anode!C$15*GREET1_Import_Export!$B75+Anode!C$16*GREET1_Import_Export!$C75+Anode!C$17*GREET1_Import_Export!$G75+Anode!C$19*'GREET2_Factors_T&amp;D'!$F18+Anode!C$20*'GREET2_Factors_T&amp;D'!$G18+GREET1_Import_Export!$B225)+Anode!E$44*(Anode!C$21*GREET1_Import_Export!$AA75+Anode!C$22*GREET1_Import_Export!$AB75+GREET1_Import_Export!$B293)+Anode!E$45*GREET1_Import_Export!$L351+E$46*GREET1_Import_Export!$B$41/1000000*(GREET1_Import_Export!$B189*GREET1_Import_Export!$I$179+GREET1_Import_Export!$I189)+E$47*Steel!$B118+E$48*LiMn2O4!$B100+E$49*GREET1_Import_Export!$M504</f>
        <v>492.97012477357839</v>
      </c>
      <c r="F60" s="258"/>
      <c r="G60" s="267"/>
      <c r="H60" s="273">
        <f ca="1">Anode!H$39*(Anode!D$8*GREET1_Import_Export!$K75+GREET1_Import_Export!$B189*GREET1_Import_Export!$F$179+GREET1_Import_Export!$F189)+Anode!H$40*(Anode!D$10*GREET1_Import_Export!$Q75+Anode!D$11*GREET1_Import_Export!$O75+Anode!D$12*GREET1_Import_Export!$M75+GREET1_Import_Export!$B189*GREET1_Import_Export!$G$179+GREET1_Import_Export!$G189)+Anode!H$41*(Anode!D$13*GREET1_Import_Export!$T75+GREET1_Import_Export!$B189*GREET1_Import_Export!$C$179+GREET1_Import_Export!$C189)+Anode!H$42*(Anode!D$14*GREET1_Import_Export!$W75+GREET1_Import_Export!$E225*GREET1_Import_Export!$F$215+GREET1_Import_Export!$F225)+Anode!H$43*(Anode!D$15*GREET1_Import_Export!$B75+Anode!D$16*GREET1_Import_Export!$C75+Anode!D$17*GREET1_Import_Export!$G75+Anode!D$19*'GREET2_Factors_T&amp;D'!$F18+Anode!D$20*'GREET2_Factors_T&amp;D'!$G18+GREET1_Import_Export!$B225)+Anode!H$44*(Anode!D$21*GREET1_Import_Export!$AA75+Anode!D$22*GREET1_Import_Export!$AB75+GREET1_Import_Export!$B293)+Anode!H$45*SUM(GREET1_Import_Export!$B318:$C318)+H$46*GREET1_Import_Export!$B$41/1000000*(GREET1_Import_Export!$B189*GREET1_Import_Export!$I$179+GREET1_Import_Export!$I189)+H$47*Steel!$B118+H$48*LiMn2O4!$B100+H$49*GREET1_Import_Export!$M504</f>
        <v>1875.2821455983885</v>
      </c>
      <c r="I60" s="258"/>
      <c r="J60" s="267"/>
      <c r="K60" s="273">
        <f ca="1">Anode!K$39*(Anode!E$8*GREET1_Import_Export!$K75+GREET1_Import_Export!$B189*GREET1_Import_Export!$F$179+GREET1_Import_Export!$F189)+Anode!K$40*(Anode!E$10*GREET1_Import_Export!$Q75+Anode!E$11*GREET1_Import_Export!$O75+Anode!E$12*GREET1_Import_Export!$M75+GREET1_Import_Export!$B189*GREET1_Import_Export!$G$179+GREET1_Import_Export!$G189)+Anode!K$41*(Anode!E$13*GREET1_Import_Export!$T75+GREET1_Import_Export!$B189*GREET1_Import_Export!$C$179+GREET1_Import_Export!$C189)+Anode!K$42*(Anode!E$14*GREET1_Import_Export!$W75+GREET1_Import_Export!$E225*GREET1_Import_Export!$F$215+GREET1_Import_Export!$F225)+Anode!K$43*(Anode!E$15*GREET1_Import_Export!$B75+Anode!E$16*GREET1_Import_Export!$C75+Anode!E$17*GREET1_Import_Export!$G75+Anode!E$19*'GREET2_Factors_T&amp;D'!$F18+Anode!E$20*'GREET2_Factors_T&amp;D'!$G18+GREET1_Import_Export!$B225)+Anode!K$44*(Anode!E$21*GREET1_Import_Export!$AA75+Anode!E$22*GREET1_Import_Export!$AB75+GREET1_Import_Export!$B293)+Anode!K$45*SUM(GREET1_Import_Export!$B318:$C318)+K$46*GREET1_Import_Export!$B$41/1000000*(GREET1_Import_Export!$B189*GREET1_Import_Export!$I$179+GREET1_Import_Export!$I189)+K$47*Steel!$B118+K$48*LiMn2O4!$B100+K$49*GREET1_Import_Export!$M504</f>
        <v>200.31616549617121</v>
      </c>
      <c r="L60" s="258"/>
      <c r="M60" s="267"/>
      <c r="N60" s="273">
        <f ca="1">Anode!N$39*(Anode!F$8*GREET1_Import_Export!$K75+GREET1_Import_Export!$B189*GREET1_Import_Export!$F$179+GREET1_Import_Export!$F189)+Anode!N$40*(Anode!F$10*GREET1_Import_Export!$Q75+Anode!F$11*GREET1_Import_Export!$O75+Anode!F$12*GREET1_Import_Export!$M75+GREET1_Import_Export!$B189*GREET1_Import_Export!$G$179+GREET1_Import_Export!$G189)+Anode!N$41*(Anode!F$13*GREET1_Import_Export!$T75+GREET1_Import_Export!$B189*GREET1_Import_Export!$C$179+GREET1_Import_Export!$C189)+Anode!N$42*(Anode!F$14*GREET1_Import_Export!$W75+GREET1_Import_Export!$E225*GREET1_Import_Export!$F$215+GREET1_Import_Export!$F225)+Anode!N$43*(Anode!F$15*GREET1_Import_Export!$B75+Anode!F$16*GREET1_Import_Export!$C75+Anode!F$17*GREET1_Import_Export!$G75+Anode!F$19*'GREET2_Factors_T&amp;D'!$F18+Anode!F$20*'GREET2_Factors_T&amp;D'!$G18+GREET1_Import_Export!$B225)+Anode!N$44*(Anode!F$21*GREET1_Import_Export!$AA75+Anode!F$22*GREET1_Import_Export!$AB75+GREET1_Import_Export!$B293)+Anode!N$45*SUM(GREET1_Import_Export!$B318:$C318)+N$46*GREET1_Import_Export!$B$41/1000000*(GREET1_Import_Export!$B189*GREET1_Import_Export!$I$179+GREET1_Import_Export!$I189)+N$47*Steel!$B118+N$48*LiMn2O4!$B100+N$49*GREET1_Import_Export!$M504</f>
        <v>183.19676989168372</v>
      </c>
      <c r="O60" s="258"/>
      <c r="P60" s="267"/>
    </row>
    <row r="61" spans="1:16">
      <c r="A61" s="173" t="s">
        <v>825</v>
      </c>
      <c r="B61" s="273">
        <f ca="1">Anode!B$39*(Anode!B$8*GREET1_Import_Export!$K76+GREET1_Import_Export!$B190*GREET1_Import_Export!$F$179+GREET1_Import_Export!$F190)+Anode!B$40*(Anode!B$10*GREET1_Import_Export!$Q76+Anode!B$11*GREET1_Import_Export!$O76+Anode!B$12*GREET1_Import_Export!$M76+GREET1_Import_Export!$B190*GREET1_Import_Export!$G$179+GREET1_Import_Export!$G190)+Anode!B$41*(Anode!B$13*GREET1_Import_Export!$T76+GREET1_Import_Export!$B190*GREET1_Import_Export!$C$179+GREET1_Import_Export!$C190)+Anode!B$42*(Anode!B$14*GREET1_Import_Export!$W76+GREET1_Import_Export!$E226*GREET1_Import_Export!$F$215+GREET1_Import_Export!$F226)+Anode!B$43*(Anode!B$15*GREET1_Import_Export!$B76+Anode!B$16*GREET1_Import_Export!$C76+Anode!B$17*GREET1_Import_Export!$G76+Anode!B$19*'GREET2_Factors_T&amp;D'!$F19+Anode!B$20*'GREET2_Factors_T&amp;D'!$G19+GREET1_Import_Export!$B226)+Anode!B$44*(Anode!B$21*GREET1_Import_Export!$AA76+Anode!B$22*GREET1_Import_Export!$AB76+GREET1_Import_Export!$B294)+Anode!B$45*GREET1_Import_Export!$L352+B$46*GREET1_Import_Export!$B$41/1000000*(GREET1_Import_Export!$B190*GREET1_Import_Export!$I$179+GREET1_Import_Export!$I190)+B$47*Steel!$B119+B$48*LiMn2O4!$B101+B$49*GREET1_Import_Export!$M505</f>
        <v>166.26962923055436</v>
      </c>
      <c r="C61" s="522">
        <v>2050.25</v>
      </c>
      <c r="D61" s="267"/>
      <c r="E61" s="273">
        <f ca="1">Anode!E$39*(Anode!C$8*GREET1_Import_Export!$K76+GREET1_Import_Export!$B190*GREET1_Import_Export!$F$179+GREET1_Import_Export!$F190)+Anode!E$40*(Anode!C$10*GREET1_Import_Export!$Q76+Anode!C$11*GREET1_Import_Export!$O76+Anode!C$12*GREET1_Import_Export!$M76+GREET1_Import_Export!$B190*GREET1_Import_Export!$G$179+GREET1_Import_Export!$G190)+Anode!E$41*(Anode!C$13*GREET1_Import_Export!$T76+GREET1_Import_Export!$B190*GREET1_Import_Export!$C$179+GREET1_Import_Export!$C190)+Anode!E$42*(Anode!C$14*GREET1_Import_Export!$W76+GREET1_Import_Export!$E226*GREET1_Import_Export!$F$215+GREET1_Import_Export!$F226)+Anode!E$43*(Anode!C$15*GREET1_Import_Export!$B76+Anode!C$16*GREET1_Import_Export!$C76+Anode!C$17*GREET1_Import_Export!$G76+Anode!C$19*'GREET2_Factors_T&amp;D'!$F19+Anode!C$20*'GREET2_Factors_T&amp;D'!$G19+GREET1_Import_Export!$B226)+Anode!E$44*(Anode!C$21*GREET1_Import_Export!$AA76+Anode!C$22*GREET1_Import_Export!$AB76+GREET1_Import_Export!$B294)+Anode!E$45*GREET1_Import_Export!$L352+E$46*GREET1_Import_Export!$B$41/1000000*(GREET1_Import_Export!$B190*GREET1_Import_Export!$I$179+GREET1_Import_Export!$I190)+E$47*Steel!$B119+E$48*LiMn2O4!$B101+E$49*GREET1_Import_Export!$M505</f>
        <v>234.3109965534521</v>
      </c>
      <c r="F61" s="258"/>
      <c r="G61" s="267"/>
      <c r="H61" s="273">
        <f ca="1">Anode!H$39*(Anode!D$8*GREET1_Import_Export!$K76+GREET1_Import_Export!$B190*GREET1_Import_Export!$F$179+GREET1_Import_Export!$F190)+Anode!H$40*(Anode!D$10*GREET1_Import_Export!$Q76+Anode!D$11*GREET1_Import_Export!$O76+Anode!D$12*GREET1_Import_Export!$M76+GREET1_Import_Export!$B190*GREET1_Import_Export!$G$179+GREET1_Import_Export!$G190)+Anode!H$41*(Anode!D$13*GREET1_Import_Export!$T76+GREET1_Import_Export!$B190*GREET1_Import_Export!$C$179+GREET1_Import_Export!$C190)+Anode!H$42*(Anode!D$14*GREET1_Import_Export!$W76+GREET1_Import_Export!$E226*GREET1_Import_Export!$F$215+GREET1_Import_Export!$F226)+Anode!H$43*(Anode!D$15*GREET1_Import_Export!$B76+Anode!D$16*GREET1_Import_Export!$C76+Anode!D$17*GREET1_Import_Export!$G76+Anode!D$19*'GREET2_Factors_T&amp;D'!$F19+Anode!D$20*'GREET2_Factors_T&amp;D'!$G19+GREET1_Import_Export!$B226)+Anode!H$44*(Anode!D$21*GREET1_Import_Export!$AA76+Anode!D$22*GREET1_Import_Export!$AB76+GREET1_Import_Export!$B294)+Anode!H$45*SUM(GREET1_Import_Export!$B319:$C319)+H$46*GREET1_Import_Export!$B$41/1000000*(GREET1_Import_Export!$B190*GREET1_Import_Export!$I$179+GREET1_Import_Export!$I190)+H$47*Steel!$B119+H$48*LiMn2O4!$B101+H$49*GREET1_Import_Export!$M505</f>
        <v>1349.3562355356617</v>
      </c>
      <c r="I61" s="258"/>
      <c r="J61" s="267"/>
      <c r="K61" s="273">
        <f ca="1">Anode!K$39*(Anode!E$8*GREET1_Import_Export!$K76+GREET1_Import_Export!$B190*GREET1_Import_Export!$F$179+GREET1_Import_Export!$F190)+Anode!K$40*(Anode!E$10*GREET1_Import_Export!$Q76+Anode!E$11*GREET1_Import_Export!$O76+Anode!E$12*GREET1_Import_Export!$M76+GREET1_Import_Export!$B190*GREET1_Import_Export!$G$179+GREET1_Import_Export!$G190)+Anode!K$41*(Anode!E$13*GREET1_Import_Export!$T76+GREET1_Import_Export!$B190*GREET1_Import_Export!$C$179+GREET1_Import_Export!$C190)+Anode!K$42*(Anode!E$14*GREET1_Import_Export!$W76+GREET1_Import_Export!$E226*GREET1_Import_Export!$F$215+GREET1_Import_Export!$F226)+Anode!K$43*(Anode!E$15*GREET1_Import_Export!$B76+Anode!E$16*GREET1_Import_Export!$C76+Anode!E$17*GREET1_Import_Export!$G76+Anode!E$19*'GREET2_Factors_T&amp;D'!$F19+Anode!E$20*'GREET2_Factors_T&amp;D'!$G19+GREET1_Import_Export!$B226)+Anode!K$44*(Anode!E$21*GREET1_Import_Export!$AA76+Anode!E$22*GREET1_Import_Export!$AB76+GREET1_Import_Export!$B294)+Anode!K$45*SUM(GREET1_Import_Export!$B319:$C319)+K$46*GREET1_Import_Export!$B$41/1000000*(GREET1_Import_Export!$B190*GREET1_Import_Export!$I$179+GREET1_Import_Export!$I190)+K$47*Steel!$B119+K$48*LiMn2O4!$B101+K$49*GREET1_Import_Export!$M505</f>
        <v>120.24368922370572</v>
      </c>
      <c r="L61" s="258"/>
      <c r="M61" s="267"/>
      <c r="N61" s="273">
        <f ca="1">Anode!N$39*(Anode!F$8*GREET1_Import_Export!$K76+GREET1_Import_Export!$B190*GREET1_Import_Export!$F$179+GREET1_Import_Export!$F190)+Anode!N$40*(Anode!F$10*GREET1_Import_Export!$Q76+Anode!F$11*GREET1_Import_Export!$O76+Anode!F$12*GREET1_Import_Export!$M76+GREET1_Import_Export!$B190*GREET1_Import_Export!$G$179+GREET1_Import_Export!$G190)+Anode!N$41*(Anode!F$13*GREET1_Import_Export!$T76+GREET1_Import_Export!$B190*GREET1_Import_Export!$C$179+GREET1_Import_Export!$C190)+Anode!N$42*(Anode!F$14*GREET1_Import_Export!$W76+GREET1_Import_Export!$E226*GREET1_Import_Export!$F$215+GREET1_Import_Export!$F226)+Anode!N$43*(Anode!F$15*GREET1_Import_Export!$B76+Anode!F$16*GREET1_Import_Export!$C76+Anode!F$17*GREET1_Import_Export!$G76+Anode!F$19*'GREET2_Factors_T&amp;D'!$F19+Anode!F$20*'GREET2_Factors_T&amp;D'!$G19+GREET1_Import_Export!$B226)+Anode!N$44*(Anode!F$21*GREET1_Import_Export!$AA76+Anode!F$22*GREET1_Import_Export!$AB76+GREET1_Import_Export!$B294)+Anode!N$45*SUM(GREET1_Import_Export!$B319:$C319)+N$46*GREET1_Import_Export!$B$41/1000000*(GREET1_Import_Export!$B190*GREET1_Import_Export!$I$179+GREET1_Import_Export!$I190)+N$47*Steel!$B119+N$48*LiMn2O4!$B101+N$49*GREET1_Import_Export!$M505</f>
        <v>181.26781145803625</v>
      </c>
      <c r="O61" s="258"/>
      <c r="P61" s="267"/>
    </row>
    <row r="62" spans="1:16">
      <c r="A62" s="173" t="s">
        <v>826</v>
      </c>
      <c r="B62" s="273">
        <f ca="1">Anode!B$39*(Anode!B$8*GREET1_Import_Export!$K77+GREET1_Import_Export!$B191*GREET1_Import_Export!$F$179+GREET1_Import_Export!$F191)+Anode!B$40*(Anode!B$10*GREET1_Import_Export!$Q77+Anode!B$11*GREET1_Import_Export!$O77+Anode!B$12*GREET1_Import_Export!$M77+GREET1_Import_Export!$B191*GREET1_Import_Export!$G$179+GREET1_Import_Export!$G191)+Anode!B$41*(Anode!B$13*GREET1_Import_Export!$T77+GREET1_Import_Export!$B191*GREET1_Import_Export!$C$179+GREET1_Import_Export!$C191)+Anode!B$42*(Anode!B$14*GREET1_Import_Export!$W77+GREET1_Import_Export!$E227*GREET1_Import_Export!$F$215+GREET1_Import_Export!$F227)+Anode!B$43*(Anode!B$15*GREET1_Import_Export!$B77+Anode!B$16*GREET1_Import_Export!$C77+Anode!B$17*GREET1_Import_Export!$G77+Anode!B$19*'GREET2_Factors_T&amp;D'!$F20+Anode!B$20*'GREET2_Factors_T&amp;D'!$G20+GREET1_Import_Export!$B227)+Anode!B$44*(Anode!B$21*GREET1_Import_Export!$AA77+Anode!B$22*GREET1_Import_Export!$AB77+GREET1_Import_Export!$B295)+Anode!B$45*GREET1_Import_Export!$L353+B$46*GREET1_Import_Export!$B$41/1000000*(GREET1_Import_Export!$B191*GREET1_Import_Export!$I$179+GREET1_Import_Export!$I191)+B$47*Steel!$B120+B$48*LiMn2O4!$B102+B$49*GREET1_Import_Export!$M506</f>
        <v>1100.9845911924208</v>
      </c>
      <c r="C62" s="522">
        <v>63812</v>
      </c>
      <c r="D62" s="267"/>
      <c r="E62" s="273">
        <f ca="1">Anode!E$39*(Anode!C$8*GREET1_Import_Export!$K77+GREET1_Import_Export!$B191*GREET1_Import_Export!$F$179+GREET1_Import_Export!$F191)+Anode!E$40*(Anode!C$10*GREET1_Import_Export!$Q77+Anode!C$11*GREET1_Import_Export!$O77+Anode!C$12*GREET1_Import_Export!$M77+GREET1_Import_Export!$B191*GREET1_Import_Export!$G$179+GREET1_Import_Export!$G191)+Anode!E$41*(Anode!C$13*GREET1_Import_Export!$T77+GREET1_Import_Export!$B191*GREET1_Import_Export!$C$179+GREET1_Import_Export!$C191)+Anode!E$42*(Anode!C$14*GREET1_Import_Export!$W77+GREET1_Import_Export!$E227*GREET1_Import_Export!$F$215+GREET1_Import_Export!$F227)+Anode!E$43*(Anode!C$15*GREET1_Import_Export!$B77+Anode!C$16*GREET1_Import_Export!$C77+Anode!C$17*GREET1_Import_Export!$G77+Anode!C$19*'GREET2_Factors_T&amp;D'!$F20+Anode!C$20*'GREET2_Factors_T&amp;D'!$G20+GREET1_Import_Export!$B227)+Anode!E$44*(Anode!C$21*GREET1_Import_Export!$AA77+Anode!C$22*GREET1_Import_Export!$AB77+GREET1_Import_Export!$B295)+Anode!E$45*GREET1_Import_Export!$L353+E$46*GREET1_Import_Export!$B$41/1000000*(GREET1_Import_Export!$B191*GREET1_Import_Export!$I$179+GREET1_Import_Export!$I191)+E$47*Steel!$B120+E$48*LiMn2O4!$B102+E$49*GREET1_Import_Export!$M506</f>
        <v>2863.6411218515955</v>
      </c>
      <c r="F62" s="258"/>
      <c r="G62" s="267"/>
      <c r="H62" s="273">
        <f ca="1">Anode!H$39*(Anode!D$8*GREET1_Import_Export!$K77+GREET1_Import_Export!$B191*GREET1_Import_Export!$F$179+GREET1_Import_Export!$F191)+Anode!H$40*(Anode!D$10*GREET1_Import_Export!$Q77+Anode!D$11*GREET1_Import_Export!$O77+Anode!D$12*GREET1_Import_Export!$M77+GREET1_Import_Export!$B191*GREET1_Import_Export!$G$179+GREET1_Import_Export!$G191)+Anode!H$41*(Anode!D$13*GREET1_Import_Export!$T77+GREET1_Import_Export!$B191*GREET1_Import_Export!$C$179+GREET1_Import_Export!$C191)+Anode!H$42*(Anode!D$14*GREET1_Import_Export!$W77+GREET1_Import_Export!$E227*GREET1_Import_Export!$F$215+GREET1_Import_Export!$F227)+Anode!H$43*(Anode!D$15*GREET1_Import_Export!$B77+Anode!D$16*GREET1_Import_Export!$C77+Anode!D$17*GREET1_Import_Export!$G77+Anode!D$19*'GREET2_Factors_T&amp;D'!$F20+Anode!D$20*'GREET2_Factors_T&amp;D'!$G20+GREET1_Import_Export!$B227)+Anode!H$44*(Anode!D$21*GREET1_Import_Export!$AA77+Anode!D$22*GREET1_Import_Export!$AB77+GREET1_Import_Export!$B295)+Anode!H$45*SUM(GREET1_Import_Export!$B320:$C320)+H$46*GREET1_Import_Export!$B$41/1000000*(GREET1_Import_Export!$B191*GREET1_Import_Export!$I$179+GREET1_Import_Export!$I191)+H$47*Steel!$B120+H$48*LiMn2O4!$B102+H$49*GREET1_Import_Export!$M506</f>
        <v>4360.6021663766587</v>
      </c>
      <c r="I62" s="258"/>
      <c r="J62" s="267"/>
      <c r="K62" s="273">
        <f ca="1">Anode!K$39*(Anode!E$8*GREET1_Import_Export!$K77+GREET1_Import_Export!$B191*GREET1_Import_Export!$F$179+GREET1_Import_Export!$F191)+Anode!K$40*(Anode!E$10*GREET1_Import_Export!$Q77+Anode!E$11*GREET1_Import_Export!$O77+Anode!E$12*GREET1_Import_Export!$M77+GREET1_Import_Export!$B191*GREET1_Import_Export!$G$179+GREET1_Import_Export!$G191)+Anode!K$41*(Anode!E$13*GREET1_Import_Export!$T77+GREET1_Import_Export!$B191*GREET1_Import_Export!$C$179+GREET1_Import_Export!$C191)+Anode!K$42*(Anode!E$14*GREET1_Import_Export!$W77+GREET1_Import_Export!$E227*GREET1_Import_Export!$F$215+GREET1_Import_Export!$F227)+Anode!K$43*(Anode!E$15*GREET1_Import_Export!$B77+Anode!E$16*GREET1_Import_Export!$C77+Anode!E$17*GREET1_Import_Export!$G77+Anode!E$19*'GREET2_Factors_T&amp;D'!$F20+Anode!E$20*'GREET2_Factors_T&amp;D'!$G20+GREET1_Import_Export!$B227)+Anode!K$44*(Anode!E$21*GREET1_Import_Export!$AA77+Anode!E$22*GREET1_Import_Export!$AB77+GREET1_Import_Export!$B295)+Anode!K$45*SUM(GREET1_Import_Export!$B320:$C320)+K$46*GREET1_Import_Export!$B$41/1000000*(GREET1_Import_Export!$B191*GREET1_Import_Export!$I$179+GREET1_Import_Export!$I191)+K$47*Steel!$B120+K$48*LiMn2O4!$B102+K$49*GREET1_Import_Export!$M506</f>
        <v>1050.7057031223094</v>
      </c>
      <c r="L62" s="258"/>
      <c r="M62" s="267"/>
      <c r="N62" s="273">
        <f ca="1">Anode!N$39*(Anode!F$8*GREET1_Import_Export!$K77+GREET1_Import_Export!$B191*GREET1_Import_Export!$F$179+GREET1_Import_Export!$F191)+Anode!N$40*(Anode!F$10*GREET1_Import_Export!$Q77+Anode!F$11*GREET1_Import_Export!$O77+Anode!F$12*GREET1_Import_Export!$M77+GREET1_Import_Export!$B191*GREET1_Import_Export!$G$179+GREET1_Import_Export!$G191)+Anode!N$41*(Anode!F$13*GREET1_Import_Export!$T77+GREET1_Import_Export!$B191*GREET1_Import_Export!$C$179+GREET1_Import_Export!$C191)+Anode!N$42*(Anode!F$14*GREET1_Import_Export!$W77+GREET1_Import_Export!$E227*GREET1_Import_Export!$F$215+GREET1_Import_Export!$F227)+Anode!N$43*(Anode!F$15*GREET1_Import_Export!$B77+Anode!F$16*GREET1_Import_Export!$C77+Anode!F$17*GREET1_Import_Export!$G77+Anode!F$19*'GREET2_Factors_T&amp;D'!$F20+Anode!F$20*'GREET2_Factors_T&amp;D'!$G20+GREET1_Import_Export!$B227)+Anode!N$44*(Anode!F$21*GREET1_Import_Export!$AA77+Anode!F$22*GREET1_Import_Export!$AB77+GREET1_Import_Export!$B295)+Anode!N$45*SUM(GREET1_Import_Export!$B320:$C320)+N$46*GREET1_Import_Export!$B$41/1000000*(GREET1_Import_Export!$B191*GREET1_Import_Export!$I$179+GREET1_Import_Export!$I191)+N$47*Steel!$B120+N$48*LiMn2O4!$B102+N$49*GREET1_Import_Export!$M506</f>
        <v>530.36155401676911</v>
      </c>
      <c r="O62" s="258"/>
      <c r="P62" s="267"/>
    </row>
    <row r="63" spans="1:16">
      <c r="A63" s="173" t="s">
        <v>827</v>
      </c>
      <c r="B63" s="273">
        <f ca="1">Anode!B$39*(Anode!B$8*GREET1_Import_Export!$K78+GREET1_Import_Export!$B192*GREET1_Import_Export!$F$179+GREET1_Import_Export!$F192)+Anode!B$40*(Anode!B$10*GREET1_Import_Export!$Q78+Anode!B$11*GREET1_Import_Export!$O78+Anode!B$12*GREET1_Import_Export!$M78+GREET1_Import_Export!$B192*GREET1_Import_Export!$G$179+GREET1_Import_Export!$G192)+Anode!B$41*(Anode!B$13*GREET1_Import_Export!$T78+GREET1_Import_Export!$B192*GREET1_Import_Export!$C$179+GREET1_Import_Export!$C192)+Anode!B$42*(Anode!B$14*GREET1_Import_Export!$W78+GREET1_Import_Export!$E228*GREET1_Import_Export!$F$215+GREET1_Import_Export!$F228)+Anode!B$43*(Anode!B$15*GREET1_Import_Export!$B78+Anode!B$16*GREET1_Import_Export!$C78+Anode!B$17*GREET1_Import_Export!$G78+Anode!B$19*'GREET2_Factors_T&amp;D'!$F21+Anode!B$20*'GREET2_Factors_T&amp;D'!$G21+GREET1_Import_Export!$B228)+Anode!B$44*(Anode!B$21*GREET1_Import_Export!$AA78+Anode!B$22*GREET1_Import_Export!$AB78+GREET1_Import_Export!$B296)+Anode!B$45*GREET1_Import_Export!$L354+B$46*GREET1_Import_Export!$B$41/1000000*(GREET1_Import_Export!$B192*GREET1_Import_Export!$I$179+GREET1_Import_Export!$I192)+B$47*Steel!$B121+B$48*LiMn2O4!$B103+B$49*GREET1_Import_Export!$M507</f>
        <v>8.1734112195995987</v>
      </c>
      <c r="C63" s="522"/>
      <c r="D63" s="267"/>
      <c r="E63" s="273">
        <f ca="1">Anode!E$39*(Anode!C$8*GREET1_Import_Export!$K78+GREET1_Import_Export!$B192*GREET1_Import_Export!$F$179+GREET1_Import_Export!$F192)+Anode!E$40*(Anode!C$10*GREET1_Import_Export!$Q78+Anode!C$11*GREET1_Import_Export!$O78+Anode!C$12*GREET1_Import_Export!$M78+GREET1_Import_Export!$B192*GREET1_Import_Export!$G$179+GREET1_Import_Export!$G192)+Anode!E$41*(Anode!C$13*GREET1_Import_Export!$T78+GREET1_Import_Export!$B192*GREET1_Import_Export!$C$179+GREET1_Import_Export!$C192)+Anode!E$42*(Anode!C$14*GREET1_Import_Export!$W78+GREET1_Import_Export!$E228*GREET1_Import_Export!$F$215+GREET1_Import_Export!$F228)+Anode!E$43*(Anode!C$15*GREET1_Import_Export!$B78+Anode!C$16*GREET1_Import_Export!$C78+Anode!C$17*GREET1_Import_Export!$G78+Anode!C$19*'GREET2_Factors_T&amp;D'!$F21+Anode!C$20*'GREET2_Factors_T&amp;D'!$G21+GREET1_Import_Export!$B228)+Anode!E$44*(Anode!C$21*GREET1_Import_Export!$AA78+Anode!C$22*GREET1_Import_Export!$AB78+GREET1_Import_Export!$B296)+Anode!E$45*GREET1_Import_Export!$L354+E$46*GREET1_Import_Export!$B$41/1000000*(GREET1_Import_Export!$B192*GREET1_Import_Export!$I$179+GREET1_Import_Export!$I192)+E$47*Steel!$B121+E$48*LiMn2O4!$B103+E$49*GREET1_Import_Export!$M507</f>
        <v>9.9977706675733433</v>
      </c>
      <c r="F63" s="258"/>
      <c r="G63" s="267"/>
      <c r="H63" s="273">
        <f ca="1">Anode!H$39*(Anode!D$8*GREET1_Import_Export!$K78+GREET1_Import_Export!$B192*GREET1_Import_Export!$F$179+GREET1_Import_Export!$F192)+Anode!H$40*(Anode!D$10*GREET1_Import_Export!$Q78+Anode!D$11*GREET1_Import_Export!$O78+Anode!D$12*GREET1_Import_Export!$M78+GREET1_Import_Export!$B192*GREET1_Import_Export!$G$179+GREET1_Import_Export!$G192)+Anode!H$41*(Anode!D$13*GREET1_Import_Export!$T78+GREET1_Import_Export!$B192*GREET1_Import_Export!$C$179+GREET1_Import_Export!$C192)+Anode!H$42*(Anode!D$14*GREET1_Import_Export!$W78+GREET1_Import_Export!$E228*GREET1_Import_Export!$F$215+GREET1_Import_Export!$F228)+Anode!H$43*(Anode!D$15*GREET1_Import_Export!$B78+Anode!D$16*GREET1_Import_Export!$C78+Anode!D$17*GREET1_Import_Export!$G78+Anode!D$19*'GREET2_Factors_T&amp;D'!$F21+Anode!D$20*'GREET2_Factors_T&amp;D'!$G21+GREET1_Import_Export!$B228)+Anode!H$44*(Anode!D$21*GREET1_Import_Export!$AA78+Anode!D$22*GREET1_Import_Export!$AB78+GREET1_Import_Export!$B296)+Anode!H$45*SUM(GREET1_Import_Export!$B321:$C321)+H$46*GREET1_Import_Export!$B$41/1000000*(GREET1_Import_Export!$B192*GREET1_Import_Export!$I$179+GREET1_Import_Export!$I192)+H$47*Steel!$B121+H$48*LiMn2O4!$B103+H$49*GREET1_Import_Export!$M507</f>
        <v>137.44866038772739</v>
      </c>
      <c r="I63" s="258"/>
      <c r="J63" s="267"/>
      <c r="K63" s="273">
        <f ca="1">Anode!K$39*(Anode!E$8*GREET1_Import_Export!$K78+GREET1_Import_Export!$B192*GREET1_Import_Export!$F$179+GREET1_Import_Export!$F192)+Anode!K$40*(Anode!E$10*GREET1_Import_Export!$Q78+Anode!E$11*GREET1_Import_Export!$O78+Anode!E$12*GREET1_Import_Export!$M78+GREET1_Import_Export!$B192*GREET1_Import_Export!$G$179+GREET1_Import_Export!$G192)+Anode!K$41*(Anode!E$13*GREET1_Import_Export!$T78+GREET1_Import_Export!$B192*GREET1_Import_Export!$C$179+GREET1_Import_Export!$C192)+Anode!K$42*(Anode!E$14*GREET1_Import_Export!$W78+GREET1_Import_Export!$E228*GREET1_Import_Export!$F$215+GREET1_Import_Export!$F228)+Anode!K$43*(Anode!E$15*GREET1_Import_Export!$B78+Anode!E$16*GREET1_Import_Export!$C78+Anode!E$17*GREET1_Import_Export!$G78+Anode!E$19*'GREET2_Factors_T&amp;D'!$F21+Anode!E$20*'GREET2_Factors_T&amp;D'!$G21+GREET1_Import_Export!$B228)+Anode!K$44*(Anode!E$21*GREET1_Import_Export!$AA78+Anode!E$22*GREET1_Import_Export!$AB78+GREET1_Import_Export!$B296)+Anode!K$45*SUM(GREET1_Import_Export!$B321:$C321)+K$46*GREET1_Import_Export!$B$41/1000000*(GREET1_Import_Export!$B192*GREET1_Import_Export!$I$179+GREET1_Import_Export!$I192)+K$47*Steel!$B121+K$48*LiMn2O4!$B103+K$49*GREET1_Import_Export!$M507</f>
        <v>7.3366202293772291</v>
      </c>
      <c r="L63" s="258"/>
      <c r="M63" s="267"/>
      <c r="N63" s="273">
        <f ca="1">Anode!N$39*(Anode!F$8*GREET1_Import_Export!$K78+GREET1_Import_Export!$B192*GREET1_Import_Export!$F$179+GREET1_Import_Export!$F192)+Anode!N$40*(Anode!F$10*GREET1_Import_Export!$Q78+Anode!F$11*GREET1_Import_Export!$O78+Anode!F$12*GREET1_Import_Export!$M78+GREET1_Import_Export!$B192*GREET1_Import_Export!$G$179+GREET1_Import_Export!$G192)+Anode!N$41*(Anode!F$13*GREET1_Import_Export!$T78+GREET1_Import_Export!$B192*GREET1_Import_Export!$C$179+GREET1_Import_Export!$C192)+Anode!N$42*(Anode!F$14*GREET1_Import_Export!$W78+GREET1_Import_Export!$E228*GREET1_Import_Export!$F$215+GREET1_Import_Export!$F228)+Anode!N$43*(Anode!F$15*GREET1_Import_Export!$B78+Anode!F$16*GREET1_Import_Export!$C78+Anode!F$17*GREET1_Import_Export!$G78+Anode!F$19*'GREET2_Factors_T&amp;D'!$F21+Anode!F$20*'GREET2_Factors_T&amp;D'!$G21+GREET1_Import_Export!$B228)+Anode!N$44*(Anode!F$21*GREET1_Import_Export!$AA78+Anode!F$22*GREET1_Import_Export!$AB78+GREET1_Import_Export!$B296)+Anode!N$45*SUM(GREET1_Import_Export!$B321:$C321)+N$46*GREET1_Import_Export!$B$41/1000000*(GREET1_Import_Export!$B192*GREET1_Import_Export!$I$179+GREET1_Import_Export!$I192)+N$47*Steel!$B121+N$48*LiMn2O4!$B103+N$49*GREET1_Import_Export!$M507</f>
        <v>31.623292264896875</v>
      </c>
      <c r="O63" s="258"/>
      <c r="P63" s="267"/>
    </row>
    <row r="64" spans="1:16">
      <c r="A64" s="173" t="s">
        <v>828</v>
      </c>
      <c r="B64" s="273">
        <f ca="1">Anode!B$39*(Anode!B$8*GREET1_Import_Export!$K79+GREET1_Import_Export!$B193*GREET1_Import_Export!$F$179+GREET1_Import_Export!$F193)+Anode!B$40*(Anode!B$10*GREET1_Import_Export!$Q79+Anode!B$11*GREET1_Import_Export!$O79+Anode!B$12*GREET1_Import_Export!$M79+GREET1_Import_Export!$B193*GREET1_Import_Export!$G$179+GREET1_Import_Export!$G193)+Anode!B$41*(Anode!B$13*GREET1_Import_Export!$T79+GREET1_Import_Export!$B193*GREET1_Import_Export!$C$179+GREET1_Import_Export!$C193)+Anode!B$42*(Anode!B$14*GREET1_Import_Export!$W79+GREET1_Import_Export!$E229*GREET1_Import_Export!$F$215+GREET1_Import_Export!$F229)+Anode!B$43*(Anode!B$15*GREET1_Import_Export!$B79+Anode!B$16*GREET1_Import_Export!$C79+Anode!B$17*GREET1_Import_Export!$G79+Anode!B$19*'GREET2_Factors_T&amp;D'!$F22+Anode!B$20*'GREET2_Factors_T&amp;D'!$G22+GREET1_Import_Export!$B229)+Anode!B$44*(Anode!B$21*GREET1_Import_Export!$AA79+Anode!B$22*GREET1_Import_Export!$AB79+GREET1_Import_Export!$B297)+Anode!B$45*GREET1_Import_Export!$L355+B$46*GREET1_Import_Export!$B$41/1000000*(GREET1_Import_Export!$B193*GREET1_Import_Export!$I$179+GREET1_Import_Export!$I193)+B$47*Steel!$B122+B$48*LiMn2O4!$B104+B$49*GREET1_Import_Export!$M508</f>
        <v>16.881501813461526</v>
      </c>
      <c r="C64" s="522"/>
      <c r="D64" s="267"/>
      <c r="E64" s="273">
        <f ca="1">Anode!E$39*(Anode!C$8*GREET1_Import_Export!$K79+GREET1_Import_Export!$B193*GREET1_Import_Export!$F$179+GREET1_Import_Export!$F193)+Anode!E$40*(Anode!C$10*GREET1_Import_Export!$Q79+Anode!C$11*GREET1_Import_Export!$O79+Anode!C$12*GREET1_Import_Export!$M79+GREET1_Import_Export!$B193*GREET1_Import_Export!$G$179+GREET1_Import_Export!$G193)+Anode!E$41*(Anode!C$13*GREET1_Import_Export!$T79+GREET1_Import_Export!$B193*GREET1_Import_Export!$C$179+GREET1_Import_Export!$C193)+Anode!E$42*(Anode!C$14*GREET1_Import_Export!$W79+GREET1_Import_Export!$E229*GREET1_Import_Export!$F$215+GREET1_Import_Export!$F229)+Anode!E$43*(Anode!C$15*GREET1_Import_Export!$B79+Anode!C$16*GREET1_Import_Export!$C79+Anode!C$17*GREET1_Import_Export!$G79+Anode!C$19*'GREET2_Factors_T&amp;D'!$F22+Anode!C$20*'GREET2_Factors_T&amp;D'!$G22+GREET1_Import_Export!$B229)+Anode!E$44*(Anode!C$21*GREET1_Import_Export!$AA79+Anode!C$22*GREET1_Import_Export!$AB79+GREET1_Import_Export!$B297)+Anode!E$45*GREET1_Import_Export!$L355+E$46*GREET1_Import_Export!$B$41/1000000*(GREET1_Import_Export!$B193*GREET1_Import_Export!$I$179+GREET1_Import_Export!$I193)+E$47*Steel!$B122+E$48*LiMn2O4!$B104+E$49*GREET1_Import_Export!$M508</f>
        <v>20.109976141445799</v>
      </c>
      <c r="F64" s="258"/>
      <c r="G64" s="267"/>
      <c r="H64" s="273">
        <f ca="1">Anode!H$39*(Anode!D$8*GREET1_Import_Export!$K79+GREET1_Import_Export!$B193*GREET1_Import_Export!$F$179+GREET1_Import_Export!$F193)+Anode!H$40*(Anode!D$10*GREET1_Import_Export!$Q79+Anode!D$11*GREET1_Import_Export!$O79+Anode!D$12*GREET1_Import_Export!$M79+GREET1_Import_Export!$B193*GREET1_Import_Export!$G$179+GREET1_Import_Export!$G193)+Anode!H$41*(Anode!D$13*GREET1_Import_Export!$T79+GREET1_Import_Export!$B193*GREET1_Import_Export!$C$179+GREET1_Import_Export!$C193)+Anode!H$42*(Anode!D$14*GREET1_Import_Export!$W79+GREET1_Import_Export!$E229*GREET1_Import_Export!$F$215+GREET1_Import_Export!$F229)+Anode!H$43*(Anode!D$15*GREET1_Import_Export!$B79+Anode!D$16*GREET1_Import_Export!$C79+Anode!D$17*GREET1_Import_Export!$G79+Anode!D$19*'GREET2_Factors_T&amp;D'!$F22+Anode!D$20*'GREET2_Factors_T&amp;D'!$G22+GREET1_Import_Export!$B229)+Anode!H$44*(Anode!D$21*GREET1_Import_Export!$AA79+Anode!D$22*GREET1_Import_Export!$AB79+GREET1_Import_Export!$B297)+Anode!H$45*SUM(GREET1_Import_Export!$B322:$C322)+H$46*GREET1_Import_Export!$B$41/1000000*(GREET1_Import_Export!$B193*GREET1_Import_Export!$I$179+GREET1_Import_Export!$I193)+H$47*Steel!$B122+H$48*LiMn2O4!$B104+H$49*GREET1_Import_Export!$M508</f>
        <v>287.44733852536478</v>
      </c>
      <c r="I64" s="258"/>
      <c r="J64" s="267"/>
      <c r="K64" s="273">
        <f ca="1">Anode!K$39*(Anode!E$8*GREET1_Import_Export!$K79+GREET1_Import_Export!$B193*GREET1_Import_Export!$F$179+GREET1_Import_Export!$F193)+Anode!K$40*(Anode!E$10*GREET1_Import_Export!$Q79+Anode!E$11*GREET1_Import_Export!$O79+Anode!E$12*GREET1_Import_Export!$M79+GREET1_Import_Export!$B193*GREET1_Import_Export!$G$179+GREET1_Import_Export!$G193)+Anode!K$41*(Anode!E$13*GREET1_Import_Export!$T79+GREET1_Import_Export!$B193*GREET1_Import_Export!$C$179+GREET1_Import_Export!$C193)+Anode!K$42*(Anode!E$14*GREET1_Import_Export!$W79+GREET1_Import_Export!$E229*GREET1_Import_Export!$F$215+GREET1_Import_Export!$F229)+Anode!K$43*(Anode!E$15*GREET1_Import_Export!$B79+Anode!E$16*GREET1_Import_Export!$C79+Anode!E$17*GREET1_Import_Export!$G79+Anode!E$19*'GREET2_Factors_T&amp;D'!$F22+Anode!E$20*'GREET2_Factors_T&amp;D'!$G22+GREET1_Import_Export!$B229)+Anode!K$44*(Anode!E$21*GREET1_Import_Export!$AA79+Anode!E$22*GREET1_Import_Export!$AB79+GREET1_Import_Export!$B297)+Anode!K$45*SUM(GREET1_Import_Export!$B322:$C322)+K$46*GREET1_Import_Export!$B$41/1000000*(GREET1_Import_Export!$B193*GREET1_Import_Export!$I$179+GREET1_Import_Export!$I193)+K$47*Steel!$B122+K$48*LiMn2O4!$B104+K$49*GREET1_Import_Export!$M508</f>
        <v>34.920534847684713</v>
      </c>
      <c r="L64" s="258"/>
      <c r="M64" s="267"/>
      <c r="N64" s="273">
        <f ca="1">Anode!N$39*(Anode!F$8*GREET1_Import_Export!$K79+GREET1_Import_Export!$B193*GREET1_Import_Export!$F$179+GREET1_Import_Export!$F193)+Anode!N$40*(Anode!F$10*GREET1_Import_Export!$Q79+Anode!F$11*GREET1_Import_Export!$O79+Anode!F$12*GREET1_Import_Export!$M79+GREET1_Import_Export!$B193*GREET1_Import_Export!$G$179+GREET1_Import_Export!$G193)+Anode!N$41*(Anode!F$13*GREET1_Import_Export!$T79+GREET1_Import_Export!$B193*GREET1_Import_Export!$C$179+GREET1_Import_Export!$C193)+Anode!N$42*(Anode!F$14*GREET1_Import_Export!$W79+GREET1_Import_Export!$E229*GREET1_Import_Export!$F$215+GREET1_Import_Export!$F229)+Anode!N$43*(Anode!F$15*GREET1_Import_Export!$B79+Anode!F$16*GREET1_Import_Export!$C79+Anode!F$17*GREET1_Import_Export!$G79+Anode!F$19*'GREET2_Factors_T&amp;D'!$F22+Anode!F$20*'GREET2_Factors_T&amp;D'!$G22+GREET1_Import_Export!$B229)+Anode!N$44*(Anode!F$21*GREET1_Import_Export!$AA79+Anode!F$22*GREET1_Import_Export!$AB79+GREET1_Import_Export!$B297)+Anode!N$45*SUM(GREET1_Import_Export!$B322:$C322)+N$46*GREET1_Import_Export!$B$41/1000000*(GREET1_Import_Export!$B193*GREET1_Import_Export!$I$179+GREET1_Import_Export!$I193)+N$47*Steel!$B122+N$48*LiMn2O4!$B104+N$49*GREET1_Import_Export!$M508</f>
        <v>76.705461298025227</v>
      </c>
      <c r="O64" s="258"/>
      <c r="P64" s="267"/>
    </row>
    <row r="65" spans="1:16">
      <c r="A65" s="173" t="s">
        <v>829</v>
      </c>
      <c r="B65" s="273">
        <f ca="1">Anode!B$39*(Anode!B$8*GREET1_Import_Export!$K80+GREET1_Import_Export!$B194*GREET1_Import_Export!$F$179+GREET1_Import_Export!$F194)+Anode!B$40*(Anode!B$10*GREET1_Import_Export!$Q80+Anode!B$11*GREET1_Import_Export!$O80+Anode!B$12*GREET1_Import_Export!$M80+GREET1_Import_Export!$B194*GREET1_Import_Export!$G$179+GREET1_Import_Export!$G194)+Anode!B$41*(Anode!B$13*GREET1_Import_Export!$T80+GREET1_Import_Export!$B194*GREET1_Import_Export!$C$179+GREET1_Import_Export!$C194)+Anode!B$42*(Anode!B$14*GREET1_Import_Export!$W80+GREET1_Import_Export!$E230*GREET1_Import_Export!$F$215+GREET1_Import_Export!$F230)+Anode!B$43*(Anode!B$15*GREET1_Import_Export!$B80+Anode!B$16*GREET1_Import_Export!$C80+Anode!B$17*GREET1_Import_Export!$G80+Anode!B$19*'GREET2_Factors_T&amp;D'!$F23+Anode!B$20*'GREET2_Factors_T&amp;D'!$G23+GREET1_Import_Export!$B230)+Anode!B$44*(Anode!B$21*GREET1_Import_Export!$AA80+Anode!B$22*GREET1_Import_Export!$AB80+GREET1_Import_Export!$B298)+Anode!B$45*GREET1_Import_Export!$L356+B$46*GREET1_Import_Export!$B$41/1000000*(GREET1_Import_Export!$B194*GREET1_Import_Export!$I$179+GREET1_Import_Export!$I194)+B$47*Steel!$B123+B$48*LiMn2O4!$B105+B$49*GREET1_Import_Export!$M509</f>
        <v>4586.519830864514</v>
      </c>
      <c r="C65" s="522"/>
      <c r="D65" s="267"/>
      <c r="E65" s="273">
        <f ca="1">Anode!E$39*(Anode!C$8*GREET1_Import_Export!$K80+GREET1_Import_Export!$B194*GREET1_Import_Export!$F$179+GREET1_Import_Export!$F194)+Anode!E$40*(Anode!C$10*GREET1_Import_Export!$Q80+Anode!C$11*GREET1_Import_Export!$O80+Anode!C$12*GREET1_Import_Export!$M80+GREET1_Import_Export!$B194*GREET1_Import_Export!$G$179+GREET1_Import_Export!$G194)+Anode!E$41*(Anode!C$13*GREET1_Import_Export!$T80+GREET1_Import_Export!$B194*GREET1_Import_Export!$C$179+GREET1_Import_Export!$C194)+Anode!E$42*(Anode!C$14*GREET1_Import_Export!$W80+GREET1_Import_Export!$E230*GREET1_Import_Export!$F$215+GREET1_Import_Export!$F230)+Anode!E$43*(Anode!C$15*GREET1_Import_Export!$B80+Anode!C$16*GREET1_Import_Export!$C80+Anode!C$17*GREET1_Import_Export!$G80+Anode!C$19*'GREET2_Factors_T&amp;D'!$F23+Anode!C$20*'GREET2_Factors_T&amp;D'!$G23+GREET1_Import_Export!$B230)+Anode!E$44*(Anode!C$21*GREET1_Import_Export!$AA80+Anode!C$22*GREET1_Import_Export!$AB80+GREET1_Import_Export!$B298)+Anode!E$45*GREET1_Import_Export!$L356+E$46*GREET1_Import_Export!$B$41/1000000*(GREET1_Import_Export!$B194*GREET1_Import_Export!$I$179+GREET1_Import_Export!$I194)+E$47*Steel!$B123+E$48*LiMn2O4!$B105+E$49*GREET1_Import_Export!$M509</f>
        <v>5033.3017804117962</v>
      </c>
      <c r="F65" s="258"/>
      <c r="G65" s="267"/>
      <c r="H65" s="273">
        <f ca="1">Anode!H$39*(Anode!D$8*GREET1_Import_Export!$K80+GREET1_Import_Export!$B194*GREET1_Import_Export!$F$179+GREET1_Import_Export!$F194)+Anode!H$40*(Anode!D$10*GREET1_Import_Export!$Q80+Anode!D$11*GREET1_Import_Export!$O80+Anode!D$12*GREET1_Import_Export!$M80+GREET1_Import_Export!$B194*GREET1_Import_Export!$G$179+GREET1_Import_Export!$G194)+Anode!H$41*(Anode!D$13*GREET1_Import_Export!$T80+GREET1_Import_Export!$B194*GREET1_Import_Export!$C$179+GREET1_Import_Export!$C194)+Anode!H$42*(Anode!D$14*GREET1_Import_Export!$W80+GREET1_Import_Export!$E230*GREET1_Import_Export!$F$215+GREET1_Import_Export!$F230)+Anode!H$43*(Anode!D$15*GREET1_Import_Export!$B80+Anode!D$16*GREET1_Import_Export!$C80+Anode!D$17*GREET1_Import_Export!$G80+Anode!D$19*'GREET2_Factors_T&amp;D'!$F23+Anode!D$20*'GREET2_Factors_T&amp;D'!$G23+GREET1_Import_Export!$B230)+Anode!H$44*(Anode!D$21*GREET1_Import_Export!$AA80+Anode!D$22*GREET1_Import_Export!$AB80+GREET1_Import_Export!$B298)+Anode!H$45*SUM(GREET1_Import_Export!$B323:$C323)+H$46*GREET1_Import_Export!$B$41/1000000*(GREET1_Import_Export!$B194*GREET1_Import_Export!$I$179+GREET1_Import_Export!$I194)+H$47*Steel!$B123+H$48*LiMn2O4!$B105+H$49*GREET1_Import_Export!$M509</f>
        <v>4603.8979937000167</v>
      </c>
      <c r="I65" s="258"/>
      <c r="J65" s="267"/>
      <c r="K65" s="273">
        <f ca="1">Anode!K$39*(Anode!E$8*GREET1_Import_Export!$K80+GREET1_Import_Export!$B194*GREET1_Import_Export!$F$179+GREET1_Import_Export!$F194)+Anode!K$40*(Anode!E$10*GREET1_Import_Export!$Q80+Anode!E$11*GREET1_Import_Export!$O80+Anode!E$12*GREET1_Import_Export!$M80+GREET1_Import_Export!$B194*GREET1_Import_Export!$G$179+GREET1_Import_Export!$G194)+Anode!K$41*(Anode!E$13*GREET1_Import_Export!$T80+GREET1_Import_Export!$B194*GREET1_Import_Export!$C$179+GREET1_Import_Export!$C194)+Anode!K$42*(Anode!E$14*GREET1_Import_Export!$W80+GREET1_Import_Export!$E230*GREET1_Import_Export!$F$215+GREET1_Import_Export!$F230)+Anode!K$43*(Anode!E$15*GREET1_Import_Export!$B80+Anode!E$16*GREET1_Import_Export!$C80+Anode!E$17*GREET1_Import_Export!$G80+Anode!E$19*'GREET2_Factors_T&amp;D'!$F23+Anode!E$20*'GREET2_Factors_T&amp;D'!$G23+GREET1_Import_Export!$B230)+Anode!K$44*(Anode!E$21*GREET1_Import_Export!$AA80+Anode!E$22*GREET1_Import_Export!$AB80+GREET1_Import_Export!$B298)+Anode!K$45*SUM(GREET1_Import_Export!$B323:$C323)+K$46*GREET1_Import_Export!$B$41/1000000*(GREET1_Import_Export!$B194*GREET1_Import_Export!$I$179+GREET1_Import_Export!$I194)+K$47*Steel!$B123+K$48*LiMn2O4!$B105+K$49*GREET1_Import_Export!$M509</f>
        <v>4344.825203917102</v>
      </c>
      <c r="L65" s="258"/>
      <c r="M65" s="267"/>
      <c r="N65" s="273">
        <f ca="1">Anode!N$39*(Anode!F$8*GREET1_Import_Export!$K80+GREET1_Import_Export!$B194*GREET1_Import_Export!$F$179+GREET1_Import_Export!$F194)+Anode!N$40*(Anode!F$10*GREET1_Import_Export!$Q80+Anode!F$11*GREET1_Import_Export!$O80+Anode!F$12*GREET1_Import_Export!$M80+GREET1_Import_Export!$B194*GREET1_Import_Export!$G$179+GREET1_Import_Export!$G194)+Anode!N$41*(Anode!F$13*GREET1_Import_Export!$T80+GREET1_Import_Export!$B194*GREET1_Import_Export!$C$179+GREET1_Import_Export!$C194)+Anode!N$42*(Anode!F$14*GREET1_Import_Export!$W80+GREET1_Import_Export!$E230*GREET1_Import_Export!$F$215+GREET1_Import_Export!$F230)+Anode!N$43*(Anode!F$15*GREET1_Import_Export!$B80+Anode!F$16*GREET1_Import_Export!$C80+Anode!F$17*GREET1_Import_Export!$G80+Anode!F$19*'GREET2_Factors_T&amp;D'!$F23+Anode!F$20*'GREET2_Factors_T&amp;D'!$G23+GREET1_Import_Export!$B230)+Anode!N$44*(Anode!F$21*GREET1_Import_Export!$AA80+Anode!F$22*GREET1_Import_Export!$AB80+GREET1_Import_Export!$B298)+Anode!N$45*SUM(GREET1_Import_Export!$B323:$C323)+N$46*GREET1_Import_Export!$B$41/1000000*(GREET1_Import_Export!$B194*GREET1_Import_Export!$I$179+GREET1_Import_Export!$I194)+N$47*Steel!$B123+N$48*LiMn2O4!$B105+N$49*GREET1_Import_Export!$M509</f>
        <v>10142.827460374614</v>
      </c>
      <c r="O65" s="258"/>
      <c r="P65" s="267"/>
    </row>
    <row r="66" spans="1:16">
      <c r="A66" s="173" t="s">
        <v>830</v>
      </c>
      <c r="B66" s="273">
        <f ca="1">Anode!B$39*(Anode!B$8*GREET1_Import_Export!$K81+GREET1_Import_Export!$B195*GREET1_Import_Export!$F$179+GREET1_Import_Export!$F195)+Anode!B$40*(Anode!B$10*GREET1_Import_Export!$Q81+Anode!B$11*GREET1_Import_Export!$O81+Anode!B$12*GREET1_Import_Export!$M81+GREET1_Import_Export!$B195*GREET1_Import_Export!$G$179+GREET1_Import_Export!$G195)+Anode!B$41*(Anode!B$13*GREET1_Import_Export!$T81+GREET1_Import_Export!$B195*GREET1_Import_Export!$C$179+GREET1_Import_Export!$C195)+Anode!B$42*(Anode!B$14*GREET1_Import_Export!$W81+GREET1_Import_Export!$E231*GREET1_Import_Export!$F$215+GREET1_Import_Export!$F231)+Anode!B$43*(Anode!B$15*GREET1_Import_Export!$B81+Anode!B$16*GREET1_Import_Export!$C81+Anode!B$17*GREET1_Import_Export!$G81+Anode!B$19*'GREET2_Factors_T&amp;D'!$F24+Anode!B$20*'GREET2_Factors_T&amp;D'!$G24+GREET1_Import_Export!$B231)+Anode!B$44*(Anode!B$21*GREET1_Import_Export!$AA81+Anode!B$22*GREET1_Import_Export!$AB81+GREET1_Import_Export!$B299)+Anode!B$45*GREET1_Import_Export!$L357+B$46*GREET1_Import_Export!$B$41/1000000*(GREET1_Import_Export!$B195*GREET1_Import_Export!$I$179+GREET1_Import_Export!$I195)+B$47*Steel!$B124+B$48*LiMn2O4!$B106+B$49*GREET1_Import_Export!$M510</f>
        <v>14.694552634999425</v>
      </c>
      <c r="C66" s="522"/>
      <c r="D66" s="267"/>
      <c r="E66" s="273">
        <f ca="1">Anode!E$39*(Anode!C$8*GREET1_Import_Export!$K81+GREET1_Import_Export!$B195*GREET1_Import_Export!$F$179+GREET1_Import_Export!$F195)+Anode!E$40*(Anode!C$10*GREET1_Import_Export!$Q81+Anode!C$11*GREET1_Import_Export!$O81+Anode!C$12*GREET1_Import_Export!$M81+GREET1_Import_Export!$B195*GREET1_Import_Export!$G$179+GREET1_Import_Export!$G195)+Anode!E$41*(Anode!C$13*GREET1_Import_Export!$T81+GREET1_Import_Export!$B195*GREET1_Import_Export!$C$179+GREET1_Import_Export!$C195)+Anode!E$42*(Anode!C$14*GREET1_Import_Export!$W81+GREET1_Import_Export!$E231*GREET1_Import_Export!$F$215+GREET1_Import_Export!$F231)+Anode!E$43*(Anode!C$15*GREET1_Import_Export!$B81+Anode!C$16*GREET1_Import_Export!$C81+Anode!C$17*GREET1_Import_Export!$G81+Anode!C$19*'GREET2_Factors_T&amp;D'!$F24+Anode!C$20*'GREET2_Factors_T&amp;D'!$G24+GREET1_Import_Export!$B231)+Anode!E$44*(Anode!C$21*GREET1_Import_Export!$AA81+Anode!C$22*GREET1_Import_Export!$AB81+GREET1_Import_Export!$B299)+Anode!E$45*GREET1_Import_Export!$L357+E$46*GREET1_Import_Export!$B$41/1000000*(GREET1_Import_Export!$B195*GREET1_Import_Export!$I$179+GREET1_Import_Export!$I195)+E$47*Steel!$B124+E$48*LiMn2O4!$B106+E$49*GREET1_Import_Export!$M510</f>
        <v>76.756241831211767</v>
      </c>
      <c r="F66" s="258"/>
      <c r="G66" s="267"/>
      <c r="H66" s="273">
        <f ca="1">Anode!H$39*(Anode!D$8*GREET1_Import_Export!$K81+GREET1_Import_Export!$B195*GREET1_Import_Export!$F$179+GREET1_Import_Export!$F195)+Anode!H$40*(Anode!D$10*GREET1_Import_Export!$Q81+Anode!D$11*GREET1_Import_Export!$O81+Anode!D$12*GREET1_Import_Export!$M81+GREET1_Import_Export!$B195*GREET1_Import_Export!$G$179+GREET1_Import_Export!$G195)+Anode!H$41*(Anode!D$13*GREET1_Import_Export!$T81+GREET1_Import_Export!$B195*GREET1_Import_Export!$C$179+GREET1_Import_Export!$C195)+Anode!H$42*(Anode!D$14*GREET1_Import_Export!$W81+GREET1_Import_Export!$E231*GREET1_Import_Export!$F$215+GREET1_Import_Export!$F231)+Anode!H$43*(Anode!D$15*GREET1_Import_Export!$B81+Anode!D$16*GREET1_Import_Export!$C81+Anode!D$17*GREET1_Import_Export!$G81+Anode!D$19*'GREET2_Factors_T&amp;D'!$F24+Anode!D$20*'GREET2_Factors_T&amp;D'!$G24+GREET1_Import_Export!$B231)+Anode!H$44*(Anode!D$21*GREET1_Import_Export!$AA81+Anode!D$22*GREET1_Import_Export!$AB81+GREET1_Import_Export!$B299)+Anode!H$45*SUM(GREET1_Import_Export!$B324:$C324)+H$46*GREET1_Import_Export!$B$41/1000000*(GREET1_Import_Export!$B195*GREET1_Import_Export!$I$179+GREET1_Import_Export!$I195)+H$47*Steel!$B124+H$48*LiMn2O4!$B106+H$49*GREET1_Import_Export!$M510</f>
        <v>43.010089675424254</v>
      </c>
      <c r="I66" s="258"/>
      <c r="J66" s="267"/>
      <c r="K66" s="273">
        <f ca="1">Anode!K$39*(Anode!E$8*GREET1_Import_Export!$K81+GREET1_Import_Export!$B195*GREET1_Import_Export!$F$179+GREET1_Import_Export!$F195)+Anode!K$40*(Anode!E$10*GREET1_Import_Export!$Q81+Anode!E$11*GREET1_Import_Export!$O81+Anode!E$12*GREET1_Import_Export!$M81+GREET1_Import_Export!$B195*GREET1_Import_Export!$G$179+GREET1_Import_Export!$G195)+Anode!K$41*(Anode!E$13*GREET1_Import_Export!$T81+GREET1_Import_Export!$B195*GREET1_Import_Export!$C$179+GREET1_Import_Export!$C195)+Anode!K$42*(Anode!E$14*GREET1_Import_Export!$W81+GREET1_Import_Export!$E231*GREET1_Import_Export!$F$215+GREET1_Import_Export!$F231)+Anode!K$43*(Anode!E$15*GREET1_Import_Export!$B81+Anode!E$16*GREET1_Import_Export!$C81+Anode!E$17*GREET1_Import_Export!$G81+Anode!E$19*'GREET2_Factors_T&amp;D'!$F24+Anode!E$20*'GREET2_Factors_T&amp;D'!$G24+GREET1_Import_Export!$B231)+Anode!K$44*(Anode!E$21*GREET1_Import_Export!$AA81+Anode!E$22*GREET1_Import_Export!$AB81+GREET1_Import_Export!$B299)+Anode!K$45*SUM(GREET1_Import_Export!$B324:$C324)+K$46*GREET1_Import_Export!$B$41/1000000*(GREET1_Import_Export!$B195*GREET1_Import_Export!$I$179+GREET1_Import_Export!$I195)+K$47*Steel!$B124+K$48*LiMn2O4!$B106+K$49*GREET1_Import_Export!$M510</f>
        <v>39.419753969792247</v>
      </c>
      <c r="L66" s="258"/>
      <c r="M66" s="267"/>
      <c r="N66" s="273">
        <f ca="1">Anode!N$39*(Anode!F$8*GREET1_Import_Export!$K81+GREET1_Import_Export!$B195*GREET1_Import_Export!$F$179+GREET1_Import_Export!$F195)+Anode!N$40*(Anode!F$10*GREET1_Import_Export!$Q81+Anode!F$11*GREET1_Import_Export!$O81+Anode!F$12*GREET1_Import_Export!$M81+GREET1_Import_Export!$B195*GREET1_Import_Export!$G$179+GREET1_Import_Export!$G195)+Anode!N$41*(Anode!F$13*GREET1_Import_Export!$T81+GREET1_Import_Export!$B195*GREET1_Import_Export!$C$179+GREET1_Import_Export!$C195)+Anode!N$42*(Anode!F$14*GREET1_Import_Export!$W81+GREET1_Import_Export!$E231*GREET1_Import_Export!$F$215+GREET1_Import_Export!$F231)+Anode!N$43*(Anode!F$15*GREET1_Import_Export!$B81+Anode!F$16*GREET1_Import_Export!$C81+Anode!F$17*GREET1_Import_Export!$G81+Anode!F$19*'GREET2_Factors_T&amp;D'!$F24+Anode!F$20*'GREET2_Factors_T&amp;D'!$G24+GREET1_Import_Export!$B231)+Anode!N$44*(Anode!F$21*GREET1_Import_Export!$AA81+Anode!F$22*GREET1_Import_Export!$AB81+GREET1_Import_Export!$B299)+Anode!N$45*SUM(GREET1_Import_Export!$B324:$C324)+N$46*GREET1_Import_Export!$B$41/1000000*(GREET1_Import_Export!$B195*GREET1_Import_Export!$I$179+GREET1_Import_Export!$I195)+N$47*Steel!$B124+N$48*LiMn2O4!$B106+N$49*GREET1_Import_Export!$M510</f>
        <v>82.557980254716909</v>
      </c>
      <c r="O66" s="258"/>
      <c r="P66" s="267"/>
    </row>
    <row r="67" spans="1:16">
      <c r="A67" s="173" t="s">
        <v>831</v>
      </c>
      <c r="B67" s="282">
        <f ca="1">Anode!B$39*(Anode!B$8*GREET1_Import_Export!$K82+GREET1_Import_Export!$B196*GREET1_Import_Export!$F$179+GREET1_Import_Export!$F196)+Anode!B$40*(Anode!B$10*GREET1_Import_Export!$Q82+Anode!B$11*GREET1_Import_Export!$O82+Anode!B$12*GREET1_Import_Export!$M82+GREET1_Import_Export!$B196*GREET1_Import_Export!$G$179+GREET1_Import_Export!$G196)+Anode!B$41*(Anode!B$13*GREET1_Import_Export!$T82+GREET1_Import_Export!$B196*GREET1_Import_Export!$C$179+GREET1_Import_Export!$C196)+Anode!B$42*(Anode!B$14*GREET1_Import_Export!$W82+GREET1_Import_Export!$E232*GREET1_Import_Export!$F$215+GREET1_Import_Export!$F232)+Anode!B$43*(Anode!B$15*GREET1_Import_Export!$B82+Anode!B$16*GREET1_Import_Export!$C82+Anode!B$17*GREET1_Import_Export!$G82+Anode!B$19*'GREET2_Factors_T&amp;D'!$F25+Anode!B$20*'GREET2_Factors_T&amp;D'!$G25+GREET1_Import_Export!$B232)+Anode!B$44*(Anode!B$21*GREET1_Import_Export!$AA82+Anode!B$22*GREET1_Import_Export!$AB82+GREET1_Import_Export!$B300)+Anode!B$45*GREET1_Import_Export!$L358+B$46*GREET1_Import_Export!$B$41/1000000*(GREET1_Import_Export!$B196*GREET1_Import_Export!$I$179+GREET1_Import_Export!$I196)+B$47*Steel!$B125+B$48*LiMn2O4!$B107+B$49*GREET1_Import_Export!$M511</f>
        <v>662967.57784463302</v>
      </c>
      <c r="C67" s="138">
        <v>437056</v>
      </c>
      <c r="D67" s="283"/>
      <c r="E67" s="282">
        <f ca="1">Anode!E$39*(Anode!C$8*GREET1_Import_Export!$K82+GREET1_Import_Export!$B196*GREET1_Import_Export!$F$179+GREET1_Import_Export!$F196)+Anode!E$40*(Anode!C$10*GREET1_Import_Export!$Q82+Anode!C$11*GREET1_Import_Export!$O82+Anode!C$12*GREET1_Import_Export!$M82+GREET1_Import_Export!$B196*GREET1_Import_Export!$G$179+GREET1_Import_Export!$G196)+Anode!E$41*(Anode!C$13*GREET1_Import_Export!$T82+GREET1_Import_Export!$B196*GREET1_Import_Export!$C$179+GREET1_Import_Export!$C196)+Anode!E$42*(Anode!C$14*GREET1_Import_Export!$W82+GREET1_Import_Export!$E232*GREET1_Import_Export!$F$215+GREET1_Import_Export!$F232)+Anode!E$43*(Anode!C$15*GREET1_Import_Export!$B82+Anode!C$16*GREET1_Import_Export!$C82+Anode!C$17*GREET1_Import_Export!$G82+Anode!C$19*'GREET2_Factors_T&amp;D'!$F25+Anode!C$20*'GREET2_Factors_T&amp;D'!$G25+GREET1_Import_Export!$B232)+Anode!E$44*(Anode!C$21*GREET1_Import_Export!$AA82+Anode!C$22*GREET1_Import_Export!$AB82+GREET1_Import_Export!$B300)+Anode!E$45*GREET1_Import_Export!$L358+E$46*GREET1_Import_Export!$B$41/1000000*(GREET1_Import_Export!$B196*GREET1_Import_Export!$I$179+GREET1_Import_Export!$I196)+E$47*Steel!$B125+E$48*LiMn2O4!$B107+E$49*GREET1_Import_Export!$M511</f>
        <v>3080543.0708168517</v>
      </c>
      <c r="F67" s="288"/>
      <c r="G67" s="283"/>
      <c r="H67" s="282">
        <f ca="1">Anode!H$39*(Anode!D$8*GREET1_Import_Export!$K82+GREET1_Import_Export!$B196*GREET1_Import_Export!$F$179+GREET1_Import_Export!$F196)+Anode!H$40*(Anode!D$10*GREET1_Import_Export!$Q82+Anode!D$11*GREET1_Import_Export!$O82+Anode!D$12*GREET1_Import_Export!$M82+GREET1_Import_Export!$B196*GREET1_Import_Export!$G$179+GREET1_Import_Export!$G196)+Anode!H$41*(Anode!D$13*GREET1_Import_Export!$T82+GREET1_Import_Export!$B196*GREET1_Import_Export!$C$179+GREET1_Import_Export!$C196)+Anode!H$42*(Anode!D$14*GREET1_Import_Export!$W82+GREET1_Import_Export!$E232*GREET1_Import_Export!$F$215+GREET1_Import_Export!$F232)+Anode!H$43*(Anode!D$15*GREET1_Import_Export!$B82+Anode!D$16*GREET1_Import_Export!$C82+Anode!D$17*GREET1_Import_Export!$G82+Anode!D$19*'GREET2_Factors_T&amp;D'!$F25+Anode!D$20*'GREET2_Factors_T&amp;D'!$G25+GREET1_Import_Export!$B232)+Anode!H$44*(Anode!D$21*GREET1_Import_Export!$AA82+Anode!D$22*GREET1_Import_Export!$AB82+GREET1_Import_Export!$B300)+Anode!H$45*SUM(GREET1_Import_Export!$B325:$C325)+H$46*GREET1_Import_Export!$B$41/1000000*(GREET1_Import_Export!$B196*GREET1_Import_Export!$I$179+GREET1_Import_Export!$I196)+H$47*Steel!$B125+H$48*LiMn2O4!$B107+H$49*GREET1_Import_Export!$M511</f>
        <v>2841212.7218617094</v>
      </c>
      <c r="I67" s="288"/>
      <c r="J67" s="283"/>
      <c r="K67" s="282">
        <f ca="1">Anode!K$39*(Anode!E$8*GREET1_Import_Export!$K82+GREET1_Import_Export!$B196*GREET1_Import_Export!$F$179+GREET1_Import_Export!$F196)+Anode!K$40*(Anode!E$10*GREET1_Import_Export!$Q82+Anode!E$11*GREET1_Import_Export!$O82+Anode!E$12*GREET1_Import_Export!$M82+GREET1_Import_Export!$B196*GREET1_Import_Export!$G$179+GREET1_Import_Export!$G196)+Anode!K$41*(Anode!E$13*GREET1_Import_Export!$T82+GREET1_Import_Export!$B196*GREET1_Import_Export!$C$179+GREET1_Import_Export!$C196)+Anode!K$42*(Anode!E$14*GREET1_Import_Export!$W82+GREET1_Import_Export!$E232*GREET1_Import_Export!$F$215+GREET1_Import_Export!$F232)+Anode!K$43*(Anode!E$15*GREET1_Import_Export!$B82+Anode!E$16*GREET1_Import_Export!$C82+Anode!E$17*GREET1_Import_Export!$G82+Anode!E$19*'GREET2_Factors_T&amp;D'!$F25+Anode!E$20*'GREET2_Factors_T&amp;D'!$G25+GREET1_Import_Export!$B232)+Anode!K$44*(Anode!E$21*GREET1_Import_Export!$AA82+Anode!E$22*GREET1_Import_Export!$AB82+GREET1_Import_Export!$B300)+Anode!K$45*SUM(GREET1_Import_Export!$B325:$C325)+K$46*GREET1_Import_Export!$B$41/1000000*(GREET1_Import_Export!$B196*GREET1_Import_Export!$I$179+GREET1_Import_Export!$I196)+K$47*Steel!$B125+K$48*LiMn2O4!$B107+K$49*GREET1_Import_Export!$M511</f>
        <v>1919782.6571279464</v>
      </c>
      <c r="L67" s="288"/>
      <c r="M67" s="283"/>
      <c r="N67" s="282">
        <f ca="1">Anode!N$39*(Anode!F$8*GREET1_Import_Export!$K82+GREET1_Import_Export!$B196*GREET1_Import_Export!$F$179+GREET1_Import_Export!$F196)+Anode!N$40*(Anode!F$10*GREET1_Import_Export!$Q82+Anode!F$11*GREET1_Import_Export!$O82+Anode!F$12*GREET1_Import_Export!$M82+GREET1_Import_Export!$B196*GREET1_Import_Export!$G$179+GREET1_Import_Export!$G196)+Anode!N$41*(Anode!F$13*GREET1_Import_Export!$T82+GREET1_Import_Export!$B196*GREET1_Import_Export!$C$179+GREET1_Import_Export!$C196)+Anode!N$42*(Anode!F$14*GREET1_Import_Export!$W82+GREET1_Import_Export!$E232*GREET1_Import_Export!$F$215+GREET1_Import_Export!$F232)+Anode!N$43*(Anode!F$15*GREET1_Import_Export!$B82+Anode!F$16*GREET1_Import_Export!$C82+Anode!F$17*GREET1_Import_Export!$G82+Anode!F$19*'GREET2_Factors_T&amp;D'!$F25+Anode!F$20*'GREET2_Factors_T&amp;D'!$G25+GREET1_Import_Export!$B232)+Anode!N$44*(Anode!F$21*GREET1_Import_Export!$AA82+Anode!F$22*GREET1_Import_Export!$AB82+GREET1_Import_Export!$B300)+Anode!N$45*SUM(GREET1_Import_Export!$B325:$C325)+N$46*GREET1_Import_Export!$B$41/1000000*(GREET1_Import_Export!$B196*GREET1_Import_Export!$I$179+GREET1_Import_Export!$I196)+N$47*Steel!$B125+N$48*LiMn2O4!$B107+N$49*GREET1_Import_Export!$M511</f>
        <v>3055356.5698367828</v>
      </c>
      <c r="O67" s="288"/>
      <c r="P67" s="283"/>
    </row>
    <row r="68" spans="1:16">
      <c r="A68" s="58" t="s">
        <v>865</v>
      </c>
      <c r="B68" s="273"/>
      <c r="C68" s="258"/>
      <c r="D68" s="267"/>
      <c r="E68" s="273"/>
      <c r="F68" s="258"/>
      <c r="G68" s="267"/>
      <c r="H68" s="273"/>
      <c r="I68" s="258"/>
      <c r="J68" s="267"/>
      <c r="K68" s="273"/>
      <c r="L68" s="258"/>
      <c r="M68" s="267"/>
      <c r="N68" s="273"/>
      <c r="O68" s="258"/>
      <c r="P68" s="267"/>
    </row>
    <row r="69" spans="1:16">
      <c r="A69" s="59" t="s">
        <v>821</v>
      </c>
      <c r="B69" s="273">
        <f ca="1">Anode!B$39*(Anode!B$29*Anode!B$8*GREET1_Import_Export!$K72+GREET1_Import_Export!$B201*GREET1_Import_Export!$F$179+GREET1_Import_Export!$F201)+Anode!B$40*(Anode!B$29*(Anode!B$10*GREET1_Import_Export!$Q72+Anode!B$11*GREET1_Import_Export!$O72+Anode!B$12*GREET1_Import_Export!$M72)+GREET1_Import_Export!$B201*GREET1_Import_Export!$G$179+GREET1_Import_Export!$G201)+Anode!B$41*(Anode!B$29*Anode!B$13*GREET1_Import_Export!$T72+GREET1_Import_Export!$B201*GREET1_Import_Export!$C$179+GREET1_Import_Export!$C201)+Anode!B$42*(Anode!B$29*Anode!B$14*GREET1_Import_Export!$W72+GREET1_Import_Export!$E237*GREET1_Import_Export!$F$215+GREET1_Import_Export!$F237)+Anode!B$43*(Anode!B$29*(Anode!B$15*GREET1_Import_Export!$B72+Anode!B$16*GREET1_Import_Export!$C72+Anode!B$17*GREET1_Import_Export!$G72+Anode!B$19*'GREET2_Factors_T&amp;D'!$F15+Anode!B$20*'GREET2_Factors_T&amp;D'!$G15)+GREET1_Import_Export!$B237)+Anode!B$44*(Anode!B$29*(Anode!B$21*GREET1_Import_Export!$AA72+Anode!B$22*GREET1_Import_Export!$AB72)+GREET1_Import_Export!$C290)+Anode!B$45*GREET1_Import_Export!$L363+B$46*GREET1_Import_Export!$B$41/1000000*(GREET1_Import_Export!$B201*GREET1_Import_Export!$I$179+GREET1_Import_Export!$I201)+B$47*Steel!$B129+B$48*LiMn2O4!$B111+B$49*GREET1_Import_Export!$M513</f>
        <v>61.338616165301765</v>
      </c>
      <c r="C69" s="258"/>
      <c r="D69" s="267"/>
      <c r="E69" s="273">
        <f ca="1">Anode!E$39*(Anode!E$29*Anode!C$8*GREET1_Import_Export!$K72+GREET1_Import_Export!$B201*GREET1_Import_Export!$F$179+GREET1_Import_Export!$F201)+Anode!E$40*(Anode!E$29*(Anode!C$10*GREET1_Import_Export!$Q72+Anode!C$11*GREET1_Import_Export!$O72+Anode!C$12*GREET1_Import_Export!$M72)+GREET1_Import_Export!$B201*GREET1_Import_Export!$G$179+GREET1_Import_Export!$G201)+Anode!E$41*(Anode!E$29*Anode!C$13*GREET1_Import_Export!$T72+GREET1_Import_Export!$B201*GREET1_Import_Export!$C$179+GREET1_Import_Export!$C201)+Anode!E$42*(Anode!E$29*Anode!C$14*GREET1_Import_Export!$W72+GREET1_Import_Export!$E237*GREET1_Import_Export!$F$215+GREET1_Import_Export!$F237)+Anode!E$43*(Anode!E$29*(Anode!C$15*GREET1_Import_Export!$B72+Anode!C$16*GREET1_Import_Export!$C72+Anode!C$17*GREET1_Import_Export!$G72+Anode!C$19*'GREET2_Factors_T&amp;D'!$F15+Anode!C$20*'GREET2_Factors_T&amp;D'!$G15)+GREET1_Import_Export!$B237)+Anode!E$44*(Anode!E$29*(Anode!C$21*GREET1_Import_Export!$AA72+Anode!C$22*GREET1_Import_Export!$AB72)+GREET1_Import_Export!$C290)+Anode!E$45*GREET1_Import_Export!$L363+E$46*GREET1_Import_Export!$B$41/1000000*(GREET1_Import_Export!$B201*GREET1_Import_Export!$I$179+GREET1_Import_Export!$I201)+E$47*Steel!$B129+E$48*LiMn2O4!$B111+E$49*GREET1_Import_Export!$M513</f>
        <v>15.557282754193945</v>
      </c>
      <c r="F69" s="258"/>
      <c r="G69" s="267"/>
      <c r="H69" s="273">
        <f ca="1">Anode!H$39*(Anode!H$29*Anode!D$8*GREET1_Import_Export!$K72+GREET1_Import_Export!$B201*GREET1_Import_Export!$F$179+GREET1_Import_Export!$F201)+Anode!H$40*(Anode!H$29*(Anode!D$10*GREET1_Import_Export!$Q72+Anode!D$11*GREET1_Import_Export!$O72+Anode!D$12*GREET1_Import_Export!$M72)+GREET1_Import_Export!$B201*GREET1_Import_Export!$G$179+GREET1_Import_Export!$G201)+Anode!H$41*(Anode!H$29*Anode!D$13*GREET1_Import_Export!$T72+GREET1_Import_Export!$B201*GREET1_Import_Export!$C$179+GREET1_Import_Export!$C201)+Anode!H$42*(Anode!H$29*Anode!D$14*GREET1_Import_Export!$W72+GREET1_Import_Export!$E237*GREET1_Import_Export!$F$215+GREET1_Import_Export!$F237)+Anode!H$43*(Anode!H$29*(Anode!D$15*GREET1_Import_Export!$B72+Anode!D$16*GREET1_Import_Export!$C72+Anode!D$17*GREET1_Import_Export!$G72+Anode!D$19*'GREET2_Factors_T&amp;D'!$F15+Anode!D$20*'GREET2_Factors_T&amp;D'!$G15)+GREET1_Import_Export!$B237)+Anode!H$44*(Anode!H$29*(Anode!D$21*GREET1_Import_Export!$AA72+Anode!D$22*GREET1_Import_Export!$AB72)+GREET1_Import_Export!$C290)+Anode!H$45*SUM(GREET1_Import_Export!$D315:$E315)+H$46*GREET1_Import_Export!$B$41/1000000*(GREET1_Import_Export!$B201*GREET1_Import_Export!$I$179+GREET1_Import_Export!$I201)+H$47*Steel!$B129+H$48*LiMn2O4!$B111+H$49*GREET1_Import_Export!$M513</f>
        <v>26.023938988511638</v>
      </c>
      <c r="I69" s="258"/>
      <c r="J69" s="267"/>
      <c r="K69" s="273">
        <f ca="1">Anode!K$39*(Anode!K$29*Anode!E$8*GREET1_Import_Export!$K72+GREET1_Import_Export!$B201*GREET1_Import_Export!$F$179+GREET1_Import_Export!$F201)+Anode!K$40*(Anode!K$29*(Anode!E$10*GREET1_Import_Export!$Q72+Anode!E$11*GREET1_Import_Export!$O72+Anode!E$12*GREET1_Import_Export!$M72)+GREET1_Import_Export!$B201*GREET1_Import_Export!$G$179+GREET1_Import_Export!$G201)+Anode!K$41*(Anode!K$29*Anode!E$13*GREET1_Import_Export!$T72+GREET1_Import_Export!$B201*GREET1_Import_Export!$C$179+GREET1_Import_Export!$C201)+Anode!K$42*(Anode!K$29*Anode!E$14*GREET1_Import_Export!$W72+GREET1_Import_Export!$E237*GREET1_Import_Export!$F$215+GREET1_Import_Export!$F237)+Anode!K$43*(Anode!K$29*(Anode!E$15*GREET1_Import_Export!$B72+Anode!E$16*GREET1_Import_Export!$C72+Anode!E$17*GREET1_Import_Export!$G72+Anode!E$19*'GREET2_Factors_T&amp;D'!$F15+Anode!E$20*'GREET2_Factors_T&amp;D'!$G15)+GREET1_Import_Export!$B237)+Anode!K$44*(Anode!K$29*(Anode!E$21*GREET1_Import_Export!$AA72+Anode!E$22*GREET1_Import_Export!$AB72)+GREET1_Import_Export!$C290)+Anode!K$45*SUM(GREET1_Import_Export!$D315:$E315)+K$46*GREET1_Import_Export!$B$41/1000000*(GREET1_Import_Export!$B201*GREET1_Import_Export!$I$179+GREET1_Import_Export!$I201)+K$47*Steel!$B129+K$48*LiMn2O4!$B111+K$49*GREET1_Import_Export!$M513</f>
        <v>14.014165128165526</v>
      </c>
      <c r="L69" s="258"/>
      <c r="M69" s="267"/>
      <c r="N69" s="273">
        <f ca="1">Anode!N$39*(Anode!N$29*Anode!F$8*GREET1_Import_Export!$K72+GREET1_Import_Export!$B201*GREET1_Import_Export!$F$179+GREET1_Import_Export!$F201)+Anode!N$40*(Anode!N$29*(Anode!F$10*GREET1_Import_Export!$Q72+Anode!F$11*GREET1_Import_Export!$O72+Anode!F$12*GREET1_Import_Export!$M72)+GREET1_Import_Export!$B201*GREET1_Import_Export!$G$179+GREET1_Import_Export!$G201)+Anode!N$41*(Anode!N$29*Anode!F$13*GREET1_Import_Export!$T72+GREET1_Import_Export!$B201*GREET1_Import_Export!$C$179+GREET1_Import_Export!$C201)+Anode!N$42*(Anode!N$29*Anode!F$14*GREET1_Import_Export!$W72+GREET1_Import_Export!$E237*GREET1_Import_Export!$F$215+GREET1_Import_Export!$F237)+Anode!N$43*(Anode!N$29*(Anode!F$15*GREET1_Import_Export!$B72+Anode!F$16*GREET1_Import_Export!$C72+Anode!F$17*GREET1_Import_Export!$G72+Anode!F$19*'GREET2_Factors_T&amp;D'!$F15+Anode!F$20*'GREET2_Factors_T&amp;D'!$G15)+GREET1_Import_Export!$B237)+Anode!N$44*(Anode!N$29*(Anode!F$21*GREET1_Import_Export!$AA72+Anode!F$22*GREET1_Import_Export!$AB72)+GREET1_Import_Export!$C290)+Anode!N$45*SUM(GREET1_Import_Export!$D315:$E315)+N$46*GREET1_Import_Export!$B$41/1000000*(GREET1_Import_Export!$B201*GREET1_Import_Export!$I$179+GREET1_Import_Export!$I201)+N$47*Steel!$B129+N$48*LiMn2O4!$B111+N$49*GREET1_Import_Export!$M513</f>
        <v>27.902451957196895</v>
      </c>
      <c r="O69" s="258"/>
      <c r="P69" s="267"/>
    </row>
    <row r="70" spans="1:16">
      <c r="A70" s="59" t="s">
        <v>822</v>
      </c>
      <c r="B70" s="273">
        <f ca="1">Anode!B$39*(Anode!B$29*Anode!B$8*GREET1_Import_Export!$K73+GREET1_Import_Export!$B202*GREET1_Import_Export!$F$179+GREET1_Import_Export!$F202)+Anode!B$40*(Anode!B$29*(Anode!B$10*GREET1_Import_Export!$Q73+Anode!B$11*GREET1_Import_Export!$O73+Anode!B$12*GREET1_Import_Export!$M73)+GREET1_Import_Export!$B202*GREET1_Import_Export!$G$179+GREET1_Import_Export!$G202)+Anode!B$41*(Anode!B$29*Anode!B$13*GREET1_Import_Export!$T73+GREET1_Import_Export!$B202*GREET1_Import_Export!$C$179+GREET1_Import_Export!$C202)+Anode!B$42*(Anode!B$29*Anode!B$14*GREET1_Import_Export!$W73+GREET1_Import_Export!$E238*GREET1_Import_Export!$F$215+GREET1_Import_Export!$F238)+Anode!B$43*(Anode!B$29*(Anode!B$15*GREET1_Import_Export!$B73+Anode!B$16*GREET1_Import_Export!$C73+Anode!B$17*GREET1_Import_Export!$G73+Anode!B$19*'GREET2_Factors_T&amp;D'!$F16+Anode!B$20*'GREET2_Factors_T&amp;D'!$G16)+GREET1_Import_Export!$B238)+Anode!B$44*(Anode!B$29*(Anode!B$21*GREET1_Import_Export!$AA73+Anode!B$22*GREET1_Import_Export!$AB73)+GREET1_Import_Export!$C291)+Anode!B$45*GREET1_Import_Export!$L364+B$46*GREET1_Import_Export!$B$41/1000000*(GREET1_Import_Export!$B202*GREET1_Import_Export!$I$179+GREET1_Import_Export!$I202)+B$47*Steel!$B130+B$48*LiMn2O4!$B112+B$49*GREET1_Import_Export!$M514</f>
        <v>58.914445837623305</v>
      </c>
      <c r="C70" s="258"/>
      <c r="D70" s="267"/>
      <c r="E70" s="273">
        <f ca="1">Anode!E$39*(Anode!E$29*Anode!C$8*GREET1_Import_Export!$K73+GREET1_Import_Export!$B202*GREET1_Import_Export!$F$179+GREET1_Import_Export!$F202)+Anode!E$40*(Anode!E$29*(Anode!C$10*GREET1_Import_Export!$Q73+Anode!C$11*GREET1_Import_Export!$O73+Anode!C$12*GREET1_Import_Export!$M73)+GREET1_Import_Export!$B202*GREET1_Import_Export!$G$179+GREET1_Import_Export!$G202)+Anode!E$41*(Anode!E$29*Anode!C$13*GREET1_Import_Export!$T73+GREET1_Import_Export!$B202*GREET1_Import_Export!$C$179+GREET1_Import_Export!$C202)+Anode!E$42*(Anode!E$29*Anode!C$14*GREET1_Import_Export!$W73+GREET1_Import_Export!$E238*GREET1_Import_Export!$F$215+GREET1_Import_Export!$F238)+Anode!E$43*(Anode!E$29*(Anode!C$15*GREET1_Import_Export!$B73+Anode!C$16*GREET1_Import_Export!$C73+Anode!C$17*GREET1_Import_Export!$G73+Anode!C$19*'GREET2_Factors_T&amp;D'!$F16+Anode!C$20*'GREET2_Factors_T&amp;D'!$G16)+GREET1_Import_Export!$B238)+Anode!E$44*(Anode!E$29*(Anode!C$21*GREET1_Import_Export!$AA73+Anode!C$22*GREET1_Import_Export!$AB73)+GREET1_Import_Export!$C291)+Anode!E$45*GREET1_Import_Export!$L364+E$46*GREET1_Import_Export!$B$41/1000000*(GREET1_Import_Export!$B202*GREET1_Import_Export!$I$179+GREET1_Import_Export!$I202)+E$47*Steel!$B130+E$48*LiMn2O4!$B112+E$49*GREET1_Import_Export!$M514</f>
        <v>163.18886128879222</v>
      </c>
      <c r="F70" s="258"/>
      <c r="G70" s="267"/>
      <c r="H70" s="273">
        <f ca="1">Anode!H$39*(Anode!H$29*Anode!D$8*GREET1_Import_Export!$K73+GREET1_Import_Export!$B202*GREET1_Import_Export!$F$179+GREET1_Import_Export!$F202)+Anode!H$40*(Anode!H$29*(Anode!D$10*GREET1_Import_Export!$Q73+Anode!D$11*GREET1_Import_Export!$O73+Anode!D$12*GREET1_Import_Export!$M73)+GREET1_Import_Export!$B202*GREET1_Import_Export!$G$179+GREET1_Import_Export!$G202)+Anode!H$41*(Anode!H$29*Anode!D$13*GREET1_Import_Export!$T73+GREET1_Import_Export!$B202*GREET1_Import_Export!$C$179+GREET1_Import_Export!$C202)+Anode!H$42*(Anode!H$29*Anode!D$14*GREET1_Import_Export!$W73+GREET1_Import_Export!$E238*GREET1_Import_Export!$F$215+GREET1_Import_Export!$F238)+Anode!H$43*(Anode!H$29*(Anode!D$15*GREET1_Import_Export!$B73+Anode!D$16*GREET1_Import_Export!$C73+Anode!D$17*GREET1_Import_Export!$G73+Anode!D$19*'GREET2_Factors_T&amp;D'!$F16+Anode!D$20*'GREET2_Factors_T&amp;D'!$G16)+GREET1_Import_Export!$B238)+Anode!H$44*(Anode!H$29*(Anode!D$21*GREET1_Import_Export!$AA73+Anode!D$22*GREET1_Import_Export!$AB73)+GREET1_Import_Export!$C291)+Anode!H$45*SUM(GREET1_Import_Export!$D316:$E316)+H$46*GREET1_Import_Export!$B$41/1000000*(GREET1_Import_Export!$B202*GREET1_Import_Export!$I$179+GREET1_Import_Export!$I202)+H$47*Steel!$B130+H$48*LiMn2O4!$B112+H$49*GREET1_Import_Export!$M514</f>
        <v>50.524878696700547</v>
      </c>
      <c r="I70" s="258"/>
      <c r="J70" s="267"/>
      <c r="K70" s="273">
        <f ca="1">Anode!K$39*(Anode!K$29*Anode!E$8*GREET1_Import_Export!$K73+GREET1_Import_Export!$B202*GREET1_Import_Export!$F$179+GREET1_Import_Export!$F202)+Anode!K$40*(Anode!K$29*(Anode!E$10*GREET1_Import_Export!$Q73+Anode!E$11*GREET1_Import_Export!$O73+Anode!E$12*GREET1_Import_Export!$M73)+GREET1_Import_Export!$B202*GREET1_Import_Export!$G$179+GREET1_Import_Export!$G202)+Anode!K$41*(Anode!K$29*Anode!E$13*GREET1_Import_Export!$T73+GREET1_Import_Export!$B202*GREET1_Import_Export!$C$179+GREET1_Import_Export!$C202)+Anode!K$42*(Anode!K$29*Anode!E$14*GREET1_Import_Export!$W73+GREET1_Import_Export!$E238*GREET1_Import_Export!$F$215+GREET1_Import_Export!$F238)+Anode!K$43*(Anode!K$29*(Anode!E$15*GREET1_Import_Export!$B73+Anode!E$16*GREET1_Import_Export!$C73+Anode!E$17*GREET1_Import_Export!$G73+Anode!E$19*'GREET2_Factors_T&amp;D'!$F16+Anode!E$20*'GREET2_Factors_T&amp;D'!$G16)+GREET1_Import_Export!$B238)+Anode!K$44*(Anode!K$29*(Anode!E$21*GREET1_Import_Export!$AA73+Anode!E$22*GREET1_Import_Export!$AB73)+GREET1_Import_Export!$C291)+Anode!K$45*SUM(GREET1_Import_Export!$D316:$E316)+K$46*GREET1_Import_Export!$B$41/1000000*(GREET1_Import_Export!$B202*GREET1_Import_Export!$I$179+GREET1_Import_Export!$I202)+K$47*Steel!$B130+K$48*LiMn2O4!$B112+K$49*GREET1_Import_Export!$M514</f>
        <v>103.46059560995957</v>
      </c>
      <c r="L70" s="258"/>
      <c r="M70" s="267"/>
      <c r="N70" s="273">
        <f ca="1">Anode!N$39*(Anode!N$29*Anode!F$8*GREET1_Import_Export!$K73+GREET1_Import_Export!$B202*GREET1_Import_Export!$F$179+GREET1_Import_Export!$F202)+Anode!N$40*(Anode!N$29*(Anode!F$10*GREET1_Import_Export!$Q73+Anode!F$11*GREET1_Import_Export!$O73+Anode!F$12*GREET1_Import_Export!$M73)+GREET1_Import_Export!$B202*GREET1_Import_Export!$G$179+GREET1_Import_Export!$G202)+Anode!N$41*(Anode!N$29*Anode!F$13*GREET1_Import_Export!$T73+GREET1_Import_Export!$B202*GREET1_Import_Export!$C$179+GREET1_Import_Export!$C202)+Anode!N$42*(Anode!N$29*Anode!F$14*GREET1_Import_Export!$W73+GREET1_Import_Export!$E238*GREET1_Import_Export!$F$215+GREET1_Import_Export!$F238)+Anode!N$43*(Anode!N$29*(Anode!F$15*GREET1_Import_Export!$B73+Anode!F$16*GREET1_Import_Export!$C73+Anode!F$17*GREET1_Import_Export!$G73+Anode!F$19*'GREET2_Factors_T&amp;D'!$F16+Anode!F$20*'GREET2_Factors_T&amp;D'!$G16)+GREET1_Import_Export!$B238)+Anode!N$44*(Anode!N$29*(Anode!F$21*GREET1_Import_Export!$AA73+Anode!F$22*GREET1_Import_Export!$AB73)+GREET1_Import_Export!$C291)+Anode!N$45*SUM(GREET1_Import_Export!$D316:$E316)+N$46*GREET1_Import_Export!$B$41/1000000*(GREET1_Import_Export!$B202*GREET1_Import_Export!$I$179+GREET1_Import_Export!$I202)+N$47*Steel!$B130+N$48*LiMn2O4!$B112+N$49*GREET1_Import_Export!$M514</f>
        <v>134.05896364704023</v>
      </c>
      <c r="O70" s="258"/>
      <c r="P70" s="267"/>
    </row>
    <row r="71" spans="1:16">
      <c r="A71" s="59" t="s">
        <v>823</v>
      </c>
      <c r="B71" s="273">
        <f ca="1">Anode!B$39*(Anode!B$29*Anode!B$8*GREET1_Import_Export!$K74+GREET1_Import_Export!$B203*GREET1_Import_Export!$F$179+GREET1_Import_Export!$F203)+Anode!B$40*(Anode!B$29*(Anode!B$10*GREET1_Import_Export!$Q74+Anode!B$11*GREET1_Import_Export!$O74+Anode!B$12*GREET1_Import_Export!$M74)+GREET1_Import_Export!$B203*GREET1_Import_Export!$G$179+GREET1_Import_Export!$G203)+Anode!B$41*(Anode!B$29*Anode!B$13*GREET1_Import_Export!$T74+GREET1_Import_Export!$B203*GREET1_Import_Export!$C$179+GREET1_Import_Export!$C203)+Anode!B$42*(Anode!B$29*Anode!B$14*GREET1_Import_Export!$W74+GREET1_Import_Export!$E239*GREET1_Import_Export!$F$215+GREET1_Import_Export!$F239)+Anode!B$43*(Anode!B$29*(Anode!B$15*GREET1_Import_Export!$B74+Anode!B$16*GREET1_Import_Export!$C74+Anode!B$17*GREET1_Import_Export!$G74+Anode!B$19*'GREET2_Factors_T&amp;D'!$F17+Anode!B$20*'GREET2_Factors_T&amp;D'!$G17)+GREET1_Import_Export!$B239)+Anode!B$44*(Anode!B$29*(Anode!B$21*GREET1_Import_Export!$AA74+Anode!B$22*GREET1_Import_Export!$AB74)+GREET1_Import_Export!$C292)+Anode!B$45*GREET1_Import_Export!$L365+B$46*GREET1_Import_Export!$B$41/1000000*(GREET1_Import_Export!$B203*GREET1_Import_Export!$I$179+GREET1_Import_Export!$I203)+B$47*Steel!$B131+B$48*LiMn2O4!$B113+B$49*GREET1_Import_Export!$M515</f>
        <v>86.839002886900715</v>
      </c>
      <c r="C71" s="258"/>
      <c r="D71" s="267"/>
      <c r="E71" s="273">
        <f ca="1">Anode!E$39*(Anode!E$29*Anode!C$8*GREET1_Import_Export!$K74+GREET1_Import_Export!$B203*GREET1_Import_Export!$F$179+GREET1_Import_Export!$F203)+Anode!E$40*(Anode!E$29*(Anode!C$10*GREET1_Import_Export!$Q74+Anode!C$11*GREET1_Import_Export!$O74+Anode!C$12*GREET1_Import_Export!$M74)+GREET1_Import_Export!$B203*GREET1_Import_Export!$G$179+GREET1_Import_Export!$G203)+Anode!E$41*(Anode!E$29*Anode!C$13*GREET1_Import_Export!$T74+GREET1_Import_Export!$B203*GREET1_Import_Export!$C$179+GREET1_Import_Export!$C203)+Anode!E$42*(Anode!E$29*Anode!C$14*GREET1_Import_Export!$W74+GREET1_Import_Export!$E239*GREET1_Import_Export!$F$215+GREET1_Import_Export!$F239)+Anode!E$43*(Anode!E$29*(Anode!C$15*GREET1_Import_Export!$B74+Anode!C$16*GREET1_Import_Export!$C74+Anode!C$17*GREET1_Import_Export!$G74+Anode!C$19*'GREET2_Factors_T&amp;D'!$F17+Anode!C$20*'GREET2_Factors_T&amp;D'!$G17)+GREET1_Import_Export!$B239)+Anode!E$44*(Anode!E$29*(Anode!C$21*GREET1_Import_Export!$AA74+Anode!C$22*GREET1_Import_Export!$AB74)+GREET1_Import_Export!$C292)+Anode!E$45*GREET1_Import_Export!$L365+E$46*GREET1_Import_Export!$B$41/1000000*(GREET1_Import_Export!$B203*GREET1_Import_Export!$I$179+GREET1_Import_Export!$I203)+E$47*Steel!$B131+E$48*LiMn2O4!$B113+E$49*GREET1_Import_Export!$M515</f>
        <v>700.78240273328049</v>
      </c>
      <c r="F71" s="258"/>
      <c r="G71" s="267"/>
      <c r="H71" s="273">
        <f ca="1">Anode!H$39*(Anode!H$29*Anode!D$8*GREET1_Import_Export!$K74+GREET1_Import_Export!$B203*GREET1_Import_Export!$F$179+GREET1_Import_Export!$F203)+Anode!H$40*(Anode!H$29*(Anode!D$10*GREET1_Import_Export!$Q74+Anode!D$11*GREET1_Import_Export!$O74+Anode!D$12*GREET1_Import_Export!$M74)+GREET1_Import_Export!$B203*GREET1_Import_Export!$G$179+GREET1_Import_Export!$G203)+Anode!H$41*(Anode!H$29*Anode!D$13*GREET1_Import_Export!$T74+GREET1_Import_Export!$B203*GREET1_Import_Export!$C$179+GREET1_Import_Export!$C203)+Anode!H$42*(Anode!H$29*Anode!D$14*GREET1_Import_Export!$W74+GREET1_Import_Export!$E239*GREET1_Import_Export!$F$215+GREET1_Import_Export!$F239)+Anode!H$43*(Anode!H$29*(Anode!D$15*GREET1_Import_Export!$B74+Anode!D$16*GREET1_Import_Export!$C74+Anode!D$17*GREET1_Import_Export!$G74+Anode!D$19*'GREET2_Factors_T&amp;D'!$F17+Anode!D$20*'GREET2_Factors_T&amp;D'!$G17)+GREET1_Import_Export!$B239)+Anode!H$44*(Anode!H$29*(Anode!D$21*GREET1_Import_Export!$AA74+Anode!D$22*GREET1_Import_Export!$AB74)+GREET1_Import_Export!$C292)+Anode!H$45*SUM(GREET1_Import_Export!$D317:$E317)+H$46*GREET1_Import_Export!$B$41/1000000*(GREET1_Import_Export!$B203*GREET1_Import_Export!$I$179+GREET1_Import_Export!$I203)+H$47*Steel!$B131+H$48*LiMn2O4!$B113+H$49*GREET1_Import_Export!$M515</f>
        <v>144.62886395134061</v>
      </c>
      <c r="I71" s="258"/>
      <c r="J71" s="267"/>
      <c r="K71" s="273">
        <f ca="1">Anode!K$39*(Anode!K$29*Anode!E$8*GREET1_Import_Export!$K74+GREET1_Import_Export!$B203*GREET1_Import_Export!$F$179+GREET1_Import_Export!$F203)+Anode!K$40*(Anode!K$29*(Anode!E$10*GREET1_Import_Export!$Q74+Anode!E$11*GREET1_Import_Export!$O74+Anode!E$12*GREET1_Import_Export!$M74)+GREET1_Import_Export!$B203*GREET1_Import_Export!$G$179+GREET1_Import_Export!$G203)+Anode!K$41*(Anode!K$29*Anode!E$13*GREET1_Import_Export!$T74+GREET1_Import_Export!$B203*GREET1_Import_Export!$C$179+GREET1_Import_Export!$C203)+Anode!K$42*(Anode!K$29*Anode!E$14*GREET1_Import_Export!$W74+GREET1_Import_Export!$E239*GREET1_Import_Export!$F$215+GREET1_Import_Export!$F239)+Anode!K$43*(Anode!K$29*(Anode!E$15*GREET1_Import_Export!$B74+Anode!E$16*GREET1_Import_Export!$C74+Anode!E$17*GREET1_Import_Export!$G74+Anode!E$19*'GREET2_Factors_T&amp;D'!$F17+Anode!E$20*'GREET2_Factors_T&amp;D'!$G17)+GREET1_Import_Export!$B239)+Anode!K$44*(Anode!K$29*(Anode!E$21*GREET1_Import_Export!$AA74+Anode!E$22*GREET1_Import_Export!$AB74)+GREET1_Import_Export!$C292)+Anode!K$45*SUM(GREET1_Import_Export!$D317:$E317)+K$46*GREET1_Import_Export!$B$41/1000000*(GREET1_Import_Export!$B203*GREET1_Import_Export!$I$179+GREET1_Import_Export!$I203)+K$47*Steel!$B131+K$48*LiMn2O4!$B113+K$49*GREET1_Import_Export!$M515</f>
        <v>309.01298771198827</v>
      </c>
      <c r="L71" s="258"/>
      <c r="M71" s="267"/>
      <c r="N71" s="273">
        <f ca="1">Anode!N$39*(Anode!N$29*Anode!F$8*GREET1_Import_Export!$K74+GREET1_Import_Export!$B203*GREET1_Import_Export!$F$179+GREET1_Import_Export!$F203)+Anode!N$40*(Anode!N$29*(Anode!F$10*GREET1_Import_Export!$Q74+Anode!F$11*GREET1_Import_Export!$O74+Anode!F$12*GREET1_Import_Export!$M74)+GREET1_Import_Export!$B203*GREET1_Import_Export!$G$179+GREET1_Import_Export!$G203)+Anode!N$41*(Anode!N$29*Anode!F$13*GREET1_Import_Export!$T74+GREET1_Import_Export!$B203*GREET1_Import_Export!$C$179+GREET1_Import_Export!$C203)+Anode!N$42*(Anode!N$29*Anode!F$14*GREET1_Import_Export!$W74+GREET1_Import_Export!$E239*GREET1_Import_Export!$F$215+GREET1_Import_Export!$F239)+Anode!N$43*(Anode!N$29*(Anode!F$15*GREET1_Import_Export!$B74+Anode!F$16*GREET1_Import_Export!$C74+Anode!F$17*GREET1_Import_Export!$G74+Anode!F$19*'GREET2_Factors_T&amp;D'!$F17+Anode!F$20*'GREET2_Factors_T&amp;D'!$G17)+GREET1_Import_Export!$B239)+Anode!N$44*(Anode!N$29*(Anode!F$21*GREET1_Import_Export!$AA74+Anode!F$22*GREET1_Import_Export!$AB74)+GREET1_Import_Export!$C292)+Anode!N$45*SUM(GREET1_Import_Export!$D317:$E317)+N$46*GREET1_Import_Export!$B$41/1000000*(GREET1_Import_Export!$B203*GREET1_Import_Export!$I$179+GREET1_Import_Export!$I203)+N$47*Steel!$B131+N$48*LiMn2O4!$B113+N$49*GREET1_Import_Export!$M515</f>
        <v>158.90247343659198</v>
      </c>
      <c r="O71" s="258"/>
      <c r="P71" s="267"/>
    </row>
    <row r="72" spans="1:16">
      <c r="A72" s="59" t="s">
        <v>824</v>
      </c>
      <c r="B72" s="273">
        <f ca="1">Anode!B$39*(Anode!B$29*Anode!B$8*GREET1_Import_Export!$K75+GREET1_Import_Export!$B204*GREET1_Import_Export!$F$179+GREET1_Import_Export!$F204)+Anode!B$40*(Anode!B$29*(Anode!B$10*GREET1_Import_Export!$Q75+Anode!B$11*GREET1_Import_Export!$O75+Anode!B$12*GREET1_Import_Export!$M75)+GREET1_Import_Export!$B204*GREET1_Import_Export!$G$179+GREET1_Import_Export!$G204)+Anode!B$41*(Anode!B$29*Anode!B$13*GREET1_Import_Export!$T75+GREET1_Import_Export!$B204*GREET1_Import_Export!$C$179+GREET1_Import_Export!$C204)+Anode!B$42*(Anode!B$29*Anode!B$14*GREET1_Import_Export!$W75+GREET1_Import_Export!$E240*GREET1_Import_Export!$F$215+GREET1_Import_Export!$F240)+Anode!B$43*(Anode!B$29*(Anode!B$15*GREET1_Import_Export!$B75+Anode!B$16*GREET1_Import_Export!$C75+Anode!B$17*GREET1_Import_Export!$G75+Anode!B$19*'GREET2_Factors_T&amp;D'!$F18+Anode!B$20*'GREET2_Factors_T&amp;D'!$G18)+GREET1_Import_Export!$B240)+Anode!B$44*(Anode!B$29*(Anode!B$21*GREET1_Import_Export!$AA75+Anode!B$22*GREET1_Import_Export!$AB75)+GREET1_Import_Export!$C293)+Anode!B$45*GREET1_Import_Export!$L366+B$46*GREET1_Import_Export!$B$41/1000000*(GREET1_Import_Export!$B204*GREET1_Import_Export!$I$179+GREET1_Import_Export!$I204)+B$47*Steel!$B132+B$48*LiMn2O4!$B114+B$49*GREET1_Import_Export!$M516</f>
        <v>13.446573281509847</v>
      </c>
      <c r="C72" s="258"/>
      <c r="D72" s="267"/>
      <c r="E72" s="273">
        <f ca="1">Anode!E$39*(Anode!E$29*Anode!C$8*GREET1_Import_Export!$K75+GREET1_Import_Export!$B204*GREET1_Import_Export!$F$179+GREET1_Import_Export!$F204)+Anode!E$40*(Anode!E$29*(Anode!C$10*GREET1_Import_Export!$Q75+Anode!C$11*GREET1_Import_Export!$O75+Anode!C$12*GREET1_Import_Export!$M75)+GREET1_Import_Export!$B204*GREET1_Import_Export!$G$179+GREET1_Import_Export!$G204)+Anode!E$41*(Anode!E$29*Anode!C$13*GREET1_Import_Export!$T75+GREET1_Import_Export!$B204*GREET1_Import_Export!$C$179+GREET1_Import_Export!$C204)+Anode!E$42*(Anode!E$29*Anode!C$14*GREET1_Import_Export!$W75+GREET1_Import_Export!$E240*GREET1_Import_Export!$F$215+GREET1_Import_Export!$F240)+Anode!E$43*(Anode!E$29*(Anode!C$15*GREET1_Import_Export!$B75+Anode!C$16*GREET1_Import_Export!$C75+Anode!C$17*GREET1_Import_Export!$G75+Anode!C$19*'GREET2_Factors_T&amp;D'!$F18+Anode!C$20*'GREET2_Factors_T&amp;D'!$G18)+GREET1_Import_Export!$B240)+Anode!E$44*(Anode!E$29*(Anode!C$21*GREET1_Import_Export!$AA75+Anode!C$22*GREET1_Import_Export!$AB75)+GREET1_Import_Export!$C293)+Anode!E$45*GREET1_Import_Export!$L366+E$46*GREET1_Import_Export!$B$41/1000000*(GREET1_Import_Export!$B204*GREET1_Import_Export!$I$179+GREET1_Import_Export!$I204)+E$47*Steel!$B132+E$48*LiMn2O4!$B114+E$49*GREET1_Import_Export!$M516</f>
        <v>90.239478476247882</v>
      </c>
      <c r="F72" s="258"/>
      <c r="G72" s="267"/>
      <c r="H72" s="273">
        <f ca="1">Anode!H$39*(Anode!H$29*Anode!D$8*GREET1_Import_Export!$K75+GREET1_Import_Export!$B204*GREET1_Import_Export!$F$179+GREET1_Import_Export!$F204)+Anode!H$40*(Anode!H$29*(Anode!D$10*GREET1_Import_Export!$Q75+Anode!D$11*GREET1_Import_Export!$O75+Anode!D$12*GREET1_Import_Export!$M75)+GREET1_Import_Export!$B204*GREET1_Import_Export!$G$179+GREET1_Import_Export!$G204)+Anode!H$41*(Anode!H$29*Anode!D$13*GREET1_Import_Export!$T75+GREET1_Import_Export!$B204*GREET1_Import_Export!$C$179+GREET1_Import_Export!$C204)+Anode!H$42*(Anode!H$29*Anode!D$14*GREET1_Import_Export!$W75+GREET1_Import_Export!$E240*GREET1_Import_Export!$F$215+GREET1_Import_Export!$F240)+Anode!H$43*(Anode!H$29*(Anode!D$15*GREET1_Import_Export!$B75+Anode!D$16*GREET1_Import_Export!$C75+Anode!D$17*GREET1_Import_Export!$G75+Anode!D$19*'GREET2_Factors_T&amp;D'!$F18+Anode!D$20*'GREET2_Factors_T&amp;D'!$G18)+GREET1_Import_Export!$B240)+Anode!H$44*(Anode!H$29*(Anode!D$21*GREET1_Import_Export!$AA75+Anode!D$22*GREET1_Import_Export!$AB75)+GREET1_Import_Export!$C293)+Anode!H$45*SUM(GREET1_Import_Export!$D318:$E318)+H$46*GREET1_Import_Export!$B$41/1000000*(GREET1_Import_Export!$B204*GREET1_Import_Export!$I$179+GREET1_Import_Export!$I204)+H$47*Steel!$B132+H$48*LiMn2O4!$B114+H$49*GREET1_Import_Export!$M516</f>
        <v>17.67370776334899</v>
      </c>
      <c r="I72" s="258"/>
      <c r="J72" s="267"/>
      <c r="K72" s="273">
        <f ca="1">Anode!K$39*(Anode!K$29*Anode!E$8*GREET1_Import_Export!$K75+GREET1_Import_Export!$B204*GREET1_Import_Export!$F$179+GREET1_Import_Export!$F204)+Anode!K$40*(Anode!K$29*(Anode!E$10*GREET1_Import_Export!$Q75+Anode!E$11*GREET1_Import_Export!$O75+Anode!E$12*GREET1_Import_Export!$M75)+GREET1_Import_Export!$B204*GREET1_Import_Export!$G$179+GREET1_Import_Export!$G204)+Anode!K$41*(Anode!K$29*Anode!E$13*GREET1_Import_Export!$T75+GREET1_Import_Export!$B204*GREET1_Import_Export!$C$179+GREET1_Import_Export!$C204)+Anode!K$42*(Anode!K$29*Anode!E$14*GREET1_Import_Export!$W75+GREET1_Import_Export!$E240*GREET1_Import_Export!$F$215+GREET1_Import_Export!$F240)+Anode!K$43*(Anode!K$29*(Anode!E$15*GREET1_Import_Export!$B75+Anode!E$16*GREET1_Import_Export!$C75+Anode!E$17*GREET1_Import_Export!$G75+Anode!E$19*'GREET2_Factors_T&amp;D'!$F18+Anode!E$20*'GREET2_Factors_T&amp;D'!$G18)+GREET1_Import_Export!$B240)+Anode!K$44*(Anode!K$29*(Anode!E$21*GREET1_Import_Export!$AA75+Anode!E$22*GREET1_Import_Export!$AB75)+GREET1_Import_Export!$C293)+Anode!K$45*SUM(GREET1_Import_Export!$D318:$E318)+K$46*GREET1_Import_Export!$B$41/1000000*(GREET1_Import_Export!$B204*GREET1_Import_Export!$I$179+GREET1_Import_Export!$I204)+K$47*Steel!$B132+K$48*LiMn2O4!$B114+K$49*GREET1_Import_Export!$M516</f>
        <v>41.256718486860471</v>
      </c>
      <c r="L72" s="258"/>
      <c r="M72" s="267"/>
      <c r="N72" s="273">
        <f ca="1">Anode!N$39*(Anode!N$29*Anode!F$8*GREET1_Import_Export!$K75+GREET1_Import_Export!$B204*GREET1_Import_Export!$F$179+GREET1_Import_Export!$F204)+Anode!N$40*(Anode!N$29*(Anode!F$10*GREET1_Import_Export!$Q75+Anode!F$11*GREET1_Import_Export!$O75+Anode!F$12*GREET1_Import_Export!$M75)+GREET1_Import_Export!$B204*GREET1_Import_Export!$G$179+GREET1_Import_Export!$G204)+Anode!N$41*(Anode!N$29*Anode!F$13*GREET1_Import_Export!$T75+GREET1_Import_Export!$B204*GREET1_Import_Export!$C$179+GREET1_Import_Export!$C204)+Anode!N$42*(Anode!N$29*Anode!F$14*GREET1_Import_Export!$W75+GREET1_Import_Export!$E240*GREET1_Import_Export!$F$215+GREET1_Import_Export!$F240)+Anode!N$43*(Anode!N$29*(Anode!F$15*GREET1_Import_Export!$B75+Anode!F$16*GREET1_Import_Export!$C75+Anode!F$17*GREET1_Import_Export!$G75+Anode!F$19*'GREET2_Factors_T&amp;D'!$F18+Anode!F$20*'GREET2_Factors_T&amp;D'!$G18)+GREET1_Import_Export!$B240)+Anode!N$44*(Anode!N$29*(Anode!F$21*GREET1_Import_Export!$AA75+Anode!F$22*GREET1_Import_Export!$AB75)+GREET1_Import_Export!$C293)+Anode!N$45*SUM(GREET1_Import_Export!$D318:$E318)+N$46*GREET1_Import_Export!$B$41/1000000*(GREET1_Import_Export!$B204*GREET1_Import_Export!$I$179+GREET1_Import_Export!$I204)+N$47*Steel!$B132+N$48*LiMn2O4!$B114+N$49*GREET1_Import_Export!$M516</f>
        <v>0.68166793529863734</v>
      </c>
      <c r="O72" s="258"/>
      <c r="P72" s="267"/>
    </row>
    <row r="73" spans="1:16">
      <c r="A73" s="59" t="s">
        <v>825</v>
      </c>
      <c r="B73" s="273">
        <f ca="1">Anode!B$39*(Anode!B$29*Anode!B$8*GREET1_Import_Export!$K76+GREET1_Import_Export!$B205*GREET1_Import_Export!$F$179+GREET1_Import_Export!$F205)+Anode!B$40*(Anode!B$29*(Anode!B$10*GREET1_Import_Export!$Q76+Anode!B$11*GREET1_Import_Export!$O76+Anode!B$12*GREET1_Import_Export!$M76)+GREET1_Import_Export!$B205*GREET1_Import_Export!$G$179+GREET1_Import_Export!$G205)+Anode!B$41*(Anode!B$29*Anode!B$13*GREET1_Import_Export!$T76+GREET1_Import_Export!$B205*GREET1_Import_Export!$C$179+GREET1_Import_Export!$C205)+Anode!B$42*(Anode!B$29*Anode!B$14*GREET1_Import_Export!$W76+GREET1_Import_Export!$E241*GREET1_Import_Export!$F$215+GREET1_Import_Export!$F241)+Anode!B$43*(Anode!B$29*(Anode!B$15*GREET1_Import_Export!$B76+Anode!B$16*GREET1_Import_Export!$C76+Anode!B$17*GREET1_Import_Export!$G76+Anode!B$19*'GREET2_Factors_T&amp;D'!$F19+Anode!B$20*'GREET2_Factors_T&amp;D'!$G19)+GREET1_Import_Export!$B241)+Anode!B$44*(Anode!B$29*(Anode!B$21*GREET1_Import_Export!$AA76+Anode!B$22*GREET1_Import_Export!$AB76)+GREET1_Import_Export!$C294)+Anode!B$45*GREET1_Import_Export!$L367+B$46*GREET1_Import_Export!$B$41/1000000*(GREET1_Import_Export!$B205*GREET1_Import_Export!$I$179+GREET1_Import_Export!$I205)+B$47*Steel!$B133+B$48*LiMn2O4!$B115+B$49*GREET1_Import_Export!$M517</f>
        <v>11.184592946467586</v>
      </c>
      <c r="C73" s="258"/>
      <c r="D73" s="267"/>
      <c r="E73" s="273">
        <f ca="1">Anode!E$39*(Anode!E$29*Anode!C$8*GREET1_Import_Export!$K76+GREET1_Import_Export!$B205*GREET1_Import_Export!$F$179+GREET1_Import_Export!$F205)+Anode!E$40*(Anode!E$29*(Anode!C$10*GREET1_Import_Export!$Q76+Anode!C$11*GREET1_Import_Export!$O76+Anode!C$12*GREET1_Import_Export!$M76)+GREET1_Import_Export!$B205*GREET1_Import_Export!$G$179+GREET1_Import_Export!$G205)+Anode!E$41*(Anode!E$29*Anode!C$13*GREET1_Import_Export!$T76+GREET1_Import_Export!$B205*GREET1_Import_Export!$C$179+GREET1_Import_Export!$C205)+Anode!E$42*(Anode!E$29*Anode!C$14*GREET1_Import_Export!$W76+GREET1_Import_Export!$E241*GREET1_Import_Export!$F$215+GREET1_Import_Export!$F241)+Anode!E$43*(Anode!E$29*(Anode!C$15*GREET1_Import_Export!$B76+Anode!C$16*GREET1_Import_Export!$C76+Anode!C$17*GREET1_Import_Export!$G76+Anode!C$19*'GREET2_Factors_T&amp;D'!$F19+Anode!C$20*'GREET2_Factors_T&amp;D'!$G19)+GREET1_Import_Export!$B241)+Anode!E$44*(Anode!E$29*(Anode!C$21*GREET1_Import_Export!$AA76+Anode!C$22*GREET1_Import_Export!$AB76)+GREET1_Import_Export!$C294)+Anode!E$45*GREET1_Import_Export!$L367+E$46*GREET1_Import_Export!$B$41/1000000*(GREET1_Import_Export!$B205*GREET1_Import_Export!$I$179+GREET1_Import_Export!$I205)+E$47*Steel!$B133+E$48*LiMn2O4!$B115+E$49*GREET1_Import_Export!$M517</f>
        <v>74.821793189687568</v>
      </c>
      <c r="F73" s="258"/>
      <c r="G73" s="267"/>
      <c r="H73" s="273">
        <f ca="1">Anode!H$39*(Anode!H$29*Anode!D$8*GREET1_Import_Export!$K76+GREET1_Import_Export!$B205*GREET1_Import_Export!$F$179+GREET1_Import_Export!$F205)+Anode!H$40*(Anode!H$29*(Anode!D$10*GREET1_Import_Export!$Q76+Anode!D$11*GREET1_Import_Export!$O76+Anode!D$12*GREET1_Import_Export!$M76)+GREET1_Import_Export!$B205*GREET1_Import_Export!$G$179+GREET1_Import_Export!$G205)+Anode!H$41*(Anode!H$29*Anode!D$13*GREET1_Import_Export!$T76+GREET1_Import_Export!$B205*GREET1_Import_Export!$C$179+GREET1_Import_Export!$C205)+Anode!H$42*(Anode!H$29*Anode!D$14*GREET1_Import_Export!$W76+GREET1_Import_Export!$E241*GREET1_Import_Export!$F$215+GREET1_Import_Export!$F241)+Anode!H$43*(Anode!H$29*(Anode!D$15*GREET1_Import_Export!$B76+Anode!D$16*GREET1_Import_Export!$C76+Anode!D$17*GREET1_Import_Export!$G76+Anode!D$19*'GREET2_Factors_T&amp;D'!$F19+Anode!D$20*'GREET2_Factors_T&amp;D'!$G19)+GREET1_Import_Export!$B241)+Anode!H$44*(Anode!H$29*(Anode!D$21*GREET1_Import_Export!$AA76+Anode!D$22*GREET1_Import_Export!$AB76)+GREET1_Import_Export!$C294)+Anode!H$45*SUM(GREET1_Import_Export!$D319:$E319)+H$46*GREET1_Import_Export!$B$41/1000000*(GREET1_Import_Export!$B205*GREET1_Import_Export!$I$179+GREET1_Import_Export!$I205)+H$47*Steel!$B133+H$48*LiMn2O4!$B115+H$49*GREET1_Import_Export!$M517</f>
        <v>15.090386189699462</v>
      </c>
      <c r="I73" s="258"/>
      <c r="J73" s="267"/>
      <c r="K73" s="273">
        <f ca="1">Anode!K$39*(Anode!K$29*Anode!E$8*GREET1_Import_Export!$K76+GREET1_Import_Export!$B205*GREET1_Import_Export!$F$179+GREET1_Import_Export!$F205)+Anode!K$40*(Anode!K$29*(Anode!E$10*GREET1_Import_Export!$Q76+Anode!E$11*GREET1_Import_Export!$O76+Anode!E$12*GREET1_Import_Export!$M76)+GREET1_Import_Export!$B205*GREET1_Import_Export!$G$179+GREET1_Import_Export!$G205)+Anode!K$41*(Anode!K$29*Anode!E$13*GREET1_Import_Export!$T76+GREET1_Import_Export!$B205*GREET1_Import_Export!$C$179+GREET1_Import_Export!$C205)+Anode!K$42*(Anode!K$29*Anode!E$14*GREET1_Import_Export!$W76+GREET1_Import_Export!$E241*GREET1_Import_Export!$F$215+GREET1_Import_Export!$F241)+Anode!K$43*(Anode!K$29*(Anode!E$15*GREET1_Import_Export!$B76+Anode!E$16*GREET1_Import_Export!$C76+Anode!E$17*GREET1_Import_Export!$G76+Anode!E$19*'GREET2_Factors_T&amp;D'!$F19+Anode!E$20*'GREET2_Factors_T&amp;D'!$G19)+GREET1_Import_Export!$B241)+Anode!K$44*(Anode!K$29*(Anode!E$21*GREET1_Import_Export!$AA76+Anode!E$22*GREET1_Import_Export!$AB76)+GREET1_Import_Export!$C294)+Anode!K$45*SUM(GREET1_Import_Export!$D319:$E319)+K$46*GREET1_Import_Export!$B$41/1000000*(GREET1_Import_Export!$B205*GREET1_Import_Export!$I$179+GREET1_Import_Export!$I205)+K$47*Steel!$B133+K$48*LiMn2O4!$B115+K$49*GREET1_Import_Export!$M517</f>
        <v>36.27827209574999</v>
      </c>
      <c r="L73" s="258"/>
      <c r="M73" s="267"/>
      <c r="N73" s="273">
        <f ca="1">Anode!N$39*(Anode!N$29*Anode!F$8*GREET1_Import_Export!$K76+GREET1_Import_Export!$B205*GREET1_Import_Export!$F$179+GREET1_Import_Export!$F205)+Anode!N$40*(Anode!N$29*(Anode!F$10*GREET1_Import_Export!$Q76+Anode!F$11*GREET1_Import_Export!$O76+Anode!F$12*GREET1_Import_Export!$M76)+GREET1_Import_Export!$B205*GREET1_Import_Export!$G$179+GREET1_Import_Export!$G205)+Anode!N$41*(Anode!N$29*Anode!F$13*GREET1_Import_Export!$T76+GREET1_Import_Export!$B205*GREET1_Import_Export!$C$179+GREET1_Import_Export!$C205)+Anode!N$42*(Anode!N$29*Anode!F$14*GREET1_Import_Export!$W76+GREET1_Import_Export!$E241*GREET1_Import_Export!$F$215+GREET1_Import_Export!$F241)+Anode!N$43*(Anode!N$29*(Anode!F$15*GREET1_Import_Export!$B76+Anode!F$16*GREET1_Import_Export!$C76+Anode!F$17*GREET1_Import_Export!$G76+Anode!F$19*'GREET2_Factors_T&amp;D'!$F19+Anode!F$20*'GREET2_Factors_T&amp;D'!$G19)+GREET1_Import_Export!$B241)+Anode!N$44*(Anode!N$29*(Anode!F$21*GREET1_Import_Export!$AA76+Anode!F$22*GREET1_Import_Export!$AB76)+GREET1_Import_Export!$C294)+Anode!N$45*SUM(GREET1_Import_Export!$D319:$E319)+N$46*GREET1_Import_Export!$B$41/1000000*(GREET1_Import_Export!$B205*GREET1_Import_Export!$I$179+GREET1_Import_Export!$I205)+N$47*Steel!$B133+N$48*LiMn2O4!$B115+N$49*GREET1_Import_Export!$M517</f>
        <v>0.62963036309555676</v>
      </c>
      <c r="O73" s="258"/>
      <c r="P73" s="267"/>
    </row>
    <row r="74" spans="1:16">
      <c r="A74" s="59" t="s">
        <v>826</v>
      </c>
      <c r="B74" s="273">
        <f ca="1">Anode!B$39*(Anode!B$29*Anode!B$8*GREET1_Import_Export!$K77+GREET1_Import_Export!$B206*GREET1_Import_Export!$F$179+GREET1_Import_Export!$F206)+Anode!B$40*(Anode!B$29*(Anode!B$10*GREET1_Import_Export!$Q77+Anode!B$11*GREET1_Import_Export!$O77+Anode!B$12*GREET1_Import_Export!$M77)+GREET1_Import_Export!$B206*GREET1_Import_Export!$G$179+GREET1_Import_Export!$G206)+Anode!B$41*(Anode!B$29*Anode!B$13*GREET1_Import_Export!$T77+GREET1_Import_Export!$B206*GREET1_Import_Export!$C$179+GREET1_Import_Export!$C206)+Anode!B$42*(Anode!B$29*Anode!B$14*GREET1_Import_Export!$W77+GREET1_Import_Export!$E242*GREET1_Import_Export!$F$215+GREET1_Import_Export!$F242)+Anode!B$43*(Anode!B$29*(Anode!B$15*GREET1_Import_Export!$B77+Anode!B$16*GREET1_Import_Export!$C77+Anode!B$17*GREET1_Import_Export!$G77+Anode!B$19*'GREET2_Factors_T&amp;D'!$F20+Anode!B$20*'GREET2_Factors_T&amp;D'!$G20)+GREET1_Import_Export!$B242)+Anode!B$44*(Anode!B$29*(Anode!B$21*GREET1_Import_Export!$AA77+Anode!B$22*GREET1_Import_Export!$AB77)+GREET1_Import_Export!$C295)+Anode!B$45*GREET1_Import_Export!$L368+B$46*GREET1_Import_Export!$B$41/1000000*(GREET1_Import_Export!$B206*GREET1_Import_Export!$I$179+GREET1_Import_Export!$I206)+B$47*Steel!$B134+B$48*LiMn2O4!$B116+B$49*GREET1_Import_Export!$M518</f>
        <v>27.548982669339395</v>
      </c>
      <c r="C74" s="258"/>
      <c r="D74" s="267"/>
      <c r="E74" s="273">
        <f ca="1">Anode!E$39*(Anode!E$29*Anode!C$8*GREET1_Import_Export!$K77+GREET1_Import_Export!$B206*GREET1_Import_Export!$F$179+GREET1_Import_Export!$F206)+Anode!E$40*(Anode!E$29*(Anode!C$10*GREET1_Import_Export!$Q77+Anode!C$11*GREET1_Import_Export!$O77+Anode!C$12*GREET1_Import_Export!$M77)+GREET1_Import_Export!$B206*GREET1_Import_Export!$G$179+GREET1_Import_Export!$G206)+Anode!E$41*(Anode!E$29*Anode!C$13*GREET1_Import_Export!$T77+GREET1_Import_Export!$B206*GREET1_Import_Export!$C$179+GREET1_Import_Export!$C206)+Anode!E$42*(Anode!E$29*Anode!C$14*GREET1_Import_Export!$W77+GREET1_Import_Export!$E242*GREET1_Import_Export!$F$215+GREET1_Import_Export!$F242)+Anode!E$43*(Anode!E$29*(Anode!C$15*GREET1_Import_Export!$B77+Anode!C$16*GREET1_Import_Export!$C77+Anode!C$17*GREET1_Import_Export!$G77+Anode!C$19*'GREET2_Factors_T&amp;D'!$F20+Anode!C$20*'GREET2_Factors_T&amp;D'!$G20)+GREET1_Import_Export!$B242)+Anode!E$44*(Anode!E$29*(Anode!C$21*GREET1_Import_Export!$AA77+Anode!C$22*GREET1_Import_Export!$AB77)+GREET1_Import_Export!$C295)+Anode!E$45*GREET1_Import_Export!$L368+E$46*GREET1_Import_Export!$B$41/1000000*(GREET1_Import_Export!$B206*GREET1_Import_Export!$I$179+GREET1_Import_Export!$I206)+E$47*Steel!$B134+E$48*LiMn2O4!$B116+E$49*GREET1_Import_Export!$M518</f>
        <v>994.1862772845484</v>
      </c>
      <c r="F74" s="258"/>
      <c r="G74" s="267"/>
      <c r="H74" s="273">
        <f ca="1">Anode!H$39*(Anode!H$29*Anode!D$8*GREET1_Import_Export!$K77+GREET1_Import_Export!$B206*GREET1_Import_Export!$F$179+GREET1_Import_Export!$F206)+Anode!H$40*(Anode!H$29*(Anode!D$10*GREET1_Import_Export!$Q77+Anode!D$11*GREET1_Import_Export!$O77+Anode!D$12*GREET1_Import_Export!$M77)+GREET1_Import_Export!$B206*GREET1_Import_Export!$G$179+GREET1_Import_Export!$G206)+Anode!H$41*(Anode!H$29*Anode!D$13*GREET1_Import_Export!$T77+GREET1_Import_Export!$B206*GREET1_Import_Export!$C$179+GREET1_Import_Export!$C206)+Anode!H$42*(Anode!H$29*Anode!D$14*GREET1_Import_Export!$W77+GREET1_Import_Export!$E242*GREET1_Import_Export!$F$215+GREET1_Import_Export!$F242)+Anode!H$43*(Anode!H$29*(Anode!D$15*GREET1_Import_Export!$B77+Anode!D$16*GREET1_Import_Export!$C77+Anode!D$17*GREET1_Import_Export!$G77+Anode!D$19*'GREET2_Factors_T&amp;D'!$F20+Anode!D$20*'GREET2_Factors_T&amp;D'!$G20)+GREET1_Import_Export!$B242)+Anode!H$44*(Anode!H$29*(Anode!D$21*GREET1_Import_Export!$AA77+Anode!D$22*GREET1_Import_Export!$AB77)+GREET1_Import_Export!$C295)+Anode!H$45*SUM(GREET1_Import_Export!$D320:$E320)+H$46*GREET1_Import_Export!$B$41/1000000*(GREET1_Import_Export!$B206*GREET1_Import_Export!$I$179+GREET1_Import_Export!$I206)+H$47*Steel!$B134+H$48*LiMn2O4!$B116+H$49*GREET1_Import_Export!$M518</f>
        <v>142.51280943454006</v>
      </c>
      <c r="I74" s="258"/>
      <c r="J74" s="267"/>
      <c r="K74" s="273">
        <f ca="1">Anode!K$39*(Anode!K$29*Anode!E$8*GREET1_Import_Export!$K77+GREET1_Import_Export!$B206*GREET1_Import_Export!$F$179+GREET1_Import_Export!$F206)+Anode!K$40*(Anode!K$29*(Anode!E$10*GREET1_Import_Export!$Q77+Anode!E$11*GREET1_Import_Export!$O77+Anode!E$12*GREET1_Import_Export!$M77)+GREET1_Import_Export!$B206*GREET1_Import_Export!$G$179+GREET1_Import_Export!$G206)+Anode!K$41*(Anode!K$29*Anode!E$13*GREET1_Import_Export!$T77+GREET1_Import_Export!$B206*GREET1_Import_Export!$C$179+GREET1_Import_Export!$C206)+Anode!K$42*(Anode!K$29*Anode!E$14*GREET1_Import_Export!$W77+GREET1_Import_Export!$E242*GREET1_Import_Export!$F$215+GREET1_Import_Export!$F242)+Anode!K$43*(Anode!K$29*(Anode!E$15*GREET1_Import_Export!$B77+Anode!E$16*GREET1_Import_Export!$C77+Anode!E$17*GREET1_Import_Export!$G77+Anode!E$19*'GREET2_Factors_T&amp;D'!$F20+Anode!E$20*'GREET2_Factors_T&amp;D'!$G20)+GREET1_Import_Export!$B242)+Anode!K$44*(Anode!K$29*(Anode!E$21*GREET1_Import_Export!$AA77+Anode!E$22*GREET1_Import_Export!$AB77)+GREET1_Import_Export!$C295)+Anode!K$45*SUM(GREET1_Import_Export!$D320:$E320)+K$46*GREET1_Import_Export!$B$41/1000000*(GREET1_Import_Export!$B206*GREET1_Import_Export!$I$179+GREET1_Import_Export!$I206)+K$47*Steel!$B134+K$48*LiMn2O4!$B116+K$49*GREET1_Import_Export!$M518</f>
        <v>307.03219986396863</v>
      </c>
      <c r="L74" s="258"/>
      <c r="M74" s="267"/>
      <c r="N74" s="273">
        <f ca="1">Anode!N$39*(Anode!N$29*Anode!F$8*GREET1_Import_Export!$K77+GREET1_Import_Export!$B206*GREET1_Import_Export!$F$179+GREET1_Import_Export!$F206)+Anode!N$40*(Anode!N$29*(Anode!F$10*GREET1_Import_Export!$Q77+Anode!F$11*GREET1_Import_Export!$O77+Anode!F$12*GREET1_Import_Export!$M77)+GREET1_Import_Export!$B206*GREET1_Import_Export!$G$179+GREET1_Import_Export!$G206)+Anode!N$41*(Anode!N$29*Anode!F$13*GREET1_Import_Export!$T77+GREET1_Import_Export!$B206*GREET1_Import_Export!$C$179+GREET1_Import_Export!$C206)+Anode!N$42*(Anode!N$29*Anode!F$14*GREET1_Import_Export!$W77+GREET1_Import_Export!$E242*GREET1_Import_Export!$F$215+GREET1_Import_Export!$F242)+Anode!N$43*(Anode!N$29*(Anode!F$15*GREET1_Import_Export!$B77+Anode!F$16*GREET1_Import_Export!$C77+Anode!F$17*GREET1_Import_Export!$G77+Anode!F$19*'GREET2_Factors_T&amp;D'!$F20+Anode!F$20*'GREET2_Factors_T&amp;D'!$G20)+GREET1_Import_Export!$B242)+Anode!N$44*(Anode!N$29*(Anode!F$21*GREET1_Import_Export!$AA77+Anode!F$22*GREET1_Import_Export!$AB77)+GREET1_Import_Export!$C295)+Anode!N$45*SUM(GREET1_Import_Export!$D320:$E320)+N$46*GREET1_Import_Export!$B$41/1000000*(GREET1_Import_Export!$B206*GREET1_Import_Export!$I$179+GREET1_Import_Export!$I206)+N$47*Steel!$B134+N$48*LiMn2O4!$B116+N$49*GREET1_Import_Export!$M518</f>
        <v>6.8599299449210562</v>
      </c>
      <c r="O74" s="258"/>
      <c r="P74" s="267"/>
    </row>
    <row r="75" spans="1:16">
      <c r="A75" s="59" t="s">
        <v>827</v>
      </c>
      <c r="B75" s="273">
        <f ca="1">Anode!B$39*(Anode!B$29*Anode!B$8*GREET1_Import_Export!$K78+GREET1_Import_Export!$B207*GREET1_Import_Export!$F$179+GREET1_Import_Export!$F207)+Anode!B$40*(Anode!B$29*(Anode!B$10*GREET1_Import_Export!$Q78+Anode!B$11*GREET1_Import_Export!$O78+Anode!B$12*GREET1_Import_Export!$M78)+GREET1_Import_Export!$B207*GREET1_Import_Export!$G$179+GREET1_Import_Export!$G207)+Anode!B$41*(Anode!B$29*Anode!B$13*GREET1_Import_Export!$T78+GREET1_Import_Export!$B207*GREET1_Import_Export!$C$179+GREET1_Import_Export!$C207)+Anode!B$42*(Anode!B$29*Anode!B$14*GREET1_Import_Export!$W78+GREET1_Import_Export!$E243*GREET1_Import_Export!$F$215+GREET1_Import_Export!$F243)+Anode!B$43*(Anode!B$29*(Anode!B$15*GREET1_Import_Export!$B78+Anode!B$16*GREET1_Import_Export!$C78+Anode!B$17*GREET1_Import_Export!$G78+Anode!B$19*'GREET2_Factors_T&amp;D'!$F21+Anode!B$20*'GREET2_Factors_T&amp;D'!$G21)+GREET1_Import_Export!$B243)+Anode!B$44*(Anode!B$29*(Anode!B$21*GREET1_Import_Export!$AA78+Anode!B$22*GREET1_Import_Export!$AB78)+GREET1_Import_Export!$C296)+Anode!B$45*GREET1_Import_Export!$L369+B$46*GREET1_Import_Export!$B$41/1000000*(GREET1_Import_Export!$B207*GREET1_Import_Export!$I$179+GREET1_Import_Export!$I207)+B$47*Steel!$B135+B$48*LiMn2O4!$B117+B$49*GREET1_Import_Export!$M519</f>
        <v>1.4026808641287256</v>
      </c>
      <c r="C75" s="258"/>
      <c r="D75" s="267"/>
      <c r="E75" s="273">
        <f ca="1">Anode!E$39*(Anode!E$29*Anode!C$8*GREET1_Import_Export!$K78+GREET1_Import_Export!$B207*GREET1_Import_Export!$F$179+GREET1_Import_Export!$F207)+Anode!E$40*(Anode!E$29*(Anode!C$10*GREET1_Import_Export!$Q78+Anode!C$11*GREET1_Import_Export!$O78+Anode!C$12*GREET1_Import_Export!$M78)+GREET1_Import_Export!$B207*GREET1_Import_Export!$G$179+GREET1_Import_Export!$G207)+Anode!E$41*(Anode!E$29*Anode!C$13*GREET1_Import_Export!$T78+GREET1_Import_Export!$B207*GREET1_Import_Export!$C$179+GREET1_Import_Export!$C207)+Anode!E$42*(Anode!E$29*Anode!C$14*GREET1_Import_Export!$W78+GREET1_Import_Export!$E243*GREET1_Import_Export!$F$215+GREET1_Import_Export!$F243)+Anode!E$43*(Anode!E$29*(Anode!C$15*GREET1_Import_Export!$B78+Anode!C$16*GREET1_Import_Export!$C78+Anode!C$17*GREET1_Import_Export!$G78+Anode!C$19*'GREET2_Factors_T&amp;D'!$F21+Anode!C$20*'GREET2_Factors_T&amp;D'!$G21)+GREET1_Import_Export!$B243)+Anode!E$44*(Anode!E$29*(Anode!C$21*GREET1_Import_Export!$AA78+Anode!C$22*GREET1_Import_Export!$AB78)+GREET1_Import_Export!$C296)+Anode!E$45*GREET1_Import_Export!$L369+E$46*GREET1_Import_Export!$B$41/1000000*(GREET1_Import_Export!$B207*GREET1_Import_Export!$I$179+GREET1_Import_Export!$I207)+E$47*Steel!$B135+E$48*LiMn2O4!$B117+E$49*GREET1_Import_Export!$M519</f>
        <v>3.2590883278414911</v>
      </c>
      <c r="F75" s="258"/>
      <c r="G75" s="267"/>
      <c r="H75" s="273">
        <f ca="1">Anode!H$39*(Anode!H$29*Anode!D$8*GREET1_Import_Export!$K78+GREET1_Import_Export!$B207*GREET1_Import_Export!$F$179+GREET1_Import_Export!$F207)+Anode!H$40*(Anode!H$29*(Anode!D$10*GREET1_Import_Export!$Q78+Anode!D$11*GREET1_Import_Export!$O78+Anode!D$12*GREET1_Import_Export!$M78)+GREET1_Import_Export!$B207*GREET1_Import_Export!$G$179+GREET1_Import_Export!$G207)+Anode!H$41*(Anode!H$29*Anode!D$13*GREET1_Import_Export!$T78+GREET1_Import_Export!$B207*GREET1_Import_Export!$C$179+GREET1_Import_Export!$C207)+Anode!H$42*(Anode!H$29*Anode!D$14*GREET1_Import_Export!$W78+GREET1_Import_Export!$E243*GREET1_Import_Export!$F$215+GREET1_Import_Export!$F243)+Anode!H$43*(Anode!H$29*(Anode!D$15*GREET1_Import_Export!$B78+Anode!D$16*GREET1_Import_Export!$C78+Anode!D$17*GREET1_Import_Export!$G78+Anode!D$19*'GREET2_Factors_T&amp;D'!$F21+Anode!D$20*'GREET2_Factors_T&amp;D'!$G21)+GREET1_Import_Export!$B243)+Anode!H$44*(Anode!H$29*(Anode!D$21*GREET1_Import_Export!$AA78+Anode!D$22*GREET1_Import_Export!$AB78)+GREET1_Import_Export!$C296)+Anode!H$45*SUM(GREET1_Import_Export!$D321:$E321)+H$46*GREET1_Import_Export!$B$41/1000000*(GREET1_Import_Export!$B207*GREET1_Import_Export!$I$179+GREET1_Import_Export!$I207)+H$47*Steel!$B135+H$48*LiMn2O4!$B117+H$49*GREET1_Import_Export!$M519</f>
        <v>1.0277304419232935</v>
      </c>
      <c r="I75" s="258"/>
      <c r="J75" s="267"/>
      <c r="K75" s="273">
        <f ca="1">Anode!K$39*(Anode!K$29*Anode!E$8*GREET1_Import_Export!$K78+GREET1_Import_Export!$B207*GREET1_Import_Export!$F$179+GREET1_Import_Export!$F207)+Anode!K$40*(Anode!K$29*(Anode!E$10*GREET1_Import_Export!$Q78+Anode!E$11*GREET1_Import_Export!$O78+Anode!E$12*GREET1_Import_Export!$M78)+GREET1_Import_Export!$B207*GREET1_Import_Export!$G$179+GREET1_Import_Export!$G207)+Anode!K$41*(Anode!K$29*Anode!E$13*GREET1_Import_Export!$T78+GREET1_Import_Export!$B207*GREET1_Import_Export!$C$179+GREET1_Import_Export!$C207)+Anode!K$42*(Anode!K$29*Anode!E$14*GREET1_Import_Export!$W78+GREET1_Import_Export!$E243*GREET1_Import_Export!$F$215+GREET1_Import_Export!$F243)+Anode!K$43*(Anode!K$29*(Anode!E$15*GREET1_Import_Export!$B78+Anode!E$16*GREET1_Import_Export!$C78+Anode!E$17*GREET1_Import_Export!$G78+Anode!E$19*'GREET2_Factors_T&amp;D'!$F21+Anode!E$20*'GREET2_Factors_T&amp;D'!$G21)+GREET1_Import_Export!$B243)+Anode!K$44*(Anode!K$29*(Anode!E$21*GREET1_Import_Export!$AA78+Anode!E$22*GREET1_Import_Export!$AB78)+GREET1_Import_Export!$C296)+Anode!K$45*SUM(GREET1_Import_Export!$D321:$E321)+K$46*GREET1_Import_Export!$B$41/1000000*(GREET1_Import_Export!$B207*GREET1_Import_Export!$I$179+GREET1_Import_Export!$I207)+K$47*Steel!$B135+K$48*LiMn2O4!$B117+K$49*GREET1_Import_Export!$M519</f>
        <v>1.8696341505836473</v>
      </c>
      <c r="L75" s="258"/>
      <c r="M75" s="267"/>
      <c r="N75" s="273">
        <f ca="1">Anode!N$39*(Anode!N$29*Anode!F$8*GREET1_Import_Export!$K78+GREET1_Import_Export!$B207*GREET1_Import_Export!$F$179+GREET1_Import_Export!$F207)+Anode!N$40*(Anode!N$29*(Anode!F$10*GREET1_Import_Export!$Q78+Anode!F$11*GREET1_Import_Export!$O78+Anode!F$12*GREET1_Import_Export!$M78)+GREET1_Import_Export!$B207*GREET1_Import_Export!$G$179+GREET1_Import_Export!$G207)+Anode!N$41*(Anode!N$29*Anode!F$13*GREET1_Import_Export!$T78+GREET1_Import_Export!$B207*GREET1_Import_Export!$C$179+GREET1_Import_Export!$C207)+Anode!N$42*(Anode!N$29*Anode!F$14*GREET1_Import_Export!$W78+GREET1_Import_Export!$E243*GREET1_Import_Export!$F$215+GREET1_Import_Export!$F243)+Anode!N$43*(Anode!N$29*(Anode!F$15*GREET1_Import_Export!$B78+Anode!F$16*GREET1_Import_Export!$C78+Anode!F$17*GREET1_Import_Export!$G78+Anode!F$19*'GREET2_Factors_T&amp;D'!$F21+Anode!F$20*'GREET2_Factors_T&amp;D'!$G21)+GREET1_Import_Export!$B243)+Anode!N$44*(Anode!N$29*(Anode!F$21*GREET1_Import_Export!$AA78+Anode!F$22*GREET1_Import_Export!$AB78)+GREET1_Import_Export!$C296)+Anode!N$45*SUM(GREET1_Import_Export!$D321:$E321)+N$46*GREET1_Import_Export!$B$41/1000000*(GREET1_Import_Export!$B207*GREET1_Import_Export!$I$179+GREET1_Import_Export!$I207)+N$47*Steel!$B135+N$48*LiMn2O4!$B117+N$49*GREET1_Import_Export!$M519</f>
        <v>0.10515187937649596</v>
      </c>
      <c r="O75" s="258"/>
      <c r="P75" s="267"/>
    </row>
    <row r="76" spans="1:16">
      <c r="A76" s="118" t="s">
        <v>828</v>
      </c>
      <c r="B76" s="286">
        <f ca="1">Anode!B$39*(Anode!B$29*Anode!B$8*GREET1_Import_Export!$K79+GREET1_Import_Export!$B208*GREET1_Import_Export!$F$179+GREET1_Import_Export!$F208)+Anode!B$40*(Anode!B$29*(Anode!B$10*GREET1_Import_Export!$Q79+Anode!B$11*GREET1_Import_Export!$O79+Anode!B$12*GREET1_Import_Export!$M79)+GREET1_Import_Export!$B208*GREET1_Import_Export!$G$179+GREET1_Import_Export!$G208)+Anode!B$41*(Anode!B$29*Anode!B$13*GREET1_Import_Export!$T79+GREET1_Import_Export!$B208*GREET1_Import_Export!$C$179+GREET1_Import_Export!$C208)+Anode!B$42*(Anode!B$29*Anode!B$14*GREET1_Import_Export!$W79+GREET1_Import_Export!$E244*GREET1_Import_Export!$F$215+GREET1_Import_Export!$F244)+Anode!B$43*(Anode!B$29*(Anode!B$15*GREET1_Import_Export!$B79+Anode!B$16*GREET1_Import_Export!$C79+Anode!B$17*GREET1_Import_Export!$G79+Anode!B$19*'GREET2_Factors_T&amp;D'!$F22+Anode!B$20*'GREET2_Factors_T&amp;D'!$G22)+GREET1_Import_Export!$B244)+Anode!B$44*(Anode!B$29*(Anode!B$21*GREET1_Import_Export!$AA79+Anode!B$22*GREET1_Import_Export!$AB79)+GREET1_Import_Export!$C297)+Anode!B$45*GREET1_Import_Export!$L370+B$46*GREET1_Import_Export!$B$41/1000000*(GREET1_Import_Export!$B208*GREET1_Import_Export!$I$179+GREET1_Import_Export!$I208)+B$47*Steel!$B136+B$48*LiMn2O4!$B118+B$49*GREET1_Import_Export!$M520</f>
        <v>1.9635834600888795</v>
      </c>
      <c r="C76" s="287"/>
      <c r="D76" s="268"/>
      <c r="E76" s="286">
        <f ca="1">Anode!E$39*(Anode!E$29*Anode!C$8*GREET1_Import_Export!$K79+GREET1_Import_Export!$B208*GREET1_Import_Export!$F$179+GREET1_Import_Export!$F208)+Anode!E$40*(Anode!E$29*(Anode!C$10*GREET1_Import_Export!$Q79+Anode!C$11*GREET1_Import_Export!$O79+Anode!C$12*GREET1_Import_Export!$M79)+GREET1_Import_Export!$B208*GREET1_Import_Export!$G$179+GREET1_Import_Export!$G208)+Anode!E$41*(Anode!E$29*Anode!C$13*GREET1_Import_Export!$T79+GREET1_Import_Export!$B208*GREET1_Import_Export!$C$179+GREET1_Import_Export!$C208)+Anode!E$42*(Anode!E$29*Anode!C$14*GREET1_Import_Export!$W79+GREET1_Import_Export!$E244*GREET1_Import_Export!$F$215+GREET1_Import_Export!$F244)+Anode!E$43*(Anode!E$29*(Anode!C$15*GREET1_Import_Export!$B79+Anode!C$16*GREET1_Import_Export!$C79+Anode!C$17*GREET1_Import_Export!$G79+Anode!C$19*'GREET2_Factors_T&amp;D'!$F22+Anode!C$20*'GREET2_Factors_T&amp;D'!$G22)+GREET1_Import_Export!$B244)+Anode!E$44*(Anode!E$29*(Anode!C$21*GREET1_Import_Export!$AA79+Anode!C$22*GREET1_Import_Export!$AB79)+GREET1_Import_Export!$C297)+Anode!E$45*GREET1_Import_Export!$L370+E$46*GREET1_Import_Export!$B$41/1000000*(GREET1_Import_Export!$B208*GREET1_Import_Export!$I$179+GREET1_Import_Export!$I208)+E$47*Steel!$B136+E$48*LiMn2O4!$B118+E$49*GREET1_Import_Export!$M520</f>
        <v>6.5901779275064891</v>
      </c>
      <c r="F76" s="287"/>
      <c r="G76" s="268"/>
      <c r="H76" s="286">
        <f ca="1">Anode!H$39*(Anode!H$29*Anode!D$8*GREET1_Import_Export!$K79+GREET1_Import_Export!$B208*GREET1_Import_Export!$F$179+GREET1_Import_Export!$F208)+Anode!H$40*(Anode!H$29*(Anode!D$10*GREET1_Import_Export!$Q79+Anode!D$11*GREET1_Import_Export!$O79+Anode!D$12*GREET1_Import_Export!$M79)+GREET1_Import_Export!$B208*GREET1_Import_Export!$G$179+GREET1_Import_Export!$G208)+Anode!H$41*(Anode!H$29*Anode!D$13*GREET1_Import_Export!$T79+GREET1_Import_Export!$B208*GREET1_Import_Export!$C$179+GREET1_Import_Export!$C208)+Anode!H$42*(Anode!H$29*Anode!D$14*GREET1_Import_Export!$W79+GREET1_Import_Export!$E244*GREET1_Import_Export!$F$215+GREET1_Import_Export!$F244)+Anode!H$43*(Anode!H$29*(Anode!D$15*GREET1_Import_Export!$B79+Anode!D$16*GREET1_Import_Export!$C79+Anode!D$17*GREET1_Import_Export!$G79+Anode!D$19*'GREET2_Factors_T&amp;D'!$F22+Anode!D$20*'GREET2_Factors_T&amp;D'!$G22)+GREET1_Import_Export!$B244)+Anode!H$44*(Anode!H$29*(Anode!D$21*GREET1_Import_Export!$AA79+Anode!D$22*GREET1_Import_Export!$AB79)+GREET1_Import_Export!$C297)+Anode!H$45*SUM(GREET1_Import_Export!$D322:$E322)+H$46*GREET1_Import_Export!$B$41/1000000*(GREET1_Import_Export!$B208*GREET1_Import_Export!$I$179+GREET1_Import_Export!$I208)+H$47*Steel!$B136+H$48*LiMn2O4!$B118+H$49*GREET1_Import_Export!$M520</f>
        <v>2.5834359010332859</v>
      </c>
      <c r="I76" s="287"/>
      <c r="J76" s="268"/>
      <c r="K76" s="286">
        <f ca="1">Anode!K$39*(Anode!K$29*Anode!E$8*GREET1_Import_Export!$K79+GREET1_Import_Export!$B208*GREET1_Import_Export!$F$179+GREET1_Import_Export!$F208)+Anode!K$40*(Anode!K$29*(Anode!E$10*GREET1_Import_Export!$Q79+Anode!E$11*GREET1_Import_Export!$O79+Anode!E$12*GREET1_Import_Export!$M79)+GREET1_Import_Export!$B208*GREET1_Import_Export!$G$179+GREET1_Import_Export!$G208)+Anode!K$41*(Anode!K$29*Anode!E$13*GREET1_Import_Export!$T79+GREET1_Import_Export!$B208*GREET1_Import_Export!$C$179+GREET1_Import_Export!$C208)+Anode!K$42*(Anode!K$29*Anode!E$14*GREET1_Import_Export!$W79+GREET1_Import_Export!$E244*GREET1_Import_Export!$F$215+GREET1_Import_Export!$F244)+Anode!K$43*(Anode!K$29*(Anode!E$15*GREET1_Import_Export!$B79+Anode!E$16*GREET1_Import_Export!$C79+Anode!E$17*GREET1_Import_Export!$G79+Anode!E$19*'GREET2_Factors_T&amp;D'!$F22+Anode!E$20*'GREET2_Factors_T&amp;D'!$G22)+GREET1_Import_Export!$B244)+Anode!K$44*(Anode!K$29*(Anode!E$21*GREET1_Import_Export!$AA79+Anode!E$22*GREET1_Import_Export!$AB79)+GREET1_Import_Export!$C297)+Anode!K$45*SUM(GREET1_Import_Export!$D322:$E322)+K$46*GREET1_Import_Export!$B$41/1000000*(GREET1_Import_Export!$B208*GREET1_Import_Export!$I$179+GREET1_Import_Export!$I208)+K$47*Steel!$B136+K$48*LiMn2O4!$B118+K$49*GREET1_Import_Export!$M520</f>
        <v>10.375755982249368</v>
      </c>
      <c r="L76" s="287"/>
      <c r="M76" s="268"/>
      <c r="N76" s="286">
        <f ca="1">Anode!N$39*(Anode!N$29*Anode!F$8*GREET1_Import_Export!$K79+GREET1_Import_Export!$B208*GREET1_Import_Export!$F$179+GREET1_Import_Export!$F208)+Anode!N$40*(Anode!N$29*(Anode!F$10*GREET1_Import_Export!$Q79+Anode!F$11*GREET1_Import_Export!$O79+Anode!F$12*GREET1_Import_Export!$M79)+GREET1_Import_Export!$B208*GREET1_Import_Export!$G$179+GREET1_Import_Export!$G208)+Anode!N$41*(Anode!N$29*Anode!F$13*GREET1_Import_Export!$T79+GREET1_Import_Export!$B208*GREET1_Import_Export!$C$179+GREET1_Import_Export!$C208)+Anode!N$42*(Anode!N$29*Anode!F$14*GREET1_Import_Export!$W79+GREET1_Import_Export!$E244*GREET1_Import_Export!$F$215+GREET1_Import_Export!$F244)+Anode!N$43*(Anode!N$29*(Anode!F$15*GREET1_Import_Export!$B79+Anode!F$16*GREET1_Import_Export!$C79+Anode!F$17*GREET1_Import_Export!$G79+Anode!F$19*'GREET2_Factors_T&amp;D'!$F22+Anode!F$20*'GREET2_Factors_T&amp;D'!$G22)+GREET1_Import_Export!$B244)+Anode!N$44*(Anode!N$29*(Anode!F$21*GREET1_Import_Export!$AA79+Anode!F$22*GREET1_Import_Export!$AB79)+GREET1_Import_Export!$C297)+Anode!N$45*SUM(GREET1_Import_Export!$D322:$E322)+N$46*GREET1_Import_Export!$B$41/1000000*(GREET1_Import_Export!$B208*GREET1_Import_Export!$I$179+GREET1_Import_Export!$I208)+N$47*Steel!$B136+N$48*LiMn2O4!$B118+N$49*GREET1_Import_Export!$M520</f>
        <v>0.21624025698240398</v>
      </c>
      <c r="O76" s="287"/>
      <c r="P76" s="268"/>
    </row>
    <row r="77" spans="1:16">
      <c r="A77" s="1321"/>
      <c r="B77" s="7"/>
      <c r="C77" s="7"/>
      <c r="D77" s="7"/>
      <c r="E77" s="1321"/>
      <c r="F77" s="1321"/>
      <c r="G77" s="1321"/>
      <c r="H77" s="1321"/>
      <c r="I77" s="1321"/>
      <c r="J77" s="1321"/>
      <c r="K77" s="1321"/>
      <c r="L77" s="1321"/>
      <c r="M77" s="1321"/>
      <c r="N77" s="1321"/>
      <c r="O77" s="1321"/>
      <c r="P77" s="1321"/>
    </row>
    <row r="78" spans="1:16">
      <c r="A78" s="172" t="s">
        <v>1560</v>
      </c>
      <c r="B78" s="7"/>
      <c r="C78" s="7"/>
      <c r="D78" s="7"/>
      <c r="E78" s="1321"/>
      <c r="F78" s="1321"/>
      <c r="G78" s="1321"/>
      <c r="H78" s="1321"/>
      <c r="I78" s="1321"/>
      <c r="J78" s="1321"/>
      <c r="K78" s="1321"/>
      <c r="L78" s="1321"/>
      <c r="M78" s="1321"/>
      <c r="N78" s="1321"/>
      <c r="O78" s="1321"/>
      <c r="P78" s="1321"/>
    </row>
    <row r="79" spans="1:16">
      <c r="A79" s="510"/>
      <c r="B79" s="3101" t="s">
        <v>1568</v>
      </c>
      <c r="C79" s="3074"/>
      <c r="D79" s="3101" t="s">
        <v>1569</v>
      </c>
      <c r="E79" s="3102"/>
      <c r="F79" s="1321"/>
      <c r="G79" s="1321"/>
      <c r="H79" s="1321"/>
      <c r="I79" s="1321"/>
      <c r="J79" s="1321"/>
      <c r="K79" s="1321"/>
      <c r="L79" s="1321"/>
      <c r="M79" s="1321"/>
      <c r="N79" s="1321"/>
      <c r="O79" s="1321"/>
      <c r="P79" s="1321"/>
    </row>
    <row r="80" spans="1:16">
      <c r="A80" s="699" t="s">
        <v>1029</v>
      </c>
      <c r="B80" s="679" t="s">
        <v>845</v>
      </c>
      <c r="C80" s="615" t="s">
        <v>846</v>
      </c>
      <c r="D80" s="679" t="s">
        <v>845</v>
      </c>
      <c r="E80" s="673" t="s">
        <v>846</v>
      </c>
      <c r="F80" s="1321"/>
      <c r="G80" s="1321"/>
      <c r="H80" s="1321"/>
      <c r="I80" s="1321"/>
      <c r="J80" s="1321"/>
      <c r="K80" s="1321"/>
      <c r="L80" s="1321"/>
      <c r="M80" s="1321"/>
      <c r="N80" s="1321"/>
      <c r="O80" s="1321"/>
      <c r="P80" s="1321"/>
    </row>
    <row r="81" spans="1:5">
      <c r="A81" s="347" t="s">
        <v>816</v>
      </c>
      <c r="B81" s="494">
        <f t="shared" ref="B81:B86" ca="1" si="5">SUM(B50:G50)</f>
        <v>77.387723011245058</v>
      </c>
      <c r="C81" s="349">
        <f t="shared" ref="C81:C86" ca="1" si="6">B81/2000</f>
        <v>3.8693861505622526E-2</v>
      </c>
      <c r="D81" s="494">
        <f t="shared" ref="D81:D86" ca="1" si="7">SUM(H50:P50)</f>
        <v>117.67132313139496</v>
      </c>
      <c r="E81" s="348">
        <f t="shared" ref="E81:E86" ca="1" si="8">D81/2000</f>
        <v>5.8835661565697479E-2</v>
      </c>
    </row>
    <row r="82" spans="1:5">
      <c r="A82" s="347" t="s">
        <v>817</v>
      </c>
      <c r="B82" s="494">
        <f t="shared" ca="1" si="5"/>
        <v>72.734333384403783</v>
      </c>
      <c r="C82" s="349">
        <f t="shared" ca="1" si="6"/>
        <v>3.6367166692201892E-2</v>
      </c>
      <c r="D82" s="494">
        <f t="shared" ca="1" si="7"/>
        <v>107.96355277979791</v>
      </c>
      <c r="E82" s="348">
        <f t="shared" ca="1" si="8"/>
        <v>5.3981776389898956E-2</v>
      </c>
    </row>
    <row r="83" spans="1:5">
      <c r="A83" s="347" t="s">
        <v>805</v>
      </c>
      <c r="B83" s="494">
        <f t="shared" ca="1" si="5"/>
        <v>36.076753424582677</v>
      </c>
      <c r="C83" s="349">
        <f t="shared" ca="1" si="6"/>
        <v>1.8038376712291339E-2</v>
      </c>
      <c r="D83" s="494">
        <f t="shared" ca="1" si="7"/>
        <v>22.130263137104393</v>
      </c>
      <c r="E83" s="348">
        <f t="shared" ca="1" si="8"/>
        <v>1.1065131568552197E-2</v>
      </c>
    </row>
    <row r="84" spans="1:5">
      <c r="A84" s="347" t="s">
        <v>804</v>
      </c>
      <c r="B84" s="494">
        <f t="shared" ca="1" si="5"/>
        <v>9.0424406379106266</v>
      </c>
      <c r="C84" s="349">
        <f t="shared" ca="1" si="6"/>
        <v>4.521220318955313E-3</v>
      </c>
      <c r="D84" s="494">
        <f t="shared" ca="1" si="7"/>
        <v>76.450986454844909</v>
      </c>
      <c r="E84" s="348">
        <f t="shared" ca="1" si="8"/>
        <v>3.8225493227422455E-2</v>
      </c>
    </row>
    <row r="85" spans="1:5">
      <c r="A85" s="347" t="s">
        <v>818</v>
      </c>
      <c r="B85" s="494">
        <f t="shared" ca="1" si="5"/>
        <v>27.615139321910476</v>
      </c>
      <c r="C85" s="349">
        <f t="shared" ca="1" si="6"/>
        <v>1.3807569660955239E-2</v>
      </c>
      <c r="D85" s="494">
        <f t="shared" ca="1" si="7"/>
        <v>9.382303187848601</v>
      </c>
      <c r="E85" s="348">
        <f t="shared" ca="1" si="8"/>
        <v>4.6911515939243005E-3</v>
      </c>
    </row>
    <row r="86" spans="1:5">
      <c r="A86" s="1570" t="s">
        <v>819</v>
      </c>
      <c r="B86" s="1504">
        <f t="shared" ca="1" si="5"/>
        <v>3545.8288301402577</v>
      </c>
      <c r="C86" s="1571">
        <f t="shared" ca="1" si="6"/>
        <v>1.7729144150701288</v>
      </c>
      <c r="D86" s="1504">
        <f t="shared" ca="1" si="7"/>
        <v>5477.9589390619549</v>
      </c>
      <c r="E86" s="1573">
        <f t="shared" ca="1" si="8"/>
        <v>2.7389794695309773</v>
      </c>
    </row>
    <row r="87" spans="1:5">
      <c r="A87" s="699" t="s">
        <v>1030</v>
      </c>
      <c r="B87" s="679"/>
      <c r="C87" s="615"/>
      <c r="D87" s="679"/>
      <c r="E87" s="673"/>
    </row>
    <row r="88" spans="1:5">
      <c r="A88" s="347" t="s">
        <v>821</v>
      </c>
      <c r="B88" s="494">
        <f t="shared" ref="B88:B98" ca="1" si="9">SUM(B57:G57)</f>
        <v>1025.4010351507518</v>
      </c>
      <c r="C88" s="349">
        <f t="shared" ref="C88:C98" ca="1" si="10">B88/2000</f>
        <v>0.51270051757537594</v>
      </c>
      <c r="D88" s="494">
        <f t="shared" ref="D88:D98" ca="1" si="11">SUM(H57:P57)</f>
        <v>1645.9298015213822</v>
      </c>
      <c r="E88" s="348">
        <f t="shared" ref="E88:E98" ca="1" si="12">D88/2000</f>
        <v>0.82296490076069106</v>
      </c>
    </row>
    <row r="89" spans="1:5">
      <c r="A89" s="347" t="s">
        <v>822</v>
      </c>
      <c r="B89" s="494">
        <f t="shared" ca="1" si="9"/>
        <v>1238.6200548703032</v>
      </c>
      <c r="C89" s="349">
        <f t="shared" ca="1" si="10"/>
        <v>0.61931002743515162</v>
      </c>
      <c r="D89" s="494">
        <f t="shared" ca="1" si="11"/>
        <v>6441.9027951581629</v>
      </c>
      <c r="E89" s="348">
        <f t="shared" ca="1" si="12"/>
        <v>3.2209513975790816</v>
      </c>
    </row>
    <row r="90" spans="1:5">
      <c r="A90" s="347" t="s">
        <v>849</v>
      </c>
      <c r="B90" s="494">
        <f t="shared" ca="1" si="9"/>
        <v>12388.909524732282</v>
      </c>
      <c r="C90" s="349">
        <f t="shared" ca="1" si="10"/>
        <v>6.1944547623661412</v>
      </c>
      <c r="D90" s="494">
        <f t="shared" ca="1" si="11"/>
        <v>12178.158453752811</v>
      </c>
      <c r="E90" s="348">
        <f t="shared" ca="1" si="12"/>
        <v>6.0890792268764056</v>
      </c>
    </row>
    <row r="91" spans="1:5">
      <c r="A91" s="347" t="s">
        <v>824</v>
      </c>
      <c r="B91" s="494">
        <f t="shared" ca="1" si="9"/>
        <v>4914.8016442303751</v>
      </c>
      <c r="C91" s="349">
        <f t="shared" ca="1" si="10"/>
        <v>2.4574008221151877</v>
      </c>
      <c r="D91" s="494">
        <f t="shared" ca="1" si="11"/>
        <v>2258.7950809862436</v>
      </c>
      <c r="E91" s="348">
        <f t="shared" ca="1" si="12"/>
        <v>1.1293975404931218</v>
      </c>
    </row>
    <row r="92" spans="1:5">
      <c r="A92" s="347" t="s">
        <v>825</v>
      </c>
      <c r="B92" s="494">
        <f t="shared" ca="1" si="9"/>
        <v>2450.8306257840068</v>
      </c>
      <c r="C92" s="349">
        <f t="shared" ca="1" si="10"/>
        <v>1.2254153128920033</v>
      </c>
      <c r="D92" s="494">
        <f t="shared" ca="1" si="11"/>
        <v>1650.8677362174037</v>
      </c>
      <c r="E92" s="348">
        <f t="shared" ca="1" si="12"/>
        <v>0.8254338681087019</v>
      </c>
    </row>
    <row r="93" spans="1:5">
      <c r="A93" s="347" t="s">
        <v>826</v>
      </c>
      <c r="B93" s="494">
        <f t="shared" ca="1" si="9"/>
        <v>67776.625713044021</v>
      </c>
      <c r="C93" s="349">
        <f t="shared" ca="1" si="10"/>
        <v>33.888312856522013</v>
      </c>
      <c r="D93" s="494">
        <f t="shared" ca="1" si="11"/>
        <v>5941.6694235157374</v>
      </c>
      <c r="E93" s="348">
        <f t="shared" ca="1" si="12"/>
        <v>2.9708347117578686</v>
      </c>
    </row>
    <row r="94" spans="1:5">
      <c r="A94" s="749" t="s">
        <v>827</v>
      </c>
      <c r="B94" s="494">
        <f t="shared" ca="1" si="9"/>
        <v>18.171181887172942</v>
      </c>
      <c r="C94" s="349">
        <f t="shared" ca="1" si="10"/>
        <v>9.0855909435864704E-3</v>
      </c>
      <c r="D94" s="494">
        <f t="shared" ca="1" si="11"/>
        <v>176.40857288200147</v>
      </c>
      <c r="E94" s="348">
        <f t="shared" ca="1" si="12"/>
        <v>8.8204286441000729E-2</v>
      </c>
    </row>
    <row r="95" spans="1:5">
      <c r="A95" s="749" t="s">
        <v>828</v>
      </c>
      <c r="B95" s="494">
        <f t="shared" ca="1" si="9"/>
        <v>36.991477954907324</v>
      </c>
      <c r="C95" s="349">
        <f t="shared" ca="1" si="10"/>
        <v>1.8495738977453661E-2</v>
      </c>
      <c r="D95" s="494">
        <f t="shared" ca="1" si="11"/>
        <v>399.07333467107475</v>
      </c>
      <c r="E95" s="348">
        <f t="shared" ca="1" si="12"/>
        <v>0.19953666733553738</v>
      </c>
    </row>
    <row r="96" spans="1:5">
      <c r="A96" s="347" t="s">
        <v>829</v>
      </c>
      <c r="B96" s="494">
        <f t="shared" ca="1" si="9"/>
        <v>9619.8216112763112</v>
      </c>
      <c r="C96" s="349">
        <f t="shared" ca="1" si="10"/>
        <v>4.8099108056381557</v>
      </c>
      <c r="D96" s="494">
        <f t="shared" ca="1" si="11"/>
        <v>19091.550657991735</v>
      </c>
      <c r="E96" s="348">
        <f t="shared" ca="1" si="12"/>
        <v>9.5457753289958678</v>
      </c>
    </row>
    <row r="97" spans="1:5">
      <c r="A97" s="347" t="s">
        <v>830</v>
      </c>
      <c r="B97" s="494">
        <f t="shared" ca="1" si="9"/>
        <v>91.450794466211192</v>
      </c>
      <c r="C97" s="349">
        <f t="shared" ca="1" si="10"/>
        <v>4.5725397233105598E-2</v>
      </c>
      <c r="D97" s="494">
        <f t="shared" ca="1" si="11"/>
        <v>164.9878238999334</v>
      </c>
      <c r="E97" s="348">
        <f t="shared" ca="1" si="12"/>
        <v>8.2493911949966706E-2</v>
      </c>
    </row>
    <row r="98" spans="1:5">
      <c r="A98" s="517" t="s">
        <v>831</v>
      </c>
      <c r="B98" s="630">
        <f t="shared" ca="1" si="9"/>
        <v>4180566.6486614849</v>
      </c>
      <c r="C98" s="419">
        <f t="shared" ca="1" si="10"/>
        <v>2090.2833243307423</v>
      </c>
      <c r="D98" s="630">
        <f t="shared" ca="1" si="11"/>
        <v>7816351.9488264378</v>
      </c>
      <c r="E98" s="516">
        <f t="shared" ca="1" si="12"/>
        <v>3908.1759744132187</v>
      </c>
    </row>
    <row r="99" spans="1:5">
      <c r="A99" s="517" t="s">
        <v>850</v>
      </c>
      <c r="B99" s="630">
        <f ca="1">B98+B88*GREET1_Import_Export!$B$62/GREET1_Import_Export!$B$65+B89*GREET1_Import_Export!$B$63/GREET1_Import_Export!$B$65</f>
        <v>4185708.8848310723</v>
      </c>
      <c r="C99" s="419">
        <f ca="1">C98+C88*GREET1_Import_Export!$B$62/GREET1_Import_Export!$B$65+C89*GREET1_Import_Export!$B$63/GREET1_Import_Export!$B$65</f>
        <v>2092.8544424155361</v>
      </c>
      <c r="D99" s="630">
        <f ca="1">D98+D88*GREET1_Import_Export!$B$62/GREET1_Import_Export!$B$65+D89*GREET1_Import_Export!$B$63/GREET1_Import_Export!$B$65</f>
        <v>7831604.7534811897</v>
      </c>
      <c r="E99" s="516">
        <f ca="1">E98+E88*GREET1_Import_Export!$B$62/GREET1_Import_Export!$B$65+E89*GREET1_Import_Export!$B$63/GREET1_Import_Export!$B$65</f>
        <v>3915.8023767405948</v>
      </c>
    </row>
    <row r="100" spans="1:5">
      <c r="A100" s="668" t="s">
        <v>851</v>
      </c>
      <c r="B100" s="756">
        <f ca="1">B99+SUMPRODUCT(B96:B97,GREET1_Import_Export!$B$51:$B$52)+SUMPRODUCT(B88:B90,GREET1_Import_Export!$B$55:$B$57)+SUMPRODUCT(B94:B95,GREET1_Import_Export!$B$58:$B$59)</f>
        <v>4498537.993702908</v>
      </c>
      <c r="C100" s="374">
        <f ca="1">C99+SUMPRODUCT(C96:C97,GREET1_Import_Export!$B$51:$B$52)+SUMPRODUCT(C88:C90,GREET1_Import_Export!$B$55:$B$57)+SUMPRODUCT(C94:C95,GREET1_Import_Export!$B$58:$B$59)</f>
        <v>2249.2689968514537</v>
      </c>
      <c r="D100" s="756">
        <f ca="1">D99+SUMPRODUCT(D96:D97,GREET1_Import_Export!$B$51:$B$52)+SUMPRODUCT(D88:D90,GREET1_Import_Export!$B$55:$B$57)+SUMPRODUCT(D94:D95,GREET1_Import_Export!$B$58:$B$59)</f>
        <v>8448073.0465544239</v>
      </c>
      <c r="E100" s="752">
        <f ca="1">E99+SUMPRODUCT(E96:E97,GREET1_Import_Export!$B$51:$B$52)+SUMPRODUCT(E88:E90,GREET1_Import_Export!$B$55:$B$57)+SUMPRODUCT(E94:E95,GREET1_Import_Export!$B$58:$B$59)</f>
        <v>4224.0365232772119</v>
      </c>
    </row>
    <row r="101" spans="1:5">
      <c r="A101" s="758" t="s">
        <v>1031</v>
      </c>
      <c r="B101" s="762"/>
      <c r="C101" s="618"/>
      <c r="D101" s="762"/>
      <c r="E101" s="710"/>
    </row>
    <row r="102" spans="1:5">
      <c r="A102" s="347" t="s">
        <v>821</v>
      </c>
      <c r="B102" s="494">
        <f ca="1">SUM(B69:G69)</f>
        <v>76.895898919495707</v>
      </c>
      <c r="C102" s="349">
        <f t="shared" ref="C102:C109" ca="1" si="13">B102/2000</f>
        <v>3.8447949459747853E-2</v>
      </c>
      <c r="D102" s="494">
        <f t="shared" ref="D102:D109" ca="1" si="14">SUM(H69:P69)</f>
        <v>67.940556073874063</v>
      </c>
      <c r="E102" s="348">
        <f t="shared" ref="E102:E109" ca="1" si="15">D102/2000</f>
        <v>3.3970278036937029E-2</v>
      </c>
    </row>
    <row r="103" spans="1:5">
      <c r="A103" s="347" t="s">
        <v>822</v>
      </c>
      <c r="B103" s="494">
        <f t="shared" ref="B103:B109" ca="1" si="16">SUM(B70:G70)</f>
        <v>222.10330712641553</v>
      </c>
      <c r="C103" s="349">
        <f t="shared" ca="1" si="13"/>
        <v>0.11105165356320776</v>
      </c>
      <c r="D103" s="494">
        <f t="shared" ca="1" si="14"/>
        <v>288.04443795370037</v>
      </c>
      <c r="E103" s="348">
        <f t="shared" ca="1" si="15"/>
        <v>0.14402221897685019</v>
      </c>
    </row>
    <row r="104" spans="1:5">
      <c r="A104" s="347" t="s">
        <v>823</v>
      </c>
      <c r="B104" s="494">
        <f t="shared" ca="1" si="16"/>
        <v>787.62140562018124</v>
      </c>
      <c r="C104" s="349">
        <f t="shared" ca="1" si="13"/>
        <v>0.39381070281009062</v>
      </c>
      <c r="D104" s="494">
        <f t="shared" ca="1" si="14"/>
        <v>612.54432509992091</v>
      </c>
      <c r="E104" s="348">
        <f t="shared" ca="1" si="15"/>
        <v>0.30627216254996048</v>
      </c>
    </row>
    <row r="105" spans="1:5">
      <c r="A105" s="749" t="s">
        <v>824</v>
      </c>
      <c r="B105" s="494">
        <f t="shared" ca="1" si="16"/>
        <v>103.68605175775772</v>
      </c>
      <c r="C105" s="349">
        <f t="shared" ca="1" si="13"/>
        <v>5.1843025878878859E-2</v>
      </c>
      <c r="D105" s="494">
        <f t="shared" ca="1" si="14"/>
        <v>59.612094185508099</v>
      </c>
      <c r="E105" s="348">
        <f t="shared" ca="1" si="15"/>
        <v>2.980604709275405E-2</v>
      </c>
    </row>
    <row r="106" spans="1:5">
      <c r="A106" s="347" t="s">
        <v>825</v>
      </c>
      <c r="B106" s="494">
        <f t="shared" ca="1" si="16"/>
        <v>86.006386136155157</v>
      </c>
      <c r="C106" s="349">
        <f t="shared" ca="1" si="13"/>
        <v>4.300319306807758E-2</v>
      </c>
      <c r="D106" s="494">
        <f t="shared" ca="1" si="14"/>
        <v>51.998288648545014</v>
      </c>
      <c r="E106" s="348">
        <f t="shared" ca="1" si="15"/>
        <v>2.5999144324272506E-2</v>
      </c>
    </row>
    <row r="107" spans="1:5">
      <c r="A107" s="749" t="s">
        <v>826</v>
      </c>
      <c r="B107" s="494">
        <f t="shared" ca="1" si="16"/>
        <v>1021.7352599538877</v>
      </c>
      <c r="C107" s="349">
        <f t="shared" ca="1" si="13"/>
        <v>0.5108676299769439</v>
      </c>
      <c r="D107" s="494">
        <f t="shared" ca="1" si="14"/>
        <v>456.40493924342979</v>
      </c>
      <c r="E107" s="348">
        <f t="shared" ca="1" si="15"/>
        <v>0.22820246962171489</v>
      </c>
    </row>
    <row r="108" spans="1:5">
      <c r="A108" s="347" t="s">
        <v>827</v>
      </c>
      <c r="B108" s="494">
        <f t="shared" ca="1" si="16"/>
        <v>4.6617691919702171</v>
      </c>
      <c r="C108" s="349">
        <f t="shared" ca="1" si="13"/>
        <v>2.3308845959851086E-3</v>
      </c>
      <c r="D108" s="494">
        <f t="shared" ca="1" si="14"/>
        <v>3.0025164718834367</v>
      </c>
      <c r="E108" s="348">
        <f t="shared" ca="1" si="15"/>
        <v>1.5012582359417183E-3</v>
      </c>
    </row>
    <row r="109" spans="1:5">
      <c r="A109" s="501" t="s">
        <v>828</v>
      </c>
      <c r="B109" s="504">
        <f t="shared" ca="1" si="16"/>
        <v>8.5537613875953689</v>
      </c>
      <c r="C109" s="505">
        <f t="shared" ca="1" si="13"/>
        <v>4.2768806937976845E-3</v>
      </c>
      <c r="D109" s="504">
        <f t="shared" ca="1" si="14"/>
        <v>13.175432140265057</v>
      </c>
      <c r="E109" s="502">
        <f t="shared" ca="1" si="15"/>
        <v>6.5877160701325287E-3</v>
      </c>
    </row>
  </sheetData>
  <mergeCells count="4">
    <mergeCell ref="H25:P25"/>
    <mergeCell ref="B25:G25"/>
    <mergeCell ref="B79:C79"/>
    <mergeCell ref="D79:E79"/>
  </mergeCells>
  <pageMargins left="0.7" right="0.7" top="0.75" bottom="0.75" header="0.3" footer="0.3"/>
  <pageSetup orientation="portrait" verticalDpi="0"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4"/>
  <dimension ref="A1:AS250"/>
  <sheetViews>
    <sheetView showGridLines="0" zoomScale="85" zoomScaleNormal="85" workbookViewId="0">
      <selection activeCell="E9" sqref="E9"/>
    </sheetView>
  </sheetViews>
  <sheetFormatPr defaultColWidth="8.85546875" defaultRowHeight="12.75"/>
  <cols>
    <col min="1" max="1" width="29.140625" customWidth="1"/>
    <col min="2" max="14" width="16.140625" customWidth="1"/>
    <col min="15" max="15" width="12.7109375" bestFit="1" customWidth="1"/>
    <col min="16" max="16" width="11.85546875" bestFit="1" customWidth="1"/>
    <col min="17" max="17" width="13.42578125" customWidth="1"/>
    <col min="18" max="18" width="12.42578125" customWidth="1"/>
    <col min="19" max="19" width="10.42578125" bestFit="1" customWidth="1"/>
    <col min="20" max="20" width="10.7109375" customWidth="1"/>
    <col min="21" max="21" width="10.28515625" bestFit="1" customWidth="1"/>
    <col min="22" max="22" width="10.28515625" customWidth="1"/>
    <col min="25" max="25" width="10.28515625" bestFit="1" customWidth="1"/>
    <col min="26" max="26" width="12" customWidth="1"/>
    <col min="27" max="27" width="10.28515625" bestFit="1" customWidth="1"/>
    <col min="28" max="28" width="9.28515625" bestFit="1" customWidth="1"/>
    <col min="29" max="29" width="10.28515625" bestFit="1" customWidth="1"/>
    <col min="31" max="31" width="9.85546875" customWidth="1"/>
    <col min="37" max="37" width="10" customWidth="1"/>
    <col min="40" max="42" width="9.28515625" bestFit="1" customWidth="1"/>
    <col min="43" max="43" width="10.28515625" customWidth="1"/>
  </cols>
  <sheetData>
    <row r="1" spans="1:7" ht="15.75">
      <c r="A1" s="81" t="s">
        <v>1574</v>
      </c>
      <c r="B1" s="1321"/>
      <c r="C1" s="1321"/>
      <c r="D1" s="1321"/>
      <c r="E1" s="1321"/>
      <c r="F1" s="1321"/>
      <c r="G1" s="1321"/>
    </row>
    <row r="3" spans="1:7" ht="15">
      <c r="A3" s="120" t="s">
        <v>872</v>
      </c>
      <c r="B3" s="1321"/>
      <c r="C3" s="1321"/>
      <c r="D3" s="1321"/>
      <c r="E3" s="1321"/>
      <c r="F3" s="1321"/>
      <c r="G3" s="1321"/>
    </row>
    <row r="4" spans="1:7" ht="14.25">
      <c r="A4" s="172" t="s">
        <v>1575</v>
      </c>
      <c r="B4" s="1321"/>
      <c r="C4" s="1321"/>
      <c r="D4" s="1321"/>
      <c r="E4" s="1321"/>
      <c r="F4" s="1321"/>
      <c r="G4" s="1321"/>
    </row>
    <row r="5" spans="1:7" ht="15.75">
      <c r="A5" s="58"/>
      <c r="B5" s="3128" t="s">
        <v>1576</v>
      </c>
      <c r="C5" s="3129"/>
      <c r="D5" s="3130"/>
      <c r="E5" s="1321"/>
      <c r="F5" s="1321"/>
      <c r="G5" s="1321"/>
    </row>
    <row r="6" spans="1:7">
      <c r="A6" s="118"/>
      <c r="B6" s="1550" t="s">
        <v>1577</v>
      </c>
      <c r="C6" s="1551" t="s">
        <v>1578</v>
      </c>
      <c r="D6" s="1549" t="s">
        <v>1579</v>
      </c>
      <c r="E6" s="1321"/>
      <c r="F6" s="1321"/>
      <c r="G6" s="1321"/>
    </row>
    <row r="7" spans="1:7">
      <c r="A7" s="119" t="s">
        <v>1580</v>
      </c>
      <c r="B7" s="1552">
        <v>1</v>
      </c>
      <c r="C7" s="117">
        <v>0</v>
      </c>
      <c r="D7" s="949">
        <f>1-SUM(B7:C7)</f>
        <v>0</v>
      </c>
      <c r="E7" s="1321"/>
      <c r="F7" s="1321"/>
      <c r="G7" s="1321"/>
    </row>
    <row r="9" spans="1:7" ht="15.75">
      <c r="A9" s="172" t="s">
        <v>1581</v>
      </c>
      <c r="B9" s="1321"/>
      <c r="C9" s="1321"/>
      <c r="D9" s="1321"/>
      <c r="E9" s="879">
        <v>7.0000000000000001E-3</v>
      </c>
      <c r="F9" s="1321" t="s">
        <v>1582</v>
      </c>
      <c r="G9" s="1321"/>
    </row>
    <row r="11" spans="1:7">
      <c r="A11" s="111" t="s">
        <v>1583</v>
      </c>
      <c r="B11" s="1321"/>
      <c r="C11" s="1321"/>
      <c r="D11" s="1321"/>
      <c r="E11" s="1321"/>
      <c r="F11" s="1321"/>
      <c r="G11" s="1321"/>
    </row>
    <row r="12" spans="1:7" ht="46.5">
      <c r="A12" s="1575"/>
      <c r="B12" s="1338" t="s">
        <v>1584</v>
      </c>
      <c r="C12" s="1339" t="s">
        <v>1585</v>
      </c>
      <c r="D12" s="1321"/>
      <c r="E12" s="1321"/>
      <c r="F12" s="1321"/>
      <c r="G12" s="1321"/>
    </row>
    <row r="13" spans="1:7">
      <c r="A13" s="490" t="s">
        <v>1586</v>
      </c>
      <c r="B13" s="480"/>
      <c r="C13" s="123">
        <v>0.73</v>
      </c>
      <c r="D13" s="1321"/>
      <c r="E13" s="1321"/>
      <c r="F13" s="1321"/>
      <c r="G13" s="1321"/>
    </row>
    <row r="14" spans="1:7" ht="15" customHeight="1">
      <c r="A14" s="59" t="s">
        <v>1587</v>
      </c>
      <c r="B14" s="121">
        <v>0.20433868871498501</v>
      </c>
      <c r="C14" s="51"/>
      <c r="D14" s="1321"/>
      <c r="E14" s="1321"/>
      <c r="F14" s="1321"/>
      <c r="G14" s="1321"/>
    </row>
    <row r="15" spans="1:7" ht="15.75">
      <c r="A15" s="118" t="s">
        <v>1588</v>
      </c>
      <c r="B15" s="126">
        <v>0.87312667643724295</v>
      </c>
      <c r="C15" s="85"/>
      <c r="D15" s="1321"/>
      <c r="E15" s="1321"/>
      <c r="F15" s="1321"/>
      <c r="G15" s="1321"/>
    </row>
    <row r="17" spans="1:22" ht="15">
      <c r="A17" s="120" t="s">
        <v>762</v>
      </c>
      <c r="B17" s="1321"/>
      <c r="C17" s="1321"/>
      <c r="D17" s="1321"/>
      <c r="E17" s="1321"/>
      <c r="F17" s="1321"/>
      <c r="G17" s="1321"/>
      <c r="H17" s="1321"/>
      <c r="I17" s="1321"/>
      <c r="J17" s="1321"/>
      <c r="K17" s="1321"/>
      <c r="L17" s="1321"/>
      <c r="M17" s="1321"/>
      <c r="N17" s="1321"/>
      <c r="O17" s="1321"/>
      <c r="P17" s="1321"/>
      <c r="Q17" s="1321"/>
      <c r="R17" s="1321"/>
      <c r="S17" s="1321"/>
      <c r="T17" s="1321"/>
      <c r="U17" s="1321"/>
      <c r="V17" s="1321"/>
    </row>
    <row r="18" spans="1:22" ht="33.75">
      <c r="A18" s="1299"/>
      <c r="B18" s="1338" t="s">
        <v>1585</v>
      </c>
      <c r="C18" s="1339" t="s">
        <v>1574</v>
      </c>
      <c r="D18" s="1321"/>
      <c r="E18" s="1321"/>
      <c r="F18" s="1321"/>
      <c r="G18" s="1321"/>
      <c r="H18" s="1321"/>
      <c r="I18" s="1321"/>
      <c r="J18" s="1321"/>
      <c r="K18" s="1321"/>
      <c r="L18" s="1321"/>
      <c r="M18" s="1321"/>
      <c r="N18" s="1321"/>
      <c r="O18" s="1321"/>
      <c r="P18" s="1321"/>
      <c r="Q18" s="1321"/>
      <c r="R18" s="1321"/>
      <c r="S18" s="1321"/>
      <c r="T18" s="1321"/>
      <c r="U18" s="1321"/>
      <c r="V18" s="1321"/>
    </row>
    <row r="19" spans="1:22">
      <c r="A19" s="59" t="s">
        <v>769</v>
      </c>
      <c r="B19" s="127">
        <v>1</v>
      </c>
      <c r="C19" s="128">
        <v>1</v>
      </c>
      <c r="D19" s="1321"/>
      <c r="E19" s="1321"/>
      <c r="F19" s="1321"/>
      <c r="G19" s="1321"/>
      <c r="H19" s="1321"/>
      <c r="I19" s="1321"/>
      <c r="J19" s="1321"/>
      <c r="K19" s="1321"/>
      <c r="L19" s="1321"/>
      <c r="M19" s="1321"/>
      <c r="N19" s="1321"/>
      <c r="O19" s="1321"/>
      <c r="P19" s="1321"/>
      <c r="Q19" s="1321"/>
      <c r="R19" s="1321"/>
      <c r="S19" s="1321"/>
      <c r="T19" s="1321"/>
      <c r="U19" s="1321"/>
      <c r="V19" s="1321"/>
    </row>
    <row r="20" spans="1:22">
      <c r="A20" s="59" t="s">
        <v>1546</v>
      </c>
      <c r="B20" s="127">
        <f>1-B19</f>
        <v>0</v>
      </c>
      <c r="C20" s="128">
        <f>1-C19</f>
        <v>0</v>
      </c>
      <c r="D20" s="1321"/>
      <c r="E20" s="1321"/>
      <c r="F20" s="1321"/>
      <c r="G20" s="1321"/>
      <c r="H20" s="1321"/>
      <c r="I20" s="1321"/>
      <c r="J20" s="1321"/>
      <c r="K20" s="1321"/>
      <c r="L20" s="1321"/>
      <c r="M20" s="1321"/>
      <c r="N20" s="1321"/>
      <c r="O20" s="1321"/>
      <c r="P20" s="1321"/>
      <c r="Q20" s="1321"/>
      <c r="R20" s="1321"/>
      <c r="S20" s="1321"/>
      <c r="T20" s="1321"/>
      <c r="U20" s="1321"/>
      <c r="V20" s="1321"/>
    </row>
    <row r="21" spans="1:22">
      <c r="A21" s="58" t="s">
        <v>1547</v>
      </c>
      <c r="B21" s="179">
        <v>0</v>
      </c>
      <c r="C21" s="180">
        <v>0</v>
      </c>
      <c r="D21" s="1321"/>
      <c r="E21" s="1321"/>
      <c r="F21" s="1321"/>
      <c r="G21" s="1321"/>
      <c r="H21" s="1321"/>
      <c r="I21" s="1321"/>
      <c r="J21" s="1321"/>
      <c r="K21" s="1321"/>
      <c r="L21" s="1321"/>
      <c r="M21" s="1321"/>
      <c r="N21" s="1321"/>
      <c r="O21" s="1321"/>
      <c r="P21" s="1321"/>
      <c r="Q21" s="1321"/>
      <c r="R21" s="1321"/>
      <c r="S21" s="1321"/>
      <c r="T21" s="1321"/>
      <c r="U21" s="1321"/>
      <c r="V21" s="1321"/>
    </row>
    <row r="22" spans="1:22">
      <c r="A22" s="59" t="s">
        <v>1214</v>
      </c>
      <c r="B22" s="127">
        <v>0</v>
      </c>
      <c r="C22" s="128">
        <v>0</v>
      </c>
      <c r="D22" s="1321"/>
      <c r="E22" s="1321"/>
      <c r="F22" s="1321"/>
      <c r="G22" s="1321"/>
      <c r="H22" s="1321"/>
      <c r="I22" s="1321"/>
      <c r="J22" s="1321"/>
      <c r="K22" s="1321"/>
      <c r="L22" s="1321"/>
      <c r="M22" s="1321"/>
      <c r="N22" s="1321"/>
      <c r="O22" s="1321"/>
      <c r="P22" s="1321"/>
      <c r="Q22" s="1321"/>
      <c r="R22" s="1321"/>
      <c r="S22" s="1321"/>
      <c r="T22" s="1321"/>
      <c r="U22" s="1321"/>
      <c r="V22" s="1321"/>
    </row>
    <row r="23" spans="1:22">
      <c r="A23" s="118" t="s">
        <v>1548</v>
      </c>
      <c r="B23" s="129">
        <f>1-B21-B22</f>
        <v>1</v>
      </c>
      <c r="C23" s="130">
        <f>1-C21-C22</f>
        <v>1</v>
      </c>
      <c r="D23" s="1321"/>
      <c r="E23" s="1321"/>
      <c r="F23" s="1321"/>
      <c r="G23" s="1321"/>
      <c r="H23" s="1321"/>
      <c r="I23" s="1321"/>
      <c r="J23" s="1321"/>
      <c r="K23" s="1321"/>
      <c r="L23" s="1321"/>
      <c r="M23" s="1321"/>
      <c r="N23" s="1321"/>
      <c r="O23" s="1321"/>
      <c r="P23" s="1321"/>
      <c r="Q23" s="1321"/>
      <c r="R23" s="1321"/>
      <c r="S23" s="1321"/>
      <c r="T23" s="1321"/>
      <c r="U23" s="1321"/>
      <c r="V23" s="1321"/>
    </row>
    <row r="24" spans="1:22">
      <c r="A24" s="59" t="s">
        <v>1549</v>
      </c>
      <c r="B24" s="127">
        <v>1</v>
      </c>
      <c r="C24" s="128">
        <v>1</v>
      </c>
      <c r="D24" s="1321"/>
      <c r="E24" s="1321"/>
      <c r="F24" s="1321"/>
      <c r="G24" s="1321"/>
      <c r="H24" s="1321"/>
      <c r="I24" s="1321"/>
      <c r="J24" s="1321"/>
      <c r="K24" s="1321"/>
      <c r="L24" s="1321"/>
      <c r="M24" s="1321"/>
      <c r="N24" s="1321"/>
      <c r="O24" s="1321"/>
      <c r="P24" s="1321"/>
      <c r="Q24" s="1321"/>
      <c r="R24" s="1321"/>
      <c r="S24" s="1321"/>
      <c r="T24" s="1321"/>
      <c r="U24" s="1321"/>
      <c r="V24" s="1321"/>
    </row>
    <row r="25" spans="1:22">
      <c r="A25" s="1299" t="s">
        <v>1550</v>
      </c>
      <c r="B25" s="1340">
        <v>1</v>
      </c>
      <c r="C25" s="1341">
        <v>1</v>
      </c>
      <c r="D25" s="1321"/>
      <c r="E25" s="1321"/>
      <c r="F25" s="1321"/>
      <c r="G25" s="1321"/>
      <c r="H25" s="1321"/>
      <c r="I25" s="1321"/>
      <c r="J25" s="1321"/>
      <c r="K25" s="1321"/>
      <c r="L25" s="1321"/>
      <c r="M25" s="1321"/>
      <c r="N25" s="1321"/>
      <c r="O25" s="1321"/>
      <c r="P25" s="1321"/>
      <c r="Q25" s="1321"/>
      <c r="R25" s="1321"/>
      <c r="S25" s="1321"/>
      <c r="T25" s="1321"/>
      <c r="U25" s="1321"/>
      <c r="V25" s="1321"/>
    </row>
    <row r="26" spans="1:22">
      <c r="A26" s="59" t="s">
        <v>1551</v>
      </c>
      <c r="B26" s="127">
        <v>0</v>
      </c>
      <c r="C26" s="128">
        <v>0</v>
      </c>
      <c r="D26" s="1321"/>
      <c r="E26" s="1321"/>
      <c r="F26" s="1321"/>
      <c r="G26" s="1321"/>
      <c r="H26" s="1321"/>
      <c r="I26" s="1321"/>
      <c r="J26" s="1321"/>
      <c r="K26" s="1321"/>
      <c r="L26" s="1321"/>
      <c r="M26" s="1321"/>
      <c r="N26" s="1321"/>
      <c r="O26" s="1321"/>
      <c r="P26" s="1321"/>
      <c r="Q26" s="1321"/>
      <c r="R26" s="1321"/>
      <c r="S26" s="1321"/>
      <c r="T26" s="1321"/>
      <c r="U26" s="1321"/>
      <c r="V26" s="1321"/>
    </row>
    <row r="27" spans="1:22">
      <c r="A27" s="59" t="s">
        <v>1042</v>
      </c>
      <c r="B27" s="127">
        <v>0</v>
      </c>
      <c r="C27" s="128">
        <v>0</v>
      </c>
      <c r="D27" s="1321"/>
      <c r="E27" s="1321"/>
      <c r="F27" s="1321"/>
      <c r="G27" s="1321"/>
      <c r="H27" s="1321"/>
      <c r="I27" s="1321"/>
      <c r="J27" s="1321"/>
      <c r="K27" s="1321"/>
      <c r="L27" s="1321"/>
      <c r="M27" s="1321"/>
      <c r="N27" s="1321"/>
      <c r="O27" s="1321"/>
      <c r="P27" s="1321"/>
      <c r="Q27" s="1321"/>
      <c r="R27" s="1321"/>
      <c r="S27" s="1321"/>
      <c r="T27" s="1321"/>
      <c r="U27" s="1321"/>
      <c r="V27" s="1321"/>
    </row>
    <row r="28" spans="1:22">
      <c r="A28" s="59" t="s">
        <v>1552</v>
      </c>
      <c r="B28" s="127">
        <v>0</v>
      </c>
      <c r="C28" s="128">
        <v>0</v>
      </c>
      <c r="D28" s="1321"/>
      <c r="E28" s="1321"/>
      <c r="F28" s="1321"/>
      <c r="G28" s="1321"/>
      <c r="H28" s="1321"/>
      <c r="I28" s="1321"/>
      <c r="J28" s="1321"/>
      <c r="K28" s="1321"/>
      <c r="L28" s="1321"/>
      <c r="M28" s="1321"/>
      <c r="N28" s="1321"/>
      <c r="O28" s="1321"/>
      <c r="P28" s="1321"/>
      <c r="Q28" s="1321"/>
      <c r="R28" s="1321"/>
      <c r="S28" s="1321"/>
      <c r="T28" s="1321"/>
      <c r="U28" s="1321"/>
      <c r="V28" s="1321"/>
    </row>
    <row r="29" spans="1:22">
      <c r="A29" s="59" t="s">
        <v>1553</v>
      </c>
      <c r="B29" s="127">
        <v>0</v>
      </c>
      <c r="C29" s="128">
        <v>0</v>
      </c>
      <c r="D29" s="1321"/>
      <c r="E29" s="1321"/>
      <c r="F29" s="1321"/>
      <c r="G29" s="1321"/>
      <c r="H29" s="1321"/>
      <c r="I29" s="1321"/>
      <c r="J29" s="1321"/>
      <c r="K29" s="1321"/>
      <c r="L29" s="1321"/>
      <c r="M29" s="1321"/>
      <c r="N29" s="1321"/>
      <c r="O29" s="1321"/>
      <c r="P29" s="1321"/>
      <c r="Q29" s="1321"/>
      <c r="R29" s="1321"/>
      <c r="S29" s="1321"/>
      <c r="T29" s="1321"/>
      <c r="U29" s="1321"/>
      <c r="V29" s="1321"/>
    </row>
    <row r="30" spans="1:22">
      <c r="A30" s="59" t="s">
        <v>1554</v>
      </c>
      <c r="B30" s="127">
        <v>1</v>
      </c>
      <c r="C30" s="128">
        <v>1</v>
      </c>
      <c r="D30" s="1321"/>
      <c r="E30" s="1321"/>
      <c r="F30" s="1321"/>
      <c r="G30" s="1321"/>
      <c r="H30" s="1321"/>
      <c r="I30" s="1321"/>
      <c r="J30" s="1321"/>
      <c r="K30" s="1321"/>
      <c r="L30" s="1321"/>
      <c r="M30" s="1321"/>
      <c r="N30" s="1321"/>
      <c r="O30" s="1321"/>
      <c r="P30" s="1321"/>
      <c r="Q30" s="1321"/>
      <c r="R30" s="1321"/>
      <c r="S30" s="1321"/>
      <c r="T30" s="1321"/>
      <c r="U30" s="1321"/>
      <c r="V30" s="1321"/>
    </row>
    <row r="31" spans="1:22">
      <c r="A31" s="59" t="s">
        <v>1555</v>
      </c>
      <c r="B31" s="127">
        <v>0</v>
      </c>
      <c r="C31" s="128">
        <v>0</v>
      </c>
      <c r="D31" s="1321"/>
      <c r="E31" s="1321"/>
      <c r="F31" s="1321"/>
      <c r="G31" s="1321"/>
      <c r="H31" s="1321"/>
      <c r="I31" s="1321"/>
      <c r="J31" s="1321"/>
      <c r="K31" s="1321"/>
      <c r="L31" s="1321"/>
      <c r="M31" s="1321"/>
      <c r="N31" s="1321"/>
      <c r="O31" s="1321"/>
      <c r="P31" s="1321"/>
      <c r="Q31" s="1321"/>
      <c r="R31" s="1321"/>
      <c r="S31" s="1321"/>
      <c r="T31" s="1321"/>
      <c r="U31" s="1321"/>
      <c r="V31" s="1321"/>
    </row>
    <row r="32" spans="1:22">
      <c r="A32" s="59" t="s">
        <v>1589</v>
      </c>
      <c r="B32" s="127">
        <f t="shared" ref="B32:C32" si="0">1-SUM(B26:B31)</f>
        <v>0</v>
      </c>
      <c r="C32" s="128">
        <f t="shared" si="0"/>
        <v>0</v>
      </c>
      <c r="D32" s="1321"/>
      <c r="E32" s="1321"/>
      <c r="F32" s="1321"/>
      <c r="G32" s="1321"/>
      <c r="H32" s="1321"/>
      <c r="I32" s="1321"/>
      <c r="J32" s="1321"/>
      <c r="K32" s="1321"/>
      <c r="L32" s="1321"/>
      <c r="M32" s="1321"/>
      <c r="N32" s="1321"/>
      <c r="O32" s="1321"/>
      <c r="P32" s="1321"/>
      <c r="Q32" s="1321"/>
      <c r="R32" s="1321"/>
      <c r="S32" s="1321"/>
      <c r="T32" s="1321"/>
      <c r="U32" s="1321"/>
      <c r="V32" s="1321"/>
    </row>
    <row r="33" spans="1:42">
      <c r="A33" s="58" t="s">
        <v>773</v>
      </c>
      <c r="B33" s="179">
        <v>1</v>
      </c>
      <c r="C33" s="180">
        <v>1</v>
      </c>
      <c r="D33" s="1321"/>
      <c r="E33" s="1321"/>
      <c r="F33" s="1321"/>
      <c r="G33" s="1321"/>
      <c r="H33" s="1321"/>
      <c r="I33" s="1321"/>
      <c r="J33" s="1321"/>
      <c r="K33" s="1321"/>
      <c r="L33" s="1321"/>
      <c r="M33" s="1321"/>
      <c r="N33" s="1321"/>
      <c r="O33" s="1321"/>
      <c r="P33" s="1321"/>
      <c r="Q33" s="1321"/>
      <c r="R33" s="1321"/>
      <c r="S33" s="1321"/>
      <c r="T33" s="1321"/>
      <c r="U33" s="1321"/>
      <c r="V33" s="1321"/>
      <c r="W33" s="1321"/>
      <c r="X33" s="1321"/>
      <c r="Y33" s="1321"/>
      <c r="Z33" s="1321"/>
      <c r="AA33" s="1321"/>
      <c r="AB33" s="1321"/>
      <c r="AC33" s="1321"/>
      <c r="AD33" s="1321"/>
      <c r="AE33" s="1321"/>
      <c r="AF33" s="1321"/>
      <c r="AG33" s="1321"/>
      <c r="AH33" s="1321"/>
      <c r="AI33" s="1321"/>
      <c r="AJ33" s="1321"/>
      <c r="AK33" s="1321"/>
      <c r="AL33" s="1321"/>
      <c r="AM33" s="1321"/>
      <c r="AN33" s="1321"/>
      <c r="AO33" s="1321"/>
      <c r="AP33" s="1321"/>
    </row>
    <row r="34" spans="1:42">
      <c r="A34" s="118" t="s">
        <v>1556</v>
      </c>
      <c r="B34" s="129">
        <f>1-B33</f>
        <v>0</v>
      </c>
      <c r="C34" s="130">
        <f>1-C33</f>
        <v>0</v>
      </c>
      <c r="D34" s="1321"/>
      <c r="E34" s="1321"/>
      <c r="F34" s="1321"/>
      <c r="G34" s="1321"/>
      <c r="H34" s="1321"/>
      <c r="I34" s="1321"/>
      <c r="J34" s="1321"/>
      <c r="K34" s="1321"/>
      <c r="L34" s="1321"/>
      <c r="M34" s="1321"/>
      <c r="N34" s="1321"/>
      <c r="O34" s="1321"/>
      <c r="P34" s="1321"/>
      <c r="Q34" s="1321"/>
      <c r="R34" s="1321"/>
      <c r="S34" s="1321"/>
      <c r="T34" s="1321"/>
      <c r="U34" s="1321"/>
      <c r="V34" s="1321"/>
      <c r="W34" s="1321"/>
      <c r="X34" s="1321"/>
      <c r="Y34" s="1321"/>
      <c r="Z34" s="1321"/>
      <c r="AA34" s="1321"/>
      <c r="AB34" s="1321"/>
      <c r="AC34" s="1321"/>
      <c r="AD34" s="1321"/>
      <c r="AE34" s="1321"/>
      <c r="AF34" s="1321"/>
      <c r="AG34" s="1321"/>
      <c r="AH34" s="1321"/>
      <c r="AI34" s="1321"/>
      <c r="AJ34" s="1321"/>
      <c r="AK34" s="1321"/>
      <c r="AL34" s="1321"/>
      <c r="AM34" s="1321"/>
      <c r="AN34" s="1321"/>
      <c r="AO34" s="1321"/>
      <c r="AP34" s="1321"/>
    </row>
    <row r="36" spans="1:42" ht="15" customHeight="1">
      <c r="A36" s="120" t="s">
        <v>784</v>
      </c>
      <c r="B36" s="1321"/>
      <c r="C36" s="1321"/>
      <c r="D36" s="1321"/>
      <c r="E36" s="1321"/>
      <c r="F36" s="1321"/>
      <c r="G36" s="1321"/>
      <c r="H36" s="1321"/>
      <c r="I36" s="1321"/>
      <c r="J36" s="1321"/>
      <c r="K36" s="1321"/>
      <c r="L36" s="1321"/>
      <c r="M36" s="1321"/>
      <c r="N36" s="1321"/>
      <c r="O36" s="1321"/>
      <c r="P36" s="1321"/>
      <c r="Q36" s="1321"/>
      <c r="R36" s="485"/>
      <c r="S36" s="1321"/>
      <c r="T36" s="1321"/>
      <c r="U36" s="1321"/>
      <c r="V36" s="1321"/>
      <c r="W36" s="1321"/>
      <c r="X36" s="1321"/>
      <c r="Y36" s="1321"/>
      <c r="Z36" s="1321"/>
      <c r="AA36" s="1321"/>
      <c r="AB36" s="1321"/>
      <c r="AC36" s="1321"/>
      <c r="AD36" s="1321"/>
      <c r="AE36" s="1321"/>
      <c r="AF36" s="1321"/>
      <c r="AG36" s="1321"/>
      <c r="AH36" s="1321"/>
      <c r="AI36" s="1321"/>
      <c r="AJ36" s="1321"/>
      <c r="AK36" s="1321"/>
      <c r="AL36" s="1321"/>
      <c r="AM36" s="1321"/>
      <c r="AN36" s="1321"/>
      <c r="AO36" s="1321"/>
      <c r="AP36" s="1321"/>
    </row>
    <row r="37" spans="1:42" ht="15.75" customHeight="1">
      <c r="A37" s="334"/>
      <c r="B37" s="2998" t="s">
        <v>1590</v>
      </c>
      <c r="C37" s="3012"/>
      <c r="D37" s="2999"/>
      <c r="E37" s="2998" t="s">
        <v>1591</v>
      </c>
      <c r="F37" s="3012"/>
      <c r="G37" s="2999"/>
      <c r="H37" s="1555"/>
      <c r="I37" s="1321"/>
      <c r="J37" s="1321"/>
      <c r="K37" s="1321"/>
      <c r="L37" s="1321"/>
      <c r="M37" s="1321"/>
      <c r="N37" s="1321"/>
      <c r="O37" s="1321"/>
      <c r="P37" s="1321"/>
      <c r="Q37" s="1321"/>
      <c r="R37" s="1321"/>
      <c r="S37" s="1321"/>
      <c r="T37" s="1321"/>
      <c r="U37" s="1321"/>
      <c r="V37" s="1321"/>
      <c r="W37" s="1321"/>
      <c r="X37" s="1321"/>
      <c r="Y37" s="1321"/>
      <c r="Z37" s="1321"/>
      <c r="AA37" s="1321"/>
      <c r="AB37" s="1321"/>
      <c r="AC37" s="1321"/>
      <c r="AD37" s="1321"/>
      <c r="AE37" s="1321"/>
      <c r="AF37" s="1321"/>
      <c r="AG37" s="1321"/>
      <c r="AH37" s="1321"/>
      <c r="AI37" s="1321"/>
      <c r="AJ37" s="1321"/>
      <c r="AK37" s="1321"/>
      <c r="AL37" s="1321"/>
      <c r="AM37" s="1321"/>
      <c r="AN37" s="1321"/>
      <c r="AO37" s="1321"/>
      <c r="AP37" s="1321"/>
    </row>
    <row r="38" spans="1:42" ht="81.75" customHeight="1">
      <c r="A38" s="1575"/>
      <c r="B38" s="1342" t="s">
        <v>785</v>
      </c>
      <c r="C38" s="1338" t="s">
        <v>786</v>
      </c>
      <c r="D38" s="1339" t="s">
        <v>1057</v>
      </c>
      <c r="E38" s="1342" t="s">
        <v>785</v>
      </c>
      <c r="F38" s="1338" t="s">
        <v>786</v>
      </c>
      <c r="G38" s="1339" t="s">
        <v>1057</v>
      </c>
      <c r="H38" s="1321"/>
      <c r="I38" s="1321"/>
      <c r="J38" s="1321"/>
      <c r="K38" s="1321"/>
      <c r="L38" s="1321"/>
      <c r="M38" s="1321"/>
      <c r="N38" s="1321"/>
      <c r="O38" s="1321"/>
      <c r="P38" s="1321"/>
      <c r="Q38" s="1321"/>
      <c r="R38" s="1321"/>
      <c r="S38" s="1321"/>
      <c r="T38" s="1321"/>
      <c r="U38" s="1321"/>
      <c r="V38" s="1321"/>
      <c r="W38" s="1321"/>
      <c r="X38" s="1321"/>
      <c r="Y38" s="1321"/>
      <c r="Z38" s="1321"/>
      <c r="AA38" s="1321"/>
      <c r="AB38" s="1321"/>
      <c r="AC38" s="1321"/>
      <c r="AD38" s="1321"/>
      <c r="AE38" s="1321"/>
      <c r="AF38" s="1321"/>
      <c r="AG38" s="1321"/>
      <c r="AH38" s="1321"/>
      <c r="AI38" s="1321"/>
      <c r="AJ38" s="1321"/>
      <c r="AK38" s="1321"/>
      <c r="AL38" s="1321"/>
      <c r="AM38" s="1321"/>
      <c r="AN38" s="1321"/>
      <c r="AO38" s="1321"/>
      <c r="AP38" s="1321"/>
    </row>
    <row r="39" spans="1:42">
      <c r="A39" s="337" t="s">
        <v>1559</v>
      </c>
      <c r="B39" s="173">
        <v>2.57</v>
      </c>
      <c r="C39" s="1"/>
      <c r="D39" s="51"/>
      <c r="E39" s="160">
        <v>13.2</v>
      </c>
      <c r="F39" s="1"/>
      <c r="G39" s="51"/>
      <c r="H39" s="1321"/>
      <c r="I39" s="1321"/>
      <c r="J39" s="1321"/>
      <c r="K39" s="1321"/>
      <c r="L39" s="1321"/>
      <c r="M39" s="1321"/>
      <c r="N39" s="1321"/>
      <c r="O39" s="1321"/>
      <c r="P39" s="1321"/>
      <c r="Q39" s="1321"/>
      <c r="R39" s="1321"/>
      <c r="S39" s="1321"/>
      <c r="T39" s="1321"/>
      <c r="U39" s="1321"/>
      <c r="V39" s="1321"/>
      <c r="W39" s="1321"/>
      <c r="X39" s="1321"/>
      <c r="Y39" s="1321"/>
      <c r="Z39" s="1321"/>
      <c r="AA39" s="1321"/>
      <c r="AB39" s="1321"/>
      <c r="AC39" s="1321"/>
      <c r="AD39" s="1321"/>
      <c r="AE39" s="1321"/>
      <c r="AF39" s="1321"/>
      <c r="AG39" s="1321"/>
      <c r="AH39" s="1321"/>
      <c r="AI39" s="1321"/>
      <c r="AJ39" s="1321"/>
      <c r="AK39" s="1321"/>
      <c r="AL39" s="1321"/>
      <c r="AM39" s="1321"/>
      <c r="AN39" s="1321"/>
      <c r="AO39" s="1321"/>
      <c r="AP39" s="1321"/>
    </row>
    <row r="40" spans="1:42">
      <c r="A40" s="290" t="s">
        <v>798</v>
      </c>
      <c r="B40" s="232">
        <v>0</v>
      </c>
      <c r="C40" s="127"/>
      <c r="D40" s="128"/>
      <c r="E40" s="579">
        <v>0</v>
      </c>
      <c r="F40" s="127"/>
      <c r="G40" s="128"/>
      <c r="H40" s="1321"/>
      <c r="I40" s="1321"/>
      <c r="J40" s="1321"/>
      <c r="K40" s="1321"/>
      <c r="L40" s="1321"/>
      <c r="M40" s="1321"/>
      <c r="N40" s="1321"/>
      <c r="O40" s="1321"/>
      <c r="P40" s="1321"/>
      <c r="Q40" s="1321"/>
      <c r="R40" s="1321"/>
      <c r="S40" s="1321"/>
      <c r="T40" s="1321"/>
      <c r="U40" s="1321"/>
      <c r="V40" s="1321"/>
      <c r="W40" s="1321"/>
      <c r="X40" s="1321"/>
      <c r="Y40" s="1321"/>
      <c r="Z40" s="1321"/>
      <c r="AA40" s="1321"/>
      <c r="AB40" s="1321"/>
      <c r="AC40" s="1321"/>
      <c r="AD40" s="1321"/>
      <c r="AE40" s="1321"/>
      <c r="AF40" s="1321"/>
      <c r="AG40" s="1321"/>
      <c r="AH40" s="1321"/>
      <c r="AI40" s="1321"/>
      <c r="AJ40" s="1321"/>
      <c r="AK40" s="1321"/>
      <c r="AL40" s="1321"/>
      <c r="AM40" s="1321"/>
      <c r="AN40" s="1321"/>
      <c r="AO40" s="1321"/>
      <c r="AP40" s="1321"/>
    </row>
    <row r="41" spans="1:42">
      <c r="A41" s="293" t="s">
        <v>799</v>
      </c>
      <c r="B41" s="80"/>
      <c r="C41" s="131"/>
      <c r="D41" s="50"/>
      <c r="E41" s="135"/>
      <c r="F41" s="131"/>
      <c r="G41" s="50"/>
      <c r="H41" s="1321"/>
      <c r="I41" s="1321"/>
      <c r="J41" s="1321"/>
      <c r="K41" s="1321"/>
      <c r="L41" s="1321"/>
      <c r="M41" s="1321"/>
      <c r="N41" s="1321"/>
      <c r="O41" s="1321"/>
      <c r="P41" s="1321"/>
      <c r="Q41" s="1321"/>
      <c r="R41" s="1321"/>
      <c r="S41" s="1321"/>
      <c r="T41" s="1321"/>
      <c r="U41" s="1321"/>
      <c r="V41" s="1321"/>
      <c r="W41" s="1321"/>
      <c r="X41" s="1321"/>
      <c r="Y41" s="1321"/>
      <c r="Z41" s="1321"/>
      <c r="AA41" s="1321"/>
      <c r="AB41" s="1321"/>
      <c r="AC41" s="1321"/>
      <c r="AD41" s="1321"/>
      <c r="AE41" s="1321"/>
      <c r="AF41" s="1321"/>
      <c r="AG41" s="1321"/>
      <c r="AH41" s="1321"/>
      <c r="AI41" s="1321"/>
      <c r="AJ41" s="1321"/>
      <c r="AK41" s="1321"/>
      <c r="AL41" s="1321"/>
      <c r="AM41" s="1321"/>
      <c r="AN41" s="1321"/>
      <c r="AO41" s="1321"/>
      <c r="AP41" s="1321"/>
    </row>
    <row r="42" spans="1:42">
      <c r="A42" s="291" t="s">
        <v>800</v>
      </c>
      <c r="B42" s="232"/>
      <c r="C42" s="127"/>
      <c r="D42" s="128"/>
      <c r="E42" s="579"/>
      <c r="F42" s="1"/>
      <c r="G42" s="51"/>
      <c r="H42" s="1321"/>
      <c r="I42" s="1321"/>
      <c r="J42" s="1321"/>
      <c r="K42" s="1321"/>
      <c r="L42" s="1321"/>
      <c r="M42" s="1321"/>
      <c r="N42" s="1321"/>
      <c r="O42" s="1321"/>
      <c r="P42" s="1321"/>
      <c r="Q42" s="1321"/>
      <c r="R42" s="1321"/>
      <c r="S42" s="1321"/>
      <c r="T42" s="1321"/>
      <c r="U42" s="1321"/>
      <c r="V42" s="1321"/>
      <c r="W42" s="1321"/>
      <c r="X42" s="1321"/>
      <c r="Y42" s="1321"/>
      <c r="Z42" s="1321"/>
      <c r="AA42" s="1321"/>
      <c r="AB42" s="1321"/>
      <c r="AC42" s="1321"/>
      <c r="AD42" s="1321"/>
      <c r="AE42" s="1321"/>
      <c r="AF42" s="1321"/>
      <c r="AG42" s="1321"/>
      <c r="AH42" s="1321"/>
      <c r="AI42" s="1321"/>
      <c r="AJ42" s="1321"/>
      <c r="AK42" s="1321"/>
      <c r="AL42" s="1321"/>
      <c r="AM42" s="1321"/>
      <c r="AN42" s="1321"/>
      <c r="AO42" s="1321"/>
      <c r="AP42" s="1321"/>
    </row>
    <row r="43" spans="1:42">
      <c r="A43" s="291" t="s">
        <v>802</v>
      </c>
      <c r="B43" s="232"/>
      <c r="C43" s="127"/>
      <c r="D43" s="128"/>
      <c r="E43" s="579"/>
      <c r="F43" s="1"/>
      <c r="G43" s="51"/>
      <c r="H43" s="1321"/>
      <c r="I43" s="1321"/>
      <c r="J43" s="1321"/>
      <c r="K43" s="1321"/>
      <c r="L43" s="1321"/>
      <c r="M43" s="1321"/>
      <c r="N43" s="1321"/>
      <c r="O43" s="1321"/>
      <c r="P43" s="1321"/>
      <c r="Q43" s="1321"/>
      <c r="R43" s="1321"/>
      <c r="S43" s="1321"/>
      <c r="T43" s="1321"/>
      <c r="U43" s="1321"/>
      <c r="V43" s="1321"/>
      <c r="W43" s="1321"/>
      <c r="X43" s="1321"/>
      <c r="Y43" s="1321"/>
      <c r="Z43" s="1321"/>
      <c r="AA43" s="1321"/>
      <c r="AB43" s="1321"/>
      <c r="AC43" s="1321"/>
      <c r="AD43" s="1321"/>
      <c r="AE43" s="1321"/>
      <c r="AF43" s="1321"/>
      <c r="AG43" s="1321"/>
      <c r="AH43" s="1321"/>
      <c r="AI43" s="1321"/>
      <c r="AJ43" s="1321"/>
      <c r="AK43" s="1321"/>
      <c r="AL43" s="1321"/>
      <c r="AM43" s="1321"/>
      <c r="AN43" s="1321"/>
      <c r="AO43" s="1321"/>
      <c r="AP43" s="1321"/>
    </row>
    <row r="44" spans="1:42">
      <c r="A44" s="291" t="s">
        <v>801</v>
      </c>
      <c r="B44" s="232"/>
      <c r="C44" s="127"/>
      <c r="D44" s="128"/>
      <c r="E44" s="579"/>
      <c r="F44" s="1"/>
      <c r="G44" s="51"/>
      <c r="H44" s="1321"/>
      <c r="I44" s="1321"/>
      <c r="J44" s="1321"/>
      <c r="K44" s="1321"/>
      <c r="L44" s="1321"/>
      <c r="M44" s="1321"/>
      <c r="N44" s="1321"/>
      <c r="O44" s="1321"/>
      <c r="P44" s="1321"/>
      <c r="Q44" s="1321"/>
      <c r="R44" s="1321"/>
      <c r="S44" s="1321"/>
      <c r="T44" s="1321"/>
      <c r="U44" s="1321"/>
      <c r="V44" s="1321"/>
      <c r="W44" s="1321"/>
      <c r="X44" s="1321"/>
      <c r="Y44" s="1321"/>
      <c r="Z44" s="1321"/>
      <c r="AA44" s="1321"/>
      <c r="AB44" s="1321"/>
      <c r="AC44" s="1321"/>
      <c r="AD44" s="1321"/>
      <c r="AE44" s="1321"/>
      <c r="AF44" s="1321"/>
      <c r="AG44" s="1321"/>
      <c r="AH44" s="1321"/>
      <c r="AI44" s="1321"/>
      <c r="AJ44" s="1321"/>
      <c r="AK44" s="1321"/>
      <c r="AL44" s="1321"/>
      <c r="AM44" s="1321"/>
      <c r="AN44" s="1321"/>
      <c r="AO44" s="1321"/>
      <c r="AP44" s="1321"/>
    </row>
    <row r="45" spans="1:42">
      <c r="A45" s="291" t="s">
        <v>1319</v>
      </c>
      <c r="B45" s="232"/>
      <c r="C45" s="127"/>
      <c r="D45" s="128"/>
      <c r="E45" s="579"/>
      <c r="F45" s="1"/>
      <c r="G45" s="51"/>
      <c r="H45" s="1321"/>
      <c r="I45" s="1321"/>
      <c r="J45" s="1321"/>
      <c r="K45" s="1321"/>
      <c r="L45" s="1321"/>
      <c r="M45" s="1321"/>
      <c r="N45" s="1321"/>
      <c r="O45" s="1321"/>
      <c r="P45" s="1321"/>
      <c r="Q45" s="1321"/>
      <c r="R45" s="1321"/>
      <c r="S45" s="1321"/>
      <c r="T45" s="1321"/>
      <c r="U45" s="1321"/>
      <c r="V45" s="1321"/>
      <c r="W45" s="1321"/>
      <c r="X45" s="1321"/>
      <c r="Y45" s="1321"/>
      <c r="Z45" s="1321"/>
      <c r="AA45" s="1321"/>
      <c r="AB45" s="1321"/>
      <c r="AC45" s="1321"/>
      <c r="AD45" s="1321"/>
      <c r="AE45" s="1321"/>
      <c r="AF45" s="1321"/>
      <c r="AG45" s="1321"/>
      <c r="AH45" s="1321"/>
      <c r="AI45" s="1321"/>
      <c r="AJ45" s="1321"/>
      <c r="AK45" s="1321"/>
      <c r="AL45" s="1321"/>
      <c r="AM45" s="1321"/>
      <c r="AN45" s="1321"/>
      <c r="AO45" s="1321"/>
      <c r="AP45" s="1321"/>
    </row>
    <row r="46" spans="1:42">
      <c r="A46" s="291" t="s">
        <v>804</v>
      </c>
      <c r="B46" s="232">
        <f>2.5/B39</f>
        <v>0.97276264591439698</v>
      </c>
      <c r="C46" s="127"/>
      <c r="D46" s="128"/>
      <c r="E46" s="579">
        <v>0.99880000000000002</v>
      </c>
      <c r="F46" s="229"/>
      <c r="G46" s="51"/>
      <c r="H46" s="1321"/>
      <c r="I46" s="1321"/>
      <c r="J46" s="1321"/>
      <c r="K46" s="1321"/>
      <c r="L46" s="1321"/>
      <c r="M46" s="1321"/>
      <c r="N46" s="1321"/>
      <c r="O46" s="1321"/>
      <c r="P46" s="1321"/>
      <c r="Q46" s="1321"/>
      <c r="R46" s="1321"/>
      <c r="S46" s="1321"/>
      <c r="T46" s="1321"/>
      <c r="U46" s="1321"/>
      <c r="V46" s="1321"/>
      <c r="W46" s="1321"/>
      <c r="X46" s="1321"/>
      <c r="Y46" s="1321"/>
      <c r="Z46" s="1321"/>
      <c r="AA46" s="1321"/>
      <c r="AB46" s="1321"/>
      <c r="AC46" s="1321"/>
      <c r="AD46" s="1321"/>
      <c r="AE46" s="1321"/>
      <c r="AF46" s="1321"/>
      <c r="AG46" s="1321"/>
      <c r="AH46" s="1321"/>
      <c r="AI46" s="1321"/>
      <c r="AJ46" s="1321"/>
      <c r="AK46" s="1321"/>
      <c r="AL46" s="1321"/>
      <c r="AM46" s="1321"/>
      <c r="AN46" s="1321"/>
      <c r="AO46" s="1321"/>
      <c r="AP46" s="1321"/>
    </row>
    <row r="47" spans="1:42">
      <c r="A47" s="291" t="s">
        <v>805</v>
      </c>
      <c r="B47" s="232"/>
      <c r="C47" s="127"/>
      <c r="D47" s="128"/>
      <c r="E47" s="579"/>
      <c r="F47" s="1"/>
      <c r="G47" s="51"/>
      <c r="H47" s="1321"/>
      <c r="I47" s="1321"/>
      <c r="J47" s="1321"/>
      <c r="K47" s="1321"/>
      <c r="L47" s="1321"/>
      <c r="M47" s="1321"/>
      <c r="N47" s="1321"/>
      <c r="O47" s="1321"/>
      <c r="P47" s="1321"/>
      <c r="Q47" s="1321"/>
      <c r="R47" s="1321"/>
      <c r="S47" s="1321"/>
      <c r="T47" s="1321"/>
      <c r="U47" s="1321"/>
      <c r="V47" s="1321"/>
      <c r="W47" s="1321"/>
      <c r="X47" s="1321"/>
      <c r="Y47" s="1321"/>
      <c r="Z47" s="1321"/>
      <c r="AA47" s="1321"/>
      <c r="AB47" s="1321"/>
      <c r="AC47" s="1321"/>
      <c r="AD47" s="1321"/>
      <c r="AE47" s="1321"/>
      <c r="AF47" s="1321"/>
      <c r="AG47" s="1321"/>
      <c r="AH47" s="1321"/>
      <c r="AI47" s="1321"/>
      <c r="AJ47" s="1321"/>
      <c r="AK47" s="1321"/>
      <c r="AL47" s="1321"/>
      <c r="AM47" s="1321"/>
      <c r="AN47" s="1321"/>
      <c r="AO47" s="1321"/>
      <c r="AP47" s="1321"/>
    </row>
    <row r="48" spans="1:42">
      <c r="A48" s="292" t="s">
        <v>806</v>
      </c>
      <c r="B48" s="239">
        <f>1-SUM(B42:B47)</f>
        <v>2.7237354085603016E-2</v>
      </c>
      <c r="C48" s="129"/>
      <c r="D48" s="130"/>
      <c r="E48" s="239">
        <f>1-SUM(E42:E47)</f>
        <v>1.1999999999999789E-3</v>
      </c>
      <c r="F48" s="125"/>
      <c r="G48" s="85"/>
      <c r="H48" s="1321"/>
      <c r="I48" s="1321"/>
      <c r="J48" s="1321"/>
      <c r="K48" s="1321"/>
      <c r="L48" s="1321"/>
      <c r="M48" s="1321"/>
      <c r="N48" s="1321"/>
      <c r="O48" s="1321"/>
      <c r="P48" s="1321"/>
      <c r="Q48" s="1321"/>
      <c r="R48" s="1321"/>
      <c r="S48" s="1321"/>
      <c r="T48" s="1321"/>
      <c r="U48" s="1321"/>
      <c r="V48" s="1321"/>
      <c r="W48" s="1321"/>
      <c r="X48" s="1321"/>
      <c r="Y48" s="1321"/>
      <c r="Z48" s="1321"/>
      <c r="AA48" s="1321"/>
      <c r="AB48" s="1321"/>
      <c r="AC48" s="1321"/>
      <c r="AD48" s="1321"/>
      <c r="AE48" s="1321"/>
      <c r="AF48" s="1321"/>
      <c r="AG48" s="1321"/>
      <c r="AH48" s="1321"/>
      <c r="AI48" s="1321"/>
      <c r="AJ48" s="1321"/>
      <c r="AK48" s="1321"/>
      <c r="AL48" s="1321"/>
      <c r="AM48" s="1321"/>
      <c r="AN48" s="1321"/>
      <c r="AO48" s="1321"/>
      <c r="AP48" s="1321"/>
    </row>
    <row r="49" spans="1:42">
      <c r="A49" s="290" t="s">
        <v>862</v>
      </c>
      <c r="B49" s="173"/>
      <c r="C49" s="1"/>
      <c r="D49" s="51"/>
      <c r="E49" s="173"/>
      <c r="F49" s="1"/>
      <c r="G49" s="51"/>
      <c r="H49" s="1321"/>
      <c r="I49" s="1321"/>
      <c r="J49" s="1321"/>
      <c r="K49" s="1321"/>
      <c r="L49" s="1321"/>
      <c r="M49" s="1321"/>
      <c r="N49" s="1321"/>
      <c r="O49" s="1321"/>
      <c r="P49" s="1321"/>
      <c r="Q49" s="1321"/>
      <c r="R49" s="1321"/>
      <c r="S49" s="1321"/>
      <c r="T49" s="1321"/>
      <c r="U49" s="1321"/>
      <c r="V49" s="1321"/>
      <c r="W49" s="1321"/>
      <c r="X49" s="1321"/>
      <c r="Y49" s="1321"/>
      <c r="Z49" s="1321"/>
      <c r="AA49" s="1321"/>
      <c r="AB49" s="1321"/>
      <c r="AC49" s="1321"/>
      <c r="AD49" s="1321"/>
      <c r="AE49" s="1321"/>
      <c r="AF49" s="1321"/>
      <c r="AG49" s="1321"/>
      <c r="AH49" s="1321"/>
      <c r="AI49" s="1321"/>
      <c r="AJ49" s="1321"/>
      <c r="AK49" s="1321"/>
      <c r="AL49" s="1321"/>
      <c r="AM49" s="1321"/>
      <c r="AN49" s="1321"/>
      <c r="AO49" s="1321"/>
      <c r="AP49" s="1321"/>
    </row>
    <row r="50" spans="1:42">
      <c r="A50" s="291" t="s">
        <v>800</v>
      </c>
      <c r="B50" s="233">
        <f t="shared" ref="B50:B56" si="1">B$39*B42</f>
        <v>0</v>
      </c>
      <c r="C50" s="1"/>
      <c r="D50" s="51"/>
      <c r="E50" s="233">
        <f t="shared" ref="E50:E56" si="2">E$39*E42</f>
        <v>0</v>
      </c>
      <c r="F50" s="1"/>
      <c r="G50" s="51"/>
      <c r="H50" s="1321"/>
      <c r="I50" s="1321"/>
      <c r="J50" s="1321"/>
      <c r="K50" s="1321"/>
      <c r="L50" s="1321"/>
      <c r="M50" s="1321"/>
      <c r="N50" s="1321"/>
      <c r="O50" s="1321"/>
      <c r="P50" s="1321"/>
      <c r="Q50" s="1321"/>
      <c r="R50" s="1321"/>
      <c r="S50" s="1321"/>
      <c r="T50" s="1321"/>
      <c r="U50" s="1321"/>
      <c r="V50" s="1321"/>
      <c r="W50" s="1321"/>
      <c r="X50" s="1321"/>
      <c r="Y50" s="1321"/>
      <c r="Z50" s="1321"/>
      <c r="AA50" s="1321"/>
      <c r="AB50" s="1321"/>
      <c r="AC50" s="1321"/>
      <c r="AD50" s="1321"/>
      <c r="AE50" s="1321"/>
      <c r="AF50" s="1321"/>
      <c r="AG50" s="1321"/>
      <c r="AH50" s="1321"/>
      <c r="AI50" s="1321"/>
      <c r="AJ50" s="1321"/>
      <c r="AK50" s="1321"/>
      <c r="AL50" s="1321"/>
      <c r="AM50" s="1321"/>
      <c r="AN50" s="1321"/>
      <c r="AO50" s="1321"/>
      <c r="AP50" s="1321"/>
    </row>
    <row r="51" spans="1:42">
      <c r="A51" s="291" t="s">
        <v>802</v>
      </c>
      <c r="B51" s="233">
        <f t="shared" si="1"/>
        <v>0</v>
      </c>
      <c r="C51" s="1"/>
      <c r="D51" s="51"/>
      <c r="E51" s="233">
        <f t="shared" si="2"/>
        <v>0</v>
      </c>
      <c r="F51" s="1"/>
      <c r="G51" s="51"/>
      <c r="H51" s="1321"/>
      <c r="I51" s="1321"/>
      <c r="J51" s="1321"/>
      <c r="K51" s="1321"/>
      <c r="L51" s="1321"/>
      <c r="M51" s="1321"/>
      <c r="N51" s="1321"/>
      <c r="O51" s="1321"/>
      <c r="P51" s="1321"/>
      <c r="Q51" s="1321"/>
      <c r="R51" s="1321"/>
      <c r="S51" s="1321"/>
      <c r="T51" s="1321"/>
      <c r="U51" s="1321"/>
      <c r="V51" s="1321"/>
      <c r="W51" s="1321"/>
      <c r="X51" s="1321"/>
      <c r="Y51" s="1321"/>
      <c r="Z51" s="1321"/>
      <c r="AA51" s="1321"/>
      <c r="AB51" s="1321"/>
      <c r="AC51" s="1321"/>
      <c r="AD51" s="1321"/>
      <c r="AE51" s="1321"/>
      <c r="AF51" s="1321"/>
      <c r="AG51" s="1321"/>
      <c r="AH51" s="1321"/>
      <c r="AI51" s="1321"/>
      <c r="AJ51" s="1321"/>
      <c r="AK51" s="1321"/>
      <c r="AL51" s="1321"/>
      <c r="AM51" s="1321"/>
      <c r="AN51" s="1321"/>
      <c r="AO51" s="1321"/>
      <c r="AP51" s="1321"/>
    </row>
    <row r="52" spans="1:42">
      <c r="A52" s="291" t="s">
        <v>801</v>
      </c>
      <c r="B52" s="233">
        <f t="shared" si="1"/>
        <v>0</v>
      </c>
      <c r="C52" s="1"/>
      <c r="D52" s="51"/>
      <c r="E52" s="233">
        <f t="shared" si="2"/>
        <v>0</v>
      </c>
      <c r="F52" s="1"/>
      <c r="G52" s="51"/>
      <c r="H52" s="1321"/>
      <c r="I52" s="1321"/>
      <c r="J52" s="1321"/>
      <c r="K52" s="1321"/>
      <c r="L52" s="1321"/>
      <c r="M52" s="1321"/>
      <c r="N52" s="1321"/>
      <c r="O52" s="1321"/>
      <c r="P52" s="1321"/>
      <c r="Q52" s="1321"/>
      <c r="R52" s="1321"/>
      <c r="S52" s="1321"/>
      <c r="T52" s="1321"/>
      <c r="U52" s="1321"/>
      <c r="V52" s="1321"/>
      <c r="W52" s="1321"/>
      <c r="X52" s="1321"/>
      <c r="Y52" s="1321"/>
      <c r="Z52" s="1321"/>
      <c r="AA52" s="1321"/>
      <c r="AB52" s="1321"/>
      <c r="AC52" s="1321"/>
      <c r="AD52" s="1321"/>
      <c r="AE52" s="1321"/>
      <c r="AF52" s="1321"/>
      <c r="AG52" s="1321"/>
      <c r="AH52" s="1321"/>
      <c r="AI52" s="1321"/>
      <c r="AJ52" s="1321"/>
      <c r="AK52" s="1321"/>
      <c r="AL52" s="1321"/>
      <c r="AM52" s="1321"/>
      <c r="AN52" s="1321"/>
      <c r="AO52" s="1321"/>
      <c r="AP52" s="1321"/>
    </row>
    <row r="53" spans="1:42">
      <c r="A53" s="291" t="s">
        <v>1319</v>
      </c>
      <c r="B53" s="233">
        <f t="shared" si="1"/>
        <v>0</v>
      </c>
      <c r="C53" s="1"/>
      <c r="D53" s="51"/>
      <c r="E53" s="233">
        <f t="shared" si="2"/>
        <v>0</v>
      </c>
      <c r="F53" s="1"/>
      <c r="G53" s="51"/>
      <c r="H53" s="1321"/>
      <c r="I53" s="1321"/>
      <c r="J53" s="1321"/>
      <c r="K53" s="1321"/>
      <c r="L53" s="1321"/>
      <c r="M53" s="1321"/>
      <c r="N53" s="1321"/>
      <c r="O53" s="1321"/>
      <c r="P53" s="1321"/>
      <c r="Q53" s="1321"/>
      <c r="R53" s="1321"/>
      <c r="S53" s="1321"/>
      <c r="T53" s="1321"/>
      <c r="U53" s="1321"/>
      <c r="V53" s="1321"/>
      <c r="W53" s="1321"/>
      <c r="X53" s="1321"/>
      <c r="Y53" s="1321"/>
      <c r="Z53" s="1321"/>
      <c r="AA53" s="1321"/>
      <c r="AB53" s="1321"/>
      <c r="AC53" s="1321"/>
      <c r="AD53" s="1321"/>
      <c r="AE53" s="1321"/>
      <c r="AF53" s="1321"/>
      <c r="AG53" s="1321"/>
      <c r="AH53" s="1321"/>
      <c r="AI53" s="1321"/>
      <c r="AJ53" s="1321"/>
      <c r="AK53" s="1321"/>
      <c r="AL53" s="1321"/>
      <c r="AM53" s="1321"/>
      <c r="AN53" s="1321"/>
      <c r="AO53" s="1321"/>
      <c r="AP53" s="1321"/>
    </row>
    <row r="54" spans="1:42">
      <c r="A54" s="291" t="s">
        <v>804</v>
      </c>
      <c r="B54" s="233">
        <f t="shared" si="1"/>
        <v>2.5</v>
      </c>
      <c r="C54" s="1"/>
      <c r="D54" s="51"/>
      <c r="E54" s="233">
        <f t="shared" si="2"/>
        <v>13.18416</v>
      </c>
      <c r="F54" s="1"/>
      <c r="G54" s="51"/>
      <c r="H54" s="1321"/>
      <c r="I54" s="1321"/>
      <c r="J54" s="1321"/>
      <c r="K54" s="1321"/>
      <c r="L54" s="1321"/>
      <c r="M54" s="1321"/>
      <c r="N54" s="1321"/>
      <c r="O54" s="1321"/>
      <c r="P54" s="1321"/>
      <c r="Q54" s="1321"/>
      <c r="R54" s="1321"/>
      <c r="S54" s="1321"/>
      <c r="T54" s="1321"/>
      <c r="U54" s="1321"/>
      <c r="V54" s="1321"/>
      <c r="W54" s="1321"/>
      <c r="X54" s="1321"/>
      <c r="Y54" s="1321"/>
      <c r="Z54" s="1321"/>
      <c r="AA54" s="1321"/>
      <c r="AB54" s="1321"/>
      <c r="AC54" s="1321"/>
      <c r="AD54" s="1321"/>
      <c r="AE54" s="1321"/>
      <c r="AF54" s="1321"/>
      <c r="AG54" s="1321"/>
      <c r="AH54" s="1321"/>
      <c r="AI54" s="1321"/>
      <c r="AJ54" s="1321"/>
      <c r="AK54" s="1321"/>
      <c r="AL54" s="1321"/>
      <c r="AM54" s="1321"/>
      <c r="AN54" s="1321"/>
      <c r="AO54" s="1321"/>
      <c r="AP54" s="1321"/>
    </row>
    <row r="55" spans="1:42">
      <c r="A55" s="291" t="s">
        <v>805</v>
      </c>
      <c r="B55" s="233">
        <f t="shared" si="1"/>
        <v>0</v>
      </c>
      <c r="C55" s="1"/>
      <c r="D55" s="51"/>
      <c r="E55" s="233">
        <f t="shared" si="2"/>
        <v>0</v>
      </c>
      <c r="F55" s="1"/>
      <c r="G55" s="51"/>
      <c r="H55" s="1321"/>
      <c r="I55" s="1321"/>
      <c r="J55" s="1321"/>
      <c r="K55" s="1321"/>
      <c r="L55" s="1321"/>
      <c r="M55" s="1321"/>
      <c r="N55" s="1321"/>
      <c r="O55" s="1321"/>
      <c r="P55" s="1321"/>
      <c r="Q55" s="1321"/>
      <c r="R55" s="1321"/>
      <c r="S55" s="1321"/>
      <c r="T55" s="1321"/>
      <c r="U55" s="1321"/>
      <c r="V55" s="1321"/>
      <c r="W55" s="1321"/>
      <c r="X55" s="1321"/>
      <c r="Y55" s="1321"/>
      <c r="Z55" s="1321"/>
      <c r="AA55" s="1321"/>
      <c r="AB55" s="1321"/>
      <c r="AC55" s="1321"/>
      <c r="AD55" s="1321"/>
      <c r="AE55" s="1321"/>
      <c r="AF55" s="1321"/>
      <c r="AG55" s="1321"/>
      <c r="AH55" s="1321"/>
      <c r="AI55" s="1321"/>
      <c r="AJ55" s="1321"/>
      <c r="AK55" s="1321"/>
      <c r="AL55" s="1321"/>
      <c r="AM55" s="1321"/>
      <c r="AN55" s="1321"/>
      <c r="AO55" s="1321"/>
      <c r="AP55" s="1321"/>
    </row>
    <row r="56" spans="1:42">
      <c r="A56" s="291" t="s">
        <v>806</v>
      </c>
      <c r="B56" s="233">
        <f t="shared" si="1"/>
        <v>6.9999999999999743E-2</v>
      </c>
      <c r="C56" s="1"/>
      <c r="D56" s="51"/>
      <c r="E56" s="233">
        <f t="shared" si="2"/>
        <v>1.5839999999999719E-2</v>
      </c>
      <c r="F56" s="1"/>
      <c r="G56" s="51"/>
      <c r="H56" s="1321"/>
      <c r="I56" s="1321"/>
      <c r="J56" s="1321"/>
      <c r="K56" s="1321"/>
      <c r="L56" s="1321"/>
      <c r="M56" s="1321"/>
      <c r="N56" s="1321"/>
      <c r="O56" s="1321"/>
      <c r="P56" s="1321"/>
      <c r="Q56" s="1321"/>
      <c r="R56" s="1321"/>
      <c r="S56" s="1321"/>
      <c r="T56" s="1321"/>
      <c r="U56" s="1321"/>
      <c r="V56" s="1321"/>
      <c r="W56" s="1321"/>
      <c r="X56" s="1321"/>
      <c r="Y56" s="1321"/>
      <c r="Z56" s="1321"/>
      <c r="AA56" s="1321"/>
      <c r="AB56" s="1321"/>
      <c r="AC56" s="1321"/>
      <c r="AD56" s="1321"/>
      <c r="AE56" s="1321"/>
      <c r="AF56" s="1321"/>
      <c r="AG56" s="1321"/>
      <c r="AH56" s="1321"/>
      <c r="AI56" s="1321"/>
      <c r="AJ56" s="1321"/>
      <c r="AK56" s="1321"/>
      <c r="AL56" s="1321"/>
      <c r="AM56" s="1321"/>
      <c r="AN56" s="1321"/>
      <c r="AO56" s="1321"/>
      <c r="AP56" s="1321"/>
    </row>
    <row r="57" spans="1:42">
      <c r="A57" s="481" t="s">
        <v>816</v>
      </c>
      <c r="B57" s="240">
        <f>LiMn2O4!B$50*(1+(GREET1_Import_Export!$B180*GREET1_Import_Export!$F$179+GREET1_Import_Export!$F180)/1000000)+LiMn2O4!B$51*(1+(GREET1_Import_Export!$B180*GREET1_Import_Export!$G$179+GREET1_Import_Export!$G180)/1000000)+LiMn2O4!B$52*(1+(GREET1_Import_Export!$B180*GREET1_Import_Export!$C$179+GREET1_Import_Export!$C180)/1000000)+LiMn2O4!B$53*(1+(GREET1_Import_Export!$E216*GREET1_Import_Export!$F$215+GREET1_Import_Export!$F216)/1000000)+LiMn2O4!B$54*(1+GREET1_Import_Export!$B216/1000000)+LiMn2O4!B$55*(1+GREET1_Import_Export!$B284/1000000)+LiMn2O4!B$56*SUM(GREET1_Import_Export!$B309:$C309)/1000000</f>
        <v>2.9026042843760447</v>
      </c>
      <c r="C57" s="131"/>
      <c r="D57" s="248">
        <f>'GREET2_Factors_T&amp;D'!E53/1000000</f>
        <v>0.76024701820182206</v>
      </c>
      <c r="E57" s="240">
        <f>LiMn2O4!E$50*(1+(GREET1_Import_Export!$B180*GREET1_Import_Export!$F$179+GREET1_Import_Export!$F180)/1000000)+LiMn2O4!E$51*(1+(GREET1_Import_Export!$B180*GREET1_Import_Export!$G$179+GREET1_Import_Export!$G180)/1000000)+LiMn2O4!E$52*(1+(GREET1_Import_Export!$B180*GREET1_Import_Export!$C$179+GREET1_Import_Export!$C180)/1000000)+LiMn2O4!E$53*(1+(GREET1_Import_Export!$E216*GREET1_Import_Export!$F$215+GREET1_Import_Export!$F216)/1000000)+LiMn2O4!E$54*(1+GREET1_Import_Export!$B216/1000000)+LiMn2O4!E$55*(1+GREET1_Import_Export!$B284/1000000)+LiMn2O4!E$56*SUM(GREET1_Import_Export!$B309:$C309)/1000000</f>
        <v>14.590814373892119</v>
      </c>
      <c r="F57" s="131"/>
      <c r="G57" s="248">
        <f>'GREET2_Factors_T&amp;D'!F53/1000000</f>
        <v>3.040988072807288E-2</v>
      </c>
      <c r="H57" s="1321"/>
      <c r="I57" s="1321"/>
      <c r="J57" s="1321"/>
      <c r="K57" s="1321"/>
      <c r="L57" s="1321"/>
      <c r="M57" s="1321"/>
      <c r="N57" s="1321"/>
      <c r="O57" s="1321"/>
      <c r="P57" s="1321"/>
      <c r="Q57" s="1321"/>
      <c r="R57" s="1321"/>
      <c r="S57" s="1321"/>
      <c r="T57" s="1321"/>
      <c r="U57" s="1321"/>
      <c r="V57" s="1321"/>
      <c r="W57" s="1321"/>
      <c r="X57" s="1321"/>
      <c r="Y57" s="1321"/>
      <c r="Z57" s="1321"/>
      <c r="AA57" s="1321"/>
      <c r="AB57" s="1321"/>
      <c r="AC57" s="1321"/>
      <c r="AD57" s="1321"/>
      <c r="AE57" s="1321"/>
      <c r="AF57" s="1321"/>
      <c r="AG57" s="1321"/>
      <c r="AH57" s="1321"/>
      <c r="AI57" s="1321"/>
      <c r="AJ57" s="1321"/>
      <c r="AK57" s="1321"/>
      <c r="AL57" s="1321"/>
      <c r="AM57" s="1321"/>
      <c r="AN57" s="1321"/>
      <c r="AO57" s="1321"/>
      <c r="AP57" s="1321"/>
    </row>
    <row r="58" spans="1:42">
      <c r="A58" s="100" t="s">
        <v>817</v>
      </c>
      <c r="B58" s="234">
        <f>LiMn2O4!B$50*(1+(GREET1_Import_Export!$B181*GREET1_Import_Export!$F$179+GREET1_Import_Export!$F181)/1000000)+LiMn2O4!B$51*(1+(GREET1_Import_Export!$B181*GREET1_Import_Export!$G$179+GREET1_Import_Export!$G181)/1000000)+LiMn2O4!B$52*(1+(GREET1_Import_Export!$B181*GREET1_Import_Export!$C$179+GREET1_Import_Export!$C181)/1000000)+LiMn2O4!B$53*(1+(GREET1_Import_Export!$E217*GREET1_Import_Export!$F$215+GREET1_Import_Export!$F217)/1000000)+LiMn2O4!B$54*(1+GREET1_Import_Export!$B217/1000000)+LiMn2O4!B$55*(1+GREET1_Import_Export!$B285/1000000)+LiMn2O4!B$56*SUM(GREET1_Import_Export!$B310:$C310)/1000000</f>
        <v>2.8712114006402456</v>
      </c>
      <c r="C58" s="1"/>
      <c r="D58" s="235">
        <f>'GREET2_Factors_T&amp;D'!E54/1000000</f>
        <v>0.7565870790806567</v>
      </c>
      <c r="E58" s="234">
        <f>LiMn2O4!E$50*(1+(GREET1_Import_Export!$B181*GREET1_Import_Export!$F$179+GREET1_Import_Export!$F181)/1000000)+LiMn2O4!E$51*(1+(GREET1_Import_Export!$B181*GREET1_Import_Export!$G$179+GREET1_Import_Export!$G181)/1000000)+LiMn2O4!E$52*(1+(GREET1_Import_Export!$B181*GREET1_Import_Export!$C$179+GREET1_Import_Export!$C181)/1000000)+LiMn2O4!E$53*(1+(GREET1_Import_Export!$E217*GREET1_Import_Export!$F$215+GREET1_Import_Export!$F217)/1000000)+LiMn2O4!E$54*(1+GREET1_Import_Export!$B217/1000000)+LiMn2O4!E$55*(1+GREET1_Import_Export!$B285/1000000)+LiMn2O4!E$56*SUM(GREET1_Import_Export!$B310:$C310)/1000000</f>
        <v>14.574289987479224</v>
      </c>
      <c r="F58" s="1"/>
      <c r="G58" s="235">
        <f>'GREET2_Factors_T&amp;D'!F54/1000000</f>
        <v>3.026348316322627E-2</v>
      </c>
      <c r="H58" s="1321"/>
      <c r="I58" s="1321"/>
      <c r="J58" s="1321"/>
      <c r="K58" s="1321"/>
      <c r="L58" s="1321"/>
      <c r="M58" s="1321"/>
      <c r="N58" s="1321"/>
      <c r="O58" s="1321"/>
      <c r="P58" s="1321"/>
      <c r="Q58" s="1321"/>
      <c r="R58" s="1321"/>
      <c r="S58" s="1321"/>
      <c r="T58" s="1321"/>
      <c r="U58" s="1321"/>
      <c r="V58" s="1321"/>
      <c r="W58" s="1321"/>
      <c r="X58" s="1321"/>
      <c r="Y58" s="1321"/>
      <c r="Z58" s="1321"/>
      <c r="AA58" s="1321"/>
      <c r="AB58" s="1321"/>
      <c r="AC58" s="1321"/>
      <c r="AD58" s="1321"/>
      <c r="AE58" s="1321"/>
      <c r="AF58" s="1321"/>
      <c r="AG58" s="1321"/>
      <c r="AH58" s="1321"/>
      <c r="AI58" s="1321"/>
      <c r="AJ58" s="1321"/>
      <c r="AK58" s="1321"/>
      <c r="AL58" s="1321"/>
      <c r="AM58" s="1321"/>
      <c r="AN58" s="1321"/>
      <c r="AO58" s="1321"/>
      <c r="AP58" s="1321"/>
    </row>
    <row r="59" spans="1:42">
      <c r="A59" s="100" t="s">
        <v>805</v>
      </c>
      <c r="B59" s="234">
        <f>LiMn2O4!B$50*((GREET1_Import_Export!$B182*GREET1_Import_Export!$F$179+GREET1_Import_Export!$F182)/1000000)+LiMn2O4!B$51*((GREET1_Import_Export!$B182*GREET1_Import_Export!$G$179+GREET1_Import_Export!$G182)/1000000)+LiMn2O4!B$52*((GREET1_Import_Export!$B182*GREET1_Import_Export!$C$179+GREET1_Import_Export!$C182)/1000000)+LiMn2O4!B$53*((GREET1_Import_Export!$E218*GREET1_Import_Export!$F$215+GREET1_Import_Export!$F218)/1000000)+LiMn2O4!B$54*(GREET1_Import_Export!$B218/1000000)+LiMn2O4!B$55*(1+GREET1_Import_Export!$B286/1000000)+LiMn2O4!B$56*(SUM(GREET1_Import_Export!$B311:$C311)/1000000)</f>
        <v>4.149615480441364E-2</v>
      </c>
      <c r="C59" s="1"/>
      <c r="D59" s="235">
        <f>'GREET2_Factors_T&amp;D'!E55/1000000</f>
        <v>4.6465566104323935E-3</v>
      </c>
      <c r="E59" s="234">
        <f>LiMn2O4!E$50*((GREET1_Import_Export!$B182*GREET1_Import_Export!$F$179+GREET1_Import_Export!$F182)/1000000)+LiMn2O4!E$51*((GREET1_Import_Export!$B182*GREET1_Import_Export!$G$179+GREET1_Import_Export!$G182)/1000000)+LiMn2O4!E$52*((GREET1_Import_Export!$B182*GREET1_Import_Export!$C$179+GREET1_Import_Export!$C182)/1000000)+LiMn2O4!E$53*((GREET1_Import_Export!$E218*GREET1_Import_Export!$F$215+GREET1_Import_Export!$F218)/1000000)+LiMn2O4!E$54*(GREET1_Import_Export!$B218/1000000)+LiMn2O4!E$55*(1+GREET1_Import_Export!$B286/1000000)+LiMn2O4!E$56*(SUM(GREET1_Import_Export!$B311:$C311)/1000000)</f>
        <v>2.182901499570699E-2</v>
      </c>
      <c r="F59" s="1"/>
      <c r="G59" s="235">
        <f>'GREET2_Factors_T&amp;D'!F55/1000000</f>
        <v>1.8586226441729572E-4</v>
      </c>
      <c r="H59" s="1321"/>
      <c r="I59" s="1321"/>
      <c r="J59" s="1321"/>
      <c r="K59" s="1321"/>
      <c r="L59" s="1321"/>
      <c r="M59" s="1321"/>
      <c r="N59" s="1321"/>
      <c r="O59" s="1321"/>
      <c r="P59" s="1321"/>
      <c r="Q59" s="1321"/>
      <c r="R59" s="1321"/>
      <c r="S59" s="1321"/>
      <c r="T59" s="1321"/>
      <c r="U59" s="1321"/>
      <c r="V59" s="1321"/>
      <c r="W59" s="1321"/>
      <c r="X59" s="1321"/>
      <c r="Y59" s="1321"/>
      <c r="Z59" s="1321"/>
      <c r="AA59" s="1321"/>
      <c r="AB59" s="1321"/>
      <c r="AC59" s="1321"/>
      <c r="AD59" s="1321"/>
      <c r="AE59" s="1321"/>
      <c r="AF59" s="1321"/>
      <c r="AG59" s="1321"/>
      <c r="AH59" s="1321"/>
      <c r="AI59" s="1321"/>
      <c r="AJ59" s="1321"/>
      <c r="AK59" s="1321"/>
      <c r="AL59" s="1321"/>
      <c r="AM59" s="1321"/>
      <c r="AN59" s="1321"/>
      <c r="AO59" s="1321"/>
      <c r="AP59" s="1321"/>
    </row>
    <row r="60" spans="1:42">
      <c r="A60" s="100" t="s">
        <v>804</v>
      </c>
      <c r="B60" s="234">
        <f>LiMn2O4!B$50*((GREET1_Import_Export!$B183*GREET1_Import_Export!$F$179+GREET1_Import_Export!$F183)/1000000)+LiMn2O4!B$51*((GREET1_Import_Export!$B183*GREET1_Import_Export!$G$179+GREET1_Import_Export!$G183)/1000000)+LiMn2O4!B$52*((GREET1_Import_Export!$B183*GREET1_Import_Export!$C$179+GREET1_Import_Export!$C183)/1000000)+LiMn2O4!B$53*(1+(GREET1_Import_Export!$E219*GREET1_Import_Export!$F$215+GREET1_Import_Export!$F219)/1000000)+LiMn2O4!B$54*(1+GREET1_Import_Export!$B219/1000000)+LiMn2O4!B$55*(GREET1_Import_Export!$B287/1000000)+LiMn2O4!B$56*SUM(GREET1_Import_Export!$B312:$C312)/1000000</f>
        <v>2.8184585194792153</v>
      </c>
      <c r="C60" s="1"/>
      <c r="D60" s="235">
        <f>'GREET2_Factors_T&amp;D'!E56/1000000</f>
        <v>7.924065296058648E-2</v>
      </c>
      <c r="E60" s="234">
        <f>LiMn2O4!E$50*((GREET1_Import_Export!$B183*GREET1_Import_Export!$F$179+GREET1_Import_Export!$F183)/1000000)+LiMn2O4!E$51*((GREET1_Import_Export!$B183*GREET1_Import_Export!$G$179+GREET1_Import_Export!$G183)/1000000)+LiMn2O4!E$52*((GREET1_Import_Export!$B183*GREET1_Import_Export!$C$179+GREET1_Import_Export!$C183)/1000000)+LiMn2O4!E$53*(1+(GREET1_Import_Export!$E219*GREET1_Import_Export!$F$215+GREET1_Import_Export!$F219)/1000000)+LiMn2O4!E$54*(1+GREET1_Import_Export!$B219/1000000)+LiMn2O4!E$55*(GREET1_Import_Export!$B287/1000000)+LiMn2O4!E$56*SUM(GREET1_Import_Export!$B312:$C312)/1000000</f>
        <v>14.499260098899756</v>
      </c>
      <c r="F60" s="1"/>
      <c r="G60" s="235">
        <f>'GREET2_Factors_T&amp;D'!F56/1000000</f>
        <v>3.1696261184234534E-3</v>
      </c>
      <c r="H60" s="1321"/>
      <c r="I60" s="1321"/>
      <c r="J60" s="1321"/>
      <c r="K60" s="1321"/>
      <c r="L60" s="1321"/>
      <c r="M60" s="1321"/>
      <c r="N60" s="1321"/>
      <c r="O60" s="1321"/>
      <c r="P60" s="1321"/>
      <c r="Q60" s="1321"/>
      <c r="R60" s="1321"/>
      <c r="S60" s="1321"/>
      <c r="T60" s="1321"/>
      <c r="U60" s="1321"/>
      <c r="V60" s="1321"/>
      <c r="W60" s="1321"/>
      <c r="X60" s="1321"/>
      <c r="Y60" s="1321"/>
      <c r="Z60" s="1321"/>
      <c r="AA60" s="1321"/>
      <c r="AB60" s="1321"/>
      <c r="AC60" s="1321"/>
      <c r="AD60" s="1321"/>
      <c r="AE60" s="1321"/>
      <c r="AF60" s="1321"/>
      <c r="AG60" s="1321"/>
      <c r="AH60" s="1321"/>
      <c r="AI60" s="1321"/>
      <c r="AJ60" s="1321"/>
      <c r="AK60" s="1321"/>
      <c r="AL60" s="1321"/>
      <c r="AM60" s="1321"/>
      <c r="AN60" s="1321"/>
      <c r="AO60" s="1321"/>
      <c r="AP60" s="1321"/>
    </row>
    <row r="61" spans="1:42">
      <c r="A61" s="100" t="s">
        <v>818</v>
      </c>
      <c r="B61" s="249">
        <f>LiMn2O4!B$50*(1+(GREET1_Import_Export!$B184*GREET1_Import_Export!$F$179+GREET1_Import_Export!$F184)/1000000)+LiMn2O4!B$51*(1+(GREET1_Import_Export!$B184*GREET1_Import_Export!$G$179+GREET1_Import_Export!$G184)/1000000)+LiMn2O4!B$52*(1+(GREET1_Import_Export!$B184*GREET1_Import_Export!$C$179+GREET1_Import_Export!$C184)/1000000)+LiMn2O4!B$53*((GREET1_Import_Export!$E220*GREET1_Import_Export!$F$215+GREET1_Import_Export!$F220)/1000000)+LiMn2O4!B$54*(GREET1_Import_Export!$B220/1000000)+LiMn2O4!B$55*(GREET1_Import_Export!$B288/1000000)+LiMn2O4!B$56*SUM(GREET1_Import_Export!$B313:$C313)/1000000</f>
        <v>1.1256726356617291E-2</v>
      </c>
      <c r="C61" s="125"/>
      <c r="D61" s="237">
        <f>'GREET2_Factors_T&amp;D'!E57/1000000</f>
        <v>0.67269986950963789</v>
      </c>
      <c r="E61" s="249">
        <f>LiMn2O4!E$50*(1+(GREET1_Import_Export!$B184*GREET1_Import_Export!$F$179+GREET1_Import_Export!$F184)/1000000)+LiMn2O4!E$51*(1+(GREET1_Import_Export!$B184*GREET1_Import_Export!$G$179+GREET1_Import_Export!$G184)/1000000)+LiMn2O4!E$52*(1+(GREET1_Import_Export!$B184*GREET1_Import_Export!$C$179+GREET1_Import_Export!$C184)/1000000)+LiMn2O4!E$53*((GREET1_Import_Export!$E220*GREET1_Import_Export!$F$215+GREET1_Import_Export!$F220)/1000000)+LiMn2O4!E$54*(GREET1_Import_Export!$B220/1000000)+LiMn2O4!E$55*(GREET1_Import_Export!$B288/1000000)+LiMn2O4!E$56*SUM(GREET1_Import_Export!$B313:$C313)/1000000</f>
        <v>5.3200873583764741E-2</v>
      </c>
      <c r="F61" s="125"/>
      <c r="G61" s="237">
        <f>'GREET2_Factors_T&amp;D'!F57/1000000</f>
        <v>2.6907994780385518E-2</v>
      </c>
      <c r="H61" s="1321"/>
      <c r="I61" s="1321"/>
      <c r="J61" s="1321"/>
      <c r="K61" s="1321"/>
      <c r="L61" s="1321"/>
      <c r="M61" s="1321"/>
      <c r="N61" s="1321"/>
      <c r="O61" s="1321"/>
      <c r="P61" s="1321"/>
      <c r="Q61" s="1321"/>
      <c r="R61" s="1321"/>
      <c r="S61" s="1321"/>
      <c r="T61" s="1321"/>
      <c r="U61" s="1321"/>
      <c r="V61" s="1321"/>
      <c r="W61" s="1321"/>
      <c r="X61" s="1321"/>
      <c r="Y61" s="1321"/>
      <c r="Z61" s="1321"/>
      <c r="AA61" s="1321"/>
      <c r="AB61" s="1321"/>
      <c r="AC61" s="1321"/>
      <c r="AD61" s="1321"/>
      <c r="AE61" s="1321"/>
      <c r="AF61" s="1321"/>
      <c r="AG61" s="1321"/>
      <c r="AH61" s="1321"/>
      <c r="AI61" s="1321"/>
      <c r="AJ61" s="1321"/>
      <c r="AK61" s="1321"/>
      <c r="AL61" s="1321"/>
      <c r="AM61" s="1321"/>
      <c r="AN61" s="1321"/>
      <c r="AO61" s="1321"/>
      <c r="AP61" s="1321"/>
    </row>
    <row r="62" spans="1:42" s="631" customFormat="1">
      <c r="A62" s="1718" t="s">
        <v>819</v>
      </c>
      <c r="B62" s="1309">
        <f>LiMn2O4!B$50*((GREET1_Import_Export!$B185*GREET1_Import_Export!$F$179+GREET1_Import_Export!$F185))+LiMn2O4!B$51*((GREET1_Import_Export!$B185*GREET1_Import_Export!$G$179+GREET1_Import_Export!$G185))+LiMn2O4!B$52*((GREET1_Import_Export!$B185*GREET1_Import_Export!$C$179+GREET1_Import_Export!$C185))+LiMn2O4!B$53*((GREET1_Import_Export!$E221*GREET1_Import_Export!$F$215+GREET1_Import_Export!$F221))+LiMn2O4!B$54*(GREET1_Import_Export!$B221)+LiMn2O4!B$55*(GREET1_Import_Export!$B289)+LiMn2O4!B$56*SUM(GREET1_Import_Export!$B314:$C314)</f>
        <v>15.313001434310024</v>
      </c>
      <c r="C62" s="1310"/>
      <c r="D62" s="1444">
        <f>'GREET2_Factors_T&amp;D'!E58</f>
        <v>14.019510871889977</v>
      </c>
      <c r="E62" s="1309">
        <f>LiMn2O4!E$50*((GREET1_Import_Export!$B185*GREET1_Import_Export!$F$179+GREET1_Import_Export!$F185))+LiMn2O4!E$51*((GREET1_Import_Export!$B185*GREET1_Import_Export!$G$179+GREET1_Import_Export!$G185))+LiMn2O4!E$52*((GREET1_Import_Export!$B185*GREET1_Import_Export!$C$179+GREET1_Import_Export!$C185))+LiMn2O4!E$53*((GREET1_Import_Export!$E221*GREET1_Import_Export!$F$215+GREET1_Import_Export!$F221))+LiMn2O4!E$54*(GREET1_Import_Export!$B221)+LiMn2O4!E$55*(GREET1_Import_Export!$B289)+LiMn2O4!E$56*SUM(GREET1_Import_Export!$B314:$C314)</f>
        <v>42.355291341930858</v>
      </c>
      <c r="F62" s="1310"/>
      <c r="G62" s="1444">
        <f>'GREET2_Factors_T&amp;D'!F58</f>
        <v>0.56078043487559914</v>
      </c>
      <c r="AI62" s="1321"/>
      <c r="AJ62" s="1321"/>
      <c r="AK62" s="1321"/>
      <c r="AL62" s="1321"/>
      <c r="AM62" s="1321"/>
      <c r="AN62" s="1321"/>
      <c r="AO62" s="1321"/>
      <c r="AP62" s="1321"/>
    </row>
    <row r="63" spans="1:42">
      <c r="A63" s="482" t="s">
        <v>864</v>
      </c>
      <c r="B63" s="240"/>
      <c r="C63" s="131"/>
      <c r="D63" s="50"/>
      <c r="E63" s="240"/>
      <c r="F63" s="131"/>
      <c r="G63" s="50"/>
      <c r="H63" s="1321"/>
      <c r="I63" s="1321"/>
      <c r="J63" s="1321"/>
      <c r="K63" s="1321"/>
      <c r="L63" s="1321"/>
      <c r="M63" s="1321"/>
      <c r="N63" s="1321"/>
      <c r="O63" s="1321"/>
      <c r="P63" s="1321"/>
      <c r="Q63" s="1321"/>
      <c r="R63" s="1321"/>
      <c r="S63" s="1321"/>
      <c r="T63" s="1321"/>
      <c r="U63" s="1321"/>
      <c r="V63" s="1321"/>
      <c r="W63" s="1321"/>
      <c r="X63" s="1321"/>
      <c r="Y63" s="1321"/>
      <c r="Z63" s="1321"/>
      <c r="AA63" s="1321"/>
      <c r="AB63" s="1321"/>
      <c r="AC63" s="1321"/>
      <c r="AD63" s="1321"/>
      <c r="AE63" s="1321"/>
      <c r="AF63" s="1321"/>
      <c r="AG63" s="1321"/>
      <c r="AH63" s="1321"/>
      <c r="AI63" s="1321"/>
      <c r="AJ63" s="1321"/>
      <c r="AK63" s="1321"/>
      <c r="AL63" s="1321"/>
      <c r="AM63" s="1321"/>
      <c r="AN63" s="1321"/>
      <c r="AO63" s="1321"/>
      <c r="AP63" s="1321"/>
    </row>
    <row r="64" spans="1:42">
      <c r="A64" s="100" t="s">
        <v>821</v>
      </c>
      <c r="B64" s="234">
        <f t="array" ref="B64">LiMn2O4!B$50*(LiMn2O4!B$19*GREET1_Import_Export!$K72+GREET1_Import_Export!$B186*GREET1_Import_Export!$F$179+GREET1_Import_Export!$F186)+LiMn2O4!B$51*(LiMn2O4!B$21*GREET1_Import_Export!$Q72+LiMn2O4!B$22*GREET1_Import_Export!$O72+LiMn2O4!B$23*GREET1_Import_Export!$M72+GREET1_Import_Export!$B186*GREET1_Import_Export!$G$179+GREET1_Import_Export!$G186)+LiMn2O4!B$52*(LiMn2O4!B$24*GREET1_Import_Export!$T72+GREET1_Import_Export!$B186*GREET1_Import_Export!$C$179+GREET1_Import_Export!$C186)+LiMn2O4!B$53*(LiMn2O4!B$25*GREET1_Import_Export!$W72+GREET1_Import_Export!$E222*GREET1_Import_Export!$F$215+GREET1_Import_Export!$F222)+LiMn2O4!B$54*(LiMn2O4!B$26*GREET1_Import_Export!$B72+LiMn2O4!B$27*GREET1_Import_Export!$C72+LiMn2O4!B$28*GREET1_Import_Export!$G72+(MMULT('GREET2_Factors_T&amp;D'!$F15:$H15+0,LiMn2O4!B$30:B$32+0))+GREET1_Import_Export!$B222)+LiMn2O4!B$55*(LiMn2O4!B$33*GREET1_Import_Export!$AA72+LiMn2O4!B$34*GREET1_Import_Export!$AB72+GREET1_Import_Export!$B290)+LiMn2O4!B$56*SUM(GREET1_Import_Export!$B315:$C315)</f>
        <v>276.687140257338</v>
      </c>
      <c r="C64" s="1"/>
      <c r="D64" s="235">
        <f>'GREET2_Factors_T&amp;D'!E60</f>
        <v>8.8996043196016252</v>
      </c>
      <c r="E64" s="234">
        <f t="array" ref="E64">LiMn2O4!E$50*(LiMn2O4!C$19*GREET1_Import_Export!$K72+GREET1_Import_Export!$B186*GREET1_Import_Export!$F$179+GREET1_Import_Export!$F186)+LiMn2O4!E$51*(LiMn2O4!C$21*GREET1_Import_Export!$Q72+LiMn2O4!C$22*GREET1_Import_Export!$O72+LiMn2O4!C$23*GREET1_Import_Export!$M72+GREET1_Import_Export!$B186*GREET1_Import_Export!$G$179+GREET1_Import_Export!$G186)+LiMn2O4!E$52*(LiMn2O4!C$24*GREET1_Import_Export!$T72+GREET1_Import_Export!$B186*GREET1_Import_Export!$C$179+GREET1_Import_Export!$C186)+LiMn2O4!E$53*(LiMn2O4!C$25*GREET1_Import_Export!$W72+GREET1_Import_Export!$E222*GREET1_Import_Export!$F$215+GREET1_Import_Export!$F222)+LiMn2O4!E$54*(LiMn2O4!C$26*GREET1_Import_Export!$B72+LiMn2O4!C$27*GREET1_Import_Export!$C72+LiMn2O4!C$28*GREET1_Import_Export!$G72+(MMULT('GREET2_Factors_T&amp;D'!$F15:$H15+0,LiMn2O4!C$30:C$32+0))+GREET1_Import_Export!$B222)+LiMn2O4!E$55*(LiMn2O4!C$33*GREET1_Import_Export!$AA72+LiMn2O4!C$34*GREET1_Import_Export!$AB72+GREET1_Import_Export!$B290)+LiMn2O4!E$56*SUM(GREET1_Import_Export!$B315:$C315)</f>
        <v>1454.2591508113412</v>
      </c>
      <c r="F64" s="1"/>
      <c r="G64" s="235">
        <f>'GREET2_Factors_T&amp;D'!F60</f>
        <v>0.35598417278406502</v>
      </c>
      <c r="H64" s="1321"/>
      <c r="I64" s="1321"/>
      <c r="J64" s="1321"/>
      <c r="K64" s="1321"/>
      <c r="L64" s="1321"/>
      <c r="M64" s="1321"/>
      <c r="N64" s="1321"/>
      <c r="O64" s="1321"/>
      <c r="P64" s="1321"/>
      <c r="Q64" s="1321"/>
      <c r="R64" s="1321"/>
      <c r="S64" s="1321"/>
      <c r="T64" s="1321"/>
      <c r="U64" s="1321"/>
      <c r="V64" s="1321"/>
      <c r="W64" s="1321"/>
      <c r="X64" s="1321"/>
      <c r="Y64" s="1321"/>
      <c r="Z64" s="1321"/>
      <c r="AA64" s="1321"/>
      <c r="AB64" s="1321"/>
      <c r="AC64" s="1321"/>
      <c r="AD64" s="1321"/>
      <c r="AE64" s="1321"/>
      <c r="AF64" s="1321"/>
      <c r="AG64" s="1321"/>
      <c r="AH64" s="1321"/>
      <c r="AI64" s="1321"/>
      <c r="AJ64" s="1321"/>
      <c r="AK64" s="1321"/>
      <c r="AL64" s="1321"/>
      <c r="AM64" s="1321"/>
      <c r="AN64" s="1321"/>
      <c r="AO64" s="1321"/>
      <c r="AP64" s="1321"/>
    </row>
    <row r="65" spans="1:42">
      <c r="A65" s="100" t="s">
        <v>822</v>
      </c>
      <c r="B65" s="234">
        <f t="array" ref="B65">LiMn2O4!B$50*(LiMn2O4!B$19*GREET1_Import_Export!$K73+GREET1_Import_Export!$B187*GREET1_Import_Export!$F$179+GREET1_Import_Export!$F187)+LiMn2O4!B$51*(LiMn2O4!B$21*GREET1_Import_Export!$Q73+LiMn2O4!B$22*GREET1_Import_Export!$O73+LiMn2O4!B$23*GREET1_Import_Export!$M73+GREET1_Import_Export!$B187*GREET1_Import_Export!$G$179+GREET1_Import_Export!$G187)+LiMn2O4!B$52*(LiMn2O4!B$24*GREET1_Import_Export!$T73+GREET1_Import_Export!$B187*GREET1_Import_Export!$C$179+GREET1_Import_Export!$C187)+LiMn2O4!B$53*(LiMn2O4!B$25*GREET1_Import_Export!$W73+GREET1_Import_Export!$E223*GREET1_Import_Export!$F$215+GREET1_Import_Export!$F223)+LiMn2O4!B$54*(LiMn2O4!B$26*GREET1_Import_Export!$B73+LiMn2O4!B$27*GREET1_Import_Export!$C73+LiMn2O4!B$28*GREET1_Import_Export!$G73+(MMULT('GREET2_Factors_T&amp;D'!$F16:$H16+0,LiMn2O4!B$30:B$32+0))+GREET1_Import_Export!$B223)+LiMn2O4!B$55*(LiMn2O4!B$33*GREET1_Import_Export!$AA73+LiMn2O4!B$34*GREET1_Import_Export!$AB73+GREET1_Import_Export!$B291)+LiMn2O4!B$56*SUM(GREET1_Import_Export!$B316:$C316)</f>
        <v>205.73655715604338</v>
      </c>
      <c r="C65" s="1"/>
      <c r="D65" s="235">
        <f>'GREET2_Factors_T&amp;D'!E61</f>
        <v>123.41034381380462</v>
      </c>
      <c r="E65" s="234">
        <f t="array" ref="E65">LiMn2O4!E$50*(LiMn2O4!C$19*GREET1_Import_Export!$K73+GREET1_Import_Export!$B187*GREET1_Import_Export!$F$179+GREET1_Import_Export!$F187)+LiMn2O4!E$51*(LiMn2O4!C$21*GREET1_Import_Export!$Q73+LiMn2O4!C$22*GREET1_Import_Export!$O73+LiMn2O4!C$23*GREET1_Import_Export!$M73+GREET1_Import_Export!$B187*GREET1_Import_Export!$G$179+GREET1_Import_Export!$G187)+LiMn2O4!E$52*(LiMn2O4!C$24*GREET1_Import_Export!$T73+GREET1_Import_Export!$B187*GREET1_Import_Export!$C$179+GREET1_Import_Export!$C187)+LiMn2O4!E$53*(LiMn2O4!C$25*GREET1_Import_Export!$W73+GREET1_Import_Export!$E223*GREET1_Import_Export!$F$215+GREET1_Import_Export!$F223)+LiMn2O4!E$54*(LiMn2O4!C$26*GREET1_Import_Export!$B73+LiMn2O4!C$27*GREET1_Import_Export!$C73+LiMn2O4!C$28*GREET1_Import_Export!$G73+(MMULT('GREET2_Factors_T&amp;D'!$F16:$H16+0,LiMn2O4!C$30:C$32+0))+GREET1_Import_Export!$B223)+LiMn2O4!E$55*(LiMn2O4!C$33*GREET1_Import_Export!$AA73+LiMn2O4!C$34*GREET1_Import_Export!$AB73+GREET1_Import_Export!$B291)+LiMn2O4!E$56*SUM(GREET1_Import_Export!$B316:$C316)</f>
        <v>1071.7520176364533</v>
      </c>
      <c r="F65" s="1"/>
      <c r="G65" s="235">
        <f>'GREET2_Factors_T&amp;D'!F61</f>
        <v>4.936413752552185</v>
      </c>
      <c r="H65" s="1321"/>
      <c r="I65" s="1321"/>
      <c r="J65" s="1321"/>
      <c r="K65" s="1321"/>
      <c r="L65" s="1321"/>
      <c r="M65" s="1321"/>
      <c r="N65" s="1321"/>
      <c r="O65" s="1321"/>
      <c r="P65" s="1321"/>
      <c r="Q65" s="1321"/>
      <c r="R65" s="1321"/>
      <c r="S65" s="1321"/>
      <c r="T65" s="1321"/>
      <c r="U65" s="1321"/>
      <c r="V65" s="1321"/>
      <c r="W65" s="1321"/>
      <c r="X65" s="1321"/>
      <c r="Y65" s="1321"/>
      <c r="Z65" s="1321"/>
      <c r="AA65" s="1321"/>
      <c r="AB65" s="1321"/>
      <c r="AC65" s="1321"/>
      <c r="AD65" s="1321"/>
      <c r="AE65" s="1321"/>
      <c r="AF65" s="1321"/>
      <c r="AG65" s="1321"/>
      <c r="AH65" s="1321"/>
      <c r="AI65" s="1321"/>
      <c r="AJ65" s="1321"/>
      <c r="AK65" s="1321"/>
      <c r="AL65" s="1321"/>
      <c r="AM65" s="1321"/>
      <c r="AN65" s="1321"/>
      <c r="AO65" s="1321"/>
      <c r="AP65" s="1321"/>
    </row>
    <row r="66" spans="1:42">
      <c r="A66" s="100" t="s">
        <v>823</v>
      </c>
      <c r="B66" s="234">
        <f t="array" ref="B66">LiMn2O4!B$50*(LiMn2O4!B$19*GREET1_Import_Export!$K74+GREET1_Import_Export!$B188*GREET1_Import_Export!$F$179+GREET1_Import_Export!$F188)+LiMn2O4!B$51*(LiMn2O4!B$21*GREET1_Import_Export!$Q74+LiMn2O4!B$22*GREET1_Import_Export!$O74+LiMn2O4!B$23*GREET1_Import_Export!$M74+GREET1_Import_Export!$B188*GREET1_Import_Export!$G$179+GREET1_Import_Export!$G188)+LiMn2O4!B$52*(LiMn2O4!B$24*GREET1_Import_Export!$T74+GREET1_Import_Export!$B188*GREET1_Import_Export!$C$179+GREET1_Import_Export!$C188)+LiMn2O4!B$53*(LiMn2O4!B$25*GREET1_Import_Export!$W74+GREET1_Import_Export!$E224*GREET1_Import_Export!$F$215+GREET1_Import_Export!$F224)+LiMn2O4!B$54*(LiMn2O4!B$26*GREET1_Import_Export!$B74+LiMn2O4!B$27*GREET1_Import_Export!$C74+LiMn2O4!B$28*GREET1_Import_Export!$G74+(MMULT('GREET2_Factors_T&amp;D'!$F17:$H17+0,LiMn2O4!B$30:B$32+0))+GREET1_Import_Export!$B224)+LiMn2O4!B$55*(LiMn2O4!B$33*GREET1_Import_Export!$AA74+LiMn2O4!B$34*GREET1_Import_Export!$AB74+GREET1_Import_Export!$B292)+LiMn2O4!B$56*SUM(GREET1_Import_Export!$B317:$C317)</f>
        <v>346.07613049303842</v>
      </c>
      <c r="C66" s="1"/>
      <c r="D66" s="235">
        <f>'GREET2_Factors_T&amp;D'!E62</f>
        <v>84.157979395744263</v>
      </c>
      <c r="E66" s="234">
        <f t="array" ref="E66">LiMn2O4!E$50*(LiMn2O4!C$19*GREET1_Import_Export!$K74+GREET1_Import_Export!$B188*GREET1_Import_Export!$F$179+GREET1_Import_Export!$F188)+LiMn2O4!E$51*(LiMn2O4!C$21*GREET1_Import_Export!$Q74+LiMn2O4!C$22*GREET1_Import_Export!$O74+LiMn2O4!C$23*GREET1_Import_Export!$M74+GREET1_Import_Export!$B188*GREET1_Import_Export!$G$179+GREET1_Import_Export!$G188)+LiMn2O4!E$52*(LiMn2O4!C$24*GREET1_Import_Export!$T74+GREET1_Import_Export!$B188*GREET1_Import_Export!$C$179+GREET1_Import_Export!$C188)+LiMn2O4!E$53*(LiMn2O4!C$25*GREET1_Import_Export!$W74+GREET1_Import_Export!$E224*GREET1_Import_Export!$F$215+GREET1_Import_Export!$F224)+LiMn2O4!E$54*(LiMn2O4!C$26*GREET1_Import_Export!$B74+LiMn2O4!C$27*GREET1_Import_Export!$C74+LiMn2O4!C$28*GREET1_Import_Export!$G74+(MMULT('GREET2_Factors_T&amp;D'!$F17:$H17+0,LiMn2O4!C$30:C$32+0))+GREET1_Import_Export!$B224)+LiMn2O4!E$55*(LiMn2O4!C$33*GREET1_Import_Export!$AA74+LiMn2O4!C$34*GREET1_Import_Export!$AB74+GREET1_Import_Export!$B292)+LiMn2O4!E$56*SUM(GREET1_Import_Export!$B317:$C317)</f>
        <v>1797.8274861120919</v>
      </c>
      <c r="F66" s="1"/>
      <c r="G66" s="235">
        <f>'GREET2_Factors_T&amp;D'!F62</f>
        <v>3.3663191758297706</v>
      </c>
      <c r="H66" s="1321"/>
      <c r="I66" s="1321"/>
      <c r="J66" s="1321"/>
      <c r="K66" s="1321"/>
      <c r="L66" s="1321"/>
      <c r="M66" s="1321"/>
      <c r="N66" s="1321"/>
      <c r="O66" s="1321"/>
      <c r="P66" s="1321"/>
      <c r="Q66" s="1321"/>
      <c r="R66" s="1321"/>
      <c r="S66" s="1321"/>
      <c r="T66" s="1321"/>
      <c r="U66" s="1321"/>
      <c r="V66" s="1321"/>
      <c r="W66" s="1321"/>
      <c r="X66" s="1321"/>
      <c r="Y66" s="1321"/>
      <c r="Z66" s="1321"/>
      <c r="AA66" s="1321"/>
      <c r="AB66" s="1321"/>
      <c r="AC66" s="1321"/>
      <c r="AD66" s="1321"/>
      <c r="AE66" s="1321"/>
      <c r="AF66" s="1321"/>
      <c r="AG66" s="1321"/>
      <c r="AH66" s="1321"/>
      <c r="AI66" s="1321"/>
      <c r="AJ66" s="1321"/>
      <c r="AK66" s="1321"/>
      <c r="AL66" s="1321"/>
      <c r="AM66" s="1321"/>
      <c r="AN66" s="1321"/>
      <c r="AO66" s="1321"/>
      <c r="AP66" s="1321"/>
    </row>
    <row r="67" spans="1:42">
      <c r="A67" s="100" t="s">
        <v>824</v>
      </c>
      <c r="B67" s="234">
        <f t="array" ref="B67">LiMn2O4!B$50*(LiMn2O4!B$19*GREET1_Import_Export!$K75+GREET1_Import_Export!$B189*GREET1_Import_Export!$F$179+GREET1_Import_Export!$F189)+LiMn2O4!B$51*(LiMn2O4!B$21*GREET1_Import_Export!$Q75+LiMn2O4!B$22*GREET1_Import_Export!$O75+LiMn2O4!B$23*GREET1_Import_Export!$M75+GREET1_Import_Export!$B189*GREET1_Import_Export!$G$179+GREET1_Import_Export!$G189)+LiMn2O4!B$52*(LiMn2O4!B$24*GREET1_Import_Export!$T75+GREET1_Import_Export!$B189*GREET1_Import_Export!$C$179+GREET1_Import_Export!$C189)+LiMn2O4!B$53*(LiMn2O4!B$25*GREET1_Import_Export!$W75+GREET1_Import_Export!$E225*GREET1_Import_Export!$F$215+GREET1_Import_Export!$F225)+LiMn2O4!B$54*(LiMn2O4!B$26*GREET1_Import_Export!$B75+LiMn2O4!B$27*GREET1_Import_Export!$C75+LiMn2O4!B$28*GREET1_Import_Export!$G75+(MMULT('GREET2_Factors_T&amp;D'!$F18:$H18+0,LiMn2O4!B$30:B$32+0))+GREET1_Import_Export!$B225)+LiMn2O4!B$55*(LiMn2O4!B$33*GREET1_Import_Export!$AA75+LiMn2O4!B$34*GREET1_Import_Export!$AB75+GREET1_Import_Export!$B293)+LiMn2O4!B$56*SUM(GREET1_Import_Export!$B318:$C318)</f>
        <v>226.91471799331555</v>
      </c>
      <c r="C67" s="1"/>
      <c r="D67" s="235">
        <f>'GREET2_Factors_T&amp;D'!E63</f>
        <v>4.7313017621444651</v>
      </c>
      <c r="E67" s="234">
        <f t="array" ref="E67">LiMn2O4!E$50*(LiMn2O4!C$19*GREET1_Import_Export!$K75+GREET1_Import_Export!$B189*GREET1_Import_Export!$F$179+GREET1_Import_Export!$F189)+LiMn2O4!E$51*(LiMn2O4!C$21*GREET1_Import_Export!$Q75+LiMn2O4!C$22*GREET1_Import_Export!$O75+LiMn2O4!C$23*GREET1_Import_Export!$M75+GREET1_Import_Export!$B189*GREET1_Import_Export!$G$179+GREET1_Import_Export!$G189)+LiMn2O4!E$52*(LiMn2O4!C$24*GREET1_Import_Export!$T75+GREET1_Import_Export!$B189*GREET1_Import_Export!$C$179+GREET1_Import_Export!$C189)+LiMn2O4!E$53*(LiMn2O4!C$25*GREET1_Import_Export!$W75+GREET1_Import_Export!$E225*GREET1_Import_Export!$F$215+GREET1_Import_Export!$F225)+LiMn2O4!E$54*(LiMn2O4!C$26*GREET1_Import_Export!$B75+LiMn2O4!C$27*GREET1_Import_Export!$C75+LiMn2O4!C$28*GREET1_Import_Export!$G75+(MMULT('GREET2_Factors_T&amp;D'!$F18:$H18+0,LiMn2O4!C$30:C$32+0))+GREET1_Import_Export!$B225)+LiMn2O4!E$55*(LiMn2O4!C$33*GREET1_Import_Export!$AA75+LiMn2O4!C$34*GREET1_Import_Export!$AB75+GREET1_Import_Export!$B293)+LiMn2O4!E$56*SUM(GREET1_Import_Export!$B318:$C318)</f>
        <v>1192.3080209914249</v>
      </c>
      <c r="F67" s="1"/>
      <c r="G67" s="235">
        <f>'GREET2_Factors_T&amp;D'!F63</f>
        <v>0.18925207048577861</v>
      </c>
      <c r="H67" s="1321"/>
      <c r="I67" s="1321"/>
      <c r="J67" s="1321"/>
      <c r="K67" s="1321"/>
      <c r="L67" s="1321"/>
      <c r="M67" s="1321"/>
      <c r="N67" s="1321"/>
      <c r="O67" s="1321"/>
      <c r="P67" s="1321"/>
      <c r="Q67" s="1321"/>
      <c r="R67" s="1321"/>
      <c r="S67" s="1321"/>
      <c r="T67" s="1321"/>
      <c r="U67" s="1321"/>
      <c r="V67" s="1321"/>
      <c r="W67" s="1321"/>
      <c r="X67" s="1321"/>
      <c r="Y67" s="1321"/>
      <c r="Z67" s="1321"/>
      <c r="AA67" s="1321"/>
      <c r="AB67" s="1321"/>
      <c r="AC67" s="1321"/>
      <c r="AD67" s="1321"/>
      <c r="AE67" s="1321"/>
      <c r="AF67" s="1321"/>
      <c r="AG67" s="1321"/>
      <c r="AH67" s="1321"/>
      <c r="AI67" s="1321"/>
      <c r="AJ67" s="1321"/>
      <c r="AK67" s="1321"/>
      <c r="AL67" s="1321"/>
      <c r="AM67" s="1321"/>
      <c r="AN67" s="1321"/>
      <c r="AO67" s="1321"/>
      <c r="AP67" s="1321"/>
    </row>
    <row r="68" spans="1:42">
      <c r="A68" s="291" t="s">
        <v>825</v>
      </c>
      <c r="B68" s="234">
        <f t="array" ref="B68">LiMn2O4!B$50*(LiMn2O4!B$19*GREET1_Import_Export!$K76+GREET1_Import_Export!$B190*GREET1_Import_Export!$F$179+GREET1_Import_Export!$F190)+LiMn2O4!B$51*(LiMn2O4!B$21*GREET1_Import_Export!$Q76+LiMn2O4!B$22*GREET1_Import_Export!$O76+LiMn2O4!B$23*GREET1_Import_Export!$M76+GREET1_Import_Export!$B190*GREET1_Import_Export!$G$179+GREET1_Import_Export!$G190)+LiMn2O4!B$52*(LiMn2O4!B$24*GREET1_Import_Export!$T76+GREET1_Import_Export!$B190*GREET1_Import_Export!$C$179+GREET1_Import_Export!$C190)+LiMn2O4!B$53*(LiMn2O4!B$25*GREET1_Import_Export!$W76+GREET1_Import_Export!$E226*GREET1_Import_Export!$F$215+GREET1_Import_Export!$F226)+LiMn2O4!B$54*(LiMn2O4!B$26*GREET1_Import_Export!$B76+LiMn2O4!B$27*GREET1_Import_Export!$C76+LiMn2O4!B$28*GREET1_Import_Export!$G76+(MMULT('GREET2_Factors_T&amp;D'!$F19:$H19+0,LiMn2O4!B$30:B$32+0))+GREET1_Import_Export!$B226)+LiMn2O4!B$55*(LiMn2O4!B$33*GREET1_Import_Export!$AA76+LiMn2O4!B$34*GREET1_Import_Export!$AB76+GREET1_Import_Export!$B294)+LiMn2O4!B$56*SUM(GREET1_Import_Export!$B319:$C319)</f>
        <v>226.46573743367634</v>
      </c>
      <c r="C68" s="1"/>
      <c r="D68" s="235">
        <f>'GREET2_Factors_T&amp;D'!E64</f>
        <v>1.3745724618150339</v>
      </c>
      <c r="E68" s="234">
        <f t="array" ref="E68">LiMn2O4!E$50*(LiMn2O4!C$19*GREET1_Import_Export!$K76+GREET1_Import_Export!$B190*GREET1_Import_Export!$F$179+GREET1_Import_Export!$F190)+LiMn2O4!E$51*(LiMn2O4!C$21*GREET1_Import_Export!$Q76+LiMn2O4!C$22*GREET1_Import_Export!$O76+LiMn2O4!C$23*GREET1_Import_Export!$M76+GREET1_Import_Export!$B190*GREET1_Import_Export!$G$179+GREET1_Import_Export!$G190)+LiMn2O4!E$52*(LiMn2O4!C$24*GREET1_Import_Export!$T76+GREET1_Import_Export!$B190*GREET1_Import_Export!$C$179+GREET1_Import_Export!$C190)+LiMn2O4!E$53*(LiMn2O4!C$25*GREET1_Import_Export!$W76+GREET1_Import_Export!$E226*GREET1_Import_Export!$F$215+GREET1_Import_Export!$F226)+LiMn2O4!E$54*(LiMn2O4!C$26*GREET1_Import_Export!$B76+LiMn2O4!C$27*GREET1_Import_Export!$C76+LiMn2O4!C$28*GREET1_Import_Export!$G76+(MMULT('GREET2_Factors_T&amp;D'!$F19:$H19+0,LiMn2O4!C$30:C$32+0))+GREET1_Import_Export!$B226)+LiMn2O4!E$55*(LiMn2O4!C$33*GREET1_Import_Export!$AA76+LiMn2O4!C$34*GREET1_Import_Export!$AB76+GREET1_Import_Export!$B294)+LiMn2O4!E$56*SUM(GREET1_Import_Export!$B319:$C319)</f>
        <v>1191.6846555317941</v>
      </c>
      <c r="F68" s="1"/>
      <c r="G68" s="235">
        <f>'GREET2_Factors_T&amp;D'!F64</f>
        <v>5.4982898472601356E-2</v>
      </c>
      <c r="H68" s="1321"/>
      <c r="I68" s="1321"/>
      <c r="J68" s="1321"/>
      <c r="K68" s="1321"/>
      <c r="L68" s="1321"/>
      <c r="M68" s="1321"/>
      <c r="N68" s="1321"/>
      <c r="O68" s="1321"/>
      <c r="P68" s="1321"/>
      <c r="Q68" s="1321"/>
      <c r="R68" s="1321"/>
      <c r="S68" s="1321"/>
      <c r="T68" s="1321"/>
      <c r="U68" s="1321"/>
      <c r="V68" s="1321"/>
      <c r="W68" s="1321"/>
      <c r="X68" s="1321"/>
      <c r="Y68" s="1321"/>
      <c r="Z68" s="1321"/>
      <c r="AA68" s="1321"/>
      <c r="AB68" s="1321"/>
      <c r="AC68" s="1321"/>
      <c r="AD68" s="1321"/>
      <c r="AE68" s="1321"/>
      <c r="AF68" s="1321"/>
      <c r="AG68" s="1321"/>
      <c r="AH68" s="1321"/>
      <c r="AI68" s="1321"/>
      <c r="AJ68" s="1321"/>
      <c r="AK68" s="1321"/>
      <c r="AL68" s="1321"/>
      <c r="AM68" s="1321"/>
      <c r="AN68" s="1321"/>
      <c r="AO68" s="1321"/>
      <c r="AP68" s="1321"/>
    </row>
    <row r="69" spans="1:42">
      <c r="A69" s="291" t="s">
        <v>826</v>
      </c>
      <c r="B69" s="234">
        <f t="array" ref="B69">LiMn2O4!B$50*(LiMn2O4!B$19*GREET1_Import_Export!$K77+GREET1_Import_Export!$B191*GREET1_Import_Export!$F$179+GREET1_Import_Export!$F191)+LiMn2O4!B$51*(LiMn2O4!B$21*GREET1_Import_Export!$Q77+LiMn2O4!B$22*GREET1_Import_Export!$O77+LiMn2O4!B$23*GREET1_Import_Export!$M77+GREET1_Import_Export!$B191*GREET1_Import_Export!$G$179+GREET1_Import_Export!$G191)+LiMn2O4!B$52*(LiMn2O4!B$24*GREET1_Import_Export!$T77+GREET1_Import_Export!$B191*GREET1_Import_Export!$C$179+GREET1_Import_Export!$C191)+LiMn2O4!B$53*(LiMn2O4!B$25*GREET1_Import_Export!$W77+GREET1_Import_Export!$E227*GREET1_Import_Export!$F$215+GREET1_Import_Export!$F227)+LiMn2O4!B$54*(LiMn2O4!B$26*GREET1_Import_Export!$B77+LiMn2O4!B$27*GREET1_Import_Export!$C77+LiMn2O4!B$28*GREET1_Import_Export!$G77+(MMULT('GREET2_Factors_T&amp;D'!$F20:$H20+0,LiMn2O4!B$30:B$32+0))+GREET1_Import_Export!$B227)+LiMn2O4!B$55*(LiMn2O4!B$33*GREET1_Import_Export!$AA77+LiMn2O4!B$34*GREET1_Import_Export!$AB77+GREET1_Import_Export!$B295)+LiMn2O4!B$56*SUM(GREET1_Import_Export!$B320:$C320)</f>
        <v>107.2859894721734</v>
      </c>
      <c r="C69" s="1"/>
      <c r="D69" s="235">
        <f>'GREET2_Factors_T&amp;D'!E65</f>
        <v>3.3089364964533958</v>
      </c>
      <c r="E69" s="234">
        <f t="array" ref="E69">LiMn2O4!E$50*(LiMn2O4!C$19*GREET1_Import_Export!$K77+GREET1_Import_Export!$B191*GREET1_Import_Export!$F$179+GREET1_Import_Export!$F191)+LiMn2O4!E$51*(LiMn2O4!C$21*GREET1_Import_Export!$Q77+LiMn2O4!C$22*GREET1_Import_Export!$O77+LiMn2O4!C$23*GREET1_Import_Export!$M77+GREET1_Import_Export!$B191*GREET1_Import_Export!$G$179+GREET1_Import_Export!$G191)+LiMn2O4!E$52*(LiMn2O4!C$24*GREET1_Import_Export!$T77+GREET1_Import_Export!$B191*GREET1_Import_Export!$C$179+GREET1_Import_Export!$C191)+LiMn2O4!E$53*(LiMn2O4!C$25*GREET1_Import_Export!$W77+GREET1_Import_Export!$E227*GREET1_Import_Export!$F$215+GREET1_Import_Export!$F227)+LiMn2O4!E$54*(LiMn2O4!C$26*GREET1_Import_Export!$B77+LiMn2O4!C$27*GREET1_Import_Export!$C77+LiMn2O4!C$28*GREET1_Import_Export!$G77+(MMULT('GREET2_Factors_T&amp;D'!$F20:$H20+0,LiMn2O4!C$30:C$32+0))+GREET1_Import_Export!$B227)+LiMn2O4!E$55*(LiMn2O4!C$33*GREET1_Import_Export!$AA77+LiMn2O4!C$34*GREET1_Import_Export!$AB77+GREET1_Import_Export!$B295)+LiMn2O4!E$56*SUM(GREET1_Import_Export!$B320:$C320)</f>
        <v>542.90026583060751</v>
      </c>
      <c r="F69" s="1"/>
      <c r="G69" s="235">
        <f>'GREET2_Factors_T&amp;D'!F65</f>
        <v>0.13235745985813585</v>
      </c>
      <c r="H69" s="1321"/>
      <c r="I69" s="1321"/>
      <c r="J69" s="1321"/>
      <c r="K69" s="1321"/>
      <c r="L69" s="1321"/>
      <c r="M69" s="1321"/>
      <c r="N69" s="1321"/>
      <c r="O69" s="1321"/>
      <c r="P69" s="1321"/>
      <c r="Q69" s="1321"/>
      <c r="R69" s="1321"/>
      <c r="S69" s="1321"/>
      <c r="T69" s="1321"/>
      <c r="U69" s="1321"/>
      <c r="V69" s="1321"/>
      <c r="W69" s="1321"/>
      <c r="X69" s="1321"/>
      <c r="Y69" s="1321"/>
      <c r="Z69" s="1321"/>
      <c r="AA69" s="1321"/>
      <c r="AB69" s="1321"/>
      <c r="AC69" s="1321"/>
      <c r="AD69" s="1321"/>
      <c r="AE69" s="1321"/>
      <c r="AF69" s="1321"/>
      <c r="AG69" s="1321"/>
      <c r="AH69" s="1321"/>
      <c r="AI69" s="1321"/>
      <c r="AJ69" s="1321"/>
      <c r="AK69" s="1321"/>
      <c r="AL69" s="1321"/>
      <c r="AM69" s="1321"/>
      <c r="AN69" s="1321"/>
      <c r="AO69" s="1321"/>
      <c r="AP69" s="1321"/>
    </row>
    <row r="70" spans="1:42">
      <c r="A70" s="483" t="s">
        <v>827</v>
      </c>
      <c r="B70" s="234">
        <f t="array" ref="B70">LiMn2O4!B$50*(LiMn2O4!B$19*GREET1_Import_Export!$K78+GREET1_Import_Export!$B192*GREET1_Import_Export!$F$179+GREET1_Import_Export!$F192)+LiMn2O4!B$51*(LiMn2O4!B$21*GREET1_Import_Export!$Q78+LiMn2O4!B$22*GREET1_Import_Export!$O78+LiMn2O4!B$23*GREET1_Import_Export!$M78+GREET1_Import_Export!$B192*GREET1_Import_Export!$G$179+GREET1_Import_Export!$G192)+LiMn2O4!B$52*(LiMn2O4!B$24*GREET1_Import_Export!$T78+GREET1_Import_Export!$B192*GREET1_Import_Export!$C$179+GREET1_Import_Export!$C192)+LiMn2O4!B$53*(LiMn2O4!B$25*GREET1_Import_Export!$W78+GREET1_Import_Export!$E228*GREET1_Import_Export!$F$215+GREET1_Import_Export!$F228)+LiMn2O4!B$54*(LiMn2O4!B$26*GREET1_Import_Export!$B78+LiMn2O4!B$27*GREET1_Import_Export!$C78+LiMn2O4!B$28*GREET1_Import_Export!$G78+(MMULT('GREET2_Factors_T&amp;D'!$F21:$H21+0,LiMn2O4!B$30:B$32+0))+GREET1_Import_Export!$B228)+LiMn2O4!B$55*(LiMn2O4!B$33*GREET1_Import_Export!$AA78+LiMn2O4!B$34*GREET1_Import_Export!$AB78+GREET1_Import_Export!$B296)+LiMn2O4!B$56*SUM(GREET1_Import_Export!$B321:$C321)</f>
        <v>37.404738811336998</v>
      </c>
      <c r="C70" s="1"/>
      <c r="D70" s="235">
        <f>'GREET2_Factors_T&amp;D'!E66</f>
        <v>0.13239594671766813</v>
      </c>
      <c r="E70" s="234">
        <f t="array" ref="E70">LiMn2O4!E$50*(LiMn2O4!C$19*GREET1_Import_Export!$K78+GREET1_Import_Export!$B192*GREET1_Import_Export!$F$179+GREET1_Import_Export!$F192)+LiMn2O4!E$51*(LiMn2O4!C$21*GREET1_Import_Export!$Q78+LiMn2O4!C$22*GREET1_Import_Export!$O78+LiMn2O4!C$23*GREET1_Import_Export!$M78+GREET1_Import_Export!$B192*GREET1_Import_Export!$G$179+GREET1_Import_Export!$G192)+LiMn2O4!E$52*(LiMn2O4!C$24*GREET1_Import_Export!$T78+GREET1_Import_Export!$B192*GREET1_Import_Export!$C$179+GREET1_Import_Export!$C192)+LiMn2O4!E$53*(LiMn2O4!C$25*GREET1_Import_Export!$W78+GREET1_Import_Export!$E228*GREET1_Import_Export!$F$215+GREET1_Import_Export!$F228)+LiMn2O4!E$54*(LiMn2O4!C$26*GREET1_Import_Export!$B78+LiMn2O4!C$27*GREET1_Import_Export!$C78+LiMn2O4!C$28*GREET1_Import_Export!$G78+(MMULT('GREET2_Factors_T&amp;D'!$F21:$H21+0,LiMn2O4!C$30:C$32+0))+GREET1_Import_Export!$B228)+LiMn2O4!E$55*(LiMn2O4!C$33*GREET1_Import_Export!$AA78+LiMn2O4!C$34*GREET1_Import_Export!$AB78+GREET1_Import_Export!$B296)+LiMn2O4!E$56*SUM(GREET1_Import_Export!$B321:$C321)</f>
        <v>197.10019363784448</v>
      </c>
      <c r="F70" s="1"/>
      <c r="G70" s="235">
        <f>'GREET2_Factors_T&amp;D'!F66</f>
        <v>5.2958378687067249E-3</v>
      </c>
      <c r="H70" s="1321"/>
      <c r="I70" s="1321"/>
      <c r="J70" s="1321"/>
      <c r="K70" s="1321"/>
      <c r="L70" s="1321"/>
      <c r="M70" s="1321"/>
      <c r="N70" s="1321"/>
      <c r="O70" s="1321"/>
      <c r="P70" s="1321"/>
      <c r="Q70" s="1321"/>
      <c r="R70" s="1321"/>
      <c r="S70" s="1321"/>
      <c r="T70" s="1321"/>
      <c r="U70" s="1321"/>
      <c r="V70" s="1321"/>
      <c r="W70" s="1321"/>
      <c r="X70" s="1321"/>
      <c r="Y70" s="1321"/>
      <c r="Z70" s="1321"/>
      <c r="AA70" s="1321"/>
      <c r="AB70" s="1321"/>
      <c r="AC70" s="1321"/>
      <c r="AD70" s="1321"/>
      <c r="AE70" s="1321"/>
      <c r="AF70" s="1321"/>
      <c r="AG70" s="1321"/>
      <c r="AH70" s="1321"/>
      <c r="AI70" s="1321"/>
      <c r="AJ70" s="1321"/>
      <c r="AK70" s="1321"/>
      <c r="AL70" s="1321"/>
      <c r="AM70" s="1321"/>
      <c r="AN70" s="1321"/>
      <c r="AO70" s="1321"/>
      <c r="AP70" s="1321"/>
    </row>
    <row r="71" spans="1:42">
      <c r="A71" s="483" t="s">
        <v>828</v>
      </c>
      <c r="B71" s="234">
        <f t="array" ref="B71">LiMn2O4!B$50*(LiMn2O4!B$19*GREET1_Import_Export!$K79+GREET1_Import_Export!$B193*GREET1_Import_Export!$F$179+GREET1_Import_Export!$F193)+LiMn2O4!B$51*(LiMn2O4!B$21*GREET1_Import_Export!$Q79+LiMn2O4!B$22*GREET1_Import_Export!$O79+LiMn2O4!B$23*GREET1_Import_Export!$M79+GREET1_Import_Export!$B193*GREET1_Import_Export!$G$179+GREET1_Import_Export!$G193)+LiMn2O4!B$52*(LiMn2O4!B$24*GREET1_Import_Export!$T79+GREET1_Import_Export!$B193*GREET1_Import_Export!$C$179+GREET1_Import_Export!$C193)+LiMn2O4!B$53*(LiMn2O4!B$25*GREET1_Import_Export!$W79+GREET1_Import_Export!$E229*GREET1_Import_Export!$F$215+GREET1_Import_Export!$F229)+LiMn2O4!B$54*(LiMn2O4!B$26*GREET1_Import_Export!$B79+LiMn2O4!B$27*GREET1_Import_Export!$C79+LiMn2O4!B$28*GREET1_Import_Export!$G79+(MMULT('GREET2_Factors_T&amp;D'!$F22:$H22+0,LiMn2O4!B$30:B$32+0))+GREET1_Import_Export!$B229)+LiMn2O4!B$55*(LiMn2O4!B$33*GREET1_Import_Export!$AA79+LiMn2O4!B$34*GREET1_Import_Export!$AB79+GREET1_Import_Export!$B297)+LiMn2O4!B$56*SUM(GREET1_Import_Export!$B322:$C322)</f>
        <v>96.808922279593986</v>
      </c>
      <c r="C71" s="1"/>
      <c r="D71" s="235">
        <f>'GREET2_Factors_T&amp;D'!E67</f>
        <v>0.2349068560454815</v>
      </c>
      <c r="E71" s="234">
        <f t="array" ref="E71">LiMn2O4!E$50*(LiMn2O4!C$19*GREET1_Import_Export!$K79+GREET1_Import_Export!$B193*GREET1_Import_Export!$F$179+GREET1_Import_Export!$F193)+LiMn2O4!E$51*(LiMn2O4!C$21*GREET1_Import_Export!$Q79+LiMn2O4!C$22*GREET1_Import_Export!$O79+LiMn2O4!C$23*GREET1_Import_Export!$M79+GREET1_Import_Export!$B193*GREET1_Import_Export!$G$179+GREET1_Import_Export!$G193)+LiMn2O4!E$52*(LiMn2O4!C$24*GREET1_Import_Export!$T79+GREET1_Import_Export!$B193*GREET1_Import_Export!$C$179+GREET1_Import_Export!$C193)+LiMn2O4!E$53*(LiMn2O4!C$25*GREET1_Import_Export!$W79+GREET1_Import_Export!$E229*GREET1_Import_Export!$F$215+GREET1_Import_Export!$F229)+LiMn2O4!E$54*(LiMn2O4!C$26*GREET1_Import_Export!$B79+LiMn2O4!C$27*GREET1_Import_Export!$C79+LiMn2O4!C$28*GREET1_Import_Export!$G79+(MMULT('GREET2_Factors_T&amp;D'!$F22:$H22+0,LiMn2O4!C$30:C$32+0))+GREET1_Import_Export!$B229)+LiMn2O4!E$55*(LiMn2O4!C$33*GREET1_Import_Export!$AA79+LiMn2O4!C$34*GREET1_Import_Export!$AB79+GREET1_Import_Export!$B297)+LiMn2O4!E$56*SUM(GREET1_Import_Export!$B322:$C322)</f>
        <v>509.77697212902717</v>
      </c>
      <c r="F71" s="1"/>
      <c r="G71" s="235">
        <f>'GREET2_Factors_T&amp;D'!F67</f>
        <v>9.3962742418192604E-3</v>
      </c>
      <c r="H71" s="1321"/>
      <c r="I71" s="1321"/>
      <c r="J71" s="1321"/>
      <c r="K71" s="1321"/>
      <c r="L71" s="1321"/>
      <c r="M71" s="1321"/>
      <c r="N71" s="1321"/>
      <c r="O71" s="1321"/>
      <c r="P71" s="1321"/>
      <c r="Q71" s="1321"/>
      <c r="R71" s="1321"/>
      <c r="S71" s="1321"/>
      <c r="T71" s="1321"/>
      <c r="U71" s="1321"/>
      <c r="V71" s="1321"/>
      <c r="W71" s="1321"/>
      <c r="X71" s="1321"/>
      <c r="Y71" s="1321"/>
      <c r="Z71" s="1321"/>
      <c r="AA71" s="1321"/>
      <c r="AB71" s="1321"/>
      <c r="AC71" s="1321"/>
      <c r="AD71" s="1321"/>
      <c r="AE71" s="1321"/>
      <c r="AF71" s="1321"/>
      <c r="AG71" s="1321"/>
      <c r="AH71" s="1321"/>
      <c r="AI71" s="1321"/>
      <c r="AJ71" s="1321"/>
      <c r="AK71" s="1321"/>
      <c r="AL71" s="1321"/>
      <c r="AM71" s="1321"/>
      <c r="AN71" s="1321"/>
      <c r="AO71" s="1321"/>
      <c r="AP71" s="1321"/>
    </row>
    <row r="72" spans="1:42">
      <c r="A72" s="291" t="s">
        <v>829</v>
      </c>
      <c r="B72" s="234">
        <f t="array" ref="B72">LiMn2O4!B$50*(LiMn2O4!B$19*GREET1_Import_Export!$K80+GREET1_Import_Export!$B194*GREET1_Import_Export!$F$179+GREET1_Import_Export!$F194)+LiMn2O4!B$51*(LiMn2O4!B$21*GREET1_Import_Export!$Q80+LiMn2O4!B$22*GREET1_Import_Export!$O80+LiMn2O4!B$23*GREET1_Import_Export!$M80+GREET1_Import_Export!$B194*GREET1_Import_Export!$G$179+GREET1_Import_Export!$G194)+LiMn2O4!B$52*(LiMn2O4!B$24*GREET1_Import_Export!$T80+GREET1_Import_Export!$B194*GREET1_Import_Export!$C$179+GREET1_Import_Export!$C194)+LiMn2O4!B$53*(LiMn2O4!B$25*GREET1_Import_Export!$W80+GREET1_Import_Export!$E230*GREET1_Import_Export!$F$215+GREET1_Import_Export!$F230)+LiMn2O4!B$54*(LiMn2O4!B$26*GREET1_Import_Export!$B80+LiMn2O4!B$27*GREET1_Import_Export!$C80+LiMn2O4!B$28*GREET1_Import_Export!$G80+(MMULT('GREET2_Factors_T&amp;D'!$F23:$H23+0,LiMn2O4!B$30:B$32+0))+GREET1_Import_Export!$B230)+LiMn2O4!B$55*(LiMn2O4!B$33*GREET1_Import_Export!$AA80+LiMn2O4!B$34*GREET1_Import_Export!$AB80+GREET1_Import_Export!$B298)+LiMn2O4!B$56*SUM(GREET1_Import_Export!$B323:$C323)</f>
        <v>566.78789829998709</v>
      </c>
      <c r="C72" s="1"/>
      <c r="D72" s="235">
        <f>'GREET2_Factors_T&amp;D'!E68</f>
        <v>70.990551496612213</v>
      </c>
      <c r="E72" s="234">
        <f t="array" ref="E72">LiMn2O4!E$50*(LiMn2O4!C$19*GREET1_Import_Export!$K80+GREET1_Import_Export!$B194*GREET1_Import_Export!$F$179+GREET1_Import_Export!$F194)+LiMn2O4!E$51*(LiMn2O4!C$21*GREET1_Import_Export!$Q80+LiMn2O4!C$22*GREET1_Import_Export!$O80+LiMn2O4!C$23*GREET1_Import_Export!$M80+GREET1_Import_Export!$B194*GREET1_Import_Export!$G$179+GREET1_Import_Export!$G194)+LiMn2O4!E$52*(LiMn2O4!C$24*GREET1_Import_Export!$T80+GREET1_Import_Export!$B194*GREET1_Import_Export!$C$179+GREET1_Import_Export!$C194)+LiMn2O4!E$53*(LiMn2O4!C$25*GREET1_Import_Export!$W80+GREET1_Import_Export!$E230*GREET1_Import_Export!$F$215+GREET1_Import_Export!$F230)+LiMn2O4!E$54*(LiMn2O4!C$26*GREET1_Import_Export!$B80+LiMn2O4!C$27*GREET1_Import_Export!$C80+LiMn2O4!C$28*GREET1_Import_Export!$G80+(MMULT('GREET2_Factors_T&amp;D'!$F23:$H23+0,LiMn2O4!C$30:C$32+0))+GREET1_Import_Export!$B230)+LiMn2O4!E$55*(LiMn2O4!C$33*GREET1_Import_Export!$AA80+LiMn2O4!C$34*GREET1_Import_Export!$AB80+GREET1_Import_Export!$B298)+LiMn2O4!E$56*SUM(GREET1_Import_Export!$B323:$C323)</f>
        <v>2894.3953844754687</v>
      </c>
      <c r="F72" s="1"/>
      <c r="G72" s="235">
        <f>'GREET2_Factors_T&amp;D'!F68</f>
        <v>2.8396220598644879</v>
      </c>
      <c r="H72" s="1321"/>
      <c r="I72" s="1321"/>
      <c r="J72" s="1321"/>
      <c r="K72" s="1321"/>
      <c r="L72" s="1321"/>
      <c r="M72" s="1321"/>
      <c r="N72" s="1321"/>
      <c r="O72" s="1321"/>
      <c r="P72" s="1321"/>
      <c r="Q72" s="1321"/>
      <c r="R72" s="1321"/>
      <c r="S72" s="1321"/>
      <c r="T72" s="1321"/>
      <c r="U72" s="1321"/>
      <c r="V72" s="1321"/>
      <c r="W72" s="1321"/>
      <c r="X72" s="1321"/>
      <c r="Y72" s="1321"/>
      <c r="Z72" s="1321"/>
      <c r="AA72" s="1321"/>
      <c r="AB72" s="1321"/>
      <c r="AC72" s="1321"/>
      <c r="AD72" s="1321"/>
      <c r="AE72" s="1321"/>
      <c r="AF72" s="1321"/>
      <c r="AG72" s="1321"/>
      <c r="AH72" s="1321"/>
      <c r="AI72" s="1321"/>
      <c r="AJ72" s="1321"/>
      <c r="AK72" s="1321"/>
      <c r="AL72" s="1321"/>
      <c r="AM72" s="1321"/>
      <c r="AN72" s="1321"/>
      <c r="AO72" s="1321"/>
      <c r="AP72" s="1321"/>
    </row>
    <row r="73" spans="1:42">
      <c r="A73" s="291" t="s">
        <v>830</v>
      </c>
      <c r="B73" s="234">
        <f t="array" ref="B73">LiMn2O4!B$50*(LiMn2O4!B$19*GREET1_Import_Export!$K81+GREET1_Import_Export!$B195*GREET1_Import_Export!$F$179+GREET1_Import_Export!$F195)+LiMn2O4!B$51*(LiMn2O4!B$21*GREET1_Import_Export!$Q81+LiMn2O4!B$22*GREET1_Import_Export!$O81+LiMn2O4!B$23*GREET1_Import_Export!$M81+GREET1_Import_Export!$B195*GREET1_Import_Export!$G$179+GREET1_Import_Export!$G195)+LiMn2O4!B$52*(LiMn2O4!B$24*GREET1_Import_Export!$T81+GREET1_Import_Export!$B195*GREET1_Import_Export!$C$179+GREET1_Import_Export!$C195)+LiMn2O4!B$53*(LiMn2O4!B$25*GREET1_Import_Export!$W81+GREET1_Import_Export!$E231*GREET1_Import_Export!$F$215+GREET1_Import_Export!$F231)+LiMn2O4!B$54*(LiMn2O4!B$26*GREET1_Import_Export!$B81+LiMn2O4!B$27*GREET1_Import_Export!$C81+LiMn2O4!B$28*GREET1_Import_Export!$G81+(MMULT('GREET2_Factors_T&amp;D'!$F24:$H24+0,LiMn2O4!B$30:B$32+0))+GREET1_Import_Export!$B231)+LiMn2O4!B$55*(LiMn2O4!B$33*GREET1_Import_Export!$AA81+LiMn2O4!B$34*GREET1_Import_Export!$AB81+GREET1_Import_Export!$B299)+LiMn2O4!B$56*SUM(GREET1_Import_Export!$B324:$C324)</f>
        <v>3.7194714987381539</v>
      </c>
      <c r="C73" s="1"/>
      <c r="D73" s="235">
        <f>'GREET2_Factors_T&amp;D'!E69</f>
        <v>0.21971734007891408</v>
      </c>
      <c r="E73" s="234">
        <f t="array" ref="E73">LiMn2O4!E$50*(LiMn2O4!C$19*GREET1_Import_Export!$K81+GREET1_Import_Export!$B195*GREET1_Import_Export!$F$179+GREET1_Import_Export!$F195)+LiMn2O4!E$51*(LiMn2O4!C$21*GREET1_Import_Export!$Q81+LiMn2O4!C$22*GREET1_Import_Export!$O81+LiMn2O4!C$23*GREET1_Import_Export!$M81+GREET1_Import_Export!$B195*GREET1_Import_Export!$G$179+GREET1_Import_Export!$G195)+LiMn2O4!E$52*(LiMn2O4!C$24*GREET1_Import_Export!$T81+GREET1_Import_Export!$B195*GREET1_Import_Export!$C$179+GREET1_Import_Export!$C195)+LiMn2O4!E$53*(LiMn2O4!C$25*GREET1_Import_Export!$W81+GREET1_Import_Export!$E231*GREET1_Import_Export!$F$215+GREET1_Import_Export!$F231)+LiMn2O4!E$54*(LiMn2O4!C$26*GREET1_Import_Export!$B81+LiMn2O4!C$27*GREET1_Import_Export!$C81+LiMn2O4!C$28*GREET1_Import_Export!$G81+(MMULT('GREET2_Factors_T&amp;D'!$F24:$H24+0,LiMn2O4!C$30:C$32+0))+GREET1_Import_Export!$B231)+LiMn2O4!E$55*(LiMn2O4!C$33*GREET1_Import_Export!$AA81+LiMn2O4!C$34*GREET1_Import_Export!$AB81+GREET1_Import_Export!$B299)+LiMn2O4!E$56*SUM(GREET1_Import_Export!$B324:$C324)</f>
        <v>18.756469689835178</v>
      </c>
      <c r="F73" s="1"/>
      <c r="G73" s="235">
        <f>'GREET2_Factors_T&amp;D'!F69</f>
        <v>8.7886936031565631E-3</v>
      </c>
      <c r="H73" s="1321"/>
      <c r="I73" s="1321"/>
      <c r="J73" s="1321"/>
      <c r="K73" s="1321"/>
      <c r="L73" s="1321"/>
      <c r="M73" s="1321"/>
      <c r="N73" s="1321"/>
      <c r="O73" s="1321"/>
      <c r="P73" s="1321"/>
      <c r="Q73" s="1321"/>
      <c r="R73" s="1321"/>
      <c r="S73" s="1321"/>
      <c r="T73" s="1321"/>
      <c r="U73" s="1321"/>
      <c r="V73" s="1321"/>
      <c r="W73" s="1321"/>
      <c r="X73" s="1321"/>
      <c r="Y73" s="1321"/>
      <c r="Z73" s="1321"/>
      <c r="AA73" s="1321"/>
      <c r="AB73" s="1321"/>
      <c r="AC73" s="1321"/>
      <c r="AD73" s="1321"/>
      <c r="AE73" s="1321"/>
      <c r="AF73" s="1321"/>
      <c r="AG73" s="1321"/>
      <c r="AH73" s="1321"/>
      <c r="AI73" s="1321"/>
      <c r="AJ73" s="1321"/>
      <c r="AK73" s="1321"/>
      <c r="AL73" s="1321"/>
      <c r="AM73" s="1321"/>
      <c r="AN73" s="1321"/>
      <c r="AO73" s="1321"/>
      <c r="AP73" s="1321"/>
    </row>
    <row r="74" spans="1:42">
      <c r="A74" s="292" t="s">
        <v>831</v>
      </c>
      <c r="B74" s="242">
        <f t="array" ref="B74">LiMn2O4!B$50*(LiMn2O4!B$19*GREET1_Import_Export!$K82+GREET1_Import_Export!$B196*GREET1_Import_Export!$F$179+GREET1_Import_Export!$F196)+LiMn2O4!B$51*(LiMn2O4!B$21*GREET1_Import_Export!$Q82+LiMn2O4!B$22*GREET1_Import_Export!$O82+LiMn2O4!B$23*GREET1_Import_Export!$M82+GREET1_Import_Export!$B196*GREET1_Import_Export!$G$179+GREET1_Import_Export!$G196)+LiMn2O4!B$52*(LiMn2O4!B$24*GREET1_Import_Export!$T82+GREET1_Import_Export!$B196*GREET1_Import_Export!$C$179+GREET1_Import_Export!$C196)+LiMn2O4!B$53*(LiMn2O4!B$25*GREET1_Import_Export!$W82+GREET1_Import_Export!$E232*GREET1_Import_Export!$F$215+GREET1_Import_Export!$F232)+LiMn2O4!B$54*(LiMn2O4!B$26*GREET1_Import_Export!$B82+LiMn2O4!B$27*GREET1_Import_Export!$C82+LiMn2O4!B$28*GREET1_Import_Export!$G82+(MMULT('GREET2_Factors_T&amp;D'!$F25:$H25+0,LiMn2O4!B$30:B$32+0))+GREET1_Import_Export!$B232)+LiMn2O4!B$55*(LiMn2O4!B$33*GREET1_Import_Export!$AA82+LiMn2O4!B$34*GREET1_Import_Export!$AB82+GREET1_Import_Export!$B300)+LiMn2O4!B$56*SUM(GREET1_Import_Export!$B325:$C325)</f>
        <v>171154.39216062086</v>
      </c>
      <c r="C74" s="162">
        <v>505777.11051316699</v>
      </c>
      <c r="D74" s="243">
        <f>'GREET2_Factors_T&amp;D'!E70</f>
        <v>58377.97189270753</v>
      </c>
      <c r="E74" s="242">
        <f t="array" ref="E74">LiMn2O4!E$50*(LiMn2O4!C$19*GREET1_Import_Export!$K82+GREET1_Import_Export!$B196*GREET1_Import_Export!$F$179+GREET1_Import_Export!$F196)+LiMn2O4!E$51*(LiMn2O4!C$21*GREET1_Import_Export!$Q82+LiMn2O4!C$22*GREET1_Import_Export!$O82+LiMn2O4!C$23*GREET1_Import_Export!$M82+GREET1_Import_Export!$B196*GREET1_Import_Export!$G$179+GREET1_Import_Export!$G196)+LiMn2O4!E$52*(LiMn2O4!C$24*GREET1_Import_Export!$T82+GREET1_Import_Export!$B196*GREET1_Import_Export!$C$179+GREET1_Import_Export!$C196)+LiMn2O4!E$53*(LiMn2O4!C$25*GREET1_Import_Export!$W82+GREET1_Import_Export!$E232*GREET1_Import_Export!$F$215+GREET1_Import_Export!$F232)+LiMn2O4!E$54*(LiMn2O4!C$26*GREET1_Import_Export!$B82+LiMn2O4!C$27*GREET1_Import_Export!$C82+LiMn2O4!C$28*GREET1_Import_Export!$G82+(MMULT('GREET2_Factors_T&amp;D'!$F25:$H25+0,LiMn2O4!C$30:C$32+0))+GREET1_Import_Export!$B232)+LiMn2O4!E$55*(LiMn2O4!C$33*GREET1_Import_Export!$AA82+LiMn2O4!C$34*GREET1_Import_Export!$AB82+GREET1_Import_Export!$B300)+LiMn2O4!E$56*SUM(GREET1_Import_Export!$B325:$C325)</f>
        <v>860787.61367216753</v>
      </c>
      <c r="F74" s="1114">
        <v>110401.871880098</v>
      </c>
      <c r="G74" s="243">
        <f>'GREET2_Factors_T&amp;D'!F70</f>
        <v>2335.1188757083009</v>
      </c>
      <c r="H74" s="1321"/>
      <c r="I74" s="1321"/>
      <c r="J74" s="1321"/>
      <c r="K74" s="1321"/>
      <c r="L74" s="1321"/>
      <c r="M74" s="1321"/>
      <c r="N74" s="1321"/>
      <c r="O74" s="1321"/>
      <c r="P74" s="1321"/>
      <c r="Q74" s="1321"/>
      <c r="R74" s="1321"/>
      <c r="S74" s="1321"/>
      <c r="T74" s="1321"/>
      <c r="U74" s="1321"/>
      <c r="V74" s="1321"/>
      <c r="W74" s="1321"/>
      <c r="X74" s="1321"/>
      <c r="Y74" s="1321"/>
      <c r="Z74" s="1321"/>
      <c r="AA74" s="1321"/>
      <c r="AB74" s="1321"/>
      <c r="AC74" s="1321"/>
      <c r="AD74" s="1321"/>
      <c r="AE74" s="1321"/>
      <c r="AF74" s="1321"/>
      <c r="AG74" s="1321"/>
      <c r="AH74" s="1321"/>
      <c r="AI74" s="1321"/>
      <c r="AJ74" s="1321"/>
      <c r="AK74" s="1321"/>
      <c r="AL74" s="1321"/>
      <c r="AM74" s="1321"/>
      <c r="AN74" s="1321"/>
      <c r="AO74" s="1321"/>
      <c r="AP74" s="1321"/>
    </row>
    <row r="75" spans="1:42">
      <c r="A75" s="290" t="s">
        <v>865</v>
      </c>
      <c r="B75" s="173"/>
      <c r="C75" s="1"/>
      <c r="D75" s="51"/>
      <c r="E75" s="173"/>
      <c r="F75" s="1"/>
      <c r="G75" s="51"/>
      <c r="H75" s="1321"/>
      <c r="I75" s="1321"/>
      <c r="J75" s="1321"/>
      <c r="K75" s="1321"/>
      <c r="L75" s="1321"/>
      <c r="M75" s="1321"/>
      <c r="N75" s="1321"/>
      <c r="O75" s="1321"/>
      <c r="P75" s="1321"/>
      <c r="Q75" s="1321"/>
      <c r="R75" s="1321"/>
      <c r="S75" s="1321"/>
      <c r="T75" s="1321"/>
      <c r="U75" s="1321"/>
      <c r="V75" s="1321"/>
      <c r="W75" s="1321"/>
      <c r="X75" s="1321"/>
      <c r="Y75" s="1321"/>
      <c r="Z75" s="1321"/>
      <c r="AA75" s="1321"/>
      <c r="AB75" s="1321"/>
      <c r="AC75" s="1321"/>
      <c r="AD75" s="1321"/>
      <c r="AE75" s="1321"/>
      <c r="AF75" s="1321"/>
      <c r="AG75" s="1321"/>
      <c r="AH75" s="1321"/>
      <c r="AI75" s="1321"/>
      <c r="AJ75" s="1321"/>
      <c r="AK75" s="1321"/>
      <c r="AL75" s="1321"/>
      <c r="AM75" s="1321"/>
      <c r="AN75" s="1321"/>
      <c r="AO75" s="1321"/>
      <c r="AP75" s="1321"/>
    </row>
    <row r="76" spans="1:42">
      <c r="A76" s="291" t="s">
        <v>821</v>
      </c>
      <c r="B76" s="233">
        <f t="array" ref="B76">LiMn2O4!B$50*(LiMn2O4!B$40*LiMn2O4!B$19*GREET1_Import_Export!$K72+GREET1_Import_Export!$B201*GREET1_Import_Export!$F$179+GREET1_Import_Export!$F201)+LiMn2O4!B$51*(LiMn2O4!B$40*(LiMn2O4!B$21*GREET1_Import_Export!$Q72+LiMn2O4!B$22*GREET1_Import_Export!$O72+LiMn2O4!B$23*GREET1_Import_Export!$M72)+GREET1_Import_Export!$B201*GREET1_Import_Export!$G$179+GREET1_Import_Export!$G201)+LiMn2O4!B$52*(LiMn2O4!B$40*LiMn2O4!B$24*GREET1_Import_Export!$T72+GREET1_Import_Export!$B201*GREET1_Import_Export!$C$179+GREET1_Import_Export!$C201)+LiMn2O4!B$53*(LiMn2O4!B$40*LiMn2O4!B$25*GREET1_Import_Export!$W72+GREET1_Import_Export!$E237*GREET1_Import_Export!$F$215+GREET1_Import_Export!$F237)+LiMn2O4!B$54*(LiMn2O4!B$40*(LiMn2O4!B$26*GREET1_Import_Export!$B72+LiMn2O4!B$27*GREET1_Import_Export!$C72+LiMn2O4!B$28*GREET1_Import_Export!$G72+(MMULT('GREET2_Factors_T&amp;D'!$F15:$H15+0,LiMn2O4!B$30:B$32+0)))+GREET1_Import_Export!$B237)+LiMn2O4!B$55*(LiMn2O4!B$40*(LiMn2O4!B$33*GREET1_Import_Export!$AA72+LiMn2O4!B$34*GREET1_Import_Export!$AB72)+GREET1_Import_Export!$C290)+LiMn2O4!B$56*SUM(GREET1_Import_Export!$D315:$E315)</f>
        <v>1.555795798020875</v>
      </c>
      <c r="C76" s="1"/>
      <c r="D76" s="235">
        <f>'GREET2_Factors_T&amp;D'!E72</f>
        <v>1.7765960540310197</v>
      </c>
      <c r="E76" s="233">
        <f t="array" ref="E76">LiMn2O4!E$50*(LiMn2O4!E$40*LiMn2O4!C$19*GREET1_Import_Export!$K72+GREET1_Import_Export!$B201*GREET1_Import_Export!$F$179+GREET1_Import_Export!$F201)+LiMn2O4!E$51*(LiMn2O4!E$40*(LiMn2O4!C$21*GREET1_Import_Export!$Q72+LiMn2O4!C$22*GREET1_Import_Export!$O72+LiMn2O4!C$23*GREET1_Import_Export!$M72)+GREET1_Import_Export!$B201*GREET1_Import_Export!$G$179+GREET1_Import_Export!$G201)+LiMn2O4!E$52*(LiMn2O4!E$40*LiMn2O4!C$24*GREET1_Import_Export!$T72+GREET1_Import_Export!$B201*GREET1_Import_Export!$C$179+GREET1_Import_Export!$C201)+LiMn2O4!E$53*(LiMn2O4!E$40*LiMn2O4!C$25*GREET1_Import_Export!$W72+GREET1_Import_Export!$E237*GREET1_Import_Export!$F$215+GREET1_Import_Export!$F237)+LiMn2O4!E$54*(LiMn2O4!E$40*(LiMn2O4!C$26*GREET1_Import_Export!$B72+LiMn2O4!C$27*GREET1_Import_Export!$C72+LiMn2O4!C$28*GREET1_Import_Export!$G72+(MMULT('GREET2_Factors_T&amp;D'!$F15:$H15+0,LiMn2O4!C$30:C$32+0)))+GREET1_Import_Export!$B237)+LiMn2O4!E$55*(LiMn2O4!E$40*(LiMn2O4!C$33*GREET1_Import_Export!$AA72+LiMn2O4!C$34*GREET1_Import_Export!$AB72)+GREET1_Import_Export!$C290)+LiMn2O4!E$56*SUM(GREET1_Import_Export!$D315:$E315)</f>
        <v>7.899440758236457</v>
      </c>
      <c r="F76" s="1"/>
      <c r="G76" s="235">
        <f>'GREET2_Factors_T&amp;D'!F72</f>
        <v>7.1063842161240787E-2</v>
      </c>
      <c r="H76" s="1321"/>
      <c r="I76" s="1321"/>
      <c r="J76" s="1321"/>
      <c r="K76" s="1321"/>
      <c r="L76" s="1321"/>
      <c r="M76" s="1321"/>
      <c r="N76" s="1321"/>
      <c r="O76" s="1321"/>
      <c r="P76" s="1321"/>
      <c r="Q76" s="1321"/>
      <c r="R76" s="1321"/>
      <c r="S76" s="1321"/>
      <c r="T76" s="1321"/>
      <c r="U76" s="1321"/>
      <c r="V76" s="1321"/>
      <c r="W76" s="1321"/>
      <c r="X76" s="1321"/>
      <c r="Y76" s="1321"/>
      <c r="Z76" s="1321"/>
      <c r="AA76" s="1321"/>
      <c r="AB76" s="1321"/>
      <c r="AC76" s="1321"/>
      <c r="AD76" s="1321"/>
      <c r="AE76" s="1321"/>
      <c r="AF76" s="1321"/>
      <c r="AG76" s="1321"/>
      <c r="AH76" s="1321"/>
      <c r="AI76" s="1321"/>
      <c r="AJ76" s="1321"/>
      <c r="AK76" s="1321"/>
      <c r="AL76" s="1321"/>
      <c r="AM76" s="1321"/>
      <c r="AN76" s="1321"/>
      <c r="AO76" s="1321"/>
      <c r="AP76" s="1321"/>
    </row>
    <row r="77" spans="1:42">
      <c r="A77" s="291" t="s">
        <v>822</v>
      </c>
      <c r="B77" s="233">
        <f t="array" ref="B77">LiMn2O4!B$50*(LiMn2O4!B$40*LiMn2O4!B$19*GREET1_Import_Export!$K73+GREET1_Import_Export!$B202*GREET1_Import_Export!$F$179+GREET1_Import_Export!$F202)+LiMn2O4!B$51*(LiMn2O4!B$40*(LiMn2O4!B$21*GREET1_Import_Export!$Q73+LiMn2O4!B$22*GREET1_Import_Export!$O73+LiMn2O4!B$23*GREET1_Import_Export!$M73)+GREET1_Import_Export!$B202*GREET1_Import_Export!$G$179+GREET1_Import_Export!$G202)+LiMn2O4!B$52*(LiMn2O4!B$40*LiMn2O4!B$24*GREET1_Import_Export!$T73+GREET1_Import_Export!$B202*GREET1_Import_Export!$C$179+GREET1_Import_Export!$C202)+LiMn2O4!B$53*(LiMn2O4!B$40*LiMn2O4!B$25*GREET1_Import_Export!$W73+GREET1_Import_Export!$E238*GREET1_Import_Export!$F$215+GREET1_Import_Export!$F238)+LiMn2O4!B$54*(LiMn2O4!B$40*(LiMn2O4!B$26*GREET1_Import_Export!$B73+LiMn2O4!B$27*GREET1_Import_Export!$C73+LiMn2O4!B$28*GREET1_Import_Export!$G73+(MMULT('GREET2_Factors_T&amp;D'!$F16:$H16+0,LiMn2O4!B$30:B$32+0)))+GREET1_Import_Export!$B238)+LiMn2O4!B$55*(LiMn2O4!B$40*(LiMn2O4!B$33*GREET1_Import_Export!$AA73+LiMn2O4!B$34*GREET1_Import_Export!$AB73)+GREET1_Import_Export!$C291)+LiMn2O4!B$56*SUM(GREET1_Import_Export!$D316:$E316)</f>
        <v>7.6308497430123099</v>
      </c>
      <c r="C77" s="1"/>
      <c r="D77" s="235">
        <f>'GREET2_Factors_T&amp;D'!E73</f>
        <v>1.1578814980386434</v>
      </c>
      <c r="E77" s="233">
        <f t="array" ref="E77">LiMn2O4!E$50*(LiMn2O4!E$40*LiMn2O4!C$19*GREET1_Import_Export!$K73+GREET1_Import_Export!$B202*GREET1_Import_Export!$F$179+GREET1_Import_Export!$F202)+LiMn2O4!E$51*(LiMn2O4!E$40*(LiMn2O4!C$21*GREET1_Import_Export!$Q73+LiMn2O4!C$22*GREET1_Import_Export!$O73+LiMn2O4!C$23*GREET1_Import_Export!$M73)+GREET1_Import_Export!$B202*GREET1_Import_Export!$G$179+GREET1_Import_Export!$G202)+LiMn2O4!E$52*(LiMn2O4!E$40*LiMn2O4!C$24*GREET1_Import_Export!$T73+GREET1_Import_Export!$B202*GREET1_Import_Export!$C$179+GREET1_Import_Export!$C202)+LiMn2O4!E$53*(LiMn2O4!E$40*LiMn2O4!C$25*GREET1_Import_Export!$W73+GREET1_Import_Export!$E238*GREET1_Import_Export!$F$215+GREET1_Import_Export!$F238)+LiMn2O4!E$54*(LiMn2O4!E$40*(LiMn2O4!C$26*GREET1_Import_Export!$B73+LiMn2O4!C$27*GREET1_Import_Export!$C73+LiMn2O4!C$28*GREET1_Import_Export!$G73+(MMULT('GREET2_Factors_T&amp;D'!$F16:$H16+0,LiMn2O4!C$30:C$32+0)))+GREET1_Import_Export!$B238)+LiMn2O4!E$55*(LiMn2O4!E$40*(LiMn2O4!C$33*GREET1_Import_Export!$AA73+LiMn2O4!C$34*GREET1_Import_Export!$AB73)+GREET1_Import_Export!$C291)+LiMn2O4!E$56*SUM(GREET1_Import_Export!$D316:$E316)</f>
        <v>37.988611990890554</v>
      </c>
      <c r="F77" s="1"/>
      <c r="G77" s="235">
        <f>'GREET2_Factors_T&amp;D'!F73</f>
        <v>4.6315259921545733E-2</v>
      </c>
      <c r="H77" s="1321"/>
      <c r="I77" s="1321"/>
      <c r="J77" s="1321"/>
      <c r="K77" s="1321"/>
      <c r="L77" s="1321"/>
      <c r="M77" s="1321"/>
      <c r="N77" s="1321"/>
      <c r="O77" s="1321"/>
      <c r="P77" s="1321"/>
      <c r="Q77" s="1321"/>
      <c r="R77" s="1321"/>
      <c r="S77" s="1321"/>
      <c r="T77" s="1321"/>
      <c r="U77" s="1321"/>
      <c r="V77" s="1321"/>
      <c r="W77" s="1321"/>
      <c r="X77" s="1321"/>
      <c r="Y77" s="1321"/>
      <c r="Z77" s="1321"/>
      <c r="AA77" s="1321"/>
      <c r="AB77" s="1321"/>
      <c r="AC77" s="1321"/>
      <c r="AD77" s="1321"/>
      <c r="AE77" s="1321"/>
      <c r="AF77" s="1321"/>
      <c r="AG77" s="1321"/>
      <c r="AH77" s="1321"/>
      <c r="AI77" s="1321"/>
      <c r="AJ77" s="1321"/>
      <c r="AK77" s="1321"/>
      <c r="AL77" s="1321"/>
      <c r="AM77" s="1321"/>
      <c r="AN77" s="1321"/>
      <c r="AO77" s="1321"/>
      <c r="AP77" s="1321"/>
    </row>
    <row r="78" spans="1:42">
      <c r="A78" s="291" t="s">
        <v>823</v>
      </c>
      <c r="B78" s="233">
        <f t="array" ref="B78">LiMn2O4!B$50*(LiMn2O4!B$40*LiMn2O4!B$19*GREET1_Import_Export!$K74+GREET1_Import_Export!$B203*GREET1_Import_Export!$F$179+GREET1_Import_Export!$F203)+LiMn2O4!B$51*(LiMn2O4!B$40*(LiMn2O4!B$21*GREET1_Import_Export!$Q74+LiMn2O4!B$22*GREET1_Import_Export!$O74+LiMn2O4!B$23*GREET1_Import_Export!$M74)+GREET1_Import_Export!$B203*GREET1_Import_Export!$G$179+GREET1_Import_Export!$G203)+LiMn2O4!B$52*(LiMn2O4!B$40*LiMn2O4!B$24*GREET1_Import_Export!$T74+GREET1_Import_Export!$B203*GREET1_Import_Export!$C$179+GREET1_Import_Export!$C203)+LiMn2O4!B$53*(LiMn2O4!B$40*LiMn2O4!B$25*GREET1_Import_Export!$W74+GREET1_Import_Export!$E239*GREET1_Import_Export!$F$215+GREET1_Import_Export!$F239)+LiMn2O4!B$54*(LiMn2O4!B$40*(LiMn2O4!B$26*GREET1_Import_Export!$B74+LiMn2O4!B$27*GREET1_Import_Export!$C74+LiMn2O4!B$28*GREET1_Import_Export!$G74+(MMULT('GREET2_Factors_T&amp;D'!$F17:$H17+0,LiMn2O4!B$30:B$32+0)))+GREET1_Import_Export!$B239)+LiMn2O4!B$55*(LiMn2O4!B$40*(LiMn2O4!B$33*GREET1_Import_Export!$AA74+LiMn2O4!B$34*GREET1_Import_Export!$AB74)+GREET1_Import_Export!$C292)+LiMn2O4!B$56*SUM(GREET1_Import_Export!$D317:$E317)</f>
        <v>9.849427028048936</v>
      </c>
      <c r="C78" s="1"/>
      <c r="D78" s="235">
        <f>'GREET2_Factors_T&amp;D'!E74</f>
        <v>1.797650150461624</v>
      </c>
      <c r="E78" s="233">
        <f t="array" ref="E78">LiMn2O4!E$50*(LiMn2O4!E$40*LiMn2O4!C$19*GREET1_Import_Export!$K74+GREET1_Import_Export!$B203*GREET1_Import_Export!$F$179+GREET1_Import_Export!$F203)+LiMn2O4!E$51*(LiMn2O4!E$40*(LiMn2O4!C$21*GREET1_Import_Export!$Q74+LiMn2O4!C$22*GREET1_Import_Export!$O74+LiMn2O4!C$23*GREET1_Import_Export!$M74)+GREET1_Import_Export!$B203*GREET1_Import_Export!$G$179+GREET1_Import_Export!$G203)+LiMn2O4!E$52*(LiMn2O4!E$40*LiMn2O4!C$24*GREET1_Import_Export!$T74+GREET1_Import_Export!$B203*GREET1_Import_Export!$C$179+GREET1_Import_Export!$C203)+LiMn2O4!E$53*(LiMn2O4!E$40*LiMn2O4!C$25*GREET1_Import_Export!$W74+GREET1_Import_Export!$E239*GREET1_Import_Export!$F$215+GREET1_Import_Export!$F239)+LiMn2O4!E$54*(LiMn2O4!E$40*(LiMn2O4!C$26*GREET1_Import_Export!$B74+LiMn2O4!C$27*GREET1_Import_Export!$C74+LiMn2O4!C$28*GREET1_Import_Export!$G74+(MMULT('GREET2_Factors_T&amp;D'!$F17:$H17+0,LiMn2O4!C$30:C$32+0)))+GREET1_Import_Export!$B239)+LiMn2O4!E$55*(LiMn2O4!E$40*(LiMn2O4!C$33*GREET1_Import_Export!$AA74+LiMn2O4!C$34*GREET1_Import_Export!$AB74)+GREET1_Import_Export!$C292)+LiMn2O4!E$56*SUM(GREET1_Import_Export!$D317:$E317)</f>
        <v>45.210611745574589</v>
      </c>
      <c r="F78" s="1"/>
      <c r="G78" s="235">
        <f>'GREET2_Factors_T&amp;D'!F74</f>
        <v>7.190600601846496E-2</v>
      </c>
      <c r="H78" s="1321"/>
      <c r="I78" s="1321"/>
      <c r="J78" s="1321"/>
      <c r="K78" s="1321"/>
      <c r="L78" s="1321"/>
      <c r="M78" s="1321"/>
      <c r="N78" s="1321"/>
      <c r="O78" s="1321"/>
      <c r="P78" s="1321"/>
      <c r="Q78" s="1321"/>
      <c r="R78" s="1321"/>
      <c r="S78" s="1321"/>
      <c r="T78" s="1321"/>
      <c r="U78" s="1321"/>
      <c r="V78" s="1321"/>
      <c r="W78" s="1321"/>
      <c r="X78" s="1321"/>
      <c r="Y78" s="1321"/>
      <c r="Z78" s="1321"/>
      <c r="AA78" s="1321"/>
      <c r="AB78" s="1321"/>
      <c r="AC78" s="1321"/>
      <c r="AD78" s="1321"/>
      <c r="AE78" s="1321"/>
      <c r="AF78" s="1321"/>
      <c r="AG78" s="1321"/>
      <c r="AH78" s="1321"/>
      <c r="AI78" s="1321"/>
      <c r="AJ78" s="1321"/>
      <c r="AK78" s="1321"/>
      <c r="AL78" s="1321"/>
      <c r="AM78" s="1321"/>
      <c r="AN78" s="1321"/>
      <c r="AO78" s="1321"/>
      <c r="AP78" s="1321"/>
    </row>
    <row r="79" spans="1:42">
      <c r="A79" s="291" t="s">
        <v>824</v>
      </c>
      <c r="B79" s="233">
        <f t="array" ref="B79">LiMn2O4!B$50*(LiMn2O4!B$40*LiMn2O4!B$19*GREET1_Import_Export!$K75+GREET1_Import_Export!$B204*GREET1_Import_Export!$F$179+GREET1_Import_Export!$F204)+LiMn2O4!B$51*(LiMn2O4!B$40*(LiMn2O4!B$21*GREET1_Import_Export!$Q75+LiMn2O4!B$22*GREET1_Import_Export!$O75+LiMn2O4!B$23*GREET1_Import_Export!$M75)+GREET1_Import_Export!$B204*GREET1_Import_Export!$G$179+GREET1_Import_Export!$G204)+LiMn2O4!B$52*(LiMn2O4!B$40*LiMn2O4!B$24*GREET1_Import_Export!$T75+GREET1_Import_Export!$B204*GREET1_Import_Export!$C$179+GREET1_Import_Export!$C204)+LiMn2O4!B$53*(LiMn2O4!B$40*LiMn2O4!B$25*GREET1_Import_Export!$W75+GREET1_Import_Export!$E240*GREET1_Import_Export!$F$215+GREET1_Import_Export!$F240)+LiMn2O4!B$54*(LiMn2O4!B$40*(LiMn2O4!B$26*GREET1_Import_Export!$B75+LiMn2O4!B$27*GREET1_Import_Export!$C75+LiMn2O4!B$28*GREET1_Import_Export!$G75+(MMULT('GREET2_Factors_T&amp;D'!$F18:$H18+0,LiMn2O4!B$30:B$32+0)))+GREET1_Import_Export!$B240)+LiMn2O4!B$55*(LiMn2O4!B$40*(LiMn2O4!B$33*GREET1_Import_Export!$AA75+LiMn2O4!B$34*GREET1_Import_Export!$AB75)+GREET1_Import_Export!$C293)+LiMn2O4!B$56*SUM(GREET1_Import_Export!$D318:$E318)</f>
        <v>0.21460206572551477</v>
      </c>
      <c r="C79" s="1"/>
      <c r="D79" s="235">
        <f>'GREET2_Factors_T&amp;D'!E75</f>
        <v>0.31983520665058568</v>
      </c>
      <c r="E79" s="233">
        <f t="array" ref="E79">LiMn2O4!E$50*(LiMn2O4!E$40*LiMn2O4!C$19*GREET1_Import_Export!$K75+GREET1_Import_Export!$B204*GREET1_Import_Export!$F$179+GREET1_Import_Export!$F204)+LiMn2O4!E$51*(LiMn2O4!E$40*(LiMn2O4!C$21*GREET1_Import_Export!$Q75+LiMn2O4!C$22*GREET1_Import_Export!$O75+LiMn2O4!C$23*GREET1_Import_Export!$M75)+GREET1_Import_Export!$B204*GREET1_Import_Export!$G$179+GREET1_Import_Export!$G204)+LiMn2O4!E$52*(LiMn2O4!E$40*LiMn2O4!C$24*GREET1_Import_Export!$T75+GREET1_Import_Export!$B204*GREET1_Import_Export!$C$179+GREET1_Import_Export!$C204)+LiMn2O4!E$53*(LiMn2O4!E$40*LiMn2O4!C$25*GREET1_Import_Export!$W75+GREET1_Import_Export!$E240*GREET1_Import_Export!$F$215+GREET1_Import_Export!$F240)+LiMn2O4!E$54*(LiMn2O4!E$40*(LiMn2O4!C$26*GREET1_Import_Export!$B75+LiMn2O4!C$27*GREET1_Import_Export!$C75+LiMn2O4!C$28*GREET1_Import_Export!$G75+(MMULT('GREET2_Factors_T&amp;D'!$F18:$H18+0,LiMn2O4!C$30:C$32+0)))+GREET1_Import_Export!$B240)+LiMn2O4!E$55*(LiMn2O4!E$40*(LiMn2O4!C$33*GREET1_Import_Export!$AA75+LiMn2O4!C$34*GREET1_Import_Export!$AB75)+GREET1_Import_Export!$C293)+LiMn2O4!E$56*SUM(GREET1_Import_Export!$D318:$E318)</f>
        <v>0.23294701595786338</v>
      </c>
      <c r="F79" s="1"/>
      <c r="G79" s="235">
        <f>'GREET2_Factors_T&amp;D'!F75</f>
        <v>1.2793408266023426E-2</v>
      </c>
      <c r="H79" s="1321"/>
      <c r="I79" s="1321"/>
      <c r="J79" s="1321"/>
      <c r="K79" s="1321"/>
      <c r="L79" s="1321"/>
      <c r="M79" s="1321"/>
      <c r="N79" s="1321"/>
      <c r="O79" s="1321"/>
      <c r="P79" s="1321"/>
      <c r="Q79" s="1321"/>
      <c r="R79" s="1321"/>
      <c r="S79" s="1321"/>
      <c r="T79" s="1321"/>
      <c r="U79" s="1321"/>
      <c r="V79" s="1321"/>
      <c r="W79" s="1321"/>
      <c r="X79" s="1321"/>
      <c r="Y79" s="1321"/>
      <c r="Z79" s="1321"/>
      <c r="AA79" s="1321"/>
      <c r="AB79" s="1321"/>
      <c r="AC79" s="1321"/>
      <c r="AD79" s="1321"/>
      <c r="AE79" s="1321"/>
      <c r="AF79" s="1321"/>
      <c r="AG79" s="1321"/>
      <c r="AH79" s="1321"/>
      <c r="AI79" s="1321"/>
      <c r="AJ79" s="1321"/>
      <c r="AK79" s="1321"/>
      <c r="AL79" s="1321"/>
      <c r="AM79" s="1321"/>
      <c r="AN79" s="1321"/>
      <c r="AO79" s="1321"/>
      <c r="AP79" s="1321"/>
    </row>
    <row r="80" spans="1:42">
      <c r="A80" s="291" t="s">
        <v>825</v>
      </c>
      <c r="B80" s="233">
        <f t="array" ref="B80">LiMn2O4!B$50*(LiMn2O4!B$40*LiMn2O4!B$19*GREET1_Import_Export!$K76+GREET1_Import_Export!$B205*GREET1_Import_Export!$F$179+GREET1_Import_Export!$F205)+LiMn2O4!B$51*(LiMn2O4!B$40*(LiMn2O4!B$21*GREET1_Import_Export!$Q76+LiMn2O4!B$22*GREET1_Import_Export!$O76+LiMn2O4!B$23*GREET1_Import_Export!$M76)+GREET1_Import_Export!$B205*GREET1_Import_Export!$G$179+GREET1_Import_Export!$G205)+LiMn2O4!B$52*(LiMn2O4!B$40*LiMn2O4!B$24*GREET1_Import_Export!$T76+GREET1_Import_Export!$B205*GREET1_Import_Export!$C$179+GREET1_Import_Export!$C205)+LiMn2O4!B$53*(LiMn2O4!B$40*LiMn2O4!B$25*GREET1_Import_Export!$W76+GREET1_Import_Export!$E241*GREET1_Import_Export!$F$215+GREET1_Import_Export!$F241)+LiMn2O4!B$54*(LiMn2O4!B$40*(LiMn2O4!B$26*GREET1_Import_Export!$B76+LiMn2O4!B$27*GREET1_Import_Export!$C76+LiMn2O4!B$28*GREET1_Import_Export!$G76+(MMULT('GREET2_Factors_T&amp;D'!$F19:$H19+0,LiMn2O4!B$30:B$32+0)))+GREET1_Import_Export!$B241)+LiMn2O4!B$55*(LiMn2O4!B$40*(LiMn2O4!B$33*GREET1_Import_Export!$AA76+LiMn2O4!B$34*GREET1_Import_Export!$AB76)+GREET1_Import_Export!$C294)+LiMn2O4!B$56*SUM(GREET1_Import_Export!$D319:$E319)</f>
        <v>0.1903255116694437</v>
      </c>
      <c r="C80" s="1"/>
      <c r="D80" s="235">
        <f>'GREET2_Factors_T&amp;D'!E76</f>
        <v>0.27601072005232841</v>
      </c>
      <c r="E80" s="233">
        <f t="array" ref="E80">LiMn2O4!E$50*(LiMn2O4!E$40*LiMn2O4!C$19*GREET1_Import_Export!$K76+GREET1_Import_Export!$B205*GREET1_Import_Export!$F$179+GREET1_Import_Export!$F205)+LiMn2O4!E$51*(LiMn2O4!E$40*(LiMn2O4!C$21*GREET1_Import_Export!$Q76+LiMn2O4!C$22*GREET1_Import_Export!$O76+LiMn2O4!C$23*GREET1_Import_Export!$M76)+GREET1_Import_Export!$B205*GREET1_Import_Export!$G$179+GREET1_Import_Export!$G205)+LiMn2O4!E$52*(LiMn2O4!E$40*LiMn2O4!C$24*GREET1_Import_Export!$T76+GREET1_Import_Export!$B205*GREET1_Import_Export!$C$179+GREET1_Import_Export!$C205)+LiMn2O4!E$53*(LiMn2O4!E$40*LiMn2O4!C$25*GREET1_Import_Export!$W76+GREET1_Import_Export!$E241*GREET1_Import_Export!$F$215+GREET1_Import_Export!$F241)+LiMn2O4!E$54*(LiMn2O4!E$40*(LiMn2O4!C$26*GREET1_Import_Export!$B76+LiMn2O4!C$27*GREET1_Import_Export!$C76+LiMn2O4!C$28*GREET1_Import_Export!$G76+(MMULT('GREET2_Factors_T&amp;D'!$F19:$H19+0,LiMn2O4!C$30:C$32+0)))+GREET1_Import_Export!$B241)+LiMn2O4!E$55*(LiMn2O4!E$40*(LiMn2O4!C$33*GREET1_Import_Export!$AA76+LiMn2O4!C$34*GREET1_Import_Export!$AB76)+GREET1_Import_Export!$C294)+LiMn2O4!E$56*SUM(GREET1_Import_Export!$D319:$E319)</f>
        <v>0.21337783839108268</v>
      </c>
      <c r="F80" s="1"/>
      <c r="G80" s="235">
        <f>'GREET2_Factors_T&amp;D'!F76</f>
        <v>1.1040428802093138E-2</v>
      </c>
      <c r="H80" s="1321"/>
      <c r="I80" s="1321"/>
      <c r="J80" s="1321"/>
      <c r="K80" s="1321"/>
      <c r="L80" s="1321"/>
      <c r="M80" s="1321"/>
      <c r="N80" s="1321"/>
      <c r="O80" s="1321"/>
      <c r="P80" s="1321"/>
      <c r="Q80" s="1321"/>
      <c r="R80" s="1321"/>
      <c r="S80" s="1321"/>
      <c r="T80" s="1321"/>
      <c r="U80" s="1321"/>
      <c r="V80" s="1321"/>
      <c r="W80" s="1321"/>
      <c r="X80" s="1321"/>
      <c r="Y80" s="1321"/>
      <c r="Z80" s="1321"/>
      <c r="AA80" s="1321"/>
      <c r="AB80" s="1321"/>
      <c r="AC80" s="1321"/>
      <c r="AD80" s="1321"/>
      <c r="AE80" s="1321"/>
      <c r="AF80" s="1321"/>
      <c r="AG80" s="1321"/>
      <c r="AH80" s="1321"/>
      <c r="AI80" s="1321"/>
      <c r="AJ80" s="1321"/>
      <c r="AK80" s="1321"/>
      <c r="AL80" s="1321"/>
      <c r="AM80" s="1321"/>
      <c r="AN80" s="1321"/>
      <c r="AO80" s="1321"/>
      <c r="AP80" s="1321"/>
    </row>
    <row r="81" spans="1:45">
      <c r="A81" s="291" t="s">
        <v>826</v>
      </c>
      <c r="B81" s="233">
        <f t="array" ref="B81">LiMn2O4!B$50*(LiMn2O4!B$40*LiMn2O4!B$19*GREET1_Import_Export!$K77+GREET1_Import_Export!$B206*GREET1_Import_Export!$F$179+GREET1_Import_Export!$F206)+LiMn2O4!B$51*(LiMn2O4!B$40*(LiMn2O4!B$21*GREET1_Import_Export!$Q77+LiMn2O4!B$22*GREET1_Import_Export!$O77+LiMn2O4!B$23*GREET1_Import_Export!$M77)+GREET1_Import_Export!$B206*GREET1_Import_Export!$G$179+GREET1_Import_Export!$G206)+LiMn2O4!B$52*(LiMn2O4!B$40*LiMn2O4!B$24*GREET1_Import_Export!$T77+GREET1_Import_Export!$B206*GREET1_Import_Export!$C$179+GREET1_Import_Export!$C206)+LiMn2O4!B$53*(LiMn2O4!B$40*LiMn2O4!B$25*GREET1_Import_Export!$W77+GREET1_Import_Export!$E242*GREET1_Import_Export!$F$215+GREET1_Import_Export!$F242)+LiMn2O4!B$54*(LiMn2O4!B$40*(LiMn2O4!B$26*GREET1_Import_Export!$B77+LiMn2O4!B$27*GREET1_Import_Export!$C77+LiMn2O4!B$28*GREET1_Import_Export!$G77+(MMULT('GREET2_Factors_T&amp;D'!$F20:$H20+0,LiMn2O4!B$30:B$32+0)))+GREET1_Import_Export!$B242)+LiMn2O4!B$55*(LiMn2O4!B$40*(LiMn2O4!B$33*GREET1_Import_Export!$AA77+LiMn2O4!B$34*GREET1_Import_Export!$AB77)+GREET1_Import_Export!$C295)+LiMn2O4!B$56*SUM(GREET1_Import_Export!$D320:$E320)</f>
        <v>1.6928313319586188</v>
      </c>
      <c r="C81" s="1"/>
      <c r="D81" s="235">
        <f>'GREET2_Factors_T&amp;D'!E77</f>
        <v>0.62489805891665928</v>
      </c>
      <c r="E81" s="233">
        <f t="array" ref="E81">LiMn2O4!E$50*(LiMn2O4!E$40*LiMn2O4!C$19*GREET1_Import_Export!$K77+GREET1_Import_Export!$B206*GREET1_Import_Export!$F$179+GREET1_Import_Export!$F206)+LiMn2O4!E$51*(LiMn2O4!E$40*(LiMn2O4!C$21*GREET1_Import_Export!$Q77+LiMn2O4!C$22*GREET1_Import_Export!$O77+LiMn2O4!C$23*GREET1_Import_Export!$M77)+GREET1_Import_Export!$B206*GREET1_Import_Export!$G$179+GREET1_Import_Export!$G206)+LiMn2O4!E$52*(LiMn2O4!E$40*LiMn2O4!C$24*GREET1_Import_Export!$T77+GREET1_Import_Export!$B206*GREET1_Import_Export!$C$179+GREET1_Import_Export!$C206)+LiMn2O4!E$53*(LiMn2O4!E$40*LiMn2O4!C$25*GREET1_Import_Export!$W77+GREET1_Import_Export!$E242*GREET1_Import_Export!$F$215+GREET1_Import_Export!$F242)+LiMn2O4!E$54*(LiMn2O4!E$40*(LiMn2O4!C$26*GREET1_Import_Export!$B77+LiMn2O4!C$27*GREET1_Import_Export!$C77+LiMn2O4!C$28*GREET1_Import_Export!$G77+(MMULT('GREET2_Factors_T&amp;D'!$F20:$H20+0,LiMn2O4!C$30:C$32+0)))+GREET1_Import_Export!$B242)+LiMn2O4!E$55*(LiMn2O4!E$40*(LiMn2O4!C$33*GREET1_Import_Export!$AA77+LiMn2O4!C$34*GREET1_Import_Export!$AB77)+GREET1_Import_Export!$C295)+LiMn2O4!E$56*SUM(GREET1_Import_Export!$D320:$E320)</f>
        <v>2.2386188228686001</v>
      </c>
      <c r="F81" s="1"/>
      <c r="G81" s="235">
        <f>'GREET2_Factors_T&amp;D'!F77</f>
        <v>2.4995922356666374E-2</v>
      </c>
      <c r="H81" s="1321"/>
      <c r="I81" s="1321"/>
      <c r="J81" s="1321"/>
      <c r="K81" s="1321"/>
      <c r="L81" s="1321"/>
      <c r="M81" s="1321"/>
      <c r="N81" s="1321"/>
      <c r="O81" s="1321"/>
      <c r="P81" s="1321"/>
      <c r="Q81" s="1321"/>
      <c r="R81" s="1321"/>
      <c r="S81" s="1321"/>
      <c r="T81" s="1321"/>
      <c r="U81" s="1321"/>
      <c r="V81" s="1321"/>
      <c r="W81" s="1321"/>
      <c r="X81" s="1321"/>
      <c r="Y81" s="1321"/>
      <c r="Z81" s="1321"/>
      <c r="AA81" s="1321"/>
      <c r="AB81" s="1321"/>
      <c r="AC81" s="1321"/>
      <c r="AD81" s="1321"/>
      <c r="AE81" s="1321"/>
      <c r="AF81" s="1321"/>
      <c r="AG81" s="1321"/>
      <c r="AH81" s="1321"/>
      <c r="AI81" s="1321"/>
      <c r="AJ81" s="1321"/>
      <c r="AK81" s="1321"/>
      <c r="AL81" s="1321"/>
      <c r="AM81" s="1321"/>
      <c r="AN81" s="1321"/>
      <c r="AO81" s="1321"/>
      <c r="AP81" s="1321"/>
      <c r="AQ81" s="1321"/>
      <c r="AR81" s="1321"/>
      <c r="AS81" s="1321"/>
    </row>
    <row r="82" spans="1:45">
      <c r="A82" s="291" t="s">
        <v>827</v>
      </c>
      <c r="B82" s="233">
        <f t="array" ref="B82">LiMn2O4!B$50*(LiMn2O4!B$40*LiMn2O4!B$19*GREET1_Import_Export!$K78+GREET1_Import_Export!$B207*GREET1_Import_Export!$F$179+GREET1_Import_Export!$F207)+LiMn2O4!B$51*(LiMn2O4!B$40*(LiMn2O4!B$21*GREET1_Import_Export!$Q78+LiMn2O4!B$22*GREET1_Import_Export!$O78+LiMn2O4!B$23*GREET1_Import_Export!$M78)+GREET1_Import_Export!$B207*GREET1_Import_Export!$G$179+GREET1_Import_Export!$G207)+LiMn2O4!B$52*(LiMn2O4!B$40*LiMn2O4!B$24*GREET1_Import_Export!$T78+GREET1_Import_Export!$B207*GREET1_Import_Export!$C$179+GREET1_Import_Export!$C207)+LiMn2O4!B$53*(LiMn2O4!B$40*LiMn2O4!B$25*GREET1_Import_Export!$W78+GREET1_Import_Export!$E243*GREET1_Import_Export!$F$215+GREET1_Import_Export!$F243)+LiMn2O4!B$54*(LiMn2O4!B$40*(LiMn2O4!B$26*GREET1_Import_Export!$B78+LiMn2O4!B$27*GREET1_Import_Export!$C78+LiMn2O4!B$28*GREET1_Import_Export!$G78+(MMULT('GREET2_Factors_T&amp;D'!$F21:$H21+0,LiMn2O4!B$30:B$32+0)))+GREET1_Import_Export!$B243)+LiMn2O4!B$55*(LiMn2O4!B$40*(LiMn2O4!B$33*GREET1_Import_Export!$AA78+LiMn2O4!B$34*GREET1_Import_Export!$AB78)+GREET1_Import_Export!$C296)+LiMn2O4!B$56*SUM(GREET1_Import_Export!$D321:$E321)</f>
        <v>1.3704811551066072E-2</v>
      </c>
      <c r="C82" s="1"/>
      <c r="D82" s="235">
        <f>'GREET2_Factors_T&amp;D'!E78</f>
        <v>3.5119671036279991E-2</v>
      </c>
      <c r="E82" s="233">
        <f t="array" ref="E82">LiMn2O4!E$50*(LiMn2O4!E$40*LiMn2O4!C$19*GREET1_Import_Export!$K78+GREET1_Import_Export!$B207*GREET1_Import_Export!$F$179+GREET1_Import_Export!$F207)+LiMn2O4!E$51*(LiMn2O4!E$40*(LiMn2O4!C$21*GREET1_Import_Export!$Q78+LiMn2O4!C$22*GREET1_Import_Export!$O78+LiMn2O4!C$23*GREET1_Import_Export!$M78)+GREET1_Import_Export!$B207*GREET1_Import_Export!$G$179+GREET1_Import_Export!$G207)+LiMn2O4!E$52*(LiMn2O4!E$40*LiMn2O4!C$24*GREET1_Import_Export!$T78+GREET1_Import_Export!$B207*GREET1_Import_Export!$C$179+GREET1_Import_Export!$C207)+LiMn2O4!E$53*(LiMn2O4!E$40*LiMn2O4!C$25*GREET1_Import_Export!$W78+GREET1_Import_Export!$E243*GREET1_Import_Export!$F$215+GREET1_Import_Export!$F243)+LiMn2O4!E$54*(LiMn2O4!E$40*(LiMn2O4!C$26*GREET1_Import_Export!$B78+LiMn2O4!C$27*GREET1_Import_Export!$C78+LiMn2O4!C$28*GREET1_Import_Export!$G78+(MMULT('GREET2_Factors_T&amp;D'!$F21:$H21+0,LiMn2O4!C$30:C$32+0)))+GREET1_Import_Export!$B243)+LiMn2O4!E$55*(LiMn2O4!E$40*(LiMn2O4!C$33*GREET1_Import_Export!$AA78+LiMn2O4!C$34*GREET1_Import_Export!$AB78)+GREET1_Import_Export!$C296)+LiMn2O4!E$56*SUM(GREET1_Import_Export!$D321:$E321)</f>
        <v>3.1543931509728632E-2</v>
      </c>
      <c r="F82" s="1"/>
      <c r="G82" s="235">
        <f>'GREET2_Factors_T&amp;D'!F78</f>
        <v>1.4047868414512E-3</v>
      </c>
      <c r="H82" s="1321"/>
      <c r="I82" s="1321"/>
      <c r="J82" s="1321"/>
      <c r="K82" s="1321"/>
      <c r="L82" s="1321"/>
      <c r="M82" s="1321"/>
      <c r="N82" s="1321"/>
      <c r="O82" s="1321"/>
      <c r="P82" s="1321"/>
      <c r="Q82" s="1321"/>
      <c r="R82" s="1321"/>
      <c r="S82" s="1321"/>
      <c r="T82" s="1321"/>
      <c r="U82" s="1321"/>
      <c r="V82" s="1321"/>
      <c r="W82" s="1321"/>
      <c r="X82" s="1321"/>
      <c r="Y82" s="1321"/>
      <c r="Z82" s="1321"/>
      <c r="AA82" s="1321"/>
      <c r="AB82" s="1321"/>
      <c r="AC82" s="1321"/>
      <c r="AD82" s="1321"/>
      <c r="AE82" s="1321"/>
      <c r="AF82" s="1321"/>
      <c r="AG82" s="1321"/>
      <c r="AH82" s="1321"/>
      <c r="AI82" s="1321"/>
      <c r="AJ82" s="1321"/>
      <c r="AK82" s="1321"/>
      <c r="AL82" s="1321"/>
      <c r="AM82" s="1321"/>
      <c r="AN82" s="1321"/>
      <c r="AO82" s="1321"/>
      <c r="AP82" s="1321"/>
      <c r="AQ82" s="1321"/>
      <c r="AR82" s="1321"/>
      <c r="AS82" s="1321"/>
    </row>
    <row r="83" spans="1:45">
      <c r="A83" s="292" t="s">
        <v>828</v>
      </c>
      <c r="B83" s="236">
        <f t="array" ref="B83">LiMn2O4!B$50*(LiMn2O4!B$40*LiMn2O4!B$19*GREET1_Import_Export!$K79+GREET1_Import_Export!$B208*GREET1_Import_Export!$F$179+GREET1_Import_Export!$F208)+LiMn2O4!B$51*(LiMn2O4!B$40*(LiMn2O4!B$21*GREET1_Import_Export!$Q79+LiMn2O4!B$22*GREET1_Import_Export!$O79+LiMn2O4!B$23*GREET1_Import_Export!$M79)+GREET1_Import_Export!$B208*GREET1_Import_Export!$G$179+GREET1_Import_Export!$G208)+LiMn2O4!B$52*(LiMn2O4!B$40*LiMn2O4!B$24*GREET1_Import_Export!$T79+GREET1_Import_Export!$B208*GREET1_Import_Export!$C$179+GREET1_Import_Export!$C208)+LiMn2O4!B$53*(LiMn2O4!B$40*LiMn2O4!B$25*GREET1_Import_Export!$W79+GREET1_Import_Export!$E244*GREET1_Import_Export!$F$215+GREET1_Import_Export!$F244)+LiMn2O4!B$54*(LiMn2O4!B$40*(LiMn2O4!B$26*GREET1_Import_Export!$B79+LiMn2O4!B$27*GREET1_Import_Export!$C79+LiMn2O4!B$28*GREET1_Import_Export!$G79+(MMULT('GREET2_Factors_T&amp;D'!$F22:$H22+0,LiMn2O4!B$30:B$32+0)))+GREET1_Import_Export!$B244)+LiMn2O4!B$55*(LiMn2O4!B$40*(LiMn2O4!B$33*GREET1_Import_Export!$AA79+LiMn2O4!B$34*GREET1_Import_Export!$AB79)+GREET1_Import_Export!$C297)+LiMn2O4!B$56*SUM(GREET1_Import_Export!$D322:$E322)</f>
        <v>5.6371985834515886E-2</v>
      </c>
      <c r="C83" s="125"/>
      <c r="D83" s="237">
        <f>'GREET2_Factors_T&amp;D'!E79</f>
        <v>4.9709807836156826E-2</v>
      </c>
      <c r="E83" s="236">
        <f t="array" ref="E83">LiMn2O4!E$50*(LiMn2O4!E$40*LiMn2O4!C$19*GREET1_Import_Export!$K79+GREET1_Import_Export!$B208*GREET1_Import_Export!$F$179+GREET1_Import_Export!$F208)+LiMn2O4!E$51*(LiMn2O4!E$40*(LiMn2O4!C$21*GREET1_Import_Export!$Q79+LiMn2O4!C$22*GREET1_Import_Export!$O79+LiMn2O4!C$23*GREET1_Import_Export!$M79)+GREET1_Import_Export!$B208*GREET1_Import_Export!$G$179+GREET1_Import_Export!$G208)+LiMn2O4!E$52*(LiMn2O4!E$40*LiMn2O4!C$24*GREET1_Import_Export!$T79+GREET1_Import_Export!$B208*GREET1_Import_Export!$C$179+GREET1_Import_Export!$C208)+LiMn2O4!E$53*(LiMn2O4!E$40*LiMn2O4!C$25*GREET1_Import_Export!$W79+GREET1_Import_Export!$E244*GREET1_Import_Export!$F$215+GREET1_Import_Export!$F244)+LiMn2O4!E$54*(LiMn2O4!E$40*(LiMn2O4!C$26*GREET1_Import_Export!$B79+LiMn2O4!C$27*GREET1_Import_Export!$C79+LiMn2O4!C$28*GREET1_Import_Export!$G79+(MMULT('GREET2_Factors_T&amp;D'!$F22:$H22+0,LiMn2O4!C$30:C$32+0)))+GREET1_Import_Export!$B244)+LiMn2O4!E$55*(LiMn2O4!E$40*(LiMn2O4!C$33*GREET1_Import_Export!$AA79+LiMn2O4!C$34*GREET1_Import_Export!$AB79)+GREET1_Import_Export!$C297)+LiMn2O4!E$56*SUM(GREET1_Import_Export!$D322:$E322)</f>
        <v>7.1247406462382298E-2</v>
      </c>
      <c r="F83" s="125"/>
      <c r="G83" s="237">
        <f>'GREET2_Factors_T&amp;D'!F79</f>
        <v>1.9883923134462731E-3</v>
      </c>
      <c r="H83" s="1321"/>
      <c r="I83" s="1321"/>
      <c r="J83" s="1321"/>
      <c r="K83" s="1321"/>
      <c r="L83" s="1321"/>
      <c r="M83" s="1321"/>
      <c r="N83" s="1321"/>
      <c r="O83" s="1321"/>
      <c r="P83" s="1321"/>
      <c r="Q83" s="1321"/>
      <c r="R83" s="1321"/>
      <c r="S83" s="1321"/>
      <c r="T83" s="1321"/>
      <c r="U83" s="1321"/>
      <c r="V83" s="1321"/>
      <c r="W83" s="1321"/>
      <c r="X83" s="1321"/>
      <c r="Y83" s="1321"/>
      <c r="Z83" s="1321"/>
      <c r="AA83" s="1321"/>
      <c r="AB83" s="1321"/>
      <c r="AC83" s="1321"/>
      <c r="AD83" s="1321"/>
      <c r="AE83" s="1321"/>
      <c r="AF83" s="1321"/>
      <c r="AG83" s="1321"/>
      <c r="AH83" s="1321"/>
      <c r="AI83" s="1321"/>
      <c r="AJ83" s="1321"/>
      <c r="AK83" s="1321"/>
      <c r="AL83" s="1321"/>
      <c r="AM83" s="1321"/>
      <c r="AN83" s="1321"/>
      <c r="AO83" s="1321"/>
      <c r="AP83" s="1321"/>
      <c r="AQ83" s="1321"/>
      <c r="AR83" s="1321"/>
      <c r="AS83" s="1321"/>
    </row>
    <row r="84" spans="1:45" s="8" customFormat="1">
      <c r="A84" s="489"/>
      <c r="B84" s="480"/>
      <c r="C84" s="489"/>
      <c r="D84" s="479"/>
      <c r="E84" s="480"/>
      <c r="F84" s="489"/>
      <c r="G84" s="479"/>
      <c r="H84" s="480"/>
      <c r="I84" s="489"/>
      <c r="J84" s="479"/>
      <c r="K84" s="480"/>
      <c r="L84" s="489"/>
      <c r="M84" s="479"/>
      <c r="N84" s="480"/>
      <c r="O84" s="489"/>
      <c r="P84" s="479"/>
      <c r="Q84" s="480"/>
      <c r="R84" s="489"/>
      <c r="S84" s="480"/>
      <c r="T84" s="489"/>
      <c r="U84" s="480"/>
      <c r="V84" s="489"/>
      <c r="W84" s="480"/>
      <c r="X84" s="489"/>
      <c r="Y84" s="480"/>
      <c r="Z84" s="489"/>
      <c r="AA84" s="480"/>
      <c r="AB84" s="489"/>
      <c r="AC84" s="480"/>
      <c r="AD84" s="489"/>
      <c r="AE84" s="479"/>
      <c r="AF84" s="480"/>
      <c r="AG84" s="489"/>
      <c r="AH84" s="479"/>
      <c r="AI84" s="480"/>
      <c r="AJ84" s="489"/>
      <c r="AK84" s="480"/>
      <c r="AL84" s="489"/>
      <c r="AM84" s="480"/>
      <c r="AN84" s="489"/>
      <c r="AO84" s="480"/>
      <c r="AP84" s="489"/>
      <c r="AQ84" s="480"/>
      <c r="AR84" s="489"/>
      <c r="AS84" s="480"/>
    </row>
    <row r="85" spans="1:45" ht="15" customHeight="1">
      <c r="A85" s="134" t="s">
        <v>1592</v>
      </c>
      <c r="B85" s="1321"/>
      <c r="C85" s="1321"/>
      <c r="D85" s="1321"/>
      <c r="E85" s="1321"/>
      <c r="F85" s="1321"/>
      <c r="G85" s="1321"/>
      <c r="H85" s="1321"/>
      <c r="I85" s="1321"/>
      <c r="J85" s="1321"/>
      <c r="K85" s="1321"/>
      <c r="L85" s="1321"/>
      <c r="M85" s="1321"/>
      <c r="N85" s="1321"/>
      <c r="O85" s="1321"/>
      <c r="P85" s="1321"/>
      <c r="Q85" s="1321"/>
      <c r="R85" s="1321"/>
      <c r="S85" s="1321"/>
      <c r="T85" s="1321"/>
      <c r="U85" s="1321"/>
      <c r="V85" s="1321"/>
      <c r="W85" s="1321"/>
      <c r="X85" s="1321"/>
      <c r="Y85" s="1321"/>
      <c r="Z85" s="1321"/>
      <c r="AA85" s="1321"/>
      <c r="AB85" s="1321"/>
      <c r="AC85" s="1321"/>
      <c r="AD85" s="1321"/>
      <c r="AE85" s="1321"/>
      <c r="AF85" s="1321"/>
      <c r="AG85" s="1321"/>
      <c r="AH85" s="1321"/>
      <c r="AI85" s="1321"/>
      <c r="AJ85" s="1321"/>
      <c r="AK85" s="1321"/>
      <c r="AL85" s="1321"/>
      <c r="AM85" s="1321"/>
      <c r="AN85" s="1321"/>
      <c r="AO85" s="1321"/>
      <c r="AP85" s="1321"/>
      <c r="AQ85" s="1321"/>
      <c r="AR85" s="1321"/>
      <c r="AS85" s="1321"/>
    </row>
    <row r="86" spans="1:45" ht="15.75">
      <c r="A86" s="132"/>
      <c r="B86" s="3036" t="s">
        <v>1593</v>
      </c>
      <c r="C86" s="3037"/>
      <c r="D86" s="3037"/>
      <c r="E86" s="3037"/>
      <c r="F86" s="3037"/>
      <c r="G86" s="3037"/>
      <c r="H86" s="3038"/>
      <c r="I86" s="3131" t="s">
        <v>1594</v>
      </c>
      <c r="J86" s="3132"/>
      <c r="K86" s="3047" t="s">
        <v>1595</v>
      </c>
      <c r="L86" s="3047" t="s">
        <v>1596</v>
      </c>
      <c r="M86" s="1555"/>
      <c r="N86" s="1321"/>
      <c r="O86" s="1321"/>
      <c r="P86" s="1321"/>
      <c r="Q86" s="1321"/>
      <c r="R86" s="1321"/>
      <c r="S86" s="1321"/>
      <c r="T86" s="1321"/>
      <c r="U86" s="1321"/>
      <c r="V86" s="1321"/>
      <c r="W86" s="1321"/>
      <c r="X86" s="1321"/>
      <c r="Y86" s="1321"/>
      <c r="Z86" s="1321"/>
      <c r="AA86" s="1321"/>
      <c r="AB86" s="1321"/>
      <c r="AC86" s="1321"/>
      <c r="AD86" s="1321"/>
      <c r="AE86" s="1321"/>
      <c r="AF86" s="1321"/>
      <c r="AG86" s="1321"/>
      <c r="AH86" s="1321"/>
      <c r="AI86" s="1321"/>
      <c r="AJ86" s="1321"/>
      <c r="AK86" s="1321"/>
      <c r="AL86" s="1321"/>
      <c r="AM86" s="1321"/>
      <c r="AN86" s="1321"/>
      <c r="AO86" s="1321"/>
      <c r="AP86" s="1321"/>
      <c r="AQ86" s="1321"/>
      <c r="AR86" s="1321"/>
      <c r="AS86" s="1321"/>
    </row>
    <row r="87" spans="1:45" ht="39.75">
      <c r="A87" s="173"/>
      <c r="B87" s="1600" t="s">
        <v>1597</v>
      </c>
      <c r="C87" s="3020" t="s">
        <v>1598</v>
      </c>
      <c r="D87" s="3021"/>
      <c r="E87" s="3022"/>
      <c r="F87" s="3020" t="s">
        <v>1599</v>
      </c>
      <c r="G87" s="3021"/>
      <c r="H87" s="3022"/>
      <c r="I87" s="3133"/>
      <c r="J87" s="3134"/>
      <c r="K87" s="3127"/>
      <c r="L87" s="3127"/>
      <c r="M87" s="1321"/>
      <c r="N87" s="1321"/>
      <c r="O87" s="1321"/>
      <c r="P87" s="1321"/>
      <c r="Q87" s="1321"/>
      <c r="R87" s="1321"/>
      <c r="S87" s="1321"/>
      <c r="T87" s="1321"/>
      <c r="U87" s="1321"/>
      <c r="V87" s="1321"/>
      <c r="W87" s="1321"/>
      <c r="X87" s="1321"/>
      <c r="Y87" s="1321"/>
      <c r="Z87" s="1321"/>
      <c r="AA87" s="1321"/>
      <c r="AB87" s="1321"/>
      <c r="AC87" s="1321"/>
      <c r="AD87" s="1321"/>
      <c r="AE87" s="1321"/>
      <c r="AF87" s="1321"/>
      <c r="AG87" s="1321"/>
      <c r="AH87" s="1321"/>
      <c r="AI87" s="1321"/>
      <c r="AJ87" s="1321"/>
      <c r="AK87" s="1321"/>
      <c r="AL87" s="1321"/>
      <c r="AM87" s="1321"/>
      <c r="AN87" s="1321"/>
      <c r="AO87" s="1321"/>
      <c r="AP87" s="1321"/>
      <c r="AQ87" s="1321"/>
      <c r="AR87" s="1321"/>
      <c r="AS87" s="1321"/>
    </row>
    <row r="88" spans="1:45" ht="41.25">
      <c r="A88" s="173"/>
      <c r="B88" s="1600" t="s">
        <v>1600</v>
      </c>
      <c r="C88" s="1600" t="s">
        <v>1601</v>
      </c>
      <c r="D88" s="1601" t="s">
        <v>992</v>
      </c>
      <c r="E88" s="1602" t="s">
        <v>1600</v>
      </c>
      <c r="F88" s="2538" t="s">
        <v>1602</v>
      </c>
      <c r="G88" s="1601" t="s">
        <v>1603</v>
      </c>
      <c r="H88" s="1602" t="s">
        <v>1604</v>
      </c>
      <c r="I88" s="1577" t="s">
        <v>1600</v>
      </c>
      <c r="J88" s="1578" t="s">
        <v>1605</v>
      </c>
      <c r="K88" s="3048"/>
      <c r="L88" s="3048"/>
      <c r="M88" s="1321"/>
      <c r="N88" s="1321"/>
      <c r="O88" s="1321"/>
      <c r="P88" s="1321"/>
      <c r="Q88" s="1321"/>
      <c r="R88" s="1321"/>
      <c r="S88" s="1321"/>
      <c r="T88" s="1321"/>
      <c r="U88" s="1321"/>
      <c r="V88" s="1321"/>
      <c r="W88" s="1321"/>
      <c r="X88" s="1321"/>
      <c r="Y88" s="1321"/>
      <c r="Z88" s="1321"/>
      <c r="AA88" s="1321"/>
      <c r="AB88" s="1321"/>
      <c r="AC88" s="1321"/>
      <c r="AD88" s="1321"/>
      <c r="AE88" s="1321"/>
      <c r="AF88" s="1321"/>
      <c r="AG88" s="1321"/>
      <c r="AH88" s="1321"/>
      <c r="AI88" s="1321"/>
      <c r="AJ88" s="1321"/>
      <c r="AK88" s="1321"/>
      <c r="AL88" s="1321"/>
      <c r="AM88" s="1321"/>
      <c r="AN88" s="1321"/>
      <c r="AO88" s="1321"/>
      <c r="AP88" s="1321"/>
      <c r="AQ88" s="1321"/>
      <c r="AR88" s="1321"/>
      <c r="AS88" s="1321"/>
    </row>
    <row r="89" spans="1:45">
      <c r="A89" s="238" t="s">
        <v>870</v>
      </c>
      <c r="B89" s="135"/>
      <c r="C89" s="135"/>
      <c r="D89" s="1608"/>
      <c r="E89" s="525"/>
      <c r="F89" s="1608"/>
      <c r="G89" s="1608"/>
      <c r="H89" s="525"/>
      <c r="I89" s="1579"/>
      <c r="J89" s="1277"/>
      <c r="K89" s="570"/>
      <c r="L89" s="570"/>
      <c r="M89" s="1321"/>
      <c r="N89" s="1321"/>
      <c r="O89" s="1321"/>
      <c r="P89" s="1321"/>
      <c r="Q89" s="1321"/>
      <c r="R89" s="1321"/>
      <c r="S89" s="1321"/>
      <c r="T89" s="1321"/>
      <c r="U89" s="1321"/>
      <c r="V89" s="1321"/>
      <c r="W89" s="1321"/>
      <c r="X89" s="1321"/>
      <c r="Y89" s="1321"/>
      <c r="Z89" s="1321"/>
      <c r="AA89" s="1321"/>
      <c r="AB89" s="1321"/>
      <c r="AC89" s="1321"/>
      <c r="AD89" s="1321"/>
      <c r="AE89" s="1321"/>
      <c r="AF89" s="1321"/>
      <c r="AG89" s="1321"/>
      <c r="AH89" s="1321"/>
      <c r="AI89" s="1321"/>
      <c r="AJ89" s="1321"/>
      <c r="AK89" s="1321"/>
      <c r="AL89" s="1321"/>
      <c r="AM89" s="1321"/>
      <c r="AN89" s="1321"/>
      <c r="AO89" s="1321"/>
      <c r="AP89" s="1321"/>
      <c r="AQ89" s="1321"/>
      <c r="AR89" s="1321"/>
      <c r="AS89" s="1321"/>
    </row>
    <row r="90" spans="1:45">
      <c r="A90" s="230" t="s">
        <v>816</v>
      </c>
      <c r="B90" s="914">
        <f>Li_Chemicals!J107</f>
        <v>27.367244833111862</v>
      </c>
      <c r="C90" s="578">
        <f>Li_Chemicals!L107</f>
        <v>5.0786456533048154</v>
      </c>
      <c r="D90" s="479">
        <f>GREET1_Import_Export!C494</f>
        <v>4.2758164530245066</v>
      </c>
      <c r="E90" s="478">
        <f>Li_Chemicals!N107</f>
        <v>66.091074876826738</v>
      </c>
      <c r="F90" s="479">
        <f>SUM(B57:D57)+$C$13*Mat_Sum!BC15*2000</f>
        <v>18.151970143812669</v>
      </c>
      <c r="G90" s="479">
        <f>B90*LiMn2O4!B$14+F90*LiMn2O4!B$15+SUM(E57:G57)</f>
        <v>36.06238054001544</v>
      </c>
      <c r="H90" s="478">
        <f>E90*LiMn2O4!B$14+F90*LiMn2O4!B$15+SUM(E57:G57)</f>
        <v>43.975157193170077</v>
      </c>
      <c r="I90" s="1580">
        <f>Li_Chemicals!S107</f>
        <v>188.32706237051065</v>
      </c>
      <c r="J90" s="1412">
        <f>I90*LiMn2O4!B$14+F90*LiMn2O4!B$15+SUM(E57:G57)</f>
        <v>68.952698591410751</v>
      </c>
      <c r="K90" s="914">
        <f>Li_Chemicals!U107</f>
        <v>15.030487346981841</v>
      </c>
      <c r="L90" s="478">
        <f>LiMn2O4!$B$7*G90+LiMn2O4!$C$7*H90+LiMn2O4!$D$7*J90</f>
        <v>36.06238054001544</v>
      </c>
      <c r="M90" s="1321"/>
      <c r="N90" s="1321"/>
      <c r="O90" s="1321"/>
      <c r="P90" s="1321"/>
      <c r="Q90" s="1321"/>
      <c r="R90" s="1321"/>
      <c r="S90" s="1321"/>
      <c r="T90" s="1321"/>
      <c r="U90" s="1321"/>
      <c r="V90" s="1321"/>
      <c r="W90" s="1321"/>
      <c r="X90" s="1321"/>
      <c r="Y90" s="1321"/>
      <c r="Z90" s="1321"/>
      <c r="AA90" s="1321"/>
      <c r="AB90" s="1321"/>
      <c r="AC90" s="1321"/>
      <c r="AD90" s="1321"/>
      <c r="AE90" s="1321"/>
      <c r="AF90" s="1321"/>
      <c r="AG90" s="1321"/>
      <c r="AH90" s="1321"/>
      <c r="AI90" s="1321"/>
      <c r="AJ90" s="1321"/>
      <c r="AK90" s="1321"/>
      <c r="AL90" s="1321"/>
      <c r="AM90" s="1321"/>
      <c r="AN90" s="1321"/>
      <c r="AO90" s="1321"/>
      <c r="AP90" s="1321"/>
      <c r="AQ90" s="1321"/>
      <c r="AR90" s="1321"/>
      <c r="AS90" s="1321"/>
    </row>
    <row r="91" spans="1:45">
      <c r="A91" s="230" t="s">
        <v>817</v>
      </c>
      <c r="B91" s="914">
        <f>Li_Chemicals!J108</f>
        <v>24.869204151053232</v>
      </c>
      <c r="C91" s="578">
        <f>Li_Chemicals!L108</f>
        <v>5.0718602126136769</v>
      </c>
      <c r="D91" s="479">
        <f>GREET1_Import_Export!C495</f>
        <v>4.1898503794963649</v>
      </c>
      <c r="E91" s="478">
        <f>Li_Chemicals!N108</f>
        <v>65.717365307832182</v>
      </c>
      <c r="F91" s="479">
        <f>SUM(B58:D58)+$C$13*Mat_Sum!BC16*2000</f>
        <v>15.457607146950238</v>
      </c>
      <c r="G91" s="479">
        <f>B91*LiMn2O4!B$14+F91*LiMn2O4!B$15+SUM(E58:G58)</f>
        <v>33.182743190143164</v>
      </c>
      <c r="H91" s="478">
        <f>E91*LiMn2O4!B$14+F91*LiMn2O4!B$15+SUM(E58:G58)</f>
        <v>41.529602877337759</v>
      </c>
      <c r="I91" s="1580">
        <f>Li_Chemicals!S108</f>
        <v>186.01592241901488</v>
      </c>
      <c r="J91" s="1412">
        <f>I91*LiMn2O4!B$14+F91*LiMn2O4!B$15+SUM(E58:G58)</f>
        <v>66.111252291741579</v>
      </c>
      <c r="K91" s="914">
        <f>Li_Chemicals!U108</f>
        <v>14.273036331988768</v>
      </c>
      <c r="L91" s="478">
        <f>LiMn2O4!$B$7*G91+LiMn2O4!$C$7*H91+LiMn2O4!$D$7*J91</f>
        <v>33.182743190143164</v>
      </c>
      <c r="M91" s="1321"/>
      <c r="N91" s="1321"/>
      <c r="O91" s="1321"/>
      <c r="P91" s="1321"/>
      <c r="Q91" s="1321"/>
      <c r="R91" s="1321"/>
      <c r="S91" s="1321"/>
      <c r="T91" s="1321"/>
      <c r="U91" s="1321"/>
      <c r="V91" s="1321"/>
      <c r="W91" s="1321"/>
      <c r="X91" s="1321"/>
      <c r="Y91" s="1321"/>
      <c r="Z91" s="1321"/>
      <c r="AA91" s="1321"/>
      <c r="AB91" s="1321"/>
      <c r="AC91" s="1321"/>
      <c r="AD91" s="1321"/>
      <c r="AE91" s="1321"/>
      <c r="AF91" s="1321"/>
      <c r="AG91" s="1321"/>
      <c r="AH91" s="1321"/>
      <c r="AI91" s="1321"/>
      <c r="AJ91" s="1321"/>
      <c r="AK91" s="1321"/>
      <c r="AL91" s="1321"/>
      <c r="AM91" s="1321"/>
      <c r="AN91" s="1321"/>
      <c r="AO91" s="1321"/>
      <c r="AP91" s="1321"/>
      <c r="AQ91" s="1321"/>
      <c r="AR91" s="1321"/>
      <c r="AS91" s="1321"/>
    </row>
    <row r="92" spans="1:45">
      <c r="A92" s="230" t="s">
        <v>805</v>
      </c>
      <c r="B92" s="914">
        <f>Li_Chemicals!J109</f>
        <v>12.039022188242386</v>
      </c>
      <c r="C92" s="578">
        <f>Li_Chemicals!L109</f>
        <v>4.2382882993459088</v>
      </c>
      <c r="D92" s="479">
        <f>GREET1_Import_Export!C496</f>
        <v>3.5022632827296989</v>
      </c>
      <c r="E92" s="478">
        <f>Li_Chemicals!N109</f>
        <v>17.071408107022844</v>
      </c>
      <c r="F92" s="479">
        <f>SUM(B59:D59)+$C$13*Mat_Sum!BC17*2000</f>
        <v>3.5611079987139078</v>
      </c>
      <c r="G92" s="479">
        <f>B92*LiMn2O4!B$14+F92*LiMn2O4!B$15+SUM(E59:G59)</f>
        <v>5.5913512759673392</v>
      </c>
      <c r="H92" s="478">
        <f>E92*LiMn2O4!B$14+F92*LiMn2O4!B$15+SUM(E59:G59)</f>
        <v>6.6196624157186932</v>
      </c>
      <c r="I92" s="1580">
        <f>Li_Chemicals!S109</f>
        <v>138.61824578120959</v>
      </c>
      <c r="J92" s="1412">
        <f>I92*LiMn2O4!B$14+F92*LiMn2O4!B$15+SUM(E59:G59)</f>
        <v>31.456383843515152</v>
      </c>
      <c r="K92" s="914">
        <f>Li_Chemicals!U109</f>
        <v>1.0012191074650729</v>
      </c>
      <c r="L92" s="478">
        <f>LiMn2O4!$B$7*G92+LiMn2O4!$C$7*H92+LiMn2O4!$D$7*J92</f>
        <v>5.5913512759673392</v>
      </c>
      <c r="M92" s="1321"/>
      <c r="N92" s="1321"/>
      <c r="O92" s="1321"/>
      <c r="P92" s="1321"/>
      <c r="Q92" s="1321"/>
      <c r="R92" s="1321"/>
      <c r="S92" s="1321"/>
      <c r="T92" s="1321"/>
      <c r="U92" s="1321"/>
      <c r="V92" s="1321"/>
      <c r="W92" s="1321"/>
      <c r="X92" s="1321"/>
      <c r="Y92" s="1321"/>
      <c r="Z92" s="1321"/>
      <c r="AA92" s="1321"/>
      <c r="AB92" s="1321"/>
      <c r="AC92" s="1321"/>
      <c r="AD92" s="1321"/>
      <c r="AE92" s="1321"/>
      <c r="AF92" s="1321"/>
      <c r="AG92" s="1321"/>
      <c r="AH92" s="1321"/>
      <c r="AI92" s="1321"/>
      <c r="AJ92" s="1321"/>
      <c r="AK92" s="1321"/>
      <c r="AL92" s="1321"/>
      <c r="AM92" s="1321"/>
      <c r="AN92" s="1321"/>
      <c r="AO92" s="1321"/>
      <c r="AP92" s="1321"/>
      <c r="AQ92" s="1321"/>
      <c r="AR92" s="1321"/>
      <c r="AS92" s="1321"/>
    </row>
    <row r="93" spans="1:45">
      <c r="A93" s="230" t="s">
        <v>804</v>
      </c>
      <c r="B93" s="914">
        <f>Li_Chemicals!J110</f>
        <v>4.8879958787088684</v>
      </c>
      <c r="C93" s="578">
        <f>Li_Chemicals!L110</f>
        <v>7.8879504728451053E-2</v>
      </c>
      <c r="D93" s="479">
        <f>GREET1_Import_Export!C497</f>
        <v>0.466525820246666</v>
      </c>
      <c r="E93" s="478">
        <f>Li_Chemicals!N110</f>
        <v>6.5499126602578297</v>
      </c>
      <c r="F93" s="479">
        <f>SUM(B60:D60)+$C$13*Mat_Sum!BC18*2000</f>
        <v>9.5602348720056956</v>
      </c>
      <c r="G93" s="479">
        <f>B93*LiMn2O4!B$14+F93*LiMn2O4!B$15+SUM(E60:G60)</f>
        <v>23.848532493071563</v>
      </c>
      <c r="H93" s="478">
        <f>E93*LiMn2O4!B$14+F93*LiMn2O4!B$15+SUM(E60:G60)</f>
        <v>24.188126388966708</v>
      </c>
      <c r="I93" s="1580">
        <f>Li_Chemicals!S110</f>
        <v>6.3915855760129983</v>
      </c>
      <c r="J93" s="1412">
        <f>I93*LiMn2O4!B$14+F93*LiMn2O4!B$15+SUM(E60:G60)</f>
        <v>24.155774040184049</v>
      </c>
      <c r="K93" s="914">
        <f>Li_Chemicals!U110</f>
        <v>12.983514568594668</v>
      </c>
      <c r="L93" s="478">
        <f>LiMn2O4!$B$7*G93+LiMn2O4!$C$7*H93+LiMn2O4!$D$7*J93</f>
        <v>23.848532493071563</v>
      </c>
      <c r="M93" s="1321"/>
      <c r="N93" s="1321"/>
      <c r="O93" s="1321"/>
      <c r="P93" s="1321"/>
      <c r="Q93" s="1321"/>
      <c r="R93" s="1321"/>
      <c r="S93" s="1321"/>
      <c r="T93" s="1321"/>
      <c r="U93" s="1321"/>
      <c r="V93" s="1321"/>
      <c r="W93" s="1321"/>
      <c r="X93" s="1321"/>
      <c r="Y93" s="1321"/>
      <c r="Z93" s="1321"/>
      <c r="AA93" s="1321"/>
      <c r="AB93" s="1321"/>
      <c r="AC93" s="1321"/>
      <c r="AD93" s="1321"/>
      <c r="AE93" s="1321"/>
      <c r="AF93" s="1321"/>
      <c r="AG93" s="1321"/>
      <c r="AH93" s="1321"/>
      <c r="AI93" s="1321"/>
      <c r="AJ93" s="1321"/>
      <c r="AK93" s="1321"/>
      <c r="AL93" s="1321"/>
      <c r="AM93" s="1321"/>
      <c r="AN93" s="1321"/>
      <c r="AO93" s="1321"/>
      <c r="AP93" s="1321"/>
      <c r="AQ93" s="1321"/>
      <c r="AR93" s="1321"/>
      <c r="AS93" s="1321"/>
    </row>
    <row r="94" spans="1:45">
      <c r="A94" s="589" t="s">
        <v>818</v>
      </c>
      <c r="B94" s="916">
        <f>Li_Chemicals!J111</f>
        <v>7.9421860841019782</v>
      </c>
      <c r="C94" s="584">
        <f>Li_Chemicals!L111</f>
        <v>0.75469240853931707</v>
      </c>
      <c r="D94" s="637">
        <f>GREET1_Import_Export!C498</f>
        <v>0.22106127651999968</v>
      </c>
      <c r="E94" s="585">
        <f>Li_Chemicals!N111</f>
        <v>42.09604454055151</v>
      </c>
      <c r="F94" s="637">
        <f>SUM(B61:D61)+$C$13*Mat_Sum!BC19*2000</f>
        <v>2.3362642762306365</v>
      </c>
      <c r="G94" s="637">
        <f>B94*LiMn2O4!B$14+F94*LiMn2O4!B$15+SUM(E61:G61)</f>
        <v>3.7428594211042667</v>
      </c>
      <c r="H94" s="585">
        <f>E94*LiMn2O4!B$14+F94*LiMn2O4!B$15+SUM(E61:G61)</f>
        <v>10.721814072652364</v>
      </c>
      <c r="I94" s="1581">
        <f>Li_Chemicals!S111</f>
        <v>41.006091061792311</v>
      </c>
      <c r="J94" s="1417">
        <f>I94*LiMn2O4!B$14+F94*LiMn2O4!B$15+SUM(E61:G61)</f>
        <v>10.499094408042374</v>
      </c>
      <c r="K94" s="916">
        <f>Li_Chemicals!U111</f>
        <v>0.28830265592902937</v>
      </c>
      <c r="L94" s="585">
        <f>LiMn2O4!$B$7*G94+LiMn2O4!$C$7*H94+LiMn2O4!$D$7*J94</f>
        <v>3.7428594211042667</v>
      </c>
      <c r="M94" s="1321"/>
      <c r="N94" s="1321"/>
      <c r="O94" s="1321"/>
      <c r="P94" s="1321"/>
      <c r="Q94" s="1321"/>
      <c r="R94" s="1321"/>
      <c r="S94" s="1321"/>
      <c r="T94" s="1321"/>
      <c r="U94" s="1321"/>
      <c r="V94" s="1321"/>
      <c r="W94" s="1321"/>
      <c r="X94" s="1321"/>
      <c r="Y94" s="1321"/>
      <c r="Z94" s="1321"/>
      <c r="AA94" s="1321"/>
      <c r="AB94" s="1321"/>
      <c r="AC94" s="1321"/>
      <c r="AD94" s="1321"/>
      <c r="AE94" s="1321"/>
      <c r="AF94" s="1321"/>
      <c r="AG94" s="1321"/>
      <c r="AH94" s="1321"/>
      <c r="AI94" s="1321"/>
      <c r="AJ94" s="1321"/>
      <c r="AK94" s="1321"/>
      <c r="AL94" s="1321"/>
      <c r="AM94" s="1321"/>
      <c r="AN94" s="1321"/>
      <c r="AO94" s="1321"/>
      <c r="AP94" s="1321"/>
      <c r="AQ94" s="1321"/>
      <c r="AR94" s="1321"/>
      <c r="AS94" s="1321"/>
    </row>
    <row r="95" spans="1:45" s="631" customFormat="1">
      <c r="A95" s="668" t="s">
        <v>819</v>
      </c>
      <c r="B95" s="1554">
        <f>Li_Chemicals!J112</f>
        <v>3215.9220345066642</v>
      </c>
      <c r="C95" s="137">
        <f>Li_Chemicals!L112</f>
        <v>29.580974290163297</v>
      </c>
      <c r="D95" s="138">
        <f>GREET1_Import_Export!C499</f>
        <v>1102.2778342369234</v>
      </c>
      <c r="E95" s="139">
        <f>Li_Chemicals!N112</f>
        <v>2955.3466605494004</v>
      </c>
      <c r="F95" s="138">
        <f>SUM(B62:D62)+$C$13*Mat_Sum!BC20*2000</f>
        <v>744.53545280927108</v>
      </c>
      <c r="G95" s="138">
        <f>B95*LiMn2O4!B$14+F95*LiMn2O4!B$15+SUM(E62:G62)</f>
        <v>1350.1271287185814</v>
      </c>
      <c r="H95" s="139">
        <f>E95*LiMn2O4!B$14+F95*LiMn2O4!B$15+SUM(E62:G62)</f>
        <v>1296.8814984927371</v>
      </c>
      <c r="I95" s="1558">
        <f>Li_Chemicals!S112</f>
        <v>17575.997162770323</v>
      </c>
      <c r="J95" s="1413">
        <f>I95*LiMn2O4!B$14+F95*LiMn2O4!B$15+SUM(E62:G62)</f>
        <v>4284.4460502766478</v>
      </c>
      <c r="K95" s="1554">
        <f>Li_Chemicals!U112</f>
        <v>371.61517250643328</v>
      </c>
      <c r="L95" s="139">
        <f>LiMn2O4!$B$7*G95+LiMn2O4!$C$7*H95+LiMn2O4!$D$7*J95</f>
        <v>1350.1271287185814</v>
      </c>
      <c r="S95" s="1321"/>
      <c r="V95" s="1321"/>
      <c r="X95" s="1321"/>
      <c r="Y95" s="1321"/>
      <c r="Z95" s="1321"/>
    </row>
    <row r="96" spans="1:45">
      <c r="A96" s="238" t="s">
        <v>1030</v>
      </c>
      <c r="B96" s="914"/>
      <c r="C96" s="578"/>
      <c r="D96" s="479"/>
      <c r="E96" s="478"/>
      <c r="F96" s="479"/>
      <c r="G96" s="479"/>
      <c r="H96" s="478"/>
      <c r="I96" s="1580"/>
      <c r="J96" s="1412"/>
      <c r="K96" s="914"/>
      <c r="L96" s="478"/>
      <c r="M96" s="1321"/>
      <c r="N96" s="1321"/>
      <c r="O96" s="1321"/>
      <c r="P96" s="1321"/>
      <c r="Q96" s="1321"/>
      <c r="R96" s="1321"/>
      <c r="S96" s="1321"/>
      <c r="T96" s="1321"/>
      <c r="U96" s="1321"/>
      <c r="V96" s="1321"/>
      <c r="W96" s="1321"/>
      <c r="X96" s="1321"/>
      <c r="Y96" s="1321"/>
      <c r="Z96" s="1321"/>
      <c r="AA96" s="1321"/>
      <c r="AB96" s="1321"/>
      <c r="AC96" s="1321"/>
      <c r="AD96" s="1321"/>
      <c r="AE96" s="1321"/>
      <c r="AF96" s="1321"/>
      <c r="AG96" s="1321"/>
      <c r="AH96" s="1321"/>
      <c r="AI96" s="1321"/>
      <c r="AJ96" s="1321"/>
      <c r="AK96" s="1321"/>
      <c r="AL96" s="1321"/>
      <c r="AM96" s="1321"/>
      <c r="AN96" s="1321"/>
      <c r="AO96" s="1321"/>
      <c r="AP96" s="1321"/>
      <c r="AQ96" s="1321"/>
      <c r="AR96" s="1321"/>
      <c r="AS96" s="1321"/>
    </row>
    <row r="97" spans="1:26">
      <c r="A97" s="230" t="s">
        <v>821</v>
      </c>
      <c r="B97" s="914">
        <f>Li_Chemicals!J114</f>
        <v>726.35120021640842</v>
      </c>
      <c r="C97" s="578">
        <f>Li_Chemicals!L114</f>
        <v>80.509586842403678</v>
      </c>
      <c r="D97" s="479">
        <f>GREET1_Import_Export!C501</f>
        <v>90.052707313868567</v>
      </c>
      <c r="E97" s="478">
        <f>Li_Chemicals!N114</f>
        <v>909.24693894529514</v>
      </c>
      <c r="F97" s="479">
        <f>SUM(B64:D64)+$C$13*Mat_Sum!BC22*2000</f>
        <v>392.09620695630804</v>
      </c>
      <c r="G97" s="479">
        <f>B97*LiMn2O4!B$14+F97*LiMn2O4!B$15+SUM(E64:G64)</f>
        <v>1945.3864448063123</v>
      </c>
      <c r="H97" s="478">
        <f>E97*LiMn2O4!B$14+F97*LiMn2O4!B$15+SUM(E64:G64)</f>
        <v>1982.7591202297315</v>
      </c>
      <c r="I97" s="1580">
        <f>Li_Chemicals!S114</f>
        <v>2761.9137335992987</v>
      </c>
      <c r="J97" s="1412">
        <f>I97*LiMn2O4!B$14+F97*LiMn2O4!B$15+SUM(E64:G64)</f>
        <v>2361.330623675125</v>
      </c>
      <c r="K97" s="914">
        <f>Li_Chemicals!U114</f>
        <v>122.52928253697699</v>
      </c>
      <c r="L97" s="478">
        <f>LiMn2O4!$B$7*G97+LiMn2O4!$C$7*H97+LiMn2O4!$D$7*J97</f>
        <v>1945.3864448063123</v>
      </c>
      <c r="M97" s="1321"/>
      <c r="N97" s="1321"/>
      <c r="O97" s="1321"/>
      <c r="P97" s="1321"/>
      <c r="Q97" s="1321"/>
      <c r="R97" s="1321"/>
      <c r="S97" s="1321"/>
      <c r="T97" s="1321"/>
      <c r="U97" s="1321"/>
      <c r="V97" s="1321"/>
      <c r="W97" s="1321"/>
      <c r="X97" s="1321"/>
      <c r="Y97" s="1321"/>
      <c r="Z97" s="1321"/>
    </row>
    <row r="98" spans="1:26">
      <c r="A98" s="230" t="s">
        <v>822</v>
      </c>
      <c r="B98" s="914">
        <f>Li_Chemicals!J115</f>
        <v>2843.7969308872453</v>
      </c>
      <c r="C98" s="578">
        <f>Li_Chemicals!L115</f>
        <v>497.09762041485817</v>
      </c>
      <c r="D98" s="479">
        <f>GREET1_Import_Export!C502</f>
        <v>420.56556155670182</v>
      </c>
      <c r="E98" s="478">
        <f>Li_Chemicals!N115</f>
        <v>4739.6369482422042</v>
      </c>
      <c r="F98" s="479">
        <f>SUM(B65:D65)+$C$13*Mat_Sum!BC23*2000</f>
        <v>820.11476001155165</v>
      </c>
      <c r="G98" s="479">
        <f>B98*LiMn2O4!B$14+F98*LiMn2O4!B$15+SUM(E65:G65)</f>
        <v>2373.8502419242172</v>
      </c>
      <c r="H98" s="478">
        <f>E98*LiMn2O4!B$14+F98*LiMn2O4!B$15+SUM(E65:G65)</f>
        <v>2761.2437050839239</v>
      </c>
      <c r="I98" s="1580">
        <f>Li_Chemicals!S115</f>
        <v>12164.124360035365</v>
      </c>
      <c r="J98" s="1412">
        <f>I98*LiMn2O4!B$14+F98*LiMn2O4!B$15+SUM(E65:G65)</f>
        <v>4278.3537271906516</v>
      </c>
      <c r="K98" s="914">
        <f>Li_Chemicals!U115</f>
        <v>297.06842421092284</v>
      </c>
      <c r="L98" s="478">
        <f>LiMn2O4!$B$7*G98+LiMn2O4!$C$7*H98+LiMn2O4!$D$7*J98</f>
        <v>2373.8502419242172</v>
      </c>
      <c r="M98" s="1321"/>
      <c r="N98" s="1321"/>
      <c r="O98" s="1321"/>
      <c r="P98" s="1321"/>
      <c r="Q98" s="1321"/>
      <c r="R98" s="1321"/>
      <c r="S98" s="1321"/>
      <c r="T98" s="1321"/>
      <c r="U98" s="1321"/>
      <c r="V98" s="1321"/>
      <c r="W98" s="1321"/>
      <c r="X98" s="1321"/>
      <c r="Y98" s="1321"/>
      <c r="Z98" s="1321"/>
    </row>
    <row r="99" spans="1:26">
      <c r="A99" s="230" t="s">
        <v>849</v>
      </c>
      <c r="B99" s="914">
        <f>Li_Chemicals!J116</f>
        <v>6454.0991560378152</v>
      </c>
      <c r="C99" s="578">
        <f>Li_Chemicals!L116</f>
        <v>288.19515688712204</v>
      </c>
      <c r="D99" s="479">
        <f>GREET1_Import_Export!C503</f>
        <v>235.86819253415379</v>
      </c>
      <c r="E99" s="478">
        <f>Li_Chemicals!N116</f>
        <v>9165.598068146046</v>
      </c>
      <c r="F99" s="479">
        <f>SUM(B66:D66)+$C$13*Mat_Sum!BC24*2000</f>
        <v>1090.9391725348755</v>
      </c>
      <c r="G99" s="479">
        <f>B99*LiMn2O4!B$14+F99*LiMn2O4!B$15+SUM(E66:G66)</f>
        <v>4072.544057579752</v>
      </c>
      <c r="H99" s="478">
        <f>E99*LiMn2O4!B$14+F99*LiMn2O4!B$15+SUM(E66:G66)</f>
        <v>4626.6081897320564</v>
      </c>
      <c r="I99" s="1580">
        <f>Li_Chemicals!S116</f>
        <v>23883.760936461233</v>
      </c>
      <c r="J99" s="1412">
        <f>I99*LiMn2O4!B$14+F99*LiMn2O4!B$15+SUM(E66:G66)</f>
        <v>7634.0982905371638</v>
      </c>
      <c r="K99" s="914">
        <f>Li_Chemicals!U116</f>
        <v>463.36192216279449</v>
      </c>
      <c r="L99" s="478">
        <f>LiMn2O4!$B$7*G99+LiMn2O4!$C$7*H99+LiMn2O4!$D$7*J99</f>
        <v>4072.544057579752</v>
      </c>
      <c r="M99" s="1321"/>
      <c r="N99" s="1321"/>
      <c r="O99" s="1321"/>
      <c r="P99" s="1321"/>
      <c r="Q99" s="1321"/>
      <c r="R99" s="1321"/>
      <c r="S99" s="1321"/>
      <c r="T99" s="1321"/>
      <c r="U99" s="1321"/>
      <c r="V99" s="1321"/>
      <c r="W99" s="1321"/>
      <c r="X99" s="1321"/>
      <c r="Y99" s="1321"/>
      <c r="Z99" s="1321"/>
    </row>
    <row r="100" spans="1:26">
      <c r="A100" s="230" t="s">
        <v>824</v>
      </c>
      <c r="B100" s="914">
        <f>Li_Chemicals!J117</f>
        <v>1728.3407578813028</v>
      </c>
      <c r="C100" s="578">
        <f>Li_Chemicals!L117</f>
        <v>152.39917049658362</v>
      </c>
      <c r="D100" s="479">
        <f>GREET1_Import_Export!C504</f>
        <v>125.43411723973426</v>
      </c>
      <c r="E100" s="478">
        <f>Li_Chemicals!N117</f>
        <v>2734.812964128274</v>
      </c>
      <c r="F100" s="479">
        <f>SUM(B67:D67)+$C$13*Mat_Sum!BC25*2000</f>
        <v>3728.0896887323402</v>
      </c>
      <c r="G100" s="479">
        <f>B100*LiMn2O4!B$14+F100*LiMn2O4!B$15+SUM(E67:G67)</f>
        <v>4800.7587165628629</v>
      </c>
      <c r="H100" s="478">
        <f>E100*LiMn2O4!B$14+F100*LiMn2O4!B$15+SUM(E67:G67)</f>
        <v>5006.4199274154471</v>
      </c>
      <c r="I100" s="1580">
        <f>Li_Chemicals!S117</f>
        <v>3965.5679484003658</v>
      </c>
      <c r="J100" s="1412">
        <f>I100*LiMn2O4!B$14+F100*LiMn2O4!B$15+SUM(E67:G67)</f>
        <v>5257.9107870310381</v>
      </c>
      <c r="K100" s="914">
        <f>Li_Chemicals!U117</f>
        <v>55.401576865011492</v>
      </c>
      <c r="L100" s="478">
        <f>LiMn2O4!$B$7*G100+LiMn2O4!$C$7*H100+LiMn2O4!$D$7*J100</f>
        <v>4800.7587165628629</v>
      </c>
      <c r="M100" s="1321"/>
      <c r="N100" s="1321"/>
      <c r="O100" s="1321"/>
      <c r="P100" s="1321"/>
      <c r="Q100" s="1321"/>
      <c r="R100" s="1321"/>
      <c r="S100" s="1321"/>
      <c r="T100" s="1321"/>
      <c r="U100" s="1321"/>
      <c r="V100" s="1321"/>
      <c r="W100" s="1321"/>
      <c r="X100" s="1321"/>
      <c r="Y100" s="1321"/>
      <c r="Z100" s="1321"/>
    </row>
    <row r="101" spans="1:26">
      <c r="A101" s="230" t="s">
        <v>825</v>
      </c>
      <c r="B101" s="914">
        <f>Li_Chemicals!J118</f>
        <v>1239.9461452305422</v>
      </c>
      <c r="C101" s="578">
        <f>Li_Chemicals!L118</f>
        <v>96.793658571809999</v>
      </c>
      <c r="D101" s="479">
        <f>GREET1_Import_Export!C505</f>
        <v>95.182715522071618</v>
      </c>
      <c r="E101" s="478">
        <f>Li_Chemicals!N118</f>
        <v>1101.3929740342983</v>
      </c>
      <c r="F101" s="479">
        <f>SUM(B68:D68)+$C$13*Mat_Sum!BC26*2000</f>
        <v>1981.8768393090247</v>
      </c>
      <c r="G101" s="479">
        <f>B101*LiMn2O4!B$14+F101*LiMn2O4!B$15+SUM(E68:G68)</f>
        <v>3175.5381456377127</v>
      </c>
      <c r="H101" s="478">
        <f>E101*LiMn2O4!B$14+F101*LiMn2O4!B$15+SUM(E68:G68)</f>
        <v>3147.2263723181695</v>
      </c>
      <c r="I101" s="1580">
        <f>Li_Chemicals!S118</f>
        <v>2782.3114145443719</v>
      </c>
      <c r="J101" s="1412">
        <f>I101*LiMn2O4!B$14+F101*LiMn2O4!B$15+SUM(E68:G68)</f>
        <v>3490.7030422888356</v>
      </c>
      <c r="K101" s="914">
        <f>Li_Chemicals!U118</f>
        <v>42.890147893721519</v>
      </c>
      <c r="L101" s="478">
        <f>LiMn2O4!$B$7*G101+LiMn2O4!$C$7*H101+LiMn2O4!$D$7*J101</f>
        <v>3175.5381456377127</v>
      </c>
      <c r="M101" s="1321"/>
      <c r="N101" s="1321"/>
      <c r="O101" s="1321"/>
      <c r="P101" s="1321"/>
      <c r="Q101" s="1321"/>
      <c r="R101" s="1321"/>
      <c r="S101" s="1321"/>
      <c r="T101" s="1321"/>
      <c r="U101" s="1321"/>
      <c r="V101" s="1321"/>
      <c r="W101" s="1321"/>
      <c r="X101" s="1321"/>
      <c r="Y101" s="1321"/>
      <c r="Z101" s="1321"/>
    </row>
    <row r="102" spans="1:26">
      <c r="A102" s="230" t="s">
        <v>826</v>
      </c>
      <c r="B102" s="914">
        <f>Li_Chemicals!J119</f>
        <v>3867.5190342023661</v>
      </c>
      <c r="C102" s="578">
        <f>Li_Chemicals!L119</f>
        <v>163.79241128538894</v>
      </c>
      <c r="D102" s="479">
        <f>GREET1_Import_Export!C506</f>
        <v>122.92932415142776</v>
      </c>
      <c r="E102" s="478">
        <f>Li_Chemicals!N119</f>
        <v>4589.6872451987856</v>
      </c>
      <c r="F102" s="479">
        <f>SUM(B69:D69)+$C$13*Mat_Sum!BC27*2000</f>
        <v>525.34391225328227</v>
      </c>
      <c r="G102" s="479">
        <f>B102*LiMn2O4!B$14+F102*LiMn2O4!B$15+SUM(E69:G69)</f>
        <v>1792.0081754118694</v>
      </c>
      <c r="H102" s="478">
        <f>E102*LiMn2O4!B$14+F102*LiMn2O4!B$15+SUM(E69:G69)</f>
        <v>1939.5750806785243</v>
      </c>
      <c r="I102" s="1580">
        <f>Li_Chemicals!S119</f>
        <v>22010.98859662117</v>
      </c>
      <c r="J102" s="1412">
        <f>I102*LiMn2O4!B$14+F102*LiMn2O4!B$15+SUM(E69:G69)</f>
        <v>5499.4209545367703</v>
      </c>
      <c r="K102" s="914">
        <f>Li_Chemicals!U119</f>
        <v>253.61192778069025</v>
      </c>
      <c r="L102" s="478">
        <f>LiMn2O4!$B$7*G102+LiMn2O4!$C$7*H102+LiMn2O4!$D$7*J102</f>
        <v>1792.0081754118694</v>
      </c>
      <c r="M102" s="1321"/>
      <c r="N102" s="1321"/>
      <c r="O102" s="1321"/>
      <c r="P102" s="1321"/>
      <c r="Q102" s="1321"/>
      <c r="R102" s="1321"/>
      <c r="S102" s="1321"/>
      <c r="T102" s="1321"/>
      <c r="U102" s="1321"/>
      <c r="V102" s="1321"/>
      <c r="W102" s="1321"/>
      <c r="X102" s="1321"/>
      <c r="Y102" s="1321"/>
      <c r="Z102" s="1321"/>
    </row>
    <row r="103" spans="1:26">
      <c r="A103" s="661" t="s">
        <v>827</v>
      </c>
      <c r="B103" s="914">
        <f>Li_Chemicals!J120</f>
        <v>125.25057076345871</v>
      </c>
      <c r="C103" s="578">
        <f>Li_Chemicals!L120</f>
        <v>4.3103230696784021</v>
      </c>
      <c r="D103" s="479">
        <f>GREET1_Import_Export!C507</f>
        <v>7.8073237255591943</v>
      </c>
      <c r="E103" s="478">
        <f>Li_Chemicals!N120</f>
        <v>150.25158797349258</v>
      </c>
      <c r="F103" s="479">
        <f>SUM(B70:D70)+$C$13*Mat_Sum!BC28*2000</f>
        <v>40.678457363807333</v>
      </c>
      <c r="G103" s="479">
        <f>B103*LiMn2O4!B$14+F103*LiMn2O4!B$15+SUM(E70:G70)</f>
        <v>258.21647314697697</v>
      </c>
      <c r="H103" s="478">
        <f>E103*LiMn2O4!B$14+F103*LiMn2O4!B$15+SUM(E70:G70)</f>
        <v>263.32514822021608</v>
      </c>
      <c r="I103" s="1580">
        <f>Li_Chemicals!S120</f>
        <v>247.27693192712189</v>
      </c>
      <c r="J103" s="1412">
        <f>I103*LiMn2O4!B$14+F103*LiMn2O4!B$15+SUM(E70:G70)</f>
        <v>283.15117977582111</v>
      </c>
      <c r="K103" s="914">
        <f>Li_Chemicals!U120</f>
        <v>4.7403961589104213</v>
      </c>
      <c r="L103" s="478">
        <f>LiMn2O4!$B$7*G103+LiMn2O4!$C$7*H103+LiMn2O4!$D$7*J103</f>
        <v>258.21647314697697</v>
      </c>
      <c r="M103" s="1321"/>
      <c r="N103" s="1321"/>
      <c r="O103" s="1321"/>
      <c r="P103" s="1321"/>
      <c r="Q103" s="1321"/>
      <c r="R103" s="1321"/>
      <c r="S103" s="1321"/>
      <c r="T103" s="1321"/>
      <c r="U103" s="1321"/>
      <c r="V103" s="1321"/>
      <c r="W103" s="1321"/>
      <c r="X103" s="1321"/>
      <c r="Y103" s="1321"/>
      <c r="Z103" s="1321"/>
    </row>
    <row r="104" spans="1:26">
      <c r="A104" s="661" t="s">
        <v>828</v>
      </c>
      <c r="B104" s="914">
        <f>Li_Chemicals!J121</f>
        <v>260.06957909770779</v>
      </c>
      <c r="C104" s="578">
        <f>Li_Chemicals!L121</f>
        <v>7.7314313035790949</v>
      </c>
      <c r="D104" s="479">
        <f>GREET1_Import_Export!C508</f>
        <v>14.891416269796229</v>
      </c>
      <c r="E104" s="478">
        <f>Li_Chemicals!N121</f>
        <v>142.71095739159648</v>
      </c>
      <c r="F104" s="479">
        <f>SUM(B71:D71)+$C$13*Mat_Sum!BC29*2000</f>
        <v>111.10477363277666</v>
      </c>
      <c r="G104" s="479">
        <f>B104*LiMn2O4!B$14+F104*LiMn2O4!B$15+SUM(E71:G71)</f>
        <v>659.93718690905121</v>
      </c>
      <c r="H104" s="478">
        <f>E104*LiMn2O4!B$14+F104*LiMn2O4!B$15+SUM(E71:G71)</f>
        <v>635.95628004022637</v>
      </c>
      <c r="I104" s="1580">
        <f>Li_Chemicals!S121</f>
        <v>440.83475044953616</v>
      </c>
      <c r="J104" s="1412">
        <f>I104*LiMn2O4!B$14+F104*LiMn2O4!B$15+SUM(E71:G71)</f>
        <v>696.87450498842327</v>
      </c>
      <c r="K104" s="914">
        <f>Li_Chemicals!U121</f>
        <v>12.503781785292189</v>
      </c>
      <c r="L104" s="478">
        <f>LiMn2O4!$B$7*G104+LiMn2O4!$C$7*H104+LiMn2O4!$D$7*J104</f>
        <v>659.93718690905121</v>
      </c>
      <c r="M104" s="1321"/>
      <c r="N104" s="1321"/>
      <c r="O104" s="1321"/>
      <c r="P104" s="1321"/>
      <c r="Q104" s="1321"/>
      <c r="R104" s="1321"/>
      <c r="S104" s="1321"/>
      <c r="T104" s="1321"/>
      <c r="U104" s="1321"/>
      <c r="V104" s="1321"/>
      <c r="W104" s="1321"/>
      <c r="X104" s="1321"/>
      <c r="Y104" s="1321"/>
      <c r="Z104" s="1321"/>
    </row>
    <row r="105" spans="1:26">
      <c r="A105" s="230" t="s">
        <v>829</v>
      </c>
      <c r="B105" s="914">
        <f>Li_Chemicals!J122</f>
        <v>3657.0539033162695</v>
      </c>
      <c r="C105" s="578">
        <f>Li_Chemicals!L122</f>
        <v>695.20529768723293</v>
      </c>
      <c r="D105" s="479">
        <f>GREET1_Import_Export!C509</f>
        <v>617.13478939951381</v>
      </c>
      <c r="E105" s="478">
        <f>Li_Chemicals!N122</f>
        <v>7184.4465281999574</v>
      </c>
      <c r="F105" s="479">
        <f>SUM(B72:D72)+$C$13*Mat_Sum!BC30*2000</f>
        <v>2484.1095248410643</v>
      </c>
      <c r="G105" s="479">
        <f>B105*LiMn2O4!B$14+F105*LiMn2O4!B$15+SUM(E72:G72)</f>
        <v>5813.4548990295743</v>
      </c>
      <c r="H105" s="478">
        <f>E105*LiMn2O4!B$14+F105*LiMn2O4!B$15+SUM(E72:G72)</f>
        <v>6534.2376825812162</v>
      </c>
      <c r="I105" s="1580">
        <f>Li_Chemicals!S122</f>
        <v>25032.453332848592</v>
      </c>
      <c r="J105" s="1412">
        <f>I105*LiMn2O4!B$14+F105*LiMn2O4!B$15+SUM(E72:G72)</f>
        <v>10181.275989219248</v>
      </c>
      <c r="K105" s="914">
        <f>Li_Chemicals!U122</f>
        <v>2232.9390294617247</v>
      </c>
      <c r="L105" s="478">
        <f>LiMn2O4!$B$7*G105+LiMn2O4!$C$7*H105+LiMn2O4!$D$7*J105</f>
        <v>5813.4548990295743</v>
      </c>
      <c r="M105" s="1321"/>
      <c r="N105" s="1321"/>
      <c r="O105" s="1321"/>
      <c r="P105" s="1321"/>
      <c r="Q105" s="1321"/>
      <c r="R105" s="1321"/>
      <c r="S105" s="1321"/>
      <c r="T105" s="1321"/>
      <c r="U105" s="1321"/>
      <c r="V105" s="1321"/>
      <c r="W105" s="1321"/>
      <c r="X105" s="1321"/>
      <c r="Y105" s="1321"/>
      <c r="Z105" s="1321"/>
    </row>
    <row r="106" spans="1:26">
      <c r="A106" s="230" t="s">
        <v>830</v>
      </c>
      <c r="B106" s="914">
        <f>Li_Chemicals!J123</f>
        <v>34.373389985252381</v>
      </c>
      <c r="C106" s="578">
        <f>Li_Chemicals!L123</f>
        <v>0.98921680655236355</v>
      </c>
      <c r="D106" s="479">
        <f>GREET1_Import_Export!C510</f>
        <v>1.081973667413807</v>
      </c>
      <c r="E106" s="478">
        <f>Li_Chemicals!N123</f>
        <v>82.039345983776471</v>
      </c>
      <c r="F106" s="479">
        <f>SUM(B73:D73)+$C$13*Mat_Sum!BC31*2000</f>
        <v>19.700513165983018</v>
      </c>
      <c r="G106" s="479">
        <f>B106*LiMn2O4!B$14+F106*LiMn2O4!B$15+SUM(E73:G73)</f>
        <v>42.990115404436509</v>
      </c>
      <c r="H106" s="478">
        <f>E106*LiMn2O4!B$14+F106*LiMn2O4!B$15+SUM(E73:G73)</f>
        <v>52.730114349521088</v>
      </c>
      <c r="I106" s="1580">
        <f>Li_Chemicals!S123</f>
        <v>121.67865842902577</v>
      </c>
      <c r="J106" s="1412">
        <f>I106*LiMn2O4!B$14+F106*LiMn2O4!B$15+SUM(E73:G73)</f>
        <v>60.829959476146925</v>
      </c>
      <c r="K106" s="914">
        <f>Li_Chemicals!U123</f>
        <v>13.236930930378509</v>
      </c>
      <c r="L106" s="478">
        <f>LiMn2O4!$B$7*G106+LiMn2O4!$C$7*H106+LiMn2O4!$D$7*J106</f>
        <v>42.990115404436509</v>
      </c>
      <c r="M106" s="1321"/>
      <c r="N106" s="1321"/>
      <c r="O106" s="1321"/>
      <c r="P106" s="1321"/>
      <c r="Q106" s="1321"/>
      <c r="R106" s="1321"/>
      <c r="S106" s="1321"/>
      <c r="T106" s="1321"/>
      <c r="U106" s="1321"/>
      <c r="V106" s="1321"/>
      <c r="W106" s="1321"/>
      <c r="X106" s="1321"/>
      <c r="Y106" s="1321"/>
      <c r="Z106" s="1321"/>
    </row>
    <row r="107" spans="1:26">
      <c r="A107" s="230" t="s">
        <v>831</v>
      </c>
      <c r="B107" s="1127">
        <f>Li_Chemicals!J124</f>
        <v>2428959.0316934311</v>
      </c>
      <c r="C107" s="650">
        <f>Li_Chemicals!L124</f>
        <v>617790.99194299034</v>
      </c>
      <c r="D107" s="158">
        <f>GREET1_Import_Export!C511</f>
        <v>1143451.7836002663</v>
      </c>
      <c r="E107" s="159">
        <f>Li_Chemicals!N124</f>
        <v>7404837.058707932</v>
      </c>
      <c r="F107" s="158">
        <f>SUM(B74:D74)+$C$13*Mat_Sum!BC32*2000</f>
        <v>1613168.3573141827</v>
      </c>
      <c r="G107" s="158">
        <f>B107*LiMn2O4!B$14+F107*LiMn2O4!B$15+SUM(E74:G74)</f>
        <v>2878355.2342620883</v>
      </c>
      <c r="H107" s="159">
        <f>E107*LiMn2O4!B$14+F107*LiMn2O4!B$15+SUM(E74:G74)</f>
        <v>3895119.6255079382</v>
      </c>
      <c r="I107" s="1582">
        <f>Li_Chemicals!S124</f>
        <v>17678108.073095206</v>
      </c>
      <c r="J107" s="1414">
        <f>I107*LiMn2O4!B$14+F107*LiMn2O4!B$15+SUM(E74:G74)</f>
        <v>5994346.3534014979</v>
      </c>
      <c r="K107" s="1127">
        <f>Li_Chemicals!U124</f>
        <v>895848.49329510448</v>
      </c>
      <c r="L107" s="159">
        <f>LiMn2O4!$B$7*G107+LiMn2O4!$C$7*H107+LiMn2O4!$D$7*J107</f>
        <v>2878355.2342620883</v>
      </c>
      <c r="M107" s="1321"/>
      <c r="N107" s="1321"/>
      <c r="O107" s="1321"/>
      <c r="P107" s="1321"/>
      <c r="Q107" s="1321"/>
      <c r="R107" s="1321"/>
      <c r="S107" s="1321"/>
      <c r="T107" s="1321"/>
      <c r="U107" s="1321"/>
      <c r="V107" s="1321"/>
      <c r="W107" s="1321"/>
      <c r="X107" s="1321"/>
      <c r="Y107" s="1321"/>
      <c r="Z107" s="1321"/>
    </row>
    <row r="108" spans="1:26">
      <c r="A108" s="230" t="s">
        <v>850</v>
      </c>
      <c r="B108" s="253">
        <f>Li_Chemicals!J125</f>
        <v>2435691.6500159758</v>
      </c>
      <c r="C108" s="251">
        <f>Li_Chemicals!L125</f>
        <v>618823.06689215824</v>
      </c>
      <c r="D108" s="246">
        <f>D107+D97*GREET1_Import_Export!$B$62/GREET1_Import_Export!$B$65+D98*GREET1_Import_Export!$B$63/GREET1_Import_Export!$B$65</f>
        <v>1144393.3366109836</v>
      </c>
      <c r="E108" s="247">
        <f>Li_Chemicals!N125</f>
        <v>7415118.8792529777</v>
      </c>
      <c r="F108" s="246">
        <f>F107+F97*GREET1_Import_Export!$B$62/GREET1_Import_Export!$B$65+F98*GREET1_Import_Export!$B$63/GREET1_Import_Export!$B$65</f>
        <v>1615679.1422582623</v>
      </c>
      <c r="G108" s="246">
        <f>G107+G97*GREET1_Import_Export!$B$62/GREET1_Import_Export!$B$65+G98*GREET1_Import_Export!$B$63/GREET1_Import_Export!$B$65</f>
        <v>2888148.6914428538</v>
      </c>
      <c r="H108" s="247">
        <f>H107+H97*GREET1_Import_Export!$B$62/GREET1_Import_Export!$B$65+H98*GREET1_Import_Export!$B$63/GREET1_Import_Export!$B$65</f>
        <v>3905638.3220168338</v>
      </c>
      <c r="I108" s="1583">
        <f>Li_Chemicals!S125</f>
        <v>17705831.090130694</v>
      </c>
      <c r="J108" s="1584">
        <f>J107+J97*GREET1_Import_Export!$B$62/GREET1_Import_Export!$B$65+J98*GREET1_Import_Export!$B$63/GREET1_Import_Export!$B$65</f>
        <v>6008428.9611308714</v>
      </c>
      <c r="K108" s="253">
        <f>Li_Chemicals!U125</f>
        <v>896697.19803515228</v>
      </c>
      <c r="L108" s="247">
        <f>LiMn2O4!$B$7*G108+LiMn2O4!$C$7*H108+LiMn2O4!$D$7*J108</f>
        <v>2888148.6914428538</v>
      </c>
      <c r="M108" s="1321"/>
      <c r="N108" s="1321"/>
      <c r="O108" s="1321"/>
      <c r="P108" s="1321"/>
      <c r="Q108" s="1321"/>
      <c r="R108" s="1321"/>
      <c r="S108" s="1321"/>
      <c r="T108" s="1321"/>
      <c r="U108" s="1321"/>
      <c r="V108" s="1321"/>
      <c r="W108" s="1321"/>
      <c r="X108" s="1321"/>
      <c r="Y108" s="1321"/>
      <c r="Z108" s="1321"/>
    </row>
    <row r="109" spans="1:26">
      <c r="A109" s="589" t="s">
        <v>851</v>
      </c>
      <c r="B109" s="253">
        <f>Li_Chemicals!J126</f>
        <v>2554512.2154615559</v>
      </c>
      <c r="C109" s="251">
        <f>Li_Chemicals!L126</f>
        <v>639941.36827651155</v>
      </c>
      <c r="D109" s="246">
        <f>D108+SUMPRODUCT(D105:D106,GREET1_Import_Export!$B$51:$B$52)+SUMPRODUCT(D97:D99,GREET1_Import_Export!$B$55:$B$57)+SUMPRODUCT(D103:D104,GREET1_Import_Export!$B$58:$B$59)</f>
        <v>1163194.1033148337</v>
      </c>
      <c r="E109" s="247">
        <f>Li_Chemicals!N126</f>
        <v>7652392.7017846769</v>
      </c>
      <c r="F109" s="246">
        <f>F108+SUMPRODUCT(F105:F106,GREET1_Import_Export!$B$51:$B$52)+SUMPRODUCT(F97:F99,GREET1_Import_Export!$B$55:$B$57)+SUMPRODUCT(F103:F104,GREET1_Import_Export!$B$58:$B$59)</f>
        <v>1695423.0639924796</v>
      </c>
      <c r="G109" s="246">
        <f>G108+SUMPRODUCT(G105:G106,GREET1_Import_Export!$B$51:$B$52)+SUMPRODUCT(G97:G99,GREET1_Import_Export!$B$55:$B$57)+SUMPRODUCT(G103:G104,GREET1_Import_Export!$B$58:$B$59)</f>
        <v>3073944.7189959167</v>
      </c>
      <c r="H109" s="247">
        <f>H108+SUMPRODUCT(H105:H106,GREET1_Import_Export!$B$51:$B$52)+SUMPRODUCT(H97:H99,GREET1_Import_Export!$B$55:$B$57)+SUMPRODUCT(H103:H104,GREET1_Import_Export!$B$58:$B$59)</f>
        <v>4115638.9327968936</v>
      </c>
      <c r="I109" s="1583">
        <f>Li_Chemicals!S126</f>
        <v>18489049.534599844</v>
      </c>
      <c r="J109" s="1584">
        <f>J108+SUMPRODUCT(J105:J106,GREET1_Import_Export!$B$51:$B$52)+SUMPRODUCT(J97:J99,GREET1_Import_Export!$B$55:$B$57)+SUMPRODUCT(J103:J104,GREET1_Import_Export!$B$58:$B$59)</f>
        <v>6329987.1800686279</v>
      </c>
      <c r="K109" s="253">
        <f>Li_Chemicals!U126</f>
        <v>967193.15561555431</v>
      </c>
      <c r="L109" s="247">
        <f>LiMn2O4!$B$7*G109+LiMn2O4!$C$7*H109+LiMn2O4!$D$7*J109</f>
        <v>3073944.7189959167</v>
      </c>
      <c r="M109" s="1321"/>
      <c r="N109" s="1321"/>
      <c r="O109" s="1321"/>
      <c r="P109" s="1321"/>
      <c r="Q109" s="1321"/>
      <c r="R109" s="1321"/>
      <c r="S109" s="1321"/>
      <c r="T109" s="1321"/>
      <c r="U109" s="1321"/>
      <c r="V109" s="1321"/>
      <c r="W109" s="1321"/>
      <c r="X109" s="1321"/>
      <c r="Y109" s="1321"/>
      <c r="Z109" s="1321"/>
    </row>
    <row r="110" spans="1:26">
      <c r="A110" s="571" t="s">
        <v>1031</v>
      </c>
      <c r="B110" s="915"/>
      <c r="C110" s="582"/>
      <c r="D110" s="649"/>
      <c r="E110" s="583"/>
      <c r="F110" s="649"/>
      <c r="G110" s="649"/>
      <c r="H110" s="583"/>
      <c r="I110" s="1557"/>
      <c r="J110" s="1576"/>
      <c r="K110" s="915"/>
      <c r="L110" s="583"/>
      <c r="M110" s="1321"/>
      <c r="N110" s="1321"/>
      <c r="O110" s="1321"/>
      <c r="P110" s="1321"/>
      <c r="Q110" s="1321"/>
      <c r="R110" s="1321"/>
      <c r="S110" s="1321"/>
      <c r="T110" s="1321"/>
      <c r="U110" s="1321"/>
      <c r="V110" s="1321"/>
      <c r="W110" s="1321"/>
      <c r="X110" s="1321"/>
      <c r="Y110" s="1321"/>
      <c r="Z110" s="1321"/>
    </row>
    <row r="111" spans="1:26">
      <c r="A111" s="230" t="s">
        <v>821</v>
      </c>
      <c r="B111" s="914">
        <f>Li_Chemicals!J128</f>
        <v>21.490679519770751</v>
      </c>
      <c r="C111" s="578">
        <f>Li_Chemicals!L128</f>
        <v>1.8055091529561156</v>
      </c>
      <c r="D111" s="479">
        <f>GREET1_Import_Export!C513</f>
        <v>0.98303250272448806</v>
      </c>
      <c r="E111" s="478">
        <f>Li_Chemicals!N128</f>
        <v>89.45874500916328</v>
      </c>
      <c r="F111" s="479">
        <f>SUM(B76:D76)+$C$13*Mat_Sum!BC36*2000</f>
        <v>12.837280978399535</v>
      </c>
      <c r="G111" s="479">
        <f>B111*LiMn2O4!B$14+F111*LiMn2O4!B$15+SUM(E76:G76)</f>
        <v>23.570454348222661</v>
      </c>
      <c r="H111" s="478">
        <f>E111*LiMn2O4!B$14+F111*LiMn2O4!B$15+SUM(E76:G76)</f>
        <v>37.458959724819358</v>
      </c>
      <c r="I111" s="1580">
        <f>Li_Chemicals!S128</f>
        <v>115.55353792784172</v>
      </c>
      <c r="J111" s="1412">
        <f>I111*LiMn2O4!B$14+F111*LiMn2O4!B$15+SUM(E76:G76)</f>
        <v>42.791135492111181</v>
      </c>
      <c r="K111" s="914">
        <f>Li_Chemicals!U128</f>
        <v>7.470762412753249</v>
      </c>
      <c r="L111" s="478">
        <f>LiMn2O4!$B$7*G111+LiMn2O4!$C$7*H111+LiMn2O4!$D$7*J111</f>
        <v>23.570454348222661</v>
      </c>
      <c r="M111" s="1321"/>
      <c r="N111" s="1321"/>
      <c r="O111" s="1321"/>
      <c r="P111" s="1321"/>
      <c r="Q111" s="1321"/>
      <c r="R111" s="1321"/>
      <c r="S111" s="1321"/>
      <c r="T111" s="1321"/>
      <c r="U111" s="1321"/>
      <c r="V111" s="1321"/>
      <c r="W111" s="1321"/>
      <c r="X111" s="1321"/>
      <c r="Y111" s="1321"/>
      <c r="Z111" s="1321"/>
    </row>
    <row r="112" spans="1:26">
      <c r="A112" s="230" t="s">
        <v>822</v>
      </c>
      <c r="B112" s="914">
        <f>Li_Chemicals!J129</f>
        <v>36.774254572737895</v>
      </c>
      <c r="C112" s="578">
        <f>Li_Chemicals!L129</f>
        <v>1.3018767606819317</v>
      </c>
      <c r="D112" s="479">
        <f>GREET1_Import_Export!C514</f>
        <v>2.3826572118045588</v>
      </c>
      <c r="E112" s="478">
        <f>Li_Chemicals!N129</f>
        <v>61.282104266662749</v>
      </c>
      <c r="F112" s="479">
        <f>SUM(B77:D77)+$C$13*Mat_Sum!BC37*2000</f>
        <v>51.537131095583227</v>
      </c>
      <c r="G112" s="479">
        <f>B112*LiMn2O4!B$14+F112*LiMn2O4!B$15+SUM(E77:G77)</f>
        <v>90.547774195273476</v>
      </c>
      <c r="H112" s="478">
        <f>E112*LiMn2O4!B$14+F112*LiMn2O4!B$15+SUM(E77:G77)</f>
        <v>95.555676064954028</v>
      </c>
      <c r="I112" s="1580">
        <f>Li_Chemicals!S129</f>
        <v>146.71162840064792</v>
      </c>
      <c r="J112" s="1412">
        <f>I112*LiMn2O4!B$14+F112*LiMn2O4!B$15+SUM(E77:G77)</f>
        <v>113.01223300403772</v>
      </c>
      <c r="K112" s="914">
        <f>Li_Chemicals!U129</f>
        <v>19.528673281142161</v>
      </c>
      <c r="L112" s="478">
        <f>LiMn2O4!$B$7*G112+LiMn2O4!$C$7*H112+LiMn2O4!$D$7*J112</f>
        <v>90.547774195273476</v>
      </c>
      <c r="M112" s="1321"/>
      <c r="N112" s="1321"/>
      <c r="O112" s="1321"/>
      <c r="P112" s="1321"/>
      <c r="Q112" s="1321"/>
      <c r="R112" s="1321"/>
      <c r="S112" s="1321"/>
      <c r="T112" s="1321"/>
      <c r="U112" s="1321"/>
      <c r="V112" s="1321"/>
      <c r="W112" s="1321"/>
      <c r="X112" s="1321"/>
      <c r="Y112" s="1321"/>
      <c r="Z112" s="1321"/>
    </row>
    <row r="113" spans="1:26">
      <c r="A113" s="230" t="s">
        <v>823</v>
      </c>
      <c r="B113" s="914">
        <f>Li_Chemicals!J130</f>
        <v>111.1094655708543</v>
      </c>
      <c r="C113" s="578">
        <f>Li_Chemicals!L130</f>
        <v>3.112696215505999</v>
      </c>
      <c r="D113" s="479">
        <f>GREET1_Import_Export!C515</f>
        <v>6.0852834120914387</v>
      </c>
      <c r="E113" s="478">
        <f>Li_Chemicals!N130</f>
        <v>107.15235092849241</v>
      </c>
      <c r="F113" s="479">
        <f>SUM(B78:D78)+$C$13*Mat_Sum!BC38*2000</f>
        <v>135.5166885732435</v>
      </c>
      <c r="G113" s="479">
        <f>B113*LiMn2O4!B$14+F113*LiMn2O4!B$15+SUM(E78:G78)</f>
        <v>186.30971614590118</v>
      </c>
      <c r="H113" s="478">
        <f>E113*LiMn2O4!B$14+F113*LiMn2O4!B$15+SUM(E78:G78)</f>
        <v>185.50112452878608</v>
      </c>
      <c r="I113" s="1580">
        <f>Li_Chemicals!S130</f>
        <v>461.97308931022633</v>
      </c>
      <c r="J113" s="1412">
        <f>I113*LiMn2O4!B$14+F113*LiMn2O4!B$15+SUM(E78:G78)</f>
        <v>258.00472893859234</v>
      </c>
      <c r="K113" s="914">
        <f>Li_Chemicals!U130</f>
        <v>48.168553647206743</v>
      </c>
      <c r="L113" s="478">
        <f>LiMn2O4!$B$7*G113+LiMn2O4!$C$7*H113+LiMn2O4!$D$7*J113</f>
        <v>186.30971614590118</v>
      </c>
      <c r="M113" s="1321"/>
      <c r="N113" s="1321"/>
      <c r="O113" s="1321"/>
      <c r="P113" s="1321"/>
      <c r="Q113" s="1321"/>
      <c r="R113" s="1321"/>
      <c r="S113" s="1321"/>
      <c r="T113" s="1321"/>
      <c r="U113" s="1321"/>
      <c r="V113" s="1321"/>
      <c r="W113" s="1321"/>
      <c r="X113" s="1321"/>
      <c r="Y113" s="1321"/>
      <c r="Z113" s="1321"/>
    </row>
    <row r="114" spans="1:26">
      <c r="A114" s="661" t="s">
        <v>824</v>
      </c>
      <c r="B114" s="914">
        <f>Li_Chemicals!J131</f>
        <v>14.772846988066227</v>
      </c>
      <c r="C114" s="578">
        <f>Li_Chemicals!L131</f>
        <v>0.36164632018421883</v>
      </c>
      <c r="D114" s="479">
        <f>GREET1_Import_Export!C516</f>
        <v>0.63211602754707863</v>
      </c>
      <c r="E114" s="478">
        <f>Li_Chemicals!N131</f>
        <v>18.191455047960208</v>
      </c>
      <c r="F114" s="479">
        <f>SUM(B79:D79)+$C$13*Mat_Sum!BC39*2000</f>
        <v>17.255383172045693</v>
      </c>
      <c r="G114" s="479">
        <f>B114*LiMn2O4!B$14+F114*LiMn2O4!B$15+SUM(E79:G79)</f>
        <v>18.330539966011841</v>
      </c>
      <c r="H114" s="478">
        <f>E114*LiMn2O4!B$14+F114*LiMn2O4!B$15+SUM(E79:G79)</f>
        <v>19.029093854201058</v>
      </c>
      <c r="I114" s="1580">
        <f>Li_Chemicals!S131</f>
        <v>59.040563333168578</v>
      </c>
      <c r="J114" s="1412">
        <f>I114*LiMn2O4!B$14+F114*LiMn2O4!B$15+SUM(E79:G79)</f>
        <v>27.376147076376963</v>
      </c>
      <c r="K114" s="914">
        <f>Li_Chemicals!U131</f>
        <v>8.6079898755767417</v>
      </c>
      <c r="L114" s="478">
        <f>LiMn2O4!$B$7*G114+LiMn2O4!$C$7*H114+LiMn2O4!$D$7*J114</f>
        <v>18.330539966011841</v>
      </c>
      <c r="M114" s="1321"/>
      <c r="N114" s="1321"/>
      <c r="O114" s="1321"/>
      <c r="P114" s="1321"/>
      <c r="Q114" s="1321"/>
      <c r="R114" s="1321"/>
      <c r="S114" s="1321"/>
      <c r="T114" s="1321"/>
      <c r="U114" s="1321"/>
      <c r="V114" s="1321"/>
      <c r="W114" s="1321"/>
      <c r="X114" s="1321"/>
      <c r="Y114" s="1321"/>
      <c r="Z114" s="1321"/>
    </row>
    <row r="115" spans="1:26">
      <c r="A115" s="230" t="s">
        <v>825</v>
      </c>
      <c r="B115" s="914">
        <f>Li_Chemicals!J132</f>
        <v>12.536847864886781</v>
      </c>
      <c r="C115" s="578">
        <f>Li_Chemicals!L132</f>
        <v>0.31726915113256571</v>
      </c>
      <c r="D115" s="479">
        <f>GREET1_Import_Export!C517</f>
        <v>0.5558056675291263</v>
      </c>
      <c r="E115" s="478">
        <f>Li_Chemicals!N132</f>
        <v>15.964857010629878</v>
      </c>
      <c r="F115" s="479">
        <f>SUM(B80:D80)+$C$13*Mat_Sum!BC40*2000</f>
        <v>15.157555822839099</v>
      </c>
      <c r="G115" s="479">
        <f>B115*LiMn2O4!B$14+F115*LiMn2O4!B$15+SUM(E80:G80)</f>
        <v>16.020647659030882</v>
      </c>
      <c r="H115" s="478">
        <f>E115*LiMn2O4!B$14+F115*LiMn2O4!B$15+SUM(E80:G80)</f>
        <v>16.721122552775</v>
      </c>
      <c r="I115" s="1580">
        <f>Li_Chemicals!S132</f>
        <v>49.943353140582317</v>
      </c>
      <c r="J115" s="1412">
        <f>I115*LiMn2O4!B$14+F115*LiMn2O4!B$15+SUM(E80:G80)</f>
        <v>23.664243896476677</v>
      </c>
      <c r="K115" s="914">
        <f>Li_Chemicals!U132</f>
        <v>7.9672711203755178</v>
      </c>
      <c r="L115" s="478">
        <f>LiMn2O4!$B$7*G115+LiMn2O4!$C$7*H115+LiMn2O4!$D$7*J115</f>
        <v>16.020647659030882</v>
      </c>
      <c r="M115" s="1321"/>
      <c r="N115" s="1321"/>
      <c r="O115" s="1321"/>
      <c r="P115" s="1321"/>
      <c r="Q115" s="1321"/>
      <c r="R115" s="1321"/>
      <c r="S115" s="1321"/>
      <c r="T115" s="1321"/>
      <c r="U115" s="1321"/>
      <c r="V115" s="1321"/>
      <c r="W115" s="1321"/>
      <c r="X115" s="1321"/>
      <c r="Y115" s="1321"/>
      <c r="Z115" s="1321"/>
    </row>
    <row r="116" spans="1:26">
      <c r="A116" s="661" t="s">
        <v>826</v>
      </c>
      <c r="B116" s="914">
        <f>Li_Chemicals!J133</f>
        <v>120.83592486822867</v>
      </c>
      <c r="C116" s="578">
        <f>Li_Chemicals!L133</f>
        <v>0.81705586183993817</v>
      </c>
      <c r="D116" s="479">
        <f>GREET1_Import_Export!C518</f>
        <v>4.0348874062284592</v>
      </c>
      <c r="E116" s="478">
        <f>Li_Chemicals!N133</f>
        <v>45.541607840894983</v>
      </c>
      <c r="F116" s="479">
        <f>SUM(B81:D81)+$C$13*Mat_Sum!BC41*2000</f>
        <v>122.72915588800551</v>
      </c>
      <c r="G116" s="479">
        <f>B116*LiMn2O4!B$14+F116*LiMn2O4!B$15+SUM(E81:G81)</f>
        <v>134.11316916490409</v>
      </c>
      <c r="H116" s="478">
        <f>E116*LiMn2O4!B$14+F116*LiMn2O4!B$15+SUM(E81:G81)</f>
        <v>118.72762715584837</v>
      </c>
      <c r="I116" s="1580">
        <f>Li_Chemicals!S133</f>
        <v>459.89807004073089</v>
      </c>
      <c r="J116" s="1412">
        <f>I116*LiMn2O4!B$14+F116*LiMn2O4!B$15+SUM(E81:G81)</f>
        <v>203.39668330234306</v>
      </c>
      <c r="K116" s="914">
        <f>Li_Chemicals!U133</f>
        <v>35.339013538021113</v>
      </c>
      <c r="L116" s="478">
        <f>LiMn2O4!$B$7*G116+LiMn2O4!$C$7*H116+LiMn2O4!$D$7*J116</f>
        <v>134.11316916490409</v>
      </c>
      <c r="M116" s="1321"/>
      <c r="N116" s="1321"/>
      <c r="O116" s="1321"/>
      <c r="P116" s="1321"/>
      <c r="Q116" s="1321"/>
      <c r="R116" s="1321"/>
      <c r="S116" s="1321"/>
      <c r="T116" s="1321"/>
      <c r="U116" s="1321"/>
      <c r="V116" s="1321"/>
      <c r="W116" s="1321"/>
      <c r="X116" s="1321"/>
      <c r="Y116" s="1321"/>
      <c r="Z116" s="1321"/>
    </row>
    <row r="117" spans="1:26">
      <c r="A117" s="230" t="s">
        <v>827</v>
      </c>
      <c r="B117" s="914">
        <f>Li_Chemicals!J134</f>
        <v>0.80873512040821061</v>
      </c>
      <c r="C117" s="578">
        <f>Li_Chemicals!L134</f>
        <v>3.5430452542964348E-2</v>
      </c>
      <c r="D117" s="479">
        <f>GREET1_Import_Export!C519</f>
        <v>3.5884710133770592E-2</v>
      </c>
      <c r="E117" s="478">
        <f>Li_Chemicals!N134</f>
        <v>1.7255878835326777</v>
      </c>
      <c r="F117" s="479">
        <f>SUM(B82:D82)+$C$13*Mat_Sum!BC42*2000</f>
        <v>0.85387109170627551</v>
      </c>
      <c r="G117" s="479">
        <f>B117*LiMn2O4!B$14+F117*LiMn2O4!B$15+SUM(E82:G82)</f>
        <v>0.94374222078048975</v>
      </c>
      <c r="H117" s="478">
        <f>E117*LiMn2O4!B$14+F117*LiMn2O4!B$15+SUM(E82:G82)</f>
        <v>1.1310907121420541</v>
      </c>
      <c r="I117" s="1580">
        <f>Li_Chemicals!S134</f>
        <v>3.7032124888183944</v>
      </c>
      <c r="J117" s="1412">
        <f>I117*LiMn2O4!B$14+F117*LiMn2O4!B$15+SUM(E82:G82)</f>
        <v>1.5351959307566272</v>
      </c>
      <c r="K117" s="914">
        <f>Li_Chemicals!U134</f>
        <v>0.60552266139769584</v>
      </c>
      <c r="L117" s="478">
        <f>LiMn2O4!$B$7*G117+LiMn2O4!$C$7*H117+LiMn2O4!$D$7*J117</f>
        <v>0.94374222078048975</v>
      </c>
      <c r="M117" s="1321"/>
      <c r="N117" s="1321"/>
      <c r="O117" s="1321"/>
      <c r="P117" s="1321"/>
      <c r="Q117" s="1321"/>
      <c r="R117" s="1321"/>
      <c r="S117" s="1321"/>
      <c r="T117" s="1321"/>
      <c r="U117" s="1321"/>
      <c r="V117" s="1321"/>
      <c r="W117" s="1321"/>
      <c r="X117" s="1321"/>
      <c r="Y117" s="1321"/>
      <c r="Z117" s="1321"/>
    </row>
    <row r="118" spans="1:26">
      <c r="A118" s="539" t="s">
        <v>828</v>
      </c>
      <c r="B118" s="916">
        <f>Li_Chemicals!J135</f>
        <v>1.9015683450014946</v>
      </c>
      <c r="C118" s="584">
        <f>Li_Chemicals!L135</f>
        <v>6.9689547332884086E-2</v>
      </c>
      <c r="D118" s="637">
        <f>GREET1_Import_Export!C520</f>
        <v>0.15854690350696832</v>
      </c>
      <c r="E118" s="585">
        <f>Li_Chemicals!N135</f>
        <v>2.8237645607159503</v>
      </c>
      <c r="F118" s="637">
        <f>SUM(B83:D83)+$C$13*Mat_Sum!BC43*2000</f>
        <v>4.2408087949338009</v>
      </c>
      <c r="G118" s="637">
        <f>B118*LiMn2O4!B$14+F118*LiMn2O4!B$15+SUM(E83:G83)</f>
        <v>4.164563069421737</v>
      </c>
      <c r="H118" s="585">
        <f>E118*LiMn2O4!B$14+F118*LiMn2O4!B$15+SUM(E83:G83)</f>
        <v>4.353003434878751</v>
      </c>
      <c r="I118" s="1581">
        <f>Li_Chemicals!S135</f>
        <v>7.1391875599102903</v>
      </c>
      <c r="J118" s="1417">
        <f>I118*LiMn2O4!B$14+F118*LiMn2O4!B$15+SUM(E83:G83)</f>
        <v>5.2348113117846102</v>
      </c>
      <c r="K118" s="916">
        <f>Li_Chemicals!U135</f>
        <v>2.157620944481847</v>
      </c>
      <c r="L118" s="585">
        <f>LiMn2O4!$B$7*G118+LiMn2O4!$C$7*H118+LiMn2O4!$D$7*J118</f>
        <v>4.164563069421737</v>
      </c>
      <c r="M118" s="1321"/>
      <c r="N118" s="1321"/>
      <c r="O118" s="1321"/>
      <c r="P118" s="1321"/>
      <c r="Q118" s="1321"/>
      <c r="R118" s="1321"/>
      <c r="S118" s="1321"/>
      <c r="T118" s="1321"/>
      <c r="U118" s="1321"/>
      <c r="V118" s="1321"/>
      <c r="W118" s="1321"/>
      <c r="X118" s="1321"/>
      <c r="Y118" s="1321"/>
      <c r="Z118" s="1321"/>
    </row>
    <row r="119" spans="1:26">
      <c r="A119" s="1321"/>
      <c r="B119" s="1321"/>
      <c r="C119" s="1321"/>
      <c r="D119" s="1321"/>
      <c r="E119" s="1321"/>
      <c r="F119" s="8"/>
      <c r="G119" s="8"/>
      <c r="H119" s="8"/>
      <c r="I119" s="1321"/>
      <c r="J119" s="1321"/>
      <c r="K119" s="1321"/>
      <c r="L119" s="1321"/>
      <c r="M119" s="1321"/>
      <c r="N119" s="1321"/>
      <c r="O119" s="1321"/>
      <c r="P119" s="1321"/>
      <c r="Q119" s="1321"/>
      <c r="R119" s="1321"/>
      <c r="S119" s="1321"/>
      <c r="T119" s="1321"/>
      <c r="U119" s="1321"/>
      <c r="V119" s="1321"/>
      <c r="W119" s="1321"/>
      <c r="X119" s="1321"/>
      <c r="Y119" s="1321"/>
      <c r="Z119" s="1321"/>
    </row>
    <row r="120" spans="1:26">
      <c r="A120" s="1321"/>
      <c r="B120" s="1321"/>
      <c r="C120" s="1321"/>
      <c r="D120" s="1321"/>
      <c r="E120" s="1321"/>
      <c r="F120" s="1321"/>
      <c r="G120" s="1321"/>
      <c r="H120" s="1321"/>
      <c r="I120" s="1321"/>
      <c r="J120" s="1321"/>
      <c r="K120" s="1321"/>
      <c r="L120" s="1321"/>
      <c r="M120" s="1321"/>
      <c r="N120" s="1321"/>
      <c r="O120" s="1321"/>
      <c r="P120" s="1321"/>
      <c r="Q120" s="1321"/>
      <c r="R120" s="1321"/>
      <c r="S120" s="1321"/>
      <c r="T120" s="1321"/>
      <c r="U120" s="1321"/>
      <c r="V120" s="1321"/>
      <c r="W120" s="1321"/>
      <c r="X120" s="1321"/>
      <c r="Y120" s="1321"/>
      <c r="Z120" s="1321"/>
    </row>
    <row r="121" spans="1:26">
      <c r="A121" s="1321"/>
      <c r="B121" s="1321"/>
      <c r="C121" s="1321"/>
      <c r="D121" s="1321"/>
      <c r="E121" s="1321"/>
      <c r="F121" s="1321"/>
      <c r="G121" s="1321"/>
      <c r="H121" s="1321"/>
      <c r="I121" s="1321"/>
      <c r="J121" s="1321"/>
      <c r="K121" s="1321"/>
      <c r="L121" s="1321"/>
      <c r="M121" s="1321"/>
      <c r="N121" s="1321"/>
      <c r="O121" s="1321"/>
      <c r="P121" s="1321"/>
      <c r="Q121" s="1321"/>
      <c r="R121" s="1321"/>
      <c r="S121" s="1321"/>
      <c r="T121" s="1321"/>
      <c r="U121" s="1321"/>
      <c r="V121" s="1321"/>
      <c r="W121" s="1321"/>
      <c r="X121" s="1321"/>
      <c r="Y121" s="1321"/>
      <c r="Z121" s="1321"/>
    </row>
    <row r="122" spans="1:26">
      <c r="A122" s="1321"/>
      <c r="B122" s="1321"/>
      <c r="C122" s="1321"/>
      <c r="D122" s="1321"/>
      <c r="E122" s="1321"/>
      <c r="F122" s="1321"/>
      <c r="G122" s="1321"/>
      <c r="H122" s="1321"/>
      <c r="I122" s="1321"/>
      <c r="J122" s="1321"/>
      <c r="K122" s="1321"/>
      <c r="L122" s="1321"/>
      <c r="M122" s="1321"/>
      <c r="N122" s="1321"/>
      <c r="O122" s="1321"/>
      <c r="P122" s="1321"/>
      <c r="Q122" s="1321"/>
      <c r="R122" s="1321"/>
      <c r="S122" s="1321"/>
      <c r="T122" s="1321"/>
      <c r="U122" s="1321"/>
      <c r="V122" s="1321"/>
      <c r="W122" s="1321"/>
      <c r="X122" s="1321"/>
      <c r="Y122" s="1321"/>
      <c r="Z122" s="1321"/>
    </row>
    <row r="123" spans="1:26">
      <c r="A123" s="1321"/>
      <c r="B123" s="1321"/>
      <c r="C123" s="1321"/>
      <c r="D123" s="1321"/>
      <c r="E123" s="1321"/>
      <c r="F123" s="1321"/>
      <c r="G123" s="1321"/>
      <c r="H123" s="1321"/>
      <c r="I123" s="1321"/>
      <c r="J123" s="1321"/>
      <c r="K123" s="1321"/>
      <c r="L123" s="1321"/>
      <c r="M123" s="1321"/>
      <c r="N123" s="1321"/>
      <c r="O123" s="1321"/>
      <c r="P123" s="1321"/>
      <c r="Q123" s="1321"/>
      <c r="R123" s="1321"/>
      <c r="S123" s="1321"/>
      <c r="T123" s="1321"/>
      <c r="U123" s="1321"/>
      <c r="V123" s="1321"/>
      <c r="W123" s="1321"/>
      <c r="X123" s="1321"/>
      <c r="Y123" s="1321"/>
      <c r="Z123" s="1321"/>
    </row>
    <row r="124" spans="1:26">
      <c r="A124" s="1321"/>
      <c r="B124" s="1321"/>
      <c r="C124" s="1321"/>
      <c r="D124" s="1321"/>
      <c r="E124" s="1321"/>
      <c r="F124" s="1321"/>
      <c r="G124" s="1321"/>
      <c r="H124" s="1321"/>
      <c r="I124" s="1321"/>
      <c r="J124" s="1321"/>
      <c r="K124" s="1321"/>
      <c r="L124" s="1321"/>
      <c r="M124" s="1321"/>
      <c r="N124" s="1321"/>
      <c r="O124" s="1321"/>
      <c r="P124" s="1321"/>
      <c r="Q124" s="1321"/>
      <c r="R124" s="1321"/>
      <c r="S124" s="1321"/>
      <c r="T124" s="1321"/>
      <c r="U124" s="1321"/>
      <c r="V124" s="1321"/>
      <c r="W124" s="1321"/>
      <c r="X124" s="1321"/>
      <c r="Y124" s="1321"/>
      <c r="Z124" s="1321"/>
    </row>
    <row r="125" spans="1:26">
      <c r="A125" s="1321"/>
      <c r="B125" s="1321"/>
      <c r="C125" s="1321"/>
      <c r="D125" s="1321"/>
      <c r="E125" s="1321"/>
      <c r="F125" s="1321"/>
      <c r="G125" s="1321"/>
      <c r="H125" s="1321"/>
      <c r="I125" s="1321"/>
      <c r="J125" s="1321"/>
      <c r="K125" s="1321"/>
      <c r="L125" s="1321"/>
      <c r="M125" s="1321"/>
      <c r="N125" s="1321"/>
      <c r="O125" s="1321"/>
      <c r="P125" s="1321"/>
      <c r="Q125" s="1321"/>
      <c r="R125" s="1321"/>
      <c r="S125" s="1321"/>
      <c r="T125" s="1321"/>
      <c r="U125" s="1321"/>
      <c r="V125" s="1321"/>
      <c r="W125" s="1321"/>
      <c r="X125" s="1321"/>
      <c r="Y125" s="1321"/>
      <c r="Z125" s="1321"/>
    </row>
    <row r="126" spans="1:26">
      <c r="A126" s="1321"/>
      <c r="B126" s="1321"/>
      <c r="C126" s="1321"/>
      <c r="D126" s="1321"/>
      <c r="E126" s="1321"/>
      <c r="F126" s="1321"/>
      <c r="G126" s="1321"/>
      <c r="H126" s="1321"/>
      <c r="I126" s="1321"/>
      <c r="J126" s="1321"/>
      <c r="K126" s="1321"/>
      <c r="L126" s="1321"/>
      <c r="M126" s="1321"/>
      <c r="N126" s="1321"/>
      <c r="O126" s="1321"/>
      <c r="P126" s="1321"/>
      <c r="Q126" s="1321"/>
      <c r="R126" s="1321"/>
      <c r="S126" s="1321"/>
      <c r="T126" s="1321"/>
      <c r="U126" s="1321"/>
      <c r="V126" s="1321"/>
      <c r="W126" s="1321"/>
      <c r="X126" s="1321"/>
      <c r="Y126" s="1321"/>
      <c r="Z126" s="1321"/>
    </row>
    <row r="127" spans="1:26">
      <c r="A127" s="1321"/>
      <c r="B127" s="1321"/>
      <c r="C127" s="1321"/>
      <c r="D127" s="1321"/>
      <c r="E127" s="1321"/>
      <c r="F127" s="1321"/>
      <c r="G127" s="1321"/>
      <c r="H127" s="1321"/>
      <c r="I127" s="1321"/>
      <c r="J127" s="1321"/>
      <c r="K127" s="1321"/>
      <c r="L127" s="1321"/>
      <c r="M127" s="1321"/>
      <c r="N127" s="1321"/>
      <c r="O127" s="1321"/>
      <c r="P127" s="1321"/>
      <c r="Q127" s="1321"/>
      <c r="R127" s="1321"/>
      <c r="S127" s="1321"/>
      <c r="T127" s="1321"/>
      <c r="U127" s="1321"/>
      <c r="V127" s="1321"/>
      <c r="W127" s="1321"/>
      <c r="X127" s="1321"/>
      <c r="Y127" s="1321"/>
      <c r="Z127" s="1321"/>
    </row>
    <row r="128" spans="1:26">
      <c r="A128" s="1321"/>
      <c r="B128" s="1321"/>
      <c r="C128" s="1321"/>
      <c r="D128" s="1321"/>
      <c r="E128" s="1321"/>
      <c r="F128" s="1321"/>
      <c r="G128" s="1321"/>
      <c r="H128" s="1321"/>
      <c r="I128" s="1321"/>
      <c r="J128" s="1321"/>
      <c r="K128" s="1321"/>
      <c r="L128" s="1321"/>
      <c r="M128" s="1321"/>
      <c r="N128" s="1321"/>
      <c r="O128" s="1321"/>
      <c r="P128" s="1321"/>
      <c r="Q128" s="1321"/>
      <c r="R128" s="1321"/>
      <c r="S128" s="1321"/>
      <c r="T128" s="1321"/>
      <c r="U128" s="1321"/>
      <c r="V128" s="1321"/>
      <c r="W128" s="1321"/>
      <c r="X128" s="1321"/>
      <c r="Y128" s="1321"/>
      <c r="Z128" s="1321"/>
    </row>
    <row r="129" spans="1:12">
      <c r="A129" s="1321"/>
      <c r="B129" s="1321"/>
      <c r="C129" s="1321"/>
      <c r="D129" s="1321"/>
      <c r="E129" s="1321"/>
      <c r="F129" s="1321"/>
      <c r="G129" s="1321"/>
      <c r="H129" s="1321"/>
      <c r="I129" s="1321"/>
      <c r="J129" s="1321"/>
      <c r="K129" s="1321"/>
      <c r="L129" s="1321"/>
    </row>
    <row r="130" spans="1:12">
      <c r="A130" s="1321"/>
      <c r="B130" s="1321"/>
      <c r="C130" s="1321"/>
      <c r="D130" s="1321"/>
      <c r="E130" s="1321"/>
      <c r="F130" s="1321"/>
      <c r="G130" s="1321"/>
      <c r="H130" s="1321"/>
      <c r="I130" s="1321"/>
      <c r="J130" s="1321"/>
      <c r="K130" s="1321"/>
      <c r="L130" s="1321"/>
    </row>
    <row r="131" spans="1:12">
      <c r="A131" s="1321"/>
      <c r="B131" s="1321"/>
      <c r="C131" s="1321"/>
      <c r="D131" s="1321"/>
      <c r="E131" s="1321"/>
      <c r="F131" s="1321"/>
      <c r="G131" s="1321"/>
      <c r="H131" s="1321"/>
      <c r="I131" s="1321"/>
      <c r="J131" s="1321"/>
      <c r="K131" s="1321"/>
      <c r="L131" s="1321"/>
    </row>
    <row r="132" spans="1:12">
      <c r="A132" s="1321"/>
      <c r="B132" s="1321"/>
      <c r="C132" s="1321"/>
      <c r="D132" s="1321"/>
      <c r="E132" s="1321"/>
      <c r="F132" s="1321"/>
      <c r="G132" s="1321"/>
      <c r="H132" s="1321"/>
      <c r="I132" s="1321"/>
      <c r="J132" s="1321"/>
      <c r="K132" s="1321"/>
      <c r="L132" s="1321"/>
    </row>
    <row r="133" spans="1:12">
      <c r="A133" s="1321"/>
      <c r="B133" s="1321"/>
      <c r="C133" s="1321"/>
      <c r="D133" s="1321"/>
      <c r="E133" s="1321"/>
      <c r="F133" s="1321"/>
      <c r="G133" s="1321"/>
      <c r="H133" s="1321"/>
      <c r="I133" s="1321"/>
      <c r="J133" s="1321"/>
      <c r="K133" s="1321"/>
      <c r="L133" s="1321"/>
    </row>
    <row r="134" spans="1:12">
      <c r="A134" s="1321"/>
      <c r="B134" s="1321"/>
      <c r="C134" s="1321"/>
      <c r="D134" s="1321"/>
      <c r="E134" s="1321"/>
      <c r="F134" s="1321"/>
      <c r="G134" s="1321"/>
      <c r="H134" s="1321"/>
      <c r="I134" s="1321"/>
      <c r="J134" s="1321"/>
      <c r="K134" s="1321"/>
      <c r="L134" s="1321"/>
    </row>
    <row r="135" spans="1:12">
      <c r="A135" s="1321"/>
      <c r="B135" s="1321"/>
      <c r="C135" s="1321"/>
      <c r="D135" s="1321"/>
      <c r="E135" s="1321"/>
      <c r="F135" s="1321"/>
      <c r="G135" s="1321"/>
      <c r="H135" s="1321"/>
      <c r="I135" s="1321"/>
      <c r="J135" s="1321"/>
      <c r="K135" s="1321"/>
      <c r="L135" s="1321"/>
    </row>
    <row r="136" spans="1:12">
      <c r="A136" s="1321"/>
      <c r="B136" s="1321"/>
      <c r="C136" s="1321"/>
      <c r="D136" s="1321"/>
      <c r="E136" s="1321"/>
      <c r="F136" s="1321"/>
      <c r="G136" s="1321"/>
      <c r="H136" s="1321"/>
      <c r="I136" s="1321"/>
      <c r="J136" s="1321"/>
      <c r="K136" s="1321"/>
      <c r="L136" s="1321"/>
    </row>
    <row r="137" spans="1:12">
      <c r="A137" s="1321"/>
      <c r="B137" s="1321"/>
      <c r="C137" s="1321"/>
      <c r="D137" s="1321"/>
      <c r="E137" s="1321"/>
      <c r="F137" s="1321"/>
      <c r="G137" s="1321"/>
      <c r="H137" s="1321"/>
      <c r="I137" s="1321"/>
      <c r="J137" s="1321"/>
      <c r="K137" s="1321"/>
      <c r="L137" s="1321"/>
    </row>
    <row r="138" spans="1:12">
      <c r="A138" s="1321"/>
      <c r="B138" s="1321"/>
      <c r="C138" s="1321"/>
      <c r="D138" s="1321"/>
      <c r="E138" s="1321"/>
      <c r="F138" s="1321"/>
      <c r="G138" s="1321"/>
      <c r="H138" s="1321"/>
      <c r="I138" s="1321"/>
      <c r="J138" s="1321"/>
      <c r="K138" s="1321"/>
      <c r="L138" s="1321"/>
    </row>
    <row r="139" spans="1:12">
      <c r="A139" s="1321"/>
      <c r="B139" s="1321"/>
      <c r="C139" s="1321"/>
      <c r="D139" s="1321"/>
      <c r="E139" s="1321"/>
      <c r="F139" s="1321"/>
      <c r="G139" s="1321"/>
      <c r="H139" s="1321"/>
      <c r="I139" s="1321"/>
      <c r="J139" s="1321"/>
      <c r="K139" s="1321"/>
      <c r="L139" s="1321"/>
    </row>
    <row r="140" spans="1:12">
      <c r="A140" s="1321"/>
      <c r="B140" s="1321"/>
      <c r="C140" s="1321"/>
      <c r="D140" s="1321"/>
      <c r="E140" s="1321"/>
      <c r="F140" s="1321"/>
      <c r="G140" s="1321"/>
      <c r="H140" s="1321"/>
      <c r="I140" s="1321"/>
      <c r="J140" s="1321"/>
      <c r="K140" s="1321"/>
      <c r="L140" s="1321"/>
    </row>
    <row r="141" spans="1:12">
      <c r="A141" s="1321"/>
      <c r="B141" s="1321"/>
      <c r="C141" s="1321"/>
      <c r="D141" s="1321"/>
      <c r="E141" s="1321"/>
      <c r="F141" s="1321"/>
      <c r="G141" s="1321"/>
      <c r="H141" s="1321"/>
      <c r="I141" s="1321"/>
      <c r="J141" s="1321"/>
      <c r="K141" s="1321"/>
      <c r="L141" s="1321"/>
    </row>
    <row r="142" spans="1:12">
      <c r="A142" s="1321"/>
      <c r="B142" s="1321"/>
      <c r="C142" s="1321"/>
      <c r="D142" s="1321"/>
      <c r="E142" s="1321"/>
      <c r="F142" s="1321"/>
      <c r="G142" s="1321"/>
      <c r="H142" s="1321"/>
      <c r="I142" s="1321"/>
      <c r="J142" s="1321"/>
      <c r="K142" s="1321"/>
      <c r="L142" s="1321"/>
    </row>
    <row r="143" spans="1:12">
      <c r="A143" s="1321"/>
      <c r="B143" s="1321"/>
      <c r="C143" s="1321"/>
      <c r="D143" s="1321"/>
      <c r="E143" s="1321"/>
      <c r="F143" s="1321"/>
      <c r="G143" s="1321"/>
      <c r="H143" s="1321"/>
      <c r="I143" s="1321"/>
      <c r="J143" s="1321"/>
      <c r="K143" s="1321"/>
      <c r="L143" s="1321"/>
    </row>
    <row r="144" spans="1:12">
      <c r="A144" s="1321"/>
      <c r="B144" s="1321"/>
      <c r="C144" s="1321"/>
      <c r="D144" s="1321"/>
      <c r="E144" s="1321"/>
      <c r="F144" s="1321"/>
      <c r="G144" s="1321"/>
      <c r="H144" s="1321"/>
      <c r="I144" s="1321"/>
      <c r="J144" s="1321"/>
      <c r="K144" s="1321"/>
      <c r="L144" s="1321"/>
    </row>
    <row r="145" spans="1:12">
      <c r="A145" s="1321"/>
      <c r="B145" s="1321"/>
      <c r="C145" s="1321"/>
      <c r="D145" s="1321"/>
      <c r="E145" s="1321"/>
      <c r="F145" s="1321"/>
      <c r="G145" s="1321"/>
      <c r="H145" s="1321"/>
      <c r="I145" s="1321"/>
      <c r="J145" s="1321"/>
      <c r="K145" s="1321"/>
      <c r="L145" s="1321"/>
    </row>
    <row r="146" spans="1:12">
      <c r="A146" s="1321"/>
      <c r="B146" s="1321"/>
      <c r="C146" s="1321"/>
      <c r="D146" s="1321"/>
      <c r="E146" s="1321"/>
      <c r="F146" s="1321"/>
      <c r="G146" s="1321"/>
      <c r="H146" s="1321"/>
      <c r="I146" s="1321"/>
      <c r="J146" s="1321"/>
      <c r="K146" s="1321"/>
      <c r="L146" s="1321"/>
    </row>
    <row r="147" spans="1:12">
      <c r="A147" s="1321"/>
      <c r="B147" s="1321"/>
      <c r="C147" s="1321"/>
      <c r="D147" s="1321"/>
      <c r="E147" s="1321"/>
      <c r="F147" s="1321"/>
      <c r="G147" s="1321"/>
      <c r="H147" s="1321"/>
      <c r="I147" s="1321"/>
      <c r="J147" s="1321"/>
      <c r="K147" s="1321"/>
      <c r="L147" s="1321"/>
    </row>
    <row r="148" spans="1:12">
      <c r="A148" s="1321"/>
      <c r="B148" s="1321"/>
      <c r="C148" s="1321"/>
      <c r="D148" s="1321"/>
      <c r="E148" s="1321"/>
      <c r="F148" s="1321"/>
      <c r="G148" s="1321"/>
      <c r="H148" s="1321"/>
      <c r="I148" s="1321"/>
      <c r="J148" s="1321"/>
      <c r="K148" s="1321"/>
      <c r="L148" s="1321"/>
    </row>
    <row r="149" spans="1:12">
      <c r="A149" s="1321"/>
      <c r="B149" s="1321"/>
      <c r="C149" s="1321"/>
      <c r="D149" s="1321"/>
      <c r="E149" s="1321"/>
      <c r="F149" s="1321"/>
      <c r="G149" s="1321"/>
      <c r="H149" s="1321"/>
      <c r="I149" s="1321"/>
      <c r="J149" s="1321"/>
      <c r="K149" s="1321"/>
      <c r="L149" s="1321"/>
    </row>
    <row r="150" spans="1:12">
      <c r="A150" s="1321"/>
      <c r="B150" s="1321"/>
      <c r="C150" s="1321"/>
      <c r="D150" s="1321"/>
      <c r="E150" s="1321"/>
      <c r="F150" s="1321"/>
      <c r="G150" s="1321"/>
      <c r="H150" s="1321"/>
      <c r="I150" s="1321"/>
      <c r="J150" s="1321"/>
      <c r="K150" s="1321"/>
      <c r="L150" s="1321"/>
    </row>
    <row r="151" spans="1:12">
      <c r="A151" s="1321"/>
      <c r="B151" s="1321"/>
      <c r="C151" s="1321"/>
      <c r="D151" s="1321"/>
      <c r="E151" s="1321"/>
      <c r="F151" s="1321"/>
      <c r="G151" s="1321"/>
      <c r="H151" s="1321"/>
      <c r="I151" s="1321"/>
      <c r="J151" s="1321"/>
      <c r="K151" s="1321"/>
      <c r="L151" s="1321"/>
    </row>
    <row r="152" spans="1:12">
      <c r="A152" s="1321"/>
      <c r="B152" s="1321"/>
      <c r="C152" s="1321"/>
      <c r="D152" s="1321"/>
      <c r="E152" s="1321"/>
      <c r="F152" s="1321"/>
      <c r="G152" s="1321"/>
      <c r="H152" s="1321"/>
      <c r="I152" s="1321"/>
      <c r="J152" s="1321"/>
      <c r="K152" s="1321"/>
      <c r="L152" s="1321"/>
    </row>
    <row r="153" spans="1:12">
      <c r="A153" s="1321"/>
      <c r="B153" s="1321"/>
      <c r="C153" s="1321"/>
      <c r="D153" s="1321"/>
      <c r="E153" s="1321"/>
      <c r="F153" s="1321"/>
      <c r="G153" s="1321"/>
      <c r="H153" s="1321"/>
      <c r="I153" s="1321"/>
      <c r="J153" s="1321"/>
      <c r="K153" s="1321"/>
      <c r="L153" s="1321"/>
    </row>
    <row r="154" spans="1:12">
      <c r="A154" s="1321"/>
      <c r="B154" s="1321"/>
      <c r="C154" s="1321"/>
      <c r="D154" s="1321"/>
      <c r="E154" s="1321"/>
      <c r="F154" s="1321"/>
      <c r="G154" s="1321"/>
      <c r="H154" s="1321"/>
      <c r="I154" s="1321"/>
      <c r="J154" s="1321"/>
      <c r="K154" s="1321"/>
      <c r="L154" s="1321"/>
    </row>
    <row r="155" spans="1:12">
      <c r="A155" s="1321"/>
      <c r="B155" s="1321"/>
      <c r="C155" s="1321"/>
      <c r="D155" s="1321"/>
      <c r="E155" s="1321"/>
      <c r="F155" s="1321"/>
      <c r="G155" s="1321"/>
      <c r="H155" s="1321"/>
      <c r="I155" s="1321"/>
      <c r="J155" s="1321"/>
      <c r="K155" s="1321"/>
      <c r="L155" s="1321"/>
    </row>
    <row r="156" spans="1:12">
      <c r="A156" s="1321"/>
      <c r="B156" s="1321"/>
      <c r="C156" s="1321"/>
      <c r="D156" s="1321"/>
      <c r="E156" s="1321"/>
      <c r="F156" s="1321"/>
      <c r="G156" s="1321"/>
      <c r="H156" s="1321"/>
      <c r="I156" s="1321"/>
      <c r="J156" s="1321"/>
      <c r="K156" s="1321"/>
      <c r="L156" s="1321"/>
    </row>
    <row r="157" spans="1:12">
      <c r="A157" s="1321"/>
      <c r="B157" s="1321"/>
      <c r="C157" s="1321"/>
      <c r="D157" s="1321"/>
      <c r="E157" s="1321"/>
      <c r="F157" s="1321"/>
      <c r="G157" s="1321"/>
      <c r="H157" s="1321"/>
      <c r="I157" s="1321"/>
      <c r="J157" s="1321"/>
      <c r="K157" s="1321"/>
      <c r="L157" s="1321"/>
    </row>
    <row r="158" spans="1:12">
      <c r="A158" s="1321"/>
      <c r="B158" s="1321"/>
      <c r="C158" s="1321"/>
      <c r="D158" s="1321"/>
      <c r="E158" s="1321"/>
      <c r="F158" s="1321"/>
      <c r="G158" s="1321"/>
      <c r="H158" s="1321"/>
      <c r="I158" s="1321"/>
      <c r="J158" s="1321"/>
      <c r="K158" s="1321"/>
      <c r="L158" s="1321"/>
    </row>
    <row r="159" spans="1:12">
      <c r="A159" s="1321"/>
      <c r="B159" s="1321"/>
      <c r="C159" s="1321"/>
      <c r="D159" s="1321"/>
      <c r="E159" s="1321"/>
      <c r="F159" s="1321"/>
      <c r="G159" s="1321"/>
      <c r="H159" s="1321"/>
      <c r="I159" s="1321"/>
      <c r="J159" s="1321"/>
      <c r="K159" s="1321"/>
      <c r="L159" s="1321"/>
    </row>
    <row r="160" spans="1:12">
      <c r="A160" s="1321"/>
      <c r="B160" s="1321"/>
      <c r="C160" s="1321"/>
      <c r="D160" s="1321"/>
      <c r="E160" s="1321"/>
      <c r="F160" s="1321"/>
      <c r="G160" s="1321"/>
      <c r="H160" s="1321"/>
      <c r="I160" s="1321"/>
      <c r="J160" s="1321"/>
      <c r="K160" s="1321"/>
      <c r="L160" s="1321"/>
    </row>
    <row r="161" spans="1:31">
      <c r="A161" s="1321"/>
      <c r="B161" s="1321"/>
      <c r="C161" s="1321"/>
      <c r="D161" s="1321"/>
      <c r="E161" s="1321"/>
      <c r="F161" s="1321"/>
      <c r="G161" s="1321"/>
      <c r="H161" s="1321"/>
      <c r="I161" s="1321"/>
      <c r="J161" s="1321"/>
      <c r="K161" s="1321"/>
      <c r="L161" s="1321"/>
      <c r="M161" s="1321"/>
      <c r="N161" s="1321"/>
      <c r="O161" s="1321"/>
      <c r="P161" s="1321"/>
      <c r="Q161" s="1321"/>
      <c r="R161" s="1321"/>
      <c r="S161" s="1321"/>
      <c r="T161" s="1321"/>
      <c r="U161" s="1321"/>
      <c r="V161" s="1321"/>
      <c r="W161" s="1321"/>
      <c r="X161" s="1321"/>
      <c r="Y161" s="1321"/>
      <c r="Z161" s="1321"/>
      <c r="AA161" s="1321"/>
      <c r="AB161" s="1321"/>
      <c r="AC161" s="1321"/>
      <c r="AD161" s="1321"/>
      <c r="AE161" s="1321"/>
    </row>
    <row r="162" spans="1:31">
      <c r="A162" s="1321"/>
      <c r="B162" s="1321"/>
      <c r="C162" s="1321"/>
      <c r="D162" s="1321"/>
      <c r="E162" s="1321"/>
      <c r="F162" s="1321"/>
      <c r="G162" s="1321"/>
      <c r="H162" s="1321"/>
      <c r="I162" s="1321"/>
      <c r="J162" s="1321"/>
      <c r="K162" s="1321"/>
      <c r="L162" s="1321"/>
      <c r="M162" s="1321"/>
      <c r="N162" s="1321"/>
      <c r="O162" s="1321"/>
      <c r="P162" s="1321"/>
      <c r="Q162" s="1321"/>
      <c r="R162" s="1321"/>
      <c r="S162" s="1321"/>
      <c r="T162" s="1321"/>
      <c r="U162" s="1321"/>
      <c r="V162" s="1321"/>
      <c r="W162" s="1321"/>
      <c r="X162" s="1321"/>
      <c r="Y162" s="1321"/>
      <c r="Z162" s="1321"/>
      <c r="AA162" s="1321"/>
      <c r="AB162" s="1321"/>
      <c r="AC162" s="1321"/>
      <c r="AD162" s="1321"/>
      <c r="AE162" s="1321"/>
    </row>
    <row r="163" spans="1:31" ht="14.25" customHeight="1">
      <c r="A163" s="1321"/>
      <c r="B163" s="1321"/>
      <c r="C163" s="1321"/>
      <c r="D163" s="1321"/>
      <c r="E163" s="1321"/>
      <c r="F163" s="1321"/>
      <c r="G163" s="1321"/>
      <c r="H163" s="1321"/>
      <c r="I163" s="1321"/>
      <c r="J163" s="1321"/>
      <c r="K163" s="1321"/>
      <c r="L163" s="1321"/>
      <c r="M163" s="1321"/>
      <c r="N163" s="1321"/>
      <c r="O163" s="1321"/>
      <c r="P163" s="1321"/>
      <c r="Q163" s="1321"/>
      <c r="R163" s="1321"/>
      <c r="S163" s="1321"/>
      <c r="T163" s="1321"/>
      <c r="U163" s="1321"/>
      <c r="V163" s="1321"/>
      <c r="W163" s="1321"/>
      <c r="X163" s="1321"/>
      <c r="Y163" s="1321"/>
      <c r="Z163" s="1321"/>
      <c r="AA163" s="1321"/>
      <c r="AB163" s="1321"/>
      <c r="AC163" s="1321"/>
      <c r="AD163" s="1321"/>
      <c r="AE163" s="1321"/>
    </row>
    <row r="164" spans="1:31">
      <c r="A164" s="1321"/>
      <c r="B164" s="1321"/>
      <c r="C164" s="1321"/>
      <c r="D164" s="1321"/>
      <c r="E164" s="1321"/>
      <c r="F164" s="1321"/>
      <c r="G164" s="1321"/>
      <c r="H164" s="1321"/>
      <c r="I164" s="1321"/>
      <c r="J164" s="1321"/>
      <c r="K164" s="1321"/>
      <c r="L164" s="1321"/>
      <c r="M164" s="1321"/>
      <c r="N164" s="1321"/>
      <c r="O164" s="1321"/>
      <c r="P164" s="1321"/>
      <c r="Q164" s="1321"/>
      <c r="R164" s="1321"/>
      <c r="S164" s="1321"/>
      <c r="T164" s="1321"/>
      <c r="U164" s="1321"/>
      <c r="V164" s="1321"/>
      <c r="W164" s="1321"/>
      <c r="X164" s="1321"/>
      <c r="Y164" s="1321"/>
      <c r="Z164" s="1321"/>
      <c r="AA164" s="1321"/>
      <c r="AB164" s="1321"/>
      <c r="AC164" s="1321"/>
      <c r="AD164" s="1321"/>
      <c r="AE164" s="1321"/>
    </row>
    <row r="165" spans="1:31" ht="12.75" customHeight="1">
      <c r="A165" s="1321"/>
      <c r="B165" s="1321"/>
      <c r="C165" s="1321"/>
      <c r="D165" s="1321"/>
      <c r="E165" s="1321"/>
      <c r="F165" s="1321"/>
      <c r="G165" s="1321"/>
      <c r="H165" s="1321"/>
      <c r="I165" s="1321"/>
      <c r="J165" s="1321"/>
      <c r="K165" s="1321"/>
      <c r="L165" s="1321"/>
      <c r="M165" s="1321"/>
      <c r="N165" s="1321"/>
      <c r="O165" s="1321"/>
      <c r="P165" s="1321"/>
      <c r="Q165" s="1321"/>
      <c r="R165" s="1321"/>
      <c r="S165" s="1321"/>
      <c r="T165" s="1321"/>
      <c r="U165" s="1321"/>
      <c r="V165" s="1321"/>
      <c r="W165" s="1321"/>
      <c r="X165" s="1321"/>
      <c r="Y165" s="1321"/>
      <c r="Z165" s="1321"/>
      <c r="AA165" s="1321"/>
      <c r="AB165" s="1321"/>
      <c r="AC165" s="1321"/>
      <c r="AD165" s="1321"/>
      <c r="AE165" s="1321"/>
    </row>
    <row r="166" spans="1:31" ht="55.5" customHeight="1">
      <c r="A166" s="1321"/>
      <c r="B166" s="1321"/>
      <c r="C166" s="1321"/>
      <c r="D166" s="1321"/>
      <c r="E166" s="1321"/>
      <c r="F166" s="1321"/>
      <c r="G166" s="1321"/>
      <c r="H166" s="1321"/>
      <c r="I166" s="1321"/>
      <c r="J166" s="1321"/>
      <c r="K166" s="1321"/>
      <c r="L166" s="1321"/>
      <c r="M166" s="1321"/>
      <c r="N166" s="1321"/>
      <c r="O166" s="1321"/>
      <c r="P166" s="1321"/>
      <c r="Q166" s="1321"/>
      <c r="R166" s="1321"/>
      <c r="S166" s="1321"/>
      <c r="T166" s="1321"/>
      <c r="U166" s="1321"/>
      <c r="V166" s="1321"/>
      <c r="W166" s="1321"/>
      <c r="X166" s="1321"/>
      <c r="Y166" s="1321"/>
      <c r="Z166" s="1321"/>
      <c r="AA166" s="1321"/>
      <c r="AB166" s="1321"/>
      <c r="AC166" s="1321"/>
      <c r="AD166" s="1321"/>
      <c r="AE166" s="1321"/>
    </row>
    <row r="167" spans="1:31">
      <c r="A167" s="1321"/>
      <c r="B167" s="1321"/>
      <c r="C167" s="1321"/>
      <c r="D167" s="1321"/>
      <c r="E167" s="1321"/>
      <c r="F167" s="1321"/>
      <c r="G167" s="1321"/>
      <c r="H167" s="1321"/>
      <c r="I167" s="1321"/>
      <c r="J167" s="1321"/>
      <c r="K167" s="1321"/>
      <c r="L167" s="1321"/>
      <c r="M167" s="1321"/>
      <c r="N167" s="1321"/>
      <c r="O167" s="1321"/>
      <c r="P167" s="1321"/>
      <c r="Q167" s="1321"/>
      <c r="R167" s="1321"/>
      <c r="S167" s="1321"/>
      <c r="T167" s="1321"/>
      <c r="U167" s="1321"/>
      <c r="V167" s="1321"/>
      <c r="W167" s="1321"/>
      <c r="X167" s="1321"/>
      <c r="Y167" s="1321"/>
      <c r="Z167" s="1321"/>
      <c r="AA167" s="1321"/>
      <c r="AB167" s="1321"/>
      <c r="AC167" s="1321"/>
      <c r="AD167" s="1321"/>
      <c r="AE167" s="1321"/>
    </row>
    <row r="168" spans="1:31">
      <c r="A168" s="1321"/>
      <c r="B168" s="1321"/>
      <c r="C168" s="1321"/>
      <c r="D168" s="1321"/>
      <c r="E168" s="1321"/>
      <c r="F168" s="1321"/>
      <c r="G168" s="1321"/>
      <c r="H168" s="1321"/>
      <c r="I168" s="1321"/>
      <c r="J168" s="1321"/>
      <c r="K168" s="1321"/>
      <c r="L168" s="1321"/>
      <c r="M168" s="1321"/>
      <c r="N168" s="1321"/>
      <c r="O168" s="1321"/>
      <c r="P168" s="1321"/>
      <c r="Q168" s="1321"/>
      <c r="R168" s="1321"/>
      <c r="S168" s="1321"/>
      <c r="T168" s="1321"/>
      <c r="U168" s="1321"/>
      <c r="V168" s="1321"/>
      <c r="W168" s="1321"/>
      <c r="X168" s="1321"/>
      <c r="Y168" s="1321"/>
      <c r="Z168" s="1321"/>
      <c r="AA168" s="1321"/>
      <c r="AB168" s="1321"/>
      <c r="AC168" s="1321"/>
      <c r="AD168" s="1321"/>
      <c r="AE168" s="1321"/>
    </row>
    <row r="169" spans="1:31">
      <c r="A169" s="1321"/>
      <c r="B169" s="1321"/>
      <c r="C169" s="1321"/>
      <c r="D169" s="1321"/>
      <c r="E169" s="1321"/>
      <c r="F169" s="1321"/>
      <c r="G169" s="1321"/>
      <c r="H169" s="1321"/>
      <c r="I169" s="1321"/>
      <c r="J169" s="1321"/>
      <c r="K169" s="1321"/>
      <c r="L169" s="1321"/>
      <c r="M169" s="1321"/>
      <c r="N169" s="1321"/>
      <c r="O169" s="1321"/>
      <c r="P169" s="1321"/>
      <c r="Q169" s="1321"/>
      <c r="R169" s="1321"/>
      <c r="S169" s="1321"/>
      <c r="T169" s="1321"/>
      <c r="U169" s="1321"/>
      <c r="V169" s="1321"/>
      <c r="W169" s="1321"/>
      <c r="X169" s="1321"/>
      <c r="Y169" s="1321"/>
      <c r="Z169" s="1321"/>
      <c r="AA169" s="1321"/>
      <c r="AB169" s="1321"/>
      <c r="AC169" s="1321"/>
      <c r="AD169" s="1321"/>
      <c r="AE169" s="1321"/>
    </row>
    <row r="170" spans="1:31">
      <c r="A170" s="1321"/>
      <c r="B170" s="1321"/>
      <c r="C170" s="1321"/>
      <c r="D170" s="1321"/>
      <c r="E170" s="1321"/>
      <c r="F170" s="1321"/>
      <c r="G170" s="1321"/>
      <c r="H170" s="1321"/>
      <c r="I170" s="1321"/>
      <c r="J170" s="1321"/>
      <c r="K170" s="1321"/>
      <c r="L170" s="1321"/>
      <c r="M170" s="1321"/>
      <c r="N170" s="1321"/>
      <c r="O170" s="1321"/>
      <c r="P170" s="1321"/>
      <c r="Q170" s="1321"/>
      <c r="R170" s="1321"/>
      <c r="S170" s="1321"/>
      <c r="T170" s="1321"/>
      <c r="U170" s="1321"/>
      <c r="V170" s="1321"/>
      <c r="W170" s="1321"/>
      <c r="X170" s="1321"/>
      <c r="Y170" s="1321"/>
      <c r="Z170" s="1321"/>
      <c r="AA170" s="1321"/>
      <c r="AB170" s="1321"/>
      <c r="AC170" s="1321"/>
      <c r="AD170" s="1321"/>
      <c r="AE170" s="1321"/>
    </row>
    <row r="171" spans="1:31">
      <c r="A171" s="1321"/>
      <c r="B171" s="1321"/>
      <c r="C171" s="1321"/>
      <c r="D171" s="1321"/>
      <c r="E171" s="1321"/>
      <c r="F171" s="1321"/>
      <c r="G171" s="1321"/>
      <c r="H171" s="1321"/>
      <c r="I171" s="1321"/>
      <c r="J171" s="1321"/>
      <c r="K171" s="1321"/>
      <c r="L171" s="1321"/>
      <c r="M171" s="1321"/>
      <c r="N171" s="1321"/>
      <c r="O171" s="1321"/>
      <c r="P171" s="1321"/>
      <c r="Q171" s="1321"/>
      <c r="R171" s="1321"/>
      <c r="S171" s="1321"/>
      <c r="T171" s="1321"/>
      <c r="U171" s="1321"/>
      <c r="V171" s="1321"/>
      <c r="W171" s="1321"/>
      <c r="X171" s="1321"/>
      <c r="Y171" s="1321"/>
      <c r="Z171" s="1321"/>
      <c r="AA171" s="1321"/>
      <c r="AB171" s="1321"/>
      <c r="AC171" s="1321"/>
      <c r="AD171" s="1321"/>
      <c r="AE171" s="1321"/>
    </row>
    <row r="172" spans="1:31">
      <c r="A172" s="1321"/>
      <c r="B172" s="1321"/>
      <c r="C172" s="1321"/>
      <c r="D172" s="1321"/>
      <c r="E172" s="1321"/>
      <c r="F172" s="1321"/>
      <c r="G172" s="1321"/>
      <c r="H172" s="1321"/>
      <c r="I172" s="1321"/>
      <c r="J172" s="1321"/>
      <c r="K172" s="1321"/>
      <c r="L172" s="1321"/>
      <c r="M172" s="1321"/>
      <c r="N172" s="1321"/>
      <c r="O172" s="1321"/>
      <c r="P172" s="1321"/>
      <c r="Q172" s="1321"/>
      <c r="R172" s="1321"/>
      <c r="S172" s="1321"/>
      <c r="T172" s="1321"/>
      <c r="U172" s="1321"/>
      <c r="V172" s="1321"/>
      <c r="W172" s="1321"/>
      <c r="X172" s="1321"/>
      <c r="Y172" s="1321"/>
      <c r="Z172" s="1321"/>
      <c r="AA172" s="1321"/>
      <c r="AB172" s="1321"/>
      <c r="AC172" s="1321"/>
      <c r="AD172" s="1321"/>
      <c r="AE172" s="1321"/>
    </row>
    <row r="173" spans="1:31">
      <c r="A173" s="1321"/>
      <c r="B173" s="1321"/>
      <c r="C173" s="1321"/>
      <c r="D173" s="1321"/>
      <c r="E173" s="1321"/>
      <c r="F173" s="1321"/>
      <c r="G173" s="1321"/>
      <c r="H173" s="1321"/>
      <c r="I173" s="1321"/>
      <c r="J173" s="1321"/>
      <c r="K173" s="1321"/>
      <c r="L173" s="1321"/>
      <c r="M173" s="1321"/>
      <c r="N173" s="1321"/>
      <c r="O173" s="1321"/>
      <c r="P173" s="1321"/>
      <c r="Q173" s="1321"/>
      <c r="R173" s="1321"/>
      <c r="S173" s="1321"/>
      <c r="T173" s="1321"/>
      <c r="U173" s="1321"/>
      <c r="V173" s="1321"/>
      <c r="W173" s="1321"/>
      <c r="X173" s="1321"/>
      <c r="Y173" s="1321"/>
      <c r="Z173" s="1321"/>
      <c r="AA173" s="1321"/>
      <c r="AB173" s="1321"/>
      <c r="AC173" s="1321"/>
      <c r="AD173" s="1321"/>
      <c r="AE173" s="1321"/>
    </row>
    <row r="174" spans="1:31">
      <c r="A174" s="1321"/>
      <c r="B174" s="1321"/>
      <c r="C174" s="1321"/>
      <c r="D174" s="1321"/>
      <c r="E174" s="1321"/>
      <c r="F174" s="1321"/>
      <c r="G174" s="1321"/>
      <c r="H174" s="1321"/>
      <c r="I174" s="1321"/>
      <c r="J174" s="1321"/>
      <c r="K174" s="1321"/>
      <c r="L174" s="1321"/>
      <c r="M174" s="1321"/>
      <c r="N174" s="1321"/>
      <c r="O174" s="1321"/>
      <c r="P174" s="1321"/>
      <c r="Q174" s="1321"/>
      <c r="R174" s="1321"/>
      <c r="S174" s="1321"/>
      <c r="T174" s="1321"/>
      <c r="U174" s="1321"/>
      <c r="V174" s="1321"/>
      <c r="W174" s="1321"/>
      <c r="X174" s="1321"/>
      <c r="Y174" s="1321"/>
      <c r="Z174" s="1321"/>
      <c r="AA174" s="1321"/>
      <c r="AB174" s="1321"/>
      <c r="AC174" s="1321"/>
      <c r="AD174" s="1321"/>
      <c r="AE174" s="1321"/>
    </row>
    <row r="175" spans="1:31">
      <c r="A175" s="1321"/>
      <c r="B175" s="1321"/>
      <c r="C175" s="1321"/>
      <c r="D175" s="1321"/>
      <c r="E175" s="1321"/>
      <c r="F175" s="1321"/>
      <c r="G175" s="1321"/>
      <c r="H175" s="1321"/>
      <c r="I175" s="1321"/>
      <c r="J175" s="1321"/>
      <c r="K175" s="1321"/>
      <c r="L175" s="1321"/>
      <c r="M175" s="1321"/>
      <c r="N175" s="1321"/>
      <c r="O175" s="1321"/>
      <c r="P175" s="1321"/>
      <c r="Q175" s="1321"/>
      <c r="R175" s="1321"/>
      <c r="S175" s="1321"/>
      <c r="T175" s="1321"/>
      <c r="U175" s="1321"/>
      <c r="V175" s="1321"/>
      <c r="W175" s="1321"/>
      <c r="X175" s="1321"/>
      <c r="Y175" s="1321"/>
      <c r="Z175" s="1321"/>
      <c r="AA175" s="1321"/>
      <c r="AB175" s="1321"/>
      <c r="AC175" s="1321"/>
      <c r="AD175" s="1321"/>
      <c r="AE175" s="1321"/>
    </row>
    <row r="176" spans="1:31">
      <c r="A176" s="1321"/>
      <c r="B176" s="1321"/>
      <c r="C176" s="1321"/>
      <c r="D176" s="1321"/>
      <c r="E176" s="1321"/>
      <c r="F176" s="1321"/>
      <c r="G176" s="1321"/>
      <c r="H176" s="1321"/>
      <c r="I176" s="1321"/>
      <c r="J176" s="1321"/>
      <c r="K176" s="1321"/>
      <c r="L176" s="1321"/>
      <c r="M176" s="1321"/>
      <c r="N176" s="1321"/>
      <c r="O176" s="1321"/>
      <c r="P176" s="1321"/>
      <c r="Q176" s="1321"/>
      <c r="R176" s="1321"/>
      <c r="S176" s="1321"/>
      <c r="T176" s="1321"/>
      <c r="U176" s="1321"/>
      <c r="V176" s="1321"/>
      <c r="W176" s="1321"/>
      <c r="X176" s="1321"/>
      <c r="Y176" s="1321"/>
      <c r="Z176" s="1321"/>
      <c r="AA176" s="1321"/>
      <c r="AB176" s="1321"/>
      <c r="AC176" s="1321"/>
      <c r="AD176" s="1321"/>
      <c r="AE176" s="1321"/>
    </row>
    <row r="177" spans="1:31">
      <c r="A177" s="1321"/>
      <c r="B177" s="1321"/>
      <c r="C177" s="1321"/>
      <c r="D177" s="1321"/>
      <c r="E177" s="1321"/>
      <c r="F177" s="1321"/>
      <c r="G177" s="1321"/>
      <c r="H177" s="1321"/>
      <c r="I177" s="1321"/>
      <c r="J177" s="1321"/>
      <c r="K177" s="1321"/>
      <c r="L177" s="1321"/>
      <c r="M177" s="1321"/>
      <c r="N177" s="1321"/>
      <c r="O177" s="1321"/>
      <c r="P177" s="1321"/>
      <c r="Q177" s="1321"/>
      <c r="R177" s="1321"/>
      <c r="S177" s="1321"/>
      <c r="T177" s="1321"/>
      <c r="U177" s="1321"/>
      <c r="V177" s="1321"/>
      <c r="W177" s="1321"/>
      <c r="X177" s="1321"/>
      <c r="Y177" s="1321"/>
      <c r="Z177" s="1321"/>
      <c r="AA177" s="1321"/>
      <c r="AB177" s="1321"/>
      <c r="AC177" s="1321"/>
      <c r="AD177" s="1321"/>
      <c r="AE177" s="1321"/>
    </row>
    <row r="178" spans="1:31">
      <c r="A178" s="1321"/>
      <c r="B178" s="1321"/>
      <c r="C178" s="1321"/>
      <c r="D178" s="1321"/>
      <c r="E178" s="1321"/>
      <c r="F178" s="1321"/>
      <c r="G178" s="1321"/>
      <c r="H178" s="1321"/>
      <c r="I178" s="1321"/>
      <c r="J178" s="1321"/>
      <c r="K178" s="1321"/>
      <c r="L178" s="1321"/>
      <c r="M178" s="1321"/>
      <c r="N178" s="1321"/>
      <c r="O178" s="1321"/>
      <c r="P178" s="1321"/>
      <c r="Q178" s="1321"/>
      <c r="R178" s="1321"/>
      <c r="S178" s="1321"/>
      <c r="T178" s="1321"/>
      <c r="U178" s="1321"/>
      <c r="V178" s="1321"/>
      <c r="W178" s="1321"/>
      <c r="X178" s="1321"/>
      <c r="Y178" s="1321"/>
      <c r="Z178" s="1321"/>
      <c r="AA178" s="1321"/>
      <c r="AB178" s="1321"/>
      <c r="AC178" s="1321"/>
      <c r="AD178" s="1321"/>
      <c r="AE178" s="1321"/>
    </row>
    <row r="179" spans="1:31">
      <c r="A179" s="1321"/>
      <c r="B179" s="1321"/>
      <c r="C179" s="1321"/>
      <c r="D179" s="1321"/>
      <c r="E179" s="1321"/>
      <c r="F179" s="1321"/>
      <c r="G179" s="1321"/>
      <c r="H179" s="1321"/>
      <c r="I179" s="1321"/>
      <c r="J179" s="1321"/>
      <c r="K179" s="1321"/>
      <c r="L179" s="1321"/>
      <c r="M179" s="1321"/>
      <c r="N179" s="1321"/>
      <c r="O179" s="1321"/>
      <c r="P179" s="1321"/>
      <c r="Q179" s="1321"/>
      <c r="R179" s="1321"/>
      <c r="S179" s="1321"/>
      <c r="T179" s="1321"/>
      <c r="U179" s="1321"/>
      <c r="V179" s="1321"/>
      <c r="W179" s="1321"/>
      <c r="X179" s="1321"/>
      <c r="Y179" s="1321"/>
      <c r="Z179" s="1321"/>
      <c r="AA179" s="1321"/>
      <c r="AB179" s="1321"/>
      <c r="AC179" s="1321"/>
      <c r="AD179" s="1321"/>
      <c r="AE179" s="1321"/>
    </row>
    <row r="180" spans="1:31">
      <c r="A180" s="1321"/>
      <c r="B180" s="1321"/>
      <c r="C180" s="1321"/>
      <c r="D180" s="1321"/>
      <c r="E180" s="1321"/>
      <c r="F180" s="1321"/>
      <c r="G180" s="1321"/>
      <c r="H180" s="1321"/>
      <c r="I180" s="1321"/>
      <c r="J180" s="1321"/>
      <c r="K180" s="1321"/>
      <c r="L180" s="1321"/>
      <c r="M180" s="1321"/>
      <c r="N180" s="1321"/>
      <c r="O180" s="1321"/>
      <c r="P180" s="1321"/>
      <c r="Q180" s="1321"/>
      <c r="R180" s="1321"/>
      <c r="S180" s="1321"/>
      <c r="T180" s="1321"/>
      <c r="U180" s="1321"/>
      <c r="V180" s="1321"/>
      <c r="W180" s="1321"/>
      <c r="X180" s="1321"/>
      <c r="Y180" s="1321"/>
      <c r="Z180" s="1321"/>
      <c r="AA180" s="1321"/>
      <c r="AB180" s="1321"/>
      <c r="AC180" s="1321"/>
      <c r="AD180" s="1321"/>
      <c r="AE180" s="1321"/>
    </row>
    <row r="181" spans="1:31">
      <c r="A181" s="1321"/>
      <c r="B181" s="1321"/>
      <c r="C181" s="1321"/>
      <c r="D181" s="1321"/>
      <c r="E181" s="1321"/>
      <c r="F181" s="1321"/>
      <c r="G181" s="1321"/>
      <c r="H181" s="1321"/>
      <c r="I181" s="1321"/>
      <c r="J181" s="1321"/>
      <c r="K181" s="1321"/>
      <c r="L181" s="1321"/>
      <c r="M181" s="1321"/>
      <c r="N181" s="1321"/>
      <c r="O181" s="1321"/>
      <c r="P181" s="1321"/>
      <c r="Q181" s="1321"/>
      <c r="R181" s="1321"/>
      <c r="S181" s="1321"/>
      <c r="T181" s="1321"/>
      <c r="U181" s="1321"/>
      <c r="V181" s="1321"/>
      <c r="W181" s="1321"/>
      <c r="X181" s="1321"/>
      <c r="Y181" s="1321"/>
      <c r="Z181" s="1321"/>
      <c r="AA181" s="1321"/>
      <c r="AB181" s="1321"/>
      <c r="AC181" s="1321"/>
      <c r="AD181" s="1321"/>
      <c r="AE181" s="1321"/>
    </row>
    <row r="182" spans="1:31">
      <c r="A182" s="1321"/>
      <c r="B182" s="1321"/>
      <c r="C182" s="1321"/>
      <c r="D182" s="1321"/>
      <c r="E182" s="1321"/>
      <c r="F182" s="1321"/>
      <c r="G182" s="1321"/>
      <c r="H182" s="1321"/>
      <c r="I182" s="1321"/>
      <c r="J182" s="1321"/>
      <c r="K182" s="1321"/>
      <c r="L182" s="1321"/>
      <c r="M182" s="1321"/>
      <c r="N182" s="1321"/>
      <c r="O182" s="1321"/>
      <c r="P182" s="1321"/>
      <c r="Q182" s="1321"/>
      <c r="R182" s="1321"/>
      <c r="S182" s="1321"/>
      <c r="T182" s="1321"/>
      <c r="U182" s="1321"/>
      <c r="V182" s="1321"/>
      <c r="W182" s="1321"/>
      <c r="X182" s="1321"/>
      <c r="Y182" s="1321"/>
      <c r="Z182" s="1321"/>
      <c r="AA182" s="1321"/>
      <c r="AB182" s="1321"/>
      <c r="AC182" s="1321"/>
      <c r="AD182" s="1321"/>
      <c r="AE182" s="1321"/>
    </row>
    <row r="183" spans="1:31">
      <c r="A183" s="1321"/>
      <c r="B183" s="1321"/>
      <c r="C183" s="1321"/>
      <c r="D183" s="1321"/>
      <c r="E183" s="1321"/>
      <c r="F183" s="1321"/>
      <c r="G183" s="1321"/>
      <c r="H183" s="1321"/>
      <c r="I183" s="1321"/>
      <c r="J183" s="1321"/>
      <c r="K183" s="1321"/>
      <c r="L183" s="1321"/>
      <c r="M183" s="1321"/>
      <c r="N183" s="1321"/>
      <c r="O183" s="1321"/>
      <c r="P183" s="1321"/>
      <c r="Q183" s="1321"/>
      <c r="R183" s="1321"/>
      <c r="S183" s="1321"/>
      <c r="T183" s="1321"/>
      <c r="U183" s="1321"/>
      <c r="V183" s="1321"/>
      <c r="W183" s="1321"/>
      <c r="X183" s="1321"/>
      <c r="Y183" s="1321"/>
      <c r="Z183" s="1321"/>
      <c r="AA183" s="1321"/>
      <c r="AB183" s="1321"/>
      <c r="AC183" s="1321"/>
      <c r="AD183" s="1321"/>
      <c r="AE183" s="1321"/>
    </row>
    <row r="184" spans="1:31">
      <c r="A184" s="1321"/>
      <c r="B184" s="1321"/>
      <c r="C184" s="1321"/>
      <c r="D184" s="1321"/>
      <c r="E184" s="1321"/>
      <c r="F184" s="1321"/>
      <c r="G184" s="1321"/>
      <c r="H184" s="1321"/>
      <c r="I184" s="1321"/>
      <c r="J184" s="1321"/>
      <c r="K184" s="1321"/>
      <c r="L184" s="1321"/>
      <c r="M184" s="1321"/>
      <c r="N184" s="1321"/>
      <c r="O184" s="1321"/>
      <c r="P184" s="1321"/>
      <c r="Q184" s="1321"/>
      <c r="R184" s="1321"/>
      <c r="S184" s="1321"/>
      <c r="T184" s="1321"/>
      <c r="U184" s="1321"/>
      <c r="V184" s="1321"/>
      <c r="W184" s="1321"/>
      <c r="X184" s="1321"/>
      <c r="Y184" s="1321"/>
      <c r="Z184" s="1321"/>
      <c r="AA184" s="1321"/>
      <c r="AB184" s="1321"/>
      <c r="AC184" s="1321"/>
      <c r="AD184" s="1321"/>
      <c r="AE184" s="1321"/>
    </row>
    <row r="185" spans="1:31">
      <c r="A185" s="1321"/>
      <c r="B185" s="1321"/>
      <c r="C185" s="1321"/>
      <c r="D185" s="1321"/>
      <c r="E185" s="1321"/>
      <c r="F185" s="1321"/>
      <c r="G185" s="1321"/>
      <c r="H185" s="1321"/>
      <c r="I185" s="1321"/>
      <c r="J185" s="1321"/>
      <c r="K185" s="1321"/>
      <c r="L185" s="1321"/>
      <c r="M185" s="1321"/>
      <c r="N185" s="1321"/>
      <c r="O185" s="1321"/>
      <c r="P185" s="1321"/>
      <c r="Q185" s="1321"/>
      <c r="R185" s="1321"/>
      <c r="S185" s="1321"/>
      <c r="T185" s="1321"/>
      <c r="U185" s="1321"/>
      <c r="V185" s="1321"/>
      <c r="W185" s="1321"/>
      <c r="X185" s="1321"/>
      <c r="Y185" s="1321"/>
      <c r="Z185" s="1321"/>
      <c r="AA185" s="1321"/>
      <c r="AB185" s="1321"/>
      <c r="AC185" s="1321"/>
      <c r="AD185" s="1321"/>
      <c r="AE185" s="1321"/>
    </row>
    <row r="186" spans="1:31">
      <c r="A186" s="1321"/>
      <c r="B186" s="1321"/>
      <c r="C186" s="1321"/>
      <c r="D186" s="1321"/>
      <c r="E186" s="1321"/>
      <c r="F186" s="1321"/>
      <c r="G186" s="1321"/>
      <c r="H186" s="1321"/>
      <c r="I186" s="1321"/>
      <c r="J186" s="1321"/>
      <c r="K186" s="1321"/>
      <c r="L186" s="1321"/>
      <c r="M186" s="1321"/>
      <c r="N186" s="1321"/>
      <c r="O186" s="1321"/>
      <c r="P186" s="1321"/>
      <c r="Q186" s="1321"/>
      <c r="R186" s="1321"/>
      <c r="S186" s="1321"/>
      <c r="T186" s="1321"/>
      <c r="U186" s="1321"/>
      <c r="V186" s="1321"/>
      <c r="W186" s="1321"/>
      <c r="X186" s="1321"/>
      <c r="Y186" s="1321"/>
      <c r="Z186" s="1321"/>
      <c r="AA186" s="1321"/>
      <c r="AB186" s="1321"/>
      <c r="AC186" s="1321"/>
      <c r="AD186" s="1321"/>
      <c r="AE186" s="1321"/>
    </row>
    <row r="187" spans="1:31">
      <c r="A187" s="1321"/>
      <c r="B187" s="1321"/>
      <c r="C187" s="1321"/>
      <c r="D187" s="1321"/>
      <c r="E187" s="1321"/>
      <c r="F187" s="1321"/>
      <c r="G187" s="1321"/>
      <c r="H187" s="1321"/>
      <c r="I187" s="1321"/>
      <c r="J187" s="1321"/>
      <c r="K187" s="1321"/>
      <c r="L187" s="1321"/>
      <c r="M187" s="1321"/>
      <c r="N187" s="1321"/>
      <c r="O187" s="1321"/>
      <c r="P187" s="1321"/>
      <c r="Q187" s="1321"/>
      <c r="R187" s="1321"/>
      <c r="S187" s="1321"/>
      <c r="T187" s="1321"/>
      <c r="U187" s="1321"/>
      <c r="V187" s="1321"/>
      <c r="W187" s="1321"/>
      <c r="X187" s="1321"/>
      <c r="Y187" s="1321"/>
      <c r="Z187" s="1321"/>
      <c r="AA187" s="1321"/>
      <c r="AB187" s="1321"/>
      <c r="AC187" s="1321"/>
      <c r="AD187" s="1321"/>
      <c r="AE187" s="1321"/>
    </row>
    <row r="188" spans="1:31">
      <c r="A188" s="1321"/>
      <c r="B188" s="1321"/>
      <c r="C188" s="1321"/>
      <c r="D188" s="1321"/>
      <c r="E188" s="1321"/>
      <c r="F188" s="1321"/>
      <c r="G188" s="1321"/>
      <c r="H188" s="1321"/>
      <c r="I188" s="1321"/>
      <c r="J188" s="1321"/>
      <c r="K188" s="1321"/>
      <c r="L188" s="1321"/>
      <c r="M188" s="1321"/>
      <c r="N188" s="1321"/>
      <c r="O188" s="1321"/>
      <c r="P188" s="1321"/>
      <c r="Q188" s="1321"/>
      <c r="R188" s="1321"/>
      <c r="S188" s="1321"/>
      <c r="T188" s="1321"/>
      <c r="U188" s="1321"/>
      <c r="V188" s="1321"/>
      <c r="W188" s="1321"/>
      <c r="X188" s="1321"/>
      <c r="Y188" s="1321"/>
      <c r="Z188" s="1321"/>
      <c r="AA188" s="1321"/>
      <c r="AB188" s="1321"/>
      <c r="AC188" s="1321"/>
      <c r="AD188" s="1321"/>
      <c r="AE188" s="1321"/>
    </row>
    <row r="189" spans="1:31">
      <c r="A189" s="1321"/>
      <c r="B189" s="1321"/>
      <c r="C189" s="1321"/>
      <c r="D189" s="1321"/>
      <c r="E189" s="1321"/>
      <c r="F189" s="1321"/>
      <c r="G189" s="1321"/>
      <c r="H189" s="1321"/>
      <c r="I189" s="1321"/>
      <c r="J189" s="1321"/>
      <c r="K189" s="1321"/>
      <c r="L189" s="1321"/>
      <c r="M189" s="1321"/>
      <c r="N189" s="1321"/>
      <c r="O189" s="1321"/>
      <c r="P189" s="1321"/>
      <c r="Q189" s="1321"/>
      <c r="R189" s="1321"/>
      <c r="S189" s="1321"/>
      <c r="T189" s="1321"/>
      <c r="U189" s="1321"/>
      <c r="V189" s="1321"/>
      <c r="W189" s="1321"/>
      <c r="X189" s="1321"/>
      <c r="Y189" s="1321"/>
      <c r="Z189" s="1321"/>
      <c r="AA189" s="1321"/>
      <c r="AB189" s="1321"/>
      <c r="AC189" s="1321"/>
      <c r="AD189" s="1321"/>
      <c r="AE189" s="1321"/>
    </row>
    <row r="190" spans="1:31">
      <c r="A190" s="1321"/>
      <c r="B190" s="1321"/>
      <c r="C190" s="1321"/>
      <c r="D190" s="1321"/>
      <c r="E190" s="1321"/>
      <c r="F190" s="1321"/>
      <c r="G190" s="1321"/>
      <c r="H190" s="1321"/>
      <c r="I190" s="1321"/>
      <c r="J190" s="1321"/>
      <c r="K190" s="1321"/>
      <c r="L190" s="1321"/>
      <c r="M190" s="1321"/>
      <c r="N190" s="1321"/>
      <c r="O190" s="1321"/>
      <c r="P190" s="1321"/>
      <c r="Q190" s="1321"/>
      <c r="R190" s="1321"/>
      <c r="S190" s="1321"/>
      <c r="T190" s="1321"/>
      <c r="U190" s="1321"/>
      <c r="V190" s="1321"/>
      <c r="W190" s="1321"/>
      <c r="X190" s="1321"/>
      <c r="Y190" s="1321"/>
      <c r="Z190" s="1321"/>
      <c r="AA190" s="1321"/>
      <c r="AB190" s="1321"/>
      <c r="AC190" s="1321"/>
      <c r="AD190" s="1321"/>
      <c r="AE190" s="1321"/>
    </row>
    <row r="191" spans="1:31">
      <c r="A191" s="1321"/>
      <c r="B191" s="1321"/>
      <c r="C191" s="1321"/>
      <c r="D191" s="1321"/>
      <c r="E191" s="1321"/>
      <c r="F191" s="1321"/>
      <c r="G191" s="1321"/>
      <c r="H191" s="1321"/>
      <c r="I191" s="1321"/>
      <c r="J191" s="1321"/>
      <c r="K191" s="1321"/>
      <c r="L191" s="1321"/>
      <c r="M191" s="1321"/>
      <c r="N191" s="1321"/>
      <c r="O191" s="1321"/>
      <c r="P191" s="1321"/>
      <c r="Q191" s="1321"/>
      <c r="R191" s="1321"/>
      <c r="S191" s="1321"/>
      <c r="T191" s="1321"/>
      <c r="U191" s="1321"/>
      <c r="V191" s="1321"/>
      <c r="W191" s="1321"/>
      <c r="X191" s="1321"/>
      <c r="Y191" s="1321"/>
      <c r="Z191" s="1321"/>
      <c r="AA191" s="1321"/>
      <c r="AB191" s="1321"/>
      <c r="AC191" s="1321"/>
      <c r="AD191" s="1321"/>
      <c r="AE191" s="1321"/>
    </row>
    <row r="192" spans="1:31">
      <c r="A192" s="1321"/>
      <c r="B192" s="1321"/>
      <c r="C192" s="1321"/>
      <c r="D192" s="1321"/>
      <c r="E192" s="1321"/>
      <c r="F192" s="1321"/>
      <c r="G192" s="1321"/>
      <c r="H192" s="1321"/>
      <c r="I192" s="1321"/>
      <c r="J192" s="1321"/>
      <c r="K192" s="1321"/>
      <c r="L192" s="1321"/>
      <c r="M192" s="1321"/>
      <c r="N192" s="1321"/>
      <c r="O192" s="1321"/>
      <c r="P192" s="1321"/>
      <c r="Q192" s="1321"/>
      <c r="R192" s="1321"/>
      <c r="S192" s="1321"/>
      <c r="T192" s="1321"/>
      <c r="U192" s="1321"/>
      <c r="V192" s="1321"/>
      <c r="W192" s="1321"/>
      <c r="X192" s="1321"/>
      <c r="Y192" s="1321"/>
      <c r="Z192" s="1321"/>
      <c r="AA192" s="1321"/>
      <c r="AB192" s="1321"/>
      <c r="AC192" s="1321"/>
      <c r="AD192" s="1321"/>
      <c r="AE192" s="1321"/>
    </row>
    <row r="193" spans="1:31">
      <c r="A193" s="1321"/>
      <c r="B193" s="1321"/>
      <c r="C193" s="1321"/>
      <c r="D193" s="1321"/>
      <c r="E193" s="1321"/>
      <c r="F193" s="1321"/>
      <c r="G193" s="1321"/>
      <c r="H193" s="1321"/>
      <c r="I193" s="1321"/>
      <c r="J193" s="1321"/>
      <c r="K193" s="1321"/>
      <c r="L193" s="1321"/>
      <c r="M193" s="1321"/>
      <c r="N193" s="1321"/>
      <c r="O193" s="1321"/>
      <c r="P193" s="1321"/>
      <c r="Q193" s="1321"/>
      <c r="R193" s="1321"/>
      <c r="S193" s="1321"/>
      <c r="T193" s="1321"/>
      <c r="U193" s="1321"/>
      <c r="V193" s="1321"/>
      <c r="W193" s="1321"/>
      <c r="X193" s="1321"/>
      <c r="Y193" s="1321"/>
      <c r="Z193" s="1321"/>
      <c r="AA193" s="1321"/>
      <c r="AB193" s="1321"/>
      <c r="AC193" s="1321"/>
      <c r="AD193" s="1321"/>
      <c r="AE193" s="1321"/>
    </row>
    <row r="194" spans="1:31">
      <c r="A194" s="1321"/>
      <c r="B194" s="1321"/>
      <c r="C194" s="1321"/>
      <c r="D194" s="1321"/>
      <c r="E194" s="1321"/>
      <c r="F194" s="1321"/>
      <c r="G194" s="1321"/>
      <c r="H194" s="1321"/>
      <c r="I194" s="1321"/>
      <c r="J194" s="1321"/>
      <c r="K194" s="1321"/>
      <c r="L194" s="1321"/>
      <c r="M194" s="1321"/>
      <c r="N194" s="1321"/>
      <c r="O194" s="1321"/>
      <c r="P194" s="1321"/>
      <c r="Q194" s="1321"/>
      <c r="R194" s="1321"/>
      <c r="S194" s="1321"/>
      <c r="T194" s="1321"/>
      <c r="U194" s="1321"/>
      <c r="V194" s="1321"/>
      <c r="W194" s="1321"/>
      <c r="X194" s="1321"/>
      <c r="Y194" s="1321"/>
      <c r="Z194" s="1321"/>
      <c r="AA194" s="1321"/>
      <c r="AB194" s="1321"/>
      <c r="AC194" s="1321"/>
      <c r="AD194" s="1321"/>
      <c r="AE194" s="1321"/>
    </row>
    <row r="195" spans="1:31">
      <c r="A195" s="1321"/>
      <c r="B195" s="1321"/>
      <c r="C195" s="1321"/>
      <c r="D195" s="1321"/>
      <c r="E195" s="1321"/>
      <c r="F195" s="1321"/>
      <c r="G195" s="1321"/>
      <c r="H195" s="1321"/>
      <c r="I195" s="1321"/>
      <c r="J195" s="1321"/>
      <c r="K195" s="1321"/>
      <c r="L195" s="1321"/>
      <c r="M195" s="1321"/>
      <c r="N195" s="1321"/>
      <c r="O195" s="1321"/>
      <c r="P195" s="1321"/>
      <c r="Q195" s="1321"/>
      <c r="R195" s="1321"/>
      <c r="S195" s="1321"/>
      <c r="T195" s="1321"/>
      <c r="U195" s="1321"/>
      <c r="V195" s="1321"/>
      <c r="W195" s="1321"/>
      <c r="X195" s="1321"/>
      <c r="Y195" s="1321"/>
      <c r="Z195" s="1321"/>
      <c r="AA195" s="1321"/>
      <c r="AB195" s="1321"/>
      <c r="AC195" s="1321"/>
      <c r="AD195" s="1321"/>
      <c r="AE195" s="1321"/>
    </row>
    <row r="196" spans="1:31">
      <c r="A196" s="1321"/>
      <c r="B196" s="1321"/>
      <c r="C196" s="1321"/>
      <c r="D196" s="1321"/>
      <c r="E196" s="1321"/>
      <c r="F196" s="1321"/>
      <c r="G196" s="1321"/>
      <c r="H196" s="1321"/>
      <c r="I196" s="1321"/>
      <c r="J196" s="1321"/>
      <c r="K196" s="1321"/>
      <c r="L196" s="1321"/>
      <c r="M196" s="1321"/>
      <c r="N196" s="1321"/>
      <c r="O196" s="1321"/>
      <c r="P196" s="1321"/>
      <c r="Q196" s="1321"/>
      <c r="R196" s="1321"/>
      <c r="S196" s="1321"/>
      <c r="T196" s="1321"/>
      <c r="U196" s="1321"/>
      <c r="V196" s="1321"/>
      <c r="W196" s="1321"/>
      <c r="X196" s="1321"/>
      <c r="Y196" s="1321"/>
      <c r="Z196" s="1321"/>
      <c r="AA196" s="1321"/>
      <c r="AB196" s="1321"/>
      <c r="AC196" s="1321"/>
      <c r="AD196" s="1321"/>
      <c r="AE196" s="1321"/>
    </row>
    <row r="197" spans="1:31">
      <c r="A197" s="1321"/>
      <c r="B197" s="1321"/>
      <c r="C197" s="1321"/>
      <c r="D197" s="1321"/>
      <c r="E197" s="1321"/>
      <c r="F197" s="1321"/>
      <c r="G197" s="1321"/>
      <c r="H197" s="1321"/>
      <c r="I197" s="1321"/>
      <c r="J197" s="1321"/>
      <c r="K197" s="1321"/>
      <c r="L197" s="1321"/>
      <c r="M197" s="1321"/>
      <c r="N197" s="1321"/>
      <c r="O197" s="1321"/>
      <c r="P197" s="1321"/>
      <c r="Q197" s="1321"/>
      <c r="R197" s="1321"/>
      <c r="S197" s="1321"/>
      <c r="T197" s="1321"/>
      <c r="U197" s="1321"/>
      <c r="V197" s="1321"/>
      <c r="W197" s="1321"/>
      <c r="X197" s="1321"/>
      <c r="Y197" s="1321"/>
      <c r="Z197" s="1321"/>
      <c r="AA197" s="1321"/>
      <c r="AB197" s="1321"/>
      <c r="AC197" s="1321"/>
      <c r="AD197" s="1321"/>
      <c r="AE197" s="1321"/>
    </row>
    <row r="198" spans="1:31">
      <c r="A198" s="1321"/>
      <c r="B198" s="1321"/>
      <c r="C198" s="1321"/>
      <c r="D198" s="1321"/>
      <c r="E198" s="1321"/>
      <c r="F198" s="1321"/>
      <c r="G198" s="1321"/>
      <c r="H198" s="1321"/>
      <c r="I198" s="1321"/>
      <c r="J198" s="1321"/>
      <c r="K198" s="1321"/>
      <c r="L198" s="1321"/>
      <c r="M198" s="1321"/>
      <c r="N198" s="1321"/>
      <c r="O198" s="1321"/>
      <c r="P198" s="1321"/>
      <c r="Q198" s="1321"/>
      <c r="R198" s="1321"/>
      <c r="S198" s="1321"/>
      <c r="T198" s="1321"/>
      <c r="U198" s="1321"/>
      <c r="V198" s="1321"/>
      <c r="W198" s="1321"/>
      <c r="X198" s="1321"/>
      <c r="Y198" s="1321"/>
      <c r="Z198" s="1321"/>
      <c r="AA198" s="1321"/>
      <c r="AB198" s="1321"/>
      <c r="AC198" s="1321"/>
      <c r="AD198" s="1321"/>
      <c r="AE198" s="1321"/>
    </row>
    <row r="199" spans="1:31">
      <c r="A199" s="1321"/>
      <c r="B199" s="1321"/>
      <c r="C199" s="1321"/>
      <c r="D199" s="1321"/>
      <c r="E199" s="1321"/>
      <c r="F199" s="1321"/>
      <c r="G199" s="1321"/>
      <c r="H199" s="1321"/>
      <c r="I199" s="1321"/>
      <c r="J199" s="1321"/>
      <c r="K199" s="1321"/>
      <c r="L199" s="1321"/>
      <c r="M199" s="1321"/>
      <c r="N199" s="1321"/>
      <c r="O199" s="1321"/>
      <c r="P199" s="1321"/>
      <c r="Q199" s="1321"/>
      <c r="R199" s="1321"/>
      <c r="S199" s="1321"/>
      <c r="T199" s="1321"/>
      <c r="U199" s="1321"/>
      <c r="V199" s="1321"/>
      <c r="W199" s="1321"/>
      <c r="X199" s="1321"/>
      <c r="Y199" s="1321"/>
      <c r="Z199" s="1321"/>
      <c r="AA199" s="1321"/>
      <c r="AB199" s="1321"/>
      <c r="AC199" s="1321"/>
      <c r="AD199" s="1321"/>
      <c r="AE199" s="1321"/>
    </row>
    <row r="200" spans="1:31">
      <c r="A200" s="1321"/>
      <c r="B200" s="1321"/>
      <c r="C200" s="1321"/>
      <c r="D200" s="1321"/>
      <c r="E200" s="1321"/>
      <c r="F200" s="1321"/>
      <c r="G200" s="1321"/>
      <c r="H200" s="1321"/>
      <c r="I200" s="1321"/>
      <c r="J200" s="1321"/>
      <c r="K200" s="1321"/>
      <c r="L200" s="1321"/>
      <c r="M200" s="1321"/>
      <c r="N200" s="1321"/>
      <c r="O200" s="1321"/>
      <c r="P200" s="1321"/>
      <c r="Q200" s="1321"/>
      <c r="R200" s="1321"/>
      <c r="S200" s="1321"/>
      <c r="T200" s="1321"/>
      <c r="U200" s="1321"/>
      <c r="V200" s="1321"/>
      <c r="W200" s="1321"/>
      <c r="X200" s="1321"/>
      <c r="Y200" s="1321"/>
      <c r="Z200" s="1321"/>
      <c r="AA200" s="1321"/>
      <c r="AB200" s="1321"/>
      <c r="AC200" s="1321"/>
      <c r="AD200" s="1321"/>
      <c r="AE200" s="1321"/>
    </row>
    <row r="201" spans="1:31">
      <c r="A201" s="1321"/>
      <c r="B201" s="1321"/>
      <c r="C201" s="1321"/>
      <c r="D201" s="1321"/>
      <c r="E201" s="1321"/>
      <c r="F201" s="1321"/>
      <c r="G201" s="1321"/>
      <c r="H201" s="1321"/>
      <c r="I201" s="1321"/>
      <c r="J201" s="1321"/>
      <c r="K201" s="1321"/>
      <c r="L201" s="1321"/>
      <c r="M201" s="1321"/>
      <c r="N201" s="1321"/>
      <c r="O201" s="1321"/>
      <c r="P201" s="1321"/>
      <c r="Q201" s="1321"/>
      <c r="R201" s="1321"/>
      <c r="S201" s="1321"/>
      <c r="T201" s="1321"/>
      <c r="U201" s="1321"/>
      <c r="V201" s="1321"/>
      <c r="W201" s="1321"/>
      <c r="X201" s="1321"/>
      <c r="Y201" s="1321"/>
      <c r="Z201" s="1321"/>
      <c r="AA201" s="1321"/>
      <c r="AB201" s="1321"/>
      <c r="AC201" s="1321"/>
      <c r="AD201" s="1321"/>
      <c r="AE201" s="1321"/>
    </row>
    <row r="202" spans="1:31">
      <c r="A202" s="1321"/>
      <c r="B202" s="1321"/>
      <c r="C202" s="1321"/>
      <c r="D202" s="1321"/>
      <c r="E202" s="1321"/>
      <c r="F202" s="1321"/>
      <c r="G202" s="1321"/>
      <c r="H202" s="1321"/>
      <c r="I202" s="1321"/>
      <c r="J202" s="1321"/>
      <c r="K202" s="1321"/>
      <c r="L202" s="1321"/>
      <c r="M202" s="1321"/>
      <c r="N202" s="1321"/>
      <c r="O202" s="1321"/>
      <c r="P202" s="1321"/>
      <c r="Q202" s="1321"/>
      <c r="R202" s="1321"/>
      <c r="S202" s="1321"/>
      <c r="T202" s="1321"/>
      <c r="U202" s="1321"/>
      <c r="V202" s="1321"/>
      <c r="W202" s="1321"/>
      <c r="X202" s="1321"/>
      <c r="Y202" s="1321"/>
      <c r="Z202" s="1321"/>
      <c r="AA202" s="1321"/>
      <c r="AB202" s="1321"/>
      <c r="AC202" s="1321"/>
      <c r="AD202" s="1321"/>
      <c r="AE202" s="1321"/>
    </row>
    <row r="203" spans="1:31">
      <c r="A203" s="1321"/>
      <c r="B203" s="1321"/>
      <c r="C203" s="1321"/>
      <c r="D203" s="1321"/>
      <c r="E203" s="1321"/>
      <c r="F203" s="1321"/>
      <c r="G203" s="1321"/>
      <c r="H203" s="1321"/>
      <c r="I203" s="1321"/>
      <c r="J203" s="1321"/>
      <c r="K203" s="1321"/>
      <c r="L203" s="1321"/>
      <c r="M203" s="1321"/>
      <c r="N203" s="1321"/>
      <c r="O203" s="1321"/>
      <c r="P203" s="1321"/>
      <c r="Q203" s="1321"/>
      <c r="R203" s="1321"/>
      <c r="S203" s="1321"/>
      <c r="T203" s="1321"/>
      <c r="U203" s="1321"/>
      <c r="V203" s="1321"/>
      <c r="W203" s="1321"/>
      <c r="X203" s="1321"/>
      <c r="Y203" s="1321"/>
      <c r="Z203" s="1321"/>
      <c r="AA203" s="1321"/>
      <c r="AB203" s="1321"/>
      <c r="AC203" s="1321"/>
      <c r="AD203" s="1321"/>
      <c r="AE203" s="1321"/>
    </row>
    <row r="204" spans="1:31">
      <c r="A204" s="1321"/>
      <c r="B204" s="1321"/>
      <c r="C204" s="1321"/>
      <c r="D204" s="1321"/>
      <c r="E204" s="1321"/>
      <c r="F204" s="1321"/>
      <c r="G204" s="1321"/>
      <c r="H204" s="1321"/>
      <c r="I204" s="1321"/>
      <c r="J204" s="1321"/>
      <c r="K204" s="1321"/>
      <c r="L204" s="1321"/>
      <c r="M204" s="1321"/>
      <c r="N204" s="1321"/>
      <c r="O204" s="1321"/>
      <c r="P204" s="1321"/>
      <c r="Q204" s="1321"/>
      <c r="R204" s="1321"/>
      <c r="S204" s="1321"/>
      <c r="T204" s="1321"/>
      <c r="U204" s="1321"/>
      <c r="V204" s="1321"/>
      <c r="W204" s="1321"/>
      <c r="X204" s="1321"/>
      <c r="Y204" s="1321"/>
      <c r="Z204" s="1321"/>
      <c r="AA204" s="1321"/>
      <c r="AB204" s="1321"/>
      <c r="AC204" s="1321"/>
      <c r="AD204" s="1321"/>
      <c r="AE204" s="1321"/>
    </row>
    <row r="205" spans="1:31">
      <c r="A205" s="1321"/>
      <c r="B205" s="1321"/>
      <c r="C205" s="1321"/>
      <c r="D205" s="1321"/>
      <c r="E205" s="1321"/>
      <c r="F205" s="1321"/>
      <c r="G205" s="1321"/>
      <c r="H205" s="1321"/>
      <c r="I205" s="1321"/>
      <c r="J205" s="1321"/>
      <c r="K205" s="1321"/>
      <c r="L205" s="1321"/>
      <c r="M205" s="1321"/>
      <c r="N205" s="1321"/>
      <c r="O205" s="1321"/>
      <c r="P205" s="1321"/>
      <c r="Q205" s="1321"/>
      <c r="R205" s="1321"/>
      <c r="S205" s="1321"/>
      <c r="T205" s="1321"/>
      <c r="U205" s="1321"/>
      <c r="V205" s="1321"/>
      <c r="W205" s="1321"/>
      <c r="X205" s="1321"/>
      <c r="Y205" s="1321"/>
      <c r="Z205" s="1321"/>
      <c r="AA205" s="1321"/>
      <c r="AB205" s="1321"/>
      <c r="AC205" s="1321"/>
      <c r="AD205" s="1321"/>
      <c r="AE205" s="1321"/>
    </row>
    <row r="206" spans="1:31">
      <c r="A206" s="1321"/>
      <c r="B206" s="1321"/>
      <c r="C206" s="1321"/>
      <c r="D206" s="1321"/>
      <c r="E206" s="1321"/>
      <c r="F206" s="1321"/>
      <c r="G206" s="1321"/>
      <c r="H206" s="1321"/>
      <c r="I206" s="1321"/>
      <c r="J206" s="1321"/>
      <c r="K206" s="1321"/>
      <c r="L206" s="1321"/>
      <c r="M206" s="1321"/>
      <c r="N206" s="1321"/>
      <c r="O206" s="1321"/>
      <c r="P206" s="1321"/>
      <c r="Q206" s="1321"/>
      <c r="R206" s="1321"/>
      <c r="S206" s="1321"/>
      <c r="T206" s="1321"/>
      <c r="U206" s="1321"/>
      <c r="V206" s="1321"/>
      <c r="W206" s="1321"/>
      <c r="X206" s="1321"/>
      <c r="Y206" s="1321"/>
      <c r="Z206" s="1321"/>
      <c r="AA206" s="1321"/>
      <c r="AB206" s="1321"/>
      <c r="AC206" s="1321"/>
      <c r="AD206" s="1321"/>
      <c r="AE206" s="1321"/>
    </row>
    <row r="207" spans="1:31">
      <c r="A207" s="1321"/>
      <c r="B207" s="1321"/>
      <c r="C207" s="1321"/>
      <c r="D207" s="1321"/>
      <c r="E207" s="1321"/>
      <c r="F207" s="1321"/>
      <c r="G207" s="1321"/>
      <c r="H207" s="1321"/>
      <c r="I207" s="1321"/>
      <c r="J207" s="1321"/>
      <c r="K207" s="1321"/>
      <c r="L207" s="1321"/>
      <c r="M207" s="1321"/>
      <c r="N207" s="1321"/>
      <c r="O207" s="1321"/>
      <c r="P207" s="1321"/>
      <c r="Q207" s="1321"/>
      <c r="R207" s="1321"/>
      <c r="S207" s="1321"/>
      <c r="T207" s="1321"/>
      <c r="U207" s="1321"/>
      <c r="V207" s="1321"/>
      <c r="W207" s="1321"/>
      <c r="X207" s="1321"/>
      <c r="Y207" s="1321"/>
      <c r="Z207" s="1321"/>
      <c r="AA207" s="1321"/>
      <c r="AB207" s="1321"/>
      <c r="AC207" s="1321"/>
      <c r="AD207" s="1321"/>
      <c r="AE207" s="1321"/>
    </row>
    <row r="208" spans="1:31">
      <c r="A208" s="1321"/>
      <c r="B208" s="1321"/>
      <c r="C208" s="1321"/>
      <c r="D208" s="1321"/>
      <c r="E208" s="1321"/>
      <c r="F208" s="1321"/>
      <c r="G208" s="1321"/>
      <c r="H208" s="1321"/>
      <c r="I208" s="1321"/>
      <c r="J208" s="1321"/>
      <c r="K208" s="1321"/>
      <c r="L208" s="1321"/>
      <c r="M208" s="1321"/>
      <c r="N208" s="1321"/>
      <c r="O208" s="1321"/>
      <c r="P208" s="1321"/>
      <c r="Q208" s="1321"/>
      <c r="R208" s="1321"/>
      <c r="S208" s="1321"/>
      <c r="T208" s="1321"/>
      <c r="U208" s="1321"/>
      <c r="V208" s="1321"/>
      <c r="W208" s="1321"/>
      <c r="X208" s="1321"/>
      <c r="Y208" s="1321"/>
      <c r="Z208" s="1321"/>
      <c r="AA208" s="1321"/>
      <c r="AB208" s="1321"/>
      <c r="AC208" s="1321"/>
      <c r="AD208" s="1321"/>
      <c r="AE208" s="1321"/>
    </row>
    <row r="209" spans="1:31">
      <c r="A209" s="1321"/>
      <c r="B209" s="1321"/>
      <c r="C209" s="1321"/>
      <c r="D209" s="1321"/>
      <c r="E209" s="1321"/>
      <c r="F209" s="1321"/>
      <c r="G209" s="1321"/>
      <c r="H209" s="1321"/>
      <c r="I209" s="1321"/>
      <c r="J209" s="1321"/>
      <c r="K209" s="1321"/>
      <c r="L209" s="1321"/>
      <c r="M209" s="1321"/>
      <c r="N209" s="1321"/>
      <c r="O209" s="1321"/>
      <c r="P209" s="1321"/>
      <c r="Q209" s="1321"/>
      <c r="R209" s="1321"/>
      <c r="S209" s="1321"/>
      <c r="T209" s="1321"/>
      <c r="U209" s="1321"/>
      <c r="V209" s="1321"/>
      <c r="W209" s="1321"/>
      <c r="X209" s="1321"/>
      <c r="Y209" s="1321"/>
      <c r="Z209" s="1321"/>
      <c r="AA209" s="1321"/>
      <c r="AB209" s="1321"/>
      <c r="AC209" s="1321"/>
      <c r="AD209" s="1321"/>
      <c r="AE209" s="1321"/>
    </row>
    <row r="210" spans="1:31">
      <c r="A210" s="1321"/>
      <c r="B210" s="1321"/>
      <c r="C210" s="1321"/>
      <c r="D210" s="1321"/>
      <c r="E210" s="1321"/>
      <c r="F210" s="1321"/>
      <c r="G210" s="1321"/>
      <c r="H210" s="1321"/>
      <c r="I210" s="1321"/>
      <c r="J210" s="1321"/>
      <c r="K210" s="1321"/>
      <c r="L210" s="1321"/>
      <c r="M210" s="1321"/>
      <c r="N210" s="1321"/>
      <c r="O210" s="1321"/>
      <c r="P210" s="1321"/>
      <c r="Q210" s="1321"/>
      <c r="R210" s="1321"/>
      <c r="S210" s="1321"/>
      <c r="T210" s="1321"/>
      <c r="U210" s="1321"/>
      <c r="V210" s="1321"/>
      <c r="W210" s="1321"/>
      <c r="X210" s="1321"/>
      <c r="Y210" s="1321"/>
      <c r="Z210" s="1321"/>
      <c r="AA210" s="1321"/>
      <c r="AB210" s="1321"/>
      <c r="AC210" s="1321"/>
      <c r="AD210" s="1321"/>
      <c r="AE210" s="1321"/>
    </row>
    <row r="211" spans="1:31">
      <c r="A211" s="1321"/>
      <c r="B211" s="1321"/>
      <c r="C211" s="1321"/>
      <c r="D211" s="1321"/>
      <c r="E211" s="1321"/>
      <c r="F211" s="1321"/>
      <c r="G211" s="1321"/>
      <c r="H211" s="1321"/>
      <c r="I211" s="1321"/>
      <c r="J211" s="1321"/>
      <c r="K211" s="1321"/>
      <c r="L211" s="1321"/>
      <c r="M211" s="1321"/>
      <c r="N211" s="1321"/>
      <c r="O211" s="1321"/>
      <c r="P211" s="1321"/>
      <c r="Q211" s="1321"/>
      <c r="R211" s="1321"/>
      <c r="S211" s="1321"/>
      <c r="T211" s="1321"/>
      <c r="U211" s="1321"/>
      <c r="V211" s="1321"/>
      <c r="W211" s="1321"/>
      <c r="X211" s="1321"/>
      <c r="Y211" s="1321"/>
      <c r="Z211" s="1321"/>
      <c r="AA211" s="1321"/>
      <c r="AB211" s="1321"/>
      <c r="AC211" s="1321"/>
      <c r="AD211" s="1321"/>
      <c r="AE211" s="1321"/>
    </row>
    <row r="212" spans="1:31">
      <c r="A212" s="1321"/>
      <c r="B212" s="1321"/>
      <c r="C212" s="1321"/>
      <c r="D212" s="1321"/>
      <c r="E212" s="1321"/>
      <c r="F212" s="1321"/>
      <c r="G212" s="1321"/>
      <c r="H212" s="1321"/>
      <c r="I212" s="1321"/>
      <c r="J212" s="1321"/>
      <c r="K212" s="1321"/>
      <c r="L212" s="1321"/>
      <c r="M212" s="1321"/>
      <c r="N212" s="1321"/>
      <c r="O212" s="1321"/>
      <c r="P212" s="1321"/>
      <c r="Q212" s="1321"/>
      <c r="R212" s="1321"/>
      <c r="S212" s="1321"/>
      <c r="T212" s="1321"/>
      <c r="U212" s="1321"/>
      <c r="V212" s="1321"/>
      <c r="W212" s="1321"/>
      <c r="X212" s="1321"/>
      <c r="Y212" s="1321"/>
      <c r="Z212" s="1321"/>
      <c r="AA212" s="1321"/>
      <c r="AB212" s="1321"/>
      <c r="AC212" s="1321"/>
      <c r="AD212" s="1321"/>
      <c r="AE212" s="1321"/>
    </row>
    <row r="213" spans="1:31">
      <c r="A213" s="1321"/>
      <c r="B213" s="1321"/>
      <c r="C213" s="1321"/>
      <c r="D213" s="1321"/>
      <c r="E213" s="1321"/>
      <c r="F213" s="1321"/>
      <c r="G213" s="1321"/>
      <c r="H213" s="1321"/>
      <c r="I213" s="1321"/>
      <c r="J213" s="1321"/>
      <c r="K213" s="1321"/>
      <c r="L213" s="1321"/>
      <c r="M213" s="1321"/>
      <c r="N213" s="1321"/>
      <c r="O213" s="1321"/>
      <c r="P213" s="1321"/>
      <c r="Q213" s="1321"/>
      <c r="R213" s="1321"/>
      <c r="S213" s="1321"/>
      <c r="T213" s="1321"/>
      <c r="U213" s="1321"/>
      <c r="V213" s="1321"/>
      <c r="W213" s="1321"/>
      <c r="X213" s="1321"/>
      <c r="Y213" s="1321"/>
      <c r="Z213" s="1321"/>
      <c r="AA213" s="1321"/>
      <c r="AB213" s="1321"/>
      <c r="AC213" s="1321"/>
      <c r="AD213" s="1321"/>
      <c r="AE213" s="1321"/>
    </row>
    <row r="214" spans="1:31">
      <c r="A214" s="1321"/>
      <c r="B214" s="1321"/>
      <c r="C214" s="1321"/>
      <c r="D214" s="1321"/>
      <c r="E214" s="1321"/>
      <c r="F214" s="1321"/>
      <c r="G214" s="1321"/>
      <c r="H214" s="1321"/>
      <c r="I214" s="1321"/>
      <c r="J214" s="1321"/>
      <c r="K214" s="1321"/>
      <c r="L214" s="1321"/>
      <c r="M214" s="1321"/>
      <c r="N214" s="1321"/>
      <c r="O214" s="1321"/>
      <c r="P214" s="1321"/>
      <c r="Q214" s="1321"/>
      <c r="R214" s="1321"/>
      <c r="S214" s="1321"/>
      <c r="T214" s="1321"/>
      <c r="U214" s="1321"/>
      <c r="V214" s="1321"/>
      <c r="W214" s="1321"/>
      <c r="X214" s="1321"/>
      <c r="Y214" s="1321"/>
      <c r="Z214" s="1321"/>
      <c r="AA214" s="1321"/>
      <c r="AB214" s="1321"/>
      <c r="AC214" s="1321"/>
      <c r="AD214" s="1321"/>
      <c r="AE214" s="1321"/>
    </row>
    <row r="215" spans="1:31">
      <c r="A215" s="1321"/>
      <c r="B215" s="1321"/>
      <c r="C215" s="1321"/>
      <c r="D215" s="1321"/>
      <c r="E215" s="1321"/>
      <c r="F215" s="1321"/>
      <c r="G215" s="1321"/>
      <c r="H215" s="1321"/>
      <c r="I215" s="1321"/>
      <c r="J215" s="1321"/>
      <c r="K215" s="1321"/>
      <c r="L215" s="1321"/>
      <c r="M215" s="1321"/>
      <c r="N215" s="1321"/>
      <c r="O215" s="1321"/>
      <c r="P215" s="1321"/>
      <c r="Q215" s="1321"/>
      <c r="R215" s="1321"/>
      <c r="S215" s="1321"/>
      <c r="T215" s="1321"/>
      <c r="U215" s="1321"/>
      <c r="V215" s="1321"/>
      <c r="W215" s="1321"/>
      <c r="X215" s="1321"/>
      <c r="Y215" s="1321"/>
      <c r="Z215" s="1321"/>
      <c r="AA215" s="1321"/>
      <c r="AB215" s="1321"/>
      <c r="AC215" s="1321"/>
      <c r="AD215" s="1321"/>
      <c r="AE215" s="1321"/>
    </row>
    <row r="216" spans="1:31">
      <c r="A216" s="1321"/>
      <c r="B216" s="1321"/>
      <c r="C216" s="1321"/>
      <c r="D216" s="1321"/>
      <c r="E216" s="1321"/>
      <c r="F216" s="1321"/>
      <c r="G216" s="1321"/>
      <c r="H216" s="1321"/>
      <c r="I216" s="1321"/>
      <c r="J216" s="1321"/>
      <c r="K216" s="1321"/>
      <c r="L216" s="1321"/>
      <c r="M216" s="1321"/>
      <c r="N216" s="1321"/>
      <c r="O216" s="1321"/>
      <c r="P216" s="1321"/>
      <c r="Q216" s="1321"/>
      <c r="R216" s="1321"/>
      <c r="S216" s="1321"/>
      <c r="T216" s="1321"/>
      <c r="U216" s="1321"/>
      <c r="V216" s="1321"/>
      <c r="W216" s="1321"/>
      <c r="X216" s="1321"/>
      <c r="Y216" s="1321"/>
      <c r="Z216" s="1321"/>
      <c r="AA216" s="1321"/>
      <c r="AB216" s="1321"/>
      <c r="AC216" s="1321"/>
      <c r="AD216" s="1321"/>
      <c r="AE216" s="1321"/>
    </row>
    <row r="217" spans="1:31">
      <c r="A217" s="1321"/>
      <c r="B217" s="1321"/>
      <c r="C217" s="1321"/>
      <c r="D217" s="1321"/>
      <c r="E217" s="1321"/>
      <c r="F217" s="1321"/>
      <c r="G217" s="1321"/>
      <c r="H217" s="1321"/>
      <c r="I217" s="1321"/>
      <c r="J217" s="1321"/>
      <c r="K217" s="1321"/>
      <c r="L217" s="1321"/>
      <c r="M217" s="1321"/>
      <c r="N217" s="1321"/>
      <c r="O217" s="1321"/>
      <c r="P217" s="1321"/>
      <c r="Q217" s="1321"/>
      <c r="R217" s="1321"/>
      <c r="S217" s="1321"/>
      <c r="T217" s="1321"/>
      <c r="U217" s="1321"/>
      <c r="V217" s="1321"/>
      <c r="W217" s="1321"/>
      <c r="X217" s="1321"/>
      <c r="Y217" s="1321"/>
      <c r="Z217" s="1321"/>
      <c r="AA217" s="1321"/>
      <c r="AB217" s="1321"/>
      <c r="AC217" s="1321"/>
      <c r="AD217" s="1321"/>
      <c r="AE217" s="1321"/>
    </row>
    <row r="218" spans="1:31">
      <c r="A218" s="1321"/>
      <c r="B218" s="1321"/>
      <c r="C218" s="1321"/>
      <c r="D218" s="1321"/>
      <c r="E218" s="1321"/>
      <c r="F218" s="1321"/>
      <c r="G218" s="1321"/>
      <c r="H218" s="1321"/>
      <c r="I218" s="1321"/>
      <c r="J218" s="1321"/>
      <c r="K218" s="1321"/>
      <c r="L218" s="1321"/>
      <c r="M218" s="1321"/>
      <c r="N218" s="1321"/>
      <c r="O218" s="1321"/>
      <c r="P218" s="1321"/>
      <c r="Q218" s="1321"/>
      <c r="R218" s="1321"/>
      <c r="S218" s="1321"/>
      <c r="T218" s="1321"/>
      <c r="U218" s="1321"/>
      <c r="V218" s="1321"/>
      <c r="W218" s="1321"/>
      <c r="X218" s="1321"/>
      <c r="Y218" s="1321"/>
      <c r="Z218" s="1321"/>
      <c r="AA218" s="1321"/>
      <c r="AB218" s="1321"/>
      <c r="AC218" s="1321"/>
      <c r="AD218" s="1321"/>
      <c r="AE218" s="1321"/>
    </row>
    <row r="219" spans="1:31">
      <c r="A219" s="1321"/>
      <c r="B219" s="1321"/>
      <c r="C219" s="1321"/>
      <c r="D219" s="1321"/>
      <c r="E219" s="1321"/>
      <c r="F219" s="1321"/>
      <c r="G219" s="1321"/>
      <c r="H219" s="1321"/>
      <c r="I219" s="1321"/>
      <c r="J219" s="1321"/>
      <c r="K219" s="1321"/>
      <c r="L219" s="1321"/>
      <c r="M219" s="1321"/>
      <c r="N219" s="1321"/>
      <c r="O219" s="1321"/>
      <c r="P219" s="1321"/>
      <c r="Q219" s="1321"/>
      <c r="R219" s="1321"/>
      <c r="S219" s="1321"/>
      <c r="T219" s="1321"/>
      <c r="U219" s="1321"/>
      <c r="V219" s="1321"/>
      <c r="W219" s="1321"/>
      <c r="X219" s="1321"/>
      <c r="Y219" s="1321"/>
      <c r="Z219" s="1321"/>
      <c r="AA219" s="1321"/>
      <c r="AB219" s="1321"/>
      <c r="AC219" s="1321"/>
      <c r="AD219" s="1321"/>
      <c r="AE219" s="1321"/>
    </row>
    <row r="220" spans="1:31">
      <c r="A220" s="1321"/>
      <c r="B220" s="1321"/>
      <c r="C220" s="1321"/>
      <c r="D220" s="1321"/>
      <c r="E220" s="1321"/>
      <c r="F220" s="1321"/>
      <c r="G220" s="1321"/>
      <c r="H220" s="1321"/>
      <c r="I220" s="1321"/>
      <c r="J220" s="1321"/>
      <c r="K220" s="1321"/>
      <c r="L220" s="1321"/>
      <c r="M220" s="1321"/>
      <c r="N220" s="1321"/>
      <c r="O220" s="1321"/>
      <c r="P220" s="1321"/>
      <c r="Q220" s="1321"/>
      <c r="R220" s="1321"/>
      <c r="S220" s="1321"/>
      <c r="T220" s="1321"/>
      <c r="U220" s="1321"/>
      <c r="V220" s="1321"/>
      <c r="W220" s="1321"/>
      <c r="X220" s="1321"/>
      <c r="Y220" s="1321"/>
      <c r="Z220" s="1321"/>
      <c r="AA220" s="1321"/>
      <c r="AB220" s="1321"/>
      <c r="AC220" s="1321"/>
      <c r="AD220" s="1321"/>
      <c r="AE220" s="1321"/>
    </row>
    <row r="221" spans="1:31">
      <c r="A221" s="1321"/>
      <c r="B221" s="1321"/>
      <c r="C221" s="1321"/>
      <c r="D221" s="1321"/>
      <c r="E221" s="1321"/>
      <c r="F221" s="1321"/>
      <c r="G221" s="1321"/>
      <c r="H221" s="1321"/>
      <c r="I221" s="1321"/>
      <c r="J221" s="1321"/>
      <c r="K221" s="1321"/>
      <c r="L221" s="1321"/>
      <c r="M221" s="1321"/>
      <c r="N221" s="1321"/>
      <c r="O221" s="1321"/>
      <c r="P221" s="1321"/>
      <c r="Q221" s="1321"/>
      <c r="R221" s="1321"/>
      <c r="S221" s="1321"/>
      <c r="T221" s="1321"/>
      <c r="U221" s="1321"/>
      <c r="V221" s="1321"/>
      <c r="W221" s="1321"/>
      <c r="X221" s="1321"/>
      <c r="Y221" s="1321"/>
      <c r="Z221" s="1321"/>
      <c r="AA221" s="1321"/>
      <c r="AB221" s="1321"/>
      <c r="AC221" s="1321"/>
      <c r="AD221" s="1321"/>
      <c r="AE221" s="1321"/>
    </row>
    <row r="222" spans="1:31">
      <c r="A222" s="1321"/>
      <c r="B222" s="1321"/>
      <c r="C222" s="1321"/>
      <c r="D222" s="1321"/>
      <c r="E222" s="1321"/>
      <c r="F222" s="1321"/>
      <c r="G222" s="1321"/>
      <c r="H222" s="1321"/>
      <c r="I222" s="1321"/>
      <c r="J222" s="1321"/>
      <c r="K222" s="1321"/>
      <c r="L222" s="1321"/>
      <c r="M222" s="1321"/>
      <c r="N222" s="1321"/>
      <c r="O222" s="1321"/>
      <c r="P222" s="1321"/>
      <c r="Q222" s="1321"/>
      <c r="R222" s="1321"/>
      <c r="S222" s="1321"/>
      <c r="T222" s="1321"/>
      <c r="U222" s="1321"/>
      <c r="V222" s="1321"/>
      <c r="W222" s="1321"/>
      <c r="X222" s="1321"/>
      <c r="Y222" s="1321"/>
      <c r="Z222" s="1321"/>
      <c r="AA222" s="1321"/>
      <c r="AB222" s="1321"/>
      <c r="AC222" s="1321"/>
      <c r="AD222" s="1321"/>
      <c r="AE222" s="1321"/>
    </row>
    <row r="223" spans="1:31">
      <c r="A223" s="1321"/>
      <c r="B223" s="1321"/>
      <c r="C223" s="1321"/>
      <c r="D223" s="1321"/>
      <c r="E223" s="1321"/>
      <c r="F223" s="1321"/>
      <c r="G223" s="1321"/>
      <c r="H223" s="1321"/>
      <c r="I223" s="1321"/>
      <c r="J223" s="1321"/>
      <c r="K223" s="1321"/>
      <c r="L223" s="1321"/>
      <c r="M223" s="1321"/>
      <c r="N223" s="1321"/>
      <c r="O223" s="1321"/>
      <c r="P223" s="1321"/>
      <c r="Q223" s="1321"/>
      <c r="R223" s="1321"/>
      <c r="S223" s="1321"/>
      <c r="T223" s="1321"/>
      <c r="U223" s="1321"/>
      <c r="V223" s="1321"/>
      <c r="W223" s="1321"/>
      <c r="X223" s="1321"/>
      <c r="Y223" s="1321"/>
      <c r="Z223" s="1321"/>
      <c r="AA223" s="1321"/>
      <c r="AB223" s="1321"/>
      <c r="AC223" s="1321"/>
      <c r="AD223" s="1321"/>
      <c r="AE223" s="1321"/>
    </row>
    <row r="224" spans="1:31">
      <c r="A224" s="1321"/>
      <c r="B224" s="1321"/>
      <c r="C224" s="1321"/>
      <c r="D224" s="1321"/>
      <c r="E224" s="1321"/>
      <c r="F224" s="1321"/>
      <c r="G224" s="1321"/>
      <c r="H224" s="1321"/>
      <c r="I224" s="1321"/>
      <c r="J224" s="1321"/>
      <c r="K224" s="1321"/>
      <c r="L224" s="1321"/>
      <c r="M224" s="1321"/>
      <c r="N224" s="1321"/>
      <c r="O224" s="1321"/>
      <c r="P224" s="1321"/>
      <c r="Q224" s="1321"/>
      <c r="R224" s="1321"/>
      <c r="S224" s="1321"/>
      <c r="T224" s="1321"/>
      <c r="U224" s="1321"/>
      <c r="V224" s="1321"/>
      <c r="W224" s="1321"/>
      <c r="X224" s="1321"/>
      <c r="Y224" s="1321"/>
      <c r="Z224" s="1321"/>
      <c r="AA224" s="1321"/>
      <c r="AB224" s="1321"/>
      <c r="AC224" s="1321"/>
      <c r="AD224" s="1321"/>
      <c r="AE224" s="1321"/>
    </row>
    <row r="225" spans="1:11">
      <c r="A225" s="1321"/>
      <c r="B225" s="1321"/>
      <c r="C225" s="1321"/>
      <c r="D225" s="1321"/>
      <c r="E225" s="1321"/>
      <c r="F225" s="1321"/>
      <c r="G225" s="1321"/>
      <c r="H225" s="1321"/>
      <c r="I225" s="1321"/>
      <c r="J225" s="1321"/>
      <c r="K225" s="1321"/>
    </row>
    <row r="226" spans="1:11">
      <c r="A226" s="1321"/>
      <c r="B226" s="1321"/>
      <c r="C226" s="1321"/>
      <c r="D226" s="1321"/>
      <c r="E226" s="1321"/>
      <c r="F226" s="1321"/>
      <c r="G226" s="1321"/>
      <c r="H226" s="1321"/>
      <c r="I226" s="1321"/>
      <c r="J226" s="1321"/>
      <c r="K226" s="1321"/>
    </row>
    <row r="227" spans="1:11">
      <c r="A227" s="1321"/>
      <c r="B227" s="1321"/>
      <c r="C227" s="1321"/>
      <c r="D227" s="1321"/>
      <c r="E227" s="1321"/>
      <c r="F227" s="1321"/>
      <c r="G227" s="1321"/>
      <c r="H227" s="1321"/>
      <c r="I227" s="1321"/>
      <c r="J227" s="1321"/>
      <c r="K227" s="1321"/>
    </row>
    <row r="228" spans="1:11">
      <c r="A228" s="1321"/>
      <c r="B228" s="1321"/>
      <c r="C228" s="1321"/>
      <c r="D228" s="1321"/>
      <c r="E228" s="1321"/>
      <c r="F228" s="1321"/>
      <c r="G228" s="1321"/>
      <c r="H228" s="1321"/>
      <c r="I228" s="1321"/>
      <c r="J228" s="1321"/>
      <c r="K228" s="1321"/>
    </row>
    <row r="229" spans="1:11">
      <c r="A229" s="1321"/>
      <c r="B229" s="1321"/>
      <c r="C229" s="1321"/>
      <c r="D229" s="1321"/>
      <c r="E229" s="1321"/>
      <c r="F229" s="1321"/>
      <c r="G229" s="1321"/>
      <c r="H229" s="1321"/>
      <c r="I229" s="1321"/>
      <c r="J229" s="1321"/>
      <c r="K229" s="1321"/>
    </row>
    <row r="230" spans="1:11">
      <c r="A230" s="1321"/>
      <c r="B230" s="1321"/>
      <c r="C230" s="1321"/>
      <c r="D230" s="1321"/>
      <c r="E230" s="1321"/>
      <c r="F230" s="1321"/>
      <c r="G230" s="1321"/>
      <c r="H230" s="1321"/>
      <c r="I230" s="1321"/>
      <c r="J230" s="1321"/>
      <c r="K230" s="1321"/>
    </row>
    <row r="231" spans="1:11">
      <c r="A231" s="1321"/>
      <c r="B231" s="1321"/>
      <c r="C231" s="1321"/>
      <c r="D231" s="1321"/>
      <c r="E231" s="1321"/>
      <c r="F231" s="1321"/>
      <c r="G231" s="1321"/>
      <c r="H231" s="1321"/>
      <c r="I231" s="1321"/>
      <c r="J231" s="1321"/>
      <c r="K231" s="1321"/>
    </row>
    <row r="232" spans="1:11">
      <c r="A232" s="1321"/>
      <c r="B232" s="1321"/>
      <c r="C232" s="1321"/>
      <c r="D232" s="1321"/>
      <c r="E232" s="1321"/>
      <c r="F232" s="1321"/>
      <c r="G232" s="1321"/>
      <c r="H232" s="1321"/>
      <c r="I232" s="1321"/>
      <c r="J232" s="1321"/>
      <c r="K232" s="1321"/>
    </row>
    <row r="233" spans="1:11">
      <c r="A233" s="1321"/>
      <c r="B233" s="1321"/>
      <c r="C233" s="1321"/>
      <c r="D233" s="1321"/>
      <c r="E233" s="1321"/>
      <c r="F233" s="1321"/>
      <c r="G233" s="1321"/>
      <c r="H233" s="1321"/>
      <c r="I233" s="1321"/>
      <c r="J233" s="1321"/>
      <c r="K233" s="1321"/>
    </row>
    <row r="234" spans="1:11">
      <c r="A234" s="1321"/>
      <c r="B234" s="1321"/>
      <c r="C234" s="1321"/>
      <c r="D234" s="1321"/>
      <c r="E234" s="1321"/>
      <c r="F234" s="1321"/>
      <c r="G234" s="1321"/>
      <c r="H234" s="1321"/>
      <c r="I234" s="1321"/>
      <c r="J234" s="1321"/>
      <c r="K234" s="1321"/>
    </row>
    <row r="235" spans="1:11">
      <c r="A235" s="1321"/>
      <c r="B235" s="1321"/>
      <c r="C235" s="1321"/>
      <c r="D235" s="1321"/>
      <c r="E235" s="1321"/>
      <c r="F235" s="1321"/>
      <c r="G235" s="1321"/>
      <c r="H235" s="1321"/>
      <c r="I235" s="1321"/>
      <c r="J235" s="1321"/>
      <c r="K235" s="1321"/>
    </row>
    <row r="236" spans="1:11">
      <c r="A236" s="1321"/>
      <c r="B236" s="1321"/>
      <c r="C236" s="1321"/>
      <c r="D236" s="1321"/>
      <c r="E236" s="1321"/>
      <c r="F236" s="1321"/>
      <c r="G236" s="1321"/>
      <c r="H236" s="1321"/>
      <c r="I236" s="1321"/>
      <c r="J236" s="1321"/>
      <c r="K236" s="1321"/>
    </row>
    <row r="237" spans="1:11">
      <c r="A237" s="1321"/>
      <c r="B237" s="1321"/>
      <c r="C237" s="1321"/>
      <c r="D237" s="1321"/>
      <c r="E237" s="1321"/>
      <c r="F237" s="1321"/>
      <c r="G237" s="1321"/>
      <c r="H237" s="1321"/>
      <c r="I237" s="1321"/>
      <c r="J237" s="1321"/>
      <c r="K237" s="1321"/>
    </row>
    <row r="238" spans="1:11">
      <c r="A238" s="1321"/>
      <c r="B238" s="1321"/>
      <c r="C238" s="1321"/>
      <c r="D238" s="1321"/>
      <c r="E238" s="1321"/>
      <c r="F238" s="1321"/>
      <c r="G238" s="1321"/>
      <c r="H238" s="1321"/>
      <c r="I238" s="1321"/>
      <c r="J238" s="1321"/>
      <c r="K238" s="1321"/>
    </row>
    <row r="239" spans="1:11">
      <c r="A239" s="1321"/>
      <c r="B239" s="1321"/>
      <c r="C239" s="1321"/>
      <c r="D239" s="1321"/>
      <c r="E239" s="1321"/>
      <c r="F239" s="1321"/>
      <c r="G239" s="1321"/>
      <c r="H239" s="1321"/>
      <c r="I239" s="1321"/>
      <c r="J239" s="1321"/>
      <c r="K239" s="1321"/>
    </row>
    <row r="240" spans="1:11">
      <c r="A240" s="1321"/>
      <c r="B240" s="1321"/>
      <c r="C240" s="1321"/>
      <c r="D240" s="1321"/>
      <c r="E240" s="1321"/>
      <c r="F240" s="1321"/>
      <c r="G240" s="1321"/>
      <c r="H240" s="1321"/>
      <c r="I240" s="1321"/>
      <c r="J240" s="1321"/>
      <c r="K240" s="1321"/>
    </row>
    <row r="241" spans="1:11">
      <c r="A241" s="1321"/>
      <c r="B241" s="1321"/>
      <c r="C241" s="1321"/>
      <c r="D241" s="1321"/>
      <c r="E241" s="1321"/>
      <c r="F241" s="1321"/>
      <c r="G241" s="1321"/>
      <c r="H241" s="1321"/>
      <c r="I241" s="1321"/>
      <c r="J241" s="1321"/>
      <c r="K241" s="1321"/>
    </row>
    <row r="242" spans="1:11">
      <c r="A242" s="1321"/>
      <c r="B242" s="1321"/>
      <c r="C242" s="1321"/>
      <c r="D242" s="1321"/>
      <c r="E242" s="1321"/>
      <c r="F242" s="1321"/>
      <c r="G242" s="1321"/>
      <c r="H242" s="1321"/>
      <c r="I242" s="1321"/>
      <c r="J242" s="1321"/>
      <c r="K242" s="1321"/>
    </row>
    <row r="243" spans="1:11">
      <c r="A243" s="1321"/>
      <c r="B243" s="1321"/>
      <c r="C243" s="1321"/>
      <c r="D243" s="1321"/>
      <c r="E243" s="1321"/>
      <c r="F243" s="1321"/>
      <c r="G243" s="1321"/>
      <c r="H243" s="1321"/>
      <c r="I243" s="1321"/>
      <c r="J243" s="1321"/>
      <c r="K243" s="1321"/>
    </row>
    <row r="244" spans="1:11">
      <c r="A244" s="1321"/>
      <c r="B244" s="1321"/>
      <c r="C244" s="1321"/>
      <c r="D244" s="1321"/>
      <c r="E244" s="1321"/>
      <c r="F244" s="1321"/>
      <c r="G244" s="1321"/>
      <c r="H244" s="1321"/>
      <c r="I244" s="1321"/>
      <c r="J244" s="1321"/>
      <c r="K244" s="1321"/>
    </row>
    <row r="245" spans="1:11">
      <c r="A245" s="1321"/>
      <c r="B245" s="1321"/>
      <c r="C245" s="1321"/>
      <c r="D245" s="1321"/>
      <c r="E245" s="1321"/>
      <c r="F245" s="1321"/>
      <c r="G245" s="1321"/>
      <c r="H245" s="1321"/>
      <c r="I245" s="1321"/>
      <c r="J245" s="1321"/>
      <c r="K245" s="1321"/>
    </row>
    <row r="246" spans="1:11">
      <c r="A246" s="1321"/>
      <c r="B246" s="1321"/>
      <c r="C246" s="1321"/>
      <c r="D246" s="1321"/>
      <c r="E246" s="1321"/>
      <c r="F246" s="1321"/>
      <c r="G246" s="1321"/>
      <c r="H246" s="1321"/>
      <c r="I246" s="1321"/>
      <c r="J246" s="1321"/>
      <c r="K246" s="1321"/>
    </row>
    <row r="247" spans="1:11">
      <c r="A247" s="1321"/>
      <c r="B247" s="1321"/>
      <c r="C247" s="1321"/>
      <c r="D247" s="1321"/>
      <c r="E247" s="1321"/>
      <c r="F247" s="1321"/>
      <c r="G247" s="1321"/>
      <c r="H247" s="1321"/>
      <c r="I247" s="1321"/>
      <c r="J247" s="1321"/>
      <c r="K247" s="1321"/>
    </row>
    <row r="248" spans="1:11">
      <c r="A248" s="1321"/>
      <c r="B248" s="1321"/>
      <c r="C248" s="1321"/>
      <c r="D248" s="1321"/>
      <c r="E248" s="1321"/>
      <c r="F248" s="1321"/>
      <c r="G248" s="1321"/>
      <c r="H248" s="1321"/>
      <c r="I248" s="1321"/>
      <c r="J248" s="1321"/>
      <c r="K248" s="1321"/>
    </row>
    <row r="249" spans="1:11">
      <c r="A249" s="1321"/>
      <c r="B249" s="1321"/>
      <c r="C249" s="1321"/>
      <c r="D249" s="1321"/>
      <c r="E249" s="1321"/>
      <c r="F249" s="1321"/>
      <c r="G249" s="1321"/>
      <c r="H249" s="1321"/>
      <c r="I249" s="1321"/>
      <c r="J249" s="1321"/>
      <c r="K249" s="1321"/>
    </row>
    <row r="250" spans="1:11">
      <c r="A250" s="1321"/>
      <c r="B250" s="1321"/>
      <c r="C250" s="1321"/>
      <c r="D250" s="1321"/>
      <c r="E250" s="1321"/>
      <c r="F250" s="1321"/>
      <c r="G250" s="1321"/>
      <c r="H250" s="1321"/>
      <c r="I250" s="1321"/>
      <c r="J250" s="1321"/>
      <c r="K250" s="1321"/>
    </row>
  </sheetData>
  <mergeCells count="9">
    <mergeCell ref="L86:L88"/>
    <mergeCell ref="C87:E87"/>
    <mergeCell ref="F87:H87"/>
    <mergeCell ref="K86:K88"/>
    <mergeCell ref="B5:D5"/>
    <mergeCell ref="B86:H86"/>
    <mergeCell ref="I86:J87"/>
    <mergeCell ref="B37:D37"/>
    <mergeCell ref="E37:G37"/>
  </mergeCells>
  <phoneticPr fontId="4" type="noConversion"/>
  <pageMargins left="0.75" right="0.75" top="1" bottom="1" header="0.5" footer="0.5"/>
  <pageSetup orientation="portrait" verticalDpi="0" r:id="rId1"/>
  <headerFooter alignWithMargins="0"/>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3">
    <pageSetUpPr autoPageBreaks="0"/>
  </sheetPr>
  <dimension ref="A1:Q525"/>
  <sheetViews>
    <sheetView showGridLines="0" zoomScale="85" zoomScaleNormal="85" workbookViewId="0"/>
  </sheetViews>
  <sheetFormatPr defaultColWidth="9.140625" defaultRowHeight="12.75"/>
  <cols>
    <col min="1" max="1" width="23.28515625" style="1099" customWidth="1"/>
    <col min="2" max="8" width="11.42578125" style="1099" customWidth="1"/>
    <col min="9" max="9" width="10" style="64" customWidth="1"/>
    <col min="10" max="10" width="10" style="1106" customWidth="1"/>
    <col min="11" max="11" width="7.7109375" style="64" customWidth="1"/>
    <col min="12" max="12" width="8.7109375" style="1099" customWidth="1"/>
    <col min="13" max="13" width="8.42578125" style="1106" customWidth="1"/>
    <col min="14" max="14" width="6.42578125" style="1099" customWidth="1"/>
    <col min="15" max="15" width="8.140625" style="1099" customWidth="1"/>
    <col min="16" max="16" width="6.42578125" style="1099" customWidth="1"/>
    <col min="17" max="16384" width="9.140625" style="1099"/>
  </cols>
  <sheetData>
    <row r="1" spans="1:17" s="64" customFormat="1" ht="15.75">
      <c r="A1" s="6" t="s">
        <v>1909</v>
      </c>
    </row>
    <row r="2" spans="1:17" s="64" customFormat="1" ht="15">
      <c r="A2" s="381" t="str">
        <f>"1) Well-to-Pump, Vehicle Cycle and Vehicle Operation Energy Use and Emissions: "&amp;B3&amp;" or "&amp;D3&amp;" per "&amp;D4</f>
        <v>1) Well-to-Pump, Vehicle Cycle and Vehicle Operation Energy Use and Emissions: Btu or g per mile</v>
      </c>
    </row>
    <row r="3" spans="1:17" s="64" customFormat="1">
      <c r="A3" s="462" t="s">
        <v>1910</v>
      </c>
      <c r="B3" s="73" t="s">
        <v>1911</v>
      </c>
      <c r="C3" s="462" t="s">
        <v>1912</v>
      </c>
      <c r="D3" s="73" t="s">
        <v>1913</v>
      </c>
    </row>
    <row r="4" spans="1:17" s="64" customFormat="1" ht="13.5" customHeight="1">
      <c r="A4" s="73"/>
      <c r="B4" s="73"/>
      <c r="C4" s="462" t="s">
        <v>1914</v>
      </c>
      <c r="D4" s="73" t="s">
        <v>1915</v>
      </c>
      <c r="L4" s="44" t="s">
        <v>1916</v>
      </c>
      <c r="M4" s="73"/>
      <c r="N4" s="73"/>
      <c r="O4" s="73"/>
      <c r="P4" s="73"/>
      <c r="Q4" s="73"/>
    </row>
    <row r="5" spans="1:17" s="64" customFormat="1">
      <c r="A5" s="111" t="s">
        <v>1917</v>
      </c>
      <c r="B5" s="463"/>
      <c r="C5" s="463"/>
      <c r="D5" s="463"/>
      <c r="E5" s="463"/>
      <c r="F5" s="463"/>
      <c r="G5" s="463"/>
      <c r="H5" s="463"/>
      <c r="L5" s="464" t="s">
        <v>1918</v>
      </c>
      <c r="M5" s="465" t="s">
        <v>1911</v>
      </c>
      <c r="N5" s="465" t="s">
        <v>1919</v>
      </c>
      <c r="O5" s="465" t="s">
        <v>1920</v>
      </c>
      <c r="P5" s="465" t="s">
        <v>1921</v>
      </c>
      <c r="Q5" s="466" t="s">
        <v>1922</v>
      </c>
    </row>
    <row r="6" spans="1:17" s="64" customFormat="1">
      <c r="A6" s="393"/>
      <c r="B6" s="3060" t="str">
        <f>$B$3&amp;"/"&amp;$D$4&amp;" or "&amp;$D$3&amp;"/"&amp;$D$4</f>
        <v>Btu/mile or g/mile</v>
      </c>
      <c r="C6" s="3061"/>
      <c r="D6" s="3061"/>
      <c r="E6" s="3062"/>
      <c r="F6" s="3005" t="s">
        <v>1890</v>
      </c>
      <c r="G6" s="3005"/>
      <c r="H6" s="3005"/>
      <c r="I6" s="3135"/>
      <c r="L6" s="83"/>
      <c r="M6" s="414">
        <v>1</v>
      </c>
      <c r="N6" s="414">
        <v>1E-3</v>
      </c>
      <c r="O6" s="467">
        <v>1055.05585</v>
      </c>
      <c r="P6" s="414">
        <v>1.05505585</v>
      </c>
      <c r="Q6" s="468">
        <v>1.0550558499999999E-3</v>
      </c>
    </row>
    <row r="7" spans="1:17" s="64" customFormat="1" ht="25.5">
      <c r="A7" s="908" t="s">
        <v>1923</v>
      </c>
      <c r="B7" s="1225" t="s">
        <v>1924</v>
      </c>
      <c r="C7" s="1658" t="s">
        <v>1925</v>
      </c>
      <c r="D7" s="1658" t="s">
        <v>1926</v>
      </c>
      <c r="E7" s="1226" t="s">
        <v>1894</v>
      </c>
      <c r="F7" s="1658" t="s">
        <v>1924</v>
      </c>
      <c r="G7" s="1658" t="s">
        <v>1925</v>
      </c>
      <c r="H7" s="1658" t="s">
        <v>1926</v>
      </c>
      <c r="I7" s="1226" t="s">
        <v>1894</v>
      </c>
      <c r="L7" s="464" t="s">
        <v>1927</v>
      </c>
      <c r="M7" s="465" t="s">
        <v>1913</v>
      </c>
      <c r="N7" s="465" t="s">
        <v>1928</v>
      </c>
      <c r="O7" s="465" t="s">
        <v>1929</v>
      </c>
      <c r="P7" s="465" t="s">
        <v>1930</v>
      </c>
      <c r="Q7" s="466" t="s">
        <v>1931</v>
      </c>
    </row>
    <row r="8" spans="1:17" s="64" customFormat="1">
      <c r="A8" s="1103" t="s">
        <v>876</v>
      </c>
      <c r="B8" s="517">
        <f>HLOOKUP(GREET1_Import_Export!$B$374,$M$9:$Q$10,2,FALSE)/HLOOKUP(GREET1_Import_Export!$B$373,$M$5:$Q$6,2,FALSE)*HLOOKUP($B$3,$M$5:$Q$6,2,FALSE)/HLOOKUP($D$4,$M$9:$Q$10,2,FALSE)*(GREET1_Import_Export!$B380+GREET1_Import_Export!$C380)/Vehi_Inputs!$B$150</f>
        <v>993.8879158414403</v>
      </c>
      <c r="C8" s="419">
        <f ca="1">HLOOKUP($B$3,$M$5:$Q$6,2,FALSE)/HLOOKUP($D$4,$M$9:$Q$10,2,FALSE)*Vehi_Sum!$B317</f>
        <v>511.97035482076103</v>
      </c>
      <c r="D8" s="419">
        <f>HLOOKUP(GREET1_Import_Export!$B$374,$M$9:$Q$10,2,FALSE)/HLOOKUP(GREET1_Import_Export!$B$373,$M$5:$Q$6,2,FALSE)*HLOOKUP($B$3,$M$5:$Q$6,2,FALSE)/HLOOKUP($D$4,$M$9:$Q$10,2,FALSE)*GREET1_Import_Export!$D380/Vehi_Inputs!$B$150</f>
        <v>3639.1365942020407</v>
      </c>
      <c r="E8" s="516">
        <f ca="1">SUM(B8:D8)</f>
        <v>5144.9948648642421</v>
      </c>
      <c r="F8" s="382">
        <f t="shared" ref="F8:F33" ca="1" si="0">B8/$E8</f>
        <v>0.19317568665205373</v>
      </c>
      <c r="G8" s="382">
        <f t="shared" ref="G8:G33" ca="1" si="1">C8/$E8</f>
        <v>9.9508428728873E-2</v>
      </c>
      <c r="H8" s="382">
        <f t="shared" ref="H8:H33" ca="1" si="2">D8/$E8</f>
        <v>0.70731588461907324</v>
      </c>
      <c r="I8" s="1104">
        <f t="shared" ref="I8:I33" ca="1" si="3">E8/$E8</f>
        <v>1</v>
      </c>
      <c r="L8" s="469"/>
      <c r="M8" s="470">
        <v>1</v>
      </c>
      <c r="N8" s="471">
        <v>1000</v>
      </c>
      <c r="O8" s="470">
        <v>1E-3</v>
      </c>
      <c r="P8" s="470">
        <v>2.2046226218487802E-3</v>
      </c>
      <c r="Q8" s="472">
        <f>0.00220462262184878*16</f>
        <v>3.5273961949580483E-2</v>
      </c>
    </row>
    <row r="9" spans="1:17" s="64" customFormat="1">
      <c r="A9" s="849" t="s">
        <v>877</v>
      </c>
      <c r="B9" s="517">
        <f>HLOOKUP(GREET1_Import_Export!$B$374,$M$9:$Q$10,2,FALSE)/HLOOKUP(GREET1_Import_Export!$B$373,$M$5:$Q$6,2,FALSE)*HLOOKUP($B$3,$M$5:$Q$6,2,FALSE)/HLOOKUP($D$4,$M$9:$Q$10,2,FALSE)*(GREET1_Import_Export!$B381+GREET1_Import_Export!$C381)/Vehi_Inputs!$B$150</f>
        <v>891.95981811179286</v>
      </c>
      <c r="C9" s="419">
        <f ca="1">HLOOKUP($B$3,$M$5:$Q$6,2,FALSE)/HLOOKUP($D$4,$M$9:$Q$10,2,FALSE)*Vehi_Sum!$B318</f>
        <v>464.3770639879346</v>
      </c>
      <c r="D9" s="419">
        <f>HLOOKUP(GREET1_Import_Export!$B$374,$M$9:$Q$10,2,FALSE)/HLOOKUP(GREET1_Import_Export!$B$373,$M$5:$Q$6,2,FALSE)*HLOOKUP($B$3,$M$5:$Q$6,2,FALSE)/HLOOKUP($D$4,$M$9:$Q$10,2,FALSE)*GREET1_Import_Export!$D381/Vehi_Inputs!$B$150</f>
        <v>3396.5024471401307</v>
      </c>
      <c r="E9" s="516">
        <f ca="1">SUM(B9:D9)</f>
        <v>4752.8393292398578</v>
      </c>
      <c r="F9" s="382">
        <f t="shared" ca="1" si="0"/>
        <v>0.18766883463204465</v>
      </c>
      <c r="G9" s="382">
        <f t="shared" ca="1" si="1"/>
        <v>9.7705188797578071E-2</v>
      </c>
      <c r="H9" s="382">
        <f t="shared" ca="1" si="2"/>
        <v>0.71462597657037741</v>
      </c>
      <c r="I9" s="825">
        <f t="shared" ca="1" si="3"/>
        <v>1</v>
      </c>
      <c r="L9" s="83" t="s">
        <v>1932</v>
      </c>
      <c r="M9" s="414" t="s">
        <v>1915</v>
      </c>
      <c r="N9" s="414" t="s">
        <v>1933</v>
      </c>
      <c r="O9" s="473"/>
      <c r="P9" s="473"/>
      <c r="Q9" s="474"/>
    </row>
    <row r="10" spans="1:17" s="64" customFormat="1">
      <c r="A10" s="849" t="s">
        <v>442</v>
      </c>
      <c r="B10" s="517">
        <f>HLOOKUP(GREET1_Import_Export!$B$374,$M$9:$Q$10,2,FALSE)/HLOOKUP(GREET1_Import_Export!$B$373,$M$5:$Q$6,2,FALSE)*HLOOKUP($B$3,$M$5:$Q$6,2,FALSE)/HLOOKUP($D$4,$M$9:$Q$10,2,FALSE)*(GREET1_Import_Export!$B382+GREET1_Import_Export!$C382)/Vehi_Inputs!$B$150</f>
        <v>36.930218115433107</v>
      </c>
      <c r="C10" s="419">
        <f ca="1">HLOOKUP($B$3,$M$5:$Q$6,2,FALSE)/HLOOKUP($D$4,$M$9:$Q$10,2,FALSE)*Vehi_Sum!$B319</f>
        <v>125.91480800725125</v>
      </c>
      <c r="D10" s="419">
        <f>HLOOKUP(GREET1_Import_Export!$B$374,$M$9:$Q$10,2,FALSE)/HLOOKUP(GREET1_Import_Export!$B$373,$M$5:$Q$6,2,FALSE)*HLOOKUP($B$3,$M$5:$Q$6,2,FALSE)/HLOOKUP($D$4,$M$9:$Q$10,2,FALSE)*GREET1_Import_Export!$D382/Vehi_Inputs!$B$150</f>
        <v>0</v>
      </c>
      <c r="E10" s="516">
        <f ca="1">SUM(B10:D10)</f>
        <v>162.84502612268437</v>
      </c>
      <c r="F10" s="382">
        <f t="shared" ca="1" si="0"/>
        <v>0.22678136996097489</v>
      </c>
      <c r="G10" s="382">
        <f t="shared" ca="1" si="1"/>
        <v>0.77321863003902502</v>
      </c>
      <c r="H10" s="382">
        <f t="shared" ca="1" si="2"/>
        <v>0</v>
      </c>
      <c r="I10" s="825">
        <f t="shared" ca="1" si="3"/>
        <v>1</v>
      </c>
      <c r="L10" s="469"/>
      <c r="M10" s="475">
        <v>1</v>
      </c>
      <c r="N10" s="475">
        <v>1.60934</v>
      </c>
      <c r="O10" s="475"/>
      <c r="P10" s="475"/>
      <c r="Q10" s="476"/>
    </row>
    <row r="11" spans="1:17" s="64" customFormat="1">
      <c r="A11" s="849" t="s">
        <v>878</v>
      </c>
      <c r="B11" s="517">
        <f>B9-B10-B12</f>
        <v>590.85664050627986</v>
      </c>
      <c r="C11" s="419">
        <f ca="1">C9-C10-C12</f>
        <v>235.01373735562134</v>
      </c>
      <c r="D11" s="419">
        <f>D9-D10-D12</f>
        <v>0</v>
      </c>
      <c r="E11" s="516">
        <f ca="1">E9-E10-E12</f>
        <v>825.87037786190058</v>
      </c>
      <c r="F11" s="382">
        <f t="shared" ca="1" si="0"/>
        <v>0.71543508078828444</v>
      </c>
      <c r="G11" s="382">
        <f t="shared" ca="1" si="1"/>
        <v>0.28456491921171628</v>
      </c>
      <c r="H11" s="382">
        <f t="shared" ca="1" si="2"/>
        <v>0</v>
      </c>
      <c r="I11" s="825">
        <f t="shared" ca="1" si="3"/>
        <v>1</v>
      </c>
    </row>
    <row r="12" spans="1:17" s="64" customFormat="1">
      <c r="A12" s="849" t="s">
        <v>440</v>
      </c>
      <c r="B12" s="1092">
        <f>HLOOKUP(GREET1_Import_Export!$B$374,$M$9:$Q$10,2,FALSE)/HLOOKUP(GREET1_Import_Export!$B$373,$M$5:$Q$6,2,FALSE)*HLOOKUP($B$3,$M$5:$Q$6,2,FALSE)/HLOOKUP($D$4,$M$9:$Q$10,2,FALSE)*(GREET1_Import_Export!$B384+GREET1_Import_Export!$C384)/Vehi_Inputs!$B$150</f>
        <v>264.17295949007985</v>
      </c>
      <c r="C12" s="419">
        <f ca="1">HLOOKUP($B$3,$M$5:$Q$6,2,FALSE)/HLOOKUP($D$4,$M$9:$Q$10,2,FALSE)*Vehi_Sum!$B321</f>
        <v>103.44851862506202</v>
      </c>
      <c r="D12" s="419">
        <f>HLOOKUP(GREET1_Import_Export!$B$374,$M$9:$Q$10,2,FALSE)/HLOOKUP(GREET1_Import_Export!$B$373,$M$5:$Q$6,2,FALSE)*HLOOKUP($B$3,$M$5:$Q$6,2,FALSE)/HLOOKUP($D$4,$M$9:$Q$10,2,FALSE)*GREET1_Import_Export!$D384/Vehi_Inputs!$B$150</f>
        <v>3396.5024471401307</v>
      </c>
      <c r="E12" s="516">
        <f t="shared" ref="E12:E33" ca="1" si="4">SUM(B12:D12)</f>
        <v>3764.1239252552728</v>
      </c>
      <c r="F12" s="382">
        <f t="shared" ca="1" si="0"/>
        <v>7.0181791231053683E-2</v>
      </c>
      <c r="G12" s="382">
        <f t="shared" ca="1" si="1"/>
        <v>2.748276110969073E-2</v>
      </c>
      <c r="H12" s="382">
        <f t="shared" ca="1" si="2"/>
        <v>0.90233544765925555</v>
      </c>
      <c r="I12" s="825">
        <f t="shared" ca="1" si="3"/>
        <v>1</v>
      </c>
      <c r="L12" s="44"/>
      <c r="M12" s="73"/>
      <c r="N12" s="73"/>
      <c r="O12" s="73"/>
    </row>
    <row r="13" spans="1:17" s="64" customFormat="1">
      <c r="A13" s="909" t="s">
        <v>819</v>
      </c>
      <c r="B13" s="749">
        <f>HLOOKUP(GREET1_Import_Export!$B$374,$M$9:$Q$10,2,FALSE)/HLOOKUP(GREET1_Import_Export!$B$373,$M$5:$Q$6,2,FALSE)*HLOOKUP($B$3,$M$5:$Q$6,2,FALSE)/HLOOKUP($D$4,$M$9:$Q$10,2,FALSE)*(GREET1_Import_Export!$B385+GREET1_Import_Export!$C385)/Vehi_Inputs!$B$150</f>
        <v>0.18709683912573113</v>
      </c>
      <c r="C13" s="349">
        <f ca="1">HLOOKUP($B$3,$M$5:$Q$6,2,FALSE)/HLOOKUP($D$4,$M$9:$Q$10,2,FALSE)*Vehi_Sum!$B322</f>
        <v>2.3518838636276289E-2</v>
      </c>
      <c r="D13" s="349">
        <f>HLOOKUP(GREET1_Import_Export!$B$374,$M$9:$Q$10,2,FALSE)/HLOOKUP(GREET1_Import_Export!$B$373,$M$5:$Q$6,2,FALSE)*HLOOKUP($B$3,$M$5:$Q$6,2,FALSE)/HLOOKUP($D$4,$M$9:$Q$10,2,FALSE)*GREET1_Import_Export!$D385/Vehi_Inputs!$B$150</f>
        <v>0</v>
      </c>
      <c r="E13" s="348">
        <f t="shared" ca="1" si="4"/>
        <v>0.21061567776200743</v>
      </c>
      <c r="F13" s="382">
        <f t="shared" ca="1" si="0"/>
        <v>0.88833291573454365</v>
      </c>
      <c r="G13" s="382">
        <f t="shared" ca="1" si="1"/>
        <v>0.11166708426545637</v>
      </c>
      <c r="H13" s="382">
        <f t="shared" ca="1" si="2"/>
        <v>0</v>
      </c>
      <c r="I13" s="825">
        <f t="shared" ca="1" si="3"/>
        <v>1</v>
      </c>
      <c r="L13" s="44"/>
      <c r="M13" s="73"/>
      <c r="N13" s="73"/>
      <c r="O13" s="73"/>
    </row>
    <row r="14" spans="1:17" s="64" customFormat="1">
      <c r="A14" s="849" t="s">
        <v>1895</v>
      </c>
      <c r="B14" s="1092">
        <f>HLOOKUP(GREET1_Import_Export!$B$374,$M$9:$Q$10,2,FALSE)/HLOOKUP(GREET1_Import_Export!$D$373,$M$7:$Q$8,2,FALSE)*HLOOKUP($D$3,$M$7:$Q$8,2,FALSE)/HLOOKUP($D$4,$M$9:$Q$10,2,FALSE)*(GREET1_Import_Export!$B386+GREET1_Import_Export!$C386)/Vehi_Inputs!$B$150</f>
        <v>50.413463334499937</v>
      </c>
      <c r="C14" s="419">
        <f ca="1">HLOOKUP($D$3,$M$7:$Q$8,2,FALSE)/HLOOKUP($D$4,$M$9:$Q$10,2,FALSE)*Vehi_Sum!$B324</f>
        <v>31.565438875307823</v>
      </c>
      <c r="D14" s="419">
        <f>HLOOKUP(GREET1_Import_Export!$B$374,$M$9:$Q$10,2,FALSE)/HLOOKUP(GREET1_Import_Export!$D$373,$M$7:$Q$8,2,FALSE)*HLOOKUP($D$3,$M$7:$Q$8,2,FALSE)/HLOOKUP($D$4,$M$9:$Q$10,2,FALSE)*((GREET1_Import_Export!$D386-(GREET1_Import_Export!$D390*GREET1_Import_Export!$B$62+GREET1_Import_Export!$D391*GREET1_Import_Export!$B$63)/GREET1_Import_Export!$B$65)/Vehi_Inputs!$B$150+(GREET1_Import_Export!$D390*GREET1_Import_Export!$B$62+GREET1_Import_Export!$D391*GREET1_Import_Export!$B$63)/GREET1_Import_Export!$B$65)</f>
        <v>279.15384636251366</v>
      </c>
      <c r="E14" s="516">
        <f t="shared" ca="1" si="4"/>
        <v>361.13274857232142</v>
      </c>
      <c r="F14" s="382">
        <f t="shared" ca="1" si="0"/>
        <v>0.13959814925065983</v>
      </c>
      <c r="G14" s="382">
        <f t="shared" ca="1" si="1"/>
        <v>8.7406747242105745E-2</v>
      </c>
      <c r="H14" s="382">
        <f t="shared" ca="1" si="2"/>
        <v>0.77299510350723444</v>
      </c>
      <c r="I14" s="825">
        <f t="shared" ca="1" si="3"/>
        <v>1</v>
      </c>
    </row>
    <row r="15" spans="1:17" s="64" customFormat="1">
      <c r="A15" s="849" t="s">
        <v>887</v>
      </c>
      <c r="B15" s="749">
        <f>HLOOKUP(GREET1_Import_Export!$B$374,$M$9:$Q$10,2,FALSE)/HLOOKUP(GREET1_Import_Export!$D$373,$M$7:$Q$8,2,FALSE)*HLOOKUP($D$3,$M$7:$Q$8,2,FALSE)/HLOOKUP($D$4,$M$9:$Q$10,2,FALSE)*(GREET1_Import_Export!$B387+GREET1_Import_Export!$C387)/Vehi_Inputs!$B$150</f>
        <v>0.4172380932294128</v>
      </c>
      <c r="C15" s="349">
        <f ca="1">HLOOKUP($D$3,$M$7:$Q$8,2,FALSE)/HLOOKUP($D$4,$M$9:$Q$10,2,FALSE)*Vehi_Sum!$B325</f>
        <v>8.2975459532039331E-2</v>
      </c>
      <c r="D15" s="349">
        <f>HLOOKUP(GREET1_Import_Export!$B$374,$M$9:$Q$10,2,FALSE)/HLOOKUP(GREET1_Import_Export!$D$373,$M$7:$Q$8,2,FALSE)*HLOOKUP($D$3,$M$7:$Q$8,2,FALSE)/HLOOKUP($D$4,$M$9:$Q$10,2,FALSE)*GREET1_Import_Export!$D387</f>
        <v>7.9522606701268542E-3</v>
      </c>
      <c r="E15" s="384">
        <f t="shared" ca="1" si="4"/>
        <v>0.50816581343157907</v>
      </c>
      <c r="F15" s="382">
        <f t="shared" ca="1" si="0"/>
        <v>0.82106682937180886</v>
      </c>
      <c r="G15" s="382">
        <f t="shared" ca="1" si="1"/>
        <v>0.16328422207648446</v>
      </c>
      <c r="H15" s="382">
        <f t="shared" ca="1" si="2"/>
        <v>1.5648948551706478E-2</v>
      </c>
      <c r="I15" s="825">
        <f t="shared" ca="1" si="3"/>
        <v>1</v>
      </c>
    </row>
    <row r="16" spans="1:17" s="64" customFormat="1">
      <c r="A16" s="849" t="s">
        <v>888</v>
      </c>
      <c r="B16" s="749">
        <f>HLOOKUP(GREET1_Import_Export!$B$374,$M$9:$Q$10,2,FALSE)/HLOOKUP(GREET1_Import_Export!$D$373,$M$7:$Q$8,2,FALSE)*HLOOKUP($D$3,$M$7:$Q$8,2,FALSE)/HLOOKUP($D$4,$M$9:$Q$10,2,FALSE)*(GREET1_Import_Export!$B388+GREET1_Import_Export!$C388)/Vehi_Inputs!$B$150</f>
        <v>1.0499668895069935E-2</v>
      </c>
      <c r="C16" s="349">
        <f ca="1">HLOOKUP($D$3,$M$7:$Q$8,2,FALSE)/HLOOKUP($D$4,$M$9:$Q$10,2,FALSE)*Vehi_Sum!$B326</f>
        <v>7.8760639393577077E-4</v>
      </c>
      <c r="D16" s="349">
        <f>HLOOKUP(GREET1_Import_Export!$B$374,$M$9:$Q$10,2,FALSE)/HLOOKUP(GREET1_Import_Export!$D$373,$M$7:$Q$8,2,FALSE)*HLOOKUP($D$3,$M$7:$Q$8,2,FALSE)/HLOOKUP($D$4,$M$9:$Q$10,2,FALSE)*GREET1_Import_Export!$D388</f>
        <v>3.8553552069305742E-3</v>
      </c>
      <c r="E16" s="384">
        <f t="shared" ca="1" si="4"/>
        <v>1.5142630495936281E-2</v>
      </c>
      <c r="F16" s="382">
        <f t="shared" ca="1" si="0"/>
        <v>0.69338473905756703</v>
      </c>
      <c r="G16" s="382">
        <f t="shared" ca="1" si="1"/>
        <v>5.201252148014409E-2</v>
      </c>
      <c r="H16" s="382">
        <f t="shared" ca="1" si="2"/>
        <v>0.25460273946228884</v>
      </c>
      <c r="I16" s="825">
        <f t="shared" ca="1" si="3"/>
        <v>1</v>
      </c>
    </row>
    <row r="17" spans="1:17" s="64" customFormat="1">
      <c r="A17" s="849" t="s">
        <v>1896</v>
      </c>
      <c r="B17" s="1092">
        <f>HLOOKUP(GREET1_Import_Export!$B$374,$M$9:$Q$10,2,FALSE)/HLOOKUP(GREET1_Import_Export!$D$373,$M$7:$Q$8,2,FALSE)*HLOOKUP($D$3,$M$7:$Q$8,2,FALSE)/HLOOKUP($D$4,$M$9:$Q$10,2,FALSE)*(GREET1_Import_Export!$B389+GREET1_Import_Export!$C389)/Vehi_Inputs!$B$150</f>
        <v>65.713018388575861</v>
      </c>
      <c r="C17" s="419">
        <f ca="1">HLOOKUP($D$3,$M$7:$Q$8,2,FALSE)/HLOOKUP($D$4,$M$9:$Q$10,2,FALSE)*Vehi_Sum!$B327</f>
        <v>34.61225458279258</v>
      </c>
      <c r="D17" s="158">
        <f>D14+SUMPRODUCT(D15:D16,GREET1_Import_Export!$B$51:$B$52)+SUMPRODUCT(D18:D20,GREET1_Import_Export!$B$55:$B$57)+SUMPRODUCT(D24:D25,GREET1_Import_Export!$B$58:$B$59)</f>
        <v>280.41408331245407</v>
      </c>
      <c r="E17" s="516">
        <f t="shared" ca="1" si="4"/>
        <v>380.73935628382253</v>
      </c>
      <c r="F17" s="382">
        <f t="shared" ca="1" si="0"/>
        <v>0.17259318561118234</v>
      </c>
      <c r="G17" s="382">
        <f t="shared" ca="1" si="1"/>
        <v>9.0908003103810572E-2</v>
      </c>
      <c r="H17" s="382">
        <f t="shared" ca="1" si="2"/>
        <v>0.73649881128500705</v>
      </c>
      <c r="I17" s="825">
        <f t="shared" ca="1" si="3"/>
        <v>1</v>
      </c>
    </row>
    <row r="18" spans="1:17" s="64" customFormat="1">
      <c r="A18" s="849" t="s">
        <v>879</v>
      </c>
      <c r="B18" s="749">
        <f>HLOOKUP(GREET1_Import_Export!$B$374,$M$9:$Q$10,2,FALSE)/HLOOKUP(GREET1_Import_Export!$D$373,$M$7:$Q$8,2,FALSE)*HLOOKUP($D$3,$M$7:$Q$8,2,FALSE)/HLOOKUP($D$4,$M$9:$Q$10,2,FALSE)*(GREET1_Import_Export!$B390+GREET1_Import_Export!$C390)/Vehi_Inputs!$B$150</f>
        <v>0.106896117186755</v>
      </c>
      <c r="C18" s="349">
        <f ca="1">HLOOKUP($D$3,$M$7:$Q$8,2,FALSE)/HLOOKUP($D$4,$M$9:$Q$10,2,FALSE)*Vehi_Sum!$B328</f>
        <v>0.18857460396417244</v>
      </c>
      <c r="D18" s="349">
        <f>HLOOKUP(GREET1_Import_Export!$B$374,$M$9:$Q$10,2,FALSE)/HLOOKUP(GREET1_Import_Export!$D$373,$M$7:$Q$8,2,FALSE)*HLOOKUP($D$3,$M$7:$Q$8,2,FALSE)/HLOOKUP($D$4,$M$9:$Q$10,2,FALSE)*GREET1_Import_Export!$D390</f>
        <v>0.15342570652283241</v>
      </c>
      <c r="E18" s="384">
        <f t="shared" ca="1" si="4"/>
        <v>0.44889642767375981</v>
      </c>
      <c r="F18" s="382">
        <f t="shared" ca="1" si="0"/>
        <v>0.23813091527750554</v>
      </c>
      <c r="G18" s="382">
        <f t="shared" ca="1" si="1"/>
        <v>0.42008488448302156</v>
      </c>
      <c r="H18" s="382">
        <f t="shared" ca="1" si="2"/>
        <v>0.34178420023947298</v>
      </c>
      <c r="I18" s="825">
        <f t="shared" ca="1" si="3"/>
        <v>1</v>
      </c>
    </row>
    <row r="19" spans="1:17" s="64" customFormat="1">
      <c r="A19" s="849" t="s">
        <v>880</v>
      </c>
      <c r="B19" s="749">
        <f>HLOOKUP(GREET1_Import_Export!$B$374,$M$9:$Q$10,2,FALSE)/HLOOKUP(GREET1_Import_Export!$D$373,$M$7:$Q$8,2,FALSE)*HLOOKUP($D$3,$M$7:$Q$8,2,FALSE)/HLOOKUP($D$4,$M$9:$Q$10,2,FALSE)*(GREET1_Import_Export!$B391+GREET1_Import_Export!$C391)/Vehi_Inputs!$B$150</f>
        <v>5.6055469338273094E-2</v>
      </c>
      <c r="C19" s="349">
        <f ca="1">HLOOKUP($D$3,$M$7:$Q$8,2,FALSE)/HLOOKUP($D$4,$M$9:$Q$10,2,FALSE)*Vehi_Sum!$B329</f>
        <v>0.10782462009694165</v>
      </c>
      <c r="D19" s="349">
        <f>HLOOKUP(GREET1_Import_Export!$B$374,$M$9:$Q$10,2,FALSE)/HLOOKUP(GREET1_Import_Export!$D$373,$M$7:$Q$8,2,FALSE)*HLOOKUP($D$3,$M$7:$Q$8,2,FALSE)/HLOOKUP($D$4,$M$9:$Q$10,2,FALSE)*GREET1_Import_Export!$D391</f>
        <v>1.4655810643908089</v>
      </c>
      <c r="E19" s="384">
        <f t="shared" ca="1" si="4"/>
        <v>1.6294611538260237</v>
      </c>
      <c r="F19" s="382">
        <f t="shared" ca="1" si="0"/>
        <v>3.4401230864972245E-2</v>
      </c>
      <c r="G19" s="382">
        <f t="shared" ca="1" si="1"/>
        <v>6.61719488333712E-2</v>
      </c>
      <c r="H19" s="382">
        <f t="shared" ca="1" si="2"/>
        <v>0.89942682030165655</v>
      </c>
      <c r="I19" s="825">
        <f t="shared" ca="1" si="3"/>
        <v>1</v>
      </c>
    </row>
    <row r="20" spans="1:17" s="64" customFormat="1">
      <c r="A20" s="849" t="s">
        <v>881</v>
      </c>
      <c r="B20" s="749">
        <f>HLOOKUP(GREET1_Import_Export!$B$374,$M$9:$Q$10,2,FALSE)/HLOOKUP(GREET1_Import_Export!$D$373,$M$7:$Q$8,2,FALSE)*HLOOKUP($D$3,$M$7:$Q$8,2,FALSE)/HLOOKUP($D$4,$M$9:$Q$10,2,FALSE)*(GREET1_Import_Export!$B392+GREET1_Import_Export!$C392)/Vehi_Inputs!$B$150</f>
        <v>9.1409532392872708E-2</v>
      </c>
      <c r="C20" s="349">
        <f ca="1">HLOOKUP($D$3,$M$7:$Q$8,2,FALSE)/HLOOKUP($D$4,$M$9:$Q$10,2,FALSE)*Vehi_Sum!$B330</f>
        <v>3.3766480994129183E-2</v>
      </c>
      <c r="D20" s="349">
        <f>HLOOKUP(GREET1_Import_Export!$B$374,$M$9:$Q$10,2,FALSE)/HLOOKUP(GREET1_Import_Export!$D$373,$M$7:$Q$8,2,FALSE)*HLOOKUP($D$3,$M$7:$Q$8,2,FALSE)/HLOOKUP($D$4,$M$9:$Q$10,2,FALSE)*GREET1_Import_Export!$D392</f>
        <v>3.929186469028307E-2</v>
      </c>
      <c r="E20" s="384">
        <f t="shared" ca="1" si="4"/>
        <v>0.16446787807728497</v>
      </c>
      <c r="F20" s="382">
        <f t="shared" ca="1" si="0"/>
        <v>0.55578957703776377</v>
      </c>
      <c r="G20" s="382">
        <f t="shared" ca="1" si="1"/>
        <v>0.20530745206223189</v>
      </c>
      <c r="H20" s="382">
        <f t="shared" ca="1" si="2"/>
        <v>0.23890297090000431</v>
      </c>
      <c r="I20" s="825">
        <f t="shared" ca="1" si="3"/>
        <v>1</v>
      </c>
    </row>
    <row r="21" spans="1:17" s="64" customFormat="1">
      <c r="A21" s="849" t="s">
        <v>882</v>
      </c>
      <c r="B21" s="749">
        <f>HLOOKUP(GREET1_Import_Export!$B$374,$M$9:$Q$10,2,FALSE)/HLOOKUP(GREET1_Import_Export!$D$373,$M$7:$Q$8,2,FALSE)*HLOOKUP($D$3,$M$7:$Q$8,2,FALSE)/HLOOKUP($D$4,$M$9:$Q$10,2,FALSE)*(GREET1_Import_Export!$B393+GREET1_Import_Export!$C393)/Vehi_Inputs!$B$150</f>
        <v>1.0306708687905555E-2</v>
      </c>
      <c r="C21" s="349">
        <f ca="1">HLOOKUP($D$3,$M$7:$Q$8,2,FALSE)/HLOOKUP($D$4,$M$9:$Q$10,2,FALSE)*Vehi_Sum!$B331</f>
        <v>1.3603316012184855E-2</v>
      </c>
      <c r="D21" s="349">
        <f>HLOOKUP(GREET1_Import_Export!$B$374,$M$9:$Q$10,2,FALSE)/HLOOKUP(GREET1_Import_Export!$D$373,$M$7:$Q$8,2,FALSE)*HLOOKUP($D$3,$M$7:$Q$8,2,FALSE)/HLOOKUP($D$4,$M$9:$Q$10,2,FALSE)*GREET1_Import_Export!$D393</f>
        <v>3.5187572574832765E-2</v>
      </c>
      <c r="E21" s="348">
        <f t="shared" ca="1" si="4"/>
        <v>5.9097597274923176E-2</v>
      </c>
      <c r="F21" s="382">
        <f t="shared" ca="1" si="0"/>
        <v>0.17440148437775813</v>
      </c>
      <c r="G21" s="382">
        <f t="shared" ca="1" si="1"/>
        <v>0.23018390999725358</v>
      </c>
      <c r="H21" s="382">
        <f t="shared" ca="1" si="2"/>
        <v>0.59541460562498827</v>
      </c>
      <c r="I21" s="825">
        <f t="shared" ca="1" si="3"/>
        <v>1</v>
      </c>
    </row>
    <row r="22" spans="1:17" s="64" customFormat="1">
      <c r="A22" s="849" t="s">
        <v>883</v>
      </c>
      <c r="B22" s="749">
        <f>HLOOKUP(GREET1_Import_Export!$B$374,$M$9:$Q$10,2,FALSE)/HLOOKUP(GREET1_Import_Export!$D$373,$M$7:$Q$8,2,FALSE)*HLOOKUP($D$3,$M$7:$Q$8,2,FALSE)/HLOOKUP($D$4,$M$9:$Q$10,2,FALSE)*(GREET1_Import_Export!$B394+GREET1_Import_Export!$C394)/Vehi_Inputs!$B$150</f>
        <v>6.9399712481323598E-3</v>
      </c>
      <c r="C22" s="349">
        <f ca="1">HLOOKUP($D$3,$M$7:$Q$8,2,FALSE)/HLOOKUP($D$4,$M$9:$Q$10,2,FALSE)*Vehi_Sum!$B332</f>
        <v>6.4879274699871162E-3</v>
      </c>
      <c r="D22" s="349">
        <f>HLOOKUP(GREET1_Import_Export!$B$374,$M$9:$Q$10,2,FALSE)/HLOOKUP(GREET1_Import_Export!$D$373,$M$7:$Q$8,2,FALSE)*HLOOKUP($D$3,$M$7:$Q$8,2,FALSE)/HLOOKUP($D$4,$M$9:$Q$10,2,FALSE)*GREET1_Import_Export!$D394</f>
        <v>8.0207109471285513E-3</v>
      </c>
      <c r="E22" s="348">
        <f t="shared" ca="1" si="4"/>
        <v>2.1448609665248027E-2</v>
      </c>
      <c r="F22" s="382">
        <f t="shared" ca="1" si="0"/>
        <v>0.32356275564922998</v>
      </c>
      <c r="G22" s="382">
        <f t="shared" ca="1" si="1"/>
        <v>0.30248708756629289</v>
      </c>
      <c r="H22" s="382">
        <f t="shared" ca="1" si="2"/>
        <v>0.37395015678447713</v>
      </c>
      <c r="I22" s="825">
        <f t="shared" ca="1" si="3"/>
        <v>1</v>
      </c>
    </row>
    <row r="23" spans="1:17" s="64" customFormat="1">
      <c r="A23" s="849" t="s">
        <v>884</v>
      </c>
      <c r="B23" s="749">
        <f>HLOOKUP(GREET1_Import_Export!$B$374,$M$9:$Q$10,2,FALSE)/HLOOKUP(GREET1_Import_Export!$D$373,$M$7:$Q$8,2,FALSE)*HLOOKUP($D$3,$M$7:$Q$8,2,FALSE)/HLOOKUP($D$4,$M$9:$Q$10,2,FALSE)*(GREET1_Import_Export!$B395+GREET1_Import_Export!$C395)/Vehi_Inputs!$B$150</f>
        <v>2.5371043400433155E-2</v>
      </c>
      <c r="C23" s="349">
        <f ca="1">HLOOKUP($D$3,$M$7:$Q$8,2,FALSE)/HLOOKUP($D$4,$M$9:$Q$10,2,FALSE)*Vehi_Sum!$B333</f>
        <v>0.11425139788699852</v>
      </c>
      <c r="D23" s="349">
        <f>HLOOKUP(GREET1_Import_Export!$B$374,$M$9:$Q$10,2,FALSE)/HLOOKUP(GREET1_Import_Export!$D$373,$M$7:$Q$8,2,FALSE)*HLOOKUP($D$3,$M$7:$Q$8,2,FALSE)/HLOOKUP($D$4,$M$9:$Q$10,2,FALSE)*GREET1_Import_Export!$D395/Vehi_Inputs!$B$150</f>
        <v>1.6590356077554463E-3</v>
      </c>
      <c r="E23" s="348">
        <f t="shared" ca="1" si="4"/>
        <v>0.14128147689518711</v>
      </c>
      <c r="F23" s="382">
        <f t="shared" ca="1" si="0"/>
        <v>0.17957798826844967</v>
      </c>
      <c r="G23" s="382">
        <f t="shared" ca="1" si="1"/>
        <v>0.8086792437182585</v>
      </c>
      <c r="H23" s="382">
        <f t="shared" ca="1" si="2"/>
        <v>1.1742768013291932E-2</v>
      </c>
      <c r="I23" s="825">
        <f t="shared" ca="1" si="3"/>
        <v>1</v>
      </c>
    </row>
    <row r="24" spans="1:17" s="64" customFormat="1">
      <c r="A24" s="909" t="s">
        <v>885</v>
      </c>
      <c r="B24" s="749">
        <f>HLOOKUP(GREET1_Import_Export!$B$374,$M$9:$Q$10,2,FALSE)/HLOOKUP(GREET1_Import_Export!$D$373,$M$7:$Q$8,2,FALSE)*HLOOKUP($D$3,$M$7:$Q$8,2,FALSE)/HLOOKUP($D$4,$M$9:$Q$10,2,FALSE)*(GREET1_Import_Export!$B396+GREET1_Import_Export!$C396)/Vehi_Inputs!$B$150</f>
        <v>9.294580271066292E-4</v>
      </c>
      <c r="C24" s="349">
        <f ca="1">HLOOKUP($D$3,$M$7:$Q$8,2,FALSE)/HLOOKUP($D$4,$M$9:$Q$10,2,FALSE)*Vehi_Sum!$B334</f>
        <v>2.0544182518401384E-4</v>
      </c>
      <c r="D24" s="349">
        <f>HLOOKUP(GREET1_Import_Export!$B$374,$M$9:$Q$10,2,FALSE)/HLOOKUP(GREET1_Import_Export!$D$373,$M$7:$Q$8,2,FALSE)*HLOOKUP($D$3,$M$7:$Q$8,2,FALSE)/HLOOKUP($D$4,$M$9:$Q$10,2,FALSE)*GREET1_Import_Export!$D396</f>
        <v>3.3838787821687246E-3</v>
      </c>
      <c r="E24" s="348">
        <f t="shared" ca="1" si="4"/>
        <v>4.5187786344593681E-3</v>
      </c>
      <c r="F24" s="382">
        <f t="shared" ca="1" si="0"/>
        <v>0.20568788654942169</v>
      </c>
      <c r="G24" s="382">
        <f t="shared" ca="1" si="1"/>
        <v>4.5464016231588016E-2</v>
      </c>
      <c r="H24" s="382">
        <f t="shared" ca="1" si="2"/>
        <v>0.74884809721899015</v>
      </c>
      <c r="I24" s="825">
        <f t="shared" ca="1" si="3"/>
        <v>1</v>
      </c>
    </row>
    <row r="25" spans="1:17" s="64" customFormat="1">
      <c r="A25" s="909" t="s">
        <v>886</v>
      </c>
      <c r="B25" s="749">
        <f>HLOOKUP(GREET1_Import_Export!$B$374,$M$9:$Q$10,2,FALSE)/HLOOKUP(GREET1_Import_Export!$D$373,$M$7:$Q$8,2,FALSE)*HLOOKUP($D$3,$M$7:$Q$8,2,FALSE)/HLOOKUP($D$4,$M$9:$Q$10,2,FALSE)*(GREET1_Import_Export!$B397+GREET1_Import_Export!$C397)/Vehi_Inputs!$B$150</f>
        <v>1.4968270256406067E-3</v>
      </c>
      <c r="C25" s="349">
        <f ca="1">HLOOKUP($D$3,$M$7:$Q$8,2,FALSE)/HLOOKUP($D$4,$M$9:$Q$10,2,FALSE)*Vehi_Sum!$B335</f>
        <v>4.4965861844969708E-4</v>
      </c>
      <c r="D25" s="349">
        <f>HLOOKUP(GREET1_Import_Export!$B$374,$M$9:$Q$10,2,FALSE)/HLOOKUP(GREET1_Import_Export!$D$373,$M$7:$Q$8,2,FALSE)*HLOOKUP($D$3,$M$7:$Q$8,2,FALSE)/HLOOKUP($D$4,$M$9:$Q$10,2,FALSE)*GREET1_Import_Export!$D397</f>
        <v>1.7169926457971099E-3</v>
      </c>
      <c r="E25" s="348">
        <f t="shared" ca="1" si="4"/>
        <v>3.6634782898874135E-3</v>
      </c>
      <c r="F25" s="382">
        <f t="shared" ca="1" si="0"/>
        <v>0.40858083689820562</v>
      </c>
      <c r="G25" s="382">
        <f t="shared" ca="1" si="1"/>
        <v>0.12274089891317905</v>
      </c>
      <c r="H25" s="382">
        <f t="shared" ca="1" si="2"/>
        <v>0.4686782641886153</v>
      </c>
      <c r="I25" s="825">
        <f t="shared" ca="1" si="3"/>
        <v>1</v>
      </c>
    </row>
    <row r="26" spans="1:17" s="64" customFormat="1">
      <c r="A26" s="849" t="s">
        <v>890</v>
      </c>
      <c r="B26" s="749">
        <f>HLOOKUP(GREET1_Import_Export!$B$374,$M$9:$Q$10,2,FALSE)/HLOOKUP(GREET1_Import_Export!$D$373,$M$7:$Q$8,2,FALSE)*HLOOKUP($D$3,$M$7:$Q$8,2,FALSE)/HLOOKUP($D$4,$M$9:$Q$10,2,FALSE)*(GREET1_Import_Export!$B398+GREET1_Import_Export!$C398)/Vehi_Inputs!$B$150</f>
        <v>5.7598135043736239E-2</v>
      </c>
      <c r="C26" s="377">
        <f ca="1">HLOOKUP($D$3,$M$7:$Q$8,2,FALSE)/HLOOKUP($D$4,$M$9:$Q$10,2,FALSE)*Vehi_Sum!$B336</f>
        <v>0.11123218959079555</v>
      </c>
      <c r="D26" s="377">
        <f>HLOOKUP(GREET1_Import_Export!$B$374,$M$9:$Q$10,2,FALSE)/HLOOKUP(GREET1_Import_Export!$D$373,$M$7:$Q$8,2,FALSE)*HLOOKUP($D$3,$M$7:$Q$8,2,FALSE)/HLOOKUP($D$4,$M$9:$Q$10,2,FALSE)*GREET1_Import_Export!$D398</f>
        <v>0.10739799456598269</v>
      </c>
      <c r="E26" s="384">
        <f t="shared" ca="1" si="4"/>
        <v>0.27622831920051449</v>
      </c>
      <c r="F26" s="382">
        <f t="shared" ca="1" si="0"/>
        <v>0.20851640125256554</v>
      </c>
      <c r="G26" s="382">
        <f t="shared" ca="1" si="1"/>
        <v>0.40268206356514791</v>
      </c>
      <c r="H26" s="382">
        <f t="shared" ca="1" si="2"/>
        <v>0.38880153518228644</v>
      </c>
      <c r="I26" s="825">
        <f t="shared" ca="1" si="3"/>
        <v>1</v>
      </c>
    </row>
    <row r="27" spans="1:17" s="64" customFormat="1">
      <c r="A27" s="849" t="s">
        <v>891</v>
      </c>
      <c r="B27" s="749">
        <f>HLOOKUP(GREET1_Import_Export!$B$374,$M$9:$Q$10,2,FALSE)/HLOOKUP(GREET1_Import_Export!$D$373,$M$7:$Q$8,2,FALSE)*HLOOKUP($D$3,$M$7:$Q$8,2,FALSE)/HLOOKUP($D$4,$M$9:$Q$10,2,FALSE)*(GREET1_Import_Export!$B399+GREET1_Import_Export!$C399)/Vehi_Inputs!$B$150</f>
        <v>9.904644881379503E-3</v>
      </c>
      <c r="C27" s="377">
        <f ca="1">HLOOKUP($D$3,$M$7:$Q$8,2,FALSE)/HLOOKUP($D$4,$M$9:$Q$10,2,FALSE)*Vehi_Sum!$B337</f>
        <v>1.4194727471152446E-3</v>
      </c>
      <c r="D27" s="377">
        <f>HLOOKUP(GREET1_Import_Export!$B$374,$M$9:$Q$10,2,FALSE)/HLOOKUP(GREET1_Import_Export!$D$373,$M$7:$Q$8,2,FALSE)*HLOOKUP($D$3,$M$7:$Q$8,2,FALSE)/HLOOKUP($D$4,$M$9:$Q$10,2,FALSE)*GREET1_Import_Export!$D399</f>
        <v>1.0259067450735662</v>
      </c>
      <c r="E27" s="384">
        <f t="shared" ca="1" si="4"/>
        <v>1.037230862702061</v>
      </c>
      <c r="F27" s="382">
        <f t="shared" ca="1" si="0"/>
        <v>9.5491228014341865E-3</v>
      </c>
      <c r="G27" s="382">
        <f t="shared" ca="1" si="1"/>
        <v>1.3685215106475101E-3</v>
      </c>
      <c r="H27" s="382">
        <f t="shared" ca="1" si="2"/>
        <v>0.98908235568791825</v>
      </c>
      <c r="I27" s="825">
        <f t="shared" ca="1" si="3"/>
        <v>1</v>
      </c>
    </row>
    <row r="28" spans="1:17" s="64" customFormat="1">
      <c r="A28" s="849" t="s">
        <v>892</v>
      </c>
      <c r="B28" s="749">
        <f>HLOOKUP(GREET1_Import_Export!$B$374,$M$9:$Q$10,2,FALSE)/HLOOKUP(GREET1_Import_Export!$D$373,$M$7:$Q$8,2,FALSE)*HLOOKUP($D$3,$M$7:$Q$8,2,FALSE)/HLOOKUP($D$4,$M$9:$Q$10,2,FALSE)*(GREET1_Import_Export!$B400+GREET1_Import_Export!$C400)/Vehi_Inputs!$B$150</f>
        <v>1.5338270414025386E-2</v>
      </c>
      <c r="C28" s="377">
        <f ca="1">HLOOKUP($D$3,$M$7:$Q$8,2,FALSE)/HLOOKUP($D$4,$M$9:$Q$10,2,FALSE)*Vehi_Sum!$B338</f>
        <v>3.9515670821448998E-3</v>
      </c>
      <c r="D28" s="377">
        <f>HLOOKUP(GREET1_Import_Export!$B$374,$M$9:$Q$10,2,FALSE)/HLOOKUP(GREET1_Import_Export!$D$373,$M$7:$Q$8,2,FALSE)*HLOOKUP($D$3,$M$7:$Q$8,2,FALSE)/HLOOKUP($D$4,$M$9:$Q$10,2,FALSE)*GREET1_Import_Export!$D400</f>
        <v>2.7504305283198145E-2</v>
      </c>
      <c r="E28" s="384">
        <f t="shared" ca="1" si="4"/>
        <v>4.6794142779368428E-2</v>
      </c>
      <c r="F28" s="382">
        <f t="shared" ca="1" si="0"/>
        <v>0.32778184411549988</v>
      </c>
      <c r="G28" s="382">
        <f t="shared" ca="1" si="1"/>
        <v>8.4445762812160083E-2</v>
      </c>
      <c r="H28" s="382">
        <f t="shared" ca="1" si="2"/>
        <v>0.58777239307234008</v>
      </c>
      <c r="I28" s="825">
        <f t="shared" ca="1" si="3"/>
        <v>1</v>
      </c>
    </row>
    <row r="29" spans="1:17" s="64" customFormat="1">
      <c r="A29" s="849" t="s">
        <v>893</v>
      </c>
      <c r="B29" s="749">
        <f>HLOOKUP(GREET1_Import_Export!$B$374,$M$9:$Q$10,2,FALSE)/HLOOKUP(GREET1_Import_Export!$D$373,$M$7:$Q$8,2,FALSE)*HLOOKUP($D$3,$M$7:$Q$8,2,FALSE)/HLOOKUP($D$4,$M$9:$Q$10,2,FALSE)*(GREET1_Import_Export!$B401+GREET1_Import_Export!$C401)/Vehi_Inputs!$B$150</f>
        <v>3.138593829308531E-3</v>
      </c>
      <c r="C29" s="377">
        <f ca="1">HLOOKUP($D$3,$M$7:$Q$8,2,FALSE)/HLOOKUP($D$4,$M$9:$Q$10,2,FALSE)*Vehi_Sum!$B339</f>
        <v>5.598167394913967E-4</v>
      </c>
      <c r="D29" s="377">
        <f>HLOOKUP(GREET1_Import_Export!$B$374,$M$9:$Q$10,2,FALSE)/HLOOKUP(GREET1_Import_Export!$D$373,$M$7:$Q$8,2,FALSE)*HLOOKUP($D$3,$M$7:$Q$8,2,FALSE)/HLOOKUP($D$4,$M$9:$Q$10,2,FALSE)*GREET1_Import_Export!$D401</f>
        <v>2.4631300802382933E-2</v>
      </c>
      <c r="E29" s="384">
        <f t="shared" ca="1" si="4"/>
        <v>2.8329711371182859E-2</v>
      </c>
      <c r="F29" s="382">
        <f t="shared" ca="1" si="0"/>
        <v>0.11078806233448345</v>
      </c>
      <c r="G29" s="382">
        <f t="shared" ca="1" si="1"/>
        <v>1.9760763961077465E-2</v>
      </c>
      <c r="H29" s="382">
        <f t="shared" ca="1" si="2"/>
        <v>0.86945117370443914</v>
      </c>
      <c r="I29" s="825">
        <f t="shared" ca="1" si="3"/>
        <v>1</v>
      </c>
      <c r="Q29" s="64" t="s">
        <v>1934</v>
      </c>
    </row>
    <row r="30" spans="1:17" s="64" customFormat="1">
      <c r="A30" s="849" t="s">
        <v>894</v>
      </c>
      <c r="B30" s="749">
        <f>HLOOKUP(GREET1_Import_Export!$B$374,$M$9:$Q$10,2,FALSE)/HLOOKUP(GREET1_Import_Export!$D$373,$M$7:$Q$8,2,FALSE)*HLOOKUP($D$3,$M$7:$Q$8,2,FALSE)/HLOOKUP($D$4,$M$9:$Q$10,2,FALSE)*(GREET1_Import_Export!$B402+GREET1_Import_Export!$C402)/Vehi_Inputs!$B$150</f>
        <v>2.7379732009549383E-3</v>
      </c>
      <c r="C30" s="377">
        <f ca="1">HLOOKUP($D$3,$M$7:$Q$8,2,FALSE)/HLOOKUP($D$4,$M$9:$Q$10,2,FALSE)*Vehi_Sum!$B340</f>
        <v>3.8154554641222564E-4</v>
      </c>
      <c r="D30" s="377">
        <f>HLOOKUP(GREET1_Import_Export!$B$374,$M$9:$Q$10,2,FALSE)/HLOOKUP(GREET1_Import_Export!$D$373,$M$7:$Q$8,2,FALSE)*HLOOKUP($D$3,$M$7:$Q$8,2,FALSE)/HLOOKUP($D$4,$M$9:$Q$10,2,FALSE)*GREET1_Import_Export!$D402</f>
        <v>5.6144976629899854E-3</v>
      </c>
      <c r="E30" s="384">
        <f t="shared" ca="1" si="4"/>
        <v>8.7340164103571483E-3</v>
      </c>
      <c r="F30" s="382">
        <f t="shared" ca="1" si="0"/>
        <v>0.31348386267148975</v>
      </c>
      <c r="G30" s="382">
        <f t="shared" ca="1" si="1"/>
        <v>4.3685004525497978E-2</v>
      </c>
      <c r="H30" s="382">
        <f t="shared" ca="1" si="2"/>
        <v>0.64283113280301241</v>
      </c>
      <c r="I30" s="825">
        <f t="shared" ca="1" si="3"/>
        <v>1</v>
      </c>
    </row>
    <row r="31" spans="1:17" s="64" customFormat="1">
      <c r="A31" s="849" t="s">
        <v>895</v>
      </c>
      <c r="B31" s="749">
        <f>HLOOKUP(GREET1_Import_Export!$B$374,$M$9:$Q$10,2,FALSE)/HLOOKUP(GREET1_Import_Export!$D$373,$M$7:$Q$8,2,FALSE)*HLOOKUP($D$3,$M$7:$Q$8,2,FALSE)/HLOOKUP($D$4,$M$9:$Q$10,2,FALSE)*(GREET1_Import_Export!$B403+GREET1_Import_Export!$C403)/Vehi_Inputs!$B$150</f>
        <v>5.5326416237078107E-3</v>
      </c>
      <c r="C31" s="377">
        <f ca="1">HLOOKUP($D$3,$M$7:$Q$8,2,FALSE)/HLOOKUP($D$4,$M$9:$Q$10,2,FALSE)*Vehi_Sum!$B341</f>
        <v>5.7516607921596083E-3</v>
      </c>
      <c r="D31" s="377">
        <f>HLOOKUP(GREET1_Import_Export!$B$374,$M$9:$Q$10,2,FALSE)/HLOOKUP(GREET1_Import_Export!$D$373,$M$7:$Q$8,2,FALSE)*HLOOKUP($D$3,$M$7:$Q$8,2,FALSE)/HLOOKUP($D$4,$M$9:$Q$10,2,FALSE)*GREET1_Import_Export!$D403/Vehi_Inputs!$B$150</f>
        <v>1.1613249254288122E-3</v>
      </c>
      <c r="E31" s="384">
        <f t="shared" ca="1" si="4"/>
        <v>1.2445627341296232E-2</v>
      </c>
      <c r="F31" s="382">
        <f t="shared" ca="1" si="0"/>
        <v>0.44454501745763964</v>
      </c>
      <c r="G31" s="382">
        <f t="shared" ca="1" si="1"/>
        <v>0.46214309929358399</v>
      </c>
      <c r="H31" s="382">
        <f t="shared" ca="1" si="2"/>
        <v>9.3311883248776303E-2</v>
      </c>
      <c r="I31" s="825">
        <f t="shared" ca="1" si="3"/>
        <v>1</v>
      </c>
    </row>
    <row r="32" spans="1:17" s="64" customFormat="1">
      <c r="A32" s="909" t="s">
        <v>896</v>
      </c>
      <c r="B32" s="749">
        <f>HLOOKUP(GREET1_Import_Export!$B$374,$M$9:$Q$10,2,FALSE)/HLOOKUP(GREET1_Import_Export!$D$373,$M$7:$Q$8,2,FALSE)*HLOOKUP($D$3,$M$7:$Q$8,2,FALSE)/HLOOKUP($D$4,$M$9:$Q$10,2,FALSE)*(GREET1_Import_Export!$B404+GREET1_Import_Export!$C404)/Vehi_Inputs!$B$150</f>
        <v>3.1222540630590902E-4</v>
      </c>
      <c r="C32" s="377">
        <f ca="1">HLOOKUP($D$3,$M$7:$Q$8,2,FALSE)/HLOOKUP($D$4,$M$9:$Q$10,2,FALSE)*Vehi_Sum!$B342</f>
        <v>2.4739573802537618E-5</v>
      </c>
      <c r="D32" s="377">
        <f>HLOOKUP(GREET1_Import_Export!$B$374,$M$9:$Q$10,2,FALSE)/HLOOKUP(GREET1_Import_Export!$D$373,$M$7:$Q$8,2,FALSE)*HLOOKUP($D$3,$M$7:$Q$8,2,FALSE)/HLOOKUP($D$4,$M$9:$Q$10,2,FALSE)*GREET1_Import_Export!$D404</f>
        <v>2.3687151475181071E-3</v>
      </c>
      <c r="E32" s="384">
        <f t="shared" ca="1" si="4"/>
        <v>2.7056801276265537E-3</v>
      </c>
      <c r="F32" s="382">
        <f t="shared" ca="1" si="0"/>
        <v>0.11539627434814177</v>
      </c>
      <c r="G32" s="382">
        <f t="shared" ca="1" si="1"/>
        <v>9.1435693192008574E-3</v>
      </c>
      <c r="H32" s="382">
        <f t="shared" ca="1" si="2"/>
        <v>0.87546015633265739</v>
      </c>
      <c r="I32" s="825">
        <f t="shared" ca="1" si="3"/>
        <v>1</v>
      </c>
    </row>
    <row r="33" spans="1:9" s="64" customFormat="1">
      <c r="A33" s="910" t="s">
        <v>897</v>
      </c>
      <c r="B33" s="771">
        <f>HLOOKUP(GREET1_Import_Export!$B$374,$M$9:$Q$10,2,FALSE)/HLOOKUP(GREET1_Import_Export!$D$373,$M$7:$Q$8,2,FALSE)*HLOOKUP($D$3,$M$7:$Q$8,2,FALSE)/HLOOKUP($D$4,$M$9:$Q$10,2,FALSE)*(GREET1_Import_Export!$B405+GREET1_Import_Export!$C405)/Vehi_Inputs!$B$150</f>
        <v>4.2440503325025648E-4</v>
      </c>
      <c r="C33" s="386">
        <f ca="1">HLOOKUP($D$3,$M$7:$Q$8,2,FALSE)/HLOOKUP($D$4,$M$9:$Q$10,2,FALSE)*Vehi_Sum!$B343</f>
        <v>5.9428135412610887E-5</v>
      </c>
      <c r="D33" s="386">
        <f>HLOOKUP(GREET1_Import_Export!$B$374,$M$9:$Q$10,2,FALSE)/HLOOKUP(GREET1_Import_Export!$D$373,$M$7:$Q$8,2,FALSE)*HLOOKUP($D$3,$M$7:$Q$8,2,FALSE)/HLOOKUP($D$4,$M$9:$Q$10,2,FALSE)*GREET1_Import_Export!$D405</f>
        <v>1.2018948520579769E-3</v>
      </c>
      <c r="E33" s="388">
        <f t="shared" ca="1" si="4"/>
        <v>1.6857280207208444E-3</v>
      </c>
      <c r="F33" s="368">
        <f t="shared" ca="1" si="0"/>
        <v>0.25176364634953036</v>
      </c>
      <c r="G33" s="368">
        <f t="shared" ca="1" si="1"/>
        <v>3.5253691391567699E-2</v>
      </c>
      <c r="H33" s="368">
        <f t="shared" ca="1" si="2"/>
        <v>0.71298266225890183</v>
      </c>
      <c r="I33" s="826">
        <f t="shared" ca="1" si="3"/>
        <v>1</v>
      </c>
    </row>
    <row r="34" spans="1:9" s="64" customFormat="1">
      <c r="F34" s="382"/>
      <c r="G34" s="382"/>
      <c r="H34" s="382"/>
    </row>
    <row r="35" spans="1:9" s="64" customFormat="1">
      <c r="A35" s="111" t="s">
        <v>1935</v>
      </c>
      <c r="B35" s="463"/>
      <c r="C35" s="463"/>
      <c r="D35" s="463"/>
      <c r="E35" s="463"/>
      <c r="F35" s="463"/>
      <c r="G35" s="463"/>
      <c r="H35" s="463"/>
    </row>
    <row r="36" spans="1:9" s="64" customFormat="1">
      <c r="A36" s="393"/>
      <c r="B36" s="3060" t="str">
        <f>$B$3&amp;"/"&amp;$D$4&amp;" or "&amp;$D$3&amp;"/"&amp;$D$4</f>
        <v>Btu/mile or g/mile</v>
      </c>
      <c r="C36" s="3061"/>
      <c r="D36" s="3061"/>
      <c r="E36" s="3062"/>
      <c r="F36" s="3005" t="s">
        <v>1890</v>
      </c>
      <c r="G36" s="3005"/>
      <c r="H36" s="3005"/>
      <c r="I36" s="3135"/>
    </row>
    <row r="37" spans="1:9" s="64" customFormat="1" ht="25.5">
      <c r="A37" s="908" t="s">
        <v>1923</v>
      </c>
      <c r="B37" s="1225" t="s">
        <v>1924</v>
      </c>
      <c r="C37" s="1658" t="s">
        <v>1925</v>
      </c>
      <c r="D37" s="1658" t="s">
        <v>1926</v>
      </c>
      <c r="E37" s="1226" t="s">
        <v>1894</v>
      </c>
      <c r="F37" s="1658" t="s">
        <v>1924</v>
      </c>
      <c r="G37" s="1658" t="s">
        <v>1925</v>
      </c>
      <c r="H37" s="1658" t="s">
        <v>1926</v>
      </c>
      <c r="I37" s="1226" t="s">
        <v>1894</v>
      </c>
    </row>
    <row r="38" spans="1:9" s="64" customFormat="1">
      <c r="A38" s="1103" t="s">
        <v>876</v>
      </c>
      <c r="B38" s="517">
        <f>HLOOKUP(GREET1_Import_Export!$B$374,$M$9:$Q$10,2,FALSE)/HLOOKUP(GREET1_Import_Export!$B$373,$M$5:$Q$6,2,FALSE)*HLOOKUP($B$3,$M$5:$Q$6,2,FALSE)/HLOOKUP($D$4,$M$9:$Q$10,2,FALSE)*(GREET1_Import_Export!$B380+GREET1_Import_Export!$C380)/Vehi_Inputs!$B$150/Vehi_Inputs!$B$154</f>
        <v>901.62419513370799</v>
      </c>
      <c r="C38" s="419">
        <f ca="1">HLOOKUP($B$3,$M$5:$Q$6,2,FALSE)/HLOOKUP($D$4,$M$9:$Q$10,2,FALSE)*Vehi_Sum!$C317</f>
        <v>713.94744580334725</v>
      </c>
      <c r="D38" s="419">
        <f>HLOOKUP(GREET1_Import_Export!$B$374,$M$9:$Q$10,2,FALSE)/HLOOKUP(GREET1_Import_Export!$B$373,$M$5:$Q$6,2,FALSE)*HLOOKUP($B$3,$M$5:$Q$6,2,FALSE)/HLOOKUP($D$4,$M$9:$Q$10,2,FALSE)*GREET1_Import_Export!$D380/Vehi_Inputs!$B$150/Vehi_Inputs!$B$154</f>
        <v>3301.311496428832</v>
      </c>
      <c r="E38" s="516">
        <f ca="1">SUM(B38:D38)</f>
        <v>4916.8831373658868</v>
      </c>
      <c r="F38" s="382">
        <f ca="1">B38/$E38</f>
        <v>0.18337311869013295</v>
      </c>
      <c r="G38" s="382">
        <f t="shared" ref="G38:G61" ca="1" si="5">C38/$E38</f>
        <v>0.14520325699378511</v>
      </c>
      <c r="H38" s="382">
        <f t="shared" ref="H38:H61" ca="1" si="6">D38/$E38</f>
        <v>0.67142362431608205</v>
      </c>
      <c r="I38" s="1104">
        <f t="shared" ref="I38:I61" ca="1" si="7">E38/$E38</f>
        <v>1</v>
      </c>
    </row>
    <row r="39" spans="1:9" s="64" customFormat="1">
      <c r="A39" s="849" t="s">
        <v>877</v>
      </c>
      <c r="B39" s="517">
        <f>HLOOKUP(GREET1_Import_Export!$B$374,$M$9:$Q$10,2,FALSE)/HLOOKUP(GREET1_Import_Export!$B$373,$M$5:$Q$6,2,FALSE)*HLOOKUP($B$3,$M$5:$Q$6,2,FALSE)/HLOOKUP($D$4,$M$9:$Q$10,2,FALSE)*(GREET1_Import_Export!$B381+GREET1_Import_Export!$C381)/Vehi_Inputs!$B$150/Vehi_Inputs!$B$154</f>
        <v>809.15819608873653</v>
      </c>
      <c r="C39" s="419">
        <f ca="1">HLOOKUP($B$3,$M$5:$Q$6,2,FALSE)/HLOOKUP($D$4,$M$9:$Q$10,2,FALSE)*Vehi_Sum!$C318</f>
        <v>643.71992027438898</v>
      </c>
      <c r="D39" s="419">
        <f>HLOOKUP(GREET1_Import_Export!$B$374,$M$9:$Q$10,2,FALSE)/HLOOKUP(GREET1_Import_Export!$B$373,$M$5:$Q$6,2,FALSE)*HLOOKUP($B$3,$M$5:$Q$6,2,FALSE)/HLOOKUP($D$4,$M$9:$Q$10,2,FALSE)*GREET1_Import_Export!$D381/Vehi_Inputs!$B$150/Vehi_Inputs!$B$154</f>
        <v>3081.2013471154269</v>
      </c>
      <c r="E39" s="516">
        <f ca="1">SUM(B39:D39)</f>
        <v>4534.0794634785525</v>
      </c>
      <c r="F39" s="382">
        <f t="shared" ref="F39:F61" ca="1" si="8">B39/$E39</f>
        <v>0.17846140602660482</v>
      </c>
      <c r="G39" s="382">
        <f t="shared" ca="1" si="5"/>
        <v>0.14197367414035705</v>
      </c>
      <c r="H39" s="382">
        <f t="shared" ca="1" si="6"/>
        <v>0.67956491983303813</v>
      </c>
      <c r="I39" s="825">
        <f t="shared" ca="1" si="7"/>
        <v>1</v>
      </c>
    </row>
    <row r="40" spans="1:9" s="64" customFormat="1">
      <c r="A40" s="849" t="s">
        <v>442</v>
      </c>
      <c r="B40" s="517">
        <f>HLOOKUP(GREET1_Import_Export!$B$374,$M$9:$Q$10,2,FALSE)/HLOOKUP(GREET1_Import_Export!$B$373,$M$5:$Q$6,2,FALSE)*HLOOKUP($B$3,$M$5:$Q$6,2,FALSE)/HLOOKUP($D$4,$M$9:$Q$10,2,FALSE)*(GREET1_Import_Export!$B382+GREET1_Import_Export!$C382)/Vehi_Inputs!$B$150/Vehi_Inputs!$B$154</f>
        <v>33.501944891089423</v>
      </c>
      <c r="C40" s="419">
        <f ca="1">HLOOKUP($B$3,$M$5:$Q$6,2,FALSE)/HLOOKUP($D$4,$M$9:$Q$10,2,FALSE)*Vehi_Sum!$C319</f>
        <v>113.79310343442756</v>
      </c>
      <c r="D40" s="419">
        <f>HLOOKUP(GREET1_Import_Export!$B$374,$M$9:$Q$10,2,FALSE)/HLOOKUP(GREET1_Import_Export!$B$373,$M$5:$Q$6,2,FALSE)*HLOOKUP($B$3,$M$5:$Q$6,2,FALSE)/HLOOKUP($D$4,$M$9:$Q$10,2,FALSE)*GREET1_Import_Export!$D382/Vehi_Inputs!$B$150/Vehi_Inputs!$B$154</f>
        <v>0</v>
      </c>
      <c r="E40" s="516">
        <f ca="1">SUM(B40:D40)</f>
        <v>147.29504832551697</v>
      </c>
      <c r="F40" s="382">
        <f t="shared" ca="1" si="8"/>
        <v>0.2274478692389664</v>
      </c>
      <c r="G40" s="382">
        <f t="shared" ca="1" si="5"/>
        <v>0.77255213076103368</v>
      </c>
      <c r="H40" s="382">
        <f t="shared" ca="1" si="6"/>
        <v>0</v>
      </c>
      <c r="I40" s="825">
        <f t="shared" ca="1" si="7"/>
        <v>1</v>
      </c>
    </row>
    <row r="41" spans="1:9" s="64" customFormat="1">
      <c r="A41" s="849" t="s">
        <v>878</v>
      </c>
      <c r="B41" s="517">
        <f>B39-B40-B42</f>
        <v>536.0067613709374</v>
      </c>
      <c r="C41" s="419">
        <f ca="1">C39-C40-C42</f>
        <v>367.18720428431476</v>
      </c>
      <c r="D41" s="419">
        <f>D39-D40-D42</f>
        <v>0</v>
      </c>
      <c r="E41" s="516">
        <f ca="1">E39-E40-E42</f>
        <v>903.19396565525221</v>
      </c>
      <c r="F41" s="382">
        <f t="shared" ca="1" si="8"/>
        <v>0.59345697796162022</v>
      </c>
      <c r="G41" s="382">
        <f t="shared" ca="1" si="5"/>
        <v>0.40654302203837972</v>
      </c>
      <c r="H41" s="382">
        <f t="shared" ca="1" si="6"/>
        <v>0</v>
      </c>
      <c r="I41" s="825">
        <f t="shared" ca="1" si="7"/>
        <v>1</v>
      </c>
    </row>
    <row r="42" spans="1:9" s="64" customFormat="1">
      <c r="A42" s="849" t="s">
        <v>440</v>
      </c>
      <c r="B42" s="517">
        <f>HLOOKUP(GREET1_Import_Export!$B$374,$M$9:$Q$10,2,FALSE)/HLOOKUP(GREET1_Import_Export!$B$373,$M$5:$Q$6,2,FALSE)*HLOOKUP($B$3,$M$5:$Q$6,2,FALSE)/HLOOKUP($D$4,$M$9:$Q$10,2,FALSE)*(GREET1_Import_Export!$B384+GREET1_Import_Export!$C384)/Vehi_Inputs!$B$150/Vehi_Inputs!$B$154</f>
        <v>239.64948982670964</v>
      </c>
      <c r="C42" s="419">
        <f ca="1">HLOOKUP($B$3,$M$5:$Q$6,2,FALSE)/HLOOKUP($D$4,$M$9:$Q$10,2,FALSE)*Vehi_Sum!$C321</f>
        <v>162.73961255564672</v>
      </c>
      <c r="D42" s="419">
        <f>HLOOKUP(GREET1_Import_Export!$B$374,$M$9:$Q$10,2,FALSE)/HLOOKUP(GREET1_Import_Export!$B$373,$M$5:$Q$6,2,FALSE)*HLOOKUP($B$3,$M$5:$Q$6,2,FALSE)/HLOOKUP($D$4,$M$9:$Q$10,2,FALSE)*GREET1_Import_Export!$D384/Vehi_Inputs!$B$150/Vehi_Inputs!$B$154</f>
        <v>3081.2013471154269</v>
      </c>
      <c r="E42" s="516">
        <f t="shared" ref="E42:E63" ca="1" si="9">SUM(B42:D42)</f>
        <v>3483.5904494977831</v>
      </c>
      <c r="F42" s="382">
        <f t="shared" ca="1" si="8"/>
        <v>6.8793818705427626E-2</v>
      </c>
      <c r="G42" s="382">
        <f t="shared" ca="1" si="5"/>
        <v>4.6716057732650036E-2</v>
      </c>
      <c r="H42" s="382">
        <f t="shared" ca="1" si="6"/>
        <v>0.88449012356192236</v>
      </c>
      <c r="I42" s="825">
        <f t="shared" ca="1" si="7"/>
        <v>1</v>
      </c>
    </row>
    <row r="43" spans="1:9" s="64" customFormat="1">
      <c r="A43" s="909" t="s">
        <v>819</v>
      </c>
      <c r="B43" s="347">
        <f>HLOOKUP(GREET1_Import_Export!$B$374,$M$9:$Q$10,2,FALSE)/HLOOKUP(GREET1_Import_Export!$B$373,$M$5:$Q$6,2,FALSE)*HLOOKUP($B$3,$M$5:$Q$6,2,FALSE)/HLOOKUP($D$4,$M$9:$Q$10,2,FALSE)*(GREET1_Import_Export!$B385+GREET1_Import_Export!$C385)/Vehi_Inputs!$B$150/Vehi_Inputs!$B$154</f>
        <v>0.16972843144589583</v>
      </c>
      <c r="C43" s="349">
        <f ca="1">HLOOKUP($B$3,$M$5:$Q$6,2,FALSE)/HLOOKUP($D$4,$M$9:$Q$10,2,FALSE)*Vehi_Sum!$C322</f>
        <v>3.3458334783804652E-2</v>
      </c>
      <c r="D43" s="349">
        <f>HLOOKUP(GREET1_Import_Export!$B$374,$M$9:$Q$10,2,FALSE)/HLOOKUP(GREET1_Import_Export!$B$373,$M$5:$Q$6,2,FALSE)*HLOOKUP($B$3,$M$5:$Q$6,2,FALSE)/HLOOKUP($D$4,$M$9:$Q$10,2,FALSE)*GREET1_Import_Export!$D385/Vehi_Inputs!$B$150/Vehi_Inputs!$B$154</f>
        <v>0</v>
      </c>
      <c r="E43" s="348">
        <f t="shared" ca="1" si="9"/>
        <v>0.2031867662297005</v>
      </c>
      <c r="F43" s="382">
        <f ca="1">B43/$E43</f>
        <v>0.83533211633487803</v>
      </c>
      <c r="G43" s="382">
        <f ca="1">C43/$E43</f>
        <v>0.16466788366512194</v>
      </c>
      <c r="H43" s="382">
        <f ca="1">D43/$E43</f>
        <v>0</v>
      </c>
      <c r="I43" s="825">
        <f ca="1">E43/$E43</f>
        <v>1</v>
      </c>
    </row>
    <row r="44" spans="1:9" s="64" customFormat="1">
      <c r="A44" s="849" t="s">
        <v>1895</v>
      </c>
      <c r="B44" s="517">
        <f>HLOOKUP(GREET1_Import_Export!$B$374,$M$9:$Q$10,2,FALSE)/HLOOKUP(GREET1_Import_Export!$D$373,$M$7:$Q$8,2,FALSE)*HLOOKUP($D$3,$M$7:$Q$8,2,FALSE)/HLOOKUP($D$4,$M$9:$Q$10,2,FALSE)*(GREET1_Import_Export!$B386+GREET1_Import_Export!$C386)/Vehi_Inputs!$B$150/Vehi_Inputs!$B$154</f>
        <v>45.73352545934636</v>
      </c>
      <c r="C44" s="419">
        <f ca="1">HLOOKUP($D$3,$M$7:$Q$8,2,FALSE)/HLOOKUP($D$4,$M$9:$Q$10,2,FALSE)*Vehi_Sum!$C324</f>
        <v>38.636102742802557</v>
      </c>
      <c r="D44" s="419">
        <f>HLOOKUP(GREET1_Import_Export!$B$374,$M$9:$Q$10,2,FALSE)/HLOOKUP(GREET1_Import_Export!$D$373,$M$7:$Q$8,2,FALSE)*HLOOKUP($D$3,$M$7:$Q$8,2,FALSE)/HLOOKUP($D$4,$M$9:$Q$10,2,FALSE)*((GREET1_Import_Export!$D386-(GREET1_Import_Export!$D390*GREET1_Import_Export!$B$62+GREET1_Import_Export!$D391*GREET1_Import_Export!$B$63)/GREET1_Import_Export!$B$65)/Vehi_Inputs!$B$150/Vehi_Inputs!$B$154+(GREET1_Import_Export!$D390*GREET1_Import_Export!$B$62+GREET1_Import_Export!$D391*GREET1_Import_Export!$B$63)/GREET1_Import_Export!$B$65)</f>
        <v>253.49786923695609</v>
      </c>
      <c r="E44" s="516">
        <f t="shared" ca="1" si="9"/>
        <v>337.86749743910502</v>
      </c>
      <c r="F44" s="382">
        <f t="shared" ca="1" si="8"/>
        <v>0.13535935183463174</v>
      </c>
      <c r="G44" s="382">
        <f t="shared" ca="1" si="5"/>
        <v>0.11435282480750036</v>
      </c>
      <c r="H44" s="382">
        <f t="shared" ca="1" si="6"/>
        <v>0.75028782335786781</v>
      </c>
      <c r="I44" s="825">
        <f t="shared" ca="1" si="7"/>
        <v>1</v>
      </c>
    </row>
    <row r="45" spans="1:9" s="64" customFormat="1">
      <c r="A45" s="849" t="s">
        <v>887</v>
      </c>
      <c r="B45" s="347">
        <f>HLOOKUP(GREET1_Import_Export!$B$374,$M$9:$Q$10,2,FALSE)/HLOOKUP(GREET1_Import_Export!$D$373,$M$7:$Q$8,2,FALSE)*HLOOKUP($D$3,$M$7:$Q$8,2,FALSE)/HLOOKUP($D$4,$M$9:$Q$10,2,FALSE)*(GREET1_Import_Export!$B387+GREET1_Import_Export!$C387)/Vehi_Inputs!$B$150/Vehi_Inputs!$B$154</f>
        <v>0.37850541694996126</v>
      </c>
      <c r="C45" s="349">
        <f ca="1">HLOOKUP($D$3,$M$7:$Q$8,2,FALSE)/HLOOKUP($D$4,$M$9:$Q$10,2,FALSE)*Vehi_Sum!$C325</f>
        <v>0.11033810249283908</v>
      </c>
      <c r="D45" s="349">
        <f>HLOOKUP(GREET1_Import_Export!$B$374,$M$9:$Q$10,2,FALSE)/HLOOKUP(GREET1_Import_Export!$D$373,$M$7:$Q$8,2,FALSE)*HLOOKUP($D$3,$M$7:$Q$8,2,FALSE)/HLOOKUP($D$4,$M$9:$Q$10,2,FALSE)*GREET1_Import_Export!$D387</f>
        <v>7.9522606701268542E-3</v>
      </c>
      <c r="E45" s="384">
        <f t="shared" ca="1" si="9"/>
        <v>0.49679578011292719</v>
      </c>
      <c r="F45" s="382">
        <f t="shared" ca="1" si="8"/>
        <v>0.76189338175119514</v>
      </c>
      <c r="G45" s="382">
        <f t="shared" ca="1" si="5"/>
        <v>0.222099516360139</v>
      </c>
      <c r="H45" s="382">
        <f t="shared" ca="1" si="6"/>
        <v>1.6007101888665835E-2</v>
      </c>
      <c r="I45" s="825">
        <f t="shared" ca="1" si="7"/>
        <v>1</v>
      </c>
    </row>
    <row r="46" spans="1:9" s="64" customFormat="1">
      <c r="A46" s="849" t="s">
        <v>888</v>
      </c>
      <c r="B46" s="347">
        <f>HLOOKUP(GREET1_Import_Export!$B$374,$M$9:$Q$10,2,FALSE)/HLOOKUP(GREET1_Import_Export!$D$373,$M$7:$Q$8,2,FALSE)*HLOOKUP($D$3,$M$7:$Q$8,2,FALSE)/HLOOKUP($D$4,$M$9:$Q$10,2,FALSE)*(GREET1_Import_Export!$B388+GREET1_Import_Export!$C388)/Vehi_Inputs!$B$150/Vehi_Inputs!$B$154</f>
        <v>9.5249729529845052E-3</v>
      </c>
      <c r="C46" s="349">
        <f ca="1">HLOOKUP($D$3,$M$7:$Q$8,2,FALSE)/HLOOKUP($D$4,$M$9:$Q$10,2,FALSE)*Vehi_Sum!$C326</f>
        <v>1.012707003020666E-3</v>
      </c>
      <c r="D46" s="349">
        <f>HLOOKUP(GREET1_Import_Export!$B$374,$M$9:$Q$10,2,FALSE)/HLOOKUP(GREET1_Import_Export!$D$373,$M$7:$Q$8,2,FALSE)*HLOOKUP($D$3,$M$7:$Q$8,2,FALSE)/HLOOKUP($D$4,$M$9:$Q$10,2,FALSE)*GREET1_Import_Export!$D388</f>
        <v>3.8553552069305742E-3</v>
      </c>
      <c r="E46" s="384">
        <f t="shared" ca="1" si="9"/>
        <v>1.4393035162935747E-2</v>
      </c>
      <c r="F46" s="382">
        <f t="shared" ca="1" si="8"/>
        <v>0.66177653602297581</v>
      </c>
      <c r="G46" s="382">
        <f t="shared" ca="1" si="5"/>
        <v>7.0360906616037486E-2</v>
      </c>
      <c r="H46" s="382">
        <f t="shared" ca="1" si="6"/>
        <v>0.26786255736098663</v>
      </c>
      <c r="I46" s="825">
        <f t="shared" ca="1" si="7"/>
        <v>1</v>
      </c>
    </row>
    <row r="47" spans="1:9" s="64" customFormat="1">
      <c r="A47" s="849" t="s">
        <v>1896</v>
      </c>
      <c r="B47" s="517">
        <f>HLOOKUP(GREET1_Import_Export!$B$374,$M$9:$Q$10,2,FALSE)/HLOOKUP(GREET1_Import_Export!$D$373,$M$7:$Q$8,2,FALSE)*HLOOKUP($D$3,$M$7:$Q$8,2,FALSE)/HLOOKUP($D$4,$M$9:$Q$10,2,FALSE)*(GREET1_Import_Export!$B389+GREET1_Import_Export!$C389)/Vehi_Inputs!$B$150/Vehi_Inputs!$B$154</f>
        <v>59.612805800386099</v>
      </c>
      <c r="C47" s="419">
        <f ca="1">HLOOKUP($D$3,$M$7:$Q$8,2,FALSE)/HLOOKUP($D$4,$M$9:$Q$10,2,FALSE)*Vehi_Sum!$C327</f>
        <v>43.168109727514192</v>
      </c>
      <c r="D47" s="158">
        <f>D44+SUMPRODUCT(D45:D46,GREET1_Import_Export!$B$51:$B$52)+SUMPRODUCT(D48:D50,GREET1_Import_Export!$B$55:$B$57)+SUMPRODUCT(D54:D55,GREET1_Import_Export!$B$58:$B$59)</f>
        <v>254.7581061868965</v>
      </c>
      <c r="E47" s="516">
        <f t="shared" ca="1" si="9"/>
        <v>357.53902171479677</v>
      </c>
      <c r="F47" s="382">
        <f t="shared" ca="1" si="8"/>
        <v>0.16673090818024974</v>
      </c>
      <c r="G47" s="382">
        <f t="shared" ca="1" si="5"/>
        <v>0.12073677866117985</v>
      </c>
      <c r="H47" s="382">
        <f t="shared" ca="1" si="6"/>
        <v>0.71253231315857046</v>
      </c>
      <c r="I47" s="825">
        <f t="shared" ca="1" si="7"/>
        <v>1</v>
      </c>
    </row>
    <row r="48" spans="1:9" s="64" customFormat="1">
      <c r="A48" s="849" t="s">
        <v>879</v>
      </c>
      <c r="B48" s="347">
        <f>HLOOKUP(GREET1_Import_Export!$B$374,$M$9:$Q$10,2,FALSE)/HLOOKUP(GREET1_Import_Export!$D$373,$M$7:$Q$8,2,FALSE)*HLOOKUP($D$3,$M$7:$Q$8,2,FALSE)/HLOOKUP($D$4,$M$9:$Q$10,2,FALSE)*(GREET1_Import_Export!$B390+GREET1_Import_Export!$C390)/Vehi_Inputs!$B$150/Vehi_Inputs!$B$154</f>
        <v>9.6972831730054457E-2</v>
      </c>
      <c r="C48" s="349">
        <f ca="1">HLOOKUP($D$3,$M$7:$Q$8,2,FALSE)/HLOOKUP($D$4,$M$9:$Q$10,2,FALSE)*Vehi_Sum!$C328</f>
        <v>0.18529592714288531</v>
      </c>
      <c r="D48" s="349">
        <f>HLOOKUP(GREET1_Import_Export!$B$374,$M$9:$Q$10,2,FALSE)/HLOOKUP(GREET1_Import_Export!$D$373,$M$7:$Q$8,2,FALSE)*HLOOKUP($D$3,$M$7:$Q$8,2,FALSE)/HLOOKUP($D$4,$M$9:$Q$10,2,FALSE)*GREET1_Import_Export!$D390</f>
        <v>0.15342570652283241</v>
      </c>
      <c r="E48" s="384">
        <f t="shared" ca="1" si="9"/>
        <v>0.43569446539577217</v>
      </c>
      <c r="F48" s="382">
        <f t="shared" ca="1" si="8"/>
        <v>0.22257072198970249</v>
      </c>
      <c r="G48" s="382">
        <f t="shared" ca="1" si="5"/>
        <v>0.42528868704946227</v>
      </c>
      <c r="H48" s="382">
        <f t="shared" ca="1" si="6"/>
        <v>0.35214059096083528</v>
      </c>
      <c r="I48" s="825">
        <f t="shared" ca="1" si="7"/>
        <v>1</v>
      </c>
    </row>
    <row r="49" spans="1:9" s="64" customFormat="1">
      <c r="A49" s="849" t="s">
        <v>880</v>
      </c>
      <c r="B49" s="347">
        <f>HLOOKUP(GREET1_Import_Export!$B$374,$M$9:$Q$10,2,FALSE)/HLOOKUP(GREET1_Import_Export!$D$373,$M$7:$Q$8,2,FALSE)*HLOOKUP($D$3,$M$7:$Q$8,2,FALSE)/HLOOKUP($D$4,$M$9:$Q$10,2,FALSE)*(GREET1_Import_Export!$B391+GREET1_Import_Export!$C391)/Vehi_Inputs!$B$150/Vehi_Inputs!$B$154</f>
        <v>5.0851777770307222E-2</v>
      </c>
      <c r="C49" s="349">
        <f ca="1">HLOOKUP($D$3,$M$7:$Q$8,2,FALSE)/HLOOKUP($D$4,$M$9:$Q$10,2,FALSE)*Vehi_Sum!$C329</f>
        <v>6.767017304277996E-2</v>
      </c>
      <c r="D49" s="349">
        <f>HLOOKUP(GREET1_Import_Export!$B$374,$M$9:$Q$10,2,FALSE)/HLOOKUP(GREET1_Import_Export!$D$373,$M$7:$Q$8,2,FALSE)*HLOOKUP($D$3,$M$7:$Q$8,2,FALSE)/HLOOKUP($D$4,$M$9:$Q$10,2,FALSE)*GREET1_Import_Export!$D391</f>
        <v>1.4655810643908089</v>
      </c>
      <c r="E49" s="384">
        <f t="shared" ca="1" si="9"/>
        <v>1.5841030152038962</v>
      </c>
      <c r="F49" s="382">
        <f t="shared" ca="1" si="8"/>
        <v>3.2101307353273288E-2</v>
      </c>
      <c r="G49" s="382">
        <f t="shared" ca="1" si="5"/>
        <v>4.2718290662473027E-2</v>
      </c>
      <c r="H49" s="382">
        <f t="shared" ca="1" si="6"/>
        <v>0.92518040198425366</v>
      </c>
      <c r="I49" s="825">
        <f t="shared" ca="1" si="7"/>
        <v>1</v>
      </c>
    </row>
    <row r="50" spans="1:9" s="64" customFormat="1">
      <c r="A50" s="849" t="s">
        <v>881</v>
      </c>
      <c r="B50" s="347">
        <f>HLOOKUP(GREET1_Import_Export!$B$374,$M$9:$Q$10,2,FALSE)/HLOOKUP(GREET1_Import_Export!$D$373,$M$7:$Q$8,2,FALSE)*HLOOKUP($D$3,$M$7:$Q$8,2,FALSE)/HLOOKUP($D$4,$M$9:$Q$10,2,FALSE)*(GREET1_Import_Export!$B392+GREET1_Import_Export!$C392)/Vehi_Inputs!$B$150/Vehi_Inputs!$B$154</f>
        <v>8.2923883827983727E-2</v>
      </c>
      <c r="C50" s="349">
        <f ca="1">HLOOKUP($D$3,$M$7:$Q$8,2,FALSE)/HLOOKUP($D$4,$M$9:$Q$10,2,FALSE)*Vehi_Sum!$C330</f>
        <v>4.0753667011542892E-2</v>
      </c>
      <c r="D50" s="349">
        <f>HLOOKUP(GREET1_Import_Export!$B$374,$M$9:$Q$10,2,FALSE)/HLOOKUP(GREET1_Import_Export!$D$373,$M$7:$Q$8,2,FALSE)*HLOOKUP($D$3,$M$7:$Q$8,2,FALSE)/HLOOKUP($D$4,$M$9:$Q$10,2,FALSE)*GREET1_Import_Export!$D392</f>
        <v>3.929186469028307E-2</v>
      </c>
      <c r="E50" s="384">
        <f t="shared" ca="1" si="9"/>
        <v>0.16296941552980967</v>
      </c>
      <c r="F50" s="382">
        <f t="shared" ca="1" si="8"/>
        <v>0.50883095799540157</v>
      </c>
      <c r="G50" s="382">
        <f t="shared" ca="1" si="5"/>
        <v>0.25006941872530924</v>
      </c>
      <c r="H50" s="382">
        <f t="shared" ca="1" si="6"/>
        <v>0.2410996232792893</v>
      </c>
      <c r="I50" s="825">
        <f t="shared" ca="1" si="7"/>
        <v>1</v>
      </c>
    </row>
    <row r="51" spans="1:9" s="64" customFormat="1">
      <c r="A51" s="849" t="s">
        <v>882</v>
      </c>
      <c r="B51" s="347">
        <f>HLOOKUP(GREET1_Import_Export!$B$374,$M$9:$Q$10,2,FALSE)/HLOOKUP(GREET1_Import_Export!$D$373,$M$7:$Q$8,2,FALSE)*HLOOKUP($D$3,$M$7:$Q$8,2,FALSE)/HLOOKUP($D$4,$M$9:$Q$10,2,FALSE)*(GREET1_Import_Export!$B393+GREET1_Import_Export!$C393)/Vehi_Inputs!$B$150/Vehi_Inputs!$B$154</f>
        <v>9.3499254564766866E-3</v>
      </c>
      <c r="C51" s="349">
        <f ca="1">HLOOKUP($D$3,$M$7:$Q$8,2,FALSE)/HLOOKUP($D$4,$M$9:$Q$10,2,FALSE)*Vehi_Sum!$C331</f>
        <v>1.7996862429252584E-2</v>
      </c>
      <c r="D51" s="349">
        <f>HLOOKUP(GREET1_Import_Export!$B$374,$M$9:$Q$10,2,FALSE)/HLOOKUP(GREET1_Import_Export!$D$373,$M$7:$Q$8,2,FALSE)*HLOOKUP($D$3,$M$7:$Q$8,2,FALSE)/HLOOKUP($D$4,$M$9:$Q$10,2,FALSE)*GREET1_Import_Export!$D393</f>
        <v>3.5187572574832765E-2</v>
      </c>
      <c r="E51" s="348">
        <f t="shared" ca="1" si="9"/>
        <v>6.2534360460562044E-2</v>
      </c>
      <c r="F51" s="382">
        <f t="shared" ca="1" si="8"/>
        <v>0.1495166079514528</v>
      </c>
      <c r="G51" s="382">
        <f t="shared" ca="1" si="5"/>
        <v>0.28779158044804015</v>
      </c>
      <c r="H51" s="382">
        <f t="shared" ca="1" si="6"/>
        <v>0.56269181160050685</v>
      </c>
      <c r="I51" s="825">
        <f t="shared" ca="1" si="7"/>
        <v>1</v>
      </c>
    </row>
    <row r="52" spans="1:9" s="64" customFormat="1">
      <c r="A52" s="849" t="s">
        <v>883</v>
      </c>
      <c r="B52" s="347">
        <f>HLOOKUP(GREET1_Import_Export!$B$374,$M$9:$Q$10,2,FALSE)/HLOOKUP(GREET1_Import_Export!$D$373,$M$7:$Q$8,2,FALSE)*HLOOKUP($D$3,$M$7:$Q$8,2,FALSE)/HLOOKUP($D$4,$M$9:$Q$10,2,FALSE)*(GREET1_Import_Export!$B394+GREET1_Import_Export!$C394)/Vehi_Inputs!$B$150/Vehi_Inputs!$B$154</f>
        <v>6.295725997987345E-3</v>
      </c>
      <c r="C52" s="349">
        <f ca="1">HLOOKUP($D$3,$M$7:$Q$8,2,FALSE)/HLOOKUP($D$4,$M$9:$Q$10,2,FALSE)*Vehi_Sum!$C332</f>
        <v>6.5983762052348252E-3</v>
      </c>
      <c r="D52" s="349">
        <f>HLOOKUP(GREET1_Import_Export!$B$374,$M$9:$Q$10,2,FALSE)/HLOOKUP(GREET1_Import_Export!$D$373,$M$7:$Q$8,2,FALSE)*HLOOKUP($D$3,$M$7:$Q$8,2,FALSE)/HLOOKUP($D$4,$M$9:$Q$10,2,FALSE)*GREET1_Import_Export!$D394</f>
        <v>8.0207109471285513E-3</v>
      </c>
      <c r="E52" s="348">
        <f t="shared" ca="1" si="9"/>
        <v>2.0914813150350722E-2</v>
      </c>
      <c r="F52" s="382">
        <f t="shared" ca="1" si="8"/>
        <v>0.30101755883397752</v>
      </c>
      <c r="G52" s="382">
        <f t="shared" ca="1" si="5"/>
        <v>0.31548817375517296</v>
      </c>
      <c r="H52" s="382">
        <f t="shared" ca="1" si="6"/>
        <v>0.38349426741084947</v>
      </c>
      <c r="I52" s="825">
        <f t="shared" ca="1" si="7"/>
        <v>1</v>
      </c>
    </row>
    <row r="53" spans="1:9" s="64" customFormat="1">
      <c r="A53" s="849" t="s">
        <v>884</v>
      </c>
      <c r="B53" s="347">
        <f>HLOOKUP(GREET1_Import_Export!$B$374,$M$9:$Q$10,2,FALSE)/HLOOKUP(GREET1_Import_Export!$D$373,$M$7:$Q$8,2,FALSE)*HLOOKUP($D$3,$M$7:$Q$8,2,FALSE)/HLOOKUP($D$4,$M$9:$Q$10,2,FALSE)*(GREET1_Import_Export!$B395+GREET1_Import_Export!$C395)/Vehi_Inputs!$B$150/Vehi_Inputs!$B$154</f>
        <v>2.3015821221904563E-2</v>
      </c>
      <c r="C53" s="349">
        <f ca="1">HLOOKUP($D$3,$M$7:$Q$8,2,FALSE)/HLOOKUP($D$4,$M$9:$Q$10,2,FALSE)*Vehi_Sum!$C333</f>
        <v>0.10055132811384607</v>
      </c>
      <c r="D53" s="349">
        <f>HLOOKUP(GREET1_Import_Export!$B$374,$M$9:$Q$10,2,FALSE)/HLOOKUP(GREET1_Import_Export!$D$373,$M$7:$Q$8,2,FALSE)*HLOOKUP($D$3,$M$7:$Q$8,2,FALSE)/HLOOKUP($D$4,$M$9:$Q$10,2,FALSE)*GREET1_Import_Export!$D395/Vehi_Inputs!$B$150/Vehi_Inputs!$B$154</f>
        <v>1.5050254869778525E-3</v>
      </c>
      <c r="E53" s="348">
        <f t="shared" ca="1" si="9"/>
        <v>0.12507217482272848</v>
      </c>
      <c r="F53" s="382">
        <f t="shared" ca="1" si="8"/>
        <v>0.18402031670534333</v>
      </c>
      <c r="G53" s="382">
        <f t="shared" ca="1" si="5"/>
        <v>0.80394642738373168</v>
      </c>
      <c r="H53" s="382">
        <f t="shared" ca="1" si="6"/>
        <v>1.203325591092508E-2</v>
      </c>
      <c r="I53" s="825">
        <f t="shared" ca="1" si="7"/>
        <v>1</v>
      </c>
    </row>
    <row r="54" spans="1:9" s="64" customFormat="1">
      <c r="A54" s="909" t="s">
        <v>885</v>
      </c>
      <c r="B54" s="347">
        <f>HLOOKUP(GREET1_Import_Export!$B$374,$M$9:$Q$10,2,FALSE)/HLOOKUP(GREET1_Import_Export!$D$373,$M$7:$Q$8,2,FALSE)*HLOOKUP($D$3,$M$7:$Q$8,2,FALSE)/HLOOKUP($D$4,$M$9:$Q$10,2,FALSE)*(GREET1_Import_Export!$B396+GREET1_Import_Export!$C396)/Vehi_Inputs!$B$150/Vehi_Inputs!$B$154</f>
        <v>8.4317540463413017E-4</v>
      </c>
      <c r="C54" s="349">
        <f ca="1">HLOOKUP($D$3,$M$7:$Q$8,2,FALSE)/HLOOKUP($D$4,$M$9:$Q$10,2,FALSE)*Vehi_Sum!$C334</f>
        <v>2.7330013027410582E-4</v>
      </c>
      <c r="D54" s="349">
        <f>HLOOKUP(GREET1_Import_Export!$B$374,$M$9:$Q$10,2,FALSE)/HLOOKUP(GREET1_Import_Export!$D$373,$M$7:$Q$8,2,FALSE)*HLOOKUP($D$3,$M$7:$Q$8,2,FALSE)/HLOOKUP($D$4,$M$9:$Q$10,2,FALSE)*GREET1_Import_Export!$D396</f>
        <v>3.3838787821687246E-3</v>
      </c>
      <c r="E54" s="348">
        <f t="shared" ca="1" si="9"/>
        <v>4.5003543170769609E-3</v>
      </c>
      <c r="F54" s="382">
        <f t="shared" ref="F54:I55" ca="1" si="10">B54/$E54</f>
        <v>0.18735756014468294</v>
      </c>
      <c r="G54" s="382">
        <f t="shared" ca="1" si="10"/>
        <v>6.0728580689090685E-2</v>
      </c>
      <c r="H54" s="382">
        <f t="shared" ca="1" si="10"/>
        <v>0.75191385916622633</v>
      </c>
      <c r="I54" s="825">
        <f t="shared" ca="1" si="10"/>
        <v>1</v>
      </c>
    </row>
    <row r="55" spans="1:9" s="64" customFormat="1">
      <c r="A55" s="909" t="s">
        <v>886</v>
      </c>
      <c r="B55" s="347">
        <f>HLOOKUP(GREET1_Import_Export!$B$374,$M$9:$Q$10,2,FALSE)/HLOOKUP(GREET1_Import_Export!$D$373,$M$7:$Q$8,2,FALSE)*HLOOKUP($D$3,$M$7:$Q$8,2,FALSE)/HLOOKUP($D$4,$M$9:$Q$10,2,FALSE)*(GREET1_Import_Export!$B397+GREET1_Import_Export!$C397)/Vehi_Inputs!$B$150/Vehi_Inputs!$B$154</f>
        <v>1.3578749079618535E-3</v>
      </c>
      <c r="C55" s="349">
        <f ca="1">HLOOKUP($D$3,$M$7:$Q$8,2,FALSE)/HLOOKUP($D$4,$M$9:$Q$10,2,FALSE)*Vehi_Sum!$C335</f>
        <v>6.2416045740529248E-4</v>
      </c>
      <c r="D55" s="349">
        <f>HLOOKUP(GREET1_Import_Export!$B$374,$M$9:$Q$10,2,FALSE)/HLOOKUP(GREET1_Import_Export!$D$373,$M$7:$Q$8,2,FALSE)*HLOOKUP($D$3,$M$7:$Q$8,2,FALSE)/HLOOKUP($D$4,$M$9:$Q$10,2,FALSE)*GREET1_Import_Export!$D397</f>
        <v>1.7169926457971099E-3</v>
      </c>
      <c r="E55" s="348">
        <f t="shared" ca="1" si="9"/>
        <v>3.6990280111642558E-3</v>
      </c>
      <c r="F55" s="382">
        <f t="shared" ca="1" si="10"/>
        <v>0.36708965270432414</v>
      </c>
      <c r="G55" s="382">
        <f t="shared" ca="1" si="10"/>
        <v>0.1687363424990232</v>
      </c>
      <c r="H55" s="382">
        <f t="shared" ca="1" si="10"/>
        <v>0.46417400479665266</v>
      </c>
      <c r="I55" s="825">
        <f t="shared" ca="1" si="10"/>
        <v>1</v>
      </c>
    </row>
    <row r="56" spans="1:9" s="64" customFormat="1">
      <c r="A56" s="849" t="s">
        <v>890</v>
      </c>
      <c r="B56" s="347">
        <f>HLOOKUP(GREET1_Import_Export!$B$374,$M$9:$Q$10,2,FALSE)/HLOOKUP(GREET1_Import_Export!$D$373,$M$7:$Q$8,2,FALSE)*HLOOKUP($D$3,$M$7:$Q$8,2,FALSE)/HLOOKUP($D$4,$M$9:$Q$10,2,FALSE)*(GREET1_Import_Export!$B398+GREET1_Import_Export!$C398)/Vehi_Inputs!$B$150/Vehi_Inputs!$B$154</f>
        <v>5.2251236102458305E-2</v>
      </c>
      <c r="C56" s="377">
        <f ca="1">HLOOKUP($D$3,$M$7:$Q$8,2,FALSE)/HLOOKUP($D$4,$M$9:$Q$10,2,FALSE)*Vehi_Sum!$C336</f>
        <v>0.11152093304526464</v>
      </c>
      <c r="D56" s="377">
        <f>HLOOKUP(GREET1_Import_Export!$B$374,$M$9:$Q$10,2,FALSE)/HLOOKUP(GREET1_Import_Export!$D$373,$M$7:$Q$8,2,FALSE)*HLOOKUP($D$3,$M$7:$Q$8,2,FALSE)/HLOOKUP($D$4,$M$9:$Q$10,2,FALSE)*GREET1_Import_Export!$D398</f>
        <v>0.10739799456598269</v>
      </c>
      <c r="E56" s="384">
        <f t="shared" ca="1" si="9"/>
        <v>0.27117016371370561</v>
      </c>
      <c r="F56" s="382">
        <f t="shared" ca="1" si="8"/>
        <v>0.19268799851308049</v>
      </c>
      <c r="G56" s="382">
        <f t="shared" ca="1" si="5"/>
        <v>0.41125812485405117</v>
      </c>
      <c r="H56" s="382">
        <f t="shared" ca="1" si="6"/>
        <v>0.3960538766328684</v>
      </c>
      <c r="I56" s="825">
        <f t="shared" ca="1" si="7"/>
        <v>1</v>
      </c>
    </row>
    <row r="57" spans="1:9" s="64" customFormat="1">
      <c r="A57" s="849" t="s">
        <v>891</v>
      </c>
      <c r="B57" s="347">
        <f>HLOOKUP(GREET1_Import_Export!$B$374,$M$9:$Q$10,2,FALSE)/HLOOKUP(GREET1_Import_Export!$D$373,$M$7:$Q$8,2,FALSE)*HLOOKUP($D$3,$M$7:$Q$8,2,FALSE)/HLOOKUP($D$4,$M$9:$Q$10,2,FALSE)*(GREET1_Import_Export!$B399+GREET1_Import_Export!$C399)/Vehi_Inputs!$B$150/Vehi_Inputs!$B$154</f>
        <v>8.9851856803173803E-3</v>
      </c>
      <c r="C57" s="377">
        <f ca="1">HLOOKUP($D$3,$M$7:$Q$8,2,FALSE)/HLOOKUP($D$4,$M$9:$Q$10,2,FALSE)*Vehi_Sum!$C337</f>
        <v>2.0146696849072496E-3</v>
      </c>
      <c r="D57" s="377">
        <f>HLOOKUP(GREET1_Import_Export!$B$374,$M$9:$Q$10,2,FALSE)/HLOOKUP(GREET1_Import_Export!$D$373,$M$7:$Q$8,2,FALSE)*HLOOKUP($D$3,$M$7:$Q$8,2,FALSE)/HLOOKUP($D$4,$M$9:$Q$10,2,FALSE)*GREET1_Import_Export!$D399</f>
        <v>1.0259067450735662</v>
      </c>
      <c r="E57" s="384">
        <f t="shared" ca="1" si="9"/>
        <v>1.0369066004387908</v>
      </c>
      <c r="F57" s="382">
        <f t="shared" ca="1" si="8"/>
        <v>8.6653761066957172E-3</v>
      </c>
      <c r="G57" s="382">
        <f t="shared" ca="1" si="5"/>
        <v>1.9429615782701121E-3</v>
      </c>
      <c r="H57" s="382">
        <f t="shared" ca="1" si="6"/>
        <v>0.98939166231503417</v>
      </c>
      <c r="I57" s="825">
        <f t="shared" ca="1" si="7"/>
        <v>1</v>
      </c>
    </row>
    <row r="58" spans="1:9" s="64" customFormat="1">
      <c r="A58" s="849" t="s">
        <v>892</v>
      </c>
      <c r="B58" s="347">
        <f>HLOOKUP(GREET1_Import_Export!$B$374,$M$9:$Q$10,2,FALSE)/HLOOKUP(GREET1_Import_Export!$D$373,$M$7:$Q$8,2,FALSE)*HLOOKUP($D$3,$M$7:$Q$8,2,FALSE)/HLOOKUP($D$4,$M$9:$Q$10,2,FALSE)*(GREET1_Import_Export!$B400+GREET1_Import_Export!$C400)/Vehi_Inputs!$B$150/Vehi_Inputs!$B$154</f>
        <v>1.3914401711062828E-2</v>
      </c>
      <c r="C58" s="377">
        <f ca="1">HLOOKUP($D$3,$M$7:$Q$8,2,FALSE)/HLOOKUP($D$4,$M$9:$Q$10,2,FALSE)*Vehi_Sum!$C338</f>
        <v>5.183800182727882E-3</v>
      </c>
      <c r="D58" s="377">
        <f>HLOOKUP(GREET1_Import_Export!$B$374,$M$9:$Q$10,2,FALSE)/HLOOKUP(GREET1_Import_Export!$D$373,$M$7:$Q$8,2,FALSE)*HLOOKUP($D$3,$M$7:$Q$8,2,FALSE)/HLOOKUP($D$4,$M$9:$Q$10,2,FALSE)*GREET1_Import_Export!$D400</f>
        <v>2.7504305283198145E-2</v>
      </c>
      <c r="E58" s="384">
        <f t="shared" ca="1" si="9"/>
        <v>4.6602507176988855E-2</v>
      </c>
      <c r="F58" s="382">
        <f t="shared" ca="1" si="8"/>
        <v>0.29857624737266086</v>
      </c>
      <c r="G58" s="382">
        <f t="shared" ca="1" si="5"/>
        <v>0.11123436262861651</v>
      </c>
      <c r="H58" s="382">
        <f t="shared" ca="1" si="6"/>
        <v>0.59018938999872261</v>
      </c>
      <c r="I58" s="825">
        <f t="shared" ca="1" si="7"/>
        <v>1</v>
      </c>
    </row>
    <row r="59" spans="1:9" s="64" customFormat="1">
      <c r="A59" s="849" t="s">
        <v>893</v>
      </c>
      <c r="B59" s="347">
        <f>HLOOKUP(GREET1_Import_Export!$B$374,$M$9:$Q$10,2,FALSE)/HLOOKUP(GREET1_Import_Export!$D$373,$M$7:$Q$8,2,FALSE)*HLOOKUP($D$3,$M$7:$Q$8,2,FALSE)/HLOOKUP($D$4,$M$9:$Q$10,2,FALSE)*(GREET1_Import_Export!$B401+GREET1_Import_Export!$C401)/Vehi_Inputs!$B$150/Vehi_Inputs!$B$154</f>
        <v>2.8472346731433481E-3</v>
      </c>
      <c r="C59" s="377">
        <f ca="1">HLOOKUP($D$3,$M$7:$Q$8,2,FALSE)/HLOOKUP($D$4,$M$9:$Q$10,2,FALSE)*Vehi_Sum!$C339</f>
        <v>7.0514959744537851E-4</v>
      </c>
      <c r="D59" s="377">
        <f>HLOOKUP(GREET1_Import_Export!$B$374,$M$9:$Q$10,2,FALSE)/HLOOKUP(GREET1_Import_Export!$D$373,$M$7:$Q$8,2,FALSE)*HLOOKUP($D$3,$M$7:$Q$8,2,FALSE)/HLOOKUP($D$4,$M$9:$Q$10,2,FALSE)*GREET1_Import_Export!$D401</f>
        <v>2.4631300802382933E-2</v>
      </c>
      <c r="E59" s="384">
        <f t="shared" ca="1" si="9"/>
        <v>2.818368507297166E-2</v>
      </c>
      <c r="F59" s="382">
        <f t="shared" ca="1" si="8"/>
        <v>0.10102421545555322</v>
      </c>
      <c r="G59" s="382">
        <f t="shared" ca="1" si="5"/>
        <v>2.5019779905276533E-2</v>
      </c>
      <c r="H59" s="382">
        <f t="shared" ca="1" si="6"/>
        <v>0.87395600463917023</v>
      </c>
      <c r="I59" s="825">
        <f t="shared" ca="1" si="7"/>
        <v>1</v>
      </c>
    </row>
    <row r="60" spans="1:9" s="64" customFormat="1">
      <c r="A60" s="849" t="s">
        <v>894</v>
      </c>
      <c r="B60" s="347">
        <f>HLOOKUP(GREET1_Import_Export!$B$374,$M$9:$Q$10,2,FALSE)/HLOOKUP(GREET1_Import_Export!$D$373,$M$7:$Q$8,2,FALSE)*HLOOKUP($D$3,$M$7:$Q$8,2,FALSE)/HLOOKUP($D$4,$M$9:$Q$10,2,FALSE)*(GREET1_Import_Export!$B402+GREET1_Import_Export!$C402)/Vehi_Inputs!$B$150/Vehi_Inputs!$B$154</f>
        <v>2.4838041033215358E-3</v>
      </c>
      <c r="C60" s="377">
        <f ca="1">HLOOKUP($D$3,$M$7:$Q$8,2,FALSE)/HLOOKUP($D$4,$M$9:$Q$10,2,FALSE)*Vehi_Sum!$C340</f>
        <v>5.0923489382830327E-4</v>
      </c>
      <c r="D60" s="377">
        <f>HLOOKUP(GREET1_Import_Export!$B$374,$M$9:$Q$10,2,FALSE)/HLOOKUP(GREET1_Import_Export!$D$373,$M$7:$Q$8,2,FALSE)*HLOOKUP($D$3,$M$7:$Q$8,2,FALSE)/HLOOKUP($D$4,$M$9:$Q$10,2,FALSE)*GREET1_Import_Export!$D402</f>
        <v>5.6144976629899854E-3</v>
      </c>
      <c r="E60" s="384">
        <f t="shared" ca="1" si="9"/>
        <v>8.6075366601398237E-3</v>
      </c>
      <c r="F60" s="382">
        <f t="shared" ca="1" si="8"/>
        <v>0.28856154802379758</v>
      </c>
      <c r="G60" s="382">
        <f t="shared" ca="1" si="5"/>
        <v>5.9161513210450975E-2</v>
      </c>
      <c r="H60" s="382">
        <f t="shared" ca="1" si="6"/>
        <v>0.65227693876575155</v>
      </c>
      <c r="I60" s="825">
        <f t="shared" ca="1" si="7"/>
        <v>1</v>
      </c>
    </row>
    <row r="61" spans="1:9" s="64" customFormat="1">
      <c r="A61" s="849" t="s">
        <v>895</v>
      </c>
      <c r="B61" s="347">
        <f>HLOOKUP(GREET1_Import_Export!$B$374,$M$9:$Q$10,2,FALSE)/HLOOKUP(GREET1_Import_Export!$D$373,$M$7:$Q$8,2,FALSE)*HLOOKUP($D$3,$M$7:$Q$8,2,FALSE)/HLOOKUP($D$4,$M$9:$Q$10,2,FALSE)*(GREET1_Import_Export!$B403+GREET1_Import_Export!$C403)/Vehi_Inputs!$B$150/Vehi_Inputs!$B$154</f>
        <v>5.0190403479406258E-3</v>
      </c>
      <c r="C61" s="377">
        <f ca="1">HLOOKUP($D$3,$M$7:$Q$8,2,FALSE)/HLOOKUP($D$4,$M$9:$Q$10,2,FALSE)*Vehi_Sum!$C341</f>
        <v>6.5994717288000186E-3</v>
      </c>
      <c r="D61" s="377">
        <f>HLOOKUP(GREET1_Import_Export!$B$374,$M$9:$Q$10,2,FALSE)/HLOOKUP(GREET1_Import_Export!$D$373,$M$7:$Q$8,2,FALSE)*HLOOKUP($D$3,$M$7:$Q$8,2,FALSE)/HLOOKUP($D$4,$M$9:$Q$10,2,FALSE)*GREET1_Import_Export!$D403/Vehi_Inputs!$B$150/Vehi_Inputs!$B$154</f>
        <v>1.0535178408844965E-3</v>
      </c>
      <c r="E61" s="384">
        <f t="shared" ca="1" si="9"/>
        <v>1.267202991762514E-2</v>
      </c>
      <c r="F61" s="382">
        <f t="shared" ca="1" si="8"/>
        <v>0.3960723246841294</v>
      </c>
      <c r="G61" s="382">
        <f t="shared" ca="1" si="5"/>
        <v>0.5207904157187172</v>
      </c>
      <c r="H61" s="382">
        <f t="shared" ca="1" si="6"/>
        <v>8.3137259597153457E-2</v>
      </c>
      <c r="I61" s="825">
        <f t="shared" ca="1" si="7"/>
        <v>1</v>
      </c>
    </row>
    <row r="62" spans="1:9" s="64" customFormat="1">
      <c r="A62" s="909" t="s">
        <v>896</v>
      </c>
      <c r="B62" s="347">
        <f>HLOOKUP(GREET1_Import_Export!$B$374,$M$9:$Q$10,2,FALSE)/HLOOKUP(GREET1_Import_Export!$D$373,$M$7:$Q$8,2,FALSE)*HLOOKUP($D$3,$M$7:$Q$8,2,FALSE)/HLOOKUP($D$4,$M$9:$Q$10,2,FALSE)*(GREET1_Import_Export!$B404+GREET1_Import_Export!$C404)/Vehi_Inputs!$B$150/Vehi_Inputs!$B$154</f>
        <v>2.8324117455692137E-4</v>
      </c>
      <c r="C62" s="377">
        <f ca="1">HLOOKUP($D$3,$M$7:$Q$8,2,FALSE)/HLOOKUP($D$4,$M$9:$Q$10,2,FALSE)*Vehi_Sum!$C342</f>
        <v>3.2529619823998408E-5</v>
      </c>
      <c r="D62" s="377">
        <f>HLOOKUP(GREET1_Import_Export!$B$374,$M$9:$Q$10,2,FALSE)/HLOOKUP(GREET1_Import_Export!$D$373,$M$7:$Q$8,2,FALSE)*HLOOKUP($D$3,$M$7:$Q$8,2,FALSE)/HLOOKUP($D$4,$M$9:$Q$10,2,FALSE)*GREET1_Import_Export!$D404</f>
        <v>2.3687151475181071E-3</v>
      </c>
      <c r="E62" s="384">
        <f t="shared" ca="1" si="9"/>
        <v>2.684485941899027E-3</v>
      </c>
      <c r="F62" s="382">
        <f t="shared" ref="F62:I63" ca="1" si="11">B62/$E62</f>
        <v>0.10551039591459148</v>
      </c>
      <c r="G62" s="382">
        <f t="shared" ca="1" si="11"/>
        <v>1.211763463398385E-2</v>
      </c>
      <c r="H62" s="382">
        <f t="shared" ca="1" si="11"/>
        <v>0.8823719694514246</v>
      </c>
      <c r="I62" s="825">
        <f t="shared" ca="1" si="11"/>
        <v>1</v>
      </c>
    </row>
    <row r="63" spans="1:9" s="64" customFormat="1">
      <c r="A63" s="910" t="s">
        <v>897</v>
      </c>
      <c r="B63" s="503">
        <f>HLOOKUP(GREET1_Import_Export!$B$374,$M$9:$Q$10,2,FALSE)/HLOOKUP(GREET1_Import_Export!$D$373,$M$7:$Q$8,2,FALSE)*HLOOKUP($D$3,$M$7:$Q$8,2,FALSE)/HLOOKUP($D$4,$M$9:$Q$10,2,FALSE)*(GREET1_Import_Export!$B405+GREET1_Import_Export!$C405)/Vehi_Inputs!$B$150/Vehi_Inputs!$B$154</f>
        <v>3.8500704195703662E-4</v>
      </c>
      <c r="C63" s="386">
        <f ca="1">HLOOKUP($D$3,$M$7:$Q$8,2,FALSE)/HLOOKUP($D$4,$M$9:$Q$10,2,FALSE)*Vehi_Sum!$C343</f>
        <v>8.9540126594788444E-5</v>
      </c>
      <c r="D63" s="386">
        <f>HLOOKUP(GREET1_Import_Export!$B$374,$M$9:$Q$10,2,FALSE)/HLOOKUP(GREET1_Import_Export!$D$373,$M$7:$Q$8,2,FALSE)*HLOOKUP($D$3,$M$7:$Q$8,2,FALSE)/HLOOKUP($D$4,$M$9:$Q$10,2,FALSE)*GREET1_Import_Export!$D405</f>
        <v>1.2018948520579769E-3</v>
      </c>
      <c r="E63" s="388">
        <f t="shared" ca="1" si="9"/>
        <v>1.6764420206098021E-3</v>
      </c>
      <c r="F63" s="368">
        <f t="shared" ca="1" si="11"/>
        <v>0.22965723670955895</v>
      </c>
      <c r="G63" s="368">
        <f t="shared" ca="1" si="11"/>
        <v>5.3410810212343889E-2</v>
      </c>
      <c r="H63" s="368">
        <f t="shared" ca="1" si="11"/>
        <v>0.7169319530780971</v>
      </c>
      <c r="I63" s="826">
        <f t="shared" ca="1" si="11"/>
        <v>1</v>
      </c>
    </row>
    <row r="64" spans="1:9" s="64" customFormat="1">
      <c r="F64" s="382"/>
      <c r="G64" s="382"/>
      <c r="H64" s="382"/>
    </row>
    <row r="65" spans="1:9" s="64" customFormat="1">
      <c r="A65" s="111" t="s">
        <v>1936</v>
      </c>
      <c r="B65" s="463"/>
      <c r="C65" s="463"/>
      <c r="D65" s="463"/>
      <c r="E65" s="463"/>
      <c r="F65" s="463"/>
      <c r="G65" s="463"/>
      <c r="H65" s="463"/>
    </row>
    <row r="66" spans="1:9" s="64" customFormat="1">
      <c r="A66" s="393"/>
      <c r="B66" s="3060" t="str">
        <f>$B$3&amp;"/"&amp;$D$4&amp;" or "&amp;$D$3&amp;"/"&amp;$D$4</f>
        <v>Btu/mile or g/mile</v>
      </c>
      <c r="C66" s="3061"/>
      <c r="D66" s="3061"/>
      <c r="E66" s="3062"/>
      <c r="F66" s="3005" t="s">
        <v>1890</v>
      </c>
      <c r="G66" s="3005"/>
      <c r="H66" s="3005"/>
      <c r="I66" s="3135"/>
    </row>
    <row r="67" spans="1:9" s="64" customFormat="1" ht="25.5">
      <c r="A67" s="908" t="s">
        <v>1923</v>
      </c>
      <c r="B67" s="1225" t="s">
        <v>1924</v>
      </c>
      <c r="C67" s="1658" t="s">
        <v>1925</v>
      </c>
      <c r="D67" s="1658" t="s">
        <v>1926</v>
      </c>
      <c r="E67" s="1226" t="s">
        <v>1894</v>
      </c>
      <c r="F67" s="1658" t="s">
        <v>1924</v>
      </c>
      <c r="G67" s="1658" t="s">
        <v>1925</v>
      </c>
      <c r="H67" s="1658" t="s">
        <v>1926</v>
      </c>
      <c r="I67" s="1226" t="s">
        <v>1894</v>
      </c>
    </row>
    <row r="68" spans="1:9" s="64" customFormat="1">
      <c r="A68" s="1103" t="s">
        <v>876</v>
      </c>
      <c r="B68" s="517">
        <f>HLOOKUP(GREET1_Import_Export!$B$374,$M$9:$Q$10,2,FALSE)/HLOOKUP(GREET1_Import_Export!$B$373,$M$5:$Q$6,2,FALSE)*HLOOKUP($B$3,$M$5:$Q$6,2,FALSE)/HLOOKUP($D$4,$M$9:$Q$10,2,FALSE)*(GREET1_Import_Export!$H380+GREET1_Import_Export!$I380)/Vehi_Inputs!$C$150</f>
        <v>682.28684732588408</v>
      </c>
      <c r="C68" s="419">
        <f ca="1">HLOOKUP($B$3,$M$5:$Q$6,2,FALSE)/HLOOKUP($D$4,$M$9:$Q$10,2,FALSE)*Vehi_Sum!$D317</f>
        <v>523.28639913613245</v>
      </c>
      <c r="D68" s="419">
        <f>HLOOKUP(GREET1_Import_Export!$B$374,$M$9:$Q$10,2,FALSE)/HLOOKUP(GREET1_Import_Export!$B$373,$M$5:$Q$6,2,FALSE)*HLOOKUP($B$3,$M$5:$Q$6,2,FALSE)/HLOOKUP($D$4,$M$9:$Q$10,2,FALSE)*GREET1_Import_Export!$J380/Vehi_Inputs!$C$150</f>
        <v>2498.2042685812071</v>
      </c>
      <c r="E68" s="516">
        <f ca="1">SUM(B68:D68)</f>
        <v>3703.7775150432235</v>
      </c>
      <c r="F68" s="382">
        <f t="shared" ref="F68:F93" ca="1" si="12">B68/$E68</f>
        <v>0.18421377757025498</v>
      </c>
      <c r="G68" s="382">
        <f t="shared" ref="G68:G93" ca="1" si="13">C68/$E68</f>
        <v>0.14128451209900109</v>
      </c>
      <c r="H68" s="382">
        <f t="shared" ref="H68:H93" ca="1" si="14">D68/$E68</f>
        <v>0.67450171033074402</v>
      </c>
      <c r="I68" s="1104">
        <f t="shared" ref="I68:I93" ca="1" si="15">E68/$E68</f>
        <v>1</v>
      </c>
    </row>
    <row r="69" spans="1:9" s="64" customFormat="1">
      <c r="A69" s="849" t="s">
        <v>877</v>
      </c>
      <c r="B69" s="517">
        <f>HLOOKUP(GREET1_Import_Export!$B$374,$M$9:$Q$10,2,FALSE)/HLOOKUP(GREET1_Import_Export!$B$373,$M$5:$Q$6,2,FALSE)*HLOOKUP($B$3,$M$5:$Q$6,2,FALSE)/HLOOKUP($D$4,$M$9:$Q$10,2,FALSE)*(GREET1_Import_Export!$H381+GREET1_Import_Export!$I381)/Vehi_Inputs!$C$150</f>
        <v>612.31497288669391</v>
      </c>
      <c r="C69" s="419">
        <f ca="1">HLOOKUP($B$3,$M$5:$Q$6,2,FALSE)/HLOOKUP($D$4,$M$9:$Q$10,2,FALSE)*Vehi_Sum!$D318</f>
        <v>476.02555170589665</v>
      </c>
      <c r="D69" s="419">
        <f>HLOOKUP(GREET1_Import_Export!$B$374,$M$9:$Q$10,2,FALSE)/HLOOKUP(GREET1_Import_Export!$B$373,$M$5:$Q$6,2,FALSE)*HLOOKUP($B$3,$M$5:$Q$6,2,FALSE)/HLOOKUP($D$4,$M$9:$Q$10,2,FALSE)*GREET1_Import_Export!$J381/Vehi_Inputs!$C$150</f>
        <v>2331.6401272792964</v>
      </c>
      <c r="E69" s="516">
        <f ca="1">SUM(B69:D69)</f>
        <v>3419.9806518718869</v>
      </c>
      <c r="F69" s="382">
        <f t="shared" ca="1" si="12"/>
        <v>0.17904047865052991</v>
      </c>
      <c r="G69" s="382">
        <f t="shared" ca="1" si="13"/>
        <v>0.13918954525235386</v>
      </c>
      <c r="H69" s="382">
        <f t="shared" ca="1" si="14"/>
        <v>0.6817699760971162</v>
      </c>
      <c r="I69" s="825">
        <f t="shared" ca="1" si="15"/>
        <v>1</v>
      </c>
    </row>
    <row r="70" spans="1:9" s="64" customFormat="1">
      <c r="A70" s="849" t="s">
        <v>442</v>
      </c>
      <c r="B70" s="517">
        <f>HLOOKUP(GREET1_Import_Export!$B$374,$M$9:$Q$10,2,FALSE)/HLOOKUP(GREET1_Import_Export!$B$373,$M$5:$Q$6,2,FALSE)*HLOOKUP($B$3,$M$5:$Q$6,2,FALSE)/HLOOKUP($D$4,$M$9:$Q$10,2,FALSE)*(GREET1_Import_Export!$H382+GREET1_Import_Export!$I382)/Vehi_Inputs!$C$150</f>
        <v>25.351955373865223</v>
      </c>
      <c r="C70" s="419">
        <f ca="1">HLOOKUP($B$3,$M$5:$Q$6,2,FALSE)/HLOOKUP($D$4,$M$9:$Q$10,2,FALSE)*Vehi_Sum!$D319</f>
        <v>139.23142525337587</v>
      </c>
      <c r="D70" s="419">
        <f>HLOOKUP(GREET1_Import_Export!$B$374,$M$9:$Q$10,2,FALSE)/HLOOKUP(GREET1_Import_Export!$B$373,$M$5:$Q$6,2,FALSE)*HLOOKUP($B$3,$M$5:$Q$6,2,FALSE)/HLOOKUP($D$4,$M$9:$Q$10,2,FALSE)*GREET1_Import_Export!$J382/Vehi_Inputs!$C$150</f>
        <v>0</v>
      </c>
      <c r="E70" s="516">
        <f ca="1">SUM(B70:D70)</f>
        <v>164.5833806272411</v>
      </c>
      <c r="F70" s="382">
        <f t="shared" ca="1" si="12"/>
        <v>0.15403715294488904</v>
      </c>
      <c r="G70" s="382">
        <f t="shared" ca="1" si="13"/>
        <v>0.84596284705511093</v>
      </c>
      <c r="H70" s="382">
        <f t="shared" ca="1" si="14"/>
        <v>0</v>
      </c>
      <c r="I70" s="825">
        <f t="shared" ca="1" si="15"/>
        <v>1</v>
      </c>
    </row>
    <row r="71" spans="1:9" s="64" customFormat="1">
      <c r="A71" s="849" t="s">
        <v>878</v>
      </c>
      <c r="B71" s="517">
        <f>B69-B70-B72</f>
        <v>405.61285437432241</v>
      </c>
      <c r="C71" s="419">
        <f ca="1">C69-C70-C72</f>
        <v>240.65652623160707</v>
      </c>
      <c r="D71" s="419">
        <f>D69-D70-D72</f>
        <v>0</v>
      </c>
      <c r="E71" s="516">
        <f ca="1">E69-E70-E72</f>
        <v>646.26938060592965</v>
      </c>
      <c r="F71" s="382">
        <f t="shared" ca="1" si="12"/>
        <v>0.6276219584997631</v>
      </c>
      <c r="G71" s="382">
        <f t="shared" ca="1" si="13"/>
        <v>0.37237804150023662</v>
      </c>
      <c r="H71" s="382">
        <f t="shared" ca="1" si="14"/>
        <v>0</v>
      </c>
      <c r="I71" s="825">
        <f t="shared" ca="1" si="15"/>
        <v>1</v>
      </c>
    </row>
    <row r="72" spans="1:9" s="64" customFormat="1">
      <c r="A72" s="849" t="s">
        <v>440</v>
      </c>
      <c r="B72" s="517">
        <f>HLOOKUP(GREET1_Import_Export!$B$374,$M$9:$Q$10,2,FALSE)/HLOOKUP(GREET1_Import_Export!$B$373,$M$5:$Q$6,2,FALSE)*HLOOKUP($B$3,$M$5:$Q$6,2,FALSE)/HLOOKUP($D$4,$M$9:$Q$10,2,FALSE)*(GREET1_Import_Export!$H384+GREET1_Import_Export!$I384)/Vehi_Inputs!$C$150</f>
        <v>181.35016313850619</v>
      </c>
      <c r="C72" s="419">
        <f ca="1">HLOOKUP($B$3,$M$5:$Q$6,2,FALSE)/HLOOKUP($D$4,$M$9:$Q$10,2,FALSE)*Vehi_Sum!$D321</f>
        <v>96.137600220913725</v>
      </c>
      <c r="D72" s="419">
        <f>HLOOKUP(GREET1_Import_Export!$B$374,$M$9:$Q$10,2,FALSE)/HLOOKUP(GREET1_Import_Export!$B$373,$M$5:$Q$6,2,FALSE)*HLOOKUP($B$3,$M$5:$Q$6,2,FALSE)/HLOOKUP($D$4,$M$9:$Q$10,2,FALSE)*GREET1_Import_Export!$J384/Vehi_Inputs!$C$150</f>
        <v>2331.6401272792964</v>
      </c>
      <c r="E72" s="516">
        <f t="shared" ref="E72:E93" ca="1" si="16">SUM(B72:D72)</f>
        <v>2609.1278906387161</v>
      </c>
      <c r="F72" s="382">
        <f t="shared" ca="1" si="12"/>
        <v>6.9506045981560363E-2</v>
      </c>
      <c r="G72" s="382">
        <f t="shared" ca="1" si="13"/>
        <v>3.6846641579297665E-2</v>
      </c>
      <c r="H72" s="382">
        <f t="shared" ca="1" si="14"/>
        <v>0.89364731243914208</v>
      </c>
      <c r="I72" s="825">
        <f t="shared" ca="1" si="15"/>
        <v>1</v>
      </c>
    </row>
    <row r="73" spans="1:9" s="64" customFormat="1">
      <c r="A73" s="909" t="s">
        <v>819</v>
      </c>
      <c r="B73" s="347">
        <f>HLOOKUP(GREET1_Import_Export!$B$374,$M$9:$Q$10,2,FALSE)/HLOOKUP(GREET1_Import_Export!$B$373,$M$5:$Q$6,2,FALSE)*HLOOKUP($B$3,$M$5:$Q$6,2,FALSE)/HLOOKUP($D$4,$M$9:$Q$10,2,FALSE)*(GREET1_Import_Export!$H385+GREET1_Import_Export!$I385)/Vehi_Inputs!$C$150</f>
        <v>0.12843874090536628</v>
      </c>
      <c r="C73" s="349">
        <f ca="1">HLOOKUP($B$3,$M$5:$Q$6,2,FALSE)/HLOOKUP($D$4,$M$9:$Q$10,2,FALSE)*Vehi_Sum!$D322</f>
        <v>2.2425838275984263E-2</v>
      </c>
      <c r="D73" s="349">
        <f>HLOOKUP(GREET1_Import_Export!$B$374,$M$9:$Q$10,2,FALSE)/HLOOKUP(GREET1_Import_Export!$B$373,$M$5:$Q$6,2,FALSE)*HLOOKUP($B$3,$M$5:$Q$6,2,FALSE)/HLOOKUP($D$4,$M$9:$Q$10,2,FALSE)*GREET1_Import_Export!$J385/Vehi_Inputs!$C$150</f>
        <v>0</v>
      </c>
      <c r="E73" s="348">
        <f t="shared" ca="1" si="16"/>
        <v>0.15086457918135054</v>
      </c>
      <c r="F73" s="382">
        <f t="shared" ca="1" si="12"/>
        <v>0.85135120253093521</v>
      </c>
      <c r="G73" s="382">
        <f t="shared" ca="1" si="13"/>
        <v>0.14864879746906479</v>
      </c>
      <c r="H73" s="382">
        <f t="shared" ca="1" si="14"/>
        <v>0</v>
      </c>
      <c r="I73" s="825">
        <f t="shared" ca="1" si="15"/>
        <v>1</v>
      </c>
    </row>
    <row r="74" spans="1:9" s="64" customFormat="1">
      <c r="A74" s="849" t="s">
        <v>1895</v>
      </c>
      <c r="B74" s="517">
        <f>HLOOKUP(GREET1_Import_Export!$B$374,$M$9:$Q$10,2,FALSE)/HLOOKUP(GREET1_Import_Export!$D$373,$M$7:$Q$8,2,FALSE)*HLOOKUP($D$3,$M$7:$Q$8,2,FALSE)/HLOOKUP($D$4,$M$9:$Q$10,2,FALSE)*(GREET1_Import_Export!$H386+GREET1_Import_Export!$I386)/Vehi_Inputs!$C$150</f>
        <v>34.607969785158787</v>
      </c>
      <c r="C74" s="419">
        <f ca="1">HLOOKUP($D$3,$M$7:$Q$8,2,FALSE)/HLOOKUP($D$4,$M$9:$Q$10,2,FALSE)*Vehi_Sum!$D324</f>
        <v>32.370578114983793</v>
      </c>
      <c r="D74" s="419">
        <f>HLOOKUP(GREET1_Import_Export!$B$374,$M$9:$Q$10,2,FALSE)/HLOOKUP(GREET1_Import_Export!$D$373,$M$7:$Q$8,2,FALSE)*HLOOKUP($D$3,$M$7:$Q$8,2,FALSE)/HLOOKUP($D$4,$M$9:$Q$10,2,FALSE)*((GREET1_Import_Export!$J386-(GREET1_Import_Export!$J390*GREET1_Import_Export!$B$62+GREET1_Import_Export!$J391*GREET1_Import_Export!$B$63)/GREET1_Import_Export!$B$65)/Vehi_Inputs!$C$150+(GREET1_Import_Export!$J390*GREET1_Import_Export!$B$62+GREET1_Import_Export!$J391*GREET1_Import_Export!$B$63)/GREET1_Import_Export!$B$65)</f>
        <v>191.58113498775452</v>
      </c>
      <c r="E74" s="516">
        <f t="shared" ca="1" si="16"/>
        <v>258.55968288789711</v>
      </c>
      <c r="F74" s="382">
        <f t="shared" ca="1" si="12"/>
        <v>0.13384905720264073</v>
      </c>
      <c r="G74" s="382">
        <f t="shared" ca="1" si="13"/>
        <v>0.12519576816242695</v>
      </c>
      <c r="H74" s="382">
        <f t="shared" ca="1" si="14"/>
        <v>0.74095517463493232</v>
      </c>
      <c r="I74" s="825">
        <f t="shared" ca="1" si="15"/>
        <v>1</v>
      </c>
    </row>
    <row r="75" spans="1:9" s="64" customFormat="1">
      <c r="A75" s="849" t="s">
        <v>887</v>
      </c>
      <c r="B75" s="347">
        <f>HLOOKUP(GREET1_Import_Export!$B$374,$M$9:$Q$10,2,FALSE)/HLOOKUP(GREET1_Import_Export!$D$373,$M$7:$Q$8,2,FALSE)*HLOOKUP($D$3,$M$7:$Q$8,2,FALSE)/HLOOKUP($D$4,$M$9:$Q$10,2,FALSE)*(GREET1_Import_Export!$H387+GREET1_Import_Export!$I387)/Vehi_Inputs!$C$150</f>
        <v>0.28642672747736186</v>
      </c>
      <c r="C75" s="349">
        <f ca="1">HLOOKUP($D$3,$M$7:$Q$8,2,FALSE)/HLOOKUP($D$4,$M$9:$Q$10,2,FALSE)*Vehi_Sum!$D325</f>
        <v>8.4224962210404208E-2</v>
      </c>
      <c r="D75" s="349">
        <f>HLOOKUP(GREET1_Import_Export!$B$374,$M$9:$Q$10,2,FALSE)/HLOOKUP(GREET1_Import_Export!$D$373,$M$7:$Q$8,2,FALSE)*HLOOKUP($D$3,$M$7:$Q$8,2,FALSE)/HLOOKUP($D$4,$M$9:$Q$10,2,FALSE)*GREET1_Import_Export!$J387</f>
        <v>3.7375625149596212E-3</v>
      </c>
      <c r="E75" s="384">
        <f t="shared" ca="1" si="16"/>
        <v>0.37438925220272568</v>
      </c>
      <c r="F75" s="382">
        <f t="shared" ca="1" si="12"/>
        <v>0.76505061454666567</v>
      </c>
      <c r="G75" s="382">
        <f t="shared" ca="1" si="13"/>
        <v>0.22496629300885423</v>
      </c>
      <c r="H75" s="382">
        <f t="shared" ca="1" si="14"/>
        <v>9.9830924444801964E-3</v>
      </c>
      <c r="I75" s="825">
        <f t="shared" ca="1" si="15"/>
        <v>1</v>
      </c>
    </row>
    <row r="76" spans="1:9" s="64" customFormat="1">
      <c r="A76" s="849" t="s">
        <v>888</v>
      </c>
      <c r="B76" s="347">
        <f>HLOOKUP(GREET1_Import_Export!$B$374,$M$9:$Q$10,2,FALSE)/HLOOKUP(GREET1_Import_Export!$D$373,$M$7:$Q$8,2,FALSE)*HLOOKUP($D$3,$M$7:$Q$8,2,FALSE)/HLOOKUP($D$4,$M$9:$Q$10,2,FALSE)*(GREET1_Import_Export!$H388+GREET1_Import_Export!$I388)/Vehi_Inputs!$C$150</f>
        <v>7.2078409186793948E-3</v>
      </c>
      <c r="C76" s="349">
        <f ca="1">HLOOKUP($D$3,$M$7:$Q$8,2,FALSE)/HLOOKUP($D$4,$M$9:$Q$10,2,FALSE)*Vehi_Sum!$D326</f>
        <v>8.144144339985313E-4</v>
      </c>
      <c r="D76" s="349">
        <f>HLOOKUP(GREET1_Import_Export!$B$374,$M$9:$Q$10,2,FALSE)/HLOOKUP(GREET1_Import_Export!$D$373,$M$7:$Q$8,2,FALSE)*HLOOKUP($D$3,$M$7:$Q$8,2,FALSE)/HLOOKUP($D$4,$M$9:$Q$10,2,FALSE)*GREET1_Import_Export!$J388</f>
        <v>3.8553552069305742E-3</v>
      </c>
      <c r="E76" s="384">
        <f t="shared" ca="1" si="16"/>
        <v>1.18776105596085E-2</v>
      </c>
      <c r="F76" s="382">
        <f t="shared" ca="1" si="12"/>
        <v>0.60684267113376156</v>
      </c>
      <c r="G76" s="382">
        <f t="shared" ca="1" si="13"/>
        <v>6.8567194547366553E-2</v>
      </c>
      <c r="H76" s="382">
        <f t="shared" ca="1" si="14"/>
        <v>0.3245901343188719</v>
      </c>
      <c r="I76" s="825">
        <f t="shared" ca="1" si="15"/>
        <v>1</v>
      </c>
    </row>
    <row r="77" spans="1:9" s="64" customFormat="1">
      <c r="A77" s="849" t="s">
        <v>1896</v>
      </c>
      <c r="B77" s="517">
        <f>HLOOKUP(GREET1_Import_Export!$B$374,$M$9:$Q$10,2,FALSE)/HLOOKUP(GREET1_Import_Export!$D$373,$M$7:$Q$8,2,FALSE)*HLOOKUP($D$3,$M$7:$Q$8,2,FALSE)/HLOOKUP($D$4,$M$9:$Q$10,2,FALSE)*(GREET1_Import_Export!$H389+GREET1_Import_Export!$I389)/Vehi_Inputs!$C$150</f>
        <v>45.110849452929685</v>
      </c>
      <c r="C77" s="419">
        <f ca="1">HLOOKUP($D$3,$M$7:$Q$8,2,FALSE)/HLOOKUP($D$4,$M$9:$Q$10,2,FALSE)*Vehi_Sum!$D327</f>
        <v>35.460264823243605</v>
      </c>
      <c r="D77" s="158">
        <f>D74+SUMPRODUCT(D75:D76,GREET1_Import_Export!$B$51:$B$52)+SUMPRODUCT(D78:D80,GREET1_Import_Export!$B$55:$B$57)+SUMPRODUCT(D84:D85,GREET1_Import_Export!$B$58:$B$59)</f>
        <v>192.71493099303993</v>
      </c>
      <c r="E77" s="516">
        <f t="shared" ca="1" si="16"/>
        <v>273.28604526921322</v>
      </c>
      <c r="F77" s="382">
        <f t="shared" ca="1" si="12"/>
        <v>0.16506825077179163</v>
      </c>
      <c r="G77" s="382">
        <f t="shared" ca="1" si="13"/>
        <v>0.12975512448252458</v>
      </c>
      <c r="H77" s="382">
        <f t="shared" ca="1" si="14"/>
        <v>0.70517662474568377</v>
      </c>
      <c r="I77" s="825">
        <f t="shared" ca="1" si="15"/>
        <v>1</v>
      </c>
    </row>
    <row r="78" spans="1:9" s="64" customFormat="1">
      <c r="A78" s="849" t="s">
        <v>879</v>
      </c>
      <c r="B78" s="347">
        <f>HLOOKUP(GREET1_Import_Export!$B$374,$M$9:$Q$10,2,FALSE)/HLOOKUP(GREET1_Import_Export!$D$373,$M$7:$Q$8,2,FALSE)*HLOOKUP($D$3,$M$7:$Q$8,2,FALSE)/HLOOKUP($D$4,$M$9:$Q$10,2,FALSE)*(GREET1_Import_Export!$H390+GREET1_Import_Export!$I390)/Vehi_Inputs!$C$150</f>
        <v>7.3382333786584458E-2</v>
      </c>
      <c r="C78" s="349">
        <f ca="1">HLOOKUP($D$3,$M$7:$Q$8,2,FALSE)/HLOOKUP($D$4,$M$9:$Q$10,2,FALSE)*Vehi_Sum!$D328</f>
        <v>0.18941548355812771</v>
      </c>
      <c r="D78" s="349">
        <f>HLOOKUP(GREET1_Import_Export!$B$374,$M$9:$Q$10,2,FALSE)/HLOOKUP(GREET1_Import_Export!$D$373,$M$7:$Q$8,2,FALSE)*HLOOKUP($D$3,$M$7:$Q$8,2,FALSE)/HLOOKUP($D$4,$M$9:$Q$10,2,FALSE)*GREET1_Import_Export!$J390</f>
        <v>0.13510741897857262</v>
      </c>
      <c r="E78" s="384">
        <f t="shared" ca="1" si="16"/>
        <v>0.39790523632328478</v>
      </c>
      <c r="F78" s="382">
        <f t="shared" ca="1" si="12"/>
        <v>0.18442163381575544</v>
      </c>
      <c r="G78" s="382">
        <f t="shared" ca="1" si="13"/>
        <v>0.47603164338413961</v>
      </c>
      <c r="H78" s="382">
        <f t="shared" ca="1" si="14"/>
        <v>0.33954672280010495</v>
      </c>
      <c r="I78" s="825">
        <f t="shared" ca="1" si="15"/>
        <v>1</v>
      </c>
    </row>
    <row r="79" spans="1:9" s="64" customFormat="1">
      <c r="A79" s="849" t="s">
        <v>880</v>
      </c>
      <c r="B79" s="347">
        <f>HLOOKUP(GREET1_Import_Export!$B$374,$M$9:$Q$10,2,FALSE)/HLOOKUP(GREET1_Import_Export!$D$373,$M$7:$Q$8,2,FALSE)*HLOOKUP($D$3,$M$7:$Q$8,2,FALSE)/HLOOKUP($D$4,$M$9:$Q$10,2,FALSE)*(GREET1_Import_Export!$H391+GREET1_Import_Export!$I391)/Vehi_Inputs!$C$150</f>
        <v>3.8481109228301218E-2</v>
      </c>
      <c r="C79" s="349">
        <f ca="1">HLOOKUP($D$3,$M$7:$Q$8,2,FALSE)/HLOOKUP($D$4,$M$9:$Q$10,2,FALSE)*Vehi_Sum!$D329</f>
        <v>0.1126229593025434</v>
      </c>
      <c r="D79" s="349">
        <f>HLOOKUP(GREET1_Import_Export!$B$374,$M$9:$Q$10,2,FALSE)/HLOOKUP(GREET1_Import_Export!$D$373,$M$7:$Q$8,2,FALSE)*HLOOKUP($D$3,$M$7:$Q$8,2,FALSE)/HLOOKUP($D$4,$M$9:$Q$10,2,FALSE)*GREET1_Import_Export!$J391</f>
        <v>1.4655810643908089</v>
      </c>
      <c r="E79" s="384">
        <f t="shared" ca="1" si="16"/>
        <v>1.6166851329216536</v>
      </c>
      <c r="F79" s="382">
        <f t="shared" ca="1" si="12"/>
        <v>2.3802476094252581E-2</v>
      </c>
      <c r="G79" s="382">
        <f t="shared" ca="1" si="13"/>
        <v>6.9662890447326972E-2</v>
      </c>
      <c r="H79" s="382">
        <f t="shared" ca="1" si="14"/>
        <v>0.90653463345842045</v>
      </c>
      <c r="I79" s="825">
        <f t="shared" ca="1" si="15"/>
        <v>1</v>
      </c>
    </row>
    <row r="80" spans="1:9" s="64" customFormat="1">
      <c r="A80" s="849" t="s">
        <v>881</v>
      </c>
      <c r="B80" s="347">
        <f>HLOOKUP(GREET1_Import_Export!$B$374,$M$9:$Q$10,2,FALSE)/HLOOKUP(GREET1_Import_Export!$D$373,$M$7:$Q$8,2,FALSE)*HLOOKUP($D$3,$M$7:$Q$8,2,FALSE)/HLOOKUP($D$4,$M$9:$Q$10,2,FALSE)*(GREET1_Import_Export!$H392+GREET1_Import_Export!$I392)/Vehi_Inputs!$C$150</f>
        <v>6.2751061440429259E-2</v>
      </c>
      <c r="C80" s="349">
        <f ca="1">HLOOKUP($D$3,$M$7:$Q$8,2,FALSE)/HLOOKUP($D$4,$M$9:$Q$10,2,FALSE)*Vehi_Sum!$D330</f>
        <v>3.4776512114141532E-2</v>
      </c>
      <c r="D80" s="349">
        <f>HLOOKUP(GREET1_Import_Export!$B$374,$M$9:$Q$10,2,FALSE)/HLOOKUP(GREET1_Import_Export!$D$373,$M$7:$Q$8,2,FALSE)*HLOOKUP($D$3,$M$7:$Q$8,2,FALSE)/HLOOKUP($D$4,$M$9:$Q$10,2,FALSE)*GREET1_Import_Export!$J392</f>
        <v>3.3005166339837778E-2</v>
      </c>
      <c r="E80" s="384">
        <f t="shared" ca="1" si="16"/>
        <v>0.13053273989440856</v>
      </c>
      <c r="F80" s="382">
        <f t="shared" ca="1" si="12"/>
        <v>0.48073043966739898</v>
      </c>
      <c r="G80" s="382">
        <f t="shared" ca="1" si="13"/>
        <v>0.26641984334560959</v>
      </c>
      <c r="H80" s="382">
        <f t="shared" ca="1" si="14"/>
        <v>0.25284971698699149</v>
      </c>
      <c r="I80" s="825">
        <f t="shared" ca="1" si="15"/>
        <v>1</v>
      </c>
    </row>
    <row r="81" spans="1:9" s="64" customFormat="1">
      <c r="A81" s="849" t="s">
        <v>882</v>
      </c>
      <c r="B81" s="347">
        <f>HLOOKUP(GREET1_Import_Export!$B$374,$M$9:$Q$10,2,FALSE)/HLOOKUP(GREET1_Import_Export!$D$373,$M$7:$Q$8,2,FALSE)*HLOOKUP($D$3,$M$7:$Q$8,2,FALSE)/HLOOKUP($D$4,$M$9:$Q$10,2,FALSE)*(GREET1_Import_Export!$H393+GREET1_Import_Export!$I393)/Vehi_Inputs!$C$150</f>
        <v>7.0753770771263226E-3</v>
      </c>
      <c r="C81" s="349">
        <f ca="1">HLOOKUP($D$3,$M$7:$Q$8,2,FALSE)/HLOOKUP($D$4,$M$9:$Q$10,2,FALSE)*Vehi_Sum!$D331</f>
        <v>1.4964042457161439E-2</v>
      </c>
      <c r="D81" s="349">
        <f>HLOOKUP(GREET1_Import_Export!$B$374,$M$9:$Q$10,2,FALSE)/HLOOKUP(GREET1_Import_Export!$D$373,$M$7:$Q$8,2,FALSE)*HLOOKUP($D$3,$M$7:$Q$8,2,FALSE)/HLOOKUP($D$4,$M$9:$Q$10,2,FALSE)*GREET1_Import_Export!$J393</f>
        <v>3.5187572574832765E-2</v>
      </c>
      <c r="E81" s="348">
        <f t="shared" ca="1" si="16"/>
        <v>5.7226992109120522E-2</v>
      </c>
      <c r="F81" s="382">
        <f t="shared" ca="1" si="12"/>
        <v>0.12363706035143315</v>
      </c>
      <c r="G81" s="382">
        <f t="shared" ca="1" si="13"/>
        <v>0.26148574135484842</v>
      </c>
      <c r="H81" s="382">
        <f t="shared" ca="1" si="14"/>
        <v>0.61487719829371856</v>
      </c>
      <c r="I81" s="825">
        <f t="shared" ca="1" si="15"/>
        <v>1</v>
      </c>
    </row>
    <row r="82" spans="1:9" s="64" customFormat="1">
      <c r="A82" s="849" t="s">
        <v>883</v>
      </c>
      <c r="B82" s="347">
        <f>HLOOKUP(GREET1_Import_Export!$B$374,$M$9:$Q$10,2,FALSE)/HLOOKUP(GREET1_Import_Export!$D$373,$M$7:$Q$8,2,FALSE)*HLOOKUP($D$3,$M$7:$Q$8,2,FALSE)/HLOOKUP($D$4,$M$9:$Q$10,2,FALSE)*(GREET1_Import_Export!$H394+GREET1_Import_Export!$I394)/Vehi_Inputs!$C$150</f>
        <v>4.7641701120913057E-3</v>
      </c>
      <c r="C82" s="349">
        <f ca="1">HLOOKUP($D$3,$M$7:$Q$8,2,FALSE)/HLOOKUP($D$4,$M$9:$Q$10,2,FALSE)*Vehi_Sum!$D332</f>
        <v>7.1084129596516634E-3</v>
      </c>
      <c r="D82" s="349">
        <f>HLOOKUP(GREET1_Import_Export!$B$374,$M$9:$Q$10,2,FALSE)/HLOOKUP(GREET1_Import_Export!$D$373,$M$7:$Q$8,2,FALSE)*HLOOKUP($D$3,$M$7:$Q$8,2,FALSE)/HLOOKUP($D$4,$M$9:$Q$10,2,FALSE)*GREET1_Import_Export!$J394</f>
        <v>8.0207109471285513E-3</v>
      </c>
      <c r="E82" s="348">
        <f t="shared" ca="1" si="16"/>
        <v>1.9893294018871521E-2</v>
      </c>
      <c r="F82" s="382">
        <f t="shared" ca="1" si="12"/>
        <v>0.23948623629509705</v>
      </c>
      <c r="G82" s="382">
        <f t="shared" ca="1" si="13"/>
        <v>0.35732709489481018</v>
      </c>
      <c r="H82" s="382">
        <f t="shared" ca="1" si="14"/>
        <v>0.40318666881009274</v>
      </c>
      <c r="I82" s="825">
        <f t="shared" ca="1" si="15"/>
        <v>1</v>
      </c>
    </row>
    <row r="83" spans="1:9" s="64" customFormat="1">
      <c r="A83" s="849" t="s">
        <v>884</v>
      </c>
      <c r="B83" s="347">
        <f>HLOOKUP(GREET1_Import_Export!$B$374,$M$9:$Q$10,2,FALSE)/HLOOKUP(GREET1_Import_Export!$D$373,$M$7:$Q$8,2,FALSE)*HLOOKUP($D$3,$M$7:$Q$8,2,FALSE)/HLOOKUP($D$4,$M$9:$Q$10,2,FALSE)*(GREET1_Import_Export!$H395+GREET1_Import_Export!$I395)/Vehi_Inputs!$C$150</f>
        <v>1.7416782052727273E-2</v>
      </c>
      <c r="C83" s="349">
        <f ca="1">HLOOKUP($D$3,$M$7:$Q$8,2,FALSE)/HLOOKUP($D$4,$M$9:$Q$10,2,FALSE)*Vehi_Sum!$D333</f>
        <v>0.26442920649043289</v>
      </c>
      <c r="D83" s="349">
        <f>HLOOKUP(GREET1_Import_Export!$B$374,$M$9:$Q$10,2,FALSE)/HLOOKUP(GREET1_Import_Export!$D$373,$M$7:$Q$8,2,FALSE)*HLOOKUP($D$3,$M$7:$Q$8,2,FALSE)/HLOOKUP($D$4,$M$9:$Q$10,2,FALSE)*GREET1_Import_Export!$J395/Vehi_Inputs!$C$150</f>
        <v>1.1388992223117329E-3</v>
      </c>
      <c r="E83" s="348">
        <f t="shared" ca="1" si="16"/>
        <v>0.28298488776547193</v>
      </c>
      <c r="F83" s="382">
        <f t="shared" ca="1" si="12"/>
        <v>6.1546686080147496E-2</v>
      </c>
      <c r="G83" s="382">
        <f t="shared" ca="1" si="13"/>
        <v>0.93442872012862632</v>
      </c>
      <c r="H83" s="382">
        <f t="shared" ca="1" si="14"/>
        <v>4.0245937912260993E-3</v>
      </c>
      <c r="I83" s="825">
        <f t="shared" ca="1" si="15"/>
        <v>1</v>
      </c>
    </row>
    <row r="84" spans="1:9" s="64" customFormat="1">
      <c r="A84" s="909" t="s">
        <v>885</v>
      </c>
      <c r="B84" s="347">
        <f>HLOOKUP(GREET1_Import_Export!$B$374,$M$9:$Q$10,2,FALSE)/HLOOKUP(GREET1_Import_Export!$D$373,$M$7:$Q$8,2,FALSE)*HLOOKUP($D$3,$M$7:$Q$8,2,FALSE)/HLOOKUP($D$4,$M$9:$Q$10,2,FALSE)*(GREET1_Import_Export!$H396+GREET1_Import_Export!$I396)/Vehi_Inputs!$C$150</f>
        <v>6.3805684416580466E-4</v>
      </c>
      <c r="C84" s="349">
        <f ca="1">HLOOKUP($D$3,$M$7:$Q$8,2,FALSE)/HLOOKUP($D$4,$M$9:$Q$10,2,FALSE)*Vehi_Sum!$D334</f>
        <v>2.1431054988643481E-4</v>
      </c>
      <c r="D84" s="349">
        <f>HLOOKUP(GREET1_Import_Export!$B$374,$M$9:$Q$10,2,FALSE)/HLOOKUP(GREET1_Import_Export!$D$373,$M$7:$Q$8,2,FALSE)*HLOOKUP($D$3,$M$7:$Q$8,2,FALSE)/HLOOKUP($D$4,$M$9:$Q$10,2,FALSE)*GREET1_Import_Export!$J396</f>
        <v>3.3838787821687246E-3</v>
      </c>
      <c r="E84" s="348">
        <f t="shared" ca="1" si="16"/>
        <v>4.236246176220964E-3</v>
      </c>
      <c r="F84" s="382">
        <f t="shared" ca="1" si="12"/>
        <v>0.15061845266390944</v>
      </c>
      <c r="G84" s="382">
        <f t="shared" ca="1" si="13"/>
        <v>5.0589729909798403E-2</v>
      </c>
      <c r="H84" s="382">
        <f t="shared" ca="1" si="14"/>
        <v>0.79879181742629224</v>
      </c>
      <c r="I84" s="825">
        <f t="shared" ca="1" si="15"/>
        <v>1</v>
      </c>
    </row>
    <row r="85" spans="1:9" s="64" customFormat="1">
      <c r="A85" s="909" t="s">
        <v>886</v>
      </c>
      <c r="B85" s="347">
        <f>HLOOKUP(GREET1_Import_Export!$B$374,$M$9:$Q$10,2,FALSE)/HLOOKUP(GREET1_Import_Export!$D$373,$M$7:$Q$8,2,FALSE)*HLOOKUP($D$3,$M$7:$Q$8,2,FALSE)/HLOOKUP($D$4,$M$9:$Q$10,2,FALSE)*(GREET1_Import_Export!$H397+GREET1_Import_Export!$I397)/Vehi_Inputs!$C$150</f>
        <v>1.0275458389610176E-3</v>
      </c>
      <c r="C85" s="349">
        <f ca="1">HLOOKUP($D$3,$M$7:$Q$8,2,FALSE)/HLOOKUP($D$4,$M$9:$Q$10,2,FALSE)*Vehi_Sum!$D335</f>
        <v>4.6981787068317343E-4</v>
      </c>
      <c r="D85" s="349">
        <f>HLOOKUP(GREET1_Import_Export!$B$374,$M$9:$Q$10,2,FALSE)/HLOOKUP(GREET1_Import_Export!$D$373,$M$7:$Q$8,2,FALSE)*HLOOKUP($D$3,$M$7:$Q$8,2,FALSE)/HLOOKUP($D$4,$M$9:$Q$10,2,FALSE)*GREET1_Import_Export!$J397</f>
        <v>1.7169926457971099E-3</v>
      </c>
      <c r="E85" s="348">
        <f t="shared" ca="1" si="16"/>
        <v>3.2143563554413008E-3</v>
      </c>
      <c r="F85" s="382">
        <f t="shared" ca="1" si="12"/>
        <v>0.31967390212400554</v>
      </c>
      <c r="G85" s="382">
        <f t="shared" ca="1" si="13"/>
        <v>0.14616234752187951</v>
      </c>
      <c r="H85" s="382">
        <f t="shared" ca="1" si="14"/>
        <v>0.53416375035411501</v>
      </c>
      <c r="I85" s="825">
        <f t="shared" ca="1" si="15"/>
        <v>1</v>
      </c>
    </row>
    <row r="86" spans="1:9" s="64" customFormat="1">
      <c r="A86" s="849" t="s">
        <v>890</v>
      </c>
      <c r="B86" s="347">
        <f>HLOOKUP(GREET1_Import_Export!$B$374,$M$9:$Q$10,2,FALSE)/HLOOKUP(GREET1_Import_Export!$D$373,$M$7:$Q$8,2,FALSE)*HLOOKUP($D$3,$M$7:$Q$8,2,FALSE)/HLOOKUP($D$4,$M$9:$Q$10,2,FALSE)*(GREET1_Import_Export!$H398+GREET1_Import_Export!$I398)/Vehi_Inputs!$C$150</f>
        <v>3.9540122527368361E-2</v>
      </c>
      <c r="C86" s="377">
        <f ca="1">HLOOKUP($D$3,$M$7:$Q$8,2,FALSE)/HLOOKUP($D$4,$M$9:$Q$10,2,FALSE)*Vehi_Sum!$D336</f>
        <v>0.11114617966778181</v>
      </c>
      <c r="D86" s="377">
        <f>HLOOKUP(GREET1_Import_Export!$B$374,$M$9:$Q$10,2,FALSE)/HLOOKUP(GREET1_Import_Export!$D$373,$M$7:$Q$8,2,FALSE)*HLOOKUP($D$3,$M$7:$Q$8,2,FALSE)/HLOOKUP($D$4,$M$9:$Q$10,2,FALSE)*GREET1_Import_Export!$J398</f>
        <v>9.457519328500083E-2</v>
      </c>
      <c r="E86" s="384">
        <f t="shared" ca="1" si="16"/>
        <v>0.245261495480151</v>
      </c>
      <c r="F86" s="382">
        <f t="shared" ca="1" si="12"/>
        <v>0.16121618458682332</v>
      </c>
      <c r="G86" s="382">
        <f t="shared" ca="1" si="13"/>
        <v>0.45317419047041924</v>
      </c>
      <c r="H86" s="382">
        <f t="shared" ca="1" si="14"/>
        <v>0.38560962494275747</v>
      </c>
      <c r="I86" s="825">
        <f t="shared" ca="1" si="15"/>
        <v>1</v>
      </c>
    </row>
    <row r="87" spans="1:9" s="64" customFormat="1">
      <c r="A87" s="849" t="s">
        <v>891</v>
      </c>
      <c r="B87" s="347">
        <f>HLOOKUP(GREET1_Import_Export!$B$374,$M$9:$Q$10,2,FALSE)/HLOOKUP(GREET1_Import_Export!$D$373,$M$7:$Q$8,2,FALSE)*HLOOKUP($D$3,$M$7:$Q$8,2,FALSE)/HLOOKUP($D$4,$M$9:$Q$10,2,FALSE)*(GREET1_Import_Export!$H399+GREET1_Import_Export!$I399)/Vehi_Inputs!$C$150</f>
        <v>6.7993672347626986E-3</v>
      </c>
      <c r="C87" s="377">
        <f ca="1">HLOOKUP($D$3,$M$7:$Q$8,2,FALSE)/HLOOKUP($D$4,$M$9:$Q$10,2,FALSE)*Vehi_Sum!$D337</f>
        <v>1.4036548653887596E-3</v>
      </c>
      <c r="D87" s="377">
        <f>HLOOKUP(GREET1_Import_Export!$B$374,$M$9:$Q$10,2,FALSE)/HLOOKUP(GREET1_Import_Export!$D$373,$M$7:$Q$8,2,FALSE)*HLOOKUP($D$3,$M$7:$Q$8,2,FALSE)/HLOOKUP($D$4,$M$9:$Q$10,2,FALSE)*GREET1_Import_Export!$J399</f>
        <v>1.0259067450735662</v>
      </c>
      <c r="E87" s="384">
        <f t="shared" ca="1" si="16"/>
        <v>1.0341097671737176</v>
      </c>
      <c r="F87" s="382">
        <f t="shared" ca="1" si="12"/>
        <v>6.5750923650453146E-3</v>
      </c>
      <c r="G87" s="382">
        <f t="shared" ca="1" si="13"/>
        <v>1.3573557759008798E-3</v>
      </c>
      <c r="H87" s="382">
        <f t="shared" ca="1" si="14"/>
        <v>0.99206755185905382</v>
      </c>
      <c r="I87" s="825">
        <f t="shared" ca="1" si="15"/>
        <v>1</v>
      </c>
    </row>
    <row r="88" spans="1:9" s="64" customFormat="1">
      <c r="A88" s="849" t="s">
        <v>892</v>
      </c>
      <c r="B88" s="347">
        <f>HLOOKUP(GREET1_Import_Export!$B$374,$M$9:$Q$10,2,FALSE)/HLOOKUP(GREET1_Import_Export!$D$373,$M$7:$Q$8,2,FALSE)*HLOOKUP($D$3,$M$7:$Q$8,2,FALSE)/HLOOKUP($D$4,$M$9:$Q$10,2,FALSE)*(GREET1_Import_Export!$H400+GREET1_Import_Export!$I400)/Vehi_Inputs!$C$150</f>
        <v>1.0529457092108171E-2</v>
      </c>
      <c r="C88" s="377">
        <f ca="1">HLOOKUP($D$3,$M$7:$Q$8,2,FALSE)/HLOOKUP($D$4,$M$9:$Q$10,2,FALSE)*Vehi_Sum!$D338</f>
        <v>3.8486860571158403E-3</v>
      </c>
      <c r="D88" s="377">
        <f>HLOOKUP(GREET1_Import_Export!$B$374,$M$9:$Q$10,2,FALSE)/HLOOKUP(GREET1_Import_Export!$D$373,$M$7:$Q$8,2,FALSE)*HLOOKUP($D$3,$M$7:$Q$8,2,FALSE)/HLOOKUP($D$4,$M$9:$Q$10,2,FALSE)*GREET1_Import_Export!$J400</f>
        <v>2.3103616437886443E-2</v>
      </c>
      <c r="E88" s="384">
        <f t="shared" ca="1" si="16"/>
        <v>3.7481759587110454E-2</v>
      </c>
      <c r="F88" s="382">
        <f t="shared" ca="1" si="12"/>
        <v>0.28092216609086651</v>
      </c>
      <c r="G88" s="382">
        <f t="shared" ca="1" si="13"/>
        <v>0.1026815736377371</v>
      </c>
      <c r="H88" s="382">
        <f t="shared" ca="1" si="14"/>
        <v>0.61639626027139638</v>
      </c>
      <c r="I88" s="825">
        <f t="shared" ca="1" si="15"/>
        <v>1</v>
      </c>
    </row>
    <row r="89" spans="1:9" s="64" customFormat="1">
      <c r="A89" s="849" t="s">
        <v>893</v>
      </c>
      <c r="B89" s="347">
        <f>HLOOKUP(GREET1_Import_Export!$B$374,$M$9:$Q$10,2,FALSE)/HLOOKUP(GREET1_Import_Export!$D$373,$M$7:$Q$8,2,FALSE)*HLOOKUP($D$3,$M$7:$Q$8,2,FALSE)/HLOOKUP($D$4,$M$9:$Q$10,2,FALSE)*(GREET1_Import_Export!$H401+GREET1_Import_Export!$I401)/Vehi_Inputs!$C$150</f>
        <v>2.1545903262365678E-3</v>
      </c>
      <c r="C89" s="377">
        <f ca="1">HLOOKUP($D$3,$M$7:$Q$8,2,FALSE)/HLOOKUP($D$4,$M$9:$Q$10,2,FALSE)*Vehi_Sum!$D339</f>
        <v>5.3462652268612871E-4</v>
      </c>
      <c r="D89" s="377">
        <f>HLOOKUP(GREET1_Import_Export!$B$374,$M$9:$Q$10,2,FALSE)/HLOOKUP(GREET1_Import_Export!$D$373,$M$7:$Q$8,2,FALSE)*HLOOKUP($D$3,$M$7:$Q$8,2,FALSE)/HLOOKUP($D$4,$M$9:$Q$10,2,FALSE)*GREET1_Import_Export!$J401</f>
        <v>2.4631300802382933E-2</v>
      </c>
      <c r="E89" s="384">
        <f t="shared" ca="1" si="16"/>
        <v>2.732051765130563E-2</v>
      </c>
      <c r="F89" s="382">
        <f t="shared" ca="1" si="12"/>
        <v>7.8863451774077248E-2</v>
      </c>
      <c r="G89" s="382">
        <f t="shared" ca="1" si="13"/>
        <v>1.9568682025341465E-2</v>
      </c>
      <c r="H89" s="382">
        <f t="shared" ca="1" si="14"/>
        <v>0.90156786620058127</v>
      </c>
      <c r="I89" s="825">
        <f t="shared" ca="1" si="15"/>
        <v>1</v>
      </c>
    </row>
    <row r="90" spans="1:9" s="64" customFormat="1">
      <c r="A90" s="849" t="s">
        <v>894</v>
      </c>
      <c r="B90" s="347">
        <f>HLOOKUP(GREET1_Import_Export!$B$374,$M$9:$Q$10,2,FALSE)/HLOOKUP(GREET1_Import_Export!$D$373,$M$7:$Q$8,2,FALSE)*HLOOKUP($D$3,$M$7:$Q$8,2,FALSE)/HLOOKUP($D$4,$M$9:$Q$10,2,FALSE)*(GREET1_Import_Export!$H402+GREET1_Import_Export!$I402)/Vehi_Inputs!$C$150</f>
        <v>1.8795712007030059E-3</v>
      </c>
      <c r="C90" s="377">
        <f ca="1">HLOOKUP($D$3,$M$7:$Q$8,2,FALSE)/HLOOKUP($D$4,$M$9:$Q$10,2,FALSE)*Vehi_Sum!$D340</f>
        <v>3.7163952545498237E-4</v>
      </c>
      <c r="D90" s="377">
        <f>HLOOKUP(GREET1_Import_Export!$B$374,$M$9:$Q$10,2,FALSE)/HLOOKUP(GREET1_Import_Export!$D$373,$M$7:$Q$8,2,FALSE)*HLOOKUP($D$3,$M$7:$Q$8,2,FALSE)/HLOOKUP($D$4,$M$9:$Q$10,2,FALSE)*GREET1_Import_Export!$J402</f>
        <v>5.6144976629899854E-3</v>
      </c>
      <c r="E90" s="384">
        <f t="shared" ca="1" si="16"/>
        <v>7.8657083891479733E-3</v>
      </c>
      <c r="F90" s="382">
        <f t="shared" ca="1" si="12"/>
        <v>0.23895765107389191</v>
      </c>
      <c r="G90" s="382">
        <f t="shared" ca="1" si="13"/>
        <v>4.7248068078358928E-2</v>
      </c>
      <c r="H90" s="382">
        <f t="shared" ca="1" si="14"/>
        <v>0.71379428084774921</v>
      </c>
      <c r="I90" s="825">
        <f t="shared" ca="1" si="15"/>
        <v>1</v>
      </c>
    </row>
    <row r="91" spans="1:9" s="64" customFormat="1">
      <c r="A91" s="849" t="s">
        <v>895</v>
      </c>
      <c r="B91" s="347">
        <f>HLOOKUP(GREET1_Import_Export!$B$374,$M$9:$Q$10,2,FALSE)/HLOOKUP(GREET1_Import_Export!$D$373,$M$7:$Q$8,2,FALSE)*HLOOKUP($D$3,$M$7:$Q$8,2,FALSE)/HLOOKUP($D$4,$M$9:$Q$10,2,FALSE)*(GREET1_Import_Export!$H403+GREET1_Import_Export!$I403)/Vehi_Inputs!$C$150</f>
        <v>3.7980626896220188E-3</v>
      </c>
      <c r="C91" s="377">
        <f ca="1">HLOOKUP($D$3,$M$7:$Q$8,2,FALSE)/HLOOKUP($D$4,$M$9:$Q$10,2,FALSE)*Vehi_Sum!$D341</f>
        <v>5.3919711034946458E-3</v>
      </c>
      <c r="D91" s="377">
        <f>HLOOKUP(GREET1_Import_Export!$B$374,$M$9:$Q$10,2,FALSE)/HLOOKUP(GREET1_Import_Export!$D$373,$M$7:$Q$8,2,FALSE)*HLOOKUP($D$3,$M$7:$Q$8,2,FALSE)/HLOOKUP($D$4,$M$9:$Q$10,2,FALSE)*GREET1_Import_Export!$J403/Vehi_Inputs!$C$150</f>
        <v>7.9722945561821296E-4</v>
      </c>
      <c r="E91" s="384">
        <f t="shared" ca="1" si="16"/>
        <v>9.9872632487348779E-3</v>
      </c>
      <c r="F91" s="382">
        <f t="shared" ca="1" si="12"/>
        <v>0.3802906356857203</v>
      </c>
      <c r="G91" s="382">
        <f t="shared" ca="1" si="13"/>
        <v>0.53988474812433385</v>
      </c>
      <c r="H91" s="382">
        <f t="shared" ca="1" si="14"/>
        <v>7.982461618994581E-2</v>
      </c>
      <c r="I91" s="825">
        <f t="shared" ca="1" si="15"/>
        <v>1</v>
      </c>
    </row>
    <row r="92" spans="1:9" s="64" customFormat="1">
      <c r="A92" s="909" t="s">
        <v>896</v>
      </c>
      <c r="B92" s="347">
        <f>HLOOKUP(GREET1_Import_Export!$B$374,$M$9:$Q$10,2,FALSE)/HLOOKUP(GREET1_Import_Export!$D$373,$M$7:$Q$8,2,FALSE)*HLOOKUP($D$3,$M$7:$Q$8,2,FALSE)/HLOOKUP($D$4,$M$9:$Q$10,2,FALSE)*(GREET1_Import_Export!$H404+GREET1_Import_Export!$I404)/Vehi_Inputs!$C$150</f>
        <v>2.1433733595920603E-4</v>
      </c>
      <c r="C92" s="377">
        <f ca="1">HLOOKUP($D$3,$M$7:$Q$8,2,FALSE)/HLOOKUP($D$4,$M$9:$Q$10,2,FALSE)*Vehi_Sum!$D342</f>
        <v>2.3773120332125887E-5</v>
      </c>
      <c r="D92" s="377">
        <f>HLOOKUP(GREET1_Import_Export!$B$374,$M$9:$Q$10,2,FALSE)/HLOOKUP(GREET1_Import_Export!$D$373,$M$7:$Q$8,2,FALSE)*HLOOKUP($D$3,$M$7:$Q$8,2,FALSE)/HLOOKUP($D$4,$M$9:$Q$10,2,FALSE)*GREET1_Import_Export!$J404</f>
        <v>2.3687151475181071E-3</v>
      </c>
      <c r="E92" s="384">
        <f t="shared" ca="1" si="16"/>
        <v>2.6068256038094392E-3</v>
      </c>
      <c r="F92" s="382">
        <f t="shared" ca="1" si="12"/>
        <v>8.222158614906494E-2</v>
      </c>
      <c r="G92" s="382">
        <f t="shared" ca="1" si="13"/>
        <v>9.1195668392183397E-3</v>
      </c>
      <c r="H92" s="382">
        <f t="shared" ca="1" si="14"/>
        <v>0.90865884701171662</v>
      </c>
      <c r="I92" s="825">
        <f t="shared" ca="1" si="15"/>
        <v>1</v>
      </c>
    </row>
    <row r="93" spans="1:9" s="64" customFormat="1">
      <c r="A93" s="910" t="s">
        <v>897</v>
      </c>
      <c r="B93" s="503">
        <f>HLOOKUP(GREET1_Import_Export!$B$374,$M$9:$Q$10,2,FALSE)/HLOOKUP(GREET1_Import_Export!$D$373,$M$7:$Q$8,2,FALSE)*HLOOKUP($D$3,$M$7:$Q$8,2,FALSE)/HLOOKUP($D$4,$M$9:$Q$10,2,FALSE)*(GREET1_Import_Export!$H405+GREET1_Import_Export!$I405)/Vehi_Inputs!$C$150</f>
        <v>2.9134670772247356E-4</v>
      </c>
      <c r="C93" s="386">
        <f ca="1">HLOOKUP($D$3,$M$7:$Q$8,2,FALSE)/HLOOKUP($D$4,$M$9:$Q$10,2,FALSE)*Vehi_Sum!$D343</f>
        <v>6.1521120282822598E-5</v>
      </c>
      <c r="D93" s="386">
        <f>HLOOKUP(GREET1_Import_Export!$B$374,$M$9:$Q$10,2,FALSE)/HLOOKUP(GREET1_Import_Export!$D$373,$M$7:$Q$8,2,FALSE)*HLOOKUP($D$3,$M$7:$Q$8,2,FALSE)/HLOOKUP($D$4,$M$9:$Q$10,2,FALSE)*GREET1_Import_Export!$J405</f>
        <v>1.2018948520579769E-3</v>
      </c>
      <c r="E93" s="388">
        <f t="shared" ca="1" si="16"/>
        <v>1.554762680063273E-3</v>
      </c>
      <c r="F93" s="368">
        <f t="shared" ca="1" si="12"/>
        <v>0.18738982576467353</v>
      </c>
      <c r="G93" s="368">
        <f t="shared" ca="1" si="13"/>
        <v>3.956946038884785E-2</v>
      </c>
      <c r="H93" s="368">
        <f t="shared" ca="1" si="14"/>
        <v>0.77304071384647866</v>
      </c>
      <c r="I93" s="826">
        <f t="shared" ca="1" si="15"/>
        <v>1</v>
      </c>
    </row>
    <row r="94" spans="1:9" s="64" customFormat="1">
      <c r="F94" s="382"/>
      <c r="G94" s="382"/>
      <c r="H94" s="382"/>
    </row>
    <row r="95" spans="1:9" s="64" customFormat="1">
      <c r="A95" s="111" t="s">
        <v>1937</v>
      </c>
      <c r="B95" s="463"/>
      <c r="C95" s="463"/>
      <c r="D95" s="463"/>
      <c r="E95" s="463"/>
      <c r="F95" s="463"/>
      <c r="G95" s="463"/>
      <c r="H95" s="463"/>
    </row>
    <row r="96" spans="1:9" s="64" customFormat="1">
      <c r="A96" s="393"/>
      <c r="B96" s="3060" t="str">
        <f>$B$3&amp;"/"&amp;$D$4&amp;" or "&amp;$D$3&amp;"/"&amp;$D$4</f>
        <v>Btu/mile or g/mile</v>
      </c>
      <c r="C96" s="3061"/>
      <c r="D96" s="3061"/>
      <c r="E96" s="3062"/>
      <c r="F96" s="3005" t="s">
        <v>1890</v>
      </c>
      <c r="G96" s="3005"/>
      <c r="H96" s="3005"/>
      <c r="I96" s="3135"/>
    </row>
    <row r="97" spans="1:9" s="64" customFormat="1" ht="25.5">
      <c r="A97" s="908" t="s">
        <v>1923</v>
      </c>
      <c r="B97" s="1225" t="s">
        <v>1924</v>
      </c>
      <c r="C97" s="1658" t="s">
        <v>1925</v>
      </c>
      <c r="D97" s="1658" t="s">
        <v>1926</v>
      </c>
      <c r="E97" s="1226" t="s">
        <v>1894</v>
      </c>
      <c r="F97" s="1658" t="s">
        <v>1924</v>
      </c>
      <c r="G97" s="1658" t="s">
        <v>1925</v>
      </c>
      <c r="H97" s="1658" t="s">
        <v>1926</v>
      </c>
      <c r="I97" s="1226" t="s">
        <v>1894</v>
      </c>
    </row>
    <row r="98" spans="1:9" s="64" customFormat="1">
      <c r="A98" s="1103" t="s">
        <v>876</v>
      </c>
      <c r="B98" s="517">
        <f>HLOOKUP(GREET1_Import_Export!$B$374,$M$9:$Q$10,2,FALSE)/HLOOKUP(GREET1_Import_Export!$B$373,$M$5:$Q$6,2,FALSE)*HLOOKUP($B$3,$M$5:$Q$6,2,FALSE)/HLOOKUP($D$4,$M$9:$Q$10,2,FALSE)*(GREET1_Import_Export!$H380+GREET1_Import_Export!$I380)/Vehi_Inputs!$C$150/Vehi_Inputs!$C$154</f>
        <v>609.91427461536125</v>
      </c>
      <c r="C98" s="419">
        <f ca="1">HLOOKUP($B$3,$M$5:$Q$6,2,FALSE)/HLOOKUP($D$4,$M$9:$Q$10,2,FALSE)*Vehi_Sum!$E317</f>
        <v>727.50759502264259</v>
      </c>
      <c r="D98" s="419">
        <f>HLOOKUP(GREET1_Import_Export!$B$374,$M$9:$Q$10,2,FALSE)/HLOOKUP(GREET1_Import_Export!$B$373,$M$5:$Q$6,2,FALSE)*HLOOKUP($B$3,$M$5:$Q$6,2,FALSE)/HLOOKUP($D$4,$M$9:$Q$10,2,FALSE)*GREET1_Import_Export!$J380/Vehi_Inputs!$C$150/Vehi_Inputs!$C$154</f>
        <v>2233.2109292221753</v>
      </c>
      <c r="E98" s="516">
        <f ca="1">SUM(B98:D98)</f>
        <v>3570.6327988601793</v>
      </c>
      <c r="F98" s="382">
        <f t="shared" ref="F98:F123" ca="1" si="17">B98/$E98</f>
        <v>0.17081405705175245</v>
      </c>
      <c r="G98" s="382">
        <f t="shared" ref="G98:G123" ca="1" si="18">C98/$E98</f>
        <v>0.20374752487986955</v>
      </c>
      <c r="H98" s="382">
        <f t="shared" ref="H98:H123" ca="1" si="19">D98/$E98</f>
        <v>0.62543841806837797</v>
      </c>
      <c r="I98" s="1104">
        <f t="shared" ref="I98:I123" ca="1" si="20">E98/$E98</f>
        <v>1</v>
      </c>
    </row>
    <row r="99" spans="1:9" s="64" customFormat="1">
      <c r="A99" s="849" t="s">
        <v>877</v>
      </c>
      <c r="B99" s="517">
        <f>HLOOKUP(GREET1_Import_Export!$B$374,$M$9:$Q$10,2,FALSE)/HLOOKUP(GREET1_Import_Export!$B$373,$M$5:$Q$6,2,FALSE)*HLOOKUP($B$3,$M$5:$Q$6,2,FALSE)/HLOOKUP($D$4,$M$9:$Q$10,2,FALSE)*(GREET1_Import_Export!$H381+GREET1_Import_Export!$I381)/Vehi_Inputs!$C$150/Vehi_Inputs!$C$154</f>
        <v>547.36456372862654</v>
      </c>
      <c r="C99" s="419">
        <f ca="1">HLOOKUP($B$3,$M$5:$Q$6,2,FALSE)/HLOOKUP($D$4,$M$9:$Q$10,2,FALSE)*Vehi_Sum!$E318</f>
        <v>655.41468183638028</v>
      </c>
      <c r="D99" s="419">
        <f>HLOOKUP(GREET1_Import_Export!$B$374,$M$9:$Q$10,2,FALSE)/HLOOKUP(GREET1_Import_Export!$B$373,$M$5:$Q$6,2,FALSE)*HLOOKUP($B$3,$M$5:$Q$6,2,FALSE)/HLOOKUP($D$4,$M$9:$Q$10,2,FALSE)*GREET1_Import_Export!$J381/Vehi_Inputs!$C$150/Vehi_Inputs!$C$154</f>
        <v>2084.3148339548393</v>
      </c>
      <c r="E99" s="516">
        <f ca="1">SUM(B99:D99)</f>
        <v>3287.0940795198462</v>
      </c>
      <c r="F99" s="382">
        <f t="shared" ca="1" si="17"/>
        <v>0.16651928739702559</v>
      </c>
      <c r="G99" s="382">
        <f t="shared" ca="1" si="18"/>
        <v>0.19939030218816198</v>
      </c>
      <c r="H99" s="382">
        <f t="shared" ca="1" si="19"/>
        <v>0.6340904104148124</v>
      </c>
      <c r="I99" s="825">
        <f t="shared" ca="1" si="20"/>
        <v>1</v>
      </c>
    </row>
    <row r="100" spans="1:9" s="64" customFormat="1">
      <c r="A100" s="849" t="s">
        <v>442</v>
      </c>
      <c r="B100" s="517">
        <f>HLOOKUP(GREET1_Import_Export!$B$374,$M$9:$Q$10,2,FALSE)/HLOOKUP(GREET1_Import_Export!$B$373,$M$5:$Q$6,2,FALSE)*HLOOKUP($B$3,$M$5:$Q$6,2,FALSE)/HLOOKUP($D$4,$M$9:$Q$10,2,FALSE)*(GREET1_Import_Export!$H382+GREET1_Import_Export!$I382)/Vehi_Inputs!$C$150/Vehi_Inputs!$C$154</f>
        <v>22.662784036560179</v>
      </c>
      <c r="C100" s="419">
        <f ca="1">HLOOKUP($B$3,$M$5:$Q$6,2,FALSE)/HLOOKUP($D$4,$M$9:$Q$10,2,FALSE)*Vehi_Sum!$E319</f>
        <v>122.69669896827084</v>
      </c>
      <c r="D100" s="419">
        <f>HLOOKUP(GREET1_Import_Export!$B$374,$M$9:$Q$10,2,FALSE)/HLOOKUP(GREET1_Import_Export!$B$373,$M$5:$Q$6,2,FALSE)*HLOOKUP($B$3,$M$5:$Q$6,2,FALSE)/HLOOKUP($D$4,$M$9:$Q$10,2,FALSE)*GREET1_Import_Export!$J382/Vehi_Inputs!$C$150/Vehi_Inputs!$C$154</f>
        <v>0</v>
      </c>
      <c r="E100" s="516">
        <f ca="1">SUM(B100:D100)</f>
        <v>145.35948300483102</v>
      </c>
      <c r="F100" s="382">
        <f t="shared" ca="1" si="17"/>
        <v>0.15590853495129026</v>
      </c>
      <c r="G100" s="382">
        <f t="shared" ca="1" si="18"/>
        <v>0.84409146504870969</v>
      </c>
      <c r="H100" s="382">
        <f t="shared" ca="1" si="19"/>
        <v>0</v>
      </c>
      <c r="I100" s="825">
        <f t="shared" ca="1" si="20"/>
        <v>1</v>
      </c>
    </row>
    <row r="101" spans="1:9" s="64" customFormat="1">
      <c r="A101" s="849" t="s">
        <v>878</v>
      </c>
      <c r="B101" s="517">
        <f>B99-B100-B102</f>
        <v>362.58806808307037</v>
      </c>
      <c r="C101" s="419">
        <f ca="1">C99-C100-C102</f>
        <v>375.02459870042128</v>
      </c>
      <c r="D101" s="419">
        <f>D99-D100-D102</f>
        <v>0</v>
      </c>
      <c r="E101" s="516">
        <f ca="1">E99-E100-E102</f>
        <v>737.61266678349193</v>
      </c>
      <c r="F101" s="382">
        <f t="shared" ca="1" si="17"/>
        <v>0.49156974169682904</v>
      </c>
      <c r="G101" s="382">
        <f t="shared" ca="1" si="18"/>
        <v>0.50843025830317057</v>
      </c>
      <c r="H101" s="382">
        <f t="shared" ca="1" si="19"/>
        <v>0</v>
      </c>
      <c r="I101" s="825">
        <f t="shared" ca="1" si="20"/>
        <v>1</v>
      </c>
    </row>
    <row r="102" spans="1:9" s="64" customFormat="1">
      <c r="A102" s="849" t="s">
        <v>440</v>
      </c>
      <c r="B102" s="517">
        <f>HLOOKUP(GREET1_Import_Export!$B$374,$M$9:$Q$10,2,FALSE)/HLOOKUP(GREET1_Import_Export!$B$373,$M$5:$Q$6,2,FALSE)*HLOOKUP($B$3,$M$5:$Q$6,2,FALSE)/HLOOKUP($D$4,$M$9:$Q$10,2,FALSE)*(GREET1_Import_Export!$H384+GREET1_Import_Export!$I384)/Vehi_Inputs!$C$150/Vehi_Inputs!$C$154</f>
        <v>162.11371160899597</v>
      </c>
      <c r="C102" s="419">
        <f ca="1">HLOOKUP($B$3,$M$5:$Q$6,2,FALSE)/HLOOKUP($D$4,$M$9:$Q$10,2,FALSE)*Vehi_Sum!$E321</f>
        <v>157.69338416768815</v>
      </c>
      <c r="D102" s="419">
        <f>HLOOKUP(GREET1_Import_Export!$B$374,$M$9:$Q$10,2,FALSE)/HLOOKUP(GREET1_Import_Export!$B$373,$M$5:$Q$6,2,FALSE)*HLOOKUP($B$3,$M$5:$Q$6,2,FALSE)/HLOOKUP($D$4,$M$9:$Q$10,2,FALSE)*GREET1_Import_Export!$J384/Vehi_Inputs!$C$150/Vehi_Inputs!$C$154</f>
        <v>2084.3148339548393</v>
      </c>
      <c r="E102" s="516">
        <f t="shared" ref="E102:E123" ca="1" si="21">SUM(B102:D102)</f>
        <v>2404.1219297315233</v>
      </c>
      <c r="F102" s="382">
        <f t="shared" ca="1" si="17"/>
        <v>6.7431568093178934E-2</v>
      </c>
      <c r="G102" s="382">
        <f t="shared" ca="1" si="18"/>
        <v>6.5592922812071477E-2</v>
      </c>
      <c r="H102" s="382">
        <f t="shared" ca="1" si="19"/>
        <v>0.86697550909474963</v>
      </c>
      <c r="I102" s="825">
        <f t="shared" ca="1" si="20"/>
        <v>1</v>
      </c>
    </row>
    <row r="103" spans="1:9" s="64" customFormat="1">
      <c r="A103" s="909" t="s">
        <v>819</v>
      </c>
      <c r="B103" s="347">
        <f>HLOOKUP(GREET1_Import_Export!$B$374,$M$9:$Q$10,2,FALSE)/HLOOKUP(GREET1_Import_Export!$B$373,$M$5:$Q$6,2,FALSE)*HLOOKUP($B$3,$M$5:$Q$6,2,FALSE)/HLOOKUP($D$4,$M$9:$Q$10,2,FALSE)*(GREET1_Import_Export!$H385+GREET1_Import_Export!$I385)/Vehi_Inputs!$C$150/Vehi_Inputs!$C$154</f>
        <v>0.11481479058087499</v>
      </c>
      <c r="C103" s="349">
        <f ca="1">HLOOKUP($B$3,$M$5:$Q$6,2,FALSE)/HLOOKUP($D$4,$M$9:$Q$10,2,FALSE)*Vehi_Sum!$E322</f>
        <v>3.3813433759222918E-2</v>
      </c>
      <c r="D103" s="349">
        <f>HLOOKUP(GREET1_Import_Export!$B$374,$M$9:$Q$10,2,FALSE)/HLOOKUP(GREET1_Import_Export!$B$373,$M$5:$Q$6,2,FALSE)*HLOOKUP($B$3,$M$5:$Q$6,2,FALSE)/HLOOKUP($D$4,$M$9:$Q$10,2,FALSE)*GREET1_Import_Export!$J385/Vehi_Inputs!$C$150/Vehi_Inputs!$C$154</f>
        <v>0</v>
      </c>
      <c r="E103" s="348">
        <f t="shared" ca="1" si="21"/>
        <v>0.1486282243400979</v>
      </c>
      <c r="F103" s="382">
        <f t="shared" ca="1" si="17"/>
        <v>0.77249655030628994</v>
      </c>
      <c r="G103" s="382">
        <f t="shared" ca="1" si="18"/>
        <v>0.22750344969371009</v>
      </c>
      <c r="H103" s="382">
        <f t="shared" ca="1" si="19"/>
        <v>0</v>
      </c>
      <c r="I103" s="825">
        <f t="shared" ca="1" si="20"/>
        <v>1</v>
      </c>
    </row>
    <row r="104" spans="1:9" s="64" customFormat="1">
      <c r="A104" s="849" t="s">
        <v>1895</v>
      </c>
      <c r="B104" s="517">
        <f>HLOOKUP(GREET1_Import_Export!$B$374,$M$9:$Q$10,2,FALSE)/HLOOKUP(GREET1_Import_Export!$D$373,$M$7:$Q$8,2,FALSE)*HLOOKUP($D$3,$M$7:$Q$8,2,FALSE)/HLOOKUP($D$4,$M$9:$Q$10,2,FALSE)*(GREET1_Import_Export!$H386+GREET1_Import_Export!$I386)/Vehi_Inputs!$C$150/Vehi_Inputs!$C$154</f>
        <v>30.936980348008369</v>
      </c>
      <c r="C104" s="419">
        <f ca="1">HLOOKUP($D$3,$M$7:$Q$8,2,FALSE)/HLOOKUP($D$4,$M$9:$Q$10,2,FALSE)*Vehi_Sum!$E324</f>
        <v>39.73117106603771</v>
      </c>
      <c r="D104" s="419">
        <f>HLOOKUP(GREET1_Import_Export!$B$374,$M$9:$Q$10,2,FALSE)/HLOOKUP(GREET1_Import_Export!$D$373,$M$7:$Q$8,2,FALSE)*HLOOKUP($D$3,$M$7:$Q$8,2,FALSE)/HLOOKUP($D$4,$M$9:$Q$10,2,FALSE)*((GREET1_Import_Export!$J386-(GREET1_Import_Export!$J390*GREET1_Import_Export!$B$62+GREET1_Import_Export!$J391*GREET1_Import_Export!$B$63)/GREET1_Import_Export!$B$65)/Vehi_Inputs!$C$150/Vehi_Inputs!$C$154+(GREET1_Import_Export!$J390*GREET1_Import_Export!$B$62+GREET1_Import_Export!$J391*GREET1_Import_Export!$B$63)/GREET1_Import_Export!$B$65)</f>
        <v>171.54840740240678</v>
      </c>
      <c r="E104" s="516">
        <f t="shared" ca="1" si="21"/>
        <v>242.21655881645285</v>
      </c>
      <c r="F104" s="382">
        <f t="shared" ca="1" si="17"/>
        <v>0.12772446483087818</v>
      </c>
      <c r="G104" s="382">
        <f t="shared" ca="1" si="18"/>
        <v>0.16403160568450337</v>
      </c>
      <c r="H104" s="382">
        <f t="shared" ca="1" si="19"/>
        <v>0.70824392948461856</v>
      </c>
      <c r="I104" s="825">
        <f t="shared" ca="1" si="20"/>
        <v>1</v>
      </c>
    </row>
    <row r="105" spans="1:9" s="64" customFormat="1">
      <c r="A105" s="849" t="s">
        <v>887</v>
      </c>
      <c r="B105" s="347">
        <f>HLOOKUP(GREET1_Import_Export!$B$374,$M$9:$Q$10,2,FALSE)/HLOOKUP(GREET1_Import_Export!$D$373,$M$7:$Q$8,2,FALSE)*HLOOKUP($D$3,$M$7:$Q$8,2,FALSE)/HLOOKUP($D$4,$M$9:$Q$10,2,FALSE)*(GREET1_Import_Export!$H387+GREET1_Import_Export!$I387)/Vehi_Inputs!$C$150/Vehi_Inputs!$C$154</f>
        <v>0.2560444341034851</v>
      </c>
      <c r="C105" s="349">
        <f ca="1">HLOOKUP($D$3,$M$7:$Q$8,2,FALSE)/HLOOKUP($D$4,$M$9:$Q$10,2,FALSE)*Vehi_Sum!$E325</f>
        <v>0.11233171082204117</v>
      </c>
      <c r="D105" s="349">
        <f>HLOOKUP(GREET1_Import_Export!$B$374,$M$9:$Q$10,2,FALSE)/HLOOKUP(GREET1_Import_Export!$D$373,$M$7:$Q$8,2,FALSE)*HLOOKUP($D$3,$M$7:$Q$8,2,FALSE)/HLOOKUP($D$4,$M$9:$Q$10,2,FALSE)*GREET1_Import_Export!$J387</f>
        <v>3.7375625149596212E-3</v>
      </c>
      <c r="E105" s="384">
        <f t="shared" ca="1" si="21"/>
        <v>0.37211370744048589</v>
      </c>
      <c r="F105" s="382">
        <f t="shared" ca="1" si="17"/>
        <v>0.68808116708368139</v>
      </c>
      <c r="G105" s="382">
        <f t="shared" ca="1" si="18"/>
        <v>0.30187469199856598</v>
      </c>
      <c r="H105" s="382">
        <f t="shared" ca="1" si="19"/>
        <v>1.0044140917752645E-2</v>
      </c>
      <c r="I105" s="825">
        <f t="shared" ca="1" si="20"/>
        <v>1</v>
      </c>
    </row>
    <row r="106" spans="1:9" s="64" customFormat="1">
      <c r="A106" s="849" t="s">
        <v>888</v>
      </c>
      <c r="B106" s="347">
        <f>HLOOKUP(GREET1_Import_Export!$B$374,$M$9:$Q$10,2,FALSE)/HLOOKUP(GREET1_Import_Export!$D$373,$M$7:$Q$8,2,FALSE)*HLOOKUP($D$3,$M$7:$Q$8,2,FALSE)/HLOOKUP($D$4,$M$9:$Q$10,2,FALSE)*(GREET1_Import_Export!$H388+GREET1_Import_Export!$I388)/Vehi_Inputs!$C$150/Vehi_Inputs!$C$154</f>
        <v>6.4432798062711303E-3</v>
      </c>
      <c r="C106" s="349">
        <f ca="1">HLOOKUP($D$3,$M$7:$Q$8,2,FALSE)/HLOOKUP($D$4,$M$9:$Q$10,2,FALSE)*Vehi_Sum!$E326</f>
        <v>1.0456070191091284E-3</v>
      </c>
      <c r="D106" s="349">
        <f>HLOOKUP(GREET1_Import_Export!$B$374,$M$9:$Q$10,2,FALSE)/HLOOKUP(GREET1_Import_Export!$D$373,$M$7:$Q$8,2,FALSE)*HLOOKUP($D$3,$M$7:$Q$8,2,FALSE)/HLOOKUP($D$4,$M$9:$Q$10,2,FALSE)*GREET1_Import_Export!$J388</f>
        <v>3.8553552069305742E-3</v>
      </c>
      <c r="E106" s="384">
        <f t="shared" ca="1" si="21"/>
        <v>1.1344242032310834E-2</v>
      </c>
      <c r="F106" s="382">
        <f t="shared" ca="1" si="17"/>
        <v>0.56797799164715346</v>
      </c>
      <c r="G106" s="382">
        <f t="shared" ca="1" si="18"/>
        <v>9.2170725565534961E-2</v>
      </c>
      <c r="H106" s="382">
        <f t="shared" ca="1" si="19"/>
        <v>0.33985128278731147</v>
      </c>
      <c r="I106" s="825">
        <f t="shared" ca="1" si="20"/>
        <v>1</v>
      </c>
    </row>
    <row r="107" spans="1:9" s="64" customFormat="1">
      <c r="A107" s="849" t="s">
        <v>1896</v>
      </c>
      <c r="B107" s="517">
        <f>HLOOKUP(GREET1_Import_Export!$B$374,$M$9:$Q$10,2,FALSE)/HLOOKUP(GREET1_Import_Export!$D$373,$M$7:$Q$8,2,FALSE)*HLOOKUP($D$3,$M$7:$Q$8,2,FALSE)/HLOOKUP($D$4,$M$9:$Q$10,2,FALSE)*(GREET1_Import_Export!$H389+GREET1_Import_Export!$I389)/Vehi_Inputs!$C$150/Vehi_Inputs!$C$154</f>
        <v>40.325782519774776</v>
      </c>
      <c r="C107" s="419">
        <f ca="1">HLOOKUP($D$3,$M$7:$Q$8,2,FALSE)/HLOOKUP($D$4,$M$9:$Q$10,2,FALSE)*Vehi_Sum!$E327</f>
        <v>44.332843572800982</v>
      </c>
      <c r="D107" s="158">
        <f>D104+SUMPRODUCT(D105:D106,GREET1_Import_Export!$B$51:$B$52)+SUMPRODUCT(D108:D110,GREET1_Import_Export!$B$55:$B$57)+SUMPRODUCT(D114:D115,GREET1_Import_Export!$B$58:$B$59)</f>
        <v>172.68220340769219</v>
      </c>
      <c r="E107" s="516">
        <f t="shared" ca="1" si="21"/>
        <v>257.34082950026794</v>
      </c>
      <c r="F107" s="382">
        <f t="shared" ca="1" si="17"/>
        <v>0.15670184400230508</v>
      </c>
      <c r="G107" s="382">
        <f t="shared" ca="1" si="18"/>
        <v>0.17227287119145165</v>
      </c>
      <c r="H107" s="382">
        <f t="shared" ca="1" si="19"/>
        <v>0.67102528480624324</v>
      </c>
      <c r="I107" s="825">
        <f t="shared" ca="1" si="20"/>
        <v>1</v>
      </c>
    </row>
    <row r="108" spans="1:9" s="64" customFormat="1">
      <c r="A108" s="849" t="s">
        <v>879</v>
      </c>
      <c r="B108" s="347">
        <f>HLOOKUP(GREET1_Import_Export!$B$374,$M$9:$Q$10,2,FALSE)/HLOOKUP(GREET1_Import_Export!$D$373,$M$7:$Q$8,2,FALSE)*HLOOKUP($D$3,$M$7:$Q$8,2,FALSE)/HLOOKUP($D$4,$M$9:$Q$10,2,FALSE)*(GREET1_Import_Export!$H390+GREET1_Import_Export!$I390)/Vehi_Inputs!$C$150/Vehi_Inputs!$C$154</f>
        <v>6.5598410780516633E-2</v>
      </c>
      <c r="C108" s="349">
        <f ca="1">HLOOKUP($D$3,$M$7:$Q$8,2,FALSE)/HLOOKUP($D$4,$M$9:$Q$10,2,FALSE)*Vehi_Sum!$E328</f>
        <v>0.18591025346542545</v>
      </c>
      <c r="D108" s="349">
        <f>HLOOKUP(GREET1_Import_Export!$B$374,$M$9:$Q$10,2,FALSE)/HLOOKUP(GREET1_Import_Export!$D$373,$M$7:$Q$8,2,FALSE)*HLOOKUP($D$3,$M$7:$Q$8,2,FALSE)/HLOOKUP($D$4,$M$9:$Q$10,2,FALSE)*GREET1_Import_Export!$J390</f>
        <v>0.13510741897857262</v>
      </c>
      <c r="E108" s="384">
        <f t="shared" ca="1" si="21"/>
        <v>0.38661608322451468</v>
      </c>
      <c r="F108" s="382">
        <f t="shared" ca="1" si="17"/>
        <v>0.16967325889135992</v>
      </c>
      <c r="G108" s="382">
        <f t="shared" ca="1" si="18"/>
        <v>0.48086528608657009</v>
      </c>
      <c r="H108" s="382">
        <f t="shared" ca="1" si="19"/>
        <v>0.34946145502207004</v>
      </c>
      <c r="I108" s="825">
        <f t="shared" ca="1" si="20"/>
        <v>1</v>
      </c>
    </row>
    <row r="109" spans="1:9" s="64" customFormat="1">
      <c r="A109" s="849" t="s">
        <v>880</v>
      </c>
      <c r="B109" s="347">
        <f>HLOOKUP(GREET1_Import_Export!$B$374,$M$9:$Q$10,2,FALSE)/HLOOKUP(GREET1_Import_Export!$D$373,$M$7:$Q$8,2,FALSE)*HLOOKUP($D$3,$M$7:$Q$8,2,FALSE)/HLOOKUP($D$4,$M$9:$Q$10,2,FALSE)*(GREET1_Import_Export!$H391+GREET1_Import_Export!$I391)/Vehi_Inputs!$C$150/Vehi_Inputs!$C$154</f>
        <v>3.4399282227645878E-2</v>
      </c>
      <c r="C109" s="349">
        <f ca="1">HLOOKUP($D$3,$M$7:$Q$8,2,FALSE)/HLOOKUP($D$4,$M$9:$Q$10,2,FALSE)*Vehi_Sum!$E329</f>
        <v>7.3634686447588762E-2</v>
      </c>
      <c r="D109" s="349">
        <f>HLOOKUP(GREET1_Import_Export!$B$374,$M$9:$Q$10,2,FALSE)/HLOOKUP(GREET1_Import_Export!$D$373,$M$7:$Q$8,2,FALSE)*HLOOKUP($D$3,$M$7:$Q$8,2,FALSE)/HLOOKUP($D$4,$M$9:$Q$10,2,FALSE)*GREET1_Import_Export!$J391</f>
        <v>1.4655810643908089</v>
      </c>
      <c r="E109" s="384">
        <f t="shared" ca="1" si="21"/>
        <v>1.5736150330660437</v>
      </c>
      <c r="F109" s="382">
        <f t="shared" ca="1" si="17"/>
        <v>2.1860036606680129E-2</v>
      </c>
      <c r="G109" s="382">
        <f t="shared" ca="1" si="18"/>
        <v>4.6793329308832524E-2</v>
      </c>
      <c r="H109" s="382">
        <f t="shared" ca="1" si="19"/>
        <v>0.93134663408448726</v>
      </c>
      <c r="I109" s="825">
        <f t="shared" ca="1" si="20"/>
        <v>1</v>
      </c>
    </row>
    <row r="110" spans="1:9" s="64" customFormat="1">
      <c r="A110" s="849" t="s">
        <v>881</v>
      </c>
      <c r="B110" s="347">
        <f>HLOOKUP(GREET1_Import_Export!$B$374,$M$9:$Q$10,2,FALSE)/HLOOKUP(GREET1_Import_Export!$D$373,$M$7:$Q$8,2,FALSE)*HLOOKUP($D$3,$M$7:$Q$8,2,FALSE)/HLOOKUP($D$4,$M$9:$Q$10,2,FALSE)*(GREET1_Import_Export!$H392+GREET1_Import_Export!$I392)/Vehi_Inputs!$C$150/Vehi_Inputs!$C$154</f>
        <v>5.6094834994676317E-2</v>
      </c>
      <c r="C110" s="349">
        <f ca="1">HLOOKUP($D$3,$M$7:$Q$8,2,FALSE)/HLOOKUP($D$4,$M$9:$Q$10,2,FALSE)*Vehi_Sum!$E330</f>
        <v>4.1912612950210586E-2</v>
      </c>
      <c r="D110" s="349">
        <f>HLOOKUP(GREET1_Import_Export!$B$374,$M$9:$Q$10,2,FALSE)/HLOOKUP(GREET1_Import_Export!$D$373,$M$7:$Q$8,2,FALSE)*HLOOKUP($D$3,$M$7:$Q$8,2,FALSE)/HLOOKUP($D$4,$M$9:$Q$10,2,FALSE)*GREET1_Import_Export!$J392</f>
        <v>3.3005166339837778E-2</v>
      </c>
      <c r="E110" s="384">
        <f t="shared" ca="1" si="21"/>
        <v>0.13101261428472469</v>
      </c>
      <c r="F110" s="382">
        <f t="shared" ca="1" si="17"/>
        <v>0.42816361844949957</v>
      </c>
      <c r="G110" s="382">
        <f t="shared" ca="1" si="18"/>
        <v>0.31991280518319792</v>
      </c>
      <c r="H110" s="382">
        <f t="shared" ca="1" si="19"/>
        <v>0.25192357636730245</v>
      </c>
      <c r="I110" s="825">
        <f t="shared" ca="1" si="20"/>
        <v>1</v>
      </c>
    </row>
    <row r="111" spans="1:9" s="64" customFormat="1">
      <c r="A111" s="849" t="s">
        <v>882</v>
      </c>
      <c r="B111" s="347">
        <f>HLOOKUP(GREET1_Import_Export!$B$374,$M$9:$Q$10,2,FALSE)/HLOOKUP(GREET1_Import_Export!$D$373,$M$7:$Q$8,2,FALSE)*HLOOKUP($D$3,$M$7:$Q$8,2,FALSE)/HLOOKUP($D$4,$M$9:$Q$10,2,FALSE)*(GREET1_Import_Export!$H393+GREET1_Import_Export!$I393)/Vehi_Inputs!$C$150/Vehi_Inputs!$C$154</f>
        <v>6.3248668716670755E-3</v>
      </c>
      <c r="C111" s="349">
        <f ca="1">HLOOKUP($D$3,$M$7:$Q$8,2,FALSE)/HLOOKUP($D$4,$M$9:$Q$10,2,FALSE)*Vehi_Sum!$E331</f>
        <v>1.9251183650544599E-2</v>
      </c>
      <c r="D111" s="349">
        <f>HLOOKUP(GREET1_Import_Export!$B$374,$M$9:$Q$10,2,FALSE)/HLOOKUP(GREET1_Import_Export!$D$373,$M$7:$Q$8,2,FALSE)*HLOOKUP($D$3,$M$7:$Q$8,2,FALSE)/HLOOKUP($D$4,$M$9:$Q$10,2,FALSE)*GREET1_Import_Export!$J393</f>
        <v>3.5187572574832765E-2</v>
      </c>
      <c r="E111" s="348">
        <f t="shared" ca="1" si="21"/>
        <v>6.0763623097044438E-2</v>
      </c>
      <c r="F111" s="382">
        <f t="shared" ca="1" si="17"/>
        <v>0.10408969296590083</v>
      </c>
      <c r="G111" s="382">
        <f t="shared" ca="1" si="18"/>
        <v>0.3168208653358095</v>
      </c>
      <c r="H111" s="382">
        <f t="shared" ca="1" si="19"/>
        <v>0.57908944169828969</v>
      </c>
      <c r="I111" s="825">
        <f t="shared" ca="1" si="20"/>
        <v>1</v>
      </c>
    </row>
    <row r="112" spans="1:9" s="64" customFormat="1">
      <c r="A112" s="849" t="s">
        <v>883</v>
      </c>
      <c r="B112" s="347">
        <f>HLOOKUP(GREET1_Import_Export!$B$374,$M$9:$Q$10,2,FALSE)/HLOOKUP(GREET1_Import_Export!$D$373,$M$7:$Q$8,2,FALSE)*HLOOKUP($D$3,$M$7:$Q$8,2,FALSE)/HLOOKUP($D$4,$M$9:$Q$10,2,FALSE)*(GREET1_Import_Export!$H394+GREET1_Import_Export!$I394)/Vehi_Inputs!$C$150/Vehi_Inputs!$C$154</f>
        <v>4.2588177823578537E-3</v>
      </c>
      <c r="C112" s="349">
        <f ca="1">HLOOKUP($D$3,$M$7:$Q$8,2,FALSE)/HLOOKUP($D$4,$M$9:$Q$10,2,FALSE)*Vehi_Sum!$E332</f>
        <v>7.1389154033384356E-3</v>
      </c>
      <c r="D112" s="349">
        <f>HLOOKUP(GREET1_Import_Export!$B$374,$M$9:$Q$10,2,FALSE)/HLOOKUP(GREET1_Import_Export!$D$373,$M$7:$Q$8,2,FALSE)*HLOOKUP($D$3,$M$7:$Q$8,2,FALSE)/HLOOKUP($D$4,$M$9:$Q$10,2,FALSE)*GREET1_Import_Export!$J394</f>
        <v>8.0207109471285513E-3</v>
      </c>
      <c r="E112" s="348">
        <f t="shared" ca="1" si="21"/>
        <v>1.9418444132824841E-2</v>
      </c>
      <c r="F112" s="382">
        <f t="shared" ca="1" si="17"/>
        <v>0.21931817777093526</v>
      </c>
      <c r="G112" s="382">
        <f t="shared" ca="1" si="18"/>
        <v>0.3676358082299111</v>
      </c>
      <c r="H112" s="382">
        <f t="shared" ca="1" si="19"/>
        <v>0.41304601399915358</v>
      </c>
      <c r="I112" s="825">
        <f t="shared" ca="1" si="20"/>
        <v>1</v>
      </c>
    </row>
    <row r="113" spans="1:10" s="64" customFormat="1">
      <c r="A113" s="849" t="s">
        <v>884</v>
      </c>
      <c r="B113" s="347">
        <f>HLOOKUP(GREET1_Import_Export!$B$374,$M$9:$Q$10,2,FALSE)/HLOOKUP(GREET1_Import_Export!$D$373,$M$7:$Q$8,2,FALSE)*HLOOKUP($D$3,$M$7:$Q$8,2,FALSE)/HLOOKUP($D$4,$M$9:$Q$10,2,FALSE)*(GREET1_Import_Export!$H395+GREET1_Import_Export!$I395)/Vehi_Inputs!$C$150/Vehi_Inputs!$C$154</f>
        <v>1.5569322541475292E-2</v>
      </c>
      <c r="C113" s="349">
        <f ca="1">HLOOKUP($D$3,$M$7:$Q$8,2,FALSE)/HLOOKUP($D$4,$M$9:$Q$10,2,FALSE)*Vehi_Sum!$E333</f>
        <v>0.21056508345903427</v>
      </c>
      <c r="D113" s="349">
        <f>HLOOKUP(GREET1_Import_Export!$B$374,$M$9:$Q$10,2,FALSE)/HLOOKUP(GREET1_Import_Export!$D$373,$M$7:$Q$8,2,FALSE)*HLOOKUP($D$3,$M$7:$Q$8,2,FALSE)/HLOOKUP($D$4,$M$9:$Q$10,2,FALSE)*GREET1_Import_Export!$J395/Vehi_Inputs!$C$150/Vehi_Inputs!$C$154</f>
        <v>1.0180921642543104E-3</v>
      </c>
      <c r="E113" s="348">
        <f t="shared" ca="1" si="21"/>
        <v>0.22715249816476385</v>
      </c>
      <c r="F113" s="382">
        <f t="shared" ca="1" si="17"/>
        <v>6.8541278072064907E-2</v>
      </c>
      <c r="G113" s="382">
        <f t="shared" ca="1" si="18"/>
        <v>0.92697674540344266</v>
      </c>
      <c r="H113" s="382">
        <f t="shared" ca="1" si="19"/>
        <v>4.4819765244925583E-3</v>
      </c>
      <c r="I113" s="825">
        <f t="shared" ca="1" si="20"/>
        <v>1</v>
      </c>
    </row>
    <row r="114" spans="1:10" s="64" customFormat="1">
      <c r="A114" s="909" t="s">
        <v>885</v>
      </c>
      <c r="B114" s="347">
        <f>HLOOKUP(GREET1_Import_Export!$B$374,$M$9:$Q$10,2,FALSE)/HLOOKUP(GREET1_Import_Export!$D$373,$M$7:$Q$8,2,FALSE)*HLOOKUP($D$3,$M$7:$Q$8,2,FALSE)/HLOOKUP($D$4,$M$9:$Q$10,2,FALSE)*(GREET1_Import_Export!$H396+GREET1_Import_Export!$I396)/Vehi_Inputs!$C$150/Vehi_Inputs!$C$154</f>
        <v>5.7037590391490714E-4</v>
      </c>
      <c r="C114" s="349">
        <f ca="1">HLOOKUP($D$3,$M$7:$Q$8,2,FALSE)/HLOOKUP($D$4,$M$9:$Q$10,2,FALSE)*Vehi_Sum!$E334</f>
        <v>2.8261476279527816E-4</v>
      </c>
      <c r="D114" s="349">
        <f>HLOOKUP(GREET1_Import_Export!$B$374,$M$9:$Q$10,2,FALSE)/HLOOKUP(GREET1_Import_Export!$D$373,$M$7:$Q$8,2,FALSE)*HLOOKUP($D$3,$M$7:$Q$8,2,FALSE)/HLOOKUP($D$4,$M$9:$Q$10,2,FALSE)*GREET1_Import_Export!$J396</f>
        <v>3.3838787821687246E-3</v>
      </c>
      <c r="E114" s="348">
        <f t="shared" ca="1" si="21"/>
        <v>4.2368694488789096E-3</v>
      </c>
      <c r="F114" s="382">
        <f t="shared" ca="1" si="17"/>
        <v>0.13462201533394677</v>
      </c>
      <c r="G114" s="382">
        <f t="shared" ca="1" si="18"/>
        <v>6.6703675014121333E-2</v>
      </c>
      <c r="H114" s="382">
        <f t="shared" ca="1" si="19"/>
        <v>0.79867430965193198</v>
      </c>
      <c r="I114" s="825">
        <f t="shared" ca="1" si="20"/>
        <v>1</v>
      </c>
    </row>
    <row r="115" spans="1:10" s="64" customFormat="1">
      <c r="A115" s="909" t="s">
        <v>886</v>
      </c>
      <c r="B115" s="347">
        <f>HLOOKUP(GREET1_Import_Export!$B$374,$M$9:$Q$10,2,FALSE)/HLOOKUP(GREET1_Import_Export!$D$373,$M$7:$Q$8,2,FALSE)*HLOOKUP($D$3,$M$7:$Q$8,2,FALSE)/HLOOKUP($D$4,$M$9:$Q$10,2,FALSE)*(GREET1_Import_Export!$H397+GREET1_Import_Export!$I397)/Vehi_Inputs!$C$150/Vehi_Inputs!$C$154</f>
        <v>9.1855042708246864E-4</v>
      </c>
      <c r="C115" s="349">
        <f ca="1">HLOOKUP($D$3,$M$7:$Q$8,2,FALSE)/HLOOKUP($D$4,$M$9:$Q$10,2,FALSE)*Vehi_Sum!$E335</f>
        <v>6.4470638020046691E-4</v>
      </c>
      <c r="D115" s="349">
        <f>HLOOKUP(GREET1_Import_Export!$B$374,$M$9:$Q$10,2,FALSE)/HLOOKUP(GREET1_Import_Export!$D$373,$M$7:$Q$8,2,FALSE)*HLOOKUP($D$3,$M$7:$Q$8,2,FALSE)/HLOOKUP($D$4,$M$9:$Q$10,2,FALSE)*GREET1_Import_Export!$J397</f>
        <v>1.7169926457971099E-3</v>
      </c>
      <c r="E115" s="348">
        <f t="shared" ca="1" si="21"/>
        <v>3.2802494530800455E-3</v>
      </c>
      <c r="F115" s="382">
        <f t="shared" ca="1" si="17"/>
        <v>0.28002456527200398</v>
      </c>
      <c r="G115" s="382">
        <f t="shared" ca="1" si="18"/>
        <v>0.19654187567811618</v>
      </c>
      <c r="H115" s="382">
        <f t="shared" ca="1" si="19"/>
        <v>0.52343355904987976</v>
      </c>
      <c r="I115" s="825">
        <f t="shared" ca="1" si="20"/>
        <v>1</v>
      </c>
      <c r="J115" s="1181"/>
    </row>
    <row r="116" spans="1:10" s="64" customFormat="1">
      <c r="A116" s="849" t="s">
        <v>890</v>
      </c>
      <c r="B116" s="347">
        <f>HLOOKUP(GREET1_Import_Export!$B$374,$M$9:$Q$10,2,FALSE)/HLOOKUP(GREET1_Import_Export!$D$373,$M$7:$Q$8,2,FALSE)*HLOOKUP($D$3,$M$7:$Q$8,2,FALSE)/HLOOKUP($D$4,$M$9:$Q$10,2,FALSE)*(GREET1_Import_Export!$H398+GREET1_Import_Export!$I398)/Vehi_Inputs!$C$150/Vehi_Inputs!$C$154</f>
        <v>3.534596225033735E-2</v>
      </c>
      <c r="C116" s="377">
        <f ca="1">HLOOKUP($D$3,$M$7:$Q$8,2,FALSE)/HLOOKUP($D$4,$M$9:$Q$10,2,FALSE)*Vehi_Sum!$E336</f>
        <v>0.11144297367162148</v>
      </c>
      <c r="D116" s="377">
        <f>HLOOKUP(GREET1_Import_Export!$B$374,$M$9:$Q$10,2,FALSE)/HLOOKUP(GREET1_Import_Export!$D$373,$M$7:$Q$8,2,FALSE)*HLOOKUP($D$3,$M$7:$Q$8,2,FALSE)/HLOOKUP($D$4,$M$9:$Q$10,2,FALSE)*GREET1_Import_Export!$J398</f>
        <v>9.457519328500083E-2</v>
      </c>
      <c r="E116" s="384">
        <f t="shared" ca="1" si="21"/>
        <v>0.24136412920695965</v>
      </c>
      <c r="F116" s="382">
        <f t="shared" ca="1" si="17"/>
        <v>0.14644248242881885</v>
      </c>
      <c r="G116" s="382">
        <f t="shared" ca="1" si="18"/>
        <v>0.46172135866992808</v>
      </c>
      <c r="H116" s="382">
        <f t="shared" ca="1" si="19"/>
        <v>0.39183615890125312</v>
      </c>
      <c r="I116" s="825">
        <f t="shared" ca="1" si="20"/>
        <v>1</v>
      </c>
    </row>
    <row r="117" spans="1:10" s="64" customFormat="1">
      <c r="A117" s="849" t="s">
        <v>891</v>
      </c>
      <c r="B117" s="347">
        <f>HLOOKUP(GREET1_Import_Export!$B$374,$M$9:$Q$10,2,FALSE)/HLOOKUP(GREET1_Import_Export!$D$373,$M$7:$Q$8,2,FALSE)*HLOOKUP($D$3,$M$7:$Q$8,2,FALSE)/HLOOKUP($D$4,$M$9:$Q$10,2,FALSE)*(GREET1_Import_Export!$H399+GREET1_Import_Export!$I399)/Vehi_Inputs!$C$150/Vehi_Inputs!$C$154</f>
        <v>6.0781343669270224E-3</v>
      </c>
      <c r="C117" s="377">
        <f ca="1">HLOOKUP($D$3,$M$7:$Q$8,2,FALSE)/HLOOKUP($D$4,$M$9:$Q$10,2,FALSE)*Vehi_Sum!$E337</f>
        <v>2.0158148808774516E-3</v>
      </c>
      <c r="D117" s="377">
        <f>HLOOKUP(GREET1_Import_Export!$B$374,$M$9:$Q$10,2,FALSE)/HLOOKUP(GREET1_Import_Export!$D$373,$M$7:$Q$8,2,FALSE)*HLOOKUP($D$3,$M$7:$Q$8,2,FALSE)/HLOOKUP($D$4,$M$9:$Q$10,2,FALSE)*GREET1_Import_Export!$J399</f>
        <v>1.0259067450735662</v>
      </c>
      <c r="E117" s="384">
        <f t="shared" ca="1" si="21"/>
        <v>1.0340006943213707</v>
      </c>
      <c r="F117" s="382">
        <f t="shared" ca="1" si="17"/>
        <v>5.8782691349314698E-3</v>
      </c>
      <c r="G117" s="382">
        <f t="shared" ca="1" si="18"/>
        <v>1.9495295234791495E-3</v>
      </c>
      <c r="H117" s="382">
        <f t="shared" ca="1" si="19"/>
        <v>0.99217220134158934</v>
      </c>
      <c r="I117" s="825">
        <f t="shared" ca="1" si="20"/>
        <v>1</v>
      </c>
    </row>
    <row r="118" spans="1:10" s="64" customFormat="1">
      <c r="A118" s="849" t="s">
        <v>892</v>
      </c>
      <c r="B118" s="347">
        <f>HLOOKUP(GREET1_Import_Export!$B$374,$M$9:$Q$10,2,FALSE)/HLOOKUP(GREET1_Import_Export!$D$373,$M$7:$Q$8,2,FALSE)*HLOOKUP($D$3,$M$7:$Q$8,2,FALSE)/HLOOKUP($D$4,$M$9:$Q$10,2,FALSE)*(GREET1_Import_Export!$H400+GREET1_Import_Export!$I400)/Vehi_Inputs!$C$150/Vehi_Inputs!$C$154</f>
        <v>9.4125604349504961E-3</v>
      </c>
      <c r="C118" s="377">
        <f ca="1">HLOOKUP($D$3,$M$7:$Q$8,2,FALSE)/HLOOKUP($D$4,$M$9:$Q$10,2,FALSE)*Vehi_Sum!$E338</f>
        <v>5.1029840089196398E-3</v>
      </c>
      <c r="D118" s="377">
        <f>HLOOKUP(GREET1_Import_Export!$B$374,$M$9:$Q$10,2,FALSE)/HLOOKUP(GREET1_Import_Export!$D$373,$M$7:$Q$8,2,FALSE)*HLOOKUP($D$3,$M$7:$Q$8,2,FALSE)/HLOOKUP($D$4,$M$9:$Q$10,2,FALSE)*GREET1_Import_Export!$J400</f>
        <v>2.3103616437886443E-2</v>
      </c>
      <c r="E118" s="384">
        <f t="shared" ca="1" si="21"/>
        <v>3.7619160881756583E-2</v>
      </c>
      <c r="F118" s="382">
        <f t="shared" ca="1" si="17"/>
        <v>0.25020654938412301</v>
      </c>
      <c r="G118" s="382">
        <f t="shared" ca="1" si="18"/>
        <v>0.13564853360124607</v>
      </c>
      <c r="H118" s="382">
        <f t="shared" ca="1" si="19"/>
        <v>0.61414491701463081</v>
      </c>
      <c r="I118" s="825">
        <f t="shared" ca="1" si="20"/>
        <v>1</v>
      </c>
    </row>
    <row r="119" spans="1:10" s="64" customFormat="1">
      <c r="A119" s="849" t="s">
        <v>893</v>
      </c>
      <c r="B119" s="347">
        <f>HLOOKUP(GREET1_Import_Export!$B$374,$M$9:$Q$10,2,FALSE)/HLOOKUP(GREET1_Import_Export!$D$373,$M$7:$Q$8,2,FALSE)*HLOOKUP($D$3,$M$7:$Q$8,2,FALSE)/HLOOKUP($D$4,$M$9:$Q$10,2,FALSE)*(GREET1_Import_Export!$H401+GREET1_Import_Export!$I401)/Vehi_Inputs!$C$150/Vehi_Inputs!$C$154</f>
        <v>1.9260453298642929E-3</v>
      </c>
      <c r="C119" s="377">
        <f ca="1">HLOOKUP($D$3,$M$7:$Q$8,2,FALSE)/HLOOKUP($D$4,$M$9:$Q$10,2,FALSE)*Vehi_Sum!$E339</f>
        <v>6.8248736559072736E-4</v>
      </c>
      <c r="D119" s="377">
        <f>HLOOKUP(GREET1_Import_Export!$B$374,$M$9:$Q$10,2,FALSE)/HLOOKUP(GREET1_Import_Export!$D$373,$M$7:$Q$8,2,FALSE)*HLOOKUP($D$3,$M$7:$Q$8,2,FALSE)/HLOOKUP($D$4,$M$9:$Q$10,2,FALSE)*GREET1_Import_Export!$J401</f>
        <v>2.4631300802382933E-2</v>
      </c>
      <c r="E119" s="384">
        <f t="shared" ca="1" si="21"/>
        <v>2.7239833497837953E-2</v>
      </c>
      <c r="F119" s="382">
        <f t="shared" ca="1" si="17"/>
        <v>7.0706942097027312E-2</v>
      </c>
      <c r="G119" s="382">
        <f t="shared" ca="1" si="18"/>
        <v>2.505475540608194E-2</v>
      </c>
      <c r="H119" s="382">
        <f t="shared" ca="1" si="19"/>
        <v>0.90423830249689074</v>
      </c>
      <c r="I119" s="825">
        <f t="shared" ca="1" si="20"/>
        <v>1</v>
      </c>
    </row>
    <row r="120" spans="1:10" s="64" customFormat="1">
      <c r="A120" s="849" t="s">
        <v>894</v>
      </c>
      <c r="B120" s="347">
        <f>HLOOKUP(GREET1_Import_Export!$B$374,$M$9:$Q$10,2,FALSE)/HLOOKUP(GREET1_Import_Export!$D$373,$M$7:$Q$8,2,FALSE)*HLOOKUP($D$3,$M$7:$Q$8,2,FALSE)/HLOOKUP($D$4,$M$9:$Q$10,2,FALSE)*(GREET1_Import_Export!$H402+GREET1_Import_Export!$I402)/Vehi_Inputs!$C$150/Vehi_Inputs!$C$154</f>
        <v>1.6801984531253137E-3</v>
      </c>
      <c r="C120" s="377">
        <f ca="1">HLOOKUP($D$3,$M$7:$Q$8,2,FALSE)/HLOOKUP($D$4,$M$9:$Q$10,2,FALSE)*Vehi_Sum!$E340</f>
        <v>5.0135837157026005E-4</v>
      </c>
      <c r="D120" s="377">
        <f>HLOOKUP(GREET1_Import_Export!$B$374,$M$9:$Q$10,2,FALSE)/HLOOKUP(GREET1_Import_Export!$D$373,$M$7:$Q$8,2,FALSE)*HLOOKUP($D$3,$M$7:$Q$8,2,FALSE)/HLOOKUP($D$4,$M$9:$Q$10,2,FALSE)*GREET1_Import_Export!$J402</f>
        <v>5.6144976629899854E-3</v>
      </c>
      <c r="E120" s="384">
        <f t="shared" ca="1" si="21"/>
        <v>7.7960544876855588E-3</v>
      </c>
      <c r="F120" s="382">
        <f t="shared" ca="1" si="17"/>
        <v>0.21551907516543281</v>
      </c>
      <c r="G120" s="382">
        <f t="shared" ca="1" si="18"/>
        <v>6.4309244164749299E-2</v>
      </c>
      <c r="H120" s="382">
        <f t="shared" ca="1" si="19"/>
        <v>0.72017168066981796</v>
      </c>
      <c r="I120" s="825">
        <f t="shared" ca="1" si="20"/>
        <v>1</v>
      </c>
    </row>
    <row r="121" spans="1:10" s="64" customFormat="1">
      <c r="A121" s="849" t="s">
        <v>895</v>
      </c>
      <c r="B121" s="347">
        <f>HLOOKUP(GREET1_Import_Export!$B$374,$M$9:$Q$10,2,FALSE)/HLOOKUP(GREET1_Import_Export!$D$373,$M$7:$Q$8,2,FALSE)*HLOOKUP($D$3,$M$7:$Q$8,2,FALSE)/HLOOKUP($D$4,$M$9:$Q$10,2,FALSE)*(GREET1_Import_Export!$H403+GREET1_Import_Export!$I403)/Vehi_Inputs!$C$150/Vehi_Inputs!$C$154</f>
        <v>3.3951887822015183E-3</v>
      </c>
      <c r="C121" s="377">
        <f ca="1">HLOOKUP($D$3,$M$7:$Q$8,2,FALSE)/HLOOKUP($D$4,$M$9:$Q$10,2,FALSE)*Vehi_Sum!$E341</f>
        <v>6.2786753973507912E-3</v>
      </c>
      <c r="D121" s="377">
        <f>HLOOKUP(GREET1_Import_Export!$B$374,$M$9:$Q$10,2,FALSE)/HLOOKUP(GREET1_Import_Export!$D$373,$M$7:$Q$8,2,FALSE)*HLOOKUP($D$3,$M$7:$Q$8,2,FALSE)/HLOOKUP($D$4,$M$9:$Q$10,2,FALSE)*GREET1_Import_Export!$J403/Vehi_Inputs!$C$150/Vehi_Inputs!$C$154</f>
        <v>7.1266451497801727E-4</v>
      </c>
      <c r="E121" s="384">
        <f t="shared" ca="1" si="21"/>
        <v>1.0386528694530326E-2</v>
      </c>
      <c r="F121" s="382">
        <f t="shared" ca="1" si="17"/>
        <v>0.32688387834421201</v>
      </c>
      <c r="G121" s="382">
        <f t="shared" ca="1" si="18"/>
        <v>0.60450181018199267</v>
      </c>
      <c r="H121" s="382">
        <f t="shared" ca="1" si="19"/>
        <v>6.8614311473795389E-2</v>
      </c>
      <c r="I121" s="825">
        <f t="shared" ca="1" si="20"/>
        <v>1</v>
      </c>
    </row>
    <row r="122" spans="1:10" s="64" customFormat="1">
      <c r="A122" s="909" t="s">
        <v>896</v>
      </c>
      <c r="B122" s="347">
        <f>HLOOKUP(GREET1_Import_Export!$B$374,$M$9:$Q$10,2,FALSE)/HLOOKUP(GREET1_Import_Export!$D$373,$M$7:$Q$8,2,FALSE)*HLOOKUP($D$3,$M$7:$Q$8,2,FALSE)/HLOOKUP($D$4,$M$9:$Q$10,2,FALSE)*(GREET1_Import_Export!$H404+GREET1_Import_Export!$I404)/Vehi_Inputs!$C$150/Vehi_Inputs!$C$154</f>
        <v>1.9160181864404043E-4</v>
      </c>
      <c r="C122" s="377">
        <f ca="1">HLOOKUP($D$3,$M$7:$Q$8,2,FALSE)/HLOOKUP($D$4,$M$9:$Q$10,2,FALSE)*Vehi_Sum!$E342</f>
        <v>3.1682529408076736E-5</v>
      </c>
      <c r="D122" s="377">
        <f>HLOOKUP(GREET1_Import_Export!$B$374,$M$9:$Q$10,2,FALSE)/HLOOKUP(GREET1_Import_Export!$D$373,$M$7:$Q$8,2,FALSE)*HLOOKUP($D$3,$M$7:$Q$8,2,FALSE)/HLOOKUP($D$4,$M$9:$Q$10,2,FALSE)*GREET1_Import_Export!$J404</f>
        <v>2.3687151475181071E-3</v>
      </c>
      <c r="E122" s="384">
        <f t="shared" ca="1" si="21"/>
        <v>2.5919994955702244E-3</v>
      </c>
      <c r="F122" s="382">
        <f t="shared" ca="1" si="17"/>
        <v>7.392046910946222E-2</v>
      </c>
      <c r="G122" s="382">
        <f t="shared" ca="1" si="18"/>
        <v>1.2223200452863811E-2</v>
      </c>
      <c r="H122" s="382">
        <f t="shared" ca="1" si="19"/>
        <v>0.91385633043767389</v>
      </c>
      <c r="I122" s="825">
        <f t="shared" ca="1" si="20"/>
        <v>1</v>
      </c>
    </row>
    <row r="123" spans="1:10" s="64" customFormat="1">
      <c r="A123" s="910" t="s">
        <v>897</v>
      </c>
      <c r="B123" s="503">
        <f>HLOOKUP(GREET1_Import_Export!$B$374,$M$9:$Q$10,2,FALSE)/HLOOKUP(GREET1_Import_Export!$D$373,$M$7:$Q$8,2,FALSE)*HLOOKUP($D$3,$M$7:$Q$8,2,FALSE)/HLOOKUP($D$4,$M$9:$Q$10,2,FALSE)*(GREET1_Import_Export!$H405+GREET1_Import_Export!$I405)/Vehi_Inputs!$C$150/Vehi_Inputs!$C$154</f>
        <v>2.6044253468842271E-4</v>
      </c>
      <c r="C123" s="386">
        <f ca="1">HLOOKUP($D$3,$M$7:$Q$8,2,FALSE)/HLOOKUP($D$4,$M$9:$Q$10,2,FALSE)*Vehi_Sum!$E343</f>
        <v>9.174142544738632E-5</v>
      </c>
      <c r="D123" s="386">
        <f>HLOOKUP(GREET1_Import_Export!$B$374,$M$9:$Q$10,2,FALSE)/HLOOKUP(GREET1_Import_Export!$D$373,$M$7:$Q$8,2,FALSE)*HLOOKUP($D$3,$M$7:$Q$8,2,FALSE)/HLOOKUP($D$4,$M$9:$Q$10,2,FALSE)*GREET1_Import_Export!$J405</f>
        <v>1.2018948520579769E-3</v>
      </c>
      <c r="E123" s="388">
        <f t="shared" ca="1" si="21"/>
        <v>1.5540788121937859E-3</v>
      </c>
      <c r="F123" s="368">
        <f t="shared" ca="1" si="17"/>
        <v>0.1675864394037867</v>
      </c>
      <c r="G123" s="368">
        <f t="shared" ca="1" si="18"/>
        <v>5.9032672427906843E-2</v>
      </c>
      <c r="H123" s="368">
        <f t="shared" ca="1" si="19"/>
        <v>0.77338088816830652</v>
      </c>
      <c r="I123" s="826">
        <f t="shared" ca="1" si="20"/>
        <v>1</v>
      </c>
    </row>
    <row r="124" spans="1:10" s="64" customFormat="1">
      <c r="F124" s="382"/>
      <c r="G124" s="382"/>
      <c r="H124" s="382"/>
    </row>
    <row r="125" spans="1:10" s="64" customFormat="1">
      <c r="A125" s="111" t="s">
        <v>1938</v>
      </c>
      <c r="B125" s="463"/>
      <c r="C125" s="463"/>
      <c r="D125" s="463"/>
      <c r="E125" s="463"/>
      <c r="F125" s="463"/>
      <c r="G125" s="463"/>
      <c r="H125" s="463"/>
    </row>
    <row r="126" spans="1:10" s="64" customFormat="1">
      <c r="A126" s="393"/>
      <c r="B126" s="3060" t="str">
        <f>$B$3&amp;"/"&amp;$D$4&amp;" or "&amp;$D$3&amp;"/"&amp;$D$4</f>
        <v>Btu/mile or g/mile</v>
      </c>
      <c r="C126" s="3061"/>
      <c r="D126" s="3061"/>
      <c r="E126" s="3062"/>
      <c r="F126" s="3005" t="s">
        <v>1890</v>
      </c>
      <c r="G126" s="3005"/>
      <c r="H126" s="3005"/>
      <c r="I126" s="3135"/>
    </row>
    <row r="127" spans="1:10" s="64" customFormat="1" ht="25.5">
      <c r="A127" s="908" t="s">
        <v>1923</v>
      </c>
      <c r="B127" s="1225" t="s">
        <v>1924</v>
      </c>
      <c r="C127" s="1658" t="s">
        <v>1925</v>
      </c>
      <c r="D127" s="1658" t="s">
        <v>1926</v>
      </c>
      <c r="E127" s="1226" t="s">
        <v>1894</v>
      </c>
      <c r="F127" s="1658" t="s">
        <v>1924</v>
      </c>
      <c r="G127" s="1658" t="s">
        <v>1925</v>
      </c>
      <c r="H127" s="1658" t="s">
        <v>1926</v>
      </c>
      <c r="I127" s="1226" t="s">
        <v>1894</v>
      </c>
    </row>
    <row r="128" spans="1:10" s="64" customFormat="1">
      <c r="A128" s="1103" t="s">
        <v>876</v>
      </c>
      <c r="B128" s="517">
        <f>HLOOKUP(GREET1_Import_Export!$B$374,$M$9:$Q$10,2,FALSE)/HLOOKUP(GREET1_Import_Export!$B$373,$M$5:$Q$6,2,FALSE)*HLOOKUP($B$3,$M$5:$Q$6,2,FALSE)/HLOOKUP($D$4,$M$9:$Q$10,2,FALSE)*(GREET1_Import_Export!$N380+GREET1_Import_Export!$O380)/Vehi_Inputs!$D$150</f>
        <v>976.77214986505794</v>
      </c>
      <c r="C128" s="419">
        <f ca="1">HLOOKUP($B$3,$M$5:$Q$6,2,FALSE)/HLOOKUP($D$4,$M$9:$Q$10,2,FALSE)*Vehi_Sum!F317</f>
        <v>552.82883370140007</v>
      </c>
      <c r="D128" s="419">
        <f>HLOOKUP(GREET1_Import_Export!$B$374,$M$9:$Q$10,2,FALSE)/HLOOKUP(GREET1_Import_Export!$B$373,$M$5:$Q$6,2,FALSE)*HLOOKUP($B$3,$M$5:$Q$6,2,FALSE)/HLOOKUP($D$4,$M$9:$Q$10,2,FALSE)*GREET1_Import_Export!$P380/Vehi_Inputs!$D$150</f>
        <v>1936.6502056142235</v>
      </c>
      <c r="E128" s="516">
        <f ca="1">SUM(TEC_Results!B128:D128)</f>
        <v>3466.2511891806816</v>
      </c>
      <c r="F128" s="382">
        <f t="shared" ref="F128:F153" ca="1" si="22">B128/$E128</f>
        <v>0.28179496999925668</v>
      </c>
      <c r="G128" s="382">
        <f t="shared" ref="G128:G153" ca="1" si="23">C128/$E128</f>
        <v>0.15948897051285896</v>
      </c>
      <c r="H128" s="382">
        <f t="shared" ref="H128:H153" ca="1" si="24">D128/$E128</f>
        <v>0.55871605948788428</v>
      </c>
      <c r="I128" s="1104">
        <f t="shared" ref="I128:I153" ca="1" si="25">E128/$E128</f>
        <v>1</v>
      </c>
      <c r="J128" s="1049"/>
    </row>
    <row r="129" spans="1:9" s="64" customFormat="1">
      <c r="A129" s="849" t="s">
        <v>877</v>
      </c>
      <c r="B129" s="517">
        <f>HLOOKUP(GREET1_Import_Export!$B$374,$M$9:$Q$10,2,FALSE)/HLOOKUP(GREET1_Import_Export!$B$373,$M$5:$Q$6,2,FALSE)*HLOOKUP($B$3,$M$5:$Q$6,2,FALSE)/HLOOKUP($D$4,$M$9:$Q$10,2,FALSE)*(GREET1_Import_Export!$N381+GREET1_Import_Export!$O381)/Vehi_Inputs!$D$150</f>
        <v>935.18613336773853</v>
      </c>
      <c r="C129" s="419">
        <f ca="1">HLOOKUP($B$3,$M$5:$Q$6,2,FALSE)/HLOOKUP($D$4,$M$9:$Q$10,2,FALSE)*Vehi_Sum!F318</f>
        <v>502.1719560693885</v>
      </c>
      <c r="D129" s="419">
        <f>HLOOKUP(GREET1_Import_Export!$B$374,$M$9:$Q$10,2,FALSE)/HLOOKUP(GREET1_Import_Export!$B$373,$M$5:$Q$6,2,FALSE)*HLOOKUP($B$3,$M$5:$Q$6,2,FALSE)/HLOOKUP($D$4,$M$9:$Q$10,2,FALSE)*GREET1_Import_Export!$P381/Vehi_Inputs!$D$150</f>
        <v>1839.1105352546704</v>
      </c>
      <c r="E129" s="516">
        <f ca="1">SUM(TEC_Results!B129:D129)</f>
        <v>3276.4686246917972</v>
      </c>
      <c r="F129" s="382">
        <f t="shared" ca="1" si="22"/>
        <v>0.28542502324608932</v>
      </c>
      <c r="G129" s="382">
        <f t="shared" ca="1" si="23"/>
        <v>0.15326621847832453</v>
      </c>
      <c r="H129" s="382">
        <f t="shared" ca="1" si="24"/>
        <v>0.56130875827558624</v>
      </c>
      <c r="I129" s="825">
        <f t="shared" ca="1" si="25"/>
        <v>1</v>
      </c>
    </row>
    <row r="130" spans="1:9" s="64" customFormat="1">
      <c r="A130" s="849" t="s">
        <v>442</v>
      </c>
      <c r="B130" s="517">
        <f>HLOOKUP(GREET1_Import_Export!$B$374,$M$9:$Q$10,2,FALSE)/HLOOKUP(GREET1_Import_Export!$B$373,$M$5:$Q$6,2,FALSE)*HLOOKUP($B$3,$M$5:$Q$6,2,FALSE)/HLOOKUP($D$4,$M$9:$Q$10,2,FALSE)*(GREET1_Import_Export!$N382+GREET1_Import_Export!$O382)/Vehi_Inputs!$D$150</f>
        <v>15.65215877846121</v>
      </c>
      <c r="C130" s="419">
        <f ca="1">HLOOKUP($B$3,$M$5:$Q$6,2,FALSE)/HLOOKUP($D$4,$M$9:$Q$10,2,FALSE)*Vehi_Sum!F319</f>
        <v>144.99015551529345</v>
      </c>
      <c r="D130" s="419">
        <f>HLOOKUP(GREET1_Import_Export!$B$374,$M$9:$Q$10,2,FALSE)/HLOOKUP(GREET1_Import_Export!$B$373,$M$5:$Q$6,2,FALSE)*HLOOKUP($B$3,$M$5:$Q$6,2,FALSE)/HLOOKUP($D$4,$M$9:$Q$10,2,FALSE)*GREET1_Import_Export!$P382/Vehi_Inputs!$D$150</f>
        <v>0</v>
      </c>
      <c r="E130" s="516">
        <f ca="1">SUM(TEC_Results!B130:D130)</f>
        <v>160.64231429375465</v>
      </c>
      <c r="F130" s="382">
        <f t="shared" ca="1" si="22"/>
        <v>9.7434843660427303E-2</v>
      </c>
      <c r="G130" s="382">
        <f t="shared" ca="1" si="23"/>
        <v>0.90256515633957279</v>
      </c>
      <c r="H130" s="382">
        <f t="shared" ca="1" si="24"/>
        <v>0</v>
      </c>
      <c r="I130" s="825">
        <f t="shared" ca="1" si="25"/>
        <v>1</v>
      </c>
    </row>
    <row r="131" spans="1:9" s="64" customFormat="1">
      <c r="A131" s="849" t="s">
        <v>878</v>
      </c>
      <c r="B131" s="517">
        <f>B129-B130-B132</f>
        <v>809.51762170972188</v>
      </c>
      <c r="C131" s="419">
        <f ca="1">C129-C130-C132</f>
        <v>258.10797704564271</v>
      </c>
      <c r="D131" s="419">
        <f>D129-D130-D132</f>
        <v>473.7061472855994</v>
      </c>
      <c r="E131" s="516">
        <f ca="1">E129-E130-E132</f>
        <v>1541.3317460409637</v>
      </c>
      <c r="F131" s="382">
        <f t="shared" ca="1" si="22"/>
        <v>0.52520661031541971</v>
      </c>
      <c r="G131" s="382">
        <f t="shared" ca="1" si="23"/>
        <v>0.16745777001519244</v>
      </c>
      <c r="H131" s="382">
        <f t="shared" ca="1" si="24"/>
        <v>0.30733561966938805</v>
      </c>
      <c r="I131" s="825">
        <f t="shared" ca="1" si="25"/>
        <v>1</v>
      </c>
    </row>
    <row r="132" spans="1:9" s="64" customFormat="1">
      <c r="A132" s="849" t="s">
        <v>440</v>
      </c>
      <c r="B132" s="517">
        <f>HLOOKUP(GREET1_Import_Export!$B$374,$M$9:$Q$10,2,FALSE)/HLOOKUP(GREET1_Import_Export!$B$373,$M$5:$Q$6,2,FALSE)*HLOOKUP($B$3,$M$5:$Q$6,2,FALSE)/HLOOKUP($D$4,$M$9:$Q$10,2,FALSE)*(GREET1_Import_Export!$N384+GREET1_Import_Export!$O384)/Vehi_Inputs!$D$150</f>
        <v>110.01635287955551</v>
      </c>
      <c r="C132" s="419">
        <f ca="1">HLOOKUP($B$3,$M$5:$Q$6,2,FALSE)/HLOOKUP($D$4,$M$9:$Q$10,2,FALSE)*Vehi_Sum!F321</f>
        <v>99.07382350845235</v>
      </c>
      <c r="D132" s="419">
        <f>HLOOKUP(GREET1_Import_Export!$B$374,$M$9:$Q$10,2,FALSE)/HLOOKUP(GREET1_Import_Export!$B$373,$M$5:$Q$6,2,FALSE)*HLOOKUP($B$3,$M$5:$Q$6,2,FALSE)/HLOOKUP($D$4,$M$9:$Q$10,2,FALSE)*GREET1_Import_Export!$P384/Vehi_Inputs!$D$150</f>
        <v>1365.404387969071</v>
      </c>
      <c r="E132" s="516">
        <f ca="1">SUM(TEC_Results!B132:D132)</f>
        <v>1574.4945643570788</v>
      </c>
      <c r="F132" s="382">
        <f t="shared" ca="1" si="22"/>
        <v>6.9874076017835629E-2</v>
      </c>
      <c r="G132" s="382">
        <f t="shared" ca="1" si="23"/>
        <v>6.2924208029201831E-2</v>
      </c>
      <c r="H132" s="382">
        <f t="shared" ca="1" si="24"/>
        <v>0.86720171595296258</v>
      </c>
      <c r="I132" s="825">
        <f t="shared" ca="1" si="25"/>
        <v>1</v>
      </c>
    </row>
    <row r="133" spans="1:9" s="64" customFormat="1">
      <c r="A133" s="909" t="s">
        <v>819</v>
      </c>
      <c r="B133" s="347">
        <f>HLOOKUP(GREET1_Import_Export!$B$374,$M$9:$Q$10,2,FALSE)/HLOOKUP(GREET1_Import_Export!$B$373,$M$5:$Q$6,2,FALSE)*HLOOKUP($B$3,$M$5:$Q$6,2,FALSE)/HLOOKUP($D$4,$M$9:$Q$10,2,FALSE)*(GREET1_Import_Export!$N385+GREET1_Import_Export!$O385)/Vehi_Inputs!$D$150</f>
        <v>0.10129811319301965</v>
      </c>
      <c r="C133" s="349">
        <f ca="1">HLOOKUP($B$3,$M$5:$Q$6,2,FALSE)/HLOOKUP($D$4,$M$9:$Q$10,2,FALSE)*Vehi_Sum!F322</f>
        <v>2.5289839880616928E-2</v>
      </c>
      <c r="D133" s="349">
        <f>HLOOKUP(GREET1_Import_Export!$B$374,$M$9:$Q$10,2,FALSE)/HLOOKUP(GREET1_Import_Export!$B$373,$M$5:$Q$6,2,FALSE)*HLOOKUP($B$3,$M$5:$Q$6,2,FALSE)/HLOOKUP($D$4,$M$9:$Q$10,2,FALSE)*GREET1_Import_Export!$P385/Vehi_Inputs!$D$150</f>
        <v>0</v>
      </c>
      <c r="E133" s="348">
        <f ca="1">SUM(TEC_Results!B133:D133)</f>
        <v>0.12658795307363657</v>
      </c>
      <c r="F133" s="382">
        <f t="shared" ca="1" si="22"/>
        <v>0.80021922097195342</v>
      </c>
      <c r="G133" s="382">
        <f t="shared" ca="1" si="23"/>
        <v>0.19978077902804667</v>
      </c>
      <c r="H133" s="382">
        <f t="shared" ca="1" si="24"/>
        <v>0</v>
      </c>
      <c r="I133" s="825">
        <f t="shared" ca="1" si="25"/>
        <v>1</v>
      </c>
    </row>
    <row r="134" spans="1:9" s="64" customFormat="1">
      <c r="A134" s="849" t="s">
        <v>1895</v>
      </c>
      <c r="B134" s="517">
        <f>HLOOKUP(GREET1_Import_Export!$B$374,$M$9:$Q$10,2,FALSE)/HLOOKUP(GREET1_Import_Export!$D$373,$M$7:$Q$8,2,FALSE)*HLOOKUP($D$3,$M$7:$Q$8,2,FALSE)/HLOOKUP($D$4,$M$9:$Q$10,2,FALSE)*(GREET1_Import_Export!$N386+GREET1_Import_Export!$O386)/Vehi_Inputs!$D$150</f>
        <v>82.802375507459942</v>
      </c>
      <c r="C134" s="419">
        <f ca="1">HLOOKUP($D$3,$M$7:$Q$8,2,FALSE)/HLOOKUP($D$4,$M$9:$Q$10,2,FALSE)*Vehi_Sum!F324</f>
        <v>34.429931342954696</v>
      </c>
      <c r="D134" s="419">
        <f>HLOOKUP(GREET1_Import_Export!$B$374,$M$9:$Q$10,2,FALSE)/HLOOKUP(GREET1_Import_Export!$D$373,$M$7:$Q$8,2,FALSE)*HLOOKUP($D$3,$M$7:$Q$8,2,FALSE)/HLOOKUP($D$4,$M$9:$Q$10,2,FALSE)*GREET1_Import_Export!$P386/Vehi_Inputs!$D$150</f>
        <v>112.21873257167837</v>
      </c>
      <c r="E134" s="516">
        <f ca="1">SUM(TEC_Results!B134:D134)</f>
        <v>229.451039422093</v>
      </c>
      <c r="F134" s="382">
        <f t="shared" ca="1" si="22"/>
        <v>0.36087165138153304</v>
      </c>
      <c r="G134" s="382">
        <f t="shared" ca="1" si="23"/>
        <v>0.15005349912413413</v>
      </c>
      <c r="H134" s="382">
        <f t="shared" ca="1" si="24"/>
        <v>0.48907484949433289</v>
      </c>
      <c r="I134" s="825">
        <f t="shared" ca="1" si="25"/>
        <v>1</v>
      </c>
    </row>
    <row r="135" spans="1:9" s="64" customFormat="1">
      <c r="A135" s="849" t="s">
        <v>887</v>
      </c>
      <c r="B135" s="347">
        <f>HLOOKUP(GREET1_Import_Export!$B$374,$M$9:$Q$10,2,FALSE)/HLOOKUP(GREET1_Import_Export!$D$373,$M$7:$Q$8,2,FALSE)*HLOOKUP($D$3,$M$7:$Q$8,2,FALSE)/HLOOKUP($D$4,$M$9:$Q$10,2,FALSE)*(GREET1_Import_Export!$N387+GREET1_Import_Export!$O387)/Vehi_Inputs!$D$150</f>
        <v>0.3463814380310325</v>
      </c>
      <c r="C135" s="349">
        <f ca="1">HLOOKUP($D$3,$M$7:$Q$8,2,FALSE)/HLOOKUP($D$4,$M$9:$Q$10,2,FALSE)*Vehi_Sum!F325</f>
        <v>8.81883987204444E-2</v>
      </c>
      <c r="D135" s="349">
        <f>HLOOKUP(GREET1_Import_Export!$B$374,$M$9:$Q$10,2,FALSE)/HLOOKUP(GREET1_Import_Export!$D$373,$M$7:$Q$8,2,FALSE)*HLOOKUP($D$3,$M$7:$Q$8,2,FALSE)/HLOOKUP($D$4,$M$9:$Q$10,2,FALSE)*GREET1_Import_Export!$P387</f>
        <v>2.2184453611861737E-3</v>
      </c>
      <c r="E135" s="384">
        <f ca="1">SUM(TEC_Results!B135:D135)</f>
        <v>0.43678828211266302</v>
      </c>
      <c r="F135" s="382">
        <f t="shared" ca="1" si="22"/>
        <v>0.79301907174718711</v>
      </c>
      <c r="G135" s="382">
        <f t="shared" ca="1" si="23"/>
        <v>0.20190193357269945</v>
      </c>
      <c r="H135" s="382">
        <f t="shared" ca="1" si="24"/>
        <v>5.0789946801135999E-3</v>
      </c>
      <c r="I135" s="825">
        <f t="shared" ca="1" si="25"/>
        <v>1</v>
      </c>
    </row>
    <row r="136" spans="1:9" s="64" customFormat="1">
      <c r="A136" s="849" t="s">
        <v>888</v>
      </c>
      <c r="B136" s="347">
        <f>HLOOKUP(GREET1_Import_Export!$B$374,$M$9:$Q$10,2,FALSE)/HLOOKUP(GREET1_Import_Export!$D$373,$M$7:$Q$8,2,FALSE)*HLOOKUP($D$3,$M$7:$Q$8,2,FALSE)/HLOOKUP($D$4,$M$9:$Q$10,2,FALSE)*(GREET1_Import_Export!$N388+GREET1_Import_Export!$O388)/Vehi_Inputs!$D$150</f>
        <v>5.108644447458322E-3</v>
      </c>
      <c r="C136" s="349">
        <f ca="1">HLOOKUP($D$3,$M$7:$Q$8,2,FALSE)/HLOOKUP($D$4,$M$9:$Q$10,2,FALSE)*Vehi_Sum!F326</f>
        <v>8.5128614966868167E-4</v>
      </c>
      <c r="D136" s="349">
        <f>HLOOKUP(GREET1_Import_Export!$B$374,$M$9:$Q$10,2,FALSE)/HLOOKUP(GREET1_Import_Export!$D$373,$M$7:$Q$8,2,FALSE)*HLOOKUP($D$3,$M$7:$Q$8,2,FALSE)/HLOOKUP($D$4,$M$9:$Q$10,2,FALSE)*GREET1_Import_Export!$P388</f>
        <v>2.2883616903548957E-3</v>
      </c>
      <c r="E136" s="384">
        <f ca="1">SUM(TEC_Results!B136:D136)</f>
        <v>8.2482922874819002E-3</v>
      </c>
      <c r="F136" s="382">
        <f t="shared" ca="1" si="22"/>
        <v>0.61935783425273438</v>
      </c>
      <c r="G136" s="382">
        <f t="shared" ca="1" si="23"/>
        <v>0.10320756345657685</v>
      </c>
      <c r="H136" s="382">
        <f t="shared" ca="1" si="24"/>
        <v>0.27743460229068867</v>
      </c>
      <c r="I136" s="825">
        <f t="shared" ca="1" si="25"/>
        <v>1</v>
      </c>
    </row>
    <row r="137" spans="1:9" s="64" customFormat="1">
      <c r="A137" s="849" t="s">
        <v>1896</v>
      </c>
      <c r="B137" s="517">
        <f>HLOOKUP(GREET1_Import_Export!$B$374,$M$9:$Q$10,2,FALSE)/HLOOKUP(GREET1_Import_Export!$D$373,$M$7:$Q$8,2,FALSE)*HLOOKUP($D$3,$M$7:$Q$8,2,FALSE)/HLOOKUP($D$4,$M$9:$Q$10,2,FALSE)*(GREET1_Import_Export!$N389+GREET1_Import_Export!$O389)/Vehi_Inputs!$D$150</f>
        <v>94.547609426967369</v>
      </c>
      <c r="C137" s="419">
        <f ca="1">HLOOKUP($D$3,$M$7:$Q$8,2,FALSE)/HLOOKUP($D$4,$M$9:$Q$10,2,FALSE)*Vehi_Sum!F327</f>
        <v>37.612832860607753</v>
      </c>
      <c r="D137" s="158">
        <f>D134+SUMPRODUCT(D135:D136,GREET1_Import_Export!$B$51:$B$52)+SUMPRODUCT(D138:D140,GREET1_Import_Export!$B$55:$B$57)+SUMPRODUCT(D144:D145,GREET1_Import_Export!$B$58:$B$59)</f>
        <v>112.89170178045801</v>
      </c>
      <c r="E137" s="516">
        <f ca="1">SUM(TEC_Results!B137:D137)</f>
        <v>245.0521440680331</v>
      </c>
      <c r="F137" s="382">
        <f t="shared" ca="1" si="22"/>
        <v>0.38582649332265545</v>
      </c>
      <c r="G137" s="382">
        <f t="shared" ca="1" si="23"/>
        <v>0.15348909924316115</v>
      </c>
      <c r="H137" s="382">
        <f t="shared" ca="1" si="24"/>
        <v>0.46068440743418354</v>
      </c>
      <c r="I137" s="825">
        <f t="shared" ca="1" si="25"/>
        <v>1</v>
      </c>
    </row>
    <row r="138" spans="1:9" s="64" customFormat="1">
      <c r="A138" s="849" t="s">
        <v>879</v>
      </c>
      <c r="B138" s="347">
        <f>HLOOKUP(GREET1_Import_Export!$B$374,$M$9:$Q$10,2,FALSE)/HLOOKUP(GREET1_Import_Export!$D$373,$M$7:$Q$8,2,FALSE)*HLOOKUP($D$3,$M$7:$Q$8,2,FALSE)/HLOOKUP($D$4,$M$9:$Q$10,2,FALSE)*(GREET1_Import_Export!$N390+GREET1_Import_Export!$O390)/Vehi_Inputs!$D$150</f>
        <v>5.1855325768637495E-2</v>
      </c>
      <c r="C138" s="349">
        <f ca="1">HLOOKUP($D$3,$M$7:$Q$8,2,FALSE)/HLOOKUP($D$4,$M$9:$Q$10,2,FALSE)*Vehi_Sum!F328</f>
        <v>0.18959718548453192</v>
      </c>
      <c r="D138" s="349">
        <f>HLOOKUP(GREET1_Import_Export!$B$374,$M$9:$Q$10,2,FALSE)/HLOOKUP(GREET1_Import_Export!$D$373,$M$7:$Q$8,2,FALSE)*HLOOKUP($D$3,$M$7:$Q$8,2,FALSE)/HLOOKUP($D$4,$M$9:$Q$10,2,FALSE)*GREET1_Import_Export!$P390</f>
        <v>8.0193555477717379E-2</v>
      </c>
      <c r="E138" s="384">
        <f ca="1">SUM(TEC_Results!B138:D138)</f>
        <v>0.3216460667308868</v>
      </c>
      <c r="F138" s="382">
        <f t="shared" ca="1" si="22"/>
        <v>0.16121859127854202</v>
      </c>
      <c r="G138" s="382">
        <f t="shared" ca="1" si="23"/>
        <v>0.5894590517196131</v>
      </c>
      <c r="H138" s="382">
        <f t="shared" ca="1" si="24"/>
        <v>0.24932235700184488</v>
      </c>
      <c r="I138" s="825">
        <f t="shared" ca="1" si="25"/>
        <v>1</v>
      </c>
    </row>
    <row r="139" spans="1:9" s="64" customFormat="1">
      <c r="A139" s="849" t="s">
        <v>880</v>
      </c>
      <c r="B139" s="347">
        <f>HLOOKUP(GREET1_Import_Export!$B$374,$M$9:$Q$10,2,FALSE)/HLOOKUP(GREET1_Import_Export!$D$373,$M$7:$Q$8,2,FALSE)*HLOOKUP($D$3,$M$7:$Q$8,2,FALSE)/HLOOKUP($D$4,$M$9:$Q$10,2,FALSE)*(GREET1_Import_Export!$N391+GREET1_Import_Export!$O391)/Vehi_Inputs!$D$150</f>
        <v>4.8950953340965414E-2</v>
      </c>
      <c r="C139" s="349">
        <f ca="1">HLOOKUP($D$3,$M$7:$Q$8,2,FALSE)/HLOOKUP($D$4,$M$9:$Q$10,2,FALSE)*Vehi_Sum!F329</f>
        <v>0.11287843238624322</v>
      </c>
      <c r="D139" s="349">
        <f>HLOOKUP(GREET1_Import_Export!$B$374,$M$9:$Q$10,2,FALSE)/HLOOKUP(GREET1_Import_Export!$D$373,$M$7:$Q$8,2,FALSE)*HLOOKUP($D$3,$M$7:$Q$8,2,FALSE)/HLOOKUP($D$4,$M$9:$Q$10,2,FALSE)*GREET1_Import_Export!$P391</f>
        <v>0.86990157374670984</v>
      </c>
      <c r="E139" s="384">
        <f ca="1">SUM(TEC_Results!B139:D139)</f>
        <v>1.0317309594739186</v>
      </c>
      <c r="F139" s="382">
        <f t="shared" ca="1" si="22"/>
        <v>4.7445463268763005E-2</v>
      </c>
      <c r="G139" s="382">
        <f t="shared" ca="1" si="23"/>
        <v>0.10940684812230519</v>
      </c>
      <c r="H139" s="382">
        <f t="shared" ca="1" si="24"/>
        <v>0.84314768860893174</v>
      </c>
      <c r="I139" s="825">
        <f t="shared" ca="1" si="25"/>
        <v>1</v>
      </c>
    </row>
    <row r="140" spans="1:9" s="64" customFormat="1">
      <c r="A140" s="849" t="s">
        <v>881</v>
      </c>
      <c r="B140" s="347">
        <f>HLOOKUP(GREET1_Import_Export!$B$374,$M$9:$Q$10,2,FALSE)/HLOOKUP(GREET1_Import_Export!$D$373,$M$7:$Q$8,2,FALSE)*HLOOKUP($D$3,$M$7:$Q$8,2,FALSE)/HLOOKUP($D$4,$M$9:$Q$10,2,FALSE)*(GREET1_Import_Export!$N392+GREET1_Import_Export!$O392)/Vehi_Inputs!$D$150</f>
        <v>6.8842976089618174E-2</v>
      </c>
      <c r="C140" s="349">
        <f ca="1">HLOOKUP($D$3,$M$7:$Q$8,2,FALSE)/HLOOKUP($D$4,$M$9:$Q$10,2,FALSE)*Vehi_Sum!F330</f>
        <v>3.7309584240695109E-2</v>
      </c>
      <c r="D140" s="349">
        <f>HLOOKUP(GREET1_Import_Export!$B$374,$M$9:$Q$10,2,FALSE)/HLOOKUP(GREET1_Import_Export!$D$373,$M$7:$Q$8,2,FALSE)*HLOOKUP($D$3,$M$7:$Q$8,2,FALSE)/HLOOKUP($D$4,$M$9:$Q$10,2,FALSE)*GREET1_Import_Export!$P392</f>
        <v>1.9590350092801648E-2</v>
      </c>
      <c r="E140" s="384">
        <f ca="1">SUM(TEC_Results!B140:D140)</f>
        <v>0.12574291042311492</v>
      </c>
      <c r="F140" s="382">
        <f t="shared" ca="1" si="22"/>
        <v>0.54748992096625582</v>
      </c>
      <c r="G140" s="382">
        <f t="shared" ca="1" si="23"/>
        <v>0.29671322315629023</v>
      </c>
      <c r="H140" s="382">
        <f t="shared" ca="1" si="24"/>
        <v>0.15579685587745404</v>
      </c>
      <c r="I140" s="825">
        <f t="shared" ca="1" si="25"/>
        <v>1</v>
      </c>
    </row>
    <row r="141" spans="1:9" s="64" customFormat="1">
      <c r="A141" s="849" t="s">
        <v>882</v>
      </c>
      <c r="B141" s="347">
        <f>HLOOKUP(GREET1_Import_Export!$B$374,$M$9:$Q$10,2,FALSE)/HLOOKUP(GREET1_Import_Export!$D$373,$M$7:$Q$8,2,FALSE)*HLOOKUP($D$3,$M$7:$Q$8,2,FALSE)/HLOOKUP($D$4,$M$9:$Q$10,2,FALSE)*(GREET1_Import_Export!$N393+GREET1_Import_Export!$O393)/Vehi_Inputs!$D$150</f>
        <v>7.019459774534071E-3</v>
      </c>
      <c r="C141" s="349">
        <f ca="1">HLOOKUP($D$3,$M$7:$Q$8,2,FALSE)/HLOOKUP($D$4,$M$9:$Q$10,2,FALSE)*Vehi_Sum!F331</f>
        <v>1.5369218787712437E-2</v>
      </c>
      <c r="D141" s="349">
        <f>HLOOKUP(GREET1_Import_Export!$B$374,$M$9:$Q$10,2,FALSE)/HLOOKUP(GREET1_Import_Export!$D$373,$M$7:$Q$8,2,FALSE)*HLOOKUP($D$3,$M$7:$Q$8,2,FALSE)/HLOOKUP($D$4,$M$9:$Q$10,2,FALSE)*GREET1_Import_Export!$P393</f>
        <v>3.3363867345525988E-2</v>
      </c>
      <c r="E141" s="348">
        <f ca="1">SUM(TEC_Results!B141:D141)</f>
        <v>5.5752545907772497E-2</v>
      </c>
      <c r="F141" s="382">
        <f t="shared" ca="1" si="22"/>
        <v>0.12590384277959016</v>
      </c>
      <c r="G141" s="382">
        <f t="shared" ca="1" si="23"/>
        <v>0.27566846567216235</v>
      </c>
      <c r="H141" s="382">
        <f t="shared" ca="1" si="24"/>
        <v>0.59842769154824749</v>
      </c>
      <c r="I141" s="825">
        <f t="shared" ca="1" si="25"/>
        <v>1</v>
      </c>
    </row>
    <row r="142" spans="1:9" s="64" customFormat="1">
      <c r="A142" s="849" t="s">
        <v>883</v>
      </c>
      <c r="B142" s="347">
        <f>HLOOKUP(GREET1_Import_Export!$B$374,$M$9:$Q$10,2,FALSE)/HLOOKUP(GREET1_Import_Export!$D$373,$M$7:$Q$8,2,FALSE)*HLOOKUP($D$3,$M$7:$Q$8,2,FALSE)/HLOOKUP($D$4,$M$9:$Q$10,2,FALSE)*(GREET1_Import_Export!$N394+GREET1_Import_Export!$O394)/Vehi_Inputs!$D$150</f>
        <v>5.5426468303708815E-3</v>
      </c>
      <c r="C142" s="349">
        <f ca="1">HLOOKUP($D$3,$M$7:$Q$8,2,FALSE)/HLOOKUP($D$4,$M$9:$Q$10,2,FALSE)*Vehi_Sum!F332</f>
        <v>7.105038949249424E-3</v>
      </c>
      <c r="D142" s="349">
        <f>HLOOKUP(GREET1_Import_Export!$B$374,$M$9:$Q$10,2,FALSE)/HLOOKUP(GREET1_Import_Export!$D$373,$M$7:$Q$8,2,FALSE)*HLOOKUP($D$3,$M$7:$Q$8,2,FALSE)/HLOOKUP($D$4,$M$9:$Q$10,2,FALSE)*GREET1_Import_Export!$P394</f>
        <v>6.4074312977100666E-3</v>
      </c>
      <c r="E142" s="348">
        <f ca="1">SUM(TEC_Results!B142:D142)</f>
        <v>1.9055117077330371E-2</v>
      </c>
      <c r="F142" s="382">
        <f t="shared" ca="1" si="22"/>
        <v>0.29087445686517965</v>
      </c>
      <c r="G142" s="382">
        <f t="shared" ca="1" si="23"/>
        <v>0.37286776672194777</v>
      </c>
      <c r="H142" s="382">
        <f t="shared" ca="1" si="24"/>
        <v>0.33625777641287263</v>
      </c>
      <c r="I142" s="825">
        <f t="shared" ca="1" si="25"/>
        <v>1</v>
      </c>
    </row>
    <row r="143" spans="1:9" s="64" customFormat="1">
      <c r="A143" s="849" t="s">
        <v>884</v>
      </c>
      <c r="B143" s="347">
        <f>HLOOKUP(GREET1_Import_Export!$B$374,$M$9:$Q$10,2,FALSE)/HLOOKUP(GREET1_Import_Export!$D$373,$M$7:$Q$8,2,FALSE)*HLOOKUP($D$3,$M$7:$Q$8,2,FALSE)/HLOOKUP($D$4,$M$9:$Q$10,2,FALSE)*(GREET1_Import_Export!$N395+GREET1_Import_Export!$O395)/Vehi_Inputs!$D$150</f>
        <v>2.1801994727478093E-2</v>
      </c>
      <c r="C143" s="349">
        <f ca="1">HLOOKUP($D$3,$M$7:$Q$8,2,FALSE)/HLOOKUP($D$4,$M$9:$Q$10,2,FALSE)*Vehi_Sum!F333</f>
        <v>0.16660312253599591</v>
      </c>
      <c r="D143" s="349">
        <f>HLOOKUP(GREET1_Import_Export!$B$374,$M$9:$Q$10,2,FALSE)/HLOOKUP(GREET1_Import_Export!$D$373,$M$7:$Q$8,2,FALSE)*HLOOKUP($D$3,$M$7:$Q$8,2,FALSE)/HLOOKUP($D$4,$M$9:$Q$10,2,FALSE)*GREET1_Import_Export!$P395/Vehi_Inputs!$D$150</f>
        <v>6.6693739630117855E-4</v>
      </c>
      <c r="E143" s="348">
        <f ca="1">SUM(TEC_Results!B143:D143)</f>
        <v>0.18907205465977517</v>
      </c>
      <c r="F143" s="382">
        <f t="shared" ca="1" si="22"/>
        <v>0.11531050829647772</v>
      </c>
      <c r="G143" s="382">
        <f t="shared" ca="1" si="23"/>
        <v>0.88116206721183166</v>
      </c>
      <c r="H143" s="382">
        <f t="shared" ca="1" si="24"/>
        <v>3.5274244916907258E-3</v>
      </c>
      <c r="I143" s="825">
        <f t="shared" ca="1" si="25"/>
        <v>1</v>
      </c>
    </row>
    <row r="144" spans="1:9" s="64" customFormat="1">
      <c r="A144" s="909" t="s">
        <v>885</v>
      </c>
      <c r="B144" s="347">
        <f>HLOOKUP(GREET1_Import_Export!$B$374,$M$9:$Q$10,2,FALSE)/HLOOKUP(GREET1_Import_Export!$D$373,$M$7:$Q$8,2,FALSE)*HLOOKUP($D$3,$M$7:$Q$8,2,FALSE)/HLOOKUP($D$4,$M$9:$Q$10,2,FALSE)*(GREET1_Import_Export!$N396+GREET1_Import_Export!$O396)/Vehi_Inputs!$D$150</f>
        <v>5.3505299880680403E-4</v>
      </c>
      <c r="C144" s="349">
        <f ca="1">HLOOKUP($D$3,$M$7:$Q$8,2,FALSE)/HLOOKUP($D$4,$M$9:$Q$10,2,FALSE)*Vehi_Sum!F334</f>
        <v>2.3555054755596553E-4</v>
      </c>
      <c r="D144" s="349">
        <f>HLOOKUP(GREET1_Import_Export!$B$374,$M$9:$Q$10,2,FALSE)/HLOOKUP(GREET1_Import_Export!$D$373,$M$7:$Q$8,2,FALSE)*HLOOKUP($D$3,$M$7:$Q$8,2,FALSE)/HLOOKUP($D$4,$M$9:$Q$10,2,FALSE)*GREET1_Import_Export!$P396</f>
        <v>2.2439552972139043E-3</v>
      </c>
      <c r="E144" s="348">
        <f ca="1">SUM(TEC_Results!B144:D144)</f>
        <v>3.0145588435766739E-3</v>
      </c>
      <c r="F144" s="382">
        <f t="shared" ca="1" si="22"/>
        <v>0.1774896515776688</v>
      </c>
      <c r="G144" s="382">
        <f t="shared" ca="1" si="23"/>
        <v>7.8137651238047362E-2</v>
      </c>
      <c r="H144" s="382">
        <f t="shared" ca="1" si="24"/>
        <v>0.74437269718428378</v>
      </c>
      <c r="I144" s="825">
        <f t="shared" ca="1" si="25"/>
        <v>1</v>
      </c>
    </row>
    <row r="145" spans="1:9" s="64" customFormat="1">
      <c r="A145" s="909" t="s">
        <v>886</v>
      </c>
      <c r="B145" s="347">
        <f>HLOOKUP(GREET1_Import_Export!$B$374,$M$9:$Q$10,2,FALSE)/HLOOKUP(GREET1_Import_Export!$D$373,$M$7:$Q$8,2,FALSE)*HLOOKUP($D$3,$M$7:$Q$8,2,FALSE)/HLOOKUP($D$4,$M$9:$Q$10,2,FALSE)*(GREET1_Import_Export!$N397+GREET1_Import_Export!$O397)/Vehi_Inputs!$D$150</f>
        <v>2.3690432221477866E-3</v>
      </c>
      <c r="C145" s="349">
        <f ca="1">HLOOKUP($D$3,$M$7:$Q$8,2,FALSE)/HLOOKUP($D$4,$M$9:$Q$10,2,FALSE)*Vehi_Sum!F335</f>
        <v>5.1699044389416616E-4</v>
      </c>
      <c r="D145" s="349">
        <f>HLOOKUP(GREET1_Import_Export!$B$374,$M$9:$Q$10,2,FALSE)/HLOOKUP(GREET1_Import_Export!$D$373,$M$7:$Q$8,2,FALSE)*HLOOKUP($D$3,$M$7:$Q$8,2,FALSE)/HLOOKUP($D$4,$M$9:$Q$10,2,FALSE)*GREET1_Import_Export!$P397</f>
        <v>1.3134826438910329E-3</v>
      </c>
      <c r="E145" s="348">
        <f ca="1">SUM(TEC_Results!B145:D145)</f>
        <v>4.1995163099329859E-3</v>
      </c>
      <c r="F145" s="382">
        <f t="shared" ca="1" si="22"/>
        <v>0.56412287685235607</v>
      </c>
      <c r="G145" s="382">
        <f t="shared" ca="1" si="23"/>
        <v>0.12310714037979675</v>
      </c>
      <c r="H145" s="382">
        <f t="shared" ca="1" si="24"/>
        <v>0.31276998276784712</v>
      </c>
      <c r="I145" s="825">
        <f t="shared" ca="1" si="25"/>
        <v>1</v>
      </c>
    </row>
    <row r="146" spans="1:9" s="64" customFormat="1">
      <c r="A146" s="849" t="s">
        <v>890</v>
      </c>
      <c r="B146" s="347">
        <f>HLOOKUP(GREET1_Import_Export!$B$374,$M$9:$Q$10,2,FALSE)/HLOOKUP(GREET1_Import_Export!$D$373,$M$7:$Q$8,2,FALSE)*HLOOKUP($D$3,$M$7:$Q$8,2,FALSE)/HLOOKUP($D$4,$M$9:$Q$10,2,FALSE)*(GREET1_Import_Export!$N398+GREET1_Import_Export!$O398)/Vehi_Inputs!$D$150</f>
        <v>2.3708114303842953E-2</v>
      </c>
      <c r="C146" s="377">
        <f ca="1">HLOOKUP($D$3,$M$7:$Q$8,2,FALSE)/HLOOKUP($D$4,$M$9:$Q$10,2,FALSE)*Vehi_Sum!F336</f>
        <v>0.11116878093180575</v>
      </c>
      <c r="D146" s="377">
        <f>HLOOKUP(GREET1_Import_Export!$B$374,$M$9:$Q$10,2,FALSE)/HLOOKUP(GREET1_Import_Export!$D$373,$M$7:$Q$8,2,FALSE)*HLOOKUP($D$3,$M$7:$Q$8,2,FALSE)/HLOOKUP($D$4,$M$9:$Q$10,2,FALSE)*GREET1_Import_Export!$P398</f>
        <v>5.6135488834402163E-2</v>
      </c>
      <c r="E146" s="384">
        <f ca="1">SUM(TEC_Results!B146:D146)</f>
        <v>0.19101238407005089</v>
      </c>
      <c r="F146" s="382">
        <f t="shared" ca="1" si="22"/>
        <v>0.124118205315674</v>
      </c>
      <c r="G146" s="382">
        <f t="shared" ca="1" si="23"/>
        <v>0.58199776665284852</v>
      </c>
      <c r="H146" s="382">
        <f t="shared" ca="1" si="24"/>
        <v>0.2938840280314774</v>
      </c>
      <c r="I146" s="825">
        <f t="shared" ca="1" si="25"/>
        <v>1</v>
      </c>
    </row>
    <row r="147" spans="1:9" s="64" customFormat="1">
      <c r="A147" s="849" t="s">
        <v>891</v>
      </c>
      <c r="B147" s="347">
        <f>HLOOKUP(GREET1_Import_Export!$B$374,$M$9:$Q$10,2,FALSE)/HLOOKUP(GREET1_Import_Export!$D$373,$M$7:$Q$8,2,FALSE)*HLOOKUP($D$3,$M$7:$Q$8,2,FALSE)/HLOOKUP($D$4,$M$9:$Q$10,2,FALSE)*(GREET1_Import_Export!$N399+GREET1_Import_Export!$O399)/Vehi_Inputs!$D$150</f>
        <v>7.0978126599609915E-3</v>
      </c>
      <c r="C147" s="377">
        <f ca="1">HLOOKUP($D$3,$M$7:$Q$8,2,FALSE)/HLOOKUP($D$4,$M$9:$Q$10,2,FALSE)*Vehi_Sum!F337</f>
        <v>1.4791672783679522E-3</v>
      </c>
      <c r="D147" s="377">
        <f>HLOOKUP(GREET1_Import_Export!$B$374,$M$9:$Q$10,2,FALSE)/HLOOKUP(GREET1_Import_Export!$D$373,$M$7:$Q$8,2,FALSE)*HLOOKUP($D$3,$M$7:$Q$8,2,FALSE)/HLOOKUP($D$4,$M$9:$Q$10,2,FALSE)*GREET1_Import_Export!$P399</f>
        <v>0.60893110162269692</v>
      </c>
      <c r="E147" s="384">
        <f ca="1">SUM(TEC_Results!B147:D147)</f>
        <v>0.61750808156102588</v>
      </c>
      <c r="F147" s="382">
        <f t="shared" ca="1" si="22"/>
        <v>1.1494283025443357E-2</v>
      </c>
      <c r="G147" s="382">
        <f t="shared" ca="1" si="23"/>
        <v>2.395381246879717E-3</v>
      </c>
      <c r="H147" s="382">
        <f t="shared" ca="1" si="24"/>
        <v>0.98611033572767692</v>
      </c>
      <c r="I147" s="825">
        <f t="shared" ca="1" si="25"/>
        <v>1</v>
      </c>
    </row>
    <row r="148" spans="1:9" s="64" customFormat="1">
      <c r="A148" s="849" t="s">
        <v>892</v>
      </c>
      <c r="B148" s="347">
        <f>HLOOKUP(GREET1_Import_Export!$B$374,$M$9:$Q$10,2,FALSE)/HLOOKUP(GREET1_Import_Export!$D$373,$M$7:$Q$8,2,FALSE)*HLOOKUP($D$3,$M$7:$Q$8,2,FALSE)/HLOOKUP($D$4,$M$9:$Q$10,2,FALSE)*(GREET1_Import_Export!$N400+GREET1_Import_Export!$O400)/Vehi_Inputs!$D$150</f>
        <v>1.0325334203874617E-2</v>
      </c>
      <c r="C148" s="377">
        <f ca="1">HLOOKUP($D$3,$M$7:$Q$8,2,FALSE)/HLOOKUP($D$4,$M$9:$Q$10,2,FALSE)*Vehi_Sum!F338</f>
        <v>4.0340189443011029E-3</v>
      </c>
      <c r="D148" s="377">
        <f>HLOOKUP(GREET1_Import_Export!$B$374,$M$9:$Q$10,2,FALSE)/HLOOKUP(GREET1_Import_Export!$D$373,$M$7:$Q$8,2,FALSE)*HLOOKUP($D$3,$M$7:$Q$8,2,FALSE)/HLOOKUP($D$4,$M$9:$Q$10,2,FALSE)*GREET1_Import_Export!$P400</f>
        <v>1.3713245064961152E-2</v>
      </c>
      <c r="E148" s="384">
        <f ca="1">SUM(TEC_Results!B148:D148)</f>
        <v>2.8072598213136873E-2</v>
      </c>
      <c r="F148" s="382">
        <f t="shared" ca="1" si="22"/>
        <v>0.36780828498598916</v>
      </c>
      <c r="G148" s="382">
        <f t="shared" ca="1" si="23"/>
        <v>0.14369952199199504</v>
      </c>
      <c r="H148" s="382">
        <f t="shared" ca="1" si="24"/>
        <v>0.48849219302201574</v>
      </c>
      <c r="I148" s="825">
        <f t="shared" ca="1" si="25"/>
        <v>1</v>
      </c>
    </row>
    <row r="149" spans="1:9" s="64" customFormat="1">
      <c r="A149" s="849" t="s">
        <v>893</v>
      </c>
      <c r="B149" s="347">
        <f>HLOOKUP(GREET1_Import_Export!$B$374,$M$9:$Q$10,2,FALSE)/HLOOKUP(GREET1_Import_Export!$D$373,$M$7:$Q$8,2,FALSE)*HLOOKUP($D$3,$M$7:$Q$8,2,FALSE)/HLOOKUP($D$4,$M$9:$Q$10,2,FALSE)*(GREET1_Import_Export!$N401+GREET1_Import_Export!$O401)/Vehi_Inputs!$D$150</f>
        <v>2.0534147768659305E-3</v>
      </c>
      <c r="C149" s="377">
        <f ca="1">HLOOKUP($D$3,$M$7:$Q$8,2,FALSE)/HLOOKUP($D$4,$M$9:$Q$10,2,FALSE)*Vehi_Sum!F339</f>
        <v>5.5430183377636597E-4</v>
      </c>
      <c r="D149" s="377">
        <f>HLOOKUP(GREET1_Import_Export!$B$374,$M$9:$Q$10,2,FALSE)/HLOOKUP(GREET1_Import_Export!$D$373,$M$7:$Q$8,2,FALSE)*HLOOKUP($D$3,$M$7:$Q$8,2,FALSE)/HLOOKUP($D$4,$M$9:$Q$10,2,FALSE)*GREET1_Import_Export!$P401</f>
        <v>2.3354707141868186E-2</v>
      </c>
      <c r="E149" s="384">
        <f ca="1">SUM(TEC_Results!B149:D149)</f>
        <v>2.5962423752510483E-2</v>
      </c>
      <c r="F149" s="382">
        <f t="shared" ca="1" si="22"/>
        <v>7.9091798070947517E-2</v>
      </c>
      <c r="G149" s="382">
        <f t="shared" ca="1" si="23"/>
        <v>2.1350157406731594E-2</v>
      </c>
      <c r="H149" s="382">
        <f t="shared" ca="1" si="24"/>
        <v>0.89955804452232091</v>
      </c>
      <c r="I149" s="825">
        <f t="shared" ca="1" si="25"/>
        <v>1</v>
      </c>
    </row>
    <row r="150" spans="1:9" s="64" customFormat="1">
      <c r="A150" s="849" t="s">
        <v>894</v>
      </c>
      <c r="B150" s="347">
        <f>HLOOKUP(GREET1_Import_Export!$B$374,$M$9:$Q$10,2,FALSE)/HLOOKUP(GREET1_Import_Export!$D$373,$M$7:$Q$8,2,FALSE)*HLOOKUP($D$3,$M$7:$Q$8,2,FALSE)/HLOOKUP($D$4,$M$9:$Q$10,2,FALSE)*(GREET1_Import_Export!$N402+GREET1_Import_Export!$O402)/Vehi_Inputs!$D$150</f>
        <v>1.8647146196365137E-3</v>
      </c>
      <c r="C150" s="377">
        <f ca="1">HLOOKUP($D$3,$M$7:$Q$8,2,FALSE)/HLOOKUP($D$4,$M$9:$Q$10,2,FALSE)*Vehi_Sum!F340</f>
        <v>3.8867871028907592E-4</v>
      </c>
      <c r="D150" s="377">
        <f>HLOOKUP(GREET1_Import_Export!$B$374,$M$9:$Q$10,2,FALSE)/HLOOKUP(GREET1_Import_Export!$D$373,$M$7:$Q$8,2,FALSE)*HLOOKUP($D$3,$M$7:$Q$8,2,FALSE)/HLOOKUP($D$4,$M$9:$Q$10,2,FALSE)*GREET1_Import_Export!$P402</f>
        <v>4.4852019083970462E-3</v>
      </c>
      <c r="E150" s="384">
        <f ca="1">SUM(TEC_Results!B150:D150)</f>
        <v>6.7385952383226359E-3</v>
      </c>
      <c r="F150" s="382">
        <f t="shared" ca="1" si="22"/>
        <v>0.27672156490893146</v>
      </c>
      <c r="G150" s="382">
        <f t="shared" ca="1" si="23"/>
        <v>5.7679486086157243E-2</v>
      </c>
      <c r="H150" s="382">
        <f t="shared" ca="1" si="24"/>
        <v>0.66559894900491134</v>
      </c>
      <c r="I150" s="825">
        <f t="shared" ca="1" si="25"/>
        <v>1</v>
      </c>
    </row>
    <row r="151" spans="1:9" s="64" customFormat="1">
      <c r="A151" s="849" t="s">
        <v>895</v>
      </c>
      <c r="B151" s="347">
        <f>HLOOKUP(GREET1_Import_Export!$B$374,$M$9:$Q$10,2,FALSE)/HLOOKUP(GREET1_Import_Export!$D$373,$M$7:$Q$8,2,FALSE)*HLOOKUP($D$3,$M$7:$Q$8,2,FALSE)/HLOOKUP($D$4,$M$9:$Q$10,2,FALSE)*(GREET1_Import_Export!$N403+GREET1_Import_Export!$O403)/Vehi_Inputs!$D$150</f>
        <v>2.6885178861214046E-3</v>
      </c>
      <c r="C151" s="377">
        <f ca="1">HLOOKUP($D$3,$M$7:$Q$8,2,FALSE)/HLOOKUP($D$4,$M$9:$Q$10,2,FALSE)*Vehi_Sum!F341</f>
        <v>5.5399326803657464E-3</v>
      </c>
      <c r="D151" s="377">
        <f>HLOOKUP(GREET1_Import_Export!$B$374,$M$9:$Q$10,2,FALSE)/HLOOKUP(GREET1_Import_Export!$D$373,$M$7:$Q$8,2,FALSE)*HLOOKUP($D$3,$M$7:$Q$8,2,FALSE)/HLOOKUP($D$4,$M$9:$Q$10,2,FALSE)*GREET1_Import_Export!$P403/Vehi_Inputs!$D$150</f>
        <v>4.6685617741082494E-4</v>
      </c>
      <c r="E151" s="384">
        <f ca="1">SUM(TEC_Results!B151:D151)</f>
        <v>8.6953067438979761E-3</v>
      </c>
      <c r="F151" s="382">
        <f t="shared" ca="1" si="22"/>
        <v>0.30919183938026118</v>
      </c>
      <c r="G151" s="382">
        <f t="shared" ca="1" si="23"/>
        <v>0.63711756738811465</v>
      </c>
      <c r="H151" s="382">
        <f t="shared" ca="1" si="24"/>
        <v>5.3690593231624201E-2</v>
      </c>
      <c r="I151" s="825">
        <f t="shared" ca="1" si="25"/>
        <v>1</v>
      </c>
    </row>
    <row r="152" spans="1:9" s="64" customFormat="1">
      <c r="A152" s="909" t="s">
        <v>896</v>
      </c>
      <c r="B152" s="347">
        <f>HLOOKUP(GREET1_Import_Export!$B$374,$M$9:$Q$10,2,FALSE)/HLOOKUP(GREET1_Import_Export!$D$373,$M$7:$Q$8,2,FALSE)*HLOOKUP($D$3,$M$7:$Q$8,2,FALSE)/HLOOKUP($D$4,$M$9:$Q$10,2,FALSE)*(GREET1_Import_Export!$N404+GREET1_Import_Export!$O404)/Vehi_Inputs!$D$150</f>
        <v>1.4909976655995953E-4</v>
      </c>
      <c r="C152" s="377">
        <f ca="1">HLOOKUP($D$3,$M$7:$Q$8,2,FALSE)/HLOOKUP($D$4,$M$9:$Q$10,2,FALSE)*Vehi_Sum!F342</f>
        <v>2.4750669526991535E-5</v>
      </c>
      <c r="D152" s="377">
        <f>HLOOKUP(GREET1_Import_Export!$B$374,$M$9:$Q$10,2,FALSE)/HLOOKUP(GREET1_Import_Export!$D$373,$M$7:$Q$8,2,FALSE)*HLOOKUP($D$3,$M$7:$Q$8,2,FALSE)/HLOOKUP($D$4,$M$9:$Q$10,2,FALSE)*GREET1_Import_Export!$P404</f>
        <v>1.5707687080497329E-3</v>
      </c>
      <c r="E152" s="384">
        <f ca="1">SUM(TEC_Results!B152:D152)</f>
        <v>1.7446191441366839E-3</v>
      </c>
      <c r="F152" s="382">
        <f t="shared" ca="1" si="22"/>
        <v>8.546264499105953E-2</v>
      </c>
      <c r="G152" s="382">
        <f t="shared" ca="1" si="23"/>
        <v>1.4186861132513412E-2</v>
      </c>
      <c r="H152" s="382">
        <f t="shared" ca="1" si="24"/>
        <v>0.90035049387642707</v>
      </c>
      <c r="I152" s="825">
        <f t="shared" ca="1" si="25"/>
        <v>1</v>
      </c>
    </row>
    <row r="153" spans="1:9" s="64" customFormat="1">
      <c r="A153" s="910" t="s">
        <v>897</v>
      </c>
      <c r="B153" s="503">
        <f>HLOOKUP(GREET1_Import_Export!$B$374,$M$9:$Q$10,2,FALSE)/HLOOKUP(GREET1_Import_Export!$D$373,$M$7:$Q$8,2,FALSE)*HLOOKUP($D$3,$M$7:$Q$8,2,FALSE)/HLOOKUP($D$4,$M$9:$Q$10,2,FALSE)*(GREET1_Import_Export!$N405+GREET1_Import_Export!$O405)/Vehi_Inputs!$D$150</f>
        <v>6.8653729846083523E-4</v>
      </c>
      <c r="C153" s="386">
        <f ca="1">HLOOKUP($D$3,$M$7:$Q$8,2,FALSE)/HLOOKUP($D$4,$M$9:$Q$10,2,FALSE)*Vehi_Sum!F343</f>
        <v>6.5361063979820275E-5</v>
      </c>
      <c r="D153" s="386">
        <f>HLOOKUP(GREET1_Import_Export!$B$374,$M$9:$Q$10,2,FALSE)/HLOOKUP(GREET1_Import_Export!$D$373,$M$7:$Q$8,2,FALSE)*HLOOKUP($D$3,$M$7:$Q$8,2,FALSE)/HLOOKUP($D$4,$M$9:$Q$10,2,FALSE)*GREET1_Import_Export!$P405</f>
        <v>9.1943785072372307E-4</v>
      </c>
      <c r="E153" s="388">
        <f ca="1">SUM(TEC_Results!B153:D153)</f>
        <v>1.6713362131643786E-3</v>
      </c>
      <c r="F153" s="368">
        <f t="shared" ca="1" si="22"/>
        <v>0.41077150907955179</v>
      </c>
      <c r="G153" s="368">
        <f t="shared" ca="1" si="23"/>
        <v>3.9107071015993068E-2</v>
      </c>
      <c r="H153" s="368">
        <f t="shared" ca="1" si="24"/>
        <v>0.55012141990445518</v>
      </c>
      <c r="I153" s="826">
        <f t="shared" ca="1" si="25"/>
        <v>1</v>
      </c>
    </row>
    <row r="154" spans="1:9" s="64" customFormat="1">
      <c r="F154" s="382"/>
      <c r="G154" s="382"/>
      <c r="H154" s="382"/>
    </row>
    <row r="155" spans="1:9" s="64" customFormat="1">
      <c r="A155" s="111" t="s">
        <v>1939</v>
      </c>
      <c r="B155" s="463"/>
      <c r="C155" s="463"/>
      <c r="D155" s="463"/>
      <c r="E155" s="463"/>
      <c r="F155" s="463"/>
      <c r="G155" s="463"/>
      <c r="H155" s="463"/>
    </row>
    <row r="156" spans="1:9" s="64" customFormat="1">
      <c r="A156" s="393"/>
      <c r="B156" s="3060" t="str">
        <f>$B$3&amp;"/"&amp;$D$4&amp;" or "&amp;$D$3&amp;"/"&amp;$D$4</f>
        <v>Btu/mile or g/mile</v>
      </c>
      <c r="C156" s="3061"/>
      <c r="D156" s="3061"/>
      <c r="E156" s="3062"/>
      <c r="F156" s="3005" t="s">
        <v>1890</v>
      </c>
      <c r="G156" s="3005"/>
      <c r="H156" s="3005"/>
      <c r="I156" s="3135"/>
    </row>
    <row r="157" spans="1:9" s="64" customFormat="1" ht="25.5">
      <c r="A157" s="908" t="s">
        <v>1923</v>
      </c>
      <c r="B157" s="1225" t="s">
        <v>1924</v>
      </c>
      <c r="C157" s="1658" t="s">
        <v>1925</v>
      </c>
      <c r="D157" s="1658" t="s">
        <v>1926</v>
      </c>
      <c r="E157" s="1226" t="s">
        <v>1894</v>
      </c>
      <c r="F157" s="1658" t="s">
        <v>1924</v>
      </c>
      <c r="G157" s="1658" t="s">
        <v>1925</v>
      </c>
      <c r="H157" s="1658" t="s">
        <v>1926</v>
      </c>
      <c r="I157" s="1226" t="s">
        <v>1894</v>
      </c>
    </row>
    <row r="158" spans="1:9" s="64" customFormat="1">
      <c r="A158" s="1103" t="s">
        <v>876</v>
      </c>
      <c r="B158" s="517">
        <f>HLOOKUP(GREET1_Import_Export!$B$374,$M$9:$Q$10,2,FALSE)/HLOOKUP(GREET1_Import_Export!$B$373,$M$5:$Q$6,2,FALSE)*HLOOKUP($B$3,$M$5:$Q$6,2,FALSE)/HLOOKUP($D$4,$M$9:$Q$10,2,FALSE)*(GREET1_Import_Export!$N380+GREET1_Import_Export!$O380)/Vehi_Inputs!$D$150/Vehi_Inputs!$D$154</f>
        <v>893.4534958703797</v>
      </c>
      <c r="C158" s="419">
        <f ca="1">HLOOKUP($B$3,$M$5:$Q$6,2,FALSE)/HLOOKUP($D$4,$M$9:$Q$10,2,FALSE)*Vehi_Sum!G317</f>
        <v>752.92353696761711</v>
      </c>
      <c r="D158" s="419">
        <f>HLOOKUP(GREET1_Import_Export!$B$374,$M$9:$Q$10,2,FALSE)/HLOOKUP(GREET1_Import_Export!$B$373,$M$5:$Q$6,2,FALSE)*HLOOKUP($B$3,$M$5:$Q$6,2,FALSE)/HLOOKUP($D$4,$M$9:$Q$10,2,FALSE)*GREET1_Import_Export!$P380/Vehi_Inputs!$D$150/Vehi_Inputs!$D$154</f>
        <v>1771.4539636732695</v>
      </c>
      <c r="E158" s="516">
        <f ca="1">SUM(TEC_Results!B158:D158)</f>
        <v>3417.8309965112667</v>
      </c>
      <c r="F158" s="382">
        <f t="shared" ref="F158:F183" ca="1" si="26">B158/$E158</f>
        <v>0.26140950116678319</v>
      </c>
      <c r="G158" s="382">
        <f t="shared" ref="G158:G183" ca="1" si="27">C158/$E158</f>
        <v>0.22029279321773368</v>
      </c>
      <c r="H158" s="382">
        <f t="shared" ref="H158:H183" ca="1" si="28">D158/$E158</f>
        <v>0.51829770561548305</v>
      </c>
      <c r="I158" s="1104">
        <f t="shared" ref="I158:I183" ca="1" si="29">E158/$E158</f>
        <v>1</v>
      </c>
    </row>
    <row r="159" spans="1:9" s="64" customFormat="1">
      <c r="A159" s="849" t="s">
        <v>877</v>
      </c>
      <c r="B159" s="517">
        <f>HLOOKUP(GREET1_Import_Export!$B$374,$M$9:$Q$10,2,FALSE)/HLOOKUP(GREET1_Import_Export!$B$373,$M$5:$Q$6,2,FALSE)*HLOOKUP($B$3,$M$5:$Q$6,2,FALSE)/HLOOKUP($D$4,$M$9:$Q$10,2,FALSE)*(GREET1_Import_Export!$N381+GREET1_Import_Export!$O381)/Vehi_Inputs!$D$150/Vehi_Inputs!$D$154</f>
        <v>855.41476613797863</v>
      </c>
      <c r="C159" s="419">
        <f ca="1">HLOOKUP($B$3,$M$5:$Q$6,2,FALSE)/HLOOKUP($D$4,$M$9:$Q$10,2,FALSE)*Vehi_Sum!G318</f>
        <v>679.62900288771789</v>
      </c>
      <c r="D159" s="419">
        <f>HLOOKUP(GREET1_Import_Export!$B$374,$M$9:$Q$10,2,FALSE)/HLOOKUP(GREET1_Import_Export!$B$373,$M$5:$Q$6,2,FALSE)*HLOOKUP($B$3,$M$5:$Q$6,2,FALSE)/HLOOKUP($D$4,$M$9:$Q$10,2,FALSE)*GREET1_Import_Export!$P381/Vehi_Inputs!$D$150/Vehi_Inputs!$D$154</f>
        <v>1682.2344261579681</v>
      </c>
      <c r="E159" s="516">
        <f ca="1">SUM(TEC_Results!B159:D159)</f>
        <v>3217.2781951836646</v>
      </c>
      <c r="F159" s="382">
        <f t="shared" ca="1" si="26"/>
        <v>0.26588150425367418</v>
      </c>
      <c r="G159" s="382">
        <f t="shared" ca="1" si="27"/>
        <v>0.21124346781858569</v>
      </c>
      <c r="H159" s="382">
        <f t="shared" ca="1" si="28"/>
        <v>0.52287502792774021</v>
      </c>
      <c r="I159" s="825">
        <f t="shared" ca="1" si="29"/>
        <v>1</v>
      </c>
    </row>
    <row r="160" spans="1:9" s="64" customFormat="1">
      <c r="A160" s="849" t="s">
        <v>442</v>
      </c>
      <c r="B160" s="517">
        <f>HLOOKUP(GREET1_Import_Export!$B$374,$M$9:$Q$10,2,FALSE)/HLOOKUP(GREET1_Import_Export!$B$373,$M$5:$Q$6,2,FALSE)*HLOOKUP($B$3,$M$5:$Q$6,2,FALSE)/HLOOKUP($D$4,$M$9:$Q$10,2,FALSE)*(GREET1_Import_Export!$N382+GREET1_Import_Export!$O382)/Vehi_Inputs!$D$150/Vehi_Inputs!$D$154</f>
        <v>14.317029801132628</v>
      </c>
      <c r="C160" s="419">
        <f ca="1">HLOOKUP($B$3,$M$5:$Q$6,2,FALSE)/HLOOKUP($D$4,$M$9:$Q$10,2,FALSE)*Vehi_Sum!G319</f>
        <v>127.4986113759132</v>
      </c>
      <c r="D160" s="419">
        <f>HLOOKUP(GREET1_Import_Export!$B$374,$M$9:$Q$10,2,FALSE)/HLOOKUP(GREET1_Import_Export!$B$373,$M$5:$Q$6,2,FALSE)*HLOOKUP($B$3,$M$5:$Q$6,2,FALSE)/HLOOKUP($D$4,$M$9:$Q$10,2,FALSE)*GREET1_Import_Export!$P382/Vehi_Inputs!$D$150/Vehi_Inputs!$D$154</f>
        <v>0</v>
      </c>
      <c r="E160" s="516">
        <f ca="1">SUM(TEC_Results!B160:D160)</f>
        <v>141.81564117704582</v>
      </c>
      <c r="F160" s="382">
        <f t="shared" ca="1" si="26"/>
        <v>0.10095522385474341</v>
      </c>
      <c r="G160" s="382">
        <f t="shared" ca="1" si="27"/>
        <v>0.89904477614525669</v>
      </c>
      <c r="H160" s="382">
        <f t="shared" ca="1" si="28"/>
        <v>0</v>
      </c>
      <c r="I160" s="825">
        <f t="shared" ca="1" si="29"/>
        <v>1</v>
      </c>
    </row>
    <row r="161" spans="1:9" s="64" customFormat="1">
      <c r="A161" s="849" t="s">
        <v>878</v>
      </c>
      <c r="B161" s="517">
        <f>B159-B160-B162</f>
        <v>740.46577718779804</v>
      </c>
      <c r="C161" s="419">
        <f ca="1">C159-C160-C162</f>
        <v>391.46065399407411</v>
      </c>
      <c r="D161" s="419">
        <f>D159-D160-D162</f>
        <v>433.29901796040986</v>
      </c>
      <c r="E161" s="516">
        <f ca="1">E159-E160-E162</f>
        <v>1565.2254491422818</v>
      </c>
      <c r="F161" s="382">
        <f t="shared" ca="1" si="26"/>
        <v>0.47307292223849368</v>
      </c>
      <c r="G161" s="382">
        <f t="shared" ca="1" si="27"/>
        <v>0.2500985747507416</v>
      </c>
      <c r="H161" s="382">
        <f t="shared" ca="1" si="28"/>
        <v>0.27682850301076478</v>
      </c>
      <c r="I161" s="825">
        <f t="shared" ca="1" si="29"/>
        <v>1</v>
      </c>
    </row>
    <row r="162" spans="1:9" s="64" customFormat="1">
      <c r="A162" s="849" t="s">
        <v>440</v>
      </c>
      <c r="B162" s="517">
        <f>HLOOKUP(GREET1_Import_Export!$B$374,$M$9:$Q$10,2,FALSE)/HLOOKUP(GREET1_Import_Export!$B$373,$M$5:$Q$6,2,FALSE)*HLOOKUP($B$3,$M$5:$Q$6,2,FALSE)/HLOOKUP($D$4,$M$9:$Q$10,2,FALSE)*(GREET1_Import_Export!$N384+GREET1_Import_Export!$O384)/Vehi_Inputs!$D$150/Vehi_Inputs!$D$154</f>
        <v>100.63195914904789</v>
      </c>
      <c r="C162" s="419">
        <f ca="1">HLOOKUP($B$3,$M$5:$Q$6,2,FALSE)/HLOOKUP($D$4,$M$9:$Q$10,2,FALSE)*Vehi_Sum!G321</f>
        <v>160.66973751773054</v>
      </c>
      <c r="D162" s="419">
        <f>HLOOKUP(GREET1_Import_Export!$B$374,$M$9:$Q$10,2,FALSE)/HLOOKUP(GREET1_Import_Export!$B$373,$M$5:$Q$6,2,FALSE)*HLOOKUP($B$3,$M$5:$Q$6,2,FALSE)/HLOOKUP($D$4,$M$9:$Q$10,2,FALSE)*GREET1_Import_Export!$P384/Vehi_Inputs!$D$150/Vehi_Inputs!$D$154</f>
        <v>1248.9354081975582</v>
      </c>
      <c r="E162" s="516">
        <f ca="1">SUM(TEC_Results!B162:D162)</f>
        <v>1510.2371048643367</v>
      </c>
      <c r="F162" s="382">
        <f t="shared" ca="1" si="26"/>
        <v>6.6633218601848329E-2</v>
      </c>
      <c r="G162" s="382">
        <f t="shared" ca="1" si="27"/>
        <v>0.10638709445041966</v>
      </c>
      <c r="H162" s="382">
        <f t="shared" ca="1" si="28"/>
        <v>0.82697968694773194</v>
      </c>
      <c r="I162" s="825">
        <f t="shared" ca="1" si="29"/>
        <v>1</v>
      </c>
    </row>
    <row r="163" spans="1:9" s="64" customFormat="1">
      <c r="A163" s="909" t="s">
        <v>819</v>
      </c>
      <c r="B163" s="347">
        <f>HLOOKUP(GREET1_Import_Export!$B$374,$M$9:$Q$10,2,FALSE)/HLOOKUP(GREET1_Import_Export!$B$373,$M$5:$Q$6,2,FALSE)*HLOOKUP($B$3,$M$5:$Q$6,2,FALSE)/HLOOKUP($D$4,$M$9:$Q$10,2,FALSE)*(GREET1_Import_Export!$N385+GREET1_Import_Export!$O385)/Vehi_Inputs!$D$150/Vehi_Inputs!$D$154</f>
        <v>9.2657385215047558E-2</v>
      </c>
      <c r="C163" s="349">
        <f ca="1">HLOOKUP($B$3,$M$5:$Q$6,2,FALSE)/HLOOKUP($D$4,$M$9:$Q$10,2,FALSE)*Vehi_Sum!G322</f>
        <v>3.5072846958847957E-2</v>
      </c>
      <c r="D163" s="349">
        <f>HLOOKUP(GREET1_Import_Export!$B$374,$M$9:$Q$10,2,FALSE)/HLOOKUP(GREET1_Import_Export!$B$373,$M$5:$Q$6,2,FALSE)*HLOOKUP($B$3,$M$5:$Q$6,2,FALSE)/HLOOKUP($D$4,$M$9:$Q$10,2,FALSE)*GREET1_Import_Export!$P385/Vehi_Inputs!$D$150/Vehi_Inputs!$D$154</f>
        <v>0</v>
      </c>
      <c r="E163" s="348">
        <f ca="1">SUM(TEC_Results!B163:D163)</f>
        <v>0.12773023217389551</v>
      </c>
      <c r="F163" s="382">
        <f t="shared" ca="1" si="26"/>
        <v>0.72541467777887703</v>
      </c>
      <c r="G163" s="382">
        <f t="shared" ca="1" si="27"/>
        <v>0.27458532222112303</v>
      </c>
      <c r="H163" s="382">
        <f t="shared" ca="1" si="28"/>
        <v>0</v>
      </c>
      <c r="I163" s="825">
        <f t="shared" ca="1" si="29"/>
        <v>1</v>
      </c>
    </row>
    <row r="164" spans="1:9" s="64" customFormat="1">
      <c r="A164" s="849" t="s">
        <v>1895</v>
      </c>
      <c r="B164" s="517">
        <f>HLOOKUP(GREET1_Import_Export!$B$374,$M$9:$Q$10,2,FALSE)/HLOOKUP(GREET1_Import_Export!$D$373,$M$7:$Q$8,2,FALSE)*HLOOKUP($D$3,$M$7:$Q$8,2,FALSE)/HLOOKUP($D$4,$M$9:$Q$10,2,FALSE)*(GREET1_Import_Export!$N386+GREET1_Import_Export!$O386)/Vehi_Inputs!$D$150/Vehi_Inputs!$D$154</f>
        <v>75.739333757348035</v>
      </c>
      <c r="C164" s="419">
        <f ca="1">HLOOKUP($D$3,$M$7:$Q$8,2,FALSE)/HLOOKUP($D$4,$M$9:$Q$10,2,FALSE)*Vehi_Sum!G324</f>
        <v>41.419929593336754</v>
      </c>
      <c r="D164" s="419">
        <f>HLOOKUP(GREET1_Import_Export!$B$374,$M$9:$Q$10,2,FALSE)/HLOOKUP(GREET1_Import_Export!$D$373,$M$7:$Q$8,2,FALSE)*HLOOKUP($D$3,$M$7:$Q$8,2,FALSE)/HLOOKUP($D$4,$M$9:$Q$10,2,FALSE)*((GREET1_Import_Export!$P386-(GREET1_Import_Export!$P390*GREET1_Import_Export!$B$62+GREET1_Import_Export!$P391*GREET1_Import_Export!$B$63)/GREET1_Import_Export!$B$65)/Vehi_Inputs!$D$150/Vehi_Inputs!$D$154+(GREET1_Import_Export!$P390*GREET1_Import_Export!$B$62+GREET1_Import_Export!$P391*GREET1_Import_Export!$B$63)/GREET1_Import_Export!$B$65)</f>
        <v>102.82490328108813</v>
      </c>
      <c r="E164" s="516">
        <f ca="1">SUM(TEC_Results!B164:D164)</f>
        <v>219.98416663177292</v>
      </c>
      <c r="F164" s="382">
        <f t="shared" ca="1" si="26"/>
        <v>0.34429447772087429</v>
      </c>
      <c r="G164" s="382">
        <f t="shared" ca="1" si="27"/>
        <v>0.18828595815565555</v>
      </c>
      <c r="H164" s="382">
        <f t="shared" ca="1" si="28"/>
        <v>0.46741956412347013</v>
      </c>
      <c r="I164" s="825">
        <f t="shared" ca="1" si="29"/>
        <v>1</v>
      </c>
    </row>
    <row r="165" spans="1:9" s="64" customFormat="1">
      <c r="A165" s="849" t="s">
        <v>887</v>
      </c>
      <c r="B165" s="347">
        <f>HLOOKUP(GREET1_Import_Export!$B$374,$M$9:$Q$10,2,FALSE)/HLOOKUP(GREET1_Import_Export!$D$373,$M$7:$Q$8,2,FALSE)*HLOOKUP($D$3,$M$7:$Q$8,2,FALSE)/HLOOKUP($D$4,$M$9:$Q$10,2,FALSE)*(GREET1_Import_Export!$N387+GREET1_Import_Export!$O387)/Vehi_Inputs!$D$150/Vehi_Inputs!$D$154</f>
        <v>0.31683510505104967</v>
      </c>
      <c r="C165" s="349">
        <f ca="1">HLOOKUP($D$3,$M$7:$Q$8,2,FALSE)/HLOOKUP($D$4,$M$9:$Q$10,2,FALSE)*Vehi_Sum!G325</f>
        <v>0.11625664717354578</v>
      </c>
      <c r="D165" s="349">
        <f>HLOOKUP(GREET1_Import_Export!$B$374,$M$9:$Q$10,2,FALSE)/HLOOKUP(GREET1_Import_Export!$D$373,$M$7:$Q$8,2,FALSE)*HLOOKUP($D$3,$M$7:$Q$8,2,FALSE)/HLOOKUP($D$4,$M$9:$Q$10,2,FALSE)*GREET1_Import_Export!$P387</f>
        <v>2.2184453611861737E-3</v>
      </c>
      <c r="E165" s="384">
        <f ca="1">SUM(TEC_Results!B165:D165)</f>
        <v>0.4353101975857816</v>
      </c>
      <c r="F165" s="382">
        <f t="shared" ca="1" si="26"/>
        <v>0.72783754391284294</v>
      </c>
      <c r="G165" s="382">
        <f t="shared" ca="1" si="27"/>
        <v>0.26706621581185541</v>
      </c>
      <c r="H165" s="382">
        <f t="shared" ca="1" si="28"/>
        <v>5.0962402753016375E-3</v>
      </c>
      <c r="I165" s="825">
        <f t="shared" ca="1" si="29"/>
        <v>1</v>
      </c>
    </row>
    <row r="166" spans="1:9" s="64" customFormat="1">
      <c r="A166" s="849" t="s">
        <v>888</v>
      </c>
      <c r="B166" s="347">
        <f>HLOOKUP(GREET1_Import_Export!$B$374,$M$9:$Q$10,2,FALSE)/HLOOKUP(GREET1_Import_Export!$D$373,$M$7:$Q$8,2,FALSE)*HLOOKUP($D$3,$M$7:$Q$8,2,FALSE)/HLOOKUP($D$4,$M$9:$Q$10,2,FALSE)*(GREET1_Import_Export!$N388+GREET1_Import_Export!$O388)/Vehi_Inputs!$D$150/Vehi_Inputs!$D$154</f>
        <v>4.672877130424951E-3</v>
      </c>
      <c r="C166" s="349">
        <f ca="1">HLOOKUP($D$3,$M$7:$Q$8,2,FALSE)/HLOOKUP($D$4,$M$9:$Q$10,2,FALSE)*Vehi_Sum!G326</f>
        <v>1.0848348067649218E-3</v>
      </c>
      <c r="D166" s="349">
        <f>HLOOKUP(GREET1_Import_Export!$B$374,$M$9:$Q$10,2,FALSE)/HLOOKUP(GREET1_Import_Export!$D$373,$M$7:$Q$8,2,FALSE)*HLOOKUP($D$3,$M$7:$Q$8,2,FALSE)/HLOOKUP($D$4,$M$9:$Q$10,2,FALSE)*GREET1_Import_Export!$P388</f>
        <v>2.2883616903548957E-3</v>
      </c>
      <c r="E166" s="384">
        <f ca="1">SUM(TEC_Results!B166:D166)</f>
        <v>8.0460736275447687E-3</v>
      </c>
      <c r="F166" s="382">
        <f t="shared" ca="1" si="26"/>
        <v>0.58076489810233856</v>
      </c>
      <c r="G166" s="382">
        <f t="shared" ca="1" si="27"/>
        <v>0.13482784982865678</v>
      </c>
      <c r="H166" s="382">
        <f t="shared" ca="1" si="28"/>
        <v>0.28440725206900463</v>
      </c>
      <c r="I166" s="825">
        <f t="shared" ca="1" si="29"/>
        <v>1</v>
      </c>
    </row>
    <row r="167" spans="1:9" s="64" customFormat="1">
      <c r="A167" s="849" t="s">
        <v>1896</v>
      </c>
      <c r="B167" s="517">
        <f>HLOOKUP(GREET1_Import_Export!$B$374,$M$9:$Q$10,2,FALSE)/HLOOKUP(GREET1_Import_Export!$D$373,$M$7:$Q$8,2,FALSE)*HLOOKUP($D$3,$M$7:$Q$8,2,FALSE)/HLOOKUP($D$4,$M$9:$Q$10,2,FALSE)*(GREET1_Import_Export!$N389+GREET1_Import_Export!$O389)/Vehi_Inputs!$D$150/Vehi_Inputs!$D$154</f>
        <v>86.482699348442139</v>
      </c>
      <c r="C167" s="419">
        <f ca="1">HLOOKUP($D$3,$M$7:$Q$8,2,FALSE)/HLOOKUP($D$4,$M$9:$Q$10,2,FALSE)*Vehi_Sum!G327</f>
        <v>46.083528852818191</v>
      </c>
      <c r="D167" s="158">
        <f>D164+SUMPRODUCT(D165:D166,GREET1_Import_Export!$B$51:$B$52)+SUMPRODUCT(D168:D170,GREET1_Import_Export!$B$55:$B$57)+SUMPRODUCT(D174:D175,GREET1_Import_Export!$B$58:$B$59)</f>
        <v>103.49787248986776</v>
      </c>
      <c r="E167" s="516">
        <f ca="1">SUM(TEC_Results!B167:D167)</f>
        <v>236.06410069112809</v>
      </c>
      <c r="F167" s="382">
        <f t="shared" ca="1" si="26"/>
        <v>0.36635260971594391</v>
      </c>
      <c r="G167" s="382">
        <f t="shared" ca="1" si="27"/>
        <v>0.19521616678647374</v>
      </c>
      <c r="H167" s="382">
        <f t="shared" ca="1" si="28"/>
        <v>0.43843122349758235</v>
      </c>
      <c r="I167" s="825">
        <f t="shared" ca="1" si="29"/>
        <v>1</v>
      </c>
    </row>
    <row r="168" spans="1:9" s="64" customFormat="1">
      <c r="A168" s="849" t="s">
        <v>879</v>
      </c>
      <c r="B168" s="347">
        <f>HLOOKUP(GREET1_Import_Export!$B$374,$M$9:$Q$10,2,FALSE)/HLOOKUP(GREET1_Import_Export!$D$373,$M$7:$Q$8,2,FALSE)*HLOOKUP($D$3,$M$7:$Q$8,2,FALSE)/HLOOKUP($D$4,$M$9:$Q$10,2,FALSE)*(GREET1_Import_Export!$N390+GREET1_Import_Export!$O390)/Vehi_Inputs!$D$150/Vehi_Inputs!$D$154</f>
        <v>4.7432067032098672E-2</v>
      </c>
      <c r="C168" s="349">
        <f ca="1">HLOOKUP($D$3,$M$7:$Q$8,2,FALSE)/HLOOKUP($D$4,$M$9:$Q$10,2,FALSE)*Vehi_Sum!G328</f>
        <v>0.18615678980100153</v>
      </c>
      <c r="D168" s="349">
        <f>HLOOKUP(GREET1_Import_Export!$B$374,$M$9:$Q$10,2,FALSE)/HLOOKUP(GREET1_Import_Export!$D$373,$M$7:$Q$8,2,FALSE)*HLOOKUP($D$3,$M$7:$Q$8,2,FALSE)/HLOOKUP($D$4,$M$9:$Q$10,2,FALSE)*GREET1_Import_Export!$P390</f>
        <v>8.0193555477717379E-2</v>
      </c>
      <c r="E168" s="384">
        <f ca="1">SUM(TEC_Results!B168:D168)</f>
        <v>0.3137824123108176</v>
      </c>
      <c r="F168" s="382">
        <f t="shared" ca="1" si="26"/>
        <v>0.15116228689425323</v>
      </c>
      <c r="G168" s="382">
        <f t="shared" ca="1" si="27"/>
        <v>0.59326712555388117</v>
      </c>
      <c r="H168" s="382">
        <f t="shared" ca="1" si="28"/>
        <v>0.25557058755186551</v>
      </c>
      <c r="I168" s="825">
        <f t="shared" ca="1" si="29"/>
        <v>1</v>
      </c>
    </row>
    <row r="169" spans="1:9" s="64" customFormat="1">
      <c r="A169" s="849" t="s">
        <v>880</v>
      </c>
      <c r="B169" s="347">
        <f>HLOOKUP(GREET1_Import_Export!$B$374,$M$9:$Q$10,2,FALSE)/HLOOKUP(GREET1_Import_Export!$D$373,$M$7:$Q$8,2,FALSE)*HLOOKUP($D$3,$M$7:$Q$8,2,FALSE)/HLOOKUP($D$4,$M$9:$Q$10,2,FALSE)*(GREET1_Import_Export!$N391+GREET1_Import_Export!$O391)/Vehi_Inputs!$D$150/Vehi_Inputs!$D$154</f>
        <v>4.4775437541616524E-2</v>
      </c>
      <c r="C169" s="349">
        <f ca="1">HLOOKUP($D$3,$M$7:$Q$8,2,FALSE)/HLOOKUP($D$4,$M$9:$Q$10,2,FALSE)*Vehi_Sum!G329</f>
        <v>7.437818873314149E-2</v>
      </c>
      <c r="D169" s="349">
        <f>HLOOKUP(GREET1_Import_Export!$B$374,$M$9:$Q$10,2,FALSE)/HLOOKUP(GREET1_Import_Export!$D$373,$M$7:$Q$8,2,FALSE)*HLOOKUP($D$3,$M$7:$Q$8,2,FALSE)/HLOOKUP($D$4,$M$9:$Q$10,2,FALSE)*GREET1_Import_Export!$P391</f>
        <v>0.86990157374670984</v>
      </c>
      <c r="E169" s="384">
        <f ca="1">SUM(TEC_Results!B169:D169)</f>
        <v>0.98905520002146785</v>
      </c>
      <c r="F169" s="382">
        <f t="shared" ca="1" si="26"/>
        <v>4.5270918691539819E-2</v>
      </c>
      <c r="G169" s="382">
        <f t="shared" ca="1" si="27"/>
        <v>7.5201251387715343E-2</v>
      </c>
      <c r="H169" s="382">
        <f t="shared" ca="1" si="28"/>
        <v>0.87952782992074485</v>
      </c>
      <c r="I169" s="825">
        <f t="shared" ca="1" si="29"/>
        <v>1</v>
      </c>
    </row>
    <row r="170" spans="1:9" s="64" customFormat="1">
      <c r="A170" s="849" t="s">
        <v>881</v>
      </c>
      <c r="B170" s="347">
        <f>HLOOKUP(GREET1_Import_Export!$B$374,$M$9:$Q$10,2,FALSE)/HLOOKUP(GREET1_Import_Export!$D$373,$M$7:$Q$8,2,FALSE)*HLOOKUP($D$3,$M$7:$Q$8,2,FALSE)/HLOOKUP($D$4,$M$9:$Q$10,2,FALSE)*(GREET1_Import_Export!$N392+GREET1_Import_Export!$O392)/Vehi_Inputs!$D$150/Vehi_Inputs!$D$154</f>
        <v>6.2970670961377956E-2</v>
      </c>
      <c r="C170" s="349">
        <f ca="1">HLOOKUP($D$3,$M$7:$Q$8,2,FALSE)/HLOOKUP($D$4,$M$9:$Q$10,2,FALSE)*Vehi_Sum!G330</f>
        <v>4.412742962794091E-2</v>
      </c>
      <c r="D170" s="349">
        <f>HLOOKUP(GREET1_Import_Export!$B$374,$M$9:$Q$10,2,FALSE)/HLOOKUP(GREET1_Import_Export!$D$373,$M$7:$Q$8,2,FALSE)*HLOOKUP($D$3,$M$7:$Q$8,2,FALSE)/HLOOKUP($D$4,$M$9:$Q$10,2,FALSE)*GREET1_Import_Export!$P392</f>
        <v>1.9590350092801648E-2</v>
      </c>
      <c r="E170" s="384">
        <f ca="1">SUM(TEC_Results!B170:D170)</f>
        <v>0.12668845068212053</v>
      </c>
      <c r="F170" s="382">
        <f t="shared" ca="1" si="26"/>
        <v>0.49705139357478123</v>
      </c>
      <c r="G170" s="382">
        <f t="shared" ca="1" si="27"/>
        <v>0.3483145416203956</v>
      </c>
      <c r="H170" s="382">
        <f t="shared" ca="1" si="28"/>
        <v>0.15463406480482297</v>
      </c>
      <c r="I170" s="825">
        <f t="shared" ca="1" si="29"/>
        <v>1</v>
      </c>
    </row>
    <row r="171" spans="1:9" s="64" customFormat="1">
      <c r="A171" s="849" t="s">
        <v>882</v>
      </c>
      <c r="B171" s="347">
        <f>HLOOKUP(GREET1_Import_Export!$B$374,$M$9:$Q$10,2,FALSE)/HLOOKUP(GREET1_Import_Export!$D$373,$M$7:$Q$8,2,FALSE)*HLOOKUP($D$3,$M$7:$Q$8,2,FALSE)/HLOOKUP($D$4,$M$9:$Q$10,2,FALSE)*(GREET1_Import_Export!$N393+GREET1_Import_Export!$O393)/Vehi_Inputs!$D$150/Vehi_Inputs!$D$154</f>
        <v>6.420699930424302E-3</v>
      </c>
      <c r="C171" s="349">
        <f ca="1">HLOOKUP($D$3,$M$7:$Q$8,2,FALSE)/HLOOKUP($D$4,$M$9:$Q$10,2,FALSE)*Vehi_Sum!G331</f>
        <v>1.9682187104197297E-2</v>
      </c>
      <c r="D171" s="349">
        <f>HLOOKUP(GREET1_Import_Export!$B$374,$M$9:$Q$10,2,FALSE)/HLOOKUP(GREET1_Import_Export!$D$373,$M$7:$Q$8,2,FALSE)*HLOOKUP($D$3,$M$7:$Q$8,2,FALSE)/HLOOKUP($D$4,$M$9:$Q$10,2,FALSE)*GREET1_Import_Export!$P393</f>
        <v>3.3363867345525988E-2</v>
      </c>
      <c r="E171" s="348">
        <f ca="1">SUM(TEC_Results!B171:D171)</f>
        <v>5.9466754380147591E-2</v>
      </c>
      <c r="F171" s="382">
        <f t="shared" ca="1" si="26"/>
        <v>0.10797125212819403</v>
      </c>
      <c r="G171" s="382">
        <f t="shared" ca="1" si="27"/>
        <v>0.33097799450053739</v>
      </c>
      <c r="H171" s="382">
        <f t="shared" ca="1" si="28"/>
        <v>0.56105075337126853</v>
      </c>
      <c r="I171" s="825">
        <f t="shared" ca="1" si="29"/>
        <v>1</v>
      </c>
    </row>
    <row r="172" spans="1:9" s="64" customFormat="1">
      <c r="A172" s="849" t="s">
        <v>883</v>
      </c>
      <c r="B172" s="347">
        <f>HLOOKUP(GREET1_Import_Export!$B$374,$M$9:$Q$10,2,FALSE)/HLOOKUP(GREET1_Import_Export!$D$373,$M$7:$Q$8,2,FALSE)*HLOOKUP($D$3,$M$7:$Q$8,2,FALSE)/HLOOKUP($D$4,$M$9:$Q$10,2,FALSE)*(GREET1_Import_Export!$N394+GREET1_Import_Export!$O394)/Vehi_Inputs!$D$150/Vehi_Inputs!$D$154</f>
        <v>5.0698591146910573E-3</v>
      </c>
      <c r="C172" s="349">
        <f ca="1">HLOOKUP($D$3,$M$7:$Q$8,2,FALSE)/HLOOKUP($D$4,$M$9:$Q$10,2,FALSE)*Vehi_Sum!G332</f>
        <v>7.1465685317928995E-3</v>
      </c>
      <c r="D172" s="349">
        <f>HLOOKUP(GREET1_Import_Export!$B$374,$M$9:$Q$10,2,FALSE)/HLOOKUP(GREET1_Import_Export!$D$373,$M$7:$Q$8,2,FALSE)*HLOOKUP($D$3,$M$7:$Q$8,2,FALSE)/HLOOKUP($D$4,$M$9:$Q$10,2,FALSE)*GREET1_Import_Export!$P394</f>
        <v>6.4074312977100666E-3</v>
      </c>
      <c r="E172" s="348">
        <f ca="1">SUM(TEC_Results!B172:D172)</f>
        <v>1.8623858944194022E-2</v>
      </c>
      <c r="F172" s="382">
        <f t="shared" ca="1" si="26"/>
        <v>0.27222387851426372</v>
      </c>
      <c r="G172" s="382">
        <f t="shared" ca="1" si="27"/>
        <v>0.38373188678068454</v>
      </c>
      <c r="H172" s="382">
        <f t="shared" ca="1" si="28"/>
        <v>0.3440442347050518</v>
      </c>
      <c r="I172" s="825">
        <f t="shared" ca="1" si="29"/>
        <v>1</v>
      </c>
    </row>
    <row r="173" spans="1:9" s="64" customFormat="1">
      <c r="A173" s="849" t="s">
        <v>884</v>
      </c>
      <c r="B173" s="347">
        <f>HLOOKUP(GREET1_Import_Export!$B$374,$M$9:$Q$10,2,FALSE)/HLOOKUP(GREET1_Import_Export!$D$373,$M$7:$Q$8,2,FALSE)*HLOOKUP($D$3,$M$7:$Q$8,2,FALSE)/HLOOKUP($D$4,$M$9:$Q$10,2,FALSE)*(GREET1_Import_Export!$N395+GREET1_Import_Export!$O395)/Vehi_Inputs!$D$150/Vehi_Inputs!$D$154</f>
        <v>1.9942284809107161E-2</v>
      </c>
      <c r="C173" s="349">
        <f ca="1">HLOOKUP($D$3,$M$7:$Q$8,2,FALSE)/HLOOKUP($D$4,$M$9:$Q$10,2,FALSE)*Vehi_Sum!G333</f>
        <v>0.1462113074442834</v>
      </c>
      <c r="D173" s="349">
        <f>HLOOKUP(GREET1_Import_Export!$B$374,$M$9:$Q$10,2,FALSE)/HLOOKUP(GREET1_Import_Export!$D$373,$M$7:$Q$8,2,FALSE)*HLOOKUP($D$3,$M$7:$Q$8,2,FALSE)/HLOOKUP($D$4,$M$9:$Q$10,2,FALSE)*GREET1_Import_Export!$P395/Vehi_Inputs!$D$150/Vehi_Inputs!$D$154</f>
        <v>6.1004764349014036E-4</v>
      </c>
      <c r="E173" s="348">
        <f ca="1">SUM(TEC_Results!B173:D173)</f>
        <v>0.1667636398968807</v>
      </c>
      <c r="F173" s="382">
        <f t="shared" ca="1" si="26"/>
        <v>0.11958413009837511</v>
      </c>
      <c r="G173" s="382">
        <f t="shared" ca="1" si="27"/>
        <v>0.87675771250072287</v>
      </c>
      <c r="H173" s="382">
        <f t="shared" ca="1" si="28"/>
        <v>3.6581574009020611E-3</v>
      </c>
      <c r="I173" s="825">
        <f t="shared" ca="1" si="29"/>
        <v>1</v>
      </c>
    </row>
    <row r="174" spans="1:9" s="64" customFormat="1">
      <c r="A174" s="909" t="s">
        <v>885</v>
      </c>
      <c r="B174" s="347">
        <f>HLOOKUP(GREET1_Import_Export!$B$374,$M$9:$Q$10,2,FALSE)/HLOOKUP(GREET1_Import_Export!$D$373,$M$7:$Q$8,2,FALSE)*HLOOKUP($D$3,$M$7:$Q$8,2,FALSE)/HLOOKUP($D$4,$M$9:$Q$10,2,FALSE)*(GREET1_Import_Export!$N396+GREET1_Import_Export!$O396)/Vehi_Inputs!$D$150/Vehi_Inputs!$D$154</f>
        <v>4.8941298369933211E-4</v>
      </c>
      <c r="C174" s="349">
        <f ca="1">HLOOKUP($D$3,$M$7:$Q$8,2,FALSE)/HLOOKUP($D$4,$M$9:$Q$10,2,FALSE)*Vehi_Sum!G334</f>
        <v>3.0073337235674464E-4</v>
      </c>
      <c r="D174" s="349">
        <f>HLOOKUP(GREET1_Import_Export!$B$374,$M$9:$Q$10,2,FALSE)/HLOOKUP(GREET1_Import_Export!$D$373,$M$7:$Q$8,2,FALSE)*HLOOKUP($D$3,$M$7:$Q$8,2,FALSE)/HLOOKUP($D$4,$M$9:$Q$10,2,FALSE)*GREET1_Import_Export!$P396</f>
        <v>2.2439552972139043E-3</v>
      </c>
      <c r="E174" s="348">
        <f ca="1">SUM(TEC_Results!B174:D174)</f>
        <v>3.0341016532699811E-3</v>
      </c>
      <c r="F174" s="382">
        <f t="shared" ca="1" si="26"/>
        <v>0.16130408260114515</v>
      </c>
      <c r="G174" s="382">
        <f t="shared" ca="1" si="27"/>
        <v>9.9117764242549825E-2</v>
      </c>
      <c r="H174" s="382">
        <f t="shared" ca="1" si="28"/>
        <v>0.73957815315630504</v>
      </c>
      <c r="I174" s="825">
        <f t="shared" ca="1" si="29"/>
        <v>1</v>
      </c>
    </row>
    <row r="175" spans="1:9" s="64" customFormat="1">
      <c r="A175" s="909" t="s">
        <v>886</v>
      </c>
      <c r="B175" s="347">
        <f>HLOOKUP(GREET1_Import_Export!$B$374,$M$9:$Q$10,2,FALSE)/HLOOKUP(GREET1_Import_Export!$D$373,$M$7:$Q$8,2,FALSE)*HLOOKUP($D$3,$M$7:$Q$8,2,FALSE)/HLOOKUP($D$4,$M$9:$Q$10,2,FALSE)*(GREET1_Import_Export!$N397+GREET1_Import_Export!$O397)/Vehi_Inputs!$D$150/Vehi_Inputs!$D$154</f>
        <v>2.1669638604953911E-3</v>
      </c>
      <c r="C175" s="349">
        <f ca="1">HLOOKUP($D$3,$M$7:$Q$8,2,FALSE)/HLOOKUP($D$4,$M$9:$Q$10,2,FALSE)*Vehi_Sum!G335</f>
        <v>6.8561211159451558E-4</v>
      </c>
      <c r="D175" s="349">
        <f>HLOOKUP(GREET1_Import_Export!$B$374,$M$9:$Q$10,2,FALSE)/HLOOKUP(GREET1_Import_Export!$D$373,$M$7:$Q$8,2,FALSE)*HLOOKUP($D$3,$M$7:$Q$8,2,FALSE)/HLOOKUP($D$4,$M$9:$Q$10,2,FALSE)*GREET1_Import_Export!$P397</f>
        <v>1.3134826438910329E-3</v>
      </c>
      <c r="E175" s="348">
        <f ca="1">SUM(TEC_Results!B175:D175)</f>
        <v>4.1660586159809401E-3</v>
      </c>
      <c r="F175" s="382">
        <f t="shared" ca="1" si="26"/>
        <v>0.52014723273046359</v>
      </c>
      <c r="G175" s="382">
        <f t="shared" ca="1" si="27"/>
        <v>0.1645709229736993</v>
      </c>
      <c r="H175" s="382">
        <f t="shared" ca="1" si="28"/>
        <v>0.315281844295837</v>
      </c>
      <c r="I175" s="825">
        <f t="shared" ca="1" si="29"/>
        <v>1</v>
      </c>
    </row>
    <row r="176" spans="1:9" s="64" customFormat="1">
      <c r="A176" s="849" t="s">
        <v>890</v>
      </c>
      <c r="B176" s="347">
        <f>HLOOKUP(GREET1_Import_Export!$B$374,$M$9:$Q$10,2,FALSE)/HLOOKUP(GREET1_Import_Export!$D$373,$M$7:$Q$8,2,FALSE)*HLOOKUP($D$3,$M$7:$Q$8,2,FALSE)/HLOOKUP($D$4,$M$9:$Q$10,2,FALSE)*(GREET1_Import_Export!$N398+GREET1_Import_Export!$O398)/Vehi_Inputs!$D$150/Vehi_Inputs!$D$154</f>
        <v>2.168581240588132E-2</v>
      </c>
      <c r="C176" s="377">
        <f ca="1">HLOOKUP($D$3,$M$7:$Q$8,2,FALSE)/HLOOKUP($D$4,$M$9:$Q$10,2,FALSE)*Vehi_Sum!G336</f>
        <v>0.11146493408830413</v>
      </c>
      <c r="D176" s="377">
        <f>HLOOKUP(GREET1_Import_Export!$B$374,$M$9:$Q$10,2,FALSE)/HLOOKUP(GREET1_Import_Export!$D$373,$M$7:$Q$8,2,FALSE)*HLOOKUP($D$3,$M$7:$Q$8,2,FALSE)/HLOOKUP($D$4,$M$9:$Q$10,2,FALSE)*GREET1_Import_Export!$P398</f>
        <v>5.6135488834402163E-2</v>
      </c>
      <c r="E176" s="384">
        <f ca="1">SUM(TEC_Results!B176:D176)</f>
        <v>0.18928623532858763</v>
      </c>
      <c r="F176" s="382">
        <f t="shared" ca="1" si="26"/>
        <v>0.11456624074241992</v>
      </c>
      <c r="G176" s="382">
        <f t="shared" ca="1" si="27"/>
        <v>0.58886972893094325</v>
      </c>
      <c r="H176" s="382">
        <f t="shared" ca="1" si="28"/>
        <v>0.29656403032663675</v>
      </c>
      <c r="I176" s="825">
        <f t="shared" ca="1" si="29"/>
        <v>1</v>
      </c>
    </row>
    <row r="177" spans="1:9" s="64" customFormat="1">
      <c r="A177" s="849" t="s">
        <v>891</v>
      </c>
      <c r="B177" s="347">
        <f>HLOOKUP(GREET1_Import_Export!$B$374,$M$9:$Q$10,2,FALSE)/HLOOKUP(GREET1_Import_Export!$D$373,$M$7:$Q$8,2,FALSE)*HLOOKUP($D$3,$M$7:$Q$8,2,FALSE)/HLOOKUP($D$4,$M$9:$Q$10,2,FALSE)*(GREET1_Import_Export!$N399+GREET1_Import_Export!$O399)/Vehi_Inputs!$D$150/Vehi_Inputs!$D$154</f>
        <v>6.492369315557656E-3</v>
      </c>
      <c r="C177" s="377">
        <f ca="1">HLOOKUP($D$3,$M$7:$Q$8,2,FALSE)/HLOOKUP($D$4,$M$9:$Q$10,2,FALSE)*Vehi_Sum!G337</f>
        <v>2.0842148152797886E-3</v>
      </c>
      <c r="D177" s="377">
        <f>HLOOKUP(GREET1_Import_Export!$B$374,$M$9:$Q$10,2,FALSE)/HLOOKUP(GREET1_Import_Export!$D$373,$M$7:$Q$8,2,FALSE)*HLOOKUP($D$3,$M$7:$Q$8,2,FALSE)/HLOOKUP($D$4,$M$9:$Q$10,2,FALSE)*GREET1_Import_Export!$P399</f>
        <v>0.60893110162269692</v>
      </c>
      <c r="E177" s="384">
        <f ca="1">SUM(TEC_Results!B177:D177)</f>
        <v>0.61750768575353432</v>
      </c>
      <c r="F177" s="382">
        <f t="shared" ca="1" si="26"/>
        <v>1.0513827544729465E-2</v>
      </c>
      <c r="G177" s="382">
        <f t="shared" ca="1" si="27"/>
        <v>3.3752046547185174E-3</v>
      </c>
      <c r="H177" s="382">
        <f t="shared" ca="1" si="28"/>
        <v>0.98611096780055207</v>
      </c>
      <c r="I177" s="825">
        <f t="shared" ca="1" si="29"/>
        <v>1</v>
      </c>
    </row>
    <row r="178" spans="1:9" s="64" customFormat="1">
      <c r="A178" s="849" t="s">
        <v>892</v>
      </c>
      <c r="B178" s="347">
        <f>HLOOKUP(GREET1_Import_Export!$B$374,$M$9:$Q$10,2,FALSE)/HLOOKUP(GREET1_Import_Export!$D$373,$M$7:$Q$8,2,FALSE)*HLOOKUP($D$3,$M$7:$Q$8,2,FALSE)/HLOOKUP($D$4,$M$9:$Q$10,2,FALSE)*(GREET1_Import_Export!$N400+GREET1_Import_Export!$O400)/Vehi_Inputs!$D$150/Vehi_Inputs!$D$154</f>
        <v>9.444583306102915E-3</v>
      </c>
      <c r="C178" s="377">
        <f ca="1">HLOOKUP($D$3,$M$7:$Q$8,2,FALSE)/HLOOKUP($D$4,$M$9:$Q$10,2,FALSE)*Vehi_Sum!G338</f>
        <v>5.2546252552464609E-3</v>
      </c>
      <c r="D178" s="377">
        <f>HLOOKUP(GREET1_Import_Export!$B$374,$M$9:$Q$10,2,FALSE)/HLOOKUP(GREET1_Import_Export!$D$373,$M$7:$Q$8,2,FALSE)*HLOOKUP($D$3,$M$7:$Q$8,2,FALSE)/HLOOKUP($D$4,$M$9:$Q$10,2,FALSE)*GREET1_Import_Export!$P400</f>
        <v>1.3713245064961152E-2</v>
      </c>
      <c r="E178" s="384">
        <f ca="1">SUM(TEC_Results!B178:D178)</f>
        <v>2.8412453626310528E-2</v>
      </c>
      <c r="F178" s="382">
        <f t="shared" ca="1" si="26"/>
        <v>0.33240998578725467</v>
      </c>
      <c r="G178" s="382">
        <f t="shared" ca="1" si="27"/>
        <v>0.18494091796354284</v>
      </c>
      <c r="H178" s="382">
        <f t="shared" ca="1" si="28"/>
        <v>0.48264909624920244</v>
      </c>
      <c r="I178" s="825">
        <f t="shared" ca="1" si="29"/>
        <v>1</v>
      </c>
    </row>
    <row r="179" spans="1:9" s="64" customFormat="1">
      <c r="A179" s="849" t="s">
        <v>893</v>
      </c>
      <c r="B179" s="347">
        <f>HLOOKUP(GREET1_Import_Export!$B$374,$M$9:$Q$10,2,FALSE)/HLOOKUP(GREET1_Import_Export!$D$373,$M$7:$Q$8,2,FALSE)*HLOOKUP($D$3,$M$7:$Q$8,2,FALSE)/HLOOKUP($D$4,$M$9:$Q$10,2,FALSE)*(GREET1_Import_Export!$N401+GREET1_Import_Export!$O401)/Vehi_Inputs!$D$150/Vehi_Inputs!$D$154</f>
        <v>1.8782585182390975E-3</v>
      </c>
      <c r="C179" s="377">
        <f ca="1">HLOOKUP($D$3,$M$7:$Q$8,2,FALSE)/HLOOKUP($D$4,$M$9:$Q$10,2,FALSE)*Vehi_Sum!G339</f>
        <v>6.9817678577529228E-4</v>
      </c>
      <c r="D179" s="377">
        <f>HLOOKUP(GREET1_Import_Export!$B$374,$M$9:$Q$10,2,FALSE)/HLOOKUP(GREET1_Import_Export!$D$373,$M$7:$Q$8,2,FALSE)*HLOOKUP($D$3,$M$7:$Q$8,2,FALSE)/HLOOKUP($D$4,$M$9:$Q$10,2,FALSE)*GREET1_Import_Export!$P401</f>
        <v>2.3354707141868186E-2</v>
      </c>
      <c r="E179" s="384">
        <f ca="1">SUM(TEC_Results!B179:D179)</f>
        <v>2.5931142445882575E-2</v>
      </c>
      <c r="F179" s="382">
        <f t="shared" ca="1" si="26"/>
        <v>7.2432540222975531E-2</v>
      </c>
      <c r="G179" s="382">
        <f t="shared" ca="1" si="27"/>
        <v>2.6924258629652118E-2</v>
      </c>
      <c r="H179" s="382">
        <f t="shared" ca="1" si="28"/>
        <v>0.9006432011473724</v>
      </c>
      <c r="I179" s="825">
        <f t="shared" ca="1" si="29"/>
        <v>1</v>
      </c>
    </row>
    <row r="180" spans="1:9" s="64" customFormat="1">
      <c r="A180" s="849" t="s">
        <v>894</v>
      </c>
      <c r="B180" s="347">
        <f>HLOOKUP(GREET1_Import_Export!$B$374,$M$9:$Q$10,2,FALSE)/HLOOKUP(GREET1_Import_Export!$D$373,$M$7:$Q$8,2,FALSE)*HLOOKUP($D$3,$M$7:$Q$8,2,FALSE)/HLOOKUP($D$4,$M$9:$Q$10,2,FALSE)*(GREET1_Import_Export!$N402+GREET1_Import_Export!$O402)/Vehi_Inputs!$D$150/Vehi_Inputs!$D$154</f>
        <v>1.7056544824143615E-3</v>
      </c>
      <c r="C180" s="377">
        <f ca="1">HLOOKUP($D$3,$M$7:$Q$8,2,FALSE)/HLOOKUP($D$4,$M$9:$Q$10,2,FALSE)*Vehi_Sum!G340</f>
        <v>5.1504916064085246E-4</v>
      </c>
      <c r="D180" s="377">
        <f>HLOOKUP(GREET1_Import_Export!$B$374,$M$9:$Q$10,2,FALSE)/HLOOKUP(GREET1_Import_Export!$D$373,$M$7:$Q$8,2,FALSE)*HLOOKUP($D$3,$M$7:$Q$8,2,FALSE)/HLOOKUP($D$4,$M$9:$Q$10,2,FALSE)*GREET1_Import_Export!$P402</f>
        <v>4.4852019083970462E-3</v>
      </c>
      <c r="E180" s="384">
        <f ca="1">SUM(TEC_Results!B180:D180)</f>
        <v>6.7059055514522604E-3</v>
      </c>
      <c r="F180" s="382">
        <f t="shared" ca="1" si="26"/>
        <v>0.2543511043105845</v>
      </c>
      <c r="G180" s="382">
        <f t="shared" ca="1" si="27"/>
        <v>7.6805310884420552E-2</v>
      </c>
      <c r="H180" s="382">
        <f t="shared" ca="1" si="28"/>
        <v>0.66884358480499495</v>
      </c>
      <c r="I180" s="825">
        <f t="shared" ca="1" si="29"/>
        <v>1</v>
      </c>
    </row>
    <row r="181" spans="1:9" s="64" customFormat="1">
      <c r="A181" s="849" t="s">
        <v>895</v>
      </c>
      <c r="B181" s="347">
        <f>HLOOKUP(GREET1_Import_Export!$B$374,$M$9:$Q$10,2,FALSE)/HLOOKUP(GREET1_Import_Export!$D$373,$M$7:$Q$8,2,FALSE)*HLOOKUP($D$3,$M$7:$Q$8,2,FALSE)/HLOOKUP($D$4,$M$9:$Q$10,2,FALSE)*(GREET1_Import_Export!$N403+GREET1_Import_Export!$O403)/Vehi_Inputs!$D$150/Vehi_Inputs!$D$154</f>
        <v>2.4591873390299472E-3</v>
      </c>
      <c r="C181" s="377">
        <f ca="1">HLOOKUP($D$3,$M$7:$Q$8,2,FALSE)/HLOOKUP($D$4,$M$9:$Q$10,2,FALSE)*Vehi_Sum!G341</f>
        <v>6.392028271516836E-3</v>
      </c>
      <c r="D181" s="377">
        <f>HLOOKUP(GREET1_Import_Export!$B$374,$M$9:$Q$10,2,FALSE)/HLOOKUP(GREET1_Import_Export!$D$373,$M$7:$Q$8,2,FALSE)*HLOOKUP($D$3,$M$7:$Q$8,2,FALSE)/HLOOKUP($D$4,$M$9:$Q$10,2,FALSE)*GREET1_Import_Export!$P403/Vehi_Inputs!$D$150/Vehi_Inputs!$D$154</f>
        <v>4.2703335044309821E-4</v>
      </c>
      <c r="E181" s="384">
        <f ca="1">SUM(TEC_Results!B181:D181)</f>
        <v>9.2782489609898808E-3</v>
      </c>
      <c r="F181" s="382">
        <f t="shared" ca="1" si="26"/>
        <v>0.26504864758097424</v>
      </c>
      <c r="G181" s="382">
        <f t="shared" ca="1" si="27"/>
        <v>0.68892614311083122</v>
      </c>
      <c r="H181" s="382">
        <f t="shared" ca="1" si="28"/>
        <v>4.6025209308194585E-2</v>
      </c>
      <c r="I181" s="825">
        <f t="shared" ca="1" si="29"/>
        <v>1</v>
      </c>
    </row>
    <row r="182" spans="1:9" s="64" customFormat="1">
      <c r="A182" s="909" t="s">
        <v>896</v>
      </c>
      <c r="B182" s="347">
        <f>HLOOKUP(GREET1_Import_Export!$B$374,$M$9:$Q$10,2,FALSE)/HLOOKUP(GREET1_Import_Export!$D$373,$M$7:$Q$8,2,FALSE)*HLOOKUP($D$3,$M$7:$Q$8,2,FALSE)/HLOOKUP($D$4,$M$9:$Q$10,2,FALSE)*(GREET1_Import_Export!$N404+GREET1_Import_Export!$O404)/Vehi_Inputs!$D$150/Vehi_Inputs!$D$154</f>
        <v>1.3638155805819913E-4</v>
      </c>
      <c r="C182" s="377">
        <f ca="1">HLOOKUP($D$3,$M$7:$Q$8,2,FALSE)/HLOOKUP($D$4,$M$9:$Q$10,2,FALSE)*Vehi_Sum!G342</f>
        <v>3.2491493841236152E-5</v>
      </c>
      <c r="D182" s="377">
        <f>HLOOKUP(GREET1_Import_Export!$B$374,$M$9:$Q$10,2,FALSE)/HLOOKUP(GREET1_Import_Export!$D$373,$M$7:$Q$8,2,FALSE)*HLOOKUP($D$3,$M$7:$Q$8,2,FALSE)/HLOOKUP($D$4,$M$9:$Q$10,2,FALSE)*GREET1_Import_Export!$P404</f>
        <v>1.5707687080497329E-3</v>
      </c>
      <c r="E182" s="384">
        <f ca="1">SUM(TEC_Results!B182:D182)</f>
        <v>1.7396417599491682E-3</v>
      </c>
      <c r="F182" s="382">
        <f t="shared" ca="1" si="26"/>
        <v>7.839634641915251E-2</v>
      </c>
      <c r="G182" s="382">
        <f t="shared" ca="1" si="27"/>
        <v>1.8677117662538489E-2</v>
      </c>
      <c r="H182" s="382">
        <f t="shared" ca="1" si="28"/>
        <v>0.90292653591830907</v>
      </c>
      <c r="I182" s="825">
        <f t="shared" ca="1" si="29"/>
        <v>1</v>
      </c>
    </row>
    <row r="183" spans="1:9" s="64" customFormat="1">
      <c r="A183" s="910" t="s">
        <v>897</v>
      </c>
      <c r="B183" s="503">
        <f>HLOOKUP(GREET1_Import_Export!$B$374,$M$9:$Q$10,2,FALSE)/HLOOKUP(GREET1_Import_Export!$D$373,$M$7:$Q$8,2,FALSE)*HLOOKUP($D$3,$M$7:$Q$8,2,FALSE)/HLOOKUP($D$4,$M$9:$Q$10,2,FALSE)*(GREET1_Import_Export!$N405+GREET1_Import_Export!$O405)/Vehi_Inputs!$D$150/Vehi_Inputs!$D$154</f>
        <v>6.2797567420404016E-4</v>
      </c>
      <c r="C183" s="386">
        <f ca="1">HLOOKUP($D$3,$M$7:$Q$8,2,FALSE)/HLOOKUP($D$4,$M$9:$Q$10,2,FALSE)*Vehi_Sum!G343</f>
        <v>9.5173724457971252E-5</v>
      </c>
      <c r="D183" s="386">
        <f>HLOOKUP(GREET1_Import_Export!$B$374,$M$9:$Q$10,2,FALSE)/HLOOKUP(GREET1_Import_Export!$D$373,$M$7:$Q$8,2,FALSE)*HLOOKUP($D$3,$M$7:$Q$8,2,FALSE)/HLOOKUP($D$4,$M$9:$Q$10,2,FALSE)*GREET1_Import_Export!$P405</f>
        <v>9.1943785072372307E-4</v>
      </c>
      <c r="E183" s="388">
        <f ca="1">SUM(TEC_Results!B183:D183)</f>
        <v>1.6425872493857343E-3</v>
      </c>
      <c r="F183" s="368">
        <f t="shared" ca="1" si="26"/>
        <v>0.38230886940031916</v>
      </c>
      <c r="G183" s="368">
        <f t="shared" ca="1" si="27"/>
        <v>5.7941351056732378E-2</v>
      </c>
      <c r="H183" s="368">
        <f t="shared" ca="1" si="28"/>
        <v>0.55974977954294858</v>
      </c>
      <c r="I183" s="826">
        <f t="shared" ca="1" si="29"/>
        <v>1</v>
      </c>
    </row>
    <row r="184" spans="1:9" s="64" customFormat="1">
      <c r="F184" s="382"/>
      <c r="G184" s="382"/>
      <c r="H184" s="382"/>
    </row>
    <row r="185" spans="1:9" s="64" customFormat="1">
      <c r="A185" s="111" t="s">
        <v>1940</v>
      </c>
      <c r="B185" s="463"/>
      <c r="C185" s="463"/>
      <c r="D185" s="463"/>
      <c r="E185" s="463"/>
      <c r="F185" s="463"/>
      <c r="G185" s="463"/>
      <c r="H185" s="463"/>
    </row>
    <row r="186" spans="1:9" s="64" customFormat="1">
      <c r="A186" s="393"/>
      <c r="B186" s="3060" t="str">
        <f>$B$3&amp;"/"&amp;$D$4&amp;" or "&amp;$D$3&amp;"/"&amp;$D$4</f>
        <v>Btu/mile or g/mile</v>
      </c>
      <c r="C186" s="3061"/>
      <c r="D186" s="3061"/>
      <c r="E186" s="3062"/>
      <c r="F186" s="3005" t="s">
        <v>1890</v>
      </c>
      <c r="G186" s="3005"/>
      <c r="H186" s="3005"/>
      <c r="I186" s="3135"/>
    </row>
    <row r="187" spans="1:9" s="64" customFormat="1" ht="25.5">
      <c r="A187" s="908" t="s">
        <v>1923</v>
      </c>
      <c r="B187" s="1225" t="s">
        <v>1924</v>
      </c>
      <c r="C187" s="1658" t="s">
        <v>1925</v>
      </c>
      <c r="D187" s="1658" t="s">
        <v>1926</v>
      </c>
      <c r="E187" s="1226" t="s">
        <v>1894</v>
      </c>
      <c r="F187" s="1658" t="s">
        <v>1924</v>
      </c>
      <c r="G187" s="1658" t="s">
        <v>1925</v>
      </c>
      <c r="H187" s="1658" t="s">
        <v>1926</v>
      </c>
      <c r="I187" s="1226" t="s">
        <v>1894</v>
      </c>
    </row>
    <row r="188" spans="1:9" s="64" customFormat="1">
      <c r="A188" s="1103" t="s">
        <v>876</v>
      </c>
      <c r="B188" s="517">
        <f>HLOOKUP(GREET1_Import_Export!$B$374,$M$9:$Q$10,2,FALSE)/HLOOKUP(GREET1_Import_Export!$B$373,$M$5:$Q$6,2,FALSE)*HLOOKUP($B$3,$M$5:$Q$6,2,FALSE)/HLOOKUP($D$4,$M$9:$Q$10,2,FALSE)*(GREET1_Import_Export!$T380+GREET1_Import_Export!$U380)/Vehi_Inputs!$E$150</f>
        <v>1123.2249441459144</v>
      </c>
      <c r="C188" s="419">
        <f ca="1">HLOOKUP($B$3,$M$5:$Q$6,2,FALSE)/HLOOKUP($D$4,$M$9:$Q$10,2,FALSE)*Vehi_Sum!H317</f>
        <v>826.4778253637154</v>
      </c>
      <c r="D188" s="419">
        <f>HLOOKUP(GREET1_Import_Export!$B$374,$M$9:$Q$10,2,FALSE)/HLOOKUP(GREET1_Import_Export!$B$373,$M$5:$Q$6,2,FALSE)*HLOOKUP($B$3,$M$5:$Q$6,2,FALSE)/HLOOKUP($D$4,$M$9:$Q$10,2,FALSE)*GREET1_Import_Export!$V380/Vehi_Inputs!$E$150</f>
        <v>921.78524596503678</v>
      </c>
      <c r="E188" s="516">
        <f ca="1">SUM(TEC_Results!B188:D188)</f>
        <v>2871.4880154746666</v>
      </c>
      <c r="F188" s="382">
        <f t="shared" ref="F188:F213" ca="1" si="30">B188/$E188</f>
        <v>0.39116476826396979</v>
      </c>
      <c r="G188" s="382">
        <f t="shared" ref="G188:G213" ca="1" si="31">C188/$E188</f>
        <v>0.28782213991831546</v>
      </c>
      <c r="H188" s="382">
        <f t="shared" ref="H188:H213" ca="1" si="32">D188/$E188</f>
        <v>0.32101309181771481</v>
      </c>
      <c r="I188" s="1104">
        <f t="shared" ref="I188:I213" ca="1" si="33">E188/$E188</f>
        <v>1</v>
      </c>
    </row>
    <row r="189" spans="1:9" s="64" customFormat="1">
      <c r="A189" s="849" t="s">
        <v>877</v>
      </c>
      <c r="B189" s="517">
        <f>HLOOKUP(GREET1_Import_Export!$B$374,$M$9:$Q$10,2,FALSE)/HLOOKUP(GREET1_Import_Export!$B$373,$M$5:$Q$6,2,FALSE)*HLOOKUP($B$3,$M$5:$Q$6,2,FALSE)/HLOOKUP($D$4,$M$9:$Q$10,2,FALSE)*(GREET1_Import_Export!$T381+GREET1_Import_Export!$U381)/Vehi_Inputs!$E$150</f>
        <v>1122.0367595421403</v>
      </c>
      <c r="C189" s="419">
        <f ca="1">HLOOKUP($B$3,$M$5:$Q$6,2,FALSE)/HLOOKUP($D$4,$M$9:$Q$10,2,FALSE)*Vehi_Sum!H318</f>
        <v>740.10937978692266</v>
      </c>
      <c r="D189" s="419">
        <f>HLOOKUP(GREET1_Import_Export!$B$374,$M$9:$Q$10,2,FALSE)/HLOOKUP(GREET1_Import_Export!$B$373,$M$5:$Q$6,2,FALSE)*HLOOKUP($B$3,$M$5:$Q$6,2,FALSE)/HLOOKUP($D$4,$M$9:$Q$10,2,FALSE)*GREET1_Import_Export!$V381/Vehi_Inputs!$E$150</f>
        <v>921.78524596503678</v>
      </c>
      <c r="E189" s="516">
        <f ca="1">SUM(TEC_Results!B189:D189)</f>
        <v>2783.9313852940995</v>
      </c>
      <c r="F189" s="382">
        <f t="shared" ca="1" si="30"/>
        <v>0.40304037860602887</v>
      </c>
      <c r="G189" s="382">
        <f t="shared" ca="1" si="31"/>
        <v>0.2658504385907256</v>
      </c>
      <c r="H189" s="382">
        <f t="shared" ca="1" si="32"/>
        <v>0.33110918280324558</v>
      </c>
      <c r="I189" s="825">
        <f t="shared" ca="1" si="33"/>
        <v>1</v>
      </c>
    </row>
    <row r="190" spans="1:9" s="64" customFormat="1">
      <c r="A190" s="849" t="s">
        <v>442</v>
      </c>
      <c r="B190" s="517">
        <f>HLOOKUP(GREET1_Import_Export!$B$374,$M$9:$Q$10,2,FALSE)/HLOOKUP(GREET1_Import_Export!$B$373,$M$5:$Q$6,2,FALSE)*HLOOKUP($B$3,$M$5:$Q$6,2,FALSE)/HLOOKUP($D$4,$M$9:$Q$10,2,FALSE)*(GREET1_Import_Export!$T382+GREET1_Import_Export!$U382)/Vehi_Inputs!$E$150</f>
        <v>1.5685868139625934</v>
      </c>
      <c r="C190" s="419">
        <f ca="1">HLOOKUP($B$3,$M$5:$Q$6,2,FALSE)/HLOOKUP($D$4,$M$9:$Q$10,2,FALSE)*Vehi_Sum!H319</f>
        <v>204.0485443212649</v>
      </c>
      <c r="D190" s="419">
        <f>HLOOKUP(GREET1_Import_Export!$B$374,$M$9:$Q$10,2,FALSE)/HLOOKUP(GREET1_Import_Export!$B$373,$M$5:$Q$6,2,FALSE)*HLOOKUP($B$3,$M$5:$Q$6,2,FALSE)/HLOOKUP($D$4,$M$9:$Q$10,2,FALSE)*GREET1_Import_Export!$V382/Vehi_Inputs!$E$150</f>
        <v>0</v>
      </c>
      <c r="E190" s="516">
        <f ca="1">SUM(TEC_Results!B190:D190)</f>
        <v>205.61713113522748</v>
      </c>
      <c r="F190" s="382">
        <f t="shared" ca="1" si="30"/>
        <v>7.6286776559049765E-3</v>
      </c>
      <c r="G190" s="382">
        <f t="shared" ca="1" si="31"/>
        <v>0.99237132234409509</v>
      </c>
      <c r="H190" s="382">
        <f t="shared" ca="1" si="32"/>
        <v>0</v>
      </c>
      <c r="I190" s="825">
        <f t="shared" ca="1" si="33"/>
        <v>1</v>
      </c>
    </row>
    <row r="191" spans="1:9" s="64" customFormat="1">
      <c r="A191" s="849" t="s">
        <v>878</v>
      </c>
      <c r="B191" s="517">
        <f>B189-B190-B192</f>
        <v>1113.03869573206</v>
      </c>
      <c r="C191" s="419">
        <f ca="1">C189-C190-C192</f>
        <v>430.85320029101047</v>
      </c>
      <c r="D191" s="419">
        <f>D189-D190-D192</f>
        <v>921.78524596503678</v>
      </c>
      <c r="E191" s="516">
        <f ca="1">E189-E190-E192</f>
        <v>2465.677141988107</v>
      </c>
      <c r="F191" s="382">
        <f t="shared" ca="1" si="30"/>
        <v>0.45141299190315026</v>
      </c>
      <c r="G191" s="382">
        <f t="shared" ca="1" si="31"/>
        <v>0.17474031492363515</v>
      </c>
      <c r="H191" s="382">
        <f t="shared" ca="1" si="32"/>
        <v>0.37384669317321473</v>
      </c>
      <c r="I191" s="825">
        <f t="shared" ca="1" si="33"/>
        <v>1</v>
      </c>
    </row>
    <row r="192" spans="1:9" s="64" customFormat="1">
      <c r="A192" s="849" t="s">
        <v>440</v>
      </c>
      <c r="B192" s="517">
        <f>HLOOKUP(GREET1_Import_Export!$B$374,$M$9:$Q$10,2,FALSE)/HLOOKUP(GREET1_Import_Export!$B$373,$M$5:$Q$6,2,FALSE)*HLOOKUP($B$3,$M$5:$Q$6,2,FALSE)/HLOOKUP($D$4,$M$9:$Q$10,2,FALSE)*(GREET1_Import_Export!$T384+GREET1_Import_Export!$U384)/Vehi_Inputs!$E$150</f>
        <v>7.4294769961177343</v>
      </c>
      <c r="C192" s="419">
        <f ca="1">HLOOKUP($B$3,$M$5:$Q$6,2,FALSE)/HLOOKUP($D$4,$M$9:$Q$10,2,FALSE)*Vehi_Sum!H321</f>
        <v>105.20763517464732</v>
      </c>
      <c r="D192" s="419">
        <f>HLOOKUP(GREET1_Import_Export!$B$374,$M$9:$Q$10,2,FALSE)/HLOOKUP(GREET1_Import_Export!$B$373,$M$5:$Q$6,2,FALSE)*HLOOKUP($B$3,$M$5:$Q$6,2,FALSE)/HLOOKUP($D$4,$M$9:$Q$10,2,FALSE)*GREET1_Import_Export!$V384/Vehi_Inputs!$E$150</f>
        <v>0</v>
      </c>
      <c r="E192" s="516">
        <f ca="1">SUM(TEC_Results!B192:D192)</f>
        <v>112.63711217076505</v>
      </c>
      <c r="F192" s="382">
        <f t="shared" ca="1" si="30"/>
        <v>6.5959405855986197E-2</v>
      </c>
      <c r="G192" s="382">
        <f t="shared" ca="1" si="31"/>
        <v>0.93404059414401386</v>
      </c>
      <c r="H192" s="382">
        <f t="shared" ca="1" si="32"/>
        <v>0</v>
      </c>
      <c r="I192" s="825">
        <f t="shared" ca="1" si="33"/>
        <v>1</v>
      </c>
    </row>
    <row r="193" spans="1:9" s="64" customFormat="1">
      <c r="A193" s="909" t="s">
        <v>819</v>
      </c>
      <c r="B193" s="347">
        <f>HLOOKUP(GREET1_Import_Export!$B$374,$M$9:$Q$10,2,FALSE)/HLOOKUP(GREET1_Import_Export!$B$373,$M$5:$Q$6,2,FALSE)*HLOOKUP($B$3,$M$5:$Q$6,2,FALSE)/HLOOKUP($D$4,$M$9:$Q$10,2,FALSE)*(GREET1_Import_Export!$T385+GREET1_Import_Export!$U385)/Vehi_Inputs!$E$150</f>
        <v>5.0758069049109747E-2</v>
      </c>
      <c r="C193" s="349">
        <f ca="1">HLOOKUP($B$3,$M$5:$Q$6,2,FALSE)/HLOOKUP($D$4,$M$9:$Q$10,2,FALSE)*Vehi_Sum!H322</f>
        <v>5.3923734327955004E-2</v>
      </c>
      <c r="D193" s="349">
        <f>HLOOKUP(GREET1_Import_Export!$B$374,$M$9:$Q$10,2,FALSE)/HLOOKUP(GREET1_Import_Export!$B$373,$M$5:$Q$6,2,FALSE)*HLOOKUP($B$3,$M$5:$Q$6,2,FALSE)/HLOOKUP($D$4,$M$9:$Q$10,2,FALSE)*GREET1_Import_Export!$V385/Vehi_Inputs!$E$150</f>
        <v>0</v>
      </c>
      <c r="E193" s="348">
        <f ca="1">SUM(TEC_Results!B193:D193)</f>
        <v>0.10468180337706476</v>
      </c>
      <c r="F193" s="382">
        <f t="shared" ca="1" si="30"/>
        <v>0.48487958185319702</v>
      </c>
      <c r="G193" s="382">
        <f t="shared" ca="1" si="31"/>
        <v>0.51512041814680287</v>
      </c>
      <c r="H193" s="382">
        <f t="shared" ca="1" si="32"/>
        <v>0</v>
      </c>
      <c r="I193" s="825">
        <f t="shared" ca="1" si="33"/>
        <v>1</v>
      </c>
    </row>
    <row r="194" spans="1:9" s="64" customFormat="1">
      <c r="A194" s="849" t="s">
        <v>1895</v>
      </c>
      <c r="B194" s="517">
        <f>HLOOKUP(GREET1_Import_Export!$B$374,$M$9:$Q$10,2,FALSE)/HLOOKUP(GREET1_Import_Export!$D$373,$M$7:$Q$8,2,FALSE)*HLOOKUP($D$3,$M$7:$Q$8,2,FALSE)/HLOOKUP($D$4,$M$9:$Q$10,2,FALSE)*(GREET1_Import_Export!$T386+GREET1_Import_Export!$U386)/Vehi_Inputs!$E$150</f>
        <v>121.68887949173464</v>
      </c>
      <c r="C194" s="419">
        <f ca="1">HLOOKUP($D$3,$M$7:$Q$8,2,FALSE)/HLOOKUP($D$4,$M$9:$Q$10,2,FALSE)*Vehi_Sum!H324</f>
        <v>52.247366447747481</v>
      </c>
      <c r="D194" s="419">
        <f>HLOOKUP(GREET1_Import_Export!$B$374,$M$9:$Q$10,2,FALSE)/HLOOKUP(GREET1_Import_Export!$D$373,$M$7:$Q$8,2,FALSE)*HLOOKUP($D$3,$M$7:$Q$8,2,FALSE)/HLOOKUP($D$4,$M$9:$Q$10,2,FALSE)*((GREET1_Import_Export!$V386-(GREET1_Import_Export!$V390*GREET1_Import_Export!$B$62+GREET1_Import_Export!$V391*GREET1_Import_Export!$B$63)/GREET1_Import_Export!$B$65)/Vehi_Inputs!$E$150+(GREET1_Import_Export!$V390*GREET1_Import_Export!$B$62+GREET1_Import_Export!$V391*GREET1_Import_Export!$B$63)/GREET1_Import_Export!$B$65)</f>
        <v>0</v>
      </c>
      <c r="E194" s="516">
        <f ca="1">SUM(TEC_Results!B194:D194)</f>
        <v>173.93624593948212</v>
      </c>
      <c r="F194" s="382">
        <f t="shared" ca="1" si="30"/>
        <v>0.69961771817286444</v>
      </c>
      <c r="G194" s="382">
        <f t="shared" ca="1" si="31"/>
        <v>0.30038228182713556</v>
      </c>
      <c r="H194" s="382">
        <f t="shared" ca="1" si="32"/>
        <v>0</v>
      </c>
      <c r="I194" s="825">
        <f t="shared" ca="1" si="33"/>
        <v>1</v>
      </c>
    </row>
    <row r="195" spans="1:9" s="64" customFormat="1">
      <c r="A195" s="849" t="s">
        <v>887</v>
      </c>
      <c r="B195" s="347">
        <f>HLOOKUP(GREET1_Import_Export!$B$374,$M$9:$Q$10,2,FALSE)/HLOOKUP(GREET1_Import_Export!$D$373,$M$7:$Q$8,2,FALSE)*HLOOKUP($D$3,$M$7:$Q$8,2,FALSE)/HLOOKUP($D$4,$M$9:$Q$10,2,FALSE)*(GREET1_Import_Export!$T387+GREET1_Import_Export!$U387)/Vehi_Inputs!$E$150</f>
        <v>0.34763607497591276</v>
      </c>
      <c r="C195" s="349">
        <f ca="1">HLOOKUP($D$3,$M$7:$Q$8,2,FALSE)/HLOOKUP($D$4,$M$9:$Q$10,2,FALSE)*Vehi_Sum!H325</f>
        <v>0.13103980018618444</v>
      </c>
      <c r="D195" s="349">
        <f>HLOOKUP(GREET1_Import_Export!$B$374,$M$9:$Q$10,2,FALSE)/HLOOKUP(GREET1_Import_Export!$D$373,$M$7:$Q$8,2,FALSE)*HLOOKUP($D$3,$M$7:$Q$8,2,FALSE)/HLOOKUP($D$4,$M$9:$Q$10,2,FALSE)*GREET1_Import_Export!$V387</f>
        <v>0</v>
      </c>
      <c r="E195" s="384">
        <f ca="1">SUM(TEC_Results!B195:D195)</f>
        <v>0.4786758751620972</v>
      </c>
      <c r="F195" s="382">
        <f t="shared" ca="1" si="30"/>
        <v>0.72624523819628561</v>
      </c>
      <c r="G195" s="382">
        <f t="shared" ca="1" si="31"/>
        <v>0.27375476180371439</v>
      </c>
      <c r="H195" s="382">
        <f t="shared" ca="1" si="32"/>
        <v>0</v>
      </c>
      <c r="I195" s="825">
        <f t="shared" ca="1" si="33"/>
        <v>1</v>
      </c>
    </row>
    <row r="196" spans="1:9" s="64" customFormat="1">
      <c r="A196" s="849" t="s">
        <v>888</v>
      </c>
      <c r="B196" s="347">
        <f>HLOOKUP(GREET1_Import_Export!$B$374,$M$9:$Q$10,2,FALSE)/HLOOKUP(GREET1_Import_Export!$D$373,$M$7:$Q$8,2,FALSE)*HLOOKUP($D$3,$M$7:$Q$8,2,FALSE)/HLOOKUP($D$4,$M$9:$Q$10,2,FALSE)*(GREET1_Import_Export!$T388+GREET1_Import_Export!$U388)/Vehi_Inputs!$E$150</f>
        <v>1.7274646029895901E-3</v>
      </c>
      <c r="C196" s="349">
        <f ca="1">HLOOKUP($D$3,$M$7:$Q$8,2,FALSE)/HLOOKUP($D$4,$M$9:$Q$10,2,FALSE)*Vehi_Sum!H326</f>
        <v>1.5205624232791286E-3</v>
      </c>
      <c r="D196" s="349">
        <f>HLOOKUP(GREET1_Import_Export!$B$374,$M$9:$Q$10,2,FALSE)/HLOOKUP(GREET1_Import_Export!$D$373,$M$7:$Q$8,2,FALSE)*HLOOKUP($D$3,$M$7:$Q$8,2,FALSE)/HLOOKUP($D$4,$M$9:$Q$10,2,FALSE)*GREET1_Import_Export!$V388</f>
        <v>0</v>
      </c>
      <c r="E196" s="384">
        <f ca="1">SUM(TEC_Results!B196:D196)</f>
        <v>3.2480270262687187E-3</v>
      </c>
      <c r="F196" s="382">
        <f t="shared" ca="1" si="30"/>
        <v>0.53185043998050519</v>
      </c>
      <c r="G196" s="382">
        <f t="shared" ca="1" si="31"/>
        <v>0.46814956001949476</v>
      </c>
      <c r="H196" s="382">
        <f t="shared" ca="1" si="32"/>
        <v>0</v>
      </c>
      <c r="I196" s="825">
        <f t="shared" ca="1" si="33"/>
        <v>1</v>
      </c>
    </row>
    <row r="197" spans="1:9" s="64" customFormat="1">
      <c r="A197" s="849" t="s">
        <v>1896</v>
      </c>
      <c r="B197" s="517">
        <f>HLOOKUP(GREET1_Import_Export!$B$374,$M$9:$Q$10,2,FALSE)/HLOOKUP(GREET1_Import_Export!$D$373,$M$7:$Q$8,2,FALSE)*HLOOKUP($D$3,$M$7:$Q$8,2,FALSE)/HLOOKUP($D$4,$M$9:$Q$10,2,FALSE)*(GREET1_Import_Export!$T389+GREET1_Import_Export!$U389)/Vehi_Inputs!$E$150</f>
        <v>132.57573986080425</v>
      </c>
      <c r="C197" s="419">
        <f ca="1">HLOOKUP($D$3,$M$7:$Q$8,2,FALSE)/HLOOKUP($D$4,$M$9:$Q$10,2,FALSE)*Vehi_Sum!H327</f>
        <v>57.054664312605247</v>
      </c>
      <c r="D197" s="158">
        <f>D194+SUMPRODUCT(D195:D196,GREET1_Import_Export!$B$51:$B$52)+SUMPRODUCT(D198:D200,GREET1_Import_Export!$B$55:$B$57)+SUMPRODUCT(D204:D205,GREET1_Import_Export!$B$58:$B$59)</f>
        <v>0</v>
      </c>
      <c r="E197" s="516">
        <f ca="1">SUM(TEC_Results!B197:D197)</f>
        <v>189.63040417340949</v>
      </c>
      <c r="F197" s="382">
        <f t="shared" ca="1" si="30"/>
        <v>0.69912702258214343</v>
      </c>
      <c r="G197" s="382">
        <f t="shared" ca="1" si="31"/>
        <v>0.30087297741785657</v>
      </c>
      <c r="H197" s="382">
        <f t="shared" ca="1" si="32"/>
        <v>0</v>
      </c>
      <c r="I197" s="825">
        <f t="shared" ca="1" si="33"/>
        <v>1</v>
      </c>
    </row>
    <row r="198" spans="1:9" s="64" customFormat="1">
      <c r="A198" s="849" t="s">
        <v>879</v>
      </c>
      <c r="B198" s="347">
        <f>HLOOKUP(GREET1_Import_Export!$B$374,$M$9:$Q$10,2,FALSE)/HLOOKUP(GREET1_Import_Export!$D$373,$M$7:$Q$8,2,FALSE)*HLOOKUP($D$3,$M$7:$Q$8,2,FALSE)/HLOOKUP($D$4,$M$9:$Q$10,2,FALSE)*(GREET1_Import_Export!$T390+GREET1_Import_Export!$U390)/Vehi_Inputs!$E$150</f>
        <v>1.7284969666512297E-2</v>
      </c>
      <c r="C198" s="349">
        <f ca="1">HLOOKUP($D$3,$M$7:$Q$8,2,FALSE)/HLOOKUP($D$4,$M$9:$Q$10,2,FALSE)*Vehi_Sum!H328</f>
        <v>0.18982983376634416</v>
      </c>
      <c r="D198" s="349">
        <f>HLOOKUP(GREET1_Import_Export!$B$374,$M$9:$Q$10,2,FALSE)/HLOOKUP(GREET1_Import_Export!$D$373,$M$7:$Q$8,2,FALSE)*HLOOKUP($D$3,$M$7:$Q$8,2,FALSE)/HLOOKUP($D$4,$M$9:$Q$10,2,FALSE)*GREET1_Import_Export!$V390</f>
        <v>0</v>
      </c>
      <c r="E198" s="384">
        <f ca="1">SUM(TEC_Results!B198:D198)</f>
        <v>0.20711480343285646</v>
      </c>
      <c r="F198" s="382">
        <f t="shared" ca="1" si="30"/>
        <v>8.3455983734720476E-2</v>
      </c>
      <c r="G198" s="382">
        <f t="shared" ca="1" si="31"/>
        <v>0.91654401626527948</v>
      </c>
      <c r="H198" s="382">
        <f t="shared" ca="1" si="32"/>
        <v>0</v>
      </c>
      <c r="I198" s="825">
        <f t="shared" ca="1" si="33"/>
        <v>1</v>
      </c>
    </row>
    <row r="199" spans="1:9" s="64" customFormat="1">
      <c r="A199" s="849" t="s">
        <v>880</v>
      </c>
      <c r="B199" s="347">
        <f>HLOOKUP(GREET1_Import_Export!$B$374,$M$9:$Q$10,2,FALSE)/HLOOKUP(GREET1_Import_Export!$D$373,$M$7:$Q$8,2,FALSE)*HLOOKUP($D$3,$M$7:$Q$8,2,FALSE)/HLOOKUP($D$4,$M$9:$Q$10,2,FALSE)*(GREET1_Import_Export!$T391+GREET1_Import_Export!$U391)/Vehi_Inputs!$E$150</f>
        <v>5.1403859501466302E-2</v>
      </c>
      <c r="C199" s="349">
        <f ca="1">HLOOKUP($D$3,$M$7:$Q$8,2,FALSE)/HLOOKUP($D$4,$M$9:$Q$10,2,FALSE)*Vehi_Sum!H329</f>
        <v>0.11256096029066151</v>
      </c>
      <c r="D199" s="349">
        <f>HLOOKUP(GREET1_Import_Export!$B$374,$M$9:$Q$10,2,FALSE)/HLOOKUP(GREET1_Import_Export!$D$373,$M$7:$Q$8,2,FALSE)*HLOOKUP($D$3,$M$7:$Q$8,2,FALSE)/HLOOKUP($D$4,$M$9:$Q$10,2,FALSE)*GREET1_Import_Export!$V391</f>
        <v>0</v>
      </c>
      <c r="E199" s="384">
        <f ca="1">SUM(TEC_Results!B199:D199)</f>
        <v>0.16396481979212782</v>
      </c>
      <c r="F199" s="382">
        <f t="shared" ca="1" si="30"/>
        <v>0.3135054188248147</v>
      </c>
      <c r="G199" s="382">
        <f t="shared" ca="1" si="31"/>
        <v>0.68649458117518525</v>
      </c>
      <c r="H199" s="382">
        <f t="shared" ca="1" si="32"/>
        <v>0</v>
      </c>
      <c r="I199" s="825">
        <f t="shared" ca="1" si="33"/>
        <v>1</v>
      </c>
    </row>
    <row r="200" spans="1:9" s="64" customFormat="1">
      <c r="A200" s="849" t="s">
        <v>881</v>
      </c>
      <c r="B200" s="347">
        <f>HLOOKUP(GREET1_Import_Export!$B$374,$M$9:$Q$10,2,FALSE)/HLOOKUP(GREET1_Import_Export!$D$373,$M$7:$Q$8,2,FALSE)*HLOOKUP($D$3,$M$7:$Q$8,2,FALSE)/HLOOKUP($D$4,$M$9:$Q$10,2,FALSE)*(GREET1_Import_Export!$T392+GREET1_Import_Export!$U392)/Vehi_Inputs!$E$150</f>
        <v>6.2455761813800886E-2</v>
      </c>
      <c r="C200" s="349">
        <f ca="1">HLOOKUP($D$3,$M$7:$Q$8,2,FALSE)/HLOOKUP($D$4,$M$9:$Q$10,2,FALSE)*Vehi_Sum!H330</f>
        <v>6.1241702343968696E-2</v>
      </c>
      <c r="D200" s="349">
        <f>HLOOKUP(GREET1_Import_Export!$B$374,$M$9:$Q$10,2,FALSE)/HLOOKUP(GREET1_Import_Export!$D$373,$M$7:$Q$8,2,FALSE)*HLOOKUP($D$3,$M$7:$Q$8,2,FALSE)/HLOOKUP($D$4,$M$9:$Q$10,2,FALSE)*GREET1_Import_Export!$V392</f>
        <v>0</v>
      </c>
      <c r="E200" s="384">
        <f ca="1">SUM(TEC_Results!B200:D200)</f>
        <v>0.12369746415776958</v>
      </c>
      <c r="F200" s="382">
        <f t="shared" ca="1" si="30"/>
        <v>0.50490737412483944</v>
      </c>
      <c r="G200" s="382">
        <f t="shared" ca="1" si="31"/>
        <v>0.49509262587516056</v>
      </c>
      <c r="H200" s="382">
        <f t="shared" ca="1" si="32"/>
        <v>0</v>
      </c>
      <c r="I200" s="825">
        <f t="shared" ca="1" si="33"/>
        <v>1</v>
      </c>
    </row>
    <row r="201" spans="1:9" s="64" customFormat="1">
      <c r="A201" s="849" t="s">
        <v>882</v>
      </c>
      <c r="B201" s="347">
        <f>HLOOKUP(GREET1_Import_Export!$B$374,$M$9:$Q$10,2,FALSE)/HLOOKUP(GREET1_Import_Export!$D$373,$M$7:$Q$8,2,FALSE)*HLOOKUP($D$3,$M$7:$Q$8,2,FALSE)/HLOOKUP($D$4,$M$9:$Q$10,2,FALSE)*(GREET1_Import_Export!$T393+GREET1_Import_Export!$U393)/Vehi_Inputs!$E$150</f>
        <v>5.5966666730186462E-3</v>
      </c>
      <c r="C201" s="349">
        <f ca="1">HLOOKUP($D$3,$M$7:$Q$8,2,FALSE)/HLOOKUP($D$4,$M$9:$Q$10,2,FALSE)*Vehi_Sum!H331</f>
        <v>2.9468416816225085E-2</v>
      </c>
      <c r="D201" s="349">
        <f>HLOOKUP(GREET1_Import_Export!$B$374,$M$9:$Q$10,2,FALSE)/HLOOKUP(GREET1_Import_Export!$D$373,$M$7:$Q$8,2,FALSE)*HLOOKUP($D$3,$M$7:$Q$8,2,FALSE)/HLOOKUP($D$4,$M$9:$Q$10,2,FALSE)*GREET1_Import_Export!$V393</f>
        <v>3.070061626177846E-2</v>
      </c>
      <c r="E201" s="348">
        <f ca="1">SUM(TEC_Results!B201:D201)</f>
        <v>6.57656997510222E-2</v>
      </c>
      <c r="F201" s="382">
        <f t="shared" ca="1" si="30"/>
        <v>8.5100085518844598E-2</v>
      </c>
      <c r="G201" s="382">
        <f t="shared" ca="1" si="31"/>
        <v>0.44808185616191298</v>
      </c>
      <c r="H201" s="382">
        <f t="shared" ca="1" si="32"/>
        <v>0.46681805831924228</v>
      </c>
      <c r="I201" s="825">
        <f t="shared" ca="1" si="33"/>
        <v>1</v>
      </c>
    </row>
    <row r="202" spans="1:9" s="64" customFormat="1">
      <c r="A202" s="849" t="s">
        <v>883</v>
      </c>
      <c r="B202" s="347">
        <f>HLOOKUP(GREET1_Import_Export!$B$374,$M$9:$Q$10,2,FALSE)/HLOOKUP(GREET1_Import_Export!$D$373,$M$7:$Q$8,2,FALSE)*HLOOKUP($D$3,$M$7:$Q$8,2,FALSE)/HLOOKUP($D$4,$M$9:$Q$10,2,FALSE)*(GREET1_Import_Export!$T394+GREET1_Import_Export!$U394)/Vehi_Inputs!$E$150</f>
        <v>5.3565927372781841E-3</v>
      </c>
      <c r="C202" s="349">
        <f ca="1">HLOOKUP($D$3,$M$7:$Q$8,2,FALSE)/HLOOKUP($D$4,$M$9:$Q$10,2,FALSE)*Vehi_Sum!H332</f>
        <v>1.1355752618607639E-2</v>
      </c>
      <c r="D202" s="349">
        <f>HLOOKUP(GREET1_Import_Export!$B$374,$M$9:$Q$10,2,FALSE)/HLOOKUP(GREET1_Import_Export!$D$373,$M$7:$Q$8,2,FALSE)*HLOOKUP($D$3,$M$7:$Q$8,2,FALSE)/HLOOKUP($D$4,$M$9:$Q$10,2,FALSE)*GREET1_Import_Export!$V394</f>
        <v>4.0514755732562798E-3</v>
      </c>
      <c r="E202" s="348">
        <f ca="1">SUM(TEC_Results!B202:D202)</f>
        <v>2.0763820929142106E-2</v>
      </c>
      <c r="F202" s="382">
        <f t="shared" ca="1" si="30"/>
        <v>0.25797721698515447</v>
      </c>
      <c r="G202" s="382">
        <f t="shared" ca="1" si="31"/>
        <v>0.5469009127635942</v>
      </c>
      <c r="H202" s="382">
        <f t="shared" ca="1" si="32"/>
        <v>0.19512187025125119</v>
      </c>
      <c r="I202" s="825">
        <f t="shared" ca="1" si="33"/>
        <v>1</v>
      </c>
    </row>
    <row r="203" spans="1:9" s="64" customFormat="1">
      <c r="A203" s="849" t="s">
        <v>884</v>
      </c>
      <c r="B203" s="347">
        <f>HLOOKUP(GREET1_Import_Export!$B$374,$M$9:$Q$10,2,FALSE)/HLOOKUP(GREET1_Import_Export!$D$373,$M$7:$Q$8,2,FALSE)*HLOOKUP($D$3,$M$7:$Q$8,2,FALSE)/HLOOKUP($D$4,$M$9:$Q$10,2,FALSE)*(GREET1_Import_Export!$T395+GREET1_Import_Export!$U395)/Vehi_Inputs!$E$150</f>
        <v>2.25778170620296E-2</v>
      </c>
      <c r="C203" s="349">
        <f ca="1">HLOOKUP($D$3,$M$7:$Q$8,2,FALSE)/HLOOKUP($D$4,$M$9:$Q$10,2,FALSE)*Vehi_Sum!H333</f>
        <v>0.42865872562760454</v>
      </c>
      <c r="D203" s="349">
        <f>HLOOKUP(GREET1_Import_Export!$B$374,$M$9:$Q$10,2,FALSE)/HLOOKUP(GREET1_Import_Export!$D$373,$M$7:$Q$8,2,FALSE)*HLOOKUP($D$3,$M$7:$Q$8,2,FALSE)/HLOOKUP($D$4,$M$9:$Q$10,2,FALSE)*GREET1_Import_Export!$V395/Vehi_Inputs!$E$150</f>
        <v>0</v>
      </c>
      <c r="E203" s="348">
        <f ca="1">SUM(TEC_Results!B203:D203)</f>
        <v>0.45123654268963415</v>
      </c>
      <c r="F203" s="382">
        <f t="shared" ca="1" si="30"/>
        <v>5.0035435799265247E-2</v>
      </c>
      <c r="G203" s="382">
        <f t="shared" ca="1" si="31"/>
        <v>0.94996456420073472</v>
      </c>
      <c r="H203" s="382">
        <f t="shared" ca="1" si="32"/>
        <v>0</v>
      </c>
      <c r="I203" s="825">
        <f t="shared" ca="1" si="33"/>
        <v>1</v>
      </c>
    </row>
    <row r="204" spans="1:9" s="64" customFormat="1">
      <c r="A204" s="909" t="s">
        <v>885</v>
      </c>
      <c r="B204" s="347">
        <f>HLOOKUP(GREET1_Import_Export!$B$374,$M$9:$Q$10,2,FALSE)/HLOOKUP(GREET1_Import_Export!$D$373,$M$7:$Q$8,2,FALSE)*HLOOKUP($D$3,$M$7:$Q$8,2,FALSE)/HLOOKUP($D$4,$M$9:$Q$10,2,FALSE)*(GREET1_Import_Export!$T396+GREET1_Import_Export!$U396)/Vehi_Inputs!$E$150</f>
        <v>3.1408403009944281E-4</v>
      </c>
      <c r="C204" s="349">
        <f ca="1">HLOOKUP($D$3,$M$7:$Q$8,2,FALSE)/HLOOKUP($D$4,$M$9:$Q$10,2,FALSE)*Vehi_Sum!H334</f>
        <v>4.3973523491275799E-4</v>
      </c>
      <c r="D204" s="349">
        <f>HLOOKUP(GREET1_Import_Export!$B$374,$M$9:$Q$10,2,FALSE)/HLOOKUP(GREET1_Import_Export!$D$373,$M$7:$Q$8,2,FALSE)*HLOOKUP($D$3,$M$7:$Q$8,2,FALSE)/HLOOKUP($D$4,$M$9:$Q$10,2,FALSE)*GREET1_Import_Export!$V396</f>
        <v>5.7926606569309554E-4</v>
      </c>
      <c r="E204" s="348">
        <f ca="1">SUM(TEC_Results!B204:D204)</f>
        <v>1.3330853307052964E-3</v>
      </c>
      <c r="F204" s="382">
        <f t="shared" ca="1" si="30"/>
        <v>0.2356068459123094</v>
      </c>
      <c r="G204" s="382">
        <f t="shared" ca="1" si="31"/>
        <v>0.3298627813120612</v>
      </c>
      <c r="H204" s="382">
        <f t="shared" ca="1" si="32"/>
        <v>0.43453037277562934</v>
      </c>
      <c r="I204" s="825">
        <f t="shared" ca="1" si="33"/>
        <v>1</v>
      </c>
    </row>
    <row r="205" spans="1:9" s="64" customFormat="1">
      <c r="A205" s="909" t="s">
        <v>886</v>
      </c>
      <c r="B205" s="347">
        <f>HLOOKUP(GREET1_Import_Export!$B$374,$M$9:$Q$10,2,FALSE)/HLOOKUP(GREET1_Import_Export!$D$373,$M$7:$Q$8,2,FALSE)*HLOOKUP($D$3,$M$7:$Q$8,2,FALSE)/HLOOKUP($D$4,$M$9:$Q$10,2,FALSE)*(GREET1_Import_Export!$T397+GREET1_Import_Export!$U397)/Vehi_Inputs!$E$150</f>
        <v>3.4390183423803587E-3</v>
      </c>
      <c r="C205" s="349">
        <f ca="1">HLOOKUP($D$3,$M$7:$Q$8,2,FALSE)/HLOOKUP($D$4,$M$9:$Q$10,2,FALSE)*Vehi_Sum!H335</f>
        <v>9.6016847609511262E-4</v>
      </c>
      <c r="D205" s="349">
        <f>HLOOKUP(GREET1_Import_Export!$B$374,$M$9:$Q$10,2,FALSE)/HLOOKUP(GREET1_Import_Export!$D$373,$M$7:$Q$8,2,FALSE)*HLOOKUP($D$3,$M$7:$Q$8,2,FALSE)/HLOOKUP($D$4,$M$9:$Q$10,2,FALSE)*GREET1_Import_Export!$V397</f>
        <v>7.242161151725634E-4</v>
      </c>
      <c r="E205" s="348">
        <f ca="1">SUM(TEC_Results!B205:D205)</f>
        <v>5.1234029336480347E-3</v>
      </c>
      <c r="F205" s="382">
        <f t="shared" ca="1" si="30"/>
        <v>0.67123714197736584</v>
      </c>
      <c r="G205" s="382">
        <f t="shared" ca="1" si="31"/>
        <v>0.18740834725084574</v>
      </c>
      <c r="H205" s="382">
        <f t="shared" ca="1" si="32"/>
        <v>0.1413545107717884</v>
      </c>
      <c r="I205" s="825">
        <f t="shared" ca="1" si="33"/>
        <v>1</v>
      </c>
    </row>
    <row r="206" spans="1:9" s="64" customFormat="1">
      <c r="A206" s="849" t="s">
        <v>890</v>
      </c>
      <c r="B206" s="347">
        <f>HLOOKUP(GREET1_Import_Export!$B$374,$M$9:$Q$10,2,FALSE)/HLOOKUP(GREET1_Import_Export!$D$373,$M$7:$Q$8,2,FALSE)*HLOOKUP($D$3,$M$7:$Q$8,2,FALSE)/HLOOKUP($D$4,$M$9:$Q$10,2,FALSE)*(GREET1_Import_Export!$T398+GREET1_Import_Export!$U398)/Vehi_Inputs!$E$150</f>
        <v>1.0770320138275579E-3</v>
      </c>
      <c r="C206" s="377">
        <f ca="1">HLOOKUP($D$3,$M$7:$Q$8,2,FALSE)/HLOOKUP($D$4,$M$9:$Q$10,2,FALSE)*Vehi_Sum!H336</f>
        <v>0.11077184263674171</v>
      </c>
      <c r="D206" s="377">
        <f>HLOOKUP(GREET1_Import_Export!$B$374,$M$9:$Q$10,2,FALSE)/HLOOKUP(GREET1_Import_Export!$D$373,$M$7:$Q$8,2,FALSE)*HLOOKUP($D$3,$M$7:$Q$8,2,FALSE)/HLOOKUP($D$4,$M$9:$Q$10,2,FALSE)*GREET1_Import_Export!$V398</f>
        <v>0</v>
      </c>
      <c r="E206" s="384">
        <f ca="1">SUM(TEC_Results!B206:D206)</f>
        <v>0.11184887465056927</v>
      </c>
      <c r="F206" s="382">
        <f t="shared" ca="1" si="30"/>
        <v>9.6293504712707118E-3</v>
      </c>
      <c r="G206" s="382">
        <f t="shared" ca="1" si="31"/>
        <v>0.99037064952872933</v>
      </c>
      <c r="H206" s="382">
        <f t="shared" ca="1" si="32"/>
        <v>0</v>
      </c>
      <c r="I206" s="825">
        <f t="shared" ca="1" si="33"/>
        <v>1</v>
      </c>
    </row>
    <row r="207" spans="1:9" s="64" customFormat="1">
      <c r="A207" s="849" t="s">
        <v>891</v>
      </c>
      <c r="B207" s="347">
        <f>HLOOKUP(GREET1_Import_Export!$B$374,$M$9:$Q$10,2,FALSE)/HLOOKUP(GREET1_Import_Export!$D$373,$M$7:$Q$8,2,FALSE)*HLOOKUP($D$3,$M$7:$Q$8,2,FALSE)/HLOOKUP($D$4,$M$9:$Q$10,2,FALSE)*(GREET1_Import_Export!$T399+GREET1_Import_Export!$U399)/Vehi_Inputs!$E$150</f>
        <v>6.0636513157080723E-3</v>
      </c>
      <c r="C207" s="377">
        <f ca="1">HLOOKUP($D$3,$M$7:$Q$8,2,FALSE)/HLOOKUP($D$4,$M$9:$Q$10,2,FALSE)*Vehi_Sum!H337</f>
        <v>2.0110136220105783E-3</v>
      </c>
      <c r="D207" s="377">
        <f>HLOOKUP(GREET1_Import_Export!$B$374,$M$9:$Q$10,2,FALSE)/HLOOKUP(GREET1_Import_Export!$D$373,$M$7:$Q$8,2,FALSE)*HLOOKUP($D$3,$M$7:$Q$8,2,FALSE)/HLOOKUP($D$4,$M$9:$Q$10,2,FALSE)*GREET1_Import_Export!$V399</f>
        <v>0</v>
      </c>
      <c r="E207" s="384">
        <f ca="1">SUM(TEC_Results!B207:D207)</f>
        <v>8.0746649377186515E-3</v>
      </c>
      <c r="F207" s="382">
        <f t="shared" ca="1" si="30"/>
        <v>0.75094773126539738</v>
      </c>
      <c r="G207" s="382">
        <f t="shared" ca="1" si="31"/>
        <v>0.24905226873460254</v>
      </c>
      <c r="H207" s="382">
        <f t="shared" ca="1" si="32"/>
        <v>0</v>
      </c>
      <c r="I207" s="825">
        <f t="shared" ca="1" si="33"/>
        <v>1</v>
      </c>
    </row>
    <row r="208" spans="1:9" s="64" customFormat="1">
      <c r="A208" s="849" t="s">
        <v>892</v>
      </c>
      <c r="B208" s="347">
        <f>HLOOKUP(GREET1_Import_Export!$B$374,$M$9:$Q$10,2,FALSE)/HLOOKUP(GREET1_Import_Export!$D$373,$M$7:$Q$8,2,FALSE)*HLOOKUP($D$3,$M$7:$Q$8,2,FALSE)/HLOOKUP($D$4,$M$9:$Q$10,2,FALSE)*(GREET1_Import_Export!$T400+GREET1_Import_Export!$U400)/Vehi_Inputs!$E$150</f>
        <v>8.0935907460075174E-3</v>
      </c>
      <c r="C208" s="377">
        <f ca="1">HLOOKUP($D$3,$M$7:$Q$8,2,FALSE)/HLOOKUP($D$4,$M$9:$Q$10,2,FALSE)*Vehi_Sum!H338</f>
        <v>4.4484763726142119E-3</v>
      </c>
      <c r="D208" s="377">
        <f>HLOOKUP(GREET1_Import_Export!$B$374,$M$9:$Q$10,2,FALSE)/HLOOKUP(GREET1_Import_Export!$D$373,$M$7:$Q$8,2,FALSE)*HLOOKUP($D$3,$M$7:$Q$8,2,FALSE)/HLOOKUP($D$4,$M$9:$Q$10,2,FALSE)*GREET1_Import_Export!$V400</f>
        <v>0</v>
      </c>
      <c r="E208" s="384">
        <f ca="1">SUM(TEC_Results!B208:D208)</f>
        <v>1.2542067118621729E-2</v>
      </c>
      <c r="F208" s="382">
        <f t="shared" ca="1" si="30"/>
        <v>0.64531553446964307</v>
      </c>
      <c r="G208" s="382">
        <f t="shared" ca="1" si="31"/>
        <v>0.35468446553035693</v>
      </c>
      <c r="H208" s="382">
        <f t="shared" ca="1" si="32"/>
        <v>0</v>
      </c>
      <c r="I208" s="825">
        <f t="shared" ca="1" si="33"/>
        <v>1</v>
      </c>
    </row>
    <row r="209" spans="1:9" s="64" customFormat="1">
      <c r="A209" s="849" t="s">
        <v>893</v>
      </c>
      <c r="B209" s="347">
        <f>HLOOKUP(GREET1_Import_Export!$B$374,$M$9:$Q$10,2,FALSE)/HLOOKUP(GREET1_Import_Export!$D$373,$M$7:$Q$8,2,FALSE)*HLOOKUP($D$3,$M$7:$Q$8,2,FALSE)/HLOOKUP($D$4,$M$9:$Q$10,2,FALSE)*(GREET1_Import_Export!$T401+GREET1_Import_Export!$U401)/Vehi_Inputs!$E$150</f>
        <v>1.5405511923000368E-3</v>
      </c>
      <c r="C209" s="377">
        <f ca="1">HLOOKUP($D$3,$M$7:$Q$8,2,FALSE)/HLOOKUP($D$4,$M$9:$Q$10,2,FALSE)*Vehi_Sum!H339</f>
        <v>4.8068127542847365E-4</v>
      </c>
      <c r="D209" s="377">
        <f>HLOOKUP(GREET1_Import_Export!$B$374,$M$9:$Q$10,2,FALSE)/HLOOKUP(GREET1_Import_Export!$D$373,$M$7:$Q$8,2,FALSE)*HLOOKUP($D$3,$M$7:$Q$8,2,FALSE)/HLOOKUP($D$4,$M$9:$Q$10,2,FALSE)*GREET1_Import_Export!$V401</f>
        <v>2.1490431383244919E-2</v>
      </c>
      <c r="E209" s="384">
        <f ca="1">SUM(TEC_Results!B209:D209)</f>
        <v>2.3511663850973429E-2</v>
      </c>
      <c r="F209" s="382">
        <f t="shared" ca="1" si="30"/>
        <v>6.5522848662037794E-2</v>
      </c>
      <c r="G209" s="382">
        <f t="shared" ca="1" si="31"/>
        <v>2.0444375118461575E-2</v>
      </c>
      <c r="H209" s="382">
        <f t="shared" ca="1" si="32"/>
        <v>0.91403277621950063</v>
      </c>
      <c r="I209" s="825">
        <f t="shared" ca="1" si="33"/>
        <v>1</v>
      </c>
    </row>
    <row r="210" spans="1:9" s="64" customFormat="1">
      <c r="A210" s="849" t="s">
        <v>894</v>
      </c>
      <c r="B210" s="347">
        <f>HLOOKUP(GREET1_Import_Export!$B$374,$M$9:$Q$10,2,FALSE)/HLOOKUP(GREET1_Import_Export!$D$373,$M$7:$Q$8,2,FALSE)*HLOOKUP($D$3,$M$7:$Q$8,2,FALSE)/HLOOKUP($D$4,$M$9:$Q$10,2,FALSE)*(GREET1_Import_Export!$T402+GREET1_Import_Export!$U402)/Vehi_Inputs!$E$150</f>
        <v>1.4867481254807961E-3</v>
      </c>
      <c r="C210" s="377">
        <f ca="1">HLOOKUP($D$3,$M$7:$Q$8,2,FALSE)/HLOOKUP($D$4,$M$9:$Q$10,2,FALSE)*Vehi_Sum!H340</f>
        <v>4.1246387544454239E-4</v>
      </c>
      <c r="D210" s="377">
        <f>HLOOKUP(GREET1_Import_Export!$B$374,$M$9:$Q$10,2,FALSE)/HLOOKUP(GREET1_Import_Export!$D$373,$M$7:$Q$8,2,FALSE)*HLOOKUP($D$3,$M$7:$Q$8,2,FALSE)/HLOOKUP($D$4,$M$9:$Q$10,2,FALSE)*GREET1_Import_Export!$V402</f>
        <v>2.8360329012793958E-3</v>
      </c>
      <c r="E210" s="384">
        <f ca="1">SUM(TEC_Results!B210:D210)</f>
        <v>4.7352449022047341E-3</v>
      </c>
      <c r="F210" s="382">
        <f t="shared" ca="1" si="30"/>
        <v>0.31397491707103997</v>
      </c>
      <c r="G210" s="382">
        <f t="shared" ca="1" si="31"/>
        <v>8.7105077765354616E-2</v>
      </c>
      <c r="H210" s="382">
        <f t="shared" ca="1" si="32"/>
        <v>0.59892000516360544</v>
      </c>
      <c r="I210" s="825">
        <f t="shared" ca="1" si="33"/>
        <v>1</v>
      </c>
    </row>
    <row r="211" spans="1:9" s="64" customFormat="1">
      <c r="A211" s="849" t="s">
        <v>895</v>
      </c>
      <c r="B211" s="347">
        <f>HLOOKUP(GREET1_Import_Export!$B$374,$M$9:$Q$10,2,FALSE)/HLOOKUP(GREET1_Import_Export!$D$373,$M$7:$Q$8,2,FALSE)*HLOOKUP($D$3,$M$7:$Q$8,2,FALSE)/HLOOKUP($D$4,$M$9:$Q$10,2,FALSE)*(GREET1_Import_Export!$T403+GREET1_Import_Export!$U403)/Vehi_Inputs!$E$150</f>
        <v>9.0363555224951702E-4</v>
      </c>
      <c r="C211" s="377">
        <f ca="1">HLOOKUP($D$3,$M$7:$Q$8,2,FALSE)/HLOOKUP($D$4,$M$9:$Q$10,2,FALSE)*Vehi_Sum!H341</f>
        <v>4.0351823918759145E-3</v>
      </c>
      <c r="D211" s="377">
        <f>HLOOKUP(GREET1_Import_Export!$B$374,$M$9:$Q$10,2,FALSE)/HLOOKUP(GREET1_Import_Export!$D$373,$M$7:$Q$8,2,FALSE)*HLOOKUP($D$3,$M$7:$Q$8,2,FALSE)/HLOOKUP($D$4,$M$9:$Q$10,2,FALSE)*GREET1_Import_Export!$V403/Vehi_Inputs!$E$150</f>
        <v>0</v>
      </c>
      <c r="E211" s="384">
        <f ca="1">SUM(TEC_Results!B211:D211)</f>
        <v>4.9388179441254313E-3</v>
      </c>
      <c r="F211" s="382">
        <f t="shared" ca="1" si="30"/>
        <v>0.18296595713238692</v>
      </c>
      <c r="G211" s="382">
        <f t="shared" ca="1" si="31"/>
        <v>0.81703404286761316</v>
      </c>
      <c r="H211" s="382">
        <f t="shared" ca="1" si="32"/>
        <v>0</v>
      </c>
      <c r="I211" s="825">
        <f t="shared" ca="1" si="33"/>
        <v>1</v>
      </c>
    </row>
    <row r="212" spans="1:9" s="64" customFormat="1">
      <c r="A212" s="909" t="s">
        <v>896</v>
      </c>
      <c r="B212" s="347">
        <f>HLOOKUP(GREET1_Import_Export!$B$374,$M$9:$Q$10,2,FALSE)/HLOOKUP(GREET1_Import_Export!$D$373,$M$7:$Q$8,2,FALSE)*HLOOKUP($D$3,$M$7:$Q$8,2,FALSE)/HLOOKUP($D$4,$M$9:$Q$10,2,FALSE)*(GREET1_Import_Export!$T404+GREET1_Import_Export!$U404)/Vehi_Inputs!$E$150</f>
        <v>4.5892511176309337E-5</v>
      </c>
      <c r="C212" s="377">
        <f ca="1">HLOOKUP($D$3,$M$7:$Q$8,2,FALSE)/HLOOKUP($D$4,$M$9:$Q$10,2,FALSE)*Vehi_Sum!H342</f>
        <v>2.3597920361647731E-5</v>
      </c>
      <c r="D212" s="377">
        <f>HLOOKUP(GREET1_Import_Export!$B$374,$M$9:$Q$10,2,FALSE)/HLOOKUP(GREET1_Import_Export!$D$373,$M$7:$Q$8,2,FALSE)*HLOOKUP($D$3,$M$7:$Q$8,2,FALSE)/HLOOKUP($D$4,$M$9:$Q$10,2,FALSE)*GREET1_Import_Export!$V404</f>
        <v>4.0548624598516685E-4</v>
      </c>
      <c r="E212" s="384">
        <f ca="1">SUM(TEC_Results!B212:D212)</f>
        <v>4.7497667752312392E-4</v>
      </c>
      <c r="F212" s="382">
        <f t="shared" ca="1" si="30"/>
        <v>9.6620557067404828E-2</v>
      </c>
      <c r="G212" s="382">
        <f t="shared" ca="1" si="31"/>
        <v>4.968227173743469E-2</v>
      </c>
      <c r="H212" s="382">
        <f t="shared" ca="1" si="32"/>
        <v>0.85369717119516042</v>
      </c>
      <c r="I212" s="825">
        <f t="shared" ca="1" si="33"/>
        <v>1</v>
      </c>
    </row>
    <row r="213" spans="1:9" s="64" customFormat="1">
      <c r="A213" s="910" t="s">
        <v>897</v>
      </c>
      <c r="B213" s="503">
        <f>HLOOKUP(GREET1_Import_Export!$B$374,$M$9:$Q$10,2,FALSE)/HLOOKUP(GREET1_Import_Export!$D$373,$M$7:$Q$8,2,FALSE)*HLOOKUP($D$3,$M$7:$Q$8,2,FALSE)/HLOOKUP($D$4,$M$9:$Q$10,2,FALSE)*(GREET1_Import_Export!$T405+GREET1_Import_Export!$U405)/Vehi_Inputs!$E$150</f>
        <v>1.0039392925514676E-3</v>
      </c>
      <c r="C213" s="386">
        <f ca="1">HLOOKUP($D$3,$M$7:$Q$8,2,FALSE)/HLOOKUP($D$4,$M$9:$Q$10,2,FALSE)*Vehi_Sum!H343</f>
        <v>9.3999447003985414E-5</v>
      </c>
      <c r="D213" s="386">
        <f>HLOOKUP(GREET1_Import_Export!$B$374,$M$9:$Q$10,2,FALSE)/HLOOKUP(GREET1_Import_Export!$D$373,$M$7:$Q$8,2,FALSE)*HLOOKUP($D$3,$M$7:$Q$8,2,FALSE)/HLOOKUP($D$4,$M$9:$Q$10,2,FALSE)*GREET1_Import_Export!$V405</f>
        <v>5.0695128062079435E-4</v>
      </c>
      <c r="E213" s="388">
        <f ca="1">SUM(TEC_Results!B213:D213)</f>
        <v>1.6048900201762473E-3</v>
      </c>
      <c r="F213" s="368">
        <f t="shared" ca="1" si="30"/>
        <v>0.62555021212058881</v>
      </c>
      <c r="G213" s="368">
        <f t="shared" ca="1" si="31"/>
        <v>5.8570647098710536E-2</v>
      </c>
      <c r="H213" s="368">
        <f t="shared" ca="1" si="32"/>
        <v>0.31587914078070067</v>
      </c>
      <c r="I213" s="826">
        <f t="shared" ca="1" si="33"/>
        <v>1</v>
      </c>
    </row>
    <row r="214" spans="1:9" s="64" customFormat="1">
      <c r="F214" s="382"/>
      <c r="G214" s="382"/>
      <c r="H214" s="382"/>
    </row>
    <row r="215" spans="1:9" s="64" customFormat="1">
      <c r="A215" s="111" t="s">
        <v>1941</v>
      </c>
      <c r="B215" s="463"/>
      <c r="C215" s="463"/>
      <c r="D215" s="463"/>
      <c r="E215" s="463"/>
      <c r="F215" s="463"/>
      <c r="G215" s="463"/>
      <c r="H215" s="463"/>
    </row>
    <row r="216" spans="1:9" s="64" customFormat="1">
      <c r="A216" s="393"/>
      <c r="B216" s="3060" t="str">
        <f>$B$3&amp;"/"&amp;$D$4&amp;" or "&amp;$D$3&amp;"/"&amp;$D$4</f>
        <v>Btu/mile or g/mile</v>
      </c>
      <c r="C216" s="3061"/>
      <c r="D216" s="3061"/>
      <c r="E216" s="3062"/>
      <c r="F216" s="3005" t="s">
        <v>1890</v>
      </c>
      <c r="G216" s="3005"/>
      <c r="H216" s="3005"/>
      <c r="I216" s="3135"/>
    </row>
    <row r="217" spans="1:9" s="64" customFormat="1" ht="25.5">
      <c r="A217" s="908" t="s">
        <v>1923</v>
      </c>
      <c r="B217" s="1225" t="s">
        <v>1924</v>
      </c>
      <c r="C217" s="1658" t="s">
        <v>1925</v>
      </c>
      <c r="D217" s="1658" t="s">
        <v>1926</v>
      </c>
      <c r="E217" s="1226" t="s">
        <v>1894</v>
      </c>
      <c r="F217" s="1658" t="s">
        <v>1924</v>
      </c>
      <c r="G217" s="1658" t="s">
        <v>1925</v>
      </c>
      <c r="H217" s="1658" t="s">
        <v>1926</v>
      </c>
      <c r="I217" s="1226" t="s">
        <v>1894</v>
      </c>
    </row>
    <row r="218" spans="1:9" s="64" customFormat="1">
      <c r="A218" s="1103" t="s">
        <v>876</v>
      </c>
      <c r="B218" s="517">
        <f>HLOOKUP(GREET1_Import_Export!$B$374,$M$9:$Q$10,2,FALSE)/HLOOKUP(GREET1_Import_Export!$B$373,$M$5:$Q$6,2,FALSE)*HLOOKUP($B$3,$M$5:$Q$6,2,FALSE)/HLOOKUP($D$4,$M$9:$Q$10,2,FALSE)*(GREET1_Import_Export!$T380+GREET1_Import_Export!$U380)/Vehi_Inputs!$E$150/Vehi_Inputs!$E$154</f>
        <v>1030.7293735499743</v>
      </c>
      <c r="C218" s="419">
        <f ca="1">HLOOKUP($B$3,$M$5:$Q$6,2,FALSE)/HLOOKUP($D$4,$M$9:$Q$10,2,FALSE)*Vehi_Sum!I317</f>
        <v>997.49507622654869</v>
      </c>
      <c r="D218" s="419">
        <f>HLOOKUP(GREET1_Import_Export!$B$374,$M$9:$Q$10,2,FALSE)/HLOOKUP(GREET1_Import_Export!$B$373,$M$5:$Q$6,2,FALSE)*HLOOKUP($B$3,$M$5:$Q$6,2,FALSE)/HLOOKUP($D$4,$M$9:$Q$10,2,FALSE)*GREET1_Import_Export!$V380/Vehi_Inputs!$E$150/Vehi_Inputs!$E$154</f>
        <v>845.87787519587494</v>
      </c>
      <c r="E218" s="516">
        <f ca="1">SUM(B218:D218)</f>
        <v>2874.102324972398</v>
      </c>
      <c r="F218" s="382">
        <f t="shared" ref="F218:F243" ca="1" si="34">B218/$E218</f>
        <v>0.35862654039635594</v>
      </c>
      <c r="G218" s="382">
        <f t="shared" ref="G218:G243" ca="1" si="35">C218/$E218</f>
        <v>0.34706317432039524</v>
      </c>
      <c r="H218" s="382">
        <f t="shared" ref="H218:H243" ca="1" si="36">D218/$E218</f>
        <v>0.29431028528324876</v>
      </c>
      <c r="I218" s="1104">
        <f t="shared" ref="I218:I243" ca="1" si="37">E218/$E218</f>
        <v>1</v>
      </c>
    </row>
    <row r="219" spans="1:9" s="64" customFormat="1">
      <c r="A219" s="849" t="s">
        <v>877</v>
      </c>
      <c r="B219" s="517">
        <f>HLOOKUP(GREET1_Import_Export!$B$374,$M$9:$Q$10,2,FALSE)/HLOOKUP(GREET1_Import_Export!$B$373,$M$5:$Q$6,2,FALSE)*HLOOKUP($B$3,$M$5:$Q$6,2,FALSE)/HLOOKUP($D$4,$M$9:$Q$10,2,FALSE)*(GREET1_Import_Export!$T381+GREET1_Import_Export!$U381)/Vehi_Inputs!$E$150/Vehi_Inputs!$E$154</f>
        <v>1029.6390338288948</v>
      </c>
      <c r="C219" s="419">
        <f ca="1">HLOOKUP($B$3,$M$5:$Q$6,2,FALSE)/HLOOKUP($D$4,$M$9:$Q$10,2,FALSE)*Vehi_Sum!I318</f>
        <v>890.61208904358944</v>
      </c>
      <c r="D219" s="419">
        <f>HLOOKUP(GREET1_Import_Export!$B$374,$M$9:$Q$10,2,FALSE)/HLOOKUP(GREET1_Import_Export!$B$373,$M$5:$Q$6,2,FALSE)*HLOOKUP($B$3,$M$5:$Q$6,2,FALSE)/HLOOKUP($D$4,$M$9:$Q$10,2,FALSE)*GREET1_Import_Export!$V381/Vehi_Inputs!$E$150/Vehi_Inputs!$E$154</f>
        <v>845.87787519587494</v>
      </c>
      <c r="E219" s="516">
        <f ca="1">SUM(B219:D219)</f>
        <v>2766.1289980683591</v>
      </c>
      <c r="F219" s="382">
        <f t="shared" ca="1" si="34"/>
        <v>0.37223102557686621</v>
      </c>
      <c r="G219" s="382">
        <f t="shared" ca="1" si="35"/>
        <v>0.32197055512071959</v>
      </c>
      <c r="H219" s="382">
        <f t="shared" ca="1" si="36"/>
        <v>0.30579841930241419</v>
      </c>
      <c r="I219" s="825">
        <f t="shared" ca="1" si="37"/>
        <v>1</v>
      </c>
    </row>
    <row r="220" spans="1:9" s="64" customFormat="1">
      <c r="A220" s="849" t="s">
        <v>442</v>
      </c>
      <c r="B220" s="517">
        <f>HLOOKUP(GREET1_Import_Export!$B$374,$M$9:$Q$10,2,FALSE)/HLOOKUP(GREET1_Import_Export!$B$373,$M$5:$Q$6,2,FALSE)*HLOOKUP($B$3,$M$5:$Q$6,2,FALSE)/HLOOKUP($D$4,$M$9:$Q$10,2,FALSE)*(GREET1_Import_Export!$T382+GREET1_Import_Export!$U382)/Vehi_Inputs!$E$150/Vehi_Inputs!$E$154</f>
        <v>1.4394164878022708</v>
      </c>
      <c r="C220" s="419">
        <f ca="1">HLOOKUP($B$3,$M$5:$Q$6,2,FALSE)/HLOOKUP($D$4,$M$9:$Q$10,2,FALSE)*Vehi_Sum!I319</f>
        <v>180.96846372252699</v>
      </c>
      <c r="D220" s="419">
        <f>HLOOKUP(GREET1_Import_Export!$B$374,$M$9:$Q$10,2,FALSE)/HLOOKUP(GREET1_Import_Export!$B$373,$M$5:$Q$6,2,FALSE)*HLOOKUP($B$3,$M$5:$Q$6,2,FALSE)/HLOOKUP($D$4,$M$9:$Q$10,2,FALSE)*GREET1_Import_Export!$V382/Vehi_Inputs!$E$150/Vehi_Inputs!$E$154</f>
        <v>0</v>
      </c>
      <c r="E220" s="516">
        <f ca="1">SUM(B220:D220)</f>
        <v>182.40788021032927</v>
      </c>
      <c r="F220" s="382">
        <f t="shared" ca="1" si="34"/>
        <v>7.8911968394266806E-3</v>
      </c>
      <c r="G220" s="382">
        <f t="shared" ca="1" si="35"/>
        <v>0.99210880316057326</v>
      </c>
      <c r="H220" s="382">
        <f t="shared" ca="1" si="36"/>
        <v>0</v>
      </c>
      <c r="I220" s="825">
        <f t="shared" ca="1" si="37"/>
        <v>1</v>
      </c>
    </row>
    <row r="221" spans="1:9" s="64" customFormat="1">
      <c r="A221" s="849" t="s">
        <v>878</v>
      </c>
      <c r="B221" s="517">
        <f>B219-B220-B222</f>
        <v>1021.3819445232624</v>
      </c>
      <c r="C221" s="419">
        <f ca="1">C219-C220-C222</f>
        <v>545.77981385471548</v>
      </c>
      <c r="D221" s="419">
        <f>D219-D220-D222</f>
        <v>845.87787519587494</v>
      </c>
      <c r="E221" s="516">
        <f ca="1">E219-E220-E222</f>
        <v>2413.0396335738528</v>
      </c>
      <c r="F221" s="382">
        <f t="shared" ca="1" si="34"/>
        <v>0.42327607483617496</v>
      </c>
      <c r="G221" s="382">
        <f t="shared" ca="1" si="35"/>
        <v>0.22617938232799917</v>
      </c>
      <c r="H221" s="382">
        <f t="shared" ca="1" si="36"/>
        <v>0.35054454283582581</v>
      </c>
      <c r="I221" s="825">
        <f t="shared" ca="1" si="37"/>
        <v>1</v>
      </c>
    </row>
    <row r="222" spans="1:9" s="64" customFormat="1">
      <c r="A222" s="849" t="s">
        <v>440</v>
      </c>
      <c r="B222" s="517">
        <f>HLOOKUP(GREET1_Import_Export!$B$374,$M$9:$Q$10,2,FALSE)/HLOOKUP(GREET1_Import_Export!$B$373,$M$5:$Q$6,2,FALSE)*HLOOKUP($B$3,$M$5:$Q$6,2,FALSE)/HLOOKUP($D$4,$M$9:$Q$10,2,FALSE)*(GREET1_Import_Export!$T384+GREET1_Import_Export!$U384)/Vehi_Inputs!$E$150/Vehi_Inputs!$E$154</f>
        <v>6.8176728178301396</v>
      </c>
      <c r="C222" s="419">
        <f ca="1">HLOOKUP($B$3,$M$5:$Q$6,2,FALSE)/HLOOKUP($D$4,$M$9:$Q$10,2,FALSE)*Vehi_Sum!I321</f>
        <v>163.86381146634696</v>
      </c>
      <c r="D222" s="419">
        <f>HLOOKUP(GREET1_Import_Export!$B$374,$M$9:$Q$10,2,FALSE)/HLOOKUP(GREET1_Import_Export!$B$373,$M$5:$Q$6,2,FALSE)*HLOOKUP($B$3,$M$5:$Q$6,2,FALSE)/HLOOKUP($D$4,$M$9:$Q$10,2,FALSE)*GREET1_Import_Export!$V384/Vehi_Inputs!$E$150/Vehi_Inputs!$E$154</f>
        <v>0</v>
      </c>
      <c r="E222" s="516">
        <f t="shared" ref="E222:E243" ca="1" si="38">SUM(B222:D222)</f>
        <v>170.68148428417709</v>
      </c>
      <c r="F222" s="382">
        <f t="shared" ca="1" si="34"/>
        <v>3.9943833664341809E-2</v>
      </c>
      <c r="G222" s="382">
        <f t="shared" ca="1" si="35"/>
        <v>0.96005616633565827</v>
      </c>
      <c r="H222" s="382">
        <f t="shared" ca="1" si="36"/>
        <v>0</v>
      </c>
      <c r="I222" s="825">
        <f t="shared" ca="1" si="37"/>
        <v>1</v>
      </c>
    </row>
    <row r="223" spans="1:9" s="64" customFormat="1">
      <c r="A223" s="909" t="s">
        <v>819</v>
      </c>
      <c r="B223" s="347">
        <f>HLOOKUP(GREET1_Import_Export!$B$374,$M$9:$Q$10,2,FALSE)/HLOOKUP(GREET1_Import_Export!$B$373,$M$5:$Q$6,2,FALSE)*HLOOKUP($B$3,$M$5:$Q$6,2,FALSE)/HLOOKUP($D$4,$M$9:$Q$10,2,FALSE)*(GREET1_Import_Export!$T385+GREET1_Import_Export!$U385)/Vehi_Inputs!$E$150/Vehi_Inputs!$E$154</f>
        <v>4.6578232602710781E-2</v>
      </c>
      <c r="C223" s="349">
        <f ca="1">HLOOKUP($B$3,$M$5:$Q$6,2,FALSE)/HLOOKUP($D$4,$M$9:$Q$10,2,FALSE)*Vehi_Sum!I322</f>
        <v>6.1499616753886634E-2</v>
      </c>
      <c r="D223" s="349">
        <f>HLOOKUP(GREET1_Import_Export!$B$374,$M$9:$Q$10,2,FALSE)/HLOOKUP(GREET1_Import_Export!$B$373,$M$5:$Q$6,2,FALSE)*HLOOKUP($B$3,$M$5:$Q$6,2,FALSE)/HLOOKUP($D$4,$M$9:$Q$10,2,FALSE)*GREET1_Import_Export!$V385/Vehi_Inputs!$E$150/Vehi_Inputs!$E$154</f>
        <v>0</v>
      </c>
      <c r="E223" s="348">
        <f t="shared" ca="1" si="38"/>
        <v>0.10807784935659742</v>
      </c>
      <c r="F223" s="382">
        <f t="shared" ca="1" si="34"/>
        <v>0.4309692770535084</v>
      </c>
      <c r="G223" s="382">
        <f t="shared" ca="1" si="35"/>
        <v>0.56903072294649149</v>
      </c>
      <c r="H223" s="382">
        <f t="shared" ca="1" si="36"/>
        <v>0</v>
      </c>
      <c r="I223" s="825">
        <f t="shared" ca="1" si="37"/>
        <v>1</v>
      </c>
    </row>
    <row r="224" spans="1:9" s="64" customFormat="1">
      <c r="A224" s="849" t="s">
        <v>1895</v>
      </c>
      <c r="B224" s="517">
        <f>HLOOKUP(GREET1_Import_Export!$B$374,$M$9:$Q$10,2,FALSE)/HLOOKUP(GREET1_Import_Export!$D$373,$M$7:$Q$8,2,FALSE)*HLOOKUP($D$3,$M$7:$Q$8,2,FALSE)/HLOOKUP($D$4,$M$9:$Q$10,2,FALSE)*(GREET1_Import_Export!$T386+GREET1_Import_Export!$U386)/Vehi_Inputs!$E$150/Vehi_Inputs!$E$154</f>
        <v>111.66801732834379</v>
      </c>
      <c r="C224" s="419">
        <f ca="1">HLOOKUP($D$3,$M$7:$Q$8,2,FALSE)/HLOOKUP($D$4,$M$9:$Q$10,2,FALSE)*Vehi_Sum!I324</f>
        <v>56.626673935941881</v>
      </c>
      <c r="D224" s="419">
        <f>HLOOKUP(GREET1_Import_Export!$B$374,$M$9:$Q$10,2,FALSE)/HLOOKUP(GREET1_Import_Export!$D$373,$M$7:$Q$8,2,FALSE)*HLOOKUP($D$3,$M$7:$Q$8,2,FALSE)/HLOOKUP($D$4,$M$9:$Q$10,2,FALSE)*((GREET1_Import_Export!$V386-(GREET1_Import_Export!$V390*GREET1_Import_Export!$B$62+GREET1_Import_Export!$V391*GREET1_Import_Export!$B$63)/GREET1_Import_Export!$B$65)/Vehi_Inputs!$E$150/Vehi_Inputs!$E$154+(GREET1_Import_Export!$V390*GREET1_Import_Export!$B$62+GREET1_Import_Export!$V391*GREET1_Import_Export!$B$63)/GREET1_Import_Export!$B$65)</f>
        <v>0</v>
      </c>
      <c r="E224" s="516">
        <f t="shared" ca="1" si="38"/>
        <v>168.29469126428569</v>
      </c>
      <c r="F224" s="382">
        <f t="shared" ca="1" si="34"/>
        <v>0.66352667745759841</v>
      </c>
      <c r="G224" s="382">
        <f t="shared" ca="1" si="35"/>
        <v>0.33647332254240153</v>
      </c>
      <c r="H224" s="382">
        <f t="shared" ca="1" si="36"/>
        <v>0</v>
      </c>
      <c r="I224" s="825">
        <f t="shared" ca="1" si="37"/>
        <v>1</v>
      </c>
    </row>
    <row r="225" spans="1:9" s="64" customFormat="1">
      <c r="A225" s="849" t="s">
        <v>887</v>
      </c>
      <c r="B225" s="347">
        <f>HLOOKUP(GREET1_Import_Export!$B$374,$M$9:$Q$10,2,FALSE)/HLOOKUP(GREET1_Import_Export!$D$373,$M$7:$Q$8,2,FALSE)*HLOOKUP($D$3,$M$7:$Q$8,2,FALSE)/HLOOKUP($D$4,$M$9:$Q$10,2,FALSE)*(GREET1_Import_Export!$T387+GREET1_Import_Export!$U387)/Vehi_Inputs!$E$150/Vehi_Inputs!$E$154</f>
        <v>0.31900886429810843</v>
      </c>
      <c r="C225" s="349">
        <f ca="1">HLOOKUP($D$3,$M$7:$Q$8,2,FALSE)/HLOOKUP($D$4,$M$9:$Q$10,2,FALSE)*Vehi_Sum!I325</f>
        <v>0.1547568363651898</v>
      </c>
      <c r="D225" s="349">
        <f>HLOOKUP(GREET1_Import_Export!$B$374,$M$9:$Q$10,2,FALSE)/HLOOKUP(GREET1_Import_Export!$D$373,$M$7:$Q$8,2,FALSE)*HLOOKUP($D$3,$M$7:$Q$8,2,FALSE)/HLOOKUP($D$4,$M$9:$Q$10,2,FALSE)*GREET1_Import_Export!$V387</f>
        <v>0</v>
      </c>
      <c r="E225" s="384">
        <f t="shared" ca="1" si="38"/>
        <v>0.47376570066329826</v>
      </c>
      <c r="F225" s="382">
        <f t="shared" ca="1" si="34"/>
        <v>0.67334731883603716</v>
      </c>
      <c r="G225" s="382">
        <f t="shared" ca="1" si="35"/>
        <v>0.32665268116396279</v>
      </c>
      <c r="H225" s="382">
        <f t="shared" ca="1" si="36"/>
        <v>0</v>
      </c>
      <c r="I225" s="825">
        <f t="shared" ca="1" si="37"/>
        <v>1</v>
      </c>
    </row>
    <row r="226" spans="1:9" s="64" customFormat="1">
      <c r="A226" s="849" t="s">
        <v>888</v>
      </c>
      <c r="B226" s="347">
        <f>HLOOKUP(GREET1_Import_Export!$B$374,$M$9:$Q$10,2,FALSE)/HLOOKUP(GREET1_Import_Export!$D$373,$M$7:$Q$8,2,FALSE)*HLOOKUP($D$3,$M$7:$Q$8,2,FALSE)/HLOOKUP($D$4,$M$9:$Q$10,2,FALSE)*(GREET1_Import_Export!$T388+GREET1_Import_Export!$U388)/Vehi_Inputs!$E$150/Vehi_Inputs!$E$154</f>
        <v>1.5852109743014309E-3</v>
      </c>
      <c r="C226" s="349">
        <f ca="1">HLOOKUP($D$3,$M$7:$Q$8,2,FALSE)/HLOOKUP($D$4,$M$9:$Q$10,2,FALSE)*Vehi_Sum!I326</f>
        <v>1.6777392311734616E-3</v>
      </c>
      <c r="D226" s="349">
        <f>HLOOKUP(GREET1_Import_Export!$B$374,$M$9:$Q$10,2,FALSE)/HLOOKUP(GREET1_Import_Export!$D$373,$M$7:$Q$8,2,FALSE)*HLOOKUP($D$3,$M$7:$Q$8,2,FALSE)/HLOOKUP($D$4,$M$9:$Q$10,2,FALSE)*GREET1_Import_Export!$V388</f>
        <v>0</v>
      </c>
      <c r="E226" s="384">
        <f t="shared" ca="1" si="38"/>
        <v>3.2629502054748924E-3</v>
      </c>
      <c r="F226" s="382">
        <f t="shared" ca="1" si="34"/>
        <v>0.48582138079876641</v>
      </c>
      <c r="G226" s="382">
        <f t="shared" ca="1" si="35"/>
        <v>0.51417861920123353</v>
      </c>
      <c r="H226" s="382">
        <f t="shared" ca="1" si="36"/>
        <v>0</v>
      </c>
      <c r="I226" s="825">
        <f t="shared" ca="1" si="37"/>
        <v>1</v>
      </c>
    </row>
    <row r="227" spans="1:9" s="64" customFormat="1">
      <c r="A227" s="849" t="s">
        <v>1896</v>
      </c>
      <c r="B227" s="517">
        <f>HLOOKUP(GREET1_Import_Export!$B$374,$M$9:$Q$10,2,FALSE)/HLOOKUP(GREET1_Import_Export!$D$373,$M$7:$Q$8,2,FALSE)*HLOOKUP($D$3,$M$7:$Q$8,2,FALSE)/HLOOKUP($D$4,$M$9:$Q$10,2,FALSE)*(GREET1_Import_Export!$T389+GREET1_Import_Export!$U389)/Vehi_Inputs!$E$150/Vehi_Inputs!$E$154</f>
        <v>121.65836416547691</v>
      </c>
      <c r="C227" s="419">
        <f ca="1">HLOOKUP($D$3,$M$7:$Q$8,2,FALSE)/HLOOKUP($D$4,$M$9:$Q$10,2,FALSE)*Vehi_Sum!I327</f>
        <v>62.765675288407273</v>
      </c>
      <c r="D227" s="158">
        <f>D224+SUMPRODUCT(D225:D226,GREET1_Import_Export!$B$51:$B$52)+SUMPRODUCT(D228:D230,GREET1_Import_Export!$B$55:$B$57)+SUMPRODUCT(D234:D235,GREET1_Import_Export!$B$58:$B$59)</f>
        <v>0</v>
      </c>
      <c r="E227" s="516">
        <f t="shared" ca="1" si="38"/>
        <v>184.42403945388418</v>
      </c>
      <c r="F227" s="382">
        <f t="shared" ca="1" si="34"/>
        <v>0.65966651921154762</v>
      </c>
      <c r="G227" s="382">
        <f t="shared" ca="1" si="35"/>
        <v>0.34033348078845238</v>
      </c>
      <c r="H227" s="382">
        <f t="shared" ca="1" si="36"/>
        <v>0</v>
      </c>
      <c r="I227" s="825">
        <f t="shared" ca="1" si="37"/>
        <v>1</v>
      </c>
    </row>
    <row r="228" spans="1:9" s="64" customFormat="1">
      <c r="A228" s="849" t="s">
        <v>879</v>
      </c>
      <c r="B228" s="347">
        <f>HLOOKUP(GREET1_Import_Export!$B$374,$M$9:$Q$10,2,FALSE)/HLOOKUP(GREET1_Import_Export!$D$373,$M$7:$Q$8,2,FALSE)*HLOOKUP($D$3,$M$7:$Q$8,2,FALSE)/HLOOKUP($D$4,$M$9:$Q$10,2,FALSE)*(GREET1_Import_Export!$T390+GREET1_Import_Export!$U390)/Vehi_Inputs!$E$150/Vehi_Inputs!$E$154</f>
        <v>1.5861583246570152E-2</v>
      </c>
      <c r="C228" s="349">
        <f ca="1">HLOOKUP($D$3,$M$7:$Q$8,2,FALSE)/HLOOKUP($D$4,$M$9:$Q$10,2,FALSE)*Vehi_Sum!I328</f>
        <v>0.1860880320763062</v>
      </c>
      <c r="D228" s="349">
        <f>HLOOKUP(GREET1_Import_Export!$B$374,$M$9:$Q$10,2,FALSE)/HLOOKUP(GREET1_Import_Export!$D$373,$M$7:$Q$8,2,FALSE)*HLOOKUP($D$3,$M$7:$Q$8,2,FALSE)/HLOOKUP($D$4,$M$9:$Q$10,2,FALSE)*GREET1_Import_Export!$V390</f>
        <v>0</v>
      </c>
      <c r="E228" s="384">
        <f t="shared" ca="1" si="38"/>
        <v>0.20194961532287636</v>
      </c>
      <c r="F228" s="382">
        <f t="shared" ca="1" si="34"/>
        <v>7.8542280069267306E-2</v>
      </c>
      <c r="G228" s="382">
        <f t="shared" ca="1" si="35"/>
        <v>0.92145771993073267</v>
      </c>
      <c r="H228" s="382">
        <f t="shared" ca="1" si="36"/>
        <v>0</v>
      </c>
      <c r="I228" s="825">
        <f t="shared" ca="1" si="37"/>
        <v>1</v>
      </c>
    </row>
    <row r="229" spans="1:9" s="64" customFormat="1">
      <c r="A229" s="849" t="s">
        <v>880</v>
      </c>
      <c r="B229" s="347">
        <f>HLOOKUP(GREET1_Import_Export!$B$374,$M$9:$Q$10,2,FALSE)/HLOOKUP(GREET1_Import_Export!$D$373,$M$7:$Q$8,2,FALSE)*HLOOKUP($D$3,$M$7:$Q$8,2,FALSE)/HLOOKUP($D$4,$M$9:$Q$10,2,FALSE)*(GREET1_Import_Export!$T391+GREET1_Import_Export!$U391)/Vehi_Inputs!$E$150/Vehi_Inputs!$E$154</f>
        <v>4.7170843363245639E-2</v>
      </c>
      <c r="C229" s="349">
        <f ca="1">HLOOKUP($D$3,$M$7:$Q$8,2,FALSE)/HLOOKUP($D$4,$M$9:$Q$10,2,FALSE)*Vehi_Sum!I329</f>
        <v>6.7979245276322597E-2</v>
      </c>
      <c r="D229" s="349">
        <f>HLOOKUP(GREET1_Import_Export!$B$374,$M$9:$Q$10,2,FALSE)/HLOOKUP(GREET1_Import_Export!$D$373,$M$7:$Q$8,2,FALSE)*HLOOKUP($D$3,$M$7:$Q$8,2,FALSE)/HLOOKUP($D$4,$M$9:$Q$10,2,FALSE)*GREET1_Import_Export!$V391</f>
        <v>0</v>
      </c>
      <c r="E229" s="384">
        <f t="shared" ca="1" si="38"/>
        <v>0.11515008863956824</v>
      </c>
      <c r="F229" s="382">
        <f t="shared" ca="1" si="34"/>
        <v>0.40964660922576696</v>
      </c>
      <c r="G229" s="382">
        <f t="shared" ca="1" si="35"/>
        <v>0.59035339077423299</v>
      </c>
      <c r="H229" s="382">
        <f t="shared" ca="1" si="36"/>
        <v>0</v>
      </c>
      <c r="I229" s="825">
        <f t="shared" ca="1" si="37"/>
        <v>1</v>
      </c>
    </row>
    <row r="230" spans="1:9" s="64" customFormat="1">
      <c r="A230" s="849" t="s">
        <v>881</v>
      </c>
      <c r="B230" s="347">
        <f>HLOOKUP(GREET1_Import_Export!$B$374,$M$9:$Q$10,2,FALSE)/HLOOKUP(GREET1_Import_Export!$D$373,$M$7:$Q$8,2,FALSE)*HLOOKUP($D$3,$M$7:$Q$8,2,FALSE)/HLOOKUP($D$4,$M$9:$Q$10,2,FALSE)*(GREET1_Import_Export!$T392+GREET1_Import_Export!$U392)/Vehi_Inputs!$E$150/Vehi_Inputs!$E$154</f>
        <v>5.7312641234009719E-2</v>
      </c>
      <c r="C230" s="349">
        <f ca="1">HLOOKUP($D$3,$M$7:$Q$8,2,FALSE)/HLOOKUP($D$4,$M$9:$Q$10,2,FALSE)*Vehi_Sum!I330</f>
        <v>6.4653635019022604E-2</v>
      </c>
      <c r="D230" s="349">
        <f>HLOOKUP(GREET1_Import_Export!$B$374,$M$9:$Q$10,2,FALSE)/HLOOKUP(GREET1_Import_Export!$D$373,$M$7:$Q$8,2,FALSE)*HLOOKUP($D$3,$M$7:$Q$8,2,FALSE)/HLOOKUP($D$4,$M$9:$Q$10,2,FALSE)*GREET1_Import_Export!$V392</f>
        <v>0</v>
      </c>
      <c r="E230" s="384">
        <f t="shared" ca="1" si="38"/>
        <v>0.12196627625303233</v>
      </c>
      <c r="F230" s="382">
        <f t="shared" ca="1" si="34"/>
        <v>0.46990564108974187</v>
      </c>
      <c r="G230" s="382">
        <f t="shared" ca="1" si="35"/>
        <v>0.53009435891025802</v>
      </c>
      <c r="H230" s="382">
        <f t="shared" ca="1" si="36"/>
        <v>0</v>
      </c>
      <c r="I230" s="825">
        <f t="shared" ca="1" si="37"/>
        <v>1</v>
      </c>
    </row>
    <row r="231" spans="1:9" s="64" customFormat="1">
      <c r="A231" s="849" t="s">
        <v>882</v>
      </c>
      <c r="B231" s="347">
        <f>HLOOKUP(GREET1_Import_Export!$B$374,$M$9:$Q$10,2,FALSE)/HLOOKUP(GREET1_Import_Export!$D$373,$M$7:$Q$8,2,FALSE)*HLOOKUP($D$3,$M$7:$Q$8,2,FALSE)/HLOOKUP($D$4,$M$9:$Q$10,2,FALSE)*(GREET1_Import_Export!$T393+GREET1_Import_Export!$U393)/Vehi_Inputs!$E$150/Vehi_Inputs!$E$154</f>
        <v>5.1357911555596136E-3</v>
      </c>
      <c r="C231" s="349">
        <f ca="1">HLOOKUP($D$3,$M$7:$Q$8,2,FALSE)/HLOOKUP($D$4,$M$9:$Q$10,2,FALSE)*Vehi_Sum!I331</f>
        <v>3.1953624689371726E-2</v>
      </c>
      <c r="D231" s="349">
        <f>HLOOKUP(GREET1_Import_Export!$B$374,$M$9:$Q$10,2,FALSE)/HLOOKUP(GREET1_Import_Export!$D$373,$M$7:$Q$8,2,FALSE)*HLOOKUP($D$3,$M$7:$Q$8,2,FALSE)/HLOOKUP($D$4,$M$9:$Q$10,2,FALSE)*GREET1_Import_Export!$V393</f>
        <v>3.070061626177846E-2</v>
      </c>
      <c r="E231" s="348">
        <f t="shared" ca="1" si="38"/>
        <v>6.7790032106709808E-2</v>
      </c>
      <c r="F231" s="382">
        <f t="shared" ca="1" si="34"/>
        <v>7.5760270292765899E-2</v>
      </c>
      <c r="G231" s="382">
        <f t="shared" ca="1" si="35"/>
        <v>0.47136169870922628</v>
      </c>
      <c r="H231" s="382">
        <f t="shared" ca="1" si="36"/>
        <v>0.45287803099800766</v>
      </c>
      <c r="I231" s="825">
        <f t="shared" ca="1" si="37"/>
        <v>1</v>
      </c>
    </row>
    <row r="232" spans="1:9" s="64" customFormat="1">
      <c r="A232" s="849" t="s">
        <v>883</v>
      </c>
      <c r="B232" s="347">
        <f>HLOOKUP(GREET1_Import_Export!$B$374,$M$9:$Q$10,2,FALSE)/HLOOKUP(GREET1_Import_Export!$D$373,$M$7:$Q$8,2,FALSE)*HLOOKUP($D$3,$M$7:$Q$8,2,FALSE)/HLOOKUP($D$4,$M$9:$Q$10,2,FALSE)*(GREET1_Import_Export!$T394+GREET1_Import_Export!$U394)/Vehi_Inputs!$E$150/Vehi_Inputs!$E$154</f>
        <v>4.9154868801950724E-3</v>
      </c>
      <c r="C232" s="349">
        <f ca="1">HLOOKUP($D$3,$M$7:$Q$8,2,FALSE)/HLOOKUP($D$4,$M$9:$Q$10,2,FALSE)*Vehi_Sum!I332</f>
        <v>1.082668641440747E-2</v>
      </c>
      <c r="D232" s="349">
        <f>HLOOKUP(GREET1_Import_Export!$B$374,$M$9:$Q$10,2,FALSE)/HLOOKUP(GREET1_Import_Export!$D$373,$M$7:$Q$8,2,FALSE)*HLOOKUP($D$3,$M$7:$Q$8,2,FALSE)/HLOOKUP($D$4,$M$9:$Q$10,2,FALSE)*GREET1_Import_Export!$V394</f>
        <v>4.0514755732562798E-3</v>
      </c>
      <c r="E232" s="348">
        <f t="shared" ca="1" si="38"/>
        <v>1.9793648867858823E-2</v>
      </c>
      <c r="F232" s="382">
        <f t="shared" ca="1" si="34"/>
        <v>0.24833657063488188</v>
      </c>
      <c r="G232" s="382">
        <f t="shared" ca="1" si="35"/>
        <v>0.5469777950839565</v>
      </c>
      <c r="H232" s="382">
        <f t="shared" ca="1" si="36"/>
        <v>0.20468563428116163</v>
      </c>
      <c r="I232" s="825">
        <f t="shared" ca="1" si="37"/>
        <v>1</v>
      </c>
    </row>
    <row r="233" spans="1:9" s="64" customFormat="1">
      <c r="A233" s="849" t="s">
        <v>884</v>
      </c>
      <c r="B233" s="347">
        <f>HLOOKUP(GREET1_Import_Export!$B$374,$M$9:$Q$10,2,FALSE)/HLOOKUP(GREET1_Import_Export!$D$373,$M$7:$Q$8,2,FALSE)*HLOOKUP($D$3,$M$7:$Q$8,2,FALSE)/HLOOKUP($D$4,$M$9:$Q$10,2,FALSE)*(GREET1_Import_Export!$T395+GREET1_Import_Export!$U395)/Vehi_Inputs!$E$150/Vehi_Inputs!$E$154</f>
        <v>2.0718574100192483E-2</v>
      </c>
      <c r="C233" s="349">
        <f ca="1">HLOOKUP($D$3,$M$7:$Q$8,2,FALSE)/HLOOKUP($D$4,$M$9:$Q$10,2,FALSE)*Vehi_Sum!I333</f>
        <v>0.37495677250340681</v>
      </c>
      <c r="D233" s="349">
        <f>HLOOKUP(GREET1_Import_Export!$B$374,$M$9:$Q$10,2,FALSE)/HLOOKUP(GREET1_Import_Export!$D$373,$M$7:$Q$8,2,FALSE)*HLOOKUP($D$3,$M$7:$Q$8,2,FALSE)/HLOOKUP($D$4,$M$9:$Q$10,2,FALSE)*GREET1_Import_Export!$V395/Vehi_Inputs!$E$150/Vehi_Inputs!$E$154</f>
        <v>0</v>
      </c>
      <c r="E233" s="348">
        <f t="shared" ca="1" si="38"/>
        <v>0.39567534660359927</v>
      </c>
      <c r="F233" s="382">
        <f t="shared" ca="1" si="34"/>
        <v>5.2362560058484109E-2</v>
      </c>
      <c r="G233" s="382">
        <f t="shared" ca="1" si="35"/>
        <v>0.94763743994151595</v>
      </c>
      <c r="H233" s="382">
        <f t="shared" ca="1" si="36"/>
        <v>0</v>
      </c>
      <c r="I233" s="825">
        <f t="shared" ca="1" si="37"/>
        <v>1</v>
      </c>
    </row>
    <row r="234" spans="1:9" s="64" customFormat="1">
      <c r="A234" s="909" t="s">
        <v>885</v>
      </c>
      <c r="B234" s="347">
        <f>HLOOKUP(GREET1_Import_Export!$B$374,$M$9:$Q$10,2,FALSE)/HLOOKUP(GREET1_Import_Export!$D$373,$M$7:$Q$8,2,FALSE)*HLOOKUP($D$3,$M$7:$Q$8,2,FALSE)/HLOOKUP($D$4,$M$9:$Q$10,2,FALSE)*(GREET1_Import_Export!$T396+GREET1_Import_Export!$U396)/Vehi_Inputs!$E$150/Vehi_Inputs!$E$154</f>
        <v>2.8821977046869653E-4</v>
      </c>
      <c r="C234" s="349">
        <f ca="1">HLOOKUP($D$3,$M$7:$Q$8,2,FALSE)/HLOOKUP($D$4,$M$9:$Q$10,2,FALSE)*Vehi_Sum!I334</f>
        <v>4.7862846176447826E-4</v>
      </c>
      <c r="D234" s="349">
        <f>HLOOKUP(GREET1_Import_Export!$B$374,$M$9:$Q$10,2,FALSE)/HLOOKUP(GREET1_Import_Export!$D$373,$M$7:$Q$8,2,FALSE)*HLOOKUP($D$3,$M$7:$Q$8,2,FALSE)/HLOOKUP($D$4,$M$9:$Q$10,2,FALSE)*GREET1_Import_Export!$V396</f>
        <v>5.7926606569309554E-4</v>
      </c>
      <c r="E234" s="348">
        <f t="shared" ca="1" si="38"/>
        <v>1.3461142979262703E-3</v>
      </c>
      <c r="F234" s="382">
        <f t="shared" ca="1" si="34"/>
        <v>0.21411240554587957</v>
      </c>
      <c r="G234" s="382">
        <f t="shared" ca="1" si="35"/>
        <v>0.35556301756977088</v>
      </c>
      <c r="H234" s="382">
        <f t="shared" ca="1" si="36"/>
        <v>0.43032457688434955</v>
      </c>
      <c r="I234" s="825">
        <f t="shared" ca="1" si="37"/>
        <v>1</v>
      </c>
    </row>
    <row r="235" spans="1:9" s="64" customFormat="1">
      <c r="A235" s="909" t="s">
        <v>886</v>
      </c>
      <c r="B235" s="347">
        <f>HLOOKUP(GREET1_Import_Export!$B$374,$M$9:$Q$10,2,FALSE)/HLOOKUP(GREET1_Import_Export!$D$373,$M$7:$Q$8,2,FALSE)*HLOOKUP($D$3,$M$7:$Q$8,2,FALSE)/HLOOKUP($D$4,$M$9:$Q$10,2,FALSE)*(GREET1_Import_Export!$T397+GREET1_Import_Export!$U397)/Vehi_Inputs!$E$150/Vehi_Inputs!$E$154</f>
        <v>3.1558213162403725E-3</v>
      </c>
      <c r="C235" s="349">
        <f ca="1">HLOOKUP($D$3,$M$7:$Q$8,2,FALSE)/HLOOKUP($D$4,$M$9:$Q$10,2,FALSE)*Vehi_Sum!I335</f>
        <v>1.0725985273767765E-3</v>
      </c>
      <c r="D235" s="349">
        <f>HLOOKUP(GREET1_Import_Export!$B$374,$M$9:$Q$10,2,FALSE)/HLOOKUP(GREET1_Import_Export!$D$373,$M$7:$Q$8,2,FALSE)*HLOOKUP($D$3,$M$7:$Q$8,2,FALSE)/HLOOKUP($D$4,$M$9:$Q$10,2,FALSE)*GREET1_Import_Export!$V397</f>
        <v>7.242161151725634E-4</v>
      </c>
      <c r="E235" s="348">
        <f t="shared" ca="1" si="38"/>
        <v>4.9526359587897121E-3</v>
      </c>
      <c r="F235" s="382">
        <f t="shared" ca="1" si="34"/>
        <v>0.63720033987952718</v>
      </c>
      <c r="G235" s="382">
        <f t="shared" ca="1" si="35"/>
        <v>0.21657124333420422</v>
      </c>
      <c r="H235" s="382">
        <f t="shared" ca="1" si="36"/>
        <v>0.14622841678626869</v>
      </c>
      <c r="I235" s="825">
        <f t="shared" ca="1" si="37"/>
        <v>1</v>
      </c>
    </row>
    <row r="236" spans="1:9" s="64" customFormat="1">
      <c r="A236" s="849" t="s">
        <v>890</v>
      </c>
      <c r="B236" s="347">
        <f>HLOOKUP(GREET1_Import_Export!$B$374,$M$9:$Q$10,2,FALSE)/HLOOKUP(GREET1_Import_Export!$D$373,$M$7:$Q$8,2,FALSE)*HLOOKUP($D$3,$M$7:$Q$8,2,FALSE)/HLOOKUP($D$4,$M$9:$Q$10,2,FALSE)*(GREET1_Import_Export!$T398+GREET1_Import_Export!$U398)/Vehi_Inputs!$E$150/Vehi_Inputs!$E$154</f>
        <v>9.8834034864661363E-4</v>
      </c>
      <c r="C236" s="377">
        <f ca="1">HLOOKUP($D$3,$M$7:$Q$8,2,FALSE)/HLOOKUP($D$4,$M$9:$Q$10,2,FALSE)*Vehi_Sum!I336</f>
        <v>0.11104710764600877</v>
      </c>
      <c r="D236" s="377">
        <f>HLOOKUP(GREET1_Import_Export!$B$374,$M$9:$Q$10,2,FALSE)/HLOOKUP(GREET1_Import_Export!$D$373,$M$7:$Q$8,2,FALSE)*HLOOKUP($D$3,$M$7:$Q$8,2,FALSE)/HLOOKUP($D$4,$M$9:$Q$10,2,FALSE)*GREET1_Import_Export!$V398</f>
        <v>0</v>
      </c>
      <c r="E236" s="384">
        <f t="shared" ca="1" si="38"/>
        <v>0.11203544799465538</v>
      </c>
      <c r="F236" s="382">
        <f t="shared" ca="1" si="34"/>
        <v>8.8216753388067146E-3</v>
      </c>
      <c r="G236" s="382">
        <f t="shared" ca="1" si="35"/>
        <v>0.99117832466119327</v>
      </c>
      <c r="H236" s="382">
        <f t="shared" ca="1" si="36"/>
        <v>0</v>
      </c>
      <c r="I236" s="825">
        <f t="shared" ca="1" si="37"/>
        <v>1</v>
      </c>
    </row>
    <row r="237" spans="1:9" s="64" customFormat="1">
      <c r="A237" s="849" t="s">
        <v>891</v>
      </c>
      <c r="B237" s="347">
        <f>HLOOKUP(GREET1_Import_Export!$B$374,$M$9:$Q$10,2,FALSE)/HLOOKUP(GREET1_Import_Export!$D$373,$M$7:$Q$8,2,FALSE)*HLOOKUP($D$3,$M$7:$Q$8,2,FALSE)/HLOOKUP($D$4,$M$9:$Q$10,2,FALSE)*(GREET1_Import_Export!$T399+GREET1_Import_Export!$U399)/Vehi_Inputs!$E$150/Vehi_Inputs!$E$154</f>
        <v>5.5643204459082454E-3</v>
      </c>
      <c r="C237" s="377">
        <f ca="1">HLOOKUP($D$3,$M$7:$Q$8,2,FALSE)/HLOOKUP($D$4,$M$9:$Q$10,2,FALSE)*Vehi_Sum!I337</f>
        <v>2.5319903168644908E-3</v>
      </c>
      <c r="D237" s="377">
        <f>HLOOKUP(GREET1_Import_Export!$B$374,$M$9:$Q$10,2,FALSE)/HLOOKUP(GREET1_Import_Export!$D$373,$M$7:$Q$8,2,FALSE)*HLOOKUP($D$3,$M$7:$Q$8,2,FALSE)/HLOOKUP($D$4,$M$9:$Q$10,2,FALSE)*GREET1_Import_Export!$V399</f>
        <v>0</v>
      </c>
      <c r="E237" s="384">
        <f t="shared" ca="1" si="38"/>
        <v>8.0963107627727363E-3</v>
      </c>
      <c r="F237" s="382">
        <f t="shared" ca="1" si="34"/>
        <v>0.68726616467012158</v>
      </c>
      <c r="G237" s="382">
        <f t="shared" ca="1" si="35"/>
        <v>0.31273383532987836</v>
      </c>
      <c r="H237" s="382">
        <f t="shared" ca="1" si="36"/>
        <v>0</v>
      </c>
      <c r="I237" s="825">
        <f t="shared" ca="1" si="37"/>
        <v>1</v>
      </c>
    </row>
    <row r="238" spans="1:9" s="64" customFormat="1">
      <c r="A238" s="849" t="s">
        <v>892</v>
      </c>
      <c r="B238" s="347">
        <f>HLOOKUP(GREET1_Import_Export!$B$374,$M$9:$Q$10,2,FALSE)/HLOOKUP(GREET1_Import_Export!$D$373,$M$7:$Q$8,2,FALSE)*HLOOKUP($D$3,$M$7:$Q$8,2,FALSE)/HLOOKUP($D$4,$M$9:$Q$10,2,FALSE)*(GREET1_Import_Export!$T400+GREET1_Import_Export!$U400)/Vehi_Inputs!$E$150/Vehi_Inputs!$E$154</f>
        <v>7.4270979850305724E-3</v>
      </c>
      <c r="C238" s="377">
        <f ca="1">HLOOKUP($D$3,$M$7:$Q$8,2,FALSE)/HLOOKUP($D$4,$M$9:$Q$10,2,FALSE)*Vehi_Sum!I338</f>
        <v>5.4506473556824057E-3</v>
      </c>
      <c r="D238" s="377">
        <f>HLOOKUP(GREET1_Import_Export!$B$374,$M$9:$Q$10,2,FALSE)/HLOOKUP(GREET1_Import_Export!$D$373,$M$7:$Q$8,2,FALSE)*HLOOKUP($D$3,$M$7:$Q$8,2,FALSE)/HLOOKUP($D$4,$M$9:$Q$10,2,FALSE)*GREET1_Import_Export!$V400</f>
        <v>0</v>
      </c>
      <c r="E238" s="384">
        <f t="shared" ca="1" si="38"/>
        <v>1.2877745340712978E-2</v>
      </c>
      <c r="F238" s="382">
        <f t="shared" ca="1" si="34"/>
        <v>0.57673900116271204</v>
      </c>
      <c r="G238" s="382">
        <f t="shared" ca="1" si="35"/>
        <v>0.42326099883728791</v>
      </c>
      <c r="H238" s="382">
        <f t="shared" ca="1" si="36"/>
        <v>0</v>
      </c>
      <c r="I238" s="825">
        <f t="shared" ca="1" si="37"/>
        <v>1</v>
      </c>
    </row>
    <row r="239" spans="1:9" s="64" customFormat="1">
      <c r="A239" s="849" t="s">
        <v>893</v>
      </c>
      <c r="B239" s="347">
        <f>HLOOKUP(GREET1_Import_Export!$B$374,$M$9:$Q$10,2,FALSE)/HLOOKUP(GREET1_Import_Export!$D$373,$M$7:$Q$8,2,FALSE)*HLOOKUP($D$3,$M$7:$Q$8,2,FALSE)/HLOOKUP($D$4,$M$9:$Q$10,2,FALSE)*(GREET1_Import_Export!$T401+GREET1_Import_Export!$U401)/Vehi_Inputs!$E$150/Vehi_Inputs!$E$154</f>
        <v>1.4136895495750362E-3</v>
      </c>
      <c r="C239" s="377">
        <f ca="1">HLOOKUP($D$3,$M$7:$Q$8,2,FALSE)/HLOOKUP($D$4,$M$9:$Q$10,2,FALSE)*Vehi_Sum!I339</f>
        <v>6.0059390515160879E-4</v>
      </c>
      <c r="D239" s="377">
        <f>HLOOKUP(GREET1_Import_Export!$B$374,$M$9:$Q$10,2,FALSE)/HLOOKUP(GREET1_Import_Export!$D$373,$M$7:$Q$8,2,FALSE)*HLOOKUP($D$3,$M$7:$Q$8,2,FALSE)/HLOOKUP($D$4,$M$9:$Q$10,2,FALSE)*GREET1_Import_Export!$V401</f>
        <v>2.1490431383244919E-2</v>
      </c>
      <c r="E239" s="384">
        <f t="shared" ca="1" si="38"/>
        <v>2.3504714837971563E-2</v>
      </c>
      <c r="F239" s="382">
        <f t="shared" ca="1" si="34"/>
        <v>6.014493514685143E-2</v>
      </c>
      <c r="G239" s="382">
        <f t="shared" ca="1" si="35"/>
        <v>2.5552060907429393E-2</v>
      </c>
      <c r="H239" s="382">
        <f t="shared" ca="1" si="36"/>
        <v>0.91430300394571917</v>
      </c>
      <c r="I239" s="825">
        <f t="shared" ca="1" si="37"/>
        <v>1</v>
      </c>
    </row>
    <row r="240" spans="1:9" s="64" customFormat="1">
      <c r="A240" s="849" t="s">
        <v>894</v>
      </c>
      <c r="B240" s="347">
        <f>HLOOKUP(GREET1_Import_Export!$B$374,$M$9:$Q$10,2,FALSE)/HLOOKUP(GREET1_Import_Export!$D$373,$M$7:$Q$8,2,FALSE)*HLOOKUP($D$3,$M$7:$Q$8,2,FALSE)/HLOOKUP($D$4,$M$9:$Q$10,2,FALSE)*(GREET1_Import_Export!$T402+GREET1_Import_Export!$U402)/Vehi_Inputs!$E$150/Vehi_Inputs!$E$154</f>
        <v>1.3643170693370447E-3</v>
      </c>
      <c r="C240" s="377">
        <f ca="1">HLOOKUP($D$3,$M$7:$Q$8,2,FALSE)/HLOOKUP($D$4,$M$9:$Q$10,2,FALSE)*Vehi_Sum!I340</f>
        <v>5.1806218547346375E-4</v>
      </c>
      <c r="D240" s="377">
        <f>HLOOKUP(GREET1_Import_Export!$B$374,$M$9:$Q$10,2,FALSE)/HLOOKUP(GREET1_Import_Export!$D$373,$M$7:$Q$8,2,FALSE)*HLOOKUP($D$3,$M$7:$Q$8,2,FALSE)/HLOOKUP($D$4,$M$9:$Q$10,2,FALSE)*GREET1_Import_Export!$V402</f>
        <v>2.8360329012793958E-3</v>
      </c>
      <c r="E240" s="384">
        <f t="shared" ca="1" si="38"/>
        <v>4.718412156089904E-3</v>
      </c>
      <c r="F240" s="382">
        <f t="shared" ca="1" si="34"/>
        <v>0.28914749797263134</v>
      </c>
      <c r="G240" s="382">
        <f t="shared" ca="1" si="35"/>
        <v>0.10979587376758035</v>
      </c>
      <c r="H240" s="382">
        <f t="shared" ca="1" si="36"/>
        <v>0.60105662825978834</v>
      </c>
      <c r="I240" s="825">
        <f t="shared" ca="1" si="37"/>
        <v>1</v>
      </c>
    </row>
    <row r="241" spans="1:9" s="64" customFormat="1">
      <c r="A241" s="849" t="s">
        <v>895</v>
      </c>
      <c r="B241" s="347">
        <f>HLOOKUP(GREET1_Import_Export!$B$374,$M$9:$Q$10,2,FALSE)/HLOOKUP(GREET1_Import_Export!$D$373,$M$7:$Q$8,2,FALSE)*HLOOKUP($D$3,$M$7:$Q$8,2,FALSE)/HLOOKUP($D$4,$M$9:$Q$10,2,FALSE)*(GREET1_Import_Export!$T403+GREET1_Import_Export!$U403)/Vehi_Inputs!$E$150/Vehi_Inputs!$E$154</f>
        <v>8.2922277638328005E-4</v>
      </c>
      <c r="C241" s="377">
        <f ca="1">HLOOKUP($D$3,$M$7:$Q$8,2,FALSE)/HLOOKUP($D$4,$M$9:$Q$10,2,FALSE)*Vehi_Sum!I341</f>
        <v>4.702540540450096E-3</v>
      </c>
      <c r="D241" s="377">
        <f>HLOOKUP(GREET1_Import_Export!$B$374,$M$9:$Q$10,2,FALSE)/HLOOKUP(GREET1_Import_Export!$D$373,$M$7:$Q$8,2,FALSE)*HLOOKUP($D$3,$M$7:$Q$8,2,FALSE)/HLOOKUP($D$4,$M$9:$Q$10,2,FALSE)*GREET1_Import_Export!$V403/Vehi_Inputs!$E$150/Vehi_Inputs!$E$154</f>
        <v>0</v>
      </c>
      <c r="E241" s="384">
        <f t="shared" ca="1" si="38"/>
        <v>5.5317633168333758E-3</v>
      </c>
      <c r="F241" s="382">
        <f t="shared" ca="1" si="34"/>
        <v>0.14990207080261769</v>
      </c>
      <c r="G241" s="382">
        <f t="shared" ca="1" si="35"/>
        <v>0.85009792919738236</v>
      </c>
      <c r="H241" s="382">
        <f t="shared" ca="1" si="36"/>
        <v>0</v>
      </c>
      <c r="I241" s="825">
        <f t="shared" ca="1" si="37"/>
        <v>1</v>
      </c>
    </row>
    <row r="242" spans="1:9" s="64" customFormat="1">
      <c r="A242" s="909" t="s">
        <v>896</v>
      </c>
      <c r="B242" s="347">
        <f>HLOOKUP(GREET1_Import_Export!$B$374,$M$9:$Q$10,2,FALSE)/HLOOKUP(GREET1_Import_Export!$D$373,$M$7:$Q$8,2,FALSE)*HLOOKUP($D$3,$M$7:$Q$8,2,FALSE)/HLOOKUP($D$4,$M$9:$Q$10,2,FALSE)*(GREET1_Import_Export!$T404+GREET1_Import_Export!$U404)/Vehi_Inputs!$E$150/Vehi_Inputs!$E$154</f>
        <v>4.2113344741788049E-5</v>
      </c>
      <c r="C242" s="377">
        <f ca="1">HLOOKUP($D$3,$M$7:$Q$8,2,FALSE)/HLOOKUP($D$4,$M$9:$Q$10,2,FALSE)*Vehi_Sum!I342</f>
        <v>3.0173571484889248E-5</v>
      </c>
      <c r="D242" s="377">
        <f>HLOOKUP(GREET1_Import_Export!$B$374,$M$9:$Q$10,2,FALSE)/HLOOKUP(GREET1_Import_Export!$D$373,$M$7:$Q$8,2,FALSE)*HLOOKUP($D$3,$M$7:$Q$8,2,FALSE)/HLOOKUP($D$4,$M$9:$Q$10,2,FALSE)*GREET1_Import_Export!$V404</f>
        <v>4.0548624598516685E-4</v>
      </c>
      <c r="E242" s="384">
        <f t="shared" ca="1" si="38"/>
        <v>4.7777316221184413E-4</v>
      </c>
      <c r="F242" s="382">
        <f t="shared" ca="1" si="34"/>
        <v>8.8145061448878612E-2</v>
      </c>
      <c r="G242" s="382">
        <f t="shared" ca="1" si="35"/>
        <v>6.3154596932990387E-2</v>
      </c>
      <c r="H242" s="382">
        <f t="shared" ca="1" si="36"/>
        <v>0.84870034161813102</v>
      </c>
      <c r="I242" s="825">
        <f t="shared" ca="1" si="37"/>
        <v>1</v>
      </c>
    </row>
    <row r="243" spans="1:9" s="64" customFormat="1">
      <c r="A243" s="910" t="s">
        <v>897</v>
      </c>
      <c r="B243" s="503">
        <f>HLOOKUP(GREET1_Import_Export!$B$374,$M$9:$Q$10,2,FALSE)/HLOOKUP(GREET1_Import_Export!$D$373,$M$7:$Q$8,2,FALSE)*HLOOKUP($D$3,$M$7:$Q$8,2,FALSE)/HLOOKUP($D$4,$M$9:$Q$10,2,FALSE)*(GREET1_Import_Export!$T405+GREET1_Import_Export!$U405)/Vehi_Inputs!$E$150/Vehi_Inputs!$E$154</f>
        <v>9.2126668258833862E-4</v>
      </c>
      <c r="C243" s="386">
        <f ca="1">HLOOKUP($D$3,$M$7:$Q$8,2,FALSE)/HLOOKUP($D$4,$M$9:$Q$10,2,FALSE)*Vehi_Sum!I343</f>
        <v>1.1904185873284286E-4</v>
      </c>
      <c r="D243" s="386">
        <f>HLOOKUP(GREET1_Import_Export!$B$374,$M$9:$Q$10,2,FALSE)/HLOOKUP(GREET1_Import_Export!$D$373,$M$7:$Q$8,2,FALSE)*HLOOKUP($D$3,$M$7:$Q$8,2,FALSE)/HLOOKUP($D$4,$M$9:$Q$10,2,FALSE)*GREET1_Import_Export!$V405</f>
        <v>5.0695128062079435E-4</v>
      </c>
      <c r="E243" s="388">
        <f t="shared" ca="1" si="38"/>
        <v>1.5472598219419759E-3</v>
      </c>
      <c r="F243" s="368">
        <f t="shared" ca="1" si="34"/>
        <v>0.5954182158184983</v>
      </c>
      <c r="G243" s="368">
        <f t="shared" ca="1" si="35"/>
        <v>7.6937213158829815E-2</v>
      </c>
      <c r="H243" s="368">
        <f t="shared" ca="1" si="36"/>
        <v>0.32764457102267186</v>
      </c>
      <c r="I243" s="826">
        <f t="shared" ca="1" si="37"/>
        <v>1</v>
      </c>
    </row>
    <row r="244" spans="1:9" s="64" customFormat="1">
      <c r="F244" s="382"/>
      <c r="G244" s="382"/>
      <c r="H244" s="382"/>
    </row>
    <row r="245" spans="1:9" s="64" customFormat="1">
      <c r="A245" s="111"/>
      <c r="B245" s="463"/>
      <c r="C245" s="463"/>
      <c r="D245" s="463"/>
      <c r="E245" s="463"/>
      <c r="F245" s="463"/>
      <c r="G245" s="463"/>
      <c r="H245" s="463"/>
    </row>
    <row r="246" spans="1:9" s="64" customFormat="1">
      <c r="A246" s="111" t="s">
        <v>1942</v>
      </c>
      <c r="B246" s="463"/>
      <c r="C246" s="463"/>
      <c r="D246" s="463"/>
      <c r="E246" s="463"/>
      <c r="F246" s="463"/>
      <c r="G246" s="463"/>
      <c r="H246" s="463"/>
    </row>
    <row r="247" spans="1:9" s="64" customFormat="1">
      <c r="A247" s="393"/>
      <c r="B247" s="3060" t="str">
        <f>$B$3&amp;"/"&amp;$D$4&amp;" or "&amp;$D$3&amp;"/"&amp;$D$4</f>
        <v>Btu/mile or g/mile</v>
      </c>
      <c r="C247" s="3061"/>
      <c r="D247" s="3061"/>
      <c r="E247" s="3062"/>
      <c r="F247" s="3005" t="s">
        <v>1890</v>
      </c>
      <c r="G247" s="3005"/>
      <c r="H247" s="3005"/>
      <c r="I247" s="3135"/>
    </row>
    <row r="248" spans="1:9" s="64" customFormat="1" ht="25.5">
      <c r="A248" s="908" t="s">
        <v>1923</v>
      </c>
      <c r="B248" s="1225" t="s">
        <v>1924</v>
      </c>
      <c r="C248" s="1658" t="s">
        <v>1925</v>
      </c>
      <c r="D248" s="1658" t="s">
        <v>1926</v>
      </c>
      <c r="E248" s="1226" t="s">
        <v>1894</v>
      </c>
      <c r="F248" s="1658" t="s">
        <v>1924</v>
      </c>
      <c r="G248" s="1658" t="s">
        <v>1925</v>
      </c>
      <c r="H248" s="1658" t="s">
        <v>1926</v>
      </c>
      <c r="I248" s="1226" t="s">
        <v>1894</v>
      </c>
    </row>
    <row r="249" spans="1:9" s="64" customFormat="1">
      <c r="A249" s="1103" t="s">
        <v>876</v>
      </c>
      <c r="B249" s="517">
        <f>HLOOKUP(GREET1_Import_Export!$B$374,$M$9:$Q$10,2,FALSE)/HLOOKUP(GREET1_Import_Export!$B$373,$M$5:$Q$6,2,FALSE)*HLOOKUP($B$3,$M$5:$Q$6,2,FALSE)/HLOOKUP($D$4,$M$9:$Q$10,2,FALSE)*(GREET1_Import_Export!$Z380+GREET1_Import_Export!$AA380)/Vehi_Inputs!$F$150</f>
        <v>932.84101737377989</v>
      </c>
      <c r="C249" s="419">
        <f ca="1">HLOOKUP($B$3,$M$5:$Q$6,2,FALSE)/HLOOKUP($D$4,$M$9:$Q$10,2,FALSE)*Vehi_Sum!$J317</f>
        <v>681.02941973630891</v>
      </c>
      <c r="D249" s="419">
        <f>HLOOKUP(GREET1_Import_Export!$B$374,$M$9:$Q$10,2,FALSE)/HLOOKUP(GREET1_Import_Export!$B$373,$M$5:$Q$6,2,FALSE)*HLOOKUP($B$3,$M$5:$Q$6,2,FALSE)/HLOOKUP($D$4,$M$9:$Q$10,2,FALSE)*GREET1_Import_Export!$AB380/Vehi_Inputs!$F$150</f>
        <v>1617.6254000517329</v>
      </c>
      <c r="E249" s="516">
        <f ca="1">SUM(B249:D249)</f>
        <v>3231.4958371618218</v>
      </c>
      <c r="F249" s="382">
        <f t="shared" ref="F249:F274" ca="1" si="39">B249/$E249</f>
        <v>0.28867158256749642</v>
      </c>
      <c r="G249" s="382">
        <f t="shared" ref="G249:G274" ca="1" si="40">C249/$E249</f>
        <v>0.2107474228821683</v>
      </c>
      <c r="H249" s="382">
        <f t="shared" ref="H249:H274" ca="1" si="41">D249/$E249</f>
        <v>0.50058099455033522</v>
      </c>
      <c r="I249" s="1104">
        <f t="shared" ref="I249:I274" ca="1" si="42">E249/$E249</f>
        <v>1</v>
      </c>
    </row>
    <row r="250" spans="1:9" s="64" customFormat="1">
      <c r="A250" s="849" t="s">
        <v>877</v>
      </c>
      <c r="B250" s="517">
        <f>HLOOKUP(GREET1_Import_Export!$B$374,$M$9:$Q$10,2,FALSE)/HLOOKUP(GREET1_Import_Export!$B$373,$M$5:$Q$6,2,FALSE)*HLOOKUP($B$3,$M$5:$Q$6,2,FALSE)/HLOOKUP($D$4,$M$9:$Q$10,2,FALSE)*(GREET1_Import_Export!$Z381+GREET1_Import_Export!$AA381)/Vehi_Inputs!$F$150</f>
        <v>839.30927529899952</v>
      </c>
      <c r="C250" s="419">
        <f ca="1">HLOOKUP($B$3,$M$5:$Q$6,2,FALSE)/HLOOKUP($D$4,$M$9:$Q$10,2,FALSE)*Vehi_Sum!$J318</f>
        <v>606.59262814345789</v>
      </c>
      <c r="D250" s="419">
        <f>HLOOKUP(GREET1_Import_Export!$B$374,$M$9:$Q$10,2,FALSE)/HLOOKUP(GREET1_Import_Export!$B$373,$M$5:$Q$6,2,FALSE)*HLOOKUP($B$3,$M$5:$Q$6,2,FALSE)/HLOOKUP($D$4,$M$9:$Q$10,2,FALSE)*GREET1_Import_Export!$AB381/Vehi_Inputs!$F$150</f>
        <v>1617.6254000517329</v>
      </c>
      <c r="E250" s="516">
        <f ca="1">SUM(B250:D250)</f>
        <v>3063.5273034941902</v>
      </c>
      <c r="F250" s="382">
        <f t="shared" ca="1" si="39"/>
        <v>0.27396826995525786</v>
      </c>
      <c r="G250" s="382">
        <f t="shared" ca="1" si="40"/>
        <v>0.19800464237795173</v>
      </c>
      <c r="H250" s="382">
        <f t="shared" ca="1" si="41"/>
        <v>0.52802708766679041</v>
      </c>
      <c r="I250" s="825">
        <f t="shared" ca="1" si="42"/>
        <v>1</v>
      </c>
    </row>
    <row r="251" spans="1:9" s="64" customFormat="1">
      <c r="A251" s="849" t="s">
        <v>442</v>
      </c>
      <c r="B251" s="517">
        <f>HLOOKUP(GREET1_Import_Export!$B$374,$M$9:$Q$10,2,FALSE)/HLOOKUP(GREET1_Import_Export!$B$373,$M$5:$Q$6,2,FALSE)*HLOOKUP($B$3,$M$5:$Q$6,2,FALSE)/HLOOKUP($D$4,$M$9:$Q$10,2,FALSE)*(GREET1_Import_Export!$Z382+GREET1_Import_Export!$AA382)/Vehi_Inputs!$F$150</f>
        <v>123.639644582619</v>
      </c>
      <c r="C251" s="419">
        <f ca="1">HLOOKUP($B$3,$M$5:$Q$6,2,FALSE)/HLOOKUP($D$4,$M$9:$Q$10,2,FALSE)*Vehi_Sum!$J319</f>
        <v>150.23248289451865</v>
      </c>
      <c r="D251" s="419">
        <f>HLOOKUP(GREET1_Import_Export!$B$374,$M$9:$Q$10,2,FALSE)/HLOOKUP(GREET1_Import_Export!$B$373,$M$5:$Q$6,2,FALSE)*HLOOKUP($B$3,$M$5:$Q$6,2,FALSE)/HLOOKUP($D$4,$M$9:$Q$10,2,FALSE)*GREET1_Import_Export!$AB382/Vehi_Inputs!$F$150</f>
        <v>0</v>
      </c>
      <c r="E251" s="516">
        <f ca="1">SUM(B251:D251)</f>
        <v>273.87212747713767</v>
      </c>
      <c r="F251" s="382">
        <f t="shared" ca="1" si="39"/>
        <v>0.45145026520794895</v>
      </c>
      <c r="G251" s="382">
        <f t="shared" ca="1" si="40"/>
        <v>0.54854973479205105</v>
      </c>
      <c r="H251" s="382">
        <f t="shared" ca="1" si="41"/>
        <v>0</v>
      </c>
      <c r="I251" s="825">
        <f t="shared" ca="1" si="42"/>
        <v>1</v>
      </c>
    </row>
    <row r="252" spans="1:9" s="64" customFormat="1">
      <c r="A252" s="849" t="s">
        <v>878</v>
      </c>
      <c r="B252" s="517">
        <f>B250-B251-B253</f>
        <v>704.19875432851597</v>
      </c>
      <c r="C252" s="419">
        <f ca="1">C250-C251-C253</f>
        <v>345.56647742142087</v>
      </c>
      <c r="D252" s="419">
        <f>D250-D251-D253</f>
        <v>1617.6254000517329</v>
      </c>
      <c r="E252" s="516">
        <f ca="1">E250-E251-E253</f>
        <v>2667.3906318016693</v>
      </c>
      <c r="F252" s="382">
        <f t="shared" ca="1" si="39"/>
        <v>0.26400285954849823</v>
      </c>
      <c r="G252" s="382">
        <f t="shared" ca="1" si="40"/>
        <v>0.12955225728899353</v>
      </c>
      <c r="H252" s="382">
        <f t="shared" ca="1" si="41"/>
        <v>0.60644488316250844</v>
      </c>
      <c r="I252" s="825">
        <f t="shared" ca="1" si="42"/>
        <v>1</v>
      </c>
    </row>
    <row r="253" spans="1:9" s="64" customFormat="1">
      <c r="A253" s="849" t="s">
        <v>440</v>
      </c>
      <c r="B253" s="517">
        <f>HLOOKUP(GREET1_Import_Export!$B$374,$M$9:$Q$10,2,FALSE)/HLOOKUP(GREET1_Import_Export!$B$373,$M$5:$Q$6,2,FALSE)*HLOOKUP($B$3,$M$5:$Q$6,2,FALSE)/HLOOKUP($D$4,$M$9:$Q$10,2,FALSE)*(GREET1_Import_Export!$Z384+GREET1_Import_Export!$AA384)/Vehi_Inputs!$F$150</f>
        <v>11.470876387864577</v>
      </c>
      <c r="C253" s="419">
        <f ca="1">HLOOKUP($B$3,$M$5:$Q$6,2,FALSE)/HLOOKUP($D$4,$M$9:$Q$10,2,FALSE)*Vehi_Sum!$J321</f>
        <v>110.79366782751841</v>
      </c>
      <c r="D253" s="419">
        <f>HLOOKUP(GREET1_Import_Export!$B$374,$M$9:$Q$10,2,FALSE)/HLOOKUP(GREET1_Import_Export!$B$373,$M$5:$Q$6,2,FALSE)*HLOOKUP($B$3,$M$5:$Q$6,2,FALSE)/HLOOKUP($D$4,$M$9:$Q$10,2,FALSE)*GREET1_Import_Export!$AB384/Vehi_Inputs!$F$150</f>
        <v>0</v>
      </c>
      <c r="E253" s="516">
        <f t="shared" ref="E253:E274" ca="1" si="43">SUM(B253:D253)</f>
        <v>122.26454421538298</v>
      </c>
      <c r="F253" s="382">
        <f t="shared" ca="1" si="39"/>
        <v>9.3820137812457835E-2</v>
      </c>
      <c r="G253" s="382">
        <f t="shared" ca="1" si="40"/>
        <v>0.9061798621875421</v>
      </c>
      <c r="H253" s="382">
        <f t="shared" ca="1" si="41"/>
        <v>0</v>
      </c>
      <c r="I253" s="825">
        <f t="shared" ca="1" si="42"/>
        <v>1</v>
      </c>
    </row>
    <row r="254" spans="1:9" s="64" customFormat="1">
      <c r="A254" s="909" t="s">
        <v>819</v>
      </c>
      <c r="B254" s="347">
        <f>HLOOKUP(GREET1_Import_Export!$B$374,$M$9:$Q$10,2,FALSE)/HLOOKUP(GREET1_Import_Export!$B$373,$M$5:$Q$6,2,FALSE)*HLOOKUP($B$3,$M$5:$Q$6,2,FALSE)/HLOOKUP($D$4,$M$9:$Q$10,2,FALSE)*(GREET1_Import_Export!$Z385+GREET1_Import_Export!$AA385)/Vehi_Inputs!$F$150</f>
        <v>6.3781946092935776E-2</v>
      </c>
      <c r="C254" s="349">
        <f ca="1">HLOOKUP($B$3,$M$5:$Q$6,2,FALSE)/HLOOKUP($D$4,$M$9:$Q$10,2,FALSE)*Vehi_Sum!$J322</f>
        <v>3.1032345065815359E-2</v>
      </c>
      <c r="D254" s="349">
        <f>HLOOKUP(GREET1_Import_Export!$B$374,$M$9:$Q$10,2,FALSE)/HLOOKUP(GREET1_Import_Export!$B$373,$M$5:$Q$6,2,FALSE)*HLOOKUP($B$3,$M$5:$Q$6,2,FALSE)/HLOOKUP($D$4,$M$9:$Q$10,2,FALSE)*GREET1_Import_Export!$AB385/Vehi_Inputs!$F$150</f>
        <v>0</v>
      </c>
      <c r="E254" s="348">
        <f t="shared" ca="1" si="43"/>
        <v>9.4814291158751132E-2</v>
      </c>
      <c r="F254" s="382">
        <f t="shared" ca="1" si="39"/>
        <v>0.672703927999032</v>
      </c>
      <c r="G254" s="382">
        <f t="shared" ca="1" si="40"/>
        <v>0.32729607200096805</v>
      </c>
      <c r="H254" s="382">
        <f t="shared" ca="1" si="41"/>
        <v>0</v>
      </c>
      <c r="I254" s="825">
        <f t="shared" ca="1" si="42"/>
        <v>1</v>
      </c>
    </row>
    <row r="255" spans="1:9" s="64" customFormat="1">
      <c r="A255" s="849" t="s">
        <v>1895</v>
      </c>
      <c r="B255" s="517">
        <f>HLOOKUP(GREET1_Import_Export!$B$374,$M$9:$Q$10,2,FALSE)/HLOOKUP(GREET1_Import_Export!$D$373,$M$7:$Q$8,2,FALSE)*HLOOKUP($D$3,$M$7:$Q$8,2,FALSE)/HLOOKUP($D$4,$M$9:$Q$10,2,FALSE)*(GREET1_Import_Export!$Z386+GREET1_Import_Export!$AA386)/Vehi_Inputs!$F$150</f>
        <v>151.44054555945033</v>
      </c>
      <c r="C255" s="419">
        <f ca="1">HLOOKUP($D$3,$M$7:$Q$8,2,FALSE)/HLOOKUP($D$4,$M$9:$Q$10,2,FALSE)*Vehi_Sum!$J324</f>
        <v>38.478030557195837</v>
      </c>
      <c r="D255" s="419">
        <f>HLOOKUP(GREET1_Import_Export!$B$374,$M$9:$Q$10,2,FALSE)/HLOOKUP(GREET1_Import_Export!$D$373,$M$7:$Q$8,2,FALSE)*HLOOKUP($D$3,$M$7:$Q$8,2,FALSE)/HLOOKUP($D$4,$M$9:$Q$10,2,FALSE)*((GREET1_Import_Export!$AB386-(GREET1_Import_Export!$AB390*GREET1_Import_Export!$B$62+GREET1_Import_Export!$AB391*GREET1_Import_Export!$B$63)/GREET1_Import_Export!$B$65)/Vehi_Inputs!$F$150+(GREET1_Import_Export!$AB390*GREET1_Import_Export!$B$62+GREET1_Import_Export!$AB391*GREET1_Import_Export!$B$63)/GREET1_Import_Export!$B$65)</f>
        <v>0</v>
      </c>
      <c r="E255" s="516">
        <f t="shared" ca="1" si="43"/>
        <v>189.91857611664616</v>
      </c>
      <c r="F255" s="382">
        <f t="shared" ca="1" si="39"/>
        <v>0.79739722493726473</v>
      </c>
      <c r="G255" s="382">
        <f t="shared" ca="1" si="40"/>
        <v>0.2026027750627353</v>
      </c>
      <c r="H255" s="382">
        <f t="shared" ca="1" si="41"/>
        <v>0</v>
      </c>
      <c r="I255" s="825">
        <f t="shared" ca="1" si="42"/>
        <v>1</v>
      </c>
    </row>
    <row r="256" spans="1:9" s="64" customFormat="1">
      <c r="A256" s="849" t="s">
        <v>887</v>
      </c>
      <c r="B256" s="347">
        <f>HLOOKUP(GREET1_Import_Export!$B$374,$M$9:$Q$10,2,FALSE)/HLOOKUP(GREET1_Import_Export!$D$373,$M$7:$Q$8,2,FALSE)*HLOOKUP($D$3,$M$7:$Q$8,2,FALSE)/HLOOKUP($D$4,$M$9:$Q$10,2,FALSE)*(GREET1_Import_Export!$Z387+GREET1_Import_Export!$AA387)/Vehi_Inputs!$F$150</f>
        <v>0.36170009099126665</v>
      </c>
      <c r="C256" s="349">
        <f ca="1">HLOOKUP($D$3,$M$7:$Q$8,2,FALSE)/HLOOKUP($D$4,$M$9:$Q$10,2,FALSE)*Vehi_Sum!$J325</f>
        <v>0.10701035424624651</v>
      </c>
      <c r="D256" s="349">
        <f>HLOOKUP(GREET1_Import_Export!$B$374,$M$9:$Q$10,2,FALSE)/HLOOKUP(GREET1_Import_Export!$D$373,$M$7:$Q$8,2,FALSE)*HLOOKUP($D$3,$M$7:$Q$8,2,FALSE)/HLOOKUP($D$4,$M$9:$Q$10,2,FALSE)*GREET1_Import_Export!$AB387</f>
        <v>0</v>
      </c>
      <c r="E256" s="384">
        <f t="shared" ca="1" si="43"/>
        <v>0.46871044523751315</v>
      </c>
      <c r="F256" s="382">
        <f t="shared" ca="1" si="39"/>
        <v>0.77169197884629959</v>
      </c>
      <c r="G256" s="382">
        <f t="shared" ca="1" si="40"/>
        <v>0.22830802115370047</v>
      </c>
      <c r="H256" s="382">
        <f t="shared" ca="1" si="41"/>
        <v>0</v>
      </c>
      <c r="I256" s="825">
        <f t="shared" ca="1" si="42"/>
        <v>1</v>
      </c>
    </row>
    <row r="257" spans="1:9" s="64" customFormat="1">
      <c r="A257" s="849" t="s">
        <v>888</v>
      </c>
      <c r="B257" s="347">
        <f>HLOOKUP(GREET1_Import_Export!$B$374,$M$9:$Q$10,2,FALSE)/HLOOKUP(GREET1_Import_Export!$D$373,$M$7:$Q$8,2,FALSE)*HLOOKUP($D$3,$M$7:$Q$8,2,FALSE)/HLOOKUP($D$4,$M$9:$Q$10,2,FALSE)*(GREET1_Import_Export!$Z388+GREET1_Import_Export!$AA388)/Vehi_Inputs!$F$150</f>
        <v>1.4594690625740492E-3</v>
      </c>
      <c r="C257" s="349">
        <f ca="1">HLOOKUP($D$3,$M$7:$Q$8,2,FALSE)/HLOOKUP($D$4,$M$9:$Q$10,2,FALSE)*Vehi_Sum!$J326</f>
        <v>9.8724147189206517E-4</v>
      </c>
      <c r="D257" s="349">
        <f>HLOOKUP(GREET1_Import_Export!$B$374,$M$9:$Q$10,2,FALSE)/HLOOKUP(GREET1_Import_Export!$D$373,$M$7:$Q$8,2,FALSE)*HLOOKUP($D$3,$M$7:$Q$8,2,FALSE)/HLOOKUP($D$4,$M$9:$Q$10,2,FALSE)*GREET1_Import_Export!$AB388</f>
        <v>0</v>
      </c>
      <c r="E257" s="384">
        <f t="shared" ca="1" si="43"/>
        <v>2.4467105344661141E-3</v>
      </c>
      <c r="F257" s="382">
        <f t="shared" ca="1" si="39"/>
        <v>0.59650254577111772</v>
      </c>
      <c r="G257" s="382">
        <f t="shared" ca="1" si="40"/>
        <v>0.40349745422888234</v>
      </c>
      <c r="H257" s="382">
        <f t="shared" ca="1" si="41"/>
        <v>0</v>
      </c>
      <c r="I257" s="825">
        <f t="shared" ca="1" si="42"/>
        <v>1</v>
      </c>
    </row>
    <row r="258" spans="1:9" s="64" customFormat="1">
      <c r="A258" s="849" t="s">
        <v>1896</v>
      </c>
      <c r="B258" s="517">
        <f>HLOOKUP(GREET1_Import_Export!$B$374,$M$9:$Q$10,2,FALSE)/HLOOKUP(GREET1_Import_Export!$D$373,$M$7:$Q$8,2,FALSE)*HLOOKUP($D$3,$M$7:$Q$8,2,FALSE)/HLOOKUP($D$4,$M$9:$Q$10,2,FALSE)*(GREET1_Import_Export!$Z389+GREET1_Import_Export!$AA389)/Vehi_Inputs!$F$150</f>
        <v>162.6783075907704</v>
      </c>
      <c r="C258" s="419">
        <f ca="1">HLOOKUP($D$3,$M$7:$Q$8,2,FALSE)/HLOOKUP($D$4,$M$9:$Q$10,2,FALSE)*Vehi_Sum!$J327</f>
        <v>42.304193097167726</v>
      </c>
      <c r="D258" s="158">
        <f>D255+SUMPRODUCT(D256:D257,GREET1_Import_Export!$B$51:$B$52)+SUMPRODUCT(D259:D261,GREET1_Import_Export!$B$55:$B$57)+SUMPRODUCT(D265:D266,GREET1_Import_Export!$B$58:$B$59)</f>
        <v>0</v>
      </c>
      <c r="E258" s="516">
        <f t="shared" ca="1" si="43"/>
        <v>204.98250068793811</v>
      </c>
      <c r="F258" s="382">
        <f t="shared" ca="1" si="39"/>
        <v>0.79362046538025754</v>
      </c>
      <c r="G258" s="382">
        <f t="shared" ca="1" si="40"/>
        <v>0.20637953461974257</v>
      </c>
      <c r="H258" s="382">
        <f t="shared" ca="1" si="41"/>
        <v>0</v>
      </c>
      <c r="I258" s="825">
        <f t="shared" ca="1" si="42"/>
        <v>1</v>
      </c>
    </row>
    <row r="259" spans="1:9" s="64" customFormat="1">
      <c r="A259" s="849" t="s">
        <v>879</v>
      </c>
      <c r="B259" s="347">
        <f>HLOOKUP(GREET1_Import_Export!$B$374,$M$9:$Q$10,2,FALSE)/HLOOKUP(GREET1_Import_Export!$D$373,$M$7:$Q$8,2,FALSE)*HLOOKUP($D$3,$M$7:$Q$8,2,FALSE)/HLOOKUP($D$4,$M$9:$Q$10,2,FALSE)*(GREET1_Import_Export!$Z390+GREET1_Import_Export!$AA390)/Vehi_Inputs!$F$150</f>
        <v>1.9506494805126031E-2</v>
      </c>
      <c r="C259" s="349">
        <f ca="1">HLOOKUP($D$3,$M$7:$Q$8,2,FALSE)/HLOOKUP($D$4,$M$9:$Q$10,2,FALSE)*Vehi_Sum!$J328</f>
        <v>0.18958774840875528</v>
      </c>
      <c r="D259" s="349">
        <f>HLOOKUP(GREET1_Import_Export!$B$374,$M$9:$Q$10,2,FALSE)/HLOOKUP(GREET1_Import_Export!$D$373,$M$7:$Q$8,2,FALSE)*HLOOKUP($D$3,$M$7:$Q$8,2,FALSE)/HLOOKUP($D$4,$M$9:$Q$10,2,FALSE)*GREET1_Import_Export!$AB390</f>
        <v>0</v>
      </c>
      <c r="E259" s="384">
        <f t="shared" ca="1" si="43"/>
        <v>0.20909424321388131</v>
      </c>
      <c r="F259" s="382">
        <f t="shared" ca="1" si="39"/>
        <v>9.3290444085411511E-2</v>
      </c>
      <c r="G259" s="382">
        <f t="shared" ca="1" si="40"/>
        <v>0.90670955591458846</v>
      </c>
      <c r="H259" s="382">
        <f t="shared" ca="1" si="41"/>
        <v>0</v>
      </c>
      <c r="I259" s="825">
        <f t="shared" ca="1" si="42"/>
        <v>1</v>
      </c>
    </row>
    <row r="260" spans="1:9" s="64" customFormat="1">
      <c r="A260" s="849" t="s">
        <v>880</v>
      </c>
      <c r="B260" s="347">
        <f>HLOOKUP(GREET1_Import_Export!$B$374,$M$9:$Q$10,2,FALSE)/HLOOKUP(GREET1_Import_Export!$D$373,$M$7:$Q$8,2,FALSE)*HLOOKUP($D$3,$M$7:$Q$8,2,FALSE)/HLOOKUP($D$4,$M$9:$Q$10,2,FALSE)*(GREET1_Import_Export!$Z391+GREET1_Import_Export!$AA391)/Vehi_Inputs!$F$150</f>
        <v>3.3627722622449681E-2</v>
      </c>
      <c r="C260" s="349">
        <f ca="1">HLOOKUP($D$3,$M$7:$Q$8,2,FALSE)/HLOOKUP($D$4,$M$9:$Q$10,2,FALSE)*Vehi_Sum!$J329</f>
        <v>0.10533270173530328</v>
      </c>
      <c r="D260" s="349">
        <f>HLOOKUP(GREET1_Import_Export!$B$374,$M$9:$Q$10,2,FALSE)/HLOOKUP(GREET1_Import_Export!$D$373,$M$7:$Q$8,2,FALSE)*HLOOKUP($D$3,$M$7:$Q$8,2,FALSE)/HLOOKUP($D$4,$M$9:$Q$10,2,FALSE)*GREET1_Import_Export!$AB391</f>
        <v>0</v>
      </c>
      <c r="E260" s="384">
        <f t="shared" ca="1" si="43"/>
        <v>0.13896042435775297</v>
      </c>
      <c r="F260" s="382">
        <f t="shared" ca="1" si="39"/>
        <v>0.24199496207549903</v>
      </c>
      <c r="G260" s="382">
        <f t="shared" ca="1" si="40"/>
        <v>0.75800503792450091</v>
      </c>
      <c r="H260" s="382">
        <f t="shared" ca="1" si="41"/>
        <v>0</v>
      </c>
      <c r="I260" s="825">
        <f t="shared" ca="1" si="42"/>
        <v>1</v>
      </c>
    </row>
    <row r="261" spans="1:9" s="64" customFormat="1">
      <c r="A261" s="849" t="s">
        <v>881</v>
      </c>
      <c r="B261" s="347">
        <f>HLOOKUP(GREET1_Import_Export!$B$374,$M$9:$Q$10,2,FALSE)/HLOOKUP(GREET1_Import_Export!$D$373,$M$7:$Q$8,2,FALSE)*HLOOKUP($D$3,$M$7:$Q$8,2,FALSE)/HLOOKUP($D$4,$M$9:$Q$10,2,FALSE)*(GREET1_Import_Export!$Z392+GREET1_Import_Export!$AA392)/Vehi_Inputs!$F$150</f>
        <v>4.9909067371147281E-2</v>
      </c>
      <c r="C261" s="349">
        <f ca="1">HLOOKUP($D$3,$M$7:$Q$8,2,FALSE)/HLOOKUP($D$4,$M$9:$Q$10,2,FALSE)*Vehi_Sum!$J330</f>
        <v>3.8393075525988404E-2</v>
      </c>
      <c r="D261" s="349">
        <f>HLOOKUP(GREET1_Import_Export!$B$374,$M$9:$Q$10,2,FALSE)/HLOOKUP(GREET1_Import_Export!$D$373,$M$7:$Q$8,2,FALSE)*HLOOKUP($D$3,$M$7:$Q$8,2,FALSE)/HLOOKUP($D$4,$M$9:$Q$10,2,FALSE)*GREET1_Import_Export!$AB392</f>
        <v>0</v>
      </c>
      <c r="E261" s="384">
        <f t="shared" ca="1" si="43"/>
        <v>8.8302142897135685E-2</v>
      </c>
      <c r="F261" s="382">
        <f t="shared" ca="1" si="39"/>
        <v>0.56520788435776692</v>
      </c>
      <c r="G261" s="382">
        <f t="shared" ca="1" si="40"/>
        <v>0.43479211564223302</v>
      </c>
      <c r="H261" s="382">
        <f t="shared" ca="1" si="41"/>
        <v>0</v>
      </c>
      <c r="I261" s="825">
        <f t="shared" ca="1" si="42"/>
        <v>1</v>
      </c>
    </row>
    <row r="262" spans="1:9" s="64" customFormat="1">
      <c r="A262" s="849" t="s">
        <v>882</v>
      </c>
      <c r="B262" s="347">
        <f>HLOOKUP(GREET1_Import_Export!$B$374,$M$9:$Q$10,2,FALSE)/HLOOKUP(GREET1_Import_Export!$D$373,$M$7:$Q$8,2,FALSE)*HLOOKUP($D$3,$M$7:$Q$8,2,FALSE)/HLOOKUP($D$4,$M$9:$Q$10,2,FALSE)*(GREET1_Import_Export!$Z393+GREET1_Import_Export!$AA393)/Vehi_Inputs!$F$150</f>
        <v>7.1581458813569469E-3</v>
      </c>
      <c r="C262" s="349">
        <f ca="1">HLOOKUP($D$3,$M$7:$Q$8,2,FALSE)/HLOOKUP($D$4,$M$9:$Q$10,2,FALSE)*Vehi_Sum!$J331</f>
        <v>1.5739834233133052E-2</v>
      </c>
      <c r="D262" s="349">
        <f>HLOOKUP(GREET1_Import_Export!$B$374,$M$9:$Q$10,2,FALSE)/HLOOKUP(GREET1_Import_Export!$D$373,$M$7:$Q$8,2,FALSE)*HLOOKUP($D$3,$M$7:$Q$8,2,FALSE)/HLOOKUP($D$4,$M$9:$Q$10,2,FALSE)*GREET1_Import_Export!$AB393</f>
        <v>3.070061626177846E-2</v>
      </c>
      <c r="E262" s="348">
        <f t="shared" ca="1" si="43"/>
        <v>5.3598596376268459E-2</v>
      </c>
      <c r="F262" s="382">
        <f t="shared" ca="1" si="39"/>
        <v>0.13355099508774296</v>
      </c>
      <c r="G262" s="382">
        <f t="shared" ca="1" si="40"/>
        <v>0.29366131386422067</v>
      </c>
      <c r="H262" s="382">
        <f t="shared" ca="1" si="41"/>
        <v>0.5727876910480364</v>
      </c>
      <c r="I262" s="825">
        <f t="shared" ca="1" si="42"/>
        <v>1</v>
      </c>
    </row>
    <row r="263" spans="1:9" s="64" customFormat="1">
      <c r="A263" s="849" t="s">
        <v>883</v>
      </c>
      <c r="B263" s="347">
        <f>HLOOKUP(GREET1_Import_Export!$B$374,$M$9:$Q$10,2,FALSE)/HLOOKUP(GREET1_Import_Export!$D$373,$M$7:$Q$8,2,FALSE)*HLOOKUP($D$3,$M$7:$Q$8,2,FALSE)/HLOOKUP($D$4,$M$9:$Q$10,2,FALSE)*(GREET1_Import_Export!$Z394+GREET1_Import_Export!$AA394)/Vehi_Inputs!$F$150</f>
        <v>5.9300801622107274E-3</v>
      </c>
      <c r="C263" s="349">
        <f ca="1">HLOOKUP($D$3,$M$7:$Q$8,2,FALSE)/HLOOKUP($D$4,$M$9:$Q$10,2,FALSE)*Vehi_Sum!$J332</f>
        <v>7.0833660119572778E-3</v>
      </c>
      <c r="D263" s="349">
        <f>HLOOKUP(GREET1_Import_Export!$B$374,$M$9:$Q$10,2,FALSE)/HLOOKUP(GREET1_Import_Export!$D$373,$M$7:$Q$8,2,FALSE)*HLOOKUP($D$3,$M$7:$Q$8,2,FALSE)/HLOOKUP($D$4,$M$9:$Q$10,2,FALSE)*GREET1_Import_Export!$AB394</f>
        <v>4.0514755732562798E-3</v>
      </c>
      <c r="E263" s="348">
        <f t="shared" ca="1" si="43"/>
        <v>1.7064921747424286E-2</v>
      </c>
      <c r="F263" s="382">
        <f t="shared" ca="1" si="39"/>
        <v>0.34750116349673804</v>
      </c>
      <c r="G263" s="382">
        <f t="shared" ca="1" si="40"/>
        <v>0.41508341595685394</v>
      </c>
      <c r="H263" s="382">
        <f t="shared" ca="1" si="41"/>
        <v>0.23741542054640796</v>
      </c>
      <c r="I263" s="825">
        <f t="shared" ca="1" si="42"/>
        <v>1</v>
      </c>
    </row>
    <row r="264" spans="1:9" s="64" customFormat="1">
      <c r="A264" s="849" t="s">
        <v>884</v>
      </c>
      <c r="B264" s="347">
        <f>HLOOKUP(GREET1_Import_Export!$B$374,$M$9:$Q$10,2,FALSE)/HLOOKUP(GREET1_Import_Export!$D$373,$M$7:$Q$8,2,FALSE)*HLOOKUP($D$3,$M$7:$Q$8,2,FALSE)/HLOOKUP($D$4,$M$9:$Q$10,2,FALSE)*(GREET1_Import_Export!$Z395+GREET1_Import_Export!$AA395)/Vehi_Inputs!$F$150</f>
        <v>3.5373259669618191E-2</v>
      </c>
      <c r="C264" s="349">
        <f ca="1">HLOOKUP($D$3,$M$7:$Q$8,2,FALSE)/HLOOKUP($D$4,$M$9:$Q$10,2,FALSE)*Vehi_Sum!$J333</f>
        <v>0.23659026450454645</v>
      </c>
      <c r="D264" s="349">
        <f>HLOOKUP(GREET1_Import_Export!$B$374,$M$9:$Q$10,2,FALSE)/HLOOKUP(GREET1_Import_Export!$D$373,$M$7:$Q$8,2,FALSE)*HLOOKUP($D$3,$M$7:$Q$8,2,FALSE)/HLOOKUP($D$4,$M$9:$Q$10,2,FALSE)*GREET1_Import_Export!$AB395/Vehi_Inputs!$F$150</f>
        <v>0</v>
      </c>
      <c r="E264" s="348">
        <f t="shared" ca="1" si="43"/>
        <v>0.27196352417416464</v>
      </c>
      <c r="F264" s="382">
        <f t="shared" ca="1" si="39"/>
        <v>0.13006619096083363</v>
      </c>
      <c r="G264" s="382">
        <f t="shared" ca="1" si="40"/>
        <v>0.86993380903916639</v>
      </c>
      <c r="H264" s="382">
        <f t="shared" ca="1" si="41"/>
        <v>0</v>
      </c>
      <c r="I264" s="825">
        <f t="shared" ca="1" si="42"/>
        <v>1</v>
      </c>
    </row>
    <row r="265" spans="1:9" s="64" customFormat="1">
      <c r="A265" s="909" t="s">
        <v>885</v>
      </c>
      <c r="B265" s="347">
        <f>HLOOKUP(GREET1_Import_Export!$B$374,$M$9:$Q$10,2,FALSE)/HLOOKUP(GREET1_Import_Export!$D$373,$M$7:$Q$8,2,FALSE)*HLOOKUP($D$3,$M$7:$Q$8,2,FALSE)/HLOOKUP($D$4,$M$9:$Q$10,2,FALSE)*(GREET1_Import_Export!$Z396+GREET1_Import_Export!$AA396)/Vehi_Inputs!$F$150</f>
        <v>6.365713777878655E-4</v>
      </c>
      <c r="C265" s="349">
        <f ca="1">HLOOKUP($D$3,$M$7:$Q$8,2,FALSE)/HLOOKUP($D$4,$M$9:$Q$10,2,FALSE)*Vehi_Sum!$J334</f>
        <v>2.429980584439072E-4</v>
      </c>
      <c r="D265" s="349">
        <f>HLOOKUP(GREET1_Import_Export!$B$374,$M$9:$Q$10,2,FALSE)/HLOOKUP(GREET1_Import_Export!$D$373,$M$7:$Q$8,2,FALSE)*HLOOKUP($D$3,$M$7:$Q$8,2,FALSE)/HLOOKUP($D$4,$M$9:$Q$10,2,FALSE)*GREET1_Import_Export!$AB396</f>
        <v>5.7926606569309554E-4</v>
      </c>
      <c r="E265" s="348">
        <f t="shared" ca="1" si="43"/>
        <v>1.4588355019248683E-3</v>
      </c>
      <c r="F265" s="382">
        <f t="shared" ca="1" si="39"/>
        <v>0.43635583103642461</v>
      </c>
      <c r="G265" s="382">
        <f t="shared" ca="1" si="40"/>
        <v>0.16656988270663972</v>
      </c>
      <c r="H265" s="382">
        <f t="shared" ca="1" si="41"/>
        <v>0.39707428625693564</v>
      </c>
      <c r="I265" s="825">
        <f t="shared" ca="1" si="42"/>
        <v>1</v>
      </c>
    </row>
    <row r="266" spans="1:9" s="64" customFormat="1">
      <c r="A266" s="909" t="s">
        <v>886</v>
      </c>
      <c r="B266" s="347">
        <f>HLOOKUP(GREET1_Import_Export!$B$374,$M$9:$Q$10,2,FALSE)/HLOOKUP(GREET1_Import_Export!$D$373,$M$7:$Q$8,2,FALSE)*HLOOKUP($D$3,$M$7:$Q$8,2,FALSE)/HLOOKUP($D$4,$M$9:$Q$10,2,FALSE)*(GREET1_Import_Export!$Z397+GREET1_Import_Export!$AA397)/Vehi_Inputs!$F$150</f>
        <v>1.6522631131320304E-3</v>
      </c>
      <c r="C266" s="349">
        <f ca="1">HLOOKUP($D$3,$M$7:$Q$8,2,FALSE)/HLOOKUP($D$4,$M$9:$Q$10,2,FALSE)*Vehi_Sum!$J335</f>
        <v>6.1881786938690331E-4</v>
      </c>
      <c r="D266" s="349">
        <f>HLOOKUP(GREET1_Import_Export!$B$374,$M$9:$Q$10,2,FALSE)/HLOOKUP(GREET1_Import_Export!$D$373,$M$7:$Q$8,2,FALSE)*HLOOKUP($D$3,$M$7:$Q$8,2,FALSE)/HLOOKUP($D$4,$M$9:$Q$10,2,FALSE)*GREET1_Import_Export!$AB397</f>
        <v>7.242161151725634E-4</v>
      </c>
      <c r="E266" s="348">
        <f t="shared" ca="1" si="43"/>
        <v>2.9952970976914973E-3</v>
      </c>
      <c r="F266" s="382">
        <f t="shared" ca="1" si="39"/>
        <v>0.55161910796943803</v>
      </c>
      <c r="G266" s="382">
        <f t="shared" ca="1" si="40"/>
        <v>0.20659649083352427</v>
      </c>
      <c r="H266" s="382">
        <f t="shared" ca="1" si="41"/>
        <v>0.24178440119703762</v>
      </c>
      <c r="I266" s="825">
        <f t="shared" ca="1" si="42"/>
        <v>1</v>
      </c>
    </row>
    <row r="267" spans="1:9" s="64" customFormat="1">
      <c r="A267" s="849" t="s">
        <v>890</v>
      </c>
      <c r="B267" s="347">
        <f>HLOOKUP(GREET1_Import_Export!$B$374,$M$9:$Q$10,2,FALSE)/HLOOKUP(GREET1_Import_Export!$D$373,$M$7:$Q$8,2,FALSE)*HLOOKUP($D$3,$M$7:$Q$8,2,FALSE)/HLOOKUP($D$4,$M$9:$Q$10,2,FALSE)*(GREET1_Import_Export!$Z398+GREET1_Import_Export!$AA398)/Vehi_Inputs!$F$150</f>
        <v>1.2009084359509165E-3</v>
      </c>
      <c r="C267" s="377">
        <f ca="1">HLOOKUP($D$3,$M$7:$Q$8,2,FALSE)/HLOOKUP($D$4,$M$9:$Q$10,2,FALSE)*Vehi_Sum!$J336</f>
        <v>0.11082186701285679</v>
      </c>
      <c r="D267" s="377">
        <f>HLOOKUP(GREET1_Import_Export!$B$374,$M$9:$Q$10,2,FALSE)/HLOOKUP(GREET1_Import_Export!$D$373,$M$7:$Q$8,2,FALSE)*HLOOKUP($D$3,$M$7:$Q$8,2,FALSE)/HLOOKUP($D$4,$M$9:$Q$10,2,FALSE)*GREET1_Import_Export!$AB398</f>
        <v>0</v>
      </c>
      <c r="E267" s="384">
        <f t="shared" ca="1" si="43"/>
        <v>0.1120227754488077</v>
      </c>
      <c r="F267" s="382">
        <f t="shared" ca="1" si="39"/>
        <v>1.072021676966671E-2</v>
      </c>
      <c r="G267" s="382">
        <f t="shared" ca="1" si="40"/>
        <v>0.98927978323033328</v>
      </c>
      <c r="H267" s="382">
        <f t="shared" ca="1" si="41"/>
        <v>0</v>
      </c>
      <c r="I267" s="825">
        <f t="shared" ca="1" si="42"/>
        <v>1</v>
      </c>
    </row>
    <row r="268" spans="1:9" s="64" customFormat="1">
      <c r="A268" s="849" t="s">
        <v>891</v>
      </c>
      <c r="B268" s="347">
        <f>HLOOKUP(GREET1_Import_Export!$B$374,$M$9:$Q$10,2,FALSE)/HLOOKUP(GREET1_Import_Export!$D$373,$M$7:$Q$8,2,FALSE)*HLOOKUP($D$3,$M$7:$Q$8,2,FALSE)/HLOOKUP($D$4,$M$9:$Q$10,2,FALSE)*(GREET1_Import_Export!$Z399+GREET1_Import_Export!$AA399)/Vehi_Inputs!$F$150</f>
        <v>1.8202437657750402E-3</v>
      </c>
      <c r="C268" s="377">
        <f ca="1">HLOOKUP($D$3,$M$7:$Q$8,2,FALSE)/HLOOKUP($D$4,$M$9:$Q$10,2,FALSE)*Vehi_Sum!$J337</f>
        <v>1.7219182243954257E-3</v>
      </c>
      <c r="D268" s="377">
        <f>HLOOKUP(GREET1_Import_Export!$B$374,$M$9:$Q$10,2,FALSE)/HLOOKUP(GREET1_Import_Export!$D$373,$M$7:$Q$8,2,FALSE)*HLOOKUP($D$3,$M$7:$Q$8,2,FALSE)/HLOOKUP($D$4,$M$9:$Q$10,2,FALSE)*GREET1_Import_Export!$AB399</f>
        <v>0</v>
      </c>
      <c r="E268" s="384">
        <f t="shared" ca="1" si="43"/>
        <v>3.5421619901704659E-3</v>
      </c>
      <c r="F268" s="382">
        <f t="shared" ca="1" si="39"/>
        <v>0.51387931179495305</v>
      </c>
      <c r="G268" s="382">
        <f t="shared" ca="1" si="40"/>
        <v>0.48612068820504695</v>
      </c>
      <c r="H268" s="382">
        <f t="shared" ca="1" si="41"/>
        <v>0</v>
      </c>
      <c r="I268" s="825">
        <f t="shared" ca="1" si="42"/>
        <v>1</v>
      </c>
    </row>
    <row r="269" spans="1:9" s="64" customFormat="1">
      <c r="A269" s="849" t="s">
        <v>892</v>
      </c>
      <c r="B269" s="347">
        <f>HLOOKUP(GREET1_Import_Export!$B$374,$M$9:$Q$10,2,FALSE)/HLOOKUP(GREET1_Import_Export!$D$373,$M$7:$Q$8,2,FALSE)*HLOOKUP($D$3,$M$7:$Q$8,2,FALSE)/HLOOKUP($D$4,$M$9:$Q$10,2,FALSE)*(GREET1_Import_Export!$Z400+GREET1_Import_Export!$AA400)/Vehi_Inputs!$F$150</f>
        <v>5.7373136103927381E-3</v>
      </c>
      <c r="C269" s="377">
        <f ca="1">HLOOKUP($D$3,$M$7:$Q$8,2,FALSE)/HLOOKUP($D$4,$M$9:$Q$10,2,FALSE)*Vehi_Sum!$J338</f>
        <v>3.6359996107200089E-3</v>
      </c>
      <c r="D269" s="377">
        <f>HLOOKUP(GREET1_Import_Export!$B$374,$M$9:$Q$10,2,FALSE)/HLOOKUP(GREET1_Import_Export!$D$373,$M$7:$Q$8,2,FALSE)*HLOOKUP($D$3,$M$7:$Q$8,2,FALSE)/HLOOKUP($D$4,$M$9:$Q$10,2,FALSE)*GREET1_Import_Export!$AB400</f>
        <v>0</v>
      </c>
      <c r="E269" s="384">
        <f t="shared" ca="1" si="43"/>
        <v>9.3733132211127473E-3</v>
      </c>
      <c r="F269" s="382">
        <f t="shared" ca="1" si="39"/>
        <v>0.61209024760527908</v>
      </c>
      <c r="G269" s="382">
        <f t="shared" ca="1" si="40"/>
        <v>0.38790975239472081</v>
      </c>
      <c r="H269" s="382">
        <f t="shared" ca="1" si="41"/>
        <v>0</v>
      </c>
      <c r="I269" s="825">
        <f t="shared" ca="1" si="42"/>
        <v>1</v>
      </c>
    </row>
    <row r="270" spans="1:9" s="64" customFormat="1">
      <c r="A270" s="849" t="s">
        <v>893</v>
      </c>
      <c r="B270" s="347">
        <f>HLOOKUP(GREET1_Import_Export!$B$374,$M$9:$Q$10,2,FALSE)/HLOOKUP(GREET1_Import_Export!$D$373,$M$7:$Q$8,2,FALSE)*HLOOKUP($D$3,$M$7:$Q$8,2,FALSE)/HLOOKUP($D$4,$M$9:$Q$10,2,FALSE)*(GREET1_Import_Export!$Z401+GREET1_Import_Export!$AA401)/Vehi_Inputs!$F$150</f>
        <v>1.5041431856095701E-3</v>
      </c>
      <c r="C270" s="377">
        <f ca="1">HLOOKUP($D$3,$M$7:$Q$8,2,FALSE)/HLOOKUP($D$4,$M$9:$Q$10,2,FALSE)*Vehi_Sum!$J339</f>
        <v>4.295381237261807E-4</v>
      </c>
      <c r="D270" s="377">
        <f>HLOOKUP(GREET1_Import_Export!$B$374,$M$9:$Q$10,2,FALSE)/HLOOKUP(GREET1_Import_Export!$D$373,$M$7:$Q$8,2,FALSE)*HLOOKUP($D$3,$M$7:$Q$8,2,FALSE)/HLOOKUP($D$4,$M$9:$Q$10,2,FALSE)*GREET1_Import_Export!$AB401</f>
        <v>2.1490431383244919E-2</v>
      </c>
      <c r="E270" s="384">
        <f t="shared" ca="1" si="43"/>
        <v>2.342411269258067E-2</v>
      </c>
      <c r="F270" s="382">
        <f t="shared" ca="1" si="39"/>
        <v>6.4213454116705607E-2</v>
      </c>
      <c r="G270" s="382">
        <f t="shared" ca="1" si="40"/>
        <v>1.8337434137355058E-2</v>
      </c>
      <c r="H270" s="382">
        <f t="shared" ca="1" si="41"/>
        <v>0.91744911174593935</v>
      </c>
      <c r="I270" s="825">
        <f t="shared" ca="1" si="42"/>
        <v>1</v>
      </c>
    </row>
    <row r="271" spans="1:9" s="64" customFormat="1">
      <c r="A271" s="849" t="s">
        <v>894</v>
      </c>
      <c r="B271" s="347">
        <f>HLOOKUP(GREET1_Import_Export!$B$374,$M$9:$Q$10,2,FALSE)/HLOOKUP(GREET1_Import_Export!$D$373,$M$7:$Q$8,2,FALSE)*HLOOKUP($D$3,$M$7:$Q$8,2,FALSE)/HLOOKUP($D$4,$M$9:$Q$10,2,FALSE)*(GREET1_Import_Export!$Z402+GREET1_Import_Export!$AA402)/Vehi_Inputs!$F$150</f>
        <v>1.4172245330883227E-3</v>
      </c>
      <c r="C271" s="377">
        <f ca="1">HLOOKUP($D$3,$M$7:$Q$8,2,FALSE)/HLOOKUP($D$4,$M$9:$Q$10,2,FALSE)*Vehi_Sum!$J340</f>
        <v>3.7196775305143025E-4</v>
      </c>
      <c r="D271" s="377">
        <f>HLOOKUP(GREET1_Import_Export!$B$374,$M$9:$Q$10,2,FALSE)/HLOOKUP(GREET1_Import_Export!$D$373,$M$7:$Q$8,2,FALSE)*HLOOKUP($D$3,$M$7:$Q$8,2,FALSE)/HLOOKUP($D$4,$M$9:$Q$10,2,FALSE)*GREET1_Import_Export!$AB402</f>
        <v>2.8360329012793958E-3</v>
      </c>
      <c r="E271" s="384">
        <f t="shared" ca="1" si="43"/>
        <v>4.6252251874191489E-3</v>
      </c>
      <c r="F271" s="382">
        <f t="shared" ca="1" si="39"/>
        <v>0.30641200712632255</v>
      </c>
      <c r="G271" s="382">
        <f t="shared" ca="1" si="40"/>
        <v>8.0421544460840891E-2</v>
      </c>
      <c r="H271" s="382">
        <f t="shared" ca="1" si="41"/>
        <v>0.61316644841283652</v>
      </c>
      <c r="I271" s="825">
        <f t="shared" ca="1" si="42"/>
        <v>1</v>
      </c>
    </row>
    <row r="272" spans="1:9" s="64" customFormat="1">
      <c r="A272" s="849" t="s">
        <v>895</v>
      </c>
      <c r="B272" s="347">
        <f>HLOOKUP(GREET1_Import_Export!$B$374,$M$9:$Q$10,2,FALSE)/HLOOKUP(GREET1_Import_Export!$D$373,$M$7:$Q$8,2,FALSE)*HLOOKUP($D$3,$M$7:$Q$8,2,FALSE)/HLOOKUP($D$4,$M$9:$Q$10,2,FALSE)*(GREET1_Import_Export!$Z403+GREET1_Import_Export!$AA403)/Vehi_Inputs!$F$150</f>
        <v>4.4258938693310934E-3</v>
      </c>
      <c r="C272" s="377">
        <f ca="1">HLOOKUP($D$3,$M$7:$Q$8,2,FALSE)/HLOOKUP($D$4,$M$9:$Q$10,2,FALSE)*Vehi_Sum!$J341</f>
        <v>3.2556831980820621E-3</v>
      </c>
      <c r="D272" s="377">
        <f>HLOOKUP(GREET1_Import_Export!$B$374,$M$9:$Q$10,2,FALSE)/HLOOKUP(GREET1_Import_Export!$D$373,$M$7:$Q$8,2,FALSE)*HLOOKUP($D$3,$M$7:$Q$8,2,FALSE)/HLOOKUP($D$4,$M$9:$Q$10,2,FALSE)*GREET1_Import_Export!$AB403/Vehi_Inputs!$F$150</f>
        <v>0</v>
      </c>
      <c r="E272" s="384">
        <f t="shared" ca="1" si="43"/>
        <v>7.6815770674131551E-3</v>
      </c>
      <c r="F272" s="382">
        <f t="shared" ca="1" si="39"/>
        <v>0.57616994928120346</v>
      </c>
      <c r="G272" s="382">
        <f t="shared" ca="1" si="40"/>
        <v>0.42383005071879659</v>
      </c>
      <c r="H272" s="382">
        <f t="shared" ca="1" si="41"/>
        <v>0</v>
      </c>
      <c r="I272" s="825">
        <f t="shared" ca="1" si="42"/>
        <v>1</v>
      </c>
    </row>
    <row r="273" spans="1:9" s="64" customFormat="1">
      <c r="A273" s="909" t="s">
        <v>896</v>
      </c>
      <c r="B273" s="347">
        <f>HLOOKUP(GREET1_Import_Export!$B$374,$M$9:$Q$10,2,FALSE)/HLOOKUP(GREET1_Import_Export!$D$373,$M$7:$Q$8,2,FALSE)*HLOOKUP($D$3,$M$7:$Q$8,2,FALSE)/HLOOKUP($D$4,$M$9:$Q$10,2,FALSE)*(GREET1_Import_Export!$Z404+GREET1_Import_Export!$AA404)/Vehi_Inputs!$F$150</f>
        <v>1.1776103719159205E-4</v>
      </c>
      <c r="C273" s="377">
        <f ca="1">HLOOKUP($D$3,$M$7:$Q$8,2,FALSE)/HLOOKUP($D$4,$M$9:$Q$10,2,FALSE)*Vehi_Sum!$J342</f>
        <v>2.1628989022052708E-5</v>
      </c>
      <c r="D273" s="377">
        <f>HLOOKUP(GREET1_Import_Export!$B$374,$M$9:$Q$10,2,FALSE)/HLOOKUP(GREET1_Import_Export!$D$373,$M$7:$Q$8,2,FALSE)*HLOOKUP($D$3,$M$7:$Q$8,2,FALSE)/HLOOKUP($D$4,$M$9:$Q$10,2,FALSE)*GREET1_Import_Export!$AB404</f>
        <v>4.0548624598516685E-4</v>
      </c>
      <c r="E273" s="384">
        <f t="shared" ca="1" si="43"/>
        <v>5.4487627219881158E-4</v>
      </c>
      <c r="F273" s="382">
        <f t="shared" ca="1" si="39"/>
        <v>0.21612436290605075</v>
      </c>
      <c r="G273" s="382">
        <f t="shared" ca="1" si="40"/>
        <v>3.9695230138707224E-2</v>
      </c>
      <c r="H273" s="382">
        <f t="shared" ca="1" si="41"/>
        <v>0.74418040695524201</v>
      </c>
      <c r="I273" s="825">
        <f t="shared" ca="1" si="42"/>
        <v>1</v>
      </c>
    </row>
    <row r="274" spans="1:9" s="64" customFormat="1">
      <c r="A274" s="910" t="s">
        <v>897</v>
      </c>
      <c r="B274" s="503">
        <f>HLOOKUP(GREET1_Import_Export!$B$374,$M$9:$Q$10,2,FALSE)/HLOOKUP(GREET1_Import_Export!$D$373,$M$7:$Q$8,2,FALSE)*HLOOKUP($D$3,$M$7:$Q$8,2,FALSE)/HLOOKUP($D$4,$M$9:$Q$10,2,FALSE)*(GREET1_Import_Export!$Z405+GREET1_Import_Export!$AA405)/Vehi_Inputs!$F$150</f>
        <v>3.7824143634191315E-4</v>
      </c>
      <c r="C274" s="386">
        <f ca="1">HLOOKUP($D$3,$M$7:$Q$8,2,FALSE)/HLOOKUP($D$4,$M$9:$Q$10,2,FALSE)*Vehi_Sum!$J343</f>
        <v>9.2406204507770726E-5</v>
      </c>
      <c r="D274" s="386">
        <f>HLOOKUP(GREET1_Import_Export!$B$374,$M$9:$Q$10,2,FALSE)/HLOOKUP(GREET1_Import_Export!$D$373,$M$7:$Q$8,2,FALSE)*HLOOKUP($D$3,$M$7:$Q$8,2,FALSE)/HLOOKUP($D$4,$M$9:$Q$10,2,FALSE)*GREET1_Import_Export!$AB405</f>
        <v>5.0695128062079435E-4</v>
      </c>
      <c r="E274" s="388">
        <f t="shared" ca="1" si="43"/>
        <v>9.7759892147047814E-4</v>
      </c>
      <c r="F274" s="368">
        <f t="shared" ca="1" si="39"/>
        <v>0.38690860641803132</v>
      </c>
      <c r="G274" s="368">
        <f t="shared" ca="1" si="40"/>
        <v>9.4523635898427327E-2</v>
      </c>
      <c r="H274" s="368">
        <f t="shared" ca="1" si="41"/>
        <v>0.51856775768354146</v>
      </c>
      <c r="I274" s="826">
        <f t="shared" ca="1" si="42"/>
        <v>1</v>
      </c>
    </row>
    <row r="275" spans="1:9" s="64" customFormat="1">
      <c r="A275" s="111"/>
      <c r="B275" s="463"/>
      <c r="C275" s="463"/>
      <c r="D275" s="463"/>
      <c r="E275" s="463"/>
      <c r="F275" s="463"/>
      <c r="G275" s="463"/>
      <c r="H275" s="463"/>
    </row>
    <row r="276" spans="1:9" s="64" customFormat="1">
      <c r="A276" s="111" t="s">
        <v>1943</v>
      </c>
      <c r="B276" s="463"/>
      <c r="C276" s="463"/>
      <c r="D276" s="463"/>
      <c r="E276" s="463"/>
      <c r="F276" s="463"/>
      <c r="G276" s="463"/>
      <c r="H276" s="463"/>
    </row>
    <row r="277" spans="1:9" s="64" customFormat="1">
      <c r="A277" s="393"/>
      <c r="B277" s="3060" t="str">
        <f>$B$3&amp;"/"&amp;$D$4&amp;" or "&amp;$D$3&amp;"/"&amp;$D$4</f>
        <v>Btu/mile or g/mile</v>
      </c>
      <c r="C277" s="3061"/>
      <c r="D277" s="3061"/>
      <c r="E277" s="3062"/>
      <c r="F277" s="3005" t="s">
        <v>1890</v>
      </c>
      <c r="G277" s="3005"/>
      <c r="H277" s="3005"/>
      <c r="I277" s="3135"/>
    </row>
    <row r="278" spans="1:9" s="64" customFormat="1" ht="25.5">
      <c r="A278" s="908" t="s">
        <v>1923</v>
      </c>
      <c r="B278" s="1225" t="s">
        <v>1924</v>
      </c>
      <c r="C278" s="1658" t="s">
        <v>1925</v>
      </c>
      <c r="D278" s="1658" t="s">
        <v>1926</v>
      </c>
      <c r="E278" s="1226" t="s">
        <v>1894</v>
      </c>
      <c r="F278" s="1658" t="s">
        <v>1924</v>
      </c>
      <c r="G278" s="1658" t="s">
        <v>1925</v>
      </c>
      <c r="H278" s="1658" t="s">
        <v>1926</v>
      </c>
      <c r="I278" s="1226" t="s">
        <v>1894</v>
      </c>
    </row>
    <row r="279" spans="1:9" s="64" customFormat="1">
      <c r="A279" s="1103" t="s">
        <v>876</v>
      </c>
      <c r="B279" s="517">
        <f>HLOOKUP(GREET1_Import_Export!$B$374,$M$9:$Q$10,2,FALSE)/HLOOKUP(GREET1_Import_Export!$B$373,$M$5:$Q$6,2,FALSE)*HLOOKUP($B$3,$M$5:$Q$6,2,FALSE)/HLOOKUP($D$4,$M$9:$Q$10,2,FALSE)*(GREET1_Import_Export!$Z380+GREET1_Import_Export!$AA380)/Vehi_Inputs!$F$150/Vehi_Inputs!$F$154</f>
        <v>898.21380652248752</v>
      </c>
      <c r="C279" s="419">
        <f ca="1">HLOOKUP($B$3,$M$5:$Q$6,2,FALSE)/HLOOKUP($D$4,$M$9:$Q$10,2,FALSE)*Vehi_Sum!$K317</f>
        <v>922.77311003830255</v>
      </c>
      <c r="D279" s="419">
        <f>HLOOKUP(GREET1_Import_Export!$B$374,$M$9:$Q$10,2,FALSE)/HLOOKUP(GREET1_Import_Export!$B$373,$M$5:$Q$6,2,FALSE)*HLOOKUP($B$3,$M$5:$Q$6,2,FALSE)/HLOOKUP($D$4,$M$9:$Q$10,2,FALSE)*GREET1_Import_Export!$AB380/Vehi_Inputs!$F$150/Vehi_Inputs!$F$154</f>
        <v>1557.5788811243244</v>
      </c>
      <c r="E279" s="516">
        <f ca="1">SUM(B279:D279)</f>
        <v>3378.5657976851144</v>
      </c>
      <c r="F279" s="382">
        <f t="shared" ref="F279:F304" ca="1" si="44">B279/$E279</f>
        <v>0.26585653804283316</v>
      </c>
      <c r="G279" s="382">
        <f t="shared" ref="G279:G304" ca="1" si="45">C279/$E279</f>
        <v>0.27312568861928255</v>
      </c>
      <c r="H279" s="382">
        <f t="shared" ref="H279:H304" ca="1" si="46">D279/$E279</f>
        <v>0.46101777333788435</v>
      </c>
      <c r="I279" s="1104">
        <f t="shared" ref="I279:I304" ca="1" si="47">E279/$E279</f>
        <v>1</v>
      </c>
    </row>
    <row r="280" spans="1:9" s="64" customFormat="1">
      <c r="A280" s="849" t="s">
        <v>877</v>
      </c>
      <c r="B280" s="517">
        <f>HLOOKUP(GREET1_Import_Export!$B$374,$M$9:$Q$10,2,FALSE)/HLOOKUP(GREET1_Import_Export!$B$373,$M$5:$Q$6,2,FALSE)*HLOOKUP($B$3,$M$5:$Q$6,2,FALSE)/HLOOKUP($D$4,$M$9:$Q$10,2,FALSE)*(GREET1_Import_Export!$Z381+GREET1_Import_Export!$AA381)/Vehi_Inputs!$F$150/Vehi_Inputs!$F$154</f>
        <v>808.153977982588</v>
      </c>
      <c r="C280" s="419">
        <f ca="1">HLOOKUP($B$3,$M$5:$Q$6,2,FALSE)/HLOOKUP($D$4,$M$9:$Q$10,2,FALSE)*Vehi_Sum!$K318</f>
        <v>824.51884684496576</v>
      </c>
      <c r="D280" s="419">
        <f>HLOOKUP(GREET1_Import_Export!$B$374,$M$9:$Q$10,2,FALSE)/HLOOKUP(GREET1_Import_Export!$B$373,$M$5:$Q$6,2,FALSE)*HLOOKUP($B$3,$M$5:$Q$6,2,FALSE)/HLOOKUP($D$4,$M$9:$Q$10,2,FALSE)*GREET1_Import_Export!$AB381/Vehi_Inputs!$F$150/Vehi_Inputs!$F$154</f>
        <v>1557.5788811243244</v>
      </c>
      <c r="E280" s="516">
        <f ca="1">SUM(B280:D280)</f>
        <v>3190.2517059518782</v>
      </c>
      <c r="F280" s="382">
        <f t="shared" ca="1" si="44"/>
        <v>0.25331981688932548</v>
      </c>
      <c r="G280" s="382">
        <f t="shared" ca="1" si="45"/>
        <v>0.2584494650709554</v>
      </c>
      <c r="H280" s="382">
        <f t="shared" ca="1" si="46"/>
        <v>0.48823071803971912</v>
      </c>
      <c r="I280" s="825">
        <f t="shared" ca="1" si="47"/>
        <v>1</v>
      </c>
    </row>
    <row r="281" spans="1:9" s="64" customFormat="1">
      <c r="A281" s="849" t="s">
        <v>442</v>
      </c>
      <c r="B281" s="517">
        <f>HLOOKUP(GREET1_Import_Export!$B$374,$M$9:$Q$10,2,FALSE)/HLOOKUP(GREET1_Import_Export!$B$373,$M$5:$Q$6,2,FALSE)*HLOOKUP($B$3,$M$5:$Q$6,2,FALSE)/HLOOKUP($D$4,$M$9:$Q$10,2,FALSE)*(GREET1_Import_Export!$Z382+GREET1_Import_Export!$AA382)/Vehi_Inputs!$F$150/Vehi_Inputs!$F$154</f>
        <v>119.05012079152938</v>
      </c>
      <c r="C281" s="419">
        <f ca="1">HLOOKUP($B$3,$M$5:$Q$6,2,FALSE)/HLOOKUP($D$4,$M$9:$Q$10,2,FALSE)*Vehi_Sum!$K319</f>
        <v>140.24373819722612</v>
      </c>
      <c r="D281" s="419">
        <f>HLOOKUP(GREET1_Import_Export!$B$374,$M$9:$Q$10,2,FALSE)/HLOOKUP(GREET1_Import_Export!$B$373,$M$5:$Q$6,2,FALSE)*HLOOKUP($B$3,$M$5:$Q$6,2,FALSE)/HLOOKUP($D$4,$M$9:$Q$10,2,FALSE)*GREET1_Import_Export!$AB382/Vehi_Inputs!$F$150/Vehi_Inputs!$F$154</f>
        <v>0</v>
      </c>
      <c r="E281" s="516">
        <f ca="1">SUM(B281:D281)</f>
        <v>259.29385898875552</v>
      </c>
      <c r="F281" s="382">
        <f t="shared" ca="1" si="44"/>
        <v>0.45913204908062277</v>
      </c>
      <c r="G281" s="382">
        <f t="shared" ca="1" si="45"/>
        <v>0.54086795091937712</v>
      </c>
      <c r="H281" s="382">
        <f t="shared" ca="1" si="46"/>
        <v>0</v>
      </c>
      <c r="I281" s="825">
        <f t="shared" ca="1" si="47"/>
        <v>1</v>
      </c>
    </row>
    <row r="282" spans="1:9" s="64" customFormat="1">
      <c r="A282" s="849" t="s">
        <v>878</v>
      </c>
      <c r="B282" s="517">
        <f>B280-B281-B283</f>
        <v>678.05878160733312</v>
      </c>
      <c r="C282" s="419">
        <f ca="1">C280-C281-C283</f>
        <v>504.35708749566197</v>
      </c>
      <c r="D282" s="419">
        <f>D280-D281-D283</f>
        <v>1557.5788811243244</v>
      </c>
      <c r="E282" s="516">
        <f ca="1">E280-E281-E283</f>
        <v>2739.9947502273199</v>
      </c>
      <c r="F282" s="382">
        <f t="shared" ca="1" si="44"/>
        <v>0.24746718275685708</v>
      </c>
      <c r="G282" s="382">
        <f t="shared" ca="1" si="45"/>
        <v>0.18407228242091292</v>
      </c>
      <c r="H282" s="382">
        <f t="shared" ca="1" si="46"/>
        <v>0.56846053482222991</v>
      </c>
      <c r="I282" s="825">
        <f t="shared" ca="1" si="47"/>
        <v>1</v>
      </c>
    </row>
    <row r="283" spans="1:9" s="64" customFormat="1">
      <c r="A283" s="849" t="s">
        <v>440</v>
      </c>
      <c r="B283" s="517">
        <f>HLOOKUP(GREET1_Import_Export!$B$374,$M$9:$Q$10,2,FALSE)/HLOOKUP(GREET1_Import_Export!$B$373,$M$5:$Q$6,2,FALSE)*HLOOKUP($B$3,$M$5:$Q$6,2,FALSE)/HLOOKUP($D$4,$M$9:$Q$10,2,FALSE)*(GREET1_Import_Export!$Z384+GREET1_Import_Export!$AA384)/Vehi_Inputs!$F$150/Vehi_Inputs!$F$154</f>
        <v>11.045075583725469</v>
      </c>
      <c r="C283" s="419">
        <f ca="1">HLOOKUP($B$3,$M$5:$Q$6,2,FALSE)/HLOOKUP($D$4,$M$9:$Q$10,2,FALSE)*Vehi_Sum!$K321</f>
        <v>179.9180211520777</v>
      </c>
      <c r="D283" s="419">
        <f>HLOOKUP(GREET1_Import_Export!$B$374,$M$9:$Q$10,2,FALSE)/HLOOKUP(GREET1_Import_Export!$B$373,$M$5:$Q$6,2,FALSE)*HLOOKUP($B$3,$M$5:$Q$6,2,FALSE)/HLOOKUP($D$4,$M$9:$Q$10,2,FALSE)*GREET1_Import_Export!$AB384/Vehi_Inputs!$F$150/Vehi_Inputs!$F$154</f>
        <v>0</v>
      </c>
      <c r="E283" s="516">
        <f t="shared" ref="E283:E304" ca="1" si="48">SUM(B283:D283)</f>
        <v>190.96309673580316</v>
      </c>
      <c r="F283" s="382">
        <f t="shared" ca="1" si="44"/>
        <v>5.7838795937658546E-2</v>
      </c>
      <c r="G283" s="382">
        <f t="shared" ca="1" si="45"/>
        <v>0.9421612040623415</v>
      </c>
      <c r="H283" s="382">
        <f t="shared" ca="1" si="46"/>
        <v>0</v>
      </c>
      <c r="I283" s="825">
        <f t="shared" ca="1" si="47"/>
        <v>1</v>
      </c>
    </row>
    <row r="284" spans="1:9" s="64" customFormat="1">
      <c r="A284" s="909" t="s">
        <v>819</v>
      </c>
      <c r="B284" s="347">
        <f>HLOOKUP(GREET1_Import_Export!$B$374,$M$9:$Q$10,2,FALSE)/HLOOKUP(GREET1_Import_Export!$B$373,$M$5:$Q$6,2,FALSE)*HLOOKUP($B$3,$M$5:$Q$6,2,FALSE)/HLOOKUP($D$4,$M$9:$Q$10,2,FALSE)*(GREET1_Import_Export!$Z385+GREET1_Import_Export!$AA385)/Vehi_Inputs!$F$150/Vehi_Inputs!$F$154</f>
        <v>6.1414349841557719E-2</v>
      </c>
      <c r="C284" s="349">
        <f ca="1">HLOOKUP($B$3,$M$5:$Q$6,2,FALSE)/HLOOKUP($D$4,$M$9:$Q$10,2,FALSE)*Vehi_Sum!$K322</f>
        <v>4.2500041960502659E-2</v>
      </c>
      <c r="D284" s="349">
        <f>HLOOKUP(GREET1_Import_Export!$B$374,$M$9:$Q$10,2,FALSE)/HLOOKUP(GREET1_Import_Export!$B$373,$M$5:$Q$6,2,FALSE)*HLOOKUP($B$3,$M$5:$Q$6,2,FALSE)/HLOOKUP($D$4,$M$9:$Q$10,2,FALSE)*GREET1_Import_Export!$AB385/Vehi_Inputs!$F$150/Vehi_Inputs!$F$154</f>
        <v>0</v>
      </c>
      <c r="E284" s="348">
        <f t="shared" ca="1" si="48"/>
        <v>0.10391439180206039</v>
      </c>
      <c r="F284" s="382">
        <f t="shared" ca="1" si="44"/>
        <v>0.59100908715841627</v>
      </c>
      <c r="G284" s="382">
        <f t="shared" ca="1" si="45"/>
        <v>0.40899091284158368</v>
      </c>
      <c r="H284" s="382">
        <f t="shared" ca="1" si="46"/>
        <v>0</v>
      </c>
      <c r="I284" s="825">
        <f t="shared" ca="1" si="47"/>
        <v>1</v>
      </c>
    </row>
    <row r="285" spans="1:9" s="64" customFormat="1">
      <c r="A285" s="849" t="s">
        <v>1895</v>
      </c>
      <c r="B285" s="517">
        <f>HLOOKUP(GREET1_Import_Export!$B$374,$M$9:$Q$10,2,FALSE)/HLOOKUP(GREET1_Import_Export!$D$373,$M$7:$Q$8,2,FALSE)*HLOOKUP($D$3,$M$7:$Q$8,2,FALSE)/HLOOKUP($D$4,$M$9:$Q$10,2,FALSE)*(GREET1_Import_Export!$Z386+GREET1_Import_Export!$AA386)/Vehi_Inputs!$F$150/Vehi_Inputs!$F$154</f>
        <v>145.81904778560121</v>
      </c>
      <c r="C285" s="419">
        <f ca="1">HLOOKUP($D$3,$M$7:$Q$8,2,FALSE)/HLOOKUP($D$4,$M$9:$Q$10,2,FALSE)*Vehi_Sum!$K324</f>
        <v>47.33364399417038</v>
      </c>
      <c r="D285" s="419">
        <f>HLOOKUP(GREET1_Import_Export!$B$374,$M$9:$Q$10,2,FALSE)/HLOOKUP(GREET1_Import_Export!$D$373,$M$7:$Q$8,2,FALSE)*HLOOKUP($D$3,$M$7:$Q$8,2,FALSE)/HLOOKUP($D$4,$M$9:$Q$10,2,FALSE)*((GREET1_Import_Export!$AB386-(GREET1_Import_Export!$AB390*GREET1_Import_Export!$B$62+GREET1_Import_Export!$AB391*GREET1_Import_Export!$B$63)/GREET1_Import_Export!$B$65)/Vehi_Inputs!$F$150/Vehi_Inputs!$F$154+(GREET1_Import_Export!$AB390*GREET1_Import_Export!$B$62+GREET1_Import_Export!$AB391*GREET1_Import_Export!$B$63)/GREET1_Import_Export!$B$65)</f>
        <v>0</v>
      </c>
      <c r="E285" s="516">
        <f t="shared" ca="1" si="48"/>
        <v>193.1526917797716</v>
      </c>
      <c r="F285" s="382">
        <f t="shared" ca="1" si="44"/>
        <v>0.75494183612962973</v>
      </c>
      <c r="G285" s="382">
        <f t="shared" ca="1" si="45"/>
        <v>0.24505816387037022</v>
      </c>
      <c r="H285" s="382">
        <f t="shared" ca="1" si="46"/>
        <v>0</v>
      </c>
      <c r="I285" s="825">
        <f t="shared" ca="1" si="47"/>
        <v>1</v>
      </c>
    </row>
    <row r="286" spans="1:9" s="64" customFormat="1">
      <c r="A286" s="849" t="s">
        <v>887</v>
      </c>
      <c r="B286" s="347">
        <f>HLOOKUP(GREET1_Import_Export!$B$374,$M$9:$Q$10,2,FALSE)/HLOOKUP(GREET1_Import_Export!$D$373,$M$7:$Q$8,2,FALSE)*HLOOKUP($D$3,$M$7:$Q$8,2,FALSE)/HLOOKUP($D$4,$M$9:$Q$10,2,FALSE)*(GREET1_Import_Export!$Z387+GREET1_Import_Export!$AA387)/Vehi_Inputs!$F$150/Vehi_Inputs!$F$154</f>
        <v>0.34827372456609934</v>
      </c>
      <c r="C286" s="349">
        <f ca="1">HLOOKUP($D$3,$M$7:$Q$8,2,FALSE)/HLOOKUP($D$4,$M$9:$Q$10,2,FALSE)*Vehi_Sum!$K325</f>
        <v>0.14254698416498035</v>
      </c>
      <c r="D286" s="349">
        <f>HLOOKUP(GREET1_Import_Export!$B$374,$M$9:$Q$10,2,FALSE)/HLOOKUP(GREET1_Import_Export!$D$373,$M$7:$Q$8,2,FALSE)*HLOOKUP($D$3,$M$7:$Q$8,2,FALSE)/HLOOKUP($D$4,$M$9:$Q$10,2,FALSE)*GREET1_Import_Export!$AB387</f>
        <v>0</v>
      </c>
      <c r="E286" s="384">
        <f t="shared" ca="1" si="48"/>
        <v>0.49082070873107969</v>
      </c>
      <c r="F286" s="382">
        <f t="shared" ca="1" si="44"/>
        <v>0.7095742261293182</v>
      </c>
      <c r="G286" s="382">
        <f t="shared" ca="1" si="45"/>
        <v>0.29042577387068186</v>
      </c>
      <c r="H286" s="382">
        <f t="shared" ca="1" si="46"/>
        <v>0</v>
      </c>
      <c r="I286" s="825">
        <f t="shared" ca="1" si="47"/>
        <v>1</v>
      </c>
    </row>
    <row r="287" spans="1:9" s="64" customFormat="1">
      <c r="A287" s="849" t="s">
        <v>888</v>
      </c>
      <c r="B287" s="347">
        <f>HLOOKUP(GREET1_Import_Export!$B$374,$M$9:$Q$10,2,FALSE)/HLOOKUP(GREET1_Import_Export!$D$373,$M$7:$Q$8,2,FALSE)*HLOOKUP($D$3,$M$7:$Q$8,2,FALSE)/HLOOKUP($D$4,$M$9:$Q$10,2,FALSE)*(GREET1_Import_Export!$Z388+GREET1_Import_Export!$AA388)/Vehi_Inputs!$F$150/Vehi_Inputs!$F$154</f>
        <v>1.4052933327128483E-3</v>
      </c>
      <c r="C287" s="349">
        <f ca="1">HLOOKUP($D$3,$M$7:$Q$8,2,FALSE)/HLOOKUP($D$4,$M$9:$Q$10,2,FALSE)*Vehi_Sum!$K326</f>
        <v>1.2896336315103378E-3</v>
      </c>
      <c r="D287" s="349">
        <f>HLOOKUP(GREET1_Import_Export!$B$374,$M$9:$Q$10,2,FALSE)/HLOOKUP(GREET1_Import_Export!$D$373,$M$7:$Q$8,2,FALSE)*HLOOKUP($D$3,$M$7:$Q$8,2,FALSE)/HLOOKUP($D$4,$M$9:$Q$10,2,FALSE)*GREET1_Import_Export!$AB388</f>
        <v>0</v>
      </c>
      <c r="E287" s="384">
        <f t="shared" ca="1" si="48"/>
        <v>2.6949269642231859E-3</v>
      </c>
      <c r="F287" s="382">
        <f t="shared" ca="1" si="44"/>
        <v>0.52145878213732033</v>
      </c>
      <c r="G287" s="382">
        <f t="shared" ca="1" si="45"/>
        <v>0.47854121786267978</v>
      </c>
      <c r="H287" s="382">
        <f t="shared" ca="1" si="46"/>
        <v>0</v>
      </c>
      <c r="I287" s="825">
        <f t="shared" ca="1" si="47"/>
        <v>1</v>
      </c>
    </row>
    <row r="288" spans="1:9" s="64" customFormat="1">
      <c r="A288" s="849" t="s">
        <v>1896</v>
      </c>
      <c r="B288" s="517">
        <f>HLOOKUP(GREET1_Import_Export!$B$374,$M$9:$Q$10,2,FALSE)/HLOOKUP(GREET1_Import_Export!$D$373,$M$7:$Q$8,2,FALSE)*HLOOKUP($D$3,$M$7:$Q$8,2,FALSE)/HLOOKUP($D$4,$M$9:$Q$10,2,FALSE)*(GREET1_Import_Export!$Z389+GREET1_Import_Export!$AA389)/Vehi_Inputs!$F$150/Vehi_Inputs!$F$154</f>
        <v>156.63966225575305</v>
      </c>
      <c r="C288" s="419">
        <f ca="1">HLOOKUP($D$3,$M$7:$Q$8,2,FALSE)/HLOOKUP($D$4,$M$9:$Q$10,2,FALSE)*Vehi_Sum!$K327</f>
        <v>53.069266124548264</v>
      </c>
      <c r="D288" s="158">
        <f>D285+SUMPRODUCT(D286:D287,GREET1_Import_Export!$B$51:$B$52)+SUMPRODUCT(D289:D291,GREET1_Import_Export!$B$55:$B$57)+SUMPRODUCT(D295:D296,GREET1_Import_Export!$B$58:$B$59)</f>
        <v>0</v>
      </c>
      <c r="E288" s="516">
        <f t="shared" ca="1" si="48"/>
        <v>209.7089283803013</v>
      </c>
      <c r="F288" s="382">
        <f t="shared" ca="1" si="44"/>
        <v>0.74693845162229522</v>
      </c>
      <c r="G288" s="382">
        <f t="shared" ca="1" si="45"/>
        <v>0.25306154837770489</v>
      </c>
      <c r="H288" s="382">
        <f t="shared" ca="1" si="46"/>
        <v>0</v>
      </c>
      <c r="I288" s="825">
        <f t="shared" ca="1" si="47"/>
        <v>1</v>
      </c>
    </row>
    <row r="289" spans="1:9" s="64" customFormat="1">
      <c r="A289" s="849" t="s">
        <v>879</v>
      </c>
      <c r="B289" s="347">
        <f>HLOOKUP(GREET1_Import_Export!$B$374,$M$9:$Q$10,2,FALSE)/HLOOKUP(GREET1_Import_Export!$D$373,$M$7:$Q$8,2,FALSE)*HLOOKUP($D$3,$M$7:$Q$8,2,FALSE)/HLOOKUP($D$4,$M$9:$Q$10,2,FALSE)*(GREET1_Import_Export!$Z390+GREET1_Import_Export!$AA390)/Vehi_Inputs!$F$150/Vehi_Inputs!$F$154</f>
        <v>1.878241053352277E-2</v>
      </c>
      <c r="C289" s="349">
        <f ca="1">HLOOKUP($D$3,$M$7:$Q$8,2,FALSE)/HLOOKUP($D$4,$M$9:$Q$10,2,FALSE)*Vehi_Sum!$K328</f>
        <v>0.18680253271799921</v>
      </c>
      <c r="D289" s="349">
        <f>HLOOKUP(GREET1_Import_Export!$B$374,$M$9:$Q$10,2,FALSE)/HLOOKUP(GREET1_Import_Export!$D$373,$M$7:$Q$8,2,FALSE)*HLOOKUP($D$3,$M$7:$Q$8,2,FALSE)/HLOOKUP($D$4,$M$9:$Q$10,2,FALSE)*GREET1_Import_Export!$AB390</f>
        <v>0</v>
      </c>
      <c r="E289" s="384">
        <f t="shared" ca="1" si="48"/>
        <v>0.20558494325152199</v>
      </c>
      <c r="F289" s="382">
        <f t="shared" ca="1" si="44"/>
        <v>9.1360827483088158E-2</v>
      </c>
      <c r="G289" s="382">
        <f t="shared" ca="1" si="45"/>
        <v>0.90863917251691184</v>
      </c>
      <c r="H289" s="382">
        <f t="shared" ca="1" si="46"/>
        <v>0</v>
      </c>
      <c r="I289" s="825">
        <f t="shared" ca="1" si="47"/>
        <v>1</v>
      </c>
    </row>
    <row r="290" spans="1:9" s="64" customFormat="1">
      <c r="A290" s="849" t="s">
        <v>880</v>
      </c>
      <c r="B290" s="347">
        <f>HLOOKUP(GREET1_Import_Export!$B$374,$M$9:$Q$10,2,FALSE)/HLOOKUP(GREET1_Import_Export!$D$373,$M$7:$Q$8,2,FALSE)*HLOOKUP($D$3,$M$7:$Q$8,2,FALSE)/HLOOKUP($D$4,$M$9:$Q$10,2,FALSE)*(GREET1_Import_Export!$Z391+GREET1_Import_Export!$AA391)/Vehi_Inputs!$F$150/Vehi_Inputs!$F$154</f>
        <v>3.2379456068975687E-2</v>
      </c>
      <c r="C290" s="349">
        <f ca="1">HLOOKUP($D$3,$M$7:$Q$8,2,FALSE)/HLOOKUP($D$4,$M$9:$Q$10,2,FALSE)*Vehi_Sum!$K329</f>
        <v>6.5942838575093796E-2</v>
      </c>
      <c r="D290" s="349">
        <f>HLOOKUP(GREET1_Import_Export!$B$374,$M$9:$Q$10,2,FALSE)/HLOOKUP(GREET1_Import_Export!$D$373,$M$7:$Q$8,2,FALSE)*HLOOKUP($D$3,$M$7:$Q$8,2,FALSE)/HLOOKUP($D$4,$M$9:$Q$10,2,FALSE)*GREET1_Import_Export!$AB391</f>
        <v>0</v>
      </c>
      <c r="E290" s="384">
        <f t="shared" ca="1" si="48"/>
        <v>9.8322294644069483E-2</v>
      </c>
      <c r="F290" s="382">
        <f t="shared" ca="1" si="44"/>
        <v>0.32931957280076279</v>
      </c>
      <c r="G290" s="382">
        <f t="shared" ca="1" si="45"/>
        <v>0.67068042719923726</v>
      </c>
      <c r="H290" s="382">
        <f t="shared" ca="1" si="46"/>
        <v>0</v>
      </c>
      <c r="I290" s="825">
        <f t="shared" ca="1" si="47"/>
        <v>1</v>
      </c>
    </row>
    <row r="291" spans="1:9" s="64" customFormat="1">
      <c r="A291" s="849" t="s">
        <v>881</v>
      </c>
      <c r="B291" s="347">
        <f>HLOOKUP(GREET1_Import_Export!$B$374,$M$9:$Q$10,2,FALSE)/HLOOKUP(GREET1_Import_Export!$D$373,$M$7:$Q$8,2,FALSE)*HLOOKUP($D$3,$M$7:$Q$8,2,FALSE)/HLOOKUP($D$4,$M$9:$Q$10,2,FALSE)*(GREET1_Import_Export!$Z392+GREET1_Import_Export!$AA392)/Vehi_Inputs!$F$150/Vehi_Inputs!$F$154</f>
        <v>4.8056434642670676E-2</v>
      </c>
      <c r="C291" s="349">
        <f ca="1">HLOOKUP($D$3,$M$7:$Q$8,2,FALSE)/HLOOKUP($D$4,$M$9:$Q$10,2,FALSE)*Vehi_Sum!$K330</f>
        <v>4.8096216543491582E-2</v>
      </c>
      <c r="D291" s="349">
        <f>HLOOKUP(GREET1_Import_Export!$B$374,$M$9:$Q$10,2,FALSE)/HLOOKUP(GREET1_Import_Export!$D$373,$M$7:$Q$8,2,FALSE)*HLOOKUP($D$3,$M$7:$Q$8,2,FALSE)/HLOOKUP($D$4,$M$9:$Q$10,2,FALSE)*GREET1_Import_Export!$AB392</f>
        <v>0</v>
      </c>
      <c r="E291" s="384">
        <f t="shared" ca="1" si="48"/>
        <v>9.6152651186162258E-2</v>
      </c>
      <c r="F291" s="382">
        <f t="shared" ca="1" si="44"/>
        <v>0.49979313154483967</v>
      </c>
      <c r="G291" s="382">
        <f t="shared" ca="1" si="45"/>
        <v>0.50020686845516038</v>
      </c>
      <c r="H291" s="382">
        <f t="shared" ca="1" si="46"/>
        <v>0</v>
      </c>
      <c r="I291" s="825">
        <f t="shared" ca="1" si="47"/>
        <v>1</v>
      </c>
    </row>
    <row r="292" spans="1:9" s="64" customFormat="1">
      <c r="A292" s="849" t="s">
        <v>882</v>
      </c>
      <c r="B292" s="347">
        <f>HLOOKUP(GREET1_Import_Export!$B$374,$M$9:$Q$10,2,FALSE)/HLOOKUP(GREET1_Import_Export!$D$373,$M$7:$Q$8,2,FALSE)*HLOOKUP($D$3,$M$7:$Q$8,2,FALSE)/HLOOKUP($D$4,$M$9:$Q$10,2,FALSE)*(GREET1_Import_Export!$Z393+GREET1_Import_Export!$AA393)/Vehi_Inputs!$F$150/Vehi_Inputs!$F$154</f>
        <v>6.8924343376730356E-3</v>
      </c>
      <c r="C292" s="349">
        <f ca="1">HLOOKUP($D$3,$M$7:$Q$8,2,FALSE)/HLOOKUP($D$4,$M$9:$Q$10,2,FALSE)*Vehi_Sum!$K331</f>
        <v>2.2389943984190547E-2</v>
      </c>
      <c r="D292" s="349">
        <f>HLOOKUP(GREET1_Import_Export!$B$374,$M$9:$Q$10,2,FALSE)/HLOOKUP(GREET1_Import_Export!$D$373,$M$7:$Q$8,2,FALSE)*HLOOKUP($D$3,$M$7:$Q$8,2,FALSE)/HLOOKUP($D$4,$M$9:$Q$10,2,FALSE)*GREET1_Import_Export!$AB393</f>
        <v>3.070061626177846E-2</v>
      </c>
      <c r="E292" s="348">
        <f t="shared" ca="1" si="48"/>
        <v>5.9982994583642042E-2</v>
      </c>
      <c r="F292" s="382">
        <f t="shared" ca="1" si="44"/>
        <v>0.11490647283476359</v>
      </c>
      <c r="G292" s="382">
        <f t="shared" ca="1" si="45"/>
        <v>0.37327152703203831</v>
      </c>
      <c r="H292" s="382">
        <f t="shared" ca="1" si="46"/>
        <v>0.51182200013319812</v>
      </c>
      <c r="I292" s="825">
        <f t="shared" ca="1" si="47"/>
        <v>1</v>
      </c>
    </row>
    <row r="293" spans="1:9" s="64" customFormat="1">
      <c r="A293" s="849" t="s">
        <v>883</v>
      </c>
      <c r="B293" s="347">
        <f>HLOOKUP(GREET1_Import_Export!$B$374,$M$9:$Q$10,2,FALSE)/HLOOKUP(GREET1_Import_Export!$D$373,$M$7:$Q$8,2,FALSE)*HLOOKUP($D$3,$M$7:$Q$8,2,FALSE)/HLOOKUP($D$4,$M$9:$Q$10,2,FALSE)*(GREET1_Import_Export!$Z394+GREET1_Import_Export!$AA394)/Vehi_Inputs!$F$150/Vehi_Inputs!$F$154</f>
        <v>5.7099546185033602E-3</v>
      </c>
      <c r="C293" s="349">
        <f ca="1">HLOOKUP($D$3,$M$7:$Q$8,2,FALSE)/HLOOKUP($D$4,$M$9:$Q$10,2,FALSE)*Vehi_Sum!$K332</f>
        <v>7.6233520512684113E-3</v>
      </c>
      <c r="D293" s="349">
        <f>HLOOKUP(GREET1_Import_Export!$B$374,$M$9:$Q$10,2,FALSE)/HLOOKUP(GREET1_Import_Export!$D$373,$M$7:$Q$8,2,FALSE)*HLOOKUP($D$3,$M$7:$Q$8,2,FALSE)/HLOOKUP($D$4,$M$9:$Q$10,2,FALSE)*GREET1_Import_Export!$AB394</f>
        <v>4.0514755732562798E-3</v>
      </c>
      <c r="E293" s="348">
        <f t="shared" ca="1" si="48"/>
        <v>1.738478224302805E-2</v>
      </c>
      <c r="F293" s="382">
        <f t="shared" ca="1" si="44"/>
        <v>0.32844556455651125</v>
      </c>
      <c r="G293" s="382">
        <f t="shared" ca="1" si="45"/>
        <v>0.4385071923650733</v>
      </c>
      <c r="H293" s="382">
        <f t="shared" ca="1" si="46"/>
        <v>0.23304724307841551</v>
      </c>
      <c r="I293" s="825">
        <f t="shared" ca="1" si="47"/>
        <v>1</v>
      </c>
    </row>
    <row r="294" spans="1:9" s="64" customFormat="1">
      <c r="A294" s="849" t="s">
        <v>884</v>
      </c>
      <c r="B294" s="347">
        <f>HLOOKUP(GREET1_Import_Export!$B$374,$M$9:$Q$10,2,FALSE)/HLOOKUP(GREET1_Import_Export!$D$373,$M$7:$Q$8,2,FALSE)*HLOOKUP($D$3,$M$7:$Q$8,2,FALSE)/HLOOKUP($D$4,$M$9:$Q$10,2,FALSE)*(GREET1_Import_Export!$Z395+GREET1_Import_Export!$AA395)/Vehi_Inputs!$F$150/Vehi_Inputs!$F$154</f>
        <v>3.4060198495994225E-2</v>
      </c>
      <c r="C294" s="349">
        <f ca="1">HLOOKUP($D$3,$M$7:$Q$8,2,FALSE)/HLOOKUP($D$4,$M$9:$Q$10,2,FALSE)*Vehi_Sum!$K333</f>
        <v>0.22470964835138624</v>
      </c>
      <c r="D294" s="349">
        <f>HLOOKUP(GREET1_Import_Export!$B$374,$M$9:$Q$10,2,FALSE)/HLOOKUP(GREET1_Import_Export!$D$373,$M$7:$Q$8,2,FALSE)*HLOOKUP($D$3,$M$7:$Q$8,2,FALSE)/HLOOKUP($D$4,$M$9:$Q$10,2,FALSE)*GREET1_Import_Export!$AB395/Vehi_Inputs!$F$150/Vehi_Inputs!$F$154</f>
        <v>0</v>
      </c>
      <c r="E294" s="348">
        <f t="shared" ca="1" si="48"/>
        <v>0.25876984684738047</v>
      </c>
      <c r="F294" s="382">
        <f t="shared" ca="1" si="44"/>
        <v>0.13162352148425757</v>
      </c>
      <c r="G294" s="382">
        <f t="shared" ca="1" si="45"/>
        <v>0.8683764785157424</v>
      </c>
      <c r="H294" s="382">
        <f t="shared" ca="1" si="46"/>
        <v>0</v>
      </c>
      <c r="I294" s="825">
        <f t="shared" ca="1" si="47"/>
        <v>1</v>
      </c>
    </row>
    <row r="295" spans="1:9" s="64" customFormat="1">
      <c r="A295" s="909" t="s">
        <v>885</v>
      </c>
      <c r="B295" s="347">
        <f>HLOOKUP(GREET1_Import_Export!$B$374,$M$9:$Q$10,2,FALSE)/HLOOKUP(GREET1_Import_Export!$D$373,$M$7:$Q$8,2,FALSE)*HLOOKUP($D$3,$M$7:$Q$8,2,FALSE)/HLOOKUP($D$4,$M$9:$Q$10,2,FALSE)*(GREET1_Import_Export!$Z396+GREET1_Import_Export!$AA396)/Vehi_Inputs!$F$150/Vehi_Inputs!$F$154</f>
        <v>6.1294174432404683E-4</v>
      </c>
      <c r="C295" s="349">
        <f ca="1">HLOOKUP($D$3,$M$7:$Q$8,2,FALSE)/HLOOKUP($D$4,$M$9:$Q$10,2,FALSE)*Vehi_Sum!$K334</f>
        <v>3.3019379695399027E-4</v>
      </c>
      <c r="D295" s="349">
        <f>HLOOKUP(GREET1_Import_Export!$B$374,$M$9:$Q$10,2,FALSE)/HLOOKUP(GREET1_Import_Export!$D$373,$M$7:$Q$8,2,FALSE)*HLOOKUP($D$3,$M$7:$Q$8,2,FALSE)/HLOOKUP($D$4,$M$9:$Q$10,2,FALSE)*GREET1_Import_Export!$AB396</f>
        <v>5.7926606569309554E-4</v>
      </c>
      <c r="E295" s="348">
        <f t="shared" ca="1" si="48"/>
        <v>1.5224016069711327E-3</v>
      </c>
      <c r="F295" s="382">
        <f t="shared" ca="1" si="44"/>
        <v>0.40261501401296751</v>
      </c>
      <c r="G295" s="382">
        <f t="shared" ca="1" si="45"/>
        <v>0.21689007384255296</v>
      </c>
      <c r="H295" s="382">
        <f t="shared" ca="1" si="46"/>
        <v>0.3804949121444795</v>
      </c>
      <c r="I295" s="825">
        <f t="shared" ca="1" si="47"/>
        <v>1</v>
      </c>
    </row>
    <row r="296" spans="1:9" s="64" customFormat="1">
      <c r="A296" s="909" t="s">
        <v>886</v>
      </c>
      <c r="B296" s="347">
        <f>HLOOKUP(GREET1_Import_Export!$B$374,$M$9:$Q$10,2,FALSE)/HLOOKUP(GREET1_Import_Export!$D$373,$M$7:$Q$8,2,FALSE)*HLOOKUP($D$3,$M$7:$Q$8,2,FALSE)/HLOOKUP($D$4,$M$9:$Q$10,2,FALSE)*(GREET1_Import_Export!$Z397+GREET1_Import_Export!$AA397)/Vehi_Inputs!$F$150/Vehi_Inputs!$F$154</f>
        <v>1.5909308366404717E-3</v>
      </c>
      <c r="C296" s="349">
        <f ca="1">HLOOKUP($D$3,$M$7:$Q$8,2,FALSE)/HLOOKUP($D$4,$M$9:$Q$10,2,FALSE)*Vehi_Sum!$K335</f>
        <v>8.2598720868974412E-4</v>
      </c>
      <c r="D296" s="349">
        <f>HLOOKUP(GREET1_Import_Export!$B$374,$M$9:$Q$10,2,FALSE)/HLOOKUP(GREET1_Import_Export!$D$373,$M$7:$Q$8,2,FALSE)*HLOOKUP($D$3,$M$7:$Q$8,2,FALSE)/HLOOKUP($D$4,$M$9:$Q$10,2,FALSE)*GREET1_Import_Export!$AB397</f>
        <v>7.242161151725634E-4</v>
      </c>
      <c r="E296" s="348">
        <f t="shared" ca="1" si="48"/>
        <v>3.1411341605027793E-3</v>
      </c>
      <c r="F296" s="382">
        <f t="shared" ca="1" si="44"/>
        <v>0.50648293111613629</v>
      </c>
      <c r="G296" s="382">
        <f t="shared" ca="1" si="45"/>
        <v>0.26295827127534538</v>
      </c>
      <c r="H296" s="382">
        <f t="shared" ca="1" si="46"/>
        <v>0.23055879760851833</v>
      </c>
      <c r="I296" s="825">
        <f t="shared" ca="1" si="47"/>
        <v>1</v>
      </c>
    </row>
    <row r="297" spans="1:9" s="64" customFormat="1">
      <c r="A297" s="849" t="s">
        <v>890</v>
      </c>
      <c r="B297" s="347">
        <f>HLOOKUP(GREET1_Import_Export!$B$374,$M$9:$Q$10,2,FALSE)/HLOOKUP(GREET1_Import_Export!$D$373,$M$7:$Q$8,2,FALSE)*HLOOKUP($D$3,$M$7:$Q$8,2,FALSE)/HLOOKUP($D$4,$M$9:$Q$10,2,FALSE)*(GREET1_Import_Export!$Z398+GREET1_Import_Export!$AA398)/Vehi_Inputs!$F$150/Vehi_Inputs!$F$154</f>
        <v>1.1563305187600112E-3</v>
      </c>
      <c r="C297" s="377">
        <f ca="1">HLOOKUP($D$3,$M$7:$Q$8,2,FALSE)/HLOOKUP($D$4,$M$9:$Q$10,2,FALSE)*Vehi_Sum!$K336</f>
        <v>0.11113821752031272</v>
      </c>
      <c r="D297" s="377">
        <f>HLOOKUP(GREET1_Import_Export!$B$374,$M$9:$Q$10,2,FALSE)/HLOOKUP(GREET1_Import_Export!$D$373,$M$7:$Q$8,2,FALSE)*HLOOKUP($D$3,$M$7:$Q$8,2,FALSE)/HLOOKUP($D$4,$M$9:$Q$10,2,FALSE)*GREET1_Import_Export!$AB398</f>
        <v>0</v>
      </c>
      <c r="E297" s="384">
        <f t="shared" ca="1" si="48"/>
        <v>0.11229454803907274</v>
      </c>
      <c r="F297" s="382">
        <f t="shared" ca="1" si="44"/>
        <v>1.0297298835538014E-2</v>
      </c>
      <c r="G297" s="382">
        <f t="shared" ca="1" si="45"/>
        <v>0.98970270116446191</v>
      </c>
      <c r="H297" s="382">
        <f t="shared" ca="1" si="46"/>
        <v>0</v>
      </c>
      <c r="I297" s="825">
        <f t="shared" ca="1" si="47"/>
        <v>1</v>
      </c>
    </row>
    <row r="298" spans="1:9" s="64" customFormat="1">
      <c r="A298" s="849" t="s">
        <v>891</v>
      </c>
      <c r="B298" s="347">
        <f>HLOOKUP(GREET1_Import_Export!$B$374,$M$9:$Q$10,2,FALSE)/HLOOKUP(GREET1_Import_Export!$D$373,$M$7:$Q$8,2,FALSE)*HLOOKUP($D$3,$M$7:$Q$8,2,FALSE)/HLOOKUP($D$4,$M$9:$Q$10,2,FALSE)*(GREET1_Import_Export!$Z399+GREET1_Import_Export!$AA399)/Vehi_Inputs!$F$150/Vehi_Inputs!$F$154</f>
        <v>1.7526760200345167E-3</v>
      </c>
      <c r="C298" s="377">
        <f ca="1">HLOOKUP($D$3,$M$7:$Q$8,2,FALSE)/HLOOKUP($D$4,$M$9:$Q$10,2,FALSE)*Vehi_Sum!$K337</f>
        <v>2.404277458745338E-3</v>
      </c>
      <c r="D298" s="377">
        <f>HLOOKUP(GREET1_Import_Export!$B$374,$M$9:$Q$10,2,FALSE)/HLOOKUP(GREET1_Import_Export!$D$373,$M$7:$Q$8,2,FALSE)*HLOOKUP($D$3,$M$7:$Q$8,2,FALSE)/HLOOKUP($D$4,$M$9:$Q$10,2,FALSE)*GREET1_Import_Export!$AB399</f>
        <v>0</v>
      </c>
      <c r="E298" s="384">
        <f t="shared" ca="1" si="48"/>
        <v>4.1569534787798549E-3</v>
      </c>
      <c r="F298" s="382">
        <f t="shared" ca="1" si="44"/>
        <v>0.42162512257629609</v>
      </c>
      <c r="G298" s="382">
        <f t="shared" ca="1" si="45"/>
        <v>0.57837487742370386</v>
      </c>
      <c r="H298" s="382">
        <f t="shared" ca="1" si="46"/>
        <v>0</v>
      </c>
      <c r="I298" s="825">
        <f t="shared" ca="1" si="47"/>
        <v>1</v>
      </c>
    </row>
    <row r="299" spans="1:9" s="64" customFormat="1">
      <c r="A299" s="849" t="s">
        <v>892</v>
      </c>
      <c r="B299" s="347">
        <f>HLOOKUP(GREET1_Import_Export!$B$374,$M$9:$Q$10,2,FALSE)/HLOOKUP(GREET1_Import_Export!$D$373,$M$7:$Q$8,2,FALSE)*HLOOKUP($D$3,$M$7:$Q$8,2,FALSE)/HLOOKUP($D$4,$M$9:$Q$10,2,FALSE)*(GREET1_Import_Export!$Z400+GREET1_Import_Export!$AA400)/Vehi_Inputs!$F$150/Vehi_Inputs!$F$154</f>
        <v>5.5243435925580106E-3</v>
      </c>
      <c r="C299" s="377">
        <f ca="1">HLOOKUP($D$3,$M$7:$Q$8,2,FALSE)/HLOOKUP($D$4,$M$9:$Q$10,2,FALSE)*Vehi_Sum!$K338</f>
        <v>4.96491180006712E-3</v>
      </c>
      <c r="D299" s="377">
        <f>HLOOKUP(GREET1_Import_Export!$B$374,$M$9:$Q$10,2,FALSE)/HLOOKUP(GREET1_Import_Export!$D$373,$M$7:$Q$8,2,FALSE)*HLOOKUP($D$3,$M$7:$Q$8,2,FALSE)/HLOOKUP($D$4,$M$9:$Q$10,2,FALSE)*GREET1_Import_Export!$AB400</f>
        <v>0</v>
      </c>
      <c r="E299" s="384">
        <f t="shared" ca="1" si="48"/>
        <v>1.048925539262513E-2</v>
      </c>
      <c r="F299" s="382">
        <f t="shared" ca="1" si="44"/>
        <v>0.52666689729397864</v>
      </c>
      <c r="G299" s="382">
        <f t="shared" ca="1" si="45"/>
        <v>0.47333310270602147</v>
      </c>
      <c r="H299" s="382">
        <f t="shared" ca="1" si="46"/>
        <v>0</v>
      </c>
      <c r="I299" s="825">
        <f t="shared" ca="1" si="47"/>
        <v>1</v>
      </c>
    </row>
    <row r="300" spans="1:9" s="64" customFormat="1">
      <c r="A300" s="849" t="s">
        <v>893</v>
      </c>
      <c r="B300" s="347">
        <f>HLOOKUP(GREET1_Import_Export!$B$374,$M$9:$Q$10,2,FALSE)/HLOOKUP(GREET1_Import_Export!$D$373,$M$7:$Q$8,2,FALSE)*HLOOKUP($D$3,$M$7:$Q$8,2,FALSE)/HLOOKUP($D$4,$M$9:$Q$10,2,FALSE)*(GREET1_Import_Export!$Z401+GREET1_Import_Export!$AA401)/Vehi_Inputs!$F$150/Vehi_Inputs!$F$154</f>
        <v>1.4483091450082362E-3</v>
      </c>
      <c r="C300" s="377">
        <f ca="1">HLOOKUP($D$3,$M$7:$Q$8,2,FALSE)/HLOOKUP($D$4,$M$9:$Q$10,2,FALSE)*Vehi_Sum!$K339</f>
        <v>5.7654284472966749E-4</v>
      </c>
      <c r="D300" s="377">
        <f>HLOOKUP(GREET1_Import_Export!$B$374,$M$9:$Q$10,2,FALSE)/HLOOKUP(GREET1_Import_Export!$D$373,$M$7:$Q$8,2,FALSE)*HLOOKUP($D$3,$M$7:$Q$8,2,FALSE)/HLOOKUP($D$4,$M$9:$Q$10,2,FALSE)*GREET1_Import_Export!$AB401</f>
        <v>2.1490431383244919E-2</v>
      </c>
      <c r="E300" s="384">
        <f t="shared" ca="1" si="48"/>
        <v>2.3515283372982823E-2</v>
      </c>
      <c r="F300" s="382">
        <f t="shared" ca="1" si="44"/>
        <v>6.1590120860385948E-2</v>
      </c>
      <c r="G300" s="382">
        <f t="shared" ca="1" si="45"/>
        <v>2.4517792772681152E-2</v>
      </c>
      <c r="H300" s="382">
        <f t="shared" ca="1" si="46"/>
        <v>0.91389208636693287</v>
      </c>
      <c r="I300" s="825">
        <f t="shared" ca="1" si="47"/>
        <v>1</v>
      </c>
    </row>
    <row r="301" spans="1:9" s="64" customFormat="1">
      <c r="A301" s="849" t="s">
        <v>894</v>
      </c>
      <c r="B301" s="347">
        <f>HLOOKUP(GREET1_Import_Export!$B$374,$M$9:$Q$10,2,FALSE)/HLOOKUP(GREET1_Import_Export!$D$373,$M$7:$Q$8,2,FALSE)*HLOOKUP($D$3,$M$7:$Q$8,2,FALSE)/HLOOKUP($D$4,$M$9:$Q$10,2,FALSE)*(GREET1_Import_Export!$Z402+GREET1_Import_Export!$AA402)/Vehi_Inputs!$F$150/Vehi_Inputs!$F$154</f>
        <v>1.3646169270580552E-3</v>
      </c>
      <c r="C301" s="377">
        <f ca="1">HLOOKUP($D$3,$M$7:$Q$8,2,FALSE)/HLOOKUP($D$4,$M$9:$Q$10,2,FALSE)*Vehi_Sum!$K340</f>
        <v>5.007624519193384E-4</v>
      </c>
      <c r="D301" s="377">
        <f>HLOOKUP(GREET1_Import_Export!$B$374,$M$9:$Q$10,2,FALSE)/HLOOKUP(GREET1_Import_Export!$D$373,$M$7:$Q$8,2,FALSE)*HLOOKUP($D$3,$M$7:$Q$8,2,FALSE)/HLOOKUP($D$4,$M$9:$Q$10,2,FALSE)*GREET1_Import_Export!$AB402</f>
        <v>2.8360329012793958E-3</v>
      </c>
      <c r="E301" s="384">
        <f t="shared" ca="1" si="48"/>
        <v>4.7014122802567894E-3</v>
      </c>
      <c r="F301" s="382">
        <f t="shared" ca="1" si="44"/>
        <v>0.29025680916958857</v>
      </c>
      <c r="G301" s="382">
        <f t="shared" ca="1" si="45"/>
        <v>0.10651319690090803</v>
      </c>
      <c r="H301" s="382">
        <f t="shared" ca="1" si="46"/>
        <v>0.60322999392950338</v>
      </c>
      <c r="I301" s="825">
        <f t="shared" ca="1" si="47"/>
        <v>1</v>
      </c>
    </row>
    <row r="302" spans="1:9" s="64" customFormat="1">
      <c r="A302" s="849" t="s">
        <v>895</v>
      </c>
      <c r="B302" s="347">
        <f>HLOOKUP(GREET1_Import_Export!$B$374,$M$9:$Q$10,2,FALSE)/HLOOKUP(GREET1_Import_Export!$D$373,$M$7:$Q$8,2,FALSE)*HLOOKUP($D$3,$M$7:$Q$8,2,FALSE)/HLOOKUP($D$4,$M$9:$Q$10,2,FALSE)*(GREET1_Import_Export!$Z403+GREET1_Import_Export!$AA403)/Vehi_Inputs!$F$150/Vehi_Inputs!$F$154</f>
        <v>4.2616039663739618E-3</v>
      </c>
      <c r="C302" s="377">
        <f ca="1">HLOOKUP($D$3,$M$7:$Q$8,2,FALSE)/HLOOKUP($D$4,$M$9:$Q$10,2,FALSE)*Vehi_Sum!$K341</f>
        <v>4.1548405841465305E-3</v>
      </c>
      <c r="D302" s="377">
        <f>HLOOKUP(GREET1_Import_Export!$B$374,$M$9:$Q$10,2,FALSE)/HLOOKUP(GREET1_Import_Export!$D$373,$M$7:$Q$8,2,FALSE)*HLOOKUP($D$3,$M$7:$Q$8,2,FALSE)/HLOOKUP($D$4,$M$9:$Q$10,2,FALSE)*GREET1_Import_Export!$AB403/Vehi_Inputs!$F$150/Vehi_Inputs!$F$154</f>
        <v>0</v>
      </c>
      <c r="E302" s="384">
        <f t="shared" ca="1" si="48"/>
        <v>8.4164445505204924E-3</v>
      </c>
      <c r="F302" s="382">
        <f t="shared" ca="1" si="44"/>
        <v>0.50634254652226207</v>
      </c>
      <c r="G302" s="382">
        <f t="shared" ca="1" si="45"/>
        <v>0.49365745347773787</v>
      </c>
      <c r="H302" s="382">
        <f t="shared" ca="1" si="46"/>
        <v>0</v>
      </c>
      <c r="I302" s="825">
        <f t="shared" ca="1" si="47"/>
        <v>1</v>
      </c>
    </row>
    <row r="303" spans="1:9" s="64" customFormat="1">
      <c r="A303" s="909" t="s">
        <v>896</v>
      </c>
      <c r="B303" s="347">
        <f>HLOOKUP(GREET1_Import_Export!$B$374,$M$9:$Q$10,2,FALSE)/HLOOKUP(GREET1_Import_Export!$D$373,$M$7:$Q$8,2,FALSE)*HLOOKUP($D$3,$M$7:$Q$8,2,FALSE)/HLOOKUP($D$4,$M$9:$Q$10,2,FALSE)*(GREET1_Import_Export!$Z404+GREET1_Import_Export!$AA404)/Vehi_Inputs!$F$150/Vehi_Inputs!$F$154</f>
        <v>1.1338972826654053E-4</v>
      </c>
      <c r="C303" s="377">
        <f ca="1">HLOOKUP($D$3,$M$7:$Q$8,2,FALSE)/HLOOKUP($D$4,$M$9:$Q$10,2,FALSE)*Vehi_Sum!$K342</f>
        <v>2.9585802334092755E-5</v>
      </c>
      <c r="D303" s="377">
        <f>HLOOKUP(GREET1_Import_Export!$B$374,$M$9:$Q$10,2,FALSE)/HLOOKUP(GREET1_Import_Export!$D$373,$M$7:$Q$8,2,FALSE)*HLOOKUP($D$3,$M$7:$Q$8,2,FALSE)/HLOOKUP($D$4,$M$9:$Q$10,2,FALSE)*GREET1_Import_Export!$AB404</f>
        <v>4.0548624598516685E-4</v>
      </c>
      <c r="E303" s="384">
        <f t="shared" ca="1" si="48"/>
        <v>5.4846177658580009E-4</v>
      </c>
      <c r="F303" s="382">
        <f t="shared" ca="1" si="44"/>
        <v>0.20674135027676283</v>
      </c>
      <c r="G303" s="382">
        <f t="shared" ca="1" si="45"/>
        <v>5.394323469224372E-2</v>
      </c>
      <c r="H303" s="382">
        <f t="shared" ca="1" si="46"/>
        <v>0.73931541503099352</v>
      </c>
      <c r="I303" s="825">
        <f t="shared" ca="1" si="47"/>
        <v>1</v>
      </c>
    </row>
    <row r="304" spans="1:9" s="64" customFormat="1">
      <c r="A304" s="910" t="s">
        <v>897</v>
      </c>
      <c r="B304" s="503">
        <f>HLOOKUP(GREET1_Import_Export!$B$374,$M$9:$Q$10,2,FALSE)/HLOOKUP(GREET1_Import_Export!$D$373,$M$7:$Q$8,2,FALSE)*HLOOKUP($D$3,$M$7:$Q$8,2,FALSE)/HLOOKUP($D$4,$M$9:$Q$10,2,FALSE)*(GREET1_Import_Export!$Z405+GREET1_Import_Export!$AA405)/Vehi_Inputs!$F$150/Vehi_Inputs!$F$154</f>
        <v>3.6420105247695375E-4</v>
      </c>
      <c r="C304" s="386">
        <f ca="1">HLOOKUP($D$3,$M$7:$Q$8,2,FALSE)/HLOOKUP($D$4,$M$9:$Q$10,2,FALSE)*Vehi_Sum!$K343</f>
        <v>1.2203202485894574E-4</v>
      </c>
      <c r="D304" s="386">
        <f>HLOOKUP(GREET1_Import_Export!$B$374,$M$9:$Q$10,2,FALSE)/HLOOKUP(GREET1_Import_Export!$D$373,$M$7:$Q$8,2,FALSE)*HLOOKUP($D$3,$M$7:$Q$8,2,FALSE)/HLOOKUP($D$4,$M$9:$Q$10,2,FALSE)*GREET1_Import_Export!$AB405</f>
        <v>5.0695128062079435E-4</v>
      </c>
      <c r="E304" s="388">
        <f t="shared" ca="1" si="48"/>
        <v>9.9318435795669384E-4</v>
      </c>
      <c r="F304" s="368">
        <f t="shared" ca="1" si="44"/>
        <v>0.36670035080519675</v>
      </c>
      <c r="G304" s="368">
        <f t="shared" ca="1" si="45"/>
        <v>0.12286945911029616</v>
      </c>
      <c r="H304" s="368">
        <f t="shared" ca="1" si="46"/>
        <v>0.51043019008450707</v>
      </c>
      <c r="I304" s="826">
        <f t="shared" ca="1" si="47"/>
        <v>1</v>
      </c>
    </row>
    <row r="305" spans="1:10" s="64" customFormat="1">
      <c r="A305" s="111"/>
      <c r="B305" s="463"/>
      <c r="C305" s="463"/>
      <c r="D305" s="463"/>
      <c r="E305" s="463"/>
      <c r="F305" s="463"/>
      <c r="G305" s="463"/>
      <c r="H305" s="463"/>
    </row>
    <row r="306" spans="1:10" s="64" customFormat="1" ht="15">
      <c r="A306" s="381" t="s">
        <v>1944</v>
      </c>
      <c r="G306" s="382"/>
      <c r="H306" s="382"/>
    </row>
    <row r="307" spans="1:10" s="64" customFormat="1" ht="63.75">
      <c r="A307" s="1352"/>
      <c r="B307" s="1658" t="s">
        <v>1945</v>
      </c>
      <c r="C307" s="1658" t="s">
        <v>1946</v>
      </c>
      <c r="D307" s="1658" t="s">
        <v>1947</v>
      </c>
      <c r="E307" s="1658" t="s">
        <v>1948</v>
      </c>
      <c r="F307" s="1658" t="s">
        <v>1949</v>
      </c>
      <c r="G307" s="1658" t="s">
        <v>1940</v>
      </c>
      <c r="H307" s="1658" t="s">
        <v>1941</v>
      </c>
      <c r="I307" s="1658" t="s">
        <v>1942</v>
      </c>
      <c r="J307" s="1226" t="s">
        <v>1943</v>
      </c>
    </row>
    <row r="308" spans="1:10" s="64" customFormat="1">
      <c r="A308" s="1105" t="s">
        <v>876</v>
      </c>
      <c r="B308" s="382">
        <f t="shared" ref="B308:B333" ca="1" si="49">(E38-$E8)/$E8</f>
        <v>-4.433662879940977E-2</v>
      </c>
      <c r="C308" s="382">
        <f t="shared" ref="C308:C333" ca="1" si="50">(E68-$E8)/$E8</f>
        <v>-0.28012026983024929</v>
      </c>
      <c r="D308" s="382">
        <f t="shared" ref="D308:D333" ca="1" si="51">(E98-$E8)/$E8</f>
        <v>-0.30599876333318837</v>
      </c>
      <c r="E308" s="382">
        <f t="shared" ref="E308:E333" ca="1" si="52">(E128-$E8)/$E8</f>
        <v>-0.32628675436546939</v>
      </c>
      <c r="F308" s="382">
        <f t="shared" ref="F308:F333" ca="1" si="53">(E158-$E8)/$E8</f>
        <v>-0.33569787992364675</v>
      </c>
      <c r="G308" s="382">
        <f t="shared" ref="G308:G333" ca="1" si="54">(E188-$E8)/$E8</f>
        <v>-0.44188709786974012</v>
      </c>
      <c r="H308" s="382">
        <f t="shared" ref="H308:H333" ca="1" si="55">(E218-$E8)/$E8</f>
        <v>-0.44137897112396141</v>
      </c>
      <c r="I308" s="382">
        <f t="shared" ref="I308:I333" ca="1" si="56">(E249-$E8)/$E8</f>
        <v>-0.37191466230023357</v>
      </c>
      <c r="J308" s="588">
        <f t="shared" ref="J308:J333" ca="1" si="57">(E279-$E8)/$E8</f>
        <v>-0.34332960742920732</v>
      </c>
    </row>
    <row r="309" spans="1:10" s="64" customFormat="1">
      <c r="A309" s="911" t="s">
        <v>877</v>
      </c>
      <c r="B309" s="382">
        <f t="shared" ca="1" si="49"/>
        <v>-4.6027195662911767E-2</v>
      </c>
      <c r="C309" s="382">
        <f t="shared" ca="1" si="50"/>
        <v>-0.2804341962851794</v>
      </c>
      <c r="D309" s="382">
        <f t="shared" ca="1" si="51"/>
        <v>-0.30839360394588272</v>
      </c>
      <c r="E309" s="382">
        <f t="shared" ca="1" si="52"/>
        <v>-0.31062920546573219</v>
      </c>
      <c r="F309" s="382">
        <f t="shared" ca="1" si="53"/>
        <v>-0.32308290427772196</v>
      </c>
      <c r="G309" s="382">
        <f t="shared" ca="1" si="54"/>
        <v>-0.41425931060468946</v>
      </c>
      <c r="H309" s="382">
        <f t="shared" ca="1" si="55"/>
        <v>-0.4180049426348359</v>
      </c>
      <c r="I309" s="382">
        <f t="shared" ca="1" si="56"/>
        <v>-0.35543217616317918</v>
      </c>
      <c r="J309" s="588">
        <f t="shared" ca="1" si="57"/>
        <v>-0.32876929242585839</v>
      </c>
    </row>
    <row r="310" spans="1:10" s="64" customFormat="1">
      <c r="A310" s="911" t="s">
        <v>442</v>
      </c>
      <c r="B310" s="382">
        <f t="shared" ca="1" si="49"/>
        <v>-9.5489424315928079E-2</v>
      </c>
      <c r="C310" s="382">
        <f t="shared" ca="1" si="50"/>
        <v>1.0674900830235251E-2</v>
      </c>
      <c r="D310" s="382">
        <f t="shared" ca="1" si="51"/>
        <v>-0.10737535885609471</v>
      </c>
      <c r="E310" s="382">
        <f t="shared" ca="1" si="52"/>
        <v>-1.3526429890896641E-2</v>
      </c>
      <c r="F310" s="382">
        <f t="shared" ca="1" si="53"/>
        <v>-0.12913741025037764</v>
      </c>
      <c r="G310" s="382">
        <f t="shared" ca="1" si="54"/>
        <v>0.26265527434850489</v>
      </c>
      <c r="H310" s="382">
        <f t="shared" ca="1" si="55"/>
        <v>0.12013172617815547</v>
      </c>
      <c r="I310" s="382">
        <f t="shared" ca="1" si="56"/>
        <v>0.68179608550529247</v>
      </c>
      <c r="J310" s="588">
        <f t="shared" ca="1" si="57"/>
        <v>0.59227374125267052</v>
      </c>
    </row>
    <row r="311" spans="1:10" s="64" customFormat="1">
      <c r="A311" s="911" t="s">
        <v>878</v>
      </c>
      <c r="B311" s="382">
        <f t="shared" ca="1" si="49"/>
        <v>9.3626784379329614E-2</v>
      </c>
      <c r="C311" s="382">
        <f t="shared" ca="1" si="50"/>
        <v>-0.21746874820833353</v>
      </c>
      <c r="D311" s="382">
        <f t="shared" ca="1" si="51"/>
        <v>-0.10686629941480577</v>
      </c>
      <c r="E311" s="382">
        <f t="shared" ca="1" si="52"/>
        <v>0.86631193872254408</v>
      </c>
      <c r="F311" s="382">
        <f t="shared" ca="1" si="53"/>
        <v>0.89524348021114497</v>
      </c>
      <c r="G311" s="382">
        <f t="shared" ca="1" si="54"/>
        <v>1.985549800649721</v>
      </c>
      <c r="H311" s="382">
        <f t="shared" ca="1" si="55"/>
        <v>1.9218140016366512</v>
      </c>
      <c r="I311" s="382">
        <f t="shared" ca="1" si="56"/>
        <v>2.2297933226607407</v>
      </c>
      <c r="J311" s="588">
        <f t="shared" ca="1" si="57"/>
        <v>2.317705566969122</v>
      </c>
    </row>
    <row r="312" spans="1:10" s="64" customFormat="1">
      <c r="A312" s="911" t="s">
        <v>440</v>
      </c>
      <c r="B312" s="382">
        <f t="shared" ca="1" si="49"/>
        <v>-7.4528225246586338E-2</v>
      </c>
      <c r="C312" s="382">
        <f t="shared" ca="1" si="50"/>
        <v>-0.3068432542475944</v>
      </c>
      <c r="D312" s="382">
        <f t="shared" ca="1" si="51"/>
        <v>-0.36130638165201157</v>
      </c>
      <c r="E312" s="382">
        <f t="shared" ca="1" si="52"/>
        <v>-0.58171022112394966</v>
      </c>
      <c r="F312" s="382">
        <f t="shared" ca="1" si="53"/>
        <v>-0.59878124768118079</v>
      </c>
      <c r="G312" s="382">
        <f t="shared" ca="1" si="54"/>
        <v>-0.97007614137913212</v>
      </c>
      <c r="H312" s="382">
        <f t="shared" ca="1" si="55"/>
        <v>-0.9546557213116722</v>
      </c>
      <c r="I312" s="382">
        <f t="shared" ca="1" si="56"/>
        <v>-0.96751845936977454</v>
      </c>
      <c r="J312" s="588">
        <f t="shared" ca="1" si="57"/>
        <v>-0.94926758509342846</v>
      </c>
    </row>
    <row r="313" spans="1:10" s="64" customFormat="1">
      <c r="A313" s="912" t="s">
        <v>819</v>
      </c>
      <c r="B313" s="382">
        <f t="shared" ca="1" si="49"/>
        <v>-3.5272357743004724E-2</v>
      </c>
      <c r="C313" s="382">
        <f t="shared" ca="1" si="50"/>
        <v>-0.28369729744513483</v>
      </c>
      <c r="D313" s="382">
        <f t="shared" ca="1" si="51"/>
        <v>-0.29431547584959195</v>
      </c>
      <c r="E313" s="382">
        <f t="shared" ca="1" si="52"/>
        <v>-0.39896234497472183</v>
      </c>
      <c r="F313" s="382">
        <f t="shared" ca="1" si="53"/>
        <v>-0.39353882136813784</v>
      </c>
      <c r="G313" s="382">
        <f t="shared" ca="1" si="54"/>
        <v>-0.50297240694800682</v>
      </c>
      <c r="H313" s="382">
        <f t="shared" ca="1" si="55"/>
        <v>-0.48684803284813499</v>
      </c>
      <c r="I313" s="382">
        <f t="shared" ca="1" si="56"/>
        <v>-0.54982320325702505</v>
      </c>
      <c r="J313" s="588">
        <f t="shared" ca="1" si="57"/>
        <v>-0.50661606530791081</v>
      </c>
    </row>
    <row r="314" spans="1:10" s="64" customFormat="1">
      <c r="A314" s="911" t="s">
        <v>1895</v>
      </c>
      <c r="B314" s="382">
        <f t="shared" ca="1" si="49"/>
        <v>-6.4422989122951926E-2</v>
      </c>
      <c r="C314" s="382">
        <f t="shared" ca="1" si="50"/>
        <v>-0.28403147067090967</v>
      </c>
      <c r="D314" s="382">
        <f t="shared" ca="1" si="51"/>
        <v>-0.32928664106477207</v>
      </c>
      <c r="E314" s="382">
        <f t="shared" ca="1" si="52"/>
        <v>-0.36463519210265549</v>
      </c>
      <c r="F314" s="382">
        <f t="shared" ca="1" si="53"/>
        <v>-0.39084957677905441</v>
      </c>
      <c r="G314" s="382">
        <f t="shared" ca="1" si="54"/>
        <v>-0.5183592553510854</v>
      </c>
      <c r="H314" s="382">
        <f t="shared" ca="1" si="55"/>
        <v>-0.53398108609753359</v>
      </c>
      <c r="I314" s="382">
        <f t="shared" ca="1" si="56"/>
        <v>-0.4741031466477138</v>
      </c>
      <c r="J314" s="588">
        <f t="shared" ca="1" si="57"/>
        <v>-0.46514767064640683</v>
      </c>
    </row>
    <row r="315" spans="1:10" s="64" customFormat="1">
      <c r="A315" s="911" t="s">
        <v>887</v>
      </c>
      <c r="B315" s="382">
        <f t="shared" ca="1" si="49"/>
        <v>-2.2374652166920667E-2</v>
      </c>
      <c r="C315" s="382">
        <f t="shared" ca="1" si="50"/>
        <v>-0.26325376027457909</v>
      </c>
      <c r="D315" s="382">
        <f t="shared" ca="1" si="51"/>
        <v>-0.26773171747298508</v>
      </c>
      <c r="E315" s="382">
        <f t="shared" ca="1" si="52"/>
        <v>-0.14046110429371994</v>
      </c>
      <c r="F315" s="382">
        <f t="shared" ca="1" si="53"/>
        <v>-0.14336977010281893</v>
      </c>
      <c r="G315" s="382">
        <f t="shared" ca="1" si="54"/>
        <v>-5.8032117647466436E-2</v>
      </c>
      <c r="H315" s="382">
        <f t="shared" ca="1" si="55"/>
        <v>-6.7694661582960933E-2</v>
      </c>
      <c r="I315" s="382">
        <f t="shared" ca="1" si="56"/>
        <v>-7.7642704706223434E-2</v>
      </c>
      <c r="J315" s="588">
        <f t="shared" ca="1" si="57"/>
        <v>-3.4132765806046843E-2</v>
      </c>
    </row>
    <row r="316" spans="1:10" s="64" customFormat="1">
      <c r="A316" s="911" t="s">
        <v>888</v>
      </c>
      <c r="B316" s="382">
        <f t="shared" ca="1" si="49"/>
        <v>-4.9502319507941331E-2</v>
      </c>
      <c r="C316" s="382">
        <f t="shared" ca="1" si="50"/>
        <v>-0.21561775130179595</v>
      </c>
      <c r="D316" s="382">
        <f t="shared" ca="1" si="51"/>
        <v>-0.25084072840876576</v>
      </c>
      <c r="E316" s="382">
        <f t="shared" ca="1" si="52"/>
        <v>-0.45529329995238044</v>
      </c>
      <c r="F316" s="382">
        <f t="shared" ca="1" si="53"/>
        <v>-0.46864756227763493</v>
      </c>
      <c r="G316" s="382">
        <f t="shared" ca="1" si="54"/>
        <v>-0.78550443880009035</v>
      </c>
      <c r="H316" s="382">
        <f t="shared" ca="1" si="55"/>
        <v>-0.78451893108330506</v>
      </c>
      <c r="I316" s="382">
        <f t="shared" ca="1" si="56"/>
        <v>-0.8384223576529376</v>
      </c>
      <c r="J316" s="588">
        <f t="shared" ca="1" si="57"/>
        <v>-0.82203046128964152</v>
      </c>
    </row>
    <row r="317" spans="1:10" s="64" customFormat="1">
      <c r="A317" s="911" t="s">
        <v>1896</v>
      </c>
      <c r="B317" s="382">
        <f t="shared" ca="1" si="49"/>
        <v>-6.0934952444819085E-2</v>
      </c>
      <c r="C317" s="382">
        <f t="shared" ca="1" si="50"/>
        <v>-0.28222275748795494</v>
      </c>
      <c r="D317" s="382">
        <f t="shared" ca="1" si="51"/>
        <v>-0.32410236753031391</v>
      </c>
      <c r="E317" s="382">
        <f t="shared" ca="1" si="52"/>
        <v>-0.35637821511323159</v>
      </c>
      <c r="F317" s="382">
        <f t="shared" ca="1" si="53"/>
        <v>-0.37998502966645281</v>
      </c>
      <c r="G317" s="382">
        <f t="shared" ca="1" si="54"/>
        <v>-0.50194167993484418</v>
      </c>
      <c r="H317" s="382">
        <f t="shared" ca="1" si="55"/>
        <v>-0.51561603388223121</v>
      </c>
      <c r="I317" s="382">
        <f t="shared" ca="1" si="56"/>
        <v>-0.46161987904624785</v>
      </c>
      <c r="J317" s="588">
        <f t="shared" ca="1" si="57"/>
        <v>-0.44920606467597857</v>
      </c>
    </row>
    <row r="318" spans="1:10" s="64" customFormat="1">
      <c r="A318" s="911" t="s">
        <v>879</v>
      </c>
      <c r="B318" s="382">
        <f t="shared" ca="1" si="49"/>
        <v>-2.9409818087441562E-2</v>
      </c>
      <c r="C318" s="382">
        <f t="shared" ca="1" si="50"/>
        <v>-0.11359233045074132</v>
      </c>
      <c r="D318" s="382">
        <f t="shared" ca="1" si="51"/>
        <v>-0.13874101153352911</v>
      </c>
      <c r="E318" s="382">
        <f t="shared" ca="1" si="52"/>
        <v>-0.28347376610302089</v>
      </c>
      <c r="F318" s="382">
        <f t="shared" ca="1" si="53"/>
        <v>-0.30099151392921697</v>
      </c>
      <c r="G318" s="382">
        <f t="shared" ca="1" si="54"/>
        <v>-0.53861338459262742</v>
      </c>
      <c r="H318" s="382">
        <f t="shared" ca="1" si="55"/>
        <v>-0.55011979852589654</v>
      </c>
      <c r="I318" s="382">
        <f t="shared" ca="1" si="56"/>
        <v>-0.53420381557181218</v>
      </c>
      <c r="J318" s="588">
        <f t="shared" ca="1" si="57"/>
        <v>-0.54202143172114303</v>
      </c>
    </row>
    <row r="319" spans="1:10" s="64" customFormat="1">
      <c r="A319" s="911" t="s">
        <v>880</v>
      </c>
      <c r="B319" s="382">
        <f t="shared" ca="1" si="49"/>
        <v>-2.7836281040284568E-2</v>
      </c>
      <c r="C319" s="382">
        <f t="shared" ca="1" si="50"/>
        <v>-7.8406415976052281E-3</v>
      </c>
      <c r="D319" s="382">
        <f t="shared" ca="1" si="51"/>
        <v>-3.4272753682314985E-2</v>
      </c>
      <c r="E319" s="382">
        <f t="shared" ca="1" si="52"/>
        <v>-0.36682690651975147</v>
      </c>
      <c r="F319" s="382">
        <f t="shared" ca="1" si="53"/>
        <v>-0.39301701197408939</v>
      </c>
      <c r="G319" s="382">
        <f t="shared" ca="1" si="54"/>
        <v>-0.89937482129774404</v>
      </c>
      <c r="H319" s="382">
        <f t="shared" ca="1" si="55"/>
        <v>-0.92933241251613008</v>
      </c>
      <c r="I319" s="382">
        <f t="shared" ca="1" si="56"/>
        <v>-0.91472001401722913</v>
      </c>
      <c r="J319" s="588">
        <f t="shared" ca="1" si="57"/>
        <v>-0.9396596264886673</v>
      </c>
    </row>
    <row r="320" spans="1:10" s="64" customFormat="1">
      <c r="A320" s="911" t="s">
        <v>881</v>
      </c>
      <c r="B320" s="382">
        <f t="shared" ca="1" si="49"/>
        <v>-9.1109739177832154E-3</v>
      </c>
      <c r="C320" s="382">
        <f t="shared" ca="1" si="50"/>
        <v>-0.20633292397029637</v>
      </c>
      <c r="D320" s="382">
        <f t="shared" ca="1" si="51"/>
        <v>-0.20341518467721303</v>
      </c>
      <c r="E320" s="382">
        <f t="shared" ca="1" si="52"/>
        <v>-0.23545611524198562</v>
      </c>
      <c r="F320" s="382">
        <f t="shared" ca="1" si="53"/>
        <v>-0.22970702751701785</v>
      </c>
      <c r="G320" s="382">
        <f t="shared" ca="1" si="54"/>
        <v>-0.24789286756868714</v>
      </c>
      <c r="H320" s="382">
        <f t="shared" ca="1" si="55"/>
        <v>-0.25841886161065897</v>
      </c>
      <c r="I320" s="382">
        <f t="shared" ca="1" si="56"/>
        <v>-0.46310401806459922</v>
      </c>
      <c r="J320" s="588">
        <f t="shared" ca="1" si="57"/>
        <v>-0.41537124263876474</v>
      </c>
    </row>
    <row r="321" spans="1:10" s="64" customFormat="1">
      <c r="A321" s="911" t="s">
        <v>882</v>
      </c>
      <c r="B321" s="382">
        <f t="shared" ca="1" si="49"/>
        <v>5.8154025613782204E-2</v>
      </c>
      <c r="C321" s="382">
        <f t="shared" ca="1" si="50"/>
        <v>-3.1652812500998342E-2</v>
      </c>
      <c r="D321" s="382">
        <f t="shared" ca="1" si="51"/>
        <v>2.8191092344598663E-2</v>
      </c>
      <c r="E321" s="382">
        <f t="shared" ca="1" si="52"/>
        <v>-5.6602155102675925E-2</v>
      </c>
      <c r="F321" s="382">
        <f t="shared" ca="1" si="53"/>
        <v>6.2465670728894165E-3</v>
      </c>
      <c r="G321" s="382">
        <f t="shared" ca="1" si="54"/>
        <v>0.11283204027870847</v>
      </c>
      <c r="H321" s="382">
        <f t="shared" ca="1" si="55"/>
        <v>0.14708609541855408</v>
      </c>
      <c r="I321" s="382">
        <f t="shared" ca="1" si="56"/>
        <v>-9.3049483434550773E-2</v>
      </c>
      <c r="J321" s="588">
        <f t="shared" ca="1" si="57"/>
        <v>1.4981951036012183E-2</v>
      </c>
    </row>
    <row r="322" spans="1:10" s="64" customFormat="1">
      <c r="A322" s="911" t="s">
        <v>883</v>
      </c>
      <c r="B322" s="382">
        <f t="shared" ca="1" si="49"/>
        <v>-2.4887231537538086E-2</v>
      </c>
      <c r="C322" s="382">
        <f t="shared" ca="1" si="50"/>
        <v>-7.2513588090350495E-2</v>
      </c>
      <c r="D322" s="382">
        <f t="shared" ca="1" si="51"/>
        <v>-9.4652546906690574E-2</v>
      </c>
      <c r="E322" s="382">
        <f t="shared" ca="1" si="52"/>
        <v>-0.11159196914267581</v>
      </c>
      <c r="F322" s="382">
        <f t="shared" ca="1" si="53"/>
        <v>-0.13169854667227171</v>
      </c>
      <c r="G322" s="382">
        <f t="shared" ca="1" si="54"/>
        <v>-3.1926952226439459E-2</v>
      </c>
      <c r="H322" s="382">
        <f t="shared" ca="1" si="55"/>
        <v>-7.7159350802613713E-2</v>
      </c>
      <c r="I322" s="382">
        <f t="shared" ca="1" si="56"/>
        <v>-0.20438098255507833</v>
      </c>
      <c r="J322" s="588">
        <f t="shared" ca="1" si="57"/>
        <v>-0.18946810472309389</v>
      </c>
    </row>
    <row r="323" spans="1:10" s="64" customFormat="1">
      <c r="A323" s="911" t="s">
        <v>884</v>
      </c>
      <c r="B323" s="382">
        <f t="shared" ca="1" si="49"/>
        <v>-0.11473055370509662</v>
      </c>
      <c r="C323" s="382">
        <f t="shared" ca="1" si="50"/>
        <v>1.0029864776640942</v>
      </c>
      <c r="D323" s="382">
        <f t="shared" ca="1" si="51"/>
        <v>0.6078009881881552</v>
      </c>
      <c r="E323" s="382">
        <f t="shared" ca="1" si="52"/>
        <v>0.33826499279903899</v>
      </c>
      <c r="F323" s="382">
        <f t="shared" ca="1" si="53"/>
        <v>0.18036450044047966</v>
      </c>
      <c r="G323" s="382">
        <f t="shared" ca="1" si="54"/>
        <v>2.193883250699554</v>
      </c>
      <c r="H323" s="382">
        <f t="shared" ca="1" si="55"/>
        <v>1.8006172875524231</v>
      </c>
      <c r="I323" s="382">
        <f t="shared" ca="1" si="56"/>
        <v>0.924976508958262</v>
      </c>
      <c r="J323" s="588">
        <f t="shared" ca="1" si="57"/>
        <v>0.83159075438710761</v>
      </c>
    </row>
    <row r="324" spans="1:10" s="64" customFormat="1">
      <c r="A324" s="912" t="s">
        <v>885</v>
      </c>
      <c r="B324" s="382">
        <f t="shared" ca="1" si="49"/>
        <v>-4.0772781481055028E-3</v>
      </c>
      <c r="C324" s="382">
        <f t="shared" ca="1" si="50"/>
        <v>-6.252407588277592E-2</v>
      </c>
      <c r="D324" s="382">
        <f t="shared" ca="1" si="51"/>
        <v>-6.2386146431398802E-2</v>
      </c>
      <c r="E324" s="382">
        <f t="shared" ca="1" si="52"/>
        <v>-0.33288193836533458</v>
      </c>
      <c r="F324" s="382">
        <f t="shared" ca="1" si="53"/>
        <v>-0.32855713928261843</v>
      </c>
      <c r="G324" s="382">
        <f t="shared" ca="1" si="54"/>
        <v>-0.70498990135532758</v>
      </c>
      <c r="H324" s="382">
        <f t="shared" ca="1" si="55"/>
        <v>-0.70210660737814146</v>
      </c>
      <c r="I324" s="382">
        <f t="shared" ca="1" si="56"/>
        <v>-0.67716154741459134</v>
      </c>
      <c r="J324" s="588">
        <f t="shared" ca="1" si="57"/>
        <v>-0.66309444871638978</v>
      </c>
    </row>
    <row r="325" spans="1:10" s="64" customFormat="1">
      <c r="A325" s="912" t="s">
        <v>886</v>
      </c>
      <c r="B325" s="382">
        <f t="shared" ca="1" si="49"/>
        <v>9.7038165546041114E-3</v>
      </c>
      <c r="C325" s="382">
        <f t="shared" ca="1" si="50"/>
        <v>-0.12259440316211488</v>
      </c>
      <c r="D325" s="382">
        <f t="shared" ca="1" si="51"/>
        <v>-0.10460791807207499</v>
      </c>
      <c r="E325" s="382">
        <f t="shared" ca="1" si="52"/>
        <v>0.14631942040580401</v>
      </c>
      <c r="F325" s="382">
        <f t="shared" ca="1" si="53"/>
        <v>0.13718665331819721</v>
      </c>
      <c r="G325" s="382">
        <f t="shared" ca="1" si="54"/>
        <v>0.39850779184103963</v>
      </c>
      <c r="H325" s="382">
        <f t="shared" ca="1" si="55"/>
        <v>0.35189444754206994</v>
      </c>
      <c r="I325" s="382">
        <f t="shared" ca="1" si="56"/>
        <v>-0.18238983264629932</v>
      </c>
      <c r="J325" s="588">
        <f t="shared" ca="1" si="57"/>
        <v>-0.14258147259300039</v>
      </c>
    </row>
    <row r="326" spans="1:10" s="64" customFormat="1">
      <c r="A326" s="911" t="s">
        <v>890</v>
      </c>
      <c r="B326" s="382">
        <f t="shared" ca="1" si="49"/>
        <v>-1.8311502243682547E-2</v>
      </c>
      <c r="C326" s="382">
        <f t="shared" ca="1" si="50"/>
        <v>-0.11210589779494926</v>
      </c>
      <c r="D326" s="382">
        <f t="shared" ca="1" si="51"/>
        <v>-0.12621511832842483</v>
      </c>
      <c r="E326" s="382">
        <f t="shared" ca="1" si="52"/>
        <v>-0.30849818504164755</v>
      </c>
      <c r="F326" s="382">
        <f t="shared" ca="1" si="53"/>
        <v>-0.31474717770995631</v>
      </c>
      <c r="G326" s="382">
        <f t="shared" ca="1" si="54"/>
        <v>-0.59508541711330465</v>
      </c>
      <c r="H326" s="382">
        <f t="shared" ca="1" si="55"/>
        <v>-0.59440998548259383</v>
      </c>
      <c r="I326" s="382">
        <f t="shared" ca="1" si="56"/>
        <v>-0.59445586255227423</v>
      </c>
      <c r="J326" s="588">
        <f t="shared" ca="1" si="57"/>
        <v>-0.59347199315375776</v>
      </c>
    </row>
    <row r="327" spans="1:10" s="64" customFormat="1">
      <c r="A327" s="911" t="s">
        <v>891</v>
      </c>
      <c r="B327" s="382">
        <f t="shared" ca="1" si="49"/>
        <v>-3.1262303786977231E-4</v>
      </c>
      <c r="C327" s="382">
        <f t="shared" ca="1" si="50"/>
        <v>-3.0090654265846938E-3</v>
      </c>
      <c r="D327" s="382">
        <f t="shared" ca="1" si="51"/>
        <v>-3.1142231655887339E-3</v>
      </c>
      <c r="E327" s="382">
        <f t="shared" ca="1" si="52"/>
        <v>-0.40465705006851327</v>
      </c>
      <c r="F327" s="382">
        <f t="shared" ca="1" si="53"/>
        <v>-0.40465743166870066</v>
      </c>
      <c r="G327" s="382">
        <f t="shared" ca="1" si="54"/>
        <v>-0.99221517096330558</v>
      </c>
      <c r="H327" s="382">
        <f t="shared" ca="1" si="55"/>
        <v>-0.99219430210389103</v>
      </c>
      <c r="I327" s="382">
        <f t="shared" ca="1" si="56"/>
        <v>-0.99658498207338053</v>
      </c>
      <c r="J327" s="588">
        <f t="shared" ca="1" si="57"/>
        <v>-0.9959922582057088</v>
      </c>
    </row>
    <row r="328" spans="1:10" s="64" customFormat="1">
      <c r="A328" s="911" t="s">
        <v>892</v>
      </c>
      <c r="B328" s="382">
        <f t="shared" ca="1" si="49"/>
        <v>-4.095290371769875E-3</v>
      </c>
      <c r="C328" s="382">
        <f t="shared" ca="1" si="50"/>
        <v>-0.19900745347906684</v>
      </c>
      <c r="D328" s="382">
        <f t="shared" ca="1" si="51"/>
        <v>-0.1960711608901852</v>
      </c>
      <c r="E328" s="382">
        <f t="shared" ca="1" si="52"/>
        <v>-0.40008307566403156</v>
      </c>
      <c r="F328" s="382">
        <f t="shared" ca="1" si="53"/>
        <v>-0.39282029889352732</v>
      </c>
      <c r="G328" s="382">
        <f t="shared" ca="1" si="54"/>
        <v>-0.73197356819299331</v>
      </c>
      <c r="H328" s="382">
        <f t="shared" ca="1" si="55"/>
        <v>-0.72480005881439524</v>
      </c>
      <c r="I328" s="382">
        <f t="shared" ca="1" si="56"/>
        <v>-0.79969045986572818</v>
      </c>
      <c r="J328" s="588">
        <f t="shared" ca="1" si="57"/>
        <v>-0.77584255700374005</v>
      </c>
    </row>
    <row r="329" spans="1:10" s="64" customFormat="1">
      <c r="A329" s="911" t="s">
        <v>893</v>
      </c>
      <c r="B329" s="382">
        <f t="shared" ca="1" si="49"/>
        <v>-5.1545282723825438E-3</v>
      </c>
      <c r="C329" s="382">
        <f t="shared" ca="1" si="50"/>
        <v>-3.562315572702187E-2</v>
      </c>
      <c r="D329" s="382">
        <f t="shared" ca="1" si="51"/>
        <v>-3.8471195808000222E-2</v>
      </c>
      <c r="E329" s="382">
        <f t="shared" ca="1" si="52"/>
        <v>-8.3562009780318289E-2</v>
      </c>
      <c r="F329" s="382">
        <f t="shared" ca="1" si="53"/>
        <v>-8.4666197049226635E-2</v>
      </c>
      <c r="G329" s="382">
        <f t="shared" ca="1" si="54"/>
        <v>-0.17007047678962148</v>
      </c>
      <c r="H329" s="382">
        <f t="shared" ca="1" si="55"/>
        <v>-0.17031576742851356</v>
      </c>
      <c r="I329" s="382">
        <f t="shared" ca="1" si="56"/>
        <v>-0.17316091273673162</v>
      </c>
      <c r="J329" s="588">
        <f t="shared" ca="1" si="57"/>
        <v>-0.16994271262139646</v>
      </c>
    </row>
    <row r="330" spans="1:10" s="64" customFormat="1">
      <c r="A330" s="911" t="s">
        <v>894</v>
      </c>
      <c r="B330" s="382">
        <f t="shared" ca="1" si="49"/>
        <v>-1.4481281494655742E-2</v>
      </c>
      <c r="C330" s="382">
        <f t="shared" ca="1" si="50"/>
        <v>-9.9416806702984931E-2</v>
      </c>
      <c r="D330" s="382">
        <f t="shared" ca="1" si="51"/>
        <v>-0.10739182050989926</v>
      </c>
      <c r="E330" s="382">
        <f t="shared" ca="1" si="52"/>
        <v>-0.22846547089930602</v>
      </c>
      <c r="F330" s="382">
        <f t="shared" ca="1" si="53"/>
        <v>-0.23220827207284295</v>
      </c>
      <c r="G330" s="382">
        <f t="shared" ca="1" si="54"/>
        <v>-0.45783879034283814</v>
      </c>
      <c r="H330" s="382">
        <f t="shared" ca="1" si="55"/>
        <v>-0.45976605327938003</v>
      </c>
      <c r="I330" s="382">
        <f t="shared" ca="1" si="56"/>
        <v>-0.47043548235902433</v>
      </c>
      <c r="J330" s="588">
        <f t="shared" ca="1" si="57"/>
        <v>-0.46171245170988395</v>
      </c>
    </row>
    <row r="331" spans="1:10" s="64" customFormat="1">
      <c r="A331" s="911" t="s">
        <v>895</v>
      </c>
      <c r="B331" s="382">
        <f t="shared" ca="1" si="49"/>
        <v>1.8191335006285714E-2</v>
      </c>
      <c r="C331" s="382">
        <f t="shared" ca="1" si="50"/>
        <v>-0.19752833868037956</v>
      </c>
      <c r="D331" s="382">
        <f t="shared" ca="1" si="51"/>
        <v>-0.16544755762801483</v>
      </c>
      <c r="E331" s="382">
        <f t="shared" ca="1" si="52"/>
        <v>-0.30133640471092987</v>
      </c>
      <c r="F331" s="382">
        <f t="shared" ca="1" si="53"/>
        <v>-0.25449728595010812</v>
      </c>
      <c r="G331" s="382">
        <f t="shared" ca="1" si="54"/>
        <v>-0.60316842143121363</v>
      </c>
      <c r="H331" s="382">
        <f t="shared" ca="1" si="55"/>
        <v>-0.55552555406522131</v>
      </c>
      <c r="I331" s="382">
        <f t="shared" ca="1" si="56"/>
        <v>-0.38278908272267881</v>
      </c>
      <c r="J331" s="588">
        <f t="shared" ca="1" si="57"/>
        <v>-0.32374284399520625</v>
      </c>
    </row>
    <row r="332" spans="1:10" s="64" customFormat="1">
      <c r="A332" s="912" t="s">
        <v>896</v>
      </c>
      <c r="B332" s="382">
        <f t="shared" ca="1" si="49"/>
        <v>-7.8332192749326901E-3</v>
      </c>
      <c r="C332" s="382">
        <f t="shared" ca="1" si="50"/>
        <v>-3.6535924113036425E-2</v>
      </c>
      <c r="D332" s="382">
        <f t="shared" ca="1" si="51"/>
        <v>-4.2015547549610351E-2</v>
      </c>
      <c r="E332" s="382">
        <f t="shared" ca="1" si="52"/>
        <v>-0.35520125741283426</v>
      </c>
      <c r="F332" s="382">
        <f t="shared" ca="1" si="53"/>
        <v>-0.35704086296586834</v>
      </c>
      <c r="G332" s="382">
        <f t="shared" ca="1" si="54"/>
        <v>-0.82445202125952066</v>
      </c>
      <c r="H332" s="382">
        <f t="shared" ca="1" si="55"/>
        <v>-0.82341846054398493</v>
      </c>
      <c r="I332" s="382">
        <f t="shared" ca="1" si="56"/>
        <v>-0.79861763161309762</v>
      </c>
      <c r="J332" s="588">
        <f t="shared" ca="1" si="57"/>
        <v>-0.79729245486719247</v>
      </c>
    </row>
    <row r="333" spans="1:10" s="64" customFormat="1">
      <c r="A333" s="913" t="s">
        <v>897</v>
      </c>
      <c r="B333" s="368">
        <f t="shared" ca="1" si="49"/>
        <v>-5.5085992502346068E-3</v>
      </c>
      <c r="C333" s="368">
        <f t="shared" ca="1" si="50"/>
        <v>-7.7690670765245107E-2</v>
      </c>
      <c r="D333" s="368">
        <f t="shared" ca="1" si="51"/>
        <v>-7.8096351789159385E-2</v>
      </c>
      <c r="E333" s="368">
        <f t="shared" ca="1" si="52"/>
        <v>-8.5374433951163967E-3</v>
      </c>
      <c r="F333" s="368">
        <f t="shared" ca="1" si="53"/>
        <v>-2.5591774476562568E-2</v>
      </c>
      <c r="G333" s="368">
        <f t="shared" ca="1" si="54"/>
        <v>-4.7954355359193394E-2</v>
      </c>
      <c r="H333" s="368">
        <f t="shared" ca="1" si="55"/>
        <v>-8.2141482538599098E-2</v>
      </c>
      <c r="I333" s="368">
        <f t="shared" ca="1" si="56"/>
        <v>-0.42007316159314884</v>
      </c>
      <c r="J333" s="428">
        <f t="shared" ca="1" si="57"/>
        <v>-0.41082763900905422</v>
      </c>
    </row>
    <row r="334" spans="1:10" s="64" customFormat="1">
      <c r="F334" s="382"/>
      <c r="G334" s="382"/>
      <c r="H334" s="382"/>
    </row>
    <row r="335" spans="1:10" s="64" customFormat="1">
      <c r="F335" s="382"/>
      <c r="G335" s="382"/>
      <c r="H335" s="382"/>
    </row>
    <row r="336" spans="1:10" s="64" customFormat="1">
      <c r="F336" s="382"/>
      <c r="G336" s="382"/>
      <c r="H336" s="382"/>
    </row>
    <row r="337" spans="6:8" s="64" customFormat="1">
      <c r="F337" s="382"/>
      <c r="G337" s="382"/>
      <c r="H337" s="382"/>
    </row>
    <row r="338" spans="6:8" s="64" customFormat="1">
      <c r="F338" s="382"/>
      <c r="G338" s="382"/>
      <c r="H338" s="382"/>
    </row>
    <row r="339" spans="6:8" s="64" customFormat="1">
      <c r="F339" s="382"/>
      <c r="G339" s="382"/>
      <c r="H339" s="382"/>
    </row>
    <row r="340" spans="6:8" s="64" customFormat="1">
      <c r="F340" s="382"/>
      <c r="G340" s="382"/>
      <c r="H340" s="382"/>
    </row>
    <row r="341" spans="6:8" s="64" customFormat="1">
      <c r="F341" s="382"/>
      <c r="G341" s="382"/>
      <c r="H341" s="382"/>
    </row>
    <row r="342" spans="6:8" s="64" customFormat="1">
      <c r="F342" s="382"/>
      <c r="G342" s="382"/>
      <c r="H342" s="382"/>
    </row>
    <row r="343" spans="6:8" s="64" customFormat="1">
      <c r="F343" s="382"/>
      <c r="G343" s="382"/>
      <c r="H343" s="382"/>
    </row>
    <row r="344" spans="6:8" s="64" customFormat="1">
      <c r="F344" s="382"/>
      <c r="G344" s="382"/>
      <c r="H344" s="382"/>
    </row>
    <row r="345" spans="6:8" s="64" customFormat="1">
      <c r="F345" s="382"/>
      <c r="G345" s="382"/>
      <c r="H345" s="382"/>
    </row>
    <row r="346" spans="6:8" s="64" customFormat="1">
      <c r="F346" s="382"/>
      <c r="G346" s="382"/>
      <c r="H346" s="382"/>
    </row>
    <row r="347" spans="6:8" s="64" customFormat="1">
      <c r="F347" s="382"/>
      <c r="G347" s="382"/>
      <c r="H347" s="382"/>
    </row>
    <row r="348" spans="6:8" s="64" customFormat="1">
      <c r="F348" s="382"/>
      <c r="G348" s="382"/>
      <c r="H348" s="382"/>
    </row>
    <row r="349" spans="6:8" s="64" customFormat="1">
      <c r="F349" s="382"/>
      <c r="G349" s="382"/>
      <c r="H349" s="382"/>
    </row>
    <row r="350" spans="6:8" s="64" customFormat="1">
      <c r="F350" s="382"/>
      <c r="G350" s="382"/>
      <c r="H350" s="382"/>
    </row>
    <row r="351" spans="6:8" s="64" customFormat="1">
      <c r="F351" s="382"/>
      <c r="G351" s="382"/>
      <c r="H351" s="382"/>
    </row>
    <row r="352" spans="6:8" s="64" customFormat="1">
      <c r="F352" s="382"/>
      <c r="G352" s="382"/>
      <c r="H352" s="382"/>
    </row>
    <row r="353" spans="6:8" s="64" customFormat="1">
      <c r="F353" s="382"/>
      <c r="G353" s="382"/>
      <c r="H353" s="382"/>
    </row>
    <row r="354" spans="6:8" s="64" customFormat="1">
      <c r="F354" s="382"/>
      <c r="G354" s="382"/>
      <c r="H354" s="382"/>
    </row>
    <row r="355" spans="6:8" s="64" customFormat="1">
      <c r="F355" s="382"/>
      <c r="G355" s="382"/>
      <c r="H355" s="382"/>
    </row>
    <row r="356" spans="6:8" s="64" customFormat="1">
      <c r="F356" s="382"/>
      <c r="G356" s="382"/>
      <c r="H356" s="382"/>
    </row>
    <row r="357" spans="6:8" s="64" customFormat="1">
      <c r="F357" s="382"/>
      <c r="G357" s="382"/>
      <c r="H357" s="382"/>
    </row>
    <row r="358" spans="6:8" s="64" customFormat="1">
      <c r="F358" s="382"/>
      <c r="G358" s="382"/>
      <c r="H358" s="382"/>
    </row>
    <row r="359" spans="6:8" s="64" customFormat="1">
      <c r="F359" s="382"/>
      <c r="G359" s="382"/>
      <c r="H359" s="382"/>
    </row>
    <row r="360" spans="6:8" s="64" customFormat="1">
      <c r="F360" s="382"/>
      <c r="G360" s="382"/>
      <c r="H360" s="382"/>
    </row>
    <row r="361" spans="6:8" s="64" customFormat="1">
      <c r="F361" s="382"/>
      <c r="G361" s="382"/>
      <c r="H361" s="382"/>
    </row>
    <row r="362" spans="6:8" s="64" customFormat="1">
      <c r="F362" s="382"/>
      <c r="G362" s="382"/>
      <c r="H362" s="382"/>
    </row>
    <row r="363" spans="6:8" s="64" customFormat="1">
      <c r="F363" s="382"/>
      <c r="G363" s="382"/>
      <c r="H363" s="382"/>
    </row>
    <row r="364" spans="6:8" s="64" customFormat="1">
      <c r="F364" s="382"/>
      <c r="G364" s="382"/>
      <c r="H364" s="382"/>
    </row>
    <row r="365" spans="6:8" s="64" customFormat="1">
      <c r="F365" s="382"/>
      <c r="G365" s="382"/>
      <c r="H365" s="382"/>
    </row>
    <row r="366" spans="6:8" s="64" customFormat="1">
      <c r="F366" s="382"/>
      <c r="G366" s="382"/>
      <c r="H366" s="382"/>
    </row>
    <row r="367" spans="6:8" s="64" customFormat="1">
      <c r="F367" s="382"/>
      <c r="G367" s="382"/>
      <c r="H367" s="382"/>
    </row>
    <row r="368" spans="6:8" s="64" customFormat="1">
      <c r="F368" s="382"/>
      <c r="G368" s="382"/>
      <c r="H368" s="382"/>
    </row>
    <row r="369" spans="6:8" s="64" customFormat="1">
      <c r="F369" s="382"/>
      <c r="G369" s="382"/>
      <c r="H369" s="382"/>
    </row>
    <row r="370" spans="6:8" s="64" customFormat="1">
      <c r="F370" s="382"/>
      <c r="G370" s="382"/>
      <c r="H370" s="382"/>
    </row>
    <row r="371" spans="6:8" s="64" customFormat="1">
      <c r="F371" s="382"/>
      <c r="G371" s="382"/>
      <c r="H371" s="382"/>
    </row>
    <row r="372" spans="6:8" s="64" customFormat="1">
      <c r="F372" s="382"/>
      <c r="G372" s="382"/>
      <c r="H372" s="382"/>
    </row>
    <row r="373" spans="6:8" s="64" customFormat="1">
      <c r="F373" s="382"/>
      <c r="G373" s="382"/>
      <c r="H373" s="382"/>
    </row>
    <row r="374" spans="6:8" s="64" customFormat="1">
      <c r="F374" s="382"/>
      <c r="G374" s="382"/>
      <c r="H374" s="382"/>
    </row>
    <row r="375" spans="6:8" s="64" customFormat="1">
      <c r="F375" s="382"/>
      <c r="G375" s="382"/>
      <c r="H375" s="382"/>
    </row>
    <row r="376" spans="6:8" s="64" customFormat="1">
      <c r="F376" s="382"/>
      <c r="G376" s="382"/>
      <c r="H376" s="382"/>
    </row>
    <row r="377" spans="6:8" s="64" customFormat="1">
      <c r="F377" s="382"/>
      <c r="G377" s="382"/>
      <c r="H377" s="382"/>
    </row>
    <row r="378" spans="6:8" s="64" customFormat="1">
      <c r="F378" s="382"/>
      <c r="G378" s="382"/>
      <c r="H378" s="382"/>
    </row>
    <row r="379" spans="6:8" s="64" customFormat="1">
      <c r="F379" s="382"/>
      <c r="G379" s="382"/>
      <c r="H379" s="382"/>
    </row>
    <row r="380" spans="6:8" s="64" customFormat="1">
      <c r="F380" s="382"/>
      <c r="G380" s="382"/>
      <c r="H380" s="382"/>
    </row>
    <row r="381" spans="6:8" s="64" customFormat="1">
      <c r="F381" s="382"/>
      <c r="G381" s="382"/>
      <c r="H381" s="382"/>
    </row>
    <row r="382" spans="6:8" s="64" customFormat="1">
      <c r="F382" s="382"/>
      <c r="G382" s="382"/>
      <c r="H382" s="382"/>
    </row>
    <row r="383" spans="6:8" s="64" customFormat="1">
      <c r="F383" s="382"/>
      <c r="G383" s="382"/>
      <c r="H383" s="382"/>
    </row>
    <row r="384" spans="6:8" s="64" customFormat="1">
      <c r="F384" s="382"/>
      <c r="G384" s="382"/>
      <c r="H384" s="382"/>
    </row>
    <row r="385" spans="6:8" s="64" customFormat="1">
      <c r="F385" s="382"/>
      <c r="G385" s="382"/>
      <c r="H385" s="382"/>
    </row>
    <row r="386" spans="6:8" s="64" customFormat="1">
      <c r="F386" s="382"/>
      <c r="G386" s="382"/>
      <c r="H386" s="382"/>
    </row>
    <row r="387" spans="6:8" s="64" customFormat="1">
      <c r="F387" s="382"/>
      <c r="G387" s="382"/>
      <c r="H387" s="382"/>
    </row>
    <row r="388" spans="6:8" s="64" customFormat="1">
      <c r="F388" s="382"/>
      <c r="G388" s="382"/>
      <c r="H388" s="382"/>
    </row>
    <row r="389" spans="6:8" s="64" customFormat="1">
      <c r="F389" s="382"/>
      <c r="G389" s="382"/>
      <c r="H389" s="382"/>
    </row>
    <row r="390" spans="6:8" s="64" customFormat="1">
      <c r="F390" s="382"/>
      <c r="G390" s="382"/>
      <c r="H390" s="382"/>
    </row>
    <row r="391" spans="6:8" s="64" customFormat="1">
      <c r="F391" s="382"/>
      <c r="G391" s="382"/>
      <c r="H391" s="382"/>
    </row>
    <row r="392" spans="6:8" s="64" customFormat="1">
      <c r="F392" s="382"/>
      <c r="G392" s="382"/>
      <c r="H392" s="382"/>
    </row>
    <row r="393" spans="6:8" s="64" customFormat="1">
      <c r="F393" s="382"/>
      <c r="G393" s="382"/>
      <c r="H393" s="382"/>
    </row>
    <row r="394" spans="6:8" s="64" customFormat="1">
      <c r="F394" s="382"/>
      <c r="G394" s="382"/>
      <c r="H394" s="382"/>
    </row>
    <row r="395" spans="6:8" s="64" customFormat="1">
      <c r="F395" s="382"/>
      <c r="G395" s="382"/>
      <c r="H395" s="382"/>
    </row>
    <row r="396" spans="6:8" s="64" customFormat="1">
      <c r="F396" s="382"/>
      <c r="G396" s="382"/>
      <c r="H396" s="382"/>
    </row>
    <row r="397" spans="6:8" s="64" customFormat="1">
      <c r="F397" s="382"/>
      <c r="G397" s="382"/>
      <c r="H397" s="382"/>
    </row>
    <row r="398" spans="6:8" s="64" customFormat="1">
      <c r="F398" s="382"/>
      <c r="G398" s="382"/>
      <c r="H398" s="382"/>
    </row>
    <row r="399" spans="6:8" s="64" customFormat="1">
      <c r="F399" s="382"/>
      <c r="G399" s="382"/>
      <c r="H399" s="382"/>
    </row>
    <row r="400" spans="6:8" s="64" customFormat="1">
      <c r="F400" s="382"/>
      <c r="G400" s="382"/>
      <c r="H400" s="382"/>
    </row>
    <row r="401" spans="6:8" s="64" customFormat="1">
      <c r="F401" s="382"/>
      <c r="G401" s="382"/>
      <c r="H401" s="382"/>
    </row>
    <row r="402" spans="6:8" s="64" customFormat="1">
      <c r="F402" s="382"/>
      <c r="G402" s="382"/>
      <c r="H402" s="382"/>
    </row>
    <row r="403" spans="6:8" s="64" customFormat="1">
      <c r="F403" s="382"/>
      <c r="G403" s="382"/>
      <c r="H403" s="382"/>
    </row>
    <row r="404" spans="6:8" s="64" customFormat="1">
      <c r="F404" s="382"/>
      <c r="G404" s="382"/>
      <c r="H404" s="382"/>
    </row>
    <row r="405" spans="6:8" s="64" customFormat="1">
      <c r="F405" s="382"/>
      <c r="G405" s="382"/>
      <c r="H405" s="382"/>
    </row>
    <row r="406" spans="6:8" s="64" customFormat="1">
      <c r="F406" s="382"/>
      <c r="G406" s="382"/>
      <c r="H406" s="382"/>
    </row>
    <row r="407" spans="6:8" s="64" customFormat="1">
      <c r="F407" s="382"/>
      <c r="G407" s="382"/>
      <c r="H407" s="382"/>
    </row>
    <row r="408" spans="6:8" s="64" customFormat="1">
      <c r="F408" s="382"/>
      <c r="G408" s="382"/>
      <c r="H408" s="382"/>
    </row>
    <row r="409" spans="6:8" s="64" customFormat="1">
      <c r="F409" s="382"/>
      <c r="G409" s="382"/>
      <c r="H409" s="382"/>
    </row>
    <row r="410" spans="6:8" s="64" customFormat="1">
      <c r="F410" s="382"/>
      <c r="G410" s="382"/>
      <c r="H410" s="382"/>
    </row>
    <row r="411" spans="6:8" s="64" customFormat="1">
      <c r="F411" s="382"/>
      <c r="G411" s="382"/>
      <c r="H411" s="382"/>
    </row>
    <row r="412" spans="6:8" s="64" customFormat="1">
      <c r="F412" s="382"/>
      <c r="G412" s="382"/>
      <c r="H412" s="382"/>
    </row>
    <row r="413" spans="6:8" s="64" customFormat="1">
      <c r="F413" s="382"/>
      <c r="G413" s="382"/>
      <c r="H413" s="382"/>
    </row>
    <row r="414" spans="6:8" s="64" customFormat="1">
      <c r="F414" s="382"/>
      <c r="G414" s="382"/>
      <c r="H414" s="382"/>
    </row>
    <row r="415" spans="6:8" s="64" customFormat="1">
      <c r="F415" s="382"/>
      <c r="G415" s="382"/>
      <c r="H415" s="382"/>
    </row>
    <row r="416" spans="6:8" s="64" customFormat="1">
      <c r="F416" s="382"/>
      <c r="G416" s="382"/>
      <c r="H416" s="382"/>
    </row>
    <row r="417" spans="2:15" s="64" customFormat="1">
      <c r="F417" s="382"/>
      <c r="G417" s="382"/>
      <c r="H417" s="382"/>
    </row>
    <row r="418" spans="2:15" s="64" customFormat="1">
      <c r="F418" s="382"/>
      <c r="G418" s="382"/>
      <c r="H418" s="382"/>
    </row>
    <row r="419" spans="2:15" s="64" customFormat="1">
      <c r="F419" s="382"/>
      <c r="G419" s="382"/>
      <c r="H419" s="382"/>
    </row>
    <row r="420" spans="2:15" s="64" customFormat="1">
      <c r="F420" s="382"/>
      <c r="G420" s="382"/>
      <c r="H420" s="382"/>
    </row>
    <row r="421" spans="2:15" s="64" customFormat="1">
      <c r="F421" s="382"/>
      <c r="G421" s="382"/>
      <c r="H421" s="382"/>
    </row>
    <row r="422" spans="2:15" s="64" customFormat="1">
      <c r="F422" s="382"/>
      <c r="G422" s="382"/>
      <c r="H422" s="382"/>
    </row>
    <row r="423" spans="2:15" s="64" customFormat="1">
      <c r="F423" s="382"/>
      <c r="G423" s="382"/>
      <c r="H423" s="382"/>
    </row>
    <row r="424" spans="2:15" s="64" customFormat="1">
      <c r="F424" s="382"/>
      <c r="G424" s="382"/>
      <c r="H424" s="382"/>
    </row>
    <row r="425" spans="2:15" s="64" customFormat="1">
      <c r="F425" s="382"/>
      <c r="G425" s="382"/>
      <c r="H425" s="382"/>
    </row>
    <row r="426" spans="2:15" s="64" customFormat="1">
      <c r="F426" s="382"/>
      <c r="G426" s="382"/>
      <c r="H426" s="382"/>
    </row>
    <row r="427" spans="2:15" s="64" customFormat="1">
      <c r="F427" s="382"/>
      <c r="G427" s="382"/>
      <c r="H427" s="382"/>
    </row>
    <row r="428" spans="2:15" s="64" customFormat="1">
      <c r="F428" s="382"/>
      <c r="G428" s="382"/>
      <c r="H428" s="382"/>
    </row>
    <row r="429" spans="2:15" s="64" customFormat="1">
      <c r="F429" s="382"/>
      <c r="G429" s="382"/>
      <c r="H429" s="382"/>
    </row>
    <row r="430" spans="2:15" s="64" customFormat="1">
      <c r="F430" s="382"/>
      <c r="G430" s="382"/>
      <c r="H430" s="382"/>
    </row>
    <row r="431" spans="2:15" s="64" customFormat="1">
      <c r="F431" s="382"/>
      <c r="G431" s="382"/>
      <c r="H431" s="382"/>
    </row>
    <row r="432" spans="2:15" s="64" customFormat="1">
      <c r="B432" s="382"/>
      <c r="C432" s="382"/>
      <c r="D432" s="382"/>
      <c r="E432" s="382"/>
      <c r="F432" s="382"/>
      <c r="G432" s="382"/>
      <c r="H432" s="382"/>
      <c r="I432" s="382"/>
      <c r="J432" s="382"/>
      <c r="K432" s="382"/>
      <c r="L432" s="382"/>
      <c r="M432" s="382"/>
      <c r="N432" s="382"/>
      <c r="O432" s="382"/>
    </row>
    <row r="433" s="64" customFormat="1"/>
    <row r="434" s="64" customFormat="1"/>
    <row r="435" s="64" customFormat="1"/>
    <row r="436" s="64" customFormat="1"/>
    <row r="437" s="64" customFormat="1"/>
    <row r="438" s="64" customFormat="1"/>
    <row r="439" s="64" customFormat="1"/>
    <row r="440" s="64" customFormat="1"/>
    <row r="441" s="64" customFormat="1"/>
    <row r="442" s="64" customFormat="1"/>
    <row r="443" s="64" customFormat="1"/>
    <row r="444" s="64" customFormat="1"/>
    <row r="445" s="64" customFormat="1"/>
    <row r="446" s="64" customFormat="1"/>
    <row r="447" s="64" customFormat="1"/>
    <row r="448" s="64" customFormat="1"/>
    <row r="449" s="64" customFormat="1"/>
    <row r="450" s="64" customFormat="1"/>
    <row r="451" s="64" customFormat="1"/>
    <row r="452" s="64" customFormat="1"/>
    <row r="453" s="64" customFormat="1"/>
    <row r="454" s="64" customFormat="1"/>
    <row r="455" s="64" customFormat="1"/>
    <row r="456" s="64" customFormat="1"/>
    <row r="457" s="64" customFormat="1"/>
    <row r="458" s="64" customFormat="1"/>
    <row r="459" s="64" customFormat="1"/>
    <row r="460" s="64" customFormat="1"/>
    <row r="461" s="64" customFormat="1"/>
    <row r="462" s="64" customFormat="1"/>
    <row r="463" s="64" customFormat="1"/>
    <row r="464" s="64" customFormat="1"/>
    <row r="465" s="64" customFormat="1"/>
    <row r="466" s="64" customFormat="1"/>
    <row r="467" s="64" customFormat="1"/>
    <row r="468" s="64" customFormat="1"/>
    <row r="469" s="64" customFormat="1"/>
    <row r="470" s="64" customFormat="1"/>
    <row r="471" s="64" customFormat="1"/>
    <row r="472" s="64" customFormat="1"/>
    <row r="473" s="64" customFormat="1"/>
    <row r="474" s="64" customFormat="1"/>
    <row r="475" s="64" customFormat="1"/>
    <row r="476" s="64" customFormat="1"/>
    <row r="477" s="64" customFormat="1"/>
    <row r="478" s="64" customFormat="1"/>
    <row r="479" s="64" customFormat="1"/>
    <row r="480" s="64" customFormat="1"/>
    <row r="481" s="64" customFormat="1"/>
    <row r="482" s="64" customFormat="1"/>
    <row r="483" s="64" customFormat="1"/>
    <row r="484" s="64" customFormat="1"/>
    <row r="485" s="64" customFormat="1"/>
    <row r="486" s="64" customFormat="1"/>
    <row r="487" s="64" customFormat="1"/>
    <row r="488" s="64" customFormat="1"/>
    <row r="489" s="64" customFormat="1"/>
    <row r="490" s="64" customFormat="1"/>
    <row r="491" s="64" customFormat="1"/>
    <row r="492" s="64" customFormat="1"/>
    <row r="493" s="64" customFormat="1"/>
    <row r="494" s="64" customFormat="1"/>
    <row r="495" s="64" customFormat="1"/>
    <row r="496" s="64" customFormat="1"/>
    <row r="497" s="64" customFormat="1"/>
    <row r="498" s="64" customFormat="1"/>
    <row r="499" s="64" customFormat="1"/>
    <row r="500" s="64" customFormat="1"/>
    <row r="501" s="64" customFormat="1"/>
    <row r="502" s="64" customFormat="1"/>
    <row r="503" s="64" customFormat="1"/>
    <row r="504" s="64" customFormat="1"/>
    <row r="505" s="64" customFormat="1"/>
    <row r="506" s="64" customFormat="1"/>
    <row r="507" s="64" customFormat="1"/>
    <row r="508" s="64" customFormat="1"/>
    <row r="509" s="64" customFormat="1"/>
    <row r="510" s="64" customFormat="1"/>
    <row r="511" s="64" customFormat="1"/>
    <row r="512" s="64" customFormat="1"/>
    <row r="513" s="64" customFormat="1"/>
    <row r="514" s="64" customFormat="1"/>
    <row r="515" s="64" customFormat="1"/>
    <row r="516" s="64" customFormat="1"/>
    <row r="517" s="64" customFormat="1"/>
    <row r="518" s="64" customFormat="1"/>
    <row r="519" s="64" customFormat="1"/>
    <row r="520" s="64" customFormat="1"/>
    <row r="521" s="64" customFormat="1"/>
    <row r="522" s="64" customFormat="1"/>
    <row r="523" s="64" customFormat="1"/>
    <row r="524" s="64" customFormat="1"/>
    <row r="525" s="64" customFormat="1"/>
  </sheetData>
  <mergeCells count="20">
    <mergeCell ref="B247:E247"/>
    <mergeCell ref="F247:I247"/>
    <mergeCell ref="B277:E277"/>
    <mergeCell ref="F277:I277"/>
    <mergeCell ref="B156:E156"/>
    <mergeCell ref="F156:I156"/>
    <mergeCell ref="F216:I216"/>
    <mergeCell ref="B186:E186"/>
    <mergeCell ref="B216:E216"/>
    <mergeCell ref="F186:I186"/>
    <mergeCell ref="B6:E6"/>
    <mergeCell ref="B36:E36"/>
    <mergeCell ref="B126:E126"/>
    <mergeCell ref="F6:I6"/>
    <mergeCell ref="F36:I36"/>
    <mergeCell ref="B66:E66"/>
    <mergeCell ref="B96:E96"/>
    <mergeCell ref="F66:I66"/>
    <mergeCell ref="F96:I96"/>
    <mergeCell ref="F126:I126"/>
  </mergeCells>
  <phoneticPr fontId="5" type="noConversion"/>
  <dataValidations count="3">
    <dataValidation type="list" allowBlank="1" showInputMessage="1" showErrorMessage="1" sqref="D3" xr:uid="{00000000-0002-0000-2B00-000000000000}">
      <formula1>$M$7:$Q$7</formula1>
    </dataValidation>
    <dataValidation type="list" allowBlank="1" showInputMessage="1" showErrorMessage="1" sqref="B3" xr:uid="{00000000-0002-0000-2B00-000001000000}">
      <formula1>$M$5:$Q$5</formula1>
    </dataValidation>
    <dataValidation type="list" allowBlank="1" showInputMessage="1" showErrorMessage="1" sqref="D4" xr:uid="{00000000-0002-0000-2B00-000002000000}">
      <formula1>$M$9:$Q$9</formula1>
    </dataValidation>
  </dataValidations>
  <printOptions gridLinesSet="0"/>
  <pageMargins left="0.75" right="0.75" top="1" bottom="1" header="0.5" footer="0.5"/>
  <pageSetup orientation="portrait" horizontalDpi="4294967292" r:id="rId1"/>
  <headerFooter alignWithMargins="0">
    <oddHeader>&amp;C&amp;"CG Times,Bold"Transportation Fuel Cycle Emissions and Energy Model</oddHeader>
    <oddFooter>&amp;L&amp;"CG Times,Regular"&amp;8By Michael Wang (&amp;D)&amp;C&amp;"CG Times,Regular"&amp;8Page &amp;P</oddFooter>
  </headerFooter>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A1:AZ80"/>
  <sheetViews>
    <sheetView showGridLines="0" topLeftCell="A42" zoomScale="85" zoomScaleNormal="85" workbookViewId="0"/>
  </sheetViews>
  <sheetFormatPr defaultColWidth="9.140625" defaultRowHeight="12.75"/>
  <cols>
    <col min="1" max="1" width="33.28515625" style="350" customWidth="1"/>
    <col min="2" max="5" width="11" style="350" customWidth="1"/>
    <col min="6" max="6" width="13.85546875" style="350" bestFit="1" customWidth="1"/>
    <col min="7" max="7" width="10.7109375" style="350" customWidth="1"/>
    <col min="8" max="8" width="11.28515625" style="350" bestFit="1" customWidth="1"/>
    <col min="9" max="9" width="9.28515625" style="350" bestFit="1" customWidth="1"/>
    <col min="10" max="10" width="10.42578125" style="350" bestFit="1" customWidth="1"/>
    <col min="11" max="12" width="12.7109375" style="350" bestFit="1" customWidth="1"/>
    <col min="13" max="13" width="11.42578125" style="350" customWidth="1"/>
    <col min="14" max="14" width="10" style="350" customWidth="1"/>
    <col min="15" max="15" width="11.140625" style="350" customWidth="1"/>
    <col min="16" max="16" width="10.85546875" style="350" bestFit="1" customWidth="1"/>
    <col min="17" max="17" width="12.42578125" style="350" customWidth="1"/>
    <col min="18" max="18" width="11" style="350" customWidth="1"/>
    <col min="19" max="19" width="10.7109375" style="350" customWidth="1"/>
    <col min="20" max="20" width="10.85546875" style="350" bestFit="1" customWidth="1"/>
    <col min="21" max="21" width="9.85546875" style="350" bestFit="1" customWidth="1"/>
    <col min="22" max="22" width="10.85546875" style="350" bestFit="1" customWidth="1"/>
    <col min="23" max="23" width="14.140625" style="350" customWidth="1"/>
    <col min="24" max="24" width="10.85546875" style="350" bestFit="1" customWidth="1"/>
    <col min="25" max="25" width="12.42578125" style="350" customWidth="1"/>
    <col min="26" max="26" width="10.85546875" style="350" bestFit="1" customWidth="1"/>
    <col min="27" max="27" width="10" style="350" bestFit="1" customWidth="1"/>
    <col min="28" max="28" width="11" style="350" bestFit="1" customWidth="1"/>
    <col min="29" max="29" width="9.140625" style="350" bestFit="1" customWidth="1"/>
    <col min="30" max="30" width="11" style="350" bestFit="1" customWidth="1"/>
    <col min="31" max="31" width="9.42578125" style="350" bestFit="1" customWidth="1"/>
    <col min="32" max="32" width="11" style="350" bestFit="1" customWidth="1"/>
    <col min="33" max="33" width="7.5703125" style="350" bestFit="1" customWidth="1"/>
    <col min="34" max="34" width="9.28515625" style="350" bestFit="1" customWidth="1"/>
    <col min="35" max="16384" width="9.140625" style="350"/>
  </cols>
  <sheetData>
    <row r="1" spans="1:16" ht="15.75">
      <c r="A1" s="2" t="s">
        <v>2198</v>
      </c>
    </row>
    <row r="3" spans="1:16" ht="15">
      <c r="A3" s="9" t="s">
        <v>2199</v>
      </c>
      <c r="B3" s="40"/>
      <c r="O3" s="10"/>
      <c r="P3" s="10"/>
    </row>
    <row r="4" spans="1:16" ht="15">
      <c r="A4" s="538"/>
      <c r="B4" s="541" t="str">
        <f>GREET1_Import_Export!B48</f>
        <v>AR5/GWP</v>
      </c>
      <c r="C4" s="2754" t="s">
        <v>2200</v>
      </c>
      <c r="D4" s="2755" t="s">
        <v>2200</v>
      </c>
      <c r="E4" s="2755" t="s">
        <v>2201</v>
      </c>
      <c r="F4" s="2755" t="s">
        <v>2201</v>
      </c>
      <c r="G4" s="2756" t="s">
        <v>2202</v>
      </c>
      <c r="H4" s="2756" t="s">
        <v>2202</v>
      </c>
      <c r="I4" s="2756" t="s">
        <v>2203</v>
      </c>
      <c r="J4" s="2756" t="s">
        <v>2203</v>
      </c>
      <c r="K4" s="2756" t="s">
        <v>2204</v>
      </c>
      <c r="L4" s="2757" t="s">
        <v>2204</v>
      </c>
      <c r="M4" s="10"/>
      <c r="N4" s="10"/>
    </row>
    <row r="5" spans="1:16">
      <c r="A5" s="477"/>
      <c r="B5" s="1777">
        <f>GREET1_Import_Export!B49</f>
        <v>100</v>
      </c>
      <c r="C5" s="958">
        <v>100</v>
      </c>
      <c r="D5" s="959">
        <v>20</v>
      </c>
      <c r="E5" s="959">
        <v>100</v>
      </c>
      <c r="F5" s="959">
        <v>20</v>
      </c>
      <c r="G5" s="959">
        <v>100</v>
      </c>
      <c r="H5" s="959">
        <v>20</v>
      </c>
      <c r="I5" s="959">
        <v>100</v>
      </c>
      <c r="J5" s="959">
        <v>20</v>
      </c>
      <c r="K5" s="959">
        <v>100</v>
      </c>
      <c r="L5" s="960">
        <v>20</v>
      </c>
      <c r="M5" s="10"/>
      <c r="N5" s="10"/>
    </row>
    <row r="6" spans="1:16">
      <c r="A6" s="2758" t="s">
        <v>2205</v>
      </c>
      <c r="B6" s="540">
        <f t="array" ref="B6">INDEX($C$6:$L$8,ROW($A6)-ROW($A$6)+1,MATCH($B$4&amp;$B$5,$C$4:$L$4&amp;$C$5:$L$5,0))</f>
        <v>6630</v>
      </c>
      <c r="C6" s="2759">
        <v>6630</v>
      </c>
      <c r="D6" s="557">
        <v>4880</v>
      </c>
      <c r="E6" s="557">
        <v>8040</v>
      </c>
      <c r="F6" s="557">
        <v>5270</v>
      </c>
      <c r="G6" s="2759">
        <v>7390</v>
      </c>
      <c r="H6" s="961">
        <v>5210</v>
      </c>
      <c r="I6" s="961">
        <v>5700</v>
      </c>
      <c r="J6" s="2760">
        <v>3900</v>
      </c>
      <c r="K6" s="961">
        <v>6500</v>
      </c>
      <c r="L6" s="2761">
        <v>4400</v>
      </c>
      <c r="M6" s="10"/>
      <c r="N6" s="10"/>
    </row>
    <row r="7" spans="1:16">
      <c r="A7" s="41" t="s">
        <v>2206</v>
      </c>
      <c r="B7" s="2762">
        <f t="array" ref="B7">INDEX($C$6:$L$8,ROW($A7)-ROW($A$6)+1,MATCH($B$4&amp;$B$5,$C$4:$L$4&amp;$C$5:$L$5,0))</f>
        <v>11100</v>
      </c>
      <c r="C7" s="2763">
        <v>11100</v>
      </c>
      <c r="D7" s="350">
        <v>8210</v>
      </c>
      <c r="E7" s="536">
        <v>13500</v>
      </c>
      <c r="F7" s="350">
        <v>8880</v>
      </c>
      <c r="G7" s="2763">
        <v>12200</v>
      </c>
      <c r="H7" s="536">
        <v>8630</v>
      </c>
      <c r="I7" s="536">
        <v>11900</v>
      </c>
      <c r="J7" s="10">
        <v>8000</v>
      </c>
      <c r="K7" s="536">
        <v>9200</v>
      </c>
      <c r="L7" s="2764">
        <v>6200</v>
      </c>
      <c r="M7" s="10"/>
      <c r="N7" s="10"/>
    </row>
    <row r="8" spans="1:16">
      <c r="A8" s="41" t="s">
        <v>2207</v>
      </c>
      <c r="B8" s="2762">
        <f t="array" ref="B8">INDEX($C$6:$L$8,ROW($A8)-ROW($A$6)+1,MATCH($B$4&amp;$B$5,$C$4:$L$4&amp;$C$5:$L$5,0))</f>
        <v>23500</v>
      </c>
      <c r="C8" s="2763">
        <v>23500</v>
      </c>
      <c r="D8" s="536">
        <v>17500</v>
      </c>
      <c r="E8" s="536">
        <v>28200</v>
      </c>
      <c r="F8" s="536">
        <v>18900</v>
      </c>
      <c r="G8" s="536">
        <v>22800</v>
      </c>
      <c r="H8" s="536">
        <v>16300</v>
      </c>
      <c r="I8" s="536">
        <v>22200</v>
      </c>
      <c r="J8" s="10">
        <v>15100</v>
      </c>
      <c r="K8" s="536">
        <v>23900</v>
      </c>
      <c r="L8" s="2764">
        <v>16300</v>
      </c>
      <c r="M8" s="10"/>
      <c r="N8" s="10"/>
    </row>
    <row r="9" spans="1:16">
      <c r="A9" s="42" t="s">
        <v>2208</v>
      </c>
      <c r="B9" s="962">
        <f t="array" ref="B9">INDEX($C$6:$L$9,ROW($A9)-ROW($A$6)+1,MATCH($B$4&amp;$B$5,$C$4:$L$4&amp;$C$5:$L$5,0))</f>
        <v>1300</v>
      </c>
      <c r="C9" s="963">
        <v>1300</v>
      </c>
      <c r="D9" s="403">
        <v>3710</v>
      </c>
      <c r="E9" s="403">
        <v>201</v>
      </c>
      <c r="F9" s="403">
        <v>3050</v>
      </c>
      <c r="G9" s="403">
        <v>1430</v>
      </c>
      <c r="H9" s="403">
        <v>3830</v>
      </c>
      <c r="I9" s="403">
        <v>1300</v>
      </c>
      <c r="J9" s="964">
        <v>3300</v>
      </c>
      <c r="K9" s="403">
        <v>1300</v>
      </c>
      <c r="L9" s="965">
        <v>3400</v>
      </c>
      <c r="M9" s="10"/>
      <c r="N9" s="10"/>
    </row>
    <row r="10" spans="1:16">
      <c r="A10" s="534"/>
      <c r="B10" s="11"/>
      <c r="C10" s="1108"/>
      <c r="D10" s="376"/>
      <c r="E10" s="376"/>
      <c r="F10" s="376"/>
      <c r="G10" s="376"/>
      <c r="H10" s="376"/>
      <c r="I10" s="376"/>
      <c r="J10" s="1108"/>
      <c r="K10" s="376"/>
      <c r="L10" s="1108"/>
      <c r="M10" s="10"/>
      <c r="N10" s="10"/>
    </row>
    <row r="11" spans="1:16" ht="15">
      <c r="A11" s="75" t="s">
        <v>2209</v>
      </c>
    </row>
    <row r="12" spans="1:16" s="10" customFormat="1">
      <c r="A12" s="32" t="s">
        <v>2016</v>
      </c>
    </row>
    <row r="13" spans="1:16" s="10" customFormat="1">
      <c r="A13" s="2765"/>
      <c r="B13" s="68" t="s">
        <v>2210</v>
      </c>
      <c r="C13" s="2766"/>
      <c r="D13" s="69" t="s">
        <v>2211</v>
      </c>
      <c r="E13" s="2766"/>
      <c r="F13" s="113" t="s">
        <v>441</v>
      </c>
      <c r="G13" s="69"/>
      <c r="H13" s="69"/>
    </row>
    <row r="14" spans="1:16" s="10" customFormat="1" ht="73.5" customHeight="1">
      <c r="A14" s="29"/>
      <c r="B14" s="70" t="s">
        <v>2212</v>
      </c>
      <c r="C14" s="71" t="s">
        <v>2213</v>
      </c>
      <c r="D14" s="72" t="s">
        <v>2212</v>
      </c>
      <c r="E14" s="71" t="s">
        <v>2213</v>
      </c>
      <c r="F14" s="1741" t="s">
        <v>2038</v>
      </c>
      <c r="G14" s="1742" t="s">
        <v>2214</v>
      </c>
      <c r="H14" s="1743" t="s">
        <v>2215</v>
      </c>
    </row>
    <row r="15" spans="1:16" s="10" customFormat="1">
      <c r="A15" s="56" t="s">
        <v>965</v>
      </c>
      <c r="B15" s="2767">
        <v>1.24</v>
      </c>
      <c r="C15" s="2768">
        <v>0</v>
      </c>
      <c r="D15" s="1787">
        <v>1.24</v>
      </c>
      <c r="E15" s="2768">
        <v>0</v>
      </c>
      <c r="F15" s="2769">
        <f>GREET1_Import_Export!I72</f>
        <v>100</v>
      </c>
      <c r="G15" s="2770">
        <v>100</v>
      </c>
      <c r="H15" s="2771">
        <v>100</v>
      </c>
    </row>
    <row r="16" spans="1:16" s="10" customFormat="1">
      <c r="A16" s="36" t="s">
        <v>966</v>
      </c>
      <c r="B16" s="1788">
        <v>16.007999999999999</v>
      </c>
      <c r="C16" s="2772">
        <v>0</v>
      </c>
      <c r="D16" s="2773">
        <v>16.007999999999999</v>
      </c>
      <c r="E16" s="2772">
        <v>0</v>
      </c>
      <c r="F16" s="2769">
        <f>GREET1_Import_Export!I73</f>
        <v>50</v>
      </c>
      <c r="G16" s="2770">
        <v>50</v>
      </c>
      <c r="H16" s="2771">
        <v>50</v>
      </c>
    </row>
    <row r="17" spans="1:52" s="10" customFormat="1">
      <c r="A17" s="36" t="s">
        <v>967</v>
      </c>
      <c r="B17" s="1788">
        <v>127.741</v>
      </c>
      <c r="C17" s="2772">
        <v>0</v>
      </c>
      <c r="D17" s="2773">
        <v>149.89699999999999</v>
      </c>
      <c r="E17" s="2772">
        <v>0</v>
      </c>
      <c r="F17" s="2769">
        <f>GREET1_Import_Export!I74</f>
        <v>100</v>
      </c>
      <c r="G17" s="2770">
        <v>100</v>
      </c>
      <c r="H17" s="2771">
        <v>100</v>
      </c>
    </row>
    <row r="18" spans="1:52" s="10" customFormat="1">
      <c r="A18" s="36" t="s">
        <v>968</v>
      </c>
      <c r="B18" s="1788">
        <v>2.4500000000000002</v>
      </c>
      <c r="C18" s="2772">
        <v>0</v>
      </c>
      <c r="D18" s="2773">
        <v>2.4500000000000002</v>
      </c>
      <c r="E18" s="2772">
        <v>0</v>
      </c>
      <c r="F18" s="2769">
        <f>GREET1_Import_Export!I75</f>
        <v>90</v>
      </c>
      <c r="G18" s="2770">
        <v>90</v>
      </c>
      <c r="H18" s="2771">
        <v>90</v>
      </c>
    </row>
    <row r="19" spans="1:52" s="25" customFormat="1">
      <c r="A19" s="48" t="s">
        <v>969</v>
      </c>
      <c r="B19" s="1788">
        <v>2.4500000000000002</v>
      </c>
      <c r="C19" s="2772">
        <v>0</v>
      </c>
      <c r="D19" s="2773">
        <v>2.4500000000000002</v>
      </c>
      <c r="E19" s="2772">
        <v>0</v>
      </c>
      <c r="F19" s="2769">
        <f>GREET1_Import_Export!I76</f>
        <v>90</v>
      </c>
      <c r="G19" s="2770">
        <v>90</v>
      </c>
      <c r="H19" s="2771">
        <v>90</v>
      </c>
    </row>
    <row r="20" spans="1:52" s="25" customFormat="1">
      <c r="A20" s="48" t="s">
        <v>970</v>
      </c>
      <c r="B20" s="1788">
        <v>679.15599999999995</v>
      </c>
      <c r="C20" s="2772">
        <v>0</v>
      </c>
      <c r="D20" s="2773">
        <v>679.15599999999995</v>
      </c>
      <c r="E20" s="2772">
        <v>265.28300000000002</v>
      </c>
      <c r="F20" s="2769">
        <f>GREET1_Import_Export!I77</f>
        <v>30</v>
      </c>
      <c r="G20" s="2770">
        <v>30</v>
      </c>
      <c r="H20" s="2771">
        <v>30</v>
      </c>
    </row>
    <row r="21" spans="1:52" s="25" customFormat="1">
      <c r="A21" s="48" t="s">
        <v>971</v>
      </c>
      <c r="B21" s="749">
        <f>B$19*GREET1_Import_Export!$B162/100</f>
        <v>0.40425000000000005</v>
      </c>
      <c r="C21" s="817">
        <f>C$19*GREET1_Import_Export!$F162/100</f>
        <v>0</v>
      </c>
      <c r="D21" s="919">
        <f>D$19*GREET1_Import_Export!$B162/100</f>
        <v>0.40425000000000005</v>
      </c>
      <c r="E21" s="817">
        <f>E$19*GREET1_Import_Export!$F162/100</f>
        <v>0</v>
      </c>
      <c r="F21" s="2769">
        <f>F$19*GREET1_Import_Export!$B162/100</f>
        <v>14.85</v>
      </c>
      <c r="G21" s="2774">
        <f>G$19*GREET1_Import_Export!$B162/100</f>
        <v>14.85</v>
      </c>
      <c r="H21" s="2775">
        <f>H$19*GREET1_Import_Export!$B162/100</f>
        <v>14.85</v>
      </c>
    </row>
    <row r="22" spans="1:52" s="25" customFormat="1">
      <c r="A22" s="48" t="s">
        <v>972</v>
      </c>
      <c r="B22" s="749">
        <f>B$19*GREET1_Import_Export!$B163/100</f>
        <v>1.0486</v>
      </c>
      <c r="C22" s="817">
        <f>C$19*GREET1_Import_Export!$F163/100</f>
        <v>0</v>
      </c>
      <c r="D22" s="919">
        <f>D$19*GREET1_Import_Export!$B163/100</f>
        <v>1.0486</v>
      </c>
      <c r="E22" s="817">
        <f>E$19*GREET1_Import_Export!$F163/100</f>
        <v>0</v>
      </c>
      <c r="F22" s="2769">
        <f>F$19*GREET1_Import_Export!$B163/100</f>
        <v>38.519999999999996</v>
      </c>
      <c r="G22" s="2774">
        <f>G$19*GREET1_Import_Export!$B163/100</f>
        <v>38.519999999999996</v>
      </c>
      <c r="H22" s="2775">
        <f>H$19*GREET1_Import_Export!$B163/100</f>
        <v>38.519999999999996</v>
      </c>
    </row>
    <row r="23" spans="1:52" s="10" customFormat="1">
      <c r="A23" s="36" t="s">
        <v>887</v>
      </c>
      <c r="B23" s="1788">
        <v>4.2888320885690216</v>
      </c>
      <c r="C23" s="2772">
        <v>0</v>
      </c>
      <c r="D23" s="2773">
        <v>0.49112764853292884</v>
      </c>
      <c r="E23" s="2772">
        <v>0</v>
      </c>
      <c r="F23" s="2769">
        <f>GREET1_Import_Export!I80</f>
        <v>2.85</v>
      </c>
      <c r="G23" s="2770">
        <v>2.85</v>
      </c>
      <c r="H23" s="2771">
        <v>2.85</v>
      </c>
    </row>
    <row r="24" spans="1:52" s="10" customFormat="1">
      <c r="A24" s="36" t="s">
        <v>888</v>
      </c>
      <c r="B24" s="1788">
        <v>0.49622745999999995</v>
      </c>
      <c r="C24" s="2772">
        <v>0</v>
      </c>
      <c r="D24" s="2773">
        <v>0.49622745999999995</v>
      </c>
      <c r="E24" s="2772">
        <v>0</v>
      </c>
      <c r="F24" s="2769">
        <f>GREET1_Import_Export!I81</f>
        <v>0</v>
      </c>
      <c r="G24" s="2770">
        <v>0</v>
      </c>
      <c r="H24" s="2771">
        <v>0</v>
      </c>
    </row>
    <row r="25" spans="1:52" s="10" customFormat="1">
      <c r="A25" s="57" t="s">
        <v>889</v>
      </c>
      <c r="B25" s="970">
        <v>293937</v>
      </c>
      <c r="C25" s="1044">
        <v>293974</v>
      </c>
      <c r="D25" s="1043">
        <v>46505</v>
      </c>
      <c r="E25" s="1044">
        <v>46504</v>
      </c>
      <c r="F25" s="12">
        <f>GREET1_Import_Export!I82</f>
        <v>59014.60666993654</v>
      </c>
      <c r="G25" s="2776">
        <f>(GREET1_Import_Export!$E$37/GREET1_Import_Export!$B$37*1000000*GREET1_Import_Export!$F$37-(G15*GREET1_Import_Export!$B$62+G16*GREET1_Import_Export!$B$63+G23*GREET1_Import_Export!$B$64))/GREET1_Import_Export!$B$65</f>
        <v>59014.60666993654</v>
      </c>
      <c r="H25" s="2777">
        <f>(GREET1_Import_Export!$E$37/GREET1_Import_Export!$B$37*1000000*GREET1_Import_Export!$F$37-(H15*GREET1_Import_Export!$B$62+H16*GREET1_Import_Export!$B$63+H23*GREET1_Import_Export!$B$64))/GREET1_Import_Export!$B$65</f>
        <v>59014.60666993654</v>
      </c>
    </row>
    <row r="26" spans="1:52" s="10" customFormat="1">
      <c r="A26" s="32"/>
      <c r="B26" s="38"/>
      <c r="C26" s="38"/>
      <c r="D26" s="38"/>
      <c r="E26" s="38"/>
      <c r="F26" s="38"/>
      <c r="G26" s="38"/>
      <c r="H26" s="38"/>
      <c r="I26" s="38"/>
      <c r="J26" s="38"/>
      <c r="K26" s="38"/>
      <c r="L26" s="38"/>
      <c r="M26" s="38"/>
      <c r="N26" s="38"/>
      <c r="O26" s="38"/>
      <c r="P26" s="38"/>
      <c r="Q26" s="11"/>
      <c r="R26" s="11"/>
      <c r="S26" s="38"/>
      <c r="T26" s="38"/>
      <c r="U26" s="38"/>
      <c r="V26" s="38"/>
      <c r="W26" s="38"/>
      <c r="X26" s="38"/>
      <c r="AL26" s="38"/>
      <c r="AM26" s="38"/>
      <c r="AN26" s="38"/>
      <c r="AO26" s="38"/>
      <c r="AP26" s="38"/>
      <c r="AQ26" s="38"/>
      <c r="AR26" s="38"/>
      <c r="AS26" s="38"/>
      <c r="AT26" s="38"/>
      <c r="AU26" s="38"/>
      <c r="AV26" s="38"/>
      <c r="AW26" s="46"/>
      <c r="AX26" s="38"/>
      <c r="AY26" s="38"/>
      <c r="AZ26" s="38"/>
    </row>
    <row r="27" spans="1:52" s="10" customFormat="1" ht="15">
      <c r="A27" s="9" t="s">
        <v>2216</v>
      </c>
      <c r="B27" s="38"/>
      <c r="C27" s="38"/>
      <c r="D27" s="38"/>
      <c r="E27" s="38"/>
      <c r="F27" s="38"/>
      <c r="G27" s="38"/>
      <c r="H27" s="38"/>
      <c r="I27" s="38"/>
      <c r="J27" s="38"/>
      <c r="K27" s="38"/>
      <c r="L27" s="38"/>
      <c r="M27" s="38"/>
      <c r="N27" s="38"/>
      <c r="O27" s="38"/>
      <c r="P27" s="38"/>
      <c r="Q27" s="11"/>
      <c r="R27" s="11"/>
      <c r="S27" s="38"/>
      <c r="T27" s="38"/>
      <c r="U27" s="38"/>
      <c r="V27" s="38"/>
      <c r="W27" s="38"/>
      <c r="X27" s="38"/>
      <c r="AL27" s="38"/>
      <c r="AM27" s="38"/>
      <c r="AN27" s="38"/>
      <c r="AO27" s="38"/>
      <c r="AP27" s="38"/>
      <c r="AQ27" s="38"/>
      <c r="AR27" s="38"/>
      <c r="AS27" s="38"/>
      <c r="AT27" s="38"/>
      <c r="AU27" s="38"/>
      <c r="AV27" s="38"/>
      <c r="AW27" s="46"/>
      <c r="AX27" s="38"/>
      <c r="AY27" s="38"/>
      <c r="AZ27" s="38"/>
    </row>
    <row r="28" spans="1:52" s="10" customFormat="1">
      <c r="A28" s="32" t="s">
        <v>2217</v>
      </c>
      <c r="B28" s="38"/>
      <c r="C28" s="38"/>
      <c r="D28" s="38"/>
      <c r="E28" s="38"/>
      <c r="F28" s="38"/>
      <c r="G28" s="38"/>
      <c r="H28" s="38"/>
      <c r="I28" s="38"/>
      <c r="J28" s="38"/>
      <c r="K28" s="38"/>
      <c r="L28" s="38"/>
      <c r="M28" s="38"/>
      <c r="N28" s="38"/>
      <c r="O28" s="38"/>
      <c r="P28" s="38"/>
      <c r="Q28" s="11"/>
      <c r="R28" s="11"/>
      <c r="S28" s="38"/>
      <c r="T28" s="38"/>
      <c r="U28" s="38"/>
      <c r="V28" s="38"/>
      <c r="W28" s="38"/>
      <c r="X28" s="38"/>
      <c r="AL28" s="38"/>
      <c r="AM28" s="38"/>
      <c r="AN28" s="38"/>
      <c r="AO28" s="38"/>
      <c r="AP28" s="38"/>
      <c r="AQ28" s="38"/>
      <c r="AR28" s="38"/>
      <c r="AS28" s="38"/>
      <c r="AT28" s="38"/>
      <c r="AU28" s="38"/>
      <c r="AV28" s="38"/>
      <c r="AW28" s="46"/>
      <c r="AX28" s="38"/>
      <c r="AY28" s="38"/>
      <c r="AZ28" s="38"/>
    </row>
    <row r="29" spans="1:52" s="10" customFormat="1" ht="37.5" customHeight="1">
      <c r="A29" s="1744"/>
      <c r="B29" s="1745" t="s">
        <v>1601</v>
      </c>
      <c r="C29" s="1746" t="s">
        <v>1600</v>
      </c>
      <c r="D29" s="1358" t="s">
        <v>1044</v>
      </c>
      <c r="E29" s="1360" t="s">
        <v>2218</v>
      </c>
      <c r="F29" s="1446" t="s">
        <v>1659</v>
      </c>
      <c r="G29" s="1447" t="s">
        <v>1663</v>
      </c>
      <c r="H29" s="1448" t="s">
        <v>2219</v>
      </c>
      <c r="I29" s="38"/>
      <c r="J29" s="38"/>
      <c r="K29" s="38"/>
      <c r="L29" s="38"/>
      <c r="M29" s="38"/>
      <c r="N29" s="38"/>
      <c r="O29" s="38"/>
      <c r="P29" s="38"/>
      <c r="Q29" s="11"/>
      <c r="R29" s="11"/>
      <c r="S29" s="38"/>
      <c r="T29" s="38"/>
      <c r="U29" s="38"/>
      <c r="V29" s="38"/>
      <c r="W29" s="38"/>
      <c r="X29" s="38"/>
      <c r="AL29" s="38"/>
      <c r="AM29" s="38"/>
      <c r="AN29" s="38"/>
      <c r="AO29" s="38"/>
      <c r="AP29" s="38"/>
      <c r="AQ29" s="38"/>
      <c r="AR29" s="38"/>
      <c r="AS29" s="38"/>
      <c r="AT29" s="38"/>
      <c r="AU29" s="38"/>
      <c r="AV29" s="38"/>
      <c r="AW29" s="46"/>
      <c r="AX29" s="38"/>
      <c r="AY29" s="38"/>
      <c r="AZ29" s="38"/>
    </row>
    <row r="30" spans="1:52" s="10" customFormat="1">
      <c r="A30" s="90" t="s">
        <v>2041</v>
      </c>
      <c r="B30" s="341">
        <v>15635</v>
      </c>
      <c r="C30" s="1450">
        <v>15635</v>
      </c>
      <c r="D30" s="1359">
        <v>15635</v>
      </c>
      <c r="E30" s="1202">
        <v>15635</v>
      </c>
      <c r="F30" s="1449">
        <v>15635</v>
      </c>
      <c r="G30" s="1450">
        <v>15635</v>
      </c>
      <c r="H30" s="1451">
        <v>15635</v>
      </c>
      <c r="I30" s="38"/>
      <c r="J30" s="38"/>
      <c r="K30" s="38"/>
      <c r="L30" s="38"/>
      <c r="M30" s="38"/>
      <c r="N30" s="38"/>
      <c r="O30" s="38"/>
      <c r="P30" s="38"/>
      <c r="Q30" s="11"/>
      <c r="R30" s="11"/>
      <c r="S30" s="38"/>
      <c r="T30" s="38"/>
      <c r="U30" s="38"/>
      <c r="V30" s="38"/>
      <c r="W30" s="38"/>
      <c r="X30" s="38"/>
      <c r="AL30" s="38"/>
      <c r="AM30" s="38"/>
      <c r="AN30" s="38"/>
      <c r="AO30" s="38"/>
      <c r="AP30" s="38"/>
      <c r="AQ30" s="38"/>
      <c r="AR30" s="38"/>
      <c r="AS30" s="38"/>
      <c r="AT30" s="38"/>
      <c r="AU30" s="38"/>
      <c r="AV30" s="38"/>
      <c r="AW30" s="46"/>
      <c r="AX30" s="38"/>
      <c r="AY30" s="38"/>
      <c r="AZ30" s="38"/>
    </row>
    <row r="31" spans="1:52" s="10" customFormat="1" ht="15">
      <c r="A31" s="9"/>
      <c r="B31" s="38"/>
      <c r="C31" s="38"/>
      <c r="D31" s="38"/>
      <c r="E31" s="38"/>
      <c r="F31" s="38"/>
      <c r="G31" s="38"/>
      <c r="H31" s="38"/>
      <c r="I31" s="38"/>
      <c r="J31" s="38"/>
      <c r="K31" s="38"/>
      <c r="L31" s="38"/>
      <c r="M31" s="38"/>
      <c r="N31" s="38"/>
      <c r="O31" s="38"/>
      <c r="P31" s="38"/>
      <c r="Q31" s="11"/>
      <c r="R31" s="11"/>
      <c r="S31" s="38"/>
      <c r="T31" s="38"/>
      <c r="U31" s="38"/>
      <c r="V31" s="38"/>
      <c r="W31" s="38"/>
      <c r="X31" s="38"/>
      <c r="AL31" s="38"/>
      <c r="AM31" s="38"/>
      <c r="AN31" s="38"/>
      <c r="AO31" s="38"/>
      <c r="AP31" s="38"/>
      <c r="AQ31" s="38"/>
      <c r="AR31" s="38"/>
      <c r="AS31" s="38"/>
      <c r="AT31" s="38"/>
      <c r="AU31" s="38"/>
      <c r="AV31" s="38"/>
      <c r="AW31" s="46"/>
      <c r="AX31" s="38"/>
      <c r="AY31" s="38"/>
      <c r="AZ31" s="38"/>
    </row>
    <row r="32" spans="1:52" s="10" customFormat="1">
      <c r="A32" s="32" t="s">
        <v>2220</v>
      </c>
      <c r="B32" s="38"/>
      <c r="C32" s="38"/>
      <c r="D32" s="38"/>
      <c r="E32" s="38"/>
      <c r="F32" s="38"/>
      <c r="G32" s="38"/>
      <c r="H32" s="38"/>
      <c r="I32" s="38"/>
      <c r="J32" s="38"/>
      <c r="K32" s="38"/>
      <c r="L32" s="38"/>
      <c r="M32" s="38"/>
      <c r="N32" s="38"/>
      <c r="O32" s="38"/>
      <c r="P32" s="38"/>
      <c r="Q32" s="11"/>
      <c r="R32" s="11"/>
      <c r="S32" s="38"/>
      <c r="T32" s="38"/>
      <c r="U32" s="38"/>
      <c r="V32" s="38"/>
      <c r="W32" s="38"/>
      <c r="X32" s="38"/>
      <c r="AL32" s="38"/>
      <c r="AM32" s="38"/>
      <c r="AN32" s="38"/>
      <c r="AO32" s="38"/>
      <c r="AP32" s="38"/>
      <c r="AQ32" s="38"/>
      <c r="AR32" s="38"/>
      <c r="AS32" s="38"/>
      <c r="AT32" s="38"/>
      <c r="AU32" s="38"/>
      <c r="AV32" s="38"/>
      <c r="AW32" s="46"/>
      <c r="AX32" s="38"/>
      <c r="AY32" s="38"/>
      <c r="AZ32" s="38"/>
    </row>
    <row r="33" spans="1:52" s="10" customFormat="1">
      <c r="A33" s="32"/>
      <c r="B33" s="38"/>
      <c r="C33" s="38"/>
      <c r="D33" s="38"/>
      <c r="E33" s="38"/>
      <c r="F33" s="38"/>
      <c r="G33" s="3136" t="s">
        <v>2221</v>
      </c>
      <c r="H33" s="3137"/>
      <c r="I33" s="3137"/>
      <c r="J33" s="3137"/>
      <c r="K33" s="3137"/>
      <c r="L33" s="3138"/>
      <c r="M33" s="38"/>
      <c r="N33" s="38"/>
      <c r="O33" s="38"/>
      <c r="P33" s="38"/>
      <c r="T33" s="38"/>
      <c r="U33" s="38"/>
      <c r="V33" s="38"/>
      <c r="W33" s="38"/>
      <c r="X33" s="38"/>
      <c r="AL33" s="38"/>
      <c r="AM33" s="38"/>
      <c r="AN33" s="38"/>
      <c r="AO33" s="38"/>
      <c r="AP33" s="38"/>
      <c r="AQ33" s="38"/>
      <c r="AR33" s="38"/>
      <c r="AS33" s="38"/>
      <c r="AT33" s="38"/>
      <c r="AU33" s="38"/>
      <c r="AV33" s="38"/>
      <c r="AW33" s="46"/>
      <c r="AX33" s="38"/>
      <c r="AY33" s="38"/>
      <c r="AZ33" s="38"/>
    </row>
    <row r="34" spans="1:52" s="10" customFormat="1" ht="51.75">
      <c r="A34" s="1733" t="s">
        <v>2222</v>
      </c>
      <c r="B34" s="1747" t="s">
        <v>1601</v>
      </c>
      <c r="C34" s="1746" t="s">
        <v>1600</v>
      </c>
      <c r="D34" s="1746" t="s">
        <v>2223</v>
      </c>
      <c r="E34" s="1746" t="s">
        <v>2224</v>
      </c>
      <c r="F34" s="1748" t="s">
        <v>2225</v>
      </c>
      <c r="G34" s="1747" t="s">
        <v>2046</v>
      </c>
      <c r="H34" s="1746" t="s">
        <v>994</v>
      </c>
      <c r="I34" s="1746" t="s">
        <v>992</v>
      </c>
      <c r="J34" s="1746" t="s">
        <v>2139</v>
      </c>
      <c r="K34" s="1749" t="s">
        <v>1853</v>
      </c>
      <c r="L34" s="1750" t="s">
        <v>1044</v>
      </c>
      <c r="M34" s="1750" t="s">
        <v>2218</v>
      </c>
      <c r="N34" s="1750" t="s">
        <v>2162</v>
      </c>
      <c r="O34" s="2718" t="s">
        <v>1659</v>
      </c>
      <c r="P34" s="1756" t="s">
        <v>2226</v>
      </c>
      <c r="Q34" s="1756" t="s">
        <v>2286</v>
      </c>
      <c r="R34" s="1756" t="s">
        <v>2287</v>
      </c>
      <c r="S34" s="1756" t="s">
        <v>1648</v>
      </c>
      <c r="T34" s="2719" t="s">
        <v>1649</v>
      </c>
      <c r="V34" s="38"/>
      <c r="W34" s="38"/>
      <c r="AL34" s="38"/>
      <c r="AM34" s="38"/>
      <c r="AN34" s="38"/>
      <c r="AO34" s="38"/>
      <c r="AP34" s="38"/>
      <c r="AQ34" s="38"/>
      <c r="AR34" s="38"/>
      <c r="AS34" s="38"/>
      <c r="AT34" s="46"/>
      <c r="AU34" s="38"/>
      <c r="AV34" s="38"/>
      <c r="AW34" s="38"/>
    </row>
    <row r="35" spans="1:52" s="10" customFormat="1">
      <c r="A35" s="34" t="s">
        <v>2041</v>
      </c>
      <c r="B35" s="343">
        <v>65000</v>
      </c>
      <c r="C35" s="344">
        <v>65000</v>
      </c>
      <c r="D35" s="38"/>
      <c r="E35" s="38"/>
      <c r="F35" s="17"/>
      <c r="G35" s="521"/>
      <c r="H35" s="521"/>
      <c r="I35" s="38"/>
      <c r="J35" s="38"/>
      <c r="K35" s="38"/>
      <c r="L35" s="1206">
        <v>65000</v>
      </c>
      <c r="M35" s="1206">
        <v>65000</v>
      </c>
      <c r="N35" s="1206"/>
      <c r="O35" s="2746">
        <v>65000</v>
      </c>
      <c r="P35" s="2746">
        <v>65000</v>
      </c>
      <c r="Q35" s="2746">
        <v>65000</v>
      </c>
      <c r="R35" s="2746">
        <v>65000</v>
      </c>
      <c r="S35" s="2746">
        <v>65000</v>
      </c>
      <c r="T35" s="2747">
        <v>65000</v>
      </c>
      <c r="V35" s="38"/>
      <c r="W35" s="38"/>
      <c r="AL35" s="38"/>
      <c r="AM35" s="38"/>
      <c r="AN35" s="38"/>
      <c r="AO35" s="38"/>
      <c r="AP35" s="38"/>
      <c r="AQ35" s="38"/>
      <c r="AR35" s="38"/>
      <c r="AS35" s="38"/>
      <c r="AT35" s="46"/>
      <c r="AU35" s="38"/>
      <c r="AV35" s="38"/>
      <c r="AW35" s="38"/>
      <c r="AX35" s="38"/>
      <c r="AY35" s="38"/>
    </row>
    <row r="36" spans="1:52" s="10" customFormat="1">
      <c r="A36" s="35" t="s">
        <v>2227</v>
      </c>
      <c r="B36" s="345">
        <v>27</v>
      </c>
      <c r="C36" s="1204">
        <v>27</v>
      </c>
      <c r="D36" s="341">
        <v>25</v>
      </c>
      <c r="E36" s="341">
        <v>25</v>
      </c>
      <c r="F36" s="342">
        <v>27</v>
      </c>
      <c r="G36" s="1203">
        <v>25</v>
      </c>
      <c r="H36" s="1204">
        <v>25</v>
      </c>
      <c r="I36" s="1204">
        <v>25</v>
      </c>
      <c r="J36" s="1204">
        <v>23</v>
      </c>
      <c r="K36" s="1204">
        <v>23</v>
      </c>
      <c r="L36" s="1205">
        <v>25</v>
      </c>
      <c r="M36" s="1205">
        <v>25</v>
      </c>
      <c r="N36" s="1205">
        <v>13.668656338012644</v>
      </c>
      <c r="O36" s="1204">
        <v>25</v>
      </c>
      <c r="P36" s="1204">
        <v>27</v>
      </c>
      <c r="Q36" s="1204">
        <v>24</v>
      </c>
      <c r="R36" s="1204">
        <v>36</v>
      </c>
      <c r="S36" s="1204">
        <v>36</v>
      </c>
      <c r="T36" s="1205">
        <v>36</v>
      </c>
      <c r="V36" s="38"/>
      <c r="W36" s="38"/>
      <c r="AL36" s="38"/>
      <c r="AM36" s="38"/>
      <c r="AN36" s="38"/>
      <c r="AO36" s="38"/>
      <c r="AP36" s="38"/>
      <c r="AQ36" s="38"/>
      <c r="AR36" s="38"/>
      <c r="AS36" s="38"/>
      <c r="AT36" s="46"/>
      <c r="AU36" s="38"/>
      <c r="AV36" s="38"/>
      <c r="AW36" s="38"/>
      <c r="AX36" s="38"/>
      <c r="AY36" s="38"/>
    </row>
    <row r="37" spans="1:52" s="10" customFormat="1">
      <c r="A37" s="32"/>
      <c r="B37" s="38"/>
      <c r="C37" s="38"/>
      <c r="D37" s="38"/>
      <c r="E37" s="38"/>
      <c r="F37" s="38"/>
      <c r="G37" s="1171"/>
      <c r="H37" s="38"/>
      <c r="I37" s="38"/>
      <c r="J37" s="38"/>
      <c r="K37" s="38"/>
      <c r="L37" s="38"/>
      <c r="M37" s="38"/>
      <c r="N37" s="38"/>
      <c r="O37" s="38"/>
      <c r="P37" s="38"/>
      <c r="Q37" s="11"/>
      <c r="R37" s="11"/>
      <c r="S37" s="38"/>
      <c r="T37" s="38"/>
      <c r="U37" s="38"/>
      <c r="V37" s="38"/>
      <c r="W37" s="38"/>
      <c r="X37" s="38"/>
      <c r="AM37" s="38"/>
      <c r="AN37" s="38"/>
      <c r="AO37" s="38"/>
      <c r="AP37" s="38"/>
      <c r="AQ37" s="38"/>
      <c r="AR37" s="38"/>
      <c r="AS37" s="38"/>
      <c r="AT37" s="38"/>
      <c r="AU37" s="38"/>
      <c r="AV37" s="38"/>
      <c r="AW37" s="38"/>
      <c r="AX37" s="38"/>
      <c r="AY37" s="38"/>
      <c r="AZ37" s="38"/>
    </row>
    <row r="38" spans="1:52">
      <c r="A38" s="86" t="s">
        <v>2228</v>
      </c>
      <c r="B38" s="2778"/>
      <c r="C38" s="2778"/>
      <c r="D38" s="2778"/>
      <c r="E38" s="2778"/>
      <c r="F38" s="2778"/>
      <c r="X38" s="10"/>
      <c r="Y38" s="10"/>
      <c r="Z38" s="10"/>
      <c r="AA38" s="10"/>
      <c r="AB38" s="10"/>
      <c r="AC38" s="10"/>
      <c r="AD38" s="10"/>
      <c r="AE38" s="10"/>
      <c r="AF38" s="10"/>
      <c r="AG38" s="10"/>
      <c r="AH38" s="10"/>
      <c r="AI38" s="10"/>
      <c r="AJ38" s="10"/>
      <c r="AK38" s="10"/>
      <c r="AL38" s="10"/>
      <c r="AM38" s="38"/>
      <c r="AN38" s="38"/>
      <c r="AO38" s="38"/>
      <c r="AP38" s="1288"/>
      <c r="AQ38" s="1288"/>
      <c r="AW38" s="38"/>
      <c r="AX38" s="38"/>
      <c r="AY38" s="38"/>
    </row>
    <row r="39" spans="1:52">
      <c r="A39" s="86"/>
      <c r="B39" s="2778"/>
      <c r="C39" s="2778"/>
      <c r="D39" s="2778"/>
      <c r="E39" s="2778"/>
      <c r="F39" s="2778"/>
      <c r="L39" s="3007" t="s">
        <v>2221</v>
      </c>
      <c r="M39" s="3005"/>
      <c r="N39" s="3005"/>
      <c r="O39" s="3005"/>
      <c r="P39" s="3005"/>
      <c r="Q39" s="3005"/>
      <c r="R39" s="3005"/>
      <c r="S39" s="3006"/>
      <c r="T39" s="2982" t="s">
        <v>2229</v>
      </c>
      <c r="U39" s="2983"/>
      <c r="V39" s="2983"/>
      <c r="W39" s="3141" t="s">
        <v>2230</v>
      </c>
      <c r="X39" s="2989" t="s">
        <v>1659</v>
      </c>
      <c r="Y39" s="2990"/>
      <c r="Z39" s="3105" t="s">
        <v>2226</v>
      </c>
      <c r="AA39" s="2990"/>
      <c r="AB39" s="2986" t="s">
        <v>2231</v>
      </c>
      <c r="AC39" s="2987"/>
      <c r="AD39" s="2987"/>
      <c r="AE39" s="2987"/>
      <c r="AF39" s="2987"/>
      <c r="AG39" s="2987"/>
      <c r="AH39" s="2987"/>
      <c r="AI39" s="2987"/>
      <c r="AJ39" s="2987"/>
      <c r="AK39" s="2988"/>
      <c r="AL39" s="10"/>
      <c r="AM39" s="38"/>
      <c r="AN39" s="38"/>
      <c r="AO39" s="38"/>
      <c r="AP39" s="10"/>
      <c r="AQ39" s="1288"/>
      <c r="AW39" s="38"/>
      <c r="AX39" s="38"/>
      <c r="AY39" s="38"/>
    </row>
    <row r="40" spans="1:52" ht="25.5" customHeight="1">
      <c r="A40" s="56" t="s">
        <v>2232</v>
      </c>
      <c r="B40" s="2541" t="s">
        <v>2233</v>
      </c>
      <c r="C40" s="1453" t="s">
        <v>2234</v>
      </c>
      <c r="D40" s="1751"/>
      <c r="E40" s="2546" t="s">
        <v>2235</v>
      </c>
      <c r="F40" s="1752" t="s">
        <v>99</v>
      </c>
      <c r="G40" s="1753" t="s">
        <v>2236</v>
      </c>
      <c r="H40" s="1754" t="s">
        <v>2237</v>
      </c>
      <c r="I40" s="1774"/>
      <c r="J40" s="1453" t="s">
        <v>2238</v>
      </c>
      <c r="K40" s="1774"/>
      <c r="L40" s="1755" t="s">
        <v>2239</v>
      </c>
      <c r="M40" s="1756" t="s">
        <v>2240</v>
      </c>
      <c r="N40" s="1751"/>
      <c r="O40" s="2546" t="s">
        <v>2241</v>
      </c>
      <c r="P40" s="2546" t="s">
        <v>2242</v>
      </c>
      <c r="Q40" s="2546" t="s">
        <v>2243</v>
      </c>
      <c r="R40" s="1756" t="s">
        <v>2244</v>
      </c>
      <c r="S40" s="2750"/>
      <c r="T40" s="3052"/>
      <c r="U40" s="3059"/>
      <c r="V40" s="3059"/>
      <c r="W40" s="3142"/>
      <c r="X40" s="3139"/>
      <c r="Y40" s="3086"/>
      <c r="Z40" s="3140"/>
      <c r="AA40" s="3086"/>
      <c r="AB40" s="2718" t="s">
        <v>2286</v>
      </c>
      <c r="AC40" s="1756"/>
      <c r="AD40" s="2750"/>
      <c r="AE40" s="1756" t="s">
        <v>2287</v>
      </c>
      <c r="AF40" s="1756"/>
      <c r="AG40" s="2750"/>
      <c r="AH40" s="1453" t="s">
        <v>1648</v>
      </c>
      <c r="AI40" s="1774"/>
      <c r="AJ40" s="1453" t="s">
        <v>1649</v>
      </c>
      <c r="AK40" s="1774"/>
      <c r="AM40" s="38"/>
      <c r="AN40" s="38"/>
      <c r="AO40" s="38"/>
    </row>
    <row r="41" spans="1:52">
      <c r="A41" s="1757" t="s">
        <v>2245</v>
      </c>
      <c r="B41" s="99" t="s">
        <v>2246</v>
      </c>
      <c r="C41" s="87" t="s">
        <v>2246</v>
      </c>
      <c r="D41" s="87" t="s">
        <v>2247</v>
      </c>
      <c r="E41" s="103" t="s">
        <v>2246</v>
      </c>
      <c r="F41" s="88" t="s">
        <v>2246</v>
      </c>
      <c r="G41" s="104" t="s">
        <v>2246</v>
      </c>
      <c r="H41" s="105" t="s">
        <v>2248</v>
      </c>
      <c r="I41" s="93" t="s">
        <v>2246</v>
      </c>
      <c r="J41" s="89" t="s">
        <v>2248</v>
      </c>
      <c r="K41" s="93" t="s">
        <v>2246</v>
      </c>
      <c r="L41" s="99" t="s">
        <v>2246</v>
      </c>
      <c r="M41" s="87" t="s">
        <v>2246</v>
      </c>
      <c r="N41" s="87" t="s">
        <v>2247</v>
      </c>
      <c r="O41" s="103" t="s">
        <v>2246</v>
      </c>
      <c r="P41" s="103" t="s">
        <v>2246</v>
      </c>
      <c r="Q41" s="103" t="s">
        <v>2246</v>
      </c>
      <c r="R41" s="1200" t="s">
        <v>2248</v>
      </c>
      <c r="S41" s="1201" t="s">
        <v>2246</v>
      </c>
      <c r="T41" s="2544" t="s">
        <v>2248</v>
      </c>
      <c r="U41" s="2543" t="s">
        <v>2246</v>
      </c>
      <c r="V41" s="1362" t="s">
        <v>2247</v>
      </c>
      <c r="W41" s="2549" t="s">
        <v>2246</v>
      </c>
      <c r="X41" s="2547" t="s">
        <v>2248</v>
      </c>
      <c r="Y41" s="2548" t="s">
        <v>2246</v>
      </c>
      <c r="Z41" s="2547" t="s">
        <v>2248</v>
      </c>
      <c r="AA41" s="2548" t="s">
        <v>2246</v>
      </c>
      <c r="AB41" s="2751" t="s">
        <v>2248</v>
      </c>
      <c r="AC41" s="2752" t="s">
        <v>2247</v>
      </c>
      <c r="AD41" s="1201" t="s">
        <v>2246</v>
      </c>
      <c r="AE41" s="2752" t="s">
        <v>2248</v>
      </c>
      <c r="AF41" s="2752" t="s">
        <v>2247</v>
      </c>
      <c r="AG41" s="1201" t="s">
        <v>2246</v>
      </c>
      <c r="AH41" s="2550" t="s">
        <v>2248</v>
      </c>
      <c r="AI41" s="93" t="s">
        <v>2246</v>
      </c>
      <c r="AJ41" s="2550" t="s">
        <v>2248</v>
      </c>
      <c r="AK41" s="93" t="s">
        <v>2246</v>
      </c>
      <c r="AM41" s="38"/>
      <c r="AN41" s="38"/>
      <c r="AO41" s="38"/>
    </row>
    <row r="42" spans="1:52">
      <c r="A42" s="29" t="s">
        <v>2249</v>
      </c>
      <c r="B42" s="107">
        <v>0</v>
      </c>
      <c r="C42" s="108">
        <v>0</v>
      </c>
      <c r="D42" s="108">
        <v>0</v>
      </c>
      <c r="E42" s="107">
        <v>0</v>
      </c>
      <c r="F42" s="108">
        <v>0</v>
      </c>
      <c r="G42" s="107">
        <v>0</v>
      </c>
      <c r="H42" s="109">
        <v>0</v>
      </c>
      <c r="I42" s="110">
        <v>0</v>
      </c>
      <c r="J42" s="108">
        <v>0</v>
      </c>
      <c r="K42" s="110">
        <v>0</v>
      </c>
      <c r="L42" s="1207">
        <v>0</v>
      </c>
      <c r="M42" s="1208">
        <v>0</v>
      </c>
      <c r="N42" s="1208">
        <v>0</v>
      </c>
      <c r="O42" s="1207">
        <v>0</v>
      </c>
      <c r="P42" s="1207">
        <v>0</v>
      </c>
      <c r="Q42" s="1207">
        <v>0</v>
      </c>
      <c r="R42" s="1208">
        <v>0</v>
      </c>
      <c r="S42" s="1209">
        <v>0</v>
      </c>
      <c r="T42" s="1361">
        <v>0</v>
      </c>
      <c r="U42" s="1208">
        <v>0</v>
      </c>
      <c r="V42" s="1209">
        <v>0</v>
      </c>
      <c r="W42" s="1209">
        <v>0</v>
      </c>
      <c r="X42" s="109">
        <v>0</v>
      </c>
      <c r="Y42" s="110">
        <v>0</v>
      </c>
      <c r="Z42" s="109">
        <v>0</v>
      </c>
      <c r="AA42" s="110">
        <v>0</v>
      </c>
      <c r="AB42" s="1361">
        <v>0</v>
      </c>
      <c r="AC42" s="1208">
        <v>0</v>
      </c>
      <c r="AD42" s="1209">
        <v>0</v>
      </c>
      <c r="AE42" s="1208">
        <v>0</v>
      </c>
      <c r="AF42" s="1208">
        <v>0</v>
      </c>
      <c r="AG42" s="1209">
        <v>0</v>
      </c>
      <c r="AH42" s="1208">
        <v>0</v>
      </c>
      <c r="AI42" s="1209">
        <v>0</v>
      </c>
      <c r="AJ42" s="1208">
        <v>0</v>
      </c>
      <c r="AK42" s="1209">
        <v>0</v>
      </c>
      <c r="AM42" s="38"/>
      <c r="AN42" s="38"/>
      <c r="AO42" s="38"/>
    </row>
    <row r="43" spans="1:52">
      <c r="A43" s="29" t="s">
        <v>2250</v>
      </c>
      <c r="B43" s="2779">
        <v>200</v>
      </c>
      <c r="C43" s="2776">
        <v>200</v>
      </c>
      <c r="D43" s="2776">
        <v>2800</v>
      </c>
      <c r="E43" s="2779">
        <v>500</v>
      </c>
      <c r="F43" s="2776">
        <v>20</v>
      </c>
      <c r="G43" s="2780">
        <v>144</v>
      </c>
      <c r="H43" s="2781">
        <v>5100</v>
      </c>
      <c r="I43" s="2782">
        <v>850</v>
      </c>
      <c r="J43" s="2783">
        <v>9917.1723033034723</v>
      </c>
      <c r="K43" s="2782">
        <v>25</v>
      </c>
      <c r="L43" s="2780">
        <v>285.83074842917398</v>
      </c>
      <c r="M43" s="2783">
        <v>285.83074842917398</v>
      </c>
      <c r="N43" s="2783">
        <v>1261.3835202417899</v>
      </c>
      <c r="O43" s="2780">
        <v>285.83074842917358</v>
      </c>
      <c r="P43" s="2780">
        <v>1963.5329674699799</v>
      </c>
      <c r="Q43" s="2780">
        <v>1963.5329674699799</v>
      </c>
      <c r="R43" s="2783">
        <v>8059.805734510458</v>
      </c>
      <c r="S43" s="2782">
        <v>1671.4885071184301</v>
      </c>
      <c r="T43" s="2781">
        <v>1</v>
      </c>
      <c r="U43" s="2783">
        <v>1</v>
      </c>
      <c r="V43" s="2782">
        <v>1</v>
      </c>
      <c r="W43" s="2978">
        <f>Cement_Concrete!L15</f>
        <v>1.3082549049051235</v>
      </c>
      <c r="X43" s="972">
        <v>5000</v>
      </c>
      <c r="Y43" s="974">
        <v>200</v>
      </c>
      <c r="Z43" s="972">
        <v>10047.572178477691</v>
      </c>
      <c r="AA43" s="974">
        <v>25</v>
      </c>
      <c r="AB43" s="972">
        <v>0</v>
      </c>
      <c r="AC43" s="973">
        <v>250</v>
      </c>
      <c r="AD43" s="974">
        <v>100</v>
      </c>
      <c r="AE43" s="973">
        <v>4500</v>
      </c>
      <c r="AF43" s="973">
        <v>0</v>
      </c>
      <c r="AG43" s="974">
        <v>100</v>
      </c>
      <c r="AH43" s="973">
        <v>0</v>
      </c>
      <c r="AI43" s="974">
        <v>100</v>
      </c>
      <c r="AJ43" s="973">
        <v>0</v>
      </c>
      <c r="AK43" s="974">
        <v>100</v>
      </c>
      <c r="AM43" s="38"/>
      <c r="AN43" s="38"/>
      <c r="AO43" s="38"/>
    </row>
    <row r="44" spans="1:52">
      <c r="A44" s="2765" t="s">
        <v>2251</v>
      </c>
      <c r="B44" s="2784"/>
      <c r="C44" s="2785"/>
      <c r="D44" s="2786"/>
      <c r="E44" s="2784"/>
      <c r="F44" s="2787"/>
      <c r="G44" s="488"/>
      <c r="H44" s="477"/>
      <c r="I44" s="1067"/>
      <c r="K44" s="1067"/>
      <c r="L44" s="2784"/>
      <c r="M44" s="2785"/>
      <c r="N44" s="2786"/>
      <c r="O44" s="2784"/>
      <c r="P44" s="2784"/>
      <c r="Q44" s="2784"/>
      <c r="R44" s="363"/>
      <c r="S44" s="1013"/>
      <c r="T44" s="661"/>
      <c r="U44" s="363"/>
      <c r="V44" s="1013"/>
      <c r="W44" s="1013"/>
      <c r="X44" s="477"/>
      <c r="Y44" s="1067"/>
      <c r="Z44" s="477"/>
      <c r="AA44" s="1067"/>
      <c r="AB44" s="661"/>
      <c r="AC44" s="521"/>
      <c r="AD44" s="1013"/>
      <c r="AE44" s="521"/>
      <c r="AF44" s="521"/>
      <c r="AG44" s="1013"/>
      <c r="AH44" s="1288"/>
      <c r="AI44" s="1067"/>
      <c r="AJ44" s="1288"/>
      <c r="AK44" s="1067"/>
      <c r="AM44" s="38"/>
      <c r="AN44" s="38"/>
      <c r="AO44" s="38"/>
    </row>
    <row r="45" spans="1:52">
      <c r="A45" s="29" t="s">
        <v>2252</v>
      </c>
      <c r="B45" s="2788"/>
      <c r="C45" s="2778"/>
      <c r="D45" s="2778"/>
      <c r="E45" s="2788"/>
      <c r="F45" s="2778"/>
      <c r="G45" s="2789"/>
      <c r="H45" s="2790">
        <v>1</v>
      </c>
      <c r="I45" s="1067"/>
      <c r="J45" s="2791">
        <v>1</v>
      </c>
      <c r="K45" s="1067"/>
      <c r="L45" s="2788"/>
      <c r="M45" s="2778"/>
      <c r="N45" s="2778"/>
      <c r="O45" s="2788"/>
      <c r="P45" s="2788"/>
      <c r="Q45" s="2788"/>
      <c r="R45" s="2792">
        <v>1</v>
      </c>
      <c r="S45" s="1013"/>
      <c r="T45" s="2793">
        <v>1</v>
      </c>
      <c r="U45" s="363"/>
      <c r="V45" s="2794"/>
      <c r="W45" s="1013"/>
      <c r="X45" s="1026">
        <v>1</v>
      </c>
      <c r="Y45" s="1067"/>
      <c r="Z45" s="1026">
        <v>1</v>
      </c>
      <c r="AA45" s="1067"/>
      <c r="AB45" s="1243">
        <v>1</v>
      </c>
      <c r="AC45" s="2629"/>
      <c r="AD45" s="1013"/>
      <c r="AE45" s="1065">
        <v>1</v>
      </c>
      <c r="AF45" s="2629"/>
      <c r="AG45" s="1013"/>
      <c r="AH45" s="1065">
        <v>1</v>
      </c>
      <c r="AI45" s="1067"/>
      <c r="AJ45" s="1065">
        <v>1</v>
      </c>
      <c r="AK45" s="1067"/>
      <c r="AM45" s="38"/>
      <c r="AN45" s="38"/>
      <c r="AO45" s="38"/>
    </row>
    <row r="46" spans="1:52">
      <c r="A46" s="29" t="s">
        <v>2253</v>
      </c>
      <c r="B46" s="2795">
        <v>1</v>
      </c>
      <c r="C46" s="2791">
        <v>1</v>
      </c>
      <c r="D46" s="2791">
        <v>1</v>
      </c>
      <c r="E46" s="2795">
        <v>1</v>
      </c>
      <c r="F46" s="2791">
        <v>1</v>
      </c>
      <c r="G46" s="2795">
        <v>1</v>
      </c>
      <c r="H46" s="477"/>
      <c r="I46" s="2796">
        <v>1</v>
      </c>
      <c r="K46" s="2796">
        <v>1</v>
      </c>
      <c r="L46" s="2797">
        <v>1</v>
      </c>
      <c r="M46" s="2792">
        <v>1</v>
      </c>
      <c r="N46" s="2792">
        <v>1</v>
      </c>
      <c r="O46" s="2797">
        <v>1</v>
      </c>
      <c r="P46" s="2797">
        <v>1</v>
      </c>
      <c r="Q46" s="2797">
        <v>1</v>
      </c>
      <c r="R46" s="363"/>
      <c r="S46" s="2798">
        <v>1</v>
      </c>
      <c r="T46" s="661"/>
      <c r="U46" s="2792">
        <v>1</v>
      </c>
      <c r="V46" s="2799">
        <v>1</v>
      </c>
      <c r="W46" s="2798">
        <v>1</v>
      </c>
      <c r="X46" s="477"/>
      <c r="Y46" s="1050">
        <v>1</v>
      </c>
      <c r="Z46" s="477"/>
      <c r="AA46" s="1050">
        <v>1</v>
      </c>
      <c r="AB46" s="661"/>
      <c r="AC46" s="2753">
        <v>1</v>
      </c>
      <c r="AD46" s="1475">
        <v>1</v>
      </c>
      <c r="AE46" s="521"/>
      <c r="AF46" s="2753">
        <v>1</v>
      </c>
      <c r="AG46" s="1475">
        <v>1</v>
      </c>
      <c r="AH46" s="1288"/>
      <c r="AI46" s="1475">
        <v>1</v>
      </c>
      <c r="AJ46" s="1288"/>
      <c r="AK46" s="1475">
        <v>1</v>
      </c>
      <c r="AM46" s="38"/>
      <c r="AN46" s="38"/>
      <c r="AO46" s="38"/>
    </row>
    <row r="47" spans="1:52">
      <c r="A47" s="29" t="s">
        <v>2254</v>
      </c>
      <c r="B47" s="2788"/>
      <c r="C47" s="2800"/>
      <c r="D47" s="2801"/>
      <c r="E47" s="2802"/>
      <c r="F47" s="2803"/>
      <c r="G47" s="2789"/>
      <c r="H47" s="2804"/>
      <c r="I47" s="1067"/>
      <c r="K47" s="1067"/>
      <c r="L47" s="2788"/>
      <c r="M47" s="2800"/>
      <c r="N47" s="2801"/>
      <c r="O47" s="2802"/>
      <c r="P47" s="2802"/>
      <c r="Q47" s="2802"/>
      <c r="R47" s="363"/>
      <c r="S47" s="1013"/>
      <c r="T47" s="661"/>
      <c r="U47" s="363"/>
      <c r="V47" s="1013"/>
      <c r="W47" s="1013"/>
      <c r="X47" s="477"/>
      <c r="Y47" s="1067"/>
      <c r="Z47" s="477"/>
      <c r="AA47" s="1067"/>
      <c r="AB47" s="661"/>
      <c r="AC47" s="521"/>
      <c r="AD47" s="1013"/>
      <c r="AE47" s="521"/>
      <c r="AF47" s="521"/>
      <c r="AG47" s="1013"/>
      <c r="AH47" s="1288"/>
      <c r="AI47" s="1067"/>
      <c r="AJ47" s="1288"/>
      <c r="AK47" s="1067"/>
      <c r="AM47" s="38"/>
      <c r="AN47" s="38"/>
      <c r="AO47" s="38"/>
    </row>
    <row r="48" spans="1:52">
      <c r="A48" s="2805" t="s">
        <v>2255</v>
      </c>
      <c r="B48" s="2784"/>
      <c r="C48" s="2786"/>
      <c r="D48" s="2787"/>
      <c r="E48" s="2806"/>
      <c r="F48" s="2807"/>
      <c r="G48" s="2784"/>
      <c r="H48" s="2808"/>
      <c r="I48" s="1067"/>
      <c r="K48" s="1067"/>
      <c r="L48" s="2784"/>
      <c r="M48" s="2786"/>
      <c r="N48" s="2787"/>
      <c r="O48" s="2806"/>
      <c r="P48" s="2806"/>
      <c r="Q48" s="2806"/>
      <c r="R48" s="363"/>
      <c r="S48" s="1013"/>
      <c r="T48" s="661"/>
      <c r="U48" s="363"/>
      <c r="V48" s="1013"/>
      <c r="W48" s="1013"/>
      <c r="X48" s="477"/>
      <c r="Y48" s="1067"/>
      <c r="Z48" s="477"/>
      <c r="AA48" s="1067"/>
      <c r="AB48" s="661"/>
      <c r="AC48" s="521"/>
      <c r="AD48" s="1013"/>
      <c r="AE48" s="521"/>
      <c r="AF48" s="521"/>
      <c r="AG48" s="1013"/>
      <c r="AH48" s="1288"/>
      <c r="AI48" s="1067"/>
      <c r="AJ48" s="1288"/>
      <c r="AK48" s="1067"/>
      <c r="AM48" s="38"/>
      <c r="AN48" s="38"/>
      <c r="AO48" s="38"/>
    </row>
    <row r="49" spans="1:41">
      <c r="A49" s="30" t="s">
        <v>2256</v>
      </c>
      <c r="B49" s="2809"/>
      <c r="C49" s="2810"/>
      <c r="D49" s="2811"/>
      <c r="E49" s="1007"/>
      <c r="F49" s="2811"/>
      <c r="G49" s="2812"/>
      <c r="H49" s="2813"/>
      <c r="I49" s="558"/>
      <c r="J49" s="557"/>
      <c r="K49" s="558"/>
      <c r="L49" s="2809"/>
      <c r="M49" s="2810"/>
      <c r="N49" s="2811"/>
      <c r="O49" s="1007"/>
      <c r="P49" s="1007"/>
      <c r="Q49" s="1007"/>
      <c r="R49" s="524"/>
      <c r="S49" s="1029"/>
      <c r="T49" s="523"/>
      <c r="U49" s="524"/>
      <c r="V49" s="1029"/>
      <c r="W49" s="1029"/>
      <c r="X49" s="1075"/>
      <c r="Y49" s="558"/>
      <c r="Z49" s="523"/>
      <c r="AA49" s="1029"/>
      <c r="AB49" s="523"/>
      <c r="AC49" s="524"/>
      <c r="AD49" s="1029"/>
      <c r="AE49" s="524"/>
      <c r="AF49" s="524"/>
      <c r="AG49" s="1029"/>
      <c r="AH49" s="524"/>
      <c r="AI49" s="1029"/>
      <c r="AJ49" s="524"/>
      <c r="AK49" s="1029"/>
      <c r="AM49" s="38"/>
      <c r="AN49" s="38"/>
      <c r="AO49" s="38"/>
    </row>
    <row r="50" spans="1:41">
      <c r="A50" s="29" t="s">
        <v>2257</v>
      </c>
      <c r="B50" s="2814">
        <f>GREET1_Import_Export!$C411/$B$36</f>
        <v>663.69826076291042</v>
      </c>
      <c r="C50" s="11">
        <f>GREET1_Import_Export!$C411/$C$36</f>
        <v>663.69826076291042</v>
      </c>
      <c r="D50" s="11">
        <f>GREET1_Import_Export!$C425</f>
        <v>273</v>
      </c>
      <c r="E50" s="2814">
        <f>GREET1_Import_Export!$C411/$D$36</f>
        <v>716.79412162394317</v>
      </c>
      <c r="F50" s="11">
        <f>GREET1_Import_Export!$C411/$E$36</f>
        <v>716.79412162394317</v>
      </c>
      <c r="G50" s="2814">
        <f>GREET1_Import_Export!$C411/$F$36</f>
        <v>663.69826076291042</v>
      </c>
      <c r="H50" s="2815">
        <f>GREET1_Import_Export!$B$419*$B$30*GREET1_Import_Export!$B$418/GREET1_Import_Export!$B$416/$B$35</f>
        <v>54.298608153555243</v>
      </c>
      <c r="I50" s="2816">
        <f>GREET1_Import_Export!$C411/$B$36</f>
        <v>663.69826076291042</v>
      </c>
      <c r="J50" s="2763">
        <f>GREET1_Import_Export!$B$419*$C$30*GREET1_Import_Export!$B$418/GREET1_Import_Export!$B$416/$C$35</f>
        <v>54.298608153555243</v>
      </c>
      <c r="K50" s="2816">
        <f>GREET1_Import_Export!$C411/$C$36</f>
        <v>663.69826076291042</v>
      </c>
      <c r="L50" s="2814">
        <f>GREET1_Import_Export!$C411/$G$36</f>
        <v>716.79412162394317</v>
      </c>
      <c r="M50" s="11">
        <f>GREET1_Import_Export!$C411/$H$36</f>
        <v>716.79412162394317</v>
      </c>
      <c r="N50" s="11">
        <f>GREET1_Import_Export!$C425</f>
        <v>273</v>
      </c>
      <c r="O50" s="2814">
        <f>GREET1_Import_Export!$C411/$I$36</f>
        <v>716.79412162394317</v>
      </c>
      <c r="P50" s="2814">
        <f>GREET1_Import_Export!$C411/$J$36</f>
        <v>779.1240452434165</v>
      </c>
      <c r="Q50" s="2814">
        <f>GREET1_Import_Export!$C411/$K$36</f>
        <v>779.1240452434165</v>
      </c>
      <c r="R50" s="11">
        <f>GREET1_Import_Export!$B$419*$D$30*GREET1_Import_Export!$B$418/GREET1_Import_Export!$B$416/$L$35</f>
        <v>54.298608153555243</v>
      </c>
      <c r="S50" s="2816">
        <f>GREET1_Import_Export!$C411/$L$36</f>
        <v>716.79412162394317</v>
      </c>
      <c r="T50" s="2817">
        <f>GREET1_Import_Export!$B$419*$E$30*GREET1_Import_Export!$B$418/GREET1_Import_Export!$B$416/$M$35</f>
        <v>54.298608153555243</v>
      </c>
      <c r="U50" s="11">
        <f>GREET1_Import_Export!$C411/$M$36</f>
        <v>716.79412162394317</v>
      </c>
      <c r="V50" s="2816">
        <f>GREET1_Import_Export!$C425</f>
        <v>273</v>
      </c>
      <c r="W50" s="2816">
        <f>GREET1_Import_Export!$E411/$N$36</f>
        <v>2177.7439846744064</v>
      </c>
      <c r="X50" s="2818">
        <f>GREET1_Import_Export!$B$419*$F$30*GREET1_Import_Export!$B$418/GREET1_Import_Export!$B$416/$O$35</f>
        <v>54.298608153555243</v>
      </c>
      <c r="Y50" s="1777">
        <f>GREET1_Import_Export!$C411/$O$36</f>
        <v>716.79412162394317</v>
      </c>
      <c r="Z50" s="1092">
        <f>GREET1_Import_Export!$B$419*$G$30*GREET1_Import_Export!$B$418/GREET1_Import_Export!$B$416/$P$35</f>
        <v>54.298608153555243</v>
      </c>
      <c r="AA50" s="969">
        <f>GREET1_Import_Export!$C411/$P$36</f>
        <v>663.69826076291042</v>
      </c>
      <c r="AB50" s="1092">
        <f>GREET1_Import_Export!$B$419*$H$30*GREET1_Import_Export!$B$418/GREET1_Import_Export!$B$416/$Q$35</f>
        <v>54.298608153555243</v>
      </c>
      <c r="AC50" s="971">
        <f>GREET1_Import_Export!$C425</f>
        <v>273</v>
      </c>
      <c r="AD50" s="969">
        <f>GREET1_Import_Export!$C411/$Q$36</f>
        <v>746.66054335827414</v>
      </c>
      <c r="AE50" s="971">
        <f>GREET1_Import_Export!$B$419*$H$30*GREET1_Import_Export!$B$418/GREET1_Import_Export!$B$416/$R$35</f>
        <v>54.298608153555243</v>
      </c>
      <c r="AF50" s="971">
        <f>GREET1_Import_Export!$C425</f>
        <v>273</v>
      </c>
      <c r="AG50" s="969">
        <f>GREET1_Import_Export!$C411/$R$36</f>
        <v>497.77369557218276</v>
      </c>
      <c r="AH50" s="971">
        <f>GREET1_Import_Export!$B$419*$C$30*GREET1_Import_Export!$B$418/GREET1_Import_Export!$B$416/$S$35</f>
        <v>54.298608153555243</v>
      </c>
      <c r="AI50" s="969">
        <f>GREET1_Import_Export!$C411/$S$36</f>
        <v>497.77369557218276</v>
      </c>
      <c r="AJ50" s="971">
        <f>GREET1_Import_Export!$B$419*$G$30*GREET1_Import_Export!$B$418/GREET1_Import_Export!$B$416/$T$35</f>
        <v>54.298608153555243</v>
      </c>
      <c r="AK50" s="969">
        <f>GREET1_Import_Export!$C411/$T$36</f>
        <v>497.77369557218276</v>
      </c>
      <c r="AM50" s="38"/>
      <c r="AN50" s="38"/>
      <c r="AO50" s="38"/>
    </row>
    <row r="51" spans="1:41">
      <c r="A51" s="29" t="s">
        <v>2258</v>
      </c>
      <c r="B51" s="962">
        <f>GREET1_Import_Export!$C412/$B$36</f>
        <v>526.74465139913525</v>
      </c>
      <c r="C51" s="2819">
        <f>GREET1_Import_Export!$C412/$C$36</f>
        <v>526.74465139913525</v>
      </c>
      <c r="D51" s="2819"/>
      <c r="E51" s="962">
        <f>GREET1_Import_Export!$C412/$D$36</f>
        <v>568.88422351106612</v>
      </c>
      <c r="F51" s="2819">
        <f>GREET1_Import_Export!$C412/$E$36</f>
        <v>568.88422351106612</v>
      </c>
      <c r="G51" s="962">
        <f>GREET1_Import_Export!$C412/$F$36</f>
        <v>526.74465139913525</v>
      </c>
      <c r="H51" s="2820">
        <f>GREET1_Import_Export!$B$422*$B$30*GREET1_Import_Export!$B$421/GREET1_Import_Export!$B$416/$B$35</f>
        <v>45.794006876492368</v>
      </c>
      <c r="I51" s="2821">
        <f>GREET1_Import_Export!$C412/$B$36</f>
        <v>526.74465139913525</v>
      </c>
      <c r="J51" s="2822">
        <f>GREET1_Import_Export!$B$422*$C$30*GREET1_Import_Export!$B$421/GREET1_Import_Export!$B$416/$C$35</f>
        <v>45.794006876492368</v>
      </c>
      <c r="K51" s="2821">
        <f>GREET1_Import_Export!$C412/$C$36</f>
        <v>526.74465139913525</v>
      </c>
      <c r="L51" s="962">
        <f>GREET1_Import_Export!$C412/$G$36</f>
        <v>568.88422351106612</v>
      </c>
      <c r="M51" s="2819"/>
      <c r="N51" s="2819"/>
      <c r="O51" s="962"/>
      <c r="P51" s="962"/>
      <c r="Q51" s="962"/>
      <c r="R51" s="2819"/>
      <c r="S51" s="2821"/>
      <c r="T51" s="12"/>
      <c r="U51" s="2819"/>
      <c r="V51" s="2821"/>
      <c r="W51" s="2821"/>
      <c r="X51" s="1091">
        <f>GREET1_Import_Export!$B$422*$F$30*GREET1_Import_Export!$B$421/GREET1_Import_Export!$B$416/$O$35</f>
        <v>45.794006876492368</v>
      </c>
      <c r="Y51" s="1087">
        <f>GREET1_Import_Export!$C412/$O$36</f>
        <v>568.88422351106612</v>
      </c>
      <c r="Z51" s="1194">
        <f>GREET1_Import_Export!$B$422*$G$30*GREET1_Import_Export!$B$421/GREET1_Import_Export!$B$416/$P$35</f>
        <v>45.794006876492368</v>
      </c>
      <c r="AA51" s="527">
        <f>GREET1_Import_Export!$C412/$P$36</f>
        <v>526.74465139913525</v>
      </c>
      <c r="AB51" s="1194">
        <f>GREET1_Import_Export!$B$422*$H$30*GREET1_Import_Export!$B$421/GREET1_Import_Export!$B$416/$Q$35</f>
        <v>45.794006876492368</v>
      </c>
      <c r="AC51" s="526"/>
      <c r="AD51" s="527">
        <f>GREET1_Import_Export!$C412/$Q$36</f>
        <v>592.58773282402717</v>
      </c>
      <c r="AE51" s="1194">
        <f>GREET1_Import_Export!$B$422*$H$30*GREET1_Import_Export!$B$421/GREET1_Import_Export!$B$416/$R$35</f>
        <v>45.794006876492368</v>
      </c>
      <c r="AF51" s="526"/>
      <c r="AG51" s="527">
        <f>GREET1_Import_Export!$C412/$R$36</f>
        <v>395.05848854935147</v>
      </c>
      <c r="AH51" s="1194">
        <f>GREET1_Import_Export!$B$422*$C$30*GREET1_Import_Export!$B$421/GREET1_Import_Export!$B$416/$S$35</f>
        <v>45.794006876492368</v>
      </c>
      <c r="AI51" s="527">
        <f>GREET1_Import_Export!$C412/$S$36</f>
        <v>395.05848854935147</v>
      </c>
      <c r="AJ51" s="1194">
        <f>GREET1_Import_Export!$B$422*$G$30*GREET1_Import_Export!$B$421/GREET1_Import_Export!$B$416/$T$35</f>
        <v>45.794006876492368</v>
      </c>
      <c r="AK51" s="527">
        <f>GREET1_Import_Export!$C412/$T$36</f>
        <v>395.05848854935147</v>
      </c>
      <c r="AM51" s="38"/>
      <c r="AN51" s="38"/>
      <c r="AO51" s="38"/>
    </row>
    <row r="52" spans="1:41">
      <c r="A52" s="2765" t="s">
        <v>2259</v>
      </c>
      <c r="B52" s="2823"/>
      <c r="C52" s="2785"/>
      <c r="D52" s="2785"/>
      <c r="E52" s="2824"/>
      <c r="F52" s="2785"/>
      <c r="G52" s="2784"/>
      <c r="H52" s="2808"/>
      <c r="I52" s="1067"/>
      <c r="K52" s="1067"/>
      <c r="L52" s="2823"/>
      <c r="M52" s="2785"/>
      <c r="N52" s="2785"/>
      <c r="O52" s="2824"/>
      <c r="P52" s="2824"/>
      <c r="Q52" s="2824"/>
      <c r="R52" s="363"/>
      <c r="S52" s="1013"/>
      <c r="T52" s="661"/>
      <c r="U52" s="363"/>
      <c r="V52" s="1013"/>
      <c r="W52" s="1013"/>
      <c r="X52" s="477"/>
      <c r="Y52" s="1067"/>
      <c r="Z52" s="661"/>
      <c r="AA52" s="1013"/>
      <c r="AB52" s="661"/>
      <c r="AC52" s="521"/>
      <c r="AD52" s="1013"/>
      <c r="AE52" s="521"/>
      <c r="AF52" s="521"/>
      <c r="AG52" s="1013"/>
      <c r="AH52" s="521"/>
      <c r="AI52" s="1013"/>
      <c r="AJ52" s="521"/>
      <c r="AK52" s="1013"/>
      <c r="AM52" s="38"/>
      <c r="AN52" s="38"/>
      <c r="AO52" s="38"/>
    </row>
    <row r="53" spans="1:41">
      <c r="A53" s="29" t="s">
        <v>2260</v>
      </c>
      <c r="B53" s="2762">
        <f t="array" ref="B53">B$43*(B$50+B$51)*(1+(MMULT(GREET1_Import_Export!$C430:$D430+0,B$46:B$47+0)))</f>
        <v>281572.96970437851</v>
      </c>
      <c r="C53" s="2763">
        <f t="array" ref="C53">C$43*(C$50+C$51)*(1+(MMULT(GREET1_Import_Export!$C430:$D430+0,C$46:C$47+0)))</f>
        <v>281572.96970437851</v>
      </c>
      <c r="D53" s="2763">
        <f t="array" ref="D53">D$43*(D$50+D$51)*(1+(MMULT(GREET1_Import_Export!$C430:$D430+0,D$46:D$47+0)))</f>
        <v>904009.65826712723</v>
      </c>
      <c r="E53" s="2762">
        <f t="array" ref="E53">E$43*(E$50+E$51)*(1+(MMULT(GREET1_Import_Export!$C430:$D430+0,E$46:E$47+0)))</f>
        <v>760247.01820182207</v>
      </c>
      <c r="F53" s="2763">
        <f t="array" ref="F53">F$43*(F$50+F$51)*(1+(MMULT(GREET1_Import_Export!$C430:$D430+0,F$46:F$47+0)))</f>
        <v>30409.88072807288</v>
      </c>
      <c r="G53" s="2762">
        <f t="array" ref="G53">G$43*(G$50+G$51)*(1+(MMULT(GREET1_Import_Export!$C430:$D430+0,G$46:G$47+0)))</f>
        <v>202732.5381871525</v>
      </c>
      <c r="H53" s="2815">
        <f t="array" ref="H53">H$43*(H$50+H$51)*(1+(MMULT(GREET1_Import_Export!$B430:$D430+0,H$45:H$47+0)))</f>
        <v>577366.2229763465</v>
      </c>
      <c r="I53" s="2764">
        <f t="array" ref="I53">I$43*(I$50+I$51)*(1+(MMULT(GREET1_Import_Export!$C430:$D430+0,I$46:I$47+0)))</f>
        <v>1196685.1212436086</v>
      </c>
      <c r="J53" s="2763">
        <f t="array" ref="J53">J$43*(J$50+J$51)*(1+(MMULT(GREET1_Import_Export!$B430:$D430+0,J$45:J$47+0)))</f>
        <v>1122713.7873262668</v>
      </c>
      <c r="K53" s="2764">
        <f t="array" ref="K53">K$43*(K$50+K$51)*(1+(MMULT(GREET1_Import_Export!$C430:$D430+0,K$46:K$47+0)))</f>
        <v>35196.621213047314</v>
      </c>
      <c r="L53" s="2814">
        <f t="array" ref="L53">L$43*(L$50+L$51)*(1+(MMULT(GREET1_Import_Export!$C430:$D430+0,L$46:L$47+0)))</f>
        <v>434603.94840734923</v>
      </c>
      <c r="M53" s="11">
        <f t="array" ref="M53">M$43*(M$50+M$51)*(1+(MMULT(GREET1_Import_Export!$C430:$D430+0,M$46:M$47+0)))</f>
        <v>242301.31636869913</v>
      </c>
      <c r="N53" s="11">
        <f t="array" ref="N53">N$43*(N$50+N$51)*(1+(MMULT(GREET1_Import_Export!$C430:$D430+0,N$46:N$47+0)))</f>
        <v>407251.03038484516</v>
      </c>
      <c r="O53" s="2814">
        <f t="array" ref="O53">O$43*(O$50+O$51)*(1+(MMULT(GREET1_Import_Export!$C430:$D430+0,O$46:O$47+0)))</f>
        <v>242301.31636869878</v>
      </c>
      <c r="P53" s="2814">
        <f t="array" ref="P53">P$43*(P$50+P$51)*(1+(MMULT(GREET1_Import_Export!$C430:$D430+0,P$46:P$47+0)))</f>
        <v>1809244.2337549387</v>
      </c>
      <c r="Q53" s="2814">
        <f t="array" ref="Q53">Q$43*(Q$50+Q$51)*(1+(MMULT(GREET1_Import_Export!$C430:$D430+0,Q$46:Q$47+0)))</f>
        <v>1809244.2337549387</v>
      </c>
      <c r="R53" s="11">
        <f t="array" ref="R53">R$43*(R$50+R$51)*(1+(MMULT(GREET1_Import_Export!$B430:$D430+0,R$45:R$47+0)))</f>
        <v>494985.44966444233</v>
      </c>
      <c r="S53" s="2816">
        <f t="array" ref="S53">S$43*(S$50+S$51)*(1+(MMULT(GREET1_Import_Export!$C430:$D430+0,S$46:S$47+0)))</f>
        <v>1416935.9587647836</v>
      </c>
      <c r="T53" s="2817">
        <f t="array" ref="T53">T$43*(T$50+T$51)*(1+(MMULT(GREET1_Import_Export!$B430:$D430+0,T$45:T$47+0)))</f>
        <v>61.414067034521032</v>
      </c>
      <c r="U53" s="11">
        <f t="array" ref="U53">U$43*(U$50+U$51)*(1+(MMULT(GREET1_Import_Export!$C430:$D430+0,U$46:U$47+0)))</f>
        <v>847.70906454362444</v>
      </c>
      <c r="V53" s="2816">
        <f t="array" ref="V53">V$43*(V$50+V$51)*(1+(MMULT(GREET1_Import_Export!$C430:$D430+0,V$46:V$47+0)))</f>
        <v>322.86059223825976</v>
      </c>
      <c r="W53" s="2816">
        <f>W$43*(W$50+W$51)*(1+(GREET1_Import_Export!$C430*W$46))</f>
        <v>3369.3923579917055</v>
      </c>
      <c r="X53" s="2818">
        <f t="array" ref="X53">X$43*(X$50+X$51)*(1+(MMULT(GREET1_Import_Export!$B430:$D430+0,X$45:X$47+0)))</f>
        <v>566045.31664347695</v>
      </c>
      <c r="Y53" s="1777">
        <f t="array" ref="Y53">Y$43*(Y$50+Y$51)*(1+(MMULT(GREET1_Import_Export!$C430:$D430+0,Y$46:Y$47+0)))</f>
        <v>304098.80728072877</v>
      </c>
      <c r="Z53" s="1092">
        <f t="array" ref="Z53">Z$43*(Z$50+Z$51)*(1+(MMULT(GREET1_Import_Export!$B430:$D430+0,Z$45:Z$47+0)))</f>
        <v>1137476.2350529188</v>
      </c>
      <c r="AA53" s="969">
        <f t="array" ref="AA53">AA$43*(AA$50+AA$51)*(1+(MMULT(GREET1_Import_Export!$C430:$D430+0,AA$46:AA$47+0)))</f>
        <v>35196.621213047314</v>
      </c>
      <c r="AB53" s="1092" cm="1">
        <f t="array" ref="AB53">AB$43*(AB$50+AB$51)*(1+(MMULT(GREET1_Import_Export!$B430:$D430+0,AB$45:AB$47+0)))</f>
        <v>0</v>
      </c>
      <c r="AC53" s="971" cm="1">
        <f t="array" ref="AC53">AC$43*(AC$50+AC$51)*(1+(MMULT(GREET1_Import_Export!$C430:$D430+0,AC$46:AC$47+0)))</f>
        <v>80715.148059564934</v>
      </c>
      <c r="AD53" s="969" cm="1">
        <f t="array" ref="AD53">AD$43*(AD$50+AD$51)*(1+(MMULT(GREET1_Import_Export!$C430:$D430+0,AD$46:AD$47+0)))</f>
        <v>158384.79545871291</v>
      </c>
      <c r="AE53" s="971" cm="1">
        <f t="array" ref="AE53">AE$43*(AE$50+AE$51)*(1+(MMULT(GREET1_Import_Export!$B430:$D430+0,AE$45:AE$47+0)))</f>
        <v>509440.78497912933</v>
      </c>
      <c r="AF53" s="971" cm="1">
        <f t="array" ref="AF53">AF$43*(AF$50+AF$51)*(1+(MMULT(GREET1_Import_Export!$C430:$D430+0,AF$46:AF$47+0)))</f>
        <v>0</v>
      </c>
      <c r="AG53" s="969" cm="1">
        <f t="array" ref="AG53">AG$43*(AG$50+AG$51)*(1+(MMULT(GREET1_Import_Export!$C430:$D430+0,AG$46:AG$47+0)))</f>
        <v>105589.86363914194</v>
      </c>
      <c r="AH53" s="971" cm="1">
        <f t="array" ref="AH53">AH$43*(AH$50+AH$51)*(1+(MMULT(GREET1_Import_Export!$B430:$D430+0,AH$45:AH$47+0)))</f>
        <v>0</v>
      </c>
      <c r="AI53" s="969" cm="1">
        <f t="array" ref="AI53">AI$43*(AI$50+AI$51)*(1+(MMULT(GREET1_Import_Export!$C430:$D430+0,AI$46:AI$47+0)))</f>
        <v>105589.86363914194</v>
      </c>
      <c r="AJ53" s="971" cm="1">
        <f t="array" ref="AJ53">AJ$43*(AJ$50+AJ$51)*(1+(MMULT(GREET1_Import_Export!$B430:$D430+0,AJ$45:AJ$47+0)))</f>
        <v>0</v>
      </c>
      <c r="AK53" s="969" cm="1">
        <f t="array" ref="AK53">AK$43*(AK$50+AK$51)*(1+(MMULT(GREET1_Import_Export!$C430:$D430+0,AK$46:AK$47+0)))</f>
        <v>105589.86363914194</v>
      </c>
      <c r="AM53" s="38"/>
      <c r="AN53" s="38"/>
      <c r="AO53" s="38"/>
    </row>
    <row r="54" spans="1:41">
      <c r="A54" s="29" t="s">
        <v>2261</v>
      </c>
      <c r="B54" s="2762">
        <f t="array" ref="B54">B$43*(B$50+B$51)*(1+(MMULT(GREET1_Import_Export!$C431:$D431+0,B$46:B$47+0)))</f>
        <v>280217.43669653952</v>
      </c>
      <c r="C54" s="2763">
        <f t="array" ref="C54">C$43*(C$50+C$51)*(1+(MMULT(GREET1_Import_Export!$C431:$D431+0,C$46:C$47+0)))</f>
        <v>280217.43669653952</v>
      </c>
      <c r="D54" s="2763">
        <f t="array" ref="D54">D$43*(D$50+D$51)*(1+(MMULT(GREET1_Import_Export!$C431:$D431+0,D$46:D$47+0)))</f>
        <v>899657.62500032305</v>
      </c>
      <c r="E54" s="2762">
        <f t="array" ref="E54">E$43*(E$50+E$51)*(1+(MMULT(GREET1_Import_Export!$C431:$D431+0,E$46:E$47+0)))</f>
        <v>756587.07908065675</v>
      </c>
      <c r="F54" s="2763">
        <f t="array" ref="F54">F$43*(F$50+F$51)*(1+(MMULT(GREET1_Import_Export!$C431:$D431+0,F$46:F$47+0)))</f>
        <v>30263.483163226269</v>
      </c>
      <c r="G54" s="2762">
        <f t="array" ref="G54">G$43*(G$50+G$51)*(1+(MMULT(GREET1_Import_Export!$C431:$D431+0,G$46:G$47+0)))</f>
        <v>201756.55442150845</v>
      </c>
      <c r="H54" s="2815">
        <f t="array" ref="H54">H$43*(H$50+H$51)*(1+(MMULT(GREET1_Import_Export!$B431:$D431+0,H$45:H$47+0)))</f>
        <v>574901.24676281598</v>
      </c>
      <c r="I54" s="2764">
        <f t="array" ref="I54">I$43*(I$50+I$51)*(1+(MMULT(GREET1_Import_Export!$C431:$D431+0,I$46:I$47+0)))</f>
        <v>1190924.105960293</v>
      </c>
      <c r="J54" s="2763">
        <f t="array" ref="J54">J$43*(J$50+J$51)*(1+(MMULT(GREET1_Import_Export!$B431:$D431+0,J$45:J$47+0)))</f>
        <v>1117920.5336334968</v>
      </c>
      <c r="K54" s="2764">
        <f t="array" ref="K54">K$43*(K$50+K$51)*(1+(MMULT(GREET1_Import_Export!$C431:$D431+0,K$46:K$47+0)))</f>
        <v>35027.17958706744</v>
      </c>
      <c r="L54" s="2814">
        <f t="array" ref="L54">L$43*(L$50+L$51)*(1+(MMULT(GREET1_Import_Export!$C431:$D431+0,L$46:L$47+0)))</f>
        <v>432511.70213093353</v>
      </c>
      <c r="M54" s="11">
        <f t="array" ref="M54">M$43*(M$50+M$51)*(1+(MMULT(GREET1_Import_Export!$C431:$D431+0,M$46:M$47+0)))</f>
        <v>241134.84278096291</v>
      </c>
      <c r="N54" s="11">
        <f t="array" ref="N54">N$43*(N$50+N$51)*(1+(MMULT(GREET1_Import_Export!$C431:$D431+0,N$46:N$47+0)))</f>
        <v>405290.46501259843</v>
      </c>
      <c r="O54" s="2814">
        <f t="array" ref="O54">O$43*(O$50+O$51)*(1+(MMULT(GREET1_Import_Export!$C431:$D431+0,O$46:O$47+0)))</f>
        <v>241134.84278096259</v>
      </c>
      <c r="P54" s="2814">
        <f t="array" ref="P54">P$43*(P$50+P$51)*(1+(MMULT(GREET1_Import_Export!$C431:$D431+0,P$46:P$47+0)))</f>
        <v>1800534.2702926362</v>
      </c>
      <c r="Q54" s="2814">
        <f t="array" ref="Q54">Q$43*(Q$50+Q$51)*(1+(MMULT(GREET1_Import_Export!$C431:$D431+0,Q$46:Q$47+0)))</f>
        <v>1800534.2702926362</v>
      </c>
      <c r="R54" s="11">
        <f t="array" ref="R54">R$43*(R$50+R$51)*(1+(MMULT(GREET1_Import_Export!$B431:$D431+0,R$45:R$47+0)))</f>
        <v>492872.18548148277</v>
      </c>
      <c r="S54" s="2816">
        <f t="array" ref="S54">S$43*(S$50+S$51)*(1+(MMULT(GREET1_Import_Export!$C431:$D431+0,S$46:S$47+0)))</f>
        <v>1410114.6240886741</v>
      </c>
      <c r="T54" s="2817">
        <f t="array" ref="T54">T$43*(T$50+T$51)*(1+(MMULT(GREET1_Import_Export!$B431:$D431+0,T$45:T$47+0)))</f>
        <v>61.151869128942373</v>
      </c>
      <c r="U54" s="11">
        <f t="array" ref="U54">U$43*(U$50+U$51)*(1+(MMULT(GREET1_Import_Export!$C431:$D431+0,U$46:U$47+0)))</f>
        <v>843.62807047931631</v>
      </c>
      <c r="V54" s="2816">
        <f t="array" ref="V54">V$43*(V$50+V$51)*(1+(MMULT(GREET1_Import_Export!$C431:$D431+0,V$46:V$47+0)))</f>
        <v>321.30629464297249</v>
      </c>
      <c r="W54" s="2816">
        <f>W$43*(W$50+W$51)*(1+(GREET1_Import_Export!$C431*W$46))</f>
        <v>3353.171615771977</v>
      </c>
      <c r="X54" s="2818">
        <f t="array" ref="X54">X$43*(X$50+X$51)*(1+(MMULT(GREET1_Import_Export!$B431:$D431+0,X$45:X$47+0)))</f>
        <v>563628.67329687846</v>
      </c>
      <c r="Y54" s="1777">
        <f t="array" ref="Y54">Y$43*(Y$50+Y$51)*(1+(MMULT(GREET1_Import_Export!$C431:$D431+0,Y$46:Y$47+0)))</f>
        <v>302634.83163226268</v>
      </c>
      <c r="Z54" s="1092">
        <f t="array" ref="Z54">Z$43*(Z$50+Z$51)*(1+(MMULT(GREET1_Import_Export!$B431:$D431+0,Z$45:Z$47+0)))</f>
        <v>1132619.9553620014</v>
      </c>
      <c r="AA54" s="969">
        <f t="array" ref="AA54">AA$43*(AA$50+AA$51)*(1+(MMULT(GREET1_Import_Export!$C431:$D431+0,AA$46:AA$47+0)))</f>
        <v>35027.17958706744</v>
      </c>
      <c r="AB54" s="1092" cm="1">
        <f t="array" ref="AB54">AB$43*(AB$50+AB$51)*(1+(MMULT(GREET1_Import_Export!$B431:$D431+0,AB$45:AB$47+0)))</f>
        <v>0</v>
      </c>
      <c r="AC54" s="971" cm="1">
        <f t="array" ref="AC54">AC$43*(AC$50+AC$51)*(1+(MMULT(GREET1_Import_Export!$C431:$D431+0,AC$46:AC$47+0)))</f>
        <v>80326.573660743132</v>
      </c>
      <c r="AD54" s="969" cm="1">
        <f t="array" ref="AD54">AD$43*(AD$50+AD$51)*(1+(MMULT(GREET1_Import_Export!$C431:$D431+0,AD$46:AD$47+0)))</f>
        <v>157622.30814180349</v>
      </c>
      <c r="AE54" s="971" cm="1">
        <f t="array" ref="AE54">AE$43*(AE$50+AE$51)*(1+(MMULT(GREET1_Import_Export!$B431:$D431+0,AE$45:AE$47+0)))</f>
        <v>507265.80596719059</v>
      </c>
      <c r="AF54" s="971" cm="1">
        <f t="array" ref="AF54">AF$43*(AF$50+AF$51)*(1+(MMULT(GREET1_Import_Export!$C431:$D431+0,AF$46:AF$47+0)))</f>
        <v>0</v>
      </c>
      <c r="AG54" s="969" cm="1">
        <f t="array" ref="AG54">AG$43*(AG$50+AG$51)*(1+(MMULT(GREET1_Import_Export!$C431:$D431+0,AG$46:AG$47+0)))</f>
        <v>105081.53876120232</v>
      </c>
      <c r="AH54" s="971" cm="1">
        <f t="array" ref="AH54">AH$43*(AH$50+AH$51)*(1+(MMULT(GREET1_Import_Export!$B431:$D431+0,AH$45:AH$47+0)))</f>
        <v>0</v>
      </c>
      <c r="AI54" s="969" cm="1">
        <f t="array" ref="AI54">AI$43*(AI$50+AI$51)*(1+(MMULT(GREET1_Import_Export!$C431:$D431+0,AI$46:AI$47+0)))</f>
        <v>105081.53876120232</v>
      </c>
      <c r="AJ54" s="971" cm="1">
        <f t="array" ref="AJ54">AJ$43*(AJ$50+AJ$51)*(1+(MMULT(GREET1_Import_Export!$B431:$D431+0,AJ$45:AJ$47+0)))</f>
        <v>0</v>
      </c>
      <c r="AK54" s="969" cm="1">
        <f t="array" ref="AK54">AK$43*(AK$50+AK$51)*(1+(MMULT(GREET1_Import_Export!$C431:$D431+0,AK$46:AK$47+0)))</f>
        <v>105081.53876120232</v>
      </c>
      <c r="AM54" s="38"/>
      <c r="AN54" s="38"/>
      <c r="AO54" s="38"/>
    </row>
    <row r="55" spans="1:41">
      <c r="A55" s="30" t="s">
        <v>2262</v>
      </c>
      <c r="B55" s="2762">
        <f t="array" ref="B55">B$43*(B$50+B$51)*((MMULT(GREET1_Import_Export!$C432:$D432+0,B$46:B$47+0)))</f>
        <v>1720.946892752738</v>
      </c>
      <c r="C55" s="2763">
        <f t="array" ref="C55">C$43*(C$50+C$51)*((MMULT(GREET1_Import_Export!$C432:$D432+0,C$46:C$47+0)))</f>
        <v>1720.946892752738</v>
      </c>
      <c r="D55" s="2763">
        <f t="array" ref="D55">D$43*(D$50+D$51)*((MMULT(GREET1_Import_Export!$C432:$D432+0,D$46:D$47+0)))</f>
        <v>5525.2200310514572</v>
      </c>
      <c r="E55" s="2762">
        <f t="array" ref="E55">E$43*(E$50+E$51)*((MMULT(GREET1_Import_Export!$C432:$D432+0,E$46:E$47+0)))</f>
        <v>4646.5566104323934</v>
      </c>
      <c r="F55" s="2763">
        <f t="array" ref="F55">F$43*(F$50+F$51)*((MMULT(GREET1_Import_Export!$C432:$D432+0,F$46:F$47+0)))</f>
        <v>185.86226441729573</v>
      </c>
      <c r="G55" s="2762">
        <f t="array" ref="G55">G$43*(G$50+G$51)*((MMULT(GREET1_Import_Export!$C432:$D432+0,G$46:G$47+0)))</f>
        <v>1239.0817627819713</v>
      </c>
      <c r="H55" s="2815">
        <f t="array" ref="H55">H$43*(H$50+H$51)*((MMULT(GREET1_Import_Export!$B432:$D432+0,H$45:H$47+0)))</f>
        <v>3107.1294009766043</v>
      </c>
      <c r="I55" s="2764">
        <f t="array" ref="I55">I$43*(I$50+I$51)*((MMULT(GREET1_Import_Export!$C432:$D432+0,I$46:I$47+0)))</f>
        <v>7314.0242941991373</v>
      </c>
      <c r="J55" s="2763">
        <f t="array" ref="J55">J$43*(J$50+J$51)*((MMULT(GREET1_Import_Export!$B432:$D432+0,J$45:J$47+0)))</f>
        <v>6041.9485564990373</v>
      </c>
      <c r="K55" s="2764">
        <f t="array" ref="K55">K$43*(K$50+K$51)*((MMULT(GREET1_Import_Export!$C432:$D432+0,K$46:K$47+0)))</f>
        <v>215.11836159409225</v>
      </c>
      <c r="L55" s="2814">
        <f t="array" ref="L55">L$43*(L$50+L$51)*((MMULT(GREET1_Import_Export!$C432:$D432+0,L$46:L$47+0)))</f>
        <v>2656.2575071568335</v>
      </c>
      <c r="M55" s="11">
        <f t="array" ref="M55">M$43*(M$50+M$51)*((MMULT(GREET1_Import_Export!$C432:$D432+0,M$46:M$47+0)))</f>
        <v>1480.9223269989425</v>
      </c>
      <c r="N55" s="11">
        <f t="array" ref="N55">N$43*(N$50+N$51)*((MMULT(GREET1_Import_Export!$C432:$D432+0,N$46:N$47+0)))</f>
        <v>2489.0791045993356</v>
      </c>
      <c r="O55" s="2814">
        <f t="array" ref="O55">O$43*(O$50+O$51)*((MMULT(GREET1_Import_Export!$C432:$D432+0,O$46:O$47+0)))</f>
        <v>1480.9223269989404</v>
      </c>
      <c r="P55" s="2814">
        <f t="array" ref="P55">P$43*(P$50+P$51)*((MMULT(GREET1_Import_Export!$C432:$D432+0,P$46:P$47+0)))</f>
        <v>11057.926638271887</v>
      </c>
      <c r="Q55" s="2814">
        <f t="array" ref="Q55">Q$43*(Q$50+Q$51)*((MMULT(GREET1_Import_Export!$C432:$D432+0,Q$46:Q$47+0)))</f>
        <v>11057.926638271887</v>
      </c>
      <c r="R55" s="11">
        <f t="array" ref="R55">R$43*(R$50+R$51)*((MMULT(GREET1_Import_Export!$B432:$D432+0,R$45:R$47+0)))</f>
        <v>2663.7925505576759</v>
      </c>
      <c r="S55" s="2816">
        <f t="array" ref="S55">S$43*(S$50+S$51)*((MMULT(GREET1_Import_Export!$C432:$D432+0,S$46:S$47+0)))</f>
        <v>8660.1762165807686</v>
      </c>
      <c r="T55" s="2817">
        <f t="array" ref="T55">T$43*(T$50+T$51)*((MMULT(GREET1_Import_Export!$B432:$D432+0,T$45:T$47+0)))</f>
        <v>0.33050331959638368</v>
      </c>
      <c r="U55" s="11">
        <f t="array" ref="U55">U$43*(U$50+U$51)*((MMULT(GREET1_Import_Export!$C432:$D432+0,U$46:U$47+0)))</f>
        <v>5.1811162204821368</v>
      </c>
      <c r="V55" s="2816">
        <f t="array" ref="V55">V$43*(V$50+V$51)*((MMULT(GREET1_Import_Export!$C432:$D432+0,V$46:V$47+0)))</f>
        <v>1.9732928682326634</v>
      </c>
      <c r="W55" s="2816">
        <f>W$43*(W$50+W$51)*((GREET1_Import_Export!$C432*W$46))</f>
        <v>20.593401827734031</v>
      </c>
      <c r="X55" s="2818">
        <f t="array" ref="X55">X$43*(X$50+X$51)*((MMULT(GREET1_Import_Export!$B432:$D432+0,X$45:X$47+0)))</f>
        <v>3046.2052950751026</v>
      </c>
      <c r="Y55" s="1777">
        <f t="array" ref="Y55">Y$43*(Y$50+Y$51)*((MMULT(GREET1_Import_Export!$C432:$D432+0,Y$46:Y$47+0)))</f>
        <v>1858.6226441729573</v>
      </c>
      <c r="Z55" s="1092">
        <f t="array" ref="Z55">Z$43*(Z$50+Z$51)*((MMULT(GREET1_Import_Export!$B432:$D432+0,Z$45:Z$47+0)))</f>
        <v>6121.3935145456044</v>
      </c>
      <c r="AA55" s="969">
        <f t="array" ref="AA55">AA$43*(AA$50+AA$51)*((MMULT(GREET1_Import_Export!$C432:$D432+0,AA$46:AA$47+0)))</f>
        <v>215.11836159409225</v>
      </c>
      <c r="AB55" s="1092" cm="1">
        <f t="array" ref="AB55">AB$43*(AB$50+AB$51)*((MMULT(GREET1_Import_Export!$B432:$D432+0,AB$45:AB$47+0)))</f>
        <v>0</v>
      </c>
      <c r="AC55" s="971" cm="1">
        <f t="array" ref="AC55">AC$43*(AC$50+AC$51)*((MMULT(GREET1_Import_Export!$C432:$D432+0,AC$46:AC$47+0)))</f>
        <v>493.32321705816582</v>
      </c>
      <c r="AD55" s="969" cm="1">
        <f t="array" ref="AD55">AD$43*(AD$50+AD$51)*((MMULT(GREET1_Import_Export!$C432:$D432+0,AD$46:AD$47+0)))</f>
        <v>968.03262717341522</v>
      </c>
      <c r="AE55" s="971" cm="1">
        <f t="array" ref="AE55">AE$43*(AE$50+AE$51)*((MMULT(GREET1_Import_Export!$B432:$D432+0,AE$45:AE$47+0)))</f>
        <v>2741.5847655675921</v>
      </c>
      <c r="AF55" s="971" cm="1">
        <f t="array" ref="AF55">AF$43*(AF$50+AF$51)*((MMULT(GREET1_Import_Export!$C432:$D432+0,AF$46:AF$47+0)))</f>
        <v>0</v>
      </c>
      <c r="AG55" s="969" cm="1">
        <f t="array" ref="AG55">AG$43*(AG$50+AG$51)*((MMULT(GREET1_Import_Export!$C432:$D432+0,AG$46:AG$47+0)))</f>
        <v>645.35508478227678</v>
      </c>
      <c r="AH55" s="971" cm="1">
        <f t="array" ref="AH55">AH$43*(AH$50+AH$51)*((MMULT(GREET1_Import_Export!$B432:$D432+0,AH$45:AH$47+0)))</f>
        <v>0</v>
      </c>
      <c r="AI55" s="969" cm="1">
        <f t="array" ref="AI55">AI$43*(AI$50+AI$51)*((MMULT(GREET1_Import_Export!$C432:$D432+0,AI$46:AI$47+0)))</f>
        <v>645.35508478227678</v>
      </c>
      <c r="AJ55" s="971" cm="1">
        <f t="array" ref="AJ55">AJ$43*(AJ$50+AJ$51)*((MMULT(GREET1_Import_Export!$B432:$D432+0,AJ$45:AJ$47+0)))</f>
        <v>0</v>
      </c>
      <c r="AK55" s="969" cm="1">
        <f t="array" ref="AK55">AK$43*(AK$50+AK$51)*((MMULT(GREET1_Import_Export!$C432:$D432+0,AK$46:AK$47+0)))</f>
        <v>645.35508478227678</v>
      </c>
      <c r="AM55" s="38"/>
      <c r="AN55" s="38"/>
      <c r="AO55" s="38"/>
    </row>
    <row r="56" spans="1:41">
      <c r="A56" s="30" t="s">
        <v>2263</v>
      </c>
      <c r="B56" s="2762">
        <f t="shared" ref="B56:K56" si="0">B54-B55-B57</f>
        <v>29348.389985402406</v>
      </c>
      <c r="C56" s="2763">
        <f t="shared" si="0"/>
        <v>29348.389985402406</v>
      </c>
      <c r="D56" s="2763">
        <f t="shared" si="0"/>
        <v>94225.053027103306</v>
      </c>
      <c r="E56" s="2762">
        <f t="shared" si="0"/>
        <v>79240.652960586478</v>
      </c>
      <c r="F56" s="2763">
        <f t="shared" si="0"/>
        <v>3169.6261184234536</v>
      </c>
      <c r="G56" s="2762">
        <f t="shared" si="0"/>
        <v>21130.84078948971</v>
      </c>
      <c r="H56" s="2815">
        <f t="shared" si="0"/>
        <v>40328.798271514592</v>
      </c>
      <c r="I56" s="2764">
        <f t="shared" si="0"/>
        <v>124730.65743796015</v>
      </c>
      <c r="J56" s="2763">
        <f t="shared" si="0"/>
        <v>78421.106126230909</v>
      </c>
      <c r="K56" s="2764">
        <f t="shared" si="0"/>
        <v>3668.5487481753007</v>
      </c>
      <c r="L56" s="2814">
        <f t="shared" ref="L56:O56" si="1">L54-L55-L57</f>
        <v>45298.830283481744</v>
      </c>
      <c r="M56" s="11">
        <f t="shared" si="1"/>
        <v>25255.100069551758</v>
      </c>
      <c r="N56" s="11">
        <f t="shared" si="1"/>
        <v>42447.831815106038</v>
      </c>
      <c r="O56" s="2814">
        <f t="shared" si="1"/>
        <v>25255.100069551729</v>
      </c>
      <c r="P56" s="2814">
        <f t="shared" ref="P56:S56" si="2">P54-P55-P57</f>
        <v>188577.77934731496</v>
      </c>
      <c r="Q56" s="2814">
        <f t="shared" si="2"/>
        <v>188577.77934731496</v>
      </c>
      <c r="R56" s="11">
        <f t="shared" si="2"/>
        <v>34574.534415862523</v>
      </c>
      <c r="S56" s="2816">
        <f t="shared" si="2"/>
        <v>147687.43301542243</v>
      </c>
      <c r="T56" s="2817">
        <f>T54-T55-T57</f>
        <v>4.2897478617656262</v>
      </c>
      <c r="U56" s="11">
        <f>U54-U55-U57</f>
        <v>88.356834274636185</v>
      </c>
      <c r="V56" s="2816">
        <f>V54-V55-V57</f>
        <v>33.651804652536839</v>
      </c>
      <c r="W56" s="2816">
        <f>W54-W55-W57</f>
        <v>351.19223638545645</v>
      </c>
      <c r="X56" s="2818">
        <f t="shared" ref="X56:AA56" si="3">X54-X55-X57</f>
        <v>39538.037521092803</v>
      </c>
      <c r="Y56" s="1777">
        <f t="shared" si="3"/>
        <v>31696.261184234521</v>
      </c>
      <c r="Z56" s="1092">
        <f t="shared" si="3"/>
        <v>79452.257157707703</v>
      </c>
      <c r="AA56" s="969">
        <f t="shared" si="3"/>
        <v>3668.5487481753007</v>
      </c>
      <c r="AB56" s="1092">
        <f t="shared" ref="AB56:AG56" si="4">AB54-AB55-AB57</f>
        <v>0</v>
      </c>
      <c r="AC56" s="971">
        <f t="shared" si="4"/>
        <v>8412.951163134232</v>
      </c>
      <c r="AD56" s="969">
        <f t="shared" si="4"/>
        <v>16508.469366788835</v>
      </c>
      <c r="AE56" s="971">
        <f t="shared" si="4"/>
        <v>35584.233768983453</v>
      </c>
      <c r="AF56" s="971">
        <f t="shared" si="4"/>
        <v>0</v>
      </c>
      <c r="AG56" s="969">
        <f t="shared" si="4"/>
        <v>11005.64624452588</v>
      </c>
      <c r="AH56" s="971">
        <f>AH54-AH55-AH57</f>
        <v>0</v>
      </c>
      <c r="AI56" s="969">
        <f>AI54-AI55-AI57</f>
        <v>11005.64624452588</v>
      </c>
      <c r="AJ56" s="971">
        <f>AJ54-AJ55-AJ57</f>
        <v>0</v>
      </c>
      <c r="AK56" s="969">
        <f>AK54-AK55-AK57</f>
        <v>11005.64624452588</v>
      </c>
      <c r="AM56" s="38"/>
      <c r="AN56" s="38"/>
      <c r="AO56" s="38"/>
    </row>
    <row r="57" spans="1:41">
      <c r="A57" s="29" t="s">
        <v>2264</v>
      </c>
      <c r="B57" s="2762">
        <f t="array" ref="B57">B$43*(B$50+B$51)*(B$46+(MMULT(GREET1_Import_Export!$C434:$D434+0,B$46:B$47+0)))</f>
        <v>249148.09981838439</v>
      </c>
      <c r="C57" s="2763">
        <f t="array" ref="C57">C$43*(C$50+C$51)*(C$46+(MMULT(GREET1_Import_Export!$C434:$D434+0,C$46:C$47+0)))</f>
        <v>249148.09981838439</v>
      </c>
      <c r="D57" s="2763">
        <f t="array" ref="D57">D$43*(D$50+D$51)*(D$46+(MMULT(GREET1_Import_Export!$C434:$D434+0,D$46:D$47+0)))</f>
        <v>799907.35194216832</v>
      </c>
      <c r="E57" s="2762">
        <f t="array" ref="E57">E$43*(E$50+E$51)*(E$46+(MMULT(GREET1_Import_Export!$C434:$D434+0,E$46:E$47+0)))</f>
        <v>672699.86950963794</v>
      </c>
      <c r="F57" s="2763">
        <f t="array" ref="F57">F$43*(F$50+F$51)*(F$46+(MMULT(GREET1_Import_Export!$C434:$D434+0,F$46:F$47+0)))</f>
        <v>26907.994780385518</v>
      </c>
      <c r="G57" s="2762">
        <f t="array" ref="G57">G$43*(G$50+G$51)*(G$46+(MMULT(GREET1_Import_Export!$C434:$D434+0,G$46:G$47+0)))</f>
        <v>179386.63186923676</v>
      </c>
      <c r="H57" s="2815">
        <f t="array" ref="H57">H$43*(H$50+H$51)*(H$45+(MMULT(GREET1_Import_Export!$B434:$D434+0,H$45:H$47+0)))</f>
        <v>531465.3190903248</v>
      </c>
      <c r="I57" s="2764">
        <f t="array" ref="I57">I$43*(I$50+I$51)*(I$46+(MMULT(GREET1_Import_Export!$C434:$D434+0,I$46:I$47+0)))</f>
        <v>1058879.4242281336</v>
      </c>
      <c r="J57" s="2763">
        <f t="array" ref="J57">J$43*(J$50+J$51)*(J$45+(MMULT(GREET1_Import_Export!$B434:$D434+0,J$45:J$47+0)))</f>
        <v>1033457.4789507668</v>
      </c>
      <c r="K57" s="2764">
        <f t="array" ref="K57">K$43*(K$50+K$51)*(K$46+(MMULT(GREET1_Import_Export!$C434:$D434+0,K$46:K$47+0)))</f>
        <v>31143.512477298049</v>
      </c>
      <c r="L57" s="2814">
        <f t="array" ref="L57">L$43*(L$50+L$51)*(L$46+(MMULT(GREET1_Import_Export!$C434:$D434+0,L$46:L$47+0)))</f>
        <v>384556.61434029497</v>
      </c>
      <c r="M57" s="11">
        <f t="array" ref="M57">M$43*(M$50+M$51)*(M$46+(MMULT(GREET1_Import_Export!$C434:$D434+0,M$46:M$47+0)))</f>
        <v>214398.82038441222</v>
      </c>
      <c r="N57" s="11">
        <f t="array" ref="N57">N$43*(N$50+N$51)*(N$46+(MMULT(GREET1_Import_Export!$C434:$D434+0,N$46:N$47+0)))</f>
        <v>360353.55409289309</v>
      </c>
      <c r="O57" s="2814">
        <f t="array" ref="O57">O$43*(O$50+O$51)*(O$46+(MMULT(GREET1_Import_Export!$C434:$D434+0,O$46:O$47+0)))</f>
        <v>214398.82038441193</v>
      </c>
      <c r="P57" s="2814">
        <f t="array" ref="P57">P$43*(P$50+P$51)*(P$46+(MMULT(GREET1_Import_Export!$C434:$D434+0,P$46:P$47+0)))</f>
        <v>1600898.5643070494</v>
      </c>
      <c r="Q57" s="2814">
        <f t="array" ref="Q57">Q$43*(Q$50+Q$51)*(Q$46+(MMULT(GREET1_Import_Export!$C434:$D434+0,Q$46:Q$47+0)))</f>
        <v>1600898.5643070494</v>
      </c>
      <c r="R57" s="11">
        <f t="array" ref="R57">R$43*(R$50+R$51)*(R$45+(MMULT(GREET1_Import_Export!$B434:$D434+0,R$45:R$47+0)))</f>
        <v>455633.85851506254</v>
      </c>
      <c r="S57" s="2816">
        <f t="array" ref="S57">S$43*(S$50+S$51)*(S$46+(MMULT(GREET1_Import_Export!$C434:$D434+0,S$46:S$47+0)))</f>
        <v>1253767.014856671</v>
      </c>
      <c r="T57" s="2817">
        <f t="array" ref="T57">T$43*(T$50+T$51)*(T$45+(MMULT(GREET1_Import_Export!$B434:$D434+0,T$45:T$47+0)))</f>
        <v>56.531617947580365</v>
      </c>
      <c r="U57" s="11">
        <f t="array" ref="U57">U$43*(U$50+U$51)*(U$46+(MMULT(GREET1_Import_Export!$C434:$D434+0,U$46:U$47+0)))</f>
        <v>750.09011998419794</v>
      </c>
      <c r="V57" s="2816">
        <f t="array" ref="V57">V$43*(V$50+V$51)*(V$46+(MMULT(GREET1_Import_Export!$C434:$D434+0,V$46:V$47+0)))</f>
        <v>285.681197122203</v>
      </c>
      <c r="W57" s="2816">
        <f>W$43*(W$50+W$51)*(1+(GREET1_Import_Export!$C434*W$46))</f>
        <v>2981.3859775587866</v>
      </c>
      <c r="X57" s="1092">
        <f t="array" ref="X57">X$43*(X$50+X$51)*(X$45+(MMULT(GREET1_Import_Export!$B434:$D434+0,X$45:X$47+0)))</f>
        <v>521044.43048071058</v>
      </c>
      <c r="Y57" s="969">
        <f t="array" ref="Y57">Y$43*(Y$50+Y$51)*(Y$46+(MMULT(GREET1_Import_Export!$C434:$D434+0,Y$46:Y$47+0)))</f>
        <v>269079.94780385518</v>
      </c>
      <c r="Z57" s="1092">
        <f t="array" ref="Z57">Z$43*(Z$50+Z$51)*(Z$45+(MMULT(GREET1_Import_Export!$B434:$D434+0,Z$45:Z$47+0)))</f>
        <v>1047046.3046897481</v>
      </c>
      <c r="AA57" s="969">
        <f t="array" ref="AA57">AA$43*(AA$50+AA$51)*(AA$46+(MMULT(GREET1_Import_Export!$C434:$D434+0,AA$46:AA$47+0)))</f>
        <v>31143.512477298049</v>
      </c>
      <c r="AB57" s="1092" cm="1">
        <f t="array" ref="AB57">AB$43*(AB$50+AB$51)*(AB$45+(MMULT(GREET1_Import_Export!$B434:$D434+0,AB$45:AB$47+0)))</f>
        <v>0</v>
      </c>
      <c r="AC57" s="971" cm="1">
        <f t="array" ref="AC57">AC$43*(AC$50+AC$51)*(AC$46+(MMULT(GREET1_Import_Export!$C434:$D434+0,AC$46:AC$47+0)))</f>
        <v>71420.299280550738</v>
      </c>
      <c r="AD57" s="969" cm="1">
        <f t="array" ref="AD57">AD$43*(AD$50+AD$51)*(AD$46+(MMULT(GREET1_Import_Export!$C434:$D434+0,AD$46:AD$47+0)))</f>
        <v>140145.80614784124</v>
      </c>
      <c r="AE57" s="971" cm="1">
        <f t="array" ref="AE57">AE$43*(AE$50+AE$51)*(AE$45+(MMULT(GREET1_Import_Export!$B434:$D434+0,AE$45:AE$47+0)))</f>
        <v>468939.98743263952</v>
      </c>
      <c r="AF57" s="971" cm="1">
        <f t="array" ref="AF57">AF$43*(AF$50+AF$51)*(AF$46+(MMULT(GREET1_Import_Export!$C434:$D434+0,AF$46:AF$47+0)))</f>
        <v>0</v>
      </c>
      <c r="AG57" s="969" cm="1">
        <f t="array" ref="AG57">AG$43*(AG$50+AG$51)*(AG$46+(MMULT(GREET1_Import_Export!$C434:$D434+0,AG$46:AG$47+0)))</f>
        <v>93430.537431894161</v>
      </c>
      <c r="AH57" s="971" cm="1">
        <f t="array" ref="AH57">AH$43*(AH$50+AH$51)*(AH$45+(MMULT(GREET1_Import_Export!$B434:$D434+0,AH$45:AH$47+0)))</f>
        <v>0</v>
      </c>
      <c r="AI57" s="969" cm="1">
        <f t="array" ref="AI57">AI$43*(AI$50+AI$51)*(AI$46+(MMULT(GREET1_Import_Export!$C434:$D434+0,AI$46:AI$47+0)))</f>
        <v>93430.537431894161</v>
      </c>
      <c r="AJ57" s="971" cm="1">
        <f t="array" ref="AJ57">AJ$43*(AJ$50+AJ$51)*(AJ$45+(MMULT(GREET1_Import_Export!$B434:$D434+0,AJ$45:AJ$47+0)))</f>
        <v>0</v>
      </c>
      <c r="AK57" s="969" cm="1">
        <f t="array" ref="AK57">AK$43*(AK$50+AK$51)*(AK$46+(MMULT(GREET1_Import_Export!$C434:$D434+0,AK$46:AK$47+0)))</f>
        <v>93430.537431894161</v>
      </c>
      <c r="AM57" s="38"/>
      <c r="AN57" s="38"/>
      <c r="AO57" s="38"/>
    </row>
    <row r="58" spans="1:41">
      <c r="A58" s="1758" t="s">
        <v>819</v>
      </c>
      <c r="B58" s="2825">
        <f t="array" ref="B58">B$43*(B$50+B$51)*((MMULT(GREET1_Import_Export!$C435:$D435+0,B$46:B$47+0)))</f>
        <v>5.1924114340333247</v>
      </c>
      <c r="C58" s="2826">
        <f t="array" ref="C58">C$43*(C$50+C$51)*((MMULT(GREET1_Import_Export!$C435:$D435+0,C$46:C$47+0)))</f>
        <v>5.1924114340333247</v>
      </c>
      <c r="D58" s="2826">
        <f t="array" ref="D58">D$43*(D$50+D$51)*((MMULT(GREET1_Import_Export!$C435:$D435+0,D$46:D$47+0)))</f>
        <v>16.670599067058806</v>
      </c>
      <c r="E58" s="2825">
        <f t="array" ref="E58">E$43*(E$50+E$51)*((MMULT(GREET1_Import_Export!$C435:$D435+0,E$46:E$47+0)))</f>
        <v>14.019510871889977</v>
      </c>
      <c r="F58" s="2826">
        <f t="array" ref="F58">F$43*(F$50+F$51)*((MMULT(GREET1_Import_Export!$C435:$D435+0,F$46:F$47+0)))</f>
        <v>0.56078043487559914</v>
      </c>
      <c r="G58" s="2825">
        <f t="array" ref="G58">G$43*(G$50+G$51)*((MMULT(GREET1_Import_Export!$C435:$D435+0,G$46:G$47+0)))</f>
        <v>3.7385362325039937</v>
      </c>
      <c r="H58" s="2827">
        <f>H$43*(H$50+H$51)*H45*GREET1_Import_Export!B435</f>
        <v>10.319325214755743</v>
      </c>
      <c r="I58" s="2828">
        <f t="array" ref="I58">I$43*(I$50+I$51)*((MMULT(GREET1_Import_Export!$C435:$D435+0,I$46:I$47+0)))</f>
        <v>22.067748594641632</v>
      </c>
      <c r="J58" s="2826">
        <f>J$43*(J$50+J$51)*J45*GREET1_Import_Export!B435</f>
        <v>20.066377687952315</v>
      </c>
      <c r="K58" s="2828">
        <f t="array" ref="K58">K$43*(K$50+K$51)*((MMULT(GREET1_Import_Export!$C435:$D435+0,K$46:K$47+0)))</f>
        <v>0.64905142925416559</v>
      </c>
      <c r="L58" s="2825">
        <f t="array" ref="L58">L$43*(L$50+L$51)*((MMULT(GREET1_Import_Export!$C435:$D435+0,L$46:L$47+0)))</f>
        <v>8.0144145702465064</v>
      </c>
      <c r="M58" s="2826">
        <f t="array" ref="M58">M$43*(M$50+M$51)*((MMULT(GREET1_Import_Export!$C435:$D435+0,M$46:M$47+0)))</f>
        <v>4.4682134329692911</v>
      </c>
      <c r="N58" s="2826">
        <f t="array" ref="N58">N$43*(N$50+N$51)*((MMULT(GREET1_Import_Export!$C435:$D435+0,N$46:N$47+0)))</f>
        <v>7.5100067627664773</v>
      </c>
      <c r="O58" s="2825">
        <f t="array" ref="O58">O$43*(O$50+O$51)*((MMULT(GREET1_Import_Export!$C435:$D435+0,O$46:O$47+0)))</f>
        <v>4.4682134329692849</v>
      </c>
      <c r="P58" s="2825">
        <f t="array" ref="P58">P$43*(P$50+P$51)*((MMULT(GREET1_Import_Export!$C435:$D435+0,P$46:P$47+0)))</f>
        <v>33.363786503267903</v>
      </c>
      <c r="Q58" s="2825">
        <f t="array" ref="Q58">Q$43*(Q$50+Q$51)*((MMULT(GREET1_Import_Export!$C435:$D435+0,Q$46:Q$47+0)))</f>
        <v>33.363786503267903</v>
      </c>
      <c r="R58" s="2826">
        <f>R$43*(R$50+R$51)*R45*GREET1_Import_Export!J435</f>
        <v>0</v>
      </c>
      <c r="S58" s="2828">
        <f t="array" ref="S58">S$43*(S$50+S$51)*((MMULT(GREET1_Import_Export!$C435:$D435+0,S$46:S$47+0)))</f>
        <v>26.129335075407369</v>
      </c>
      <c r="T58" s="2827">
        <f>T$43*(T$50+T$51)*T45*GREET1_Import_Export!L435</f>
        <v>0</v>
      </c>
      <c r="U58" s="2826">
        <f t="array" ref="U58">U$43*(U$50+U$51)*((MMULT(GREET1_Import_Export!$C435:$D435+0,U$46:U$47+0)))</f>
        <v>1.5632374954496788E-2</v>
      </c>
      <c r="V58" s="2828">
        <f t="array" ref="V58">V$43*(V$50+V$51)*((MMULT(GREET1_Import_Export!$C435:$D435+0,V$46:V$47+0)))</f>
        <v>5.9537853810924316E-3</v>
      </c>
      <c r="W58" s="2828">
        <f>W$43*(W$50+W$51)*((GREET1_Import_Export!$C435*W$46))</f>
        <v>6.2134058619862556E-2</v>
      </c>
      <c r="X58" s="1144">
        <f>X$43*(X$50+X$51)*X45*GREET1_Import_Export!B435</f>
        <v>10.116985504662493</v>
      </c>
      <c r="Y58" s="1275">
        <f t="array" ref="Y58">Y$43*(Y$50+Y$51)*((MMULT(GREET1_Import_Export!$C435:$D435+0,Y$46:Y$47+0)))</f>
        <v>5.607804348755991</v>
      </c>
      <c r="Z58" s="1144">
        <f>Z$43*(Z$50+Z$51)*Z45*GREET1_Import_Export!B435</f>
        <v>20.33022841734179</v>
      </c>
      <c r="AA58" s="1275">
        <f t="array" ref="AA58">AA$43*(AA$50+AA$51)*((MMULT(GREET1_Import_Export!$C435:$D435+0,AA$46:AA$47+0)))</f>
        <v>0.64905142925416559</v>
      </c>
      <c r="AB58" s="1144">
        <f>AB$43*(AB$50+AB$51)*AB45*GREET1_Import_Export!B435</f>
        <v>0</v>
      </c>
      <c r="AC58" s="2748" cm="1">
        <f t="array" ref="AC58">AC$43*(AC$50+AC$51)*((MMULT(GREET1_Import_Export!$C435:$D435+0,AC$46:AC$47+0)))</f>
        <v>1.4884463452731078</v>
      </c>
      <c r="AD58" s="1275" cm="1">
        <f t="array" ref="AD58">AD$43*(AD$50+AD$51)*((MMULT(GREET1_Import_Export!$C435:$D435+0,AD$46:AD$47+0)))</f>
        <v>2.9207314316437452</v>
      </c>
      <c r="AE58" s="2748">
        <f>AE$43*(AE$50+AE$51)*AE45*GREET1_Import_Export!B435</f>
        <v>9.1052869541962451</v>
      </c>
      <c r="AF58" s="2748" cm="1">
        <f t="array" ref="AF58">AF$43*(AF$50+AF$51)*((MMULT(GREET1_Import_Export!$C435:$D435+0,AF$46:AF$47+0)))</f>
        <v>0</v>
      </c>
      <c r="AG58" s="1275" cm="1">
        <f t="array" ref="AG58">AG$43*(AG$50+AG$51)*((MMULT(GREET1_Import_Export!$C435:$D435+0,AG$46:AG$47+0)))</f>
        <v>1.9471542877624968</v>
      </c>
      <c r="AH58" s="2748">
        <f>AH$43*(AH$50+AH$51)*AH45*GREET1_Import_Export!B435</f>
        <v>0</v>
      </c>
      <c r="AI58" s="1275" cm="1">
        <f t="array" ref="AI58">AI$43*(AI$50+AI$51)*((MMULT(GREET1_Import_Export!$C435:$D435+0,AI$46:AI$47+0)))</f>
        <v>1.9471542877624968</v>
      </c>
      <c r="AJ58" s="2748">
        <f>AJ$43*(AJ$50+AJ$51)*AJ45*GREET1_Import_Export!B435</f>
        <v>0</v>
      </c>
      <c r="AK58" s="1275" cm="1">
        <f t="array" ref="AK58">AK$43*(AK$50+AK$51)*((MMULT(GREET1_Import_Export!$C435:$D435+0,AK$46:AK$47+0)))</f>
        <v>1.9471542877624968</v>
      </c>
      <c r="AM58" s="38"/>
      <c r="AN58" s="38"/>
      <c r="AO58" s="38"/>
    </row>
    <row r="59" spans="1:41">
      <c r="A59" s="29" t="s">
        <v>2265</v>
      </c>
      <c r="B59" s="488"/>
      <c r="E59" s="488"/>
      <c r="G59" s="488"/>
      <c r="H59" s="477"/>
      <c r="I59" s="1067"/>
      <c r="K59" s="1067"/>
      <c r="L59" s="483"/>
      <c r="M59" s="363"/>
      <c r="N59" s="363"/>
      <c r="O59" s="483"/>
      <c r="P59" s="483"/>
      <c r="Q59" s="483"/>
      <c r="R59" s="363"/>
      <c r="S59" s="1013"/>
      <c r="T59" s="661"/>
      <c r="U59" s="363"/>
      <c r="V59" s="1013"/>
      <c r="W59" s="1013"/>
      <c r="X59" s="661"/>
      <c r="Y59" s="1013"/>
      <c r="Z59" s="661"/>
      <c r="AA59" s="1013"/>
      <c r="AB59" s="661"/>
      <c r="AC59" s="521"/>
      <c r="AD59" s="1013"/>
      <c r="AE59" s="521"/>
      <c r="AF59" s="521"/>
      <c r="AG59" s="1013"/>
      <c r="AH59" s="521"/>
      <c r="AI59" s="1013"/>
      <c r="AJ59" s="521"/>
      <c r="AK59" s="1013"/>
      <c r="AM59" s="38"/>
      <c r="AN59" s="38"/>
      <c r="AO59" s="38"/>
    </row>
    <row r="60" spans="1:41">
      <c r="A60" s="29" t="s">
        <v>2266</v>
      </c>
      <c r="B60" s="2829">
        <f t="array" ref="B60">B$43*(B$50*((MMULT(GREET1_Import_Export!$C436:$D436+0,B$46:B$47+0))+(MMULT(GREET1_Import_Export!$G88:$H88+0,B$46:B$47+0)))+B$51*((MMULT(GREET1_Import_Export!$C436:$D436+0,B$46:B$47+0))+(MMULT(GREET1_Import_Export!$G103:$H103+0,B$46:B$47+0))))/1000000</f>
        <v>3.2961497480006012</v>
      </c>
      <c r="C60" s="2830">
        <f t="array" ref="C60">C$43*(C$50*((MMULT(GREET1_Import_Export!$C436:$D436+0,C$46:C$47+0))+(MMULT(GREET1_Import_Export!$G88:$H88+0,C$46:C$47+0)))+C$51*((MMULT(GREET1_Import_Export!$C436:$D436+0,C$46:C$47+0))+(MMULT(GREET1_Import_Export!$G103:$H103+0,C$46:C$47+0))))/1000000</f>
        <v>3.2961497480006012</v>
      </c>
      <c r="D60" s="2830">
        <f t="array" ref="D60">D$43*(D$50*((MMULT(GREET1_Import_Export!$C436:$D436+0,D$46:D$47+0))+(MMULT(GREET1_Import_Export!$E88:$F88+0,D$46:D$47+0)))+D$51*((MMULT(GREET1_Import_Export!$C436:$D436+0,D$46:D$47+0))+(MMULT(GREET1_Import_Export!$E103:$F103+0,D$46:D$47+0))))/1000000</f>
        <v>27.634301288641204</v>
      </c>
      <c r="E60" s="2829">
        <f t="array" ref="E60">E$43*(E$50*((MMULT(GREET1_Import_Export!$C436:$D436+0,E$46:E$47+0))+(MMULT(GREET1_Import_Export!$G88:$H88+0,E$46:E$47+0)))+E$51*((MMULT(GREET1_Import_Export!$C436:$D436+0,E$46:E$47+0))+(MMULT(GREET1_Import_Export!$G103:$H103+0,E$46:E$47+0))))/1000000</f>
        <v>8.8996043196016252</v>
      </c>
      <c r="F60" s="2830">
        <f t="array" ref="F60">F$43*(F$50*((MMULT(GREET1_Import_Export!$C436:$D436+0,F$46:F$47+0))+(MMULT(GREET1_Import_Export!$G88:$H88+0,F$46:F$47+0)))+F$51*((MMULT(GREET1_Import_Export!$C436:$D436+0,F$46:F$47+0))+(MMULT(GREET1_Import_Export!$G103:$H103+0,F$46:F$47+0))))/1000000</f>
        <v>0.35598417278406502</v>
      </c>
      <c r="G60" s="2829">
        <f t="array" ref="G60">G$43*(G$50*((MMULT(GREET1_Import_Export!$C436:$D436+0,G$46:G$47+0))+(MMULT(GREET1_Import_Export!$G88:$H88+0,G$46:G$47+0)))+G$51*((MMULT(GREET1_Import_Export!$C436:$D436+0,G$46:G$47+0))+(MMULT(GREET1_Import_Export!$G103:$H103+0,G$46:G$47+0))))/1000000</f>
        <v>2.3732278185604332</v>
      </c>
      <c r="H60" s="2831">
        <f t="array" ref="H60">H$43*(H$50*((MMULT(GREET1_Import_Export!$B436:$D436+0,H$45:H$47+0))+(MMULT(GREET1_Import_Export!$B88:$D88+0,H$45:H$47+0)))+H$51*((MMULT(GREET1_Import_Export!$B436:$D436+0,H$45:H$47+0))+(MMULT(GREET1_Import_Export!$B103:$D103+0,H$45:H$47+0))))/1000000</f>
        <v>43.825838637570371</v>
      </c>
      <c r="I60" s="2832">
        <f t="array" ref="I60">I$43*(I$50*((MMULT(GREET1_Import_Export!$C436:$D436+0,I$46:I$47+0))+(MMULT(GREET1_Import_Export!$G88:$H88+0,I$46:I$47+0)))+I$51*((MMULT(GREET1_Import_Export!$C436:$D436+0,I$46:I$47+0))+(MMULT(GREET1_Import_Export!$G103:$H103+0,I$46:I$47+0))))/1000000</f>
        <v>14.008636429002557</v>
      </c>
      <c r="J60" s="2830">
        <f t="array" ref="J60">J$43*(J$50*((MMULT(GREET1_Import_Export!$B436:$D436+0,J$45:J$47+0))+(MMULT(GREET1_Import_Export!$B88:$D88+0,J$45:J$47+0)))+J$51*((MMULT(GREET1_Import_Export!$B436:$D436+0,J$45:J$47+0))+(MMULT(GREET1_Import_Export!$B103:$D103+0,J$45:J$47+0))))/1000000</f>
        <v>85.221253550109822</v>
      </c>
      <c r="K60" s="2832">
        <f t="array" ref="K60">K$43*(K$50*((MMULT(GREET1_Import_Export!$C436:$D436+0,K$46:K$47+0))+(MMULT(GREET1_Import_Export!$G88:$H88+0,K$46:K$47+0)))+K$51*((MMULT(GREET1_Import_Export!$C436:$D436+0,K$46:K$47+0))+(MMULT(GREET1_Import_Export!$G103:$H103+0,K$46:K$47+0))))/1000000</f>
        <v>0.41201871850007515</v>
      </c>
      <c r="L60" s="2833">
        <f t="array" ref="L60">L$43*(L$50*((MMULT(GREET1_Import_Export!$C436:$D436+0,L$46:L$47+0))+(MMULT(GREET1_Import_Export!$G88:$H88+0,L$46:L$47+0)))+L$51*((MMULT(GREET1_Import_Export!$C436:$D436+0,L$46:L$47+0))+(MMULT(GREET1_Import_Export!$G103:$H103+0,L$46:L$47+0))))/1000000</f>
        <v>5.0875611267904848</v>
      </c>
      <c r="M60" s="2774">
        <f t="array" ref="M60">M$43*(M$50*((MMULT(GREET1_Import_Export!$C436:$D436+0,M$46:M$47+0))+(MMULT(GREET1_Import_Export!$G88:$H88+0,M$46:M$47+0)))+M$51*((MMULT(GREET1_Import_Export!$C436:$D436+0,M$46:M$47+0))+(MMULT(GREET1_Import_Export!$G103:$H103+0,M$46:M$47+0))))/1000000</f>
        <v>2.6994279667407919</v>
      </c>
      <c r="N60" s="2774">
        <f t="array" ref="N60">N$43*(N$50*((MMULT(GREET1_Import_Export!$C436:$D436+0,N$46:N$47+0))+(MMULT(GREET1_Import_Export!$E88:$F88+0,N$46:N$47+0)))+N$51*((MMULT(GREET1_Import_Export!$C436:$D436+0,N$46:N$47+0))+(MMULT(GREET1_Import_Export!$E103:$F103+0,N$46:N$47+0))))/1000000</f>
        <v>12.449090085317312</v>
      </c>
      <c r="O60" s="2833">
        <f t="array" ref="O60">O$43*(O$50*((MMULT(GREET1_Import_Export!$C436:$D436+0,O$46:O$47+0))+(MMULT(GREET1_Import_Export!$G88:$H88+0,O$46:O$47+0)))+O$51*((MMULT(GREET1_Import_Export!$C436:$D436+0,O$46:O$47+0))+(MMULT(GREET1_Import_Export!$G103:$H103+0,O$46:O$47+0))))/1000000</f>
        <v>2.6994279667407879</v>
      </c>
      <c r="P60" s="2833">
        <f t="array" ref="P60">P$43*(P$50*((MMULT(GREET1_Import_Export!$C436:$D436+0,P$46:P$47+0))+(MMULT(GREET1_Import_Export!$G88:$H88+0,P$46:P$47+0)))+P$51*((MMULT(GREET1_Import_Export!$C436:$D436+0,P$46:P$47+0))+(MMULT(GREET1_Import_Export!$G103:$H103+0,P$46:P$47+0))))/1000000</f>
        <v>20.156409203452057</v>
      </c>
      <c r="Q60" s="2833">
        <f t="array" ref="Q60">Q$43*(Q$50*((MMULT(GREET1_Import_Export!$C436:$D436+0,Q$46:Q$47+0))+(MMULT(GREET1_Import_Export!$G88:$H88+0,Q$46:Q$47+0)))+Q$51*((MMULT(GREET1_Import_Export!$C436:$D436+0,Q$46:Q$47+0))+(MMULT(GREET1_Import_Export!$G103:$H103+0,Q$46:Q$47+0))))/1000000</f>
        <v>20.156409203452057</v>
      </c>
      <c r="R60" s="2774">
        <f t="array" ref="R60">R$43*(R$50*((MMULT(GREET1_Import_Export!$B436:$D436+0,R$45:R$47+0))+(MMULT(GREET1_Import_Export!$B88:$D88+0,R$45:R$47+0)))+R$51*((MMULT(GREET1_Import_Export!$B436:$D436+0,R$45:R$47+0))+(MMULT(GREET1_Import_Export!$B103:$D103+0,R$45:R$47+0))))/1000000</f>
        <v>37.57260397587855</v>
      </c>
      <c r="S60" s="2775">
        <f t="array" ref="S60">S$43*(S$50*((MMULT(GREET1_Import_Export!$C436:$D436+0,S$46:S$47+0))+(MMULT(GREET1_Import_Export!$G88:$H88+0,S$46:S$47+0)))+S$51*((MMULT(GREET1_Import_Export!$C436:$D436+0,S$46:S$47+0))+(MMULT(GREET1_Import_Export!$G103:$H103+0,S$46:S$47+0))))/1000000</f>
        <v>15.785785283766801</v>
      </c>
      <c r="T60" s="2769">
        <f t="array" ref="T60">T$43*(T$50*((MMULT(GREET1_Import_Export!$B436:$D436+0,T$45:T$47+0))+(MMULT(GREET1_Import_Export!$B88:$D88+0,T$45:T$47+0)))+T$51*((MMULT(GREET1_Import_Export!$B436:$D436+0,T$45:T$47+0))+(MMULT(GREET1_Import_Export!$B103:$D103+0,T$45:T$47+0))))/1000000</f>
        <v>4.661725755374011E-3</v>
      </c>
      <c r="U60" s="2774">
        <f t="array" ref="U60">U$43*(U$50*((MMULT(GREET1_Import_Export!$C436:$D436+0,U$46:U$47+0))+(MMULT(GREET1_Import_Export!$G88:$H88+0,U$46:U$47+0)))+U$51*((MMULT(GREET1_Import_Export!$C436:$D436+0,U$46:U$47+0))+(MMULT(GREET1_Import_Export!$G103:$H103+0,U$46:U$47+0))))/1000000</f>
        <v>9.4441482645793197E-3</v>
      </c>
      <c r="V60" s="2775">
        <f t="array" ref="V60">V$43*(V$50*((MMULT(GREET1_Import_Export!$C436:$D436+0,V$46:V$47+0))+(MMULT(GREET1_Import_Export!$E88:$F88+0,V$46:V$47+0)))+V$51*((MMULT(GREET1_Import_Export!$C436:$D436+0,V$46:V$47+0))+(MMULT(GREET1_Import_Export!$E103:$F103+0,V$46:V$47+0))))/1000000</f>
        <v>9.8693933173718586E-3</v>
      </c>
      <c r="W60" s="2775">
        <f>W$43*(W$50*((GREET1_Import_Export!$C436*W$46)+(GREET1_Import_Export!$I88*W$46))+W$51*((GREET1_Import_Export!$C436*W$46)+(GREET1_Import_Export!$I88*W$46)))/1000000</f>
        <v>3.5070530439958766E-2</v>
      </c>
      <c r="X60" s="749">
        <f t="array" ref="X60">X$43*(X$50*((MMULT(GREET1_Import_Export!$B436:$D436+0,X$45:X$47+0))+(MMULT(GREET1_Import_Export!$B88:$D88+0,X$45:X$47+0)))+X$51*((MMULT(GREET1_Import_Export!$B436:$D436+0,X$45:X$47+0))+(MMULT(GREET1_Import_Export!$B103:$D103+0,X$45:X$47+0))))/1000000</f>
        <v>42.96650846820625</v>
      </c>
      <c r="Y60" s="817">
        <f t="array" ref="Y60">Y$43*(Y$50*((MMULT(GREET1_Import_Export!$C436:$D436+0,Y$46:Y$47+0))+(MMULT(GREET1_Import_Export!$G88:$H88+0,Y$46:Y$47+0)))+Y$51*((MMULT(GREET1_Import_Export!$C436:$D436+0,Y$46:Y$47+0))+(MMULT(GREET1_Import_Export!$G103:$H103+0,Y$46:Y$47+0))))/1000000</f>
        <v>3.55984172784065</v>
      </c>
      <c r="Z60" s="749">
        <f t="array" ref="Z60">Z$43*(Z$50*((MMULT(GREET1_Import_Export!$B436:$D436+0,Z$45:Z$47+0))+(MMULT(GREET1_Import_Export!$B88:$D88+0,Z$45:Z$47+0)))+Z$51*((MMULT(GREET1_Import_Export!$B436:$D436+0,Z$45:Z$47+0))+(MMULT(GREET1_Import_Export!$B103:$D103+0,Z$45:Z$47+0))))/1000000</f>
        <v>86.341819018295041</v>
      </c>
      <c r="AA60" s="817">
        <f t="array" ref="AA60">AA$43*(AA$50*((MMULT(GREET1_Import_Export!$C436:$D436+0,AA$46:AA$47+0))+(MMULT(GREET1_Import_Export!$G88:$H88+0,AA$46:AA$47+0)))+AA$51*((MMULT(GREET1_Import_Export!$C436:$D436+0,AA$46:AA$47+0))+(MMULT(GREET1_Import_Export!$G103:$H103+0,AA$46:AA$47+0))))/1000000</f>
        <v>0.41201871850007515</v>
      </c>
      <c r="AB60" s="749" cm="1">
        <f t="array" ref="AB60">AB$43*(AB$50*((MMULT(GREET1_Import_Export!$B436:$D436+0,AB$45:AB$47+0))+(MMULT(GREET1_Import_Export!$B88:$D88+0,AB$45:AB$47+0)))+AB$51*((MMULT(GREET1_Import_Export!$B436:$D436+0,AB$45:AB$47+0))+(MMULT(GREET1_Import_Export!$B103:$D103+0,AB$45:AB$47+0))))/1000000</f>
        <v>0</v>
      </c>
      <c r="AC60" s="1463" cm="1">
        <f t="array" ref="AC60">AC$43*(AC$50*((MMULT(GREET1_Import_Export!$C436:$D436+0,AC$46:AC$47+0))+(MMULT(GREET1_Import_Export!$E88:$F88+0,AC$46:AC$47+0)))+AC$51*((MMULT(GREET1_Import_Export!$C436:$D436+0,AC$46:AC$47+0))+(MMULT(GREET1_Import_Export!$E103:$F103+0,AC$46:AC$47+0))))/1000000</f>
        <v>2.4673483293429648</v>
      </c>
      <c r="AD60" s="817" cm="1">
        <f t="array" ref="AD60">AD$43*(AD$50*((MMULT(GREET1_Import_Export!$C436:$D436+0,AD$46:AD$47+0))+(MMULT(GREET1_Import_Export!$G88:$H88+0,AD$46:AD$47+0)))+AD$51*((MMULT(GREET1_Import_Export!$C436:$D436+0,AD$46:AD$47+0))+(MMULT(GREET1_Import_Export!$G103:$H103+0,AD$46:AD$47+0))))/1000000</f>
        <v>1.8540842332503389</v>
      </c>
      <c r="AE60" s="1463" cm="1">
        <f t="array" ref="AE60">AE$43*(AE$50*((MMULT(GREET1_Import_Export!$B436:$D436+0,AE$45:AE$47+0))+(MMULT(GREET1_Import_Export!$B88:$D88+0,AE$45:AE$47+0)))+AE$51*((MMULT(GREET1_Import_Export!$B436:$D436+0,AE$45:AE$47+0))+(MMULT(GREET1_Import_Export!$B103:$D103+0,AE$45:AE$47+0))))/1000000</f>
        <v>38.669857621385624</v>
      </c>
      <c r="AF60" s="1463" cm="1">
        <f t="array" ref="AF60">AF$43*(AF$50*((MMULT(GREET1_Import_Export!$C436:$D436+0,AF$46:AF$47+0))+(MMULT(GREET1_Import_Export!$E88:$F88+0,AF$46:AF$47+0)))+AF$51*((MMULT(GREET1_Import_Export!$C436:$D436+0,AF$46:AF$47+0))+(MMULT(GREET1_Import_Export!$E103:$F103+0,AF$46:AF$47+0))))/1000000</f>
        <v>0</v>
      </c>
      <c r="AG60" s="817" cm="1">
        <f t="array" ref="AG60">AG$43*(AG$50*((MMULT(GREET1_Import_Export!$C436:$D436+0,AG$46:AG$47+0))+(MMULT(GREET1_Import_Export!$G88:$H88+0,AG$46:AG$47+0)))+AG$51*((MMULT(GREET1_Import_Export!$C436:$D436+0,AG$46:AG$47+0))+(MMULT(GREET1_Import_Export!$G103:$H103+0,AG$46:AG$47+0))))/1000000</f>
        <v>1.2360561555002254</v>
      </c>
      <c r="AH60" s="1463" cm="1">
        <f t="array" ref="AH60">AH$43*(AH$50*((MMULT(GREET1_Import_Export!$B436:$D436+0,AH$45:AH$47+0))+(MMULT(GREET1_Import_Export!$B88:$D88+0,AH$45:AH$47+0)))+AH$51*((MMULT(GREET1_Import_Export!$B436:$D436+0,AH$45:AH$47+0))+(MMULT(GREET1_Import_Export!$B103:$D103+0,AH$45:AH$47+0))))/1000000</f>
        <v>0</v>
      </c>
      <c r="AI60" s="817" cm="1">
        <f t="array" ref="AI60">AI$43*(AI$50*((MMULT(GREET1_Import_Export!$C436:$D436+0,AI$46:AI$47+0))+(MMULT(GREET1_Import_Export!$G88:$H88+0,AI$46:AI$47+0)))+AI$51*((MMULT(GREET1_Import_Export!$C436:$D436+0,AI$46:AI$47+0))+(MMULT(GREET1_Import_Export!$G103:$H103+0,AI$46:AI$47+0))))/1000000</f>
        <v>1.2360561555002254</v>
      </c>
      <c r="AJ60" s="1463" cm="1">
        <f t="array" ref="AJ60">AJ$43*(AJ$50*((MMULT(GREET1_Import_Export!$B436:$D436+0,AJ$45:AJ$47+0))+(MMULT(GREET1_Import_Export!$B88:$D88+0,AJ$45:AJ$47+0)))+AJ$51*((MMULT(GREET1_Import_Export!$B436:$D436+0,AJ$45:AJ$47+0))+(MMULT(GREET1_Import_Export!$B103:$D103+0,AJ$45:AJ$47+0))))/1000000</f>
        <v>0</v>
      </c>
      <c r="AK60" s="817" cm="1">
        <f t="array" ref="AK60">AK$43*(AK$50*((MMULT(GREET1_Import_Export!$C436:$D436+0,AK$46:AK$47+0))+(MMULT(GREET1_Import_Export!$G88:$H88+0,AK$46:AK$47+0)))+AK$51*((MMULT(GREET1_Import_Export!$C436:$D436+0,AK$46:AK$47+0))+(MMULT(GREET1_Import_Export!$G103:$H103+0,AK$46:AK$47+0))))/1000000</f>
        <v>1.2360561555002254</v>
      </c>
      <c r="AM60" s="38"/>
      <c r="AN60" s="38"/>
      <c r="AO60" s="38"/>
    </row>
    <row r="61" spans="1:41">
      <c r="A61" s="29" t="s">
        <v>2267</v>
      </c>
      <c r="B61" s="2829">
        <f t="array" ref="B61">B$43*(B$50*((MMULT(GREET1_Import_Export!$C437:$D437+0,B$46:B$47+0))+(MMULT(GREET1_Import_Export!$G89:$H89+0,B$46:B$47+0)))+B$51*((MMULT(GREET1_Import_Export!$C437:$D437+0,B$46:B$47+0))+(MMULT(GREET1_Import_Export!$G104:$H104+0,B$46:B$47+0))))/1000000</f>
        <v>45.707534745853565</v>
      </c>
      <c r="C61" s="2830">
        <f t="array" ref="C61">C$43*(C$50*((MMULT(GREET1_Import_Export!$C437:$D437+0,C$46:C$47+0))+(MMULT(GREET1_Import_Export!$G89:$H89+0,C$46:C$47+0)))+C$51*((MMULT(GREET1_Import_Export!$C437:$D437+0,C$46:C$47+0))+(MMULT(GREET1_Import_Export!$G104:$H104+0,C$46:C$47+0))))/1000000</f>
        <v>45.707534745853565</v>
      </c>
      <c r="D61" s="2830">
        <f t="array" ref="D61">D$43*(D$50*((MMULT(GREET1_Import_Export!$C437:$D437+0,D$46:D$47+0))+(MMULT(GREET1_Import_Export!$E89:$F89+0,D$46:D$47+0)))+D$51*((MMULT(GREET1_Import_Export!$C437:$D437+0,D$46:D$47+0))+(MMULT(GREET1_Import_Export!$E104:$F104+0,D$46:D$47+0))))/1000000</f>
        <v>46.648412953079962</v>
      </c>
      <c r="E61" s="2829">
        <f t="array" ref="E61">E$43*(E$50*((MMULT(GREET1_Import_Export!$C437:$D437+0,E$46:E$47+0))+(MMULT(GREET1_Import_Export!$G89:$H89+0,E$46:E$47+0)))+E$51*((MMULT(GREET1_Import_Export!$C437:$D437+0,E$46:E$47+0))+(MMULT(GREET1_Import_Export!$G104:$H104+0,E$46:E$47+0))))/1000000</f>
        <v>123.41034381380462</v>
      </c>
      <c r="F61" s="2830">
        <f t="array" ref="F61">F$43*(F$50*((MMULT(GREET1_Import_Export!$C437:$D437+0,F$46:F$47+0))+(MMULT(GREET1_Import_Export!$G89:$H89+0,F$46:F$47+0)))+F$51*((MMULT(GREET1_Import_Export!$C437:$D437+0,F$46:F$47+0))+(MMULT(GREET1_Import_Export!$G104:$H104+0,F$46:F$47+0))))/1000000</f>
        <v>4.936413752552185</v>
      </c>
      <c r="G61" s="2829">
        <f t="array" ref="G61">G$43*(G$50*((MMULT(GREET1_Import_Export!$C437:$D437+0,G$46:G$47+0))+(MMULT(GREET1_Import_Export!$G89:$H89+0,G$46:G$47+0)))+G$51*((MMULT(GREET1_Import_Export!$C437:$D437+0,G$46:G$47+0))+(MMULT(GREET1_Import_Export!$G104:$H104+0,G$46:G$47+0))))/1000000</f>
        <v>32.90942501701457</v>
      </c>
      <c r="H61" s="2831">
        <f t="array" ref="H61">H$43*(H$50*((MMULT(GREET1_Import_Export!$B437:$D437+0,H$45:H$47+0))+(MMULT(GREET1_Import_Export!$B89:$D89+0,H$45:H$47+0)))+H$51*((MMULT(GREET1_Import_Export!$B437:$D437+0,H$45:H$47+0))+(MMULT(GREET1_Import_Export!$B104:$D104+0,H$45:H$47+0))))/1000000</f>
        <v>97.881784177273985</v>
      </c>
      <c r="I61" s="2832">
        <f t="array" ref="I61">I$43*(I$50*((MMULT(GREET1_Import_Export!$C437:$D437+0,I$46:I$47+0))+(MMULT(GREET1_Import_Export!$G89:$H89+0,I$46:I$47+0)))+I$51*((MMULT(GREET1_Import_Export!$C437:$D437+0,I$46:I$47+0))+(MMULT(GREET1_Import_Export!$G104:$H104+0,I$46:I$47+0))))/1000000</f>
        <v>194.25702266987767</v>
      </c>
      <c r="J61" s="2830">
        <f t="array" ref="J61">J$43*(J$50*((MMULT(GREET1_Import_Export!$B437:$D437+0,J$45:J$47+0))+(MMULT(GREET1_Import_Export!$B89:$D89+0,J$45:J$47+0)))+J$51*((MMULT(GREET1_Import_Export!$B437:$D437+0,J$45:J$47+0))+(MMULT(GREET1_Import_Export!$B104:$D104+0,J$45:J$47+0))))/1000000</f>
        <v>190.3353958903509</v>
      </c>
      <c r="K61" s="2832">
        <f t="array" ref="K61">K$43*(K$50*((MMULT(GREET1_Import_Export!$C437:$D437+0,K$46:K$47+0))+(MMULT(GREET1_Import_Export!$G89:$H89+0,K$46:K$47+0)))+K$51*((MMULT(GREET1_Import_Export!$C437:$D437+0,K$46:K$47+0))+(MMULT(GREET1_Import_Export!$G104:$H104+0,K$46:K$47+0))))/1000000</f>
        <v>5.7134418432316956</v>
      </c>
      <c r="L61" s="2833">
        <f t="array" ref="L61">L$43*(L$50*((MMULT(GREET1_Import_Export!$C437:$D437+0,L$46:L$47+0))+(MMULT(GREET1_Import_Export!$G89:$H89+0,L$46:L$47+0)))+L$51*((MMULT(GREET1_Import_Export!$C437:$D437+0,L$46:L$47+0))+(MMULT(GREET1_Import_Export!$G104:$H104+0,L$46:L$47+0))))/1000000</f>
        <v>70.548941872402906</v>
      </c>
      <c r="M61" s="2774">
        <f t="array" ref="M61">M$43*(M$50*((MMULT(GREET1_Import_Export!$C437:$D437+0,M$46:M$47+0))+(MMULT(GREET1_Import_Export!$G89:$H89+0,M$46:M$47+0)))+M$51*((MMULT(GREET1_Import_Export!$C437:$D437+0,M$46:M$47+0))+(MMULT(GREET1_Import_Export!$G104:$H104+0,M$46:M$47+0))))/1000000</f>
        <v>35.519449827021802</v>
      </c>
      <c r="N61" s="2774">
        <f t="array" ref="N61">N$43*(N$50*((MMULT(GREET1_Import_Export!$C437:$D437+0,N$46:N$47+0))+(MMULT(GREET1_Import_Export!$E89:$F89+0,N$46:N$47+0)))+N$51*((MMULT(GREET1_Import_Export!$C437:$D437+0,N$46:N$47+0))+(MMULT(GREET1_Import_Export!$E104:$F104+0,N$46:N$47+0))))/1000000</f>
        <v>21.014835480160254</v>
      </c>
      <c r="O61" s="2833">
        <f t="array" ref="O61">O$43*(O$50*((MMULT(GREET1_Import_Export!$C437:$D437+0,O$46:O$47+0))+(MMULT(GREET1_Import_Export!$G89:$H89+0,O$46:O$47+0)))+O$51*((MMULT(GREET1_Import_Export!$C437:$D437+0,O$46:O$47+0))+(MMULT(GREET1_Import_Export!$G104:$H104+0,O$46:O$47+0))))/1000000</f>
        <v>35.519449827021745</v>
      </c>
      <c r="P61" s="2833">
        <f t="array" ref="P61">P$43*(P$50*((MMULT(GREET1_Import_Export!$C437:$D437+0,P$46:P$47+0))+(MMULT(GREET1_Import_Export!$G89:$H89+0,P$46:P$47+0)))+P$51*((MMULT(GREET1_Import_Export!$C437:$D437+0,P$46:P$47+0))+(MMULT(GREET1_Import_Export!$G104:$H104+0,P$46:P$47+0))))/1000000</f>
        <v>265.22084464411392</v>
      </c>
      <c r="Q61" s="2833">
        <f t="array" ref="Q61">Q$43*(Q$50*((MMULT(GREET1_Import_Export!$C437:$D437+0,Q$46:Q$47+0))+(MMULT(GREET1_Import_Export!$G89:$H89+0,Q$46:Q$47+0)))+Q$51*((MMULT(GREET1_Import_Export!$C437:$D437+0,Q$46:Q$47+0))+(MMULT(GREET1_Import_Export!$G104:$H104+0,Q$46:Q$47+0))))/1000000</f>
        <v>265.22084464411392</v>
      </c>
      <c r="R61" s="2774">
        <f t="array" ref="R61">R$43*(R$50*((MMULT(GREET1_Import_Export!$B437:$D437+0,R$45:R$47+0))+(MMULT(GREET1_Import_Export!$B89:$D89+0,R$45:R$47+0)))+R$51*((MMULT(GREET1_Import_Export!$B437:$D437+0,R$45:R$47+0))+(MMULT(GREET1_Import_Export!$B104:$D104+0,R$45:R$47+0))))/1000000</f>
        <v>83.915644918027624</v>
      </c>
      <c r="S61" s="2775">
        <f t="array" ref="S61">S$43*(S$50*((MMULT(GREET1_Import_Export!$C437:$D437+0,S$46:S$47+0))+(MMULT(GREET1_Import_Export!$G89:$H89+0,S$46:S$47+0)))+S$51*((MMULT(GREET1_Import_Export!$C437:$D437+0,S$46:S$47+0))+(MMULT(GREET1_Import_Export!$G104:$H104+0,S$46:S$47+0))))/1000000</f>
        <v>207.71156529280131</v>
      </c>
      <c r="T61" s="2769">
        <f t="array" ref="T61">T$43*(T$50*((MMULT(GREET1_Import_Export!$B437:$D437+0,T$45:T$47+0))+(MMULT(GREET1_Import_Export!$B89:$D89+0,T$45:T$47+0)))+T$51*((MMULT(GREET1_Import_Export!$B437:$D437+0,T$45:T$47+0))+(MMULT(GREET1_Import_Export!$B104:$D104+0,T$45:T$47+0))))/1000000</f>
        <v>1.0411621282473076E-2</v>
      </c>
      <c r="U61" s="2774">
        <f t="array" ref="U61">U$43*(U$50*((MMULT(GREET1_Import_Export!$C437:$D437+0,U$46:U$47+0))+(MMULT(GREET1_Import_Export!$G89:$H89+0,U$46:U$47+0)))+U$51*((MMULT(GREET1_Import_Export!$C437:$D437+0,U$46:U$47+0))+(MMULT(GREET1_Import_Export!$G104:$H104+0,U$46:U$47+0))))/1000000</f>
        <v>0.12426742057047499</v>
      </c>
      <c r="V61" s="2775">
        <f t="array" ref="V61">V$43*(V$50*((MMULT(GREET1_Import_Export!$C437:$D437+0,V$46:V$47+0))+(MMULT(GREET1_Import_Export!$E89:$F89+0,V$46:V$47+0)))+V$51*((MMULT(GREET1_Import_Export!$C437:$D437+0,V$46:V$47+0))+(MMULT(GREET1_Import_Export!$E104:$F104+0,V$46:V$47+0))))/1000000</f>
        <v>1.6660147483242842E-2</v>
      </c>
      <c r="W61" s="2775">
        <f>W$43*(W$50*((GREET1_Import_Export!$C437*W$46)+(GREET1_Import_Export!$I89*W$46))+W$51*((GREET1_Import_Export!$C437*W$46)+(GREET1_Import_Export!$I89*W$46)))/1000000</f>
        <v>0.41775771765735881</v>
      </c>
      <c r="X61" s="749">
        <f t="array" ref="X61">X$43*(X$50*((MMULT(GREET1_Import_Export!$B437:$D437+0,X$45:X$47+0))+(MMULT(GREET1_Import_Export!$B89:$D89+0,X$45:X$47+0)))+X$51*((MMULT(GREET1_Import_Export!$B437:$D437+0,X$45:X$47+0))+(MMULT(GREET1_Import_Export!$B104:$D104+0,X$45:X$47+0))))/1000000</f>
        <v>95.962533507131354</v>
      </c>
      <c r="Y61" s="817">
        <f t="array" ref="Y61">Y$43*(Y$50*((MMULT(GREET1_Import_Export!$C437:$D437+0,Y$46:Y$47+0))+(MMULT(GREET1_Import_Export!$G89:$H89+0,Y$46:Y$47+0)))+Y$51*((MMULT(GREET1_Import_Export!$C437:$D437+0,Y$46:Y$47+0))+(MMULT(GREET1_Import_Export!$G104:$H104+0,Y$46:Y$47+0))))/1000000</f>
        <v>49.364137525521848</v>
      </c>
      <c r="Z61" s="749">
        <f t="array" ref="Z61">Z$43*(Z$50*((MMULT(GREET1_Import_Export!$B437:$D437+0,Z$45:Z$47+0))+(MMULT(GREET1_Import_Export!$B89:$D89+0,Z$45:Z$47+0)))+Z$51*((MMULT(GREET1_Import_Export!$B437:$D437+0,Z$45:Z$47+0))+(MMULT(GREET1_Import_Export!$B104:$D104+0,Z$45:Z$47+0))))/1000000</f>
        <v>192.83809636849722</v>
      </c>
      <c r="AA61" s="817">
        <f t="array" ref="AA61">AA$43*(AA$50*((MMULT(GREET1_Import_Export!$C437:$D437+0,AA$46:AA$47+0))+(MMULT(GREET1_Import_Export!$G89:$H89+0,AA$46:AA$47+0)))+AA$51*((MMULT(GREET1_Import_Export!$C437:$D437+0,AA$46:AA$47+0))+(MMULT(GREET1_Import_Export!$G104:$H104+0,AA$46:AA$47+0))))/1000000</f>
        <v>5.7134418432316956</v>
      </c>
      <c r="AB61" s="749" cm="1">
        <f t="array" ref="AB61">AB$43*(AB$50*((MMULT(GREET1_Import_Export!$B437:$D437+0,AB$45:AB$47+0))+(MMULT(GREET1_Import_Export!$B89:$D89+0,AB$45:AB$47+0)))+AB$51*((MMULT(GREET1_Import_Export!$B437:$D437+0,AB$45:AB$47+0))+(MMULT(GREET1_Import_Export!$B104:$D104+0,AB$45:AB$47+0))))/1000000</f>
        <v>0</v>
      </c>
      <c r="AC61" s="1463" cm="1">
        <f t="array" ref="AC61">AC$43*(AC$50*((MMULT(GREET1_Import_Export!$C437:$D437+0,AC$46:AC$47+0))+(MMULT(GREET1_Import_Export!$E89:$F89+0,AC$46:AC$47+0)))+AC$51*((MMULT(GREET1_Import_Export!$C437:$D437+0,AC$46:AC$47+0))+(MMULT(GREET1_Import_Export!$E104:$F104+0,AC$46:AC$47+0))))/1000000</f>
        <v>4.1650368708107104</v>
      </c>
      <c r="AD61" s="817" cm="1">
        <f t="array" ref="AD61">AD$43*(AD$50*((MMULT(GREET1_Import_Export!$C437:$D437+0,AD$46:AD$47+0))+(MMULT(GREET1_Import_Export!$G89:$H89+0,AD$46:AD$47+0)))+AD$51*((MMULT(GREET1_Import_Export!$C437:$D437+0,AD$46:AD$47+0))+(MMULT(GREET1_Import_Export!$G104:$H104+0,AD$46:AD$47+0))))/1000000</f>
        <v>25.710488294542625</v>
      </c>
      <c r="AE61" s="1463" cm="1">
        <f t="array" ref="AE61">AE$43*(AE$50*((MMULT(GREET1_Import_Export!$B437:$D437+0,AE$45:AE$47+0))+(MMULT(GREET1_Import_Export!$B89:$D89+0,AE$45:AE$47+0)))+AE$51*((MMULT(GREET1_Import_Export!$B437:$D437+0,AE$45:AE$47+0))+(MMULT(GREET1_Import_Export!$B104:$D104+0,AE$45:AE$47+0))))/1000000</f>
        <v>86.366280156418213</v>
      </c>
      <c r="AF61" s="1463" cm="1">
        <f t="array" ref="AF61">AF$43*(AF$50*((MMULT(GREET1_Import_Export!$C437:$D437+0,AF$46:AF$47+0))+(MMULT(GREET1_Import_Export!$E89:$F89+0,AF$46:AF$47+0)))+AF$51*((MMULT(GREET1_Import_Export!$C437:$D437+0,AF$46:AF$47+0))+(MMULT(GREET1_Import_Export!$E104:$F104+0,AF$46:AF$47+0))))/1000000</f>
        <v>0</v>
      </c>
      <c r="AG61" s="817" cm="1">
        <f t="array" ref="AG61">AG$43*(AG$50*((MMULT(GREET1_Import_Export!$C437:$D437+0,AG$46:AG$47+0))+(MMULT(GREET1_Import_Export!$G89:$H89+0,AG$46:AG$47+0)))+AG$51*((MMULT(GREET1_Import_Export!$C437:$D437+0,AG$46:AG$47+0))+(MMULT(GREET1_Import_Export!$G104:$H104+0,AG$46:AG$47+0))))/1000000</f>
        <v>17.140325529695087</v>
      </c>
      <c r="AH61" s="1463" cm="1">
        <f t="array" ref="AH61">AH$43*(AH$50*((MMULT(GREET1_Import_Export!$B437:$D437+0,AH$45:AH$47+0))+(MMULT(GREET1_Import_Export!$B89:$D89+0,AH$45:AH$47+0)))+AH$51*((MMULT(GREET1_Import_Export!$B437:$D437+0,AH$45:AH$47+0))+(MMULT(GREET1_Import_Export!$B104:$D104+0,AH$45:AH$47+0))))/1000000</f>
        <v>0</v>
      </c>
      <c r="AI61" s="817" cm="1">
        <f t="array" ref="AI61">AI$43*(AI$50*((MMULT(GREET1_Import_Export!$C437:$D437+0,AI$46:AI$47+0))+(MMULT(GREET1_Import_Export!$G89:$H89+0,AI$46:AI$47+0)))+AI$51*((MMULT(GREET1_Import_Export!$C437:$D437+0,AI$46:AI$47+0))+(MMULT(GREET1_Import_Export!$G104:$H104+0,AI$46:AI$47+0))))/1000000</f>
        <v>17.140325529695087</v>
      </c>
      <c r="AJ61" s="1463" cm="1">
        <f t="array" ref="AJ61">AJ$43*(AJ$50*((MMULT(GREET1_Import_Export!$B437:$D437+0,AJ$45:AJ$47+0))+(MMULT(GREET1_Import_Export!$B89:$D89+0,AJ$45:AJ$47+0)))+AJ$51*((MMULT(GREET1_Import_Export!$B437:$D437+0,AJ$45:AJ$47+0))+(MMULT(GREET1_Import_Export!$B104:$D104+0,AJ$45:AJ$47+0))))/1000000</f>
        <v>0</v>
      </c>
      <c r="AK61" s="817" cm="1">
        <f t="array" ref="AK61">AK$43*(AK$50*((MMULT(GREET1_Import_Export!$C437:$D437+0,AK$46:AK$47+0))+(MMULT(GREET1_Import_Export!$G89:$H89+0,AK$46:AK$47+0)))+AK$51*((MMULT(GREET1_Import_Export!$C437:$D437+0,AK$46:AK$47+0))+(MMULT(GREET1_Import_Export!$G104:$H104+0,AK$46:AK$47+0))))/1000000</f>
        <v>17.140325529695087</v>
      </c>
      <c r="AM61" s="38"/>
      <c r="AN61" s="38"/>
      <c r="AO61" s="38"/>
    </row>
    <row r="62" spans="1:41">
      <c r="A62" s="29" t="s">
        <v>2268</v>
      </c>
      <c r="B62" s="2829">
        <f t="array" ref="B62">B$43*(B$50*((MMULT(GREET1_Import_Export!$C438:$D438+0,B$46:B$47+0))+(MMULT(GREET1_Import_Export!$G90:$H90+0,B$46:B$47+0)))+B$51*((MMULT(GREET1_Import_Export!$C438:$D438+0,B$46:B$47+0))+(MMULT(GREET1_Import_Export!$G105:$H105+0,B$46:B$47+0))))/1000000</f>
        <v>31.169621998423796</v>
      </c>
      <c r="C62" s="2830">
        <f t="array" ref="C62">C$43*(C$50*((MMULT(GREET1_Import_Export!$C438:$D438+0,C$46:C$47+0))+(MMULT(GREET1_Import_Export!$G90:$H90+0,C$46:C$47+0)))+C$51*((MMULT(GREET1_Import_Export!$C438:$D438+0,C$46:C$47+0))+(MMULT(GREET1_Import_Export!$G105:$H105+0,C$46:C$47+0))))/1000000</f>
        <v>31.169621998423796</v>
      </c>
      <c r="D62" s="2830">
        <f t="array" ref="D62">D$43*(D$50*((MMULT(GREET1_Import_Export!$C438:$D438+0,D$46:D$47+0))+(MMULT(GREET1_Import_Export!$E90:$F90+0,D$46:D$47+0)))+D$51*((MMULT(GREET1_Import_Export!$C438:$D438+0,D$46:D$47+0))+(MMULT(GREET1_Import_Export!$E105:$F105+0,D$46:D$47+0))))/1000000</f>
        <v>331.91091117753922</v>
      </c>
      <c r="E62" s="2829">
        <f t="array" ref="E62">E$43*(E$50*((MMULT(GREET1_Import_Export!$C438:$D438+0,E$46:E$47+0))+(MMULT(GREET1_Import_Export!$G90:$H90+0,E$46:E$47+0)))+E$51*((MMULT(GREET1_Import_Export!$C438:$D438+0,E$46:E$47+0))+(MMULT(GREET1_Import_Export!$G105:$H105+0,E$46:E$47+0))))/1000000</f>
        <v>84.157979395744263</v>
      </c>
      <c r="F62" s="2830">
        <f t="array" ref="F62">F$43*(F$50*((MMULT(GREET1_Import_Export!$C438:$D438+0,F$46:F$47+0))+(MMULT(GREET1_Import_Export!$G90:$H90+0,F$46:F$47+0)))+F$51*((MMULT(GREET1_Import_Export!$C438:$D438+0,F$46:F$47+0))+(MMULT(GREET1_Import_Export!$G105:$H105+0,F$46:F$47+0))))/1000000</f>
        <v>3.3663191758297706</v>
      </c>
      <c r="G62" s="2829">
        <f t="array" ref="G62">G$43*(G$50*((MMULT(GREET1_Import_Export!$C438:$D438+0,G$46:G$47+0))+(MMULT(GREET1_Import_Export!$G90:$H90+0,G$46:G$47+0)))+G$51*((MMULT(GREET1_Import_Export!$C438:$D438+0,G$46:G$47+0))+(MMULT(GREET1_Import_Export!$G105:$H105+0,G$46:G$47+0))))/1000000</f>
        <v>22.442127838865137</v>
      </c>
      <c r="H62" s="2831">
        <f t="array" ref="H62">H$43*(H$50*((MMULT(GREET1_Import_Export!$B438:$D438+0,H$45:H$47+0))+(MMULT(GREET1_Import_Export!$B90:$D90+0,H$45:H$47+0)))+H$51*((MMULT(GREET1_Import_Export!$B438:$D438+0,H$45:H$47+0))+(MMULT(GREET1_Import_Export!$B105:$D105+0,H$45:H$47+0))))/1000000</f>
        <v>1058.5434621333536</v>
      </c>
      <c r="I62" s="2832">
        <f t="array" ref="I62">I$43*(I$50*((MMULT(GREET1_Import_Export!$C438:$D438+0,I$46:I$47+0))+(MMULT(GREET1_Import_Export!$G90:$H90+0,I$46:I$47+0)))+I$51*((MMULT(GREET1_Import_Export!$C438:$D438+0,I$46:I$47+0))+(MMULT(GREET1_Import_Export!$G105:$H105+0,I$46:I$47+0))))/1000000</f>
        <v>132.47089349330113</v>
      </c>
      <c r="J62" s="2830">
        <f t="array" ref="J62">J$43*(J$50*((MMULT(GREET1_Import_Export!$B438:$D438+0,J$45:J$47+0))+(MMULT(GREET1_Import_Export!$B90:$D90+0,J$45:J$47+0)))+J$51*((MMULT(GREET1_Import_Export!$B438:$D438+0,J$45:J$47+0))+(MMULT(GREET1_Import_Export!$B105:$D105+0,J$45:J$47+0))))/1000000</f>
        <v>2058.3839028454631</v>
      </c>
      <c r="K62" s="2832">
        <f t="array" ref="K62">K$43*(K$50*((MMULT(GREET1_Import_Export!$C438:$D438+0,K$46:K$47+0))+(MMULT(GREET1_Import_Export!$G90:$H90+0,K$46:K$47+0)))+K$51*((MMULT(GREET1_Import_Export!$C438:$D438+0,K$46:K$47+0))+(MMULT(GREET1_Import_Export!$G105:$H105+0,K$46:K$47+0))))/1000000</f>
        <v>3.8962027498029745</v>
      </c>
      <c r="L62" s="2833">
        <f t="array" ref="L62">L$43*(L$50*((MMULT(GREET1_Import_Export!$C438:$D438+0,L$46:L$47+0))+(MMULT(GREET1_Import_Export!$G90:$H90+0,L$46:L$47+0)))+L$51*((MMULT(GREET1_Import_Export!$C438:$D438+0,L$46:L$47+0))+(MMULT(GREET1_Import_Export!$G105:$H105+0,L$46:L$47+0))))/1000000</f>
        <v>48.109876473945171</v>
      </c>
      <c r="M62" s="2774">
        <f t="array" ref="M62">M$43*(M$50*((MMULT(GREET1_Import_Export!$C438:$D438+0,M$46:M$47+0))+(MMULT(GREET1_Import_Export!$G90:$H90+0,M$46:M$47+0)))+M$51*((MMULT(GREET1_Import_Export!$C438:$D438+0,M$46:M$47+0))+(MMULT(GREET1_Import_Export!$G105:$H105+0,M$46:M$47+0))))/1000000</f>
        <v>24.42908825474586</v>
      </c>
      <c r="N62" s="2774">
        <f t="array" ref="N62">N$43*(N$50*((MMULT(GREET1_Import_Export!$C438:$D438+0,N$46:N$47+0))+(MMULT(GREET1_Import_Export!$E90:$F90+0,N$46:N$47+0)))+N$51*((MMULT(GREET1_Import_Export!$C438:$D438+0,N$46:N$47+0))+(MMULT(GREET1_Import_Export!$E105:$F105+0,N$46:N$47+0))))/1000000</f>
        <v>149.5239119813516</v>
      </c>
      <c r="O62" s="2833">
        <f t="array" ref="O62">O$43*(O$50*((MMULT(GREET1_Import_Export!$C438:$D438+0,O$46:O$47+0))+(MMULT(GREET1_Import_Export!$G90:$H90+0,O$46:O$47+0)))+O$51*((MMULT(GREET1_Import_Export!$C438:$D438+0,O$46:O$47+0))+(MMULT(GREET1_Import_Export!$G105:$H105+0,O$46:O$47+0))))/1000000</f>
        <v>24.429088254745825</v>
      </c>
      <c r="P62" s="2833">
        <f t="array" ref="P62">P$43*(P$50*((MMULT(GREET1_Import_Export!$C438:$D438+0,P$46:P$47+0))+(MMULT(GREET1_Import_Export!$G90:$H90+0,P$46:P$47+0)))+P$51*((MMULT(GREET1_Import_Export!$C438:$D438+0,P$46:P$47+0))+(MMULT(GREET1_Import_Export!$G105:$H105+0,P$46:P$47+0))))/1000000</f>
        <v>182.41001626889653</v>
      </c>
      <c r="Q62" s="2833">
        <f t="array" ref="Q62">Q$43*(Q$50*((MMULT(GREET1_Import_Export!$C438:$D438+0,Q$46:Q$47+0))+(MMULT(GREET1_Import_Export!$G90:$H90+0,Q$46:Q$47+0)))+Q$51*((MMULT(GREET1_Import_Export!$C438:$D438+0,Q$46:Q$47+0))+(MMULT(GREET1_Import_Export!$G105:$H105+0,Q$46:Q$47+0))))/1000000</f>
        <v>182.41001626889653</v>
      </c>
      <c r="R62" s="2774">
        <f t="array" ref="R62">R$43*(R$50*((MMULT(GREET1_Import_Export!$B438:$D438+0,R$45:R$47+0))+(MMULT(GREET1_Import_Export!$B90:$D90+0,R$45:R$47+0)))+R$51*((MMULT(GREET1_Import_Export!$B438:$D438+0,R$45:R$47+0))+(MMULT(GREET1_Import_Export!$B105:$D105+0,R$45:R$47+0))))/1000000</f>
        <v>907.50651967893043</v>
      </c>
      <c r="S62" s="2775">
        <f t="array" ref="S62">S$43*(S$50*((MMULT(GREET1_Import_Export!$C438:$D438+0,S$46:S$47+0))+(MMULT(GREET1_Import_Export!$G90:$H90+0,S$46:S$47+0)))+S$51*((MMULT(GREET1_Import_Export!$C438:$D438+0,S$46:S$47+0))+(MMULT(GREET1_Import_Export!$G105:$H105+0,S$46:S$47+0))))/1000000</f>
        <v>142.85705957666596</v>
      </c>
      <c r="T62" s="2769">
        <f t="array" ref="T62">T$43*(T$50*((MMULT(GREET1_Import_Export!$B438:$D438+0,T$45:T$47+0))+(MMULT(GREET1_Import_Export!$B90:$D90+0,T$45:T$47+0)))+T$51*((MMULT(GREET1_Import_Export!$B438:$D438+0,T$45:T$47+0))+(MMULT(GREET1_Import_Export!$B105:$D105+0,T$45:T$47+0))))/1000000</f>
        <v>0.1125965748520676</v>
      </c>
      <c r="U62" s="2774">
        <f t="array" ref="U62">U$43*(U$50*((MMULT(GREET1_Import_Export!$C438:$D438+0,U$46:U$47+0))+(MMULT(GREET1_Import_Export!$G90:$H90+0,U$46:U$47+0)))+U$51*((MMULT(GREET1_Import_Export!$C438:$D438+0,U$46:U$47+0))+(MMULT(GREET1_Import_Export!$G105:$H105+0,U$46:U$47+0))))/1000000</f>
        <v>8.5466970887490598E-2</v>
      </c>
      <c r="V62" s="2775">
        <f t="array" ref="V62">V$43*(V$50*((MMULT(GREET1_Import_Export!$C438:$D438+0,V$46:V$47+0))+(MMULT(GREET1_Import_Export!$E90:$F90+0,V$46:V$47+0)))+V$51*((MMULT(GREET1_Import_Export!$C438:$D438+0,V$46:V$47+0))+(MMULT(GREET1_Import_Export!$E105:$F105+0,V$46:V$47+0))))/1000000</f>
        <v>0.11853961113483545</v>
      </c>
      <c r="W62" s="2775">
        <f>W$43*(W$50*((GREET1_Import_Export!$C438*W$46)+(GREET1_Import_Export!$I90*W$46))+W$51*((GREET1_Import_Export!$C438*W$46)+(GREET1_Import_Export!$I90*W$46)))/1000000</f>
        <v>0.3118664502086505</v>
      </c>
      <c r="X62" s="753">
        <f t="array" ref="X62">X$43*(X$50*((MMULT(GREET1_Import_Export!$B438:$D438+0,X$45:X$47+0))+(MMULT(GREET1_Import_Export!$B90:$D90+0,X$45:X$47+0)))+X$51*((MMULT(GREET1_Import_Export!$B438:$D438+0,X$45:X$47+0))+(MMULT(GREET1_Import_Export!$B105:$D105+0,X$45:X$47+0))))/1000000</f>
        <v>1037.7877079738762</v>
      </c>
      <c r="Y62" s="1082">
        <f t="array" ref="Y62">Y$43*(Y$50*((MMULT(GREET1_Import_Export!$C438:$D438+0,Y$46:Y$47+0))+(MMULT(GREET1_Import_Export!$G90:$H90+0,Y$46:Y$47+0)))+Y$51*((MMULT(GREET1_Import_Export!$C438:$D438+0,Y$46:Y$47+0))+(MMULT(GREET1_Import_Export!$G105:$H105+0,Y$46:Y$47+0))))/1000000</f>
        <v>33.663191758297707</v>
      </c>
      <c r="Z62" s="749">
        <f t="array" ref="Z62">Z$43*(Z$50*((MMULT(GREET1_Import_Export!$B438:$D438+0,Z$45:Z$47+0))+(MMULT(GREET1_Import_Export!$B90:$D90+0,Z$45:Z$47+0)))+Z$51*((MMULT(GREET1_Import_Export!$B438:$D438+0,Z$45:Z$47+0))+(MMULT(GREET1_Import_Export!$B105:$D105+0,Z$45:Z$47+0))))/1000000</f>
        <v>2085.4493803608893</v>
      </c>
      <c r="AA62" s="817">
        <f t="array" ref="AA62">AA$43*(AA$50*((MMULT(GREET1_Import_Export!$C438:$D438+0,AA$46:AA$47+0))+(MMULT(GREET1_Import_Export!$G90:$H90+0,AA$46:AA$47+0)))+AA$51*((MMULT(GREET1_Import_Export!$C438:$D438+0,AA$46:AA$47+0))+(MMULT(GREET1_Import_Export!$G105:$H105+0,AA$46:AA$47+0))))/1000000</f>
        <v>3.8962027498029745</v>
      </c>
      <c r="AB62" s="749" cm="1">
        <f t="array" ref="AB62">AB$43*(AB$50*((MMULT(GREET1_Import_Export!$B438:$D438+0,AB$45:AB$47+0))+(MMULT(GREET1_Import_Export!$B90:$D90+0,AB$45:AB$47+0)))+AB$51*((MMULT(GREET1_Import_Export!$B438:$D438+0,AB$45:AB$47+0))+(MMULT(GREET1_Import_Export!$B105:$D105+0,AB$45:AB$47+0))))/1000000</f>
        <v>0</v>
      </c>
      <c r="AC62" s="1463" cm="1">
        <f t="array" ref="AC62">AC$43*(AC$50*((MMULT(GREET1_Import_Export!$C438:$D438+0,AC$46:AC$47+0))+(MMULT(GREET1_Import_Export!$E90:$F90+0,AC$46:AC$47+0)))+AC$51*((MMULT(GREET1_Import_Export!$C438:$D438+0,AC$46:AC$47+0))+(MMULT(GREET1_Import_Export!$E105:$F105+0,AC$46:AC$47+0))))/1000000</f>
        <v>29.634902783708863</v>
      </c>
      <c r="AD62" s="817" cm="1">
        <f t="array" ref="AD62">AD$43*(AD$50*((MMULT(GREET1_Import_Export!$C438:$D438+0,AD$46:AD$47+0))+(MMULT(GREET1_Import_Export!$G90:$H90+0,AD$46:AD$47+0)))+AD$51*((MMULT(GREET1_Import_Export!$C438:$D438+0,AD$46:AD$47+0))+(MMULT(GREET1_Import_Export!$G105:$H105+0,AD$46:AD$47+0))))/1000000</f>
        <v>17.532912374113387</v>
      </c>
      <c r="AE62" s="1463" cm="1">
        <f t="array" ref="AE62">AE$43*(AE$50*((MMULT(GREET1_Import_Export!$B438:$D438+0,AE$45:AE$47+0))+(MMULT(GREET1_Import_Export!$B90:$D90+0,AE$45:AE$47+0)))+AE$51*((MMULT(GREET1_Import_Export!$B438:$D438+0,AE$45:AE$47+0))+(MMULT(GREET1_Import_Export!$B105:$D105+0,AE$45:AE$47+0))))/1000000</f>
        <v>934.00893717648853</v>
      </c>
      <c r="AF62" s="1463" cm="1">
        <f t="array" ref="AF62">AF$43*(AF$50*((MMULT(GREET1_Import_Export!$C438:$D438+0,AF$46:AF$47+0))+(MMULT(GREET1_Import_Export!$E90:$F90+0,AF$46:AF$47+0)))+AF$51*((MMULT(GREET1_Import_Export!$C438:$D438+0,AF$46:AF$47+0))+(MMULT(GREET1_Import_Export!$E105:$F105+0,AF$46:AF$47+0))))/1000000</f>
        <v>0</v>
      </c>
      <c r="AG62" s="817" cm="1">
        <f t="array" ref="AG62">AG$43*(AG$50*((MMULT(GREET1_Import_Export!$C438:$D438+0,AG$46:AG$47+0))+(MMULT(GREET1_Import_Export!$G90:$H90+0,AG$46:AG$47+0)))+AG$51*((MMULT(GREET1_Import_Export!$C438:$D438+0,AG$46:AG$47+0))+(MMULT(GREET1_Import_Export!$G105:$H105+0,AG$46:AG$47+0))))/1000000</f>
        <v>11.688608249408922</v>
      </c>
      <c r="AH62" s="1463" cm="1">
        <f t="array" ref="AH62">AH$43*(AH$50*((MMULT(GREET1_Import_Export!$B438:$D438+0,AH$45:AH$47+0))+(MMULT(GREET1_Import_Export!$B90:$D90+0,AH$45:AH$47+0)))+AH$51*((MMULT(GREET1_Import_Export!$B438:$D438+0,AH$45:AH$47+0))+(MMULT(GREET1_Import_Export!$B105:$D105+0,AH$45:AH$47+0))))/1000000</f>
        <v>0</v>
      </c>
      <c r="AI62" s="817" cm="1">
        <f t="array" ref="AI62">AI$43*(AI$50*((MMULT(GREET1_Import_Export!$C438:$D438+0,AI$46:AI$47+0))+(MMULT(GREET1_Import_Export!$G90:$H90+0,AI$46:AI$47+0)))+AI$51*((MMULT(GREET1_Import_Export!$C438:$D438+0,AI$46:AI$47+0))+(MMULT(GREET1_Import_Export!$G105:$H105+0,AI$46:AI$47+0))))/1000000</f>
        <v>11.688608249408922</v>
      </c>
      <c r="AJ62" s="1463" cm="1">
        <f t="array" ref="AJ62">AJ$43*(AJ$50*((MMULT(GREET1_Import_Export!$B438:$D438+0,AJ$45:AJ$47+0))+(MMULT(GREET1_Import_Export!$B90:$D90+0,AJ$45:AJ$47+0)))+AJ$51*((MMULT(GREET1_Import_Export!$B438:$D438+0,AJ$45:AJ$47+0))+(MMULT(GREET1_Import_Export!$B105:$D105+0,AJ$45:AJ$47+0))))/1000000</f>
        <v>0</v>
      </c>
      <c r="AK62" s="817" cm="1">
        <f t="array" ref="AK62">AK$43*(AK$50*((MMULT(GREET1_Import_Export!$C438:$D438+0,AK$46:AK$47+0))+(MMULT(GREET1_Import_Export!$G90:$H90+0,AK$46:AK$47+0)))+AK$51*((MMULT(GREET1_Import_Export!$C438:$D438+0,AK$46:AK$47+0))+(MMULT(GREET1_Import_Export!$G105:$H105+0,AK$46:AK$47+0))))/1000000</f>
        <v>11.688608249408922</v>
      </c>
      <c r="AM62" s="38"/>
      <c r="AN62" s="38"/>
      <c r="AO62" s="38"/>
    </row>
    <row r="63" spans="1:41">
      <c r="A63" s="29" t="s">
        <v>2269</v>
      </c>
      <c r="B63" s="2829">
        <f t="array" ref="B63">B$43*(B$50*((MMULT(GREET1_Import_Export!$C439:$D439+0,B$46:B$47+0))+(MMULT(GREET1_Import_Export!$G91:$H91+0,B$46:B$47+0)))+B$51*((MMULT(GREET1_Import_Export!$C439:$D439+0,B$46:B$47+0))+(MMULT(GREET1_Import_Export!$G106:$H106+0,B$46:B$47+0))))/1000000</f>
        <v>1.7523339859794316</v>
      </c>
      <c r="C63" s="2830">
        <f t="array" ref="C63">C$43*(C$50*((MMULT(GREET1_Import_Export!$C439:$D439+0,C$46:C$47+0))+(MMULT(GREET1_Import_Export!$G91:$H91+0,C$46:C$47+0)))+C$51*((MMULT(GREET1_Import_Export!$C439:$D439+0,C$46:C$47+0))+(MMULT(GREET1_Import_Export!$G106:$H106+0,C$46:C$47+0))))/1000000</f>
        <v>1.7523339859794316</v>
      </c>
      <c r="D63" s="2830">
        <f t="array" ref="D63">D$43*(D$50*((MMULT(GREET1_Import_Export!$C439:$D439+0,D$46:D$47+0))+(MMULT(GREET1_Import_Export!$E91:$F91+0,D$46:D$47+0)))+D$51*((MMULT(GREET1_Import_Export!$C439:$D439+0,D$46:D$47+0))+(MMULT(GREET1_Import_Export!$E106:$F106+0,D$46:D$47+0))))/1000000</f>
        <v>6.234432094676654</v>
      </c>
      <c r="E63" s="2829">
        <f t="array" ref="E63">E$43*(E$50*((MMULT(GREET1_Import_Export!$C439:$D439+0,E$46:E$47+0))+(MMULT(GREET1_Import_Export!$G91:$H91+0,E$46:E$47+0)))+E$51*((MMULT(GREET1_Import_Export!$C439:$D439+0,E$46:E$47+0))+(MMULT(GREET1_Import_Export!$G106:$H106+0,E$46:E$47+0))))/1000000</f>
        <v>4.7313017621444651</v>
      </c>
      <c r="F63" s="2830">
        <f t="array" ref="F63">F$43*(F$50*((MMULT(GREET1_Import_Export!$C439:$D439+0,F$46:F$47+0))+(MMULT(GREET1_Import_Export!$G91:$H91+0,F$46:F$47+0)))+F$51*((MMULT(GREET1_Import_Export!$C439:$D439+0,F$46:F$47+0))+(MMULT(GREET1_Import_Export!$G106:$H106+0,F$46:F$47+0))))/1000000</f>
        <v>0.18925207048577861</v>
      </c>
      <c r="G63" s="2829">
        <f t="array" ref="G63">G$43*(G$50*((MMULT(GREET1_Import_Export!$C439:$D439+0,G$46:G$47+0))+(MMULT(GREET1_Import_Export!$G91:$H91+0,G$46:G$47+0)))+G$51*((MMULT(GREET1_Import_Export!$C439:$D439+0,G$46:G$47+0))+(MMULT(GREET1_Import_Export!$G106:$H106+0,G$46:G$47+0))))/1000000</f>
        <v>1.2616804699051907</v>
      </c>
      <c r="H63" s="2831">
        <f t="array" ref="H63">H$43*(H$50*((MMULT(GREET1_Import_Export!$B439:$D439+0,H$45:H$47+0))+(MMULT(GREET1_Import_Export!$B91:$D91+0,H$45:H$47+0)))+H$51*((MMULT(GREET1_Import_Export!$B439:$D439+0,H$45:H$47+0))+(MMULT(GREET1_Import_Export!$B106:$D106+0,H$45:H$47+0))))/1000000</f>
        <v>93.166841230250427</v>
      </c>
      <c r="I63" s="2832">
        <f t="array" ref="I63">I$43*(I$50*((MMULT(GREET1_Import_Export!$C439:$D439+0,I$46:I$47+0))+(MMULT(GREET1_Import_Export!$G91:$H91+0,I$46:I$47+0)))+I$51*((MMULT(GREET1_Import_Export!$C439:$D439+0,I$46:I$47+0))+(MMULT(GREET1_Import_Export!$G106:$H106+0,I$46:I$47+0))))/1000000</f>
        <v>7.4474194404125846</v>
      </c>
      <c r="J63" s="2830">
        <f t="array" ref="J63">J$43*(J$50*((MMULT(GREET1_Import_Export!$B439:$D439+0,J$45:J$47+0))+(MMULT(GREET1_Import_Export!$B91:$D91+0,J$45:J$47+0)))+J$51*((MMULT(GREET1_Import_Export!$B439:$D439+0,J$45:J$47+0))+(MMULT(GREET1_Import_Export!$B106:$D106+0,J$45:J$47+0))))/1000000</f>
        <v>181.16698381076699</v>
      </c>
      <c r="K63" s="2832">
        <f t="array" ref="K63">K$43*(K$50*((MMULT(GREET1_Import_Export!$C439:$D439+0,K$46:K$47+0))+(MMULT(GREET1_Import_Export!$G91:$H91+0,K$46:K$47+0)))+K$51*((MMULT(GREET1_Import_Export!$C439:$D439+0,K$46:K$47+0))+(MMULT(GREET1_Import_Export!$G106:$H106+0,K$46:K$47+0))))/1000000</f>
        <v>0.21904174824742895</v>
      </c>
      <c r="L63" s="2833">
        <f t="array" ref="L63">L$43*(L$50*((MMULT(GREET1_Import_Export!$C439:$D439+0,L$46:L$47+0))+(MMULT(GREET1_Import_Export!$G91:$H91+0,L$46:L$47+0)))+L$51*((MMULT(GREET1_Import_Export!$C439:$D439+0,L$46:L$47+0))+(MMULT(GREET1_Import_Export!$G106:$H106+0,L$46:L$47+0))))/1000000</f>
        <v>2.7047030474360443</v>
      </c>
      <c r="M63" s="2774">
        <f t="array" ref="M63">M$43*(M$50*((MMULT(GREET1_Import_Export!$C439:$D439+0,M$46:M$47+0))+(MMULT(GREET1_Import_Export!$G91:$H91+0,M$46:M$47+0)))+M$51*((MMULT(GREET1_Import_Export!$C439:$D439+0,M$46:M$47+0))+(MMULT(GREET1_Import_Export!$G106:$H106+0,M$46:M$47+0))))/1000000</f>
        <v>1.3796848769305858</v>
      </c>
      <c r="N63" s="2774">
        <f t="array" ref="N63">N$43*(N$50*((MMULT(GREET1_Import_Export!$C439:$D439+0,N$46:N$47+0))+(MMULT(GREET1_Import_Export!$E91:$F91+0,N$46:N$47+0)))+N$51*((MMULT(GREET1_Import_Export!$C439:$D439+0,N$46:N$47+0))+(MMULT(GREET1_Import_Export!$E106:$F106+0,N$46:N$47+0))))/1000000</f>
        <v>2.8085749651041549</v>
      </c>
      <c r="O63" s="2833">
        <f t="array" ref="O63">O$43*(O$50*((MMULT(GREET1_Import_Export!$C439:$D439+0,O$46:O$47+0))+(MMULT(GREET1_Import_Export!$G91:$H91+0,O$46:O$47+0)))+O$51*((MMULT(GREET1_Import_Export!$C439:$D439+0,O$46:O$47+0))+(MMULT(GREET1_Import_Export!$G106:$H106+0,O$46:O$47+0))))/1000000</f>
        <v>1.3796848769305838</v>
      </c>
      <c r="P63" s="2833">
        <f t="array" ref="P63">P$43*(P$50*((MMULT(GREET1_Import_Export!$C439:$D439+0,P$46:P$47+0))+(MMULT(GREET1_Import_Export!$G91:$H91+0,P$46:P$47+0)))+P$51*((MMULT(GREET1_Import_Export!$C439:$D439+0,P$46:P$47+0))+(MMULT(GREET1_Import_Export!$G106:$H106+0,P$46:P$47+0))))/1000000</f>
        <v>10.30199482774257</v>
      </c>
      <c r="Q63" s="2833">
        <f t="array" ref="Q63">Q$43*(Q$50*((MMULT(GREET1_Import_Export!$C439:$D439+0,Q$46:Q$47+0))+(MMULT(GREET1_Import_Export!$G91:$H91+0,Q$46:Q$47+0)))+Q$51*((MMULT(GREET1_Import_Export!$C439:$D439+0,Q$46:Q$47+0))+(MMULT(GREET1_Import_Export!$G106:$H106+0,Q$46:Q$47+0))))/1000000</f>
        <v>10.30199482774257</v>
      </c>
      <c r="R63" s="2774">
        <f t="array" ref="R63">R$43*(R$50*((MMULT(GREET1_Import_Export!$B439:$D439+0,R$45:R$47+0))+(MMULT(GREET1_Import_Export!$B91:$D91+0,R$45:R$47+0)))+R$51*((MMULT(GREET1_Import_Export!$B439:$D439+0,R$45:R$47+0))+(MMULT(GREET1_Import_Export!$B106:$D106+0,R$45:R$47+0))))/1000000</f>
        <v>79.873447674926595</v>
      </c>
      <c r="S63" s="2775">
        <f t="array" ref="S63">S$43*(S$50*((MMULT(GREET1_Import_Export!$C439:$D439+0,S$46:S$47+0))+(MMULT(GREET1_Import_Export!$G91:$H91+0,S$46:S$47+0)))+S$51*((MMULT(GREET1_Import_Export!$C439:$D439+0,S$46:S$47+0))+(MMULT(GREET1_Import_Export!$G106:$H106+0,S$46:S$47+0))))/1000000</f>
        <v>8.0681572150940752</v>
      </c>
      <c r="T63" s="2769">
        <f t="array" ref="T63">T$43*(T$50*((MMULT(GREET1_Import_Export!$B439:$D439+0,T$45:T$47+0))+(MMULT(GREET1_Import_Export!$B91:$D91+0,T$45:T$47+0)))+T$51*((MMULT(GREET1_Import_Export!$B439:$D439+0,T$45:T$47+0))+(MMULT(GREET1_Import_Export!$B106:$D106+0,T$45:T$47+0))))/1000000</f>
        <v>9.9100958889027108E-3</v>
      </c>
      <c r="U63" s="2774">
        <f t="array" ref="U63">U$43*(U$50*((MMULT(GREET1_Import_Export!$C439:$D439+0,U$46:U$47+0))+(MMULT(GREET1_Import_Export!$G91:$H91+0,U$46:U$47+0)))+U$51*((MMULT(GREET1_Import_Export!$C439:$D439+0,U$46:U$47+0))+(MMULT(GREET1_Import_Export!$G106:$H106+0,U$46:U$47+0))))/1000000</f>
        <v>4.8269295186499431E-3</v>
      </c>
      <c r="V63" s="2775">
        <f t="array" ref="V63">V$43*(V$50*((MMULT(GREET1_Import_Export!$C439:$D439+0,V$46:V$47+0))+(MMULT(GREET1_Import_Export!$E91:$F91+0,V$46:V$47+0)))+V$51*((MMULT(GREET1_Import_Export!$C439:$D439+0,V$46:V$47+0))+(MMULT(GREET1_Import_Export!$E106:$F106+0,V$46:V$47+0))))/1000000</f>
        <v>2.2265828909559479E-3</v>
      </c>
      <c r="W63" s="2775">
        <f>W$43*(W$50*((GREET1_Import_Export!$C439*W$46)+(GREET1_Import_Export!$I91*W$46))+W$51*((GREET1_Import_Export!$C439*W$46)+(GREET1_Import_Export!$I91*W$46)))/1000000</f>
        <v>1.8440396694999184E-2</v>
      </c>
      <c r="X63" s="753">
        <f t="array" ref="X63">X$43*(X$50*((MMULT(GREET1_Import_Export!$B439:$D439+0,X$45:X$47+0))+(MMULT(GREET1_Import_Export!$B91:$D91+0,X$45:X$47+0)))+X$51*((MMULT(GREET1_Import_Export!$B439:$D439+0,X$45:X$47+0))+(MMULT(GREET1_Import_Export!$B106:$D106+0,X$45:X$47+0))))/1000000</f>
        <v>91.340040421814152</v>
      </c>
      <c r="Y63" s="1082">
        <f t="array" ref="Y63">Y$43*(Y$50*((MMULT(GREET1_Import_Export!$C439:$D439+0,Y$46:Y$47+0))+(MMULT(GREET1_Import_Export!$G91:$H91+0,Y$46:Y$47+0)))+Y$51*((MMULT(GREET1_Import_Export!$C439:$D439+0,Y$46:Y$47+0))+(MMULT(GREET1_Import_Export!$G106:$H106+0,Y$46:Y$47+0))))/1000000</f>
        <v>1.8925207048577859</v>
      </c>
      <c r="Z63" s="749">
        <f t="array" ref="Z63">Z$43*(Z$50*((MMULT(GREET1_Import_Export!$B439:$D439+0,Z$45:Z$47+0))+(MMULT(GREET1_Import_Export!$B91:$D91+0,Z$45:Z$47+0)))+Z$51*((MMULT(GREET1_Import_Export!$B439:$D439+0,Z$45:Z$47+0))+(MMULT(GREET1_Import_Export!$B106:$D106+0,Z$45:Z$47+0))))/1000000</f>
        <v>183.54912978464952</v>
      </c>
      <c r="AA63" s="817">
        <f t="array" ref="AA63">AA$43*(AA$50*((MMULT(GREET1_Import_Export!$C439:$D439+0,AA$46:AA$47+0))+(MMULT(GREET1_Import_Export!$G91:$H91+0,AA$46:AA$47+0)))+AA$51*((MMULT(GREET1_Import_Export!$C439:$D439+0,AA$46:AA$47+0))+(MMULT(GREET1_Import_Export!$G106:$H106+0,AA$46:AA$47+0))))/1000000</f>
        <v>0.21904174824742895</v>
      </c>
      <c r="AB63" s="749" cm="1">
        <f t="array" ref="AB63">AB$43*(AB$50*((MMULT(GREET1_Import_Export!$B439:$D439+0,AB$45:AB$47+0))+(MMULT(GREET1_Import_Export!$B91:$D91+0,AB$45:AB$47+0)))+AB$51*((MMULT(GREET1_Import_Export!$B439:$D439+0,AB$45:AB$47+0))+(MMULT(GREET1_Import_Export!$B106:$D106+0,AB$45:AB$47+0))))/1000000</f>
        <v>0</v>
      </c>
      <c r="AC63" s="1463" cm="1">
        <f t="array" ref="AC63">AC$43*(AC$50*((MMULT(GREET1_Import_Export!$C439:$D439+0,AC$46:AC$47+0))+(MMULT(GREET1_Import_Export!$E91:$F91+0,AC$46:AC$47+0)))+AC$51*((MMULT(GREET1_Import_Export!$C439:$D439+0,AC$46:AC$47+0))+(MMULT(GREET1_Import_Export!$E106:$F106+0,AC$46:AC$47+0))))/1000000</f>
        <v>0.55664572273898694</v>
      </c>
      <c r="AD63" s="817" cm="1">
        <f t="array" ref="AD63">AD$43*(AD$50*((MMULT(GREET1_Import_Export!$C439:$D439+0,AD$46:AD$47+0))+(MMULT(GREET1_Import_Export!$G91:$H91+0,AD$46:AD$47+0)))+AD$51*((MMULT(GREET1_Import_Export!$C439:$D439+0,AD$46:AD$47+0))+(MMULT(GREET1_Import_Export!$G106:$H106+0,AD$46:AD$47+0))))/1000000</f>
        <v>0.98568786711343015</v>
      </c>
      <c r="AE63" s="1463" cm="1">
        <f t="array" ref="AE63">AE$43*(AE$50*((MMULT(GREET1_Import_Export!$B439:$D439+0,AE$45:AE$47+0))+(MMULT(GREET1_Import_Export!$B91:$D91+0,AE$45:AE$47+0)))+AE$51*((MMULT(GREET1_Import_Export!$B439:$D439+0,AE$45:AE$47+0))+(MMULT(GREET1_Import_Export!$B106:$D106+0,AE$45:AE$47+0))))/1000000</f>
        <v>82.206036379632735</v>
      </c>
      <c r="AF63" s="1463" cm="1">
        <f t="array" ref="AF63">AF$43*(AF$50*((MMULT(GREET1_Import_Export!$C439:$D439+0,AF$46:AF$47+0))+(MMULT(GREET1_Import_Export!$E91:$F91+0,AF$46:AF$47+0)))+AF$51*((MMULT(GREET1_Import_Export!$C439:$D439+0,AF$46:AF$47+0))+(MMULT(GREET1_Import_Export!$E106:$F106+0,AF$46:AF$47+0))))/1000000</f>
        <v>0</v>
      </c>
      <c r="AG63" s="817" cm="1">
        <f t="array" ref="AG63">AG$43*(AG$50*((MMULT(GREET1_Import_Export!$C439:$D439+0,AG$46:AG$47+0))+(MMULT(GREET1_Import_Export!$G91:$H91+0,AG$46:AG$47+0)))+AG$51*((MMULT(GREET1_Import_Export!$C439:$D439+0,AG$46:AG$47+0))+(MMULT(GREET1_Import_Export!$G106:$H106+0,AG$46:AG$47+0))))/1000000</f>
        <v>0.65712524474228673</v>
      </c>
      <c r="AH63" s="1463" cm="1">
        <f t="array" ref="AH63">AH$43*(AH$50*((MMULT(GREET1_Import_Export!$B439:$D439+0,AH$45:AH$47+0))+(MMULT(GREET1_Import_Export!$B91:$D91+0,AH$45:AH$47+0)))+AH$51*((MMULT(GREET1_Import_Export!$B439:$D439+0,AH$45:AH$47+0))+(MMULT(GREET1_Import_Export!$B106:$D106+0,AH$45:AH$47+0))))/1000000</f>
        <v>0</v>
      </c>
      <c r="AI63" s="817" cm="1">
        <f t="array" ref="AI63">AI$43*(AI$50*((MMULT(GREET1_Import_Export!$C439:$D439+0,AI$46:AI$47+0))+(MMULT(GREET1_Import_Export!$G91:$H91+0,AI$46:AI$47+0)))+AI$51*((MMULT(GREET1_Import_Export!$C439:$D439+0,AI$46:AI$47+0))+(MMULT(GREET1_Import_Export!$G106:$H106+0,AI$46:AI$47+0))))/1000000</f>
        <v>0.65712524474228673</v>
      </c>
      <c r="AJ63" s="1463" cm="1">
        <f t="array" ref="AJ63">AJ$43*(AJ$50*((MMULT(GREET1_Import_Export!$B439:$D439+0,AJ$45:AJ$47+0))+(MMULT(GREET1_Import_Export!$B91:$D91+0,AJ$45:AJ$47+0)))+AJ$51*((MMULT(GREET1_Import_Export!$B439:$D439+0,AJ$45:AJ$47+0))+(MMULT(GREET1_Import_Export!$B106:$D106+0,AJ$45:AJ$47+0))))/1000000</f>
        <v>0</v>
      </c>
      <c r="AK63" s="817" cm="1">
        <f t="array" ref="AK63">AK$43*(AK$50*((MMULT(GREET1_Import_Export!$C439:$D439+0,AK$46:AK$47+0))+(MMULT(GREET1_Import_Export!$G91:$H91+0,AK$46:AK$47+0)))+AK$51*((MMULT(GREET1_Import_Export!$C439:$D439+0,AK$46:AK$47+0))+(MMULT(GREET1_Import_Export!$G106:$H106+0,AK$46:AK$47+0))))/1000000</f>
        <v>0.65712524474228673</v>
      </c>
      <c r="AM63" s="38"/>
      <c r="AN63" s="38"/>
      <c r="AO63" s="38"/>
    </row>
    <row r="64" spans="1:41">
      <c r="A64" s="30" t="s">
        <v>2270</v>
      </c>
      <c r="B64" s="2829">
        <f t="array" ref="B64">B$43*(B$50*((MMULT(GREET1_Import_Export!$C440:$D440+0,B$46:B$47+0))+(MMULT(GREET1_Import_Export!$G92:$H92+0,B$46:B$47+0)))+B$51*((MMULT(GREET1_Import_Export!$C440:$D440+0,B$46:B$47+0))+(MMULT(GREET1_Import_Export!$G107:$H107+0,B$46:B$47+0))))/1000000</f>
        <v>0.50910091178334582</v>
      </c>
      <c r="C64" s="2830">
        <f t="array" ref="C64">C$43*(C$50*((MMULT(GREET1_Import_Export!$C440:$D440+0,C$46:C$47+0))+(MMULT(GREET1_Import_Export!$G92:$H92+0,C$46:C$47+0)))+C$51*((MMULT(GREET1_Import_Export!$C440:$D440+0,C$46:C$47+0))+(MMULT(GREET1_Import_Export!$G107:$H107+0,C$46:C$47+0))))/1000000</f>
        <v>0.50910091178334582</v>
      </c>
      <c r="D64" s="2830">
        <f t="array" ref="D64">D$43*(D$50*((MMULT(GREET1_Import_Export!$C440:$D440+0,D$46:D$47+0))+(MMULT(GREET1_Import_Export!$E92:$F92+0,D$46:D$47+0)))+D$51*((MMULT(GREET1_Import_Export!$C440:$D440+0,D$46:D$47+0))+(MMULT(GREET1_Import_Export!$E107:$F107+0,D$46:D$47+0))))/1000000</f>
        <v>5.9319614857792438</v>
      </c>
      <c r="E64" s="2829">
        <f t="array" ref="E64">E$43*(E$50*((MMULT(GREET1_Import_Export!$C440:$D440+0,E$46:E$47+0))+(MMULT(GREET1_Import_Export!$G92:$H92+0,E$46:E$47+0)))+E$51*((MMULT(GREET1_Import_Export!$C440:$D440+0,E$46:E$47+0))+(MMULT(GREET1_Import_Export!$G107:$H107+0,E$46:E$47+0))))/1000000</f>
        <v>1.3745724618150339</v>
      </c>
      <c r="F64" s="2830">
        <f t="array" ref="F64">F$43*(F$50*((MMULT(GREET1_Import_Export!$C440:$D440+0,F$46:F$47+0))+(MMULT(GREET1_Import_Export!$G92:$H92+0,F$46:F$47+0)))+F$51*((MMULT(GREET1_Import_Export!$C440:$D440+0,F$46:F$47+0))+(MMULT(GREET1_Import_Export!$G107:$H107+0,F$46:F$47+0))))/1000000</f>
        <v>5.4982898472601356E-2</v>
      </c>
      <c r="G64" s="2829">
        <f t="array" ref="G64">G$43*(G$50*((MMULT(GREET1_Import_Export!$C440:$D440+0,G$46:G$47+0))+(MMULT(GREET1_Import_Export!$G92:$H92+0,G$46:G$47+0)))+G$51*((MMULT(GREET1_Import_Export!$C440:$D440+0,G$46:G$47+0))+(MMULT(GREET1_Import_Export!$G107:$H107+0,G$46:G$47+0))))/1000000</f>
        <v>0.36655265648400898</v>
      </c>
      <c r="H64" s="2831">
        <f t="array" ref="H64">H$43*(H$50*((MMULT(GREET1_Import_Export!$B440:$D440+0,H$45:H$47+0))+(MMULT(GREET1_Import_Export!$B92:$D92+0,H$45:H$47+0)))+H$51*((MMULT(GREET1_Import_Export!$B440:$D440+0,H$45:H$47+0))+(MMULT(GREET1_Import_Export!$B107:$D107+0,H$45:H$47+0))))/1000000</f>
        <v>85.700954742525312</v>
      </c>
      <c r="I64" s="2832">
        <f t="array" ref="I64">I$43*(I$50*((MMULT(GREET1_Import_Export!$C440:$D440+0,I$46:I$47+0))+(MMULT(GREET1_Import_Export!$G92:$H92+0,I$46:I$47+0)))+I$51*((MMULT(GREET1_Import_Export!$C440:$D440+0,I$46:I$47+0))+(MMULT(GREET1_Import_Export!$G107:$H107+0,I$46:I$47+0))))/1000000</f>
        <v>2.1636788750792202</v>
      </c>
      <c r="J64" s="2830">
        <f t="array" ref="J64">J$43*(J$50*((MMULT(GREET1_Import_Export!$B440:$D440+0,J$45:J$47+0))+(MMULT(GREET1_Import_Export!$B92:$D92+0,J$45:J$47+0)))+J$51*((MMULT(GREET1_Import_Export!$B440:$D440+0,J$45:J$47+0))+(MMULT(GREET1_Import_Export!$B107:$D107+0,J$45:J$47+0))))/1000000</f>
        <v>166.64924210573261</v>
      </c>
      <c r="K64" s="2832">
        <f t="array" ref="K64">K$43*(K$50*((MMULT(GREET1_Import_Export!$C440:$D440+0,K$46:K$47+0))+(MMULT(GREET1_Import_Export!$G92:$H92+0,K$46:K$47+0)))+K$51*((MMULT(GREET1_Import_Export!$C440:$D440+0,K$46:K$47+0))+(MMULT(GREET1_Import_Export!$G107:$H107+0,K$46:K$47+0))))/1000000</f>
        <v>6.3637613972918228E-2</v>
      </c>
      <c r="L64" s="2833">
        <f t="array" ref="L64">L$43*(L$50*((MMULT(GREET1_Import_Export!$C440:$D440+0,L$46:L$47+0))+(MMULT(GREET1_Import_Export!$G92:$H92+0,L$46:L$47+0)))+L$51*((MMULT(GREET1_Import_Export!$C440:$D440+0,L$46:L$47+0))+(MMULT(GREET1_Import_Export!$G107:$H107+0,L$46:L$47+0))))/1000000</f>
        <v>0.78579015106144667</v>
      </c>
      <c r="M64" s="2774">
        <f t="array" ref="M64">M$43*(M$50*((MMULT(GREET1_Import_Export!$C440:$D440+0,M$46:M$47+0))+(MMULT(GREET1_Import_Export!$G92:$H92+0,M$46:M$47+0)))+M$51*((MMULT(GREET1_Import_Export!$C440:$D440+0,M$46:M$47+0))+(MMULT(GREET1_Import_Export!$G107:$H107+0,M$46:M$47+0))))/1000000</f>
        <v>0.41621613347824632</v>
      </c>
      <c r="N64" s="2774">
        <f t="array" ref="N64">N$43*(N$50*((MMULT(GREET1_Import_Export!$C440:$D440+0,N$46:N$47+0))+(MMULT(GREET1_Import_Export!$E92:$F92+0,N$46:N$47+0)))+N$51*((MMULT(GREET1_Import_Export!$C440:$D440+0,N$46:N$47+0))+(MMULT(GREET1_Import_Export!$E107:$F107+0,N$46:N$47+0))))/1000000</f>
        <v>2.6723137360253362</v>
      </c>
      <c r="O64" s="2833">
        <f t="array" ref="O64">O$43*(O$50*((MMULT(GREET1_Import_Export!$C440:$D440+0,O$46:O$47+0))+(MMULT(GREET1_Import_Export!$G92:$H92+0,O$46:O$47+0)))+O$51*((MMULT(GREET1_Import_Export!$C440:$D440+0,O$46:O$47+0))+(MMULT(GREET1_Import_Export!$G107:$H107+0,O$46:O$47+0))))/1000000</f>
        <v>0.41621613347824576</v>
      </c>
      <c r="P64" s="2833">
        <f t="array" ref="P64">P$43*(P$50*((MMULT(GREET1_Import_Export!$C440:$D440+0,P$46:P$47+0))+(MMULT(GREET1_Import_Export!$G92:$H92+0,P$46:P$47+0)))+P$51*((MMULT(GREET1_Import_Export!$C440:$D440+0,P$46:P$47+0))+(MMULT(GREET1_Import_Export!$G107:$H107+0,P$46:P$47+0))))/1000000</f>
        <v>3.1078520363687612</v>
      </c>
      <c r="Q64" s="2833">
        <f t="array" ref="Q64">Q$43*(Q$50*((MMULT(GREET1_Import_Export!$C440:$D440+0,Q$46:Q$47+0))+(MMULT(GREET1_Import_Export!$G92:$H92+0,Q$46:Q$47+0)))+Q$51*((MMULT(GREET1_Import_Export!$C440:$D440+0,Q$46:Q$47+0))+(MMULT(GREET1_Import_Export!$G107:$H107+0,Q$46:Q$47+0))))/1000000</f>
        <v>3.1078520363687612</v>
      </c>
      <c r="R64" s="2774">
        <f t="array" ref="R64">R$43*(R$50*((MMULT(GREET1_Import_Export!$B440:$D440+0,R$45:R$47+0))+(MMULT(GREET1_Import_Export!$B92:$D92+0,R$45:R$47+0)))+R$51*((MMULT(GREET1_Import_Export!$B440:$D440+0,R$45:R$47+0))+(MMULT(GREET1_Import_Export!$B107:$D107+0,R$45:R$47+0))))/1000000</f>
        <v>73.472821810081541</v>
      </c>
      <c r="S64" s="2775">
        <f t="array" ref="S64">S$43*(S$50*((MMULT(GREET1_Import_Export!$C440:$D440+0,S$46:S$47+0))+(MMULT(GREET1_Import_Export!$G92:$H92+0,S$46:S$47+0)))+S$51*((MMULT(GREET1_Import_Export!$C440:$D440+0,S$46:S$47+0))+(MMULT(GREET1_Import_Export!$G107:$H107+0,S$46:S$47+0))))/1000000</f>
        <v>2.4339595631662663</v>
      </c>
      <c r="T64" s="2769">
        <f t="array" ref="T64">T$43*(T$50*((MMULT(GREET1_Import_Export!$B440:$D440+0,T$45:T$47+0))+(MMULT(GREET1_Import_Export!$B92:$D92+0,T$45:T$47+0)))+T$51*((MMULT(GREET1_Import_Export!$B440:$D440+0,T$45:T$47+0))+(MMULT(GREET1_Import_Export!$B107:$D107+0,T$45:T$47+0))))/1000000</f>
        <v>9.1159544324357321E-3</v>
      </c>
      <c r="U64" s="2774">
        <f t="array" ref="U64">U$43*(U$50*((MMULT(GREET1_Import_Export!$C440:$D440+0,U$46:U$47+0))+(MMULT(GREET1_Import_Export!$G92:$H92+0,U$46:U$47+0)))+U$51*((MMULT(GREET1_Import_Export!$C440:$D440+0,U$46:U$47+0))+(MMULT(GREET1_Import_Export!$G107:$H107+0,U$46:U$47+0))))/1000000</f>
        <v>1.4561629067748132E-3</v>
      </c>
      <c r="V64" s="2775">
        <f t="array" ref="V64">V$43*(V$50*((MMULT(GREET1_Import_Export!$C440:$D440+0,V$46:V$47+0))+(MMULT(GREET1_Import_Export!$E92:$F92+0,V$46:V$47+0)))+V$51*((MMULT(GREET1_Import_Export!$C440:$D440+0,V$46:V$47+0))+(MMULT(GREET1_Import_Export!$E107:$F107+0,V$46:V$47+0))))/1000000</f>
        <v>2.1185576734925873E-3</v>
      </c>
      <c r="W64" s="2775">
        <f>W$43*(W$50*((GREET1_Import_Export!$C440*W$46)+(GREET1_Import_Export!$I92*W$46))+W$51*((GREET1_Import_Export!$C440*W$46)+(GREET1_Import_Export!$I92*W$46)))/1000000</f>
        <v>5.4531688874288123E-3</v>
      </c>
      <c r="X64" s="753">
        <f t="array" ref="X64">X$43*(X$50*((MMULT(GREET1_Import_Export!$B440:$D440+0,X$45:X$47+0))+(MMULT(GREET1_Import_Export!$B92:$D92+0,X$45:X$47+0)))+X$51*((MMULT(GREET1_Import_Export!$B440:$D440+0,X$45:X$47+0))+(MMULT(GREET1_Import_Export!$B107:$D107+0,X$45:X$47+0))))/1000000</f>
        <v>84.020543865220901</v>
      </c>
      <c r="Y64" s="1082">
        <f t="array" ref="Y64">Y$43*(Y$50*((MMULT(GREET1_Import_Export!$C440:$D440+0,Y$46:Y$47+0))+(MMULT(GREET1_Import_Export!$G92:$H92+0,Y$46:Y$47+0)))+Y$51*((MMULT(GREET1_Import_Export!$C440:$D440+0,Y$46:Y$47+0))+(MMULT(GREET1_Import_Export!$G107:$H107+0,Y$46:Y$47+0))))/1000000</f>
        <v>0.54982898472601349</v>
      </c>
      <c r="Z64" s="749">
        <f t="array" ref="Z64">Z$43*(Z$50*((MMULT(GREET1_Import_Export!$B440:$D440+0,Z$45:Z$47+0))+(MMULT(GREET1_Import_Export!$B92:$D92+0,Z$45:Z$47+0)))+Z$51*((MMULT(GREET1_Import_Export!$B440:$D440+0,Z$45:Z$47+0))+(MMULT(GREET1_Import_Export!$B107:$D107+0,Z$45:Z$47+0))))/1000000</f>
        <v>168.84049579215156</v>
      </c>
      <c r="AA64" s="817">
        <f t="array" ref="AA64">AA$43*(AA$50*((MMULT(GREET1_Import_Export!$C440:$D440+0,AA$46:AA$47+0))+(MMULT(GREET1_Import_Export!$G92:$H92+0,AA$46:AA$47+0)))+AA$51*((MMULT(GREET1_Import_Export!$C440:$D440+0,AA$46:AA$47+0))+(MMULT(GREET1_Import_Export!$G107:$H107+0,AA$46:AA$47+0))))/1000000</f>
        <v>6.3637613972918228E-2</v>
      </c>
      <c r="AB64" s="749" cm="1">
        <f t="array" ref="AB64">AB$43*(AB$50*((MMULT(GREET1_Import_Export!$B440:$D440+0,AB$45:AB$47+0))+(MMULT(GREET1_Import_Export!$B92:$D92+0,AB$45:AB$47+0)))+AB$51*((MMULT(GREET1_Import_Export!$B440:$D440+0,AB$45:AB$47+0))+(MMULT(GREET1_Import_Export!$B107:$D107+0,AB$45:AB$47+0))))/1000000</f>
        <v>0</v>
      </c>
      <c r="AC64" s="1463" cm="1">
        <f t="array" ref="AC64">AC$43*(AC$50*((MMULT(GREET1_Import_Export!$C440:$D440+0,AC$46:AC$47+0))+(MMULT(GREET1_Import_Export!$E92:$F92+0,AC$46:AC$47+0)))+AC$51*((MMULT(GREET1_Import_Export!$C440:$D440+0,AC$46:AC$47+0))+(MMULT(GREET1_Import_Export!$E107:$F107+0,AC$46:AC$47+0))))/1000000</f>
        <v>0.52963941837314676</v>
      </c>
      <c r="AD64" s="817" cm="1">
        <f t="array" ref="AD64">AD$43*(AD$50*((MMULT(GREET1_Import_Export!$C440:$D440+0,AD$46:AD$47+0))+(MMULT(GREET1_Import_Export!$G92:$H92+0,AD$46:AD$47+0)))+AD$51*((MMULT(GREET1_Import_Export!$C440:$D440+0,AD$46:AD$47+0))+(MMULT(GREET1_Import_Export!$G107:$H107+0,AD$46:AD$47+0))))/1000000</f>
        <v>0.28636926287813208</v>
      </c>
      <c r="AE64" s="1463" cm="1">
        <f t="array" ref="AE64">AE$43*(AE$50*((MMULT(GREET1_Import_Export!$B440:$D440+0,AE$45:AE$47+0))+(MMULT(GREET1_Import_Export!$B92:$D92+0,AE$45:AE$47+0)))+AE$51*((MMULT(GREET1_Import_Export!$B440:$D440+0,AE$45:AE$47+0))+(MMULT(GREET1_Import_Export!$B107:$D107+0,AE$45:AE$47+0))))/1000000</f>
        <v>75.618489478698805</v>
      </c>
      <c r="AF64" s="1463" cm="1">
        <f t="array" ref="AF64">AF$43*(AF$50*((MMULT(GREET1_Import_Export!$C440:$D440+0,AF$46:AF$47+0))+(MMULT(GREET1_Import_Export!$E92:$F92+0,AF$46:AF$47+0)))+AF$51*((MMULT(GREET1_Import_Export!$C440:$D440+0,AF$46:AF$47+0))+(MMULT(GREET1_Import_Export!$E107:$F107+0,AF$46:AF$47+0))))/1000000</f>
        <v>0</v>
      </c>
      <c r="AG64" s="817" cm="1">
        <f t="array" ref="AG64">AG$43*(AG$50*((MMULT(GREET1_Import_Export!$C440:$D440+0,AG$46:AG$47+0))+(MMULT(GREET1_Import_Export!$G92:$H92+0,AG$46:AG$47+0)))+AG$51*((MMULT(GREET1_Import_Export!$C440:$D440+0,AG$46:AG$47+0))+(MMULT(GREET1_Import_Export!$G107:$H107+0,AG$46:AG$47+0))))/1000000</f>
        <v>0.19091284191875471</v>
      </c>
      <c r="AH64" s="1463" cm="1">
        <f t="array" ref="AH64">AH$43*(AH$50*((MMULT(GREET1_Import_Export!$B440:$D440+0,AH$45:AH$47+0))+(MMULT(GREET1_Import_Export!$B92:$D92+0,AH$45:AH$47+0)))+AH$51*((MMULT(GREET1_Import_Export!$B440:$D440+0,AH$45:AH$47+0))+(MMULT(GREET1_Import_Export!$B107:$D107+0,AH$45:AH$47+0))))/1000000</f>
        <v>0</v>
      </c>
      <c r="AI64" s="817" cm="1">
        <f t="array" ref="AI64">AI$43*(AI$50*((MMULT(GREET1_Import_Export!$C440:$D440+0,AI$46:AI$47+0))+(MMULT(GREET1_Import_Export!$G92:$H92+0,AI$46:AI$47+0)))+AI$51*((MMULT(GREET1_Import_Export!$C440:$D440+0,AI$46:AI$47+0))+(MMULT(GREET1_Import_Export!$G107:$H107+0,AI$46:AI$47+0))))/1000000</f>
        <v>0.19091284191875471</v>
      </c>
      <c r="AJ64" s="1463" cm="1">
        <f t="array" ref="AJ64">AJ$43*(AJ$50*((MMULT(GREET1_Import_Export!$B440:$D440+0,AJ$45:AJ$47+0))+(MMULT(GREET1_Import_Export!$B92:$D92+0,AJ$45:AJ$47+0)))+AJ$51*((MMULT(GREET1_Import_Export!$B440:$D440+0,AJ$45:AJ$47+0))+(MMULT(GREET1_Import_Export!$B107:$D107+0,AJ$45:AJ$47+0))))/1000000</f>
        <v>0</v>
      </c>
      <c r="AK64" s="817" cm="1">
        <f t="array" ref="AK64">AK$43*(AK$50*((MMULT(GREET1_Import_Export!$C440:$D440+0,AK$46:AK$47+0))+(MMULT(GREET1_Import_Export!$G92:$H92+0,AK$46:AK$47+0)))+AK$51*((MMULT(GREET1_Import_Export!$C440:$D440+0,AK$46:AK$47+0))+(MMULT(GREET1_Import_Export!$G107:$H107+0,AK$46:AK$47+0))))/1000000</f>
        <v>0.19091284191875471</v>
      </c>
      <c r="AM64" s="38"/>
      <c r="AN64" s="38"/>
      <c r="AO64" s="38"/>
    </row>
    <row r="65" spans="1:51">
      <c r="A65" s="29" t="s">
        <v>2271</v>
      </c>
      <c r="B65" s="2829">
        <f t="array" ref="B65">B$43*(B$50*((MMULT(GREET1_Import_Export!$C441:$D441+0,B$46:B$47+0))+(MMULT(GREET1_Import_Export!$G93:$H93+0,B$46:B$47+0)))+B$51*((MMULT(GREET1_Import_Export!$C441:$D441+0,B$46:B$47+0))+(MMULT(GREET1_Import_Export!$G108:$H108+0,B$46:B$47+0))))/1000000</f>
        <v>1.22553203572348</v>
      </c>
      <c r="C65" s="2830">
        <f t="array" ref="C65">C$43*(C$50*((MMULT(GREET1_Import_Export!$C441:$D441+0,C$46:C$47+0))+(MMULT(GREET1_Import_Export!$G93:$H93+0,C$46:C$47+0)))+C$51*((MMULT(GREET1_Import_Export!$C441:$D441+0,C$46:C$47+0))+(MMULT(GREET1_Import_Export!$G108:$H108+0,C$46:C$47+0))))/1000000</f>
        <v>1.22553203572348</v>
      </c>
      <c r="D65" s="2830">
        <f t="array" ref="D65">D$43*(D$50*((MMULT(GREET1_Import_Export!$C441:$D441+0,D$46:D$47+0))+(MMULT(GREET1_Import_Export!$E93:$F93+0,D$46:D$47+0)))+D$51*((MMULT(GREET1_Import_Export!$C441:$D441+0,D$46:D$47+0))+(MMULT(GREET1_Import_Export!$E108:$F108+0,D$46:D$47+0))))/1000000</f>
        <v>3.9329143256593961</v>
      </c>
      <c r="E65" s="2829">
        <f t="array" ref="E65">E$43*(E$50*((MMULT(GREET1_Import_Export!$C441:$D441+0,E$46:E$47+0))+(MMULT(GREET1_Import_Export!$G93:$H93+0,E$46:E$47+0)))+E$51*((MMULT(GREET1_Import_Export!$C441:$D441+0,E$46:E$47+0))+(MMULT(GREET1_Import_Export!$G108:$H108+0,E$46:E$47+0))))/1000000</f>
        <v>3.3089364964533958</v>
      </c>
      <c r="F65" s="2830">
        <f t="array" ref="F65">F$43*(F$50*((MMULT(GREET1_Import_Export!$C441:$D441+0,F$46:F$47+0))+(MMULT(GREET1_Import_Export!$G93:$H93+0,F$46:F$47+0)))+F$51*((MMULT(GREET1_Import_Export!$C441:$D441+0,F$46:F$47+0))+(MMULT(GREET1_Import_Export!$G108:$H108+0,F$46:F$47+0))))/1000000</f>
        <v>0.13235745985813585</v>
      </c>
      <c r="G65" s="2829">
        <f t="array" ref="G65">G$43*(G$50*((MMULT(GREET1_Import_Export!$C441:$D441+0,G$46:G$47+0))+(MMULT(GREET1_Import_Export!$G93:$H93+0,G$46:G$47+0)))+G$51*((MMULT(GREET1_Import_Export!$C441:$D441+0,G$46:G$47+0))+(MMULT(GREET1_Import_Export!$G108:$H108+0,G$46:G$47+0))))/1000000</f>
        <v>0.88238306572090552</v>
      </c>
      <c r="H65" s="2831">
        <f t="array" ref="H65">H$43*(H$50*((MMULT(GREET1_Import_Export!$B441:$D441+0,H$45:H$47+0))+(MMULT(GREET1_Import_Export!$B93:$D93+0,H$45:H$47+0)))+H$51*((MMULT(GREET1_Import_Export!$B441:$D441+0,H$45:H$47+0))+(MMULT(GREET1_Import_Export!$B108:$D108+0,H$45:H$47+0))))/1000000</f>
        <v>740.04628770306999</v>
      </c>
      <c r="I65" s="2832">
        <f t="array" ref="I65">I$43*(I$50*((MMULT(GREET1_Import_Export!$C441:$D441+0,I$46:I$47+0))+(MMULT(GREET1_Import_Export!$G93:$H93+0,I$46:I$47+0)))+I$51*((MMULT(GREET1_Import_Export!$C441:$D441+0,I$46:I$47+0))+(MMULT(GREET1_Import_Export!$G108:$H108+0,I$46:I$47+0))))/1000000</f>
        <v>5.2085111518247897</v>
      </c>
      <c r="J65" s="2830">
        <f t="array" ref="J65">J$43*(J$50*((MMULT(GREET1_Import_Export!$B441:$D441+0,J$45:J$47+0))+(MMULT(GREET1_Import_Export!$B93:$D93+0,J$45:J$47+0)))+J$51*((MMULT(GREET1_Import_Export!$B441:$D441+0,J$45:J$47+0))+(MMULT(GREET1_Import_Export!$B108:$D108+0,J$45:J$47+0))))/1000000</f>
        <v>1439.0522642296939</v>
      </c>
      <c r="K65" s="2832">
        <f t="array" ref="K65">K$43*(K$50*((MMULT(GREET1_Import_Export!$C441:$D441+0,K$46:K$47+0))+(MMULT(GREET1_Import_Export!$G93:$H93+0,K$46:K$47+0)))+K$51*((MMULT(GREET1_Import_Export!$C441:$D441+0,K$46:K$47+0))+(MMULT(GREET1_Import_Export!$G108:$H108+0,K$46:K$47+0))))/1000000</f>
        <v>0.153191504465435</v>
      </c>
      <c r="L65" s="2833">
        <f t="array" ref="L65">L$43*(L$50*((MMULT(GREET1_Import_Export!$C441:$D441+0,L$46:L$47+0))+(MMULT(GREET1_Import_Export!$G93:$H93+0,L$46:L$47+0)))+L$51*((MMULT(GREET1_Import_Export!$C441:$D441+0,L$46:L$47+0))+(MMULT(GREET1_Import_Export!$G108:$H108+0,L$46:L$47+0))))/1000000</f>
        <v>1.891591590571766</v>
      </c>
      <c r="M65" s="2774">
        <f t="array" ref="M65">M$43*(M$50*((MMULT(GREET1_Import_Export!$C441:$D441+0,M$46:M$47+0))+(MMULT(GREET1_Import_Export!$G93:$H93+0,M$46:M$47+0)))+M$51*((MMULT(GREET1_Import_Export!$C441:$D441+0,M$46:M$47+0))+(MMULT(GREET1_Import_Export!$G108:$H108+0,M$46:M$47+0))))/1000000</f>
        <v>1.0546041611152321</v>
      </c>
      <c r="N65" s="2774">
        <f t="array" ref="N65">N$43*(N$50*((MMULT(GREET1_Import_Export!$C441:$D441+0,N$46:N$47+0))+(MMULT(GREET1_Import_Export!$E93:$F93+0,N$46:N$47+0)))+N$51*((MMULT(GREET1_Import_Export!$C441:$D441+0,N$46:N$47+0))+(MMULT(GREET1_Import_Export!$E108:$F108+0,N$46:N$47+0))))/1000000</f>
        <v>1.7717547560391482</v>
      </c>
      <c r="O65" s="2833">
        <f t="array" ref="O65">O$43*(O$50*((MMULT(GREET1_Import_Export!$C441:$D441+0,O$46:O$47+0))+(MMULT(GREET1_Import_Export!$G93:$H93+0,O$46:O$47+0)))+O$51*((MMULT(GREET1_Import_Export!$C441:$D441+0,O$46:O$47+0))+(MMULT(GREET1_Import_Export!$G108:$H108+0,O$46:O$47+0))))/1000000</f>
        <v>1.0546041611152308</v>
      </c>
      <c r="P65" s="2833">
        <f t="array" ref="P65">P$43*(P$50*((MMULT(GREET1_Import_Export!$C441:$D441+0,P$46:P$47+0))+(MMULT(GREET1_Import_Export!$G93:$H93+0,P$46:P$47+0)))+P$51*((MMULT(GREET1_Import_Export!$C441:$D441+0,P$46:P$47+0))+(MMULT(GREET1_Import_Export!$G108:$H108+0,P$46:P$47+0))))/1000000</f>
        <v>7.87464354707972</v>
      </c>
      <c r="Q65" s="2833">
        <f t="array" ref="Q65">Q$43*(Q$50*((MMULT(GREET1_Import_Export!$C441:$D441+0,Q$46:Q$47+0))+(MMULT(GREET1_Import_Export!$G93:$H93+0,Q$46:Q$47+0)))+Q$51*((MMULT(GREET1_Import_Export!$C441:$D441+0,Q$46:Q$47+0))+(MMULT(GREET1_Import_Export!$G108:$H108+0,Q$46:Q$47+0))))/1000000</f>
        <v>7.87464354707972</v>
      </c>
      <c r="R65" s="2774">
        <f t="array" ref="R65">R$43*(R$50*((MMULT(GREET1_Import_Export!$B441:$D441+0,R$45:R$47+0))+(MMULT(GREET1_Import_Export!$B93:$D93+0,R$45:R$47+0)))+R$51*((MMULT(GREET1_Import_Export!$B441:$D441+0,R$45:R$47+0))+(MMULT(GREET1_Import_Export!$B108:$D108+0,R$45:R$47+0))))/1000000</f>
        <v>634.45371397525003</v>
      </c>
      <c r="S65" s="2775">
        <f t="array" ref="S65">S$43*(S$50*((MMULT(GREET1_Import_Export!$C441:$D441+0,S$46:S$47+0))+(MMULT(GREET1_Import_Export!$G93:$H93+0,S$46:S$47+0)))+S$51*((MMULT(GREET1_Import_Export!$C441:$D441+0,S$46:S$47+0))+(MMULT(GREET1_Import_Export!$G108:$H108+0,S$46:S$47+0))))/1000000</f>
        <v>6.1671417247825522</v>
      </c>
      <c r="T65" s="2769">
        <f t="array" ref="T65">T$43*(T$50*((MMULT(GREET1_Import_Export!$B441:$D441+0,T$45:T$47+0))+(MMULT(GREET1_Import_Export!$B93:$D93+0,T$45:T$47+0)))+T$51*((MMULT(GREET1_Import_Export!$B441:$D441+0,T$45:T$47+0))+(MMULT(GREET1_Import_Export!$B108:$D108+0,T$45:T$47+0))))/1000000</f>
        <v>7.8718238984178929E-2</v>
      </c>
      <c r="U65" s="2774">
        <f t="array" ref="U65">U$43*(U$50*((MMULT(GREET1_Import_Export!$C441:$D441+0,U$46:U$47+0))+(MMULT(GREET1_Import_Export!$G93:$H93+0,U$46:U$47+0)))+U$51*((MMULT(GREET1_Import_Export!$C441:$D441+0,U$46:U$47+0))+(MMULT(GREET1_Import_Export!$G108:$H108+0,U$46:U$47+0))))/1000000</f>
        <v>3.689610606664848E-3</v>
      </c>
      <c r="V65" s="2775">
        <f t="array" ref="V65">V$43*(V$50*((MMULT(GREET1_Import_Export!$C441:$D441+0,V$46:V$47+0))+(MMULT(GREET1_Import_Export!$E93:$F93+0,V$46:V$47+0)))+V$51*((MMULT(GREET1_Import_Export!$C441:$D441+0,V$46:V$47+0))+(MMULT(GREET1_Import_Export!$E108:$F108+0,V$46:V$47+0))))/1000000</f>
        <v>1.4046122591640702E-3</v>
      </c>
      <c r="W65" s="2775">
        <f>W$43*(W$50*((GREET1_Import_Export!$C441*W$46)+(GREET1_Import_Export!$I93*W$46))+W$51*((GREET1_Import_Export!$C441*W$46)+(GREET1_Import_Export!$I93*W$46)))/1000000</f>
        <v>1.4665108941302258E-2</v>
      </c>
      <c r="X65" s="753">
        <f t="array" ref="X65">X$43*(X$50*((MMULT(GREET1_Import_Export!$B441:$D441+0,X$45:X$47+0))+(MMULT(GREET1_Import_Export!$B93:$D93+0,X$45:X$47+0)))+X$51*((MMULT(GREET1_Import_Export!$B441:$D441+0,X$45:X$47+0))+(MMULT(GREET1_Import_Export!$B108:$D108+0,X$45:X$47+0))))/1000000</f>
        <v>725.53557617948047</v>
      </c>
      <c r="Y65" s="1082">
        <f t="array" ref="Y65">Y$43*(Y$50*((MMULT(GREET1_Import_Export!$C441:$D441+0,Y$46:Y$47+0))+(MMULT(GREET1_Import_Export!$G93:$H93+0,Y$46:Y$47+0)))+Y$51*((MMULT(GREET1_Import_Export!$C441:$D441+0,Y$46:Y$47+0))+(MMULT(GREET1_Import_Export!$G108:$H108+0,Y$46:Y$47+0))))/1000000</f>
        <v>1.3235745985813583</v>
      </c>
      <c r="Z65" s="749">
        <f t="array" ref="Z65">Z$43*(Z$50*((MMULT(GREET1_Import_Export!$B441:$D441+0,Z$45:Z$47+0))+(MMULT(GREET1_Import_Export!$B93:$D93+0,Z$45:Z$47+0)))+Z$51*((MMULT(GREET1_Import_Export!$B441:$D441+0,Z$45:Z$47+0))+(MMULT(GREET1_Import_Export!$B108:$D108+0,Z$45:Z$47+0))))/1000000</f>
        <v>1457.9742139433458</v>
      </c>
      <c r="AA65" s="817">
        <f t="array" ref="AA65">AA$43*(AA$50*((MMULT(GREET1_Import_Export!$C441:$D441+0,AA$46:AA$47+0))+(MMULT(GREET1_Import_Export!$G93:$H93+0,AA$46:AA$47+0)))+AA$51*((MMULT(GREET1_Import_Export!$C441:$D441+0,AA$46:AA$47+0))+(MMULT(GREET1_Import_Export!$G108:$H108+0,AA$46:AA$47+0))))/1000000</f>
        <v>0.153191504465435</v>
      </c>
      <c r="AB65" s="749" cm="1">
        <f t="array" ref="AB65">AB$43*(AB$50*((MMULT(GREET1_Import_Export!$B441:$D441+0,AB$45:AB$47+0))+(MMULT(GREET1_Import_Export!$B93:$D93+0,AB$45:AB$47+0)))+AB$51*((MMULT(GREET1_Import_Export!$B441:$D441+0,AB$45:AB$47+0))+(MMULT(GREET1_Import_Export!$B108:$D108+0,AB$45:AB$47+0))))/1000000</f>
        <v>0</v>
      </c>
      <c r="AC65" s="1463" cm="1">
        <f t="array" ref="AC65">AC$43*(AC$50*((MMULT(GREET1_Import_Export!$C441:$D441+0,AC$46:AC$47+0))+(MMULT(GREET1_Import_Export!$E93:$F93+0,AC$46:AC$47+0)))+AC$51*((MMULT(GREET1_Import_Export!$C441:$D441+0,AC$46:AC$47+0))+(MMULT(GREET1_Import_Export!$E108:$F108+0,AC$46:AC$47+0))))/1000000</f>
        <v>0.35115306479101749</v>
      </c>
      <c r="AD65" s="817" cm="1">
        <f t="array" ref="AD65">AD$43*(AD$50*((MMULT(GREET1_Import_Export!$C441:$D441+0,AD$46:AD$47+0))+(MMULT(GREET1_Import_Export!$G93:$H93+0,AD$46:AD$47+0)))+AD$51*((MMULT(GREET1_Import_Export!$C441:$D441+0,AD$46:AD$47+0))+(MMULT(GREET1_Import_Export!$G108:$H108+0,AD$46:AD$47+0))))/1000000</f>
        <v>0.68936177009445743</v>
      </c>
      <c r="AE65" s="1463" cm="1">
        <f t="array" ref="AE65">AE$43*(AE$50*((MMULT(GREET1_Import_Export!$B441:$D441+0,AE$45:AE$47+0))+(MMULT(GREET1_Import_Export!$B93:$D93+0,AE$45:AE$47+0)))+AE$51*((MMULT(GREET1_Import_Export!$B441:$D441+0,AE$45:AE$47+0))+(MMULT(GREET1_Import_Export!$B108:$D108+0,AE$45:AE$47+0))))/1000000</f>
        <v>652.98201856153241</v>
      </c>
      <c r="AF65" s="1463" cm="1">
        <f t="array" ref="AF65">AF$43*(AF$50*((MMULT(GREET1_Import_Export!$C441:$D441+0,AF$46:AF$47+0))+(MMULT(GREET1_Import_Export!$E93:$F93+0,AF$46:AF$47+0)))+AF$51*((MMULT(GREET1_Import_Export!$C441:$D441+0,AF$46:AF$47+0))+(MMULT(GREET1_Import_Export!$E108:$F108+0,AF$46:AF$47+0))))/1000000</f>
        <v>0</v>
      </c>
      <c r="AG65" s="817" cm="1">
        <f t="array" ref="AG65">AG$43*(AG$50*((MMULT(GREET1_Import_Export!$C441:$D441+0,AG$46:AG$47+0))+(MMULT(GREET1_Import_Export!$G93:$H93+0,AG$46:AG$47+0)))+AG$51*((MMULT(GREET1_Import_Export!$C441:$D441+0,AG$46:AG$47+0))+(MMULT(GREET1_Import_Export!$G108:$H108+0,AG$46:AG$47+0))))/1000000</f>
        <v>0.45957451339630495</v>
      </c>
      <c r="AH65" s="1463" cm="1">
        <f t="array" ref="AH65">AH$43*(AH$50*((MMULT(GREET1_Import_Export!$B441:$D441+0,AH$45:AH$47+0))+(MMULT(GREET1_Import_Export!$B93:$D93+0,AH$45:AH$47+0)))+AH$51*((MMULT(GREET1_Import_Export!$B441:$D441+0,AH$45:AH$47+0))+(MMULT(GREET1_Import_Export!$B108:$D108+0,AH$45:AH$47+0))))/1000000</f>
        <v>0</v>
      </c>
      <c r="AI65" s="817" cm="1">
        <f t="array" ref="AI65">AI$43*(AI$50*((MMULT(GREET1_Import_Export!$C441:$D441+0,AI$46:AI$47+0))+(MMULT(GREET1_Import_Export!$G93:$H93+0,AI$46:AI$47+0)))+AI$51*((MMULT(GREET1_Import_Export!$C441:$D441+0,AI$46:AI$47+0))+(MMULT(GREET1_Import_Export!$G108:$H108+0,AI$46:AI$47+0))))/1000000</f>
        <v>0.45957451339630495</v>
      </c>
      <c r="AJ65" s="1463" cm="1">
        <f t="array" ref="AJ65">AJ$43*(AJ$50*((MMULT(GREET1_Import_Export!$B441:$D441+0,AJ$45:AJ$47+0))+(MMULT(GREET1_Import_Export!$B93:$D93+0,AJ$45:AJ$47+0)))+AJ$51*((MMULT(GREET1_Import_Export!$B441:$D441+0,AJ$45:AJ$47+0))+(MMULT(GREET1_Import_Export!$B108:$D108+0,AJ$45:AJ$47+0))))/1000000</f>
        <v>0</v>
      </c>
      <c r="AK65" s="817" cm="1">
        <f t="array" ref="AK65">AK$43*(AK$50*((MMULT(GREET1_Import_Export!$C441:$D441+0,AK$46:AK$47+0))+(MMULT(GREET1_Import_Export!$G93:$H93+0,AK$46:AK$47+0)))+AK$51*((MMULT(GREET1_Import_Export!$C441:$D441+0,AK$46:AK$47+0))+(MMULT(GREET1_Import_Export!$G108:$H108+0,AK$46:AK$47+0))))/1000000</f>
        <v>0.45957451339630495</v>
      </c>
      <c r="AM65" s="38"/>
      <c r="AN65" s="38"/>
      <c r="AO65" s="38"/>
    </row>
    <row r="66" spans="1:51">
      <c r="A66" s="29" t="s">
        <v>2109</v>
      </c>
      <c r="B66" s="2829">
        <f t="array" ref="B66">B$43*(B$50*((MMULT(GREET1_Import_Export!$C442:$D442+0,B$46:B$47+0))+(MMULT(GREET1_Import_Export!$G94:$H94+0,B$46:B$47+0)))+B$51*((MMULT(GREET1_Import_Export!$C442:$D442+0,B$46:B$47+0))+(MMULT(GREET1_Import_Export!$G109:$H109+0,B$46:B$47+0))))/1000000</f>
        <v>4.903553582135857E-2</v>
      </c>
      <c r="C66" s="2830">
        <f t="array" ref="C66">C$43*(C$50*((MMULT(GREET1_Import_Export!$C442:$D442+0,C$46:C$47+0))+(MMULT(GREET1_Import_Export!$G94:$H94+0,C$46:C$47+0)))+C$51*((MMULT(GREET1_Import_Export!$C442:$D442+0,C$46:C$47+0))+(MMULT(GREET1_Import_Export!$G109:$H109+0,C$46:C$47+0))))/1000000</f>
        <v>4.903553582135857E-2</v>
      </c>
      <c r="D66" s="2830">
        <f t="array" ref="D66">D$43*(D$50*((MMULT(GREET1_Import_Export!$C442:$D442+0,D$46:D$47+0))+(MMULT(GREET1_Import_Export!$E94:$F94+0,D$46:D$47+0)))+D$51*((MMULT(GREET1_Import_Export!$C442:$D442+0,D$46:D$47+0))+(MMULT(GREET1_Import_Export!$E109:$F109+0,D$46:D$47+0))))/1000000</f>
        <v>0.55796025348313139</v>
      </c>
      <c r="E66" s="2829">
        <f t="array" ref="E66">E$43*(E$50*((MMULT(GREET1_Import_Export!$C442:$D442+0,E$46:E$47+0))+(MMULT(GREET1_Import_Export!$G94:$H94+0,E$46:E$47+0)))+E$51*((MMULT(GREET1_Import_Export!$C442:$D442+0,E$46:E$47+0))+(MMULT(GREET1_Import_Export!$G109:$H109+0,E$46:E$47+0))))/1000000</f>
        <v>0.13239594671766813</v>
      </c>
      <c r="F66" s="2830">
        <f t="array" ref="F66">F$43*(F$50*((MMULT(GREET1_Import_Export!$C442:$D442+0,F$46:F$47+0))+(MMULT(GREET1_Import_Export!$G94:$H94+0,F$46:F$47+0)))+F$51*((MMULT(GREET1_Import_Export!$C442:$D442+0,F$46:F$47+0))+(MMULT(GREET1_Import_Export!$G109:$H109+0,F$46:F$47+0))))/1000000</f>
        <v>5.2958378687067249E-3</v>
      </c>
      <c r="G66" s="2829">
        <f t="array" ref="G66">G$43*(G$50*((MMULT(GREET1_Import_Export!$C442:$D442+0,G$46:G$47+0))+(MMULT(GREET1_Import_Export!$G94:$H94+0,G$46:G$47+0)))+G$51*((MMULT(GREET1_Import_Export!$C442:$D442+0,G$46:G$47+0))+(MMULT(GREET1_Import_Export!$G109:$H109+0,G$46:G$47+0))))/1000000</f>
        <v>3.5305585791378172E-2</v>
      </c>
      <c r="H66" s="2831">
        <f t="array" ref="H66">H$43*(H$50*((MMULT(GREET1_Import_Export!$B442:$D442+0,H$45:H$47+0))+(MMULT(GREET1_Import_Export!$B94:$D94+0,H$45:H$47+0)))+H$51*((MMULT(GREET1_Import_Export!$B442:$D442+0,H$45:H$47+0))+(MMULT(GREET1_Import_Export!$B109:$D109+0,H$45:H$47+0))))/1000000</f>
        <v>12.854015208195332</v>
      </c>
      <c r="I66" s="2832">
        <f t="array" ref="I66">I$43*(I$50*((MMULT(GREET1_Import_Export!$C442:$D442+0,I$46:I$47+0))+(MMULT(GREET1_Import_Export!$G94:$H94+0,I$46:I$47+0)))+I$51*((MMULT(GREET1_Import_Export!$C442:$D442+0,I$46:I$47+0))+(MMULT(GREET1_Import_Export!$G109:$H109+0,I$46:I$47+0))))/1000000</f>
        <v>0.20840102724077392</v>
      </c>
      <c r="J66" s="2830">
        <f t="array" ref="J66">J$43*(J$50*((MMULT(GREET1_Import_Export!$B442:$D442+0,J$45:J$47+0))+(MMULT(GREET1_Import_Export!$B94:$D94+0,J$45:J$47+0)))+J$51*((MMULT(GREET1_Import_Export!$B442:$D442+0,J$45:J$47+0))+(MMULT(GREET1_Import_Export!$B109:$D109+0,J$45:J$47+0))))/1000000</f>
        <v>24.995192864501245</v>
      </c>
      <c r="K66" s="2832">
        <f t="array" ref="K66">K$43*(K$50*((MMULT(GREET1_Import_Export!$C442:$D442+0,K$46:K$47+0))+(MMULT(GREET1_Import_Export!$G94:$H94+0,K$46:K$47+0)))+K$51*((MMULT(GREET1_Import_Export!$C442:$D442+0,K$46:K$47+0))+(MMULT(GREET1_Import_Export!$G109:$H109+0,K$46:K$47+0))))/1000000</f>
        <v>6.1294419776698212E-3</v>
      </c>
      <c r="L66" s="2833">
        <f t="array" ref="L66">L$43*(L$50*((MMULT(GREET1_Import_Export!$C442:$D442+0,L$46:L$47+0))+(MMULT(GREET1_Import_Export!$G94:$H94+0,L$46:L$47+0)))+L$51*((MMULT(GREET1_Import_Export!$C442:$D442+0,L$46:L$47+0))+(MMULT(GREET1_Import_Export!$G109:$H109+0,L$46:L$47+0))))/1000000</f>
        <v>7.5685665078600237E-2</v>
      </c>
      <c r="M66" s="2774">
        <f t="array" ref="M66">M$43*(M$50*((MMULT(GREET1_Import_Export!$C442:$D442+0,M$46:M$47+0))+(MMULT(GREET1_Import_Export!$G94:$H94+0,M$46:M$47+0)))+M$51*((MMULT(GREET1_Import_Export!$C442:$D442+0,M$46:M$47+0))+(MMULT(GREET1_Import_Export!$G109:$H109+0,M$46:M$47+0))))/1000000</f>
        <v>4.1452058068063055E-2</v>
      </c>
      <c r="N66" s="2774">
        <f t="array" ref="N66">N$43*(N$50*((MMULT(GREET1_Import_Export!$C442:$D442+0,N$46:N$47+0))+(MMULT(GREET1_Import_Export!$E94:$F94+0,N$46:N$47+0)))+N$51*((MMULT(GREET1_Import_Export!$C442:$D442+0,N$46:N$47+0))+(MMULT(GREET1_Import_Export!$E109:$F109+0,N$46:N$47+0))))/1000000</f>
        <v>0.25135781024769777</v>
      </c>
      <c r="O66" s="2833">
        <f t="array" ref="O66">O$43*(O$50*((MMULT(GREET1_Import_Export!$C442:$D442+0,O$46:O$47+0))+(MMULT(GREET1_Import_Export!$G94:$H94+0,O$46:O$47+0)))+O$51*((MMULT(GREET1_Import_Export!$C442:$D442+0,O$46:O$47+0))+(MMULT(GREET1_Import_Export!$G109:$H109+0,O$46:O$47+0))))/1000000</f>
        <v>4.1452058068062993E-2</v>
      </c>
      <c r="P66" s="2833">
        <f t="array" ref="P66">P$43*(P$50*((MMULT(GREET1_Import_Export!$C442:$D442+0,P$46:P$47+0))+(MMULT(GREET1_Import_Export!$G94:$H94+0,P$46:P$47+0)))+P$51*((MMULT(GREET1_Import_Export!$C442:$D442+0,P$46:P$47+0))+(MMULT(GREET1_Import_Export!$G109:$H109+0,P$46:P$47+0))))/1000000</f>
        <v>0.3095191481452727</v>
      </c>
      <c r="Q66" s="2833">
        <f t="array" ref="Q66">Q$43*(Q$50*((MMULT(GREET1_Import_Export!$C442:$D442+0,Q$46:Q$47+0))+(MMULT(GREET1_Import_Export!$G94:$H94+0,Q$46:Q$47+0)))+Q$51*((MMULT(GREET1_Import_Export!$C442:$D442+0,Q$46:Q$47+0))+(MMULT(GREET1_Import_Export!$G109:$H109+0,Q$46:Q$47+0))))/1000000</f>
        <v>0.3095191481452727</v>
      </c>
      <c r="R66" s="2774">
        <f t="array" ref="R66">R$43*(R$50*((MMULT(GREET1_Import_Export!$B442:$D442+0,R$45:R$47+0))+(MMULT(GREET1_Import_Export!$B94:$D94+0,R$45:R$47+0)))+R$51*((MMULT(GREET1_Import_Export!$B442:$D442+0,R$45:R$47+0))+(MMULT(GREET1_Import_Export!$B109:$D109+0,R$45:R$47+0))))/1000000</f>
        <v>11.019956216044191</v>
      </c>
      <c r="S66" s="2775">
        <f t="array" ref="S66">S$43*(S$50*((MMULT(GREET1_Import_Export!$C442:$D442+0,S$46:S$47+0))+(MMULT(GREET1_Import_Export!$G94:$H94+0,S$46:S$47+0)))+S$51*((MMULT(GREET1_Import_Export!$C442:$D442+0,S$46:S$47+0))+(MMULT(GREET1_Import_Export!$G109:$H109+0,S$46:S$47+0))))/1000000</f>
        <v>0.24240442652845562</v>
      </c>
      <c r="T66" s="2769">
        <f t="array" ref="T66">T$43*(T$50*((MMULT(GREET1_Import_Export!$B442:$D442+0,T$45:T$47+0))+(MMULT(GREET1_Import_Export!$B94:$D94+0,T$45:T$47+0)))+T$51*((MMULT(GREET1_Import_Export!$B442:$D442+0,T$45:T$47+0))+(MMULT(GREET1_Import_Export!$B109:$D109+0,T$45:T$47+0))))/1000000</f>
        <v>1.3672731799054369E-3</v>
      </c>
      <c r="U66" s="2774">
        <f t="array" ref="U66">U$43*(U$50*((MMULT(GREET1_Import_Export!$C442:$D442+0,U$46:U$47+0))+(MMULT(GREET1_Import_Export!$G94:$H94+0,U$46:U$47+0)))+U$51*((MMULT(GREET1_Import_Export!$C442:$D442+0,U$46:U$47+0))+(MMULT(GREET1_Import_Export!$G109:$H109+0,U$46:U$47+0))))/1000000</f>
        <v>1.4502308899888865E-4</v>
      </c>
      <c r="V66" s="2775">
        <f t="array" ref="V66">V$43*(V$50*((MMULT(GREET1_Import_Export!$C442:$D442+0,V$46:V$47+0))+(MMULT(GREET1_Import_Export!$E94:$F94+0,V$46:V$47+0)))+V$51*((MMULT(GREET1_Import_Export!$C442:$D442+0,V$46:V$47+0))+(MMULT(GREET1_Import_Export!$E109:$F109+0,V$46:V$47+0))))/1000000</f>
        <v>1.9927151910111837E-4</v>
      </c>
      <c r="W66" s="2775">
        <f>W$43*(W$50*((GREET1_Import_Export!$C442*W$46)+(GREET1_Import_Export!$I94*W$46))+W$51*((GREET1_Import_Export!$C442*W$46)+(GREET1_Import_Export!$I94*W$46)))/1000000</f>
        <v>5.4203637653876292E-4</v>
      </c>
      <c r="X66" s="753">
        <f t="array" ref="X66">X$43*(X$50*((MMULT(GREET1_Import_Export!$B442:$D442+0,X$45:X$47+0))+(MMULT(GREET1_Import_Export!$B94:$D94+0,X$45:X$47+0)))+X$51*((MMULT(GREET1_Import_Export!$B442:$D442+0,X$45:X$47+0))+(MMULT(GREET1_Import_Export!$B109:$D109+0,X$45:X$47+0))))/1000000</f>
        <v>12.601975694309148</v>
      </c>
      <c r="Y66" s="1082">
        <f t="array" ref="Y66">Y$43*(Y$50*((MMULT(GREET1_Import_Export!$C442:$D442+0,Y$46:Y$47+0))+(MMULT(GREET1_Import_Export!$G94:$H94+0,Y$46:Y$47+0)))+Y$51*((MMULT(GREET1_Import_Export!$C442:$D442+0,Y$46:Y$47+0))+(MMULT(GREET1_Import_Export!$G109:$H109+0,Y$46:Y$47+0))))/1000000</f>
        <v>5.2958378687067251E-2</v>
      </c>
      <c r="Z66" s="749">
        <f t="array" ref="Z66">Z$43*(Z$50*((MMULT(GREET1_Import_Export!$B442:$D442+0,Z$45:Z$47+0))+(MMULT(GREET1_Import_Export!$B94:$D94+0,Z$45:Z$47+0)))+Z$51*((MMULT(GREET1_Import_Export!$B442:$D442+0,Z$45:Z$47+0))+(MMULT(GREET1_Import_Export!$B109:$D109+0,Z$45:Z$47+0))))/1000000</f>
        <v>25.323852075998538</v>
      </c>
      <c r="AA66" s="817">
        <f t="array" ref="AA66">AA$43*(AA$50*((MMULT(GREET1_Import_Export!$C442:$D442+0,AA$46:AA$47+0))+(MMULT(GREET1_Import_Export!$G94:$H94+0,AA$46:AA$47+0)))+AA$51*((MMULT(GREET1_Import_Export!$C442:$D442+0,AA$46:AA$47+0))+(MMULT(GREET1_Import_Export!$G109:$H109+0,AA$46:AA$47+0))))/1000000</f>
        <v>6.1294419776698212E-3</v>
      </c>
      <c r="AB66" s="749" cm="1">
        <f t="array" ref="AB66">AB$43*(AB$50*((MMULT(GREET1_Import_Export!$B442:$D442+0,AB$45:AB$47+0))+(MMULT(GREET1_Import_Export!$B94:$D94+0,AB$45:AB$47+0)))+AB$51*((MMULT(GREET1_Import_Export!$B442:$D442+0,AB$45:AB$47+0))+(MMULT(GREET1_Import_Export!$B109:$D109+0,AB$45:AB$47+0))))/1000000</f>
        <v>0</v>
      </c>
      <c r="AC66" s="1463" cm="1">
        <f t="array" ref="AC66">AC$43*(AC$50*((MMULT(GREET1_Import_Export!$C442:$D442+0,AC$46:AC$47+0))+(MMULT(GREET1_Import_Export!$E94:$F94+0,AC$46:AC$47+0)))+AC$51*((MMULT(GREET1_Import_Export!$C442:$D442+0,AC$46:AC$47+0))+(MMULT(GREET1_Import_Export!$E109:$F109+0,AC$46:AC$47+0))))/1000000</f>
        <v>4.9817879775279593E-2</v>
      </c>
      <c r="AD66" s="817" cm="1">
        <f t="array" ref="AD66">AD$43*(AD$50*((MMULT(GREET1_Import_Export!$C442:$D442+0,AD$46:AD$47+0))+(MMULT(GREET1_Import_Export!$G94:$H94+0,AD$46:AD$47+0)))+AD$51*((MMULT(GREET1_Import_Export!$C442:$D442+0,AD$46:AD$47+0))+(MMULT(GREET1_Import_Export!$G109:$H109+0,AD$46:AD$47+0))))/1000000</f>
        <v>2.7582488899514191E-2</v>
      </c>
      <c r="AE66" s="1463" cm="1">
        <f t="array" ref="AE66">AE$43*(AE$50*((MMULT(GREET1_Import_Export!$B442:$D442+0,AE$45:AE$47+0))+(MMULT(GREET1_Import_Export!$B94:$D94+0,AE$45:AE$47+0)))+AE$51*((MMULT(GREET1_Import_Export!$B442:$D442+0,AE$45:AE$47+0))+(MMULT(GREET1_Import_Export!$B109:$D109+0,AE$45:AE$47+0))))/1000000</f>
        <v>11.341778124878234</v>
      </c>
      <c r="AF66" s="1463" cm="1">
        <f t="array" ref="AF66">AF$43*(AF$50*((MMULT(GREET1_Import_Export!$C442:$D442+0,AF$46:AF$47+0))+(MMULT(GREET1_Import_Export!$E94:$F94+0,AF$46:AF$47+0)))+AF$51*((MMULT(GREET1_Import_Export!$C442:$D442+0,AF$46:AF$47+0))+(MMULT(GREET1_Import_Export!$E109:$F109+0,AF$46:AF$47+0))))/1000000</f>
        <v>0</v>
      </c>
      <c r="AG66" s="817" cm="1">
        <f t="array" ref="AG66">AG$43*(AG$50*((MMULT(GREET1_Import_Export!$C442:$D442+0,AG$46:AG$47+0))+(MMULT(GREET1_Import_Export!$G94:$H94+0,AG$46:AG$47+0)))+AG$51*((MMULT(GREET1_Import_Export!$C442:$D442+0,AG$46:AG$47+0))+(MMULT(GREET1_Import_Export!$G109:$H109+0,AG$46:AG$47+0))))/1000000</f>
        <v>1.8388325933009462E-2</v>
      </c>
      <c r="AH66" s="1463" cm="1">
        <f t="array" ref="AH66">AH$43*(AH$50*((MMULT(GREET1_Import_Export!$B442:$D442+0,AH$45:AH$47+0))+(MMULT(GREET1_Import_Export!$B94:$D94+0,AH$45:AH$47+0)))+AH$51*((MMULT(GREET1_Import_Export!$B442:$D442+0,AH$45:AH$47+0))+(MMULT(GREET1_Import_Export!$B109:$D109+0,AH$45:AH$47+0))))/1000000</f>
        <v>0</v>
      </c>
      <c r="AI66" s="817" cm="1">
        <f t="array" ref="AI66">AI$43*(AI$50*((MMULT(GREET1_Import_Export!$C442:$D442+0,AI$46:AI$47+0))+(MMULT(GREET1_Import_Export!$G94:$H94+0,AI$46:AI$47+0)))+AI$51*((MMULT(GREET1_Import_Export!$C442:$D442+0,AI$46:AI$47+0))+(MMULT(GREET1_Import_Export!$G109:$H109+0,AI$46:AI$47+0))))/1000000</f>
        <v>1.8388325933009462E-2</v>
      </c>
      <c r="AJ66" s="1463" cm="1">
        <f t="array" ref="AJ66">AJ$43*(AJ$50*((MMULT(GREET1_Import_Export!$B442:$D442+0,AJ$45:AJ$47+0))+(MMULT(GREET1_Import_Export!$B94:$D94+0,AJ$45:AJ$47+0)))+AJ$51*((MMULT(GREET1_Import_Export!$B442:$D442+0,AJ$45:AJ$47+0))+(MMULT(GREET1_Import_Export!$B109:$D109+0,AJ$45:AJ$47+0))))/1000000</f>
        <v>0</v>
      </c>
      <c r="AK66" s="817" cm="1">
        <f t="array" ref="AK66">AK$43*(AK$50*((MMULT(GREET1_Import_Export!$C442:$D442+0,AK$46:AK$47+0))+(MMULT(GREET1_Import_Export!$G94:$H94+0,AK$46:AK$47+0)))+AK$51*((MMULT(GREET1_Import_Export!$C442:$D442+0,AK$46:AK$47+0))+(MMULT(GREET1_Import_Export!$G109:$H109+0,AK$46:AK$47+0))))/1000000</f>
        <v>1.8388325933009462E-2</v>
      </c>
      <c r="AM66" s="38"/>
      <c r="AN66" s="38"/>
      <c r="AO66" s="38"/>
    </row>
    <row r="67" spans="1:51">
      <c r="A67" s="29" t="s">
        <v>2110</v>
      </c>
      <c r="B67" s="2829">
        <f t="array" ref="B67">B$43*(B$50*((MMULT(GREET1_Import_Export!$C443:$D443+0,B$46:B$47+0))+(MMULT(GREET1_Import_Export!$G95:$H95+0,B$46:B$47+0)))+B$51*((MMULT(GREET1_Import_Export!$C443:$D443+0,B$46:B$47+0))+(MMULT(GREET1_Import_Export!$G110:$H110+0,B$46:B$47+0))))/1000000</f>
        <v>8.7002539276104254E-2</v>
      </c>
      <c r="C67" s="2830">
        <f t="array" ref="C67">C$43*(C$50*((MMULT(GREET1_Import_Export!$C443:$D443+0,C$46:C$47+0))+(MMULT(GREET1_Import_Export!$G95:$H95+0,C$46:C$47+0)))+C$51*((MMULT(GREET1_Import_Export!$C443:$D443+0,C$46:C$47+0))+(MMULT(GREET1_Import_Export!$G110:$H110+0,C$46:C$47+0))))/1000000</f>
        <v>8.7002539276104254E-2</v>
      </c>
      <c r="D67" s="2830">
        <f t="array" ref="D67">D$43*(D$50*((MMULT(GREET1_Import_Export!$C443:$D443+0,D$46:D$47+0))+(MMULT(GREET1_Import_Export!$E95:$F95+0,D$46:D$47+0)))+D$51*((MMULT(GREET1_Import_Export!$C443:$D443+0,D$46:D$47+0))+(MMULT(GREET1_Import_Export!$E110:$F110+0,D$46:D$47+0))))/1000000</f>
        <v>4.7378471996230873</v>
      </c>
      <c r="E67" s="2829">
        <f t="array" ref="E67">E$43*(E$50*((MMULT(GREET1_Import_Export!$C443:$D443+0,E$46:E$47+0))+(MMULT(GREET1_Import_Export!$G95:$H95+0,E$46:E$47+0)))+E$51*((MMULT(GREET1_Import_Export!$C443:$D443+0,E$46:E$47+0))+(MMULT(GREET1_Import_Export!$G110:$H110+0,E$46:E$47+0))))/1000000</f>
        <v>0.2349068560454815</v>
      </c>
      <c r="F67" s="2830">
        <f t="array" ref="F67">F$43*(F$50*((MMULT(GREET1_Import_Export!$C443:$D443+0,F$46:F$47+0))+(MMULT(GREET1_Import_Export!$G95:$H95+0,F$46:F$47+0)))+F$51*((MMULT(GREET1_Import_Export!$C443:$D443+0,F$46:F$47+0))+(MMULT(GREET1_Import_Export!$G110:$H110+0,F$46:F$47+0))))/1000000</f>
        <v>9.3962742418192604E-3</v>
      </c>
      <c r="G67" s="2829">
        <f t="array" ref="G67">G$43*(G$50*((MMULT(GREET1_Import_Export!$C443:$D443+0,G$46:G$47+0))+(MMULT(GREET1_Import_Export!$G95:$H95+0,G$46:G$47+0)))+G$51*((MMULT(GREET1_Import_Export!$C443:$D443+0,G$46:G$47+0))+(MMULT(GREET1_Import_Export!$G110:$H110+0,G$46:G$47+0))))/1000000</f>
        <v>6.2641828278795067E-2</v>
      </c>
      <c r="H67" s="2831">
        <f t="array" ref="H67">H$43*(H$50*((MMULT(GREET1_Import_Export!$B443:$D443+0,H$45:H$47+0))+(MMULT(GREET1_Import_Export!$B95:$D95+0,H$45:H$47+0)))+H$51*((MMULT(GREET1_Import_Export!$B443:$D443+0,H$45:H$47+0))+(MMULT(GREET1_Import_Export!$B110:$D110+0,H$45:H$47+0))))/1000000</f>
        <v>33.364322265933531</v>
      </c>
      <c r="I67" s="2832">
        <f t="array" ref="I67">I$43*(I$50*((MMULT(GREET1_Import_Export!$C443:$D443+0,I$46:I$47+0))+(MMULT(GREET1_Import_Export!$G95:$H95+0,I$46:I$47+0)))+I$51*((MMULT(GREET1_Import_Export!$C443:$D443+0,I$46:I$47+0))+(MMULT(GREET1_Import_Export!$G110:$H110+0,I$46:I$47+0))))/1000000</f>
        <v>0.36976079192344313</v>
      </c>
      <c r="J67" s="2830">
        <f t="array" ref="J67">J$43*(J$50*((MMULT(GREET1_Import_Export!$B443:$D443+0,J$45:J$47+0))+(MMULT(GREET1_Import_Export!$B95:$D95+0,J$45:J$47+0)))+J$51*((MMULT(GREET1_Import_Export!$B443:$D443+0,J$45:J$47+0))+(MMULT(GREET1_Import_Export!$B110:$D110+0,J$45:J$47+0))))/1000000</f>
        <v>64.878378959648501</v>
      </c>
      <c r="K67" s="2832">
        <f t="array" ref="K67">K$43*(K$50*((MMULT(GREET1_Import_Export!$C443:$D443+0,K$46:K$47+0))+(MMULT(GREET1_Import_Export!$G95:$H95+0,K$46:K$47+0)))+K$51*((MMULT(GREET1_Import_Export!$C443:$D443+0,K$46:K$47+0))+(MMULT(GREET1_Import_Export!$G110:$H110+0,K$46:K$47+0))))/1000000</f>
        <v>1.0875317409513032E-2</v>
      </c>
      <c r="L67" s="2833">
        <f t="array" ref="L67">L$43*(L$50*((MMULT(GREET1_Import_Export!$C443:$D443+0,L$46:L$47+0))+(MMULT(GREET1_Import_Export!$G95:$H95+0,L$46:L$47+0)))+L$51*((MMULT(GREET1_Import_Export!$C443:$D443+0,L$46:L$47+0))+(MMULT(GREET1_Import_Export!$G110:$H110+0,L$46:L$47+0))))/1000000</f>
        <v>0.1342872049492484</v>
      </c>
      <c r="M67" s="2774">
        <f t="array" ref="M67">M$43*(M$50*((MMULT(GREET1_Import_Export!$C443:$D443+0,M$46:M$47+0))+(MMULT(GREET1_Import_Export!$G95:$H95+0,M$46:M$47+0)))+M$51*((MMULT(GREET1_Import_Export!$C443:$D443+0,M$46:M$47+0))+(MMULT(GREET1_Import_Export!$G110:$H110+0,M$46:M$47+0))))/1000000</f>
        <v>7.3484944850603945E-2</v>
      </c>
      <c r="N67" s="2774">
        <f t="array" ref="N67">N$43*(N$50*((MMULT(GREET1_Import_Export!$C443:$D443+0,N$46:N$47+0))+(MMULT(GREET1_Import_Export!$E95:$F95+0,N$46:N$47+0)))+N$51*((MMULT(GREET1_Import_Export!$C443:$D443+0,N$46:N$47+0))+(MMULT(GREET1_Import_Export!$E110:$F110+0,N$46:N$47+0))))/1000000</f>
        <v>2.1343722782243844</v>
      </c>
      <c r="O67" s="2833">
        <f t="array" ref="O67">O$43*(O$50*((MMULT(GREET1_Import_Export!$C443:$D443+0,O$46:O$47+0))+(MMULT(GREET1_Import_Export!$G95:$H95+0,O$46:O$47+0)))+O$51*((MMULT(GREET1_Import_Export!$C443:$D443+0,O$46:O$47+0))+(MMULT(GREET1_Import_Export!$G110:$H110+0,O$46:O$47+0))))/1000000</f>
        <v>7.3484944850603848E-2</v>
      </c>
      <c r="P67" s="2833">
        <f t="array" ref="P67">P$43*(P$50*((MMULT(GREET1_Import_Export!$C443:$D443+0,P$46:P$47+0))+(MMULT(GREET1_Import_Export!$G95:$H95+0,P$46:P$47+0)))+P$51*((MMULT(GREET1_Import_Export!$C443:$D443+0,P$46:P$47+0))+(MMULT(GREET1_Import_Export!$G110:$H110+0,P$46:P$47+0))))/1000000</f>
        <v>0.54870610994307367</v>
      </c>
      <c r="Q67" s="2833">
        <f t="array" ref="Q67">Q$43*(Q$50*((MMULT(GREET1_Import_Export!$C443:$D443+0,Q$46:Q$47+0))+(MMULT(GREET1_Import_Export!$G95:$H95+0,Q$46:Q$47+0)))+Q$51*((MMULT(GREET1_Import_Export!$C443:$D443+0,Q$46:Q$47+0))+(MMULT(GREET1_Import_Export!$G110:$H110+0,Q$46:Q$47+0))))/1000000</f>
        <v>0.54870610994307367</v>
      </c>
      <c r="R67" s="2774">
        <f t="array" ref="R67">R$43*(R$50*((MMULT(GREET1_Import_Export!$B443:$D443+0,R$45:R$47+0))+(MMULT(GREET1_Import_Export!$B95:$D95+0,R$45:R$47+0)))+R$51*((MMULT(GREET1_Import_Export!$B443:$D443+0,R$45:R$47+0))+(MMULT(GREET1_Import_Export!$B110:$D110+0,R$45:R$47+0))))/1000000</f>
        <v>28.603775909192823</v>
      </c>
      <c r="S67" s="2775">
        <f t="array" ref="S67">S$43*(S$50*((MMULT(GREET1_Import_Export!$C443:$D443+0,S$46:S$47+0))+(MMULT(GREET1_Import_Export!$G95:$H95+0,S$46:S$47+0)))+S$51*((MMULT(GREET1_Import_Export!$C443:$D443+0,S$46:S$47+0))+(MMULT(GREET1_Import_Export!$G110:$H110+0,S$46:S$47+0))))/1000000</f>
        <v>0.42972717749592299</v>
      </c>
      <c r="T67" s="2769">
        <f t="array" ref="T67">T$43*(T$50*((MMULT(GREET1_Import_Export!$B443:$D443+0,T$45:T$47+0))+(MMULT(GREET1_Import_Export!$B95:$D95+0,T$45:T$47+0)))+T$51*((MMULT(GREET1_Import_Export!$B443:$D443+0,T$45:T$47+0))+(MMULT(GREET1_Import_Export!$B110:$D110+0,T$45:T$47+0))))/1000000</f>
        <v>3.5489411099224439E-3</v>
      </c>
      <c r="U67" s="2774">
        <f t="array" ref="U67">U$43*(U$50*((MMULT(GREET1_Import_Export!$C443:$D443+0,U$46:U$47+0))+(MMULT(GREET1_Import_Export!$G95:$H95+0,U$46:U$47+0)))+U$51*((MMULT(GREET1_Import_Export!$C443:$D443+0,U$46:U$47+0))+(MMULT(GREET1_Import_Export!$G110:$H110+0,U$46:U$47+0))))/1000000</f>
        <v>2.5709251105576135E-4</v>
      </c>
      <c r="V67" s="2775">
        <f t="array" ref="V67">V$43*(V$50*((MMULT(GREET1_Import_Export!$C443:$D443+0,V$46:V$47+0))+(MMULT(GREET1_Import_Export!$E95:$F95+0,V$46:V$47+0)))+V$51*((MMULT(GREET1_Import_Export!$C443:$D443+0,V$46:V$47+0))+(MMULT(GREET1_Import_Export!$E110:$F110+0,V$46:V$47+0))))/1000000</f>
        <v>1.6920882855796743E-3</v>
      </c>
      <c r="W67" s="2775">
        <f>W$43*(W$50*((GREET1_Import_Export!$C443*W$46)+(GREET1_Import_Export!$I95*W$46))+W$51*((GREET1_Import_Export!$C443*W$46)+(GREET1_Import_Export!$I95*W$46)))/1000000</f>
        <v>9.5127738710434776E-4</v>
      </c>
      <c r="X67" s="753">
        <f t="array" ref="X67">X$43*(X$50*((MMULT(GREET1_Import_Export!$B443:$D443+0,X$45:X$47+0))+(MMULT(GREET1_Import_Export!$B95:$D95+0,X$45:X$47+0)))+X$51*((MMULT(GREET1_Import_Export!$B443:$D443+0,X$45:X$47+0))+(MMULT(GREET1_Import_Export!$B110:$D110+0,X$45:X$47+0))))/1000000</f>
        <v>32.710119868562288</v>
      </c>
      <c r="Y67" s="1082">
        <f t="array" ref="Y67">Y$43*(Y$50*((MMULT(GREET1_Import_Export!$C443:$D443+0,Y$46:Y$47+0))+(MMULT(GREET1_Import_Export!$G95:$H95+0,Y$46:Y$47+0)))+Y$51*((MMULT(GREET1_Import_Export!$C443:$D443+0,Y$46:Y$47+0))+(MMULT(GREET1_Import_Export!$G110:$H110+0,Y$46:Y$47+0))))/1000000</f>
        <v>9.3962742418192607E-2</v>
      </c>
      <c r="Z67" s="749">
        <f t="array" ref="Z67">Z$43*(Z$50*((MMULT(GREET1_Import_Export!$B443:$D443+0,Z$45:Z$47+0))+(MMULT(GREET1_Import_Export!$B95:$D95+0,Z$45:Z$47+0)))+Z$51*((MMULT(GREET1_Import_Export!$B443:$D443+0,Z$45:Z$47+0))+(MMULT(GREET1_Import_Export!$B110:$D110+0,Z$45:Z$47+0))))/1000000</f>
        <v>65.731458069207349</v>
      </c>
      <c r="AA67" s="817">
        <f t="array" ref="AA67">AA$43*(AA$50*((MMULT(GREET1_Import_Export!$C443:$D443+0,AA$46:AA$47+0))+(MMULT(GREET1_Import_Export!$G95:$H95+0,AA$46:AA$47+0)))+AA$51*((MMULT(GREET1_Import_Export!$C443:$D443+0,AA$46:AA$47+0))+(MMULT(GREET1_Import_Export!$G110:$H110+0,AA$46:AA$47+0))))/1000000</f>
        <v>1.0875317409513032E-2</v>
      </c>
      <c r="AB67" s="749" cm="1">
        <f t="array" ref="AB67">AB$43*(AB$50*((MMULT(GREET1_Import_Export!$B443:$D443+0,AB$45:AB$47+0))+(MMULT(GREET1_Import_Export!$B95:$D95+0,AB$45:AB$47+0)))+AB$51*((MMULT(GREET1_Import_Export!$B443:$D443+0,AB$45:AB$47+0))+(MMULT(GREET1_Import_Export!$B110:$D110+0,AB$45:AB$47+0))))/1000000</f>
        <v>0</v>
      </c>
      <c r="AC67" s="1463" cm="1">
        <f t="array" ref="AC67">AC$43*(AC$50*((MMULT(GREET1_Import_Export!$C443:$D443+0,AC$46:AC$47+0))+(MMULT(GREET1_Import_Export!$E95:$F95+0,AC$46:AC$47+0)))+AC$51*((MMULT(GREET1_Import_Export!$C443:$D443+0,AC$46:AC$47+0))+(MMULT(GREET1_Import_Export!$E110:$F110+0,AC$46:AC$47+0))))/1000000</f>
        <v>0.42302207139491854</v>
      </c>
      <c r="AD67" s="817" cm="1">
        <f t="array" ref="AD67">AD$43*(AD$50*((MMULT(GREET1_Import_Export!$C443:$D443+0,AD$46:AD$47+0))+(MMULT(GREET1_Import_Export!$G95:$H95+0,AD$46:AD$47+0)))+AD$51*((MMULT(GREET1_Import_Export!$C443:$D443+0,AD$46:AD$47+0))+(MMULT(GREET1_Import_Export!$G110:$H110+0,AD$46:AD$47+0))))/1000000</f>
        <v>4.8938928342808649E-2</v>
      </c>
      <c r="AE67" s="1463" cm="1">
        <f t="array" ref="AE67">AE$43*(AE$50*((MMULT(GREET1_Import_Export!$B443:$D443+0,AE$45:AE$47+0))+(MMULT(GREET1_Import_Export!$B95:$D95+0,AE$45:AE$47+0)))+AE$51*((MMULT(GREET1_Import_Export!$B443:$D443+0,AE$45:AE$47+0))+(MMULT(GREET1_Import_Export!$B110:$D110+0,AE$45:AE$47+0))))/1000000</f>
        <v>29.439107881706054</v>
      </c>
      <c r="AF67" s="1463" cm="1">
        <f t="array" ref="AF67">AF$43*(AF$50*((MMULT(GREET1_Import_Export!$C443:$D443+0,AF$46:AF$47+0))+(MMULT(GREET1_Import_Export!$E95:$F95+0,AF$46:AF$47+0)))+AF$51*((MMULT(GREET1_Import_Export!$C443:$D443+0,AF$46:AF$47+0))+(MMULT(GREET1_Import_Export!$E110:$F110+0,AF$46:AF$47+0))))/1000000</f>
        <v>0</v>
      </c>
      <c r="AG67" s="817" cm="1">
        <f t="array" ref="AG67">AG$43*(AG$50*((MMULT(GREET1_Import_Export!$C443:$D443+0,AG$46:AG$47+0))+(MMULT(GREET1_Import_Export!$G95:$H95+0,AG$46:AG$47+0)))+AG$51*((MMULT(GREET1_Import_Export!$C443:$D443+0,AG$46:AG$47+0))+(MMULT(GREET1_Import_Export!$G110:$H110+0,AG$46:AG$47+0))))/1000000</f>
        <v>3.2625952228539097E-2</v>
      </c>
      <c r="AH67" s="1463" cm="1">
        <f t="array" ref="AH67">AH$43*(AH$50*((MMULT(GREET1_Import_Export!$B443:$D443+0,AH$45:AH$47+0))+(MMULT(GREET1_Import_Export!$B95:$D95+0,AH$45:AH$47+0)))+AH$51*((MMULT(GREET1_Import_Export!$B443:$D443+0,AH$45:AH$47+0))+(MMULT(GREET1_Import_Export!$B110:$D110+0,AH$45:AH$47+0))))/1000000</f>
        <v>0</v>
      </c>
      <c r="AI67" s="817" cm="1">
        <f t="array" ref="AI67">AI$43*(AI$50*((MMULT(GREET1_Import_Export!$C443:$D443+0,AI$46:AI$47+0))+(MMULT(GREET1_Import_Export!$G95:$H95+0,AI$46:AI$47+0)))+AI$51*((MMULT(GREET1_Import_Export!$C443:$D443+0,AI$46:AI$47+0))+(MMULT(GREET1_Import_Export!$G110:$H110+0,AI$46:AI$47+0))))/1000000</f>
        <v>3.2625952228539097E-2</v>
      </c>
      <c r="AJ67" s="1463" cm="1">
        <f t="array" ref="AJ67">AJ$43*(AJ$50*((MMULT(GREET1_Import_Export!$B443:$D443+0,AJ$45:AJ$47+0))+(MMULT(GREET1_Import_Export!$B95:$D95+0,AJ$45:AJ$47+0)))+AJ$51*((MMULT(GREET1_Import_Export!$B443:$D443+0,AJ$45:AJ$47+0))+(MMULT(GREET1_Import_Export!$B110:$D110+0,AJ$45:AJ$47+0))))/1000000</f>
        <v>0</v>
      </c>
      <c r="AK67" s="817" cm="1">
        <f t="array" ref="AK67">AK$43*(AK$50*((MMULT(GREET1_Import_Export!$C443:$D443+0,AK$46:AK$47+0))+(MMULT(GREET1_Import_Export!$G95:$H95+0,AK$46:AK$47+0)))+AK$51*((MMULT(GREET1_Import_Export!$C443:$D443+0,AK$46:AK$47+0))+(MMULT(GREET1_Import_Export!$G110:$H110+0,AK$46:AK$47+0))))/1000000</f>
        <v>3.2625952228539097E-2</v>
      </c>
      <c r="AM67" s="38"/>
      <c r="AN67" s="38"/>
      <c r="AO67" s="38"/>
    </row>
    <row r="68" spans="1:51">
      <c r="A68" s="29" t="s">
        <v>2272</v>
      </c>
      <c r="B68" s="2829">
        <f t="array" ref="B68">B$43*(B$50*((MMULT(GREET1_Import_Export!$C444:$D444+0,B$46:B$47+0))+(MMULT(GREET1_Import_Export!$G96:$H96+0,B$46:B$47+0)))+B$51*((MMULT(GREET1_Import_Export!$C444:$D444+0,B$46:B$47+0))+(MMULT(GREET1_Import_Export!$G111:$H111+0,B$46:B$47+0))))/1000000</f>
        <v>26.292796850597114</v>
      </c>
      <c r="C68" s="2830">
        <f t="array" ref="C68">C$43*(C$50*((MMULT(GREET1_Import_Export!$C444:$D444+0,C$46:C$47+0))+(MMULT(GREET1_Import_Export!$G96:$H96+0,C$46:C$47+0)))+C$51*((MMULT(GREET1_Import_Export!$C444:$D444+0,C$46:C$47+0))+(MMULT(GREET1_Import_Export!$G111:$H111+0,C$46:C$47+0))))/1000000</f>
        <v>26.292796850597114</v>
      </c>
      <c r="D68" s="2830">
        <f t="array" ref="D68">D$43*(D$50*((MMULT(GREET1_Import_Export!$C444:$D444+0,D$46:D$47+0))+(MMULT(GREET1_Import_Export!$E96:$F96+0,D$46:D$47+0)))+D$51*((MMULT(GREET1_Import_Export!$C444:$D444+0,D$46:D$47+0))+(MMULT(GREET1_Import_Export!$E111:$F111+0,D$46:D$47+0))))/1000000</f>
        <v>88.952302367838158</v>
      </c>
      <c r="E68" s="2829">
        <f t="array" ref="E68">E$43*(E$50*((MMULT(GREET1_Import_Export!$C444:$D444+0,E$46:E$47+0))+(MMULT(GREET1_Import_Export!$G96:$H96+0,E$46:E$47+0)))+E$51*((MMULT(GREET1_Import_Export!$C444:$D444+0,E$46:E$47+0))+(MMULT(GREET1_Import_Export!$G111:$H111+0,E$46:E$47+0))))/1000000</f>
        <v>70.990551496612213</v>
      </c>
      <c r="F68" s="2830">
        <f t="array" ref="F68">F$43*(F$50*((MMULT(GREET1_Import_Export!$C444:$D444+0,F$46:F$47+0))+(MMULT(GREET1_Import_Export!$G96:$H96+0,F$46:F$47+0)))+F$51*((MMULT(GREET1_Import_Export!$C444:$D444+0,F$46:F$47+0))+(MMULT(GREET1_Import_Export!$G111:$H111+0,F$46:F$47+0))))/1000000</f>
        <v>2.8396220598644879</v>
      </c>
      <c r="G68" s="2829">
        <f t="array" ref="G68">G$43*(G$50*((MMULT(GREET1_Import_Export!$C444:$D444+0,G$46:G$47+0))+(MMULT(GREET1_Import_Export!$G96:$H96+0,G$46:G$47+0)))+G$51*((MMULT(GREET1_Import_Export!$C444:$D444+0,G$46:G$47+0))+(MMULT(GREET1_Import_Export!$G111:$H111+0,G$46:G$47+0))))/1000000</f>
        <v>18.930813732429922</v>
      </c>
      <c r="H68" s="2831">
        <f t="array" ref="H68">H$43*(H$50*((MMULT(GREET1_Import_Export!$B444:$D444+0,H$45:H$47+0))+(MMULT(GREET1_Import_Export!$B96:$D96+0,H$45:H$47+0)))+H$51*((MMULT(GREET1_Import_Export!$B444:$D444+0,H$45:H$47+0))+(MMULT(GREET1_Import_Export!$B111:$D111+0,H$45:H$47+0))))/1000000</f>
        <v>53.823088018111207</v>
      </c>
      <c r="I68" s="2832">
        <f t="array" ref="I68">I$43*(I$50*((MMULT(GREET1_Import_Export!$C444:$D444+0,I$46:I$47+0))+(MMULT(GREET1_Import_Export!$G96:$H96+0,I$46:I$47+0)))+I$51*((MMULT(GREET1_Import_Export!$C444:$D444+0,I$46:I$47+0))+(MMULT(GREET1_Import_Export!$G111:$H111+0,I$46:I$47+0))))/1000000</f>
        <v>111.74438661503774</v>
      </c>
      <c r="J68" s="2830">
        <f t="array" ref="J68">J$43*(J$50*((MMULT(GREET1_Import_Export!$B444:$D444+0,J$45:J$47+0))+(MMULT(GREET1_Import_Export!$B96:$D96+0,J$45:J$47+0)))+J$51*((MMULT(GREET1_Import_Export!$B444:$D444+0,J$45:J$47+0))+(MMULT(GREET1_Import_Export!$B111:$D111+0,J$45:J$47+0))))/1000000</f>
        <v>104.66134073950538</v>
      </c>
      <c r="K68" s="2832">
        <f t="array" ref="K68">K$43*(K$50*((MMULT(GREET1_Import_Export!$C444:$D444+0,K$46:K$47+0))+(MMULT(GREET1_Import_Export!$G96:$H96+0,K$46:K$47+0)))+K$51*((MMULT(GREET1_Import_Export!$C444:$D444+0,K$46:K$47+0))+(MMULT(GREET1_Import_Export!$G111:$H111+0,K$46:K$47+0))))/1000000</f>
        <v>3.2865996063246392</v>
      </c>
      <c r="L68" s="2833">
        <f t="array" ref="L68">L$43*(L$50*((MMULT(GREET1_Import_Export!$C444:$D444+0,L$46:L$47+0))+(MMULT(GREET1_Import_Export!$G96:$H96+0,L$46:L$47+0)))+L$51*((MMULT(GREET1_Import_Export!$C444:$D444+0,L$46:L$47+0))+(MMULT(GREET1_Import_Export!$G111:$H111+0,L$46:L$47+0))))/1000000</f>
        <v>40.582564931352962</v>
      </c>
      <c r="M68" s="2774">
        <f t="array" ref="M68">M$43*(M$50*((MMULT(GREET1_Import_Export!$C444:$D444+0,M$46:M$47+0))+(MMULT(GREET1_Import_Export!$G96:$H96+0,M$46:M$47+0)))+M$51*((MMULT(GREET1_Import_Export!$C444:$D444+0,M$46:M$47+0))+(MMULT(GREET1_Import_Export!$G111:$H111+0,M$46:M$47+0))))/1000000</f>
        <v>22.60689496668607</v>
      </c>
      <c r="N68" s="2774">
        <f t="array" ref="N68">N$43*(N$50*((MMULT(GREET1_Import_Export!$C444:$D444+0,N$46:N$47+0))+(MMULT(GREET1_Import_Export!$E96:$F96+0,N$46:N$47+0)))+N$51*((MMULT(GREET1_Import_Export!$C444:$D444+0,N$46:N$47+0))+(MMULT(GREET1_Import_Export!$E111:$F111+0,N$46:N$47+0))))/1000000</f>
        <v>40.072488676555643</v>
      </c>
      <c r="O68" s="2833">
        <f t="array" ref="O68">O$43*(O$50*((MMULT(GREET1_Import_Export!$C444:$D444+0,O$46:O$47+0))+(MMULT(GREET1_Import_Export!$G96:$H96+0,O$46:O$47+0)))+O$51*((MMULT(GREET1_Import_Export!$C444:$D444+0,O$46:O$47+0))+(MMULT(GREET1_Import_Export!$G111:$H111+0,O$46:O$47+0))))/1000000</f>
        <v>22.606894966686042</v>
      </c>
      <c r="P68" s="2833">
        <f t="array" ref="P68">P$43*(P$50*((MMULT(GREET1_Import_Export!$C444:$D444+0,P$46:P$47+0))+(MMULT(GREET1_Import_Export!$G96:$H96+0,P$46:P$47+0)))+P$51*((MMULT(GREET1_Import_Export!$C444:$D444+0,P$46:P$47+0))+(MMULT(GREET1_Import_Export!$G111:$H111+0,P$46:P$47+0))))/1000000</f>
        <v>168.80384710474493</v>
      </c>
      <c r="Q68" s="2833">
        <f t="array" ref="Q68">Q$43*(Q$50*((MMULT(GREET1_Import_Export!$C444:$D444+0,Q$46:Q$47+0))+(MMULT(GREET1_Import_Export!$G96:$H96+0,Q$46:Q$47+0)))+Q$51*((MMULT(GREET1_Import_Export!$C444:$D444+0,Q$46:Q$47+0))+(MMULT(GREET1_Import_Export!$G111:$H111+0,Q$46:Q$47+0))))/1000000</f>
        <v>168.80384710474493</v>
      </c>
      <c r="R68" s="2774">
        <f t="array" ref="R68">R$43*(R$50*((MMULT(GREET1_Import_Export!$B444:$D444+0,R$45:R$47+0))+(MMULT(GREET1_Import_Export!$B96:$D96+0,R$45:R$47+0)))+R$51*((MMULT(GREET1_Import_Export!$B444:$D444+0,R$45:R$47+0))+(MMULT(GREET1_Import_Export!$B111:$D111+0,R$45:R$47+0))))/1000000</f>
        <v>46.143408403135986</v>
      </c>
      <c r="S68" s="2775">
        <f t="array" ref="S68">S$43*(S$50*((MMULT(GREET1_Import_Export!$C444:$D444+0,S$46:S$47+0))+(MMULT(GREET1_Import_Export!$G96:$H96+0,S$46:S$47+0)))+S$51*((MMULT(GREET1_Import_Export!$C444:$D444+0,S$46:S$47+0))+(MMULT(GREET1_Import_Export!$G111:$H111+0,S$46:S$47+0))))/1000000</f>
        <v>132.20119013127288</v>
      </c>
      <c r="T68" s="2769">
        <f t="array" ref="T68">T$43*(T$50*((MMULT(GREET1_Import_Export!$B444:$D444+0,T$45:T$47+0))+(MMULT(GREET1_Import_Export!$B96:$D96+0,T$45:T$47+0)))+T$51*((MMULT(GREET1_Import_Export!$B444:$D444+0,T$45:T$47+0))+(MMULT(GREET1_Import_Export!$B111:$D111+0,T$45:T$47+0))))/1000000</f>
        <v>5.7251266250201594E-3</v>
      </c>
      <c r="U68" s="2774">
        <f t="array" ref="U68">U$43*(U$50*((MMULT(GREET1_Import_Export!$C444:$D444+0,U$46:U$47+0))+(MMULT(GREET1_Import_Export!$G96:$H96+0,U$46:U$47+0)))+U$51*((MMULT(GREET1_Import_Export!$C444:$D444+0,U$46:U$47+0))+(MMULT(GREET1_Import_Export!$G111:$H111+0,U$46:U$47+0))))/1000000</f>
        <v>7.9091892985361706E-2</v>
      </c>
      <c r="V68" s="2775">
        <f t="array" ref="V68">V$43*(V$50*((MMULT(GREET1_Import_Export!$C444:$D444+0,V$46:V$47+0))+(MMULT(GREET1_Import_Export!$E96:$F96+0,V$46:V$47+0)))+V$51*((MMULT(GREET1_Import_Export!$C444:$D444+0,V$46:V$47+0))+(MMULT(GREET1_Import_Export!$E111:$F111+0,V$46:V$47+0))))/1000000</f>
        <v>3.1768679417085055E-2</v>
      </c>
      <c r="W68" s="2775">
        <f>W$43*(W$50*((GREET1_Import_Export!$C444*W$46)+(GREET1_Import_Export!$I96*W$46))+W$51*((GREET1_Import_Export!$C444*W$46)+(GREET1_Import_Export!$I96*W$46)))/1000000</f>
        <v>0.3141052294842448</v>
      </c>
      <c r="X68" s="753">
        <f t="array" ref="X68">X$43*(X$50*((MMULT(GREET1_Import_Export!$B444:$D444+0,X$45:X$47+0))+(MMULT(GREET1_Import_Export!$B96:$D96+0,X$45:X$47+0)))+X$51*((MMULT(GREET1_Import_Export!$B444:$D444+0,X$45:X$47+0))+(MMULT(GREET1_Import_Export!$B111:$D111+0,X$45:X$47+0))))/1000000</f>
        <v>52.767733351089419</v>
      </c>
      <c r="Y68" s="1082">
        <f t="array" ref="Y68">Y$43*(Y$50*((MMULT(GREET1_Import_Export!$C444:$D444+0,Y$46:Y$47+0))+(MMULT(GREET1_Import_Export!$G96:$H96+0,Y$46:Y$47+0)))+Y$51*((MMULT(GREET1_Import_Export!$C444:$D444+0,Y$46:Y$47+0))+(MMULT(GREET1_Import_Export!$G111:$H111+0,Y$46:Y$47+0))))/1000000</f>
        <v>28.396220598644877</v>
      </c>
      <c r="Z68" s="749">
        <f t="array" ref="Z68">Z$43*(Z$50*((MMULT(GREET1_Import_Export!$B444:$D444+0,Z$45:Z$47+0))+(MMULT(GREET1_Import_Export!$B96:$D96+0,Z$45:Z$47+0)))+Z$51*((MMULT(GREET1_Import_Export!$B444:$D444+0,Z$45:Z$47+0))+(MMULT(GREET1_Import_Export!$B111:$D111+0,Z$45:Z$47+0))))/1000000</f>
        <v>106.03752190794708</v>
      </c>
      <c r="AA68" s="817">
        <f t="array" ref="AA68">AA$43*(AA$50*((MMULT(GREET1_Import_Export!$C444:$D444+0,AA$46:AA$47+0))+(MMULT(GREET1_Import_Export!$G96:$H96+0,AA$46:AA$47+0)))+AA$51*((MMULT(GREET1_Import_Export!$C444:$D444+0,AA$46:AA$47+0))+(MMULT(GREET1_Import_Export!$G111:$H111+0,AA$46:AA$47+0))))/1000000</f>
        <v>3.2865996063246392</v>
      </c>
      <c r="AB68" s="749" cm="1">
        <f t="array" ref="AB68">AB$43*(AB$50*((MMULT(GREET1_Import_Export!$B444:$D444+0,AB$45:AB$47+0))+(MMULT(GREET1_Import_Export!$B96:$D96+0,AB$45:AB$47+0)))+AB$51*((MMULT(GREET1_Import_Export!$B444:$D444+0,AB$45:AB$47+0))+(MMULT(GREET1_Import_Export!$B111:$D111+0,AB$45:AB$47+0))))/1000000</f>
        <v>0</v>
      </c>
      <c r="AC68" s="1463" cm="1">
        <f t="array" ref="AC68">AC$43*(AC$50*((MMULT(GREET1_Import_Export!$C444:$D444+0,AC$46:AC$47+0))+(MMULT(GREET1_Import_Export!$E96:$F96+0,AC$46:AC$47+0)))+AC$51*((MMULT(GREET1_Import_Export!$C444:$D444+0,AC$46:AC$47+0))+(MMULT(GREET1_Import_Export!$E111:$F111+0,AC$46:AC$47+0))))/1000000</f>
        <v>7.9421698542712642</v>
      </c>
      <c r="AD68" s="817" cm="1">
        <f t="array" ref="AD68">AD$43*(AD$50*((MMULT(GREET1_Import_Export!$C444:$D444+0,AD$46:AD$47+0))+(MMULT(GREET1_Import_Export!$G96:$H96+0,AD$46:AD$47+0)))+AD$51*((MMULT(GREET1_Import_Export!$C444:$D444+0,AD$46:AD$47+0))+(MMULT(GREET1_Import_Export!$G111:$H111+0,AD$46:AD$47+0))))/1000000</f>
        <v>14.789698228460876</v>
      </c>
      <c r="AE68" s="1463" cm="1">
        <f t="array" ref="AE68">AE$43*(AE$50*((MMULT(GREET1_Import_Export!$B444:$D444+0,AE$45:AE$47+0))+(MMULT(GREET1_Import_Export!$B96:$D96+0,AE$45:AE$47+0)))+AE$51*((MMULT(GREET1_Import_Export!$B444:$D444+0,AE$45:AE$47+0))+(MMULT(GREET1_Import_Export!$B111:$D111+0,AE$45:AE$47+0))))/1000000</f>
        <v>47.490960015980477</v>
      </c>
      <c r="AF68" s="1463" cm="1">
        <f t="array" ref="AF68">AF$43*(AF$50*((MMULT(GREET1_Import_Export!$C444:$D444+0,AF$46:AF$47+0))+(MMULT(GREET1_Import_Export!$E96:$F96+0,AF$46:AF$47+0)))+AF$51*((MMULT(GREET1_Import_Export!$C444:$D444+0,AF$46:AF$47+0))+(MMULT(GREET1_Import_Export!$E111:$F111+0,AF$46:AF$47+0))))/1000000</f>
        <v>0</v>
      </c>
      <c r="AG68" s="817" cm="1">
        <f t="array" ref="AG68">AG$43*(AG$50*((MMULT(GREET1_Import_Export!$C444:$D444+0,AG$46:AG$47+0))+(MMULT(GREET1_Import_Export!$G96:$H96+0,AG$46:AG$47+0)))+AG$51*((MMULT(GREET1_Import_Export!$C444:$D444+0,AG$46:AG$47+0))+(MMULT(GREET1_Import_Export!$G111:$H111+0,AG$46:AG$47+0))))/1000000</f>
        <v>9.8597988189739176</v>
      </c>
      <c r="AH68" s="1463" cm="1">
        <f t="array" ref="AH68">AH$43*(AH$50*((MMULT(GREET1_Import_Export!$B444:$D444+0,AH$45:AH$47+0))+(MMULT(GREET1_Import_Export!$B96:$D96+0,AH$45:AH$47+0)))+AH$51*((MMULT(GREET1_Import_Export!$B444:$D444+0,AH$45:AH$47+0))+(MMULT(GREET1_Import_Export!$B111:$D111+0,AH$45:AH$47+0))))/1000000</f>
        <v>0</v>
      </c>
      <c r="AI68" s="817" cm="1">
        <f t="array" ref="AI68">AI$43*(AI$50*((MMULT(GREET1_Import_Export!$C444:$D444+0,AI$46:AI$47+0))+(MMULT(GREET1_Import_Export!$G96:$H96+0,AI$46:AI$47+0)))+AI$51*((MMULT(GREET1_Import_Export!$C444:$D444+0,AI$46:AI$47+0))+(MMULT(GREET1_Import_Export!$G111:$H111+0,AI$46:AI$47+0))))/1000000</f>
        <v>9.8597988189739176</v>
      </c>
      <c r="AJ68" s="1463" cm="1">
        <f t="array" ref="AJ68">AJ$43*(AJ$50*((MMULT(GREET1_Import_Export!$B444:$D444+0,AJ$45:AJ$47+0))+(MMULT(GREET1_Import_Export!$B96:$D96+0,AJ$45:AJ$47+0)))+AJ$51*((MMULT(GREET1_Import_Export!$B444:$D444+0,AJ$45:AJ$47+0))+(MMULT(GREET1_Import_Export!$B111:$D111+0,AJ$45:AJ$47+0))))/1000000</f>
        <v>0</v>
      </c>
      <c r="AK68" s="817" cm="1">
        <f t="array" ref="AK68">AK$43*(AK$50*((MMULT(GREET1_Import_Export!$C444:$D444+0,AK$46:AK$47+0))+(MMULT(GREET1_Import_Export!$G96:$H96+0,AK$46:AK$47+0)))+AK$51*((MMULT(GREET1_Import_Export!$C444:$D444+0,AK$46:AK$47+0))+(MMULT(GREET1_Import_Export!$G111:$H111+0,AK$46:AK$47+0))))/1000000</f>
        <v>9.8597988189739176</v>
      </c>
      <c r="AM68" s="38"/>
      <c r="AN68" s="38"/>
      <c r="AO68" s="38"/>
    </row>
    <row r="69" spans="1:51">
      <c r="A69" s="29" t="s">
        <v>2273</v>
      </c>
      <c r="B69" s="2829">
        <f t="array" ref="B69">B$43*(B$50*((MMULT(GREET1_Import_Export!$C445:$D445+0,B$46:B$47+0))+(MMULT(GREET1_Import_Export!$G97:$H97+0,B$46:B$47+0)))+B$51*((MMULT(GREET1_Import_Export!$C445:$D445+0,B$46:B$47+0))+(MMULT(GREET1_Import_Export!$G112:$H112+0,B$46:B$47+0))))/1000000</f>
        <v>8.1376792621820043E-2</v>
      </c>
      <c r="C69" s="2830">
        <f t="array" ref="C69">C$43*(C$50*((MMULT(GREET1_Import_Export!$C445:$D445+0,C$46:C$47+0))+(MMULT(GREET1_Import_Export!$G97:$H97+0,C$46:C$47+0)))+C$51*((MMULT(GREET1_Import_Export!$C445:$D445+0,C$46:C$47+0))+(MMULT(GREET1_Import_Export!$G112:$H112+0,C$46:C$47+0))))/1000000</f>
        <v>8.1376792621820043E-2</v>
      </c>
      <c r="D69" s="2830">
        <f t="array" ref="D69">D$43*(D$50*((MMULT(GREET1_Import_Export!$C445:$D445+0,D$46:D$47+0))+(MMULT(GREET1_Import_Export!$E97:$F97+0,D$46:D$47+0)))+D$51*((MMULT(GREET1_Import_Export!$C445:$D445+0,D$46:D$47+0))+(MMULT(GREET1_Import_Export!$E112:$F112+0,D$46:D$47+0))))/1000000</f>
        <v>1.7999091118283415</v>
      </c>
      <c r="E69" s="2829">
        <f t="array" ref="E69">E$43*(E$50*((MMULT(GREET1_Import_Export!$C445:$D445+0,E$46:E$47+0))+(MMULT(GREET1_Import_Export!$G97:$H97+0,E$46:E$47+0)))+E$51*((MMULT(GREET1_Import_Export!$C445:$D445+0,E$46:E$47+0))+(MMULT(GREET1_Import_Export!$G112:$H112+0,E$46:E$47+0))))/1000000</f>
        <v>0.21971734007891408</v>
      </c>
      <c r="F69" s="2830">
        <f t="array" ref="F69">F$43*(F$50*((MMULT(GREET1_Import_Export!$C445:$D445+0,F$46:F$47+0))+(MMULT(GREET1_Import_Export!$G97:$H97+0,F$46:F$47+0)))+F$51*((MMULT(GREET1_Import_Export!$C445:$D445+0,F$46:F$47+0))+(MMULT(GREET1_Import_Export!$G112:$H112+0,F$46:F$47+0))))/1000000</f>
        <v>8.7886936031565631E-3</v>
      </c>
      <c r="G69" s="2829">
        <f t="array" ref="G69">G$43*(G$50*((MMULT(GREET1_Import_Export!$C445:$D445+0,G$46:G$47+0))+(MMULT(GREET1_Import_Export!$G97:$H97+0,G$46:G$47+0)))+G$51*((MMULT(GREET1_Import_Export!$C445:$D445+0,G$46:G$47+0))+(MMULT(GREET1_Import_Export!$G112:$H112+0,G$46:G$47+0))))/1000000</f>
        <v>5.8591290687710428E-2</v>
      </c>
      <c r="H69" s="2831">
        <f t="array" ref="H69">H$43*(H$50*((MMULT(GREET1_Import_Export!$B445:$D445+0,H$45:H$47+0))+(MMULT(GREET1_Import_Export!$B97:$D97+0,H$45:H$47+0)))+H$51*((MMULT(GREET1_Import_Export!$B445:$D445+0,H$45:H$47+0))+(MMULT(GREET1_Import_Export!$B112:$D112+0,H$45:H$47+0))))/1000000</f>
        <v>1.1046511184937435</v>
      </c>
      <c r="I69" s="2832">
        <f t="array" ref="I69">I$43*(I$50*((MMULT(GREET1_Import_Export!$C445:$D445+0,I$46:I$47+0))+(MMULT(GREET1_Import_Export!$G97:$H97+0,I$46:I$47+0)))+I$51*((MMULT(GREET1_Import_Export!$C445:$D445+0,I$46:I$47+0))+(MMULT(GREET1_Import_Export!$G112:$H112+0,I$46:I$47+0))))/1000000</f>
        <v>0.34585136864273519</v>
      </c>
      <c r="J69" s="2830">
        <f t="array" ref="J69">J$43*(J$50*((MMULT(GREET1_Import_Export!$B445:$D445+0,J$45:J$47+0))+(MMULT(GREET1_Import_Export!$B97:$D97+0,J$45:J$47+0)))+J$51*((MMULT(GREET1_Import_Export!$B445:$D445+0,J$45:J$47+0))+(MMULT(GREET1_Import_Export!$B112:$D112+0,J$45:J$47+0))))/1000000</f>
        <v>2.1480422504194814</v>
      </c>
      <c r="K69" s="2832">
        <f t="array" ref="K69">K$43*(K$50*((MMULT(GREET1_Import_Export!$C445:$D445+0,K$46:K$47+0))+(MMULT(GREET1_Import_Export!$G97:$H97+0,K$46:K$47+0)))+K$51*((MMULT(GREET1_Import_Export!$C445:$D445+0,K$46:K$47+0))+(MMULT(GREET1_Import_Export!$G112:$H112+0,K$46:K$47+0))))/1000000</f>
        <v>1.0172099077727505E-2</v>
      </c>
      <c r="L69" s="2833">
        <f t="array" ref="L69">L$43*(L$50*((MMULT(GREET1_Import_Export!$C445:$D445+0,L$46:L$47+0))+(MMULT(GREET1_Import_Export!$G97:$H97+0,L$46:L$47+0)))+L$51*((MMULT(GREET1_Import_Export!$C445:$D445+0,L$46:L$47+0))+(MMULT(GREET1_Import_Export!$G112:$H112+0,L$46:L$47+0))))/1000000</f>
        <v>0.1256039435152467</v>
      </c>
      <c r="M69" s="2774">
        <f t="array" ref="M69">M$43*(M$50*((MMULT(GREET1_Import_Export!$C445:$D445+0,M$46:M$47+0))+(MMULT(GREET1_Import_Export!$G97:$H97+0,M$46:M$47+0)))+M$51*((MMULT(GREET1_Import_Export!$C445:$D445+0,M$46:M$47+0))+(MMULT(GREET1_Import_Export!$G112:$H112+0,M$46:M$47+0))))/1000000</f>
        <v>6.7505961310164106E-2</v>
      </c>
      <c r="N69" s="2774">
        <f t="array" ref="N69">N$43*(N$50*((MMULT(GREET1_Import_Export!$C445:$D445+0,N$46:N$47+0))+(MMULT(GREET1_Import_Export!$E97:$F97+0,N$46:N$47+0)))+N$51*((MMULT(GREET1_Import_Export!$C445:$D445+0,N$46:N$47+0))+(MMULT(GREET1_Import_Export!$E112:$F112+0,N$46:N$47+0))))/1000000</f>
        <v>0.81084846128332377</v>
      </c>
      <c r="O69" s="2833">
        <f t="array" ref="O69">O$43*(O$50*((MMULT(GREET1_Import_Export!$C445:$D445+0,O$46:O$47+0))+(MMULT(GREET1_Import_Export!$G97:$H97+0,O$46:O$47+0)))+O$51*((MMULT(GREET1_Import_Export!$C445:$D445+0,O$46:O$47+0))+(MMULT(GREET1_Import_Export!$G112:$H112+0,O$46:O$47+0))))/1000000</f>
        <v>6.7505961310163995E-2</v>
      </c>
      <c r="P69" s="2833">
        <f t="array" ref="P69">P$43*(P$50*((MMULT(GREET1_Import_Export!$C445:$D445+0,P$46:P$47+0))+(MMULT(GREET1_Import_Export!$G97:$H97+0,P$46:P$47+0)))+P$51*((MMULT(GREET1_Import_Export!$C445:$D445+0,P$46:P$47+0))+(MMULT(GREET1_Import_Export!$G112:$H112+0,P$46:P$47+0))))/1000000</f>
        <v>0.50406152585094233</v>
      </c>
      <c r="Q69" s="2833">
        <f t="array" ref="Q69">Q$43*(Q$50*((MMULT(GREET1_Import_Export!$C445:$D445+0,Q$46:Q$47+0))+(MMULT(GREET1_Import_Export!$G97:$H97+0,Q$46:Q$47+0)))+Q$51*((MMULT(GREET1_Import_Export!$C445:$D445+0,Q$46:Q$47+0))+(MMULT(GREET1_Import_Export!$G112:$H112+0,Q$46:Q$47+0))))/1000000</f>
        <v>0.50406152585094233</v>
      </c>
      <c r="R69" s="2774">
        <f t="array" ref="R69">R$43*(R$50*((MMULT(GREET1_Import_Export!$B445:$D445+0,R$45:R$47+0))+(MMULT(GREET1_Import_Export!$B97:$D97+0,R$45:R$47+0)))+R$51*((MMULT(GREET1_Import_Export!$B445:$D445+0,R$45:R$47+0))+(MMULT(GREET1_Import_Export!$B112:$D112+0,R$45:R$47+0))))/1000000</f>
        <v>0.94703536308592717</v>
      </c>
      <c r="S69" s="2775">
        <f t="array" ref="S69">S$43*(S$50*((MMULT(GREET1_Import_Export!$C445:$D445+0,S$46:S$47+0))+(MMULT(GREET1_Import_Export!$G97:$H97+0,S$46:S$47+0)))+S$51*((MMULT(GREET1_Import_Export!$C445:$D445+0,S$46:S$47+0))+(MMULT(GREET1_Import_Export!$G112:$H112+0,S$46:S$47+0))))/1000000</f>
        <v>0.39476312157465515</v>
      </c>
      <c r="T69" s="2769">
        <f t="array" ref="T69">T$43*(T$50*((MMULT(GREET1_Import_Export!$B445:$D445+0,T$45:T$47+0))+(MMULT(GREET1_Import_Export!$B97:$D97+0,T$45:T$47+0)))+T$51*((MMULT(GREET1_Import_Export!$B445:$D445+0,T$45:T$47+0))+(MMULT(GREET1_Import_Export!$B112:$D112+0,T$45:T$47+0))))/1000000</f>
        <v>1.1750101606430951E-4</v>
      </c>
      <c r="U69" s="2774">
        <f t="array" ref="U69">U$43*(U$50*((MMULT(GREET1_Import_Export!$C445:$D445+0,U$46:U$47+0))+(MMULT(GREET1_Import_Export!$G97:$H97+0,U$46:U$47+0)))+U$51*((MMULT(GREET1_Import_Export!$C445:$D445+0,U$46:U$47+0))+(MMULT(GREET1_Import_Export!$G112:$H112+0,U$46:U$47+0))))/1000000</f>
        <v>2.3617459521466216E-4</v>
      </c>
      <c r="V69" s="2775">
        <f t="array" ref="V69">V$43*(V$50*((MMULT(GREET1_Import_Export!$C445:$D445+0,V$46:V$47+0))+(MMULT(GREET1_Import_Export!$E97:$F97+0,V$46:V$47+0)))+V$51*((MMULT(GREET1_Import_Export!$C445:$D445+0,V$46:V$47+0))+(MMULT(GREET1_Import_Export!$E112:$F112+0,V$46:V$47+0))))/1000000</f>
        <v>6.4282468279583621E-4</v>
      </c>
      <c r="W69" s="2775">
        <f>W$43*(W$50*((GREET1_Import_Export!$C445*W$46)+(GREET1_Import_Export!$I97*W$46))+W$51*((GREET1_Import_Export!$C445*W$46)+(GREET1_Import_Export!$I97*W$46)))/1000000</f>
        <v>9.9594718412832225E-4</v>
      </c>
      <c r="X69" s="753">
        <f t="array" ref="X69">X$43*(X$50*((MMULT(GREET1_Import_Export!$B445:$D445+0,X$45:X$47+0))+(MMULT(GREET1_Import_Export!$B97:$D97+0,X$45:X$47+0)))+X$51*((MMULT(GREET1_Import_Export!$B445:$D445+0,X$45:X$47+0))+(MMULT(GREET1_Import_Export!$B112:$D112+0,X$45:X$47+0))))/1000000</f>
        <v>1.0829912926409249</v>
      </c>
      <c r="Y69" s="1082">
        <f t="array" ref="Y69">Y$43*(Y$50*((MMULT(GREET1_Import_Export!$C445:$D445+0,Y$46:Y$47+0))+(MMULT(GREET1_Import_Export!$G97:$H97+0,Y$46:Y$47+0)))+Y$51*((MMULT(GREET1_Import_Export!$C445:$D445+0,Y$46:Y$47+0))+(MMULT(GREET1_Import_Export!$G112:$H112+0,Y$46:Y$47+0))))/1000000</f>
        <v>8.7886936031565638E-2</v>
      </c>
      <c r="Z69" s="749">
        <f t="array" ref="Z69">Z$43*(Z$50*((MMULT(GREET1_Import_Export!$B445:$D445+0,Z$45:Z$47+0))+(MMULT(GREET1_Import_Export!$B97:$D97+0,Z$45:Z$47+0)))+Z$51*((MMULT(GREET1_Import_Export!$B445:$D445+0,Z$45:Z$47+0))+(MMULT(GREET1_Import_Export!$B112:$D112+0,Z$45:Z$47+0))))/1000000</f>
        <v>2.1762866362945097</v>
      </c>
      <c r="AA69" s="817">
        <f t="array" ref="AA69">AA$43*(AA$50*((MMULT(GREET1_Import_Export!$C445:$D445+0,AA$46:AA$47+0))+(MMULT(GREET1_Import_Export!$G97:$H97+0,AA$46:AA$47+0)))+AA$51*((MMULT(GREET1_Import_Export!$C445:$D445+0,AA$46:AA$47+0))+(MMULT(GREET1_Import_Export!$G112:$H112+0,AA$46:AA$47+0))))/1000000</f>
        <v>1.0172099077727505E-2</v>
      </c>
      <c r="AB69" s="749" cm="1">
        <f t="array" ref="AB69">AB$43*(AB$50*((MMULT(GREET1_Import_Export!$B445:$D445+0,AB$45:AB$47+0))+(MMULT(GREET1_Import_Export!$B97:$D97+0,AB$45:AB$47+0)))+AB$51*((MMULT(GREET1_Import_Export!$B445:$D445+0,AB$45:AB$47+0))+(MMULT(GREET1_Import_Export!$B112:$D112+0,AB$45:AB$47+0))))/1000000</f>
        <v>0</v>
      </c>
      <c r="AC69" s="1463" cm="1">
        <f t="array" ref="AC69">AC$43*(AC$50*((MMULT(GREET1_Import_Export!$C445:$D445+0,AC$46:AC$47+0))+(MMULT(GREET1_Import_Export!$E97:$F97+0,AC$46:AC$47+0)))+AC$51*((MMULT(GREET1_Import_Export!$C445:$D445+0,AC$46:AC$47+0))+(MMULT(GREET1_Import_Export!$E112:$F112+0,AC$46:AC$47+0))))/1000000</f>
        <v>0.16070617069895907</v>
      </c>
      <c r="AD69" s="817" cm="1">
        <f t="array" ref="AD69">AD$43*(AD$50*((MMULT(GREET1_Import_Export!$C445:$D445+0,AD$46:AD$47+0))+(MMULT(GREET1_Import_Export!$G97:$H97+0,AD$46:AD$47+0)))+AD$51*((MMULT(GREET1_Import_Export!$C445:$D445+0,AD$46:AD$47+0))+(MMULT(GREET1_Import_Export!$G112:$H112+0,AD$46:AD$47+0))))/1000000</f>
        <v>4.5774445849773769E-2</v>
      </c>
      <c r="AE69" s="1463" cm="1">
        <f t="array" ref="AE69">AE$43*(AE$50*((MMULT(GREET1_Import_Export!$B445:$D445+0,AE$45:AE$47+0))+(MMULT(GREET1_Import_Export!$B97:$D97+0,AE$45:AE$47+0)))+AE$51*((MMULT(GREET1_Import_Export!$B445:$D445+0,AE$45:AE$47+0))+(MMULT(GREET1_Import_Export!$B112:$D112+0,AE$45:AE$47+0))))/1000000</f>
        <v>0.97469216337683251</v>
      </c>
      <c r="AF69" s="1463" cm="1">
        <f t="array" ref="AF69">AF$43*(AF$50*((MMULT(GREET1_Import_Export!$C445:$D445+0,AF$46:AF$47+0))+(MMULT(GREET1_Import_Export!$E97:$F97+0,AF$46:AF$47+0)))+AF$51*((MMULT(GREET1_Import_Export!$C445:$D445+0,AF$46:AF$47+0))+(MMULT(GREET1_Import_Export!$E112:$F112+0,AF$46:AF$47+0))))/1000000</f>
        <v>0</v>
      </c>
      <c r="AG69" s="817" cm="1">
        <f t="array" ref="AG69">AG$43*(AG$50*((MMULT(GREET1_Import_Export!$C445:$D445+0,AG$46:AG$47+0))+(MMULT(GREET1_Import_Export!$G97:$H97+0,AG$46:AG$47+0)))+AG$51*((MMULT(GREET1_Import_Export!$C445:$D445+0,AG$46:AG$47+0))+(MMULT(GREET1_Import_Export!$G112:$H112+0,AG$46:AG$47+0))))/1000000</f>
        <v>3.0516297233182516E-2</v>
      </c>
      <c r="AH69" s="1463" cm="1">
        <f t="array" ref="AH69">AH$43*(AH$50*((MMULT(GREET1_Import_Export!$B445:$D445+0,AH$45:AH$47+0))+(MMULT(GREET1_Import_Export!$B97:$D97+0,AH$45:AH$47+0)))+AH$51*((MMULT(GREET1_Import_Export!$B445:$D445+0,AH$45:AH$47+0))+(MMULT(GREET1_Import_Export!$B112:$D112+0,AH$45:AH$47+0))))/1000000</f>
        <v>0</v>
      </c>
      <c r="AI69" s="817" cm="1">
        <f t="array" ref="AI69">AI$43*(AI$50*((MMULT(GREET1_Import_Export!$C445:$D445+0,AI$46:AI$47+0))+(MMULT(GREET1_Import_Export!$G97:$H97+0,AI$46:AI$47+0)))+AI$51*((MMULT(GREET1_Import_Export!$C445:$D445+0,AI$46:AI$47+0))+(MMULT(GREET1_Import_Export!$G112:$H112+0,AI$46:AI$47+0))))/1000000</f>
        <v>3.0516297233182516E-2</v>
      </c>
      <c r="AJ69" s="1463" cm="1">
        <f t="array" ref="AJ69">AJ$43*(AJ$50*((MMULT(GREET1_Import_Export!$B445:$D445+0,AJ$45:AJ$47+0))+(MMULT(GREET1_Import_Export!$B97:$D97+0,AJ$45:AJ$47+0)))+AJ$51*((MMULT(GREET1_Import_Export!$B445:$D445+0,AJ$45:AJ$47+0))+(MMULT(GREET1_Import_Export!$B112:$D112+0,AJ$45:AJ$47+0))))/1000000</f>
        <v>0</v>
      </c>
      <c r="AK69" s="817" cm="1">
        <f t="array" ref="AK69">AK$43*(AK$50*((MMULT(GREET1_Import_Export!$C445:$D445+0,AK$46:AK$47+0))+(MMULT(GREET1_Import_Export!$G97:$H97+0,AK$46:AK$47+0)))+AK$51*((MMULT(GREET1_Import_Export!$C445:$D445+0,AK$46:AK$47+0))+(MMULT(GREET1_Import_Export!$G112:$H112+0,AK$46:AK$47+0))))/1000000</f>
        <v>3.0516297233182516E-2</v>
      </c>
      <c r="AM69" s="38"/>
      <c r="AN69" s="38"/>
      <c r="AO69" s="38"/>
    </row>
    <row r="70" spans="1:51">
      <c r="A70" s="29" t="s">
        <v>2274</v>
      </c>
      <c r="B70" s="2834">
        <f t="array" ref="B70">B$43*(B$50*((MMULT(GREET1_Import_Export!$C446:$D446+0,B$46:B$47+0))+(MMULT(GREET1_Import_Export!$G98:$H98+0,B$46:B$47+0)))+B$51*((MMULT(GREET1_Import_Export!$C446:$D446+0,B$46:B$47+0))+(MMULT(GREET1_Import_Export!$G113:$H113+0,B$46:B$47+0))))/1000000</f>
        <v>21621.471071373158</v>
      </c>
      <c r="C70" s="2822">
        <f t="array" ref="C70">C$43*(C$50*((MMULT(GREET1_Import_Export!$C446:$D446+0,C$46:C$47+0))+(MMULT(GREET1_Import_Export!$G98:$H98+0,C$46:C$47+0)))+C$51*((MMULT(GREET1_Import_Export!$C446:$D446+0,C$46:C$47+0))+(MMULT(GREET1_Import_Export!$G113:$H113+0,C$46:C$47+0))))/1000000</f>
        <v>21621.471071373158</v>
      </c>
      <c r="D70" s="2822">
        <f t="array" ref="D70">D$43*(D$50*((MMULT(GREET1_Import_Export!$C446:$D446+0,D$46:D$47+0))+(MMULT(GREET1_Import_Export!$E98:$F98+0,D$46:D$47+0)))+D$51*((MMULT(GREET1_Import_Export!$C446:$D446+0,D$46:D$47+0))+(MMULT(GREET1_Import_Export!$E113:$F113+0,D$46:D$47+0))))/1000000</f>
        <v>69508.916364043005</v>
      </c>
      <c r="E70" s="2834">
        <f t="array" ref="E70">E$43*(E$50*((MMULT(GREET1_Import_Export!$C446:$D446+0,E$46:E$47+0))+(MMULT(GREET1_Import_Export!$G98:$H98+0,E$46:E$47+0)))+E$51*((MMULT(GREET1_Import_Export!$C446:$D446+0,E$46:E$47+0))+(MMULT(GREET1_Import_Export!$G113:$H113+0,E$46:E$47+0))))/1000000</f>
        <v>58377.97189270753</v>
      </c>
      <c r="F70" s="2822">
        <f t="array" ref="F70">F$43*(F$50*((MMULT(GREET1_Import_Export!$C446:$D446+0,F$46:F$47+0))+(MMULT(GREET1_Import_Export!$G98:$H98+0,F$46:F$47+0)))+F$51*((MMULT(GREET1_Import_Export!$C446:$D446+0,F$46:F$47+0))+(MMULT(GREET1_Import_Export!$G113:$H113+0,F$46:F$47+0))))/1000000</f>
        <v>2335.1188757083009</v>
      </c>
      <c r="G70" s="2834">
        <f t="array" ref="G70">G$43*(G$50*((MMULT(GREET1_Import_Export!$C446:$D446+0,G$46:G$47+0))+(MMULT(GREET1_Import_Export!$G98:$H98+0,G$46:G$47+0)))+G$51*((MMULT(GREET1_Import_Export!$C446:$D446+0,G$46:G$47+0))+(MMULT(GREET1_Import_Export!$G113:$H113+0,G$46:G$47+0))))/1000000</f>
        <v>15567.459171388673</v>
      </c>
      <c r="H70" s="2820">
        <f t="array" ref="H70">H$43*(H$50*((MMULT(GREET1_Import_Export!$B446:$D446+0,H$45:H$47+0))+(MMULT(GREET1_Import_Export!$B98:$D98+0,H$45:H$47+0)))+H$51*((MMULT(GREET1_Import_Export!$B446:$D446+0,H$45:H$47+0))+(MMULT(GREET1_Import_Export!$B113:$D113+0,H$45:H$47+0))))/1000000</f>
        <v>48165.621027354915</v>
      </c>
      <c r="I70" s="2835">
        <f t="array" ref="I70">I$43*(I$50*((MMULT(GREET1_Import_Export!$C446:$D446+0,I$46:I$47+0))+(MMULT(GREET1_Import_Export!$G98:$H98+0,I$46:I$47+0)))+I$51*((MMULT(GREET1_Import_Export!$C446:$D446+0,I$46:I$47+0))+(MMULT(GREET1_Import_Export!$G113:$H113+0,I$46:I$47+0))))/1000000</f>
        <v>91891.25205333592</v>
      </c>
      <c r="J70" s="2822">
        <f t="array" ref="J70">J$43*(J$50*((MMULT(GREET1_Import_Export!$B446:$D446+0,J$45:J$47+0))+(MMULT(GREET1_Import_Export!$B98:$D98+0,J$45:J$47+0)))+J$51*((MMULT(GREET1_Import_Export!$B446:$D446+0,J$45:J$47+0))+(MMULT(GREET1_Import_Export!$B113:$D113+0,J$45:J$47+0))))/1000000</f>
        <v>93660.149573312839</v>
      </c>
      <c r="K70" s="2835">
        <f t="array" ref="K70">K$43*(K$50*((MMULT(GREET1_Import_Export!$C446:$D446+0,K$46:K$47+0))+(MMULT(GREET1_Import_Export!$G98:$H98+0,K$46:K$47+0)))+K$51*((MMULT(GREET1_Import_Export!$C446:$D446+0,K$46:K$47+0))+(MMULT(GREET1_Import_Export!$G113:$H113+0,K$46:K$47+0))))/1000000</f>
        <v>2702.6838839216448</v>
      </c>
      <c r="L70" s="962">
        <f t="array" ref="L70">L$43*(L$50*((MMULT(GREET1_Import_Export!$C446:$D446+0,L$46:L$47+0))+(MMULT(GREET1_Import_Export!$G98:$H98+0,L$46:L$47+0)))+L$51*((MMULT(GREET1_Import_Export!$C446:$D446+0,L$46:L$47+0))+(MMULT(GREET1_Import_Export!$G113:$H113+0,L$46:L$47+0))))/1000000</f>
        <v>33372.438795739748</v>
      </c>
      <c r="M70" s="2819">
        <f t="array" ref="M70">M$43*(M$50*((MMULT(GREET1_Import_Export!$C446:$D446+0,M$46:M$47+0))+(MMULT(GREET1_Import_Export!$G98:$H98+0,M$46:M$47+0)))+M$51*((MMULT(GREET1_Import_Export!$C446:$D446+0,M$46:M$47+0))+(MMULT(GREET1_Import_Export!$G113:$H113+0,M$46:M$47+0))))/1000000</f>
        <v>18612.343679472571</v>
      </c>
      <c r="N70" s="2819">
        <f t="array" ref="N70">N$43*(N$50*((MMULT(GREET1_Import_Export!$C446:$D446+0,N$46:N$47+0))+(MMULT(GREET1_Import_Export!$E98:$F98+0,N$46:N$47+0)))+N$51*((MMULT(GREET1_Import_Export!$C446:$D446+0,N$46:N$47+0))+(MMULT(GREET1_Import_Export!$E113:$F113+0,N$46:N$47+0))))/1000000</f>
        <v>31313.357718381689</v>
      </c>
      <c r="O70" s="962">
        <f t="array" ref="O70">O$43*(O$50*((MMULT(GREET1_Import_Export!$C446:$D446+0,O$46:O$47+0))+(MMULT(GREET1_Import_Export!$G98:$H98+0,O$46:O$47+0)))+O$51*((MMULT(GREET1_Import_Export!$C446:$D446+0,O$46:O$47+0))+(MMULT(GREET1_Import_Export!$G113:$H113+0,O$46:O$47+0))))/1000000</f>
        <v>18612.343679472546</v>
      </c>
      <c r="P70" s="962">
        <f t="array" ref="P70">P$43*(P$50*((MMULT(GREET1_Import_Export!$C446:$D446+0,P$46:P$47+0))+(MMULT(GREET1_Import_Export!$G98:$H98+0,P$46:P$47+0)))+P$51*((MMULT(GREET1_Import_Export!$C446:$D446+0,P$46:P$47+0))+(MMULT(GREET1_Import_Export!$G113:$H113+0,P$46:P$47+0))))/1000000</f>
        <v>138976.85734199762</v>
      </c>
      <c r="Q70" s="962">
        <f t="array" ref="Q70">Q$43*(Q$50*((MMULT(GREET1_Import_Export!$C446:$D446+0,Q$46:Q$47+0))+(MMULT(GREET1_Import_Export!$G98:$H98+0,Q$46:Q$47+0)))+Q$51*((MMULT(GREET1_Import_Export!$C446:$D446+0,Q$46:Q$47+0))+(MMULT(GREET1_Import_Export!$G113:$H113+0,Q$46:Q$47+0))))/1000000</f>
        <v>138976.85734199762</v>
      </c>
      <c r="R70" s="2819">
        <f t="array" ref="R70">R$43*(R$50*((MMULT(GREET1_Import_Export!$B446:$D446+0,R$45:R$47+0))+(MMULT(GREET1_Import_Export!$B98:$D98+0,R$45:R$47+0)))+R$51*((MMULT(GREET1_Import_Export!$B446:$D446+0,R$45:R$47+0))+(MMULT(GREET1_Import_Export!$B113:$D113+0,R$45:R$47+0))))/1000000</f>
        <v>41293.169973971817</v>
      </c>
      <c r="S70" s="2821">
        <f t="array" ref="S70">S$43*(S$50*((MMULT(GREET1_Import_Export!$C446:$D446+0,S$46:S$47+0))+(MMULT(GREET1_Import_Export!$G98:$H98+0,S$46:S$47+0)))+S$51*((MMULT(GREET1_Import_Export!$C446:$D446+0,S$46:S$47+0))+(MMULT(GREET1_Import_Export!$G113:$H113+0,S$46:S$47+0))))/1000000</f>
        <v>108841.74890822002</v>
      </c>
      <c r="T70" s="12">
        <f t="array" ref="T70">T$43*(T$50*((MMULT(GREET1_Import_Export!$B446:$D446+0,T$45:T$47+0))+(MMULT(GREET1_Import_Export!$B98:$D98+0,T$45:T$47+0)))+T$51*((MMULT(GREET1_Import_Export!$B446:$D446+0,T$45:T$47+0))+(MMULT(GREET1_Import_Export!$B113:$D113+0,T$45:T$47+0))))/1000000</f>
        <v>5.1233455661546303</v>
      </c>
      <c r="U70" s="2819">
        <f t="array" ref="U70">U$43*(U$50*((MMULT(GREET1_Import_Export!$C446:$D446+0,U$46:U$47+0))+(MMULT(GREET1_Import_Export!$G98:$H98+0,U$46:U$47+0)))+U$51*((MMULT(GREET1_Import_Export!$C446:$D446+0,U$46:U$47+0))+(MMULT(GREET1_Import_Export!$G113:$H113+0,U$46:U$47+0))))/1000000</f>
        <v>65.116660057602317</v>
      </c>
      <c r="V70" s="2821">
        <f t="array" ref="V70">V$43*(V$50*((MMULT(GREET1_Import_Export!$C446:$D446+0,V$46:V$47+0))+(MMULT(GREET1_Import_Export!$E98:$F98+0,V$46:V$47+0)))+V$51*((MMULT(GREET1_Import_Export!$C446:$D446+0,V$46:V$47+0))+(MMULT(GREET1_Import_Export!$E113:$F113+0,V$46:V$47+0))))/1000000</f>
        <v>24.824612987158215</v>
      </c>
      <c r="W70" s="2821">
        <f>W$43*(W$50*((GREET1_Import_Export!$C446*W$46)+(GREET1_Import_Export!$I98*W$46))+W$51*((GREET1_Import_Export!$C446*W$46)+(GREET1_Import_Export!$I98*W$46)))/1000000</f>
        <v>258.94753190322876</v>
      </c>
      <c r="X70" s="1091">
        <f t="array" ref="X70">X$43*(X$50*((MMULT(GREET1_Import_Export!$B446:$D446+0,X$45:X$47+0))+(MMULT(GREET1_Import_Export!$B98:$D98+0,X$45:X$47+0)))+X$51*((MMULT(GREET1_Import_Export!$B446:$D446+0,X$45:X$47+0))+(MMULT(GREET1_Import_Export!$B113:$D113+0,X$45:X$47+0))))/1000000</f>
        <v>47221.197085642067</v>
      </c>
      <c r="Y70" s="1087">
        <f t="array" ref="Y70">Y$43*(Y$50*((MMULT(GREET1_Import_Export!$C446:$D446+0,Y$46:Y$47+0))+(MMULT(GREET1_Import_Export!$G98:$H98+0,Y$46:Y$47+0)))+Y$51*((MMULT(GREET1_Import_Export!$C446:$D446+0,Y$46:Y$47+0))+(MMULT(GREET1_Import_Export!$G113:$H113+0,Y$46:Y$47+0))))/1000000</f>
        <v>23351.188757083011</v>
      </c>
      <c r="Z70" s="1194">
        <f t="array" ref="Z70">Z$43*(Z$50*((MMULT(GREET1_Import_Export!$B446:$D446+0,Z$45:Z$47+0))+(MMULT(GREET1_Import_Export!$B98:$D98+0,Z$45:Z$47+0)))+Z$51*((MMULT(GREET1_Import_Export!$B446:$D446+0,Z$45:Z$47+0))+(MMULT(GREET1_Import_Export!$B113:$D113+0,Z$45:Z$47+0))))/1000000</f>
        <v>94891.677214421812</v>
      </c>
      <c r="AA70" s="527">
        <f t="array" ref="AA70">AA$43*(AA$50*((MMULT(GREET1_Import_Export!$C446:$D446+0,AA$46:AA$47+0))+(MMULT(GREET1_Import_Export!$G98:$H98+0,AA$46:AA$47+0)))+AA$51*((MMULT(GREET1_Import_Export!$C446:$D446+0,AA$46:AA$47+0))+(MMULT(GREET1_Import_Export!$G113:$H113+0,AA$46:AA$47+0))))/1000000</f>
        <v>2702.6838839216448</v>
      </c>
      <c r="AB70" s="1194" cm="1">
        <f t="array" ref="AB70">AB$43*(AB$50*((MMULT(GREET1_Import_Export!$B446:$D446+0,AB$45:AB$47+0))+(MMULT(GREET1_Import_Export!$B98:$D98+0,AB$45:AB$47+0)))+AB$51*((MMULT(GREET1_Import_Export!$B446:$D446+0,AB$45:AB$47+0))+(MMULT(GREET1_Import_Export!$B113:$D113+0,AB$45:AB$47+0))))/1000000</f>
        <v>0</v>
      </c>
      <c r="AC70" s="526" cm="1">
        <f t="array" ref="AC70">AC$43*(AC$50*((MMULT(GREET1_Import_Export!$C446:$D446+0,AC$46:AC$47+0))+(MMULT(GREET1_Import_Export!$E98:$F98+0,AC$46:AC$47+0)))+AC$51*((MMULT(GREET1_Import_Export!$C446:$D446+0,AC$46:AC$47+0))+(MMULT(GREET1_Import_Export!$E113:$F113+0,AC$46:AC$47+0))))/1000000</f>
        <v>6206.1532467895549</v>
      </c>
      <c r="AD70" s="527" cm="1">
        <f t="array" ref="AD70">AD$43*(AD$50*((MMULT(GREET1_Import_Export!$C446:$D446+0,AD$46:AD$47+0))+(MMULT(GREET1_Import_Export!$G98:$H98+0,AD$46:AD$47+0)))+AD$51*((MMULT(GREET1_Import_Export!$C446:$D446+0,AD$46:AD$47+0))+(MMULT(GREET1_Import_Export!$G113:$H113+0,AD$46:AD$47+0))))/1000000</f>
        <v>12162.077477647399</v>
      </c>
      <c r="AE70" s="526" cm="1">
        <f t="array" ref="AE70">AE$43*(AE$50*((MMULT(GREET1_Import_Export!$B446:$D446+0,AE$45:AE$47+0))+(MMULT(GREET1_Import_Export!$B98:$D98+0,AE$45:AE$47+0)))+AE$51*((MMULT(GREET1_Import_Export!$B446:$D446+0,AE$45:AE$47+0))+(MMULT(GREET1_Import_Export!$B113:$D113+0,AE$45:AE$47+0))))/1000000</f>
        <v>42499.077377077869</v>
      </c>
      <c r="AF70" s="526" cm="1">
        <f t="array" ref="AF70">AF$43*(AF$50*((MMULT(GREET1_Import_Export!$C446:$D446+0,AF$46:AF$47+0))+(MMULT(GREET1_Import_Export!$E98:$F98+0,AF$46:AF$47+0)))+AF$51*((MMULT(GREET1_Import_Export!$C446:$D446+0,AF$46:AF$47+0))+(MMULT(GREET1_Import_Export!$E113:$F113+0,AF$46:AF$47+0))))/1000000</f>
        <v>0</v>
      </c>
      <c r="AG70" s="527" cm="1">
        <f t="array" ref="AG70">AG$43*(AG$50*((MMULT(GREET1_Import_Export!$C446:$D446+0,AG$46:AG$47+0))+(MMULT(GREET1_Import_Export!$G98:$H98+0,AG$46:AG$47+0)))+AG$51*((MMULT(GREET1_Import_Export!$C446:$D446+0,AG$46:AG$47+0))+(MMULT(GREET1_Import_Export!$G113:$H113+0,AG$46:AG$47+0))))/1000000</f>
        <v>8108.0516517649339</v>
      </c>
      <c r="AH70" s="526" cm="1">
        <f t="array" ref="AH70">AH$43*(AH$50*((MMULT(GREET1_Import_Export!$B446:$D446+0,AH$45:AH$47+0))+(MMULT(GREET1_Import_Export!$B98:$D98+0,AH$45:AH$47+0)))+AH$51*((MMULT(GREET1_Import_Export!$B446:$D446+0,AH$45:AH$47+0))+(MMULT(GREET1_Import_Export!$B113:$D113+0,AH$45:AH$47+0))))/1000000</f>
        <v>0</v>
      </c>
      <c r="AI70" s="527" cm="1">
        <f t="array" ref="AI70">AI$43*(AI$50*((MMULT(GREET1_Import_Export!$C446:$D446+0,AI$46:AI$47+0))+(MMULT(GREET1_Import_Export!$G98:$H98+0,AI$46:AI$47+0)))+AI$51*((MMULT(GREET1_Import_Export!$C446:$D446+0,AI$46:AI$47+0))+(MMULT(GREET1_Import_Export!$G113:$H113+0,AI$46:AI$47+0))))/1000000</f>
        <v>8108.0516517649339</v>
      </c>
      <c r="AJ70" s="526" cm="1">
        <f t="array" ref="AJ70">AJ$43*(AJ$50*((MMULT(GREET1_Import_Export!$B446:$D446+0,AJ$45:AJ$47+0))+(MMULT(GREET1_Import_Export!$B98:$D98+0,AJ$45:AJ$47+0)))+AJ$51*((MMULT(GREET1_Import_Export!$B446:$D446+0,AJ$45:AJ$47+0))+(MMULT(GREET1_Import_Export!$B113:$D113+0,AJ$45:AJ$47+0))))/1000000</f>
        <v>0</v>
      </c>
      <c r="AK70" s="527" cm="1">
        <f t="array" ref="AK70">AK$43*(AK$50*((MMULT(GREET1_Import_Export!$C446:$D446+0,AK$46:AK$47+0))+(MMULT(GREET1_Import_Export!$G98:$H98+0,AK$46:AK$47+0)))+AK$51*((MMULT(GREET1_Import_Export!$C446:$D446+0,AK$46:AK$47+0))+(MMULT(GREET1_Import_Export!$G113:$H113+0,AK$46:AK$47+0))))/1000000</f>
        <v>8108.0516517649339</v>
      </c>
      <c r="AM70" s="38"/>
      <c r="AN70" s="38"/>
      <c r="AO70" s="38"/>
    </row>
    <row r="71" spans="1:51">
      <c r="A71" s="2765" t="s">
        <v>2275</v>
      </c>
      <c r="B71" s="488"/>
      <c r="E71" s="488"/>
      <c r="G71" s="488"/>
      <c r="H71" s="477"/>
      <c r="I71" s="1067"/>
      <c r="K71" s="1067"/>
      <c r="L71" s="483"/>
      <c r="M71" s="363"/>
      <c r="N71" s="363"/>
      <c r="O71" s="483"/>
      <c r="P71" s="483"/>
      <c r="Q71" s="483"/>
      <c r="R71" s="363"/>
      <c r="S71" s="1013"/>
      <c r="T71" s="661"/>
      <c r="U71" s="363"/>
      <c r="V71" s="1013"/>
      <c r="W71" s="1013"/>
      <c r="X71" s="477"/>
      <c r="Y71" s="1067"/>
      <c r="Z71" s="661"/>
      <c r="AA71" s="1013"/>
      <c r="AB71" s="661"/>
      <c r="AC71" s="521"/>
      <c r="AD71" s="1013"/>
      <c r="AE71" s="521"/>
      <c r="AF71" s="521"/>
      <c r="AG71" s="1013"/>
      <c r="AH71" s="521"/>
      <c r="AI71" s="1013"/>
      <c r="AJ71" s="521"/>
      <c r="AK71" s="1013"/>
      <c r="AM71" s="38"/>
      <c r="AN71" s="38"/>
      <c r="AO71" s="38"/>
    </row>
    <row r="72" spans="1:51">
      <c r="A72" s="29" t="s">
        <v>2266</v>
      </c>
      <c r="B72" s="2695">
        <f t="array" ref="B72">B$43*(B$50*((MMULT(GREET1_Import_Export!$C448:$D448+0,B$46:B$47+0))+B$42*(MMULT(GREET1_Import_Export!$G88:$H88+0,B$46:B$47+0)))+B$51*((MMULT(GREET1_Import_Export!$C448:$D448+0,B$46:B$47+0))+B$42*(MMULT(GREET1_Import_Export!$G103:$H103+0,B$46:B$47+0))))/1000000</f>
        <v>0.65799853853000734</v>
      </c>
      <c r="C72" s="2611">
        <f t="array" ref="C72">C$43*(C$50*((MMULT(GREET1_Import_Export!$C448:$D448+0,C$46:C$47+0))+C$42*(MMULT(GREET1_Import_Export!$G88:$H88+0,C$46:C$47+0)))+C$51*((MMULT(GREET1_Import_Export!$C448:$D448+0,C$46:C$47+0))+C$42*(MMULT(GREET1_Import_Export!$G103:$H103+0,C$46:C$47+0))))/1000000</f>
        <v>0.65799853853000734</v>
      </c>
      <c r="D72" s="2611">
        <f t="array" ref="D72">D$43*(D$50*((MMULT(GREET1_Import_Export!$C448:$D448+0,D$46:D$47+0))+D$42*(MMULT(GREET1_Import_Export!$E88:$F88+0,D$46:D$47+0)))+D$51*((MMULT(GREET1_Import_Export!$C448:$D448+0,D$46:D$47+0))+D$42*(MMULT(GREET1_Import_Export!$E103:$F103+0,D$46:D$47+0))))/1000000</f>
        <v>2.1125502017515969</v>
      </c>
      <c r="E72" s="2695">
        <f t="array" ref="E72">E$43*(E$50*((MMULT(GREET1_Import_Export!$C448:$D448+0,E$46:E$47+0))+E$42*(MMULT(GREET1_Import_Export!$G88:$H88+0,E$46:E$47+0)))+E$51*((MMULT(GREET1_Import_Export!$C448:$D448+0,E$46:E$47+0))+E$42*(MMULT(GREET1_Import_Export!$G103:$H103+0,E$46:E$47+0))))/1000000</f>
        <v>1.7765960540310197</v>
      </c>
      <c r="F72" s="2611">
        <f t="array" ref="F72">F$43*(F$50*((MMULT(GREET1_Import_Export!$C448:$D448+0,F$46:F$47+0))+F$42*(MMULT(GREET1_Import_Export!$G88:$H88+0,F$46:F$47+0)))+F$51*((MMULT(GREET1_Import_Export!$C448:$D448+0,F$46:F$47+0))+F$42*(MMULT(GREET1_Import_Export!$G103:$H103+0,F$46:F$47+0))))/1000000</f>
        <v>7.1063842161240787E-2</v>
      </c>
      <c r="G72" s="2695">
        <f t="array" ref="G72">G$43*(G$50*((MMULT(GREET1_Import_Export!$C448:$D448+0,G$46:G$47+0))+G$42*(MMULT(GREET1_Import_Export!$G88:$H88+0,G$46:G$47+0)))+G$51*((MMULT(GREET1_Import_Export!$C448:$D448+0,G$46:G$47+0))+G$42*(MMULT(GREET1_Import_Export!$G103:$H103+0,G$46:G$47+0))))/1000000</f>
        <v>0.47375894774160526</v>
      </c>
      <c r="H72" s="1076">
        <f t="array" ref="H72">H$43*(H$50*((MMULT(GREET1_Import_Export!$B448:$D448+0,H$45:H$47+0))+H$42*(MMULT(GREET1_Import_Export!$B88:$D88+0,H$45:H$47+0)))+H$51*((MMULT(GREET1_Import_Export!$B448:$D448+0,H$45:H$47+0))+H$42*(MMULT(GREET1_Import_Export!$B103:$D103+0,H$45:H$47+0))))/1000000</f>
        <v>1.0189217355673887</v>
      </c>
      <c r="I72" s="1779">
        <f t="array" ref="I72">I$43*(I$50*((MMULT(GREET1_Import_Export!$C448:$D448+0,I$46:I$47+0))+I$42*(MMULT(GREET1_Import_Export!$G88:$H88+0,I$46:I$47+0)))+I$51*((MMULT(GREET1_Import_Export!$C448:$D448+0,I$46:I$47+0))+I$42*(MMULT(GREET1_Import_Export!$G103:$H103+0,I$46:I$47+0))))/1000000</f>
        <v>2.7964937887525312</v>
      </c>
      <c r="J72" s="2611">
        <f t="array" ref="J72">J$43*(J$50*((MMULT(GREET1_Import_Export!$B448:$D448+0,J$45:J$47+0))+J$42*(MMULT(GREET1_Import_Export!$B88:$D88+0,J$45:J$47+0)))+J$51*((MMULT(GREET1_Import_Export!$B448:$D448+0,J$45:J$47+0))+J$42*(MMULT(GREET1_Import_Export!$B103:$D103+0,J$45:J$47+0))))/1000000</f>
        <v>1.9813377284711398</v>
      </c>
      <c r="K72" s="1779">
        <f t="array" ref="K72">K$43*(K$50*((MMULT(GREET1_Import_Export!$C448:$D448+0,K$46:K$47+0))+K$42*(MMULT(GREET1_Import_Export!$G88:$H88+0,K$46:K$47+0)))+K$51*((MMULT(GREET1_Import_Export!$C448:$D448+0,K$46:K$47+0))+K$42*(MMULT(GREET1_Import_Export!$G103:$H103+0,K$46:K$47+0))))/1000000</f>
        <v>8.2249817316250917E-2</v>
      </c>
      <c r="L72" s="2714">
        <f t="array" ref="L72">L$43*(L$50*((MMULT(GREET1_Import_Export!$C448:$D448+0,L$46:L$47+0))+L$42*(MMULT(GREET1_Import_Export!$G88:$H88+0,L$46:L$47+0)))+L$51*((MMULT(GREET1_Import_Export!$C448:$D448+0,L$46:L$47+0))+L$42*(MMULT(GREET1_Import_Export!$G103:$H103+0,L$46:L$47+0))))/1000000</f>
        <v>1.0156115595600073</v>
      </c>
      <c r="M72" s="1090">
        <f t="array" ref="M72">M$43*(M$50*((MMULT(GREET1_Import_Export!$C448:$D448+0,M$46:M$47+0))+M$42*(MMULT(GREET1_Import_Export!$G88:$H88+0,M$46:M$47+0)))+M$51*((MMULT(GREET1_Import_Export!$C448:$D448+0,M$46:M$47+0))+M$42*(MMULT(GREET1_Import_Export!$G103:$H103+0,M$46:M$47+0))))/1000000</f>
        <v>0.56622591373699505</v>
      </c>
      <c r="N72" s="1090">
        <f t="array" ref="N72">N$43*(N$50*((MMULT(GREET1_Import_Export!$C448:$D448+0,N$46:N$47+0))+N$42*(MMULT(GREET1_Import_Export!$E88:$F88+0,N$46:N$47+0)))+N$51*((MMULT(GREET1_Import_Export!$C448:$D448+0,N$46:N$47+0))+N$42*(MMULT(GREET1_Import_Export!$E103:$F103+0,N$46:N$47+0))))/1000000</f>
        <v>0.95169143220461883</v>
      </c>
      <c r="O72" s="2714">
        <f t="array" ref="O72">O$43*(O$50*((MMULT(GREET1_Import_Export!$C448:$D448+0,O$46:O$47+0))+O$42*(MMULT(GREET1_Import_Export!$G88:$H88+0,O$46:O$47+0)))+O$51*((MMULT(GREET1_Import_Export!$C448:$D448+0,O$46:O$47+0))+O$42*(MMULT(GREET1_Import_Export!$G103:$H103+0,O$46:O$47+0))))/1000000</f>
        <v>0.56622591373699438</v>
      </c>
      <c r="P72" s="2714">
        <f t="array" ref="P72">P$43*(P$50*((MMULT(GREET1_Import_Export!$C448:$D448+0,P$46:P$47+0))+P$42*(MMULT(GREET1_Import_Export!$G88:$H88+0,P$46:P$47+0)))+P$51*((MMULT(GREET1_Import_Export!$C448:$D448+0,P$46:P$47+0))+P$42*(MMULT(GREET1_Import_Export!$G103:$H103+0,P$46:P$47+0))))/1000000</f>
        <v>4.2279628719492113</v>
      </c>
      <c r="Q72" s="2714">
        <f t="array" ref="Q72">Q$43*(Q$50*((MMULT(GREET1_Import_Export!$C448:$D448+0,Q$46:Q$47+0))+Q$42*(MMULT(GREET1_Import_Export!$G88:$H88+0,Q$46:Q$47+0)))+Q$51*((MMULT(GREET1_Import_Export!$C448:$D448+0,Q$46:Q$47+0))+Q$42*(MMULT(GREET1_Import_Export!$G103:$H103+0,Q$46:Q$47+0))))/1000000</f>
        <v>4.2279628719492113</v>
      </c>
      <c r="R72" s="1090">
        <f t="array" ref="R72">R$43*(R$50*((MMULT(GREET1_Import_Export!$B448:$D448+0,R$45:R$47+0))+R$42*(MMULT(GREET1_Import_Export!$B88:$D88+0,R$45:R$47+0)))+R$51*((MMULT(GREET1_Import_Export!$B448:$D448+0,R$45:R$47+0))+R$42*(MMULT(GREET1_Import_Export!$B103:$D103+0,R$45:R$47+0))))/1000000</f>
        <v>0.87353816933166883</v>
      </c>
      <c r="S72" s="2616">
        <f t="array" ref="S72">S$43*(S$50*((MMULT(GREET1_Import_Export!$C448:$D448+0,S$46:S$47+0))+S$42*(MMULT(GREET1_Import_Export!$G88:$H88+0,S$46:S$47+0)))+S$51*((MMULT(GREET1_Import_Export!$C448:$D448+0,S$46:S$47+0))+S$42*(MMULT(GREET1_Import_Export!$G103:$H103+0,S$46:S$47+0))))/1000000</f>
        <v>3.3111906694619924</v>
      </c>
      <c r="T72" s="2615">
        <f t="array" ref="T72">T$43*(T$50*((MMULT(GREET1_Import_Export!$B448:$D448+0,T$45:T$47+0))+T$42*(MMULT(GREET1_Import_Export!$B88:$D88+0,T$45:T$47+0)))+T$51*((MMULT(GREET1_Import_Export!$B448:$D448+0,T$45:T$47+0))+T$42*(MMULT(GREET1_Import_Export!$B103:$D103+0,T$45:T$47+0))))/1000000</f>
        <v>1.0838203774457679E-4</v>
      </c>
      <c r="U72" s="1090">
        <f t="array" ref="U72">U$43*(U$50*((MMULT(GREET1_Import_Export!$C448:$D448+0,U$46:U$47+0))+U$42*(MMULT(GREET1_Import_Export!$G88:$H88+0,U$46:U$47+0)))+U$51*((MMULT(GREET1_Import_Export!$C448:$D448+0,U$46:U$47+0))+U$42*(MMULT(GREET1_Import_Export!$G103:$H103+0,U$46:U$47+0))))/1000000</f>
        <v>1.9809832106894554E-3</v>
      </c>
      <c r="V72" s="2616">
        <f t="array" ref="V72">V$43*(V$50*((MMULT(GREET1_Import_Export!$C448:$D448+0,V$46:V$47+0))+V$42*(MMULT(GREET1_Import_Export!$E88:$F88+0,V$46:V$47+0)))+V$51*((MMULT(GREET1_Import_Export!$C448:$D448+0,V$46:V$47+0))+V$42*(MMULT(GREET1_Import_Export!$E103:$F103+0,V$46:V$47+0))))/1000000</f>
        <v>7.5448221491128463E-4</v>
      </c>
      <c r="W72" s="2616">
        <f>W$43*(W$50*((GREET1_Import_Export!$C448*W$46)+W$42*(GREET1_Import_Export!$I88*W$46))+W$51*((GREET1_Import_Export!$C448*W$46)+W$42*(GREET1_Import_Export!$I88*W$46)))/1000000</f>
        <v>7.8738213033033265E-3</v>
      </c>
      <c r="X72" s="1076">
        <f t="array" ref="X72">X$43*(X$50*((MMULT(GREET1_Import_Export!$B448:$D448+0,X$45:X$47+0))+X$42*(MMULT(GREET1_Import_Export!$B88:$D88+0,X$45:X$47+0)))+X$51*((MMULT(GREET1_Import_Export!$B448:$D448+0,X$45:X$47+0))+X$42*(MMULT(GREET1_Import_Export!$B103:$D103+0,X$45:X$47+0))))/1000000</f>
        <v>0.99894287800724391</v>
      </c>
      <c r="Y72" s="1779">
        <f t="array" ref="Y72">Y$43*(Y$50*((MMULT(GREET1_Import_Export!$C448:$D448+0,Y$46:Y$47+0))+Y$42*(MMULT(GREET1_Import_Export!$G88:$H88+0,Y$46:Y$47+0)))+Y$51*((MMULT(GREET1_Import_Export!$C448:$D448+0,Y$46:Y$47+0))+Y$42*(MMULT(GREET1_Import_Export!$G103:$H103+0,Y$46:Y$47+0))))/1000000</f>
        <v>0.71063842161240787</v>
      </c>
      <c r="Z72" s="2615">
        <f t="array" ref="Z72">Z$43*(Z$50*((MMULT(GREET1_Import_Export!$B448:$D448+0,Z$45:Z$47+0))+Z$42*(MMULT(GREET1_Import_Export!$B88:$D88+0,Z$45:Z$47+0)))+Z$51*((MMULT(GREET1_Import_Export!$B448:$D448+0,Z$45:Z$47+0))+Z$42*(MMULT(GREET1_Import_Export!$B103:$D103+0,Z$45:Z$47+0))))/1000000</f>
        <v>2.0073901337908033</v>
      </c>
      <c r="AA72" s="2616">
        <f t="array" ref="AA72">AA$43*(AA$50*((MMULT(GREET1_Import_Export!$C448:$D448+0,AA$46:AA$47+0))+AA$42*(MMULT(GREET1_Import_Export!$G88:$H88+0,AA$46:AA$47+0)))+AA$51*((MMULT(GREET1_Import_Export!$C448:$D448+0,AA$46:AA$47+0))+AA$42*(MMULT(GREET1_Import_Export!$G103:$H103+0,AA$46:AA$47+0))))/1000000</f>
        <v>8.2249817316250917E-2</v>
      </c>
      <c r="AB72" s="2615" cm="1">
        <f t="array" ref="AB72">AB$43*(AB$50*((MMULT(GREET1_Import_Export!$B448:$D448+0,AB$45:AB$47+0))+AB$42*(MMULT(GREET1_Import_Export!$B88:$D88+0,AB$45:AB$47+0)))+AB$51*((MMULT(GREET1_Import_Export!$B448:$D448+0,AB$45:AB$47+0))+AB$42*(MMULT(GREET1_Import_Export!$B103:$D103+0,AB$45:AB$47+0))))/1000000</f>
        <v>0</v>
      </c>
      <c r="AC72" s="2715" cm="1">
        <f t="array" ref="AC72">AC$43*(AC$50*((MMULT(GREET1_Import_Export!$C448:$D448+0,AC$46:AC$47+0))+AC$42*(MMULT(GREET1_Import_Export!$E88:$F88+0,AC$46:AC$47+0)))+AC$51*((MMULT(GREET1_Import_Export!$C448:$D448+0,AC$46:AC$47+0))+AC$42*(MMULT(GREET1_Import_Export!$E103:$F103+0,AC$46:AC$47+0))))/1000000</f>
        <v>0.18862055372782116</v>
      </c>
      <c r="AD72" s="2616" cm="1">
        <f t="array" ref="AD72">AD$43*(AD$50*((MMULT(GREET1_Import_Export!$C448:$D448+0,AD$46:AD$47+0))+AD$42*(MMULT(GREET1_Import_Export!$G88:$H88+0,AD$46:AD$47+0)))+AD$51*((MMULT(GREET1_Import_Export!$C448:$D448+0,AD$46:AD$47+0))+AD$42*(MMULT(GREET1_Import_Export!$G103:$H103+0,AD$46:AD$47+0))))/1000000</f>
        <v>0.37012417792312907</v>
      </c>
      <c r="AE72" s="2715" cm="1">
        <f t="array" ref="AE72">AE$43*(AE$50*((MMULT(GREET1_Import_Export!$B448:$D448+0,AE$45:AE$47+0))+AE$42*(MMULT(GREET1_Import_Export!$B88:$D88+0,AE$45:AE$47+0)))+AE$51*((MMULT(GREET1_Import_Export!$B448:$D448+0,AE$45:AE$47+0))+AE$42*(MMULT(GREET1_Import_Export!$B103:$D103+0,AE$45:AE$47+0))))/1000000</f>
        <v>0.8990485902065195</v>
      </c>
      <c r="AF72" s="2715" cm="1">
        <f t="array" ref="AF72">AF$43*(AF$50*((MMULT(GREET1_Import_Export!$C448:$D448+0,AF$46:AF$47+0))+AF$42*(MMULT(GREET1_Import_Export!$E88:$F88+0,AF$46:AF$47+0)))+AF$51*((MMULT(GREET1_Import_Export!$C448:$D448+0,AF$46:AF$47+0))+AF$42*(MMULT(GREET1_Import_Export!$E103:$F103+0,AF$46:AF$47+0))))/1000000</f>
        <v>0</v>
      </c>
      <c r="AG72" s="2616" cm="1">
        <f t="array" ref="AG72">AG$43*(AG$50*((MMULT(GREET1_Import_Export!$C448:$D448+0,AG$46:AG$47+0))+AG$42*(MMULT(GREET1_Import_Export!$G88:$H88+0,AG$46:AG$47+0)))+AG$51*((MMULT(GREET1_Import_Export!$C448:$D448+0,AG$46:AG$47+0))+AG$42*(MMULT(GREET1_Import_Export!$G103:$H103+0,AG$46:AG$47+0))))/1000000</f>
        <v>0.24674945194875272</v>
      </c>
      <c r="AH72" s="2715" cm="1">
        <f t="array" ref="AH72">AH$43*(AH$50*((MMULT(GREET1_Import_Export!$B448:$D448+0,AH$45:AH$47+0))+AH$42*(MMULT(GREET1_Import_Export!$B88:$D88+0,AH$45:AH$47+0)))+AH$51*((MMULT(GREET1_Import_Export!$B448:$D448+0,AH$45:AH$47+0))+AH$42*(MMULT(GREET1_Import_Export!$B103:$D103+0,AH$45:AH$47+0))))/1000000</f>
        <v>0</v>
      </c>
      <c r="AI72" s="2616" cm="1">
        <f t="array" ref="AI72">AI$43*(AI$50*((MMULT(GREET1_Import_Export!$C448:$D448+0,AI$46:AI$47+0))+AI$42*(MMULT(GREET1_Import_Export!$G88:$H88+0,AI$46:AI$47+0)))+AI$51*((MMULT(GREET1_Import_Export!$C448:$D448+0,AI$46:AI$47+0))+AI$42*(MMULT(GREET1_Import_Export!$G103:$H103+0,AI$46:AI$47+0))))/1000000</f>
        <v>0.24674945194875272</v>
      </c>
      <c r="AJ72" s="2715" cm="1">
        <f t="array" ref="AJ72">AJ$43*(AJ$50*((MMULT(GREET1_Import_Export!$B448:$D448+0,AJ$45:AJ$47+0))+AJ$42*(MMULT(GREET1_Import_Export!$B88:$D88+0,AJ$45:AJ$47+0)))+AJ$51*((MMULT(GREET1_Import_Export!$B448:$D448+0,AJ$45:AJ$47+0))+AJ$42*(MMULT(GREET1_Import_Export!$B103:$D103+0,AJ$45:AJ$47+0))))/1000000</f>
        <v>0</v>
      </c>
      <c r="AK72" s="2616" cm="1">
        <f t="array" ref="AK72">AK$43*(AK$50*((MMULT(GREET1_Import_Export!$C448:$D448+0,AK$46:AK$47+0))+AK$42*(MMULT(GREET1_Import_Export!$G88:$H88+0,AK$46:AK$47+0)))+AK$51*((MMULT(GREET1_Import_Export!$C448:$D448+0,AK$46:AK$47+0))+AK$42*(MMULT(GREET1_Import_Export!$G103:$H103+0,AK$46:AK$47+0))))/1000000</f>
        <v>0.24674945194875272</v>
      </c>
      <c r="AM72" s="38"/>
      <c r="AN72" s="38"/>
      <c r="AO72" s="38"/>
    </row>
    <row r="73" spans="1:51">
      <c r="A73" s="29" t="s">
        <v>2267</v>
      </c>
      <c r="B73" s="2695">
        <f t="array" ref="B73">B$43*(B$50*((MMULT(GREET1_Import_Export!$C449:$D449+0,B$46:B$47+0))+B$42*(MMULT(GREET1_Import_Export!$G89:$H89+0,B$46:B$47+0)))+B$51*((MMULT(GREET1_Import_Export!$C449:$D449+0,B$46:B$47+0))+B$42*(MMULT(GREET1_Import_Export!$G104:$H104+0,B$46:B$47+0))))/1000000</f>
        <v>0.42884499927357167</v>
      </c>
      <c r="C73" s="2611">
        <f t="array" ref="C73">C$43*(C$50*((MMULT(GREET1_Import_Export!$C449:$D449+0,C$46:C$47+0))+C$42*(MMULT(GREET1_Import_Export!$G89:$H89+0,C$46:C$47+0)))+C$51*((MMULT(GREET1_Import_Export!$C449:$D449+0,C$46:C$47+0))+C$42*(MMULT(GREET1_Import_Export!$G104:$H104+0,C$46:C$47+0))))/1000000</f>
        <v>0.42884499927357167</v>
      </c>
      <c r="D73" s="2611">
        <f t="array" ref="D73">D$43*(D$50*((MMULT(GREET1_Import_Export!$C449:$D449+0,D$46:D$47+0))+D$42*(MMULT(GREET1_Import_Export!$E89:$F89+0,D$46:D$47+0)))+D$51*((MMULT(GREET1_Import_Export!$C449:$D449+0,D$46:D$47+0))+D$42*(MMULT(GREET1_Import_Export!$E104:$F104+0,D$46:D$47+0))))/1000000</f>
        <v>1.3768367810656343</v>
      </c>
      <c r="E73" s="2695">
        <f t="array" ref="E73">E$43*(E$50*((MMULT(GREET1_Import_Export!$C449:$D449+0,E$46:E$47+0))+E$42*(MMULT(GREET1_Import_Export!$G89:$H89+0,E$46:E$47+0)))+E$51*((MMULT(GREET1_Import_Export!$C449:$D449+0,E$46:E$47+0))+E$42*(MMULT(GREET1_Import_Export!$G104:$H104+0,E$46:E$47+0))))/1000000</f>
        <v>1.1578814980386434</v>
      </c>
      <c r="F73" s="2611">
        <f t="array" ref="F73">F$43*(F$50*((MMULT(GREET1_Import_Export!$C449:$D449+0,F$46:F$47+0))+F$42*(MMULT(GREET1_Import_Export!$G89:$H89+0,F$46:F$47+0)))+F$51*((MMULT(GREET1_Import_Export!$C449:$D449+0,F$46:F$47+0))+F$42*(MMULT(GREET1_Import_Export!$G104:$H104+0,F$46:F$47+0))))/1000000</f>
        <v>4.6315259921545733E-2</v>
      </c>
      <c r="G73" s="2695">
        <f t="array" ref="G73">G$43*(G$50*((MMULT(GREET1_Import_Export!$C449:$D449+0,G$46:G$47+0))+G$42*(MMULT(GREET1_Import_Export!$G89:$H89+0,G$46:G$47+0)))+G$51*((MMULT(GREET1_Import_Export!$C449:$D449+0,G$46:G$47+0))+G$42*(MMULT(GREET1_Import_Export!$G104:$H104+0,G$46:G$47+0))))/1000000</f>
        <v>0.3087683994769716</v>
      </c>
      <c r="H73" s="1076">
        <f t="array" ref="H73">H$43*(H$50*((MMULT(GREET1_Import_Export!$B449:$D449+0,H$45:H$47+0))+H$42*(MMULT(GREET1_Import_Export!$B89:$D89+0,H$45:H$47+0)))+H$51*((MMULT(GREET1_Import_Export!$B449:$D449+0,H$45:H$47+0))+H$42*(MMULT(GREET1_Import_Export!$B104:$D104+0,H$45:H$47+0))))/1000000</f>
        <v>0.65819919707578411</v>
      </c>
      <c r="I73" s="1779">
        <f t="array" ref="I73">I$43*(I$50*((MMULT(GREET1_Import_Export!$C449:$D449+0,I$46:I$47+0))+I$42*(MMULT(GREET1_Import_Export!$G89:$H89+0,I$46:I$47+0)))+I$51*((MMULT(GREET1_Import_Export!$C449:$D449+0,I$46:I$47+0))+I$42*(MMULT(GREET1_Import_Export!$G104:$H104+0,I$46:I$47+0))))/1000000</f>
        <v>1.8225912469126795</v>
      </c>
      <c r="J73" s="2611">
        <f t="array" ref="J73">J$43*(J$50*((MMULT(GREET1_Import_Export!$B449:$D449+0,J$45:J$47+0))+J$42*(MMULT(GREET1_Import_Export!$B89:$D89+0,J$45:J$47+0)))+J$51*((MMULT(GREET1_Import_Export!$B449:$D449+0,J$45:J$47+0))+J$42*(MMULT(GREET1_Import_Export!$B104:$D104+0,J$45:J$47+0))))/1000000</f>
        <v>1.2798970288816764</v>
      </c>
      <c r="K73" s="1779">
        <f t="array" ref="K73">K$43*(K$50*((MMULT(GREET1_Import_Export!$C449:$D449+0,K$46:K$47+0))+K$42*(MMULT(GREET1_Import_Export!$G89:$H89+0,K$46:K$47+0)))+K$51*((MMULT(GREET1_Import_Export!$C449:$D449+0,K$46:K$47+0))+K$42*(MMULT(GREET1_Import_Export!$G104:$H104+0,K$46:K$47+0))))/1000000</f>
        <v>5.3605624909196459E-2</v>
      </c>
      <c r="L73" s="2714">
        <f t="array" ref="L73">L$43*(L$50*((MMULT(GREET1_Import_Export!$C449:$D449+0,L$46:L$47+0))+L$42*(MMULT(GREET1_Import_Export!$G89:$H89+0,L$46:L$47+0)))+L$51*((MMULT(GREET1_Import_Export!$C449:$D449+0,L$46:L$47+0))+L$42*(MMULT(GREET1_Import_Export!$G104:$H104+0,L$46:L$47+0))))/1000000</f>
        <v>0.66191627035335709</v>
      </c>
      <c r="M73" s="1090">
        <f t="array" ref="M73">M$43*(M$50*((MMULT(GREET1_Import_Export!$C449:$D449+0,M$46:M$47+0))+M$42*(MMULT(GREET1_Import_Export!$G89:$H89+0,M$46:M$47+0)))+M$51*((MMULT(GREET1_Import_Export!$C449:$D449+0,M$46:M$47+0))+M$42*(MMULT(GREET1_Import_Export!$G104:$H104+0,M$46:M$47+0))))/1000000</f>
        <v>0.36903296488726989</v>
      </c>
      <c r="N73" s="1090">
        <f t="array" ref="N73">N$43*(N$50*((MMULT(GREET1_Import_Export!$C449:$D449+0,N$46:N$47+0))+N$42*(MMULT(GREET1_Import_Export!$E89:$F89+0,N$46:N$47+0)))+N$51*((MMULT(GREET1_Import_Export!$C449:$D449+0,N$46:N$47+0))+N$42*(MMULT(GREET1_Import_Export!$E104:$F104+0,N$46:N$47+0))))/1000000</f>
        <v>0.62025686632105159</v>
      </c>
      <c r="O73" s="2714">
        <f t="array" ref="O73">O$43*(O$50*((MMULT(GREET1_Import_Export!$C449:$D449+0,O$46:O$47+0))+O$42*(MMULT(GREET1_Import_Export!$G89:$H89+0,O$46:O$47+0)))+O$51*((MMULT(GREET1_Import_Export!$C449:$D449+0,O$46:O$47+0))+O$42*(MMULT(GREET1_Import_Export!$G104:$H104+0,O$46:O$47+0))))/1000000</f>
        <v>0.36903296488726944</v>
      </c>
      <c r="P73" s="2714">
        <f t="array" ref="P73">P$43*(P$50*((MMULT(GREET1_Import_Export!$C449:$D449+0,P$46:P$47+0))+P$42*(MMULT(GREET1_Import_Export!$G89:$H89+0,P$46:P$47+0)))+P$51*((MMULT(GREET1_Import_Export!$C449:$D449+0,P$46:P$47+0))+P$42*(MMULT(GREET1_Import_Export!$G104:$H104+0,P$46:P$47+0))))/1000000</f>
        <v>2.7555391518047592</v>
      </c>
      <c r="Q73" s="2714">
        <f t="array" ref="Q73">Q$43*(Q$50*((MMULT(GREET1_Import_Export!$C449:$D449+0,Q$46:Q$47+0))+Q$42*(MMULT(GREET1_Import_Export!$G89:$H89+0,Q$46:Q$47+0)))+Q$51*((MMULT(GREET1_Import_Export!$C449:$D449+0,Q$46:Q$47+0))+Q$42*(MMULT(GREET1_Import_Export!$G104:$H104+0,Q$46:Q$47+0))))/1000000</f>
        <v>2.7555391518047592</v>
      </c>
      <c r="R73" s="1090">
        <f t="array" ref="R73">R$43*(R$50*((MMULT(GREET1_Import_Export!$B449:$D449+0,R$45:R$47+0))+R$42*(MMULT(GREET1_Import_Export!$B89:$D89+0,R$45:R$47+0)))+R$51*((MMULT(GREET1_Import_Export!$B449:$D449+0,R$45:R$47+0))+R$42*(MMULT(GREET1_Import_Export!$B104:$D104+0,R$45:R$47+0))))/1000000</f>
        <v>0.56428487252653015</v>
      </c>
      <c r="S73" s="2616">
        <f t="array" ref="S73">S$43*(S$50*((MMULT(GREET1_Import_Export!$C449:$D449+0,S$46:S$47+0))+S$42*(MMULT(GREET1_Import_Export!$G89:$H89+0,S$46:S$47+0)))+S$51*((MMULT(GREET1_Import_Export!$C449:$D449+0,S$46:S$47+0))+S$42*(MMULT(GREET1_Import_Export!$G104:$H104+0,S$46:S$47+0))))/1000000</f>
        <v>2.1580405990146869</v>
      </c>
      <c r="T73" s="2615">
        <f t="array" ref="T73">T$43*(T$50*((MMULT(GREET1_Import_Export!$B449:$D449+0,T$45:T$47+0))+T$42*(MMULT(GREET1_Import_Export!$B89:$D89+0,T$45:T$47+0)))+T$51*((MMULT(GREET1_Import_Export!$B449:$D449+0,T$45:T$47+0))+T$42*(MMULT(GREET1_Import_Export!$B104:$D104+0,T$45:T$47+0))))/1000000</f>
        <v>7.001221755387683E-5</v>
      </c>
      <c r="U73" s="1090">
        <f t="array" ref="U73">U$43*(U$50*((MMULT(GREET1_Import_Export!$C449:$D449+0,U$46:U$47+0))+U$42*(MMULT(GREET1_Import_Export!$G89:$H89+0,U$46:U$47+0)))+U$51*((MMULT(GREET1_Import_Export!$C449:$D449+0,U$46:U$47+0))+U$42*(MMULT(GREET1_Import_Export!$G104:$H104+0,U$46:U$47+0))))/1000000</f>
        <v>1.2910891040076907E-3</v>
      </c>
      <c r="V73" s="2616">
        <f t="array" ref="V73">V$43*(V$50*((MMULT(GREET1_Import_Export!$C449:$D449+0,V$46:V$47+0))+V$42*(MMULT(GREET1_Import_Export!$E89:$F89+0,V$46:V$47+0)))+V$51*((MMULT(GREET1_Import_Export!$C449:$D449+0,V$46:V$47+0))+V$42*(MMULT(GREET1_Import_Export!$E104:$F104+0,V$46:V$47+0))))/1000000</f>
        <v>4.9172742180915517E-4</v>
      </c>
      <c r="W73" s="2616">
        <f>W$43*(W$50*((GREET1_Import_Export!$C449*W$46)+W$42*(GREET1_Import_Export!$I89*W$46))+W$51*((GREET1_Import_Export!$C449*W$46)+W$42*(GREET1_Import_Export!$I89*W$46)))/1000000</f>
        <v>5.1316966427294866E-3</v>
      </c>
      <c r="X73" s="1076">
        <f t="array" ref="X73">X$43*(X$50*((MMULT(GREET1_Import_Export!$B449:$D449+0,X$45:X$47+0))+X$42*(MMULT(GREET1_Import_Export!$B89:$D89+0,X$45:X$47+0)))+X$51*((MMULT(GREET1_Import_Export!$B449:$D449+0,X$45:X$47+0))+X$42*(MMULT(GREET1_Import_Export!$B104:$D104+0,X$45:X$47+0))))/1000000</f>
        <v>0.6452933304664551</v>
      </c>
      <c r="Y73" s="1779">
        <f t="array" ref="Y73">Y$43*(Y$50*((MMULT(GREET1_Import_Export!$C449:$D449+0,Y$46:Y$47+0))+Y$42*(MMULT(GREET1_Import_Export!$G89:$H89+0,Y$46:Y$47+0)))+Y$51*((MMULT(GREET1_Import_Export!$C449:$D449+0,Y$46:Y$47+0))+Y$42*(MMULT(GREET1_Import_Export!$G104:$H104+0,Y$46:Y$47+0))))/1000000</f>
        <v>0.46315259921545732</v>
      </c>
      <c r="Z73" s="2615">
        <f t="array" ref="Z73">Z$43*(Z$50*((MMULT(GREET1_Import_Export!$B449:$D449+0,Z$45:Z$47+0))+Z$42*(MMULT(GREET1_Import_Export!$B89:$D89+0,Z$45:Z$47+0)))+Z$51*((MMULT(GREET1_Import_Export!$B449:$D449+0,Z$45:Z$47+0))+Z$42*(MMULT(GREET1_Import_Export!$B104:$D104+0,Z$45:Z$47+0))))/1000000</f>
        <v>1.2967262628303928</v>
      </c>
      <c r="AA73" s="2616">
        <f t="array" ref="AA73">AA$43*(AA$50*((MMULT(GREET1_Import_Export!$C449:$D449+0,AA$46:AA$47+0))+AA$42*(MMULT(GREET1_Import_Export!$G89:$H89+0,AA$46:AA$47+0)))+AA$51*((MMULT(GREET1_Import_Export!$C449:$D449+0,AA$46:AA$47+0))+AA$42*(MMULT(GREET1_Import_Export!$G104:$H104+0,AA$46:AA$47+0))))/1000000</f>
        <v>5.3605624909196459E-2</v>
      </c>
      <c r="AB73" s="2615" cm="1">
        <f t="array" ref="AB73">AB$43*(AB$50*((MMULT(GREET1_Import_Export!$B449:$D449+0,AB$45:AB$47+0))+AB$42*(MMULT(GREET1_Import_Export!$B89:$D89+0,AB$45:AB$47+0)))+AB$51*((MMULT(GREET1_Import_Export!$B449:$D449+0,AB$45:AB$47+0))+AB$42*(MMULT(GREET1_Import_Export!$B104:$D104+0,AB$45:AB$47+0))))/1000000</f>
        <v>0</v>
      </c>
      <c r="AC73" s="2715" cm="1">
        <f t="array" ref="AC73">AC$43*(AC$50*((MMULT(GREET1_Import_Export!$C449:$D449+0,AC$46:AC$47+0))+AC$42*(MMULT(GREET1_Import_Export!$E89:$F89+0,AC$46:AC$47+0)))+AC$51*((MMULT(GREET1_Import_Export!$C449:$D449+0,AC$46:AC$47+0))+AC$42*(MMULT(GREET1_Import_Export!$E104:$F104+0,AC$46:AC$47+0))))/1000000</f>
        <v>0.12293185545228878</v>
      </c>
      <c r="AD73" s="2616" cm="1">
        <f t="array" ref="AD73">AD$43*(AD$50*((MMULT(GREET1_Import_Export!$C449:$D449+0,AD$46:AD$47+0))+AD$42*(MMULT(GREET1_Import_Export!$G89:$H89+0,AD$46:AD$47+0)))+AD$51*((MMULT(GREET1_Import_Export!$C449:$D449+0,AD$46:AD$47+0))+AD$42*(MMULT(GREET1_Import_Export!$G104:$H104+0,AD$46:AD$47+0))))/1000000</f>
        <v>0.24122531209138406</v>
      </c>
      <c r="AE73" s="2715" cm="1">
        <f t="array" ref="AE73">AE$43*(AE$50*((MMULT(GREET1_Import_Export!$B449:$D449+0,AE$45:AE$47+0))+AE$42*(MMULT(GREET1_Import_Export!$B89:$D89+0,AE$45:AE$47+0)))+AE$51*((MMULT(GREET1_Import_Export!$B449:$D449+0,AE$45:AE$47+0))+AE$42*(MMULT(GREET1_Import_Export!$B104:$D104+0,AE$45:AE$47+0))))/1000000</f>
        <v>0.58076399741980955</v>
      </c>
      <c r="AF73" s="2715" cm="1">
        <f t="array" ref="AF73">AF$43*(AF$50*((MMULT(GREET1_Import_Export!$C449:$D449+0,AF$46:AF$47+0))+AF$42*(MMULT(GREET1_Import_Export!$E89:$F89+0,AF$46:AF$47+0)))+AF$51*((MMULT(GREET1_Import_Export!$C449:$D449+0,AF$46:AF$47+0))+AF$42*(MMULT(GREET1_Import_Export!$E104:$F104+0,AF$46:AF$47+0))))/1000000</f>
        <v>0</v>
      </c>
      <c r="AG73" s="2616" cm="1">
        <f t="array" ref="AG73">AG$43*(AG$50*((MMULT(GREET1_Import_Export!$C449:$D449+0,AG$46:AG$47+0))+AG$42*(MMULT(GREET1_Import_Export!$G89:$H89+0,AG$46:AG$47+0)))+AG$51*((MMULT(GREET1_Import_Export!$C449:$D449+0,AG$46:AG$47+0))+AG$42*(MMULT(GREET1_Import_Export!$G104:$H104+0,AG$46:AG$47+0))))/1000000</f>
        <v>0.16081687472758938</v>
      </c>
      <c r="AH73" s="2715" cm="1">
        <f t="array" ref="AH73">AH$43*(AH$50*((MMULT(GREET1_Import_Export!$B449:$D449+0,AH$45:AH$47+0))+AH$42*(MMULT(GREET1_Import_Export!$B89:$D89+0,AH$45:AH$47+0)))+AH$51*((MMULT(GREET1_Import_Export!$B449:$D449+0,AH$45:AH$47+0))+AH$42*(MMULT(GREET1_Import_Export!$B104:$D104+0,AH$45:AH$47+0))))/1000000</f>
        <v>0</v>
      </c>
      <c r="AI73" s="2616" cm="1">
        <f t="array" ref="AI73">AI$43*(AI$50*((MMULT(GREET1_Import_Export!$C449:$D449+0,AI$46:AI$47+0))+AI$42*(MMULT(GREET1_Import_Export!$G89:$H89+0,AI$46:AI$47+0)))+AI$51*((MMULT(GREET1_Import_Export!$C449:$D449+0,AI$46:AI$47+0))+AI$42*(MMULT(GREET1_Import_Export!$G104:$H104+0,AI$46:AI$47+0))))/1000000</f>
        <v>0.16081687472758938</v>
      </c>
      <c r="AJ73" s="2715" cm="1">
        <f t="array" ref="AJ73">AJ$43*(AJ$50*((MMULT(GREET1_Import_Export!$B449:$D449+0,AJ$45:AJ$47+0))+AJ$42*(MMULT(GREET1_Import_Export!$B89:$D89+0,AJ$45:AJ$47+0)))+AJ$51*((MMULT(GREET1_Import_Export!$B449:$D449+0,AJ$45:AJ$47+0))+AJ$42*(MMULT(GREET1_Import_Export!$B104:$D104+0,AJ$45:AJ$47+0))))/1000000</f>
        <v>0</v>
      </c>
      <c r="AK73" s="2616" cm="1">
        <f t="array" ref="AK73">AK$43*(AK$50*((MMULT(GREET1_Import_Export!$C449:$D449+0,AK$46:AK$47+0))+AK$42*(MMULT(GREET1_Import_Export!$G89:$H89+0,AK$46:AK$47+0)))+AK$51*((MMULT(GREET1_Import_Export!$C449:$D449+0,AK$46:AK$47+0))+AK$42*(MMULT(GREET1_Import_Export!$G104:$H104+0,AK$46:AK$47+0))))/1000000</f>
        <v>0.16081687472758938</v>
      </c>
      <c r="AM73" s="38"/>
      <c r="AN73" s="38"/>
      <c r="AO73" s="38"/>
    </row>
    <row r="74" spans="1:51">
      <c r="A74" s="29" t="s">
        <v>2268</v>
      </c>
      <c r="B74" s="2695">
        <f t="array" ref="B74">B$43*(B$50*((MMULT(GREET1_Import_Export!$C450:$D450+0,B$46:B$47+0))+B$42*(MMULT(GREET1_Import_Export!$G90:$H90+0,B$46:B$47+0)))+B$51*((MMULT(GREET1_Import_Export!$C450:$D450+0,B$46:B$47+0))+B$42*(MMULT(GREET1_Import_Export!$G105:$H105+0,B$46:B$47+0))))/1000000</f>
        <v>0.66579635202282361</v>
      </c>
      <c r="C74" s="2611">
        <f t="array" ref="C74">C$43*(C$50*((MMULT(GREET1_Import_Export!$C450:$D450+0,C$46:C$47+0))+C$42*(MMULT(GREET1_Import_Export!$G90:$H90+0,C$46:C$47+0)))+C$51*((MMULT(GREET1_Import_Export!$C450:$D450+0,C$46:C$47+0))+C$42*(MMULT(GREET1_Import_Export!$G105:$H105+0,C$46:C$47+0))))/1000000</f>
        <v>0.66579635202282361</v>
      </c>
      <c r="D74" s="2611">
        <f t="array" ref="D74">D$43*(D$50*((MMULT(GREET1_Import_Export!$C450:$D450+0,D$46:D$47+0))+D$42*(MMULT(GREET1_Import_Export!$E90:$F90+0,D$46:D$47+0)))+D$51*((MMULT(GREET1_Import_Export!$C450:$D450+0,D$46:D$47+0))+D$42*(MMULT(GREET1_Import_Export!$E105:$F105+0,D$46:D$47+0))))/1000000</f>
        <v>2.1375856258488488</v>
      </c>
      <c r="E74" s="2695">
        <f t="array" ref="E74">E$43*(E$50*((MMULT(GREET1_Import_Export!$C450:$D450+0,E$46:E$47+0))+E$42*(MMULT(GREET1_Import_Export!$G90:$H90+0,E$46:E$47+0)))+E$51*((MMULT(GREET1_Import_Export!$C450:$D450+0,E$46:E$47+0))+E$42*(MMULT(GREET1_Import_Export!$G105:$H105+0,E$46:E$47+0))))/1000000</f>
        <v>1.797650150461624</v>
      </c>
      <c r="F74" s="2611">
        <f t="array" ref="F74">F$43*(F$50*((MMULT(GREET1_Import_Export!$C450:$D450+0,F$46:F$47+0))+F$42*(MMULT(GREET1_Import_Export!$G90:$H90+0,F$46:F$47+0)))+F$51*((MMULT(GREET1_Import_Export!$C450:$D450+0,F$46:F$47+0))+F$42*(MMULT(GREET1_Import_Export!$G105:$H105+0,F$46:F$47+0))))/1000000</f>
        <v>7.190600601846496E-2</v>
      </c>
      <c r="G74" s="2695">
        <f t="array" ref="G74">G$43*(G$50*((MMULT(GREET1_Import_Export!$C450:$D450+0,G$46:G$47+0))+G$42*(MMULT(GREET1_Import_Export!$G90:$H90+0,G$46:G$47+0)))+G$51*((MMULT(GREET1_Import_Export!$C450:$D450+0,G$46:G$47+0))+G$42*(MMULT(GREET1_Import_Export!$G105:$H105+0,G$46:G$47+0))))/1000000</f>
        <v>0.47937337345643305</v>
      </c>
      <c r="H74" s="1076">
        <f t="array" ref="H74">H$43*(H$50*((MMULT(GREET1_Import_Export!$B450:$D450+0,H$45:H$47+0))+H$42*(MMULT(GREET1_Import_Export!$B90:$D90+0,H$45:H$47+0)))+H$51*((MMULT(GREET1_Import_Export!$B450:$D450+0,H$45:H$47+0))+H$42*(MMULT(GREET1_Import_Export!$B105:$D105+0,H$45:H$47+0))))/1000000</f>
        <v>1.1034320372932807</v>
      </c>
      <c r="I74" s="1779">
        <f t="array" ref="I74">I$43*(I$50*((MMULT(GREET1_Import_Export!$C450:$D450+0,I$46:I$47+0))+I$42*(MMULT(GREET1_Import_Export!$G90:$H90+0,I$46:I$47+0)))+I$51*((MMULT(GREET1_Import_Export!$C450:$D450+0,I$46:I$47+0))+I$42*(MMULT(GREET1_Import_Export!$G105:$H105+0,I$46:I$47+0))))/1000000</f>
        <v>2.8296344960970008</v>
      </c>
      <c r="J74" s="2611">
        <f t="array" ref="J74">J$43*(J$50*((MMULT(GREET1_Import_Export!$B450:$D450+0,J$45:J$47+0))+J$42*(MMULT(GREET1_Import_Export!$B90:$D90+0,J$45:J$47+0)))+J$51*((MMULT(GREET1_Import_Export!$B450:$D450+0,J$45:J$47+0))+J$42*(MMULT(GREET1_Import_Export!$B105:$D105+0,J$45:J$47+0))))/1000000</f>
        <v>2.145671693886793</v>
      </c>
      <c r="K74" s="1779">
        <f t="array" ref="K74">K$43*(K$50*((MMULT(GREET1_Import_Export!$C450:$D450+0,K$46:K$47+0))+K$42*(MMULT(GREET1_Import_Export!$G90:$H90+0,K$46:K$47+0)))+K$51*((MMULT(GREET1_Import_Export!$C450:$D450+0,K$46:K$47+0))+K$42*(MMULT(GREET1_Import_Export!$G105:$H105+0,K$46:K$47+0))))/1000000</f>
        <v>8.3224544002852952E-2</v>
      </c>
      <c r="L74" s="2714">
        <f t="array" ref="L74">L$43*(L$50*((MMULT(GREET1_Import_Export!$C450:$D450+0,L$46:L$47+0))+L$42*(MMULT(GREET1_Import_Export!$G90:$H90+0,L$46:L$47+0)))+L$51*((MMULT(GREET1_Import_Export!$C450:$D450+0,L$46:L$47+0))+L$42*(MMULT(GREET1_Import_Export!$G105:$H105+0,L$46:L$47+0))))/1000000</f>
        <v>1.0276473758405265</v>
      </c>
      <c r="M74" s="1090">
        <f t="array" ref="M74">M$43*(M$50*((MMULT(GREET1_Import_Export!$C450:$D450+0,M$46:M$47+0))+M$42*(MMULT(GREET1_Import_Export!$G90:$H90+0,M$46:M$47+0)))+M$51*((MMULT(GREET1_Import_Export!$C450:$D450+0,M$46:M$47+0))+M$42*(MMULT(GREET1_Import_Export!$G105:$H105+0,M$46:M$47+0))))/1000000</f>
        <v>0.57293614759250588</v>
      </c>
      <c r="N74" s="1090">
        <f t="array" ref="N74">N$43*(N$50*((MMULT(GREET1_Import_Export!$C450:$D450+0,N$46:N$47+0))+N$42*(MMULT(GREET1_Import_Export!$E90:$F90+0,N$46:N$47+0)))+N$51*((MMULT(GREET1_Import_Export!$C450:$D450+0,N$46:N$47+0))+N$42*(MMULT(GREET1_Import_Export!$E105:$F105+0,N$46:N$47+0))))/1000000</f>
        <v>0.96296974341123942</v>
      </c>
      <c r="O74" s="2714">
        <f t="array" ref="O74">O$43*(O$50*((MMULT(GREET1_Import_Export!$C450:$D450+0,O$46:O$47+0))+O$42*(MMULT(GREET1_Import_Export!$G90:$H90+0,O$46:O$47+0)))+O$51*((MMULT(GREET1_Import_Export!$C450:$D450+0,O$46:O$47+0))+O$42*(MMULT(GREET1_Import_Export!$G105:$H105+0,O$46:O$47+0))))/1000000</f>
        <v>0.57293614759250511</v>
      </c>
      <c r="P74" s="2714">
        <f t="array" ref="P74">P$43*(P$50*((MMULT(GREET1_Import_Export!$C450:$D450+0,P$46:P$47+0))+P$42*(MMULT(GREET1_Import_Export!$G90:$H90+0,P$46:P$47+0)))+P$51*((MMULT(GREET1_Import_Export!$C450:$D450+0,P$46:P$47+0))+P$42*(MMULT(GREET1_Import_Export!$G105:$H105+0,P$46:P$47+0))))/1000000</f>
        <v>4.2780676427039701</v>
      </c>
      <c r="Q74" s="2714">
        <f t="array" ref="Q74">Q$43*(Q$50*((MMULT(GREET1_Import_Export!$C450:$D450+0,Q$46:Q$47+0))+Q$42*(MMULT(GREET1_Import_Export!$G90:$H90+0,Q$46:Q$47+0)))+Q$51*((MMULT(GREET1_Import_Export!$C450:$D450+0,Q$46:Q$47+0))+Q$42*(MMULT(GREET1_Import_Export!$G105:$H105+0,Q$46:Q$47+0))))/1000000</f>
        <v>4.2780676427039701</v>
      </c>
      <c r="R74" s="1090">
        <f t="array" ref="R74">R$43*(R$50*((MMULT(GREET1_Import_Export!$B450:$D450+0,R$45:R$47+0))+R$42*(MMULT(GREET1_Import_Export!$B90:$D90+0,R$45:R$47+0)))+R$51*((MMULT(GREET1_Import_Export!$B450:$D450+0,R$45:R$47+0))+R$42*(MMULT(GREET1_Import_Export!$B105:$D105+0,R$45:R$47+0))))/1000000</f>
        <v>0.9459902249531873</v>
      </c>
      <c r="S74" s="2616">
        <f t="array" ref="S74">S$43*(S$50*((MMULT(GREET1_Import_Export!$C450:$D450+0,S$46:S$47+0))+S$42*(MMULT(GREET1_Import_Export!$G90:$H90+0,S$46:S$47+0)))+S$51*((MMULT(GREET1_Import_Export!$C450:$D450+0,S$46:S$47+0))+S$42*(MMULT(GREET1_Import_Export!$G105:$H105+0,S$46:S$47+0))))/1000000</f>
        <v>3.3504309500518268</v>
      </c>
      <c r="T74" s="2615">
        <f t="array" ref="T74">T$43*(T$50*((MMULT(GREET1_Import_Export!$B450:$D450+0,T$45:T$47+0))+T$42*(MMULT(GREET1_Import_Export!$B90:$D90+0,T$45:T$47+0)))+T$51*((MMULT(GREET1_Import_Export!$B450:$D450+0,T$45:T$47+0))+T$42*(MMULT(GREET1_Import_Export!$B105:$D105+0,T$45:T$47+0))))/1000000</f>
        <v>1.1737134319536369E-4</v>
      </c>
      <c r="U74" s="1090">
        <f t="array" ref="U74">U$43*(U$50*((MMULT(GREET1_Import_Export!$C450:$D450+0,U$46:U$47+0))+U$42*(MMULT(GREET1_Import_Export!$G90:$H90+0,U$46:U$47+0)))+U$51*((MMULT(GREET1_Import_Export!$C450:$D450+0,U$46:U$47+0))+U$42*(MMULT(GREET1_Import_Export!$G105:$H105+0,U$46:U$47+0))))/1000000</f>
        <v>2.0044594598067665E-3</v>
      </c>
      <c r="V74" s="2616">
        <f t="array" ref="V74">V$43*(V$50*((MMULT(GREET1_Import_Export!$C450:$D450+0,V$46:V$47+0))+V$42*(MMULT(GREET1_Import_Export!$E90:$F90+0,V$46:V$47+0)))+V$51*((MMULT(GREET1_Import_Export!$C450:$D450+0,V$46:V$47+0))+V$42*(MMULT(GREET1_Import_Export!$E105:$F105+0,V$46:V$47+0))))/1000000</f>
        <v>7.6342343780316021E-4</v>
      </c>
      <c r="W74" s="2616">
        <f>W$43*(W$50*((GREET1_Import_Export!$C450*W$46)+W$42*(GREET1_Import_Export!$I90*W$46))+W$51*((GREET1_Import_Export!$C450*W$46)+W$42*(GREET1_Import_Export!$I90*W$46)))/1000000</f>
        <v>7.967132437604765E-3</v>
      </c>
      <c r="X74" s="1076">
        <f t="array" ref="X74">X$43*(X$50*((MMULT(GREET1_Import_Export!$B450:$D450+0,X$45:X$47+0))+X$42*(MMULT(GREET1_Import_Export!$B90:$D90+0,X$45:X$47+0)))+X$51*((MMULT(GREET1_Import_Export!$B450:$D450+0,X$45:X$47+0))+X$42*(MMULT(GREET1_Import_Export!$B105:$D105+0,X$45:X$47+0))))/1000000</f>
        <v>1.0817961149934123</v>
      </c>
      <c r="Y74" s="1779">
        <f t="array" ref="Y74">Y$43*(Y$50*((MMULT(GREET1_Import_Export!$C450:$D450+0,Y$46:Y$47+0))+Y$42*(MMULT(GREET1_Import_Export!$G90:$H90+0,Y$46:Y$47+0)))+Y$51*((MMULT(GREET1_Import_Export!$C450:$D450+0,Y$46:Y$47+0))+Y$42*(MMULT(GREET1_Import_Export!$G105:$H105+0,Y$46:Y$47+0))))/1000000</f>
        <v>0.71906006018464952</v>
      </c>
      <c r="Z74" s="2615">
        <f t="array" ref="Z74">Z$43*(Z$50*((MMULT(GREET1_Import_Export!$B450:$D450+0,Z$45:Z$47+0))+Z$42*(MMULT(GREET1_Import_Export!$B90:$D90+0,Z$45:Z$47+0)))+Z$51*((MMULT(GREET1_Import_Export!$B450:$D450+0,Z$45:Z$47+0))+Z$42*(MMULT(GREET1_Import_Export!$B105:$D105+0,Z$45:Z$47+0))))/1000000</f>
        <v>2.1738849095586126</v>
      </c>
      <c r="AA74" s="2616">
        <f t="array" ref="AA74">AA$43*(AA$50*((MMULT(GREET1_Import_Export!$C450:$D450+0,AA$46:AA$47+0))+AA$42*(MMULT(GREET1_Import_Export!$G90:$H90+0,AA$46:AA$47+0)))+AA$51*((MMULT(GREET1_Import_Export!$C450:$D450+0,AA$46:AA$47+0))+AA$42*(MMULT(GREET1_Import_Export!$G105:$H105+0,AA$46:AA$47+0))))/1000000</f>
        <v>8.3224544002852952E-2</v>
      </c>
      <c r="AB74" s="2615" cm="1">
        <f t="array" ref="AB74">AB$43*(AB$50*((MMULT(GREET1_Import_Export!$B450:$D450+0,AB$45:AB$47+0))+AB$42*(MMULT(GREET1_Import_Export!$B90:$D90+0,AB$45:AB$47+0)))+AB$51*((MMULT(GREET1_Import_Export!$B450:$D450+0,AB$45:AB$47+0))+AB$42*(MMULT(GREET1_Import_Export!$B105:$D105+0,AB$45:AB$47+0))))/1000000</f>
        <v>0</v>
      </c>
      <c r="AC74" s="2715" cm="1">
        <f t="array" ref="AC74">AC$43*(AC$50*((MMULT(GREET1_Import_Export!$C450:$D450+0,AC$46:AC$47+0))+AC$42*(MMULT(GREET1_Import_Export!$E90:$F90+0,AC$46:AC$47+0)))+AC$51*((MMULT(GREET1_Import_Export!$C450:$D450+0,AC$46:AC$47+0))+AC$42*(MMULT(GREET1_Import_Export!$E105:$F105+0,AC$46:AC$47+0))))/1000000</f>
        <v>0.19085585945079006</v>
      </c>
      <c r="AD74" s="2616" cm="1">
        <f t="array" ref="AD74">AD$43*(AD$50*((MMULT(GREET1_Import_Export!$C450:$D450+0,AD$46:AD$47+0))+AD$42*(MMULT(GREET1_Import_Export!$G90:$H90+0,AD$46:AD$47+0)))+AD$51*((MMULT(GREET1_Import_Export!$C450:$D450+0,AD$46:AD$47+0))+AD$42*(MMULT(GREET1_Import_Export!$G105:$H105+0,AD$46:AD$47+0))))/1000000</f>
        <v>0.37451044801283834</v>
      </c>
      <c r="AE74" s="2715" cm="1">
        <f t="array" ref="AE74">AE$43*(AE$50*((MMULT(GREET1_Import_Export!$B450:$D450+0,AE$45:AE$47+0))+AE$42*(MMULT(GREET1_Import_Export!$B90:$D90+0,AE$45:AE$47+0)))+AE$51*((MMULT(GREET1_Import_Export!$B450:$D450+0,AE$45:AE$47+0))+AE$42*(MMULT(GREET1_Import_Export!$B105:$D105+0,AE$45:AE$47+0))))/1000000</f>
        <v>0.97361650349407103</v>
      </c>
      <c r="AF74" s="2715" cm="1">
        <f t="array" ref="AF74">AF$43*(AF$50*((MMULT(GREET1_Import_Export!$C450:$D450+0,AF$46:AF$47+0))+AF$42*(MMULT(GREET1_Import_Export!$E90:$F90+0,AF$46:AF$47+0)))+AF$51*((MMULT(GREET1_Import_Export!$C450:$D450+0,AF$46:AF$47+0))+AF$42*(MMULT(GREET1_Import_Export!$E105:$F105+0,AF$46:AF$47+0))))/1000000</f>
        <v>0</v>
      </c>
      <c r="AG74" s="2616" cm="1">
        <f t="array" ref="AG74">AG$43*(AG$50*((MMULT(GREET1_Import_Export!$C450:$D450+0,AG$46:AG$47+0))+AG$42*(MMULT(GREET1_Import_Export!$G90:$H90+0,AG$46:AG$47+0)))+AG$51*((MMULT(GREET1_Import_Export!$C450:$D450+0,AG$46:AG$47+0))+AG$42*(MMULT(GREET1_Import_Export!$G105:$H105+0,AG$46:AG$47+0))))/1000000</f>
        <v>0.24967363200855888</v>
      </c>
      <c r="AH74" s="2715" cm="1">
        <f t="array" ref="AH74">AH$43*(AH$50*((MMULT(GREET1_Import_Export!$B450:$D450+0,AH$45:AH$47+0))+AH$42*(MMULT(GREET1_Import_Export!$B90:$D90+0,AH$45:AH$47+0)))+AH$51*((MMULT(GREET1_Import_Export!$B450:$D450+0,AH$45:AH$47+0))+AH$42*(MMULT(GREET1_Import_Export!$B105:$D105+0,AH$45:AH$47+0))))/1000000</f>
        <v>0</v>
      </c>
      <c r="AI74" s="2616" cm="1">
        <f t="array" ref="AI74">AI$43*(AI$50*((MMULT(GREET1_Import_Export!$C450:$D450+0,AI$46:AI$47+0))+AI$42*(MMULT(GREET1_Import_Export!$G90:$H90+0,AI$46:AI$47+0)))+AI$51*((MMULT(GREET1_Import_Export!$C450:$D450+0,AI$46:AI$47+0))+AI$42*(MMULT(GREET1_Import_Export!$G105:$H105+0,AI$46:AI$47+0))))/1000000</f>
        <v>0.24967363200855888</v>
      </c>
      <c r="AJ74" s="2715" cm="1">
        <f t="array" ref="AJ74">AJ$43*(AJ$50*((MMULT(GREET1_Import_Export!$B450:$D450+0,AJ$45:AJ$47+0))+AJ$42*(MMULT(GREET1_Import_Export!$B90:$D90+0,AJ$45:AJ$47+0)))+AJ$51*((MMULT(GREET1_Import_Export!$B450:$D450+0,AJ$45:AJ$47+0))+AJ$42*(MMULT(GREET1_Import_Export!$B105:$D105+0,AJ$45:AJ$47+0))))/1000000</f>
        <v>0</v>
      </c>
      <c r="AK74" s="2616" cm="1">
        <f t="array" ref="AK74">AK$43*(AK$50*((MMULT(GREET1_Import_Export!$C450:$D450+0,AK$46:AK$47+0))+AK$42*(MMULT(GREET1_Import_Export!$G90:$H90+0,AK$46:AK$47+0)))+AK$51*((MMULT(GREET1_Import_Export!$C450:$D450+0,AK$46:AK$47+0))+AK$42*(MMULT(GREET1_Import_Export!$G105:$H105+0,AK$46:AK$47+0))))/1000000</f>
        <v>0.24967363200855888</v>
      </c>
      <c r="AM74" s="38"/>
      <c r="AN74" s="38"/>
      <c r="AO74" s="38"/>
    </row>
    <row r="75" spans="1:51">
      <c r="A75" s="29" t="s">
        <v>2269</v>
      </c>
      <c r="B75" s="2695">
        <f t="array" ref="B75">B$43*(B$50*((MMULT(GREET1_Import_Export!$C451:$D451+0,B$46:B$47+0))+B$42*(MMULT(GREET1_Import_Export!$G91:$H91+0,B$46:B$47+0)))+B$51*((MMULT(GREET1_Import_Export!$C451:$D451+0,B$46:B$47+0))+B$42*(MMULT(GREET1_Import_Export!$G106:$H106+0,B$46:B$47+0))))/1000000</f>
        <v>0.11845748394466137</v>
      </c>
      <c r="C75" s="2611">
        <f t="array" ref="C75">C$43*(C$50*((MMULT(GREET1_Import_Export!$C451:$D451+0,C$46:C$47+0))+C$42*(MMULT(GREET1_Import_Export!$G91:$H91+0,C$46:C$47+0)))+C$51*((MMULT(GREET1_Import_Export!$C451:$D451+0,C$46:C$47+0))+C$42*(MMULT(GREET1_Import_Export!$G106:$H106+0,C$46:C$47+0))))/1000000</f>
        <v>0.11845748394466137</v>
      </c>
      <c r="D75" s="2611">
        <f t="array" ref="D75">D$43*(D$50*((MMULT(GREET1_Import_Export!$C451:$D451+0,D$46:D$47+0))+D$42*(MMULT(GREET1_Import_Export!$E91:$F91+0,D$46:D$47+0)))+D$51*((MMULT(GREET1_Import_Export!$C451:$D451+0,D$46:D$47+0))+D$42*(MMULT(GREET1_Import_Export!$E106:$F106+0,D$46:D$47+0))))/1000000</f>
        <v>0.38031601432632767</v>
      </c>
      <c r="E75" s="2695">
        <f t="array" ref="E75">E$43*(E$50*((MMULT(GREET1_Import_Export!$C451:$D451+0,E$46:E$47+0))+E$42*(MMULT(GREET1_Import_Export!$G91:$H91+0,E$46:E$47+0)))+E$51*((MMULT(GREET1_Import_Export!$C451:$D451+0,E$46:E$47+0))+E$42*(MMULT(GREET1_Import_Export!$G106:$H106+0,E$46:E$47+0))))/1000000</f>
        <v>0.31983520665058568</v>
      </c>
      <c r="F75" s="2611">
        <f t="array" ref="F75">F$43*(F$50*((MMULT(GREET1_Import_Export!$C451:$D451+0,F$46:F$47+0))+F$42*(MMULT(GREET1_Import_Export!$G91:$H91+0,F$46:F$47+0)))+F$51*((MMULT(GREET1_Import_Export!$C451:$D451+0,F$46:F$47+0))+F$42*(MMULT(GREET1_Import_Export!$G106:$H106+0,F$46:F$47+0))))/1000000</f>
        <v>1.2793408266023426E-2</v>
      </c>
      <c r="G75" s="2695">
        <f t="array" ref="G75">G$43*(G$50*((MMULT(GREET1_Import_Export!$C451:$D451+0,G$46:G$47+0))+G$42*(MMULT(GREET1_Import_Export!$G91:$H91+0,G$46:G$47+0)))+G$51*((MMULT(GREET1_Import_Export!$C451:$D451+0,G$46:G$47+0))+G$42*(MMULT(GREET1_Import_Export!$G106:$H106+0,G$46:G$47+0))))/1000000</f>
        <v>8.5289388440156183E-2</v>
      </c>
      <c r="H75" s="1076">
        <f t="array" ref="H75">H$43*(H$50*((MMULT(GREET1_Import_Export!$B451:$D451+0,H$45:H$47+0))+H$42*(MMULT(GREET1_Import_Export!$B91:$D91+0,H$45:H$47+0)))+H$51*((MMULT(GREET1_Import_Export!$B451:$D451+0,H$45:H$47+0))+H$42*(MMULT(GREET1_Import_Export!$B106:$D106+0,H$45:H$47+0))))/1000000</f>
        <v>0.20659299947419826</v>
      </c>
      <c r="I75" s="1779">
        <f t="array" ref="I75">I$43*(I$50*((MMULT(GREET1_Import_Export!$C451:$D451+0,I$46:I$47+0))+I$42*(MMULT(GREET1_Import_Export!$G91:$H91+0,I$46:I$47+0)))+I$51*((MMULT(GREET1_Import_Export!$C451:$D451+0,I$46:I$47+0))+I$42*(MMULT(GREET1_Import_Export!$G106:$H106+0,I$46:I$47+0))))/1000000</f>
        <v>0.50344430676481078</v>
      </c>
      <c r="J75" s="2611">
        <f t="array" ref="J75">J$43*(J$50*((MMULT(GREET1_Import_Export!$B451:$D451+0,J$45:J$47+0))+J$42*(MMULT(GREET1_Import_Export!$B91:$D91+0,J$45:J$47+0)))+J$51*((MMULT(GREET1_Import_Export!$B451:$D451+0,J$45:J$47+0))+J$42*(MMULT(GREET1_Import_Export!$B106:$D106+0,J$45:J$47+0))))/1000000</f>
        <v>0.40172909263566819</v>
      </c>
      <c r="K75" s="1779">
        <f t="array" ref="K75">K$43*(K$50*((MMULT(GREET1_Import_Export!$C451:$D451+0,K$46:K$47+0))+K$42*(MMULT(GREET1_Import_Export!$G91:$H91+0,K$46:K$47+0)))+K$51*((MMULT(GREET1_Import_Export!$C451:$D451+0,K$46:K$47+0))+K$42*(MMULT(GREET1_Import_Export!$G106:$H106+0,K$46:K$47+0))))/1000000</f>
        <v>1.4807185493082671E-2</v>
      </c>
      <c r="L75" s="2714">
        <f t="array" ref="L75">L$43*(L$50*((MMULT(GREET1_Import_Export!$C451:$D451+0,L$46:L$47+0))+L$42*(MMULT(GREET1_Import_Export!$G91:$H91+0,L$46:L$47+0)))+L$51*((MMULT(GREET1_Import_Export!$C451:$D451+0,L$46:L$47+0))+L$42*(MMULT(GREET1_Import_Export!$G106:$H106+0,L$46:L$47+0))))/1000000</f>
        <v>0.18283747298187286</v>
      </c>
      <c r="M75" s="1090">
        <f t="array" ref="M75">M$43*(M$50*((MMULT(GREET1_Import_Export!$C451:$D451+0,M$46:M$47+0))+M$42*(MMULT(GREET1_Import_Export!$G91:$H91+0,M$46:M$47+0)))+M$51*((MMULT(GREET1_Import_Export!$C451:$D451+0,M$46:M$47+0))+M$42*(MMULT(GREET1_Import_Export!$G106:$H106+0,M$46:M$47+0))))/1000000</f>
        <v>0.10193593626422999</v>
      </c>
      <c r="N75" s="1090">
        <f t="array" ref="N75">N$43*(N$50*((MMULT(GREET1_Import_Export!$C451:$D451+0,N$46:N$47+0))+N$42*(MMULT(GREET1_Import_Export!$E91:$F91+0,N$46:N$47+0)))+N$51*((MMULT(GREET1_Import_Export!$C451:$D451+0,N$46:N$47+0))+N$42*(MMULT(GREET1_Import_Export!$E106:$F106+0,N$46:N$47+0))))/1000000</f>
        <v>0.17133012605545364</v>
      </c>
      <c r="O75" s="2714">
        <f t="array" ref="O75">O$43*(O$50*((MMULT(GREET1_Import_Export!$C451:$D451+0,O$46:O$47+0))+O$42*(MMULT(GREET1_Import_Export!$G91:$H91+0,O$46:O$47+0)))+O$51*((MMULT(GREET1_Import_Export!$C451:$D451+0,O$46:O$47+0))+O$42*(MMULT(GREET1_Import_Export!$G106:$H106+0,O$46:O$47+0))))/1000000</f>
        <v>0.10193593626422985</v>
      </c>
      <c r="P75" s="2714">
        <f t="array" ref="P75">P$43*(P$50*((MMULT(GREET1_Import_Export!$C451:$D451+0,P$46:P$47+0))+P$42*(MMULT(GREET1_Import_Export!$G91:$H91+0,P$46:P$47+0)))+P$51*((MMULT(GREET1_Import_Export!$C451:$D451+0,P$46:P$47+0))+P$42*(MMULT(GREET1_Import_Export!$G106:$H106+0,P$46:P$47+0))))/1000000</f>
        <v>0.76114735017714352</v>
      </c>
      <c r="Q75" s="2714">
        <f t="array" ref="Q75">Q$43*(Q$50*((MMULT(GREET1_Import_Export!$C451:$D451+0,Q$46:Q$47+0))+Q$42*(MMULT(GREET1_Import_Export!$G91:$H91+0,Q$46:Q$47+0)))+Q$51*((MMULT(GREET1_Import_Export!$C451:$D451+0,Q$46:Q$47+0))+Q$42*(MMULT(GREET1_Import_Export!$G106:$H106+0,Q$46:Q$47+0))))/1000000</f>
        <v>0.76114735017714352</v>
      </c>
      <c r="R75" s="1090">
        <f t="array" ref="R75">R$43*(R$50*((MMULT(GREET1_Import_Export!$B451:$D451+0,R$45:R$47+0))+R$42*(MMULT(GREET1_Import_Export!$B91:$D91+0,R$45:R$47+0)))+R$51*((MMULT(GREET1_Import_Export!$B451:$D451+0,R$45:R$47+0))+R$42*(MMULT(GREET1_Import_Export!$B106:$D106+0,R$45:R$47+0))))/1000000</f>
        <v>0.17711553719769874</v>
      </c>
      <c r="S75" s="2616">
        <f t="array" ref="S75">S$43*(S$50*((MMULT(GREET1_Import_Export!$C451:$D451+0,S$46:S$47+0))+S$42*(MMULT(GREET1_Import_Export!$G91:$H91+0,S$46:S$47+0)))+S$51*((MMULT(GREET1_Import_Export!$C451:$D451+0,S$46:S$47+0))+S$42*(MMULT(GREET1_Import_Export!$G106:$H106+0,S$46:S$47+0))))/1000000</f>
        <v>0.59610362728430133</v>
      </c>
      <c r="T75" s="2615">
        <f t="array" ref="T75">T$43*(T$50*((MMULT(GREET1_Import_Export!$B451:$D451+0,T$45:T$47+0))+T$42*(MMULT(GREET1_Import_Export!$B91:$D91+0,T$45:T$47+0)))+T$51*((MMULT(GREET1_Import_Export!$B451:$D451+0,T$45:T$47+0))+T$42*(MMULT(GREET1_Import_Export!$B106:$D106+0,T$45:T$47+0))))/1000000</f>
        <v>2.1975162061205251E-5</v>
      </c>
      <c r="U75" s="1090">
        <f t="array" ref="U75">U$43*(U$50*((MMULT(GREET1_Import_Export!$C451:$D451+0,U$46:U$47+0))+U$42*(MMULT(GREET1_Import_Export!$G91:$H91+0,U$46:U$47+0)))+U$51*((MMULT(GREET1_Import_Export!$C451:$D451+0,U$46:U$47+0))+U$42*(MMULT(GREET1_Import_Export!$G106:$H106+0,U$46:U$47+0))))/1000000</f>
        <v>3.5663040741569729E-4</v>
      </c>
      <c r="V75" s="2616">
        <f t="array" ref="V75">V$43*(V$50*((MMULT(GREET1_Import_Export!$C451:$D451+0,V$46:V$47+0))+V$42*(MMULT(GREET1_Import_Export!$E91:$F91+0,V$46:V$47+0)))+V$51*((MMULT(GREET1_Import_Export!$C451:$D451+0,V$46:V$47+0))+V$42*(MMULT(GREET1_Import_Export!$E106:$F106+0,V$46:V$47+0))))/1000000</f>
        <v>1.3582714797368846E-4</v>
      </c>
      <c r="W75" s="2616">
        <f>W$43*(W$50*((GREET1_Import_Export!$C451*W$46)+W$42*(GREET1_Import_Export!$I91*W$46))+W$51*((GREET1_Import_Export!$C451*W$46)+W$42*(GREET1_Import_Export!$I91*W$46)))/1000000</f>
        <v>1.4175002009926972E-3</v>
      </c>
      <c r="X75" s="1076">
        <f t="array" ref="X75">X$43*(X$50*((MMULT(GREET1_Import_Export!$B451:$D451+0,X$45:X$47+0))+X$42*(MMULT(GREET1_Import_Export!$B91:$D91+0,X$45:X$47+0)))+X$51*((MMULT(GREET1_Import_Export!$B451:$D451+0,X$45:X$47+0))+X$42*(MMULT(GREET1_Import_Export!$B106:$D106+0,X$45:X$47+0))))/1000000</f>
        <v>0.20254215634725317</v>
      </c>
      <c r="Y75" s="1779">
        <f t="array" ref="Y75">Y$43*(Y$50*((MMULT(GREET1_Import_Export!$C451:$D451+0,Y$46:Y$47+0))+Y$42*(MMULT(GREET1_Import_Export!$G91:$H91+0,Y$46:Y$47+0)))+Y$51*((MMULT(GREET1_Import_Export!$C451:$D451+0,Y$46:Y$47+0))+Y$42*(MMULT(GREET1_Import_Export!$G106:$H106+0,Y$46:Y$47+0))))/1000000</f>
        <v>0.12793408266023426</v>
      </c>
      <c r="Z75" s="2615">
        <f t="array" ref="Z75">Z$43*(Z$50*((MMULT(GREET1_Import_Export!$B451:$D451+0,Z$45:Z$47+0))+Z$42*(MMULT(GREET1_Import_Export!$B91:$D91+0,Z$45:Z$47+0)))+Z$51*((MMULT(GREET1_Import_Export!$B451:$D451+0,Z$45:Z$47+0))+Z$42*(MMULT(GREET1_Import_Export!$B106:$D106+0,Z$45:Z$47+0))))/1000000</f>
        <v>0.40701138701670797</v>
      </c>
      <c r="AA75" s="2616">
        <f t="array" ref="AA75">AA$43*(AA$50*((MMULT(GREET1_Import_Export!$C451:$D451+0,AA$46:AA$47+0))+AA$42*(MMULT(GREET1_Import_Export!$G91:$H91+0,AA$46:AA$47+0)))+AA$51*((MMULT(GREET1_Import_Export!$C451:$D451+0,AA$46:AA$47+0))+AA$42*(MMULT(GREET1_Import_Export!$G106:$H106+0,AA$46:AA$47+0))))/1000000</f>
        <v>1.4807185493082671E-2</v>
      </c>
      <c r="AB75" s="2615" cm="1">
        <f t="array" ref="AB75">AB$43*(AB$50*((MMULT(GREET1_Import_Export!$B451:$D451+0,AB$45:AB$47+0))+AB$42*(MMULT(GREET1_Import_Export!$B91:$D91+0,AB$45:AB$47+0)))+AB$51*((MMULT(GREET1_Import_Export!$B451:$D451+0,AB$45:AB$47+0))+AB$42*(MMULT(GREET1_Import_Export!$B106:$D106+0,AB$45:AB$47+0))))/1000000</f>
        <v>0</v>
      </c>
      <c r="AC75" s="2715" cm="1">
        <f t="array" ref="AC75">AC$43*(AC$50*((MMULT(GREET1_Import_Export!$C451:$D451+0,AC$46:AC$47+0))+AC$42*(MMULT(GREET1_Import_Export!$E91:$F91+0,AC$46:AC$47+0)))+AC$51*((MMULT(GREET1_Import_Export!$C451:$D451+0,AC$46:AC$47+0))+AC$42*(MMULT(GREET1_Import_Export!$E106:$F106+0,AC$46:AC$47+0))))/1000000</f>
        <v>3.3956786993422118E-2</v>
      </c>
      <c r="AD75" s="2616" cm="1">
        <f t="array" ref="AD75">AD$43*(AD$50*((MMULT(GREET1_Import_Export!$C451:$D451+0,AD$46:AD$47+0))+AD$42*(MMULT(GREET1_Import_Export!$G91:$H91+0,AD$46:AD$47+0)))+AD$51*((MMULT(GREET1_Import_Export!$C451:$D451+0,AD$46:AD$47+0))+AD$42*(MMULT(GREET1_Import_Export!$G106:$H106+0,AD$46:AD$47+0))))/1000000</f>
        <v>6.6632334718872019E-2</v>
      </c>
      <c r="AE75" s="2715" cm="1">
        <f t="array" ref="AE75">AE$43*(AE$50*((MMULT(GREET1_Import_Export!$B451:$D451+0,AE$45:AE$47+0))+AE$42*(MMULT(GREET1_Import_Export!$B91:$D91+0,AE$45:AE$47+0)))+AE$51*((MMULT(GREET1_Import_Export!$B451:$D451+0,AE$45:AE$47+0))+AE$42*(MMULT(GREET1_Import_Export!$B106:$D106+0,AE$45:AE$47+0))))/1000000</f>
        <v>0.18228794071252788</v>
      </c>
      <c r="AF75" s="2715" cm="1">
        <f t="array" ref="AF75">AF$43*(AF$50*((MMULT(GREET1_Import_Export!$C451:$D451+0,AF$46:AF$47+0))+AF$42*(MMULT(GREET1_Import_Export!$E91:$F91+0,AF$46:AF$47+0)))+AF$51*((MMULT(GREET1_Import_Export!$C451:$D451+0,AF$46:AF$47+0))+AF$42*(MMULT(GREET1_Import_Export!$E106:$F106+0,AF$46:AF$47+0))))/1000000</f>
        <v>0</v>
      </c>
      <c r="AG75" s="2616" cm="1">
        <f t="array" ref="AG75">AG$43*(AG$50*((MMULT(GREET1_Import_Export!$C451:$D451+0,AG$46:AG$47+0))+AG$42*(MMULT(GREET1_Import_Export!$G91:$H91+0,AG$46:AG$47+0)))+AG$51*((MMULT(GREET1_Import_Export!$C451:$D451+0,AG$46:AG$47+0))+AG$42*(MMULT(GREET1_Import_Export!$G106:$H106+0,AG$46:AG$47+0))))/1000000</f>
        <v>4.4421556479248017E-2</v>
      </c>
      <c r="AH75" s="2715" cm="1">
        <f t="array" ref="AH75">AH$43*(AH$50*((MMULT(GREET1_Import_Export!$B451:$D451+0,AH$45:AH$47+0))+AH$42*(MMULT(GREET1_Import_Export!$B91:$D91+0,AH$45:AH$47+0)))+AH$51*((MMULT(GREET1_Import_Export!$B451:$D451+0,AH$45:AH$47+0))+AH$42*(MMULT(GREET1_Import_Export!$B106:$D106+0,AH$45:AH$47+0))))/1000000</f>
        <v>0</v>
      </c>
      <c r="AI75" s="2616" cm="1">
        <f t="array" ref="AI75">AI$43*(AI$50*((MMULT(GREET1_Import_Export!$C451:$D451+0,AI$46:AI$47+0))+AI$42*(MMULT(GREET1_Import_Export!$G91:$H91+0,AI$46:AI$47+0)))+AI$51*((MMULT(GREET1_Import_Export!$C451:$D451+0,AI$46:AI$47+0))+AI$42*(MMULT(GREET1_Import_Export!$G106:$H106+0,AI$46:AI$47+0))))/1000000</f>
        <v>4.4421556479248017E-2</v>
      </c>
      <c r="AJ75" s="2715" cm="1">
        <f t="array" ref="AJ75">AJ$43*(AJ$50*((MMULT(GREET1_Import_Export!$B451:$D451+0,AJ$45:AJ$47+0))+AJ$42*(MMULT(GREET1_Import_Export!$B91:$D91+0,AJ$45:AJ$47+0)))+AJ$51*((MMULT(GREET1_Import_Export!$B451:$D451+0,AJ$45:AJ$47+0))+AJ$42*(MMULT(GREET1_Import_Export!$B106:$D106+0,AJ$45:AJ$47+0))))/1000000</f>
        <v>0</v>
      </c>
      <c r="AK75" s="2616" cm="1">
        <f t="array" ref="AK75">AK$43*(AK$50*((MMULT(GREET1_Import_Export!$C451:$D451+0,AK$46:AK$47+0))+AK$42*(MMULT(GREET1_Import_Export!$G91:$H91+0,AK$46:AK$47+0)))+AK$51*((MMULT(GREET1_Import_Export!$C451:$D451+0,AK$46:AK$47+0))+AK$42*(MMULT(GREET1_Import_Export!$G106:$H106+0,AK$46:AK$47+0))))/1000000</f>
        <v>4.4421556479248017E-2</v>
      </c>
      <c r="AM75" s="38"/>
      <c r="AN75" s="38"/>
      <c r="AO75" s="38"/>
    </row>
    <row r="76" spans="1:51">
      <c r="A76" s="30" t="s">
        <v>2270</v>
      </c>
      <c r="B76" s="2695">
        <f t="array" ref="B76">B$43*(B$50*((MMULT(GREET1_Import_Export!$C452:$D452+0,B$46:B$47+0))+B$42*(MMULT(GREET1_Import_Export!$G92:$H92+0,B$46:B$47+0)))+B$51*((MMULT(GREET1_Import_Export!$C452:$D452+0,B$46:B$47+0))+B$42*(MMULT(GREET1_Import_Export!$G107:$H107+0,B$46:B$47+0))))/1000000</f>
        <v>0.10222619261197349</v>
      </c>
      <c r="C76" s="2611">
        <f t="array" ref="C76">C$43*(C$50*((MMULT(GREET1_Import_Export!$C452:$D452+0,C$46:C$47+0))+C$42*(MMULT(GREET1_Import_Export!$G92:$H92+0,C$46:C$47+0)))+C$51*((MMULT(GREET1_Import_Export!$C452:$D452+0,C$46:C$47+0))+C$42*(MMULT(GREET1_Import_Export!$G107:$H107+0,C$46:C$47+0))))/1000000</f>
        <v>0.10222619261197349</v>
      </c>
      <c r="D76" s="2611">
        <f t="array" ref="D76">D$43*(D$50*((MMULT(GREET1_Import_Export!$C452:$D452+0,D$46:D$47+0))+D$42*(MMULT(GREET1_Import_Export!$E92:$F92+0,D$46:D$47+0)))+D$51*((MMULT(GREET1_Import_Export!$C452:$D452+0,D$46:D$47+0))+D$42*(MMULT(GREET1_Import_Export!$E107:$F107+0,D$46:D$47+0))))/1000000</f>
        <v>0.32820432140955835</v>
      </c>
      <c r="E76" s="2695">
        <f t="array" ref="E76">E$43*(E$50*((MMULT(GREET1_Import_Export!$C452:$D452+0,E$46:E$47+0))+E$42*(MMULT(GREET1_Import_Export!$G92:$H92+0,E$46:E$47+0)))+E$51*((MMULT(GREET1_Import_Export!$C452:$D452+0,E$46:E$47+0))+E$42*(MMULT(GREET1_Import_Export!$G107:$H107+0,E$46:E$47+0))))/1000000</f>
        <v>0.27601072005232841</v>
      </c>
      <c r="F76" s="2611">
        <f t="array" ref="F76">F$43*(F$50*((MMULT(GREET1_Import_Export!$C452:$D452+0,F$46:F$47+0))+F$42*(MMULT(GREET1_Import_Export!$G92:$H92+0,F$46:F$47+0)))+F$51*((MMULT(GREET1_Import_Export!$C452:$D452+0,F$46:F$47+0))+F$42*(MMULT(GREET1_Import_Export!$G107:$H107+0,F$46:F$47+0))))/1000000</f>
        <v>1.1040428802093138E-2</v>
      </c>
      <c r="G76" s="2695">
        <f t="array" ref="G76">G$43*(G$50*((MMULT(GREET1_Import_Export!$C452:$D452+0,G$46:G$47+0))+G$42*(MMULT(GREET1_Import_Export!$G92:$H92+0,G$46:G$47+0)))+G$51*((MMULT(GREET1_Import_Export!$C452:$D452+0,G$46:G$47+0))+G$42*(MMULT(GREET1_Import_Export!$G107:$H107+0,G$46:G$47+0))))/1000000</f>
        <v>7.3602858680620914E-2</v>
      </c>
      <c r="H76" s="1076">
        <f t="array" ref="H76">H$43*(H$50*((MMULT(GREET1_Import_Export!$B452:$D452+0,H$45:H$47+0))+H$42*(MMULT(GREET1_Import_Export!$B92:$D92+0,H$45:H$47+0)))+H$51*((MMULT(GREET1_Import_Export!$B452:$D452+0,H$45:H$47+0))+H$42*(MMULT(GREET1_Import_Export!$B107:$D107+0,H$45:H$47+0))))/1000000</f>
        <v>0.18210514557603907</v>
      </c>
      <c r="I76" s="1779">
        <f t="array" ref="I76">I$43*(I$50*((MMULT(GREET1_Import_Export!$C452:$D452+0,I$46:I$47+0))+I$42*(MMULT(GREET1_Import_Export!$G92:$H92+0,I$46:I$47+0)))+I$51*((MMULT(GREET1_Import_Export!$C452:$D452+0,I$46:I$47+0))+I$42*(MMULT(GREET1_Import_Export!$G107:$H107+0,I$46:I$47+0))))/1000000</f>
        <v>0.43446131860088738</v>
      </c>
      <c r="J76" s="2611">
        <f t="array" ref="J76">J$43*(J$50*((MMULT(GREET1_Import_Export!$B452:$D452+0,J$45:J$47+0))+J$42*(MMULT(GREET1_Import_Export!$B92:$D92+0,J$45:J$47+0)))+J$51*((MMULT(GREET1_Import_Export!$B452:$D452+0,J$45:J$47+0))+J$42*(MMULT(GREET1_Import_Export!$B107:$D107+0,J$45:J$47+0))))/1000000</f>
        <v>0.3541113933324983</v>
      </c>
      <c r="K76" s="1779">
        <f t="array" ref="K76">K$43*(K$50*((MMULT(GREET1_Import_Export!$C452:$D452+0,K$46:K$47+0))+K$42*(MMULT(GREET1_Import_Export!$G92:$H92+0,K$46:K$47+0)))+K$51*((MMULT(GREET1_Import_Export!$C452:$D452+0,K$46:K$47+0))+K$42*(MMULT(GREET1_Import_Export!$G107:$H107+0,K$46:K$47+0))))/1000000</f>
        <v>1.2778274076496687E-2</v>
      </c>
      <c r="L76" s="2714">
        <f t="array" ref="L76">L$43*(L$50*((MMULT(GREET1_Import_Export!$C452:$D452+0,L$46:L$47+0))+L$42*(MMULT(GREET1_Import_Export!$G92:$H92+0,L$46:L$47+0)))+L$51*((MMULT(GREET1_Import_Export!$C452:$D452+0,L$46:L$47+0))+L$42*(MMULT(GREET1_Import_Export!$G107:$H107+0,L$46:L$47+0))))/1000000</f>
        <v>0.15778470137406453</v>
      </c>
      <c r="M76" s="1090">
        <f t="array" ref="M76">M$43*(M$50*((MMULT(GREET1_Import_Export!$C452:$D452+0,M$46:M$47+0))+M$42*(MMULT(GREET1_Import_Export!$G92:$H92+0,M$46:M$47+0)))+M$51*((MMULT(GREET1_Import_Export!$C452:$D452+0,M$46:M$47+0))+M$42*(MMULT(GREET1_Import_Export!$G107:$H107+0,M$46:M$47+0))))/1000000</f>
        <v>8.7968461828018263E-2</v>
      </c>
      <c r="N76" s="1090">
        <f t="array" ref="N76">N$43*(N$50*((MMULT(GREET1_Import_Export!$C452:$D452+0,N$46:N$47+0))+N$42*(MMULT(GREET1_Import_Export!$E92:$F92+0,N$46:N$47+0)))+N$51*((MMULT(GREET1_Import_Export!$C452:$D452+0,N$46:N$47+0))+N$42*(MMULT(GREET1_Import_Export!$E107:$F107+0,N$46:N$47+0))))/1000000</f>
        <v>0.1478541151064845</v>
      </c>
      <c r="O76" s="2714">
        <f t="array" ref="O76">O$43*(O$50*((MMULT(GREET1_Import_Export!$C452:$D452+0,O$46:O$47+0))+O$42*(MMULT(GREET1_Import_Export!$G92:$H92+0,O$46:O$47+0)))+O$51*((MMULT(GREET1_Import_Export!$C452:$D452+0,O$46:O$47+0))+O$42*(MMULT(GREET1_Import_Export!$G107:$H107+0,O$46:O$47+0))))/1000000</f>
        <v>8.7968461828018152E-2</v>
      </c>
      <c r="P76" s="2714">
        <f t="array" ref="P76">P$43*(P$50*((MMULT(GREET1_Import_Export!$C452:$D452+0,P$46:P$47+0))+P$42*(MMULT(GREET1_Import_Export!$G92:$H92+0,P$46:P$47+0)))+P$51*((MMULT(GREET1_Import_Export!$C452:$D452+0,P$46:P$47+0))+P$42*(MMULT(GREET1_Import_Export!$G107:$H107+0,P$46:P$47+0))))/1000000</f>
        <v>0.65685335391431476</v>
      </c>
      <c r="Q76" s="2714">
        <f t="array" ref="Q76">Q$43*(Q$50*((MMULT(GREET1_Import_Export!$C452:$D452+0,Q$46:Q$47+0))+Q$42*(MMULT(GREET1_Import_Export!$G92:$H92+0,Q$46:Q$47+0)))+Q$51*((MMULT(GREET1_Import_Export!$C452:$D452+0,Q$46:Q$47+0))+Q$42*(MMULT(GREET1_Import_Export!$G107:$H107+0,Q$46:Q$47+0))))/1000000</f>
        <v>0.65685335391431476</v>
      </c>
      <c r="R76" s="1090">
        <f t="array" ref="R76">R$43*(R$50*((MMULT(GREET1_Import_Export!$B452:$D452+0,R$45:R$47+0))+R$42*(MMULT(GREET1_Import_Export!$B92:$D92+0,R$45:R$47+0)))+R$51*((MMULT(GREET1_Import_Export!$B452:$D452+0,R$45:R$47+0))+R$42*(MMULT(GREET1_Import_Export!$B107:$D107+0,R$45:R$47+0))))/1000000</f>
        <v>0.15612170193208072</v>
      </c>
      <c r="S76" s="2616">
        <f t="array" ref="S76">S$43*(S$50*((MMULT(GREET1_Import_Export!$C452:$D452+0,S$46:S$47+0))+S$42*(MMULT(GREET1_Import_Export!$G92:$H92+0,S$46:S$47+0)))+S$51*((MMULT(GREET1_Import_Export!$C452:$D452+0,S$46:S$47+0))+S$42*(MMULT(GREET1_Import_Export!$G107:$H107+0,S$46:S$47+0))))/1000000</f>
        <v>0.51442426590732404</v>
      </c>
      <c r="T76" s="2615">
        <f t="array" ref="T76">T$43*(T$50*((MMULT(GREET1_Import_Export!$B452:$D452+0,T$45:T$47+0))+T$42*(MMULT(GREET1_Import_Export!$B92:$D92+0,T$45:T$47+0)))+T$51*((MMULT(GREET1_Import_Export!$B452:$D452+0,T$45:T$47+0))+T$42*(MMULT(GREET1_Import_Export!$B107:$D107+0,T$45:T$47+0))))/1000000</f>
        <v>1.9370405078573938E-5</v>
      </c>
      <c r="U76" s="1090">
        <f t="array" ref="U76">U$43*(U$50*((MMULT(GREET1_Import_Export!$C452:$D452+0,U$46:U$47+0))+U$42*(MMULT(GREET1_Import_Export!$G92:$H92+0,U$46:U$47+0)))+U$51*((MMULT(GREET1_Import_Export!$C452:$D452+0,U$46:U$47+0))+U$42*(MMULT(GREET1_Import_Export!$G107:$H107+0,U$46:U$47+0))))/1000000</f>
        <v>3.0776416572206533E-4</v>
      </c>
      <c r="V76" s="2616">
        <f t="array" ref="V76">V$43*(V$50*((MMULT(GREET1_Import_Export!$C452:$D452+0,V$46:V$47+0))+V$42*(MMULT(GREET1_Import_Export!$E92:$F92+0,V$46:V$47+0)))+V$51*((MMULT(GREET1_Import_Export!$C452:$D452+0,V$46:V$47+0))+V$42*(MMULT(GREET1_Import_Export!$E107:$F107+0,V$46:V$47+0))))/1000000</f>
        <v>1.1721582907484228E-4</v>
      </c>
      <c r="W76" s="2616">
        <f>W$43*(W$50*((GREET1_Import_Export!$C452*W$46)+W$42*(GREET1_Import_Export!$I92*W$46))+W$51*((GREET1_Import_Export!$C452*W$46)+W$42*(GREET1_Import_Export!$I92*W$46)))/1000000</f>
        <v>1.223271369176512E-3</v>
      </c>
      <c r="X76" s="1076">
        <f t="array" ref="X76">X$43*(X$50*((MMULT(GREET1_Import_Export!$B452:$D452+0,X$45:X$47+0))+X$42*(MMULT(GREET1_Import_Export!$B92:$D92+0,X$45:X$47+0)))+X$51*((MMULT(GREET1_Import_Export!$B452:$D452+0,X$45:X$47+0))+X$42*(MMULT(GREET1_Import_Export!$B107:$D107+0,X$45:X$47+0))))/1000000</f>
        <v>0.17853445644709712</v>
      </c>
      <c r="Y76" s="1779">
        <f t="array" ref="Y76">Y$43*(Y$50*((MMULT(GREET1_Import_Export!$C452:$D452+0,Y$46:Y$47+0))+Y$42*(MMULT(GREET1_Import_Export!$G92:$H92+0,Y$46:Y$47+0)))+Y$51*((MMULT(GREET1_Import_Export!$C452:$D452+0,Y$46:Y$47+0))+Y$42*(MMULT(GREET1_Import_Export!$G107:$H107+0,Y$46:Y$47+0))))/1000000</f>
        <v>0.11040428802093138</v>
      </c>
      <c r="Z76" s="2615">
        <f t="array" ref="Z76">Z$43*(Z$50*((MMULT(GREET1_Import_Export!$B452:$D452+0,Z$45:Z$47+0))+Z$42*(MMULT(GREET1_Import_Export!$B92:$D92+0,Z$45:Z$47+0)))+Z$51*((MMULT(GREET1_Import_Export!$B452:$D452+0,Z$45:Z$47+0))+Z$42*(MMULT(GREET1_Import_Export!$B107:$D107+0,Z$45:Z$47+0))))/1000000</f>
        <v>0.35876756749949801</v>
      </c>
      <c r="AA76" s="2616">
        <f t="array" ref="AA76">AA$43*(AA$50*((MMULT(GREET1_Import_Export!$C452:$D452+0,AA$46:AA$47+0))+AA$42*(MMULT(GREET1_Import_Export!$G92:$H92+0,AA$46:AA$47+0)))+AA$51*((MMULT(GREET1_Import_Export!$C452:$D452+0,AA$46:AA$47+0))+AA$42*(MMULT(GREET1_Import_Export!$G107:$H107+0,AA$46:AA$47+0))))/1000000</f>
        <v>1.2778274076496687E-2</v>
      </c>
      <c r="AB76" s="2615" cm="1">
        <f t="array" ref="AB76">AB$43*(AB$50*((MMULT(GREET1_Import_Export!$B452:$D452+0,AB$45:AB$47+0))+AB$42*(MMULT(GREET1_Import_Export!$B92:$D92+0,AB$45:AB$47+0)))+AB$51*((MMULT(GREET1_Import_Export!$B452:$D452+0,AB$45:AB$47+0))+AB$42*(MMULT(GREET1_Import_Export!$B107:$D107+0,AB$45:AB$47+0))))/1000000</f>
        <v>0</v>
      </c>
      <c r="AC76" s="2715" cm="1">
        <f t="array" ref="AC76">AC$43*(AC$50*((MMULT(GREET1_Import_Export!$C452:$D452+0,AC$46:AC$47+0))+AC$42*(MMULT(GREET1_Import_Export!$E92:$F92+0,AC$46:AC$47+0)))+AC$51*((MMULT(GREET1_Import_Export!$C452:$D452+0,AC$46:AC$47+0))+AC$42*(MMULT(GREET1_Import_Export!$E107:$F107+0,AC$46:AC$47+0))))/1000000</f>
        <v>2.930395726871057E-2</v>
      </c>
      <c r="AD76" s="2616" cm="1">
        <f t="array" ref="AD76">AD$43*(AD$50*((MMULT(GREET1_Import_Export!$C452:$D452+0,AD$46:AD$47+0))+AD$42*(MMULT(GREET1_Import_Export!$G92:$H92+0,AD$46:AD$47+0)))+AD$51*((MMULT(GREET1_Import_Export!$C452:$D452+0,AD$46:AD$47+0))+AD$42*(MMULT(GREET1_Import_Export!$G107:$H107+0,AD$46:AD$47+0))))/1000000</f>
        <v>5.7502233344235092E-2</v>
      </c>
      <c r="AE76" s="2715" cm="1">
        <f t="array" ref="AE76">AE$43*(AE$50*((MMULT(GREET1_Import_Export!$B452:$D452+0,AE$45:AE$47+0))+AE$42*(MMULT(GREET1_Import_Export!$B92:$D92+0,AE$45:AE$47+0)))+AE$51*((MMULT(GREET1_Import_Export!$B452:$D452+0,AE$45:AE$47+0))+AE$42*(MMULT(GREET1_Import_Export!$B107:$D107+0,AE$45:AE$47+0))))/1000000</f>
        <v>0.16068101080238739</v>
      </c>
      <c r="AF76" s="2715" cm="1">
        <f t="array" ref="AF76">AF$43*(AF$50*((MMULT(GREET1_Import_Export!$C452:$D452+0,AF$46:AF$47+0))+AF$42*(MMULT(GREET1_Import_Export!$E92:$F92+0,AF$46:AF$47+0)))+AF$51*((MMULT(GREET1_Import_Export!$C452:$D452+0,AF$46:AF$47+0))+AF$42*(MMULT(GREET1_Import_Export!$E107:$F107+0,AF$46:AF$47+0))))/1000000</f>
        <v>0</v>
      </c>
      <c r="AG76" s="2616" cm="1">
        <f t="array" ref="AG76">AG$43*(AG$50*((MMULT(GREET1_Import_Export!$C452:$D452+0,AG$46:AG$47+0))+AG$42*(MMULT(GREET1_Import_Export!$G92:$H92+0,AG$46:AG$47+0)))+AG$51*((MMULT(GREET1_Import_Export!$C452:$D452+0,AG$46:AG$47+0))+AG$42*(MMULT(GREET1_Import_Export!$G107:$H107+0,AG$46:AG$47+0))))/1000000</f>
        <v>3.833482222949007E-2</v>
      </c>
      <c r="AH76" s="2715" cm="1">
        <f t="array" ref="AH76">AH$43*(AH$50*((MMULT(GREET1_Import_Export!$B452:$D452+0,AH$45:AH$47+0))+AH$42*(MMULT(GREET1_Import_Export!$B92:$D92+0,AH$45:AH$47+0)))+AH$51*((MMULT(GREET1_Import_Export!$B452:$D452+0,AH$45:AH$47+0))+AH$42*(MMULT(GREET1_Import_Export!$B107:$D107+0,AH$45:AH$47+0))))/1000000</f>
        <v>0</v>
      </c>
      <c r="AI76" s="2616" cm="1">
        <f t="array" ref="AI76">AI$43*(AI$50*((MMULT(GREET1_Import_Export!$C452:$D452+0,AI$46:AI$47+0))+AI$42*(MMULT(GREET1_Import_Export!$G92:$H92+0,AI$46:AI$47+0)))+AI$51*((MMULT(GREET1_Import_Export!$C452:$D452+0,AI$46:AI$47+0))+AI$42*(MMULT(GREET1_Import_Export!$G107:$H107+0,AI$46:AI$47+0))))/1000000</f>
        <v>3.833482222949007E-2</v>
      </c>
      <c r="AJ76" s="2715" cm="1">
        <f t="array" ref="AJ76">AJ$43*(AJ$50*((MMULT(GREET1_Import_Export!$B452:$D452+0,AJ$45:AJ$47+0))+AJ$42*(MMULT(GREET1_Import_Export!$B92:$D92+0,AJ$45:AJ$47+0)))+AJ$51*((MMULT(GREET1_Import_Export!$B452:$D452+0,AJ$45:AJ$47+0))+AJ$42*(MMULT(GREET1_Import_Export!$B107:$D107+0,AJ$45:AJ$47+0))))/1000000</f>
        <v>0</v>
      </c>
      <c r="AK76" s="2616" cm="1">
        <f t="array" ref="AK76">AK$43*(AK$50*((MMULT(GREET1_Import_Export!$C452:$D452+0,AK$46:AK$47+0))+AK$42*(MMULT(GREET1_Import_Export!$G92:$H92+0,AK$46:AK$47+0)))+AK$51*((MMULT(GREET1_Import_Export!$C452:$D452+0,AK$46:AK$47+0))+AK$42*(MMULT(GREET1_Import_Export!$G107:$H107+0,AK$46:AK$47+0))))/1000000</f>
        <v>3.833482222949007E-2</v>
      </c>
      <c r="AM76" s="38"/>
      <c r="AN76" s="38"/>
      <c r="AO76" s="38"/>
    </row>
    <row r="77" spans="1:51">
      <c r="A77" s="29" t="s">
        <v>2271</v>
      </c>
      <c r="B77" s="2695">
        <f t="array" ref="B77">B$43*(B$50*((MMULT(GREET1_Import_Export!$C453:$D453+0,B$46:B$47+0))+B$42*(MMULT(GREET1_Import_Export!$G93:$H93+0,B$46:B$47+0)))+B$51*((MMULT(GREET1_Import_Export!$C453:$D453+0,B$46:B$47+0))+B$42*(MMULT(GREET1_Import_Export!$G108:$H108+0,B$46:B$47+0))))/1000000</f>
        <v>0.23144372552468867</v>
      </c>
      <c r="C77" s="2611">
        <f t="array" ref="C77">C$43*(C$50*((MMULT(GREET1_Import_Export!$C453:$D453+0,C$46:C$47+0))+C$42*(MMULT(GREET1_Import_Export!$G93:$H93+0,C$46:C$47+0)))+C$51*((MMULT(GREET1_Import_Export!$C453:$D453+0,C$46:C$47+0))+C$42*(MMULT(GREET1_Import_Export!$G108:$H108+0,C$46:C$47+0))))/1000000</f>
        <v>0.23144372552468867</v>
      </c>
      <c r="D77" s="2611">
        <f t="array" ref="D77">D$43*(D$50*((MMULT(GREET1_Import_Export!$C453:$D453+0,D$46:D$47+0))+D$42*(MMULT(GREET1_Import_Export!$E93:$F93+0,D$46:D$47+0)))+D$51*((MMULT(GREET1_Import_Export!$C453:$D453+0,D$46:D$47+0))+D$42*(MMULT(GREET1_Import_Export!$E108:$F108+0,D$46:D$47+0))))/1000000</f>
        <v>0.74306622343512208</v>
      </c>
      <c r="E77" s="2695">
        <f t="array" ref="E77">E$43*(E$50*((MMULT(GREET1_Import_Export!$C453:$D453+0,E$46:E$47+0))+E$42*(MMULT(GREET1_Import_Export!$G93:$H93+0,E$46:E$47+0)))+E$51*((MMULT(GREET1_Import_Export!$C453:$D453+0,E$46:E$47+0))+E$42*(MMULT(GREET1_Import_Export!$G108:$H108+0,E$46:E$47+0))))/1000000</f>
        <v>0.62489805891665928</v>
      </c>
      <c r="F77" s="2611">
        <f t="array" ref="F77">F$43*(F$50*((MMULT(GREET1_Import_Export!$C453:$D453+0,F$46:F$47+0))+F$42*(MMULT(GREET1_Import_Export!$G93:$H93+0,F$46:F$47+0)))+F$51*((MMULT(GREET1_Import_Export!$C453:$D453+0,F$46:F$47+0))+F$42*(MMULT(GREET1_Import_Export!$G108:$H108+0,F$46:F$47+0))))/1000000</f>
        <v>2.4995922356666374E-2</v>
      </c>
      <c r="G77" s="2695">
        <f t="array" ref="G77">G$43*(G$50*((MMULT(GREET1_Import_Export!$C453:$D453+0,G$46:G$47+0))+G$42*(MMULT(GREET1_Import_Export!$G93:$H93+0,G$46:G$47+0)))+G$51*((MMULT(GREET1_Import_Export!$C453:$D453+0,G$46:G$47+0))+G$42*(MMULT(GREET1_Import_Export!$G108:$H108+0,G$46:G$47+0))))/1000000</f>
        <v>0.16663948237777582</v>
      </c>
      <c r="H77" s="1076">
        <f t="array" ref="H77">H$43*(H$50*((MMULT(GREET1_Import_Export!$B453:$D453+0,H$45:H$47+0))+H$42*(MMULT(GREET1_Import_Export!$B93:$D93+0,H$45:H$47+0)))+H$51*((MMULT(GREET1_Import_Export!$B453:$D453+0,H$45:H$47+0))+H$42*(MMULT(GREET1_Import_Export!$B108:$D108+0,H$45:H$47+0))))/1000000</f>
        <v>0.46572676349049852</v>
      </c>
      <c r="I77" s="1779">
        <f t="array" ref="I77">I$43*(I$50*((MMULT(GREET1_Import_Export!$C453:$D453+0,I$46:I$47+0))+I$42*(MMULT(GREET1_Import_Export!$G93:$H93+0,I$46:I$47+0)))+I$51*((MMULT(GREET1_Import_Export!$C453:$D453+0,I$46:I$47+0))+I$42*(MMULT(GREET1_Import_Export!$G108:$H108+0,I$46:I$47+0))))/1000000</f>
        <v>0.98363583347992678</v>
      </c>
      <c r="J77" s="2611">
        <f t="array" ref="J77">J$43*(J$50*((MMULT(GREET1_Import_Export!$B453:$D453+0,J$45:J$47+0))+J$42*(MMULT(GREET1_Import_Export!$B93:$D93+0,J$45:J$47+0)))+J$51*((MMULT(GREET1_Import_Export!$B453:$D453+0,J$45:J$47+0))+J$42*(MMULT(GREET1_Import_Export!$B108:$D108+0,J$45:J$47+0))))/1000000</f>
        <v>0.90562599211669392</v>
      </c>
      <c r="K77" s="1779">
        <f t="array" ref="K77">K$43*(K$50*((MMULT(GREET1_Import_Export!$C453:$D453+0,K$46:K$47+0))+K$42*(MMULT(GREET1_Import_Export!$G93:$H93+0,K$46:K$47+0)))+K$51*((MMULT(GREET1_Import_Export!$C453:$D453+0,K$46:K$47+0))+K$42*(MMULT(GREET1_Import_Export!$G108:$H108+0,K$46:K$47+0))))/1000000</f>
        <v>2.8930465690586084E-2</v>
      </c>
      <c r="L77" s="2714">
        <f t="array" ref="L77">L$43*(L$50*((MMULT(GREET1_Import_Export!$C453:$D453+0,L$46:L$47+0))+L$42*(MMULT(GREET1_Import_Export!$G93:$H93+0,L$46:L$47+0)))+L$51*((MMULT(GREET1_Import_Export!$C453:$D453+0,L$46:L$47+0))+L$42*(MMULT(GREET1_Import_Export!$G108:$H108+0,L$46:L$47+0))))/1000000</f>
        <v>0.3572301597441736</v>
      </c>
      <c r="M77" s="1090">
        <f t="array" ref="M77">M$43*(M$50*((MMULT(GREET1_Import_Export!$C453:$D453+0,M$46:M$47+0))+M$42*(MMULT(GREET1_Import_Export!$G93:$H93+0,M$46:M$47+0)))+M$51*((MMULT(GREET1_Import_Export!$C453:$D453+0,M$46:M$47+0))+M$42*(MMULT(GREET1_Import_Export!$G108:$H108+0,M$46:M$47+0))))/1000000</f>
        <v>0.19916371737949501</v>
      </c>
      <c r="N77" s="1090">
        <f t="array" ref="N77">N$43*(N$50*((MMULT(GREET1_Import_Export!$C453:$D453+0,N$46:N$47+0))+N$42*(MMULT(GREET1_Import_Export!$E93:$F93+0,N$46:N$47+0)))+N$51*((MMULT(GREET1_Import_Export!$C453:$D453+0,N$46:N$47+0))+N$42*(MMULT(GREET1_Import_Export!$E108:$F108+0,N$46:N$47+0))))/1000000</f>
        <v>0.33474696024620237</v>
      </c>
      <c r="O77" s="2714">
        <f t="array" ref="O77">O$43*(O$50*((MMULT(GREET1_Import_Export!$C453:$D453+0,O$46:O$47+0))+O$42*(MMULT(GREET1_Import_Export!$G93:$H93+0,O$46:O$47+0)))+O$51*((MMULT(GREET1_Import_Export!$C453:$D453+0,O$46:O$47+0))+O$42*(MMULT(GREET1_Import_Export!$G108:$H108+0,O$46:O$47+0))))/1000000</f>
        <v>0.1991637173794947</v>
      </c>
      <c r="P77" s="2714">
        <f t="array" ref="P77">P$43*(P$50*((MMULT(GREET1_Import_Export!$C453:$D453+0,P$46:P$47+0))+P$42*(MMULT(GREET1_Import_Export!$G93:$H93+0,P$46:P$47+0)))+P$51*((MMULT(GREET1_Import_Export!$C453:$D453+0,P$46:P$47+0))+P$42*(MMULT(GREET1_Import_Export!$G108:$H108+0,P$46:P$47+0))))/1000000</f>
        <v>1.4871392885614483</v>
      </c>
      <c r="Q77" s="2714">
        <f t="array" ref="Q77">Q$43*(Q$50*((MMULT(GREET1_Import_Export!$C453:$D453+0,Q$46:Q$47+0))+Q$42*(MMULT(GREET1_Import_Export!$G93:$H93+0,Q$46:Q$47+0)))+Q$51*((MMULT(GREET1_Import_Export!$C453:$D453+0,Q$46:Q$47+0))+Q$42*(MMULT(GREET1_Import_Export!$G108:$H108+0,Q$46:Q$47+0))))/1000000</f>
        <v>1.4871392885614483</v>
      </c>
      <c r="R77" s="1090">
        <f t="array" ref="R77">R$43*(R$50*((MMULT(GREET1_Import_Export!$B453:$D453+0,R$45:R$47+0))+R$42*(MMULT(GREET1_Import_Export!$B93:$D93+0,R$45:R$47+0)))+R$51*((MMULT(GREET1_Import_Export!$B453:$D453+0,R$45:R$47+0))+R$42*(MMULT(GREET1_Import_Export!$B108:$D108+0,R$45:R$47+0))))/1000000</f>
        <v>0.3992751260347871</v>
      </c>
      <c r="S77" s="2616">
        <f t="array" ref="S77">S$43*(S$50*((MMULT(GREET1_Import_Export!$C453:$D453+0,S$46:S$47+0))+S$42*(MMULT(GREET1_Import_Export!$G93:$H93+0,S$46:S$47+0)))+S$51*((MMULT(GREET1_Import_Export!$C453:$D453+0,S$46:S$47+0))+S$42*(MMULT(GREET1_Import_Export!$G108:$H108+0,S$46:S$47+0))))/1000000</f>
        <v>1.1646747820670464</v>
      </c>
      <c r="T77" s="2615">
        <f t="array" ref="T77">T$43*(T$50*((MMULT(GREET1_Import_Export!$B453:$D453+0,T$45:T$47+0))+T$42*(MMULT(GREET1_Import_Export!$B93:$D93+0,T$45:T$47+0)))+T$51*((MMULT(GREET1_Import_Export!$B453:$D453+0,T$45:T$47+0))+T$42*(MMULT(GREET1_Import_Export!$B108:$D108+0,T$45:T$47+0))))/1000000</f>
        <v>4.9539050839050846E-5</v>
      </c>
      <c r="U77" s="1090">
        <f t="array" ref="U77">U$43*(U$50*((MMULT(GREET1_Import_Export!$C453:$D453+0,U$46:U$47+0))+U$42*(MMULT(GREET1_Import_Export!$G93:$H93+0,U$46:U$47+0)))+U$51*((MMULT(GREET1_Import_Export!$C453:$D453+0,U$46:U$47+0))+U$42*(MMULT(GREET1_Import_Export!$G108:$H108+0,U$46:U$47+0))))/1000000</f>
        <v>6.9678898604866432E-4</v>
      </c>
      <c r="V77" s="2616">
        <f t="array" ref="V77">V$43*(V$50*((MMULT(GREET1_Import_Export!$C453:$D453+0,V$46:V$47+0))+V$42*(MMULT(GREET1_Import_Export!$E93:$F93+0,V$46:V$47+0)))+V$51*((MMULT(GREET1_Import_Export!$C453:$D453+0,V$46:V$47+0))+V$42*(MMULT(GREET1_Import_Export!$E108:$F108+0,V$46:V$47+0))))/1000000</f>
        <v>2.6538079408397214E-4</v>
      </c>
      <c r="W77" s="2616">
        <f>W$43*(W$50*((GREET1_Import_Export!$C453*W$46)+W$42*(GREET1_Import_Export!$I93*W$46))+W$51*((GREET1_Import_Export!$C453*W$46)+W$42*(GREET1_Import_Export!$I93*W$46)))/1000000</f>
        <v>2.7695297631258721E-3</v>
      </c>
      <c r="X77" s="1076">
        <f t="array" ref="X77">X$43*(X$50*((MMULT(GREET1_Import_Export!$B453:$D453+0,X$45:X$47+0))+X$42*(MMULT(GREET1_Import_Export!$B93:$D93+0,X$45:X$47+0)))+X$51*((MMULT(GREET1_Import_Export!$B453:$D453+0,X$45:X$47+0))+X$42*(MMULT(GREET1_Import_Export!$B108:$D108+0,X$45:X$47+0))))/1000000</f>
        <v>0.45659486616715539</v>
      </c>
      <c r="Y77" s="1779">
        <f t="array" ref="Y77">Y$43*(Y$50*((MMULT(GREET1_Import_Export!$C453:$D453+0,Y$46:Y$47+0))+Y$42*(MMULT(GREET1_Import_Export!$G93:$H93+0,Y$46:Y$47+0)))+Y$51*((MMULT(GREET1_Import_Export!$C453:$D453+0,Y$46:Y$47+0))+Y$42*(MMULT(GREET1_Import_Export!$G108:$H108+0,Y$46:Y$47+0))))/1000000</f>
        <v>0.24995922356666375</v>
      </c>
      <c r="Z77" s="2615">
        <f t="array" ref="Z77">Z$43*(Z$50*((MMULT(GREET1_Import_Export!$B453:$D453+0,Z$45:Z$47+0))+Z$42*(MMULT(GREET1_Import_Export!$B93:$D93+0,Z$45:Z$47+0)))+Z$51*((MMULT(GREET1_Import_Export!$B453:$D453+0,Z$45:Z$47+0))+Z$42*(MMULT(GREET1_Import_Export!$B108:$D108+0,Z$45:Z$47+0))))/1000000</f>
        <v>0.91753397482737109</v>
      </c>
      <c r="AA77" s="2616">
        <f t="array" ref="AA77">AA$43*(AA$50*((MMULT(GREET1_Import_Export!$C453:$D453+0,AA$46:AA$47+0))+AA$42*(MMULT(GREET1_Import_Export!$G93:$H93+0,AA$46:AA$47+0)))+AA$51*((MMULT(GREET1_Import_Export!$C453:$D453+0,AA$46:AA$47+0))+AA$42*(MMULT(GREET1_Import_Export!$G108:$H108+0,AA$46:AA$47+0))))/1000000</f>
        <v>2.8930465690586084E-2</v>
      </c>
      <c r="AB77" s="2615" cm="1">
        <f t="array" ref="AB77">AB$43*(AB$50*((MMULT(GREET1_Import_Export!$B453:$D453+0,AB$45:AB$47+0))+AB$42*(MMULT(GREET1_Import_Export!$B93:$D93+0,AB$45:AB$47+0)))+AB$51*((MMULT(GREET1_Import_Export!$B453:$D453+0,AB$45:AB$47+0))+AB$42*(MMULT(GREET1_Import_Export!$B108:$D108+0,AB$45:AB$47+0))))/1000000</f>
        <v>0</v>
      </c>
      <c r="AC77" s="2715" cm="1">
        <f t="array" ref="AC77">AC$43*(AC$50*((MMULT(GREET1_Import_Export!$C453:$D453+0,AC$46:AC$47+0))+AC$42*(MMULT(GREET1_Import_Export!$E93:$F93+0,AC$46:AC$47+0)))+AC$51*((MMULT(GREET1_Import_Export!$C453:$D453+0,AC$46:AC$47+0))+AC$42*(MMULT(GREET1_Import_Export!$E108:$F108+0,AC$46:AC$47+0))))/1000000</f>
        <v>6.6345198520993048E-2</v>
      </c>
      <c r="AD77" s="2616" cm="1">
        <f t="array" ref="AD77">AD$43*(AD$50*((MMULT(GREET1_Import_Export!$C453:$D453+0,AD$46:AD$47+0))+AD$42*(MMULT(GREET1_Import_Export!$G93:$H93+0,AD$46:AD$47+0)))+AD$51*((MMULT(GREET1_Import_Export!$C453:$D453+0,AD$46:AD$47+0))+AD$42*(MMULT(GREET1_Import_Export!$G108:$H108+0,AD$46:AD$47+0))))/1000000</f>
        <v>0.13018709560763736</v>
      </c>
      <c r="AE77" s="2715" cm="1">
        <f t="array" ref="AE77">AE$43*(AE$50*((MMULT(GREET1_Import_Export!$B453:$D453+0,AE$45:AE$47+0))+AE$42*(MMULT(GREET1_Import_Export!$B93:$D93+0,AE$45:AE$47+0)))+AE$51*((MMULT(GREET1_Import_Export!$B453:$D453+0,AE$45:AE$47+0))+AE$42*(MMULT(GREET1_Import_Export!$B108:$D108+0,AE$45:AE$47+0))))/1000000</f>
        <v>0.41093537955043991</v>
      </c>
      <c r="AF77" s="2715" cm="1">
        <f t="array" ref="AF77">AF$43*(AF$50*((MMULT(GREET1_Import_Export!$C453:$D453+0,AF$46:AF$47+0))+AF$42*(MMULT(GREET1_Import_Export!$E93:$F93+0,AF$46:AF$47+0)))+AF$51*((MMULT(GREET1_Import_Export!$C453:$D453+0,AF$46:AF$47+0))+AF$42*(MMULT(GREET1_Import_Export!$E108:$F108+0,AF$46:AF$47+0))))/1000000</f>
        <v>0</v>
      </c>
      <c r="AG77" s="2616" cm="1">
        <f t="array" ref="AG77">AG$43*(AG$50*((MMULT(GREET1_Import_Export!$C453:$D453+0,AG$46:AG$47+0))+AG$42*(MMULT(GREET1_Import_Export!$G93:$H93+0,AG$46:AG$47+0)))+AG$51*((MMULT(GREET1_Import_Export!$C453:$D453+0,AG$46:AG$47+0))+AG$42*(MMULT(GREET1_Import_Export!$G108:$H108+0,AG$46:AG$47+0))))/1000000</f>
        <v>8.6791397071758244E-2</v>
      </c>
      <c r="AH77" s="2715" cm="1">
        <f t="array" ref="AH77">AH$43*(AH$50*((MMULT(GREET1_Import_Export!$B453:$D453+0,AH$45:AH$47+0))+AH$42*(MMULT(GREET1_Import_Export!$B93:$D93+0,AH$45:AH$47+0)))+AH$51*((MMULT(GREET1_Import_Export!$B453:$D453+0,AH$45:AH$47+0))+AH$42*(MMULT(GREET1_Import_Export!$B108:$D108+0,AH$45:AH$47+0))))/1000000</f>
        <v>0</v>
      </c>
      <c r="AI77" s="2616" cm="1">
        <f t="array" ref="AI77">AI$43*(AI$50*((MMULT(GREET1_Import_Export!$C453:$D453+0,AI$46:AI$47+0))+AI$42*(MMULT(GREET1_Import_Export!$G93:$H93+0,AI$46:AI$47+0)))+AI$51*((MMULT(GREET1_Import_Export!$C453:$D453+0,AI$46:AI$47+0))+AI$42*(MMULT(GREET1_Import_Export!$G108:$H108+0,AI$46:AI$47+0))))/1000000</f>
        <v>8.6791397071758244E-2</v>
      </c>
      <c r="AJ77" s="2715" cm="1">
        <f t="array" ref="AJ77">AJ$43*(AJ$50*((MMULT(GREET1_Import_Export!$B453:$D453+0,AJ$45:AJ$47+0))+AJ$42*(MMULT(GREET1_Import_Export!$B93:$D93+0,AJ$45:AJ$47+0)))+AJ$51*((MMULT(GREET1_Import_Export!$B453:$D453+0,AJ$45:AJ$47+0))+AJ$42*(MMULT(GREET1_Import_Export!$B108:$D108+0,AJ$45:AJ$47+0))))/1000000</f>
        <v>0</v>
      </c>
      <c r="AK77" s="2616" cm="1">
        <f t="array" ref="AK77">AK$43*(AK$50*((MMULT(GREET1_Import_Export!$C453:$D453+0,AK$46:AK$47+0))+AK$42*(MMULT(GREET1_Import_Export!$G93:$H93+0,AK$46:AK$47+0)))+AK$51*((MMULT(GREET1_Import_Export!$C453:$D453+0,AK$46:AK$47+0))+AK$42*(MMULT(GREET1_Import_Export!$G108:$H108+0,AK$46:AK$47+0))))/1000000</f>
        <v>8.6791397071758244E-2</v>
      </c>
      <c r="AM77" s="38"/>
      <c r="AN77" s="38"/>
      <c r="AO77" s="38"/>
    </row>
    <row r="78" spans="1:51">
      <c r="A78" s="30" t="s">
        <v>2109</v>
      </c>
      <c r="B78" s="2695">
        <f t="array" ref="B78">B$43*(B$50*((MMULT(GREET1_Import_Export!$C454:$D454+0,B$46:B$47+0))+B$42*(MMULT(GREET1_Import_Export!$G94:$H94+0,B$46:B$47+0)))+B$51*((MMULT(GREET1_Import_Export!$C454:$D454+0,B$46:B$47+0))+B$42*(MMULT(GREET1_Import_Export!$G109:$H109+0,B$46:B$47+0))))/1000000</f>
        <v>1.3007285568992591E-2</v>
      </c>
      <c r="C78" s="2611">
        <f t="array" ref="C78">C$43*(C$50*((MMULT(GREET1_Import_Export!$C454:$D454+0,C$46:C$47+0))+C$42*(MMULT(GREET1_Import_Export!$G94:$H94+0,C$46:C$47+0)))+C$51*((MMULT(GREET1_Import_Export!$C454:$D454+0,C$46:C$47+0))+C$42*(MMULT(GREET1_Import_Export!$G109:$H109+0,C$46:C$47+0))))/1000000</f>
        <v>1.3007285568992591E-2</v>
      </c>
      <c r="D78" s="2611">
        <f t="array" ref="D78">D$43*(D$50*((MMULT(GREET1_Import_Export!$C454:$D454+0,D$46:D$47+0))+D$42*(MMULT(GREET1_Import_Export!$E94:$F94+0,D$46:D$47+0)))+D$51*((MMULT(GREET1_Import_Export!$C454:$D454+0,D$46:D$47+0))+D$42*(MMULT(GREET1_Import_Export!$E109:$F109+0,D$46:D$47+0))))/1000000</f>
        <v>4.1760797545848653E-2</v>
      </c>
      <c r="E78" s="2695">
        <f t="array" ref="E78">E$43*(E$50*((MMULT(GREET1_Import_Export!$C454:$D454+0,E$46:E$47+0))+E$42*(MMULT(GREET1_Import_Export!$G94:$H94+0,E$46:E$47+0)))+E$51*((MMULT(GREET1_Import_Export!$C454:$D454+0,E$46:E$47+0))+E$42*(MMULT(GREET1_Import_Export!$G109:$H109+0,E$46:E$47+0))))/1000000</f>
        <v>3.5119671036279991E-2</v>
      </c>
      <c r="F78" s="2611">
        <f t="array" ref="F78">F$43*(F$50*((MMULT(GREET1_Import_Export!$C454:$D454+0,F$46:F$47+0))+F$42*(MMULT(GREET1_Import_Export!$G94:$H94+0,F$46:F$47+0)))+F$51*((MMULT(GREET1_Import_Export!$C454:$D454+0,F$46:F$47+0))+F$42*(MMULT(GREET1_Import_Export!$G109:$H109+0,F$46:F$47+0))))/1000000</f>
        <v>1.4047868414512E-3</v>
      </c>
      <c r="G78" s="2695">
        <f t="array" ref="G78">G$43*(G$50*((MMULT(GREET1_Import_Export!$C454:$D454+0,G$46:G$47+0))+G$42*(MMULT(GREET1_Import_Export!$G94:$H94+0,G$46:G$47+0)))+G$51*((MMULT(GREET1_Import_Export!$C454:$D454+0,G$46:G$47+0))+G$42*(MMULT(GREET1_Import_Export!$G109:$H109+0,G$46:G$47+0))))/1000000</f>
        <v>9.3652456096746661E-3</v>
      </c>
      <c r="H78" s="1076">
        <f t="array" ref="H78">H$43*(H$50*((MMULT(GREET1_Import_Export!$B454:$D454+0,H$45:H$47+0))+H$42*(MMULT(GREET1_Import_Export!$B94:$D94+0,H$45:H$47+0)))+H$51*((MMULT(GREET1_Import_Export!$B454:$D454+0,H$45:H$47+0))+H$42*(MMULT(GREET1_Import_Export!$B109:$D109+0,H$45:H$47+0))))/1000000</f>
        <v>1.9543908143219466E-2</v>
      </c>
      <c r="I78" s="1779">
        <f t="array" ref="I78">I$43*(I$50*((MMULT(GREET1_Import_Export!$C454:$D454+0,I$46:I$47+0))+I$42*(MMULT(GREET1_Import_Export!$G94:$H94+0,I$46:I$47+0)))+I$51*((MMULT(GREET1_Import_Export!$C454:$D454+0,I$46:I$47+0))+I$42*(MMULT(GREET1_Import_Export!$G109:$H109+0,I$46:I$47+0))))/1000000</f>
        <v>5.5280963668218518E-2</v>
      </c>
      <c r="J78" s="2611">
        <f t="array" ref="J78">J$43*(J$50*((MMULT(GREET1_Import_Export!$B454:$D454+0,J$45:J$47+0))+J$42*(MMULT(GREET1_Import_Export!$B94:$D94+0,J$45:J$47+0)))+J$51*((MMULT(GREET1_Import_Export!$B454:$D454+0,J$45:J$47+0))+J$42*(MMULT(GREET1_Import_Export!$B109:$D109+0,J$45:J$47+0))))/1000000</f>
        <v>3.8003981281616327E-2</v>
      </c>
      <c r="K78" s="1779">
        <f t="array" ref="K78">K$43*(K$50*((MMULT(GREET1_Import_Export!$C454:$D454+0,K$46:K$47+0))+K$42*(MMULT(GREET1_Import_Export!$G94:$H94+0,K$46:K$47+0)))+K$51*((MMULT(GREET1_Import_Export!$C454:$D454+0,K$46:K$47+0))+K$42*(MMULT(GREET1_Import_Export!$G109:$H109+0,K$46:K$47+0))))/1000000</f>
        <v>1.6259106961240739E-3</v>
      </c>
      <c r="L78" s="2714">
        <f t="array" ref="L78">L$43*(L$50*((MMULT(GREET1_Import_Export!$C454:$D454+0,L$46:L$47+0))+L$42*(MMULT(GREET1_Import_Export!$G94:$H94+0,L$46:L$47+0)))+L$51*((MMULT(GREET1_Import_Export!$C454:$D454+0,L$46:L$47+0))+L$42*(MMULT(GREET1_Import_Export!$G109:$H109+0,L$46:L$47+0))))/1000000</f>
        <v>2.0076563713772588E-2</v>
      </c>
      <c r="M78" s="1090">
        <f t="array" ref="M78">M$43*(M$50*((MMULT(GREET1_Import_Export!$C454:$D454+0,M$46:M$47+0))+M$42*(MMULT(GREET1_Import_Export!$G94:$H94+0,M$46:M$47+0)))+M$51*((MMULT(GREET1_Import_Export!$C454:$D454+0,M$46:M$47+0))+M$42*(MMULT(GREET1_Import_Export!$G109:$H109+0,M$46:M$47+0))))/1000000</f>
        <v>1.1193128442191797E-2</v>
      </c>
      <c r="N78" s="1090">
        <f t="array" ref="N78">N$43*(N$50*((MMULT(GREET1_Import_Export!$C454:$D454+0,N$46:N$47+0))+N$42*(MMULT(GREET1_Import_Export!$E94:$F94+0,N$46:N$47+0)))+N$51*((MMULT(GREET1_Import_Export!$C454:$D454+0,N$46:N$47+0))+N$42*(MMULT(GREET1_Import_Export!$E109:$F109+0,N$46:N$47+0))))/1000000</f>
        <v>1.8812993505888314E-2</v>
      </c>
      <c r="O78" s="2714">
        <f t="array" ref="O78">O$43*(O$50*((MMULT(GREET1_Import_Export!$C454:$D454+0,O$46:O$47+0))+O$42*(MMULT(GREET1_Import_Export!$G94:$H94+0,O$46:O$47+0)))+O$51*((MMULT(GREET1_Import_Export!$C454:$D454+0,O$46:O$47+0))+O$42*(MMULT(GREET1_Import_Export!$G109:$H109+0,O$46:O$47+0))))/1000000</f>
        <v>1.1193128442191782E-2</v>
      </c>
      <c r="P78" s="2714">
        <f t="array" ref="P78">P$43*(P$50*((MMULT(GREET1_Import_Export!$C454:$D454+0,P$46:P$47+0))+P$42*(MMULT(GREET1_Import_Export!$G94:$H94+0,P$46:P$47+0)))+P$51*((MMULT(GREET1_Import_Export!$C454:$D454+0,P$46:P$47+0))+P$42*(MMULT(GREET1_Import_Export!$G109:$H109+0,P$46:P$47+0))))/1000000</f>
        <v>8.3578180239428465E-2</v>
      </c>
      <c r="Q78" s="2714">
        <f t="array" ref="Q78">Q$43*(Q$50*((MMULT(GREET1_Import_Export!$C454:$D454+0,Q$46:Q$47+0))+Q$42*(MMULT(GREET1_Import_Export!$G94:$H94+0,Q$46:Q$47+0)))+Q$51*((MMULT(GREET1_Import_Export!$C454:$D454+0,Q$46:Q$47+0))+Q$42*(MMULT(GREET1_Import_Export!$G109:$H109+0,Q$46:Q$47+0))))/1000000</f>
        <v>8.3578180239428465E-2</v>
      </c>
      <c r="R78" s="1090">
        <f t="array" ref="R78">R$43*(R$50*((MMULT(GREET1_Import_Export!$B454:$D454+0,R$45:R$47+0))+R$42*(MMULT(GREET1_Import_Export!$B94:$D94+0,R$45:R$47+0)))+R$51*((MMULT(GREET1_Import_Export!$B454:$D454+0,R$45:R$47+0))+R$42*(MMULT(GREET1_Import_Export!$B109:$D109+0,R$45:R$47+0))))/1000000</f>
        <v>1.67553101922077E-2</v>
      </c>
      <c r="S78" s="2616">
        <f t="array" ref="S78">S$43*(S$50*((MMULT(GREET1_Import_Export!$C454:$D454+0,S$46:S$47+0))+S$42*(MMULT(GREET1_Import_Export!$G94:$H94+0,S$46:S$47+0)))+S$51*((MMULT(GREET1_Import_Export!$C454:$D454+0,S$46:S$47+0))+S$42*(MMULT(GREET1_Import_Export!$G109:$H109+0,S$46:S$47+0))))/1000000</f>
        <v>6.5455468498904198E-2</v>
      </c>
      <c r="T78" s="2615">
        <f t="array" ref="T78">T$43*(T$50*((MMULT(GREET1_Import_Export!$B454:$D454+0,T$45:T$47+0))+T$42*(MMULT(GREET1_Import_Export!$B94:$D94+0,T$45:T$47+0)))+T$51*((MMULT(GREET1_Import_Export!$B454:$D454+0,T$45:T$47+0))+T$42*(MMULT(GREET1_Import_Export!$B109:$D109+0,T$45:T$47+0))))/1000000</f>
        <v>2.0788727103514234E-6</v>
      </c>
      <c r="U78" s="1090">
        <f t="array" ref="U78">U$43*(U$50*((MMULT(GREET1_Import_Export!$C454:$D454+0,U$46:U$47+0))+U$42*(MMULT(GREET1_Import_Export!$G94:$H94+0,U$46:U$47+0)))+U$51*((MMULT(GREET1_Import_Export!$C454:$D454+0,U$46:U$47+0))+U$42*(MMULT(GREET1_Import_Export!$G109:$H109+0,U$46:U$47+0))))/1000000</f>
        <v>3.9159987173197159E-5</v>
      </c>
      <c r="V78" s="2616">
        <f t="array" ref="V78">V$43*(V$50*((MMULT(GREET1_Import_Export!$C454:$D454+0,V$46:V$47+0))+V$42*(MMULT(GREET1_Import_Export!$E94:$F94+0,V$46:V$47+0)))+V$51*((MMULT(GREET1_Import_Export!$C454:$D454+0,V$46:V$47+0))+V$42*(MMULT(GREET1_Import_Export!$E109:$F109+0,V$46:V$47+0))))/1000000</f>
        <v>1.4914570552088807E-5</v>
      </c>
      <c r="W78" s="2616">
        <f>W$43*(W$50*((GREET1_Import_Export!$C454*W$46)+W$42*(GREET1_Import_Export!$I94*W$46))+W$51*((GREET1_Import_Export!$C454*W$46)+W$42*(GREET1_Import_Export!$I94*W$46)))/1000000</f>
        <v>1.5564934603059635E-4</v>
      </c>
      <c r="X78" s="1076">
        <f t="array" ref="X78">X$43*(X$50*((MMULT(GREET1_Import_Export!$B454:$D454+0,X$45:X$47+0))+X$42*(MMULT(GREET1_Import_Export!$B94:$D94+0,X$45:X$47+0)))+X$51*((MMULT(GREET1_Import_Export!$B454:$D454+0,X$45:X$47+0))+X$42*(MMULT(GREET1_Import_Export!$B109:$D109+0,X$45:X$47+0))))/1000000</f>
        <v>1.9160694258058299E-2</v>
      </c>
      <c r="Y78" s="1779">
        <f t="array" ref="Y78">Y$43*(Y$50*((MMULT(GREET1_Import_Export!$C454:$D454+0,Y$46:Y$47+0))+Y$42*(MMULT(GREET1_Import_Export!$G94:$H94+0,Y$46:Y$47+0)))+Y$51*((MMULT(GREET1_Import_Export!$C454:$D454+0,Y$46:Y$47+0))+Y$42*(MMULT(GREET1_Import_Export!$G109:$H109+0,Y$46:Y$47+0))))/1000000</f>
        <v>1.4047868414511999E-2</v>
      </c>
      <c r="Z78" s="2615">
        <f t="array" ref="Z78">Z$43*(Z$50*((MMULT(GREET1_Import_Export!$B454:$D454+0,Z$45:Z$47+0))+Z$42*(MMULT(GREET1_Import_Export!$B94:$D94+0,Z$45:Z$47+0)))+Z$51*((MMULT(GREET1_Import_Export!$B454:$D454+0,Z$45:Z$47+0))+Z$42*(MMULT(GREET1_Import_Export!$B109:$D109+0,Z$45:Z$47+0))))/1000000</f>
        <v>3.8503691709516757E-2</v>
      </c>
      <c r="AA78" s="2616">
        <f t="array" ref="AA78">AA$43*(AA$50*((MMULT(GREET1_Import_Export!$C454:$D454+0,AA$46:AA$47+0))+AA$42*(MMULT(GREET1_Import_Export!$G94:$H94+0,AA$46:AA$47+0)))+AA$51*((MMULT(GREET1_Import_Export!$C454:$D454+0,AA$46:AA$47+0))+AA$42*(MMULT(GREET1_Import_Export!$G109:$H109+0,AA$46:AA$47+0))))/1000000</f>
        <v>1.6259106961240739E-3</v>
      </c>
      <c r="AB78" s="2615" cm="1">
        <f t="array" ref="AB78">AB$43*(AB$50*((MMULT(GREET1_Import_Export!$B454:$D454+0,AB$45:AB$47+0))+AB$42*(MMULT(GREET1_Import_Export!$B94:$D94+0,AB$45:AB$47+0)))+AB$51*((MMULT(GREET1_Import_Export!$B454:$D454+0,AB$45:AB$47+0))+AB$42*(MMULT(GREET1_Import_Export!$B109:$D109+0,AB$45:AB$47+0))))/1000000</f>
        <v>0</v>
      </c>
      <c r="AC78" s="2715" cm="1">
        <f t="array" ref="AC78">AC$43*(AC$50*((MMULT(GREET1_Import_Export!$C454:$D454+0,AC$46:AC$47+0))+AC$42*(MMULT(GREET1_Import_Export!$E94:$F94+0,AC$46:AC$47+0)))+AC$51*((MMULT(GREET1_Import_Export!$C454:$D454+0,AC$46:AC$47+0))+AC$42*(MMULT(GREET1_Import_Export!$E109:$F109+0,AC$46:AC$47+0))))/1000000</f>
        <v>3.7286426380222014E-3</v>
      </c>
      <c r="AD78" s="2616" cm="1">
        <f t="array" ref="AD78">AD$43*(AD$50*((MMULT(GREET1_Import_Export!$C454:$D454+0,AD$46:AD$47+0))+AD$42*(MMULT(GREET1_Import_Export!$G94:$H94+0,AD$46:AD$47+0)))+AD$51*((MMULT(GREET1_Import_Export!$C454:$D454+0,AD$46:AD$47+0))+AD$42*(MMULT(GREET1_Import_Export!$G109:$H109+0,AD$46:AD$47+0))))/1000000</f>
        <v>7.3165981325583312E-3</v>
      </c>
      <c r="AE78" s="2715" cm="1">
        <f t="array" ref="AE78">AE$43*(AE$50*((MMULT(GREET1_Import_Export!$B454:$D454+0,AE$45:AE$47+0))+AE$42*(MMULT(GREET1_Import_Export!$B94:$D94+0,AE$45:AE$47+0)))+AE$51*((MMULT(GREET1_Import_Export!$B454:$D454+0,AE$45:AE$47+0))+AE$42*(MMULT(GREET1_Import_Export!$B109:$D109+0,AE$45:AE$47+0))))/1000000</f>
        <v>1.7244624832252468E-2</v>
      </c>
      <c r="AF78" s="2715" cm="1">
        <f t="array" ref="AF78">AF$43*(AF$50*((MMULT(GREET1_Import_Export!$C454:$D454+0,AF$46:AF$47+0))+AF$42*(MMULT(GREET1_Import_Export!$E94:$F94+0,AF$46:AF$47+0)))+AF$51*((MMULT(GREET1_Import_Export!$C454:$D454+0,AF$46:AF$47+0))+AF$42*(MMULT(GREET1_Import_Export!$E109:$F109+0,AF$46:AF$47+0))))/1000000</f>
        <v>0</v>
      </c>
      <c r="AG78" s="2616" cm="1">
        <f t="array" ref="AG78">AG$43*(AG$50*((MMULT(GREET1_Import_Export!$C454:$D454+0,AG$46:AG$47+0))+AG$42*(MMULT(GREET1_Import_Export!$G94:$H94+0,AG$46:AG$47+0)))+AG$51*((MMULT(GREET1_Import_Export!$C454:$D454+0,AG$46:AG$47+0))+AG$42*(MMULT(GREET1_Import_Export!$G109:$H109+0,AG$46:AG$47+0))))/1000000</f>
        <v>4.8777320883722219E-3</v>
      </c>
      <c r="AH78" s="2715" cm="1">
        <f t="array" ref="AH78">AH$43*(AH$50*((MMULT(GREET1_Import_Export!$B454:$D454+0,AH$45:AH$47+0))+AH$42*(MMULT(GREET1_Import_Export!$B94:$D94+0,AH$45:AH$47+0)))+AH$51*((MMULT(GREET1_Import_Export!$B454:$D454+0,AH$45:AH$47+0))+AH$42*(MMULT(GREET1_Import_Export!$B109:$D109+0,AH$45:AH$47+0))))/1000000</f>
        <v>0</v>
      </c>
      <c r="AI78" s="2616" cm="1">
        <f t="array" ref="AI78">AI$43*(AI$50*((MMULT(GREET1_Import_Export!$C454:$D454+0,AI$46:AI$47+0))+AI$42*(MMULT(GREET1_Import_Export!$G94:$H94+0,AI$46:AI$47+0)))+AI$51*((MMULT(GREET1_Import_Export!$C454:$D454+0,AI$46:AI$47+0))+AI$42*(MMULT(GREET1_Import_Export!$G109:$H109+0,AI$46:AI$47+0))))/1000000</f>
        <v>4.8777320883722219E-3</v>
      </c>
      <c r="AJ78" s="2715" cm="1">
        <f t="array" ref="AJ78">AJ$43*(AJ$50*((MMULT(GREET1_Import_Export!$B454:$D454+0,AJ$45:AJ$47+0))+AJ$42*(MMULT(GREET1_Import_Export!$B94:$D94+0,AJ$45:AJ$47+0)))+AJ$51*((MMULT(GREET1_Import_Export!$B454:$D454+0,AJ$45:AJ$47+0))+AJ$42*(MMULT(GREET1_Import_Export!$B109:$D109+0,AJ$45:AJ$47+0))))/1000000</f>
        <v>0</v>
      </c>
      <c r="AK78" s="2616" cm="1">
        <f t="array" ref="AK78">AK$43*(AK$50*((MMULT(GREET1_Import_Export!$C454:$D454+0,AK$46:AK$47+0))+AK$42*(MMULT(GREET1_Import_Export!$G94:$H94+0,AK$46:AK$47+0)))+AK$51*((MMULT(GREET1_Import_Export!$C454:$D454+0,AK$46:AK$47+0))+AK$42*(MMULT(GREET1_Import_Export!$G109:$H109+0,AK$46:AK$47+0))))/1000000</f>
        <v>4.8777320883722219E-3</v>
      </c>
      <c r="AM78" s="38"/>
      <c r="AN78" s="38"/>
      <c r="AO78" s="38"/>
    </row>
    <row r="79" spans="1:51">
      <c r="A79" s="2805" t="s">
        <v>2110</v>
      </c>
      <c r="B79" s="2699">
        <f t="array" ref="B79">B$43*(B$50*((MMULT(GREET1_Import_Export!$C455:$D455+0,B$46:B$47+0))+B$42*(MMULT(GREET1_Import_Export!$G95:$H95+0,B$46:B$47+0)))+B$51*((MMULT(GREET1_Import_Export!$C455:$D455+0,B$46:B$47+0))+B$42*(MMULT(GREET1_Import_Export!$G110:$H110+0,B$46:B$47+0))))/1000000</f>
        <v>1.8411039939317347E-2</v>
      </c>
      <c r="C79" s="1780">
        <f t="array" ref="C79">C$43*(C$50*((MMULT(GREET1_Import_Export!$C455:$D455+0,C$46:C$47+0))+C$42*(MMULT(GREET1_Import_Export!$G95:$H95+0,C$46:C$47+0)))+C$51*((MMULT(GREET1_Import_Export!$C455:$D455+0,C$46:C$47+0))+C$42*(MMULT(GREET1_Import_Export!$G110:$H110+0,C$46:C$47+0))))/1000000</f>
        <v>1.8411039939317347E-2</v>
      </c>
      <c r="D79" s="1780">
        <f t="array" ref="D79">D$43*(D$50*((MMULT(GREET1_Import_Export!$C455:$D455+0,D$46:D$47+0))+D$42*(MMULT(GREET1_Import_Export!$E95:$F95+0,D$46:D$47+0)))+D$51*((MMULT(GREET1_Import_Export!$C455:$D455+0,D$46:D$47+0))+D$42*(MMULT(GREET1_Import_Export!$E110:$F110+0,D$46:D$47+0))))/1000000</f>
        <v>5.9109927850527939E-2</v>
      </c>
      <c r="E79" s="2699">
        <f t="array" ref="E79">E$43*(E$50*((MMULT(GREET1_Import_Export!$C455:$D455+0,E$46:E$47+0))+E$42*(MMULT(GREET1_Import_Export!$G95:$H95+0,E$46:E$47+0)))+E$51*((MMULT(GREET1_Import_Export!$C455:$D455+0,E$46:E$47+0))+E$42*(MMULT(GREET1_Import_Export!$G110:$H110+0,E$46:E$47+0))))/1000000</f>
        <v>4.9709807836156826E-2</v>
      </c>
      <c r="F79" s="1780">
        <f t="array" ref="F79">F$43*(F$50*((MMULT(GREET1_Import_Export!$C455:$D455+0,F$46:F$47+0))+F$42*(MMULT(GREET1_Import_Export!$G95:$H95+0,F$46:F$47+0)))+F$51*((MMULT(GREET1_Import_Export!$C455:$D455+0,F$46:F$47+0))+F$42*(MMULT(GREET1_Import_Export!$G110:$H110+0,F$46:F$47+0))))/1000000</f>
        <v>1.9883923134462731E-3</v>
      </c>
      <c r="G79" s="2699">
        <f t="array" ref="G79">G$43*(G$50*((MMULT(GREET1_Import_Export!$C455:$D455+0,G$46:G$47+0))+G$42*(MMULT(GREET1_Import_Export!$G95:$H95+0,G$46:G$47+0)))+G$51*((MMULT(GREET1_Import_Export!$C455:$D455+0,G$46:G$47+0))+G$42*(MMULT(GREET1_Import_Export!$G110:$H110+0,G$46:G$47+0))))/1000000</f>
        <v>1.3255948756308488E-2</v>
      </c>
      <c r="H79" s="1097">
        <f t="array" ref="H79">H$43*(H$50*((MMULT(GREET1_Import_Export!$B455:$D455+0,H$45:H$47+0))+H$42*(MMULT(GREET1_Import_Export!$B95:$D95+0,H$45:H$47+0)))+H$51*((MMULT(GREET1_Import_Export!$B455:$D455+0,H$45:H$47+0))+H$42*(MMULT(GREET1_Import_Export!$B110:$D110+0,H$45:H$47+0))))/1000000</f>
        <v>2.9600855578134411E-2</v>
      </c>
      <c r="I79" s="1781">
        <f t="array" ref="I79">I$43*(I$50*((MMULT(GREET1_Import_Export!$C455:$D455+0,I$46:I$47+0))+I$42*(MMULT(GREET1_Import_Export!$G95:$H95+0,I$46:I$47+0)))+I$51*((MMULT(GREET1_Import_Export!$C455:$D455+0,I$46:I$47+0))+I$42*(MMULT(GREET1_Import_Export!$G110:$H110+0,I$46:I$47+0))))/1000000</f>
        <v>7.8246919742098714E-2</v>
      </c>
      <c r="J79" s="1780">
        <f t="array" ref="J79">J$43*(J$50*((MMULT(GREET1_Import_Export!$B455:$D455+0,J$45:J$47+0))+J$42*(MMULT(GREET1_Import_Export!$B95:$D95+0,J$45:J$47+0)))+J$51*((MMULT(GREET1_Import_Export!$B455:$D455+0,J$45:J$47+0))+J$42*(MMULT(GREET1_Import_Export!$B110:$D110+0,J$45:J$47+0))))/1000000</f>
        <v>5.7560153939913858E-2</v>
      </c>
      <c r="K79" s="1781">
        <f t="array" ref="K79">K$43*(K$50*((MMULT(GREET1_Import_Export!$C455:$D455+0,K$46:K$47+0))+K$42*(MMULT(GREET1_Import_Export!$G95:$H95+0,K$46:K$47+0)))+K$51*((MMULT(GREET1_Import_Export!$C455:$D455+0,K$46:K$47+0))+K$42*(MMULT(GREET1_Import_Export!$G110:$H110+0,K$46:K$47+0))))/1000000</f>
        <v>2.3013799924146683E-3</v>
      </c>
      <c r="L79" s="2717">
        <f t="array" ref="L79">L$43*(L$50*((MMULT(GREET1_Import_Export!$C455:$D455+0,L$46:L$47+0))+L$42*(MMULT(GREET1_Import_Export!$G95:$H95+0,L$46:L$47+0)))+L$51*((MMULT(GREET1_Import_Export!$C455:$D455+0,L$46:L$47+0))+L$42*(MMULT(GREET1_Import_Export!$G110:$H110+0,L$46:L$47+0))))/1000000</f>
        <v>2.8417183156158248E-2</v>
      </c>
      <c r="M79" s="2749">
        <f t="array" ref="M79">M$43*(M$50*((MMULT(GREET1_Import_Export!$C455:$D455+0,M$46:M$47+0))+M$42*(MMULT(GREET1_Import_Export!$G95:$H95+0,M$46:M$47+0)))+M$51*((MMULT(GREET1_Import_Export!$C455:$D455+0,M$46:M$47+0))+M$42*(MMULT(GREET1_Import_Export!$G110:$H110+0,M$46:M$47+0))))/1000000</f>
        <v>1.5843208308300615E-2</v>
      </c>
      <c r="N79" s="2749">
        <f t="array" ref="N79">N$43*(N$50*((MMULT(GREET1_Import_Export!$C455:$D455+0,N$46:N$47+0))+N$42*(MMULT(GREET1_Import_Export!$E95:$F95+0,N$46:N$47+0)))+N$51*((MMULT(GREET1_Import_Export!$C455:$D455+0,N$46:N$47+0))+N$42*(MMULT(GREET1_Import_Export!$E110:$F110+0,N$46:N$47+0))))/1000000</f>
        <v>2.662867459762041E-2</v>
      </c>
      <c r="O79" s="2717">
        <f t="array" ref="O79">O$43*(O$50*((MMULT(GREET1_Import_Export!$C455:$D455+0,O$46:O$47+0))+O$42*(MMULT(GREET1_Import_Export!$G95:$H95+0,O$46:O$47+0)))+O$51*((MMULT(GREET1_Import_Export!$C455:$D455+0,O$46:O$47+0))+O$42*(MMULT(GREET1_Import_Export!$G110:$H110+0,O$46:O$47+0))))/1000000</f>
        <v>1.5843208308300594E-2</v>
      </c>
      <c r="P79" s="2717">
        <f t="array" ref="P79">P$43*(P$50*((MMULT(GREET1_Import_Export!$C455:$D455+0,P$46:P$47+0))+P$42*(MMULT(GREET1_Import_Export!$G95:$H95+0,P$46:P$47+0)))+P$51*((MMULT(GREET1_Import_Export!$C455:$D455+0,P$46:P$47+0))+P$42*(MMULT(GREET1_Import_Export!$G110:$H110+0,P$46:P$47+0))))/1000000</f>
        <v>0.11829994861585538</v>
      </c>
      <c r="Q79" s="2717">
        <f t="array" ref="Q79">Q$43*(Q$50*((MMULT(GREET1_Import_Export!$C455:$D455+0,Q$46:Q$47+0))+Q$42*(MMULT(GREET1_Import_Export!$G95:$H95+0,Q$46:Q$47+0)))+Q$51*((MMULT(GREET1_Import_Export!$C455:$D455+0,Q$46:Q$47+0))+Q$42*(MMULT(GREET1_Import_Export!$G110:$H110+0,Q$46:Q$47+0))))/1000000</f>
        <v>0.11829994861585538</v>
      </c>
      <c r="R79" s="2749">
        <f t="array" ref="R79">R$43*(R$50*((MMULT(GREET1_Import_Export!$B455:$D455+0,R$45:R$47+0))+R$42*(MMULT(GREET1_Import_Export!$B95:$D95+0,R$45:R$47+0)))+R$51*((MMULT(GREET1_Import_Export!$B455:$D455+0,R$45:R$47+0))+R$42*(MMULT(GREET1_Import_Export!$B110:$D110+0,R$45:R$47+0))))/1000000</f>
        <v>2.537729473203932E-2</v>
      </c>
      <c r="S79" s="2631">
        <f t="array" ref="S79">S$43*(S$50*((MMULT(GREET1_Import_Export!$C455:$D455+0,S$46:S$47+0))+S$42*(MMULT(GREET1_Import_Export!$G95:$H95+0,S$46:S$47+0)))+S$51*((MMULT(GREET1_Import_Export!$C455:$D455+0,S$46:S$47+0))+S$42*(MMULT(GREET1_Import_Export!$G110:$H110+0,S$46:S$47+0))))/1000000</f>
        <v>9.2648326846366619E-2</v>
      </c>
      <c r="T79" s="2630">
        <f t="array" ref="T79">T$43*(T$50*((MMULT(GREET1_Import_Export!$B455:$D455+0,T$45:T$47+0))+T$42*(MMULT(GREET1_Import_Export!$B95:$D95+0,T$45:T$47+0)))+T$51*((MMULT(GREET1_Import_Export!$B455:$D455+0,T$45:T$47+0))+T$42*(MMULT(GREET1_Import_Export!$B110:$D110+0,T$45:T$47+0))))/1000000</f>
        <v>3.1486236229465036E-6</v>
      </c>
      <c r="U79" s="2749">
        <f t="array" ref="U79">U$43*(U$50*((MMULT(GREET1_Import_Export!$C455:$D455+0,U$46:U$47+0))+U$42*(MMULT(GREET1_Import_Export!$G95:$H95+0,U$46:U$47+0)))+U$51*((MMULT(GREET1_Import_Export!$C455:$D455+0,U$46:U$47+0))+U$42*(MMULT(GREET1_Import_Export!$G110:$H110+0,U$46:U$47+0))))/1000000</f>
        <v>5.5428635286334157E-5</v>
      </c>
      <c r="V79" s="2631">
        <f t="array" ref="V79">V$43*(V$50*((MMULT(GREET1_Import_Export!$C455:$D455+0,V$46:V$47+0))+V$42*(MMULT(GREET1_Import_Export!$E95:$F95+0,V$46:V$47+0)))+V$51*((MMULT(GREET1_Import_Export!$C455:$D455+0,V$46:V$47+0))+V$42*(MMULT(GREET1_Import_Export!$E110:$F110+0,V$46:V$47+0))))/1000000</f>
        <v>2.1110688518045691E-5</v>
      </c>
      <c r="W79" s="2631">
        <f>W$43*(W$50*((GREET1_Import_Export!$C455*W$46)+W$42*(GREET1_Import_Export!$I95*W$46))+W$51*((GREET1_Import_Export!$C455*W$46)+W$42*(GREET1_Import_Export!$I95*W$46)))/1000000</f>
        <v>2.203124019302883E-4</v>
      </c>
      <c r="X79" s="1097">
        <f t="array" ref="X79">X$43*(X$50*((MMULT(GREET1_Import_Export!$B455:$D455+0,X$45:X$47+0))+X$42*(MMULT(GREET1_Import_Export!$B95:$D95+0,X$45:X$47+0)))+X$51*((MMULT(GREET1_Import_Export!$B455:$D455+0,X$45:X$47+0))+X$42*(MMULT(GREET1_Import_Export!$B110:$D110+0,X$45:X$47+0))))/1000000</f>
        <v>2.9020446645229816E-2</v>
      </c>
      <c r="Y79" s="1781">
        <f t="array" ref="Y79">Y$43*(Y$50*((MMULT(GREET1_Import_Export!$C455:$D455+0,Y$46:Y$47+0))+Y$42*(MMULT(GREET1_Import_Export!$G95:$H95+0,Y$46:Y$47+0)))+Y$51*((MMULT(GREET1_Import_Export!$C455:$D455+0,Y$46:Y$47+0))+Y$42*(MMULT(GREET1_Import_Export!$G110:$H110+0,Y$46:Y$47+0))))/1000000</f>
        <v>1.988392313446273E-2</v>
      </c>
      <c r="Z79" s="2630">
        <f t="array" ref="Z79">Z$43*(Z$50*((MMULT(GREET1_Import_Export!$B455:$D455+0,Z$45:Z$47+0))+Z$42*(MMULT(GREET1_Import_Export!$B95:$D95+0,Z$45:Z$47+0)))+Z$51*((MMULT(GREET1_Import_Export!$B455:$D455+0,Z$45:Z$47+0))+Z$42*(MMULT(GREET1_Import_Export!$B110:$D110+0,Z$45:Z$47+0))))/1000000</f>
        <v>5.8317006463921468E-2</v>
      </c>
      <c r="AA79" s="2631">
        <f t="array" ref="AA79">AA$43*(AA$50*((MMULT(GREET1_Import_Export!$C455:$D455+0,AA$46:AA$47+0))+AA$42*(MMULT(GREET1_Import_Export!$G95:$H95+0,AA$46:AA$47+0)))+AA$51*((MMULT(GREET1_Import_Export!$C455:$D455+0,AA$46:AA$47+0))+AA$42*(MMULT(GREET1_Import_Export!$G110:$H110+0,AA$46:AA$47+0))))/1000000</f>
        <v>2.3013799924146683E-3</v>
      </c>
      <c r="AB79" s="2630" cm="1">
        <f t="array" ref="AB79">AB$43*(AB$50*((MMULT(GREET1_Import_Export!$B455:$D455+0,AB$45:AB$47+0))+AB$42*(MMULT(GREET1_Import_Export!$B95:$D95+0,AB$45:AB$47+0)))+AB$51*((MMULT(GREET1_Import_Export!$B455:$D455+0,AB$45:AB$47+0))+AB$42*(MMULT(GREET1_Import_Export!$B110:$D110+0,AB$45:AB$47+0))))/1000000</f>
        <v>0</v>
      </c>
      <c r="AC79" s="2749" cm="1">
        <f t="array" ref="AC79">AC$43*(AC$50*((MMULT(GREET1_Import_Export!$C455:$D455+0,AC$46:AC$47+0))+AC$42*(MMULT(GREET1_Import_Export!$E95:$F95+0,AC$46:AC$47+0)))+AC$51*((MMULT(GREET1_Import_Export!$C455:$D455+0,AC$46:AC$47+0))+AC$42*(MMULT(GREET1_Import_Export!$E110:$F110+0,AC$46:AC$47+0))))/1000000</f>
        <v>5.277672129511423E-3</v>
      </c>
      <c r="AD79" s="2631" cm="1">
        <f t="array" ref="AD79">AD$43*(AD$50*((MMULT(GREET1_Import_Export!$C455:$D455+0,AD$46:AD$47+0))+AD$42*(MMULT(GREET1_Import_Export!$G95:$H95+0,AD$46:AD$47+0)))+AD$51*((MMULT(GREET1_Import_Export!$C455:$D455+0,AD$46:AD$47+0))+AD$42*(MMULT(GREET1_Import_Export!$G110:$H110+0,AD$46:AD$47+0))))/1000000</f>
        <v>1.0356209965866005E-2</v>
      </c>
      <c r="AE79" s="2749" cm="1">
        <f t="array" ref="AE79">AE$43*(AE$50*((MMULT(GREET1_Import_Export!$B455:$D455+0,AE$45:AE$47+0))+AE$42*(MMULT(GREET1_Import_Export!$B95:$D95+0,AE$45:AE$47+0)))+AE$51*((MMULT(GREET1_Import_Export!$B455:$D455+0,AE$45:AE$47+0))+AE$42*(MMULT(GREET1_Import_Export!$B110:$D110+0,AE$45:AE$47+0))))/1000000</f>
        <v>2.6118401980706835E-2</v>
      </c>
      <c r="AF79" s="2749" cm="1">
        <f t="array" ref="AF79">AF$43*(AF$50*((MMULT(GREET1_Import_Export!$C455:$D455+0,AF$46:AF$47+0))+AF$42*(MMULT(GREET1_Import_Export!$E95:$F95+0,AF$46:AF$47+0)))+AF$51*((MMULT(GREET1_Import_Export!$C455:$D455+0,AF$46:AF$47+0))+AF$42*(MMULT(GREET1_Import_Export!$E110:$F110+0,AF$46:AF$47+0))))/1000000</f>
        <v>0</v>
      </c>
      <c r="AG79" s="2631" cm="1">
        <f t="array" ref="AG79">AG$43*(AG$50*((MMULT(GREET1_Import_Export!$C455:$D455+0,AG$46:AG$47+0))+AG$42*(MMULT(GREET1_Import_Export!$G95:$H95+0,AG$46:AG$47+0)))+AG$51*((MMULT(GREET1_Import_Export!$C455:$D455+0,AG$46:AG$47+0))+AG$42*(MMULT(GREET1_Import_Export!$G110:$H110+0,AG$46:AG$47+0))))/1000000</f>
        <v>6.9041399772440028E-3</v>
      </c>
      <c r="AH79" s="2749" cm="1">
        <f t="array" ref="AH79">AH$43*(AH$50*((MMULT(GREET1_Import_Export!$B455:$D455+0,AH$45:AH$47+0))+AH$42*(MMULT(GREET1_Import_Export!$B95:$D95+0,AH$45:AH$47+0)))+AH$51*((MMULT(GREET1_Import_Export!$B455:$D455+0,AH$45:AH$47+0))+AH$42*(MMULT(GREET1_Import_Export!$B110:$D110+0,AH$45:AH$47+0))))/1000000</f>
        <v>0</v>
      </c>
      <c r="AI79" s="2631" cm="1">
        <f t="array" ref="AI79">AI$43*(AI$50*((MMULT(GREET1_Import_Export!$C455:$D455+0,AI$46:AI$47+0))+AI$42*(MMULT(GREET1_Import_Export!$G95:$H95+0,AI$46:AI$47+0)))+AI$51*((MMULT(GREET1_Import_Export!$C455:$D455+0,AI$46:AI$47+0))+AI$42*(MMULT(GREET1_Import_Export!$G110:$H110+0,AI$46:AI$47+0))))/1000000</f>
        <v>6.9041399772440028E-3</v>
      </c>
      <c r="AJ79" s="2749" cm="1">
        <f t="array" ref="AJ79">AJ$43*(AJ$50*((MMULT(GREET1_Import_Export!$B455:$D455+0,AJ$45:AJ$47+0))+AJ$42*(MMULT(GREET1_Import_Export!$B95:$D95+0,AJ$45:AJ$47+0)))+AJ$51*((MMULT(GREET1_Import_Export!$B455:$D455+0,AJ$45:AJ$47+0))+AJ$42*(MMULT(GREET1_Import_Export!$B110:$D110+0,AJ$45:AJ$47+0))))/1000000</f>
        <v>0</v>
      </c>
      <c r="AK79" s="2631" cm="1">
        <f t="array" ref="AK79">AK$43*(AK$50*((MMULT(GREET1_Import_Export!$C455:$D455+0,AK$46:AK$47+0))+AK$42*(MMULT(GREET1_Import_Export!$G95:$H95+0,AK$46:AK$47+0)))+AK$51*((MMULT(GREET1_Import_Export!$C455:$D455+0,AK$46:AK$47+0))+AK$42*(MMULT(GREET1_Import_Export!$G110:$H110+0,AK$46:AK$47+0))))/1000000</f>
        <v>6.9041399772440028E-3</v>
      </c>
      <c r="AM79" s="38"/>
      <c r="AN79" s="38"/>
      <c r="AO79" s="38"/>
    </row>
    <row r="80" spans="1:51" ht="15">
      <c r="AA80" s="1459"/>
      <c r="AE80" s="1462"/>
      <c r="AW80" s="38"/>
      <c r="AX80" s="38"/>
      <c r="AY80" s="38"/>
    </row>
  </sheetData>
  <mergeCells count="7">
    <mergeCell ref="AB39:AK39"/>
    <mergeCell ref="G33:L33"/>
    <mergeCell ref="L39:S39"/>
    <mergeCell ref="T39:V40"/>
    <mergeCell ref="X39:Y40"/>
    <mergeCell ref="Z39:AA40"/>
    <mergeCell ref="W39:W40"/>
  </mergeCells>
  <phoneticPr fontId="4" type="noConversion"/>
  <pageMargins left="0.75" right="0.75" top="1" bottom="1" header="0.5" footer="0.5"/>
  <pageSetup orientation="portrait" horizontalDpi="4294967292" r:id="rId1"/>
  <headerFooter alignWithMargins="0">
    <oddHeader>&amp;A</oddHeader>
    <oddFooter>Page &amp;P</oddFooter>
  </headerFooter>
  <legacy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63"/>
  <dimension ref="A1:V165"/>
  <sheetViews>
    <sheetView zoomScale="85" zoomScaleNormal="85" workbookViewId="0"/>
  </sheetViews>
  <sheetFormatPr defaultColWidth="8.7109375" defaultRowHeight="12.75"/>
  <cols>
    <col min="1" max="1" width="10.140625" style="1321" customWidth="1"/>
    <col min="2" max="2" width="18" style="1321" customWidth="1"/>
    <col min="3" max="3" width="21.5703125" style="1321" bestFit="1" customWidth="1"/>
    <col min="4" max="4" width="8.7109375" style="1321"/>
    <col min="5" max="5" width="15.85546875" style="1321" customWidth="1"/>
    <col min="6" max="6" width="18.42578125" style="1321" customWidth="1"/>
    <col min="7" max="7" width="16.42578125" style="1321" customWidth="1"/>
    <col min="8" max="8" width="20.85546875" style="1321" bestFit="1" customWidth="1"/>
    <col min="9" max="9" width="18.140625" style="1321" customWidth="1"/>
    <col min="10" max="16384" width="8.7109375" style="1321"/>
  </cols>
  <sheetData>
    <row r="1" spans="1:22" ht="15.75">
      <c r="A1" s="81" t="s">
        <v>2636</v>
      </c>
      <c r="M1" s="81" t="s">
        <v>2637</v>
      </c>
    </row>
    <row r="3" spans="1:22">
      <c r="A3" s="172" t="s">
        <v>2232</v>
      </c>
      <c r="B3" s="172" t="s">
        <v>2638</v>
      </c>
      <c r="C3" s="172" t="s">
        <v>2639</v>
      </c>
      <c r="D3" s="172" t="s">
        <v>2640</v>
      </c>
      <c r="E3" s="172" t="s">
        <v>1932</v>
      </c>
      <c r="F3" s="172" t="s">
        <v>2641</v>
      </c>
      <c r="G3" s="172" t="s">
        <v>2642</v>
      </c>
      <c r="H3" s="172" t="s">
        <v>2643</v>
      </c>
      <c r="I3" s="172" t="s">
        <v>2644</v>
      </c>
      <c r="J3" s="172" t="s">
        <v>2645</v>
      </c>
      <c r="M3" s="2527" t="s">
        <v>2232</v>
      </c>
      <c r="N3" s="2528" t="s">
        <v>2638</v>
      </c>
      <c r="O3" s="2528" t="s">
        <v>2639</v>
      </c>
      <c r="P3" s="2528" t="s">
        <v>2640</v>
      </c>
      <c r="Q3" s="2528" t="s">
        <v>1932</v>
      </c>
      <c r="R3" s="2528" t="s">
        <v>2641</v>
      </c>
      <c r="S3" s="2528" t="s">
        <v>2642</v>
      </c>
      <c r="T3" s="2528" t="s">
        <v>2643</v>
      </c>
      <c r="U3" s="2528" t="s">
        <v>2644</v>
      </c>
      <c r="V3" s="2529" t="s">
        <v>2645</v>
      </c>
    </row>
    <row r="4" spans="1:22">
      <c r="A4" s="1436" t="s">
        <v>1279</v>
      </c>
      <c r="B4" s="1436" t="s">
        <v>2232</v>
      </c>
      <c r="C4" s="1321" t="s">
        <v>2646</v>
      </c>
      <c r="D4" s="1321" t="s">
        <v>1911</v>
      </c>
      <c r="E4" s="1321" t="s">
        <v>2647</v>
      </c>
      <c r="F4" s="631">
        <f>Cement_Concrete!J93</f>
        <v>4102997.6364389737</v>
      </c>
      <c r="G4" s="631">
        <v>2020</v>
      </c>
      <c r="H4" s="1321" t="s">
        <v>2648</v>
      </c>
      <c r="I4" s="1321" t="s">
        <v>2649</v>
      </c>
      <c r="J4" s="1321" t="s">
        <v>2650</v>
      </c>
    </row>
    <row r="5" spans="1:22">
      <c r="A5" s="1436" t="s">
        <v>1279</v>
      </c>
      <c r="B5" s="1436" t="s">
        <v>2232</v>
      </c>
      <c r="C5" s="1321" t="s">
        <v>2106</v>
      </c>
      <c r="D5" s="1321" t="s">
        <v>1911</v>
      </c>
      <c r="E5" s="1321" t="s">
        <v>2647</v>
      </c>
      <c r="F5" s="631">
        <f>Cement_Concrete!J94</f>
        <v>3613479.599887738</v>
      </c>
      <c r="G5" s="631">
        <v>2020</v>
      </c>
      <c r="H5" s="1321" t="s">
        <v>2648</v>
      </c>
      <c r="I5" s="1321" t="s">
        <v>2649</v>
      </c>
      <c r="J5" s="1321" t="s">
        <v>2650</v>
      </c>
    </row>
    <row r="6" spans="1:22">
      <c r="A6" s="1436" t="s">
        <v>1279</v>
      </c>
      <c r="B6" s="1436" t="s">
        <v>2232</v>
      </c>
      <c r="C6" s="1321" t="s">
        <v>442</v>
      </c>
      <c r="D6" s="1321" t="s">
        <v>1911</v>
      </c>
      <c r="E6" s="1321" t="s">
        <v>2647</v>
      </c>
      <c r="F6" s="631">
        <f>Cement_Concrete!J95</f>
        <v>1686337.4569798836</v>
      </c>
      <c r="G6" s="631">
        <v>2020</v>
      </c>
      <c r="H6" s="1321" t="s">
        <v>2648</v>
      </c>
      <c r="I6" s="1321" t="s">
        <v>2649</v>
      </c>
      <c r="J6" s="1321" t="s">
        <v>2650</v>
      </c>
    </row>
    <row r="7" spans="1:22">
      <c r="A7" s="1436" t="s">
        <v>1279</v>
      </c>
      <c r="B7" s="1436" t="s">
        <v>2232</v>
      </c>
      <c r="C7" s="1321" t="s">
        <v>2017</v>
      </c>
      <c r="D7" s="1321" t="s">
        <v>1911</v>
      </c>
      <c r="E7" s="1321" t="s">
        <v>2647</v>
      </c>
      <c r="F7" s="631">
        <f>Cement_Concrete!J96</f>
        <v>1127332.0520207887</v>
      </c>
      <c r="G7" s="631">
        <v>2020</v>
      </c>
      <c r="H7" s="1321" t="s">
        <v>2648</v>
      </c>
      <c r="I7" s="1321" t="s">
        <v>2649</v>
      </c>
      <c r="J7" s="1321" t="s">
        <v>2650</v>
      </c>
    </row>
    <row r="8" spans="1:22">
      <c r="A8" s="1436" t="s">
        <v>1279</v>
      </c>
      <c r="B8" s="1436" t="s">
        <v>2232</v>
      </c>
      <c r="C8" s="1321" t="s">
        <v>440</v>
      </c>
      <c r="D8" s="1321" t="s">
        <v>1911</v>
      </c>
      <c r="E8" s="1321" t="s">
        <v>2647</v>
      </c>
      <c r="F8" s="631">
        <f>Cement_Concrete!J97</f>
        <v>799810.09088706516</v>
      </c>
      <c r="G8" s="631">
        <v>2020</v>
      </c>
      <c r="H8" s="1321" t="s">
        <v>2648</v>
      </c>
      <c r="I8" s="1321" t="s">
        <v>2649</v>
      </c>
      <c r="J8" s="1321" t="s">
        <v>2650</v>
      </c>
    </row>
    <row r="9" spans="1:22">
      <c r="A9" s="1436" t="s">
        <v>1279</v>
      </c>
      <c r="B9" s="1436" t="s">
        <v>2232</v>
      </c>
      <c r="C9" s="1321" t="s">
        <v>2651</v>
      </c>
      <c r="D9" s="1321" t="s">
        <v>2652</v>
      </c>
      <c r="E9" s="1321" t="s">
        <v>2647</v>
      </c>
      <c r="F9" s="631">
        <f>Cement_Concrete!J98</f>
        <v>245.00631149914059</v>
      </c>
      <c r="G9" s="631">
        <v>2020</v>
      </c>
      <c r="H9" s="1321" t="s">
        <v>2648</v>
      </c>
      <c r="I9" s="1321" t="s">
        <v>2649</v>
      </c>
      <c r="J9" s="1321" t="s">
        <v>2650</v>
      </c>
    </row>
    <row r="10" spans="1:22">
      <c r="A10" s="1436" t="s">
        <v>1279</v>
      </c>
      <c r="B10" s="1436" t="s">
        <v>2232</v>
      </c>
      <c r="C10" s="1321" t="s">
        <v>879</v>
      </c>
      <c r="D10" s="1321" t="s">
        <v>1913</v>
      </c>
      <c r="E10" s="1321" t="s">
        <v>2647</v>
      </c>
      <c r="F10" s="631">
        <f>Cement_Concrete!J100</f>
        <v>98.384214624064171</v>
      </c>
      <c r="G10" s="631">
        <v>2020</v>
      </c>
      <c r="H10" s="1321" t="s">
        <v>2648</v>
      </c>
      <c r="I10" s="1321" t="s">
        <v>2649</v>
      </c>
      <c r="J10" s="1321" t="s">
        <v>2650</v>
      </c>
    </row>
    <row r="11" spans="1:22">
      <c r="A11" s="1436" t="s">
        <v>1279</v>
      </c>
      <c r="B11" s="1436" t="s">
        <v>2232</v>
      </c>
      <c r="C11" s="1321" t="s">
        <v>880</v>
      </c>
      <c r="D11" s="1321" t="s">
        <v>1913</v>
      </c>
      <c r="E11" s="1321" t="s">
        <v>2647</v>
      </c>
      <c r="F11" s="631">
        <f>Cement_Concrete!J101</f>
        <v>1139.7657078477314</v>
      </c>
      <c r="G11" s="631">
        <v>2020</v>
      </c>
      <c r="H11" s="1321" t="s">
        <v>2648</v>
      </c>
      <c r="I11" s="1321" t="s">
        <v>2649</v>
      </c>
      <c r="J11" s="1321" t="s">
        <v>2650</v>
      </c>
    </row>
    <row r="12" spans="1:22">
      <c r="A12" s="1436" t="s">
        <v>1279</v>
      </c>
      <c r="B12" s="1436" t="s">
        <v>2232</v>
      </c>
      <c r="C12" s="1321" t="s">
        <v>881</v>
      </c>
      <c r="D12" s="1321" t="s">
        <v>1913</v>
      </c>
      <c r="E12" s="1321" t="s">
        <v>2647</v>
      </c>
      <c r="F12" s="631">
        <f>Cement_Concrete!J102</f>
        <v>1214.6595484208788</v>
      </c>
      <c r="G12" s="631">
        <v>2020</v>
      </c>
      <c r="H12" s="1321" t="s">
        <v>2648</v>
      </c>
      <c r="I12" s="1321" t="s">
        <v>2649</v>
      </c>
      <c r="J12" s="1321" t="s">
        <v>2650</v>
      </c>
    </row>
    <row r="13" spans="1:22">
      <c r="A13" s="1436" t="s">
        <v>1279</v>
      </c>
      <c r="B13" s="1436" t="s">
        <v>2232</v>
      </c>
      <c r="C13" s="1321" t="s">
        <v>882</v>
      </c>
      <c r="D13" s="1321" t="s">
        <v>1913</v>
      </c>
      <c r="E13" s="1321" t="s">
        <v>2647</v>
      </c>
      <c r="F13" s="631">
        <f>Cement_Concrete!J103</f>
        <v>210.73524345943341</v>
      </c>
      <c r="G13" s="631">
        <v>2020</v>
      </c>
      <c r="H13" s="1321" t="s">
        <v>2648</v>
      </c>
      <c r="I13" s="1321" t="s">
        <v>2649</v>
      </c>
      <c r="J13" s="1321" t="s">
        <v>2650</v>
      </c>
    </row>
    <row r="14" spans="1:22">
      <c r="A14" s="1436" t="s">
        <v>1279</v>
      </c>
      <c r="B14" s="1436" t="s">
        <v>2232</v>
      </c>
      <c r="C14" s="1321" t="s">
        <v>883</v>
      </c>
      <c r="D14" s="1321" t="s">
        <v>1913</v>
      </c>
      <c r="E14" s="1321" t="s">
        <v>2647</v>
      </c>
      <c r="F14" s="631">
        <f>Cement_Concrete!J104</f>
        <v>115.57924727936334</v>
      </c>
      <c r="G14" s="631">
        <v>2020</v>
      </c>
      <c r="H14" s="1321" t="s">
        <v>2648</v>
      </c>
      <c r="I14" s="1321" t="s">
        <v>2649</v>
      </c>
      <c r="J14" s="1321" t="s">
        <v>2650</v>
      </c>
    </row>
    <row r="15" spans="1:22">
      <c r="A15" s="1436" t="s">
        <v>1279</v>
      </c>
      <c r="B15" s="1436" t="s">
        <v>2232</v>
      </c>
      <c r="C15" s="1321" t="s">
        <v>884</v>
      </c>
      <c r="D15" s="1321" t="s">
        <v>1913</v>
      </c>
      <c r="E15" s="1321" t="s">
        <v>2647</v>
      </c>
      <c r="F15" s="631">
        <f>Cement_Concrete!J105</f>
        <v>306.37414648012242</v>
      </c>
      <c r="G15" s="631">
        <v>2020</v>
      </c>
      <c r="H15" s="1321" t="s">
        <v>2648</v>
      </c>
      <c r="I15" s="1321" t="s">
        <v>2649</v>
      </c>
      <c r="J15" s="1321" t="s">
        <v>2650</v>
      </c>
    </row>
    <row r="16" spans="1:22">
      <c r="A16" s="1436" t="s">
        <v>1279</v>
      </c>
      <c r="B16" s="1436" t="s">
        <v>2232</v>
      </c>
      <c r="C16" s="1321" t="s">
        <v>2653</v>
      </c>
      <c r="D16" s="1321" t="s">
        <v>1913</v>
      </c>
      <c r="E16" s="1321" t="s">
        <v>2647</v>
      </c>
      <c r="F16" s="631">
        <f>Cement_Concrete!J106</f>
        <v>3.6259900716355808</v>
      </c>
      <c r="G16" s="631">
        <v>2020</v>
      </c>
      <c r="H16" s="1321" t="s">
        <v>2648</v>
      </c>
      <c r="I16" s="1321" t="s">
        <v>2649</v>
      </c>
      <c r="J16" s="1321" t="s">
        <v>2650</v>
      </c>
    </row>
    <row r="17" spans="1:10">
      <c r="A17" s="1436" t="s">
        <v>1279</v>
      </c>
      <c r="B17" s="1436" t="s">
        <v>2232</v>
      </c>
      <c r="C17" s="1321" t="s">
        <v>2654</v>
      </c>
      <c r="D17" s="1321" t="s">
        <v>1913</v>
      </c>
      <c r="E17" s="1321" t="s">
        <v>2647</v>
      </c>
      <c r="F17" s="631">
        <f>Cement_Concrete!J107</f>
        <v>14.066154060333407</v>
      </c>
      <c r="G17" s="631">
        <v>2020</v>
      </c>
      <c r="H17" s="1321" t="s">
        <v>2648</v>
      </c>
      <c r="I17" s="1321" t="s">
        <v>2649</v>
      </c>
      <c r="J17" s="1321" t="s">
        <v>2650</v>
      </c>
    </row>
    <row r="18" spans="1:10">
      <c r="A18" s="1436" t="s">
        <v>1279</v>
      </c>
      <c r="B18" s="1436" t="s">
        <v>2232</v>
      </c>
      <c r="C18" s="1321" t="s">
        <v>887</v>
      </c>
      <c r="D18" s="1321" t="s">
        <v>1913</v>
      </c>
      <c r="E18" s="1321" t="s">
        <v>2647</v>
      </c>
      <c r="F18" s="631">
        <f>Cement_Concrete!J108</f>
        <v>333.77605471939637</v>
      </c>
      <c r="G18" s="631">
        <v>2020</v>
      </c>
      <c r="H18" s="1321" t="s">
        <v>2648</v>
      </c>
      <c r="I18" s="1321" t="s">
        <v>2649</v>
      </c>
      <c r="J18" s="1321" t="s">
        <v>2650</v>
      </c>
    </row>
    <row r="19" spans="1:10">
      <c r="A19" s="1436" t="s">
        <v>1279</v>
      </c>
      <c r="B19" s="1436" t="s">
        <v>2232</v>
      </c>
      <c r="C19" s="1321" t="s">
        <v>888</v>
      </c>
      <c r="D19" s="1321" t="s">
        <v>1913</v>
      </c>
      <c r="E19" s="1321" t="s">
        <v>2647</v>
      </c>
      <c r="F19" s="631">
        <f>Cement_Concrete!J109</f>
        <v>6.4450933290310717</v>
      </c>
      <c r="G19" s="631">
        <v>2020</v>
      </c>
      <c r="H19" s="1321" t="s">
        <v>2648</v>
      </c>
      <c r="I19" s="1321" t="s">
        <v>2649</v>
      </c>
      <c r="J19" s="1321" t="s">
        <v>2650</v>
      </c>
    </row>
    <row r="20" spans="1:10">
      <c r="A20" s="1436" t="s">
        <v>1279</v>
      </c>
      <c r="B20" s="1436" t="s">
        <v>2232</v>
      </c>
      <c r="C20" s="1321" t="s">
        <v>889</v>
      </c>
      <c r="D20" s="1321" t="s">
        <v>1913</v>
      </c>
      <c r="E20" s="1321" t="s">
        <v>2647</v>
      </c>
      <c r="F20" s="631">
        <f>Cement_Concrete!J110</f>
        <v>848725.9720676369</v>
      </c>
      <c r="G20" s="631">
        <v>2020</v>
      </c>
      <c r="H20" s="1321" t="s">
        <v>2648</v>
      </c>
      <c r="I20" s="1321" t="s">
        <v>2649</v>
      </c>
      <c r="J20" s="1321" t="s">
        <v>2650</v>
      </c>
    </row>
    <row r="21" spans="1:10">
      <c r="A21" s="1436" t="s">
        <v>1279</v>
      </c>
      <c r="B21" s="1436" t="s">
        <v>2232</v>
      </c>
      <c r="C21" s="1321" t="s">
        <v>2069</v>
      </c>
      <c r="D21" s="1321" t="s">
        <v>1913</v>
      </c>
      <c r="E21" s="1321" t="s">
        <v>2647</v>
      </c>
      <c r="F21" s="631">
        <f>Cement_Concrete!J111</f>
        <v>850823.66326792829</v>
      </c>
      <c r="G21" s="631">
        <v>2020</v>
      </c>
      <c r="H21" s="1321" t="s">
        <v>2648</v>
      </c>
      <c r="I21" s="1321" t="s">
        <v>2649</v>
      </c>
      <c r="J21" s="1321" t="s">
        <v>2650</v>
      </c>
    </row>
    <row r="22" spans="1:10">
      <c r="A22" s="1436" t="s">
        <v>1279</v>
      </c>
      <c r="B22" s="1436" t="s">
        <v>2232</v>
      </c>
      <c r="C22" s="1321" t="s">
        <v>1896</v>
      </c>
      <c r="D22" s="1321" t="s">
        <v>1913</v>
      </c>
      <c r="E22" s="1321" t="s">
        <v>2647</v>
      </c>
      <c r="F22" s="631">
        <f>Cement_Concrete!J112</f>
        <v>862544.89464170346</v>
      </c>
      <c r="G22" s="631">
        <v>2020</v>
      </c>
      <c r="H22" s="1321" t="s">
        <v>2648</v>
      </c>
      <c r="I22" s="1321" t="s">
        <v>2649</v>
      </c>
      <c r="J22" s="1321" t="s">
        <v>2650</v>
      </c>
    </row>
    <row r="23" spans="1:10">
      <c r="A23" s="1436" t="s">
        <v>1279</v>
      </c>
      <c r="B23" s="1436" t="s">
        <v>2232</v>
      </c>
      <c r="C23" s="1321" t="s">
        <v>890</v>
      </c>
      <c r="D23" s="1321" t="s">
        <v>1913</v>
      </c>
      <c r="E23" s="1321" t="s">
        <v>2647</v>
      </c>
      <c r="F23" s="631">
        <f>Cement_Concrete!J114</f>
        <v>21.26738467984034</v>
      </c>
      <c r="G23" s="631">
        <v>2020</v>
      </c>
      <c r="H23" s="1321" t="s">
        <v>2648</v>
      </c>
      <c r="I23" s="1321" t="s">
        <v>2649</v>
      </c>
      <c r="J23" s="1321" t="s">
        <v>2650</v>
      </c>
    </row>
    <row r="24" spans="1:10">
      <c r="A24" s="1436" t="s">
        <v>1279</v>
      </c>
      <c r="B24" s="1436" t="s">
        <v>2232</v>
      </c>
      <c r="C24" s="1321" t="s">
        <v>891</v>
      </c>
      <c r="D24" s="1321" t="s">
        <v>1913</v>
      </c>
      <c r="E24" s="1321" t="s">
        <v>2647</v>
      </c>
      <c r="F24" s="631">
        <f>Cement_Concrete!J115</f>
        <v>293.14363608249801</v>
      </c>
      <c r="G24" s="631">
        <v>2020</v>
      </c>
      <c r="H24" s="1321" t="s">
        <v>2648</v>
      </c>
      <c r="I24" s="1321" t="s">
        <v>2649</v>
      </c>
      <c r="J24" s="1321" t="s">
        <v>2650</v>
      </c>
    </row>
    <row r="25" spans="1:10">
      <c r="A25" s="1436" t="s">
        <v>1279</v>
      </c>
      <c r="B25" s="1436" t="s">
        <v>2232</v>
      </c>
      <c r="C25" s="1321" t="s">
        <v>892</v>
      </c>
      <c r="D25" s="1321" t="s">
        <v>1913</v>
      </c>
      <c r="E25" s="1321" t="s">
        <v>2647</v>
      </c>
      <c r="F25" s="631">
        <f>Cement_Concrete!J116</f>
        <v>312.57849257093943</v>
      </c>
      <c r="G25" s="631">
        <v>2020</v>
      </c>
      <c r="H25" s="1321" t="s">
        <v>2648</v>
      </c>
      <c r="I25" s="1321" t="s">
        <v>2649</v>
      </c>
      <c r="J25" s="1321" t="s">
        <v>2650</v>
      </c>
    </row>
    <row r="26" spans="1:10">
      <c r="A26" s="1436" t="s">
        <v>1279</v>
      </c>
      <c r="B26" s="1436" t="s">
        <v>2232</v>
      </c>
      <c r="C26" s="1321" t="s">
        <v>893</v>
      </c>
      <c r="D26" s="1321" t="s">
        <v>1913</v>
      </c>
      <c r="E26" s="1321" t="s">
        <v>2647</v>
      </c>
      <c r="F26" s="631">
        <f>Cement_Concrete!J117</f>
        <v>52.088171054006438</v>
      </c>
      <c r="G26" s="631">
        <v>2020</v>
      </c>
      <c r="H26" s="1321" t="s">
        <v>2648</v>
      </c>
      <c r="I26" s="1321" t="s">
        <v>2649</v>
      </c>
      <c r="J26" s="1321" t="s">
        <v>2650</v>
      </c>
    </row>
    <row r="27" spans="1:10">
      <c r="A27" s="1436" t="s">
        <v>1279</v>
      </c>
      <c r="B27" s="1436" t="s">
        <v>2232</v>
      </c>
      <c r="C27" s="1321" t="s">
        <v>894</v>
      </c>
      <c r="D27" s="1321" t="s">
        <v>1913</v>
      </c>
      <c r="E27" s="1321" t="s">
        <v>2647</v>
      </c>
      <c r="F27" s="631">
        <f>Cement_Concrete!J118</f>
        <v>30.22408507684441</v>
      </c>
      <c r="G27" s="631">
        <v>2020</v>
      </c>
      <c r="H27" s="1321" t="s">
        <v>2648</v>
      </c>
      <c r="I27" s="1321" t="s">
        <v>2649</v>
      </c>
      <c r="J27" s="1321" t="s">
        <v>2650</v>
      </c>
    </row>
    <row r="28" spans="1:10">
      <c r="A28" s="1436" t="s">
        <v>1279</v>
      </c>
      <c r="B28" s="1436" t="s">
        <v>2232</v>
      </c>
      <c r="C28" s="1321" t="s">
        <v>895</v>
      </c>
      <c r="D28" s="1321" t="s">
        <v>1913</v>
      </c>
      <c r="E28" s="1321" t="s">
        <v>2647</v>
      </c>
      <c r="F28" s="631">
        <f>Cement_Concrete!J119</f>
        <v>77.328323874284493</v>
      </c>
      <c r="G28" s="631">
        <v>2020</v>
      </c>
      <c r="H28" s="1321" t="s">
        <v>2648</v>
      </c>
      <c r="I28" s="1321" t="s">
        <v>2649</v>
      </c>
      <c r="J28" s="1321" t="s">
        <v>2650</v>
      </c>
    </row>
    <row r="29" spans="1:10">
      <c r="A29" s="1436" t="s">
        <v>1279</v>
      </c>
      <c r="B29" s="1436" t="s">
        <v>2232</v>
      </c>
      <c r="C29" s="1321" t="s">
        <v>2655</v>
      </c>
      <c r="D29" s="1321" t="s">
        <v>1913</v>
      </c>
      <c r="E29" s="1321" t="s">
        <v>2647</v>
      </c>
      <c r="F29" s="631">
        <f>Cement_Concrete!J120</f>
        <v>0.93564369798685521</v>
      </c>
      <c r="G29" s="631">
        <v>2020</v>
      </c>
      <c r="H29" s="1321" t="s">
        <v>2648</v>
      </c>
      <c r="I29" s="1321" t="s">
        <v>2649</v>
      </c>
      <c r="J29" s="1321" t="s">
        <v>2650</v>
      </c>
    </row>
    <row r="30" spans="1:10">
      <c r="A30" s="1436" t="s">
        <v>1279</v>
      </c>
      <c r="B30" s="1436" t="s">
        <v>2232</v>
      </c>
      <c r="C30" s="1321" t="s">
        <v>2656</v>
      </c>
      <c r="D30" s="1321" t="s">
        <v>1913</v>
      </c>
      <c r="E30" s="1321" t="s">
        <v>2647</v>
      </c>
      <c r="F30" s="631">
        <f>Cement_Concrete!J121</f>
        <v>3.6992944575273268</v>
      </c>
      <c r="G30" s="631">
        <v>2020</v>
      </c>
      <c r="H30" s="1321" t="s">
        <v>2648</v>
      </c>
      <c r="I30" s="1321" t="s">
        <v>2649</v>
      </c>
      <c r="J30" s="1321" t="s">
        <v>2650</v>
      </c>
    </row>
    <row r="31" spans="1:10">
      <c r="A31" s="1321" t="s">
        <v>2657</v>
      </c>
      <c r="B31" s="1436" t="s">
        <v>2232</v>
      </c>
      <c r="C31" s="1321" t="s">
        <v>2646</v>
      </c>
      <c r="D31" s="1321" t="s">
        <v>1911</v>
      </c>
      <c r="E31" s="1321" t="s">
        <v>2647</v>
      </c>
      <c r="F31" s="631">
        <f>Cement_Concrete!J126</f>
        <v>456148.36362223455</v>
      </c>
      <c r="G31" s="631">
        <v>2020</v>
      </c>
      <c r="H31" s="1321" t="s">
        <v>2658</v>
      </c>
      <c r="I31" s="1321" t="s">
        <v>2649</v>
      </c>
      <c r="J31" s="1321" t="s">
        <v>2650</v>
      </c>
    </row>
    <row r="32" spans="1:10">
      <c r="A32" s="1321" t="s">
        <v>2657</v>
      </c>
      <c r="B32" s="1436" t="s">
        <v>2232</v>
      </c>
      <c r="C32" s="1321" t="s">
        <v>2106</v>
      </c>
      <c r="D32" s="1321" t="s">
        <v>1911</v>
      </c>
      <c r="E32" s="1321" t="s">
        <v>2647</v>
      </c>
      <c r="F32" s="631">
        <f>Cement_Concrete!J127</f>
        <v>406634.26040313562</v>
      </c>
      <c r="G32" s="631">
        <v>2020</v>
      </c>
      <c r="H32" s="1321" t="s">
        <v>2658</v>
      </c>
      <c r="I32" s="1321" t="s">
        <v>2649</v>
      </c>
      <c r="J32" s="1321" t="s">
        <v>2650</v>
      </c>
    </row>
    <row r="33" spans="1:10">
      <c r="A33" s="1321" t="s">
        <v>2657</v>
      </c>
      <c r="B33" s="1436" t="s">
        <v>2232</v>
      </c>
      <c r="C33" s="1321" t="s">
        <v>442</v>
      </c>
      <c r="D33" s="1321" t="s">
        <v>1911</v>
      </c>
      <c r="E33" s="1321" t="s">
        <v>2647</v>
      </c>
      <c r="F33" s="631">
        <f>Cement_Concrete!J128</f>
        <v>158955.38674681701</v>
      </c>
      <c r="G33" s="631">
        <v>2020</v>
      </c>
      <c r="H33" s="1321" t="s">
        <v>2658</v>
      </c>
      <c r="I33" s="1321" t="s">
        <v>2649</v>
      </c>
      <c r="J33" s="1321" t="s">
        <v>2650</v>
      </c>
    </row>
    <row r="34" spans="1:10">
      <c r="A34" s="1321" t="s">
        <v>2657</v>
      </c>
      <c r="B34" s="1436" t="s">
        <v>2232</v>
      </c>
      <c r="C34" s="1321" t="s">
        <v>2017</v>
      </c>
      <c r="D34" s="1321" t="s">
        <v>1911</v>
      </c>
      <c r="E34" s="1321" t="s">
        <v>2647</v>
      </c>
      <c r="F34" s="631">
        <f>Cement_Concrete!J129</f>
        <v>125627.58218343231</v>
      </c>
      <c r="G34" s="631">
        <v>2020</v>
      </c>
      <c r="H34" s="1321" t="s">
        <v>2658</v>
      </c>
      <c r="I34" s="1321" t="s">
        <v>2649</v>
      </c>
      <c r="J34" s="1321" t="s">
        <v>2650</v>
      </c>
    </row>
    <row r="35" spans="1:10">
      <c r="A35" s="1321" t="s">
        <v>2657</v>
      </c>
      <c r="B35" s="1436" t="s">
        <v>2232</v>
      </c>
      <c r="C35" s="1321" t="s">
        <v>440</v>
      </c>
      <c r="D35" s="1321" t="s">
        <v>1911</v>
      </c>
      <c r="E35" s="1321" t="s">
        <v>2647</v>
      </c>
      <c r="F35" s="631">
        <f>Cement_Concrete!J130</f>
        <v>122051.29147288622</v>
      </c>
      <c r="G35" s="631">
        <v>2020</v>
      </c>
      <c r="H35" s="1321" t="s">
        <v>2658</v>
      </c>
      <c r="I35" s="1321" t="s">
        <v>2649</v>
      </c>
      <c r="J35" s="1321" t="s">
        <v>2650</v>
      </c>
    </row>
    <row r="36" spans="1:10">
      <c r="A36" s="1321" t="s">
        <v>2657</v>
      </c>
      <c r="B36" s="1436" t="s">
        <v>2232</v>
      </c>
      <c r="C36" s="1321" t="s">
        <v>2651</v>
      </c>
      <c r="D36" s="1321" t="s">
        <v>2652</v>
      </c>
      <c r="E36" s="1321" t="s">
        <v>2647</v>
      </c>
      <c r="F36" s="631">
        <f>Cement_Concrete!J131</f>
        <v>142.17397496441941</v>
      </c>
      <c r="G36" s="631">
        <v>2020</v>
      </c>
      <c r="H36" s="1321" t="s">
        <v>2658</v>
      </c>
      <c r="I36" s="1321" t="s">
        <v>2649</v>
      </c>
      <c r="J36" s="1321" t="s">
        <v>2650</v>
      </c>
    </row>
    <row r="37" spans="1:10">
      <c r="A37" s="1321" t="s">
        <v>2657</v>
      </c>
      <c r="B37" s="1436" t="s">
        <v>2232</v>
      </c>
      <c r="C37" s="1321" t="s">
        <v>879</v>
      </c>
      <c r="D37" s="1321" t="s">
        <v>1913</v>
      </c>
      <c r="E37" s="1321" t="s">
        <v>2647</v>
      </c>
      <c r="F37" s="631">
        <f>Cement_Concrete!J133</f>
        <v>73.135540243508302</v>
      </c>
      <c r="G37" s="631">
        <v>2020</v>
      </c>
      <c r="H37" s="1321" t="s">
        <v>2658</v>
      </c>
      <c r="I37" s="1321" t="s">
        <v>2649</v>
      </c>
      <c r="J37" s="1321" t="s">
        <v>2650</v>
      </c>
    </row>
    <row r="38" spans="1:10">
      <c r="A38" s="1321" t="s">
        <v>2657</v>
      </c>
      <c r="B38" s="1436" t="s">
        <v>2232</v>
      </c>
      <c r="C38" s="1321" t="s">
        <v>880</v>
      </c>
      <c r="D38" s="1321" t="s">
        <v>1913</v>
      </c>
      <c r="E38" s="1321" t="s">
        <v>2647</v>
      </c>
      <c r="F38" s="631">
        <f>Cement_Concrete!J134</f>
        <v>122.08523820881614</v>
      </c>
      <c r="G38" s="631">
        <v>2020</v>
      </c>
      <c r="H38" s="1321" t="s">
        <v>2658</v>
      </c>
      <c r="I38" s="1321" t="s">
        <v>2649</v>
      </c>
      <c r="J38" s="1321" t="s">
        <v>2650</v>
      </c>
    </row>
    <row r="39" spans="1:10">
      <c r="A39" s="1321" t="s">
        <v>2657</v>
      </c>
      <c r="B39" s="1436" t="s">
        <v>2232</v>
      </c>
      <c r="C39" s="1321" t="s">
        <v>881</v>
      </c>
      <c r="D39" s="1321" t="s">
        <v>1913</v>
      </c>
      <c r="E39" s="1321" t="s">
        <v>2647</v>
      </c>
      <c r="F39" s="631">
        <f>Cement_Concrete!J135</f>
        <v>142.26915904663275</v>
      </c>
      <c r="G39" s="631">
        <v>2020</v>
      </c>
      <c r="H39" s="1321" t="s">
        <v>2658</v>
      </c>
      <c r="I39" s="1321" t="s">
        <v>2649</v>
      </c>
      <c r="J39" s="1321" t="s">
        <v>2650</v>
      </c>
    </row>
    <row r="40" spans="1:10">
      <c r="A40" s="1321" t="s">
        <v>2657</v>
      </c>
      <c r="B40" s="1436" t="s">
        <v>2232</v>
      </c>
      <c r="C40" s="1321" t="s">
        <v>882</v>
      </c>
      <c r="D40" s="1321" t="s">
        <v>1913</v>
      </c>
      <c r="E40" s="1321" t="s">
        <v>2647</v>
      </c>
      <c r="F40" s="631">
        <f>Cement_Concrete!J136</f>
        <v>69.26417235417145</v>
      </c>
      <c r="G40" s="631">
        <v>2020</v>
      </c>
      <c r="H40" s="1321" t="s">
        <v>2658</v>
      </c>
      <c r="I40" s="1321" t="s">
        <v>2649</v>
      </c>
      <c r="J40" s="1321" t="s">
        <v>2650</v>
      </c>
    </row>
    <row r="41" spans="1:10">
      <c r="A41" s="1321" t="s">
        <v>2657</v>
      </c>
      <c r="B41" s="1436" t="s">
        <v>2232</v>
      </c>
      <c r="C41" s="1321" t="s">
        <v>883</v>
      </c>
      <c r="D41" s="1321" t="s">
        <v>1913</v>
      </c>
      <c r="E41" s="1321" t="s">
        <v>2647</v>
      </c>
      <c r="F41" s="631">
        <f>Cement_Concrete!J137</f>
        <v>24.00132180371385</v>
      </c>
      <c r="G41" s="631">
        <v>2020</v>
      </c>
      <c r="H41" s="1321" t="s">
        <v>2658</v>
      </c>
      <c r="I41" s="1321" t="s">
        <v>2649</v>
      </c>
      <c r="J41" s="1321" t="s">
        <v>2650</v>
      </c>
    </row>
    <row r="42" spans="1:10">
      <c r="A42" s="1321" t="s">
        <v>2657</v>
      </c>
      <c r="B42" s="1436" t="s">
        <v>2232</v>
      </c>
      <c r="C42" s="1321" t="s">
        <v>884</v>
      </c>
      <c r="D42" s="1321" t="s">
        <v>1913</v>
      </c>
      <c r="E42" s="1321" t="s">
        <v>2647</v>
      </c>
      <c r="F42" s="631">
        <f>Cement_Concrete!J138</f>
        <v>33.485268576341667</v>
      </c>
      <c r="G42" s="631">
        <v>2020</v>
      </c>
      <c r="H42" s="1321" t="s">
        <v>2658</v>
      </c>
      <c r="I42" s="1321" t="s">
        <v>2649</v>
      </c>
      <c r="J42" s="1321" t="s">
        <v>2650</v>
      </c>
    </row>
    <row r="43" spans="1:10">
      <c r="A43" s="1321" t="s">
        <v>2657</v>
      </c>
      <c r="B43" s="1436" t="s">
        <v>2232</v>
      </c>
      <c r="C43" s="1321" t="s">
        <v>2653</v>
      </c>
      <c r="D43" s="1321" t="s">
        <v>1913</v>
      </c>
      <c r="E43" s="1321" t="s">
        <v>2647</v>
      </c>
      <c r="F43" s="631">
        <f>Cement_Concrete!J139</f>
        <v>0.9159530541898171</v>
      </c>
      <c r="G43" s="631">
        <v>2020</v>
      </c>
      <c r="H43" s="1321" t="s">
        <v>2658</v>
      </c>
      <c r="I43" s="1321" t="s">
        <v>2649</v>
      </c>
      <c r="J43" s="1321" t="s">
        <v>2650</v>
      </c>
    </row>
    <row r="44" spans="1:10">
      <c r="A44" s="1321" t="s">
        <v>2657</v>
      </c>
      <c r="B44" s="1436" t="s">
        <v>2232</v>
      </c>
      <c r="C44" s="1321" t="s">
        <v>2654</v>
      </c>
      <c r="D44" s="1321" t="s">
        <v>1913</v>
      </c>
      <c r="E44" s="1321" t="s">
        <v>2647</v>
      </c>
      <c r="F44" s="631">
        <f>Cement_Concrete!J140</f>
        <v>2.191771755185508</v>
      </c>
      <c r="G44" s="631">
        <v>2020</v>
      </c>
      <c r="H44" s="1321" t="s">
        <v>2658</v>
      </c>
      <c r="I44" s="1321" t="s">
        <v>2649</v>
      </c>
      <c r="J44" s="1321" t="s">
        <v>2650</v>
      </c>
    </row>
    <row r="45" spans="1:10">
      <c r="A45" s="1321" t="s">
        <v>2657</v>
      </c>
      <c r="B45" s="1436" t="s">
        <v>2232</v>
      </c>
      <c r="C45" s="1321" t="s">
        <v>887</v>
      </c>
      <c r="D45" s="1321" t="s">
        <v>1913</v>
      </c>
      <c r="E45" s="1321" t="s">
        <v>2647</v>
      </c>
      <c r="F45" s="631">
        <f>Cement_Concrete!J141</f>
        <v>39.831593622527151</v>
      </c>
      <c r="G45" s="631">
        <v>2020</v>
      </c>
      <c r="H45" s="1321" t="s">
        <v>2658</v>
      </c>
      <c r="I45" s="1321" t="s">
        <v>2649</v>
      </c>
      <c r="J45" s="1321" t="s">
        <v>2650</v>
      </c>
    </row>
    <row r="46" spans="1:10">
      <c r="A46" s="1321" t="s">
        <v>2657</v>
      </c>
      <c r="B46" s="1436" t="s">
        <v>2232</v>
      </c>
      <c r="C46" s="1321" t="s">
        <v>888</v>
      </c>
      <c r="D46" s="1321" t="s">
        <v>1913</v>
      </c>
      <c r="E46" s="1321" t="s">
        <v>2647</v>
      </c>
      <c r="F46" s="631">
        <f>Cement_Concrete!J142</f>
        <v>0.69482775253762386</v>
      </c>
      <c r="G46" s="631">
        <v>2020</v>
      </c>
      <c r="H46" s="1321" t="s">
        <v>2658</v>
      </c>
      <c r="I46" s="1321" t="s">
        <v>2649</v>
      </c>
      <c r="J46" s="1321" t="s">
        <v>2650</v>
      </c>
    </row>
    <row r="47" spans="1:10">
      <c r="A47" s="1321" t="s">
        <v>2657</v>
      </c>
      <c r="B47" s="1436" t="s">
        <v>2232</v>
      </c>
      <c r="C47" s="1321" t="s">
        <v>889</v>
      </c>
      <c r="D47" s="1321" t="s">
        <v>1913</v>
      </c>
      <c r="E47" s="1321" t="s">
        <v>2647</v>
      </c>
      <c r="F47" s="631">
        <f>Cement_Concrete!J143</f>
        <v>85511.579326842824</v>
      </c>
      <c r="G47" s="631">
        <v>2020</v>
      </c>
      <c r="H47" s="1321" t="s">
        <v>2658</v>
      </c>
      <c r="I47" s="1321" t="s">
        <v>2649</v>
      </c>
      <c r="J47" s="1321" t="s">
        <v>2650</v>
      </c>
    </row>
    <row r="48" spans="1:10">
      <c r="A48" s="1321" t="s">
        <v>2657</v>
      </c>
      <c r="B48" s="1436" t="s">
        <v>2232</v>
      </c>
      <c r="C48" s="1321" t="s">
        <v>2069</v>
      </c>
      <c r="D48" s="1321" t="s">
        <v>1913</v>
      </c>
      <c r="E48" s="1321" t="s">
        <v>2647</v>
      </c>
      <c r="F48" s="631">
        <f>Cement_Concrete!J144</f>
        <v>85931.366658739425</v>
      </c>
      <c r="G48" s="631">
        <v>2020</v>
      </c>
      <c r="H48" s="1321" t="s">
        <v>2658</v>
      </c>
      <c r="I48" s="1321" t="s">
        <v>2649</v>
      </c>
      <c r="J48" s="1321" t="s">
        <v>2650</v>
      </c>
    </row>
    <row r="49" spans="1:10">
      <c r="A49" s="1321" t="s">
        <v>2657</v>
      </c>
      <c r="B49" s="1436" t="s">
        <v>2232</v>
      </c>
      <c r="C49" s="1321" t="s">
        <v>1896</v>
      </c>
      <c r="D49" s="1321" t="s">
        <v>1913</v>
      </c>
      <c r="E49" s="1321" t="s">
        <v>2647</v>
      </c>
      <c r="F49" s="631">
        <f>Cement_Concrete!J145</f>
        <v>87310.443821837704</v>
      </c>
      <c r="G49" s="631">
        <v>2020</v>
      </c>
      <c r="H49" s="1321" t="s">
        <v>2658</v>
      </c>
      <c r="I49" s="1321" t="s">
        <v>2649</v>
      </c>
      <c r="J49" s="1321" t="s">
        <v>2650</v>
      </c>
    </row>
    <row r="50" spans="1:10">
      <c r="A50" s="1321" t="s">
        <v>2657</v>
      </c>
      <c r="B50" s="1436" t="s">
        <v>2232</v>
      </c>
      <c r="C50" s="1321" t="s">
        <v>890</v>
      </c>
      <c r="D50" s="1321" t="s">
        <v>1913</v>
      </c>
      <c r="E50" s="1321" t="s">
        <v>2647</v>
      </c>
      <c r="F50" s="631">
        <f>Cement_Concrete!J147</f>
        <v>39.91337204907208</v>
      </c>
      <c r="G50" s="631">
        <v>2020</v>
      </c>
      <c r="H50" s="1321" t="s">
        <v>2658</v>
      </c>
      <c r="I50" s="1321" t="s">
        <v>2649</v>
      </c>
      <c r="J50" s="1321" t="s">
        <v>2650</v>
      </c>
    </row>
    <row r="51" spans="1:10">
      <c r="A51" s="1321" t="s">
        <v>2657</v>
      </c>
      <c r="B51" s="1436" t="s">
        <v>2232</v>
      </c>
      <c r="C51" s="1321" t="s">
        <v>891</v>
      </c>
      <c r="D51" s="1321" t="s">
        <v>1913</v>
      </c>
      <c r="E51" s="1321" t="s">
        <v>2647</v>
      </c>
      <c r="F51" s="631">
        <f>Cement_Concrete!J148</f>
        <v>33.207821524652104</v>
      </c>
      <c r="G51" s="631">
        <v>2020</v>
      </c>
      <c r="H51" s="1321" t="s">
        <v>2658</v>
      </c>
      <c r="I51" s="1321" t="s">
        <v>2649</v>
      </c>
      <c r="J51" s="1321" t="s">
        <v>2650</v>
      </c>
    </row>
    <row r="52" spans="1:10">
      <c r="A52" s="1321" t="s">
        <v>2657</v>
      </c>
      <c r="B52" s="1436" t="s">
        <v>2232</v>
      </c>
      <c r="C52" s="1321" t="s">
        <v>892</v>
      </c>
      <c r="D52" s="1321" t="s">
        <v>1913</v>
      </c>
      <c r="E52" s="1321" t="s">
        <v>2647</v>
      </c>
      <c r="F52" s="631">
        <f>Cement_Concrete!J149</f>
        <v>39.907577438919553</v>
      </c>
      <c r="G52" s="631">
        <v>2020</v>
      </c>
      <c r="H52" s="1321" t="s">
        <v>2658</v>
      </c>
      <c r="I52" s="1321" t="s">
        <v>2649</v>
      </c>
      <c r="J52" s="1321" t="s">
        <v>2650</v>
      </c>
    </row>
    <row r="53" spans="1:10">
      <c r="A53" s="1321" t="s">
        <v>2657</v>
      </c>
      <c r="B53" s="1436" t="s">
        <v>2232</v>
      </c>
      <c r="C53" s="1321" t="s">
        <v>893</v>
      </c>
      <c r="D53" s="1321" t="s">
        <v>1913</v>
      </c>
      <c r="E53" s="1321" t="s">
        <v>2647</v>
      </c>
      <c r="F53" s="631">
        <f>Cement_Concrete!J150</f>
        <v>31.798563751209898</v>
      </c>
      <c r="G53" s="631">
        <v>2020</v>
      </c>
      <c r="H53" s="1321" t="s">
        <v>2658</v>
      </c>
      <c r="I53" s="1321" t="s">
        <v>2649</v>
      </c>
      <c r="J53" s="1321" t="s">
        <v>2650</v>
      </c>
    </row>
    <row r="54" spans="1:10">
      <c r="A54" s="1321" t="s">
        <v>2657</v>
      </c>
      <c r="B54" s="1436" t="s">
        <v>2232</v>
      </c>
      <c r="C54" s="1321" t="s">
        <v>894</v>
      </c>
      <c r="D54" s="1321" t="s">
        <v>1913</v>
      </c>
      <c r="E54" s="1321" t="s">
        <v>2647</v>
      </c>
      <c r="F54" s="631">
        <f>Cement_Concrete!J151</f>
        <v>9.8050697700443763</v>
      </c>
      <c r="G54" s="631">
        <v>2020</v>
      </c>
      <c r="H54" s="1321" t="s">
        <v>2658</v>
      </c>
      <c r="I54" s="1321" t="s">
        <v>2649</v>
      </c>
      <c r="J54" s="1321" t="s">
        <v>2650</v>
      </c>
    </row>
    <row r="55" spans="1:10">
      <c r="A55" s="1321" t="s">
        <v>2657</v>
      </c>
      <c r="B55" s="1436" t="s">
        <v>2232</v>
      </c>
      <c r="C55" s="1321" t="s">
        <v>895</v>
      </c>
      <c r="D55" s="1321" t="s">
        <v>1913</v>
      </c>
      <c r="E55" s="1321" t="s">
        <v>2647</v>
      </c>
      <c r="F55" s="631">
        <f>Cement_Concrete!J152</f>
        <v>9.2805098508181576</v>
      </c>
      <c r="G55" s="631">
        <v>2020</v>
      </c>
      <c r="H55" s="1321" t="s">
        <v>2658</v>
      </c>
      <c r="I55" s="1321" t="s">
        <v>2649</v>
      </c>
      <c r="J55" s="1321" t="s">
        <v>2650</v>
      </c>
    </row>
    <row r="56" spans="1:10">
      <c r="A56" s="1321" t="s">
        <v>2657</v>
      </c>
      <c r="B56" s="1436" t="s">
        <v>2232</v>
      </c>
      <c r="C56" s="1321" t="s">
        <v>2655</v>
      </c>
      <c r="D56" s="1321" t="s">
        <v>1913</v>
      </c>
      <c r="E56" s="1321" t="s">
        <v>2647</v>
      </c>
      <c r="F56" s="631">
        <f>Cement_Concrete!J153</f>
        <v>0.327036467550604</v>
      </c>
      <c r="G56" s="631">
        <v>2020</v>
      </c>
      <c r="H56" s="1321" t="s">
        <v>2658</v>
      </c>
      <c r="I56" s="1321" t="s">
        <v>2649</v>
      </c>
      <c r="J56" s="1321" t="s">
        <v>2650</v>
      </c>
    </row>
    <row r="57" spans="1:10">
      <c r="A57" s="1321" t="s">
        <v>2657</v>
      </c>
      <c r="B57" s="1436" t="s">
        <v>2232</v>
      </c>
      <c r="C57" s="1321" t="s">
        <v>2656</v>
      </c>
      <c r="D57" s="1321" t="s">
        <v>1913</v>
      </c>
      <c r="E57" s="1321" t="s">
        <v>2647</v>
      </c>
      <c r="F57" s="631">
        <f>Cement_Concrete!J154</f>
        <v>0.79605628235508474</v>
      </c>
      <c r="G57" s="631">
        <v>2020</v>
      </c>
      <c r="H57" s="1321" t="s">
        <v>2658</v>
      </c>
      <c r="I57" s="1321" t="s">
        <v>2649</v>
      </c>
      <c r="J57" s="1321" t="s">
        <v>2650</v>
      </c>
    </row>
    <row r="58" spans="1:10">
      <c r="A58" s="1321" t="s">
        <v>2659</v>
      </c>
      <c r="B58" s="1436" t="s">
        <v>2232</v>
      </c>
      <c r="C58" s="1321" t="s">
        <v>2646</v>
      </c>
      <c r="D58" s="1321" t="s">
        <v>1911</v>
      </c>
      <c r="E58" s="1321" t="s">
        <v>2647</v>
      </c>
      <c r="F58" s="631">
        <f>GREET1_Import_Export!AU556*1000000</f>
        <v>193638.22271387998</v>
      </c>
      <c r="G58" s="631"/>
      <c r="I58" s="1321" t="s">
        <v>2649</v>
      </c>
      <c r="J58" s="1321" t="s">
        <v>2650</v>
      </c>
    </row>
    <row r="59" spans="1:10">
      <c r="A59" s="1321" t="s">
        <v>2659</v>
      </c>
      <c r="B59" s="1436" t="s">
        <v>2232</v>
      </c>
      <c r="C59" s="1321" t="s">
        <v>2106</v>
      </c>
      <c r="D59" s="1321" t="s">
        <v>1911</v>
      </c>
      <c r="E59" s="1321" t="s">
        <v>2647</v>
      </c>
      <c r="F59" s="631">
        <f>GREET1_Import_Export!AU557*1000000</f>
        <v>188824.57526305379</v>
      </c>
      <c r="G59" s="631"/>
      <c r="I59" s="1321" t="s">
        <v>2649</v>
      </c>
      <c r="J59" s="1321" t="s">
        <v>2650</v>
      </c>
    </row>
    <row r="60" spans="1:10">
      <c r="A60" s="1321" t="s">
        <v>2659</v>
      </c>
      <c r="B60" s="1436" t="s">
        <v>2232</v>
      </c>
      <c r="C60" s="1321" t="s">
        <v>442</v>
      </c>
      <c r="D60" s="1321" t="s">
        <v>1911</v>
      </c>
      <c r="E60" s="1321" t="s">
        <v>2647</v>
      </c>
      <c r="F60" s="631">
        <f>GREET1_Import_Export!AU558*1000000</f>
        <v>6319.2864913589574</v>
      </c>
      <c r="G60" s="631"/>
      <c r="I60" s="1321" t="s">
        <v>2649</v>
      </c>
      <c r="J60" s="1321" t="s">
        <v>2650</v>
      </c>
    </row>
    <row r="61" spans="1:10">
      <c r="A61" s="1321" t="s">
        <v>2659</v>
      </c>
      <c r="B61" s="1436" t="s">
        <v>2232</v>
      </c>
      <c r="C61" s="1321" t="s">
        <v>2017</v>
      </c>
      <c r="D61" s="1321" t="s">
        <v>1911</v>
      </c>
      <c r="E61" s="1321" t="s">
        <v>2647</v>
      </c>
      <c r="F61" s="631">
        <f>GREET1_Import_Export!AU559*1000000</f>
        <v>27905.685875026647</v>
      </c>
      <c r="G61" s="631"/>
      <c r="I61" s="1321" t="s">
        <v>2649</v>
      </c>
      <c r="J61" s="1321" t="s">
        <v>2650</v>
      </c>
    </row>
    <row r="62" spans="1:10">
      <c r="A62" s="1321" t="s">
        <v>2659</v>
      </c>
      <c r="B62" s="1436" t="s">
        <v>2232</v>
      </c>
      <c r="C62" s="1321" t="s">
        <v>440</v>
      </c>
      <c r="D62" s="1321" t="s">
        <v>1911</v>
      </c>
      <c r="E62" s="1321" t="s">
        <v>2647</v>
      </c>
      <c r="F62" s="631">
        <f>GREET1_Import_Export!AU560*1000000</f>
        <v>154599.60289666819</v>
      </c>
      <c r="G62" s="631"/>
      <c r="I62" s="1321" t="s">
        <v>2649</v>
      </c>
      <c r="J62" s="1321" t="s">
        <v>2650</v>
      </c>
    </row>
    <row r="63" spans="1:10">
      <c r="A63" s="1321" t="s">
        <v>2659</v>
      </c>
      <c r="B63" s="1436" t="s">
        <v>2232</v>
      </c>
      <c r="C63" s="1321" t="s">
        <v>2651</v>
      </c>
      <c r="D63" s="1321" t="s">
        <v>2652</v>
      </c>
      <c r="E63" s="1321" t="s">
        <v>2647</v>
      </c>
      <c r="F63" s="631">
        <f>GREET1_Import_Export!AU561</f>
        <v>4.2423497078317132</v>
      </c>
      <c r="G63" s="631"/>
      <c r="I63" s="1321" t="s">
        <v>2649</v>
      </c>
      <c r="J63" s="1321" t="s">
        <v>2650</v>
      </c>
    </row>
    <row r="64" spans="1:10">
      <c r="A64" s="1321" t="s">
        <v>2659</v>
      </c>
      <c r="B64" s="1436" t="s">
        <v>2232</v>
      </c>
      <c r="C64" s="1321" t="s">
        <v>879</v>
      </c>
      <c r="D64" s="1321" t="s">
        <v>1913</v>
      </c>
      <c r="E64" s="1321" t="s">
        <v>2647</v>
      </c>
      <c r="F64" s="631">
        <f>GREET1_Import_Export!AU563</f>
        <v>1.5163351511606895</v>
      </c>
      <c r="G64" s="631"/>
      <c r="I64" s="1321" t="s">
        <v>2649</v>
      </c>
      <c r="J64" s="1321" t="s">
        <v>2650</v>
      </c>
    </row>
    <row r="65" spans="1:10">
      <c r="A65" s="1321" t="s">
        <v>2659</v>
      </c>
      <c r="B65" s="1436" t="s">
        <v>2232</v>
      </c>
      <c r="C65" s="1321" t="s">
        <v>880</v>
      </c>
      <c r="D65" s="1321" t="s">
        <v>1913</v>
      </c>
      <c r="E65" s="1321" t="s">
        <v>2647</v>
      </c>
      <c r="F65" s="631">
        <f>GREET1_Import_Export!AU564</f>
        <v>79.718571421848637</v>
      </c>
      <c r="G65" s="631"/>
      <c r="I65" s="1321" t="s">
        <v>2649</v>
      </c>
      <c r="J65" s="1321" t="s">
        <v>2650</v>
      </c>
    </row>
    <row r="66" spans="1:10">
      <c r="A66" s="1321" t="s">
        <v>2659</v>
      </c>
      <c r="B66" s="1436" t="s">
        <v>2232</v>
      </c>
      <c r="C66" s="1321" t="s">
        <v>881</v>
      </c>
      <c r="D66" s="1321" t="s">
        <v>1913</v>
      </c>
      <c r="E66" s="1321" t="s">
        <v>2647</v>
      </c>
      <c r="F66" s="631">
        <f>GREET1_Import_Export!AU565</f>
        <v>42.874193102058172</v>
      </c>
      <c r="G66" s="631"/>
      <c r="I66" s="1321" t="s">
        <v>2649</v>
      </c>
      <c r="J66" s="1321" t="s">
        <v>2650</v>
      </c>
    </row>
    <row r="67" spans="1:10">
      <c r="A67" s="1321" t="s">
        <v>2659</v>
      </c>
      <c r="B67" s="1436" t="s">
        <v>2232</v>
      </c>
      <c r="C67" s="1321" t="s">
        <v>882</v>
      </c>
      <c r="D67" s="1321" t="s">
        <v>1913</v>
      </c>
      <c r="E67" s="1321" t="s">
        <v>2647</v>
      </c>
      <c r="F67" s="631">
        <f>GREET1_Import_Export!AU566</f>
        <v>3.6334848832223061</v>
      </c>
      <c r="G67" s="631"/>
      <c r="I67" s="1321" t="s">
        <v>2649</v>
      </c>
      <c r="J67" s="1321" t="s">
        <v>2650</v>
      </c>
    </row>
    <row r="68" spans="1:10">
      <c r="A68" s="1321" t="s">
        <v>2659</v>
      </c>
      <c r="B68" s="1436" t="s">
        <v>2232</v>
      </c>
      <c r="C68" s="1321" t="s">
        <v>883</v>
      </c>
      <c r="D68" s="1321" t="s">
        <v>1913</v>
      </c>
      <c r="E68" s="1321" t="s">
        <v>2647</v>
      </c>
      <c r="F68" s="631">
        <f>GREET1_Import_Export!AU567</f>
        <v>3.5236924863619179</v>
      </c>
      <c r="G68" s="631"/>
      <c r="I68" s="1321" t="s">
        <v>2649</v>
      </c>
      <c r="J68" s="1321" t="s">
        <v>2650</v>
      </c>
    </row>
    <row r="69" spans="1:10">
      <c r="A69" s="1321" t="s">
        <v>2659</v>
      </c>
      <c r="B69" s="1436" t="s">
        <v>2232</v>
      </c>
      <c r="C69" s="1321" t="s">
        <v>884</v>
      </c>
      <c r="D69" s="1321" t="s">
        <v>1913</v>
      </c>
      <c r="E69" s="1321" t="s">
        <v>2647</v>
      </c>
      <c r="F69" s="631">
        <f>GREET1_Import_Export!AU568</f>
        <v>1.3695988378891457</v>
      </c>
      <c r="G69" s="631"/>
      <c r="I69" s="1321" t="s">
        <v>2649</v>
      </c>
      <c r="J69" s="1321" t="s">
        <v>2650</v>
      </c>
    </row>
    <row r="70" spans="1:10">
      <c r="A70" s="1321" t="s">
        <v>2659</v>
      </c>
      <c r="B70" s="1436" t="s">
        <v>2232</v>
      </c>
      <c r="C70" s="1321" t="s">
        <v>2653</v>
      </c>
      <c r="D70" s="1321" t="s">
        <v>1913</v>
      </c>
      <c r="E70" s="1321" t="s">
        <v>2647</v>
      </c>
      <c r="F70" s="631">
        <f>GREET1_Import_Export!AU569</f>
        <v>2.7050699537511571</v>
      </c>
      <c r="G70" s="631"/>
      <c r="I70" s="1321" t="s">
        <v>2649</v>
      </c>
      <c r="J70" s="1321" t="s">
        <v>2650</v>
      </c>
    </row>
    <row r="71" spans="1:10">
      <c r="A71" s="1321" t="s">
        <v>2659</v>
      </c>
      <c r="B71" s="1436" t="s">
        <v>2232</v>
      </c>
      <c r="C71" s="1321" t="s">
        <v>2654</v>
      </c>
      <c r="D71" s="1321" t="s">
        <v>1913</v>
      </c>
      <c r="E71" s="1321" t="s">
        <v>2647</v>
      </c>
      <c r="F71" s="631">
        <f>GREET1_Import_Export!AU570</f>
        <v>0.6602325124704046</v>
      </c>
      <c r="G71" s="631"/>
      <c r="I71" s="1321" t="s">
        <v>2649</v>
      </c>
      <c r="J71" s="1321" t="s">
        <v>2650</v>
      </c>
    </row>
    <row r="72" spans="1:10">
      <c r="A72" s="1321" t="s">
        <v>2659</v>
      </c>
      <c r="B72" s="1436" t="s">
        <v>2232</v>
      </c>
      <c r="C72" s="1321" t="s">
        <v>887</v>
      </c>
      <c r="D72" s="1321" t="s">
        <v>1913</v>
      </c>
      <c r="E72" s="1321" t="s">
        <v>2647</v>
      </c>
      <c r="F72" s="631">
        <f>GREET1_Import_Export!AU571</f>
        <v>19.313099451502922</v>
      </c>
      <c r="G72" s="631"/>
      <c r="I72" s="1321" t="s">
        <v>2649</v>
      </c>
      <c r="J72" s="1321" t="s">
        <v>2650</v>
      </c>
    </row>
    <row r="73" spans="1:10">
      <c r="A73" s="1321" t="s">
        <v>2659</v>
      </c>
      <c r="B73" s="1436" t="s">
        <v>2232</v>
      </c>
      <c r="C73" s="1321" t="s">
        <v>888</v>
      </c>
      <c r="D73" s="1321" t="s">
        <v>1913</v>
      </c>
      <c r="E73" s="1321" t="s">
        <v>2647</v>
      </c>
      <c r="F73" s="631">
        <f>GREET1_Import_Export!AU572</f>
        <v>0.14428540885218835</v>
      </c>
      <c r="G73" s="631"/>
      <c r="I73" s="1321" t="s">
        <v>2649</v>
      </c>
      <c r="J73" s="1321" t="s">
        <v>2650</v>
      </c>
    </row>
    <row r="74" spans="1:10">
      <c r="A74" s="1321" t="s">
        <v>2659</v>
      </c>
      <c r="B74" s="1436" t="s">
        <v>2232</v>
      </c>
      <c r="C74" s="1321" t="s">
        <v>889</v>
      </c>
      <c r="D74" s="1321" t="s">
        <v>1913</v>
      </c>
      <c r="E74" s="1321" t="s">
        <v>2647</v>
      </c>
      <c r="F74" s="631">
        <f>GREET1_Import_Export!AU573</f>
        <v>14437.715010367849</v>
      </c>
      <c r="G74" s="631"/>
      <c r="I74" s="1321" t="s">
        <v>2649</v>
      </c>
      <c r="J74" s="1321" t="s">
        <v>2650</v>
      </c>
    </row>
    <row r="75" spans="1:10">
      <c r="A75" s="1321" t="s">
        <v>2659</v>
      </c>
      <c r="B75" s="1436" t="s">
        <v>2232</v>
      </c>
      <c r="C75" s="1321" t="s">
        <v>2069</v>
      </c>
      <c r="D75" s="1321" t="s">
        <v>1913</v>
      </c>
      <c r="E75" s="1321" t="s">
        <v>2647</v>
      </c>
      <c r="F75" s="631">
        <f>GREET1_Import_Export!AU574</f>
        <v>14567.712962394729</v>
      </c>
      <c r="G75" s="631"/>
      <c r="I75" s="1321" t="s">
        <v>2649</v>
      </c>
      <c r="J75" s="1321" t="s">
        <v>2650</v>
      </c>
    </row>
    <row r="76" spans="1:10">
      <c r="A76" s="1321" t="s">
        <v>2659</v>
      </c>
      <c r="B76" s="1436" t="s">
        <v>2232</v>
      </c>
      <c r="C76" s="1321" t="s">
        <v>1896</v>
      </c>
      <c r="D76" s="1321" t="s">
        <v>1913</v>
      </c>
      <c r="E76" s="1321" t="s">
        <v>2647</v>
      </c>
      <c r="F76" s="631">
        <f>GREET1_Import_Export!AU575</f>
        <v>15185.341579285647</v>
      </c>
      <c r="G76" s="631"/>
      <c r="I76" s="1321" t="s">
        <v>2649</v>
      </c>
      <c r="J76" s="1321" t="s">
        <v>2650</v>
      </c>
    </row>
    <row r="77" spans="1:10">
      <c r="A77" s="1321" t="s">
        <v>2659</v>
      </c>
      <c r="B77" s="1436" t="s">
        <v>2232</v>
      </c>
      <c r="C77" s="1321" t="s">
        <v>890</v>
      </c>
      <c r="D77" s="1321" t="s">
        <v>1913</v>
      </c>
      <c r="E77" s="1321" t="s">
        <v>2647</v>
      </c>
      <c r="F77" s="631">
        <f>GREET1_Import_Export!AU577</f>
        <v>0.41600247909078719</v>
      </c>
      <c r="G77" s="631"/>
      <c r="I77" s="1321" t="s">
        <v>2649</v>
      </c>
      <c r="J77" s="1321" t="s">
        <v>2650</v>
      </c>
    </row>
    <row r="78" spans="1:10">
      <c r="A78" s="1321" t="s">
        <v>2659</v>
      </c>
      <c r="B78" s="1436" t="s">
        <v>2232</v>
      </c>
      <c r="C78" s="1321" t="s">
        <v>891</v>
      </c>
      <c r="D78" s="1321" t="s">
        <v>1913</v>
      </c>
      <c r="E78" s="1321" t="s">
        <v>2647</v>
      </c>
      <c r="F78" s="631">
        <f>GREET1_Import_Export!AU578</f>
        <v>0.32591437273352986</v>
      </c>
      <c r="G78" s="631"/>
      <c r="I78" s="1321" t="s">
        <v>2649</v>
      </c>
      <c r="J78" s="1321" t="s">
        <v>2650</v>
      </c>
    </row>
    <row r="79" spans="1:10">
      <c r="A79" s="1321" t="s">
        <v>2659</v>
      </c>
      <c r="B79" s="1436" t="s">
        <v>2232</v>
      </c>
      <c r="C79" s="1321" t="s">
        <v>892</v>
      </c>
      <c r="D79" s="1321" t="s">
        <v>1913</v>
      </c>
      <c r="E79" s="1321" t="s">
        <v>2647</v>
      </c>
      <c r="F79" s="631">
        <f>GREET1_Import_Export!AU579</f>
        <v>0.59218115896013579</v>
      </c>
      <c r="G79" s="631"/>
      <c r="I79" s="1321" t="s">
        <v>2649</v>
      </c>
      <c r="J79" s="1321" t="s">
        <v>2650</v>
      </c>
    </row>
    <row r="80" spans="1:10">
      <c r="A80" s="1321" t="s">
        <v>2659</v>
      </c>
      <c r="B80" s="1436" t="s">
        <v>2232</v>
      </c>
      <c r="C80" s="1321" t="s">
        <v>893</v>
      </c>
      <c r="D80" s="1321" t="s">
        <v>1913</v>
      </c>
      <c r="E80" s="1321" t="s">
        <v>2647</v>
      </c>
      <c r="F80" s="631">
        <f>GREET1_Import_Export!AU580</f>
        <v>9.7389547046221131E-2</v>
      </c>
      <c r="G80" s="631"/>
      <c r="I80" s="1321" t="s">
        <v>2649</v>
      </c>
      <c r="J80" s="1321" t="s">
        <v>2650</v>
      </c>
    </row>
    <row r="81" spans="1:10">
      <c r="A81" s="1321" t="s">
        <v>2659</v>
      </c>
      <c r="B81" s="1436" t="s">
        <v>2232</v>
      </c>
      <c r="C81" s="1321" t="s">
        <v>894</v>
      </c>
      <c r="D81" s="1321" t="s">
        <v>1913</v>
      </c>
      <c r="E81" s="1321" t="s">
        <v>2647</v>
      </c>
      <c r="F81" s="631">
        <f>GREET1_Import_Export!AU581</f>
        <v>8.4436878993417452E-2</v>
      </c>
      <c r="G81" s="631"/>
      <c r="I81" s="1321" t="s">
        <v>2649</v>
      </c>
      <c r="J81" s="1321" t="s">
        <v>2650</v>
      </c>
    </row>
    <row r="82" spans="1:10">
      <c r="A82" s="1321" t="s">
        <v>2659</v>
      </c>
      <c r="B82" s="1436" t="s">
        <v>2232</v>
      </c>
      <c r="C82" s="1321" t="s">
        <v>895</v>
      </c>
      <c r="D82" s="1321" t="s">
        <v>1913</v>
      </c>
      <c r="E82" s="1321" t="s">
        <v>2647</v>
      </c>
      <c r="F82" s="631">
        <f>GREET1_Import_Export!AU582</f>
        <v>0.32179573041890042</v>
      </c>
      <c r="G82" s="631"/>
      <c r="I82" s="1321" t="s">
        <v>2649</v>
      </c>
      <c r="J82" s="1321" t="s">
        <v>2650</v>
      </c>
    </row>
    <row r="83" spans="1:10">
      <c r="A83" s="1321" t="s">
        <v>2659</v>
      </c>
      <c r="B83" s="1436" t="s">
        <v>2232</v>
      </c>
      <c r="C83" s="1321" t="s">
        <v>2655</v>
      </c>
      <c r="D83" s="1321" t="s">
        <v>1913</v>
      </c>
      <c r="E83" s="1321" t="s">
        <v>2647</v>
      </c>
      <c r="F83" s="631">
        <f>GREET1_Import_Export!AU583</f>
        <v>9.148555262913147E-3</v>
      </c>
      <c r="G83" s="631"/>
      <c r="I83" s="1321" t="s">
        <v>2649</v>
      </c>
      <c r="J83" s="1321" t="s">
        <v>2650</v>
      </c>
    </row>
    <row r="84" spans="1:10">
      <c r="A84" s="1321" t="s">
        <v>2659</v>
      </c>
      <c r="B84" s="1436" t="s">
        <v>2232</v>
      </c>
      <c r="C84" s="1321" t="s">
        <v>2656</v>
      </c>
      <c r="D84" s="1321" t="s">
        <v>1913</v>
      </c>
      <c r="E84" s="1321" t="s">
        <v>2647</v>
      </c>
      <c r="F84" s="631">
        <f>GREET1_Import_Export!AU584</f>
        <v>1.7438730344888433E-2</v>
      </c>
      <c r="G84" s="631"/>
      <c r="I84" s="1321" t="s">
        <v>2649</v>
      </c>
      <c r="J84" s="1321" t="s">
        <v>2650</v>
      </c>
    </row>
    <row r="85" spans="1:10">
      <c r="A85" s="1321" t="s">
        <v>997</v>
      </c>
      <c r="B85" s="1436" t="s">
        <v>2232</v>
      </c>
      <c r="C85" s="1321" t="s">
        <v>2646</v>
      </c>
      <c r="D85" s="1321" t="s">
        <v>1911</v>
      </c>
      <c r="E85" s="1321" t="s">
        <v>2647</v>
      </c>
      <c r="F85" s="631">
        <f>Silicon!L36*1000000</f>
        <v>324488.84212481359</v>
      </c>
      <c r="G85" s="631"/>
      <c r="I85" s="1321" t="s">
        <v>2649</v>
      </c>
      <c r="J85" s="1321" t="s">
        <v>2650</v>
      </c>
    </row>
    <row r="86" spans="1:10">
      <c r="A86" s="1321" t="s">
        <v>997</v>
      </c>
      <c r="B86" s="1436" t="s">
        <v>2232</v>
      </c>
      <c r="C86" s="1321" t="s">
        <v>2106</v>
      </c>
      <c r="D86" s="1321" t="s">
        <v>1911</v>
      </c>
      <c r="E86" s="1321" t="s">
        <v>2647</v>
      </c>
      <c r="F86" s="631">
        <f>Silicon!L37*1000000</f>
        <v>256999.82631631286</v>
      </c>
      <c r="G86" s="631"/>
      <c r="I86" s="1321" t="s">
        <v>2649</v>
      </c>
      <c r="J86" s="1321" t="s">
        <v>2650</v>
      </c>
    </row>
    <row r="87" spans="1:10">
      <c r="A87" s="1321" t="s">
        <v>997</v>
      </c>
      <c r="B87" s="1436" t="s">
        <v>2232</v>
      </c>
      <c r="C87" s="1321" t="s">
        <v>442</v>
      </c>
      <c r="D87" s="1321" t="s">
        <v>1911</v>
      </c>
      <c r="E87" s="1321" t="s">
        <v>2647</v>
      </c>
      <c r="F87" s="631">
        <f>Silicon!L38*1000000</f>
        <v>89215.317772782888</v>
      </c>
      <c r="G87" s="631"/>
      <c r="I87" s="1321" t="s">
        <v>2649</v>
      </c>
      <c r="J87" s="1321" t="s">
        <v>2650</v>
      </c>
    </row>
    <row r="88" spans="1:10">
      <c r="A88" s="1321" t="s">
        <v>997</v>
      </c>
      <c r="B88" s="1436" t="s">
        <v>2232</v>
      </c>
      <c r="C88" s="1321" t="s">
        <v>2017</v>
      </c>
      <c r="D88" s="1321" t="s">
        <v>1911</v>
      </c>
      <c r="E88" s="1321" t="s">
        <v>2647</v>
      </c>
      <c r="F88" s="631">
        <f>Silicon!L39*1000000</f>
        <v>164993.43852676582</v>
      </c>
      <c r="G88" s="631"/>
      <c r="I88" s="1321" t="s">
        <v>2649</v>
      </c>
      <c r="J88" s="1321" t="s">
        <v>2650</v>
      </c>
    </row>
    <row r="89" spans="1:10">
      <c r="A89" s="1321" t="s">
        <v>997</v>
      </c>
      <c r="B89" s="1436" t="s">
        <v>2232</v>
      </c>
      <c r="C89" s="1321" t="s">
        <v>440</v>
      </c>
      <c r="D89" s="1321" t="s">
        <v>1911</v>
      </c>
      <c r="E89" s="1321" t="s">
        <v>2647</v>
      </c>
      <c r="F89" s="631">
        <f>Silicon!L40*1000000</f>
        <v>2791.0700167641412</v>
      </c>
      <c r="G89" s="631"/>
      <c r="I89" s="1321" t="s">
        <v>2649</v>
      </c>
      <c r="J89" s="1321" t="s">
        <v>2650</v>
      </c>
    </row>
    <row r="90" spans="1:10">
      <c r="A90" s="1321" t="s">
        <v>997</v>
      </c>
      <c r="B90" s="1436" t="s">
        <v>2232</v>
      </c>
      <c r="C90" s="1321" t="s">
        <v>2651</v>
      </c>
      <c r="D90" s="1321" t="s">
        <v>2652</v>
      </c>
      <c r="E90" s="1321" t="s">
        <v>2647</v>
      </c>
      <c r="F90" s="631">
        <f>Silicon!L41</f>
        <v>17.38965951619959</v>
      </c>
      <c r="G90" s="631"/>
      <c r="I90" s="1321" t="s">
        <v>2649</v>
      </c>
      <c r="J90" s="1321" t="s">
        <v>2650</v>
      </c>
    </row>
    <row r="91" spans="1:10">
      <c r="A91" s="1321" t="s">
        <v>997</v>
      </c>
      <c r="B91" s="1436" t="s">
        <v>2232</v>
      </c>
      <c r="C91" s="1321" t="s">
        <v>879</v>
      </c>
      <c r="D91" s="1321" t="s">
        <v>1913</v>
      </c>
      <c r="E91" s="1321" t="s">
        <v>2647</v>
      </c>
      <c r="F91" s="631">
        <f>Silicon!L43</f>
        <v>2.2170989710903699</v>
      </c>
      <c r="G91" s="631"/>
      <c r="I91" s="1321" t="s">
        <v>2649</v>
      </c>
      <c r="J91" s="1321" t="s">
        <v>2650</v>
      </c>
    </row>
    <row r="92" spans="1:10">
      <c r="A92" s="1321" t="s">
        <v>997</v>
      </c>
      <c r="B92" s="1436" t="s">
        <v>2232</v>
      </c>
      <c r="C92" s="1321" t="s">
        <v>880</v>
      </c>
      <c r="D92" s="1321" t="s">
        <v>1913</v>
      </c>
      <c r="E92" s="1321" t="s">
        <v>2647</v>
      </c>
      <c r="F92" s="631">
        <f>Silicon!L44</f>
        <v>5.9927948206956136</v>
      </c>
      <c r="G92" s="631"/>
      <c r="I92" s="1321" t="s">
        <v>2649</v>
      </c>
      <c r="J92" s="1321" t="s">
        <v>2650</v>
      </c>
    </row>
    <row r="93" spans="1:10">
      <c r="A93" s="1321" t="s">
        <v>997</v>
      </c>
      <c r="B93" s="1436" t="s">
        <v>2232</v>
      </c>
      <c r="C93" s="1321" t="s">
        <v>881</v>
      </c>
      <c r="D93" s="1321" t="s">
        <v>1913</v>
      </c>
      <c r="E93" s="1321" t="s">
        <v>2647</v>
      </c>
      <c r="F93" s="631">
        <f>Silicon!L45</f>
        <v>12.345529776973724</v>
      </c>
      <c r="G93" s="631"/>
      <c r="I93" s="1321" t="s">
        <v>2649</v>
      </c>
      <c r="J93" s="1321" t="s">
        <v>2650</v>
      </c>
    </row>
    <row r="94" spans="1:10">
      <c r="A94" s="1321" t="s">
        <v>997</v>
      </c>
      <c r="B94" s="1436" t="s">
        <v>2232</v>
      </c>
      <c r="C94" s="1321" t="s">
        <v>882</v>
      </c>
      <c r="D94" s="1321" t="s">
        <v>1913</v>
      </c>
      <c r="E94" s="1321" t="s">
        <v>2647</v>
      </c>
      <c r="F94" s="631">
        <f>Silicon!L46</f>
        <v>1.976226349849568</v>
      </c>
      <c r="G94" s="631"/>
      <c r="I94" s="1321" t="s">
        <v>2649</v>
      </c>
      <c r="J94" s="1321" t="s">
        <v>2650</v>
      </c>
    </row>
    <row r="95" spans="1:10">
      <c r="A95" s="1321" t="s">
        <v>997</v>
      </c>
      <c r="B95" s="1436" t="s">
        <v>2232</v>
      </c>
      <c r="C95" s="1321" t="s">
        <v>883</v>
      </c>
      <c r="D95" s="1321" t="s">
        <v>1913</v>
      </c>
      <c r="E95" s="1321" t="s">
        <v>2647</v>
      </c>
      <c r="F95" s="631">
        <f>Silicon!L47</f>
        <v>1.1862684494704534</v>
      </c>
      <c r="G95" s="631"/>
      <c r="I95" s="1321" t="s">
        <v>2649</v>
      </c>
      <c r="J95" s="1321" t="s">
        <v>2650</v>
      </c>
    </row>
    <row r="96" spans="1:10">
      <c r="A96" s="1321" t="s">
        <v>997</v>
      </c>
      <c r="B96" s="1436" t="s">
        <v>2232</v>
      </c>
      <c r="C96" s="1321" t="s">
        <v>884</v>
      </c>
      <c r="D96" s="1321" t="s">
        <v>1913</v>
      </c>
      <c r="E96" s="1321" t="s">
        <v>2647</v>
      </c>
      <c r="F96" s="631">
        <f>Silicon!L48</f>
        <v>10.365774980288416</v>
      </c>
      <c r="G96" s="631"/>
      <c r="I96" s="1321" t="s">
        <v>2649</v>
      </c>
      <c r="J96" s="1321" t="s">
        <v>2650</v>
      </c>
    </row>
    <row r="97" spans="1:10">
      <c r="A97" s="1321" t="s">
        <v>997</v>
      </c>
      <c r="B97" s="1436" t="s">
        <v>2232</v>
      </c>
      <c r="C97" s="1321" t="s">
        <v>2653</v>
      </c>
      <c r="D97" s="1321" t="s">
        <v>1913</v>
      </c>
      <c r="E97" s="1321" t="s">
        <v>2647</v>
      </c>
      <c r="F97" s="631">
        <f>Silicon!L49</f>
        <v>7.2379691275648889E-2</v>
      </c>
      <c r="G97" s="631"/>
      <c r="I97" s="1321" t="s">
        <v>2649</v>
      </c>
      <c r="J97" s="1321" t="s">
        <v>2650</v>
      </c>
    </row>
    <row r="98" spans="1:10">
      <c r="A98" s="1321" t="s">
        <v>997</v>
      </c>
      <c r="B98" s="1436" t="s">
        <v>2232</v>
      </c>
      <c r="C98" s="1321" t="s">
        <v>2654</v>
      </c>
      <c r="D98" s="1321" t="s">
        <v>1913</v>
      </c>
      <c r="E98" s="1321" t="s">
        <v>2647</v>
      </c>
      <c r="F98" s="631">
        <f>Silicon!L50</f>
        <v>0.34450979503276108</v>
      </c>
      <c r="G98" s="631"/>
      <c r="I98" s="1321" t="s">
        <v>2649</v>
      </c>
      <c r="J98" s="1321" t="s">
        <v>2650</v>
      </c>
    </row>
    <row r="99" spans="1:10">
      <c r="A99" s="1321" t="s">
        <v>997</v>
      </c>
      <c r="B99" s="1436" t="s">
        <v>2232</v>
      </c>
      <c r="C99" s="1321" t="s">
        <v>887</v>
      </c>
      <c r="D99" s="1321" t="s">
        <v>1913</v>
      </c>
      <c r="E99" s="1321" t="s">
        <v>2647</v>
      </c>
      <c r="F99" s="631">
        <f>Silicon!L51</f>
        <v>42.864029631375992</v>
      </c>
      <c r="G99" s="631"/>
      <c r="I99" s="1321" t="s">
        <v>2649</v>
      </c>
      <c r="J99" s="1321" t="s">
        <v>2650</v>
      </c>
    </row>
    <row r="100" spans="1:10">
      <c r="A100" s="1321" t="s">
        <v>997</v>
      </c>
      <c r="B100" s="1436" t="s">
        <v>2232</v>
      </c>
      <c r="C100" s="1321" t="s">
        <v>888</v>
      </c>
      <c r="D100" s="1321" t="s">
        <v>1913</v>
      </c>
      <c r="E100" s="1321" t="s">
        <v>2647</v>
      </c>
      <c r="F100" s="631">
        <f>Silicon!L52</f>
        <v>0.38889700342821087</v>
      </c>
      <c r="G100" s="631"/>
      <c r="I100" s="1321" t="s">
        <v>2649</v>
      </c>
      <c r="J100" s="1321" t="s">
        <v>2650</v>
      </c>
    </row>
    <row r="101" spans="1:10">
      <c r="A101" s="1321" t="s">
        <v>997</v>
      </c>
      <c r="B101" s="1436" t="s">
        <v>2232</v>
      </c>
      <c r="C101" s="1321" t="s">
        <v>889</v>
      </c>
      <c r="D101" s="1321" t="s">
        <v>1913</v>
      </c>
      <c r="E101" s="1321" t="s">
        <v>2647</v>
      </c>
      <c r="F101" s="631">
        <f>Silicon!L53</f>
        <v>18939.684990490605</v>
      </c>
      <c r="G101" s="631"/>
      <c r="I101" s="1321" t="s">
        <v>2649</v>
      </c>
      <c r="J101" s="1321" t="s">
        <v>2650</v>
      </c>
    </row>
    <row r="102" spans="1:10">
      <c r="A102" s="1321" t="s">
        <v>997</v>
      </c>
      <c r="B102" s="1436" t="s">
        <v>2232</v>
      </c>
      <c r="C102" s="1321" t="s">
        <v>2069</v>
      </c>
      <c r="D102" s="1321" t="s">
        <v>1913</v>
      </c>
      <c r="E102" s="1321" t="s">
        <v>2647</v>
      </c>
      <c r="F102" s="631">
        <f>(F91*0.85+F92*12/28)*44/12+F101</f>
        <v>18956.012197954453</v>
      </c>
      <c r="G102" s="631"/>
      <c r="I102" s="1321" t="s">
        <v>2649</v>
      </c>
      <c r="J102" s="1321" t="s">
        <v>2650</v>
      </c>
    </row>
    <row r="103" spans="1:10">
      <c r="A103" s="1321" t="s">
        <v>997</v>
      </c>
      <c r="B103" s="1436" t="s">
        <v>2232</v>
      </c>
      <c r="C103" s="1321" t="s">
        <v>1896</v>
      </c>
      <c r="D103" s="1321" t="s">
        <v>1913</v>
      </c>
      <c r="E103" s="1321" t="s">
        <v>2647</v>
      </c>
      <c r="F103" s="631">
        <f>F102+F99*30+F100*265</f>
        <v>20344.990792804208</v>
      </c>
      <c r="G103" s="631"/>
      <c r="I103" s="1321" t="s">
        <v>2649</v>
      </c>
      <c r="J103" s="1321" t="s">
        <v>2650</v>
      </c>
    </row>
    <row r="104" spans="1:10">
      <c r="A104" s="1321" t="s">
        <v>997</v>
      </c>
      <c r="B104" s="1436" t="s">
        <v>2232</v>
      </c>
      <c r="C104" s="1321" t="s">
        <v>890</v>
      </c>
      <c r="D104" s="1321" t="s">
        <v>1913</v>
      </c>
      <c r="E104" s="1321" t="s">
        <v>2647</v>
      </c>
      <c r="F104" s="631">
        <f>Silicon!L55</f>
        <v>0.13825725112511211</v>
      </c>
      <c r="G104" s="631"/>
      <c r="I104" s="1321" t="s">
        <v>2649</v>
      </c>
      <c r="J104" s="1321" t="s">
        <v>2650</v>
      </c>
    </row>
    <row r="105" spans="1:10">
      <c r="A105" s="1321" t="s">
        <v>997</v>
      </c>
      <c r="B105" s="1436" t="s">
        <v>2232</v>
      </c>
      <c r="C105" s="1321" t="s">
        <v>891</v>
      </c>
      <c r="D105" s="1321" t="s">
        <v>1913</v>
      </c>
      <c r="E105" s="1321" t="s">
        <v>2647</v>
      </c>
      <c r="F105" s="631">
        <f>Silicon!L56</f>
        <v>1.0206942345820844</v>
      </c>
      <c r="G105" s="631"/>
      <c r="I105" s="1321" t="s">
        <v>2649</v>
      </c>
      <c r="J105" s="1321" t="s">
        <v>2650</v>
      </c>
    </row>
    <row r="106" spans="1:10">
      <c r="A106" s="1321" t="s">
        <v>997</v>
      </c>
      <c r="B106" s="1436" t="s">
        <v>2232</v>
      </c>
      <c r="C106" s="1321" t="s">
        <v>892</v>
      </c>
      <c r="D106" s="1321" t="s">
        <v>1913</v>
      </c>
      <c r="E106" s="1321" t="s">
        <v>2647</v>
      </c>
      <c r="F106" s="631">
        <f>Silicon!L57</f>
        <v>3.0485787667188764</v>
      </c>
      <c r="G106" s="631"/>
      <c r="I106" s="1321" t="s">
        <v>2649</v>
      </c>
      <c r="J106" s="1321" t="s">
        <v>2650</v>
      </c>
    </row>
    <row r="107" spans="1:10">
      <c r="A107" s="1321" t="s">
        <v>997</v>
      </c>
      <c r="B107" s="1436" t="s">
        <v>2232</v>
      </c>
      <c r="C107" s="1321" t="s">
        <v>893</v>
      </c>
      <c r="D107" s="1321" t="s">
        <v>1913</v>
      </c>
      <c r="E107" s="1321" t="s">
        <v>2647</v>
      </c>
      <c r="F107" s="631">
        <f>Silicon!L58</f>
        <v>0.40701964307327887</v>
      </c>
      <c r="G107" s="631"/>
      <c r="I107" s="1321" t="s">
        <v>2649</v>
      </c>
      <c r="J107" s="1321" t="s">
        <v>2650</v>
      </c>
    </row>
    <row r="108" spans="1:10">
      <c r="A108" s="1321" t="s">
        <v>997</v>
      </c>
      <c r="B108" s="1436" t="s">
        <v>2232</v>
      </c>
      <c r="C108" s="1321" t="s">
        <v>894</v>
      </c>
      <c r="D108" s="1321" t="s">
        <v>1913</v>
      </c>
      <c r="E108" s="1321" t="s">
        <v>2647</v>
      </c>
      <c r="F108" s="631">
        <f>Silicon!L59</f>
        <v>0.35790460078472186</v>
      </c>
      <c r="G108" s="631"/>
      <c r="I108" s="1321" t="s">
        <v>2649</v>
      </c>
      <c r="J108" s="1321" t="s">
        <v>2650</v>
      </c>
    </row>
    <row r="109" spans="1:10">
      <c r="A109" s="1321" t="s">
        <v>997</v>
      </c>
      <c r="B109" s="1436" t="s">
        <v>2232</v>
      </c>
      <c r="C109" s="1321" t="s">
        <v>895</v>
      </c>
      <c r="D109" s="1321" t="s">
        <v>1913</v>
      </c>
      <c r="E109" s="1321" t="s">
        <v>2647</v>
      </c>
      <c r="F109" s="631">
        <f>Silicon!L60</f>
        <v>3.0290372328190922</v>
      </c>
      <c r="G109" s="631"/>
      <c r="I109" s="1321" t="s">
        <v>2649</v>
      </c>
      <c r="J109" s="1321" t="s">
        <v>2650</v>
      </c>
    </row>
    <row r="110" spans="1:10">
      <c r="A110" s="1321" t="s">
        <v>997</v>
      </c>
      <c r="B110" s="1436" t="s">
        <v>2232</v>
      </c>
      <c r="C110" s="1321" t="s">
        <v>2655</v>
      </c>
      <c r="D110" s="1321" t="s">
        <v>1913</v>
      </c>
      <c r="E110" s="1321" t="s">
        <v>2647</v>
      </c>
      <c r="F110" s="631">
        <f>Silicon!L61</f>
        <v>1.844494309188761E-2</v>
      </c>
      <c r="G110" s="631"/>
      <c r="I110" s="1321" t="s">
        <v>2649</v>
      </c>
      <c r="J110" s="1321" t="s">
        <v>2650</v>
      </c>
    </row>
    <row r="111" spans="1:10">
      <c r="A111" s="1321" t="s">
        <v>997</v>
      </c>
      <c r="B111" s="1436" t="s">
        <v>2232</v>
      </c>
      <c r="C111" s="1321" t="s">
        <v>2656</v>
      </c>
      <c r="D111" s="1321" t="s">
        <v>1913</v>
      </c>
      <c r="E111" s="1321" t="s">
        <v>2647</v>
      </c>
      <c r="F111" s="631">
        <f>Silicon!L62</f>
        <v>0.1023623945723063</v>
      </c>
      <c r="G111" s="631"/>
      <c r="I111" s="1321" t="s">
        <v>2649</v>
      </c>
      <c r="J111" s="1321" t="s">
        <v>2650</v>
      </c>
    </row>
    <row r="112" spans="1:10">
      <c r="A112" s="1321" t="s">
        <v>1001</v>
      </c>
      <c r="B112" s="1436" t="s">
        <v>2232</v>
      </c>
      <c r="C112" s="1321" t="s">
        <v>2646</v>
      </c>
      <c r="D112" s="1321" t="s">
        <v>1911</v>
      </c>
      <c r="E112" s="1321" t="s">
        <v>2647</v>
      </c>
      <c r="F112" s="631">
        <f>GREET1_Import_Export!V556*1000000</f>
        <v>5078645.6533048153</v>
      </c>
      <c r="G112" s="631"/>
      <c r="I112" s="1321" t="s">
        <v>2649</v>
      </c>
      <c r="J112" s="1321" t="s">
        <v>2650</v>
      </c>
    </row>
    <row r="113" spans="1:10">
      <c r="A113" s="1321" t="s">
        <v>1001</v>
      </c>
      <c r="B113" s="1436" t="s">
        <v>2232</v>
      </c>
      <c r="C113" s="1321" t="s">
        <v>2106</v>
      </c>
      <c r="D113" s="1321" t="s">
        <v>1911</v>
      </c>
      <c r="E113" s="1321" t="s">
        <v>2647</v>
      </c>
      <c r="F113" s="631">
        <f>GREET1_Import_Export!V557*1000000</f>
        <v>5071860.2126136767</v>
      </c>
      <c r="G113" s="631"/>
      <c r="I113" s="1321" t="s">
        <v>2649</v>
      </c>
      <c r="J113" s="1321" t="s">
        <v>2650</v>
      </c>
    </row>
    <row r="114" spans="1:10">
      <c r="A114" s="1321" t="s">
        <v>1001</v>
      </c>
      <c r="B114" s="1436" t="s">
        <v>2232</v>
      </c>
      <c r="C114" s="1321" t="s">
        <v>442</v>
      </c>
      <c r="D114" s="1321" t="s">
        <v>1911</v>
      </c>
      <c r="E114" s="1321" t="s">
        <v>2647</v>
      </c>
      <c r="F114" s="631">
        <f>GREET1_Import_Export!V558*1000000</f>
        <v>4238288.2993459087</v>
      </c>
      <c r="G114" s="631"/>
      <c r="I114" s="1321" t="s">
        <v>2649</v>
      </c>
      <c r="J114" s="1321" t="s">
        <v>2650</v>
      </c>
    </row>
    <row r="115" spans="1:10">
      <c r="A115" s="1321" t="s">
        <v>1001</v>
      </c>
      <c r="B115" s="1436" t="s">
        <v>2232</v>
      </c>
      <c r="C115" s="1321" t="s">
        <v>2017</v>
      </c>
      <c r="D115" s="1321" t="s">
        <v>1911</v>
      </c>
      <c r="E115" s="1321" t="s">
        <v>2647</v>
      </c>
      <c r="F115" s="631">
        <f>GREET1_Import_Export!V559*1000000</f>
        <v>78879.504728451051</v>
      </c>
      <c r="G115" s="631"/>
      <c r="I115" s="1321" t="s">
        <v>2649</v>
      </c>
      <c r="J115" s="1321" t="s">
        <v>2650</v>
      </c>
    </row>
    <row r="116" spans="1:10">
      <c r="A116" s="1321" t="s">
        <v>1001</v>
      </c>
      <c r="B116" s="1436" t="s">
        <v>2232</v>
      </c>
      <c r="C116" s="1321" t="s">
        <v>440</v>
      </c>
      <c r="D116" s="1321" t="s">
        <v>1911</v>
      </c>
      <c r="E116" s="1321" t="s">
        <v>2647</v>
      </c>
      <c r="F116" s="631">
        <f>GREET1_Import_Export!V560*1000000</f>
        <v>754692.40853931708</v>
      </c>
      <c r="G116" s="631"/>
      <c r="I116" s="1321" t="s">
        <v>2649</v>
      </c>
      <c r="J116" s="1321" t="s">
        <v>2650</v>
      </c>
    </row>
    <row r="117" spans="1:10">
      <c r="A117" s="1321" t="s">
        <v>1001</v>
      </c>
      <c r="B117" s="1436" t="s">
        <v>2232</v>
      </c>
      <c r="C117" s="1321" t="s">
        <v>2651</v>
      </c>
      <c r="D117" s="1321" t="s">
        <v>2652</v>
      </c>
      <c r="E117" s="1321" t="s">
        <v>2647</v>
      </c>
      <c r="F117" s="631">
        <f>GREET1_Import_Export!V561</f>
        <v>29.580974290163297</v>
      </c>
      <c r="G117" s="631"/>
      <c r="I117" s="1321" t="s">
        <v>2649</v>
      </c>
      <c r="J117" s="1321" t="s">
        <v>2650</v>
      </c>
    </row>
    <row r="118" spans="1:10">
      <c r="A118" s="1321" t="s">
        <v>1001</v>
      </c>
      <c r="B118" s="1436" t="s">
        <v>2232</v>
      </c>
      <c r="C118" s="1321" t="s">
        <v>879</v>
      </c>
      <c r="D118" s="1321" t="s">
        <v>1913</v>
      </c>
      <c r="E118" s="1321" t="s">
        <v>2647</v>
      </c>
      <c r="F118" s="631">
        <f>GREET1_Import_Export!V563</f>
        <v>80.509586842403678</v>
      </c>
      <c r="G118" s="631"/>
      <c r="I118" s="1321" t="s">
        <v>2649</v>
      </c>
      <c r="J118" s="1321" t="s">
        <v>2650</v>
      </c>
    </row>
    <row r="119" spans="1:10">
      <c r="A119" s="1321" t="s">
        <v>1001</v>
      </c>
      <c r="B119" s="1436" t="s">
        <v>2232</v>
      </c>
      <c r="C119" s="1321" t="s">
        <v>880</v>
      </c>
      <c r="D119" s="1321" t="s">
        <v>1913</v>
      </c>
      <c r="E119" s="1321" t="s">
        <v>2647</v>
      </c>
      <c r="F119" s="631">
        <f>GREET1_Import_Export!V564</f>
        <v>497.09762041485817</v>
      </c>
      <c r="G119" s="631"/>
      <c r="I119" s="1321" t="s">
        <v>2649</v>
      </c>
      <c r="J119" s="1321" t="s">
        <v>2650</v>
      </c>
    </row>
    <row r="120" spans="1:10">
      <c r="A120" s="1321" t="s">
        <v>1001</v>
      </c>
      <c r="B120" s="1436" t="s">
        <v>2232</v>
      </c>
      <c r="C120" s="1321" t="s">
        <v>881</v>
      </c>
      <c r="D120" s="1321" t="s">
        <v>1913</v>
      </c>
      <c r="E120" s="1321" t="s">
        <v>2647</v>
      </c>
      <c r="F120" s="631">
        <f>GREET1_Import_Export!V565</f>
        <v>288.19515688712204</v>
      </c>
      <c r="G120" s="631"/>
      <c r="I120" s="1321" t="s">
        <v>2649</v>
      </c>
      <c r="J120" s="1321" t="s">
        <v>2650</v>
      </c>
    </row>
    <row r="121" spans="1:10">
      <c r="A121" s="1321" t="s">
        <v>1001</v>
      </c>
      <c r="B121" s="1436" t="s">
        <v>2232</v>
      </c>
      <c r="C121" s="1321" t="s">
        <v>882</v>
      </c>
      <c r="D121" s="1321" t="s">
        <v>1913</v>
      </c>
      <c r="E121" s="1321" t="s">
        <v>2647</v>
      </c>
      <c r="F121" s="631">
        <f>GREET1_Import_Export!V566</f>
        <v>152.39917049658362</v>
      </c>
      <c r="G121" s="631"/>
      <c r="I121" s="1321" t="s">
        <v>2649</v>
      </c>
      <c r="J121" s="1321" t="s">
        <v>2650</v>
      </c>
    </row>
    <row r="122" spans="1:10">
      <c r="A122" s="1321" t="s">
        <v>1001</v>
      </c>
      <c r="B122" s="1436" t="s">
        <v>2232</v>
      </c>
      <c r="C122" s="1321" t="s">
        <v>883</v>
      </c>
      <c r="D122" s="1321" t="s">
        <v>1913</v>
      </c>
      <c r="E122" s="1321" t="s">
        <v>2647</v>
      </c>
      <c r="F122" s="631">
        <f>GREET1_Import_Export!V567</f>
        <v>96.793658571809999</v>
      </c>
      <c r="G122" s="631"/>
      <c r="I122" s="1321" t="s">
        <v>2649</v>
      </c>
      <c r="J122" s="1321" t="s">
        <v>2650</v>
      </c>
    </row>
    <row r="123" spans="1:10">
      <c r="A123" s="1321" t="s">
        <v>1001</v>
      </c>
      <c r="B123" s="1436" t="s">
        <v>2232</v>
      </c>
      <c r="C123" s="1321" t="s">
        <v>884</v>
      </c>
      <c r="D123" s="1321" t="s">
        <v>1913</v>
      </c>
      <c r="E123" s="1321" t="s">
        <v>2647</v>
      </c>
      <c r="F123" s="631">
        <f>GREET1_Import_Export!V568</f>
        <v>163.79241128538894</v>
      </c>
      <c r="G123" s="631"/>
      <c r="I123" s="1321" t="s">
        <v>2649</v>
      </c>
      <c r="J123" s="1321" t="s">
        <v>2650</v>
      </c>
    </row>
    <row r="124" spans="1:10">
      <c r="A124" s="1321" t="s">
        <v>1001</v>
      </c>
      <c r="B124" s="1436" t="s">
        <v>2232</v>
      </c>
      <c r="C124" s="1321" t="s">
        <v>2653</v>
      </c>
      <c r="D124" s="1321" t="s">
        <v>1913</v>
      </c>
      <c r="E124" s="1321" t="s">
        <v>2647</v>
      </c>
      <c r="F124" s="631">
        <f>GREET1_Import_Export!V569</f>
        <v>4.3103230696784021</v>
      </c>
      <c r="G124" s="631"/>
      <c r="I124" s="1321" t="s">
        <v>2649</v>
      </c>
      <c r="J124" s="1321" t="s">
        <v>2650</v>
      </c>
    </row>
    <row r="125" spans="1:10">
      <c r="A125" s="1321" t="s">
        <v>1001</v>
      </c>
      <c r="B125" s="1436" t="s">
        <v>2232</v>
      </c>
      <c r="C125" s="1321" t="s">
        <v>2654</v>
      </c>
      <c r="D125" s="1321" t="s">
        <v>1913</v>
      </c>
      <c r="E125" s="1321" t="s">
        <v>2647</v>
      </c>
      <c r="F125" s="631">
        <f>GREET1_Import_Export!V570</f>
        <v>7.7314313035790949</v>
      </c>
      <c r="G125" s="631"/>
      <c r="I125" s="1321" t="s">
        <v>2649</v>
      </c>
      <c r="J125" s="1321" t="s">
        <v>2650</v>
      </c>
    </row>
    <row r="126" spans="1:10">
      <c r="A126" s="1321" t="s">
        <v>1001</v>
      </c>
      <c r="B126" s="1436" t="s">
        <v>2232</v>
      </c>
      <c r="C126" s="1321" t="s">
        <v>887</v>
      </c>
      <c r="D126" s="1321" t="s">
        <v>1913</v>
      </c>
      <c r="E126" s="1321" t="s">
        <v>2647</v>
      </c>
      <c r="F126" s="631">
        <f>GREET1_Import_Export!V571</f>
        <v>695.20529768723293</v>
      </c>
      <c r="G126" s="631"/>
      <c r="I126" s="1321" t="s">
        <v>2649</v>
      </c>
      <c r="J126" s="1321" t="s">
        <v>2650</v>
      </c>
    </row>
    <row r="127" spans="1:10">
      <c r="A127" s="1321" t="s">
        <v>1001</v>
      </c>
      <c r="B127" s="1436" t="s">
        <v>2232</v>
      </c>
      <c r="C127" s="1321" t="s">
        <v>888</v>
      </c>
      <c r="D127" s="1321" t="s">
        <v>1913</v>
      </c>
      <c r="E127" s="1321" t="s">
        <v>2647</v>
      </c>
      <c r="F127" s="631">
        <f>GREET1_Import_Export!V572</f>
        <v>0.98921680655236355</v>
      </c>
      <c r="G127" s="631"/>
      <c r="I127" s="1321" t="s">
        <v>2649</v>
      </c>
      <c r="J127" s="1321" t="s">
        <v>2650</v>
      </c>
    </row>
    <row r="128" spans="1:10">
      <c r="A128" s="1321" t="s">
        <v>1001</v>
      </c>
      <c r="B128" s="1436" t="s">
        <v>2232</v>
      </c>
      <c r="C128" s="1321" t="s">
        <v>889</v>
      </c>
      <c r="D128" s="1321" t="s">
        <v>1913</v>
      </c>
      <c r="E128" s="1321" t="s">
        <v>2647</v>
      </c>
      <c r="F128" s="631">
        <f>GREET1_Import_Export!V573</f>
        <v>617790.99194299034</v>
      </c>
      <c r="G128" s="631"/>
      <c r="I128" s="1321" t="s">
        <v>2649</v>
      </c>
      <c r="J128" s="1321" t="s">
        <v>2650</v>
      </c>
    </row>
    <row r="129" spans="1:10">
      <c r="A129" s="1321" t="s">
        <v>1001</v>
      </c>
      <c r="B129" s="1436" t="s">
        <v>2232</v>
      </c>
      <c r="C129" s="1321" t="s">
        <v>2069</v>
      </c>
      <c r="D129" s="1321" t="s">
        <v>1913</v>
      </c>
      <c r="E129" s="1321" t="s">
        <v>2647</v>
      </c>
      <c r="F129" s="631">
        <f>GREET1_Import_Export!V574</f>
        <v>618823.06689215824</v>
      </c>
      <c r="G129" s="631"/>
      <c r="I129" s="1321" t="s">
        <v>2649</v>
      </c>
      <c r="J129" s="1321" t="s">
        <v>2650</v>
      </c>
    </row>
    <row r="130" spans="1:10">
      <c r="A130" s="1321" t="s">
        <v>1001</v>
      </c>
      <c r="B130" s="1436" t="s">
        <v>2232</v>
      </c>
      <c r="C130" s="1321" t="s">
        <v>1896</v>
      </c>
      <c r="D130" s="1321" t="s">
        <v>1913</v>
      </c>
      <c r="E130" s="1321" t="s">
        <v>2647</v>
      </c>
      <c r="F130" s="631">
        <f>GREET1_Import_Export!V575</f>
        <v>639941.36827651155</v>
      </c>
      <c r="G130" s="631"/>
      <c r="I130" s="1321" t="s">
        <v>2649</v>
      </c>
      <c r="J130" s="1321" t="s">
        <v>2650</v>
      </c>
    </row>
    <row r="131" spans="1:10">
      <c r="A131" s="1321" t="s">
        <v>1001</v>
      </c>
      <c r="B131" s="1436" t="s">
        <v>2232</v>
      </c>
      <c r="C131" s="1321" t="s">
        <v>890</v>
      </c>
      <c r="D131" s="1321" t="s">
        <v>1913</v>
      </c>
      <c r="E131" s="1321" t="s">
        <v>2647</v>
      </c>
      <c r="F131" s="631">
        <f>GREET1_Import_Export!V577</f>
        <v>1.8055091529561156</v>
      </c>
      <c r="G131" s="631"/>
      <c r="I131" s="1321" t="s">
        <v>2649</v>
      </c>
      <c r="J131" s="1321" t="s">
        <v>2650</v>
      </c>
    </row>
    <row r="132" spans="1:10">
      <c r="A132" s="1321" t="s">
        <v>1001</v>
      </c>
      <c r="B132" s="1436" t="s">
        <v>2232</v>
      </c>
      <c r="C132" s="1321" t="s">
        <v>891</v>
      </c>
      <c r="D132" s="1321" t="s">
        <v>1913</v>
      </c>
      <c r="E132" s="1321" t="s">
        <v>2647</v>
      </c>
      <c r="F132" s="631">
        <f>GREET1_Import_Export!V578</f>
        <v>1.3018767606819317</v>
      </c>
      <c r="G132" s="631"/>
      <c r="I132" s="1321" t="s">
        <v>2649</v>
      </c>
      <c r="J132" s="1321" t="s">
        <v>2650</v>
      </c>
    </row>
    <row r="133" spans="1:10">
      <c r="A133" s="1321" t="s">
        <v>1001</v>
      </c>
      <c r="B133" s="1436" t="s">
        <v>2232</v>
      </c>
      <c r="C133" s="1321" t="s">
        <v>892</v>
      </c>
      <c r="D133" s="1321" t="s">
        <v>1913</v>
      </c>
      <c r="E133" s="1321" t="s">
        <v>2647</v>
      </c>
      <c r="F133" s="631">
        <f>GREET1_Import_Export!V579</f>
        <v>3.112696215505999</v>
      </c>
      <c r="G133" s="631"/>
      <c r="I133" s="1321" t="s">
        <v>2649</v>
      </c>
      <c r="J133" s="1321" t="s">
        <v>2650</v>
      </c>
    </row>
    <row r="134" spans="1:10">
      <c r="A134" s="1321" t="s">
        <v>1001</v>
      </c>
      <c r="B134" s="1436" t="s">
        <v>2232</v>
      </c>
      <c r="C134" s="1321" t="s">
        <v>893</v>
      </c>
      <c r="D134" s="1321" t="s">
        <v>1913</v>
      </c>
      <c r="E134" s="1321" t="s">
        <v>2647</v>
      </c>
      <c r="F134" s="631">
        <f>GREET1_Import_Export!V580</f>
        <v>0.36164632018421883</v>
      </c>
      <c r="G134" s="631"/>
      <c r="I134" s="1321" t="s">
        <v>2649</v>
      </c>
      <c r="J134" s="1321" t="s">
        <v>2650</v>
      </c>
    </row>
    <row r="135" spans="1:10">
      <c r="A135" s="1321" t="s">
        <v>1001</v>
      </c>
      <c r="B135" s="1436" t="s">
        <v>2232</v>
      </c>
      <c r="C135" s="1321" t="s">
        <v>894</v>
      </c>
      <c r="D135" s="1321" t="s">
        <v>1913</v>
      </c>
      <c r="E135" s="1321" t="s">
        <v>2647</v>
      </c>
      <c r="F135" s="631">
        <f>GREET1_Import_Export!V581</f>
        <v>0.31726915113256571</v>
      </c>
      <c r="G135" s="631"/>
      <c r="I135" s="1321" t="s">
        <v>2649</v>
      </c>
      <c r="J135" s="1321" t="s">
        <v>2650</v>
      </c>
    </row>
    <row r="136" spans="1:10">
      <c r="A136" s="1321" t="s">
        <v>1001</v>
      </c>
      <c r="B136" s="1436" t="s">
        <v>2232</v>
      </c>
      <c r="C136" s="1321" t="s">
        <v>895</v>
      </c>
      <c r="D136" s="1321" t="s">
        <v>1913</v>
      </c>
      <c r="E136" s="1321" t="s">
        <v>2647</v>
      </c>
      <c r="F136" s="631">
        <f>GREET1_Import_Export!V582</f>
        <v>0.81705586183993817</v>
      </c>
      <c r="G136" s="631"/>
      <c r="I136" s="1321" t="s">
        <v>2649</v>
      </c>
      <c r="J136" s="1321" t="s">
        <v>2650</v>
      </c>
    </row>
    <row r="137" spans="1:10">
      <c r="A137" s="1321" t="s">
        <v>1001</v>
      </c>
      <c r="B137" s="1436" t="s">
        <v>2232</v>
      </c>
      <c r="C137" s="1321" t="s">
        <v>2655</v>
      </c>
      <c r="D137" s="1321" t="s">
        <v>1913</v>
      </c>
      <c r="E137" s="1321" t="s">
        <v>2647</v>
      </c>
      <c r="F137" s="631">
        <f>GREET1_Import_Export!V583</f>
        <v>3.5430452542964348E-2</v>
      </c>
      <c r="G137" s="631"/>
      <c r="I137" s="1321" t="s">
        <v>2649</v>
      </c>
      <c r="J137" s="1321" t="s">
        <v>2650</v>
      </c>
    </row>
    <row r="138" spans="1:10">
      <c r="A138" s="1321" t="s">
        <v>1001</v>
      </c>
      <c r="B138" s="1436" t="s">
        <v>2232</v>
      </c>
      <c r="C138" s="1321" t="s">
        <v>2656</v>
      </c>
      <c r="D138" s="1321" t="s">
        <v>1913</v>
      </c>
      <c r="E138" s="1321" t="s">
        <v>2647</v>
      </c>
      <c r="F138" s="631">
        <f>GREET1_Import_Export!V584</f>
        <v>6.9689547332884086E-2</v>
      </c>
      <c r="G138" s="631"/>
      <c r="I138" s="1321" t="s">
        <v>2649</v>
      </c>
      <c r="J138" s="1321" t="s">
        <v>2650</v>
      </c>
    </row>
    <row r="139" spans="1:10">
      <c r="A139" s="1321" t="s">
        <v>2660</v>
      </c>
      <c r="B139" s="1436" t="s">
        <v>2232</v>
      </c>
      <c r="C139" s="1321" t="s">
        <v>2646</v>
      </c>
      <c r="D139" s="1321" t="s">
        <v>1911</v>
      </c>
      <c r="E139" s="1321" t="s">
        <v>2647</v>
      </c>
      <c r="F139" s="631">
        <f ca="1">Silicon!F72*1000000</f>
        <v>131095174.90344015</v>
      </c>
      <c r="G139" s="631"/>
      <c r="I139" s="1321" t="s">
        <v>2649</v>
      </c>
      <c r="J139" s="1321" t="s">
        <v>2650</v>
      </c>
    </row>
    <row r="140" spans="1:10">
      <c r="A140" s="1321" t="s">
        <v>2660</v>
      </c>
      <c r="B140" s="1436" t="s">
        <v>2232</v>
      </c>
      <c r="C140" s="1321" t="s">
        <v>2106</v>
      </c>
      <c r="D140" s="1321" t="s">
        <v>1911</v>
      </c>
      <c r="E140" s="1321" t="s">
        <v>2647</v>
      </c>
      <c r="F140" s="631">
        <f ca="1">Silicon!F73*1000000</f>
        <v>94290575.298661754</v>
      </c>
      <c r="G140" s="631"/>
      <c r="I140" s="1321" t="s">
        <v>2649</v>
      </c>
      <c r="J140" s="1321" t="s">
        <v>2650</v>
      </c>
    </row>
    <row r="141" spans="1:10">
      <c r="A141" s="1321" t="s">
        <v>2660</v>
      </c>
      <c r="B141" s="1436" t="s">
        <v>2232</v>
      </c>
      <c r="C141" s="1321" t="s">
        <v>442</v>
      </c>
      <c r="D141" s="1321" t="s">
        <v>1911</v>
      </c>
      <c r="E141" s="1321" t="s">
        <v>2647</v>
      </c>
      <c r="F141" s="631">
        <f ca="1">Silicon!F74*1000000</f>
        <v>39131314.867206536</v>
      </c>
      <c r="G141" s="631"/>
      <c r="I141" s="1321" t="s">
        <v>2649</v>
      </c>
      <c r="J141" s="1321" t="s">
        <v>2650</v>
      </c>
    </row>
    <row r="142" spans="1:10">
      <c r="A142" s="1321" t="s">
        <v>2660</v>
      </c>
      <c r="B142" s="1436" t="s">
        <v>2232</v>
      </c>
      <c r="C142" s="1321" t="s">
        <v>2017</v>
      </c>
      <c r="D142" s="1321" t="s">
        <v>1911</v>
      </c>
      <c r="E142" s="1321" t="s">
        <v>2647</v>
      </c>
      <c r="F142" s="631">
        <f ca="1">Silicon!F75*1000000</f>
        <v>37413075.901871048</v>
      </c>
      <c r="G142" s="631"/>
      <c r="I142" s="1321" t="s">
        <v>2649</v>
      </c>
      <c r="J142" s="1321" t="s">
        <v>2650</v>
      </c>
    </row>
    <row r="143" spans="1:10">
      <c r="A143" s="1321" t="s">
        <v>2660</v>
      </c>
      <c r="B143" s="1436" t="s">
        <v>2232</v>
      </c>
      <c r="C143" s="1321" t="s">
        <v>440</v>
      </c>
      <c r="D143" s="1321" t="s">
        <v>1911</v>
      </c>
      <c r="E143" s="1321" t="s">
        <v>2647</v>
      </c>
      <c r="F143" s="631">
        <f ca="1">Silicon!F76*1000000</f>
        <v>17746184.529584169</v>
      </c>
      <c r="G143" s="631"/>
      <c r="I143" s="1321" t="s">
        <v>2649</v>
      </c>
      <c r="J143" s="1321" t="s">
        <v>2650</v>
      </c>
    </row>
    <row r="144" spans="1:10">
      <c r="A144" s="1321" t="s">
        <v>2660</v>
      </c>
      <c r="B144" s="1436" t="s">
        <v>2232</v>
      </c>
      <c r="C144" s="1321" t="s">
        <v>2651</v>
      </c>
      <c r="D144" s="1321" t="s">
        <v>2652</v>
      </c>
      <c r="E144" s="1321" t="s">
        <v>2647</v>
      </c>
      <c r="F144" s="631">
        <f ca="1">Silicon!F77</f>
        <v>4411.6761218208585</v>
      </c>
      <c r="G144" s="631"/>
      <c r="I144" s="1321" t="s">
        <v>2649</v>
      </c>
      <c r="J144" s="1321" t="s">
        <v>2650</v>
      </c>
    </row>
    <row r="145" spans="1:10">
      <c r="A145" s="1321" t="s">
        <v>2660</v>
      </c>
      <c r="B145" s="1436" t="s">
        <v>2232</v>
      </c>
      <c r="C145" s="1321" t="s">
        <v>879</v>
      </c>
      <c r="D145" s="1321" t="s">
        <v>1913</v>
      </c>
      <c r="E145" s="1321" t="s">
        <v>2647</v>
      </c>
      <c r="F145" s="631">
        <f ca="1">Silicon!F79</f>
        <v>835.64216204424497</v>
      </c>
      <c r="G145" s="631"/>
      <c r="I145" s="1321" t="s">
        <v>2649</v>
      </c>
      <c r="J145" s="1321" t="s">
        <v>2650</v>
      </c>
    </row>
    <row r="146" spans="1:10">
      <c r="A146" s="1321" t="s">
        <v>2660</v>
      </c>
      <c r="B146" s="1436" t="s">
        <v>2232</v>
      </c>
      <c r="C146" s="1321" t="s">
        <v>880</v>
      </c>
      <c r="D146" s="1321" t="s">
        <v>1913</v>
      </c>
      <c r="E146" s="1321" t="s">
        <v>2647</v>
      </c>
      <c r="F146" s="631">
        <f ca="1">Silicon!F80</f>
        <v>2989.8409097412227</v>
      </c>
      <c r="G146" s="631"/>
      <c r="I146" s="1321" t="s">
        <v>2649</v>
      </c>
      <c r="J146" s="1321" t="s">
        <v>2650</v>
      </c>
    </row>
    <row r="147" spans="1:10">
      <c r="A147" s="1321" t="s">
        <v>2660</v>
      </c>
      <c r="B147" s="1436" t="s">
        <v>2232</v>
      </c>
      <c r="C147" s="1321" t="s">
        <v>881</v>
      </c>
      <c r="D147" s="1321" t="s">
        <v>1913</v>
      </c>
      <c r="E147" s="1321" t="s">
        <v>2647</v>
      </c>
      <c r="F147" s="631">
        <f ca="1">Silicon!F81</f>
        <v>9585.3052824899423</v>
      </c>
      <c r="G147" s="631"/>
      <c r="I147" s="1321" t="s">
        <v>2649</v>
      </c>
      <c r="J147" s="1321" t="s">
        <v>2650</v>
      </c>
    </row>
    <row r="148" spans="1:10">
      <c r="A148" s="1321" t="s">
        <v>2660</v>
      </c>
      <c r="B148" s="1436" t="s">
        <v>2232</v>
      </c>
      <c r="C148" s="1321" t="s">
        <v>882</v>
      </c>
      <c r="D148" s="1321" t="s">
        <v>1913</v>
      </c>
      <c r="E148" s="1321" t="s">
        <v>2647</v>
      </c>
      <c r="F148" s="631">
        <f ca="1">Silicon!F82</f>
        <v>1266.9273407520423</v>
      </c>
      <c r="G148" s="631"/>
      <c r="I148" s="1321" t="s">
        <v>2649</v>
      </c>
      <c r="J148" s="1321" t="s">
        <v>2650</v>
      </c>
    </row>
    <row r="149" spans="1:10">
      <c r="A149" s="1321" t="s">
        <v>2660</v>
      </c>
      <c r="B149" s="1436" t="s">
        <v>2232</v>
      </c>
      <c r="C149" s="1321" t="s">
        <v>883</v>
      </c>
      <c r="D149" s="1321" t="s">
        <v>1913</v>
      </c>
      <c r="E149" s="1321" t="s">
        <v>2647</v>
      </c>
      <c r="F149" s="631">
        <f ca="1">Silicon!F83</f>
        <v>704.07760010436425</v>
      </c>
      <c r="G149" s="631"/>
      <c r="I149" s="1321" t="s">
        <v>2649</v>
      </c>
      <c r="J149" s="1321" t="s">
        <v>2650</v>
      </c>
    </row>
    <row r="150" spans="1:10">
      <c r="A150" s="1321" t="s">
        <v>2660</v>
      </c>
      <c r="B150" s="1436" t="s">
        <v>2232</v>
      </c>
      <c r="C150" s="1321" t="s">
        <v>884</v>
      </c>
      <c r="D150" s="1321" t="s">
        <v>1913</v>
      </c>
      <c r="E150" s="1321" t="s">
        <v>2647</v>
      </c>
      <c r="F150" s="631">
        <f ca="1">Silicon!F84</f>
        <v>16532.957374960046</v>
      </c>
      <c r="G150" s="631"/>
      <c r="I150" s="1321" t="s">
        <v>2649</v>
      </c>
      <c r="J150" s="1321" t="s">
        <v>2650</v>
      </c>
    </row>
    <row r="151" spans="1:10">
      <c r="A151" s="1321" t="s">
        <v>2660</v>
      </c>
      <c r="B151" s="1436" t="s">
        <v>2232</v>
      </c>
      <c r="C151" s="1321" t="s">
        <v>2653</v>
      </c>
      <c r="D151" s="1321" t="s">
        <v>1913</v>
      </c>
      <c r="E151" s="1321" t="s">
        <v>2647</v>
      </c>
      <c r="F151" s="631">
        <f ca="1">Silicon!F85</f>
        <v>47.874585822870749</v>
      </c>
      <c r="G151" s="631"/>
      <c r="I151" s="1321" t="s">
        <v>2649</v>
      </c>
      <c r="J151" s="1321" t="s">
        <v>2650</v>
      </c>
    </row>
    <row r="152" spans="1:10">
      <c r="A152" s="1321" t="s">
        <v>2660</v>
      </c>
      <c r="B152" s="1436" t="s">
        <v>2232</v>
      </c>
      <c r="C152" s="1321" t="s">
        <v>2654</v>
      </c>
      <c r="D152" s="1321" t="s">
        <v>1913</v>
      </c>
      <c r="E152" s="1321" t="s">
        <v>2647</v>
      </c>
      <c r="F152" s="631">
        <f ca="1">Silicon!F86</f>
        <v>104.60120384200921</v>
      </c>
      <c r="G152" s="631"/>
      <c r="I152" s="1321" t="s">
        <v>2649</v>
      </c>
      <c r="J152" s="1321" t="s">
        <v>2650</v>
      </c>
    </row>
    <row r="153" spans="1:10">
      <c r="A153" s="1321" t="s">
        <v>2660</v>
      </c>
      <c r="B153" s="1436" t="s">
        <v>2232</v>
      </c>
      <c r="C153" s="1321" t="s">
        <v>887</v>
      </c>
      <c r="D153" s="1321" t="s">
        <v>1913</v>
      </c>
      <c r="E153" s="1321" t="s">
        <v>2647</v>
      </c>
      <c r="F153" s="631">
        <f ca="1">Silicon!F87</f>
        <v>14164.750731114102</v>
      </c>
      <c r="G153" s="631"/>
      <c r="I153" s="1321" t="s">
        <v>2649</v>
      </c>
      <c r="J153" s="1321" t="s">
        <v>2650</v>
      </c>
    </row>
    <row r="154" spans="1:10">
      <c r="A154" s="1321" t="s">
        <v>2660</v>
      </c>
      <c r="B154" s="1436" t="s">
        <v>2232</v>
      </c>
      <c r="C154" s="1321" t="s">
        <v>888</v>
      </c>
      <c r="D154" s="1321" t="s">
        <v>1913</v>
      </c>
      <c r="E154" s="1321" t="s">
        <v>2647</v>
      </c>
      <c r="F154" s="631">
        <f ca="1">Silicon!F88</f>
        <v>290.06434593055337</v>
      </c>
      <c r="G154" s="631"/>
      <c r="I154" s="1321" t="s">
        <v>2649</v>
      </c>
      <c r="J154" s="1321" t="s">
        <v>2650</v>
      </c>
    </row>
    <row r="155" spans="1:10">
      <c r="A155" s="1321" t="s">
        <v>2660</v>
      </c>
      <c r="B155" s="1436" t="s">
        <v>2232</v>
      </c>
      <c r="C155" s="1321" t="s">
        <v>889</v>
      </c>
      <c r="D155" s="1321" t="s">
        <v>1913</v>
      </c>
      <c r="E155" s="1321" t="s">
        <v>2647</v>
      </c>
      <c r="F155" s="631">
        <f ca="1">Silicon!F89</f>
        <v>7666065.0068557458</v>
      </c>
      <c r="G155" s="631"/>
      <c r="I155" s="1321" t="s">
        <v>2649</v>
      </c>
      <c r="J155" s="1321" t="s">
        <v>2650</v>
      </c>
    </row>
    <row r="156" spans="1:10">
      <c r="A156" s="1321" t="s">
        <v>2660</v>
      </c>
      <c r="B156" s="1436" t="s">
        <v>2232</v>
      </c>
      <c r="C156" s="1321" t="s">
        <v>2069</v>
      </c>
      <c r="D156" s="1321" t="s">
        <v>1913</v>
      </c>
      <c r="E156" s="1321" t="s">
        <v>2647</v>
      </c>
      <c r="F156" s="631">
        <f ca="1">Silicon!F90</f>
        <v>7673367.7463570442</v>
      </c>
      <c r="G156" s="631"/>
      <c r="I156" s="1321" t="s">
        <v>2649</v>
      </c>
      <c r="J156" s="1321" t="s">
        <v>2650</v>
      </c>
    </row>
    <row r="157" spans="1:10">
      <c r="A157" s="1321" t="s">
        <v>2660</v>
      </c>
      <c r="B157" s="1436" t="s">
        <v>2232</v>
      </c>
      <c r="C157" s="1321" t="s">
        <v>1896</v>
      </c>
      <c r="D157" s="1321" t="s">
        <v>1913</v>
      </c>
      <c r="E157" s="1321" t="s">
        <v>2647</v>
      </c>
      <c r="F157" s="631">
        <f ca="1">Silicon!F91</f>
        <v>8175177.3199620638</v>
      </c>
      <c r="G157" s="631"/>
      <c r="I157" s="1321" t="s">
        <v>2649</v>
      </c>
      <c r="J157" s="1321" t="s">
        <v>2650</v>
      </c>
    </row>
    <row r="158" spans="1:10">
      <c r="A158" s="1321" t="s">
        <v>2660</v>
      </c>
      <c r="B158" s="1436" t="s">
        <v>2232</v>
      </c>
      <c r="C158" s="1321" t="s">
        <v>890</v>
      </c>
      <c r="D158" s="1321" t="s">
        <v>1913</v>
      </c>
      <c r="E158" s="1321" t="s">
        <v>2647</v>
      </c>
      <c r="F158" s="631">
        <f ca="1">Silicon!F93</f>
        <v>69.252635300760346</v>
      </c>
      <c r="G158" s="631"/>
      <c r="I158" s="1321" t="s">
        <v>2649</v>
      </c>
      <c r="J158" s="1321" t="s">
        <v>2650</v>
      </c>
    </row>
    <row r="159" spans="1:10">
      <c r="A159" s="1321" t="s">
        <v>2660</v>
      </c>
      <c r="B159" s="1436" t="s">
        <v>2232</v>
      </c>
      <c r="C159" s="1321" t="s">
        <v>891</v>
      </c>
      <c r="D159" s="1321" t="s">
        <v>1913</v>
      </c>
      <c r="E159" s="1321" t="s">
        <v>2647</v>
      </c>
      <c r="F159" s="631">
        <f ca="1">Silicon!F94</f>
        <v>265.43944877567452</v>
      </c>
      <c r="G159" s="631"/>
      <c r="I159" s="1321" t="s">
        <v>2649</v>
      </c>
      <c r="J159" s="1321" t="s">
        <v>2650</v>
      </c>
    </row>
    <row r="160" spans="1:10">
      <c r="A160" s="1321" t="s">
        <v>2660</v>
      </c>
      <c r="B160" s="1436" t="s">
        <v>2232</v>
      </c>
      <c r="C160" s="1321" t="s">
        <v>892</v>
      </c>
      <c r="D160" s="1321" t="s">
        <v>1913</v>
      </c>
      <c r="E160" s="1321" t="s">
        <v>2647</v>
      </c>
      <c r="F160" s="631">
        <f ca="1">Silicon!F95</f>
        <v>770.27080592438585</v>
      </c>
      <c r="G160" s="631"/>
      <c r="I160" s="1321" t="s">
        <v>2649</v>
      </c>
      <c r="J160" s="1321" t="s">
        <v>2650</v>
      </c>
    </row>
    <row r="161" spans="1:10">
      <c r="A161" s="1321" t="s">
        <v>2660</v>
      </c>
      <c r="B161" s="1436" t="s">
        <v>2232</v>
      </c>
      <c r="C161" s="1321" t="s">
        <v>893</v>
      </c>
      <c r="D161" s="1321" t="s">
        <v>1913</v>
      </c>
      <c r="E161" s="1321" t="s">
        <v>2647</v>
      </c>
      <c r="F161" s="631">
        <f ca="1">Silicon!F96</f>
        <v>105.31437266837763</v>
      </c>
      <c r="G161" s="631"/>
      <c r="I161" s="1321" t="s">
        <v>2649</v>
      </c>
      <c r="J161" s="1321" t="s">
        <v>2650</v>
      </c>
    </row>
    <row r="162" spans="1:10">
      <c r="A162" s="1321" t="s">
        <v>2660</v>
      </c>
      <c r="B162" s="1436" t="s">
        <v>2232</v>
      </c>
      <c r="C162" s="1321" t="s">
        <v>894</v>
      </c>
      <c r="D162" s="1321" t="s">
        <v>1913</v>
      </c>
      <c r="E162" s="1321" t="s">
        <v>2647</v>
      </c>
      <c r="F162" s="631">
        <f ca="1">Silicon!F97</f>
        <v>90.783300285083072</v>
      </c>
      <c r="G162" s="631"/>
      <c r="I162" s="1321" t="s">
        <v>2649</v>
      </c>
      <c r="J162" s="1321" t="s">
        <v>2650</v>
      </c>
    </row>
    <row r="163" spans="1:10">
      <c r="A163" s="1321" t="s">
        <v>2660</v>
      </c>
      <c r="B163" s="1436" t="s">
        <v>2232</v>
      </c>
      <c r="C163" s="1321" t="s">
        <v>895</v>
      </c>
      <c r="D163" s="1321" t="s">
        <v>1913</v>
      </c>
      <c r="E163" s="1321" t="s">
        <v>2647</v>
      </c>
      <c r="F163" s="631">
        <f ca="1">Silicon!F98</f>
        <v>1489.0918224898942</v>
      </c>
      <c r="G163" s="631"/>
      <c r="I163" s="1321" t="s">
        <v>2649</v>
      </c>
      <c r="J163" s="1321" t="s">
        <v>2650</v>
      </c>
    </row>
    <row r="164" spans="1:10">
      <c r="A164" s="1321" t="s">
        <v>2660</v>
      </c>
      <c r="B164" s="1436" t="s">
        <v>2232</v>
      </c>
      <c r="C164" s="1321" t="s">
        <v>2655</v>
      </c>
      <c r="D164" s="1321" t="s">
        <v>1913</v>
      </c>
      <c r="E164" s="1321" t="s">
        <v>2647</v>
      </c>
      <c r="F164" s="631">
        <f ca="1">Silicon!F99</f>
        <v>6.113916529590588</v>
      </c>
      <c r="G164" s="631"/>
      <c r="I164" s="1321" t="s">
        <v>2649</v>
      </c>
      <c r="J164" s="1321" t="s">
        <v>2650</v>
      </c>
    </row>
    <row r="165" spans="1:10">
      <c r="A165" s="1321" t="s">
        <v>2660</v>
      </c>
      <c r="B165" s="1436" t="s">
        <v>2232</v>
      </c>
      <c r="C165" s="1321" t="s">
        <v>2656</v>
      </c>
      <c r="D165" s="1321" t="s">
        <v>1913</v>
      </c>
      <c r="E165" s="1321" t="s">
        <v>2647</v>
      </c>
      <c r="F165" s="631">
        <f ca="1">Silicon!F100</f>
        <v>26.934471600618181</v>
      </c>
      <c r="G165" s="631"/>
      <c r="I165" s="1321" t="s">
        <v>2649</v>
      </c>
      <c r="J165" s="1321" t="s">
        <v>2650</v>
      </c>
    </row>
  </sheetData>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9">
    <tabColor theme="9" tint="0.59999389629810485"/>
  </sheetPr>
  <dimension ref="A1:V202"/>
  <sheetViews>
    <sheetView showGridLines="0" zoomScale="85" zoomScaleNormal="85" workbookViewId="0"/>
  </sheetViews>
  <sheetFormatPr defaultColWidth="9.140625" defaultRowHeight="12.75"/>
  <cols>
    <col min="1" max="1" width="1.7109375" style="1321" customWidth="1"/>
    <col min="2" max="2" width="49" style="1321" customWidth="1"/>
    <col min="3" max="3" width="25.140625" style="1321" customWidth="1"/>
    <col min="4" max="4" width="21" style="1321" customWidth="1"/>
    <col min="5" max="5" width="14.140625" style="1321" customWidth="1"/>
    <col min="6" max="6" width="24.28515625" style="1321" customWidth="1"/>
    <col min="7" max="7" width="20.7109375" style="1321" customWidth="1"/>
    <col min="8" max="8" width="21.140625" style="1321" customWidth="1"/>
    <col min="9" max="9" width="23.42578125" style="1321" customWidth="1"/>
    <col min="10" max="10" width="15" style="1321" customWidth="1"/>
    <col min="11" max="11" width="18.7109375" style="1321" customWidth="1"/>
    <col min="12" max="12" width="18.42578125" style="1321" customWidth="1"/>
    <col min="13" max="13" width="18.140625" style="1321" customWidth="1"/>
    <col min="14" max="14" width="19.140625" style="1321" customWidth="1"/>
    <col min="15" max="15" width="18.28515625" style="1321" customWidth="1"/>
    <col min="16" max="16" width="16.5703125" style="1321" customWidth="1"/>
    <col min="17" max="17" width="16" style="1321" customWidth="1"/>
    <col min="18" max="18" width="18.85546875" style="1321" customWidth="1"/>
    <col min="19" max="19" width="20.5703125" style="1321" customWidth="1"/>
    <col min="20" max="20" width="16.7109375" style="1321" customWidth="1"/>
    <col min="21" max="21" width="14.28515625" style="1321" customWidth="1"/>
    <col min="22" max="22" width="14.42578125" style="1321" customWidth="1"/>
    <col min="23" max="16384" width="9.140625" style="1321"/>
  </cols>
  <sheetData>
    <row r="1" spans="1:12" ht="15.75">
      <c r="A1" s="81" t="s">
        <v>2332</v>
      </c>
    </row>
    <row r="2" spans="1:12" ht="15">
      <c r="A2" s="120" t="s">
        <v>2333</v>
      </c>
    </row>
    <row r="3" spans="1:12">
      <c r="B3" s="1610">
        <v>3</v>
      </c>
      <c r="C3" s="1321" t="s">
        <v>2334</v>
      </c>
    </row>
    <row r="4" spans="1:12">
      <c r="C4" s="1321" t="s">
        <v>2335</v>
      </c>
    </row>
    <row r="5" spans="1:12">
      <c r="C5" s="1321" t="s">
        <v>2336</v>
      </c>
    </row>
    <row r="7" spans="1:12" ht="15">
      <c r="A7" s="120" t="s">
        <v>2337</v>
      </c>
    </row>
    <row r="8" spans="1:12">
      <c r="C8" s="1630" t="s">
        <v>203</v>
      </c>
      <c r="D8" s="1628" t="s">
        <v>194</v>
      </c>
      <c r="E8" s="1628" t="s">
        <v>167</v>
      </c>
      <c r="F8" s="1629" t="s">
        <v>198</v>
      </c>
      <c r="G8" s="1859"/>
      <c r="H8" s="1859"/>
      <c r="I8" s="1859"/>
      <c r="J8" s="1859"/>
      <c r="K8" s="1859"/>
      <c r="L8" s="1859"/>
    </row>
    <row r="9" spans="1:12">
      <c r="C9" s="242">
        <f>IF($B$3=1,'Class 6 PnD Trucks'!C$4,IF($B$3=2,'Class 8 Day-cab Trucks'!C$4,'Class 8 Sleeper-cab Trucks'!C$4))</f>
        <v>18215.611072169297</v>
      </c>
      <c r="D9" s="242">
        <f>IF($B$3=1,'Class 6 PnD Trucks'!D$4,IF($B$3=2,'Class 8 Day-cab Trucks'!D$4,'Class 8 Sleeper-cab Trucks'!D$4))</f>
        <v>18480.812805296107</v>
      </c>
      <c r="E9" s="242">
        <f>IF($B$3=1,'Class 6 PnD Trucks'!E$4,IF($B$3=2,'Class 8 Day-cab Trucks'!E$4,'Class 8 Sleeper-cab Trucks'!E$4))</f>
        <v>32016.763342601131</v>
      </c>
      <c r="F9" s="1308">
        <f>IF($B$3=1,'Class 6 PnD Trucks'!F$4,IF($B$3=2,'Class 8 Day-cab Trucks'!F$4,'Class 8 Sleeper-cab Trucks'!F$4))</f>
        <v>21337.122373224458</v>
      </c>
      <c r="G9" s="631"/>
      <c r="H9" s="631"/>
      <c r="I9" s="631"/>
      <c r="J9" s="631"/>
      <c r="K9" s="631"/>
      <c r="L9" s="631"/>
    </row>
    <row r="11" spans="1:12" ht="15">
      <c r="A11" s="120" t="s">
        <v>2338</v>
      </c>
    </row>
    <row r="12" spans="1:12">
      <c r="A12" s="172" t="s">
        <v>152</v>
      </c>
    </row>
    <row r="13" spans="1:12">
      <c r="B13" s="80"/>
      <c r="C13" s="1630" t="s">
        <v>203</v>
      </c>
      <c r="D13" s="1628" t="s">
        <v>194</v>
      </c>
      <c r="E13" s="1628" t="s">
        <v>167</v>
      </c>
      <c r="F13" s="1629" t="s">
        <v>198</v>
      </c>
      <c r="G13" s="1859"/>
      <c r="H13" s="1859"/>
      <c r="I13" s="1859"/>
      <c r="J13" s="1859"/>
      <c r="K13" s="1859"/>
      <c r="L13" s="1859"/>
    </row>
    <row r="14" spans="1:12">
      <c r="B14" s="1860" t="s">
        <v>153</v>
      </c>
      <c r="C14" s="1861">
        <f>IF($B$3=1,'Class 6 PnD Trucks'!C$9,IF($B$3=2,'Class 8 Day-cab Trucks'!C$9,'Class 8 Sleeper-cab Trucks'!C$9))</f>
        <v>276</v>
      </c>
      <c r="D14" s="1862">
        <f>IF($B$3=1,'Class 6 PnD Trucks'!$D9,IF($B$3=2,'Class 8 Day-cab Trucks'!$D9,'Class 8 Sleeper-cab Trucks'!$D9))</f>
        <v>207</v>
      </c>
      <c r="E14" s="1862">
        <f>IF($B$3=1,'Class 6 PnD Trucks'!$E9,IF($B$3=2,'Class 8 Day-cab Trucks'!$E9,'Class 8 Sleeper-cab Trucks'!$E9))</f>
        <v>69</v>
      </c>
      <c r="F14" s="1863">
        <f>IF($B$3=1,'Class 6 PnD Trucks'!$F9,IF($B$3=2,'Class 8 Day-cab Trucks'!$F9,'Class 8 Sleeper-cab Trucks'!$F9))</f>
        <v>69</v>
      </c>
      <c r="G14" s="1864"/>
      <c r="H14" s="1864"/>
      <c r="I14" s="1864"/>
      <c r="J14" s="1864"/>
      <c r="K14" s="1864"/>
      <c r="L14" s="1864"/>
    </row>
    <row r="15" spans="1:12">
      <c r="B15" s="192" t="s">
        <v>155</v>
      </c>
      <c r="C15" s="1865"/>
      <c r="D15" s="1866">
        <f>IF($B$3=1,'Class 6 PnD Trucks'!$D10,IF($B$3=2,'Class 8 Day-cab Trucks'!$D10,'Class 8 Sleeper-cab Trucks'!$D10))</f>
        <v>171.93438569938394</v>
      </c>
      <c r="E15" s="1866">
        <f>IF($B$3=1,'Class 6 PnD Trucks'!$E10,IF($B$3=2,'Class 8 Day-cab Trucks'!$E10,'Class 8 Sleeper-cab Trucks'!$E10))</f>
        <v>17039.418000932921</v>
      </c>
      <c r="F15" s="1867">
        <f>IF($B$3=1,'Class 6 PnD Trucks'!$F10,IF($B$3=2,'Class 8 Day-cab Trucks'!$F10,'Class 8 Sleeper-cab Trucks'!$F10))</f>
        <v>203.46921266542932</v>
      </c>
      <c r="G15" s="1864"/>
      <c r="H15" s="1864"/>
      <c r="I15" s="1864"/>
      <c r="J15" s="1864"/>
      <c r="K15" s="1864"/>
      <c r="L15" s="1864"/>
    </row>
    <row r="17" spans="1:15">
      <c r="A17" s="172" t="s">
        <v>156</v>
      </c>
    </row>
    <row r="18" spans="1:15">
      <c r="A18" s="51"/>
      <c r="B18" s="80"/>
      <c r="C18" s="1868" t="s">
        <v>157</v>
      </c>
      <c r="D18" s="1869" t="s">
        <v>2339</v>
      </c>
      <c r="E18" s="1869" t="s">
        <v>2340</v>
      </c>
      <c r="F18" s="1869" t="s">
        <v>2341</v>
      </c>
      <c r="G18" s="1870" t="s">
        <v>2342</v>
      </c>
      <c r="H18" s="1870" t="s">
        <v>2343</v>
      </c>
      <c r="I18" s="1870" t="s">
        <v>158</v>
      </c>
      <c r="J18" s="1870" t="s">
        <v>159</v>
      </c>
      <c r="K18" s="1869" t="s">
        <v>160</v>
      </c>
      <c r="L18" s="1869" t="s">
        <v>161</v>
      </c>
      <c r="M18" s="1870" t="s">
        <v>2344</v>
      </c>
      <c r="N18" s="1869" t="s">
        <v>162</v>
      </c>
      <c r="O18" s="1871" t="s">
        <v>163</v>
      </c>
    </row>
    <row r="19" spans="1:15">
      <c r="A19" s="51"/>
      <c r="B19" s="1860" t="s">
        <v>203</v>
      </c>
      <c r="C19" s="1872">
        <f>IF($B$3=1,'Class 6 PnD Trucks'!$C14,IF($B$3=2,'Class 8 Day-cab Trucks'!$C14,'Class 8 Sleeper-cab Trucks'!$C14))</f>
        <v>92.1973179684</v>
      </c>
      <c r="D19" s="1864">
        <f>IF($B$3=1,'Class 6 PnD Trucks'!$D14,IF($B$3=2,'Class 8 Day-cab Trucks'!$D14,'Class 8 Sleeper-cab Trucks'!$D14))</f>
        <v>15.43</v>
      </c>
      <c r="E19" s="1864">
        <f>IF($B$3=1,'Class 6 PnD Trucks'!$E14,IF($B$3=2,'Class 8 Day-cab Trucks'!$E14,'Class 8 Sleeper-cab Trucks'!$E14))</f>
        <v>45.181609883549996</v>
      </c>
      <c r="F19" s="1864">
        <f>IF($B$3=1,'Class 6 PnD Trucks'!$F14,IF($B$3=2,'Class 8 Day-cab Trucks'!$F14,'Class 8 Sleeper-cab Trucks'!$F14))</f>
        <v>30.86</v>
      </c>
      <c r="G19" s="1864">
        <f>IF($B$3=1,'Class 6 PnD Trucks'!$G14,IF($B$3=2,'Class 8 Day-cab Trucks'!$G14,'Class 8 Sleeper-cab Trucks'!$G14))</f>
        <v>19.004999999999999</v>
      </c>
      <c r="H19" s="1864">
        <f>IF($B$3=1,'Class 6 PnD Trucks'!$H14,IF($B$3=2,'Class 8 Day-cab Trucks'!$H14,'Class 8 Sleeper-cab Trucks'!$H14))</f>
        <v>38.01</v>
      </c>
      <c r="I19" s="1864">
        <f>IF($B$3=1,'Class 6 PnD Trucks'!$I14,IF($B$3=2,'Class 8 Day-cab Trucks'!$I14,'Class 8 Sleeper-cab Trucks'!$I14))</f>
        <v>0</v>
      </c>
      <c r="J19" s="1864">
        <f>IF($B$3=1,'Class 6 PnD Trucks'!$J14,IF($B$3=2,'Class 8 Day-cab Trucks'!$J14,'Class 8 Sleeper-cab Trucks'!$J14))</f>
        <v>0</v>
      </c>
      <c r="K19" s="1864">
        <f>IF($B$3=1,'Class 6 PnD Trucks'!$K14,IF($B$3=2,'Class 8 Day-cab Trucks'!$K14,'Class 8 Sleeper-cab Trucks'!$K14))</f>
        <v>14.06108307036</v>
      </c>
      <c r="L19" s="1864">
        <f>IF($B$3=1,'Class 6 PnD Trucks'!$L14,IF($B$3=2,'Class 8 Day-cab Trucks'!$L14,'Class 8 Sleeper-cab Trucks'!$L14))</f>
        <v>121.07064346251931</v>
      </c>
      <c r="M19" s="1864">
        <f>IF($B$3=1,'Class 6 PnD Trucks'!$M14,IF($B$3=2,'Class 8 Day-cab Trucks'!$M14,'Class 8 Sleeper-cab Trucks'!$M14))</f>
        <v>55.079669278936258</v>
      </c>
      <c r="N19" s="1864">
        <f>IF($B$3=1,'Class 6 PnD Trucks'!$N14,IF($B$3=2,'Class 8 Day-cab Trucks'!$N14,'Class 8 Sleeper-cab Trucks'!$N14))</f>
        <v>15.856268428784681</v>
      </c>
      <c r="O19" s="1873">
        <f>IF($B$3=1,'Class 6 PnD Trucks'!$O14,IF($B$3=2,'Class 8 Day-cab Trucks'!$O14,'Class 8 Sleeper-cab Trucks'!$O14))</f>
        <v>0</v>
      </c>
    </row>
    <row r="20" spans="1:15">
      <c r="A20" s="51"/>
      <c r="B20" s="191" t="s">
        <v>194</v>
      </c>
      <c r="C20" s="1872">
        <f>IF($B$3=1,'Class 6 PnD Trucks'!$C15,IF($B$3=2,'Class 8 Day-cab Trucks'!$C15,'Class 8 Sleeper-cab Trucks'!$C15))</f>
        <v>92.1973179684</v>
      </c>
      <c r="D20" s="1864">
        <f>IF($B$3=1,'Class 6 PnD Trucks'!$D15,IF($B$3=2,'Class 8 Day-cab Trucks'!$D15,'Class 8 Sleeper-cab Trucks'!$D15))</f>
        <v>15.43</v>
      </c>
      <c r="E20" s="1864">
        <f>IF($B$3=1,'Class 6 PnD Trucks'!$E15,IF($B$3=2,'Class 8 Day-cab Trucks'!$E15,'Class 8 Sleeper-cab Trucks'!$E15))</f>
        <v>45.181609883549996</v>
      </c>
      <c r="F20" s="1864">
        <f>IF($B$3=1,'Class 6 PnD Trucks'!$F15,IF($B$3=2,'Class 8 Day-cab Trucks'!$F15,'Class 8 Sleeper-cab Trucks'!$F15))</f>
        <v>30.86</v>
      </c>
      <c r="G20" s="1864">
        <f>IF($B$3=1,'Class 6 PnD Trucks'!$G15,IF($B$3=2,'Class 8 Day-cab Trucks'!$G15,'Class 8 Sleeper-cab Trucks'!$G15))</f>
        <v>19.004999999999999</v>
      </c>
      <c r="H20" s="1864">
        <f>IF($B$3=1,'Class 6 PnD Trucks'!$H15,IF($B$3=2,'Class 8 Day-cab Trucks'!$H15,'Class 8 Sleeper-cab Trucks'!$H15))</f>
        <v>38.01</v>
      </c>
      <c r="I20" s="1864">
        <f>IF($B$3=1,'Class 6 PnD Trucks'!$I15,IF($B$3=2,'Class 8 Day-cab Trucks'!$I15,'Class 8 Sleeper-cab Trucks'!$I15))</f>
        <v>0</v>
      </c>
      <c r="J20" s="1864">
        <f>IF($B$3=1,'Class 6 PnD Trucks'!$J15,IF($B$3=2,'Class 8 Day-cab Trucks'!$J15,'Class 8 Sleeper-cab Trucks'!$J15))</f>
        <v>0</v>
      </c>
      <c r="K20" s="1864">
        <f>IF($B$3=1,'Class 6 PnD Trucks'!$K15,IF($B$3=2,'Class 8 Day-cab Trucks'!$K15,'Class 8 Sleeper-cab Trucks'!$K15))</f>
        <v>2.1632435177908937</v>
      </c>
      <c r="L20" s="1864">
        <f>IF($B$3=1,'Class 6 PnD Trucks'!$L15,IF($B$3=2,'Class 8 Day-cab Trucks'!$L15,'Class 8 Sleeper-cab Trucks'!$L15))</f>
        <v>121.07064346251931</v>
      </c>
      <c r="M20" s="1864">
        <f>IF($B$3=1,'Class 6 PnD Trucks'!$M15,IF($B$3=2,'Class 8 Day-cab Trucks'!$M15,'Class 8 Sleeper-cab Trucks'!$M15))</f>
        <v>55.079669278936258</v>
      </c>
      <c r="N20" s="1864">
        <f>IF($B$3=1,'Class 6 PnD Trucks'!$N15,IF($B$3=2,'Class 8 Day-cab Trucks'!$N15,'Class 8 Sleeper-cab Trucks'!$N15))</f>
        <v>15.856268428784681</v>
      </c>
      <c r="O20" s="1873">
        <f>IF($B$3=1,'Class 6 PnD Trucks'!$O15,IF($B$3=2,'Class 8 Day-cab Trucks'!$O15,'Class 8 Sleeper-cab Trucks'!$O15))</f>
        <v>0</v>
      </c>
    </row>
    <row r="21" spans="1:15">
      <c r="A21" s="51"/>
      <c r="B21" s="191" t="s">
        <v>167</v>
      </c>
      <c r="C21" s="1872">
        <f>IF($B$3=1,'Class 6 PnD Trucks'!$C16,IF($B$3=2,'Class 8 Day-cab Trucks'!$C16,'Class 8 Sleeper-cab Trucks'!$C16))</f>
        <v>0</v>
      </c>
      <c r="D21" s="1864">
        <f>IF($B$3=1,'Class 6 PnD Trucks'!$D16,IF($B$3=2,'Class 8 Day-cab Trucks'!$D16,'Class 8 Sleeper-cab Trucks'!$D16))</f>
        <v>15.43</v>
      </c>
      <c r="E21" s="1864">
        <f>IF($B$3=1,'Class 6 PnD Trucks'!$E16,IF($B$3=2,'Class 8 Day-cab Trucks'!$E16,'Class 8 Sleeper-cab Trucks'!$E16))</f>
        <v>45.181609883549996</v>
      </c>
      <c r="F21" s="1864">
        <f>IF($B$3=1,'Class 6 PnD Trucks'!$F16,IF($B$3=2,'Class 8 Day-cab Trucks'!$F16,'Class 8 Sleeper-cab Trucks'!$F16))</f>
        <v>30.86</v>
      </c>
      <c r="G21" s="1864">
        <f>IF($B$3=1,'Class 6 PnD Trucks'!$G16,IF($B$3=2,'Class 8 Day-cab Trucks'!$G16,'Class 8 Sleeper-cab Trucks'!$G16))</f>
        <v>19.004999999999999</v>
      </c>
      <c r="H21" s="1864">
        <f>IF($B$3=1,'Class 6 PnD Trucks'!$H16,IF($B$3=2,'Class 8 Day-cab Trucks'!$H16,'Class 8 Sleeper-cab Trucks'!$H16))</f>
        <v>38.01</v>
      </c>
      <c r="I21" s="1864">
        <f>IF($B$3=1,'Class 6 PnD Trucks'!$I16,IF($B$3=2,'Class 8 Day-cab Trucks'!$I16,'Class 8 Sleeper-cab Trucks'!$I16))</f>
        <v>0</v>
      </c>
      <c r="J21" s="1864">
        <f>IF($B$3=1,'Class 6 PnD Trucks'!$J16,IF($B$3=2,'Class 8 Day-cab Trucks'!$J16,'Class 8 Sleeper-cab Trucks'!$J16))</f>
        <v>0</v>
      </c>
      <c r="K21" s="1864">
        <f>IF($B$3=1,'Class 6 PnD Trucks'!$K16,IF($B$3=2,'Class 8 Day-cab Trucks'!$K16,'Class 8 Sleeper-cab Trucks'!$K16))</f>
        <v>2.1632435177908937</v>
      </c>
      <c r="L21" s="1864">
        <f>IF($B$3=1,'Class 6 PnD Trucks'!$L16,IF($B$3=2,'Class 8 Day-cab Trucks'!$L16,'Class 8 Sleeper-cab Trucks'!$L16))</f>
        <v>83.017606031198042</v>
      </c>
      <c r="M21" s="1864">
        <f>IF($B$3=1,'Class 6 PnD Trucks'!$M16,IF($B$3=2,'Class 8 Day-cab Trucks'!$M16,'Class 8 Sleeper-cab Trucks'!$M16))</f>
        <v>37.767886200612935</v>
      </c>
      <c r="N21" s="1864">
        <f>IF($B$3=1,'Class 6 PnD Trucks'!$N16,IF($B$3=2,'Class 8 Day-cab Trucks'!$N16,'Class 8 Sleeper-cab Trucks'!$N16))</f>
        <v>15.856268428784681</v>
      </c>
      <c r="O21" s="1873">
        <f>IF($B$3=1,'Class 6 PnD Trucks'!$O16,IF($B$3=2,'Class 8 Day-cab Trucks'!$O16,'Class 8 Sleeper-cab Trucks'!$O16))</f>
        <v>0</v>
      </c>
    </row>
    <row r="22" spans="1:15">
      <c r="A22" s="51"/>
      <c r="B22" s="192" t="s">
        <v>198</v>
      </c>
      <c r="C22" s="1865">
        <f>IF($B$3=1,'Class 6 PnD Trucks'!$C17,IF($B$3=2,'Class 8 Day-cab Trucks'!$C17,'Class 8 Sleeper-cab Trucks'!$C17))</f>
        <v>0</v>
      </c>
      <c r="D22" s="1866">
        <f>IF($B$3=1,'Class 6 PnD Trucks'!$D17,IF($B$3=2,'Class 8 Day-cab Trucks'!$D17,'Class 8 Sleeper-cab Trucks'!$D17))</f>
        <v>15.43</v>
      </c>
      <c r="E22" s="1866">
        <f>IF($B$3=1,'Class 6 PnD Trucks'!$E17,IF($B$3=2,'Class 8 Day-cab Trucks'!$E17,'Class 8 Sleeper-cab Trucks'!$E17))</f>
        <v>45.181609883549996</v>
      </c>
      <c r="F22" s="1866">
        <f>IF($B$3=1,'Class 6 PnD Trucks'!$F17,IF($B$3=2,'Class 8 Day-cab Trucks'!$F17,'Class 8 Sleeper-cab Trucks'!$F17))</f>
        <v>30.86</v>
      </c>
      <c r="G22" s="1866">
        <f>IF($B$3=1,'Class 6 PnD Trucks'!$G17,IF($B$3=2,'Class 8 Day-cab Trucks'!$G17,'Class 8 Sleeper-cab Trucks'!$G17))</f>
        <v>19.004999999999999</v>
      </c>
      <c r="H22" s="1866">
        <f>IF($B$3=1,'Class 6 PnD Trucks'!$H17,IF($B$3=2,'Class 8 Day-cab Trucks'!$H17,'Class 8 Sleeper-cab Trucks'!$H17))</f>
        <v>38.01</v>
      </c>
      <c r="I22" s="1866">
        <f>IF($B$3=1,'Class 6 PnD Trucks'!$I17,IF($B$3=2,'Class 8 Day-cab Trucks'!$I17,'Class 8 Sleeper-cab Trucks'!$I17))</f>
        <v>0</v>
      </c>
      <c r="J22" s="1866">
        <f>IF($B$3=1,'Class 6 PnD Trucks'!$J17,IF($B$3=2,'Class 8 Day-cab Trucks'!$J17,'Class 8 Sleeper-cab Trucks'!$J17))</f>
        <v>0</v>
      </c>
      <c r="K22" s="1866">
        <f>IF($B$3=1,'Class 6 PnD Trucks'!$K17,IF($B$3=2,'Class 8 Day-cab Trucks'!$K17,'Class 8 Sleeper-cab Trucks'!$K17))</f>
        <v>2.1632435177908937</v>
      </c>
      <c r="L22" s="1866">
        <f>IF($B$3=1,'Class 6 PnD Trucks'!$L17,IF($B$3=2,'Class 8 Day-cab Trucks'!$L17,'Class 8 Sleeper-cab Trucks'!$L17))</f>
        <v>83.017606031198042</v>
      </c>
      <c r="M22" s="1866">
        <f>IF($B$3=1,'Class 6 PnD Trucks'!$M17,IF($B$3=2,'Class 8 Day-cab Trucks'!$M17,'Class 8 Sleeper-cab Trucks'!$M17))</f>
        <v>37.767886200612935</v>
      </c>
      <c r="N22" s="1866">
        <f>IF($B$3=1,'Class 6 PnD Trucks'!$N17,IF($B$3=2,'Class 8 Day-cab Trucks'!$N17,'Class 8 Sleeper-cab Trucks'!$N17))</f>
        <v>15.856268428784681</v>
      </c>
      <c r="O22" s="1867">
        <f>IF($B$3=1,'Class 6 PnD Trucks'!$O17,IF($B$3=2,'Class 8 Day-cab Trucks'!$O17,'Class 8 Sleeper-cab Trucks'!$O17))</f>
        <v>0</v>
      </c>
    </row>
    <row r="24" spans="1:15" s="8" customFormat="1" ht="15">
      <c r="A24" s="134" t="s">
        <v>2672</v>
      </c>
    </row>
    <row r="25" spans="1:15">
      <c r="A25" s="172" t="s">
        <v>2345</v>
      </c>
    </row>
    <row r="26" spans="1:15">
      <c r="C26" s="264" t="s">
        <v>203</v>
      </c>
      <c r="D26" s="175" t="s">
        <v>194</v>
      </c>
      <c r="E26" s="175" t="s">
        <v>167</v>
      </c>
      <c r="F26" s="176" t="s">
        <v>198</v>
      </c>
      <c r="G26" s="1859"/>
      <c r="H26" s="1859"/>
      <c r="I26" s="1859"/>
      <c r="J26" s="1859"/>
      <c r="K26" s="1859"/>
      <c r="L26" s="1859"/>
    </row>
    <row r="27" spans="1:15">
      <c r="C27" s="1309">
        <f>IF($B$3=1,'Class 6 PnD Trucks'!C$22,IF($B$3=2,'Class 8 Day-cab Trucks'!C$22,'Class 8 Sleeper-cab Trucks'!C$22))</f>
        <v>17492.859480076746</v>
      </c>
      <c r="D27" s="1310">
        <f>IF($B$3=1,'Class 6 PnD Trucks'!D$22,IF($B$3=2,'Class 8 Day-cab Trucks'!D$22,'Class 8 Sleeper-cab Trucks'!D$22))</f>
        <v>17667.024667056743</v>
      </c>
      <c r="E27" s="1310">
        <f>IF($B$3=1,'Class 6 PnD Trucks'!E$22,IF($B$3=2,'Class 8 Day-cab Trucks'!E$22,'Class 8 Sleeper-cab Trucks'!E$22))</f>
        <v>14621.05372760627</v>
      </c>
      <c r="F27" s="1444">
        <f>IF($B$3=1,'Class 6 PnD Trucks'!F$22,IF($B$3=2,'Class 8 Day-cab Trucks'!F$22,'Class 8 Sleeper-cab Trucks'!F$22))</f>
        <v>20777.361546497094</v>
      </c>
      <c r="G27" s="631"/>
      <c r="H27" s="631"/>
      <c r="I27" s="631"/>
      <c r="J27" s="631"/>
      <c r="K27" s="631"/>
      <c r="L27" s="631"/>
    </row>
    <row r="28" spans="1:15" ht="13.5" customHeight="1"/>
    <row r="29" spans="1:15">
      <c r="A29" s="172" t="s">
        <v>171</v>
      </c>
    </row>
    <row r="30" spans="1:15">
      <c r="B30" s="1874">
        <f>IF($B$3=1,'Class 6 PnD Trucks'!B$25,IF($B$3=2,'Class 8 Day-cab Trucks'!B$25,'Class 8 Sleeper-cab Trucks'!B$25))</f>
        <v>426</v>
      </c>
    </row>
    <row r="32" spans="1:15">
      <c r="A32" s="172" t="s">
        <v>174</v>
      </c>
    </row>
    <row r="33" spans="1:6">
      <c r="B33" s="1875">
        <f xml:space="preserve"> B36/B30</f>
        <v>3.5798599468227517</v>
      </c>
      <c r="C33" s="1321" t="s">
        <v>175</v>
      </c>
    </row>
    <row r="35" spans="1:6">
      <c r="A35" s="172" t="s">
        <v>176</v>
      </c>
    </row>
    <row r="36" spans="1:6">
      <c r="B36" s="1876">
        <f>IF($B$3=1,'Class 6 PnD Trucks'!B28,IF($B$3=2,'Class 8 Day-cab Trucks'!B28,'Class 8 Sleeper-cab Trucks'!B28))</f>
        <v>1525.0203373464922</v>
      </c>
      <c r="C36" s="1877" t="s">
        <v>175</v>
      </c>
    </row>
    <row r="37" spans="1:6">
      <c r="B37" s="1878">
        <f>IF($B$3=1,'Class 6 PnD Trucks'!B29,IF($B$3=2,'Class 8 Day-cab Trucks'!B29,'Class 8 Sleeper-cab Trucks'!B29))</f>
        <v>4609.2412553443328</v>
      </c>
      <c r="C37" s="1877" t="s">
        <v>2346</v>
      </c>
    </row>
    <row r="39" spans="1:6">
      <c r="A39" s="172" t="s">
        <v>2347</v>
      </c>
    </row>
    <row r="40" spans="1:6">
      <c r="B40" s="1627"/>
      <c r="C40" s="1630" t="s">
        <v>203</v>
      </c>
      <c r="D40" s="1628" t="s">
        <v>194</v>
      </c>
      <c r="E40" s="1628" t="s">
        <v>167</v>
      </c>
      <c r="F40" s="1629" t="s">
        <v>198</v>
      </c>
    </row>
    <row r="41" spans="1:6">
      <c r="B41" s="1879" t="s">
        <v>182</v>
      </c>
      <c r="C41" s="1880">
        <f>IF($B$3=1,'Class 6 PnD Trucks'!C33,IF($B$3=2,'Class 8 Day-cab Trucks'!C33,'Class 8 Sleeper-cab Trucks'!C33))</f>
        <v>3021.7200906304743</v>
      </c>
      <c r="D41" s="1881">
        <f>IF($B$3=1,'Class 6 PnD Trucks'!D33,IF($B$3=2,'Class 8 Day-cab Trucks'!D33,'Class 8 Sleeper-cab Trucks'!D33))</f>
        <v>2993.0599965704737</v>
      </c>
      <c r="E41" s="1881">
        <f>IF($B$3=1,'Class 6 PnD Trucks'!E33,IF($B$3=2,'Class 8 Day-cab Trucks'!E33,'Class 8 Sleeper-cab Trucks'!E33))</f>
        <v>0</v>
      </c>
      <c r="F41" s="1882">
        <f>IF($B$3=1,'Class 6 PnD Trucks'!F33,IF($B$3=2,'Class 8 Day-cab Trucks'!F33,'Class 8 Sleeper-cab Trucks'!F33))</f>
        <v>1525.0203373464922</v>
      </c>
    </row>
    <row r="42" spans="1:6">
      <c r="B42" s="1883" t="s">
        <v>183</v>
      </c>
      <c r="C42" s="250">
        <f>IF($B$3=1,'Class 6 PnD Trucks'!C34,IF($B$3=2,'Class 8 Day-cab Trucks'!C34,'Class 8 Sleeper-cab Trucks'!C34))</f>
        <v>943.57848135999984</v>
      </c>
      <c r="D42" s="631">
        <f>IF($B$3=1,'Class 6 PnD Trucks'!D34,IF($B$3=2,'Class 8 Day-cab Trucks'!D34,'Class 8 Sleeper-cab Trucks'!D34))</f>
        <v>943.57848135999984</v>
      </c>
      <c r="E42" s="631">
        <f>IF($B$3=1,'Class 6 PnD Trucks'!E34,IF($B$3=2,'Class 8 Day-cab Trucks'!E34,'Class 8 Sleeper-cab Trucks'!E34))</f>
        <v>403.44593946000003</v>
      </c>
      <c r="F42" s="245">
        <f>IF($B$3=1,'Class 6 PnD Trucks'!F34,IF($B$3=2,'Class 8 Day-cab Trucks'!F34,'Class 8 Sleeper-cab Trucks'!F34))</f>
        <v>410.05980732</v>
      </c>
    </row>
    <row r="43" spans="1:6">
      <c r="B43" s="1883" t="s">
        <v>184</v>
      </c>
      <c r="C43" s="250">
        <f>IF($B$3=1,'Class 6 PnD Trucks'!C35,IF($B$3=2,'Class 8 Day-cab Trucks'!C35,'Class 8 Sleeper-cab Trucks'!C35))</f>
        <v>10181.526257555261</v>
      </c>
      <c r="D43" s="631">
        <f>IF($B$3=1,'Class 6 PnD Trucks'!D35,IF($B$3=2,'Class 8 Day-cab Trucks'!D35,'Class 8 Sleeper-cab Trucks'!D35))</f>
        <v>10181.526257555261</v>
      </c>
      <c r="E43" s="631">
        <f>IF($B$3=1,'Class 6 PnD Trucks'!E35,IF($B$3=2,'Class 8 Day-cab Trucks'!E35,'Class 8 Sleeper-cab Trucks'!E35))</f>
        <v>10181.526257555261</v>
      </c>
      <c r="F43" s="245">
        <f>IF($B$3=1,'Class 6 PnD Trucks'!F35,IF($B$3=2,'Class 8 Day-cab Trucks'!F35,'Class 8 Sleeper-cab Trucks'!F35))</f>
        <v>10181.526257555261</v>
      </c>
    </row>
    <row r="44" spans="1:6">
      <c r="B44" s="1883" t="s">
        <v>185</v>
      </c>
      <c r="C44" s="250">
        <f>IF($B$3=1,'Class 6 PnD Trucks'!C36,IF($B$3=2,'Class 8 Day-cab Trucks'!C36,'Class 8 Sleeper-cab Trucks'!C36))</f>
        <v>0</v>
      </c>
      <c r="D44" s="631">
        <f>IF($B$3=1,'Class 6 PnD Trucks'!D36,IF($B$3=2,'Class 8 Day-cab Trucks'!D36,'Class 8 Sleeper-cab Trucks'!D36))</f>
        <v>183.40583923829789</v>
      </c>
      <c r="E44" s="631">
        <f>IF($B$3=1,'Class 6 PnD Trucks'!E36,IF($B$3=2,'Class 8 Day-cab Trucks'!E36,'Class 8 Sleeper-cab Trucks'!E36))</f>
        <v>623.97856175638287</v>
      </c>
      <c r="F44" s="245">
        <f>IF($B$3=1,'Class 6 PnD Trucks'!F36,IF($B$3=2,'Class 8 Day-cab Trucks'!F36,'Class 8 Sleeper-cab Trucks'!F36))</f>
        <v>637.93335387234038</v>
      </c>
    </row>
    <row r="45" spans="1:6">
      <c r="B45" s="1883" t="s">
        <v>186</v>
      </c>
      <c r="C45" s="250">
        <f>IF($B$3=1,'Class 6 PnD Trucks'!C37,IF($B$3=2,'Class 8 Day-cab Trucks'!C37,'Class 8 Sleeper-cab Trucks'!C37))</f>
        <v>0</v>
      </c>
      <c r="D45" s="631">
        <f>IF($B$3=1,'Class 6 PnD Trucks'!D37,IF($B$3=2,'Class 8 Day-cab Trucks'!D37,'Class 8 Sleeper-cab Trucks'!D37))</f>
        <v>0</v>
      </c>
      <c r="E45" s="631">
        <f>IF($B$3=1,'Class 6 PnD Trucks'!E37,IF($B$3=2,'Class 8 Day-cab Trucks'!E37,'Class 8 Sleeper-cab Trucks'!E37))</f>
        <v>0</v>
      </c>
      <c r="F45" s="245">
        <f>IF($B$3=1,'Class 6 PnD Trucks'!F37,IF($B$3=2,'Class 8 Day-cab Trucks'!F37,'Class 8 Sleeper-cab Trucks'!F37))</f>
        <v>0</v>
      </c>
    </row>
    <row r="46" spans="1:6">
      <c r="B46" s="1883" t="s">
        <v>187</v>
      </c>
      <c r="C46" s="250">
        <f>IF($B$3=1,'Class 6 PnD Trucks'!C38,IF($B$3=2,'Class 8 Day-cab Trucks'!C38,'Class 8 Sleeper-cab Trucks'!C38))</f>
        <v>0</v>
      </c>
      <c r="D46" s="631">
        <f>IF($B$3=1,'Class 6 PnD Trucks'!D38,IF($B$3=2,'Class 8 Day-cab Trucks'!D38,'Class 8 Sleeper-cab Trucks'!D38))</f>
        <v>19.419441801702128</v>
      </c>
      <c r="E46" s="631">
        <f>IF($B$3=1,'Class 6 PnD Trucks'!E38,IF($B$3=2,'Class 8 Day-cab Trucks'!E38,'Class 8 Sleeper-cab Trucks'!E38))</f>
        <v>66.068318303617005</v>
      </c>
      <c r="F46" s="245">
        <f>IF($B$3=1,'Class 6 PnD Trucks'!F38,IF($B$3=2,'Class 8 Day-cab Trucks'!F38,'Class 8 Sleeper-cab Trucks'!F38))</f>
        <v>67.545884527659567</v>
      </c>
    </row>
    <row r="47" spans="1:6">
      <c r="B47" s="1883" t="s">
        <v>2346</v>
      </c>
      <c r="C47" s="250">
        <f>IF($B$3=1,'Class 6 PnD Trucks'!C39,IF($B$3=2,'Class 8 Day-cab Trucks'!C39,'Class 8 Sleeper-cab Trucks'!C39))</f>
        <v>0</v>
      </c>
      <c r="D47" s="631">
        <f>IF($B$3=1,'Class 6 PnD Trucks'!D39,IF($B$3=2,'Class 8 Day-cab Trucks'!D39,'Class 8 Sleeper-cab Trucks'!D39))</f>
        <v>0</v>
      </c>
      <c r="E47" s="631">
        <f>IF($B$3=1,'Class 6 PnD Trucks'!E39,IF($B$3=2,'Class 8 Day-cab Trucks'!E39,'Class 8 Sleeper-cab Trucks'!E39))</f>
        <v>0</v>
      </c>
      <c r="F47" s="245">
        <f>IF($B$3=1,'Class 6 PnD Trucks'!F39,IF($B$3=2,'Class 8 Day-cab Trucks'!F39,'Class 8 Sleeper-cab Trucks'!F39))</f>
        <v>4609.2412553443328</v>
      </c>
    </row>
    <row r="48" spans="1:6">
      <c r="B48" s="1883" t="s">
        <v>2348</v>
      </c>
      <c r="C48" s="250">
        <f>IF($B$3=1,'Class 6 PnD Trucks'!C40,IF($B$3=2,'Class 8 Day-cab Trucks'!C40,'Class 8 Sleeper-cab Trucks'!C40))</f>
        <v>0</v>
      </c>
      <c r="D48" s="631">
        <f>IF($B$3=1,'Class 6 PnD Trucks'!D40,IF($B$3=2,'Class 8 Day-cab Trucks'!D40,'Class 8 Sleeper-cab Trucks'!D40))</f>
        <v>0</v>
      </c>
      <c r="E48" s="631">
        <f>IF($B$3=1,'Class 6 PnD Trucks'!E40,IF($B$3=2,'Class 8 Day-cab Trucks'!E40,'Class 8 Sleeper-cab Trucks'!E40))</f>
        <v>0</v>
      </c>
      <c r="F48" s="245">
        <f>IF($B$3=1,'Class 6 PnD Trucks'!F40,IF($B$3=2,'Class 8 Day-cab Trucks'!F40,'Class 8 Sleeper-cab Trucks'!F40))</f>
        <v>0</v>
      </c>
    </row>
    <row r="49" spans="1:6">
      <c r="B49" s="1884" t="s">
        <v>189</v>
      </c>
      <c r="C49" s="250">
        <f>IF($B$3=1,'Class 6 PnD Trucks'!C41,IF($B$3=2,'Class 8 Day-cab Trucks'!C41,'Class 8 Sleeper-cab Trucks'!C41))</f>
        <v>3346.0346505310099</v>
      </c>
      <c r="D49" s="631">
        <f>IF($B$3=1,'Class 6 PnD Trucks'!D41,IF($B$3=2,'Class 8 Day-cab Trucks'!D41,'Class 8 Sleeper-cab Trucks'!D41))</f>
        <v>3346.0346505310099</v>
      </c>
      <c r="E49" s="631">
        <f>IF($B$3=1,'Class 6 PnD Trucks'!E41,IF($B$3=2,'Class 8 Day-cab Trucks'!E41,'Class 8 Sleeper-cab Trucks'!E41))</f>
        <v>3346.0346505310099</v>
      </c>
      <c r="F49" s="245">
        <f>IF($B$3=1,'Class 6 PnD Trucks'!F41,IF($B$3=2,'Class 8 Day-cab Trucks'!F41,'Class 8 Sleeper-cab Trucks'!F41))</f>
        <v>3346.0346505310099</v>
      </c>
    </row>
    <row r="50" spans="1:6">
      <c r="B50" s="1885" t="s">
        <v>2349</v>
      </c>
      <c r="C50" s="242">
        <f>IF($B$3=1,'Class 6 PnD Trucks'!C42,IF($B$3=2,'Class 8 Day-cab Trucks'!C42,'Class 8 Sleeper-cab Trucks'!C42))</f>
        <v>0</v>
      </c>
      <c r="D50" s="53">
        <f>IF($B$3=1,'Class 6 PnD Trucks'!D42,IF($B$3=2,'Class 8 Day-cab Trucks'!D42,'Class 8 Sleeper-cab Trucks'!D42))</f>
        <v>0</v>
      </c>
      <c r="E50" s="53">
        <f>IF($B$3=1,'Class 6 PnD Trucks'!E42,IF($B$3=2,'Class 8 Day-cab Trucks'!E42,'Class 8 Sleeper-cab Trucks'!E42))</f>
        <v>0</v>
      </c>
      <c r="F50" s="243">
        <f>IF($B$3=1,'Class 6 PnD Trucks'!F42,IF($B$3=2,'Class 8 Day-cab Trucks'!F42,'Class 8 Sleeper-cab Trucks'!F42))</f>
        <v>0</v>
      </c>
    </row>
    <row r="52" spans="1:6">
      <c r="A52" s="172" t="s">
        <v>2350</v>
      </c>
    </row>
    <row r="53" spans="1:6">
      <c r="B53" s="1627"/>
      <c r="C53" s="1630" t="s">
        <v>203</v>
      </c>
      <c r="D53" s="1628" t="s">
        <v>194</v>
      </c>
      <c r="E53" s="1628" t="s">
        <v>167</v>
      </c>
      <c r="F53" s="1629" t="s">
        <v>198</v>
      </c>
    </row>
    <row r="54" spans="1:6">
      <c r="B54" s="1879" t="s">
        <v>182</v>
      </c>
      <c r="C54" s="556">
        <f>IF($B$3=1,'Class 6 PnD Trucks'!C46,IF($B$3=2,'Class 8 Day-cab Trucks'!C46,'Class 8 Sleeper-cab Trucks'!C46))</f>
        <v>0.17274020259935324</v>
      </c>
      <c r="D54" s="179">
        <f>IF($B$3=1,'Class 6 PnD Trucks'!D46,IF($B$3=2,'Class 8 Day-cab Trucks'!D46,'Class 8 Sleeper-cab Trucks'!D46))</f>
        <v>0.16941505731587941</v>
      </c>
      <c r="E54" s="179">
        <f>IF($B$3=1,'Class 6 PnD Trucks'!E46,IF($B$3=2,'Class 8 Day-cab Trucks'!E46,'Class 8 Sleeper-cab Trucks'!E46))</f>
        <v>0</v>
      </c>
      <c r="F54" s="180">
        <f>IF($B$3=1,'Class 6 PnD Trucks'!F46,IF($B$3=2,'Class 8 Day-cab Trucks'!F46,'Class 8 Sleeper-cab Trucks'!F46))</f>
        <v>7.3398171078348451E-2</v>
      </c>
    </row>
    <row r="55" spans="1:6">
      <c r="B55" s="1883" t="s">
        <v>183</v>
      </c>
      <c r="C55" s="232">
        <f>IF($B$3=1,'Class 6 PnD Trucks'!C47,IF($B$3=2,'Class 8 Day-cab Trucks'!C47,'Class 8 Sleeper-cab Trucks'!C47))</f>
        <v>5.3940779804163848E-2</v>
      </c>
      <c r="D55" s="1159">
        <f>IF($B$3=1,'Class 6 PnD Trucks'!D47,IF($B$3=2,'Class 8 Day-cab Trucks'!D47,'Class 8 Sleeper-cab Trucks'!D47))</f>
        <v>5.3409020428859588E-2</v>
      </c>
      <c r="E55" s="1159">
        <f>IF($B$3=1,'Class 6 PnD Trucks'!E47,IF($B$3=2,'Class 8 Day-cab Trucks'!E47,'Class 8 Sleeper-cab Trucks'!E47))</f>
        <v>2.7593492711010741E-2</v>
      </c>
      <c r="F55" s="128">
        <f>IF($B$3=1,'Class 6 PnD Trucks'!F47,IF($B$3=2,'Class 8 Day-cab Trucks'!F47,'Class 8 Sleeper-cab Trucks'!F47))</f>
        <v>1.9735894107745022E-2</v>
      </c>
    </row>
    <row r="56" spans="1:6">
      <c r="B56" s="1883" t="s">
        <v>184</v>
      </c>
      <c r="C56" s="232">
        <f>IF($B$3=1,'Class 6 PnD Trucks'!C48,IF($B$3=2,'Class 8 Day-cab Trucks'!C48,'Class 8 Sleeper-cab Trucks'!C48))</f>
        <v>0.58203898963181933</v>
      </c>
      <c r="D56" s="1159">
        <f>IF($B$3=1,'Class 6 PnD Trucks'!D48,IF($B$3=2,'Class 8 Day-cab Trucks'!D48,'Class 8 Sleeper-cab Trucks'!D48))</f>
        <v>0.5763011287656431</v>
      </c>
      <c r="E56" s="1159">
        <f>IF($B$3=1,'Class 6 PnD Trucks'!E48,IF($B$3=2,'Class 8 Day-cab Trucks'!E48,'Class 8 Sleeper-cab Trucks'!E48))</f>
        <v>0.69636063496103162</v>
      </c>
      <c r="F56" s="128">
        <f>IF($B$3=1,'Class 6 PnD Trucks'!F48,IF($B$3=2,'Class 8 Day-cab Trucks'!F48,'Class 8 Sleeper-cab Trucks'!F48))</f>
        <v>0.49002979684260195</v>
      </c>
    </row>
    <row r="57" spans="1:6">
      <c r="B57" s="1883" t="s">
        <v>185</v>
      </c>
      <c r="C57" s="232">
        <f>IF($B$3=1,'Class 6 PnD Trucks'!C49,IF($B$3=2,'Class 8 Day-cab Trucks'!C49,'Class 8 Sleeper-cab Trucks'!C49))</f>
        <v>0</v>
      </c>
      <c r="D57" s="1159">
        <f>IF($B$3=1,'Class 6 PnD Trucks'!D49,IF($B$3=2,'Class 8 Day-cab Trucks'!D49,'Class 8 Sleeper-cab Trucks'!D49))</f>
        <v>1.0381252230902815E-2</v>
      </c>
      <c r="E57" s="1159">
        <f>IF($B$3=1,'Class 6 PnD Trucks'!E49,IF($B$3=2,'Class 8 Day-cab Trucks'!E49,'Class 8 Sleeper-cab Trucks'!E49))</f>
        <v>4.2676716287434052E-2</v>
      </c>
      <c r="F57" s="128">
        <f>IF($B$3=1,'Class 6 PnD Trucks'!F49,IF($B$3=2,'Class 8 Day-cab Trucks'!F49,'Class 8 Sleeper-cab Trucks'!F49))</f>
        <v>3.0703289849614766E-2</v>
      </c>
    </row>
    <row r="58" spans="1:6">
      <c r="B58" s="1883" t="s">
        <v>186</v>
      </c>
      <c r="C58" s="232">
        <f>IF($B$3=1,'Class 6 PnD Trucks'!C50,IF($B$3=2,'Class 8 Day-cab Trucks'!C50,'Class 8 Sleeper-cab Trucks'!C50))</f>
        <v>0</v>
      </c>
      <c r="D58" s="1159">
        <f>IF($B$3=1,'Class 6 PnD Trucks'!D50,IF($B$3=2,'Class 8 Day-cab Trucks'!D50,'Class 8 Sleeper-cab Trucks'!D50))</f>
        <v>0</v>
      </c>
      <c r="E58" s="1159">
        <f>IF($B$3=1,'Class 6 PnD Trucks'!E50,IF($B$3=2,'Class 8 Day-cab Trucks'!E50,'Class 8 Sleeper-cab Trucks'!E50))</f>
        <v>0</v>
      </c>
      <c r="F58" s="128">
        <f>IF($B$3=1,'Class 6 PnD Trucks'!F50,IF($B$3=2,'Class 8 Day-cab Trucks'!F50,'Class 8 Sleeper-cab Trucks'!F50))</f>
        <v>0</v>
      </c>
    </row>
    <row r="59" spans="1:6">
      <c r="B59" s="1883" t="s">
        <v>187</v>
      </c>
      <c r="C59" s="232">
        <f>IF($B$3=1,'Class 6 PnD Trucks'!C51,IF($B$3=2,'Class 8 Day-cab Trucks'!C51,'Class 8 Sleeper-cab Trucks'!C51))</f>
        <v>0</v>
      </c>
      <c r="D59" s="1159">
        <f>IF($B$3=1,'Class 6 PnD Trucks'!D51,IF($B$3=2,'Class 8 Day-cab Trucks'!D51,'Class 8 Sleeper-cab Trucks'!D51))</f>
        <v>1.0991914126838274E-3</v>
      </c>
      <c r="E59" s="1159">
        <f>IF($B$3=1,'Class 6 PnD Trucks'!E51,IF($B$3=2,'Class 8 Day-cab Trucks'!E51,'Class 8 Sleeper-cab Trucks'!E51))</f>
        <v>4.5187111363165465E-3</v>
      </c>
      <c r="F59" s="128">
        <f>IF($B$3=1,'Class 6 PnD Trucks'!F51,IF($B$3=2,'Class 8 Day-cab Trucks'!F51,'Class 8 Sleeper-cab Trucks'!F51))</f>
        <v>3.2509365723121515E-3</v>
      </c>
    </row>
    <row r="60" spans="1:6">
      <c r="B60" s="1883" t="s">
        <v>2346</v>
      </c>
      <c r="C60" s="232">
        <f>IF($B$3=1,'Class 6 PnD Trucks'!C52,IF($B$3=2,'Class 8 Day-cab Trucks'!C52,'Class 8 Sleeper-cab Trucks'!C52))</f>
        <v>0</v>
      </c>
      <c r="D60" s="1159">
        <f>IF($B$3=1,'Class 6 PnD Trucks'!D52,IF($B$3=2,'Class 8 Day-cab Trucks'!D52,'Class 8 Sleeper-cab Trucks'!D52))</f>
        <v>0</v>
      </c>
      <c r="E60" s="1159">
        <f>IF($B$3=1,'Class 6 PnD Trucks'!E52,IF($B$3=2,'Class 8 Day-cab Trucks'!E52,'Class 8 Sleeper-cab Trucks'!E52))</f>
        <v>0</v>
      </c>
      <c r="F60" s="128">
        <f>IF($B$3=1,'Class 6 PnD Trucks'!F52,IF($B$3=2,'Class 8 Day-cab Trucks'!F52,'Class 8 Sleeper-cab Trucks'!F52))</f>
        <v>0.22183958463780096</v>
      </c>
    </row>
    <row r="61" spans="1:6">
      <c r="B61" s="1883" t="s">
        <v>2348</v>
      </c>
      <c r="C61" s="232">
        <f>IF($B$3=1,'Class 6 PnD Trucks'!C53,IF($B$3=2,'Class 8 Day-cab Trucks'!C53,'Class 8 Sleeper-cab Trucks'!C53))</f>
        <v>0</v>
      </c>
      <c r="D61" s="1159">
        <f>IF($B$3=1,'Class 6 PnD Trucks'!D53,IF($B$3=2,'Class 8 Day-cab Trucks'!D53,'Class 8 Sleeper-cab Trucks'!D53))</f>
        <v>0</v>
      </c>
      <c r="E61" s="1159">
        <f>IF($B$3=1,'Class 6 PnD Trucks'!E53,IF($B$3=2,'Class 8 Day-cab Trucks'!E53,'Class 8 Sleeper-cab Trucks'!E53))</f>
        <v>0</v>
      </c>
      <c r="F61" s="128">
        <f>IF($B$3=1,'Class 6 PnD Trucks'!F53,IF($B$3=2,'Class 8 Day-cab Trucks'!F53,'Class 8 Sleeper-cab Trucks'!F53))</f>
        <v>0</v>
      </c>
    </row>
    <row r="62" spans="1:6">
      <c r="B62" s="1884" t="s">
        <v>189</v>
      </c>
      <c r="C62" s="232">
        <f>IF($B$3=1,'Class 6 PnD Trucks'!C54,IF($B$3=2,'Class 8 Day-cab Trucks'!C54,'Class 8 Sleeper-cab Trucks'!C54))</f>
        <v>0.19128002796466356</v>
      </c>
      <c r="D62" s="1159">
        <f>IF($B$3=1,'Class 6 PnD Trucks'!D54,IF($B$3=2,'Class 8 Day-cab Trucks'!D54,'Class 8 Sleeper-cab Trucks'!D54))</f>
        <v>0.18939434984603132</v>
      </c>
      <c r="E62" s="1159">
        <f>IF($B$3=1,'Class 6 PnD Trucks'!E54,IF($B$3=2,'Class 8 Day-cab Trucks'!E54,'Class 8 Sleeper-cab Trucks'!E54))</f>
        <v>0.22885044490420706</v>
      </c>
      <c r="F62" s="128">
        <f>IF($B$3=1,'Class 6 PnD Trucks'!F54,IF($B$3=2,'Class 8 Day-cab Trucks'!F54,'Class 8 Sleeper-cab Trucks'!F54))</f>
        <v>0.1610423269115768</v>
      </c>
    </row>
    <row r="63" spans="1:6">
      <c r="B63" s="1885" t="s">
        <v>2349</v>
      </c>
      <c r="C63" s="239">
        <f>IF($B$3=1,'Class 6 PnD Trucks'!C55,IF($B$3=2,'Class 8 Day-cab Trucks'!C55,'Class 8 Sleeper-cab Trucks'!C55))</f>
        <v>0</v>
      </c>
      <c r="D63" s="129">
        <f>IF($B$3=1,'Class 6 PnD Trucks'!D55,IF($B$3=2,'Class 8 Day-cab Trucks'!D55,'Class 8 Sleeper-cab Trucks'!D55))</f>
        <v>0</v>
      </c>
      <c r="E63" s="129">
        <f>IF($B$3=1,'Class 6 PnD Trucks'!E55,IF($B$3=2,'Class 8 Day-cab Trucks'!E55,'Class 8 Sleeper-cab Trucks'!E55))</f>
        <v>0</v>
      </c>
      <c r="F63" s="130">
        <f>IF($B$3=1,'Class 6 PnD Trucks'!F55,IF($B$3=2,'Class 8 Day-cab Trucks'!F55,'Class 8 Sleeper-cab Trucks'!F55))</f>
        <v>0</v>
      </c>
    </row>
    <row r="65" spans="1:6">
      <c r="A65" s="172" t="s">
        <v>2351</v>
      </c>
    </row>
    <row r="66" spans="1:6">
      <c r="B66" s="1886" t="s">
        <v>2352</v>
      </c>
      <c r="C66" s="1887" t="s">
        <v>2353</v>
      </c>
      <c r="D66" s="1888" t="s">
        <v>2354</v>
      </c>
    </row>
    <row r="67" spans="1:6">
      <c r="B67" s="1889" t="s">
        <v>2355</v>
      </c>
      <c r="C67" s="1880">
        <f>IF($B$3=1,'Class 6 PnD Trucks'!C59,IF($B$3=2,'Class 8 Day-cab Trucks'!C59,'Class 8 Sleeper-cab Trucks'!C59))</f>
        <v>7</v>
      </c>
      <c r="D67" s="1882">
        <f>IF($B$3=1,'Class 6 PnD Trucks'!D59,IF($B$3=2,'Class 8 Day-cab Trucks'!D59,'Class 8 Sleeper-cab Trucks'!D59))</f>
        <v>2</v>
      </c>
    </row>
    <row r="68" spans="1:6">
      <c r="B68" s="1890" t="s">
        <v>2356</v>
      </c>
      <c r="C68" s="242">
        <f>IF($B$3=1,'Class 6 PnD Trucks'!C60,IF($B$3=2,'Class 8 Day-cab Trucks'!C60,'Class 8 Sleeper-cab Trucks'!C60))</f>
        <v>3</v>
      </c>
      <c r="D68" s="243">
        <f>IF($B$3=1,'Class 6 PnD Trucks'!D60,IF($B$3=2,'Class 8 Day-cab Trucks'!D60,'Class 8 Sleeper-cab Trucks'!D60))</f>
        <v>8</v>
      </c>
    </row>
    <row r="70" spans="1:6">
      <c r="A70" s="172" t="s">
        <v>2357</v>
      </c>
    </row>
    <row r="71" spans="1:6">
      <c r="B71" s="1891" t="s">
        <v>2352</v>
      </c>
      <c r="C71" s="1630" t="s">
        <v>203</v>
      </c>
      <c r="D71" s="1628" t="s">
        <v>194</v>
      </c>
      <c r="E71" s="1628" t="s">
        <v>167</v>
      </c>
      <c r="F71" s="1629" t="s">
        <v>198</v>
      </c>
    </row>
    <row r="72" spans="1:6">
      <c r="B72" s="1879" t="s">
        <v>2355</v>
      </c>
      <c r="C72" s="250">
        <f>IF($B$3=1,'Class 6 PnD Trucks'!C64,IF($B$3=2,'Class 8 Day-cab Trucks'!C64,'Class 8 Sleeper-cab Trucks'!C64))</f>
        <v>120</v>
      </c>
      <c r="D72" s="631">
        <f>IF($B$3=1,'Class 6 PnD Trucks'!D64,IF($B$3=2,'Class 8 Day-cab Trucks'!D64,'Class 8 Sleeper-cab Trucks'!D64))</f>
        <v>120</v>
      </c>
      <c r="E72" s="631">
        <f>IF($B$3=1,'Class 6 PnD Trucks'!E64,IF($B$3=2,'Class 8 Day-cab Trucks'!E64,'Class 8 Sleeper-cab Trucks'!E64))</f>
        <v>120</v>
      </c>
      <c r="F72" s="245">
        <f>IF($B$3=1,'Class 6 PnD Trucks'!F64,IF($B$3=2,'Class 8 Day-cab Trucks'!F64,'Class 8 Sleeper-cab Trucks'!F64))</f>
        <v>120</v>
      </c>
    </row>
    <row r="73" spans="1:6">
      <c r="B73" s="119" t="s">
        <v>2356</v>
      </c>
      <c r="C73" s="242">
        <f>IF($B$3=1,'Class 6 PnD Trucks'!C65,IF($B$3=2,'Class 8 Day-cab Trucks'!C65,'Class 8 Sleeper-cab Trucks'!C65))</f>
        <v>120</v>
      </c>
      <c r="D73" s="53">
        <f>IF($B$3=1,'Class 6 PnD Trucks'!D65,IF($B$3=2,'Class 8 Day-cab Trucks'!D65,'Class 8 Sleeper-cab Trucks'!D65))</f>
        <v>120</v>
      </c>
      <c r="E73" s="53">
        <f>IF($B$3=1,'Class 6 PnD Trucks'!E65,IF($B$3=2,'Class 8 Day-cab Trucks'!E65,'Class 8 Sleeper-cab Trucks'!E65))</f>
        <v>120</v>
      </c>
      <c r="F73" s="243">
        <f>IF($B$3=1,'Class 6 PnD Trucks'!F65,IF($B$3=2,'Class 8 Day-cab Trucks'!F65,'Class 8 Sleeper-cab Trucks'!F65))</f>
        <v>120</v>
      </c>
    </row>
    <row r="75" spans="1:6">
      <c r="A75" s="172" t="s">
        <v>2358</v>
      </c>
    </row>
    <row r="76" spans="1:6">
      <c r="B76" s="1892"/>
      <c r="C76" s="1893" t="s">
        <v>203</v>
      </c>
      <c r="D76" s="1894" t="s">
        <v>194</v>
      </c>
      <c r="E76" s="1894" t="s">
        <v>167</v>
      </c>
      <c r="F76" s="1895" t="s">
        <v>198</v>
      </c>
    </row>
    <row r="77" spans="1:6">
      <c r="B77" s="58" t="s">
        <v>2359</v>
      </c>
      <c r="C77" s="1880">
        <f xml:space="preserve"> IF($B$3=1,'Class 6 PnD Trucks'!C309,IF($B$3=2,'Class 8 Day-cab Trucks'!C309,'Class 8 Sleeper-cab Trucks'!C309))</f>
        <v>7</v>
      </c>
      <c r="D77" s="1881">
        <f xml:space="preserve"> IF($B$3=1,'Class 6 PnD Trucks'!D309,IF($B$3=2,'Class 8 Day-cab Trucks'!D309,'Class 8 Sleeper-cab Trucks'!D309))</f>
        <v>7</v>
      </c>
      <c r="E77" s="1881">
        <f xml:space="preserve"> IF($B$3=1,'Class 6 PnD Trucks'!E309,IF($B$3=2,'Class 8 Day-cab Trucks'!E309,'Class 8 Sleeper-cab Trucks'!E309))</f>
        <v>7</v>
      </c>
      <c r="F77" s="1882">
        <f xml:space="preserve"> IF($B$3=1,'Class 6 PnD Trucks'!F309,IF($B$3=2,'Class 8 Day-cab Trucks'!F309,'Class 8 Sleeper-cab Trucks'!F309))</f>
        <v>7</v>
      </c>
    </row>
    <row r="78" spans="1:6">
      <c r="B78" s="118" t="s">
        <v>2360</v>
      </c>
      <c r="C78" s="242">
        <f xml:space="preserve"> IF($B$3=1,'Class 6 PnD Trucks'!C310,IF($B$3=2,'Class 8 Day-cab Trucks'!C310,'Class 8 Sleeper-cab Trucks'!C310))</f>
        <v>19</v>
      </c>
      <c r="D78" s="53">
        <f xml:space="preserve"> IF($B$3=1,'Class 6 PnD Trucks'!D310,IF($B$3=2,'Class 8 Day-cab Trucks'!D310,'Class 8 Sleeper-cab Trucks'!D310))</f>
        <v>19</v>
      </c>
      <c r="E78" s="53">
        <f xml:space="preserve"> IF($B$3=1,'Class 6 PnD Trucks'!E310,IF($B$3=2,'Class 8 Day-cab Trucks'!E310,'Class 8 Sleeper-cab Trucks'!E310))</f>
        <v>0</v>
      </c>
      <c r="F78" s="243">
        <f xml:space="preserve"> IF($B$3=1,'Class 6 PnD Trucks'!F310,IF($B$3=2,'Class 8 Day-cab Trucks'!F310,'Class 8 Sleeper-cab Trucks'!F310))</f>
        <v>0</v>
      </c>
    </row>
    <row r="80" spans="1:6" ht="15">
      <c r="A80" s="120" t="s">
        <v>2361</v>
      </c>
    </row>
    <row r="81" spans="1:4">
      <c r="A81" s="172" t="s">
        <v>2362</v>
      </c>
    </row>
    <row r="82" spans="1:4">
      <c r="B82" s="1860"/>
      <c r="C82" s="1896" t="s">
        <v>200</v>
      </c>
    </row>
    <row r="83" spans="1:4">
      <c r="B83" s="1860" t="s">
        <v>194</v>
      </c>
      <c r="C83" s="1897">
        <f>IF($B$3=1,'Class 6 PnD Trucks'!C70,IF($B$3=2,'Class 8 Day-cab Trucks'!C70,'Class 8 Sleeper-cab Trucks'!C70))</f>
        <v>219</v>
      </c>
    </row>
    <row r="84" spans="1:4">
      <c r="B84" s="192" t="s">
        <v>198</v>
      </c>
      <c r="C84" s="78">
        <f>IF($B$3=1,'Class 6 PnD Trucks'!C71,IF($B$3=2,'Class 8 Day-cab Trucks'!C71,'Class 8 Sleeper-cab Trucks'!C71))</f>
        <v>112</v>
      </c>
    </row>
    <row r="86" spans="1:4">
      <c r="A86" s="172" t="s">
        <v>2363</v>
      </c>
    </row>
    <row r="87" spans="1:4">
      <c r="B87" s="1625"/>
      <c r="C87" s="1896" t="s">
        <v>200</v>
      </c>
    </row>
    <row r="88" spans="1:4">
      <c r="B88" s="1625" t="s">
        <v>167</v>
      </c>
      <c r="C88" s="1308">
        <f>IF($B$3=1,'Class 6 PnD Trucks'!C75,IF($B$3=2,'Class 8 Day-cab Trucks'!C75,'Class 8 Sleeper-cab Trucks'!C75))</f>
        <v>1622</v>
      </c>
    </row>
    <row r="90" spans="1:4">
      <c r="A90" s="172" t="s">
        <v>2364</v>
      </c>
    </row>
    <row r="91" spans="1:4">
      <c r="B91" s="1627"/>
      <c r="C91" s="1837" t="s">
        <v>153</v>
      </c>
      <c r="D91" s="1838" t="s">
        <v>200</v>
      </c>
    </row>
    <row r="92" spans="1:4">
      <c r="B92" s="1860" t="s">
        <v>203</v>
      </c>
      <c r="C92" s="1898">
        <f>IF($B$3=1,'Class 6 PnD Trucks'!C79,IF($B$3=2,'Class 8 Day-cab Trucks'!C79,'Class 8 Sleeper-cab Trucks'!C79))</f>
        <v>1</v>
      </c>
      <c r="D92" s="1899">
        <f>IF($B$3=1,'Class 6 PnD Trucks'!D79,IF($B$3=2,'Class 8 Day-cab Trucks'!D79,'Class 8 Sleeper-cab Trucks'!D79))</f>
        <v>0</v>
      </c>
    </row>
    <row r="93" spans="1:4">
      <c r="B93" s="191" t="s">
        <v>194</v>
      </c>
      <c r="C93" s="1900">
        <f>IF($B$3=1,'Class 6 PnD Trucks'!C80,IF($B$3=2,'Class 8 Day-cab Trucks'!C80,'Class 8 Sleeper-cab Trucks'!C80))</f>
        <v>1</v>
      </c>
      <c r="D93" s="1901">
        <f>IF($B$3=1,'Class 6 PnD Trucks'!D80,IF($B$3=2,'Class 8 Day-cab Trucks'!D80,'Class 8 Sleeper-cab Trucks'!D80))</f>
        <v>1</v>
      </c>
    </row>
    <row r="94" spans="1:4">
      <c r="B94" s="191" t="s">
        <v>167</v>
      </c>
      <c r="C94" s="1900">
        <f>IF($B$3=1,'Class 6 PnD Trucks'!C81,IF($B$3=2,'Class 8 Day-cab Trucks'!C81,'Class 8 Sleeper-cab Trucks'!C81))</f>
        <v>1</v>
      </c>
      <c r="D94" s="1901">
        <f>IF($B$3=1,'Class 6 PnD Trucks'!D81,IF($B$3=2,'Class 8 Day-cab Trucks'!D81,'Class 8 Sleeper-cab Trucks'!D81))</f>
        <v>1</v>
      </c>
    </row>
    <row r="95" spans="1:4">
      <c r="B95" s="192" t="s">
        <v>198</v>
      </c>
      <c r="C95" s="1902">
        <f>IF($B$3=1,'Class 6 PnD Trucks'!C82,IF($B$3=2,'Class 8 Day-cab Trucks'!C82,'Class 8 Sleeper-cab Trucks'!C82))</f>
        <v>1</v>
      </c>
      <c r="D95" s="1903">
        <f>IF($B$3=1,'Class 6 PnD Trucks'!D82,IF($B$3=2,'Class 8 Day-cab Trucks'!D82,'Class 8 Sleeper-cab Trucks'!D82))</f>
        <v>1</v>
      </c>
    </row>
    <row r="97" spans="1:22">
      <c r="A97" s="172" t="s">
        <v>2365</v>
      </c>
    </row>
    <row r="98" spans="1:22">
      <c r="B98" s="80" t="s">
        <v>194</v>
      </c>
      <c r="C98" s="925">
        <v>2</v>
      </c>
      <c r="D98" s="1321" t="s">
        <v>2366</v>
      </c>
    </row>
    <row r="99" spans="1:22">
      <c r="B99" s="173" t="s">
        <v>167</v>
      </c>
      <c r="C99" s="1904">
        <v>2</v>
      </c>
      <c r="D99" s="1321" t="s">
        <v>2366</v>
      </c>
    </row>
    <row r="100" spans="1:22">
      <c r="B100" s="174" t="s">
        <v>198</v>
      </c>
      <c r="C100" s="926">
        <v>2</v>
      </c>
      <c r="D100" s="1321" t="s">
        <v>2366</v>
      </c>
    </row>
    <row r="102" spans="1:22">
      <c r="A102" s="172" t="s">
        <v>2367</v>
      </c>
    </row>
    <row r="103" spans="1:22">
      <c r="B103" s="80"/>
      <c r="C103" s="3143" t="s">
        <v>200</v>
      </c>
      <c r="D103" s="3144"/>
      <c r="H103" s="3145" t="s">
        <v>209</v>
      </c>
      <c r="I103" s="3146"/>
      <c r="J103" s="3146"/>
      <c r="K103" s="3146"/>
      <c r="L103" s="3147"/>
      <c r="M103" s="3148"/>
      <c r="N103" s="3148"/>
      <c r="O103" s="3148"/>
      <c r="P103" s="3148"/>
      <c r="Q103" s="3148"/>
      <c r="R103" s="3148"/>
      <c r="S103" s="3148"/>
      <c r="T103" s="3148"/>
      <c r="U103" s="3148"/>
      <c r="V103" s="3148"/>
    </row>
    <row r="104" spans="1:22">
      <c r="B104" s="174"/>
      <c r="C104" s="192" t="s">
        <v>210</v>
      </c>
      <c r="D104" s="1905" t="s">
        <v>211</v>
      </c>
      <c r="H104" s="1906" t="s">
        <v>2368</v>
      </c>
      <c r="I104" s="1861" t="s">
        <v>222</v>
      </c>
      <c r="J104" s="1862" t="s">
        <v>221</v>
      </c>
      <c r="K104" s="1862" t="s">
        <v>226</v>
      </c>
      <c r="L104" s="1863" t="s">
        <v>213</v>
      </c>
      <c r="M104" s="1877"/>
      <c r="N104" s="1864"/>
      <c r="O104" s="1864"/>
      <c r="P104" s="1864"/>
      <c r="Q104" s="1864"/>
      <c r="R104" s="1877"/>
      <c r="S104" s="1864"/>
      <c r="T104" s="1864"/>
      <c r="U104" s="1864"/>
      <c r="V104" s="1864"/>
    </row>
    <row r="105" spans="1:22">
      <c r="B105" s="191" t="s">
        <v>194</v>
      </c>
      <c r="C105" s="250">
        <f xml:space="preserve"> IF($C$98=1, I105, IF($C$98=2, J105, IF($C$98=3, K105,L105)))</f>
        <v>2808.1198057971133</v>
      </c>
      <c r="D105" s="245">
        <f>C105/2.2046</f>
        <v>1273.7547880781608</v>
      </c>
      <c r="H105" s="80" t="s">
        <v>194</v>
      </c>
      <c r="I105" s="1907">
        <f xml:space="preserve"> IF($B$3=1,'Class 6 PnD Trucks'!C87,IF($B$3=2,'Class 8 Day-cab Trucks'!C87,'Class 8 Sleeper-cab Trucks'!C87))</f>
        <v>3111.8557895406857</v>
      </c>
      <c r="J105" s="1907">
        <f xml:space="preserve"> IF($B$3=1,'Class 6 PnD Trucks'!D87,IF($B$3=2,'Class 8 Day-cab Trucks'!D87,'Class 8 Sleeper-cab Trucks'!D87))</f>
        <v>2808.1198057971133</v>
      </c>
      <c r="K105" s="1907">
        <f xml:space="preserve"> IF($B$3=1,'Class 6 PnD Trucks'!E87,IF($B$3=2,'Class 8 Day-cab Trucks'!E87,'Class 8 Sleeper-cab Trucks'!E87))</f>
        <v>2693.6862471788909</v>
      </c>
      <c r="L105" s="1908">
        <f xml:space="preserve"> IF($B$3=1,'Class 6 PnD Trucks'!F87,IF($B$3=2,'Class 8 Day-cab Trucks'!F87,'Class 8 Sleeper-cab Trucks'!F87))</f>
        <v>2651.974223965462</v>
      </c>
      <c r="N105" s="1909"/>
      <c r="O105" s="1909"/>
      <c r="P105" s="1909"/>
      <c r="Q105" s="1808"/>
      <c r="S105" s="1909"/>
      <c r="T105" s="1909"/>
      <c r="U105" s="1909"/>
      <c r="V105" s="1808"/>
    </row>
    <row r="106" spans="1:22">
      <c r="B106" s="192" t="s">
        <v>198</v>
      </c>
      <c r="C106" s="242">
        <f xml:space="preserve"> IF($C$100=1, I106, IF($C$100=2, J106, IF($C$100=3, K106,L106)))</f>
        <v>1213.5385506504831</v>
      </c>
      <c r="D106" s="243">
        <f>C106/2.2046</f>
        <v>550.45747557401933</v>
      </c>
      <c r="H106" s="174" t="s">
        <v>198</v>
      </c>
      <c r="I106" s="1910">
        <f xml:space="preserve"> IF($B$3=1,'Class 6 PnD Trucks'!C88,IF($B$3=2,'Class 8 Day-cab Trucks'!C88,'Class 8 Sleeper-cab Trucks'!C88))</f>
        <v>1270.5878689525825</v>
      </c>
      <c r="J106" s="1910">
        <f xml:space="preserve"> IF($B$3=1,'Class 6 PnD Trucks'!D88,IF($B$3=2,'Class 8 Day-cab Trucks'!D88,'Class 8 Sleeper-cab Trucks'!D88))</f>
        <v>1213.5385506504831</v>
      </c>
      <c r="K106" s="1910">
        <f xml:space="preserve"> IF($B$3=1,'Class 6 PnD Trucks'!E88,IF($B$3=2,'Class 8 Day-cab Trucks'!E88,'Class 8 Sleeper-cab Trucks'!E88))</f>
        <v>1165.6550759358854</v>
      </c>
      <c r="L106" s="1911">
        <f xml:space="preserve"> IF($B$3=1,'Class 6 PnD Trucks'!F88,IF($B$3=2,'Class 8 Day-cab Trucks'!F88,'Class 8 Sleeper-cab Trucks'!F88))</f>
        <v>1146.6877192166596</v>
      </c>
      <c r="N106" s="1808"/>
      <c r="O106" s="1808"/>
      <c r="P106" s="1808"/>
      <c r="Q106" s="1808"/>
      <c r="S106" s="1808"/>
      <c r="T106" s="1808"/>
      <c r="U106" s="1808"/>
      <c r="V106" s="1808"/>
    </row>
    <row r="107" spans="1:22">
      <c r="E107" s="250"/>
    </row>
    <row r="108" spans="1:22">
      <c r="A108" s="172" t="s">
        <v>2369</v>
      </c>
    </row>
    <row r="109" spans="1:22">
      <c r="B109" s="80"/>
      <c r="C109" s="3143" t="s">
        <v>200</v>
      </c>
      <c r="D109" s="3144"/>
      <c r="H109" s="3145" t="s">
        <v>216</v>
      </c>
      <c r="I109" s="3146"/>
      <c r="J109" s="3146"/>
      <c r="K109" s="3146"/>
      <c r="L109" s="3147"/>
      <c r="M109" s="3148"/>
      <c r="N109" s="3148"/>
      <c r="O109" s="3148"/>
      <c r="P109" s="3148"/>
      <c r="Q109" s="3148"/>
      <c r="R109" s="3148"/>
      <c r="S109" s="3148"/>
      <c r="T109" s="3148"/>
      <c r="U109" s="3148"/>
      <c r="V109" s="3148"/>
    </row>
    <row r="110" spans="1:22">
      <c r="B110" s="173"/>
      <c r="C110" s="192" t="s">
        <v>219</v>
      </c>
      <c r="D110" s="1905" t="s">
        <v>220</v>
      </c>
      <c r="H110" s="1906" t="s">
        <v>2368</v>
      </c>
      <c r="I110" s="1861" t="s">
        <v>222</v>
      </c>
      <c r="J110" s="1862" t="s">
        <v>221</v>
      </c>
      <c r="K110" s="1862" t="s">
        <v>226</v>
      </c>
      <c r="L110" s="1863" t="s">
        <v>213</v>
      </c>
      <c r="M110" s="1877"/>
      <c r="N110" s="1864"/>
      <c r="O110" s="1864"/>
      <c r="P110" s="1864"/>
      <c r="Q110" s="1864"/>
      <c r="R110" s="1877"/>
      <c r="S110" s="1864"/>
      <c r="T110" s="1864"/>
      <c r="U110" s="1864"/>
      <c r="V110" s="1864"/>
    </row>
    <row r="111" spans="1:22">
      <c r="B111" s="1879" t="s">
        <v>194</v>
      </c>
      <c r="C111" s="1880">
        <f xml:space="preserve"> IF($C$98=1,I111,IF($C$98=2,J111,IF($C$98=3,K111,L111)))</f>
        <v>89.757254066574404</v>
      </c>
      <c r="D111" s="1882">
        <f>C111/2.2046</f>
        <v>40.713623363228884</v>
      </c>
      <c r="H111" s="1912" t="s">
        <v>194</v>
      </c>
      <c r="I111" s="1913">
        <f xml:space="preserve"> IF($B$3=1,'Class 6 PnD Trucks'!C93,IF($B$3=2,'Class 8 Day-cab Trucks'!C93,'Class 8 Sleeper-cab Trucks'!C93))</f>
        <v>99.465710167967117</v>
      </c>
      <c r="J111" s="1914">
        <f xml:space="preserve"> IF($B$3=1,'Class 6 PnD Trucks'!D93,IF($B$3=2,'Class 8 Day-cab Trucks'!D93,'Class 8 Sleeper-cab Trucks'!D93))</f>
        <v>89.757254066574404</v>
      </c>
      <c r="K111" s="1914">
        <f xml:space="preserve"> IF($B$3=1,'Class 6 PnD Trucks'!E93,IF($B$3=2,'Class 8 Day-cab Trucks'!E93,'Class 8 Sleeper-cab Trucks'!E93))</f>
        <v>86.099560412110677</v>
      </c>
      <c r="L111" s="1915">
        <f xml:space="preserve"> IF($B$3=1,'Class 6 PnD Trucks'!F93,IF($B$3=2,'Class 8 Day-cab Trucks'!F93,'Class 8 Sleeper-cab Trucks'!F93))</f>
        <v>84.766299396156327</v>
      </c>
      <c r="M111" s="1877"/>
      <c r="N111" s="1864"/>
      <c r="O111" s="1864"/>
      <c r="P111" s="1864"/>
      <c r="Q111" s="1864"/>
      <c r="R111" s="1877"/>
      <c r="S111" s="1864"/>
      <c r="T111" s="1864"/>
      <c r="U111" s="1864"/>
      <c r="V111" s="1864"/>
    </row>
    <row r="112" spans="1:22">
      <c r="B112" s="1883" t="s">
        <v>167</v>
      </c>
      <c r="C112" s="250">
        <f xml:space="preserve"> IF($C$99=1,I112,IF($C$99=2,J112,IF($C$99=3,K112,L112)))</f>
        <v>209.86033029087125</v>
      </c>
      <c r="D112" s="245">
        <f>C112/2.2046</f>
        <v>95.192021360279071</v>
      </c>
      <c r="H112" s="59" t="s">
        <v>167</v>
      </c>
      <c r="I112" s="1916">
        <f xml:space="preserve"> IF($B$3=1,'Class 6 PnD Trucks'!C94,IF($B$3=2,'Class 8 Day-cab Trucks'!C94,'Class 8 Sleeper-cab Trucks'!C94))</f>
        <v>223.07311822571609</v>
      </c>
      <c r="J112" s="1917">
        <f xml:space="preserve"> IF($B$3=1,'Class 6 PnD Trucks'!D94,IF($B$3=2,'Class 8 Day-cab Trucks'!D94,'Class 8 Sleeper-cab Trucks'!D94))</f>
        <v>209.86033029087125</v>
      </c>
      <c r="K112" s="1917">
        <f xml:space="preserve"> IF($B$3=1,'Class 6 PnD Trucks'!E94,IF($B$3=2,'Class 8 Day-cab Trucks'!E94,'Class 8 Sleeper-cab Trucks'!E94))</f>
        <v>196.1694461284965</v>
      </c>
      <c r="L112" s="1918">
        <f xml:space="preserve"> IF($B$3=1,'Class 6 PnD Trucks'!F94,IF($B$3=2,'Class 8 Day-cab Trucks'!F94,'Class 8 Sleeper-cab Trucks'!F94))</f>
        <v>0</v>
      </c>
      <c r="N112" s="1919"/>
      <c r="O112" s="1919"/>
      <c r="P112" s="1919"/>
      <c r="Q112" s="1919"/>
      <c r="S112" s="1919"/>
      <c r="T112" s="1919"/>
      <c r="U112" s="1919"/>
      <c r="V112" s="1919"/>
    </row>
    <row r="113" spans="1:22">
      <c r="B113" s="119" t="s">
        <v>198</v>
      </c>
      <c r="C113" s="242">
        <f xml:space="preserve"> IF($C$100=1,I113,IF($C$100=2,J113,IF($C$100=3,K113,L113)))</f>
        <v>97.516490677270951</v>
      </c>
      <c r="D113" s="243">
        <f>C113/2.2046</f>
        <v>44.233190001483692</v>
      </c>
      <c r="H113" s="118" t="s">
        <v>198</v>
      </c>
      <c r="I113" s="1920">
        <f xml:space="preserve"> IF($B$3=1,'Class 6 PnD Trucks'!C95,IF($B$3=2,'Class 8 Day-cab Trucks'!C95,'Class 8 Sleeper-cab Trucks'!C95))</f>
        <v>102.10081089797538</v>
      </c>
      <c r="J113" s="1921">
        <f xml:space="preserve"> IF($B$3=1,'Class 6 PnD Trucks'!D95,IF($B$3=2,'Class 8 Day-cab Trucks'!D95,'Class 8 Sleeper-cab Trucks'!D95))</f>
        <v>97.516490677270951</v>
      </c>
      <c r="K113" s="1921">
        <f xml:space="preserve"> IF($B$3=1,'Class 6 PnD Trucks'!E95,IF($B$3=2,'Class 8 Day-cab Trucks'!E95,'Class 8 Sleeper-cab Trucks'!E95))</f>
        <v>93.668711459133647</v>
      </c>
      <c r="L113" s="1922">
        <f xml:space="preserve"> IF($B$3=1,'Class 6 PnD Trucks'!F95,IF($B$3=2,'Class 8 Day-cab Trucks'!F95,'Class 8 Sleeper-cab Trucks'!F95))</f>
        <v>92.144548865624444</v>
      </c>
      <c r="N113" s="1919"/>
      <c r="O113" s="1919"/>
      <c r="P113" s="1919"/>
      <c r="Q113" s="1919"/>
      <c r="S113" s="1919"/>
      <c r="T113" s="1919"/>
      <c r="U113" s="1919"/>
      <c r="V113" s="1919"/>
    </row>
    <row r="115" spans="1:22">
      <c r="A115" s="172" t="s">
        <v>2370</v>
      </c>
    </row>
    <row r="116" spans="1:22">
      <c r="B116" s="1299">
        <f xml:space="preserve"> IF($B$3=1,'Class 6 PnD Trucks'!B98,IF($B$3=2,'Class 8 Day-cab Trucks'!B98,IF($B$3=3,'Class 8 Sleeper-cab Trucks'!B98)))</f>
        <v>0</v>
      </c>
    </row>
    <row r="118" spans="1:22">
      <c r="A118" s="172" t="s">
        <v>2371</v>
      </c>
    </row>
    <row r="119" spans="1:22">
      <c r="B119" s="1321" t="s">
        <v>2372</v>
      </c>
    </row>
    <row r="120" spans="1:22">
      <c r="B120" s="1610">
        <v>1</v>
      </c>
      <c r="C120" s="1321" t="s">
        <v>2373</v>
      </c>
    </row>
    <row r="122" spans="1:22" ht="15">
      <c r="A122" s="120" t="s">
        <v>2374</v>
      </c>
    </row>
    <row r="123" spans="1:22">
      <c r="A123" s="172" t="s">
        <v>2375</v>
      </c>
    </row>
    <row r="124" spans="1:22" ht="25.5">
      <c r="B124" s="433" t="s">
        <v>157</v>
      </c>
      <c r="C124" s="405" t="s">
        <v>2339</v>
      </c>
      <c r="D124" s="405" t="s">
        <v>2340</v>
      </c>
      <c r="E124" s="405" t="s">
        <v>2376</v>
      </c>
      <c r="F124" s="175" t="s">
        <v>2342</v>
      </c>
      <c r="G124" s="175" t="s">
        <v>2343</v>
      </c>
      <c r="H124" s="175" t="s">
        <v>158</v>
      </c>
      <c r="I124" s="175" t="s">
        <v>159</v>
      </c>
      <c r="J124" s="405" t="s">
        <v>160</v>
      </c>
      <c r="K124" s="405" t="s">
        <v>161</v>
      </c>
      <c r="L124" s="175" t="s">
        <v>2344</v>
      </c>
      <c r="M124" s="405" t="s">
        <v>162</v>
      </c>
      <c r="N124" s="432" t="s">
        <v>163</v>
      </c>
    </row>
    <row r="125" spans="1:22">
      <c r="B125" s="1309">
        <f>IF($B$3=1,'Class 6 PnD Trucks'!B102,IF($B$3=2,'Class 8 Day-cab Trucks'!B102,'Class 8 Sleeper-cab Trucks'!B102))</f>
        <v>19</v>
      </c>
      <c r="C125" s="1310">
        <f>IF($B$3=1,'Class 6 PnD Trucks'!C102,IF($B$3=2,'Class 8 Day-cab Trucks'!C102,'Class 8 Sleeper-cab Trucks'!C102))</f>
        <v>39</v>
      </c>
      <c r="D125" s="1310">
        <f>IF($B$3=1,'Class 6 PnD Trucks'!D102,IF($B$3=2,'Class 8 Day-cab Trucks'!D102,'Class 8 Sleeper-cab Trucks'!D102))</f>
        <v>1</v>
      </c>
      <c r="E125" s="1310">
        <f>IF($B$3=1,'Class 6 PnD Trucks'!E102,IF($B$3=2,'Class 8 Day-cab Trucks'!E102,'Class 8 Sleeper-cab Trucks'!E102))</f>
        <v>7</v>
      </c>
      <c r="F125" s="1310">
        <f>IF($B$3=1,'Class 6 PnD Trucks'!F102,IF($B$3=2,'Class 8 Day-cab Trucks'!F102,'Class 8 Sleeper-cab Trucks'!F102))</f>
        <v>1</v>
      </c>
      <c r="G125" s="1310">
        <f>IF($B$3=1,'Class 6 PnD Trucks'!G102,IF($B$3=2,'Class 8 Day-cab Trucks'!G102,'Class 8 Sleeper-cab Trucks'!G102))</f>
        <v>1</v>
      </c>
      <c r="H125" s="1310">
        <f>IF($B$3=1,'Class 6 PnD Trucks'!H102,IF($B$3=2,'Class 8 Day-cab Trucks'!H102,'Class 8 Sleeper-cab Trucks'!H102))</f>
        <v>0</v>
      </c>
      <c r="I125" s="1310">
        <f>IF($B$3=1,'Class 6 PnD Trucks'!I102,IF($B$3=2,'Class 8 Day-cab Trucks'!I102,'Class 8 Sleeper-cab Trucks'!I102))</f>
        <v>0</v>
      </c>
      <c r="J125" s="1310">
        <f>IF($B$3=1,'Class 6 PnD Trucks'!J102,IF($B$3=2,'Class 8 Day-cab Trucks'!J102,'Class 8 Sleeper-cab Trucks'!J102))</f>
        <v>1</v>
      </c>
      <c r="K125" s="1310">
        <f>IF($B$3=1,'Class 6 PnD Trucks'!K102,IF($B$3=2,'Class 8 Day-cab Trucks'!K102,'Class 8 Sleeper-cab Trucks'!K102))</f>
        <v>1</v>
      </c>
      <c r="L125" s="1310">
        <f>IF($B$3=1,'Class 6 PnD Trucks'!L102,IF($B$3=2,'Class 8 Day-cab Trucks'!L102,'Class 8 Sleeper-cab Trucks'!L102))</f>
        <v>1</v>
      </c>
      <c r="M125" s="1310">
        <f>IF($B$3=1,'Class 6 PnD Trucks'!M102,IF($B$3=2,'Class 8 Day-cab Trucks'!M102,'Class 8 Sleeper-cab Trucks'!M102))</f>
        <v>16</v>
      </c>
      <c r="N125" s="1444">
        <f>IF($B$3=1,'Class 6 PnD Trucks'!N102,IF($B$3=2,'Class 8 Day-cab Trucks'!N102,'Class 8 Sleeper-cab Trucks'!N102))</f>
        <v>1</v>
      </c>
    </row>
    <row r="127" spans="1:22">
      <c r="A127" s="172" t="s">
        <v>229</v>
      </c>
    </row>
    <row r="128" spans="1:22" ht="25.5">
      <c r="B128" s="433" t="s">
        <v>157</v>
      </c>
      <c r="C128" s="405" t="s">
        <v>2339</v>
      </c>
      <c r="D128" s="405" t="s">
        <v>2340</v>
      </c>
      <c r="E128" s="405" t="s">
        <v>2376</v>
      </c>
      <c r="F128" s="175" t="s">
        <v>2342</v>
      </c>
      <c r="G128" s="175" t="s">
        <v>2343</v>
      </c>
      <c r="H128" s="175" t="s">
        <v>158</v>
      </c>
      <c r="I128" s="175" t="s">
        <v>159</v>
      </c>
      <c r="J128" s="405" t="s">
        <v>160</v>
      </c>
      <c r="K128" s="405" t="s">
        <v>161</v>
      </c>
      <c r="L128" s="175" t="s">
        <v>2344</v>
      </c>
      <c r="M128" s="405" t="s">
        <v>162</v>
      </c>
      <c r="N128" s="432" t="s">
        <v>163</v>
      </c>
    </row>
    <row r="129" spans="1:14">
      <c r="B129" s="1923">
        <v>0.66666666666666663</v>
      </c>
      <c r="C129" s="1924">
        <v>0.66666666666666663</v>
      </c>
      <c r="D129" s="1924">
        <v>0.66666666666666663</v>
      </c>
      <c r="E129" s="1924">
        <v>0.66666666666666663</v>
      </c>
      <c r="F129" s="1924">
        <v>0.66666666666666663</v>
      </c>
      <c r="G129" s="1924">
        <v>0.66666666666666663</v>
      </c>
      <c r="H129" s="1924">
        <v>0.66666666666666663</v>
      </c>
      <c r="I129" s="1924">
        <v>0.66666666666666663</v>
      </c>
      <c r="J129" s="1924">
        <v>0.66666666666666663</v>
      </c>
      <c r="K129" s="1924">
        <v>0.66666666666666663</v>
      </c>
      <c r="L129" s="1924">
        <v>0.66666666666666663</v>
      </c>
      <c r="M129" s="1924">
        <v>0</v>
      </c>
      <c r="N129" s="1925">
        <v>0.66666666666666663</v>
      </c>
    </row>
    <row r="131" spans="1:14" ht="15">
      <c r="A131" s="120" t="s">
        <v>2377</v>
      </c>
    </row>
    <row r="132" spans="1:14">
      <c r="A132" s="172" t="s">
        <v>231</v>
      </c>
    </row>
    <row r="133" spans="1:14">
      <c r="B133" s="1929">
        <v>2.2999999999999998</v>
      </c>
      <c r="C133" s="1321" t="s">
        <v>232</v>
      </c>
    </row>
    <row r="134" spans="1:14">
      <c r="B134" s="1115">
        <v>0.161</v>
      </c>
      <c r="C134" s="1321" t="s">
        <v>234</v>
      </c>
    </row>
    <row r="136" spans="1:14">
      <c r="A136" s="172" t="s">
        <v>2378</v>
      </c>
    </row>
    <row r="137" spans="1:14">
      <c r="B137" s="169">
        <v>0.28699999999999998</v>
      </c>
      <c r="C137" s="1321" t="s">
        <v>236</v>
      </c>
    </row>
    <row r="138" spans="1:14">
      <c r="B138" s="170">
        <v>2.7589999999999999</v>
      </c>
      <c r="C138" s="1321" t="s">
        <v>237</v>
      </c>
    </row>
    <row r="139" spans="1:14">
      <c r="B139" s="170">
        <v>0.99</v>
      </c>
      <c r="C139" s="1321" t="s">
        <v>238</v>
      </c>
    </row>
    <row r="140" spans="1:14">
      <c r="B140" s="170">
        <v>2.9820000000000002</v>
      </c>
      <c r="C140" s="1321" t="s">
        <v>239</v>
      </c>
    </row>
    <row r="141" spans="1:14">
      <c r="B141" s="170">
        <v>0.20499999999999999</v>
      </c>
      <c r="C141" s="1321" t="s">
        <v>240</v>
      </c>
    </row>
    <row r="142" spans="1:14">
      <c r="B142" s="170">
        <v>0.27300000000000002</v>
      </c>
      <c r="C142" s="1321" t="s">
        <v>241</v>
      </c>
    </row>
    <row r="143" spans="1:14">
      <c r="B143" s="170">
        <v>0.40899999999999997</v>
      </c>
      <c r="C143" s="1321" t="s">
        <v>242</v>
      </c>
    </row>
    <row r="144" spans="1:14">
      <c r="B144" s="171">
        <f>0.00047*C9</f>
        <v>8.5613372039195692</v>
      </c>
      <c r="C144" s="1321" t="s">
        <v>243</v>
      </c>
    </row>
    <row r="146" spans="1:15" ht="15">
      <c r="A146" s="120" t="s">
        <v>2379</v>
      </c>
    </row>
    <row r="147" spans="1:15">
      <c r="B147" s="264" t="s">
        <v>203</v>
      </c>
      <c r="C147" s="175" t="s">
        <v>194</v>
      </c>
      <c r="D147" s="175" t="s">
        <v>167</v>
      </c>
      <c r="E147" s="176" t="s">
        <v>198</v>
      </c>
      <c r="G147" s="1859"/>
      <c r="H147" s="1859"/>
      <c r="I147" s="1859"/>
      <c r="J147" s="1859"/>
      <c r="K147" s="1859"/>
    </row>
    <row r="148" spans="1:15">
      <c r="B148" s="1309">
        <f>IF($B$3=1,'Class 6 PnD Trucks'!C106,IF($B$3=2,'Class 8 Day-cab Trucks'!C106,'Class 8 Sleeper-cab Trucks'!C106))</f>
        <v>1000000</v>
      </c>
      <c r="C148" s="1310">
        <f>IF($B$3=1,'Class 6 PnD Trucks'!D106,IF($B$3=2,'Class 8 Day-cab Trucks'!D106,'Class 8 Sleeper-cab Trucks'!D106))</f>
        <v>1000000</v>
      </c>
      <c r="D148" s="1310">
        <f>IF($B$3=1,'Class 6 PnD Trucks'!E106,IF($B$3=2,'Class 8 Day-cab Trucks'!E106,'Class 8 Sleeper-cab Trucks'!E106))</f>
        <v>1000000</v>
      </c>
      <c r="E148" s="1444">
        <f>IF($B$3=1,'Class 6 PnD Trucks'!F106,IF($B$3=2,'Class 8 Day-cab Trucks'!F106,'Class 8 Sleeper-cab Trucks'!F106))</f>
        <v>1000000</v>
      </c>
      <c r="F148" s="631"/>
      <c r="G148" s="631"/>
      <c r="H148" s="631"/>
      <c r="I148" s="631"/>
      <c r="J148" s="631"/>
      <c r="K148" s="631"/>
    </row>
    <row r="150" spans="1:15" ht="15">
      <c r="A150" s="120" t="s">
        <v>2380</v>
      </c>
    </row>
    <row r="151" spans="1:15">
      <c r="A151" s="172" t="s">
        <v>2381</v>
      </c>
    </row>
    <row r="152" spans="1:15">
      <c r="B152" s="1886" t="s">
        <v>2352</v>
      </c>
      <c r="C152" s="1887" t="s">
        <v>2353</v>
      </c>
      <c r="D152" s="1888" t="s">
        <v>2382</v>
      </c>
    </row>
    <row r="153" spans="1:15">
      <c r="B153" s="1890" t="s">
        <v>2383</v>
      </c>
      <c r="C153" s="1930">
        <f xml:space="preserve"> IF($B$3=1,'Class 6 PnD Trucks'!C235,IF($B$3=2,'Class 8 Day-cab Trucks'!C235,'Class 8 Sleeper-cab Trucks'!C235))</f>
        <v>10</v>
      </c>
      <c r="D153" s="1931">
        <f xml:space="preserve"> IF($B$3=1,'Class 6 PnD Trucks'!D235,IF($B$3=2,'Class 8 Day-cab Trucks'!D235,'Class 8 Sleeper-cab Trucks'!D235))</f>
        <v>8</v>
      </c>
    </row>
    <row r="155" spans="1:15">
      <c r="A155" s="172" t="s">
        <v>2384</v>
      </c>
    </row>
    <row r="156" spans="1:15">
      <c r="B156" s="1891"/>
      <c r="C156" s="1932" t="s">
        <v>2385</v>
      </c>
      <c r="D156" s="1859"/>
      <c r="E156" s="1859"/>
      <c r="F156" s="1859"/>
    </row>
    <row r="157" spans="1:15">
      <c r="B157" s="1933" t="s">
        <v>2383</v>
      </c>
      <c r="C157" s="1934">
        <f xml:space="preserve"> IF($B$3=1,'Class 6 PnD Trucks'!C239,IF($B$3=2,'Class 8 Day-cab Trucks'!C239,'Class 8 Sleeper-cab Trucks'!C239))</f>
        <v>120</v>
      </c>
      <c r="D157" s="1935"/>
      <c r="E157" s="1935"/>
      <c r="F157" s="1935"/>
    </row>
    <row r="159" spans="1:15">
      <c r="A159" s="172" t="s">
        <v>2386</v>
      </c>
    </row>
    <row r="160" spans="1:15">
      <c r="B160" s="393"/>
      <c r="C160" s="2836" t="s">
        <v>157</v>
      </c>
      <c r="D160" s="2837" t="s">
        <v>2339</v>
      </c>
      <c r="E160" s="2837" t="s">
        <v>2673</v>
      </c>
      <c r="F160" s="2837" t="s">
        <v>2376</v>
      </c>
      <c r="G160" s="2838" t="s">
        <v>2342</v>
      </c>
      <c r="H160" s="2838" t="s">
        <v>2674</v>
      </c>
      <c r="I160" s="2838" t="s">
        <v>158</v>
      </c>
      <c r="J160" s="2838" t="s">
        <v>159</v>
      </c>
      <c r="K160" s="2837" t="s">
        <v>160</v>
      </c>
      <c r="L160" s="2837" t="s">
        <v>161</v>
      </c>
      <c r="M160" s="2838" t="s">
        <v>2344</v>
      </c>
      <c r="N160" s="2837" t="s">
        <v>162</v>
      </c>
      <c r="O160" s="2839" t="s">
        <v>163</v>
      </c>
    </row>
    <row r="161" spans="1:15">
      <c r="B161" s="1617" t="s">
        <v>2387</v>
      </c>
      <c r="C161" s="2840">
        <f xml:space="preserve"> IF($B$3=1,'Class 6 PnD Trucks'!C249,IF($B$3=2,'Class 8 Day-cab Trucks'!C249,'Class 8 Sleeper-cab Trucks'!C249))</f>
        <v>0</v>
      </c>
      <c r="D161" s="2841">
        <f xml:space="preserve"> IF($B$3=1,'Class 6 PnD Trucks'!D249,IF($B$3=2,'Class 8 Day-cab Trucks'!D249,'Class 8 Sleeper-cab Trucks'!D249))</f>
        <v>0</v>
      </c>
      <c r="E161" s="2841">
        <f xml:space="preserve"> IF($B$3=1,'Class 6 PnD Trucks'!E249,IF($B$3=2,'Class 8 Day-cab Trucks'!E249,'Class 8 Sleeper-cab Trucks'!E249))</f>
        <v>45.181609883549996</v>
      </c>
      <c r="F161" s="2841">
        <f xml:space="preserve"> IF($B$3=1,'Class 6 PnD Trucks'!F249,IF($B$3=2,'Class 8 Day-cab Trucks'!F249,'Class 8 Sleeper-cab Trucks'!F249))</f>
        <v>0</v>
      </c>
      <c r="G161" s="2841">
        <f xml:space="preserve"> IF($B$3=1,'Class 6 PnD Trucks'!G249,IF($B$3=2,'Class 8 Day-cab Trucks'!G249,'Class 8 Sleeper-cab Trucks'!G249))</f>
        <v>0</v>
      </c>
      <c r="H161" s="2841">
        <f xml:space="preserve"> IF($B$3=1,'Class 6 PnD Trucks'!H249,IF($B$3=2,'Class 8 Day-cab Trucks'!H249,'Class 8 Sleeper-cab Trucks'!H249))</f>
        <v>38.01</v>
      </c>
      <c r="I161" s="2841">
        <f xml:space="preserve"> IF($B$3=1,'Class 6 PnD Trucks'!I249,IF($B$3=2,'Class 8 Day-cab Trucks'!I249,'Class 8 Sleeper-cab Trucks'!I249))</f>
        <v>0</v>
      </c>
      <c r="J161" s="2841">
        <f xml:space="preserve"> IF($B$3=1,'Class 6 PnD Trucks'!J249,IF($B$3=2,'Class 8 Day-cab Trucks'!J249,'Class 8 Sleeper-cab Trucks'!J249))</f>
        <v>0</v>
      </c>
      <c r="K161" s="2841">
        <f xml:space="preserve"> IF($B$3=1,'Class 6 PnD Trucks'!K249,IF($B$3=2,'Class 8 Day-cab Trucks'!K249,'Class 8 Sleeper-cab Trucks'!K249))</f>
        <v>0</v>
      </c>
      <c r="L161" s="2841">
        <f xml:space="preserve"> IF($B$3=1,'Class 6 PnD Trucks'!L249,IF($B$3=2,'Class 8 Day-cab Trucks'!L249,'Class 8 Sleeper-cab Trucks'!L249))</f>
        <v>0</v>
      </c>
      <c r="M161" s="2841">
        <f xml:space="preserve"> IF($B$3=1,'Class 6 PnD Trucks'!M249,IF($B$3=2,'Class 8 Day-cab Trucks'!M249,'Class 8 Sleeper-cab Trucks'!M249))</f>
        <v>0</v>
      </c>
      <c r="N161" s="2841">
        <f xml:space="preserve"> IF($B$3=1,'Class 6 PnD Trucks'!N249,IF($B$3=2,'Class 8 Day-cab Trucks'!N249,'Class 8 Sleeper-cab Trucks'!N249))</f>
        <v>0</v>
      </c>
      <c r="O161" s="2842">
        <f xml:space="preserve"> IF($B$3=1,'Class 6 PnD Trucks'!O249,IF($B$3=2,'Class 8 Day-cab Trucks'!O249,'Class 8 Sleeper-cab Trucks'!O249))</f>
        <v>0</v>
      </c>
    </row>
    <row r="162" spans="1:15">
      <c r="B162" s="8"/>
      <c r="C162" s="8"/>
      <c r="D162" s="8"/>
      <c r="E162" s="8"/>
      <c r="F162" s="8"/>
      <c r="G162" s="8"/>
      <c r="H162" s="8"/>
      <c r="I162" s="8"/>
      <c r="J162" s="8"/>
      <c r="K162" s="8"/>
      <c r="L162" s="8"/>
      <c r="M162" s="8"/>
      <c r="N162" s="8"/>
      <c r="O162" s="8"/>
    </row>
    <row r="163" spans="1:15">
      <c r="A163" s="172" t="s">
        <v>2388</v>
      </c>
      <c r="B163" s="8"/>
      <c r="C163" s="8"/>
      <c r="D163" s="8"/>
      <c r="E163" s="8"/>
      <c r="F163" s="8"/>
      <c r="G163" s="8"/>
      <c r="H163" s="8"/>
      <c r="I163" s="8"/>
      <c r="J163" s="8"/>
      <c r="K163" s="8"/>
      <c r="L163" s="8"/>
      <c r="M163" s="8"/>
      <c r="N163" s="8"/>
      <c r="O163" s="8"/>
    </row>
    <row r="164" spans="1:15" ht="25.5">
      <c r="B164" s="1538" t="s">
        <v>157</v>
      </c>
      <c r="C164" s="1539" t="s">
        <v>2339</v>
      </c>
      <c r="D164" s="2837" t="s">
        <v>2673</v>
      </c>
      <c r="E164" s="2837" t="s">
        <v>2494</v>
      </c>
      <c r="F164" s="1541" t="s">
        <v>2342</v>
      </c>
      <c r="G164" s="2838" t="s">
        <v>2674</v>
      </c>
      <c r="H164" s="1541" t="s">
        <v>158</v>
      </c>
      <c r="I164" s="1541" t="s">
        <v>159</v>
      </c>
      <c r="J164" s="1539" t="s">
        <v>160</v>
      </c>
      <c r="K164" s="1539" t="s">
        <v>161</v>
      </c>
      <c r="L164" s="1541" t="s">
        <v>2344</v>
      </c>
      <c r="M164" s="1539" t="s">
        <v>162</v>
      </c>
      <c r="N164" s="2843" t="s">
        <v>163</v>
      </c>
      <c r="O164" s="8"/>
    </row>
    <row r="165" spans="1:15">
      <c r="B165" s="2844">
        <f xml:space="preserve"> IF($B$3=1,'Class 6 PnD Trucks'!B253,IF($B$3=2,'Class 8 Day-cab Trucks'!B253,'Class 8 Sleeper-cab Trucks'!B253))</f>
        <v>0</v>
      </c>
      <c r="C165" s="2845">
        <f xml:space="preserve"> IF($B$3=1,'Class 6 PnD Trucks'!C253,IF($B$3=2,'Class 8 Day-cab Trucks'!C253,'Class 8 Sleeper-cab Trucks'!C253))</f>
        <v>0</v>
      </c>
      <c r="D165" s="2845">
        <f xml:space="preserve"> IF($B$3=1,'Class 6 PnD Trucks'!D253,IF($B$3=2,'Class 8 Day-cab Trucks'!D253,'Class 8 Sleeper-cab Trucks'!D253))</f>
        <v>1</v>
      </c>
      <c r="E165" s="2845">
        <f xml:space="preserve"> IF($B$3=1,'Class 6 PnD Trucks'!E253,IF($B$3=2,'Class 8 Day-cab Trucks'!E253,'Class 8 Sleeper-cab Trucks'!E253))</f>
        <v>0</v>
      </c>
      <c r="F165" s="2845">
        <f xml:space="preserve"> IF($B$3=1,'Class 6 PnD Trucks'!F253,IF($B$3=2,'Class 8 Day-cab Trucks'!F253,'Class 8 Sleeper-cab Trucks'!F253))</f>
        <v>0</v>
      </c>
      <c r="G165" s="2845">
        <f xml:space="preserve"> IF($B$3=1,'Class 6 PnD Trucks'!G253,IF($B$3=2,'Class 8 Day-cab Trucks'!G253,'Class 8 Sleeper-cab Trucks'!G253))</f>
        <v>1</v>
      </c>
      <c r="H165" s="2845">
        <f xml:space="preserve"> IF($B$3=1,'Class 6 PnD Trucks'!H253,IF($B$3=2,'Class 8 Day-cab Trucks'!H253,'Class 8 Sleeper-cab Trucks'!H253))</f>
        <v>0</v>
      </c>
      <c r="I165" s="2845">
        <f xml:space="preserve"> IF($B$3=1,'Class 6 PnD Trucks'!I253,IF($B$3=2,'Class 8 Day-cab Trucks'!I253,'Class 8 Sleeper-cab Trucks'!I253))</f>
        <v>0</v>
      </c>
      <c r="J165" s="2845">
        <f xml:space="preserve"> IF($B$3=1,'Class 6 PnD Trucks'!J253,IF($B$3=2,'Class 8 Day-cab Trucks'!J253,'Class 8 Sleeper-cab Trucks'!J253))</f>
        <v>0</v>
      </c>
      <c r="K165" s="2845">
        <f xml:space="preserve"> IF($B$3=1,'Class 6 PnD Trucks'!K253,IF($B$3=2,'Class 8 Day-cab Trucks'!K253,'Class 8 Sleeper-cab Trucks'!K253))</f>
        <v>0</v>
      </c>
      <c r="L165" s="2845">
        <f xml:space="preserve"> IF($B$3=1,'Class 6 PnD Trucks'!L253,IF($B$3=2,'Class 8 Day-cab Trucks'!L253,'Class 8 Sleeper-cab Trucks'!L253))</f>
        <v>0</v>
      </c>
      <c r="M165" s="2845">
        <f xml:space="preserve"> IF($B$3=1,'Class 6 PnD Trucks'!M253,IF($B$3=2,'Class 8 Day-cab Trucks'!M253,'Class 8 Sleeper-cab Trucks'!M253))</f>
        <v>0</v>
      </c>
      <c r="N165" s="2846">
        <f xml:space="preserve"> IF($B$3=1,'Class 6 PnD Trucks'!N253,IF($B$3=2,'Class 8 Day-cab Trucks'!N253,'Class 8 Sleeper-cab Trucks'!N253))</f>
        <v>0</v>
      </c>
      <c r="O165" s="8"/>
    </row>
    <row r="166" spans="1:15">
      <c r="B166" s="8"/>
      <c r="C166" s="8"/>
      <c r="D166" s="8"/>
      <c r="E166" s="8"/>
      <c r="F166" s="8"/>
      <c r="G166" s="8"/>
      <c r="H166" s="8"/>
      <c r="I166" s="8"/>
      <c r="J166" s="8"/>
      <c r="K166" s="8"/>
      <c r="L166" s="8"/>
      <c r="M166" s="8"/>
      <c r="N166" s="8"/>
      <c r="O166" s="8"/>
    </row>
    <row r="167" spans="1:15">
      <c r="A167" s="172" t="s">
        <v>2389</v>
      </c>
    </row>
    <row r="168" spans="1:15">
      <c r="B168" s="1940" t="s">
        <v>2390</v>
      </c>
      <c r="C168" s="1932" t="s">
        <v>2387</v>
      </c>
    </row>
    <row r="169" spans="1:15">
      <c r="B169" s="1860" t="s">
        <v>2391</v>
      </c>
      <c r="C169" s="1941">
        <f xml:space="preserve"> IF($B$3=1,'Class 6 PnD Trucks'!C243,IF($B$3=2,'Class 8 Day-cab Trucks'!C243,'Class 8 Sleeper-cab Trucks'!C243))</f>
        <v>5973.8971080636229</v>
      </c>
    </row>
    <row r="170" spans="1:15">
      <c r="B170" s="191" t="s">
        <v>2392</v>
      </c>
      <c r="C170" s="1942">
        <f xml:space="preserve"> IF($B$3=1,'Class 6 PnD Trucks'!C244,IF($B$3=2,'Class 8 Day-cab Trucks'!C244,'Class 8 Sleeper-cab Trucks'!C244))</f>
        <v>4651.7911263069409</v>
      </c>
    </row>
    <row r="171" spans="1:15">
      <c r="B171" s="192" t="s">
        <v>2393</v>
      </c>
      <c r="C171" s="1943">
        <f xml:space="preserve"> IF($B$3=1,'Class 6 PnD Trucks'!C245,IF($B$3=2,'Class 8 Day-cab Trucks'!C245,'Class 8 Sleeper-cab Trucks'!C245))</f>
        <v>638.29246606308607</v>
      </c>
    </row>
    <row r="173" spans="1:15">
      <c r="A173" s="172" t="s">
        <v>2394</v>
      </c>
    </row>
    <row r="174" spans="1:15">
      <c r="B174" s="1940" t="s">
        <v>2390</v>
      </c>
      <c r="C174" s="1932" t="s">
        <v>2387</v>
      </c>
    </row>
    <row r="175" spans="1:15">
      <c r="B175" s="1860" t="s">
        <v>2391</v>
      </c>
      <c r="C175" s="1944">
        <f xml:space="preserve"> IF(SUM($C$169:$C$171)=0, 0%,C169/SUM($C$169:$C$171))</f>
        <v>0.53035399002713446</v>
      </c>
    </row>
    <row r="176" spans="1:15">
      <c r="B176" s="191" t="s">
        <v>2392</v>
      </c>
      <c r="C176" s="1945">
        <f xml:space="preserve"> IF(SUM($C$169:$C$171)=0, 0%,C170/SUM($C$169:$C$171))</f>
        <v>0.41297932320923209</v>
      </c>
    </row>
    <row r="177" spans="1:3">
      <c r="B177" s="192" t="s">
        <v>2393</v>
      </c>
      <c r="C177" s="1946">
        <f xml:space="preserve"> IF(SUM($C$169:$C$171)=0, 0%,C171/SUM($C$169:$C$171))</f>
        <v>5.6666686763633442E-2</v>
      </c>
    </row>
    <row r="179" spans="1:3">
      <c r="A179" s="172" t="s">
        <v>2395</v>
      </c>
    </row>
    <row r="180" spans="1:3">
      <c r="B180" s="169">
        <v>0.28699999999999998</v>
      </c>
      <c r="C180" s="1321" t="s">
        <v>236</v>
      </c>
    </row>
    <row r="181" spans="1:3">
      <c r="B181" s="170">
        <v>2.7589999999999999</v>
      </c>
      <c r="C181" s="1321" t="s">
        <v>2396</v>
      </c>
    </row>
    <row r="182" spans="1:3">
      <c r="B182" s="170">
        <v>0.99</v>
      </c>
      <c r="C182" s="1321" t="s">
        <v>2397</v>
      </c>
    </row>
    <row r="183" spans="1:3">
      <c r="B183" s="170">
        <v>2.9820000000000002</v>
      </c>
      <c r="C183" s="1321" t="s">
        <v>2398</v>
      </c>
    </row>
    <row r="184" spans="1:3">
      <c r="B184" s="170">
        <v>0.20499999999999999</v>
      </c>
      <c r="C184" s="1321" t="s">
        <v>2399</v>
      </c>
    </row>
    <row r="185" spans="1:3">
      <c r="B185" s="170">
        <v>0.27300000000000002</v>
      </c>
      <c r="C185" s="1321" t="s">
        <v>2400</v>
      </c>
    </row>
    <row r="186" spans="1:3">
      <c r="B186" s="170">
        <v>0.40899999999999997</v>
      </c>
      <c r="C186" s="1321" t="s">
        <v>2401</v>
      </c>
    </row>
    <row r="187" spans="1:3">
      <c r="B187" s="171">
        <f>0.00047*SUM(C169:C171,C161:O161)</f>
        <v>5.3331709858490841</v>
      </c>
      <c r="C187" s="1321" t="s">
        <v>2402</v>
      </c>
    </row>
    <row r="196" spans="7:7" ht="42" customHeight="1"/>
    <row r="200" spans="7:7" ht="42" customHeight="1"/>
    <row r="201" spans="7:7">
      <c r="G201" s="1773"/>
    </row>
    <row r="202" spans="7:7">
      <c r="G202" s="920"/>
    </row>
  </sheetData>
  <dataConsolidate/>
  <mergeCells count="8">
    <mergeCell ref="C103:D103"/>
    <mergeCell ref="H103:L103"/>
    <mergeCell ref="M103:Q103"/>
    <mergeCell ref="R103:V103"/>
    <mergeCell ref="C109:D109"/>
    <mergeCell ref="H109:L109"/>
    <mergeCell ref="M109:Q109"/>
    <mergeCell ref="R109:V109"/>
  </mergeCells>
  <conditionalFormatting sqref="D9 D14:D15 D27 D41:D50 D54:D63 D72:D73 D77:D78 C83 C93:D93 C105:D105 C111:D111 I105:L105 I111:L111 C148">
    <cfRule type="expression" dxfId="10" priority="2">
      <formula>OR($B$3=2,$B$3=3)</formula>
    </cfRule>
  </conditionalFormatting>
  <dataValidations count="3">
    <dataValidation type="list" allowBlank="1" showInputMessage="1" showErrorMessage="1" sqref="C98:C100" xr:uid="{00000000-0002-0000-2F00-000000000000}">
      <formula1>"1,2,3,4"</formula1>
    </dataValidation>
    <dataValidation type="list" allowBlank="1" showInputMessage="1" showErrorMessage="1" sqref="B120" xr:uid="{00000000-0002-0000-2F00-000001000000}">
      <formula1>"1,2"</formula1>
    </dataValidation>
    <dataValidation type="list" allowBlank="1" showInputMessage="1" showErrorMessage="1" sqref="B3" xr:uid="{00000000-0002-0000-2F00-000002000000}">
      <formula1>"1,2,3"</formula1>
    </dataValidation>
  </dataValidations>
  <pageMargins left="0.7" right="0.7" top="0.75" bottom="0.75" header="0.3" footer="0.3"/>
  <pageSetup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0">
    <tabColor theme="9" tint="0.59999389629810485"/>
  </sheetPr>
  <dimension ref="A1:AD920"/>
  <sheetViews>
    <sheetView showGridLines="0" zoomScale="85" zoomScaleNormal="85" workbookViewId="0"/>
  </sheetViews>
  <sheetFormatPr defaultColWidth="8.85546875" defaultRowHeight="12.75"/>
  <cols>
    <col min="1" max="1" width="2.42578125" style="1321" customWidth="1"/>
    <col min="2" max="2" width="52.5703125" style="1321" customWidth="1"/>
    <col min="3" max="3" width="14.140625" style="1321" customWidth="1"/>
    <col min="4" max="4" width="17" style="1321" customWidth="1"/>
    <col min="5" max="5" width="11.85546875" style="1321" customWidth="1"/>
    <col min="6" max="6" width="17.42578125" style="1321" customWidth="1"/>
    <col min="7" max="7" width="11.85546875" style="1321" customWidth="1"/>
    <col min="8" max="8" width="10.7109375" style="1321" customWidth="1"/>
    <col min="9" max="9" width="11.140625" style="1321" bestFit="1" customWidth="1"/>
    <col min="10" max="10" width="10.7109375" style="1321" customWidth="1"/>
    <col min="11" max="11" width="11.85546875" style="1321" bestFit="1" customWidth="1"/>
    <col min="12" max="12" width="10.7109375" style="1321" customWidth="1"/>
    <col min="13" max="14" width="8.85546875" style="1321"/>
    <col min="15" max="15" width="9.28515625" style="1321" customWidth="1"/>
    <col min="16" max="16" width="10.140625" style="1321" customWidth="1"/>
    <col min="17" max="25" width="8.85546875" style="1321"/>
    <col min="26" max="26" width="9" style="1321" customWidth="1"/>
    <col min="27" max="27" width="12.28515625" style="1321" customWidth="1"/>
    <col min="28" max="28" width="13.85546875" style="1321" customWidth="1"/>
    <col min="29" max="16384" width="8.85546875" style="1321"/>
  </cols>
  <sheetData>
    <row r="1" spans="1:6" ht="15.75">
      <c r="A1" s="81" t="s">
        <v>2403</v>
      </c>
    </row>
    <row r="2" spans="1:6" ht="15">
      <c r="A2" s="120" t="s">
        <v>2404</v>
      </c>
    </row>
    <row r="3" spans="1:6">
      <c r="A3" s="172" t="s">
        <v>249</v>
      </c>
    </row>
    <row r="4" spans="1:6">
      <c r="A4" s="172"/>
      <c r="B4" s="58"/>
      <c r="C4" s="264" t="s">
        <v>203</v>
      </c>
      <c r="D4" s="175" t="s">
        <v>194</v>
      </c>
      <c r="E4" s="175" t="s">
        <v>167</v>
      </c>
      <c r="F4" s="176" t="s">
        <v>198</v>
      </c>
    </row>
    <row r="5" spans="1:6">
      <c r="A5" s="172"/>
      <c r="B5" s="482" t="s">
        <v>250</v>
      </c>
      <c r="C5" s="556"/>
      <c r="D5" s="179"/>
      <c r="E5" s="179"/>
      <c r="F5" s="180"/>
    </row>
    <row r="6" spans="1:6">
      <c r="A6" s="172"/>
      <c r="B6" s="1947" t="s">
        <v>38</v>
      </c>
      <c r="C6" s="232">
        <f>IF(MHDV_Inputs!$B$3=1,'Class 6 PnD Trucks'!C112,IF(MHDV_Inputs!$B$3=2,'Class 8 Day-cab Trucks'!C112,'Class 8 Sleeper-cab Trucks'!C112))</f>
        <v>0.3132718489970639</v>
      </c>
      <c r="D6" s="1159">
        <f>IF(MHDV_Inputs!$B$3=1,'Class 6 PnD Trucks'!D112,IF(MHDV_Inputs!$B$3=2,'Class 8 Day-cab Trucks'!D112,'Class 8 Sleeper-cab Trucks'!D112))</f>
        <v>0.3132718489970639</v>
      </c>
      <c r="E6" s="1159">
        <f>IF(MHDV_Inputs!$B$3=1,'Class 6 PnD Trucks'!E112,IF(MHDV_Inputs!$B$3=2,'Class 8 Day-cab Trucks'!E112,'Class 8 Sleeper-cab Trucks'!E112))</f>
        <v>0.3132718489970639</v>
      </c>
      <c r="F6" s="128">
        <f>IF(MHDV_Inputs!$B$3=1,'Class 6 PnD Trucks'!F112,IF(MHDV_Inputs!$B$3=2,'Class 8 Day-cab Trucks'!F112,'Class 8 Sleeper-cab Trucks'!F112))</f>
        <v>0.3132718489970639</v>
      </c>
    </row>
    <row r="7" spans="1:6">
      <c r="A7" s="172"/>
      <c r="B7" s="1947" t="s">
        <v>1868</v>
      </c>
      <c r="C7" s="232">
        <f>IF(MHDV_Inputs!$B$3=1,'Class 6 PnD Trucks'!C113,IF(MHDV_Inputs!$B$3=2,'Class 8 Day-cab Trucks'!C113,'Class 8 Sleeper-cab Trucks'!C113))</f>
        <v>2.3707999999999996E-2</v>
      </c>
      <c r="D7" s="1159">
        <f>IF(MHDV_Inputs!$B$3=1,'Class 6 PnD Trucks'!D113,IF(MHDV_Inputs!$B$3=2,'Class 8 Day-cab Trucks'!D113,'Class 8 Sleeper-cab Trucks'!D113))</f>
        <v>2.3707999999999996E-2</v>
      </c>
      <c r="E7" s="1159">
        <f>IF(MHDV_Inputs!$B$3=1,'Class 6 PnD Trucks'!E113,IF(MHDV_Inputs!$B$3=2,'Class 8 Day-cab Trucks'!E113,'Class 8 Sleeper-cab Trucks'!E113))</f>
        <v>2.3707999999999996E-2</v>
      </c>
      <c r="F7" s="128">
        <f>IF(MHDV_Inputs!$B$3=1,'Class 6 PnD Trucks'!F113,IF(MHDV_Inputs!$B$3=2,'Class 8 Day-cab Trucks'!F113,'Class 8 Sleeper-cab Trucks'!F113))</f>
        <v>2.3707999999999996E-2</v>
      </c>
    </row>
    <row r="8" spans="1:6">
      <c r="A8" s="172"/>
      <c r="B8" s="1947" t="s">
        <v>2405</v>
      </c>
      <c r="C8" s="232">
        <f>IF(MHDV_Inputs!$B$3=1,'Class 6 PnD Trucks'!C114,IF(MHDV_Inputs!$B$3=2,'Class 8 Day-cab Trucks'!C114,'Class 8 Sleeper-cab Trucks'!C114))</f>
        <v>0.10382666666666665</v>
      </c>
      <c r="D8" s="1159">
        <f>IF(MHDV_Inputs!$B$3=1,'Class 6 PnD Trucks'!D114,IF(MHDV_Inputs!$B$3=2,'Class 8 Day-cab Trucks'!D114,'Class 8 Sleeper-cab Trucks'!D114))</f>
        <v>0.10382666666666665</v>
      </c>
      <c r="E8" s="1159">
        <f>IF(MHDV_Inputs!$B$3=1,'Class 6 PnD Trucks'!E114,IF(MHDV_Inputs!$B$3=2,'Class 8 Day-cab Trucks'!E114,'Class 8 Sleeper-cab Trucks'!E114))</f>
        <v>0.10382666666666665</v>
      </c>
      <c r="F8" s="128">
        <f>IF(MHDV_Inputs!$B$3=1,'Class 6 PnD Trucks'!F114,IF(MHDV_Inputs!$B$3=2,'Class 8 Day-cab Trucks'!F114,'Class 8 Sleeper-cab Trucks'!F114))</f>
        <v>0.10382666666666665</v>
      </c>
    </row>
    <row r="9" spans="1:6">
      <c r="A9" s="172"/>
      <c r="B9" s="1947" t="s">
        <v>2406</v>
      </c>
      <c r="C9" s="232">
        <f>IF(MHDV_Inputs!$B$3=1,'Class 6 PnD Trucks'!C115,IF(MHDV_Inputs!$B$3=2,'Class 8 Day-cab Trucks'!C115,'Class 8 Sleeper-cab Trucks'!C115))</f>
        <v>3.4894805333333334E-2</v>
      </c>
      <c r="D9" s="1159">
        <f>IF(MHDV_Inputs!$B$3=1,'Class 6 PnD Trucks'!D115,IF(MHDV_Inputs!$B$3=2,'Class 8 Day-cab Trucks'!D115,'Class 8 Sleeper-cab Trucks'!D115))</f>
        <v>3.4894805333333334E-2</v>
      </c>
      <c r="E9" s="1159">
        <f>IF(MHDV_Inputs!$B$3=1,'Class 6 PnD Trucks'!E115,IF(MHDV_Inputs!$B$3=2,'Class 8 Day-cab Trucks'!E115,'Class 8 Sleeper-cab Trucks'!E115))</f>
        <v>3.4894805333333334E-2</v>
      </c>
      <c r="F9" s="128">
        <f>IF(MHDV_Inputs!$B$3=1,'Class 6 PnD Trucks'!F115,IF(MHDV_Inputs!$B$3=2,'Class 8 Day-cab Trucks'!F115,'Class 8 Sleeper-cab Trucks'!F115))</f>
        <v>3.4894805333333334E-2</v>
      </c>
    </row>
    <row r="10" spans="1:6">
      <c r="A10" s="172"/>
      <c r="B10" s="1947" t="s">
        <v>60</v>
      </c>
      <c r="C10" s="232">
        <f>IF(MHDV_Inputs!$B$3=1,'Class 6 PnD Trucks'!C116,IF(MHDV_Inputs!$B$3=2,'Class 8 Day-cab Trucks'!C116,'Class 8 Sleeper-cab Trucks'!C116))</f>
        <v>0.18149554110233743</v>
      </c>
      <c r="D10" s="1159">
        <f>IF(MHDV_Inputs!$B$3=1,'Class 6 PnD Trucks'!D116,IF(MHDV_Inputs!$B$3=2,'Class 8 Day-cab Trucks'!D116,'Class 8 Sleeper-cab Trucks'!D116))</f>
        <v>0.18149554110233743</v>
      </c>
      <c r="E10" s="1159">
        <f>IF(MHDV_Inputs!$B$3=1,'Class 6 PnD Trucks'!E116,IF(MHDV_Inputs!$B$3=2,'Class 8 Day-cab Trucks'!E116,'Class 8 Sleeper-cab Trucks'!E116))</f>
        <v>0.18149554110233743</v>
      </c>
      <c r="F10" s="128">
        <f>IF(MHDV_Inputs!$B$3=1,'Class 6 PnD Trucks'!F116,IF(MHDV_Inputs!$B$3=2,'Class 8 Day-cab Trucks'!F116,'Class 8 Sleeper-cab Trucks'!F116))</f>
        <v>0.18149554110233743</v>
      </c>
    </row>
    <row r="11" spans="1:6">
      <c r="A11" s="172"/>
      <c r="B11" s="1947" t="s">
        <v>61</v>
      </c>
      <c r="C11" s="232">
        <f>IF(MHDV_Inputs!$B$3=1,'Class 6 PnD Trucks'!C117,IF(MHDV_Inputs!$B$3=2,'Class 8 Day-cab Trucks'!C117,'Class 8 Sleeper-cab Trucks'!C117))</f>
        <v>1.9198999999999997E-2</v>
      </c>
      <c r="D11" s="1159">
        <f>IF(MHDV_Inputs!$B$3=1,'Class 6 PnD Trucks'!D117,IF(MHDV_Inputs!$B$3=2,'Class 8 Day-cab Trucks'!D117,'Class 8 Sleeper-cab Trucks'!D117))</f>
        <v>1.9198999999999997E-2</v>
      </c>
      <c r="E11" s="1159">
        <f>IF(MHDV_Inputs!$B$3=1,'Class 6 PnD Trucks'!E117,IF(MHDV_Inputs!$B$3=2,'Class 8 Day-cab Trucks'!E117,'Class 8 Sleeper-cab Trucks'!E117))</f>
        <v>1.9198999999999997E-2</v>
      </c>
      <c r="F11" s="128">
        <f>IF(MHDV_Inputs!$B$3=1,'Class 6 PnD Trucks'!F117,IF(MHDV_Inputs!$B$3=2,'Class 8 Day-cab Trucks'!F117,'Class 8 Sleeper-cab Trucks'!F117))</f>
        <v>1.9198999999999997E-2</v>
      </c>
    </row>
    <row r="12" spans="1:6">
      <c r="A12" s="172"/>
      <c r="B12" s="1947" t="s">
        <v>2407</v>
      </c>
      <c r="C12" s="232">
        <f>IF(MHDV_Inputs!$B$3=1,'Class 6 PnD Trucks'!C118,IF(MHDV_Inputs!$B$3=2,'Class 8 Day-cab Trucks'!C118,'Class 8 Sleeper-cab Trucks'!C118))</f>
        <v>0.15363333333333332</v>
      </c>
      <c r="D12" s="1159">
        <f>IF(MHDV_Inputs!$B$3=1,'Class 6 PnD Trucks'!D118,IF(MHDV_Inputs!$B$3=2,'Class 8 Day-cab Trucks'!D118,'Class 8 Sleeper-cab Trucks'!D118))</f>
        <v>0.15363333333333332</v>
      </c>
      <c r="E12" s="1159">
        <f>IF(MHDV_Inputs!$B$3=1,'Class 6 PnD Trucks'!E118,IF(MHDV_Inputs!$B$3=2,'Class 8 Day-cab Trucks'!E118,'Class 8 Sleeper-cab Trucks'!E118))</f>
        <v>0.15363333333333332</v>
      </c>
      <c r="F12" s="128">
        <f>IF(MHDV_Inputs!$B$3=1,'Class 6 PnD Trucks'!F118,IF(MHDV_Inputs!$B$3=2,'Class 8 Day-cab Trucks'!F118,'Class 8 Sleeper-cab Trucks'!F118))</f>
        <v>0.15363333333333332</v>
      </c>
    </row>
    <row r="13" spans="1:6">
      <c r="A13" s="172"/>
      <c r="B13" s="1947" t="s">
        <v>58</v>
      </c>
      <c r="C13" s="232">
        <f>IF(MHDV_Inputs!$B$3=1,'Class 6 PnD Trucks'!C119,IF(MHDV_Inputs!$B$3=2,'Class 8 Day-cab Trucks'!C119,'Class 8 Sleeper-cab Trucks'!C119))</f>
        <v>9.0054463170113522E-2</v>
      </c>
      <c r="D13" s="1159">
        <f>IF(MHDV_Inputs!$B$3=1,'Class 6 PnD Trucks'!D119,IF(MHDV_Inputs!$B$3=2,'Class 8 Day-cab Trucks'!D119,'Class 8 Sleeper-cab Trucks'!D119))</f>
        <v>9.0054463170113522E-2</v>
      </c>
      <c r="E13" s="1159">
        <f>IF(MHDV_Inputs!$B$3=1,'Class 6 PnD Trucks'!E119,IF(MHDV_Inputs!$B$3=2,'Class 8 Day-cab Trucks'!E119,'Class 8 Sleeper-cab Trucks'!E119))</f>
        <v>9.0054463170113522E-2</v>
      </c>
      <c r="F13" s="128">
        <f>IF(MHDV_Inputs!$B$3=1,'Class 6 PnD Trucks'!F119,IF(MHDV_Inputs!$B$3=2,'Class 8 Day-cab Trucks'!F119,'Class 8 Sleeper-cab Trucks'!F119))</f>
        <v>9.0054463170113522E-2</v>
      </c>
    </row>
    <row r="14" spans="1:6">
      <c r="A14" s="172"/>
      <c r="B14" s="1947" t="s">
        <v>52</v>
      </c>
      <c r="C14" s="232">
        <f>IF(MHDV_Inputs!$B$3=1,'Class 6 PnD Trucks'!C120,IF(MHDV_Inputs!$B$3=2,'Class 8 Day-cab Trucks'!C120,'Class 8 Sleeper-cab Trucks'!C120))</f>
        <v>3.3734893333333326E-3</v>
      </c>
      <c r="D14" s="1159">
        <f>IF(MHDV_Inputs!$B$3=1,'Class 6 PnD Trucks'!D120,IF(MHDV_Inputs!$B$3=2,'Class 8 Day-cab Trucks'!D120,'Class 8 Sleeper-cab Trucks'!D120))</f>
        <v>3.3734893333333326E-3</v>
      </c>
      <c r="E14" s="1159">
        <f>IF(MHDV_Inputs!$B$3=1,'Class 6 PnD Trucks'!E120,IF(MHDV_Inputs!$B$3=2,'Class 8 Day-cab Trucks'!E120,'Class 8 Sleeper-cab Trucks'!E120))</f>
        <v>3.3734893333333326E-3</v>
      </c>
      <c r="F14" s="128">
        <f>IF(MHDV_Inputs!$B$3=1,'Class 6 PnD Trucks'!F120,IF(MHDV_Inputs!$B$3=2,'Class 8 Day-cab Trucks'!F120,'Class 8 Sleeper-cab Trucks'!F120))</f>
        <v>3.3734893333333326E-3</v>
      </c>
    </row>
    <row r="15" spans="1:6">
      <c r="A15" s="172"/>
      <c r="B15" s="1947" t="s">
        <v>2408</v>
      </c>
      <c r="C15" s="232">
        <f>IF(MHDV_Inputs!$B$3=1,'Class 6 PnD Trucks'!C121,IF(MHDV_Inputs!$B$3=2,'Class 8 Day-cab Trucks'!C121,'Class 8 Sleeper-cab Trucks'!C121))</f>
        <v>3.2370057500742885E-2</v>
      </c>
      <c r="D15" s="1159">
        <f>IF(MHDV_Inputs!$B$3=1,'Class 6 PnD Trucks'!D121,IF(MHDV_Inputs!$B$3=2,'Class 8 Day-cab Trucks'!D121,'Class 8 Sleeper-cab Trucks'!D121))</f>
        <v>3.2370057500742885E-2</v>
      </c>
      <c r="E15" s="1159">
        <f>IF(MHDV_Inputs!$B$3=1,'Class 6 PnD Trucks'!E121,IF(MHDV_Inputs!$B$3=2,'Class 8 Day-cab Trucks'!E121,'Class 8 Sleeper-cab Trucks'!E121))</f>
        <v>3.2370057500742885E-2</v>
      </c>
      <c r="F15" s="128">
        <f>IF(MHDV_Inputs!$B$3=1,'Class 6 PnD Trucks'!F121,IF(MHDV_Inputs!$B$3=2,'Class 8 Day-cab Trucks'!F121,'Class 8 Sleeper-cab Trucks'!F121))</f>
        <v>3.2370057500742885E-2</v>
      </c>
    </row>
    <row r="16" spans="1:6">
      <c r="A16" s="172"/>
      <c r="B16" s="1947" t="s">
        <v>2409</v>
      </c>
      <c r="C16" s="232">
        <f>IF(MHDV_Inputs!$B$3=1,'Class 6 PnD Trucks'!C122,IF(MHDV_Inputs!$B$3=2,'Class 8 Day-cab Trucks'!C122,'Class 8 Sleeper-cab Trucks'!C122))</f>
        <v>2.5086794563075734E-2</v>
      </c>
      <c r="D16" s="1159">
        <f>IF(MHDV_Inputs!$B$3=1,'Class 6 PnD Trucks'!D122,IF(MHDV_Inputs!$B$3=2,'Class 8 Day-cab Trucks'!D122,'Class 8 Sleeper-cab Trucks'!D122))</f>
        <v>2.5086794563075734E-2</v>
      </c>
      <c r="E16" s="1159">
        <f>IF(MHDV_Inputs!$B$3=1,'Class 6 PnD Trucks'!E122,IF(MHDV_Inputs!$B$3=2,'Class 8 Day-cab Trucks'!E122,'Class 8 Sleeper-cab Trucks'!E122))</f>
        <v>2.5086794563075734E-2</v>
      </c>
      <c r="F16" s="128">
        <f>IF(MHDV_Inputs!$B$3=1,'Class 6 PnD Trucks'!F122,IF(MHDV_Inputs!$B$3=2,'Class 8 Day-cab Trucks'!F122,'Class 8 Sleeper-cab Trucks'!F122))</f>
        <v>2.5086794563075734E-2</v>
      </c>
    </row>
    <row r="17" spans="1:6">
      <c r="A17" s="172"/>
      <c r="B17" s="1947" t="s">
        <v>2410</v>
      </c>
      <c r="C17" s="232">
        <f>IF(MHDV_Inputs!$B$3=1,'Class 6 PnD Trucks'!C123,IF(MHDV_Inputs!$B$3=2,'Class 8 Day-cab Trucks'!C123,'Class 8 Sleeper-cab Trucks'!C123))</f>
        <v>1.6666666666666663E-2</v>
      </c>
      <c r="D17" s="1159">
        <f>IF(MHDV_Inputs!$B$3=1,'Class 6 PnD Trucks'!D123,IF(MHDV_Inputs!$B$3=2,'Class 8 Day-cab Trucks'!D123,'Class 8 Sleeper-cab Trucks'!D123))</f>
        <v>1.6666666666666663E-2</v>
      </c>
      <c r="E17" s="1159">
        <f>IF(MHDV_Inputs!$B$3=1,'Class 6 PnD Trucks'!E123,IF(MHDV_Inputs!$B$3=2,'Class 8 Day-cab Trucks'!E123,'Class 8 Sleeper-cab Trucks'!E123))</f>
        <v>1.6666666666666663E-2</v>
      </c>
      <c r="F17" s="128">
        <f>IF(MHDV_Inputs!$B$3=1,'Class 6 PnD Trucks'!F123,IF(MHDV_Inputs!$B$3=2,'Class 8 Day-cab Trucks'!F123,'Class 8 Sleeper-cab Trucks'!F123))</f>
        <v>1.6666666666666663E-2</v>
      </c>
    </row>
    <row r="18" spans="1:6">
      <c r="A18" s="172"/>
      <c r="B18" s="1947" t="s">
        <v>1409</v>
      </c>
      <c r="C18" s="232">
        <f>IF(MHDV_Inputs!$B$3=1,'Class 6 PnD Trucks'!C124,IF(MHDV_Inputs!$B$3=2,'Class 8 Day-cab Trucks'!C124,'Class 8 Sleeper-cab Trucks'!C124))</f>
        <v>9.6799999999999979E-4</v>
      </c>
      <c r="D18" s="1159">
        <f>IF(MHDV_Inputs!$B$3=1,'Class 6 PnD Trucks'!D124,IF(MHDV_Inputs!$B$3=2,'Class 8 Day-cab Trucks'!D124,'Class 8 Sleeper-cab Trucks'!D124))</f>
        <v>9.6799999999999979E-4</v>
      </c>
      <c r="E18" s="1159">
        <f>IF(MHDV_Inputs!$B$3=1,'Class 6 PnD Trucks'!E124,IF(MHDV_Inputs!$B$3=2,'Class 8 Day-cab Trucks'!E124,'Class 8 Sleeper-cab Trucks'!E124))</f>
        <v>9.6799999999999979E-4</v>
      </c>
      <c r="F18" s="128">
        <f>IF(MHDV_Inputs!$B$3=1,'Class 6 PnD Trucks'!F124,IF(MHDV_Inputs!$B$3=2,'Class 8 Day-cab Trucks'!F124,'Class 8 Sleeper-cab Trucks'!F124))</f>
        <v>9.6799999999999979E-4</v>
      </c>
    </row>
    <row r="19" spans="1:6">
      <c r="A19" s="172"/>
      <c r="B19" s="1947" t="s">
        <v>2411</v>
      </c>
      <c r="C19" s="232">
        <f>IF(MHDV_Inputs!$B$3=1,'Class 6 PnD Trucks'!C125,IF(MHDV_Inputs!$B$3=2,'Class 8 Day-cab Trucks'!C125,'Class 8 Sleeper-cab Trucks'!C125))</f>
        <v>9.6799999999999979E-4</v>
      </c>
      <c r="D19" s="1159">
        <f>IF(MHDV_Inputs!$B$3=1,'Class 6 PnD Trucks'!D125,IF(MHDV_Inputs!$B$3=2,'Class 8 Day-cab Trucks'!D125,'Class 8 Sleeper-cab Trucks'!D125))</f>
        <v>9.6799999999999979E-4</v>
      </c>
      <c r="E19" s="1159">
        <f>IF(MHDV_Inputs!$B$3=1,'Class 6 PnD Trucks'!E125,IF(MHDV_Inputs!$B$3=2,'Class 8 Day-cab Trucks'!E125,'Class 8 Sleeper-cab Trucks'!E125))</f>
        <v>9.6799999999999979E-4</v>
      </c>
      <c r="F19" s="128">
        <f>IF(MHDV_Inputs!$B$3=1,'Class 6 PnD Trucks'!F125,IF(MHDV_Inputs!$B$3=2,'Class 8 Day-cab Trucks'!F125,'Class 8 Sleeper-cab Trucks'!F125))</f>
        <v>9.6799999999999979E-4</v>
      </c>
    </row>
    <row r="20" spans="1:6">
      <c r="A20" s="172"/>
      <c r="B20" s="1948" t="s">
        <v>2412</v>
      </c>
      <c r="C20" s="239">
        <f>IF(MHDV_Inputs!$B$3=1,'Class 6 PnD Trucks'!C126,IF(MHDV_Inputs!$B$3=2,'Class 8 Day-cab Trucks'!C126,'Class 8 Sleeper-cab Trucks'!C126))</f>
        <v>4.8333333333333323E-4</v>
      </c>
      <c r="D20" s="129">
        <f>IF(MHDV_Inputs!$B$3=1,'Class 6 PnD Trucks'!D126,IF(MHDV_Inputs!$B$3=2,'Class 8 Day-cab Trucks'!D126,'Class 8 Sleeper-cab Trucks'!D126))</f>
        <v>4.8333333333333323E-4</v>
      </c>
      <c r="E20" s="129">
        <f>IF(MHDV_Inputs!$B$3=1,'Class 6 PnD Trucks'!E126,IF(MHDV_Inputs!$B$3=2,'Class 8 Day-cab Trucks'!E126,'Class 8 Sleeper-cab Trucks'!E126))</f>
        <v>4.8333333333333323E-4</v>
      </c>
      <c r="F20" s="130">
        <f>IF(MHDV_Inputs!$B$3=1,'Class 6 PnD Trucks'!F126,IF(MHDV_Inputs!$B$3=2,'Class 8 Day-cab Trucks'!F126,'Class 8 Sleeper-cab Trucks'!F126))</f>
        <v>4.8333333333333323E-4</v>
      </c>
    </row>
    <row r="21" spans="1:6">
      <c r="A21" s="172"/>
      <c r="B21" s="487" t="s">
        <v>182</v>
      </c>
      <c r="C21" s="556"/>
      <c r="D21" s="179"/>
      <c r="E21" s="179"/>
      <c r="F21" s="180"/>
    </row>
    <row r="22" spans="1:6">
      <c r="A22" s="172"/>
      <c r="B22" s="1947" t="s">
        <v>1868</v>
      </c>
      <c r="C22" s="232">
        <f>IF(MHDV_Inputs!$B$3=1,'Class 6 PnD Trucks'!C128,IF(MHDV_Inputs!$B$3=2,'Class 8 Day-cab Trucks'!C128,'Class 8 Sleeper-cab Trucks'!C128))</f>
        <v>1.9467883614486304E-2</v>
      </c>
      <c r="D22" s="1159">
        <f>IF(MHDV_Inputs!$B$3=1,'Class 6 PnD Trucks'!D128,IF(MHDV_Inputs!$B$3=2,'Class 8 Day-cab Trucks'!D128,'Class 8 Sleeper-cab Trucks'!D128))</f>
        <v>1.963554557265916E-2</v>
      </c>
      <c r="E22" s="1159">
        <f>IF(MHDV_Inputs!$B$3=1,'Class 6 PnD Trucks'!E128,IF(MHDV_Inputs!$B$3=2,'Class 8 Day-cab Trucks'!E128,'Class 8 Sleeper-cab Trucks'!E128))</f>
        <v>0</v>
      </c>
      <c r="F22" s="128">
        <f>IF(MHDV_Inputs!$B$3=1,'Class 6 PnD Trucks'!F128,IF(MHDV_Inputs!$B$3=2,'Class 8 Day-cab Trucks'!F128,'Class 8 Sleeper-cab Trucks'!F128))</f>
        <v>0.52337611063159906</v>
      </c>
    </row>
    <row r="23" spans="1:6">
      <c r="A23" s="172"/>
      <c r="B23" s="1947" t="s">
        <v>38</v>
      </c>
      <c r="C23" s="232">
        <f>IF(MHDV_Inputs!$B$3=1,'Class 6 PnD Trucks'!C129,IF(MHDV_Inputs!$B$3=2,'Class 8 Day-cab Trucks'!C129,'Class 8 Sleeper-cab Trucks'!C129))</f>
        <v>0.41528545820481283</v>
      </c>
      <c r="D23" s="1159">
        <f>IF(MHDV_Inputs!$B$3=1,'Class 6 PnD Trucks'!D129,IF(MHDV_Inputs!$B$3=2,'Class 8 Day-cab Trucks'!D129,'Class 8 Sleeper-cab Trucks'!D129))</f>
        <v>0.414812010614311</v>
      </c>
      <c r="E23" s="1159">
        <f>IF(MHDV_Inputs!$B$3=1,'Class 6 PnD Trucks'!E129,IF(MHDV_Inputs!$B$3=2,'Class 8 Day-cab Trucks'!E129,'Class 8 Sleeper-cab Trucks'!E129))</f>
        <v>0</v>
      </c>
      <c r="F23" s="128">
        <f>IF(MHDV_Inputs!$B$3=1,'Class 6 PnD Trucks'!F129,IF(MHDV_Inputs!$B$3=2,'Class 8 Day-cab Trucks'!F129,'Class 8 Sleeper-cab Trucks'!F129))</f>
        <v>5.6915171624122449E-2</v>
      </c>
    </row>
    <row r="24" spans="1:6">
      <c r="A24" s="172"/>
      <c r="B24" s="1947" t="s">
        <v>2406</v>
      </c>
      <c r="C24" s="232">
        <f>IF(MHDV_Inputs!$B$3=1,'Class 6 PnD Trucks'!C130,IF(MHDV_Inputs!$B$3=2,'Class 8 Day-cab Trucks'!C130,'Class 8 Sleeper-cab Trucks'!C130))</f>
        <v>6.9799118661064988E-2</v>
      </c>
      <c r="D24" s="1159">
        <f>IF(MHDV_Inputs!$B$3=1,'Class 6 PnD Trucks'!D130,IF(MHDV_Inputs!$B$3=2,'Class 8 Day-cab Trucks'!D130,'Class 8 Sleeper-cab Trucks'!D130))</f>
        <v>6.9693767343865815E-2</v>
      </c>
      <c r="E24" s="1159">
        <f>IF(MHDV_Inputs!$B$3=1,'Class 6 PnD Trucks'!E130,IF(MHDV_Inputs!$B$3=2,'Class 8 Day-cab Trucks'!E130,'Class 8 Sleeper-cab Trucks'!E130))</f>
        <v>0</v>
      </c>
      <c r="F24" s="128">
        <f>IF(MHDV_Inputs!$B$3=1,'Class 6 PnD Trucks'!F130,IF(MHDV_Inputs!$B$3=2,'Class 8 Day-cab Trucks'!F130,'Class 8 Sleeper-cab Trucks'!F130))</f>
        <v>7.3945644389102186E-2</v>
      </c>
    </row>
    <row r="25" spans="1:6">
      <c r="A25" s="172"/>
      <c r="B25" s="1947" t="s">
        <v>2405</v>
      </c>
      <c r="C25" s="232">
        <f>IF(MHDV_Inputs!$B$3=1,'Class 6 PnD Trucks'!C131,IF(MHDV_Inputs!$B$3=2,'Class 8 Day-cab Trucks'!C131,'Class 8 Sleeper-cab Trucks'!C131))</f>
        <v>7.5523872607624817E-2</v>
      </c>
      <c r="D25" s="1159">
        <f>IF(MHDV_Inputs!$B$3=1,'Class 6 PnD Trucks'!D131,IF(MHDV_Inputs!$B$3=2,'Class 8 Day-cab Trucks'!D131,'Class 8 Sleeper-cab Trucks'!D131))</f>
        <v>7.59319967713495E-2</v>
      </c>
      <c r="E25" s="1159">
        <f>IF(MHDV_Inputs!$B$3=1,'Class 6 PnD Trucks'!E131,IF(MHDV_Inputs!$B$3=2,'Class 8 Day-cab Trucks'!E131,'Class 8 Sleeper-cab Trucks'!E131))</f>
        <v>0</v>
      </c>
      <c r="F25" s="128">
        <f>IF(MHDV_Inputs!$B$3=1,'Class 6 PnD Trucks'!F131,IF(MHDV_Inputs!$B$3=2,'Class 8 Day-cab Trucks'!F131,'Class 8 Sleeper-cab Trucks'!F131))</f>
        <v>5.6625345482894593E-2</v>
      </c>
    </row>
    <row r="26" spans="1:6">
      <c r="A26" s="172"/>
      <c r="B26" s="1947" t="s">
        <v>1869</v>
      </c>
      <c r="C26" s="232">
        <f>IF(MHDV_Inputs!$B$3=1,'Class 6 PnD Trucks'!C132,IF(MHDV_Inputs!$B$3=2,'Class 8 Day-cab Trucks'!C132,'Class 8 Sleeper-cab Trucks'!C132))</f>
        <v>0.32009741803338065</v>
      </c>
      <c r="D26" s="1159">
        <f>IF(MHDV_Inputs!$B$3=1,'Class 6 PnD Trucks'!D132,IF(MHDV_Inputs!$B$3=2,'Class 8 Day-cab Trucks'!D132,'Class 8 Sleeper-cab Trucks'!D132))</f>
        <v>0.31961427891545535</v>
      </c>
      <c r="E26" s="1159">
        <f>IF(MHDV_Inputs!$B$3=1,'Class 6 PnD Trucks'!E132,IF(MHDV_Inputs!$B$3=2,'Class 8 Day-cab Trucks'!E132,'Class 8 Sleeper-cab Trucks'!E132))</f>
        <v>0</v>
      </c>
      <c r="F26" s="128">
        <f>IF(MHDV_Inputs!$B$3=1,'Class 6 PnD Trucks'!F132,IF(MHDV_Inputs!$B$3=2,'Class 8 Day-cab Trucks'!F132,'Class 8 Sleeper-cab Trucks'!F132))</f>
        <v>0</v>
      </c>
    </row>
    <row r="27" spans="1:6">
      <c r="A27" s="172"/>
      <c r="B27" s="1947" t="s">
        <v>61</v>
      </c>
      <c r="C27" s="232">
        <f>IF(MHDV_Inputs!$B$3=1,'Class 6 PnD Trucks'!C133,IF(MHDV_Inputs!$B$3=2,'Class 8 Day-cab Trucks'!C133,'Class 8 Sleeper-cab Trucks'!C133))</f>
        <v>8.0054375924898964E-3</v>
      </c>
      <c r="D27" s="1159">
        <f>IF(MHDV_Inputs!$B$3=1,'Class 6 PnD Trucks'!D133,IF(MHDV_Inputs!$B$3=2,'Class 8 Day-cab Trucks'!D133,'Class 8 Sleeper-cab Trucks'!D133))</f>
        <v>7.9939715826792355E-3</v>
      </c>
      <c r="E27" s="1159">
        <f>IF(MHDV_Inputs!$B$3=1,'Class 6 PnD Trucks'!E133,IF(MHDV_Inputs!$B$3=2,'Class 8 Day-cab Trucks'!E133,'Class 8 Sleeper-cab Trucks'!E133))</f>
        <v>0</v>
      </c>
      <c r="F27" s="128">
        <f>IF(MHDV_Inputs!$B$3=1,'Class 6 PnD Trucks'!F133,IF(MHDV_Inputs!$B$3=2,'Class 8 Day-cab Trucks'!F133,'Class 8 Sleeper-cab Trucks'!F133))</f>
        <v>9.4992669154998783E-3</v>
      </c>
    </row>
    <row r="28" spans="1:6">
      <c r="A28" s="172"/>
      <c r="B28" s="1947" t="s">
        <v>60</v>
      </c>
      <c r="C28" s="232">
        <f>IF(MHDV_Inputs!$B$3=1,'Class 6 PnD Trucks'!C134,IF(MHDV_Inputs!$B$3=2,'Class 8 Day-cab Trucks'!C134,'Class 8 Sleeper-cab Trucks'!C134))</f>
        <v>4.9295614151915725E-2</v>
      </c>
      <c r="D28" s="1159">
        <f>IF(MHDV_Inputs!$B$3=1,'Class 6 PnD Trucks'!D134,IF(MHDV_Inputs!$B$3=2,'Class 8 Day-cab Trucks'!D134,'Class 8 Sleeper-cab Trucks'!D134))</f>
        <v>4.950120671496084E-2</v>
      </c>
      <c r="E28" s="1159">
        <f>IF(MHDV_Inputs!$B$3=1,'Class 6 PnD Trucks'!E134,IF(MHDV_Inputs!$B$3=2,'Class 8 Day-cab Trucks'!E134,'Class 8 Sleeper-cab Trucks'!E134))</f>
        <v>0</v>
      </c>
      <c r="F28" s="128">
        <f>IF(MHDV_Inputs!$B$3=1,'Class 6 PnD Trucks'!F134,IF(MHDV_Inputs!$B$3=2,'Class 8 Day-cab Trucks'!F134,'Class 8 Sleeper-cab Trucks'!F134))</f>
        <v>2.074711072150703E-2</v>
      </c>
    </row>
    <row r="29" spans="1:6">
      <c r="A29" s="172"/>
      <c r="B29" s="1947" t="s">
        <v>2413</v>
      </c>
      <c r="C29" s="232">
        <f>IF(MHDV_Inputs!$B$3=1,'Class 6 PnD Trucks'!C135,IF(MHDV_Inputs!$B$3=2,'Class 8 Day-cab Trucks'!C135,'Class 8 Sleeper-cab Trucks'!C135))</f>
        <v>6.1124117204980968E-3</v>
      </c>
      <c r="D29" s="1159">
        <f>IF(MHDV_Inputs!$B$3=1,'Class 6 PnD Trucks'!D135,IF(MHDV_Inputs!$B$3=2,'Class 8 Day-cab Trucks'!D135,'Class 8 Sleeper-cab Trucks'!D135))</f>
        <v>6.1031859503398065E-3</v>
      </c>
      <c r="E29" s="1159">
        <f>IF(MHDV_Inputs!$B$3=1,'Class 6 PnD Trucks'!E135,IF(MHDV_Inputs!$B$3=2,'Class 8 Day-cab Trucks'!E135,'Class 8 Sleeper-cab Trucks'!E135))</f>
        <v>0</v>
      </c>
      <c r="F29" s="128">
        <f>IF(MHDV_Inputs!$B$3=1,'Class 6 PnD Trucks'!F135,IF(MHDV_Inputs!$B$3=2,'Class 8 Day-cab Trucks'!F135,'Class 8 Sleeper-cab Trucks'!F135))</f>
        <v>1.9931388171572664E-2</v>
      </c>
    </row>
    <row r="30" spans="1:6">
      <c r="A30" s="172"/>
      <c r="B30" s="1947" t="s">
        <v>2414</v>
      </c>
      <c r="C30" s="232">
        <f>IF(MHDV_Inputs!$B$3=1,'Class 6 PnD Trucks'!C136,IF(MHDV_Inputs!$B$3=2,'Class 8 Day-cab Trucks'!C136,'Class 8 Sleeper-cab Trucks'!C136))</f>
        <v>0</v>
      </c>
      <c r="D30" s="1159">
        <f>IF(MHDV_Inputs!$B$3=1,'Class 6 PnD Trucks'!D136,IF(MHDV_Inputs!$B$3=2,'Class 8 Day-cab Trucks'!D136,'Class 8 Sleeper-cab Trucks'!D136))</f>
        <v>0</v>
      </c>
      <c r="E30" s="1159">
        <f>IF(MHDV_Inputs!$B$3=1,'Class 6 PnD Trucks'!E136,IF(MHDV_Inputs!$B$3=2,'Class 8 Day-cab Trucks'!E136,'Class 8 Sleeper-cab Trucks'!E136))</f>
        <v>0</v>
      </c>
      <c r="F30" s="128">
        <f>IF(MHDV_Inputs!$B$3=1,'Class 6 PnD Trucks'!F136,IF(MHDV_Inputs!$B$3=2,'Class 8 Day-cab Trucks'!F136,'Class 8 Sleeper-cab Trucks'!F136))</f>
        <v>0</v>
      </c>
    </row>
    <row r="31" spans="1:6">
      <c r="A31" s="172"/>
      <c r="B31" s="1947" t="s">
        <v>1409</v>
      </c>
      <c r="C31" s="232">
        <f>IF(MHDV_Inputs!$B$3=1,'Class 6 PnD Trucks'!C137,IF(MHDV_Inputs!$B$3=2,'Class 8 Day-cab Trucks'!C137,'Class 8 Sleeper-cab Trucks'!C137))</f>
        <v>6.6048079489949266E-5</v>
      </c>
      <c r="D31" s="1159">
        <f>IF(MHDV_Inputs!$B$3=1,'Class 6 PnD Trucks'!D137,IF(MHDV_Inputs!$B$3=2,'Class 8 Day-cab Trucks'!D137,'Class 8 Sleeper-cab Trucks'!D137))</f>
        <v>6.594838980466069E-5</v>
      </c>
      <c r="E31" s="1159">
        <f>IF(MHDV_Inputs!$B$3=1,'Class 6 PnD Trucks'!E137,IF(MHDV_Inputs!$B$3=2,'Class 8 Day-cab Trucks'!E137,'Class 8 Sleeper-cab Trucks'!E137))</f>
        <v>0</v>
      </c>
      <c r="F31" s="128">
        <f>IF(MHDV_Inputs!$B$3=1,'Class 6 PnD Trucks'!F137,IF(MHDV_Inputs!$B$3=2,'Class 8 Day-cab Trucks'!F137,'Class 8 Sleeper-cab Trucks'!F137))</f>
        <v>0</v>
      </c>
    </row>
    <row r="32" spans="1:6">
      <c r="A32" s="172"/>
      <c r="B32" s="1947" t="s">
        <v>2415</v>
      </c>
      <c r="C32" s="232">
        <f>IF(MHDV_Inputs!$B$3=1,'Class 6 PnD Trucks'!C138,IF(MHDV_Inputs!$B$3=2,'Class 8 Day-cab Trucks'!C138,'Class 8 Sleeper-cab Trucks'!C138))</f>
        <v>0</v>
      </c>
      <c r="D32" s="1159">
        <f>IF(MHDV_Inputs!$B$3=1,'Class 6 PnD Trucks'!D138,IF(MHDV_Inputs!$B$3=2,'Class 8 Day-cab Trucks'!D138,'Class 8 Sleeper-cab Trucks'!D138))</f>
        <v>0</v>
      </c>
      <c r="E32" s="1159">
        <f>IF(MHDV_Inputs!$B$3=1,'Class 6 PnD Trucks'!E138,IF(MHDV_Inputs!$B$3=2,'Class 8 Day-cab Trucks'!E138,'Class 8 Sleeper-cab Trucks'!E138))</f>
        <v>0</v>
      </c>
      <c r="F32" s="128">
        <f>IF(MHDV_Inputs!$B$3=1,'Class 6 PnD Trucks'!F138,IF(MHDV_Inputs!$B$3=2,'Class 8 Day-cab Trucks'!F138,'Class 8 Sleeper-cab Trucks'!F138))</f>
        <v>0</v>
      </c>
    </row>
    <row r="33" spans="1:6">
      <c r="A33" s="172"/>
      <c r="B33" s="1947" t="s">
        <v>2416</v>
      </c>
      <c r="C33" s="232">
        <f>IF(MHDV_Inputs!$B$3=1,'Class 6 PnD Trucks'!C139,IF(MHDV_Inputs!$B$3=2,'Class 8 Day-cab Trucks'!C139,'Class 8 Sleeper-cab Trucks'!C139))</f>
        <v>3.2678260294145061E-3</v>
      </c>
      <c r="D33" s="1159">
        <f>IF(MHDV_Inputs!$B$3=1,'Class 6 PnD Trucks'!D139,IF(MHDV_Inputs!$B$3=2,'Class 8 Day-cab Trucks'!D139,'Class 8 Sleeper-cab Trucks'!D139))</f>
        <v>3.2628937353801311E-3</v>
      </c>
      <c r="E33" s="1159">
        <f>IF(MHDV_Inputs!$B$3=1,'Class 6 PnD Trucks'!E139,IF(MHDV_Inputs!$B$3=2,'Class 8 Day-cab Trucks'!E139,'Class 8 Sleeper-cab Trucks'!E139))</f>
        <v>0</v>
      </c>
      <c r="F33" s="128">
        <f>IF(MHDV_Inputs!$B$3=1,'Class 6 PnD Trucks'!F139,IF(MHDV_Inputs!$B$3=2,'Class 8 Day-cab Trucks'!F139,'Class 8 Sleeper-cab Trucks'!F139))</f>
        <v>2.3823530426344223E-3</v>
      </c>
    </row>
    <row r="34" spans="1:6">
      <c r="A34" s="172"/>
      <c r="B34" s="1947" t="s">
        <v>2417</v>
      </c>
      <c r="C34" s="232">
        <f>IF(MHDV_Inputs!$B$3=1,'Class 6 PnD Trucks'!C140,IF(MHDV_Inputs!$B$3=2,'Class 8 Day-cab Trucks'!C140,'Class 8 Sleeper-cab Trucks'!C140))</f>
        <v>9.440386307197462E-4</v>
      </c>
      <c r="D34" s="1159">
        <f>IF(MHDV_Inputs!$B$3=1,'Class 6 PnD Trucks'!D140,IF(MHDV_Inputs!$B$3=2,'Class 8 Day-cab Trucks'!D140,'Class 8 Sleeper-cab Trucks'!D140))</f>
        <v>9.4261374577648226E-4</v>
      </c>
      <c r="E34" s="1159">
        <f>IF(MHDV_Inputs!$B$3=1,'Class 6 PnD Trucks'!E140,IF(MHDV_Inputs!$B$3=2,'Class 8 Day-cab Trucks'!E140,'Class 8 Sleeper-cab Trucks'!E140))</f>
        <v>0</v>
      </c>
      <c r="F34" s="128">
        <f>IF(MHDV_Inputs!$B$3=1,'Class 6 PnD Trucks'!F140,IF(MHDV_Inputs!$B$3=2,'Class 8 Day-cab Trucks'!F140,'Class 8 Sleeper-cab Trucks'!F140))</f>
        <v>0</v>
      </c>
    </row>
    <row r="35" spans="1:6">
      <c r="A35" s="172"/>
      <c r="B35" s="1947" t="s">
        <v>63</v>
      </c>
      <c r="C35" s="232">
        <f>IF(MHDV_Inputs!$B$3=1,'Class 6 PnD Trucks'!C141,IF(MHDV_Inputs!$B$3=2,'Class 8 Day-cab Trucks'!C141,'Class 8 Sleeper-cab Trucks'!C141))</f>
        <v>2.1236959332450255E-4</v>
      </c>
      <c r="D35" s="1159">
        <f>IF(MHDV_Inputs!$B$3=1,'Class 6 PnD Trucks'!D141,IF(MHDV_Inputs!$B$3=2,'Class 8 Day-cab Trucks'!D141,'Class 8 Sleeper-cab Trucks'!D141))</f>
        <v>2.144031417756323E-4</v>
      </c>
      <c r="E35" s="1159">
        <f>IF(MHDV_Inputs!$B$3=1,'Class 6 PnD Trucks'!E141,IF(MHDV_Inputs!$B$3=2,'Class 8 Day-cab Trucks'!E141,'Class 8 Sleeper-cab Trucks'!E141))</f>
        <v>0</v>
      </c>
      <c r="F35" s="128">
        <f>IF(MHDV_Inputs!$B$3=1,'Class 6 PnD Trucks'!F141,IF(MHDV_Inputs!$B$3=2,'Class 8 Day-cab Trucks'!F141,'Class 8 Sleeper-cab Trucks'!F141))</f>
        <v>7.4512620756498433E-4</v>
      </c>
    </row>
    <row r="36" spans="1:6">
      <c r="A36" s="172"/>
      <c r="B36" s="1947" t="s">
        <v>2407</v>
      </c>
      <c r="C36" s="232">
        <f>IF(MHDV_Inputs!$B$3=1,'Class 6 PnD Trucks'!C142,IF(MHDV_Inputs!$B$3=2,'Class 8 Day-cab Trucks'!C142,'Class 8 Sleeper-cab Trucks'!C142))</f>
        <v>0</v>
      </c>
      <c r="D36" s="1159">
        <f>IF(MHDV_Inputs!$B$3=1,'Class 6 PnD Trucks'!D142,IF(MHDV_Inputs!$B$3=2,'Class 8 Day-cab Trucks'!D142,'Class 8 Sleeper-cab Trucks'!D142))</f>
        <v>0</v>
      </c>
      <c r="E36" s="1159">
        <f>IF(MHDV_Inputs!$B$3=1,'Class 6 PnD Trucks'!E142,IF(MHDV_Inputs!$B$3=2,'Class 8 Day-cab Trucks'!E142,'Class 8 Sleeper-cab Trucks'!E142))</f>
        <v>0</v>
      </c>
      <c r="F36" s="128">
        <f>IF(MHDV_Inputs!$B$3=1,'Class 6 PnD Trucks'!F142,IF(MHDV_Inputs!$B$3=2,'Class 8 Day-cab Trucks'!F142,'Class 8 Sleeper-cab Trucks'!F142))</f>
        <v>3.8035315075016236E-2</v>
      </c>
    </row>
    <row r="37" spans="1:6">
      <c r="A37" s="172"/>
      <c r="B37" s="1947" t="s">
        <v>2418</v>
      </c>
      <c r="C37" s="232">
        <f>IF(MHDV_Inputs!$B$3=1,'Class 6 PnD Trucks'!C143,IF(MHDV_Inputs!$B$3=2,'Class 8 Day-cab Trucks'!C143,'Class 8 Sleeper-cab Trucks'!C143))</f>
        <v>0</v>
      </c>
      <c r="D37" s="1159">
        <f>IF(MHDV_Inputs!$B$3=1,'Class 6 PnD Trucks'!D143,IF(MHDV_Inputs!$B$3=2,'Class 8 Day-cab Trucks'!D143,'Class 8 Sleeper-cab Trucks'!D143))</f>
        <v>0</v>
      </c>
      <c r="E37" s="1159">
        <f>IF(MHDV_Inputs!$B$3=1,'Class 6 PnD Trucks'!E143,IF(MHDV_Inputs!$B$3=2,'Class 8 Day-cab Trucks'!E143,'Class 8 Sleeper-cab Trucks'!E143))</f>
        <v>0</v>
      </c>
      <c r="F37" s="128">
        <f>IF(MHDV_Inputs!$B$3=1,'Class 6 PnD Trucks'!F143,IF(MHDV_Inputs!$B$3=2,'Class 8 Day-cab Trucks'!F143,'Class 8 Sleeper-cab Trucks'!F143))</f>
        <v>1.321257728333443E-3</v>
      </c>
    </row>
    <row r="38" spans="1:6">
      <c r="A38" s="172"/>
      <c r="B38" s="1947" t="s">
        <v>1391</v>
      </c>
      <c r="C38" s="232">
        <f>IF(MHDV_Inputs!$B$3=1,'Class 6 PnD Trucks'!C144,IF(MHDV_Inputs!$B$3=2,'Class 8 Day-cab Trucks'!C144,'Class 8 Sleeper-cab Trucks'!C144))</f>
        <v>0</v>
      </c>
      <c r="D38" s="1159">
        <f>IF(MHDV_Inputs!$B$3=1,'Class 6 PnD Trucks'!D144,IF(MHDV_Inputs!$B$3=2,'Class 8 Day-cab Trucks'!D144,'Class 8 Sleeper-cab Trucks'!D144))</f>
        <v>0</v>
      </c>
      <c r="E38" s="1159">
        <f>IF(MHDV_Inputs!$B$3=1,'Class 6 PnD Trucks'!E144,IF(MHDV_Inputs!$B$3=2,'Class 8 Day-cab Trucks'!E144,'Class 8 Sleeper-cab Trucks'!E144))</f>
        <v>0</v>
      </c>
      <c r="F38" s="128">
        <f>IF(MHDV_Inputs!$B$3=1,'Class 6 PnD Trucks'!F144,IF(MHDV_Inputs!$B$3=2,'Class 8 Day-cab Trucks'!F144,'Class 8 Sleeper-cab Trucks'!F144))</f>
        <v>9.9657997593641856E-2</v>
      </c>
    </row>
    <row r="39" spans="1:6">
      <c r="A39" s="172"/>
      <c r="B39" s="1947" t="s">
        <v>375</v>
      </c>
      <c r="C39" s="232">
        <f>IF(MHDV_Inputs!$B$3=1,'Class 6 PnD Trucks'!C145,IF(MHDV_Inputs!$B$3=2,'Class 8 Day-cab Trucks'!C145,'Class 8 Sleeper-cab Trucks'!C145))</f>
        <v>0</v>
      </c>
      <c r="D39" s="1159">
        <f>IF(MHDV_Inputs!$B$3=1,'Class 6 PnD Trucks'!D145,IF(MHDV_Inputs!$B$3=2,'Class 8 Day-cab Trucks'!D145,'Class 8 Sleeper-cab Trucks'!D145))</f>
        <v>0</v>
      </c>
      <c r="E39" s="1159">
        <f>IF(MHDV_Inputs!$B$3=1,'Class 6 PnD Trucks'!E145,IF(MHDV_Inputs!$B$3=2,'Class 8 Day-cab Trucks'!E145,'Class 8 Sleeper-cab Trucks'!E145))</f>
        <v>0</v>
      </c>
      <c r="F39" s="128">
        <f>IF(MHDV_Inputs!$B$3=1,'Class 6 PnD Trucks'!F145,IF(MHDV_Inputs!$B$3=2,'Class 8 Day-cab Trucks'!F145,'Class 8 Sleeper-cab Trucks'!F145))</f>
        <v>4.7705951637725769E-4</v>
      </c>
    </row>
    <row r="40" spans="1:6">
      <c r="A40" s="172"/>
      <c r="B40" s="1947" t="s">
        <v>381</v>
      </c>
      <c r="C40" s="232">
        <f>IF(MHDV_Inputs!$B$3=1,'Class 6 PnD Trucks'!C146,IF(MHDV_Inputs!$B$3=2,'Class 8 Day-cab Trucks'!C146,'Class 8 Sleeper-cab Trucks'!C146))</f>
        <v>0</v>
      </c>
      <c r="D40" s="1159">
        <f>IF(MHDV_Inputs!$B$3=1,'Class 6 PnD Trucks'!D146,IF(MHDV_Inputs!$B$3=2,'Class 8 Day-cab Trucks'!D146,'Class 8 Sleeper-cab Trucks'!D146))</f>
        <v>0</v>
      </c>
      <c r="E40" s="1159">
        <f>IF(MHDV_Inputs!$B$3=1,'Class 6 PnD Trucks'!E146,IF(MHDV_Inputs!$B$3=2,'Class 8 Day-cab Trucks'!E146,'Class 8 Sleeper-cab Trucks'!E146))</f>
        <v>0</v>
      </c>
      <c r="F40" s="128">
        <f>IF(MHDV_Inputs!$B$3=1,'Class 6 PnD Trucks'!F146,IF(MHDV_Inputs!$B$3=2,'Class 8 Day-cab Trucks'!F146,'Class 8 Sleeper-cab Trucks'!F146))</f>
        <v>2.911245842090637E-2</v>
      </c>
    </row>
    <row r="41" spans="1:6">
      <c r="A41" s="172"/>
      <c r="B41" s="1947" t="s">
        <v>291</v>
      </c>
      <c r="C41" s="232">
        <f>IF(MHDV_Inputs!$B$3=1,'Class 6 PnD Trucks'!C147,IF(MHDV_Inputs!$B$3=2,'Class 8 Day-cab Trucks'!C147,'Class 8 Sleeper-cab Trucks'!C147))</f>
        <v>0</v>
      </c>
      <c r="D41" s="1159">
        <f>IF(MHDV_Inputs!$B$3=1,'Class 6 PnD Trucks'!D147,IF(MHDV_Inputs!$B$3=2,'Class 8 Day-cab Trucks'!D147,'Class 8 Sleeper-cab Trucks'!D147))</f>
        <v>0</v>
      </c>
      <c r="E41" s="1159">
        <f>IF(MHDV_Inputs!$B$3=1,'Class 6 PnD Trucks'!E147,IF(MHDV_Inputs!$B$3=2,'Class 8 Day-cab Trucks'!E147,'Class 8 Sleeper-cab Trucks'!E147))</f>
        <v>0</v>
      </c>
      <c r="F41" s="128">
        <f>IF(MHDV_Inputs!$B$3=1,'Class 6 PnD Trucks'!F147,IF(MHDV_Inputs!$B$3=2,'Class 8 Day-cab Trucks'!F147,'Class 8 Sleeper-cab Trucks'!F147))</f>
        <v>3.6300996230991716E-3</v>
      </c>
    </row>
    <row r="42" spans="1:6">
      <c r="A42" s="172"/>
      <c r="B42" s="1947" t="s">
        <v>289</v>
      </c>
      <c r="C42" s="232">
        <f>IF(MHDV_Inputs!$B$3=1,'Class 6 PnD Trucks'!C148,IF(MHDV_Inputs!$B$3=2,'Class 8 Day-cab Trucks'!C148,'Class 8 Sleeper-cab Trucks'!C148))</f>
        <v>0</v>
      </c>
      <c r="D42" s="1159">
        <f>IF(MHDV_Inputs!$B$3=1,'Class 6 PnD Trucks'!D148,IF(MHDV_Inputs!$B$3=2,'Class 8 Day-cab Trucks'!D148,'Class 8 Sleeper-cab Trucks'!D148))</f>
        <v>0</v>
      </c>
      <c r="E42" s="1159">
        <f>IF(MHDV_Inputs!$B$3=1,'Class 6 PnD Trucks'!E148,IF(MHDV_Inputs!$B$3=2,'Class 8 Day-cab Trucks'!E148,'Class 8 Sleeper-cab Trucks'!E148))</f>
        <v>0</v>
      </c>
      <c r="F42" s="128">
        <f>IF(MHDV_Inputs!$B$3=1,'Class 6 PnD Trucks'!F148,IF(MHDV_Inputs!$B$3=2,'Class 8 Day-cab Trucks'!F148,'Class 8 Sleeper-cab Trucks'!F148))</f>
        <v>8.2701776114159405E-3</v>
      </c>
    </row>
    <row r="43" spans="1:6">
      <c r="A43" s="172"/>
      <c r="B43" s="1947" t="s">
        <v>2419</v>
      </c>
      <c r="C43" s="232">
        <f>IF(MHDV_Inputs!$B$3=1,'Class 6 PnD Trucks'!C149,IF(MHDV_Inputs!$B$3=2,'Class 8 Day-cab Trucks'!C149,'Class 8 Sleeper-cab Trucks'!C149))</f>
        <v>0</v>
      </c>
      <c r="D43" s="1159">
        <f>IF(MHDV_Inputs!$B$3=1,'Class 6 PnD Trucks'!D149,IF(MHDV_Inputs!$B$3=2,'Class 8 Day-cab Trucks'!D149,'Class 8 Sleeper-cab Trucks'!D149))</f>
        <v>0</v>
      </c>
      <c r="E43" s="1159">
        <f>IF(MHDV_Inputs!$B$3=1,'Class 6 PnD Trucks'!E149,IF(MHDV_Inputs!$B$3=2,'Class 8 Day-cab Trucks'!E149,'Class 8 Sleeper-cab Trucks'!E149))</f>
        <v>0</v>
      </c>
      <c r="F43" s="128">
        <f>IF(MHDV_Inputs!$B$3=1,'Class 6 PnD Trucks'!F149,IF(MHDV_Inputs!$B$3=2,'Class 8 Day-cab Trucks'!F149,'Class 8 Sleeper-cab Trucks'!F149))</f>
        <v>2.1927642463576893E-2</v>
      </c>
    </row>
    <row r="44" spans="1:6">
      <c r="A44" s="172"/>
      <c r="B44" s="1947" t="s">
        <v>2420</v>
      </c>
      <c r="C44" s="232">
        <f>IF(MHDV_Inputs!$B$3=1,'Class 6 PnD Trucks'!C150,IF(MHDV_Inputs!$B$3=2,'Class 8 Day-cab Trucks'!C150,'Class 8 Sleeper-cab Trucks'!C150))</f>
        <v>3.1922503080777848E-2</v>
      </c>
      <c r="D44" s="1159">
        <f>IF(MHDV_Inputs!$B$3=1,'Class 6 PnD Trucks'!D150,IF(MHDV_Inputs!$B$3=2,'Class 8 Day-cab Trucks'!D150,'Class 8 Sleeper-cab Trucks'!D150))</f>
        <v>3.2228177521642407E-2</v>
      </c>
      <c r="E44" s="1159">
        <f>IF(MHDV_Inputs!$B$3=1,'Class 6 PnD Trucks'!E150,IF(MHDV_Inputs!$B$3=2,'Class 8 Day-cab Trucks'!E150,'Class 8 Sleeper-cab Trucks'!E150))</f>
        <v>0</v>
      </c>
      <c r="F44" s="128">
        <f>IF(MHDV_Inputs!$B$3=1,'Class 6 PnD Trucks'!F150,IF(MHDV_Inputs!$B$3=2,'Class 8 Day-cab Trucks'!F150,'Class 8 Sleeper-cab Trucks'!F150))</f>
        <v>3.0358332860370947E-4</v>
      </c>
    </row>
    <row r="45" spans="1:6">
      <c r="A45" s="172"/>
      <c r="B45" s="1947" t="s">
        <v>293</v>
      </c>
      <c r="C45" s="232">
        <f>IF(MHDV_Inputs!$B$3=1,'Class 6 PnD Trucks'!C151,IF(MHDV_Inputs!$B$3=2,'Class 8 Day-cab Trucks'!C151,'Class 8 Sleeper-cab Trucks'!C151))</f>
        <v>0</v>
      </c>
      <c r="D45" s="1159">
        <f>IF(MHDV_Inputs!$B$3=1,'Class 6 PnD Trucks'!D151,IF(MHDV_Inputs!$B$3=2,'Class 8 Day-cab Trucks'!D151,'Class 8 Sleeper-cab Trucks'!D151))</f>
        <v>0</v>
      </c>
      <c r="E45" s="1159">
        <f>IF(MHDV_Inputs!$B$3=1,'Class 6 PnD Trucks'!E151,IF(MHDV_Inputs!$B$3=2,'Class 8 Day-cab Trucks'!E151,'Class 8 Sleeper-cab Trucks'!E151))</f>
        <v>0</v>
      </c>
      <c r="F45" s="128">
        <f>IF(MHDV_Inputs!$B$3=1,'Class 6 PnD Trucks'!F151,IF(MHDV_Inputs!$B$3=2,'Class 8 Day-cab Trucks'!F151,'Class 8 Sleeper-cab Trucks'!F151))</f>
        <v>1.6175040655651663E-2</v>
      </c>
    </row>
    <row r="46" spans="1:6">
      <c r="A46" s="172"/>
      <c r="B46" s="1947" t="s">
        <v>2421</v>
      </c>
      <c r="C46" s="232">
        <f>IF(MHDV_Inputs!$B$3=1,'Class 6 PnD Trucks'!C152,IF(MHDV_Inputs!$B$3=2,'Class 8 Day-cab Trucks'!C152,'Class 8 Sleeper-cab Trucks'!C152))</f>
        <v>0</v>
      </c>
      <c r="D46" s="1159">
        <f>IF(MHDV_Inputs!$B$3=1,'Class 6 PnD Trucks'!D152,IF(MHDV_Inputs!$B$3=2,'Class 8 Day-cab Trucks'!D152,'Class 8 Sleeper-cab Trucks'!D152))</f>
        <v>0</v>
      </c>
      <c r="E46" s="1159">
        <f>IF(MHDV_Inputs!$B$3=1,'Class 6 PnD Trucks'!E152,IF(MHDV_Inputs!$B$3=2,'Class 8 Day-cab Trucks'!E152,'Class 8 Sleeper-cab Trucks'!E152))</f>
        <v>0</v>
      </c>
      <c r="F46" s="128">
        <f>IF(MHDV_Inputs!$B$3=1,'Class 6 PnD Trucks'!F152,IF(MHDV_Inputs!$B$3=2,'Class 8 Day-cab Trucks'!F152,'Class 8 Sleeper-cab Trucks'!F152))</f>
        <v>1.0601413704966979E-2</v>
      </c>
    </row>
    <row r="47" spans="1:6">
      <c r="A47" s="172"/>
      <c r="B47" s="1947" t="s">
        <v>2422</v>
      </c>
      <c r="C47" s="232">
        <f>IF(MHDV_Inputs!$B$3=1,'Class 6 PnD Trucks'!C153,IF(MHDV_Inputs!$B$3=2,'Class 8 Day-cab Trucks'!C153,'Class 8 Sleeper-cab Trucks'!C153))</f>
        <v>0</v>
      </c>
      <c r="D47" s="1159">
        <f>IF(MHDV_Inputs!$B$3=1,'Class 6 PnD Trucks'!D153,IF(MHDV_Inputs!$B$3=2,'Class 8 Day-cab Trucks'!D153,'Class 8 Sleeper-cab Trucks'!D153))</f>
        <v>0</v>
      </c>
      <c r="E47" s="1159">
        <f>IF(MHDV_Inputs!$B$3=1,'Class 6 PnD Trucks'!E153,IF(MHDV_Inputs!$B$3=2,'Class 8 Day-cab Trucks'!E153,'Class 8 Sleeper-cab Trucks'!E153))</f>
        <v>0</v>
      </c>
      <c r="F47" s="128">
        <f>IF(MHDV_Inputs!$B$3=1,'Class 6 PnD Trucks'!F153,IF(MHDV_Inputs!$B$3=2,'Class 8 Day-cab Trucks'!F153,'Class 8 Sleeper-cab Trucks'!F153))</f>
        <v>0</v>
      </c>
    </row>
    <row r="48" spans="1:6">
      <c r="A48" s="172"/>
      <c r="B48" s="1947" t="s">
        <v>48</v>
      </c>
      <c r="C48" s="232">
        <f>IF(MHDV_Inputs!$B$3=1,'Class 6 PnD Trucks'!C154,IF(MHDV_Inputs!$B$3=2,'Class 8 Day-cab Trucks'!C154,'Class 8 Sleeper-cab Trucks'!C154))</f>
        <v>0</v>
      </c>
      <c r="D48" s="1159">
        <f>IF(MHDV_Inputs!$B$3=1,'Class 6 PnD Trucks'!D154,IF(MHDV_Inputs!$B$3=2,'Class 8 Day-cab Trucks'!D154,'Class 8 Sleeper-cab Trucks'!D154))</f>
        <v>0</v>
      </c>
      <c r="E48" s="1159">
        <f>IF(MHDV_Inputs!$B$3=1,'Class 6 PnD Trucks'!E154,IF(MHDV_Inputs!$B$3=2,'Class 8 Day-cab Trucks'!E154,'Class 8 Sleeper-cab Trucks'!E154))</f>
        <v>0</v>
      </c>
      <c r="F48" s="128">
        <f>IF(MHDV_Inputs!$B$3=1,'Class 6 PnD Trucks'!F154,IF(MHDV_Inputs!$B$3=2,'Class 8 Day-cab Trucks'!F154,'Class 8 Sleeper-cab Trucks'!F154))</f>
        <v>2.7483302362833941E-3</v>
      </c>
    </row>
    <row r="49" spans="1:6">
      <c r="A49" s="172"/>
      <c r="B49" s="1947" t="s">
        <v>71</v>
      </c>
      <c r="C49" s="232">
        <f>IF(MHDV_Inputs!$B$3=1,'Class 6 PnD Trucks'!C155,IF(MHDV_Inputs!$B$3=2,'Class 8 Day-cab Trucks'!C155,'Class 8 Sleeper-cab Trucks'!C155))</f>
        <v>0</v>
      </c>
      <c r="D49" s="1159">
        <f>IF(MHDV_Inputs!$B$3=1,'Class 6 PnD Trucks'!D155,IF(MHDV_Inputs!$B$3=2,'Class 8 Day-cab Trucks'!D155,'Class 8 Sleeper-cab Trucks'!D155))</f>
        <v>0</v>
      </c>
      <c r="E49" s="1159">
        <f>IF(MHDV_Inputs!$B$3=1,'Class 6 PnD Trucks'!E155,IF(MHDV_Inputs!$B$3=2,'Class 8 Day-cab Trucks'!E155,'Class 8 Sleeper-cab Trucks'!E155))</f>
        <v>0</v>
      </c>
      <c r="F49" s="128">
        <f>IF(MHDV_Inputs!$B$3=1,'Class 6 PnD Trucks'!F155,IF(MHDV_Inputs!$B$3=2,'Class 8 Day-cab Trucks'!F155,'Class 8 Sleeper-cab Trucks'!F155))</f>
        <v>9.2056952656723728E-4</v>
      </c>
    </row>
    <row r="50" spans="1:6">
      <c r="A50" s="172"/>
      <c r="B50" s="1947" t="s">
        <v>73</v>
      </c>
      <c r="C50" s="232">
        <f>IF(MHDV_Inputs!$B$3=1,'Class 6 PnD Trucks'!C156,IF(MHDV_Inputs!$B$3=2,'Class 8 Day-cab Trucks'!C156,'Class 8 Sleeper-cab Trucks'!C156))</f>
        <v>0</v>
      </c>
      <c r="D50" s="1159">
        <f>IF(MHDV_Inputs!$B$3=1,'Class 6 PnD Trucks'!D156,IF(MHDV_Inputs!$B$3=2,'Class 8 Day-cab Trucks'!D156,'Class 8 Sleeper-cab Trucks'!D156))</f>
        <v>0</v>
      </c>
      <c r="E50" s="1159">
        <f>IF(MHDV_Inputs!$B$3=1,'Class 6 PnD Trucks'!E156,IF(MHDV_Inputs!$B$3=2,'Class 8 Day-cab Trucks'!E156,'Class 8 Sleeper-cab Trucks'!E156))</f>
        <v>0</v>
      </c>
      <c r="F50" s="128">
        <f>IF(MHDV_Inputs!$B$3=1,'Class 6 PnD Trucks'!F156,IF(MHDV_Inputs!$B$3=2,'Class 8 Day-cab Trucks'!F156,'Class 8 Sleeper-cab Trucks'!F156))</f>
        <v>4.6882474192642525E-4</v>
      </c>
    </row>
    <row r="51" spans="1:6">
      <c r="A51" s="172"/>
      <c r="B51" s="1947" t="s">
        <v>2423</v>
      </c>
      <c r="C51" s="232">
        <f>IF(MHDV_Inputs!$B$3=1,'Class 6 PnD Trucks'!C157,IF(MHDV_Inputs!$B$3=2,'Class 8 Day-cab Trucks'!C157,'Class 8 Sleeper-cab Trucks'!C157))</f>
        <v>0</v>
      </c>
      <c r="D51" s="1159">
        <f>IF(MHDV_Inputs!$B$3=1,'Class 6 PnD Trucks'!D157,IF(MHDV_Inputs!$B$3=2,'Class 8 Day-cab Trucks'!D157,'Class 8 Sleeper-cab Trucks'!D157))</f>
        <v>0</v>
      </c>
      <c r="E51" s="1159">
        <f>IF(MHDV_Inputs!$B$3=1,'Class 6 PnD Trucks'!E157,IF(MHDV_Inputs!$B$3=2,'Class 8 Day-cab Trucks'!E157,'Class 8 Sleeper-cab Trucks'!E157))</f>
        <v>0</v>
      </c>
      <c r="F51" s="128">
        <f>IF(MHDV_Inputs!$B$3=1,'Class 6 PnD Trucks'!F157,IF(MHDV_Inputs!$B$3=2,'Class 8 Day-cab Trucks'!F157,'Class 8 Sleeper-cab Trucks'!F157))</f>
        <v>1.753465764889976E-4</v>
      </c>
    </row>
    <row r="52" spans="1:6">
      <c r="A52" s="172"/>
      <c r="B52" s="1947" t="s">
        <v>69</v>
      </c>
      <c r="C52" s="232">
        <f>IF(MHDV_Inputs!$B$3=1,'Class 6 PnD Trucks'!C158,IF(MHDV_Inputs!$B$3=2,'Class 8 Day-cab Trucks'!C158,'Class 8 Sleeper-cab Trucks'!C158))</f>
        <v>0</v>
      </c>
      <c r="D52" s="1159">
        <f>IF(MHDV_Inputs!$B$3=1,'Class 6 PnD Trucks'!D158,IF(MHDV_Inputs!$B$3=2,'Class 8 Day-cab Trucks'!D158,'Class 8 Sleeper-cab Trucks'!D158))</f>
        <v>0</v>
      </c>
      <c r="E52" s="1159">
        <f>IF(MHDV_Inputs!$B$3=1,'Class 6 PnD Trucks'!E158,IF(MHDV_Inputs!$B$3=2,'Class 8 Day-cab Trucks'!E158,'Class 8 Sleeper-cab Trucks'!E158))</f>
        <v>0</v>
      </c>
      <c r="F52" s="128">
        <f>IF(MHDV_Inputs!$B$3=1,'Class 6 PnD Trucks'!F158,IF(MHDV_Inputs!$B$3=2,'Class 8 Day-cab Trucks'!F158,'Class 8 Sleeper-cab Trucks'!F158))</f>
        <v>4.3836644122249399E-5</v>
      </c>
    </row>
    <row r="53" spans="1:6">
      <c r="A53" s="172"/>
      <c r="B53" s="1947" t="s">
        <v>58</v>
      </c>
      <c r="C53" s="232">
        <f>IF(MHDV_Inputs!$B$3=1,'Class 6 PnD Trucks'!C159,IF(MHDV_Inputs!$B$3=2,'Class 8 Day-cab Trucks'!C159,'Class 8 Sleeper-cab Trucks'!C159))</f>
        <v>0</v>
      </c>
      <c r="D53" s="1159">
        <f>IF(MHDV_Inputs!$B$3=1,'Class 6 PnD Trucks'!D159,IF(MHDV_Inputs!$B$3=2,'Class 8 Day-cab Trucks'!D159,'Class 8 Sleeper-cab Trucks'!D159))</f>
        <v>0</v>
      </c>
      <c r="E53" s="1159">
        <f>IF(MHDV_Inputs!$B$3=1,'Class 6 PnD Trucks'!E159,IF(MHDV_Inputs!$B$3=2,'Class 8 Day-cab Trucks'!E159,'Class 8 Sleeper-cab Trucks'!E159))</f>
        <v>0</v>
      </c>
      <c r="F53" s="128">
        <f>IF(MHDV_Inputs!$B$3=1,'Class 6 PnD Trucks'!F159,IF(MHDV_Inputs!$B$3=2,'Class 8 Day-cab Trucks'!F159,'Class 8 Sleeper-cab Trucks'!F159))</f>
        <v>3.1803967758483849E-4</v>
      </c>
    </row>
    <row r="54" spans="1:6">
      <c r="A54" s="172"/>
      <c r="B54" s="59" t="s">
        <v>262</v>
      </c>
      <c r="C54" s="239">
        <f>IF(MHDV_Inputs!$B$3=1,'Class 6 PnD Trucks'!C160,IF(MHDV_Inputs!$B$3=2,'Class 8 Day-cab Trucks'!C160,'Class 8 Sleeper-cab Trucks'!C160))</f>
        <v>0</v>
      </c>
      <c r="D54" s="129">
        <f>IF(MHDV_Inputs!$B$3=1,'Class 6 PnD Trucks'!D160,IF(MHDV_Inputs!$B$3=2,'Class 8 Day-cab Trucks'!D160,'Class 8 Sleeper-cab Trucks'!D160))</f>
        <v>0</v>
      </c>
      <c r="E54" s="129">
        <f>IF(MHDV_Inputs!$B$3=1,'Class 6 PnD Trucks'!E160,IF(MHDV_Inputs!$B$3=2,'Class 8 Day-cab Trucks'!E160,'Class 8 Sleeper-cab Trucks'!E160))</f>
        <v>0</v>
      </c>
      <c r="F54" s="130">
        <f>IF(MHDV_Inputs!$B$3=1,'Class 6 PnD Trucks'!F160,IF(MHDV_Inputs!$B$3=2,'Class 8 Day-cab Trucks'!F160,'Class 8 Sleeper-cab Trucks'!F160))</f>
        <v>1.6454896889403752E-3</v>
      </c>
    </row>
    <row r="55" spans="1:6">
      <c r="A55" s="172"/>
      <c r="B55" s="482" t="s">
        <v>274</v>
      </c>
      <c r="C55" s="556"/>
      <c r="D55" s="179"/>
      <c r="E55" s="179"/>
      <c r="F55" s="180"/>
    </row>
    <row r="56" spans="1:6">
      <c r="A56" s="172"/>
      <c r="B56" s="1947" t="s">
        <v>38</v>
      </c>
      <c r="C56" s="232">
        <f>IF(MHDV_Inputs!$B$3=1,'Class 6 PnD Trucks'!C162,IF(MHDV_Inputs!$B$3=2,'Class 8 Day-cab Trucks'!C162,'Class 8 Sleeper-cab Trucks'!C162))</f>
        <v>0.86253103742493664</v>
      </c>
      <c r="D56" s="1159">
        <f>IF(MHDV_Inputs!$B$3=1,'Class 6 PnD Trucks'!D162,IF(MHDV_Inputs!$B$3=2,'Class 8 Day-cab Trucks'!D162,'Class 8 Sleeper-cab Trucks'!D162))</f>
        <v>0.86253103742493664</v>
      </c>
      <c r="E56" s="1159">
        <f>IF(MHDV_Inputs!$B$3=1,'Class 6 PnD Trucks'!E162,IF(MHDV_Inputs!$B$3=2,'Class 8 Day-cab Trucks'!E162,'Class 8 Sleeper-cab Trucks'!E162))</f>
        <v>0.86253103742493664</v>
      </c>
      <c r="F56" s="128">
        <f>IF(MHDV_Inputs!$B$3=1,'Class 6 PnD Trucks'!F162,IF(MHDV_Inputs!$B$3=2,'Class 8 Day-cab Trucks'!F162,'Class 8 Sleeper-cab Trucks'!F162))</f>
        <v>0.86253103742493664</v>
      </c>
    </row>
    <row r="57" spans="1:6">
      <c r="A57" s="172"/>
      <c r="B57" s="1947" t="s">
        <v>2406</v>
      </c>
      <c r="C57" s="232">
        <f>IF(MHDV_Inputs!$B$3=1,'Class 6 PnD Trucks'!C163,IF(MHDV_Inputs!$B$3=2,'Class 8 Day-cab Trucks'!C163,'Class 8 Sleeper-cab Trucks'!C163))</f>
        <v>1.3498102108116383E-4</v>
      </c>
      <c r="D57" s="1159">
        <f>IF(MHDV_Inputs!$B$3=1,'Class 6 PnD Trucks'!D163,IF(MHDV_Inputs!$B$3=2,'Class 8 Day-cab Trucks'!D163,'Class 8 Sleeper-cab Trucks'!D163))</f>
        <v>1.3498102108116383E-4</v>
      </c>
      <c r="E57" s="1159">
        <f>IF(MHDV_Inputs!$B$3=1,'Class 6 PnD Trucks'!E163,IF(MHDV_Inputs!$B$3=2,'Class 8 Day-cab Trucks'!E163,'Class 8 Sleeper-cab Trucks'!E163))</f>
        <v>1.3498102108116383E-4</v>
      </c>
      <c r="F57" s="128">
        <f>IF(MHDV_Inputs!$B$3=1,'Class 6 PnD Trucks'!F163,IF(MHDV_Inputs!$B$3=2,'Class 8 Day-cab Trucks'!F163,'Class 8 Sleeper-cab Trucks'!F163))</f>
        <v>1.3498102108116383E-4</v>
      </c>
    </row>
    <row r="58" spans="1:6">
      <c r="A58" s="172"/>
      <c r="B58" s="1947" t="s">
        <v>2405</v>
      </c>
      <c r="C58" s="232">
        <f>IF(MHDV_Inputs!$B$3=1,'Class 6 PnD Trucks'!C164,IF(MHDV_Inputs!$B$3=2,'Class 8 Day-cab Trucks'!C164,'Class 8 Sleeper-cab Trucks'!C164))</f>
        <v>7.3254214283268956E-4</v>
      </c>
      <c r="D58" s="1159">
        <f>IF(MHDV_Inputs!$B$3=1,'Class 6 PnD Trucks'!D164,IF(MHDV_Inputs!$B$3=2,'Class 8 Day-cab Trucks'!D164,'Class 8 Sleeper-cab Trucks'!D164))</f>
        <v>7.3254214283268956E-4</v>
      </c>
      <c r="E58" s="1159">
        <f>IF(MHDV_Inputs!$B$3=1,'Class 6 PnD Trucks'!E164,IF(MHDV_Inputs!$B$3=2,'Class 8 Day-cab Trucks'!E164,'Class 8 Sleeper-cab Trucks'!E164))</f>
        <v>7.3254214283268956E-4</v>
      </c>
      <c r="F58" s="128">
        <f>IF(MHDV_Inputs!$B$3=1,'Class 6 PnD Trucks'!F164,IF(MHDV_Inputs!$B$3=2,'Class 8 Day-cab Trucks'!F164,'Class 8 Sleeper-cab Trucks'!F164))</f>
        <v>7.3254214283268956E-4</v>
      </c>
    </row>
    <row r="59" spans="1:6">
      <c r="A59" s="172"/>
      <c r="B59" s="1947" t="s">
        <v>1869</v>
      </c>
      <c r="C59" s="232">
        <f>IF(MHDV_Inputs!$B$3=1,'Class 6 PnD Trucks'!C165,IF(MHDV_Inputs!$B$3=2,'Class 8 Day-cab Trucks'!C165,'Class 8 Sleeper-cab Trucks'!C165))</f>
        <v>7.0474644087292926E-2</v>
      </c>
      <c r="D59" s="1159">
        <f>IF(MHDV_Inputs!$B$3=1,'Class 6 PnD Trucks'!D165,IF(MHDV_Inputs!$B$3=2,'Class 8 Day-cab Trucks'!D165,'Class 8 Sleeper-cab Trucks'!D165))</f>
        <v>7.0474644087292926E-2</v>
      </c>
      <c r="E59" s="1159">
        <f>IF(MHDV_Inputs!$B$3=1,'Class 6 PnD Trucks'!E165,IF(MHDV_Inputs!$B$3=2,'Class 8 Day-cab Trucks'!E165,'Class 8 Sleeper-cab Trucks'!E165))</f>
        <v>7.0474644087292926E-2</v>
      </c>
      <c r="F59" s="128">
        <f>IF(MHDV_Inputs!$B$3=1,'Class 6 PnD Trucks'!F165,IF(MHDV_Inputs!$B$3=2,'Class 8 Day-cab Trucks'!F165,'Class 8 Sleeper-cab Trucks'!F165))</f>
        <v>7.0474644087292926E-2</v>
      </c>
    </row>
    <row r="60" spans="1:6">
      <c r="A60" s="172"/>
      <c r="B60" s="1947" t="s">
        <v>61</v>
      </c>
      <c r="C60" s="232">
        <f>IF(MHDV_Inputs!$B$3=1,'Class 6 PnD Trucks'!C166,IF(MHDV_Inputs!$B$3=2,'Class 8 Day-cab Trucks'!C166,'Class 8 Sleeper-cab Trucks'!C166))</f>
        <v>6.3219224804186959E-3</v>
      </c>
      <c r="D60" s="1159">
        <f>IF(MHDV_Inputs!$B$3=1,'Class 6 PnD Trucks'!D166,IF(MHDV_Inputs!$B$3=2,'Class 8 Day-cab Trucks'!D166,'Class 8 Sleeper-cab Trucks'!D166))</f>
        <v>6.3219224804186959E-3</v>
      </c>
      <c r="E60" s="1159">
        <f>IF(MHDV_Inputs!$B$3=1,'Class 6 PnD Trucks'!E166,IF(MHDV_Inputs!$B$3=2,'Class 8 Day-cab Trucks'!E166,'Class 8 Sleeper-cab Trucks'!E166))</f>
        <v>6.3219224804186959E-3</v>
      </c>
      <c r="F60" s="128">
        <f>IF(MHDV_Inputs!$B$3=1,'Class 6 PnD Trucks'!F166,IF(MHDV_Inputs!$B$3=2,'Class 8 Day-cab Trucks'!F166,'Class 8 Sleeper-cab Trucks'!F166))</f>
        <v>6.3219224804186959E-3</v>
      </c>
    </row>
    <row r="61" spans="1:6">
      <c r="A61" s="172"/>
      <c r="B61" s="1947" t="s">
        <v>60</v>
      </c>
      <c r="C61" s="232">
        <f>IF(MHDV_Inputs!$B$3=1,'Class 6 PnD Trucks'!C167,IF(MHDV_Inputs!$B$3=2,'Class 8 Day-cab Trucks'!C167,'Class 8 Sleeper-cab Trucks'!C167))</f>
        <v>5.4116062255264281E-2</v>
      </c>
      <c r="D61" s="1159">
        <f>IF(MHDV_Inputs!$B$3=1,'Class 6 PnD Trucks'!D167,IF(MHDV_Inputs!$B$3=2,'Class 8 Day-cab Trucks'!D167,'Class 8 Sleeper-cab Trucks'!D167))</f>
        <v>5.4116062255264281E-2</v>
      </c>
      <c r="E61" s="1159">
        <f>IF(MHDV_Inputs!$B$3=1,'Class 6 PnD Trucks'!E167,IF(MHDV_Inputs!$B$3=2,'Class 8 Day-cab Trucks'!E167,'Class 8 Sleeper-cab Trucks'!E167))</f>
        <v>5.4116062255264281E-2</v>
      </c>
      <c r="F61" s="128">
        <f>IF(MHDV_Inputs!$B$3=1,'Class 6 PnD Trucks'!F167,IF(MHDV_Inputs!$B$3=2,'Class 8 Day-cab Trucks'!F167,'Class 8 Sleeper-cab Trucks'!F167))</f>
        <v>5.4116062255264281E-2</v>
      </c>
    </row>
    <row r="62" spans="1:6">
      <c r="A62" s="172"/>
      <c r="B62" s="1947" t="s">
        <v>52</v>
      </c>
      <c r="C62" s="232">
        <f>IF(MHDV_Inputs!$B$3=1,'Class 6 PnD Trucks'!C168,IF(MHDV_Inputs!$B$3=2,'Class 8 Day-cab Trucks'!C168,'Class 8 Sleeper-cab Trucks'!C168))</f>
        <v>3.5218372251571623E-3</v>
      </c>
      <c r="D62" s="1159">
        <f>IF(MHDV_Inputs!$B$3=1,'Class 6 PnD Trucks'!D168,IF(MHDV_Inputs!$B$3=2,'Class 8 Day-cab Trucks'!D168,'Class 8 Sleeper-cab Trucks'!D168))</f>
        <v>3.5218372251571623E-3</v>
      </c>
      <c r="E62" s="1159">
        <f>IF(MHDV_Inputs!$B$3=1,'Class 6 PnD Trucks'!E168,IF(MHDV_Inputs!$B$3=2,'Class 8 Day-cab Trucks'!E168,'Class 8 Sleeper-cab Trucks'!E168))</f>
        <v>3.5218372251571623E-3</v>
      </c>
      <c r="F62" s="128">
        <f>IF(MHDV_Inputs!$B$3=1,'Class 6 PnD Trucks'!F168,IF(MHDV_Inputs!$B$3=2,'Class 8 Day-cab Trucks'!F168,'Class 8 Sleeper-cab Trucks'!F168))</f>
        <v>3.5218372251571623E-3</v>
      </c>
    </row>
    <row r="63" spans="1:6">
      <c r="A63" s="172"/>
      <c r="B63" s="1947" t="s">
        <v>2424</v>
      </c>
      <c r="C63" s="232">
        <f>IF(MHDV_Inputs!$B$3=1,'Class 6 PnD Trucks'!C169,IF(MHDV_Inputs!$B$3=2,'Class 8 Day-cab Trucks'!C169,'Class 8 Sleeper-cab Trucks'!C169))</f>
        <v>4.7838288975051449E-4</v>
      </c>
      <c r="D63" s="1159">
        <f>IF(MHDV_Inputs!$B$3=1,'Class 6 PnD Trucks'!D169,IF(MHDV_Inputs!$B$3=2,'Class 8 Day-cab Trucks'!D169,'Class 8 Sleeper-cab Trucks'!D169))</f>
        <v>4.7838288975051449E-4</v>
      </c>
      <c r="E63" s="1159">
        <f>IF(MHDV_Inputs!$B$3=1,'Class 6 PnD Trucks'!E169,IF(MHDV_Inputs!$B$3=2,'Class 8 Day-cab Trucks'!E169,'Class 8 Sleeper-cab Trucks'!E169))</f>
        <v>4.7838288975051449E-4</v>
      </c>
      <c r="F63" s="128">
        <f>IF(MHDV_Inputs!$B$3=1,'Class 6 PnD Trucks'!F169,IF(MHDV_Inputs!$B$3=2,'Class 8 Day-cab Trucks'!F169,'Class 8 Sleeper-cab Trucks'!F169))</f>
        <v>4.7838288975051449E-4</v>
      </c>
    </row>
    <row r="64" spans="1:6">
      <c r="A64" s="172"/>
      <c r="B64" s="1947" t="s">
        <v>2425</v>
      </c>
      <c r="C64" s="232">
        <f>IF(MHDV_Inputs!$B$3=1,'Class 6 PnD Trucks'!C170,IF(MHDV_Inputs!$B$3=2,'Class 8 Day-cab Trucks'!C170,'Class 8 Sleeper-cab Trucks'!C170))</f>
        <v>1.6885904732658118E-3</v>
      </c>
      <c r="D64" s="1159">
        <f>IF(MHDV_Inputs!$B$3=1,'Class 6 PnD Trucks'!D170,IF(MHDV_Inputs!$B$3=2,'Class 8 Day-cab Trucks'!D170,'Class 8 Sleeper-cab Trucks'!D170))</f>
        <v>1.6885904732658118E-3</v>
      </c>
      <c r="E64" s="1159">
        <f>IF(MHDV_Inputs!$B$3=1,'Class 6 PnD Trucks'!E170,IF(MHDV_Inputs!$B$3=2,'Class 8 Day-cab Trucks'!E170,'Class 8 Sleeper-cab Trucks'!E170))</f>
        <v>1.6885904732658118E-3</v>
      </c>
      <c r="F64" s="128">
        <f>IF(MHDV_Inputs!$B$3=1,'Class 6 PnD Trucks'!F170,IF(MHDV_Inputs!$B$3=2,'Class 8 Day-cab Trucks'!F170,'Class 8 Sleeper-cab Trucks'!F170))</f>
        <v>1.6885904732658118E-3</v>
      </c>
    </row>
    <row r="65" spans="1:6">
      <c r="A65" s="172"/>
      <c r="B65" s="1948" t="s">
        <v>2426</v>
      </c>
      <c r="C65" s="239">
        <f>IF(MHDV_Inputs!$B$3=1,'Class 6 PnD Trucks'!C171,IF(MHDV_Inputs!$B$3=2,'Class 8 Day-cab Trucks'!C171,'Class 8 Sleeper-cab Trucks'!C171))</f>
        <v>0</v>
      </c>
      <c r="D65" s="129">
        <f>IF(MHDV_Inputs!$B$3=1,'Class 6 PnD Trucks'!D171,IF(MHDV_Inputs!$B$3=2,'Class 8 Day-cab Trucks'!D171,'Class 8 Sleeper-cab Trucks'!D171))</f>
        <v>0</v>
      </c>
      <c r="E65" s="129">
        <f>IF(MHDV_Inputs!$B$3=1,'Class 6 PnD Trucks'!E171,IF(MHDV_Inputs!$B$3=2,'Class 8 Day-cab Trucks'!E171,'Class 8 Sleeper-cab Trucks'!E171))</f>
        <v>0</v>
      </c>
      <c r="F65" s="130">
        <f>IF(MHDV_Inputs!$B$3=1,'Class 6 PnD Trucks'!F171,IF(MHDV_Inputs!$B$3=2,'Class 8 Day-cab Trucks'!F171,'Class 8 Sleeper-cab Trucks'!F171))</f>
        <v>0</v>
      </c>
    </row>
    <row r="66" spans="1:6">
      <c r="A66" s="172"/>
      <c r="B66" s="487" t="s">
        <v>184</v>
      </c>
      <c r="C66" s="556"/>
      <c r="D66" s="179"/>
      <c r="E66" s="179"/>
      <c r="F66" s="180"/>
    </row>
    <row r="67" spans="1:6">
      <c r="A67" s="172"/>
      <c r="B67" s="1947" t="s">
        <v>38</v>
      </c>
      <c r="C67" s="232">
        <f>IF(MHDV_Inputs!$B$3=1,'Class 6 PnD Trucks'!C173,IF(MHDV_Inputs!$B$3=2,'Class 8 Day-cab Trucks'!C173,'Class 8 Sleeper-cab Trucks'!C173))</f>
        <v>0.77956631354324046</v>
      </c>
      <c r="D67" s="1159">
        <f>IF(MHDV_Inputs!$B$3=1,'Class 6 PnD Trucks'!D173,IF(MHDV_Inputs!$B$3=2,'Class 8 Day-cab Trucks'!D173,'Class 8 Sleeper-cab Trucks'!D173))</f>
        <v>0.77956631354324046</v>
      </c>
      <c r="E67" s="1159">
        <f>IF(MHDV_Inputs!$B$3=1,'Class 6 PnD Trucks'!E173,IF(MHDV_Inputs!$B$3=2,'Class 8 Day-cab Trucks'!E173,'Class 8 Sleeper-cab Trucks'!E173))</f>
        <v>0.77956631354324046</v>
      </c>
      <c r="F67" s="128">
        <f>IF(MHDV_Inputs!$B$3=1,'Class 6 PnD Trucks'!F173,IF(MHDV_Inputs!$B$3=2,'Class 8 Day-cab Trucks'!F173,'Class 8 Sleeper-cab Trucks'!F173))</f>
        <v>0.77956631354324046</v>
      </c>
    </row>
    <row r="68" spans="1:6">
      <c r="A68" s="172"/>
      <c r="B68" s="1947" t="s">
        <v>1869</v>
      </c>
      <c r="C68" s="232">
        <f>IF(MHDV_Inputs!$B$3=1,'Class 6 PnD Trucks'!C174,IF(MHDV_Inputs!$B$3=2,'Class 8 Day-cab Trucks'!C174,'Class 8 Sleeper-cab Trucks'!C174))</f>
        <v>7.548714902113017E-2</v>
      </c>
      <c r="D68" s="1159">
        <f>IF(MHDV_Inputs!$B$3=1,'Class 6 PnD Trucks'!D174,IF(MHDV_Inputs!$B$3=2,'Class 8 Day-cab Trucks'!D174,'Class 8 Sleeper-cab Trucks'!D174))</f>
        <v>7.548714902113017E-2</v>
      </c>
      <c r="E68" s="1159">
        <f>IF(MHDV_Inputs!$B$3=1,'Class 6 PnD Trucks'!E174,IF(MHDV_Inputs!$B$3=2,'Class 8 Day-cab Trucks'!E174,'Class 8 Sleeper-cab Trucks'!E174))</f>
        <v>7.548714902113017E-2</v>
      </c>
      <c r="F68" s="128">
        <f>IF(MHDV_Inputs!$B$3=1,'Class 6 PnD Trucks'!F174,IF(MHDV_Inputs!$B$3=2,'Class 8 Day-cab Trucks'!F174,'Class 8 Sleeper-cab Trucks'!F174))</f>
        <v>7.548714902113017E-2</v>
      </c>
    </row>
    <row r="69" spans="1:6">
      <c r="A69" s="172"/>
      <c r="B69" s="1947" t="s">
        <v>2406</v>
      </c>
      <c r="C69" s="232">
        <f>IF(MHDV_Inputs!$B$3=1,'Class 6 PnD Trucks'!C175,IF(MHDV_Inputs!$B$3=2,'Class 8 Day-cab Trucks'!C175,'Class 8 Sleeper-cab Trucks'!C175))</f>
        <v>4.991957869847212E-2</v>
      </c>
      <c r="D69" s="1159">
        <f>IF(MHDV_Inputs!$B$3=1,'Class 6 PnD Trucks'!D175,IF(MHDV_Inputs!$B$3=2,'Class 8 Day-cab Trucks'!D175,'Class 8 Sleeper-cab Trucks'!D175))</f>
        <v>4.991957869847212E-2</v>
      </c>
      <c r="E69" s="1159">
        <f>IF(MHDV_Inputs!$B$3=1,'Class 6 PnD Trucks'!E175,IF(MHDV_Inputs!$B$3=2,'Class 8 Day-cab Trucks'!E175,'Class 8 Sleeper-cab Trucks'!E175))</f>
        <v>4.991957869847212E-2</v>
      </c>
      <c r="F69" s="128">
        <f>IF(MHDV_Inputs!$B$3=1,'Class 6 PnD Trucks'!F175,IF(MHDV_Inputs!$B$3=2,'Class 8 Day-cab Trucks'!F175,'Class 8 Sleeper-cab Trucks'!F175))</f>
        <v>4.991957869847212E-2</v>
      </c>
    </row>
    <row r="70" spans="1:6">
      <c r="A70" s="172"/>
      <c r="B70" s="1947" t="s">
        <v>2405</v>
      </c>
      <c r="C70" s="232">
        <f>IF(MHDV_Inputs!$B$3=1,'Class 6 PnD Trucks'!C176,IF(MHDV_Inputs!$B$3=2,'Class 8 Day-cab Trucks'!C176,'Class 8 Sleeper-cab Trucks'!C176))</f>
        <v>0</v>
      </c>
      <c r="D70" s="1159">
        <f>IF(MHDV_Inputs!$B$3=1,'Class 6 PnD Trucks'!D176,IF(MHDV_Inputs!$B$3=2,'Class 8 Day-cab Trucks'!D176,'Class 8 Sleeper-cab Trucks'!D176))</f>
        <v>0</v>
      </c>
      <c r="E70" s="1159">
        <f>IF(MHDV_Inputs!$B$3=1,'Class 6 PnD Trucks'!E176,IF(MHDV_Inputs!$B$3=2,'Class 8 Day-cab Trucks'!E176,'Class 8 Sleeper-cab Trucks'!E176))</f>
        <v>0</v>
      </c>
      <c r="F70" s="128">
        <f>IF(MHDV_Inputs!$B$3=1,'Class 6 PnD Trucks'!F176,IF(MHDV_Inputs!$B$3=2,'Class 8 Day-cab Trucks'!F176,'Class 8 Sleeper-cab Trucks'!F176))</f>
        <v>0</v>
      </c>
    </row>
    <row r="71" spans="1:6">
      <c r="A71" s="172"/>
      <c r="B71" s="1947" t="s">
        <v>61</v>
      </c>
      <c r="C71" s="232">
        <f>IF(MHDV_Inputs!$B$3=1,'Class 6 PnD Trucks'!C177,IF(MHDV_Inputs!$B$3=2,'Class 8 Day-cab Trucks'!C177,'Class 8 Sleeper-cab Trucks'!C177))</f>
        <v>9.409710037130127E-2</v>
      </c>
      <c r="D71" s="1159">
        <f>IF(MHDV_Inputs!$B$3=1,'Class 6 PnD Trucks'!D177,IF(MHDV_Inputs!$B$3=2,'Class 8 Day-cab Trucks'!D177,'Class 8 Sleeper-cab Trucks'!D177))</f>
        <v>9.409710037130127E-2</v>
      </c>
      <c r="E71" s="1159">
        <f>IF(MHDV_Inputs!$B$3=1,'Class 6 PnD Trucks'!E177,IF(MHDV_Inputs!$B$3=2,'Class 8 Day-cab Trucks'!E177,'Class 8 Sleeper-cab Trucks'!E177))</f>
        <v>9.409710037130127E-2</v>
      </c>
      <c r="F71" s="128">
        <f>IF(MHDV_Inputs!$B$3=1,'Class 6 PnD Trucks'!F177,IF(MHDV_Inputs!$B$3=2,'Class 8 Day-cab Trucks'!F177,'Class 8 Sleeper-cab Trucks'!F177))</f>
        <v>9.409710037130127E-2</v>
      </c>
    </row>
    <row r="72" spans="1:6">
      <c r="A72" s="172"/>
      <c r="B72" s="1947" t="s">
        <v>60</v>
      </c>
      <c r="C72" s="232">
        <f>IF(MHDV_Inputs!$B$3=1,'Class 6 PnD Trucks'!C178,IF(MHDV_Inputs!$B$3=2,'Class 8 Day-cab Trucks'!C178,'Class 8 Sleeper-cab Trucks'!C178))</f>
        <v>6.130332996087816E-4</v>
      </c>
      <c r="D72" s="1159">
        <f>IF(MHDV_Inputs!$B$3=1,'Class 6 PnD Trucks'!D178,IF(MHDV_Inputs!$B$3=2,'Class 8 Day-cab Trucks'!D178,'Class 8 Sleeper-cab Trucks'!D178))</f>
        <v>6.130332996087816E-4</v>
      </c>
      <c r="E72" s="1159">
        <f>IF(MHDV_Inputs!$B$3=1,'Class 6 PnD Trucks'!E178,IF(MHDV_Inputs!$B$3=2,'Class 8 Day-cab Trucks'!E178,'Class 8 Sleeper-cab Trucks'!E178))</f>
        <v>6.130332996087816E-4</v>
      </c>
      <c r="F72" s="128">
        <f>IF(MHDV_Inputs!$B$3=1,'Class 6 PnD Trucks'!F178,IF(MHDV_Inputs!$B$3=2,'Class 8 Day-cab Trucks'!F178,'Class 8 Sleeper-cab Trucks'!F178))</f>
        <v>6.130332996087816E-4</v>
      </c>
    </row>
    <row r="73" spans="1:6">
      <c r="A73" s="172"/>
      <c r="B73" s="1947" t="s">
        <v>52</v>
      </c>
      <c r="C73" s="232">
        <f>IF(MHDV_Inputs!$B$3=1,'Class 6 PnD Trucks'!C179,IF(MHDV_Inputs!$B$3=2,'Class 8 Day-cab Trucks'!C179,'Class 8 Sleeper-cab Trucks'!C179))</f>
        <v>1.4021880558760439E-4</v>
      </c>
      <c r="D73" s="1159">
        <f>IF(MHDV_Inputs!$B$3=1,'Class 6 PnD Trucks'!D179,IF(MHDV_Inputs!$B$3=2,'Class 8 Day-cab Trucks'!D179,'Class 8 Sleeper-cab Trucks'!D179))</f>
        <v>1.4021880558760439E-4</v>
      </c>
      <c r="E73" s="1159">
        <f>IF(MHDV_Inputs!$B$3=1,'Class 6 PnD Trucks'!E179,IF(MHDV_Inputs!$B$3=2,'Class 8 Day-cab Trucks'!E179,'Class 8 Sleeper-cab Trucks'!E179))</f>
        <v>1.4021880558760439E-4</v>
      </c>
      <c r="F73" s="128">
        <f>IF(MHDV_Inputs!$B$3=1,'Class 6 PnD Trucks'!F179,IF(MHDV_Inputs!$B$3=2,'Class 8 Day-cab Trucks'!F179,'Class 8 Sleeper-cab Trucks'!F179))</f>
        <v>1.4021880558760439E-4</v>
      </c>
    </row>
    <row r="74" spans="1:6">
      <c r="A74" s="172"/>
      <c r="B74" s="1947" t="s">
        <v>2424</v>
      </c>
      <c r="C74" s="232">
        <f>IF(MHDV_Inputs!$B$3=1,'Class 6 PnD Trucks'!C180,IF(MHDV_Inputs!$B$3=2,'Class 8 Day-cab Trucks'!C180,'Class 8 Sleeper-cab Trucks'!C180))</f>
        <v>8.1063996980333799E-5</v>
      </c>
      <c r="D74" s="1159">
        <f>IF(MHDV_Inputs!$B$3=1,'Class 6 PnD Trucks'!D180,IF(MHDV_Inputs!$B$3=2,'Class 8 Day-cab Trucks'!D180,'Class 8 Sleeper-cab Trucks'!D180))</f>
        <v>8.1063996980333799E-5</v>
      </c>
      <c r="E74" s="1159">
        <f>IF(MHDV_Inputs!$B$3=1,'Class 6 PnD Trucks'!E180,IF(MHDV_Inputs!$B$3=2,'Class 8 Day-cab Trucks'!E180,'Class 8 Sleeper-cab Trucks'!E180))</f>
        <v>8.1063996980333799E-5</v>
      </c>
      <c r="F74" s="128">
        <f>IF(MHDV_Inputs!$B$3=1,'Class 6 PnD Trucks'!F180,IF(MHDV_Inputs!$B$3=2,'Class 8 Day-cab Trucks'!F180,'Class 8 Sleeper-cab Trucks'!F180))</f>
        <v>8.1063996980333799E-5</v>
      </c>
    </row>
    <row r="75" spans="1:6">
      <c r="A75" s="172"/>
      <c r="B75" s="1947" t="s">
        <v>2425</v>
      </c>
      <c r="C75" s="232">
        <f>IF(MHDV_Inputs!$B$3=1,'Class 6 PnD Trucks'!C181,IF(MHDV_Inputs!$B$3=2,'Class 8 Day-cab Trucks'!C181,'Class 8 Sleeper-cab Trucks'!C181))</f>
        <v>3.8341079652860572E-5</v>
      </c>
      <c r="D75" s="1159">
        <f>IF(MHDV_Inputs!$B$3=1,'Class 6 PnD Trucks'!D181,IF(MHDV_Inputs!$B$3=2,'Class 8 Day-cab Trucks'!D181,'Class 8 Sleeper-cab Trucks'!D181))</f>
        <v>3.8341079652860572E-5</v>
      </c>
      <c r="E75" s="1159">
        <f>IF(MHDV_Inputs!$B$3=1,'Class 6 PnD Trucks'!E181,IF(MHDV_Inputs!$B$3=2,'Class 8 Day-cab Trucks'!E181,'Class 8 Sleeper-cab Trucks'!E181))</f>
        <v>3.8341079652860572E-5</v>
      </c>
      <c r="F75" s="128">
        <f>IF(MHDV_Inputs!$B$3=1,'Class 6 PnD Trucks'!F181,IF(MHDV_Inputs!$B$3=2,'Class 8 Day-cab Trucks'!F181,'Class 8 Sleeper-cab Trucks'!F181))</f>
        <v>3.8341079652860572E-5</v>
      </c>
    </row>
    <row r="76" spans="1:6">
      <c r="A76" s="172"/>
      <c r="B76" s="1947" t="s">
        <v>2426</v>
      </c>
      <c r="C76" s="239">
        <f>IF(MHDV_Inputs!$B$3=1,'Class 6 PnD Trucks'!C182,IF(MHDV_Inputs!$B$3=2,'Class 8 Day-cab Trucks'!C182,'Class 8 Sleeper-cab Trucks'!C182))</f>
        <v>5.7201184026321305E-5</v>
      </c>
      <c r="D76" s="129">
        <f>IF(MHDV_Inputs!$B$3=1,'Class 6 PnD Trucks'!D182,IF(MHDV_Inputs!$B$3=2,'Class 8 Day-cab Trucks'!D182,'Class 8 Sleeper-cab Trucks'!D182))</f>
        <v>5.7201184026321305E-5</v>
      </c>
      <c r="E76" s="129">
        <f>IF(MHDV_Inputs!$B$3=1,'Class 6 PnD Trucks'!E182,IF(MHDV_Inputs!$B$3=2,'Class 8 Day-cab Trucks'!E182,'Class 8 Sleeper-cab Trucks'!E182))</f>
        <v>5.7201184026321305E-5</v>
      </c>
      <c r="F76" s="130">
        <f>IF(MHDV_Inputs!$B$3=1,'Class 6 PnD Trucks'!F182,IF(MHDV_Inputs!$B$3=2,'Class 8 Day-cab Trucks'!F182,'Class 8 Sleeper-cab Trucks'!F182))</f>
        <v>5.7201184026321305E-5</v>
      </c>
    </row>
    <row r="77" spans="1:6">
      <c r="A77" s="172"/>
      <c r="B77" s="482" t="s">
        <v>185</v>
      </c>
      <c r="C77" s="556"/>
      <c r="D77" s="179"/>
      <c r="E77" s="179"/>
      <c r="F77" s="180"/>
    </row>
    <row r="78" spans="1:6">
      <c r="A78" s="172"/>
      <c r="B78" s="1947" t="s">
        <v>38</v>
      </c>
      <c r="C78" s="232">
        <f>IF(MHDV_Inputs!$B$3=1,'Class 6 PnD Trucks'!C184,IF(MHDV_Inputs!$B$3=2,'Class 8 Day-cab Trucks'!C184,'Class 8 Sleeper-cab Trucks'!C184))</f>
        <v>0</v>
      </c>
      <c r="D78" s="1159">
        <f>IF(MHDV_Inputs!$B$3=1,'Class 6 PnD Trucks'!D184,IF(MHDV_Inputs!$B$3=2,'Class 8 Day-cab Trucks'!D184,'Class 8 Sleeper-cab Trucks'!D184))</f>
        <v>0.36099999999999999</v>
      </c>
      <c r="E78" s="1159">
        <f>IF(MHDV_Inputs!$B$3=1,'Class 6 PnD Trucks'!E184,IF(MHDV_Inputs!$B$3=2,'Class 8 Day-cab Trucks'!E184,'Class 8 Sleeper-cab Trucks'!E184))</f>
        <v>0.36099999999999999</v>
      </c>
      <c r="F78" s="128">
        <f>IF(MHDV_Inputs!$B$3=1,'Class 6 PnD Trucks'!F184,IF(MHDV_Inputs!$B$3=2,'Class 8 Day-cab Trucks'!F184,'Class 8 Sleeper-cab Trucks'!F184))</f>
        <v>0.36099999999999999</v>
      </c>
    </row>
    <row r="79" spans="1:6">
      <c r="A79" s="172"/>
      <c r="B79" s="1947" t="s">
        <v>2406</v>
      </c>
      <c r="C79" s="232">
        <f>IF(MHDV_Inputs!$B$3=1,'Class 6 PnD Trucks'!C185,IF(MHDV_Inputs!$B$3=2,'Class 8 Day-cab Trucks'!C185,'Class 8 Sleeper-cab Trucks'!C185))</f>
        <v>0</v>
      </c>
      <c r="D79" s="1159">
        <f>IF(MHDV_Inputs!$B$3=1,'Class 6 PnD Trucks'!D185,IF(MHDV_Inputs!$B$3=2,'Class 8 Day-cab Trucks'!D185,'Class 8 Sleeper-cab Trucks'!D185))</f>
        <v>0.36099999999999999</v>
      </c>
      <c r="E79" s="1159">
        <f>IF(MHDV_Inputs!$B$3=1,'Class 6 PnD Trucks'!E185,IF(MHDV_Inputs!$B$3=2,'Class 8 Day-cab Trucks'!E185,'Class 8 Sleeper-cab Trucks'!E185))</f>
        <v>0.36099999999999999</v>
      </c>
      <c r="F79" s="128">
        <f>IF(MHDV_Inputs!$B$3=1,'Class 6 PnD Trucks'!F185,IF(MHDV_Inputs!$B$3=2,'Class 8 Day-cab Trucks'!F185,'Class 8 Sleeper-cab Trucks'!F185))</f>
        <v>0.36099999999999999</v>
      </c>
    </row>
    <row r="80" spans="1:6">
      <c r="A80" s="172"/>
      <c r="B80" s="1947" t="s">
        <v>284</v>
      </c>
      <c r="C80" s="232">
        <f>IF(MHDV_Inputs!$B$3=1,'Class 6 PnD Trucks'!C186,IF(MHDV_Inputs!$B$3=2,'Class 8 Day-cab Trucks'!C186,'Class 8 Sleeper-cab Trucks'!C186))</f>
        <v>0</v>
      </c>
      <c r="D80" s="1159">
        <f>IF(MHDV_Inputs!$B$3=1,'Class 6 PnD Trucks'!D186,IF(MHDV_Inputs!$B$3=2,'Class 8 Day-cab Trucks'!D186,'Class 8 Sleeper-cab Trucks'!D186))</f>
        <v>0.27800000000000002</v>
      </c>
      <c r="E80" s="1159">
        <f>IF(MHDV_Inputs!$B$3=1,'Class 6 PnD Trucks'!E186,IF(MHDV_Inputs!$B$3=2,'Class 8 Day-cab Trucks'!E186,'Class 8 Sleeper-cab Trucks'!E186))</f>
        <v>0.27800000000000002</v>
      </c>
      <c r="F80" s="128">
        <f>IF(MHDV_Inputs!$B$3=1,'Class 6 PnD Trucks'!F186,IF(MHDV_Inputs!$B$3=2,'Class 8 Day-cab Trucks'!F186,'Class 8 Sleeper-cab Trucks'!F186))</f>
        <v>0.27800000000000002</v>
      </c>
    </row>
    <row r="81" spans="1:6">
      <c r="A81" s="172"/>
      <c r="B81" s="1948" t="s">
        <v>294</v>
      </c>
      <c r="C81" s="239">
        <f>IF(MHDV_Inputs!$B$3=1,'Class 6 PnD Trucks'!C187,IF(MHDV_Inputs!$B$3=2,'Class 8 Day-cab Trucks'!C187,'Class 8 Sleeper-cab Trucks'!C187))</f>
        <v>0</v>
      </c>
      <c r="D81" s="129">
        <f>IF(MHDV_Inputs!$B$3=1,'Class 6 PnD Trucks'!D187,IF(MHDV_Inputs!$B$3=2,'Class 8 Day-cab Trucks'!D187,'Class 8 Sleeper-cab Trucks'!D187))</f>
        <v>0</v>
      </c>
      <c r="E81" s="129">
        <f>IF(MHDV_Inputs!$B$3=1,'Class 6 PnD Trucks'!E187,IF(MHDV_Inputs!$B$3=2,'Class 8 Day-cab Trucks'!E187,'Class 8 Sleeper-cab Trucks'!E187))</f>
        <v>0</v>
      </c>
      <c r="F81" s="130">
        <f>IF(MHDV_Inputs!$B$3=1,'Class 6 PnD Trucks'!F187,IF(MHDV_Inputs!$B$3=2,'Class 8 Day-cab Trucks'!F187,'Class 8 Sleeper-cab Trucks'!F187))</f>
        <v>0</v>
      </c>
    </row>
    <row r="82" spans="1:6">
      <c r="A82" s="172"/>
      <c r="B82" s="487" t="s">
        <v>186</v>
      </c>
      <c r="C82" s="556"/>
      <c r="D82" s="179"/>
      <c r="E82" s="179"/>
      <c r="F82" s="180"/>
    </row>
    <row r="83" spans="1:6">
      <c r="A83" s="172"/>
      <c r="B83" s="59" t="s">
        <v>251</v>
      </c>
      <c r="C83" s="232">
        <f>IF(MHDV_Inputs!$B$3=1,'Class 6 PnD Trucks'!C189,IF(MHDV_Inputs!$B$3=2,'Class 8 Day-cab Trucks'!C189,'Class 8 Sleeper-cab Trucks'!C189))</f>
        <v>0</v>
      </c>
      <c r="D83" s="1159">
        <f>IF(MHDV_Inputs!$B$3=1,'Class 6 PnD Trucks'!D189,IF(MHDV_Inputs!$B$3=2,'Class 8 Day-cab Trucks'!D189,'Class 8 Sleeper-cab Trucks'!D189))</f>
        <v>0.36099999999999999</v>
      </c>
      <c r="E83" s="1159">
        <f>IF(MHDV_Inputs!$B$3=1,'Class 6 PnD Trucks'!E189,IF(MHDV_Inputs!$B$3=2,'Class 8 Day-cab Trucks'!E189,'Class 8 Sleeper-cab Trucks'!E189))</f>
        <v>0</v>
      </c>
      <c r="F83" s="128">
        <f>IF(MHDV_Inputs!$B$3=1,'Class 6 PnD Trucks'!F189,IF(MHDV_Inputs!$B$3=2,'Class 8 Day-cab Trucks'!F189,'Class 8 Sleeper-cab Trucks'!F189))</f>
        <v>0</v>
      </c>
    </row>
    <row r="84" spans="1:6">
      <c r="A84" s="172"/>
      <c r="B84" s="59" t="s">
        <v>253</v>
      </c>
      <c r="C84" s="232">
        <f>IF(MHDV_Inputs!$B$3=1,'Class 6 PnD Trucks'!C190,IF(MHDV_Inputs!$B$3=2,'Class 8 Day-cab Trucks'!C190,'Class 8 Sleeper-cab Trucks'!C190))</f>
        <v>0</v>
      </c>
      <c r="D84" s="1159">
        <f>IF(MHDV_Inputs!$B$3=1,'Class 6 PnD Trucks'!D190,IF(MHDV_Inputs!$B$3=2,'Class 8 Day-cab Trucks'!D190,'Class 8 Sleeper-cab Trucks'!D190))</f>
        <v>0.36099999999999999</v>
      </c>
      <c r="E84" s="1159">
        <f>IF(MHDV_Inputs!$B$3=1,'Class 6 PnD Trucks'!E190,IF(MHDV_Inputs!$B$3=2,'Class 8 Day-cab Trucks'!E190,'Class 8 Sleeper-cab Trucks'!E190))</f>
        <v>0</v>
      </c>
      <c r="F84" s="128">
        <f>IF(MHDV_Inputs!$B$3=1,'Class 6 PnD Trucks'!F190,IF(MHDV_Inputs!$B$3=2,'Class 8 Day-cab Trucks'!F190,'Class 8 Sleeper-cab Trucks'!F190))</f>
        <v>0</v>
      </c>
    </row>
    <row r="85" spans="1:6">
      <c r="A85" s="172"/>
      <c r="B85" s="59" t="s">
        <v>254</v>
      </c>
      <c r="C85" s="232">
        <f>IF(MHDV_Inputs!$B$3=1,'Class 6 PnD Trucks'!C191,IF(MHDV_Inputs!$B$3=2,'Class 8 Day-cab Trucks'!C191,'Class 8 Sleeper-cab Trucks'!C191))</f>
        <v>0</v>
      </c>
      <c r="D85" s="1159">
        <f>IF(MHDV_Inputs!$B$3=1,'Class 6 PnD Trucks'!D191,IF(MHDV_Inputs!$B$3=2,'Class 8 Day-cab Trucks'!D191,'Class 8 Sleeper-cab Trucks'!D191))</f>
        <v>0.27800000000000002</v>
      </c>
      <c r="E85" s="1159">
        <f>IF(MHDV_Inputs!$B$3=1,'Class 6 PnD Trucks'!E191,IF(MHDV_Inputs!$B$3=2,'Class 8 Day-cab Trucks'!E191,'Class 8 Sleeper-cab Trucks'!E191))</f>
        <v>0</v>
      </c>
      <c r="F85" s="128">
        <f>IF(MHDV_Inputs!$B$3=1,'Class 6 PnD Trucks'!F191,IF(MHDV_Inputs!$B$3=2,'Class 8 Day-cab Trucks'!F191,'Class 8 Sleeper-cab Trucks'!F191))</f>
        <v>0</v>
      </c>
    </row>
    <row r="86" spans="1:6">
      <c r="A86" s="172"/>
      <c r="B86" s="59" t="s">
        <v>262</v>
      </c>
      <c r="C86" s="239">
        <f>IF(MHDV_Inputs!$B$3=1,'Class 6 PnD Trucks'!C192,IF(MHDV_Inputs!$B$3=2,'Class 8 Day-cab Trucks'!C192,'Class 8 Sleeper-cab Trucks'!C192))</f>
        <v>0</v>
      </c>
      <c r="D86" s="129">
        <f>IF(MHDV_Inputs!$B$3=1,'Class 6 PnD Trucks'!D192,IF(MHDV_Inputs!$B$3=2,'Class 8 Day-cab Trucks'!D192,'Class 8 Sleeper-cab Trucks'!D192))</f>
        <v>0</v>
      </c>
      <c r="E86" s="129">
        <f>IF(MHDV_Inputs!$B$3=1,'Class 6 PnD Trucks'!E192,IF(MHDV_Inputs!$B$3=2,'Class 8 Day-cab Trucks'!E192,'Class 8 Sleeper-cab Trucks'!E192))</f>
        <v>0</v>
      </c>
      <c r="F86" s="130">
        <f>IF(MHDV_Inputs!$B$3=1,'Class 6 PnD Trucks'!F192,IF(MHDV_Inputs!$B$3=2,'Class 8 Day-cab Trucks'!F192,'Class 8 Sleeper-cab Trucks'!F192))</f>
        <v>0</v>
      </c>
    </row>
    <row r="87" spans="1:6">
      <c r="A87" s="172"/>
      <c r="B87" s="482" t="s">
        <v>187</v>
      </c>
      <c r="C87" s="556"/>
      <c r="D87" s="179"/>
      <c r="E87" s="179"/>
      <c r="F87" s="180"/>
    </row>
    <row r="88" spans="1:6">
      <c r="A88" s="172"/>
      <c r="B88" s="59" t="s">
        <v>251</v>
      </c>
      <c r="C88" s="232">
        <f>IF(MHDV_Inputs!$B$3=1,'Class 6 PnD Trucks'!C194,IF(MHDV_Inputs!$B$3=2,'Class 8 Day-cab Trucks'!C194,'Class 8 Sleeper-cab Trucks'!C194))</f>
        <v>0</v>
      </c>
      <c r="D88" s="1159">
        <f>IF(MHDV_Inputs!$B$3=1,'Class 6 PnD Trucks'!D194,IF(MHDV_Inputs!$B$3=2,'Class 8 Day-cab Trucks'!D194,'Class 8 Sleeper-cab Trucks'!D194))</f>
        <v>0.05</v>
      </c>
      <c r="E88" s="1159">
        <f>IF(MHDV_Inputs!$B$3=1,'Class 6 PnD Trucks'!E194,IF(MHDV_Inputs!$B$3=2,'Class 8 Day-cab Trucks'!E194,'Class 8 Sleeper-cab Trucks'!E194))</f>
        <v>0.05</v>
      </c>
      <c r="F88" s="128">
        <f>IF(MHDV_Inputs!$B$3=1,'Class 6 PnD Trucks'!F194,IF(MHDV_Inputs!$B$3=2,'Class 8 Day-cab Trucks'!F194,'Class 8 Sleeper-cab Trucks'!F194))</f>
        <v>0.05</v>
      </c>
    </row>
    <row r="89" spans="1:6">
      <c r="A89" s="172"/>
      <c r="B89" s="59" t="s">
        <v>253</v>
      </c>
      <c r="C89" s="232">
        <f>IF(MHDV_Inputs!$B$3=1,'Class 6 PnD Trucks'!C195,IF(MHDV_Inputs!$B$3=2,'Class 8 Day-cab Trucks'!C195,'Class 8 Sleeper-cab Trucks'!C195))</f>
        <v>0</v>
      </c>
      <c r="D89" s="1159">
        <f>IF(MHDV_Inputs!$B$3=1,'Class 6 PnD Trucks'!D195,IF(MHDV_Inputs!$B$3=2,'Class 8 Day-cab Trucks'!D195,'Class 8 Sleeper-cab Trucks'!D195))</f>
        <v>0.46899999999999997</v>
      </c>
      <c r="E89" s="1159">
        <f>IF(MHDV_Inputs!$B$3=1,'Class 6 PnD Trucks'!E195,IF(MHDV_Inputs!$B$3=2,'Class 8 Day-cab Trucks'!E195,'Class 8 Sleeper-cab Trucks'!E195))</f>
        <v>0.46899999999999997</v>
      </c>
      <c r="F89" s="128">
        <f>IF(MHDV_Inputs!$B$3=1,'Class 6 PnD Trucks'!F195,IF(MHDV_Inputs!$B$3=2,'Class 8 Day-cab Trucks'!F195,'Class 8 Sleeper-cab Trucks'!F195))</f>
        <v>0.46899999999999997</v>
      </c>
    </row>
    <row r="90" spans="1:6">
      <c r="A90" s="172"/>
      <c r="B90" s="59" t="s">
        <v>254</v>
      </c>
      <c r="C90" s="232">
        <f>IF(MHDV_Inputs!$B$3=1,'Class 6 PnD Trucks'!C196,IF(MHDV_Inputs!$B$3=2,'Class 8 Day-cab Trucks'!C196,'Class 8 Sleeper-cab Trucks'!C196))</f>
        <v>0</v>
      </c>
      <c r="D90" s="1159">
        <f>IF(MHDV_Inputs!$B$3=1,'Class 6 PnD Trucks'!D196,IF(MHDV_Inputs!$B$3=2,'Class 8 Day-cab Trucks'!D196,'Class 8 Sleeper-cab Trucks'!D196))</f>
        <v>8.2000000000000003E-2</v>
      </c>
      <c r="E90" s="1159">
        <f>IF(MHDV_Inputs!$B$3=1,'Class 6 PnD Trucks'!E196,IF(MHDV_Inputs!$B$3=2,'Class 8 Day-cab Trucks'!E196,'Class 8 Sleeper-cab Trucks'!E196))</f>
        <v>8.2000000000000003E-2</v>
      </c>
      <c r="F90" s="128">
        <f>IF(MHDV_Inputs!$B$3=1,'Class 6 PnD Trucks'!F196,IF(MHDV_Inputs!$B$3=2,'Class 8 Day-cab Trucks'!F196,'Class 8 Sleeper-cab Trucks'!F196))</f>
        <v>8.2000000000000003E-2</v>
      </c>
    </row>
    <row r="91" spans="1:6">
      <c r="A91" s="172"/>
      <c r="B91" s="59" t="s">
        <v>261</v>
      </c>
      <c r="C91" s="232">
        <f>IF(MHDV_Inputs!$B$3=1,'Class 6 PnD Trucks'!C197,IF(MHDV_Inputs!$B$3=2,'Class 8 Day-cab Trucks'!C197,'Class 8 Sleeper-cab Trucks'!C197))</f>
        <v>0</v>
      </c>
      <c r="D91" s="1159">
        <f>IF(MHDV_Inputs!$B$3=1,'Class 6 PnD Trucks'!D197,IF(MHDV_Inputs!$B$3=2,'Class 8 Day-cab Trucks'!D197,'Class 8 Sleeper-cab Trucks'!D197))</f>
        <v>3.6999999999999998E-2</v>
      </c>
      <c r="E91" s="1159">
        <f>IF(MHDV_Inputs!$B$3=1,'Class 6 PnD Trucks'!E197,IF(MHDV_Inputs!$B$3=2,'Class 8 Day-cab Trucks'!E197,'Class 8 Sleeper-cab Trucks'!E197))</f>
        <v>3.6999999999999998E-2</v>
      </c>
      <c r="F91" s="128">
        <f>IF(MHDV_Inputs!$B$3=1,'Class 6 PnD Trucks'!F197,IF(MHDV_Inputs!$B$3=2,'Class 8 Day-cab Trucks'!F197,'Class 8 Sleeper-cab Trucks'!F197))</f>
        <v>3.6999999999999998E-2</v>
      </c>
    </row>
    <row r="92" spans="1:6">
      <c r="A92" s="172"/>
      <c r="B92" s="59" t="s">
        <v>260</v>
      </c>
      <c r="C92" s="232">
        <f>IF(MHDV_Inputs!$B$3=1,'Class 6 PnD Trucks'!C198,IF(MHDV_Inputs!$B$3=2,'Class 8 Day-cab Trucks'!C198,'Class 8 Sleeper-cab Trucks'!C198))</f>
        <v>0</v>
      </c>
      <c r="D92" s="1159">
        <f>IF(MHDV_Inputs!$B$3=1,'Class 6 PnD Trucks'!D198,IF(MHDV_Inputs!$B$3=2,'Class 8 Day-cab Trucks'!D198,'Class 8 Sleeper-cab Trucks'!D198))</f>
        <v>0.23799999999999999</v>
      </c>
      <c r="E92" s="1159">
        <f>IF(MHDV_Inputs!$B$3=1,'Class 6 PnD Trucks'!E198,IF(MHDV_Inputs!$B$3=2,'Class 8 Day-cab Trucks'!E198,'Class 8 Sleeper-cab Trucks'!E198))</f>
        <v>0.23799999999999999</v>
      </c>
      <c r="F92" s="128">
        <f>IF(MHDV_Inputs!$B$3=1,'Class 6 PnD Trucks'!F198,IF(MHDV_Inputs!$B$3=2,'Class 8 Day-cab Trucks'!F198,'Class 8 Sleeper-cab Trucks'!F198))</f>
        <v>0.23799999999999999</v>
      </c>
    </row>
    <row r="93" spans="1:6">
      <c r="A93" s="172"/>
      <c r="B93" s="118" t="s">
        <v>262</v>
      </c>
      <c r="C93" s="239">
        <f>IF(MHDV_Inputs!$B$3=1,'Class 6 PnD Trucks'!C199,IF(MHDV_Inputs!$B$3=2,'Class 8 Day-cab Trucks'!C199,'Class 8 Sleeper-cab Trucks'!C199))</f>
        <v>0</v>
      </c>
      <c r="D93" s="129">
        <f>IF(MHDV_Inputs!$B$3=1,'Class 6 PnD Trucks'!D199,IF(MHDV_Inputs!$B$3=2,'Class 8 Day-cab Trucks'!D199,'Class 8 Sleeper-cab Trucks'!D199))</f>
        <v>0.124</v>
      </c>
      <c r="E93" s="129">
        <f>IF(MHDV_Inputs!$B$3=1,'Class 6 PnD Trucks'!E199,IF(MHDV_Inputs!$B$3=2,'Class 8 Day-cab Trucks'!E199,'Class 8 Sleeper-cab Trucks'!E199))</f>
        <v>0.124</v>
      </c>
      <c r="F93" s="130">
        <f>IF(MHDV_Inputs!$B$3=1,'Class 6 PnD Trucks'!F199,IF(MHDV_Inputs!$B$3=2,'Class 8 Day-cab Trucks'!F199,'Class 8 Sleeper-cab Trucks'!F199))</f>
        <v>0.124</v>
      </c>
    </row>
    <row r="94" spans="1:6">
      <c r="A94" s="172"/>
      <c r="B94" s="178" t="s">
        <v>2427</v>
      </c>
      <c r="C94" s="556"/>
      <c r="D94" s="179"/>
      <c r="E94" s="179"/>
      <c r="F94" s="180"/>
    </row>
    <row r="95" spans="1:6">
      <c r="A95" s="172"/>
      <c r="B95" s="1949" t="s">
        <v>1868</v>
      </c>
      <c r="C95" s="232">
        <f>IF(MHDV_Inputs!$B$3=1,'Class 6 PnD Trucks'!C201,IF(MHDV_Inputs!$B$3=2,'Class 8 Day-cab Trucks'!C201,'Class 8 Sleeper-cab Trucks'!C201))</f>
        <v>0</v>
      </c>
      <c r="D95" s="1159">
        <f>IF(MHDV_Inputs!$B$3=1,'Class 6 PnD Trucks'!D201,IF(MHDV_Inputs!$B$3=2,'Class 8 Day-cab Trucks'!D201,'Class 8 Sleeper-cab Trucks'!D201))</f>
        <v>0</v>
      </c>
      <c r="E95" s="1159">
        <f>IF(MHDV_Inputs!$B$3=1,'Class 6 PnD Trucks'!E201,IF(MHDV_Inputs!$B$3=2,'Class 8 Day-cab Trucks'!E201,'Class 8 Sleeper-cab Trucks'!E201))</f>
        <v>0</v>
      </c>
      <c r="F95" s="128">
        <f>IF(MHDV_Inputs!$B$3=1,'Class 6 PnD Trucks'!F201,IF(MHDV_Inputs!$B$3=2,'Class 8 Day-cab Trucks'!F201,'Class 8 Sleeper-cab Trucks'!F201))</f>
        <v>0</v>
      </c>
    </row>
    <row r="96" spans="1:6">
      <c r="A96" s="172"/>
      <c r="B96" s="1949" t="s">
        <v>38</v>
      </c>
      <c r="C96" s="232">
        <f>IF(MHDV_Inputs!$B$3=1,'Class 6 PnD Trucks'!C202,IF(MHDV_Inputs!$B$3=2,'Class 8 Day-cab Trucks'!C202,'Class 8 Sleeper-cab Trucks'!C202))</f>
        <v>0</v>
      </c>
      <c r="D96" s="1159">
        <f>IF(MHDV_Inputs!$B$3=1,'Class 6 PnD Trucks'!D202,IF(MHDV_Inputs!$B$3=2,'Class 8 Day-cab Trucks'!D202,'Class 8 Sleeper-cab Trucks'!D202))</f>
        <v>0</v>
      </c>
      <c r="E96" s="1159">
        <f>IF(MHDV_Inputs!$B$3=1,'Class 6 PnD Trucks'!E202,IF(MHDV_Inputs!$B$3=2,'Class 8 Day-cab Trucks'!E202,'Class 8 Sleeper-cab Trucks'!E202))</f>
        <v>0</v>
      </c>
      <c r="F96" s="128">
        <f>IF(MHDV_Inputs!$B$3=1,'Class 6 PnD Trucks'!F202,IF(MHDV_Inputs!$B$3=2,'Class 8 Day-cab Trucks'!F202,'Class 8 Sleeper-cab Trucks'!F202))</f>
        <v>0</v>
      </c>
    </row>
    <row r="97" spans="1:6">
      <c r="A97" s="172"/>
      <c r="B97" s="1949" t="s">
        <v>1869</v>
      </c>
      <c r="C97" s="232">
        <f>IF(MHDV_Inputs!$B$3=1,'Class 6 PnD Trucks'!C203,IF(MHDV_Inputs!$B$3=2,'Class 8 Day-cab Trucks'!C203,'Class 8 Sleeper-cab Trucks'!C203))</f>
        <v>0</v>
      </c>
      <c r="D97" s="1159">
        <f>IF(MHDV_Inputs!$B$3=1,'Class 6 PnD Trucks'!D203,IF(MHDV_Inputs!$B$3=2,'Class 8 Day-cab Trucks'!D203,'Class 8 Sleeper-cab Trucks'!D203))</f>
        <v>0</v>
      </c>
      <c r="E97" s="1159">
        <f>IF(MHDV_Inputs!$B$3=1,'Class 6 PnD Trucks'!E203,IF(MHDV_Inputs!$B$3=2,'Class 8 Day-cab Trucks'!E203,'Class 8 Sleeper-cab Trucks'!E203))</f>
        <v>0</v>
      </c>
      <c r="F97" s="128">
        <f>IF(MHDV_Inputs!$B$3=1,'Class 6 PnD Trucks'!F203,IF(MHDV_Inputs!$B$3=2,'Class 8 Day-cab Trucks'!F203,'Class 8 Sleeper-cab Trucks'!F203))</f>
        <v>0</v>
      </c>
    </row>
    <row r="98" spans="1:6">
      <c r="A98" s="172"/>
      <c r="B98" s="1949" t="s">
        <v>2406</v>
      </c>
      <c r="C98" s="232">
        <f>IF(MHDV_Inputs!$B$3=1,'Class 6 PnD Trucks'!C204,IF(MHDV_Inputs!$B$3=2,'Class 8 Day-cab Trucks'!C204,'Class 8 Sleeper-cab Trucks'!C204))</f>
        <v>0</v>
      </c>
      <c r="D98" s="1159">
        <f>IF(MHDV_Inputs!$B$3=1,'Class 6 PnD Trucks'!D204,IF(MHDV_Inputs!$B$3=2,'Class 8 Day-cab Trucks'!D204,'Class 8 Sleeper-cab Trucks'!D204))</f>
        <v>0</v>
      </c>
      <c r="E98" s="1159">
        <f>IF(MHDV_Inputs!$B$3=1,'Class 6 PnD Trucks'!E204,IF(MHDV_Inputs!$B$3=2,'Class 8 Day-cab Trucks'!E204,'Class 8 Sleeper-cab Trucks'!E204))</f>
        <v>0</v>
      </c>
      <c r="F98" s="128">
        <f>IF(MHDV_Inputs!$B$3=1,'Class 6 PnD Trucks'!F204,IF(MHDV_Inputs!$B$3=2,'Class 8 Day-cab Trucks'!F204,'Class 8 Sleeper-cab Trucks'!F204))</f>
        <v>0</v>
      </c>
    </row>
    <row r="99" spans="1:6">
      <c r="A99" s="172"/>
      <c r="B99" s="1949" t="s">
        <v>2405</v>
      </c>
      <c r="C99" s="232">
        <f>IF(MHDV_Inputs!$B$3=1,'Class 6 PnD Trucks'!C205,IF(MHDV_Inputs!$B$3=2,'Class 8 Day-cab Trucks'!C205,'Class 8 Sleeper-cab Trucks'!C205))</f>
        <v>0</v>
      </c>
      <c r="D99" s="1159">
        <f>IF(MHDV_Inputs!$B$3=1,'Class 6 PnD Trucks'!D205,IF(MHDV_Inputs!$B$3=2,'Class 8 Day-cab Trucks'!D205,'Class 8 Sleeper-cab Trucks'!D205))</f>
        <v>0</v>
      </c>
      <c r="E99" s="1159">
        <f>IF(MHDV_Inputs!$B$3=1,'Class 6 PnD Trucks'!E205,IF(MHDV_Inputs!$B$3=2,'Class 8 Day-cab Trucks'!E205,'Class 8 Sleeper-cab Trucks'!E205))</f>
        <v>0</v>
      </c>
      <c r="F99" s="128">
        <f>IF(MHDV_Inputs!$B$3=1,'Class 6 PnD Trucks'!F205,IF(MHDV_Inputs!$B$3=2,'Class 8 Day-cab Trucks'!F205,'Class 8 Sleeper-cab Trucks'!F205))</f>
        <v>0</v>
      </c>
    </row>
    <row r="100" spans="1:6">
      <c r="A100" s="172"/>
      <c r="B100" s="1949" t="s">
        <v>2428</v>
      </c>
      <c r="C100" s="232">
        <f>IF(MHDV_Inputs!$B$3=1,'Class 6 PnD Trucks'!C206,IF(MHDV_Inputs!$B$3=2,'Class 8 Day-cab Trucks'!C206,'Class 8 Sleeper-cab Trucks'!C206))</f>
        <v>0</v>
      </c>
      <c r="D100" s="1159">
        <f>IF(MHDV_Inputs!$B$3=1,'Class 6 PnD Trucks'!D206,IF(MHDV_Inputs!$B$3=2,'Class 8 Day-cab Trucks'!D206,'Class 8 Sleeper-cab Trucks'!D206))</f>
        <v>0</v>
      </c>
      <c r="E100" s="1159">
        <f>IF(MHDV_Inputs!$B$3=1,'Class 6 PnD Trucks'!E206,IF(MHDV_Inputs!$B$3=2,'Class 8 Day-cab Trucks'!E206,'Class 8 Sleeper-cab Trucks'!E206))</f>
        <v>0</v>
      </c>
      <c r="F100" s="128">
        <f>IF(MHDV_Inputs!$B$3=1,'Class 6 PnD Trucks'!F206,IF(MHDV_Inputs!$B$3=2,'Class 8 Day-cab Trucks'!F206,'Class 8 Sleeper-cab Trucks'!F206))</f>
        <v>0</v>
      </c>
    </row>
    <row r="101" spans="1:6">
      <c r="A101" s="172"/>
      <c r="B101" s="1949" t="s">
        <v>61</v>
      </c>
      <c r="C101" s="232">
        <f>IF(MHDV_Inputs!$B$3=1,'Class 6 PnD Trucks'!C207,IF(MHDV_Inputs!$B$3=2,'Class 8 Day-cab Trucks'!C207,'Class 8 Sleeper-cab Trucks'!C207))</f>
        <v>0</v>
      </c>
      <c r="D101" s="1159">
        <f>IF(MHDV_Inputs!$B$3=1,'Class 6 PnD Trucks'!D207,IF(MHDV_Inputs!$B$3=2,'Class 8 Day-cab Trucks'!D207,'Class 8 Sleeper-cab Trucks'!D207))</f>
        <v>0</v>
      </c>
      <c r="E101" s="1159">
        <f>IF(MHDV_Inputs!$B$3=1,'Class 6 PnD Trucks'!E207,IF(MHDV_Inputs!$B$3=2,'Class 8 Day-cab Trucks'!E207,'Class 8 Sleeper-cab Trucks'!E207))</f>
        <v>0</v>
      </c>
      <c r="F101" s="128">
        <f>IF(MHDV_Inputs!$B$3=1,'Class 6 PnD Trucks'!F207,IF(MHDV_Inputs!$B$3=2,'Class 8 Day-cab Trucks'!F207,'Class 8 Sleeper-cab Trucks'!F207))</f>
        <v>0</v>
      </c>
    </row>
    <row r="102" spans="1:6">
      <c r="A102" s="172"/>
      <c r="B102" s="1949" t="s">
        <v>60</v>
      </c>
      <c r="C102" s="232">
        <f>IF(MHDV_Inputs!$B$3=1,'Class 6 PnD Trucks'!C208,IF(MHDV_Inputs!$B$3=2,'Class 8 Day-cab Trucks'!C208,'Class 8 Sleeper-cab Trucks'!C208))</f>
        <v>0</v>
      </c>
      <c r="D102" s="1159">
        <f>IF(MHDV_Inputs!$B$3=1,'Class 6 PnD Trucks'!D208,IF(MHDV_Inputs!$B$3=2,'Class 8 Day-cab Trucks'!D208,'Class 8 Sleeper-cab Trucks'!D208))</f>
        <v>0</v>
      </c>
      <c r="E102" s="1159">
        <f>IF(MHDV_Inputs!$B$3=1,'Class 6 PnD Trucks'!E208,IF(MHDV_Inputs!$B$3=2,'Class 8 Day-cab Trucks'!E208,'Class 8 Sleeper-cab Trucks'!E208))</f>
        <v>0</v>
      </c>
      <c r="F102" s="128">
        <f>IF(MHDV_Inputs!$B$3=1,'Class 6 PnD Trucks'!F208,IF(MHDV_Inputs!$B$3=2,'Class 8 Day-cab Trucks'!F208,'Class 8 Sleeper-cab Trucks'!F208))</f>
        <v>0</v>
      </c>
    </row>
    <row r="103" spans="1:6">
      <c r="A103" s="172"/>
      <c r="B103" s="1949" t="s">
        <v>52</v>
      </c>
      <c r="C103" s="232">
        <f>IF(MHDV_Inputs!$B$3=1,'Class 6 PnD Trucks'!C209,IF(MHDV_Inputs!$B$3=2,'Class 8 Day-cab Trucks'!C209,'Class 8 Sleeper-cab Trucks'!C209))</f>
        <v>0</v>
      </c>
      <c r="D103" s="1159">
        <f>IF(MHDV_Inputs!$B$3=1,'Class 6 PnD Trucks'!D209,IF(MHDV_Inputs!$B$3=2,'Class 8 Day-cab Trucks'!D209,'Class 8 Sleeper-cab Trucks'!D209))</f>
        <v>0</v>
      </c>
      <c r="E103" s="1159">
        <f>IF(MHDV_Inputs!$B$3=1,'Class 6 PnD Trucks'!E209,IF(MHDV_Inputs!$B$3=2,'Class 8 Day-cab Trucks'!E209,'Class 8 Sleeper-cab Trucks'!E209))</f>
        <v>0</v>
      </c>
      <c r="F103" s="128">
        <f>IF(MHDV_Inputs!$B$3=1,'Class 6 PnD Trucks'!F209,IF(MHDV_Inputs!$B$3=2,'Class 8 Day-cab Trucks'!F209,'Class 8 Sleeper-cab Trucks'!F209))</f>
        <v>0</v>
      </c>
    </row>
    <row r="104" spans="1:6">
      <c r="A104" s="172"/>
      <c r="B104" s="1949" t="s">
        <v>2424</v>
      </c>
      <c r="C104" s="232">
        <f>IF(MHDV_Inputs!$B$3=1,'Class 6 PnD Trucks'!C210,IF(MHDV_Inputs!$B$3=2,'Class 8 Day-cab Trucks'!C210,'Class 8 Sleeper-cab Trucks'!C210))</f>
        <v>0</v>
      </c>
      <c r="D104" s="1159">
        <f>IF(MHDV_Inputs!$B$3=1,'Class 6 PnD Trucks'!D210,IF(MHDV_Inputs!$B$3=2,'Class 8 Day-cab Trucks'!D210,'Class 8 Sleeper-cab Trucks'!D210))</f>
        <v>0</v>
      </c>
      <c r="E104" s="1159">
        <f>IF(MHDV_Inputs!$B$3=1,'Class 6 PnD Trucks'!E210,IF(MHDV_Inputs!$B$3=2,'Class 8 Day-cab Trucks'!E210,'Class 8 Sleeper-cab Trucks'!E210))</f>
        <v>0</v>
      </c>
      <c r="F104" s="128">
        <f>IF(MHDV_Inputs!$B$3=1,'Class 6 PnD Trucks'!F210,IF(MHDV_Inputs!$B$3=2,'Class 8 Day-cab Trucks'!F210,'Class 8 Sleeper-cab Trucks'!F210))</f>
        <v>0</v>
      </c>
    </row>
    <row r="105" spans="1:6">
      <c r="A105" s="172"/>
      <c r="B105" s="1949" t="s">
        <v>2407</v>
      </c>
      <c r="C105" s="232">
        <f>IF(MHDV_Inputs!$B$3=1,'Class 6 PnD Trucks'!C211,IF(MHDV_Inputs!$B$3=2,'Class 8 Day-cab Trucks'!C211,'Class 8 Sleeper-cab Trucks'!C211))</f>
        <v>0</v>
      </c>
      <c r="D105" s="1159">
        <f>IF(MHDV_Inputs!$B$3=1,'Class 6 PnD Trucks'!D211,IF(MHDV_Inputs!$B$3=2,'Class 8 Day-cab Trucks'!D211,'Class 8 Sleeper-cab Trucks'!D211))</f>
        <v>0</v>
      </c>
      <c r="E105" s="1159">
        <f>IF(MHDV_Inputs!$B$3=1,'Class 6 PnD Trucks'!E211,IF(MHDV_Inputs!$B$3=2,'Class 8 Day-cab Trucks'!E211,'Class 8 Sleeper-cab Trucks'!E211))</f>
        <v>0</v>
      </c>
      <c r="F105" s="128">
        <f>IF(MHDV_Inputs!$B$3=1,'Class 6 PnD Trucks'!F211,IF(MHDV_Inputs!$B$3=2,'Class 8 Day-cab Trucks'!F211,'Class 8 Sleeper-cab Trucks'!F211))</f>
        <v>0</v>
      </c>
    </row>
    <row r="106" spans="1:6">
      <c r="A106" s="172"/>
      <c r="B106" s="1949" t="s">
        <v>2426</v>
      </c>
      <c r="C106" s="232">
        <f>IF(MHDV_Inputs!$B$3=1,'Class 6 PnD Trucks'!C212,IF(MHDV_Inputs!$B$3=2,'Class 8 Day-cab Trucks'!C212,'Class 8 Sleeper-cab Trucks'!C212))</f>
        <v>0</v>
      </c>
      <c r="D106" s="1159">
        <f>IF(MHDV_Inputs!$B$3=1,'Class 6 PnD Trucks'!D212,IF(MHDV_Inputs!$B$3=2,'Class 8 Day-cab Trucks'!D212,'Class 8 Sleeper-cab Trucks'!D212))</f>
        <v>0</v>
      </c>
      <c r="E106" s="1159">
        <f>IF(MHDV_Inputs!$B$3=1,'Class 6 PnD Trucks'!E212,IF(MHDV_Inputs!$B$3=2,'Class 8 Day-cab Trucks'!E212,'Class 8 Sleeper-cab Trucks'!E212))</f>
        <v>0</v>
      </c>
      <c r="F106" s="128">
        <f>IF(MHDV_Inputs!$B$3=1,'Class 6 PnD Trucks'!F212,IF(MHDV_Inputs!$B$3=2,'Class 8 Day-cab Trucks'!F212,'Class 8 Sleeper-cab Trucks'!F212))</f>
        <v>0</v>
      </c>
    </row>
    <row r="107" spans="1:6">
      <c r="A107" s="172"/>
      <c r="B107" s="1949" t="s">
        <v>2425</v>
      </c>
      <c r="C107" s="232">
        <f>IF(MHDV_Inputs!$B$3=1,'Class 6 PnD Trucks'!C213,IF(MHDV_Inputs!$B$3=2,'Class 8 Day-cab Trucks'!C213,'Class 8 Sleeper-cab Trucks'!C213))</f>
        <v>0</v>
      </c>
      <c r="D107" s="1159">
        <f>IF(MHDV_Inputs!$B$3=1,'Class 6 PnD Trucks'!D213,IF(MHDV_Inputs!$B$3=2,'Class 8 Day-cab Trucks'!D213,'Class 8 Sleeper-cab Trucks'!D213))</f>
        <v>0</v>
      </c>
      <c r="E107" s="1159">
        <f>IF(MHDV_Inputs!$B$3=1,'Class 6 PnD Trucks'!E213,IF(MHDV_Inputs!$B$3=2,'Class 8 Day-cab Trucks'!E213,'Class 8 Sleeper-cab Trucks'!E213))</f>
        <v>0</v>
      </c>
      <c r="F107" s="128">
        <f>IF(MHDV_Inputs!$B$3=1,'Class 6 PnD Trucks'!F213,IF(MHDV_Inputs!$B$3=2,'Class 8 Day-cab Trucks'!F213,'Class 8 Sleeper-cab Trucks'!F213))</f>
        <v>0</v>
      </c>
    </row>
    <row r="108" spans="1:6">
      <c r="A108" s="172"/>
      <c r="B108" s="1950" t="s">
        <v>2420</v>
      </c>
      <c r="C108" s="239">
        <f>IF(MHDV_Inputs!$B$3=1,'Class 6 PnD Trucks'!C214,IF(MHDV_Inputs!$B$3=2,'Class 8 Day-cab Trucks'!C214,'Class 8 Sleeper-cab Trucks'!C214))</f>
        <v>0</v>
      </c>
      <c r="D108" s="129">
        <f>IF(MHDV_Inputs!$B$3=1,'Class 6 PnD Trucks'!D214,IF(MHDV_Inputs!$B$3=2,'Class 8 Day-cab Trucks'!D214,'Class 8 Sleeper-cab Trucks'!D214))</f>
        <v>0</v>
      </c>
      <c r="E108" s="129">
        <f>IF(MHDV_Inputs!$B$3=1,'Class 6 PnD Trucks'!E214,IF(MHDV_Inputs!$B$3=2,'Class 8 Day-cab Trucks'!E214,'Class 8 Sleeper-cab Trucks'!E214))</f>
        <v>0</v>
      </c>
      <c r="F108" s="130">
        <f>IF(MHDV_Inputs!$B$3=1,'Class 6 PnD Trucks'!F214,IF(MHDV_Inputs!$B$3=2,'Class 8 Day-cab Trucks'!F214,'Class 8 Sleeper-cab Trucks'!F214))</f>
        <v>0</v>
      </c>
    </row>
    <row r="109" spans="1:6">
      <c r="A109" s="172"/>
      <c r="B109" s="1951" t="s">
        <v>188</v>
      </c>
      <c r="C109" s="232"/>
      <c r="D109" s="1159"/>
      <c r="E109" s="1159"/>
      <c r="F109" s="128"/>
    </row>
    <row r="110" spans="1:6">
      <c r="A110" s="172"/>
      <c r="B110" s="1947" t="s">
        <v>2429</v>
      </c>
      <c r="C110" s="232">
        <f>IF(MHDV_Inputs!$B$3=1,'Class 6 PnD Trucks'!C216,IF(MHDV_Inputs!$B$3=2,'Class 8 Day-cab Trucks'!C216,'Class 8 Sleeper-cab Trucks'!C216))</f>
        <v>0</v>
      </c>
      <c r="D110" s="1159">
        <f>IF(MHDV_Inputs!$B$3=1,'Class 6 PnD Trucks'!D216,IF(MHDV_Inputs!$B$3=2,'Class 8 Day-cab Trucks'!D216,'Class 8 Sleeper-cab Trucks'!D216))</f>
        <v>0</v>
      </c>
      <c r="E110" s="1159">
        <f>IF(MHDV_Inputs!$B$3=1,'Class 6 PnD Trucks'!E216,IF(MHDV_Inputs!$B$3=2,'Class 8 Day-cab Trucks'!E216,'Class 8 Sleeper-cab Trucks'!E216))</f>
        <v>0</v>
      </c>
      <c r="F110" s="128">
        <f>IF(MHDV_Inputs!$B$3=1,'Class 6 PnD Trucks'!F216,IF(MHDV_Inputs!$B$3=2,'Class 8 Day-cab Trucks'!F216,'Class 8 Sleeper-cab Trucks'!F216))</f>
        <v>0.54507624977081237</v>
      </c>
    </row>
    <row r="111" spans="1:6">
      <c r="A111" s="172"/>
      <c r="B111" s="1947" t="s">
        <v>38</v>
      </c>
      <c r="C111" s="232">
        <f>IF(MHDV_Inputs!$B$3=1,'Class 6 PnD Trucks'!C217,IF(MHDV_Inputs!$B$3=2,'Class 8 Day-cab Trucks'!C217,'Class 8 Sleeper-cab Trucks'!C217))</f>
        <v>0</v>
      </c>
      <c r="D111" s="1159">
        <f>IF(MHDV_Inputs!$B$3=1,'Class 6 PnD Trucks'!D217,IF(MHDV_Inputs!$B$3=2,'Class 8 Day-cab Trucks'!D217,'Class 8 Sleeper-cab Trucks'!D217))</f>
        <v>0</v>
      </c>
      <c r="E111" s="1159">
        <f>IF(MHDV_Inputs!$B$3=1,'Class 6 PnD Trucks'!E217,IF(MHDV_Inputs!$B$3=2,'Class 8 Day-cab Trucks'!E217,'Class 8 Sleeper-cab Trucks'!E217))</f>
        <v>0</v>
      </c>
      <c r="F111" s="128">
        <f>IF(MHDV_Inputs!$B$3=1,'Class 6 PnD Trucks'!F217,IF(MHDV_Inputs!$B$3=2,'Class 8 Day-cab Trucks'!F217,'Class 8 Sleeper-cab Trucks'!F217))</f>
        <v>8.1790135758870574E-3</v>
      </c>
    </row>
    <row r="112" spans="1:6">
      <c r="A112" s="172"/>
      <c r="B112" s="1947" t="s">
        <v>1868</v>
      </c>
      <c r="C112" s="232">
        <f>IF(MHDV_Inputs!$B$3=1,'Class 6 PnD Trucks'!C218,IF(MHDV_Inputs!$B$3=2,'Class 8 Day-cab Trucks'!C218,'Class 8 Sleeper-cab Trucks'!C218))</f>
        <v>0</v>
      </c>
      <c r="D112" s="1159">
        <f>IF(MHDV_Inputs!$B$3=1,'Class 6 PnD Trucks'!D218,IF(MHDV_Inputs!$B$3=2,'Class 8 Day-cab Trucks'!D218,'Class 8 Sleeper-cab Trucks'!D218))</f>
        <v>0</v>
      </c>
      <c r="E112" s="1159">
        <f>IF(MHDV_Inputs!$B$3=1,'Class 6 PnD Trucks'!E218,IF(MHDV_Inputs!$B$3=2,'Class 8 Day-cab Trucks'!E218,'Class 8 Sleeper-cab Trucks'!E218))</f>
        <v>0</v>
      </c>
      <c r="F112" s="128">
        <f>IF(MHDV_Inputs!$B$3=1,'Class 6 PnD Trucks'!F218,IF(MHDV_Inputs!$B$3=2,'Class 8 Day-cab Trucks'!F218,'Class 8 Sleeper-cab Trucks'!F218))</f>
        <v>0.39260221774032833</v>
      </c>
    </row>
    <row r="113" spans="1:6">
      <c r="A113" s="172"/>
      <c r="B113" s="1947" t="s">
        <v>2407</v>
      </c>
      <c r="C113" s="232">
        <f>IF(MHDV_Inputs!$B$3=1,'Class 6 PnD Trucks'!C219,IF(MHDV_Inputs!$B$3=2,'Class 8 Day-cab Trucks'!C219,'Class 8 Sleeper-cab Trucks'!C219))</f>
        <v>0</v>
      </c>
      <c r="D113" s="1159">
        <f>IF(MHDV_Inputs!$B$3=1,'Class 6 PnD Trucks'!D219,IF(MHDV_Inputs!$B$3=2,'Class 8 Day-cab Trucks'!D219,'Class 8 Sleeper-cab Trucks'!D219))</f>
        <v>0</v>
      </c>
      <c r="E113" s="1159">
        <f>IF(MHDV_Inputs!$B$3=1,'Class 6 PnD Trucks'!E219,IF(MHDV_Inputs!$B$3=2,'Class 8 Day-cab Trucks'!E219,'Class 8 Sleeper-cab Trucks'!E219))</f>
        <v>0</v>
      </c>
      <c r="F113" s="128">
        <f>IF(MHDV_Inputs!$B$3=1,'Class 6 PnD Trucks'!F219,IF(MHDV_Inputs!$B$3=2,'Class 8 Day-cab Trucks'!F219,'Class 8 Sleeper-cab Trucks'!F219))</f>
        <v>0</v>
      </c>
    </row>
    <row r="114" spans="1:6">
      <c r="A114" s="172"/>
      <c r="B114" s="1947" t="s">
        <v>2405</v>
      </c>
      <c r="C114" s="232">
        <f>IF(MHDV_Inputs!$B$3=1,'Class 6 PnD Trucks'!C220,IF(MHDV_Inputs!$B$3=2,'Class 8 Day-cab Trucks'!C220,'Class 8 Sleeper-cab Trucks'!C220))</f>
        <v>0</v>
      </c>
      <c r="D114" s="1159">
        <f>IF(MHDV_Inputs!$B$3=1,'Class 6 PnD Trucks'!D220,IF(MHDV_Inputs!$B$3=2,'Class 8 Day-cab Trucks'!D220,'Class 8 Sleeper-cab Trucks'!D220))</f>
        <v>0</v>
      </c>
      <c r="E114" s="1159">
        <f>IF(MHDV_Inputs!$B$3=1,'Class 6 PnD Trucks'!E220,IF(MHDV_Inputs!$B$3=2,'Class 8 Day-cab Trucks'!E220,'Class 8 Sleeper-cab Trucks'!E220))</f>
        <v>0</v>
      </c>
      <c r="F114" s="128">
        <f>IF(MHDV_Inputs!$B$3=1,'Class 6 PnD Trucks'!F220,IF(MHDV_Inputs!$B$3=2,'Class 8 Day-cab Trucks'!F220,'Class 8 Sleeper-cab Trucks'!F220))</f>
        <v>2.3966263561936495E-2</v>
      </c>
    </row>
    <row r="115" spans="1:6">
      <c r="A115" s="172"/>
      <c r="B115" s="1947" t="s">
        <v>52</v>
      </c>
      <c r="C115" s="232">
        <f>IF(MHDV_Inputs!$B$3=1,'Class 6 PnD Trucks'!C221,IF(MHDV_Inputs!$B$3=2,'Class 8 Day-cab Trucks'!C221,'Class 8 Sleeper-cab Trucks'!C221))</f>
        <v>0</v>
      </c>
      <c r="D115" s="1159">
        <f>IF(MHDV_Inputs!$B$3=1,'Class 6 PnD Trucks'!D221,IF(MHDV_Inputs!$B$3=2,'Class 8 Day-cab Trucks'!D221,'Class 8 Sleeper-cab Trucks'!D221))</f>
        <v>0</v>
      </c>
      <c r="E115" s="1159">
        <f>IF(MHDV_Inputs!$B$3=1,'Class 6 PnD Trucks'!E221,IF(MHDV_Inputs!$B$3=2,'Class 8 Day-cab Trucks'!E221,'Class 8 Sleeper-cab Trucks'!E221))</f>
        <v>0</v>
      </c>
      <c r="F115" s="128">
        <f>IF(MHDV_Inputs!$B$3=1,'Class 6 PnD Trucks'!F221,IF(MHDV_Inputs!$B$3=2,'Class 8 Day-cab Trucks'!F221,'Class 8 Sleeper-cab Trucks'!F221))</f>
        <v>0</v>
      </c>
    </row>
    <row r="116" spans="1:6">
      <c r="A116" s="172"/>
      <c r="B116" s="1947" t="s">
        <v>1391</v>
      </c>
      <c r="C116" s="232">
        <f>IF(MHDV_Inputs!$B$3=1,'Class 6 PnD Trucks'!C222,IF(MHDV_Inputs!$B$3=2,'Class 8 Day-cab Trucks'!C222,'Class 8 Sleeper-cab Trucks'!C222))</f>
        <v>0</v>
      </c>
      <c r="D116" s="1159">
        <f>IF(MHDV_Inputs!$B$3=1,'Class 6 PnD Trucks'!D222,IF(MHDV_Inputs!$B$3=2,'Class 8 Day-cab Trucks'!D222,'Class 8 Sleeper-cab Trucks'!D222))</f>
        <v>0</v>
      </c>
      <c r="E116" s="1159">
        <f>IF(MHDV_Inputs!$B$3=1,'Class 6 PnD Trucks'!E222,IF(MHDV_Inputs!$B$3=2,'Class 8 Day-cab Trucks'!E222,'Class 8 Sleeper-cab Trucks'!E222))</f>
        <v>0</v>
      </c>
      <c r="F116" s="128">
        <f>IF(MHDV_Inputs!$B$3=1,'Class 6 PnD Trucks'!F222,IF(MHDV_Inputs!$B$3=2,'Class 8 Day-cab Trucks'!F222,'Class 8 Sleeper-cab Trucks'!F222))</f>
        <v>1.3258611480911651E-2</v>
      </c>
    </row>
    <row r="117" spans="1:6">
      <c r="A117" s="172"/>
      <c r="B117" s="1947" t="s">
        <v>375</v>
      </c>
      <c r="C117" s="232">
        <f>IF(MHDV_Inputs!$B$3=1,'Class 6 PnD Trucks'!C223,IF(MHDV_Inputs!$B$3=2,'Class 8 Day-cab Trucks'!C223,'Class 8 Sleeper-cab Trucks'!C223))</f>
        <v>0</v>
      </c>
      <c r="D117" s="1159">
        <f>IF(MHDV_Inputs!$B$3=1,'Class 6 PnD Trucks'!D223,IF(MHDV_Inputs!$B$3=2,'Class 8 Day-cab Trucks'!D223,'Class 8 Sleeper-cab Trucks'!D223))</f>
        <v>0</v>
      </c>
      <c r="E117" s="1159">
        <f>IF(MHDV_Inputs!$B$3=1,'Class 6 PnD Trucks'!E223,IF(MHDV_Inputs!$B$3=2,'Class 8 Day-cab Trucks'!E223,'Class 8 Sleeper-cab Trucks'!E223))</f>
        <v>0</v>
      </c>
      <c r="F117" s="128">
        <f>IF(MHDV_Inputs!$B$3=1,'Class 6 PnD Trucks'!F223,IF(MHDV_Inputs!$B$3=2,'Class 8 Day-cab Trucks'!F223,'Class 8 Sleeper-cab Trucks'!F223))</f>
        <v>1.6917643870124281E-2</v>
      </c>
    </row>
    <row r="118" spans="1:6">
      <c r="A118" s="172"/>
      <c r="B118" s="1948" t="s">
        <v>294</v>
      </c>
      <c r="C118" s="239">
        <f>IF(MHDV_Inputs!$B$3=1,'Class 6 PnD Trucks'!C224,IF(MHDV_Inputs!$B$3=2,'Class 8 Day-cab Trucks'!C224,'Class 8 Sleeper-cab Trucks'!C224))</f>
        <v>0</v>
      </c>
      <c r="D118" s="129">
        <f>IF(MHDV_Inputs!$B$3=1,'Class 6 PnD Trucks'!D224,IF(MHDV_Inputs!$B$3=2,'Class 8 Day-cab Trucks'!D224,'Class 8 Sleeper-cab Trucks'!D224))</f>
        <v>0</v>
      </c>
      <c r="E118" s="129">
        <f>IF(MHDV_Inputs!$B$3=1,'Class 6 PnD Trucks'!E224,IF(MHDV_Inputs!$B$3=2,'Class 8 Day-cab Trucks'!E224,'Class 8 Sleeper-cab Trucks'!E224))</f>
        <v>0</v>
      </c>
      <c r="F118" s="130">
        <f>IF(MHDV_Inputs!$B$3=1,'Class 6 PnD Trucks'!F224,IF(MHDV_Inputs!$B$3=2,'Class 8 Day-cab Trucks'!F224,'Class 8 Sleeper-cab Trucks'!F224))</f>
        <v>0</v>
      </c>
    </row>
    <row r="119" spans="1:6">
      <c r="A119" s="172"/>
      <c r="B119" s="482" t="s">
        <v>2430</v>
      </c>
      <c r="C119" s="556"/>
      <c r="D119" s="179"/>
      <c r="E119" s="179"/>
      <c r="F119" s="180"/>
    </row>
    <row r="120" spans="1:6">
      <c r="A120" s="172"/>
      <c r="B120" s="1948" t="s">
        <v>38</v>
      </c>
      <c r="C120" s="239">
        <f>IF(MHDV_Inputs!$B$3=1,'Class 6 PnD Trucks'!C226,IF(MHDV_Inputs!$B$3=2,'Class 8 Day-cab Trucks'!C226,'Class 8 Sleeper-cab Trucks'!C226))</f>
        <v>0</v>
      </c>
      <c r="D120" s="129">
        <f>IF(MHDV_Inputs!$B$3=1,'Class 6 PnD Trucks'!D226,IF(MHDV_Inputs!$B$3=2,'Class 8 Day-cab Trucks'!D226,'Class 8 Sleeper-cab Trucks'!D226))</f>
        <v>0</v>
      </c>
      <c r="E120" s="129">
        <f>IF(MHDV_Inputs!$B$3=1,'Class 6 PnD Trucks'!E226,IF(MHDV_Inputs!$B$3=2,'Class 8 Day-cab Trucks'!E226,'Class 8 Sleeper-cab Trucks'!E226))</f>
        <v>0</v>
      </c>
      <c r="F120" s="130">
        <f>IF(MHDV_Inputs!$B$3=1,'Class 6 PnD Trucks'!F226,IF(MHDV_Inputs!$B$3=2,'Class 8 Day-cab Trucks'!F226,'Class 8 Sleeper-cab Trucks'!F226))</f>
        <v>0</v>
      </c>
    </row>
    <row r="121" spans="1:6">
      <c r="A121" s="172"/>
      <c r="B121" s="1461"/>
      <c r="C121" s="1159"/>
      <c r="D121" s="1159"/>
      <c r="E121" s="1159"/>
      <c r="F121" s="1159"/>
    </row>
    <row r="122" spans="1:6">
      <c r="A122" s="172" t="s">
        <v>279</v>
      </c>
    </row>
    <row r="123" spans="1:6">
      <c r="A123" s="172"/>
      <c r="B123" s="58"/>
      <c r="C123" s="264" t="s">
        <v>203</v>
      </c>
      <c r="D123" s="175" t="s">
        <v>194</v>
      </c>
      <c r="E123" s="175" t="s">
        <v>167</v>
      </c>
      <c r="F123" s="176" t="s">
        <v>198</v>
      </c>
    </row>
    <row r="124" spans="1:6">
      <c r="A124" s="172"/>
      <c r="B124" s="80" t="s">
        <v>38</v>
      </c>
      <c r="C124" s="556">
        <f xml:space="preserve"> (MHDV_Inputs!C$62*C6)+(MHDV_Inputs!C$54*C23)+(MHDV_Inputs!C$55*C56)+(MHDV_Inputs!C$56*C67)+(MHDV_Inputs!C$57*C78)+(MHDV_Inputs!C$58*C83)+(MHDV_Inputs!C$59*C88)+(MHDV_Inputs!C$61*C96)+(MHDV_Inputs!C$60*C111)+(MHDV_Inputs!C$63*C120)</f>
        <v>0.63192272847327013</v>
      </c>
      <c r="D124" s="179">
        <f xml:space="preserve"> (MHDV_Inputs!D$62*D6)+(MHDV_Inputs!D$54*D23)+(MHDV_Inputs!D$55*D56)+(MHDV_Inputs!D$56*D67)+(MHDV_Inputs!D$57*D78)+(MHDV_Inputs!D$58*D83)+(MHDV_Inputs!D$59*D88)+(MHDV_Inputs!D$61*D96)+(MHDV_Inputs!D$60*D111)+(MHDV_Inputs!D$63*D120)</f>
        <v>0.62874179458638635</v>
      </c>
      <c r="E124" s="179">
        <f xml:space="preserve"> (MHDV_Inputs!E$62*E6)+(MHDV_Inputs!E$54*E23)+(MHDV_Inputs!E$55*E56)+(MHDV_Inputs!E$56*E67)+(MHDV_Inputs!E$57*E78)+(MHDV_Inputs!E$58*E83)+(MHDV_Inputs!E$59*E88)+(MHDV_Inputs!E$61*E96)+(MHDV_Inputs!E$60*E111)+(MHDV_Inputs!E$63*E120)</f>
        <v>0.65398416914292834</v>
      </c>
      <c r="F124" s="180">
        <f xml:space="preserve"> (MHDV_Inputs!F$62*F6)+(MHDV_Inputs!F$54*F23)+(MHDV_Inputs!F$55*F56)+(MHDV_Inputs!F$56*F67)+(MHDV_Inputs!F$57*F78)+(MHDV_Inputs!F$58*F83)+(MHDV_Inputs!F$59*F88)+(MHDV_Inputs!F$61*F96)+(MHDV_Inputs!F$60*F111)+(MHDV_Inputs!F$63*F120)</f>
        <v>0.46672190393114071</v>
      </c>
    </row>
    <row r="125" spans="1:6">
      <c r="A125" s="172"/>
      <c r="B125" s="173" t="s">
        <v>1868</v>
      </c>
      <c r="C125" s="232">
        <f xml:space="preserve"> (MHDV_Inputs!C$54*C22)+(MHDV_Inputs!C$60*C112)+(MHDV_Inputs!C$61*C95)+(MHDV_Inputs!C$62*C7)</f>
        <v>7.8977530627332357E-3</v>
      </c>
      <c r="D125" s="1159">
        <f xml:space="preserve"> (MHDV_Inputs!D$54*D22)+(MHDV_Inputs!D$60*D112)+(MHDV_Inputs!D$61*D95)+(MHDV_Inputs!D$62*D7)</f>
        <v>7.8167183247703238E-3</v>
      </c>
      <c r="E125" s="1159">
        <f xml:space="preserve"> (MHDV_Inputs!E$54*E22)+(MHDV_Inputs!E$60*E112)+(MHDV_Inputs!E$61*E95)+(MHDV_Inputs!E$62*E7)</f>
        <v>5.4255863477889405E-3</v>
      </c>
      <c r="F125" s="128">
        <f xml:space="preserve"> (MHDV_Inputs!F$54*F22)+(MHDV_Inputs!F$60*F112)+(MHDV_Inputs!F$61*F95)+(MHDV_Inputs!F$62*F7)</f>
        <v>0.12932755370427232</v>
      </c>
    </row>
    <row r="126" spans="1:6">
      <c r="A126" s="172"/>
      <c r="B126" s="173" t="s">
        <v>1869</v>
      </c>
      <c r="C126" s="232">
        <f xml:space="preserve"> (MHDV_Inputs!C$54*C26)+(MHDV_Inputs!C$55*C59)+(MHDV_Inputs!C$56*C68)+(MHDV_Inputs!C$61*C97)</f>
        <v>0.10303161404755071</v>
      </c>
      <c r="D126" s="1159">
        <f xml:space="preserve"> (MHDV_Inputs!D$54*D26)+(MHDV_Inputs!D$55*D59)+(MHDV_Inputs!D$56*D68)+(MHDV_Inputs!D$61*D97)</f>
        <v>0.1014147822753878</v>
      </c>
      <c r="E126" s="1159">
        <f xml:space="preserve"> (MHDV_Inputs!E$54*E26)+(MHDV_Inputs!E$55*E59)+(MHDV_Inputs!E$56*E68)+(MHDV_Inputs!E$61*E97)</f>
        <v>5.4510920601686018E-2</v>
      </c>
      <c r="F126" s="128">
        <f xml:space="preserve"> (MHDV_Inputs!F$54*F26)+(MHDV_Inputs!F$55*F59)+(MHDV_Inputs!F$56*F68)+(MHDV_Inputs!F$61*F97)</f>
        <v>3.838183241203947E-2</v>
      </c>
    </row>
    <row r="127" spans="1:6">
      <c r="A127" s="172"/>
      <c r="B127" s="173" t="s">
        <v>2406</v>
      </c>
      <c r="C127" s="232">
        <f xml:space="preserve"> (MHDV_Inputs!C$54*C24)+(MHDV_Inputs!C$55*C57)+(MHDV_Inputs!C$56*C69)+(MHDV_Inputs!C$57*C79)+(MHDV_Inputs!C$58*C84)+(MHDV_Inputs!C$59*C89)+(MHDV_Inputs!C$61*C98)+(MHDV_Inputs!C$62*C9)</f>
        <v>4.7794215368790832E-2</v>
      </c>
      <c r="D127" s="1159">
        <f xml:space="preserve"> (MHDV_Inputs!D$54*D24)+(MHDV_Inputs!D$55*D57)+(MHDV_Inputs!D$56*D69)+(MHDV_Inputs!D$57*D79)+(MHDV_Inputs!D$58*D84)+(MHDV_Inputs!D$59*D89)+(MHDV_Inputs!D$61*D98)+(MHDV_Inputs!D$62*D9)</f>
        <v>5.1455124141682983E-2</v>
      </c>
      <c r="E127" s="1159">
        <f xml:space="preserve"> (MHDV_Inputs!E$54*E24)+(MHDV_Inputs!E$55*E57)+(MHDV_Inputs!E$56*E69)+(MHDV_Inputs!E$57*E79)+(MHDV_Inputs!E$58*E84)+(MHDV_Inputs!E$59*E89)+(MHDV_Inputs!E$61*E98)+(MHDV_Inputs!E$62*E9)</f>
        <v>6.0277015945351745E-2</v>
      </c>
      <c r="F127" s="128">
        <f xml:space="preserve"> (MHDV_Inputs!F$54*F24)+(MHDV_Inputs!F$55*F57)+(MHDV_Inputs!F$56*F69)+(MHDV_Inputs!F$57*F79)+(MHDV_Inputs!F$58*F84)+(MHDV_Inputs!F$59*F89)+(MHDV_Inputs!F$61*F98)+(MHDV_Inputs!F$62*F9)</f>
        <v>4.812033757272105E-2</v>
      </c>
    </row>
    <row r="128" spans="1:6">
      <c r="A128" s="172"/>
      <c r="B128" s="173" t="s">
        <v>2405</v>
      </c>
      <c r="C128" s="232">
        <f xml:space="preserve"> (MHDV_Inputs!C$54*C25)+(MHDV_Inputs!C$55*C58)+(MHDV_Inputs!C$56*C70)+(MHDV_Inputs!C$60*C114)+(MHDV_Inputs!C$61*C99)+(MHDV_Inputs!C$62*C8)</f>
        <v>3.2945490653230464E-2</v>
      </c>
      <c r="D128" s="1159">
        <f xml:space="preserve"> (MHDV_Inputs!D$54*D25)+(MHDV_Inputs!D$55*D58)+(MHDV_Inputs!D$56*D70)+(MHDV_Inputs!D$60*D114)+(MHDV_Inputs!D$61*D99)+(MHDV_Inputs!D$62*D8)</f>
        <v>3.2567331973412841E-2</v>
      </c>
      <c r="E128" s="1159">
        <f xml:space="preserve"> (MHDV_Inputs!E$54*E25)+(MHDV_Inputs!E$55*E58)+(MHDV_Inputs!E$56*E70)+(MHDV_Inputs!E$60*E114)+(MHDV_Inputs!E$61*E99)+(MHDV_Inputs!E$62*E8)</f>
        <v>2.3780992255866228E-2</v>
      </c>
      <c r="F128" s="128">
        <f xml:space="preserve"> (MHDV_Inputs!F$54*F25)+(MHDV_Inputs!F$55*F58)+(MHDV_Inputs!F$56*F70)+(MHDV_Inputs!F$60*F114)+(MHDV_Inputs!F$61*F99)+(MHDV_Inputs!F$62*F8)</f>
        <v>2.6207808118657191E-2</v>
      </c>
    </row>
    <row r="129" spans="1:6">
      <c r="A129" s="172"/>
      <c r="B129" s="173" t="s">
        <v>2413</v>
      </c>
      <c r="C129" s="232">
        <f>(MHDV_Inputs!C$54*C29)+(MHDV_Inputs!C$55*SUM(C62:C63))+(MHDV_Inputs!C$56*SUM(C73:C74))+(MHDV_Inputs!C$57*C80)+(MHDV_Inputs!C$58*C85)+(MHDV_Inputs!C$59*C90)+(MHDV_Inputs!C$60*C115)+(MHDV_Inputs!C$61*SUM(C103:C104))+(MHDV_Inputs!C$62*C14)</f>
        <v>2.0457105842039587E-3</v>
      </c>
      <c r="D129" s="1159">
        <f>(MHDV_Inputs!D$54*D29)+(MHDV_Inputs!D$55*SUM(D62:D63))+(MHDV_Inputs!D$56*SUM(D73:D74))+(MHDV_Inputs!D$57*D80)+(MHDV_Inputs!D$58*D85)+(MHDV_Inputs!D$59*D90)+(MHDV_Inputs!D$60*D115)+(MHDV_Inputs!D$61*SUM(D103:D104))+(MHDV_Inputs!D$62*D14)</f>
        <v>4.9901865993499002E-3</v>
      </c>
      <c r="E129" s="1159">
        <f>(MHDV_Inputs!E$54*E29)+(MHDV_Inputs!E$55*SUM(E62:E63))+(MHDV_Inputs!E$56*SUM(E73:E74))+(MHDV_Inputs!E$57*E80)+(MHDV_Inputs!E$58*E85)+(MHDV_Inputs!E$59*E90)+(MHDV_Inputs!E$60*E115)+(MHDV_Inputs!E$61*SUM(E103:E104))+(MHDV_Inputs!E$62*E14)</f>
        <v>1.3271158653382863E-2</v>
      </c>
      <c r="F129" s="128">
        <f>(MHDV_Inputs!F$54*F29)+(MHDV_Inputs!F$55*SUM(F62:F63))+(MHDV_Inputs!F$56*SUM(F73:F74))+(MHDV_Inputs!F$57*F80)+(MHDV_Inputs!F$58*F85)+(MHDV_Inputs!F$59*F90)+(MHDV_Inputs!F$60*F115)+(MHDV_Inputs!F$61*SUM(F103:F104))+(MHDV_Inputs!F$62*F14)</f>
        <v>1.0995676475402566E-2</v>
      </c>
    </row>
    <row r="130" spans="1:6">
      <c r="A130" s="172"/>
      <c r="B130" s="173" t="s">
        <v>2425</v>
      </c>
      <c r="C130" s="232">
        <f xml:space="preserve"> (MHDV_Inputs!C$55*C64)+(MHDV_Inputs!C$56*C75)+(MHDV_Inputs!C$61*C107)</f>
        <v>1.1339989016038405E-4</v>
      </c>
      <c r="D130" s="1159">
        <f xml:space="preserve"> (MHDV_Inputs!D$55*D64)+(MHDV_Inputs!D$56*D75)+(MHDV_Inputs!D$61*D107)</f>
        <v>1.1228197056466839E-4</v>
      </c>
      <c r="E130" s="1159">
        <f xml:space="preserve"> (MHDV_Inputs!E$55*E64)+(MHDV_Inputs!E$56*E75)+(MHDV_Inputs!E$61*E107)</f>
        <v>7.3293327488099835E-5</v>
      </c>
      <c r="F130" s="128">
        <f xml:space="preserve"> (MHDV_Inputs!F$55*F64)+(MHDV_Inputs!F$56*F75)+(MHDV_Inputs!F$61*F107)</f>
        <v>5.2114114244738394E-5</v>
      </c>
    </row>
    <row r="131" spans="1:6">
      <c r="A131" s="172"/>
      <c r="B131" s="173" t="s">
        <v>2414</v>
      </c>
      <c r="C131" s="232">
        <f xml:space="preserve"> (MHDV_Inputs!C$54*C30)</f>
        <v>0</v>
      </c>
      <c r="D131" s="1159">
        <f xml:space="preserve"> (MHDV_Inputs!D$54*D30)</f>
        <v>0</v>
      </c>
      <c r="E131" s="1159">
        <f xml:space="preserve"> (MHDV_Inputs!E$54*E30)</f>
        <v>0</v>
      </c>
      <c r="F131" s="128">
        <f xml:space="preserve"> (MHDV_Inputs!F$54*F30)</f>
        <v>0</v>
      </c>
    </row>
    <row r="132" spans="1:6">
      <c r="A132" s="172"/>
      <c r="B132" s="173" t="s">
        <v>2416</v>
      </c>
      <c r="C132" s="232">
        <f xml:space="preserve"> (MHDV_Inputs!C$54*C33)</f>
        <v>5.6448493038050189E-4</v>
      </c>
      <c r="D132" s="1159">
        <f xml:space="preserve"> (MHDV_Inputs!D$54*D33)</f>
        <v>5.5278332919504877E-4</v>
      </c>
      <c r="E132" s="1159">
        <f xml:space="preserve"> (MHDV_Inputs!E$54*E33)</f>
        <v>0</v>
      </c>
      <c r="F132" s="128">
        <f xml:space="preserve"> (MHDV_Inputs!F$54*F33)</f>
        <v>1.748603561923053E-4</v>
      </c>
    </row>
    <row r="133" spans="1:6">
      <c r="A133" s="172"/>
      <c r="B133" s="173" t="s">
        <v>2417</v>
      </c>
      <c r="C133" s="232">
        <f xml:space="preserve"> (MHDV_Inputs!C$54*C34)</f>
        <v>1.6307342433214499E-4</v>
      </c>
      <c r="D133" s="1159">
        <f xml:space="preserve"> (MHDV_Inputs!D$54*D34)</f>
        <v>1.5969296176745852E-4</v>
      </c>
      <c r="E133" s="1159">
        <f xml:space="preserve"> (MHDV_Inputs!E$54*E34)</f>
        <v>0</v>
      </c>
      <c r="F133" s="128">
        <f xml:space="preserve"> (MHDV_Inputs!F$54*F34)</f>
        <v>0</v>
      </c>
    </row>
    <row r="134" spans="1:6">
      <c r="A134" s="172"/>
      <c r="B134" s="173" t="s">
        <v>48</v>
      </c>
      <c r="C134" s="232">
        <f xml:space="preserve"> (MHDV_Inputs!C$54*C48)</f>
        <v>0</v>
      </c>
      <c r="D134" s="1159">
        <f xml:space="preserve"> (MHDV_Inputs!D$54*D48)</f>
        <v>0</v>
      </c>
      <c r="E134" s="1159">
        <f xml:space="preserve"> (MHDV_Inputs!E$54*E48)</f>
        <v>0</v>
      </c>
      <c r="F134" s="128">
        <f xml:space="preserve"> (MHDV_Inputs!F$54*F48)</f>
        <v>2.0172241286252638E-4</v>
      </c>
    </row>
    <row r="135" spans="1:6">
      <c r="A135" s="172"/>
      <c r="B135" s="173" t="s">
        <v>71</v>
      </c>
      <c r="C135" s="232">
        <f xml:space="preserve"> (MHDV_Inputs!C$54*C49)</f>
        <v>0</v>
      </c>
      <c r="D135" s="1159">
        <f xml:space="preserve"> (MHDV_Inputs!D$54*D49)</f>
        <v>0</v>
      </c>
      <c r="E135" s="1159">
        <f xml:space="preserve"> (MHDV_Inputs!E$54*E49)</f>
        <v>0</v>
      </c>
      <c r="F135" s="128">
        <f xml:space="preserve"> (MHDV_Inputs!F$54*F49)</f>
        <v>6.7568119600496323E-5</v>
      </c>
    </row>
    <row r="136" spans="1:6">
      <c r="A136" s="172"/>
      <c r="B136" s="173" t="s">
        <v>73</v>
      </c>
      <c r="C136" s="232">
        <f xml:space="preserve"> (MHDV_Inputs!C$54*C50)</f>
        <v>0</v>
      </c>
      <c r="D136" s="1159">
        <f xml:space="preserve"> (MHDV_Inputs!D$54*D50)</f>
        <v>0</v>
      </c>
      <c r="E136" s="1159">
        <f xml:space="preserve"> (MHDV_Inputs!E$54*E50)</f>
        <v>0</v>
      </c>
      <c r="F136" s="128">
        <f xml:space="preserve"> (MHDV_Inputs!F$54*F50)</f>
        <v>3.4410878613678324E-5</v>
      </c>
    </row>
    <row r="137" spans="1:6">
      <c r="A137" s="172"/>
      <c r="B137" s="173" t="s">
        <v>2423</v>
      </c>
      <c r="C137" s="232">
        <f xml:space="preserve"> (MHDV_Inputs!C$54*C51)</f>
        <v>0</v>
      </c>
      <c r="D137" s="1159">
        <f xml:space="preserve"> (MHDV_Inputs!D$54*D51)</f>
        <v>0</v>
      </c>
      <c r="E137" s="1159">
        <f xml:space="preserve"> (MHDV_Inputs!E$54*E51)</f>
        <v>0</v>
      </c>
      <c r="F137" s="128">
        <f xml:space="preserve"> (MHDV_Inputs!F$54*F51)</f>
        <v>1.2870118019142158E-5</v>
      </c>
    </row>
    <row r="138" spans="1:6">
      <c r="A138" s="172"/>
      <c r="B138" s="173" t="s">
        <v>69</v>
      </c>
      <c r="C138" s="232">
        <f xml:space="preserve"> (MHDV_Inputs!C$54*C52)</f>
        <v>0</v>
      </c>
      <c r="D138" s="1159">
        <f xml:space="preserve"> (MHDV_Inputs!D$54*D52)</f>
        <v>0</v>
      </c>
      <c r="E138" s="1159">
        <f xml:space="preserve"> (MHDV_Inputs!E$54*E52)</f>
        <v>0</v>
      </c>
      <c r="F138" s="128">
        <f xml:space="preserve"> (MHDV_Inputs!F$54*F52)</f>
        <v>3.2175295047855396E-6</v>
      </c>
    </row>
    <row r="139" spans="1:6">
      <c r="A139" s="172"/>
      <c r="B139" s="173" t="s">
        <v>63</v>
      </c>
      <c r="C139" s="232">
        <f xml:space="preserve"> (MHDV_Inputs!C$54*C35)</f>
        <v>3.6684766576816825E-5</v>
      </c>
      <c r="D139" s="1159">
        <f xml:space="preserve"> (MHDV_Inputs!D$54*D35)</f>
        <v>3.6323120552623369E-5</v>
      </c>
      <c r="E139" s="1159">
        <f xml:space="preserve"> (MHDV_Inputs!E$54*E35)</f>
        <v>0</v>
      </c>
      <c r="F139" s="128">
        <f xml:space="preserve"> (MHDV_Inputs!F$54*F35)</f>
        <v>5.4690900857815699E-5</v>
      </c>
    </row>
    <row r="140" spans="1:6">
      <c r="A140" s="172"/>
      <c r="B140" s="173" t="s">
        <v>61</v>
      </c>
      <c r="C140" s="232">
        <f xml:space="preserve"> (MHDV_Inputs!C$54*C27)+(MHDV_Inputs!C$55*C60)+(MHDV_Inputs!C$56*C71)+(MHDV_Inputs!C$59*C91)+(MHDV_Inputs!C$61*C101)+(MHDV_Inputs!C$62*C11)</f>
        <v>6.0164436824368096E-2</v>
      </c>
      <c r="D140" s="1159">
        <f xml:space="preserve"> (MHDV_Inputs!D$54*D27)+(MHDV_Inputs!D$55*D60)+(MHDV_Inputs!D$56*D71)+(MHDV_Inputs!D$59*D91)+(MHDV_Inputs!D$61*D101)+(MHDV_Inputs!D$62*D11)</f>
        <v>5.9597064203285657E-2</v>
      </c>
      <c r="E140" s="1159">
        <f xml:space="preserve"> (MHDV_Inputs!E$54*E27)+(MHDV_Inputs!E$55*E60)+(MHDV_Inputs!E$56*E71)+(MHDV_Inputs!E$59*E91)+(MHDV_Inputs!E$61*E101)+(MHDV_Inputs!E$62*E11)</f>
        <v>7.0260852488193859E-2</v>
      </c>
      <c r="F140" s="128">
        <f xml:space="preserve"> (MHDV_Inputs!F$54*F27)+(MHDV_Inputs!F$55*F60)+(MHDV_Inputs!F$56*F71)+(MHDV_Inputs!F$59*F91)+(MHDV_Inputs!F$61*F101)+(MHDV_Inputs!F$62*F11)</f>
        <v>5.0144516876791265E-2</v>
      </c>
    </row>
    <row r="141" spans="1:6">
      <c r="A141" s="172"/>
      <c r="B141" s="173" t="s">
        <v>2431</v>
      </c>
      <c r="C141" s="232">
        <f xml:space="preserve"> (MHDV_Inputs!C$54*C28)+(MHDV_Inputs!C$55*C61)+(MHDV_Inputs!C$56*C72)+(MHDV_Inputs!C$59*C92)+(MHDV_Inputs!C$61*C102)+(MHDV_Inputs!C$62*C10)</f>
        <v>4.65076784336729E-2</v>
      </c>
      <c r="D141" s="1159">
        <f xml:space="preserve"> (MHDV_Inputs!D$54*D28)+(MHDV_Inputs!D$55*D61)+(MHDV_Inputs!D$56*D72)+(MHDV_Inputs!D$59*D92)+(MHDV_Inputs!D$61*D102)+(MHDV_Inputs!D$62*D10)</f>
        <v>4.6265664993126204E-2</v>
      </c>
      <c r="E141" s="1159">
        <f xml:space="preserve"> (MHDV_Inputs!E$54*E28)+(MHDV_Inputs!E$55*E61)+(MHDV_Inputs!E$56*E72)+(MHDV_Inputs!E$59*E92)+(MHDV_Inputs!E$61*E102)+(MHDV_Inputs!E$62*E10)</f>
        <v>4.4530932007000118E-2</v>
      </c>
      <c r="F141" s="128">
        <f xml:space="preserve"> (MHDV_Inputs!F$54*F28)+(MHDV_Inputs!F$55*F61)+(MHDV_Inputs!F$56*F72)+(MHDV_Inputs!F$59*F92)+(MHDV_Inputs!F$61*F102)+(MHDV_Inputs!F$62*F10)</f>
        <v>3.2893420606988126E-2</v>
      </c>
    </row>
    <row r="142" spans="1:6">
      <c r="A142" s="172"/>
      <c r="B142" s="173" t="s">
        <v>2418</v>
      </c>
      <c r="C142" s="232">
        <f xml:space="preserve"> (MHDV_Inputs!C$54*C37)</f>
        <v>0</v>
      </c>
      <c r="D142" s="1159">
        <f xml:space="preserve"> (MHDV_Inputs!D$54*D37)</f>
        <v>0</v>
      </c>
      <c r="E142" s="1159">
        <f xml:space="preserve"> (MHDV_Inputs!E$54*E37)</f>
        <v>0</v>
      </c>
      <c r="F142" s="128">
        <f xml:space="preserve"> (MHDV_Inputs!F$54*F37)</f>
        <v>9.6977900782808089E-5</v>
      </c>
    </row>
    <row r="143" spans="1:6">
      <c r="A143" s="172"/>
      <c r="B143" s="173" t="s">
        <v>1391</v>
      </c>
      <c r="C143" s="232">
        <f xml:space="preserve"> (MHDV_Inputs!C$54*C38)+(MHDV_Inputs!C$60*C116)</f>
        <v>0</v>
      </c>
      <c r="D143" s="1159">
        <f xml:space="preserve"> (MHDV_Inputs!D$54*D38)+(MHDV_Inputs!D$60*D116)</f>
        <v>0</v>
      </c>
      <c r="E143" s="1159">
        <f xml:space="preserve"> (MHDV_Inputs!E$54*E38)+(MHDV_Inputs!E$60*E116)</f>
        <v>0</v>
      </c>
      <c r="F143" s="128">
        <f xml:space="preserve"> (MHDV_Inputs!F$54*F38)+(MHDV_Inputs!F$60*F116)</f>
        <v>1.0255999620503182E-2</v>
      </c>
    </row>
    <row r="144" spans="1:6">
      <c r="A144" s="172"/>
      <c r="B144" s="173" t="s">
        <v>375</v>
      </c>
      <c r="C144" s="232">
        <f xml:space="preserve"> (MHDV_Inputs!C$54*C39)+(MHDV_Inputs!C$60*C117)</f>
        <v>0</v>
      </c>
      <c r="D144" s="1159">
        <f xml:space="preserve"> (MHDV_Inputs!D$54*D39)+(MHDV_Inputs!D$60*D117)</f>
        <v>0</v>
      </c>
      <c r="E144" s="1159">
        <f xml:space="preserve"> (MHDV_Inputs!E$54*E39)+(MHDV_Inputs!E$60*E117)</f>
        <v>0</v>
      </c>
      <c r="F144" s="128">
        <f xml:space="preserve"> (MHDV_Inputs!F$54*F39)+(MHDV_Inputs!F$60*F117)</f>
        <v>3.7880183851962219E-3</v>
      </c>
    </row>
    <row r="145" spans="1:6">
      <c r="A145" s="172"/>
      <c r="B145" s="173" t="s">
        <v>381</v>
      </c>
      <c r="C145" s="232">
        <f xml:space="preserve"> (MHDV_Inputs!C$54*C40)</f>
        <v>0</v>
      </c>
      <c r="D145" s="1159">
        <f xml:space="preserve"> (MHDV_Inputs!D$54*D40)</f>
        <v>0</v>
      </c>
      <c r="E145" s="1159">
        <f xml:space="preserve"> (MHDV_Inputs!E$54*E40)</f>
        <v>0</v>
      </c>
      <c r="F145" s="128">
        <f xml:space="preserve"> (MHDV_Inputs!F$54*F40)</f>
        <v>2.1368012036889917E-3</v>
      </c>
    </row>
    <row r="146" spans="1:6">
      <c r="A146" s="172"/>
      <c r="B146" s="173" t="s">
        <v>291</v>
      </c>
      <c r="C146" s="232">
        <f xml:space="preserve"> (MHDV_Inputs!C$54*C41)</f>
        <v>0</v>
      </c>
      <c r="D146" s="1159">
        <f xml:space="preserve"> (MHDV_Inputs!D$54*D41)</f>
        <v>0</v>
      </c>
      <c r="E146" s="1159">
        <f xml:space="preserve"> (MHDV_Inputs!E$54*E41)</f>
        <v>0</v>
      </c>
      <c r="F146" s="128">
        <f xml:space="preserve"> (MHDV_Inputs!F$54*F41)</f>
        <v>2.6644267316768125E-4</v>
      </c>
    </row>
    <row r="147" spans="1:6">
      <c r="A147" s="172"/>
      <c r="B147" s="173" t="s">
        <v>289</v>
      </c>
      <c r="C147" s="232">
        <f xml:space="preserve"> (MHDV_Inputs!C$54*C42)</f>
        <v>0</v>
      </c>
      <c r="D147" s="1159">
        <f xml:space="preserve"> (MHDV_Inputs!D$54*D42)</f>
        <v>0</v>
      </c>
      <c r="E147" s="1159">
        <f xml:space="preserve"> (MHDV_Inputs!E$54*E42)</f>
        <v>0</v>
      </c>
      <c r="F147" s="128">
        <f xml:space="preserve"> (MHDV_Inputs!F$54*F42)</f>
        <v>6.0701591117103438E-4</v>
      </c>
    </row>
    <row r="148" spans="1:6">
      <c r="A148" s="172"/>
      <c r="B148" s="173" t="s">
        <v>2432</v>
      </c>
      <c r="C148" s="232">
        <f xml:space="preserve"> (MHDV_Inputs!C$54*C43)</f>
        <v>0</v>
      </c>
      <c r="D148" s="1159">
        <f xml:space="preserve"> (MHDV_Inputs!D$54*D43)</f>
        <v>0</v>
      </c>
      <c r="E148" s="1159">
        <f xml:space="preserve"> (MHDV_Inputs!E$54*E43)</f>
        <v>0</v>
      </c>
      <c r="F148" s="128">
        <f xml:space="preserve"> (MHDV_Inputs!F$54*F43)</f>
        <v>1.6094488528864749E-3</v>
      </c>
    </row>
    <row r="149" spans="1:6">
      <c r="A149" s="172"/>
      <c r="B149" s="173" t="s">
        <v>2422</v>
      </c>
      <c r="C149" s="232">
        <f xml:space="preserve"> (MHDV_Inputs!C$54*C47)</f>
        <v>0</v>
      </c>
      <c r="D149" s="1159">
        <f xml:space="preserve"> (MHDV_Inputs!D$54*D47)</f>
        <v>0</v>
      </c>
      <c r="E149" s="1159">
        <f xml:space="preserve"> (MHDV_Inputs!E$54*E47)</f>
        <v>0</v>
      </c>
      <c r="F149" s="128">
        <f xml:space="preserve"> (MHDV_Inputs!F$54*F47)</f>
        <v>0</v>
      </c>
    </row>
    <row r="150" spans="1:6">
      <c r="A150" s="172"/>
      <c r="B150" s="173" t="s">
        <v>2433</v>
      </c>
      <c r="C150" s="232">
        <f>MHDV_Inputs!C$60*C110</f>
        <v>0</v>
      </c>
      <c r="D150" s="1159">
        <f>MHDV_Inputs!D$60*D110</f>
        <v>0</v>
      </c>
      <c r="E150" s="1159">
        <f>MHDV_Inputs!E$60*E110</f>
        <v>0</v>
      </c>
      <c r="F150" s="128">
        <f>MHDV_Inputs!F$60*F110</f>
        <v>0.12091948884508727</v>
      </c>
    </row>
    <row r="151" spans="1:6">
      <c r="A151" s="172"/>
      <c r="B151" s="173" t="s">
        <v>2407</v>
      </c>
      <c r="C151" s="232">
        <f xml:space="preserve"> (MHDV_Inputs!C$54*C36)+(MHDV_Inputs!C$60*C113)+(MHDV_Inputs!C$61*C105)+(MHDV_Inputs!C$62*C12)</f>
        <v>2.9386988296304477E-2</v>
      </c>
      <c r="D151" s="1159">
        <f xml:space="preserve"> (MHDV_Inputs!D$54*D36)+(MHDV_Inputs!D$60*D113)+(MHDV_Inputs!D$61*D105)+(MHDV_Inputs!D$62*D12)</f>
        <v>2.9097285281345274E-2</v>
      </c>
      <c r="E151" s="1159">
        <f xml:space="preserve"> (MHDV_Inputs!E$54*E36)+(MHDV_Inputs!E$60*E113)+(MHDV_Inputs!E$61*E105)+(MHDV_Inputs!E$62*E12)</f>
        <v>3.515905668544967E-2</v>
      </c>
      <c r="F151" s="128">
        <f xml:space="preserve"> (MHDV_Inputs!F$54*F36)+(MHDV_Inputs!F$60*F113)+(MHDV_Inputs!F$61*F105)+(MHDV_Inputs!F$62*F12)</f>
        <v>2.7533192054076842E-2</v>
      </c>
    </row>
    <row r="152" spans="1:6">
      <c r="A152" s="172"/>
      <c r="B152" s="173" t="s">
        <v>2415</v>
      </c>
      <c r="C152" s="232">
        <f xml:space="preserve"> (MHDV_Inputs!C$54*C32)</f>
        <v>0</v>
      </c>
      <c r="D152" s="1159">
        <f xml:space="preserve"> (MHDV_Inputs!D$54*D32)</f>
        <v>0</v>
      </c>
      <c r="E152" s="1159">
        <f xml:space="preserve"> (MHDV_Inputs!E$54*E32)</f>
        <v>0</v>
      </c>
      <c r="F152" s="128">
        <f xml:space="preserve"> (MHDV_Inputs!F$54*F32)</f>
        <v>0</v>
      </c>
    </row>
    <row r="153" spans="1:6">
      <c r="A153" s="172"/>
      <c r="B153" s="173" t="s">
        <v>58</v>
      </c>
      <c r="C153" s="232">
        <f xml:space="preserve"> (MHDV_Inputs!C$54*C53)+(MHDV_Inputs!C$62*C13)</f>
        <v>1.7225620233522081E-2</v>
      </c>
      <c r="D153" s="1159">
        <f xml:space="preserve"> (MHDV_Inputs!D$54*D53)+(MHDV_Inputs!D$62*D13)</f>
        <v>1.7055806502837022E-2</v>
      </c>
      <c r="E153" s="1159">
        <f xml:space="preserve"> (MHDV_Inputs!E$54*E53)+(MHDV_Inputs!E$62*E13)</f>
        <v>2.0609003962090009E-2</v>
      </c>
      <c r="F153" s="128">
        <f xml:space="preserve"> (MHDV_Inputs!F$54*F53)+(MHDV_Inputs!F$62*F13)</f>
        <v>1.4525923828353049E-2</v>
      </c>
    </row>
    <row r="154" spans="1:6">
      <c r="A154" s="172"/>
      <c r="B154" s="173" t="s">
        <v>1409</v>
      </c>
      <c r="C154" s="232">
        <f xml:space="preserve"> (MHDV_Inputs!C$54*C31)+(MHDV_Inputs!C$62*C18)</f>
        <v>1.9656822570218632E-4</v>
      </c>
      <c r="D154" s="1159">
        <f xml:space="preserve"> (MHDV_Inputs!D$54*D31)+(MHDV_Inputs!D$62*D18)</f>
        <v>1.9450638088960482E-4</v>
      </c>
      <c r="E154" s="1159">
        <f xml:space="preserve"> (MHDV_Inputs!E$54*E31)+(MHDV_Inputs!E$62*E18)</f>
        <v>2.2152723066727237E-4</v>
      </c>
      <c r="F154" s="128">
        <f xml:space="preserve"> (MHDV_Inputs!F$54*F31)+(MHDV_Inputs!F$62*F18)</f>
        <v>1.558889724504063E-4</v>
      </c>
    </row>
    <row r="155" spans="1:6">
      <c r="A155" s="172"/>
      <c r="B155" s="173" t="s">
        <v>2420</v>
      </c>
      <c r="C155" s="232">
        <f xml:space="preserve"> (MHDV_Inputs!C$54*C44)+(MHDV_Inputs!C$61*C108)</f>
        <v>5.5142996496520434E-3</v>
      </c>
      <c r="D155" s="1159">
        <f xml:space="preserve"> (MHDV_Inputs!D$54*D44)+(MHDV_Inputs!D$61*D108)</f>
        <v>5.4599385420153849E-3</v>
      </c>
      <c r="E155" s="1159">
        <f xml:space="preserve"> (MHDV_Inputs!E$54*E44)+(MHDV_Inputs!E$61*E108)</f>
        <v>0</v>
      </c>
      <c r="F155" s="128">
        <f xml:space="preserve"> (MHDV_Inputs!F$54*F44)+(MHDV_Inputs!F$61*F108)</f>
        <v>2.2282461089389541E-5</v>
      </c>
    </row>
    <row r="156" spans="1:6">
      <c r="A156" s="172"/>
      <c r="B156" s="173" t="s">
        <v>293</v>
      </c>
      <c r="C156" s="232">
        <f xml:space="preserve"> (MHDV_Inputs!C$54*C45)</f>
        <v>0</v>
      </c>
      <c r="D156" s="1159">
        <f xml:space="preserve"> (MHDV_Inputs!D$54*D45)</f>
        <v>0</v>
      </c>
      <c r="E156" s="1159">
        <f xml:space="preserve"> (MHDV_Inputs!E$54*E45)</f>
        <v>0</v>
      </c>
      <c r="F156" s="128">
        <f xml:space="preserve"> (MHDV_Inputs!F$54*F45)</f>
        <v>1.1872184012427622E-3</v>
      </c>
    </row>
    <row r="157" spans="1:6">
      <c r="A157" s="172"/>
      <c r="B157" s="173" t="s">
        <v>2412</v>
      </c>
      <c r="C157" s="232">
        <f xml:space="preserve"> (MHDV_Inputs!C$62*C20)</f>
        <v>9.2452013516254036E-5</v>
      </c>
      <c r="D157" s="1159">
        <f xml:space="preserve"> (MHDV_Inputs!D$62*D20)</f>
        <v>9.1540602425581785E-5</v>
      </c>
      <c r="E157" s="1159">
        <f xml:space="preserve"> (MHDV_Inputs!E$62*E20)</f>
        <v>1.1061104837036671E-4</v>
      </c>
      <c r="F157" s="128">
        <f xml:space="preserve"> (MHDV_Inputs!F$62*F20)</f>
        <v>7.7837124673928767E-5</v>
      </c>
    </row>
    <row r="158" spans="1:6">
      <c r="A158" s="172"/>
      <c r="B158" s="173" t="s">
        <v>2426</v>
      </c>
      <c r="C158" s="232">
        <f xml:space="preserve"> (MHDV_Inputs!C$55*C65)+(MHDV_Inputs!C$56*C76)+(MHDV_Inputs!C$61*C106)</f>
        <v>3.3293319356423814E-5</v>
      </c>
      <c r="D158" s="1159">
        <f xml:space="preserve"> (MHDV_Inputs!D$55*D65)+(MHDV_Inputs!D$56*D76)+(MHDV_Inputs!D$61*D106)</f>
        <v>3.2965106921100243E-5</v>
      </c>
      <c r="E158" s="1159">
        <f xml:space="preserve"> (MHDV_Inputs!E$55*E65)+(MHDV_Inputs!E$56*E76)+(MHDV_Inputs!E$61*E106)</f>
        <v>3.9832652829091926E-5</v>
      </c>
      <c r="F158" s="128">
        <f xml:space="preserve"> (MHDV_Inputs!F$55*F65)+(MHDV_Inputs!F$56*F76)+(MHDV_Inputs!F$61*F106)</f>
        <v>2.8030284587574515E-5</v>
      </c>
    </row>
    <row r="159" spans="1:6">
      <c r="A159" s="172"/>
      <c r="B159" s="173" t="s">
        <v>2408</v>
      </c>
      <c r="C159" s="232">
        <f xml:space="preserve"> (MHDV_Inputs!C$62*C15)</f>
        <v>6.1917455039598663E-3</v>
      </c>
      <c r="D159" s="1159">
        <f xml:space="preserve"> (MHDV_Inputs!D$62*D15)</f>
        <v>6.1307059948318482E-3</v>
      </c>
      <c r="E159" s="1159">
        <f xml:space="preserve"> (MHDV_Inputs!E$62*E15)</f>
        <v>7.407902060619774E-3</v>
      </c>
      <c r="F159" s="128">
        <f xml:space="preserve"> (MHDV_Inputs!F$62*F15)</f>
        <v>5.2129493821811744E-3</v>
      </c>
    </row>
    <row r="160" spans="1:6">
      <c r="A160" s="172"/>
      <c r="B160" s="173" t="s">
        <v>2409</v>
      </c>
      <c r="C160" s="232">
        <f xml:space="preserve"> (MHDV_Inputs!C$62*C16)</f>
        <v>4.7986027655688964E-3</v>
      </c>
      <c r="D160" s="1159">
        <f xml:space="preserve"> (MHDV_Inputs!D$62*D16)</f>
        <v>4.7512971459946823E-3</v>
      </c>
      <c r="E160" s="2626">
        <f xml:space="preserve"> (MHDV_Inputs!E$62*E16)</f>
        <v>5.7411240969803242E-3</v>
      </c>
      <c r="F160" s="152">
        <f xml:space="preserve"> (MHDV_Inputs!F$62*F16)</f>
        <v>4.0400357711904101E-3</v>
      </c>
    </row>
    <row r="161" spans="1:8">
      <c r="A161" s="172"/>
      <c r="B161" s="173" t="s">
        <v>2410</v>
      </c>
      <c r="C161" s="232">
        <f xml:space="preserve"> (MHDV_Inputs!C$62*C17)</f>
        <v>3.1880004660777253E-3</v>
      </c>
      <c r="D161" s="1159">
        <f xml:space="preserve"> (MHDV_Inputs!D$62*D17)</f>
        <v>3.1565724974338548E-3</v>
      </c>
      <c r="E161" s="2626">
        <f xml:space="preserve"> (MHDV_Inputs!E$62*E17)</f>
        <v>3.8141740817367836E-3</v>
      </c>
      <c r="F161" s="152">
        <f xml:space="preserve"> (MHDV_Inputs!F$62*F17)</f>
        <v>2.6840387818596128E-3</v>
      </c>
    </row>
    <row r="162" spans="1:8">
      <c r="A162" s="172"/>
      <c r="B162" s="173" t="s">
        <v>2411</v>
      </c>
      <c r="C162" s="232">
        <f>(MHDV_Inputs!C$62*C19)</f>
        <v>1.8515906706979428E-4</v>
      </c>
      <c r="D162" s="1159">
        <f>(MHDV_Inputs!D$62*D19)</f>
        <v>1.8333373065095826E-4</v>
      </c>
      <c r="E162" s="2626">
        <f>(MHDV_Inputs!E$62*E19)</f>
        <v>2.2152723066727237E-4</v>
      </c>
      <c r="F162" s="152">
        <f>(MHDV_Inputs!F$62*F19)</f>
        <v>1.558889724504063E-4</v>
      </c>
    </row>
    <row r="163" spans="1:8">
      <c r="A163" s="172"/>
      <c r="B163" s="173" t="s">
        <v>2421</v>
      </c>
      <c r="C163" s="579">
        <f>(MHDV_Inputs!C$54*C46)</f>
        <v>0</v>
      </c>
      <c r="D163" s="1159">
        <f>(MHDV_Inputs!D$54*D46)</f>
        <v>0</v>
      </c>
      <c r="E163" s="2626">
        <f>(MHDV_Inputs!E$54*E46)</f>
        <v>0</v>
      </c>
      <c r="F163" s="152">
        <f>(MHDV_Inputs!F$54*F46)</f>
        <v>7.7812437678951424E-4</v>
      </c>
    </row>
    <row r="164" spans="1:8">
      <c r="A164" s="172"/>
      <c r="B164" s="173" t="s">
        <v>2428</v>
      </c>
      <c r="C164" s="579">
        <f xml:space="preserve"> (MHDV_Inputs!C$61*C100)</f>
        <v>0</v>
      </c>
      <c r="D164" s="2522">
        <f xml:space="preserve"> (MHDV_Inputs!D$61*D100)</f>
        <v>0</v>
      </c>
      <c r="E164" s="2626">
        <f xml:space="preserve"> (MHDV_Inputs!E$61*E100)</f>
        <v>0</v>
      </c>
      <c r="F164" s="152">
        <f xml:space="preserve"> (MHDV_Inputs!F$61*F100)</f>
        <v>0</v>
      </c>
    </row>
    <row r="165" spans="1:8">
      <c r="A165" s="172"/>
      <c r="B165" s="174" t="s">
        <v>294</v>
      </c>
      <c r="C165" s="239">
        <f xml:space="preserve"> (MHDV_Inputs!C$54*C54)+(MHDV_Inputs!C$57*C81)+(MHDV_Inputs!C$58*C86)+(MHDV_Inputs!C$59*C93)+(MHDV_Inputs!C$60*C118)</f>
        <v>0</v>
      </c>
      <c r="D165" s="129">
        <f xml:space="preserve"> (MHDV_Inputs!D$54*D54)+(MHDV_Inputs!D$57*D81)+(MHDV_Inputs!D$58*D86)+(MHDV_Inputs!D$59*D93)+(MHDV_Inputs!D$60*D118)</f>
        <v>1.3629973517279459E-4</v>
      </c>
      <c r="E165" s="153">
        <f xml:space="preserve"> (MHDV_Inputs!E$54*E54)+(MHDV_Inputs!E$57*E81)+(MHDV_Inputs!E$58*E86)+(MHDV_Inputs!E$59*E93)+(MHDV_Inputs!E$60*E118)</f>
        <v>5.603201809032518E-4</v>
      </c>
      <c r="F165" s="154">
        <f xml:space="preserve"> (MHDV_Inputs!F$54*F54)+(MHDV_Inputs!F$57*F81)+(MHDV_Inputs!F$58*F86)+(MHDV_Inputs!F$59*F93)+(MHDV_Inputs!F$60*F118)</f>
        <v>5.2389206866321084E-4</v>
      </c>
    </row>
    <row r="166" spans="1:8">
      <c r="A166" s="172"/>
      <c r="E166" s="8"/>
      <c r="F166" s="8"/>
    </row>
    <row r="167" spans="1:8">
      <c r="A167" s="172" t="s">
        <v>295</v>
      </c>
    </row>
    <row r="168" spans="1:8">
      <c r="B168" s="1625" t="s">
        <v>61</v>
      </c>
      <c r="C168" s="1626" t="s">
        <v>38</v>
      </c>
    </row>
    <row r="169" spans="1:8">
      <c r="B169" s="166">
        <v>0.66700000000000004</v>
      </c>
      <c r="C169" s="130">
        <f>1-B169</f>
        <v>0.33299999999999996</v>
      </c>
    </row>
    <row r="170" spans="1:8">
      <c r="A170" s="172"/>
    </row>
    <row r="171" spans="1:8">
      <c r="A171" s="172" t="s">
        <v>2434</v>
      </c>
    </row>
    <row r="172" spans="1:8">
      <c r="A172" s="172"/>
      <c r="B172" s="1892"/>
      <c r="C172" s="1926" t="s">
        <v>203</v>
      </c>
      <c r="D172" s="1927" t="s">
        <v>194</v>
      </c>
      <c r="E172" s="1927" t="s">
        <v>167</v>
      </c>
      <c r="F172" s="1928" t="s">
        <v>198</v>
      </c>
    </row>
    <row r="173" spans="1:8">
      <c r="A173" s="172"/>
      <c r="B173" s="178" t="s">
        <v>2359</v>
      </c>
      <c r="C173" s="80"/>
      <c r="D173" s="131"/>
      <c r="E173" s="131"/>
      <c r="F173" s="50"/>
    </row>
    <row r="174" spans="1:8">
      <c r="A174" s="172"/>
      <c r="B174" s="1949" t="s">
        <v>38</v>
      </c>
      <c r="C174" s="1021">
        <f xml:space="preserve"> IF(MHDV_Inputs!$B$3=1,'Class 6 PnD Trucks'!C299,IF(MHDV_Inputs!$B$3=2,'Class 8 Day-cab Trucks'!C299,'Class 8 Sleeper-cab Trucks'!C299))</f>
        <v>0.7</v>
      </c>
      <c r="D174" s="302">
        <f xml:space="preserve"> IF(MHDV_Inputs!$B$3=1,'Class 6 PnD Trucks'!D299,IF(MHDV_Inputs!$B$3=2,'Class 8 Day-cab Trucks'!D299,'Class 8 Sleeper-cab Trucks'!D299))</f>
        <v>0.7</v>
      </c>
      <c r="E174" s="302">
        <f xml:space="preserve"> IF(MHDV_Inputs!$B$3=1,'Class 6 PnD Trucks'!E299,IF(MHDV_Inputs!$B$3=2,'Class 8 Day-cab Trucks'!E299,'Class 8 Sleeper-cab Trucks'!E299))</f>
        <v>0.7</v>
      </c>
      <c r="F174" s="593">
        <f xml:space="preserve"> IF(MHDV_Inputs!$B$3=1,'Class 6 PnD Trucks'!F299,IF(MHDV_Inputs!$B$3=2,'Class 8 Day-cab Trucks'!F299,'Class 8 Sleeper-cab Trucks'!F299))</f>
        <v>0.7</v>
      </c>
      <c r="H174" s="1952"/>
    </row>
    <row r="175" spans="1:8">
      <c r="A175" s="172"/>
      <c r="B175" s="1949" t="s">
        <v>61</v>
      </c>
      <c r="C175" s="1021">
        <f xml:space="preserve"> IF(MHDV_Inputs!$B$3=1,'Class 6 PnD Trucks'!C300,IF(MHDV_Inputs!$B$3=2,'Class 8 Day-cab Trucks'!C300,'Class 8 Sleeper-cab Trucks'!C300))</f>
        <v>0.25</v>
      </c>
      <c r="D175" s="302">
        <f xml:space="preserve"> IF(MHDV_Inputs!$B$3=1,'Class 6 PnD Trucks'!D300,IF(MHDV_Inputs!$B$3=2,'Class 8 Day-cab Trucks'!D300,'Class 8 Sleeper-cab Trucks'!D300))</f>
        <v>0.25</v>
      </c>
      <c r="E175" s="302">
        <f xml:space="preserve"> IF(MHDV_Inputs!$B$3=1,'Class 6 PnD Trucks'!E300,IF(MHDV_Inputs!$B$3=2,'Class 8 Day-cab Trucks'!E300,'Class 8 Sleeper-cab Trucks'!E300))</f>
        <v>0.25</v>
      </c>
      <c r="F175" s="593">
        <f xml:space="preserve"> IF(MHDV_Inputs!$B$3=1,'Class 6 PnD Trucks'!F300,IF(MHDV_Inputs!$B$3=2,'Class 8 Day-cab Trucks'!F300,'Class 8 Sleeper-cab Trucks'!F300))</f>
        <v>0.25</v>
      </c>
      <c r="H175" s="1952"/>
    </row>
    <row r="176" spans="1:8">
      <c r="A176" s="172"/>
      <c r="B176" s="1950" t="s">
        <v>60</v>
      </c>
      <c r="C176" s="1021">
        <f xml:space="preserve"> IF(MHDV_Inputs!$B$3=1,'Class 6 PnD Trucks'!C301,IF(MHDV_Inputs!$B$3=2,'Class 8 Day-cab Trucks'!C301,'Class 8 Sleeper-cab Trucks'!C301))</f>
        <v>4.9999999999999996E-2</v>
      </c>
      <c r="D176" s="302">
        <f xml:space="preserve"> IF(MHDV_Inputs!$B$3=1,'Class 6 PnD Trucks'!D301,IF(MHDV_Inputs!$B$3=2,'Class 8 Day-cab Trucks'!D301,'Class 8 Sleeper-cab Trucks'!D301))</f>
        <v>4.9999999999999996E-2</v>
      </c>
      <c r="E176" s="302">
        <f xml:space="preserve"> IF(MHDV_Inputs!$B$3=1,'Class 6 PnD Trucks'!E301,IF(MHDV_Inputs!$B$3=2,'Class 8 Day-cab Trucks'!E301,'Class 8 Sleeper-cab Trucks'!E301))</f>
        <v>4.9999999999999996E-2</v>
      </c>
      <c r="F176" s="593">
        <f xml:space="preserve"> IF(MHDV_Inputs!$B$3=1,'Class 6 PnD Trucks'!F301,IF(MHDV_Inputs!$B$3=2,'Class 8 Day-cab Trucks'!F301,'Class 8 Sleeper-cab Trucks'!F301))</f>
        <v>4.9999999999999996E-2</v>
      </c>
      <c r="H176" s="1952"/>
    </row>
    <row r="177" spans="1:24">
      <c r="A177" s="172"/>
      <c r="B177" s="1953" t="s">
        <v>2360</v>
      </c>
      <c r="C177" s="1419"/>
      <c r="D177" s="1420"/>
      <c r="E177" s="1420"/>
      <c r="F177" s="1954"/>
    </row>
    <row r="178" spans="1:24">
      <c r="A178" s="172"/>
      <c r="B178" s="1949" t="s">
        <v>38</v>
      </c>
      <c r="C178" s="1021">
        <f xml:space="preserve"> IF(MHDV_Inputs!$B$3=1,'Class 6 PnD Trucks'!C303,IF(MHDV_Inputs!$B$3=2,'Class 8 Day-cab Trucks'!C303,'Class 8 Sleeper-cab Trucks'!C303))</f>
        <v>0.9</v>
      </c>
      <c r="D178" s="302">
        <f xml:space="preserve"> IF(MHDV_Inputs!$B$3=1,'Class 6 PnD Trucks'!D303,IF(MHDV_Inputs!$B$3=2,'Class 8 Day-cab Trucks'!D303,'Class 8 Sleeper-cab Trucks'!D303))</f>
        <v>0.9</v>
      </c>
      <c r="E178" s="302">
        <f xml:space="preserve"> IF(MHDV_Inputs!$B$3=1,'Class 6 PnD Trucks'!E303,IF(MHDV_Inputs!$B$3=2,'Class 8 Day-cab Trucks'!E303,'Class 8 Sleeper-cab Trucks'!E303))</f>
        <v>0</v>
      </c>
      <c r="F178" s="593">
        <f xml:space="preserve"> IF(MHDV_Inputs!$B$3=1,'Class 6 PnD Trucks'!F303,IF(MHDV_Inputs!$B$3=2,'Class 8 Day-cab Trucks'!F303,'Class 8 Sleeper-cab Trucks'!F303))</f>
        <v>0</v>
      </c>
      <c r="H178" s="1952"/>
    </row>
    <row r="179" spans="1:24">
      <c r="A179" s="172"/>
      <c r="B179" s="1949" t="s">
        <v>2421</v>
      </c>
      <c r="C179" s="1021">
        <f xml:space="preserve"> IF(MHDV_Inputs!$B$3=1,'Class 6 PnD Trucks'!C304,IF(MHDV_Inputs!$B$3=2,'Class 8 Day-cab Trucks'!C304,'Class 8 Sleeper-cab Trucks'!C304))</f>
        <v>0.05</v>
      </c>
      <c r="D179" s="302">
        <f xml:space="preserve"> IF(MHDV_Inputs!$B$3=1,'Class 6 PnD Trucks'!D304,IF(MHDV_Inputs!$B$3=2,'Class 8 Day-cab Trucks'!D304,'Class 8 Sleeper-cab Trucks'!D304))</f>
        <v>0.05</v>
      </c>
      <c r="E179" s="302">
        <f xml:space="preserve"> IF(MHDV_Inputs!$B$3=1,'Class 6 PnD Trucks'!E304,IF(MHDV_Inputs!$B$3=2,'Class 8 Day-cab Trucks'!E304,'Class 8 Sleeper-cab Trucks'!E304))</f>
        <v>0</v>
      </c>
      <c r="F179" s="593">
        <f xml:space="preserve"> IF(MHDV_Inputs!$B$3=1,'Class 6 PnD Trucks'!F304,IF(MHDV_Inputs!$B$3=2,'Class 8 Day-cab Trucks'!F304,'Class 8 Sleeper-cab Trucks'!F304))</f>
        <v>0</v>
      </c>
      <c r="H179" s="1952"/>
    </row>
    <row r="180" spans="1:24">
      <c r="A180" s="172"/>
      <c r="B180" s="1950" t="s">
        <v>61</v>
      </c>
      <c r="C180" s="1019">
        <f xml:space="preserve"> IF(MHDV_Inputs!$B$3=1,'Class 6 PnD Trucks'!C305,IF(MHDV_Inputs!$B$3=2,'Class 8 Day-cab Trucks'!C305,'Class 8 Sleeper-cab Trucks'!C305))</f>
        <v>0.05</v>
      </c>
      <c r="D180" s="1020">
        <f xml:space="preserve"> IF(MHDV_Inputs!$B$3=1,'Class 6 PnD Trucks'!D305,IF(MHDV_Inputs!$B$3=2,'Class 8 Day-cab Trucks'!D305,'Class 8 Sleeper-cab Trucks'!D305))</f>
        <v>0.05</v>
      </c>
      <c r="E180" s="1020">
        <f xml:space="preserve"> IF(MHDV_Inputs!$B$3=1,'Class 6 PnD Trucks'!E305,IF(MHDV_Inputs!$B$3=2,'Class 8 Day-cab Trucks'!E305,'Class 8 Sleeper-cab Trucks'!E305))</f>
        <v>0</v>
      </c>
      <c r="F180" s="210">
        <f xml:space="preserve"> IF(MHDV_Inputs!$B$3=1,'Class 6 PnD Trucks'!F305,IF(MHDV_Inputs!$B$3=2,'Class 8 Day-cab Trucks'!F305,'Class 8 Sleeper-cab Trucks'!F305))</f>
        <v>0</v>
      </c>
      <c r="H180" s="1952"/>
    </row>
    <row r="181" spans="1:24">
      <c r="A181" s="172"/>
    </row>
    <row r="182" spans="1:24" ht="15">
      <c r="A182" s="120" t="s">
        <v>296</v>
      </c>
    </row>
    <row r="183" spans="1:24">
      <c r="B183" s="80"/>
      <c r="C183" s="175" t="s">
        <v>203</v>
      </c>
      <c r="D183" s="175" t="s">
        <v>194</v>
      </c>
      <c r="E183" s="175" t="s">
        <v>167</v>
      </c>
      <c r="F183" s="176" t="s">
        <v>198</v>
      </c>
      <c r="G183" s="1859"/>
      <c r="H183" s="1859"/>
      <c r="I183" s="1859"/>
      <c r="J183" s="1859"/>
      <c r="K183" s="1859"/>
      <c r="L183" s="1859"/>
    </row>
    <row r="184" spans="1:24">
      <c r="B184" s="178" t="s">
        <v>153</v>
      </c>
      <c r="C184" s="1306"/>
      <c r="D184" s="181"/>
      <c r="E184" s="181"/>
      <c r="F184" s="182"/>
      <c r="G184" s="302"/>
      <c r="H184" s="302"/>
      <c r="I184" s="302"/>
      <c r="J184" s="302"/>
      <c r="K184" s="302"/>
      <c r="L184" s="302"/>
    </row>
    <row r="185" spans="1:24">
      <c r="B185" s="173" t="s">
        <v>297</v>
      </c>
      <c r="C185" s="1955">
        <v>6.0999999999999999E-2</v>
      </c>
      <c r="D185" s="187">
        <v>6.0999999999999999E-2</v>
      </c>
      <c r="E185" s="187">
        <v>6.0999999999999999E-2</v>
      </c>
      <c r="F185" s="188">
        <v>6.0999999999999999E-2</v>
      </c>
      <c r="G185" s="302"/>
      <c r="H185" s="302"/>
      <c r="I185" s="302"/>
      <c r="J185" s="302"/>
      <c r="K185" s="302"/>
      <c r="L185" s="302"/>
    </row>
    <row r="186" spans="1:24">
      <c r="B186" s="173" t="s">
        <v>298</v>
      </c>
      <c r="C186" s="1955">
        <v>0.69</v>
      </c>
      <c r="D186" s="187">
        <v>0.69</v>
      </c>
      <c r="E186" s="187">
        <v>0.69</v>
      </c>
      <c r="F186" s="188">
        <v>0.69</v>
      </c>
      <c r="G186" s="302"/>
      <c r="H186" s="302"/>
      <c r="I186" s="302"/>
      <c r="J186" s="302"/>
      <c r="K186" s="302"/>
      <c r="L186" s="302"/>
    </row>
    <row r="187" spans="1:24">
      <c r="B187" s="173" t="s">
        <v>299</v>
      </c>
      <c r="C187" s="1955">
        <v>7.9000000000000001E-2</v>
      </c>
      <c r="D187" s="187">
        <v>7.9000000000000001E-2</v>
      </c>
      <c r="E187" s="187">
        <v>7.9000000000000001E-2</v>
      </c>
      <c r="F187" s="188">
        <v>7.9000000000000001E-2</v>
      </c>
      <c r="G187" s="302"/>
      <c r="H187" s="302"/>
      <c r="I187" s="302"/>
      <c r="J187" s="302"/>
      <c r="K187" s="302"/>
      <c r="L187" s="302"/>
    </row>
    <row r="188" spans="1:24">
      <c r="B188" s="173" t="s">
        <v>300</v>
      </c>
      <c r="C188" s="1955">
        <v>2.1000000000000001E-2</v>
      </c>
      <c r="D188" s="187">
        <v>2.1000000000000001E-2</v>
      </c>
      <c r="E188" s="187">
        <v>2.1000000000000001E-2</v>
      </c>
      <c r="F188" s="188">
        <v>2.1000000000000001E-2</v>
      </c>
      <c r="G188" s="302"/>
      <c r="H188" s="302"/>
      <c r="I188" s="302"/>
      <c r="J188" s="302"/>
      <c r="K188" s="302"/>
      <c r="L188" s="302"/>
    </row>
    <row r="189" spans="1:24">
      <c r="B189" s="173" t="s">
        <v>301</v>
      </c>
      <c r="C189" s="1955">
        <v>0.14099999999999999</v>
      </c>
      <c r="D189" s="187">
        <v>0.14099999999999999</v>
      </c>
      <c r="E189" s="187">
        <v>0.14099999999999999</v>
      </c>
      <c r="F189" s="188">
        <v>0.14099999999999999</v>
      </c>
      <c r="G189" s="302"/>
      <c r="H189" s="302"/>
      <c r="I189" s="302"/>
      <c r="J189" s="302"/>
      <c r="K189" s="302"/>
      <c r="L189" s="302"/>
    </row>
    <row r="190" spans="1:24">
      <c r="B190" s="174" t="s">
        <v>262</v>
      </c>
      <c r="C190" s="193">
        <f t="shared" ref="C190:F190" si="0">1-SUM(C185:C189)</f>
        <v>8.0000000000001181E-3</v>
      </c>
      <c r="D190" s="185">
        <f t="shared" si="0"/>
        <v>8.0000000000001181E-3</v>
      </c>
      <c r="E190" s="185">
        <f t="shared" si="0"/>
        <v>8.0000000000001181E-3</v>
      </c>
      <c r="F190" s="186">
        <f t="shared" si="0"/>
        <v>8.0000000000001181E-3</v>
      </c>
      <c r="G190" s="302"/>
      <c r="H190" s="302"/>
      <c r="I190" s="302"/>
      <c r="J190" s="302"/>
      <c r="K190" s="302"/>
      <c r="L190" s="302"/>
    </row>
    <row r="191" spans="1:24">
      <c r="A191" s="172"/>
      <c r="B191" s="178" t="s">
        <v>155</v>
      </c>
      <c r="C191" s="1306"/>
      <c r="D191" s="181"/>
      <c r="E191" s="181"/>
      <c r="F191" s="182"/>
      <c r="G191" s="181"/>
      <c r="H191" s="181"/>
      <c r="I191" s="181"/>
      <c r="J191" s="181"/>
      <c r="K191" s="181"/>
      <c r="L191" s="182"/>
      <c r="M191" s="3149" t="s">
        <v>2435</v>
      </c>
      <c r="N191" s="3150"/>
      <c r="O191" s="3150"/>
      <c r="P191" s="3150"/>
      <c r="Q191" s="3150"/>
      <c r="R191" s="3150"/>
      <c r="S191" s="3150"/>
      <c r="T191" s="3150"/>
      <c r="U191" s="3150"/>
      <c r="V191" s="3150"/>
      <c r="W191" s="3150"/>
      <c r="X191" s="3150"/>
    </row>
    <row r="192" spans="1:24">
      <c r="A192" s="172"/>
      <c r="B192" s="177"/>
      <c r="C192" s="212"/>
      <c r="D192" s="183"/>
      <c r="E192" s="183"/>
      <c r="F192" s="184"/>
      <c r="G192" s="183"/>
      <c r="H192" s="183"/>
      <c r="I192" s="183"/>
      <c r="J192" s="183"/>
      <c r="K192" s="183"/>
      <c r="L192" s="183"/>
      <c r="M192" s="3143" t="s">
        <v>194</v>
      </c>
      <c r="N192" s="3151"/>
      <c r="O192" s="3151"/>
      <c r="P192" s="3144"/>
      <c r="Q192" s="3143" t="s">
        <v>167</v>
      </c>
      <c r="R192" s="3151"/>
      <c r="S192" s="3151"/>
      <c r="T192" s="3144"/>
      <c r="U192" s="3143" t="s">
        <v>198</v>
      </c>
      <c r="V192" s="3151"/>
      <c r="W192" s="3151"/>
      <c r="X192" s="3144"/>
    </row>
    <row r="193" spans="1:30">
      <c r="A193" s="172"/>
      <c r="B193" s="177"/>
      <c r="C193" s="212"/>
      <c r="D193" s="183"/>
      <c r="E193" s="183"/>
      <c r="F193" s="184"/>
      <c r="G193" s="183"/>
      <c r="H193" s="302"/>
      <c r="I193" s="302"/>
      <c r="J193" s="302"/>
      <c r="K193" s="302"/>
      <c r="L193" s="183"/>
      <c r="M193" s="173" t="s">
        <v>222</v>
      </c>
      <c r="N193" s="1321" t="s">
        <v>221</v>
      </c>
      <c r="O193" s="1321" t="s">
        <v>213</v>
      </c>
      <c r="P193" s="51" t="s">
        <v>226</v>
      </c>
      <c r="Q193" s="173" t="s">
        <v>222</v>
      </c>
      <c r="R193" s="1321" t="s">
        <v>221</v>
      </c>
      <c r="S193" s="1321" t="s">
        <v>213</v>
      </c>
      <c r="T193" s="51" t="s">
        <v>226</v>
      </c>
      <c r="U193" s="173" t="s">
        <v>222</v>
      </c>
      <c r="V193" s="1321" t="s">
        <v>221</v>
      </c>
      <c r="W193" s="1321" t="s">
        <v>213</v>
      </c>
      <c r="X193" s="51" t="s">
        <v>226</v>
      </c>
    </row>
    <row r="194" spans="1:30">
      <c r="A194" s="172"/>
      <c r="B194" s="173" t="s">
        <v>309</v>
      </c>
      <c r="C194" s="212"/>
      <c r="D194" s="302">
        <f xml:space="preserve"> IF(MHDV_Inputs!$C$98=1,M194,IF(MHDV_Inputs!$C$98=2,N194,IF(MHDV_Inputs!$C$98=3,O194,P194)))</f>
        <v>0.1332910555847352</v>
      </c>
      <c r="E194" s="302">
        <f xml:space="preserve"> IF(MHDV_Inputs!$C$99=1,Q194,IF(MHDV_Inputs!$C$99=2,R194,IF(MHDV_Inputs!$C$99=3,S194,T194)))</f>
        <v>0.31226036630957898</v>
      </c>
      <c r="F194" s="593">
        <f xml:space="preserve"> IF(MHDV_Inputs!$C$100=1,U194,IF(MHDV_Inputs!$C$100=2,V194,IF(MHDV_Inputs!$C$100=3,W194,X194)))</f>
        <v>0.14481866315074726</v>
      </c>
      <c r="G194" s="302"/>
      <c r="H194" s="302"/>
      <c r="I194" s="302"/>
      <c r="J194" s="302"/>
      <c r="K194" s="302"/>
      <c r="L194" s="302"/>
      <c r="M194" s="556">
        <f xml:space="preserve"> IF(MHDV_Inputs!$B$3=1,'Class 6 PnD Trucks'!C315,IF(MHDV_Inputs!$B$3=2,'Class 8 Day-cab Trucks'!C315,'Class 8 Sleeper-cab Trucks'!C315))</f>
        <v>0.12539498214770628</v>
      </c>
      <c r="N194" s="179">
        <f xml:space="preserve"> IF(MHDV_Inputs!$B$3=1,'Class 6 PnD Trucks'!D315,IF(MHDV_Inputs!$B$3=2,'Class 8 Day-cab Trucks'!D315,'Class 8 Sleeper-cab Trucks'!D315))</f>
        <v>0.1332910555847352</v>
      </c>
      <c r="O194" s="179">
        <f xml:space="preserve"> IF(MHDV_Inputs!$B$3=1,'Class 6 PnD Trucks'!E315,IF(MHDV_Inputs!$B$3=2,'Class 8 Day-cab Trucks'!E315,'Class 8 Sleeper-cab Trucks'!E315))</f>
        <v>0.14647432218891779</v>
      </c>
      <c r="P194" s="180">
        <f xml:space="preserve"> IF(MHDV_Inputs!$B$3=1,'Class 6 PnD Trucks'!F315,IF(MHDV_Inputs!$B$3=2,'Class 8 Day-cab Trucks'!F315,'Class 8 Sleeper-cab Trucks'!F315))</f>
        <v>0.1493233693086739</v>
      </c>
      <c r="Q194" s="556">
        <f xml:space="preserve"> IF(MHDV_Inputs!$B$3=1,'Class 6 PnD Trucks'!G315,IF(MHDV_Inputs!$B$3=2,'Class 8 Day-cab Trucks'!G315,'Class 8 Sleeper-cab Trucks'!G315))</f>
        <v>0.28173882951943602</v>
      </c>
      <c r="R194" s="179">
        <f xml:space="preserve"> IF(MHDV_Inputs!$B$3=1,'Class 6 PnD Trucks'!H315,IF(MHDV_Inputs!$B$3=2,'Class 8 Day-cab Trucks'!H315,'Class 8 Sleeper-cab Trucks'!H315))</f>
        <v>0.31226036630957898</v>
      </c>
      <c r="S194" s="179">
        <f xml:space="preserve"> IF(MHDV_Inputs!$B$3=1,'Class 6 PnD Trucks'!I315,IF(MHDV_Inputs!$B$3=2,'Class 8 Day-cab Trucks'!I315,'Class 8 Sleeper-cab Trucks'!I315))</f>
        <v>0.33440534777115971</v>
      </c>
      <c r="T194" s="180">
        <f xml:space="preserve"> IF(MHDV_Inputs!$B$3=1,'Class 6 PnD Trucks'!J315,IF(MHDV_Inputs!$B$3=2,'Class 8 Day-cab Trucks'!J315,'Class 8 Sleeper-cab Trucks'!J315))</f>
        <v>0</v>
      </c>
      <c r="U194" s="556">
        <f xml:space="preserve"> IF(MHDV_Inputs!$B$3=1,'Class 6 PnD Trucks'!K315,IF(MHDV_Inputs!$B$3=2,'Class 8 Day-cab Trucks'!K315,'Class 8 Sleeper-cab Trucks'!K315))</f>
        <v>0.12872134636727853</v>
      </c>
      <c r="V194" s="179">
        <f xml:space="preserve"> IF(MHDV_Inputs!$B$3=1,'Class 6 PnD Trucks'!L315,IF(MHDV_Inputs!$B$3=2,'Class 8 Day-cab Trucks'!L315,'Class 8 Sleeper-cab Trucks'!L315))</f>
        <v>0.14481866315074726</v>
      </c>
      <c r="W194" s="179">
        <f xml:space="preserve"> IF(MHDV_Inputs!$B$3=1,'Class 6 PnD Trucks'!M315,IF(MHDV_Inputs!$B$3=2,'Class 8 Day-cab Trucks'!M315,'Class 8 Sleeper-cab Trucks'!M315))</f>
        <v>0.15935631115067267</v>
      </c>
      <c r="X194" s="180">
        <f xml:space="preserve"> IF(MHDV_Inputs!$B$3=1,'Class 6 PnD Trucks'!N315,IF(MHDV_Inputs!$B$3=2,'Class 8 Day-cab Trucks'!N315,'Class 8 Sleeper-cab Trucks'!N315))</f>
        <v>0.16232632911961928</v>
      </c>
      <c r="Y194" s="1159"/>
      <c r="Z194" s="1159"/>
      <c r="AA194" s="1159"/>
      <c r="AB194" s="1159"/>
      <c r="AC194" s="1159"/>
      <c r="AD194" s="1159"/>
    </row>
    <row r="195" spans="1:30">
      <c r="A195" s="172"/>
      <c r="B195" s="173" t="s">
        <v>310</v>
      </c>
      <c r="C195" s="212"/>
      <c r="D195" s="302">
        <f xml:space="preserve"> IF(MHDV_Inputs!$C$98=1,M195,IF(MHDV_Inputs!$C$98=2,N195,IF(MHDV_Inputs!$C$98=3,O195,P195)))</f>
        <v>8.3059555087098461E-2</v>
      </c>
      <c r="E195" s="302">
        <f xml:space="preserve"> IF(MHDV_Inputs!$C$99=1,Q195,IF(MHDV_Inputs!$C$99=2,R195,IF(MHDV_Inputs!$C$99=3,S195,T195)))</f>
        <v>0.18325151585647909</v>
      </c>
      <c r="F195" s="593">
        <f xml:space="preserve"> IF(MHDV_Inputs!$C$100=1,U195,IF(MHDV_Inputs!$C$100=2,V195,IF(MHDV_Inputs!$C$100=3,W195,X195)))</f>
        <v>8.9367660538818061E-2</v>
      </c>
      <c r="G195" s="302"/>
      <c r="H195" s="302"/>
      <c r="I195" s="302"/>
      <c r="J195" s="302"/>
      <c r="K195" s="302"/>
      <c r="L195" s="302"/>
      <c r="M195" s="232">
        <f xml:space="preserve"> IF(MHDV_Inputs!$B$3=1,'Class 6 PnD Trucks'!C316,IF(MHDV_Inputs!$B$3=2,'Class 8 Day-cab Trucks'!C316,'Class 8 Sleeper-cab Trucks'!C316))</f>
        <v>9.1841363833336867E-2</v>
      </c>
      <c r="N195" s="1159">
        <f xml:space="preserve"> IF(MHDV_Inputs!$B$3=1,'Class 6 PnD Trucks'!D316,IF(MHDV_Inputs!$B$3=2,'Class 8 Day-cab Trucks'!D316,'Class 8 Sleeper-cab Trucks'!D316))</f>
        <v>8.3059555087098461E-2</v>
      </c>
      <c r="O195" s="1159">
        <f xml:space="preserve"> IF(MHDV_Inputs!$B$3=1,'Class 6 PnD Trucks'!E316,IF(MHDV_Inputs!$B$3=2,'Class 8 Day-cab Trucks'!E316,'Class 8 Sleeper-cab Trucks'!E316))</f>
        <v>8.1782689091287469E-2</v>
      </c>
      <c r="P195" s="128">
        <f xml:space="preserve"> IF(MHDV_Inputs!$B$3=1,'Class 6 PnD Trucks'!F316,IF(MHDV_Inputs!$B$3=2,'Class 8 Day-cab Trucks'!F316,'Class 8 Sleeper-cab Trucks'!F316))</f>
        <v>8.0308469868178828E-2</v>
      </c>
      <c r="Q195" s="232">
        <f xml:space="preserve"> IF(MHDV_Inputs!$B$3=1,'Class 6 PnD Trucks'!G316,IF(MHDV_Inputs!$B$3=2,'Class 8 Day-cab Trucks'!G316,'Class 8 Sleeper-cab Trucks'!G316))</f>
        <v>0.19385152815120069</v>
      </c>
      <c r="R195" s="1159">
        <f xml:space="preserve"> IF(MHDV_Inputs!$B$3=1,'Class 6 PnD Trucks'!H316,IF(MHDV_Inputs!$B$3=2,'Class 8 Day-cab Trucks'!H316,'Class 8 Sleeper-cab Trucks'!H316))</f>
        <v>0.18325151585647909</v>
      </c>
      <c r="S195" s="1159">
        <f xml:space="preserve"> IF(MHDV_Inputs!$B$3=1,'Class 6 PnD Trucks'!I316,IF(MHDV_Inputs!$B$3=2,'Class 8 Day-cab Trucks'!I316,'Class 8 Sleeper-cab Trucks'!I316))</f>
        <v>0.17612155805767016</v>
      </c>
      <c r="T195" s="128">
        <f xml:space="preserve"> IF(MHDV_Inputs!$B$3=1,'Class 6 PnD Trucks'!J316,IF(MHDV_Inputs!$B$3=2,'Class 8 Day-cab Trucks'!J316,'Class 8 Sleeper-cab Trucks'!J316))</f>
        <v>0</v>
      </c>
      <c r="U195" s="232">
        <f xml:space="preserve"> IF(MHDV_Inputs!$B$3=1,'Class 6 PnD Trucks'!K316,IF(MHDV_Inputs!$B$3=2,'Class 8 Day-cab Trucks'!K316,'Class 8 Sleeper-cab Trucks'!K316))</f>
        <v>9.3324723214004021E-2</v>
      </c>
      <c r="V195" s="1159">
        <f xml:space="preserve"> IF(MHDV_Inputs!$B$3=1,'Class 6 PnD Trucks'!L316,IF(MHDV_Inputs!$B$3=2,'Class 8 Day-cab Trucks'!L316,'Class 8 Sleeper-cab Trucks'!L316))</f>
        <v>8.9367660538818061E-2</v>
      </c>
      <c r="W195" s="1159">
        <f xml:space="preserve"> IF(MHDV_Inputs!$B$3=1,'Class 6 PnD Trucks'!M316,IF(MHDV_Inputs!$B$3=2,'Class 8 Day-cab Trucks'!M316,'Class 8 Sleeper-cab Trucks'!M316))</f>
        <v>8.8077993067301755E-2</v>
      </c>
      <c r="X195" s="128">
        <f xml:space="preserve"> IF(MHDV_Inputs!$B$3=1,'Class 6 PnD Trucks'!N316,IF(MHDV_Inputs!$B$3=2,'Class 8 Day-cab Trucks'!N316,'Class 8 Sleeper-cab Trucks'!N316))</f>
        <v>8.6435239333275155E-2</v>
      </c>
      <c r="Y195" s="1159"/>
      <c r="Z195" s="1159"/>
      <c r="AA195" s="1159"/>
      <c r="AB195" s="1159"/>
      <c r="AC195" s="1159"/>
      <c r="AD195" s="1159"/>
    </row>
    <row r="196" spans="1:30">
      <c r="A196" s="172"/>
      <c r="B196" s="173" t="s">
        <v>273</v>
      </c>
      <c r="C196" s="212"/>
      <c r="D196" s="302">
        <f xml:space="preserve"> IF(MHDV_Inputs!$C$98=1,M196,IF(MHDV_Inputs!$C$98=2,N196,IF(MHDV_Inputs!$C$98=3,O196,P196)))</f>
        <v>0</v>
      </c>
      <c r="E196" s="302">
        <f xml:space="preserve"> IF(MHDV_Inputs!$C$99=1,Q196,IF(MHDV_Inputs!$C$99=2,R196,IF(MHDV_Inputs!$C$99=3,S196,T196)))</f>
        <v>0</v>
      </c>
      <c r="F196" s="593">
        <f xml:space="preserve"> IF(MHDV_Inputs!$C$100=1,U196,IF(MHDV_Inputs!$C$100=2,V196,IF(MHDV_Inputs!$C$100=3,W196,X196)))</f>
        <v>0</v>
      </c>
      <c r="G196" s="302"/>
      <c r="H196" s="302"/>
      <c r="I196" s="302"/>
      <c r="J196" s="302"/>
      <c r="K196" s="302"/>
      <c r="L196" s="302"/>
      <c r="M196" s="232">
        <f xml:space="preserve"> IF(MHDV_Inputs!$B$3=1,'Class 6 PnD Trucks'!C317,IF(MHDV_Inputs!$B$3=2,'Class 8 Day-cab Trucks'!C317,'Class 8 Sleeper-cab Trucks'!C317))</f>
        <v>0</v>
      </c>
      <c r="N196" s="1159">
        <f xml:space="preserve"> IF(MHDV_Inputs!$B$3=1,'Class 6 PnD Trucks'!D317,IF(MHDV_Inputs!$B$3=2,'Class 8 Day-cab Trucks'!D317,'Class 8 Sleeper-cab Trucks'!D317))</f>
        <v>0</v>
      </c>
      <c r="O196" s="1159">
        <f xml:space="preserve"> IF(MHDV_Inputs!$B$3=1,'Class 6 PnD Trucks'!E317,IF(MHDV_Inputs!$B$3=2,'Class 8 Day-cab Trucks'!E317,'Class 8 Sleeper-cab Trucks'!E317))</f>
        <v>0</v>
      </c>
      <c r="P196" s="128">
        <f xml:space="preserve"> IF(MHDV_Inputs!$B$3=1,'Class 6 PnD Trucks'!F317,IF(MHDV_Inputs!$B$3=2,'Class 8 Day-cab Trucks'!F317,'Class 8 Sleeper-cab Trucks'!F317))</f>
        <v>0</v>
      </c>
      <c r="Q196" s="232">
        <f xml:space="preserve"> IF(MHDV_Inputs!$B$3=1,'Class 6 PnD Trucks'!G317,IF(MHDV_Inputs!$B$3=2,'Class 8 Day-cab Trucks'!G317,'Class 8 Sleeper-cab Trucks'!G317))</f>
        <v>0</v>
      </c>
      <c r="R196" s="1159">
        <f xml:space="preserve"> IF(MHDV_Inputs!$B$3=1,'Class 6 PnD Trucks'!H317,IF(MHDV_Inputs!$B$3=2,'Class 8 Day-cab Trucks'!H317,'Class 8 Sleeper-cab Trucks'!H317))</f>
        <v>0</v>
      </c>
      <c r="S196" s="1159">
        <f xml:space="preserve"> IF(MHDV_Inputs!$B$3=1,'Class 6 PnD Trucks'!I317,IF(MHDV_Inputs!$B$3=2,'Class 8 Day-cab Trucks'!I317,'Class 8 Sleeper-cab Trucks'!I317))</f>
        <v>0</v>
      </c>
      <c r="T196" s="128">
        <f xml:space="preserve"> IF(MHDV_Inputs!$B$3=1,'Class 6 PnD Trucks'!J317,IF(MHDV_Inputs!$B$3=2,'Class 8 Day-cab Trucks'!J317,'Class 8 Sleeper-cab Trucks'!J317))</f>
        <v>0</v>
      </c>
      <c r="U196" s="232">
        <f xml:space="preserve"> IF(MHDV_Inputs!$B$3=1,'Class 6 PnD Trucks'!K317,IF(MHDV_Inputs!$B$3=2,'Class 8 Day-cab Trucks'!K317,'Class 8 Sleeper-cab Trucks'!K317))</f>
        <v>0</v>
      </c>
      <c r="V196" s="1159">
        <f xml:space="preserve"> IF(MHDV_Inputs!$B$3=1,'Class 6 PnD Trucks'!L317,IF(MHDV_Inputs!$B$3=2,'Class 8 Day-cab Trucks'!L317,'Class 8 Sleeper-cab Trucks'!L317))</f>
        <v>0</v>
      </c>
      <c r="W196" s="1159">
        <f xml:space="preserve"> IF(MHDV_Inputs!$B$3=1,'Class 6 PnD Trucks'!M317,IF(MHDV_Inputs!$B$3=2,'Class 8 Day-cab Trucks'!M317,'Class 8 Sleeper-cab Trucks'!M317))</f>
        <v>0</v>
      </c>
      <c r="X196" s="128">
        <f xml:space="preserve"> IF(MHDV_Inputs!$B$3=1,'Class 6 PnD Trucks'!N317,IF(MHDV_Inputs!$B$3=2,'Class 8 Day-cab Trucks'!N317,'Class 8 Sleeper-cab Trucks'!N317))</f>
        <v>0</v>
      </c>
      <c r="Y196" s="1159"/>
      <c r="Z196" s="1159"/>
      <c r="AA196" s="1159"/>
      <c r="AB196" s="1159"/>
      <c r="AC196" s="1159"/>
      <c r="AD196" s="1159"/>
    </row>
    <row r="197" spans="1:30">
      <c r="A197" s="172"/>
      <c r="B197" s="173" t="s">
        <v>311</v>
      </c>
      <c r="C197" s="212"/>
      <c r="D197" s="302">
        <f xml:space="preserve"> IF(MHDV_Inputs!$C$98=1,M197,IF(MHDV_Inputs!$C$98=2,N197,IF(MHDV_Inputs!$C$98=3,O197,P197)))</f>
        <v>4.4153185851394617E-3</v>
      </c>
      <c r="E197" s="302">
        <f xml:space="preserve"> IF(MHDV_Inputs!$C$99=1,Q197,IF(MHDV_Inputs!$C$99=2,R197,IF(MHDV_Inputs!$C$99=3,S197,T197)))</f>
        <v>1.0112487391144025E-2</v>
      </c>
      <c r="F197" s="593">
        <f xml:space="preserve"> IF(MHDV_Inputs!$C$100=1,U197,IF(MHDV_Inputs!$C$100=2,V197,IF(MHDV_Inputs!$C$100=3,W197,X197)))</f>
        <v>4.7793127283584759E-3</v>
      </c>
      <c r="G197" s="302"/>
      <c r="H197" s="302"/>
      <c r="I197" s="302"/>
      <c r="J197" s="302"/>
      <c r="K197" s="302"/>
      <c r="L197" s="302"/>
      <c r="M197" s="232">
        <f xml:space="preserve"> IF(MHDV_Inputs!$B$3=1,'Class 6 PnD Trucks'!C318,IF(MHDV_Inputs!$B$3=2,'Class 8 Day-cab Trucks'!C318,'Class 8 Sleeper-cab Trucks'!C318))</f>
        <v>4.4333948159368999E-3</v>
      </c>
      <c r="N197" s="1159">
        <f xml:space="preserve"> IF(MHDV_Inputs!$B$3=1,'Class 6 PnD Trucks'!D318,IF(MHDV_Inputs!$B$3=2,'Class 8 Day-cab Trucks'!D318,'Class 8 Sleeper-cab Trucks'!D318))</f>
        <v>4.4153185851394617E-3</v>
      </c>
      <c r="O197" s="1159">
        <f xml:space="preserve"> IF(MHDV_Inputs!$B$3=1,'Class 6 PnD Trucks'!E318,IF(MHDV_Inputs!$B$3=2,'Class 8 Day-cab Trucks'!E318,'Class 8 Sleeper-cab Trucks'!E318))</f>
        <v>4.6583063526549713E-3</v>
      </c>
      <c r="P197" s="128">
        <f xml:space="preserve"> IF(MHDV_Inputs!$B$3=1,'Class 6 PnD Trucks'!F318,IF(MHDV_Inputs!$B$3=2,'Class 8 Day-cab Trucks'!F318,'Class 8 Sleeper-cab Trucks'!F318))</f>
        <v>4.6863640648337297E-3</v>
      </c>
      <c r="Q197" s="232">
        <f xml:space="preserve"> IF(MHDV_Inputs!$B$3=1,'Class 6 PnD Trucks'!G318,IF(MHDV_Inputs!$B$3=2,'Class 8 Day-cab Trucks'!G318,'Class 8 Sleeper-cab Trucks'!G318))</f>
        <v>9.7059256667476907E-3</v>
      </c>
      <c r="R197" s="1159">
        <f xml:space="preserve"> IF(MHDV_Inputs!$B$3=1,'Class 6 PnD Trucks'!H318,IF(MHDV_Inputs!$B$3=2,'Class 8 Day-cab Trucks'!H318,'Class 8 Sleeper-cab Trucks'!H318))</f>
        <v>1.0112487391144025E-2</v>
      </c>
      <c r="S197" s="1159">
        <f xml:space="preserve"> IF(MHDV_Inputs!$B$3=1,'Class 6 PnD Trucks'!I318,IF(MHDV_Inputs!$B$3=2,'Class 8 Day-cab Trucks'!I318,'Class 8 Sleeper-cab Trucks'!I318))</f>
        <v>1.0418916445486278E-2</v>
      </c>
      <c r="T197" s="128">
        <f xml:space="preserve"> IF(MHDV_Inputs!$B$3=1,'Class 6 PnD Trucks'!J318,IF(MHDV_Inputs!$B$3=2,'Class 8 Day-cab Trucks'!J318,'Class 8 Sleeper-cab Trucks'!J318))</f>
        <v>0</v>
      </c>
      <c r="U197" s="232">
        <f xml:space="preserve"> IF(MHDV_Inputs!$B$3=1,'Class 6 PnD Trucks'!K318,IF(MHDV_Inputs!$B$3=2,'Class 8 Day-cab Trucks'!K318,'Class 8 Sleeper-cab Trucks'!K318))</f>
        <v>4.5315524404341591E-3</v>
      </c>
      <c r="V197" s="1159">
        <f xml:space="preserve"> IF(MHDV_Inputs!$B$3=1,'Class 6 PnD Trucks'!L318,IF(MHDV_Inputs!$B$3=2,'Class 8 Day-cab Trucks'!L318,'Class 8 Sleeper-cab Trucks'!L318))</f>
        <v>4.7793127283584759E-3</v>
      </c>
      <c r="W197" s="1159">
        <f xml:space="preserve"> IF(MHDV_Inputs!$B$3=1,'Class 6 PnD Trucks'!M318,IF(MHDV_Inputs!$B$3=2,'Class 8 Day-cab Trucks'!M318,'Class 8 Sleeper-cab Trucks'!M318))</f>
        <v>5.049679677917745E-3</v>
      </c>
      <c r="X197" s="128">
        <f xml:space="preserve"> IF(MHDV_Inputs!$B$3=1,'Class 6 PnD Trucks'!N318,IF(MHDV_Inputs!$B$3=2,'Class 8 Day-cab Trucks'!N318,'Class 8 Sleeper-cab Trucks'!N318))</f>
        <v>5.0767667031202945E-3</v>
      </c>
      <c r="Y197" s="1159"/>
      <c r="Z197" s="1159"/>
      <c r="AA197" s="1159"/>
      <c r="AB197" s="1159"/>
      <c r="AC197" s="1159"/>
      <c r="AD197" s="1159"/>
    </row>
    <row r="198" spans="1:30">
      <c r="A198" s="172"/>
      <c r="B198" s="173" t="s">
        <v>275</v>
      </c>
      <c r="C198" s="212"/>
      <c r="D198" s="302">
        <f xml:space="preserve"> IF(MHDV_Inputs!$C$98=1,M198,IF(MHDV_Inputs!$C$98=2,N198,IF(MHDV_Inputs!$C$98=3,O198,P198)))</f>
        <v>0.25134218654312002</v>
      </c>
      <c r="E198" s="302">
        <f xml:space="preserve"> IF(MHDV_Inputs!$C$99=1,Q198,IF(MHDV_Inputs!$C$99=2,R198,IF(MHDV_Inputs!$C$99=3,S198,T198)))</f>
        <v>0.16113954724986887</v>
      </c>
      <c r="F198" s="593">
        <f xml:space="preserve"> IF(MHDV_Inputs!$C$100=1,U198,IF(MHDV_Inputs!$C$100=2,V198,IF(MHDV_Inputs!$C$100=3,W198,X198)))</f>
        <v>0.26388888367189672</v>
      </c>
      <c r="G198" s="302"/>
      <c r="H198" s="302"/>
      <c r="I198" s="302"/>
      <c r="J198" s="302"/>
      <c r="K198" s="302"/>
      <c r="L198" s="302"/>
      <c r="M198" s="232">
        <f xml:space="preserve"> IF(MHDV_Inputs!$B$3=1,'Class 6 PnD Trucks'!C319,IF(MHDV_Inputs!$B$3=2,'Class 8 Day-cab Trucks'!C319,'Class 8 Sleeper-cab Trucks'!C319))</f>
        <v>0.27007360127132835</v>
      </c>
      <c r="N198" s="1159">
        <f xml:space="preserve"> IF(MHDV_Inputs!$B$3=1,'Class 6 PnD Trucks'!D319,IF(MHDV_Inputs!$B$3=2,'Class 8 Day-cab Trucks'!D319,'Class 8 Sleeper-cab Trucks'!D319))</f>
        <v>0.25134218654312002</v>
      </c>
      <c r="O198" s="1159">
        <f xml:space="preserve"> IF(MHDV_Inputs!$B$3=1,'Class 6 PnD Trucks'!E319,IF(MHDV_Inputs!$B$3=2,'Class 8 Day-cab Trucks'!E319,'Class 8 Sleeper-cab Trucks'!E319))</f>
        <v>0.24614262615722984</v>
      </c>
      <c r="P198" s="128">
        <f xml:space="preserve"> IF(MHDV_Inputs!$B$3=1,'Class 6 PnD Trucks'!F319,IF(MHDV_Inputs!$B$3=2,'Class 8 Day-cab Trucks'!F319,'Class 8 Sleeper-cab Trucks'!F319))</f>
        <v>0.247084781032714</v>
      </c>
      <c r="Q198" s="232">
        <f xml:space="preserve"> IF(MHDV_Inputs!$B$3=1,'Class 6 PnD Trucks'!G319,IF(MHDV_Inputs!$B$3=2,'Class 8 Day-cab Trucks'!G319,'Class 8 Sleeper-cab Trucks'!G319))</f>
        <v>0.17075086429681899</v>
      </c>
      <c r="R198" s="1159">
        <f xml:space="preserve"> IF(MHDV_Inputs!$B$3=1,'Class 6 PnD Trucks'!H319,IF(MHDV_Inputs!$B$3=2,'Class 8 Day-cab Trucks'!H319,'Class 8 Sleeper-cab Trucks'!H319))</f>
        <v>0.16113954724986887</v>
      </c>
      <c r="S198" s="1159">
        <f xml:space="preserve"> IF(MHDV_Inputs!$B$3=1,'Class 6 PnD Trucks'!I319,IF(MHDV_Inputs!$B$3=2,'Class 8 Day-cab Trucks'!I319,'Class 8 Sleeper-cab Trucks'!I319))</f>
        <v>0.15438675401757782</v>
      </c>
      <c r="T198" s="128">
        <f xml:space="preserve"> IF(MHDV_Inputs!$B$3=1,'Class 6 PnD Trucks'!J319,IF(MHDV_Inputs!$B$3=2,'Class 8 Day-cab Trucks'!J319,'Class 8 Sleeper-cab Trucks'!J319))</f>
        <v>0</v>
      </c>
      <c r="U198" s="232">
        <f xml:space="preserve"> IF(MHDV_Inputs!$B$3=1,'Class 6 PnD Trucks'!K319,IF(MHDV_Inputs!$B$3=2,'Class 8 Day-cab Trucks'!K319,'Class 8 Sleeper-cab Trucks'!K319))</f>
        <v>0.26806190437606636</v>
      </c>
      <c r="V198" s="1159">
        <f xml:space="preserve"> IF(MHDV_Inputs!$B$3=1,'Class 6 PnD Trucks'!L319,IF(MHDV_Inputs!$B$3=2,'Class 8 Day-cab Trucks'!L319,'Class 8 Sleeper-cab Trucks'!L319))</f>
        <v>0.26388888367189672</v>
      </c>
      <c r="W198" s="1159">
        <f xml:space="preserve"> IF(MHDV_Inputs!$B$3=1,'Class 6 PnD Trucks'!M319,IF(MHDV_Inputs!$B$3=2,'Class 8 Day-cab Trucks'!M319,'Class 8 Sleeper-cab Trucks'!M319))</f>
        <v>0.25845731651997444</v>
      </c>
      <c r="X198" s="128">
        <f xml:space="preserve"> IF(MHDV_Inputs!$B$3=1,'Class 6 PnD Trucks'!N319,IF(MHDV_Inputs!$B$3=2,'Class 8 Day-cab Trucks'!N319,'Class 8 Sleeper-cab Trucks'!N319))</f>
        <v>0.25910903329984231</v>
      </c>
      <c r="Y198" s="1159"/>
      <c r="Z198" s="1159"/>
      <c r="AA198" s="1159"/>
      <c r="AB198" s="1159"/>
      <c r="AC198" s="1159"/>
      <c r="AD198" s="1159"/>
    </row>
    <row r="199" spans="1:30">
      <c r="A199" s="172"/>
      <c r="B199" s="173" t="s">
        <v>252</v>
      </c>
      <c r="C199" s="212"/>
      <c r="D199" s="302">
        <f xml:space="preserve"> IF(MHDV_Inputs!$C$98=1,M199,IF(MHDV_Inputs!$C$98=2,N199,IF(MHDV_Inputs!$C$98=3,O199,P199)))</f>
        <v>0.28176932826061629</v>
      </c>
      <c r="E199" s="302">
        <f xml:space="preserve"> IF(MHDV_Inputs!$C$99=1,Q199,IF(MHDV_Inputs!$C$99=2,R199,IF(MHDV_Inputs!$C$99=3,S199,T199)))</f>
        <v>0.1914058814174471</v>
      </c>
      <c r="F199" s="593">
        <f xml:space="preserve"> IF(MHDV_Inputs!$C$100=1,U199,IF(MHDV_Inputs!$C$100=2,V199,IF(MHDV_Inputs!$C$100=3,W199,X199)))</f>
        <v>0.26850458547285228</v>
      </c>
      <c r="G199" s="302"/>
      <c r="H199" s="302"/>
      <c r="I199" s="302"/>
      <c r="J199" s="302"/>
      <c r="K199" s="302"/>
      <c r="L199" s="302"/>
      <c r="M199" s="232">
        <f xml:space="preserve"> IF(MHDV_Inputs!$B$3=1,'Class 6 PnD Trucks'!C320,IF(MHDV_Inputs!$B$3=2,'Class 8 Day-cab Trucks'!C320,'Class 8 Sleeper-cab Trucks'!C320))</f>
        <v>0.24376171756693474</v>
      </c>
      <c r="N199" s="1159">
        <f xml:space="preserve"> IF(MHDV_Inputs!$B$3=1,'Class 6 PnD Trucks'!D320,IF(MHDV_Inputs!$B$3=2,'Class 8 Day-cab Trucks'!D320,'Class 8 Sleeper-cab Trucks'!D320))</f>
        <v>0.28176932826061629</v>
      </c>
      <c r="O199" s="1159">
        <f xml:space="preserve"> IF(MHDV_Inputs!$B$3=1,'Class 6 PnD Trucks'!E320,IF(MHDV_Inputs!$B$3=2,'Class 8 Day-cab Trucks'!E320,'Class 8 Sleeper-cab Trucks'!E320))</f>
        <v>0.27771423239323634</v>
      </c>
      <c r="P199" s="128">
        <f xml:space="preserve"> IF(MHDV_Inputs!$B$3=1,'Class 6 PnD Trucks'!F320,IF(MHDV_Inputs!$B$3=2,'Class 8 Day-cab Trucks'!F320,'Class 8 Sleeper-cab Trucks'!F320))</f>
        <v>0.27708744035334265</v>
      </c>
      <c r="Q199" s="232">
        <f xml:space="preserve"> IF(MHDV_Inputs!$B$3=1,'Class 6 PnD Trucks'!G320,IF(MHDV_Inputs!$B$3=2,'Class 8 Day-cab Trucks'!G320,'Class 8 Sleeper-cab Trucks'!G320))</f>
        <v>0.19911398360631727</v>
      </c>
      <c r="R199" s="1159">
        <f xml:space="preserve"> IF(MHDV_Inputs!$B$3=1,'Class 6 PnD Trucks'!H320,IF(MHDV_Inputs!$B$3=2,'Class 8 Day-cab Trucks'!H320,'Class 8 Sleeper-cab Trucks'!H320))</f>
        <v>0.1914058814174471</v>
      </c>
      <c r="S199" s="1159">
        <f xml:space="preserve"> IF(MHDV_Inputs!$B$3=1,'Class 6 PnD Trucks'!I320,IF(MHDV_Inputs!$B$3=2,'Class 8 Day-cab Trucks'!I320,'Class 8 Sleeper-cab Trucks'!I320))</f>
        <v>0.18501592881472265</v>
      </c>
      <c r="T199" s="128">
        <f xml:space="preserve"> IF(MHDV_Inputs!$B$3=1,'Class 6 PnD Trucks'!J320,IF(MHDV_Inputs!$B$3=2,'Class 8 Day-cab Trucks'!J320,'Class 8 Sleeper-cab Trucks'!J320))</f>
        <v>0</v>
      </c>
      <c r="U199" s="232">
        <f xml:space="preserve"> IF(MHDV_Inputs!$B$3=1,'Class 6 PnD Trucks'!K320,IF(MHDV_Inputs!$B$3=2,'Class 8 Day-cab Trucks'!K320,'Class 8 Sleeper-cab Trucks'!K320))</f>
        <v>0.27247055688323762</v>
      </c>
      <c r="V199" s="1159">
        <f xml:space="preserve"> IF(MHDV_Inputs!$B$3=1,'Class 6 PnD Trucks'!L320,IF(MHDV_Inputs!$B$3=2,'Class 8 Day-cab Trucks'!L320,'Class 8 Sleeper-cab Trucks'!L320))</f>
        <v>0.26850458547285228</v>
      </c>
      <c r="W199" s="1159">
        <f xml:space="preserve"> IF(MHDV_Inputs!$B$3=1,'Class 6 PnD Trucks'!M320,IF(MHDV_Inputs!$B$3=2,'Class 8 Day-cab Trucks'!M320,'Class 8 Sleeper-cab Trucks'!M320))</f>
        <v>0.26358280173861764</v>
      </c>
      <c r="X199" s="128">
        <f xml:space="preserve"> IF(MHDV_Inputs!$B$3=1,'Class 6 PnD Trucks'!N320,IF(MHDV_Inputs!$B$3=2,'Class 8 Day-cab Trucks'!N320,'Class 8 Sleeper-cab Trucks'!N320))</f>
        <v>0.26299684339918133</v>
      </c>
      <c r="Y199" s="1159"/>
      <c r="Z199" s="1159"/>
      <c r="AA199" s="1159"/>
      <c r="AB199" s="1159"/>
      <c r="AC199" s="1159"/>
      <c r="AD199" s="1159"/>
    </row>
    <row r="200" spans="1:30">
      <c r="A200" s="172"/>
      <c r="B200" s="173" t="s">
        <v>253</v>
      </c>
      <c r="C200" s="212"/>
      <c r="D200" s="302">
        <f xml:space="preserve"> IF(MHDV_Inputs!$C$98=1,M200,IF(MHDV_Inputs!$C$98=2,N200,IF(MHDV_Inputs!$C$98=3,O200,P200)))</f>
        <v>0</v>
      </c>
      <c r="E200" s="302">
        <f xml:space="preserve"> IF(MHDV_Inputs!$C$99=1,Q200,IF(MHDV_Inputs!$C$99=2,R200,IF(MHDV_Inputs!$C$99=3,S200,T200)))</f>
        <v>0</v>
      </c>
      <c r="F200" s="593">
        <f xml:space="preserve"> IF(MHDV_Inputs!$C$100=1,U200,IF(MHDV_Inputs!$C$100=2,V200,IF(MHDV_Inputs!$C$100=3,W200,X200)))</f>
        <v>0</v>
      </c>
      <c r="G200" s="302"/>
      <c r="H200" s="302"/>
      <c r="I200" s="302"/>
      <c r="J200" s="302"/>
      <c r="K200" s="302"/>
      <c r="L200" s="302"/>
      <c r="M200" s="232">
        <f xml:space="preserve"> IF(MHDV_Inputs!$B$3=1,'Class 6 PnD Trucks'!C321,IF(MHDV_Inputs!$B$3=2,'Class 8 Day-cab Trucks'!C321,'Class 8 Sleeper-cab Trucks'!C321))</f>
        <v>0</v>
      </c>
      <c r="N200" s="1159">
        <f xml:space="preserve"> IF(MHDV_Inputs!$B$3=1,'Class 6 PnD Trucks'!D321,IF(MHDV_Inputs!$B$3=2,'Class 8 Day-cab Trucks'!D321,'Class 8 Sleeper-cab Trucks'!D321))</f>
        <v>0</v>
      </c>
      <c r="O200" s="1159">
        <f xml:space="preserve"> IF(MHDV_Inputs!$B$3=1,'Class 6 PnD Trucks'!E321,IF(MHDV_Inputs!$B$3=2,'Class 8 Day-cab Trucks'!E321,'Class 8 Sleeper-cab Trucks'!E321))</f>
        <v>0</v>
      </c>
      <c r="P200" s="128">
        <f xml:space="preserve"> IF(MHDV_Inputs!$B$3=1,'Class 6 PnD Trucks'!F321,IF(MHDV_Inputs!$B$3=2,'Class 8 Day-cab Trucks'!F321,'Class 8 Sleeper-cab Trucks'!F321))</f>
        <v>0</v>
      </c>
      <c r="Q200" s="232">
        <f xml:space="preserve"> IF(MHDV_Inputs!$B$3=1,'Class 6 PnD Trucks'!G321,IF(MHDV_Inputs!$B$3=2,'Class 8 Day-cab Trucks'!G321,'Class 8 Sleeper-cab Trucks'!G321))</f>
        <v>0</v>
      </c>
      <c r="R200" s="1159">
        <f xml:space="preserve"> IF(MHDV_Inputs!$B$3=1,'Class 6 PnD Trucks'!H321,IF(MHDV_Inputs!$B$3=2,'Class 8 Day-cab Trucks'!H321,'Class 8 Sleeper-cab Trucks'!H321))</f>
        <v>0</v>
      </c>
      <c r="S200" s="1159">
        <f xml:space="preserve"> IF(MHDV_Inputs!$B$3=1,'Class 6 PnD Trucks'!I321,IF(MHDV_Inputs!$B$3=2,'Class 8 Day-cab Trucks'!I321,'Class 8 Sleeper-cab Trucks'!I321))</f>
        <v>0</v>
      </c>
      <c r="T200" s="128">
        <f xml:space="preserve"> IF(MHDV_Inputs!$B$3=1,'Class 6 PnD Trucks'!J321,IF(MHDV_Inputs!$B$3=2,'Class 8 Day-cab Trucks'!J321,'Class 8 Sleeper-cab Trucks'!J321))</f>
        <v>0</v>
      </c>
      <c r="U200" s="232">
        <f xml:space="preserve"> IF(MHDV_Inputs!$B$3=1,'Class 6 PnD Trucks'!K321,IF(MHDV_Inputs!$B$3=2,'Class 8 Day-cab Trucks'!K321,'Class 8 Sleeper-cab Trucks'!K321))</f>
        <v>0</v>
      </c>
      <c r="V200" s="1159">
        <f xml:space="preserve"> IF(MHDV_Inputs!$B$3=1,'Class 6 PnD Trucks'!L321,IF(MHDV_Inputs!$B$3=2,'Class 8 Day-cab Trucks'!L321,'Class 8 Sleeper-cab Trucks'!L321))</f>
        <v>0</v>
      </c>
      <c r="W200" s="1159">
        <f xml:space="preserve"> IF(MHDV_Inputs!$B$3=1,'Class 6 PnD Trucks'!M321,IF(MHDV_Inputs!$B$3=2,'Class 8 Day-cab Trucks'!M321,'Class 8 Sleeper-cab Trucks'!M321))</f>
        <v>0</v>
      </c>
      <c r="X200" s="128">
        <f xml:space="preserve"> IF(MHDV_Inputs!$B$3=1,'Class 6 PnD Trucks'!N321,IF(MHDV_Inputs!$B$3=2,'Class 8 Day-cab Trucks'!N321,'Class 8 Sleeper-cab Trucks'!N321))</f>
        <v>0</v>
      </c>
      <c r="Y200" s="1159"/>
      <c r="Z200" s="1159"/>
      <c r="AA200" s="1159"/>
      <c r="AB200" s="1159"/>
      <c r="AC200" s="1159"/>
      <c r="AD200" s="1159"/>
    </row>
    <row r="201" spans="1:30">
      <c r="A201" s="172"/>
      <c r="B201" s="173" t="s">
        <v>312</v>
      </c>
      <c r="C201" s="212"/>
      <c r="D201" s="302">
        <f xml:space="preserve"> IF(MHDV_Inputs!$C$98=1,M201,IF(MHDV_Inputs!$C$98=2,N201,IF(MHDV_Inputs!$C$98=3,O201,P201)))</f>
        <v>9.9372699200705964E-3</v>
      </c>
      <c r="E201" s="302">
        <f xml:space="preserve"> IF(MHDV_Inputs!$C$99=1,Q201,IF(MHDV_Inputs!$C$99=2,R201,IF(MHDV_Inputs!$C$99=3,S201,T201)))</f>
        <v>1.3939595405492246E-2</v>
      </c>
      <c r="F201" s="593">
        <f xml:space="preserve"> IF(MHDV_Inputs!$C$100=1,U201,IF(MHDV_Inputs!$C$100=2,V201,IF(MHDV_Inputs!$C$100=3,W201,X201)))</f>
        <v>1.0667598944161584E-2</v>
      </c>
      <c r="G201" s="302"/>
      <c r="H201" s="302"/>
      <c r="I201" s="302"/>
      <c r="J201" s="302"/>
      <c r="K201" s="302"/>
      <c r="L201" s="302"/>
      <c r="M201" s="232">
        <f xml:space="preserve"> IF(MHDV_Inputs!$B$3=1,'Class 6 PnD Trucks'!C322,IF(MHDV_Inputs!$B$3=2,'Class 8 Day-cab Trucks'!C322,'Class 8 Sleeper-cab Trucks'!C322))</f>
        <v>1.0331901848070585E-2</v>
      </c>
      <c r="N201" s="1159">
        <f xml:space="preserve"> IF(MHDV_Inputs!$B$3=1,'Class 6 PnD Trucks'!D322,IF(MHDV_Inputs!$B$3=2,'Class 8 Day-cab Trucks'!D322,'Class 8 Sleeper-cab Trucks'!D322))</f>
        <v>9.9372699200705964E-3</v>
      </c>
      <c r="O201" s="1159">
        <f xml:space="preserve"> IF(MHDV_Inputs!$B$3=1,'Class 6 PnD Trucks'!E322,IF(MHDV_Inputs!$B$3=2,'Class 8 Day-cab Trucks'!E322,'Class 8 Sleeper-cab Trucks'!E322))</f>
        <v>1.0114500174155725E-2</v>
      </c>
      <c r="P201" s="128">
        <f xml:space="preserve"> IF(MHDV_Inputs!$B$3=1,'Class 6 PnD Trucks'!F322,IF(MHDV_Inputs!$B$3=2,'Class 8 Day-cab Trucks'!F322,'Class 8 Sleeper-cab Trucks'!F322))</f>
        <v>1.0170853178703225E-2</v>
      </c>
      <c r="Q201" s="232">
        <f xml:space="preserve"> IF(MHDV_Inputs!$B$3=1,'Class 6 PnD Trucks'!G322,IF(MHDV_Inputs!$B$3=2,'Class 8 Day-cab Trucks'!G322,'Class 8 Sleeper-cab Trucks'!G322))</f>
        <v>1.4038600659848712E-2</v>
      </c>
      <c r="R201" s="1159">
        <f xml:space="preserve"> IF(MHDV_Inputs!$B$3=1,'Class 6 PnD Trucks'!H322,IF(MHDV_Inputs!$B$3=2,'Class 8 Day-cab Trucks'!H322,'Class 8 Sleeper-cab Trucks'!H322))</f>
        <v>1.3939595405492246E-2</v>
      </c>
      <c r="S201" s="1159">
        <f xml:space="preserve"> IF(MHDV_Inputs!$B$3=1,'Class 6 PnD Trucks'!I322,IF(MHDV_Inputs!$B$3=2,'Class 8 Day-cab Trucks'!I322,'Class 8 Sleeper-cab Trucks'!I322))</f>
        <v>1.3895777295761639E-2</v>
      </c>
      <c r="T201" s="128">
        <f xml:space="preserve"> IF(MHDV_Inputs!$B$3=1,'Class 6 PnD Trucks'!J322,IF(MHDV_Inputs!$B$3=2,'Class 8 Day-cab Trucks'!J322,'Class 8 Sleeper-cab Trucks'!J322))</f>
        <v>0</v>
      </c>
      <c r="U201" s="232">
        <f xml:space="preserve"> IF(MHDV_Inputs!$B$3=1,'Class 6 PnD Trucks'!K322,IF(MHDV_Inputs!$B$3=2,'Class 8 Day-cab Trucks'!K322,'Class 8 Sleeper-cab Trucks'!K322))</f>
        <v>1.0473785937960832E-2</v>
      </c>
      <c r="V201" s="1159">
        <f xml:space="preserve"> IF(MHDV_Inputs!$B$3=1,'Class 6 PnD Trucks'!L322,IF(MHDV_Inputs!$B$3=2,'Class 8 Day-cab Trucks'!L322,'Class 8 Sleeper-cab Trucks'!L322))</f>
        <v>1.0667598944161584E-2</v>
      </c>
      <c r="W201" s="1159">
        <f xml:space="preserve"> IF(MHDV_Inputs!$B$3=1,'Class 6 PnD Trucks'!M322,IF(MHDV_Inputs!$B$3=2,'Class 8 Day-cab Trucks'!M322,'Class 8 Sleeper-cab Trucks'!M322))</f>
        <v>1.087772089902184E-2</v>
      </c>
      <c r="X201" s="128">
        <f xml:space="preserve"> IF(MHDV_Inputs!$B$3=1,'Class 6 PnD Trucks'!N322,IF(MHDV_Inputs!$B$3=2,'Class 8 Day-cab Trucks'!N322,'Class 8 Sleeper-cab Trucks'!N322))</f>
        <v>1.0927471169958083E-2</v>
      </c>
      <c r="Y201" s="1159"/>
      <c r="Z201" s="1159"/>
      <c r="AA201" s="1159"/>
      <c r="AB201" s="1159"/>
      <c r="AC201" s="1159"/>
      <c r="AD201" s="1159"/>
    </row>
    <row r="202" spans="1:30">
      <c r="A202" s="172"/>
      <c r="B202" s="173" t="s">
        <v>313</v>
      </c>
      <c r="C202" s="212"/>
      <c r="D202" s="302">
        <f xml:space="preserve"> IF(MHDV_Inputs!$C$98=1,M202,IF(MHDV_Inputs!$C$98=2,N202,IF(MHDV_Inputs!$C$98=3,O202,P202)))</f>
        <v>2.7740195954255201E-2</v>
      </c>
      <c r="E202" s="302">
        <f xml:space="preserve"> IF(MHDV_Inputs!$C$99=1,Q202,IF(MHDV_Inputs!$C$99=2,R202,IF(MHDV_Inputs!$C$99=3,S202,T202)))</f>
        <v>3.8912811182715994E-2</v>
      </c>
      <c r="F202" s="593">
        <f xml:space="preserve"> IF(MHDV_Inputs!$C$100=1,U202,IF(MHDV_Inputs!$C$100=2,V202,IF(MHDV_Inputs!$C$100=3,W202,X202)))</f>
        <v>2.9778931985611792E-2</v>
      </c>
      <c r="G202" s="302"/>
      <c r="H202" s="302"/>
      <c r="I202" s="302"/>
      <c r="J202" s="302"/>
      <c r="K202" s="302"/>
      <c r="L202" s="302"/>
      <c r="M202" s="232">
        <f xml:space="preserve"> IF(MHDV_Inputs!$B$3=1,'Class 6 PnD Trucks'!C323,IF(MHDV_Inputs!$B$3=2,'Class 8 Day-cab Trucks'!C323,'Class 8 Sleeper-cab Trucks'!C323))</f>
        <v>2.8841823171848927E-2</v>
      </c>
      <c r="N202" s="1159">
        <f xml:space="preserve"> IF(MHDV_Inputs!$B$3=1,'Class 6 PnD Trucks'!D323,IF(MHDV_Inputs!$B$3=2,'Class 8 Day-cab Trucks'!D323,'Class 8 Sleeper-cab Trucks'!D323))</f>
        <v>2.7740195954255201E-2</v>
      </c>
      <c r="O202" s="1159">
        <f xml:space="preserve"> IF(MHDV_Inputs!$B$3=1,'Class 6 PnD Trucks'!E323,IF(MHDV_Inputs!$B$3=2,'Class 8 Day-cab Trucks'!E323,'Class 8 Sleeper-cab Trucks'!E323))</f>
        <v>2.8234939683356691E-2</v>
      </c>
      <c r="P202" s="128">
        <f xml:space="preserve"> IF(MHDV_Inputs!$B$3=1,'Class 6 PnD Trucks'!F323,IF(MHDV_Inputs!$B$3=2,'Class 8 Day-cab Trucks'!F323,'Class 8 Sleeper-cab Trucks'!F323))</f>
        <v>2.8392250836352689E-2</v>
      </c>
      <c r="Q202" s="232">
        <f xml:space="preserve"> IF(MHDV_Inputs!$B$3=1,'Class 6 PnD Trucks'!G323,IF(MHDV_Inputs!$B$3=2,'Class 8 Day-cab Trucks'!G323,'Class 8 Sleeper-cab Trucks'!G323))</f>
        <v>3.9189187408625113E-2</v>
      </c>
      <c r="R202" s="1159">
        <f xml:space="preserve"> IF(MHDV_Inputs!$B$3=1,'Class 6 PnD Trucks'!H323,IF(MHDV_Inputs!$B$3=2,'Class 8 Day-cab Trucks'!H323,'Class 8 Sleeper-cab Trucks'!H323))</f>
        <v>3.8912811182715994E-2</v>
      </c>
      <c r="S202" s="1159">
        <f xml:space="preserve"> IF(MHDV_Inputs!$B$3=1,'Class 6 PnD Trucks'!I323,IF(MHDV_Inputs!$B$3=2,'Class 8 Day-cab Trucks'!I323,'Class 8 Sleeper-cab Trucks'!I323))</f>
        <v>3.8790491575817015E-2</v>
      </c>
      <c r="T202" s="128">
        <f xml:space="preserve"> IF(MHDV_Inputs!$B$3=1,'Class 6 PnD Trucks'!J323,IF(MHDV_Inputs!$B$3=2,'Class 8 Day-cab Trucks'!J323,'Class 8 Sleeper-cab Trucks'!J323))</f>
        <v>0</v>
      </c>
      <c r="U202" s="232">
        <f xml:space="preserve"> IF(MHDV_Inputs!$B$3=1,'Class 6 PnD Trucks'!K323,IF(MHDV_Inputs!$B$3=2,'Class 8 Day-cab Trucks'!K323,'Class 8 Sleeper-cab Trucks'!K323))</f>
        <v>2.9237896991721437E-2</v>
      </c>
      <c r="V202" s="1159">
        <f xml:space="preserve"> IF(MHDV_Inputs!$B$3=1,'Class 6 PnD Trucks'!L323,IF(MHDV_Inputs!$B$3=2,'Class 8 Day-cab Trucks'!L323,'Class 8 Sleeper-cab Trucks'!L323))</f>
        <v>2.9778931985611792E-2</v>
      </c>
      <c r="W202" s="1159">
        <f xml:space="preserve"> IF(MHDV_Inputs!$B$3=1,'Class 6 PnD Trucks'!M323,IF(MHDV_Inputs!$B$3=2,'Class 8 Day-cab Trucks'!M323,'Class 8 Sleeper-cab Trucks'!M323))</f>
        <v>3.0365493913485156E-2</v>
      </c>
      <c r="X202" s="128">
        <f xml:space="preserve"> IF(MHDV_Inputs!$B$3=1,'Class 6 PnD Trucks'!N323,IF(MHDV_Inputs!$B$3=2,'Class 8 Day-cab Trucks'!N323,'Class 8 Sleeper-cab Trucks'!N323))</f>
        <v>3.0504373331640168E-2</v>
      </c>
      <c r="Y202" s="1159"/>
      <c r="Z202" s="1159"/>
      <c r="AA202" s="1159"/>
      <c r="AB202" s="1159"/>
      <c r="AC202" s="1159"/>
      <c r="AD202" s="1159"/>
    </row>
    <row r="203" spans="1:30">
      <c r="A203" s="172"/>
      <c r="B203" s="173" t="s">
        <v>314</v>
      </c>
      <c r="C203" s="212"/>
      <c r="D203" s="302">
        <f xml:space="preserve"> IF(MHDV_Inputs!$C$98=1,M203,IF(MHDV_Inputs!$C$98=2,N203,IF(MHDV_Inputs!$C$98=3,O203,P203)))</f>
        <v>2.7740195954255201E-2</v>
      </c>
      <c r="E203" s="302">
        <f xml:space="preserve"> IF(MHDV_Inputs!$C$99=1,Q203,IF(MHDV_Inputs!$C$99=2,R203,IF(MHDV_Inputs!$C$99=3,S203,T203)))</f>
        <v>3.8912811182715994E-2</v>
      </c>
      <c r="F203" s="593">
        <f xml:space="preserve"> IF(MHDV_Inputs!$C$100=1,U203,IF(MHDV_Inputs!$C$100=2,V203,IF(MHDV_Inputs!$C$100=3,W203,X203)))</f>
        <v>2.9778931985611792E-2</v>
      </c>
      <c r="G203" s="302"/>
      <c r="H203" s="302"/>
      <c r="I203" s="302"/>
      <c r="J203" s="302"/>
      <c r="K203" s="302"/>
      <c r="L203" s="302"/>
      <c r="M203" s="232">
        <f xml:space="preserve"> IF(MHDV_Inputs!$B$3=1,'Class 6 PnD Trucks'!C324,IF(MHDV_Inputs!$B$3=2,'Class 8 Day-cab Trucks'!C324,'Class 8 Sleeper-cab Trucks'!C324))</f>
        <v>2.8841823171848927E-2</v>
      </c>
      <c r="N203" s="1159">
        <f xml:space="preserve"> IF(MHDV_Inputs!$B$3=1,'Class 6 PnD Trucks'!D324,IF(MHDV_Inputs!$B$3=2,'Class 8 Day-cab Trucks'!D324,'Class 8 Sleeper-cab Trucks'!D324))</f>
        <v>2.7740195954255201E-2</v>
      </c>
      <c r="O203" s="1159">
        <f xml:space="preserve"> IF(MHDV_Inputs!$B$3=1,'Class 6 PnD Trucks'!E324,IF(MHDV_Inputs!$B$3=2,'Class 8 Day-cab Trucks'!E324,'Class 8 Sleeper-cab Trucks'!E324))</f>
        <v>2.8234939683356691E-2</v>
      </c>
      <c r="P203" s="128">
        <f xml:space="preserve"> IF(MHDV_Inputs!$B$3=1,'Class 6 PnD Trucks'!F324,IF(MHDV_Inputs!$B$3=2,'Class 8 Day-cab Trucks'!F324,'Class 8 Sleeper-cab Trucks'!F324))</f>
        <v>2.8392250836352689E-2</v>
      </c>
      <c r="Q203" s="232">
        <f xml:space="preserve"> IF(MHDV_Inputs!$B$3=1,'Class 6 PnD Trucks'!G324,IF(MHDV_Inputs!$B$3=2,'Class 8 Day-cab Trucks'!G324,'Class 8 Sleeper-cab Trucks'!G324))</f>
        <v>3.9189187408625113E-2</v>
      </c>
      <c r="R203" s="1159">
        <f xml:space="preserve"> IF(MHDV_Inputs!$B$3=1,'Class 6 PnD Trucks'!H324,IF(MHDV_Inputs!$B$3=2,'Class 8 Day-cab Trucks'!H324,'Class 8 Sleeper-cab Trucks'!H324))</f>
        <v>3.8912811182715994E-2</v>
      </c>
      <c r="S203" s="1159">
        <f xml:space="preserve"> IF(MHDV_Inputs!$B$3=1,'Class 6 PnD Trucks'!I324,IF(MHDV_Inputs!$B$3=2,'Class 8 Day-cab Trucks'!I324,'Class 8 Sleeper-cab Trucks'!I324))</f>
        <v>3.8790491575817015E-2</v>
      </c>
      <c r="T203" s="128">
        <f xml:space="preserve"> IF(MHDV_Inputs!$B$3=1,'Class 6 PnD Trucks'!J324,IF(MHDV_Inputs!$B$3=2,'Class 8 Day-cab Trucks'!J324,'Class 8 Sleeper-cab Trucks'!J324))</f>
        <v>0</v>
      </c>
      <c r="U203" s="232">
        <f xml:space="preserve"> IF(MHDV_Inputs!$B$3=1,'Class 6 PnD Trucks'!K324,IF(MHDV_Inputs!$B$3=2,'Class 8 Day-cab Trucks'!K324,'Class 8 Sleeper-cab Trucks'!K324))</f>
        <v>2.9237896991721437E-2</v>
      </c>
      <c r="V203" s="1159">
        <f xml:space="preserve"> IF(MHDV_Inputs!$B$3=1,'Class 6 PnD Trucks'!L324,IF(MHDV_Inputs!$B$3=2,'Class 8 Day-cab Trucks'!L324,'Class 8 Sleeper-cab Trucks'!L324))</f>
        <v>2.9778931985611792E-2</v>
      </c>
      <c r="W203" s="1159">
        <f xml:space="preserve"> IF(MHDV_Inputs!$B$3=1,'Class 6 PnD Trucks'!M324,IF(MHDV_Inputs!$B$3=2,'Class 8 Day-cab Trucks'!M324,'Class 8 Sleeper-cab Trucks'!M324))</f>
        <v>3.0365493913485156E-2</v>
      </c>
      <c r="X203" s="128">
        <f xml:space="preserve"> IF(MHDV_Inputs!$B$3=1,'Class 6 PnD Trucks'!N324,IF(MHDV_Inputs!$B$3=2,'Class 8 Day-cab Trucks'!N324,'Class 8 Sleeper-cab Trucks'!N324))</f>
        <v>3.0504373331640168E-2</v>
      </c>
      <c r="Y203" s="1159"/>
      <c r="Z203" s="1159"/>
      <c r="AA203" s="1159"/>
      <c r="AB203" s="1159"/>
      <c r="AC203" s="1159"/>
      <c r="AD203" s="1159"/>
    </row>
    <row r="204" spans="1:30">
      <c r="A204" s="172"/>
      <c r="B204" s="173" t="s">
        <v>297</v>
      </c>
      <c r="C204" s="212"/>
      <c r="D204" s="302">
        <f xml:space="preserve"> IF(MHDV_Inputs!$C$98=1,M204,IF(MHDV_Inputs!$C$98=2,N204,IF(MHDV_Inputs!$C$98=3,O204,P204)))</f>
        <v>1.1547586843580459E-2</v>
      </c>
      <c r="E204" s="302">
        <f xml:space="preserve"> IF(MHDV_Inputs!$C$99=1,Q204,IF(MHDV_Inputs!$C$99=2,R204,IF(MHDV_Inputs!$C$99=3,S204,T204)))</f>
        <v>1.4278303763291901E-2</v>
      </c>
      <c r="F204" s="593">
        <f xml:space="preserve"> IF(MHDV_Inputs!$C$100=1,U204,IF(MHDV_Inputs!$C$100=2,V204,IF(MHDV_Inputs!$C$100=3,W204,X204)))</f>
        <v>1.2076414029400516E-2</v>
      </c>
      <c r="G204" s="302"/>
      <c r="H204" s="302"/>
      <c r="I204" s="302"/>
      <c r="J204" s="302"/>
      <c r="K204" s="302"/>
      <c r="L204" s="302"/>
      <c r="M204" s="232">
        <f xml:space="preserve"> IF(MHDV_Inputs!$B$3=1,'Class 6 PnD Trucks'!C325,IF(MHDV_Inputs!$B$3=2,'Class 8 Day-cab Trucks'!C325,'Class 8 Sleeper-cab Trucks'!C325))</f>
        <v>1.222588486705003E-2</v>
      </c>
      <c r="N204" s="1159">
        <f xml:space="preserve"> IF(MHDV_Inputs!$B$3=1,'Class 6 PnD Trucks'!D325,IF(MHDV_Inputs!$B$3=2,'Class 8 Day-cab Trucks'!D325,'Class 8 Sleeper-cab Trucks'!D325))</f>
        <v>1.1547586843580459E-2</v>
      </c>
      <c r="O204" s="1159">
        <f xml:space="preserve"> IF(MHDV_Inputs!$B$3=1,'Class 6 PnD Trucks'!E325,IF(MHDV_Inputs!$B$3=2,'Class 8 Day-cab Trucks'!E325,'Class 8 Sleeper-cab Trucks'!E325))</f>
        <v>1.1258678994361554E-2</v>
      </c>
      <c r="P204" s="128">
        <f xml:space="preserve"> IF(MHDV_Inputs!$B$3=1,'Class 6 PnD Trucks'!F325,IF(MHDV_Inputs!$B$3=2,'Class 8 Day-cab Trucks'!F325,'Class 8 Sleeper-cab Trucks'!F325))</f>
        <v>1.1476358610596421E-2</v>
      </c>
      <c r="Q204" s="232">
        <f xml:space="preserve"> IF(MHDV_Inputs!$B$3=1,'Class 6 PnD Trucks'!G325,IF(MHDV_Inputs!$B$3=2,'Class 8 Day-cab Trucks'!G325,'Class 8 Sleeper-cab Trucks'!G325))</f>
        <v>1.5158752577204292E-2</v>
      </c>
      <c r="R204" s="1159">
        <f xml:space="preserve"> IF(MHDV_Inputs!$B$3=1,'Class 6 PnD Trucks'!H325,IF(MHDV_Inputs!$B$3=2,'Class 8 Day-cab Trucks'!H325,'Class 8 Sleeper-cab Trucks'!H325))</f>
        <v>1.4278303763291901E-2</v>
      </c>
      <c r="S204" s="1159">
        <f xml:space="preserve"> IF(MHDV_Inputs!$B$3=1,'Class 6 PnD Trucks'!I325,IF(MHDV_Inputs!$B$3=2,'Class 8 Day-cab Trucks'!I325,'Class 8 Sleeper-cab Trucks'!I325))</f>
        <v>1.3674003051558737E-2</v>
      </c>
      <c r="T204" s="128">
        <f xml:space="preserve"> IF(MHDV_Inputs!$B$3=1,'Class 6 PnD Trucks'!J325,IF(MHDV_Inputs!$B$3=2,'Class 8 Day-cab Trucks'!J325,'Class 8 Sleeper-cab Trucks'!J325))</f>
        <v>0</v>
      </c>
      <c r="U204" s="232">
        <f xml:space="preserve"> IF(MHDV_Inputs!$B$3=1,'Class 6 PnD Trucks'!K325,IF(MHDV_Inputs!$B$3=2,'Class 8 Day-cab Trucks'!K325,'Class 8 Sleeper-cab Trucks'!K325))</f>
        <v>1.2079301288581732E-2</v>
      </c>
      <c r="V204" s="1159">
        <f xml:space="preserve"> IF(MHDV_Inputs!$B$3=1,'Class 6 PnD Trucks'!L325,IF(MHDV_Inputs!$B$3=2,'Class 8 Day-cab Trucks'!L325,'Class 8 Sleeper-cab Trucks'!L325))</f>
        <v>1.2076414029400516E-2</v>
      </c>
      <c r="W204" s="1159">
        <f xml:space="preserve"> IF(MHDV_Inputs!$B$3=1,'Class 6 PnD Trucks'!M325,IF(MHDV_Inputs!$B$3=2,'Class 8 Day-cab Trucks'!M325,'Class 8 Sleeper-cab Trucks'!M325))</f>
        <v>1.1800576884128448E-2</v>
      </c>
      <c r="X204" s="128">
        <f xml:space="preserve"> IF(MHDV_Inputs!$B$3=1,'Class 6 PnD Trucks'!N325,IF(MHDV_Inputs!$B$3=2,'Class 8 Day-cab Trucks'!N325,'Class 8 Sleeper-cab Trucks'!N325))</f>
        <v>1.2012453909872477E-2</v>
      </c>
      <c r="Y204" s="1159"/>
      <c r="Z204" s="1159"/>
      <c r="AA204" s="1159"/>
      <c r="AB204" s="1159"/>
      <c r="AC204" s="1159"/>
      <c r="AD204" s="1159"/>
    </row>
    <row r="205" spans="1:30">
      <c r="A205" s="172"/>
      <c r="B205" s="173" t="s">
        <v>315</v>
      </c>
      <c r="C205" s="212"/>
      <c r="D205" s="302">
        <f xml:space="preserve"> IF(MHDV_Inputs!$C$98=1,M205,IF(MHDV_Inputs!$C$98=2,N205,IF(MHDV_Inputs!$C$98=3,O205,P205)))</f>
        <v>5.4868942998833291E-3</v>
      </c>
      <c r="E205" s="302">
        <f xml:space="preserve"> IF(MHDV_Inputs!$C$99=1,Q205,IF(MHDV_Inputs!$C$99=2,R205,IF(MHDV_Inputs!$C$99=3,S205,T205)))</f>
        <v>3.8495115480671428E-3</v>
      </c>
      <c r="F205" s="593">
        <f xml:space="preserve"> IF(MHDV_Inputs!$C$100=1,U205,IF(MHDV_Inputs!$C$100=2,V205,IF(MHDV_Inputs!$C$100=3,W205,X205)))</f>
        <v>5.1863671140486341E-3</v>
      </c>
      <c r="G205" s="302"/>
      <c r="H205" s="302"/>
      <c r="I205" s="302"/>
      <c r="J205" s="302"/>
      <c r="K205" s="302"/>
      <c r="L205" s="302"/>
      <c r="M205" s="232">
        <f xml:space="preserve"> IF(MHDV_Inputs!$B$3=1,'Class 6 PnD Trucks'!C326,IF(MHDV_Inputs!$B$3=2,'Class 8 Day-cab Trucks'!C326,'Class 8 Sleeper-cab Trucks'!C326))</f>
        <v>5.9526172834739365E-3</v>
      </c>
      <c r="N205" s="1159">
        <f xml:space="preserve"> IF(MHDV_Inputs!$B$3=1,'Class 6 PnD Trucks'!D326,IF(MHDV_Inputs!$B$3=2,'Class 8 Day-cab Trucks'!D326,'Class 8 Sleeper-cab Trucks'!D326))</f>
        <v>5.4868942998833291E-3</v>
      </c>
      <c r="O205" s="1159">
        <f xml:space="preserve"> IF(MHDV_Inputs!$B$3=1,'Class 6 PnD Trucks'!E326,IF(MHDV_Inputs!$B$3=2,'Class 8 Day-cab Trucks'!E326,'Class 8 Sleeper-cab Trucks'!E326))</f>
        <v>5.3234245867814552E-3</v>
      </c>
      <c r="P205" s="128">
        <f xml:space="preserve"> IF(MHDV_Inputs!$B$3=1,'Class 6 PnD Trucks'!F326,IF(MHDV_Inputs!$B$3=2,'Class 8 Day-cab Trucks'!F326,'Class 8 Sleeper-cab Trucks'!F326))</f>
        <v>5.3364106116874661E-3</v>
      </c>
      <c r="Q205" s="232">
        <f xml:space="preserve"> IF(MHDV_Inputs!$B$3=1,'Class 6 PnD Trucks'!G326,IF(MHDV_Inputs!$B$3=2,'Class 8 Day-cab Trucks'!G326,'Class 8 Sleeper-cab Trucks'!G326))</f>
        <v>4.098714517598058E-3</v>
      </c>
      <c r="R205" s="1159">
        <f xml:space="preserve"> IF(MHDV_Inputs!$B$3=1,'Class 6 PnD Trucks'!H326,IF(MHDV_Inputs!$B$3=2,'Class 8 Day-cab Trucks'!H326,'Class 8 Sleeper-cab Trucks'!H326))</f>
        <v>3.8495115480671428E-3</v>
      </c>
      <c r="S205" s="1159">
        <f xml:space="preserve"> IF(MHDV_Inputs!$B$3=1,'Class 6 PnD Trucks'!I326,IF(MHDV_Inputs!$B$3=2,'Class 8 Day-cab Trucks'!I326,'Class 8 Sleeper-cab Trucks'!I326))</f>
        <v>3.6721147847154269E-3</v>
      </c>
      <c r="T205" s="128">
        <f xml:space="preserve"> IF(MHDV_Inputs!$B$3=1,'Class 6 PnD Trucks'!J326,IF(MHDV_Inputs!$B$3=2,'Class 8 Day-cab Trucks'!J326,'Class 8 Sleeper-cab Trucks'!J326))</f>
        <v>0</v>
      </c>
      <c r="U205" s="232">
        <f xml:space="preserve"> IF(MHDV_Inputs!$B$3=1,'Class 6 PnD Trucks'!K326,IF(MHDV_Inputs!$B$3=2,'Class 8 Day-cab Trucks'!K326,'Class 8 Sleeper-cab Trucks'!K326))</f>
        <v>5.3014836907871741E-3</v>
      </c>
      <c r="V205" s="1159">
        <f xml:space="preserve"> IF(MHDV_Inputs!$B$3=1,'Class 6 PnD Trucks'!L326,IF(MHDV_Inputs!$B$3=2,'Class 8 Day-cab Trucks'!L326,'Class 8 Sleeper-cab Trucks'!L326))</f>
        <v>5.1863671140486341E-3</v>
      </c>
      <c r="W205" s="1159">
        <f xml:space="preserve"> IF(MHDV_Inputs!$B$3=1,'Class 6 PnD Trucks'!M326,IF(MHDV_Inputs!$B$3=2,'Class 8 Day-cab Trucks'!M326,'Class 8 Sleeper-cab Trucks'!M326))</f>
        <v>5.0007000031299272E-3</v>
      </c>
      <c r="X205" s="128">
        <f xml:space="preserve"> IF(MHDV_Inputs!$B$3=1,'Class 6 PnD Trucks'!N326,IF(MHDV_Inputs!$B$3=2,'Class 8 Day-cab Trucks'!N326,'Class 8 Sleeper-cab Trucks'!N326))</f>
        <v>5.0190221832286733E-3</v>
      </c>
      <c r="Y205" s="1159"/>
      <c r="Z205" s="1159"/>
      <c r="AA205" s="1159"/>
      <c r="AB205" s="1159"/>
      <c r="AC205" s="1159"/>
      <c r="AD205" s="1159"/>
    </row>
    <row r="206" spans="1:30">
      <c r="A206" s="172"/>
      <c r="B206" s="173" t="s">
        <v>316</v>
      </c>
      <c r="C206" s="212"/>
      <c r="D206" s="302">
        <f xml:space="preserve"> IF(MHDV_Inputs!$C$98=1,M206,IF(MHDV_Inputs!$C$98=2,N206,IF(MHDV_Inputs!$C$98=3,O206,P206)))</f>
        <v>2.8981006571933018E-3</v>
      </c>
      <c r="E206" s="302">
        <f xml:space="preserve"> IF(MHDV_Inputs!$C$99=1,Q206,IF(MHDV_Inputs!$C$99=2,R206,IF(MHDV_Inputs!$C$99=3,S206,T206)))</f>
        <v>1.9623005892971607E-3</v>
      </c>
      <c r="F206" s="593">
        <f xml:space="preserve"> IF(MHDV_Inputs!$C$100=1,U206,IF(MHDV_Inputs!$C$100=2,V206,IF(MHDV_Inputs!$C$100=3,W206,X206)))</f>
        <v>2.865023596361543E-3</v>
      </c>
      <c r="G206" s="302"/>
      <c r="H206" s="302"/>
      <c r="I206" s="302"/>
      <c r="J206" s="302"/>
      <c r="K206" s="302"/>
      <c r="L206" s="302"/>
      <c r="M206" s="232">
        <f xml:space="preserve"> IF(MHDV_Inputs!$B$3=1,'Class 6 PnD Trucks'!C327,IF(MHDV_Inputs!$B$3=2,'Class 8 Day-cab Trucks'!C327,'Class 8 Sleeper-cab Trucks'!C327))</f>
        <v>3.0768503358005171E-3</v>
      </c>
      <c r="N206" s="1159">
        <f xml:space="preserve"> IF(MHDV_Inputs!$B$3=1,'Class 6 PnD Trucks'!D327,IF(MHDV_Inputs!$B$3=2,'Class 8 Day-cab Trucks'!D327,'Class 8 Sleeper-cab Trucks'!D327))</f>
        <v>2.8981006571933018E-3</v>
      </c>
      <c r="O206" s="1159">
        <f xml:space="preserve"> IF(MHDV_Inputs!$B$3=1,'Class 6 PnD Trucks'!E327,IF(MHDV_Inputs!$B$3=2,'Class 8 Day-cab Trucks'!E327,'Class 8 Sleeper-cab Trucks'!E327))</f>
        <v>2.8835223858101225E-3</v>
      </c>
      <c r="P206" s="128">
        <f xml:space="preserve"> IF(MHDV_Inputs!$B$3=1,'Class 6 PnD Trucks'!F327,IF(MHDV_Inputs!$B$3=2,'Class 8 Day-cab Trucks'!F327,'Class 8 Sleeper-cab Trucks'!F327))</f>
        <v>2.8799754895520663E-3</v>
      </c>
      <c r="Q206" s="232">
        <f xml:space="preserve"> IF(MHDV_Inputs!$B$3=1,'Class 6 PnD Trucks'!G327,IF(MHDV_Inputs!$B$3=2,'Class 8 Day-cab Trucks'!G327,'Class 8 Sleeper-cab Trucks'!G327))</f>
        <v>1.9916220254548389E-3</v>
      </c>
      <c r="R206" s="1159">
        <f xml:space="preserve"> IF(MHDV_Inputs!$B$3=1,'Class 6 PnD Trucks'!H327,IF(MHDV_Inputs!$B$3=2,'Class 8 Day-cab Trucks'!H327,'Class 8 Sleeper-cab Trucks'!H327))</f>
        <v>1.9623005892971607E-3</v>
      </c>
      <c r="S206" s="1159">
        <f xml:space="preserve"> IF(MHDV_Inputs!$B$3=1,'Class 6 PnD Trucks'!I327,IF(MHDV_Inputs!$B$3=2,'Class 8 Day-cab Trucks'!I327,'Class 8 Sleeper-cab Trucks'!I327))</f>
        <v>1.9287910558280631E-3</v>
      </c>
      <c r="T206" s="128">
        <f xml:space="preserve"> IF(MHDV_Inputs!$B$3=1,'Class 6 PnD Trucks'!J327,IF(MHDV_Inputs!$B$3=2,'Class 8 Day-cab Trucks'!J327,'Class 8 Sleeper-cab Trucks'!J327))</f>
        <v>0</v>
      </c>
      <c r="U206" s="232">
        <f xml:space="preserve"> IF(MHDV_Inputs!$B$3=1,'Class 6 PnD Trucks'!K327,IF(MHDV_Inputs!$B$3=2,'Class 8 Day-cab Trucks'!K327,'Class 8 Sleeper-cab Trucks'!K327))</f>
        <v>2.8700001518900471E-3</v>
      </c>
      <c r="V206" s="1159">
        <f xml:space="preserve"> IF(MHDV_Inputs!$B$3=1,'Class 6 PnD Trucks'!L327,IF(MHDV_Inputs!$B$3=2,'Class 8 Day-cab Trucks'!L327,'Class 8 Sleeper-cab Trucks'!L327))</f>
        <v>2.865023596361543E-3</v>
      </c>
      <c r="W206" s="1159">
        <f xml:space="preserve"> IF(MHDV_Inputs!$B$3=1,'Class 6 PnD Trucks'!M327,IF(MHDV_Inputs!$B$3=2,'Class 8 Day-cab Trucks'!M327,'Class 8 Sleeper-cab Trucks'!M327))</f>
        <v>2.8734709358278062E-3</v>
      </c>
      <c r="X206" s="128">
        <f xml:space="preserve"> IF(MHDV_Inputs!$B$3=1,'Class 6 PnD Trucks'!N327,IF(MHDV_Inputs!$B$3=2,'Class 8 Day-cab Trucks'!N327,'Class 8 Sleeper-cab Trucks'!N327))</f>
        <v>2.8680394871338486E-3</v>
      </c>
      <c r="Y206" s="1159"/>
      <c r="Z206" s="1159"/>
      <c r="AA206" s="1159"/>
      <c r="AB206" s="1159"/>
      <c r="AC206" s="1159"/>
      <c r="AD206" s="1159"/>
    </row>
    <row r="207" spans="1:30">
      <c r="A207" s="172"/>
      <c r="B207" s="173" t="s">
        <v>251</v>
      </c>
      <c r="C207" s="212"/>
      <c r="D207" s="302">
        <f xml:space="preserve"> IF(MHDV_Inputs!$C$98=1,M207,IF(MHDV_Inputs!$C$98=2,N207,IF(MHDV_Inputs!$C$98=3,O207,P207)))</f>
        <v>6.3592803689970986E-3</v>
      </c>
      <c r="E207" s="302">
        <f xml:space="preserve"> IF(MHDV_Inputs!$C$99=1,Q207,IF(MHDV_Inputs!$C$99=2,R207,IF(MHDV_Inputs!$C$99=3,S207,T207)))</f>
        <v>5.8112153966074186E-4</v>
      </c>
      <c r="F207" s="593">
        <f xml:space="preserve"> IF(MHDV_Inputs!$C$100=1,U207,IF(MHDV_Inputs!$C$100=2,V207,IF(MHDV_Inputs!$C$100=3,W207,X207)))</f>
        <v>6.2134965258607662E-3</v>
      </c>
      <c r="G207" s="302"/>
      <c r="H207" s="302"/>
      <c r="I207" s="302"/>
      <c r="J207" s="302"/>
      <c r="K207" s="302"/>
      <c r="L207" s="302"/>
      <c r="M207" s="232">
        <f xml:space="preserve"> IF(MHDV_Inputs!$B$3=1,'Class 6 PnD Trucks'!C328,IF(MHDV_Inputs!$B$3=2,'Class 8 Day-cab Trucks'!C328,'Class 8 Sleeper-cab Trucks'!C328))</f>
        <v>6.755386840039305E-3</v>
      </c>
      <c r="N207" s="1159">
        <f xml:space="preserve"> IF(MHDV_Inputs!$B$3=1,'Class 6 PnD Trucks'!D328,IF(MHDV_Inputs!$B$3=2,'Class 8 Day-cab Trucks'!D328,'Class 8 Sleeper-cab Trucks'!D328))</f>
        <v>6.3592803689970986E-3</v>
      </c>
      <c r="O207" s="1159">
        <f xml:space="preserve"> IF(MHDV_Inputs!$B$3=1,'Class 6 PnD Trucks'!E328,IF(MHDV_Inputs!$B$3=2,'Class 8 Day-cab Trucks'!E328,'Class 8 Sleeper-cab Trucks'!E328))</f>
        <v>6.3227478968633745E-3</v>
      </c>
      <c r="P207" s="128">
        <f xml:space="preserve"> IF(MHDV_Inputs!$B$3=1,'Class 6 PnD Trucks'!F328,IF(MHDV_Inputs!$B$3=2,'Class 8 Day-cab Trucks'!F328,'Class 8 Sleeper-cab Trucks'!F328))</f>
        <v>6.3078967300302076E-3</v>
      </c>
      <c r="Q207" s="232">
        <f xml:space="preserve"> IF(MHDV_Inputs!$B$3=1,'Class 6 PnD Trucks'!G328,IF(MHDV_Inputs!$B$3=2,'Class 8 Day-cab Trucks'!G328,'Class 8 Sleeper-cab Trucks'!G328))</f>
        <v>5.8584562486982416E-4</v>
      </c>
      <c r="R207" s="1159">
        <f xml:space="preserve"> IF(MHDV_Inputs!$B$3=1,'Class 6 PnD Trucks'!H328,IF(MHDV_Inputs!$B$3=2,'Class 8 Day-cab Trucks'!H328,'Class 8 Sleeper-cab Trucks'!H328))</f>
        <v>5.8112153966074186E-4</v>
      </c>
      <c r="S207" s="1159">
        <f xml:space="preserve"> IF(MHDV_Inputs!$B$3=1,'Class 6 PnD Trucks'!I328,IF(MHDV_Inputs!$B$3=2,'Class 8 Day-cab Trucks'!I328,'Class 8 Sleeper-cab Trucks'!I328))</f>
        <v>5.7394994093506113E-4</v>
      </c>
      <c r="T207" s="128">
        <f xml:space="preserve"> IF(MHDV_Inputs!$B$3=1,'Class 6 PnD Trucks'!J328,IF(MHDV_Inputs!$B$3=2,'Class 8 Day-cab Trucks'!J328,'Class 8 Sleeper-cab Trucks'!J328))</f>
        <v>0</v>
      </c>
      <c r="U207" s="232">
        <f xml:space="preserve"> IF(MHDV_Inputs!$B$3=1,'Class 6 PnD Trucks'!K328,IF(MHDV_Inputs!$B$3=2,'Class 8 Day-cab Trucks'!K328,'Class 8 Sleeper-cab Trucks'!K328))</f>
        <v>6.2214937337698251E-3</v>
      </c>
      <c r="V207" s="1159">
        <f xml:space="preserve"> IF(MHDV_Inputs!$B$3=1,'Class 6 PnD Trucks'!L328,IF(MHDV_Inputs!$B$3=2,'Class 8 Day-cab Trucks'!L328,'Class 8 Sleeper-cab Trucks'!L328))</f>
        <v>6.2134965258607662E-3</v>
      </c>
      <c r="W207" s="1159">
        <f xml:space="preserve"> IF(MHDV_Inputs!$B$3=1,'Class 6 PnD Trucks'!M328,IF(MHDV_Inputs!$B$3=2,'Class 8 Day-cab Trucks'!M328,'Class 8 Sleeper-cab Trucks'!M328))</f>
        <v>6.2686315257409501E-3</v>
      </c>
      <c r="X207" s="128">
        <f xml:space="preserve"> IF(MHDV_Inputs!$B$3=1,'Class 6 PnD Trucks'!N328,IF(MHDV_Inputs!$B$3=2,'Class 8 Day-cab Trucks'!N328,'Class 8 Sleeper-cab Trucks'!N328))</f>
        <v>6.2515632458958643E-3</v>
      </c>
      <c r="Y207" s="1159"/>
      <c r="Z207" s="1159"/>
      <c r="AA207" s="1159"/>
      <c r="AB207" s="1159"/>
      <c r="AC207" s="1159"/>
      <c r="AD207" s="1159"/>
    </row>
    <row r="208" spans="1:30">
      <c r="A208" s="172"/>
      <c r="B208" s="173" t="s">
        <v>317</v>
      </c>
      <c r="C208" s="212"/>
      <c r="D208" s="302">
        <f xml:space="preserve"> IF(MHDV_Inputs!$C$98=1,M208,IF(MHDV_Inputs!$C$98=2,N208,IF(MHDV_Inputs!$C$98=3,O208,P208)))</f>
        <v>1.732632915361312E-2</v>
      </c>
      <c r="E208" s="302">
        <f xml:space="preserve"> IF(MHDV_Inputs!$C$99=1,Q208,IF(MHDV_Inputs!$C$99=2,R208,IF(MHDV_Inputs!$C$99=3,S208,T208)))</f>
        <v>5.0524040751697965E-3</v>
      </c>
      <c r="F208" s="593">
        <f xml:space="preserve"> IF(MHDV_Inputs!$C$100=1,U208,IF(MHDV_Inputs!$C$100=2,V208,IF(MHDV_Inputs!$C$100=3,W208,X208)))</f>
        <v>1.7786569906881346E-2</v>
      </c>
      <c r="G208" s="302"/>
      <c r="H208" s="302"/>
      <c r="I208" s="302"/>
      <c r="J208" s="302"/>
      <c r="K208" s="302"/>
      <c r="L208" s="302"/>
      <c r="M208" s="232">
        <f xml:space="preserve"> IF(MHDV_Inputs!$B$3=1,'Class 6 PnD Trucks'!C329,IF(MHDV_Inputs!$B$3=2,'Class 8 Day-cab Trucks'!C329,'Class 8 Sleeper-cab Trucks'!C329))</f>
        <v>1.704736458669252E-2</v>
      </c>
      <c r="N208" s="1159">
        <f xml:space="preserve"> IF(MHDV_Inputs!$B$3=1,'Class 6 PnD Trucks'!D329,IF(MHDV_Inputs!$B$3=2,'Class 8 Day-cab Trucks'!D329,'Class 8 Sleeper-cab Trucks'!D329))</f>
        <v>1.732632915361312E-2</v>
      </c>
      <c r="O208" s="1159">
        <f xml:space="preserve"> IF(MHDV_Inputs!$B$3=1,'Class 6 PnD Trucks'!E329,IF(MHDV_Inputs!$B$3=2,'Class 8 Day-cab Trucks'!E329,'Class 8 Sleeper-cab Trucks'!E329))</f>
        <v>1.6971451790053535E-2</v>
      </c>
      <c r="P208" s="128">
        <f xml:space="preserve"> IF(MHDV_Inputs!$B$3=1,'Class 6 PnD Trucks'!F329,IF(MHDV_Inputs!$B$3=2,'Class 8 Day-cab Trucks'!F329,'Class 8 Sleeper-cab Trucks'!F329))</f>
        <v>1.6826163779238647E-2</v>
      </c>
      <c r="Q208" s="232">
        <f xml:space="preserve"> IF(MHDV_Inputs!$B$3=1,'Class 6 PnD Trucks'!G329,IF(MHDV_Inputs!$B$3=2,'Class 8 Day-cab Trucks'!G329,'Class 8 Sleeper-cab Trucks'!G329))</f>
        <v>5.3028913254348949E-3</v>
      </c>
      <c r="R208" s="1159">
        <f xml:space="preserve"> IF(MHDV_Inputs!$B$3=1,'Class 6 PnD Trucks'!H329,IF(MHDV_Inputs!$B$3=2,'Class 8 Day-cab Trucks'!H329,'Class 8 Sleeper-cab Trucks'!H329))</f>
        <v>5.0524040751697965E-3</v>
      </c>
      <c r="S208" s="1159">
        <f xml:space="preserve"> IF(MHDV_Inputs!$B$3=1,'Class 6 PnD Trucks'!I329,IF(MHDV_Inputs!$B$3=2,'Class 8 Day-cab Trucks'!I329,'Class 8 Sleeper-cab Trucks'!I329))</f>
        <v>4.8593253454655349E-3</v>
      </c>
      <c r="T208" s="128">
        <f xml:space="preserve"> IF(MHDV_Inputs!$B$3=1,'Class 6 PnD Trucks'!J329,IF(MHDV_Inputs!$B$3=2,'Class 8 Day-cab Trucks'!J329,'Class 8 Sleeper-cab Trucks'!J329))</f>
        <v>0</v>
      </c>
      <c r="U208" s="232">
        <f xml:space="preserve"> IF(MHDV_Inputs!$B$3=1,'Class 6 PnD Trucks'!K329,IF(MHDV_Inputs!$B$3=2,'Class 8 Day-cab Trucks'!K329,'Class 8 Sleeper-cab Trucks'!K329))</f>
        <v>1.8311822750040455E-2</v>
      </c>
      <c r="V208" s="1159">
        <f xml:space="preserve"> IF(MHDV_Inputs!$B$3=1,'Class 6 PnD Trucks'!L329,IF(MHDV_Inputs!$B$3=2,'Class 8 Day-cab Trucks'!L329,'Class 8 Sleeper-cab Trucks'!L329))</f>
        <v>1.7786569906881346E-2</v>
      </c>
      <c r="W208" s="1159">
        <f xml:space="preserve"> IF(MHDV_Inputs!$B$3=1,'Class 6 PnD Trucks'!M329,IF(MHDV_Inputs!$B$3=2,'Class 8 Day-cab Trucks'!M329,'Class 8 Sleeper-cab Trucks'!M329))</f>
        <v>1.739923709694224E-2</v>
      </c>
      <c r="X208" s="128">
        <f xml:space="preserve"> IF(MHDV_Inputs!$B$3=1,'Class 6 PnD Trucks'!N329,IF(MHDV_Inputs!$B$3=2,'Class 8 Day-cab Trucks'!N329,'Class 8 Sleeper-cab Trucks'!N329))</f>
        <v>1.7239061366549742E-2</v>
      </c>
      <c r="Y208" s="1159"/>
      <c r="Z208" s="1159"/>
      <c r="AA208" s="1159"/>
      <c r="AB208" s="1159"/>
      <c r="AC208" s="1159"/>
      <c r="AD208" s="1159"/>
    </row>
    <row r="209" spans="1:30">
      <c r="A209" s="172"/>
      <c r="B209" s="173" t="s">
        <v>318</v>
      </c>
      <c r="C209" s="212"/>
      <c r="D209" s="302">
        <f xml:space="preserve"> IF(MHDV_Inputs!$C$98=1,M209,IF(MHDV_Inputs!$C$98=2,N209,IF(MHDV_Inputs!$C$98=3,O209,P209)))</f>
        <v>8.7309894175127772E-2</v>
      </c>
      <c r="E209" s="302">
        <f xml:space="preserve"> IF(MHDV_Inputs!$C$99=1,Q209,IF(MHDV_Inputs!$C$99=2,R209,IF(MHDV_Inputs!$C$99=3,S209,T209)))</f>
        <v>2.3241096937465327E-2</v>
      </c>
      <c r="F209" s="593">
        <f xml:space="preserve"> IF(MHDV_Inputs!$C$100=1,U209,IF(MHDV_Inputs!$C$100=2,V209,IF(MHDV_Inputs!$C$100=3,W209,X209)))</f>
        <v>7.2225447370593096E-2</v>
      </c>
      <c r="G209" s="302"/>
      <c r="H209" s="302"/>
      <c r="I209" s="302"/>
      <c r="J209" s="302"/>
      <c r="K209" s="302"/>
      <c r="L209" s="302"/>
      <c r="M209" s="232">
        <f xml:space="preserve"> IF(MHDV_Inputs!$B$3=1,'Class 6 PnD Trucks'!C330,IF(MHDV_Inputs!$B$3=2,'Class 8 Day-cab Trucks'!C330,'Class 8 Sleeper-cab Trucks'!C330))</f>
        <v>9.6260447467997334E-2</v>
      </c>
      <c r="N209" s="1159">
        <f xml:space="preserve"> IF(MHDV_Inputs!$B$3=1,'Class 6 PnD Trucks'!D330,IF(MHDV_Inputs!$B$3=2,'Class 8 Day-cab Trucks'!D330,'Class 8 Sleeper-cab Trucks'!D330))</f>
        <v>8.7309894175127772E-2</v>
      </c>
      <c r="O209" s="1159">
        <f xml:space="preserve"> IF(MHDV_Inputs!$B$3=1,'Class 6 PnD Trucks'!E330,IF(MHDV_Inputs!$B$3=2,'Class 8 Day-cab Trucks'!E330,'Class 8 Sleeper-cab Trucks'!E330))</f>
        <v>8.6135262518074934E-2</v>
      </c>
      <c r="P209" s="128">
        <f xml:space="preserve"> IF(MHDV_Inputs!$B$3=1,'Class 6 PnD Trucks'!F330,IF(MHDV_Inputs!$B$3=2,'Class 8 Day-cab Trucks'!F330,'Class 8 Sleeper-cab Trucks'!F330))</f>
        <v>8.4718447548899553E-2</v>
      </c>
      <c r="Q209" s="232">
        <f xml:space="preserve"> IF(MHDV_Inputs!$B$3=1,'Class 6 PnD Trucks'!G330,IF(MHDV_Inputs!$B$3=2,'Class 8 Day-cab Trucks'!G330,'Class 8 Sleeper-cab Trucks'!G330))</f>
        <v>2.4114605308929647E-2</v>
      </c>
      <c r="R209" s="1159">
        <f xml:space="preserve"> IF(MHDV_Inputs!$B$3=1,'Class 6 PnD Trucks'!H330,IF(MHDV_Inputs!$B$3=2,'Class 8 Day-cab Trucks'!H330,'Class 8 Sleeper-cab Trucks'!H330))</f>
        <v>2.3241096937465327E-2</v>
      </c>
      <c r="S209" s="1159">
        <f xml:space="preserve"> IF(MHDV_Inputs!$B$3=1,'Class 6 PnD Trucks'!I330,IF(MHDV_Inputs!$B$3=2,'Class 8 Day-cab Trucks'!I330,'Class 8 Sleeper-cab Trucks'!I330))</f>
        <v>2.2438034241543978E-2</v>
      </c>
      <c r="T209" s="128">
        <f xml:space="preserve"> IF(MHDV_Inputs!$B$3=1,'Class 6 PnD Trucks'!J330,IF(MHDV_Inputs!$B$3=2,'Class 8 Day-cab Trucks'!J330,'Class 8 Sleeper-cab Trucks'!J330))</f>
        <v>0</v>
      </c>
      <c r="U209" s="232">
        <f xml:space="preserve"> IF(MHDV_Inputs!$B$3=1,'Class 6 PnD Trucks'!K330,IF(MHDV_Inputs!$B$3=2,'Class 8 Day-cab Trucks'!K330,'Class 8 Sleeper-cab Trucks'!K330))</f>
        <v>7.5116752090076386E-2</v>
      </c>
      <c r="V209" s="1159">
        <f xml:space="preserve"> IF(MHDV_Inputs!$B$3=1,'Class 6 PnD Trucks'!L330,IF(MHDV_Inputs!$B$3=2,'Class 8 Day-cab Trucks'!L330,'Class 8 Sleeper-cab Trucks'!L330))</f>
        <v>7.2225447370593096E-2</v>
      </c>
      <c r="W209" s="1159">
        <f xml:space="preserve"> IF(MHDV_Inputs!$B$3=1,'Class 6 PnD Trucks'!M330,IF(MHDV_Inputs!$B$3=2,'Class 8 Day-cab Trucks'!M330,'Class 8 Sleeper-cab Trucks'!M330))</f>
        <v>7.0122135126101007E-2</v>
      </c>
      <c r="X209" s="128">
        <f xml:space="preserve"> IF(MHDV_Inputs!$B$3=1,'Class 6 PnD Trucks'!N330,IF(MHDV_Inputs!$B$3=2,'Class 8 Day-cab Trucks'!N330,'Class 8 Sleeper-cab Trucks'!N330))</f>
        <v>6.8984414708336855E-2</v>
      </c>
      <c r="Y209" s="1159"/>
      <c r="Z209" s="1159"/>
      <c r="AA209" s="1159"/>
      <c r="AB209" s="1159"/>
      <c r="AC209" s="1159"/>
      <c r="AD209" s="1159"/>
    </row>
    <row r="210" spans="1:30">
      <c r="A210" s="172"/>
      <c r="B210" s="174" t="s">
        <v>319</v>
      </c>
      <c r="C210" s="193"/>
      <c r="D210" s="1020">
        <f xml:space="preserve"> IF(MHDV_Inputs!$C$98=1,M210,IF(MHDV_Inputs!$C$98=2,N210,IF(MHDV_Inputs!$C$98=3,O210,P210)))</f>
        <v>4.9776808612314823E-2</v>
      </c>
      <c r="E210" s="1020">
        <f xml:space="preserve"> IF(MHDV_Inputs!$C$99=1,Q210,IF(MHDV_Inputs!$C$99=2,R210,IF(MHDV_Inputs!$C$99=3,S210,T210)))</f>
        <v>1.1002455516059689E-3</v>
      </c>
      <c r="F210" s="210">
        <f xml:space="preserve"> IF(MHDV_Inputs!$C$100=1,U210,IF(MHDV_Inputs!$C$100=2,V210,IF(MHDV_Inputs!$C$100=3,W210,X210)))</f>
        <v>4.2062112978796098E-2</v>
      </c>
      <c r="G210" s="185"/>
      <c r="H210" s="185"/>
      <c r="I210" s="1020"/>
      <c r="J210" s="1020"/>
      <c r="K210" s="1020"/>
      <c r="L210" s="185"/>
      <c r="M210" s="239">
        <f xml:space="preserve"> IF(MHDV_Inputs!$B$3=1,'Class 6 PnD Trucks'!C331,IF(MHDV_Inputs!$B$3=2,'Class 8 Day-cab Trucks'!C331,'Class 8 Sleeper-cab Trucks'!C331))</f>
        <v>5.5160840791934819E-2</v>
      </c>
      <c r="N210" s="129">
        <f xml:space="preserve"> IF(MHDV_Inputs!$B$3=1,'Class 6 PnD Trucks'!D331,IF(MHDV_Inputs!$B$3=2,'Class 8 Day-cab Trucks'!D331,'Class 8 Sleeper-cab Trucks'!D331))</f>
        <v>4.9776808612314823E-2</v>
      </c>
      <c r="O210" s="129">
        <f xml:space="preserve"> IF(MHDV_Inputs!$B$3=1,'Class 6 PnD Trucks'!E331,IF(MHDV_Inputs!$B$3=2,'Class 8 Day-cab Trucks'!E331,'Class 8 Sleeper-cab Trucks'!E331))</f>
        <v>4.774835610385976E-2</v>
      </c>
      <c r="P210" s="130">
        <f xml:space="preserve"> IF(MHDV_Inputs!$B$3=1,'Class 6 PnD Trucks'!F331,IF(MHDV_Inputs!$B$3=2,'Class 8 Day-cab Trucks'!F331,'Class 8 Sleeper-cab Trucks'!F331))</f>
        <v>4.7008967750843858E-2</v>
      </c>
      <c r="Q210" s="239">
        <f xml:space="preserve"> IF(MHDV_Inputs!$B$3=1,'Class 6 PnD Trucks'!G331,IF(MHDV_Inputs!$B$3=2,'Class 8 Day-cab Trucks'!G331,'Class 8 Sleeper-cab Trucks'!G331))</f>
        <v>1.1694619028887287E-3</v>
      </c>
      <c r="R210" s="129">
        <f xml:space="preserve"> IF(MHDV_Inputs!$B$3=1,'Class 6 PnD Trucks'!H331,IF(MHDV_Inputs!$B$3=2,'Class 8 Day-cab Trucks'!H331,'Class 8 Sleeper-cab Trucks'!H331))</f>
        <v>1.1002455516059689E-3</v>
      </c>
      <c r="S210" s="129">
        <f xml:space="preserve"> IF(MHDV_Inputs!$B$3=1,'Class 6 PnD Trucks'!I331,IF(MHDV_Inputs!$B$3=2,'Class 8 Day-cab Trucks'!I331,'Class 8 Sleeper-cab Trucks'!I331))</f>
        <v>1.0285160259406228E-3</v>
      </c>
      <c r="T210" s="130">
        <f xml:space="preserve"> IF(MHDV_Inputs!$B$3=1,'Class 6 PnD Trucks'!J331,IF(MHDV_Inputs!$B$3=2,'Class 8 Day-cab Trucks'!J331,'Class 8 Sleeper-cab Trucks'!J331))</f>
        <v>0</v>
      </c>
      <c r="U210" s="239">
        <f xml:space="preserve"> IF(MHDV_Inputs!$B$3=1,'Class 6 PnD Trucks'!K331,IF(MHDV_Inputs!$B$3=2,'Class 8 Day-cab Trucks'!K331,'Class 8 Sleeper-cab Trucks'!K331))</f>
        <v>4.4039483092429887E-2</v>
      </c>
      <c r="V210" s="129">
        <f xml:space="preserve"> IF(MHDV_Inputs!$B$3=1,'Class 6 PnD Trucks'!L331,IF(MHDV_Inputs!$B$3=2,'Class 8 Day-cab Trucks'!L331,'Class 8 Sleeper-cab Trucks'!L331))</f>
        <v>4.2062112978796098E-2</v>
      </c>
      <c r="W210" s="129">
        <f xml:space="preserve"> IF(MHDV_Inputs!$B$3=1,'Class 6 PnD Trucks'!M331,IF(MHDV_Inputs!$B$3=2,'Class 8 Day-cab Trucks'!M331,'Class 8 Sleeper-cab Trucks'!M331))</f>
        <v>4.0402437547653068E-2</v>
      </c>
      <c r="X210" s="130">
        <f xml:space="preserve"> IF(MHDV_Inputs!$B$3=1,'Class 6 PnD Trucks'!N331,IF(MHDV_Inputs!$B$3=2,'Class 8 Day-cab Trucks'!N331,'Class 8 Sleeper-cab Trucks'!N331))</f>
        <v>3.974501541070577E-2</v>
      </c>
      <c r="Y210" s="1159"/>
      <c r="Z210" s="1159"/>
      <c r="AA210" s="1159"/>
      <c r="AB210" s="1159"/>
      <c r="AC210" s="1159"/>
      <c r="AD210" s="1159"/>
    </row>
    <row r="211" spans="1:30">
      <c r="A211" s="172"/>
    </row>
    <row r="212" spans="1:30" ht="15">
      <c r="A212" s="120" t="s">
        <v>2436</v>
      </c>
    </row>
    <row r="213" spans="1:30">
      <c r="A213" s="172" t="s">
        <v>2437</v>
      </c>
    </row>
    <row r="214" spans="1:30">
      <c r="A214" s="172"/>
      <c r="B214" s="1627" t="s">
        <v>2438</v>
      </c>
      <c r="C214" s="1308">
        <f xml:space="preserve"> IF(MHDV_Inputs!$B$3=1,SUM('Class 6 PnD Trucks'!C243:C245),IF(MHDV_Inputs!$B$3=2,SUM('Class 8 Day-cab Trucks'!C243:C247),SUM('Class 8 Sleeper-cab Trucks'!C243:C247)))</f>
        <v>11263.980700433651</v>
      </c>
    </row>
    <row r="215" spans="1:30">
      <c r="A215" s="172"/>
    </row>
    <row r="216" spans="1:30">
      <c r="A216" s="172" t="s">
        <v>2439</v>
      </c>
    </row>
    <row r="217" spans="1:30">
      <c r="A217" s="1461"/>
      <c r="B217" s="58"/>
      <c r="C217" s="1956" t="s">
        <v>2387</v>
      </c>
      <c r="D217" s="1859"/>
      <c r="E217" s="1859"/>
      <c r="F217" s="1859"/>
    </row>
    <row r="218" spans="1:30">
      <c r="A218" s="1461"/>
      <c r="B218" s="178" t="s">
        <v>2440</v>
      </c>
      <c r="C218" s="595"/>
      <c r="D218" s="1159"/>
      <c r="E218" s="1159"/>
      <c r="F218" s="1159"/>
    </row>
    <row r="219" spans="1:30">
      <c r="A219" s="172"/>
      <c r="B219" s="1949" t="s">
        <v>38</v>
      </c>
      <c r="C219" s="594">
        <f xml:space="preserve"> IF(MHDV_Inputs!$B$3=1,'Class 6 PnD Trucks'!C258,IF(MHDV_Inputs!$B$3=2,'Class 8 Day-cab Trucks'!C258,'Class 8 Sleeper-cab Trucks'!C258))</f>
        <v>0.10613413478606952</v>
      </c>
      <c r="D219" s="1159"/>
      <c r="E219" s="1159"/>
      <c r="F219" s="1159"/>
    </row>
    <row r="220" spans="1:30">
      <c r="A220" s="1461"/>
      <c r="B220" s="1949" t="s">
        <v>2406</v>
      </c>
      <c r="C220" s="594">
        <f xml:space="preserve"> IF(MHDV_Inputs!$B$3=1,'Class 6 PnD Trucks'!C259,IF(MHDV_Inputs!$B$3=2,'Class 8 Day-cab Trucks'!C259,'Class 8 Sleeper-cab Trucks'!C259))</f>
        <v>2.2081988982309638E-3</v>
      </c>
      <c r="D220" s="1159"/>
      <c r="E220" s="1159"/>
      <c r="F220" s="1159"/>
    </row>
    <row r="221" spans="1:30">
      <c r="A221" s="1461"/>
      <c r="B221" s="1949" t="s">
        <v>2405</v>
      </c>
      <c r="C221" s="594">
        <f xml:space="preserve"> IF(MHDV_Inputs!$B$3=1,'Class 6 PnD Trucks'!C260,IF(MHDV_Inputs!$B$3=2,'Class 8 Day-cab Trucks'!C260,'Class 8 Sleeper-cab Trucks'!C260))</f>
        <v>0.50526969839142832</v>
      </c>
      <c r="D221" s="1159"/>
      <c r="E221" s="1159"/>
      <c r="F221" s="1159"/>
    </row>
    <row r="222" spans="1:30">
      <c r="A222" s="1461"/>
      <c r="B222" s="1949" t="s">
        <v>2428</v>
      </c>
      <c r="C222" s="594">
        <f xml:space="preserve"> IF(MHDV_Inputs!$B$3=1,'Class 6 PnD Trucks'!C261,IF(MHDV_Inputs!$B$3=2,'Class 8 Day-cab Trucks'!C261,'Class 8 Sleeper-cab Trucks'!C261))</f>
        <v>0.38270362658769846</v>
      </c>
      <c r="D222" s="1159"/>
      <c r="E222" s="1159"/>
      <c r="F222" s="1159"/>
    </row>
    <row r="223" spans="1:30">
      <c r="A223" s="1461"/>
      <c r="B223" s="1950" t="s">
        <v>61</v>
      </c>
      <c r="C223" s="594">
        <f xml:space="preserve"> IF(MHDV_Inputs!$B$3=1,'Class 6 PnD Trucks'!C262,IF(MHDV_Inputs!$B$3=2,'Class 8 Day-cab Trucks'!C262,'Class 8 Sleeper-cab Trucks'!C262))</f>
        <v>3.684341336572776E-3</v>
      </c>
      <c r="D223" s="1159"/>
      <c r="E223" s="1159"/>
      <c r="F223" s="1159"/>
    </row>
    <row r="224" spans="1:30">
      <c r="A224" s="1461"/>
      <c r="B224" s="178" t="s">
        <v>2441</v>
      </c>
      <c r="C224" s="595"/>
      <c r="D224" s="1159"/>
      <c r="E224" s="1159"/>
      <c r="F224" s="1159"/>
    </row>
    <row r="225" spans="1:6">
      <c r="A225" s="172"/>
      <c r="B225" s="1949" t="s">
        <v>1868</v>
      </c>
      <c r="C225" s="594">
        <f xml:space="preserve"> IF(MHDV_Inputs!$B$3=1,'Class 6 PnD Trucks'!C264,IF(MHDV_Inputs!$B$3=2,'Class 8 Day-cab Trucks'!C264,'Class 8 Sleeper-cab Trucks'!C264))</f>
        <v>0</v>
      </c>
      <c r="D225" s="1159"/>
      <c r="E225" s="1159"/>
      <c r="F225" s="1159"/>
    </row>
    <row r="226" spans="1:6">
      <c r="A226" s="1461"/>
      <c r="B226" s="1949" t="s">
        <v>38</v>
      </c>
      <c r="C226" s="594">
        <f xml:space="preserve"> IF(MHDV_Inputs!$B$3=1,'Class 6 PnD Trucks'!C265,IF(MHDV_Inputs!$B$3=2,'Class 8 Day-cab Trucks'!C265,'Class 8 Sleeper-cab Trucks'!C265))</f>
        <v>0.57726090938050345</v>
      </c>
      <c r="D226" s="1159"/>
      <c r="E226" s="1159"/>
      <c r="F226" s="1159"/>
    </row>
    <row r="227" spans="1:6">
      <c r="A227" s="1461"/>
      <c r="B227" s="1949" t="s">
        <v>1869</v>
      </c>
      <c r="C227" s="594">
        <f xml:space="preserve"> IF(MHDV_Inputs!$B$3=1,'Class 6 PnD Trucks'!C266,IF(MHDV_Inputs!$B$3=2,'Class 8 Day-cab Trucks'!C266,'Class 8 Sleeper-cab Trucks'!C266))</f>
        <v>0.13515368157799765</v>
      </c>
      <c r="D227" s="1159"/>
      <c r="E227" s="1159"/>
      <c r="F227" s="1159"/>
    </row>
    <row r="228" spans="1:6">
      <c r="A228" s="1461"/>
      <c r="B228" s="1949" t="s">
        <v>2406</v>
      </c>
      <c r="C228" s="594">
        <f xml:space="preserve"> IF(MHDV_Inputs!$B$3=1,'Class 6 PnD Trucks'!C267,IF(MHDV_Inputs!$B$3=2,'Class 8 Day-cab Trucks'!C267,'Class 8 Sleeper-cab Trucks'!C267))</f>
        <v>8.5988383643863256E-2</v>
      </c>
      <c r="D228" s="1159"/>
      <c r="E228" s="1159"/>
      <c r="F228" s="1159"/>
    </row>
    <row r="229" spans="1:6">
      <c r="A229" s="1461"/>
      <c r="B229" s="1949" t="s">
        <v>2405</v>
      </c>
      <c r="C229" s="594">
        <f xml:space="preserve"> IF(MHDV_Inputs!$B$3=1,'Class 6 PnD Trucks'!C268,IF(MHDV_Inputs!$B$3=2,'Class 8 Day-cab Trucks'!C268,'Class 8 Sleeper-cab Trucks'!C268))</f>
        <v>1.8515537890128741E-3</v>
      </c>
      <c r="D229" s="1159"/>
      <c r="E229" s="1159"/>
      <c r="F229" s="1159"/>
    </row>
    <row r="230" spans="1:6">
      <c r="A230" s="1461"/>
      <c r="B230" s="1949" t="s">
        <v>61</v>
      </c>
      <c r="C230" s="594">
        <f xml:space="preserve"> IF(MHDV_Inputs!$B$3=1,'Class 6 PnD Trucks'!C269,IF(MHDV_Inputs!$B$3=2,'Class 8 Day-cab Trucks'!C269,'Class 8 Sleeper-cab Trucks'!C269))</f>
        <v>0.18361746360432646</v>
      </c>
      <c r="D230" s="1159"/>
      <c r="E230" s="1159"/>
      <c r="F230" s="1159"/>
    </row>
    <row r="231" spans="1:6">
      <c r="A231" s="1461"/>
      <c r="B231" s="1949" t="s">
        <v>60</v>
      </c>
      <c r="C231" s="594">
        <f xml:space="preserve"> IF(MHDV_Inputs!$B$3=1,'Class 6 PnD Trucks'!C270,IF(MHDV_Inputs!$B$3=2,'Class 8 Day-cab Trucks'!C270,'Class 8 Sleeper-cab Trucks'!C270))</f>
        <v>3.8980079768692095E-5</v>
      </c>
      <c r="D231" s="1159"/>
      <c r="E231" s="1159"/>
      <c r="F231" s="1159"/>
    </row>
    <row r="232" spans="1:6">
      <c r="A232" s="1461"/>
      <c r="B232" s="1949" t="s">
        <v>2420</v>
      </c>
      <c r="C232" s="594">
        <f xml:space="preserve"> IF(MHDV_Inputs!$B$3=1,'Class 6 PnD Trucks'!C271,IF(MHDV_Inputs!$B$3=2,'Class 8 Day-cab Trucks'!C271,'Class 8 Sleeper-cab Trucks'!C271))</f>
        <v>1.6079282904585487E-2</v>
      </c>
      <c r="D232" s="1159"/>
      <c r="E232" s="1159"/>
      <c r="F232" s="1159"/>
    </row>
    <row r="233" spans="1:6">
      <c r="A233" s="1461"/>
      <c r="B233" s="1949" t="s">
        <v>2426</v>
      </c>
      <c r="C233" s="594">
        <f xml:space="preserve"> IF(MHDV_Inputs!$B$3=1,'Class 6 PnD Trucks'!C272,IF(MHDV_Inputs!$B$3=2,'Class 8 Day-cab Trucks'!C272,'Class 8 Sleeper-cab Trucks'!C272))</f>
        <v>0</v>
      </c>
      <c r="D233" s="1159"/>
      <c r="E233" s="1159"/>
      <c r="F233" s="1159"/>
    </row>
    <row r="234" spans="1:6">
      <c r="A234" s="1461"/>
      <c r="B234" s="1950" t="s">
        <v>2442</v>
      </c>
      <c r="C234" s="596">
        <f xml:space="preserve"> IF(MHDV_Inputs!$B$3=1,'Class 6 PnD Trucks'!C273,IF(MHDV_Inputs!$B$3=2,'Class 8 Day-cab Trucks'!C273,'Class 8 Sleeper-cab Trucks'!C273))</f>
        <v>9.7450199421730238E-6</v>
      </c>
      <c r="D234" s="1159"/>
      <c r="E234" s="1159"/>
      <c r="F234" s="1159"/>
    </row>
    <row r="235" spans="1:6">
      <c r="A235" s="172"/>
      <c r="B235" s="487" t="s">
        <v>2393</v>
      </c>
      <c r="C235" s="595"/>
      <c r="D235" s="1159"/>
      <c r="E235" s="1159"/>
      <c r="F235" s="1159"/>
    </row>
    <row r="236" spans="1:6">
      <c r="A236" s="1461"/>
      <c r="B236" s="1947" t="s">
        <v>38</v>
      </c>
      <c r="C236" s="594">
        <f xml:space="preserve"> IF(MHDV_Inputs!$B$3=1,'Class 6 PnD Trucks'!C275,IF(MHDV_Inputs!$B$3=2,'Class 8 Day-cab Trucks'!C275,'Class 8 Sleeper-cab Trucks'!C275))</f>
        <v>0.68911868540139509</v>
      </c>
      <c r="D236" s="1159"/>
      <c r="E236" s="1159"/>
      <c r="F236" s="1159"/>
    </row>
    <row r="237" spans="1:6">
      <c r="A237" s="1461"/>
      <c r="B237" s="1947" t="s">
        <v>1868</v>
      </c>
      <c r="C237" s="594">
        <f xml:space="preserve"> IF(MHDV_Inputs!$B$3=1,'Class 6 PnD Trucks'!C276,IF(MHDV_Inputs!$B$3=2,'Class 8 Day-cab Trucks'!C276,'Class 8 Sleeper-cab Trucks'!C276))</f>
        <v>4.7938781670560822E-3</v>
      </c>
      <c r="D237" s="1159"/>
      <c r="E237" s="1159"/>
      <c r="F237" s="1159"/>
    </row>
    <row r="238" spans="1:6">
      <c r="A238" s="1461"/>
      <c r="B238" s="1947" t="s">
        <v>2405</v>
      </c>
      <c r="C238" s="594">
        <f xml:space="preserve"> IF(MHDV_Inputs!$B$3=1,'Class 6 PnD Trucks'!C277,IF(MHDV_Inputs!$B$3=2,'Class 8 Day-cab Trucks'!C277,'Class 8 Sleeper-cab Trucks'!C277))</f>
        <v>6.4541693052918181E-2</v>
      </c>
      <c r="D238" s="1159"/>
      <c r="E238" s="1159"/>
      <c r="F238" s="1159"/>
    </row>
    <row r="239" spans="1:6">
      <c r="A239" s="172"/>
      <c r="B239" s="1947" t="s">
        <v>61</v>
      </c>
      <c r="C239" s="594">
        <f xml:space="preserve"> IF(MHDV_Inputs!$B$3=1,'Class 6 PnD Trucks'!C278,IF(MHDV_Inputs!$B$3=2,'Class 8 Day-cab Trucks'!C278,'Class 8 Sleeper-cab Trucks'!C278))</f>
        <v>4.7072379660225934E-2</v>
      </c>
      <c r="D239" s="1159"/>
      <c r="E239" s="1159"/>
      <c r="F239" s="1159"/>
    </row>
    <row r="240" spans="1:6">
      <c r="A240" s="1461"/>
      <c r="B240" s="1947" t="s">
        <v>60</v>
      </c>
      <c r="C240" s="594">
        <f xml:space="preserve"> IF(MHDV_Inputs!$B$3=1,'Class 6 PnD Trucks'!C279,IF(MHDV_Inputs!$B$3=2,'Class 8 Day-cab Trucks'!C279,'Class 8 Sleeper-cab Trucks'!C279))</f>
        <v>1.1873744615748043E-2</v>
      </c>
      <c r="D240" s="1159"/>
      <c r="E240" s="1159"/>
      <c r="F240" s="1159"/>
    </row>
    <row r="241" spans="1:6">
      <c r="A241" s="1461"/>
      <c r="B241" s="1947" t="s">
        <v>52</v>
      </c>
      <c r="C241" s="594">
        <f xml:space="preserve"> IF(MHDV_Inputs!$B$3=1,'Class 6 PnD Trucks'!C280,IF(MHDV_Inputs!$B$3=2,'Class 8 Day-cab Trucks'!C280,'Class 8 Sleeper-cab Trucks'!C280))</f>
        <v>1.6680832475197326E-2</v>
      </c>
      <c r="D241" s="1159"/>
      <c r="E241" s="1159"/>
      <c r="F241" s="1159"/>
    </row>
    <row r="242" spans="1:6">
      <c r="A242" s="1461"/>
      <c r="B242" s="1947" t="s">
        <v>2424</v>
      </c>
      <c r="C242" s="594">
        <f xml:space="preserve"> IF(MHDV_Inputs!$B$3=1,'Class 6 PnD Trucks'!C281,IF(MHDV_Inputs!$B$3=2,'Class 8 Day-cab Trucks'!C281,'Class 8 Sleeper-cab Trucks'!C281))</f>
        <v>7.9631642886098257E-4</v>
      </c>
      <c r="D242" s="1159"/>
      <c r="E242" s="1159"/>
      <c r="F242" s="1159"/>
    </row>
    <row r="243" spans="1:6">
      <c r="A243" s="2847"/>
      <c r="B243" s="2848" t="s">
        <v>2415</v>
      </c>
      <c r="C243" s="1123">
        <f xml:space="preserve"> IF(MHDV_Inputs!$B$3=1,'Class 6 PnD Trucks'!C282,IF(MHDV_Inputs!$B$3=2,'Class 8 Day-cab Trucks'!C282,'Class 8 Sleeper-cab Trucks'!C282))</f>
        <v>0.16512247019859838</v>
      </c>
      <c r="D243" s="2626"/>
      <c r="E243" s="2626"/>
      <c r="F243" s="1159"/>
    </row>
    <row r="244" spans="1:6">
      <c r="A244" s="63"/>
      <c r="B244" s="8"/>
      <c r="C244" s="8"/>
      <c r="D244" s="8"/>
      <c r="E244" s="8"/>
    </row>
    <row r="245" spans="1:6">
      <c r="A245" s="63" t="s">
        <v>2675</v>
      </c>
      <c r="B245" s="8"/>
      <c r="C245" s="8"/>
      <c r="D245" s="8"/>
      <c r="E245" s="8"/>
    </row>
    <row r="246" spans="1:6">
      <c r="A246" s="63"/>
      <c r="B246" s="1575" t="s">
        <v>2443</v>
      </c>
      <c r="C246" s="2713" t="s">
        <v>2387</v>
      </c>
      <c r="D246" s="218"/>
      <c r="E246" s="218"/>
      <c r="F246" s="1859"/>
    </row>
    <row r="247" spans="1:6">
      <c r="A247" s="63"/>
      <c r="B247" s="1957" t="s">
        <v>38</v>
      </c>
      <c r="C247" s="595">
        <f xml:space="preserve"> (MHDV_Inputs!C175*MHDV_Mat_Parameters!C219)+(MHDV_Inputs!C176*MHDV_Mat_Parameters!C226)+(MHDV_Inputs!C177*MHDV_Mat_Parameters!C236)</f>
        <v>0.33373555422158357</v>
      </c>
      <c r="D247" s="1159"/>
      <c r="E247" s="1159"/>
      <c r="F247" s="1159"/>
    </row>
    <row r="248" spans="1:6">
      <c r="A248" s="172"/>
      <c r="B248" s="1947" t="s">
        <v>1868</v>
      </c>
      <c r="C248" s="594">
        <f xml:space="preserve"> (MHDV_Inputs!C176*MHDV_Mat_Parameters!C225)+(MHDV_Inputs!C177*MHDV_Mat_Parameters!C237)</f>
        <v>2.7165319247558827E-4</v>
      </c>
      <c r="D248" s="1159"/>
      <c r="E248" s="1159"/>
      <c r="F248" s="1159"/>
    </row>
    <row r="249" spans="1:6">
      <c r="A249" s="172"/>
      <c r="B249" s="1947" t="s">
        <v>1869</v>
      </c>
      <c r="C249" s="594">
        <f xml:space="preserve"> (MHDV_Inputs!C176*MHDV_Mat_Parameters!C227)</f>
        <v>5.5815675947317525E-2</v>
      </c>
      <c r="D249" s="1159"/>
      <c r="E249" s="1159"/>
      <c r="F249" s="1159"/>
    </row>
    <row r="250" spans="1:6">
      <c r="A250" s="172"/>
      <c r="B250" s="1947" t="s">
        <v>2406</v>
      </c>
      <c r="C250" s="594">
        <f xml:space="preserve"> (MHDV_Inputs!C175*MHDV_Mat_Parameters!C220)+(MHDV_Inputs!C176*MHDV_Mat_Parameters!C228)</f>
        <v>3.6682551577548766E-2</v>
      </c>
      <c r="D250" s="1159"/>
      <c r="E250" s="1159"/>
      <c r="F250" s="1159"/>
    </row>
    <row r="251" spans="1:6">
      <c r="A251" s="172"/>
      <c r="B251" s="1947" t="s">
        <v>2405</v>
      </c>
      <c r="C251" s="594">
        <f xml:space="preserve"> (MHDV_Inputs!C175*MHDV_Mat_Parameters!C221)+(MHDV_Inputs!C176*MHDV_Mat_Parameters!C229)+(MHDV_Inputs!C177*MHDV_Mat_Parameters!C238)</f>
        <v>0.27239381791579714</v>
      </c>
      <c r="D251" s="1159"/>
      <c r="E251" s="1159"/>
      <c r="F251" s="1159"/>
    </row>
    <row r="252" spans="1:6">
      <c r="A252" s="172"/>
      <c r="B252" s="1947" t="s">
        <v>61</v>
      </c>
      <c r="C252" s="594">
        <f xml:space="preserve"> (MHDV_Inputs!C175*MHDV_Mat_Parameters!C223)+(MHDV_Inputs!C176*MHDV_Mat_Parameters!C230)+(MHDV_Inputs!C177*MHDV_Mat_Parameters!C239)</f>
        <v>8.045165677060867E-2</v>
      </c>
      <c r="D252" s="1159"/>
      <c r="E252" s="1159"/>
      <c r="F252" s="1159"/>
    </row>
    <row r="253" spans="1:6">
      <c r="A253" s="172"/>
      <c r="B253" s="1947" t="s">
        <v>60</v>
      </c>
      <c r="C253" s="594">
        <f xml:space="preserve"> (MHDV_Inputs!C176*MHDV_Mat_Parameters!C231)+(MHDV_Inputs!C177*MHDV_Mat_Parameters!C240)</f>
        <v>6.8894373381348981E-4</v>
      </c>
      <c r="D253" s="1159"/>
      <c r="E253" s="1159"/>
      <c r="F253" s="1159"/>
    </row>
    <row r="254" spans="1:6">
      <c r="A254" s="172"/>
      <c r="B254" s="1947" t="s">
        <v>2428</v>
      </c>
      <c r="C254" s="594">
        <f xml:space="preserve"> (MHDV_Inputs!C175*MHDV_Mat_Parameters!C222)</f>
        <v>0.20296839535864042</v>
      </c>
      <c r="D254" s="1159"/>
      <c r="E254" s="1159"/>
      <c r="F254" s="1159"/>
    </row>
    <row r="255" spans="1:6">
      <c r="A255" s="172"/>
      <c r="B255" s="1947" t="s">
        <v>2413</v>
      </c>
      <c r="C255" s="594">
        <f xml:space="preserve"> (MHDV_Inputs!C177*(MHDV_Mat_Parameters!C241+C242))</f>
        <v>9.9037212246765169E-4</v>
      </c>
      <c r="D255" s="1159"/>
      <c r="E255" s="1159"/>
      <c r="F255" s="1159"/>
    </row>
    <row r="256" spans="1:6">
      <c r="A256" s="172"/>
      <c r="B256" s="1947" t="s">
        <v>2407</v>
      </c>
      <c r="C256" s="594">
        <f xml:space="preserve"> (MHDV_Inputs!C177*MHDV_Mat_Parameters!C243)</f>
        <v>9.3569432963813721E-3</v>
      </c>
      <c r="D256" s="1159"/>
      <c r="E256" s="1159"/>
      <c r="F256" s="1159"/>
    </row>
    <row r="257" spans="1:6">
      <c r="A257" s="172"/>
      <c r="B257" s="1947" t="s">
        <v>2426</v>
      </c>
      <c r="C257" s="594">
        <f xml:space="preserve"> (MHDV_Inputs!C176*MHDV_Mat_Parameters!C233)</f>
        <v>0</v>
      </c>
      <c r="D257" s="1159"/>
      <c r="E257" s="1159"/>
      <c r="F257" s="1159"/>
    </row>
    <row r="258" spans="1:6">
      <c r="A258" s="172"/>
      <c r="B258" s="1947" t="s">
        <v>2442</v>
      </c>
      <c r="C258" s="594">
        <f xml:space="preserve"> (MHDV_Inputs!C176*MHDV_Mat_Parameters!C234)</f>
        <v>4.0244917403790856E-6</v>
      </c>
      <c r="D258" s="1159"/>
      <c r="E258" s="1159"/>
      <c r="F258" s="1159"/>
    </row>
    <row r="259" spans="1:6">
      <c r="A259" s="172"/>
      <c r="B259" s="1948" t="s">
        <v>2420</v>
      </c>
      <c r="C259" s="596">
        <f xml:space="preserve"> (MHDV_Inputs!C176*MHDV_Mat_Parameters!C232)</f>
        <v>6.6404113716254896E-3</v>
      </c>
      <c r="D259" s="1159"/>
      <c r="E259" s="1159"/>
      <c r="F259" s="1159"/>
    </row>
    <row r="260" spans="1:6">
      <c r="A260" s="172"/>
      <c r="B260" s="1461"/>
      <c r="C260" s="1159"/>
      <c r="D260" s="1159"/>
      <c r="E260" s="1159"/>
      <c r="F260" s="1159"/>
    </row>
    <row r="261" spans="1:6">
      <c r="A261" s="172"/>
      <c r="B261" s="1461"/>
      <c r="C261" s="1159"/>
      <c r="D261" s="1159"/>
      <c r="E261" s="1159"/>
      <c r="F261" s="1159"/>
    </row>
    <row r="262" spans="1:6">
      <c r="A262" s="172"/>
      <c r="B262" s="1461"/>
      <c r="C262" s="1159"/>
      <c r="D262" s="1159"/>
      <c r="E262" s="1159"/>
      <c r="F262" s="1159"/>
    </row>
    <row r="263" spans="1:6">
      <c r="A263" s="172"/>
      <c r="B263" s="1461"/>
      <c r="C263" s="1159"/>
      <c r="D263" s="1159"/>
      <c r="E263" s="1159"/>
      <c r="F263" s="1159"/>
    </row>
    <row r="264" spans="1:6">
      <c r="A264" s="172"/>
      <c r="B264" s="1461"/>
      <c r="C264" s="1159"/>
      <c r="D264" s="1159"/>
      <c r="E264" s="1159"/>
      <c r="F264" s="1159"/>
    </row>
    <row r="265" spans="1:6">
      <c r="A265" s="172"/>
      <c r="B265" s="1461"/>
      <c r="C265" s="1159"/>
      <c r="D265" s="1159"/>
      <c r="E265" s="1159"/>
      <c r="F265" s="1159"/>
    </row>
    <row r="266" spans="1:6">
      <c r="A266" s="172"/>
      <c r="B266" s="1461"/>
      <c r="C266" s="1159"/>
      <c r="D266" s="1159"/>
      <c r="E266" s="1159"/>
      <c r="F266" s="1159"/>
    </row>
    <row r="267" spans="1:6">
      <c r="A267" s="172"/>
      <c r="B267" s="1461"/>
      <c r="C267" s="1159"/>
      <c r="D267" s="1159"/>
      <c r="E267" s="1159"/>
      <c r="F267" s="1159"/>
    </row>
    <row r="268" spans="1:6">
      <c r="A268" s="172"/>
      <c r="B268" s="1461"/>
      <c r="C268" s="1159"/>
      <c r="D268" s="1159"/>
      <c r="E268" s="1159"/>
      <c r="F268" s="1159"/>
    </row>
    <row r="269" spans="1:6">
      <c r="A269" s="172"/>
      <c r="B269" s="1461"/>
      <c r="C269" s="1159"/>
      <c r="D269" s="1159"/>
      <c r="E269" s="1159"/>
      <c r="F269" s="1159"/>
    </row>
    <row r="270" spans="1:6">
      <c r="A270" s="172"/>
      <c r="B270" s="1461"/>
      <c r="C270" s="1159"/>
      <c r="D270" s="1159"/>
      <c r="E270" s="1159"/>
      <c r="F270" s="1159"/>
    </row>
    <row r="271" spans="1:6">
      <c r="A271" s="172"/>
      <c r="B271" s="1461"/>
      <c r="C271" s="1159"/>
      <c r="D271" s="1159"/>
      <c r="E271" s="1159"/>
      <c r="F271" s="1159"/>
    </row>
    <row r="272" spans="1:6">
      <c r="A272" s="172"/>
      <c r="B272" s="1461"/>
      <c r="C272" s="1159"/>
      <c r="D272" s="1159"/>
      <c r="E272" s="1159"/>
      <c r="F272" s="1159"/>
    </row>
    <row r="273" spans="1:6">
      <c r="A273" s="172"/>
      <c r="B273" s="1461"/>
      <c r="C273" s="1159"/>
      <c r="D273" s="1159"/>
      <c r="E273" s="1159"/>
      <c r="F273" s="1159"/>
    </row>
    <row r="274" spans="1:6">
      <c r="A274" s="172"/>
      <c r="B274" s="1461"/>
      <c r="C274" s="1159"/>
      <c r="D274" s="1159"/>
      <c r="E274" s="1159"/>
      <c r="F274" s="1159"/>
    </row>
    <row r="275" spans="1:6">
      <c r="A275" s="172"/>
      <c r="B275" s="1461"/>
      <c r="C275" s="1159"/>
      <c r="D275" s="1159"/>
      <c r="E275" s="1159"/>
      <c r="F275" s="1159"/>
    </row>
    <row r="276" spans="1:6">
      <c r="A276" s="172"/>
      <c r="B276" s="1461"/>
      <c r="C276" s="1159"/>
      <c r="D276" s="1159"/>
      <c r="E276" s="1159"/>
      <c r="F276" s="1159"/>
    </row>
    <row r="277" spans="1:6">
      <c r="A277" s="172"/>
      <c r="B277" s="1461"/>
      <c r="C277" s="1159"/>
      <c r="D277" s="1159"/>
      <c r="E277" s="1159"/>
      <c r="F277" s="1159"/>
    </row>
    <row r="278" spans="1:6">
      <c r="A278" s="172"/>
      <c r="B278" s="1461"/>
      <c r="C278" s="1159"/>
      <c r="D278" s="1159"/>
      <c r="E278" s="1159"/>
      <c r="F278" s="1159"/>
    </row>
    <row r="279" spans="1:6">
      <c r="A279" s="172"/>
      <c r="B279" s="1461"/>
      <c r="C279" s="1159"/>
      <c r="D279" s="1159"/>
      <c r="E279" s="1159"/>
      <c r="F279" s="1159"/>
    </row>
    <row r="280" spans="1:6">
      <c r="A280" s="172"/>
    </row>
    <row r="281" spans="1:6">
      <c r="A281" s="172"/>
    </row>
    <row r="282" spans="1:6">
      <c r="A282" s="172"/>
    </row>
    <row r="283" spans="1:6">
      <c r="A283" s="172"/>
    </row>
    <row r="284" spans="1:6">
      <c r="A284" s="172"/>
    </row>
    <row r="285" spans="1:6">
      <c r="A285" s="172"/>
    </row>
    <row r="286" spans="1:6">
      <c r="A286" s="172"/>
    </row>
    <row r="287" spans="1:6">
      <c r="A287" s="172"/>
    </row>
    <row r="288" spans="1:6">
      <c r="A288" s="172"/>
    </row>
    <row r="289" spans="1:3">
      <c r="A289" s="172"/>
    </row>
    <row r="290" spans="1:3">
      <c r="A290" s="172"/>
    </row>
    <row r="291" spans="1:3">
      <c r="A291" s="172"/>
    </row>
    <row r="292" spans="1:3">
      <c r="A292" s="172"/>
    </row>
    <row r="293" spans="1:3">
      <c r="A293" s="172"/>
    </row>
    <row r="294" spans="1:3">
      <c r="A294" s="172"/>
    </row>
    <row r="295" spans="1:3">
      <c r="A295" s="172"/>
    </row>
    <row r="296" spans="1:3">
      <c r="A296" s="172"/>
    </row>
    <row r="297" spans="1:3">
      <c r="A297" s="172"/>
    </row>
    <row r="298" spans="1:3">
      <c r="A298" s="172"/>
    </row>
    <row r="299" spans="1:3">
      <c r="A299" s="172"/>
    </row>
    <row r="300" spans="1:3" ht="15">
      <c r="A300" s="120" t="s">
        <v>320</v>
      </c>
    </row>
    <row r="301" spans="1:3">
      <c r="B301" s="187">
        <v>0.5</v>
      </c>
      <c r="C301" s="1321" t="s">
        <v>321</v>
      </c>
    </row>
    <row r="302" spans="1:3">
      <c r="B302" s="187">
        <v>0.5</v>
      </c>
      <c r="C302" s="1321" t="s">
        <v>322</v>
      </c>
    </row>
    <row r="303" spans="1:3">
      <c r="A303" s="172"/>
    </row>
    <row r="304" spans="1:3" ht="15">
      <c r="A304" s="120" t="s">
        <v>323</v>
      </c>
    </row>
    <row r="305" spans="1:10">
      <c r="A305" s="172" t="s">
        <v>2444</v>
      </c>
    </row>
    <row r="306" spans="1:10">
      <c r="A306" s="172"/>
      <c r="B306" s="1627"/>
      <c r="C306" s="1628" t="s">
        <v>325</v>
      </c>
      <c r="D306" s="1629" t="s">
        <v>326</v>
      </c>
    </row>
    <row r="307" spans="1:10">
      <c r="A307" s="172"/>
      <c r="B307" s="191" t="s">
        <v>38</v>
      </c>
      <c r="C307" s="187">
        <v>0.73599999999999999</v>
      </c>
      <c r="D307" s="184">
        <f t="shared" ref="D307:D312" si="1">1-C307</f>
        <v>0.26400000000000001</v>
      </c>
    </row>
    <row r="308" spans="1:10">
      <c r="A308" s="172"/>
      <c r="B308" s="191" t="s">
        <v>282</v>
      </c>
      <c r="C308" s="187">
        <v>0.89</v>
      </c>
      <c r="D308" s="184">
        <f t="shared" si="1"/>
        <v>0.10999999999999999</v>
      </c>
      <c r="F308" s="172"/>
    </row>
    <row r="309" spans="1:10">
      <c r="A309" s="172"/>
      <c r="B309" s="191" t="s">
        <v>283</v>
      </c>
      <c r="C309" s="187">
        <v>0.15</v>
      </c>
      <c r="D309" s="184">
        <f t="shared" si="1"/>
        <v>0.85</v>
      </c>
      <c r="F309" s="172"/>
    </row>
    <row r="310" spans="1:10">
      <c r="A310" s="172"/>
      <c r="B310" s="191" t="s">
        <v>46</v>
      </c>
      <c r="C310" s="187">
        <v>0.27</v>
      </c>
      <c r="D310" s="184">
        <f t="shared" si="1"/>
        <v>0.73</v>
      </c>
      <c r="F310" s="172"/>
    </row>
    <row r="311" spans="1:10">
      <c r="A311" s="172"/>
      <c r="B311" s="191" t="s">
        <v>48</v>
      </c>
      <c r="C311" s="187">
        <v>0.56000000000000005</v>
      </c>
      <c r="D311" s="184">
        <f t="shared" si="1"/>
        <v>0.43999999999999995</v>
      </c>
      <c r="F311" s="172"/>
    </row>
    <row r="312" spans="1:10">
      <c r="A312" s="172"/>
      <c r="B312" s="192" t="s">
        <v>56</v>
      </c>
      <c r="C312" s="190">
        <v>0.47899999999999998</v>
      </c>
      <c r="D312" s="186">
        <f t="shared" si="1"/>
        <v>0.52100000000000002</v>
      </c>
      <c r="F312" s="172"/>
    </row>
    <row r="313" spans="1:10">
      <c r="A313" s="172"/>
    </row>
    <row r="314" spans="1:10">
      <c r="A314" s="172" t="s">
        <v>327</v>
      </c>
    </row>
    <row r="315" spans="1:10">
      <c r="A315" s="172"/>
      <c r="B315" s="1630" t="s">
        <v>328</v>
      </c>
      <c r="C315" s="1628" t="s">
        <v>329</v>
      </c>
      <c r="D315" s="1629" t="s">
        <v>330</v>
      </c>
    </row>
    <row r="316" spans="1:10">
      <c r="A316" s="172"/>
      <c r="B316" s="199">
        <v>0.21099999999999999</v>
      </c>
      <c r="C316" s="190">
        <v>0.191</v>
      </c>
      <c r="D316" s="186">
        <f>1-B316-C316</f>
        <v>0.59800000000000009</v>
      </c>
    </row>
    <row r="317" spans="1:10">
      <c r="A317" s="172"/>
    </row>
    <row r="318" spans="1:10">
      <c r="A318" s="172" t="s">
        <v>331</v>
      </c>
    </row>
    <row r="319" spans="1:10" ht="25.5">
      <c r="A319" s="172"/>
      <c r="B319" s="1627"/>
      <c r="C319" s="1628" t="s">
        <v>332</v>
      </c>
      <c r="D319" s="1628" t="s">
        <v>333</v>
      </c>
      <c r="E319" s="1628" t="s">
        <v>334</v>
      </c>
      <c r="F319" s="1628" t="s">
        <v>335</v>
      </c>
      <c r="G319" s="1628" t="s">
        <v>336</v>
      </c>
      <c r="H319" s="1628" t="s">
        <v>337</v>
      </c>
      <c r="I319" s="1628" t="s">
        <v>338</v>
      </c>
      <c r="J319" s="1629" t="s">
        <v>339</v>
      </c>
    </row>
    <row r="320" spans="1:10">
      <c r="A320" s="172"/>
      <c r="B320" s="173" t="s">
        <v>340</v>
      </c>
      <c r="C320" s="1445">
        <v>1.0309999999999999</v>
      </c>
      <c r="D320" s="1445">
        <v>1.0149999999999999</v>
      </c>
      <c r="E320" s="1445">
        <v>1.054</v>
      </c>
      <c r="F320" s="1445">
        <v>1</v>
      </c>
      <c r="G320" s="1119">
        <v>1</v>
      </c>
      <c r="H320" s="112"/>
      <c r="I320" s="112"/>
      <c r="J320" s="195"/>
    </row>
    <row r="321" spans="1:13">
      <c r="A321" s="172"/>
      <c r="B321" s="173" t="s">
        <v>341</v>
      </c>
      <c r="C321" s="112"/>
      <c r="D321" s="112"/>
      <c r="E321" s="112"/>
      <c r="F321" s="112"/>
      <c r="G321" s="112"/>
      <c r="H321" s="1445">
        <v>1.0429999999999999</v>
      </c>
      <c r="I321" s="1445">
        <v>1</v>
      </c>
      <c r="J321" s="196">
        <v>1</v>
      </c>
    </row>
    <row r="322" spans="1:13">
      <c r="A322" s="172"/>
      <c r="B322" s="173" t="s">
        <v>342</v>
      </c>
      <c r="C322" s="112"/>
      <c r="D322" s="112"/>
      <c r="E322" s="112"/>
      <c r="F322" s="112"/>
      <c r="G322" s="112"/>
      <c r="H322" s="1445">
        <v>1.0429999999999999</v>
      </c>
      <c r="I322" s="1445">
        <v>1</v>
      </c>
      <c r="J322" s="196">
        <v>1</v>
      </c>
    </row>
    <row r="323" spans="1:13">
      <c r="A323" s="172"/>
      <c r="B323" s="174" t="s">
        <v>280</v>
      </c>
      <c r="C323" s="124"/>
      <c r="D323" s="124"/>
      <c r="E323" s="124"/>
      <c r="F323" s="124"/>
      <c r="G323" s="124"/>
      <c r="H323" s="197">
        <v>1.61</v>
      </c>
      <c r="I323" s="197">
        <v>1</v>
      </c>
      <c r="J323" s="198">
        <v>1</v>
      </c>
    </row>
    <row r="324" spans="1:13">
      <c r="A324" s="172"/>
    </row>
    <row r="325" spans="1:13">
      <c r="A325" s="172" t="s">
        <v>343</v>
      </c>
    </row>
    <row r="326" spans="1:13">
      <c r="A326" s="172"/>
      <c r="B326" s="1630" t="s">
        <v>281</v>
      </c>
      <c r="C326" s="1629" t="s">
        <v>344</v>
      </c>
    </row>
    <row r="327" spans="1:13">
      <c r="A327" s="172"/>
      <c r="B327" s="199">
        <v>0.85</v>
      </c>
      <c r="C327" s="186">
        <f>1-B327</f>
        <v>0.15000000000000002</v>
      </c>
    </row>
    <row r="328" spans="1:13">
      <c r="A328" s="172"/>
    </row>
    <row r="329" spans="1:13">
      <c r="A329" s="172" t="s">
        <v>345</v>
      </c>
    </row>
    <row r="330" spans="1:13">
      <c r="A330" s="172"/>
      <c r="B330" s="1630" t="s">
        <v>328</v>
      </c>
      <c r="C330" s="1628" t="s">
        <v>329</v>
      </c>
      <c r="D330" s="1629" t="s">
        <v>346</v>
      </c>
      <c r="F330" s="172"/>
    </row>
    <row r="331" spans="1:13">
      <c r="A331" s="172"/>
      <c r="B331" s="199">
        <v>0</v>
      </c>
      <c r="C331" s="190">
        <v>0.13</v>
      </c>
      <c r="D331" s="186">
        <f>1-B331-C331</f>
        <v>0.87</v>
      </c>
    </row>
    <row r="332" spans="1:13">
      <c r="A332" s="172"/>
    </row>
    <row r="333" spans="1:13">
      <c r="A333" s="172" t="s">
        <v>347</v>
      </c>
    </row>
    <row r="334" spans="1:13" ht="38.25">
      <c r="A334" s="172"/>
      <c r="B334" s="1627"/>
      <c r="C334" s="1628" t="s">
        <v>348</v>
      </c>
      <c r="D334" s="1628" t="s">
        <v>349</v>
      </c>
      <c r="E334" s="1628" t="s">
        <v>350</v>
      </c>
      <c r="F334" s="1628" t="s">
        <v>351</v>
      </c>
      <c r="G334" s="1628" t="s">
        <v>352</v>
      </c>
      <c r="H334" s="1628" t="s">
        <v>353</v>
      </c>
      <c r="I334" s="1628" t="s">
        <v>354</v>
      </c>
      <c r="J334" s="1628" t="s">
        <v>332</v>
      </c>
      <c r="K334" s="1628" t="s">
        <v>334</v>
      </c>
      <c r="L334" s="1628" t="s">
        <v>336</v>
      </c>
      <c r="M334" s="1629" t="s">
        <v>355</v>
      </c>
    </row>
    <row r="335" spans="1:13">
      <c r="A335" s="172"/>
      <c r="B335" s="201" t="s">
        <v>356</v>
      </c>
      <c r="C335" s="206">
        <v>1</v>
      </c>
      <c r="D335" s="206">
        <v>1</v>
      </c>
      <c r="E335" s="206">
        <v>1</v>
      </c>
      <c r="F335" s="206">
        <v>1</v>
      </c>
      <c r="G335" s="206">
        <v>1.02</v>
      </c>
      <c r="H335" s="203"/>
      <c r="I335" s="203"/>
      <c r="J335" s="206">
        <v>1.0349999999999999</v>
      </c>
      <c r="K335" s="203"/>
      <c r="L335" s="1118">
        <v>1</v>
      </c>
      <c r="M335" s="204"/>
    </row>
    <row r="336" spans="1:13">
      <c r="A336" s="172"/>
      <c r="B336" s="201" t="s">
        <v>357</v>
      </c>
      <c r="C336" s="206">
        <v>1</v>
      </c>
      <c r="D336" s="206">
        <v>1</v>
      </c>
      <c r="E336" s="206">
        <v>1</v>
      </c>
      <c r="F336" s="206">
        <v>1</v>
      </c>
      <c r="G336" s="206">
        <v>1.02</v>
      </c>
      <c r="H336" s="203"/>
      <c r="I336" s="203"/>
      <c r="J336" s="206">
        <v>1.0349999999999999</v>
      </c>
      <c r="K336" s="206">
        <v>1</v>
      </c>
      <c r="L336" s="1118">
        <v>1</v>
      </c>
      <c r="M336" s="204"/>
    </row>
    <row r="337" spans="1:13">
      <c r="A337" s="172"/>
      <c r="B337" s="201" t="s">
        <v>358</v>
      </c>
      <c r="C337" s="206">
        <v>1</v>
      </c>
      <c r="D337" s="206">
        <v>1</v>
      </c>
      <c r="E337" s="206">
        <v>1</v>
      </c>
      <c r="F337" s="206">
        <v>1</v>
      </c>
      <c r="G337" s="206">
        <v>1.02</v>
      </c>
      <c r="H337" s="203"/>
      <c r="I337" s="203"/>
      <c r="J337" s="203"/>
      <c r="K337" s="203"/>
      <c r="L337" s="203"/>
      <c r="M337" s="207">
        <v>1</v>
      </c>
    </row>
    <row r="338" spans="1:13">
      <c r="A338" s="172"/>
      <c r="B338" s="201" t="s">
        <v>359</v>
      </c>
      <c r="C338" s="203"/>
      <c r="D338" s="203"/>
      <c r="E338" s="203"/>
      <c r="F338" s="203"/>
      <c r="G338" s="203"/>
      <c r="H338" s="206">
        <v>0.96799999999999997</v>
      </c>
      <c r="I338" s="206">
        <v>1</v>
      </c>
      <c r="J338" s="206">
        <v>1.0349999999999999</v>
      </c>
      <c r="K338" s="203"/>
      <c r="L338" s="1118">
        <v>1</v>
      </c>
      <c r="M338" s="204"/>
    </row>
    <row r="339" spans="1:13">
      <c r="A339" s="172"/>
      <c r="B339" s="201" t="s">
        <v>360</v>
      </c>
      <c r="C339" s="203"/>
      <c r="D339" s="203"/>
      <c r="E339" s="203"/>
      <c r="F339" s="203"/>
      <c r="G339" s="203"/>
      <c r="H339" s="206">
        <v>0.96799999999999997</v>
      </c>
      <c r="I339" s="206">
        <v>1</v>
      </c>
      <c r="J339" s="206">
        <v>1.0349999999999999</v>
      </c>
      <c r="K339" s="206">
        <v>1</v>
      </c>
      <c r="L339" s="1118">
        <v>1</v>
      </c>
      <c r="M339" s="204"/>
    </row>
    <row r="340" spans="1:13">
      <c r="A340" s="172"/>
      <c r="B340" s="202" t="s">
        <v>361</v>
      </c>
      <c r="C340" s="205"/>
      <c r="D340" s="205"/>
      <c r="E340" s="205"/>
      <c r="F340" s="205"/>
      <c r="G340" s="205"/>
      <c r="H340" s="208">
        <v>0.96799999999999997</v>
      </c>
      <c r="I340" s="208">
        <v>1</v>
      </c>
      <c r="J340" s="205"/>
      <c r="K340" s="205"/>
      <c r="L340" s="205"/>
      <c r="M340" s="209">
        <v>1</v>
      </c>
    </row>
    <row r="341" spans="1:13">
      <c r="A341" s="172"/>
    </row>
    <row r="342" spans="1:13">
      <c r="A342" s="172" t="s">
        <v>362</v>
      </c>
    </row>
    <row r="343" spans="1:13" ht="38.25">
      <c r="A343" s="172"/>
      <c r="B343" s="1627"/>
      <c r="C343" s="1628" t="s">
        <v>348</v>
      </c>
      <c r="D343" s="1628" t="s">
        <v>349</v>
      </c>
      <c r="E343" s="1628" t="s">
        <v>350</v>
      </c>
      <c r="F343" s="1628" t="s">
        <v>351</v>
      </c>
      <c r="G343" s="1628" t="s">
        <v>352</v>
      </c>
      <c r="H343" s="1628" t="s">
        <v>353</v>
      </c>
      <c r="I343" s="1628" t="s">
        <v>354</v>
      </c>
      <c r="J343" s="1628" t="s">
        <v>363</v>
      </c>
      <c r="K343" s="1629" t="s">
        <v>339</v>
      </c>
    </row>
    <row r="344" spans="1:13">
      <c r="A344" s="172"/>
      <c r="B344" s="191" t="s">
        <v>364</v>
      </c>
      <c r="C344" s="1445">
        <v>1</v>
      </c>
      <c r="D344" s="1445">
        <v>1</v>
      </c>
      <c r="E344" s="1445">
        <v>1</v>
      </c>
      <c r="F344" s="1445">
        <v>1</v>
      </c>
      <c r="G344" s="1445">
        <v>1.02</v>
      </c>
      <c r="J344" s="1445">
        <v>1.107</v>
      </c>
      <c r="K344" s="196">
        <v>1</v>
      </c>
    </row>
    <row r="345" spans="1:13">
      <c r="A345" s="172"/>
      <c r="B345" s="192" t="s">
        <v>365</v>
      </c>
      <c r="C345" s="125"/>
      <c r="D345" s="125"/>
      <c r="E345" s="125"/>
      <c r="F345" s="125"/>
      <c r="G345" s="125"/>
      <c r="H345" s="197">
        <v>0.96799999999999997</v>
      </c>
      <c r="I345" s="208">
        <v>1</v>
      </c>
      <c r="J345" s="197">
        <v>1.107</v>
      </c>
      <c r="K345" s="198">
        <v>1</v>
      </c>
    </row>
    <row r="346" spans="1:13">
      <c r="A346" s="172"/>
    </row>
    <row r="347" spans="1:13">
      <c r="A347" s="172" t="s">
        <v>366</v>
      </c>
    </row>
    <row r="348" spans="1:13">
      <c r="A348" s="172"/>
      <c r="B348" s="189">
        <v>0.63300000000000001</v>
      </c>
    </row>
    <row r="349" spans="1:13">
      <c r="A349" s="172"/>
    </row>
    <row r="350" spans="1:13">
      <c r="A350" s="172" t="s">
        <v>367</v>
      </c>
    </row>
    <row r="351" spans="1:13">
      <c r="A351" s="172"/>
      <c r="B351" s="1625" t="s">
        <v>58</v>
      </c>
      <c r="C351" s="1626" t="s">
        <v>368</v>
      </c>
    </row>
    <row r="352" spans="1:13">
      <c r="A352" s="172"/>
      <c r="B352" s="199">
        <v>0</v>
      </c>
      <c r="C352" s="186">
        <f>1-B352</f>
        <v>1</v>
      </c>
    </row>
    <row r="353" spans="1:17">
      <c r="A353" s="172"/>
    </row>
    <row r="354" spans="1:17">
      <c r="A354" s="172" t="s">
        <v>369</v>
      </c>
    </row>
    <row r="355" spans="1:17" ht="38.25">
      <c r="A355" s="172"/>
      <c r="B355" s="1630" t="s">
        <v>370</v>
      </c>
      <c r="C355" s="1628" t="s">
        <v>371</v>
      </c>
      <c r="D355" s="1628" t="s">
        <v>372</v>
      </c>
      <c r="E355" s="1628" t="s">
        <v>373</v>
      </c>
      <c r="F355" s="1628" t="s">
        <v>374</v>
      </c>
      <c r="G355" s="1628" t="s">
        <v>375</v>
      </c>
      <c r="H355" s="1628" t="s">
        <v>376</v>
      </c>
      <c r="I355" s="1628" t="s">
        <v>377</v>
      </c>
      <c r="J355" s="1628" t="s">
        <v>378</v>
      </c>
      <c r="K355" s="1628" t="s">
        <v>379</v>
      </c>
      <c r="L355" s="1628" t="s">
        <v>380</v>
      </c>
      <c r="M355" s="1628" t="s">
        <v>381</v>
      </c>
      <c r="N355" s="1628" t="s">
        <v>382</v>
      </c>
      <c r="O355" s="1628" t="s">
        <v>383</v>
      </c>
      <c r="P355" s="1628" t="s">
        <v>384</v>
      </c>
      <c r="Q355" s="1629" t="s">
        <v>385</v>
      </c>
    </row>
    <row r="356" spans="1:17">
      <c r="A356" s="172"/>
      <c r="B356" s="199">
        <v>7.5999999999999998E-2</v>
      </c>
      <c r="C356" s="190">
        <v>7.0999999999999994E-2</v>
      </c>
      <c r="D356" s="190">
        <v>0.107</v>
      </c>
      <c r="E356" s="190">
        <v>7.0000000000000001E-3</v>
      </c>
      <c r="F356" s="190">
        <v>7.0000000000000001E-3</v>
      </c>
      <c r="G356" s="190">
        <v>1.4E-2</v>
      </c>
      <c r="H356" s="190">
        <v>1.4E-2</v>
      </c>
      <c r="I356" s="190">
        <v>1.4E-2</v>
      </c>
      <c r="J356" s="190">
        <v>1.0999999999999999E-2</v>
      </c>
      <c r="K356" s="190">
        <v>7.0000000000000007E-2</v>
      </c>
      <c r="L356" s="190">
        <v>3.5000000000000003E-2</v>
      </c>
      <c r="M356" s="190">
        <v>1.7000000000000001E-2</v>
      </c>
      <c r="N356" s="190">
        <v>0.18099999999999999</v>
      </c>
      <c r="O356" s="190">
        <v>0.122</v>
      </c>
      <c r="P356" s="190">
        <v>0.11600000000000001</v>
      </c>
      <c r="Q356" s="210">
        <f>1-SUM(B356:P356)</f>
        <v>0.1379999999999999</v>
      </c>
    </row>
    <row r="357" spans="1:17">
      <c r="A357" s="172"/>
    </row>
    <row r="358" spans="1:17">
      <c r="A358" s="172" t="s">
        <v>386</v>
      </c>
    </row>
    <row r="359" spans="1:17">
      <c r="A359" s="172"/>
      <c r="B359" s="80"/>
      <c r="C359" s="131" t="s">
        <v>372</v>
      </c>
      <c r="D359" s="131" t="s">
        <v>368</v>
      </c>
      <c r="E359" s="50" t="s">
        <v>387</v>
      </c>
    </row>
    <row r="360" spans="1:17">
      <c r="A360" s="172"/>
      <c r="B360" s="173" t="s">
        <v>388</v>
      </c>
      <c r="C360" s="1958">
        <v>0.3</v>
      </c>
      <c r="D360" s="1958">
        <v>0.3</v>
      </c>
      <c r="E360" s="1959">
        <f>1-C360-D360</f>
        <v>0.39999999999999997</v>
      </c>
    </row>
    <row r="361" spans="1:17">
      <c r="B361" s="173" t="s">
        <v>389</v>
      </c>
      <c r="C361" s="1958">
        <v>0.4</v>
      </c>
      <c r="D361" s="1958">
        <v>0.6</v>
      </c>
      <c r="E361" s="1959">
        <f>1-C361-D361</f>
        <v>0</v>
      </c>
    </row>
    <row r="362" spans="1:17">
      <c r="B362" s="174" t="s">
        <v>390</v>
      </c>
      <c r="C362" s="1960">
        <v>0.5</v>
      </c>
      <c r="D362" s="1960">
        <v>0.5</v>
      </c>
      <c r="E362" s="1961">
        <f>1-C362-D362</f>
        <v>0</v>
      </c>
    </row>
    <row r="363" spans="1:17">
      <c r="A363" s="172"/>
      <c r="B363" s="173"/>
      <c r="C363" s="1321" t="s">
        <v>372</v>
      </c>
      <c r="D363" s="51" t="s">
        <v>391</v>
      </c>
    </row>
    <row r="364" spans="1:17">
      <c r="A364" s="172"/>
      <c r="B364" s="590" t="s">
        <v>286</v>
      </c>
      <c r="C364" s="187">
        <v>0.7</v>
      </c>
      <c r="D364" s="184">
        <f>1-C364</f>
        <v>0.30000000000000004</v>
      </c>
    </row>
    <row r="365" spans="1:17">
      <c r="A365" s="172"/>
      <c r="B365" s="200" t="s">
        <v>287</v>
      </c>
      <c r="C365" s="190">
        <v>0.3</v>
      </c>
      <c r="D365" s="186">
        <f>1-C365</f>
        <v>0.7</v>
      </c>
    </row>
    <row r="366" spans="1:17">
      <c r="A366" s="172"/>
    </row>
    <row r="367" spans="1:17">
      <c r="A367" s="172" t="s">
        <v>392</v>
      </c>
    </row>
    <row r="368" spans="1:17">
      <c r="A368" s="172"/>
      <c r="B368" s="80" t="s">
        <v>288</v>
      </c>
      <c r="C368" s="211">
        <v>1.1399999999999999</v>
      </c>
      <c r="D368" s="172"/>
    </row>
    <row r="369" spans="1:15">
      <c r="A369" s="172"/>
      <c r="B369" s="173" t="s">
        <v>393</v>
      </c>
      <c r="C369" s="196">
        <v>1.1399999999999999</v>
      </c>
      <c r="D369" s="172"/>
    </row>
    <row r="370" spans="1:15">
      <c r="A370" s="172"/>
      <c r="B370" s="173" t="s">
        <v>394</v>
      </c>
      <c r="C370" s="196">
        <v>1.0003</v>
      </c>
    </row>
    <row r="371" spans="1:15">
      <c r="A371" s="172"/>
      <c r="B371" s="173" t="s">
        <v>395</v>
      </c>
      <c r="C371" s="196">
        <v>1.1554</v>
      </c>
    </row>
    <row r="372" spans="1:15">
      <c r="A372" s="172"/>
      <c r="B372" s="173" t="s">
        <v>396</v>
      </c>
      <c r="C372" s="196">
        <v>1</v>
      </c>
    </row>
    <row r="373" spans="1:15">
      <c r="A373" s="172"/>
      <c r="B373" s="173" t="s">
        <v>397</v>
      </c>
      <c r="C373" s="196">
        <v>0.94589999999999996</v>
      </c>
    </row>
    <row r="374" spans="1:15">
      <c r="A374" s="172"/>
      <c r="B374" s="173" t="s">
        <v>398</v>
      </c>
      <c r="C374" s="196">
        <v>1.0024</v>
      </c>
    </row>
    <row r="375" spans="1:15">
      <c r="A375" s="172"/>
      <c r="B375" s="173" t="s">
        <v>399</v>
      </c>
      <c r="C375" s="196">
        <v>1.0018</v>
      </c>
    </row>
    <row r="376" spans="1:15">
      <c r="A376" s="172"/>
      <c r="B376" s="173" t="s">
        <v>400</v>
      </c>
      <c r="C376" s="196">
        <v>1.0056</v>
      </c>
    </row>
    <row r="377" spans="1:15">
      <c r="A377" s="172"/>
      <c r="B377" s="173" t="s">
        <v>401</v>
      </c>
      <c r="C377" s="196">
        <v>1.0306999999999999</v>
      </c>
    </row>
    <row r="378" spans="1:15">
      <c r="A378" s="172"/>
      <c r="B378" s="174" t="s">
        <v>402</v>
      </c>
      <c r="C378" s="198">
        <v>1.1393</v>
      </c>
    </row>
    <row r="379" spans="1:15">
      <c r="A379" s="172"/>
    </row>
    <row r="380" spans="1:15">
      <c r="A380" s="172" t="s">
        <v>403</v>
      </c>
    </row>
    <row r="381" spans="1:15">
      <c r="A381" s="172"/>
      <c r="B381" s="1627" t="s">
        <v>404</v>
      </c>
      <c r="C381" s="1467" t="s">
        <v>405</v>
      </c>
      <c r="D381" s="1467" t="s">
        <v>406</v>
      </c>
      <c r="E381" s="1467" t="s">
        <v>370</v>
      </c>
      <c r="F381" s="1467" t="s">
        <v>371</v>
      </c>
      <c r="G381" s="1467" t="s">
        <v>407</v>
      </c>
      <c r="H381" s="1467" t="s">
        <v>376</v>
      </c>
      <c r="I381" s="1467" t="s">
        <v>377</v>
      </c>
      <c r="J381" s="1467" t="s">
        <v>378</v>
      </c>
      <c r="K381" s="1467" t="s">
        <v>379</v>
      </c>
      <c r="L381" s="1467" t="s">
        <v>380</v>
      </c>
      <c r="M381" s="1467" t="s">
        <v>381</v>
      </c>
      <c r="N381" s="1467" t="s">
        <v>382</v>
      </c>
      <c r="O381" s="1626" t="s">
        <v>385</v>
      </c>
    </row>
    <row r="382" spans="1:15">
      <c r="A382" s="172"/>
      <c r="B382" s="173" t="s">
        <v>288</v>
      </c>
      <c r="C382" s="187">
        <v>1</v>
      </c>
      <c r="D382" s="187">
        <v>0</v>
      </c>
      <c r="E382" s="187">
        <v>0</v>
      </c>
      <c r="F382" s="187">
        <v>0</v>
      </c>
      <c r="G382" s="187">
        <v>0</v>
      </c>
      <c r="H382" s="187">
        <v>0</v>
      </c>
      <c r="I382" s="187">
        <v>0</v>
      </c>
      <c r="J382" s="187">
        <v>0</v>
      </c>
      <c r="K382" s="187">
        <v>0</v>
      </c>
      <c r="L382" s="187">
        <v>0</v>
      </c>
      <c r="M382" s="187">
        <v>0</v>
      </c>
      <c r="N382" s="187">
        <v>0</v>
      </c>
      <c r="O382" s="188">
        <f>1-SUM(C382:N382)</f>
        <v>0</v>
      </c>
    </row>
    <row r="383" spans="1:15">
      <c r="A383" s="172"/>
      <c r="B383" s="173" t="s">
        <v>393</v>
      </c>
      <c r="C383" s="187">
        <v>0</v>
      </c>
      <c r="D383" s="187">
        <v>1</v>
      </c>
      <c r="E383" s="187">
        <v>0</v>
      </c>
      <c r="F383" s="187">
        <v>0</v>
      </c>
      <c r="G383" s="187">
        <v>0</v>
      </c>
      <c r="H383" s="187">
        <v>0</v>
      </c>
      <c r="I383" s="187">
        <v>0</v>
      </c>
      <c r="J383" s="187">
        <v>0</v>
      </c>
      <c r="K383" s="187">
        <v>0</v>
      </c>
      <c r="L383" s="187">
        <v>0</v>
      </c>
      <c r="M383" s="187">
        <v>0</v>
      </c>
      <c r="N383" s="187">
        <v>0</v>
      </c>
      <c r="O383" s="188">
        <v>0</v>
      </c>
    </row>
    <row r="384" spans="1:15">
      <c r="A384" s="172"/>
      <c r="B384" s="173" t="s">
        <v>394</v>
      </c>
      <c r="C384" s="187">
        <v>0</v>
      </c>
      <c r="D384" s="187">
        <v>0</v>
      </c>
      <c r="E384" s="187">
        <v>0</v>
      </c>
      <c r="F384" s="187">
        <v>0</v>
      </c>
      <c r="G384" s="187">
        <v>0</v>
      </c>
      <c r="H384" s="187">
        <v>0</v>
      </c>
      <c r="I384" s="187">
        <v>0</v>
      </c>
      <c r="J384" s="187">
        <v>0.36399999999999999</v>
      </c>
      <c r="K384" s="187">
        <v>0</v>
      </c>
      <c r="L384" s="187">
        <v>0</v>
      </c>
      <c r="M384" s="187">
        <v>0</v>
      </c>
      <c r="N384" s="187">
        <v>9.1999999999999998E-2</v>
      </c>
      <c r="O384" s="188">
        <v>0</v>
      </c>
    </row>
    <row r="385" spans="1:15">
      <c r="A385" s="172"/>
      <c r="B385" s="173" t="s">
        <v>395</v>
      </c>
      <c r="C385" s="187">
        <v>0</v>
      </c>
      <c r="D385" s="187">
        <v>0</v>
      </c>
      <c r="E385" s="187">
        <v>0</v>
      </c>
      <c r="F385" s="187">
        <v>0</v>
      </c>
      <c r="G385" s="187">
        <v>0</v>
      </c>
      <c r="H385" s="187">
        <v>0</v>
      </c>
      <c r="I385" s="187">
        <v>0</v>
      </c>
      <c r="J385" s="187">
        <v>0</v>
      </c>
      <c r="K385" s="187">
        <v>0</v>
      </c>
      <c r="L385" s="187">
        <v>0</v>
      </c>
      <c r="M385" s="187">
        <v>0</v>
      </c>
      <c r="N385" s="187">
        <v>0</v>
      </c>
      <c r="O385" s="188">
        <v>0.18099999999999999</v>
      </c>
    </row>
    <row r="386" spans="1:15">
      <c r="A386" s="172"/>
      <c r="B386" s="173" t="s">
        <v>396</v>
      </c>
      <c r="C386" s="187">
        <v>0</v>
      </c>
      <c r="D386" s="187">
        <v>0</v>
      </c>
      <c r="E386" s="187">
        <v>0.23799999999999999</v>
      </c>
      <c r="F386" s="187">
        <v>0.31900000000000001</v>
      </c>
      <c r="G386" s="187">
        <v>0.24249999999999999</v>
      </c>
      <c r="H386" s="187">
        <v>0.24249999999999999</v>
      </c>
      <c r="I386" s="187">
        <v>0.24249999999999999</v>
      </c>
      <c r="J386" s="187">
        <v>0.45400000000000001</v>
      </c>
      <c r="K386" s="187">
        <v>0.34300000000000003</v>
      </c>
      <c r="L386" s="187">
        <v>0.22</v>
      </c>
      <c r="M386" s="187">
        <v>0.5</v>
      </c>
      <c r="N386" s="187">
        <f>12.88%+2.45%</f>
        <v>0.15329999999999999</v>
      </c>
      <c r="O386" s="188">
        <v>1.4999999999999999E-2</v>
      </c>
    </row>
    <row r="387" spans="1:15">
      <c r="A387" s="172"/>
      <c r="B387" s="173" t="s">
        <v>397</v>
      </c>
      <c r="C387" s="187">
        <v>0</v>
      </c>
      <c r="D387" s="187">
        <v>0</v>
      </c>
      <c r="E387" s="187">
        <v>0.17499999999999999</v>
      </c>
      <c r="F387" s="187">
        <v>0.27500000000000002</v>
      </c>
      <c r="G387" s="187">
        <v>9.2499999999999999E-2</v>
      </c>
      <c r="H387" s="187">
        <v>9.2499999999999999E-2</v>
      </c>
      <c r="I387" s="187">
        <v>9.2499999999999999E-2</v>
      </c>
      <c r="J387" s="187">
        <v>0</v>
      </c>
      <c r="K387" s="187">
        <v>0.29899999999999999</v>
      </c>
      <c r="L387" s="187">
        <v>0</v>
      </c>
      <c r="M387" s="187">
        <v>0</v>
      </c>
      <c r="N387" s="187">
        <v>0</v>
      </c>
      <c r="O387" s="188">
        <v>0</v>
      </c>
    </row>
    <row r="388" spans="1:15">
      <c r="A388" s="172"/>
      <c r="B388" s="173" t="s">
        <v>398</v>
      </c>
      <c r="C388" s="187">
        <v>0</v>
      </c>
      <c r="D388" s="187">
        <v>0</v>
      </c>
      <c r="E388" s="187">
        <v>0</v>
      </c>
      <c r="F388" s="187">
        <v>0</v>
      </c>
      <c r="G388" s="187">
        <v>0</v>
      </c>
      <c r="H388" s="187">
        <v>0</v>
      </c>
      <c r="I388" s="187">
        <v>0</v>
      </c>
      <c r="J388" s="187">
        <v>0</v>
      </c>
      <c r="K388" s="187">
        <v>0</v>
      </c>
      <c r="L388" s="187">
        <v>0</v>
      </c>
      <c r="M388" s="187">
        <v>0</v>
      </c>
      <c r="N388" s="187">
        <v>0</v>
      </c>
      <c r="O388" s="188">
        <v>0.51100000000000001</v>
      </c>
    </row>
    <row r="389" spans="1:15">
      <c r="A389" s="172"/>
      <c r="B389" s="173" t="s">
        <v>399</v>
      </c>
      <c r="C389" s="187">
        <v>0</v>
      </c>
      <c r="D389" s="187">
        <v>0</v>
      </c>
      <c r="E389" s="187">
        <v>0</v>
      </c>
      <c r="F389" s="187">
        <v>0</v>
      </c>
      <c r="G389" s="187">
        <v>0</v>
      </c>
      <c r="H389" s="187">
        <v>0</v>
      </c>
      <c r="I389" s="187">
        <v>0</v>
      </c>
      <c r="J389" s="187">
        <v>0</v>
      </c>
      <c r="K389" s="187">
        <v>0</v>
      </c>
      <c r="L389" s="187">
        <v>0</v>
      </c>
      <c r="M389" s="187">
        <v>0</v>
      </c>
      <c r="N389" s="187">
        <v>1.9E-2</v>
      </c>
      <c r="O389" s="188">
        <v>0</v>
      </c>
    </row>
    <row r="390" spans="1:15">
      <c r="A390" s="172"/>
      <c r="B390" s="173" t="s">
        <v>400</v>
      </c>
      <c r="C390" s="187">
        <v>0</v>
      </c>
      <c r="D390" s="187">
        <v>0</v>
      </c>
      <c r="E390" s="187">
        <v>0</v>
      </c>
      <c r="F390" s="187">
        <v>0</v>
      </c>
      <c r="G390" s="187">
        <v>0.66500000000000004</v>
      </c>
      <c r="H390" s="187">
        <v>0.66500000000000004</v>
      </c>
      <c r="I390" s="187">
        <v>0.66500000000000004</v>
      </c>
      <c r="J390" s="187">
        <v>0</v>
      </c>
      <c r="K390" s="187">
        <v>0</v>
      </c>
      <c r="L390" s="187">
        <v>0</v>
      </c>
      <c r="M390" s="187">
        <v>0</v>
      </c>
      <c r="N390" s="187">
        <v>0</v>
      </c>
      <c r="O390" s="188">
        <v>0</v>
      </c>
    </row>
    <row r="391" spans="1:15">
      <c r="A391" s="172"/>
      <c r="B391" s="173" t="s">
        <v>401</v>
      </c>
      <c r="C391" s="187">
        <v>0</v>
      </c>
      <c r="D391" s="187">
        <v>0</v>
      </c>
      <c r="E391" s="187">
        <v>0</v>
      </c>
      <c r="F391" s="187">
        <v>0</v>
      </c>
      <c r="G391" s="187">
        <v>0</v>
      </c>
      <c r="H391" s="187">
        <v>0</v>
      </c>
      <c r="I391" s="187">
        <v>0</v>
      </c>
      <c r="J391" s="187">
        <v>0</v>
      </c>
      <c r="K391" s="187">
        <v>0</v>
      </c>
      <c r="L391" s="187">
        <v>0</v>
      </c>
      <c r="M391" s="187">
        <v>0</v>
      </c>
      <c r="N391" s="187">
        <v>0</v>
      </c>
      <c r="O391" s="188">
        <v>0.29299999999999998</v>
      </c>
    </row>
    <row r="392" spans="1:15">
      <c r="A392" s="172"/>
      <c r="B392" s="174" t="s">
        <v>402</v>
      </c>
      <c r="C392" s="185">
        <f>1-SUM(C382:C391)</f>
        <v>0</v>
      </c>
      <c r="D392" s="185">
        <f t="shared" ref="D392:O392" si="2">1-SUM(D382:D391)</f>
        <v>0</v>
      </c>
      <c r="E392" s="185">
        <f t="shared" si="2"/>
        <v>0.58699999999999997</v>
      </c>
      <c r="F392" s="185">
        <f t="shared" si="2"/>
        <v>0.40599999999999992</v>
      </c>
      <c r="G392" s="185">
        <f t="shared" si="2"/>
        <v>0</v>
      </c>
      <c r="H392" s="185">
        <f t="shared" si="2"/>
        <v>0</v>
      </c>
      <c r="I392" s="185">
        <f t="shared" si="2"/>
        <v>0</v>
      </c>
      <c r="J392" s="185">
        <f>1-SUM(J382:J391)</f>
        <v>0.18199999999999994</v>
      </c>
      <c r="K392" s="185">
        <f t="shared" si="2"/>
        <v>0.35799999999999998</v>
      </c>
      <c r="L392" s="185">
        <f t="shared" si="2"/>
        <v>0.78</v>
      </c>
      <c r="M392" s="185">
        <f t="shared" si="2"/>
        <v>0.5</v>
      </c>
      <c r="N392" s="185">
        <f t="shared" si="2"/>
        <v>0.73570000000000002</v>
      </c>
      <c r="O392" s="186">
        <f t="shared" si="2"/>
        <v>0</v>
      </c>
    </row>
    <row r="393" spans="1:15">
      <c r="A393" s="172"/>
    </row>
    <row r="394" spans="1:15">
      <c r="A394" s="172" t="s">
        <v>408</v>
      </c>
    </row>
    <row r="395" spans="1:15" ht="25.5">
      <c r="A395" s="172"/>
      <c r="B395" s="1630" t="s">
        <v>396</v>
      </c>
      <c r="C395" s="1629" t="s">
        <v>401</v>
      </c>
    </row>
    <row r="396" spans="1:15">
      <c r="A396" s="172"/>
      <c r="B396" s="199">
        <v>0.89</v>
      </c>
      <c r="C396" s="186">
        <f>1-B396</f>
        <v>0.10999999999999999</v>
      </c>
    </row>
    <row r="397" spans="1:15">
      <c r="A397" s="172"/>
    </row>
    <row r="398" spans="1:15">
      <c r="A398" s="172" t="s">
        <v>2445</v>
      </c>
    </row>
    <row r="399" spans="1:15">
      <c r="A399" s="172"/>
      <c r="B399" s="1610">
        <v>1</v>
      </c>
      <c r="C399" s="1321" t="s">
        <v>410</v>
      </c>
      <c r="F399" s="1610">
        <v>1</v>
      </c>
      <c r="G399" s="1321" t="s">
        <v>411</v>
      </c>
    </row>
    <row r="400" spans="1:15">
      <c r="A400" s="172"/>
      <c r="C400" s="1321" t="s">
        <v>412</v>
      </c>
      <c r="G400" s="1321" t="s">
        <v>413</v>
      </c>
    </row>
    <row r="401" spans="1:3">
      <c r="A401" s="172"/>
    </row>
    <row r="402" spans="1:3">
      <c r="A402" s="172" t="s">
        <v>414</v>
      </c>
    </row>
    <row r="403" spans="1:3">
      <c r="A403" s="172"/>
      <c r="B403" s="1610">
        <v>2</v>
      </c>
      <c r="C403" s="1321" t="s">
        <v>415</v>
      </c>
    </row>
    <row r="404" spans="1:3">
      <c r="A404" s="172"/>
      <c r="C404" s="1321" t="s">
        <v>416</v>
      </c>
    </row>
    <row r="405" spans="1:3">
      <c r="C405" s="1321" t="s">
        <v>417</v>
      </c>
    </row>
    <row r="406" spans="1:3">
      <c r="C406" s="1321" t="s">
        <v>418</v>
      </c>
    </row>
    <row r="407" spans="1:3">
      <c r="C407" s="1321" t="s">
        <v>419</v>
      </c>
    </row>
    <row r="408" spans="1:3">
      <c r="C408" s="1321" t="s">
        <v>420</v>
      </c>
    </row>
    <row r="409" spans="1:3">
      <c r="C409" s="1321" t="s">
        <v>421</v>
      </c>
    </row>
    <row r="410" spans="1:3">
      <c r="C410" s="1321" t="s">
        <v>422</v>
      </c>
    </row>
    <row r="411" spans="1:3">
      <c r="C411" s="1321" t="s">
        <v>423</v>
      </c>
    </row>
    <row r="412" spans="1:3">
      <c r="C412" s="1321" t="s">
        <v>424</v>
      </c>
    </row>
    <row r="413" spans="1:3">
      <c r="C413" s="1321" t="s">
        <v>425</v>
      </c>
    </row>
    <row r="414" spans="1:3">
      <c r="A414" s="172"/>
    </row>
    <row r="415" spans="1:3">
      <c r="A415" s="172" t="s">
        <v>426</v>
      </c>
    </row>
    <row r="416" spans="1:3">
      <c r="A416" s="172"/>
      <c r="B416" s="1610">
        <v>2</v>
      </c>
      <c r="C416" s="1321" t="s">
        <v>415</v>
      </c>
    </row>
    <row r="417" spans="1:18">
      <c r="A417" s="172"/>
      <c r="C417" s="1321" t="s">
        <v>416</v>
      </c>
    </row>
    <row r="418" spans="1:18">
      <c r="C418" s="1321" t="s">
        <v>417</v>
      </c>
    </row>
    <row r="419" spans="1:18">
      <c r="C419" s="1321" t="s">
        <v>418</v>
      </c>
    </row>
    <row r="420" spans="1:18">
      <c r="C420" s="1321" t="s">
        <v>427</v>
      </c>
    </row>
    <row r="421" spans="1:18">
      <c r="A421" s="172"/>
    </row>
    <row r="422" spans="1:18">
      <c r="A422" s="172" t="s">
        <v>428</v>
      </c>
    </row>
    <row r="423" spans="1:18">
      <c r="B423" s="80"/>
      <c r="C423" s="3128" t="s">
        <v>282</v>
      </c>
      <c r="D423" s="3129"/>
      <c r="E423" s="3129"/>
      <c r="F423" s="3129"/>
      <c r="G423" s="3129"/>
      <c r="H423" s="3129"/>
      <c r="I423" s="3129"/>
      <c r="J423" s="3129"/>
      <c r="K423" s="3129"/>
      <c r="L423" s="3129"/>
      <c r="M423" s="3130"/>
      <c r="N423" s="3128" t="s">
        <v>283</v>
      </c>
      <c r="O423" s="3129"/>
      <c r="P423" s="3129"/>
      <c r="Q423" s="3129"/>
      <c r="R423" s="3130"/>
    </row>
    <row r="424" spans="1:18" ht="51">
      <c r="B424" s="174"/>
      <c r="C424" s="1630" t="s">
        <v>429</v>
      </c>
      <c r="D424" s="1628" t="s">
        <v>430</v>
      </c>
      <c r="E424" s="1628" t="s">
        <v>431</v>
      </c>
      <c r="F424" s="1628" t="s">
        <v>432</v>
      </c>
      <c r="G424" s="1628" t="s">
        <v>433</v>
      </c>
      <c r="H424" s="1628" t="s">
        <v>434</v>
      </c>
      <c r="I424" s="1628" t="s">
        <v>435</v>
      </c>
      <c r="J424" s="1628" t="s">
        <v>436</v>
      </c>
      <c r="K424" s="1628" t="s">
        <v>437</v>
      </c>
      <c r="L424" s="1628" t="s">
        <v>438</v>
      </c>
      <c r="M424" s="1629" t="s">
        <v>439</v>
      </c>
      <c r="N424" s="1962" t="s">
        <v>429</v>
      </c>
      <c r="O424" s="1962" t="s">
        <v>430</v>
      </c>
      <c r="P424" s="1962" t="s">
        <v>431</v>
      </c>
      <c r="Q424" s="1962" t="s">
        <v>432</v>
      </c>
      <c r="R424" s="1963" t="s">
        <v>439</v>
      </c>
    </row>
    <row r="425" spans="1:18">
      <c r="B425" s="80" t="s">
        <v>440</v>
      </c>
      <c r="C425" s="1419">
        <f>GREET1_Import_Export!$B$172</f>
        <v>0</v>
      </c>
      <c r="D425" s="1964">
        <v>0</v>
      </c>
      <c r="E425" s="1964">
        <v>0</v>
      </c>
      <c r="F425" s="1964">
        <v>4.0000000000000001E-3</v>
      </c>
      <c r="G425" s="1964">
        <v>1.4199999999999999E-2</v>
      </c>
      <c r="H425" s="1964">
        <v>0</v>
      </c>
      <c r="I425" s="1964">
        <v>1.3444990780577752E-4</v>
      </c>
      <c r="J425" s="1964">
        <v>2.4972682464721691E-4</v>
      </c>
      <c r="K425" s="1420">
        <f>GREET1_Import_Export!P330</f>
        <v>0</v>
      </c>
      <c r="L425" s="1420">
        <f>GREET1_Import_Export!O330</f>
        <v>0</v>
      </c>
      <c r="M425" s="1276">
        <v>0</v>
      </c>
      <c r="N425" s="1419">
        <f>GREET1_Import_Export!$B$172</f>
        <v>0</v>
      </c>
      <c r="O425" s="1964">
        <v>0</v>
      </c>
      <c r="P425" s="1964">
        <v>0</v>
      </c>
      <c r="Q425" s="1964">
        <v>4.0000000000000001E-3</v>
      </c>
      <c r="R425" s="1276">
        <v>0</v>
      </c>
    </row>
    <row r="426" spans="1:18">
      <c r="B426" s="173" t="s">
        <v>441</v>
      </c>
      <c r="C426" s="1021">
        <f>GREET1_Import_Export!$C$172</f>
        <v>0</v>
      </c>
      <c r="D426" s="1014">
        <v>4.1000000000000002E-2</v>
      </c>
      <c r="E426" s="1014">
        <v>0.104</v>
      </c>
      <c r="F426" s="1014">
        <v>0.112</v>
      </c>
      <c r="G426" s="1014">
        <v>1.7999999999999999E-2</v>
      </c>
      <c r="H426" s="1014">
        <v>0</v>
      </c>
      <c r="I426" s="1014">
        <v>0</v>
      </c>
      <c r="J426" s="1014">
        <v>9.5325301430829207E-2</v>
      </c>
      <c r="K426" s="302">
        <f>GREET1_Import_Export!P331</f>
        <v>0</v>
      </c>
      <c r="L426" s="302">
        <f>GREET1_Import_Export!O331</f>
        <v>0</v>
      </c>
      <c r="M426" s="1015">
        <v>4.1000000000000002E-2</v>
      </c>
      <c r="N426" s="1021">
        <f>GREET1_Import_Export!$C$172</f>
        <v>0</v>
      </c>
      <c r="O426" s="1014">
        <v>4.1000000000000002E-2</v>
      </c>
      <c r="P426" s="1014">
        <v>0.104</v>
      </c>
      <c r="Q426" s="1014">
        <v>0.112</v>
      </c>
      <c r="R426" s="1015">
        <v>4.1000000000000002E-2</v>
      </c>
    </row>
    <row r="427" spans="1:18">
      <c r="B427" s="173" t="s">
        <v>442</v>
      </c>
      <c r="C427" s="1021">
        <f>GREET1_Import_Export!$D$172</f>
        <v>0</v>
      </c>
      <c r="D427" s="1014">
        <v>0.14299999999999999</v>
      </c>
      <c r="E427" s="1014">
        <v>0.35899999999999999</v>
      </c>
      <c r="F427" s="1014">
        <v>0.19500000000000001</v>
      </c>
      <c r="G427" s="1014">
        <v>0.06</v>
      </c>
      <c r="H427" s="1014">
        <v>0.90000041027155875</v>
      </c>
      <c r="I427" s="1014">
        <v>0.91748617086662565</v>
      </c>
      <c r="J427" s="1014">
        <v>0.619185351235503</v>
      </c>
      <c r="K427" s="302">
        <f>GREET1_Import_Export!P332</f>
        <v>0</v>
      </c>
      <c r="L427" s="302">
        <f>GREET1_Import_Export!O332</f>
        <v>0</v>
      </c>
      <c r="M427" s="1015">
        <v>0.14299999999999999</v>
      </c>
      <c r="N427" s="1021">
        <f>GREET1_Import_Export!$D$172</f>
        <v>0</v>
      </c>
      <c r="O427" s="1014">
        <v>0.14299999999999999</v>
      </c>
      <c r="P427" s="1014">
        <v>0.35899999999999999</v>
      </c>
      <c r="Q427" s="1014">
        <v>0.19500000000000001</v>
      </c>
      <c r="R427" s="1015">
        <v>0.14299999999999999</v>
      </c>
    </row>
    <row r="428" spans="1:18">
      <c r="B428" s="173" t="s">
        <v>443</v>
      </c>
      <c r="C428" s="1021">
        <f>GREET1_Import_Export!$F$172</f>
        <v>0</v>
      </c>
      <c r="D428" s="1014">
        <v>0</v>
      </c>
      <c r="E428" s="1014">
        <v>0</v>
      </c>
      <c r="F428" s="1014">
        <v>0</v>
      </c>
      <c r="G428" s="1014">
        <v>0</v>
      </c>
      <c r="H428" s="1014">
        <v>0</v>
      </c>
      <c r="I428" s="1014">
        <v>0</v>
      </c>
      <c r="J428" s="1014">
        <v>0</v>
      </c>
      <c r="K428" s="302">
        <f>GREET1_Import_Export!P333</f>
        <v>0</v>
      </c>
      <c r="L428" s="302">
        <f>GREET1_Import_Export!O333</f>
        <v>0</v>
      </c>
      <c r="M428" s="1015">
        <v>0</v>
      </c>
      <c r="N428" s="1021">
        <v>3.0000000000000001E-3</v>
      </c>
      <c r="O428" s="1014">
        <v>0</v>
      </c>
      <c r="P428" s="1014">
        <v>0</v>
      </c>
      <c r="Q428" s="1014">
        <v>0</v>
      </c>
      <c r="R428" s="1015">
        <v>0</v>
      </c>
    </row>
    <row r="429" spans="1:18">
      <c r="B429" s="173" t="s">
        <v>444</v>
      </c>
      <c r="C429" s="1021">
        <f>GREET1_Import_Export!$E$172</f>
        <v>2025</v>
      </c>
      <c r="D429" s="1014">
        <v>5.0000000000000001E-3</v>
      </c>
      <c r="E429" s="1014">
        <v>1.4E-2</v>
      </c>
      <c r="F429" s="1014">
        <v>1.2999999999999999E-2</v>
      </c>
      <c r="G429" s="1014">
        <v>9.5000000000000001E-2</v>
      </c>
      <c r="H429" s="1014">
        <v>0</v>
      </c>
      <c r="I429" s="1014">
        <v>0</v>
      </c>
      <c r="J429" s="1014">
        <v>1.344773088593229E-3</v>
      </c>
      <c r="K429" s="302">
        <f>GREET1_Import_Export!P334</f>
        <v>0</v>
      </c>
      <c r="L429" s="302">
        <f>GREET1_Import_Export!O334</f>
        <v>0</v>
      </c>
      <c r="M429" s="1015">
        <v>5.0000000000000001E-3</v>
      </c>
      <c r="N429" s="1021">
        <v>0.20300000000000001</v>
      </c>
      <c r="O429" s="1014">
        <v>5.0000000000000001E-3</v>
      </c>
      <c r="P429" s="1014">
        <v>1.4E-2</v>
      </c>
      <c r="Q429" s="1014">
        <v>1.2999999999999999E-2</v>
      </c>
      <c r="R429" s="1015">
        <v>5.0000000000000001E-3</v>
      </c>
    </row>
    <row r="430" spans="1:18">
      <c r="B430" s="173" t="s">
        <v>445</v>
      </c>
      <c r="C430" s="1021">
        <f>1-SUM(C425:C429)</f>
        <v>-2024</v>
      </c>
      <c r="D430" s="302">
        <f>1-SUM(D425:D429)</f>
        <v>0.81099999999999994</v>
      </c>
      <c r="E430" s="302">
        <f>1-SUM(E425:E429)</f>
        <v>0.52300000000000002</v>
      </c>
      <c r="F430" s="302">
        <f>1-SUM(F425:F429)</f>
        <v>0.67599999999999993</v>
      </c>
      <c r="G430" s="1014">
        <v>0.61699999999999999</v>
      </c>
      <c r="H430" s="1014">
        <v>9.9999589728441252E-2</v>
      </c>
      <c r="I430" s="1014">
        <v>8.2379379225568525E-2</v>
      </c>
      <c r="J430" s="1014">
        <v>0.25310458512519168</v>
      </c>
      <c r="K430" s="302">
        <f>GREET1_Import_Export!P335</f>
        <v>0</v>
      </c>
      <c r="L430" s="302">
        <f>GREET1_Import_Export!O335</f>
        <v>1</v>
      </c>
      <c r="M430" s="1015">
        <f t="shared" ref="M430:R430" si="3">1-SUM(M425:M429)</f>
        <v>0.81099999999999994</v>
      </c>
      <c r="N430" s="1021">
        <f t="shared" si="3"/>
        <v>0.79400000000000004</v>
      </c>
      <c r="O430" s="302">
        <f t="shared" si="3"/>
        <v>0.81099999999999994</v>
      </c>
      <c r="P430" s="302">
        <f t="shared" si="3"/>
        <v>0.52300000000000002</v>
      </c>
      <c r="Q430" s="302">
        <f t="shared" si="3"/>
        <v>0.67599999999999993</v>
      </c>
      <c r="R430" s="1015">
        <f t="shared" si="3"/>
        <v>0.81099999999999994</v>
      </c>
    </row>
    <row r="431" spans="1:18">
      <c r="B431" s="174" t="s">
        <v>294</v>
      </c>
      <c r="C431" s="1019">
        <f>1-SUM(C425:C430)</f>
        <v>0</v>
      </c>
      <c r="D431" s="1020">
        <f>1-SUM(D425:D430)</f>
        <v>0</v>
      </c>
      <c r="E431" s="1020">
        <f>1-SUM(E425:E430)</f>
        <v>0</v>
      </c>
      <c r="F431" s="1020">
        <f>1-SUM(F425:F430)</f>
        <v>0</v>
      </c>
      <c r="G431" s="1020">
        <v>0.19579999999999997</v>
      </c>
      <c r="H431" s="1016">
        <v>0</v>
      </c>
      <c r="I431" s="1016">
        <v>0</v>
      </c>
      <c r="J431" s="1016">
        <v>3.0790262295235626E-2</v>
      </c>
      <c r="K431" s="1020">
        <f>GREET1_Import_Export!P336</f>
        <v>1</v>
      </c>
      <c r="L431" s="1020">
        <f>GREET1_Import_Export!O336</f>
        <v>0</v>
      </c>
      <c r="M431" s="210">
        <f t="shared" ref="M431:R431" si="4">1-SUM(M425:M430)</f>
        <v>0</v>
      </c>
      <c r="N431" s="1019">
        <f t="shared" si="4"/>
        <v>0</v>
      </c>
      <c r="O431" s="1020">
        <f t="shared" si="4"/>
        <v>0</v>
      </c>
      <c r="P431" s="1020">
        <f t="shared" si="4"/>
        <v>0</v>
      </c>
      <c r="Q431" s="1020">
        <f t="shared" si="4"/>
        <v>0</v>
      </c>
      <c r="R431" s="210">
        <f t="shared" si="4"/>
        <v>0</v>
      </c>
    </row>
    <row r="432" spans="1:18">
      <c r="A432" s="172"/>
    </row>
    <row r="433" spans="1:3">
      <c r="A433" s="172" t="s">
        <v>446</v>
      </c>
      <c r="C433" s="302"/>
    </row>
    <row r="434" spans="1:3">
      <c r="B434" s="1610">
        <v>1</v>
      </c>
      <c r="C434" s="1321" t="s">
        <v>447</v>
      </c>
    </row>
    <row r="435" spans="1:3">
      <c r="C435" s="1321" t="s">
        <v>448</v>
      </c>
    </row>
    <row r="436" spans="1:3">
      <c r="A436" s="172"/>
    </row>
    <row r="437" spans="1:3" ht="15">
      <c r="A437" s="120" t="s">
        <v>449</v>
      </c>
    </row>
    <row r="438" spans="1:3">
      <c r="A438" s="172" t="s">
        <v>450</v>
      </c>
    </row>
    <row r="439" spans="1:3">
      <c r="A439" s="172"/>
      <c r="B439" s="213">
        <v>1.7948</v>
      </c>
      <c r="C439" s="1321" t="s">
        <v>451</v>
      </c>
    </row>
    <row r="440" spans="1:3">
      <c r="A440" s="172"/>
      <c r="B440" s="213">
        <v>15.583399999999999</v>
      </c>
      <c r="C440" s="1321" t="s">
        <v>452</v>
      </c>
    </row>
    <row r="441" spans="1:3">
      <c r="A441" s="172"/>
      <c r="B441" s="213">
        <v>6.0299999999999999E-2</v>
      </c>
      <c r="C441" s="1321" t="s">
        <v>453</v>
      </c>
    </row>
    <row r="442" spans="1:3">
      <c r="A442" s="172"/>
      <c r="B442" s="213">
        <v>1.7791999999999999</v>
      </c>
      <c r="C442" s="1321" t="s">
        <v>454</v>
      </c>
    </row>
    <row r="443" spans="1:3">
      <c r="A443" s="172"/>
      <c r="B443" s="213">
        <v>0.69120000000000004</v>
      </c>
      <c r="C443" s="1321" t="s">
        <v>455</v>
      </c>
    </row>
    <row r="444" spans="1:3">
      <c r="A444" s="172"/>
      <c r="B444" s="213">
        <v>-4.0800000000000003E-2</v>
      </c>
      <c r="C444" s="1321" t="s">
        <v>456</v>
      </c>
    </row>
    <row r="445" spans="1:3">
      <c r="A445" s="172"/>
      <c r="B445" s="213">
        <v>1.3340000000000001</v>
      </c>
      <c r="C445" s="1321" t="s">
        <v>457</v>
      </c>
    </row>
    <row r="446" spans="1:3">
      <c r="A446" s="172"/>
      <c r="B446" s="213">
        <v>4.1799999999999997E-2</v>
      </c>
      <c r="C446" s="1321" t="s">
        <v>458</v>
      </c>
    </row>
    <row r="447" spans="1:3">
      <c r="A447" s="172"/>
      <c r="B447" s="1126">
        <v>1.3998999999999999</v>
      </c>
      <c r="C447" s="1321" t="s">
        <v>459</v>
      </c>
    </row>
    <row r="448" spans="1:3">
      <c r="A448" s="172"/>
      <c r="B448" s="1126">
        <v>0.69569999999999999</v>
      </c>
      <c r="C448" s="1321" t="s">
        <v>460</v>
      </c>
    </row>
    <row r="449" spans="1:3">
      <c r="A449" s="172"/>
      <c r="B449" s="1126">
        <v>0.85990521327014202</v>
      </c>
      <c r="C449" s="1321" t="s">
        <v>336</v>
      </c>
    </row>
    <row r="450" spans="1:3">
      <c r="A450" s="172"/>
      <c r="B450" s="1126">
        <f>1.1897+4.9934</f>
        <v>6.1831000000000005</v>
      </c>
      <c r="C450" s="1321" t="s">
        <v>337</v>
      </c>
    </row>
    <row r="451" spans="1:3">
      <c r="A451" s="172"/>
      <c r="B451" s="1126">
        <f>2.1557+1.0778</f>
        <v>3.2335000000000003</v>
      </c>
      <c r="C451" s="1321" t="s">
        <v>338</v>
      </c>
    </row>
    <row r="452" spans="1:3">
      <c r="A452" s="172"/>
      <c r="B452" s="213">
        <v>0.54</v>
      </c>
      <c r="C452" s="1321" t="s">
        <v>339</v>
      </c>
    </row>
    <row r="453" spans="1:3">
      <c r="A453" s="172"/>
    </row>
    <row r="454" spans="1:3">
      <c r="A454" s="172" t="s">
        <v>461</v>
      </c>
    </row>
    <row r="455" spans="1:3">
      <c r="A455" s="172"/>
      <c r="B455" s="213">
        <v>1.339</v>
      </c>
      <c r="C455" s="1321" t="s">
        <v>462</v>
      </c>
    </row>
    <row r="456" spans="1:3">
      <c r="A456" s="172"/>
      <c r="B456" s="213">
        <v>0</v>
      </c>
      <c r="C456" s="1321" t="s">
        <v>463</v>
      </c>
    </row>
    <row r="457" spans="1:3">
      <c r="A457" s="172"/>
      <c r="B457" s="213">
        <v>33.801000000000002</v>
      </c>
      <c r="C457" s="1321" t="s">
        <v>464</v>
      </c>
    </row>
    <row r="458" spans="1:3">
      <c r="A458" s="172"/>
      <c r="B458" s="213">
        <v>0.54</v>
      </c>
      <c r="C458" s="1321" t="s">
        <v>339</v>
      </c>
    </row>
    <row r="459" spans="1:3">
      <c r="A459" s="172"/>
    </row>
    <row r="460" spans="1:3">
      <c r="A460" s="172" t="s">
        <v>465</v>
      </c>
    </row>
    <row r="461" spans="1:3">
      <c r="A461" s="172"/>
      <c r="B461" s="213">
        <v>0.57699999999999996</v>
      </c>
      <c r="C461" s="1321" t="s">
        <v>348</v>
      </c>
    </row>
    <row r="462" spans="1:3">
      <c r="A462" s="172"/>
      <c r="B462" s="213">
        <v>17.835000000000001</v>
      </c>
      <c r="C462" s="1321" t="s">
        <v>466</v>
      </c>
    </row>
    <row r="463" spans="1:3">
      <c r="A463" s="172"/>
      <c r="B463" s="213">
        <v>1.486</v>
      </c>
      <c r="C463" s="1321" t="s">
        <v>350</v>
      </c>
    </row>
    <row r="464" spans="1:3">
      <c r="A464" s="172"/>
      <c r="B464" s="213">
        <v>46.777999999999999</v>
      </c>
      <c r="C464" s="1321" t="s">
        <v>467</v>
      </c>
    </row>
    <row r="465" spans="1:3">
      <c r="A465" s="172"/>
      <c r="B465" s="1126">
        <v>1.006</v>
      </c>
      <c r="C465" s="1321" t="s">
        <v>352</v>
      </c>
    </row>
    <row r="466" spans="1:3">
      <c r="A466" s="172"/>
      <c r="B466" s="1126">
        <v>1.0920000000000001</v>
      </c>
      <c r="C466" s="1321" t="s">
        <v>468</v>
      </c>
    </row>
    <row r="467" spans="1:3">
      <c r="A467" s="172"/>
      <c r="B467" s="1126">
        <v>4.46</v>
      </c>
      <c r="C467" s="1321" t="s">
        <v>469</v>
      </c>
    </row>
    <row r="468" spans="1:3">
      <c r="A468" s="172"/>
      <c r="B468" s="1126">
        <v>3.629</v>
      </c>
      <c r="C468" s="1321" t="s">
        <v>332</v>
      </c>
    </row>
    <row r="469" spans="1:3">
      <c r="A469" s="172"/>
      <c r="B469" s="1126">
        <v>3.0219999999999998</v>
      </c>
      <c r="C469" s="1321" t="s">
        <v>334</v>
      </c>
    </row>
    <row r="470" spans="1:3">
      <c r="A470" s="172"/>
      <c r="B470" s="1126">
        <v>0.85990521327014224</v>
      </c>
      <c r="C470" s="1321" t="s">
        <v>336</v>
      </c>
    </row>
    <row r="471" spans="1:3">
      <c r="A471" s="172"/>
      <c r="B471" s="1126">
        <v>5.8970000000000002</v>
      </c>
      <c r="C471" s="1321" t="s">
        <v>355</v>
      </c>
    </row>
    <row r="472" spans="1:3">
      <c r="A472" s="172"/>
    </row>
    <row r="473" spans="1:3">
      <c r="A473" s="172" t="s">
        <v>470</v>
      </c>
    </row>
    <row r="474" spans="1:3">
      <c r="A474" s="172"/>
      <c r="B474" s="213">
        <v>0.57699999999999996</v>
      </c>
      <c r="C474" s="1321" t="s">
        <v>348</v>
      </c>
    </row>
    <row r="475" spans="1:3">
      <c r="A475" s="172"/>
      <c r="B475" s="213">
        <v>17.835000000000001</v>
      </c>
      <c r="C475" s="1321" t="s">
        <v>466</v>
      </c>
    </row>
    <row r="476" spans="1:3">
      <c r="A476" s="172"/>
      <c r="B476" s="213">
        <v>1.486</v>
      </c>
      <c r="C476" s="1321" t="s">
        <v>350</v>
      </c>
    </row>
    <row r="477" spans="1:3">
      <c r="A477" s="172"/>
      <c r="B477" s="213">
        <v>46.777999999999999</v>
      </c>
      <c r="C477" s="1321" t="s">
        <v>467</v>
      </c>
    </row>
    <row r="478" spans="1:3">
      <c r="A478" s="172"/>
      <c r="B478" s="213">
        <v>1.006</v>
      </c>
      <c r="C478" s="1321" t="s">
        <v>352</v>
      </c>
    </row>
    <row r="479" spans="1:3">
      <c r="A479" s="172"/>
      <c r="B479" s="213">
        <v>1.0920000000000001</v>
      </c>
      <c r="C479" s="1321" t="s">
        <v>471</v>
      </c>
    </row>
    <row r="480" spans="1:3">
      <c r="A480" s="172"/>
      <c r="B480" s="213">
        <v>4.46</v>
      </c>
      <c r="C480" s="1321" t="s">
        <v>469</v>
      </c>
    </row>
    <row r="481" spans="1:6">
      <c r="A481" s="172"/>
      <c r="B481" s="213">
        <v>7.569</v>
      </c>
      <c r="C481" s="1321" t="s">
        <v>363</v>
      </c>
    </row>
    <row r="482" spans="1:6">
      <c r="A482" s="172"/>
      <c r="B482" s="213">
        <v>0.54</v>
      </c>
      <c r="C482" s="1321" t="s">
        <v>339</v>
      </c>
    </row>
    <row r="483" spans="1:6">
      <c r="A483" s="172"/>
    </row>
    <row r="484" spans="1:6">
      <c r="A484" s="172" t="s">
        <v>472</v>
      </c>
    </row>
    <row r="485" spans="1:6">
      <c r="A485" s="172"/>
      <c r="B485" s="213">
        <v>2.59</v>
      </c>
      <c r="C485" s="1321" t="s">
        <v>473</v>
      </c>
    </row>
    <row r="486" spans="1:6">
      <c r="A486" s="172"/>
      <c r="B486" s="213">
        <v>0</v>
      </c>
      <c r="C486" s="1321" t="s">
        <v>474</v>
      </c>
      <c r="F486" s="172"/>
    </row>
    <row r="487" spans="1:6">
      <c r="A487" s="172"/>
      <c r="B487" s="213">
        <v>4.1399999999999997</v>
      </c>
      <c r="C487" s="1321" t="s">
        <v>475</v>
      </c>
    </row>
    <row r="488" spans="1:6">
      <c r="A488" s="172"/>
    </row>
    <row r="489" spans="1:6">
      <c r="A489" s="172" t="s">
        <v>476</v>
      </c>
      <c r="F489" s="172"/>
    </row>
    <row r="490" spans="1:6">
      <c r="A490" s="172"/>
      <c r="B490" s="213">
        <v>17.015999999999998</v>
      </c>
      <c r="C490" s="1321" t="s">
        <v>477</v>
      </c>
    </row>
    <row r="491" spans="1:6">
      <c r="A491" s="172"/>
      <c r="B491" s="213">
        <v>10.744999999999999</v>
      </c>
      <c r="C491" s="1321" t="s">
        <v>478</v>
      </c>
    </row>
    <row r="492" spans="1:6">
      <c r="A492" s="172"/>
      <c r="B492" s="213">
        <v>15.31</v>
      </c>
      <c r="C492" s="1321" t="s">
        <v>479</v>
      </c>
    </row>
    <row r="493" spans="1:6">
      <c r="A493" s="172"/>
      <c r="B493" s="213">
        <v>43.506999999999998</v>
      </c>
      <c r="C493" s="1321" t="s">
        <v>480</v>
      </c>
    </row>
    <row r="494" spans="1:6">
      <c r="A494" s="172"/>
      <c r="B494" s="213">
        <v>15.945</v>
      </c>
      <c r="C494" s="1321" t="s">
        <v>481</v>
      </c>
      <c r="F494" s="172"/>
    </row>
    <row r="495" spans="1:6">
      <c r="A495" s="172"/>
      <c r="B495" s="213">
        <v>4.9180000000000001</v>
      </c>
      <c r="C495" s="1321" t="s">
        <v>482</v>
      </c>
      <c r="F495" s="172"/>
    </row>
    <row r="496" spans="1:6">
      <c r="A496" s="172"/>
      <c r="B496" s="213">
        <v>2.4590000000000001</v>
      </c>
      <c r="C496" s="1321" t="s">
        <v>483</v>
      </c>
      <c r="F496" s="172"/>
    </row>
    <row r="497" spans="1:6">
      <c r="A497" s="172"/>
    </row>
    <row r="498" spans="1:6">
      <c r="A498" s="172" t="s">
        <v>484</v>
      </c>
    </row>
    <row r="499" spans="1:6">
      <c r="A499" s="172"/>
      <c r="B499" s="1299" t="s">
        <v>485</v>
      </c>
      <c r="C499" s="1312" t="s">
        <v>486</v>
      </c>
      <c r="D499" s="1178" t="s">
        <v>487</v>
      </c>
    </row>
    <row r="500" spans="1:6">
      <c r="A500" s="172"/>
      <c r="B500" s="59" t="s">
        <v>488</v>
      </c>
      <c r="C500" s="1119">
        <v>21.570692097725999</v>
      </c>
      <c r="D500" s="1190">
        <v>70.909337045982895</v>
      </c>
      <c r="F500" s="172"/>
    </row>
    <row r="501" spans="1:6">
      <c r="A501" s="172"/>
      <c r="B501" s="118" t="s">
        <v>489</v>
      </c>
      <c r="C501" s="1120">
        <v>6.7060813649289104</v>
      </c>
      <c r="D501" s="1191">
        <v>29.332886535257298</v>
      </c>
    </row>
    <row r="502" spans="1:6" ht="15.75">
      <c r="A502" s="172"/>
      <c r="B502" s="1119">
        <v>37.1776491351633</v>
      </c>
      <c r="C502" s="1321" t="s">
        <v>2446</v>
      </c>
    </row>
    <row r="503" spans="1:6" ht="15.75">
      <c r="A503" s="172"/>
      <c r="B503" s="1119">
        <v>18.600278503969914</v>
      </c>
      <c r="C503" s="1321" t="s">
        <v>2447</v>
      </c>
    </row>
    <row r="504" spans="1:6">
      <c r="A504" s="172"/>
      <c r="B504" s="1119">
        <v>10.525239810426541</v>
      </c>
      <c r="C504" s="1321" t="s">
        <v>492</v>
      </c>
    </row>
    <row r="505" spans="1:6">
      <c r="A505" s="172"/>
    </row>
    <row r="506" spans="1:6">
      <c r="A506" s="172" t="s">
        <v>493</v>
      </c>
    </row>
    <row r="507" spans="1:6">
      <c r="A507" s="172"/>
      <c r="B507" s="213">
        <v>2.15</v>
      </c>
      <c r="C507" s="1321" t="s">
        <v>494</v>
      </c>
    </row>
    <row r="508" spans="1:6">
      <c r="A508" s="172"/>
      <c r="B508" s="213">
        <v>19.782</v>
      </c>
      <c r="C508" s="1321" t="s">
        <v>495</v>
      </c>
    </row>
    <row r="509" spans="1:6">
      <c r="A509" s="172"/>
      <c r="B509" s="213">
        <v>24.338000000000001</v>
      </c>
      <c r="C509" s="1321" t="s">
        <v>496</v>
      </c>
    </row>
    <row r="510" spans="1:6">
      <c r="A510" s="172"/>
      <c r="B510" s="213">
        <v>2.4820000000000002</v>
      </c>
      <c r="C510" s="1321" t="s">
        <v>497</v>
      </c>
    </row>
    <row r="511" spans="1:6">
      <c r="A511" s="172"/>
      <c r="B511" s="80" t="s">
        <v>498</v>
      </c>
      <c r="C511" s="50"/>
    </row>
    <row r="512" spans="1:6">
      <c r="A512" s="172"/>
      <c r="B512" s="173" t="s">
        <v>499</v>
      </c>
      <c r="C512" s="645">
        <f>1-C513</f>
        <v>0.84199999999999997</v>
      </c>
    </row>
    <row r="513" spans="1:5">
      <c r="A513" s="172"/>
      <c r="B513" s="174" t="s">
        <v>500</v>
      </c>
      <c r="C513" s="646">
        <v>0.158</v>
      </c>
    </row>
    <row r="514" spans="1:5">
      <c r="A514" s="172"/>
    </row>
    <row r="515" spans="1:5">
      <c r="A515" s="172" t="s">
        <v>501</v>
      </c>
    </row>
    <row r="516" spans="1:5">
      <c r="A516" s="172"/>
      <c r="B516" s="213">
        <f>3.72+0.11</f>
        <v>3.83</v>
      </c>
      <c r="C516" s="1321" t="s">
        <v>502</v>
      </c>
    </row>
    <row r="517" spans="1:5">
      <c r="A517" s="172"/>
      <c r="B517" s="213">
        <v>14.75</v>
      </c>
      <c r="C517" s="1321" t="s">
        <v>503</v>
      </c>
    </row>
    <row r="518" spans="1:5">
      <c r="A518" s="172"/>
      <c r="B518" s="213">
        <v>22.9</v>
      </c>
      <c r="C518" s="1321" t="s">
        <v>504</v>
      </c>
    </row>
    <row r="519" spans="1:5">
      <c r="A519" s="172"/>
    </row>
    <row r="520" spans="1:5">
      <c r="A520" s="172" t="s">
        <v>505</v>
      </c>
    </row>
    <row r="521" spans="1:5">
      <c r="A521" s="172"/>
      <c r="B521" s="213">
        <v>0</v>
      </c>
      <c r="C521" s="1321" t="s">
        <v>506</v>
      </c>
    </row>
    <row r="522" spans="1:5">
      <c r="A522" s="172"/>
      <c r="B522" s="213">
        <v>146.27500000000001</v>
      </c>
      <c r="C522" s="1321" t="s">
        <v>507</v>
      </c>
    </row>
    <row r="523" spans="1:5">
      <c r="A523" s="172"/>
      <c r="B523" s="213">
        <v>225.26</v>
      </c>
      <c r="C523" s="1321" t="s">
        <v>508</v>
      </c>
    </row>
    <row r="524" spans="1:5">
      <c r="A524" s="172"/>
      <c r="B524" s="213">
        <v>2.496</v>
      </c>
      <c r="C524" s="1321" t="s">
        <v>1116</v>
      </c>
    </row>
    <row r="525" spans="1:5">
      <c r="A525" s="172"/>
      <c r="B525" s="213">
        <v>7.1890000000000001</v>
      </c>
      <c r="C525" s="1321" t="s">
        <v>510</v>
      </c>
    </row>
    <row r="526" spans="1:5">
      <c r="A526" s="172"/>
      <c r="B526" s="80" t="s">
        <v>2448</v>
      </c>
      <c r="C526" s="50"/>
    </row>
    <row r="527" spans="1:5">
      <c r="A527" s="172"/>
      <c r="B527" s="173" t="s">
        <v>512</v>
      </c>
      <c r="C527" s="226">
        <v>1</v>
      </c>
      <c r="E527" s="172"/>
    </row>
    <row r="528" spans="1:5">
      <c r="A528" s="172"/>
      <c r="B528" s="174" t="s">
        <v>513</v>
      </c>
      <c r="C528" s="130">
        <f>1-C527</f>
        <v>0</v>
      </c>
    </row>
    <row r="529" spans="1:3">
      <c r="A529" s="172"/>
    </row>
    <row r="530" spans="1:3">
      <c r="A530" s="172" t="s">
        <v>514</v>
      </c>
    </row>
    <row r="531" spans="1:3">
      <c r="A531" s="172"/>
      <c r="B531" s="213">
        <v>0.108</v>
      </c>
      <c r="C531" s="1321" t="s">
        <v>515</v>
      </c>
    </row>
    <row r="532" spans="1:3">
      <c r="A532" s="172"/>
    </row>
    <row r="533" spans="1:3">
      <c r="A533" s="172" t="s">
        <v>516</v>
      </c>
    </row>
    <row r="534" spans="1:3">
      <c r="A534" s="172"/>
      <c r="B534" s="213">
        <v>0.27</v>
      </c>
      <c r="C534" s="1321" t="s">
        <v>517</v>
      </c>
    </row>
    <row r="535" spans="1:3">
      <c r="A535" s="172"/>
      <c r="B535" s="213">
        <v>6.5</v>
      </c>
      <c r="C535" s="1321" t="s">
        <v>518</v>
      </c>
    </row>
    <row r="536" spans="1:3">
      <c r="A536" s="172"/>
      <c r="B536" s="213">
        <v>1.5</v>
      </c>
      <c r="C536" s="1321" t="s">
        <v>519</v>
      </c>
    </row>
    <row r="537" spans="1:3">
      <c r="A537" s="172"/>
      <c r="B537" s="213">
        <v>0.41</v>
      </c>
      <c r="C537" s="1321" t="s">
        <v>520</v>
      </c>
    </row>
    <row r="538" spans="1:3">
      <c r="A538" s="172"/>
      <c r="B538" s="213">
        <v>4.2</v>
      </c>
      <c r="C538" s="1321" t="s">
        <v>521</v>
      </c>
    </row>
    <row r="539" spans="1:3">
      <c r="A539" s="172"/>
      <c r="B539" s="213">
        <v>1.64</v>
      </c>
      <c r="C539" s="1321" t="s">
        <v>522</v>
      </c>
    </row>
    <row r="540" spans="1:3">
      <c r="A540" s="172"/>
      <c r="B540" s="213">
        <v>1.1499999999999999</v>
      </c>
      <c r="C540" s="1321" t="s">
        <v>523</v>
      </c>
    </row>
    <row r="541" spans="1:3">
      <c r="A541" s="172"/>
      <c r="B541" s="213">
        <v>6.5</v>
      </c>
      <c r="C541" s="1321" t="s">
        <v>524</v>
      </c>
    </row>
    <row r="542" spans="1:3">
      <c r="A542" s="172"/>
      <c r="B542" s="213">
        <v>2</v>
      </c>
      <c r="C542" s="1321" t="s">
        <v>525</v>
      </c>
    </row>
    <row r="543" spans="1:3">
      <c r="A543" s="172"/>
      <c r="B543" s="213">
        <v>3.28</v>
      </c>
      <c r="C543" s="1321" t="s">
        <v>526</v>
      </c>
    </row>
    <row r="544" spans="1:3">
      <c r="A544" s="172"/>
    </row>
    <row r="545" spans="1:3">
      <c r="A545" s="172" t="s">
        <v>527</v>
      </c>
    </row>
    <row r="546" spans="1:3">
      <c r="A546" s="172"/>
      <c r="B546" s="213">
        <v>23.907</v>
      </c>
      <c r="C546" s="1321" t="s">
        <v>528</v>
      </c>
    </row>
    <row r="547" spans="1:3">
      <c r="A547" s="172"/>
      <c r="B547" s="213">
        <f>16.907-2.383-7.141</f>
        <v>7.3830000000000009</v>
      </c>
      <c r="C547" s="1321" t="s">
        <v>529</v>
      </c>
    </row>
    <row r="548" spans="1:3">
      <c r="A548" s="172"/>
      <c r="B548" s="213">
        <v>58.664999999999999</v>
      </c>
      <c r="C548" s="1321" t="s">
        <v>372</v>
      </c>
    </row>
    <row r="549" spans="1:3">
      <c r="A549" s="172"/>
      <c r="B549" s="213">
        <f>29.479-2.21-4.538</f>
        <v>22.730999999999998</v>
      </c>
      <c r="C549" s="1321" t="s">
        <v>530</v>
      </c>
    </row>
    <row r="550" spans="1:3">
      <c r="A550" s="172"/>
      <c r="B550" s="213">
        <f>29.584-2.368-4.78</f>
        <v>22.436</v>
      </c>
      <c r="C550" s="1321" t="s">
        <v>531</v>
      </c>
    </row>
    <row r="551" spans="1:3">
      <c r="A551" s="172"/>
      <c r="B551" s="213">
        <f>19.953-1.584-7.216</f>
        <v>11.152999999999999</v>
      </c>
      <c r="C551" s="1321" t="s">
        <v>532</v>
      </c>
    </row>
    <row r="552" spans="1:3">
      <c r="A552" s="172"/>
      <c r="B552" s="213">
        <f>23.513-1.614-7.348</f>
        <v>14.551000000000002</v>
      </c>
      <c r="C552" s="1321" t="s">
        <v>533</v>
      </c>
    </row>
    <row r="553" spans="1:3">
      <c r="A553" s="172"/>
      <c r="B553" s="213">
        <f>19.669-1.6-7.284</f>
        <v>10.785</v>
      </c>
      <c r="C553" s="1321" t="s">
        <v>534</v>
      </c>
    </row>
    <row r="554" spans="1:3">
      <c r="A554" s="172"/>
      <c r="B554" s="213">
        <v>52.226999999999997</v>
      </c>
      <c r="C554" s="1321" t="s">
        <v>378</v>
      </c>
    </row>
    <row r="555" spans="1:3">
      <c r="A555" s="172"/>
      <c r="B555" s="213">
        <v>51.176000000000002</v>
      </c>
      <c r="C555" s="1321" t="s">
        <v>379</v>
      </c>
    </row>
    <row r="556" spans="1:3">
      <c r="A556" s="172"/>
      <c r="B556" s="213">
        <v>42.561999999999998</v>
      </c>
      <c r="C556" s="1321" t="s">
        <v>535</v>
      </c>
    </row>
    <row r="557" spans="1:3">
      <c r="A557" s="172"/>
      <c r="B557" s="213">
        <f>19.948-0.32-1.458</f>
        <v>18.170000000000002</v>
      </c>
      <c r="C557" s="1321" t="s">
        <v>536</v>
      </c>
    </row>
    <row r="558" spans="1:3">
      <c r="A558" s="172"/>
      <c r="B558" s="213">
        <f>19.744-3.754-6.672</f>
        <v>9.3180000000000014</v>
      </c>
      <c r="C558" s="1321" t="s">
        <v>537</v>
      </c>
    </row>
    <row r="559" spans="1:3">
      <c r="A559" s="172"/>
      <c r="B559" s="213">
        <f>32.655-1.879-3.623</f>
        <v>27.152999999999999</v>
      </c>
      <c r="C559" s="1321" t="s">
        <v>538</v>
      </c>
    </row>
    <row r="560" spans="1:3">
      <c r="A560" s="172"/>
      <c r="B560" s="213">
        <f>28.525-1.56-2.594</f>
        <v>24.370999999999999</v>
      </c>
      <c r="C560" s="1321" t="s">
        <v>539</v>
      </c>
    </row>
    <row r="561" spans="1:3">
      <c r="A561" s="172"/>
      <c r="B561" s="213">
        <f>22.378-0.726-3.304</f>
        <v>18.348000000000003</v>
      </c>
      <c r="C561" s="1321" t="s">
        <v>540</v>
      </c>
    </row>
    <row r="562" spans="1:3">
      <c r="A562" s="172"/>
      <c r="B562" s="213">
        <v>0.64100000000000001</v>
      </c>
      <c r="C562" s="1321" t="s">
        <v>387</v>
      </c>
    </row>
    <row r="563" spans="1:3">
      <c r="A563" s="172"/>
      <c r="B563" s="1126">
        <v>398.512</v>
      </c>
      <c r="C563" s="1321" t="s">
        <v>391</v>
      </c>
    </row>
    <row r="564" spans="1:3">
      <c r="A564" s="172"/>
      <c r="B564" s="213">
        <v>3.01</v>
      </c>
      <c r="C564" s="1321" t="s">
        <v>541</v>
      </c>
    </row>
    <row r="565" spans="1:3">
      <c r="B565" s="879">
        <v>3.698</v>
      </c>
      <c r="C565" s="1321" t="s">
        <v>542</v>
      </c>
    </row>
    <row r="566" spans="1:3">
      <c r="B566" s="879">
        <v>11.007</v>
      </c>
      <c r="C566" s="1321" t="s">
        <v>543</v>
      </c>
    </row>
    <row r="567" spans="1:3">
      <c r="A567" s="172"/>
      <c r="B567" s="1126">
        <v>7.8860000000000001</v>
      </c>
      <c r="C567" s="1321" t="s">
        <v>544</v>
      </c>
    </row>
    <row r="568" spans="1:3">
      <c r="A568" s="172"/>
      <c r="B568" s="213">
        <v>5.3140000000000001</v>
      </c>
      <c r="C568" s="1321" t="s">
        <v>545</v>
      </c>
    </row>
    <row r="569" spans="1:3">
      <c r="A569" s="172"/>
      <c r="B569" s="213">
        <v>1.798</v>
      </c>
      <c r="C569" s="1321" t="s">
        <v>395</v>
      </c>
    </row>
    <row r="570" spans="1:3">
      <c r="A570" s="172"/>
      <c r="B570" s="213">
        <v>6.274</v>
      </c>
      <c r="C570" s="1321" t="s">
        <v>396</v>
      </c>
    </row>
    <row r="571" spans="1:3">
      <c r="A571" s="172"/>
      <c r="B571" s="213">
        <v>1.6950000000000001</v>
      </c>
      <c r="C571" s="1321" t="s">
        <v>397</v>
      </c>
    </row>
    <row r="572" spans="1:3">
      <c r="A572" s="172"/>
      <c r="B572" s="213">
        <v>1.633</v>
      </c>
      <c r="C572" s="1321" t="s">
        <v>398</v>
      </c>
    </row>
    <row r="573" spans="1:3">
      <c r="A573" s="172"/>
      <c r="B573" s="213">
        <v>2.1680000000000001</v>
      </c>
      <c r="C573" s="1321" t="s">
        <v>399</v>
      </c>
    </row>
    <row r="574" spans="1:3">
      <c r="A574" s="172"/>
      <c r="B574" s="213">
        <v>6.1849999999999996</v>
      </c>
      <c r="C574" s="1321" t="s">
        <v>400</v>
      </c>
    </row>
    <row r="575" spans="1:3">
      <c r="A575" s="172"/>
      <c r="B575" s="213">
        <v>3.8029999999999999</v>
      </c>
      <c r="C575" s="1321" t="s">
        <v>401</v>
      </c>
    </row>
    <row r="576" spans="1:3">
      <c r="A576" s="172"/>
      <c r="B576" s="213">
        <v>2.4740000000000002</v>
      </c>
      <c r="C576" s="1321" t="s">
        <v>402</v>
      </c>
    </row>
    <row r="577" spans="1:6">
      <c r="A577" s="172"/>
    </row>
    <row r="578" spans="1:6">
      <c r="A578" s="172" t="s">
        <v>546</v>
      </c>
    </row>
    <row r="579" spans="1:6">
      <c r="A579" s="172"/>
      <c r="B579" s="213">
        <v>33.854999999999997</v>
      </c>
      <c r="C579" s="1321" t="s">
        <v>547</v>
      </c>
    </row>
    <row r="580" spans="1:6">
      <c r="A580" s="172"/>
      <c r="B580" s="213">
        <v>6.274</v>
      </c>
      <c r="C580" s="1321" t="s">
        <v>396</v>
      </c>
    </row>
    <row r="581" spans="1:6">
      <c r="A581" s="172"/>
      <c r="B581" s="213">
        <v>3.8029999999999999</v>
      </c>
      <c r="C581" s="1321" t="s">
        <v>401</v>
      </c>
    </row>
    <row r="582" spans="1:6">
      <c r="A582" s="172"/>
    </row>
    <row r="583" spans="1:6">
      <c r="A583" s="172" t="s">
        <v>2449</v>
      </c>
    </row>
    <row r="584" spans="1:6">
      <c r="A584" s="172"/>
      <c r="B584" s="58" t="s">
        <v>549</v>
      </c>
      <c r="C584" s="3143" t="s">
        <v>550</v>
      </c>
      <c r="D584" s="3144"/>
      <c r="E584" s="3143" t="s">
        <v>551</v>
      </c>
      <c r="F584" s="3144"/>
    </row>
    <row r="585" spans="1:6">
      <c r="A585" s="172"/>
      <c r="B585" s="118" t="s">
        <v>485</v>
      </c>
      <c r="C585" s="1965" t="s">
        <v>486</v>
      </c>
      <c r="D585" s="643" t="s">
        <v>487</v>
      </c>
      <c r="E585" s="644" t="s">
        <v>486</v>
      </c>
      <c r="F585" s="643" t="s">
        <v>487</v>
      </c>
    </row>
    <row r="586" spans="1:6">
      <c r="A586" s="172"/>
      <c r="B586" s="59" t="s">
        <v>552</v>
      </c>
      <c r="C586" s="1966">
        <v>140.16</v>
      </c>
      <c r="D586" s="957">
        <v>73424.100000000006</v>
      </c>
      <c r="E586" s="1967">
        <v>2.262</v>
      </c>
      <c r="F586" s="957">
        <v>2.262</v>
      </c>
    </row>
    <row r="587" spans="1:6">
      <c r="A587" s="172"/>
      <c r="B587" s="59" t="s">
        <v>553</v>
      </c>
      <c r="C587" s="1966">
        <v>96.89</v>
      </c>
      <c r="D587" s="957">
        <v>50759.34</v>
      </c>
      <c r="E587" s="1967"/>
      <c r="F587" s="957"/>
    </row>
    <row r="588" spans="1:6">
      <c r="A588" s="172"/>
      <c r="B588" s="59" t="s">
        <v>555</v>
      </c>
      <c r="C588" s="1966">
        <v>114.24</v>
      </c>
      <c r="D588" s="957">
        <v>59843.57</v>
      </c>
      <c r="E588" s="1967"/>
      <c r="F588" s="957"/>
    </row>
    <row r="589" spans="1:6">
      <c r="A589" s="172"/>
      <c r="B589" s="118" t="s">
        <v>557</v>
      </c>
      <c r="C589" s="1968">
        <v>52.92</v>
      </c>
      <c r="D589" s="1548">
        <v>27720.97</v>
      </c>
      <c r="E589" s="1114">
        <v>11.72</v>
      </c>
      <c r="F589" s="1548">
        <v>56879</v>
      </c>
    </row>
    <row r="590" spans="1:6">
      <c r="A590" s="172"/>
    </row>
    <row r="591" spans="1:6">
      <c r="A591" s="172" t="s">
        <v>577</v>
      </c>
    </row>
    <row r="592" spans="1:6">
      <c r="A592" s="172"/>
      <c r="B592" s="213">
        <v>4.3330000000000002</v>
      </c>
      <c r="C592" s="1321" t="s">
        <v>578</v>
      </c>
    </row>
    <row r="593" spans="1:3">
      <c r="A593" s="172"/>
      <c r="B593" s="213">
        <v>108.31399999999999</v>
      </c>
      <c r="C593" s="1321" t="s">
        <v>579</v>
      </c>
    </row>
    <row r="594" spans="1:3">
      <c r="A594" s="172"/>
      <c r="B594" s="213">
        <v>0</v>
      </c>
      <c r="C594" s="1321" t="s">
        <v>580</v>
      </c>
    </row>
    <row r="595" spans="1:3">
      <c r="A595" s="172"/>
    </row>
    <row r="596" spans="1:3">
      <c r="A596" s="172" t="s">
        <v>581</v>
      </c>
    </row>
    <row r="597" spans="1:3">
      <c r="A597" s="172"/>
      <c r="B597" s="213">
        <v>3.72</v>
      </c>
      <c r="C597" s="1321" t="s">
        <v>582</v>
      </c>
    </row>
    <row r="598" spans="1:3">
      <c r="A598" s="172"/>
      <c r="B598" s="213">
        <v>86.4</v>
      </c>
      <c r="C598" s="1321" t="s">
        <v>583</v>
      </c>
    </row>
    <row r="599" spans="1:3">
      <c r="A599" s="172"/>
    </row>
    <row r="600" spans="1:3">
      <c r="A600" s="172" t="s">
        <v>584</v>
      </c>
    </row>
    <row r="601" spans="1:3">
      <c r="A601" s="172"/>
      <c r="B601" s="213">
        <v>12.295999999999999</v>
      </c>
      <c r="C601" s="1321" t="s">
        <v>585</v>
      </c>
    </row>
    <row r="602" spans="1:3">
      <c r="A602" s="172"/>
      <c r="B602" s="213">
        <v>12.038</v>
      </c>
      <c r="C602" s="1321" t="s">
        <v>586</v>
      </c>
    </row>
    <row r="603" spans="1:3">
      <c r="A603" s="172"/>
      <c r="B603" s="213">
        <v>81.685000000000002</v>
      </c>
      <c r="C603" s="1321" t="s">
        <v>291</v>
      </c>
    </row>
    <row r="604" spans="1:3">
      <c r="A604" s="172"/>
    </row>
    <row r="605" spans="1:3">
      <c r="A605" s="172" t="s">
        <v>587</v>
      </c>
    </row>
    <row r="606" spans="1:3">
      <c r="B606" s="213">
        <v>29.654</v>
      </c>
      <c r="C606" s="1321" t="s">
        <v>588</v>
      </c>
    </row>
    <row r="608" spans="1:3">
      <c r="A608" s="172" t="s">
        <v>589</v>
      </c>
    </row>
    <row r="609" spans="1:3" ht="15.75">
      <c r="B609" s="115">
        <v>260</v>
      </c>
      <c r="C609" s="1321" t="s">
        <v>2450</v>
      </c>
    </row>
    <row r="610" spans="1:3">
      <c r="B610" s="115">
        <v>13.1</v>
      </c>
      <c r="C610" s="1321" t="s">
        <v>591</v>
      </c>
    </row>
    <row r="611" spans="1:3" ht="15.75">
      <c r="B611" s="115">
        <v>9</v>
      </c>
      <c r="C611" s="1321" t="s">
        <v>2451</v>
      </c>
    </row>
    <row r="623" spans="1:3">
      <c r="A623" s="172"/>
    </row>
    <row r="634" spans="1:5">
      <c r="A634" s="172"/>
    </row>
    <row r="636" spans="1:5">
      <c r="E636" s="172"/>
    </row>
    <row r="638" spans="1:5">
      <c r="A638" s="172"/>
    </row>
    <row r="642" spans="1:15">
      <c r="A642" s="172"/>
    </row>
    <row r="644" spans="1:15">
      <c r="O644" s="1969"/>
    </row>
    <row r="651" spans="1:15">
      <c r="A651" s="172"/>
    </row>
    <row r="656" spans="1:15">
      <c r="A656" s="172"/>
      <c r="K656" s="172"/>
    </row>
    <row r="657" spans="1:10">
      <c r="J657" s="172"/>
    </row>
    <row r="659" spans="1:10">
      <c r="A659" s="172"/>
    </row>
    <row r="663" spans="1:10">
      <c r="A663" s="172"/>
    </row>
    <row r="665" spans="1:10" ht="27" customHeight="1"/>
    <row r="667" spans="1:10">
      <c r="A667" s="172"/>
    </row>
    <row r="670" spans="1:10">
      <c r="G670" s="172"/>
    </row>
    <row r="671" spans="1:10">
      <c r="G671" s="172"/>
    </row>
    <row r="672" spans="1:10">
      <c r="G672" s="172"/>
    </row>
    <row r="676" spans="1:1">
      <c r="A676" s="172"/>
    </row>
    <row r="689" spans="1:17">
      <c r="A689" s="172"/>
    </row>
    <row r="692" spans="1:17">
      <c r="Q692" s="172" t="s">
        <v>2452</v>
      </c>
    </row>
    <row r="703" spans="1:17">
      <c r="A703" s="172"/>
    </row>
    <row r="707" spans="1:1">
      <c r="A707" s="172"/>
    </row>
    <row r="724" spans="1:1">
      <c r="A724" s="172"/>
    </row>
    <row r="731" spans="1:1">
      <c r="A731" s="172"/>
    </row>
    <row r="742" spans="3:18">
      <c r="C742" s="302"/>
      <c r="D742" s="302"/>
      <c r="E742" s="302"/>
      <c r="F742" s="302"/>
      <c r="G742" s="302"/>
      <c r="H742" s="302"/>
      <c r="I742" s="302"/>
      <c r="J742" s="302"/>
      <c r="K742" s="302"/>
      <c r="L742" s="302"/>
      <c r="M742" s="302"/>
      <c r="N742" s="302"/>
      <c r="O742" s="302"/>
      <c r="P742" s="302"/>
      <c r="Q742" s="302"/>
      <c r="R742" s="302"/>
    </row>
    <row r="743" spans="3:18">
      <c r="G743" s="183"/>
      <c r="H743" s="183"/>
      <c r="L743" s="183"/>
    </row>
    <row r="744" spans="3:18">
      <c r="G744" s="183"/>
      <c r="H744" s="183"/>
      <c r="L744" s="183"/>
    </row>
    <row r="745" spans="3:18">
      <c r="G745" s="183"/>
      <c r="H745" s="183"/>
      <c r="L745" s="183"/>
    </row>
    <row r="748" spans="3:18">
      <c r="H748" s="1970" t="s">
        <v>2453</v>
      </c>
    </row>
    <row r="833" spans="7:7">
      <c r="G833" s="172" t="s">
        <v>2454</v>
      </c>
    </row>
    <row r="834" spans="7:7">
      <c r="G834" s="172" t="s">
        <v>2454</v>
      </c>
    </row>
    <row r="835" spans="7:7">
      <c r="G835" s="172" t="s">
        <v>2454</v>
      </c>
    </row>
    <row r="872" spans="9:12">
      <c r="I872" s="1321">
        <v>1</v>
      </c>
      <c r="J872" s="1321" t="s">
        <v>2455</v>
      </c>
      <c r="K872" s="1321">
        <v>1055.06</v>
      </c>
      <c r="L872" s="1321" t="s">
        <v>1922</v>
      </c>
    </row>
    <row r="873" spans="9:12">
      <c r="I873" s="1321">
        <v>1</v>
      </c>
      <c r="J873" s="1321" t="s">
        <v>2456</v>
      </c>
      <c r="K873" s="1321">
        <v>907.18474000000003</v>
      </c>
      <c r="L873" s="1321" t="s">
        <v>1929</v>
      </c>
    </row>
    <row r="874" spans="9:12">
      <c r="K874" s="1321">
        <f xml:space="preserve"> B563*K872/K873</f>
        <v>463.47127787885842</v>
      </c>
      <c r="L874" s="1321" t="s">
        <v>2457</v>
      </c>
    </row>
    <row r="901" ht="12.75" hidden="1" customHeight="1"/>
    <row r="902" ht="12.75" hidden="1" customHeight="1"/>
    <row r="903" ht="12.75" hidden="1" customHeight="1"/>
    <row r="904" ht="13.5" hidden="1" customHeight="1"/>
    <row r="905" ht="12.75" hidden="1" customHeight="1"/>
    <row r="906" ht="12.75" hidden="1" customHeight="1"/>
    <row r="907" ht="12.75" hidden="1" customHeight="1"/>
    <row r="908" ht="12.75" hidden="1" customHeight="1"/>
    <row r="909" ht="13.5" hidden="1" customHeight="1"/>
    <row r="910" ht="12.75" hidden="1" customHeight="1"/>
    <row r="911" ht="12.75" hidden="1" customHeight="1"/>
    <row r="912" ht="12.75" hidden="1" customHeight="1"/>
    <row r="913" ht="12.75" hidden="1" customHeight="1"/>
    <row r="914" ht="13.5" hidden="1" customHeight="1"/>
    <row r="915" ht="12.75" hidden="1" customHeight="1"/>
    <row r="916" ht="12.75" hidden="1" customHeight="1"/>
    <row r="917" ht="12.75" hidden="1" customHeight="1"/>
    <row r="918" ht="12.75" hidden="1" customHeight="1"/>
    <row r="919" ht="13.5" hidden="1" customHeight="1"/>
    <row r="920" ht="12.75" hidden="1" customHeight="1"/>
  </sheetData>
  <mergeCells count="8">
    <mergeCell ref="C584:D584"/>
    <mergeCell ref="E584:F584"/>
    <mergeCell ref="M191:X191"/>
    <mergeCell ref="M192:P192"/>
    <mergeCell ref="Q192:T192"/>
    <mergeCell ref="U192:X192"/>
    <mergeCell ref="C423:M423"/>
    <mergeCell ref="N423:R423"/>
  </mergeCells>
  <dataValidations disablePrompts="1" count="3">
    <dataValidation type="list" allowBlank="1" showInputMessage="1" showErrorMessage="1" sqref="B403" xr:uid="{00000000-0002-0000-3000-000000000000}">
      <formula1>"1,2,3,4,5,6,7,8,9,10,11"</formula1>
    </dataValidation>
    <dataValidation type="list" allowBlank="1" showInputMessage="1" showErrorMessage="1" sqref="B416" xr:uid="{00000000-0002-0000-3000-000001000000}">
      <formula1>"1,2,3,4,5"</formula1>
    </dataValidation>
    <dataValidation type="list" allowBlank="1" showInputMessage="1" showErrorMessage="1" sqref="F399 B399 B434" xr:uid="{00000000-0002-0000-3000-000002000000}">
      <formula1>"1,2"</formula1>
    </dataValidation>
  </dataValidation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1" id="{93C7C0B1-FF2D-48EA-9D31-732966DBDDC9}">
            <xm:f>OR(MHDV_Inputs!$B$3=2,MHDV_Inputs!$B$3=3)</xm:f>
            <x14:dxf>
              <fill>
                <patternFill>
                  <bgColor theme="1" tint="0.24994659260841701"/>
                </patternFill>
              </fill>
            </x14:dxf>
          </x14:cfRule>
          <xm:sqref>D5:D120 D124:D165 D173:D180 D184:D210</xm:sqref>
        </x14:conditionalFormatting>
      </x14:conditionalFormatting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1">
    <tabColor theme="9" tint="0.59999389629810485"/>
  </sheetPr>
  <dimension ref="A1:AF349"/>
  <sheetViews>
    <sheetView showGridLines="0" zoomScale="85" zoomScaleNormal="85" workbookViewId="0"/>
  </sheetViews>
  <sheetFormatPr defaultColWidth="9.140625" defaultRowHeight="12.75"/>
  <cols>
    <col min="1" max="1" width="1.7109375" style="1321" customWidth="1"/>
    <col min="2" max="2" width="47.5703125" style="1321" customWidth="1"/>
    <col min="3" max="3" width="23.7109375" style="1321" customWidth="1"/>
    <col min="4" max="4" width="22.7109375" style="1321" customWidth="1"/>
    <col min="5" max="5" width="26.5703125" style="1321" customWidth="1"/>
    <col min="6" max="6" width="26.28515625" style="1321" customWidth="1"/>
    <col min="7" max="8" width="23.5703125" style="1321" customWidth="1"/>
    <col min="9" max="9" width="22.140625" style="1321" customWidth="1"/>
    <col min="10" max="10" width="24.7109375" style="1321" customWidth="1"/>
    <col min="11" max="11" width="26" style="1321" customWidth="1"/>
    <col min="12" max="12" width="25.5703125" style="1321" customWidth="1"/>
    <col min="13" max="13" width="27.7109375" style="1321" customWidth="1"/>
    <col min="14" max="14" width="23" style="1321" customWidth="1"/>
    <col min="15" max="15" width="16.5703125" style="1321" customWidth="1"/>
    <col min="16" max="16" width="19.7109375" style="1321" customWidth="1"/>
    <col min="17" max="17" width="21.28515625" style="1321" customWidth="1"/>
    <col min="18" max="18" width="12.28515625" style="1321" customWidth="1"/>
    <col min="19" max="19" width="11.42578125" style="1321" bestFit="1" customWidth="1"/>
    <col min="20" max="20" width="11.85546875" style="1321" customWidth="1"/>
    <col min="21" max="21" width="13.28515625" style="1321" customWidth="1"/>
    <col min="22" max="22" width="11.28515625" style="1321" customWidth="1"/>
    <col min="23" max="23" width="14" style="1321" customWidth="1"/>
    <col min="24" max="24" width="14.42578125" style="1321" customWidth="1"/>
    <col min="25" max="25" width="14.140625" style="1321" customWidth="1"/>
    <col min="26" max="26" width="11.85546875" style="1321" bestFit="1" customWidth="1"/>
    <col min="27" max="27" width="10.28515625" style="1321" bestFit="1" customWidth="1"/>
    <col min="28" max="28" width="10.42578125" style="1321" bestFit="1" customWidth="1"/>
    <col min="29" max="29" width="11.42578125" style="1321" bestFit="1" customWidth="1"/>
    <col min="30" max="30" width="10.42578125" style="1321" bestFit="1" customWidth="1"/>
    <col min="31" max="31" width="13.28515625" style="1321" customWidth="1"/>
    <col min="32" max="32" width="11.28515625" style="1321" customWidth="1"/>
    <col min="33" max="33" width="11.140625" style="1321" customWidth="1"/>
    <col min="34" max="34" width="11.85546875" style="1321" customWidth="1"/>
    <col min="35" max="35" width="10.7109375" style="1321" customWidth="1"/>
    <col min="36" max="36" width="11.85546875" style="1321" customWidth="1"/>
    <col min="37" max="16384" width="9.140625" style="1321"/>
  </cols>
  <sheetData>
    <row r="1" spans="1:25" ht="15.75">
      <c r="A1" s="1971" t="s">
        <v>2458</v>
      </c>
    </row>
    <row r="2" spans="1:25" ht="15">
      <c r="A2" s="120" t="s">
        <v>2459</v>
      </c>
    </row>
    <row r="3" spans="1:25">
      <c r="B3" s="1627"/>
      <c r="C3" s="1630" t="s">
        <v>203</v>
      </c>
      <c r="D3" s="1628" t="s">
        <v>194</v>
      </c>
      <c r="E3" s="1628" t="s">
        <v>167</v>
      </c>
      <c r="F3" s="1629" t="s">
        <v>198</v>
      </c>
      <c r="G3" s="201"/>
      <c r="H3" s="1859"/>
      <c r="I3" s="1859"/>
      <c r="J3" s="1859"/>
      <c r="K3" s="1859"/>
      <c r="N3" s="1859"/>
      <c r="O3" s="1859"/>
      <c r="P3" s="1859"/>
      <c r="Q3" s="1859"/>
      <c r="R3" s="1859"/>
      <c r="S3" s="1859"/>
      <c r="T3" s="1859"/>
      <c r="U3" s="1859"/>
      <c r="V3" s="1859"/>
      <c r="W3" s="1859"/>
      <c r="X3" s="1859"/>
      <c r="Y3" s="1859"/>
    </row>
    <row r="4" spans="1:25">
      <c r="B4" s="1625" t="s">
        <v>2460</v>
      </c>
      <c r="C4" s="1972">
        <f xml:space="preserve"> SUM(C9,C14:O14,C22)</f>
        <v>16983.895049194383</v>
      </c>
      <c r="D4" s="1973">
        <f xml:space="preserve"> D9+D10+SUM(C15:O15)+D22</f>
        <v>17120.471511737473</v>
      </c>
      <c r="E4" s="1973">
        <f xml:space="preserve"> E9+E10+SUM(C16:O16)+E22</f>
        <v>19177.485510782746</v>
      </c>
      <c r="F4" s="1974">
        <f xml:space="preserve"> F9+F10+SUM(C17:O17)+F22</f>
        <v>16654.087390631219</v>
      </c>
      <c r="G4" s="1975"/>
      <c r="H4" s="1975"/>
      <c r="I4" s="1975"/>
      <c r="J4" s="1975"/>
      <c r="K4" s="1975"/>
      <c r="N4" s="631"/>
      <c r="O4" s="631"/>
      <c r="P4" s="631"/>
      <c r="Q4" s="631"/>
      <c r="R4" s="631"/>
      <c r="S4" s="631"/>
      <c r="T4" s="631"/>
      <c r="U4" s="631"/>
      <c r="V4" s="631"/>
      <c r="W4" s="631"/>
      <c r="X4" s="631"/>
      <c r="Y4" s="631"/>
    </row>
    <row r="5" spans="1:25">
      <c r="D5" s="631"/>
      <c r="F5" s="1976"/>
      <c r="G5" s="1977"/>
      <c r="H5" s="1976"/>
      <c r="L5" s="1976"/>
    </row>
    <row r="6" spans="1:25" ht="15">
      <c r="A6" s="120" t="s">
        <v>610</v>
      </c>
    </row>
    <row r="7" spans="1:25">
      <c r="A7" s="172" t="s">
        <v>611</v>
      </c>
    </row>
    <row r="8" spans="1:25">
      <c r="A8" s="172"/>
      <c r="B8" s="1627"/>
      <c r="C8" s="1630" t="s">
        <v>203</v>
      </c>
      <c r="D8" s="1628" t="s">
        <v>194</v>
      </c>
      <c r="E8" s="1628" t="s">
        <v>167</v>
      </c>
      <c r="F8" s="1629" t="s">
        <v>198</v>
      </c>
      <c r="G8" s="1859"/>
      <c r="H8" s="3152" t="s">
        <v>194</v>
      </c>
      <c r="I8" s="3153"/>
      <c r="J8" s="3153"/>
      <c r="K8" s="3154"/>
      <c r="L8" s="3152" t="s">
        <v>167</v>
      </c>
      <c r="M8" s="3153"/>
      <c r="N8" s="3153"/>
      <c r="O8" s="3154"/>
      <c r="P8" s="3155" t="s">
        <v>198</v>
      </c>
      <c r="Q8" s="3156"/>
      <c r="R8" s="3156"/>
      <c r="S8" s="3157"/>
      <c r="T8" s="1859"/>
      <c r="U8" s="1859"/>
      <c r="V8" s="1859"/>
      <c r="W8" s="1859"/>
      <c r="X8" s="1859"/>
      <c r="Y8" s="1859"/>
    </row>
    <row r="9" spans="1:25">
      <c r="A9" s="172"/>
      <c r="B9" s="1860" t="s">
        <v>2461</v>
      </c>
      <c r="C9" s="1978">
        <v>138</v>
      </c>
      <c r="D9" s="1979">
        <v>138</v>
      </c>
      <c r="E9" s="1979">
        <v>69</v>
      </c>
      <c r="F9" s="1980">
        <v>69</v>
      </c>
      <c r="G9" s="1864"/>
      <c r="H9" s="1981" t="s">
        <v>222</v>
      </c>
      <c r="I9" s="1982" t="s">
        <v>221</v>
      </c>
      <c r="J9" s="1862" t="s">
        <v>226</v>
      </c>
      <c r="K9" s="1983" t="s">
        <v>213</v>
      </c>
      <c r="L9" s="1981" t="s">
        <v>222</v>
      </c>
      <c r="M9" s="1982" t="s">
        <v>221</v>
      </c>
      <c r="N9" s="1862" t="s">
        <v>226</v>
      </c>
      <c r="O9" s="1983" t="s">
        <v>213</v>
      </c>
      <c r="P9" s="1981" t="s">
        <v>222</v>
      </c>
      <c r="Q9" s="1982" t="s">
        <v>221</v>
      </c>
      <c r="R9" s="1862" t="s">
        <v>226</v>
      </c>
      <c r="S9" s="1983" t="s">
        <v>213</v>
      </c>
      <c r="T9" s="631"/>
      <c r="U9" s="631"/>
      <c r="V9" s="631"/>
      <c r="W9" s="631"/>
      <c r="X9" s="631"/>
      <c r="Y9" s="631"/>
    </row>
    <row r="10" spans="1:25">
      <c r="A10" s="172"/>
      <c r="B10" s="192" t="s">
        <v>2462</v>
      </c>
      <c r="C10" s="1984"/>
      <c r="D10" s="1985">
        <f xml:space="preserve"> IF(MHDV_Inputs!$C$98=1,H10,IF(MHDV_Inputs!$C$98=2,I10,IF(MHDV_Inputs!$C$98=3,K10,J10)))</f>
        <v>130.62099682482616</v>
      </c>
      <c r="E10" s="1985">
        <f xml:space="preserve"> IF(MHDV_Inputs!$C$99=1,L10,IF(MHDV_Inputs!$C$99=2,M10,IF(MHDV_Inputs!$C$99=3,N10,O10)))</f>
        <v>3728.8886700863832</v>
      </c>
      <c r="F10" s="1986">
        <f xml:space="preserve"> IF(MHDV_Inputs!$C$100=1,P10,IF(MHDV_Inputs!$C$100=2,Q10,IF(MHDV_Inputs!$C$100=3,R10,S10)))</f>
        <v>147.26981666115748</v>
      </c>
      <c r="G10" s="1864"/>
      <c r="H10" s="1987">
        <v>125.4159686206516</v>
      </c>
      <c r="I10" s="1988">
        <v>130.62099682482616</v>
      </c>
      <c r="J10" s="1988">
        <v>135.95605979885164</v>
      </c>
      <c r="K10" s="1988">
        <v>137.37955968418879</v>
      </c>
      <c r="L10" s="1987">
        <v>3553.9376650343343</v>
      </c>
      <c r="M10" s="1988">
        <v>3728.8886700863832</v>
      </c>
      <c r="N10" s="1988">
        <v>3944.8750756329337</v>
      </c>
      <c r="O10" s="1989">
        <v>0</v>
      </c>
      <c r="P10" s="1987">
        <v>141.08390222514524</v>
      </c>
      <c r="Q10" s="1988">
        <v>147.26981666115748</v>
      </c>
      <c r="R10" s="1988">
        <v>152.89783028578009</v>
      </c>
      <c r="S10" s="1989">
        <v>155.29462344482693</v>
      </c>
    </row>
    <row r="11" spans="1:25">
      <c r="A11" s="172"/>
      <c r="G11" s="1864"/>
    </row>
    <row r="12" spans="1:25">
      <c r="A12" s="172" t="s">
        <v>622</v>
      </c>
      <c r="C12" s="1859"/>
      <c r="D12" s="1859"/>
      <c r="E12" s="1859"/>
      <c r="F12" s="1859"/>
      <c r="G12" s="1859"/>
      <c r="H12" s="1859"/>
      <c r="I12" s="1859"/>
    </row>
    <row r="13" spans="1:25">
      <c r="A13" s="172"/>
      <c r="B13" s="640"/>
      <c r="C13" s="1936" t="s">
        <v>157</v>
      </c>
      <c r="D13" s="1937" t="s">
        <v>2339</v>
      </c>
      <c r="E13" s="1937" t="s">
        <v>2340</v>
      </c>
      <c r="F13" s="1937" t="s">
        <v>2376</v>
      </c>
      <c r="G13" s="1938" t="s">
        <v>2342</v>
      </c>
      <c r="H13" s="1938" t="s">
        <v>2343</v>
      </c>
      <c r="I13" s="1938" t="s">
        <v>158</v>
      </c>
      <c r="J13" s="1938" t="s">
        <v>159</v>
      </c>
      <c r="K13" s="1937" t="s">
        <v>160</v>
      </c>
      <c r="L13" s="1937" t="s">
        <v>161</v>
      </c>
      <c r="M13" s="1938" t="s">
        <v>2344</v>
      </c>
      <c r="N13" s="1937" t="s">
        <v>162</v>
      </c>
      <c r="O13" s="1939" t="s">
        <v>163</v>
      </c>
    </row>
    <row r="14" spans="1:25">
      <c r="A14" s="172"/>
      <c r="B14" s="1860" t="s">
        <v>2463</v>
      </c>
      <c r="C14" s="1978">
        <v>33.694570589190718</v>
      </c>
      <c r="D14" s="1979">
        <v>15.43</v>
      </c>
      <c r="E14" s="1979">
        <v>12.937033632599999</v>
      </c>
      <c r="F14" s="1979">
        <v>30.86</v>
      </c>
      <c r="G14" s="1979">
        <v>19.004999999999999</v>
      </c>
      <c r="H14" s="1979">
        <v>19.004999999999999</v>
      </c>
      <c r="I14" s="1979">
        <v>0</v>
      </c>
      <c r="J14" s="1979">
        <v>0</v>
      </c>
      <c r="K14" s="1979">
        <v>16.873299684432002</v>
      </c>
      <c r="L14" s="1979">
        <v>54.07822074659196</v>
      </c>
      <c r="M14" s="1979">
        <v>55.079669278936258</v>
      </c>
      <c r="N14" s="1979">
        <v>15.856268428784681</v>
      </c>
      <c r="O14" s="1980">
        <v>0</v>
      </c>
    </row>
    <row r="15" spans="1:25">
      <c r="A15" s="172"/>
      <c r="B15" s="191" t="s">
        <v>2464</v>
      </c>
      <c r="C15" s="1990">
        <v>33.694570589190718</v>
      </c>
      <c r="D15" s="1991">
        <v>15.43</v>
      </c>
      <c r="E15" s="1991">
        <v>12.937033632599999</v>
      </c>
      <c r="F15" s="1991">
        <v>30.86</v>
      </c>
      <c r="G15" s="1991">
        <v>19.004999999999999</v>
      </c>
      <c r="H15" s="1991">
        <v>19.004999999999999</v>
      </c>
      <c r="I15" s="1991">
        <v>0</v>
      </c>
      <c r="J15" s="1991">
        <v>0</v>
      </c>
      <c r="K15" s="1991">
        <v>5.1917844426981459</v>
      </c>
      <c r="L15" s="1991">
        <v>54.07822074659196</v>
      </c>
      <c r="M15" s="1991">
        <v>55.079669278936258</v>
      </c>
      <c r="N15" s="1991">
        <v>15.856268428784681</v>
      </c>
      <c r="O15" s="1992">
        <v>0</v>
      </c>
    </row>
    <row r="16" spans="1:25">
      <c r="A16" s="172"/>
      <c r="B16" s="191" t="s">
        <v>2465</v>
      </c>
      <c r="C16" s="1990">
        <v>0</v>
      </c>
      <c r="D16" s="1991">
        <v>15.43</v>
      </c>
      <c r="E16" s="1991">
        <v>12.937033632599999</v>
      </c>
      <c r="F16" s="1991">
        <v>30.86</v>
      </c>
      <c r="G16" s="1991">
        <v>19.004999999999999</v>
      </c>
      <c r="H16" s="1991">
        <v>19.004999999999999</v>
      </c>
      <c r="I16" s="1991">
        <v>0</v>
      </c>
      <c r="J16" s="1991">
        <v>0</v>
      </c>
      <c r="K16" s="1991">
        <v>5.1917844426981459</v>
      </c>
      <c r="L16" s="1991">
        <v>37.081197360601792</v>
      </c>
      <c r="M16" s="1991">
        <v>37.767886200612935</v>
      </c>
      <c r="N16" s="1991">
        <v>15.856268428784681</v>
      </c>
      <c r="O16" s="1992">
        <v>0</v>
      </c>
    </row>
    <row r="17" spans="1:15">
      <c r="A17" s="172"/>
      <c r="B17" s="192" t="s">
        <v>2466</v>
      </c>
      <c r="C17" s="1993">
        <v>0</v>
      </c>
      <c r="D17" s="1994">
        <v>15.43</v>
      </c>
      <c r="E17" s="1994">
        <v>12.937033632599999</v>
      </c>
      <c r="F17" s="1994">
        <v>30.86</v>
      </c>
      <c r="G17" s="1994">
        <v>19.004999999999999</v>
      </c>
      <c r="H17" s="1994">
        <v>19.004999999999999</v>
      </c>
      <c r="I17" s="1994">
        <v>0</v>
      </c>
      <c r="J17" s="1994">
        <v>0</v>
      </c>
      <c r="K17" s="1994">
        <v>5.1917844426981459</v>
      </c>
      <c r="L17" s="1994">
        <v>37.081197360601792</v>
      </c>
      <c r="M17" s="1994">
        <v>37.767886200612935</v>
      </c>
      <c r="N17" s="1994">
        <v>15.856268428784681</v>
      </c>
      <c r="O17" s="1995">
        <v>0</v>
      </c>
    </row>
    <row r="18" spans="1:15">
      <c r="A18" s="172"/>
    </row>
    <row r="19" spans="1:15" s="8" customFormat="1" ht="15">
      <c r="A19" s="134" t="s">
        <v>2676</v>
      </c>
    </row>
    <row r="20" spans="1:15">
      <c r="A20" s="172" t="s">
        <v>2467</v>
      </c>
    </row>
    <row r="21" spans="1:15">
      <c r="A21" s="172"/>
      <c r="B21" s="1630"/>
      <c r="C21" s="264" t="s">
        <v>203</v>
      </c>
      <c r="D21" s="175" t="s">
        <v>194</v>
      </c>
      <c r="E21" s="175" t="s">
        <v>167</v>
      </c>
      <c r="F21" s="176" t="s">
        <v>198</v>
      </c>
      <c r="G21" s="1859"/>
      <c r="H21" s="1859"/>
      <c r="I21" s="1859"/>
      <c r="J21" s="1859"/>
      <c r="K21" s="1859"/>
      <c r="L21" s="1859"/>
    </row>
    <row r="22" spans="1:15">
      <c r="A22" s="172"/>
      <c r="B22" s="1996" t="s">
        <v>2460</v>
      </c>
      <c r="C22" s="1996">
        <f xml:space="preserve"> SUM(C33:C42)</f>
        <v>16573.075986833846</v>
      </c>
      <c r="D22" s="1997">
        <f t="shared" ref="D22:F22" si="0" xml:space="preserve"> SUM(D33:D42)</f>
        <v>16590.712967793846</v>
      </c>
      <c r="E22" s="1997">
        <f t="shared" si="0"/>
        <v>15186.462670631065</v>
      </c>
      <c r="F22" s="1998">
        <f t="shared" si="0"/>
        <v>16244.683403904763</v>
      </c>
      <c r="G22" s="631"/>
      <c r="H22" s="631"/>
      <c r="I22" s="631"/>
      <c r="J22" s="631"/>
      <c r="K22" s="631"/>
      <c r="L22" s="631"/>
    </row>
    <row r="23" spans="1:15">
      <c r="A23" s="172"/>
    </row>
    <row r="24" spans="1:15">
      <c r="A24" s="172" t="s">
        <v>644</v>
      </c>
    </row>
    <row r="25" spans="1:15">
      <c r="A25" s="172"/>
      <c r="B25" s="1999">
        <v>195</v>
      </c>
      <c r="C25" s="1321" t="s">
        <v>2460</v>
      </c>
    </row>
    <row r="26" spans="1:15">
      <c r="A26" s="172"/>
    </row>
    <row r="27" spans="1:15">
      <c r="A27" s="172" t="s">
        <v>2468</v>
      </c>
    </row>
    <row r="28" spans="1:15">
      <c r="A28" s="172"/>
      <c r="B28" s="2000">
        <v>558.05432510326591</v>
      </c>
      <c r="C28" s="2001" t="s">
        <v>175</v>
      </c>
    </row>
    <row r="29" spans="1:15">
      <c r="A29" s="172"/>
      <c r="B29" s="1878">
        <f xml:space="preserve"> IF(MHDV_Inputs!$B$120=1,J33,K33)</f>
        <v>489.14329507043334</v>
      </c>
      <c r="C29" s="2001" t="s">
        <v>2346</v>
      </c>
    </row>
    <row r="30" spans="1:15">
      <c r="A30" s="172"/>
    </row>
    <row r="31" spans="1:15">
      <c r="A31" s="172" t="s">
        <v>2469</v>
      </c>
    </row>
    <row r="32" spans="1:15" ht="25.5">
      <c r="A32" s="172"/>
      <c r="B32" s="1953" t="s">
        <v>2390</v>
      </c>
      <c r="C32" s="264" t="s">
        <v>203</v>
      </c>
      <c r="D32" s="175" t="s">
        <v>194</v>
      </c>
      <c r="E32" s="175" t="s">
        <v>167</v>
      </c>
      <c r="F32" s="176" t="s">
        <v>198</v>
      </c>
      <c r="G32" s="1859"/>
      <c r="H32" s="1859"/>
      <c r="I32" s="264"/>
      <c r="J32" s="175" t="s">
        <v>2470</v>
      </c>
      <c r="K32" s="176" t="s">
        <v>2471</v>
      </c>
      <c r="L32" s="1859"/>
    </row>
    <row r="33" spans="1:12">
      <c r="A33" s="172"/>
      <c r="B33" s="1879" t="s">
        <v>182</v>
      </c>
      <c r="C33" s="2002">
        <v>1421.8872781227835</v>
      </c>
      <c r="D33" s="2003">
        <v>1324.8838828427836</v>
      </c>
      <c r="E33" s="2003">
        <v>0</v>
      </c>
      <c r="F33" s="2004">
        <f xml:space="preserve"> B28</f>
        <v>558.05432510326591</v>
      </c>
      <c r="G33" s="302"/>
      <c r="H33" s="302"/>
      <c r="I33" s="1019" t="s">
        <v>2438</v>
      </c>
      <c r="J33" s="2005">
        <v>489.14329507043334</v>
      </c>
      <c r="K33" s="2006">
        <v>477.4034970414906</v>
      </c>
      <c r="L33" s="302"/>
    </row>
    <row r="34" spans="1:12">
      <c r="A34" s="172"/>
      <c r="B34" s="1883" t="s">
        <v>183</v>
      </c>
      <c r="C34" s="2007">
        <v>487.22159901999999</v>
      </c>
      <c r="D34" s="1405">
        <v>487.22159901999999</v>
      </c>
      <c r="E34" s="1405">
        <v>198.41603579999997</v>
      </c>
      <c r="F34" s="2008">
        <v>209.43914889999999</v>
      </c>
      <c r="G34" s="302"/>
      <c r="H34" s="302"/>
      <c r="I34" s="302"/>
      <c r="J34" s="302"/>
      <c r="K34" s="302"/>
      <c r="L34" s="302"/>
    </row>
    <row r="35" spans="1:12">
      <c r="A35" s="172"/>
      <c r="B35" s="1883" t="s">
        <v>184</v>
      </c>
      <c r="C35" s="2007">
        <v>6159.8748432710463</v>
      </c>
      <c r="D35" s="1405">
        <v>6159.8748432710463</v>
      </c>
      <c r="E35" s="1405">
        <v>6159.8748432710463</v>
      </c>
      <c r="F35" s="2008">
        <v>6159.8748432710463</v>
      </c>
      <c r="G35" s="302"/>
      <c r="H35" s="302"/>
      <c r="I35" s="302"/>
      <c r="J35" s="302"/>
      <c r="K35" s="302"/>
      <c r="L35" s="302"/>
    </row>
    <row r="36" spans="1:12">
      <c r="A36" s="172"/>
      <c r="B36" s="1883" t="s">
        <v>185</v>
      </c>
      <c r="C36" s="2007">
        <v>0</v>
      </c>
      <c r="D36" s="1405">
        <v>104.50086885941035</v>
      </c>
      <c r="E36" s="1405">
        <v>295.41591773717931</v>
      </c>
      <c r="F36" s="2008">
        <v>295.41591773717931</v>
      </c>
      <c r="G36" s="302"/>
      <c r="H36" s="302"/>
      <c r="I36" s="302"/>
      <c r="J36" s="302"/>
      <c r="K36" s="302"/>
      <c r="L36" s="302"/>
    </row>
    <row r="37" spans="1:12">
      <c r="A37" s="172"/>
      <c r="B37" s="1883" t="s">
        <v>186</v>
      </c>
      <c r="C37" s="2007">
        <v>0</v>
      </c>
      <c r="D37" s="1405">
        <v>0</v>
      </c>
      <c r="E37" s="1405">
        <v>0</v>
      </c>
      <c r="F37" s="2008">
        <v>0</v>
      </c>
      <c r="G37" s="302"/>
      <c r="H37" s="302"/>
      <c r="I37" s="302"/>
      <c r="J37" s="302"/>
      <c r="K37" s="302"/>
      <c r="L37" s="302"/>
    </row>
    <row r="38" spans="1:12">
      <c r="A38" s="172"/>
      <c r="B38" s="1883" t="s">
        <v>187</v>
      </c>
      <c r="C38" s="2007">
        <v>0</v>
      </c>
      <c r="D38" s="1405">
        <v>10.139507380589642</v>
      </c>
      <c r="E38" s="1405">
        <v>28.663607402820716</v>
      </c>
      <c r="F38" s="2008">
        <v>28.663607402820716</v>
      </c>
      <c r="G38" s="302"/>
      <c r="H38" s="302"/>
      <c r="I38" s="302"/>
      <c r="J38" s="302"/>
      <c r="K38" s="302"/>
      <c r="L38" s="302"/>
    </row>
    <row r="39" spans="1:12">
      <c r="A39" s="172"/>
      <c r="B39" s="1883" t="s">
        <v>2346</v>
      </c>
      <c r="C39" s="2007">
        <v>0</v>
      </c>
      <c r="D39" s="1405">
        <v>0</v>
      </c>
      <c r="E39" s="1405">
        <v>0</v>
      </c>
      <c r="F39" s="2009">
        <f xml:space="preserve"> B29</f>
        <v>489.14329507043334</v>
      </c>
      <c r="G39" s="302"/>
      <c r="H39" s="302"/>
      <c r="I39" s="302"/>
      <c r="J39" s="302"/>
      <c r="K39" s="302"/>
      <c r="L39" s="302"/>
    </row>
    <row r="40" spans="1:12">
      <c r="A40" s="172"/>
      <c r="B40" s="1883" t="s">
        <v>2427</v>
      </c>
      <c r="C40" s="2007">
        <v>4771.9863792065162</v>
      </c>
      <c r="D40" s="1405">
        <v>4771.9863792065162</v>
      </c>
      <c r="E40" s="1405">
        <v>4771.9863792065162</v>
      </c>
      <c r="F40" s="2008">
        <v>4771.9863792065162</v>
      </c>
      <c r="G40" s="302"/>
      <c r="H40" s="302"/>
      <c r="I40" s="302"/>
      <c r="J40" s="302"/>
      <c r="K40" s="302"/>
      <c r="L40" s="302"/>
    </row>
    <row r="41" spans="1:12">
      <c r="A41" s="172"/>
      <c r="B41" s="1884" t="s">
        <v>189</v>
      </c>
      <c r="C41" s="2007">
        <v>2407.3617629021714</v>
      </c>
      <c r="D41" s="1405">
        <v>2407.3617629021714</v>
      </c>
      <c r="E41" s="1405">
        <v>2407.3617629021714</v>
      </c>
      <c r="F41" s="2008">
        <v>2407.3617629021714</v>
      </c>
      <c r="G41" s="302"/>
      <c r="H41" s="302"/>
      <c r="I41" s="302"/>
      <c r="J41" s="302"/>
      <c r="K41" s="302"/>
      <c r="L41" s="302"/>
    </row>
    <row r="42" spans="1:12">
      <c r="A42" s="172"/>
      <c r="B42" s="1885" t="s">
        <v>2349</v>
      </c>
      <c r="C42" s="2010">
        <v>1324.7441243113292</v>
      </c>
      <c r="D42" s="2011">
        <v>1324.7441243113292</v>
      </c>
      <c r="E42" s="2011">
        <v>1324.7441243113292</v>
      </c>
      <c r="F42" s="2012">
        <v>1324.7441243113292</v>
      </c>
      <c r="G42" s="302"/>
      <c r="H42" s="302"/>
      <c r="I42" s="302"/>
      <c r="J42" s="302"/>
      <c r="K42" s="302"/>
      <c r="L42" s="302"/>
    </row>
    <row r="43" spans="1:12">
      <c r="A43" s="172"/>
    </row>
    <row r="44" spans="1:12">
      <c r="A44" s="172" t="s">
        <v>2472</v>
      </c>
    </row>
    <row r="45" spans="1:12">
      <c r="A45" s="172"/>
      <c r="B45" s="1953" t="s">
        <v>2390</v>
      </c>
      <c r="C45" s="264" t="s">
        <v>203</v>
      </c>
      <c r="D45" s="175" t="s">
        <v>194</v>
      </c>
      <c r="E45" s="175" t="s">
        <v>167</v>
      </c>
      <c r="F45" s="176" t="s">
        <v>198</v>
      </c>
      <c r="G45" s="302"/>
      <c r="H45" s="302"/>
      <c r="I45" s="302"/>
      <c r="J45" s="302"/>
      <c r="K45" s="302"/>
      <c r="L45" s="302"/>
    </row>
    <row r="46" spans="1:12">
      <c r="A46" s="172"/>
      <c r="B46" s="1879" t="s">
        <v>182</v>
      </c>
      <c r="C46" s="1419">
        <f xml:space="preserve"> C33/C$22</f>
        <v>8.5795013505783349E-2</v>
      </c>
      <c r="D46" s="1420">
        <f xml:space="preserve"> D33/D$22</f>
        <v>7.9856958854912924E-2</v>
      </c>
      <c r="E46" s="1420">
        <f xml:space="preserve"> E33/E$22</f>
        <v>0</v>
      </c>
      <c r="F46" s="1954">
        <f xml:space="preserve"> F33/F$22</f>
        <v>3.4353044083895501E-2</v>
      </c>
      <c r="G46" s="302"/>
      <c r="H46" s="302"/>
      <c r="I46" s="302"/>
      <c r="J46" s="302"/>
      <c r="K46" s="302"/>
      <c r="L46" s="302"/>
    </row>
    <row r="47" spans="1:12">
      <c r="A47" s="172"/>
      <c r="B47" s="1883" t="s">
        <v>183</v>
      </c>
      <c r="C47" s="1021">
        <f t="shared" ref="C47:F55" si="1" xml:space="preserve"> C34/C$22</f>
        <v>2.9398380807947998E-2</v>
      </c>
      <c r="D47" s="302">
        <f t="shared" si="1"/>
        <v>2.9367128463122848E-2</v>
      </c>
      <c r="E47" s="302">
        <f t="shared" si="1"/>
        <v>1.3065322722171148E-2</v>
      </c>
      <c r="F47" s="593">
        <f t="shared" si="1"/>
        <v>1.2892781206782814E-2</v>
      </c>
      <c r="G47" s="302"/>
      <c r="H47" s="302"/>
      <c r="I47" s="302"/>
      <c r="J47" s="302"/>
      <c r="K47" s="302"/>
      <c r="L47" s="302"/>
    </row>
    <row r="48" spans="1:12">
      <c r="A48" s="172"/>
      <c r="B48" s="1883" t="s">
        <v>184</v>
      </c>
      <c r="C48" s="1021">
        <f t="shared" si="1"/>
        <v>0.37167963558271483</v>
      </c>
      <c r="D48" s="302">
        <f t="shared" si="1"/>
        <v>0.37128451653817968</v>
      </c>
      <c r="E48" s="302">
        <f t="shared" si="1"/>
        <v>0.40561617124859245</v>
      </c>
      <c r="F48" s="593">
        <f t="shared" si="1"/>
        <v>0.3791932837417063</v>
      </c>
      <c r="G48" s="302"/>
      <c r="H48" s="302"/>
      <c r="I48" s="302"/>
      <c r="J48" s="302"/>
      <c r="K48" s="302"/>
      <c r="L48" s="302"/>
    </row>
    <row r="49" spans="1:12">
      <c r="A49" s="172"/>
      <c r="B49" s="1883" t="s">
        <v>185</v>
      </c>
      <c r="C49" s="1021">
        <f t="shared" si="1"/>
        <v>0</v>
      </c>
      <c r="D49" s="302">
        <f t="shared" si="1"/>
        <v>6.2987569649519629E-3</v>
      </c>
      <c r="E49" s="302">
        <f t="shared" si="1"/>
        <v>1.9452582483772272E-2</v>
      </c>
      <c r="F49" s="593">
        <f t="shared" si="1"/>
        <v>1.8185390899410799E-2</v>
      </c>
      <c r="G49" s="302"/>
      <c r="H49" s="302"/>
      <c r="I49" s="302"/>
      <c r="J49" s="302"/>
      <c r="K49" s="302"/>
      <c r="L49" s="302"/>
    </row>
    <row r="50" spans="1:12">
      <c r="A50" s="172"/>
      <c r="B50" s="1883" t="s">
        <v>186</v>
      </c>
      <c r="C50" s="1021">
        <f t="shared" si="1"/>
        <v>0</v>
      </c>
      <c r="D50" s="302">
        <f t="shared" si="1"/>
        <v>0</v>
      </c>
      <c r="E50" s="302">
        <f t="shared" si="1"/>
        <v>0</v>
      </c>
      <c r="F50" s="593">
        <f t="shared" si="1"/>
        <v>0</v>
      </c>
      <c r="G50" s="302"/>
      <c r="H50" s="302"/>
      <c r="I50" s="302"/>
      <c r="J50" s="302"/>
      <c r="K50" s="302"/>
      <c r="L50" s="302"/>
    </row>
    <row r="51" spans="1:12">
      <c r="A51" s="172"/>
      <c r="B51" s="1883" t="s">
        <v>187</v>
      </c>
      <c r="C51" s="1021">
        <f t="shared" si="1"/>
        <v>0</v>
      </c>
      <c r="D51" s="302">
        <f t="shared" si="1"/>
        <v>6.1115561460635317E-4</v>
      </c>
      <c r="E51" s="302">
        <f t="shared" si="1"/>
        <v>1.8874446291072744E-3</v>
      </c>
      <c r="F51" s="593">
        <f t="shared" si="1"/>
        <v>1.7644915995057679E-3</v>
      </c>
      <c r="G51" s="302"/>
      <c r="H51" s="302"/>
      <c r="I51" s="302"/>
      <c r="J51" s="302"/>
      <c r="K51" s="302"/>
      <c r="L51" s="302"/>
    </row>
    <row r="52" spans="1:12">
      <c r="A52" s="172"/>
      <c r="B52" s="1883" t="s">
        <v>2346</v>
      </c>
      <c r="C52" s="1021">
        <f t="shared" si="1"/>
        <v>0</v>
      </c>
      <c r="D52" s="302">
        <f t="shared" si="1"/>
        <v>0</v>
      </c>
      <c r="E52" s="302">
        <f t="shared" si="1"/>
        <v>0</v>
      </c>
      <c r="F52" s="593">
        <f t="shared" si="1"/>
        <v>3.0110977413869273E-2</v>
      </c>
      <c r="G52" s="302"/>
      <c r="H52" s="302"/>
      <c r="I52" s="302"/>
      <c r="J52" s="302"/>
      <c r="K52" s="302"/>
      <c r="L52" s="302"/>
    </row>
    <row r="53" spans="1:12">
      <c r="A53" s="172"/>
      <c r="B53" s="1883" t="s">
        <v>2427</v>
      </c>
      <c r="C53" s="1021">
        <f t="shared" si="1"/>
        <v>0.28793607070875238</v>
      </c>
      <c r="D53" s="302">
        <f t="shared" si="1"/>
        <v>0.28762997638919868</v>
      </c>
      <c r="E53" s="302">
        <f t="shared" si="1"/>
        <v>0.3142263266109368</v>
      </c>
      <c r="F53" s="593">
        <f t="shared" si="1"/>
        <v>0.29375681018563066</v>
      </c>
      <c r="G53" s="302"/>
      <c r="H53" s="302"/>
      <c r="I53" s="302"/>
      <c r="J53" s="302"/>
      <c r="K53" s="302"/>
      <c r="L53" s="302"/>
    </row>
    <row r="54" spans="1:12">
      <c r="A54" s="172"/>
      <c r="B54" s="1884" t="s">
        <v>189</v>
      </c>
      <c r="C54" s="1021">
        <f t="shared" si="1"/>
        <v>0.14525739004724605</v>
      </c>
      <c r="D54" s="302">
        <f t="shared" si="1"/>
        <v>0.14510297222159049</v>
      </c>
      <c r="E54" s="302">
        <f t="shared" si="1"/>
        <v>0.15852024366133283</v>
      </c>
      <c r="F54" s="593">
        <f t="shared" si="1"/>
        <v>0.14819382459146663</v>
      </c>
    </row>
    <row r="55" spans="1:12">
      <c r="A55" s="172"/>
      <c r="B55" s="1885" t="s">
        <v>2349</v>
      </c>
      <c r="C55" s="1019">
        <f t="shared" si="1"/>
        <v>7.9933509347555401E-2</v>
      </c>
      <c r="D55" s="1020">
        <f t="shared" si="1"/>
        <v>7.9848534953437106E-2</v>
      </c>
      <c r="E55" s="1020">
        <f t="shared" si="1"/>
        <v>8.7231908644087169E-2</v>
      </c>
      <c r="F55" s="210">
        <f t="shared" si="1"/>
        <v>8.1549396277732208E-2</v>
      </c>
    </row>
    <row r="56" spans="1:12">
      <c r="A56" s="172"/>
    </row>
    <row r="57" spans="1:12">
      <c r="A57" s="172" t="s">
        <v>2473</v>
      </c>
    </row>
    <row r="58" spans="1:12">
      <c r="A58" s="172"/>
      <c r="B58" s="1886" t="s">
        <v>2352</v>
      </c>
      <c r="C58" s="2013" t="s">
        <v>2353</v>
      </c>
      <c r="D58" s="2014" t="s">
        <v>2382</v>
      </c>
    </row>
    <row r="59" spans="1:12">
      <c r="A59" s="172"/>
      <c r="B59" s="1889" t="s">
        <v>2355</v>
      </c>
      <c r="C59" s="2015">
        <v>2</v>
      </c>
      <c r="D59" s="2016">
        <v>2</v>
      </c>
    </row>
    <row r="60" spans="1:12">
      <c r="A60" s="172"/>
      <c r="B60" s="1890" t="s">
        <v>2356</v>
      </c>
      <c r="C60" s="2017">
        <v>1</v>
      </c>
      <c r="D60" s="2018">
        <v>4</v>
      </c>
    </row>
    <row r="61" spans="1:12">
      <c r="A61" s="172"/>
    </row>
    <row r="62" spans="1:12">
      <c r="A62" s="172" t="s">
        <v>2474</v>
      </c>
    </row>
    <row r="63" spans="1:12">
      <c r="B63" s="1891" t="s">
        <v>2352</v>
      </c>
      <c r="C63" s="264" t="s">
        <v>203</v>
      </c>
      <c r="D63" s="175" t="s">
        <v>194</v>
      </c>
      <c r="E63" s="175" t="s">
        <v>167</v>
      </c>
      <c r="F63" s="176" t="s">
        <v>198</v>
      </c>
    </row>
    <row r="64" spans="1:12">
      <c r="B64" s="1860" t="s">
        <v>2355</v>
      </c>
      <c r="C64" s="2019">
        <v>120</v>
      </c>
      <c r="D64" s="2020">
        <v>120</v>
      </c>
      <c r="E64" s="2020">
        <v>120</v>
      </c>
      <c r="F64" s="2021">
        <v>120</v>
      </c>
    </row>
    <row r="65" spans="1:25">
      <c r="A65" s="172"/>
      <c r="B65" s="192" t="s">
        <v>2356</v>
      </c>
      <c r="C65" s="1968">
        <v>120</v>
      </c>
      <c r="D65" s="1114">
        <v>120</v>
      </c>
      <c r="E65" s="1114">
        <v>120</v>
      </c>
      <c r="F65" s="1548">
        <v>120</v>
      </c>
    </row>
    <row r="66" spans="1:25">
      <c r="A66" s="172"/>
    </row>
    <row r="67" spans="1:25" ht="15">
      <c r="A67" s="2022" t="s">
        <v>2475</v>
      </c>
      <c r="B67" s="299"/>
      <c r="C67" s="299"/>
    </row>
    <row r="68" spans="1:25">
      <c r="A68" s="313" t="s">
        <v>2476</v>
      </c>
      <c r="B68" s="299"/>
      <c r="C68" s="299"/>
    </row>
    <row r="69" spans="1:25">
      <c r="A69" s="172"/>
      <c r="B69" s="1625"/>
      <c r="C69" s="1896" t="s">
        <v>155</v>
      </c>
    </row>
    <row r="70" spans="1:25">
      <c r="A70" s="172"/>
      <c r="B70" s="1860" t="s">
        <v>194</v>
      </c>
      <c r="C70" s="2023">
        <v>157</v>
      </c>
    </row>
    <row r="71" spans="1:25">
      <c r="A71" s="172"/>
      <c r="B71" s="192" t="s">
        <v>198</v>
      </c>
      <c r="C71" s="2024">
        <v>190</v>
      </c>
    </row>
    <row r="72" spans="1:25">
      <c r="A72" s="172"/>
    </row>
    <row r="73" spans="1:25">
      <c r="A73" s="313" t="s">
        <v>2477</v>
      </c>
    </row>
    <row r="74" spans="1:25">
      <c r="A74" s="172"/>
      <c r="B74" s="1625"/>
      <c r="C74" s="1896" t="s">
        <v>155</v>
      </c>
      <c r="N74" s="302"/>
      <c r="O74" s="302"/>
      <c r="P74" s="302"/>
      <c r="Q74" s="302"/>
      <c r="R74" s="302"/>
      <c r="S74" s="302"/>
      <c r="T74" s="302"/>
      <c r="U74" s="302"/>
      <c r="V74" s="302"/>
      <c r="W74" s="302"/>
      <c r="X74" s="302"/>
      <c r="Y74" s="302"/>
    </row>
    <row r="75" spans="1:25">
      <c r="A75" s="172"/>
      <c r="B75" s="192" t="s">
        <v>167</v>
      </c>
      <c r="C75" s="2025">
        <v>261</v>
      </c>
      <c r="N75" s="302"/>
      <c r="O75" s="302"/>
      <c r="P75" s="302"/>
      <c r="Q75" s="302"/>
      <c r="R75" s="302"/>
      <c r="S75" s="302"/>
      <c r="T75" s="302"/>
      <c r="U75" s="302"/>
      <c r="V75" s="302"/>
      <c r="W75" s="302"/>
      <c r="X75" s="302"/>
      <c r="Y75" s="302"/>
    </row>
    <row r="76" spans="1:25">
      <c r="N76" s="302"/>
      <c r="O76" s="302"/>
      <c r="P76" s="302"/>
      <c r="Q76" s="302"/>
      <c r="R76" s="302"/>
      <c r="S76" s="302"/>
      <c r="T76" s="302"/>
      <c r="U76" s="302"/>
      <c r="V76" s="302"/>
      <c r="W76" s="302"/>
      <c r="X76" s="302"/>
      <c r="Y76" s="302"/>
    </row>
    <row r="77" spans="1:25">
      <c r="A77" s="172" t="s">
        <v>2478</v>
      </c>
      <c r="N77" s="302"/>
      <c r="O77" s="302"/>
      <c r="P77" s="302"/>
      <c r="Q77" s="302"/>
      <c r="R77" s="302"/>
      <c r="S77" s="302"/>
      <c r="T77" s="302"/>
      <c r="U77" s="302"/>
      <c r="V77" s="302"/>
      <c r="W77" s="302"/>
      <c r="X77" s="302"/>
      <c r="Y77" s="302"/>
    </row>
    <row r="78" spans="1:25">
      <c r="B78" s="1627"/>
      <c r="C78" s="1837" t="s">
        <v>153</v>
      </c>
      <c r="D78" s="1838" t="s">
        <v>200</v>
      </c>
    </row>
    <row r="79" spans="1:25">
      <c r="B79" s="191" t="s">
        <v>203</v>
      </c>
      <c r="C79" s="2026">
        <v>6</v>
      </c>
      <c r="D79" s="2021"/>
    </row>
    <row r="80" spans="1:25">
      <c r="B80" s="191" t="s">
        <v>194</v>
      </c>
      <c r="C80" s="2027">
        <v>6</v>
      </c>
      <c r="D80" s="2028">
        <v>0</v>
      </c>
    </row>
    <row r="81" spans="1:6">
      <c r="B81" s="191" t="s">
        <v>167</v>
      </c>
      <c r="C81" s="2027">
        <v>6</v>
      </c>
      <c r="D81" s="2028">
        <v>0</v>
      </c>
    </row>
    <row r="82" spans="1:6">
      <c r="B82" s="192" t="s">
        <v>198</v>
      </c>
      <c r="C82" s="2029">
        <v>6</v>
      </c>
      <c r="D82" s="2030">
        <v>0</v>
      </c>
    </row>
    <row r="84" spans="1:6">
      <c r="A84" s="172" t="s">
        <v>2479</v>
      </c>
    </row>
    <row r="85" spans="1:6">
      <c r="B85" s="3145" t="s">
        <v>209</v>
      </c>
      <c r="C85" s="3146"/>
      <c r="D85" s="3146"/>
      <c r="E85" s="3146"/>
      <c r="F85" s="3147"/>
    </row>
    <row r="86" spans="1:6">
      <c r="B86" s="2031" t="s">
        <v>2368</v>
      </c>
      <c r="C86" s="1981" t="s">
        <v>222</v>
      </c>
      <c r="D86" s="1982" t="s">
        <v>221</v>
      </c>
      <c r="E86" s="1982" t="s">
        <v>226</v>
      </c>
      <c r="F86" s="1983" t="s">
        <v>213</v>
      </c>
    </row>
    <row r="87" spans="1:6">
      <c r="B87" s="173" t="s">
        <v>194</v>
      </c>
      <c r="C87" s="2032">
        <v>2759.8220158625418</v>
      </c>
      <c r="D87" s="2033">
        <v>2649.8477255091229</v>
      </c>
      <c r="E87" s="2033">
        <v>2545.8648320059915</v>
      </c>
      <c r="F87" s="2034">
        <v>2519.4850830478831</v>
      </c>
    </row>
    <row r="88" spans="1:6">
      <c r="B88" s="174" t="s">
        <v>198</v>
      </c>
      <c r="C88" s="2035">
        <v>2969.0013615553635</v>
      </c>
      <c r="D88" s="2036">
        <v>2844.2915683379092</v>
      </c>
      <c r="E88" s="2036">
        <v>2739.5960885584705</v>
      </c>
      <c r="F88" s="2037">
        <v>2697.3135869627777</v>
      </c>
    </row>
    <row r="90" spans="1:6">
      <c r="A90" s="172" t="s">
        <v>2480</v>
      </c>
    </row>
    <row r="91" spans="1:6">
      <c r="B91" s="3145" t="s">
        <v>216</v>
      </c>
      <c r="C91" s="3146"/>
      <c r="D91" s="3146"/>
      <c r="E91" s="3146"/>
      <c r="F91" s="3147"/>
    </row>
    <row r="92" spans="1:6">
      <c r="B92" s="2038" t="s">
        <v>2368</v>
      </c>
      <c r="C92" s="1981" t="s">
        <v>222</v>
      </c>
      <c r="D92" s="1982" t="s">
        <v>221</v>
      </c>
      <c r="E92" s="1982" t="s">
        <v>226</v>
      </c>
      <c r="F92" s="1983" t="s">
        <v>213</v>
      </c>
    </row>
    <row r="93" spans="1:6">
      <c r="B93" s="1912" t="s">
        <v>194</v>
      </c>
      <c r="C93" s="2019">
        <v>87.892420887342098</v>
      </c>
      <c r="D93" s="2020">
        <v>84.390054952519833</v>
      </c>
      <c r="E93" s="2020">
        <v>81.078497834585718</v>
      </c>
      <c r="F93" s="2021">
        <v>80.238378441015385</v>
      </c>
    </row>
    <row r="94" spans="1:6">
      <c r="B94" s="59" t="s">
        <v>167</v>
      </c>
      <c r="C94" s="2032">
        <v>161.90675190540827</v>
      </c>
      <c r="D94" s="2033">
        <v>154.31045405994118</v>
      </c>
      <c r="E94" s="2033">
        <v>145.86178086455098</v>
      </c>
      <c r="F94" s="2034">
        <v>0</v>
      </c>
    </row>
    <row r="95" spans="1:6">
      <c r="B95" s="118" t="s">
        <v>198</v>
      </c>
      <c r="C95" s="2035">
        <v>93.757937733327267</v>
      </c>
      <c r="D95" s="2036">
        <v>89.819733736986606</v>
      </c>
      <c r="E95" s="2036">
        <v>86.513560691320123</v>
      </c>
      <c r="F95" s="2037">
        <v>85.17832379882455</v>
      </c>
    </row>
    <row r="97" spans="1:32">
      <c r="A97" s="172" t="s">
        <v>2481</v>
      </c>
    </row>
    <row r="98" spans="1:32">
      <c r="B98" s="2039">
        <v>0</v>
      </c>
    </row>
    <row r="100" spans="1:32" ht="15">
      <c r="A100" s="120" t="s">
        <v>2482</v>
      </c>
    </row>
    <row r="101" spans="1:32">
      <c r="A101" s="299"/>
      <c r="B101" s="1936" t="s">
        <v>157</v>
      </c>
      <c r="C101" s="1937" t="s">
        <v>2339</v>
      </c>
      <c r="D101" s="1937" t="s">
        <v>2340</v>
      </c>
      <c r="E101" s="1937" t="s">
        <v>2376</v>
      </c>
      <c r="F101" s="1938" t="s">
        <v>2342</v>
      </c>
      <c r="G101" s="1938" t="s">
        <v>2343</v>
      </c>
      <c r="H101" s="1938" t="s">
        <v>158</v>
      </c>
      <c r="I101" s="1938" t="s">
        <v>159</v>
      </c>
      <c r="J101" s="1937" t="s">
        <v>160</v>
      </c>
      <c r="K101" s="1937" t="s">
        <v>161</v>
      </c>
      <c r="L101" s="1938" t="s">
        <v>2344</v>
      </c>
      <c r="M101" s="1937" t="s">
        <v>162</v>
      </c>
      <c r="N101" s="1939" t="s">
        <v>163</v>
      </c>
    </row>
    <row r="102" spans="1:32">
      <c r="B102" s="2849">
        <v>9</v>
      </c>
      <c r="C102" s="2850">
        <v>11</v>
      </c>
      <c r="D102" s="2850">
        <v>0</v>
      </c>
      <c r="E102" s="2850">
        <v>11</v>
      </c>
      <c r="F102" s="2850">
        <v>0</v>
      </c>
      <c r="G102" s="2850">
        <v>0</v>
      </c>
      <c r="H102" s="2850">
        <v>0</v>
      </c>
      <c r="I102" s="2850">
        <v>0</v>
      </c>
      <c r="J102" s="2850">
        <v>3</v>
      </c>
      <c r="K102" s="2850">
        <v>1</v>
      </c>
      <c r="L102" s="2850">
        <v>1</v>
      </c>
      <c r="M102" s="2850">
        <v>52</v>
      </c>
      <c r="N102" s="2851">
        <v>1</v>
      </c>
    </row>
    <row r="104" spans="1:32" ht="15">
      <c r="A104" s="120" t="s">
        <v>2483</v>
      </c>
    </row>
    <row r="105" spans="1:32">
      <c r="B105" s="1630"/>
      <c r="C105" s="1630" t="s">
        <v>203</v>
      </c>
      <c r="D105" s="1628" t="s">
        <v>194</v>
      </c>
      <c r="E105" s="1628" t="s">
        <v>167</v>
      </c>
      <c r="F105" s="1629" t="s">
        <v>198</v>
      </c>
      <c r="G105" s="1859"/>
      <c r="H105" s="1859"/>
      <c r="I105" s="1859"/>
      <c r="J105" s="1859"/>
      <c r="K105" s="1859"/>
      <c r="L105" s="1859"/>
    </row>
    <row r="106" spans="1:32">
      <c r="B106" s="1920" t="s">
        <v>2460</v>
      </c>
      <c r="C106" s="2040">
        <v>300000</v>
      </c>
      <c r="D106" s="2041">
        <v>300000</v>
      </c>
      <c r="E106" s="2041">
        <v>300000</v>
      </c>
      <c r="F106" s="1546">
        <v>300000</v>
      </c>
      <c r="G106" s="631"/>
      <c r="H106" s="631"/>
      <c r="I106" s="631"/>
      <c r="J106" s="631"/>
      <c r="K106" s="631"/>
      <c r="L106" s="631"/>
    </row>
    <row r="108" spans="1:32" ht="15">
      <c r="A108" s="120" t="s">
        <v>2484</v>
      </c>
    </row>
    <row r="109" spans="1:32" ht="15">
      <c r="A109" s="120"/>
      <c r="B109" s="58"/>
      <c r="C109" s="2986" t="s">
        <v>2460</v>
      </c>
      <c r="D109" s="2987"/>
      <c r="E109" s="2987"/>
      <c r="F109" s="2988"/>
      <c r="G109" s="172"/>
      <c r="H109" s="172"/>
      <c r="I109" s="172"/>
      <c r="J109" s="172"/>
      <c r="K109" s="172"/>
      <c r="L109" s="172"/>
      <c r="M109" s="3158"/>
      <c r="N109" s="3158"/>
      <c r="O109" s="3158"/>
      <c r="P109" s="3158"/>
      <c r="Q109" s="3158"/>
      <c r="R109" s="3158"/>
      <c r="S109" s="3158"/>
      <c r="T109" s="3158"/>
      <c r="U109" s="3158"/>
      <c r="V109" s="3158"/>
      <c r="W109" s="3158"/>
      <c r="X109" s="3158"/>
      <c r="Y109" s="3158"/>
      <c r="Z109" s="3158"/>
      <c r="AA109" s="3158"/>
      <c r="AB109" s="3158"/>
      <c r="AC109" s="3158"/>
      <c r="AD109" s="3158"/>
      <c r="AE109" s="3158"/>
      <c r="AF109" s="3158"/>
    </row>
    <row r="110" spans="1:32">
      <c r="B110" s="58"/>
      <c r="C110" s="264" t="s">
        <v>203</v>
      </c>
      <c r="D110" s="175" t="s">
        <v>194</v>
      </c>
      <c r="E110" s="175" t="s">
        <v>167</v>
      </c>
      <c r="F110" s="176" t="s">
        <v>198</v>
      </c>
      <c r="G110" s="1859"/>
      <c r="H110" s="1859"/>
      <c r="I110" s="1859"/>
      <c r="J110" s="1859"/>
      <c r="K110" s="1859"/>
      <c r="L110" s="1859"/>
      <c r="M110" s="1859"/>
      <c r="N110" s="1859"/>
      <c r="O110" s="1859"/>
      <c r="P110" s="1859"/>
      <c r="Q110" s="1859"/>
      <c r="R110" s="1859"/>
      <c r="S110" s="1859"/>
      <c r="T110" s="1859"/>
      <c r="U110" s="1859"/>
      <c r="V110" s="1859"/>
      <c r="W110" s="1859"/>
      <c r="X110" s="1859"/>
      <c r="Y110" s="1859"/>
      <c r="Z110" s="1859"/>
      <c r="AA110" s="1859"/>
      <c r="AB110" s="1859"/>
      <c r="AC110" s="1859"/>
      <c r="AD110" s="1859"/>
      <c r="AE110" s="1859"/>
      <c r="AF110" s="1859"/>
    </row>
    <row r="111" spans="1:32">
      <c r="B111" s="178" t="s">
        <v>250</v>
      </c>
      <c r="C111" s="556"/>
      <c r="D111" s="179"/>
      <c r="E111" s="179"/>
      <c r="F111" s="180"/>
      <c r="G111" s="1159"/>
      <c r="H111" s="2042"/>
      <c r="I111" s="2042"/>
      <c r="J111" s="2042"/>
      <c r="K111" s="2042"/>
      <c r="L111" s="1159"/>
    </row>
    <row r="112" spans="1:32">
      <c r="B112" s="1949" t="s">
        <v>38</v>
      </c>
      <c r="C112" s="928">
        <v>0.35668921838963974</v>
      </c>
      <c r="D112" s="946">
        <v>0.35668921838963974</v>
      </c>
      <c r="E112" s="946">
        <v>0.35668921838963974</v>
      </c>
      <c r="F112" s="930">
        <v>0.35668921838963974</v>
      </c>
      <c r="G112" s="1159"/>
      <c r="H112" s="2043"/>
      <c r="I112" s="2043"/>
      <c r="J112" s="2043"/>
      <c r="K112" s="2043"/>
      <c r="L112" s="1159"/>
      <c r="M112" s="1159"/>
      <c r="N112" s="1159"/>
      <c r="O112" s="1159"/>
      <c r="P112" s="1159"/>
      <c r="Q112" s="1159"/>
      <c r="R112" s="1159"/>
      <c r="S112" s="1159"/>
      <c r="T112" s="1159"/>
      <c r="U112" s="1159"/>
      <c r="V112" s="1159"/>
      <c r="W112" s="1159"/>
      <c r="X112" s="1159"/>
      <c r="Y112" s="1159"/>
      <c r="Z112" s="1159"/>
      <c r="AA112" s="1159"/>
      <c r="AB112" s="1159"/>
      <c r="AC112" s="1159"/>
      <c r="AD112" s="1159"/>
      <c r="AE112" s="1159"/>
      <c r="AF112" s="1159"/>
    </row>
    <row r="113" spans="2:32">
      <c r="B113" s="1949" t="s">
        <v>1868</v>
      </c>
      <c r="C113" s="928">
        <v>3.4951765596109123E-2</v>
      </c>
      <c r="D113" s="946">
        <v>3.4951765596109123E-2</v>
      </c>
      <c r="E113" s="946">
        <v>3.4951765596109123E-2</v>
      </c>
      <c r="F113" s="930">
        <v>3.4951765596109123E-2</v>
      </c>
      <c r="G113" s="1159"/>
      <c r="H113" s="2043"/>
      <c r="I113" s="2043"/>
      <c r="J113" s="2043"/>
      <c r="K113" s="2043"/>
      <c r="L113" s="1159"/>
      <c r="M113" s="1159"/>
      <c r="N113" s="1159"/>
      <c r="O113" s="1159"/>
      <c r="P113" s="1159"/>
      <c r="Q113" s="1159"/>
      <c r="R113" s="1159"/>
      <c r="S113" s="1159"/>
      <c r="T113" s="1159"/>
      <c r="U113" s="1159"/>
      <c r="V113" s="1159"/>
      <c r="W113" s="1159"/>
      <c r="X113" s="1159"/>
      <c r="Y113" s="1159"/>
      <c r="Z113" s="1159"/>
      <c r="AA113" s="1159"/>
      <c r="AB113" s="1159"/>
      <c r="AC113" s="1159"/>
      <c r="AD113" s="1159"/>
      <c r="AE113" s="1159"/>
      <c r="AF113" s="1159"/>
    </row>
    <row r="114" spans="2:32">
      <c r="B114" s="1949" t="s">
        <v>2405</v>
      </c>
      <c r="C114" s="928">
        <v>8.1217488269391111E-2</v>
      </c>
      <c r="D114" s="946">
        <v>8.1217488269391111E-2</v>
      </c>
      <c r="E114" s="946">
        <v>8.1217488269391111E-2</v>
      </c>
      <c r="F114" s="930">
        <v>8.1217488269391111E-2</v>
      </c>
      <c r="G114" s="1159"/>
      <c r="H114" s="2043"/>
      <c r="I114" s="2043"/>
      <c r="J114" s="2043"/>
      <c r="K114" s="2043"/>
      <c r="L114" s="1159"/>
      <c r="M114" s="1159"/>
      <c r="N114" s="1159"/>
      <c r="O114" s="1159"/>
      <c r="P114" s="1159"/>
      <c r="Q114" s="1159"/>
      <c r="R114" s="1159"/>
      <c r="S114" s="1159"/>
      <c r="T114" s="1159"/>
      <c r="U114" s="1159"/>
      <c r="V114" s="1159"/>
      <c r="W114" s="1159"/>
      <c r="X114" s="1159"/>
      <c r="Y114" s="1159"/>
      <c r="Z114" s="1159"/>
      <c r="AA114" s="1159"/>
      <c r="AB114" s="1159"/>
      <c r="AC114" s="1159"/>
      <c r="AD114" s="1159"/>
      <c r="AE114" s="1159"/>
      <c r="AF114" s="1159"/>
    </row>
    <row r="115" spans="2:32">
      <c r="B115" s="1949" t="s">
        <v>2406</v>
      </c>
      <c r="C115" s="928">
        <v>4.5538993267941356E-2</v>
      </c>
      <c r="D115" s="946">
        <v>4.5538993267941356E-2</v>
      </c>
      <c r="E115" s="946">
        <v>4.5538993267941356E-2</v>
      </c>
      <c r="F115" s="930">
        <v>4.5538993267941356E-2</v>
      </c>
      <c r="G115" s="1159"/>
      <c r="H115" s="2043"/>
      <c r="I115" s="2043"/>
      <c r="J115" s="2043"/>
      <c r="K115" s="2043"/>
      <c r="L115" s="1159"/>
      <c r="M115" s="1159"/>
      <c r="N115" s="1159"/>
      <c r="O115" s="1159"/>
      <c r="P115" s="1159"/>
      <c r="Q115" s="1159"/>
      <c r="R115" s="1159"/>
      <c r="S115" s="1159"/>
      <c r="T115" s="1159"/>
      <c r="U115" s="1159"/>
      <c r="V115" s="1159"/>
      <c r="W115" s="1159"/>
      <c r="X115" s="1159"/>
      <c r="Y115" s="1159"/>
      <c r="Z115" s="1159"/>
      <c r="AA115" s="1159"/>
      <c r="AB115" s="1159"/>
      <c r="AC115" s="1159"/>
      <c r="AD115" s="1159"/>
      <c r="AE115" s="1159"/>
      <c r="AF115" s="1159"/>
    </row>
    <row r="116" spans="2:32">
      <c r="B116" s="1949" t="s">
        <v>60</v>
      </c>
      <c r="C116" s="928">
        <v>0.15690862610938444</v>
      </c>
      <c r="D116" s="946">
        <v>0.15690862610938444</v>
      </c>
      <c r="E116" s="946">
        <v>0.15690862610938444</v>
      </c>
      <c r="F116" s="930">
        <v>0.15690862610938444</v>
      </c>
      <c r="G116" s="1159"/>
      <c r="H116" s="2043"/>
      <c r="I116" s="2043"/>
      <c r="J116" s="2043"/>
      <c r="K116" s="2043"/>
      <c r="L116" s="1159"/>
      <c r="M116" s="1159"/>
      <c r="N116" s="1159"/>
      <c r="O116" s="1159"/>
      <c r="P116" s="1159"/>
      <c r="Q116" s="1159"/>
      <c r="R116" s="1159"/>
      <c r="S116" s="1159"/>
      <c r="T116" s="1159"/>
      <c r="U116" s="1159"/>
      <c r="V116" s="1159"/>
      <c r="W116" s="1159"/>
      <c r="X116" s="1159"/>
      <c r="Y116" s="1159"/>
      <c r="Z116" s="1159"/>
      <c r="AA116" s="1159"/>
      <c r="AB116" s="1159"/>
      <c r="AC116" s="1159"/>
      <c r="AD116" s="1159"/>
      <c r="AE116" s="1159"/>
      <c r="AF116" s="1159"/>
    </row>
    <row r="117" spans="2:32">
      <c r="B117" s="1949" t="s">
        <v>61</v>
      </c>
      <c r="C117" s="928">
        <v>2.646891461636177E-2</v>
      </c>
      <c r="D117" s="946">
        <v>2.646891461636177E-2</v>
      </c>
      <c r="E117" s="946">
        <v>2.646891461636177E-2</v>
      </c>
      <c r="F117" s="930">
        <v>2.646891461636177E-2</v>
      </c>
      <c r="G117" s="1159"/>
      <c r="H117" s="2043"/>
      <c r="I117" s="2043"/>
      <c r="J117" s="2043"/>
      <c r="K117" s="2043"/>
      <c r="L117" s="1159"/>
      <c r="M117" s="1159"/>
      <c r="N117" s="1159"/>
      <c r="O117" s="1159"/>
      <c r="P117" s="1159"/>
      <c r="Q117" s="1159"/>
      <c r="R117" s="1159"/>
      <c r="S117" s="1159"/>
      <c r="T117" s="1159"/>
      <c r="U117" s="1159"/>
      <c r="V117" s="1159"/>
      <c r="W117" s="1159"/>
      <c r="X117" s="1159"/>
      <c r="Y117" s="1159"/>
      <c r="Z117" s="1159"/>
      <c r="AA117" s="1159"/>
      <c r="AB117" s="1159"/>
      <c r="AC117" s="1159"/>
      <c r="AD117" s="1159"/>
      <c r="AE117" s="1159"/>
      <c r="AF117" s="1159"/>
    </row>
    <row r="118" spans="2:32">
      <c r="B118" s="1949" t="s">
        <v>2407</v>
      </c>
      <c r="C118" s="928">
        <v>0.17739075319820985</v>
      </c>
      <c r="D118" s="946">
        <v>0.17739075319820985</v>
      </c>
      <c r="E118" s="946">
        <v>0.17739075319820985</v>
      </c>
      <c r="F118" s="930">
        <v>0.17739075319820985</v>
      </c>
      <c r="G118" s="1159"/>
      <c r="H118" s="2043"/>
      <c r="I118" s="2043"/>
      <c r="J118" s="2043"/>
      <c r="K118" s="2043"/>
      <c r="L118" s="1159"/>
      <c r="M118" s="1159"/>
      <c r="N118" s="1159"/>
      <c r="O118" s="1159"/>
      <c r="P118" s="1159"/>
      <c r="Q118" s="1159"/>
      <c r="R118" s="1159"/>
      <c r="S118" s="1159"/>
      <c r="T118" s="1159"/>
      <c r="U118" s="1159"/>
      <c r="V118" s="1159"/>
      <c r="W118" s="1159"/>
      <c r="X118" s="1159"/>
      <c r="Y118" s="1159"/>
      <c r="Z118" s="1159"/>
      <c r="AA118" s="1159"/>
      <c r="AB118" s="1159"/>
      <c r="AC118" s="1159"/>
      <c r="AD118" s="1159"/>
      <c r="AE118" s="1159"/>
      <c r="AF118" s="1159"/>
    </row>
    <row r="119" spans="2:32">
      <c r="B119" s="1949" t="s">
        <v>58</v>
      </c>
      <c r="C119" s="928">
        <v>0.10013838898408026</v>
      </c>
      <c r="D119" s="946">
        <v>0.10013838898408026</v>
      </c>
      <c r="E119" s="946">
        <v>0.10013838898408026</v>
      </c>
      <c r="F119" s="930">
        <v>0.10013838898408026</v>
      </c>
      <c r="G119" s="1159"/>
      <c r="H119" s="2043"/>
      <c r="I119" s="2043"/>
      <c r="J119" s="2043"/>
      <c r="K119" s="2043"/>
      <c r="L119" s="1159"/>
      <c r="M119" s="1159"/>
      <c r="N119" s="1159"/>
      <c r="O119" s="1159"/>
      <c r="P119" s="1159"/>
      <c r="Q119" s="1159"/>
      <c r="R119" s="1159"/>
      <c r="S119" s="1159"/>
      <c r="T119" s="1159"/>
      <c r="U119" s="1159"/>
      <c r="V119" s="1159"/>
      <c r="W119" s="1159"/>
      <c r="X119" s="1159"/>
      <c r="Y119" s="1159"/>
      <c r="Z119" s="1159"/>
      <c r="AA119" s="1159"/>
      <c r="AB119" s="1159"/>
      <c r="AC119" s="1159"/>
      <c r="AD119" s="1159"/>
      <c r="AE119" s="1159"/>
      <c r="AF119" s="1159"/>
    </row>
    <row r="120" spans="2:32">
      <c r="B120" s="1949" t="s">
        <v>52</v>
      </c>
      <c r="C120" s="928">
        <v>4.512782515412833E-3</v>
      </c>
      <c r="D120" s="946">
        <v>4.512782515412833E-3</v>
      </c>
      <c r="E120" s="946">
        <v>4.512782515412833E-3</v>
      </c>
      <c r="F120" s="930">
        <v>4.512782515412833E-3</v>
      </c>
      <c r="G120" s="1159"/>
      <c r="H120" s="2043"/>
      <c r="I120" s="2043"/>
      <c r="J120" s="2043"/>
      <c r="K120" s="2043"/>
      <c r="L120" s="1159"/>
      <c r="M120" s="1159"/>
      <c r="N120" s="1159"/>
      <c r="O120" s="1159"/>
      <c r="P120" s="1159"/>
      <c r="Q120" s="1159"/>
      <c r="R120" s="1159"/>
      <c r="S120" s="1159"/>
      <c r="T120" s="1159"/>
      <c r="U120" s="1159"/>
      <c r="V120" s="1159"/>
      <c r="W120" s="1159"/>
      <c r="X120" s="1159"/>
      <c r="Y120" s="1159"/>
      <c r="Z120" s="1159"/>
      <c r="AA120" s="1159"/>
      <c r="AB120" s="1159"/>
      <c r="AC120" s="1159"/>
      <c r="AD120" s="1159"/>
      <c r="AE120" s="1159"/>
      <c r="AF120" s="1159"/>
    </row>
    <row r="121" spans="2:32">
      <c r="B121" s="1949" t="s">
        <v>2408</v>
      </c>
      <c r="C121" s="928">
        <v>0</v>
      </c>
      <c r="D121" s="946">
        <v>0</v>
      </c>
      <c r="E121" s="946">
        <v>0</v>
      </c>
      <c r="F121" s="930">
        <v>0</v>
      </c>
      <c r="G121" s="1159"/>
      <c r="H121" s="2043"/>
      <c r="I121" s="2043"/>
      <c r="J121" s="2043"/>
      <c r="K121" s="2043"/>
      <c r="L121" s="1159"/>
      <c r="M121" s="1159"/>
      <c r="N121" s="1159"/>
      <c r="O121" s="1159"/>
      <c r="P121" s="1159"/>
      <c r="Q121" s="1159"/>
      <c r="R121" s="1159"/>
      <c r="S121" s="1159"/>
      <c r="T121" s="1159"/>
      <c r="U121" s="1159"/>
      <c r="V121" s="1159"/>
      <c r="W121" s="1159"/>
      <c r="X121" s="1159"/>
      <c r="Y121" s="1159"/>
      <c r="Z121" s="1159"/>
      <c r="AA121" s="1159"/>
      <c r="AB121" s="1159"/>
      <c r="AC121" s="1159"/>
      <c r="AD121" s="1159"/>
      <c r="AE121" s="1159"/>
      <c r="AF121" s="1159"/>
    </row>
    <row r="122" spans="2:32">
      <c r="B122" s="1949" t="s">
        <v>2409</v>
      </c>
      <c r="C122" s="928">
        <v>0</v>
      </c>
      <c r="D122" s="946">
        <v>0</v>
      </c>
      <c r="E122" s="946">
        <v>0</v>
      </c>
      <c r="F122" s="930">
        <v>0</v>
      </c>
      <c r="G122" s="1159"/>
      <c r="H122" s="2043"/>
      <c r="I122" s="2043"/>
      <c r="J122" s="2043"/>
      <c r="K122" s="2043"/>
      <c r="L122" s="1159"/>
      <c r="M122" s="1159"/>
      <c r="N122" s="1159"/>
      <c r="O122" s="1159"/>
      <c r="P122" s="1159"/>
      <c r="Q122" s="1159"/>
      <c r="R122" s="1159"/>
      <c r="S122" s="1159"/>
      <c r="T122" s="1159"/>
      <c r="U122" s="1159"/>
      <c r="V122" s="1159"/>
      <c r="W122" s="1159"/>
      <c r="X122" s="1159"/>
      <c r="Y122" s="1159"/>
      <c r="Z122" s="1159"/>
      <c r="AA122" s="1159"/>
      <c r="AB122" s="1159"/>
      <c r="AC122" s="1159"/>
      <c r="AD122" s="1159"/>
      <c r="AE122" s="1159"/>
      <c r="AF122" s="1159"/>
    </row>
    <row r="123" spans="2:32">
      <c r="B123" s="1949" t="s">
        <v>2410</v>
      </c>
      <c r="C123" s="928">
        <v>1.2580904482142543E-2</v>
      </c>
      <c r="D123" s="946">
        <v>1.2580904482142543E-2</v>
      </c>
      <c r="E123" s="946">
        <v>1.2580904482142543E-2</v>
      </c>
      <c r="F123" s="930">
        <v>1.2580904482142543E-2</v>
      </c>
      <c r="G123" s="1159"/>
      <c r="H123" s="2043"/>
      <c r="I123" s="2043"/>
      <c r="J123" s="2043"/>
      <c r="K123" s="2043"/>
      <c r="L123" s="1159"/>
      <c r="M123" s="1159"/>
      <c r="N123" s="1159"/>
      <c r="O123" s="1159"/>
      <c r="P123" s="1159"/>
      <c r="Q123" s="1159"/>
      <c r="R123" s="1159"/>
      <c r="S123" s="1159"/>
      <c r="T123" s="1159"/>
      <c r="U123" s="1159"/>
      <c r="V123" s="1159"/>
      <c r="W123" s="1159"/>
      <c r="X123" s="1159"/>
      <c r="Y123" s="1159"/>
      <c r="Z123" s="1159"/>
      <c r="AA123" s="1159"/>
      <c r="AB123" s="1159"/>
      <c r="AC123" s="1159"/>
      <c r="AD123" s="1159"/>
      <c r="AE123" s="1159"/>
      <c r="AF123" s="1159"/>
    </row>
    <row r="124" spans="2:32">
      <c r="B124" s="1949" t="s">
        <v>1409</v>
      </c>
      <c r="C124" s="928">
        <v>1.4613978646456779E-3</v>
      </c>
      <c r="D124" s="946">
        <v>1.4613978646456779E-3</v>
      </c>
      <c r="E124" s="946">
        <v>1.4613978646456779E-3</v>
      </c>
      <c r="F124" s="930">
        <v>1.4613978646456779E-3</v>
      </c>
      <c r="G124" s="1159"/>
      <c r="H124" s="2043"/>
      <c r="I124" s="2043"/>
      <c r="J124" s="2043"/>
      <c r="K124" s="2043"/>
      <c r="L124" s="1159"/>
      <c r="M124" s="1159"/>
      <c r="N124" s="1159"/>
      <c r="O124" s="1159"/>
      <c r="P124" s="1159"/>
      <c r="Q124" s="1159"/>
      <c r="R124" s="1159"/>
      <c r="S124" s="1159"/>
      <c r="T124" s="1159"/>
      <c r="U124" s="1159"/>
      <c r="V124" s="1159"/>
      <c r="W124" s="1159"/>
      <c r="X124" s="1159"/>
      <c r="Y124" s="1159"/>
      <c r="Z124" s="1159"/>
      <c r="AA124" s="1159"/>
      <c r="AB124" s="1159"/>
      <c r="AC124" s="1159"/>
      <c r="AD124" s="1159"/>
      <c r="AE124" s="1159"/>
      <c r="AF124" s="1159"/>
    </row>
    <row r="125" spans="2:32">
      <c r="B125" s="1949" t="s">
        <v>2411</v>
      </c>
      <c r="C125" s="928">
        <v>1.4613978646456779E-3</v>
      </c>
      <c r="D125" s="946">
        <v>1.4613978646456779E-3</v>
      </c>
      <c r="E125" s="946">
        <v>1.4613978646456779E-3</v>
      </c>
      <c r="F125" s="930">
        <v>1.4613978646456779E-3</v>
      </c>
      <c r="G125" s="1159"/>
      <c r="H125" s="2043"/>
      <c r="I125" s="2043"/>
      <c r="J125" s="2043"/>
      <c r="K125" s="2043"/>
      <c r="L125" s="1159"/>
      <c r="M125" s="1159"/>
      <c r="N125" s="1159"/>
      <c r="O125" s="1159"/>
      <c r="P125" s="1159"/>
      <c r="Q125" s="1159"/>
      <c r="R125" s="1159"/>
      <c r="S125" s="1159"/>
      <c r="T125" s="1159"/>
      <c r="U125" s="1159"/>
      <c r="V125" s="1159"/>
      <c r="W125" s="1159"/>
      <c r="X125" s="1159"/>
      <c r="Y125" s="1159"/>
      <c r="Z125" s="1159"/>
      <c r="AA125" s="1159"/>
      <c r="AB125" s="1159"/>
      <c r="AC125" s="1159"/>
      <c r="AD125" s="1159"/>
      <c r="AE125" s="1159"/>
      <c r="AF125" s="1159"/>
    </row>
    <row r="126" spans="2:32">
      <c r="B126" s="1950" t="s">
        <v>2412</v>
      </c>
      <c r="C126" s="1761">
        <v>6.7936884203569743E-4</v>
      </c>
      <c r="D126" s="2044">
        <v>6.7936884203569743E-4</v>
      </c>
      <c r="E126" s="2044">
        <v>6.7936884203569743E-4</v>
      </c>
      <c r="F126" s="2045">
        <v>6.7936884203569743E-4</v>
      </c>
      <c r="G126" s="1159"/>
      <c r="H126" s="2043"/>
      <c r="I126" s="2043"/>
      <c r="J126" s="2043"/>
      <c r="K126" s="2043"/>
      <c r="L126" s="1159"/>
      <c r="M126" s="1159"/>
      <c r="N126" s="1159"/>
      <c r="O126" s="1159"/>
      <c r="P126" s="1159"/>
      <c r="Q126" s="1159"/>
      <c r="R126" s="1159"/>
      <c r="S126" s="1159"/>
      <c r="T126" s="1159"/>
      <c r="U126" s="1159"/>
      <c r="V126" s="1159"/>
      <c r="W126" s="1159"/>
      <c r="X126" s="1159"/>
      <c r="Y126" s="1159"/>
      <c r="Z126" s="1159"/>
      <c r="AA126" s="1159"/>
      <c r="AB126" s="1159"/>
      <c r="AC126" s="1159"/>
      <c r="AD126" s="1159"/>
      <c r="AE126" s="1159"/>
      <c r="AF126" s="1159"/>
    </row>
    <row r="127" spans="2:32">
      <c r="B127" s="487" t="s">
        <v>182</v>
      </c>
      <c r="C127" s="232"/>
      <c r="D127" s="1159"/>
      <c r="E127" s="1159"/>
      <c r="F127" s="128"/>
      <c r="G127" s="1159"/>
      <c r="H127" s="2042"/>
      <c r="I127" s="2042"/>
      <c r="J127" s="2042"/>
      <c r="K127" s="2042"/>
      <c r="L127" s="1159"/>
      <c r="M127" s="1159"/>
      <c r="N127" s="1159"/>
      <c r="O127" s="1159"/>
      <c r="P127" s="1159"/>
      <c r="Q127" s="1159"/>
      <c r="R127" s="1159"/>
      <c r="S127" s="1159"/>
      <c r="T127" s="1159"/>
      <c r="U127" s="1159"/>
      <c r="V127" s="1159"/>
      <c r="W127" s="1159"/>
      <c r="X127" s="1159"/>
      <c r="Y127" s="1159"/>
      <c r="Z127" s="1159"/>
      <c r="AA127" s="1159"/>
      <c r="AB127" s="1159"/>
      <c r="AC127" s="1159"/>
      <c r="AD127" s="1159"/>
      <c r="AE127" s="1159"/>
      <c r="AF127" s="1159"/>
    </row>
    <row r="128" spans="2:32">
      <c r="B128" s="1947" t="s">
        <v>1868</v>
      </c>
      <c r="C128" s="928">
        <v>4.1413362986976891E-2</v>
      </c>
      <c r="D128" s="946">
        <v>4.4405557605128571E-2</v>
      </c>
      <c r="E128" s="946">
        <v>0</v>
      </c>
      <c r="F128" s="930">
        <v>0.3963224480775277</v>
      </c>
      <c r="G128" s="1159"/>
      <c r="H128" s="2046"/>
      <c r="I128" s="2046"/>
      <c r="J128" s="2046"/>
      <c r="K128" s="2046"/>
      <c r="L128" s="1159"/>
      <c r="M128" s="1159"/>
      <c r="N128" s="1159"/>
      <c r="O128" s="1159"/>
      <c r="P128" s="1159"/>
      <c r="Q128" s="1159"/>
      <c r="R128" s="1159"/>
      <c r="S128" s="1159"/>
      <c r="T128" s="1159"/>
      <c r="U128" s="1159"/>
      <c r="V128" s="1159"/>
      <c r="W128" s="1159"/>
      <c r="X128" s="1159"/>
      <c r="Y128" s="1159"/>
      <c r="Z128" s="1159"/>
      <c r="AA128" s="1159"/>
      <c r="AB128" s="1159"/>
      <c r="AC128" s="1159"/>
      <c r="AD128" s="1159"/>
      <c r="AE128" s="1159"/>
      <c r="AF128" s="1159"/>
    </row>
    <row r="129" spans="2:32">
      <c r="B129" s="1947" t="s">
        <v>38</v>
      </c>
      <c r="C129" s="928">
        <v>0.28688138356314469</v>
      </c>
      <c r="D129" s="946">
        <v>0.28086682706073579</v>
      </c>
      <c r="E129" s="946">
        <v>0</v>
      </c>
      <c r="F129" s="930">
        <v>0.10582942951967154</v>
      </c>
      <c r="G129" s="1159"/>
      <c r="H129" s="2046"/>
      <c r="I129" s="2046"/>
      <c r="J129" s="2046"/>
      <c r="K129" s="2046"/>
      <c r="L129" s="1159"/>
      <c r="M129" s="1159"/>
      <c r="N129" s="1159"/>
      <c r="O129" s="1159"/>
      <c r="P129" s="1159"/>
      <c r="Q129" s="1159"/>
      <c r="R129" s="1159"/>
      <c r="S129" s="1159"/>
      <c r="T129" s="1159"/>
      <c r="U129" s="1159"/>
      <c r="V129" s="1159"/>
      <c r="W129" s="1159"/>
      <c r="X129" s="1159"/>
      <c r="Y129" s="1159"/>
      <c r="Z129" s="1159"/>
      <c r="AA129" s="1159"/>
      <c r="AB129" s="1159"/>
      <c r="AC129" s="1159"/>
      <c r="AD129" s="1159"/>
      <c r="AE129" s="1159"/>
      <c r="AF129" s="1159"/>
    </row>
    <row r="130" spans="2:32">
      <c r="B130" s="1947" t="s">
        <v>2406</v>
      </c>
      <c r="C130" s="928">
        <v>4.16763642687972E-2</v>
      </c>
      <c r="D130" s="946">
        <v>4.035438161850298E-2</v>
      </c>
      <c r="E130" s="946">
        <v>0</v>
      </c>
      <c r="F130" s="930">
        <v>7.1489188663016998E-2</v>
      </c>
      <c r="G130" s="1159"/>
      <c r="H130" s="2046"/>
      <c r="I130" s="2046"/>
      <c r="J130" s="2046"/>
      <c r="K130" s="2046"/>
      <c r="L130" s="1159"/>
      <c r="M130" s="1159"/>
      <c r="N130" s="1159"/>
      <c r="O130" s="1159"/>
      <c r="P130" s="1159"/>
      <c r="Q130" s="1159"/>
      <c r="R130" s="1159"/>
      <c r="S130" s="1159"/>
      <c r="T130" s="1159"/>
      <c r="U130" s="1159"/>
      <c r="V130" s="1159"/>
      <c r="W130" s="1159"/>
      <c r="X130" s="1159"/>
      <c r="Y130" s="1159"/>
      <c r="Z130" s="1159"/>
      <c r="AA130" s="1159"/>
      <c r="AB130" s="1159"/>
      <c r="AC130" s="1159"/>
      <c r="AD130" s="1159"/>
      <c r="AE130" s="1159"/>
      <c r="AF130" s="1159"/>
    </row>
    <row r="131" spans="2:32">
      <c r="B131" s="1947" t="s">
        <v>2405</v>
      </c>
      <c r="C131" s="928">
        <v>0.11498407440914435</v>
      </c>
      <c r="D131" s="946">
        <v>0.1218407207520078</v>
      </c>
      <c r="E131" s="946">
        <v>0</v>
      </c>
      <c r="F131" s="930">
        <v>8.2619548237124085E-2</v>
      </c>
      <c r="G131" s="1159"/>
      <c r="H131" s="2046"/>
      <c r="I131" s="2046"/>
      <c r="J131" s="2046"/>
      <c r="K131" s="2046"/>
      <c r="L131" s="1159"/>
      <c r="M131" s="1159"/>
      <c r="N131" s="1159"/>
      <c r="O131" s="1159"/>
      <c r="P131" s="1159"/>
      <c r="Q131" s="1159"/>
      <c r="R131" s="1159"/>
      <c r="S131" s="1159"/>
      <c r="T131" s="1159"/>
      <c r="U131" s="1159"/>
      <c r="V131" s="1159"/>
      <c r="W131" s="1159"/>
      <c r="X131" s="1159"/>
      <c r="Y131" s="1159"/>
      <c r="Z131" s="1159"/>
      <c r="AA131" s="1159"/>
      <c r="AB131" s="1159"/>
      <c r="AC131" s="1159"/>
      <c r="AD131" s="1159"/>
      <c r="AE131" s="1159"/>
      <c r="AF131" s="1159"/>
    </row>
    <row r="132" spans="2:32">
      <c r="B132" s="1947" t="s">
        <v>1869</v>
      </c>
      <c r="C132" s="928">
        <v>0.36808210094283461</v>
      </c>
      <c r="D132" s="946">
        <v>0.35640646272756477</v>
      </c>
      <c r="E132" s="946">
        <v>0</v>
      </c>
      <c r="F132" s="930">
        <v>0</v>
      </c>
      <c r="G132" s="1159"/>
      <c r="H132" s="2046"/>
      <c r="I132" s="2046"/>
      <c r="J132" s="2046"/>
      <c r="K132" s="2046"/>
      <c r="L132" s="1159"/>
      <c r="M132" s="1159"/>
      <c r="N132" s="1159"/>
      <c r="O132" s="1159"/>
      <c r="P132" s="1159"/>
      <c r="Q132" s="1159"/>
      <c r="R132" s="1159"/>
      <c r="S132" s="1159"/>
      <c r="T132" s="1159"/>
      <c r="U132" s="1159"/>
      <c r="V132" s="1159"/>
      <c r="W132" s="1159"/>
      <c r="X132" s="1159"/>
      <c r="Y132" s="1159"/>
      <c r="Z132" s="1159"/>
      <c r="AA132" s="1159"/>
      <c r="AB132" s="1159"/>
      <c r="AC132" s="1159"/>
      <c r="AD132" s="1159"/>
      <c r="AE132" s="1159"/>
      <c r="AF132" s="1159"/>
    </row>
    <row r="133" spans="2:32">
      <c r="B133" s="1947" t="s">
        <v>61</v>
      </c>
      <c r="C133" s="928">
        <v>3.2017153978373559E-3</v>
      </c>
      <c r="D133" s="946">
        <v>3.1125691738863692E-3</v>
      </c>
      <c r="E133" s="946">
        <v>0</v>
      </c>
      <c r="F133" s="930">
        <v>2.6100219878123523E-2</v>
      </c>
      <c r="G133" s="1159"/>
      <c r="H133" s="2046"/>
      <c r="I133" s="2046"/>
      <c r="J133" s="2046"/>
      <c r="K133" s="2046"/>
      <c r="L133" s="1159"/>
      <c r="M133" s="1159"/>
      <c r="N133" s="1159"/>
      <c r="O133" s="1159"/>
      <c r="P133" s="1159"/>
      <c r="Q133" s="1159"/>
      <c r="R133" s="1159"/>
      <c r="S133" s="1159"/>
      <c r="T133" s="1159"/>
      <c r="U133" s="1159"/>
      <c r="V133" s="1159"/>
      <c r="W133" s="1159"/>
      <c r="X133" s="1159"/>
      <c r="Y133" s="1159"/>
      <c r="Z133" s="1159"/>
      <c r="AA133" s="1159"/>
      <c r="AB133" s="1159"/>
      <c r="AC133" s="1159"/>
      <c r="AD133" s="1159"/>
      <c r="AE133" s="1159"/>
      <c r="AF133" s="1159"/>
    </row>
    <row r="134" spans="2:32">
      <c r="B134" s="1947" t="s">
        <v>60</v>
      </c>
      <c r="C134" s="928">
        <v>6.6562367387751314E-2</v>
      </c>
      <c r="D134" s="946">
        <v>7.0479707030288455E-2</v>
      </c>
      <c r="E134" s="946">
        <v>0</v>
      </c>
      <c r="F134" s="930">
        <v>4.0481145565784929E-2</v>
      </c>
      <c r="G134" s="1159"/>
      <c r="H134" s="2046"/>
      <c r="I134" s="2046"/>
      <c r="J134" s="2046"/>
      <c r="K134" s="2046"/>
      <c r="L134" s="1159"/>
      <c r="M134" s="1159"/>
      <c r="N134" s="1159"/>
      <c r="O134" s="1159"/>
      <c r="P134" s="1159"/>
      <c r="Q134" s="1159"/>
      <c r="R134" s="1159"/>
      <c r="S134" s="1159"/>
      <c r="T134" s="1159"/>
      <c r="U134" s="1159"/>
      <c r="V134" s="1159"/>
      <c r="W134" s="1159"/>
      <c r="X134" s="1159"/>
      <c r="Y134" s="1159"/>
      <c r="Z134" s="1159"/>
      <c r="AA134" s="1159"/>
      <c r="AB134" s="1159"/>
      <c r="AC134" s="1159"/>
      <c r="AD134" s="1159"/>
      <c r="AE134" s="1159"/>
      <c r="AF134" s="1159"/>
    </row>
    <row r="135" spans="2:32">
      <c r="B135" s="1947" t="s">
        <v>2413</v>
      </c>
      <c r="C135" s="928">
        <v>3.0367871879023029E-4</v>
      </c>
      <c r="D135" s="946">
        <v>2.9404596879997188E-4</v>
      </c>
      <c r="E135" s="946">
        <v>0</v>
      </c>
      <c r="F135" s="930">
        <v>2.6192130563907404E-2</v>
      </c>
      <c r="G135" s="1159"/>
      <c r="H135" s="2046"/>
      <c r="I135" s="2046"/>
      <c r="J135" s="2046"/>
      <c r="K135" s="2046"/>
      <c r="L135" s="1159"/>
      <c r="M135" s="1159"/>
      <c r="N135" s="1159"/>
      <c r="O135" s="1159"/>
      <c r="P135" s="1159"/>
      <c r="Q135" s="1159"/>
      <c r="R135" s="1159"/>
      <c r="S135" s="1159"/>
      <c r="T135" s="1159"/>
      <c r="U135" s="1159"/>
      <c r="V135" s="1159"/>
      <c r="W135" s="1159"/>
      <c r="X135" s="1159"/>
      <c r="Y135" s="1159"/>
      <c r="Z135" s="1159"/>
      <c r="AA135" s="1159"/>
      <c r="AB135" s="1159"/>
      <c r="AC135" s="1159"/>
      <c r="AD135" s="1159"/>
      <c r="AE135" s="1159"/>
      <c r="AF135" s="1159"/>
    </row>
    <row r="136" spans="2:32">
      <c r="B136" s="1947" t="s">
        <v>2414</v>
      </c>
      <c r="C136" s="928">
        <v>7.8312563584873138E-5</v>
      </c>
      <c r="D136" s="946">
        <v>7.5828473329505642E-5</v>
      </c>
      <c r="E136" s="946">
        <v>0</v>
      </c>
      <c r="F136" s="930">
        <v>0</v>
      </c>
      <c r="G136" s="1159"/>
      <c r="H136" s="2046"/>
      <c r="I136" s="2046"/>
      <c r="J136" s="2046"/>
      <c r="K136" s="2046"/>
      <c r="L136" s="1159"/>
      <c r="M136" s="1159"/>
      <c r="N136" s="1159"/>
      <c r="O136" s="1159"/>
      <c r="P136" s="1159"/>
      <c r="Q136" s="1159"/>
      <c r="R136" s="1159"/>
      <c r="S136" s="1159"/>
      <c r="T136" s="1159"/>
      <c r="U136" s="1159"/>
      <c r="V136" s="1159"/>
      <c r="W136" s="1159"/>
      <c r="X136" s="1159"/>
      <c r="Y136" s="1159"/>
      <c r="Z136" s="1159"/>
      <c r="AA136" s="1159"/>
      <c r="AB136" s="1159"/>
      <c r="AC136" s="1159"/>
      <c r="AD136" s="1159"/>
      <c r="AE136" s="1159"/>
      <c r="AF136" s="1159"/>
    </row>
    <row r="137" spans="2:32">
      <c r="B137" s="1947" t="s">
        <v>1409</v>
      </c>
      <c r="C137" s="928">
        <v>2.9149676445480561E-5</v>
      </c>
      <c r="D137" s="946">
        <v>2.8225042850427103E-5</v>
      </c>
      <c r="E137" s="946">
        <v>0</v>
      </c>
      <c r="F137" s="930">
        <v>0</v>
      </c>
      <c r="G137" s="1159"/>
      <c r="H137" s="2046"/>
      <c r="I137" s="2046"/>
      <c r="J137" s="2046"/>
      <c r="K137" s="2046"/>
      <c r="L137" s="1159"/>
      <c r="M137" s="1159"/>
      <c r="N137" s="1159"/>
      <c r="O137" s="1159"/>
      <c r="P137" s="1159"/>
      <c r="Q137" s="1159"/>
      <c r="R137" s="1159"/>
      <c r="S137" s="1159"/>
      <c r="T137" s="1159"/>
      <c r="U137" s="1159"/>
      <c r="V137" s="1159"/>
      <c r="W137" s="1159"/>
      <c r="X137" s="1159"/>
      <c r="Y137" s="1159"/>
      <c r="Z137" s="1159"/>
      <c r="AA137" s="1159"/>
      <c r="AB137" s="1159"/>
      <c r="AC137" s="1159"/>
      <c r="AD137" s="1159"/>
      <c r="AE137" s="1159"/>
      <c r="AF137" s="1159"/>
    </row>
    <row r="138" spans="2:32">
      <c r="B138" s="1947" t="s">
        <v>2415</v>
      </c>
      <c r="C138" s="928">
        <v>0</v>
      </c>
      <c r="D138" s="946">
        <v>0</v>
      </c>
      <c r="E138" s="946">
        <v>0</v>
      </c>
      <c r="F138" s="930">
        <v>0</v>
      </c>
      <c r="G138" s="1159"/>
      <c r="H138" s="2046"/>
      <c r="I138" s="2046"/>
      <c r="J138" s="2046"/>
      <c r="K138" s="2046"/>
      <c r="L138" s="1159"/>
      <c r="M138" s="1159"/>
      <c r="N138" s="1159"/>
      <c r="O138" s="1159"/>
      <c r="P138" s="1159"/>
      <c r="Q138" s="1159"/>
      <c r="R138" s="1159"/>
      <c r="S138" s="1159"/>
      <c r="T138" s="1159"/>
      <c r="U138" s="1159"/>
      <c r="V138" s="1159"/>
      <c r="W138" s="1159"/>
      <c r="X138" s="1159"/>
      <c r="Y138" s="1159"/>
      <c r="Z138" s="1159"/>
      <c r="AA138" s="1159"/>
      <c r="AB138" s="1159"/>
      <c r="AC138" s="1159"/>
      <c r="AD138" s="1159"/>
      <c r="AE138" s="1159"/>
      <c r="AF138" s="1159"/>
    </row>
    <row r="139" spans="2:32">
      <c r="B139" s="1947" t="s">
        <v>2416</v>
      </c>
      <c r="C139" s="928">
        <v>0</v>
      </c>
      <c r="D139" s="946">
        <v>0</v>
      </c>
      <c r="E139" s="946">
        <v>0</v>
      </c>
      <c r="F139" s="930">
        <v>2.9399398805274837E-3</v>
      </c>
      <c r="G139" s="1159"/>
      <c r="H139" s="2046"/>
      <c r="I139" s="2046"/>
      <c r="J139" s="2046"/>
      <c r="K139" s="2046"/>
      <c r="L139" s="1159"/>
      <c r="M139" s="1159"/>
      <c r="N139" s="1159"/>
      <c r="O139" s="1159"/>
      <c r="P139" s="1159"/>
      <c r="Q139" s="1159"/>
      <c r="R139" s="1159"/>
      <c r="S139" s="1159"/>
      <c r="T139" s="1159"/>
      <c r="U139" s="1159"/>
      <c r="V139" s="1159"/>
      <c r="W139" s="1159"/>
      <c r="X139" s="1159"/>
      <c r="Y139" s="1159"/>
      <c r="Z139" s="1159"/>
      <c r="AA139" s="1159"/>
      <c r="AB139" s="1159"/>
      <c r="AC139" s="1159"/>
      <c r="AD139" s="1159"/>
      <c r="AE139" s="1159"/>
      <c r="AF139" s="1159"/>
    </row>
    <row r="140" spans="2:32">
      <c r="B140" s="1947" t="s">
        <v>2417</v>
      </c>
      <c r="C140" s="928">
        <v>2.6104187861624383E-3</v>
      </c>
      <c r="D140" s="946">
        <v>2.5276157776501886E-3</v>
      </c>
      <c r="E140" s="946">
        <v>0</v>
      </c>
      <c r="F140" s="930">
        <v>0</v>
      </c>
      <c r="G140" s="1159"/>
      <c r="H140" s="2046"/>
      <c r="I140" s="2046"/>
      <c r="J140" s="2046"/>
      <c r="K140" s="2046"/>
      <c r="L140" s="1159"/>
      <c r="M140" s="1159"/>
      <c r="N140" s="1159"/>
      <c r="O140" s="1159"/>
      <c r="P140" s="1159"/>
      <c r="Q140" s="1159"/>
      <c r="R140" s="1159"/>
      <c r="S140" s="1159"/>
      <c r="T140" s="1159"/>
      <c r="U140" s="1159"/>
      <c r="V140" s="1159"/>
      <c r="W140" s="1159"/>
      <c r="X140" s="1159"/>
      <c r="Y140" s="1159"/>
      <c r="Z140" s="1159"/>
      <c r="AA140" s="1159"/>
      <c r="AB140" s="1159"/>
      <c r="AC140" s="1159"/>
      <c r="AD140" s="1159"/>
      <c r="AE140" s="1159"/>
      <c r="AF140" s="1159"/>
    </row>
    <row r="141" spans="2:32">
      <c r="B141" s="1947" t="s">
        <v>63</v>
      </c>
      <c r="C141" s="928">
        <v>4.9021368858159276E-4</v>
      </c>
      <c r="D141" s="946">
        <v>5.2610543186638122E-4</v>
      </c>
      <c r="E141" s="946">
        <v>0</v>
      </c>
      <c r="F141" s="930">
        <v>6.6924819667021581E-4</v>
      </c>
      <c r="G141" s="1159"/>
      <c r="H141" s="2046"/>
      <c r="I141" s="2046"/>
      <c r="J141" s="2046"/>
      <c r="K141" s="2046"/>
      <c r="L141" s="1159"/>
      <c r="M141" s="1159"/>
      <c r="N141" s="1159"/>
      <c r="O141" s="1159"/>
      <c r="P141" s="1159"/>
      <c r="Q141" s="1159"/>
      <c r="R141" s="1159"/>
      <c r="S141" s="1159"/>
      <c r="T141" s="1159"/>
      <c r="U141" s="1159"/>
      <c r="V141" s="1159"/>
      <c r="W141" s="1159"/>
      <c r="X141" s="1159"/>
      <c r="Y141" s="1159"/>
      <c r="Z141" s="1159"/>
      <c r="AA141" s="1159"/>
      <c r="AB141" s="1159"/>
      <c r="AC141" s="1159"/>
      <c r="AD141" s="1159"/>
      <c r="AE141" s="1159"/>
      <c r="AF141" s="1159"/>
    </row>
    <row r="142" spans="2:32">
      <c r="B142" s="1947" t="s">
        <v>2407</v>
      </c>
      <c r="C142" s="928">
        <v>0</v>
      </c>
      <c r="D142" s="946">
        <v>0</v>
      </c>
      <c r="E142" s="946">
        <v>0</v>
      </c>
      <c r="F142" s="930">
        <v>3.3754543980659302E-2</v>
      </c>
      <c r="G142" s="1159"/>
      <c r="H142" s="2046"/>
      <c r="I142" s="2046"/>
      <c r="J142" s="2046"/>
      <c r="K142" s="2046"/>
      <c r="L142" s="1159"/>
      <c r="M142" s="1159"/>
      <c r="N142" s="1159"/>
      <c r="O142" s="1159"/>
      <c r="P142" s="1159"/>
      <c r="Q142" s="1159"/>
      <c r="R142" s="1159"/>
      <c r="S142" s="1159"/>
      <c r="T142" s="1159"/>
      <c r="U142" s="1159"/>
      <c r="V142" s="1159"/>
      <c r="W142" s="1159"/>
      <c r="X142" s="1159"/>
      <c r="Y142" s="1159"/>
      <c r="Z142" s="1159"/>
      <c r="AA142" s="1159"/>
      <c r="AB142" s="1159"/>
      <c r="AC142" s="1159"/>
      <c r="AD142" s="1159"/>
      <c r="AE142" s="1159"/>
      <c r="AF142" s="1159"/>
    </row>
    <row r="143" spans="2:32">
      <c r="B143" s="1947" t="s">
        <v>2418</v>
      </c>
      <c r="C143" s="928">
        <v>0</v>
      </c>
      <c r="D143" s="946">
        <v>0</v>
      </c>
      <c r="E143" s="946">
        <v>0</v>
      </c>
      <c r="F143" s="930">
        <v>1.5888626251882821E-3</v>
      </c>
      <c r="G143" s="1159"/>
      <c r="H143" s="2046"/>
      <c r="I143" s="2046"/>
      <c r="J143" s="2046"/>
      <c r="K143" s="2046"/>
      <c r="L143" s="1159"/>
      <c r="M143" s="1159"/>
      <c r="N143" s="1159"/>
      <c r="O143" s="1159"/>
      <c r="P143" s="1159"/>
      <c r="Q143" s="1159"/>
      <c r="R143" s="1159"/>
      <c r="S143" s="1159"/>
      <c r="T143" s="1159"/>
      <c r="U143" s="1159"/>
      <c r="V143" s="1159"/>
      <c r="W143" s="1159"/>
      <c r="X143" s="1159"/>
      <c r="Y143" s="1159"/>
      <c r="Z143" s="1159"/>
      <c r="AA143" s="1159"/>
      <c r="AB143" s="1159"/>
      <c r="AC143" s="1159"/>
      <c r="AD143" s="1159"/>
      <c r="AE143" s="1159"/>
      <c r="AF143" s="1159"/>
    </row>
    <row r="144" spans="2:32">
      <c r="B144" s="1947" t="s">
        <v>1391</v>
      </c>
      <c r="C144" s="928">
        <v>0</v>
      </c>
      <c r="D144" s="946">
        <v>0</v>
      </c>
      <c r="E144" s="946">
        <v>0</v>
      </c>
      <c r="F144" s="930">
        <v>0.11610427848869978</v>
      </c>
      <c r="G144" s="1159"/>
      <c r="H144" s="2046"/>
      <c r="I144" s="2046"/>
      <c r="J144" s="2046"/>
      <c r="K144" s="2046"/>
      <c r="L144" s="1159"/>
      <c r="M144" s="1159"/>
      <c r="N144" s="1159"/>
      <c r="O144" s="1159"/>
      <c r="P144" s="1159"/>
      <c r="Q144" s="1159"/>
      <c r="R144" s="1159"/>
      <c r="S144" s="1159"/>
      <c r="T144" s="1159"/>
      <c r="U144" s="1159"/>
      <c r="V144" s="1159"/>
      <c r="W144" s="1159"/>
      <c r="X144" s="1159"/>
      <c r="Y144" s="1159"/>
      <c r="Z144" s="1159"/>
      <c r="AA144" s="1159"/>
      <c r="AB144" s="1159"/>
      <c r="AC144" s="1159"/>
      <c r="AD144" s="1159"/>
      <c r="AE144" s="1159"/>
      <c r="AF144" s="1159"/>
    </row>
    <row r="145" spans="2:32">
      <c r="B145" s="1947" t="s">
        <v>375</v>
      </c>
      <c r="C145" s="928">
        <v>0</v>
      </c>
      <c r="D145" s="946">
        <v>0</v>
      </c>
      <c r="E145" s="946">
        <v>0</v>
      </c>
      <c r="F145" s="930">
        <v>1.3009762459577586E-3</v>
      </c>
      <c r="G145" s="1159"/>
      <c r="H145" s="2046"/>
      <c r="I145" s="2046"/>
      <c r="J145" s="2046"/>
      <c r="K145" s="2046"/>
      <c r="L145" s="1159"/>
      <c r="M145" s="1159"/>
      <c r="N145" s="1159"/>
      <c r="O145" s="1159"/>
      <c r="P145" s="1159"/>
      <c r="Q145" s="1159"/>
      <c r="R145" s="1159"/>
      <c r="S145" s="1159"/>
      <c r="T145" s="1159"/>
      <c r="U145" s="1159"/>
      <c r="V145" s="1159"/>
      <c r="W145" s="1159"/>
      <c r="X145" s="1159"/>
      <c r="Y145" s="1159"/>
      <c r="Z145" s="1159"/>
      <c r="AA145" s="1159"/>
      <c r="AB145" s="1159"/>
      <c r="AC145" s="1159"/>
      <c r="AD145" s="1159"/>
      <c r="AE145" s="1159"/>
      <c r="AF145" s="1159"/>
    </row>
    <row r="146" spans="2:32">
      <c r="B146" s="1947" t="s">
        <v>381</v>
      </c>
      <c r="C146" s="928">
        <v>0</v>
      </c>
      <c r="D146" s="946">
        <v>0</v>
      </c>
      <c r="E146" s="946">
        <v>0</v>
      </c>
      <c r="F146" s="930">
        <v>2.6042965019726427E-2</v>
      </c>
      <c r="G146" s="1159"/>
      <c r="H146" s="2046"/>
      <c r="I146" s="2046"/>
      <c r="J146" s="2046"/>
      <c r="K146" s="2046"/>
      <c r="L146" s="1159"/>
      <c r="M146" s="1159"/>
      <c r="N146" s="1159"/>
      <c r="O146" s="1159"/>
      <c r="P146" s="1159"/>
      <c r="Q146" s="1159"/>
      <c r="R146" s="1159"/>
      <c r="S146" s="1159"/>
      <c r="T146" s="1159"/>
      <c r="U146" s="1159"/>
      <c r="V146" s="1159"/>
      <c r="W146" s="1159"/>
      <c r="X146" s="1159"/>
      <c r="Y146" s="1159"/>
      <c r="Z146" s="1159"/>
      <c r="AA146" s="1159"/>
      <c r="AB146" s="1159"/>
      <c r="AC146" s="1159"/>
      <c r="AD146" s="1159"/>
      <c r="AE146" s="1159"/>
      <c r="AF146" s="1159"/>
    </row>
    <row r="147" spans="2:32">
      <c r="B147" s="1947" t="s">
        <v>291</v>
      </c>
      <c r="C147" s="928">
        <v>0</v>
      </c>
      <c r="D147" s="946">
        <v>0</v>
      </c>
      <c r="E147" s="946">
        <v>0</v>
      </c>
      <c r="F147" s="930">
        <v>3.3308996964320691E-3</v>
      </c>
      <c r="G147" s="1159"/>
      <c r="H147" s="2046"/>
      <c r="I147" s="2046"/>
      <c r="J147" s="2046"/>
      <c r="K147" s="2046"/>
      <c r="L147" s="1159"/>
      <c r="M147" s="1159"/>
      <c r="N147" s="1159"/>
      <c r="O147" s="1159"/>
      <c r="P147" s="1159"/>
      <c r="Q147" s="1159"/>
      <c r="R147" s="1159"/>
      <c r="S147" s="1159"/>
      <c r="T147" s="1159"/>
      <c r="U147" s="1159"/>
      <c r="V147" s="1159"/>
      <c r="W147" s="1159"/>
      <c r="X147" s="1159"/>
      <c r="Y147" s="1159"/>
      <c r="Z147" s="1159"/>
      <c r="AA147" s="1159"/>
      <c r="AB147" s="1159"/>
      <c r="AC147" s="1159"/>
      <c r="AD147" s="1159"/>
      <c r="AE147" s="1159"/>
      <c r="AF147" s="1159"/>
    </row>
    <row r="148" spans="2:32">
      <c r="B148" s="1947" t="s">
        <v>289</v>
      </c>
      <c r="C148" s="928">
        <v>0</v>
      </c>
      <c r="D148" s="946">
        <v>0</v>
      </c>
      <c r="E148" s="946">
        <v>0</v>
      </c>
      <c r="F148" s="930">
        <v>9.095034845395953E-3</v>
      </c>
      <c r="G148" s="1159"/>
      <c r="H148" s="2046"/>
      <c r="I148" s="2046"/>
      <c r="J148" s="2046"/>
      <c r="K148" s="2046"/>
      <c r="L148" s="1159"/>
      <c r="M148" s="1159"/>
      <c r="N148" s="1159"/>
      <c r="O148" s="1159"/>
      <c r="P148" s="1159"/>
      <c r="Q148" s="1159"/>
      <c r="R148" s="1159"/>
      <c r="S148" s="1159"/>
      <c r="T148" s="1159"/>
      <c r="U148" s="1159"/>
      <c r="V148" s="1159"/>
      <c r="W148" s="1159"/>
      <c r="X148" s="1159"/>
      <c r="Y148" s="1159"/>
      <c r="Z148" s="1159"/>
      <c r="AA148" s="1159"/>
      <c r="AB148" s="1159"/>
      <c r="AC148" s="1159"/>
      <c r="AD148" s="1159"/>
      <c r="AE148" s="1159"/>
      <c r="AF148" s="1159"/>
    </row>
    <row r="149" spans="2:32">
      <c r="B149" s="1947" t="s">
        <v>2419</v>
      </c>
      <c r="C149" s="928">
        <v>0</v>
      </c>
      <c r="D149" s="946">
        <v>0</v>
      </c>
      <c r="E149" s="946">
        <v>0</v>
      </c>
      <c r="F149" s="930">
        <v>2.3636275961979248E-2</v>
      </c>
      <c r="G149" s="1159"/>
      <c r="H149" s="2046"/>
      <c r="I149" s="2046"/>
      <c r="J149" s="2046"/>
      <c r="K149" s="2046"/>
      <c r="L149" s="1159"/>
      <c r="M149" s="1159"/>
      <c r="N149" s="1159"/>
      <c r="O149" s="1159"/>
      <c r="P149" s="1159"/>
      <c r="Q149" s="1159"/>
      <c r="R149" s="1159"/>
      <c r="S149" s="1159"/>
      <c r="T149" s="1159"/>
      <c r="U149" s="1159"/>
      <c r="V149" s="1159"/>
      <c r="W149" s="1159"/>
      <c r="X149" s="1159"/>
      <c r="Y149" s="1159"/>
      <c r="Z149" s="1159"/>
      <c r="AA149" s="1159"/>
      <c r="AB149" s="1159"/>
      <c r="AC149" s="1159"/>
      <c r="AD149" s="1159"/>
      <c r="AE149" s="1159"/>
      <c r="AF149" s="1159"/>
    </row>
    <row r="150" spans="2:32">
      <c r="B150" s="1947" t="s">
        <v>2420</v>
      </c>
      <c r="C150" s="928">
        <v>7.3686857609948878E-2</v>
      </c>
      <c r="D150" s="946">
        <v>7.9081953337388669E-2</v>
      </c>
      <c r="E150" s="946">
        <v>0</v>
      </c>
      <c r="F150" s="930">
        <v>8.2961591618222646E-4</v>
      </c>
      <c r="G150" s="1159"/>
      <c r="H150" s="2046"/>
      <c r="I150" s="2046"/>
      <c r="J150" s="2046"/>
      <c r="K150" s="2046"/>
      <c r="L150" s="1159"/>
      <c r="M150" s="1159"/>
      <c r="N150" s="1159"/>
      <c r="O150" s="1159"/>
      <c r="P150" s="1159"/>
      <c r="Q150" s="1159"/>
      <c r="R150" s="1159"/>
      <c r="S150" s="1159"/>
      <c r="T150" s="1159"/>
      <c r="U150" s="1159"/>
      <c r="V150" s="1159"/>
      <c r="W150" s="1159"/>
      <c r="X150" s="1159"/>
      <c r="Y150" s="1159"/>
      <c r="Z150" s="1159"/>
      <c r="AA150" s="1159"/>
      <c r="AB150" s="1159"/>
      <c r="AC150" s="1159"/>
      <c r="AD150" s="1159"/>
      <c r="AE150" s="1159"/>
      <c r="AF150" s="1159"/>
    </row>
    <row r="151" spans="2:32">
      <c r="B151" s="1947" t="s">
        <v>293</v>
      </c>
      <c r="C151" s="928">
        <v>0</v>
      </c>
      <c r="D151" s="946">
        <v>0</v>
      </c>
      <c r="E151" s="946">
        <v>0</v>
      </c>
      <c r="F151" s="930">
        <v>1.4707781573566895E-2</v>
      </c>
      <c r="G151" s="1159"/>
      <c r="H151" s="2046"/>
      <c r="I151" s="2046"/>
      <c r="J151" s="2046"/>
      <c r="K151" s="2046"/>
      <c r="L151" s="1159"/>
      <c r="M151" s="1159"/>
      <c r="N151" s="1159"/>
      <c r="O151" s="1159"/>
      <c r="P151" s="1159"/>
      <c r="Q151" s="1159"/>
      <c r="R151" s="1159"/>
      <c r="S151" s="1159"/>
      <c r="T151" s="1159"/>
      <c r="U151" s="1159"/>
      <c r="V151" s="1159"/>
      <c r="W151" s="1159"/>
      <c r="X151" s="1159"/>
      <c r="Y151" s="1159"/>
      <c r="Z151" s="1159"/>
      <c r="AA151" s="1159"/>
      <c r="AB151" s="1159"/>
      <c r="AC151" s="1159"/>
      <c r="AD151" s="1159"/>
      <c r="AE151" s="1159"/>
      <c r="AF151" s="1159"/>
    </row>
    <row r="152" spans="2:32">
      <c r="B152" s="1947" t="s">
        <v>2421</v>
      </c>
      <c r="C152" s="928">
        <v>0</v>
      </c>
      <c r="D152" s="946">
        <v>0</v>
      </c>
      <c r="E152" s="946">
        <v>0</v>
      </c>
      <c r="F152" s="930">
        <v>9.4802136636234144E-3</v>
      </c>
      <c r="G152" s="1159"/>
      <c r="H152" s="2046"/>
      <c r="I152" s="2046"/>
      <c r="J152" s="2046"/>
      <c r="K152" s="2046"/>
      <c r="L152" s="1159"/>
      <c r="M152" s="1159"/>
      <c r="N152" s="1159"/>
      <c r="O152" s="1159"/>
      <c r="P152" s="1159"/>
      <c r="Q152" s="1159"/>
      <c r="R152" s="1159"/>
      <c r="S152" s="1159"/>
      <c r="T152" s="1159"/>
      <c r="U152" s="1159"/>
      <c r="V152" s="1159"/>
      <c r="W152" s="1159"/>
      <c r="X152" s="1159"/>
      <c r="Y152" s="1159"/>
      <c r="Z152" s="1159"/>
      <c r="AA152" s="1159"/>
      <c r="AB152" s="1159"/>
      <c r="AC152" s="1159"/>
      <c r="AD152" s="1159"/>
      <c r="AE152" s="1159"/>
      <c r="AF152" s="1159"/>
    </row>
    <row r="153" spans="2:32">
      <c r="B153" s="1947" t="s">
        <v>2422</v>
      </c>
      <c r="C153" s="928">
        <v>0</v>
      </c>
      <c r="D153" s="946">
        <v>0</v>
      </c>
      <c r="E153" s="946">
        <v>0</v>
      </c>
      <c r="F153" s="930">
        <v>0</v>
      </c>
      <c r="G153" s="1159"/>
      <c r="H153" s="2046"/>
      <c r="I153" s="2046"/>
      <c r="J153" s="2046"/>
      <c r="K153" s="2046"/>
      <c r="L153" s="1159"/>
      <c r="M153" s="1159"/>
      <c r="N153" s="1159"/>
      <c r="O153" s="1159"/>
      <c r="P153" s="1159"/>
      <c r="Q153" s="1159"/>
      <c r="R153" s="1159"/>
      <c r="S153" s="1159"/>
      <c r="T153" s="1159"/>
      <c r="U153" s="1159"/>
      <c r="V153" s="1159"/>
      <c r="W153" s="1159"/>
      <c r="X153" s="1159"/>
      <c r="Y153" s="1159"/>
      <c r="Z153" s="1159"/>
      <c r="AA153" s="1159"/>
      <c r="AB153" s="1159"/>
      <c r="AC153" s="1159"/>
      <c r="AD153" s="1159"/>
      <c r="AE153" s="1159"/>
      <c r="AF153" s="1159"/>
    </row>
    <row r="154" spans="2:32">
      <c r="B154" s="1947" t="s">
        <v>48</v>
      </c>
      <c r="C154" s="928">
        <v>0</v>
      </c>
      <c r="D154" s="946">
        <v>0</v>
      </c>
      <c r="E154" s="946">
        <v>0</v>
      </c>
      <c r="F154" s="930">
        <v>2.8939711959396507E-3</v>
      </c>
      <c r="G154" s="1159"/>
      <c r="H154" s="2046"/>
      <c r="I154" s="2046"/>
      <c r="J154" s="2046"/>
      <c r="K154" s="2046"/>
      <c r="L154" s="1159"/>
      <c r="M154" s="1159"/>
      <c r="N154" s="1159"/>
      <c r="O154" s="1159"/>
      <c r="P154" s="1159"/>
      <c r="Q154" s="1159"/>
      <c r="R154" s="1159"/>
      <c r="S154" s="1159"/>
      <c r="T154" s="1159"/>
      <c r="U154" s="1159"/>
      <c r="V154" s="1159"/>
      <c r="W154" s="1159"/>
      <c r="X154" s="1159"/>
      <c r="Y154" s="1159"/>
      <c r="Z154" s="1159"/>
      <c r="AA154" s="1159"/>
      <c r="AB154" s="1159"/>
      <c r="AC154" s="1159"/>
      <c r="AD154" s="1159"/>
      <c r="AE154" s="1159"/>
      <c r="AF154" s="1159"/>
    </row>
    <row r="155" spans="2:32">
      <c r="B155" s="1947" t="s">
        <v>71</v>
      </c>
      <c r="C155" s="928">
        <v>0</v>
      </c>
      <c r="D155" s="946">
        <v>0</v>
      </c>
      <c r="E155" s="946">
        <v>0</v>
      </c>
      <c r="F155" s="930">
        <v>7.5301255279661909E-4</v>
      </c>
      <c r="G155" s="1159"/>
      <c r="H155" s="2046"/>
      <c r="I155" s="2046"/>
      <c r="J155" s="2046"/>
      <c r="K155" s="2046"/>
      <c r="L155" s="1159"/>
      <c r="M155" s="1159"/>
      <c r="N155" s="1159"/>
      <c r="O155" s="1159"/>
      <c r="P155" s="1159"/>
      <c r="Q155" s="1159"/>
      <c r="R155" s="1159"/>
      <c r="S155" s="1159"/>
      <c r="T155" s="1159"/>
      <c r="U155" s="1159"/>
      <c r="V155" s="1159"/>
      <c r="W155" s="1159"/>
      <c r="X155" s="1159"/>
      <c r="Y155" s="1159"/>
      <c r="Z155" s="1159"/>
      <c r="AA155" s="1159"/>
      <c r="AB155" s="1159"/>
      <c r="AC155" s="1159"/>
      <c r="AD155" s="1159"/>
      <c r="AE155" s="1159"/>
      <c r="AF155" s="1159"/>
    </row>
    <row r="156" spans="2:32">
      <c r="B156" s="1947" t="s">
        <v>73</v>
      </c>
      <c r="C156" s="928">
        <v>0</v>
      </c>
      <c r="D156" s="946">
        <v>0</v>
      </c>
      <c r="E156" s="946">
        <v>0</v>
      </c>
      <c r="F156" s="930">
        <v>1.0293686842527843E-3</v>
      </c>
      <c r="G156" s="1159"/>
      <c r="H156" s="2046"/>
      <c r="I156" s="2046"/>
      <c r="J156" s="2046"/>
      <c r="K156" s="2046"/>
      <c r="L156" s="1159"/>
      <c r="M156" s="1159"/>
      <c r="N156" s="1159"/>
      <c r="O156" s="1159"/>
      <c r="P156" s="1159"/>
      <c r="Q156" s="1159"/>
      <c r="R156" s="1159"/>
      <c r="S156" s="1159"/>
      <c r="T156" s="1159"/>
      <c r="U156" s="1159"/>
      <c r="V156" s="1159"/>
      <c r="W156" s="1159"/>
      <c r="X156" s="1159"/>
      <c r="Y156" s="1159"/>
      <c r="Z156" s="1159"/>
      <c r="AA156" s="1159"/>
      <c r="AB156" s="1159"/>
      <c r="AC156" s="1159"/>
      <c r="AD156" s="1159"/>
      <c r="AE156" s="1159"/>
      <c r="AF156" s="1159"/>
    </row>
    <row r="157" spans="2:32">
      <c r="B157" s="1947" t="s">
        <v>2423</v>
      </c>
      <c r="C157" s="928">
        <v>0</v>
      </c>
      <c r="D157" s="946">
        <v>0</v>
      </c>
      <c r="E157" s="946">
        <v>0</v>
      </c>
      <c r="F157" s="930">
        <v>1.4343096243745127E-4</v>
      </c>
      <c r="G157" s="1159"/>
      <c r="H157" s="2046"/>
      <c r="I157" s="2046"/>
      <c r="J157" s="2046"/>
      <c r="K157" s="2046"/>
      <c r="L157" s="1159"/>
      <c r="M157" s="1159"/>
      <c r="N157" s="1159"/>
      <c r="O157" s="1159"/>
      <c r="P157" s="1159"/>
      <c r="Q157" s="1159"/>
      <c r="R157" s="1159"/>
      <c r="S157" s="1159"/>
      <c r="T157" s="1159"/>
      <c r="U157" s="1159"/>
      <c r="V157" s="1159"/>
      <c r="W157" s="1159"/>
      <c r="X157" s="1159"/>
      <c r="Y157" s="1159"/>
      <c r="Z157" s="1159"/>
      <c r="AA157" s="1159"/>
      <c r="AB157" s="1159"/>
      <c r="AC157" s="1159"/>
      <c r="AD157" s="1159"/>
      <c r="AE157" s="1159"/>
      <c r="AF157" s="1159"/>
    </row>
    <row r="158" spans="2:32">
      <c r="B158" s="1947" t="s">
        <v>69</v>
      </c>
      <c r="C158" s="928">
        <v>0</v>
      </c>
      <c r="D158" s="946">
        <v>0</v>
      </c>
      <c r="E158" s="946">
        <v>0</v>
      </c>
      <c r="F158" s="930">
        <v>3.5857740609362817E-5</v>
      </c>
      <c r="G158" s="1159"/>
      <c r="H158" s="2046"/>
      <c r="I158" s="2046"/>
      <c r="J158" s="2046"/>
      <c r="K158" s="2046"/>
      <c r="L158" s="1159"/>
      <c r="M158" s="1159"/>
      <c r="N158" s="1159"/>
      <c r="O158" s="1159"/>
      <c r="P158" s="1159"/>
      <c r="Q158" s="1159"/>
      <c r="R158" s="1159"/>
      <c r="S158" s="1159"/>
      <c r="T158" s="1159"/>
      <c r="U158" s="1159"/>
      <c r="V158" s="1159"/>
      <c r="W158" s="1159"/>
      <c r="X158" s="1159"/>
      <c r="Y158" s="1159"/>
      <c r="Z158" s="1159"/>
      <c r="AA158" s="1159"/>
      <c r="AB158" s="1159"/>
      <c r="AC158" s="1159"/>
      <c r="AD158" s="1159"/>
      <c r="AE158" s="1159"/>
      <c r="AF158" s="1159"/>
    </row>
    <row r="159" spans="2:32">
      <c r="B159" s="1947" t="s">
        <v>58</v>
      </c>
      <c r="C159" s="928">
        <v>0</v>
      </c>
      <c r="D159" s="946">
        <v>0</v>
      </c>
      <c r="E159" s="946">
        <v>0</v>
      </c>
      <c r="F159" s="930">
        <v>8.6912143600042764E-4</v>
      </c>
      <c r="G159" s="1159"/>
      <c r="H159" s="2046"/>
      <c r="I159" s="2046"/>
      <c r="J159" s="2046"/>
      <c r="K159" s="2046"/>
      <c r="L159" s="1159"/>
      <c r="M159" s="1159"/>
      <c r="N159" s="1159"/>
      <c r="O159" s="1159"/>
      <c r="P159" s="1159"/>
      <c r="Q159" s="1159"/>
      <c r="R159" s="1159"/>
      <c r="S159" s="1159"/>
      <c r="T159" s="1159"/>
      <c r="U159" s="1159"/>
      <c r="V159" s="1159"/>
      <c r="W159" s="1159"/>
      <c r="X159" s="1159"/>
      <c r="Y159" s="1159"/>
      <c r="Z159" s="1159"/>
      <c r="AA159" s="1159"/>
      <c r="AB159" s="1159"/>
      <c r="AC159" s="1159"/>
      <c r="AD159" s="1159"/>
      <c r="AE159" s="1159"/>
      <c r="AF159" s="1159"/>
    </row>
    <row r="160" spans="2:32">
      <c r="B160" s="59" t="s">
        <v>262</v>
      </c>
      <c r="C160" s="1761">
        <v>0</v>
      </c>
      <c r="D160" s="2044">
        <v>0</v>
      </c>
      <c r="E160" s="2044">
        <v>0</v>
      </c>
      <c r="F160" s="2045">
        <v>1.7604908281987398E-3</v>
      </c>
      <c r="G160" s="1159"/>
      <c r="H160" s="2046"/>
      <c r="I160" s="2046"/>
      <c r="J160" s="2046"/>
      <c r="K160" s="2046"/>
      <c r="L160" s="1159"/>
      <c r="M160" s="1159"/>
      <c r="N160" s="1159"/>
      <c r="O160" s="1159"/>
      <c r="P160" s="1159"/>
      <c r="Q160" s="1159"/>
      <c r="R160" s="1159"/>
      <c r="S160" s="1159"/>
      <c r="T160" s="1159"/>
      <c r="U160" s="1159"/>
      <c r="V160" s="1159"/>
      <c r="W160" s="1159"/>
      <c r="X160" s="1159"/>
      <c r="Y160" s="1159"/>
      <c r="Z160" s="1159"/>
      <c r="AA160" s="1159"/>
      <c r="AB160" s="1159"/>
      <c r="AC160" s="1159"/>
      <c r="AD160" s="1159"/>
      <c r="AE160" s="1159"/>
      <c r="AF160" s="1159"/>
    </row>
    <row r="161" spans="2:32">
      <c r="B161" s="178" t="s">
        <v>274</v>
      </c>
      <c r="C161" s="556"/>
      <c r="D161" s="179"/>
      <c r="E161" s="179"/>
      <c r="F161" s="180"/>
      <c r="G161" s="1159"/>
      <c r="H161" s="2042"/>
      <c r="I161" s="2042"/>
      <c r="J161" s="2042"/>
      <c r="K161" s="2042"/>
      <c r="L161" s="1159"/>
      <c r="M161" s="1159"/>
      <c r="N161" s="1159"/>
      <c r="O161" s="1159"/>
      <c r="P161" s="1159"/>
      <c r="Q161" s="1159"/>
      <c r="R161" s="1159"/>
      <c r="S161" s="1159"/>
      <c r="T161" s="1159"/>
      <c r="U161" s="1159"/>
      <c r="V161" s="1159"/>
      <c r="W161" s="1159"/>
      <c r="X161" s="1159"/>
      <c r="Y161" s="1159"/>
      <c r="Z161" s="1159"/>
      <c r="AA161" s="1159"/>
      <c r="AB161" s="1159"/>
      <c r="AC161" s="1159"/>
      <c r="AD161" s="1159"/>
      <c r="AE161" s="1159"/>
      <c r="AF161" s="1159"/>
    </row>
    <row r="162" spans="2:32">
      <c r="B162" s="1949" t="s">
        <v>38</v>
      </c>
      <c r="C162" s="928">
        <v>0.6904588778372015</v>
      </c>
      <c r="D162" s="946">
        <v>0.6904588778372015</v>
      </c>
      <c r="E162" s="946">
        <v>0.6904588778372015</v>
      </c>
      <c r="F162" s="930">
        <v>0.6904588778372015</v>
      </c>
      <c r="G162" s="1159"/>
      <c r="H162" s="2046"/>
      <c r="I162" s="2046"/>
      <c r="J162" s="2046"/>
      <c r="K162" s="2046"/>
      <c r="L162" s="1159"/>
      <c r="M162" s="1159"/>
      <c r="N162" s="1159"/>
      <c r="O162" s="1159"/>
      <c r="P162" s="1159"/>
      <c r="Q162" s="1159"/>
      <c r="R162" s="1159"/>
      <c r="S162" s="1159"/>
      <c r="T162" s="1159"/>
      <c r="U162" s="1159"/>
      <c r="V162" s="1159"/>
      <c r="W162" s="1159"/>
      <c r="X162" s="1159"/>
      <c r="Y162" s="1159"/>
      <c r="Z162" s="1159"/>
      <c r="AA162" s="1159"/>
      <c r="AB162" s="1159"/>
      <c r="AC162" s="1159"/>
      <c r="AD162" s="1159"/>
      <c r="AE162" s="1159"/>
      <c r="AF162" s="1159"/>
    </row>
    <row r="163" spans="2:32">
      <c r="B163" s="1949" t="s">
        <v>2406</v>
      </c>
      <c r="C163" s="928">
        <v>5.8701113453332912E-2</v>
      </c>
      <c r="D163" s="946">
        <v>5.8701113453332912E-2</v>
      </c>
      <c r="E163" s="946">
        <v>5.8701113453332912E-2</v>
      </c>
      <c r="F163" s="930">
        <v>5.8701113453332912E-2</v>
      </c>
      <c r="G163" s="1159"/>
      <c r="H163" s="2046"/>
      <c r="I163" s="2046"/>
      <c r="J163" s="2046"/>
      <c r="K163" s="2046"/>
      <c r="L163" s="1159"/>
      <c r="M163" s="1159"/>
      <c r="N163" s="1159"/>
      <c r="O163" s="1159"/>
      <c r="P163" s="1159"/>
      <c r="Q163" s="1159"/>
      <c r="R163" s="1159"/>
      <c r="S163" s="1159"/>
      <c r="T163" s="1159"/>
      <c r="U163" s="1159"/>
      <c r="V163" s="1159"/>
      <c r="W163" s="1159"/>
      <c r="X163" s="1159"/>
      <c r="Y163" s="1159"/>
      <c r="Z163" s="1159"/>
      <c r="AA163" s="1159"/>
      <c r="AB163" s="1159"/>
      <c r="AC163" s="1159"/>
      <c r="AD163" s="1159"/>
      <c r="AE163" s="1159"/>
      <c r="AF163" s="1159"/>
    </row>
    <row r="164" spans="2:32">
      <c r="B164" s="1949" t="s">
        <v>2405</v>
      </c>
      <c r="C164" s="928">
        <v>3.9996486117292269E-3</v>
      </c>
      <c r="D164" s="946">
        <v>3.9996486117292269E-3</v>
      </c>
      <c r="E164" s="946">
        <v>3.9996486117292269E-3</v>
      </c>
      <c r="F164" s="930">
        <v>3.9996486117292269E-3</v>
      </c>
      <c r="G164" s="1159"/>
      <c r="H164" s="2046"/>
      <c r="I164" s="2046"/>
      <c r="J164" s="2046"/>
      <c r="K164" s="2046"/>
      <c r="L164" s="1159"/>
      <c r="M164" s="1159"/>
      <c r="N164" s="1159"/>
      <c r="O164" s="1159"/>
      <c r="P164" s="1159"/>
      <c r="Q164" s="1159"/>
      <c r="R164" s="1159"/>
      <c r="S164" s="1159"/>
      <c r="T164" s="1159"/>
      <c r="U164" s="1159"/>
      <c r="V164" s="1159"/>
      <c r="W164" s="1159"/>
      <c r="X164" s="1159"/>
      <c r="Y164" s="1159"/>
      <c r="Z164" s="1159"/>
      <c r="AA164" s="1159"/>
      <c r="AB164" s="1159"/>
      <c r="AC164" s="1159"/>
      <c r="AD164" s="1159"/>
      <c r="AE164" s="1159"/>
      <c r="AF164" s="1159"/>
    </row>
    <row r="165" spans="2:32">
      <c r="B165" s="1949" t="s">
        <v>1869</v>
      </c>
      <c r="C165" s="928">
        <v>0.24234174542157383</v>
      </c>
      <c r="D165" s="946">
        <v>0.24234174542157383</v>
      </c>
      <c r="E165" s="946">
        <v>0.24234174542157383</v>
      </c>
      <c r="F165" s="930">
        <v>0.24234174542157383</v>
      </c>
      <c r="G165" s="1159"/>
      <c r="H165" s="2046"/>
      <c r="I165" s="2046"/>
      <c r="J165" s="2046"/>
      <c r="K165" s="2046"/>
      <c r="L165" s="1159"/>
      <c r="M165" s="1159"/>
      <c r="N165" s="1159"/>
      <c r="O165" s="1159"/>
      <c r="P165" s="1159"/>
      <c r="Q165" s="1159"/>
      <c r="R165" s="1159"/>
      <c r="S165" s="1159"/>
      <c r="T165" s="1159"/>
      <c r="U165" s="1159"/>
      <c r="V165" s="1159"/>
      <c r="W165" s="1159"/>
      <c r="X165" s="1159"/>
      <c r="Y165" s="1159"/>
      <c r="Z165" s="1159"/>
      <c r="AA165" s="1159"/>
      <c r="AB165" s="1159"/>
      <c r="AC165" s="1159"/>
      <c r="AD165" s="1159"/>
      <c r="AE165" s="1159"/>
      <c r="AF165" s="1159"/>
    </row>
    <row r="166" spans="2:32">
      <c r="B166" s="1949" t="s">
        <v>61</v>
      </c>
      <c r="C166" s="928">
        <v>1.0612928989538939E-3</v>
      </c>
      <c r="D166" s="946">
        <v>1.0612928989538939E-3</v>
      </c>
      <c r="E166" s="946">
        <v>1.0612928989538939E-3</v>
      </c>
      <c r="F166" s="930">
        <v>1.0612928989538939E-3</v>
      </c>
      <c r="G166" s="1159"/>
      <c r="H166" s="2046"/>
      <c r="I166" s="2046"/>
      <c r="J166" s="2046"/>
      <c r="K166" s="2046"/>
      <c r="L166" s="1159"/>
      <c r="M166" s="1159"/>
      <c r="N166" s="1159"/>
      <c r="O166" s="1159"/>
      <c r="P166" s="1159"/>
      <c r="Q166" s="1159"/>
      <c r="R166" s="1159"/>
      <c r="S166" s="1159"/>
      <c r="T166" s="1159"/>
      <c r="U166" s="1159"/>
      <c r="V166" s="1159"/>
      <c r="W166" s="1159"/>
      <c r="X166" s="1159"/>
      <c r="Y166" s="1159"/>
      <c r="Z166" s="1159"/>
      <c r="AA166" s="1159"/>
      <c r="AB166" s="1159"/>
      <c r="AC166" s="1159"/>
      <c r="AD166" s="1159"/>
      <c r="AE166" s="1159"/>
      <c r="AF166" s="1159"/>
    </row>
    <row r="167" spans="2:32">
      <c r="B167" s="1949" t="s">
        <v>60</v>
      </c>
      <c r="C167" s="928">
        <v>1.0612928989538939E-3</v>
      </c>
      <c r="D167" s="946">
        <v>1.0612928989538939E-3</v>
      </c>
      <c r="E167" s="946">
        <v>1.0612928989538939E-3</v>
      </c>
      <c r="F167" s="930">
        <v>1.0612928989538939E-3</v>
      </c>
      <c r="G167" s="1159"/>
      <c r="H167" s="2046"/>
      <c r="I167" s="2046"/>
      <c r="J167" s="2046"/>
      <c r="K167" s="2046"/>
      <c r="L167" s="1159"/>
      <c r="M167" s="1159"/>
      <c r="N167" s="1159"/>
      <c r="O167" s="1159"/>
      <c r="P167" s="1159"/>
      <c r="Q167" s="1159"/>
      <c r="R167" s="1159"/>
      <c r="S167" s="1159"/>
      <c r="T167" s="1159"/>
      <c r="U167" s="1159"/>
      <c r="V167" s="1159"/>
      <c r="W167" s="1159"/>
      <c r="X167" s="1159"/>
      <c r="Y167" s="1159"/>
      <c r="Z167" s="1159"/>
      <c r="AA167" s="1159"/>
      <c r="AB167" s="1159"/>
      <c r="AC167" s="1159"/>
      <c r="AD167" s="1159"/>
      <c r="AE167" s="1159"/>
      <c r="AF167" s="1159"/>
    </row>
    <row r="168" spans="2:32">
      <c r="B168" s="1949" t="s">
        <v>52</v>
      </c>
      <c r="C168" s="928">
        <v>0</v>
      </c>
      <c r="D168" s="946">
        <v>0</v>
      </c>
      <c r="E168" s="946">
        <v>0</v>
      </c>
      <c r="F168" s="930">
        <v>0</v>
      </c>
      <c r="G168" s="1159"/>
      <c r="H168" s="2046"/>
      <c r="I168" s="2046"/>
      <c r="J168" s="2046"/>
      <c r="K168" s="2046"/>
      <c r="L168" s="1159"/>
      <c r="M168" s="1159"/>
      <c r="N168" s="1159"/>
      <c r="O168" s="1159"/>
      <c r="P168" s="1159"/>
      <c r="Q168" s="1159"/>
      <c r="R168" s="1159"/>
      <c r="S168" s="1159"/>
      <c r="T168" s="1159"/>
      <c r="U168" s="1159"/>
      <c r="V168" s="1159"/>
      <c r="W168" s="1159"/>
      <c r="X168" s="1159"/>
      <c r="Y168" s="1159"/>
      <c r="Z168" s="1159"/>
      <c r="AA168" s="1159"/>
      <c r="AB168" s="1159"/>
      <c r="AC168" s="1159"/>
      <c r="AD168" s="1159"/>
      <c r="AE168" s="1159"/>
      <c r="AF168" s="1159"/>
    </row>
    <row r="169" spans="2:32">
      <c r="B169" s="1949" t="s">
        <v>2424</v>
      </c>
      <c r="C169" s="928">
        <v>2.1648263112989878E-3</v>
      </c>
      <c r="D169" s="946">
        <v>2.1648263112989878E-3</v>
      </c>
      <c r="E169" s="946">
        <v>2.1648263112989878E-3</v>
      </c>
      <c r="F169" s="930">
        <v>2.1648263112989878E-3</v>
      </c>
      <c r="G169" s="1159"/>
      <c r="H169" s="2046"/>
      <c r="I169" s="2046"/>
      <c r="J169" s="2046"/>
      <c r="K169" s="2046"/>
      <c r="L169" s="1159"/>
      <c r="M169" s="1159"/>
      <c r="N169" s="1159"/>
      <c r="O169" s="1159"/>
      <c r="P169" s="1159"/>
      <c r="Q169" s="1159"/>
      <c r="R169" s="1159"/>
      <c r="S169" s="1159"/>
      <c r="T169" s="1159"/>
      <c r="U169" s="1159"/>
      <c r="V169" s="1159"/>
      <c r="W169" s="1159"/>
      <c r="X169" s="1159"/>
      <c r="Y169" s="1159"/>
      <c r="Z169" s="1159"/>
      <c r="AA169" s="1159"/>
      <c r="AB169" s="1159"/>
      <c r="AC169" s="1159"/>
      <c r="AD169" s="1159"/>
      <c r="AE169" s="1159"/>
      <c r="AF169" s="1159"/>
    </row>
    <row r="170" spans="2:32">
      <c r="B170" s="1949" t="s">
        <v>2425</v>
      </c>
      <c r="C170" s="928">
        <v>2.1120256695599879E-4</v>
      </c>
      <c r="D170" s="946">
        <v>2.1120256695599879E-4</v>
      </c>
      <c r="E170" s="946">
        <v>2.1120256695599879E-4</v>
      </c>
      <c r="F170" s="930">
        <v>2.1120256695599879E-4</v>
      </c>
      <c r="G170" s="1159"/>
      <c r="H170" s="2046"/>
      <c r="I170" s="2046"/>
      <c r="J170" s="2046"/>
      <c r="K170" s="2046"/>
      <c r="L170" s="1159"/>
      <c r="M170" s="1159"/>
      <c r="N170" s="1159"/>
      <c r="O170" s="1159"/>
      <c r="P170" s="1159"/>
      <c r="Q170" s="1159"/>
      <c r="R170" s="1159"/>
      <c r="S170" s="1159"/>
      <c r="T170" s="1159"/>
      <c r="U170" s="1159"/>
      <c r="V170" s="1159"/>
      <c r="W170" s="1159"/>
      <c r="X170" s="1159"/>
      <c r="Y170" s="1159"/>
      <c r="Z170" s="1159"/>
      <c r="AA170" s="1159"/>
      <c r="AB170" s="1159"/>
      <c r="AC170" s="1159"/>
      <c r="AD170" s="1159"/>
      <c r="AE170" s="1159"/>
      <c r="AF170" s="1159"/>
    </row>
    <row r="171" spans="2:32">
      <c r="B171" s="1950" t="s">
        <v>2426</v>
      </c>
      <c r="C171" s="1761">
        <v>0</v>
      </c>
      <c r="D171" s="2044">
        <v>0</v>
      </c>
      <c r="E171" s="2044">
        <v>0</v>
      </c>
      <c r="F171" s="2045">
        <v>0</v>
      </c>
      <c r="G171" s="1159"/>
      <c r="H171" s="2046"/>
      <c r="I171" s="2046"/>
      <c r="J171" s="2046"/>
      <c r="K171" s="2046"/>
      <c r="L171" s="1159"/>
      <c r="M171" s="1159"/>
      <c r="N171" s="1159"/>
      <c r="O171" s="1159"/>
      <c r="P171" s="1159"/>
      <c r="Q171" s="1159"/>
      <c r="R171" s="1159"/>
      <c r="S171" s="1159"/>
      <c r="T171" s="1159"/>
      <c r="U171" s="1159"/>
      <c r="V171" s="1159"/>
      <c r="W171" s="1159"/>
      <c r="X171" s="1159"/>
      <c r="Y171" s="1159"/>
      <c r="Z171" s="1159"/>
      <c r="AA171" s="1159"/>
      <c r="AB171" s="1159"/>
      <c r="AC171" s="1159"/>
      <c r="AD171" s="1159"/>
      <c r="AE171" s="1159"/>
      <c r="AF171" s="1159"/>
    </row>
    <row r="172" spans="2:32">
      <c r="B172" s="177" t="s">
        <v>184</v>
      </c>
      <c r="C172" s="556"/>
      <c r="D172" s="179"/>
      <c r="E172" s="179"/>
      <c r="F172" s="180"/>
      <c r="G172" s="1159"/>
      <c r="H172" s="2042"/>
      <c r="I172" s="2042"/>
      <c r="J172" s="2042"/>
      <c r="K172" s="2042"/>
      <c r="L172" s="1159"/>
      <c r="M172" s="1159"/>
      <c r="N172" s="1159"/>
      <c r="O172" s="1159"/>
      <c r="P172" s="1159"/>
      <c r="Q172" s="1159"/>
      <c r="R172" s="1159"/>
      <c r="S172" s="1159"/>
      <c r="T172" s="1159"/>
      <c r="U172" s="1159"/>
      <c r="V172" s="1159"/>
      <c r="W172" s="1159"/>
      <c r="X172" s="1159"/>
      <c r="Y172" s="1159"/>
      <c r="Z172" s="1159"/>
      <c r="AA172" s="1159"/>
      <c r="AB172" s="1159"/>
      <c r="AC172" s="1159"/>
      <c r="AD172" s="1159"/>
      <c r="AE172" s="1159"/>
      <c r="AF172" s="1159"/>
    </row>
    <row r="173" spans="2:32">
      <c r="B173" s="1949" t="s">
        <v>38</v>
      </c>
      <c r="C173" s="928">
        <v>0.77003442194125094</v>
      </c>
      <c r="D173" s="946">
        <v>0.77003442194125094</v>
      </c>
      <c r="E173" s="946">
        <v>0.77003442194125094</v>
      </c>
      <c r="F173" s="930">
        <v>0.77003442194125094</v>
      </c>
      <c r="G173" s="1159"/>
      <c r="H173" s="2046"/>
      <c r="I173" s="2046"/>
      <c r="J173" s="2046"/>
      <c r="K173" s="2046"/>
      <c r="L173" s="1159"/>
      <c r="M173" s="1159"/>
      <c r="N173" s="1159"/>
      <c r="O173" s="1159"/>
      <c r="P173" s="1159"/>
      <c r="Q173" s="1159"/>
      <c r="R173" s="1159"/>
      <c r="S173" s="1159"/>
      <c r="T173" s="1159"/>
      <c r="U173" s="1159"/>
      <c r="V173" s="1159"/>
      <c r="W173" s="1159"/>
      <c r="X173" s="1159"/>
      <c r="Y173" s="1159"/>
      <c r="Z173" s="1159"/>
      <c r="AA173" s="1159"/>
      <c r="AB173" s="1159"/>
      <c r="AC173" s="1159"/>
      <c r="AD173" s="1159"/>
      <c r="AE173" s="1159"/>
      <c r="AF173" s="1159"/>
    </row>
    <row r="174" spans="2:32">
      <c r="B174" s="1949" t="s">
        <v>1869</v>
      </c>
      <c r="C174" s="928">
        <v>8.9969654084179937E-2</v>
      </c>
      <c r="D174" s="946">
        <v>8.9969654084179937E-2</v>
      </c>
      <c r="E174" s="946">
        <v>8.9969654084179937E-2</v>
      </c>
      <c r="F174" s="930">
        <v>8.9969654084179937E-2</v>
      </c>
      <c r="G174" s="1159"/>
      <c r="H174" s="2046"/>
      <c r="I174" s="2046"/>
      <c r="J174" s="2046"/>
      <c r="K174" s="2046"/>
      <c r="L174" s="1159"/>
      <c r="M174" s="1159"/>
      <c r="N174" s="1159"/>
      <c r="O174" s="1159"/>
      <c r="P174" s="1159"/>
      <c r="Q174" s="1159"/>
      <c r="R174" s="1159"/>
      <c r="S174" s="1159"/>
      <c r="T174" s="1159"/>
      <c r="U174" s="1159"/>
      <c r="V174" s="1159"/>
      <c r="W174" s="1159"/>
      <c r="X174" s="1159"/>
      <c r="Y174" s="1159"/>
      <c r="Z174" s="1159"/>
      <c r="AA174" s="1159"/>
      <c r="AB174" s="1159"/>
      <c r="AC174" s="1159"/>
      <c r="AD174" s="1159"/>
      <c r="AE174" s="1159"/>
      <c r="AF174" s="1159"/>
    </row>
    <row r="175" spans="2:32">
      <c r="B175" s="1949" t="s">
        <v>2406</v>
      </c>
      <c r="C175" s="928">
        <v>4.9634479892310221E-2</v>
      </c>
      <c r="D175" s="946">
        <v>4.9634479892310221E-2</v>
      </c>
      <c r="E175" s="946">
        <v>4.9634479892310221E-2</v>
      </c>
      <c r="F175" s="930">
        <v>4.9634479892310221E-2</v>
      </c>
      <c r="G175" s="1159"/>
      <c r="H175" s="2046"/>
      <c r="I175" s="2046"/>
      <c r="J175" s="2046"/>
      <c r="K175" s="2046"/>
      <c r="L175" s="1159"/>
      <c r="M175" s="1159"/>
      <c r="N175" s="1159"/>
      <c r="O175" s="1159"/>
      <c r="P175" s="1159"/>
      <c r="Q175" s="1159"/>
      <c r="R175" s="1159"/>
      <c r="S175" s="1159"/>
      <c r="T175" s="1159"/>
      <c r="U175" s="1159"/>
      <c r="V175" s="1159"/>
      <c r="W175" s="1159"/>
      <c r="X175" s="1159"/>
      <c r="Y175" s="1159"/>
      <c r="Z175" s="1159"/>
      <c r="AA175" s="1159"/>
      <c r="AB175" s="1159"/>
      <c r="AC175" s="1159"/>
      <c r="AD175" s="1159"/>
      <c r="AE175" s="1159"/>
      <c r="AF175" s="1159"/>
    </row>
    <row r="176" spans="2:32">
      <c r="B176" s="1949" t="s">
        <v>2405</v>
      </c>
      <c r="C176" s="928">
        <v>0</v>
      </c>
      <c r="D176" s="946">
        <v>0</v>
      </c>
      <c r="E176" s="946">
        <v>0</v>
      </c>
      <c r="F176" s="930">
        <v>0</v>
      </c>
      <c r="G176" s="1159"/>
      <c r="H176" s="2046"/>
      <c r="I176" s="2046"/>
      <c r="J176" s="2046"/>
      <c r="K176" s="2046"/>
      <c r="L176" s="1159"/>
      <c r="M176" s="1159"/>
      <c r="N176" s="1159"/>
      <c r="O176" s="1159"/>
      <c r="P176" s="1159"/>
      <c r="Q176" s="1159"/>
      <c r="R176" s="1159"/>
      <c r="S176" s="1159"/>
      <c r="T176" s="1159"/>
      <c r="U176" s="1159"/>
      <c r="V176" s="1159"/>
      <c r="W176" s="1159"/>
      <c r="X176" s="1159"/>
      <c r="Y176" s="1159"/>
      <c r="Z176" s="1159"/>
      <c r="AA176" s="1159"/>
      <c r="AB176" s="1159"/>
      <c r="AC176" s="1159"/>
      <c r="AD176" s="1159"/>
      <c r="AE176" s="1159"/>
      <c r="AF176" s="1159"/>
    </row>
    <row r="177" spans="2:32">
      <c r="B177" s="1949" t="s">
        <v>61</v>
      </c>
      <c r="C177" s="928">
        <v>8.9327197984409912E-2</v>
      </c>
      <c r="D177" s="946">
        <v>8.9327197984409912E-2</v>
      </c>
      <c r="E177" s="946">
        <v>8.9327197984409912E-2</v>
      </c>
      <c r="F177" s="930">
        <v>8.9327197984409912E-2</v>
      </c>
      <c r="G177" s="1159"/>
      <c r="H177" s="2046"/>
      <c r="I177" s="2046"/>
      <c r="J177" s="2046"/>
      <c r="K177" s="2046"/>
      <c r="L177" s="1159"/>
      <c r="M177" s="1159"/>
      <c r="N177" s="1159"/>
      <c r="O177" s="1159"/>
      <c r="P177" s="1159"/>
      <c r="Q177" s="1159"/>
      <c r="R177" s="1159"/>
      <c r="S177" s="1159"/>
      <c r="T177" s="1159"/>
      <c r="U177" s="1159"/>
      <c r="V177" s="1159"/>
      <c r="W177" s="1159"/>
      <c r="X177" s="1159"/>
      <c r="Y177" s="1159"/>
      <c r="Z177" s="1159"/>
      <c r="AA177" s="1159"/>
      <c r="AB177" s="1159"/>
      <c r="AC177" s="1159"/>
      <c r="AD177" s="1159"/>
      <c r="AE177" s="1159"/>
      <c r="AF177" s="1159"/>
    </row>
    <row r="178" spans="2:32">
      <c r="B178" s="1949" t="s">
        <v>60</v>
      </c>
      <c r="C178" s="928">
        <v>5.8501998175955971E-4</v>
      </c>
      <c r="D178" s="946">
        <v>5.8501998175955971E-4</v>
      </c>
      <c r="E178" s="946">
        <v>5.8501998175955971E-4</v>
      </c>
      <c r="F178" s="930">
        <v>5.8501998175955971E-4</v>
      </c>
      <c r="G178" s="1159"/>
      <c r="H178" s="2046"/>
      <c r="I178" s="2046"/>
      <c r="J178" s="2046"/>
      <c r="K178" s="2046"/>
      <c r="L178" s="1159"/>
      <c r="M178" s="1159"/>
      <c r="N178" s="1159"/>
      <c r="O178" s="1159"/>
      <c r="P178" s="1159"/>
      <c r="Q178" s="1159"/>
      <c r="R178" s="1159"/>
      <c r="S178" s="1159"/>
      <c r="T178" s="1159"/>
      <c r="U178" s="1159"/>
      <c r="V178" s="1159"/>
      <c r="W178" s="1159"/>
      <c r="X178" s="1159"/>
      <c r="Y178" s="1159"/>
      <c r="Z178" s="1159"/>
      <c r="AA178" s="1159"/>
      <c r="AB178" s="1159"/>
      <c r="AC178" s="1159"/>
      <c r="AD178" s="1159"/>
      <c r="AE178" s="1159"/>
      <c r="AF178" s="1159"/>
    </row>
    <row r="179" spans="2:32">
      <c r="B179" s="1949" t="s">
        <v>52</v>
      </c>
      <c r="C179" s="928">
        <v>2.3176109175690248E-4</v>
      </c>
      <c r="D179" s="946">
        <v>2.3176109175690248E-4</v>
      </c>
      <c r="E179" s="946">
        <v>2.3176109175690248E-4</v>
      </c>
      <c r="F179" s="930">
        <v>2.3176109175690248E-4</v>
      </c>
      <c r="G179" s="1159"/>
      <c r="H179" s="2046"/>
      <c r="I179" s="2046"/>
      <c r="J179" s="2046"/>
      <c r="K179" s="2046"/>
      <c r="L179" s="1159"/>
      <c r="M179" s="1159"/>
      <c r="N179" s="1159"/>
      <c r="O179" s="1159"/>
      <c r="P179" s="1159"/>
      <c r="Q179" s="1159"/>
      <c r="R179" s="1159"/>
      <c r="S179" s="1159"/>
      <c r="T179" s="1159"/>
      <c r="U179" s="1159"/>
      <c r="V179" s="1159"/>
      <c r="W179" s="1159"/>
      <c r="X179" s="1159"/>
      <c r="Y179" s="1159"/>
      <c r="Z179" s="1159"/>
      <c r="AA179" s="1159"/>
      <c r="AB179" s="1159"/>
      <c r="AC179" s="1159"/>
      <c r="AD179" s="1159"/>
      <c r="AE179" s="1159"/>
      <c r="AF179" s="1159"/>
    </row>
    <row r="180" spans="2:32">
      <c r="B180" s="1949" t="s">
        <v>2424</v>
      </c>
      <c r="C180" s="928">
        <v>7.3049665176610107E-5</v>
      </c>
      <c r="D180" s="946">
        <v>7.3049665176610107E-5</v>
      </c>
      <c r="E180" s="946">
        <v>7.3049665176610107E-5</v>
      </c>
      <c r="F180" s="930">
        <v>7.3049665176610107E-5</v>
      </c>
      <c r="G180" s="1159"/>
      <c r="H180" s="2046"/>
      <c r="I180" s="2046"/>
      <c r="J180" s="2046"/>
      <c r="K180" s="2046"/>
      <c r="L180" s="1159"/>
      <c r="M180" s="1159"/>
      <c r="N180" s="1159"/>
      <c r="O180" s="1159"/>
      <c r="P180" s="1159"/>
      <c r="Q180" s="1159"/>
      <c r="R180" s="1159"/>
      <c r="S180" s="1159"/>
      <c r="T180" s="1159"/>
      <c r="U180" s="1159"/>
      <c r="V180" s="1159"/>
      <c r="W180" s="1159"/>
      <c r="X180" s="1159"/>
      <c r="Y180" s="1159"/>
      <c r="Z180" s="1159"/>
      <c r="AA180" s="1159"/>
      <c r="AB180" s="1159"/>
      <c r="AC180" s="1159"/>
      <c r="AD180" s="1159"/>
      <c r="AE180" s="1159"/>
      <c r="AF180" s="1159"/>
    </row>
    <row r="181" spans="2:32">
      <c r="B181" s="1949" t="s">
        <v>2425</v>
      </c>
      <c r="C181" s="928">
        <v>1.444153591558525E-4</v>
      </c>
      <c r="D181" s="946">
        <v>1.444153591558525E-4</v>
      </c>
      <c r="E181" s="946">
        <v>1.444153591558525E-4</v>
      </c>
      <c r="F181" s="930">
        <v>1.444153591558525E-4</v>
      </c>
      <c r="G181" s="1159"/>
      <c r="H181" s="2046"/>
      <c r="I181" s="2046"/>
      <c r="J181" s="2046"/>
      <c r="K181" s="2046"/>
      <c r="L181" s="1159"/>
      <c r="M181" s="1159"/>
      <c r="N181" s="1159"/>
      <c r="O181" s="1159"/>
      <c r="P181" s="1159"/>
      <c r="Q181" s="1159"/>
      <c r="R181" s="1159"/>
      <c r="S181" s="1159"/>
      <c r="T181" s="1159"/>
      <c r="U181" s="1159"/>
      <c r="V181" s="1159"/>
      <c r="W181" s="1159"/>
      <c r="X181" s="1159"/>
      <c r="Y181" s="1159"/>
      <c r="Z181" s="1159"/>
      <c r="AA181" s="1159"/>
      <c r="AB181" s="1159"/>
      <c r="AC181" s="1159"/>
      <c r="AD181" s="1159"/>
      <c r="AE181" s="1159"/>
      <c r="AF181" s="1159"/>
    </row>
    <row r="182" spans="2:32">
      <c r="B182" s="1949" t="s">
        <v>2426</v>
      </c>
      <c r="C182" s="1761">
        <v>0</v>
      </c>
      <c r="D182" s="2044">
        <v>0</v>
      </c>
      <c r="E182" s="2044">
        <v>0</v>
      </c>
      <c r="F182" s="2045">
        <v>0</v>
      </c>
      <c r="G182" s="1159"/>
      <c r="H182" s="2046"/>
      <c r="I182" s="2046"/>
      <c r="J182" s="2046"/>
      <c r="K182" s="2046"/>
      <c r="L182" s="1159"/>
      <c r="M182" s="1159"/>
      <c r="N182" s="1159"/>
      <c r="O182" s="1159"/>
      <c r="P182" s="1159"/>
      <c r="Q182" s="1159"/>
      <c r="R182" s="1159"/>
      <c r="S182" s="1159"/>
      <c r="T182" s="1159"/>
      <c r="U182" s="1159"/>
      <c r="V182" s="1159"/>
      <c r="W182" s="1159"/>
      <c r="X182" s="1159"/>
      <c r="Y182" s="1159"/>
      <c r="Z182" s="1159"/>
      <c r="AA182" s="1159"/>
      <c r="AB182" s="1159"/>
      <c r="AC182" s="1159"/>
      <c r="AD182" s="1159"/>
      <c r="AE182" s="1159"/>
      <c r="AF182" s="1159"/>
    </row>
    <row r="183" spans="2:32">
      <c r="B183" s="482" t="s">
        <v>185</v>
      </c>
      <c r="C183" s="556"/>
      <c r="D183" s="179"/>
      <c r="E183" s="179"/>
      <c r="F183" s="180"/>
      <c r="G183" s="1159"/>
      <c r="H183" s="2042"/>
      <c r="I183" s="2042"/>
      <c r="J183" s="2042"/>
      <c r="K183" s="2042"/>
      <c r="L183" s="1159"/>
      <c r="O183" s="1159"/>
      <c r="P183" s="1159"/>
      <c r="Q183" s="1159"/>
      <c r="R183" s="1159"/>
      <c r="S183" s="1159"/>
      <c r="T183" s="1159"/>
      <c r="U183" s="1159"/>
      <c r="V183" s="1159"/>
      <c r="Y183" s="1159"/>
      <c r="Z183" s="1159"/>
      <c r="AA183" s="1159"/>
      <c r="AB183" s="1159"/>
      <c r="AC183" s="1159"/>
      <c r="AD183" s="1159"/>
      <c r="AE183" s="1159"/>
      <c r="AF183" s="1159"/>
    </row>
    <row r="184" spans="2:32">
      <c r="B184" s="1947" t="s">
        <v>38</v>
      </c>
      <c r="C184" s="928">
        <v>0</v>
      </c>
      <c r="D184" s="946">
        <v>0.36099999999999999</v>
      </c>
      <c r="E184" s="946">
        <v>0.36099999999999999</v>
      </c>
      <c r="F184" s="930">
        <v>0.36099999999999999</v>
      </c>
      <c r="G184" s="1159"/>
      <c r="H184" s="2046"/>
      <c r="I184" s="2046"/>
      <c r="J184" s="2046"/>
      <c r="K184" s="2046"/>
      <c r="L184" s="1159"/>
      <c r="O184" s="1159"/>
      <c r="P184" s="1159"/>
      <c r="Q184" s="1159"/>
      <c r="R184" s="1159"/>
      <c r="S184" s="1159"/>
      <c r="T184" s="1159"/>
      <c r="U184" s="1159"/>
      <c r="V184" s="1159"/>
      <c r="Y184" s="1159"/>
      <c r="Z184" s="1159"/>
      <c r="AA184" s="1159"/>
      <c r="AB184" s="1159"/>
      <c r="AC184" s="1159"/>
      <c r="AD184" s="1159"/>
      <c r="AE184" s="1159"/>
      <c r="AF184" s="1159"/>
    </row>
    <row r="185" spans="2:32">
      <c r="B185" s="1947" t="s">
        <v>2406</v>
      </c>
      <c r="C185" s="928">
        <v>0</v>
      </c>
      <c r="D185" s="946">
        <v>0.36099999999999999</v>
      </c>
      <c r="E185" s="946">
        <v>0.36099999999999999</v>
      </c>
      <c r="F185" s="930">
        <v>0.36099999999999999</v>
      </c>
      <c r="G185" s="1159"/>
      <c r="H185" s="2046"/>
      <c r="I185" s="2046"/>
      <c r="J185" s="2046"/>
      <c r="K185" s="2046"/>
      <c r="L185" s="1159"/>
      <c r="O185" s="1159"/>
      <c r="P185" s="1159"/>
      <c r="Q185" s="1159"/>
      <c r="R185" s="1159"/>
      <c r="S185" s="1159"/>
      <c r="T185" s="1159"/>
      <c r="U185" s="1159"/>
      <c r="V185" s="1159"/>
      <c r="Y185" s="1159"/>
      <c r="Z185" s="1159"/>
      <c r="AA185" s="1159"/>
      <c r="AB185" s="1159"/>
      <c r="AC185" s="1159"/>
      <c r="AD185" s="1159"/>
      <c r="AE185" s="1159"/>
      <c r="AF185" s="1159"/>
    </row>
    <row r="186" spans="2:32">
      <c r="B186" s="1947" t="s">
        <v>284</v>
      </c>
      <c r="C186" s="928">
        <v>0</v>
      </c>
      <c r="D186" s="946">
        <v>0.27800000000000002</v>
      </c>
      <c r="E186" s="946">
        <v>0.27800000000000002</v>
      </c>
      <c r="F186" s="930">
        <v>0.27800000000000002</v>
      </c>
      <c r="G186" s="1159"/>
      <c r="H186" s="2046"/>
      <c r="I186" s="2046"/>
      <c r="J186" s="2046"/>
      <c r="K186" s="2046"/>
      <c r="L186" s="1159"/>
      <c r="O186" s="1159"/>
      <c r="P186" s="1159"/>
      <c r="Q186" s="1159"/>
      <c r="R186" s="1159"/>
      <c r="S186" s="1159"/>
      <c r="T186" s="1159"/>
      <c r="U186" s="1159"/>
      <c r="V186" s="1159"/>
      <c r="Y186" s="1159"/>
      <c r="Z186" s="1159"/>
      <c r="AA186" s="1159"/>
      <c r="AB186" s="1159"/>
      <c r="AC186" s="1159"/>
      <c r="AD186" s="1159"/>
      <c r="AE186" s="1159"/>
      <c r="AF186" s="1159"/>
    </row>
    <row r="187" spans="2:32">
      <c r="B187" s="1948" t="s">
        <v>294</v>
      </c>
      <c r="C187" s="1761">
        <v>0</v>
      </c>
      <c r="D187" s="2044">
        <v>0</v>
      </c>
      <c r="E187" s="2044">
        <v>0</v>
      </c>
      <c r="F187" s="2045">
        <v>0</v>
      </c>
      <c r="G187" s="1159"/>
      <c r="H187" s="2046"/>
      <c r="I187" s="2046"/>
      <c r="J187" s="2046"/>
      <c r="K187" s="2046"/>
      <c r="L187" s="1159"/>
      <c r="O187" s="1159"/>
      <c r="P187" s="1159"/>
      <c r="Q187" s="1159"/>
      <c r="R187" s="1159"/>
      <c r="S187" s="1159"/>
      <c r="T187" s="1159"/>
      <c r="U187" s="1159"/>
      <c r="V187" s="1159"/>
      <c r="Y187" s="1159"/>
      <c r="Z187" s="1159"/>
      <c r="AA187" s="1159"/>
      <c r="AB187" s="1159"/>
      <c r="AC187" s="1159"/>
      <c r="AD187" s="1159"/>
      <c r="AE187" s="1159"/>
      <c r="AF187" s="1159"/>
    </row>
    <row r="188" spans="2:32">
      <c r="B188" s="487" t="s">
        <v>186</v>
      </c>
      <c r="C188" s="556"/>
      <c r="D188" s="179"/>
      <c r="E188" s="179"/>
      <c r="F188" s="180"/>
      <c r="G188" s="1159"/>
      <c r="H188" s="2042"/>
      <c r="I188" s="2042"/>
      <c r="J188" s="2042"/>
      <c r="K188" s="2042"/>
      <c r="L188" s="1159"/>
      <c r="O188" s="1159"/>
      <c r="P188" s="1159"/>
      <c r="Q188" s="1159"/>
      <c r="R188" s="1159"/>
      <c r="S188" s="1159"/>
      <c r="T188" s="1159"/>
      <c r="U188" s="1159"/>
      <c r="V188" s="1159"/>
      <c r="Y188" s="1159"/>
      <c r="Z188" s="1159"/>
      <c r="AA188" s="1159"/>
      <c r="AB188" s="1159"/>
      <c r="AC188" s="1159"/>
      <c r="AD188" s="1159"/>
      <c r="AE188" s="1159"/>
      <c r="AF188" s="1159"/>
    </row>
    <row r="189" spans="2:32">
      <c r="B189" s="59" t="s">
        <v>251</v>
      </c>
      <c r="C189" s="928">
        <v>0</v>
      </c>
      <c r="D189" s="946">
        <v>0.36099999999999999</v>
      </c>
      <c r="E189" s="946">
        <v>0</v>
      </c>
      <c r="F189" s="930">
        <v>0</v>
      </c>
      <c r="G189" s="1159"/>
      <c r="H189" s="2046"/>
      <c r="I189" s="2046"/>
      <c r="J189" s="2046"/>
      <c r="K189" s="2046"/>
      <c r="L189" s="1159"/>
      <c r="O189" s="1159"/>
      <c r="P189" s="1159"/>
      <c r="Q189" s="1159"/>
      <c r="R189" s="1159"/>
      <c r="S189" s="1159"/>
      <c r="T189" s="1159"/>
      <c r="U189" s="1159"/>
      <c r="V189" s="1159"/>
      <c r="Y189" s="1159"/>
      <c r="Z189" s="1159"/>
      <c r="AA189" s="1159"/>
      <c r="AB189" s="1159"/>
      <c r="AC189" s="1159"/>
      <c r="AD189" s="1159"/>
      <c r="AE189" s="1159"/>
      <c r="AF189" s="1159"/>
    </row>
    <row r="190" spans="2:32">
      <c r="B190" s="59" t="s">
        <v>253</v>
      </c>
      <c r="C190" s="928">
        <v>0</v>
      </c>
      <c r="D190" s="946">
        <v>0.36099999999999999</v>
      </c>
      <c r="E190" s="946">
        <v>0</v>
      </c>
      <c r="F190" s="930">
        <v>0</v>
      </c>
      <c r="G190" s="1159"/>
      <c r="H190" s="2046"/>
      <c r="I190" s="2046"/>
      <c r="J190" s="2046"/>
      <c r="K190" s="2046"/>
      <c r="L190" s="1159"/>
      <c r="O190" s="1159"/>
      <c r="P190" s="1159"/>
      <c r="Q190" s="1159"/>
      <c r="R190" s="1159"/>
      <c r="S190" s="1159"/>
      <c r="T190" s="1159"/>
      <c r="U190" s="1159"/>
      <c r="V190" s="1159"/>
      <c r="Y190" s="1159"/>
      <c r="Z190" s="1159"/>
      <c r="AA190" s="1159"/>
      <c r="AB190" s="1159"/>
      <c r="AC190" s="1159"/>
      <c r="AD190" s="1159"/>
      <c r="AE190" s="1159"/>
      <c r="AF190" s="1159"/>
    </row>
    <row r="191" spans="2:32">
      <c r="B191" s="59" t="s">
        <v>254</v>
      </c>
      <c r="C191" s="928">
        <v>0</v>
      </c>
      <c r="D191" s="946">
        <v>0.27800000000000002</v>
      </c>
      <c r="E191" s="946">
        <v>0</v>
      </c>
      <c r="F191" s="930">
        <v>0</v>
      </c>
      <c r="G191" s="1159"/>
      <c r="H191" s="2046"/>
      <c r="I191" s="2046"/>
      <c r="J191" s="2046"/>
      <c r="K191" s="2046"/>
      <c r="L191" s="1159"/>
      <c r="O191" s="1159"/>
      <c r="P191" s="1159"/>
      <c r="Q191" s="1159"/>
      <c r="R191" s="1159"/>
      <c r="S191" s="1159"/>
      <c r="T191" s="1159"/>
      <c r="U191" s="1159"/>
      <c r="V191" s="1159"/>
      <c r="Y191" s="1159"/>
      <c r="Z191" s="1159"/>
      <c r="AA191" s="1159"/>
      <c r="AB191" s="1159"/>
      <c r="AC191" s="1159"/>
      <c r="AD191" s="1159"/>
      <c r="AE191" s="1159"/>
      <c r="AF191" s="1159"/>
    </row>
    <row r="192" spans="2:32">
      <c r="B192" s="59" t="s">
        <v>262</v>
      </c>
      <c r="C192" s="1761">
        <v>0</v>
      </c>
      <c r="D192" s="2044">
        <v>0</v>
      </c>
      <c r="E192" s="2044">
        <v>0</v>
      </c>
      <c r="F192" s="2045">
        <v>0</v>
      </c>
      <c r="G192" s="1159"/>
      <c r="H192" s="2046"/>
      <c r="I192" s="2046"/>
      <c r="J192" s="2046"/>
      <c r="K192" s="2046"/>
      <c r="L192" s="1159"/>
      <c r="O192" s="1159"/>
      <c r="P192" s="1159"/>
      <c r="Q192" s="1159"/>
      <c r="R192" s="1159"/>
      <c r="S192" s="1159"/>
      <c r="T192" s="1159"/>
      <c r="U192" s="1159"/>
      <c r="V192" s="1159"/>
      <c r="Y192" s="1159"/>
      <c r="Z192" s="1159"/>
      <c r="AA192" s="1159"/>
      <c r="AB192" s="1159"/>
      <c r="AC192" s="1159"/>
      <c r="AD192" s="1159"/>
      <c r="AE192" s="1159"/>
      <c r="AF192" s="1159"/>
    </row>
    <row r="193" spans="2:32">
      <c r="B193" s="178" t="s">
        <v>187</v>
      </c>
      <c r="C193" s="556"/>
      <c r="D193" s="179"/>
      <c r="E193" s="179"/>
      <c r="F193" s="180"/>
      <c r="G193" s="1159"/>
      <c r="H193" s="2042"/>
      <c r="I193" s="2042"/>
      <c r="J193" s="2042"/>
      <c r="K193" s="2042"/>
      <c r="L193" s="1159"/>
      <c r="O193" s="1159"/>
      <c r="P193" s="1159"/>
      <c r="Q193" s="1159"/>
      <c r="R193" s="1159"/>
      <c r="S193" s="1159"/>
      <c r="T193" s="1159"/>
      <c r="U193" s="1159"/>
      <c r="V193" s="1159"/>
      <c r="Y193" s="1159"/>
      <c r="Z193" s="1159"/>
      <c r="AA193" s="1159"/>
      <c r="AB193" s="1159"/>
      <c r="AC193" s="1159"/>
      <c r="AD193" s="1159"/>
      <c r="AE193" s="1159"/>
      <c r="AF193" s="1159"/>
    </row>
    <row r="194" spans="2:32">
      <c r="B194" s="173" t="s">
        <v>251</v>
      </c>
      <c r="C194" s="928">
        <v>0</v>
      </c>
      <c r="D194" s="946">
        <v>0.05</v>
      </c>
      <c r="E194" s="946">
        <v>0.05</v>
      </c>
      <c r="F194" s="930">
        <v>0.05</v>
      </c>
      <c r="G194" s="1159"/>
      <c r="H194" s="2046"/>
      <c r="I194" s="2046"/>
      <c r="J194" s="2046"/>
      <c r="K194" s="2046"/>
      <c r="L194" s="1159"/>
      <c r="O194" s="1159"/>
      <c r="P194" s="1159"/>
      <c r="Q194" s="1159"/>
      <c r="R194" s="1159"/>
      <c r="S194" s="1159"/>
      <c r="T194" s="1159"/>
      <c r="U194" s="1159"/>
      <c r="V194" s="1159"/>
      <c r="Y194" s="1159"/>
      <c r="Z194" s="1159"/>
      <c r="AA194" s="1159"/>
      <c r="AB194" s="1159"/>
      <c r="AC194" s="1159"/>
      <c r="AD194" s="1159"/>
      <c r="AE194" s="1159"/>
      <c r="AF194" s="1159"/>
    </row>
    <row r="195" spans="2:32">
      <c r="B195" s="173" t="s">
        <v>253</v>
      </c>
      <c r="C195" s="928">
        <v>0</v>
      </c>
      <c r="D195" s="946">
        <v>0.46899999999999997</v>
      </c>
      <c r="E195" s="946">
        <v>0.46899999999999997</v>
      </c>
      <c r="F195" s="930">
        <v>0.46899999999999997</v>
      </c>
      <c r="G195" s="1159"/>
      <c r="H195" s="2046"/>
      <c r="I195" s="2046"/>
      <c r="J195" s="2046"/>
      <c r="K195" s="2046"/>
      <c r="L195" s="1159"/>
      <c r="O195" s="1159"/>
      <c r="P195" s="1159"/>
      <c r="Q195" s="1159"/>
      <c r="R195" s="1159"/>
      <c r="S195" s="1159"/>
      <c r="T195" s="1159"/>
      <c r="U195" s="1159"/>
      <c r="V195" s="1159"/>
      <c r="Y195" s="1159"/>
      <c r="Z195" s="1159"/>
      <c r="AA195" s="1159"/>
      <c r="AB195" s="1159"/>
      <c r="AC195" s="1159"/>
      <c r="AD195" s="1159"/>
      <c r="AE195" s="1159"/>
      <c r="AF195" s="1159"/>
    </row>
    <row r="196" spans="2:32">
      <c r="B196" s="173" t="s">
        <v>254</v>
      </c>
      <c r="C196" s="928">
        <v>0</v>
      </c>
      <c r="D196" s="946">
        <v>8.2000000000000003E-2</v>
      </c>
      <c r="E196" s="946">
        <v>8.2000000000000003E-2</v>
      </c>
      <c r="F196" s="930">
        <v>8.2000000000000003E-2</v>
      </c>
      <c r="G196" s="1159"/>
      <c r="H196" s="2046"/>
      <c r="I196" s="2046"/>
      <c r="J196" s="2046"/>
      <c r="K196" s="2046"/>
      <c r="L196" s="1159"/>
      <c r="O196" s="1159"/>
      <c r="P196" s="1159"/>
      <c r="Q196" s="1159"/>
      <c r="R196" s="1159"/>
      <c r="S196" s="1159"/>
      <c r="T196" s="1159"/>
      <c r="U196" s="1159"/>
      <c r="V196" s="1159"/>
      <c r="Y196" s="1159"/>
      <c r="Z196" s="1159"/>
      <c r="AA196" s="1159"/>
      <c r="AB196" s="1159"/>
      <c r="AC196" s="1159"/>
      <c r="AD196" s="1159"/>
      <c r="AE196" s="1159"/>
      <c r="AF196" s="1159"/>
    </row>
    <row r="197" spans="2:32">
      <c r="B197" s="173" t="s">
        <v>261</v>
      </c>
      <c r="C197" s="928">
        <v>0</v>
      </c>
      <c r="D197" s="946">
        <v>3.6999999999999998E-2</v>
      </c>
      <c r="E197" s="946">
        <v>3.6999999999999998E-2</v>
      </c>
      <c r="F197" s="930">
        <v>3.6999999999999998E-2</v>
      </c>
      <c r="G197" s="1159"/>
      <c r="H197" s="2046"/>
      <c r="I197" s="2046"/>
      <c r="J197" s="2046"/>
      <c r="K197" s="2046"/>
      <c r="L197" s="1159"/>
      <c r="O197" s="1159"/>
      <c r="P197" s="1159"/>
      <c r="Q197" s="1159"/>
      <c r="R197" s="1159"/>
      <c r="S197" s="1159"/>
      <c r="T197" s="1159"/>
      <c r="U197" s="1159"/>
      <c r="V197" s="1159"/>
      <c r="Y197" s="1159"/>
      <c r="Z197" s="1159"/>
      <c r="AA197" s="1159"/>
      <c r="AB197" s="1159"/>
      <c r="AC197" s="1159"/>
      <c r="AD197" s="1159"/>
      <c r="AE197" s="1159"/>
      <c r="AF197" s="1159"/>
    </row>
    <row r="198" spans="2:32">
      <c r="B198" s="173" t="s">
        <v>260</v>
      </c>
      <c r="C198" s="928">
        <v>0</v>
      </c>
      <c r="D198" s="946">
        <v>0.23799999999999999</v>
      </c>
      <c r="E198" s="946">
        <v>0.23799999999999999</v>
      </c>
      <c r="F198" s="930">
        <v>0.23799999999999999</v>
      </c>
      <c r="G198" s="1159"/>
      <c r="H198" s="2046"/>
      <c r="I198" s="2046"/>
      <c r="J198" s="2046"/>
      <c r="K198" s="2046"/>
      <c r="L198" s="1159"/>
      <c r="O198" s="1159"/>
      <c r="P198" s="1159"/>
      <c r="Q198" s="1159"/>
      <c r="R198" s="1159"/>
      <c r="S198" s="1159"/>
      <c r="T198" s="1159"/>
      <c r="U198" s="1159"/>
      <c r="V198" s="1159"/>
      <c r="Y198" s="1159"/>
      <c r="Z198" s="1159"/>
      <c r="AA198" s="1159"/>
      <c r="AB198" s="1159"/>
      <c r="AC198" s="1159"/>
      <c r="AD198" s="1159"/>
      <c r="AE198" s="1159"/>
      <c r="AF198" s="1159"/>
    </row>
    <row r="199" spans="2:32">
      <c r="B199" s="174" t="s">
        <v>262</v>
      </c>
      <c r="C199" s="928">
        <v>0</v>
      </c>
      <c r="D199" s="946">
        <v>0.124</v>
      </c>
      <c r="E199" s="946">
        <v>0.124</v>
      </c>
      <c r="F199" s="930">
        <v>0.124</v>
      </c>
      <c r="G199" s="1159"/>
      <c r="H199" s="2046"/>
      <c r="I199" s="2046"/>
      <c r="J199" s="2046"/>
      <c r="K199" s="2046"/>
      <c r="L199" s="1159"/>
      <c r="O199" s="1159"/>
      <c r="P199" s="1159"/>
      <c r="Q199" s="1159"/>
      <c r="R199" s="1159"/>
      <c r="S199" s="1159"/>
      <c r="T199" s="1159"/>
      <c r="U199" s="1159"/>
      <c r="V199" s="1159"/>
      <c r="Y199" s="1159"/>
      <c r="Z199" s="1159"/>
      <c r="AA199" s="1159"/>
      <c r="AB199" s="1159"/>
      <c r="AC199" s="1159"/>
      <c r="AD199" s="1159"/>
      <c r="AE199" s="1159"/>
      <c r="AF199" s="1159"/>
    </row>
    <row r="200" spans="2:32">
      <c r="B200" s="178" t="s">
        <v>2427</v>
      </c>
      <c r="C200" s="556"/>
      <c r="D200" s="179"/>
      <c r="E200" s="179"/>
      <c r="F200" s="180"/>
      <c r="G200" s="1159"/>
      <c r="H200" s="1159"/>
      <c r="I200" s="1159"/>
      <c r="J200" s="1159"/>
      <c r="K200" s="1159"/>
      <c r="L200" s="1159"/>
      <c r="O200" s="1159"/>
      <c r="P200" s="1159"/>
      <c r="Q200" s="1159"/>
      <c r="R200" s="1159"/>
      <c r="S200" s="1159"/>
      <c r="T200" s="1159"/>
      <c r="U200" s="1159"/>
      <c r="V200" s="1159"/>
      <c r="Y200" s="1159"/>
      <c r="Z200" s="1159"/>
      <c r="AA200" s="1159"/>
      <c r="AB200" s="1159"/>
      <c r="AC200" s="1159"/>
      <c r="AD200" s="1159"/>
      <c r="AE200" s="1159"/>
      <c r="AF200" s="1159"/>
    </row>
    <row r="201" spans="2:32">
      <c r="B201" s="1949" t="s">
        <v>1868</v>
      </c>
      <c r="C201" s="928">
        <v>8.2481027476002803E-4</v>
      </c>
      <c r="D201" s="946">
        <v>8.2481027476002803E-4</v>
      </c>
      <c r="E201" s="946">
        <v>8.2481027476002803E-4</v>
      </c>
      <c r="F201" s="930">
        <v>8.2481027476002803E-4</v>
      </c>
      <c r="G201" s="1159"/>
      <c r="L201" s="1159"/>
      <c r="M201" s="2046"/>
      <c r="N201" s="2046"/>
      <c r="O201" s="2046"/>
      <c r="P201" s="2046"/>
      <c r="Q201" s="1159"/>
      <c r="R201" s="1159"/>
      <c r="S201" s="1159"/>
      <c r="T201" s="1159"/>
      <c r="U201" s="1159"/>
      <c r="V201" s="1159"/>
      <c r="Y201" s="1159"/>
      <c r="Z201" s="1159"/>
      <c r="AA201" s="1159"/>
      <c r="AB201" s="1159"/>
      <c r="AC201" s="1159"/>
      <c r="AD201" s="1159"/>
      <c r="AE201" s="1159"/>
      <c r="AF201" s="1159"/>
    </row>
    <row r="202" spans="2:32">
      <c r="B202" s="1949" t="s">
        <v>38</v>
      </c>
      <c r="C202" s="928">
        <v>0.10887164837094492</v>
      </c>
      <c r="D202" s="946">
        <v>0.10887164837094492</v>
      </c>
      <c r="E202" s="946">
        <v>0.10887164837094492</v>
      </c>
      <c r="F202" s="930">
        <v>0.10887164837094492</v>
      </c>
      <c r="G202" s="1159"/>
      <c r="H202" s="1159"/>
      <c r="I202" s="1159"/>
      <c r="J202" s="1159"/>
      <c r="K202" s="1159"/>
      <c r="L202" s="1159"/>
      <c r="M202" s="2046"/>
      <c r="N202" s="2046"/>
      <c r="O202" s="2046"/>
      <c r="P202" s="2046"/>
      <c r="Q202" s="1159"/>
      <c r="R202" s="1159"/>
      <c r="S202" s="1159"/>
      <c r="T202" s="1159"/>
      <c r="U202" s="1159"/>
      <c r="V202" s="1159"/>
      <c r="Y202" s="1159"/>
      <c r="Z202" s="1159"/>
      <c r="AA202" s="1159"/>
      <c r="AB202" s="1159"/>
      <c r="AC202" s="1159"/>
      <c r="AD202" s="1159"/>
      <c r="AE202" s="1159"/>
      <c r="AF202" s="1159"/>
    </row>
    <row r="203" spans="2:32">
      <c r="B203" s="1949" t="s">
        <v>1869</v>
      </c>
      <c r="C203" s="928">
        <v>0</v>
      </c>
      <c r="D203" s="946">
        <v>0</v>
      </c>
      <c r="E203" s="946">
        <v>0</v>
      </c>
      <c r="F203" s="930">
        <v>0</v>
      </c>
      <c r="G203" s="1159"/>
      <c r="H203" s="1159"/>
      <c r="I203" s="1159"/>
      <c r="J203" s="1159"/>
      <c r="K203" s="1159"/>
      <c r="L203" s="1159"/>
      <c r="M203" s="2046"/>
      <c r="N203" s="2046"/>
      <c r="O203" s="2046"/>
      <c r="P203" s="2046"/>
      <c r="Q203" s="1159"/>
      <c r="R203" s="1159"/>
      <c r="S203" s="1159"/>
      <c r="T203" s="1159"/>
      <c r="U203" s="1159"/>
      <c r="V203" s="1159"/>
      <c r="Y203" s="1159"/>
      <c r="Z203" s="1159"/>
      <c r="AA203" s="1159"/>
      <c r="AB203" s="1159"/>
      <c r="AC203" s="1159"/>
      <c r="AD203" s="1159"/>
      <c r="AE203" s="1159"/>
      <c r="AF203" s="1159"/>
    </row>
    <row r="204" spans="2:32">
      <c r="B204" s="1949" t="s">
        <v>2406</v>
      </c>
      <c r="C204" s="928">
        <v>3.5558487400765659E-3</v>
      </c>
      <c r="D204" s="946">
        <v>3.5558487400765659E-3</v>
      </c>
      <c r="E204" s="946">
        <v>3.5558487400765659E-3</v>
      </c>
      <c r="F204" s="930">
        <v>3.5558487400765659E-3</v>
      </c>
      <c r="G204" s="1159"/>
      <c r="H204" s="1159"/>
      <c r="I204" s="1159"/>
      <c r="J204" s="1159"/>
      <c r="K204" s="1159"/>
      <c r="L204" s="1159"/>
      <c r="M204" s="2046"/>
      <c r="N204" s="2046"/>
      <c r="O204" s="2046"/>
      <c r="P204" s="2046"/>
      <c r="Q204" s="1159"/>
      <c r="R204" s="1159"/>
      <c r="S204" s="1159"/>
      <c r="T204" s="1159"/>
      <c r="U204" s="1159"/>
      <c r="V204" s="1159"/>
      <c r="Y204" s="1159"/>
      <c r="Z204" s="1159"/>
      <c r="AA204" s="1159"/>
      <c r="AB204" s="1159"/>
      <c r="AC204" s="1159"/>
      <c r="AD204" s="1159"/>
      <c r="AE204" s="1159"/>
      <c r="AF204" s="1159"/>
    </row>
    <row r="205" spans="2:32">
      <c r="B205" s="1949" t="s">
        <v>2405</v>
      </c>
      <c r="C205" s="928">
        <v>0.46191348647856584</v>
      </c>
      <c r="D205" s="946">
        <v>0.46191348647856584</v>
      </c>
      <c r="E205" s="946">
        <v>0.46191348647856584</v>
      </c>
      <c r="F205" s="930">
        <v>0.46191348647856584</v>
      </c>
      <c r="G205" s="1159"/>
      <c r="H205" s="1159"/>
      <c r="I205" s="1159"/>
      <c r="J205" s="1159"/>
      <c r="K205" s="1159"/>
      <c r="L205" s="1159"/>
      <c r="M205" s="2046"/>
      <c r="N205" s="2046"/>
      <c r="O205" s="2046"/>
      <c r="P205" s="2046"/>
      <c r="Q205" s="1159"/>
      <c r="R205" s="1159"/>
      <c r="S205" s="1159"/>
      <c r="T205" s="1159"/>
      <c r="U205" s="1159"/>
      <c r="V205" s="1159"/>
      <c r="Y205" s="1159"/>
      <c r="Z205" s="1159"/>
      <c r="AA205" s="1159"/>
      <c r="AB205" s="1159"/>
      <c r="AC205" s="1159"/>
      <c r="AD205" s="1159"/>
      <c r="AE205" s="1159"/>
      <c r="AF205" s="1159"/>
    </row>
    <row r="206" spans="2:32">
      <c r="B206" s="1949" t="s">
        <v>2428</v>
      </c>
      <c r="C206" s="928">
        <v>0.40788129571405934</v>
      </c>
      <c r="D206" s="946">
        <v>0.40788129571405934</v>
      </c>
      <c r="E206" s="946">
        <v>0.40788129571405934</v>
      </c>
      <c r="F206" s="930">
        <v>0.40788129571405934</v>
      </c>
      <c r="G206" s="1159"/>
      <c r="H206" s="1159"/>
      <c r="I206" s="1159"/>
      <c r="J206" s="1159"/>
      <c r="K206" s="1159"/>
      <c r="L206" s="1159"/>
      <c r="M206" s="2046"/>
      <c r="N206" s="2046"/>
      <c r="O206" s="2046"/>
      <c r="P206" s="2046"/>
      <c r="Q206" s="1159"/>
      <c r="R206" s="1159"/>
      <c r="S206" s="1159"/>
      <c r="T206" s="1159"/>
      <c r="U206" s="1159"/>
      <c r="V206" s="1159"/>
      <c r="Y206" s="1159"/>
      <c r="Z206" s="1159"/>
      <c r="AA206" s="1159"/>
      <c r="AB206" s="1159"/>
      <c r="AC206" s="1159"/>
      <c r="AD206" s="1159"/>
      <c r="AE206" s="1159"/>
      <c r="AF206" s="1159"/>
    </row>
    <row r="207" spans="2:32">
      <c r="B207" s="1949" t="s">
        <v>61</v>
      </c>
      <c r="C207" s="928">
        <v>1.3197312634769325E-2</v>
      </c>
      <c r="D207" s="946">
        <v>1.3197312634769325E-2</v>
      </c>
      <c r="E207" s="946">
        <v>1.3197312634769325E-2</v>
      </c>
      <c r="F207" s="930">
        <v>1.3197312634769325E-2</v>
      </c>
      <c r="G207" s="1159"/>
      <c r="H207" s="1159"/>
      <c r="I207" s="1159"/>
      <c r="J207" s="1159"/>
      <c r="K207" s="1159"/>
      <c r="L207" s="1159"/>
      <c r="M207" s="2046"/>
      <c r="N207" s="2046"/>
      <c r="O207" s="2046"/>
      <c r="P207" s="2046"/>
      <c r="Q207" s="1159"/>
      <c r="R207" s="1159"/>
      <c r="S207" s="1159"/>
      <c r="T207" s="1159"/>
      <c r="U207" s="1159"/>
      <c r="V207" s="1159"/>
      <c r="Y207" s="1159"/>
      <c r="Z207" s="1159"/>
      <c r="AA207" s="1159"/>
      <c r="AB207" s="1159"/>
      <c r="AC207" s="1159"/>
      <c r="AD207" s="1159"/>
      <c r="AE207" s="1159"/>
      <c r="AF207" s="1159"/>
    </row>
    <row r="208" spans="2:32">
      <c r="B208" s="1949" t="s">
        <v>60</v>
      </c>
      <c r="C208" s="928">
        <v>1.5359129571488697E-3</v>
      </c>
      <c r="D208" s="946">
        <v>1.5359129571488697E-3</v>
      </c>
      <c r="E208" s="946">
        <v>1.5359129571488697E-3</v>
      </c>
      <c r="F208" s="930">
        <v>1.5359129571488697E-3</v>
      </c>
      <c r="G208" s="1159"/>
      <c r="H208" s="1159"/>
      <c r="I208" s="1159"/>
      <c r="J208" s="1159"/>
      <c r="K208" s="1159"/>
      <c r="L208" s="1159"/>
      <c r="M208" s="2046"/>
      <c r="N208" s="2046"/>
      <c r="O208" s="2046"/>
      <c r="P208" s="2046"/>
      <c r="Q208" s="1159"/>
      <c r="R208" s="1159"/>
      <c r="S208" s="1159"/>
      <c r="T208" s="1159"/>
      <c r="U208" s="1159"/>
      <c r="V208" s="1159"/>
      <c r="Y208" s="1159"/>
      <c r="Z208" s="1159"/>
      <c r="AA208" s="1159"/>
      <c r="AB208" s="1159"/>
      <c r="AC208" s="1159"/>
      <c r="AD208" s="1159"/>
      <c r="AE208" s="1159"/>
      <c r="AF208" s="1159"/>
    </row>
    <row r="209" spans="2:32">
      <c r="B209" s="1949" t="s">
        <v>52</v>
      </c>
      <c r="C209" s="928">
        <v>2.0826746784788743E-3</v>
      </c>
      <c r="D209" s="946">
        <v>2.0826746784788743E-3</v>
      </c>
      <c r="E209" s="946">
        <v>2.0826746784788743E-3</v>
      </c>
      <c r="F209" s="930">
        <v>2.0826746784788743E-3</v>
      </c>
      <c r="G209" s="1159"/>
      <c r="H209" s="1159"/>
      <c r="I209" s="1159"/>
      <c r="J209" s="1159"/>
      <c r="K209" s="1159"/>
      <c r="L209" s="1159"/>
      <c r="M209" s="2046"/>
      <c r="N209" s="2046"/>
      <c r="O209" s="2046"/>
      <c r="P209" s="2046"/>
      <c r="Q209" s="1159"/>
      <c r="R209" s="1159"/>
      <c r="S209" s="1159"/>
      <c r="T209" s="1159"/>
      <c r="U209" s="1159"/>
      <c r="V209" s="1159"/>
      <c r="Y209" s="1159"/>
      <c r="Z209" s="1159"/>
      <c r="AA209" s="1159"/>
      <c r="AB209" s="1159"/>
      <c r="AC209" s="1159"/>
      <c r="AD209" s="1159"/>
      <c r="AE209" s="1159"/>
      <c r="AF209" s="1159"/>
    </row>
    <row r="210" spans="2:32">
      <c r="B210" s="1949" t="s">
        <v>2424</v>
      </c>
      <c r="C210" s="928">
        <v>1.3701015119624912E-4</v>
      </c>
      <c r="D210" s="946">
        <v>1.3701015119624912E-4</v>
      </c>
      <c r="E210" s="946">
        <v>1.3701015119624912E-4</v>
      </c>
      <c r="F210" s="930">
        <v>1.3701015119624912E-4</v>
      </c>
      <c r="G210" s="1159"/>
      <c r="H210" s="1159"/>
      <c r="I210" s="1159"/>
      <c r="J210" s="1159"/>
      <c r="K210" s="1159"/>
      <c r="L210" s="1159"/>
      <c r="M210" s="2046"/>
      <c r="N210" s="2046"/>
      <c r="O210" s="2046"/>
      <c r="P210" s="2046"/>
      <c r="Q210" s="1159"/>
      <c r="R210" s="1159"/>
      <c r="S210" s="1159"/>
      <c r="T210" s="1159"/>
      <c r="U210" s="1159"/>
      <c r="V210" s="1159"/>
      <c r="Y210" s="1159"/>
      <c r="Z210" s="1159"/>
      <c r="AA210" s="1159"/>
      <c r="AB210" s="1159"/>
      <c r="AC210" s="1159"/>
      <c r="AD210" s="1159"/>
      <c r="AE210" s="1159"/>
      <c r="AF210" s="1159"/>
    </row>
    <row r="211" spans="2:32">
      <c r="B211" s="1949" t="s">
        <v>2407</v>
      </c>
      <c r="C211" s="928">
        <v>0</v>
      </c>
      <c r="D211" s="946">
        <v>0</v>
      </c>
      <c r="E211" s="946">
        <v>0</v>
      </c>
      <c r="F211" s="930">
        <v>0</v>
      </c>
      <c r="G211" s="1159"/>
      <c r="H211" s="1159"/>
      <c r="I211" s="1159"/>
      <c r="J211" s="1159"/>
      <c r="K211" s="1159"/>
      <c r="L211" s="1159"/>
      <c r="M211" s="2046"/>
      <c r="N211" s="2046"/>
      <c r="O211" s="2046"/>
      <c r="P211" s="2046"/>
      <c r="Q211" s="1159"/>
      <c r="R211" s="1159"/>
      <c r="S211" s="1159"/>
      <c r="T211" s="1159"/>
      <c r="U211" s="1159"/>
      <c r="V211" s="1159"/>
      <c r="Y211" s="1159"/>
      <c r="Z211" s="1159"/>
      <c r="AA211" s="1159"/>
      <c r="AB211" s="1159"/>
      <c r="AC211" s="1159"/>
      <c r="AD211" s="1159"/>
      <c r="AE211" s="1159"/>
      <c r="AF211" s="1159"/>
    </row>
    <row r="212" spans="2:32">
      <c r="B212" s="1949" t="s">
        <v>2426</v>
      </c>
      <c r="C212" s="928">
        <v>0</v>
      </c>
      <c r="D212" s="946">
        <v>0</v>
      </c>
      <c r="E212" s="946">
        <v>0</v>
      </c>
      <c r="F212" s="930">
        <v>0</v>
      </c>
      <c r="G212" s="1159"/>
      <c r="H212" s="1159"/>
      <c r="I212" s="1159"/>
      <c r="J212" s="1159"/>
      <c r="K212" s="1159"/>
      <c r="L212" s="1159"/>
      <c r="M212" s="2046"/>
      <c r="N212" s="2046"/>
      <c r="O212" s="2046"/>
      <c r="P212" s="2046"/>
      <c r="Q212" s="1159"/>
      <c r="R212" s="1159"/>
      <c r="S212" s="1159"/>
      <c r="T212" s="1159"/>
      <c r="U212" s="1159"/>
      <c r="V212" s="1159"/>
      <c r="Y212" s="1159"/>
      <c r="Z212" s="1159"/>
      <c r="AA212" s="1159"/>
      <c r="AB212" s="1159"/>
      <c r="AC212" s="1159"/>
      <c r="AD212" s="1159"/>
      <c r="AE212" s="1159"/>
      <c r="AF212" s="1159"/>
    </row>
    <row r="213" spans="2:32">
      <c r="B213" s="1949" t="s">
        <v>2425</v>
      </c>
      <c r="C213" s="928">
        <v>0</v>
      </c>
      <c r="D213" s="946">
        <v>0</v>
      </c>
      <c r="E213" s="946">
        <v>0</v>
      </c>
      <c r="F213" s="930">
        <v>0</v>
      </c>
      <c r="G213" s="1159"/>
      <c r="H213" s="1159"/>
      <c r="I213" s="1159"/>
      <c r="J213" s="1159"/>
      <c r="K213" s="1159"/>
      <c r="L213" s="1159"/>
      <c r="M213" s="2046"/>
      <c r="N213" s="2046"/>
      <c r="O213" s="2046"/>
      <c r="P213" s="2046"/>
      <c r="Q213" s="1159"/>
      <c r="R213" s="1159"/>
      <c r="S213" s="1159"/>
      <c r="T213" s="1159"/>
      <c r="U213" s="1159"/>
      <c r="V213" s="1159"/>
      <c r="Y213" s="1159"/>
      <c r="Z213" s="1159"/>
      <c r="AA213" s="1159"/>
      <c r="AB213" s="1159"/>
      <c r="AC213" s="1159"/>
      <c r="AD213" s="1159"/>
      <c r="AE213" s="1159"/>
      <c r="AF213" s="1159"/>
    </row>
    <row r="214" spans="2:32">
      <c r="B214" s="1950" t="s">
        <v>2420</v>
      </c>
      <c r="C214" s="1761">
        <v>0</v>
      </c>
      <c r="D214" s="2044">
        <v>0</v>
      </c>
      <c r="E214" s="2044">
        <v>0</v>
      </c>
      <c r="F214" s="2045">
        <v>0</v>
      </c>
      <c r="G214" s="1159"/>
      <c r="H214" s="3159" t="s">
        <v>2485</v>
      </c>
      <c r="I214" s="3160"/>
      <c r="J214" s="1159"/>
      <c r="K214" s="1159"/>
      <c r="L214" s="1159"/>
      <c r="M214" s="2046"/>
      <c r="N214" s="2046"/>
      <c r="O214" s="2046"/>
      <c r="P214" s="2046"/>
      <c r="Q214" s="1159"/>
      <c r="R214" s="1159"/>
      <c r="S214" s="1159"/>
      <c r="T214" s="1159"/>
      <c r="U214" s="1159"/>
      <c r="V214" s="1159"/>
      <c r="Y214" s="1159"/>
      <c r="Z214" s="1159"/>
      <c r="AA214" s="1159"/>
      <c r="AB214" s="1159"/>
      <c r="AC214" s="1159"/>
      <c r="AD214" s="1159"/>
      <c r="AE214" s="1159"/>
      <c r="AF214" s="1159"/>
    </row>
    <row r="215" spans="2:32">
      <c r="B215" s="2047" t="s">
        <v>188</v>
      </c>
      <c r="C215" s="232"/>
      <c r="D215" s="1159"/>
      <c r="E215" s="1159"/>
      <c r="F215" s="128"/>
      <c r="G215" s="1159"/>
      <c r="H215" s="232" t="s">
        <v>2486</v>
      </c>
      <c r="I215" s="128" t="s">
        <v>2487</v>
      </c>
      <c r="J215" s="1159"/>
      <c r="K215" s="1159"/>
      <c r="L215" s="1159"/>
      <c r="M215" s="1555"/>
      <c r="N215" s="1555"/>
      <c r="O215" s="2042"/>
      <c r="P215" s="2042"/>
      <c r="Q215" s="2042"/>
      <c r="R215" s="1159"/>
      <c r="S215" s="1159"/>
      <c r="T215" s="1159"/>
      <c r="U215" s="1159"/>
      <c r="V215" s="1159"/>
      <c r="Y215" s="1159"/>
      <c r="Z215" s="1159"/>
      <c r="AA215" s="1159"/>
      <c r="AB215" s="1159"/>
      <c r="AC215" s="1159"/>
      <c r="AD215" s="1159"/>
      <c r="AE215" s="1159"/>
      <c r="AF215" s="1159"/>
    </row>
    <row r="216" spans="2:32">
      <c r="B216" s="1947" t="s">
        <v>2429</v>
      </c>
      <c r="C216" s="928"/>
      <c r="D216" s="946"/>
      <c r="E216" s="946"/>
      <c r="F216" s="128">
        <f xml:space="preserve"> IF(MHDV_Inputs!$B$120=1,H216,I216)</f>
        <v>0.73375750246013083</v>
      </c>
      <c r="G216" s="1159"/>
      <c r="H216" s="2048">
        <v>0.73375750246013083</v>
      </c>
      <c r="I216" s="2049">
        <v>0.53005966039467645</v>
      </c>
      <c r="J216" s="1159"/>
      <c r="K216" s="1159"/>
      <c r="L216" s="1159"/>
      <c r="M216" s="2046"/>
      <c r="N216" s="2046"/>
      <c r="O216" s="2046"/>
      <c r="P216" s="2046"/>
      <c r="Q216" s="2050"/>
      <c r="R216" s="1159"/>
      <c r="S216" s="1159"/>
      <c r="T216" s="1159"/>
      <c r="U216" s="1159"/>
      <c r="V216" s="1159"/>
      <c r="Y216" s="1159"/>
      <c r="Z216" s="1159"/>
      <c r="AA216" s="1159"/>
      <c r="AB216" s="1159"/>
      <c r="AC216" s="1159"/>
      <c r="AD216" s="1159"/>
      <c r="AE216" s="1159"/>
      <c r="AF216" s="1159"/>
    </row>
    <row r="217" spans="2:32">
      <c r="B217" s="1947" t="s">
        <v>38</v>
      </c>
      <c r="C217" s="928"/>
      <c r="D217" s="946"/>
      <c r="E217" s="946"/>
      <c r="F217" s="128">
        <f xml:space="preserve"> IF(MHDV_Inputs!$B$120=1,H217,I217)</f>
        <v>2.8394792785619315E-2</v>
      </c>
      <c r="G217" s="1159"/>
      <c r="H217" s="928">
        <v>2.8394792785619315E-2</v>
      </c>
      <c r="I217" s="930">
        <v>1.2468448829738413E-2</v>
      </c>
      <c r="J217" s="1159"/>
      <c r="K217" s="1159"/>
      <c r="L217" s="1159"/>
      <c r="M217" s="2046"/>
      <c r="N217" s="2046"/>
      <c r="O217" s="2046"/>
      <c r="P217" s="2046"/>
      <c r="Q217" s="2050"/>
      <c r="R217" s="1159"/>
      <c r="S217" s="1159"/>
      <c r="T217" s="1159"/>
      <c r="U217" s="1159"/>
      <c r="V217" s="1159"/>
      <c r="Y217" s="1159"/>
      <c r="Z217" s="1159"/>
      <c r="AA217" s="1159"/>
      <c r="AB217" s="1159"/>
      <c r="AC217" s="1159"/>
      <c r="AD217" s="1159"/>
      <c r="AE217" s="1159"/>
      <c r="AF217" s="1159"/>
    </row>
    <row r="218" spans="2:32">
      <c r="B218" s="1947" t="s">
        <v>1868</v>
      </c>
      <c r="C218" s="928"/>
      <c r="D218" s="946"/>
      <c r="E218" s="946"/>
      <c r="F218" s="128">
        <f xml:space="preserve"> IF(MHDV_Inputs!$B$120=1,H218,I218)</f>
        <v>0.13212592865244921</v>
      </c>
      <c r="G218" s="1159"/>
      <c r="H218" s="928">
        <v>0.13212592865244921</v>
      </c>
      <c r="I218" s="930">
        <v>0.29579222120238646</v>
      </c>
      <c r="J218" s="1159"/>
      <c r="K218" s="1159"/>
      <c r="L218" s="1159"/>
      <c r="M218" s="2046"/>
      <c r="N218" s="2046"/>
      <c r="O218" s="2046"/>
      <c r="P218" s="2046"/>
      <c r="Q218" s="2050"/>
      <c r="R218" s="1159"/>
      <c r="S218" s="1159"/>
      <c r="T218" s="1159"/>
      <c r="U218" s="1159"/>
      <c r="V218" s="1159"/>
      <c r="Y218" s="1159"/>
      <c r="Z218" s="1159"/>
      <c r="AA218" s="1159"/>
      <c r="AB218" s="1159"/>
      <c r="AC218" s="1159"/>
      <c r="AD218" s="1159"/>
      <c r="AE218" s="1159"/>
      <c r="AF218" s="1159"/>
    </row>
    <row r="219" spans="2:32">
      <c r="B219" s="1947" t="s">
        <v>2407</v>
      </c>
      <c r="C219" s="928"/>
      <c r="D219" s="946"/>
      <c r="E219" s="946"/>
      <c r="F219" s="128">
        <f xml:space="preserve"> IF(MHDV_Inputs!$B$120=1,H219,I219)</f>
        <v>0</v>
      </c>
      <c r="G219" s="1159"/>
      <c r="H219" s="928">
        <v>0</v>
      </c>
      <c r="I219" s="930">
        <v>0</v>
      </c>
      <c r="J219" s="1159"/>
      <c r="K219" s="1159"/>
      <c r="L219" s="1159"/>
      <c r="M219" s="2046"/>
      <c r="N219" s="2046"/>
      <c r="O219" s="2046"/>
      <c r="P219" s="2046"/>
      <c r="Q219" s="2050"/>
      <c r="R219" s="1159"/>
      <c r="S219" s="1159"/>
      <c r="T219" s="1159"/>
      <c r="U219" s="1159"/>
      <c r="V219" s="1159"/>
      <c r="Y219" s="1159"/>
      <c r="Z219" s="1159"/>
      <c r="AA219" s="1159"/>
      <c r="AB219" s="1159"/>
      <c r="AC219" s="1159"/>
      <c r="AD219" s="1159"/>
      <c r="AE219" s="1159"/>
      <c r="AF219" s="1159"/>
    </row>
    <row r="220" spans="2:32">
      <c r="B220" s="1947" t="s">
        <v>2405</v>
      </c>
      <c r="C220" s="928"/>
      <c r="D220" s="946"/>
      <c r="E220" s="946"/>
      <c r="F220" s="128">
        <f xml:space="preserve"> IF(MHDV_Inputs!$B$120=1,H220,I220)</f>
        <v>6.1236600737663655E-2</v>
      </c>
      <c r="G220" s="1159"/>
      <c r="H220" s="928">
        <v>6.1236600737663655E-2</v>
      </c>
      <c r="I220" s="930">
        <v>7.2931964203763203E-2</v>
      </c>
      <c r="J220" s="1159"/>
      <c r="K220" s="1159"/>
      <c r="L220" s="1159"/>
      <c r="M220" s="2046"/>
      <c r="N220" s="2046"/>
      <c r="O220" s="2046"/>
      <c r="P220" s="2046"/>
      <c r="Q220" s="2050"/>
      <c r="R220" s="1159"/>
      <c r="S220" s="1159"/>
      <c r="T220" s="1159"/>
      <c r="U220" s="1159"/>
      <c r="V220" s="1159"/>
      <c r="Y220" s="1159"/>
      <c r="Z220" s="1159"/>
      <c r="AA220" s="1159"/>
      <c r="AB220" s="1159"/>
      <c r="AC220" s="1159"/>
      <c r="AD220" s="1159"/>
      <c r="AE220" s="1159"/>
      <c r="AF220" s="1159"/>
    </row>
    <row r="221" spans="2:32">
      <c r="B221" s="1947" t="s">
        <v>52</v>
      </c>
      <c r="C221" s="928"/>
      <c r="D221" s="946"/>
      <c r="E221" s="946"/>
      <c r="F221" s="128">
        <f xml:space="preserve"> IF(MHDV_Inputs!$B$120=1,H221,I221)</f>
        <v>0</v>
      </c>
      <c r="G221" s="1159"/>
      <c r="H221" s="928">
        <v>0</v>
      </c>
      <c r="I221" s="930">
        <v>0</v>
      </c>
      <c r="J221" s="1159"/>
      <c r="K221" s="1159"/>
      <c r="L221" s="1159"/>
      <c r="M221" s="2046"/>
      <c r="N221" s="2046"/>
      <c r="O221" s="2046"/>
      <c r="P221" s="2046"/>
      <c r="Q221" s="2050"/>
      <c r="R221" s="1159"/>
      <c r="S221" s="1159"/>
      <c r="T221" s="1159"/>
      <c r="U221" s="1159"/>
      <c r="V221" s="1159"/>
      <c r="Y221" s="1159"/>
      <c r="Z221" s="1159"/>
      <c r="AA221" s="1159"/>
      <c r="AB221" s="1159"/>
      <c r="AC221" s="1159"/>
      <c r="AD221" s="1159"/>
      <c r="AE221" s="1159"/>
      <c r="AF221" s="1159"/>
    </row>
    <row r="222" spans="2:32">
      <c r="B222" s="1947" t="s">
        <v>1391</v>
      </c>
      <c r="C222" s="928"/>
      <c r="D222" s="946"/>
      <c r="E222" s="946"/>
      <c r="F222" s="128">
        <f xml:space="preserve"> IF(MHDV_Inputs!$B$120=1,H222,I222)</f>
        <v>1.7848155465246429E-2</v>
      </c>
      <c r="G222" s="1159"/>
      <c r="H222" s="928">
        <v>1.7848155465246429E-2</v>
      </c>
      <c r="I222" s="930">
        <v>3.9754474529600736E-2</v>
      </c>
      <c r="J222" s="1159"/>
      <c r="K222" s="1159"/>
      <c r="L222" s="1159"/>
      <c r="M222" s="2046"/>
      <c r="N222" s="2046"/>
      <c r="O222" s="2046"/>
      <c r="P222" s="2046"/>
      <c r="Q222" s="2050"/>
      <c r="R222" s="1159"/>
      <c r="S222" s="1159"/>
      <c r="T222" s="1159"/>
      <c r="U222" s="1159"/>
      <c r="V222" s="1159"/>
      <c r="Y222" s="1159"/>
      <c r="Z222" s="1159"/>
      <c r="AA222" s="1159"/>
      <c r="AB222" s="1159"/>
      <c r="AC222" s="1159"/>
      <c r="AD222" s="1159"/>
      <c r="AE222" s="1159"/>
      <c r="AF222" s="1159"/>
    </row>
    <row r="223" spans="2:32">
      <c r="B223" s="1947" t="s">
        <v>375</v>
      </c>
      <c r="C223" s="928"/>
      <c r="D223" s="946"/>
      <c r="E223" s="946"/>
      <c r="F223" s="128">
        <f xml:space="preserve"> IF(MHDV_Inputs!$B$120=1,H223,I223)</f>
        <v>2.6637019898890502E-2</v>
      </c>
      <c r="G223" s="1159"/>
      <c r="H223" s="928">
        <v>2.6637019898890502E-2</v>
      </c>
      <c r="I223" s="930">
        <v>4.8993230839834798E-2</v>
      </c>
      <c r="J223" s="1159"/>
      <c r="K223" s="1159"/>
      <c r="L223" s="1159"/>
      <c r="M223" s="2046"/>
      <c r="N223" s="2046"/>
      <c r="O223" s="2046"/>
      <c r="P223" s="2046"/>
      <c r="Q223" s="2050"/>
      <c r="R223" s="1159"/>
      <c r="S223" s="1159"/>
      <c r="T223" s="1159"/>
      <c r="U223" s="1159"/>
      <c r="V223" s="1159"/>
      <c r="Y223" s="1159"/>
      <c r="Z223" s="1159"/>
      <c r="AA223" s="1159"/>
      <c r="AB223" s="1159"/>
      <c r="AC223" s="1159"/>
      <c r="AD223" s="1159"/>
      <c r="AE223" s="1159"/>
      <c r="AF223" s="1159"/>
    </row>
    <row r="224" spans="2:32">
      <c r="B224" s="1947" t="s">
        <v>294</v>
      </c>
      <c r="C224" s="928"/>
      <c r="D224" s="946"/>
      <c r="E224" s="946"/>
      <c r="F224" s="128">
        <f xml:space="preserve"> IF(MHDV_Inputs!$B$120=1,H224,I224)</f>
        <v>0</v>
      </c>
      <c r="G224" s="1159"/>
      <c r="H224" s="1761">
        <v>0</v>
      </c>
      <c r="I224" s="2045">
        <v>0</v>
      </c>
      <c r="J224" s="1159"/>
      <c r="K224" s="1159"/>
      <c r="L224" s="1159"/>
      <c r="M224" s="2046"/>
      <c r="N224" s="2046"/>
      <c r="O224" s="2046"/>
      <c r="P224" s="2046"/>
      <c r="Q224" s="2050"/>
      <c r="R224" s="1159"/>
      <c r="S224" s="1159"/>
      <c r="T224" s="1159"/>
      <c r="U224" s="1159"/>
      <c r="V224" s="1159"/>
      <c r="Y224" s="1159"/>
      <c r="Z224" s="1159"/>
      <c r="AA224" s="1159"/>
      <c r="AB224" s="1159"/>
      <c r="AC224" s="1159"/>
      <c r="AD224" s="1159"/>
      <c r="AE224" s="1159"/>
      <c r="AF224" s="1159"/>
    </row>
    <row r="225" spans="1:32">
      <c r="B225" s="2051" t="s">
        <v>2430</v>
      </c>
      <c r="C225" s="556"/>
      <c r="D225" s="179"/>
      <c r="E225" s="179"/>
      <c r="F225" s="180"/>
      <c r="G225" s="1159"/>
      <c r="H225" s="1159"/>
      <c r="I225" s="1159"/>
      <c r="J225" s="1159"/>
      <c r="K225" s="1159"/>
      <c r="L225" s="1159"/>
      <c r="O225" s="1159"/>
      <c r="P225" s="1159"/>
      <c r="Q225" s="1159"/>
      <c r="R225" s="1159"/>
      <c r="S225" s="1159"/>
      <c r="T225" s="1159"/>
      <c r="U225" s="1159"/>
      <c r="V225" s="1159"/>
      <c r="Y225" s="1159"/>
      <c r="Z225" s="1159"/>
      <c r="AA225" s="1159"/>
      <c r="AB225" s="1159"/>
      <c r="AC225" s="1159"/>
      <c r="AD225" s="1159"/>
      <c r="AE225" s="1159"/>
      <c r="AF225" s="1159"/>
    </row>
    <row r="226" spans="1:32">
      <c r="B226" s="1950" t="s">
        <v>38</v>
      </c>
      <c r="C226" s="1761">
        <v>1</v>
      </c>
      <c r="D226" s="2044">
        <v>1</v>
      </c>
      <c r="E226" s="2044">
        <v>1</v>
      </c>
      <c r="F226" s="2045">
        <v>1</v>
      </c>
      <c r="G226" s="1159"/>
      <c r="H226" s="1159"/>
      <c r="I226" s="1159"/>
      <c r="J226" s="1159"/>
      <c r="K226" s="1159"/>
      <c r="L226" s="1159"/>
      <c r="O226" s="1159"/>
      <c r="P226" s="1159"/>
      <c r="Q226" s="1159"/>
      <c r="R226" s="1159"/>
      <c r="S226" s="1159"/>
      <c r="T226" s="1159"/>
      <c r="U226" s="1159"/>
      <c r="V226" s="1159"/>
      <c r="Y226" s="1159"/>
      <c r="Z226" s="1159"/>
      <c r="AA226" s="1159"/>
      <c r="AB226" s="1159"/>
      <c r="AC226" s="1159"/>
      <c r="AD226" s="1159"/>
      <c r="AE226" s="1159"/>
      <c r="AF226" s="1159"/>
    </row>
    <row r="227" spans="1:32">
      <c r="B227" s="1461"/>
      <c r="C227" s="1159"/>
      <c r="D227" s="1159"/>
      <c r="E227" s="1159"/>
      <c r="F227" s="1159"/>
      <c r="G227" s="1159"/>
      <c r="H227" s="1159"/>
      <c r="I227" s="1159"/>
      <c r="J227" s="1159"/>
      <c r="K227" s="1159"/>
      <c r="L227" s="1159"/>
      <c r="O227" s="1159"/>
      <c r="P227" s="1159"/>
      <c r="Q227" s="1159"/>
      <c r="R227" s="1159"/>
      <c r="S227" s="1159"/>
      <c r="T227" s="1159"/>
      <c r="U227" s="1159"/>
      <c r="V227" s="1159"/>
      <c r="Y227" s="1159"/>
      <c r="Z227" s="1159"/>
      <c r="AA227" s="1159"/>
      <c r="AB227" s="1159"/>
      <c r="AC227" s="1159"/>
      <c r="AD227" s="1159"/>
      <c r="AE227" s="1159"/>
      <c r="AF227" s="1159"/>
    </row>
    <row r="228" spans="1:32" ht="15">
      <c r="A228" s="120" t="s">
        <v>2488</v>
      </c>
    </row>
    <row r="229" spans="1:32">
      <c r="B229" s="1892"/>
      <c r="C229" s="1893" t="s">
        <v>203</v>
      </c>
      <c r="D229" s="1894" t="s">
        <v>194</v>
      </c>
      <c r="E229" s="1894" t="s">
        <v>167</v>
      </c>
      <c r="F229" s="1895" t="s">
        <v>198</v>
      </c>
      <c r="G229" s="2052"/>
      <c r="H229" s="2052"/>
      <c r="I229" s="2052"/>
      <c r="J229" s="2052"/>
      <c r="K229" s="2052"/>
      <c r="L229" s="2052"/>
    </row>
    <row r="230" spans="1:32">
      <c r="B230" s="1299" t="s">
        <v>2460</v>
      </c>
      <c r="C230" s="2852">
        <f>GREET1_Import_Export!B722</f>
        <v>6.4693024928784704</v>
      </c>
      <c r="D230" s="2852">
        <f>GREET1_Import_Export!B723</f>
        <v>9.9023014715033817</v>
      </c>
      <c r="E230" s="2852">
        <f>GREET1_Import_Export!B724</f>
        <v>30.654215131061225</v>
      </c>
      <c r="F230" s="2853">
        <f>GREET1_Import_Export!B725</f>
        <v>16.284746531533894</v>
      </c>
      <c r="G230" s="2053"/>
      <c r="H230" s="2053"/>
      <c r="I230" s="2053"/>
      <c r="J230" s="2053"/>
      <c r="K230" s="2053"/>
      <c r="L230" s="2053"/>
    </row>
    <row r="231" spans="1:32">
      <c r="C231" s="1977"/>
    </row>
    <row r="232" spans="1:32" ht="15">
      <c r="A232" s="120" t="s">
        <v>2489</v>
      </c>
    </row>
    <row r="233" spans="1:32">
      <c r="A233" s="172" t="s">
        <v>2490</v>
      </c>
    </row>
    <row r="234" spans="1:32">
      <c r="B234" s="1886" t="s">
        <v>2352</v>
      </c>
      <c r="C234" s="1887" t="s">
        <v>2353</v>
      </c>
      <c r="D234" s="1888" t="s">
        <v>2382</v>
      </c>
    </row>
    <row r="235" spans="1:32">
      <c r="B235" s="1890" t="s">
        <v>2383</v>
      </c>
      <c r="C235" s="2054">
        <v>0</v>
      </c>
      <c r="D235" s="2055">
        <v>0</v>
      </c>
    </row>
    <row r="237" spans="1:32">
      <c r="A237" s="172" t="s">
        <v>2384</v>
      </c>
    </row>
    <row r="238" spans="1:32">
      <c r="B238" s="1891"/>
      <c r="C238" s="2056" t="s">
        <v>2491</v>
      </c>
      <c r="D238" s="1859"/>
      <c r="E238" s="1859"/>
      <c r="F238" s="1859"/>
    </row>
    <row r="239" spans="1:32">
      <c r="A239" s="172"/>
      <c r="B239" s="2057" t="s">
        <v>2383</v>
      </c>
      <c r="C239" s="2058">
        <v>0</v>
      </c>
    </row>
    <row r="241" spans="1:15">
      <c r="A241" s="172" t="s">
        <v>2492</v>
      </c>
    </row>
    <row r="242" spans="1:15">
      <c r="B242" s="1940" t="s">
        <v>2390</v>
      </c>
      <c r="C242" s="1932" t="s">
        <v>2387</v>
      </c>
    </row>
    <row r="243" spans="1:15">
      <c r="B243" s="1860" t="s">
        <v>2391</v>
      </c>
      <c r="C243" s="2059">
        <v>0</v>
      </c>
    </row>
    <row r="244" spans="1:15">
      <c r="B244" s="191" t="s">
        <v>2392</v>
      </c>
      <c r="C244" s="2060">
        <v>0</v>
      </c>
    </row>
    <row r="245" spans="1:15">
      <c r="B245" s="192" t="s">
        <v>2393</v>
      </c>
      <c r="C245" s="2061">
        <v>0</v>
      </c>
    </row>
    <row r="247" spans="1:15">
      <c r="A247" s="172" t="s">
        <v>2493</v>
      </c>
    </row>
    <row r="248" spans="1:15" ht="25.5">
      <c r="B248" s="640"/>
      <c r="C248" s="1868" t="s">
        <v>157</v>
      </c>
      <c r="D248" s="2837" t="s">
        <v>2339</v>
      </c>
      <c r="E248" s="2837" t="s">
        <v>2673</v>
      </c>
      <c r="F248" s="2837" t="s">
        <v>2494</v>
      </c>
      <c r="G248" s="2838" t="s">
        <v>2342</v>
      </c>
      <c r="H248" s="2838" t="s">
        <v>2674</v>
      </c>
      <c r="I248" s="1870" t="s">
        <v>158</v>
      </c>
      <c r="J248" s="1870" t="s">
        <v>159</v>
      </c>
      <c r="K248" s="1869" t="s">
        <v>160</v>
      </c>
      <c r="L248" s="1869" t="s">
        <v>161</v>
      </c>
      <c r="M248" s="1870" t="s">
        <v>2344</v>
      </c>
      <c r="N248" s="1869" t="s">
        <v>162</v>
      </c>
      <c r="O248" s="1871" t="s">
        <v>163</v>
      </c>
    </row>
    <row r="249" spans="1:15">
      <c r="B249" s="1625" t="s">
        <v>2387</v>
      </c>
      <c r="C249" s="1987">
        <v>0</v>
      </c>
      <c r="D249" s="1988">
        <v>0</v>
      </c>
      <c r="E249" s="1988">
        <v>0</v>
      </c>
      <c r="F249" s="1988">
        <v>0</v>
      </c>
      <c r="G249" s="1988">
        <v>0</v>
      </c>
      <c r="H249" s="1988">
        <v>0</v>
      </c>
      <c r="I249" s="1988">
        <v>0</v>
      </c>
      <c r="J249" s="1988">
        <v>0</v>
      </c>
      <c r="K249" s="1988">
        <v>0</v>
      </c>
      <c r="L249" s="1988">
        <v>0</v>
      </c>
      <c r="M249" s="1988">
        <v>0</v>
      </c>
      <c r="N249" s="1988">
        <v>0</v>
      </c>
      <c r="O249" s="1989">
        <v>0</v>
      </c>
    </row>
    <row r="251" spans="1:15">
      <c r="A251" s="172" t="s">
        <v>2495</v>
      </c>
    </row>
    <row r="252" spans="1:15" ht="25.5">
      <c r="B252" s="1936" t="s">
        <v>157</v>
      </c>
      <c r="C252" s="1937" t="s">
        <v>2339</v>
      </c>
      <c r="D252" s="2837" t="s">
        <v>2673</v>
      </c>
      <c r="E252" s="2837" t="s">
        <v>2494</v>
      </c>
      <c r="F252" s="1541" t="s">
        <v>2342</v>
      </c>
      <c r="G252" s="2838" t="s">
        <v>2674</v>
      </c>
      <c r="H252" s="1541" t="s">
        <v>158</v>
      </c>
      <c r="I252" s="1938" t="s">
        <v>159</v>
      </c>
      <c r="J252" s="1937" t="s">
        <v>160</v>
      </c>
      <c r="K252" s="1937" t="s">
        <v>161</v>
      </c>
      <c r="L252" s="1938" t="s">
        <v>2344</v>
      </c>
      <c r="M252" s="1937" t="s">
        <v>162</v>
      </c>
      <c r="N252" s="1939" t="s">
        <v>163</v>
      </c>
    </row>
    <row r="253" spans="1:15">
      <c r="B253" s="2040">
        <v>0</v>
      </c>
      <c r="C253" s="2041">
        <v>0</v>
      </c>
      <c r="D253" s="2041">
        <v>0</v>
      </c>
      <c r="E253" s="2041">
        <v>0</v>
      </c>
      <c r="F253" s="2041">
        <v>0</v>
      </c>
      <c r="G253" s="2041">
        <v>0</v>
      </c>
      <c r="H253" s="2041">
        <v>0</v>
      </c>
      <c r="I253" s="2041">
        <v>0</v>
      </c>
      <c r="J253" s="2041">
        <v>0</v>
      </c>
      <c r="K253" s="2041">
        <v>0</v>
      </c>
      <c r="L253" s="2041">
        <v>0</v>
      </c>
      <c r="M253" s="2062">
        <v>0</v>
      </c>
      <c r="N253" s="2063">
        <v>0</v>
      </c>
    </row>
    <row r="255" spans="1:15">
      <c r="A255" s="172" t="s">
        <v>2496</v>
      </c>
    </row>
    <row r="256" spans="1:15">
      <c r="B256" s="58"/>
      <c r="C256" s="1956" t="s">
        <v>2387</v>
      </c>
      <c r="D256" s="1859"/>
      <c r="E256" s="1859"/>
      <c r="F256" s="1859"/>
    </row>
    <row r="257" spans="2:6">
      <c r="B257" s="178" t="s">
        <v>2440</v>
      </c>
      <c r="C257" s="595"/>
      <c r="D257" s="1159"/>
      <c r="E257" s="1159"/>
      <c r="F257" s="1159"/>
    </row>
    <row r="258" spans="2:6">
      <c r="B258" s="1949" t="s">
        <v>38</v>
      </c>
      <c r="C258" s="2064">
        <v>0</v>
      </c>
      <c r="D258" s="1159"/>
      <c r="E258" s="1159"/>
      <c r="F258" s="1159"/>
    </row>
    <row r="259" spans="2:6">
      <c r="B259" s="1949" t="s">
        <v>2406</v>
      </c>
      <c r="C259" s="2064">
        <v>0</v>
      </c>
      <c r="D259" s="1159"/>
      <c r="E259" s="1159"/>
      <c r="F259" s="1159"/>
    </row>
    <row r="260" spans="2:6">
      <c r="B260" s="1949" t="s">
        <v>2405</v>
      </c>
      <c r="C260" s="2064">
        <v>0</v>
      </c>
      <c r="D260" s="1159"/>
      <c r="E260" s="1159"/>
      <c r="F260" s="1159"/>
    </row>
    <row r="261" spans="2:6">
      <c r="B261" s="1949" t="s">
        <v>2428</v>
      </c>
      <c r="C261" s="2064">
        <v>0</v>
      </c>
      <c r="D261" s="1159"/>
      <c r="E261" s="1159"/>
      <c r="F261" s="1159"/>
    </row>
    <row r="262" spans="2:6">
      <c r="B262" s="1950" t="s">
        <v>61</v>
      </c>
      <c r="C262" s="2064">
        <v>0</v>
      </c>
      <c r="D262" s="1159"/>
      <c r="E262" s="1159"/>
      <c r="F262" s="1159"/>
    </row>
    <row r="263" spans="2:6">
      <c r="B263" s="178" t="s">
        <v>2441</v>
      </c>
      <c r="C263" s="595"/>
      <c r="D263" s="1159"/>
      <c r="E263" s="1159"/>
      <c r="F263" s="1159"/>
    </row>
    <row r="264" spans="2:6">
      <c r="B264" s="1949" t="s">
        <v>1868</v>
      </c>
      <c r="C264" s="2064">
        <v>0</v>
      </c>
      <c r="D264" s="1159"/>
      <c r="E264" s="1159"/>
      <c r="F264" s="1159"/>
    </row>
    <row r="265" spans="2:6">
      <c r="B265" s="1949" t="s">
        <v>38</v>
      </c>
      <c r="C265" s="2064">
        <v>0</v>
      </c>
      <c r="D265" s="1159"/>
      <c r="E265" s="1159"/>
      <c r="F265" s="1159"/>
    </row>
    <row r="266" spans="2:6">
      <c r="B266" s="1949" t="s">
        <v>1869</v>
      </c>
      <c r="C266" s="2064">
        <v>0</v>
      </c>
      <c r="D266" s="1159"/>
      <c r="E266" s="1159"/>
      <c r="F266" s="1159"/>
    </row>
    <row r="267" spans="2:6">
      <c r="B267" s="1949" t="s">
        <v>2406</v>
      </c>
      <c r="C267" s="2064">
        <v>0</v>
      </c>
      <c r="D267" s="1159"/>
      <c r="E267" s="1159"/>
      <c r="F267" s="1159"/>
    </row>
    <row r="268" spans="2:6">
      <c r="B268" s="1949" t="s">
        <v>2405</v>
      </c>
      <c r="C268" s="2064">
        <v>0</v>
      </c>
      <c r="D268" s="1159"/>
      <c r="E268" s="1159"/>
      <c r="F268" s="1159"/>
    </row>
    <row r="269" spans="2:6">
      <c r="B269" s="1949" t="s">
        <v>61</v>
      </c>
      <c r="C269" s="2064">
        <v>0</v>
      </c>
      <c r="D269" s="1159"/>
      <c r="E269" s="1159"/>
      <c r="F269" s="1159"/>
    </row>
    <row r="270" spans="2:6">
      <c r="B270" s="1949" t="s">
        <v>60</v>
      </c>
      <c r="C270" s="2064">
        <v>0</v>
      </c>
      <c r="D270" s="1159"/>
      <c r="E270" s="1159"/>
      <c r="F270" s="1159"/>
    </row>
    <row r="271" spans="2:6">
      <c r="B271" s="1949" t="s">
        <v>2420</v>
      </c>
      <c r="C271" s="2064">
        <v>0</v>
      </c>
      <c r="D271" s="1159"/>
      <c r="E271" s="1159"/>
      <c r="F271" s="1159"/>
    </row>
    <row r="272" spans="2:6">
      <c r="B272" s="1949" t="s">
        <v>2426</v>
      </c>
      <c r="C272" s="2064">
        <v>0</v>
      </c>
      <c r="D272" s="1159"/>
      <c r="E272" s="1159"/>
      <c r="F272" s="1159"/>
    </row>
    <row r="273" spans="1:6">
      <c r="B273" s="1950" t="s">
        <v>2442</v>
      </c>
      <c r="C273" s="2064">
        <v>0</v>
      </c>
      <c r="D273" s="1159"/>
      <c r="E273" s="1159"/>
      <c r="F273" s="1159"/>
    </row>
    <row r="274" spans="1:6">
      <c r="B274" s="487" t="s">
        <v>2393</v>
      </c>
      <c r="C274" s="595"/>
      <c r="D274" s="1159"/>
      <c r="E274" s="1159"/>
      <c r="F274" s="1159"/>
    </row>
    <row r="275" spans="1:6">
      <c r="B275" s="1947" t="s">
        <v>38</v>
      </c>
      <c r="C275" s="2064">
        <v>0</v>
      </c>
      <c r="D275" s="1159"/>
      <c r="E275" s="1159"/>
      <c r="F275" s="1159"/>
    </row>
    <row r="276" spans="1:6">
      <c r="B276" s="1947" t="s">
        <v>1868</v>
      </c>
      <c r="C276" s="2064">
        <v>0</v>
      </c>
      <c r="D276" s="1159"/>
      <c r="E276" s="1159"/>
      <c r="F276" s="1159"/>
    </row>
    <row r="277" spans="1:6">
      <c r="B277" s="1947" t="s">
        <v>2405</v>
      </c>
      <c r="C277" s="2064">
        <v>0</v>
      </c>
      <c r="D277" s="1159"/>
      <c r="E277" s="1159"/>
      <c r="F277" s="1159"/>
    </row>
    <row r="278" spans="1:6">
      <c r="B278" s="1947" t="s">
        <v>61</v>
      </c>
      <c r="C278" s="2064">
        <v>0</v>
      </c>
      <c r="D278" s="1159"/>
      <c r="E278" s="1159"/>
      <c r="F278" s="1159"/>
    </row>
    <row r="279" spans="1:6">
      <c r="B279" s="1947" t="s">
        <v>60</v>
      </c>
      <c r="C279" s="2064">
        <v>0</v>
      </c>
      <c r="D279" s="1159"/>
      <c r="E279" s="1159"/>
      <c r="F279" s="1159"/>
    </row>
    <row r="280" spans="1:6">
      <c r="B280" s="1947" t="s">
        <v>52</v>
      </c>
      <c r="C280" s="2064">
        <v>0</v>
      </c>
      <c r="D280" s="1159"/>
      <c r="E280" s="1159"/>
      <c r="F280" s="1159"/>
    </row>
    <row r="281" spans="1:6">
      <c r="B281" s="1947" t="s">
        <v>2424</v>
      </c>
      <c r="C281" s="2064">
        <v>0</v>
      </c>
      <c r="D281" s="1159"/>
      <c r="E281" s="1159"/>
      <c r="F281" s="1159"/>
    </row>
    <row r="282" spans="1:6">
      <c r="B282" s="1948" t="s">
        <v>2407</v>
      </c>
      <c r="C282" s="2065">
        <v>0</v>
      </c>
      <c r="D282" s="1159"/>
      <c r="E282" s="1159"/>
      <c r="F282" s="1159"/>
    </row>
    <row r="283" spans="1:6">
      <c r="C283" s="1977"/>
    </row>
    <row r="284" spans="1:6" ht="15">
      <c r="A284" s="120" t="s">
        <v>2497</v>
      </c>
    </row>
    <row r="285" spans="1:6">
      <c r="A285" s="313" t="s">
        <v>2498</v>
      </c>
    </row>
    <row r="286" spans="1:6">
      <c r="B286" s="1892"/>
      <c r="C286" s="1893" t="s">
        <v>203</v>
      </c>
      <c r="D286" s="1894" t="s">
        <v>194</v>
      </c>
      <c r="E286" s="1894" t="s">
        <v>167</v>
      </c>
      <c r="F286" s="1895" t="s">
        <v>198</v>
      </c>
    </row>
    <row r="287" spans="1:6">
      <c r="B287" s="178" t="s">
        <v>2359</v>
      </c>
      <c r="C287" s="80"/>
      <c r="D287" s="131"/>
      <c r="E287" s="131"/>
      <c r="F287" s="50"/>
    </row>
    <row r="288" spans="1:6">
      <c r="B288" s="1949" t="s">
        <v>38</v>
      </c>
      <c r="C288" s="2066">
        <v>0.81410887200476734</v>
      </c>
      <c r="D288" s="1119">
        <v>0.81410887200476734</v>
      </c>
      <c r="E288" s="1119">
        <v>0.81410887200476734</v>
      </c>
      <c r="F288" s="1190">
        <v>0.81410887200476734</v>
      </c>
    </row>
    <row r="289" spans="1:8">
      <c r="B289" s="1949" t="s">
        <v>61</v>
      </c>
      <c r="C289" s="2066">
        <v>0.29075316857313122</v>
      </c>
      <c r="D289" s="1119">
        <v>0.29075316857313122</v>
      </c>
      <c r="E289" s="1119">
        <v>0.29075316857313122</v>
      </c>
      <c r="F289" s="1190">
        <v>0.29075316857313122</v>
      </c>
    </row>
    <row r="290" spans="1:8">
      <c r="B290" s="1950" t="s">
        <v>60</v>
      </c>
      <c r="C290" s="2066">
        <v>5.8150633714626247E-2</v>
      </c>
      <c r="D290" s="1119">
        <v>5.8150633714626247E-2</v>
      </c>
      <c r="E290" s="1119">
        <v>5.8150633714626247E-2</v>
      </c>
      <c r="F290" s="1190">
        <v>5.8150633714626247E-2</v>
      </c>
    </row>
    <row r="291" spans="1:8">
      <c r="B291" s="1953" t="s">
        <v>2360</v>
      </c>
      <c r="C291" s="80"/>
      <c r="D291" s="131"/>
      <c r="E291" s="131"/>
      <c r="F291" s="50"/>
    </row>
    <row r="292" spans="1:8">
      <c r="B292" s="1949" t="s">
        <v>38</v>
      </c>
      <c r="C292" s="2066">
        <v>2.2938437402973619</v>
      </c>
      <c r="D292" s="1119">
        <v>2.2938437402973619</v>
      </c>
      <c r="E292" s="1119">
        <v>0</v>
      </c>
      <c r="F292" s="1190">
        <v>0</v>
      </c>
    </row>
    <row r="293" spans="1:8">
      <c r="B293" s="1949" t="s">
        <v>2421</v>
      </c>
      <c r="C293" s="2066">
        <v>0.12743576334985343</v>
      </c>
      <c r="D293" s="1119">
        <v>0.12743576334985343</v>
      </c>
      <c r="E293" s="1119">
        <v>0</v>
      </c>
      <c r="F293" s="1190">
        <v>0</v>
      </c>
    </row>
    <row r="294" spans="1:8">
      <c r="B294" s="1950" t="s">
        <v>61</v>
      </c>
      <c r="C294" s="2067">
        <v>0.12743576334985343</v>
      </c>
      <c r="D294" s="1120">
        <v>0.12743576334985343</v>
      </c>
      <c r="E294" s="1120">
        <v>0</v>
      </c>
      <c r="F294" s="1191">
        <v>0</v>
      </c>
    </row>
    <row r="296" spans="1:8">
      <c r="A296" s="313" t="s">
        <v>2499</v>
      </c>
    </row>
    <row r="297" spans="1:8">
      <c r="B297" s="1892"/>
      <c r="C297" s="1893" t="s">
        <v>203</v>
      </c>
      <c r="D297" s="1894" t="s">
        <v>194</v>
      </c>
      <c r="E297" s="1894" t="s">
        <v>167</v>
      </c>
      <c r="F297" s="1895" t="s">
        <v>198</v>
      </c>
    </row>
    <row r="298" spans="1:8">
      <c r="B298" s="178" t="s">
        <v>2359</v>
      </c>
      <c r="C298" s="80"/>
      <c r="D298" s="131"/>
      <c r="E298" s="131"/>
      <c r="F298" s="50"/>
    </row>
    <row r="299" spans="1:8">
      <c r="B299" s="1949" t="s">
        <v>38</v>
      </c>
      <c r="C299" s="1021">
        <f xml:space="preserve"> C288/SUM(C$288:C$290)</f>
        <v>0.7</v>
      </c>
      <c r="D299" s="302">
        <f t="shared" ref="D299:F299" si="2" xml:space="preserve"> D288/SUM(D$288:D$290)</f>
        <v>0.7</v>
      </c>
      <c r="E299" s="302">
        <f t="shared" si="2"/>
        <v>0.7</v>
      </c>
      <c r="F299" s="593">
        <f t="shared" si="2"/>
        <v>0.7</v>
      </c>
      <c r="H299" s="2068"/>
    </row>
    <row r="300" spans="1:8">
      <c r="B300" s="1949" t="s">
        <v>61</v>
      </c>
      <c r="C300" s="1021">
        <f t="shared" ref="C300:F301" si="3" xml:space="preserve"> C289/SUM(C$288:C$290)</f>
        <v>0.25</v>
      </c>
      <c r="D300" s="302">
        <f t="shared" si="3"/>
        <v>0.25</v>
      </c>
      <c r="E300" s="302">
        <f t="shared" si="3"/>
        <v>0.25</v>
      </c>
      <c r="F300" s="593">
        <f t="shared" si="3"/>
        <v>0.25</v>
      </c>
      <c r="H300" s="2068"/>
    </row>
    <row r="301" spans="1:8">
      <c r="B301" s="1950" t="s">
        <v>60</v>
      </c>
      <c r="C301" s="1019">
        <f t="shared" si="3"/>
        <v>0.05</v>
      </c>
      <c r="D301" s="1020">
        <f t="shared" si="3"/>
        <v>0.05</v>
      </c>
      <c r="E301" s="1020">
        <f t="shared" si="3"/>
        <v>0.05</v>
      </c>
      <c r="F301" s="210">
        <f t="shared" si="3"/>
        <v>0.05</v>
      </c>
      <c r="H301" s="2068"/>
    </row>
    <row r="302" spans="1:8">
      <c r="B302" s="1953" t="s">
        <v>2360</v>
      </c>
      <c r="C302" s="80"/>
      <c r="D302" s="131"/>
      <c r="E302" s="131"/>
      <c r="F302" s="50"/>
    </row>
    <row r="303" spans="1:8">
      <c r="B303" s="1949" t="s">
        <v>38</v>
      </c>
      <c r="C303" s="1021">
        <f xml:space="preserve"> C292/SUM(C$292:C$294)</f>
        <v>0.90000000000000013</v>
      </c>
      <c r="D303" s="302">
        <f t="shared" ref="D303" si="4" xml:space="preserve"> D292/SUM(D$292:D$294)</f>
        <v>0.90000000000000013</v>
      </c>
      <c r="E303" s="302">
        <f xml:space="preserve"> IF(SUM(E$292:E$294)=0, 0%, E292/SUM(E$292:E$294))</f>
        <v>0</v>
      </c>
      <c r="F303" s="593">
        <f xml:space="preserve"> IF(SUM(F$292:F$294)=0, 0%, F292/SUM(F$292:F$294))</f>
        <v>0</v>
      </c>
      <c r="H303" s="2068"/>
    </row>
    <row r="304" spans="1:8">
      <c r="B304" s="1949" t="s">
        <v>2421</v>
      </c>
      <c r="C304" s="1021">
        <f t="shared" ref="C304:D305" si="5" xml:space="preserve"> C293/SUM(C$292:C$294)</f>
        <v>0.05</v>
      </c>
      <c r="D304" s="302">
        <f t="shared" si="5"/>
        <v>0.05</v>
      </c>
      <c r="E304" s="302">
        <f t="shared" ref="E304:F305" si="6" xml:space="preserve"> IF(SUM(E$292:E$294)=0, 0%, E293/SUM(E$292:E$294))</f>
        <v>0</v>
      </c>
      <c r="F304" s="593">
        <f t="shared" si="6"/>
        <v>0</v>
      </c>
      <c r="H304" s="2068"/>
    </row>
    <row r="305" spans="1:14">
      <c r="B305" s="1950" t="s">
        <v>61</v>
      </c>
      <c r="C305" s="1019">
        <f t="shared" si="5"/>
        <v>0.05</v>
      </c>
      <c r="D305" s="1020">
        <f t="shared" si="5"/>
        <v>0.05</v>
      </c>
      <c r="E305" s="1020">
        <f t="shared" si="6"/>
        <v>0</v>
      </c>
      <c r="F305" s="210">
        <f t="shared" si="6"/>
        <v>0</v>
      </c>
      <c r="H305" s="2068"/>
    </row>
    <row r="307" spans="1:14">
      <c r="A307" s="313" t="s">
        <v>2500</v>
      </c>
    </row>
    <row r="308" spans="1:14">
      <c r="B308" s="1892"/>
      <c r="C308" s="1926" t="s">
        <v>203</v>
      </c>
      <c r="D308" s="1927" t="s">
        <v>194</v>
      </c>
      <c r="E308" s="1927" t="s">
        <v>167</v>
      </c>
      <c r="F308" s="1928" t="s">
        <v>198</v>
      </c>
    </row>
    <row r="309" spans="1:14">
      <c r="B309" s="80" t="s">
        <v>2359</v>
      </c>
      <c r="C309" s="2019">
        <v>25</v>
      </c>
      <c r="D309" s="2020">
        <v>25</v>
      </c>
      <c r="E309" s="2020">
        <v>25</v>
      </c>
      <c r="F309" s="2021">
        <v>25</v>
      </c>
    </row>
    <row r="310" spans="1:14">
      <c r="B310" s="174" t="s">
        <v>2360</v>
      </c>
      <c r="C310" s="1968">
        <v>10</v>
      </c>
      <c r="D310" s="1114">
        <v>10</v>
      </c>
      <c r="E310" s="1114">
        <v>0</v>
      </c>
      <c r="F310" s="1548">
        <v>0</v>
      </c>
    </row>
    <row r="312" spans="1:14">
      <c r="A312" s="172" t="s">
        <v>2501</v>
      </c>
    </row>
    <row r="313" spans="1:14">
      <c r="A313" s="172"/>
      <c r="B313" s="3143"/>
      <c r="C313" s="3161" t="s">
        <v>194</v>
      </c>
      <c r="D313" s="3162"/>
      <c r="E313" s="3162"/>
      <c r="F313" s="3163"/>
      <c r="G313" s="3161" t="s">
        <v>167</v>
      </c>
      <c r="H313" s="3162"/>
      <c r="I313" s="3162"/>
      <c r="J313" s="3163"/>
      <c r="K313" s="3161" t="s">
        <v>198</v>
      </c>
      <c r="L313" s="3162"/>
      <c r="M313" s="3162"/>
      <c r="N313" s="3163"/>
    </row>
    <row r="314" spans="1:14">
      <c r="B314" s="3149"/>
      <c r="C314" s="1861" t="s">
        <v>222</v>
      </c>
      <c r="D314" s="1862" t="s">
        <v>221</v>
      </c>
      <c r="E314" s="1862" t="s">
        <v>226</v>
      </c>
      <c r="F314" s="1863" t="s">
        <v>213</v>
      </c>
      <c r="G314" s="1861" t="s">
        <v>222</v>
      </c>
      <c r="H314" s="1862" t="s">
        <v>221</v>
      </c>
      <c r="I314" s="1862" t="s">
        <v>226</v>
      </c>
      <c r="J314" s="1863" t="s">
        <v>213</v>
      </c>
      <c r="K314" s="1861" t="s">
        <v>222</v>
      </c>
      <c r="L314" s="1862" t="s">
        <v>221</v>
      </c>
      <c r="M314" s="1862" t="s">
        <v>226</v>
      </c>
      <c r="N314" s="1863" t="s">
        <v>213</v>
      </c>
    </row>
    <row r="315" spans="1:14">
      <c r="B315" s="173" t="s">
        <v>309</v>
      </c>
      <c r="C315" s="2069">
        <v>0.11080411551747223</v>
      </c>
      <c r="D315" s="1964">
        <v>0.12532012276808072</v>
      </c>
      <c r="E315" s="1964">
        <v>0.1379317549882341</v>
      </c>
      <c r="F315" s="1276">
        <v>0.14134651965318873</v>
      </c>
      <c r="G315" s="2069">
        <v>0.2043860554884199</v>
      </c>
      <c r="H315" s="1964">
        <v>0.22948877212483326</v>
      </c>
      <c r="I315" s="1964">
        <v>0.24851206839797446</v>
      </c>
      <c r="J315" s="1276">
        <v>0</v>
      </c>
      <c r="K315" s="2069">
        <v>0.11819525078985921</v>
      </c>
      <c r="L315" s="1964">
        <v>0.13337908775292703</v>
      </c>
      <c r="M315" s="1964">
        <v>0.14717377096576639</v>
      </c>
      <c r="N315" s="1276">
        <v>0.15004395092439202</v>
      </c>
    </row>
    <row r="316" spans="1:14">
      <c r="B316" s="173" t="s">
        <v>310</v>
      </c>
      <c r="C316" s="1472">
        <v>8.2488288644582727E-2</v>
      </c>
      <c r="D316" s="1014">
        <v>7.9330350362140298E-2</v>
      </c>
      <c r="E316" s="1014">
        <v>7.8199963985538495E-2</v>
      </c>
      <c r="F316" s="1015">
        <v>7.7115641528308729E-2</v>
      </c>
      <c r="G316" s="1472">
        <v>0.14664583527335878</v>
      </c>
      <c r="H316" s="1014">
        <v>0.14024195728112693</v>
      </c>
      <c r="I316" s="1014">
        <v>0.13610818228037802</v>
      </c>
      <c r="J316" s="1015">
        <v>0</v>
      </c>
      <c r="K316" s="1472">
        <v>8.7201700569592158E-2</v>
      </c>
      <c r="L316" s="1014">
        <v>8.3696836657614182E-2</v>
      </c>
      <c r="M316" s="1014">
        <v>8.2680441453431924E-2</v>
      </c>
      <c r="N316" s="1015">
        <v>8.1182328890967687E-2</v>
      </c>
    </row>
    <row r="317" spans="1:14">
      <c r="B317" s="173" t="s">
        <v>273</v>
      </c>
      <c r="C317" s="1472">
        <v>0</v>
      </c>
      <c r="D317" s="1014">
        <v>0</v>
      </c>
      <c r="E317" s="1014">
        <v>0</v>
      </c>
      <c r="F317" s="1015">
        <v>0</v>
      </c>
      <c r="G317" s="1472">
        <v>0</v>
      </c>
      <c r="H317" s="1014">
        <v>0</v>
      </c>
      <c r="I317" s="1014">
        <v>0</v>
      </c>
      <c r="J317" s="1015">
        <v>0</v>
      </c>
      <c r="K317" s="1472">
        <v>0</v>
      </c>
      <c r="L317" s="1014">
        <v>0</v>
      </c>
      <c r="M317" s="1014">
        <v>0</v>
      </c>
      <c r="N317" s="1015">
        <v>0</v>
      </c>
    </row>
    <row r="318" spans="1:14">
      <c r="B318" s="173" t="s">
        <v>311</v>
      </c>
      <c r="C318" s="1472">
        <v>3.9447429420827532E-3</v>
      </c>
      <c r="D318" s="1014">
        <v>4.1765402679636949E-3</v>
      </c>
      <c r="E318" s="1014">
        <v>4.4108514076280124E-3</v>
      </c>
      <c r="F318" s="1015">
        <v>4.4584114526836222E-3</v>
      </c>
      <c r="G318" s="1472">
        <v>7.163916137995322E-3</v>
      </c>
      <c r="H318" s="1014">
        <v>7.5455250899176974E-3</v>
      </c>
      <c r="I318" s="1014">
        <v>7.8493928709866146E-3</v>
      </c>
      <c r="J318" s="1015">
        <v>0</v>
      </c>
      <c r="K318" s="1472">
        <v>4.1917745175398188E-3</v>
      </c>
      <c r="L318" s="1014">
        <v>4.4301209063375762E-3</v>
      </c>
      <c r="M318" s="1014">
        <v>4.6909022942693496E-3</v>
      </c>
      <c r="N318" s="1015">
        <v>4.7189036697012189E-3</v>
      </c>
    </row>
    <row r="319" spans="1:14">
      <c r="B319" s="173" t="s">
        <v>275</v>
      </c>
      <c r="C319" s="1472">
        <v>0.24707437817445815</v>
      </c>
      <c r="D319" s="1014">
        <v>0.24475470604839339</v>
      </c>
      <c r="E319" s="1014">
        <v>0.24014755813231303</v>
      </c>
      <c r="F319" s="1015">
        <v>0.24192153727604054</v>
      </c>
      <c r="G319" s="1472">
        <v>0.16417029368866656</v>
      </c>
      <c r="H319" s="1014">
        <v>0.15724027610388408</v>
      </c>
      <c r="I319" s="1014">
        <v>0.15241493272152976</v>
      </c>
      <c r="J319" s="1015">
        <v>0</v>
      </c>
      <c r="K319" s="1472">
        <v>0.26135392856856221</v>
      </c>
      <c r="L319" s="1014">
        <v>0.25838808670007218</v>
      </c>
      <c r="M319" s="1014">
        <v>0.25356462556798526</v>
      </c>
      <c r="N319" s="1015">
        <v>0.25468781405513236</v>
      </c>
    </row>
    <row r="320" spans="1:14">
      <c r="B320" s="173" t="s">
        <v>252</v>
      </c>
      <c r="C320" s="1472">
        <v>0.25706929293556768</v>
      </c>
      <c r="D320" s="1014">
        <v>0.25419067358520375</v>
      </c>
      <c r="E320" s="1014">
        <v>0.25080742101167597</v>
      </c>
      <c r="F320" s="1015">
        <v>0.24992477034837002</v>
      </c>
      <c r="G320" s="1472">
        <v>0.3137728883915436</v>
      </c>
      <c r="H320" s="1014">
        <v>0.30494204416787857</v>
      </c>
      <c r="I320" s="1014">
        <v>0.2968165935293593</v>
      </c>
      <c r="J320" s="1015">
        <v>0</v>
      </c>
      <c r="K320" s="1472">
        <v>0.25021545169790488</v>
      </c>
      <c r="L320" s="1014">
        <v>0.24717357381637278</v>
      </c>
      <c r="M320" s="1014">
        <v>0.24313186572795972</v>
      </c>
      <c r="N320" s="1015">
        <v>0.24279085484257584</v>
      </c>
    </row>
    <row r="321" spans="2:14">
      <c r="B321" s="173" t="s">
        <v>253</v>
      </c>
      <c r="C321" s="1472">
        <v>0</v>
      </c>
      <c r="D321" s="1014">
        <v>0</v>
      </c>
      <c r="E321" s="1014">
        <v>0</v>
      </c>
      <c r="F321" s="1015">
        <v>0</v>
      </c>
      <c r="G321" s="1472">
        <v>0</v>
      </c>
      <c r="H321" s="1014">
        <v>0</v>
      </c>
      <c r="I321" s="1014">
        <v>0</v>
      </c>
      <c r="J321" s="1015">
        <v>0</v>
      </c>
      <c r="K321" s="1472">
        <v>0</v>
      </c>
      <c r="L321" s="1014">
        <v>0</v>
      </c>
      <c r="M321" s="1014">
        <v>0</v>
      </c>
      <c r="N321" s="1015">
        <v>0</v>
      </c>
    </row>
    <row r="322" spans="2:14">
      <c r="B322" s="173" t="s">
        <v>312</v>
      </c>
      <c r="C322" s="1472">
        <v>9.2717225590605804E-3</v>
      </c>
      <c r="D322" s="1014">
        <v>9.4771065598844018E-3</v>
      </c>
      <c r="E322" s="1014">
        <v>9.6520187931062942E-3</v>
      </c>
      <c r="F322" s="1015">
        <v>9.7463122242886016E-3</v>
      </c>
      <c r="G322" s="1472">
        <v>1.061335684819757E-2</v>
      </c>
      <c r="H322" s="1014">
        <v>1.0641279420721069E-2</v>
      </c>
      <c r="I322" s="1014">
        <v>1.0698755351518716E-2</v>
      </c>
      <c r="J322" s="1015">
        <v>0</v>
      </c>
      <c r="K322" s="1472">
        <v>9.8417526710764987E-3</v>
      </c>
      <c r="L322" s="1014">
        <v>1.0046908536733313E-2</v>
      </c>
      <c r="M322" s="1014">
        <v>1.0251353531868523E-2</v>
      </c>
      <c r="N322" s="1015">
        <v>1.0312164730308203E-2</v>
      </c>
    </row>
    <row r="323" spans="2:14">
      <c r="B323" s="173" t="s">
        <v>313</v>
      </c>
      <c r="C323" s="1472">
        <v>2.5882299936560625E-2</v>
      </c>
      <c r="D323" s="1014">
        <v>2.6455635719381063E-2</v>
      </c>
      <c r="E323" s="1014">
        <v>2.6943908621636824E-2</v>
      </c>
      <c r="F323" s="1015">
        <v>2.7207131647602262E-2</v>
      </c>
      <c r="G323" s="1472">
        <v>2.9627513499134717E-2</v>
      </c>
      <c r="H323" s="1014">
        <v>2.970546022289074E-2</v>
      </c>
      <c r="I323" s="1014">
        <v>2.9865906059202339E-2</v>
      </c>
      <c r="J323" s="1015">
        <v>0</v>
      </c>
      <c r="K323" s="1472">
        <v>2.7473556603063169E-2</v>
      </c>
      <c r="L323" s="1014">
        <v>2.8046255539517586E-2</v>
      </c>
      <c r="M323" s="1014">
        <v>2.8616970058951433E-2</v>
      </c>
      <c r="N323" s="1015">
        <v>2.8786726397915588E-2</v>
      </c>
    </row>
    <row r="324" spans="2:14">
      <c r="B324" s="173" t="s">
        <v>314</v>
      </c>
      <c r="C324" s="1472">
        <v>2.5882299936560625E-2</v>
      </c>
      <c r="D324" s="1014">
        <v>2.6455635719381063E-2</v>
      </c>
      <c r="E324" s="1014">
        <v>2.6943908621636824E-2</v>
      </c>
      <c r="F324" s="1015">
        <v>2.7207131647602262E-2</v>
      </c>
      <c r="G324" s="1472">
        <v>2.9627513499134717E-2</v>
      </c>
      <c r="H324" s="1014">
        <v>2.970546022289074E-2</v>
      </c>
      <c r="I324" s="1014">
        <v>2.9865906059202339E-2</v>
      </c>
      <c r="J324" s="1015">
        <v>0</v>
      </c>
      <c r="K324" s="1472">
        <v>2.7473556603063169E-2</v>
      </c>
      <c r="L324" s="1014">
        <v>2.8046255539517586E-2</v>
      </c>
      <c r="M324" s="1014">
        <v>2.8616970058951433E-2</v>
      </c>
      <c r="N324" s="1015">
        <v>2.8786726397915588E-2</v>
      </c>
    </row>
    <row r="325" spans="2:14">
      <c r="B325" s="173" t="s">
        <v>297</v>
      </c>
      <c r="C325" s="1472">
        <v>1.1296622839078455E-2</v>
      </c>
      <c r="D325" s="1014">
        <v>1.133335330765344E-2</v>
      </c>
      <c r="E325" s="1014">
        <v>1.1058411145297443E-2</v>
      </c>
      <c r="F325" s="1015">
        <v>1.13049671240121E-2</v>
      </c>
      <c r="G325" s="1472">
        <v>1.2471137971256704E-2</v>
      </c>
      <c r="H325" s="1014">
        <v>1.1878517966740717E-2</v>
      </c>
      <c r="I325" s="1014">
        <v>1.1475887855322546E-2</v>
      </c>
      <c r="J325" s="1015">
        <v>0</v>
      </c>
      <c r="K325" s="1472">
        <v>1.1889559007995593E-2</v>
      </c>
      <c r="L325" s="1014">
        <v>1.1927931324706169E-2</v>
      </c>
      <c r="M325" s="1014">
        <v>1.1644587828088082E-2</v>
      </c>
      <c r="N325" s="1015">
        <v>1.1881232643222602E-2</v>
      </c>
    </row>
    <row r="326" spans="2:14">
      <c r="B326" s="173" t="s">
        <v>315</v>
      </c>
      <c r="C326" s="1472">
        <v>6.4908437389317028E-3</v>
      </c>
      <c r="D326" s="1014">
        <v>6.3418117134917476E-3</v>
      </c>
      <c r="E326" s="1014">
        <v>6.158996003061191E-3</v>
      </c>
      <c r="F326" s="1015">
        <v>6.1246960930186707E-3</v>
      </c>
      <c r="G326" s="1472">
        <v>5.229885531385794E-3</v>
      </c>
      <c r="H326" s="1014">
        <v>4.9685058148314009E-3</v>
      </c>
      <c r="I326" s="1014">
        <v>4.7585859384623626E-3</v>
      </c>
      <c r="J326" s="1015">
        <v>0</v>
      </c>
      <c r="K326" s="1472">
        <v>6.2169627197670206E-3</v>
      </c>
      <c r="L326" s="1014">
        <v>6.0744699768510201E-3</v>
      </c>
      <c r="M326" s="1014">
        <v>5.8607908776439456E-3</v>
      </c>
      <c r="N326" s="1015">
        <v>5.8681337675752761E-3</v>
      </c>
    </row>
    <row r="327" spans="2:14">
      <c r="B327" s="173" t="s">
        <v>316</v>
      </c>
      <c r="C327" s="1472">
        <v>3.1068087250983758E-3</v>
      </c>
      <c r="D327" s="1014">
        <v>3.1053383665937727E-3</v>
      </c>
      <c r="E327" s="1014">
        <v>3.0895185065407376E-3</v>
      </c>
      <c r="F327" s="1015">
        <v>3.1086872971634286E-3</v>
      </c>
      <c r="G327" s="1472">
        <v>2.4672166400554769E-3</v>
      </c>
      <c r="H327" s="1014">
        <v>2.4382449151648931E-3</v>
      </c>
      <c r="I327" s="1014">
        <v>2.4020129365177902E-3</v>
      </c>
      <c r="J327" s="1015">
        <v>0</v>
      </c>
      <c r="K327" s="1472">
        <v>3.0812409665773462E-3</v>
      </c>
      <c r="L327" s="1014">
        <v>3.0783037417123887E-3</v>
      </c>
      <c r="M327" s="1014">
        <v>3.0818582841075077E-3</v>
      </c>
      <c r="N327" s="1015">
        <v>3.0789628085333802E-3</v>
      </c>
    </row>
    <row r="328" spans="2:14">
      <c r="B328" s="173" t="s">
        <v>251</v>
      </c>
      <c r="C328" s="1472">
        <v>7.0066607152903561E-3</v>
      </c>
      <c r="D328" s="1014">
        <v>6.9834675615092828E-3</v>
      </c>
      <c r="E328" s="1014">
        <v>6.9361131166557214E-3</v>
      </c>
      <c r="F328" s="1015">
        <v>7.0030715800448616E-3</v>
      </c>
      <c r="G328" s="1472">
        <v>5.9088068093934843E-4</v>
      </c>
      <c r="H328" s="1014">
        <v>5.8838375491558148E-4</v>
      </c>
      <c r="I328" s="1014">
        <v>5.8312227742022388E-4</v>
      </c>
      <c r="J328" s="1015">
        <v>0</v>
      </c>
      <c r="K328" s="1472">
        <v>6.8130640305978443E-3</v>
      </c>
      <c r="L328" s="1014">
        <v>6.7980428137622735E-3</v>
      </c>
      <c r="M328" s="1014">
        <v>6.8326252994878444E-3</v>
      </c>
      <c r="N328" s="1015">
        <v>6.8187584517768809E-3</v>
      </c>
    </row>
    <row r="329" spans="2:14">
      <c r="B329" s="173" t="s">
        <v>317</v>
      </c>
      <c r="C329" s="1472">
        <v>1.6008588113011007E-2</v>
      </c>
      <c r="D329" s="1014">
        <v>1.5619488668966655E-2</v>
      </c>
      <c r="E329" s="1014">
        <v>1.5316091699416029E-2</v>
      </c>
      <c r="F329" s="1015">
        <v>1.5219773260416961E-2</v>
      </c>
      <c r="G329" s="1472">
        <v>7.7430558021202621E-3</v>
      </c>
      <c r="H329" s="1014">
        <v>7.49324075322318E-3</v>
      </c>
      <c r="I329" s="1014">
        <v>7.2746165137442071E-3</v>
      </c>
      <c r="J329" s="1015">
        <v>0</v>
      </c>
      <c r="K329" s="1472">
        <v>1.6650468567580026E-2</v>
      </c>
      <c r="L329" s="1014">
        <v>1.6208613828269602E-2</v>
      </c>
      <c r="M329" s="1014">
        <v>1.5897993893992369E-2</v>
      </c>
      <c r="N329" s="1015">
        <v>1.5758685038931707E-2</v>
      </c>
    </row>
    <row r="330" spans="2:14">
      <c r="B330" s="173" t="s">
        <v>318</v>
      </c>
      <c r="C330" s="1472">
        <v>0.12543365964531605</v>
      </c>
      <c r="D330" s="1014">
        <v>0.12093533068622027</v>
      </c>
      <c r="E330" s="1014">
        <v>0.11945413824847483</v>
      </c>
      <c r="F330" s="1015">
        <v>0.11601427184565487</v>
      </c>
      <c r="G330" s="1472">
        <v>6.0219025485797439E-2</v>
      </c>
      <c r="H330" s="1014">
        <v>5.809811216402478E-2</v>
      </c>
      <c r="I330" s="1014">
        <v>5.6624898969529776E-2</v>
      </c>
      <c r="J330" s="1015">
        <v>0</v>
      </c>
      <c r="K330" s="1472">
        <v>0.10874034697279635</v>
      </c>
      <c r="L330" s="1014">
        <v>0.10459214513777636</v>
      </c>
      <c r="M330" s="1014">
        <v>0.10198097039044549</v>
      </c>
      <c r="N330" s="1015">
        <v>0.1001743818832122</v>
      </c>
    </row>
    <row r="331" spans="2:14">
      <c r="B331" s="174" t="s">
        <v>319</v>
      </c>
      <c r="C331" s="1473">
        <v>6.8239675576928616E-2</v>
      </c>
      <c r="D331" s="1016">
        <v>6.5520438665136488E-2</v>
      </c>
      <c r="E331" s="1016">
        <v>6.2949345718784536E-2</v>
      </c>
      <c r="F331" s="1017">
        <v>6.2297077021604419E-2</v>
      </c>
      <c r="G331" s="1473">
        <v>5.2714250619939583E-3</v>
      </c>
      <c r="H331" s="1016">
        <v>5.0242199969563152E-3</v>
      </c>
      <c r="I331" s="1016">
        <v>4.7491382388516025E-3</v>
      </c>
      <c r="J331" s="1017">
        <v>0</v>
      </c>
      <c r="K331" s="1473">
        <v>6.0661385714024858E-2</v>
      </c>
      <c r="L331" s="1016">
        <v>5.8113367727830302E-2</v>
      </c>
      <c r="M331" s="1016">
        <v>5.5974273767050796E-2</v>
      </c>
      <c r="N331" s="1017">
        <v>5.5110375497839356E-2</v>
      </c>
    </row>
    <row r="333" spans="2:14">
      <c r="C333" s="2070"/>
      <c r="D333" s="2070"/>
      <c r="E333" s="2070"/>
      <c r="F333" s="2070"/>
      <c r="G333" s="2070"/>
      <c r="H333" s="2070"/>
      <c r="I333" s="2070"/>
      <c r="J333" s="2070"/>
      <c r="K333" s="2070"/>
      <c r="L333" s="2070"/>
      <c r="M333" s="2070"/>
      <c r="N333" s="2070"/>
    </row>
    <row r="334" spans="2:14">
      <c r="C334" s="2070"/>
      <c r="D334" s="2070"/>
      <c r="E334" s="2070"/>
      <c r="F334" s="2070"/>
      <c r="G334" s="2070"/>
      <c r="H334" s="2070"/>
      <c r="I334" s="2070"/>
      <c r="J334" s="2070"/>
      <c r="K334" s="2070"/>
      <c r="L334" s="2070"/>
      <c r="M334" s="2070"/>
      <c r="N334" s="2070"/>
    </row>
    <row r="335" spans="2:14">
      <c r="C335" s="2070"/>
      <c r="D335" s="2070"/>
      <c r="E335" s="2070"/>
      <c r="F335" s="2070"/>
      <c r="G335" s="2070"/>
      <c r="H335" s="2070"/>
      <c r="I335" s="2070"/>
      <c r="J335" s="2070"/>
      <c r="K335" s="2070"/>
      <c r="L335" s="2070"/>
      <c r="M335" s="2070"/>
      <c r="N335" s="2070"/>
    </row>
    <row r="336" spans="2:14">
      <c r="C336" s="2070"/>
      <c r="D336" s="2070"/>
      <c r="E336" s="2070"/>
      <c r="F336" s="2070"/>
      <c r="G336" s="2070"/>
      <c r="H336" s="2070"/>
      <c r="I336" s="2070"/>
      <c r="J336" s="2070"/>
      <c r="K336" s="2070"/>
      <c r="L336" s="2070"/>
      <c r="M336" s="2070"/>
      <c r="N336" s="2070"/>
    </row>
    <row r="337" spans="3:14">
      <c r="C337" s="2070"/>
      <c r="D337" s="2070"/>
      <c r="E337" s="2070"/>
      <c r="F337" s="2070"/>
      <c r="G337" s="2070"/>
      <c r="H337" s="2070"/>
      <c r="I337" s="2070"/>
      <c r="J337" s="2070"/>
      <c r="K337" s="2070"/>
      <c r="L337" s="2070"/>
      <c r="M337" s="2070"/>
      <c r="N337" s="2070"/>
    </row>
    <row r="338" spans="3:14">
      <c r="C338" s="2070"/>
      <c r="D338" s="2070"/>
      <c r="E338" s="2070"/>
      <c r="F338" s="2070"/>
      <c r="G338" s="2070"/>
      <c r="H338" s="2070"/>
      <c r="I338" s="2070"/>
      <c r="J338" s="2070"/>
      <c r="K338" s="2070"/>
      <c r="L338" s="2070"/>
      <c r="M338" s="2070"/>
      <c r="N338" s="2070"/>
    </row>
    <row r="339" spans="3:14">
      <c r="C339" s="2070"/>
      <c r="D339" s="2070"/>
      <c r="E339" s="2070"/>
      <c r="F339" s="2070"/>
      <c r="G339" s="2070"/>
      <c r="H339" s="2070"/>
      <c r="I339" s="2070"/>
      <c r="J339" s="2070"/>
      <c r="K339" s="2070"/>
      <c r="L339" s="2070"/>
      <c r="M339" s="2070"/>
      <c r="N339" s="2070"/>
    </row>
    <row r="340" spans="3:14">
      <c r="C340" s="2070"/>
      <c r="D340" s="2070"/>
      <c r="E340" s="2070"/>
      <c r="F340" s="2070"/>
      <c r="G340" s="2070"/>
      <c r="H340" s="2070"/>
      <c r="I340" s="2070"/>
      <c r="J340" s="2070"/>
      <c r="K340" s="2070"/>
      <c r="L340" s="2070"/>
      <c r="M340" s="2070"/>
      <c r="N340" s="2070"/>
    </row>
    <row r="341" spans="3:14">
      <c r="C341" s="2070"/>
      <c r="D341" s="2070"/>
      <c r="E341" s="2070"/>
      <c r="F341" s="2070"/>
      <c r="G341" s="2070"/>
      <c r="H341" s="2070"/>
      <c r="I341" s="2070"/>
      <c r="J341" s="2070"/>
      <c r="K341" s="2070"/>
      <c r="L341" s="2070"/>
      <c r="M341" s="2070"/>
      <c r="N341" s="2070"/>
    </row>
    <row r="342" spans="3:14">
      <c r="C342" s="2070"/>
      <c r="D342" s="2070"/>
      <c r="E342" s="2070"/>
      <c r="F342" s="2070"/>
      <c r="G342" s="2070"/>
      <c r="H342" s="2070"/>
      <c r="I342" s="2070"/>
      <c r="J342" s="2070"/>
      <c r="K342" s="2070"/>
      <c r="L342" s="2070"/>
      <c r="M342" s="2070"/>
      <c r="N342" s="2070"/>
    </row>
    <row r="343" spans="3:14">
      <c r="C343" s="2070"/>
      <c r="D343" s="2070"/>
      <c r="E343" s="2070"/>
      <c r="F343" s="2070"/>
      <c r="G343" s="2070"/>
      <c r="H343" s="2070"/>
      <c r="I343" s="2070"/>
      <c r="J343" s="2070"/>
      <c r="K343" s="2070"/>
      <c r="L343" s="2070"/>
      <c r="M343" s="2070"/>
      <c r="N343" s="2070"/>
    </row>
    <row r="344" spans="3:14">
      <c r="C344" s="2070"/>
      <c r="D344" s="2070"/>
      <c r="E344" s="2070"/>
      <c r="F344" s="2070"/>
      <c r="G344" s="2070"/>
      <c r="H344" s="2070"/>
      <c r="I344" s="2070"/>
      <c r="J344" s="2070"/>
      <c r="K344" s="2070"/>
      <c r="L344" s="2070"/>
      <c r="M344" s="2070"/>
      <c r="N344" s="2070"/>
    </row>
    <row r="345" spans="3:14">
      <c r="C345" s="2070"/>
      <c r="D345" s="2070"/>
      <c r="E345" s="2070"/>
      <c r="F345" s="2070"/>
      <c r="G345" s="2070"/>
      <c r="H345" s="2070"/>
      <c r="I345" s="2070"/>
      <c r="J345" s="2070"/>
      <c r="K345" s="2070"/>
      <c r="L345" s="2070"/>
      <c r="M345" s="2070"/>
      <c r="N345" s="2070"/>
    </row>
    <row r="346" spans="3:14">
      <c r="C346" s="2070"/>
      <c r="D346" s="2070"/>
      <c r="E346" s="2070"/>
      <c r="F346" s="2070"/>
      <c r="G346" s="2070"/>
      <c r="H346" s="2070"/>
      <c r="I346" s="2070"/>
      <c r="J346" s="2070"/>
      <c r="K346" s="2070"/>
      <c r="L346" s="2070"/>
      <c r="M346" s="2070"/>
      <c r="N346" s="2070"/>
    </row>
    <row r="347" spans="3:14">
      <c r="C347" s="2070"/>
      <c r="D347" s="2070"/>
      <c r="E347" s="2070"/>
      <c r="F347" s="2070"/>
      <c r="G347" s="2070"/>
      <c r="H347" s="2070"/>
      <c r="I347" s="2070"/>
      <c r="J347" s="2070"/>
      <c r="K347" s="2070"/>
      <c r="L347" s="2070"/>
      <c r="M347" s="2070"/>
      <c r="N347" s="2070"/>
    </row>
    <row r="348" spans="3:14">
      <c r="C348" s="2070"/>
      <c r="D348" s="2070"/>
      <c r="E348" s="2070"/>
      <c r="F348" s="2070"/>
      <c r="G348" s="2070"/>
      <c r="H348" s="2070"/>
      <c r="I348" s="2070"/>
      <c r="J348" s="2070"/>
      <c r="K348" s="2070"/>
      <c r="L348" s="2070"/>
      <c r="M348" s="2070"/>
      <c r="N348" s="2070"/>
    </row>
    <row r="349" spans="3:14">
      <c r="C349" s="2070"/>
      <c r="D349" s="2070"/>
      <c r="E349" s="2070"/>
      <c r="F349" s="2070"/>
      <c r="G349" s="2070"/>
      <c r="H349" s="2070"/>
      <c r="I349" s="2070"/>
      <c r="J349" s="2070"/>
      <c r="K349" s="2070"/>
      <c r="L349" s="2070"/>
      <c r="M349" s="2070"/>
      <c r="N349" s="2070"/>
    </row>
  </sheetData>
  <mergeCells count="13">
    <mergeCell ref="W109:AF109"/>
    <mergeCell ref="H214:I214"/>
    <mergeCell ref="B313:B314"/>
    <mergeCell ref="C313:F313"/>
    <mergeCell ref="G313:J313"/>
    <mergeCell ref="K313:N313"/>
    <mergeCell ref="C109:F109"/>
    <mergeCell ref="M109:V109"/>
    <mergeCell ref="H8:K8"/>
    <mergeCell ref="L8:O8"/>
    <mergeCell ref="P8:S8"/>
    <mergeCell ref="B85:F85"/>
    <mergeCell ref="B91:F91"/>
  </mergeCell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81B62333-7D11-4EDE-83C5-726CDEF308F3}">
            <xm:f>OR(MHDV_Inputs!$B$3=2,MHDV_Inputs!$B$3=3)</xm:f>
            <x14:dxf>
              <fill>
                <patternFill>
                  <bgColor theme="1" tint="0.24994659260841701"/>
                </patternFill>
              </fill>
            </x14:dxf>
          </x14:cfRule>
          <xm:sqref>D4 D9:D10 H10:K10 D22 D33:D42 D46:D55 D64:D65 C70 C80:D80 C87:F87 C93:F93 D111:D214 D230 D287:D294 D298:D305 D309:D310 C315:F331</xm:sqref>
        </x14:conditionalFormatting>
      </x14:conditionalFormatting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2">
    <tabColor theme="9" tint="0.59999389629810485"/>
  </sheetPr>
  <dimension ref="A1:AF349"/>
  <sheetViews>
    <sheetView showGridLines="0" zoomScale="85" zoomScaleNormal="85" workbookViewId="0"/>
  </sheetViews>
  <sheetFormatPr defaultColWidth="9.140625" defaultRowHeight="12.75"/>
  <cols>
    <col min="1" max="1" width="1.7109375" style="1321" customWidth="1"/>
    <col min="2" max="2" width="47.5703125" style="1321" customWidth="1"/>
    <col min="3" max="3" width="23.7109375" style="1321" customWidth="1"/>
    <col min="4" max="4" width="21.5703125" style="1321" customWidth="1"/>
    <col min="5" max="5" width="23.5703125" style="1321" customWidth="1"/>
    <col min="6" max="6" width="21.28515625" style="1321" customWidth="1"/>
    <col min="7" max="7" width="24" style="1321" customWidth="1"/>
    <col min="8" max="8" width="21.85546875" style="1321" customWidth="1"/>
    <col min="9" max="9" width="27.7109375" style="1321" customWidth="1"/>
    <col min="10" max="10" width="21.42578125" style="1321" customWidth="1"/>
    <col min="11" max="11" width="31.140625" style="1321" customWidth="1"/>
    <col min="12" max="12" width="28" style="1321" customWidth="1"/>
    <col min="13" max="13" width="23.85546875" style="1321" customWidth="1"/>
    <col min="14" max="14" width="27.42578125" style="1321" customWidth="1"/>
    <col min="15" max="15" width="24" style="1321" customWidth="1"/>
    <col min="16" max="16" width="20.85546875" style="1321" bestFit="1" customWidth="1"/>
    <col min="17" max="17" width="10.28515625" style="1321" bestFit="1" customWidth="1"/>
    <col min="18" max="18" width="12.28515625" style="1321" customWidth="1"/>
    <col min="19" max="19" width="11.42578125" style="1321" bestFit="1" customWidth="1"/>
    <col min="20" max="20" width="11.85546875" style="1321" customWidth="1"/>
    <col min="21" max="21" width="13.28515625" style="1321" customWidth="1"/>
    <col min="22" max="22" width="11.28515625" style="1321" customWidth="1"/>
    <col min="23" max="23" width="14" style="1321" customWidth="1"/>
    <col min="24" max="24" width="14.42578125" style="1321" customWidth="1"/>
    <col min="25" max="25" width="14.140625" style="1321" customWidth="1"/>
    <col min="26" max="26" width="11.85546875" style="1321" bestFit="1" customWidth="1"/>
    <col min="27" max="27" width="10.28515625" style="1321" bestFit="1" customWidth="1"/>
    <col min="28" max="28" width="10.42578125" style="1321" bestFit="1" customWidth="1"/>
    <col min="29" max="29" width="11.42578125" style="1321" bestFit="1" customWidth="1"/>
    <col min="30" max="30" width="10.42578125" style="1321" bestFit="1" customWidth="1"/>
    <col min="31" max="31" width="13.28515625" style="1321" customWidth="1"/>
    <col min="32" max="32" width="11.28515625" style="1321" customWidth="1"/>
    <col min="33" max="33" width="11.140625" style="1321" customWidth="1"/>
    <col min="34" max="34" width="11.85546875" style="1321" customWidth="1"/>
    <col min="35" max="35" width="10.7109375" style="1321" customWidth="1"/>
    <col min="36" max="36" width="11.85546875" style="1321" customWidth="1"/>
    <col min="37" max="16384" width="9.140625" style="1321"/>
  </cols>
  <sheetData>
    <row r="1" spans="1:25" ht="15.75">
      <c r="A1" s="1971" t="s">
        <v>2502</v>
      </c>
    </row>
    <row r="2" spans="1:25" ht="15">
      <c r="A2" s="120" t="s">
        <v>2459</v>
      </c>
    </row>
    <row r="3" spans="1:25">
      <c r="B3" s="1627"/>
      <c r="C3" s="1630" t="s">
        <v>203</v>
      </c>
      <c r="D3" s="1628" t="s">
        <v>194</v>
      </c>
      <c r="E3" s="1628" t="s">
        <v>167</v>
      </c>
      <c r="F3" s="1629" t="s">
        <v>198</v>
      </c>
      <c r="G3" s="201"/>
      <c r="H3" s="1859"/>
      <c r="I3" s="1859"/>
      <c r="J3" s="1859"/>
      <c r="K3" s="1859"/>
      <c r="N3" s="1859"/>
      <c r="O3" s="1859"/>
      <c r="P3" s="1859"/>
      <c r="Q3" s="1859"/>
      <c r="R3" s="1859"/>
      <c r="S3" s="1859"/>
      <c r="T3" s="1859"/>
      <c r="U3" s="1859"/>
      <c r="V3" s="1859"/>
      <c r="W3" s="1859"/>
      <c r="X3" s="1859"/>
      <c r="Y3" s="1859"/>
    </row>
    <row r="4" spans="1:25">
      <c r="B4" s="1625" t="s">
        <v>2503</v>
      </c>
      <c r="C4" s="1972">
        <f xml:space="preserve"> SUM(C9,C14:O14,C22)</f>
        <v>16631.476286907826</v>
      </c>
      <c r="D4" s="1973">
        <f xml:space="preserve"> D9+D10+SUM(C15:O15)+D22</f>
        <v>16896.67802003464</v>
      </c>
      <c r="E4" s="1973">
        <f xml:space="preserve"> E9+E10+SUM(C16:O16)+E22</f>
        <v>23720.821123498943</v>
      </c>
      <c r="F4" s="1974">
        <f xml:space="preserve"> F9+F10+SUM(C17:O17)+F22</f>
        <v>17456.589311181106</v>
      </c>
      <c r="G4" s="1975"/>
      <c r="H4" s="1975"/>
      <c r="I4" s="1975"/>
      <c r="J4" s="1975"/>
      <c r="K4" s="1975"/>
      <c r="N4" s="631"/>
      <c r="O4" s="631"/>
      <c r="P4" s="631"/>
      <c r="Q4" s="631"/>
      <c r="R4" s="631"/>
      <c r="S4" s="631"/>
      <c r="T4" s="631"/>
      <c r="U4" s="631"/>
      <c r="V4" s="631"/>
      <c r="W4" s="631"/>
      <c r="X4" s="631"/>
      <c r="Y4" s="631"/>
    </row>
    <row r="5" spans="1:25">
      <c r="D5" s="631"/>
      <c r="F5" s="1976"/>
      <c r="G5" s="1977"/>
      <c r="H5" s="1976"/>
      <c r="J5" s="1976"/>
      <c r="L5" s="1976"/>
    </row>
    <row r="6" spans="1:25" ht="15">
      <c r="A6" s="120" t="s">
        <v>610</v>
      </c>
    </row>
    <row r="7" spans="1:25">
      <c r="A7" s="172" t="s">
        <v>611</v>
      </c>
    </row>
    <row r="8" spans="1:25">
      <c r="A8" s="172"/>
      <c r="B8" s="1627"/>
      <c r="C8" s="1630" t="s">
        <v>203</v>
      </c>
      <c r="D8" s="1628" t="s">
        <v>194</v>
      </c>
      <c r="E8" s="1628" t="s">
        <v>167</v>
      </c>
      <c r="F8" s="1629" t="s">
        <v>198</v>
      </c>
      <c r="G8" s="1859"/>
      <c r="H8" s="3152" t="s">
        <v>194</v>
      </c>
      <c r="I8" s="3153"/>
      <c r="J8" s="3153"/>
      <c r="K8" s="3154"/>
      <c r="L8" s="3152" t="s">
        <v>167</v>
      </c>
      <c r="M8" s="3153"/>
      <c r="N8" s="3153"/>
      <c r="O8" s="3154"/>
      <c r="P8" s="3155" t="s">
        <v>198</v>
      </c>
      <c r="Q8" s="3156"/>
      <c r="R8" s="3156"/>
      <c r="S8" s="3157"/>
      <c r="T8" s="1859"/>
      <c r="U8" s="1859"/>
      <c r="V8" s="1859"/>
      <c r="W8" s="1859"/>
      <c r="X8" s="1859"/>
      <c r="Y8" s="1859"/>
    </row>
    <row r="9" spans="1:25">
      <c r="A9" s="172"/>
      <c r="B9" s="1860" t="s">
        <v>2504</v>
      </c>
      <c r="C9" s="1978">
        <v>207</v>
      </c>
      <c r="D9" s="1979">
        <v>138</v>
      </c>
      <c r="E9" s="1979">
        <v>69</v>
      </c>
      <c r="F9" s="1980">
        <v>69</v>
      </c>
      <c r="G9" s="1864"/>
      <c r="H9" s="1981" t="s">
        <v>222</v>
      </c>
      <c r="I9" s="1982" t="s">
        <v>221</v>
      </c>
      <c r="J9" s="1862" t="s">
        <v>226</v>
      </c>
      <c r="K9" s="1983" t="s">
        <v>213</v>
      </c>
      <c r="L9" s="1981" t="s">
        <v>222</v>
      </c>
      <c r="M9" s="1982" t="s">
        <v>221</v>
      </c>
      <c r="N9" s="1862" t="s">
        <v>226</v>
      </c>
      <c r="O9" s="1983" t="s">
        <v>213</v>
      </c>
      <c r="P9" s="1981" t="s">
        <v>222</v>
      </c>
      <c r="Q9" s="1982" t="s">
        <v>221</v>
      </c>
      <c r="R9" s="1862" t="s">
        <v>226</v>
      </c>
      <c r="S9" s="1983" t="s">
        <v>213</v>
      </c>
      <c r="T9" s="631"/>
      <c r="U9" s="631"/>
      <c r="V9" s="631"/>
      <c r="W9" s="631"/>
      <c r="X9" s="631"/>
      <c r="Y9" s="631"/>
    </row>
    <row r="10" spans="1:25">
      <c r="A10" s="172"/>
      <c r="B10" s="192" t="s">
        <v>2505</v>
      </c>
      <c r="C10" s="1984"/>
      <c r="D10" s="1985">
        <f xml:space="preserve"> IF(MHDV_Inputs!$C$98=1,H10,IF(MHDV_Inputs!$C$98=2,I10,IF(MHDV_Inputs!$C$98=3,J10,K10)))</f>
        <v>171.93438569938698</v>
      </c>
      <c r="E10" s="1985">
        <f xml:space="preserve"> IF(MHDV_Inputs!$C$99=1,L10,IF(MHDV_Inputs!$C$99=2,M10,IF(MHDV_Inputs!$C$99=3,N10,O10)))</f>
        <v>10243.366080466543</v>
      </c>
      <c r="F10" s="1986">
        <f xml:space="preserve"> IF(MHDV_Inputs!$C$100=1,P10,IF(MHDV_Inputs!$C$100=2,Q10,IF(MHDV_Inputs!$C$100=3,R10,S10)))</f>
        <v>212.1935975417457</v>
      </c>
      <c r="G10" s="1864"/>
      <c r="H10" s="1987">
        <v>155.15254768642856</v>
      </c>
      <c r="I10" s="1988">
        <v>171.93438569938698</v>
      </c>
      <c r="J10" s="1988">
        <v>179.2385265137442</v>
      </c>
      <c r="K10" s="1989">
        <v>182.05770984382201</v>
      </c>
      <c r="L10" s="1987">
        <v>9667.2404822037133</v>
      </c>
      <c r="M10" s="1988">
        <v>10243.366080466543</v>
      </c>
      <c r="N10" s="1988">
        <v>10927.674575288383</v>
      </c>
      <c r="O10" s="1989">
        <v>0</v>
      </c>
      <c r="P10" s="1987">
        <v>203.21893396540614</v>
      </c>
      <c r="Q10" s="1988">
        <v>212.1935975417457</v>
      </c>
      <c r="R10" s="1988">
        <v>222.0807639801034</v>
      </c>
      <c r="S10" s="1989">
        <v>225.65125978524034</v>
      </c>
    </row>
    <row r="11" spans="1:25">
      <c r="A11" s="172"/>
      <c r="C11" s="631"/>
      <c r="E11" s="631"/>
      <c r="K11" s="631"/>
      <c r="L11" s="631"/>
    </row>
    <row r="12" spans="1:25">
      <c r="A12" s="172" t="s">
        <v>622</v>
      </c>
      <c r="C12" s="1859"/>
      <c r="D12" s="1859"/>
      <c r="E12" s="1859"/>
      <c r="F12" s="1859"/>
      <c r="G12" s="1859"/>
      <c r="H12" s="1859"/>
      <c r="I12" s="1859"/>
    </row>
    <row r="13" spans="1:25">
      <c r="A13" s="172"/>
      <c r="B13" s="640"/>
      <c r="C13" s="1868" t="s">
        <v>157</v>
      </c>
      <c r="D13" s="1869" t="s">
        <v>2339</v>
      </c>
      <c r="E13" s="1869" t="s">
        <v>2340</v>
      </c>
      <c r="F13" s="1869" t="s">
        <v>2376</v>
      </c>
      <c r="G13" s="1870" t="s">
        <v>2342</v>
      </c>
      <c r="H13" s="1870" t="s">
        <v>2343</v>
      </c>
      <c r="I13" s="1870" t="s">
        <v>158</v>
      </c>
      <c r="J13" s="1870" t="s">
        <v>159</v>
      </c>
      <c r="K13" s="1869" t="s">
        <v>160</v>
      </c>
      <c r="L13" s="1869" t="s">
        <v>161</v>
      </c>
      <c r="M13" s="1870" t="s">
        <v>2344</v>
      </c>
      <c r="N13" s="1869" t="s">
        <v>162</v>
      </c>
      <c r="O13" s="1871" t="s">
        <v>163</v>
      </c>
    </row>
    <row r="14" spans="1:25">
      <c r="A14" s="172"/>
      <c r="B14" s="1860" t="s">
        <v>2506</v>
      </c>
      <c r="C14" s="1978">
        <v>92.1973179684</v>
      </c>
      <c r="D14" s="1979">
        <v>15.43</v>
      </c>
      <c r="E14" s="1979">
        <v>45.181609883549996</v>
      </c>
      <c r="F14" s="1979">
        <v>30.86</v>
      </c>
      <c r="G14" s="1979">
        <v>19.004999999999999</v>
      </c>
      <c r="H14" s="1979">
        <v>38.01</v>
      </c>
      <c r="I14" s="1979">
        <v>0</v>
      </c>
      <c r="J14" s="1979">
        <v>0</v>
      </c>
      <c r="K14" s="1979">
        <v>14.06108307036</v>
      </c>
      <c r="L14" s="1979">
        <v>121.07064346251931</v>
      </c>
      <c r="M14" s="1979">
        <v>55.079669278936258</v>
      </c>
      <c r="N14" s="1979">
        <v>15.856268428784681</v>
      </c>
      <c r="O14" s="1980">
        <v>0</v>
      </c>
    </row>
    <row r="15" spans="1:25">
      <c r="A15" s="172"/>
      <c r="B15" s="191" t="s">
        <v>2507</v>
      </c>
      <c r="C15" s="1990">
        <v>92.1973179684</v>
      </c>
      <c r="D15" s="1991">
        <v>15.43</v>
      </c>
      <c r="E15" s="1991">
        <v>45.181609883549996</v>
      </c>
      <c r="F15" s="1991">
        <v>30.86</v>
      </c>
      <c r="G15" s="1991">
        <v>19.004999999999999</v>
      </c>
      <c r="H15" s="1991">
        <v>38.01</v>
      </c>
      <c r="I15" s="1991">
        <v>0</v>
      </c>
      <c r="J15" s="1991">
        <v>0</v>
      </c>
      <c r="K15" s="1991">
        <v>2.1632435177908937</v>
      </c>
      <c r="L15" s="1991">
        <v>121.07064346251931</v>
      </c>
      <c r="M15" s="1991">
        <v>55.079669278936258</v>
      </c>
      <c r="N15" s="1991">
        <v>15.856268428784681</v>
      </c>
      <c r="O15" s="1992">
        <v>0</v>
      </c>
    </row>
    <row r="16" spans="1:25">
      <c r="A16" s="172"/>
      <c r="B16" s="191" t="s">
        <v>2508</v>
      </c>
      <c r="C16" s="1990">
        <v>0</v>
      </c>
      <c r="D16" s="1991">
        <v>15.43</v>
      </c>
      <c r="E16" s="1991">
        <v>45.181609883549996</v>
      </c>
      <c r="F16" s="1991">
        <v>30.86</v>
      </c>
      <c r="G16" s="1991">
        <v>19.004999999999999</v>
      </c>
      <c r="H16" s="1991">
        <v>38.01</v>
      </c>
      <c r="I16" s="1991">
        <v>0</v>
      </c>
      <c r="J16" s="1991">
        <v>0</v>
      </c>
      <c r="K16" s="1991">
        <v>2.1632435177908937</v>
      </c>
      <c r="L16" s="1991">
        <v>83.017606031198042</v>
      </c>
      <c r="M16" s="1991">
        <v>37.767886200612935</v>
      </c>
      <c r="N16" s="1991">
        <v>15.856268428784681</v>
      </c>
      <c r="O16" s="1992">
        <v>0</v>
      </c>
    </row>
    <row r="17" spans="1:15">
      <c r="A17" s="172"/>
      <c r="B17" s="192" t="s">
        <v>2509</v>
      </c>
      <c r="C17" s="1993">
        <v>0</v>
      </c>
      <c r="D17" s="1994">
        <v>15.43</v>
      </c>
      <c r="E17" s="1994">
        <v>45.181609883549996</v>
      </c>
      <c r="F17" s="1994">
        <v>30.86</v>
      </c>
      <c r="G17" s="1994">
        <v>19.004999999999999</v>
      </c>
      <c r="H17" s="1994">
        <v>38.01</v>
      </c>
      <c r="I17" s="1994">
        <v>0</v>
      </c>
      <c r="J17" s="1994">
        <v>0</v>
      </c>
      <c r="K17" s="1994">
        <v>2.1632435177908937</v>
      </c>
      <c r="L17" s="1994">
        <v>83.017606031198042</v>
      </c>
      <c r="M17" s="1994">
        <v>37.767886200612935</v>
      </c>
      <c r="N17" s="1994">
        <v>15.856268428784681</v>
      </c>
      <c r="O17" s="1995">
        <v>0</v>
      </c>
    </row>
    <row r="18" spans="1:15">
      <c r="A18" s="172"/>
    </row>
    <row r="19" spans="1:15" s="8" customFormat="1" ht="15">
      <c r="A19" s="134" t="s">
        <v>2676</v>
      </c>
    </row>
    <row r="20" spans="1:15">
      <c r="A20" s="172" t="s">
        <v>2467</v>
      </c>
    </row>
    <row r="21" spans="1:15">
      <c r="A21" s="172"/>
      <c r="B21" s="1630"/>
      <c r="C21" s="1630" t="s">
        <v>203</v>
      </c>
      <c r="D21" s="1628" t="s">
        <v>194</v>
      </c>
      <c r="E21" s="1628" t="s">
        <v>167</v>
      </c>
      <c r="F21" s="1629" t="s">
        <v>198</v>
      </c>
      <c r="G21" s="1859"/>
      <c r="H21" s="1859"/>
      <c r="I21" s="1859"/>
      <c r="J21" s="1859"/>
      <c r="K21" s="1859"/>
      <c r="L21" s="1859"/>
    </row>
    <row r="22" spans="1:15">
      <c r="A22" s="172"/>
      <c r="B22" s="1920" t="s">
        <v>2503</v>
      </c>
      <c r="C22" s="1996">
        <f xml:space="preserve"> SUM(C33:C42)</f>
        <v>15977.724694815275</v>
      </c>
      <c r="D22" s="1997">
        <f t="shared" ref="D22:F22" si="0" xml:space="preserve"> SUM(D33:D42)</f>
        <v>16151.889881795272</v>
      </c>
      <c r="E22" s="1997">
        <f t="shared" si="0"/>
        <v>13121.163428970463</v>
      </c>
      <c r="F22" s="1998">
        <f t="shared" si="0"/>
        <v>16888.104099577424</v>
      </c>
      <c r="G22" s="631"/>
      <c r="H22" s="631"/>
      <c r="I22" s="631"/>
      <c r="J22" s="631"/>
      <c r="K22" s="631"/>
      <c r="L22" s="631"/>
    </row>
    <row r="23" spans="1:15">
      <c r="A23" s="172"/>
    </row>
    <row r="24" spans="1:15">
      <c r="A24" s="172" t="s">
        <v>644</v>
      </c>
    </row>
    <row r="25" spans="1:15">
      <c r="A25" s="172"/>
      <c r="B25" s="1999">
        <v>428</v>
      </c>
      <c r="C25" s="1321" t="s">
        <v>2510</v>
      </c>
    </row>
    <row r="26" spans="1:15">
      <c r="A26" s="172"/>
    </row>
    <row r="27" spans="1:15">
      <c r="A27" s="172" t="s">
        <v>2468</v>
      </c>
    </row>
    <row r="28" spans="1:15">
      <c r="A28" s="172"/>
      <c r="B28" s="2000">
        <v>1531.6940052296441</v>
      </c>
      <c r="C28" s="2001" t="s">
        <v>175</v>
      </c>
    </row>
    <row r="29" spans="1:15">
      <c r="A29" s="172"/>
      <c r="B29" s="1878">
        <f xml:space="preserve"> IF(MHDV_Inputs!$B$120=1,J33,K33)</f>
        <v>2208.7911939373171</v>
      </c>
      <c r="C29" s="2001" t="s">
        <v>2346</v>
      </c>
    </row>
    <row r="30" spans="1:15">
      <c r="A30" s="172"/>
    </row>
    <row r="31" spans="1:15">
      <c r="A31" s="172" t="s">
        <v>2511</v>
      </c>
    </row>
    <row r="32" spans="1:15" ht="25.5">
      <c r="A32" s="172"/>
      <c r="B32" s="1953" t="s">
        <v>2390</v>
      </c>
      <c r="C32" s="264" t="s">
        <v>203</v>
      </c>
      <c r="D32" s="175" t="s">
        <v>194</v>
      </c>
      <c r="E32" s="175" t="s">
        <v>167</v>
      </c>
      <c r="F32" s="176" t="s">
        <v>198</v>
      </c>
      <c r="G32" s="1859"/>
      <c r="H32" s="1859"/>
      <c r="I32" s="264"/>
      <c r="J32" s="175" t="s">
        <v>2470</v>
      </c>
      <c r="K32" s="176" t="s">
        <v>2471</v>
      </c>
      <c r="L32" s="1859"/>
    </row>
    <row r="33" spans="1:12">
      <c r="A33" s="172"/>
      <c r="B33" s="1879" t="s">
        <v>182</v>
      </c>
      <c r="C33" s="2002">
        <v>3008.6802266248128</v>
      </c>
      <c r="D33" s="2003">
        <v>2980.0201325648122</v>
      </c>
      <c r="E33" s="2003">
        <v>0</v>
      </c>
      <c r="F33" s="2004">
        <f xml:space="preserve"> B28</f>
        <v>1531.6940052296441</v>
      </c>
      <c r="G33" s="302"/>
      <c r="H33" s="302"/>
      <c r="I33" s="1019" t="s">
        <v>2438</v>
      </c>
      <c r="J33" s="2005">
        <v>2208.7911939373171</v>
      </c>
      <c r="K33" s="2006">
        <v>2763.3849077044092</v>
      </c>
      <c r="L33" s="302"/>
    </row>
    <row r="34" spans="1:12">
      <c r="A34" s="172"/>
      <c r="B34" s="1883" t="s">
        <v>183</v>
      </c>
      <c r="C34" s="2007">
        <v>943.57848135999984</v>
      </c>
      <c r="D34" s="1405">
        <v>943.57848135999984</v>
      </c>
      <c r="E34" s="1405">
        <v>403.44593946000003</v>
      </c>
      <c r="F34" s="2008">
        <v>412.26442994000001</v>
      </c>
      <c r="G34" s="302"/>
      <c r="H34" s="302"/>
      <c r="I34" s="302"/>
      <c r="J34" s="302"/>
      <c r="K34" s="302"/>
      <c r="L34" s="302"/>
    </row>
    <row r="35" spans="1:12">
      <c r="A35" s="172"/>
      <c r="B35" s="1883" t="s">
        <v>184</v>
      </c>
      <c r="C35" s="2007">
        <v>9273.251530987076</v>
      </c>
      <c r="D35" s="1405">
        <v>9273.251530987076</v>
      </c>
      <c r="E35" s="1405">
        <v>9273.251530987076</v>
      </c>
      <c r="F35" s="2008">
        <v>9273.251530987076</v>
      </c>
      <c r="G35" s="302"/>
      <c r="H35" s="302"/>
      <c r="I35" s="302"/>
      <c r="J35" s="302"/>
      <c r="K35" s="302"/>
      <c r="L35" s="302"/>
    </row>
    <row r="36" spans="1:12">
      <c r="A36" s="172"/>
      <c r="B36" s="1883" t="s">
        <v>185</v>
      </c>
      <c r="C36" s="2007">
        <v>0</v>
      </c>
      <c r="D36" s="1405">
        <v>183.40583923829789</v>
      </c>
      <c r="E36" s="1405">
        <v>625.97210348723399</v>
      </c>
      <c r="F36" s="2008">
        <v>641.92043733404262</v>
      </c>
      <c r="G36" s="302"/>
      <c r="H36" s="302"/>
      <c r="I36" s="302"/>
      <c r="J36" s="302"/>
      <c r="K36" s="302"/>
      <c r="L36" s="302"/>
    </row>
    <row r="37" spans="1:12">
      <c r="A37" s="172"/>
      <c r="B37" s="1883" t="s">
        <v>186</v>
      </c>
      <c r="C37" s="2007">
        <v>0</v>
      </c>
      <c r="D37" s="1405">
        <v>0</v>
      </c>
      <c r="E37" s="1405">
        <v>0</v>
      </c>
      <c r="F37" s="2008">
        <v>0</v>
      </c>
      <c r="G37" s="302"/>
      <c r="H37" s="302"/>
      <c r="I37" s="302"/>
      <c r="J37" s="302"/>
      <c r="K37" s="302"/>
      <c r="L37" s="302"/>
    </row>
    <row r="38" spans="1:12">
      <c r="A38" s="172"/>
      <c r="B38" s="1883" t="s">
        <v>187</v>
      </c>
      <c r="C38" s="2007">
        <v>0</v>
      </c>
      <c r="D38" s="1405">
        <v>19.419441801702128</v>
      </c>
      <c r="E38" s="1405">
        <v>66.27939919276595</v>
      </c>
      <c r="F38" s="2008">
        <v>67.968046305957444</v>
      </c>
      <c r="G38" s="302"/>
      <c r="H38" s="302"/>
      <c r="I38" s="302"/>
      <c r="J38" s="302"/>
      <c r="K38" s="302"/>
      <c r="L38" s="302"/>
    </row>
    <row r="39" spans="1:12">
      <c r="A39" s="172"/>
      <c r="B39" s="1883" t="s">
        <v>2346</v>
      </c>
      <c r="C39" s="2007">
        <v>0</v>
      </c>
      <c r="D39" s="1405">
        <v>0</v>
      </c>
      <c r="E39" s="1405">
        <v>0</v>
      </c>
      <c r="F39" s="2009">
        <f xml:space="preserve"> B29</f>
        <v>2208.7911939373171</v>
      </c>
      <c r="G39" s="302"/>
      <c r="H39" s="302"/>
      <c r="I39" s="302"/>
      <c r="J39" s="302"/>
      <c r="K39" s="302"/>
      <c r="L39" s="302"/>
    </row>
    <row r="40" spans="1:12">
      <c r="A40" s="172"/>
      <c r="B40" s="1883" t="s">
        <v>2427</v>
      </c>
      <c r="C40" s="2007">
        <v>0</v>
      </c>
      <c r="D40" s="1405">
        <v>0</v>
      </c>
      <c r="E40" s="1405">
        <v>0</v>
      </c>
      <c r="F40" s="2008">
        <v>0</v>
      </c>
      <c r="G40" s="302"/>
      <c r="H40" s="302"/>
      <c r="I40" s="302"/>
      <c r="J40" s="302"/>
      <c r="K40" s="302"/>
      <c r="L40" s="302"/>
    </row>
    <row r="41" spans="1:12">
      <c r="A41" s="172"/>
      <c r="B41" s="1884" t="s">
        <v>189</v>
      </c>
      <c r="C41" s="2007">
        <v>2752.2144558433856</v>
      </c>
      <c r="D41" s="1405">
        <v>2752.2144558433856</v>
      </c>
      <c r="E41" s="1405">
        <v>2752.2144558433856</v>
      </c>
      <c r="F41" s="2008">
        <v>2752.2144558433856</v>
      </c>
      <c r="G41" s="302"/>
      <c r="H41" s="302"/>
      <c r="I41" s="302"/>
      <c r="J41" s="302"/>
      <c r="K41" s="302"/>
      <c r="L41" s="302"/>
    </row>
    <row r="42" spans="1:12">
      <c r="A42" s="172"/>
      <c r="B42" s="1885" t="s">
        <v>2349</v>
      </c>
      <c r="C42" s="2010">
        <v>0</v>
      </c>
      <c r="D42" s="2011">
        <v>0</v>
      </c>
      <c r="E42" s="2011">
        <v>0</v>
      </c>
      <c r="F42" s="2012">
        <v>0</v>
      </c>
      <c r="G42" s="302"/>
      <c r="H42" s="302"/>
      <c r="I42" s="302"/>
      <c r="J42" s="302"/>
      <c r="K42" s="302"/>
      <c r="L42" s="302"/>
    </row>
    <row r="43" spans="1:12">
      <c r="A43" s="172"/>
    </row>
    <row r="44" spans="1:12">
      <c r="A44" s="172" t="s">
        <v>2512</v>
      </c>
    </row>
    <row r="45" spans="1:12">
      <c r="A45" s="172"/>
      <c r="B45" s="1953" t="s">
        <v>2390</v>
      </c>
      <c r="C45" s="264" t="s">
        <v>203</v>
      </c>
      <c r="D45" s="175" t="s">
        <v>194</v>
      </c>
      <c r="E45" s="175" t="s">
        <v>167</v>
      </c>
      <c r="F45" s="176" t="s">
        <v>198</v>
      </c>
      <c r="G45" s="302"/>
      <c r="H45" s="302"/>
      <c r="I45" s="302"/>
      <c r="J45" s="302"/>
      <c r="K45" s="302"/>
      <c r="L45" s="302"/>
    </row>
    <row r="46" spans="1:12">
      <c r="A46" s="172"/>
      <c r="B46" s="1879" t="s">
        <v>182</v>
      </c>
      <c r="C46" s="1419">
        <f t="shared" ref="C46:F55" si="1" xml:space="preserve"> C33/C$22</f>
        <v>0.18830467316795868</v>
      </c>
      <c r="D46" s="1420">
        <f t="shared" si="1"/>
        <v>0.1844997801726955</v>
      </c>
      <c r="E46" s="1420">
        <f t="shared" si="1"/>
        <v>0</v>
      </c>
      <c r="F46" s="1954">
        <f t="shared" si="1"/>
        <v>9.0696622675837862E-2</v>
      </c>
      <c r="G46" s="302"/>
      <c r="H46" s="302"/>
      <c r="I46" s="302"/>
      <c r="J46" s="302"/>
      <c r="K46" s="302"/>
      <c r="L46" s="302"/>
    </row>
    <row r="47" spans="1:12">
      <c r="A47" s="172"/>
      <c r="B47" s="1883" t="s">
        <v>183</v>
      </c>
      <c r="C47" s="1021">
        <f t="shared" si="1"/>
        <v>5.9055873059709704E-2</v>
      </c>
      <c r="D47" s="302">
        <f t="shared" si="1"/>
        <v>5.8419075926434048E-2</v>
      </c>
      <c r="E47" s="302">
        <f t="shared" si="1"/>
        <v>3.0747726117733139E-2</v>
      </c>
      <c r="F47" s="593">
        <f t="shared" si="1"/>
        <v>2.4411528227749127E-2</v>
      </c>
      <c r="G47" s="302"/>
      <c r="H47" s="302"/>
      <c r="I47" s="302"/>
      <c r="J47" s="302"/>
      <c r="K47" s="302"/>
      <c r="L47" s="302"/>
    </row>
    <row r="48" spans="1:12">
      <c r="A48" s="172"/>
      <c r="B48" s="1883" t="s">
        <v>184</v>
      </c>
      <c r="C48" s="1021">
        <f t="shared" si="1"/>
        <v>0.58038623822303181</v>
      </c>
      <c r="D48" s="302">
        <f t="shared" si="1"/>
        <v>0.57412795647145409</v>
      </c>
      <c r="E48" s="302">
        <f t="shared" si="1"/>
        <v>0.70674003728301182</v>
      </c>
      <c r="F48" s="593">
        <f t="shared" si="1"/>
        <v>0.5490996192532418</v>
      </c>
      <c r="G48" s="302"/>
      <c r="H48" s="302"/>
      <c r="I48" s="302"/>
      <c r="J48" s="302"/>
      <c r="K48" s="302"/>
      <c r="L48" s="302"/>
    </row>
    <row r="49" spans="1:12">
      <c r="A49" s="172"/>
      <c r="B49" s="1883" t="s">
        <v>185</v>
      </c>
      <c r="C49" s="1021">
        <f t="shared" si="1"/>
        <v>0</v>
      </c>
      <c r="D49" s="302">
        <f t="shared" si="1"/>
        <v>1.1355069937977589E-2</v>
      </c>
      <c r="E49" s="302">
        <f t="shared" si="1"/>
        <v>4.7707057905028334E-2</v>
      </c>
      <c r="F49" s="593">
        <f t="shared" si="1"/>
        <v>3.8010213197945932E-2</v>
      </c>
      <c r="G49" s="302"/>
      <c r="H49" s="302"/>
      <c r="I49" s="302"/>
      <c r="J49" s="302"/>
      <c r="K49" s="302"/>
      <c r="L49" s="302"/>
    </row>
    <row r="50" spans="1:12">
      <c r="A50" s="172"/>
      <c r="B50" s="1883" t="s">
        <v>186</v>
      </c>
      <c r="C50" s="1021">
        <f t="shared" si="1"/>
        <v>0</v>
      </c>
      <c r="D50" s="302">
        <f t="shared" si="1"/>
        <v>0</v>
      </c>
      <c r="E50" s="302">
        <f t="shared" si="1"/>
        <v>0</v>
      </c>
      <c r="F50" s="593">
        <f t="shared" si="1"/>
        <v>0</v>
      </c>
      <c r="G50" s="302"/>
      <c r="H50" s="302"/>
      <c r="I50" s="302"/>
      <c r="J50" s="302"/>
      <c r="K50" s="302"/>
      <c r="L50" s="302"/>
    </row>
    <row r="51" spans="1:12">
      <c r="A51" s="172"/>
      <c r="B51" s="1883" t="s">
        <v>187</v>
      </c>
      <c r="C51" s="1021">
        <f t="shared" si="1"/>
        <v>0</v>
      </c>
      <c r="D51" s="302">
        <f t="shared" si="1"/>
        <v>1.2023015228446858E-3</v>
      </c>
      <c r="E51" s="302">
        <f t="shared" si="1"/>
        <v>5.0513355428853527E-3</v>
      </c>
      <c r="F51" s="593">
        <f t="shared" si="1"/>
        <v>4.0246108091942746E-3</v>
      </c>
      <c r="G51" s="302"/>
      <c r="H51" s="302"/>
      <c r="I51" s="302"/>
      <c r="J51" s="302"/>
      <c r="K51" s="302"/>
      <c r="L51" s="302"/>
    </row>
    <row r="52" spans="1:12">
      <c r="A52" s="172"/>
      <c r="B52" s="1883" t="s">
        <v>2346</v>
      </c>
      <c r="C52" s="1021">
        <f t="shared" si="1"/>
        <v>0</v>
      </c>
      <c r="D52" s="302">
        <f t="shared" si="1"/>
        <v>0</v>
      </c>
      <c r="E52" s="302">
        <f t="shared" si="1"/>
        <v>0</v>
      </c>
      <c r="F52" s="593">
        <f t="shared" si="1"/>
        <v>0.1307897666258811</v>
      </c>
      <c r="G52" s="302"/>
      <c r="H52" s="302"/>
      <c r="I52" s="302"/>
      <c r="J52" s="302"/>
      <c r="K52" s="302"/>
      <c r="L52" s="302"/>
    </row>
    <row r="53" spans="1:12">
      <c r="A53" s="172"/>
      <c r="B53" s="1883" t="s">
        <v>2427</v>
      </c>
      <c r="C53" s="1021">
        <f t="shared" si="1"/>
        <v>0</v>
      </c>
      <c r="D53" s="302">
        <f t="shared" si="1"/>
        <v>0</v>
      </c>
      <c r="E53" s="302">
        <f t="shared" si="1"/>
        <v>0</v>
      </c>
      <c r="F53" s="593">
        <f t="shared" si="1"/>
        <v>0</v>
      </c>
      <c r="G53" s="302"/>
      <c r="H53" s="302"/>
      <c r="I53" s="302"/>
      <c r="J53" s="302"/>
      <c r="K53" s="302"/>
      <c r="L53" s="302"/>
    </row>
    <row r="54" spans="1:12">
      <c r="A54" s="172"/>
      <c r="B54" s="1884" t="s">
        <v>189</v>
      </c>
      <c r="C54" s="1021">
        <f t="shared" si="1"/>
        <v>0.17225321554929979</v>
      </c>
      <c r="D54" s="302">
        <f t="shared" si="1"/>
        <v>0.17039581596859418</v>
      </c>
      <c r="E54" s="302">
        <f t="shared" si="1"/>
        <v>0.20975384315134127</v>
      </c>
      <c r="F54" s="593">
        <f t="shared" si="1"/>
        <v>0.16296763921014981</v>
      </c>
    </row>
    <row r="55" spans="1:12">
      <c r="A55" s="172"/>
      <c r="B55" s="1885" t="s">
        <v>2349</v>
      </c>
      <c r="C55" s="1019">
        <f t="shared" si="1"/>
        <v>0</v>
      </c>
      <c r="D55" s="1020">
        <f t="shared" si="1"/>
        <v>0</v>
      </c>
      <c r="E55" s="1020">
        <f t="shared" si="1"/>
        <v>0</v>
      </c>
      <c r="F55" s="210">
        <f t="shared" si="1"/>
        <v>0</v>
      </c>
    </row>
    <row r="56" spans="1:12">
      <c r="A56" s="172"/>
    </row>
    <row r="57" spans="1:12">
      <c r="A57" s="172" t="s">
        <v>2513</v>
      </c>
    </row>
    <row r="58" spans="1:12">
      <c r="A58" s="172"/>
      <c r="B58" s="1886" t="s">
        <v>2352</v>
      </c>
      <c r="C58" s="1887" t="s">
        <v>2353</v>
      </c>
      <c r="D58" s="1888" t="s">
        <v>2382</v>
      </c>
    </row>
    <row r="59" spans="1:12">
      <c r="A59" s="172"/>
      <c r="B59" s="1889" t="s">
        <v>2355</v>
      </c>
      <c r="C59" s="2071">
        <v>7</v>
      </c>
      <c r="D59" s="2072">
        <v>2</v>
      </c>
    </row>
    <row r="60" spans="1:12">
      <c r="A60" s="172"/>
      <c r="B60" s="1890" t="s">
        <v>2356</v>
      </c>
      <c r="C60" s="2054">
        <v>3</v>
      </c>
      <c r="D60" s="2055">
        <v>8</v>
      </c>
    </row>
    <row r="61" spans="1:12">
      <c r="A61" s="172"/>
    </row>
    <row r="62" spans="1:12">
      <c r="A62" s="172" t="s">
        <v>2474</v>
      </c>
    </row>
    <row r="63" spans="1:12">
      <c r="B63" s="1891"/>
      <c r="C63" s="264" t="s">
        <v>203</v>
      </c>
      <c r="D63" s="175" t="s">
        <v>194</v>
      </c>
      <c r="E63" s="175" t="s">
        <v>167</v>
      </c>
      <c r="F63" s="176" t="s">
        <v>198</v>
      </c>
    </row>
    <row r="64" spans="1:12">
      <c r="B64" s="1860" t="s">
        <v>2355</v>
      </c>
      <c r="C64" s="2019">
        <v>120</v>
      </c>
      <c r="D64" s="2020">
        <v>120</v>
      </c>
      <c r="E64" s="2020">
        <v>120</v>
      </c>
      <c r="F64" s="2021">
        <v>120</v>
      </c>
    </row>
    <row r="65" spans="1:25">
      <c r="A65" s="172"/>
      <c r="B65" s="192" t="s">
        <v>2356</v>
      </c>
      <c r="C65" s="1968">
        <v>120</v>
      </c>
      <c r="D65" s="1114">
        <v>120</v>
      </c>
      <c r="E65" s="1114">
        <v>120</v>
      </c>
      <c r="F65" s="1548">
        <v>120</v>
      </c>
    </row>
    <row r="66" spans="1:25">
      <c r="A66" s="172"/>
    </row>
    <row r="67" spans="1:25" ht="15">
      <c r="A67" s="2022" t="s">
        <v>2475</v>
      </c>
      <c r="B67" s="299"/>
      <c r="C67" s="299"/>
    </row>
    <row r="68" spans="1:25">
      <c r="A68" s="313" t="s">
        <v>2514</v>
      </c>
      <c r="B68" s="299"/>
      <c r="C68" s="299"/>
    </row>
    <row r="69" spans="1:25">
      <c r="A69" s="172"/>
      <c r="B69" s="1625"/>
      <c r="C69" s="1896" t="s">
        <v>155</v>
      </c>
    </row>
    <row r="70" spans="1:25">
      <c r="A70" s="172"/>
      <c r="B70" s="1860" t="s">
        <v>194</v>
      </c>
      <c r="C70" s="2023">
        <v>219</v>
      </c>
    </row>
    <row r="71" spans="1:25">
      <c r="A71" s="172"/>
      <c r="B71" s="192" t="s">
        <v>198</v>
      </c>
      <c r="C71" s="2024">
        <v>112</v>
      </c>
    </row>
    <row r="72" spans="1:25">
      <c r="A72" s="172"/>
    </row>
    <row r="73" spans="1:25">
      <c r="A73" s="313" t="s">
        <v>2515</v>
      </c>
    </row>
    <row r="74" spans="1:25">
      <c r="A74" s="172"/>
      <c r="B74" s="1625"/>
      <c r="C74" s="1896" t="s">
        <v>155</v>
      </c>
      <c r="N74" s="302"/>
      <c r="O74" s="302"/>
      <c r="P74" s="302"/>
      <c r="Q74" s="302"/>
      <c r="R74" s="302"/>
      <c r="S74" s="302"/>
      <c r="T74" s="302"/>
      <c r="U74" s="302"/>
      <c r="V74" s="302"/>
      <c r="W74" s="302"/>
      <c r="X74" s="302"/>
      <c r="Y74" s="302"/>
    </row>
    <row r="75" spans="1:25">
      <c r="A75" s="172"/>
      <c r="B75" s="192" t="s">
        <v>167</v>
      </c>
      <c r="C75" s="2025">
        <v>909</v>
      </c>
      <c r="N75" s="302"/>
      <c r="O75" s="302"/>
      <c r="P75" s="302"/>
      <c r="Q75" s="302"/>
      <c r="R75" s="302"/>
      <c r="S75" s="302"/>
      <c r="T75" s="302"/>
      <c r="U75" s="302"/>
      <c r="V75" s="302"/>
      <c r="W75" s="302"/>
      <c r="X75" s="302"/>
      <c r="Y75" s="302"/>
    </row>
    <row r="76" spans="1:25">
      <c r="N76" s="302"/>
      <c r="O76" s="302"/>
      <c r="P76" s="302"/>
      <c r="Q76" s="302"/>
      <c r="R76" s="302"/>
      <c r="S76" s="302"/>
      <c r="T76" s="302"/>
      <c r="U76" s="302"/>
      <c r="V76" s="302"/>
      <c r="W76" s="302"/>
      <c r="X76" s="302"/>
      <c r="Y76" s="302"/>
    </row>
    <row r="77" spans="1:25">
      <c r="A77" s="172" t="s">
        <v>2516</v>
      </c>
      <c r="N77" s="302"/>
      <c r="O77" s="302"/>
      <c r="P77" s="302"/>
      <c r="Q77" s="302"/>
      <c r="R77" s="302"/>
      <c r="S77" s="302"/>
      <c r="T77" s="302"/>
      <c r="U77" s="302"/>
      <c r="V77" s="302"/>
      <c r="W77" s="302"/>
      <c r="X77" s="302"/>
      <c r="Y77" s="302"/>
    </row>
    <row r="78" spans="1:25">
      <c r="B78" s="1627"/>
      <c r="C78" s="1837" t="s">
        <v>153</v>
      </c>
      <c r="D78" s="1838" t="s">
        <v>200</v>
      </c>
    </row>
    <row r="79" spans="1:25">
      <c r="B79" s="191" t="s">
        <v>203</v>
      </c>
      <c r="C79" s="2026">
        <v>3</v>
      </c>
      <c r="D79" s="2021"/>
    </row>
    <row r="80" spans="1:25">
      <c r="B80" s="191" t="s">
        <v>194</v>
      </c>
      <c r="C80" s="2027">
        <v>3</v>
      </c>
      <c r="D80" s="2028">
        <v>1</v>
      </c>
    </row>
    <row r="81" spans="1:6">
      <c r="B81" s="191" t="s">
        <v>167</v>
      </c>
      <c r="C81" s="2027">
        <v>3</v>
      </c>
      <c r="D81" s="2028">
        <v>1</v>
      </c>
    </row>
    <row r="82" spans="1:6">
      <c r="B82" s="192" t="s">
        <v>198</v>
      </c>
      <c r="C82" s="2029">
        <v>3</v>
      </c>
      <c r="D82" s="2030">
        <v>1</v>
      </c>
    </row>
    <row r="84" spans="1:6">
      <c r="A84" s="172" t="s">
        <v>2479</v>
      </c>
    </row>
    <row r="85" spans="1:6">
      <c r="B85" s="3145" t="s">
        <v>209</v>
      </c>
      <c r="C85" s="3146"/>
      <c r="D85" s="3146"/>
      <c r="E85" s="3146"/>
      <c r="F85" s="3147"/>
    </row>
    <row r="86" spans="1:6">
      <c r="B86" s="2031" t="s">
        <v>2368</v>
      </c>
      <c r="C86" s="1981" t="s">
        <v>222</v>
      </c>
      <c r="D86" s="1982" t="s">
        <v>221</v>
      </c>
      <c r="E86" s="1982" t="s">
        <v>226</v>
      </c>
      <c r="F86" s="1983" t="s">
        <v>213</v>
      </c>
    </row>
    <row r="87" spans="1:6">
      <c r="B87" s="173" t="s">
        <v>194</v>
      </c>
      <c r="C87" s="2032">
        <v>3111.8557895406857</v>
      </c>
      <c r="D87" s="2033">
        <v>2808.1198057970637</v>
      </c>
      <c r="E87" s="2033">
        <v>2693.6862468738123</v>
      </c>
      <c r="F87" s="2034">
        <v>2651.974223965467</v>
      </c>
    </row>
    <row r="88" spans="1:6">
      <c r="B88" s="174" t="s">
        <v>198</v>
      </c>
      <c r="C88" s="2035">
        <v>1215.033110458264</v>
      </c>
      <c r="D88" s="2036">
        <v>1163.6436551363095</v>
      </c>
      <c r="E88" s="2036">
        <v>1111.8375541166715</v>
      </c>
      <c r="F88" s="2037">
        <v>1094.2448700485859</v>
      </c>
    </row>
    <row r="90" spans="1:6">
      <c r="A90" s="172" t="s">
        <v>2480</v>
      </c>
    </row>
    <row r="91" spans="1:6">
      <c r="B91" s="3145" t="s">
        <v>216</v>
      </c>
      <c r="C91" s="3146"/>
      <c r="D91" s="3146"/>
      <c r="E91" s="3146"/>
      <c r="F91" s="3147"/>
    </row>
    <row r="92" spans="1:6">
      <c r="B92" s="2038" t="s">
        <v>2368</v>
      </c>
      <c r="C92" s="1981" t="s">
        <v>222</v>
      </c>
      <c r="D92" s="1982" t="s">
        <v>221</v>
      </c>
      <c r="E92" s="1982" t="s">
        <v>226</v>
      </c>
      <c r="F92" s="1983" t="s">
        <v>213</v>
      </c>
    </row>
    <row r="93" spans="1:6">
      <c r="B93" s="1912" t="s">
        <v>194</v>
      </c>
      <c r="C93" s="2019">
        <v>99.465710167967117</v>
      </c>
      <c r="D93" s="2020">
        <v>89.757254066572813</v>
      </c>
      <c r="E93" s="2020">
        <v>86.099560402359302</v>
      </c>
      <c r="F93" s="2021">
        <v>84.766299396156469</v>
      </c>
    </row>
    <row r="94" spans="1:6">
      <c r="B94" s="59" t="s">
        <v>167</v>
      </c>
      <c r="C94" s="2032">
        <v>207.29824247872378</v>
      </c>
      <c r="D94" s="2033">
        <v>195.63900634201738</v>
      </c>
      <c r="E94" s="2033">
        <v>183.38777822976249</v>
      </c>
      <c r="F94" s="2034">
        <v>0</v>
      </c>
    </row>
    <row r="95" spans="1:6">
      <c r="B95" s="118" t="s">
        <v>198</v>
      </c>
      <c r="C95" s="2035">
        <v>108.48509914805929</v>
      </c>
      <c r="D95" s="2036">
        <v>103.89675492288477</v>
      </c>
      <c r="E95" s="2036">
        <v>99.271210188988533</v>
      </c>
      <c r="F95" s="2037">
        <v>97.700434825766592</v>
      </c>
    </row>
    <row r="97" spans="1:32">
      <c r="A97" s="172" t="s">
        <v>2481</v>
      </c>
    </row>
    <row r="98" spans="1:32">
      <c r="B98" s="2039">
        <v>0</v>
      </c>
    </row>
    <row r="100" spans="1:32" ht="15">
      <c r="A100" s="120" t="s">
        <v>2517</v>
      </c>
    </row>
    <row r="101" spans="1:32">
      <c r="A101" s="299"/>
      <c r="B101" s="1936" t="s">
        <v>157</v>
      </c>
      <c r="C101" s="1937" t="s">
        <v>2339</v>
      </c>
      <c r="D101" s="1937" t="s">
        <v>2340</v>
      </c>
      <c r="E101" s="1937" t="s">
        <v>2376</v>
      </c>
      <c r="F101" s="1938" t="s">
        <v>2342</v>
      </c>
      <c r="G101" s="1938" t="s">
        <v>2343</v>
      </c>
      <c r="H101" s="1938" t="s">
        <v>158</v>
      </c>
      <c r="I101" s="1938" t="s">
        <v>159</v>
      </c>
      <c r="J101" s="1937" t="s">
        <v>160</v>
      </c>
      <c r="K101" s="1937" t="s">
        <v>161</v>
      </c>
      <c r="L101" s="1938" t="s">
        <v>2344</v>
      </c>
      <c r="M101" s="1937" t="s">
        <v>162</v>
      </c>
      <c r="N101" s="1939" t="s">
        <v>163</v>
      </c>
    </row>
    <row r="102" spans="1:32">
      <c r="B102" s="2040">
        <v>19</v>
      </c>
      <c r="C102" s="2041">
        <v>39</v>
      </c>
      <c r="D102" s="2041">
        <v>1</v>
      </c>
      <c r="E102" s="2041">
        <v>7</v>
      </c>
      <c r="F102" s="2041">
        <v>1</v>
      </c>
      <c r="G102" s="2041">
        <v>1</v>
      </c>
      <c r="H102" s="2041">
        <v>0</v>
      </c>
      <c r="I102" s="2041">
        <v>0</v>
      </c>
      <c r="J102" s="2041">
        <v>1</v>
      </c>
      <c r="K102" s="2041">
        <v>1</v>
      </c>
      <c r="L102" s="2041">
        <v>1</v>
      </c>
      <c r="M102" s="2041">
        <v>32</v>
      </c>
      <c r="N102" s="1546">
        <v>1</v>
      </c>
    </row>
    <row r="104" spans="1:32" ht="15">
      <c r="A104" s="120" t="s">
        <v>2518</v>
      </c>
    </row>
    <row r="105" spans="1:32">
      <c r="B105" s="1630"/>
      <c r="C105" s="1630" t="s">
        <v>203</v>
      </c>
      <c r="D105" s="1628" t="s">
        <v>194</v>
      </c>
      <c r="E105" s="1628" t="s">
        <v>167</v>
      </c>
      <c r="F105" s="1629" t="s">
        <v>198</v>
      </c>
      <c r="G105" s="1859"/>
      <c r="H105" s="1859"/>
      <c r="I105" s="1859"/>
      <c r="J105" s="1859"/>
      <c r="K105" s="1859"/>
      <c r="L105" s="1859"/>
    </row>
    <row r="106" spans="1:32">
      <c r="B106" s="1920" t="s">
        <v>2503</v>
      </c>
      <c r="C106" s="2040">
        <v>1000000</v>
      </c>
      <c r="D106" s="2041">
        <v>1000000</v>
      </c>
      <c r="E106" s="2041">
        <v>1000000</v>
      </c>
      <c r="F106" s="1546">
        <v>1000000</v>
      </c>
      <c r="G106" s="631"/>
      <c r="H106" s="631"/>
      <c r="I106" s="631"/>
      <c r="J106" s="631"/>
      <c r="K106" s="631"/>
      <c r="L106" s="631"/>
    </row>
    <row r="108" spans="1:32" ht="15">
      <c r="A108" s="120" t="s">
        <v>2519</v>
      </c>
    </row>
    <row r="109" spans="1:32" ht="15">
      <c r="A109" s="120"/>
      <c r="B109" s="58"/>
      <c r="C109" s="2986" t="s">
        <v>2503</v>
      </c>
      <c r="D109" s="2987"/>
      <c r="E109" s="2987"/>
      <c r="F109" s="2988"/>
      <c r="G109" s="172"/>
      <c r="H109" s="172"/>
      <c r="I109" s="172"/>
      <c r="J109" s="172"/>
      <c r="K109" s="172"/>
      <c r="L109" s="172"/>
      <c r="M109" s="3158"/>
      <c r="N109" s="3158"/>
      <c r="O109" s="3158"/>
      <c r="P109" s="3158"/>
      <c r="Q109" s="3158"/>
      <c r="R109" s="3158"/>
      <c r="S109" s="3158"/>
      <c r="T109" s="3158"/>
      <c r="U109" s="3158"/>
      <c r="V109" s="3158"/>
      <c r="W109" s="3158"/>
      <c r="X109" s="3158"/>
      <c r="Y109" s="3158"/>
      <c r="Z109" s="3158"/>
      <c r="AA109" s="3158"/>
      <c r="AB109" s="3158"/>
      <c r="AC109" s="3158"/>
      <c r="AD109" s="3158"/>
      <c r="AE109" s="3158"/>
      <c r="AF109" s="3158"/>
    </row>
    <row r="110" spans="1:32">
      <c r="B110" s="58"/>
      <c r="C110" s="264" t="s">
        <v>203</v>
      </c>
      <c r="D110" s="175" t="s">
        <v>194</v>
      </c>
      <c r="E110" s="175" t="s">
        <v>167</v>
      </c>
      <c r="F110" s="176" t="s">
        <v>198</v>
      </c>
      <c r="G110" s="1859"/>
      <c r="H110" s="2042"/>
      <c r="I110" s="2042"/>
      <c r="J110" s="2042"/>
      <c r="K110" s="2042"/>
      <c r="L110" s="1859"/>
      <c r="M110" s="1859"/>
      <c r="N110" s="1859"/>
      <c r="O110" s="1859"/>
      <c r="P110" s="1859"/>
      <c r="Q110" s="1859"/>
      <c r="R110" s="1859"/>
      <c r="S110" s="1859"/>
      <c r="T110" s="1859"/>
      <c r="U110" s="1859"/>
      <c r="V110" s="1859"/>
      <c r="W110" s="1859"/>
      <c r="X110" s="1859"/>
      <c r="Y110" s="1859"/>
      <c r="Z110" s="1859"/>
      <c r="AA110" s="1859"/>
      <c r="AB110" s="1859"/>
      <c r="AC110" s="1859"/>
      <c r="AD110" s="1859"/>
      <c r="AE110" s="1859"/>
      <c r="AF110" s="1859"/>
    </row>
    <row r="111" spans="1:32">
      <c r="B111" s="482" t="s">
        <v>250</v>
      </c>
      <c r="C111" s="556"/>
      <c r="D111" s="179"/>
      <c r="E111" s="179"/>
      <c r="F111" s="180"/>
      <c r="G111" s="1159"/>
      <c r="H111" s="2043"/>
      <c r="I111" s="2043"/>
      <c r="J111" s="2043"/>
      <c r="K111" s="2043"/>
      <c r="L111" s="1159"/>
    </row>
    <row r="112" spans="1:32">
      <c r="B112" s="1947" t="s">
        <v>38</v>
      </c>
      <c r="C112" s="928">
        <v>0.30234992980577613</v>
      </c>
      <c r="D112" s="946">
        <v>0.30234992980577613</v>
      </c>
      <c r="E112" s="946">
        <v>0.30234992980577613</v>
      </c>
      <c r="F112" s="930">
        <v>0.30234992980577613</v>
      </c>
      <c r="G112" s="1159"/>
      <c r="H112" s="2043"/>
      <c r="I112" s="2043"/>
      <c r="J112" s="2043"/>
      <c r="K112" s="2043"/>
      <c r="L112" s="1159"/>
      <c r="M112" s="1159"/>
      <c r="N112" s="1159"/>
      <c r="O112" s="1159"/>
      <c r="P112" s="1159"/>
      <c r="Q112" s="1159"/>
      <c r="R112" s="1159"/>
      <c r="S112" s="1159"/>
      <c r="T112" s="1159"/>
      <c r="U112" s="1159"/>
      <c r="V112" s="1159"/>
      <c r="W112" s="1159"/>
      <c r="X112" s="1159"/>
      <c r="Y112" s="1159"/>
      <c r="Z112" s="1159"/>
      <c r="AA112" s="1159"/>
      <c r="AB112" s="1159"/>
      <c r="AC112" s="1159"/>
      <c r="AD112" s="1159"/>
      <c r="AE112" s="1159"/>
      <c r="AF112" s="1159"/>
    </row>
    <row r="113" spans="2:32">
      <c r="B113" s="1947" t="s">
        <v>1868</v>
      </c>
      <c r="C113" s="928">
        <v>3.2083687271340366E-2</v>
      </c>
      <c r="D113" s="946">
        <v>3.2083687271340366E-2</v>
      </c>
      <c r="E113" s="946">
        <v>3.2083687271340366E-2</v>
      </c>
      <c r="F113" s="930">
        <v>3.2083687271340366E-2</v>
      </c>
      <c r="G113" s="1159"/>
      <c r="H113" s="2043"/>
      <c r="I113" s="2043"/>
      <c r="J113" s="2043"/>
      <c r="K113" s="2043"/>
      <c r="L113" s="1159"/>
      <c r="M113" s="1159"/>
      <c r="N113" s="1159"/>
      <c r="O113" s="1159"/>
      <c r="P113" s="1159"/>
      <c r="Q113" s="1159"/>
      <c r="R113" s="1159"/>
      <c r="S113" s="1159"/>
      <c r="T113" s="1159"/>
      <c r="U113" s="1159"/>
      <c r="V113" s="1159"/>
      <c r="W113" s="1159"/>
      <c r="X113" s="1159"/>
      <c r="Y113" s="1159"/>
      <c r="Z113" s="1159"/>
      <c r="AA113" s="1159"/>
      <c r="AB113" s="1159"/>
      <c r="AC113" s="1159"/>
      <c r="AD113" s="1159"/>
      <c r="AE113" s="1159"/>
      <c r="AF113" s="1159"/>
    </row>
    <row r="114" spans="2:32">
      <c r="B114" s="1947" t="s">
        <v>2405</v>
      </c>
      <c r="C114" s="928">
        <v>0.14432225759375292</v>
      </c>
      <c r="D114" s="946">
        <v>0.14432225759375292</v>
      </c>
      <c r="E114" s="946">
        <v>0.14432225759375292</v>
      </c>
      <c r="F114" s="930">
        <v>0.14432225759375292</v>
      </c>
      <c r="G114" s="1159"/>
      <c r="H114" s="2043"/>
      <c r="I114" s="2043"/>
      <c r="J114" s="2043"/>
      <c r="K114" s="2043"/>
      <c r="L114" s="1159"/>
      <c r="M114" s="1159"/>
      <c r="N114" s="1159"/>
      <c r="O114" s="1159"/>
      <c r="P114" s="1159"/>
      <c r="Q114" s="1159"/>
      <c r="R114" s="1159"/>
      <c r="S114" s="1159"/>
      <c r="T114" s="1159"/>
      <c r="U114" s="1159"/>
      <c r="V114" s="1159"/>
      <c r="W114" s="1159"/>
      <c r="X114" s="1159"/>
      <c r="Y114" s="1159"/>
      <c r="Z114" s="1159"/>
      <c r="AA114" s="1159"/>
      <c r="AB114" s="1159"/>
      <c r="AC114" s="1159"/>
      <c r="AD114" s="1159"/>
      <c r="AE114" s="1159"/>
      <c r="AF114" s="1159"/>
    </row>
    <row r="115" spans="2:32">
      <c r="B115" s="1947" t="s">
        <v>2406</v>
      </c>
      <c r="C115" s="928">
        <v>3.537354014498055E-2</v>
      </c>
      <c r="D115" s="946">
        <v>3.537354014498055E-2</v>
      </c>
      <c r="E115" s="946">
        <v>3.537354014498055E-2</v>
      </c>
      <c r="F115" s="930">
        <v>3.537354014498055E-2</v>
      </c>
      <c r="G115" s="1159"/>
      <c r="H115" s="2043"/>
      <c r="I115" s="2043"/>
      <c r="J115" s="2043"/>
      <c r="K115" s="2043"/>
      <c r="L115" s="1159"/>
      <c r="M115" s="1159"/>
      <c r="N115" s="1159"/>
      <c r="O115" s="1159"/>
      <c r="P115" s="1159"/>
      <c r="Q115" s="1159"/>
      <c r="R115" s="1159"/>
      <c r="S115" s="1159"/>
      <c r="T115" s="1159"/>
      <c r="U115" s="1159"/>
      <c r="V115" s="1159"/>
      <c r="W115" s="1159"/>
      <c r="X115" s="1159"/>
      <c r="Y115" s="1159"/>
      <c r="Z115" s="1159"/>
      <c r="AA115" s="1159"/>
      <c r="AB115" s="1159"/>
      <c r="AC115" s="1159"/>
      <c r="AD115" s="1159"/>
      <c r="AE115" s="1159"/>
      <c r="AF115" s="1159"/>
    </row>
    <row r="116" spans="2:32">
      <c r="B116" s="1947" t="s">
        <v>60</v>
      </c>
      <c r="C116" s="928">
        <v>0.13202205362390765</v>
      </c>
      <c r="D116" s="946">
        <v>0.13202205362390765</v>
      </c>
      <c r="E116" s="946">
        <v>0.13202205362390765</v>
      </c>
      <c r="F116" s="930">
        <v>0.13202205362390765</v>
      </c>
      <c r="G116" s="1159"/>
      <c r="H116" s="2043"/>
      <c r="I116" s="2043"/>
      <c r="J116" s="2043"/>
      <c r="K116" s="2043"/>
      <c r="L116" s="1159"/>
      <c r="M116" s="1159"/>
      <c r="N116" s="1159"/>
      <c r="O116" s="1159"/>
      <c r="P116" s="1159"/>
      <c r="Q116" s="1159"/>
      <c r="R116" s="1159"/>
      <c r="S116" s="1159"/>
      <c r="T116" s="1159"/>
      <c r="U116" s="1159"/>
      <c r="V116" s="1159"/>
      <c r="W116" s="1159"/>
      <c r="X116" s="1159"/>
      <c r="Y116" s="1159"/>
      <c r="Z116" s="1159"/>
      <c r="AA116" s="1159"/>
      <c r="AB116" s="1159"/>
      <c r="AC116" s="1159"/>
      <c r="AD116" s="1159"/>
      <c r="AE116" s="1159"/>
      <c r="AF116" s="1159"/>
    </row>
    <row r="117" spans="2:32">
      <c r="B117" s="1947" t="s">
        <v>61</v>
      </c>
      <c r="C117" s="928">
        <v>2.2108555312673046E-2</v>
      </c>
      <c r="D117" s="946">
        <v>2.2108555312673046E-2</v>
      </c>
      <c r="E117" s="946">
        <v>2.2108555312673046E-2</v>
      </c>
      <c r="F117" s="930">
        <v>2.2108555312673046E-2</v>
      </c>
      <c r="G117" s="1159"/>
      <c r="H117" s="2043"/>
      <c r="I117" s="2043"/>
      <c r="J117" s="2043"/>
      <c r="K117" s="2043"/>
      <c r="L117" s="1159"/>
      <c r="M117" s="1159"/>
      <c r="N117" s="1159"/>
      <c r="O117" s="1159"/>
      <c r="P117" s="1159"/>
      <c r="Q117" s="1159"/>
      <c r="R117" s="1159"/>
      <c r="S117" s="1159"/>
      <c r="T117" s="1159"/>
      <c r="U117" s="1159"/>
      <c r="V117" s="1159"/>
      <c r="W117" s="1159"/>
      <c r="X117" s="1159"/>
      <c r="Y117" s="1159"/>
      <c r="Z117" s="1159"/>
      <c r="AA117" s="1159"/>
      <c r="AB117" s="1159"/>
      <c r="AC117" s="1159"/>
      <c r="AD117" s="1159"/>
      <c r="AE117" s="1159"/>
      <c r="AF117" s="1159"/>
    </row>
    <row r="118" spans="2:32">
      <c r="B118" s="1947" t="s">
        <v>2407</v>
      </c>
      <c r="C118" s="928">
        <v>0.21367798773713625</v>
      </c>
      <c r="D118" s="946">
        <v>0.21367798773713625</v>
      </c>
      <c r="E118" s="946">
        <v>0.21367798773713625</v>
      </c>
      <c r="F118" s="930">
        <v>0.21367798773713625</v>
      </c>
      <c r="G118" s="1159"/>
      <c r="H118" s="2043"/>
      <c r="I118" s="2043"/>
      <c r="J118" s="2043"/>
      <c r="K118" s="2043"/>
      <c r="L118" s="1159"/>
      <c r="M118" s="1159"/>
      <c r="N118" s="1159"/>
      <c r="O118" s="1159"/>
      <c r="P118" s="1159"/>
      <c r="Q118" s="1159"/>
      <c r="R118" s="1159"/>
      <c r="S118" s="1159"/>
      <c r="T118" s="1159"/>
      <c r="U118" s="1159"/>
      <c r="V118" s="1159"/>
      <c r="W118" s="1159"/>
      <c r="X118" s="1159"/>
      <c r="Y118" s="1159"/>
      <c r="Z118" s="1159"/>
      <c r="AA118" s="1159"/>
      <c r="AB118" s="1159"/>
      <c r="AC118" s="1159"/>
      <c r="AD118" s="1159"/>
      <c r="AE118" s="1159"/>
      <c r="AF118" s="1159"/>
    </row>
    <row r="119" spans="2:32">
      <c r="B119" s="1947" t="s">
        <v>58</v>
      </c>
      <c r="C119" s="928">
        <v>0.11116690721978538</v>
      </c>
      <c r="D119" s="946">
        <v>0.11116690721978538</v>
      </c>
      <c r="E119" s="946">
        <v>0.11116690721978538</v>
      </c>
      <c r="F119" s="930">
        <v>0.11116690721978538</v>
      </c>
      <c r="G119" s="1159"/>
      <c r="H119" s="2043"/>
      <c r="I119" s="2043"/>
      <c r="J119" s="2043"/>
      <c r="K119" s="2043"/>
      <c r="L119" s="1159"/>
      <c r="M119" s="1159"/>
      <c r="N119" s="1159"/>
      <c r="O119" s="1159"/>
      <c r="P119" s="1159"/>
      <c r="Q119" s="1159"/>
      <c r="R119" s="1159"/>
      <c r="S119" s="1159"/>
      <c r="T119" s="1159"/>
      <c r="U119" s="1159"/>
      <c r="V119" s="1159"/>
      <c r="W119" s="1159"/>
      <c r="X119" s="1159"/>
      <c r="Y119" s="1159"/>
      <c r="Z119" s="1159"/>
      <c r="AA119" s="1159"/>
      <c r="AB119" s="1159"/>
      <c r="AC119" s="1159"/>
      <c r="AD119" s="1159"/>
      <c r="AE119" s="1159"/>
      <c r="AF119" s="1159"/>
    </row>
    <row r="120" spans="2:32">
      <c r="B120" s="1947" t="s">
        <v>52</v>
      </c>
      <c r="C120" s="928">
        <v>3.6229197860943164E-3</v>
      </c>
      <c r="D120" s="946">
        <v>3.6229197860943164E-3</v>
      </c>
      <c r="E120" s="946">
        <v>3.6229197860943164E-3</v>
      </c>
      <c r="F120" s="930">
        <v>3.6229197860943164E-3</v>
      </c>
      <c r="G120" s="1159"/>
      <c r="H120" s="2043"/>
      <c r="I120" s="2043"/>
      <c r="J120" s="2043"/>
      <c r="K120" s="2043"/>
      <c r="L120" s="1159"/>
      <c r="M120" s="1159"/>
      <c r="N120" s="1159"/>
      <c r="O120" s="1159"/>
      <c r="P120" s="1159"/>
      <c r="Q120" s="1159"/>
      <c r="R120" s="1159"/>
      <c r="S120" s="1159"/>
      <c r="T120" s="1159"/>
      <c r="U120" s="1159"/>
      <c r="V120" s="1159"/>
      <c r="W120" s="1159"/>
      <c r="X120" s="1159"/>
      <c r="Y120" s="1159"/>
      <c r="Z120" s="1159"/>
      <c r="AA120" s="1159"/>
      <c r="AB120" s="1159"/>
      <c r="AC120" s="1159"/>
      <c r="AD120" s="1159"/>
      <c r="AE120" s="1159"/>
      <c r="AF120" s="1159"/>
    </row>
    <row r="121" spans="2:32">
      <c r="B121" s="1947" t="s">
        <v>2408</v>
      </c>
      <c r="C121" s="928">
        <v>0</v>
      </c>
      <c r="D121" s="946">
        <v>0</v>
      </c>
      <c r="E121" s="946">
        <v>0</v>
      </c>
      <c r="F121" s="930">
        <v>0</v>
      </c>
      <c r="G121" s="1159"/>
      <c r="H121" s="2043"/>
      <c r="I121" s="2043"/>
      <c r="J121" s="2043"/>
      <c r="K121" s="2043"/>
      <c r="L121" s="1159"/>
      <c r="M121" s="1159"/>
      <c r="N121" s="1159"/>
      <c r="O121" s="1159"/>
      <c r="P121" s="1159"/>
      <c r="Q121" s="1159"/>
      <c r="R121" s="1159"/>
      <c r="S121" s="1159"/>
      <c r="T121" s="1159"/>
      <c r="U121" s="1159"/>
      <c r="V121" s="1159"/>
      <c r="W121" s="1159"/>
      <c r="X121" s="1159"/>
      <c r="Y121" s="1159"/>
      <c r="Z121" s="1159"/>
      <c r="AA121" s="1159"/>
      <c r="AB121" s="1159"/>
      <c r="AC121" s="1159"/>
      <c r="AD121" s="1159"/>
      <c r="AE121" s="1159"/>
      <c r="AF121" s="1159"/>
    </row>
    <row r="122" spans="2:32">
      <c r="B122" s="1947" t="s">
        <v>2409</v>
      </c>
      <c r="C122" s="928">
        <v>0</v>
      </c>
      <c r="D122" s="946">
        <v>0</v>
      </c>
      <c r="E122" s="946">
        <v>0</v>
      </c>
      <c r="F122" s="930">
        <v>0</v>
      </c>
      <c r="G122" s="1159"/>
      <c r="H122" s="2043"/>
      <c r="I122" s="2043"/>
      <c r="J122" s="2043"/>
      <c r="K122" s="2043"/>
      <c r="L122" s="1159"/>
      <c r="M122" s="1159"/>
      <c r="N122" s="1159"/>
      <c r="O122" s="1159"/>
      <c r="P122" s="1159"/>
      <c r="Q122" s="1159"/>
      <c r="R122" s="1159"/>
      <c r="S122" s="1159"/>
      <c r="T122" s="1159"/>
      <c r="U122" s="1159"/>
      <c r="V122" s="1159"/>
      <c r="W122" s="1159"/>
      <c r="X122" s="1159"/>
      <c r="Y122" s="1159"/>
      <c r="Z122" s="1159"/>
      <c r="AA122" s="1159"/>
      <c r="AB122" s="1159"/>
      <c r="AC122" s="1159"/>
      <c r="AD122" s="1159"/>
      <c r="AE122" s="1159"/>
      <c r="AF122" s="1159"/>
    </row>
    <row r="123" spans="2:32">
      <c r="B123" s="1947" t="s">
        <v>2410</v>
      </c>
      <c r="C123" s="928">
        <v>0</v>
      </c>
      <c r="D123" s="946">
        <v>0</v>
      </c>
      <c r="E123" s="946">
        <v>0</v>
      </c>
      <c r="F123" s="930">
        <v>0</v>
      </c>
      <c r="G123" s="1159"/>
      <c r="H123" s="2043"/>
      <c r="I123" s="2043"/>
      <c r="J123" s="2043"/>
      <c r="K123" s="2043"/>
      <c r="L123" s="1159"/>
      <c r="M123" s="1159"/>
      <c r="N123" s="1159"/>
      <c r="O123" s="1159"/>
      <c r="P123" s="1159"/>
      <c r="Q123" s="1159"/>
      <c r="R123" s="1159"/>
      <c r="S123" s="1159"/>
      <c r="T123" s="1159"/>
      <c r="U123" s="1159"/>
      <c r="V123" s="1159"/>
      <c r="W123" s="1159"/>
      <c r="X123" s="1159"/>
      <c r="Y123" s="1159"/>
      <c r="Z123" s="1159"/>
      <c r="AA123" s="1159"/>
      <c r="AB123" s="1159"/>
      <c r="AC123" s="1159"/>
      <c r="AD123" s="1159"/>
      <c r="AE123" s="1159"/>
      <c r="AF123" s="1159"/>
    </row>
    <row r="124" spans="2:32">
      <c r="B124" s="1947" t="s">
        <v>1409</v>
      </c>
      <c r="C124" s="928">
        <v>1.3463243141432928E-3</v>
      </c>
      <c r="D124" s="946">
        <v>1.3463243141432928E-3</v>
      </c>
      <c r="E124" s="946">
        <v>1.3463243141432928E-3</v>
      </c>
      <c r="F124" s="930">
        <v>1.3463243141432928E-3</v>
      </c>
      <c r="G124" s="1159"/>
      <c r="H124" s="2043"/>
      <c r="I124" s="2043"/>
      <c r="J124" s="2043"/>
      <c r="K124" s="2043"/>
      <c r="L124" s="1159"/>
      <c r="M124" s="1159"/>
      <c r="N124" s="1159"/>
      <c r="O124" s="1159"/>
      <c r="P124" s="1159"/>
      <c r="Q124" s="1159"/>
      <c r="R124" s="1159"/>
      <c r="S124" s="1159"/>
      <c r="T124" s="1159"/>
      <c r="U124" s="1159"/>
      <c r="V124" s="1159"/>
      <c r="W124" s="1159"/>
      <c r="X124" s="1159"/>
      <c r="Y124" s="1159"/>
      <c r="Z124" s="1159"/>
      <c r="AA124" s="1159"/>
      <c r="AB124" s="1159"/>
      <c r="AC124" s="1159"/>
      <c r="AD124" s="1159"/>
      <c r="AE124" s="1159"/>
      <c r="AF124" s="1159"/>
    </row>
    <row r="125" spans="2:32">
      <c r="B125" s="1947" t="s">
        <v>2411</v>
      </c>
      <c r="C125" s="928">
        <v>1.3463243141432928E-3</v>
      </c>
      <c r="D125" s="946">
        <v>1.3463243141432928E-3</v>
      </c>
      <c r="E125" s="946">
        <v>1.3463243141432928E-3</v>
      </c>
      <c r="F125" s="930">
        <v>1.3463243141432928E-3</v>
      </c>
      <c r="G125" s="1159"/>
      <c r="H125" s="2043"/>
      <c r="I125" s="2043"/>
      <c r="J125" s="2043"/>
      <c r="K125" s="2043"/>
      <c r="L125" s="1159"/>
      <c r="M125" s="1159"/>
      <c r="N125" s="1159"/>
      <c r="O125" s="1159"/>
      <c r="P125" s="1159"/>
      <c r="Q125" s="1159"/>
      <c r="R125" s="1159"/>
      <c r="S125" s="1159"/>
      <c r="T125" s="1159"/>
      <c r="U125" s="1159"/>
      <c r="V125" s="1159"/>
      <c r="W125" s="1159"/>
      <c r="X125" s="1159"/>
      <c r="Y125" s="1159"/>
      <c r="Z125" s="1159"/>
      <c r="AA125" s="1159"/>
      <c r="AB125" s="1159"/>
      <c r="AC125" s="1159"/>
      <c r="AD125" s="1159"/>
      <c r="AE125" s="1159"/>
      <c r="AF125" s="1159"/>
    </row>
    <row r="126" spans="2:32">
      <c r="B126" s="1950" t="s">
        <v>2412</v>
      </c>
      <c r="C126" s="1761">
        <v>5.7951287626691332E-4</v>
      </c>
      <c r="D126" s="2044">
        <v>5.7951287626691332E-4</v>
      </c>
      <c r="E126" s="2044">
        <v>5.7951287626691332E-4</v>
      </c>
      <c r="F126" s="2045">
        <v>5.7951287626691332E-4</v>
      </c>
      <c r="G126" s="1159"/>
      <c r="H126" s="2043"/>
      <c r="I126" s="2043"/>
      <c r="J126" s="2043"/>
      <c r="K126" s="2043"/>
      <c r="L126" s="1159"/>
      <c r="M126" s="1159"/>
      <c r="N126" s="1159"/>
      <c r="O126" s="1159"/>
      <c r="P126" s="1159"/>
      <c r="Q126" s="1159"/>
      <c r="R126" s="1159"/>
      <c r="S126" s="1159"/>
      <c r="T126" s="1159"/>
      <c r="U126" s="1159"/>
      <c r="V126" s="1159"/>
      <c r="W126" s="1159"/>
      <c r="X126" s="1159"/>
      <c r="Y126" s="1159"/>
      <c r="Z126" s="1159"/>
      <c r="AA126" s="1159"/>
      <c r="AB126" s="1159"/>
      <c r="AC126" s="1159"/>
      <c r="AD126" s="1159"/>
      <c r="AE126" s="1159"/>
      <c r="AF126" s="1159"/>
    </row>
    <row r="127" spans="2:32">
      <c r="B127" s="487" t="s">
        <v>182</v>
      </c>
      <c r="C127" s="232"/>
      <c r="D127" s="1159"/>
      <c r="E127" s="1159"/>
      <c r="F127" s="128"/>
      <c r="G127" s="1159"/>
      <c r="H127" s="2042"/>
      <c r="I127" s="2042"/>
      <c r="J127" s="2042"/>
      <c r="K127" s="2042"/>
      <c r="L127" s="1159"/>
      <c r="M127" s="1159"/>
      <c r="N127" s="1159"/>
      <c r="O127" s="1159"/>
      <c r="P127" s="1159"/>
      <c r="Q127" s="1159"/>
      <c r="R127" s="1159"/>
      <c r="S127" s="1159"/>
      <c r="T127" s="1159"/>
      <c r="U127" s="1159"/>
      <c r="V127" s="1159"/>
      <c r="W127" s="1159"/>
      <c r="X127" s="1159"/>
      <c r="Y127" s="1159"/>
      <c r="Z127" s="1159"/>
      <c r="AA127" s="1159"/>
      <c r="AB127" s="1159"/>
      <c r="AC127" s="1159"/>
      <c r="AD127" s="1159"/>
      <c r="AE127" s="1159"/>
      <c r="AF127" s="1159"/>
    </row>
    <row r="128" spans="2:32">
      <c r="B128" s="1947" t="s">
        <v>1868</v>
      </c>
      <c r="C128" s="928">
        <v>1.8459446969144182E-2</v>
      </c>
      <c r="D128" s="946">
        <v>1.8618144021448239E-2</v>
      </c>
      <c r="E128" s="946">
        <v>0</v>
      </c>
      <c r="F128" s="930">
        <v>0.52352336041507408</v>
      </c>
      <c r="G128" s="1159"/>
      <c r="H128" s="2043"/>
      <c r="I128" s="2043"/>
      <c r="J128" s="2043"/>
      <c r="K128" s="2043"/>
      <c r="L128" s="1159"/>
      <c r="M128" s="1159"/>
      <c r="N128" s="1159"/>
      <c r="O128" s="1159"/>
      <c r="P128" s="1159"/>
      <c r="Q128" s="1159"/>
      <c r="R128" s="1159"/>
      <c r="S128" s="1159"/>
      <c r="T128" s="1159"/>
      <c r="U128" s="1159"/>
      <c r="V128" s="1159"/>
      <c r="W128" s="1159"/>
      <c r="X128" s="1159"/>
      <c r="Y128" s="1159"/>
      <c r="Z128" s="1159"/>
      <c r="AA128" s="1159"/>
      <c r="AB128" s="1159"/>
      <c r="AC128" s="1159"/>
      <c r="AD128" s="1159"/>
      <c r="AE128" s="1159"/>
      <c r="AF128" s="1159"/>
    </row>
    <row r="129" spans="2:32">
      <c r="B129" s="1947" t="s">
        <v>38</v>
      </c>
      <c r="C129" s="928">
        <v>0.40898641145215447</v>
      </c>
      <c r="D129" s="946">
        <v>0.40845031161223555</v>
      </c>
      <c r="E129" s="946">
        <v>0</v>
      </c>
      <c r="F129" s="930">
        <v>5.6806935815933761E-2</v>
      </c>
      <c r="G129" s="1159"/>
      <c r="H129" s="2043"/>
      <c r="I129" s="2043"/>
      <c r="J129" s="2043"/>
      <c r="K129" s="2043"/>
      <c r="L129" s="1159"/>
      <c r="M129" s="1159"/>
      <c r="N129" s="1159"/>
      <c r="O129" s="1159"/>
      <c r="P129" s="1159"/>
      <c r="Q129" s="1159"/>
      <c r="R129" s="1159"/>
      <c r="S129" s="1159"/>
      <c r="T129" s="1159"/>
      <c r="U129" s="1159"/>
      <c r="V129" s="1159"/>
      <c r="W129" s="1159"/>
      <c r="X129" s="1159"/>
      <c r="Y129" s="1159"/>
      <c r="Z129" s="1159"/>
      <c r="AA129" s="1159"/>
      <c r="AB129" s="1159"/>
      <c r="AC129" s="1159"/>
      <c r="AD129" s="1159"/>
      <c r="AE129" s="1159"/>
      <c r="AF129" s="1159"/>
    </row>
    <row r="130" spans="2:32">
      <c r="B130" s="1947" t="s">
        <v>2406</v>
      </c>
      <c r="C130" s="928">
        <v>7.0101633699719126E-2</v>
      </c>
      <c r="D130" s="946">
        <v>6.9998730803097237E-2</v>
      </c>
      <c r="E130" s="946">
        <v>0</v>
      </c>
      <c r="F130" s="930">
        <v>7.3969109538799094E-2</v>
      </c>
      <c r="G130" s="1159"/>
      <c r="H130" s="2043"/>
      <c r="I130" s="2043"/>
      <c r="J130" s="2043"/>
      <c r="K130" s="2043"/>
      <c r="L130" s="1159"/>
      <c r="M130" s="1159"/>
      <c r="N130" s="1159"/>
      <c r="O130" s="1159"/>
      <c r="P130" s="1159"/>
      <c r="Q130" s="1159"/>
      <c r="R130" s="1159"/>
      <c r="S130" s="1159"/>
      <c r="T130" s="1159"/>
      <c r="U130" s="1159"/>
      <c r="V130" s="1159"/>
      <c r="W130" s="1159"/>
      <c r="X130" s="1159"/>
      <c r="Y130" s="1159"/>
      <c r="Z130" s="1159"/>
      <c r="AA130" s="1159"/>
      <c r="AB130" s="1159"/>
      <c r="AC130" s="1159"/>
      <c r="AD130" s="1159"/>
      <c r="AE130" s="1159"/>
      <c r="AF130" s="1159"/>
    </row>
    <row r="131" spans="2:32">
      <c r="B131" s="1947" t="s">
        <v>2405</v>
      </c>
      <c r="C131" s="928">
        <v>8.6716712397612791E-2</v>
      </c>
      <c r="D131" s="946">
        <v>8.7234268615573721E-2</v>
      </c>
      <c r="E131" s="946">
        <v>0</v>
      </c>
      <c r="F131" s="930">
        <v>5.6617210369753312E-2</v>
      </c>
      <c r="G131" s="1159"/>
      <c r="H131" s="2043"/>
      <c r="I131" s="2043"/>
      <c r="J131" s="2043"/>
      <c r="K131" s="2043"/>
      <c r="L131" s="1159"/>
      <c r="M131" s="1159"/>
      <c r="N131" s="1159"/>
      <c r="O131" s="1159"/>
      <c r="P131" s="1159"/>
      <c r="Q131" s="1159"/>
      <c r="R131" s="1159"/>
      <c r="S131" s="1159"/>
      <c r="T131" s="1159"/>
      <c r="U131" s="1159"/>
      <c r="V131" s="1159"/>
      <c r="W131" s="1159"/>
      <c r="X131" s="1159"/>
      <c r="Y131" s="1159"/>
      <c r="Z131" s="1159"/>
      <c r="AA131" s="1159"/>
      <c r="AB131" s="1159"/>
      <c r="AC131" s="1159"/>
      <c r="AD131" s="1159"/>
      <c r="AE131" s="1159"/>
      <c r="AF131" s="1159"/>
    </row>
    <row r="132" spans="2:32">
      <c r="B132" s="1947" t="s">
        <v>1869</v>
      </c>
      <c r="C132" s="928">
        <v>0.32148474619234602</v>
      </c>
      <c r="D132" s="946">
        <v>0.3210128354841783</v>
      </c>
      <c r="E132" s="946">
        <v>0</v>
      </c>
      <c r="F132" s="930">
        <v>0</v>
      </c>
      <c r="G132" s="1159"/>
      <c r="H132" s="2043"/>
      <c r="I132" s="2043"/>
      <c r="J132" s="2043"/>
      <c r="K132" s="2043"/>
      <c r="L132" s="1159"/>
      <c r="M132" s="1159"/>
      <c r="N132" s="1159"/>
      <c r="O132" s="1159"/>
      <c r="P132" s="1159"/>
      <c r="Q132" s="1159"/>
      <c r="R132" s="1159"/>
      <c r="S132" s="1159"/>
      <c r="T132" s="1159"/>
      <c r="U132" s="1159"/>
      <c r="V132" s="1159"/>
      <c r="W132" s="1159"/>
      <c r="X132" s="1159"/>
      <c r="Y132" s="1159"/>
      <c r="Z132" s="1159"/>
      <c r="AA132" s="1159"/>
      <c r="AB132" s="1159"/>
      <c r="AC132" s="1159"/>
      <c r="AD132" s="1159"/>
      <c r="AE132" s="1159"/>
      <c r="AF132" s="1159"/>
    </row>
    <row r="133" spans="2:32">
      <c r="B133" s="1947" t="s">
        <v>61</v>
      </c>
      <c r="C133" s="928">
        <v>8.0075508939606369E-3</v>
      </c>
      <c r="D133" s="946">
        <v>7.9960550361000537E-3</v>
      </c>
      <c r="E133" s="946">
        <v>0</v>
      </c>
      <c r="F133" s="930">
        <v>9.4578781313752365E-3</v>
      </c>
      <c r="G133" s="1159"/>
      <c r="H133" s="2043"/>
      <c r="I133" s="2043"/>
      <c r="J133" s="2043"/>
      <c r="K133" s="2043"/>
      <c r="L133" s="1159"/>
      <c r="M133" s="1159"/>
      <c r="N133" s="1159"/>
      <c r="O133" s="1159"/>
      <c r="P133" s="1159"/>
      <c r="Q133" s="1159"/>
      <c r="R133" s="1159"/>
      <c r="S133" s="1159"/>
      <c r="T133" s="1159"/>
      <c r="U133" s="1159"/>
      <c r="V133" s="1159"/>
      <c r="W133" s="1159"/>
      <c r="X133" s="1159"/>
      <c r="Y133" s="1159"/>
      <c r="Z133" s="1159"/>
      <c r="AA133" s="1159"/>
      <c r="AB133" s="1159"/>
      <c r="AC133" s="1159"/>
      <c r="AD133" s="1159"/>
      <c r="AE133" s="1159"/>
      <c r="AF133" s="1159"/>
    </row>
    <row r="134" spans="2:32">
      <c r="B134" s="1947" t="s">
        <v>60</v>
      </c>
      <c r="C134" s="928">
        <v>4.5509531206068453E-2</v>
      </c>
      <c r="D134" s="946">
        <v>4.5679611057931578E-2</v>
      </c>
      <c r="E134" s="946">
        <v>0</v>
      </c>
      <c r="F134" s="930">
        <v>2.070097279520686E-2</v>
      </c>
      <c r="G134" s="1159"/>
      <c r="H134" s="2043"/>
      <c r="I134" s="2043"/>
      <c r="J134" s="2043"/>
      <c r="K134" s="2043"/>
      <c r="L134" s="1159"/>
      <c r="M134" s="1159"/>
      <c r="N134" s="1159"/>
      <c r="O134" s="1159"/>
      <c r="P134" s="1159"/>
      <c r="Q134" s="1159"/>
      <c r="R134" s="1159"/>
      <c r="S134" s="1159"/>
      <c r="T134" s="1159"/>
      <c r="U134" s="1159"/>
      <c r="V134" s="1159"/>
      <c r="W134" s="1159"/>
      <c r="X134" s="1159"/>
      <c r="Y134" s="1159"/>
      <c r="Z134" s="1159"/>
      <c r="AA134" s="1159"/>
      <c r="AB134" s="1159"/>
      <c r="AC134" s="1159"/>
      <c r="AD134" s="1159"/>
      <c r="AE134" s="1159"/>
      <c r="AF134" s="1159"/>
    </row>
    <row r="135" spans="2:32">
      <c r="B135" s="1947" t="s">
        <v>2413</v>
      </c>
      <c r="C135" s="928">
        <v>6.1389034084071582E-3</v>
      </c>
      <c r="D135" s="946">
        <v>6.1298920500483349E-3</v>
      </c>
      <c r="E135" s="946">
        <v>0</v>
      </c>
      <c r="F135" s="930">
        <v>1.9921603239690312E-2</v>
      </c>
      <c r="G135" s="1159"/>
      <c r="H135" s="2043"/>
      <c r="I135" s="2043"/>
      <c r="J135" s="2043"/>
      <c r="K135" s="2043"/>
      <c r="L135" s="1159"/>
      <c r="M135" s="1159"/>
      <c r="N135" s="1159"/>
      <c r="O135" s="1159"/>
      <c r="P135" s="1159"/>
      <c r="Q135" s="1159"/>
      <c r="R135" s="1159"/>
      <c r="S135" s="1159"/>
      <c r="T135" s="1159"/>
      <c r="U135" s="1159"/>
      <c r="V135" s="1159"/>
      <c r="W135" s="1159"/>
      <c r="X135" s="1159"/>
      <c r="Y135" s="1159"/>
      <c r="Z135" s="1159"/>
      <c r="AA135" s="1159"/>
      <c r="AB135" s="1159"/>
      <c r="AC135" s="1159"/>
      <c r="AD135" s="1159"/>
      <c r="AE135" s="1159"/>
      <c r="AF135" s="1159"/>
    </row>
    <row r="136" spans="2:32">
      <c r="B136" s="1947" t="s">
        <v>2414</v>
      </c>
      <c r="C136" s="928">
        <v>0</v>
      </c>
      <c r="D136" s="946">
        <v>0</v>
      </c>
      <c r="E136" s="946">
        <v>0</v>
      </c>
      <c r="F136" s="930">
        <v>0</v>
      </c>
      <c r="G136" s="1159"/>
      <c r="H136" s="2043"/>
      <c r="I136" s="2043"/>
      <c r="J136" s="2043"/>
      <c r="K136" s="2043"/>
      <c r="L136" s="1159"/>
      <c r="M136" s="1159"/>
      <c r="N136" s="1159"/>
      <c r="O136" s="1159"/>
      <c r="P136" s="1159"/>
      <c r="Q136" s="1159"/>
      <c r="R136" s="1159"/>
      <c r="S136" s="1159"/>
      <c r="T136" s="1159"/>
      <c r="U136" s="1159"/>
      <c r="V136" s="1159"/>
      <c r="W136" s="1159"/>
      <c r="X136" s="1159"/>
      <c r="Y136" s="1159"/>
      <c r="Z136" s="1159"/>
      <c r="AA136" s="1159"/>
      <c r="AB136" s="1159"/>
      <c r="AC136" s="1159"/>
      <c r="AD136" s="1159"/>
      <c r="AE136" s="1159"/>
      <c r="AF136" s="1159"/>
    </row>
    <row r="137" spans="2:32">
      <c r="B137" s="1947" t="s">
        <v>1409</v>
      </c>
      <c r="C137" s="928">
        <v>6.6334337220751803E-5</v>
      </c>
      <c r="D137" s="946">
        <v>6.6236964376707296E-5</v>
      </c>
      <c r="E137" s="946">
        <v>0</v>
      </c>
      <c r="F137" s="930">
        <v>0</v>
      </c>
      <c r="G137" s="1159"/>
      <c r="H137" s="2043"/>
      <c r="I137" s="2043"/>
      <c r="J137" s="2043"/>
      <c r="K137" s="2043"/>
      <c r="L137" s="1159"/>
      <c r="M137" s="1159"/>
      <c r="N137" s="1159"/>
      <c r="O137" s="1159"/>
      <c r="P137" s="1159"/>
      <c r="Q137" s="1159"/>
      <c r="R137" s="1159"/>
      <c r="S137" s="1159"/>
      <c r="T137" s="1159"/>
      <c r="U137" s="1159"/>
      <c r="V137" s="1159"/>
      <c r="W137" s="1159"/>
      <c r="X137" s="1159"/>
      <c r="Y137" s="1159"/>
      <c r="Z137" s="1159"/>
      <c r="AA137" s="1159"/>
      <c r="AB137" s="1159"/>
      <c r="AC137" s="1159"/>
      <c r="AD137" s="1159"/>
      <c r="AE137" s="1159"/>
      <c r="AF137" s="1159"/>
    </row>
    <row r="138" spans="2:32">
      <c r="B138" s="1947" t="s">
        <v>2415</v>
      </c>
      <c r="C138" s="928">
        <v>0</v>
      </c>
      <c r="D138" s="946">
        <v>0</v>
      </c>
      <c r="E138" s="946">
        <v>0</v>
      </c>
      <c r="F138" s="930">
        <v>0</v>
      </c>
      <c r="G138" s="1159"/>
      <c r="H138" s="2043"/>
      <c r="I138" s="2043"/>
      <c r="J138" s="2043"/>
      <c r="K138" s="2043"/>
      <c r="L138" s="1159"/>
      <c r="M138" s="1159"/>
      <c r="N138" s="1159"/>
      <c r="O138" s="1159"/>
      <c r="P138" s="1159"/>
      <c r="Q138" s="1159"/>
      <c r="R138" s="1159"/>
      <c r="S138" s="1159"/>
      <c r="T138" s="1159"/>
      <c r="U138" s="1159"/>
      <c r="V138" s="1159"/>
      <c r="W138" s="1159"/>
      <c r="X138" s="1159"/>
      <c r="Y138" s="1159"/>
      <c r="Z138" s="1159"/>
      <c r="AA138" s="1159"/>
      <c r="AB138" s="1159"/>
      <c r="AC138" s="1159"/>
      <c r="AD138" s="1159"/>
      <c r="AE138" s="1159"/>
      <c r="AF138" s="1159"/>
    </row>
    <row r="139" spans="2:32">
      <c r="B139" s="1947" t="s">
        <v>2416</v>
      </c>
      <c r="C139" s="928">
        <v>3.281989052337527E-3</v>
      </c>
      <c r="D139" s="946">
        <v>3.277171387436684E-3</v>
      </c>
      <c r="E139" s="946">
        <v>0</v>
      </c>
      <c r="F139" s="930">
        <v>2.3815322964135357E-3</v>
      </c>
      <c r="G139" s="1159"/>
      <c r="H139" s="2043"/>
      <c r="I139" s="2043"/>
      <c r="J139" s="2043"/>
      <c r="K139" s="2043"/>
      <c r="L139" s="1159"/>
      <c r="M139" s="1159"/>
      <c r="N139" s="1159"/>
      <c r="O139" s="1159"/>
      <c r="P139" s="1159"/>
      <c r="Q139" s="1159"/>
      <c r="R139" s="1159"/>
      <c r="S139" s="1159"/>
      <c r="T139" s="1159"/>
      <c r="U139" s="1159"/>
      <c r="V139" s="1159"/>
      <c r="W139" s="1159"/>
      <c r="X139" s="1159"/>
      <c r="Y139" s="1159"/>
      <c r="Z139" s="1159"/>
      <c r="AA139" s="1159"/>
      <c r="AB139" s="1159"/>
      <c r="AC139" s="1159"/>
      <c r="AD139" s="1159"/>
      <c r="AE139" s="1159"/>
      <c r="AF139" s="1159"/>
    </row>
    <row r="140" spans="2:32">
      <c r="B140" s="1947" t="s">
        <v>2417</v>
      </c>
      <c r="C140" s="928">
        <v>9.4813017067528558E-4</v>
      </c>
      <c r="D140" s="946">
        <v>9.4673840081504199E-4</v>
      </c>
      <c r="E140" s="946">
        <v>0</v>
      </c>
      <c r="F140" s="930">
        <v>0</v>
      </c>
      <c r="G140" s="1159"/>
      <c r="H140" s="2043"/>
      <c r="I140" s="2043"/>
      <c r="J140" s="2043"/>
      <c r="K140" s="2043"/>
      <c r="L140" s="1159"/>
      <c r="M140" s="1159"/>
      <c r="N140" s="1159"/>
      <c r="O140" s="1159"/>
      <c r="P140" s="1159"/>
      <c r="Q140" s="1159"/>
      <c r="R140" s="1159"/>
      <c r="S140" s="1159"/>
      <c r="T140" s="1159"/>
      <c r="U140" s="1159"/>
      <c r="V140" s="1159"/>
      <c r="W140" s="1159"/>
      <c r="X140" s="1159"/>
      <c r="Y140" s="1159"/>
      <c r="Z140" s="1159"/>
      <c r="AA140" s="1159"/>
      <c r="AB140" s="1159"/>
      <c r="AC140" s="1159"/>
      <c r="AD140" s="1159"/>
      <c r="AE140" s="1159"/>
      <c r="AF140" s="1159"/>
    </row>
    <row r="141" spans="2:32">
      <c r="B141" s="1947" t="s">
        <v>63</v>
      </c>
      <c r="C141" s="928">
        <v>2.0023429363016292E-4</v>
      </c>
      <c r="D141" s="946">
        <v>2.0216003018031807E-4</v>
      </c>
      <c r="E141" s="946">
        <v>0</v>
      </c>
      <c r="F141" s="930">
        <v>7.4536265824640103E-4</v>
      </c>
      <c r="G141" s="1159"/>
      <c r="H141" s="2043"/>
      <c r="I141" s="2043"/>
      <c r="J141" s="2043"/>
      <c r="K141" s="2043"/>
      <c r="L141" s="1159"/>
      <c r="M141" s="1159"/>
      <c r="N141" s="1159"/>
      <c r="O141" s="1159"/>
      <c r="P141" s="1159"/>
      <c r="Q141" s="1159"/>
      <c r="R141" s="1159"/>
      <c r="S141" s="1159"/>
      <c r="T141" s="1159"/>
      <c r="U141" s="1159"/>
      <c r="V141" s="1159"/>
      <c r="W141" s="1159"/>
      <c r="X141" s="1159"/>
      <c r="Y141" s="1159"/>
      <c r="Z141" s="1159"/>
      <c r="AA141" s="1159"/>
      <c r="AB141" s="1159"/>
      <c r="AC141" s="1159"/>
      <c r="AD141" s="1159"/>
      <c r="AE141" s="1159"/>
      <c r="AF141" s="1159"/>
    </row>
    <row r="142" spans="2:32">
      <c r="B142" s="1947" t="s">
        <v>2407</v>
      </c>
      <c r="C142" s="928">
        <v>0</v>
      </c>
      <c r="D142" s="946">
        <v>0</v>
      </c>
      <c r="E142" s="946">
        <v>0</v>
      </c>
      <c r="F142" s="930">
        <v>3.8047384810419554E-2</v>
      </c>
      <c r="G142" s="1159"/>
      <c r="H142" s="2043"/>
      <c r="I142" s="2043"/>
      <c r="J142" s="2043"/>
      <c r="K142" s="2043"/>
      <c r="L142" s="1159"/>
      <c r="M142" s="1159"/>
      <c r="N142" s="1159"/>
      <c r="O142" s="1159"/>
      <c r="P142" s="1159"/>
      <c r="Q142" s="1159"/>
      <c r="R142" s="1159"/>
      <c r="S142" s="1159"/>
      <c r="T142" s="1159"/>
      <c r="U142" s="1159"/>
      <c r="V142" s="1159"/>
      <c r="W142" s="1159"/>
      <c r="X142" s="1159"/>
      <c r="Y142" s="1159"/>
      <c r="Z142" s="1159"/>
      <c r="AA142" s="1159"/>
      <c r="AB142" s="1159"/>
      <c r="AC142" s="1159"/>
      <c r="AD142" s="1159"/>
      <c r="AE142" s="1159"/>
      <c r="AF142" s="1159"/>
    </row>
    <row r="143" spans="2:32">
      <c r="B143" s="1947" t="s">
        <v>2418</v>
      </c>
      <c r="C143" s="928">
        <v>0</v>
      </c>
      <c r="D143" s="946">
        <v>0</v>
      </c>
      <c r="E143" s="946">
        <v>0</v>
      </c>
      <c r="F143" s="930">
        <v>1.3216770026617647E-3</v>
      </c>
      <c r="G143" s="1159"/>
      <c r="H143" s="2043"/>
      <c r="I143" s="2043"/>
      <c r="J143" s="2043"/>
      <c r="K143" s="2043"/>
      <c r="L143" s="1159"/>
      <c r="M143" s="1159"/>
      <c r="N143" s="1159"/>
      <c r="O143" s="1159"/>
      <c r="P143" s="1159"/>
      <c r="Q143" s="1159"/>
      <c r="R143" s="1159"/>
      <c r="S143" s="1159"/>
      <c r="T143" s="1159"/>
      <c r="U143" s="1159"/>
      <c r="V143" s="1159"/>
      <c r="W143" s="1159"/>
      <c r="X143" s="1159"/>
      <c r="Y143" s="1159"/>
      <c r="Z143" s="1159"/>
      <c r="AA143" s="1159"/>
      <c r="AB143" s="1159"/>
      <c r="AC143" s="1159"/>
      <c r="AD143" s="1159"/>
      <c r="AE143" s="1159"/>
      <c r="AF143" s="1159"/>
    </row>
    <row r="144" spans="2:32">
      <c r="B144" s="1947" t="s">
        <v>1391</v>
      </c>
      <c r="C144" s="928">
        <v>0</v>
      </c>
      <c r="D144" s="946">
        <v>0</v>
      </c>
      <c r="E144" s="946">
        <v>0</v>
      </c>
      <c r="F144" s="930">
        <v>9.9669478087587179E-2</v>
      </c>
      <c r="G144" s="1159"/>
      <c r="H144" s="2043"/>
      <c r="I144" s="2043"/>
      <c r="J144" s="2043"/>
      <c r="K144" s="2043"/>
      <c r="L144" s="1159"/>
      <c r="M144" s="1159"/>
      <c r="N144" s="1159"/>
      <c r="O144" s="1159"/>
      <c r="P144" s="1159"/>
      <c r="Q144" s="1159"/>
      <c r="R144" s="1159"/>
      <c r="S144" s="1159"/>
      <c r="T144" s="1159"/>
      <c r="U144" s="1159"/>
      <c r="V144" s="1159"/>
      <c r="W144" s="1159"/>
      <c r="X144" s="1159"/>
      <c r="Y144" s="1159"/>
      <c r="Z144" s="1159"/>
      <c r="AA144" s="1159"/>
      <c r="AB144" s="1159"/>
      <c r="AC144" s="1159"/>
      <c r="AD144" s="1159"/>
      <c r="AE144" s="1159"/>
      <c r="AF144" s="1159"/>
    </row>
    <row r="145" spans="2:32">
      <c r="B145" s="1947" t="s">
        <v>375</v>
      </c>
      <c r="C145" s="928">
        <v>0</v>
      </c>
      <c r="D145" s="946">
        <v>0</v>
      </c>
      <c r="E145" s="946">
        <v>0</v>
      </c>
      <c r="F145" s="930">
        <v>4.7498094405019458E-4</v>
      </c>
      <c r="G145" s="1159"/>
      <c r="H145" s="2043"/>
      <c r="I145" s="2043"/>
      <c r="J145" s="2043"/>
      <c r="K145" s="2043"/>
      <c r="L145" s="1159"/>
      <c r="M145" s="1159"/>
      <c r="N145" s="1159"/>
      <c r="O145" s="1159"/>
      <c r="P145" s="1159"/>
      <c r="Q145" s="1159"/>
      <c r="R145" s="1159"/>
      <c r="S145" s="1159"/>
      <c r="T145" s="1159"/>
      <c r="U145" s="1159"/>
      <c r="V145" s="1159"/>
      <c r="W145" s="1159"/>
      <c r="X145" s="1159"/>
      <c r="Y145" s="1159"/>
      <c r="Z145" s="1159"/>
      <c r="AA145" s="1159"/>
      <c r="AB145" s="1159"/>
      <c r="AC145" s="1159"/>
      <c r="AD145" s="1159"/>
      <c r="AE145" s="1159"/>
      <c r="AF145" s="1159"/>
    </row>
    <row r="146" spans="2:32">
      <c r="B146" s="1947" t="s">
        <v>381</v>
      </c>
      <c r="C146" s="928">
        <v>0</v>
      </c>
      <c r="D146" s="946">
        <v>0</v>
      </c>
      <c r="E146" s="946">
        <v>0</v>
      </c>
      <c r="F146" s="930">
        <v>2.9121696668818545E-2</v>
      </c>
      <c r="G146" s="1159"/>
      <c r="H146" s="2043"/>
      <c r="I146" s="2043"/>
      <c r="J146" s="2043"/>
      <c r="K146" s="2043"/>
      <c r="L146" s="1159"/>
      <c r="M146" s="1159"/>
      <c r="N146" s="1159"/>
      <c r="O146" s="1159"/>
      <c r="P146" s="1159"/>
      <c r="Q146" s="1159"/>
      <c r="R146" s="1159"/>
      <c r="S146" s="1159"/>
      <c r="T146" s="1159"/>
      <c r="U146" s="1159"/>
      <c r="V146" s="1159"/>
      <c r="W146" s="1159"/>
      <c r="X146" s="1159"/>
      <c r="Y146" s="1159"/>
      <c r="Z146" s="1159"/>
      <c r="AA146" s="1159"/>
      <c r="AB146" s="1159"/>
      <c r="AC146" s="1159"/>
      <c r="AD146" s="1159"/>
      <c r="AE146" s="1159"/>
      <c r="AF146" s="1159"/>
    </row>
    <row r="147" spans="2:32">
      <c r="B147" s="1947" t="s">
        <v>291</v>
      </c>
      <c r="C147" s="928">
        <v>0</v>
      </c>
      <c r="D147" s="946">
        <v>0</v>
      </c>
      <c r="E147" s="946">
        <v>0</v>
      </c>
      <c r="F147" s="930">
        <v>3.6312515615503733E-3</v>
      </c>
      <c r="G147" s="1159"/>
      <c r="H147" s="2043"/>
      <c r="I147" s="2043"/>
      <c r="J147" s="2043"/>
      <c r="K147" s="2043"/>
      <c r="L147" s="1159"/>
      <c r="M147" s="1159"/>
      <c r="N147" s="1159"/>
      <c r="O147" s="1159"/>
      <c r="P147" s="1159"/>
      <c r="Q147" s="1159"/>
      <c r="R147" s="1159"/>
      <c r="S147" s="1159"/>
      <c r="T147" s="1159"/>
      <c r="U147" s="1159"/>
      <c r="V147" s="1159"/>
      <c r="W147" s="1159"/>
      <c r="X147" s="1159"/>
      <c r="Y147" s="1159"/>
      <c r="Z147" s="1159"/>
      <c r="AA147" s="1159"/>
      <c r="AB147" s="1159"/>
      <c r="AC147" s="1159"/>
      <c r="AD147" s="1159"/>
      <c r="AE147" s="1159"/>
      <c r="AF147" s="1159"/>
    </row>
    <row r="148" spans="2:32">
      <c r="B148" s="1947" t="s">
        <v>289</v>
      </c>
      <c r="C148" s="928">
        <v>0</v>
      </c>
      <c r="D148" s="946">
        <v>0</v>
      </c>
      <c r="E148" s="946">
        <v>0</v>
      </c>
      <c r="F148" s="930">
        <v>8.2728019844574528E-3</v>
      </c>
      <c r="G148" s="1159"/>
      <c r="H148" s="2043"/>
      <c r="I148" s="2043"/>
      <c r="J148" s="2043"/>
      <c r="K148" s="2043"/>
      <c r="L148" s="1159"/>
      <c r="M148" s="1159"/>
      <c r="N148" s="1159"/>
      <c r="O148" s="1159"/>
      <c r="P148" s="1159"/>
      <c r="Q148" s="1159"/>
      <c r="R148" s="1159"/>
      <c r="S148" s="1159"/>
      <c r="T148" s="1159"/>
      <c r="U148" s="1159"/>
      <c r="V148" s="1159"/>
      <c r="W148" s="1159"/>
      <c r="X148" s="1159"/>
      <c r="Y148" s="1159"/>
      <c r="Z148" s="1159"/>
      <c r="AA148" s="1159"/>
      <c r="AB148" s="1159"/>
      <c r="AC148" s="1159"/>
      <c r="AD148" s="1159"/>
      <c r="AE148" s="1159"/>
      <c r="AF148" s="1159"/>
    </row>
    <row r="149" spans="2:32">
      <c r="B149" s="1947" t="s">
        <v>2419</v>
      </c>
      <c r="C149" s="928">
        <v>0</v>
      </c>
      <c r="D149" s="946">
        <v>0</v>
      </c>
      <c r="E149" s="946">
        <v>0</v>
      </c>
      <c r="F149" s="930">
        <v>2.1932573521867473E-2</v>
      </c>
      <c r="G149" s="1159"/>
      <c r="H149" s="2043"/>
      <c r="I149" s="2043"/>
      <c r="J149" s="2043"/>
      <c r="K149" s="2043"/>
      <c r="L149" s="1159"/>
      <c r="M149" s="1159"/>
      <c r="N149" s="1159"/>
      <c r="O149" s="1159"/>
      <c r="P149" s="1159"/>
      <c r="Q149" s="1159"/>
      <c r="R149" s="1159"/>
      <c r="S149" s="1159"/>
      <c r="T149" s="1159"/>
      <c r="U149" s="1159"/>
      <c r="V149" s="1159"/>
      <c r="W149" s="1159"/>
      <c r="X149" s="1159"/>
      <c r="Y149" s="1159"/>
      <c r="Z149" s="1159"/>
      <c r="AA149" s="1159"/>
      <c r="AB149" s="1159"/>
      <c r="AC149" s="1159"/>
      <c r="AD149" s="1159"/>
      <c r="AE149" s="1159"/>
      <c r="AF149" s="1159"/>
    </row>
    <row r="150" spans="2:32">
      <c r="B150" s="1947" t="s">
        <v>2420</v>
      </c>
      <c r="C150" s="928">
        <v>3.0098375926723431E-2</v>
      </c>
      <c r="D150" s="946">
        <v>3.0387844536578331E-2</v>
      </c>
      <c r="E150" s="946">
        <v>0</v>
      </c>
      <c r="F150" s="930">
        <v>3.0226060075921472E-4</v>
      </c>
      <c r="G150" s="1159"/>
      <c r="H150" s="2043"/>
      <c r="I150" s="2043"/>
      <c r="J150" s="2043"/>
      <c r="K150" s="2043"/>
      <c r="L150" s="1159"/>
      <c r="M150" s="1159"/>
      <c r="N150" s="1159"/>
      <c r="O150" s="1159"/>
      <c r="P150" s="1159"/>
      <c r="Q150" s="1159"/>
      <c r="R150" s="1159"/>
      <c r="S150" s="1159"/>
      <c r="T150" s="1159"/>
      <c r="U150" s="1159"/>
      <c r="V150" s="1159"/>
      <c r="W150" s="1159"/>
      <c r="X150" s="1159"/>
      <c r="Y150" s="1159"/>
      <c r="Z150" s="1159"/>
      <c r="AA150" s="1159"/>
      <c r="AB150" s="1159"/>
      <c r="AC150" s="1159"/>
      <c r="AD150" s="1159"/>
      <c r="AE150" s="1159"/>
      <c r="AF150" s="1159"/>
    </row>
    <row r="151" spans="2:32">
      <c r="B151" s="1947" t="s">
        <v>293</v>
      </c>
      <c r="C151" s="928">
        <v>0</v>
      </c>
      <c r="D151" s="946">
        <v>0</v>
      </c>
      <c r="E151" s="946">
        <v>0</v>
      </c>
      <c r="F151" s="930">
        <v>1.6179599093581722E-2</v>
      </c>
      <c r="G151" s="1159"/>
      <c r="H151" s="2043"/>
      <c r="I151" s="2043"/>
      <c r="J151" s="2043"/>
      <c r="K151" s="2043"/>
      <c r="L151" s="1159"/>
      <c r="M151" s="1159"/>
      <c r="N151" s="1159"/>
      <c r="O151" s="1159"/>
      <c r="P151" s="1159"/>
      <c r="Q151" s="1159"/>
      <c r="R151" s="1159"/>
      <c r="S151" s="1159"/>
      <c r="T151" s="1159"/>
      <c r="U151" s="1159"/>
      <c r="V151" s="1159"/>
      <c r="W151" s="1159"/>
      <c r="X151" s="1159"/>
      <c r="Y151" s="1159"/>
      <c r="Z151" s="1159"/>
      <c r="AA151" s="1159"/>
      <c r="AB151" s="1159"/>
      <c r="AC151" s="1159"/>
      <c r="AD151" s="1159"/>
      <c r="AE151" s="1159"/>
      <c r="AF151" s="1159"/>
    </row>
    <row r="152" spans="2:32">
      <c r="B152" s="1947" t="s">
        <v>2421</v>
      </c>
      <c r="C152" s="928">
        <v>0</v>
      </c>
      <c r="D152" s="946">
        <v>0</v>
      </c>
      <c r="E152" s="946">
        <v>0</v>
      </c>
      <c r="F152" s="930">
        <v>1.0604777848475919E-2</v>
      </c>
      <c r="G152" s="1159"/>
      <c r="H152" s="2043"/>
      <c r="I152" s="2043"/>
      <c r="J152" s="2043"/>
      <c r="K152" s="2043"/>
      <c r="L152" s="1159"/>
      <c r="M152" s="1159"/>
      <c r="N152" s="1159"/>
      <c r="O152" s="1159"/>
      <c r="P152" s="1159"/>
      <c r="Q152" s="1159"/>
      <c r="R152" s="1159"/>
      <c r="S152" s="1159"/>
      <c r="T152" s="1159"/>
      <c r="U152" s="1159"/>
      <c r="V152" s="1159"/>
      <c r="W152" s="1159"/>
      <c r="X152" s="1159"/>
      <c r="Y152" s="1159"/>
      <c r="Z152" s="1159"/>
      <c r="AA152" s="1159"/>
      <c r="AB152" s="1159"/>
      <c r="AC152" s="1159"/>
      <c r="AD152" s="1159"/>
      <c r="AE152" s="1159"/>
      <c r="AF152" s="1159"/>
    </row>
    <row r="153" spans="2:32">
      <c r="B153" s="1947" t="s">
        <v>2422</v>
      </c>
      <c r="C153" s="928">
        <v>0</v>
      </c>
      <c r="D153" s="946">
        <v>0</v>
      </c>
      <c r="E153" s="946">
        <v>0</v>
      </c>
      <c r="F153" s="930">
        <v>0</v>
      </c>
      <c r="G153" s="1159"/>
      <c r="H153" s="2043"/>
      <c r="I153" s="2043"/>
      <c r="J153" s="2043"/>
      <c r="K153" s="2043"/>
      <c r="L153" s="1159"/>
      <c r="M153" s="1159"/>
      <c r="N153" s="1159"/>
      <c r="O153" s="1159"/>
      <c r="P153" s="1159"/>
      <c r="Q153" s="1159"/>
      <c r="R153" s="1159"/>
      <c r="S153" s="1159"/>
      <c r="T153" s="1159"/>
      <c r="U153" s="1159"/>
      <c r="V153" s="1159"/>
      <c r="W153" s="1159"/>
      <c r="X153" s="1159"/>
      <c r="Y153" s="1159"/>
      <c r="Z153" s="1159"/>
      <c r="AA153" s="1159"/>
      <c r="AB153" s="1159"/>
      <c r="AC153" s="1159"/>
      <c r="AD153" s="1159"/>
      <c r="AE153" s="1159"/>
      <c r="AF153" s="1159"/>
    </row>
    <row r="154" spans="2:32">
      <c r="B154" s="1947" t="s">
        <v>48</v>
      </c>
      <c r="C154" s="928">
        <v>0</v>
      </c>
      <c r="D154" s="946">
        <v>0</v>
      </c>
      <c r="E154" s="946">
        <v>0</v>
      </c>
      <c r="F154" s="930">
        <v>2.7476256254982804E-3</v>
      </c>
      <c r="G154" s="1159"/>
      <c r="H154" s="2043"/>
      <c r="I154" s="2043"/>
      <c r="J154" s="2043"/>
      <c r="K154" s="2043"/>
      <c r="L154" s="1159"/>
      <c r="M154" s="1159"/>
      <c r="N154" s="1159"/>
      <c r="O154" s="1159"/>
      <c r="P154" s="1159"/>
      <c r="Q154" s="1159"/>
      <c r="R154" s="1159"/>
      <c r="S154" s="1159"/>
      <c r="T154" s="1159"/>
      <c r="U154" s="1159"/>
      <c r="V154" s="1159"/>
      <c r="W154" s="1159"/>
      <c r="X154" s="1159"/>
      <c r="Y154" s="1159"/>
      <c r="Z154" s="1159"/>
      <c r="AA154" s="1159"/>
      <c r="AB154" s="1159"/>
      <c r="AC154" s="1159"/>
      <c r="AD154" s="1159"/>
      <c r="AE154" s="1159"/>
      <c r="AF154" s="1159"/>
    </row>
    <row r="155" spans="2:32">
      <c r="B155" s="1947" t="s">
        <v>71</v>
      </c>
      <c r="C155" s="928">
        <v>0</v>
      </c>
      <c r="D155" s="946">
        <v>0</v>
      </c>
      <c r="E155" s="946">
        <v>0</v>
      </c>
      <c r="F155" s="930">
        <v>9.2086165062573691E-4</v>
      </c>
      <c r="G155" s="1159"/>
      <c r="H155" s="2043"/>
      <c r="I155" s="2043"/>
      <c r="J155" s="2043"/>
      <c r="K155" s="2043"/>
      <c r="L155" s="1159"/>
      <c r="M155" s="1159"/>
      <c r="N155" s="1159"/>
      <c r="O155" s="1159"/>
      <c r="P155" s="1159"/>
      <c r="Q155" s="1159"/>
      <c r="R155" s="1159"/>
      <c r="S155" s="1159"/>
      <c r="T155" s="1159"/>
      <c r="U155" s="1159"/>
      <c r="V155" s="1159"/>
      <c r="W155" s="1159"/>
      <c r="X155" s="1159"/>
      <c r="Y155" s="1159"/>
      <c r="Z155" s="1159"/>
      <c r="AA155" s="1159"/>
      <c r="AB155" s="1159"/>
      <c r="AC155" s="1159"/>
      <c r="AD155" s="1159"/>
      <c r="AE155" s="1159"/>
      <c r="AF155" s="1159"/>
    </row>
    <row r="156" spans="2:32">
      <c r="B156" s="1947" t="s">
        <v>73</v>
      </c>
      <c r="C156" s="928">
        <v>0</v>
      </c>
      <c r="D156" s="946">
        <v>0</v>
      </c>
      <c r="E156" s="946">
        <v>0</v>
      </c>
      <c r="F156" s="930">
        <v>4.6739677632978829E-4</v>
      </c>
      <c r="G156" s="1159"/>
      <c r="H156" s="2043"/>
      <c r="I156" s="2043"/>
      <c r="J156" s="2043"/>
      <c r="K156" s="2043"/>
      <c r="L156" s="1159"/>
      <c r="M156" s="1159"/>
      <c r="N156" s="1159"/>
      <c r="O156" s="1159"/>
      <c r="P156" s="1159"/>
      <c r="Q156" s="1159"/>
      <c r="R156" s="1159"/>
      <c r="S156" s="1159"/>
      <c r="T156" s="1159"/>
      <c r="U156" s="1159"/>
      <c r="V156" s="1159"/>
      <c r="W156" s="1159"/>
      <c r="X156" s="1159"/>
      <c r="Y156" s="1159"/>
      <c r="Z156" s="1159"/>
      <c r="AA156" s="1159"/>
      <c r="AB156" s="1159"/>
      <c r="AC156" s="1159"/>
      <c r="AD156" s="1159"/>
      <c r="AE156" s="1159"/>
      <c r="AF156" s="1159"/>
    </row>
    <row r="157" spans="2:32">
      <c r="B157" s="1947" t="s">
        <v>2423</v>
      </c>
      <c r="C157" s="928">
        <v>0</v>
      </c>
      <c r="D157" s="946">
        <v>0</v>
      </c>
      <c r="E157" s="946">
        <v>0</v>
      </c>
      <c r="F157" s="930">
        <v>1.7540221916680706E-4</v>
      </c>
      <c r="G157" s="1159"/>
      <c r="H157" s="2043"/>
      <c r="I157" s="2043"/>
      <c r="J157" s="2043"/>
      <c r="K157" s="2043"/>
      <c r="L157" s="1159"/>
      <c r="M157" s="1159"/>
      <c r="N157" s="1159"/>
      <c r="O157" s="1159"/>
      <c r="P157" s="1159"/>
      <c r="Q157" s="1159"/>
      <c r="R157" s="1159"/>
      <c r="S157" s="1159"/>
      <c r="T157" s="1159"/>
      <c r="U157" s="1159"/>
      <c r="V157" s="1159"/>
      <c r="W157" s="1159"/>
      <c r="X157" s="1159"/>
      <c r="Y157" s="1159"/>
      <c r="Z157" s="1159"/>
      <c r="AA157" s="1159"/>
      <c r="AB157" s="1159"/>
      <c r="AC157" s="1159"/>
      <c r="AD157" s="1159"/>
      <c r="AE157" s="1159"/>
      <c r="AF157" s="1159"/>
    </row>
    <row r="158" spans="2:32">
      <c r="B158" s="1947" t="s">
        <v>69</v>
      </c>
      <c r="C158" s="928">
        <v>0</v>
      </c>
      <c r="D158" s="946">
        <v>0</v>
      </c>
      <c r="E158" s="946">
        <v>0</v>
      </c>
      <c r="F158" s="930">
        <v>4.3850554791701764E-5</v>
      </c>
      <c r="G158" s="1159"/>
      <c r="H158" s="2043"/>
      <c r="I158" s="2043"/>
      <c r="J158" s="2043"/>
      <c r="K158" s="2043"/>
      <c r="L158" s="1159"/>
      <c r="M158" s="1159"/>
      <c r="N158" s="1159"/>
      <c r="O158" s="1159"/>
      <c r="P158" s="1159"/>
      <c r="Q158" s="1159"/>
      <c r="R158" s="1159"/>
      <c r="S158" s="1159"/>
      <c r="T158" s="1159"/>
      <c r="U158" s="1159"/>
      <c r="V158" s="1159"/>
      <c r="W158" s="1159"/>
      <c r="X158" s="1159"/>
      <c r="Y158" s="1159"/>
      <c r="Z158" s="1159"/>
      <c r="AA158" s="1159"/>
      <c r="AB158" s="1159"/>
      <c r="AC158" s="1159"/>
      <c r="AD158" s="1159"/>
      <c r="AE158" s="1159"/>
      <c r="AF158" s="1159"/>
    </row>
    <row r="159" spans="2:32">
      <c r="B159" s="1947" t="s">
        <v>58</v>
      </c>
      <c r="C159" s="928">
        <v>0</v>
      </c>
      <c r="D159" s="946">
        <v>0</v>
      </c>
      <c r="E159" s="946">
        <v>0</v>
      </c>
      <c r="F159" s="930">
        <v>3.166539627001297E-4</v>
      </c>
      <c r="G159" s="1159"/>
      <c r="H159" s="2043"/>
      <c r="I159" s="2043"/>
      <c r="J159" s="2043"/>
      <c r="K159" s="2043"/>
      <c r="L159" s="1159"/>
      <c r="M159" s="1159"/>
      <c r="N159" s="1159"/>
      <c r="O159" s="1159"/>
      <c r="P159" s="1159"/>
      <c r="Q159" s="1159"/>
      <c r="R159" s="1159"/>
      <c r="S159" s="1159"/>
      <c r="T159" s="1159"/>
      <c r="U159" s="1159"/>
      <c r="V159" s="1159"/>
      <c r="W159" s="1159"/>
      <c r="X159" s="1159"/>
      <c r="Y159" s="1159"/>
      <c r="Z159" s="1159"/>
      <c r="AA159" s="1159"/>
      <c r="AB159" s="1159"/>
      <c r="AC159" s="1159"/>
      <c r="AD159" s="1159"/>
      <c r="AE159" s="1159"/>
      <c r="AF159" s="1159"/>
    </row>
    <row r="160" spans="2:32">
      <c r="B160" s="59" t="s">
        <v>262</v>
      </c>
      <c r="C160" s="1761">
        <v>0</v>
      </c>
      <c r="D160" s="2044">
        <v>0</v>
      </c>
      <c r="E160" s="2044">
        <v>0</v>
      </c>
      <c r="F160" s="2045">
        <v>1.645761826165821E-3</v>
      </c>
      <c r="G160" s="1159"/>
      <c r="H160" s="2043"/>
      <c r="I160" s="2043"/>
      <c r="J160" s="2043"/>
      <c r="K160" s="2043"/>
      <c r="L160" s="1159"/>
      <c r="M160" s="1159"/>
      <c r="N160" s="1159"/>
      <c r="O160" s="1159"/>
      <c r="P160" s="1159"/>
      <c r="Q160" s="1159"/>
      <c r="R160" s="1159"/>
      <c r="S160" s="1159"/>
      <c r="T160" s="1159"/>
      <c r="U160" s="1159"/>
      <c r="V160" s="1159"/>
      <c r="W160" s="1159"/>
      <c r="X160" s="1159"/>
      <c r="Y160" s="1159"/>
      <c r="Z160" s="1159"/>
      <c r="AA160" s="1159"/>
      <c r="AB160" s="1159"/>
      <c r="AC160" s="1159"/>
      <c r="AD160" s="1159"/>
      <c r="AE160" s="1159"/>
      <c r="AF160" s="1159"/>
    </row>
    <row r="161" spans="2:32">
      <c r="B161" s="482" t="s">
        <v>274</v>
      </c>
      <c r="C161" s="556"/>
      <c r="D161" s="179"/>
      <c r="E161" s="179"/>
      <c r="F161" s="180"/>
      <c r="G161" s="1159"/>
      <c r="H161" s="2043"/>
      <c r="I161" s="2043"/>
      <c r="J161" s="2043"/>
      <c r="K161" s="2043"/>
      <c r="L161" s="1159"/>
      <c r="M161" s="1159"/>
      <c r="N161" s="1159"/>
      <c r="O161" s="1159"/>
      <c r="P161" s="1159"/>
      <c r="Q161" s="1159"/>
      <c r="R161" s="1159"/>
      <c r="S161" s="1159"/>
      <c r="T161" s="1159"/>
      <c r="U161" s="1159"/>
      <c r="V161" s="1159"/>
      <c r="W161" s="1159"/>
      <c r="X161" s="1159"/>
      <c r="Y161" s="1159"/>
      <c r="Z161" s="1159"/>
      <c r="AA161" s="1159"/>
      <c r="AB161" s="1159"/>
      <c r="AC161" s="1159"/>
      <c r="AD161" s="1159"/>
      <c r="AE161" s="1159"/>
      <c r="AF161" s="1159"/>
    </row>
    <row r="162" spans="2:32">
      <c r="B162" s="1947" t="s">
        <v>38</v>
      </c>
      <c r="C162" s="928">
        <v>0.86253103742493664</v>
      </c>
      <c r="D162" s="946">
        <v>0.86253103742493664</v>
      </c>
      <c r="E162" s="946">
        <v>0.86253103742493664</v>
      </c>
      <c r="F162" s="930">
        <v>0.86253103742493664</v>
      </c>
      <c r="G162" s="1159"/>
      <c r="H162" s="2043"/>
      <c r="I162" s="2043"/>
      <c r="J162" s="2043"/>
      <c r="K162" s="2043"/>
      <c r="L162" s="1159"/>
      <c r="M162" s="1159"/>
      <c r="N162" s="1159"/>
      <c r="O162" s="1159"/>
      <c r="P162" s="1159"/>
      <c r="Q162" s="1159"/>
      <c r="R162" s="1159"/>
      <c r="S162" s="1159"/>
      <c r="T162" s="1159"/>
      <c r="U162" s="1159"/>
      <c r="V162" s="1159"/>
      <c r="W162" s="1159"/>
      <c r="X162" s="1159"/>
      <c r="Y162" s="1159"/>
      <c r="Z162" s="1159"/>
      <c r="AA162" s="1159"/>
      <c r="AB162" s="1159"/>
      <c r="AC162" s="1159"/>
      <c r="AD162" s="1159"/>
      <c r="AE162" s="1159"/>
      <c r="AF162" s="1159"/>
    </row>
    <row r="163" spans="2:32">
      <c r="B163" s="1947" t="s">
        <v>2406</v>
      </c>
      <c r="C163" s="928">
        <v>1.3498102108116383E-4</v>
      </c>
      <c r="D163" s="946">
        <v>1.3498102108116383E-4</v>
      </c>
      <c r="E163" s="946">
        <v>1.3498102108116383E-4</v>
      </c>
      <c r="F163" s="930">
        <v>1.3498102108116383E-4</v>
      </c>
      <c r="G163" s="1159"/>
      <c r="H163" s="2043"/>
      <c r="I163" s="2043"/>
      <c r="J163" s="2043"/>
      <c r="K163" s="2043"/>
      <c r="L163" s="1159"/>
      <c r="M163" s="1159"/>
      <c r="N163" s="1159"/>
      <c r="O163" s="1159"/>
      <c r="P163" s="1159"/>
      <c r="Q163" s="1159"/>
      <c r="R163" s="1159"/>
      <c r="S163" s="1159"/>
      <c r="T163" s="1159"/>
      <c r="U163" s="1159"/>
      <c r="V163" s="1159"/>
      <c r="W163" s="1159"/>
      <c r="X163" s="1159"/>
      <c r="Y163" s="1159"/>
      <c r="Z163" s="1159"/>
      <c r="AA163" s="1159"/>
      <c r="AB163" s="1159"/>
      <c r="AC163" s="1159"/>
      <c r="AD163" s="1159"/>
      <c r="AE163" s="1159"/>
      <c r="AF163" s="1159"/>
    </row>
    <row r="164" spans="2:32">
      <c r="B164" s="1947" t="s">
        <v>2405</v>
      </c>
      <c r="C164" s="928">
        <v>7.3254214283268956E-4</v>
      </c>
      <c r="D164" s="946">
        <v>7.3254214283268956E-4</v>
      </c>
      <c r="E164" s="946">
        <v>7.3254214283268956E-4</v>
      </c>
      <c r="F164" s="930">
        <v>7.3254214283268956E-4</v>
      </c>
      <c r="G164" s="1159"/>
      <c r="H164" s="2043"/>
      <c r="I164" s="2043"/>
      <c r="J164" s="2043"/>
      <c r="K164" s="2043"/>
      <c r="L164" s="1159"/>
      <c r="M164" s="1159"/>
      <c r="N164" s="1159"/>
      <c r="O164" s="1159"/>
      <c r="P164" s="1159"/>
      <c r="Q164" s="1159"/>
      <c r="R164" s="1159"/>
      <c r="S164" s="1159"/>
      <c r="T164" s="1159"/>
      <c r="U164" s="1159"/>
      <c r="V164" s="1159"/>
      <c r="W164" s="1159"/>
      <c r="X164" s="1159"/>
      <c r="Y164" s="1159"/>
      <c r="Z164" s="1159"/>
      <c r="AA164" s="1159"/>
      <c r="AB164" s="1159"/>
      <c r="AC164" s="1159"/>
      <c r="AD164" s="1159"/>
      <c r="AE164" s="1159"/>
      <c r="AF164" s="1159"/>
    </row>
    <row r="165" spans="2:32">
      <c r="B165" s="1947" t="s">
        <v>1869</v>
      </c>
      <c r="C165" s="928">
        <v>7.0474644087292926E-2</v>
      </c>
      <c r="D165" s="946">
        <v>7.0474644087292926E-2</v>
      </c>
      <c r="E165" s="946">
        <v>7.0474644087292926E-2</v>
      </c>
      <c r="F165" s="930">
        <v>7.0474644087292926E-2</v>
      </c>
      <c r="G165" s="1159"/>
      <c r="H165" s="2043"/>
      <c r="I165" s="2043"/>
      <c r="J165" s="2043"/>
      <c r="K165" s="2043"/>
      <c r="L165" s="1159"/>
      <c r="M165" s="1159"/>
      <c r="N165" s="1159"/>
      <c r="O165" s="1159"/>
      <c r="P165" s="1159"/>
      <c r="Q165" s="1159"/>
      <c r="R165" s="1159"/>
      <c r="S165" s="1159"/>
      <c r="T165" s="1159"/>
      <c r="U165" s="1159"/>
      <c r="V165" s="1159"/>
      <c r="W165" s="1159"/>
      <c r="X165" s="1159"/>
      <c r="Y165" s="1159"/>
      <c r="Z165" s="1159"/>
      <c r="AA165" s="1159"/>
      <c r="AB165" s="1159"/>
      <c r="AC165" s="1159"/>
      <c r="AD165" s="1159"/>
      <c r="AE165" s="1159"/>
      <c r="AF165" s="1159"/>
    </row>
    <row r="166" spans="2:32">
      <c r="B166" s="1947" t="s">
        <v>61</v>
      </c>
      <c r="C166" s="928">
        <v>6.3219224804186959E-3</v>
      </c>
      <c r="D166" s="946">
        <v>6.3219224804186959E-3</v>
      </c>
      <c r="E166" s="946">
        <v>6.3219224804186959E-3</v>
      </c>
      <c r="F166" s="930">
        <v>6.3219224804186959E-3</v>
      </c>
      <c r="G166" s="1159"/>
      <c r="H166" s="2043"/>
      <c r="I166" s="2043"/>
      <c r="J166" s="2043"/>
      <c r="K166" s="2043"/>
      <c r="L166" s="1159"/>
      <c r="M166" s="1159"/>
      <c r="N166" s="1159"/>
      <c r="O166" s="1159"/>
      <c r="P166" s="1159"/>
      <c r="Q166" s="1159"/>
      <c r="R166" s="1159"/>
      <c r="S166" s="1159"/>
      <c r="T166" s="1159"/>
      <c r="U166" s="1159"/>
      <c r="V166" s="1159"/>
      <c r="W166" s="1159"/>
      <c r="X166" s="1159"/>
      <c r="Y166" s="1159"/>
      <c r="Z166" s="1159"/>
      <c r="AA166" s="1159"/>
      <c r="AB166" s="1159"/>
      <c r="AC166" s="1159"/>
      <c r="AD166" s="1159"/>
      <c r="AE166" s="1159"/>
      <c r="AF166" s="1159"/>
    </row>
    <row r="167" spans="2:32">
      <c r="B167" s="1947" t="s">
        <v>60</v>
      </c>
      <c r="C167" s="928">
        <v>5.4116062255264281E-2</v>
      </c>
      <c r="D167" s="946">
        <v>5.4116062255264281E-2</v>
      </c>
      <c r="E167" s="946">
        <v>5.4116062255264281E-2</v>
      </c>
      <c r="F167" s="930">
        <v>5.4116062255264281E-2</v>
      </c>
      <c r="G167" s="1159"/>
      <c r="H167" s="2043"/>
      <c r="I167" s="2043"/>
      <c r="J167" s="2043"/>
      <c r="K167" s="2043"/>
      <c r="L167" s="1159"/>
      <c r="M167" s="1159"/>
      <c r="N167" s="1159"/>
      <c r="O167" s="1159"/>
      <c r="P167" s="1159"/>
      <c r="Q167" s="1159"/>
      <c r="R167" s="1159"/>
      <c r="S167" s="1159"/>
      <c r="T167" s="1159"/>
      <c r="U167" s="1159"/>
      <c r="V167" s="1159"/>
      <c r="W167" s="1159"/>
      <c r="X167" s="1159"/>
      <c r="Y167" s="1159"/>
      <c r="Z167" s="1159"/>
      <c r="AA167" s="1159"/>
      <c r="AB167" s="1159"/>
      <c r="AC167" s="1159"/>
      <c r="AD167" s="1159"/>
      <c r="AE167" s="1159"/>
      <c r="AF167" s="1159"/>
    </row>
    <row r="168" spans="2:32">
      <c r="B168" s="1947" t="s">
        <v>52</v>
      </c>
      <c r="C168" s="928">
        <v>3.5218372251571623E-3</v>
      </c>
      <c r="D168" s="946">
        <v>3.5218372251571623E-3</v>
      </c>
      <c r="E168" s="946">
        <v>3.5218372251571623E-3</v>
      </c>
      <c r="F168" s="930">
        <v>3.5218372251571623E-3</v>
      </c>
      <c r="G168" s="1159"/>
      <c r="H168" s="2043"/>
      <c r="I168" s="2043"/>
      <c r="J168" s="2043"/>
      <c r="K168" s="2043"/>
      <c r="L168" s="1159"/>
      <c r="M168" s="1159"/>
      <c r="N168" s="1159"/>
      <c r="O168" s="1159"/>
      <c r="P168" s="1159"/>
      <c r="Q168" s="1159"/>
      <c r="R168" s="1159"/>
      <c r="S168" s="1159"/>
      <c r="T168" s="1159"/>
      <c r="U168" s="1159"/>
      <c r="V168" s="1159"/>
      <c r="W168" s="1159"/>
      <c r="X168" s="1159"/>
      <c r="Y168" s="1159"/>
      <c r="Z168" s="1159"/>
      <c r="AA168" s="1159"/>
      <c r="AB168" s="1159"/>
      <c r="AC168" s="1159"/>
      <c r="AD168" s="1159"/>
      <c r="AE168" s="1159"/>
      <c r="AF168" s="1159"/>
    </row>
    <row r="169" spans="2:32">
      <c r="B169" s="1947" t="s">
        <v>2424</v>
      </c>
      <c r="C169" s="928">
        <v>4.7838288975051449E-4</v>
      </c>
      <c r="D169" s="946">
        <v>4.7838288975051449E-4</v>
      </c>
      <c r="E169" s="946">
        <v>4.7838288975051449E-4</v>
      </c>
      <c r="F169" s="930">
        <v>4.7838288975051449E-4</v>
      </c>
      <c r="G169" s="1159"/>
      <c r="H169" s="2043"/>
      <c r="I169" s="2043"/>
      <c r="J169" s="2043"/>
      <c r="K169" s="2043"/>
      <c r="L169" s="1159"/>
      <c r="M169" s="1159"/>
      <c r="N169" s="1159"/>
      <c r="O169" s="1159"/>
      <c r="P169" s="1159"/>
      <c r="Q169" s="1159"/>
      <c r="R169" s="1159"/>
      <c r="S169" s="1159"/>
      <c r="T169" s="1159"/>
      <c r="U169" s="1159"/>
      <c r="V169" s="1159"/>
      <c r="W169" s="1159"/>
      <c r="X169" s="1159"/>
      <c r="Y169" s="1159"/>
      <c r="Z169" s="1159"/>
      <c r="AA169" s="1159"/>
      <c r="AB169" s="1159"/>
      <c r="AC169" s="1159"/>
      <c r="AD169" s="1159"/>
      <c r="AE169" s="1159"/>
      <c r="AF169" s="1159"/>
    </row>
    <row r="170" spans="2:32">
      <c r="B170" s="1947" t="s">
        <v>2425</v>
      </c>
      <c r="C170" s="928">
        <v>1.6885904732658118E-3</v>
      </c>
      <c r="D170" s="946">
        <v>1.6885904732658118E-3</v>
      </c>
      <c r="E170" s="946">
        <v>1.6885904732658118E-3</v>
      </c>
      <c r="F170" s="930">
        <v>1.6885904732658118E-3</v>
      </c>
      <c r="G170" s="1159"/>
      <c r="H170" s="2043"/>
      <c r="I170" s="2043"/>
      <c r="J170" s="2043"/>
      <c r="K170" s="2043"/>
      <c r="L170" s="1159"/>
      <c r="M170" s="1159"/>
      <c r="N170" s="1159"/>
      <c r="O170" s="1159"/>
      <c r="P170" s="1159"/>
      <c r="Q170" s="1159"/>
      <c r="R170" s="1159"/>
      <c r="S170" s="1159"/>
      <c r="T170" s="1159"/>
      <c r="U170" s="1159"/>
      <c r="V170" s="1159"/>
      <c r="W170" s="1159"/>
      <c r="X170" s="1159"/>
      <c r="Y170" s="1159"/>
      <c r="Z170" s="1159"/>
      <c r="AA170" s="1159"/>
      <c r="AB170" s="1159"/>
      <c r="AC170" s="1159"/>
      <c r="AD170" s="1159"/>
      <c r="AE170" s="1159"/>
      <c r="AF170" s="1159"/>
    </row>
    <row r="171" spans="2:32">
      <c r="B171" s="1948" t="s">
        <v>2426</v>
      </c>
      <c r="C171" s="1761">
        <v>0</v>
      </c>
      <c r="D171" s="2044">
        <v>0</v>
      </c>
      <c r="E171" s="2044">
        <v>0</v>
      </c>
      <c r="F171" s="2045">
        <v>0</v>
      </c>
      <c r="G171" s="1159"/>
      <c r="H171" s="2043"/>
      <c r="I171" s="2043"/>
      <c r="J171" s="2043"/>
      <c r="K171" s="2043"/>
      <c r="L171" s="1159"/>
      <c r="M171" s="1159"/>
      <c r="N171" s="1159"/>
      <c r="O171" s="1159"/>
      <c r="P171" s="1159"/>
      <c r="Q171" s="1159"/>
      <c r="R171" s="1159"/>
      <c r="S171" s="1159"/>
      <c r="T171" s="1159"/>
      <c r="U171" s="1159"/>
      <c r="V171" s="1159"/>
      <c r="W171" s="1159"/>
      <c r="X171" s="1159"/>
      <c r="Y171" s="1159"/>
      <c r="Z171" s="1159"/>
      <c r="AA171" s="1159"/>
      <c r="AB171" s="1159"/>
      <c r="AC171" s="1159"/>
      <c r="AD171" s="1159"/>
      <c r="AE171" s="1159"/>
      <c r="AF171" s="1159"/>
    </row>
    <row r="172" spans="2:32">
      <c r="B172" s="487" t="s">
        <v>184</v>
      </c>
      <c r="C172" s="556"/>
      <c r="D172" s="179"/>
      <c r="E172" s="179"/>
      <c r="F172" s="180"/>
      <c r="G172" s="1159"/>
      <c r="H172" s="2042"/>
      <c r="I172" s="2042"/>
      <c r="J172" s="2042"/>
      <c r="K172" s="2042"/>
      <c r="L172" s="1159"/>
      <c r="M172" s="1159"/>
      <c r="N172" s="1159"/>
      <c r="O172" s="1159"/>
      <c r="P172" s="1159"/>
      <c r="Q172" s="1159"/>
      <c r="R172" s="1159"/>
      <c r="S172" s="1159"/>
      <c r="T172" s="1159"/>
      <c r="U172" s="1159"/>
      <c r="V172" s="1159"/>
      <c r="W172" s="1159"/>
      <c r="X172" s="1159"/>
      <c r="Y172" s="1159"/>
      <c r="Z172" s="1159"/>
      <c r="AA172" s="1159"/>
      <c r="AB172" s="1159"/>
      <c r="AC172" s="1159"/>
      <c r="AD172" s="1159"/>
      <c r="AE172" s="1159"/>
      <c r="AF172" s="1159"/>
    </row>
    <row r="173" spans="2:32">
      <c r="B173" s="1947" t="s">
        <v>38</v>
      </c>
      <c r="C173" s="928">
        <v>0.76432972794206511</v>
      </c>
      <c r="D173" s="946">
        <v>0.76432972794206511</v>
      </c>
      <c r="E173" s="946">
        <v>0.76432972794206511</v>
      </c>
      <c r="F173" s="930">
        <v>0.76432972794206511</v>
      </c>
      <c r="G173" s="1159"/>
      <c r="H173" s="2043"/>
      <c r="I173" s="2043"/>
      <c r="J173" s="2043"/>
      <c r="K173" s="2043"/>
      <c r="L173" s="1159"/>
      <c r="M173" s="1159"/>
      <c r="N173" s="1159"/>
      <c r="O173" s="1159"/>
      <c r="P173" s="1159"/>
      <c r="Q173" s="1159"/>
      <c r="R173" s="1159"/>
      <c r="S173" s="1159"/>
      <c r="T173" s="1159"/>
      <c r="U173" s="1159"/>
      <c r="V173" s="1159"/>
      <c r="W173" s="1159"/>
      <c r="X173" s="1159"/>
      <c r="Y173" s="1159"/>
      <c r="Z173" s="1159"/>
      <c r="AA173" s="1159"/>
      <c r="AB173" s="1159"/>
      <c r="AC173" s="1159"/>
      <c r="AD173" s="1159"/>
      <c r="AE173" s="1159"/>
      <c r="AF173" s="1159"/>
    </row>
    <row r="174" spans="2:32">
      <c r="B174" s="1947" t="s">
        <v>1869</v>
      </c>
      <c r="C174" s="928">
        <v>7.7807559486553116E-2</v>
      </c>
      <c r="D174" s="946">
        <v>7.7807559486553116E-2</v>
      </c>
      <c r="E174" s="946">
        <v>7.7807559486553116E-2</v>
      </c>
      <c r="F174" s="930">
        <v>7.7807559486553116E-2</v>
      </c>
      <c r="G174" s="1159"/>
      <c r="H174" s="2043"/>
      <c r="I174" s="2043"/>
      <c r="J174" s="2043"/>
      <c r="K174" s="2043"/>
      <c r="L174" s="1159"/>
      <c r="M174" s="1159"/>
      <c r="N174" s="1159"/>
      <c r="O174" s="1159"/>
      <c r="P174" s="1159"/>
      <c r="Q174" s="1159"/>
      <c r="R174" s="1159"/>
      <c r="S174" s="1159"/>
      <c r="T174" s="1159"/>
      <c r="U174" s="1159"/>
      <c r="V174" s="1159"/>
      <c r="W174" s="1159"/>
      <c r="X174" s="1159"/>
      <c r="Y174" s="1159"/>
      <c r="Z174" s="1159"/>
      <c r="AA174" s="1159"/>
      <c r="AB174" s="1159"/>
      <c r="AC174" s="1159"/>
      <c r="AD174" s="1159"/>
      <c r="AE174" s="1159"/>
      <c r="AF174" s="1159"/>
    </row>
    <row r="175" spans="2:32">
      <c r="B175" s="1947" t="s">
        <v>2406</v>
      </c>
      <c r="C175" s="928">
        <v>5.4754478347246484E-2</v>
      </c>
      <c r="D175" s="946">
        <v>5.4754478347246484E-2</v>
      </c>
      <c r="E175" s="946">
        <v>5.4754478347246484E-2</v>
      </c>
      <c r="F175" s="930">
        <v>5.4754478347246484E-2</v>
      </c>
      <c r="G175" s="1159"/>
      <c r="H175" s="2043"/>
      <c r="I175" s="2043"/>
      <c r="J175" s="2043"/>
      <c r="K175" s="2043"/>
      <c r="L175" s="1159"/>
      <c r="M175" s="1159"/>
      <c r="N175" s="1159"/>
      <c r="O175" s="1159"/>
      <c r="P175" s="1159"/>
      <c r="Q175" s="1159"/>
      <c r="R175" s="1159"/>
      <c r="S175" s="1159"/>
      <c r="T175" s="1159"/>
      <c r="U175" s="1159"/>
      <c r="V175" s="1159"/>
      <c r="W175" s="1159"/>
      <c r="X175" s="1159"/>
      <c r="Y175" s="1159"/>
      <c r="Z175" s="1159"/>
      <c r="AA175" s="1159"/>
      <c r="AB175" s="1159"/>
      <c r="AC175" s="1159"/>
      <c r="AD175" s="1159"/>
      <c r="AE175" s="1159"/>
      <c r="AF175" s="1159"/>
    </row>
    <row r="176" spans="2:32">
      <c r="B176" s="1947" t="s">
        <v>2405</v>
      </c>
      <c r="C176" s="928">
        <v>0</v>
      </c>
      <c r="D176" s="946">
        <v>0</v>
      </c>
      <c r="E176" s="946">
        <v>0</v>
      </c>
      <c r="F176" s="930">
        <v>0</v>
      </c>
      <c r="G176" s="1159"/>
      <c r="H176" s="2043"/>
      <c r="I176" s="2043"/>
      <c r="J176" s="2043"/>
      <c r="K176" s="2043"/>
      <c r="L176" s="1159"/>
      <c r="M176" s="1159"/>
      <c r="N176" s="1159"/>
      <c r="O176" s="1159"/>
      <c r="P176" s="1159"/>
      <c r="Q176" s="1159"/>
      <c r="R176" s="1159"/>
      <c r="S176" s="1159"/>
      <c r="T176" s="1159"/>
      <c r="U176" s="1159"/>
      <c r="V176" s="1159"/>
      <c r="W176" s="1159"/>
      <c r="X176" s="1159"/>
      <c r="Y176" s="1159"/>
      <c r="Z176" s="1159"/>
      <c r="AA176" s="1159"/>
      <c r="AB176" s="1159"/>
      <c r="AC176" s="1159"/>
      <c r="AD176" s="1159"/>
      <c r="AE176" s="1159"/>
      <c r="AF176" s="1159"/>
    </row>
    <row r="177" spans="2:32">
      <c r="B177" s="1947" t="s">
        <v>61</v>
      </c>
      <c r="C177" s="928">
        <v>0.10215092193948012</v>
      </c>
      <c r="D177" s="946">
        <v>0.10215092193948012</v>
      </c>
      <c r="E177" s="946">
        <v>0.10215092193948012</v>
      </c>
      <c r="F177" s="930">
        <v>0.10215092193948012</v>
      </c>
      <c r="G177" s="1159"/>
      <c r="H177" s="2043"/>
      <c r="I177" s="2043"/>
      <c r="J177" s="2043"/>
      <c r="K177" s="2043"/>
      <c r="L177" s="1159"/>
      <c r="M177" s="1159"/>
      <c r="N177" s="1159"/>
      <c r="O177" s="1159"/>
      <c r="P177" s="1159"/>
      <c r="Q177" s="1159"/>
      <c r="R177" s="1159"/>
      <c r="S177" s="1159"/>
      <c r="T177" s="1159"/>
      <c r="U177" s="1159"/>
      <c r="V177" s="1159"/>
      <c r="W177" s="1159"/>
      <c r="X177" s="1159"/>
      <c r="Y177" s="1159"/>
      <c r="Z177" s="1159"/>
      <c r="AA177" s="1159"/>
      <c r="AB177" s="1159"/>
      <c r="AC177" s="1159"/>
      <c r="AD177" s="1159"/>
      <c r="AE177" s="1159"/>
      <c r="AF177" s="1159"/>
    </row>
    <row r="178" spans="2:32">
      <c r="B178" s="1947" t="s">
        <v>60</v>
      </c>
      <c r="C178" s="928">
        <v>6.3074828656382875E-4</v>
      </c>
      <c r="D178" s="946">
        <v>6.3074828656382875E-4</v>
      </c>
      <c r="E178" s="946">
        <v>6.3074828656382875E-4</v>
      </c>
      <c r="F178" s="930">
        <v>6.3074828656382875E-4</v>
      </c>
      <c r="G178" s="1159"/>
      <c r="H178" s="2043"/>
      <c r="I178" s="2043"/>
      <c r="J178" s="2043"/>
      <c r="K178" s="2043"/>
      <c r="L178" s="1159"/>
      <c r="M178" s="1159"/>
      <c r="N178" s="1159"/>
      <c r="O178" s="1159"/>
      <c r="P178" s="1159"/>
      <c r="Q178" s="1159"/>
      <c r="R178" s="1159"/>
      <c r="S178" s="1159"/>
      <c r="T178" s="1159"/>
      <c r="U178" s="1159"/>
      <c r="V178" s="1159"/>
      <c r="W178" s="1159"/>
      <c r="X178" s="1159"/>
      <c r="Y178" s="1159"/>
      <c r="Z178" s="1159"/>
      <c r="AA178" s="1159"/>
      <c r="AB178" s="1159"/>
      <c r="AC178" s="1159"/>
      <c r="AD178" s="1159"/>
      <c r="AE178" s="1159"/>
      <c r="AF178" s="1159"/>
    </row>
    <row r="179" spans="2:32">
      <c r="B179" s="1947" t="s">
        <v>52</v>
      </c>
      <c r="C179" s="928">
        <v>1.445290118697824E-4</v>
      </c>
      <c r="D179" s="946">
        <v>1.445290118697824E-4</v>
      </c>
      <c r="E179" s="946">
        <v>1.445290118697824E-4</v>
      </c>
      <c r="F179" s="930">
        <v>1.445290118697824E-4</v>
      </c>
      <c r="G179" s="1159"/>
      <c r="H179" s="2043"/>
      <c r="I179" s="2043"/>
      <c r="J179" s="2043"/>
      <c r="K179" s="2043"/>
      <c r="L179" s="1159"/>
      <c r="M179" s="1159"/>
      <c r="N179" s="1159"/>
      <c r="O179" s="1159"/>
      <c r="P179" s="1159"/>
      <c r="Q179" s="1159"/>
      <c r="R179" s="1159"/>
      <c r="S179" s="1159"/>
      <c r="T179" s="1159"/>
      <c r="U179" s="1159"/>
      <c r="V179" s="1159"/>
      <c r="W179" s="1159"/>
      <c r="X179" s="1159"/>
      <c r="Y179" s="1159"/>
      <c r="Z179" s="1159"/>
      <c r="AA179" s="1159"/>
      <c r="AB179" s="1159"/>
      <c r="AC179" s="1159"/>
      <c r="AD179" s="1159"/>
      <c r="AE179" s="1159"/>
      <c r="AF179" s="1159"/>
    </row>
    <row r="180" spans="2:32">
      <c r="B180" s="1947" t="s">
        <v>2424</v>
      </c>
      <c r="C180" s="928">
        <v>8.3555834987217954E-5</v>
      </c>
      <c r="D180" s="946">
        <v>8.3555834987217954E-5</v>
      </c>
      <c r="E180" s="946">
        <v>8.3555834987217954E-5</v>
      </c>
      <c r="F180" s="930">
        <v>8.3555834987217954E-5</v>
      </c>
      <c r="G180" s="1159"/>
      <c r="H180" s="2043"/>
      <c r="I180" s="2043"/>
      <c r="J180" s="2043"/>
      <c r="K180" s="2043"/>
      <c r="L180" s="1159"/>
      <c r="M180" s="1159"/>
      <c r="N180" s="1159"/>
      <c r="O180" s="1159"/>
      <c r="P180" s="1159"/>
      <c r="Q180" s="1159"/>
      <c r="R180" s="1159"/>
      <c r="S180" s="1159"/>
      <c r="T180" s="1159"/>
      <c r="U180" s="1159"/>
      <c r="V180" s="1159"/>
      <c r="W180" s="1159"/>
      <c r="X180" s="1159"/>
      <c r="Y180" s="1159"/>
      <c r="Z180" s="1159"/>
      <c r="AA180" s="1159"/>
      <c r="AB180" s="1159"/>
      <c r="AC180" s="1159"/>
      <c r="AD180" s="1159"/>
      <c r="AE180" s="1159"/>
      <c r="AF180" s="1159"/>
    </row>
    <row r="181" spans="2:32">
      <c r="B181" s="1947" t="s">
        <v>2425</v>
      </c>
      <c r="C181" s="928">
        <v>3.9519651683143632E-5</v>
      </c>
      <c r="D181" s="946">
        <v>3.9519651683143632E-5</v>
      </c>
      <c r="E181" s="946">
        <v>3.9519651683143632E-5</v>
      </c>
      <c r="F181" s="930">
        <v>3.9519651683143632E-5</v>
      </c>
      <c r="G181" s="1159"/>
      <c r="H181" s="2043"/>
      <c r="I181" s="2043"/>
      <c r="J181" s="2043"/>
      <c r="K181" s="2043"/>
      <c r="L181" s="1159"/>
      <c r="M181" s="1159"/>
      <c r="N181" s="1159"/>
      <c r="O181" s="1159"/>
      <c r="P181" s="1159"/>
      <c r="Q181" s="1159"/>
      <c r="R181" s="1159"/>
      <c r="S181" s="1159"/>
      <c r="T181" s="1159"/>
      <c r="U181" s="1159"/>
      <c r="V181" s="1159"/>
      <c r="W181" s="1159"/>
      <c r="X181" s="1159"/>
      <c r="Y181" s="1159"/>
      <c r="Z181" s="1159"/>
      <c r="AA181" s="1159"/>
      <c r="AB181" s="1159"/>
      <c r="AC181" s="1159"/>
      <c r="AD181" s="1159"/>
      <c r="AE181" s="1159"/>
      <c r="AF181" s="1159"/>
    </row>
    <row r="182" spans="2:32">
      <c r="B182" s="1947" t="s">
        <v>2426</v>
      </c>
      <c r="C182" s="1761">
        <v>5.8959499551154622E-5</v>
      </c>
      <c r="D182" s="2044">
        <v>5.8959499551154622E-5</v>
      </c>
      <c r="E182" s="2044">
        <v>5.8959499551154622E-5</v>
      </c>
      <c r="F182" s="2045">
        <v>5.8959499551154622E-5</v>
      </c>
      <c r="G182" s="1159"/>
      <c r="H182" s="2043"/>
      <c r="I182" s="2043"/>
      <c r="J182" s="2043"/>
      <c r="K182" s="2043"/>
      <c r="L182" s="1159"/>
      <c r="M182" s="1159"/>
      <c r="N182" s="1159"/>
      <c r="O182" s="1159"/>
      <c r="P182" s="1159"/>
      <c r="Q182" s="1159"/>
      <c r="R182" s="1159"/>
      <c r="S182" s="1159"/>
      <c r="T182" s="1159"/>
      <c r="U182" s="1159"/>
      <c r="V182" s="1159"/>
      <c r="W182" s="1159"/>
      <c r="X182" s="1159"/>
      <c r="Y182" s="1159"/>
      <c r="Z182" s="1159"/>
      <c r="AA182" s="1159"/>
      <c r="AB182" s="1159"/>
      <c r="AC182" s="1159"/>
      <c r="AD182" s="1159"/>
      <c r="AE182" s="1159"/>
      <c r="AF182" s="1159"/>
    </row>
    <row r="183" spans="2:32">
      <c r="B183" s="482" t="s">
        <v>185</v>
      </c>
      <c r="C183" s="556"/>
      <c r="D183" s="179"/>
      <c r="E183" s="179"/>
      <c r="F183" s="180"/>
      <c r="G183" s="1159"/>
      <c r="H183" s="2042"/>
      <c r="I183" s="2042"/>
      <c r="J183" s="2042"/>
      <c r="K183" s="2042"/>
      <c r="L183" s="1159"/>
      <c r="O183" s="1159"/>
      <c r="P183" s="1159"/>
      <c r="Q183" s="1159"/>
      <c r="R183" s="1159"/>
      <c r="S183" s="1159"/>
      <c r="T183" s="1159"/>
      <c r="U183" s="1159"/>
      <c r="V183" s="1159"/>
      <c r="Y183" s="1159"/>
      <c r="Z183" s="1159"/>
      <c r="AA183" s="1159"/>
      <c r="AB183" s="1159"/>
      <c r="AC183" s="1159"/>
      <c r="AD183" s="1159"/>
      <c r="AE183" s="1159"/>
      <c r="AF183" s="1159"/>
    </row>
    <row r="184" spans="2:32">
      <c r="B184" s="1947" t="s">
        <v>38</v>
      </c>
      <c r="C184" s="928">
        <v>0</v>
      </c>
      <c r="D184" s="946">
        <v>0.36099999999999999</v>
      </c>
      <c r="E184" s="946">
        <v>0.36099999999999999</v>
      </c>
      <c r="F184" s="930">
        <v>0.36099999999999999</v>
      </c>
      <c r="G184" s="1159"/>
      <c r="H184" s="2043"/>
      <c r="I184" s="2043"/>
      <c r="J184" s="2043"/>
      <c r="K184" s="2043"/>
      <c r="L184" s="1159"/>
      <c r="O184" s="1159"/>
      <c r="P184" s="1159"/>
      <c r="Q184" s="1159"/>
      <c r="R184" s="1159"/>
      <c r="S184" s="1159"/>
      <c r="T184" s="1159"/>
      <c r="U184" s="1159"/>
      <c r="V184" s="1159"/>
      <c r="Y184" s="1159"/>
      <c r="Z184" s="1159"/>
      <c r="AA184" s="1159"/>
      <c r="AB184" s="1159"/>
      <c r="AC184" s="1159"/>
      <c r="AD184" s="1159"/>
      <c r="AE184" s="1159"/>
      <c r="AF184" s="1159"/>
    </row>
    <row r="185" spans="2:32">
      <c r="B185" s="1947" t="s">
        <v>2406</v>
      </c>
      <c r="C185" s="928">
        <v>0</v>
      </c>
      <c r="D185" s="946">
        <v>0.36099999999999999</v>
      </c>
      <c r="E185" s="946">
        <v>0.36099999999999999</v>
      </c>
      <c r="F185" s="930">
        <v>0.36099999999999999</v>
      </c>
      <c r="G185" s="1159"/>
      <c r="H185" s="2043"/>
      <c r="I185" s="2043"/>
      <c r="J185" s="2043"/>
      <c r="K185" s="2043"/>
      <c r="L185" s="1159"/>
      <c r="O185" s="1159"/>
      <c r="P185" s="1159"/>
      <c r="Q185" s="1159"/>
      <c r="R185" s="1159"/>
      <c r="S185" s="1159"/>
      <c r="T185" s="1159"/>
      <c r="U185" s="1159"/>
      <c r="V185" s="1159"/>
      <c r="Y185" s="1159"/>
      <c r="Z185" s="1159"/>
      <c r="AA185" s="1159"/>
      <c r="AB185" s="1159"/>
      <c r="AC185" s="1159"/>
      <c r="AD185" s="1159"/>
      <c r="AE185" s="1159"/>
      <c r="AF185" s="1159"/>
    </row>
    <row r="186" spans="2:32">
      <c r="B186" s="1947" t="s">
        <v>284</v>
      </c>
      <c r="C186" s="928">
        <v>0</v>
      </c>
      <c r="D186" s="946">
        <v>0.27800000000000002</v>
      </c>
      <c r="E186" s="946">
        <v>0.27800000000000002</v>
      </c>
      <c r="F186" s="930">
        <v>0.27800000000000002</v>
      </c>
      <c r="G186" s="1159"/>
      <c r="H186" s="2043"/>
      <c r="I186" s="2043"/>
      <c r="J186" s="2043"/>
      <c r="K186" s="2043"/>
      <c r="L186" s="1159"/>
      <c r="O186" s="1159"/>
      <c r="P186" s="1159"/>
      <c r="Q186" s="1159"/>
      <c r="R186" s="1159"/>
      <c r="S186" s="1159"/>
      <c r="T186" s="1159"/>
      <c r="U186" s="1159"/>
      <c r="V186" s="1159"/>
      <c r="Y186" s="1159"/>
      <c r="Z186" s="1159"/>
      <c r="AA186" s="1159"/>
      <c r="AB186" s="1159"/>
      <c r="AC186" s="1159"/>
      <c r="AD186" s="1159"/>
      <c r="AE186" s="1159"/>
      <c r="AF186" s="1159"/>
    </row>
    <row r="187" spans="2:32">
      <c r="B187" s="1948" t="s">
        <v>294</v>
      </c>
      <c r="C187" s="1761">
        <v>0</v>
      </c>
      <c r="D187" s="2044">
        <v>0</v>
      </c>
      <c r="E187" s="2044">
        <v>0</v>
      </c>
      <c r="F187" s="2045">
        <v>0</v>
      </c>
      <c r="G187" s="1159"/>
      <c r="H187" s="2043"/>
      <c r="I187" s="2043"/>
      <c r="J187" s="2043"/>
      <c r="K187" s="2043"/>
      <c r="L187" s="1159"/>
      <c r="O187" s="1159"/>
      <c r="P187" s="1159"/>
      <c r="Q187" s="1159"/>
      <c r="R187" s="1159"/>
      <c r="S187" s="1159"/>
      <c r="T187" s="1159"/>
      <c r="U187" s="1159"/>
      <c r="V187" s="1159"/>
      <c r="Y187" s="1159"/>
      <c r="Z187" s="1159"/>
      <c r="AA187" s="1159"/>
      <c r="AB187" s="1159"/>
      <c r="AC187" s="1159"/>
      <c r="AD187" s="1159"/>
      <c r="AE187" s="1159"/>
      <c r="AF187" s="1159"/>
    </row>
    <row r="188" spans="2:32">
      <c r="B188" s="487" t="s">
        <v>186</v>
      </c>
      <c r="C188" s="556"/>
      <c r="D188" s="179"/>
      <c r="E188" s="179"/>
      <c r="F188" s="180"/>
      <c r="G188" s="1159"/>
      <c r="H188" s="2042"/>
      <c r="I188" s="2042"/>
      <c r="J188" s="2042"/>
      <c r="K188" s="2042"/>
      <c r="L188" s="1159"/>
      <c r="O188" s="1159"/>
      <c r="P188" s="1159"/>
      <c r="Q188" s="1159"/>
      <c r="R188" s="1159"/>
      <c r="S188" s="1159"/>
      <c r="T188" s="1159"/>
      <c r="U188" s="1159"/>
      <c r="V188" s="1159"/>
      <c r="Y188" s="1159"/>
      <c r="Z188" s="1159"/>
      <c r="AA188" s="1159"/>
      <c r="AB188" s="1159"/>
      <c r="AC188" s="1159"/>
      <c r="AD188" s="1159"/>
      <c r="AE188" s="1159"/>
      <c r="AF188" s="1159"/>
    </row>
    <row r="189" spans="2:32">
      <c r="B189" s="59" t="s">
        <v>251</v>
      </c>
      <c r="C189" s="928">
        <v>0</v>
      </c>
      <c r="D189" s="946">
        <v>0.36099999999999999</v>
      </c>
      <c r="E189" s="946">
        <v>0</v>
      </c>
      <c r="F189" s="930">
        <v>0</v>
      </c>
      <c r="G189" s="1159"/>
      <c r="H189" s="2043"/>
      <c r="I189" s="2043"/>
      <c r="J189" s="2043"/>
      <c r="K189" s="2043"/>
      <c r="L189" s="1159"/>
      <c r="O189" s="1159"/>
      <c r="P189" s="1159"/>
      <c r="Q189" s="1159"/>
      <c r="R189" s="1159"/>
      <c r="S189" s="1159"/>
      <c r="T189" s="1159"/>
      <c r="U189" s="1159"/>
      <c r="V189" s="1159"/>
      <c r="Y189" s="1159"/>
      <c r="Z189" s="1159"/>
      <c r="AA189" s="1159"/>
      <c r="AB189" s="1159"/>
      <c r="AC189" s="1159"/>
      <c r="AD189" s="1159"/>
      <c r="AE189" s="1159"/>
      <c r="AF189" s="1159"/>
    </row>
    <row r="190" spans="2:32">
      <c r="B190" s="59" t="s">
        <v>253</v>
      </c>
      <c r="C190" s="928">
        <v>0</v>
      </c>
      <c r="D190" s="946">
        <v>0.36099999999999999</v>
      </c>
      <c r="E190" s="946">
        <v>0</v>
      </c>
      <c r="F190" s="930">
        <v>0</v>
      </c>
      <c r="G190" s="1159"/>
      <c r="H190" s="2043"/>
      <c r="I190" s="2043"/>
      <c r="J190" s="2043"/>
      <c r="K190" s="2043"/>
      <c r="L190" s="1159"/>
      <c r="O190" s="1159"/>
      <c r="P190" s="1159"/>
      <c r="Q190" s="1159"/>
      <c r="R190" s="1159"/>
      <c r="S190" s="1159"/>
      <c r="T190" s="1159"/>
      <c r="U190" s="1159"/>
      <c r="V190" s="1159"/>
      <c r="Y190" s="1159"/>
      <c r="Z190" s="1159"/>
      <c r="AA190" s="1159"/>
      <c r="AB190" s="1159"/>
      <c r="AC190" s="1159"/>
      <c r="AD190" s="1159"/>
      <c r="AE190" s="1159"/>
      <c r="AF190" s="1159"/>
    </row>
    <row r="191" spans="2:32">
      <c r="B191" s="59" t="s">
        <v>254</v>
      </c>
      <c r="C191" s="928">
        <v>0</v>
      </c>
      <c r="D191" s="946">
        <v>0.27800000000000002</v>
      </c>
      <c r="E191" s="946">
        <v>0</v>
      </c>
      <c r="F191" s="930">
        <v>0</v>
      </c>
      <c r="G191" s="1159"/>
      <c r="H191" s="2043"/>
      <c r="I191" s="2043"/>
      <c r="J191" s="2043"/>
      <c r="K191" s="2043"/>
      <c r="L191" s="1159"/>
      <c r="O191" s="1159"/>
      <c r="P191" s="1159"/>
      <c r="Q191" s="1159"/>
      <c r="R191" s="1159"/>
      <c r="S191" s="1159"/>
      <c r="T191" s="1159"/>
      <c r="U191" s="1159"/>
      <c r="V191" s="1159"/>
      <c r="Y191" s="1159"/>
      <c r="Z191" s="1159"/>
      <c r="AA191" s="1159"/>
      <c r="AB191" s="1159"/>
      <c r="AC191" s="1159"/>
      <c r="AD191" s="1159"/>
      <c r="AE191" s="1159"/>
      <c r="AF191" s="1159"/>
    </row>
    <row r="192" spans="2:32">
      <c r="B192" s="59" t="s">
        <v>262</v>
      </c>
      <c r="C192" s="1761">
        <v>0</v>
      </c>
      <c r="D192" s="2044">
        <v>0</v>
      </c>
      <c r="E192" s="2044">
        <v>0</v>
      </c>
      <c r="F192" s="2045">
        <v>0</v>
      </c>
      <c r="G192" s="1159"/>
      <c r="H192" s="2043"/>
      <c r="I192" s="2043"/>
      <c r="J192" s="2043"/>
      <c r="K192" s="2043"/>
      <c r="L192" s="1159"/>
      <c r="O192" s="1159"/>
      <c r="P192" s="1159"/>
      <c r="Q192" s="1159"/>
      <c r="R192" s="1159"/>
      <c r="S192" s="1159"/>
      <c r="T192" s="1159"/>
      <c r="U192" s="1159"/>
      <c r="V192" s="1159"/>
      <c r="Y192" s="1159"/>
      <c r="Z192" s="1159"/>
      <c r="AA192" s="1159"/>
      <c r="AB192" s="1159"/>
      <c r="AC192" s="1159"/>
      <c r="AD192" s="1159"/>
      <c r="AE192" s="1159"/>
      <c r="AF192" s="1159"/>
    </row>
    <row r="193" spans="2:32">
      <c r="B193" s="482" t="s">
        <v>187</v>
      </c>
      <c r="C193" s="556"/>
      <c r="D193" s="179"/>
      <c r="E193" s="179"/>
      <c r="F193" s="180"/>
      <c r="G193" s="1159"/>
      <c r="H193" s="2042"/>
      <c r="I193" s="2042"/>
      <c r="J193" s="2042"/>
      <c r="K193" s="2042"/>
      <c r="L193" s="1159"/>
      <c r="O193" s="1159"/>
      <c r="P193" s="1159"/>
      <c r="Q193" s="1159"/>
      <c r="R193" s="1159"/>
      <c r="S193" s="1159"/>
      <c r="T193" s="1159"/>
      <c r="U193" s="1159"/>
      <c r="V193" s="1159"/>
      <c r="Y193" s="1159"/>
      <c r="Z193" s="1159"/>
      <c r="AA193" s="1159"/>
      <c r="AB193" s="1159"/>
      <c r="AC193" s="1159"/>
      <c r="AD193" s="1159"/>
      <c r="AE193" s="1159"/>
      <c r="AF193" s="1159"/>
    </row>
    <row r="194" spans="2:32">
      <c r="B194" s="59" t="s">
        <v>251</v>
      </c>
      <c r="C194" s="928">
        <v>0</v>
      </c>
      <c r="D194" s="946">
        <v>0.05</v>
      </c>
      <c r="E194" s="946">
        <v>0.05</v>
      </c>
      <c r="F194" s="930">
        <v>0.05</v>
      </c>
      <c r="G194" s="1159"/>
      <c r="H194" s="2043"/>
      <c r="I194" s="2043"/>
      <c r="J194" s="2043"/>
      <c r="K194" s="2043"/>
      <c r="L194" s="1159"/>
      <c r="O194" s="1159"/>
      <c r="P194" s="1159"/>
      <c r="Q194" s="1159"/>
      <c r="R194" s="1159"/>
      <c r="S194" s="1159"/>
      <c r="T194" s="1159"/>
      <c r="U194" s="1159"/>
      <c r="V194" s="1159"/>
      <c r="Y194" s="1159"/>
      <c r="Z194" s="1159"/>
      <c r="AA194" s="1159"/>
      <c r="AB194" s="1159"/>
      <c r="AC194" s="1159"/>
      <c r="AD194" s="1159"/>
      <c r="AE194" s="1159"/>
      <c r="AF194" s="1159"/>
    </row>
    <row r="195" spans="2:32">
      <c r="B195" s="59" t="s">
        <v>253</v>
      </c>
      <c r="C195" s="928">
        <v>0</v>
      </c>
      <c r="D195" s="946">
        <v>0.46899999999999997</v>
      </c>
      <c r="E195" s="946">
        <v>0.46899999999999997</v>
      </c>
      <c r="F195" s="930">
        <v>0.46899999999999997</v>
      </c>
      <c r="G195" s="1159"/>
      <c r="H195" s="2043"/>
      <c r="I195" s="2043"/>
      <c r="J195" s="2043"/>
      <c r="K195" s="2043"/>
      <c r="L195" s="1159"/>
      <c r="O195" s="1159"/>
      <c r="P195" s="1159"/>
      <c r="Q195" s="1159"/>
      <c r="R195" s="1159"/>
      <c r="S195" s="1159"/>
      <c r="T195" s="1159"/>
      <c r="U195" s="1159"/>
      <c r="V195" s="1159"/>
      <c r="Y195" s="1159"/>
      <c r="Z195" s="1159"/>
      <c r="AA195" s="1159"/>
      <c r="AB195" s="1159"/>
      <c r="AC195" s="1159"/>
      <c r="AD195" s="1159"/>
      <c r="AE195" s="1159"/>
      <c r="AF195" s="1159"/>
    </row>
    <row r="196" spans="2:32">
      <c r="B196" s="59" t="s">
        <v>254</v>
      </c>
      <c r="C196" s="928">
        <v>0</v>
      </c>
      <c r="D196" s="946">
        <v>8.2000000000000003E-2</v>
      </c>
      <c r="E196" s="946">
        <v>8.2000000000000003E-2</v>
      </c>
      <c r="F196" s="930">
        <v>8.2000000000000003E-2</v>
      </c>
      <c r="G196" s="1159"/>
      <c r="H196" s="2043"/>
      <c r="I196" s="2043"/>
      <c r="J196" s="2043"/>
      <c r="K196" s="2043"/>
      <c r="L196" s="1159"/>
      <c r="O196" s="1159"/>
      <c r="P196" s="1159"/>
      <c r="Q196" s="1159"/>
      <c r="R196" s="1159"/>
      <c r="S196" s="1159"/>
      <c r="T196" s="1159"/>
      <c r="U196" s="1159"/>
      <c r="V196" s="1159"/>
      <c r="Y196" s="1159"/>
      <c r="Z196" s="1159"/>
      <c r="AA196" s="1159"/>
      <c r="AB196" s="1159"/>
      <c r="AC196" s="1159"/>
      <c r="AD196" s="1159"/>
      <c r="AE196" s="1159"/>
      <c r="AF196" s="1159"/>
    </row>
    <row r="197" spans="2:32">
      <c r="B197" s="59" t="s">
        <v>261</v>
      </c>
      <c r="C197" s="928">
        <v>0</v>
      </c>
      <c r="D197" s="946">
        <v>3.6999999999999998E-2</v>
      </c>
      <c r="E197" s="946">
        <v>3.6999999999999998E-2</v>
      </c>
      <c r="F197" s="930">
        <v>3.6999999999999998E-2</v>
      </c>
      <c r="G197" s="1159"/>
      <c r="H197" s="2043"/>
      <c r="I197" s="2043"/>
      <c r="J197" s="2043"/>
      <c r="K197" s="2043"/>
      <c r="L197" s="2043"/>
      <c r="M197" s="2043"/>
      <c r="N197" s="2043"/>
      <c r="O197" s="2043"/>
      <c r="P197" s="2043"/>
      <c r="Q197" s="1159"/>
      <c r="R197" s="1159"/>
      <c r="S197" s="1159"/>
      <c r="T197" s="1159"/>
      <c r="U197" s="1159"/>
      <c r="V197" s="1159"/>
      <c r="Y197" s="1159"/>
      <c r="Z197" s="1159"/>
      <c r="AA197" s="1159"/>
      <c r="AB197" s="1159"/>
      <c r="AC197" s="1159"/>
      <c r="AD197" s="1159"/>
      <c r="AE197" s="1159"/>
      <c r="AF197" s="1159"/>
    </row>
    <row r="198" spans="2:32">
      <c r="B198" s="59" t="s">
        <v>260</v>
      </c>
      <c r="C198" s="928">
        <v>0</v>
      </c>
      <c r="D198" s="946">
        <v>0.23799999999999999</v>
      </c>
      <c r="E198" s="946">
        <v>0.23799999999999999</v>
      </c>
      <c r="F198" s="930">
        <v>0.23799999999999999</v>
      </c>
      <c r="G198" s="1159"/>
      <c r="H198" s="2043"/>
      <c r="I198" s="2043"/>
      <c r="J198" s="2043"/>
      <c r="K198" s="2043"/>
      <c r="L198" s="2043"/>
      <c r="M198" s="2043"/>
      <c r="N198" s="2043"/>
      <c r="O198" s="2043"/>
      <c r="P198" s="2043"/>
      <c r="Q198" s="1159"/>
      <c r="R198" s="1159"/>
      <c r="S198" s="1159"/>
      <c r="T198" s="1159"/>
      <c r="U198" s="1159"/>
      <c r="V198" s="1159"/>
      <c r="Y198" s="1159"/>
      <c r="Z198" s="1159"/>
      <c r="AA198" s="1159"/>
      <c r="AB198" s="1159"/>
      <c r="AC198" s="1159"/>
      <c r="AD198" s="1159"/>
      <c r="AE198" s="1159"/>
      <c r="AF198" s="1159"/>
    </row>
    <row r="199" spans="2:32">
      <c r="B199" s="118" t="s">
        <v>262</v>
      </c>
      <c r="C199" s="1761">
        <v>0</v>
      </c>
      <c r="D199" s="2044">
        <v>0.124</v>
      </c>
      <c r="E199" s="2044">
        <v>0.124</v>
      </c>
      <c r="F199" s="2045">
        <v>0.124</v>
      </c>
      <c r="G199" s="1159"/>
      <c r="H199" s="2043"/>
      <c r="I199" s="2043"/>
      <c r="J199" s="2043"/>
      <c r="K199" s="2043"/>
      <c r="L199" s="2043"/>
      <c r="M199" s="2043"/>
      <c r="N199" s="2043"/>
      <c r="O199" s="2043"/>
      <c r="P199" s="2043"/>
      <c r="Q199" s="1159"/>
      <c r="R199" s="1159"/>
      <c r="S199" s="1159"/>
      <c r="T199" s="1159"/>
      <c r="U199" s="1159"/>
      <c r="V199" s="1159"/>
      <c r="Y199" s="1159"/>
      <c r="Z199" s="1159"/>
      <c r="AA199" s="1159"/>
      <c r="AB199" s="1159"/>
      <c r="AC199" s="1159"/>
      <c r="AD199" s="1159"/>
      <c r="AE199" s="1159"/>
      <c r="AF199" s="1159"/>
    </row>
    <row r="200" spans="2:32">
      <c r="B200" s="178" t="s">
        <v>2520</v>
      </c>
      <c r="C200" s="556"/>
      <c r="D200" s="179"/>
      <c r="E200" s="179"/>
      <c r="F200" s="180"/>
      <c r="G200" s="1159"/>
      <c r="H200" s="1159"/>
      <c r="I200" s="1159"/>
      <c r="J200" s="1159"/>
      <c r="K200" s="1159"/>
      <c r="L200" s="2043"/>
      <c r="M200" s="2043"/>
      <c r="N200" s="2043"/>
      <c r="O200" s="2043"/>
      <c r="P200" s="2043"/>
      <c r="Q200" s="1159"/>
      <c r="R200" s="1159"/>
      <c r="S200" s="1159"/>
      <c r="T200" s="1159"/>
      <c r="U200" s="1159"/>
      <c r="V200" s="1159"/>
      <c r="Y200" s="1159"/>
      <c r="Z200" s="1159"/>
      <c r="AA200" s="1159"/>
      <c r="AB200" s="1159"/>
      <c r="AC200" s="1159"/>
      <c r="AD200" s="1159"/>
      <c r="AE200" s="1159"/>
      <c r="AF200" s="1159"/>
    </row>
    <row r="201" spans="2:32">
      <c r="B201" s="1949" t="s">
        <v>1868</v>
      </c>
      <c r="C201" s="928">
        <v>0</v>
      </c>
      <c r="D201" s="946">
        <v>0</v>
      </c>
      <c r="E201" s="946">
        <v>0</v>
      </c>
      <c r="F201" s="930">
        <v>0</v>
      </c>
      <c r="G201" s="1159"/>
      <c r="L201" s="2043"/>
      <c r="M201" s="2043"/>
      <c r="N201" s="2043"/>
      <c r="O201" s="2043"/>
      <c r="P201" s="2043"/>
      <c r="Q201" s="1159"/>
      <c r="R201" s="1159"/>
      <c r="S201" s="1159"/>
      <c r="T201" s="1159"/>
      <c r="U201" s="1159"/>
      <c r="V201" s="1159"/>
      <c r="Y201" s="1159"/>
      <c r="Z201" s="1159"/>
      <c r="AA201" s="1159"/>
      <c r="AB201" s="1159"/>
      <c r="AC201" s="1159"/>
      <c r="AD201" s="1159"/>
      <c r="AE201" s="1159"/>
      <c r="AF201" s="1159"/>
    </row>
    <row r="202" spans="2:32">
      <c r="B202" s="1949" t="s">
        <v>38</v>
      </c>
      <c r="C202" s="928">
        <v>0</v>
      </c>
      <c r="D202" s="946">
        <v>0</v>
      </c>
      <c r="E202" s="946">
        <v>0</v>
      </c>
      <c r="F202" s="930">
        <v>0</v>
      </c>
      <c r="G202" s="1159"/>
      <c r="L202" s="2043"/>
      <c r="M202" s="2043"/>
      <c r="N202" s="2043"/>
      <c r="O202" s="2043"/>
      <c r="P202" s="2043"/>
      <c r="Q202" s="1159"/>
      <c r="R202" s="1159"/>
      <c r="S202" s="1159"/>
      <c r="T202" s="1159"/>
      <c r="U202" s="1159"/>
      <c r="V202" s="1159"/>
      <c r="Y202" s="1159"/>
      <c r="Z202" s="1159"/>
      <c r="AA202" s="1159"/>
      <c r="AB202" s="1159"/>
      <c r="AC202" s="1159"/>
      <c r="AD202" s="1159"/>
      <c r="AE202" s="1159"/>
      <c r="AF202" s="1159"/>
    </row>
    <row r="203" spans="2:32">
      <c r="B203" s="1949" t="s">
        <v>1869</v>
      </c>
      <c r="C203" s="928">
        <v>0</v>
      </c>
      <c r="D203" s="946">
        <v>0</v>
      </c>
      <c r="E203" s="946">
        <v>0</v>
      </c>
      <c r="F203" s="930">
        <v>0</v>
      </c>
      <c r="G203" s="1159"/>
      <c r="L203" s="2043"/>
      <c r="M203" s="2043"/>
      <c r="N203" s="2043"/>
      <c r="O203" s="2043"/>
      <c r="P203" s="2043"/>
      <c r="Q203" s="1159"/>
      <c r="R203" s="1159"/>
      <c r="S203" s="1159"/>
      <c r="T203" s="1159"/>
      <c r="U203" s="1159"/>
      <c r="V203" s="1159"/>
      <c r="Y203" s="1159"/>
      <c r="Z203" s="1159"/>
      <c r="AA203" s="1159"/>
      <c r="AB203" s="1159"/>
      <c r="AC203" s="1159"/>
      <c r="AD203" s="1159"/>
      <c r="AE203" s="1159"/>
      <c r="AF203" s="1159"/>
    </row>
    <row r="204" spans="2:32">
      <c r="B204" s="1949" t="s">
        <v>2406</v>
      </c>
      <c r="C204" s="928">
        <v>0</v>
      </c>
      <c r="D204" s="946">
        <v>0</v>
      </c>
      <c r="E204" s="946">
        <v>0</v>
      </c>
      <c r="F204" s="930">
        <v>0</v>
      </c>
      <c r="G204" s="1159"/>
      <c r="L204" s="2043"/>
      <c r="M204" s="2043"/>
      <c r="N204" s="2043"/>
      <c r="O204" s="2043"/>
      <c r="P204" s="2043"/>
      <c r="Q204" s="1159"/>
      <c r="R204" s="1159"/>
      <c r="S204" s="1159"/>
      <c r="T204" s="1159"/>
      <c r="U204" s="1159"/>
      <c r="V204" s="1159"/>
      <c r="Y204" s="1159"/>
      <c r="Z204" s="1159"/>
      <c r="AA204" s="1159"/>
      <c r="AB204" s="1159"/>
      <c r="AC204" s="1159"/>
      <c r="AD204" s="1159"/>
      <c r="AE204" s="1159"/>
      <c r="AF204" s="1159"/>
    </row>
    <row r="205" spans="2:32">
      <c r="B205" s="1949" t="s">
        <v>2405</v>
      </c>
      <c r="C205" s="928">
        <v>0</v>
      </c>
      <c r="D205" s="946">
        <v>0</v>
      </c>
      <c r="E205" s="946">
        <v>0</v>
      </c>
      <c r="F205" s="930">
        <v>0</v>
      </c>
      <c r="G205" s="1159"/>
      <c r="L205" s="2043"/>
      <c r="M205" s="2043"/>
      <c r="N205" s="2043"/>
      <c r="O205" s="2043"/>
      <c r="P205" s="2043"/>
      <c r="Q205" s="1159"/>
      <c r="R205" s="1159"/>
      <c r="S205" s="1159"/>
      <c r="T205" s="1159"/>
      <c r="U205" s="1159"/>
      <c r="V205" s="1159"/>
      <c r="Y205" s="1159"/>
      <c r="Z205" s="1159"/>
      <c r="AA205" s="1159"/>
      <c r="AB205" s="1159"/>
      <c r="AC205" s="1159"/>
      <c r="AD205" s="1159"/>
      <c r="AE205" s="1159"/>
      <c r="AF205" s="1159"/>
    </row>
    <row r="206" spans="2:32">
      <c r="B206" s="1949" t="s">
        <v>2428</v>
      </c>
      <c r="C206" s="928">
        <v>0</v>
      </c>
      <c r="D206" s="946">
        <v>0</v>
      </c>
      <c r="E206" s="946">
        <v>0</v>
      </c>
      <c r="F206" s="930">
        <v>0</v>
      </c>
      <c r="G206" s="1159"/>
      <c r="L206" s="2043"/>
      <c r="M206" s="2043"/>
      <c r="N206" s="2043"/>
      <c r="O206" s="2043"/>
      <c r="P206" s="2043"/>
      <c r="Q206" s="1159"/>
      <c r="R206" s="1159"/>
      <c r="S206" s="1159"/>
      <c r="T206" s="1159"/>
      <c r="U206" s="1159"/>
      <c r="V206" s="1159"/>
      <c r="Y206" s="1159"/>
      <c r="Z206" s="1159"/>
      <c r="AA206" s="1159"/>
      <c r="AB206" s="1159"/>
      <c r="AC206" s="1159"/>
      <c r="AD206" s="1159"/>
      <c r="AE206" s="1159"/>
      <c r="AF206" s="1159"/>
    </row>
    <row r="207" spans="2:32">
      <c r="B207" s="1949" t="s">
        <v>61</v>
      </c>
      <c r="C207" s="928">
        <v>0</v>
      </c>
      <c r="D207" s="946">
        <v>0</v>
      </c>
      <c r="E207" s="946">
        <v>0</v>
      </c>
      <c r="F207" s="930">
        <v>0</v>
      </c>
      <c r="G207" s="1159"/>
      <c r="L207" s="2043"/>
      <c r="M207" s="2043"/>
      <c r="N207" s="2043"/>
      <c r="O207" s="2043"/>
      <c r="P207" s="2043"/>
      <c r="Q207" s="1159"/>
      <c r="R207" s="1159"/>
      <c r="S207" s="1159"/>
      <c r="T207" s="1159"/>
      <c r="U207" s="1159"/>
      <c r="V207" s="1159"/>
      <c r="Y207" s="1159"/>
      <c r="Z207" s="1159"/>
      <c r="AA207" s="1159"/>
      <c r="AB207" s="1159"/>
      <c r="AC207" s="1159"/>
      <c r="AD207" s="1159"/>
      <c r="AE207" s="1159"/>
      <c r="AF207" s="1159"/>
    </row>
    <row r="208" spans="2:32">
      <c r="B208" s="1949" t="s">
        <v>60</v>
      </c>
      <c r="C208" s="928">
        <v>0</v>
      </c>
      <c r="D208" s="946">
        <v>0</v>
      </c>
      <c r="E208" s="946">
        <v>0</v>
      </c>
      <c r="F208" s="930">
        <v>0</v>
      </c>
      <c r="G208" s="1159"/>
      <c r="L208" s="2043"/>
      <c r="M208" s="2043"/>
      <c r="N208" s="2043"/>
      <c r="O208" s="2043"/>
      <c r="P208" s="2043"/>
      <c r="Q208" s="1159"/>
      <c r="R208" s="1159"/>
      <c r="S208" s="1159"/>
      <c r="T208" s="1159"/>
      <c r="U208" s="1159"/>
      <c r="V208" s="1159"/>
      <c r="Y208" s="1159"/>
      <c r="Z208" s="1159"/>
      <c r="AA208" s="1159"/>
      <c r="AB208" s="1159"/>
      <c r="AC208" s="1159"/>
      <c r="AD208" s="1159"/>
      <c r="AE208" s="1159"/>
      <c r="AF208" s="1159"/>
    </row>
    <row r="209" spans="2:32">
      <c r="B209" s="1949" t="s">
        <v>52</v>
      </c>
      <c r="C209" s="928">
        <v>0</v>
      </c>
      <c r="D209" s="946">
        <v>0</v>
      </c>
      <c r="E209" s="946">
        <v>0</v>
      </c>
      <c r="F209" s="930">
        <v>0</v>
      </c>
      <c r="G209" s="1159"/>
      <c r="L209" s="2043"/>
      <c r="M209" s="2043"/>
      <c r="N209" s="2043"/>
      <c r="O209" s="2043"/>
      <c r="P209" s="2043"/>
      <c r="Q209" s="1159"/>
      <c r="R209" s="1159"/>
      <c r="S209" s="1159"/>
      <c r="T209" s="1159"/>
      <c r="U209" s="1159"/>
      <c r="V209" s="1159"/>
      <c r="Y209" s="1159"/>
      <c r="Z209" s="1159"/>
      <c r="AA209" s="1159"/>
      <c r="AB209" s="1159"/>
      <c r="AC209" s="1159"/>
      <c r="AD209" s="1159"/>
      <c r="AE209" s="1159"/>
      <c r="AF209" s="1159"/>
    </row>
    <row r="210" spans="2:32">
      <c r="B210" s="1949" t="s">
        <v>2424</v>
      </c>
      <c r="C210" s="928">
        <v>0</v>
      </c>
      <c r="D210" s="946">
        <v>0</v>
      </c>
      <c r="E210" s="946">
        <v>0</v>
      </c>
      <c r="F210" s="930">
        <v>0</v>
      </c>
      <c r="G210" s="1159"/>
      <c r="L210" s="2043"/>
      <c r="M210" s="2043"/>
      <c r="N210" s="2043"/>
      <c r="O210" s="2043"/>
      <c r="P210" s="2043"/>
      <c r="Q210" s="1159"/>
      <c r="R210" s="1159"/>
      <c r="S210" s="1159"/>
      <c r="T210" s="1159"/>
      <c r="U210" s="1159"/>
      <c r="V210" s="1159"/>
      <c r="Y210" s="1159"/>
      <c r="Z210" s="1159"/>
      <c r="AA210" s="1159"/>
      <c r="AB210" s="1159"/>
      <c r="AC210" s="1159"/>
      <c r="AD210" s="1159"/>
      <c r="AE210" s="1159"/>
      <c r="AF210" s="1159"/>
    </row>
    <row r="211" spans="2:32">
      <c r="B211" s="1949" t="s">
        <v>2407</v>
      </c>
      <c r="C211" s="928">
        <v>0</v>
      </c>
      <c r="D211" s="946">
        <v>0</v>
      </c>
      <c r="E211" s="946">
        <v>0</v>
      </c>
      <c r="F211" s="930">
        <v>0</v>
      </c>
      <c r="G211" s="1159"/>
      <c r="L211" s="2043"/>
      <c r="M211" s="2043"/>
      <c r="N211" s="2043"/>
      <c r="O211" s="2043"/>
      <c r="P211" s="2043"/>
      <c r="Q211" s="1159"/>
      <c r="R211" s="1159"/>
      <c r="S211" s="1159"/>
      <c r="T211" s="1159"/>
      <c r="U211" s="1159"/>
      <c r="V211" s="1159"/>
      <c r="Y211" s="1159"/>
      <c r="Z211" s="1159"/>
      <c r="AA211" s="1159"/>
      <c r="AB211" s="1159"/>
      <c r="AC211" s="1159"/>
      <c r="AD211" s="1159"/>
      <c r="AE211" s="1159"/>
      <c r="AF211" s="1159"/>
    </row>
    <row r="212" spans="2:32">
      <c r="B212" s="1949" t="s">
        <v>2426</v>
      </c>
      <c r="C212" s="928">
        <v>0</v>
      </c>
      <c r="D212" s="946">
        <v>0</v>
      </c>
      <c r="E212" s="946">
        <v>0</v>
      </c>
      <c r="F212" s="930">
        <v>0</v>
      </c>
      <c r="G212" s="1159"/>
      <c r="L212" s="2043"/>
      <c r="M212" s="2043"/>
      <c r="N212" s="2043"/>
      <c r="O212" s="2043"/>
      <c r="P212" s="2043"/>
      <c r="Q212" s="1159"/>
      <c r="R212" s="1159"/>
      <c r="S212" s="1159"/>
      <c r="T212" s="1159"/>
      <c r="U212" s="1159"/>
      <c r="V212" s="1159"/>
      <c r="Y212" s="1159"/>
      <c r="Z212" s="1159"/>
      <c r="AA212" s="1159"/>
      <c r="AB212" s="1159"/>
      <c r="AC212" s="1159"/>
      <c r="AD212" s="1159"/>
      <c r="AE212" s="1159"/>
      <c r="AF212" s="1159"/>
    </row>
    <row r="213" spans="2:32">
      <c r="B213" s="1949" t="s">
        <v>2425</v>
      </c>
      <c r="C213" s="928">
        <v>0</v>
      </c>
      <c r="D213" s="946">
        <v>0</v>
      </c>
      <c r="E213" s="946">
        <v>0</v>
      </c>
      <c r="F213" s="930">
        <v>0</v>
      </c>
      <c r="G213" s="1159"/>
      <c r="L213" s="2043"/>
      <c r="M213" s="2043"/>
      <c r="N213" s="2043"/>
      <c r="O213" s="2043"/>
      <c r="P213" s="2043"/>
      <c r="Q213" s="1159"/>
      <c r="R213" s="1159"/>
      <c r="S213" s="1159"/>
      <c r="T213" s="1159"/>
      <c r="U213" s="1159"/>
      <c r="V213" s="1159"/>
      <c r="Y213" s="1159"/>
      <c r="Z213" s="1159"/>
      <c r="AA213" s="1159"/>
      <c r="AB213" s="1159"/>
      <c r="AC213" s="1159"/>
      <c r="AD213" s="1159"/>
      <c r="AE213" s="1159"/>
      <c r="AF213" s="1159"/>
    </row>
    <row r="214" spans="2:32">
      <c r="B214" s="1950" t="s">
        <v>2420</v>
      </c>
      <c r="C214" s="1761">
        <v>0</v>
      </c>
      <c r="D214" s="2044">
        <v>0</v>
      </c>
      <c r="E214" s="2044">
        <v>0</v>
      </c>
      <c r="F214" s="2045">
        <v>0</v>
      </c>
      <c r="G214" s="1159"/>
      <c r="H214" s="3159" t="s">
        <v>2485</v>
      </c>
      <c r="I214" s="3160"/>
      <c r="J214" s="1159"/>
      <c r="K214" s="1159"/>
      <c r="L214" s="2043"/>
      <c r="M214" s="2043"/>
      <c r="N214" s="2043"/>
      <c r="O214" s="2043"/>
      <c r="P214" s="2043"/>
      <c r="Q214" s="1159"/>
      <c r="R214" s="1159"/>
      <c r="S214" s="1159"/>
      <c r="T214" s="1159"/>
      <c r="U214" s="1159"/>
      <c r="V214" s="1159"/>
      <c r="Y214" s="1159"/>
      <c r="Z214" s="1159"/>
      <c r="AA214" s="1159"/>
      <c r="AB214" s="1159"/>
      <c r="AC214" s="1159"/>
      <c r="AD214" s="1159"/>
      <c r="AE214" s="1159"/>
      <c r="AF214" s="1159"/>
    </row>
    <row r="215" spans="2:32">
      <c r="B215" s="1951" t="s">
        <v>188</v>
      </c>
      <c r="C215" s="556"/>
      <c r="D215" s="179"/>
      <c r="E215" s="179"/>
      <c r="F215" s="180"/>
      <c r="G215" s="1159"/>
      <c r="H215" s="232" t="s">
        <v>2486</v>
      </c>
      <c r="I215" s="128" t="s">
        <v>2487</v>
      </c>
      <c r="J215" s="1159"/>
      <c r="K215" s="1159"/>
      <c r="L215" s="2043"/>
      <c r="M215" s="2043"/>
      <c r="N215" s="2043"/>
      <c r="O215" s="2043"/>
      <c r="P215" s="2043"/>
      <c r="Q215" s="1159"/>
      <c r="R215" s="1159"/>
      <c r="S215" s="1159"/>
      <c r="T215" s="1159"/>
      <c r="U215" s="1159"/>
      <c r="V215" s="1159"/>
      <c r="Y215" s="1159"/>
      <c r="Z215" s="1159"/>
      <c r="AA215" s="1159"/>
      <c r="AB215" s="1159"/>
      <c r="AC215" s="1159"/>
      <c r="AD215" s="1159"/>
      <c r="AE215" s="1159"/>
      <c r="AF215" s="1159"/>
    </row>
    <row r="216" spans="2:32">
      <c r="B216" s="1947" t="s">
        <v>2429</v>
      </c>
      <c r="C216" s="928">
        <v>0</v>
      </c>
      <c r="D216" s="946">
        <v>0</v>
      </c>
      <c r="E216" s="946">
        <v>0</v>
      </c>
      <c r="F216" s="128">
        <f xml:space="preserve"> IF(MHDV_Inputs!$B$120=1,H216,I216)</f>
        <v>0.63519894466213445</v>
      </c>
      <c r="G216" s="1159"/>
      <c r="H216" s="2048">
        <v>0.63519894466213445</v>
      </c>
      <c r="I216" s="2049">
        <v>0.35796843990872396</v>
      </c>
      <c r="J216" s="1159"/>
      <c r="K216" s="1159"/>
      <c r="L216" s="2043"/>
      <c r="M216" s="2043"/>
      <c r="N216" s="2043"/>
      <c r="O216" s="2043"/>
      <c r="P216" s="2043"/>
      <c r="Q216" s="1159"/>
      <c r="R216" s="1159"/>
      <c r="S216" s="1159"/>
      <c r="T216" s="1159"/>
      <c r="U216" s="1159"/>
      <c r="V216" s="1159"/>
      <c r="Y216" s="1159"/>
      <c r="Z216" s="1159"/>
      <c r="AA216" s="1159"/>
      <c r="AB216" s="1159"/>
      <c r="AC216" s="1159"/>
      <c r="AD216" s="1159"/>
      <c r="AE216" s="1159"/>
      <c r="AF216" s="1159"/>
    </row>
    <row r="217" spans="2:32">
      <c r="B217" s="1947" t="s">
        <v>38</v>
      </c>
      <c r="C217" s="928">
        <v>0</v>
      </c>
      <c r="D217" s="946">
        <v>0</v>
      </c>
      <c r="E217" s="946">
        <v>0</v>
      </c>
      <c r="F217" s="128">
        <f xml:space="preserve"> IF(MHDV_Inputs!$B$120=1,H217,I217)</f>
        <v>1.1677919001488018E-2</v>
      </c>
      <c r="G217" s="1159"/>
      <c r="H217" s="928">
        <v>1.1677919001488018E-2</v>
      </c>
      <c r="I217" s="930">
        <v>5.7441447334190612E-3</v>
      </c>
      <c r="J217" s="1159"/>
      <c r="K217" s="1159"/>
      <c r="L217" s="2043"/>
      <c r="M217" s="2043"/>
      <c r="N217" s="2043"/>
      <c r="O217" s="2043"/>
      <c r="P217" s="2043"/>
      <c r="Q217" s="1159"/>
      <c r="R217" s="1159"/>
      <c r="S217" s="1159"/>
      <c r="T217" s="1159"/>
      <c r="U217" s="1159"/>
      <c r="V217" s="1159"/>
      <c r="Y217" s="1159"/>
      <c r="Z217" s="1159"/>
      <c r="AA217" s="1159"/>
      <c r="AB217" s="1159"/>
      <c r="AC217" s="1159"/>
      <c r="AD217" s="1159"/>
      <c r="AE217" s="1159"/>
      <c r="AF217" s="1159"/>
    </row>
    <row r="218" spans="2:32">
      <c r="B218" s="1947" t="s">
        <v>1868</v>
      </c>
      <c r="C218" s="928">
        <v>0</v>
      </c>
      <c r="D218" s="946">
        <v>0</v>
      </c>
      <c r="E218" s="946">
        <v>0</v>
      </c>
      <c r="F218" s="128">
        <f xml:space="preserve"> IF(MHDV_Inputs!$B$120=1,H218,I218)</f>
        <v>0.2859468222169913</v>
      </c>
      <c r="G218" s="1159"/>
      <c r="H218" s="928">
        <v>0.2859468222169913</v>
      </c>
      <c r="I218" s="930">
        <v>0.53269113081655373</v>
      </c>
      <c r="J218" s="1159"/>
      <c r="K218" s="1159"/>
      <c r="L218" s="2043"/>
      <c r="M218" s="2043"/>
      <c r="N218" s="2043"/>
      <c r="O218" s="2043"/>
      <c r="P218" s="2043"/>
      <c r="Q218" s="1159"/>
      <c r="R218" s="1159"/>
      <c r="S218" s="1159"/>
      <c r="T218" s="1159"/>
      <c r="U218" s="1159"/>
      <c r="V218" s="1159"/>
      <c r="Y218" s="1159"/>
      <c r="Z218" s="1159"/>
      <c r="AA218" s="1159"/>
      <c r="AB218" s="1159"/>
      <c r="AC218" s="1159"/>
      <c r="AD218" s="1159"/>
      <c r="AE218" s="1159"/>
      <c r="AF218" s="1159"/>
    </row>
    <row r="219" spans="2:32">
      <c r="B219" s="1947" t="s">
        <v>2407</v>
      </c>
      <c r="C219" s="928">
        <v>0</v>
      </c>
      <c r="D219" s="946">
        <v>0</v>
      </c>
      <c r="E219" s="946">
        <v>0</v>
      </c>
      <c r="F219" s="128">
        <f xml:space="preserve"> IF(MHDV_Inputs!$B$120=1,H219,I219)</f>
        <v>0</v>
      </c>
      <c r="G219" s="1159"/>
      <c r="H219" s="928">
        <v>0</v>
      </c>
      <c r="I219" s="930">
        <v>0</v>
      </c>
      <c r="J219" s="1159"/>
      <c r="K219" s="1159"/>
      <c r="L219" s="2043"/>
      <c r="M219" s="2043"/>
      <c r="N219" s="2043"/>
      <c r="O219" s="2043"/>
      <c r="P219" s="2043"/>
      <c r="Q219" s="1159"/>
      <c r="R219" s="1159"/>
      <c r="S219" s="1159"/>
      <c r="T219" s="1159"/>
      <c r="U219" s="1159"/>
      <c r="V219" s="1159"/>
      <c r="Y219" s="1159"/>
      <c r="Z219" s="1159"/>
      <c r="AA219" s="1159"/>
      <c r="AB219" s="1159"/>
      <c r="AC219" s="1159"/>
      <c r="AD219" s="1159"/>
      <c r="AE219" s="1159"/>
      <c r="AF219" s="1159"/>
    </row>
    <row r="220" spans="2:32">
      <c r="B220" s="1947" t="s">
        <v>2405</v>
      </c>
      <c r="C220" s="928">
        <v>0</v>
      </c>
      <c r="D220" s="946">
        <v>0</v>
      </c>
      <c r="E220" s="946">
        <v>0</v>
      </c>
      <c r="F220" s="128">
        <f xml:space="preserve"> IF(MHDV_Inputs!$B$120=1,H220,I220)</f>
        <v>3.1533708346468216E-2</v>
      </c>
      <c r="G220" s="1159"/>
      <c r="H220" s="928">
        <v>3.1533708346468216E-2</v>
      </c>
      <c r="I220" s="930">
        <v>4.4256474674872599E-2</v>
      </c>
      <c r="J220" s="1159"/>
      <c r="K220" s="1159"/>
      <c r="L220" s="2043"/>
      <c r="M220" s="2043"/>
      <c r="N220" s="2043"/>
      <c r="O220" s="2043"/>
      <c r="P220" s="2043"/>
      <c r="Q220" s="1159"/>
      <c r="R220" s="1159"/>
      <c r="S220" s="1159"/>
      <c r="T220" s="1159"/>
      <c r="U220" s="1159"/>
      <c r="V220" s="1159"/>
      <c r="Y220" s="1159"/>
      <c r="Z220" s="1159"/>
      <c r="AA220" s="1159"/>
      <c r="AB220" s="1159"/>
      <c r="AC220" s="1159"/>
      <c r="AD220" s="1159"/>
      <c r="AE220" s="1159"/>
      <c r="AF220" s="1159"/>
    </row>
    <row r="221" spans="2:32">
      <c r="B221" s="1947" t="s">
        <v>52</v>
      </c>
      <c r="C221" s="928">
        <v>0</v>
      </c>
      <c r="D221" s="946">
        <v>0</v>
      </c>
      <c r="E221" s="946">
        <v>0</v>
      </c>
      <c r="F221" s="128">
        <f xml:space="preserve"> IF(MHDV_Inputs!$B$120=1,H221,I221)</f>
        <v>0</v>
      </c>
      <c r="G221" s="1159"/>
      <c r="H221" s="928">
        <v>0</v>
      </c>
      <c r="I221" s="930">
        <v>0</v>
      </c>
      <c r="J221" s="1159"/>
      <c r="K221" s="1159"/>
      <c r="L221" s="2043"/>
      <c r="M221" s="2043"/>
      <c r="N221" s="2043"/>
      <c r="O221" s="2043"/>
      <c r="P221" s="2043"/>
      <c r="Q221" s="1159"/>
      <c r="R221" s="1159"/>
      <c r="S221" s="1159"/>
      <c r="T221" s="1159"/>
      <c r="U221" s="1159"/>
      <c r="V221" s="1159"/>
      <c r="Y221" s="1159"/>
      <c r="Z221" s="1159"/>
      <c r="AA221" s="1159"/>
      <c r="AB221" s="1159"/>
      <c r="AC221" s="1159"/>
      <c r="AD221" s="1159"/>
      <c r="AE221" s="1159"/>
      <c r="AF221" s="1159"/>
    </row>
    <row r="222" spans="2:32">
      <c r="B222" s="1947" t="s">
        <v>1391</v>
      </c>
      <c r="C222" s="928">
        <v>0</v>
      </c>
      <c r="D222" s="946">
        <v>0</v>
      </c>
      <c r="E222" s="946">
        <v>0</v>
      </c>
      <c r="F222" s="128">
        <f xml:space="preserve"> IF(MHDV_Inputs!$B$120=1,H222,I222)</f>
        <v>1.5450785140430299E-2</v>
      </c>
      <c r="G222" s="1159"/>
      <c r="H222" s="928">
        <v>1.5450785140430299E-2</v>
      </c>
      <c r="I222" s="930">
        <v>2.6847632993154305E-2</v>
      </c>
      <c r="J222" s="1159"/>
      <c r="K222" s="1159"/>
      <c r="L222" s="2043"/>
      <c r="M222" s="2043"/>
      <c r="N222" s="2043"/>
      <c r="O222" s="2043"/>
      <c r="P222" s="2043"/>
      <c r="Q222" s="1159"/>
      <c r="R222" s="1159"/>
      <c r="S222" s="1159"/>
      <c r="T222" s="1159"/>
      <c r="U222" s="1159"/>
      <c r="V222" s="1159"/>
      <c r="Y222" s="1159"/>
      <c r="Z222" s="1159"/>
      <c r="AA222" s="1159"/>
      <c r="AB222" s="1159"/>
      <c r="AC222" s="1159"/>
      <c r="AD222" s="1159"/>
      <c r="AE222" s="1159"/>
      <c r="AF222" s="1159"/>
    </row>
    <row r="223" spans="2:32">
      <c r="B223" s="1947" t="s">
        <v>375</v>
      </c>
      <c r="C223" s="928">
        <v>0</v>
      </c>
      <c r="D223" s="946">
        <v>0</v>
      </c>
      <c r="E223" s="946">
        <v>0</v>
      </c>
      <c r="F223" s="128">
        <f xml:space="preserve"> IF(MHDV_Inputs!$B$120=1,H223,I223)</f>
        <v>2.0191820632487405E-2</v>
      </c>
      <c r="G223" s="1159"/>
      <c r="H223" s="928">
        <v>2.0191820632487405E-2</v>
      </c>
      <c r="I223" s="930">
        <v>3.2492176873276504E-2</v>
      </c>
      <c r="J223" s="1159"/>
      <c r="K223" s="1159"/>
      <c r="L223" s="2043"/>
      <c r="M223" s="2043"/>
      <c r="N223" s="2043"/>
      <c r="O223" s="2043"/>
      <c r="P223" s="2043"/>
      <c r="Q223" s="1159"/>
      <c r="R223" s="1159"/>
      <c r="S223" s="1159"/>
      <c r="T223" s="1159"/>
      <c r="U223" s="1159"/>
      <c r="V223" s="1159"/>
      <c r="Y223" s="1159"/>
      <c r="Z223" s="1159"/>
      <c r="AA223" s="1159"/>
      <c r="AB223" s="1159"/>
      <c r="AC223" s="1159"/>
      <c r="AD223" s="1159"/>
      <c r="AE223" s="1159"/>
      <c r="AF223" s="1159"/>
    </row>
    <row r="224" spans="2:32">
      <c r="B224" s="1948" t="s">
        <v>294</v>
      </c>
      <c r="C224" s="1761">
        <v>0</v>
      </c>
      <c r="D224" s="2044">
        <v>0</v>
      </c>
      <c r="E224" s="2044">
        <v>0</v>
      </c>
      <c r="F224" s="130">
        <f xml:space="preserve"> IF(MHDV_Inputs!$B$120=1,H224,I224)</f>
        <v>0</v>
      </c>
      <c r="G224" s="1159"/>
      <c r="H224" s="1761">
        <v>0</v>
      </c>
      <c r="I224" s="2045">
        <v>0</v>
      </c>
      <c r="J224" s="1159"/>
      <c r="K224" s="1159"/>
      <c r="L224" s="2043"/>
      <c r="M224" s="2043"/>
      <c r="N224" s="2043"/>
      <c r="O224" s="2043"/>
      <c r="P224" s="2043"/>
      <c r="Q224" s="1159"/>
      <c r="R224" s="1159"/>
      <c r="S224" s="1159"/>
      <c r="T224" s="1159"/>
      <c r="U224" s="1159"/>
      <c r="V224" s="1159"/>
      <c r="Y224" s="1159"/>
      <c r="Z224" s="1159"/>
      <c r="AA224" s="1159"/>
      <c r="AB224" s="1159"/>
      <c r="AC224" s="1159"/>
      <c r="AD224" s="1159"/>
      <c r="AE224" s="1159"/>
      <c r="AF224" s="1159"/>
    </row>
    <row r="225" spans="1:32">
      <c r="B225" s="2051" t="s">
        <v>2430</v>
      </c>
      <c r="C225" s="556"/>
      <c r="D225" s="179"/>
      <c r="E225" s="179"/>
      <c r="F225" s="180"/>
      <c r="G225" s="1159"/>
      <c r="H225" s="1159"/>
      <c r="I225" s="1159"/>
      <c r="J225" s="1159"/>
      <c r="K225" s="1159"/>
      <c r="L225" s="1159"/>
      <c r="O225" s="1159"/>
      <c r="P225" s="1159"/>
      <c r="Q225" s="1159"/>
      <c r="R225" s="1159"/>
      <c r="S225" s="1159"/>
      <c r="T225" s="1159"/>
      <c r="U225" s="1159"/>
      <c r="V225" s="1159"/>
      <c r="Y225" s="1159"/>
      <c r="Z225" s="1159"/>
      <c r="AA225" s="1159"/>
      <c r="AB225" s="1159"/>
      <c r="AC225" s="1159"/>
      <c r="AD225" s="1159"/>
      <c r="AE225" s="1159"/>
      <c r="AF225" s="1159"/>
    </row>
    <row r="226" spans="1:32">
      <c r="B226" s="1950" t="s">
        <v>38</v>
      </c>
      <c r="C226" s="1761">
        <v>0</v>
      </c>
      <c r="D226" s="2044">
        <v>0</v>
      </c>
      <c r="E226" s="2044">
        <v>0</v>
      </c>
      <c r="F226" s="2045">
        <v>0</v>
      </c>
      <c r="G226" s="1159"/>
      <c r="H226" s="1159"/>
      <c r="I226" s="1159"/>
      <c r="J226" s="1159"/>
      <c r="K226" s="1159"/>
      <c r="L226" s="1159"/>
      <c r="O226" s="1159"/>
      <c r="P226" s="1159"/>
      <c r="Q226" s="1159"/>
      <c r="R226" s="1159"/>
      <c r="S226" s="1159"/>
      <c r="T226" s="1159"/>
      <c r="U226" s="1159"/>
      <c r="V226" s="1159"/>
      <c r="Y226" s="1159"/>
      <c r="Z226" s="1159"/>
      <c r="AA226" s="1159"/>
      <c r="AB226" s="1159"/>
      <c r="AC226" s="1159"/>
      <c r="AD226" s="1159"/>
      <c r="AE226" s="1159"/>
      <c r="AF226" s="1159"/>
    </row>
    <row r="227" spans="1:32">
      <c r="B227" s="1461"/>
      <c r="C227" s="1159"/>
      <c r="D227" s="1159"/>
      <c r="E227" s="1159"/>
      <c r="F227" s="1159"/>
      <c r="G227" s="1159"/>
      <c r="H227" s="1159"/>
      <c r="I227" s="1159"/>
      <c r="J227" s="1159"/>
      <c r="K227" s="1159"/>
      <c r="L227" s="1159"/>
      <c r="O227" s="1159"/>
      <c r="P227" s="1159"/>
      <c r="Q227" s="1159"/>
      <c r="R227" s="1159"/>
      <c r="S227" s="1159"/>
      <c r="T227" s="1159"/>
      <c r="U227" s="1159"/>
      <c r="V227" s="1159"/>
      <c r="Y227" s="1159"/>
      <c r="Z227" s="1159"/>
      <c r="AA227" s="1159"/>
      <c r="AB227" s="1159"/>
      <c r="AC227" s="1159"/>
      <c r="AD227" s="1159"/>
      <c r="AE227" s="1159"/>
      <c r="AF227" s="1159"/>
    </row>
    <row r="228" spans="1:32" ht="15">
      <c r="A228" s="120" t="s">
        <v>2521</v>
      </c>
    </row>
    <row r="229" spans="1:32">
      <c r="B229" s="1892"/>
      <c r="C229" s="1893" t="s">
        <v>203</v>
      </c>
      <c r="D229" s="1894" t="s">
        <v>194</v>
      </c>
      <c r="E229" s="1894" t="s">
        <v>167</v>
      </c>
      <c r="F229" s="1895" t="s">
        <v>198</v>
      </c>
      <c r="G229" s="2052"/>
      <c r="H229" s="2052"/>
      <c r="I229" s="2052"/>
      <c r="J229" s="2052"/>
      <c r="K229" s="2052"/>
      <c r="L229" s="2052"/>
    </row>
    <row r="230" spans="1:32">
      <c r="B230" s="1299" t="s">
        <v>2503</v>
      </c>
      <c r="C230" s="2852">
        <f>GREET1_Import_Export!C722</f>
        <v>4.4534195626357791</v>
      </c>
      <c r="D230" s="2852">
        <f>GREET1_Import_Export!C723</f>
        <v>6.3516605586476302</v>
      </c>
      <c r="E230" s="2852">
        <f>GREET1_Import_Export!C724</f>
        <v>16.777138369605467</v>
      </c>
      <c r="F230" s="2853">
        <f>GREET1_Import_Export!C725</f>
        <v>7.0135924891582153</v>
      </c>
      <c r="G230" s="2053"/>
      <c r="H230" s="2053"/>
      <c r="I230" s="2053"/>
      <c r="J230" s="2053"/>
      <c r="K230" s="2053"/>
      <c r="L230" s="2053"/>
    </row>
    <row r="231" spans="1:32">
      <c r="C231" s="1977"/>
    </row>
    <row r="232" spans="1:32" ht="15">
      <c r="A232" s="120" t="s">
        <v>2489</v>
      </c>
    </row>
    <row r="233" spans="1:32">
      <c r="A233" s="172" t="s">
        <v>2490</v>
      </c>
    </row>
    <row r="234" spans="1:32">
      <c r="B234" s="1886" t="s">
        <v>2352</v>
      </c>
      <c r="C234" s="1887" t="s">
        <v>2353</v>
      </c>
      <c r="D234" s="1888" t="s">
        <v>2382</v>
      </c>
    </row>
    <row r="235" spans="1:32">
      <c r="B235" s="1890" t="s">
        <v>2383</v>
      </c>
      <c r="C235" s="2054">
        <v>10</v>
      </c>
      <c r="D235" s="2055">
        <v>8</v>
      </c>
    </row>
    <row r="237" spans="1:32">
      <c r="A237" s="172" t="s">
        <v>2384</v>
      </c>
    </row>
    <row r="238" spans="1:32">
      <c r="B238" s="1891"/>
      <c r="C238" s="2056" t="s">
        <v>2491</v>
      </c>
      <c r="D238" s="1859"/>
      <c r="E238" s="1859"/>
      <c r="F238" s="1859"/>
    </row>
    <row r="239" spans="1:32">
      <c r="A239" s="172"/>
      <c r="B239" s="2057" t="s">
        <v>2383</v>
      </c>
      <c r="C239" s="2058">
        <v>120</v>
      </c>
    </row>
    <row r="241" spans="1:15">
      <c r="A241" s="172" t="s">
        <v>2492</v>
      </c>
    </row>
    <row r="242" spans="1:15">
      <c r="B242" s="1940" t="s">
        <v>2390</v>
      </c>
      <c r="C242" s="1932" t="s">
        <v>2387</v>
      </c>
    </row>
    <row r="243" spans="1:15">
      <c r="B243" s="1860" t="s">
        <v>2391</v>
      </c>
      <c r="C243" s="2059">
        <v>5558.015427739314</v>
      </c>
    </row>
    <row r="244" spans="1:15">
      <c r="B244" s="191" t="s">
        <v>2392</v>
      </c>
      <c r="C244" s="2060">
        <v>4422.628219728369</v>
      </c>
    </row>
    <row r="245" spans="1:15">
      <c r="B245" s="192" t="s">
        <v>2393</v>
      </c>
      <c r="C245" s="2061">
        <v>593.85679224367084</v>
      </c>
    </row>
    <row r="247" spans="1:15">
      <c r="A247" s="172" t="s">
        <v>2493</v>
      </c>
    </row>
    <row r="248" spans="1:15" ht="25.5">
      <c r="B248" s="640"/>
      <c r="C248" s="1868" t="s">
        <v>157</v>
      </c>
      <c r="D248" s="2837" t="s">
        <v>2339</v>
      </c>
      <c r="E248" s="2837" t="s">
        <v>2673</v>
      </c>
      <c r="F248" s="2837" t="s">
        <v>2494</v>
      </c>
      <c r="G248" s="2838" t="s">
        <v>2342</v>
      </c>
      <c r="H248" s="2838" t="s">
        <v>2674</v>
      </c>
      <c r="I248" s="2838" t="s">
        <v>158</v>
      </c>
      <c r="J248" s="1870" t="s">
        <v>159</v>
      </c>
      <c r="K248" s="1869" t="s">
        <v>160</v>
      </c>
      <c r="L248" s="1869" t="s">
        <v>161</v>
      </c>
      <c r="M248" s="1870" t="s">
        <v>2344</v>
      </c>
      <c r="N248" s="1869" t="s">
        <v>162</v>
      </c>
      <c r="O248" s="1871" t="s">
        <v>163</v>
      </c>
    </row>
    <row r="249" spans="1:15">
      <c r="B249" s="1625" t="s">
        <v>2387</v>
      </c>
      <c r="C249" s="1987">
        <v>0</v>
      </c>
      <c r="D249" s="1988">
        <v>0</v>
      </c>
      <c r="E249" s="1988">
        <v>45.181609883549996</v>
      </c>
      <c r="F249" s="1988">
        <v>0</v>
      </c>
      <c r="G249" s="1988">
        <v>0</v>
      </c>
      <c r="H249" s="1988">
        <v>38.01</v>
      </c>
      <c r="I249" s="1988">
        <v>0</v>
      </c>
      <c r="J249" s="1988">
        <v>0</v>
      </c>
      <c r="K249" s="1988">
        <v>0</v>
      </c>
      <c r="L249" s="1988">
        <v>0</v>
      </c>
      <c r="M249" s="1988">
        <v>0</v>
      </c>
      <c r="N249" s="1988">
        <v>0</v>
      </c>
      <c r="O249" s="1989">
        <v>0</v>
      </c>
    </row>
    <row r="251" spans="1:15">
      <c r="A251" s="172" t="s">
        <v>2495</v>
      </c>
    </row>
    <row r="252" spans="1:15" ht="25.5">
      <c r="B252" s="1936" t="s">
        <v>157</v>
      </c>
      <c r="C252" s="1539" t="s">
        <v>2339</v>
      </c>
      <c r="D252" s="2837" t="s">
        <v>2673</v>
      </c>
      <c r="E252" s="2837" t="s">
        <v>2494</v>
      </c>
      <c r="F252" s="2838" t="s">
        <v>2342</v>
      </c>
      <c r="G252" s="2838" t="s">
        <v>2674</v>
      </c>
      <c r="H252" s="1541" t="s">
        <v>158</v>
      </c>
      <c r="I252" s="1541" t="s">
        <v>159</v>
      </c>
      <c r="J252" s="1539" t="s">
        <v>160</v>
      </c>
      <c r="K252" s="1539" t="s">
        <v>161</v>
      </c>
      <c r="L252" s="1938" t="s">
        <v>2344</v>
      </c>
      <c r="M252" s="1937" t="s">
        <v>162</v>
      </c>
      <c r="N252" s="1939" t="s">
        <v>163</v>
      </c>
    </row>
    <row r="253" spans="1:15">
      <c r="B253" s="2040">
        <v>0</v>
      </c>
      <c r="C253" s="2041">
        <v>0</v>
      </c>
      <c r="D253" s="2041">
        <v>1</v>
      </c>
      <c r="E253" s="2041">
        <v>0</v>
      </c>
      <c r="F253" s="2041">
        <v>0</v>
      </c>
      <c r="G253" s="2041">
        <v>1</v>
      </c>
      <c r="H253" s="2041">
        <v>0</v>
      </c>
      <c r="I253" s="2041">
        <v>0</v>
      </c>
      <c r="J253" s="2041">
        <v>0</v>
      </c>
      <c r="K253" s="2041">
        <v>0</v>
      </c>
      <c r="L253" s="2041">
        <v>0</v>
      </c>
      <c r="M253" s="2041">
        <v>0</v>
      </c>
      <c r="N253" s="1546">
        <v>0</v>
      </c>
    </row>
    <row r="255" spans="1:15">
      <c r="A255" s="172" t="s">
        <v>2496</v>
      </c>
    </row>
    <row r="256" spans="1:15">
      <c r="B256" s="58"/>
      <c r="C256" s="1956" t="s">
        <v>2387</v>
      </c>
      <c r="D256" s="1859"/>
      <c r="E256" s="1859"/>
      <c r="F256" s="1859"/>
    </row>
    <row r="257" spans="2:6">
      <c r="B257" s="178" t="s">
        <v>2440</v>
      </c>
      <c r="C257" s="595"/>
      <c r="D257" s="1159"/>
      <c r="E257" s="1159"/>
      <c r="F257" s="1159"/>
    </row>
    <row r="258" spans="2:6">
      <c r="B258" s="1949" t="s">
        <v>38</v>
      </c>
      <c r="C258" s="2064">
        <v>0.10613413478606951</v>
      </c>
      <c r="D258" s="1159"/>
      <c r="E258" s="2073"/>
      <c r="F258" s="1159"/>
    </row>
    <row r="259" spans="2:6">
      <c r="B259" s="1949" t="s">
        <v>2406</v>
      </c>
      <c r="C259" s="2064">
        <v>2.2081988982309629E-3</v>
      </c>
      <c r="D259" s="1159"/>
      <c r="E259" s="2073"/>
      <c r="F259" s="1159"/>
    </row>
    <row r="260" spans="2:6">
      <c r="B260" s="1949" t="s">
        <v>2405</v>
      </c>
      <c r="C260" s="2064">
        <v>0.50526969839142832</v>
      </c>
      <c r="D260" s="1159"/>
      <c r="E260" s="2073"/>
      <c r="F260" s="1159"/>
    </row>
    <row r="261" spans="2:6">
      <c r="B261" s="1949" t="s">
        <v>2428</v>
      </c>
      <c r="C261" s="2064">
        <v>0.38270362658769846</v>
      </c>
      <c r="D261" s="1159"/>
      <c r="E261" s="2073"/>
      <c r="F261" s="1159"/>
    </row>
    <row r="262" spans="2:6">
      <c r="B262" s="1950" t="s">
        <v>61</v>
      </c>
      <c r="C262" s="2065">
        <v>3.684341336572776E-3</v>
      </c>
      <c r="D262" s="1159"/>
      <c r="E262" s="2073"/>
      <c r="F262" s="1159"/>
    </row>
    <row r="263" spans="2:6">
      <c r="B263" s="178" t="s">
        <v>2441</v>
      </c>
      <c r="C263" s="595"/>
      <c r="D263" s="1159"/>
      <c r="E263" s="2073"/>
      <c r="F263" s="1159"/>
    </row>
    <row r="264" spans="2:6">
      <c r="B264" s="1949" t="s">
        <v>1868</v>
      </c>
      <c r="C264" s="2064">
        <v>0</v>
      </c>
      <c r="D264" s="1159"/>
      <c r="E264" s="2073"/>
      <c r="F264" s="1159"/>
    </row>
    <row r="265" spans="2:6">
      <c r="B265" s="1949" t="s">
        <v>38</v>
      </c>
      <c r="C265" s="2064">
        <v>0.56993514106015719</v>
      </c>
      <c r="D265" s="1159"/>
      <c r="E265" s="2073"/>
      <c r="F265" s="1159"/>
    </row>
    <row r="266" spans="2:6">
      <c r="B266" s="1949" t="s">
        <v>1869</v>
      </c>
      <c r="C266" s="2064">
        <v>0.13226034866209863</v>
      </c>
      <c r="D266" s="1159"/>
      <c r="E266" s="2073"/>
      <c r="F266" s="1159"/>
    </row>
    <row r="267" spans="2:6">
      <c r="B267" s="1949" t="s">
        <v>2406</v>
      </c>
      <c r="C267" s="2064">
        <v>9.04439577841267E-2</v>
      </c>
      <c r="D267" s="1159"/>
      <c r="E267" s="2073"/>
      <c r="F267" s="1159"/>
    </row>
    <row r="268" spans="2:6">
      <c r="B268" s="1949" t="s">
        <v>2405</v>
      </c>
      <c r="C268" s="2064">
        <v>1.8119162337442308E-3</v>
      </c>
      <c r="D268" s="1159"/>
      <c r="E268" s="2073"/>
      <c r="F268" s="1159"/>
    </row>
    <row r="269" spans="2:6">
      <c r="B269" s="1949" t="s">
        <v>61</v>
      </c>
      <c r="C269" s="2064">
        <v>0.18976589222383813</v>
      </c>
      <c r="D269" s="1159"/>
      <c r="E269" s="2073"/>
      <c r="F269" s="1159"/>
    </row>
    <row r="270" spans="2:6">
      <c r="B270" s="1949" t="s">
        <v>60</v>
      </c>
      <c r="C270" s="2064">
        <v>3.8145604920931185E-5</v>
      </c>
      <c r="D270" s="1159"/>
      <c r="E270" s="2073"/>
      <c r="F270" s="1159"/>
    </row>
    <row r="271" spans="2:6">
      <c r="B271" s="1949" t="s">
        <v>2420</v>
      </c>
      <c r="C271" s="2064">
        <v>1.573506202988411E-2</v>
      </c>
      <c r="D271" s="1159"/>
      <c r="E271" s="2073"/>
      <c r="F271" s="1159"/>
    </row>
    <row r="272" spans="2:6">
      <c r="B272" s="1949" t="s">
        <v>2426</v>
      </c>
      <c r="C272" s="2064">
        <v>0</v>
      </c>
      <c r="D272" s="1159"/>
      <c r="E272" s="2073"/>
      <c r="F272" s="1159"/>
    </row>
    <row r="273" spans="1:6">
      <c r="B273" s="1950" t="s">
        <v>2442</v>
      </c>
      <c r="C273" s="2065">
        <v>9.5364012302327963E-6</v>
      </c>
      <c r="D273" s="1159"/>
      <c r="E273" s="2073"/>
      <c r="F273" s="1159"/>
    </row>
    <row r="274" spans="1:6">
      <c r="B274" s="487" t="s">
        <v>2393</v>
      </c>
      <c r="C274" s="595"/>
      <c r="D274" s="1159"/>
      <c r="E274" s="2073"/>
      <c r="F274" s="1159"/>
    </row>
    <row r="275" spans="1:6">
      <c r="B275" s="1947" t="s">
        <v>38</v>
      </c>
      <c r="C275" s="2064">
        <v>0.68911868540139509</v>
      </c>
      <c r="D275" s="1159"/>
      <c r="E275" s="2073"/>
      <c r="F275" s="1159"/>
    </row>
    <row r="276" spans="1:6">
      <c r="B276" s="1947" t="s">
        <v>1868</v>
      </c>
      <c r="C276" s="2064">
        <v>4.7938781670560822E-3</v>
      </c>
      <c r="D276" s="1159"/>
      <c r="E276" s="2073"/>
      <c r="F276" s="1159"/>
    </row>
    <row r="277" spans="1:6">
      <c r="B277" s="1947" t="s">
        <v>2405</v>
      </c>
      <c r="C277" s="2064">
        <v>6.4541693052918181E-2</v>
      </c>
      <c r="D277" s="1159"/>
      <c r="E277" s="2073"/>
      <c r="F277" s="1159"/>
    </row>
    <row r="278" spans="1:6">
      <c r="B278" s="1947" t="s">
        <v>61</v>
      </c>
      <c r="C278" s="2064">
        <v>4.7072379660225934E-2</v>
      </c>
      <c r="D278" s="1159"/>
      <c r="E278" s="2073"/>
      <c r="F278" s="1159"/>
    </row>
    <row r="279" spans="1:6">
      <c r="B279" s="1947" t="s">
        <v>60</v>
      </c>
      <c r="C279" s="2064">
        <v>1.1873744615748043E-2</v>
      </c>
      <c r="D279" s="1159"/>
      <c r="E279" s="2073"/>
      <c r="F279" s="1159"/>
    </row>
    <row r="280" spans="1:6">
      <c r="B280" s="1947" t="s">
        <v>52</v>
      </c>
      <c r="C280" s="2064">
        <v>1.6680832475197326E-2</v>
      </c>
      <c r="D280" s="1159"/>
      <c r="E280" s="2073"/>
      <c r="F280" s="1159"/>
    </row>
    <row r="281" spans="1:6">
      <c r="B281" s="1947" t="s">
        <v>2424</v>
      </c>
      <c r="C281" s="2064">
        <v>7.9631642886098257E-4</v>
      </c>
      <c r="D281" s="1159"/>
      <c r="E281" s="2073"/>
      <c r="F281" s="1159"/>
    </row>
    <row r="282" spans="1:6">
      <c r="B282" s="1948" t="s">
        <v>2407</v>
      </c>
      <c r="C282" s="2065">
        <v>0.16512247019859838</v>
      </c>
      <c r="D282" s="1159"/>
      <c r="E282" s="2073"/>
      <c r="F282" s="1159"/>
    </row>
    <row r="284" spans="1:6" ht="15">
      <c r="A284" s="120" t="s">
        <v>2497</v>
      </c>
    </row>
    <row r="285" spans="1:6">
      <c r="A285" s="313" t="s">
        <v>2498</v>
      </c>
    </row>
    <row r="286" spans="1:6">
      <c r="B286" s="1892"/>
      <c r="C286" s="1893" t="s">
        <v>203</v>
      </c>
      <c r="D286" s="1894" t="s">
        <v>194</v>
      </c>
      <c r="E286" s="1894" t="s">
        <v>167</v>
      </c>
      <c r="F286" s="1895" t="s">
        <v>198</v>
      </c>
    </row>
    <row r="287" spans="1:6">
      <c r="B287" s="178" t="s">
        <v>2359</v>
      </c>
      <c r="C287" s="80"/>
      <c r="D287" s="131"/>
      <c r="E287" s="131"/>
      <c r="F287" s="50"/>
    </row>
    <row r="288" spans="1:6">
      <c r="B288" s="1949" t="s">
        <v>38</v>
      </c>
      <c r="C288" s="2066">
        <v>0.83556452868251585</v>
      </c>
      <c r="D288" s="1119">
        <v>0.83556452868251585</v>
      </c>
      <c r="E288" s="1119">
        <v>0.83556452868251585</v>
      </c>
      <c r="F288" s="1190">
        <v>0.83556452868251585</v>
      </c>
    </row>
    <row r="289" spans="1:8">
      <c r="B289" s="1949" t="s">
        <v>61</v>
      </c>
      <c r="C289" s="2066">
        <v>0.29841590310089849</v>
      </c>
      <c r="D289" s="1119">
        <v>0.29841590310089849</v>
      </c>
      <c r="E289" s="1119">
        <v>0.29841590310089849</v>
      </c>
      <c r="F289" s="1190">
        <v>0.29841590310089849</v>
      </c>
    </row>
    <row r="290" spans="1:8">
      <c r="B290" s="1950" t="s">
        <v>60</v>
      </c>
      <c r="C290" s="2067">
        <v>5.9683180620179702E-2</v>
      </c>
      <c r="D290" s="1120">
        <v>5.9683180620179702E-2</v>
      </c>
      <c r="E290" s="1120">
        <v>5.9683180620179702E-2</v>
      </c>
      <c r="F290" s="1191">
        <v>5.9683180620179702E-2</v>
      </c>
    </row>
    <row r="291" spans="1:8">
      <c r="B291" s="1953" t="s">
        <v>2360</v>
      </c>
      <c r="C291" s="80"/>
      <c r="D291" s="131"/>
      <c r="E291" s="131"/>
      <c r="F291" s="50"/>
    </row>
    <row r="292" spans="1:8">
      <c r="B292" s="1949" t="s">
        <v>38</v>
      </c>
      <c r="C292" s="2066">
        <v>3.2546205544768121</v>
      </c>
      <c r="D292" s="1119">
        <v>3.2546205544768121</v>
      </c>
      <c r="E292" s="1119">
        <v>0</v>
      </c>
      <c r="F292" s="1190">
        <v>0</v>
      </c>
    </row>
    <row r="293" spans="1:8">
      <c r="B293" s="1949" t="s">
        <v>2421</v>
      </c>
      <c r="C293" s="2066">
        <v>0.18081225302648957</v>
      </c>
      <c r="D293" s="1119">
        <v>0.18081225302648957</v>
      </c>
      <c r="E293" s="1119">
        <v>0</v>
      </c>
      <c r="F293" s="1190">
        <v>0</v>
      </c>
    </row>
    <row r="294" spans="1:8">
      <c r="B294" s="1950" t="s">
        <v>61</v>
      </c>
      <c r="C294" s="2067">
        <v>0.18081225302648957</v>
      </c>
      <c r="D294" s="1120">
        <v>0.18081225302648957</v>
      </c>
      <c r="E294" s="1120">
        <v>0</v>
      </c>
      <c r="F294" s="1191">
        <v>0</v>
      </c>
    </row>
    <row r="296" spans="1:8">
      <c r="A296" s="313" t="s">
        <v>2499</v>
      </c>
    </row>
    <row r="297" spans="1:8">
      <c r="B297" s="1892"/>
      <c r="C297" s="1926" t="s">
        <v>203</v>
      </c>
      <c r="D297" s="1927" t="s">
        <v>194</v>
      </c>
      <c r="E297" s="1927" t="s">
        <v>167</v>
      </c>
      <c r="F297" s="1928" t="s">
        <v>198</v>
      </c>
    </row>
    <row r="298" spans="1:8">
      <c r="B298" s="178" t="s">
        <v>2359</v>
      </c>
      <c r="C298" s="80"/>
      <c r="D298" s="131"/>
      <c r="E298" s="131"/>
      <c r="F298" s="50"/>
    </row>
    <row r="299" spans="1:8">
      <c r="B299" s="1949" t="s">
        <v>38</v>
      </c>
      <c r="C299" s="1021">
        <f xml:space="preserve"> C288/SUM(C$288:C$290)</f>
        <v>0.70000000000000007</v>
      </c>
      <c r="D299" s="302">
        <f t="shared" ref="D299:F299" si="2" xml:space="preserve"> D288/SUM(D$288:D$290)</f>
        <v>0.70000000000000007</v>
      </c>
      <c r="E299" s="302">
        <f t="shared" si="2"/>
        <v>0.70000000000000007</v>
      </c>
      <c r="F299" s="593">
        <f t="shared" si="2"/>
        <v>0.70000000000000007</v>
      </c>
      <c r="H299" s="2068"/>
    </row>
    <row r="300" spans="1:8">
      <c r="B300" s="1949" t="s">
        <v>61</v>
      </c>
      <c r="C300" s="1021">
        <f t="shared" ref="C300:F301" si="3" xml:space="preserve"> C289/SUM(C$288:C$290)</f>
        <v>0.25</v>
      </c>
      <c r="D300" s="302">
        <f t="shared" si="3"/>
        <v>0.25</v>
      </c>
      <c r="E300" s="302">
        <f t="shared" si="3"/>
        <v>0.25</v>
      </c>
      <c r="F300" s="593">
        <f t="shared" si="3"/>
        <v>0.25</v>
      </c>
      <c r="H300" s="2068"/>
    </row>
    <row r="301" spans="1:8">
      <c r="B301" s="1950" t="s">
        <v>60</v>
      </c>
      <c r="C301" s="1021">
        <f t="shared" si="3"/>
        <v>0.05</v>
      </c>
      <c r="D301" s="302">
        <f t="shared" si="3"/>
        <v>0.05</v>
      </c>
      <c r="E301" s="302">
        <f t="shared" si="3"/>
        <v>0.05</v>
      </c>
      <c r="F301" s="593">
        <f t="shared" si="3"/>
        <v>0.05</v>
      </c>
      <c r="H301" s="2068"/>
    </row>
    <row r="302" spans="1:8">
      <c r="B302" s="1953" t="s">
        <v>2360</v>
      </c>
      <c r="C302" s="80"/>
      <c r="D302" s="131"/>
      <c r="E302" s="131"/>
      <c r="F302" s="50"/>
    </row>
    <row r="303" spans="1:8">
      <c r="B303" s="1949" t="s">
        <v>38</v>
      </c>
      <c r="C303" s="1021">
        <f xml:space="preserve"> C292/SUM(C$292:C$294)</f>
        <v>0.9</v>
      </c>
      <c r="D303" s="302">
        <f t="shared" ref="D303" si="4" xml:space="preserve"> D292/SUM(D$292:D$294)</f>
        <v>0.9</v>
      </c>
      <c r="E303" s="302">
        <f xml:space="preserve"> IF(SUM(E$292:E$294)=0,0%,E292/SUM(E$292:E$294))</f>
        <v>0</v>
      </c>
      <c r="F303" s="593">
        <f xml:space="preserve"> IF(SUM(F$292:F$294)=0,0%,F292/SUM(F$292:F$294))</f>
        <v>0</v>
      </c>
      <c r="H303" s="2068"/>
    </row>
    <row r="304" spans="1:8">
      <c r="B304" s="1949" t="s">
        <v>2421</v>
      </c>
      <c r="C304" s="1021">
        <f t="shared" ref="C304:D305" si="5" xml:space="preserve"> C293/SUM(C$292:C$294)</f>
        <v>0.05</v>
      </c>
      <c r="D304" s="302">
        <f t="shared" si="5"/>
        <v>0.05</v>
      </c>
      <c r="E304" s="302">
        <f t="shared" ref="E304:F305" si="6" xml:space="preserve"> IF(SUM(E$292:E$294)=0,0%,E293/SUM(E$292:E$294))</f>
        <v>0</v>
      </c>
      <c r="F304" s="593">
        <f t="shared" si="6"/>
        <v>0</v>
      </c>
      <c r="H304" s="2068"/>
    </row>
    <row r="305" spans="1:14">
      <c r="B305" s="1950" t="s">
        <v>61</v>
      </c>
      <c r="C305" s="1019">
        <f t="shared" si="5"/>
        <v>0.05</v>
      </c>
      <c r="D305" s="1020">
        <f t="shared" si="5"/>
        <v>0.05</v>
      </c>
      <c r="E305" s="1020">
        <f t="shared" si="6"/>
        <v>0</v>
      </c>
      <c r="F305" s="210">
        <f t="shared" si="6"/>
        <v>0</v>
      </c>
      <c r="H305" s="2068"/>
    </row>
    <row r="307" spans="1:14">
      <c r="A307" s="313" t="s">
        <v>2500</v>
      </c>
    </row>
    <row r="308" spans="1:14">
      <c r="B308" s="1892"/>
      <c r="C308" s="1926" t="s">
        <v>203</v>
      </c>
      <c r="D308" s="1927" t="s">
        <v>194</v>
      </c>
      <c r="E308" s="1927" t="s">
        <v>167</v>
      </c>
      <c r="F308" s="1928" t="s">
        <v>198</v>
      </c>
    </row>
    <row r="309" spans="1:14">
      <c r="B309" s="80" t="s">
        <v>2359</v>
      </c>
      <c r="C309" s="2074">
        <v>15</v>
      </c>
      <c r="D309" s="2075">
        <v>15</v>
      </c>
      <c r="E309" s="2075">
        <v>15</v>
      </c>
      <c r="F309" s="2076">
        <v>15</v>
      </c>
    </row>
    <row r="310" spans="1:14">
      <c r="B310" s="174" t="s">
        <v>2360</v>
      </c>
      <c r="C310" s="1762">
        <v>19</v>
      </c>
      <c r="D310" s="2077">
        <v>19</v>
      </c>
      <c r="E310" s="2077">
        <v>0</v>
      </c>
      <c r="F310" s="2078">
        <v>0</v>
      </c>
    </row>
    <row r="312" spans="1:14">
      <c r="A312" s="172" t="s">
        <v>2501</v>
      </c>
    </row>
    <row r="313" spans="1:14">
      <c r="A313" s="172"/>
      <c r="B313" s="3143"/>
      <c r="C313" s="3161" t="s">
        <v>194</v>
      </c>
      <c r="D313" s="3162"/>
      <c r="E313" s="3162"/>
      <c r="F313" s="3163"/>
      <c r="G313" s="3161" t="s">
        <v>167</v>
      </c>
      <c r="H313" s="3162"/>
      <c r="I313" s="3162"/>
      <c r="J313" s="3163"/>
      <c r="K313" s="3161" t="s">
        <v>198</v>
      </c>
      <c r="L313" s="3162"/>
      <c r="M313" s="3162"/>
      <c r="N313" s="3163"/>
    </row>
    <row r="314" spans="1:14">
      <c r="B314" s="3149"/>
      <c r="C314" s="1861" t="s">
        <v>222</v>
      </c>
      <c r="D314" s="1862" t="s">
        <v>221</v>
      </c>
      <c r="E314" s="1862" t="s">
        <v>226</v>
      </c>
      <c r="F314" s="1863" t="s">
        <v>213</v>
      </c>
      <c r="G314" s="1861" t="s">
        <v>222</v>
      </c>
      <c r="H314" s="1862" t="s">
        <v>221</v>
      </c>
      <c r="I314" s="1862" t="s">
        <v>226</v>
      </c>
      <c r="J314" s="1863" t="s">
        <v>213</v>
      </c>
      <c r="K314" s="1861" t="s">
        <v>222</v>
      </c>
      <c r="L314" s="1862" t="s">
        <v>221</v>
      </c>
      <c r="M314" s="1862" t="s">
        <v>226</v>
      </c>
      <c r="N314" s="1863" t="s">
        <v>213</v>
      </c>
    </row>
    <row r="315" spans="1:14">
      <c r="B315" s="173" t="s">
        <v>309</v>
      </c>
      <c r="C315" s="2069">
        <v>0.12539498214770628</v>
      </c>
      <c r="D315" s="1964">
        <v>0.13329105558473284</v>
      </c>
      <c r="E315" s="1964">
        <v>0.14647432217236608</v>
      </c>
      <c r="F315" s="1276">
        <v>0.14932336930867415</v>
      </c>
      <c r="G315" s="2069">
        <v>0.26175304284942186</v>
      </c>
      <c r="H315" s="1964">
        <v>0.29102799670954643</v>
      </c>
      <c r="I315" s="1964">
        <v>0.31253400909034634</v>
      </c>
      <c r="J315" s="1276">
        <v>0</v>
      </c>
      <c r="K315" s="2069">
        <v>0.13680533209984694</v>
      </c>
      <c r="L315" s="1964">
        <v>0.1543358672596378</v>
      </c>
      <c r="M315" s="1964">
        <v>0.16893028348022363</v>
      </c>
      <c r="N315" s="1276">
        <v>0.17216033526681218</v>
      </c>
    </row>
    <row r="316" spans="1:14">
      <c r="B316" s="173" t="s">
        <v>310</v>
      </c>
      <c r="C316" s="1472">
        <v>9.1841363833336867E-2</v>
      </c>
      <c r="D316" s="1014">
        <v>8.3059555087096962E-2</v>
      </c>
      <c r="E316" s="1014">
        <v>8.1782689082045085E-2</v>
      </c>
      <c r="F316" s="1015">
        <v>8.0308469868178967E-2</v>
      </c>
      <c r="G316" s="1472">
        <v>0.18182262749845182</v>
      </c>
      <c r="H316" s="1014">
        <v>0.17236904182117993</v>
      </c>
      <c r="I316" s="1014">
        <v>0.16607163433336716</v>
      </c>
      <c r="J316" s="1015">
        <v>0</v>
      </c>
      <c r="K316" s="1472">
        <v>9.8889957363785697E-2</v>
      </c>
      <c r="L316" s="1014">
        <v>9.4939450428697683E-2</v>
      </c>
      <c r="M316" s="1014">
        <v>9.309583756529051E-2</v>
      </c>
      <c r="N316" s="1015">
        <v>9.1445098684852802E-2</v>
      </c>
    </row>
    <row r="317" spans="1:14">
      <c r="B317" s="173" t="s">
        <v>273</v>
      </c>
      <c r="C317" s="1472">
        <v>0</v>
      </c>
      <c r="D317" s="1014">
        <v>0</v>
      </c>
      <c r="E317" s="1014">
        <v>0</v>
      </c>
      <c r="F317" s="1015">
        <v>0</v>
      </c>
      <c r="G317" s="1472">
        <v>0</v>
      </c>
      <c r="H317" s="1014">
        <v>0</v>
      </c>
      <c r="I317" s="1014">
        <v>0</v>
      </c>
      <c r="J317" s="1015">
        <v>0</v>
      </c>
      <c r="K317" s="1472">
        <v>0</v>
      </c>
      <c r="L317" s="1014">
        <v>0</v>
      </c>
      <c r="M317" s="1014">
        <v>0</v>
      </c>
      <c r="N317" s="1015">
        <v>0</v>
      </c>
    </row>
    <row r="318" spans="1:14">
      <c r="B318" s="173" t="s">
        <v>311</v>
      </c>
      <c r="C318" s="1472">
        <v>4.4333948159368999E-3</v>
      </c>
      <c r="D318" s="1014">
        <v>4.4153185851393837E-3</v>
      </c>
      <c r="E318" s="1014">
        <v>4.6583063521296979E-3</v>
      </c>
      <c r="F318" s="1015">
        <v>4.6863640648337375E-3</v>
      </c>
      <c r="G318" s="1472">
        <v>9.0525647009769804E-3</v>
      </c>
      <c r="H318" s="1014">
        <v>9.4570824189944263E-3</v>
      </c>
      <c r="I318" s="1014">
        <v>9.7674621106879616E-3</v>
      </c>
      <c r="J318" s="1015">
        <v>0</v>
      </c>
      <c r="K318" s="1472">
        <v>4.8101079482373438E-3</v>
      </c>
      <c r="L318" s="1014">
        <v>5.0872513813946018E-3</v>
      </c>
      <c r="M318" s="1014">
        <v>5.3474718580715942E-3</v>
      </c>
      <c r="N318" s="1015">
        <v>5.3797027337074473E-3</v>
      </c>
    </row>
    <row r="319" spans="1:14">
      <c r="B319" s="173" t="s">
        <v>275</v>
      </c>
      <c r="C319" s="1472">
        <v>0.27007360127132835</v>
      </c>
      <c r="D319" s="1014">
        <v>0.25134218654311569</v>
      </c>
      <c r="E319" s="1014">
        <v>0.24614262612933757</v>
      </c>
      <c r="F319" s="1015">
        <v>0.2470847810327145</v>
      </c>
      <c r="G319" s="1472">
        <v>0.17114338068275581</v>
      </c>
      <c r="H319" s="1014">
        <v>0.16210473630430308</v>
      </c>
      <c r="I319" s="1014">
        <v>0.15575275888493628</v>
      </c>
      <c r="J319" s="1015">
        <v>0</v>
      </c>
      <c r="K319" s="1472">
        <v>0.2616906573878911</v>
      </c>
      <c r="L319" s="1014">
        <v>0.25703333899915104</v>
      </c>
      <c r="M319" s="1014">
        <v>0.25167284814193952</v>
      </c>
      <c r="N319" s="1015">
        <v>0.25149952952990473</v>
      </c>
    </row>
    <row r="320" spans="1:14">
      <c r="B320" s="173" t="s">
        <v>252</v>
      </c>
      <c r="C320" s="1472">
        <v>0.24376171756693474</v>
      </c>
      <c r="D320" s="1014">
        <v>0.28176932826061146</v>
      </c>
      <c r="E320" s="1014">
        <v>0.27771423236317294</v>
      </c>
      <c r="F320" s="1015">
        <v>0.27708744035334315</v>
      </c>
      <c r="G320" s="1472">
        <v>0.22908277193588472</v>
      </c>
      <c r="H320" s="1014">
        <v>0.22081529523374699</v>
      </c>
      <c r="I320" s="1014">
        <v>0.21381068082882876</v>
      </c>
      <c r="J320" s="1015">
        <v>0</v>
      </c>
      <c r="K320" s="1472">
        <v>0.26805257002594429</v>
      </c>
      <c r="L320" s="1014">
        <v>0.26332677049172515</v>
      </c>
      <c r="M320" s="1014">
        <v>0.25871440344774049</v>
      </c>
      <c r="N320" s="1015">
        <v>0.25832377978674781</v>
      </c>
    </row>
    <row r="321" spans="2:14">
      <c r="B321" s="173" t="s">
        <v>253</v>
      </c>
      <c r="C321" s="1472">
        <v>0</v>
      </c>
      <c r="D321" s="1014">
        <v>0</v>
      </c>
      <c r="E321" s="1014">
        <v>0</v>
      </c>
      <c r="F321" s="1015">
        <v>0</v>
      </c>
      <c r="G321" s="1472">
        <v>0</v>
      </c>
      <c r="H321" s="1014">
        <v>0</v>
      </c>
      <c r="I321" s="1014">
        <v>0</v>
      </c>
      <c r="J321" s="1015">
        <v>0</v>
      </c>
      <c r="K321" s="1472">
        <v>0</v>
      </c>
      <c r="L321" s="1014">
        <v>0</v>
      </c>
      <c r="M321" s="1014">
        <v>0</v>
      </c>
      <c r="N321" s="1015">
        <v>0</v>
      </c>
    </row>
    <row r="322" spans="2:14">
      <c r="B322" s="173" t="s">
        <v>312</v>
      </c>
      <c r="C322" s="1472">
        <v>1.0331901848070585E-2</v>
      </c>
      <c r="D322" s="1014">
        <v>9.9372699200704212E-3</v>
      </c>
      <c r="E322" s="1014">
        <v>1.0114500173011473E-2</v>
      </c>
      <c r="F322" s="1015">
        <v>1.0170853178703242E-2</v>
      </c>
      <c r="G322" s="1472">
        <v>1.3164824415799928E-2</v>
      </c>
      <c r="H322" s="1014">
        <v>1.3103558967079687E-2</v>
      </c>
      <c r="I322" s="1014">
        <v>1.3090993533356998E-2</v>
      </c>
      <c r="J322" s="1015">
        <v>0</v>
      </c>
      <c r="K322" s="1472">
        <v>1.0818754539345308E-2</v>
      </c>
      <c r="L322" s="1014">
        <v>1.1023768161865155E-2</v>
      </c>
      <c r="M322" s="1014">
        <v>1.122790611516053E-2</v>
      </c>
      <c r="N322" s="1015">
        <v>1.1254248345593403E-2</v>
      </c>
    </row>
    <row r="323" spans="2:14">
      <c r="B323" s="173" t="s">
        <v>313</v>
      </c>
      <c r="C323" s="1472">
        <v>2.8841823171848927E-2</v>
      </c>
      <c r="D323" s="1014">
        <v>2.7740195954254716E-2</v>
      </c>
      <c r="E323" s="1014">
        <v>2.8234939680162482E-2</v>
      </c>
      <c r="F323" s="1015">
        <v>2.8392250836352741E-2</v>
      </c>
      <c r="G323" s="1472">
        <v>3.6750014031525752E-2</v>
      </c>
      <c r="H323" s="1014">
        <v>3.6578989638871157E-2</v>
      </c>
      <c r="I323" s="1014">
        <v>3.654391284247524E-2</v>
      </c>
      <c r="J323" s="1015">
        <v>0</v>
      </c>
      <c r="K323" s="1472">
        <v>3.0200887498917278E-2</v>
      </c>
      <c r="L323" s="1014">
        <v>3.0773189359260815E-2</v>
      </c>
      <c r="M323" s="1014">
        <v>3.134304676191392E-2</v>
      </c>
      <c r="N323" s="1015">
        <v>3.1416581911905578E-2</v>
      </c>
    </row>
    <row r="324" spans="2:14">
      <c r="B324" s="173" t="s">
        <v>314</v>
      </c>
      <c r="C324" s="1472">
        <v>2.8841823171848927E-2</v>
      </c>
      <c r="D324" s="1014">
        <v>2.7740195954254716E-2</v>
      </c>
      <c r="E324" s="1014">
        <v>2.8234939680162482E-2</v>
      </c>
      <c r="F324" s="1015">
        <v>2.8392250836352741E-2</v>
      </c>
      <c r="G324" s="1472">
        <v>3.6750014031525752E-2</v>
      </c>
      <c r="H324" s="1014">
        <v>3.6578989638871157E-2</v>
      </c>
      <c r="I324" s="1014">
        <v>3.654391284247524E-2</v>
      </c>
      <c r="J324" s="1015">
        <v>0</v>
      </c>
      <c r="K324" s="1472">
        <v>3.0200887498917278E-2</v>
      </c>
      <c r="L324" s="1014">
        <v>3.0773189359260815E-2</v>
      </c>
      <c r="M324" s="1014">
        <v>3.134304676191392E-2</v>
      </c>
      <c r="N324" s="1015">
        <v>3.1416581911905578E-2</v>
      </c>
    </row>
    <row r="325" spans="2:14">
      <c r="B325" s="173" t="s">
        <v>297</v>
      </c>
      <c r="C325" s="1472">
        <v>1.222588486705003E-2</v>
      </c>
      <c r="D325" s="1014">
        <v>1.1547586843580268E-2</v>
      </c>
      <c r="E325" s="1014">
        <v>1.1258678993084376E-2</v>
      </c>
      <c r="F325" s="1015">
        <v>1.1476358610596451E-2</v>
      </c>
      <c r="G325" s="1472">
        <v>1.449422178901595E-2</v>
      </c>
      <c r="H325" s="1014">
        <v>1.3689666300709079E-2</v>
      </c>
      <c r="I325" s="1014">
        <v>1.313948102869247E-2</v>
      </c>
      <c r="J325" s="1015">
        <v>0</v>
      </c>
      <c r="K325" s="1472">
        <v>1.1650846205231585E-2</v>
      </c>
      <c r="L325" s="1014">
        <v>1.1566997037508641E-2</v>
      </c>
      <c r="M325" s="1014">
        <v>1.1358738017512941E-2</v>
      </c>
      <c r="N325" s="1015">
        <v>1.1458247979718847E-2</v>
      </c>
    </row>
    <row r="326" spans="2:14">
      <c r="B326" s="173" t="s">
        <v>315</v>
      </c>
      <c r="C326" s="1472">
        <v>5.9526172834739365E-3</v>
      </c>
      <c r="D326" s="1014">
        <v>5.4868942998832345E-3</v>
      </c>
      <c r="E326" s="1014">
        <v>5.3234245861779805E-3</v>
      </c>
      <c r="F326" s="1015">
        <v>5.3364106116874782E-3</v>
      </c>
      <c r="G326" s="1472">
        <v>4.265833729571655E-3</v>
      </c>
      <c r="H326" s="1014">
        <v>4.0171214732241563E-3</v>
      </c>
      <c r="I326" s="1014">
        <v>3.8356990312061311E-3</v>
      </c>
      <c r="J326" s="1015">
        <v>0</v>
      </c>
      <c r="K326" s="1472">
        <v>5.0812331619644793E-3</v>
      </c>
      <c r="L326" s="1014">
        <v>4.9321810855090546E-3</v>
      </c>
      <c r="M326" s="1014">
        <v>4.774347118495198E-3</v>
      </c>
      <c r="N326" s="1015">
        <v>4.787682034957455E-3</v>
      </c>
    </row>
    <row r="327" spans="2:14">
      <c r="B327" s="173" t="s">
        <v>316</v>
      </c>
      <c r="C327" s="1472">
        <v>3.0768503358005171E-3</v>
      </c>
      <c r="D327" s="1014">
        <v>2.898100657193248E-3</v>
      </c>
      <c r="E327" s="1014">
        <v>2.8835223854839723E-3</v>
      </c>
      <c r="F327" s="1015">
        <v>2.8799754895520711E-3</v>
      </c>
      <c r="G327" s="1472">
        <v>2.1242818901824174E-3</v>
      </c>
      <c r="H327" s="1014">
        <v>2.093597091408275E-3</v>
      </c>
      <c r="I327" s="1014">
        <v>2.0583760166372604E-3</v>
      </c>
      <c r="J327" s="1015">
        <v>0</v>
      </c>
      <c r="K327" s="1472">
        <v>2.8858784182175996E-3</v>
      </c>
      <c r="L327" s="1014">
        <v>2.8947041022297088E-3</v>
      </c>
      <c r="M327" s="1014">
        <v>2.8911627231152817E-3</v>
      </c>
      <c r="N327" s="1015">
        <v>2.8728447091879981E-3</v>
      </c>
    </row>
    <row r="328" spans="2:14">
      <c r="B328" s="173" t="s">
        <v>251</v>
      </c>
      <c r="C328" s="1472">
        <v>6.755386840039305E-3</v>
      </c>
      <c r="D328" s="1014">
        <v>6.3592803689970553E-3</v>
      </c>
      <c r="E328" s="1014">
        <v>6.3227478966226477E-3</v>
      </c>
      <c r="F328" s="1015">
        <v>6.3078967300302068E-3</v>
      </c>
      <c r="G328" s="1472">
        <v>5.8584048285694064E-4</v>
      </c>
      <c r="H328" s="1014">
        <v>5.8184225659117762E-4</v>
      </c>
      <c r="I328" s="1014">
        <v>5.7516262215733395E-4</v>
      </c>
      <c r="J328" s="1015">
        <v>0</v>
      </c>
      <c r="K328" s="1472">
        <v>6.2619954605324796E-3</v>
      </c>
      <c r="L328" s="1014">
        <v>6.3071007124531012E-3</v>
      </c>
      <c r="M328" s="1014">
        <v>6.3221670717704924E-3</v>
      </c>
      <c r="N328" s="1015">
        <v>6.2577957722359245E-3</v>
      </c>
    </row>
    <row r="329" spans="2:14">
      <c r="B329" s="173" t="s">
        <v>317</v>
      </c>
      <c r="C329" s="1472">
        <v>1.704736458669252E-2</v>
      </c>
      <c r="D329" s="1014">
        <v>1.7326329153612822E-2</v>
      </c>
      <c r="E329" s="1014">
        <v>1.6971451788174371E-2</v>
      </c>
      <c r="F329" s="1015">
        <v>1.6826163779238675E-2</v>
      </c>
      <c r="G329" s="1472">
        <v>5.9165748993417182E-3</v>
      </c>
      <c r="H329" s="1014">
        <v>5.6616466796733898E-3</v>
      </c>
      <c r="I329" s="1014">
        <v>5.4597245728623773E-3</v>
      </c>
      <c r="J329" s="1015">
        <v>0</v>
      </c>
      <c r="K329" s="1472">
        <v>1.796134937111454E-2</v>
      </c>
      <c r="L329" s="1014">
        <v>1.7463593693479953E-2</v>
      </c>
      <c r="M329" s="1014">
        <v>1.7020383282195937E-2</v>
      </c>
      <c r="N329" s="1015">
        <v>1.6889284737242261E-2</v>
      </c>
    </row>
    <row r="330" spans="2:14">
      <c r="B330" s="173" t="s">
        <v>318</v>
      </c>
      <c r="C330" s="1472">
        <v>9.6260447467997334E-2</v>
      </c>
      <c r="D330" s="1014">
        <v>8.7309894175117628E-2</v>
      </c>
      <c r="E330" s="1014">
        <v>8.6135262449855504E-2</v>
      </c>
      <c r="F330" s="1015">
        <v>8.4718447548900733E-2</v>
      </c>
      <c r="G330" s="1472">
        <v>3.1155450853231386E-2</v>
      </c>
      <c r="H330" s="1014">
        <v>3.0090867934732344E-2</v>
      </c>
      <c r="I330" s="1014">
        <v>2.910115483246322E-2</v>
      </c>
      <c r="J330" s="1015">
        <v>0</v>
      </c>
      <c r="K330" s="1472">
        <v>7.2575627532947676E-2</v>
      </c>
      <c r="L330" s="1014">
        <v>6.9209877666762551E-2</v>
      </c>
      <c r="M330" s="1014">
        <v>6.7421273854522623E-2</v>
      </c>
      <c r="N330" s="1015">
        <v>6.6910977795865662E-2</v>
      </c>
    </row>
    <row r="331" spans="2:14">
      <c r="B331" s="174" t="s">
        <v>319</v>
      </c>
      <c r="C331" s="1473">
        <v>5.5160840791934819E-2</v>
      </c>
      <c r="D331" s="1016">
        <v>4.977680861233981E-2</v>
      </c>
      <c r="E331" s="1016">
        <v>4.7748356268213318E-2</v>
      </c>
      <c r="F331" s="1017">
        <v>4.7008967750841013E-2</v>
      </c>
      <c r="G331" s="1473">
        <v>1.9385562094570805E-3</v>
      </c>
      <c r="H331" s="1016">
        <v>1.8295675310686867E-3</v>
      </c>
      <c r="I331" s="1016">
        <v>1.7150374295072698E-3</v>
      </c>
      <c r="J331" s="1017">
        <v>0</v>
      </c>
      <c r="K331" s="1473">
        <v>4.2113915487106468E-2</v>
      </c>
      <c r="L331" s="1016">
        <v>4.0332720261063923E-2</v>
      </c>
      <c r="M331" s="1016">
        <v>3.8537083800133522E-2</v>
      </c>
      <c r="N331" s="1017">
        <v>3.7927308799362361E-2</v>
      </c>
    </row>
    <row r="333" spans="2:14">
      <c r="C333" s="2070"/>
      <c r="D333" s="2070"/>
      <c r="E333" s="2070"/>
      <c r="F333" s="2070"/>
      <c r="G333" s="2070"/>
      <c r="H333" s="2070"/>
      <c r="I333" s="2070"/>
      <c r="J333" s="2070"/>
      <c r="K333" s="2070"/>
      <c r="L333" s="2070"/>
      <c r="M333" s="2070"/>
      <c r="N333" s="2070"/>
    </row>
    <row r="334" spans="2:14">
      <c r="C334" s="2070"/>
      <c r="D334" s="2070"/>
      <c r="E334" s="2070"/>
      <c r="F334" s="2070"/>
      <c r="G334" s="2070"/>
      <c r="H334" s="2070"/>
      <c r="I334" s="2070"/>
      <c r="J334" s="2070"/>
      <c r="K334" s="2070"/>
      <c r="L334" s="2070"/>
      <c r="M334" s="2070"/>
      <c r="N334" s="2070"/>
    </row>
    <row r="335" spans="2:14">
      <c r="C335" s="2070"/>
      <c r="D335" s="2070"/>
      <c r="E335" s="2070"/>
      <c r="F335" s="2070"/>
      <c r="G335" s="2070"/>
      <c r="H335" s="2070"/>
      <c r="I335" s="2070"/>
      <c r="J335" s="2070"/>
      <c r="K335" s="2070"/>
      <c r="L335" s="2070"/>
      <c r="M335" s="2070"/>
      <c r="N335" s="2070"/>
    </row>
    <row r="336" spans="2:14">
      <c r="C336" s="2070"/>
      <c r="D336" s="2070"/>
      <c r="E336" s="2070"/>
      <c r="F336" s="2070"/>
      <c r="G336" s="2070"/>
      <c r="H336" s="2070"/>
      <c r="I336" s="2070"/>
      <c r="J336" s="2070"/>
      <c r="K336" s="2070"/>
      <c r="L336" s="2070"/>
      <c r="M336" s="2070"/>
      <c r="N336" s="2070"/>
    </row>
    <row r="337" spans="3:14">
      <c r="C337" s="2070"/>
      <c r="D337" s="2070"/>
      <c r="E337" s="2070"/>
      <c r="F337" s="2070"/>
      <c r="G337" s="2070"/>
      <c r="H337" s="2070"/>
      <c r="I337" s="2070"/>
      <c r="J337" s="2070"/>
      <c r="K337" s="2070"/>
      <c r="L337" s="2070"/>
      <c r="M337" s="2070"/>
      <c r="N337" s="2070"/>
    </row>
    <row r="338" spans="3:14">
      <c r="C338" s="2070"/>
      <c r="D338" s="2070"/>
      <c r="E338" s="2070"/>
      <c r="F338" s="2070"/>
      <c r="G338" s="2070"/>
      <c r="H338" s="2070"/>
      <c r="I338" s="2070"/>
      <c r="J338" s="2070"/>
      <c r="K338" s="2070"/>
      <c r="L338" s="2070"/>
      <c r="M338" s="2070"/>
      <c r="N338" s="2070"/>
    </row>
    <row r="339" spans="3:14">
      <c r="C339" s="2070"/>
      <c r="D339" s="2070"/>
      <c r="E339" s="2070"/>
      <c r="F339" s="2070"/>
      <c r="G339" s="2070"/>
      <c r="H339" s="2070"/>
      <c r="I339" s="2070"/>
      <c r="J339" s="2070"/>
      <c r="K339" s="2070"/>
      <c r="L339" s="2070"/>
      <c r="M339" s="2070"/>
      <c r="N339" s="2070"/>
    </row>
    <row r="340" spans="3:14">
      <c r="C340" s="2070"/>
      <c r="D340" s="2070"/>
      <c r="E340" s="2070"/>
      <c r="F340" s="2070"/>
      <c r="G340" s="2070"/>
      <c r="H340" s="2070"/>
      <c r="I340" s="2070"/>
      <c r="J340" s="2070"/>
      <c r="K340" s="2070"/>
      <c r="L340" s="2070"/>
      <c r="M340" s="2070"/>
      <c r="N340" s="2070"/>
    </row>
    <row r="341" spans="3:14">
      <c r="C341" s="2070"/>
      <c r="D341" s="2070"/>
      <c r="E341" s="2070"/>
      <c r="F341" s="2070"/>
      <c r="G341" s="2070"/>
      <c r="H341" s="2070"/>
      <c r="I341" s="2070"/>
      <c r="J341" s="2070"/>
      <c r="K341" s="2070"/>
      <c r="L341" s="2070"/>
      <c r="M341" s="2070"/>
      <c r="N341" s="2070"/>
    </row>
    <row r="342" spans="3:14">
      <c r="C342" s="2070"/>
      <c r="D342" s="2070"/>
      <c r="E342" s="2070"/>
      <c r="F342" s="2070"/>
      <c r="G342" s="2070"/>
      <c r="H342" s="2070"/>
      <c r="I342" s="2070"/>
      <c r="J342" s="2070"/>
      <c r="K342" s="2070"/>
      <c r="L342" s="2070"/>
      <c r="M342" s="2070"/>
      <c r="N342" s="2070"/>
    </row>
    <row r="343" spans="3:14">
      <c r="C343" s="2070"/>
      <c r="D343" s="2070"/>
      <c r="E343" s="2070"/>
      <c r="F343" s="2070"/>
      <c r="G343" s="2070"/>
      <c r="H343" s="2070"/>
      <c r="I343" s="2070"/>
      <c r="J343" s="2070"/>
      <c r="K343" s="2070"/>
      <c r="L343" s="2070"/>
      <c r="M343" s="2070"/>
      <c r="N343" s="2070"/>
    </row>
    <row r="344" spans="3:14">
      <c r="C344" s="2070"/>
      <c r="D344" s="2070"/>
      <c r="E344" s="2070"/>
      <c r="F344" s="2070"/>
      <c r="G344" s="2070"/>
      <c r="H344" s="2070"/>
      <c r="I344" s="2070"/>
      <c r="J344" s="2070"/>
      <c r="K344" s="2070"/>
      <c r="L344" s="2070"/>
      <c r="M344" s="2070"/>
      <c r="N344" s="2070"/>
    </row>
    <row r="345" spans="3:14">
      <c r="C345" s="2070"/>
      <c r="D345" s="2070"/>
      <c r="E345" s="2070"/>
      <c r="F345" s="2070"/>
      <c r="G345" s="2070"/>
      <c r="H345" s="2070"/>
      <c r="I345" s="2070"/>
      <c r="J345" s="2070"/>
      <c r="K345" s="2070"/>
      <c r="L345" s="2070"/>
      <c r="M345" s="2070"/>
      <c r="N345" s="2070"/>
    </row>
    <row r="346" spans="3:14">
      <c r="C346" s="2070"/>
      <c r="D346" s="2070"/>
      <c r="E346" s="2070"/>
      <c r="F346" s="2070"/>
      <c r="G346" s="2070"/>
      <c r="H346" s="2070"/>
      <c r="I346" s="2070"/>
      <c r="J346" s="2070"/>
      <c r="K346" s="2070"/>
      <c r="L346" s="2070"/>
      <c r="M346" s="2070"/>
      <c r="N346" s="2070"/>
    </row>
    <row r="347" spans="3:14">
      <c r="C347" s="2070"/>
      <c r="D347" s="2070"/>
      <c r="E347" s="2070"/>
      <c r="F347" s="2070"/>
      <c r="G347" s="2070"/>
      <c r="H347" s="2070"/>
      <c r="I347" s="2070"/>
      <c r="J347" s="2070"/>
      <c r="K347" s="2070"/>
      <c r="L347" s="2070"/>
      <c r="M347" s="2070"/>
      <c r="N347" s="2070"/>
    </row>
    <row r="348" spans="3:14">
      <c r="C348" s="2070"/>
      <c r="D348" s="2070"/>
      <c r="E348" s="2070"/>
      <c r="F348" s="2070"/>
      <c r="G348" s="2070"/>
      <c r="H348" s="2070"/>
      <c r="I348" s="2070"/>
      <c r="J348" s="2070"/>
      <c r="K348" s="2070"/>
      <c r="L348" s="2070"/>
      <c r="M348" s="2070"/>
      <c r="N348" s="2070"/>
    </row>
    <row r="349" spans="3:14">
      <c r="C349" s="2070"/>
      <c r="D349" s="2070"/>
      <c r="E349" s="2070"/>
      <c r="F349" s="2070"/>
      <c r="G349" s="2070"/>
      <c r="H349" s="2070"/>
      <c r="I349" s="2070"/>
      <c r="J349" s="2070"/>
      <c r="K349" s="2070"/>
      <c r="L349" s="2070"/>
      <c r="M349" s="2070"/>
      <c r="N349" s="2070"/>
    </row>
  </sheetData>
  <mergeCells count="13">
    <mergeCell ref="W109:AF109"/>
    <mergeCell ref="H214:I214"/>
    <mergeCell ref="B313:B314"/>
    <mergeCell ref="C313:F313"/>
    <mergeCell ref="G313:J313"/>
    <mergeCell ref="K313:N313"/>
    <mergeCell ref="C109:F109"/>
    <mergeCell ref="M109:V109"/>
    <mergeCell ref="H8:K8"/>
    <mergeCell ref="L8:O8"/>
    <mergeCell ref="P8:S8"/>
    <mergeCell ref="B85:F85"/>
    <mergeCell ref="B91:F91"/>
  </mergeCell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1" id="{69919D83-A789-4217-B729-E9DFFB94B7E5}">
            <xm:f>OR(MHDV_Inputs!$B$3=2,MHDV_Inputs!$B$3=3)</xm:f>
            <x14:dxf>
              <fill>
                <patternFill>
                  <bgColor theme="1" tint="0.24994659260841701"/>
                </patternFill>
              </fill>
            </x14:dxf>
          </x14:cfRule>
          <xm:sqref>D4 D9:D10 H10:K10 D22 D33:D42 D46:D55 D64:D65 C70 C80:D80 C87:F87 C93:F93 D111:D226 D230 D287:D294 D298:D305 D309:D310 C315:F331</xm:sqref>
        </x14:conditionalFormatting>
      </x14:conditionalFormatting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3">
    <tabColor theme="9" tint="0.59999389629810485"/>
  </sheetPr>
  <dimension ref="A1:AF349"/>
  <sheetViews>
    <sheetView showGridLines="0" zoomScale="85" zoomScaleNormal="85" zoomScalePageLayoutView="85" workbookViewId="0"/>
  </sheetViews>
  <sheetFormatPr defaultColWidth="9.140625" defaultRowHeight="12.75"/>
  <cols>
    <col min="1" max="1" width="1.7109375" style="1321" customWidth="1"/>
    <col min="2" max="2" width="47.5703125" style="1321" customWidth="1"/>
    <col min="3" max="3" width="23.7109375" style="1321" customWidth="1"/>
    <col min="4" max="4" width="25.5703125" style="1321" customWidth="1"/>
    <col min="5" max="5" width="27.140625" style="1321" customWidth="1"/>
    <col min="6" max="6" width="22.140625" style="1321" customWidth="1"/>
    <col min="7" max="7" width="26.140625" style="1321" customWidth="1"/>
    <col min="8" max="8" width="25.85546875" style="1321" customWidth="1"/>
    <col min="9" max="9" width="22.42578125" style="1321" customWidth="1"/>
    <col min="10" max="10" width="22.5703125" style="1321" customWidth="1"/>
    <col min="11" max="11" width="24" style="1321" customWidth="1"/>
    <col min="12" max="12" width="26" style="1321" customWidth="1"/>
    <col min="13" max="13" width="26.28515625" style="1321" customWidth="1"/>
    <col min="14" max="15" width="24" style="1321" customWidth="1"/>
    <col min="16" max="16" width="19.85546875" style="1321" bestFit="1" customWidth="1"/>
    <col min="17" max="17" width="10.28515625" style="1321" bestFit="1" customWidth="1"/>
    <col min="18" max="18" width="12.28515625" style="1321" customWidth="1"/>
    <col min="19" max="19" width="11.42578125" style="1321" bestFit="1" customWidth="1"/>
    <col min="20" max="20" width="11.85546875" style="1321" customWidth="1"/>
    <col min="21" max="21" width="13.28515625" style="1321" customWidth="1"/>
    <col min="22" max="22" width="11.28515625" style="1321" customWidth="1"/>
    <col min="23" max="23" width="14" style="1321" customWidth="1"/>
    <col min="24" max="24" width="14.42578125" style="1321" customWidth="1"/>
    <col min="25" max="25" width="14.140625" style="1321" customWidth="1"/>
    <col min="26" max="26" width="11.85546875" style="1321" bestFit="1" customWidth="1"/>
    <col min="27" max="27" width="10.28515625" style="1321" bestFit="1" customWidth="1"/>
    <col min="28" max="28" width="10.42578125" style="1321" bestFit="1" customWidth="1"/>
    <col min="29" max="29" width="11.42578125" style="1321" bestFit="1" customWidth="1"/>
    <col min="30" max="30" width="10.42578125" style="1321" bestFit="1" customWidth="1"/>
    <col min="31" max="31" width="13.28515625" style="1321" customWidth="1"/>
    <col min="32" max="32" width="11.28515625" style="1321" customWidth="1"/>
    <col min="33" max="33" width="11.140625" style="1321" customWidth="1"/>
    <col min="34" max="34" width="11.85546875" style="1321" customWidth="1"/>
    <col min="35" max="35" width="10.7109375" style="1321" customWidth="1"/>
    <col min="36" max="36" width="11.85546875" style="1321" customWidth="1"/>
    <col min="37" max="16384" width="9.140625" style="1321"/>
  </cols>
  <sheetData>
    <row r="1" spans="1:25" ht="15.75">
      <c r="A1" s="1971" t="s">
        <v>2522</v>
      </c>
    </row>
    <row r="2" spans="1:25" ht="15">
      <c r="A2" s="120" t="s">
        <v>2459</v>
      </c>
    </row>
    <row r="3" spans="1:25">
      <c r="B3" s="1627"/>
      <c r="C3" s="1628" t="s">
        <v>203</v>
      </c>
      <c r="D3" s="1628" t="s">
        <v>194</v>
      </c>
      <c r="E3" s="1628" t="s">
        <v>167</v>
      </c>
      <c r="F3" s="1628" t="s">
        <v>198</v>
      </c>
      <c r="G3" s="201"/>
      <c r="H3" s="1859"/>
      <c r="I3" s="1859"/>
      <c r="J3" s="1859"/>
      <c r="K3" s="1859"/>
      <c r="N3" s="1859"/>
      <c r="O3" s="1859"/>
      <c r="P3" s="1859"/>
      <c r="Q3" s="1859"/>
      <c r="R3" s="1859"/>
      <c r="S3" s="1859"/>
      <c r="T3" s="1859"/>
      <c r="U3" s="1859"/>
      <c r="V3" s="1859"/>
      <c r="W3" s="1859"/>
      <c r="X3" s="1859"/>
      <c r="Y3" s="1859"/>
    </row>
    <row r="4" spans="1:25">
      <c r="B4" s="1625" t="s">
        <v>2523</v>
      </c>
      <c r="C4" s="1972">
        <f xml:space="preserve"> SUM(C9,C14:O14,C22)</f>
        <v>18215.611072169297</v>
      </c>
      <c r="D4" s="1973">
        <f xml:space="preserve"> D9+D10+SUM(C15:O15)+D22</f>
        <v>18480.812805296107</v>
      </c>
      <c r="E4" s="1973">
        <f xml:space="preserve"> E9+E10+SUM(C16:O16)+E22</f>
        <v>32016.763342601131</v>
      </c>
      <c r="F4" s="1974">
        <f xml:space="preserve"> F9+F10+SUM(C17:O17)+F22</f>
        <v>21337.122373224458</v>
      </c>
      <c r="G4" s="1975"/>
      <c r="H4" s="1975"/>
      <c r="I4" s="1975"/>
      <c r="J4" s="1975"/>
      <c r="K4" s="1975"/>
      <c r="N4" s="631"/>
      <c r="O4" s="631"/>
      <c r="P4" s="631"/>
      <c r="Q4" s="631"/>
      <c r="R4" s="631"/>
      <c r="S4" s="631"/>
      <c r="T4" s="631"/>
      <c r="U4" s="631"/>
      <c r="V4" s="631"/>
      <c r="W4" s="631"/>
      <c r="X4" s="631"/>
      <c r="Y4" s="631"/>
    </row>
    <row r="5" spans="1:25">
      <c r="D5" s="631"/>
      <c r="F5" s="1976"/>
      <c r="G5" s="1977"/>
      <c r="H5" s="1976"/>
      <c r="J5" s="1976"/>
      <c r="L5" s="1976"/>
    </row>
    <row r="6" spans="1:25" ht="15">
      <c r="A6" s="120" t="s">
        <v>610</v>
      </c>
    </row>
    <row r="7" spans="1:25">
      <c r="A7" s="172" t="s">
        <v>611</v>
      </c>
    </row>
    <row r="8" spans="1:25">
      <c r="A8" s="172"/>
      <c r="B8" s="1627"/>
      <c r="C8" s="1628" t="s">
        <v>203</v>
      </c>
      <c r="D8" s="1628" t="s">
        <v>194</v>
      </c>
      <c r="E8" s="1628" t="s">
        <v>167</v>
      </c>
      <c r="F8" s="1629" t="s">
        <v>198</v>
      </c>
      <c r="G8" s="1859"/>
      <c r="H8" s="3152" t="s">
        <v>194</v>
      </c>
      <c r="I8" s="3153"/>
      <c r="J8" s="3153"/>
      <c r="K8" s="3154"/>
      <c r="L8" s="3152" t="s">
        <v>167</v>
      </c>
      <c r="M8" s="3153"/>
      <c r="N8" s="3153"/>
      <c r="O8" s="3154"/>
      <c r="P8" s="3155" t="s">
        <v>198</v>
      </c>
      <c r="Q8" s="3156"/>
      <c r="R8" s="3156"/>
      <c r="S8" s="3157"/>
      <c r="T8" s="1859"/>
      <c r="U8" s="1859"/>
      <c r="V8" s="1859"/>
      <c r="W8" s="1859"/>
      <c r="X8" s="1859"/>
      <c r="Y8" s="1859"/>
    </row>
    <row r="9" spans="1:25">
      <c r="A9" s="172"/>
      <c r="B9" s="1860" t="s">
        <v>2524</v>
      </c>
      <c r="C9" s="1979">
        <v>276</v>
      </c>
      <c r="D9" s="1979">
        <v>207</v>
      </c>
      <c r="E9" s="1979">
        <v>69</v>
      </c>
      <c r="F9" s="1980">
        <v>69</v>
      </c>
      <c r="G9" s="1864"/>
      <c r="H9" s="1981" t="s">
        <v>222</v>
      </c>
      <c r="I9" s="1982" t="s">
        <v>221</v>
      </c>
      <c r="J9" s="1862" t="s">
        <v>226</v>
      </c>
      <c r="K9" s="1983" t="s">
        <v>213</v>
      </c>
      <c r="L9" s="1981" t="s">
        <v>222</v>
      </c>
      <c r="M9" s="1982" t="s">
        <v>221</v>
      </c>
      <c r="N9" s="1862" t="s">
        <v>226</v>
      </c>
      <c r="O9" s="1983" t="s">
        <v>213</v>
      </c>
      <c r="P9" s="1981" t="s">
        <v>222</v>
      </c>
      <c r="Q9" s="1982" t="s">
        <v>221</v>
      </c>
      <c r="R9" s="1862" t="s">
        <v>226</v>
      </c>
      <c r="S9" s="1983" t="s">
        <v>213</v>
      </c>
      <c r="T9" s="631"/>
      <c r="U9" s="631"/>
      <c r="V9" s="631"/>
      <c r="W9" s="631"/>
      <c r="X9" s="631"/>
      <c r="Y9" s="631"/>
    </row>
    <row r="10" spans="1:25">
      <c r="A10" s="172"/>
      <c r="B10" s="192" t="s">
        <v>2525</v>
      </c>
      <c r="C10" s="1985"/>
      <c r="D10" s="1985">
        <f xml:space="preserve"> IF(MHDV_Inputs!$C$98=1,H10,IF(MHDV_Inputs!$C$98=2,I10,IF(MHDV_Inputs!$C$98=3,J10,K10)))</f>
        <v>171.93438569938394</v>
      </c>
      <c r="E10" s="1985">
        <f xml:space="preserve"> IF(MHDV_Inputs!$C$99=1,L10,IF(MHDV_Inputs!$C$99=2,M10,IF(MHDV_Inputs!$C$99=3,N10,O10)))</f>
        <v>17039.418000932921</v>
      </c>
      <c r="F10" s="1986">
        <f xml:space="preserve"> IF(MHDV_Inputs!$C$100=1,P10,IF(MHDV_Inputs!$C$100=2,Q10,IF(MHDV_Inputs!$C$100=3,R10,S10)))</f>
        <v>203.46921266542932</v>
      </c>
      <c r="G10" s="1864"/>
      <c r="H10" s="1987">
        <v>155.15254768642856</v>
      </c>
      <c r="I10" s="1988">
        <v>171.93438569938394</v>
      </c>
      <c r="J10" s="1988">
        <v>179.23852649344423</v>
      </c>
      <c r="K10" s="1989">
        <v>182.05770984382232</v>
      </c>
      <c r="L10" s="1987">
        <v>16030.160505586939</v>
      </c>
      <c r="M10" s="1988">
        <v>17039.418000932921</v>
      </c>
      <c r="N10" s="1988">
        <v>18228.617963766315</v>
      </c>
      <c r="O10" s="1989">
        <v>0</v>
      </c>
      <c r="P10" s="1987">
        <v>194.33345734958752</v>
      </c>
      <c r="Q10" s="1988">
        <v>203.46921266542932</v>
      </c>
      <c r="R10" s="1988">
        <v>211.82744238620828</v>
      </c>
      <c r="S10" s="1989">
        <v>215.33127921582491</v>
      </c>
    </row>
    <row r="11" spans="1:25">
      <c r="A11" s="172"/>
      <c r="C11" s="631"/>
      <c r="E11" s="631"/>
      <c r="K11" s="631"/>
      <c r="L11" s="631"/>
    </row>
    <row r="12" spans="1:25">
      <c r="A12" s="172" t="s">
        <v>622</v>
      </c>
      <c r="C12" s="1859"/>
      <c r="D12" s="1859"/>
      <c r="E12" s="1859"/>
      <c r="F12" s="1859"/>
      <c r="G12" s="1859"/>
      <c r="H12" s="1859"/>
      <c r="I12" s="1859"/>
    </row>
    <row r="13" spans="1:25">
      <c r="A13" s="172"/>
      <c r="B13" s="640"/>
      <c r="C13" s="1868" t="s">
        <v>157</v>
      </c>
      <c r="D13" s="1869" t="s">
        <v>2339</v>
      </c>
      <c r="E13" s="1869" t="s">
        <v>2340</v>
      </c>
      <c r="F13" s="1869" t="s">
        <v>2376</v>
      </c>
      <c r="G13" s="1870" t="s">
        <v>2342</v>
      </c>
      <c r="H13" s="1870" t="s">
        <v>2343</v>
      </c>
      <c r="I13" s="1870" t="s">
        <v>158</v>
      </c>
      <c r="J13" s="1870" t="s">
        <v>159</v>
      </c>
      <c r="K13" s="1869" t="s">
        <v>160</v>
      </c>
      <c r="L13" s="1869" t="s">
        <v>161</v>
      </c>
      <c r="M13" s="1870" t="s">
        <v>2344</v>
      </c>
      <c r="N13" s="1869" t="s">
        <v>162</v>
      </c>
      <c r="O13" s="1871" t="s">
        <v>163</v>
      </c>
    </row>
    <row r="14" spans="1:25">
      <c r="A14" s="172"/>
      <c r="B14" s="1860" t="s">
        <v>2526</v>
      </c>
      <c r="C14" s="1978">
        <v>92.1973179684</v>
      </c>
      <c r="D14" s="1979">
        <v>15.43</v>
      </c>
      <c r="E14" s="1979">
        <v>45.181609883549996</v>
      </c>
      <c r="F14" s="1979">
        <v>30.86</v>
      </c>
      <c r="G14" s="1979">
        <v>19.004999999999999</v>
      </c>
      <c r="H14" s="1979">
        <v>38.01</v>
      </c>
      <c r="I14" s="1979">
        <v>0</v>
      </c>
      <c r="J14" s="1979">
        <v>0</v>
      </c>
      <c r="K14" s="1979">
        <v>14.06108307036</v>
      </c>
      <c r="L14" s="1979">
        <v>121.07064346251931</v>
      </c>
      <c r="M14" s="1979">
        <v>55.079669278936258</v>
      </c>
      <c r="N14" s="1979">
        <v>15.856268428784681</v>
      </c>
      <c r="O14" s="1980">
        <v>0</v>
      </c>
    </row>
    <row r="15" spans="1:25">
      <c r="A15" s="172"/>
      <c r="B15" s="191" t="s">
        <v>2527</v>
      </c>
      <c r="C15" s="1990">
        <v>92.1973179684</v>
      </c>
      <c r="D15" s="1991">
        <v>15.43</v>
      </c>
      <c r="E15" s="1991">
        <v>45.181609883549996</v>
      </c>
      <c r="F15" s="1991">
        <v>30.86</v>
      </c>
      <c r="G15" s="1991">
        <v>19.004999999999999</v>
      </c>
      <c r="H15" s="1991">
        <v>38.01</v>
      </c>
      <c r="I15" s="1991">
        <v>0</v>
      </c>
      <c r="J15" s="1991">
        <v>0</v>
      </c>
      <c r="K15" s="1991">
        <v>2.1632435177908937</v>
      </c>
      <c r="L15" s="1991">
        <v>121.07064346251931</v>
      </c>
      <c r="M15" s="1991">
        <v>55.079669278936258</v>
      </c>
      <c r="N15" s="1991">
        <v>15.856268428784681</v>
      </c>
      <c r="O15" s="1992">
        <v>0</v>
      </c>
    </row>
    <row r="16" spans="1:25">
      <c r="A16" s="172"/>
      <c r="B16" s="191" t="s">
        <v>2528</v>
      </c>
      <c r="C16" s="1990">
        <v>0</v>
      </c>
      <c r="D16" s="1991">
        <v>15.43</v>
      </c>
      <c r="E16" s="1991">
        <v>45.181609883549996</v>
      </c>
      <c r="F16" s="1991">
        <v>30.86</v>
      </c>
      <c r="G16" s="1991">
        <v>19.004999999999999</v>
      </c>
      <c r="H16" s="1991">
        <v>38.01</v>
      </c>
      <c r="I16" s="1991">
        <v>0</v>
      </c>
      <c r="J16" s="1991">
        <v>0</v>
      </c>
      <c r="K16" s="1991">
        <v>2.1632435177908937</v>
      </c>
      <c r="L16" s="1991">
        <v>83.017606031198042</v>
      </c>
      <c r="M16" s="1991">
        <v>37.767886200612935</v>
      </c>
      <c r="N16" s="1991">
        <v>15.856268428784681</v>
      </c>
      <c r="O16" s="1992">
        <v>0</v>
      </c>
    </row>
    <row r="17" spans="1:15">
      <c r="A17" s="172"/>
      <c r="B17" s="192" t="s">
        <v>2529</v>
      </c>
      <c r="C17" s="1993">
        <v>0</v>
      </c>
      <c r="D17" s="1994">
        <v>15.43</v>
      </c>
      <c r="E17" s="1994">
        <v>45.181609883549996</v>
      </c>
      <c r="F17" s="1994">
        <v>30.86</v>
      </c>
      <c r="G17" s="1994">
        <v>19.004999999999999</v>
      </c>
      <c r="H17" s="1994">
        <v>38.01</v>
      </c>
      <c r="I17" s="1994">
        <v>0</v>
      </c>
      <c r="J17" s="1994">
        <v>0</v>
      </c>
      <c r="K17" s="1994">
        <v>2.1632435177908937</v>
      </c>
      <c r="L17" s="1994">
        <v>83.017606031198042</v>
      </c>
      <c r="M17" s="1994">
        <v>37.767886200612935</v>
      </c>
      <c r="N17" s="1994">
        <v>15.856268428784681</v>
      </c>
      <c r="O17" s="1995">
        <v>0</v>
      </c>
    </row>
    <row r="18" spans="1:15">
      <c r="A18" s="172"/>
    </row>
    <row r="19" spans="1:15" s="8" customFormat="1" ht="15">
      <c r="A19" s="134" t="s">
        <v>2676</v>
      </c>
    </row>
    <row r="20" spans="1:15">
      <c r="A20" s="172" t="s">
        <v>2467</v>
      </c>
    </row>
    <row r="21" spans="1:15">
      <c r="A21" s="172"/>
      <c r="B21" s="1630"/>
      <c r="C21" s="1628" t="s">
        <v>203</v>
      </c>
      <c r="D21" s="1628" t="s">
        <v>194</v>
      </c>
      <c r="E21" s="1628" t="s">
        <v>167</v>
      </c>
      <c r="F21" s="1629" t="s">
        <v>198</v>
      </c>
      <c r="G21" s="1859"/>
      <c r="H21" s="1859"/>
      <c r="I21" s="1859"/>
      <c r="J21" s="1859"/>
      <c r="K21" s="1859"/>
      <c r="L21" s="1859"/>
    </row>
    <row r="22" spans="1:15">
      <c r="A22" s="172"/>
      <c r="B22" s="1920" t="s">
        <v>2523</v>
      </c>
      <c r="C22" s="1996">
        <f xml:space="preserve"> SUM(C33:C42)</f>
        <v>17492.859480076746</v>
      </c>
      <c r="D22" s="1997">
        <f t="shared" ref="D22:F22" si="0" xml:space="preserve"> SUM(D33:D42)</f>
        <v>17667.024667056743</v>
      </c>
      <c r="E22" s="1997">
        <f t="shared" si="0"/>
        <v>14621.05372760627</v>
      </c>
      <c r="F22" s="1998">
        <f t="shared" si="0"/>
        <v>20777.361546497094</v>
      </c>
      <c r="G22" s="631"/>
      <c r="H22" s="631"/>
      <c r="I22" s="631"/>
      <c r="J22" s="631"/>
      <c r="K22" s="631"/>
      <c r="L22" s="631"/>
    </row>
    <row r="23" spans="1:15">
      <c r="A23" s="172"/>
    </row>
    <row r="24" spans="1:15">
      <c r="A24" s="172" t="s">
        <v>644</v>
      </c>
    </row>
    <row r="25" spans="1:15">
      <c r="A25" s="172"/>
      <c r="B25" s="1999">
        <v>426</v>
      </c>
      <c r="C25" s="1321" t="s">
        <v>2523</v>
      </c>
    </row>
    <row r="26" spans="1:15">
      <c r="A26" s="172"/>
    </row>
    <row r="27" spans="1:15">
      <c r="A27" s="172" t="s">
        <v>2468</v>
      </c>
    </row>
    <row r="28" spans="1:15">
      <c r="A28" s="172"/>
      <c r="B28" s="2000">
        <v>1525.0203373464922</v>
      </c>
      <c r="C28" s="2001" t="s">
        <v>175</v>
      </c>
    </row>
    <row r="29" spans="1:15">
      <c r="A29" s="172"/>
      <c r="B29" s="1878">
        <f xml:space="preserve"> IF(MHDV_Inputs!$B$120=1,J33,K33)</f>
        <v>4609.2412553443328</v>
      </c>
      <c r="C29" s="2001" t="s">
        <v>2346</v>
      </c>
    </row>
    <row r="30" spans="1:15">
      <c r="A30" s="172"/>
    </row>
    <row r="31" spans="1:15">
      <c r="A31" s="172" t="s">
        <v>2530</v>
      </c>
    </row>
    <row r="32" spans="1:15" ht="25.5">
      <c r="A32" s="172"/>
      <c r="B32" s="1953" t="s">
        <v>2390</v>
      </c>
      <c r="C32" s="264" t="s">
        <v>203</v>
      </c>
      <c r="D32" s="175" t="s">
        <v>194</v>
      </c>
      <c r="E32" s="175" t="s">
        <v>167</v>
      </c>
      <c r="F32" s="176" t="s">
        <v>198</v>
      </c>
      <c r="G32" s="1859"/>
      <c r="H32" s="1859"/>
      <c r="I32" s="264"/>
      <c r="J32" s="175" t="s">
        <v>2470</v>
      </c>
      <c r="K32" s="176" t="s">
        <v>2471</v>
      </c>
      <c r="L32" s="1859"/>
    </row>
    <row r="33" spans="1:12">
      <c r="A33" s="172"/>
      <c r="B33" s="1879" t="s">
        <v>182</v>
      </c>
      <c r="C33" s="2002">
        <v>3021.7200906304743</v>
      </c>
      <c r="D33" s="2003">
        <v>2993.0599965704737</v>
      </c>
      <c r="E33" s="2003">
        <v>0</v>
      </c>
      <c r="F33" s="2004">
        <f xml:space="preserve"> B28</f>
        <v>1525.0203373464922</v>
      </c>
      <c r="G33" s="302"/>
      <c r="H33" s="302"/>
      <c r="I33" s="1019" t="s">
        <v>2438</v>
      </c>
      <c r="J33" s="2005">
        <v>4609.2412553443328</v>
      </c>
      <c r="K33" s="2006">
        <v>6254.3705932039129</v>
      </c>
      <c r="L33" s="302"/>
    </row>
    <row r="34" spans="1:12">
      <c r="A34" s="172"/>
      <c r="B34" s="1883" t="s">
        <v>183</v>
      </c>
      <c r="C34" s="2007">
        <v>943.57848135999984</v>
      </c>
      <c r="D34" s="1405">
        <v>943.57848135999984</v>
      </c>
      <c r="E34" s="1405">
        <v>403.44593946000003</v>
      </c>
      <c r="F34" s="2008">
        <v>410.05980732</v>
      </c>
      <c r="G34" s="302"/>
      <c r="H34" s="302"/>
      <c r="I34" s="302"/>
      <c r="J34" s="302"/>
      <c r="K34" s="302"/>
      <c r="L34" s="302"/>
    </row>
    <row r="35" spans="1:12">
      <c r="A35" s="172"/>
      <c r="B35" s="1883" t="s">
        <v>184</v>
      </c>
      <c r="C35" s="2007">
        <v>10181.526257555261</v>
      </c>
      <c r="D35" s="1405">
        <v>10181.526257555261</v>
      </c>
      <c r="E35" s="1405">
        <v>10181.526257555261</v>
      </c>
      <c r="F35" s="2008">
        <v>10181.526257555261</v>
      </c>
      <c r="G35" s="302"/>
      <c r="H35" s="302"/>
      <c r="I35" s="302"/>
      <c r="J35" s="302"/>
      <c r="K35" s="302"/>
      <c r="L35" s="302"/>
    </row>
    <row r="36" spans="1:12">
      <c r="A36" s="172"/>
      <c r="B36" s="1883" t="s">
        <v>185</v>
      </c>
      <c r="C36" s="2007">
        <v>0</v>
      </c>
      <c r="D36" s="1405">
        <v>183.40583923829789</v>
      </c>
      <c r="E36" s="1405">
        <v>623.97856175638287</v>
      </c>
      <c r="F36" s="2008">
        <v>637.93335387234038</v>
      </c>
      <c r="G36" s="302"/>
      <c r="H36" s="302"/>
      <c r="I36" s="302"/>
      <c r="J36" s="302"/>
      <c r="K36" s="302"/>
      <c r="L36" s="302"/>
    </row>
    <row r="37" spans="1:12">
      <c r="A37" s="172"/>
      <c r="B37" s="1883" t="s">
        <v>186</v>
      </c>
      <c r="C37" s="2007">
        <v>0</v>
      </c>
      <c r="D37" s="1405">
        <v>0</v>
      </c>
      <c r="E37" s="1405">
        <v>0</v>
      </c>
      <c r="F37" s="2008">
        <v>0</v>
      </c>
      <c r="G37" s="302"/>
      <c r="H37" s="302"/>
      <c r="I37" s="302"/>
      <c r="J37" s="302"/>
      <c r="K37" s="302"/>
      <c r="L37" s="302"/>
    </row>
    <row r="38" spans="1:12">
      <c r="A38" s="172"/>
      <c r="B38" s="1883" t="s">
        <v>187</v>
      </c>
      <c r="C38" s="2007">
        <v>0</v>
      </c>
      <c r="D38" s="1405">
        <v>19.419441801702128</v>
      </c>
      <c r="E38" s="1405">
        <v>66.068318303617005</v>
      </c>
      <c r="F38" s="2008">
        <v>67.545884527659567</v>
      </c>
      <c r="G38" s="302"/>
      <c r="H38" s="302"/>
      <c r="I38" s="302"/>
      <c r="J38" s="302"/>
      <c r="K38" s="302"/>
      <c r="L38" s="302"/>
    </row>
    <row r="39" spans="1:12">
      <c r="A39" s="172"/>
      <c r="B39" s="1883" t="s">
        <v>2346</v>
      </c>
      <c r="C39" s="2007">
        <v>0</v>
      </c>
      <c r="D39" s="1405">
        <v>0</v>
      </c>
      <c r="E39" s="1405">
        <v>0</v>
      </c>
      <c r="F39" s="2009">
        <f xml:space="preserve"> B29</f>
        <v>4609.2412553443328</v>
      </c>
      <c r="G39" s="302"/>
      <c r="H39" s="302"/>
      <c r="I39" s="302"/>
      <c r="J39" s="302"/>
      <c r="K39" s="302"/>
      <c r="L39" s="302"/>
    </row>
    <row r="40" spans="1:12">
      <c r="A40" s="172"/>
      <c r="B40" s="1883" t="s">
        <v>2427</v>
      </c>
      <c r="C40" s="2007">
        <v>0</v>
      </c>
      <c r="D40" s="1405">
        <v>0</v>
      </c>
      <c r="E40" s="1405">
        <v>0</v>
      </c>
      <c r="F40" s="2008">
        <v>0</v>
      </c>
      <c r="G40" s="302"/>
      <c r="H40" s="302"/>
      <c r="I40" s="302"/>
      <c r="J40" s="302"/>
      <c r="K40" s="302"/>
      <c r="L40" s="302"/>
    </row>
    <row r="41" spans="1:12">
      <c r="A41" s="172"/>
      <c r="B41" s="1884" t="s">
        <v>189</v>
      </c>
      <c r="C41" s="2007">
        <v>3346.0346505310099</v>
      </c>
      <c r="D41" s="1405">
        <v>3346.0346505310099</v>
      </c>
      <c r="E41" s="1405">
        <v>3346.0346505310099</v>
      </c>
      <c r="F41" s="2008">
        <v>3346.0346505310099</v>
      </c>
      <c r="G41" s="302"/>
      <c r="H41" s="302"/>
      <c r="I41" s="302"/>
      <c r="J41" s="302"/>
      <c r="K41" s="302"/>
      <c r="L41" s="302"/>
    </row>
    <row r="42" spans="1:12">
      <c r="A42" s="172"/>
      <c r="B42" s="1885" t="s">
        <v>2349</v>
      </c>
      <c r="C42" s="2010">
        <v>0</v>
      </c>
      <c r="D42" s="2011">
        <v>0</v>
      </c>
      <c r="E42" s="2011">
        <v>0</v>
      </c>
      <c r="F42" s="2012">
        <v>0</v>
      </c>
      <c r="G42" s="302"/>
      <c r="H42" s="302"/>
      <c r="I42" s="302"/>
      <c r="J42" s="302"/>
      <c r="K42" s="302"/>
      <c r="L42" s="302"/>
    </row>
    <row r="43" spans="1:12">
      <c r="A43" s="172"/>
    </row>
    <row r="44" spans="1:12">
      <c r="A44" s="172" t="s">
        <v>2531</v>
      </c>
    </row>
    <row r="45" spans="1:12">
      <c r="A45" s="172"/>
      <c r="B45" s="1953" t="s">
        <v>2390</v>
      </c>
      <c r="C45" s="264" t="s">
        <v>203</v>
      </c>
      <c r="D45" s="175" t="s">
        <v>194</v>
      </c>
      <c r="E45" s="175" t="s">
        <v>167</v>
      </c>
      <c r="F45" s="176" t="s">
        <v>198</v>
      </c>
      <c r="G45" s="302"/>
      <c r="H45" s="302"/>
      <c r="I45" s="302"/>
      <c r="J45" s="302"/>
      <c r="K45" s="302"/>
      <c r="L45" s="302"/>
    </row>
    <row r="46" spans="1:12">
      <c r="A46" s="172"/>
      <c r="B46" s="1879" t="s">
        <v>182</v>
      </c>
      <c r="C46" s="1419">
        <f t="shared" ref="C46:F55" si="1" xml:space="preserve"> C33/C$22</f>
        <v>0.17274020259935324</v>
      </c>
      <c r="D46" s="1420">
        <f t="shared" si="1"/>
        <v>0.16941505731587941</v>
      </c>
      <c r="E46" s="1420">
        <f t="shared" si="1"/>
        <v>0</v>
      </c>
      <c r="F46" s="1954">
        <f t="shared" si="1"/>
        <v>7.3398171078348451E-2</v>
      </c>
      <c r="G46" s="302"/>
      <c r="H46" s="302"/>
      <c r="I46" s="302"/>
      <c r="J46" s="302"/>
      <c r="K46" s="302"/>
      <c r="L46" s="302"/>
    </row>
    <row r="47" spans="1:12">
      <c r="A47" s="172"/>
      <c r="B47" s="1883" t="s">
        <v>183</v>
      </c>
      <c r="C47" s="1021">
        <f t="shared" si="1"/>
        <v>5.3940779804163848E-2</v>
      </c>
      <c r="D47" s="302">
        <f t="shared" si="1"/>
        <v>5.3409020428859588E-2</v>
      </c>
      <c r="E47" s="302">
        <f t="shared" si="1"/>
        <v>2.7593492711010741E-2</v>
      </c>
      <c r="F47" s="593">
        <f t="shared" si="1"/>
        <v>1.9735894107745022E-2</v>
      </c>
      <c r="G47" s="302"/>
      <c r="H47" s="302"/>
      <c r="I47" s="302"/>
      <c r="J47" s="302"/>
      <c r="K47" s="302"/>
      <c r="L47" s="302"/>
    </row>
    <row r="48" spans="1:12">
      <c r="A48" s="172"/>
      <c r="B48" s="1883" t="s">
        <v>184</v>
      </c>
      <c r="C48" s="1021">
        <f t="shared" si="1"/>
        <v>0.58203898963181933</v>
      </c>
      <c r="D48" s="302">
        <f t="shared" si="1"/>
        <v>0.5763011287656431</v>
      </c>
      <c r="E48" s="302">
        <f t="shared" si="1"/>
        <v>0.69636063496103162</v>
      </c>
      <c r="F48" s="593">
        <f t="shared" si="1"/>
        <v>0.49002979684260195</v>
      </c>
      <c r="G48" s="302"/>
      <c r="H48" s="302"/>
      <c r="I48" s="302"/>
      <c r="J48" s="302"/>
      <c r="K48" s="302"/>
      <c r="L48" s="302"/>
    </row>
    <row r="49" spans="1:12">
      <c r="A49" s="172"/>
      <c r="B49" s="1883" t="s">
        <v>185</v>
      </c>
      <c r="C49" s="1021">
        <f t="shared" si="1"/>
        <v>0</v>
      </c>
      <c r="D49" s="302">
        <f t="shared" si="1"/>
        <v>1.0381252230902815E-2</v>
      </c>
      <c r="E49" s="302">
        <f t="shared" si="1"/>
        <v>4.2676716287434052E-2</v>
      </c>
      <c r="F49" s="593">
        <f t="shared" si="1"/>
        <v>3.0703289849614766E-2</v>
      </c>
      <c r="G49" s="302"/>
      <c r="H49" s="302"/>
      <c r="I49" s="302"/>
      <c r="J49" s="302"/>
      <c r="K49" s="302"/>
      <c r="L49" s="302"/>
    </row>
    <row r="50" spans="1:12">
      <c r="A50" s="172"/>
      <c r="B50" s="1883" t="s">
        <v>186</v>
      </c>
      <c r="C50" s="1021">
        <f t="shared" si="1"/>
        <v>0</v>
      </c>
      <c r="D50" s="302">
        <f t="shared" si="1"/>
        <v>0</v>
      </c>
      <c r="E50" s="302">
        <f t="shared" si="1"/>
        <v>0</v>
      </c>
      <c r="F50" s="593">
        <f t="shared" si="1"/>
        <v>0</v>
      </c>
      <c r="G50" s="302"/>
      <c r="H50" s="302"/>
      <c r="I50" s="302"/>
      <c r="J50" s="302"/>
      <c r="K50" s="302"/>
      <c r="L50" s="302"/>
    </row>
    <row r="51" spans="1:12">
      <c r="A51" s="172"/>
      <c r="B51" s="1883" t="s">
        <v>187</v>
      </c>
      <c r="C51" s="1021">
        <f t="shared" si="1"/>
        <v>0</v>
      </c>
      <c r="D51" s="302">
        <f t="shared" si="1"/>
        <v>1.0991914126838274E-3</v>
      </c>
      <c r="E51" s="302">
        <f t="shared" si="1"/>
        <v>4.5187111363165465E-3</v>
      </c>
      <c r="F51" s="593">
        <f t="shared" si="1"/>
        <v>3.2509365723121515E-3</v>
      </c>
      <c r="G51" s="302"/>
      <c r="H51" s="302"/>
      <c r="I51" s="302"/>
      <c r="J51" s="302"/>
      <c r="K51" s="302"/>
      <c r="L51" s="302"/>
    </row>
    <row r="52" spans="1:12">
      <c r="A52" s="172"/>
      <c r="B52" s="1883" t="s">
        <v>2346</v>
      </c>
      <c r="C52" s="1021">
        <f t="shared" si="1"/>
        <v>0</v>
      </c>
      <c r="D52" s="302">
        <f t="shared" si="1"/>
        <v>0</v>
      </c>
      <c r="E52" s="302">
        <f t="shared" si="1"/>
        <v>0</v>
      </c>
      <c r="F52" s="593">
        <f t="shared" si="1"/>
        <v>0.22183958463780096</v>
      </c>
      <c r="G52" s="302"/>
      <c r="H52" s="302"/>
      <c r="I52" s="302"/>
      <c r="J52" s="302"/>
      <c r="K52" s="302"/>
      <c r="L52" s="302"/>
    </row>
    <row r="53" spans="1:12">
      <c r="A53" s="172"/>
      <c r="B53" s="1883" t="s">
        <v>2427</v>
      </c>
      <c r="C53" s="1021">
        <f t="shared" si="1"/>
        <v>0</v>
      </c>
      <c r="D53" s="302">
        <f t="shared" si="1"/>
        <v>0</v>
      </c>
      <c r="E53" s="302">
        <f t="shared" si="1"/>
        <v>0</v>
      </c>
      <c r="F53" s="593">
        <f t="shared" si="1"/>
        <v>0</v>
      </c>
      <c r="G53" s="302"/>
      <c r="H53" s="302"/>
      <c r="I53" s="302"/>
      <c r="J53" s="302"/>
      <c r="K53" s="302"/>
      <c r="L53" s="302"/>
    </row>
    <row r="54" spans="1:12">
      <c r="A54" s="172"/>
      <c r="B54" s="1884" t="s">
        <v>189</v>
      </c>
      <c r="C54" s="1021">
        <f t="shared" si="1"/>
        <v>0.19128002796466356</v>
      </c>
      <c r="D54" s="302">
        <f t="shared" si="1"/>
        <v>0.18939434984603132</v>
      </c>
      <c r="E54" s="302">
        <f t="shared" si="1"/>
        <v>0.22885044490420706</v>
      </c>
      <c r="F54" s="593">
        <f t="shared" si="1"/>
        <v>0.1610423269115768</v>
      </c>
    </row>
    <row r="55" spans="1:12">
      <c r="A55" s="172"/>
      <c r="B55" s="1885" t="s">
        <v>2349</v>
      </c>
      <c r="C55" s="1019">
        <f t="shared" si="1"/>
        <v>0</v>
      </c>
      <c r="D55" s="1020">
        <f t="shared" si="1"/>
        <v>0</v>
      </c>
      <c r="E55" s="1020">
        <f t="shared" si="1"/>
        <v>0</v>
      </c>
      <c r="F55" s="210">
        <f t="shared" si="1"/>
        <v>0</v>
      </c>
    </row>
    <row r="56" spans="1:12">
      <c r="A56" s="172"/>
    </row>
    <row r="57" spans="1:12">
      <c r="A57" s="172" t="s">
        <v>2532</v>
      </c>
    </row>
    <row r="58" spans="1:12">
      <c r="A58" s="172"/>
      <c r="B58" s="2013" t="s">
        <v>2352</v>
      </c>
      <c r="C58" s="1887" t="s">
        <v>2353</v>
      </c>
      <c r="D58" s="1888" t="s">
        <v>2382</v>
      </c>
    </row>
    <row r="59" spans="1:12">
      <c r="A59" s="172"/>
      <c r="B59" s="1889" t="s">
        <v>2355</v>
      </c>
      <c r="C59" s="2071">
        <v>7</v>
      </c>
      <c r="D59" s="2072">
        <v>2</v>
      </c>
    </row>
    <row r="60" spans="1:12">
      <c r="A60" s="172"/>
      <c r="B60" s="1890" t="s">
        <v>2356</v>
      </c>
      <c r="C60" s="2054">
        <v>3</v>
      </c>
      <c r="D60" s="2055">
        <v>8</v>
      </c>
    </row>
    <row r="61" spans="1:12">
      <c r="A61" s="172"/>
    </row>
    <row r="62" spans="1:12">
      <c r="A62" s="172" t="s">
        <v>2474</v>
      </c>
    </row>
    <row r="63" spans="1:12">
      <c r="B63" s="1891"/>
      <c r="C63" s="264" t="s">
        <v>203</v>
      </c>
      <c r="D63" s="175" t="s">
        <v>194</v>
      </c>
      <c r="E63" s="175" t="s">
        <v>167</v>
      </c>
      <c r="F63" s="176" t="s">
        <v>198</v>
      </c>
    </row>
    <row r="64" spans="1:12">
      <c r="B64" s="1860" t="s">
        <v>2355</v>
      </c>
      <c r="C64" s="2019">
        <v>120</v>
      </c>
      <c r="D64" s="2020">
        <v>120</v>
      </c>
      <c r="E64" s="2020">
        <v>120</v>
      </c>
      <c r="F64" s="2021">
        <v>120</v>
      </c>
    </row>
    <row r="65" spans="1:25">
      <c r="A65" s="172"/>
      <c r="B65" s="192" t="s">
        <v>2356</v>
      </c>
      <c r="C65" s="1968">
        <v>120</v>
      </c>
      <c r="D65" s="1114">
        <v>120</v>
      </c>
      <c r="E65" s="1114">
        <v>120</v>
      </c>
      <c r="F65" s="1548">
        <v>120</v>
      </c>
    </row>
    <row r="66" spans="1:25">
      <c r="A66" s="172"/>
    </row>
    <row r="67" spans="1:25" ht="15">
      <c r="A67" s="2022" t="s">
        <v>2475</v>
      </c>
      <c r="B67" s="299"/>
      <c r="C67" s="299"/>
    </row>
    <row r="68" spans="1:25">
      <c r="A68" s="313" t="s">
        <v>2533</v>
      </c>
      <c r="B68" s="299"/>
      <c r="C68" s="299"/>
    </row>
    <row r="69" spans="1:25">
      <c r="A69" s="172"/>
      <c r="B69" s="1625"/>
      <c r="C69" s="1896" t="s">
        <v>155</v>
      </c>
    </row>
    <row r="70" spans="1:25">
      <c r="A70" s="172"/>
      <c r="B70" s="1860" t="s">
        <v>194</v>
      </c>
      <c r="C70" s="2023">
        <v>219</v>
      </c>
    </row>
    <row r="71" spans="1:25">
      <c r="A71" s="172"/>
      <c r="B71" s="192" t="s">
        <v>198</v>
      </c>
      <c r="C71" s="2024">
        <v>112</v>
      </c>
    </row>
    <row r="72" spans="1:25">
      <c r="A72" s="172"/>
    </row>
    <row r="73" spans="1:25">
      <c r="A73" s="313" t="s">
        <v>2534</v>
      </c>
    </row>
    <row r="74" spans="1:25">
      <c r="A74" s="172"/>
      <c r="B74" s="1625"/>
      <c r="C74" s="1896" t="s">
        <v>155</v>
      </c>
      <c r="N74" s="302"/>
      <c r="O74" s="302"/>
      <c r="P74" s="302"/>
      <c r="Q74" s="302"/>
      <c r="R74" s="302"/>
      <c r="S74" s="302"/>
      <c r="T74" s="302"/>
      <c r="U74" s="302"/>
      <c r="V74" s="302"/>
      <c r="W74" s="302"/>
      <c r="X74" s="302"/>
      <c r="Y74" s="302"/>
    </row>
    <row r="75" spans="1:25">
      <c r="A75" s="172"/>
      <c r="B75" s="192" t="s">
        <v>167</v>
      </c>
      <c r="C75" s="2025">
        <v>1622</v>
      </c>
      <c r="N75" s="302"/>
      <c r="O75" s="302"/>
      <c r="P75" s="302"/>
      <c r="Q75" s="302"/>
      <c r="R75" s="302"/>
      <c r="S75" s="302"/>
      <c r="T75" s="302"/>
      <c r="U75" s="302"/>
      <c r="V75" s="302"/>
      <c r="W75" s="302"/>
      <c r="X75" s="302"/>
      <c r="Y75" s="302"/>
    </row>
    <row r="76" spans="1:25">
      <c r="N76" s="302"/>
      <c r="O76" s="302"/>
      <c r="P76" s="302"/>
      <c r="Q76" s="302"/>
      <c r="R76" s="302"/>
      <c r="S76" s="302"/>
      <c r="T76" s="302"/>
      <c r="U76" s="302"/>
      <c r="V76" s="302"/>
      <c r="W76" s="302"/>
      <c r="X76" s="302"/>
      <c r="Y76" s="302"/>
    </row>
    <row r="77" spans="1:25">
      <c r="A77" s="172" t="s">
        <v>2535</v>
      </c>
      <c r="N77" s="302"/>
      <c r="O77" s="302"/>
      <c r="P77" s="302"/>
      <c r="Q77" s="302"/>
      <c r="R77" s="302"/>
      <c r="S77" s="302"/>
      <c r="T77" s="302"/>
      <c r="U77" s="302"/>
      <c r="V77" s="302"/>
      <c r="W77" s="302"/>
      <c r="X77" s="302"/>
      <c r="Y77" s="302"/>
    </row>
    <row r="78" spans="1:25">
      <c r="B78" s="1627"/>
      <c r="C78" s="1837" t="s">
        <v>153</v>
      </c>
      <c r="D78" s="1838" t="s">
        <v>200</v>
      </c>
    </row>
    <row r="79" spans="1:25">
      <c r="B79" s="191" t="s">
        <v>203</v>
      </c>
      <c r="C79" s="2026">
        <v>1</v>
      </c>
      <c r="D79" s="2021"/>
    </row>
    <row r="80" spans="1:25">
      <c r="B80" s="191" t="s">
        <v>194</v>
      </c>
      <c r="C80" s="2027">
        <v>1</v>
      </c>
      <c r="D80" s="2028">
        <v>1</v>
      </c>
    </row>
    <row r="81" spans="1:6">
      <c r="B81" s="191" t="s">
        <v>167</v>
      </c>
      <c r="C81" s="2027">
        <v>1</v>
      </c>
      <c r="D81" s="2028">
        <v>1</v>
      </c>
    </row>
    <row r="82" spans="1:6">
      <c r="B82" s="192" t="s">
        <v>198</v>
      </c>
      <c r="C82" s="2029">
        <v>1</v>
      </c>
      <c r="D82" s="2030">
        <v>1</v>
      </c>
    </row>
    <row r="84" spans="1:6">
      <c r="A84" s="172" t="s">
        <v>2479</v>
      </c>
    </row>
    <row r="85" spans="1:6">
      <c r="B85" s="3145" t="s">
        <v>209</v>
      </c>
      <c r="C85" s="3146"/>
      <c r="D85" s="3146"/>
      <c r="E85" s="3146"/>
      <c r="F85" s="3147"/>
    </row>
    <row r="86" spans="1:6">
      <c r="B86" s="2031" t="s">
        <v>2368</v>
      </c>
      <c r="C86" s="1981" t="s">
        <v>222</v>
      </c>
      <c r="D86" s="1982" t="s">
        <v>221</v>
      </c>
      <c r="E86" s="1982" t="s">
        <v>226</v>
      </c>
      <c r="F86" s="1983" t="s">
        <v>213</v>
      </c>
    </row>
    <row r="87" spans="1:6">
      <c r="B87" s="173" t="s">
        <v>194</v>
      </c>
      <c r="C87" s="2032">
        <v>3111.8557895406857</v>
      </c>
      <c r="D87" s="2033">
        <v>2808.1198057971133</v>
      </c>
      <c r="E87" s="2033">
        <v>2693.6862471788909</v>
      </c>
      <c r="F87" s="2034">
        <v>2651.974223965462</v>
      </c>
    </row>
    <row r="88" spans="1:6">
      <c r="B88" s="174" t="s">
        <v>198</v>
      </c>
      <c r="C88" s="2035">
        <v>1270.5878689525825</v>
      </c>
      <c r="D88" s="2036">
        <v>1213.5385506504831</v>
      </c>
      <c r="E88" s="2036">
        <v>1165.6550759358854</v>
      </c>
      <c r="F88" s="2037">
        <v>1146.6877192166596</v>
      </c>
    </row>
    <row r="90" spans="1:6">
      <c r="A90" s="172" t="s">
        <v>2480</v>
      </c>
    </row>
    <row r="91" spans="1:6">
      <c r="B91" s="3145" t="s">
        <v>216</v>
      </c>
      <c r="C91" s="3146"/>
      <c r="D91" s="3146"/>
      <c r="E91" s="3146"/>
      <c r="F91" s="3147"/>
    </row>
    <row r="92" spans="1:6">
      <c r="B92" s="1906" t="s">
        <v>2368</v>
      </c>
      <c r="C92" s="1861" t="s">
        <v>222</v>
      </c>
      <c r="D92" s="1862" t="s">
        <v>221</v>
      </c>
      <c r="E92" s="1862" t="s">
        <v>226</v>
      </c>
      <c r="F92" s="1863" t="s">
        <v>213</v>
      </c>
    </row>
    <row r="93" spans="1:6">
      <c r="B93" s="1906" t="s">
        <v>194</v>
      </c>
      <c r="C93" s="2019">
        <v>99.465710167967117</v>
      </c>
      <c r="D93" s="2020">
        <v>89.757254066574404</v>
      </c>
      <c r="E93" s="2020">
        <v>86.099560412110677</v>
      </c>
      <c r="F93" s="2021">
        <v>84.766299396156327</v>
      </c>
    </row>
    <row r="94" spans="1:6">
      <c r="B94" s="173" t="s">
        <v>167</v>
      </c>
      <c r="C94" s="2032">
        <v>223.07311822571609</v>
      </c>
      <c r="D94" s="2033">
        <v>209.86033029087125</v>
      </c>
      <c r="E94" s="2033">
        <v>196.1694461284965</v>
      </c>
      <c r="F94" s="2034">
        <v>0</v>
      </c>
    </row>
    <row r="95" spans="1:6">
      <c r="B95" s="174" t="s">
        <v>198</v>
      </c>
      <c r="C95" s="2035">
        <v>102.10081089797538</v>
      </c>
      <c r="D95" s="2036">
        <v>97.516490677270951</v>
      </c>
      <c r="E95" s="2036">
        <v>93.668711459133647</v>
      </c>
      <c r="F95" s="2037">
        <v>92.144548865624444</v>
      </c>
    </row>
    <row r="97" spans="1:32">
      <c r="A97" s="172" t="s">
        <v>2481</v>
      </c>
    </row>
    <row r="98" spans="1:32">
      <c r="B98" s="2039">
        <v>0</v>
      </c>
    </row>
    <row r="100" spans="1:32" ht="15">
      <c r="A100" s="120" t="s">
        <v>2536</v>
      </c>
    </row>
    <row r="101" spans="1:32">
      <c r="A101" s="299"/>
      <c r="B101" s="1936" t="s">
        <v>157</v>
      </c>
      <c r="C101" s="1937" t="s">
        <v>2339</v>
      </c>
      <c r="D101" s="1937" t="s">
        <v>2340</v>
      </c>
      <c r="E101" s="1937" t="s">
        <v>2376</v>
      </c>
      <c r="F101" s="1938" t="s">
        <v>2342</v>
      </c>
      <c r="G101" s="1938" t="s">
        <v>2343</v>
      </c>
      <c r="H101" s="1938" t="s">
        <v>158</v>
      </c>
      <c r="I101" s="1938" t="s">
        <v>159</v>
      </c>
      <c r="J101" s="1937" t="s">
        <v>160</v>
      </c>
      <c r="K101" s="1937" t="s">
        <v>161</v>
      </c>
      <c r="L101" s="1938" t="s">
        <v>2344</v>
      </c>
      <c r="M101" s="1937" t="s">
        <v>162</v>
      </c>
      <c r="N101" s="1939" t="s">
        <v>163</v>
      </c>
    </row>
    <row r="102" spans="1:32">
      <c r="B102" s="2040">
        <v>19</v>
      </c>
      <c r="C102" s="2041">
        <v>39</v>
      </c>
      <c r="D102" s="2041">
        <v>1</v>
      </c>
      <c r="E102" s="2041">
        <v>7</v>
      </c>
      <c r="F102" s="2041">
        <v>1</v>
      </c>
      <c r="G102" s="2041">
        <v>1</v>
      </c>
      <c r="H102" s="2041">
        <v>0</v>
      </c>
      <c r="I102" s="2041">
        <v>0</v>
      </c>
      <c r="J102" s="2041">
        <v>1</v>
      </c>
      <c r="K102" s="2041">
        <v>1</v>
      </c>
      <c r="L102" s="2041">
        <v>1</v>
      </c>
      <c r="M102" s="2041">
        <v>16</v>
      </c>
      <c r="N102" s="1546">
        <v>1</v>
      </c>
    </row>
    <row r="104" spans="1:32" ht="15">
      <c r="A104" s="120" t="s">
        <v>2537</v>
      </c>
    </row>
    <row r="105" spans="1:32">
      <c r="B105" s="1630"/>
      <c r="C105" s="175" t="s">
        <v>203</v>
      </c>
      <c r="D105" s="175" t="s">
        <v>194</v>
      </c>
      <c r="E105" s="175" t="s">
        <v>167</v>
      </c>
      <c r="F105" s="176" t="s">
        <v>198</v>
      </c>
      <c r="G105" s="1859"/>
      <c r="H105" s="1859"/>
      <c r="I105" s="1859"/>
      <c r="J105" s="1859"/>
      <c r="K105" s="1859"/>
      <c r="L105" s="1859"/>
    </row>
    <row r="106" spans="1:32">
      <c r="B106" s="1920" t="s">
        <v>2523</v>
      </c>
      <c r="C106" s="2040">
        <v>1000000</v>
      </c>
      <c r="D106" s="2041">
        <v>1000000</v>
      </c>
      <c r="E106" s="2041">
        <v>1000000</v>
      </c>
      <c r="F106" s="1546">
        <v>1000000</v>
      </c>
      <c r="G106" s="631"/>
      <c r="H106" s="631"/>
      <c r="I106" s="631"/>
      <c r="J106" s="631"/>
      <c r="K106" s="631"/>
      <c r="L106" s="631"/>
    </row>
    <row r="108" spans="1:32" ht="15">
      <c r="A108" s="120" t="s">
        <v>2538</v>
      </c>
    </row>
    <row r="109" spans="1:32" ht="15">
      <c r="A109" s="120"/>
      <c r="B109" s="58"/>
      <c r="C109" s="2986" t="s">
        <v>2523</v>
      </c>
      <c r="D109" s="2987"/>
      <c r="E109" s="2987"/>
      <c r="F109" s="2988"/>
      <c r="G109" s="172"/>
      <c r="H109" s="172"/>
      <c r="I109" s="172"/>
      <c r="J109" s="172"/>
      <c r="K109" s="172"/>
      <c r="L109" s="172"/>
      <c r="M109" s="3158"/>
      <c r="N109" s="3158"/>
      <c r="O109" s="3158"/>
      <c r="P109" s="3158"/>
      <c r="Q109" s="3158"/>
      <c r="R109" s="3158"/>
      <c r="S109" s="3158"/>
      <c r="T109" s="3158"/>
      <c r="U109" s="3158"/>
      <c r="V109" s="3158"/>
      <c r="W109" s="3158"/>
      <c r="X109" s="3158"/>
      <c r="Y109" s="3158"/>
      <c r="Z109" s="3158"/>
      <c r="AA109" s="3158"/>
      <c r="AB109" s="3158"/>
      <c r="AC109" s="3158"/>
      <c r="AD109" s="3158"/>
      <c r="AE109" s="3158"/>
      <c r="AF109" s="3158"/>
    </row>
    <row r="110" spans="1:32">
      <c r="B110" s="58"/>
      <c r="C110" s="264" t="s">
        <v>203</v>
      </c>
      <c r="D110" s="175" t="s">
        <v>194</v>
      </c>
      <c r="E110" s="175" t="s">
        <v>167</v>
      </c>
      <c r="F110" s="176" t="s">
        <v>198</v>
      </c>
      <c r="G110" s="1859"/>
      <c r="H110" s="2042"/>
      <c r="I110" s="2042"/>
      <c r="J110" s="2042"/>
      <c r="K110" s="2042"/>
      <c r="L110" s="1859"/>
      <c r="M110" s="1859"/>
      <c r="N110" s="1859"/>
      <c r="O110" s="1859"/>
      <c r="P110" s="1859"/>
      <c r="Q110" s="1859"/>
      <c r="R110" s="1859"/>
      <c r="S110" s="1859"/>
      <c r="T110" s="1859"/>
      <c r="U110" s="1859"/>
      <c r="V110" s="1859"/>
      <c r="W110" s="1859"/>
      <c r="X110" s="1859"/>
      <c r="Y110" s="1859"/>
      <c r="Z110" s="1859"/>
      <c r="AA110" s="1859"/>
      <c r="AB110" s="1859"/>
      <c r="AC110" s="1859"/>
      <c r="AD110" s="1859"/>
      <c r="AE110" s="1859"/>
      <c r="AF110" s="1859"/>
    </row>
    <row r="111" spans="1:32">
      <c r="B111" s="482" t="s">
        <v>250</v>
      </c>
      <c r="C111" s="556"/>
      <c r="D111" s="179"/>
      <c r="E111" s="179"/>
      <c r="F111" s="180"/>
      <c r="G111" s="1159"/>
      <c r="H111" s="2043"/>
      <c r="I111" s="2043"/>
      <c r="J111" s="2043"/>
      <c r="K111" s="2043"/>
      <c r="L111" s="1159"/>
    </row>
    <row r="112" spans="1:32">
      <c r="B112" s="1947" t="s">
        <v>38</v>
      </c>
      <c r="C112" s="928">
        <v>0.3132718489970639</v>
      </c>
      <c r="D112" s="946">
        <v>0.3132718489970639</v>
      </c>
      <c r="E112" s="946">
        <v>0.3132718489970639</v>
      </c>
      <c r="F112" s="930">
        <v>0.3132718489970639</v>
      </c>
      <c r="G112" s="1159"/>
      <c r="H112" s="2043"/>
      <c r="I112" s="2043"/>
      <c r="J112" s="2043"/>
      <c r="K112" s="2043"/>
      <c r="L112" s="1159"/>
      <c r="M112" s="1159"/>
      <c r="N112" s="1159"/>
      <c r="O112" s="1159"/>
      <c r="P112" s="1159"/>
      <c r="Q112" s="1159"/>
      <c r="R112" s="1159"/>
      <c r="S112" s="1159"/>
      <c r="T112" s="1159"/>
      <c r="U112" s="1159"/>
      <c r="V112" s="1159"/>
      <c r="W112" s="1159"/>
      <c r="X112" s="1159"/>
      <c r="Y112" s="1159"/>
      <c r="Z112" s="1159"/>
      <c r="AA112" s="1159"/>
      <c r="AB112" s="1159"/>
      <c r="AC112" s="1159"/>
      <c r="AD112" s="1159"/>
      <c r="AE112" s="1159"/>
      <c r="AF112" s="1159"/>
    </row>
    <row r="113" spans="2:32">
      <c r="B113" s="1947" t="s">
        <v>1868</v>
      </c>
      <c r="C113" s="928">
        <v>2.3707999999999996E-2</v>
      </c>
      <c r="D113" s="946">
        <v>2.3707999999999996E-2</v>
      </c>
      <c r="E113" s="946">
        <v>2.3707999999999996E-2</v>
      </c>
      <c r="F113" s="930">
        <v>2.3707999999999996E-2</v>
      </c>
      <c r="G113" s="1159"/>
      <c r="H113" s="2043"/>
      <c r="I113" s="2043"/>
      <c r="J113" s="2043"/>
      <c r="K113" s="2043"/>
      <c r="L113" s="1159"/>
      <c r="M113" s="1159"/>
      <c r="N113" s="1159"/>
      <c r="O113" s="1159"/>
      <c r="P113" s="1159"/>
      <c r="Q113" s="1159"/>
      <c r="R113" s="1159"/>
      <c r="S113" s="1159"/>
      <c r="T113" s="1159"/>
      <c r="U113" s="1159"/>
      <c r="V113" s="1159"/>
      <c r="W113" s="1159"/>
      <c r="X113" s="1159"/>
      <c r="Y113" s="1159"/>
      <c r="Z113" s="1159"/>
      <c r="AA113" s="1159"/>
      <c r="AB113" s="1159"/>
      <c r="AC113" s="1159"/>
      <c r="AD113" s="1159"/>
      <c r="AE113" s="1159"/>
      <c r="AF113" s="1159"/>
    </row>
    <row r="114" spans="2:32">
      <c r="B114" s="1947" t="s">
        <v>2405</v>
      </c>
      <c r="C114" s="928">
        <v>0.10382666666666665</v>
      </c>
      <c r="D114" s="946">
        <v>0.10382666666666665</v>
      </c>
      <c r="E114" s="946">
        <v>0.10382666666666665</v>
      </c>
      <c r="F114" s="930">
        <v>0.10382666666666665</v>
      </c>
      <c r="G114" s="1159"/>
      <c r="H114" s="2043"/>
      <c r="I114" s="2043"/>
      <c r="J114" s="2043"/>
      <c r="K114" s="2043"/>
      <c r="L114" s="1159"/>
      <c r="M114" s="1159"/>
      <c r="N114" s="1159"/>
      <c r="O114" s="1159"/>
      <c r="P114" s="1159"/>
      <c r="Q114" s="1159"/>
      <c r="R114" s="1159"/>
      <c r="S114" s="1159"/>
      <c r="T114" s="1159"/>
      <c r="U114" s="1159"/>
      <c r="V114" s="1159"/>
      <c r="W114" s="1159"/>
      <c r="X114" s="1159"/>
      <c r="Y114" s="1159"/>
      <c r="Z114" s="1159"/>
      <c r="AA114" s="1159"/>
      <c r="AB114" s="1159"/>
      <c r="AC114" s="1159"/>
      <c r="AD114" s="1159"/>
      <c r="AE114" s="1159"/>
      <c r="AF114" s="1159"/>
    </row>
    <row r="115" spans="2:32">
      <c r="B115" s="1947" t="s">
        <v>2406</v>
      </c>
      <c r="C115" s="928">
        <v>3.4894805333333334E-2</v>
      </c>
      <c r="D115" s="946">
        <v>3.4894805333333334E-2</v>
      </c>
      <c r="E115" s="946">
        <v>3.4894805333333334E-2</v>
      </c>
      <c r="F115" s="930">
        <v>3.4894805333333334E-2</v>
      </c>
      <c r="G115" s="1159"/>
      <c r="H115" s="2043"/>
      <c r="I115" s="2043"/>
      <c r="J115" s="2043"/>
      <c r="K115" s="2043"/>
      <c r="L115" s="1159"/>
      <c r="M115" s="1159"/>
      <c r="N115" s="1159"/>
      <c r="O115" s="1159"/>
      <c r="P115" s="1159"/>
      <c r="Q115" s="1159"/>
      <c r="R115" s="1159"/>
      <c r="S115" s="1159"/>
      <c r="T115" s="1159"/>
      <c r="U115" s="1159"/>
      <c r="V115" s="1159"/>
      <c r="W115" s="1159"/>
      <c r="X115" s="1159"/>
      <c r="Y115" s="1159"/>
      <c r="Z115" s="1159"/>
      <c r="AA115" s="1159"/>
      <c r="AB115" s="1159"/>
      <c r="AC115" s="1159"/>
      <c r="AD115" s="1159"/>
      <c r="AE115" s="1159"/>
      <c r="AF115" s="1159"/>
    </row>
    <row r="116" spans="2:32">
      <c r="B116" s="1947" t="s">
        <v>60</v>
      </c>
      <c r="C116" s="928">
        <v>0.18149554110233743</v>
      </c>
      <c r="D116" s="946">
        <v>0.18149554110233743</v>
      </c>
      <c r="E116" s="946">
        <v>0.18149554110233743</v>
      </c>
      <c r="F116" s="930">
        <v>0.18149554110233743</v>
      </c>
      <c r="G116" s="1159"/>
      <c r="H116" s="2043"/>
      <c r="I116" s="2043"/>
      <c r="J116" s="2043"/>
      <c r="K116" s="2043"/>
      <c r="L116" s="1159"/>
      <c r="M116" s="1159"/>
      <c r="N116" s="1159"/>
      <c r="O116" s="1159"/>
      <c r="P116" s="1159"/>
      <c r="Q116" s="1159"/>
      <c r="R116" s="1159"/>
      <c r="S116" s="1159"/>
      <c r="T116" s="1159"/>
      <c r="U116" s="1159"/>
      <c r="V116" s="1159"/>
      <c r="W116" s="1159"/>
      <c r="X116" s="1159"/>
      <c r="Y116" s="1159"/>
      <c r="Z116" s="1159"/>
      <c r="AA116" s="1159"/>
      <c r="AB116" s="1159"/>
      <c r="AC116" s="1159"/>
      <c r="AD116" s="1159"/>
      <c r="AE116" s="1159"/>
      <c r="AF116" s="1159"/>
    </row>
    <row r="117" spans="2:32">
      <c r="B117" s="1947" t="s">
        <v>61</v>
      </c>
      <c r="C117" s="928">
        <v>1.9198999999999997E-2</v>
      </c>
      <c r="D117" s="946">
        <v>1.9198999999999997E-2</v>
      </c>
      <c r="E117" s="946">
        <v>1.9198999999999997E-2</v>
      </c>
      <c r="F117" s="930">
        <v>1.9198999999999997E-2</v>
      </c>
      <c r="G117" s="1159"/>
      <c r="H117" s="2043"/>
      <c r="I117" s="2043"/>
      <c r="J117" s="2043"/>
      <c r="K117" s="2043"/>
      <c r="L117" s="1159"/>
      <c r="M117" s="1159"/>
      <c r="N117" s="1159"/>
      <c r="O117" s="1159"/>
      <c r="P117" s="1159"/>
      <c r="Q117" s="1159"/>
      <c r="R117" s="1159"/>
      <c r="S117" s="1159"/>
      <c r="T117" s="1159"/>
      <c r="U117" s="1159"/>
      <c r="V117" s="1159"/>
      <c r="W117" s="1159"/>
      <c r="X117" s="1159"/>
      <c r="Y117" s="1159"/>
      <c r="Z117" s="1159"/>
      <c r="AA117" s="1159"/>
      <c r="AB117" s="1159"/>
      <c r="AC117" s="1159"/>
      <c r="AD117" s="1159"/>
      <c r="AE117" s="1159"/>
      <c r="AF117" s="1159"/>
    </row>
    <row r="118" spans="2:32">
      <c r="B118" s="1947" t="s">
        <v>2407</v>
      </c>
      <c r="C118" s="928">
        <v>0.15363333333333332</v>
      </c>
      <c r="D118" s="946">
        <v>0.15363333333333332</v>
      </c>
      <c r="E118" s="946">
        <v>0.15363333333333332</v>
      </c>
      <c r="F118" s="930">
        <v>0.15363333333333332</v>
      </c>
      <c r="G118" s="1159"/>
      <c r="H118" s="2043"/>
      <c r="I118" s="2043"/>
      <c r="J118" s="2043"/>
      <c r="K118" s="2043"/>
      <c r="L118" s="1159"/>
      <c r="M118" s="1159"/>
      <c r="N118" s="1159"/>
      <c r="O118" s="1159"/>
      <c r="P118" s="1159"/>
      <c r="Q118" s="1159"/>
      <c r="R118" s="1159"/>
      <c r="S118" s="1159"/>
      <c r="T118" s="1159"/>
      <c r="U118" s="1159"/>
      <c r="V118" s="1159"/>
      <c r="W118" s="1159"/>
      <c r="X118" s="1159"/>
      <c r="Y118" s="1159"/>
      <c r="Z118" s="1159"/>
      <c r="AA118" s="1159"/>
      <c r="AB118" s="1159"/>
      <c r="AC118" s="1159"/>
      <c r="AD118" s="1159"/>
      <c r="AE118" s="1159"/>
      <c r="AF118" s="1159"/>
    </row>
    <row r="119" spans="2:32">
      <c r="B119" s="1947" t="s">
        <v>58</v>
      </c>
      <c r="C119" s="928">
        <v>9.0054463170113522E-2</v>
      </c>
      <c r="D119" s="946">
        <v>9.0054463170113522E-2</v>
      </c>
      <c r="E119" s="946">
        <v>9.0054463170113522E-2</v>
      </c>
      <c r="F119" s="930">
        <v>9.0054463170113522E-2</v>
      </c>
      <c r="G119" s="1159"/>
      <c r="H119" s="2043"/>
      <c r="I119" s="2043"/>
      <c r="J119" s="2043"/>
      <c r="K119" s="2043"/>
      <c r="L119" s="1159"/>
      <c r="M119" s="1159"/>
      <c r="N119" s="1159"/>
      <c r="O119" s="1159"/>
      <c r="P119" s="1159"/>
      <c r="Q119" s="1159"/>
      <c r="R119" s="1159"/>
      <c r="S119" s="1159"/>
      <c r="T119" s="1159"/>
      <c r="U119" s="1159"/>
      <c r="V119" s="1159"/>
      <c r="W119" s="1159"/>
      <c r="X119" s="1159"/>
      <c r="Y119" s="1159"/>
      <c r="Z119" s="1159"/>
      <c r="AA119" s="1159"/>
      <c r="AB119" s="1159"/>
      <c r="AC119" s="1159"/>
      <c r="AD119" s="1159"/>
      <c r="AE119" s="1159"/>
      <c r="AF119" s="1159"/>
    </row>
    <row r="120" spans="2:32">
      <c r="B120" s="1947" t="s">
        <v>52</v>
      </c>
      <c r="C120" s="928">
        <v>3.3734893333333326E-3</v>
      </c>
      <c r="D120" s="946">
        <v>3.3734893333333326E-3</v>
      </c>
      <c r="E120" s="946">
        <v>3.3734893333333326E-3</v>
      </c>
      <c r="F120" s="930">
        <v>3.3734893333333326E-3</v>
      </c>
      <c r="G120" s="1159"/>
      <c r="H120" s="2043"/>
      <c r="I120" s="2043"/>
      <c r="J120" s="2043"/>
      <c r="K120" s="2043"/>
      <c r="L120" s="1159"/>
      <c r="M120" s="1159"/>
      <c r="N120" s="1159"/>
      <c r="O120" s="1159"/>
      <c r="P120" s="1159"/>
      <c r="Q120" s="1159"/>
      <c r="R120" s="1159"/>
      <c r="S120" s="1159"/>
      <c r="T120" s="1159"/>
      <c r="U120" s="1159"/>
      <c r="V120" s="1159"/>
      <c r="W120" s="1159"/>
      <c r="X120" s="1159"/>
      <c r="Y120" s="1159"/>
      <c r="Z120" s="1159"/>
      <c r="AA120" s="1159"/>
      <c r="AB120" s="1159"/>
      <c r="AC120" s="1159"/>
      <c r="AD120" s="1159"/>
      <c r="AE120" s="1159"/>
      <c r="AF120" s="1159"/>
    </row>
    <row r="121" spans="2:32">
      <c r="B121" s="1947" t="s">
        <v>2408</v>
      </c>
      <c r="C121" s="928">
        <v>3.2370057500742885E-2</v>
      </c>
      <c r="D121" s="946">
        <v>3.2370057500742885E-2</v>
      </c>
      <c r="E121" s="946">
        <v>3.2370057500742885E-2</v>
      </c>
      <c r="F121" s="930">
        <v>3.2370057500742885E-2</v>
      </c>
      <c r="G121" s="1159"/>
      <c r="H121" s="2043"/>
      <c r="I121" s="2043"/>
      <c r="J121" s="2043"/>
      <c r="K121" s="2043"/>
      <c r="L121" s="1159"/>
      <c r="M121" s="1159"/>
      <c r="N121" s="1159"/>
      <c r="O121" s="1159"/>
      <c r="P121" s="1159"/>
      <c r="Q121" s="1159"/>
      <c r="R121" s="1159"/>
      <c r="S121" s="1159"/>
      <c r="T121" s="1159"/>
      <c r="U121" s="1159"/>
      <c r="V121" s="1159"/>
      <c r="W121" s="1159"/>
      <c r="X121" s="1159"/>
      <c r="Y121" s="1159"/>
      <c r="Z121" s="1159"/>
      <c r="AA121" s="1159"/>
      <c r="AB121" s="1159"/>
      <c r="AC121" s="1159"/>
      <c r="AD121" s="1159"/>
      <c r="AE121" s="1159"/>
      <c r="AF121" s="1159"/>
    </row>
    <row r="122" spans="2:32">
      <c r="B122" s="1947" t="s">
        <v>2409</v>
      </c>
      <c r="C122" s="928">
        <v>2.5086794563075734E-2</v>
      </c>
      <c r="D122" s="946">
        <v>2.5086794563075734E-2</v>
      </c>
      <c r="E122" s="946">
        <v>2.5086794563075734E-2</v>
      </c>
      <c r="F122" s="930">
        <v>2.5086794563075734E-2</v>
      </c>
      <c r="G122" s="1159"/>
      <c r="H122" s="2043"/>
      <c r="I122" s="2043"/>
      <c r="J122" s="2043"/>
      <c r="K122" s="2043"/>
      <c r="L122" s="1159"/>
      <c r="M122" s="1159"/>
      <c r="N122" s="1159"/>
      <c r="O122" s="1159"/>
      <c r="P122" s="1159"/>
      <c r="Q122" s="1159"/>
      <c r="R122" s="1159"/>
      <c r="S122" s="1159"/>
      <c r="T122" s="1159"/>
      <c r="U122" s="1159"/>
      <c r="V122" s="1159"/>
      <c r="W122" s="1159"/>
      <c r="X122" s="1159"/>
      <c r="Y122" s="1159"/>
      <c r="Z122" s="1159"/>
      <c r="AA122" s="1159"/>
      <c r="AB122" s="1159"/>
      <c r="AC122" s="1159"/>
      <c r="AD122" s="1159"/>
      <c r="AE122" s="1159"/>
      <c r="AF122" s="1159"/>
    </row>
    <row r="123" spans="2:32">
      <c r="B123" s="1947" t="s">
        <v>2410</v>
      </c>
      <c r="C123" s="928">
        <v>1.6666666666666663E-2</v>
      </c>
      <c r="D123" s="946">
        <v>1.6666666666666663E-2</v>
      </c>
      <c r="E123" s="946">
        <v>1.6666666666666663E-2</v>
      </c>
      <c r="F123" s="930">
        <v>1.6666666666666663E-2</v>
      </c>
      <c r="G123" s="1159"/>
      <c r="H123" s="2043"/>
      <c r="I123" s="2043"/>
      <c r="J123" s="2043"/>
      <c r="K123" s="2043"/>
      <c r="L123" s="1159"/>
      <c r="M123" s="1159"/>
      <c r="N123" s="1159"/>
      <c r="O123" s="1159"/>
      <c r="P123" s="1159"/>
      <c r="Q123" s="1159"/>
      <c r="R123" s="1159"/>
      <c r="S123" s="1159"/>
      <c r="T123" s="1159"/>
      <c r="U123" s="1159"/>
      <c r="V123" s="1159"/>
      <c r="W123" s="1159"/>
      <c r="X123" s="1159"/>
      <c r="Y123" s="1159"/>
      <c r="Z123" s="1159"/>
      <c r="AA123" s="1159"/>
      <c r="AB123" s="1159"/>
      <c r="AC123" s="1159"/>
      <c r="AD123" s="1159"/>
      <c r="AE123" s="1159"/>
      <c r="AF123" s="1159"/>
    </row>
    <row r="124" spans="2:32">
      <c r="B124" s="1947" t="s">
        <v>1409</v>
      </c>
      <c r="C124" s="928">
        <v>9.6799999999999979E-4</v>
      </c>
      <c r="D124" s="946">
        <v>9.6799999999999979E-4</v>
      </c>
      <c r="E124" s="946">
        <v>9.6799999999999979E-4</v>
      </c>
      <c r="F124" s="930">
        <v>9.6799999999999979E-4</v>
      </c>
      <c r="G124" s="1159"/>
      <c r="H124" s="2043"/>
      <c r="I124" s="2043"/>
      <c r="J124" s="2043"/>
      <c r="K124" s="2043"/>
      <c r="L124" s="1159"/>
      <c r="M124" s="1159"/>
      <c r="N124" s="1159"/>
      <c r="O124" s="1159"/>
      <c r="P124" s="1159"/>
      <c r="Q124" s="1159"/>
      <c r="R124" s="1159"/>
      <c r="S124" s="1159"/>
      <c r="T124" s="1159"/>
      <c r="U124" s="1159"/>
      <c r="V124" s="1159"/>
      <c r="W124" s="1159"/>
      <c r="X124" s="1159"/>
      <c r="Y124" s="1159"/>
      <c r="Z124" s="1159"/>
      <c r="AA124" s="1159"/>
      <c r="AB124" s="1159"/>
      <c r="AC124" s="1159"/>
      <c r="AD124" s="1159"/>
      <c r="AE124" s="1159"/>
      <c r="AF124" s="1159"/>
    </row>
    <row r="125" spans="2:32">
      <c r="B125" s="1947" t="s">
        <v>2411</v>
      </c>
      <c r="C125" s="928">
        <v>9.6799999999999979E-4</v>
      </c>
      <c r="D125" s="946">
        <v>9.6799999999999979E-4</v>
      </c>
      <c r="E125" s="946">
        <v>9.6799999999999979E-4</v>
      </c>
      <c r="F125" s="930">
        <v>9.6799999999999979E-4</v>
      </c>
      <c r="G125" s="1159"/>
      <c r="H125" s="2043"/>
      <c r="I125" s="2043"/>
      <c r="J125" s="2043"/>
      <c r="K125" s="2043"/>
      <c r="L125" s="1159"/>
      <c r="M125" s="1159"/>
      <c r="N125" s="1159"/>
      <c r="O125" s="1159"/>
      <c r="P125" s="1159"/>
      <c r="Q125" s="1159"/>
      <c r="R125" s="1159"/>
      <c r="S125" s="1159"/>
      <c r="T125" s="1159"/>
      <c r="U125" s="1159"/>
      <c r="V125" s="1159"/>
      <c r="W125" s="1159"/>
      <c r="X125" s="1159"/>
      <c r="Y125" s="1159"/>
      <c r="Z125" s="1159"/>
      <c r="AA125" s="1159"/>
      <c r="AB125" s="1159"/>
      <c r="AC125" s="1159"/>
      <c r="AD125" s="1159"/>
      <c r="AE125" s="1159"/>
      <c r="AF125" s="1159"/>
    </row>
    <row r="126" spans="2:32">
      <c r="B126" s="1950" t="s">
        <v>2412</v>
      </c>
      <c r="C126" s="1761">
        <v>4.8333333333333323E-4</v>
      </c>
      <c r="D126" s="2044">
        <v>4.8333333333333323E-4</v>
      </c>
      <c r="E126" s="2044">
        <v>4.8333333333333323E-4</v>
      </c>
      <c r="F126" s="2045">
        <v>4.8333333333333323E-4</v>
      </c>
      <c r="G126" s="1159"/>
      <c r="H126" s="2043"/>
      <c r="I126" s="2043"/>
      <c r="J126" s="2043"/>
      <c r="K126" s="2043"/>
      <c r="L126" s="1159"/>
      <c r="M126" s="1159"/>
      <c r="N126" s="1159"/>
      <c r="O126" s="1159"/>
      <c r="P126" s="1159"/>
      <c r="Q126" s="1159"/>
      <c r="R126" s="1159"/>
      <c r="S126" s="1159"/>
      <c r="T126" s="1159"/>
      <c r="U126" s="1159"/>
      <c r="V126" s="1159"/>
      <c r="W126" s="1159"/>
      <c r="X126" s="1159"/>
      <c r="Y126" s="1159"/>
      <c r="Z126" s="1159"/>
      <c r="AA126" s="1159"/>
      <c r="AB126" s="1159"/>
      <c r="AC126" s="1159"/>
      <c r="AD126" s="1159"/>
      <c r="AE126" s="1159"/>
      <c r="AF126" s="1159"/>
    </row>
    <row r="127" spans="2:32">
      <c r="B127" s="487" t="s">
        <v>182</v>
      </c>
      <c r="C127" s="232"/>
      <c r="D127" s="1159"/>
      <c r="E127" s="1159"/>
      <c r="F127" s="128"/>
      <c r="G127" s="1159"/>
      <c r="H127" s="2042"/>
      <c r="I127" s="2042"/>
      <c r="J127" s="2042"/>
      <c r="K127" s="2042"/>
      <c r="L127" s="1159"/>
      <c r="M127" s="1159"/>
      <c r="N127" s="1159"/>
      <c r="O127" s="1159"/>
      <c r="P127" s="1159"/>
      <c r="Q127" s="1159"/>
      <c r="R127" s="1159"/>
      <c r="S127" s="1159"/>
      <c r="T127" s="1159"/>
      <c r="U127" s="1159"/>
      <c r="V127" s="1159"/>
      <c r="W127" s="1159"/>
      <c r="X127" s="1159"/>
      <c r="Y127" s="1159"/>
      <c r="Z127" s="1159"/>
      <c r="AA127" s="1159"/>
      <c r="AB127" s="1159"/>
      <c r="AC127" s="1159"/>
      <c r="AD127" s="1159"/>
      <c r="AE127" s="1159"/>
      <c r="AF127" s="1159"/>
    </row>
    <row r="128" spans="2:32">
      <c r="B128" s="1947" t="s">
        <v>1868</v>
      </c>
      <c r="C128" s="928">
        <v>1.9467883614486304E-2</v>
      </c>
      <c r="D128" s="946">
        <v>1.963554557265916E-2</v>
      </c>
      <c r="E128" s="946">
        <v>0</v>
      </c>
      <c r="F128" s="930">
        <v>0.52337611063159906</v>
      </c>
      <c r="G128" s="1159"/>
      <c r="H128" s="2043"/>
      <c r="I128" s="2043"/>
      <c r="J128" s="2043"/>
      <c r="K128" s="2043"/>
      <c r="L128" s="1159"/>
      <c r="M128" s="1159"/>
      <c r="N128" s="1159"/>
      <c r="O128" s="1159"/>
      <c r="P128" s="1159"/>
      <c r="Q128" s="1159"/>
      <c r="R128" s="1159"/>
      <c r="S128" s="1159"/>
      <c r="T128" s="1159"/>
      <c r="U128" s="1159"/>
      <c r="V128" s="1159"/>
      <c r="W128" s="1159"/>
      <c r="X128" s="1159"/>
      <c r="Y128" s="1159"/>
      <c r="Z128" s="1159"/>
      <c r="AA128" s="1159"/>
      <c r="AB128" s="1159"/>
      <c r="AC128" s="1159"/>
      <c r="AD128" s="1159"/>
      <c r="AE128" s="1159"/>
      <c r="AF128" s="1159"/>
    </row>
    <row r="129" spans="2:32">
      <c r="B129" s="1947" t="s">
        <v>38</v>
      </c>
      <c r="C129" s="928">
        <v>0.41528545820481283</v>
      </c>
      <c r="D129" s="946">
        <v>0.414812010614311</v>
      </c>
      <c r="E129" s="946">
        <v>0</v>
      </c>
      <c r="F129" s="930">
        <v>5.6915171624122449E-2</v>
      </c>
      <c r="G129" s="1159"/>
      <c r="H129" s="2043"/>
      <c r="I129" s="2043"/>
      <c r="J129" s="2043"/>
      <c r="K129" s="2043"/>
      <c r="L129" s="1159"/>
      <c r="M129" s="1159"/>
      <c r="N129" s="1159"/>
      <c r="O129" s="1159"/>
      <c r="P129" s="1159"/>
      <c r="Q129" s="1159"/>
      <c r="R129" s="1159"/>
      <c r="S129" s="1159"/>
      <c r="T129" s="1159"/>
      <c r="U129" s="1159"/>
      <c r="V129" s="1159"/>
      <c r="W129" s="1159"/>
      <c r="X129" s="1159"/>
      <c r="Y129" s="1159"/>
      <c r="Z129" s="1159"/>
      <c r="AA129" s="1159"/>
      <c r="AB129" s="1159"/>
      <c r="AC129" s="1159"/>
      <c r="AD129" s="1159"/>
      <c r="AE129" s="1159"/>
      <c r="AF129" s="1159"/>
    </row>
    <row r="130" spans="2:32">
      <c r="B130" s="1947" t="s">
        <v>2406</v>
      </c>
      <c r="C130" s="928">
        <v>6.9799118661064988E-2</v>
      </c>
      <c r="D130" s="946">
        <v>6.9693767343865815E-2</v>
      </c>
      <c r="E130" s="946">
        <v>0</v>
      </c>
      <c r="F130" s="930">
        <v>7.3945644389102186E-2</v>
      </c>
      <c r="G130" s="1159"/>
      <c r="H130" s="2043"/>
      <c r="I130" s="2043"/>
      <c r="J130" s="2043"/>
      <c r="K130" s="2043"/>
      <c r="L130" s="1159"/>
      <c r="M130" s="1159"/>
      <c r="N130" s="1159"/>
      <c r="O130" s="1159"/>
      <c r="P130" s="1159"/>
      <c r="Q130" s="1159"/>
      <c r="R130" s="1159"/>
      <c r="S130" s="1159"/>
      <c r="T130" s="1159"/>
      <c r="U130" s="1159"/>
      <c r="V130" s="1159"/>
      <c r="W130" s="1159"/>
      <c r="X130" s="1159"/>
      <c r="Y130" s="1159"/>
      <c r="Z130" s="1159"/>
      <c r="AA130" s="1159"/>
      <c r="AB130" s="1159"/>
      <c r="AC130" s="1159"/>
      <c r="AD130" s="1159"/>
      <c r="AE130" s="1159"/>
      <c r="AF130" s="1159"/>
    </row>
    <row r="131" spans="2:32">
      <c r="B131" s="1947" t="s">
        <v>2405</v>
      </c>
      <c r="C131" s="928">
        <v>7.5523872607624817E-2</v>
      </c>
      <c r="D131" s="946">
        <v>7.59319967713495E-2</v>
      </c>
      <c r="E131" s="946">
        <v>0</v>
      </c>
      <c r="F131" s="930">
        <v>5.6625345482894593E-2</v>
      </c>
      <c r="G131" s="1159"/>
      <c r="H131" s="2043"/>
      <c r="I131" s="2043"/>
      <c r="J131" s="2043"/>
      <c r="K131" s="2043"/>
      <c r="L131" s="1159"/>
      <c r="M131" s="1159"/>
      <c r="N131" s="1159"/>
      <c r="O131" s="1159"/>
      <c r="P131" s="1159"/>
      <c r="Q131" s="1159"/>
      <c r="R131" s="1159"/>
      <c r="S131" s="1159"/>
      <c r="T131" s="1159"/>
      <c r="U131" s="1159"/>
      <c r="V131" s="1159"/>
      <c r="W131" s="1159"/>
      <c r="X131" s="1159"/>
      <c r="Y131" s="1159"/>
      <c r="Z131" s="1159"/>
      <c r="AA131" s="1159"/>
      <c r="AB131" s="1159"/>
      <c r="AC131" s="1159"/>
      <c r="AD131" s="1159"/>
      <c r="AE131" s="1159"/>
      <c r="AF131" s="1159"/>
    </row>
    <row r="132" spans="2:32">
      <c r="B132" s="1947" t="s">
        <v>1869</v>
      </c>
      <c r="C132" s="928">
        <v>0.32009741803338065</v>
      </c>
      <c r="D132" s="946">
        <v>0.31961427891545535</v>
      </c>
      <c r="E132" s="946">
        <v>0</v>
      </c>
      <c r="F132" s="930">
        <v>0</v>
      </c>
      <c r="G132" s="1159"/>
      <c r="H132" s="2043"/>
      <c r="I132" s="2043"/>
      <c r="J132" s="2043"/>
      <c r="K132" s="2043"/>
      <c r="L132" s="1159"/>
      <c r="M132" s="1159"/>
      <c r="N132" s="1159"/>
      <c r="O132" s="1159"/>
      <c r="P132" s="1159"/>
      <c r="Q132" s="1159"/>
      <c r="R132" s="1159"/>
      <c r="S132" s="1159"/>
      <c r="T132" s="1159"/>
      <c r="U132" s="1159"/>
      <c r="V132" s="1159"/>
      <c r="W132" s="1159"/>
      <c r="X132" s="1159"/>
      <c r="Y132" s="1159"/>
      <c r="Z132" s="1159"/>
      <c r="AA132" s="1159"/>
      <c r="AB132" s="1159"/>
      <c r="AC132" s="1159"/>
      <c r="AD132" s="1159"/>
      <c r="AE132" s="1159"/>
      <c r="AF132" s="1159"/>
    </row>
    <row r="133" spans="2:32">
      <c r="B133" s="1947" t="s">
        <v>61</v>
      </c>
      <c r="C133" s="928">
        <v>8.0054375924898964E-3</v>
      </c>
      <c r="D133" s="946">
        <v>7.9939715826792355E-3</v>
      </c>
      <c r="E133" s="946">
        <v>0</v>
      </c>
      <c r="F133" s="930">
        <v>9.4992669154998783E-3</v>
      </c>
      <c r="G133" s="1159"/>
      <c r="H133" s="2043"/>
      <c r="I133" s="2043"/>
      <c r="J133" s="2043"/>
      <c r="K133" s="2043"/>
      <c r="L133" s="1159"/>
      <c r="M133" s="1159"/>
      <c r="N133" s="1159"/>
      <c r="O133" s="1159"/>
      <c r="P133" s="1159"/>
      <c r="Q133" s="1159"/>
      <c r="R133" s="1159"/>
      <c r="S133" s="1159"/>
      <c r="T133" s="1159"/>
      <c r="U133" s="1159"/>
      <c r="V133" s="1159"/>
      <c r="W133" s="1159"/>
      <c r="X133" s="1159"/>
      <c r="Y133" s="1159"/>
      <c r="Z133" s="1159"/>
      <c r="AA133" s="1159"/>
      <c r="AB133" s="1159"/>
      <c r="AC133" s="1159"/>
      <c r="AD133" s="1159"/>
      <c r="AE133" s="1159"/>
      <c r="AF133" s="1159"/>
    </row>
    <row r="134" spans="2:32">
      <c r="B134" s="1947" t="s">
        <v>60</v>
      </c>
      <c r="C134" s="928">
        <v>4.9295614151915725E-2</v>
      </c>
      <c r="D134" s="946">
        <v>4.950120671496084E-2</v>
      </c>
      <c r="E134" s="946">
        <v>0</v>
      </c>
      <c r="F134" s="930">
        <v>2.074711072150703E-2</v>
      </c>
      <c r="G134" s="1159"/>
      <c r="H134" s="2043"/>
      <c r="I134" s="2043"/>
      <c r="J134" s="2043"/>
      <c r="K134" s="2043"/>
      <c r="L134" s="1159"/>
      <c r="M134" s="1159"/>
      <c r="N134" s="1159"/>
      <c r="O134" s="1159"/>
      <c r="P134" s="1159"/>
      <c r="Q134" s="1159"/>
      <c r="R134" s="1159"/>
      <c r="S134" s="1159"/>
      <c r="T134" s="1159"/>
      <c r="U134" s="1159"/>
      <c r="V134" s="1159"/>
      <c r="W134" s="1159"/>
      <c r="X134" s="1159"/>
      <c r="Y134" s="1159"/>
      <c r="Z134" s="1159"/>
      <c r="AA134" s="1159"/>
      <c r="AB134" s="1159"/>
      <c r="AC134" s="1159"/>
      <c r="AD134" s="1159"/>
      <c r="AE134" s="1159"/>
      <c r="AF134" s="1159"/>
    </row>
    <row r="135" spans="2:32">
      <c r="B135" s="1947" t="s">
        <v>2413</v>
      </c>
      <c r="C135" s="928">
        <v>6.1124117204980968E-3</v>
      </c>
      <c r="D135" s="946">
        <v>6.1031859503398065E-3</v>
      </c>
      <c r="E135" s="946">
        <v>0</v>
      </c>
      <c r="F135" s="930">
        <v>1.9931388171572664E-2</v>
      </c>
      <c r="G135" s="1159"/>
      <c r="H135" s="2043"/>
      <c r="I135" s="2043"/>
      <c r="J135" s="2043"/>
      <c r="K135" s="2043"/>
      <c r="L135" s="1159"/>
      <c r="M135" s="1159"/>
      <c r="N135" s="1159"/>
      <c r="O135" s="1159"/>
      <c r="P135" s="1159"/>
      <c r="Q135" s="1159"/>
      <c r="R135" s="1159"/>
      <c r="S135" s="1159"/>
      <c r="T135" s="1159"/>
      <c r="U135" s="1159"/>
      <c r="V135" s="1159"/>
      <c r="W135" s="1159"/>
      <c r="X135" s="1159"/>
      <c r="Y135" s="1159"/>
      <c r="Z135" s="1159"/>
      <c r="AA135" s="1159"/>
      <c r="AB135" s="1159"/>
      <c r="AC135" s="1159"/>
      <c r="AD135" s="1159"/>
      <c r="AE135" s="1159"/>
      <c r="AF135" s="1159"/>
    </row>
    <row r="136" spans="2:32">
      <c r="B136" s="1947" t="s">
        <v>2414</v>
      </c>
      <c r="C136" s="928">
        <v>0</v>
      </c>
      <c r="D136" s="946">
        <v>0</v>
      </c>
      <c r="E136" s="946">
        <v>0</v>
      </c>
      <c r="F136" s="930">
        <v>0</v>
      </c>
      <c r="G136" s="1159"/>
      <c r="H136" s="2043"/>
      <c r="I136" s="2043"/>
      <c r="J136" s="2043"/>
      <c r="K136" s="2043"/>
      <c r="L136" s="1159"/>
      <c r="M136" s="1159"/>
      <c r="N136" s="1159"/>
      <c r="O136" s="1159"/>
      <c r="P136" s="1159"/>
      <c r="Q136" s="1159"/>
      <c r="R136" s="1159"/>
      <c r="S136" s="1159"/>
      <c r="T136" s="1159"/>
      <c r="U136" s="1159"/>
      <c r="V136" s="1159"/>
      <c r="W136" s="1159"/>
      <c r="X136" s="1159"/>
      <c r="Y136" s="1159"/>
      <c r="Z136" s="1159"/>
      <c r="AA136" s="1159"/>
      <c r="AB136" s="1159"/>
      <c r="AC136" s="1159"/>
      <c r="AD136" s="1159"/>
      <c r="AE136" s="1159"/>
      <c r="AF136" s="1159"/>
    </row>
    <row r="137" spans="2:32">
      <c r="B137" s="1947" t="s">
        <v>1409</v>
      </c>
      <c r="C137" s="928">
        <v>6.6048079489949266E-5</v>
      </c>
      <c r="D137" s="946">
        <v>6.594838980466069E-5</v>
      </c>
      <c r="E137" s="946">
        <v>0</v>
      </c>
      <c r="F137" s="930">
        <v>0</v>
      </c>
      <c r="G137" s="1159"/>
      <c r="H137" s="2043"/>
      <c r="I137" s="2043"/>
      <c r="J137" s="2043"/>
      <c r="K137" s="2043"/>
      <c r="L137" s="1159"/>
      <c r="M137" s="1159"/>
      <c r="N137" s="1159"/>
      <c r="O137" s="1159"/>
      <c r="P137" s="1159"/>
      <c r="Q137" s="1159"/>
      <c r="R137" s="1159"/>
      <c r="S137" s="1159"/>
      <c r="T137" s="1159"/>
      <c r="U137" s="1159"/>
      <c r="V137" s="1159"/>
      <c r="W137" s="1159"/>
      <c r="X137" s="1159"/>
      <c r="Y137" s="1159"/>
      <c r="Z137" s="1159"/>
      <c r="AA137" s="1159"/>
      <c r="AB137" s="1159"/>
      <c r="AC137" s="1159"/>
      <c r="AD137" s="1159"/>
      <c r="AE137" s="1159"/>
      <c r="AF137" s="1159"/>
    </row>
    <row r="138" spans="2:32">
      <c r="B138" s="1947" t="s">
        <v>2415</v>
      </c>
      <c r="C138" s="928">
        <v>0</v>
      </c>
      <c r="D138" s="946">
        <v>0</v>
      </c>
      <c r="E138" s="946">
        <v>0</v>
      </c>
      <c r="F138" s="930">
        <v>0</v>
      </c>
      <c r="G138" s="1159"/>
      <c r="H138" s="2043"/>
      <c r="I138" s="2043"/>
      <c r="J138" s="2043"/>
      <c r="K138" s="2043"/>
      <c r="L138" s="1159"/>
      <c r="M138" s="1159"/>
      <c r="N138" s="1159"/>
      <c r="O138" s="1159"/>
      <c r="P138" s="1159"/>
      <c r="Q138" s="1159"/>
      <c r="R138" s="1159"/>
      <c r="S138" s="1159"/>
      <c r="T138" s="1159"/>
      <c r="U138" s="1159"/>
      <c r="V138" s="1159"/>
      <c r="W138" s="1159"/>
      <c r="X138" s="1159"/>
      <c r="Y138" s="1159"/>
      <c r="Z138" s="1159"/>
      <c r="AA138" s="1159"/>
      <c r="AB138" s="1159"/>
      <c r="AC138" s="1159"/>
      <c r="AD138" s="1159"/>
      <c r="AE138" s="1159"/>
      <c r="AF138" s="1159"/>
    </row>
    <row r="139" spans="2:32">
      <c r="B139" s="1947" t="s">
        <v>2416</v>
      </c>
      <c r="C139" s="928">
        <v>3.2678260294145061E-3</v>
      </c>
      <c r="D139" s="946">
        <v>3.2628937353801311E-3</v>
      </c>
      <c r="E139" s="946">
        <v>0</v>
      </c>
      <c r="F139" s="930">
        <v>2.3823530426344223E-3</v>
      </c>
      <c r="G139" s="1159"/>
      <c r="H139" s="2043"/>
      <c r="I139" s="2043"/>
      <c r="J139" s="2043"/>
      <c r="K139" s="2043"/>
      <c r="L139" s="1159"/>
      <c r="M139" s="1159"/>
      <c r="N139" s="1159"/>
      <c r="O139" s="1159"/>
      <c r="P139" s="1159"/>
      <c r="Q139" s="1159"/>
      <c r="R139" s="1159"/>
      <c r="S139" s="1159"/>
      <c r="T139" s="1159"/>
      <c r="U139" s="1159"/>
      <c r="V139" s="1159"/>
      <c r="W139" s="1159"/>
      <c r="X139" s="1159"/>
      <c r="Y139" s="1159"/>
      <c r="Z139" s="1159"/>
      <c r="AA139" s="1159"/>
      <c r="AB139" s="1159"/>
      <c r="AC139" s="1159"/>
      <c r="AD139" s="1159"/>
      <c r="AE139" s="1159"/>
      <c r="AF139" s="1159"/>
    </row>
    <row r="140" spans="2:32">
      <c r="B140" s="1947" t="s">
        <v>2417</v>
      </c>
      <c r="C140" s="928">
        <v>9.440386307197462E-4</v>
      </c>
      <c r="D140" s="946">
        <v>9.4261374577648226E-4</v>
      </c>
      <c r="E140" s="946">
        <v>0</v>
      </c>
      <c r="F140" s="930">
        <v>0</v>
      </c>
      <c r="G140" s="1159"/>
      <c r="H140" s="2043"/>
      <c r="I140" s="2043"/>
      <c r="J140" s="2043"/>
      <c r="K140" s="2043"/>
      <c r="L140" s="1159"/>
      <c r="M140" s="1159"/>
      <c r="N140" s="1159"/>
      <c r="O140" s="1159"/>
      <c r="P140" s="1159"/>
      <c r="Q140" s="1159"/>
      <c r="R140" s="1159"/>
      <c r="S140" s="1159"/>
      <c r="T140" s="1159"/>
      <c r="U140" s="1159"/>
      <c r="V140" s="1159"/>
      <c r="W140" s="1159"/>
      <c r="X140" s="1159"/>
      <c r="Y140" s="1159"/>
      <c r="Z140" s="1159"/>
      <c r="AA140" s="1159"/>
      <c r="AB140" s="1159"/>
      <c r="AC140" s="1159"/>
      <c r="AD140" s="1159"/>
      <c r="AE140" s="1159"/>
      <c r="AF140" s="1159"/>
    </row>
    <row r="141" spans="2:32">
      <c r="B141" s="1947" t="s">
        <v>63</v>
      </c>
      <c r="C141" s="928">
        <v>2.1236959332450255E-4</v>
      </c>
      <c r="D141" s="946">
        <v>2.144031417756323E-4</v>
      </c>
      <c r="E141" s="946">
        <v>0</v>
      </c>
      <c r="F141" s="930">
        <v>7.4512620756498433E-4</v>
      </c>
      <c r="G141" s="1159"/>
      <c r="H141" s="2043"/>
      <c r="I141" s="2043"/>
      <c r="J141" s="2043"/>
      <c r="K141" s="2043"/>
      <c r="L141" s="1159"/>
      <c r="M141" s="1159"/>
      <c r="N141" s="1159"/>
      <c r="O141" s="1159"/>
      <c r="P141" s="1159"/>
      <c r="Q141" s="1159"/>
      <c r="R141" s="1159"/>
      <c r="S141" s="1159"/>
      <c r="T141" s="1159"/>
      <c r="U141" s="1159"/>
      <c r="V141" s="1159"/>
      <c r="W141" s="1159"/>
      <c r="X141" s="1159"/>
      <c r="Y141" s="1159"/>
      <c r="Z141" s="1159"/>
      <c r="AA141" s="1159"/>
      <c r="AB141" s="1159"/>
      <c r="AC141" s="1159"/>
      <c r="AD141" s="1159"/>
      <c r="AE141" s="1159"/>
      <c r="AF141" s="1159"/>
    </row>
    <row r="142" spans="2:32">
      <c r="B142" s="1947" t="s">
        <v>2407</v>
      </c>
      <c r="C142" s="928">
        <v>0</v>
      </c>
      <c r="D142" s="946">
        <v>0</v>
      </c>
      <c r="E142" s="946">
        <v>0</v>
      </c>
      <c r="F142" s="930">
        <v>3.8035315075016236E-2</v>
      </c>
      <c r="G142" s="1159"/>
      <c r="H142" s="2043"/>
      <c r="I142" s="2043"/>
      <c r="J142" s="2043"/>
      <c r="K142" s="2043"/>
      <c r="L142" s="1159"/>
      <c r="M142" s="1159"/>
      <c r="N142" s="1159"/>
      <c r="O142" s="1159"/>
      <c r="P142" s="1159"/>
      <c r="Q142" s="1159"/>
      <c r="R142" s="1159"/>
      <c r="S142" s="1159"/>
      <c r="T142" s="1159"/>
      <c r="U142" s="1159"/>
      <c r="V142" s="1159"/>
      <c r="W142" s="1159"/>
      <c r="X142" s="1159"/>
      <c r="Y142" s="1159"/>
      <c r="Z142" s="1159"/>
      <c r="AA142" s="1159"/>
      <c r="AB142" s="1159"/>
      <c r="AC142" s="1159"/>
      <c r="AD142" s="1159"/>
      <c r="AE142" s="1159"/>
      <c r="AF142" s="1159"/>
    </row>
    <row r="143" spans="2:32">
      <c r="B143" s="1947" t="s">
        <v>2418</v>
      </c>
      <c r="C143" s="928">
        <v>0</v>
      </c>
      <c r="D143" s="946">
        <v>0</v>
      </c>
      <c r="E143" s="946">
        <v>0</v>
      </c>
      <c r="F143" s="930">
        <v>1.321257728333443E-3</v>
      </c>
      <c r="G143" s="1159"/>
      <c r="H143" s="2043"/>
      <c r="I143" s="2043"/>
      <c r="J143" s="2043"/>
      <c r="K143" s="2043"/>
      <c r="L143" s="1159"/>
      <c r="M143" s="1159"/>
      <c r="N143" s="1159"/>
      <c r="O143" s="1159"/>
      <c r="P143" s="1159"/>
      <c r="Q143" s="1159"/>
      <c r="R143" s="1159"/>
      <c r="S143" s="1159"/>
      <c r="T143" s="1159"/>
      <c r="U143" s="1159"/>
      <c r="V143" s="1159"/>
      <c r="W143" s="1159"/>
      <c r="X143" s="1159"/>
      <c r="Y143" s="1159"/>
      <c r="Z143" s="1159"/>
      <c r="AA143" s="1159"/>
      <c r="AB143" s="1159"/>
      <c r="AC143" s="1159"/>
      <c r="AD143" s="1159"/>
      <c r="AE143" s="1159"/>
      <c r="AF143" s="1159"/>
    </row>
    <row r="144" spans="2:32">
      <c r="B144" s="1947" t="s">
        <v>1391</v>
      </c>
      <c r="C144" s="928">
        <v>0</v>
      </c>
      <c r="D144" s="946">
        <v>0</v>
      </c>
      <c r="E144" s="946">
        <v>0</v>
      </c>
      <c r="F144" s="930">
        <v>9.9657997593641856E-2</v>
      </c>
      <c r="G144" s="1159"/>
      <c r="H144" s="2043"/>
      <c r="I144" s="2043"/>
      <c r="J144" s="2043"/>
      <c r="K144" s="2043"/>
      <c r="L144" s="1159"/>
      <c r="M144" s="1159"/>
      <c r="N144" s="1159"/>
      <c r="O144" s="1159"/>
      <c r="P144" s="1159"/>
      <c r="Q144" s="1159"/>
      <c r="R144" s="1159"/>
      <c r="S144" s="1159"/>
      <c r="T144" s="1159"/>
      <c r="U144" s="1159"/>
      <c r="V144" s="1159"/>
      <c r="W144" s="1159"/>
      <c r="X144" s="1159"/>
      <c r="Y144" s="1159"/>
      <c r="Z144" s="1159"/>
      <c r="AA144" s="1159"/>
      <c r="AB144" s="1159"/>
      <c r="AC144" s="1159"/>
      <c r="AD144" s="1159"/>
      <c r="AE144" s="1159"/>
      <c r="AF144" s="1159"/>
    </row>
    <row r="145" spans="2:32">
      <c r="B145" s="1947" t="s">
        <v>375</v>
      </c>
      <c r="C145" s="928">
        <v>0</v>
      </c>
      <c r="D145" s="946">
        <v>0</v>
      </c>
      <c r="E145" s="946">
        <v>0</v>
      </c>
      <c r="F145" s="930">
        <v>4.7705951637725769E-4</v>
      </c>
      <c r="G145" s="1159"/>
      <c r="H145" s="2043"/>
      <c r="I145" s="2043"/>
      <c r="J145" s="2043"/>
      <c r="K145" s="2043"/>
      <c r="L145" s="1159"/>
      <c r="M145" s="1159"/>
      <c r="N145" s="1159"/>
      <c r="O145" s="1159"/>
      <c r="P145" s="1159"/>
      <c r="Q145" s="1159"/>
      <c r="R145" s="1159"/>
      <c r="S145" s="1159"/>
      <c r="T145" s="1159"/>
      <c r="U145" s="1159"/>
      <c r="V145" s="1159"/>
      <c r="W145" s="1159"/>
      <c r="X145" s="1159"/>
      <c r="Y145" s="1159"/>
      <c r="Z145" s="1159"/>
      <c r="AA145" s="1159"/>
      <c r="AB145" s="1159"/>
      <c r="AC145" s="1159"/>
      <c r="AD145" s="1159"/>
      <c r="AE145" s="1159"/>
      <c r="AF145" s="1159"/>
    </row>
    <row r="146" spans="2:32">
      <c r="B146" s="1947" t="s">
        <v>381</v>
      </c>
      <c r="C146" s="928">
        <v>0</v>
      </c>
      <c r="D146" s="946">
        <v>0</v>
      </c>
      <c r="E146" s="946">
        <v>0</v>
      </c>
      <c r="F146" s="930">
        <v>2.911245842090637E-2</v>
      </c>
      <c r="G146" s="1159"/>
      <c r="H146" s="2043"/>
      <c r="I146" s="2043"/>
      <c r="J146" s="2043"/>
      <c r="K146" s="2043"/>
      <c r="L146" s="1159"/>
      <c r="M146" s="1159"/>
      <c r="N146" s="1159"/>
      <c r="O146" s="1159"/>
      <c r="P146" s="1159"/>
      <c r="Q146" s="1159"/>
      <c r="R146" s="1159"/>
      <c r="S146" s="1159"/>
      <c r="T146" s="1159"/>
      <c r="U146" s="1159"/>
      <c r="V146" s="1159"/>
      <c r="W146" s="1159"/>
      <c r="X146" s="1159"/>
      <c r="Y146" s="1159"/>
      <c r="Z146" s="1159"/>
      <c r="AA146" s="1159"/>
      <c r="AB146" s="1159"/>
      <c r="AC146" s="1159"/>
      <c r="AD146" s="1159"/>
      <c r="AE146" s="1159"/>
      <c r="AF146" s="1159"/>
    </row>
    <row r="147" spans="2:32">
      <c r="B147" s="1947" t="s">
        <v>291</v>
      </c>
      <c r="C147" s="928">
        <v>0</v>
      </c>
      <c r="D147" s="946">
        <v>0</v>
      </c>
      <c r="E147" s="946">
        <v>0</v>
      </c>
      <c r="F147" s="930">
        <v>3.6300996230991716E-3</v>
      </c>
      <c r="G147" s="1159"/>
      <c r="H147" s="2043"/>
      <c r="I147" s="2043"/>
      <c r="J147" s="2043"/>
      <c r="K147" s="2043"/>
      <c r="L147" s="1159"/>
      <c r="M147" s="1159"/>
      <c r="N147" s="1159"/>
      <c r="O147" s="1159"/>
      <c r="P147" s="1159"/>
      <c r="Q147" s="1159"/>
      <c r="R147" s="1159"/>
      <c r="S147" s="1159"/>
      <c r="T147" s="1159"/>
      <c r="U147" s="1159"/>
      <c r="V147" s="1159"/>
      <c r="W147" s="1159"/>
      <c r="X147" s="1159"/>
      <c r="Y147" s="1159"/>
      <c r="Z147" s="1159"/>
      <c r="AA147" s="1159"/>
      <c r="AB147" s="1159"/>
      <c r="AC147" s="1159"/>
      <c r="AD147" s="1159"/>
      <c r="AE147" s="1159"/>
      <c r="AF147" s="1159"/>
    </row>
    <row r="148" spans="2:32">
      <c r="B148" s="1947" t="s">
        <v>289</v>
      </c>
      <c r="C148" s="928">
        <v>0</v>
      </c>
      <c r="D148" s="946">
        <v>0</v>
      </c>
      <c r="E148" s="946">
        <v>0</v>
      </c>
      <c r="F148" s="930">
        <v>8.2701776114159405E-3</v>
      </c>
      <c r="G148" s="1159"/>
      <c r="H148" s="2043"/>
      <c r="I148" s="2043"/>
      <c r="J148" s="2043"/>
      <c r="K148" s="2043"/>
      <c r="L148" s="1159"/>
      <c r="M148" s="1159"/>
      <c r="N148" s="1159"/>
      <c r="O148" s="1159"/>
      <c r="P148" s="1159"/>
      <c r="Q148" s="1159"/>
      <c r="R148" s="1159"/>
      <c r="S148" s="1159"/>
      <c r="T148" s="1159"/>
      <c r="U148" s="1159"/>
      <c r="V148" s="1159"/>
      <c r="W148" s="1159"/>
      <c r="X148" s="1159"/>
      <c r="Y148" s="1159"/>
      <c r="Z148" s="1159"/>
      <c r="AA148" s="1159"/>
      <c r="AB148" s="1159"/>
      <c r="AC148" s="1159"/>
      <c r="AD148" s="1159"/>
      <c r="AE148" s="1159"/>
      <c r="AF148" s="1159"/>
    </row>
    <row r="149" spans="2:32">
      <c r="B149" s="1947" t="s">
        <v>2419</v>
      </c>
      <c r="C149" s="928">
        <v>0</v>
      </c>
      <c r="D149" s="946">
        <v>0</v>
      </c>
      <c r="E149" s="946">
        <v>0</v>
      </c>
      <c r="F149" s="930">
        <v>2.1927642463576893E-2</v>
      </c>
      <c r="G149" s="1159"/>
      <c r="H149" s="2043"/>
      <c r="I149" s="2043"/>
      <c r="J149" s="2043"/>
      <c r="K149" s="2043"/>
      <c r="L149" s="1159"/>
      <c r="M149" s="1159"/>
      <c r="N149" s="1159"/>
      <c r="O149" s="1159"/>
      <c r="P149" s="1159"/>
      <c r="Q149" s="1159"/>
      <c r="R149" s="1159"/>
      <c r="S149" s="1159"/>
      <c r="T149" s="1159"/>
      <c r="U149" s="1159"/>
      <c r="V149" s="1159"/>
      <c r="W149" s="1159"/>
      <c r="X149" s="1159"/>
      <c r="Y149" s="1159"/>
      <c r="Z149" s="1159"/>
      <c r="AA149" s="1159"/>
      <c r="AB149" s="1159"/>
      <c r="AC149" s="1159"/>
      <c r="AD149" s="1159"/>
      <c r="AE149" s="1159"/>
      <c r="AF149" s="1159"/>
    </row>
    <row r="150" spans="2:32">
      <c r="B150" s="1947" t="s">
        <v>2420</v>
      </c>
      <c r="C150" s="928">
        <v>3.1922503080777848E-2</v>
      </c>
      <c r="D150" s="946">
        <v>3.2228177521642407E-2</v>
      </c>
      <c r="E150" s="946">
        <v>0</v>
      </c>
      <c r="F150" s="930">
        <v>3.0358332860370947E-4</v>
      </c>
      <c r="G150" s="1159"/>
      <c r="H150" s="2043"/>
      <c r="I150" s="2043"/>
      <c r="J150" s="2043"/>
      <c r="K150" s="2043"/>
      <c r="L150" s="1159"/>
      <c r="M150" s="1159"/>
      <c r="N150" s="1159"/>
      <c r="O150" s="1159"/>
      <c r="P150" s="1159"/>
      <c r="Q150" s="1159"/>
      <c r="R150" s="1159"/>
      <c r="S150" s="1159"/>
      <c r="T150" s="1159"/>
      <c r="U150" s="1159"/>
      <c r="V150" s="1159"/>
      <c r="W150" s="1159"/>
      <c r="X150" s="1159"/>
      <c r="Y150" s="1159"/>
      <c r="Z150" s="1159"/>
      <c r="AA150" s="1159"/>
      <c r="AB150" s="1159"/>
      <c r="AC150" s="1159"/>
      <c r="AD150" s="1159"/>
      <c r="AE150" s="1159"/>
      <c r="AF150" s="1159"/>
    </row>
    <row r="151" spans="2:32">
      <c r="B151" s="1947" t="s">
        <v>293</v>
      </c>
      <c r="C151" s="928">
        <v>0</v>
      </c>
      <c r="D151" s="946">
        <v>0</v>
      </c>
      <c r="E151" s="946">
        <v>0</v>
      </c>
      <c r="F151" s="930">
        <v>1.6175040655651663E-2</v>
      </c>
      <c r="G151" s="1159"/>
      <c r="H151" s="2043"/>
      <c r="I151" s="2043"/>
      <c r="J151" s="2043"/>
      <c r="K151" s="2043"/>
      <c r="L151" s="1159"/>
      <c r="M151" s="1159"/>
      <c r="N151" s="1159"/>
      <c r="O151" s="1159"/>
      <c r="P151" s="1159"/>
      <c r="Q151" s="1159"/>
      <c r="R151" s="1159"/>
      <c r="S151" s="1159"/>
      <c r="T151" s="1159"/>
      <c r="U151" s="1159"/>
      <c r="V151" s="1159"/>
      <c r="W151" s="1159"/>
      <c r="X151" s="1159"/>
      <c r="Y151" s="1159"/>
      <c r="Z151" s="1159"/>
      <c r="AA151" s="1159"/>
      <c r="AB151" s="1159"/>
      <c r="AC151" s="1159"/>
      <c r="AD151" s="1159"/>
      <c r="AE151" s="1159"/>
      <c r="AF151" s="1159"/>
    </row>
    <row r="152" spans="2:32">
      <c r="B152" s="1947" t="s">
        <v>2421</v>
      </c>
      <c r="C152" s="928">
        <v>0</v>
      </c>
      <c r="D152" s="946">
        <v>0</v>
      </c>
      <c r="E152" s="946">
        <v>0</v>
      </c>
      <c r="F152" s="930">
        <v>1.0601413704966979E-2</v>
      </c>
      <c r="G152" s="1159"/>
      <c r="H152" s="2043"/>
      <c r="I152" s="2043"/>
      <c r="J152" s="2043"/>
      <c r="K152" s="2043"/>
      <c r="L152" s="1159"/>
      <c r="M152" s="1159"/>
      <c r="N152" s="1159"/>
      <c r="O152" s="1159"/>
      <c r="P152" s="1159"/>
      <c r="Q152" s="1159"/>
      <c r="R152" s="1159"/>
      <c r="S152" s="1159"/>
      <c r="T152" s="1159"/>
      <c r="U152" s="1159"/>
      <c r="V152" s="1159"/>
      <c r="W152" s="1159"/>
      <c r="X152" s="1159"/>
      <c r="Y152" s="1159"/>
      <c r="Z152" s="1159"/>
      <c r="AA152" s="1159"/>
      <c r="AB152" s="1159"/>
      <c r="AC152" s="1159"/>
      <c r="AD152" s="1159"/>
      <c r="AE152" s="1159"/>
      <c r="AF152" s="1159"/>
    </row>
    <row r="153" spans="2:32">
      <c r="B153" s="1947" t="s">
        <v>2422</v>
      </c>
      <c r="C153" s="928">
        <v>0</v>
      </c>
      <c r="D153" s="946">
        <v>0</v>
      </c>
      <c r="E153" s="946">
        <v>0</v>
      </c>
      <c r="F153" s="930">
        <v>0</v>
      </c>
      <c r="G153" s="1159"/>
      <c r="H153" s="2043"/>
      <c r="I153" s="2043"/>
      <c r="J153" s="2043"/>
      <c r="K153" s="2043"/>
      <c r="L153" s="1159"/>
      <c r="M153" s="1159"/>
      <c r="N153" s="1159"/>
      <c r="O153" s="1159"/>
      <c r="P153" s="1159"/>
      <c r="Q153" s="1159"/>
      <c r="R153" s="1159"/>
      <c r="S153" s="1159"/>
      <c r="T153" s="1159"/>
      <c r="U153" s="1159"/>
      <c r="V153" s="1159"/>
      <c r="W153" s="1159"/>
      <c r="X153" s="1159"/>
      <c r="Y153" s="1159"/>
      <c r="Z153" s="1159"/>
      <c r="AA153" s="1159"/>
      <c r="AB153" s="1159"/>
      <c r="AC153" s="1159"/>
      <c r="AD153" s="1159"/>
      <c r="AE153" s="1159"/>
      <c r="AF153" s="1159"/>
    </row>
    <row r="154" spans="2:32">
      <c r="B154" s="1947" t="s">
        <v>48</v>
      </c>
      <c r="C154" s="928">
        <v>0</v>
      </c>
      <c r="D154" s="946">
        <v>0</v>
      </c>
      <c r="E154" s="946">
        <v>0</v>
      </c>
      <c r="F154" s="930">
        <v>2.7483302362833941E-3</v>
      </c>
      <c r="G154" s="1159"/>
      <c r="H154" s="2043"/>
      <c r="I154" s="2043"/>
      <c r="J154" s="2043"/>
      <c r="K154" s="2043"/>
      <c r="L154" s="1159"/>
      <c r="M154" s="1159"/>
      <c r="N154" s="1159"/>
      <c r="O154" s="1159"/>
      <c r="P154" s="1159"/>
      <c r="Q154" s="1159"/>
      <c r="R154" s="1159"/>
      <c r="S154" s="1159"/>
      <c r="T154" s="1159"/>
      <c r="U154" s="1159"/>
      <c r="V154" s="1159"/>
      <c r="W154" s="1159"/>
      <c r="X154" s="1159"/>
      <c r="Y154" s="1159"/>
      <c r="Z154" s="1159"/>
      <c r="AA154" s="1159"/>
      <c r="AB154" s="1159"/>
      <c r="AC154" s="1159"/>
      <c r="AD154" s="1159"/>
      <c r="AE154" s="1159"/>
      <c r="AF154" s="1159"/>
    </row>
    <row r="155" spans="2:32">
      <c r="B155" s="1947" t="s">
        <v>71</v>
      </c>
      <c r="C155" s="928">
        <v>0</v>
      </c>
      <c r="D155" s="946">
        <v>0</v>
      </c>
      <c r="E155" s="946">
        <v>0</v>
      </c>
      <c r="F155" s="930">
        <v>9.2056952656723728E-4</v>
      </c>
      <c r="G155" s="1159"/>
      <c r="H155" s="2043"/>
      <c r="I155" s="2043"/>
      <c r="J155" s="2043"/>
      <c r="K155" s="2043"/>
      <c r="L155" s="1159"/>
      <c r="M155" s="1159"/>
      <c r="N155" s="1159"/>
      <c r="O155" s="1159"/>
      <c r="P155" s="1159"/>
      <c r="Q155" s="1159"/>
      <c r="R155" s="1159"/>
      <c r="S155" s="1159"/>
      <c r="T155" s="1159"/>
      <c r="U155" s="1159"/>
      <c r="V155" s="1159"/>
      <c r="W155" s="1159"/>
      <c r="X155" s="1159"/>
      <c r="Y155" s="1159"/>
      <c r="Z155" s="1159"/>
      <c r="AA155" s="1159"/>
      <c r="AB155" s="1159"/>
      <c r="AC155" s="1159"/>
      <c r="AD155" s="1159"/>
      <c r="AE155" s="1159"/>
      <c r="AF155" s="1159"/>
    </row>
    <row r="156" spans="2:32">
      <c r="B156" s="1947" t="s">
        <v>73</v>
      </c>
      <c r="C156" s="928">
        <v>0</v>
      </c>
      <c r="D156" s="946">
        <v>0</v>
      </c>
      <c r="E156" s="946">
        <v>0</v>
      </c>
      <c r="F156" s="930">
        <v>4.6882474192642525E-4</v>
      </c>
      <c r="G156" s="1159"/>
      <c r="H156" s="2043"/>
      <c r="I156" s="2043"/>
      <c r="J156" s="2043"/>
      <c r="K156" s="2043"/>
      <c r="L156" s="1159"/>
      <c r="M156" s="1159"/>
      <c r="N156" s="1159"/>
      <c r="O156" s="1159"/>
      <c r="P156" s="1159"/>
      <c r="Q156" s="1159"/>
      <c r="R156" s="1159"/>
      <c r="S156" s="1159"/>
      <c r="T156" s="1159"/>
      <c r="U156" s="1159"/>
      <c r="V156" s="1159"/>
      <c r="W156" s="1159"/>
      <c r="X156" s="1159"/>
      <c r="Y156" s="1159"/>
      <c r="Z156" s="1159"/>
      <c r="AA156" s="1159"/>
      <c r="AB156" s="1159"/>
      <c r="AC156" s="1159"/>
      <c r="AD156" s="1159"/>
      <c r="AE156" s="1159"/>
      <c r="AF156" s="1159"/>
    </row>
    <row r="157" spans="2:32">
      <c r="B157" s="1947" t="s">
        <v>2423</v>
      </c>
      <c r="C157" s="928">
        <v>0</v>
      </c>
      <c r="D157" s="946">
        <v>0</v>
      </c>
      <c r="E157" s="946">
        <v>0</v>
      </c>
      <c r="F157" s="930">
        <v>1.753465764889976E-4</v>
      </c>
      <c r="G157" s="1159"/>
      <c r="H157" s="2043"/>
      <c r="I157" s="2043"/>
      <c r="J157" s="2043"/>
      <c r="K157" s="2043"/>
      <c r="L157" s="1159"/>
      <c r="M157" s="1159"/>
      <c r="N157" s="1159"/>
      <c r="O157" s="1159"/>
      <c r="P157" s="1159"/>
      <c r="Q157" s="1159"/>
      <c r="R157" s="1159"/>
      <c r="S157" s="1159"/>
      <c r="T157" s="1159"/>
      <c r="U157" s="1159"/>
      <c r="V157" s="1159"/>
      <c r="W157" s="1159"/>
      <c r="X157" s="1159"/>
      <c r="Y157" s="1159"/>
      <c r="Z157" s="1159"/>
      <c r="AA157" s="1159"/>
      <c r="AB157" s="1159"/>
      <c r="AC157" s="1159"/>
      <c r="AD157" s="1159"/>
      <c r="AE157" s="1159"/>
      <c r="AF157" s="1159"/>
    </row>
    <row r="158" spans="2:32">
      <c r="B158" s="1947" t="s">
        <v>69</v>
      </c>
      <c r="C158" s="928">
        <v>0</v>
      </c>
      <c r="D158" s="946">
        <v>0</v>
      </c>
      <c r="E158" s="946">
        <v>0</v>
      </c>
      <c r="F158" s="930">
        <v>4.3836644122249399E-5</v>
      </c>
      <c r="G158" s="1159"/>
      <c r="H158" s="2043"/>
      <c r="I158" s="2043"/>
      <c r="J158" s="2043"/>
      <c r="K158" s="2043"/>
      <c r="L158" s="1159"/>
      <c r="M158" s="1159"/>
      <c r="N158" s="1159"/>
      <c r="O158" s="1159"/>
      <c r="P158" s="1159"/>
      <c r="Q158" s="1159"/>
      <c r="R158" s="1159"/>
      <c r="S158" s="1159"/>
      <c r="T158" s="1159"/>
      <c r="U158" s="1159"/>
      <c r="V158" s="1159"/>
      <c r="W158" s="1159"/>
      <c r="X158" s="1159"/>
      <c r="Y158" s="1159"/>
      <c r="Z158" s="1159"/>
      <c r="AA158" s="1159"/>
      <c r="AB158" s="1159"/>
      <c r="AC158" s="1159"/>
      <c r="AD158" s="1159"/>
      <c r="AE158" s="1159"/>
      <c r="AF158" s="1159"/>
    </row>
    <row r="159" spans="2:32">
      <c r="B159" s="1947" t="s">
        <v>58</v>
      </c>
      <c r="C159" s="928">
        <v>0</v>
      </c>
      <c r="D159" s="946">
        <v>0</v>
      </c>
      <c r="E159" s="946">
        <v>0</v>
      </c>
      <c r="F159" s="930">
        <v>3.1803967758483849E-4</v>
      </c>
      <c r="G159" s="1159"/>
      <c r="H159" s="2043"/>
      <c r="I159" s="2043"/>
      <c r="J159" s="2043"/>
      <c r="K159" s="2043"/>
      <c r="L159" s="1159"/>
      <c r="M159" s="1159"/>
      <c r="N159" s="1159"/>
      <c r="O159" s="1159"/>
      <c r="P159" s="1159"/>
      <c r="Q159" s="1159"/>
      <c r="R159" s="1159"/>
      <c r="S159" s="1159"/>
      <c r="T159" s="1159"/>
      <c r="U159" s="1159"/>
      <c r="V159" s="1159"/>
      <c r="W159" s="1159"/>
      <c r="X159" s="1159"/>
      <c r="Y159" s="1159"/>
      <c r="Z159" s="1159"/>
      <c r="AA159" s="1159"/>
      <c r="AB159" s="1159"/>
      <c r="AC159" s="1159"/>
      <c r="AD159" s="1159"/>
      <c r="AE159" s="1159"/>
      <c r="AF159" s="1159"/>
    </row>
    <row r="160" spans="2:32">
      <c r="B160" s="59" t="s">
        <v>262</v>
      </c>
      <c r="C160" s="1761">
        <v>0</v>
      </c>
      <c r="D160" s="2044">
        <v>0</v>
      </c>
      <c r="E160" s="2044">
        <v>0</v>
      </c>
      <c r="F160" s="2045">
        <v>1.6454896889403752E-3</v>
      </c>
      <c r="G160" s="1159"/>
      <c r="H160" s="2043"/>
      <c r="I160" s="2043"/>
      <c r="J160" s="2043"/>
      <c r="K160" s="2043"/>
      <c r="L160" s="1159"/>
      <c r="M160" s="1159"/>
      <c r="N160" s="1159"/>
      <c r="O160" s="1159"/>
      <c r="P160" s="1159"/>
      <c r="Q160" s="1159"/>
      <c r="R160" s="1159"/>
      <c r="S160" s="1159"/>
      <c r="T160" s="1159"/>
      <c r="U160" s="1159"/>
      <c r="V160" s="1159"/>
      <c r="W160" s="1159"/>
      <c r="X160" s="1159"/>
      <c r="Y160" s="1159"/>
      <c r="Z160" s="1159"/>
      <c r="AA160" s="1159"/>
      <c r="AB160" s="1159"/>
      <c r="AC160" s="1159"/>
      <c r="AD160" s="1159"/>
      <c r="AE160" s="1159"/>
      <c r="AF160" s="1159"/>
    </row>
    <row r="161" spans="2:32">
      <c r="B161" s="482" t="s">
        <v>274</v>
      </c>
      <c r="C161" s="556"/>
      <c r="D161" s="179"/>
      <c r="E161" s="179"/>
      <c r="F161" s="180"/>
      <c r="G161" s="1159"/>
      <c r="H161" s="2043"/>
      <c r="I161" s="2043"/>
      <c r="J161" s="2043"/>
      <c r="K161" s="2043"/>
      <c r="L161" s="1159"/>
      <c r="M161" s="1159"/>
      <c r="N161" s="1159"/>
      <c r="O161" s="1159"/>
      <c r="P161" s="1159"/>
      <c r="Q161" s="1159"/>
      <c r="R161" s="1159"/>
      <c r="S161" s="1159"/>
      <c r="T161" s="1159"/>
      <c r="U161" s="1159"/>
      <c r="V161" s="1159"/>
      <c r="W161" s="1159"/>
      <c r="X161" s="1159"/>
      <c r="Y161" s="1159"/>
      <c r="Z161" s="1159"/>
      <c r="AA161" s="1159"/>
      <c r="AB161" s="1159"/>
      <c r="AC161" s="1159"/>
      <c r="AD161" s="1159"/>
      <c r="AE161" s="1159"/>
      <c r="AF161" s="1159"/>
    </row>
    <row r="162" spans="2:32">
      <c r="B162" s="1947" t="s">
        <v>38</v>
      </c>
      <c r="C162" s="928">
        <v>0.86253103742493664</v>
      </c>
      <c r="D162" s="946">
        <v>0.86253103742493664</v>
      </c>
      <c r="E162" s="946">
        <v>0.86253103742493664</v>
      </c>
      <c r="F162" s="930">
        <v>0.86253103742493664</v>
      </c>
      <c r="G162" s="1159"/>
      <c r="H162" s="2043"/>
      <c r="I162" s="2043"/>
      <c r="J162" s="2043"/>
      <c r="K162" s="2043"/>
      <c r="L162" s="1159"/>
      <c r="M162" s="1159"/>
      <c r="N162" s="1159"/>
      <c r="O162" s="1159"/>
      <c r="P162" s="1159"/>
      <c r="Q162" s="1159"/>
      <c r="R162" s="1159"/>
      <c r="S162" s="1159"/>
      <c r="T162" s="1159"/>
      <c r="U162" s="1159"/>
      <c r="V162" s="1159"/>
      <c r="W162" s="1159"/>
      <c r="X162" s="1159"/>
      <c r="Y162" s="1159"/>
      <c r="Z162" s="1159"/>
      <c r="AA162" s="1159"/>
      <c r="AB162" s="1159"/>
      <c r="AC162" s="1159"/>
      <c r="AD162" s="1159"/>
      <c r="AE162" s="1159"/>
      <c r="AF162" s="1159"/>
    </row>
    <row r="163" spans="2:32">
      <c r="B163" s="1947" t="s">
        <v>2406</v>
      </c>
      <c r="C163" s="928">
        <v>1.3498102108116383E-4</v>
      </c>
      <c r="D163" s="946">
        <v>1.3498102108116383E-4</v>
      </c>
      <c r="E163" s="946">
        <v>1.3498102108116383E-4</v>
      </c>
      <c r="F163" s="930">
        <v>1.3498102108116383E-4</v>
      </c>
      <c r="G163" s="1159"/>
      <c r="H163" s="2043"/>
      <c r="I163" s="2043"/>
      <c r="J163" s="2043"/>
      <c r="K163" s="2043"/>
      <c r="L163" s="1159"/>
      <c r="M163" s="1159"/>
      <c r="N163" s="1159"/>
      <c r="O163" s="1159"/>
      <c r="P163" s="1159"/>
      <c r="Q163" s="1159"/>
      <c r="R163" s="1159"/>
      <c r="S163" s="1159"/>
      <c r="T163" s="1159"/>
      <c r="U163" s="1159"/>
      <c r="V163" s="1159"/>
      <c r="W163" s="1159"/>
      <c r="X163" s="1159"/>
      <c r="Y163" s="1159"/>
      <c r="Z163" s="1159"/>
      <c r="AA163" s="1159"/>
      <c r="AB163" s="1159"/>
      <c r="AC163" s="1159"/>
      <c r="AD163" s="1159"/>
      <c r="AE163" s="1159"/>
      <c r="AF163" s="1159"/>
    </row>
    <row r="164" spans="2:32">
      <c r="B164" s="1947" t="s">
        <v>2405</v>
      </c>
      <c r="C164" s="928">
        <v>7.3254214283268956E-4</v>
      </c>
      <c r="D164" s="946">
        <v>7.3254214283268956E-4</v>
      </c>
      <c r="E164" s="946">
        <v>7.3254214283268956E-4</v>
      </c>
      <c r="F164" s="930">
        <v>7.3254214283268956E-4</v>
      </c>
      <c r="G164" s="1159"/>
      <c r="H164" s="2043"/>
      <c r="I164" s="2043"/>
      <c r="J164" s="2043"/>
      <c r="K164" s="2043"/>
      <c r="L164" s="1159"/>
      <c r="M164" s="1159"/>
      <c r="N164" s="1159"/>
      <c r="O164" s="1159"/>
      <c r="P164" s="1159"/>
      <c r="Q164" s="1159"/>
      <c r="R164" s="1159"/>
      <c r="S164" s="1159"/>
      <c r="T164" s="1159"/>
      <c r="U164" s="1159"/>
      <c r="V164" s="1159"/>
      <c r="W164" s="1159"/>
      <c r="X164" s="1159"/>
      <c r="Y164" s="1159"/>
      <c r="Z164" s="1159"/>
      <c r="AA164" s="1159"/>
      <c r="AB164" s="1159"/>
      <c r="AC164" s="1159"/>
      <c r="AD164" s="1159"/>
      <c r="AE164" s="1159"/>
      <c r="AF164" s="1159"/>
    </row>
    <row r="165" spans="2:32">
      <c r="B165" s="1947" t="s">
        <v>1869</v>
      </c>
      <c r="C165" s="928">
        <v>7.0474644087292926E-2</v>
      </c>
      <c r="D165" s="946">
        <v>7.0474644087292926E-2</v>
      </c>
      <c r="E165" s="946">
        <v>7.0474644087292926E-2</v>
      </c>
      <c r="F165" s="930">
        <v>7.0474644087292926E-2</v>
      </c>
      <c r="G165" s="1159"/>
      <c r="H165" s="2043"/>
      <c r="I165" s="2043"/>
      <c r="J165" s="2043"/>
      <c r="K165" s="2043"/>
      <c r="L165" s="1159"/>
      <c r="M165" s="1159"/>
      <c r="N165" s="1159"/>
      <c r="O165" s="1159"/>
      <c r="P165" s="1159"/>
      <c r="Q165" s="1159"/>
      <c r="R165" s="1159"/>
      <c r="S165" s="1159"/>
      <c r="T165" s="1159"/>
      <c r="U165" s="1159"/>
      <c r="V165" s="1159"/>
      <c r="W165" s="1159"/>
      <c r="X165" s="1159"/>
      <c r="Y165" s="1159"/>
      <c r="Z165" s="1159"/>
      <c r="AA165" s="1159"/>
      <c r="AB165" s="1159"/>
      <c r="AC165" s="1159"/>
      <c r="AD165" s="1159"/>
      <c r="AE165" s="1159"/>
      <c r="AF165" s="1159"/>
    </row>
    <row r="166" spans="2:32">
      <c r="B166" s="1947" t="s">
        <v>61</v>
      </c>
      <c r="C166" s="928">
        <v>6.3219224804186959E-3</v>
      </c>
      <c r="D166" s="946">
        <v>6.3219224804186959E-3</v>
      </c>
      <c r="E166" s="946">
        <v>6.3219224804186959E-3</v>
      </c>
      <c r="F166" s="930">
        <v>6.3219224804186959E-3</v>
      </c>
      <c r="G166" s="1159"/>
      <c r="H166" s="2043"/>
      <c r="I166" s="2043"/>
      <c r="J166" s="2043"/>
      <c r="K166" s="2043"/>
      <c r="L166" s="1159"/>
      <c r="M166" s="1159"/>
      <c r="N166" s="1159"/>
      <c r="O166" s="1159"/>
      <c r="P166" s="1159"/>
      <c r="Q166" s="1159"/>
      <c r="R166" s="1159"/>
      <c r="S166" s="1159"/>
      <c r="T166" s="1159"/>
      <c r="U166" s="1159"/>
      <c r="V166" s="1159"/>
      <c r="W166" s="1159"/>
      <c r="X166" s="1159"/>
      <c r="Y166" s="1159"/>
      <c r="Z166" s="1159"/>
      <c r="AA166" s="1159"/>
      <c r="AB166" s="1159"/>
      <c r="AC166" s="1159"/>
      <c r="AD166" s="1159"/>
      <c r="AE166" s="1159"/>
      <c r="AF166" s="1159"/>
    </row>
    <row r="167" spans="2:32">
      <c r="B167" s="1947" t="s">
        <v>60</v>
      </c>
      <c r="C167" s="928">
        <v>5.4116062255264281E-2</v>
      </c>
      <c r="D167" s="946">
        <v>5.4116062255264281E-2</v>
      </c>
      <c r="E167" s="946">
        <v>5.4116062255264281E-2</v>
      </c>
      <c r="F167" s="930">
        <v>5.4116062255264281E-2</v>
      </c>
      <c r="G167" s="1159"/>
      <c r="H167" s="2043"/>
      <c r="I167" s="2043"/>
      <c r="J167" s="2043"/>
      <c r="K167" s="2043"/>
      <c r="L167" s="1159"/>
      <c r="M167" s="1159"/>
      <c r="N167" s="1159"/>
      <c r="O167" s="1159"/>
      <c r="P167" s="1159"/>
      <c r="Q167" s="1159"/>
      <c r="R167" s="1159"/>
      <c r="S167" s="1159"/>
      <c r="T167" s="1159"/>
      <c r="U167" s="1159"/>
      <c r="V167" s="1159"/>
      <c r="W167" s="1159"/>
      <c r="X167" s="1159"/>
      <c r="Y167" s="1159"/>
      <c r="Z167" s="1159"/>
      <c r="AA167" s="1159"/>
      <c r="AB167" s="1159"/>
      <c r="AC167" s="1159"/>
      <c r="AD167" s="1159"/>
      <c r="AE167" s="1159"/>
      <c r="AF167" s="1159"/>
    </row>
    <row r="168" spans="2:32">
      <c r="B168" s="1947" t="s">
        <v>52</v>
      </c>
      <c r="C168" s="928">
        <v>3.5218372251571623E-3</v>
      </c>
      <c r="D168" s="946">
        <v>3.5218372251571623E-3</v>
      </c>
      <c r="E168" s="946">
        <v>3.5218372251571623E-3</v>
      </c>
      <c r="F168" s="930">
        <v>3.5218372251571623E-3</v>
      </c>
      <c r="G168" s="1159"/>
      <c r="H168" s="2043"/>
      <c r="I168" s="2043"/>
      <c r="J168" s="2043"/>
      <c r="K168" s="2043"/>
      <c r="L168" s="1159"/>
      <c r="M168" s="1159"/>
      <c r="N168" s="1159"/>
      <c r="O168" s="1159"/>
      <c r="P168" s="1159"/>
      <c r="Q168" s="1159"/>
      <c r="R168" s="1159"/>
      <c r="S168" s="1159"/>
      <c r="T168" s="1159"/>
      <c r="U168" s="1159"/>
      <c r="V168" s="1159"/>
      <c r="W168" s="1159"/>
      <c r="X168" s="1159"/>
      <c r="Y168" s="1159"/>
      <c r="Z168" s="1159"/>
      <c r="AA168" s="1159"/>
      <c r="AB168" s="1159"/>
      <c r="AC168" s="1159"/>
      <c r="AD168" s="1159"/>
      <c r="AE168" s="1159"/>
      <c r="AF168" s="1159"/>
    </row>
    <row r="169" spans="2:32">
      <c r="B169" s="1947" t="s">
        <v>2424</v>
      </c>
      <c r="C169" s="928">
        <v>4.7838288975051449E-4</v>
      </c>
      <c r="D169" s="946">
        <v>4.7838288975051449E-4</v>
      </c>
      <c r="E169" s="946">
        <v>4.7838288975051449E-4</v>
      </c>
      <c r="F169" s="930">
        <v>4.7838288975051449E-4</v>
      </c>
      <c r="G169" s="1159"/>
      <c r="H169" s="2043"/>
      <c r="I169" s="2043"/>
      <c r="J169" s="2043"/>
      <c r="K169" s="2043"/>
      <c r="L169" s="1159"/>
      <c r="M169" s="1159"/>
      <c r="N169" s="1159"/>
      <c r="O169" s="1159"/>
      <c r="P169" s="1159"/>
      <c r="Q169" s="1159"/>
      <c r="R169" s="1159"/>
      <c r="S169" s="1159"/>
      <c r="T169" s="1159"/>
      <c r="U169" s="1159"/>
      <c r="V169" s="1159"/>
      <c r="W169" s="1159"/>
      <c r="X169" s="1159"/>
      <c r="Y169" s="1159"/>
      <c r="Z169" s="1159"/>
      <c r="AA169" s="1159"/>
      <c r="AB169" s="1159"/>
      <c r="AC169" s="1159"/>
      <c r="AD169" s="1159"/>
      <c r="AE169" s="1159"/>
      <c r="AF169" s="1159"/>
    </row>
    <row r="170" spans="2:32">
      <c r="B170" s="1947" t="s">
        <v>2425</v>
      </c>
      <c r="C170" s="928">
        <v>1.6885904732658118E-3</v>
      </c>
      <c r="D170" s="946">
        <v>1.6885904732658118E-3</v>
      </c>
      <c r="E170" s="946">
        <v>1.6885904732658118E-3</v>
      </c>
      <c r="F170" s="930">
        <v>1.6885904732658118E-3</v>
      </c>
      <c r="G170" s="1159"/>
      <c r="H170" s="2043"/>
      <c r="I170" s="2043"/>
      <c r="J170" s="2043"/>
      <c r="K170" s="2043"/>
      <c r="L170" s="1159"/>
      <c r="M170" s="1159"/>
      <c r="N170" s="1159"/>
      <c r="O170" s="1159"/>
      <c r="P170" s="1159"/>
      <c r="Q170" s="1159"/>
      <c r="R170" s="1159"/>
      <c r="S170" s="1159"/>
      <c r="T170" s="1159"/>
      <c r="U170" s="1159"/>
      <c r="V170" s="1159"/>
      <c r="W170" s="1159"/>
      <c r="X170" s="1159"/>
      <c r="Y170" s="1159"/>
      <c r="Z170" s="1159"/>
      <c r="AA170" s="1159"/>
      <c r="AB170" s="1159"/>
      <c r="AC170" s="1159"/>
      <c r="AD170" s="1159"/>
      <c r="AE170" s="1159"/>
      <c r="AF170" s="1159"/>
    </row>
    <row r="171" spans="2:32">
      <c r="B171" s="1948" t="s">
        <v>2426</v>
      </c>
      <c r="C171" s="1761">
        <v>0</v>
      </c>
      <c r="D171" s="2044">
        <v>0</v>
      </c>
      <c r="E171" s="2044">
        <v>0</v>
      </c>
      <c r="F171" s="2045">
        <v>0</v>
      </c>
      <c r="G171" s="1159"/>
      <c r="H171" s="2043"/>
      <c r="I171" s="2043"/>
      <c r="J171" s="2043"/>
      <c r="K171" s="2043"/>
      <c r="L171" s="1159"/>
      <c r="M171" s="1159"/>
      <c r="N171" s="1159"/>
      <c r="O171" s="1159"/>
      <c r="P171" s="1159"/>
      <c r="Q171" s="1159"/>
      <c r="R171" s="1159"/>
      <c r="S171" s="1159"/>
      <c r="T171" s="1159"/>
      <c r="U171" s="1159"/>
      <c r="V171" s="1159"/>
      <c r="W171" s="1159"/>
      <c r="X171" s="1159"/>
      <c r="Y171" s="1159"/>
      <c r="Z171" s="1159"/>
      <c r="AA171" s="1159"/>
      <c r="AB171" s="1159"/>
      <c r="AC171" s="1159"/>
      <c r="AD171" s="1159"/>
      <c r="AE171" s="1159"/>
      <c r="AF171" s="1159"/>
    </row>
    <row r="172" spans="2:32">
      <c r="B172" s="487" t="s">
        <v>184</v>
      </c>
      <c r="C172" s="556"/>
      <c r="D172" s="179"/>
      <c r="E172" s="179"/>
      <c r="F172" s="180"/>
      <c r="G172" s="1159"/>
      <c r="H172" s="2042"/>
      <c r="I172" s="2042"/>
      <c r="J172" s="2042"/>
      <c r="K172" s="2042"/>
      <c r="L172" s="1159"/>
      <c r="M172" s="1159"/>
      <c r="N172" s="1159"/>
      <c r="O172" s="1159"/>
      <c r="P172" s="1159"/>
      <c r="Q172" s="1159"/>
      <c r="R172" s="1159"/>
      <c r="S172" s="1159"/>
      <c r="T172" s="1159"/>
      <c r="U172" s="1159"/>
      <c r="V172" s="1159"/>
      <c r="W172" s="1159"/>
      <c r="X172" s="1159"/>
      <c r="Y172" s="1159"/>
      <c r="Z172" s="1159"/>
      <c r="AA172" s="1159"/>
      <c r="AB172" s="1159"/>
      <c r="AC172" s="1159"/>
      <c r="AD172" s="1159"/>
      <c r="AE172" s="1159"/>
      <c r="AF172" s="1159"/>
    </row>
    <row r="173" spans="2:32">
      <c r="B173" s="1947" t="s">
        <v>38</v>
      </c>
      <c r="C173" s="928">
        <v>0.77956631354324046</v>
      </c>
      <c r="D173" s="946">
        <v>0.77956631354324046</v>
      </c>
      <c r="E173" s="946">
        <v>0.77956631354324046</v>
      </c>
      <c r="F173" s="930">
        <v>0.77956631354324046</v>
      </c>
      <c r="G173" s="1159"/>
      <c r="H173" s="2043"/>
      <c r="I173" s="2043"/>
      <c r="J173" s="2043"/>
      <c r="K173" s="2043"/>
      <c r="L173" s="1159"/>
      <c r="M173" s="1159"/>
      <c r="N173" s="1159"/>
      <c r="O173" s="1159"/>
      <c r="P173" s="1159"/>
      <c r="Q173" s="1159"/>
      <c r="R173" s="1159"/>
      <c r="S173" s="1159"/>
      <c r="T173" s="1159"/>
      <c r="U173" s="1159"/>
      <c r="V173" s="1159"/>
      <c r="W173" s="1159"/>
      <c r="X173" s="1159"/>
      <c r="Y173" s="1159"/>
      <c r="Z173" s="1159"/>
      <c r="AA173" s="1159"/>
      <c r="AB173" s="1159"/>
      <c r="AC173" s="1159"/>
      <c r="AD173" s="1159"/>
      <c r="AE173" s="1159"/>
      <c r="AF173" s="1159"/>
    </row>
    <row r="174" spans="2:32">
      <c r="B174" s="1947" t="s">
        <v>1869</v>
      </c>
      <c r="C174" s="928">
        <v>7.548714902113017E-2</v>
      </c>
      <c r="D174" s="946">
        <v>7.548714902113017E-2</v>
      </c>
      <c r="E174" s="946">
        <v>7.548714902113017E-2</v>
      </c>
      <c r="F174" s="930">
        <v>7.548714902113017E-2</v>
      </c>
      <c r="G174" s="1159"/>
      <c r="H174" s="2043"/>
      <c r="I174" s="2043"/>
      <c r="J174" s="2043"/>
      <c r="K174" s="2043"/>
      <c r="L174" s="1159"/>
      <c r="M174" s="1159"/>
      <c r="N174" s="1159"/>
      <c r="O174" s="1159"/>
      <c r="P174" s="1159"/>
      <c r="Q174" s="1159"/>
      <c r="R174" s="1159"/>
      <c r="S174" s="1159"/>
      <c r="T174" s="1159"/>
      <c r="U174" s="1159"/>
      <c r="V174" s="1159"/>
      <c r="W174" s="1159"/>
      <c r="X174" s="1159"/>
      <c r="Y174" s="1159"/>
      <c r="Z174" s="1159"/>
      <c r="AA174" s="1159"/>
      <c r="AB174" s="1159"/>
      <c r="AC174" s="1159"/>
      <c r="AD174" s="1159"/>
      <c r="AE174" s="1159"/>
      <c r="AF174" s="1159"/>
    </row>
    <row r="175" spans="2:32">
      <c r="B175" s="1947" t="s">
        <v>2406</v>
      </c>
      <c r="C175" s="928">
        <v>4.991957869847212E-2</v>
      </c>
      <c r="D175" s="946">
        <v>4.991957869847212E-2</v>
      </c>
      <c r="E175" s="946">
        <v>4.991957869847212E-2</v>
      </c>
      <c r="F175" s="930">
        <v>4.991957869847212E-2</v>
      </c>
      <c r="G175" s="1159"/>
      <c r="H175" s="2043"/>
      <c r="I175" s="2043"/>
      <c r="J175" s="2043"/>
      <c r="K175" s="2043"/>
      <c r="L175" s="1159"/>
      <c r="M175" s="1159"/>
      <c r="N175" s="1159"/>
      <c r="O175" s="1159"/>
      <c r="P175" s="1159"/>
      <c r="Q175" s="1159"/>
      <c r="R175" s="1159"/>
      <c r="S175" s="1159"/>
      <c r="T175" s="1159"/>
      <c r="U175" s="1159"/>
      <c r="V175" s="1159"/>
      <c r="W175" s="1159"/>
      <c r="X175" s="1159"/>
      <c r="Y175" s="1159"/>
      <c r="Z175" s="1159"/>
      <c r="AA175" s="1159"/>
      <c r="AB175" s="1159"/>
      <c r="AC175" s="1159"/>
      <c r="AD175" s="1159"/>
      <c r="AE175" s="1159"/>
      <c r="AF175" s="1159"/>
    </row>
    <row r="176" spans="2:32">
      <c r="B176" s="1947" t="s">
        <v>2405</v>
      </c>
      <c r="C176" s="928">
        <v>0</v>
      </c>
      <c r="D176" s="946">
        <v>0</v>
      </c>
      <c r="E176" s="946">
        <v>0</v>
      </c>
      <c r="F176" s="930">
        <v>0</v>
      </c>
      <c r="G176" s="1159"/>
      <c r="H176" s="2043"/>
      <c r="I176" s="2043"/>
      <c r="J176" s="2043"/>
      <c r="K176" s="2043"/>
      <c r="L176" s="1159"/>
      <c r="M176" s="1159"/>
      <c r="N176" s="1159"/>
      <c r="O176" s="1159"/>
      <c r="P176" s="1159"/>
      <c r="Q176" s="1159"/>
      <c r="R176" s="1159"/>
      <c r="S176" s="1159"/>
      <c r="T176" s="1159"/>
      <c r="U176" s="1159"/>
      <c r="V176" s="1159"/>
      <c r="W176" s="1159"/>
      <c r="X176" s="1159"/>
      <c r="Y176" s="1159"/>
      <c r="Z176" s="1159"/>
      <c r="AA176" s="1159"/>
      <c r="AB176" s="1159"/>
      <c r="AC176" s="1159"/>
      <c r="AD176" s="1159"/>
      <c r="AE176" s="1159"/>
      <c r="AF176" s="1159"/>
    </row>
    <row r="177" spans="2:32">
      <c r="B177" s="1947" t="s">
        <v>61</v>
      </c>
      <c r="C177" s="928">
        <v>9.409710037130127E-2</v>
      </c>
      <c r="D177" s="946">
        <v>9.409710037130127E-2</v>
      </c>
      <c r="E177" s="946">
        <v>9.409710037130127E-2</v>
      </c>
      <c r="F177" s="930">
        <v>9.409710037130127E-2</v>
      </c>
      <c r="G177" s="1159"/>
      <c r="H177" s="2043"/>
      <c r="I177" s="2043"/>
      <c r="J177" s="2043"/>
      <c r="K177" s="2043"/>
      <c r="L177" s="1159"/>
      <c r="M177" s="1159"/>
      <c r="N177" s="1159"/>
      <c r="O177" s="1159"/>
      <c r="P177" s="1159"/>
      <c r="Q177" s="1159"/>
      <c r="R177" s="1159"/>
      <c r="S177" s="1159"/>
      <c r="T177" s="1159"/>
      <c r="U177" s="1159"/>
      <c r="V177" s="1159"/>
      <c r="W177" s="1159"/>
      <c r="X177" s="1159"/>
      <c r="Y177" s="1159"/>
      <c r="Z177" s="1159"/>
      <c r="AA177" s="1159"/>
      <c r="AB177" s="1159"/>
      <c r="AC177" s="1159"/>
      <c r="AD177" s="1159"/>
      <c r="AE177" s="1159"/>
      <c r="AF177" s="1159"/>
    </row>
    <row r="178" spans="2:32">
      <c r="B178" s="1947" t="s">
        <v>60</v>
      </c>
      <c r="C178" s="928">
        <v>6.130332996087816E-4</v>
      </c>
      <c r="D178" s="946">
        <v>6.130332996087816E-4</v>
      </c>
      <c r="E178" s="946">
        <v>6.130332996087816E-4</v>
      </c>
      <c r="F178" s="930">
        <v>6.130332996087816E-4</v>
      </c>
      <c r="G178" s="1159"/>
      <c r="H178" s="2043"/>
      <c r="I178" s="2043"/>
      <c r="J178" s="2043"/>
      <c r="K178" s="2043"/>
      <c r="L178" s="1159"/>
      <c r="M178" s="1159"/>
      <c r="N178" s="1159"/>
      <c r="O178" s="1159"/>
      <c r="P178" s="1159"/>
      <c r="Q178" s="1159"/>
      <c r="R178" s="1159"/>
      <c r="S178" s="1159"/>
      <c r="T178" s="1159"/>
      <c r="U178" s="1159"/>
      <c r="V178" s="1159"/>
      <c r="W178" s="1159"/>
      <c r="X178" s="1159"/>
      <c r="Y178" s="1159"/>
      <c r="Z178" s="1159"/>
      <c r="AA178" s="1159"/>
      <c r="AB178" s="1159"/>
      <c r="AC178" s="1159"/>
      <c r="AD178" s="1159"/>
      <c r="AE178" s="1159"/>
      <c r="AF178" s="1159"/>
    </row>
    <row r="179" spans="2:32">
      <c r="B179" s="1947" t="s">
        <v>52</v>
      </c>
      <c r="C179" s="928">
        <v>1.4021880558760439E-4</v>
      </c>
      <c r="D179" s="946">
        <v>1.4021880558760439E-4</v>
      </c>
      <c r="E179" s="946">
        <v>1.4021880558760439E-4</v>
      </c>
      <c r="F179" s="930">
        <v>1.4021880558760439E-4</v>
      </c>
      <c r="G179" s="1159"/>
      <c r="H179" s="2043"/>
      <c r="I179" s="2043"/>
      <c r="J179" s="2043"/>
      <c r="K179" s="2043"/>
      <c r="L179" s="1159"/>
      <c r="M179" s="1159"/>
      <c r="N179" s="1159"/>
      <c r="O179" s="1159"/>
      <c r="P179" s="1159"/>
      <c r="Q179" s="1159"/>
      <c r="R179" s="1159"/>
      <c r="S179" s="1159"/>
      <c r="T179" s="1159"/>
      <c r="U179" s="1159"/>
      <c r="V179" s="1159"/>
      <c r="W179" s="1159"/>
      <c r="X179" s="1159"/>
      <c r="Y179" s="1159"/>
      <c r="Z179" s="1159"/>
      <c r="AA179" s="1159"/>
      <c r="AB179" s="1159"/>
      <c r="AC179" s="1159"/>
      <c r="AD179" s="1159"/>
      <c r="AE179" s="1159"/>
      <c r="AF179" s="1159"/>
    </row>
    <row r="180" spans="2:32">
      <c r="B180" s="1947" t="s">
        <v>2424</v>
      </c>
      <c r="C180" s="928">
        <v>8.1063996980333799E-5</v>
      </c>
      <c r="D180" s="946">
        <v>8.1063996980333799E-5</v>
      </c>
      <c r="E180" s="946">
        <v>8.1063996980333799E-5</v>
      </c>
      <c r="F180" s="930">
        <v>8.1063996980333799E-5</v>
      </c>
      <c r="G180" s="1159"/>
      <c r="H180" s="2043"/>
      <c r="I180" s="2043"/>
      <c r="J180" s="2043"/>
      <c r="K180" s="2043"/>
      <c r="L180" s="1159"/>
      <c r="M180" s="1159"/>
      <c r="N180" s="1159"/>
      <c r="O180" s="1159"/>
      <c r="P180" s="1159"/>
      <c r="Q180" s="1159"/>
      <c r="R180" s="1159"/>
      <c r="S180" s="1159"/>
      <c r="T180" s="1159"/>
      <c r="U180" s="1159"/>
      <c r="V180" s="1159"/>
      <c r="W180" s="1159"/>
      <c r="X180" s="1159"/>
      <c r="Y180" s="1159"/>
      <c r="Z180" s="1159"/>
      <c r="AA180" s="1159"/>
      <c r="AB180" s="1159"/>
      <c r="AC180" s="1159"/>
      <c r="AD180" s="1159"/>
      <c r="AE180" s="1159"/>
      <c r="AF180" s="1159"/>
    </row>
    <row r="181" spans="2:32">
      <c r="B181" s="1947" t="s">
        <v>2425</v>
      </c>
      <c r="C181" s="928">
        <v>3.8341079652860572E-5</v>
      </c>
      <c r="D181" s="946">
        <v>3.8341079652860572E-5</v>
      </c>
      <c r="E181" s="946">
        <v>3.8341079652860572E-5</v>
      </c>
      <c r="F181" s="930">
        <v>3.8341079652860572E-5</v>
      </c>
      <c r="G181" s="1159"/>
      <c r="H181" s="2043"/>
      <c r="I181" s="2043"/>
      <c r="J181" s="2043"/>
      <c r="K181" s="2043"/>
      <c r="L181" s="1159"/>
      <c r="M181" s="1159"/>
      <c r="N181" s="1159"/>
      <c r="O181" s="1159"/>
      <c r="P181" s="1159"/>
      <c r="Q181" s="1159"/>
      <c r="R181" s="1159"/>
      <c r="S181" s="1159"/>
      <c r="T181" s="1159"/>
      <c r="U181" s="1159"/>
      <c r="V181" s="1159"/>
      <c r="W181" s="1159"/>
      <c r="X181" s="1159"/>
      <c r="Y181" s="1159"/>
      <c r="Z181" s="1159"/>
      <c r="AA181" s="1159"/>
      <c r="AB181" s="1159"/>
      <c r="AC181" s="1159"/>
      <c r="AD181" s="1159"/>
      <c r="AE181" s="1159"/>
      <c r="AF181" s="1159"/>
    </row>
    <row r="182" spans="2:32">
      <c r="B182" s="1947" t="s">
        <v>2426</v>
      </c>
      <c r="C182" s="1761">
        <v>5.7201184026321305E-5</v>
      </c>
      <c r="D182" s="2044">
        <v>5.7201184026321305E-5</v>
      </c>
      <c r="E182" s="2044">
        <v>5.7201184026321305E-5</v>
      </c>
      <c r="F182" s="2045">
        <v>5.7201184026321305E-5</v>
      </c>
      <c r="G182" s="1159"/>
      <c r="H182" s="2043"/>
      <c r="I182" s="2043"/>
      <c r="J182" s="2043"/>
      <c r="K182" s="2043"/>
      <c r="L182" s="1159"/>
      <c r="M182" s="1159"/>
      <c r="N182" s="1159"/>
      <c r="O182" s="1159"/>
      <c r="P182" s="1159"/>
      <c r="Q182" s="1159"/>
      <c r="R182" s="1159"/>
      <c r="S182" s="1159"/>
      <c r="T182" s="1159"/>
      <c r="U182" s="1159"/>
      <c r="V182" s="1159"/>
      <c r="W182" s="1159"/>
      <c r="X182" s="1159"/>
      <c r="Y182" s="1159"/>
      <c r="Z182" s="1159"/>
      <c r="AA182" s="1159"/>
      <c r="AB182" s="1159"/>
      <c r="AC182" s="1159"/>
      <c r="AD182" s="1159"/>
      <c r="AE182" s="1159"/>
      <c r="AF182" s="1159"/>
    </row>
    <row r="183" spans="2:32">
      <c r="B183" s="482" t="s">
        <v>185</v>
      </c>
      <c r="C183" s="556"/>
      <c r="D183" s="179"/>
      <c r="E183" s="179"/>
      <c r="F183" s="180"/>
      <c r="G183" s="1159"/>
      <c r="H183" s="2042"/>
      <c r="I183" s="2042"/>
      <c r="J183" s="2042"/>
      <c r="K183" s="2042"/>
      <c r="L183" s="1159"/>
      <c r="O183" s="1159"/>
      <c r="P183" s="1159"/>
      <c r="Q183" s="1159"/>
      <c r="R183" s="1159"/>
      <c r="S183" s="1159"/>
      <c r="T183" s="1159"/>
      <c r="U183" s="1159"/>
      <c r="V183" s="1159"/>
      <c r="Y183" s="1159"/>
      <c r="Z183" s="1159"/>
      <c r="AA183" s="1159"/>
      <c r="AB183" s="1159"/>
      <c r="AC183" s="1159"/>
      <c r="AD183" s="1159"/>
      <c r="AE183" s="1159"/>
      <c r="AF183" s="1159"/>
    </row>
    <row r="184" spans="2:32">
      <c r="B184" s="1947" t="s">
        <v>38</v>
      </c>
      <c r="C184" s="928">
        <v>0</v>
      </c>
      <c r="D184" s="946">
        <v>0.36099999999999999</v>
      </c>
      <c r="E184" s="946">
        <v>0.36099999999999999</v>
      </c>
      <c r="F184" s="930">
        <v>0.36099999999999999</v>
      </c>
      <c r="G184" s="1159"/>
      <c r="H184" s="2043"/>
      <c r="I184" s="2043"/>
      <c r="J184" s="2043"/>
      <c r="K184" s="2043"/>
      <c r="L184" s="1159"/>
      <c r="O184" s="1159"/>
      <c r="P184" s="1159"/>
      <c r="Q184" s="1159"/>
      <c r="R184" s="1159"/>
      <c r="S184" s="1159"/>
      <c r="T184" s="1159"/>
      <c r="U184" s="1159"/>
      <c r="V184" s="1159"/>
      <c r="Y184" s="1159"/>
      <c r="Z184" s="1159"/>
      <c r="AA184" s="1159"/>
      <c r="AB184" s="1159"/>
      <c r="AC184" s="1159"/>
      <c r="AD184" s="1159"/>
      <c r="AE184" s="1159"/>
      <c r="AF184" s="1159"/>
    </row>
    <row r="185" spans="2:32">
      <c r="B185" s="1947" t="s">
        <v>2406</v>
      </c>
      <c r="C185" s="928">
        <v>0</v>
      </c>
      <c r="D185" s="946">
        <v>0.36099999999999999</v>
      </c>
      <c r="E185" s="946">
        <v>0.36099999999999999</v>
      </c>
      <c r="F185" s="930">
        <v>0.36099999999999999</v>
      </c>
      <c r="G185" s="1159"/>
      <c r="H185" s="2043"/>
      <c r="I185" s="2043"/>
      <c r="J185" s="2043"/>
      <c r="K185" s="2043"/>
      <c r="L185" s="1159"/>
      <c r="O185" s="1159"/>
      <c r="P185" s="1159"/>
      <c r="Q185" s="1159"/>
      <c r="R185" s="1159"/>
      <c r="S185" s="1159"/>
      <c r="T185" s="1159"/>
      <c r="U185" s="1159"/>
      <c r="V185" s="1159"/>
      <c r="Y185" s="1159"/>
      <c r="Z185" s="1159"/>
      <c r="AA185" s="1159"/>
      <c r="AB185" s="1159"/>
      <c r="AC185" s="1159"/>
      <c r="AD185" s="1159"/>
      <c r="AE185" s="1159"/>
      <c r="AF185" s="1159"/>
    </row>
    <row r="186" spans="2:32">
      <c r="B186" s="1947" t="s">
        <v>284</v>
      </c>
      <c r="C186" s="928">
        <v>0</v>
      </c>
      <c r="D186" s="946">
        <v>0.27800000000000002</v>
      </c>
      <c r="E186" s="946">
        <v>0.27800000000000002</v>
      </c>
      <c r="F186" s="930">
        <v>0.27800000000000002</v>
      </c>
      <c r="G186" s="1159"/>
      <c r="H186" s="2043"/>
      <c r="I186" s="2043"/>
      <c r="J186" s="2043"/>
      <c r="K186" s="2043"/>
      <c r="L186" s="1159"/>
      <c r="O186" s="1159"/>
      <c r="P186" s="1159"/>
      <c r="Q186" s="1159"/>
      <c r="R186" s="1159"/>
      <c r="S186" s="1159"/>
      <c r="T186" s="1159"/>
      <c r="U186" s="1159"/>
      <c r="V186" s="1159"/>
      <c r="Y186" s="1159"/>
      <c r="Z186" s="1159"/>
      <c r="AA186" s="1159"/>
      <c r="AB186" s="1159"/>
      <c r="AC186" s="1159"/>
      <c r="AD186" s="1159"/>
      <c r="AE186" s="1159"/>
      <c r="AF186" s="1159"/>
    </row>
    <row r="187" spans="2:32">
      <c r="B187" s="1948" t="s">
        <v>294</v>
      </c>
      <c r="C187" s="1761">
        <v>0</v>
      </c>
      <c r="D187" s="2044">
        <v>0</v>
      </c>
      <c r="E187" s="2044">
        <v>0</v>
      </c>
      <c r="F187" s="2045">
        <v>0</v>
      </c>
      <c r="G187" s="1159"/>
      <c r="H187" s="2043"/>
      <c r="I187" s="2043"/>
      <c r="J187" s="2043"/>
      <c r="K187" s="2043"/>
      <c r="L187" s="1159"/>
      <c r="O187" s="1159"/>
      <c r="P187" s="1159"/>
      <c r="Q187" s="1159"/>
      <c r="R187" s="1159"/>
      <c r="S187" s="1159"/>
      <c r="T187" s="1159"/>
      <c r="U187" s="1159"/>
      <c r="V187" s="1159"/>
      <c r="Y187" s="1159"/>
      <c r="Z187" s="1159"/>
      <c r="AA187" s="1159"/>
      <c r="AB187" s="1159"/>
      <c r="AC187" s="1159"/>
      <c r="AD187" s="1159"/>
      <c r="AE187" s="1159"/>
      <c r="AF187" s="1159"/>
    </row>
    <row r="188" spans="2:32">
      <c r="B188" s="487" t="s">
        <v>186</v>
      </c>
      <c r="C188" s="556"/>
      <c r="D188" s="179"/>
      <c r="E188" s="179"/>
      <c r="F188" s="180"/>
      <c r="G188" s="1159"/>
      <c r="H188" s="2042"/>
      <c r="I188" s="2042"/>
      <c r="J188" s="2042"/>
      <c r="K188" s="2042"/>
      <c r="L188" s="1159"/>
      <c r="O188" s="1159"/>
      <c r="P188" s="1159"/>
      <c r="Q188" s="1159"/>
      <c r="R188" s="1159"/>
      <c r="S188" s="1159"/>
      <c r="T188" s="1159"/>
      <c r="U188" s="1159"/>
      <c r="V188" s="1159"/>
      <c r="Y188" s="1159"/>
      <c r="Z188" s="1159"/>
      <c r="AA188" s="1159"/>
      <c r="AB188" s="1159"/>
      <c r="AC188" s="1159"/>
      <c r="AD188" s="1159"/>
      <c r="AE188" s="1159"/>
      <c r="AF188" s="1159"/>
    </row>
    <row r="189" spans="2:32">
      <c r="B189" s="59" t="s">
        <v>251</v>
      </c>
      <c r="C189" s="928">
        <v>0</v>
      </c>
      <c r="D189" s="946">
        <v>0.36099999999999999</v>
      </c>
      <c r="E189" s="946">
        <v>0</v>
      </c>
      <c r="F189" s="930">
        <v>0</v>
      </c>
      <c r="G189" s="1159"/>
      <c r="H189" s="2043"/>
      <c r="I189" s="2043"/>
      <c r="J189" s="2043"/>
      <c r="K189" s="2043"/>
      <c r="L189" s="1159"/>
      <c r="O189" s="1159"/>
      <c r="P189" s="1159"/>
      <c r="Q189" s="1159"/>
      <c r="R189" s="1159"/>
      <c r="S189" s="1159"/>
      <c r="T189" s="1159"/>
      <c r="U189" s="1159"/>
      <c r="V189" s="1159"/>
      <c r="Y189" s="1159"/>
      <c r="Z189" s="1159"/>
      <c r="AA189" s="1159"/>
      <c r="AB189" s="1159"/>
      <c r="AC189" s="1159"/>
      <c r="AD189" s="1159"/>
      <c r="AE189" s="1159"/>
      <c r="AF189" s="1159"/>
    </row>
    <row r="190" spans="2:32">
      <c r="B190" s="59" t="s">
        <v>253</v>
      </c>
      <c r="C190" s="928">
        <v>0</v>
      </c>
      <c r="D190" s="946">
        <v>0.36099999999999999</v>
      </c>
      <c r="E190" s="946">
        <v>0</v>
      </c>
      <c r="F190" s="930">
        <v>0</v>
      </c>
      <c r="G190" s="1159"/>
      <c r="H190" s="2043"/>
      <c r="I190" s="2043"/>
      <c r="J190" s="2043"/>
      <c r="K190" s="2043"/>
      <c r="L190" s="1159"/>
      <c r="O190" s="1159"/>
      <c r="P190" s="1159"/>
      <c r="Q190" s="1159"/>
      <c r="R190" s="1159"/>
      <c r="S190" s="1159"/>
      <c r="T190" s="1159"/>
      <c r="U190" s="1159"/>
      <c r="V190" s="1159"/>
      <c r="Y190" s="1159"/>
      <c r="Z190" s="1159"/>
      <c r="AA190" s="1159"/>
      <c r="AB190" s="1159"/>
      <c r="AC190" s="1159"/>
      <c r="AD190" s="1159"/>
      <c r="AE190" s="1159"/>
      <c r="AF190" s="1159"/>
    </row>
    <row r="191" spans="2:32">
      <c r="B191" s="59" t="s">
        <v>254</v>
      </c>
      <c r="C191" s="928">
        <v>0</v>
      </c>
      <c r="D191" s="946">
        <v>0.27800000000000002</v>
      </c>
      <c r="E191" s="946">
        <v>0</v>
      </c>
      <c r="F191" s="930">
        <v>0</v>
      </c>
      <c r="G191" s="1159"/>
      <c r="H191" s="2043"/>
      <c r="I191" s="2043"/>
      <c r="J191" s="2043"/>
      <c r="K191" s="2043"/>
      <c r="L191" s="1159"/>
      <c r="O191" s="1159"/>
      <c r="P191" s="1159"/>
      <c r="Q191" s="1159"/>
      <c r="R191" s="1159"/>
      <c r="S191" s="1159"/>
      <c r="T191" s="1159"/>
      <c r="U191" s="1159"/>
      <c r="V191" s="1159"/>
      <c r="Y191" s="1159"/>
      <c r="Z191" s="1159"/>
      <c r="AA191" s="1159"/>
      <c r="AB191" s="1159"/>
      <c r="AC191" s="1159"/>
      <c r="AD191" s="1159"/>
      <c r="AE191" s="1159"/>
      <c r="AF191" s="1159"/>
    </row>
    <row r="192" spans="2:32">
      <c r="B192" s="59" t="s">
        <v>262</v>
      </c>
      <c r="C192" s="1761">
        <v>0</v>
      </c>
      <c r="D192" s="2044">
        <v>0</v>
      </c>
      <c r="E192" s="2044">
        <v>0</v>
      </c>
      <c r="F192" s="2045">
        <v>0</v>
      </c>
      <c r="G192" s="1159"/>
      <c r="H192" s="2043"/>
      <c r="I192" s="2043"/>
      <c r="J192" s="2043"/>
      <c r="K192" s="2043"/>
      <c r="L192" s="1159"/>
      <c r="O192" s="1159"/>
      <c r="P192" s="1159"/>
      <c r="Q192" s="1159"/>
      <c r="R192" s="1159"/>
      <c r="S192" s="1159"/>
      <c r="T192" s="1159"/>
      <c r="U192" s="1159"/>
      <c r="V192" s="1159"/>
      <c r="Y192" s="1159"/>
      <c r="Z192" s="1159"/>
      <c r="AA192" s="1159"/>
      <c r="AB192" s="1159"/>
      <c r="AC192" s="1159"/>
      <c r="AD192" s="1159"/>
      <c r="AE192" s="1159"/>
      <c r="AF192" s="1159"/>
    </row>
    <row r="193" spans="2:32">
      <c r="B193" s="482" t="s">
        <v>187</v>
      </c>
      <c r="C193" s="556"/>
      <c r="D193" s="179"/>
      <c r="E193" s="179"/>
      <c r="F193" s="180"/>
      <c r="G193" s="1159"/>
      <c r="H193" s="2042"/>
      <c r="I193" s="2042"/>
      <c r="J193" s="2042"/>
      <c r="K193" s="2042"/>
      <c r="L193" s="1159"/>
      <c r="O193" s="1159"/>
      <c r="P193" s="1159"/>
      <c r="Q193" s="1159"/>
      <c r="R193" s="1159"/>
      <c r="S193" s="1159"/>
      <c r="T193" s="1159"/>
      <c r="U193" s="1159"/>
      <c r="V193" s="1159"/>
      <c r="Y193" s="1159"/>
      <c r="Z193" s="1159"/>
      <c r="AA193" s="1159"/>
      <c r="AB193" s="1159"/>
      <c r="AC193" s="1159"/>
      <c r="AD193" s="1159"/>
      <c r="AE193" s="1159"/>
      <c r="AF193" s="1159"/>
    </row>
    <row r="194" spans="2:32">
      <c r="B194" s="59" t="s">
        <v>251</v>
      </c>
      <c r="C194" s="928">
        <v>0</v>
      </c>
      <c r="D194" s="946">
        <v>0.05</v>
      </c>
      <c r="E194" s="946">
        <v>0.05</v>
      </c>
      <c r="F194" s="930">
        <v>0.05</v>
      </c>
      <c r="G194" s="1159"/>
      <c r="H194" s="2043"/>
      <c r="I194" s="2043"/>
      <c r="J194" s="2043"/>
      <c r="K194" s="2043"/>
      <c r="L194" s="1159"/>
      <c r="O194" s="1159"/>
      <c r="P194" s="1159"/>
      <c r="Q194" s="1159"/>
      <c r="R194" s="1159"/>
      <c r="S194" s="1159"/>
      <c r="T194" s="1159"/>
      <c r="U194" s="1159"/>
      <c r="V194" s="1159"/>
      <c r="Y194" s="1159"/>
      <c r="Z194" s="1159"/>
      <c r="AA194" s="1159"/>
      <c r="AB194" s="1159"/>
      <c r="AC194" s="1159"/>
      <c r="AD194" s="1159"/>
      <c r="AE194" s="1159"/>
      <c r="AF194" s="1159"/>
    </row>
    <row r="195" spans="2:32">
      <c r="B195" s="59" t="s">
        <v>253</v>
      </c>
      <c r="C195" s="928">
        <v>0</v>
      </c>
      <c r="D195" s="946">
        <v>0.46899999999999997</v>
      </c>
      <c r="E195" s="946">
        <v>0.46899999999999997</v>
      </c>
      <c r="F195" s="930">
        <v>0.46899999999999997</v>
      </c>
      <c r="G195" s="1159"/>
      <c r="H195" s="2043"/>
      <c r="I195" s="2043"/>
      <c r="J195" s="2043"/>
      <c r="K195" s="2043"/>
      <c r="L195" s="1159"/>
      <c r="O195" s="1159"/>
      <c r="P195" s="1159"/>
      <c r="Q195" s="1159"/>
      <c r="R195" s="1159"/>
      <c r="S195" s="1159"/>
      <c r="T195" s="1159"/>
      <c r="U195" s="1159"/>
      <c r="V195" s="1159"/>
      <c r="Y195" s="1159"/>
      <c r="Z195" s="1159"/>
      <c r="AA195" s="1159"/>
      <c r="AB195" s="1159"/>
      <c r="AC195" s="1159"/>
      <c r="AD195" s="1159"/>
      <c r="AE195" s="1159"/>
      <c r="AF195" s="1159"/>
    </row>
    <row r="196" spans="2:32">
      <c r="B196" s="59" t="s">
        <v>254</v>
      </c>
      <c r="C196" s="928">
        <v>0</v>
      </c>
      <c r="D196" s="946">
        <v>8.2000000000000003E-2</v>
      </c>
      <c r="E196" s="946">
        <v>8.2000000000000003E-2</v>
      </c>
      <c r="F196" s="930">
        <v>8.2000000000000003E-2</v>
      </c>
      <c r="G196" s="1159"/>
      <c r="H196" s="2043"/>
      <c r="I196" s="2043"/>
      <c r="J196" s="2043"/>
      <c r="K196" s="2043"/>
      <c r="L196" s="1159"/>
      <c r="O196" s="1159"/>
      <c r="P196" s="1159"/>
      <c r="Q196" s="1159"/>
      <c r="R196" s="1159"/>
      <c r="S196" s="1159"/>
      <c r="T196" s="1159"/>
      <c r="U196" s="1159"/>
      <c r="V196" s="1159"/>
      <c r="Y196" s="1159"/>
      <c r="Z196" s="1159"/>
      <c r="AA196" s="1159"/>
      <c r="AB196" s="1159"/>
      <c r="AC196" s="1159"/>
      <c r="AD196" s="1159"/>
      <c r="AE196" s="1159"/>
      <c r="AF196" s="1159"/>
    </row>
    <row r="197" spans="2:32">
      <c r="B197" s="59" t="s">
        <v>261</v>
      </c>
      <c r="C197" s="928">
        <v>0</v>
      </c>
      <c r="D197" s="946">
        <v>3.6999999999999998E-2</v>
      </c>
      <c r="E197" s="946">
        <v>3.6999999999999998E-2</v>
      </c>
      <c r="F197" s="930">
        <v>3.6999999999999998E-2</v>
      </c>
      <c r="G197" s="1159"/>
      <c r="H197" s="2043"/>
      <c r="I197" s="2043"/>
      <c r="J197" s="2043"/>
      <c r="K197" s="2043"/>
      <c r="L197" s="1159"/>
      <c r="O197" s="1159"/>
      <c r="P197" s="1159"/>
      <c r="Q197" s="1159"/>
      <c r="R197" s="1159"/>
      <c r="S197" s="1159"/>
      <c r="T197" s="1159"/>
      <c r="U197" s="1159"/>
      <c r="V197" s="1159"/>
      <c r="Y197" s="1159"/>
      <c r="Z197" s="1159"/>
      <c r="AA197" s="1159"/>
      <c r="AB197" s="1159"/>
      <c r="AC197" s="1159"/>
      <c r="AD197" s="1159"/>
      <c r="AE197" s="1159"/>
      <c r="AF197" s="1159"/>
    </row>
    <row r="198" spans="2:32">
      <c r="B198" s="59" t="s">
        <v>260</v>
      </c>
      <c r="C198" s="928">
        <v>0</v>
      </c>
      <c r="D198" s="946">
        <v>0.23799999999999999</v>
      </c>
      <c r="E198" s="946">
        <v>0.23799999999999999</v>
      </c>
      <c r="F198" s="930">
        <v>0.23799999999999999</v>
      </c>
      <c r="G198" s="1159"/>
      <c r="H198" s="2043"/>
      <c r="I198" s="2043"/>
      <c r="J198" s="2043"/>
      <c r="K198" s="2043"/>
      <c r="L198" s="1159"/>
      <c r="O198" s="1159"/>
      <c r="P198" s="1159"/>
      <c r="Q198" s="1159"/>
      <c r="R198" s="1159"/>
      <c r="S198" s="1159"/>
      <c r="T198" s="1159"/>
      <c r="U198" s="1159"/>
      <c r="V198" s="1159"/>
      <c r="Y198" s="1159"/>
      <c r="Z198" s="1159"/>
      <c r="AA198" s="1159"/>
      <c r="AB198" s="1159"/>
      <c r="AC198" s="1159"/>
      <c r="AD198" s="1159"/>
      <c r="AE198" s="1159"/>
      <c r="AF198" s="1159"/>
    </row>
    <row r="199" spans="2:32">
      <c r="B199" s="118" t="s">
        <v>262</v>
      </c>
      <c r="C199" s="928">
        <v>0</v>
      </c>
      <c r="D199" s="946">
        <v>0.124</v>
      </c>
      <c r="E199" s="946">
        <v>0.124</v>
      </c>
      <c r="F199" s="930">
        <v>0.124</v>
      </c>
      <c r="G199" s="1159"/>
      <c r="H199" s="2043"/>
      <c r="I199" s="2043"/>
      <c r="J199" s="2043"/>
      <c r="K199" s="2043"/>
      <c r="L199" s="1159"/>
      <c r="O199" s="1159"/>
      <c r="P199" s="1159"/>
      <c r="Q199" s="1159"/>
      <c r="R199" s="1159"/>
      <c r="S199" s="1159"/>
      <c r="T199" s="1159"/>
      <c r="U199" s="1159"/>
      <c r="V199" s="1159"/>
      <c r="Y199" s="1159"/>
      <c r="Z199" s="1159"/>
      <c r="AA199" s="1159"/>
      <c r="AB199" s="1159"/>
      <c r="AC199" s="1159"/>
      <c r="AD199" s="1159"/>
      <c r="AE199" s="1159"/>
      <c r="AF199" s="1159"/>
    </row>
    <row r="200" spans="2:32">
      <c r="B200" s="178" t="s">
        <v>2520</v>
      </c>
      <c r="C200" s="2048"/>
      <c r="D200" s="2079"/>
      <c r="E200" s="2079"/>
      <c r="F200" s="2049"/>
      <c r="G200" s="1159"/>
      <c r="H200" s="1159"/>
      <c r="I200" s="1159"/>
      <c r="J200" s="1159"/>
      <c r="K200" s="1159"/>
      <c r="L200" s="1159"/>
      <c r="O200" s="1159"/>
      <c r="P200" s="1159"/>
      <c r="Q200" s="1159"/>
      <c r="R200" s="1159"/>
      <c r="S200" s="1159"/>
      <c r="T200" s="1159"/>
      <c r="U200" s="1159"/>
      <c r="V200" s="1159"/>
      <c r="Y200" s="1159"/>
      <c r="Z200" s="1159"/>
      <c r="AA200" s="1159"/>
      <c r="AB200" s="1159"/>
      <c r="AC200" s="1159"/>
      <c r="AD200" s="1159"/>
      <c r="AE200" s="1159"/>
      <c r="AF200" s="1159"/>
    </row>
    <row r="201" spans="2:32">
      <c r="B201" s="1949" t="s">
        <v>1868</v>
      </c>
      <c r="C201" s="928">
        <v>0</v>
      </c>
      <c r="D201" s="946">
        <v>0</v>
      </c>
      <c r="E201" s="946">
        <v>0</v>
      </c>
      <c r="F201" s="930">
        <v>0</v>
      </c>
      <c r="G201" s="1159"/>
      <c r="L201" s="2043"/>
      <c r="M201" s="2043"/>
      <c r="N201" s="2043"/>
      <c r="O201" s="2043"/>
      <c r="P201" s="2042"/>
      <c r="Q201" s="1159"/>
      <c r="R201" s="1159"/>
      <c r="S201" s="1159"/>
      <c r="T201" s="1159"/>
      <c r="U201" s="1159"/>
      <c r="V201" s="1159"/>
      <c r="Y201" s="1159"/>
      <c r="Z201" s="1159"/>
      <c r="AA201" s="1159"/>
      <c r="AB201" s="1159"/>
      <c r="AC201" s="1159"/>
      <c r="AD201" s="1159"/>
      <c r="AE201" s="1159"/>
      <c r="AF201" s="1159"/>
    </row>
    <row r="202" spans="2:32">
      <c r="B202" s="1949" t="s">
        <v>38</v>
      </c>
      <c r="C202" s="928">
        <v>0</v>
      </c>
      <c r="D202" s="946">
        <v>0</v>
      </c>
      <c r="E202" s="946">
        <v>0</v>
      </c>
      <c r="F202" s="930">
        <v>0</v>
      </c>
      <c r="G202" s="1159"/>
      <c r="H202" s="1159"/>
      <c r="I202" s="1159"/>
      <c r="J202" s="1159"/>
      <c r="K202" s="1159"/>
      <c r="L202" s="2043"/>
      <c r="M202" s="2043"/>
      <c r="N202" s="2043"/>
      <c r="O202" s="2043"/>
      <c r="P202" s="2042"/>
      <c r="Q202" s="1159"/>
      <c r="R202" s="1159"/>
      <c r="S202" s="1159"/>
      <c r="T202" s="1159"/>
      <c r="U202" s="1159"/>
      <c r="V202" s="1159"/>
      <c r="Y202" s="1159"/>
      <c r="Z202" s="1159"/>
      <c r="AA202" s="1159"/>
      <c r="AB202" s="1159"/>
      <c r="AC202" s="1159"/>
      <c r="AD202" s="1159"/>
      <c r="AE202" s="1159"/>
      <c r="AF202" s="1159"/>
    </row>
    <row r="203" spans="2:32">
      <c r="B203" s="1949" t="s">
        <v>1869</v>
      </c>
      <c r="C203" s="928">
        <v>0</v>
      </c>
      <c r="D203" s="946">
        <v>0</v>
      </c>
      <c r="E203" s="946">
        <v>0</v>
      </c>
      <c r="F203" s="930">
        <v>0</v>
      </c>
      <c r="G203" s="1159"/>
      <c r="H203" s="1159"/>
      <c r="I203" s="1159"/>
      <c r="J203" s="1159"/>
      <c r="K203" s="1159"/>
      <c r="L203" s="2043"/>
      <c r="M203" s="2043"/>
      <c r="N203" s="2043"/>
      <c r="O203" s="2043"/>
      <c r="P203" s="2042"/>
      <c r="Q203" s="1159"/>
      <c r="R203" s="1159"/>
      <c r="S203" s="1159"/>
      <c r="T203" s="1159"/>
      <c r="U203" s="1159"/>
      <c r="V203" s="1159"/>
      <c r="Y203" s="1159"/>
      <c r="Z203" s="1159"/>
      <c r="AA203" s="1159"/>
      <c r="AB203" s="1159"/>
      <c r="AC203" s="1159"/>
      <c r="AD203" s="1159"/>
      <c r="AE203" s="1159"/>
      <c r="AF203" s="1159"/>
    </row>
    <row r="204" spans="2:32">
      <c r="B204" s="1949" t="s">
        <v>2406</v>
      </c>
      <c r="C204" s="928">
        <v>0</v>
      </c>
      <c r="D204" s="946">
        <v>0</v>
      </c>
      <c r="E204" s="946">
        <v>0</v>
      </c>
      <c r="F204" s="930">
        <v>0</v>
      </c>
      <c r="G204" s="1159"/>
      <c r="H204" s="1159"/>
      <c r="I204" s="1159"/>
      <c r="J204" s="1159"/>
      <c r="K204" s="1159"/>
      <c r="L204" s="2043"/>
      <c r="M204" s="2043"/>
      <c r="N204" s="2043"/>
      <c r="O204" s="2043"/>
      <c r="P204" s="2042"/>
      <c r="Q204" s="1159"/>
      <c r="R204" s="1159"/>
      <c r="S204" s="1159"/>
      <c r="T204" s="1159"/>
      <c r="U204" s="1159"/>
      <c r="V204" s="1159"/>
      <c r="Y204" s="1159"/>
      <c r="Z204" s="1159"/>
      <c r="AA204" s="1159"/>
      <c r="AB204" s="1159"/>
      <c r="AC204" s="1159"/>
      <c r="AD204" s="1159"/>
      <c r="AE204" s="1159"/>
      <c r="AF204" s="1159"/>
    </row>
    <row r="205" spans="2:32">
      <c r="B205" s="1949" t="s">
        <v>2405</v>
      </c>
      <c r="C205" s="928">
        <v>0</v>
      </c>
      <c r="D205" s="946">
        <v>0</v>
      </c>
      <c r="E205" s="946">
        <v>0</v>
      </c>
      <c r="F205" s="930">
        <v>0</v>
      </c>
      <c r="G205" s="1159"/>
      <c r="H205" s="1159"/>
      <c r="I205" s="1159"/>
      <c r="J205" s="1159"/>
      <c r="K205" s="1159"/>
      <c r="L205" s="2043"/>
      <c r="M205" s="2043"/>
      <c r="N205" s="2043"/>
      <c r="O205" s="2043"/>
      <c r="P205" s="2042"/>
      <c r="Q205" s="1159"/>
      <c r="R205" s="1159"/>
      <c r="S205" s="1159"/>
      <c r="T205" s="1159"/>
      <c r="U205" s="1159"/>
      <c r="V205" s="1159"/>
      <c r="Y205" s="1159"/>
      <c r="Z205" s="1159"/>
      <c r="AA205" s="1159"/>
      <c r="AB205" s="1159"/>
      <c r="AC205" s="1159"/>
      <c r="AD205" s="1159"/>
      <c r="AE205" s="1159"/>
      <c r="AF205" s="1159"/>
    </row>
    <row r="206" spans="2:32">
      <c r="B206" s="1949" t="s">
        <v>2428</v>
      </c>
      <c r="C206" s="928">
        <v>0</v>
      </c>
      <c r="D206" s="946">
        <v>0</v>
      </c>
      <c r="E206" s="946">
        <v>0</v>
      </c>
      <c r="F206" s="930">
        <v>0</v>
      </c>
      <c r="G206" s="1159"/>
      <c r="H206" s="1159"/>
      <c r="I206" s="1159"/>
      <c r="J206" s="1159"/>
      <c r="K206" s="1159"/>
      <c r="L206" s="2043"/>
      <c r="M206" s="2043"/>
      <c r="N206" s="2043"/>
      <c r="O206" s="2043"/>
      <c r="P206" s="2042"/>
      <c r="Q206" s="1159"/>
      <c r="R206" s="1159"/>
      <c r="S206" s="1159"/>
      <c r="T206" s="1159"/>
      <c r="U206" s="1159"/>
      <c r="V206" s="1159"/>
      <c r="Y206" s="1159"/>
      <c r="Z206" s="1159"/>
      <c r="AA206" s="1159"/>
      <c r="AB206" s="1159"/>
      <c r="AC206" s="1159"/>
      <c r="AD206" s="1159"/>
      <c r="AE206" s="1159"/>
      <c r="AF206" s="1159"/>
    </row>
    <row r="207" spans="2:32">
      <c r="B207" s="1949" t="s">
        <v>61</v>
      </c>
      <c r="C207" s="928">
        <v>0</v>
      </c>
      <c r="D207" s="946">
        <v>0</v>
      </c>
      <c r="E207" s="946">
        <v>0</v>
      </c>
      <c r="F207" s="930">
        <v>0</v>
      </c>
      <c r="G207" s="1159"/>
      <c r="H207" s="1159"/>
      <c r="I207" s="1159"/>
      <c r="J207" s="1159"/>
      <c r="K207" s="1159"/>
      <c r="L207" s="2043"/>
      <c r="M207" s="2043"/>
      <c r="N207" s="2043"/>
      <c r="O207" s="2043"/>
      <c r="P207" s="2042"/>
      <c r="Q207" s="1159"/>
      <c r="R207" s="1159"/>
      <c r="S207" s="1159"/>
      <c r="T207" s="1159"/>
      <c r="U207" s="1159"/>
      <c r="V207" s="1159"/>
      <c r="Y207" s="1159"/>
      <c r="Z207" s="1159"/>
      <c r="AA207" s="1159"/>
      <c r="AB207" s="1159"/>
      <c r="AC207" s="1159"/>
      <c r="AD207" s="1159"/>
      <c r="AE207" s="1159"/>
      <c r="AF207" s="1159"/>
    </row>
    <row r="208" spans="2:32">
      <c r="B208" s="1949" t="s">
        <v>60</v>
      </c>
      <c r="C208" s="928">
        <v>0</v>
      </c>
      <c r="D208" s="946">
        <v>0</v>
      </c>
      <c r="E208" s="946">
        <v>0</v>
      </c>
      <c r="F208" s="930">
        <v>0</v>
      </c>
      <c r="G208" s="1159"/>
      <c r="H208" s="1159"/>
      <c r="I208" s="1159"/>
      <c r="J208" s="1159"/>
      <c r="K208" s="1159"/>
      <c r="L208" s="2043"/>
      <c r="M208" s="2043"/>
      <c r="N208" s="2043"/>
      <c r="O208" s="2043"/>
      <c r="P208" s="2042"/>
      <c r="Q208" s="1159"/>
      <c r="R208" s="1159"/>
      <c r="S208" s="1159"/>
      <c r="T208" s="1159"/>
      <c r="U208" s="1159"/>
      <c r="V208" s="1159"/>
      <c r="Y208" s="1159"/>
      <c r="Z208" s="1159"/>
      <c r="AA208" s="1159"/>
      <c r="AB208" s="1159"/>
      <c r="AC208" s="1159"/>
      <c r="AD208" s="1159"/>
      <c r="AE208" s="1159"/>
      <c r="AF208" s="1159"/>
    </row>
    <row r="209" spans="2:32">
      <c r="B209" s="1949" t="s">
        <v>52</v>
      </c>
      <c r="C209" s="928">
        <v>0</v>
      </c>
      <c r="D209" s="946">
        <v>0</v>
      </c>
      <c r="E209" s="946">
        <v>0</v>
      </c>
      <c r="F209" s="930">
        <v>0</v>
      </c>
      <c r="G209" s="1159"/>
      <c r="H209" s="1159"/>
      <c r="I209" s="1159"/>
      <c r="J209" s="1159"/>
      <c r="K209" s="1159"/>
      <c r="L209" s="2043"/>
      <c r="M209" s="2043"/>
      <c r="N209" s="2043"/>
      <c r="O209" s="2043"/>
      <c r="P209" s="2042"/>
      <c r="Q209" s="1159"/>
      <c r="R209" s="1159"/>
      <c r="S209" s="1159"/>
      <c r="T209" s="1159"/>
      <c r="U209" s="1159"/>
      <c r="V209" s="1159"/>
      <c r="Y209" s="1159"/>
      <c r="Z209" s="1159"/>
      <c r="AA209" s="1159"/>
      <c r="AB209" s="1159"/>
      <c r="AC209" s="1159"/>
      <c r="AD209" s="1159"/>
      <c r="AE209" s="1159"/>
      <c r="AF209" s="1159"/>
    </row>
    <row r="210" spans="2:32">
      <c r="B210" s="1949" t="s">
        <v>2424</v>
      </c>
      <c r="C210" s="928">
        <v>0</v>
      </c>
      <c r="D210" s="946">
        <v>0</v>
      </c>
      <c r="E210" s="946">
        <v>0</v>
      </c>
      <c r="F210" s="930">
        <v>0</v>
      </c>
      <c r="G210" s="1159"/>
      <c r="H210" s="1159"/>
      <c r="I210" s="1159"/>
      <c r="J210" s="1159"/>
      <c r="K210" s="1159"/>
      <c r="L210" s="2043"/>
      <c r="M210" s="2043"/>
      <c r="N210" s="2043"/>
      <c r="O210" s="2043"/>
      <c r="P210" s="2042"/>
      <c r="Q210" s="1159"/>
      <c r="R210" s="1159"/>
      <c r="S210" s="1159"/>
      <c r="T210" s="1159"/>
      <c r="U210" s="1159"/>
      <c r="V210" s="1159"/>
      <c r="Y210" s="1159"/>
      <c r="Z210" s="1159"/>
      <c r="AA210" s="1159"/>
      <c r="AB210" s="1159"/>
      <c r="AC210" s="1159"/>
      <c r="AD210" s="1159"/>
      <c r="AE210" s="1159"/>
      <c r="AF210" s="1159"/>
    </row>
    <row r="211" spans="2:32">
      <c r="B211" s="1949" t="s">
        <v>2407</v>
      </c>
      <c r="C211" s="928">
        <v>0</v>
      </c>
      <c r="D211" s="946">
        <v>0</v>
      </c>
      <c r="E211" s="946">
        <v>0</v>
      </c>
      <c r="F211" s="930">
        <v>0</v>
      </c>
      <c r="G211" s="1159"/>
      <c r="H211" s="1159"/>
      <c r="I211" s="1159"/>
      <c r="J211" s="1159"/>
      <c r="K211" s="1159"/>
      <c r="L211" s="2043"/>
      <c r="M211" s="2043"/>
      <c r="N211" s="2043"/>
      <c r="O211" s="2043"/>
      <c r="P211" s="2042"/>
      <c r="Q211" s="1159"/>
      <c r="R211" s="1159"/>
      <c r="S211" s="1159"/>
      <c r="T211" s="1159"/>
      <c r="U211" s="1159"/>
      <c r="V211" s="1159"/>
      <c r="Y211" s="1159"/>
      <c r="Z211" s="1159"/>
      <c r="AA211" s="1159"/>
      <c r="AB211" s="1159"/>
      <c r="AC211" s="1159"/>
      <c r="AD211" s="1159"/>
      <c r="AE211" s="1159"/>
      <c r="AF211" s="1159"/>
    </row>
    <row r="212" spans="2:32">
      <c r="B212" s="1949" t="s">
        <v>2426</v>
      </c>
      <c r="C212" s="928">
        <v>0</v>
      </c>
      <c r="D212" s="946">
        <v>0</v>
      </c>
      <c r="E212" s="946">
        <v>0</v>
      </c>
      <c r="F212" s="930">
        <v>0</v>
      </c>
      <c r="G212" s="1159"/>
      <c r="H212" s="1159"/>
      <c r="I212" s="1159"/>
      <c r="J212" s="1159"/>
      <c r="K212" s="1159"/>
      <c r="L212" s="2043"/>
      <c r="M212" s="2043"/>
      <c r="N212" s="2043"/>
      <c r="O212" s="2043"/>
      <c r="P212" s="2042"/>
      <c r="Q212" s="1159"/>
      <c r="R212" s="1159"/>
      <c r="S212" s="1159"/>
      <c r="T212" s="1159"/>
      <c r="U212" s="1159"/>
      <c r="V212" s="1159"/>
      <c r="Y212" s="1159"/>
      <c r="Z212" s="1159"/>
      <c r="AA212" s="1159"/>
      <c r="AB212" s="1159"/>
      <c r="AC212" s="1159"/>
      <c r="AD212" s="1159"/>
      <c r="AE212" s="1159"/>
      <c r="AF212" s="1159"/>
    </row>
    <row r="213" spans="2:32">
      <c r="B213" s="1949" t="s">
        <v>2425</v>
      </c>
      <c r="C213" s="928">
        <v>0</v>
      </c>
      <c r="D213" s="946">
        <v>0</v>
      </c>
      <c r="E213" s="946">
        <v>0</v>
      </c>
      <c r="F213" s="930">
        <v>0</v>
      </c>
      <c r="G213" s="1159"/>
      <c r="H213" s="1159"/>
      <c r="I213" s="1159"/>
      <c r="J213" s="1159"/>
      <c r="K213" s="1159"/>
      <c r="L213" s="2043"/>
      <c r="M213" s="2043"/>
      <c r="N213" s="2043"/>
      <c r="O213" s="2043"/>
      <c r="P213" s="2042"/>
      <c r="Q213" s="1159"/>
      <c r="R213" s="1159"/>
      <c r="S213" s="1159"/>
      <c r="T213" s="1159"/>
      <c r="U213" s="1159"/>
      <c r="V213" s="1159"/>
      <c r="Y213" s="1159"/>
      <c r="Z213" s="1159"/>
      <c r="AA213" s="1159"/>
      <c r="AB213" s="1159"/>
      <c r="AC213" s="1159"/>
      <c r="AD213" s="1159"/>
      <c r="AE213" s="1159"/>
      <c r="AF213" s="1159"/>
    </row>
    <row r="214" spans="2:32">
      <c r="B214" s="1950" t="s">
        <v>2420</v>
      </c>
      <c r="C214" s="1761">
        <v>0</v>
      </c>
      <c r="D214" s="2044">
        <v>0</v>
      </c>
      <c r="E214" s="2044">
        <v>0</v>
      </c>
      <c r="F214" s="2045">
        <v>0</v>
      </c>
      <c r="G214" s="1159"/>
      <c r="H214" s="3159" t="s">
        <v>2485</v>
      </c>
      <c r="I214" s="3160"/>
      <c r="J214" s="1159"/>
      <c r="K214" s="1159"/>
      <c r="L214" s="2043"/>
      <c r="M214" s="2043"/>
      <c r="N214" s="2043"/>
      <c r="O214" s="2043"/>
      <c r="P214" s="2042"/>
      <c r="Q214" s="1159"/>
      <c r="R214" s="1159"/>
      <c r="S214" s="1159"/>
      <c r="T214" s="1159"/>
      <c r="U214" s="1159"/>
      <c r="V214" s="1159"/>
      <c r="Y214" s="1159"/>
      <c r="Z214" s="1159"/>
      <c r="AA214" s="1159"/>
      <c r="AB214" s="1159"/>
      <c r="AC214" s="1159"/>
      <c r="AD214" s="1159"/>
      <c r="AE214" s="1159"/>
      <c r="AF214" s="1159"/>
    </row>
    <row r="215" spans="2:32">
      <c r="B215" s="1951" t="s">
        <v>188</v>
      </c>
      <c r="C215" s="556"/>
      <c r="D215" s="179"/>
      <c r="E215" s="179"/>
      <c r="F215" s="180"/>
      <c r="G215" s="1159"/>
      <c r="H215" s="232" t="s">
        <v>2486</v>
      </c>
      <c r="I215" s="128" t="s">
        <v>2487</v>
      </c>
      <c r="J215" s="1159"/>
      <c r="K215" s="1159"/>
      <c r="L215" s="2042"/>
      <c r="M215" s="1555"/>
      <c r="N215" s="1555"/>
      <c r="O215" s="2042"/>
      <c r="P215" s="2042"/>
      <c r="Q215" s="1159"/>
      <c r="R215" s="1159"/>
      <c r="S215" s="1159"/>
      <c r="T215" s="1159"/>
      <c r="U215" s="1159"/>
      <c r="V215" s="1159"/>
      <c r="Y215" s="1159"/>
      <c r="Z215" s="1159"/>
      <c r="AA215" s="1159"/>
      <c r="AB215" s="1159"/>
      <c r="AC215" s="1159"/>
      <c r="AD215" s="1159"/>
      <c r="AE215" s="1159"/>
      <c r="AF215" s="1159"/>
    </row>
    <row r="216" spans="2:32">
      <c r="B216" s="1947" t="s">
        <v>2429</v>
      </c>
      <c r="C216" s="928">
        <v>0</v>
      </c>
      <c r="D216" s="946">
        <v>0</v>
      </c>
      <c r="E216" s="946">
        <v>0</v>
      </c>
      <c r="F216" s="128">
        <v>0.54507624977081237</v>
      </c>
      <c r="G216" s="1159"/>
      <c r="H216" s="2048">
        <v>0.54507624977081237</v>
      </c>
      <c r="I216" s="2049">
        <v>0.28322056107709631</v>
      </c>
      <c r="J216" s="1159"/>
      <c r="K216" s="1159"/>
      <c r="L216" s="2043"/>
      <c r="M216" s="2043"/>
      <c r="N216" s="2043"/>
      <c r="O216" s="2043"/>
      <c r="P216" s="2050"/>
      <c r="Q216" s="1159"/>
      <c r="R216" s="1159"/>
      <c r="S216" s="1159"/>
      <c r="T216" s="1159"/>
      <c r="U216" s="1159"/>
      <c r="V216" s="1159"/>
      <c r="Y216" s="1159"/>
      <c r="Z216" s="1159"/>
      <c r="AA216" s="1159"/>
      <c r="AB216" s="1159"/>
      <c r="AC216" s="1159"/>
      <c r="AD216" s="1159"/>
      <c r="AE216" s="1159"/>
      <c r="AF216" s="1159"/>
    </row>
    <row r="217" spans="2:32">
      <c r="B217" s="1947" t="s">
        <v>38</v>
      </c>
      <c r="C217" s="928">
        <v>0</v>
      </c>
      <c r="D217" s="946">
        <v>0</v>
      </c>
      <c r="E217" s="946">
        <v>0</v>
      </c>
      <c r="F217" s="128">
        <v>8.1790135758870574E-3</v>
      </c>
      <c r="G217" s="1159"/>
      <c r="H217" s="928">
        <v>8.1790135758870574E-3</v>
      </c>
      <c r="I217" s="930">
        <v>3.8069257235687627E-3</v>
      </c>
      <c r="J217" s="1159"/>
      <c r="K217" s="1159"/>
      <c r="L217" s="2043"/>
      <c r="M217" s="2043"/>
      <c r="N217" s="2043"/>
      <c r="O217" s="2043"/>
      <c r="P217" s="2050"/>
      <c r="Q217" s="1159"/>
      <c r="R217" s="1159"/>
      <c r="S217" s="1159"/>
      <c r="T217" s="1159"/>
      <c r="U217" s="1159"/>
      <c r="V217" s="1159"/>
      <c r="Y217" s="1159"/>
      <c r="Z217" s="1159"/>
      <c r="AA217" s="1159"/>
      <c r="AB217" s="1159"/>
      <c r="AC217" s="1159"/>
      <c r="AD217" s="1159"/>
      <c r="AE217" s="1159"/>
      <c r="AF217" s="1159"/>
    </row>
    <row r="218" spans="2:32">
      <c r="B218" s="1947" t="s">
        <v>1868</v>
      </c>
      <c r="C218" s="928">
        <v>0</v>
      </c>
      <c r="D218" s="946">
        <v>0</v>
      </c>
      <c r="E218" s="946">
        <v>0</v>
      </c>
      <c r="F218" s="128">
        <v>0.39260221774032833</v>
      </c>
      <c r="G218" s="1159"/>
      <c r="H218" s="928">
        <v>0.39260221774032833</v>
      </c>
      <c r="I218" s="930">
        <v>0.632188752404233</v>
      </c>
      <c r="J218" s="1159"/>
      <c r="K218" s="1159"/>
      <c r="L218" s="2043"/>
      <c r="M218" s="2043"/>
      <c r="N218" s="2043"/>
      <c r="O218" s="2043"/>
      <c r="P218" s="2050"/>
      <c r="Q218" s="1159"/>
      <c r="R218" s="1159"/>
      <c r="S218" s="1159"/>
      <c r="T218" s="1159"/>
      <c r="U218" s="1159"/>
      <c r="V218" s="1159"/>
      <c r="Y218" s="1159"/>
      <c r="Z218" s="1159"/>
      <c r="AA218" s="1159"/>
      <c r="AB218" s="1159"/>
      <c r="AC218" s="1159"/>
      <c r="AD218" s="1159"/>
      <c r="AE218" s="1159"/>
      <c r="AF218" s="1159"/>
    </row>
    <row r="219" spans="2:32">
      <c r="B219" s="1947" t="s">
        <v>2407</v>
      </c>
      <c r="C219" s="928">
        <v>0</v>
      </c>
      <c r="D219" s="946">
        <v>0</v>
      </c>
      <c r="E219" s="946">
        <v>0</v>
      </c>
      <c r="F219" s="128">
        <v>0</v>
      </c>
      <c r="G219" s="1159"/>
      <c r="H219" s="928">
        <v>0</v>
      </c>
      <c r="I219" s="930">
        <v>0</v>
      </c>
      <c r="J219" s="1159"/>
      <c r="K219" s="1159"/>
      <c r="L219" s="2043"/>
      <c r="M219" s="2043"/>
      <c r="N219" s="2043"/>
      <c r="O219" s="2043"/>
      <c r="P219" s="2050"/>
      <c r="Q219" s="1159"/>
      <c r="R219" s="1159"/>
      <c r="S219" s="1159"/>
      <c r="T219" s="1159"/>
      <c r="U219" s="1159"/>
      <c r="V219" s="1159"/>
      <c r="Y219" s="1159"/>
      <c r="Z219" s="1159"/>
      <c r="AA219" s="1159"/>
      <c r="AB219" s="1159"/>
      <c r="AC219" s="1159"/>
      <c r="AD219" s="1159"/>
      <c r="AE219" s="1159"/>
      <c r="AF219" s="1159"/>
    </row>
    <row r="220" spans="2:32">
      <c r="B220" s="1947" t="s">
        <v>2405</v>
      </c>
      <c r="C220" s="928">
        <v>0</v>
      </c>
      <c r="D220" s="946">
        <v>0</v>
      </c>
      <c r="E220" s="946">
        <v>0</v>
      </c>
      <c r="F220" s="128">
        <v>2.3966263561936495E-2</v>
      </c>
      <c r="G220" s="1159"/>
      <c r="H220" s="928">
        <v>2.3966263561936495E-2</v>
      </c>
      <c r="I220" s="930">
        <v>3.3998727959601217E-2</v>
      </c>
      <c r="J220" s="1159"/>
      <c r="K220" s="1159"/>
      <c r="L220" s="2043"/>
      <c r="M220" s="2043"/>
      <c r="N220" s="2043"/>
      <c r="O220" s="2043"/>
      <c r="P220" s="2050"/>
      <c r="Q220" s="1159"/>
      <c r="R220" s="1159"/>
      <c r="S220" s="1159"/>
      <c r="T220" s="1159"/>
      <c r="U220" s="1159"/>
      <c r="V220" s="1159"/>
      <c r="Y220" s="1159"/>
      <c r="Z220" s="1159"/>
      <c r="AA220" s="1159"/>
      <c r="AB220" s="1159"/>
      <c r="AC220" s="1159"/>
      <c r="AD220" s="1159"/>
      <c r="AE220" s="1159"/>
      <c r="AF220" s="1159"/>
    </row>
    <row r="221" spans="2:32">
      <c r="B221" s="1947" t="s">
        <v>52</v>
      </c>
      <c r="C221" s="928">
        <v>0</v>
      </c>
      <c r="D221" s="946">
        <v>0</v>
      </c>
      <c r="E221" s="946">
        <v>0</v>
      </c>
      <c r="F221" s="128">
        <v>0</v>
      </c>
      <c r="G221" s="1159"/>
      <c r="H221" s="928">
        <v>0</v>
      </c>
      <c r="I221" s="930">
        <v>0</v>
      </c>
      <c r="J221" s="1159"/>
      <c r="K221" s="1159"/>
      <c r="L221" s="2043"/>
      <c r="M221" s="2043"/>
      <c r="N221" s="2043"/>
      <c r="O221" s="2043"/>
      <c r="P221" s="2050"/>
      <c r="Q221" s="1159"/>
      <c r="R221" s="1159"/>
      <c r="S221" s="1159"/>
      <c r="T221" s="1159"/>
      <c r="U221" s="1159"/>
      <c r="V221" s="1159"/>
      <c r="Y221" s="1159"/>
      <c r="Z221" s="1159"/>
      <c r="AA221" s="1159"/>
      <c r="AB221" s="1159"/>
      <c r="AC221" s="1159"/>
      <c r="AD221" s="1159"/>
      <c r="AE221" s="1159"/>
      <c r="AF221" s="1159"/>
    </row>
    <row r="222" spans="2:32">
      <c r="B222" s="1947" t="s">
        <v>1391</v>
      </c>
      <c r="C222" s="928">
        <v>0</v>
      </c>
      <c r="D222" s="946">
        <v>0</v>
      </c>
      <c r="E222" s="946">
        <v>0</v>
      </c>
      <c r="F222" s="128">
        <v>1.3258611480911651E-2</v>
      </c>
      <c r="G222" s="1159"/>
      <c r="H222" s="928">
        <v>1.3258611480911651E-2</v>
      </c>
      <c r="I222" s="930">
        <v>2.1241542080782227E-2</v>
      </c>
      <c r="J222" s="1159"/>
      <c r="K222" s="1159"/>
      <c r="L222" s="2043"/>
      <c r="M222" s="2043"/>
      <c r="N222" s="2043"/>
      <c r="O222" s="2043"/>
      <c r="P222" s="2050"/>
      <c r="Q222" s="1159"/>
      <c r="R222" s="1159"/>
      <c r="S222" s="1159"/>
      <c r="T222" s="1159"/>
      <c r="U222" s="1159"/>
      <c r="V222" s="1159"/>
      <c r="Y222" s="1159"/>
      <c r="Z222" s="1159"/>
      <c r="AA222" s="1159"/>
      <c r="AB222" s="1159"/>
      <c r="AC222" s="1159"/>
      <c r="AD222" s="1159"/>
      <c r="AE222" s="1159"/>
      <c r="AF222" s="1159"/>
    </row>
    <row r="223" spans="2:32">
      <c r="B223" s="1947" t="s">
        <v>375</v>
      </c>
      <c r="C223" s="928">
        <v>0</v>
      </c>
      <c r="D223" s="946">
        <v>0</v>
      </c>
      <c r="E223" s="946">
        <v>0</v>
      </c>
      <c r="F223" s="128">
        <v>1.6917643870124281E-2</v>
      </c>
      <c r="G223" s="1159"/>
      <c r="H223" s="928">
        <v>1.6917643870124281E-2</v>
      </c>
      <c r="I223" s="930">
        <v>2.5543490754718425E-2</v>
      </c>
      <c r="J223" s="1159"/>
      <c r="K223" s="1159"/>
      <c r="L223" s="2043"/>
      <c r="M223" s="2043"/>
      <c r="N223" s="2043"/>
      <c r="O223" s="2043"/>
      <c r="P223" s="2050"/>
      <c r="Q223" s="1159"/>
      <c r="R223" s="1159"/>
      <c r="S223" s="1159"/>
      <c r="T223" s="1159"/>
      <c r="U223" s="1159"/>
      <c r="V223" s="1159"/>
      <c r="Y223" s="1159"/>
      <c r="Z223" s="1159"/>
      <c r="AA223" s="1159"/>
      <c r="AB223" s="1159"/>
      <c r="AC223" s="1159"/>
      <c r="AD223" s="1159"/>
      <c r="AE223" s="1159"/>
      <c r="AF223" s="1159"/>
    </row>
    <row r="224" spans="2:32">
      <c r="B224" s="1948" t="s">
        <v>294</v>
      </c>
      <c r="C224" s="1761">
        <v>0</v>
      </c>
      <c r="D224" s="2044">
        <v>0</v>
      </c>
      <c r="E224" s="2044">
        <v>0</v>
      </c>
      <c r="F224" s="130">
        <v>0</v>
      </c>
      <c r="G224" s="1159"/>
      <c r="H224" s="1761">
        <v>0</v>
      </c>
      <c r="I224" s="2045">
        <v>0</v>
      </c>
      <c r="J224" s="1159"/>
      <c r="K224" s="1159"/>
      <c r="L224" s="2043"/>
      <c r="M224" s="2043"/>
      <c r="N224" s="2043"/>
      <c r="O224" s="2043"/>
      <c r="P224" s="2050"/>
      <c r="Q224" s="1159"/>
      <c r="R224" s="1159"/>
      <c r="S224" s="1159"/>
      <c r="T224" s="1159"/>
      <c r="U224" s="1159"/>
      <c r="V224" s="1159"/>
      <c r="Y224" s="1159"/>
      <c r="Z224" s="1159"/>
      <c r="AA224" s="1159"/>
      <c r="AB224" s="1159"/>
      <c r="AC224" s="1159"/>
      <c r="AD224" s="1159"/>
      <c r="AE224" s="1159"/>
      <c r="AF224" s="1159"/>
    </row>
    <row r="225" spans="1:32">
      <c r="B225" s="2051" t="s">
        <v>2430</v>
      </c>
      <c r="C225" s="556"/>
      <c r="D225" s="179"/>
      <c r="E225" s="179"/>
      <c r="F225" s="180"/>
      <c r="G225" s="1159"/>
      <c r="H225" s="1159"/>
      <c r="I225" s="1159"/>
      <c r="J225" s="1159"/>
      <c r="K225" s="1159"/>
      <c r="L225" s="1159"/>
      <c r="O225" s="1159"/>
      <c r="P225" s="1159"/>
      <c r="Q225" s="1159"/>
      <c r="R225" s="1159"/>
      <c r="S225" s="1159"/>
      <c r="T225" s="1159"/>
      <c r="U225" s="1159"/>
      <c r="V225" s="1159"/>
      <c r="Y225" s="1159"/>
      <c r="Z225" s="1159"/>
      <c r="AA225" s="1159"/>
      <c r="AB225" s="1159"/>
      <c r="AC225" s="1159"/>
      <c r="AD225" s="1159"/>
      <c r="AE225" s="1159"/>
      <c r="AF225" s="1159"/>
    </row>
    <row r="226" spans="1:32">
      <c r="B226" s="1950" t="s">
        <v>38</v>
      </c>
      <c r="C226" s="1761">
        <v>0</v>
      </c>
      <c r="D226" s="2044">
        <v>0</v>
      </c>
      <c r="E226" s="2044">
        <v>0</v>
      </c>
      <c r="F226" s="2045">
        <v>0</v>
      </c>
      <c r="G226" s="1159"/>
      <c r="H226" s="1159"/>
      <c r="I226" s="1159"/>
      <c r="J226" s="1159"/>
      <c r="K226" s="1159"/>
      <c r="L226" s="1159"/>
      <c r="O226" s="1159"/>
      <c r="P226" s="1159"/>
      <c r="Q226" s="1159"/>
      <c r="R226" s="1159"/>
      <c r="S226" s="1159"/>
      <c r="T226" s="1159"/>
      <c r="U226" s="1159"/>
      <c r="V226" s="1159"/>
      <c r="Y226" s="1159"/>
      <c r="Z226" s="1159"/>
      <c r="AA226" s="1159"/>
      <c r="AB226" s="1159"/>
      <c r="AC226" s="1159"/>
      <c r="AD226" s="1159"/>
      <c r="AE226" s="1159"/>
      <c r="AF226" s="1159"/>
    </row>
    <row r="227" spans="1:32">
      <c r="B227" s="1461"/>
      <c r="C227" s="1159"/>
      <c r="D227" s="1159"/>
      <c r="E227" s="1159"/>
      <c r="F227" s="1159"/>
      <c r="G227" s="1159"/>
      <c r="H227" s="1159"/>
      <c r="I227" s="1159"/>
      <c r="J227" s="1159"/>
      <c r="K227" s="1159"/>
      <c r="L227" s="1159"/>
      <c r="O227" s="1159"/>
      <c r="P227" s="1159"/>
      <c r="Q227" s="1159"/>
      <c r="R227" s="1159"/>
      <c r="S227" s="1159"/>
      <c r="T227" s="1159"/>
      <c r="U227" s="1159"/>
      <c r="V227" s="1159"/>
      <c r="Y227" s="1159"/>
      <c r="Z227" s="1159"/>
      <c r="AA227" s="1159"/>
      <c r="AB227" s="1159"/>
      <c r="AC227" s="1159"/>
      <c r="AD227" s="1159"/>
      <c r="AE227" s="1159"/>
      <c r="AF227" s="1159"/>
    </row>
    <row r="228" spans="1:32" ht="15">
      <c r="A228" s="120" t="s">
        <v>2539</v>
      </c>
    </row>
    <row r="229" spans="1:32">
      <c r="B229" s="1892"/>
      <c r="C229" s="1893" t="s">
        <v>203</v>
      </c>
      <c r="D229" s="1894" t="s">
        <v>194</v>
      </c>
      <c r="E229" s="1894" t="s">
        <v>167</v>
      </c>
      <c r="F229" s="1895" t="s">
        <v>198</v>
      </c>
      <c r="G229" s="2052"/>
      <c r="H229" s="2052"/>
      <c r="I229" s="2052"/>
      <c r="J229" s="2052"/>
      <c r="K229" s="2052"/>
      <c r="L229" s="2052"/>
    </row>
    <row r="230" spans="1:32">
      <c r="B230" s="1299" t="s">
        <v>2523</v>
      </c>
      <c r="C230" s="2854">
        <f>GREET1_Import_Export!D722</f>
        <v>7.1680275339863702</v>
      </c>
      <c r="D230" s="2854">
        <f>GREET1_Import_Export!D723</f>
        <v>7.3327117156155985</v>
      </c>
      <c r="E230" s="2854">
        <f>GREET1_Import_Export!D724</f>
        <v>14.98101582091042</v>
      </c>
      <c r="F230" s="2855">
        <f>GREET1_Import_Export!D725</f>
        <v>7.9052111078944778</v>
      </c>
      <c r="G230" s="2053"/>
      <c r="H230" s="2053"/>
      <c r="I230" s="2053"/>
      <c r="J230" s="2053"/>
      <c r="K230" s="2053"/>
      <c r="L230" s="2053"/>
    </row>
    <row r="231" spans="1:32">
      <c r="C231" s="1977"/>
    </row>
    <row r="232" spans="1:32" ht="15">
      <c r="A232" s="120" t="s">
        <v>2489</v>
      </c>
    </row>
    <row r="233" spans="1:32">
      <c r="A233" s="172" t="s">
        <v>2490</v>
      </c>
    </row>
    <row r="234" spans="1:32">
      <c r="B234" s="1886" t="s">
        <v>2352</v>
      </c>
      <c r="C234" s="1887" t="s">
        <v>2353</v>
      </c>
      <c r="D234" s="1888" t="s">
        <v>2382</v>
      </c>
    </row>
    <row r="235" spans="1:32">
      <c r="B235" s="1890" t="s">
        <v>2383</v>
      </c>
      <c r="C235" s="2054">
        <v>10</v>
      </c>
      <c r="D235" s="2055">
        <v>8</v>
      </c>
    </row>
    <row r="237" spans="1:32">
      <c r="A237" s="172" t="s">
        <v>2384</v>
      </c>
    </row>
    <row r="238" spans="1:32">
      <c r="B238" s="1891"/>
      <c r="C238" s="2056" t="s">
        <v>2491</v>
      </c>
      <c r="D238" s="1859"/>
      <c r="E238" s="1859"/>
      <c r="F238" s="1859"/>
    </row>
    <row r="239" spans="1:32">
      <c r="A239" s="172"/>
      <c r="B239" s="2057" t="s">
        <v>2383</v>
      </c>
      <c r="C239" s="2058">
        <v>120</v>
      </c>
    </row>
    <row r="241" spans="1:15">
      <c r="A241" s="172" t="s">
        <v>2492</v>
      </c>
    </row>
    <row r="242" spans="1:15">
      <c r="B242" s="1940" t="s">
        <v>2390</v>
      </c>
      <c r="C242" s="1932" t="s">
        <v>2387</v>
      </c>
    </row>
    <row r="243" spans="1:15">
      <c r="B243" s="1860" t="s">
        <v>2391</v>
      </c>
      <c r="C243" s="2059">
        <v>5973.8971080636229</v>
      </c>
    </row>
    <row r="244" spans="1:15">
      <c r="B244" s="191" t="s">
        <v>2392</v>
      </c>
      <c r="C244" s="2060">
        <v>4651.7911263069409</v>
      </c>
    </row>
    <row r="245" spans="1:15">
      <c r="B245" s="192" t="s">
        <v>2393</v>
      </c>
      <c r="C245" s="2061">
        <v>638.29246606308607</v>
      </c>
    </row>
    <row r="247" spans="1:15">
      <c r="A247" s="172" t="s">
        <v>2493</v>
      </c>
    </row>
    <row r="248" spans="1:15" ht="25.5">
      <c r="B248" s="640"/>
      <c r="C248" s="1868" t="s">
        <v>157</v>
      </c>
      <c r="D248" s="2837" t="s">
        <v>2339</v>
      </c>
      <c r="E248" s="2837" t="s">
        <v>2673</v>
      </c>
      <c r="F248" s="2837" t="s">
        <v>2494</v>
      </c>
      <c r="G248" s="2838" t="s">
        <v>2342</v>
      </c>
      <c r="H248" s="2838" t="s">
        <v>2674</v>
      </c>
      <c r="I248" s="1870" t="s">
        <v>158</v>
      </c>
      <c r="J248" s="1870" t="s">
        <v>159</v>
      </c>
      <c r="K248" s="1869" t="s">
        <v>160</v>
      </c>
      <c r="L248" s="1869" t="s">
        <v>161</v>
      </c>
      <c r="M248" s="1870" t="s">
        <v>2344</v>
      </c>
      <c r="N248" s="1869" t="s">
        <v>162</v>
      </c>
      <c r="O248" s="1871" t="s">
        <v>163</v>
      </c>
    </row>
    <row r="249" spans="1:15">
      <c r="B249" s="1625" t="s">
        <v>2387</v>
      </c>
      <c r="C249" s="1987">
        <v>0</v>
      </c>
      <c r="D249" s="1988">
        <v>0</v>
      </c>
      <c r="E249" s="1988">
        <v>45.181609883549996</v>
      </c>
      <c r="F249" s="1988">
        <v>0</v>
      </c>
      <c r="G249" s="1988">
        <v>0</v>
      </c>
      <c r="H249" s="1988">
        <v>38.01</v>
      </c>
      <c r="I249" s="1988">
        <v>0</v>
      </c>
      <c r="J249" s="1988">
        <v>0</v>
      </c>
      <c r="K249" s="1988">
        <v>0</v>
      </c>
      <c r="L249" s="1988">
        <v>0</v>
      </c>
      <c r="M249" s="1988">
        <v>0</v>
      </c>
      <c r="N249" s="1988">
        <v>0</v>
      </c>
      <c r="O249" s="1989">
        <v>0</v>
      </c>
    </row>
    <row r="251" spans="1:15">
      <c r="A251" s="172" t="s">
        <v>2495</v>
      </c>
    </row>
    <row r="252" spans="1:15" ht="25.5">
      <c r="B252" s="1936" t="s">
        <v>157</v>
      </c>
      <c r="C252" s="1539" t="s">
        <v>2339</v>
      </c>
      <c r="D252" s="2837" t="s">
        <v>2673</v>
      </c>
      <c r="E252" s="2837" t="s">
        <v>2494</v>
      </c>
      <c r="F252" s="2838" t="s">
        <v>2342</v>
      </c>
      <c r="G252" s="2838" t="s">
        <v>2674</v>
      </c>
      <c r="H252" s="1541" t="s">
        <v>158</v>
      </c>
      <c r="I252" s="1938" t="s">
        <v>159</v>
      </c>
      <c r="J252" s="1937" t="s">
        <v>160</v>
      </c>
      <c r="K252" s="1937" t="s">
        <v>161</v>
      </c>
      <c r="L252" s="1938" t="s">
        <v>2344</v>
      </c>
      <c r="M252" s="1937" t="s">
        <v>162</v>
      </c>
      <c r="N252" s="1939" t="s">
        <v>163</v>
      </c>
    </row>
    <row r="253" spans="1:15">
      <c r="B253" s="2040">
        <v>0</v>
      </c>
      <c r="C253" s="2041">
        <v>0</v>
      </c>
      <c r="D253" s="2041">
        <v>1</v>
      </c>
      <c r="E253" s="2041">
        <v>0</v>
      </c>
      <c r="F253" s="2041">
        <v>0</v>
      </c>
      <c r="G253" s="2041">
        <v>1</v>
      </c>
      <c r="H253" s="2041">
        <v>0</v>
      </c>
      <c r="I253" s="2041">
        <v>0</v>
      </c>
      <c r="J253" s="2041">
        <v>0</v>
      </c>
      <c r="K253" s="2041">
        <v>0</v>
      </c>
      <c r="L253" s="2041">
        <v>0</v>
      </c>
      <c r="M253" s="2041">
        <v>0</v>
      </c>
      <c r="N253" s="1546">
        <v>0</v>
      </c>
    </row>
    <row r="255" spans="1:15">
      <c r="A255" s="172" t="s">
        <v>2496</v>
      </c>
    </row>
    <row r="256" spans="1:15">
      <c r="B256" s="58"/>
      <c r="C256" s="1956" t="s">
        <v>2387</v>
      </c>
      <c r="D256" s="1859"/>
      <c r="E256" s="1859"/>
      <c r="F256" s="1859"/>
    </row>
    <row r="257" spans="2:6">
      <c r="B257" s="178" t="s">
        <v>2440</v>
      </c>
      <c r="C257" s="595"/>
      <c r="D257" s="1159"/>
      <c r="E257" s="1159"/>
      <c r="F257" s="1159"/>
    </row>
    <row r="258" spans="2:6">
      <c r="B258" s="1949" t="s">
        <v>38</v>
      </c>
      <c r="C258" s="2064">
        <v>0.10613413478606952</v>
      </c>
      <c r="D258" s="1159"/>
      <c r="E258" s="2073"/>
      <c r="F258" s="1159"/>
    </row>
    <row r="259" spans="2:6">
      <c r="B259" s="1949" t="s">
        <v>2406</v>
      </c>
      <c r="C259" s="2064">
        <v>2.2081988982309638E-3</v>
      </c>
      <c r="D259" s="1159"/>
      <c r="E259" s="2073"/>
      <c r="F259" s="1159"/>
    </row>
    <row r="260" spans="2:6">
      <c r="B260" s="1949" t="s">
        <v>2405</v>
      </c>
      <c r="C260" s="2064">
        <v>0.50526969839142832</v>
      </c>
      <c r="D260" s="1159"/>
      <c r="E260" s="2073"/>
      <c r="F260" s="1159"/>
    </row>
    <row r="261" spans="2:6">
      <c r="B261" s="1949" t="s">
        <v>2428</v>
      </c>
      <c r="C261" s="2064">
        <v>0.38270362658769846</v>
      </c>
      <c r="D261" s="1159"/>
      <c r="E261" s="2073"/>
      <c r="F261" s="1159"/>
    </row>
    <row r="262" spans="2:6">
      <c r="B262" s="1950" t="s">
        <v>61</v>
      </c>
      <c r="C262" s="2065">
        <v>3.684341336572776E-3</v>
      </c>
      <c r="D262" s="1159"/>
      <c r="E262" s="2073"/>
      <c r="F262" s="1159"/>
    </row>
    <row r="263" spans="2:6">
      <c r="B263" s="178" t="s">
        <v>2441</v>
      </c>
      <c r="C263" s="595"/>
      <c r="D263" s="1159"/>
      <c r="E263" s="2073"/>
      <c r="F263" s="1159"/>
    </row>
    <row r="264" spans="2:6">
      <c r="B264" s="1949" t="s">
        <v>1868</v>
      </c>
      <c r="C264" s="2064">
        <v>0</v>
      </c>
      <c r="D264" s="1159"/>
      <c r="E264" s="2073"/>
      <c r="F264" s="1159"/>
    </row>
    <row r="265" spans="2:6">
      <c r="B265" s="1949" t="s">
        <v>38</v>
      </c>
      <c r="C265" s="2064">
        <v>0.57726090938050345</v>
      </c>
      <c r="D265" s="1159"/>
      <c r="E265" s="2073"/>
      <c r="F265" s="1159"/>
    </row>
    <row r="266" spans="2:6">
      <c r="B266" s="1949" t="s">
        <v>1869</v>
      </c>
      <c r="C266" s="2064">
        <v>0.13515368157799765</v>
      </c>
      <c r="D266" s="1159"/>
      <c r="E266" s="2073"/>
      <c r="F266" s="1159"/>
    </row>
    <row r="267" spans="2:6">
      <c r="B267" s="1949" t="s">
        <v>2406</v>
      </c>
      <c r="C267" s="2064">
        <v>8.5988383643863256E-2</v>
      </c>
      <c r="D267" s="1159"/>
      <c r="E267" s="2073"/>
      <c r="F267" s="1159"/>
    </row>
    <row r="268" spans="2:6">
      <c r="B268" s="1949" t="s">
        <v>2405</v>
      </c>
      <c r="C268" s="2064">
        <v>1.8515537890128741E-3</v>
      </c>
      <c r="D268" s="1159"/>
      <c r="E268" s="2073"/>
      <c r="F268" s="1159"/>
    </row>
    <row r="269" spans="2:6">
      <c r="B269" s="1949" t="s">
        <v>61</v>
      </c>
      <c r="C269" s="2064">
        <v>0.18361746360432646</v>
      </c>
      <c r="D269" s="1159"/>
      <c r="E269" s="2073"/>
      <c r="F269" s="1159"/>
    </row>
    <row r="270" spans="2:6">
      <c r="B270" s="1949" t="s">
        <v>60</v>
      </c>
      <c r="C270" s="2064">
        <v>3.8980079768692095E-5</v>
      </c>
      <c r="D270" s="1159"/>
      <c r="E270" s="2073"/>
      <c r="F270" s="1159"/>
    </row>
    <row r="271" spans="2:6">
      <c r="B271" s="1949" t="s">
        <v>2420</v>
      </c>
      <c r="C271" s="2064">
        <v>1.6079282904585487E-2</v>
      </c>
      <c r="D271" s="1159"/>
      <c r="E271" s="2073"/>
      <c r="F271" s="1159"/>
    </row>
    <row r="272" spans="2:6">
      <c r="B272" s="1949" t="s">
        <v>2426</v>
      </c>
      <c r="C272" s="2064">
        <v>0</v>
      </c>
      <c r="D272" s="1159"/>
      <c r="E272" s="2073"/>
      <c r="F272" s="1159"/>
    </row>
    <row r="273" spans="1:6">
      <c r="B273" s="1950" t="s">
        <v>2442</v>
      </c>
      <c r="C273" s="2065">
        <v>9.7450199421730238E-6</v>
      </c>
      <c r="D273" s="1159"/>
      <c r="E273" s="2073"/>
      <c r="F273" s="1159"/>
    </row>
    <row r="274" spans="1:6">
      <c r="B274" s="482" t="s">
        <v>2393</v>
      </c>
      <c r="C274" s="595"/>
      <c r="D274" s="1159"/>
      <c r="E274" s="2073"/>
      <c r="F274" s="1159"/>
    </row>
    <row r="275" spans="1:6">
      <c r="B275" s="1947" t="s">
        <v>38</v>
      </c>
      <c r="C275" s="2064">
        <v>0.68911868540139509</v>
      </c>
      <c r="D275" s="1159"/>
      <c r="E275" s="2073"/>
      <c r="F275" s="1159"/>
    </row>
    <row r="276" spans="1:6">
      <c r="B276" s="1947" t="s">
        <v>1868</v>
      </c>
      <c r="C276" s="2064">
        <v>4.7938781670560822E-3</v>
      </c>
      <c r="D276" s="1159"/>
      <c r="E276" s="2073"/>
      <c r="F276" s="1159"/>
    </row>
    <row r="277" spans="1:6">
      <c r="B277" s="1947" t="s">
        <v>2405</v>
      </c>
      <c r="C277" s="2064">
        <v>6.4541693052918181E-2</v>
      </c>
      <c r="D277" s="1159"/>
      <c r="E277" s="2073"/>
      <c r="F277" s="1159"/>
    </row>
    <row r="278" spans="1:6">
      <c r="B278" s="1947" t="s">
        <v>61</v>
      </c>
      <c r="C278" s="2064">
        <v>4.7072379660225934E-2</v>
      </c>
      <c r="D278" s="1159"/>
      <c r="E278" s="2073"/>
      <c r="F278" s="1159"/>
    </row>
    <row r="279" spans="1:6">
      <c r="B279" s="1947" t="s">
        <v>60</v>
      </c>
      <c r="C279" s="2064">
        <v>1.1873744615748043E-2</v>
      </c>
      <c r="D279" s="1159"/>
      <c r="E279" s="2073"/>
      <c r="F279" s="1159"/>
    </row>
    <row r="280" spans="1:6">
      <c r="B280" s="1947" t="s">
        <v>52</v>
      </c>
      <c r="C280" s="2064">
        <v>1.6680832475197326E-2</v>
      </c>
      <c r="D280" s="1159"/>
      <c r="E280" s="2073"/>
      <c r="F280" s="1159"/>
    </row>
    <row r="281" spans="1:6">
      <c r="B281" s="1947" t="s">
        <v>2424</v>
      </c>
      <c r="C281" s="2064">
        <v>7.9631642886098257E-4</v>
      </c>
      <c r="D281" s="1159"/>
      <c r="E281" s="2073"/>
      <c r="F281" s="1159"/>
    </row>
    <row r="282" spans="1:6">
      <c r="B282" s="1948" t="s">
        <v>2415</v>
      </c>
      <c r="C282" s="2065">
        <v>0.16512247019859838</v>
      </c>
      <c r="D282" s="1159"/>
      <c r="E282" s="2073"/>
      <c r="F282" s="1159"/>
    </row>
    <row r="284" spans="1:6" ht="15">
      <c r="A284" s="120" t="s">
        <v>2497</v>
      </c>
    </row>
    <row r="285" spans="1:6">
      <c r="A285" s="313" t="s">
        <v>2498</v>
      </c>
    </row>
    <row r="286" spans="1:6">
      <c r="B286" s="1892"/>
      <c r="C286" s="1893" t="s">
        <v>203</v>
      </c>
      <c r="D286" s="1894" t="s">
        <v>194</v>
      </c>
      <c r="E286" s="1894" t="s">
        <v>167</v>
      </c>
      <c r="F286" s="1895" t="s">
        <v>198</v>
      </c>
    </row>
    <row r="287" spans="1:6">
      <c r="B287" s="178" t="s">
        <v>2359</v>
      </c>
      <c r="C287" s="80"/>
      <c r="D287" s="131"/>
      <c r="E287" s="131"/>
      <c r="F287" s="50"/>
    </row>
    <row r="288" spans="1:6">
      <c r="B288" s="1949" t="s">
        <v>38</v>
      </c>
      <c r="C288" s="2066">
        <v>0.89004521704124839</v>
      </c>
      <c r="D288" s="1119">
        <v>0.89004521704124839</v>
      </c>
      <c r="E288" s="1119">
        <v>0.89004521704124839</v>
      </c>
      <c r="F288" s="1190">
        <v>0.89004521704124839</v>
      </c>
    </row>
    <row r="289" spans="1:8">
      <c r="B289" s="1949" t="s">
        <v>61</v>
      </c>
      <c r="C289" s="2066">
        <v>0.31787329180044588</v>
      </c>
      <c r="D289" s="1119">
        <v>0.31787329180044588</v>
      </c>
      <c r="E289" s="1119">
        <v>0.31787329180044588</v>
      </c>
      <c r="F289" s="1190">
        <v>0.31787329180044588</v>
      </c>
    </row>
    <row r="290" spans="1:8">
      <c r="B290" s="1950" t="s">
        <v>60</v>
      </c>
      <c r="C290" s="2067">
        <v>6.3574658360089173E-2</v>
      </c>
      <c r="D290" s="1120">
        <v>6.3574658360089173E-2</v>
      </c>
      <c r="E290" s="1120">
        <v>6.3574658360089173E-2</v>
      </c>
      <c r="F290" s="1191">
        <v>6.3574658360089173E-2</v>
      </c>
    </row>
    <row r="291" spans="1:8">
      <c r="B291" s="1953" t="s">
        <v>2360</v>
      </c>
      <c r="C291" s="1302"/>
      <c r="D291" s="1303"/>
      <c r="E291" s="1303"/>
      <c r="F291" s="1304"/>
    </row>
    <row r="292" spans="1:8">
      <c r="B292" s="1949" t="s">
        <v>38</v>
      </c>
      <c r="C292" s="2066">
        <v>3.2546205544768121</v>
      </c>
      <c r="D292" s="1119">
        <v>3.2546205544768121</v>
      </c>
      <c r="E292" s="1119">
        <v>0</v>
      </c>
      <c r="F292" s="1190">
        <v>0</v>
      </c>
    </row>
    <row r="293" spans="1:8">
      <c r="B293" s="1949" t="s">
        <v>2421</v>
      </c>
      <c r="C293" s="2066">
        <v>0.18081225302648957</v>
      </c>
      <c r="D293" s="1119">
        <v>0.18081225302648957</v>
      </c>
      <c r="E293" s="1119">
        <v>0</v>
      </c>
      <c r="F293" s="1190">
        <v>0</v>
      </c>
    </row>
    <row r="294" spans="1:8">
      <c r="B294" s="1950" t="s">
        <v>61</v>
      </c>
      <c r="C294" s="2067">
        <v>0.18081225302648957</v>
      </c>
      <c r="D294" s="1120">
        <v>0.18081225302648957</v>
      </c>
      <c r="E294" s="1120">
        <v>0</v>
      </c>
      <c r="F294" s="1191">
        <v>0</v>
      </c>
    </row>
    <row r="296" spans="1:8">
      <c r="A296" s="313" t="s">
        <v>2499</v>
      </c>
    </row>
    <row r="297" spans="1:8">
      <c r="B297" s="1892"/>
      <c r="C297" s="1893" t="s">
        <v>203</v>
      </c>
      <c r="D297" s="1894" t="s">
        <v>194</v>
      </c>
      <c r="E297" s="1894" t="s">
        <v>167</v>
      </c>
      <c r="F297" s="1895" t="s">
        <v>198</v>
      </c>
    </row>
    <row r="298" spans="1:8">
      <c r="B298" s="178" t="s">
        <v>2359</v>
      </c>
      <c r="C298" s="80"/>
      <c r="D298" s="131"/>
      <c r="E298" s="131"/>
      <c r="F298" s="50"/>
    </row>
    <row r="299" spans="1:8">
      <c r="B299" s="1949" t="s">
        <v>38</v>
      </c>
      <c r="C299" s="1021">
        <f xml:space="preserve"> C288/SUM(C$288:C$290)</f>
        <v>0.7</v>
      </c>
      <c r="D299" s="302">
        <f t="shared" ref="D299:F299" si="2" xml:space="preserve"> D288/SUM(D$288:D$290)</f>
        <v>0.7</v>
      </c>
      <c r="E299" s="302">
        <f t="shared" si="2"/>
        <v>0.7</v>
      </c>
      <c r="F299" s="593">
        <f t="shared" si="2"/>
        <v>0.7</v>
      </c>
      <c r="H299" s="2068"/>
    </row>
    <row r="300" spans="1:8">
      <c r="B300" s="1949" t="s">
        <v>61</v>
      </c>
      <c r="C300" s="1021">
        <f t="shared" ref="C300:F301" si="3" xml:space="preserve"> C289/SUM(C$288:C$290)</f>
        <v>0.25</v>
      </c>
      <c r="D300" s="302">
        <f t="shared" si="3"/>
        <v>0.25</v>
      </c>
      <c r="E300" s="302">
        <f t="shared" si="3"/>
        <v>0.25</v>
      </c>
      <c r="F300" s="593">
        <f t="shared" si="3"/>
        <v>0.25</v>
      </c>
      <c r="H300" s="2068"/>
    </row>
    <row r="301" spans="1:8">
      <c r="B301" s="1950" t="s">
        <v>60</v>
      </c>
      <c r="C301" s="1021">
        <f t="shared" si="3"/>
        <v>4.9999999999999996E-2</v>
      </c>
      <c r="D301" s="302">
        <f t="shared" si="3"/>
        <v>4.9999999999999996E-2</v>
      </c>
      <c r="E301" s="302">
        <f t="shared" si="3"/>
        <v>4.9999999999999996E-2</v>
      </c>
      <c r="F301" s="593">
        <f t="shared" si="3"/>
        <v>4.9999999999999996E-2</v>
      </c>
      <c r="H301" s="2068"/>
    </row>
    <row r="302" spans="1:8">
      <c r="B302" s="1953" t="s">
        <v>2360</v>
      </c>
      <c r="C302" s="80"/>
      <c r="D302" s="131"/>
      <c r="E302" s="131"/>
      <c r="F302" s="50"/>
    </row>
    <row r="303" spans="1:8">
      <c r="B303" s="1949" t="s">
        <v>38</v>
      </c>
      <c r="C303" s="1021">
        <f xml:space="preserve"> C292/SUM(C$292:C$294)</f>
        <v>0.9</v>
      </c>
      <c r="D303" s="302">
        <f t="shared" ref="D303" si="4" xml:space="preserve"> D292/SUM(D$292:D$294)</f>
        <v>0.9</v>
      </c>
      <c r="E303" s="302">
        <f xml:space="preserve"> IF(SUM(E$292:E$294)=0,0%,E292/SUM(E$292:E$294))</f>
        <v>0</v>
      </c>
      <c r="F303" s="593">
        <f xml:space="preserve"> IF(SUM(F$292:F$294)=0,0%,F292/SUM(F$292:F$294))</f>
        <v>0</v>
      </c>
      <c r="H303" s="2068"/>
    </row>
    <row r="304" spans="1:8">
      <c r="B304" s="1949" t="s">
        <v>2421</v>
      </c>
      <c r="C304" s="1021">
        <f t="shared" ref="C304:D305" si="5" xml:space="preserve"> C293/SUM(C$292:C$294)</f>
        <v>0.05</v>
      </c>
      <c r="D304" s="302">
        <f t="shared" si="5"/>
        <v>0.05</v>
      </c>
      <c r="E304" s="302">
        <f t="shared" ref="E304:F305" si="6" xml:space="preserve"> IF(SUM(E$292:E$294)=0,0%,E293/SUM(E$292:E$294))</f>
        <v>0</v>
      </c>
      <c r="F304" s="593">
        <f t="shared" si="6"/>
        <v>0</v>
      </c>
      <c r="H304" s="2068"/>
    </row>
    <row r="305" spans="1:14">
      <c r="B305" s="1950" t="s">
        <v>61</v>
      </c>
      <c r="C305" s="1019">
        <f t="shared" si="5"/>
        <v>0.05</v>
      </c>
      <c r="D305" s="1020">
        <f t="shared" si="5"/>
        <v>0.05</v>
      </c>
      <c r="E305" s="1020">
        <f t="shared" si="6"/>
        <v>0</v>
      </c>
      <c r="F305" s="210">
        <f t="shared" si="6"/>
        <v>0</v>
      </c>
      <c r="H305" s="2068"/>
    </row>
    <row r="307" spans="1:14">
      <c r="A307" s="313" t="s">
        <v>2500</v>
      </c>
    </row>
    <row r="308" spans="1:14">
      <c r="B308" s="1892"/>
      <c r="C308" s="1893" t="s">
        <v>203</v>
      </c>
      <c r="D308" s="1894" t="s">
        <v>194</v>
      </c>
      <c r="E308" s="1894" t="s">
        <v>167</v>
      </c>
      <c r="F308" s="1895" t="s">
        <v>198</v>
      </c>
    </row>
    <row r="309" spans="1:14">
      <c r="B309" s="58" t="s">
        <v>2359</v>
      </c>
      <c r="C309" s="2019">
        <v>7</v>
      </c>
      <c r="D309" s="2020">
        <v>7</v>
      </c>
      <c r="E309" s="2020">
        <v>7</v>
      </c>
      <c r="F309" s="2021">
        <v>7</v>
      </c>
    </row>
    <row r="310" spans="1:14">
      <c r="B310" s="118" t="s">
        <v>2360</v>
      </c>
      <c r="C310" s="1968">
        <v>19</v>
      </c>
      <c r="D310" s="1114">
        <v>19</v>
      </c>
      <c r="E310" s="1114">
        <v>0</v>
      </c>
      <c r="F310" s="1548">
        <v>0</v>
      </c>
    </row>
    <row r="312" spans="1:14">
      <c r="A312" s="172" t="s">
        <v>2501</v>
      </c>
    </row>
    <row r="313" spans="1:14">
      <c r="A313" s="172"/>
      <c r="B313" s="3143"/>
      <c r="C313" s="3161" t="s">
        <v>194</v>
      </c>
      <c r="D313" s="3162"/>
      <c r="E313" s="3162"/>
      <c r="F313" s="3163"/>
      <c r="G313" s="3161" t="s">
        <v>167</v>
      </c>
      <c r="H313" s="3162"/>
      <c r="I313" s="3162"/>
      <c r="J313" s="3163"/>
      <c r="K313" s="3161" t="s">
        <v>198</v>
      </c>
      <c r="L313" s="3162"/>
      <c r="M313" s="3162"/>
      <c r="N313" s="3163"/>
    </row>
    <row r="314" spans="1:14">
      <c r="B314" s="3149"/>
      <c r="C314" s="1861" t="s">
        <v>222</v>
      </c>
      <c r="D314" s="1862" t="s">
        <v>221</v>
      </c>
      <c r="E314" s="1862" t="s">
        <v>226</v>
      </c>
      <c r="F314" s="1863" t="s">
        <v>213</v>
      </c>
      <c r="G314" s="1861" t="s">
        <v>222</v>
      </c>
      <c r="H314" s="1862" t="s">
        <v>221</v>
      </c>
      <c r="I314" s="1862" t="s">
        <v>226</v>
      </c>
      <c r="J314" s="1863" t="s">
        <v>213</v>
      </c>
      <c r="K314" s="1861" t="s">
        <v>222</v>
      </c>
      <c r="L314" s="1862" t="s">
        <v>221</v>
      </c>
      <c r="M314" s="1862" t="s">
        <v>226</v>
      </c>
      <c r="N314" s="1863" t="s">
        <v>213</v>
      </c>
    </row>
    <row r="315" spans="1:14">
      <c r="B315" s="173" t="s">
        <v>309</v>
      </c>
      <c r="C315" s="2069">
        <v>0.12539498214770628</v>
      </c>
      <c r="D315" s="1964">
        <v>0.1332910555847352</v>
      </c>
      <c r="E315" s="1964">
        <v>0.14647432218891779</v>
      </c>
      <c r="F315" s="1276">
        <v>0.1493233693086739</v>
      </c>
      <c r="G315" s="2069">
        <v>0.28173882951943602</v>
      </c>
      <c r="H315" s="1964">
        <v>0.31226036630957898</v>
      </c>
      <c r="I315" s="1964">
        <v>0.33440534777115971</v>
      </c>
      <c r="J315" s="1276">
        <v>0</v>
      </c>
      <c r="K315" s="2069">
        <v>0.12872134636727853</v>
      </c>
      <c r="L315" s="1964">
        <v>0.14481866315074726</v>
      </c>
      <c r="M315" s="1964">
        <v>0.15935631115067267</v>
      </c>
      <c r="N315" s="1276">
        <v>0.16232632911961928</v>
      </c>
    </row>
    <row r="316" spans="1:14">
      <c r="B316" s="173" t="s">
        <v>310</v>
      </c>
      <c r="C316" s="1472">
        <v>9.1841363833336867E-2</v>
      </c>
      <c r="D316" s="1014">
        <v>8.3059555087098461E-2</v>
      </c>
      <c r="E316" s="1014">
        <v>8.1782689091287469E-2</v>
      </c>
      <c r="F316" s="1015">
        <v>8.0308469868178828E-2</v>
      </c>
      <c r="G316" s="1472">
        <v>0.19385152815120069</v>
      </c>
      <c r="H316" s="1014">
        <v>0.18325151585647909</v>
      </c>
      <c r="I316" s="1014">
        <v>0.17612155805767016</v>
      </c>
      <c r="J316" s="1015">
        <v>0</v>
      </c>
      <c r="K316" s="1472">
        <v>9.3324723214004021E-2</v>
      </c>
      <c r="L316" s="1014">
        <v>8.9367660538818061E-2</v>
      </c>
      <c r="M316" s="1014">
        <v>8.8077993067301755E-2</v>
      </c>
      <c r="N316" s="1015">
        <v>8.6435239333275155E-2</v>
      </c>
    </row>
    <row r="317" spans="1:14">
      <c r="B317" s="173" t="s">
        <v>273</v>
      </c>
      <c r="C317" s="1472">
        <v>0</v>
      </c>
      <c r="D317" s="1014">
        <v>0</v>
      </c>
      <c r="E317" s="1014">
        <v>0</v>
      </c>
      <c r="F317" s="1015">
        <v>0</v>
      </c>
      <c r="G317" s="1472">
        <v>0</v>
      </c>
      <c r="H317" s="1014">
        <v>0</v>
      </c>
      <c r="I317" s="1014">
        <v>0</v>
      </c>
      <c r="J317" s="1015">
        <v>0</v>
      </c>
      <c r="K317" s="1472">
        <v>0</v>
      </c>
      <c r="L317" s="1014">
        <v>0</v>
      </c>
      <c r="M317" s="1014">
        <v>0</v>
      </c>
      <c r="N317" s="1015">
        <v>0</v>
      </c>
    </row>
    <row r="318" spans="1:14">
      <c r="B318" s="173" t="s">
        <v>311</v>
      </c>
      <c r="C318" s="1472">
        <v>4.4333948159368999E-3</v>
      </c>
      <c r="D318" s="1014">
        <v>4.4153185851394617E-3</v>
      </c>
      <c r="E318" s="1014">
        <v>4.6583063526549713E-3</v>
      </c>
      <c r="F318" s="1015">
        <v>4.6863640648337297E-3</v>
      </c>
      <c r="G318" s="1472">
        <v>9.7059256667476907E-3</v>
      </c>
      <c r="H318" s="1014">
        <v>1.0112487391144025E-2</v>
      </c>
      <c r="I318" s="1014">
        <v>1.0418916445486278E-2</v>
      </c>
      <c r="J318" s="1015">
        <v>0</v>
      </c>
      <c r="K318" s="1472">
        <v>4.5315524404341591E-3</v>
      </c>
      <c r="L318" s="1014">
        <v>4.7793127283584759E-3</v>
      </c>
      <c r="M318" s="1014">
        <v>5.049679677917745E-3</v>
      </c>
      <c r="N318" s="1015">
        <v>5.0767667031202945E-3</v>
      </c>
    </row>
    <row r="319" spans="1:14">
      <c r="B319" s="173" t="s">
        <v>275</v>
      </c>
      <c r="C319" s="1472">
        <v>0.27007360127132835</v>
      </c>
      <c r="D319" s="1014">
        <v>0.25134218654312002</v>
      </c>
      <c r="E319" s="1014">
        <v>0.24614262615722984</v>
      </c>
      <c r="F319" s="1015">
        <v>0.247084781032714</v>
      </c>
      <c r="G319" s="1472">
        <v>0.17075086429681899</v>
      </c>
      <c r="H319" s="1014">
        <v>0.16113954724986887</v>
      </c>
      <c r="I319" s="1014">
        <v>0.15438675401757782</v>
      </c>
      <c r="J319" s="1015">
        <v>0</v>
      </c>
      <c r="K319" s="1472">
        <v>0.26806190437606636</v>
      </c>
      <c r="L319" s="1014">
        <v>0.26388888367189672</v>
      </c>
      <c r="M319" s="1014">
        <v>0.25845731651997444</v>
      </c>
      <c r="N319" s="1015">
        <v>0.25910903329984231</v>
      </c>
    </row>
    <row r="320" spans="1:14">
      <c r="B320" s="173" t="s">
        <v>252</v>
      </c>
      <c r="C320" s="1472">
        <v>0.24376171756693474</v>
      </c>
      <c r="D320" s="1014">
        <v>0.28176932826061629</v>
      </c>
      <c r="E320" s="1014">
        <v>0.27771423239323634</v>
      </c>
      <c r="F320" s="1015">
        <v>0.27708744035334265</v>
      </c>
      <c r="G320" s="1472">
        <v>0.19911398360631727</v>
      </c>
      <c r="H320" s="1014">
        <v>0.1914058814174471</v>
      </c>
      <c r="I320" s="1014">
        <v>0.18501592881472265</v>
      </c>
      <c r="J320" s="1015">
        <v>0</v>
      </c>
      <c r="K320" s="1472">
        <v>0.27247055688323762</v>
      </c>
      <c r="L320" s="1014">
        <v>0.26850458547285228</v>
      </c>
      <c r="M320" s="1014">
        <v>0.26358280173861764</v>
      </c>
      <c r="N320" s="1015">
        <v>0.26299684339918133</v>
      </c>
    </row>
    <row r="321" spans="2:14">
      <c r="B321" s="173" t="s">
        <v>253</v>
      </c>
      <c r="C321" s="1472">
        <v>0</v>
      </c>
      <c r="D321" s="1014">
        <v>0</v>
      </c>
      <c r="E321" s="1014">
        <v>0</v>
      </c>
      <c r="F321" s="1015">
        <v>0</v>
      </c>
      <c r="G321" s="1472">
        <v>0</v>
      </c>
      <c r="H321" s="1014">
        <v>0</v>
      </c>
      <c r="I321" s="1014">
        <v>0</v>
      </c>
      <c r="J321" s="1015">
        <v>0</v>
      </c>
      <c r="K321" s="1472">
        <v>0</v>
      </c>
      <c r="L321" s="1014">
        <v>0</v>
      </c>
      <c r="M321" s="1014">
        <v>0</v>
      </c>
      <c r="N321" s="1015">
        <v>0</v>
      </c>
    </row>
    <row r="322" spans="2:14">
      <c r="B322" s="173" t="s">
        <v>312</v>
      </c>
      <c r="C322" s="1472">
        <v>1.0331901848070585E-2</v>
      </c>
      <c r="D322" s="1014">
        <v>9.9372699200705964E-3</v>
      </c>
      <c r="E322" s="1014">
        <v>1.0114500174155725E-2</v>
      </c>
      <c r="F322" s="1015">
        <v>1.0170853178703225E-2</v>
      </c>
      <c r="G322" s="1472">
        <v>1.4038600659848712E-2</v>
      </c>
      <c r="H322" s="1014">
        <v>1.3939595405492246E-2</v>
      </c>
      <c r="I322" s="1014">
        <v>1.3895777295761639E-2</v>
      </c>
      <c r="J322" s="1015">
        <v>0</v>
      </c>
      <c r="K322" s="1472">
        <v>1.0473785937960832E-2</v>
      </c>
      <c r="L322" s="1014">
        <v>1.0667598944161584E-2</v>
      </c>
      <c r="M322" s="1014">
        <v>1.087772089902184E-2</v>
      </c>
      <c r="N322" s="1015">
        <v>1.0927471169958083E-2</v>
      </c>
    </row>
    <row r="323" spans="2:14">
      <c r="B323" s="173" t="s">
        <v>313</v>
      </c>
      <c r="C323" s="1472">
        <v>2.8841823171848927E-2</v>
      </c>
      <c r="D323" s="1014">
        <v>2.7740195954255201E-2</v>
      </c>
      <c r="E323" s="1014">
        <v>2.8234939683356691E-2</v>
      </c>
      <c r="F323" s="1015">
        <v>2.8392250836352689E-2</v>
      </c>
      <c r="G323" s="1472">
        <v>3.9189187408625113E-2</v>
      </c>
      <c r="H323" s="1014">
        <v>3.8912811182715994E-2</v>
      </c>
      <c r="I323" s="1014">
        <v>3.8790491575817015E-2</v>
      </c>
      <c r="J323" s="1015">
        <v>0</v>
      </c>
      <c r="K323" s="1472">
        <v>2.9237896991721437E-2</v>
      </c>
      <c r="L323" s="1014">
        <v>2.9778931985611792E-2</v>
      </c>
      <c r="M323" s="1014">
        <v>3.0365493913485156E-2</v>
      </c>
      <c r="N323" s="1015">
        <v>3.0504373331640168E-2</v>
      </c>
    </row>
    <row r="324" spans="2:14">
      <c r="B324" s="173" t="s">
        <v>314</v>
      </c>
      <c r="C324" s="1472">
        <v>2.8841823171848927E-2</v>
      </c>
      <c r="D324" s="1014">
        <v>2.7740195954255201E-2</v>
      </c>
      <c r="E324" s="1014">
        <v>2.8234939683356691E-2</v>
      </c>
      <c r="F324" s="1015">
        <v>2.8392250836352689E-2</v>
      </c>
      <c r="G324" s="1472">
        <v>3.9189187408625113E-2</v>
      </c>
      <c r="H324" s="1014">
        <v>3.8912811182715994E-2</v>
      </c>
      <c r="I324" s="1014">
        <v>3.8790491575817015E-2</v>
      </c>
      <c r="J324" s="1015">
        <v>0</v>
      </c>
      <c r="K324" s="1472">
        <v>2.9237896991721437E-2</v>
      </c>
      <c r="L324" s="1014">
        <v>2.9778931985611792E-2</v>
      </c>
      <c r="M324" s="1014">
        <v>3.0365493913485156E-2</v>
      </c>
      <c r="N324" s="1015">
        <v>3.0504373331640168E-2</v>
      </c>
    </row>
    <row r="325" spans="2:14">
      <c r="B325" s="173" t="s">
        <v>297</v>
      </c>
      <c r="C325" s="1472">
        <v>1.222588486705003E-2</v>
      </c>
      <c r="D325" s="1014">
        <v>1.1547586843580459E-2</v>
      </c>
      <c r="E325" s="1014">
        <v>1.1258678994361554E-2</v>
      </c>
      <c r="F325" s="1015">
        <v>1.1476358610596421E-2</v>
      </c>
      <c r="G325" s="1472">
        <v>1.5158752577204292E-2</v>
      </c>
      <c r="H325" s="1014">
        <v>1.4278303763291901E-2</v>
      </c>
      <c r="I325" s="1014">
        <v>1.3674003051558737E-2</v>
      </c>
      <c r="J325" s="1015">
        <v>0</v>
      </c>
      <c r="K325" s="1472">
        <v>1.2079301288581732E-2</v>
      </c>
      <c r="L325" s="1014">
        <v>1.2076414029400516E-2</v>
      </c>
      <c r="M325" s="1014">
        <v>1.1800576884128448E-2</v>
      </c>
      <c r="N325" s="1015">
        <v>1.2012453909872477E-2</v>
      </c>
    </row>
    <row r="326" spans="2:14">
      <c r="B326" s="173" t="s">
        <v>315</v>
      </c>
      <c r="C326" s="1472">
        <v>5.9526172834739365E-3</v>
      </c>
      <c r="D326" s="1014">
        <v>5.4868942998833291E-3</v>
      </c>
      <c r="E326" s="1014">
        <v>5.3234245867814552E-3</v>
      </c>
      <c r="F326" s="1015">
        <v>5.3364106116874661E-3</v>
      </c>
      <c r="G326" s="1472">
        <v>4.098714517598058E-3</v>
      </c>
      <c r="H326" s="1014">
        <v>3.8495115480671428E-3</v>
      </c>
      <c r="I326" s="1014">
        <v>3.6721147847154269E-3</v>
      </c>
      <c r="J326" s="1015">
        <v>0</v>
      </c>
      <c r="K326" s="1472">
        <v>5.3014836907871741E-3</v>
      </c>
      <c r="L326" s="1014">
        <v>5.1863671140486341E-3</v>
      </c>
      <c r="M326" s="1014">
        <v>5.0007000031299272E-3</v>
      </c>
      <c r="N326" s="1015">
        <v>5.0190221832286733E-3</v>
      </c>
    </row>
    <row r="327" spans="2:14">
      <c r="B327" s="173" t="s">
        <v>316</v>
      </c>
      <c r="C327" s="1472">
        <v>3.0768503358005171E-3</v>
      </c>
      <c r="D327" s="1014">
        <v>2.8981006571933018E-3</v>
      </c>
      <c r="E327" s="1014">
        <v>2.8835223858101225E-3</v>
      </c>
      <c r="F327" s="1015">
        <v>2.8799754895520663E-3</v>
      </c>
      <c r="G327" s="1472">
        <v>1.9916220254548389E-3</v>
      </c>
      <c r="H327" s="1014">
        <v>1.9623005892971607E-3</v>
      </c>
      <c r="I327" s="1014">
        <v>1.9287910558280631E-3</v>
      </c>
      <c r="J327" s="1015">
        <v>0</v>
      </c>
      <c r="K327" s="1472">
        <v>2.8700001518900471E-3</v>
      </c>
      <c r="L327" s="1014">
        <v>2.865023596361543E-3</v>
      </c>
      <c r="M327" s="1014">
        <v>2.8734709358278062E-3</v>
      </c>
      <c r="N327" s="1015">
        <v>2.8680394871338486E-3</v>
      </c>
    </row>
    <row r="328" spans="2:14">
      <c r="B328" s="173" t="s">
        <v>251</v>
      </c>
      <c r="C328" s="1472">
        <v>6.755386840039305E-3</v>
      </c>
      <c r="D328" s="1014">
        <v>6.3592803689970986E-3</v>
      </c>
      <c r="E328" s="1014">
        <v>6.3227478968633745E-3</v>
      </c>
      <c r="F328" s="1015">
        <v>6.3078967300302076E-3</v>
      </c>
      <c r="G328" s="1472">
        <v>5.8584562486982416E-4</v>
      </c>
      <c r="H328" s="1014">
        <v>5.8112153966074186E-4</v>
      </c>
      <c r="I328" s="1014">
        <v>5.7394994093506113E-4</v>
      </c>
      <c r="J328" s="1015">
        <v>0</v>
      </c>
      <c r="K328" s="1472">
        <v>6.2214937337698251E-3</v>
      </c>
      <c r="L328" s="1014">
        <v>6.2134965258607662E-3</v>
      </c>
      <c r="M328" s="1014">
        <v>6.2686315257409501E-3</v>
      </c>
      <c r="N328" s="1015">
        <v>6.2515632458958643E-3</v>
      </c>
    </row>
    <row r="329" spans="2:14">
      <c r="B329" s="173" t="s">
        <v>317</v>
      </c>
      <c r="C329" s="1472">
        <v>1.704736458669252E-2</v>
      </c>
      <c r="D329" s="1014">
        <v>1.732632915361312E-2</v>
      </c>
      <c r="E329" s="1014">
        <v>1.6971451790053535E-2</v>
      </c>
      <c r="F329" s="1015">
        <v>1.6826163779238647E-2</v>
      </c>
      <c r="G329" s="1472">
        <v>5.3028913254348949E-3</v>
      </c>
      <c r="H329" s="1014">
        <v>5.0524040751697965E-3</v>
      </c>
      <c r="I329" s="1014">
        <v>4.8593253454655349E-3</v>
      </c>
      <c r="J329" s="1015">
        <v>0</v>
      </c>
      <c r="K329" s="1472">
        <v>1.8311822750040455E-2</v>
      </c>
      <c r="L329" s="1014">
        <v>1.7786569906881346E-2</v>
      </c>
      <c r="M329" s="1014">
        <v>1.739923709694224E-2</v>
      </c>
      <c r="N329" s="1015">
        <v>1.7239061366549742E-2</v>
      </c>
    </row>
    <row r="330" spans="2:14">
      <c r="B330" s="173" t="s">
        <v>318</v>
      </c>
      <c r="C330" s="1472">
        <v>9.6260447467997334E-2</v>
      </c>
      <c r="D330" s="1014">
        <v>8.7309894175127772E-2</v>
      </c>
      <c r="E330" s="1014">
        <v>8.6135262518074934E-2</v>
      </c>
      <c r="F330" s="1015">
        <v>8.4718447548899553E-2</v>
      </c>
      <c r="G330" s="1472">
        <v>2.4114605308929647E-2</v>
      </c>
      <c r="H330" s="1014">
        <v>2.3241096937465327E-2</v>
      </c>
      <c r="I330" s="1014">
        <v>2.2438034241543978E-2</v>
      </c>
      <c r="J330" s="1015">
        <v>0</v>
      </c>
      <c r="K330" s="1472">
        <v>7.5116752090076386E-2</v>
      </c>
      <c r="L330" s="1014">
        <v>7.2225447370593096E-2</v>
      </c>
      <c r="M330" s="1014">
        <v>7.0122135126101007E-2</v>
      </c>
      <c r="N330" s="1015">
        <v>6.8984414708336855E-2</v>
      </c>
    </row>
    <row r="331" spans="2:14">
      <c r="B331" s="174" t="s">
        <v>319</v>
      </c>
      <c r="C331" s="1473">
        <v>5.5160840791934819E-2</v>
      </c>
      <c r="D331" s="1016">
        <v>4.9776808612314823E-2</v>
      </c>
      <c r="E331" s="1016">
        <v>4.774835610385976E-2</v>
      </c>
      <c r="F331" s="1017">
        <v>4.7008967750843858E-2</v>
      </c>
      <c r="G331" s="1473">
        <v>1.1694619028887287E-3</v>
      </c>
      <c r="H331" s="1016">
        <v>1.1002455516059689E-3</v>
      </c>
      <c r="I331" s="1016">
        <v>1.0285160259406228E-3</v>
      </c>
      <c r="J331" s="1017">
        <v>0</v>
      </c>
      <c r="K331" s="1473">
        <v>4.4039483092429887E-2</v>
      </c>
      <c r="L331" s="1016">
        <v>4.2062112978796098E-2</v>
      </c>
      <c r="M331" s="1016">
        <v>4.0402437547653068E-2</v>
      </c>
      <c r="N331" s="1017">
        <v>3.974501541070577E-2</v>
      </c>
    </row>
    <row r="333" spans="2:14">
      <c r="C333" s="2070"/>
      <c r="D333" s="2070"/>
      <c r="E333" s="2070"/>
      <c r="F333" s="2070"/>
      <c r="G333" s="2070"/>
      <c r="H333" s="2070"/>
      <c r="I333" s="2070"/>
      <c r="J333" s="2070"/>
      <c r="K333" s="2070"/>
      <c r="L333" s="2070"/>
      <c r="M333" s="2070"/>
      <c r="N333" s="2070"/>
    </row>
    <row r="334" spans="2:14">
      <c r="C334" s="2070"/>
      <c r="D334" s="2070"/>
      <c r="E334" s="2070"/>
      <c r="F334" s="2070"/>
      <c r="G334" s="2070"/>
      <c r="H334" s="2070"/>
      <c r="I334" s="2070"/>
      <c r="J334" s="2070"/>
      <c r="K334" s="2070"/>
      <c r="L334" s="2070"/>
      <c r="M334" s="2070"/>
      <c r="N334" s="2070"/>
    </row>
    <row r="335" spans="2:14">
      <c r="C335" s="2070"/>
      <c r="D335" s="2070"/>
      <c r="E335" s="2070"/>
      <c r="F335" s="2070"/>
      <c r="G335" s="2070"/>
      <c r="H335" s="2070"/>
      <c r="I335" s="2070"/>
      <c r="J335" s="2070"/>
      <c r="K335" s="2070"/>
      <c r="L335" s="2070"/>
      <c r="M335" s="2070"/>
      <c r="N335" s="2070"/>
    </row>
    <row r="336" spans="2:14">
      <c r="C336" s="2070"/>
      <c r="D336" s="2070"/>
      <c r="E336" s="2070"/>
      <c r="F336" s="2070"/>
      <c r="G336" s="2070"/>
      <c r="H336" s="2070"/>
      <c r="I336" s="2070"/>
      <c r="J336" s="2070"/>
      <c r="K336" s="2070"/>
      <c r="L336" s="2070"/>
      <c r="M336" s="2070"/>
      <c r="N336" s="2070"/>
    </row>
    <row r="337" spans="3:14">
      <c r="C337" s="2070"/>
      <c r="D337" s="2070"/>
      <c r="E337" s="2070"/>
      <c r="F337" s="2070"/>
      <c r="G337" s="2070"/>
      <c r="H337" s="2070"/>
      <c r="I337" s="2070"/>
      <c r="J337" s="2070"/>
      <c r="K337" s="2070"/>
      <c r="L337" s="2070"/>
      <c r="M337" s="2070"/>
      <c r="N337" s="2070"/>
    </row>
    <row r="338" spans="3:14">
      <c r="C338" s="2070"/>
      <c r="D338" s="2070"/>
      <c r="E338" s="2070"/>
      <c r="F338" s="2070"/>
      <c r="G338" s="2070"/>
      <c r="H338" s="2070"/>
      <c r="I338" s="2070"/>
      <c r="J338" s="2070"/>
      <c r="K338" s="2070"/>
      <c r="L338" s="2070"/>
      <c r="M338" s="2070"/>
      <c r="N338" s="2070"/>
    </row>
    <row r="339" spans="3:14">
      <c r="C339" s="2070"/>
      <c r="D339" s="2070"/>
      <c r="E339" s="2070"/>
      <c r="F339" s="2070"/>
      <c r="G339" s="2070"/>
      <c r="H339" s="2070"/>
      <c r="I339" s="2070"/>
      <c r="J339" s="2070"/>
      <c r="K339" s="2070"/>
      <c r="L339" s="2070"/>
      <c r="M339" s="2070"/>
      <c r="N339" s="2070"/>
    </row>
    <row r="340" spans="3:14">
      <c r="C340" s="2070"/>
      <c r="D340" s="2070"/>
      <c r="E340" s="2070"/>
      <c r="F340" s="2070"/>
      <c r="G340" s="2070"/>
      <c r="H340" s="2070"/>
      <c r="I340" s="2070"/>
      <c r="J340" s="2070"/>
      <c r="K340" s="2070"/>
      <c r="L340" s="2070"/>
      <c r="M340" s="2070"/>
      <c r="N340" s="2070"/>
    </row>
    <row r="341" spans="3:14">
      <c r="C341" s="2070"/>
      <c r="D341" s="2070"/>
      <c r="E341" s="2070"/>
      <c r="F341" s="2070"/>
      <c r="G341" s="2070"/>
      <c r="H341" s="2070"/>
      <c r="I341" s="2070"/>
      <c r="J341" s="2070"/>
      <c r="K341" s="2070"/>
      <c r="L341" s="2070"/>
      <c r="M341" s="2070"/>
      <c r="N341" s="2070"/>
    </row>
    <row r="342" spans="3:14">
      <c r="C342" s="2070"/>
      <c r="D342" s="2070"/>
      <c r="E342" s="2070"/>
      <c r="F342" s="2070"/>
      <c r="G342" s="2070"/>
      <c r="H342" s="2070"/>
      <c r="I342" s="2070"/>
      <c r="J342" s="2070"/>
      <c r="K342" s="2070"/>
      <c r="L342" s="2070"/>
      <c r="M342" s="2070"/>
      <c r="N342" s="2070"/>
    </row>
    <row r="343" spans="3:14">
      <c r="C343" s="2070"/>
      <c r="D343" s="2070"/>
      <c r="E343" s="2070"/>
      <c r="F343" s="2070"/>
      <c r="G343" s="2070"/>
      <c r="H343" s="2070"/>
      <c r="I343" s="2070"/>
      <c r="J343" s="2070"/>
      <c r="K343" s="2070"/>
      <c r="L343" s="2070"/>
      <c r="M343" s="2070"/>
      <c r="N343" s="2070"/>
    </row>
    <row r="344" spans="3:14">
      <c r="C344" s="2070"/>
      <c r="D344" s="2070"/>
      <c r="E344" s="2070"/>
      <c r="F344" s="2070"/>
      <c r="G344" s="2070"/>
      <c r="H344" s="2070"/>
      <c r="I344" s="2070"/>
      <c r="J344" s="2070"/>
      <c r="K344" s="2070"/>
      <c r="L344" s="2070"/>
      <c r="M344" s="2070"/>
      <c r="N344" s="2070"/>
    </row>
    <row r="345" spans="3:14">
      <c r="C345" s="2070"/>
      <c r="D345" s="2070"/>
      <c r="E345" s="2070"/>
      <c r="F345" s="2070"/>
      <c r="G345" s="2070"/>
      <c r="H345" s="2070"/>
      <c r="I345" s="2070"/>
      <c r="J345" s="2070"/>
      <c r="K345" s="2070"/>
      <c r="L345" s="2070"/>
      <c r="M345" s="2070"/>
      <c r="N345" s="2070"/>
    </row>
    <row r="346" spans="3:14">
      <c r="C346" s="2070"/>
      <c r="D346" s="2070"/>
      <c r="E346" s="2070"/>
      <c r="F346" s="2070"/>
      <c r="G346" s="2070"/>
      <c r="H346" s="2070"/>
      <c r="I346" s="2070"/>
      <c r="J346" s="2070"/>
      <c r="K346" s="2070"/>
      <c r="L346" s="2070"/>
      <c r="M346" s="2070"/>
      <c r="N346" s="2070"/>
    </row>
    <row r="347" spans="3:14">
      <c r="C347" s="2070"/>
      <c r="D347" s="2070"/>
      <c r="E347" s="2070"/>
      <c r="F347" s="2070"/>
      <c r="G347" s="2070"/>
      <c r="H347" s="2070"/>
      <c r="I347" s="2070"/>
      <c r="J347" s="2070"/>
      <c r="K347" s="2070"/>
      <c r="L347" s="2070"/>
      <c r="M347" s="2070"/>
      <c r="N347" s="2070"/>
    </row>
    <row r="348" spans="3:14">
      <c r="C348" s="2070"/>
      <c r="D348" s="2070"/>
      <c r="E348" s="2070"/>
      <c r="F348" s="2070"/>
      <c r="G348" s="2070"/>
      <c r="H348" s="2070"/>
      <c r="I348" s="2070"/>
      <c r="J348" s="2070"/>
      <c r="K348" s="2070"/>
      <c r="L348" s="2070"/>
      <c r="M348" s="2070"/>
      <c r="N348" s="2070"/>
    </row>
    <row r="349" spans="3:14">
      <c r="C349" s="2070"/>
      <c r="D349" s="2070"/>
      <c r="E349" s="2070"/>
      <c r="F349" s="2070"/>
      <c r="G349" s="2070"/>
      <c r="H349" s="2070"/>
      <c r="I349" s="2070"/>
      <c r="J349" s="2070"/>
      <c r="K349" s="2070"/>
      <c r="L349" s="2070"/>
      <c r="M349" s="2070"/>
      <c r="N349" s="2070"/>
    </row>
  </sheetData>
  <mergeCells count="13">
    <mergeCell ref="W109:AF109"/>
    <mergeCell ref="H214:I214"/>
    <mergeCell ref="B313:B314"/>
    <mergeCell ref="C313:F313"/>
    <mergeCell ref="G313:J313"/>
    <mergeCell ref="K313:N313"/>
    <mergeCell ref="C109:F109"/>
    <mergeCell ref="M109:V109"/>
    <mergeCell ref="H8:K8"/>
    <mergeCell ref="L8:O8"/>
    <mergeCell ref="P8:S8"/>
    <mergeCell ref="B85:F85"/>
    <mergeCell ref="B91:F91"/>
  </mergeCell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CA2FBA5C-F323-4900-BFD6-C1928FD71752}">
            <xm:f>OR(MHDV_Inputs!$B$3=2,MHDV_Inputs!$B$3=3)</xm:f>
            <x14:dxf>
              <fill>
                <patternFill>
                  <bgColor theme="1" tint="0.24994659260841701"/>
                </patternFill>
              </fill>
            </x14:dxf>
          </x14:cfRule>
          <xm:sqref>D4 D9:D10 H10:K10 D22 D33:D42 D46:D55 D64:D65 C70 C80:D80 C87:F87 C93:F93 D111:D226 D230 D287:D294 D298:D305 D309:D310 C315:F331</xm:sqref>
        </x14:conditionalFormatting>
      </x14:conditionalFormatting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4">
    <tabColor theme="9" tint="0.59999389629810485"/>
  </sheetPr>
  <dimension ref="A1:AA160"/>
  <sheetViews>
    <sheetView showGridLines="0" zoomScale="85" zoomScaleNormal="85" workbookViewId="0"/>
  </sheetViews>
  <sheetFormatPr defaultColWidth="9.140625" defaultRowHeight="12.75"/>
  <cols>
    <col min="1" max="1" width="42.85546875" style="2081" customWidth="1"/>
    <col min="2" max="2" width="14.140625" style="2081" customWidth="1"/>
    <col min="3" max="4" width="14.5703125" style="2081" customWidth="1"/>
    <col min="5" max="5" width="15.42578125" style="2081" customWidth="1"/>
    <col min="6" max="6" width="14" style="2081" customWidth="1"/>
    <col min="7" max="7" width="12.7109375" style="2081" bestFit="1" customWidth="1"/>
    <col min="8" max="8" width="12.7109375" style="2081" customWidth="1"/>
    <col min="9" max="9" width="12.7109375" style="2081" bestFit="1" customWidth="1"/>
    <col min="10" max="10" width="12.28515625" style="2081" customWidth="1"/>
    <col min="11" max="11" width="12.7109375" style="2081" bestFit="1" customWidth="1"/>
    <col min="12" max="12" width="13.28515625" style="2081" customWidth="1"/>
    <col min="13" max="13" width="12.85546875" style="2081" bestFit="1" customWidth="1"/>
    <col min="14" max="14" width="14.28515625" style="2082" customWidth="1"/>
    <col min="15" max="15" width="12.85546875" style="2081" customWidth="1"/>
    <col min="16" max="16" width="14.85546875" style="2081" customWidth="1"/>
    <col min="17" max="17" width="14.28515625" style="2081" customWidth="1"/>
    <col min="18" max="18" width="15.5703125" style="2081" customWidth="1"/>
    <col min="19" max="19" width="13.5703125" style="2081" customWidth="1"/>
    <col min="20" max="20" width="15" style="2081" customWidth="1"/>
    <col min="21" max="21" width="13.7109375" style="2081" customWidth="1"/>
    <col min="22" max="22" width="15.140625" style="2081" customWidth="1"/>
    <col min="23" max="23" width="17" style="2081" customWidth="1"/>
    <col min="24" max="24" width="15" style="2081" customWidth="1"/>
    <col min="25" max="25" width="15.28515625" style="2081" customWidth="1"/>
    <col min="26" max="26" width="16.140625" style="2081" customWidth="1"/>
    <col min="27" max="27" width="15.5703125" style="2081" customWidth="1"/>
    <col min="28" max="16384" width="9.140625" style="2081"/>
  </cols>
  <sheetData>
    <row r="1" spans="1:14" ht="15.75">
      <c r="A1" s="2080" t="s">
        <v>2540</v>
      </c>
    </row>
    <row r="2" spans="1:14">
      <c r="A2" s="2083"/>
    </row>
    <row r="3" spans="1:14" ht="15">
      <c r="A3" s="2084" t="s">
        <v>2705</v>
      </c>
    </row>
    <row r="4" spans="1:14" ht="25.5">
      <c r="A4" s="2085"/>
      <c r="B4" s="2086" t="s">
        <v>157</v>
      </c>
      <c r="C4" s="2087" t="s">
        <v>2339</v>
      </c>
      <c r="D4" s="2087" t="s">
        <v>2340</v>
      </c>
      <c r="E4" s="2087" t="s">
        <v>2341</v>
      </c>
      <c r="F4" s="2088" t="s">
        <v>2342</v>
      </c>
      <c r="G4" s="2088" t="s">
        <v>2343</v>
      </c>
      <c r="H4" s="2088" t="s">
        <v>158</v>
      </c>
      <c r="I4" s="2088" t="s">
        <v>159</v>
      </c>
      <c r="J4" s="2087" t="s">
        <v>160</v>
      </c>
      <c r="K4" s="2087" t="s">
        <v>161</v>
      </c>
      <c r="L4" s="2088" t="s">
        <v>2344</v>
      </c>
      <c r="M4" s="2087" t="s">
        <v>162</v>
      </c>
      <c r="N4" s="2089" t="s">
        <v>163</v>
      </c>
    </row>
    <row r="5" spans="1:14">
      <c r="A5" s="2085" t="s">
        <v>1420</v>
      </c>
      <c r="B5" s="2090"/>
      <c r="C5" s="2090"/>
      <c r="D5" s="2090"/>
      <c r="E5" s="2090"/>
      <c r="F5" s="2090"/>
      <c r="G5" s="2090"/>
      <c r="H5" s="2091"/>
      <c r="I5" s="2091"/>
      <c r="J5" s="2090"/>
      <c r="K5" s="2090"/>
      <c r="L5" s="2091"/>
      <c r="M5" s="2090"/>
      <c r="N5" s="2092"/>
    </row>
    <row r="6" spans="1:14">
      <c r="A6" s="2093" t="s">
        <v>2541</v>
      </c>
      <c r="B6" s="2094">
        <f xml:space="preserve"> MHDV_Inputs!C19</f>
        <v>92.1973179684</v>
      </c>
      <c r="C6" s="2094">
        <f xml:space="preserve"> MHDV_Inputs!D19</f>
        <v>15.43</v>
      </c>
      <c r="D6" s="2094">
        <f xml:space="preserve"> MHDV_Inputs!E19</f>
        <v>45.181609883549996</v>
      </c>
      <c r="E6" s="2094">
        <f xml:space="preserve"> MHDV_Inputs!F19</f>
        <v>30.86</v>
      </c>
      <c r="F6" s="2094">
        <f xml:space="preserve"> MHDV_Inputs!G19</f>
        <v>19.004999999999999</v>
      </c>
      <c r="G6" s="2094">
        <f xml:space="preserve"> MHDV_Inputs!H19</f>
        <v>38.01</v>
      </c>
      <c r="H6" s="2094">
        <f xml:space="preserve"> MHDV_Inputs!I19</f>
        <v>0</v>
      </c>
      <c r="I6" s="2094">
        <f xml:space="preserve"> MHDV_Inputs!J19</f>
        <v>0</v>
      </c>
      <c r="J6" s="2094">
        <f xml:space="preserve"> MHDV_Inputs!K19</f>
        <v>14.06108307036</v>
      </c>
      <c r="K6" s="2094">
        <f xml:space="preserve"> MHDV_Inputs!L19</f>
        <v>121.07064346251931</v>
      </c>
      <c r="L6" s="2094">
        <f xml:space="preserve"> MHDV_Inputs!M19</f>
        <v>55.079669278936258</v>
      </c>
      <c r="M6" s="2094">
        <f xml:space="preserve"> MHDV_Inputs!N19</f>
        <v>15.856268428784681</v>
      </c>
      <c r="N6" s="2095">
        <f xml:space="preserve"> MHDV_Inputs!O19</f>
        <v>0</v>
      </c>
    </row>
    <row r="7" spans="1:14">
      <c r="A7" s="2096" t="s">
        <v>1423</v>
      </c>
      <c r="B7" s="2094">
        <f xml:space="preserve"> MHDV_Inputs!C20</f>
        <v>92.1973179684</v>
      </c>
      <c r="C7" s="2094">
        <f xml:space="preserve"> MHDV_Inputs!D20</f>
        <v>15.43</v>
      </c>
      <c r="D7" s="2094">
        <f xml:space="preserve"> MHDV_Inputs!E20</f>
        <v>45.181609883549996</v>
      </c>
      <c r="E7" s="2094">
        <f xml:space="preserve"> MHDV_Inputs!F20</f>
        <v>30.86</v>
      </c>
      <c r="F7" s="2094">
        <f xml:space="preserve"> MHDV_Inputs!G20</f>
        <v>19.004999999999999</v>
      </c>
      <c r="G7" s="2094">
        <f xml:space="preserve"> MHDV_Inputs!H20</f>
        <v>38.01</v>
      </c>
      <c r="H7" s="2094">
        <f xml:space="preserve"> MHDV_Inputs!I20</f>
        <v>0</v>
      </c>
      <c r="I7" s="2094">
        <f xml:space="preserve"> MHDV_Inputs!J20</f>
        <v>0</v>
      </c>
      <c r="J7" s="2094">
        <f xml:space="preserve"> MHDV_Inputs!K20</f>
        <v>2.1632435177908937</v>
      </c>
      <c r="K7" s="2094">
        <f xml:space="preserve"> MHDV_Inputs!L20</f>
        <v>121.07064346251931</v>
      </c>
      <c r="L7" s="2094">
        <f xml:space="preserve"> MHDV_Inputs!M20</f>
        <v>55.079669278936258</v>
      </c>
      <c r="M7" s="2094">
        <f xml:space="preserve"> MHDV_Inputs!N20</f>
        <v>15.856268428784681</v>
      </c>
      <c r="N7" s="2095">
        <f xml:space="preserve"> MHDV_Inputs!O20</f>
        <v>0</v>
      </c>
    </row>
    <row r="8" spans="1:14">
      <c r="A8" s="2096" t="s">
        <v>1425</v>
      </c>
      <c r="B8" s="2094">
        <f xml:space="preserve"> MHDV_Inputs!C21</f>
        <v>0</v>
      </c>
      <c r="C8" s="2094">
        <f xml:space="preserve"> MHDV_Inputs!D21</f>
        <v>15.43</v>
      </c>
      <c r="D8" s="2094">
        <f xml:space="preserve"> MHDV_Inputs!E21</f>
        <v>45.181609883549996</v>
      </c>
      <c r="E8" s="2094">
        <f xml:space="preserve"> MHDV_Inputs!F21</f>
        <v>30.86</v>
      </c>
      <c r="F8" s="2094">
        <f xml:space="preserve"> MHDV_Inputs!G21</f>
        <v>19.004999999999999</v>
      </c>
      <c r="G8" s="2094">
        <f xml:space="preserve"> MHDV_Inputs!H21</f>
        <v>38.01</v>
      </c>
      <c r="H8" s="2094">
        <f xml:space="preserve"> MHDV_Inputs!I21</f>
        <v>0</v>
      </c>
      <c r="I8" s="2094">
        <f xml:space="preserve"> MHDV_Inputs!J21</f>
        <v>0</v>
      </c>
      <c r="J8" s="2094">
        <f xml:space="preserve"> MHDV_Inputs!K21</f>
        <v>2.1632435177908937</v>
      </c>
      <c r="K8" s="2094">
        <f xml:space="preserve"> MHDV_Inputs!L21</f>
        <v>83.017606031198042</v>
      </c>
      <c r="L8" s="2094">
        <f xml:space="preserve"> MHDV_Inputs!M21</f>
        <v>37.767886200612935</v>
      </c>
      <c r="M8" s="2094">
        <f xml:space="preserve"> MHDV_Inputs!N21</f>
        <v>15.856268428784681</v>
      </c>
      <c r="N8" s="2095">
        <f xml:space="preserve"> MHDV_Inputs!O21</f>
        <v>0</v>
      </c>
    </row>
    <row r="9" spans="1:14">
      <c r="A9" s="2097" t="s">
        <v>1426</v>
      </c>
      <c r="B9" s="2098">
        <f xml:space="preserve"> MHDV_Inputs!C22</f>
        <v>0</v>
      </c>
      <c r="C9" s="2098">
        <f xml:space="preserve"> MHDV_Inputs!D22</f>
        <v>15.43</v>
      </c>
      <c r="D9" s="2098">
        <f xml:space="preserve"> MHDV_Inputs!E22</f>
        <v>45.181609883549996</v>
      </c>
      <c r="E9" s="2098">
        <f xml:space="preserve"> MHDV_Inputs!F22</f>
        <v>30.86</v>
      </c>
      <c r="F9" s="2098">
        <f xml:space="preserve"> MHDV_Inputs!G22</f>
        <v>19.004999999999999</v>
      </c>
      <c r="G9" s="2098">
        <f xml:space="preserve"> MHDV_Inputs!H22</f>
        <v>38.01</v>
      </c>
      <c r="H9" s="2098">
        <f xml:space="preserve"> MHDV_Inputs!I22</f>
        <v>0</v>
      </c>
      <c r="I9" s="2098">
        <f xml:space="preserve"> MHDV_Inputs!J22</f>
        <v>0</v>
      </c>
      <c r="J9" s="2098">
        <f xml:space="preserve"> MHDV_Inputs!K22</f>
        <v>2.1632435177908937</v>
      </c>
      <c r="K9" s="2098">
        <f xml:space="preserve"> MHDV_Inputs!L22</f>
        <v>83.017606031198042</v>
      </c>
      <c r="L9" s="2098">
        <f xml:space="preserve"> MHDV_Inputs!M22</f>
        <v>37.767886200612935</v>
      </c>
      <c r="M9" s="2098">
        <f xml:space="preserve"> MHDV_Inputs!N22</f>
        <v>15.856268428784681</v>
      </c>
      <c r="N9" s="2099">
        <f xml:space="preserve"> MHDV_Inputs!O22</f>
        <v>0</v>
      </c>
    </row>
    <row r="10" spans="1:14">
      <c r="A10" s="2100" t="s">
        <v>1427</v>
      </c>
      <c r="B10" s="2101">
        <f xml:space="preserve"> MHDV_Inputs!B125</f>
        <v>19</v>
      </c>
      <c r="C10" s="2101">
        <f xml:space="preserve"> MHDV_Inputs!C125</f>
        <v>39</v>
      </c>
      <c r="D10" s="2101">
        <f xml:space="preserve"> MHDV_Inputs!D125</f>
        <v>1</v>
      </c>
      <c r="E10" s="2101">
        <f xml:space="preserve"> MHDV_Inputs!E125</f>
        <v>7</v>
      </c>
      <c r="F10" s="2101">
        <f xml:space="preserve"> MHDV_Inputs!F125</f>
        <v>1</v>
      </c>
      <c r="G10" s="2101">
        <f xml:space="preserve"> MHDV_Inputs!G125</f>
        <v>1</v>
      </c>
      <c r="H10" s="2101">
        <f xml:space="preserve"> MHDV_Inputs!H125</f>
        <v>0</v>
      </c>
      <c r="I10" s="2101">
        <f xml:space="preserve"> MHDV_Inputs!I125</f>
        <v>0</v>
      </c>
      <c r="J10" s="2101">
        <f xml:space="preserve"> MHDV_Inputs!J125</f>
        <v>1</v>
      </c>
      <c r="K10" s="2101">
        <f xml:space="preserve"> MHDV_Inputs!K125</f>
        <v>1</v>
      </c>
      <c r="L10" s="2101">
        <f xml:space="preserve"> MHDV_Inputs!L125</f>
        <v>1</v>
      </c>
      <c r="M10" s="2101">
        <f xml:space="preserve"> MHDV_Inputs!M125</f>
        <v>16</v>
      </c>
      <c r="N10" s="2102">
        <f xml:space="preserve"> MHDV_Inputs!N125</f>
        <v>1</v>
      </c>
    </row>
    <row r="11" spans="1:14">
      <c r="A11" s="2100" t="s">
        <v>1428</v>
      </c>
      <c r="B11" s="2103">
        <f xml:space="preserve"> MHDV_Inputs!B129</f>
        <v>0.66666666666666663</v>
      </c>
      <c r="C11" s="2103">
        <f xml:space="preserve"> MHDV_Inputs!C129</f>
        <v>0.66666666666666663</v>
      </c>
      <c r="D11" s="2103">
        <f xml:space="preserve"> MHDV_Inputs!D129</f>
        <v>0.66666666666666663</v>
      </c>
      <c r="E11" s="2103">
        <f xml:space="preserve"> MHDV_Inputs!E129</f>
        <v>0.66666666666666663</v>
      </c>
      <c r="F11" s="2103">
        <f xml:space="preserve"> MHDV_Inputs!F129</f>
        <v>0.66666666666666663</v>
      </c>
      <c r="G11" s="2103">
        <f xml:space="preserve"> MHDV_Inputs!G129</f>
        <v>0.66666666666666663</v>
      </c>
      <c r="H11" s="2103">
        <f xml:space="preserve"> MHDV_Inputs!H129</f>
        <v>0.66666666666666663</v>
      </c>
      <c r="I11" s="2103">
        <f xml:space="preserve"> MHDV_Inputs!I129</f>
        <v>0.66666666666666663</v>
      </c>
      <c r="J11" s="2103">
        <f xml:space="preserve"> MHDV_Inputs!J129</f>
        <v>0.66666666666666663</v>
      </c>
      <c r="K11" s="2103">
        <f xml:space="preserve"> MHDV_Inputs!K129</f>
        <v>0.66666666666666663</v>
      </c>
      <c r="L11" s="2103">
        <f xml:space="preserve"> MHDV_Inputs!L129</f>
        <v>0.66666666666666663</v>
      </c>
      <c r="M11" s="2103">
        <f xml:space="preserve"> MHDV_Inputs!M129</f>
        <v>0</v>
      </c>
      <c r="N11" s="2104">
        <f xml:space="preserve"> MHDV_Inputs!N129</f>
        <v>0.66666666666666663</v>
      </c>
    </row>
    <row r="12" spans="1:14">
      <c r="A12" s="2083"/>
    </row>
    <row r="13" spans="1:14">
      <c r="A13" s="2105">
        <f>Mat_Inputs!B165</f>
        <v>0.5</v>
      </c>
      <c r="B13" s="2081" t="s">
        <v>321</v>
      </c>
    </row>
    <row r="14" spans="1:14">
      <c r="A14" s="2106">
        <f>Mat_Inputs!B166</f>
        <v>0.5</v>
      </c>
      <c r="B14" s="2081" t="s">
        <v>322</v>
      </c>
    </row>
    <row r="15" spans="1:14">
      <c r="A15" s="2083"/>
    </row>
    <row r="16" spans="1:14" ht="15">
      <c r="A16" s="2084" t="s">
        <v>762</v>
      </c>
    </row>
    <row r="17" spans="1:25">
      <c r="A17" s="2085" t="s">
        <v>769</v>
      </c>
      <c r="B17" s="2107">
        <v>1</v>
      </c>
    </row>
    <row r="18" spans="1:25">
      <c r="A18" s="2096" t="s">
        <v>770</v>
      </c>
      <c r="B18" s="940">
        <v>1</v>
      </c>
    </row>
    <row r="19" spans="1:25">
      <c r="A19" s="2097" t="s">
        <v>773</v>
      </c>
      <c r="B19" s="942">
        <v>1</v>
      </c>
    </row>
    <row r="21" spans="1:25" ht="15">
      <c r="A21" s="2084" t="s">
        <v>784</v>
      </c>
    </row>
    <row r="22" spans="1:25">
      <c r="A22" s="2108"/>
      <c r="B22" s="3166" t="s">
        <v>588</v>
      </c>
      <c r="C22" s="3165"/>
      <c r="D22" s="3166" t="s">
        <v>157</v>
      </c>
      <c r="E22" s="3164"/>
      <c r="F22" s="3167" t="s">
        <v>2339</v>
      </c>
      <c r="G22" s="3167"/>
      <c r="H22" s="3167" t="s">
        <v>2340</v>
      </c>
      <c r="I22" s="3167"/>
      <c r="J22" s="3166" t="s">
        <v>2341</v>
      </c>
      <c r="K22" s="3165"/>
      <c r="L22" s="3167" t="s">
        <v>2342</v>
      </c>
      <c r="M22" s="3167"/>
      <c r="N22" s="3165" t="s">
        <v>2343</v>
      </c>
      <c r="O22" s="3167"/>
      <c r="P22" s="3166" t="s">
        <v>158</v>
      </c>
      <c r="Q22" s="3165"/>
      <c r="R22" s="3166" t="s">
        <v>159</v>
      </c>
      <c r="S22" s="3165"/>
      <c r="T22" s="3166" t="s">
        <v>160</v>
      </c>
      <c r="U22" s="3165"/>
      <c r="V22" s="3164" t="s">
        <v>1429</v>
      </c>
      <c r="W22" s="3165"/>
      <c r="X22" s="3166" t="s">
        <v>2344</v>
      </c>
      <c r="Y22" s="3165"/>
    </row>
    <row r="23" spans="1:25" ht="77.25" customHeight="1">
      <c r="A23" s="2109"/>
      <c r="B23" s="2110" t="s">
        <v>1430</v>
      </c>
      <c r="C23" s="2111"/>
      <c r="D23" s="2112" t="s">
        <v>1430</v>
      </c>
      <c r="E23" s="2112" t="s">
        <v>1431</v>
      </c>
      <c r="F23" s="2110" t="s">
        <v>1430</v>
      </c>
      <c r="G23" s="2111" t="s">
        <v>1431</v>
      </c>
      <c r="H23" s="2110" t="s">
        <v>1430</v>
      </c>
      <c r="I23" s="2111" t="s">
        <v>1431</v>
      </c>
      <c r="J23" s="2110" t="s">
        <v>1430</v>
      </c>
      <c r="K23" s="2111" t="s">
        <v>1431</v>
      </c>
      <c r="L23" s="2110" t="s">
        <v>1430</v>
      </c>
      <c r="M23" s="2111" t="s">
        <v>1431</v>
      </c>
      <c r="N23" s="2112" t="s">
        <v>1430</v>
      </c>
      <c r="O23" s="2112" t="s">
        <v>1431</v>
      </c>
      <c r="P23" s="2110" t="s">
        <v>1430</v>
      </c>
      <c r="Q23" s="2111" t="s">
        <v>1431</v>
      </c>
      <c r="R23" s="2112" t="s">
        <v>1430</v>
      </c>
      <c r="S23" s="2112" t="s">
        <v>1431</v>
      </c>
      <c r="T23" s="2110" t="s">
        <v>1430</v>
      </c>
      <c r="U23" s="2111" t="s">
        <v>1431</v>
      </c>
      <c r="V23" s="2112" t="s">
        <v>1430</v>
      </c>
      <c r="W23" s="2111" t="s">
        <v>1432</v>
      </c>
      <c r="X23" s="2110" t="s">
        <v>1430</v>
      </c>
      <c r="Y23" s="2111" t="s">
        <v>1431</v>
      </c>
    </row>
    <row r="24" spans="1:25" ht="25.5">
      <c r="A24" s="2108" t="s">
        <v>797</v>
      </c>
      <c r="B24" s="2113"/>
      <c r="C24" s="2114"/>
      <c r="D24" s="2115"/>
      <c r="E24" s="2086"/>
      <c r="F24" s="2116"/>
      <c r="G24" s="2117"/>
      <c r="H24" s="2116"/>
      <c r="I24" s="2117"/>
      <c r="J24" s="2116"/>
      <c r="K24" s="2117"/>
      <c r="L24" s="2116"/>
      <c r="M24" s="2117"/>
      <c r="N24" s="2086"/>
      <c r="O24" s="2117"/>
      <c r="P24" s="2113"/>
      <c r="Q24" s="2114"/>
      <c r="R24" s="2118"/>
      <c r="S24" s="2119"/>
      <c r="T24" s="2113"/>
      <c r="U24" s="2114"/>
      <c r="V24" s="2118"/>
      <c r="W24" s="2114"/>
      <c r="X24" s="2113"/>
      <c r="Y24" s="2114"/>
    </row>
    <row r="25" spans="1:25">
      <c r="A25" s="2109" t="s">
        <v>798</v>
      </c>
      <c r="B25" s="2120"/>
      <c r="C25" s="2114"/>
      <c r="D25" s="2121"/>
      <c r="E25" s="2122">
        <v>0.5</v>
      </c>
      <c r="F25" s="2123"/>
      <c r="G25" s="2124">
        <v>0.5</v>
      </c>
      <c r="H25" s="2123"/>
      <c r="I25" s="2124">
        <v>0.5</v>
      </c>
      <c r="J25" s="2123"/>
      <c r="K25" s="2124">
        <v>0.5</v>
      </c>
      <c r="L25" s="2123"/>
      <c r="M25" s="2124">
        <v>0.5</v>
      </c>
      <c r="N25" s="2125"/>
      <c r="O25" s="2124">
        <v>0.5</v>
      </c>
      <c r="P25" s="2120"/>
      <c r="Q25" s="2124">
        <v>0.5</v>
      </c>
      <c r="R25" s="2126"/>
      <c r="S25" s="2127">
        <v>0.5</v>
      </c>
      <c r="T25" s="2120"/>
      <c r="U25" s="2128">
        <v>0.5</v>
      </c>
      <c r="V25" s="2126"/>
      <c r="W25" s="2129">
        <f>GREET1_Import_Export!$B$166</f>
        <v>0.7</v>
      </c>
      <c r="X25" s="2120"/>
      <c r="Y25" s="2128">
        <v>0.5</v>
      </c>
    </row>
    <row r="26" spans="1:25">
      <c r="A26" s="2108" t="s">
        <v>799</v>
      </c>
      <c r="B26" s="2116"/>
      <c r="C26" s="2117"/>
      <c r="D26" s="2119"/>
      <c r="E26" s="2119"/>
      <c r="F26" s="2116"/>
      <c r="G26" s="2117"/>
      <c r="H26" s="2116"/>
      <c r="I26" s="2117"/>
      <c r="J26" s="2116"/>
      <c r="K26" s="2117"/>
      <c r="L26" s="2116"/>
      <c r="M26" s="2117"/>
      <c r="N26" s="2086"/>
      <c r="O26" s="2117"/>
      <c r="P26" s="2116"/>
      <c r="Q26" s="2117"/>
      <c r="R26" s="2086"/>
      <c r="S26" s="2086"/>
      <c r="T26" s="2116"/>
      <c r="U26" s="2117"/>
      <c r="V26" s="2086"/>
      <c r="W26" s="2117"/>
      <c r="X26" s="2116"/>
      <c r="Y26" s="2117"/>
    </row>
    <row r="27" spans="1:25">
      <c r="A27" s="2130" t="s">
        <v>800</v>
      </c>
      <c r="B27" s="2120"/>
      <c r="C27" s="2114"/>
      <c r="D27" s="2126"/>
      <c r="E27" s="2119"/>
      <c r="F27" s="2130"/>
      <c r="G27" s="2114"/>
      <c r="H27" s="2130"/>
      <c r="I27" s="2114"/>
      <c r="J27" s="2130"/>
      <c r="K27" s="2114"/>
      <c r="L27" s="2130"/>
      <c r="M27" s="2114"/>
      <c r="N27" s="2119"/>
      <c r="O27" s="2114"/>
      <c r="P27" s="2120"/>
      <c r="Q27" s="2114"/>
      <c r="R27" s="2126"/>
      <c r="S27" s="2119"/>
      <c r="T27" s="2120"/>
      <c r="U27" s="2114"/>
      <c r="V27" s="2126"/>
      <c r="W27" s="2114"/>
      <c r="X27" s="2120"/>
      <c r="Y27" s="2114"/>
    </row>
    <row r="28" spans="1:25">
      <c r="A28" s="2130" t="s">
        <v>802</v>
      </c>
      <c r="B28" s="2120"/>
      <c r="C28" s="2114"/>
      <c r="D28" s="2126"/>
      <c r="E28" s="2119"/>
      <c r="F28" s="2130"/>
      <c r="G28" s="2114"/>
      <c r="H28" s="2130"/>
      <c r="I28" s="2114"/>
      <c r="J28" s="2130"/>
      <c r="K28" s="2114"/>
      <c r="L28" s="2130"/>
      <c r="M28" s="2114"/>
      <c r="N28" s="2119"/>
      <c r="O28" s="2114"/>
      <c r="P28" s="2120"/>
      <c r="Q28" s="2114"/>
      <c r="R28" s="2126"/>
      <c r="S28" s="2119"/>
      <c r="T28" s="2120"/>
      <c r="U28" s="2114"/>
      <c r="V28" s="2126"/>
      <c r="W28" s="2114"/>
      <c r="X28" s="2120"/>
      <c r="Y28" s="2114"/>
    </row>
    <row r="29" spans="1:25">
      <c r="A29" s="2130" t="s">
        <v>804</v>
      </c>
      <c r="B29" s="2120"/>
      <c r="C29" s="2114"/>
      <c r="D29" s="2126"/>
      <c r="E29" s="2119"/>
      <c r="F29" s="2130"/>
      <c r="G29" s="2114"/>
      <c r="H29" s="2130"/>
      <c r="I29" s="2114"/>
      <c r="J29" s="2130"/>
      <c r="K29" s="2114"/>
      <c r="L29" s="2130"/>
      <c r="M29" s="2114"/>
      <c r="N29" s="2119"/>
      <c r="O29" s="2114"/>
      <c r="P29" s="2120"/>
      <c r="Q29" s="2114"/>
      <c r="R29" s="2126"/>
      <c r="S29" s="2119"/>
      <c r="T29" s="2120"/>
      <c r="U29" s="2114"/>
      <c r="V29" s="2126"/>
      <c r="W29" s="2114"/>
      <c r="X29" s="2120"/>
      <c r="Y29" s="2114"/>
    </row>
    <row r="30" spans="1:25">
      <c r="A30" s="2130" t="s">
        <v>805</v>
      </c>
      <c r="B30" s="2120"/>
      <c r="C30" s="2114"/>
      <c r="D30" s="2126"/>
      <c r="E30" s="2119"/>
      <c r="F30" s="2130"/>
      <c r="G30" s="2114"/>
      <c r="H30" s="2130"/>
      <c r="I30" s="2114"/>
      <c r="J30" s="2130"/>
      <c r="K30" s="2114"/>
      <c r="L30" s="2130"/>
      <c r="M30" s="2114"/>
      <c r="N30" s="2119"/>
      <c r="O30" s="2114"/>
      <c r="P30" s="2120"/>
      <c r="Q30" s="2114"/>
      <c r="R30" s="2126"/>
      <c r="S30" s="2119"/>
      <c r="T30" s="2120"/>
      <c r="U30" s="2114"/>
      <c r="V30" s="2126"/>
      <c r="W30" s="2114"/>
      <c r="X30" s="2120"/>
      <c r="Y30" s="2114"/>
    </row>
    <row r="31" spans="1:25">
      <c r="A31" s="2123" t="s">
        <v>806</v>
      </c>
      <c r="B31" s="2121"/>
      <c r="C31" s="2131"/>
      <c r="D31" s="2132"/>
      <c r="E31" s="2125"/>
      <c r="F31" s="2123"/>
      <c r="G31" s="2131"/>
      <c r="H31" s="2123"/>
      <c r="I31" s="2131"/>
      <c r="J31" s="2123"/>
      <c r="K31" s="2131"/>
      <c r="L31" s="2123"/>
      <c r="M31" s="2131"/>
      <c r="N31" s="2125"/>
      <c r="O31" s="2131"/>
      <c r="P31" s="2121"/>
      <c r="Q31" s="2131"/>
      <c r="R31" s="2132"/>
      <c r="S31" s="2125"/>
      <c r="T31" s="2121"/>
      <c r="U31" s="2131"/>
      <c r="V31" s="2132"/>
      <c r="W31" s="2131"/>
      <c r="X31" s="2121"/>
      <c r="Y31" s="2131"/>
    </row>
    <row r="32" spans="1:25">
      <c r="A32" s="2109" t="s">
        <v>862</v>
      </c>
      <c r="B32" s="2130"/>
      <c r="C32" s="2114"/>
      <c r="D32" s="2119"/>
      <c r="E32" s="2119"/>
      <c r="F32" s="2116"/>
      <c r="G32" s="2117"/>
      <c r="H32" s="2116"/>
      <c r="I32" s="2117"/>
      <c r="J32" s="2116"/>
      <c r="K32" s="2117"/>
      <c r="L32" s="2116"/>
      <c r="M32" s="2117"/>
      <c r="N32" s="2086"/>
      <c r="O32" s="2117"/>
      <c r="P32" s="2130"/>
      <c r="Q32" s="2114"/>
      <c r="R32" s="2119"/>
      <c r="S32" s="2119"/>
      <c r="T32" s="2130"/>
      <c r="U32" s="2114"/>
      <c r="V32" s="2119"/>
      <c r="W32" s="2114"/>
      <c r="X32" s="2130"/>
      <c r="Y32" s="2114"/>
    </row>
    <row r="33" spans="1:25" s="2136" customFormat="1">
      <c r="A33" s="2133" t="s">
        <v>800</v>
      </c>
      <c r="B33" s="2133"/>
      <c r="C33" s="2134"/>
      <c r="D33" s="2135"/>
      <c r="E33" s="2135"/>
      <c r="F33" s="2133"/>
      <c r="G33" s="2134"/>
      <c r="H33" s="2133"/>
      <c r="I33" s="2134"/>
      <c r="J33" s="2133"/>
      <c r="K33" s="2134"/>
      <c r="L33" s="2133"/>
      <c r="M33" s="2134"/>
      <c r="N33" s="2135"/>
      <c r="O33" s="2134"/>
      <c r="P33" s="2133"/>
      <c r="Q33" s="2134"/>
      <c r="R33" s="2135"/>
      <c r="S33" s="2135"/>
      <c r="T33" s="2133"/>
      <c r="U33" s="2134"/>
      <c r="V33" s="2135"/>
      <c r="W33" s="2134"/>
      <c r="X33" s="2133"/>
      <c r="Y33" s="2134"/>
    </row>
    <row r="34" spans="1:25" s="2136" customFormat="1">
      <c r="A34" s="2133" t="s">
        <v>802</v>
      </c>
      <c r="B34" s="2133"/>
      <c r="C34" s="2134"/>
      <c r="D34" s="2135"/>
      <c r="E34" s="2135"/>
      <c r="F34" s="2133"/>
      <c r="G34" s="2134"/>
      <c r="H34" s="2133"/>
      <c r="I34" s="2134"/>
      <c r="J34" s="2133"/>
      <c r="K34" s="2134"/>
      <c r="L34" s="2133"/>
      <c r="M34" s="2134"/>
      <c r="N34" s="2135"/>
      <c r="O34" s="2134"/>
      <c r="P34" s="2133"/>
      <c r="Q34" s="2134"/>
      <c r="R34" s="2135"/>
      <c r="S34" s="2135"/>
      <c r="T34" s="2133"/>
      <c r="U34" s="2134"/>
      <c r="V34" s="2135"/>
      <c r="W34" s="2134"/>
      <c r="X34" s="2133"/>
      <c r="Y34" s="2134"/>
    </row>
    <row r="35" spans="1:25" s="2136" customFormat="1">
      <c r="A35" s="2133" t="s">
        <v>804</v>
      </c>
      <c r="B35" s="2133"/>
      <c r="C35" s="2134"/>
      <c r="D35" s="2135"/>
      <c r="E35" s="2135"/>
      <c r="F35" s="2133"/>
      <c r="G35" s="2134"/>
      <c r="H35" s="2133"/>
      <c r="I35" s="2134"/>
      <c r="J35" s="2133"/>
      <c r="K35" s="2134"/>
      <c r="L35" s="2133"/>
      <c r="M35" s="2134"/>
      <c r="N35" s="2135"/>
      <c r="O35" s="2134"/>
      <c r="P35" s="2133"/>
      <c r="Q35" s="2134"/>
      <c r="R35" s="2135"/>
      <c r="S35" s="2135"/>
      <c r="T35" s="2133"/>
      <c r="U35" s="2134"/>
      <c r="V35" s="2135"/>
      <c r="W35" s="2134"/>
      <c r="X35" s="2133"/>
      <c r="Y35" s="2134"/>
    </row>
    <row r="36" spans="1:25" s="2136" customFormat="1">
      <c r="A36" s="2133" t="s">
        <v>805</v>
      </c>
      <c r="B36" s="2133"/>
      <c r="C36" s="2134"/>
      <c r="D36" s="2135"/>
      <c r="E36" s="2135"/>
      <c r="F36" s="2133"/>
      <c r="G36" s="2134"/>
      <c r="H36" s="2133"/>
      <c r="I36" s="2134"/>
      <c r="J36" s="2133"/>
      <c r="K36" s="2134"/>
      <c r="L36" s="2133"/>
      <c r="M36" s="2134"/>
      <c r="N36" s="2135"/>
      <c r="O36" s="2134"/>
      <c r="P36" s="2133"/>
      <c r="Q36" s="2134"/>
      <c r="R36" s="2135"/>
      <c r="S36" s="2135"/>
      <c r="T36" s="2133"/>
      <c r="U36" s="2134"/>
      <c r="V36" s="2135"/>
      <c r="W36" s="2134"/>
      <c r="X36" s="2133"/>
      <c r="Y36" s="2134"/>
    </row>
    <row r="37" spans="1:25" s="2136" customFormat="1">
      <c r="A37" s="2133" t="s">
        <v>806</v>
      </c>
      <c r="B37" s="2133"/>
      <c r="C37" s="2134"/>
      <c r="D37" s="2135"/>
      <c r="E37" s="2135"/>
      <c r="F37" s="2133"/>
      <c r="G37" s="2137"/>
      <c r="H37" s="2133"/>
      <c r="I37" s="2137"/>
      <c r="J37" s="2133"/>
      <c r="K37" s="2137"/>
      <c r="L37" s="2133"/>
      <c r="M37" s="2137"/>
      <c r="N37" s="2135"/>
      <c r="O37" s="2137"/>
      <c r="P37" s="2133"/>
      <c r="Q37" s="2134"/>
      <c r="R37" s="2135"/>
      <c r="S37" s="2135"/>
      <c r="T37" s="2133"/>
      <c r="U37" s="2134"/>
      <c r="V37" s="2135"/>
      <c r="W37" s="2134"/>
      <c r="X37" s="2133"/>
      <c r="Y37" s="2134"/>
    </row>
    <row r="38" spans="1:25" s="2136" customFormat="1">
      <c r="A38" s="2138" t="s">
        <v>816</v>
      </c>
      <c r="B38" s="1089">
        <f>GREET1_Import_Export!J525</f>
        <v>38.907451643223773</v>
      </c>
      <c r="C38" s="2858"/>
      <c r="D38" s="2859">
        <f>(GREET1_Import_Export!$C$179*GREET1_Import_Export!B180+GREET1_Import_Export!C180+1000000)/1000000*GREET1_Import_Export!$B$27/1000000/GREET1_Import_Export!$E$27*454*2000</f>
        <v>45.954435894699586</v>
      </c>
      <c r="E38" s="2859">
        <v>0</v>
      </c>
      <c r="F38" s="2860">
        <f xml:space="preserve"> D38</f>
        <v>45.954435894699586</v>
      </c>
      <c r="G38" s="2859">
        <v>0</v>
      </c>
      <c r="H38" s="2860">
        <f xml:space="preserve"> D38</f>
        <v>45.954435894699586</v>
      </c>
      <c r="I38" s="2859">
        <v>0</v>
      </c>
      <c r="J38" s="2860">
        <f xml:space="preserve"> D38</f>
        <v>45.954435894699586</v>
      </c>
      <c r="K38" s="2859">
        <v>0</v>
      </c>
      <c r="L38" s="2860">
        <f xml:space="preserve"> D38</f>
        <v>45.954435894699586</v>
      </c>
      <c r="M38" s="2859">
        <v>0</v>
      </c>
      <c r="N38" s="2860">
        <f xml:space="preserve"> D38</f>
        <v>45.954435894699586</v>
      </c>
      <c r="O38" s="2859">
        <v>0</v>
      </c>
      <c r="P38" s="2860">
        <f xml:space="preserve"> $D$38</f>
        <v>45.954435894699586</v>
      </c>
      <c r="Q38" s="2859">
        <v>0</v>
      </c>
      <c r="R38" s="2860">
        <f xml:space="preserve"> D38</f>
        <v>45.954435894699586</v>
      </c>
      <c r="S38" s="2859">
        <v>0</v>
      </c>
      <c r="T38" s="2860">
        <f xml:space="preserve"> D38</f>
        <v>45.954435894699586</v>
      </c>
      <c r="U38" s="2859">
        <v>0</v>
      </c>
      <c r="V38" s="2860">
        <f>(GREET1_Import_Export!$D$215*GREET1_Import_Export!C216+GREET1_Import_Export!D216+1000000)/1000000*GREET1_Import_Export!$B$29/1000000/GREET1_Import_Export!$E$29*454*2000</f>
        <v>26.393927476709422</v>
      </c>
      <c r="W38" s="2859">
        <v>0</v>
      </c>
      <c r="X38" s="2860">
        <f>F38</f>
        <v>45.954435894699586</v>
      </c>
      <c r="Y38" s="2858">
        <v>0</v>
      </c>
    </row>
    <row r="39" spans="1:25" s="2136" customFormat="1">
      <c r="A39" s="2133" t="s">
        <v>817</v>
      </c>
      <c r="B39" s="1273">
        <f>GREET1_Import_Export!J526</f>
        <v>38.318200645055015</v>
      </c>
      <c r="C39" s="2861"/>
      <c r="D39" s="2862">
        <f>(GREET1_Import_Export!$C$179*GREET1_Import_Export!B181+GREET1_Import_Export!C181+1000000)/1000000*GREET1_Import_Export!$B$27/1000000/GREET1_Import_Export!$E$27*454*2000</f>
        <v>45.714238438893744</v>
      </c>
      <c r="E39" s="2862">
        <v>0</v>
      </c>
      <c r="F39" s="2863">
        <f t="shared" ref="F39:F43" si="0" xml:space="preserve"> D39</f>
        <v>45.714238438893744</v>
      </c>
      <c r="G39" s="2862">
        <v>0</v>
      </c>
      <c r="H39" s="2863">
        <f t="shared" ref="H39:H43" si="1" xml:space="preserve"> D39</f>
        <v>45.714238438893744</v>
      </c>
      <c r="I39" s="2862">
        <v>0</v>
      </c>
      <c r="J39" s="2863">
        <f t="shared" ref="J39:J43" si="2" xml:space="preserve"> D39</f>
        <v>45.714238438893744</v>
      </c>
      <c r="K39" s="2862">
        <v>0</v>
      </c>
      <c r="L39" s="2863">
        <f t="shared" ref="L39:L43" si="3" xml:space="preserve"> D39</f>
        <v>45.714238438893744</v>
      </c>
      <c r="M39" s="2862">
        <v>0</v>
      </c>
      <c r="N39" s="2863">
        <f t="shared" ref="N39:N43" si="4" xml:space="preserve"> D39</f>
        <v>45.714238438893744</v>
      </c>
      <c r="O39" s="2862">
        <v>0</v>
      </c>
      <c r="P39" s="2863">
        <f xml:space="preserve"> $D$39</f>
        <v>45.714238438893744</v>
      </c>
      <c r="Q39" s="2862">
        <v>0</v>
      </c>
      <c r="R39" s="2863">
        <f t="shared" ref="R39:R43" si="5" xml:space="preserve"> D39</f>
        <v>45.714238438893744</v>
      </c>
      <c r="S39" s="2862">
        <v>0</v>
      </c>
      <c r="T39" s="2863">
        <f t="shared" ref="T39:T43" si="6" xml:space="preserve"> D39</f>
        <v>45.714238438893744</v>
      </c>
      <c r="U39" s="2862">
        <v>0</v>
      </c>
      <c r="V39" s="2863">
        <f>(GREET1_Import_Export!$D$215*GREET1_Import_Export!C217+GREET1_Import_Export!D217+IF(GREET1_Import_Export!$B$5=5, 0, 1000000))/1000000*GREET1_Import_Export!$B$29/1000000/GREET1_Import_Export!$E$29*454*2000</f>
        <v>26.065161230273429</v>
      </c>
      <c r="W39" s="2862">
        <v>0</v>
      </c>
      <c r="X39" s="2863">
        <f>F39</f>
        <v>45.714238438893744</v>
      </c>
      <c r="Y39" s="2861">
        <v>0</v>
      </c>
    </row>
    <row r="40" spans="1:25" s="2136" customFormat="1">
      <c r="A40" s="2133" t="s">
        <v>805</v>
      </c>
      <c r="B40" s="1273">
        <f>GREET1_Import_Export!J527</f>
        <v>0.77529282850867631</v>
      </c>
      <c r="C40" s="2861"/>
      <c r="D40" s="2862">
        <f>(GREET1_Import_Export!$C$179*GREET1_Import_Export!B182+GREET1_Import_Export!C182)/1000000*GREET1_Import_Export!$B$27/1000000/GREET1_Import_Export!$E$27*454*2000</f>
        <v>0.30610647540700153</v>
      </c>
      <c r="E40" s="2862">
        <v>0</v>
      </c>
      <c r="F40" s="2863">
        <f t="shared" si="0"/>
        <v>0.30610647540700153</v>
      </c>
      <c r="G40" s="2862">
        <v>0</v>
      </c>
      <c r="H40" s="2863">
        <f t="shared" si="1"/>
        <v>0.30610647540700153</v>
      </c>
      <c r="I40" s="2862">
        <v>0</v>
      </c>
      <c r="J40" s="2863">
        <f t="shared" si="2"/>
        <v>0.30610647540700153</v>
      </c>
      <c r="K40" s="2862">
        <v>0</v>
      </c>
      <c r="L40" s="2863">
        <f t="shared" si="3"/>
        <v>0.30610647540700153</v>
      </c>
      <c r="M40" s="2862">
        <v>0</v>
      </c>
      <c r="N40" s="2863">
        <f t="shared" si="4"/>
        <v>0.30610647540700153</v>
      </c>
      <c r="O40" s="2862">
        <v>0</v>
      </c>
      <c r="P40" s="2863">
        <f xml:space="preserve"> $D$40</f>
        <v>0.30610647540700153</v>
      </c>
      <c r="Q40" s="2862">
        <v>0</v>
      </c>
      <c r="R40" s="2863">
        <f t="shared" si="5"/>
        <v>0.30610647540700153</v>
      </c>
      <c r="S40" s="2862">
        <v>0</v>
      </c>
      <c r="T40" s="2863">
        <f t="shared" si="6"/>
        <v>0.30610647540700153</v>
      </c>
      <c r="U40" s="2862">
        <v>0</v>
      </c>
      <c r="V40" s="2863">
        <f>(GREET1_Import_Export!$D$215*GREET1_Import_Export!C218+GREET1_Import_Export!D218+IF(GREET1_Import_Export!$B$5=6, 1000000, 0))/1000000*GREET1_Import_Export!$B$29/1000000/GREET1_Import_Export!$E$29*454*2000</f>
        <v>0.4345292511444897</v>
      </c>
      <c r="W40" s="2862">
        <v>0</v>
      </c>
      <c r="X40" s="2863">
        <f>F40</f>
        <v>0.30610647540700153</v>
      </c>
      <c r="Y40" s="2861">
        <v>0</v>
      </c>
    </row>
    <row r="41" spans="1:25" s="2136" customFormat="1">
      <c r="A41" s="2133" t="s">
        <v>804</v>
      </c>
      <c r="B41" s="1273">
        <f>GREET1_Import_Export!J528</f>
        <v>24.699886666985829</v>
      </c>
      <c r="C41" s="2861"/>
      <c r="D41" s="2862">
        <f>D39-D40-D42</f>
        <v>5.2671011257244515</v>
      </c>
      <c r="E41" s="2862">
        <v>0</v>
      </c>
      <c r="F41" s="2863">
        <f t="shared" si="0"/>
        <v>5.2671011257244515</v>
      </c>
      <c r="G41" s="2862">
        <v>0</v>
      </c>
      <c r="H41" s="2863">
        <f t="shared" si="1"/>
        <v>5.2671011257244515</v>
      </c>
      <c r="I41" s="2862">
        <v>0</v>
      </c>
      <c r="J41" s="2863">
        <f t="shared" si="2"/>
        <v>5.2671011257244515</v>
      </c>
      <c r="K41" s="2862">
        <v>0</v>
      </c>
      <c r="L41" s="2863">
        <f t="shared" si="3"/>
        <v>5.2671011257244515</v>
      </c>
      <c r="M41" s="2862">
        <v>0</v>
      </c>
      <c r="N41" s="2863">
        <f t="shared" si="4"/>
        <v>5.2671011257244515</v>
      </c>
      <c r="O41" s="2862">
        <v>0</v>
      </c>
      <c r="P41" s="2863">
        <f xml:space="preserve"> $D$41</f>
        <v>5.2671011257244515</v>
      </c>
      <c r="Q41" s="2862">
        <v>0</v>
      </c>
      <c r="R41" s="2863">
        <f t="shared" si="5"/>
        <v>5.2671011257244515</v>
      </c>
      <c r="S41" s="2862">
        <v>0</v>
      </c>
      <c r="T41" s="2863">
        <f t="shared" si="6"/>
        <v>5.2671011257244515</v>
      </c>
      <c r="U41" s="2862">
        <v>0</v>
      </c>
      <c r="V41" s="2863">
        <f>V39-V40-V42</f>
        <v>25.355225154793146</v>
      </c>
      <c r="W41" s="2862">
        <v>0</v>
      </c>
      <c r="X41" s="2863">
        <f>X39-X40-X42</f>
        <v>5.2671011257244515</v>
      </c>
      <c r="Y41" s="2861">
        <v>0</v>
      </c>
    </row>
    <row r="42" spans="1:25" s="2136" customFormat="1">
      <c r="A42" s="2133" t="s">
        <v>818</v>
      </c>
      <c r="B42" s="1273">
        <f>GREET1_Import_Export!J529</f>
        <v>12.843021149560508</v>
      </c>
      <c r="C42" s="2861"/>
      <c r="D42" s="2862">
        <f>(GREET1_Import_Export!$C$179*GREET1_Import_Export!B184+GREET1_Import_Export!C184+1000000)/1000000*GREET1_Import_Export!$B$27/1000000/GREET1_Import_Export!$E$27*454*2000</f>
        <v>40.141030837762294</v>
      </c>
      <c r="E42" s="2862">
        <v>0</v>
      </c>
      <c r="F42" s="2863">
        <f t="shared" si="0"/>
        <v>40.141030837762294</v>
      </c>
      <c r="G42" s="2862">
        <v>0</v>
      </c>
      <c r="H42" s="2863">
        <f t="shared" si="1"/>
        <v>40.141030837762294</v>
      </c>
      <c r="I42" s="2862">
        <v>0</v>
      </c>
      <c r="J42" s="2863">
        <f t="shared" si="2"/>
        <v>40.141030837762294</v>
      </c>
      <c r="K42" s="2862">
        <v>0</v>
      </c>
      <c r="L42" s="2863">
        <f t="shared" si="3"/>
        <v>40.141030837762294</v>
      </c>
      <c r="M42" s="2862">
        <v>0</v>
      </c>
      <c r="N42" s="2863">
        <f t="shared" si="4"/>
        <v>40.141030837762294</v>
      </c>
      <c r="O42" s="2862">
        <v>0</v>
      </c>
      <c r="P42" s="2863">
        <f xml:space="preserve"> $D$42</f>
        <v>40.141030837762294</v>
      </c>
      <c r="Q42" s="2862">
        <v>0</v>
      </c>
      <c r="R42" s="2863">
        <f t="shared" si="5"/>
        <v>40.141030837762294</v>
      </c>
      <c r="S42" s="2862">
        <v>0</v>
      </c>
      <c r="T42" s="2863">
        <f t="shared" si="6"/>
        <v>40.141030837762294</v>
      </c>
      <c r="U42" s="2862">
        <v>0</v>
      </c>
      <c r="V42" s="2863">
        <f>(GREET1_Import_Export!$D$215*GREET1_Import_Export!C220+GREET1_Import_Export!D220)/1000000*GREET1_Import_Export!$B$29/1000000/GREET1_Import_Export!$E$29*454*2000</f>
        <v>0.27540682433579411</v>
      </c>
      <c r="W42" s="2862">
        <v>0</v>
      </c>
      <c r="X42" s="2863">
        <f>F42</f>
        <v>40.141030837762294</v>
      </c>
      <c r="Y42" s="2861">
        <v>0</v>
      </c>
    </row>
    <row r="43" spans="1:25" s="2136" customFormat="1">
      <c r="A43" s="2139" t="s">
        <v>819</v>
      </c>
      <c r="B43" s="1005">
        <f>GREET1_Import_Export!J530</f>
        <v>1096.4613141041298</v>
      </c>
      <c r="C43" s="2864"/>
      <c r="D43" s="2865">
        <f>(GREET1_Import_Export!$C$179*GREET1_Import_Export!B185+GREET1_Import_Export!C185)*GREET1_Import_Export!$B$27/1000000/GREET1_Import_Export!$E$27*454*2000</f>
        <v>966.54510812642661</v>
      </c>
      <c r="E43" s="2865">
        <v>0</v>
      </c>
      <c r="F43" s="2866">
        <f t="shared" si="0"/>
        <v>966.54510812642661</v>
      </c>
      <c r="G43" s="2865">
        <v>0</v>
      </c>
      <c r="H43" s="2867">
        <f t="shared" si="1"/>
        <v>966.54510812642661</v>
      </c>
      <c r="I43" s="2865">
        <v>0</v>
      </c>
      <c r="J43" s="2867">
        <f t="shared" si="2"/>
        <v>966.54510812642661</v>
      </c>
      <c r="K43" s="2865">
        <v>0</v>
      </c>
      <c r="L43" s="2867">
        <f t="shared" si="3"/>
        <v>966.54510812642661</v>
      </c>
      <c r="M43" s="2865">
        <v>0</v>
      </c>
      <c r="N43" s="2867">
        <f t="shared" si="4"/>
        <v>966.54510812642661</v>
      </c>
      <c r="O43" s="2865">
        <v>0</v>
      </c>
      <c r="P43" s="2867">
        <f xml:space="preserve"> $D$43</f>
        <v>966.54510812642661</v>
      </c>
      <c r="Q43" s="2865">
        <v>0</v>
      </c>
      <c r="R43" s="2867">
        <f t="shared" si="5"/>
        <v>966.54510812642661</v>
      </c>
      <c r="S43" s="2865">
        <v>0</v>
      </c>
      <c r="T43" s="2867">
        <f t="shared" si="6"/>
        <v>966.54510812642661</v>
      </c>
      <c r="U43" s="2865">
        <v>0</v>
      </c>
      <c r="V43" s="2868">
        <f>(GREET1_Import_Export!$D$215*GREET1_Import_Export!C221+GREET1_Import_Export!D221)*GREET1_Import_Export!$B$29/1000000/GREET1_Import_Export!$E$29*454*2000</f>
        <v>153.05524701449926</v>
      </c>
      <c r="W43" s="2865">
        <v>0</v>
      </c>
      <c r="X43" s="2868">
        <f>F43</f>
        <v>966.54510812642661</v>
      </c>
      <c r="Y43" s="2864">
        <v>0</v>
      </c>
    </row>
    <row r="44" spans="1:25" s="2136" customFormat="1">
      <c r="A44" s="2141" t="s">
        <v>864</v>
      </c>
      <c r="B44" s="1089"/>
      <c r="C44" s="2858"/>
      <c r="D44" s="2859"/>
      <c r="E44" s="2859"/>
      <c r="F44" s="2863"/>
      <c r="G44" s="2858"/>
      <c r="H44" s="2863"/>
      <c r="I44" s="2858"/>
      <c r="J44" s="2863"/>
      <c r="K44" s="2858"/>
      <c r="L44" s="2860"/>
      <c r="M44" s="2858"/>
      <c r="N44" s="2862"/>
      <c r="O44" s="2858"/>
      <c r="P44" s="2863"/>
      <c r="Q44" s="2858"/>
      <c r="R44" s="2862"/>
      <c r="S44" s="2859"/>
      <c r="T44" s="2863"/>
      <c r="U44" s="2858"/>
      <c r="V44" s="2859"/>
      <c r="W44" s="2858"/>
      <c r="X44" s="2860"/>
      <c r="Y44" s="2858"/>
    </row>
    <row r="45" spans="1:25" s="2136" customFormat="1">
      <c r="A45" s="2093" t="s">
        <v>821</v>
      </c>
      <c r="B45" s="1273">
        <f>GREET1_Import_Export!J532</f>
        <v>646.99772514048402</v>
      </c>
      <c r="C45" s="2861"/>
      <c r="D45" s="2862">
        <f>(GREET1_Import_Export!$C$179*GREET1_Import_Export!B186+GREET1_Import_Export!C186)*GREET1_Import_Export!$B$27/1000000/GREET1_Import_Export!$E$27*454*2000</f>
        <v>1016.5304261200441</v>
      </c>
      <c r="E45" s="2862">
        <f>GREET1_Import_Export!$L72/1000000*GREET1_Import_Export!$B$28/GREET1_Import_Export!$E$28*454*2000</f>
        <v>141.20307007650274</v>
      </c>
      <c r="F45" s="2863">
        <f xml:space="preserve"> D45</f>
        <v>1016.5304261200441</v>
      </c>
      <c r="G45" s="2862">
        <f>GREET1_Import_Export!$L72/1000000*GREET1_Import_Export!$B$28/GREET1_Import_Export!$E$28*454*2000</f>
        <v>141.20307007650274</v>
      </c>
      <c r="H45" s="2863">
        <f xml:space="preserve"> D45</f>
        <v>1016.5304261200441</v>
      </c>
      <c r="I45" s="2862">
        <f>GREET1_Import_Export!$L72/1000000*GREET1_Import_Export!$B$28/GREET1_Import_Export!$E$28*454*2000</f>
        <v>141.20307007650274</v>
      </c>
      <c r="J45" s="2863">
        <f xml:space="preserve"> D45</f>
        <v>1016.5304261200441</v>
      </c>
      <c r="K45" s="2862">
        <f>GREET1_Import_Export!$L72/1000000*GREET1_Import_Export!$B$28/GREET1_Import_Export!$E$28*454*2000</f>
        <v>141.20307007650274</v>
      </c>
      <c r="L45" s="2863">
        <f xml:space="preserve"> D45</f>
        <v>1016.5304261200441</v>
      </c>
      <c r="M45" s="2861">
        <f>GREET1_Import_Export!$L72/1000000*GREET1_Import_Export!$B$28/GREET1_Import_Export!$E$28*454*2000</f>
        <v>141.20307007650274</v>
      </c>
      <c r="N45" s="2862">
        <f xml:space="preserve"> D45</f>
        <v>1016.5304261200441</v>
      </c>
      <c r="O45" s="2862">
        <f>GREET1_Import_Export!$L72/1000000*GREET1_Import_Export!$B$28/GREET1_Import_Export!$E$28*454*2000</f>
        <v>141.20307007650274</v>
      </c>
      <c r="P45" s="2863">
        <f xml:space="preserve"> $D$45</f>
        <v>1016.5304261200441</v>
      </c>
      <c r="Q45" s="2861">
        <f>GREET1_Import_Export!$L72/1000000*GREET1_Import_Export!$B$28/GREET1_Import_Export!$E$28*454*2000</f>
        <v>141.20307007650274</v>
      </c>
      <c r="R45" s="2863">
        <f xml:space="preserve"> D45</f>
        <v>1016.5304261200441</v>
      </c>
      <c r="S45" s="2862">
        <f>GREET1_Import_Export!$L72/1000000*GREET1_Import_Export!$B$28/GREET1_Import_Export!$E$28*454*2000</f>
        <v>141.20307007650274</v>
      </c>
      <c r="T45" s="2863">
        <f xml:space="preserve"> D45</f>
        <v>1016.5304261200441</v>
      </c>
      <c r="U45" s="2861">
        <f>GREET1_Import_Export!$L72/1000000*GREET1_Import_Export!$B$28/GREET1_Import_Export!$E$28*454*2000</f>
        <v>141.20307007650274</v>
      </c>
      <c r="V45" s="2862">
        <f>(GREET1_Import_Export!$D$215*GREET1_Import_Export!C222+GREET1_Import_Export!D222)*GREET1_Import_Export!$B$29/1000000/GREET1_Import_Export!$E$29*454*2000</f>
        <v>406.02242842443138</v>
      </c>
      <c r="W45" s="2861">
        <f>454*2000</f>
        <v>908000</v>
      </c>
      <c r="X45" s="2863">
        <f xml:space="preserve"> D45</f>
        <v>1016.5304261200441</v>
      </c>
      <c r="Y45" s="2861">
        <f>GREET1_Import_Export!$L72/1000000*GREET1_Import_Export!$B$28/GREET1_Import_Export!$E$28*454*2000</f>
        <v>141.20307007650274</v>
      </c>
    </row>
    <row r="46" spans="1:25" s="2136" customFormat="1">
      <c r="A46" s="2093" t="s">
        <v>822</v>
      </c>
      <c r="B46" s="1273">
        <f>GREET1_Import_Export!J533</f>
        <v>835.5471536135426</v>
      </c>
      <c r="C46" s="2861"/>
      <c r="D46" s="2862">
        <f>(GREET1_Import_Export!$C$179*GREET1_Import_Export!B187+GREET1_Import_Export!C187)*GREET1_Import_Export!$B$27/1000000/GREET1_Import_Export!$E$27*454*2000</f>
        <v>506.82435658522297</v>
      </c>
      <c r="E46" s="2862">
        <f>GREET1_Import_Export!$L73/1000000*GREET1_Import_Export!$B$28/GREET1_Import_Export!$E$28*454*2000</f>
        <v>624.72012899089248</v>
      </c>
      <c r="F46" s="2863">
        <f t="shared" ref="F46:F55" si="7" xml:space="preserve"> D46</f>
        <v>506.82435658522297</v>
      </c>
      <c r="G46" s="2862">
        <f>GREET1_Import_Export!$L73/1000000*GREET1_Import_Export!$B$28/GREET1_Import_Export!$E$28*454*2000</f>
        <v>624.72012899089248</v>
      </c>
      <c r="H46" s="2863">
        <f t="shared" ref="H46:H55" si="8" xml:space="preserve"> D46</f>
        <v>506.82435658522297</v>
      </c>
      <c r="I46" s="2862">
        <f>GREET1_Import_Export!$L73/1000000*GREET1_Import_Export!$B$28/GREET1_Import_Export!$E$28*454*2000</f>
        <v>624.72012899089248</v>
      </c>
      <c r="J46" s="2863">
        <f t="shared" ref="J46:J55" si="9" xml:space="preserve"> D46</f>
        <v>506.82435658522297</v>
      </c>
      <c r="K46" s="2862">
        <f>GREET1_Import_Export!$L73/1000000*GREET1_Import_Export!$B$28/GREET1_Import_Export!$E$28*454*2000</f>
        <v>624.72012899089248</v>
      </c>
      <c r="L46" s="2863">
        <f t="shared" ref="L46:L55" si="10" xml:space="preserve"> D46</f>
        <v>506.82435658522297</v>
      </c>
      <c r="M46" s="2861">
        <f>GREET1_Import_Export!$L73/1000000*GREET1_Import_Export!$B$28/GREET1_Import_Export!$E$28*454*2000</f>
        <v>624.72012899089248</v>
      </c>
      <c r="N46" s="2862">
        <f t="shared" ref="N46:N55" si="11" xml:space="preserve"> D46</f>
        <v>506.82435658522297</v>
      </c>
      <c r="O46" s="2862">
        <f>GREET1_Import_Export!$L73/1000000*GREET1_Import_Export!$B$28/GREET1_Import_Export!$E$28*454*2000</f>
        <v>624.72012899089248</v>
      </c>
      <c r="P46" s="2863">
        <f xml:space="preserve"> $D$46</f>
        <v>506.82435658522297</v>
      </c>
      <c r="Q46" s="2861">
        <f>GREET1_Import_Export!$L73/1000000*GREET1_Import_Export!$B$28/GREET1_Import_Export!$E$28*454*2000</f>
        <v>624.72012899089248</v>
      </c>
      <c r="R46" s="2863">
        <f t="shared" ref="R46:R55" si="12" xml:space="preserve"> D46</f>
        <v>506.82435658522297</v>
      </c>
      <c r="S46" s="2862">
        <f>GREET1_Import_Export!$L73/1000000*GREET1_Import_Export!$B$28/GREET1_Import_Export!$E$28*454*2000</f>
        <v>624.72012899089248</v>
      </c>
      <c r="T46" s="2863">
        <f t="shared" ref="T46:T55" si="13" xml:space="preserve"> D46</f>
        <v>506.82435658522297</v>
      </c>
      <c r="U46" s="2861">
        <f>GREET1_Import_Export!$L73/1000000*GREET1_Import_Export!$B$28/GREET1_Import_Export!$E$28*454*2000</f>
        <v>624.72012899089248</v>
      </c>
      <c r="V46" s="2862">
        <f>(GREET1_Import_Export!$D$215*GREET1_Import_Export!C223+GREET1_Import_Export!D223)*GREET1_Import_Export!$B$29/1000000/GREET1_Import_Export!$E$29*454*2000</f>
        <v>352.86982419027714</v>
      </c>
      <c r="W46" s="2861">
        <v>0</v>
      </c>
      <c r="X46" s="2863">
        <f t="shared" ref="X46:X55" si="14" xml:space="preserve"> D46</f>
        <v>506.82435658522297</v>
      </c>
      <c r="Y46" s="2861">
        <f>GREET1_Import_Export!$L73/1000000*GREET1_Import_Export!$B$28/GREET1_Import_Export!$E$28*454*2000</f>
        <v>624.72012899089248</v>
      </c>
    </row>
    <row r="47" spans="1:25" s="2136" customFormat="1" ht="15.75">
      <c r="A47" s="2093" t="s">
        <v>2542</v>
      </c>
      <c r="B47" s="1273">
        <f>GREET1_Import_Export!J534</f>
        <v>1170.2795529204723</v>
      </c>
      <c r="C47" s="2861"/>
      <c r="D47" s="2862">
        <f>(GREET1_Import_Export!$C$179*GREET1_Import_Export!B188+GREET1_Import_Export!C188)*GREET1_Import_Export!$B$27/1000000/GREET1_Import_Export!$E$27*454*2000</f>
        <v>770.7322326894581</v>
      </c>
      <c r="E47" s="2862">
        <f>GREET1_Import_Export!$L74/1000000*GREET1_Import_Export!$B$28/GREET1_Import_Export!$E$28*454*2000</f>
        <v>4425.8711942877962</v>
      </c>
      <c r="F47" s="2863">
        <f t="shared" si="7"/>
        <v>770.7322326894581</v>
      </c>
      <c r="G47" s="2862">
        <f>GREET1_Import_Export!$L74/1000000*GREET1_Import_Export!$B$28/GREET1_Import_Export!$E$28*454*2000</f>
        <v>4425.8711942877962</v>
      </c>
      <c r="H47" s="2863">
        <f t="shared" si="8"/>
        <v>770.7322326894581</v>
      </c>
      <c r="I47" s="2862">
        <f>GREET1_Import_Export!$L74/1000000*GREET1_Import_Export!$B$28/GREET1_Import_Export!$E$28*454*2000</f>
        <v>4425.8711942877962</v>
      </c>
      <c r="J47" s="2863">
        <f t="shared" si="9"/>
        <v>770.7322326894581</v>
      </c>
      <c r="K47" s="2862">
        <f>GREET1_Import_Export!$L74/1000000*GREET1_Import_Export!$B$28/GREET1_Import_Export!$E$28*454*2000</f>
        <v>4425.8711942877962</v>
      </c>
      <c r="L47" s="2863">
        <f t="shared" si="10"/>
        <v>770.7322326894581</v>
      </c>
      <c r="M47" s="2861">
        <f>GREET1_Import_Export!$L74/1000000*GREET1_Import_Export!$B$28/GREET1_Import_Export!$E$28*454*2000</f>
        <v>4425.8711942877962</v>
      </c>
      <c r="N47" s="2862">
        <f t="shared" si="11"/>
        <v>770.7322326894581</v>
      </c>
      <c r="O47" s="2862">
        <f>GREET1_Import_Export!$L74/1000000*GREET1_Import_Export!$B$28/GREET1_Import_Export!$E$28*454*2000</f>
        <v>4425.8711942877962</v>
      </c>
      <c r="P47" s="2863">
        <f xml:space="preserve"> $D$47</f>
        <v>770.7322326894581</v>
      </c>
      <c r="Q47" s="2861">
        <f>GREET1_Import_Export!$L74/1000000*GREET1_Import_Export!$B$28/GREET1_Import_Export!$E$28*454*2000</f>
        <v>4425.8711942877962</v>
      </c>
      <c r="R47" s="2863">
        <f t="shared" si="12"/>
        <v>770.7322326894581</v>
      </c>
      <c r="S47" s="2862">
        <f>GREET1_Import_Export!$L74/1000000*GREET1_Import_Export!$B$28/GREET1_Import_Export!$E$28*454*2000</f>
        <v>4425.8711942877962</v>
      </c>
      <c r="T47" s="2863">
        <f t="shared" si="13"/>
        <v>770.7322326894581</v>
      </c>
      <c r="U47" s="2861">
        <f>GREET1_Import_Export!$L74/1000000*GREET1_Import_Export!$B$28/GREET1_Import_Export!$E$28*454*2000</f>
        <v>4425.8711942877962</v>
      </c>
      <c r="V47" s="2862">
        <f>(GREET1_Import_Export!$D$215*GREET1_Import_Export!C224+GREET1_Import_Export!D224)*GREET1_Import_Export!$B$29/1000000/GREET1_Import_Export!$E$29*454*2000</f>
        <v>415.51467475577215</v>
      </c>
      <c r="W47" s="2861">
        <v>0</v>
      </c>
      <c r="X47" s="2863">
        <f t="shared" si="14"/>
        <v>770.7322326894581</v>
      </c>
      <c r="Y47" s="2861">
        <f>GREET1_Import_Export!$L74/1000000*GREET1_Import_Export!$B$28/GREET1_Import_Export!$E$28*454*2000</f>
        <v>4425.8711942877962</v>
      </c>
    </row>
    <row r="48" spans="1:25" s="2136" customFormat="1" ht="15.75">
      <c r="A48" s="2093" t="s">
        <v>2543</v>
      </c>
      <c r="B48" s="1273">
        <f>GREET1_Import_Export!J535</f>
        <v>83.828398036640237</v>
      </c>
      <c r="C48" s="2861"/>
      <c r="D48" s="2862">
        <f>(GREET1_Import_Export!$C$179*GREET1_Import_Export!B189+GREET1_Import_Export!C189)*GREET1_Import_Export!$B$27/1000000/GREET1_Import_Export!$E$27*454*2000</f>
        <v>69.932178283998354</v>
      </c>
      <c r="E48" s="2862">
        <f>GREET1_Import_Export!$L75/1000000*GREET1_Import_Export!$B$28/GREET1_Import_Export!$E$28*454*2000</f>
        <v>788.20010083788691</v>
      </c>
      <c r="F48" s="2863">
        <f t="shared" si="7"/>
        <v>69.932178283998354</v>
      </c>
      <c r="G48" s="2862">
        <f>GREET1_Import_Export!$L75/1000000*GREET1_Import_Export!$B$28/GREET1_Import_Export!$E$28*454*2000</f>
        <v>788.20010083788691</v>
      </c>
      <c r="H48" s="2863">
        <f t="shared" si="8"/>
        <v>69.932178283998354</v>
      </c>
      <c r="I48" s="2862">
        <f>GREET1_Import_Export!$L75/1000000*GREET1_Import_Export!$B$28/GREET1_Import_Export!$E$28*454*2000</f>
        <v>788.20010083788691</v>
      </c>
      <c r="J48" s="2863">
        <f t="shared" si="9"/>
        <v>69.932178283998354</v>
      </c>
      <c r="K48" s="2862">
        <f>GREET1_Import_Export!$L75/1000000*GREET1_Import_Export!$B$28/GREET1_Import_Export!$E$28*454*2000</f>
        <v>788.20010083788691</v>
      </c>
      <c r="L48" s="2863">
        <f t="shared" si="10"/>
        <v>69.932178283998354</v>
      </c>
      <c r="M48" s="2861">
        <f>GREET1_Import_Export!$L75/1000000*GREET1_Import_Export!$B$28/GREET1_Import_Export!$E$28*454*2000</f>
        <v>788.20010083788691</v>
      </c>
      <c r="N48" s="2862">
        <f t="shared" si="11"/>
        <v>69.932178283998354</v>
      </c>
      <c r="O48" s="2862">
        <f>GREET1_Import_Export!$L75/1000000*GREET1_Import_Export!$B$28/GREET1_Import_Export!$E$28*454*2000</f>
        <v>788.20010083788691</v>
      </c>
      <c r="P48" s="2863">
        <f xml:space="preserve"> $D$48</f>
        <v>69.932178283998354</v>
      </c>
      <c r="Q48" s="2861">
        <f>GREET1_Import_Export!$L75/1000000*GREET1_Import_Export!$B$28/GREET1_Import_Export!$E$28*454*2000</f>
        <v>788.20010083788691</v>
      </c>
      <c r="R48" s="2863">
        <f t="shared" si="12"/>
        <v>69.932178283998354</v>
      </c>
      <c r="S48" s="2862">
        <f>GREET1_Import_Export!$L75/1000000*GREET1_Import_Export!$B$28/GREET1_Import_Export!$E$28*454*2000</f>
        <v>788.20010083788691</v>
      </c>
      <c r="T48" s="2863">
        <f t="shared" si="13"/>
        <v>69.932178283998354</v>
      </c>
      <c r="U48" s="2861">
        <f>GREET1_Import_Export!$L75/1000000*GREET1_Import_Export!$B$28/GREET1_Import_Export!$E$28*454*2000</f>
        <v>788.20010083788691</v>
      </c>
      <c r="V48" s="2862">
        <f>(GREET1_Import_Export!$D$215*GREET1_Import_Export!C225+GREET1_Import_Export!D225)*GREET1_Import_Export!$B$29/1000000/GREET1_Import_Export!$E$29*454*2000</f>
        <v>34.545246630000001</v>
      </c>
      <c r="W48" s="2861">
        <v>0</v>
      </c>
      <c r="X48" s="2863">
        <f t="shared" si="14"/>
        <v>69.932178283998354</v>
      </c>
      <c r="Y48" s="2861">
        <f>GREET1_Import_Export!$L75/1000000*GREET1_Import_Export!$B$28/GREET1_Import_Export!$E$28*454*2000</f>
        <v>788.20010083788691</v>
      </c>
    </row>
    <row r="49" spans="1:25" s="2136" customFormat="1" ht="15.75">
      <c r="A49" s="2093" t="s">
        <v>2544</v>
      </c>
      <c r="B49" s="1273">
        <f>GREET1_Import_Export!J536</f>
        <v>72.240149797399781</v>
      </c>
      <c r="C49" s="2861"/>
      <c r="D49" s="2862">
        <f>(GREET1_Import_Export!$C$179*GREET1_Import_Export!B190+GREET1_Import_Export!C190)*GREET1_Import_Export!$B$27/1000000/GREET1_Import_Export!$E$27*454*2000</f>
        <v>60.127751235877788</v>
      </c>
      <c r="E49" s="2862">
        <f>GREET1_Import_Export!$L76/1000000*GREET1_Import_Export!$B$28/GREET1_Import_Export!$E$28*454*2000</f>
        <v>410.53700051001829</v>
      </c>
      <c r="F49" s="2863">
        <f t="shared" si="7"/>
        <v>60.127751235877788</v>
      </c>
      <c r="G49" s="2862">
        <f>GREET1_Import_Export!$L76/1000000*GREET1_Import_Export!$B$28/GREET1_Import_Export!$E$28*454*2000</f>
        <v>410.53700051001829</v>
      </c>
      <c r="H49" s="2863">
        <f t="shared" si="8"/>
        <v>60.127751235877788</v>
      </c>
      <c r="I49" s="2862">
        <f>GREET1_Import_Export!$L76/1000000*GREET1_Import_Export!$B$28/GREET1_Import_Export!$E$28*454*2000</f>
        <v>410.53700051001829</v>
      </c>
      <c r="J49" s="2863">
        <f t="shared" si="9"/>
        <v>60.127751235877788</v>
      </c>
      <c r="K49" s="2862">
        <f>GREET1_Import_Export!$L76/1000000*GREET1_Import_Export!$B$28/GREET1_Import_Export!$E$28*454*2000</f>
        <v>410.53700051001829</v>
      </c>
      <c r="L49" s="2863">
        <f t="shared" si="10"/>
        <v>60.127751235877788</v>
      </c>
      <c r="M49" s="2861">
        <f>GREET1_Import_Export!$L76/1000000*GREET1_Import_Export!$B$28/GREET1_Import_Export!$E$28*454*2000</f>
        <v>410.53700051001829</v>
      </c>
      <c r="N49" s="2862">
        <f t="shared" si="11"/>
        <v>60.127751235877788</v>
      </c>
      <c r="O49" s="2862">
        <f>GREET1_Import_Export!$L76/1000000*GREET1_Import_Export!$B$28/GREET1_Import_Export!$E$28*454*2000</f>
        <v>410.53700051001829</v>
      </c>
      <c r="P49" s="2863">
        <f xml:space="preserve"> $D$49</f>
        <v>60.127751235877788</v>
      </c>
      <c r="Q49" s="2861">
        <f>GREET1_Import_Export!$L76/1000000*GREET1_Import_Export!$B$28/GREET1_Import_Export!$E$28*454*2000</f>
        <v>410.53700051001829</v>
      </c>
      <c r="R49" s="2863">
        <f t="shared" si="12"/>
        <v>60.127751235877788</v>
      </c>
      <c r="S49" s="2862">
        <f>GREET1_Import_Export!$L76/1000000*GREET1_Import_Export!$B$28/GREET1_Import_Export!$E$28*454*2000</f>
        <v>410.53700051001829</v>
      </c>
      <c r="T49" s="2863">
        <f t="shared" si="13"/>
        <v>60.127751235877788</v>
      </c>
      <c r="U49" s="2861">
        <f>GREET1_Import_Export!$L76/1000000*GREET1_Import_Export!$B$28/GREET1_Import_Export!$E$28*454*2000</f>
        <v>410.53700051001829</v>
      </c>
      <c r="V49" s="2862">
        <f>(GREET1_Import_Export!$D$215*GREET1_Import_Export!C226+GREET1_Import_Export!D226)*GREET1_Import_Export!$B$29/1000000/GREET1_Import_Export!$E$29*454*2000</f>
        <v>28.647490928111544</v>
      </c>
      <c r="W49" s="2861">
        <v>0</v>
      </c>
      <c r="X49" s="2863">
        <f t="shared" si="14"/>
        <v>60.127751235877788</v>
      </c>
      <c r="Y49" s="2861">
        <f>GREET1_Import_Export!$L76/1000000*GREET1_Import_Export!$B$28/GREET1_Import_Export!$E$28*454*2000</f>
        <v>410.53700051001829</v>
      </c>
    </row>
    <row r="50" spans="1:25" s="2136" customFormat="1" ht="15.75">
      <c r="A50" s="2093" t="s">
        <v>2545</v>
      </c>
      <c r="B50" s="1273">
        <f>GREET1_Import_Export!J537</f>
        <v>387.31790386698236</v>
      </c>
      <c r="C50" s="2861"/>
      <c r="D50" s="2862">
        <f>(GREET1_Import_Export!$C$179*GREET1_Import_Export!B191+GREET1_Import_Export!C191)*GREET1_Import_Export!$B$27/1000000/GREET1_Import_Export!$E$27*454*2000</f>
        <v>213.46776563991827</v>
      </c>
      <c r="E50" s="2862">
        <f>GREET1_Import_Export!$L77/1000000*GREET1_Import_Export!$B$28/GREET1_Import_Export!$E$28*454*2000</f>
        <v>9933.3323797449902</v>
      </c>
      <c r="F50" s="2863">
        <f t="shared" si="7"/>
        <v>213.46776563991827</v>
      </c>
      <c r="G50" s="2862">
        <f>GREET1_Import_Export!$L77/1000000*GREET1_Import_Export!$B$28/GREET1_Import_Export!$E$28*454*2000</f>
        <v>9933.3323797449902</v>
      </c>
      <c r="H50" s="2863">
        <f t="shared" si="8"/>
        <v>213.46776563991827</v>
      </c>
      <c r="I50" s="2862">
        <f>GREET1_Import_Export!$L77/1000000*GREET1_Import_Export!$B$28/GREET1_Import_Export!$E$28*454*2000</f>
        <v>9933.3323797449902</v>
      </c>
      <c r="J50" s="2863">
        <f t="shared" si="9"/>
        <v>213.46776563991827</v>
      </c>
      <c r="K50" s="2862">
        <f>GREET1_Import_Export!$L77/1000000*GREET1_Import_Export!$B$28/GREET1_Import_Export!$E$28*454*2000</f>
        <v>9933.3323797449902</v>
      </c>
      <c r="L50" s="2863">
        <f t="shared" si="10"/>
        <v>213.46776563991827</v>
      </c>
      <c r="M50" s="2861">
        <f>GREET1_Import_Export!$L77/1000000*GREET1_Import_Export!$B$28/GREET1_Import_Export!$E$28*454*2000</f>
        <v>9933.3323797449902</v>
      </c>
      <c r="N50" s="2862">
        <f t="shared" si="11"/>
        <v>213.46776563991827</v>
      </c>
      <c r="O50" s="2862">
        <f>GREET1_Import_Export!$L77/1000000*GREET1_Import_Export!$B$28/GREET1_Import_Export!$E$28*454*2000</f>
        <v>9933.3323797449902</v>
      </c>
      <c r="P50" s="2863">
        <f xml:space="preserve"> $D$50</f>
        <v>213.46776563991827</v>
      </c>
      <c r="Q50" s="2861">
        <f>GREET1_Import_Export!$L77/1000000*GREET1_Import_Export!$B$28/GREET1_Import_Export!$E$28*454*2000</f>
        <v>9933.3323797449902</v>
      </c>
      <c r="R50" s="2863">
        <f t="shared" si="12"/>
        <v>213.46776563991827</v>
      </c>
      <c r="S50" s="2862">
        <f>GREET1_Import_Export!$L77/1000000*GREET1_Import_Export!$B$28/GREET1_Import_Export!$E$28*454*2000</f>
        <v>9933.3323797449902</v>
      </c>
      <c r="T50" s="2863">
        <f t="shared" si="13"/>
        <v>213.46776563991827</v>
      </c>
      <c r="U50" s="2861">
        <f>GREET1_Import_Export!$L77/1000000*GREET1_Import_Export!$B$28/GREET1_Import_Export!$E$28*454*2000</f>
        <v>9933.3323797449902</v>
      </c>
      <c r="V50" s="2862">
        <f>(GREET1_Import_Export!$D$215*GREET1_Import_Export!C227+GREET1_Import_Export!D227)*GREET1_Import_Export!$B$29/1000000/GREET1_Import_Export!$E$29*454*2000</f>
        <v>298.12602268352981</v>
      </c>
      <c r="W50" s="2861">
        <v>0</v>
      </c>
      <c r="X50" s="2863">
        <f t="shared" si="14"/>
        <v>213.46776563991827</v>
      </c>
      <c r="Y50" s="2861">
        <f>GREET1_Import_Export!$L77/1000000*GREET1_Import_Export!$B$28/GREET1_Import_Export!$E$28*454*2000</f>
        <v>9933.3323797449902</v>
      </c>
    </row>
    <row r="51" spans="1:25" s="2136" customFormat="1">
      <c r="A51" s="2093" t="s">
        <v>827</v>
      </c>
      <c r="B51" s="1273">
        <f>GREET1_Import_Export!J538</f>
        <v>9.454219512945258</v>
      </c>
      <c r="C51" s="2861"/>
      <c r="D51" s="2862">
        <f>(GREET1_Import_Export!$C$179*GREET1_Import_Export!B192+GREET1_Import_Export!C192)*GREET1_Import_Export!$B$27/1000000/GREET1_Import_Export!$E$27*454*2000</f>
        <v>8.3339768654095874</v>
      </c>
      <c r="E51" s="2862">
        <f>GREET1_Import_Export!$L78/1000000*GREET1_Import_Export!$B$28/GREET1_Import_Export!$E$28*454*2000</f>
        <v>26.02804583233516</v>
      </c>
      <c r="F51" s="2863">
        <f t="shared" si="7"/>
        <v>8.3339768654095874</v>
      </c>
      <c r="G51" s="2862">
        <f>GREET1_Import_Export!$L78/1000000*GREET1_Import_Export!$B$28/GREET1_Import_Export!$E$28*454*2000</f>
        <v>26.02804583233516</v>
      </c>
      <c r="H51" s="2863">
        <f t="shared" si="8"/>
        <v>8.3339768654095874</v>
      </c>
      <c r="I51" s="2862">
        <f>GREET1_Import_Export!$L78/1000000*GREET1_Import_Export!$B$28/GREET1_Import_Export!$E$28*454*2000</f>
        <v>26.02804583233516</v>
      </c>
      <c r="J51" s="2863">
        <f t="shared" si="9"/>
        <v>8.3339768654095874</v>
      </c>
      <c r="K51" s="2862">
        <f>GREET1_Import_Export!$L78/1000000*GREET1_Import_Export!$B$28/GREET1_Import_Export!$E$28*454*2000</f>
        <v>26.02804583233516</v>
      </c>
      <c r="L51" s="2863">
        <f t="shared" si="10"/>
        <v>8.3339768654095874</v>
      </c>
      <c r="M51" s="2861">
        <f>GREET1_Import_Export!$L78/1000000*GREET1_Import_Export!$B$28/GREET1_Import_Export!$E$28*454*2000</f>
        <v>26.02804583233516</v>
      </c>
      <c r="N51" s="2862">
        <f t="shared" si="11"/>
        <v>8.3339768654095874</v>
      </c>
      <c r="O51" s="2862">
        <f>GREET1_Import_Export!$L78/1000000*GREET1_Import_Export!$B$28/GREET1_Import_Export!$E$28*454*2000</f>
        <v>26.02804583233516</v>
      </c>
      <c r="P51" s="2863">
        <f xml:space="preserve"> $D$51</f>
        <v>8.3339768654095874</v>
      </c>
      <c r="Q51" s="2861">
        <f>GREET1_Import_Export!$L78/1000000*GREET1_Import_Export!$B$28/GREET1_Import_Export!$E$28*454*2000</f>
        <v>26.02804583233516</v>
      </c>
      <c r="R51" s="2863">
        <f t="shared" si="12"/>
        <v>8.3339768654095874</v>
      </c>
      <c r="S51" s="2862">
        <f>GREET1_Import_Export!$L78/1000000*GREET1_Import_Export!$B$28/GREET1_Import_Export!$E$28*454*2000</f>
        <v>26.02804583233516</v>
      </c>
      <c r="T51" s="2863">
        <f t="shared" si="13"/>
        <v>8.3339768654095874</v>
      </c>
      <c r="U51" s="2861">
        <f>GREET1_Import_Export!$L78/1000000*GREET1_Import_Export!$B$28/GREET1_Import_Export!$E$28*454*2000</f>
        <v>26.02804583233516</v>
      </c>
      <c r="V51" s="2862">
        <f>(GREET1_Import_Export!$D$215*GREET1_Import_Export!C228+GREET1_Import_Export!D228)*GREET1_Import_Export!$B$29/1000000/GREET1_Import_Export!$E$29*454*2000</f>
        <v>1.3218677009184621</v>
      </c>
      <c r="W51" s="2861">
        <v>0</v>
      </c>
      <c r="X51" s="2863">
        <f t="shared" si="14"/>
        <v>8.3339768654095874</v>
      </c>
      <c r="Y51" s="2861">
        <f>GREET1_Import_Export!$L78/1000000*GREET1_Import_Export!$B$28/GREET1_Import_Export!$E$28*454*2000</f>
        <v>26.02804583233516</v>
      </c>
    </row>
    <row r="52" spans="1:25" s="2136" customFormat="1">
      <c r="A52" s="2093" t="s">
        <v>828</v>
      </c>
      <c r="B52" s="1273">
        <f>GREET1_Import_Export!J539</f>
        <v>24.748024737437266</v>
      </c>
      <c r="C52" s="2861"/>
      <c r="D52" s="2862">
        <f>(GREET1_Import_Export!$C$179*GREET1_Import_Export!B193+GREET1_Import_Export!C193)*GREET1_Import_Export!$B$27/1000000/GREET1_Import_Export!$E$27*454*2000</f>
        <v>13.725951621338114</v>
      </c>
      <c r="E52" s="2862">
        <f>GREET1_Import_Export!$L79/1000000*GREET1_Import_Export!$B$28/GREET1_Import_Export!$E$28*454*2000</f>
        <v>18.063628022440806</v>
      </c>
      <c r="F52" s="2863">
        <f t="shared" si="7"/>
        <v>13.725951621338114</v>
      </c>
      <c r="G52" s="2862">
        <f>GREET1_Import_Export!$L79/1000000*GREET1_Import_Export!$B$28/GREET1_Import_Export!$E$28*454*2000</f>
        <v>18.063628022440806</v>
      </c>
      <c r="H52" s="2863">
        <f t="shared" si="8"/>
        <v>13.725951621338114</v>
      </c>
      <c r="I52" s="2862">
        <f>GREET1_Import_Export!$L79/1000000*GREET1_Import_Export!$B$28/GREET1_Import_Export!$E$28*454*2000</f>
        <v>18.063628022440806</v>
      </c>
      <c r="J52" s="2863">
        <f t="shared" si="9"/>
        <v>13.725951621338114</v>
      </c>
      <c r="K52" s="2862">
        <f>GREET1_Import_Export!$L79/1000000*GREET1_Import_Export!$B$28/GREET1_Import_Export!$E$28*454*2000</f>
        <v>18.063628022440806</v>
      </c>
      <c r="L52" s="2863">
        <f t="shared" si="10"/>
        <v>13.725951621338114</v>
      </c>
      <c r="M52" s="2861">
        <f>GREET1_Import_Export!$L79/1000000*GREET1_Import_Export!$B$28/GREET1_Import_Export!$E$28*454*2000</f>
        <v>18.063628022440806</v>
      </c>
      <c r="N52" s="2862">
        <f t="shared" si="11"/>
        <v>13.725951621338114</v>
      </c>
      <c r="O52" s="2862">
        <f>GREET1_Import_Export!$L79/1000000*GREET1_Import_Export!$B$28/GREET1_Import_Export!$E$28*454*2000</f>
        <v>18.063628022440806</v>
      </c>
      <c r="P52" s="2863">
        <f xml:space="preserve"> $D$52</f>
        <v>13.725951621338114</v>
      </c>
      <c r="Q52" s="2861">
        <f>GREET1_Import_Export!$L79/1000000*GREET1_Import_Export!$B$28/GREET1_Import_Export!$E$28*454*2000</f>
        <v>18.063628022440806</v>
      </c>
      <c r="R52" s="2863">
        <f t="shared" si="12"/>
        <v>13.725951621338114</v>
      </c>
      <c r="S52" s="2862">
        <f>GREET1_Import_Export!$L79/1000000*GREET1_Import_Export!$B$28/GREET1_Import_Export!$E$28*454*2000</f>
        <v>18.063628022440806</v>
      </c>
      <c r="T52" s="2863">
        <f t="shared" si="13"/>
        <v>13.725951621338114</v>
      </c>
      <c r="U52" s="2861">
        <f>GREET1_Import_Export!$L79/1000000*GREET1_Import_Export!$B$28/GREET1_Import_Export!$E$28*454*2000</f>
        <v>18.063628022440806</v>
      </c>
      <c r="V52" s="2862">
        <f>(GREET1_Import_Export!$D$215*GREET1_Import_Export!C229+GREET1_Import_Export!D229)*GREET1_Import_Export!$B$29/1000000/GREET1_Import_Export!$E$29*454*2000</f>
        <v>1.8609118391586439</v>
      </c>
      <c r="W52" s="2861">
        <v>0</v>
      </c>
      <c r="X52" s="2863">
        <f t="shared" si="14"/>
        <v>13.725951621338114</v>
      </c>
      <c r="Y52" s="2861">
        <f>GREET1_Import_Export!$L79/1000000*GREET1_Import_Export!$B$28/GREET1_Import_Export!$E$28*454*2000</f>
        <v>18.063628022440806</v>
      </c>
    </row>
    <row r="53" spans="1:25" s="2136" customFormat="1" ht="15.75">
      <c r="A53" s="2093" t="s">
        <v>2546</v>
      </c>
      <c r="B53" s="2869">
        <f>GREET1_Import_Export!J540</f>
        <v>5112.628749053506</v>
      </c>
      <c r="C53" s="2861"/>
      <c r="D53" s="2862">
        <f>(GREET1_Import_Export!$C$179*GREET1_Import_Export!B194+GREET1_Import_Export!C194)*GREET1_Import_Export!$B$27/1000000/GREET1_Import_Export!$E$27*454*2000</f>
        <v>4323.2506359701056</v>
      </c>
      <c r="E53" s="2862">
        <f>GREET1_Import_Export!$L80/1000000*GREET1_Import_Export!$B$28/GREET1_Import_Export!$E$28*454*2000</f>
        <v>59.366396211293264</v>
      </c>
      <c r="F53" s="2863">
        <f t="shared" si="7"/>
        <v>4323.2506359701056</v>
      </c>
      <c r="G53" s="2862">
        <f>GREET1_Import_Export!$L80/1000000*GREET1_Import_Export!$B$28/GREET1_Import_Export!$E$28*454*2000</f>
        <v>59.366396211293264</v>
      </c>
      <c r="H53" s="2863">
        <f t="shared" si="8"/>
        <v>4323.2506359701056</v>
      </c>
      <c r="I53" s="2862">
        <f>GREET1_Import_Export!$L80/1000000*GREET1_Import_Export!$B$28/GREET1_Import_Export!$E$28*454*2000</f>
        <v>59.366396211293264</v>
      </c>
      <c r="J53" s="2863">
        <f t="shared" si="9"/>
        <v>4323.2506359701056</v>
      </c>
      <c r="K53" s="2862">
        <f>GREET1_Import_Export!$L80/1000000*GREET1_Import_Export!$B$28/GREET1_Import_Export!$E$28*454*2000</f>
        <v>59.366396211293264</v>
      </c>
      <c r="L53" s="2863">
        <f t="shared" si="10"/>
        <v>4323.2506359701056</v>
      </c>
      <c r="M53" s="2861">
        <f>GREET1_Import_Export!$L80/1000000*GREET1_Import_Export!$B$28/GREET1_Import_Export!$E$28*454*2000</f>
        <v>59.366396211293264</v>
      </c>
      <c r="N53" s="2862">
        <f t="shared" si="11"/>
        <v>4323.2506359701056</v>
      </c>
      <c r="O53" s="2862">
        <f>GREET1_Import_Export!$L80/1000000*GREET1_Import_Export!$B$28/GREET1_Import_Export!$E$28*454*2000</f>
        <v>59.366396211293264</v>
      </c>
      <c r="P53" s="2863">
        <f xml:space="preserve"> $D$53</f>
        <v>4323.2506359701056</v>
      </c>
      <c r="Q53" s="2861">
        <f>GREET1_Import_Export!$L80/1000000*GREET1_Import_Export!$B$28/GREET1_Import_Export!$E$28*454*2000</f>
        <v>59.366396211293264</v>
      </c>
      <c r="R53" s="2863">
        <f t="shared" si="12"/>
        <v>4323.2506359701056</v>
      </c>
      <c r="S53" s="2862">
        <f>GREET1_Import_Export!$L80/1000000*GREET1_Import_Export!$B$28/GREET1_Import_Export!$E$28*454*2000</f>
        <v>59.366396211293264</v>
      </c>
      <c r="T53" s="2863">
        <f t="shared" si="13"/>
        <v>4323.2506359701056</v>
      </c>
      <c r="U53" s="2861">
        <f>GREET1_Import_Export!$L80/1000000*GREET1_Import_Export!$B$28/GREET1_Import_Export!$E$28*454*2000</f>
        <v>59.366396211293264</v>
      </c>
      <c r="V53" s="2862">
        <f>(GREET1_Import_Export!$D$215*GREET1_Import_Export!C230+GREET1_Import_Export!D230)*GREET1_Import_Export!$B$29/1000000/GREET1_Import_Export!$E$29*454*2000</f>
        <v>3759.8914488509899</v>
      </c>
      <c r="W53" s="2861">
        <v>0</v>
      </c>
      <c r="X53" s="2863">
        <f t="shared" si="14"/>
        <v>4323.2506359701056</v>
      </c>
      <c r="Y53" s="2861">
        <f>GREET1_Import_Export!$L80/1000000*GREET1_Import_Export!$B$28/GREET1_Import_Export!$E$28*454*2000</f>
        <v>59.366396211293264</v>
      </c>
    </row>
    <row r="54" spans="1:25" s="2136" customFormat="1" ht="15.75">
      <c r="A54" s="2093" t="s">
        <v>2547</v>
      </c>
      <c r="B54" s="2869">
        <f>GREET1_Import_Export!J541</f>
        <v>23.052392545257241</v>
      </c>
      <c r="C54" s="2861"/>
      <c r="D54" s="2862">
        <f>(GREET1_Import_Export!$C$179*GREET1_Import_Export!B195+GREET1_Import_Export!C195)*GREET1_Import_Export!$B$27/1000000/GREET1_Import_Export!$E$27*454*2000</f>
        <v>10.780863115115137</v>
      </c>
      <c r="E54" s="2862">
        <f>GREET1_Import_Export!$L81/1000000*GREET1_Import_Export!$B$28/GREET1_Import_Export!$E$28*454*2000</f>
        <v>66.21190248451731</v>
      </c>
      <c r="F54" s="2863">
        <f t="shared" si="7"/>
        <v>10.780863115115137</v>
      </c>
      <c r="G54" s="2862">
        <f>GREET1_Import_Export!$L81/1000000*GREET1_Import_Export!$B$28/GREET1_Import_Export!$E$28*454*2000</f>
        <v>66.21190248451731</v>
      </c>
      <c r="H54" s="2863">
        <f t="shared" si="8"/>
        <v>10.780863115115137</v>
      </c>
      <c r="I54" s="2862">
        <f>GREET1_Import_Export!$L81/1000000*GREET1_Import_Export!$B$28/GREET1_Import_Export!$E$28*454*2000</f>
        <v>66.21190248451731</v>
      </c>
      <c r="J54" s="2863">
        <f t="shared" si="9"/>
        <v>10.780863115115137</v>
      </c>
      <c r="K54" s="2862">
        <f>GREET1_Import_Export!$L81/1000000*GREET1_Import_Export!$B$28/GREET1_Import_Export!$E$28*454*2000</f>
        <v>66.21190248451731</v>
      </c>
      <c r="L54" s="2863">
        <f t="shared" si="10"/>
        <v>10.780863115115137</v>
      </c>
      <c r="M54" s="2861">
        <f>GREET1_Import_Export!$L81/1000000*GREET1_Import_Export!$B$28/GREET1_Import_Export!$E$28*454*2000</f>
        <v>66.21190248451731</v>
      </c>
      <c r="N54" s="2862">
        <f t="shared" si="11"/>
        <v>10.780863115115137</v>
      </c>
      <c r="O54" s="2862">
        <f>GREET1_Import_Export!$L81/1000000*GREET1_Import_Export!$B$28/GREET1_Import_Export!$E$28*454*2000</f>
        <v>66.21190248451731</v>
      </c>
      <c r="P54" s="2863">
        <f xml:space="preserve"> $D$54</f>
        <v>10.780863115115137</v>
      </c>
      <c r="Q54" s="2861">
        <f>GREET1_Import_Export!$L81/1000000*GREET1_Import_Export!$B$28/GREET1_Import_Export!$E$28*454*2000</f>
        <v>66.21190248451731</v>
      </c>
      <c r="R54" s="2863">
        <f t="shared" si="12"/>
        <v>10.780863115115137</v>
      </c>
      <c r="S54" s="2862">
        <f>GREET1_Import_Export!$L81/1000000*GREET1_Import_Export!$B$28/GREET1_Import_Export!$E$28*454*2000</f>
        <v>66.21190248451731</v>
      </c>
      <c r="T54" s="2863">
        <f t="shared" si="13"/>
        <v>10.780863115115137</v>
      </c>
      <c r="U54" s="2861">
        <f>GREET1_Import_Export!$L81/1000000*GREET1_Import_Export!$B$28/GREET1_Import_Export!$E$28*454*2000</f>
        <v>66.21190248451731</v>
      </c>
      <c r="V54" s="2862">
        <f>(GREET1_Import_Export!$D$215*GREET1_Import_Export!C231+GREET1_Import_Export!D231)*GREET1_Import_Export!$B$29/1000000/GREET1_Import_Export!$E$29*454*2000</f>
        <v>5.8188554105738071</v>
      </c>
      <c r="W54" s="2861">
        <v>0</v>
      </c>
      <c r="X54" s="2863">
        <f t="shared" si="14"/>
        <v>10.780863115115137</v>
      </c>
      <c r="Y54" s="2861">
        <f>GREET1_Import_Export!$L81/1000000*GREET1_Import_Export!$B$28/GREET1_Import_Export!$E$28*454*2000</f>
        <v>66.21190248451731</v>
      </c>
    </row>
    <row r="55" spans="1:25" s="2144" customFormat="1" ht="15.75">
      <c r="A55" s="2142" t="s">
        <v>2548</v>
      </c>
      <c r="B55" s="1005">
        <f>GREET1_Import_Export!J542</f>
        <v>961657.50852660066</v>
      </c>
      <c r="C55" s="2870"/>
      <c r="D55" s="2871">
        <f>(GREET1_Import_Export!$C$179*GREET1_Import_Export!B196+GREET1_Import_Export!C196)*GREET1_Import_Export!$B$27/1000000/GREET1_Import_Export!$E$27*454*2000</f>
        <v>634434.35178228782</v>
      </c>
      <c r="E55" s="2871">
        <f>GREET1_Import_Export!$L82/1000000*GREET1_Import_Export!$B$28/GREET1_Import_Export!$E$28*454*2000</f>
        <v>3288946.5898123789</v>
      </c>
      <c r="F55" s="2872">
        <f t="shared" si="7"/>
        <v>634434.35178228782</v>
      </c>
      <c r="G55" s="2873">
        <f>GREET1_Import_Export!$L82/1000000*GREET1_Import_Export!$B$28/GREET1_Import_Export!$E$28*454*2000</f>
        <v>3288946.5898123789</v>
      </c>
      <c r="H55" s="2872">
        <f t="shared" si="8"/>
        <v>634434.35178228782</v>
      </c>
      <c r="I55" s="2873">
        <f>GREET1_Import_Export!$L82/1000000*GREET1_Import_Export!$B$28/GREET1_Import_Export!$E$28*454*2000</f>
        <v>3288946.5898123789</v>
      </c>
      <c r="J55" s="2872">
        <f t="shared" si="9"/>
        <v>634434.35178228782</v>
      </c>
      <c r="K55" s="2873">
        <f>GREET1_Import_Export!$L82/1000000*GREET1_Import_Export!$B$28/GREET1_Import_Export!$E$28*454*2000</f>
        <v>3288946.5898123789</v>
      </c>
      <c r="L55" s="2866">
        <f t="shared" si="10"/>
        <v>634434.35178228782</v>
      </c>
      <c r="M55" s="2874">
        <f>GREET1_Import_Export!$L82/1000000*GREET1_Import_Export!$B$28/GREET1_Import_Export!$E$28*454*2000</f>
        <v>3288946.5898123789</v>
      </c>
      <c r="N55" s="2873">
        <f t="shared" si="11"/>
        <v>634434.35178228782</v>
      </c>
      <c r="O55" s="2873">
        <f>GREET1_Import_Export!$L82/1000000*GREET1_Import_Export!$B$28/GREET1_Import_Export!$E$28*454*2000</f>
        <v>3288946.5898123789</v>
      </c>
      <c r="P55" s="2866">
        <f xml:space="preserve"> $D$55</f>
        <v>634434.35178228782</v>
      </c>
      <c r="Q55" s="2870">
        <f>GREET1_Import_Export!$L82/1000000*GREET1_Import_Export!$B$28/GREET1_Import_Export!$E$28*454*2000</f>
        <v>3288946.5898123789</v>
      </c>
      <c r="R55" s="2866">
        <f t="shared" si="12"/>
        <v>634434.35178228782</v>
      </c>
      <c r="S55" s="2871">
        <f>GREET1_Import_Export!$L82/1000000*GREET1_Import_Export!$B$28/GREET1_Import_Export!$E$28*454*2000</f>
        <v>3288946.5898123789</v>
      </c>
      <c r="T55" s="2866">
        <f t="shared" si="13"/>
        <v>634434.35178228782</v>
      </c>
      <c r="U55" s="2870">
        <f>GREET1_Import_Export!$L82/1000000*GREET1_Import_Export!$B$28/GREET1_Import_Export!$E$28*454*2000</f>
        <v>3288946.5898123789</v>
      </c>
      <c r="V55" s="2871">
        <f>(GREET1_Import_Export!$D$215*GREET1_Import_Export!C232+GREET1_Import_Export!D232)*GREET1_Import_Export!$B$29/1000000/GREET1_Import_Export!$E$29*454*2000</f>
        <v>324309.34487650963</v>
      </c>
      <c r="W55" s="2870">
        <v>0</v>
      </c>
      <c r="X55" s="2866">
        <f t="shared" si="14"/>
        <v>634434.35178228782</v>
      </c>
      <c r="Y55" s="2870">
        <f>GREET1_Import_Export!$L82/1000000*GREET1_Import_Export!$B$28/GREET1_Import_Export!$E$28*454*2000</f>
        <v>3288946.5898123789</v>
      </c>
    </row>
    <row r="56" spans="1:25" s="2136" customFormat="1">
      <c r="A56" s="2145" t="s">
        <v>865</v>
      </c>
      <c r="B56" s="1089"/>
      <c r="C56" s="2875"/>
      <c r="D56" s="2876"/>
      <c r="E56" s="2876"/>
      <c r="F56" s="2860"/>
      <c r="G56" s="2858"/>
      <c r="H56" s="2860"/>
      <c r="I56" s="2858"/>
      <c r="J56" s="2860"/>
      <c r="K56" s="2858"/>
      <c r="L56" s="2860"/>
      <c r="M56" s="2858"/>
      <c r="N56" s="2859"/>
      <c r="O56" s="2858"/>
      <c r="P56" s="2877"/>
      <c r="Q56" s="2878"/>
      <c r="R56" s="2876"/>
      <c r="S56" s="2876"/>
      <c r="T56" s="2877"/>
      <c r="U56" s="2878"/>
      <c r="V56" s="2876"/>
      <c r="W56" s="2878"/>
      <c r="X56" s="2877"/>
      <c r="Y56" s="2878"/>
    </row>
    <row r="57" spans="1:25" s="2136" customFormat="1">
      <c r="A57" s="2093" t="s">
        <v>821</v>
      </c>
      <c r="B57" s="1273">
        <f>GREET1_Import_Export!J544</f>
        <v>292.50637471349972</v>
      </c>
      <c r="C57" s="2878"/>
      <c r="D57" s="2862">
        <f>(GREET1_Import_Export!$C$200*GREET1_Import_Export!B201+GREET1_Import_Export!C201)*GREET1_Import_Export!$B$27/1000000/GREET1_Import_Export!$E$27*454*2000</f>
        <v>597.45667005775636</v>
      </c>
      <c r="E57" s="2876">
        <f t="shared" ref="E57:O64" si="15">E45*E$25</f>
        <v>70.60153503825137</v>
      </c>
      <c r="F57" s="2863">
        <f xml:space="preserve"> D57</f>
        <v>597.45667005775636</v>
      </c>
      <c r="G57" s="2876">
        <f t="shared" si="15"/>
        <v>70.60153503825137</v>
      </c>
      <c r="H57" s="2863">
        <f xml:space="preserve"> D57</f>
        <v>597.45667005775636</v>
      </c>
      <c r="I57" s="2876">
        <f t="shared" si="15"/>
        <v>70.60153503825137</v>
      </c>
      <c r="J57" s="2863">
        <f xml:space="preserve"> D57</f>
        <v>597.45667005775636</v>
      </c>
      <c r="K57" s="2876">
        <f t="shared" si="15"/>
        <v>70.60153503825137</v>
      </c>
      <c r="L57" s="2863">
        <f xml:space="preserve"> D57</f>
        <v>597.45667005775636</v>
      </c>
      <c r="M57" s="2878">
        <f t="shared" si="15"/>
        <v>70.60153503825137</v>
      </c>
      <c r="N57" s="2862">
        <f xml:space="preserve"> D57</f>
        <v>597.45667005775636</v>
      </c>
      <c r="O57" s="2876">
        <f t="shared" si="15"/>
        <v>70.60153503825137</v>
      </c>
      <c r="P57" s="2863">
        <f xml:space="preserve"> D57</f>
        <v>597.45667005775636</v>
      </c>
      <c r="Q57" s="2878">
        <f t="shared" ref="Q57:Q64" si="16">Q45*Q$25</f>
        <v>70.60153503825137</v>
      </c>
      <c r="R57" s="2863">
        <f xml:space="preserve"> D57</f>
        <v>597.45667005775636</v>
      </c>
      <c r="S57" s="2876">
        <f t="shared" ref="S57:S64" si="17">S45*S$25</f>
        <v>70.60153503825137</v>
      </c>
      <c r="T57" s="2863">
        <f xml:space="preserve"> D57</f>
        <v>597.45667005775636</v>
      </c>
      <c r="U57" s="2878">
        <f t="shared" ref="U57:U64" si="18">U45*U$25</f>
        <v>70.60153503825137</v>
      </c>
      <c r="V57" s="2862">
        <f>(GREET1_Import_Export!$D$215*GREET1_Import_Export!C237+GREET1_Import_Export!D237)*GREET1_Import_Export!$B$29/1000000/GREET1_Import_Export!$E$29*454*2000</f>
        <v>157.26778113774395</v>
      </c>
      <c r="W57" s="2878">
        <f t="shared" ref="W57:W64" si="19">W45*W$25</f>
        <v>635600</v>
      </c>
      <c r="X57" s="2863">
        <f>F57</f>
        <v>597.45667005775636</v>
      </c>
      <c r="Y57" s="2878">
        <f t="shared" ref="Y57:Y64" si="20">Y45*Y$25</f>
        <v>70.60153503825137</v>
      </c>
    </row>
    <row r="58" spans="1:25" s="2136" customFormat="1">
      <c r="A58" s="2093" t="s">
        <v>822</v>
      </c>
      <c r="B58" s="1273">
        <f>GREET1_Import_Export!J545</f>
        <v>163.56548568441761</v>
      </c>
      <c r="C58" s="2878"/>
      <c r="D58" s="2862">
        <f>(GREET1_Import_Export!$C$200*GREET1_Import_Export!B202+GREET1_Import_Export!C202)*GREET1_Import_Export!$B$27/1000000/GREET1_Import_Export!$E$27*454*2000</f>
        <v>104.1607502734597</v>
      </c>
      <c r="E58" s="2876">
        <f t="shared" si="15"/>
        <v>312.36006449544624</v>
      </c>
      <c r="F58" s="2863">
        <f t="shared" ref="F58:F64" si="21" xml:space="preserve"> D58</f>
        <v>104.1607502734597</v>
      </c>
      <c r="G58" s="2876">
        <f t="shared" si="15"/>
        <v>312.36006449544624</v>
      </c>
      <c r="H58" s="2863">
        <f t="shared" ref="H58:H64" si="22" xml:space="preserve"> D58</f>
        <v>104.1607502734597</v>
      </c>
      <c r="I58" s="2876">
        <f t="shared" si="15"/>
        <v>312.36006449544624</v>
      </c>
      <c r="J58" s="2863">
        <f t="shared" ref="J58:J64" si="23" xml:space="preserve"> D58</f>
        <v>104.1607502734597</v>
      </c>
      <c r="K58" s="2876">
        <f t="shared" si="15"/>
        <v>312.36006449544624</v>
      </c>
      <c r="L58" s="2863">
        <f t="shared" ref="L58:L64" si="24" xml:space="preserve"> D58</f>
        <v>104.1607502734597</v>
      </c>
      <c r="M58" s="2878">
        <f t="shared" si="15"/>
        <v>312.36006449544624</v>
      </c>
      <c r="N58" s="2862">
        <f t="shared" ref="N58:N64" si="25" xml:space="preserve"> D58</f>
        <v>104.1607502734597</v>
      </c>
      <c r="O58" s="2876">
        <f t="shared" si="15"/>
        <v>312.36006449544624</v>
      </c>
      <c r="P58" s="2863">
        <f t="shared" ref="P58:P64" si="26" xml:space="preserve"> D58</f>
        <v>104.1607502734597</v>
      </c>
      <c r="Q58" s="2878">
        <f t="shared" si="16"/>
        <v>312.36006449544624</v>
      </c>
      <c r="R58" s="2863">
        <f t="shared" ref="R58:R64" si="27" xml:space="preserve"> D58</f>
        <v>104.1607502734597</v>
      </c>
      <c r="S58" s="2876">
        <f t="shared" si="17"/>
        <v>312.36006449544624</v>
      </c>
      <c r="T58" s="2863">
        <f t="shared" ref="T58:T64" si="28" xml:space="preserve"> D58</f>
        <v>104.1607502734597</v>
      </c>
      <c r="U58" s="2878">
        <f t="shared" si="18"/>
        <v>312.36006449544624</v>
      </c>
      <c r="V58" s="2862">
        <f>(GREET1_Import_Export!$D$215*GREET1_Import_Export!C238+GREET1_Import_Export!D238)*GREET1_Import_Export!$B$29/1000000/GREET1_Import_Export!$E$29*454*2000</f>
        <v>22.468097429737469</v>
      </c>
      <c r="W58" s="2878">
        <f t="shared" si="19"/>
        <v>0</v>
      </c>
      <c r="X58" s="2863">
        <f t="shared" ref="X58:X64" si="29">F58</f>
        <v>104.1607502734597</v>
      </c>
      <c r="Y58" s="2878">
        <f t="shared" si="20"/>
        <v>312.36006449544624</v>
      </c>
    </row>
    <row r="59" spans="1:25" s="2136" customFormat="1" ht="15.75">
      <c r="A59" s="2093" t="s">
        <v>2542</v>
      </c>
      <c r="B59" s="1273">
        <f>GREET1_Import_Export!J546</f>
        <v>255.03734294608418</v>
      </c>
      <c r="C59" s="2878"/>
      <c r="D59" s="2862">
        <f>(GREET1_Import_Export!$C$200*GREET1_Import_Export!B203+GREET1_Import_Export!C203)*GREET1_Import_Export!$B$27/1000000/GREET1_Import_Export!$E$27*454*2000</f>
        <v>160.589918400258</v>
      </c>
      <c r="E59" s="2876">
        <f>E47*E$25</f>
        <v>2212.9355971438981</v>
      </c>
      <c r="F59" s="2863">
        <f t="shared" si="21"/>
        <v>160.589918400258</v>
      </c>
      <c r="G59" s="2876">
        <f t="shared" si="15"/>
        <v>2212.9355971438981</v>
      </c>
      <c r="H59" s="2863">
        <f t="shared" si="22"/>
        <v>160.589918400258</v>
      </c>
      <c r="I59" s="2876">
        <f t="shared" si="15"/>
        <v>2212.9355971438981</v>
      </c>
      <c r="J59" s="2863">
        <f t="shared" si="23"/>
        <v>160.589918400258</v>
      </c>
      <c r="K59" s="2876">
        <f t="shared" si="15"/>
        <v>2212.9355971438981</v>
      </c>
      <c r="L59" s="2863">
        <f t="shared" si="24"/>
        <v>160.589918400258</v>
      </c>
      <c r="M59" s="2878">
        <f t="shared" si="15"/>
        <v>2212.9355971438981</v>
      </c>
      <c r="N59" s="2862">
        <f t="shared" si="25"/>
        <v>160.589918400258</v>
      </c>
      <c r="O59" s="2876">
        <f t="shared" si="15"/>
        <v>2212.9355971438981</v>
      </c>
      <c r="P59" s="2863">
        <f t="shared" si="26"/>
        <v>160.589918400258</v>
      </c>
      <c r="Q59" s="2878">
        <f t="shared" si="16"/>
        <v>2212.9355971438981</v>
      </c>
      <c r="R59" s="2863">
        <f t="shared" si="27"/>
        <v>160.589918400258</v>
      </c>
      <c r="S59" s="2876">
        <f t="shared" si="17"/>
        <v>2212.9355971438981</v>
      </c>
      <c r="T59" s="2863">
        <f t="shared" si="28"/>
        <v>160.589918400258</v>
      </c>
      <c r="U59" s="2878">
        <f t="shared" si="18"/>
        <v>2212.9355971438981</v>
      </c>
      <c r="V59" s="2862">
        <f>(GREET1_Import_Export!$D$215*GREET1_Import_Export!C239+GREET1_Import_Export!D239)*GREET1_Import_Export!$B$29/1000000/GREET1_Import_Export!$E$29*454*2000</f>
        <v>31.383272831456921</v>
      </c>
      <c r="W59" s="2878">
        <f t="shared" si="19"/>
        <v>0</v>
      </c>
      <c r="X59" s="2863">
        <f t="shared" si="29"/>
        <v>160.589918400258</v>
      </c>
      <c r="Y59" s="2878">
        <f t="shared" si="20"/>
        <v>2212.9355971438981</v>
      </c>
    </row>
    <row r="60" spans="1:25" s="2136" customFormat="1" ht="15.75">
      <c r="A60" s="2093" t="s">
        <v>2543</v>
      </c>
      <c r="B60" s="1273">
        <f>GREET1_Import_Export!J547</f>
        <v>27.634369770702303</v>
      </c>
      <c r="C60" s="2878"/>
      <c r="D60" s="2862">
        <f>(GREET1_Import_Export!$C$200*GREET1_Import_Export!B204+GREET1_Import_Export!C204)*GREET1_Import_Export!$B$27/1000000/GREET1_Import_Export!$E$27*454*2000</f>
        <v>34.082018634479518</v>
      </c>
      <c r="E60" s="2876">
        <f t="shared" si="15"/>
        <v>394.10005041894345</v>
      </c>
      <c r="F60" s="2863">
        <f t="shared" si="21"/>
        <v>34.082018634479518</v>
      </c>
      <c r="G60" s="2876">
        <f t="shared" si="15"/>
        <v>394.10005041894345</v>
      </c>
      <c r="H60" s="2863">
        <f t="shared" si="22"/>
        <v>34.082018634479518</v>
      </c>
      <c r="I60" s="2876">
        <f t="shared" si="15"/>
        <v>394.10005041894345</v>
      </c>
      <c r="J60" s="2863">
        <f t="shared" si="23"/>
        <v>34.082018634479518</v>
      </c>
      <c r="K60" s="2876">
        <f t="shared" si="15"/>
        <v>394.10005041894345</v>
      </c>
      <c r="L60" s="2863">
        <f t="shared" si="24"/>
        <v>34.082018634479518</v>
      </c>
      <c r="M60" s="2878">
        <f t="shared" si="15"/>
        <v>394.10005041894345</v>
      </c>
      <c r="N60" s="2862">
        <f t="shared" si="25"/>
        <v>34.082018634479518</v>
      </c>
      <c r="O60" s="2876">
        <f t="shared" si="15"/>
        <v>394.10005041894345</v>
      </c>
      <c r="P60" s="2863">
        <f t="shared" si="26"/>
        <v>34.082018634479518</v>
      </c>
      <c r="Q60" s="2878">
        <f t="shared" si="16"/>
        <v>394.10005041894345</v>
      </c>
      <c r="R60" s="2863">
        <f t="shared" si="27"/>
        <v>34.082018634479518</v>
      </c>
      <c r="S60" s="2876">
        <f t="shared" si="17"/>
        <v>394.10005041894345</v>
      </c>
      <c r="T60" s="2863">
        <f t="shared" si="28"/>
        <v>34.082018634479518</v>
      </c>
      <c r="U60" s="2878">
        <f t="shared" si="18"/>
        <v>394.10005041894345</v>
      </c>
      <c r="V60" s="2862">
        <f>(GREET1_Import_Export!$D$215*GREET1_Import_Export!C240+GREET1_Import_Export!D240)*GREET1_Import_Export!$B$29/1000000/GREET1_Import_Export!$E$29*454*2000</f>
        <v>4.038733285021828</v>
      </c>
      <c r="W60" s="2878">
        <f t="shared" si="19"/>
        <v>0</v>
      </c>
      <c r="X60" s="2863">
        <f t="shared" si="29"/>
        <v>34.082018634479518</v>
      </c>
      <c r="Y60" s="2878">
        <f t="shared" si="20"/>
        <v>394.10005041894345</v>
      </c>
    </row>
    <row r="61" spans="1:25" s="2136" customFormat="1" ht="15.75">
      <c r="A61" s="2093" t="s">
        <v>2544</v>
      </c>
      <c r="B61" s="1273">
        <f>GREET1_Import_Export!J548</f>
        <v>25.000352829601859</v>
      </c>
      <c r="C61" s="2878"/>
      <c r="D61" s="2862">
        <f>(GREET1_Import_Export!$C$200*GREET1_Import_Export!B205+GREET1_Import_Export!C205)*GREET1_Import_Export!$B$27/1000000/GREET1_Import_Export!$E$27*454*2000</f>
        <v>29.74599283919353</v>
      </c>
      <c r="E61" s="2876">
        <f t="shared" si="15"/>
        <v>205.26850025500914</v>
      </c>
      <c r="F61" s="2863">
        <f t="shared" si="21"/>
        <v>29.74599283919353</v>
      </c>
      <c r="G61" s="2876">
        <f t="shared" si="15"/>
        <v>205.26850025500914</v>
      </c>
      <c r="H61" s="2863">
        <f t="shared" si="22"/>
        <v>29.74599283919353</v>
      </c>
      <c r="I61" s="2876">
        <f t="shared" si="15"/>
        <v>205.26850025500914</v>
      </c>
      <c r="J61" s="2863">
        <f t="shared" si="23"/>
        <v>29.74599283919353</v>
      </c>
      <c r="K61" s="2876">
        <f t="shared" si="15"/>
        <v>205.26850025500914</v>
      </c>
      <c r="L61" s="2863">
        <f t="shared" si="24"/>
        <v>29.74599283919353</v>
      </c>
      <c r="M61" s="2878">
        <f t="shared" si="15"/>
        <v>205.26850025500914</v>
      </c>
      <c r="N61" s="2862">
        <f t="shared" si="25"/>
        <v>29.74599283919353</v>
      </c>
      <c r="O61" s="2876">
        <f t="shared" si="15"/>
        <v>205.26850025500914</v>
      </c>
      <c r="P61" s="2863">
        <f t="shared" si="26"/>
        <v>29.74599283919353</v>
      </c>
      <c r="Q61" s="2878">
        <f t="shared" si="16"/>
        <v>205.26850025500914</v>
      </c>
      <c r="R61" s="2863">
        <f t="shared" si="27"/>
        <v>29.74599283919353</v>
      </c>
      <c r="S61" s="2876">
        <f t="shared" si="17"/>
        <v>205.26850025500914</v>
      </c>
      <c r="T61" s="2863">
        <f t="shared" si="28"/>
        <v>29.74599283919353</v>
      </c>
      <c r="U61" s="2878">
        <f t="shared" si="18"/>
        <v>205.26850025500914</v>
      </c>
      <c r="V61" s="2862">
        <f>(GREET1_Import_Export!$D$215*GREET1_Import_Export!C241+GREET1_Import_Export!D241)*GREET1_Import_Export!$B$29/1000000/GREET1_Import_Export!$E$29*454*2000</f>
        <v>3.4916097272988385</v>
      </c>
      <c r="W61" s="2878">
        <f t="shared" si="19"/>
        <v>0</v>
      </c>
      <c r="X61" s="2863">
        <f t="shared" si="29"/>
        <v>29.74599283919353</v>
      </c>
      <c r="Y61" s="2878">
        <f t="shared" si="20"/>
        <v>205.26850025500914</v>
      </c>
    </row>
    <row r="62" spans="1:25" s="2136" customFormat="1" ht="15.75">
      <c r="A62" s="2093" t="s">
        <v>2545</v>
      </c>
      <c r="B62" s="1273">
        <f>GREET1_Import_Export!J549</f>
        <v>52.66647133617515</v>
      </c>
      <c r="C62" s="2878"/>
      <c r="D62" s="2862">
        <f>(GREET1_Import_Export!$C$200*GREET1_Import_Export!B206+GREET1_Import_Export!C206)*GREET1_Import_Export!$B$27/1000000/GREET1_Import_Export!$E$27*454*2000</f>
        <v>58.167806046976821</v>
      </c>
      <c r="E62" s="2876">
        <f t="shared" si="15"/>
        <v>4966.6661898724951</v>
      </c>
      <c r="F62" s="2863">
        <f t="shared" si="21"/>
        <v>58.167806046976821</v>
      </c>
      <c r="G62" s="2876">
        <f t="shared" si="15"/>
        <v>4966.6661898724951</v>
      </c>
      <c r="H62" s="2863">
        <f t="shared" si="22"/>
        <v>58.167806046976821</v>
      </c>
      <c r="I62" s="2876">
        <f t="shared" si="15"/>
        <v>4966.6661898724951</v>
      </c>
      <c r="J62" s="2863">
        <f t="shared" si="23"/>
        <v>58.167806046976821</v>
      </c>
      <c r="K62" s="2876">
        <f t="shared" si="15"/>
        <v>4966.6661898724951</v>
      </c>
      <c r="L62" s="2863">
        <f t="shared" si="24"/>
        <v>58.167806046976821</v>
      </c>
      <c r="M62" s="2878">
        <f t="shared" si="15"/>
        <v>4966.6661898724951</v>
      </c>
      <c r="N62" s="2862">
        <f t="shared" si="25"/>
        <v>58.167806046976821</v>
      </c>
      <c r="O62" s="2876">
        <f t="shared" si="15"/>
        <v>4966.6661898724951</v>
      </c>
      <c r="P62" s="2863">
        <f t="shared" si="26"/>
        <v>58.167806046976821</v>
      </c>
      <c r="Q62" s="2878">
        <f t="shared" si="16"/>
        <v>4966.6661898724951</v>
      </c>
      <c r="R62" s="2863">
        <f t="shared" si="27"/>
        <v>58.167806046976821</v>
      </c>
      <c r="S62" s="2876">
        <f t="shared" si="17"/>
        <v>4966.6661898724951</v>
      </c>
      <c r="T62" s="2863">
        <f t="shared" si="28"/>
        <v>58.167806046976821</v>
      </c>
      <c r="U62" s="2878">
        <f t="shared" si="18"/>
        <v>4966.6661898724951</v>
      </c>
      <c r="V62" s="2862">
        <f>(GREET1_Import_Export!$D$215*GREET1_Import_Export!C242+GREET1_Import_Export!D242)*GREET1_Import_Export!$B$29/1000000/GREET1_Import_Export!$E$29*454*2000</f>
        <v>17.551086202375707</v>
      </c>
      <c r="W62" s="2878">
        <f t="shared" si="19"/>
        <v>0</v>
      </c>
      <c r="X62" s="2863">
        <f t="shared" si="29"/>
        <v>58.167806046976821</v>
      </c>
      <c r="Y62" s="2878">
        <f t="shared" si="20"/>
        <v>4966.6661898724951</v>
      </c>
    </row>
    <row r="63" spans="1:25" s="2136" customFormat="1">
      <c r="A63" s="2093" t="s">
        <v>827</v>
      </c>
      <c r="B63" s="1273">
        <f>GREET1_Import_Export!J550</f>
        <v>2.166216636388504</v>
      </c>
      <c r="C63" s="2878"/>
      <c r="D63" s="2862">
        <f>(GREET1_Import_Export!$C$200*GREET1_Import_Export!B207+GREET1_Import_Export!C207)*GREET1_Import_Export!$B$27/1000000/GREET1_Import_Export!$E$27*454*2000</f>
        <v>3.4029775499151085</v>
      </c>
      <c r="E63" s="2876">
        <f t="shared" si="15"/>
        <v>13.01402291616758</v>
      </c>
      <c r="F63" s="2863">
        <f t="shared" si="21"/>
        <v>3.4029775499151085</v>
      </c>
      <c r="G63" s="2876">
        <f t="shared" si="15"/>
        <v>13.01402291616758</v>
      </c>
      <c r="H63" s="2863">
        <f t="shared" si="22"/>
        <v>3.4029775499151085</v>
      </c>
      <c r="I63" s="2876">
        <f t="shared" si="15"/>
        <v>13.01402291616758</v>
      </c>
      <c r="J63" s="2863">
        <f t="shared" si="23"/>
        <v>3.4029775499151085</v>
      </c>
      <c r="K63" s="2876">
        <f t="shared" si="15"/>
        <v>13.01402291616758</v>
      </c>
      <c r="L63" s="2863">
        <f t="shared" si="24"/>
        <v>3.4029775499151085</v>
      </c>
      <c r="M63" s="2878">
        <f t="shared" si="15"/>
        <v>13.01402291616758</v>
      </c>
      <c r="N63" s="2862">
        <f t="shared" si="25"/>
        <v>3.4029775499151085</v>
      </c>
      <c r="O63" s="2876">
        <f t="shared" si="15"/>
        <v>13.01402291616758</v>
      </c>
      <c r="P63" s="2863">
        <f t="shared" si="26"/>
        <v>3.4029775499151085</v>
      </c>
      <c r="Q63" s="2878">
        <f t="shared" si="16"/>
        <v>13.01402291616758</v>
      </c>
      <c r="R63" s="2863">
        <f t="shared" si="27"/>
        <v>3.4029775499151085</v>
      </c>
      <c r="S63" s="2876">
        <f t="shared" si="17"/>
        <v>13.01402291616758</v>
      </c>
      <c r="T63" s="2863">
        <f t="shared" si="28"/>
        <v>3.4029775499151085</v>
      </c>
      <c r="U63" s="2878">
        <f t="shared" si="18"/>
        <v>13.01402291616758</v>
      </c>
      <c r="V63" s="2862">
        <f>(GREET1_Import_Export!$D$215*GREET1_Import_Export!C243+GREET1_Import_Export!D243)*GREET1_Import_Export!$B$29/1000000/GREET1_Import_Export!$E$29*454*2000</f>
        <v>1.6005334752002456E-2</v>
      </c>
      <c r="W63" s="2878">
        <f t="shared" si="19"/>
        <v>0</v>
      </c>
      <c r="X63" s="2863">
        <f t="shared" si="29"/>
        <v>3.4029775499151085</v>
      </c>
      <c r="Y63" s="2878">
        <f t="shared" si="20"/>
        <v>13.01402291616758</v>
      </c>
    </row>
    <row r="64" spans="1:25" s="2136" customFormat="1">
      <c r="A64" s="2142" t="s">
        <v>828</v>
      </c>
      <c r="B64" s="2879">
        <f>GREET1_Import_Export!J551</f>
        <v>7.304668983264146</v>
      </c>
      <c r="C64" s="2880"/>
      <c r="D64" s="2881">
        <f>(GREET1_Import_Export!$C$200*GREET1_Import_Export!B208+GREET1_Import_Export!C208)*GREET1_Import_Export!$B$27/1000000/GREET1_Import_Export!$E$27*454*2000</f>
        <v>4.5500776306874702</v>
      </c>
      <c r="E64" s="2882">
        <f t="shared" si="15"/>
        <v>9.0318140112204031</v>
      </c>
      <c r="F64" s="2867">
        <f t="shared" si="21"/>
        <v>4.5500776306874702</v>
      </c>
      <c r="G64" s="2882">
        <f t="shared" si="15"/>
        <v>9.0318140112204031</v>
      </c>
      <c r="H64" s="2867">
        <f t="shared" si="22"/>
        <v>4.5500776306874702</v>
      </c>
      <c r="I64" s="2882">
        <f t="shared" si="15"/>
        <v>9.0318140112204031</v>
      </c>
      <c r="J64" s="2867">
        <f t="shared" si="23"/>
        <v>4.5500776306874702</v>
      </c>
      <c r="K64" s="2882">
        <f t="shared" si="15"/>
        <v>9.0318140112204031</v>
      </c>
      <c r="L64" s="2867">
        <f t="shared" si="24"/>
        <v>4.5500776306874702</v>
      </c>
      <c r="M64" s="2880">
        <f t="shared" si="15"/>
        <v>9.0318140112204031</v>
      </c>
      <c r="N64" s="2881">
        <f t="shared" si="25"/>
        <v>4.5500776306874702</v>
      </c>
      <c r="O64" s="2880">
        <f t="shared" si="15"/>
        <v>9.0318140112204031</v>
      </c>
      <c r="P64" s="2867">
        <f t="shared" si="26"/>
        <v>4.5500776306874702</v>
      </c>
      <c r="Q64" s="2880">
        <f t="shared" si="16"/>
        <v>9.0318140112204031</v>
      </c>
      <c r="R64" s="2867">
        <f t="shared" si="27"/>
        <v>4.5500776306874702</v>
      </c>
      <c r="S64" s="2882">
        <f t="shared" si="17"/>
        <v>9.0318140112204031</v>
      </c>
      <c r="T64" s="2867">
        <f t="shared" si="28"/>
        <v>4.5500776306874702</v>
      </c>
      <c r="U64" s="2880">
        <f t="shared" si="18"/>
        <v>9.0318140112204031</v>
      </c>
      <c r="V64" s="2881">
        <f>(GREET1_Import_Export!$D$215*GREET1_Import_Export!C244+GREET1_Import_Export!D244)*GREET1_Import_Export!$B$29/1000000/GREET1_Import_Export!$E$29*454*2000</f>
        <v>0.28520082223609117</v>
      </c>
      <c r="W64" s="2880">
        <f t="shared" si="19"/>
        <v>0</v>
      </c>
      <c r="X64" s="2867">
        <f t="shared" si="29"/>
        <v>4.5500776306874702</v>
      </c>
      <c r="Y64" s="2880">
        <f t="shared" si="20"/>
        <v>9.0318140112204031</v>
      </c>
    </row>
    <row r="65" spans="1:27" s="2136" customFormat="1">
      <c r="N65" s="2148"/>
    </row>
    <row r="66" spans="1:27" s="2136" customFormat="1" ht="15">
      <c r="A66" s="2149" t="s">
        <v>1433</v>
      </c>
    </row>
    <row r="67" spans="1:27" s="2136" customFormat="1">
      <c r="A67" s="2150"/>
      <c r="B67" s="3168" t="s">
        <v>157</v>
      </c>
      <c r="C67" s="3169"/>
      <c r="D67" s="3168" t="s">
        <v>2339</v>
      </c>
      <c r="E67" s="3169"/>
      <c r="F67" s="3167" t="s">
        <v>2340</v>
      </c>
      <c r="G67" s="3167"/>
      <c r="H67" s="3166" t="s">
        <v>2341</v>
      </c>
      <c r="I67" s="3165"/>
      <c r="J67" s="3167" t="s">
        <v>2342</v>
      </c>
      <c r="K67" s="3167"/>
      <c r="L67" s="3165" t="s">
        <v>2343</v>
      </c>
      <c r="M67" s="3167"/>
      <c r="N67" s="3170" t="s">
        <v>158</v>
      </c>
      <c r="O67" s="3170"/>
      <c r="P67" s="3168" t="s">
        <v>159</v>
      </c>
      <c r="Q67" s="3169"/>
      <c r="R67" s="3170" t="s">
        <v>160</v>
      </c>
      <c r="S67" s="3170"/>
      <c r="T67" s="3168" t="s">
        <v>161</v>
      </c>
      <c r="U67" s="3169"/>
      <c r="V67" s="3168" t="s">
        <v>2549</v>
      </c>
      <c r="W67" s="3169"/>
      <c r="X67" s="3168" t="s">
        <v>162</v>
      </c>
      <c r="Y67" s="3169"/>
      <c r="Z67" s="3168" t="s">
        <v>163</v>
      </c>
      <c r="AA67" s="3169"/>
    </row>
    <row r="68" spans="1:27" s="2136" customFormat="1">
      <c r="A68" s="2151"/>
      <c r="B68" s="2152" t="s">
        <v>1430</v>
      </c>
      <c r="C68" s="2153" t="s">
        <v>1434</v>
      </c>
      <c r="D68" s="2152" t="s">
        <v>1430</v>
      </c>
      <c r="E68" s="2153" t="s">
        <v>1434</v>
      </c>
      <c r="F68" s="2154" t="s">
        <v>1430</v>
      </c>
      <c r="G68" s="2154" t="s">
        <v>1434</v>
      </c>
      <c r="H68" s="2152" t="s">
        <v>1430</v>
      </c>
      <c r="I68" s="2154" t="s">
        <v>1434</v>
      </c>
      <c r="J68" s="2152" t="s">
        <v>1430</v>
      </c>
      <c r="K68" s="2154" t="s">
        <v>1434</v>
      </c>
      <c r="L68" s="2152" t="s">
        <v>1430</v>
      </c>
      <c r="M68" s="2154" t="s">
        <v>1434</v>
      </c>
      <c r="N68" s="2152" t="s">
        <v>1430</v>
      </c>
      <c r="O68" s="2154" t="s">
        <v>1434</v>
      </c>
      <c r="P68" s="2152" t="s">
        <v>1430</v>
      </c>
      <c r="Q68" s="2153" t="s">
        <v>1434</v>
      </c>
      <c r="R68" s="2152" t="s">
        <v>1430</v>
      </c>
      <c r="S68" s="2153" t="s">
        <v>1434</v>
      </c>
      <c r="T68" s="2154" t="s">
        <v>1430</v>
      </c>
      <c r="U68" s="2154" t="s">
        <v>1434</v>
      </c>
      <c r="V68" s="2152" t="s">
        <v>1430</v>
      </c>
      <c r="W68" s="2154" t="s">
        <v>1434</v>
      </c>
      <c r="X68" s="2152" t="s">
        <v>1430</v>
      </c>
      <c r="Y68" s="2153" t="s">
        <v>1434</v>
      </c>
      <c r="Z68" s="2154" t="s">
        <v>1430</v>
      </c>
      <c r="AA68" s="2153" t="s">
        <v>1435</v>
      </c>
    </row>
    <row r="69" spans="1:27" s="2136" customFormat="1">
      <c r="A69" s="2155" t="s">
        <v>1029</v>
      </c>
      <c r="B69" s="2145" t="s">
        <v>846</v>
      </c>
      <c r="C69" s="2156" t="s">
        <v>846</v>
      </c>
      <c r="D69" s="2145" t="s">
        <v>846</v>
      </c>
      <c r="E69" s="2157" t="s">
        <v>846</v>
      </c>
      <c r="F69" s="2158" t="s">
        <v>846</v>
      </c>
      <c r="G69" s="2157" t="s">
        <v>846</v>
      </c>
      <c r="H69" s="2158" t="s">
        <v>846</v>
      </c>
      <c r="I69" s="2157" t="s">
        <v>846</v>
      </c>
      <c r="J69" s="2158" t="s">
        <v>846</v>
      </c>
      <c r="K69" s="2157" t="s">
        <v>846</v>
      </c>
      <c r="L69" s="2158" t="s">
        <v>846</v>
      </c>
      <c r="M69" s="2157" t="s">
        <v>846</v>
      </c>
      <c r="N69" s="2158" t="s">
        <v>846</v>
      </c>
      <c r="O69" s="2157" t="s">
        <v>846</v>
      </c>
      <c r="P69" s="2158" t="s">
        <v>846</v>
      </c>
      <c r="Q69" s="2157" t="s">
        <v>846</v>
      </c>
      <c r="R69" s="2158" t="s">
        <v>846</v>
      </c>
      <c r="S69" s="2157" t="s">
        <v>846</v>
      </c>
      <c r="T69" s="2158" t="s">
        <v>846</v>
      </c>
      <c r="U69" s="2157" t="s">
        <v>846</v>
      </c>
      <c r="V69" s="2158" t="s">
        <v>846</v>
      </c>
      <c r="W69" s="2157" t="s">
        <v>846</v>
      </c>
      <c r="X69" s="2158" t="s">
        <v>846</v>
      </c>
      <c r="Y69" s="2157" t="s">
        <v>846</v>
      </c>
      <c r="Z69" s="2158" t="s">
        <v>846</v>
      </c>
      <c r="AA69" s="2157" t="s">
        <v>846</v>
      </c>
    </row>
    <row r="70" spans="1:27" s="2136" customFormat="1">
      <c r="A70" s="2151" t="s">
        <v>816</v>
      </c>
      <c r="B70" s="2133">
        <f t="shared" ref="B70:C72" si="30">D38/2000</f>
        <v>2.2977217947349794E-2</v>
      </c>
      <c r="C70" s="2134">
        <f t="shared" si="30"/>
        <v>0</v>
      </c>
      <c r="D70" s="2133">
        <f t="shared" ref="D70:S85" si="31" xml:space="preserve"> F38/2000</f>
        <v>2.2977217947349794E-2</v>
      </c>
      <c r="E70" s="2134">
        <f t="shared" si="31"/>
        <v>0</v>
      </c>
      <c r="F70" s="2135">
        <f t="shared" si="31"/>
        <v>2.2977217947349794E-2</v>
      </c>
      <c r="G70" s="2134">
        <f t="shared" si="31"/>
        <v>0</v>
      </c>
      <c r="H70" s="2135">
        <f t="shared" si="31"/>
        <v>2.2977217947349794E-2</v>
      </c>
      <c r="I70" s="2134">
        <f t="shared" si="31"/>
        <v>0</v>
      </c>
      <c r="J70" s="2135">
        <f t="shared" si="31"/>
        <v>2.2977217947349794E-2</v>
      </c>
      <c r="K70" s="2134">
        <f t="shared" si="31"/>
        <v>0</v>
      </c>
      <c r="L70" s="2135">
        <f t="shared" si="31"/>
        <v>2.2977217947349794E-2</v>
      </c>
      <c r="M70" s="2134">
        <f t="shared" si="31"/>
        <v>0</v>
      </c>
      <c r="N70" s="2135">
        <f t="shared" si="31"/>
        <v>2.2977217947349794E-2</v>
      </c>
      <c r="O70" s="2134">
        <f t="shared" si="31"/>
        <v>0</v>
      </c>
      <c r="P70" s="2135">
        <f t="shared" si="31"/>
        <v>2.2977217947349794E-2</v>
      </c>
      <c r="Q70" s="2134">
        <f t="shared" si="31"/>
        <v>0</v>
      </c>
      <c r="R70" s="2135">
        <f t="shared" si="31"/>
        <v>2.2977217947349794E-2</v>
      </c>
      <c r="S70" s="2134">
        <f t="shared" si="31"/>
        <v>0</v>
      </c>
      <c r="T70" s="2135">
        <f xml:space="preserve"> B38*$A$13/2000</f>
        <v>9.7268629108059439E-3</v>
      </c>
      <c r="U70" s="2134">
        <v>0</v>
      </c>
      <c r="V70" s="2135">
        <f t="shared" ref="V70:W72" si="32" xml:space="preserve"> X38/2000</f>
        <v>2.2977217947349794E-2</v>
      </c>
      <c r="W70" s="2134">
        <f t="shared" si="32"/>
        <v>0</v>
      </c>
      <c r="X70" s="2135">
        <f xml:space="preserve"> V38*$A$14/2000</f>
        <v>6.5984818691773557E-3</v>
      </c>
      <c r="Y70" s="2134">
        <f xml:space="preserve"> W38*$A$14/2000</f>
        <v>0</v>
      </c>
      <c r="Z70" s="2135">
        <f>Vehi_Plastics!BR105</f>
        <v>3.7233163965860745E-2</v>
      </c>
      <c r="AA70" s="2134">
        <v>0</v>
      </c>
    </row>
    <row r="71" spans="1:27" s="2136" customFormat="1">
      <c r="A71" s="2151" t="s">
        <v>817</v>
      </c>
      <c r="B71" s="2133">
        <f t="shared" si="30"/>
        <v>2.2857119219446873E-2</v>
      </c>
      <c r="C71" s="2134">
        <f t="shared" si="30"/>
        <v>0</v>
      </c>
      <c r="D71" s="2133">
        <f t="shared" si="31"/>
        <v>2.2857119219446873E-2</v>
      </c>
      <c r="E71" s="2134">
        <f t="shared" si="31"/>
        <v>0</v>
      </c>
      <c r="F71" s="2135">
        <f t="shared" si="31"/>
        <v>2.2857119219446873E-2</v>
      </c>
      <c r="G71" s="2134">
        <f t="shared" si="31"/>
        <v>0</v>
      </c>
      <c r="H71" s="2135">
        <f t="shared" si="31"/>
        <v>2.2857119219446873E-2</v>
      </c>
      <c r="I71" s="2134">
        <f t="shared" si="31"/>
        <v>0</v>
      </c>
      <c r="J71" s="2135">
        <f t="shared" si="31"/>
        <v>2.2857119219446873E-2</v>
      </c>
      <c r="K71" s="2134">
        <f t="shared" si="31"/>
        <v>0</v>
      </c>
      <c r="L71" s="2135">
        <f t="shared" si="31"/>
        <v>2.2857119219446873E-2</v>
      </c>
      <c r="M71" s="2134">
        <f t="shared" si="31"/>
        <v>0</v>
      </c>
      <c r="N71" s="2135">
        <f t="shared" si="31"/>
        <v>2.2857119219446873E-2</v>
      </c>
      <c r="O71" s="2134">
        <f t="shared" si="31"/>
        <v>0</v>
      </c>
      <c r="P71" s="2135">
        <f t="shared" si="31"/>
        <v>2.2857119219446873E-2</v>
      </c>
      <c r="Q71" s="2134">
        <f t="shared" si="31"/>
        <v>0</v>
      </c>
      <c r="R71" s="2135">
        <f t="shared" si="31"/>
        <v>2.2857119219446873E-2</v>
      </c>
      <c r="S71" s="2134">
        <f t="shared" si="31"/>
        <v>0</v>
      </c>
      <c r="T71" s="2135">
        <f t="shared" ref="T71:T74" si="33" xml:space="preserve"> B39*$A$13/2000</f>
        <v>9.5795501612637533E-3</v>
      </c>
      <c r="U71" s="2134">
        <v>0</v>
      </c>
      <c r="V71" s="2135">
        <f t="shared" si="32"/>
        <v>2.2857119219446873E-2</v>
      </c>
      <c r="W71" s="2134">
        <f t="shared" si="32"/>
        <v>0</v>
      </c>
      <c r="X71" s="2135">
        <f t="shared" ref="X71:Y75" si="34" xml:space="preserve"> V39*$A$14/2000</f>
        <v>6.5162903075683572E-3</v>
      </c>
      <c r="Y71" s="2134">
        <f t="shared" si="34"/>
        <v>0</v>
      </c>
      <c r="Z71" s="2135">
        <f>Vehi_Plastics!BR106</f>
        <v>3.6095878378539087E-2</v>
      </c>
      <c r="AA71" s="2134">
        <v>0</v>
      </c>
    </row>
    <row r="72" spans="1:27" s="2136" customFormat="1">
      <c r="A72" s="2151" t="s">
        <v>805</v>
      </c>
      <c r="B72" s="2133">
        <f t="shared" si="30"/>
        <v>1.5305323770350076E-4</v>
      </c>
      <c r="C72" s="2134">
        <f t="shared" si="30"/>
        <v>0</v>
      </c>
      <c r="D72" s="2133">
        <f t="shared" si="31"/>
        <v>1.5305323770350076E-4</v>
      </c>
      <c r="E72" s="2134">
        <f t="shared" si="31"/>
        <v>0</v>
      </c>
      <c r="F72" s="2135">
        <f t="shared" si="31"/>
        <v>1.5305323770350076E-4</v>
      </c>
      <c r="G72" s="2134">
        <f t="shared" si="31"/>
        <v>0</v>
      </c>
      <c r="H72" s="2135">
        <f t="shared" si="31"/>
        <v>1.5305323770350076E-4</v>
      </c>
      <c r="I72" s="2134">
        <f t="shared" si="31"/>
        <v>0</v>
      </c>
      <c r="J72" s="2135">
        <f t="shared" si="31"/>
        <v>1.5305323770350076E-4</v>
      </c>
      <c r="K72" s="2134">
        <f t="shared" si="31"/>
        <v>0</v>
      </c>
      <c r="L72" s="2135">
        <f t="shared" si="31"/>
        <v>1.5305323770350076E-4</v>
      </c>
      <c r="M72" s="2134">
        <f t="shared" si="31"/>
        <v>0</v>
      </c>
      <c r="N72" s="2135">
        <f t="shared" si="31"/>
        <v>1.5305323770350076E-4</v>
      </c>
      <c r="O72" s="2134">
        <f t="shared" si="31"/>
        <v>0</v>
      </c>
      <c r="P72" s="2135">
        <f t="shared" si="31"/>
        <v>1.5305323770350076E-4</v>
      </c>
      <c r="Q72" s="2134">
        <f t="shared" si="31"/>
        <v>0</v>
      </c>
      <c r="R72" s="2135">
        <f t="shared" si="31"/>
        <v>1.5305323770350076E-4</v>
      </c>
      <c r="S72" s="2134">
        <f t="shared" si="31"/>
        <v>0</v>
      </c>
      <c r="T72" s="2135">
        <f t="shared" si="33"/>
        <v>1.9382320712716907E-4</v>
      </c>
      <c r="U72" s="2134">
        <v>0</v>
      </c>
      <c r="V72" s="2135">
        <f t="shared" si="32"/>
        <v>1.5305323770350076E-4</v>
      </c>
      <c r="W72" s="2134">
        <f t="shared" si="32"/>
        <v>0</v>
      </c>
      <c r="X72" s="2135">
        <f t="shared" si="34"/>
        <v>1.0863231278612243E-4</v>
      </c>
      <c r="Y72" s="2134">
        <f t="shared" si="34"/>
        <v>0</v>
      </c>
      <c r="Z72" s="2135">
        <f>Vehi_Plastics!BR107</f>
        <v>1.7056584159618718E-3</v>
      </c>
      <c r="AA72" s="2134">
        <v>0</v>
      </c>
    </row>
    <row r="73" spans="1:27" s="2136" customFormat="1">
      <c r="A73" s="2151" t="s">
        <v>804</v>
      </c>
      <c r="B73" s="2133">
        <f t="shared" ref="B73:C73" si="35">B71-B72-B74</f>
        <v>2.6335505628622274E-3</v>
      </c>
      <c r="C73" s="2134">
        <f t="shared" si="35"/>
        <v>0</v>
      </c>
      <c r="D73" s="2133">
        <f t="shared" si="31"/>
        <v>2.6335505628622257E-3</v>
      </c>
      <c r="E73" s="2134">
        <f t="shared" si="31"/>
        <v>0</v>
      </c>
      <c r="F73" s="2135">
        <f t="shared" si="31"/>
        <v>2.6335505628622257E-3</v>
      </c>
      <c r="G73" s="2134">
        <f t="shared" si="31"/>
        <v>0</v>
      </c>
      <c r="H73" s="2135">
        <f t="shared" si="31"/>
        <v>2.6335505628622257E-3</v>
      </c>
      <c r="I73" s="2134">
        <f t="shared" si="31"/>
        <v>0</v>
      </c>
      <c r="J73" s="2135">
        <f t="shared" si="31"/>
        <v>2.6335505628622257E-3</v>
      </c>
      <c r="K73" s="2134">
        <f t="shared" si="31"/>
        <v>0</v>
      </c>
      <c r="L73" s="2135">
        <f t="shared" si="31"/>
        <v>2.6335505628622257E-3</v>
      </c>
      <c r="M73" s="2134">
        <f t="shared" si="31"/>
        <v>0</v>
      </c>
      <c r="N73" s="2135">
        <f t="shared" si="31"/>
        <v>2.6335505628622257E-3</v>
      </c>
      <c r="O73" s="2134">
        <f t="shared" si="31"/>
        <v>0</v>
      </c>
      <c r="P73" s="2135">
        <f t="shared" si="31"/>
        <v>2.6335505628622257E-3</v>
      </c>
      <c r="Q73" s="2134">
        <f t="shared" si="31"/>
        <v>0</v>
      </c>
      <c r="R73" s="2135">
        <f t="shared" si="31"/>
        <v>2.6335505628622257E-3</v>
      </c>
      <c r="S73" s="2134">
        <f t="shared" si="31"/>
        <v>0</v>
      </c>
      <c r="T73" s="2135">
        <f t="shared" si="33"/>
        <v>6.1749716667464571E-3</v>
      </c>
      <c r="U73" s="2134">
        <v>0</v>
      </c>
      <c r="V73" s="2135">
        <f>V71-V72-V74</f>
        <v>2.6335505628622274E-3</v>
      </c>
      <c r="W73" s="2134">
        <f>W71-W72-W74</f>
        <v>0</v>
      </c>
      <c r="X73" s="2135">
        <f>X71-X72-X74</f>
        <v>6.3388062886982864E-3</v>
      </c>
      <c r="Y73" s="2134">
        <f>Y71-Y72-Y74</f>
        <v>0</v>
      </c>
      <c r="Z73" s="2135">
        <f>Vehi_Plastics!BR108</f>
        <v>2.3023372026169022E-2</v>
      </c>
      <c r="AA73" s="2134">
        <v>0</v>
      </c>
    </row>
    <row r="74" spans="1:27" s="2136" customFormat="1">
      <c r="A74" s="2159" t="s">
        <v>818</v>
      </c>
      <c r="B74" s="2140">
        <f t="shared" ref="B74:C75" si="36">D42/2000</f>
        <v>2.0070515418881146E-2</v>
      </c>
      <c r="C74" s="2137">
        <f t="shared" si="36"/>
        <v>0</v>
      </c>
      <c r="D74" s="2140">
        <f t="shared" si="31"/>
        <v>2.0070515418881146E-2</v>
      </c>
      <c r="E74" s="2137">
        <f t="shared" si="31"/>
        <v>0</v>
      </c>
      <c r="F74" s="2147">
        <f t="shared" si="31"/>
        <v>2.0070515418881146E-2</v>
      </c>
      <c r="G74" s="2137">
        <f t="shared" si="31"/>
        <v>0</v>
      </c>
      <c r="H74" s="2147">
        <f t="shared" si="31"/>
        <v>2.0070515418881146E-2</v>
      </c>
      <c r="I74" s="2137">
        <f t="shared" si="31"/>
        <v>0</v>
      </c>
      <c r="J74" s="2147">
        <f t="shared" si="31"/>
        <v>2.0070515418881146E-2</v>
      </c>
      <c r="K74" s="2137">
        <f t="shared" si="31"/>
        <v>0</v>
      </c>
      <c r="L74" s="2147">
        <f t="shared" si="31"/>
        <v>2.0070515418881146E-2</v>
      </c>
      <c r="M74" s="2137">
        <f t="shared" si="31"/>
        <v>0</v>
      </c>
      <c r="N74" s="2147">
        <f t="shared" si="31"/>
        <v>2.0070515418881146E-2</v>
      </c>
      <c r="O74" s="2137">
        <f t="shared" si="31"/>
        <v>0</v>
      </c>
      <c r="P74" s="2147">
        <f t="shared" si="31"/>
        <v>2.0070515418881146E-2</v>
      </c>
      <c r="Q74" s="2137">
        <f t="shared" si="31"/>
        <v>0</v>
      </c>
      <c r="R74" s="2147">
        <f t="shared" si="31"/>
        <v>2.0070515418881146E-2</v>
      </c>
      <c r="S74" s="2137">
        <f t="shared" si="31"/>
        <v>0</v>
      </c>
      <c r="T74" s="2147">
        <f t="shared" si="33"/>
        <v>3.2107552873901269E-3</v>
      </c>
      <c r="U74" s="2137">
        <v>0</v>
      </c>
      <c r="V74" s="2147">
        <f t="shared" ref="V74:W75" si="37" xml:space="preserve"> X42/2000</f>
        <v>2.0070515418881146E-2</v>
      </c>
      <c r="W74" s="2137">
        <f t="shared" si="37"/>
        <v>0</v>
      </c>
      <c r="X74" s="2147">
        <f t="shared" si="34"/>
        <v>6.8851706083948534E-5</v>
      </c>
      <c r="Y74" s="2137">
        <f t="shared" si="34"/>
        <v>0</v>
      </c>
      <c r="Z74" s="2147">
        <f>Vehi_Plastics!BR109</f>
        <v>1.1366847936408192E-2</v>
      </c>
      <c r="AA74" s="2137">
        <v>0</v>
      </c>
    </row>
    <row r="75" spans="1:27" s="2136" customFormat="1">
      <c r="A75" s="2150" t="s">
        <v>819</v>
      </c>
      <c r="B75" s="2152">
        <f t="shared" si="36"/>
        <v>0.48327255406321329</v>
      </c>
      <c r="C75" s="2153">
        <f t="shared" si="36"/>
        <v>0</v>
      </c>
      <c r="D75" s="2152">
        <f t="shared" si="31"/>
        <v>0.48327255406321329</v>
      </c>
      <c r="E75" s="2153">
        <f t="shared" si="31"/>
        <v>0</v>
      </c>
      <c r="F75" s="2154">
        <f t="shared" si="31"/>
        <v>0.48327255406321329</v>
      </c>
      <c r="G75" s="2153">
        <f t="shared" si="31"/>
        <v>0</v>
      </c>
      <c r="H75" s="2154">
        <f t="shared" si="31"/>
        <v>0.48327255406321329</v>
      </c>
      <c r="I75" s="2153">
        <f t="shared" si="31"/>
        <v>0</v>
      </c>
      <c r="J75" s="2154">
        <f t="shared" si="31"/>
        <v>0.48327255406321329</v>
      </c>
      <c r="K75" s="2153">
        <f t="shared" si="31"/>
        <v>0</v>
      </c>
      <c r="L75" s="2154">
        <f t="shared" si="31"/>
        <v>0.48327255406321329</v>
      </c>
      <c r="M75" s="2153">
        <f t="shared" si="31"/>
        <v>0</v>
      </c>
      <c r="N75" s="2154">
        <f t="shared" si="31"/>
        <v>0.48327255406321329</v>
      </c>
      <c r="O75" s="2153">
        <f t="shared" si="31"/>
        <v>0</v>
      </c>
      <c r="P75" s="2154">
        <f t="shared" si="31"/>
        <v>0.48327255406321329</v>
      </c>
      <c r="Q75" s="2153">
        <f t="shared" si="31"/>
        <v>0</v>
      </c>
      <c r="R75" s="2154">
        <f t="shared" si="31"/>
        <v>0.48327255406321329</v>
      </c>
      <c r="S75" s="2153">
        <f t="shared" si="31"/>
        <v>0</v>
      </c>
      <c r="T75" s="2160">
        <f>(B43*A13+(1-A13)*907.2/3.7854)/2000</f>
        <v>0.3340297365146202</v>
      </c>
      <c r="U75" s="2153">
        <v>0</v>
      </c>
      <c r="V75" s="2154">
        <f t="shared" si="37"/>
        <v>0.48327255406321329</v>
      </c>
      <c r="W75" s="2153">
        <f t="shared" si="37"/>
        <v>0</v>
      </c>
      <c r="X75" s="2154">
        <f t="shared" si="34"/>
        <v>3.8263811753624817E-2</v>
      </c>
      <c r="Y75" s="2153">
        <f t="shared" si="34"/>
        <v>0</v>
      </c>
      <c r="Z75" s="2154">
        <f>Vehi_Plastics!BR110</f>
        <v>0.59302845654179925</v>
      </c>
      <c r="AA75" s="2153">
        <v>0</v>
      </c>
    </row>
    <row r="76" spans="1:27" s="2136" customFormat="1">
      <c r="A76" s="2155" t="s">
        <v>1030</v>
      </c>
      <c r="B76" s="2145" t="s">
        <v>846</v>
      </c>
      <c r="C76" s="2156" t="s">
        <v>846</v>
      </c>
      <c r="D76" s="2145" t="s">
        <v>846</v>
      </c>
      <c r="E76" s="2156" t="s">
        <v>846</v>
      </c>
      <c r="F76" s="2158" t="s">
        <v>846</v>
      </c>
      <c r="G76" s="2156" t="s">
        <v>846</v>
      </c>
      <c r="H76" s="2158" t="s">
        <v>846</v>
      </c>
      <c r="I76" s="2156" t="s">
        <v>846</v>
      </c>
      <c r="J76" s="2158" t="s">
        <v>846</v>
      </c>
      <c r="K76" s="2156" t="s">
        <v>846</v>
      </c>
      <c r="L76" s="2158" t="s">
        <v>846</v>
      </c>
      <c r="M76" s="2156" t="s">
        <v>846</v>
      </c>
      <c r="N76" s="2158" t="s">
        <v>846</v>
      </c>
      <c r="O76" s="2156" t="s">
        <v>846</v>
      </c>
      <c r="P76" s="2158" t="s">
        <v>846</v>
      </c>
      <c r="Q76" s="2156" t="s">
        <v>846</v>
      </c>
      <c r="R76" s="2158" t="s">
        <v>846</v>
      </c>
      <c r="S76" s="2156" t="s">
        <v>846</v>
      </c>
      <c r="T76" s="2158" t="s">
        <v>846</v>
      </c>
      <c r="U76" s="2156" t="s">
        <v>846</v>
      </c>
      <c r="V76" s="2158" t="s">
        <v>846</v>
      </c>
      <c r="W76" s="2156" t="s">
        <v>846</v>
      </c>
      <c r="X76" s="2158" t="s">
        <v>846</v>
      </c>
      <c r="Y76" s="2156" t="s">
        <v>846</v>
      </c>
      <c r="Z76" s="2158" t="s">
        <v>846</v>
      </c>
      <c r="AA76" s="2156" t="s">
        <v>846</v>
      </c>
    </row>
    <row r="77" spans="1:27" s="2136" customFormat="1">
      <c r="A77" s="2093" t="s">
        <v>821</v>
      </c>
      <c r="B77" s="2133">
        <f t="shared" ref="B77:C87" si="38">D45/2000</f>
        <v>0.50826521306002204</v>
      </c>
      <c r="C77" s="2134">
        <f t="shared" si="38"/>
        <v>7.0601535038251367E-2</v>
      </c>
      <c r="D77" s="2135">
        <f t="shared" si="31"/>
        <v>0.50826521306002204</v>
      </c>
      <c r="E77" s="2134">
        <f t="shared" si="31"/>
        <v>7.0601535038251367E-2</v>
      </c>
      <c r="F77" s="2135">
        <f t="shared" si="31"/>
        <v>0.50826521306002204</v>
      </c>
      <c r="G77" s="2134">
        <f t="shared" si="31"/>
        <v>7.0601535038251367E-2</v>
      </c>
      <c r="H77" s="2135">
        <f t="shared" si="31"/>
        <v>0.50826521306002204</v>
      </c>
      <c r="I77" s="2134">
        <f t="shared" si="31"/>
        <v>7.0601535038251367E-2</v>
      </c>
      <c r="J77" s="2135">
        <f t="shared" si="31"/>
        <v>0.50826521306002204</v>
      </c>
      <c r="K77" s="2134">
        <f t="shared" si="31"/>
        <v>7.0601535038251367E-2</v>
      </c>
      <c r="L77" s="2135">
        <f t="shared" si="31"/>
        <v>0.50826521306002204</v>
      </c>
      <c r="M77" s="2134">
        <f t="shared" si="31"/>
        <v>7.0601535038251367E-2</v>
      </c>
      <c r="N77" s="2135">
        <f t="shared" si="31"/>
        <v>0.50826521306002204</v>
      </c>
      <c r="O77" s="2134">
        <f t="shared" si="31"/>
        <v>7.0601535038251367E-2</v>
      </c>
      <c r="P77" s="2135">
        <f t="shared" si="31"/>
        <v>0.50826521306002204</v>
      </c>
      <c r="Q77" s="2134">
        <f t="shared" si="31"/>
        <v>7.0601535038251367E-2</v>
      </c>
      <c r="R77" s="2135">
        <f t="shared" si="31"/>
        <v>0.50826521306002204</v>
      </c>
      <c r="S77" s="2134">
        <f t="shared" si="31"/>
        <v>7.0601535038251367E-2</v>
      </c>
      <c r="T77" s="2135">
        <f xml:space="preserve"> SUM(B45:C45)*$A$13/2000</f>
        <v>0.16174943128512101</v>
      </c>
      <c r="U77" s="2134">
        <v>0</v>
      </c>
      <c r="V77" s="2135">
        <f t="shared" ref="V77:W87" si="39" xml:space="preserve"> X45/2000</f>
        <v>0.50826521306002204</v>
      </c>
      <c r="W77" s="2134">
        <f t="shared" si="39"/>
        <v>7.0601535038251367E-2</v>
      </c>
      <c r="X77" s="2135">
        <f t="shared" ref="X77:Y87" si="40" xml:space="preserve"> V45*$A$14/2000</f>
        <v>0.10150560710610784</v>
      </c>
      <c r="Y77" s="2134">
        <f t="shared" si="40"/>
        <v>227</v>
      </c>
      <c r="Z77" s="2135">
        <f>Vehi_Plastics!BR112</f>
        <v>0.51900414951114837</v>
      </c>
      <c r="AA77" s="2134">
        <v>0</v>
      </c>
    </row>
    <row r="78" spans="1:27" s="2136" customFormat="1">
      <c r="A78" s="2093" t="s">
        <v>822</v>
      </c>
      <c r="B78" s="2133">
        <f t="shared" si="38"/>
        <v>0.25341217829261148</v>
      </c>
      <c r="C78" s="2134">
        <f t="shared" si="38"/>
        <v>0.31236006449544623</v>
      </c>
      <c r="D78" s="2135">
        <f t="shared" si="31"/>
        <v>0.25341217829261148</v>
      </c>
      <c r="E78" s="2134">
        <f t="shared" si="31"/>
        <v>0.31236006449544623</v>
      </c>
      <c r="F78" s="2135">
        <f t="shared" si="31"/>
        <v>0.25341217829261148</v>
      </c>
      <c r="G78" s="2134">
        <f t="shared" si="31"/>
        <v>0.31236006449544623</v>
      </c>
      <c r="H78" s="2135">
        <f t="shared" si="31"/>
        <v>0.25341217829261148</v>
      </c>
      <c r="I78" s="2134">
        <f t="shared" si="31"/>
        <v>0.31236006449544623</v>
      </c>
      <c r="J78" s="2135">
        <f t="shared" si="31"/>
        <v>0.25341217829261148</v>
      </c>
      <c r="K78" s="2134">
        <f t="shared" si="31"/>
        <v>0.31236006449544623</v>
      </c>
      <c r="L78" s="2135">
        <f t="shared" si="31"/>
        <v>0.25341217829261148</v>
      </c>
      <c r="M78" s="2134">
        <f t="shared" si="31"/>
        <v>0.31236006449544623</v>
      </c>
      <c r="N78" s="2135">
        <f t="shared" si="31"/>
        <v>0.25341217829261148</v>
      </c>
      <c r="O78" s="2134">
        <f t="shared" si="31"/>
        <v>0.31236006449544623</v>
      </c>
      <c r="P78" s="2135">
        <f t="shared" si="31"/>
        <v>0.25341217829261148</v>
      </c>
      <c r="Q78" s="2134">
        <f t="shared" si="31"/>
        <v>0.31236006449544623</v>
      </c>
      <c r="R78" s="2135">
        <f t="shared" si="31"/>
        <v>0.25341217829261148</v>
      </c>
      <c r="S78" s="2134">
        <f t="shared" si="31"/>
        <v>0.31236006449544623</v>
      </c>
      <c r="T78" s="2135">
        <f t="shared" ref="T78:T86" si="41" xml:space="preserve"> SUM(B46:C46)*$A$13/2000</f>
        <v>0.20888678840338565</v>
      </c>
      <c r="U78" s="2134">
        <v>0</v>
      </c>
      <c r="V78" s="2135">
        <f t="shared" si="39"/>
        <v>0.25341217829261148</v>
      </c>
      <c r="W78" s="2134">
        <f t="shared" si="39"/>
        <v>0.31236006449544623</v>
      </c>
      <c r="X78" s="2135">
        <f t="shared" si="40"/>
        <v>8.8217456047569281E-2</v>
      </c>
      <c r="Y78" s="2134">
        <f t="shared" si="40"/>
        <v>0</v>
      </c>
      <c r="Z78" s="2135">
        <f>Vehi_Plastics!BR113</f>
        <v>3.0135955105613021</v>
      </c>
      <c r="AA78" s="2134">
        <v>0</v>
      </c>
    </row>
    <row r="79" spans="1:27" s="2136" customFormat="1" ht="15.75">
      <c r="A79" s="2093" t="s">
        <v>2542</v>
      </c>
      <c r="B79" s="2133">
        <f t="shared" si="38"/>
        <v>0.38536611634472906</v>
      </c>
      <c r="C79" s="2134">
        <f t="shared" si="38"/>
        <v>2.2129355971438982</v>
      </c>
      <c r="D79" s="2135">
        <f t="shared" si="31"/>
        <v>0.38536611634472906</v>
      </c>
      <c r="E79" s="2134">
        <f t="shared" si="31"/>
        <v>2.2129355971438982</v>
      </c>
      <c r="F79" s="2135">
        <f t="shared" si="31"/>
        <v>0.38536611634472906</v>
      </c>
      <c r="G79" s="2134">
        <f t="shared" si="31"/>
        <v>2.2129355971438982</v>
      </c>
      <c r="H79" s="2135">
        <f t="shared" si="31"/>
        <v>0.38536611634472906</v>
      </c>
      <c r="I79" s="2134">
        <f t="shared" si="31"/>
        <v>2.2129355971438982</v>
      </c>
      <c r="J79" s="2135">
        <f t="shared" si="31"/>
        <v>0.38536611634472906</v>
      </c>
      <c r="K79" s="2134">
        <f t="shared" si="31"/>
        <v>2.2129355971438982</v>
      </c>
      <c r="L79" s="2135">
        <f t="shared" si="31"/>
        <v>0.38536611634472906</v>
      </c>
      <c r="M79" s="2134">
        <f t="shared" si="31"/>
        <v>2.2129355971438982</v>
      </c>
      <c r="N79" s="2135">
        <f t="shared" si="31"/>
        <v>0.38536611634472906</v>
      </c>
      <c r="O79" s="2134">
        <f t="shared" si="31"/>
        <v>2.2129355971438982</v>
      </c>
      <c r="P79" s="2135">
        <f t="shared" si="31"/>
        <v>0.38536611634472906</v>
      </c>
      <c r="Q79" s="2134">
        <f t="shared" si="31"/>
        <v>2.2129355971438982</v>
      </c>
      <c r="R79" s="2135">
        <f t="shared" si="31"/>
        <v>0.38536611634472906</v>
      </c>
      <c r="S79" s="2134">
        <f t="shared" si="31"/>
        <v>2.2129355971438982</v>
      </c>
      <c r="T79" s="2135">
        <f t="shared" si="41"/>
        <v>0.29256988823011809</v>
      </c>
      <c r="U79" s="2134">
        <v>0</v>
      </c>
      <c r="V79" s="2135">
        <f t="shared" si="39"/>
        <v>0.38536611634472906</v>
      </c>
      <c r="W79" s="2134">
        <f t="shared" si="39"/>
        <v>2.2129355971438982</v>
      </c>
      <c r="X79" s="2135">
        <f t="shared" si="40"/>
        <v>0.10387866868894303</v>
      </c>
      <c r="Y79" s="2134">
        <f t="shared" si="40"/>
        <v>0</v>
      </c>
      <c r="Z79" s="2135">
        <f>Vehi_Plastics!BR114</f>
        <v>1.8513541377106255</v>
      </c>
      <c r="AA79" s="2134">
        <v>0</v>
      </c>
    </row>
    <row r="80" spans="1:27" s="2136" customFormat="1" ht="15.75">
      <c r="A80" s="2093" t="s">
        <v>2543</v>
      </c>
      <c r="B80" s="2133">
        <f t="shared" si="38"/>
        <v>3.4966089141999175E-2</v>
      </c>
      <c r="C80" s="2134">
        <f t="shared" si="38"/>
        <v>0.39410005041894347</v>
      </c>
      <c r="D80" s="2135">
        <f t="shared" si="31"/>
        <v>3.4966089141999175E-2</v>
      </c>
      <c r="E80" s="2134">
        <f t="shared" si="31"/>
        <v>0.39410005041894347</v>
      </c>
      <c r="F80" s="2135">
        <f t="shared" si="31"/>
        <v>3.4966089141999175E-2</v>
      </c>
      <c r="G80" s="2134">
        <f t="shared" si="31"/>
        <v>0.39410005041894347</v>
      </c>
      <c r="H80" s="2135">
        <f t="shared" si="31"/>
        <v>3.4966089141999175E-2</v>
      </c>
      <c r="I80" s="2134">
        <f t="shared" si="31"/>
        <v>0.39410005041894347</v>
      </c>
      <c r="J80" s="2135">
        <f t="shared" si="31"/>
        <v>3.4966089141999175E-2</v>
      </c>
      <c r="K80" s="2134">
        <f t="shared" si="31"/>
        <v>0.39410005041894347</v>
      </c>
      <c r="L80" s="2135">
        <f t="shared" si="31"/>
        <v>3.4966089141999175E-2</v>
      </c>
      <c r="M80" s="2134">
        <f t="shared" si="31"/>
        <v>0.39410005041894347</v>
      </c>
      <c r="N80" s="2135">
        <f t="shared" si="31"/>
        <v>3.4966089141999175E-2</v>
      </c>
      <c r="O80" s="2134">
        <f t="shared" si="31"/>
        <v>0.39410005041894347</v>
      </c>
      <c r="P80" s="2135">
        <f t="shared" si="31"/>
        <v>3.4966089141999175E-2</v>
      </c>
      <c r="Q80" s="2134">
        <f t="shared" si="31"/>
        <v>0.39410005041894347</v>
      </c>
      <c r="R80" s="2135">
        <f t="shared" si="31"/>
        <v>3.4966089141999175E-2</v>
      </c>
      <c r="S80" s="2134">
        <f t="shared" si="31"/>
        <v>0.39410005041894347</v>
      </c>
      <c r="T80" s="2135">
        <f t="shared" si="41"/>
        <v>2.0957099509160058E-2</v>
      </c>
      <c r="U80" s="2134">
        <v>0</v>
      </c>
      <c r="V80" s="2135">
        <f t="shared" si="39"/>
        <v>3.4966089141999175E-2</v>
      </c>
      <c r="W80" s="2134">
        <f t="shared" si="39"/>
        <v>0.39410005041894347</v>
      </c>
      <c r="X80" s="2135">
        <f t="shared" si="40"/>
        <v>8.6363116574999996E-3</v>
      </c>
      <c r="Y80" s="2134">
        <f t="shared" si="40"/>
        <v>0</v>
      </c>
      <c r="Z80" s="2135">
        <f>Vehi_Plastics!BR115</f>
        <v>0.51063511054352728</v>
      </c>
      <c r="AA80" s="2134">
        <v>0</v>
      </c>
    </row>
    <row r="81" spans="1:27" s="2136" customFormat="1" ht="15.75">
      <c r="A81" s="2093" t="s">
        <v>2544</v>
      </c>
      <c r="B81" s="2133">
        <f t="shared" si="38"/>
        <v>3.0063875617938895E-2</v>
      </c>
      <c r="C81" s="2134">
        <f t="shared" si="38"/>
        <v>0.20526850025500915</v>
      </c>
      <c r="D81" s="2135">
        <f t="shared" si="31"/>
        <v>3.0063875617938895E-2</v>
      </c>
      <c r="E81" s="2134">
        <f t="shared" si="31"/>
        <v>0.20526850025500915</v>
      </c>
      <c r="F81" s="2135">
        <f t="shared" si="31"/>
        <v>3.0063875617938895E-2</v>
      </c>
      <c r="G81" s="2134">
        <f t="shared" si="31"/>
        <v>0.20526850025500915</v>
      </c>
      <c r="H81" s="2135">
        <f t="shared" si="31"/>
        <v>3.0063875617938895E-2</v>
      </c>
      <c r="I81" s="2134">
        <f t="shared" si="31"/>
        <v>0.20526850025500915</v>
      </c>
      <c r="J81" s="2135">
        <f t="shared" si="31"/>
        <v>3.0063875617938895E-2</v>
      </c>
      <c r="K81" s="2134">
        <f t="shared" si="31"/>
        <v>0.20526850025500915</v>
      </c>
      <c r="L81" s="2135">
        <f t="shared" si="31"/>
        <v>3.0063875617938895E-2</v>
      </c>
      <c r="M81" s="2134">
        <f t="shared" si="31"/>
        <v>0.20526850025500915</v>
      </c>
      <c r="N81" s="2135">
        <f t="shared" si="31"/>
        <v>3.0063875617938895E-2</v>
      </c>
      <c r="O81" s="2134">
        <f t="shared" si="31"/>
        <v>0.20526850025500915</v>
      </c>
      <c r="P81" s="2135">
        <f t="shared" si="31"/>
        <v>3.0063875617938895E-2</v>
      </c>
      <c r="Q81" s="2134">
        <f t="shared" si="31"/>
        <v>0.20526850025500915</v>
      </c>
      <c r="R81" s="2135">
        <f t="shared" si="31"/>
        <v>3.0063875617938895E-2</v>
      </c>
      <c r="S81" s="2134">
        <f t="shared" si="31"/>
        <v>0.20526850025500915</v>
      </c>
      <c r="T81" s="2135">
        <f t="shared" si="41"/>
        <v>1.8060037449349944E-2</v>
      </c>
      <c r="U81" s="2134">
        <v>0</v>
      </c>
      <c r="V81" s="2135">
        <f t="shared" si="39"/>
        <v>3.0063875617938895E-2</v>
      </c>
      <c r="W81" s="2134">
        <f t="shared" si="39"/>
        <v>0.20526850025500915</v>
      </c>
      <c r="X81" s="2135">
        <f t="shared" si="40"/>
        <v>7.1618727320278859E-3</v>
      </c>
      <c r="Y81" s="2134">
        <f t="shared" si="40"/>
        <v>0</v>
      </c>
      <c r="Z81" s="2135">
        <f>Vehi_Plastics!BR116</f>
        <v>0.13658091131722533</v>
      </c>
      <c r="AA81" s="2134">
        <v>0</v>
      </c>
    </row>
    <row r="82" spans="1:27" s="2136" customFormat="1" ht="15.75">
      <c r="A82" s="2093" t="s">
        <v>2545</v>
      </c>
      <c r="B82" s="2133">
        <f t="shared" si="38"/>
        <v>0.10673388281995913</v>
      </c>
      <c r="C82" s="2134">
        <f t="shared" si="38"/>
        <v>4.9666661898724955</v>
      </c>
      <c r="D82" s="2135">
        <f t="shared" si="31"/>
        <v>0.10673388281995913</v>
      </c>
      <c r="E82" s="2134">
        <f t="shared" si="31"/>
        <v>4.9666661898724955</v>
      </c>
      <c r="F82" s="2135">
        <f t="shared" si="31"/>
        <v>0.10673388281995913</v>
      </c>
      <c r="G82" s="2134">
        <f t="shared" si="31"/>
        <v>4.9666661898724955</v>
      </c>
      <c r="H82" s="2135">
        <f t="shared" si="31"/>
        <v>0.10673388281995913</v>
      </c>
      <c r="I82" s="2134">
        <f t="shared" si="31"/>
        <v>4.9666661898724955</v>
      </c>
      <c r="J82" s="2135">
        <f t="shared" si="31"/>
        <v>0.10673388281995913</v>
      </c>
      <c r="K82" s="2134">
        <f t="shared" si="31"/>
        <v>4.9666661898724955</v>
      </c>
      <c r="L82" s="2135">
        <f t="shared" si="31"/>
        <v>0.10673388281995913</v>
      </c>
      <c r="M82" s="2134">
        <f t="shared" si="31"/>
        <v>4.9666661898724955</v>
      </c>
      <c r="N82" s="2135">
        <f t="shared" si="31"/>
        <v>0.10673388281995913</v>
      </c>
      <c r="O82" s="2134">
        <f t="shared" si="31"/>
        <v>4.9666661898724955</v>
      </c>
      <c r="P82" s="2135">
        <f t="shared" si="31"/>
        <v>0.10673388281995913</v>
      </c>
      <c r="Q82" s="2134">
        <f t="shared" si="31"/>
        <v>4.9666661898724955</v>
      </c>
      <c r="R82" s="2135">
        <f t="shared" si="31"/>
        <v>0.10673388281995913</v>
      </c>
      <c r="S82" s="2134">
        <f t="shared" si="31"/>
        <v>4.9666661898724955</v>
      </c>
      <c r="T82" s="2135">
        <f t="shared" si="41"/>
        <v>9.6829475966745585E-2</v>
      </c>
      <c r="U82" s="2134">
        <v>0</v>
      </c>
      <c r="V82" s="2135">
        <f t="shared" si="39"/>
        <v>0.10673388281995913</v>
      </c>
      <c r="W82" s="2134">
        <f t="shared" si="39"/>
        <v>4.9666661898724955</v>
      </c>
      <c r="X82" s="2135">
        <f t="shared" si="40"/>
        <v>7.4531505670882459E-2</v>
      </c>
      <c r="Y82" s="2134">
        <f t="shared" si="40"/>
        <v>0</v>
      </c>
      <c r="Z82" s="2135">
        <f>Vehi_Plastics!BR117</f>
        <v>6.3716057760393721</v>
      </c>
      <c r="AA82" s="2134">
        <v>0</v>
      </c>
    </row>
    <row r="83" spans="1:27" s="2136" customFormat="1">
      <c r="A83" s="2093" t="s">
        <v>827</v>
      </c>
      <c r="B83" s="2133">
        <f t="shared" si="38"/>
        <v>4.1669884327047938E-3</v>
      </c>
      <c r="C83" s="2134">
        <f t="shared" si="38"/>
        <v>1.3014022916167579E-2</v>
      </c>
      <c r="D83" s="2135">
        <f t="shared" si="31"/>
        <v>4.1669884327047938E-3</v>
      </c>
      <c r="E83" s="2134">
        <f t="shared" si="31"/>
        <v>1.3014022916167579E-2</v>
      </c>
      <c r="F83" s="2135">
        <f t="shared" si="31"/>
        <v>4.1669884327047938E-3</v>
      </c>
      <c r="G83" s="2134">
        <f t="shared" si="31"/>
        <v>1.3014022916167579E-2</v>
      </c>
      <c r="H83" s="2135">
        <f t="shared" si="31"/>
        <v>4.1669884327047938E-3</v>
      </c>
      <c r="I83" s="2134">
        <f t="shared" si="31"/>
        <v>1.3014022916167579E-2</v>
      </c>
      <c r="J83" s="2135">
        <f t="shared" si="31"/>
        <v>4.1669884327047938E-3</v>
      </c>
      <c r="K83" s="2134">
        <f t="shared" si="31"/>
        <v>1.3014022916167579E-2</v>
      </c>
      <c r="L83" s="2135">
        <f t="shared" si="31"/>
        <v>4.1669884327047938E-3</v>
      </c>
      <c r="M83" s="2134">
        <f t="shared" si="31"/>
        <v>1.3014022916167579E-2</v>
      </c>
      <c r="N83" s="2135">
        <f t="shared" si="31"/>
        <v>4.1669884327047938E-3</v>
      </c>
      <c r="O83" s="2134">
        <f t="shared" si="31"/>
        <v>1.3014022916167579E-2</v>
      </c>
      <c r="P83" s="2135">
        <f t="shared" si="31"/>
        <v>4.1669884327047938E-3</v>
      </c>
      <c r="Q83" s="2134">
        <f t="shared" si="31"/>
        <v>1.3014022916167579E-2</v>
      </c>
      <c r="R83" s="2135">
        <f t="shared" si="31"/>
        <v>4.1669884327047938E-3</v>
      </c>
      <c r="S83" s="2134">
        <f t="shared" si="31"/>
        <v>1.3014022916167579E-2</v>
      </c>
      <c r="T83" s="2135">
        <f t="shared" si="41"/>
        <v>2.3635548782363143E-3</v>
      </c>
      <c r="U83" s="2134">
        <v>0</v>
      </c>
      <c r="V83" s="2135">
        <f t="shared" si="39"/>
        <v>4.1669884327047938E-3</v>
      </c>
      <c r="W83" s="2134">
        <f t="shared" si="39"/>
        <v>1.3014022916167579E-2</v>
      </c>
      <c r="X83" s="2135">
        <f t="shared" si="40"/>
        <v>3.3046692522961554E-4</v>
      </c>
      <c r="Y83" s="2134">
        <f t="shared" si="40"/>
        <v>0</v>
      </c>
      <c r="Z83" s="2135">
        <f>Vehi_Plastics!BR118</f>
        <v>1.2967888705950229E-2</v>
      </c>
      <c r="AA83" s="2134">
        <v>0</v>
      </c>
    </row>
    <row r="84" spans="1:27" s="2136" customFormat="1">
      <c r="A84" s="2093" t="s">
        <v>828</v>
      </c>
      <c r="B84" s="2133">
        <f t="shared" si="38"/>
        <v>6.8629758106690565E-3</v>
      </c>
      <c r="C84" s="2134">
        <f t="shared" si="38"/>
        <v>9.0318140112204022E-3</v>
      </c>
      <c r="D84" s="2135">
        <f t="shared" si="31"/>
        <v>6.8629758106690565E-3</v>
      </c>
      <c r="E84" s="2134">
        <f t="shared" si="31"/>
        <v>9.0318140112204022E-3</v>
      </c>
      <c r="F84" s="2135">
        <f t="shared" si="31"/>
        <v>6.8629758106690565E-3</v>
      </c>
      <c r="G84" s="2134">
        <f t="shared" si="31"/>
        <v>9.0318140112204022E-3</v>
      </c>
      <c r="H84" s="2135">
        <f t="shared" si="31"/>
        <v>6.8629758106690565E-3</v>
      </c>
      <c r="I84" s="2134">
        <f t="shared" si="31"/>
        <v>9.0318140112204022E-3</v>
      </c>
      <c r="J84" s="2135">
        <f t="shared" si="31"/>
        <v>6.8629758106690565E-3</v>
      </c>
      <c r="K84" s="2134">
        <f t="shared" si="31"/>
        <v>9.0318140112204022E-3</v>
      </c>
      <c r="L84" s="2135">
        <f t="shared" si="31"/>
        <v>6.8629758106690565E-3</v>
      </c>
      <c r="M84" s="2134">
        <f t="shared" si="31"/>
        <v>9.0318140112204022E-3</v>
      </c>
      <c r="N84" s="2135">
        <f t="shared" si="31"/>
        <v>6.8629758106690565E-3</v>
      </c>
      <c r="O84" s="2134">
        <f t="shared" si="31"/>
        <v>9.0318140112204022E-3</v>
      </c>
      <c r="P84" s="2135">
        <f t="shared" si="31"/>
        <v>6.8629758106690565E-3</v>
      </c>
      <c r="Q84" s="2134">
        <f t="shared" si="31"/>
        <v>9.0318140112204022E-3</v>
      </c>
      <c r="R84" s="2135">
        <f t="shared" si="31"/>
        <v>6.8629758106690565E-3</v>
      </c>
      <c r="S84" s="2134">
        <f t="shared" si="31"/>
        <v>9.0318140112204022E-3</v>
      </c>
      <c r="T84" s="2135">
        <f t="shared" si="41"/>
        <v>6.1870061843593161E-3</v>
      </c>
      <c r="U84" s="2134">
        <v>0</v>
      </c>
      <c r="V84" s="2135">
        <f t="shared" si="39"/>
        <v>6.8629758106690565E-3</v>
      </c>
      <c r="W84" s="2134">
        <f t="shared" si="39"/>
        <v>9.0318140112204022E-3</v>
      </c>
      <c r="X84" s="2135">
        <f t="shared" si="40"/>
        <v>4.6522795978966097E-4</v>
      </c>
      <c r="Y84" s="2134">
        <f t="shared" si="40"/>
        <v>0</v>
      </c>
      <c r="Z84" s="2135">
        <f>Vehi_Plastics!BR119</f>
        <v>2.6671924385483364E-2</v>
      </c>
      <c r="AA84" s="2134">
        <v>0</v>
      </c>
    </row>
    <row r="85" spans="1:27" s="2136" customFormat="1" ht="15.75">
      <c r="A85" s="2093" t="s">
        <v>2546</v>
      </c>
      <c r="B85" s="2133">
        <f t="shared" si="38"/>
        <v>2.1616253179850529</v>
      </c>
      <c r="C85" s="2134">
        <f t="shared" si="38"/>
        <v>2.9683198105646631E-2</v>
      </c>
      <c r="D85" s="2135">
        <f t="shared" si="31"/>
        <v>2.1616253179850529</v>
      </c>
      <c r="E85" s="2134">
        <f t="shared" si="31"/>
        <v>2.9683198105646631E-2</v>
      </c>
      <c r="F85" s="2135">
        <f t="shared" si="31"/>
        <v>2.1616253179850529</v>
      </c>
      <c r="G85" s="2134">
        <f t="shared" si="31"/>
        <v>2.9683198105646631E-2</v>
      </c>
      <c r="H85" s="2135">
        <f t="shared" si="31"/>
        <v>2.1616253179850529</v>
      </c>
      <c r="I85" s="2134">
        <f t="shared" si="31"/>
        <v>2.9683198105646631E-2</v>
      </c>
      <c r="J85" s="2135">
        <f t="shared" si="31"/>
        <v>2.1616253179850529</v>
      </c>
      <c r="K85" s="2134">
        <f t="shared" si="31"/>
        <v>2.9683198105646631E-2</v>
      </c>
      <c r="L85" s="2135">
        <f t="shared" si="31"/>
        <v>2.1616253179850529</v>
      </c>
      <c r="M85" s="2134">
        <f t="shared" si="31"/>
        <v>2.9683198105646631E-2</v>
      </c>
      <c r="N85" s="2135">
        <f t="shared" si="31"/>
        <v>2.1616253179850529</v>
      </c>
      <c r="O85" s="2134">
        <f t="shared" si="31"/>
        <v>2.9683198105646631E-2</v>
      </c>
      <c r="P85" s="2135">
        <f t="shared" si="31"/>
        <v>2.1616253179850529</v>
      </c>
      <c r="Q85" s="2134">
        <f t="shared" si="31"/>
        <v>2.9683198105646631E-2</v>
      </c>
      <c r="R85" s="2135">
        <f t="shared" si="31"/>
        <v>2.1616253179850529</v>
      </c>
      <c r="S85" s="2134">
        <f t="shared" si="31"/>
        <v>2.9683198105646631E-2</v>
      </c>
      <c r="T85" s="2135">
        <f t="shared" si="41"/>
        <v>1.2781571872633766</v>
      </c>
      <c r="U85" s="2134">
        <v>0</v>
      </c>
      <c r="V85" s="2135">
        <f t="shared" si="39"/>
        <v>2.1616253179850529</v>
      </c>
      <c r="W85" s="2134">
        <f t="shared" si="39"/>
        <v>2.9683198105646631E-2</v>
      </c>
      <c r="X85" s="2135">
        <f t="shared" si="40"/>
        <v>0.93997286221274745</v>
      </c>
      <c r="Y85" s="2134">
        <f t="shared" si="40"/>
        <v>0</v>
      </c>
      <c r="Z85" s="2135">
        <f>Vehi_Plastics!BR120</f>
        <v>9.4071692146569639</v>
      </c>
      <c r="AA85" s="2134">
        <v>0</v>
      </c>
    </row>
    <row r="86" spans="1:27" s="2136" customFormat="1" ht="15.75">
      <c r="A86" s="2093" t="s">
        <v>2547</v>
      </c>
      <c r="B86" s="2133">
        <f t="shared" si="38"/>
        <v>5.3904315575575689E-3</v>
      </c>
      <c r="C86" s="2134">
        <f t="shared" si="38"/>
        <v>3.3105951242258652E-2</v>
      </c>
      <c r="D86" s="2135">
        <f t="shared" ref="D86:S87" si="42" xml:space="preserve"> F54/2000</f>
        <v>5.3904315575575689E-3</v>
      </c>
      <c r="E86" s="2134">
        <f t="shared" si="42"/>
        <v>3.3105951242258652E-2</v>
      </c>
      <c r="F86" s="2135">
        <f t="shared" si="42"/>
        <v>5.3904315575575689E-3</v>
      </c>
      <c r="G86" s="2134">
        <f t="shared" si="42"/>
        <v>3.3105951242258652E-2</v>
      </c>
      <c r="H86" s="2135">
        <f t="shared" si="42"/>
        <v>5.3904315575575689E-3</v>
      </c>
      <c r="I86" s="2134">
        <f t="shared" si="42"/>
        <v>3.3105951242258652E-2</v>
      </c>
      <c r="J86" s="2135">
        <f t="shared" si="42"/>
        <v>5.3904315575575689E-3</v>
      </c>
      <c r="K86" s="2134">
        <f t="shared" si="42"/>
        <v>3.3105951242258652E-2</v>
      </c>
      <c r="L86" s="2135">
        <f t="shared" si="42"/>
        <v>5.3904315575575689E-3</v>
      </c>
      <c r="M86" s="2134">
        <f t="shared" si="42"/>
        <v>3.3105951242258652E-2</v>
      </c>
      <c r="N86" s="2135">
        <f t="shared" si="42"/>
        <v>5.3904315575575689E-3</v>
      </c>
      <c r="O86" s="2134">
        <f t="shared" si="42"/>
        <v>3.3105951242258652E-2</v>
      </c>
      <c r="P86" s="2135">
        <f t="shared" si="42"/>
        <v>5.3904315575575689E-3</v>
      </c>
      <c r="Q86" s="2134">
        <f t="shared" si="42"/>
        <v>3.3105951242258652E-2</v>
      </c>
      <c r="R86" s="2135">
        <f t="shared" si="42"/>
        <v>5.3904315575575689E-3</v>
      </c>
      <c r="S86" s="2134">
        <f t="shared" si="42"/>
        <v>3.3105951242258652E-2</v>
      </c>
      <c r="T86" s="2135">
        <f t="shared" si="41"/>
        <v>5.76309813631431E-3</v>
      </c>
      <c r="U86" s="2134">
        <v>0</v>
      </c>
      <c r="V86" s="2135">
        <f t="shared" si="39"/>
        <v>5.3904315575575689E-3</v>
      </c>
      <c r="W86" s="2134">
        <f t="shared" si="39"/>
        <v>3.3105951242258652E-2</v>
      </c>
      <c r="X86" s="2135">
        <f t="shared" si="40"/>
        <v>1.4547138526434518E-3</v>
      </c>
      <c r="Y86" s="2134">
        <f t="shared" si="40"/>
        <v>0</v>
      </c>
      <c r="Z86" s="2135">
        <f>Vehi_Plastics!BR121</f>
        <v>0.11036058175071385</v>
      </c>
      <c r="AA86" s="2134">
        <v>0</v>
      </c>
    </row>
    <row r="87" spans="1:27" s="2144" customFormat="1" ht="15.75">
      <c r="A87" s="2093" t="s">
        <v>2548</v>
      </c>
      <c r="B87" s="2161">
        <f t="shared" si="38"/>
        <v>317.21717589114394</v>
      </c>
      <c r="C87" s="2162">
        <f t="shared" si="38"/>
        <v>1644.4732949061895</v>
      </c>
      <c r="D87" s="2143">
        <f t="shared" si="42"/>
        <v>317.21717589114394</v>
      </c>
      <c r="E87" s="2163">
        <f t="shared" si="42"/>
        <v>1644.4732949061895</v>
      </c>
      <c r="F87" s="2143">
        <f t="shared" si="42"/>
        <v>317.21717589114394</v>
      </c>
      <c r="G87" s="2163">
        <f t="shared" si="42"/>
        <v>1644.4732949061895</v>
      </c>
      <c r="H87" s="2143">
        <f t="shared" si="42"/>
        <v>317.21717589114394</v>
      </c>
      <c r="I87" s="2163">
        <f t="shared" si="42"/>
        <v>1644.4732949061895</v>
      </c>
      <c r="J87" s="2143">
        <f t="shared" si="42"/>
        <v>317.21717589114394</v>
      </c>
      <c r="K87" s="2163">
        <f t="shared" si="42"/>
        <v>1644.4732949061895</v>
      </c>
      <c r="L87" s="2143">
        <f t="shared" si="42"/>
        <v>317.21717589114394</v>
      </c>
      <c r="M87" s="2163">
        <f t="shared" si="42"/>
        <v>1644.4732949061895</v>
      </c>
      <c r="N87" s="2143">
        <f t="shared" si="42"/>
        <v>317.21717589114394</v>
      </c>
      <c r="O87" s="2163">
        <f t="shared" si="42"/>
        <v>1644.4732949061895</v>
      </c>
      <c r="P87" s="2143">
        <f t="shared" si="42"/>
        <v>317.21717589114394</v>
      </c>
      <c r="Q87" s="2163">
        <f t="shared" si="42"/>
        <v>1644.4732949061895</v>
      </c>
      <c r="R87" s="2143">
        <f t="shared" si="42"/>
        <v>317.21717589114394</v>
      </c>
      <c r="S87" s="2163">
        <f t="shared" si="42"/>
        <v>1644.4732949061895</v>
      </c>
      <c r="T87" s="2164">
        <f>SUM(B55:C55)* $A$13/2000</f>
        <v>240.41437713165016</v>
      </c>
      <c r="U87" s="2162">
        <v>0</v>
      </c>
      <c r="V87" s="2143">
        <f t="shared" si="39"/>
        <v>317.21717589114394</v>
      </c>
      <c r="W87" s="2163">
        <f t="shared" si="39"/>
        <v>1644.4732949061895</v>
      </c>
      <c r="X87" s="2143">
        <f t="shared" si="40"/>
        <v>81.077336219127403</v>
      </c>
      <c r="Y87" s="2163">
        <f t="shared" si="40"/>
        <v>0</v>
      </c>
      <c r="Z87" s="2143">
        <f>Vehi_Plastics!BR122</f>
        <v>1337.2216339701936</v>
      </c>
      <c r="AA87" s="2162">
        <v>0</v>
      </c>
    </row>
    <row r="88" spans="1:27" s="2144" customFormat="1" ht="15.75">
      <c r="A88" s="2093" t="s">
        <v>2550</v>
      </c>
      <c r="B88" s="2161">
        <f>B87+B77*GREET1_Import_Export!$B$62/GREET1_Import_Export!$B$65+B78*GREET1_Import_Export!$B$63/GREET1_Import_Export!$B$65</f>
        <v>319.1994882758313</v>
      </c>
      <c r="C88" s="2162">
        <f>C87+C77*GREET1_Import_Export!$B$62/GREET1_Import_Export!$B$65+C78*GREET1_Import_Export!$B$63/GREET1_Import_Export!$B$65</f>
        <v>1645.1841878869802</v>
      </c>
      <c r="D88" s="2165">
        <f>D87+D77*GREET1_Import_Export!$B$62/GREET1_Import_Export!$B$65+D78*GREET1_Import_Export!$B$63/GREET1_Import_Export!$B$65</f>
        <v>319.1994882758313</v>
      </c>
      <c r="E88" s="2166">
        <f>E87+E77*GREET1_Import_Export!$B$62/GREET1_Import_Export!$B$65+E78*GREET1_Import_Export!$B$63/GREET1_Import_Export!$B$65</f>
        <v>1645.1841878869802</v>
      </c>
      <c r="F88" s="2165">
        <f>F87+F77*GREET1_Import_Export!$B$62/GREET1_Import_Export!$B$65+F78*GREET1_Import_Export!$B$63/GREET1_Import_Export!$B$65</f>
        <v>319.1994882758313</v>
      </c>
      <c r="G88" s="2166">
        <f>G87+G77*GREET1_Import_Export!$B$62/GREET1_Import_Export!$B$65+G78*GREET1_Import_Export!$B$63/GREET1_Import_Export!$B$65</f>
        <v>1645.1841878869802</v>
      </c>
      <c r="H88" s="2165">
        <f>H87+H77*GREET1_Import_Export!$B$62/GREET1_Import_Export!$B$65+H78*GREET1_Import_Export!$B$63/GREET1_Import_Export!$B$65</f>
        <v>319.1994882758313</v>
      </c>
      <c r="I88" s="2166">
        <f>I87+I77*GREET1_Import_Export!$B$62/GREET1_Import_Export!$B$65+I78*GREET1_Import_Export!$B$63/GREET1_Import_Export!$B$65</f>
        <v>1645.1841878869802</v>
      </c>
      <c r="J88" s="2165">
        <f>J87+J77*GREET1_Import_Export!$B$62/GREET1_Import_Export!$B$65+J78*GREET1_Import_Export!$B$63/GREET1_Import_Export!$B$65</f>
        <v>319.1994882758313</v>
      </c>
      <c r="K88" s="2166">
        <f>K87+K77*GREET1_Import_Export!$B$62/GREET1_Import_Export!$B$65+K78*GREET1_Import_Export!$B$63/GREET1_Import_Export!$B$65</f>
        <v>1645.1841878869802</v>
      </c>
      <c r="L88" s="2165">
        <f>L87+L77*GREET1_Import_Export!$B$62/GREET1_Import_Export!$B$65+L78*GREET1_Import_Export!$B$63/GREET1_Import_Export!$B$65</f>
        <v>319.1994882758313</v>
      </c>
      <c r="M88" s="2166">
        <f>M87+M77*GREET1_Import_Export!$B$62/GREET1_Import_Export!$B$65+M78*GREET1_Import_Export!$B$63/GREET1_Import_Export!$B$65</f>
        <v>1645.1841878869802</v>
      </c>
      <c r="N88" s="2165">
        <f>N87+N77*GREET1_Import_Export!$B$62/GREET1_Import_Export!$B$65+N78*GREET1_Import_Export!$B$63/GREET1_Import_Export!$B$65</f>
        <v>319.1994882758313</v>
      </c>
      <c r="O88" s="2166">
        <f>O87+O77*GREET1_Import_Export!$B$62/GREET1_Import_Export!$B$65+O78*GREET1_Import_Export!$B$63/GREET1_Import_Export!$B$65</f>
        <v>1645.1841878869802</v>
      </c>
      <c r="P88" s="2165">
        <f>P87+P77*GREET1_Import_Export!$B$62/GREET1_Import_Export!$B$65+P78*GREET1_Import_Export!$B$63/GREET1_Import_Export!$B$65</f>
        <v>319.1994882758313</v>
      </c>
      <c r="Q88" s="2166">
        <f>Q87+Q77*GREET1_Import_Export!$B$62/GREET1_Import_Export!$B$65+Q78*GREET1_Import_Export!$B$63/GREET1_Import_Export!$B$65</f>
        <v>1645.1841878869802</v>
      </c>
      <c r="R88" s="2165">
        <f>R87+R77*GREET1_Import_Export!$B$62/GREET1_Import_Export!$B$65+R78*GREET1_Import_Export!$B$63/GREET1_Import_Export!$B$65</f>
        <v>319.1994882758313</v>
      </c>
      <c r="S88" s="2166">
        <f>S87+S77*GREET1_Import_Export!$B$62/GREET1_Import_Export!$B$65+S78*GREET1_Import_Export!$B$63/GREET1_Import_Export!$B$65</f>
        <v>1645.1841878869802</v>
      </c>
      <c r="T88" s="2165">
        <f>T87+T77*GREET1_Import_Export!$B$62/GREET1_Import_Export!$B$65+T78*GREET1_Import_Export!$B$63/GREET1_Import_Export!$B$65</f>
        <v>241.24674685997982</v>
      </c>
      <c r="U88" s="2166">
        <f>U87+U77*GREET1_Import_Export!$B$62/GREET1_Import_Export!$B$65+U78*GREET1_Import_Export!$B$63/GREET1_Import_Export!$B$65</f>
        <v>0</v>
      </c>
      <c r="V88" s="2165">
        <f>V87+V77*GREET1_Import_Export!$B$62/GREET1_Import_Export!$B$65+V78*GREET1_Import_Export!$B$63/GREET1_Import_Export!$B$65</f>
        <v>319.1994882758313</v>
      </c>
      <c r="W88" s="2166">
        <f>W87+W77*GREET1_Import_Export!$B$62/GREET1_Import_Export!$B$65+W78*GREET1_Import_Export!$B$63/GREET1_Import_Export!$B$65</f>
        <v>1645.1841878869802</v>
      </c>
      <c r="X88" s="2165">
        <f>X87+X77*GREET1_Import_Export!$B$62/GREET1_Import_Export!$B$65+X78*GREET1_Import_Export!$B$63/GREET1_Import_Export!$B$65</f>
        <v>81.532322792206656</v>
      </c>
      <c r="Y88" s="2166">
        <f>Y87+Y77*GREET1_Import_Export!$B$62/GREET1_Import_Export!$B$65+Y78*GREET1_Import_Export!$B$63/GREET1_Import_Export!$B$65</f>
        <v>707.48333333333335</v>
      </c>
      <c r="Z88" s="2165">
        <f>Z87+Z77*GREET1_Import_Export!$B$62/GREET1_Import_Export!$B$65+Z78*GREET1_Import_Export!$B$63/GREET1_Import_Export!$B$65</f>
        <v>1343.5748469908615</v>
      </c>
      <c r="AA88" s="2166">
        <f>AA87+AA77*GREET1_Import_Export!$B$62/GREET1_Import_Export!$B$65+AA78*GREET1_Import_Export!$B$63/GREET1_Import_Export!$B$65</f>
        <v>0</v>
      </c>
    </row>
    <row r="89" spans="1:27" s="2144" customFormat="1">
      <c r="A89" s="2142" t="s">
        <v>851</v>
      </c>
      <c r="B89" s="2167">
        <f>B88+SUMPRODUCT(B85:B86,GREET1_Import_Export!$B$51:$B$52)+SUMPRODUCT(B77:B79,GREET1_Import_Export!$B$55:$B$57)+SUMPRODUCT(B83:B84,GREET1_Import_Export!$B$58:$B$59)</f>
        <v>385.47671217813564</v>
      </c>
      <c r="C89" s="2168">
        <f>C88+SUMPRODUCT(C85:C86,GREET1_Import_Export!$B$51:$B$52)+SUMPRODUCT(C77:C79,GREET1_Import_Export!$B$55:$B$57)+SUMPRODUCT(C83:C84,GREET1_Import_Export!$B$58:$B$59)</f>
        <v>1654.8477609093482</v>
      </c>
      <c r="D89" s="2169">
        <f>D88+SUMPRODUCT(D85:D86,GREET1_Import_Export!$B$51:$B$52)+SUMPRODUCT(D77:D79,GREET1_Import_Export!$B$55:$B$57)+SUMPRODUCT(D83:D84,GREET1_Import_Export!$B$58:$B$59)</f>
        <v>385.47671217813564</v>
      </c>
      <c r="E89" s="2170">
        <f>E88+SUMPRODUCT(E85:E86,GREET1_Import_Export!$B$51:$B$52)+SUMPRODUCT(E77:E79,GREET1_Import_Export!$B$55:$B$57)+SUMPRODUCT(E83:E84,GREET1_Import_Export!$B$58:$B$59)</f>
        <v>1654.8477609093482</v>
      </c>
      <c r="F89" s="2171">
        <f>F88+SUMPRODUCT(F85:F86,GREET1_Import_Export!$B$51:$B$52)+SUMPRODUCT(F77:F79,GREET1_Import_Export!$B$55:$B$57)+SUMPRODUCT(F83:F84,GREET1_Import_Export!$B$58:$B$59)</f>
        <v>385.47671217813564</v>
      </c>
      <c r="G89" s="2170">
        <f>G88+SUMPRODUCT(G85:G86,GREET1_Import_Export!$B$51:$B$52)+SUMPRODUCT(G77:G79,GREET1_Import_Export!$B$55:$B$57)+SUMPRODUCT(G83:G84,GREET1_Import_Export!$B$58:$B$59)</f>
        <v>1654.8477609093482</v>
      </c>
      <c r="H89" s="2171">
        <f>H88+SUMPRODUCT(H85:H86,GREET1_Import_Export!$B$51:$B$52)+SUMPRODUCT(H77:H79,GREET1_Import_Export!$B$55:$B$57)+SUMPRODUCT(H83:H84,GREET1_Import_Export!$B$58:$B$59)</f>
        <v>385.47671217813564</v>
      </c>
      <c r="I89" s="2170">
        <f>I88+SUMPRODUCT(I85:I86,GREET1_Import_Export!$B$51:$B$52)+SUMPRODUCT(I77:I79,GREET1_Import_Export!$B$55:$B$57)+SUMPRODUCT(I83:I84,GREET1_Import_Export!$B$58:$B$59)</f>
        <v>1654.8477609093482</v>
      </c>
      <c r="J89" s="2171">
        <f>J88+SUMPRODUCT(J85:J86,GREET1_Import_Export!$B$51:$B$52)+SUMPRODUCT(J77:J79,GREET1_Import_Export!$B$55:$B$57)+SUMPRODUCT(J83:J84,GREET1_Import_Export!$B$58:$B$59)</f>
        <v>385.47671217813564</v>
      </c>
      <c r="K89" s="2170">
        <f>K88+SUMPRODUCT(K85:K86,GREET1_Import_Export!$B$51:$B$52)+SUMPRODUCT(K77:K79,GREET1_Import_Export!$B$55:$B$57)+SUMPRODUCT(K83:K84,GREET1_Import_Export!$B$58:$B$59)</f>
        <v>1654.8477609093482</v>
      </c>
      <c r="L89" s="2171">
        <f>L88+SUMPRODUCT(L85:L86,GREET1_Import_Export!$B$51:$B$52)+SUMPRODUCT(L77:L79,GREET1_Import_Export!$B$55:$B$57)+SUMPRODUCT(L83:L84,GREET1_Import_Export!$B$58:$B$59)</f>
        <v>385.47671217813564</v>
      </c>
      <c r="M89" s="2170">
        <f>M88+SUMPRODUCT(M85:M86,GREET1_Import_Export!$B$51:$B$52)+SUMPRODUCT(M77:M79,GREET1_Import_Export!$B$55:$B$57)+SUMPRODUCT(M83:M84,GREET1_Import_Export!$B$58:$B$59)</f>
        <v>1654.8477609093482</v>
      </c>
      <c r="N89" s="2171">
        <f>N88+SUMPRODUCT(N85:N86,GREET1_Import_Export!$B$51:$B$52)+SUMPRODUCT(N77:N79,GREET1_Import_Export!$B$55:$B$57)+SUMPRODUCT(N83:N84,GREET1_Import_Export!$B$58:$B$59)</f>
        <v>385.47671217813564</v>
      </c>
      <c r="O89" s="2170">
        <f>O88+SUMPRODUCT(O85:O86,GREET1_Import_Export!$B$51:$B$52)+SUMPRODUCT(O77:O79,GREET1_Import_Export!$B$55:$B$57)+SUMPRODUCT(O83:O84,GREET1_Import_Export!$B$58:$B$59)</f>
        <v>1654.8477609093482</v>
      </c>
      <c r="P89" s="2171">
        <f>P88+SUMPRODUCT(P85:P86,GREET1_Import_Export!$B$51:$B$52)+SUMPRODUCT(P77:P79,GREET1_Import_Export!$B$55:$B$57)+SUMPRODUCT(P83:P84,GREET1_Import_Export!$B$58:$B$59)</f>
        <v>385.47671217813564</v>
      </c>
      <c r="Q89" s="2170">
        <f>Q88+SUMPRODUCT(Q85:Q86,GREET1_Import_Export!$B$51:$B$52)+SUMPRODUCT(Q77:Q79,GREET1_Import_Export!$B$55:$B$57)+SUMPRODUCT(Q83:Q84,GREET1_Import_Export!$B$58:$B$59)</f>
        <v>1654.8477609093482</v>
      </c>
      <c r="R89" s="2171">
        <f>R88+SUMPRODUCT(R85:R86,GREET1_Import_Export!$B$51:$B$52)+SUMPRODUCT(R77:R79,GREET1_Import_Export!$B$55:$B$57)+SUMPRODUCT(R83:R84,GREET1_Import_Export!$B$58:$B$59)</f>
        <v>385.47671217813564</v>
      </c>
      <c r="S89" s="2170">
        <f>S88+SUMPRODUCT(S85:S86,GREET1_Import_Export!$B$51:$B$52)+SUMPRODUCT(S77:S79,GREET1_Import_Export!$B$55:$B$57)+SUMPRODUCT(S83:S84,GREET1_Import_Export!$B$58:$B$59)</f>
        <v>1654.8477609093482</v>
      </c>
      <c r="T89" s="2171">
        <f>T88+SUMPRODUCT(T85:T86,GREET1_Import_Export!$B$51:$B$52)+SUMPRODUCT(T77:T79,GREET1_Import_Export!$B$55:$B$57)+SUMPRODUCT(T83:T84,GREET1_Import_Export!$B$58:$B$59)</f>
        <v>281.11868348400441</v>
      </c>
      <c r="U89" s="2170">
        <f>U88+SUMPRODUCT(U85:U86,GREET1_Import_Export!$B$51:$B$52)+SUMPRODUCT(U77:U79,GREET1_Import_Export!$B$55:$B$57)+SUMPRODUCT(U83:U84,GREET1_Import_Export!$B$58:$B$59)</f>
        <v>0</v>
      </c>
      <c r="V89" s="2171">
        <f>V88+SUMPRODUCT(V85:V86,GREET1_Import_Export!$B$51:$B$52)+SUMPRODUCT(V77:V79,GREET1_Import_Export!$B$55:$B$57)+SUMPRODUCT(V83:V84,GREET1_Import_Export!$B$58:$B$59)</f>
        <v>385.47671217813564</v>
      </c>
      <c r="W89" s="2170">
        <f>W88+SUMPRODUCT(W85:W86,GREET1_Import_Export!$B$51:$B$52)+SUMPRODUCT(W77:W79,GREET1_Import_Export!$B$55:$B$57)+SUMPRODUCT(W83:W84,GREET1_Import_Export!$B$58:$B$59)</f>
        <v>1654.8477609093482</v>
      </c>
      <c r="X89" s="2171">
        <f>X88+SUMPRODUCT(X85:X86,GREET1_Import_Export!$B$51:$B$52)+SUMPRODUCT(X77:X79,GREET1_Import_Export!$B$55:$B$57)+SUMPRODUCT(X83:X84,GREET1_Import_Export!$B$58:$B$59)</f>
        <v>110.11700782953959</v>
      </c>
      <c r="Y89" s="2170">
        <f>Y88+SUMPRODUCT(Y85:Y86,GREET1_Import_Export!$B$51:$B$52)+SUMPRODUCT(Y77:Y79,GREET1_Import_Export!$B$55:$B$57)+SUMPRODUCT(Y83:Y84,GREET1_Import_Export!$B$58:$B$59)</f>
        <v>707.48333333333335</v>
      </c>
      <c r="Z89" s="2171">
        <f>Z88+SUMPRODUCT(Z85:Z86,GREET1_Import_Export!$B$51:$B$52)+SUMPRODUCT(Z77:Z79,GREET1_Import_Export!$B$55:$B$57)+SUMPRODUCT(Z83:Z84,GREET1_Import_Export!$B$58:$B$59)</f>
        <v>1655.0354775945095</v>
      </c>
      <c r="AA89" s="2170">
        <f>AA88+SUMPRODUCT(AA85:AA86,GREET1_Import_Export!$B$51:$B$52)+SUMPRODUCT(AA77:AA79,GREET1_Import_Export!$B$55:$B$57)+SUMPRODUCT(AA83:AA84,GREET1_Import_Export!$B$58:$B$59)</f>
        <v>0</v>
      </c>
    </row>
    <row r="90" spans="1:27" s="2136" customFormat="1">
      <c r="A90" s="2155" t="s">
        <v>1031</v>
      </c>
      <c r="B90" s="2141" t="s">
        <v>846</v>
      </c>
      <c r="C90" s="2157" t="s">
        <v>846</v>
      </c>
      <c r="D90" s="2145" t="s">
        <v>846</v>
      </c>
      <c r="E90" s="2156" t="s">
        <v>846</v>
      </c>
      <c r="F90" s="2158" t="s">
        <v>846</v>
      </c>
      <c r="G90" s="2156" t="s">
        <v>846</v>
      </c>
      <c r="H90" s="2158" t="s">
        <v>846</v>
      </c>
      <c r="I90" s="2156" t="s">
        <v>846</v>
      </c>
      <c r="J90" s="2158" t="s">
        <v>846</v>
      </c>
      <c r="K90" s="2156" t="s">
        <v>846</v>
      </c>
      <c r="L90" s="2158" t="s">
        <v>846</v>
      </c>
      <c r="M90" s="2156" t="s">
        <v>846</v>
      </c>
      <c r="N90" s="2158" t="s">
        <v>846</v>
      </c>
      <c r="O90" s="2156" t="s">
        <v>846</v>
      </c>
      <c r="P90" s="2158" t="s">
        <v>846</v>
      </c>
      <c r="Q90" s="2156" t="s">
        <v>846</v>
      </c>
      <c r="R90" s="2158" t="s">
        <v>846</v>
      </c>
      <c r="S90" s="2156" t="s">
        <v>846</v>
      </c>
      <c r="T90" s="2158" t="s">
        <v>846</v>
      </c>
      <c r="U90" s="2156" t="s">
        <v>846</v>
      </c>
      <c r="V90" s="2158" t="s">
        <v>846</v>
      </c>
      <c r="W90" s="2156" t="s">
        <v>846</v>
      </c>
      <c r="X90" s="2158" t="s">
        <v>846</v>
      </c>
      <c r="Y90" s="2156" t="s">
        <v>846</v>
      </c>
      <c r="Z90" s="2158" t="s">
        <v>846</v>
      </c>
      <c r="AA90" s="2156" t="s">
        <v>846</v>
      </c>
    </row>
    <row r="91" spans="1:27" s="2136" customFormat="1">
      <c r="A91" s="2093" t="s">
        <v>821</v>
      </c>
      <c r="B91" s="2133">
        <f t="shared" ref="B91:C98" si="43">D57/2000</f>
        <v>0.29872833502887819</v>
      </c>
      <c r="C91" s="2134">
        <f t="shared" si="43"/>
        <v>3.5300767519125684E-2</v>
      </c>
      <c r="D91" s="2135">
        <f t="shared" ref="D91:S98" si="44" xml:space="preserve"> F57/2000</f>
        <v>0.29872833502887819</v>
      </c>
      <c r="E91" s="2134">
        <f t="shared" si="44"/>
        <v>3.5300767519125684E-2</v>
      </c>
      <c r="F91" s="2135">
        <f t="shared" si="44"/>
        <v>0.29872833502887819</v>
      </c>
      <c r="G91" s="2134">
        <f t="shared" si="44"/>
        <v>3.5300767519125684E-2</v>
      </c>
      <c r="H91" s="2135">
        <f t="shared" si="44"/>
        <v>0.29872833502887819</v>
      </c>
      <c r="I91" s="2134">
        <f t="shared" si="44"/>
        <v>3.5300767519125684E-2</v>
      </c>
      <c r="J91" s="2135">
        <f t="shared" si="44"/>
        <v>0.29872833502887819</v>
      </c>
      <c r="K91" s="2134">
        <f t="shared" si="44"/>
        <v>3.5300767519125684E-2</v>
      </c>
      <c r="L91" s="2135">
        <f t="shared" si="44"/>
        <v>0.29872833502887819</v>
      </c>
      <c r="M91" s="2134">
        <f t="shared" si="44"/>
        <v>3.5300767519125684E-2</v>
      </c>
      <c r="N91" s="2135">
        <f t="shared" si="44"/>
        <v>0.29872833502887819</v>
      </c>
      <c r="O91" s="2134">
        <f t="shared" si="44"/>
        <v>3.5300767519125684E-2</v>
      </c>
      <c r="P91" s="2135">
        <f t="shared" si="44"/>
        <v>0.29872833502887819</v>
      </c>
      <c r="Q91" s="2134">
        <f t="shared" si="44"/>
        <v>3.5300767519125684E-2</v>
      </c>
      <c r="R91" s="2135">
        <f t="shared" si="44"/>
        <v>0.29872833502887819</v>
      </c>
      <c r="S91" s="2134">
        <f t="shared" si="44"/>
        <v>3.5300767519125684E-2</v>
      </c>
      <c r="T91" s="2135">
        <f xml:space="preserve"> SUM(B57:C57)*$A$13/2000</f>
        <v>7.3126593678374929E-2</v>
      </c>
      <c r="U91" s="2134">
        <v>0</v>
      </c>
      <c r="V91" s="2135">
        <f xml:space="preserve"> X57/2000</f>
        <v>0.29872833502887819</v>
      </c>
      <c r="W91" s="2134">
        <f xml:space="preserve"> Y57/2000</f>
        <v>3.5300767519125684E-2</v>
      </c>
      <c r="X91" s="2135">
        <f>V57* $A$14/2000</f>
        <v>3.9316945284435988E-2</v>
      </c>
      <c r="Y91" s="2134">
        <f>W57* $A$14/2000</f>
        <v>158.9</v>
      </c>
      <c r="Z91" s="2135">
        <f>Vehi_Plastics!BR126</f>
        <v>5.4083238127787515E-2</v>
      </c>
      <c r="AA91" s="2134">
        <v>0</v>
      </c>
    </row>
    <row r="92" spans="1:27" s="2136" customFormat="1">
      <c r="A92" s="2093" t="s">
        <v>822</v>
      </c>
      <c r="B92" s="2133">
        <f t="shared" si="43"/>
        <v>5.2080375136729848E-2</v>
      </c>
      <c r="C92" s="2134">
        <f t="shared" si="43"/>
        <v>0.15618003224772312</v>
      </c>
      <c r="D92" s="2135">
        <f t="shared" si="44"/>
        <v>5.2080375136729848E-2</v>
      </c>
      <c r="E92" s="2134">
        <f t="shared" si="44"/>
        <v>0.15618003224772312</v>
      </c>
      <c r="F92" s="2135">
        <f t="shared" si="44"/>
        <v>5.2080375136729848E-2</v>
      </c>
      <c r="G92" s="2134">
        <f t="shared" si="44"/>
        <v>0.15618003224772312</v>
      </c>
      <c r="H92" s="2135">
        <f t="shared" si="44"/>
        <v>5.2080375136729848E-2</v>
      </c>
      <c r="I92" s="2134">
        <f t="shared" si="44"/>
        <v>0.15618003224772312</v>
      </c>
      <c r="J92" s="2135">
        <f t="shared" si="44"/>
        <v>5.2080375136729848E-2</v>
      </c>
      <c r="K92" s="2134">
        <f t="shared" si="44"/>
        <v>0.15618003224772312</v>
      </c>
      <c r="L92" s="2135">
        <f t="shared" si="44"/>
        <v>5.2080375136729848E-2</v>
      </c>
      <c r="M92" s="2134">
        <f t="shared" si="44"/>
        <v>0.15618003224772312</v>
      </c>
      <c r="N92" s="2135">
        <f t="shared" si="44"/>
        <v>5.2080375136729848E-2</v>
      </c>
      <c r="O92" s="2134">
        <f t="shared" si="44"/>
        <v>0.15618003224772312</v>
      </c>
      <c r="P92" s="2135">
        <f t="shared" si="44"/>
        <v>5.2080375136729848E-2</v>
      </c>
      <c r="Q92" s="2134">
        <f t="shared" si="44"/>
        <v>0.15618003224772312</v>
      </c>
      <c r="R92" s="2135">
        <f t="shared" si="44"/>
        <v>5.2080375136729848E-2</v>
      </c>
      <c r="S92" s="2134">
        <f t="shared" si="44"/>
        <v>0.15618003224772312</v>
      </c>
      <c r="T92" s="2135">
        <f t="shared" ref="T92:T98" si="45" xml:space="preserve"> SUM(B58:C58)*$A$13/2000</f>
        <v>4.0891371421104404E-2</v>
      </c>
      <c r="U92" s="2134">
        <v>0</v>
      </c>
      <c r="V92" s="2135">
        <f t="shared" ref="V92:W98" si="46" xml:space="preserve"> X58/2000</f>
        <v>5.2080375136729848E-2</v>
      </c>
      <c r="W92" s="2134">
        <f t="shared" si="46"/>
        <v>0.15618003224772312</v>
      </c>
      <c r="X92" s="2135">
        <f t="shared" ref="X92:Y98" si="47">V58* $A$14/2000</f>
        <v>5.6170243574343668E-3</v>
      </c>
      <c r="Y92" s="2134">
        <f t="shared" si="47"/>
        <v>0</v>
      </c>
      <c r="Z92" s="2135">
        <f>Vehi_Plastics!BR127</f>
        <v>0.12073625327115751</v>
      </c>
      <c r="AA92" s="2134">
        <v>0</v>
      </c>
    </row>
    <row r="93" spans="1:27" s="2136" customFormat="1" ht="15.75">
      <c r="A93" s="2093" t="s">
        <v>2542</v>
      </c>
      <c r="B93" s="2133">
        <f t="shared" si="43"/>
        <v>8.0294959200128996E-2</v>
      </c>
      <c r="C93" s="2134">
        <f t="shared" si="43"/>
        <v>1.1064677985719491</v>
      </c>
      <c r="D93" s="2135">
        <f t="shared" si="44"/>
        <v>8.0294959200128996E-2</v>
      </c>
      <c r="E93" s="2134">
        <f t="shared" si="44"/>
        <v>1.1064677985719491</v>
      </c>
      <c r="F93" s="2135">
        <f t="shared" si="44"/>
        <v>8.0294959200128996E-2</v>
      </c>
      <c r="G93" s="2134">
        <f t="shared" si="44"/>
        <v>1.1064677985719491</v>
      </c>
      <c r="H93" s="2135">
        <f t="shared" si="44"/>
        <v>8.0294959200128996E-2</v>
      </c>
      <c r="I93" s="2134">
        <f t="shared" si="44"/>
        <v>1.1064677985719491</v>
      </c>
      <c r="J93" s="2135">
        <f t="shared" si="44"/>
        <v>8.0294959200128996E-2</v>
      </c>
      <c r="K93" s="2134">
        <f t="shared" si="44"/>
        <v>1.1064677985719491</v>
      </c>
      <c r="L93" s="2135">
        <f t="shared" si="44"/>
        <v>8.0294959200128996E-2</v>
      </c>
      <c r="M93" s="2134">
        <f t="shared" si="44"/>
        <v>1.1064677985719491</v>
      </c>
      <c r="N93" s="2135">
        <f t="shared" si="44"/>
        <v>8.0294959200128996E-2</v>
      </c>
      <c r="O93" s="2134">
        <f t="shared" si="44"/>
        <v>1.1064677985719491</v>
      </c>
      <c r="P93" s="2135">
        <f t="shared" si="44"/>
        <v>8.0294959200128996E-2</v>
      </c>
      <c r="Q93" s="2134">
        <f t="shared" si="44"/>
        <v>1.1064677985719491</v>
      </c>
      <c r="R93" s="2135">
        <f t="shared" si="44"/>
        <v>8.0294959200128996E-2</v>
      </c>
      <c r="S93" s="2134">
        <f t="shared" si="44"/>
        <v>1.1064677985719491</v>
      </c>
      <c r="T93" s="2135">
        <f t="shared" si="45"/>
        <v>6.3759335736521039E-2</v>
      </c>
      <c r="U93" s="2134">
        <v>0</v>
      </c>
      <c r="V93" s="2135">
        <f t="shared" si="46"/>
        <v>8.0294959200128996E-2</v>
      </c>
      <c r="W93" s="2134">
        <f t="shared" si="46"/>
        <v>1.1064677985719491</v>
      </c>
      <c r="X93" s="2135">
        <f t="shared" si="47"/>
        <v>7.8458182078642302E-3</v>
      </c>
      <c r="Y93" s="2134">
        <f t="shared" si="47"/>
        <v>0</v>
      </c>
      <c r="Z93" s="2135">
        <f>Vehi_Plastics!BR128</f>
        <v>0.13964835464299105</v>
      </c>
      <c r="AA93" s="2134">
        <v>0</v>
      </c>
    </row>
    <row r="94" spans="1:27" s="2136" customFormat="1" ht="15.75">
      <c r="A94" s="2093" t="s">
        <v>2543</v>
      </c>
      <c r="B94" s="2133">
        <f t="shared" si="43"/>
        <v>1.7041009317239758E-2</v>
      </c>
      <c r="C94" s="2134">
        <f t="shared" si="43"/>
        <v>0.19705002520947174</v>
      </c>
      <c r="D94" s="2135">
        <f t="shared" si="44"/>
        <v>1.7041009317239758E-2</v>
      </c>
      <c r="E94" s="2134">
        <f t="shared" si="44"/>
        <v>0.19705002520947174</v>
      </c>
      <c r="F94" s="2135">
        <f t="shared" si="44"/>
        <v>1.7041009317239758E-2</v>
      </c>
      <c r="G94" s="2134">
        <f t="shared" si="44"/>
        <v>0.19705002520947174</v>
      </c>
      <c r="H94" s="2135">
        <f t="shared" si="44"/>
        <v>1.7041009317239758E-2</v>
      </c>
      <c r="I94" s="2134">
        <f t="shared" si="44"/>
        <v>0.19705002520947174</v>
      </c>
      <c r="J94" s="2135">
        <f t="shared" si="44"/>
        <v>1.7041009317239758E-2</v>
      </c>
      <c r="K94" s="2134">
        <f t="shared" si="44"/>
        <v>0.19705002520947174</v>
      </c>
      <c r="L94" s="2135">
        <f t="shared" si="44"/>
        <v>1.7041009317239758E-2</v>
      </c>
      <c r="M94" s="2134">
        <f t="shared" si="44"/>
        <v>0.19705002520947174</v>
      </c>
      <c r="N94" s="2135">
        <f t="shared" si="44"/>
        <v>1.7041009317239758E-2</v>
      </c>
      <c r="O94" s="2134">
        <f t="shared" si="44"/>
        <v>0.19705002520947174</v>
      </c>
      <c r="P94" s="2135">
        <f t="shared" si="44"/>
        <v>1.7041009317239758E-2</v>
      </c>
      <c r="Q94" s="2134">
        <f t="shared" si="44"/>
        <v>0.19705002520947174</v>
      </c>
      <c r="R94" s="2135">
        <f t="shared" si="44"/>
        <v>1.7041009317239758E-2</v>
      </c>
      <c r="S94" s="2134">
        <f t="shared" si="44"/>
        <v>0.19705002520947174</v>
      </c>
      <c r="T94" s="2135">
        <f t="shared" si="45"/>
        <v>6.9085924426755757E-3</v>
      </c>
      <c r="U94" s="2134">
        <v>0</v>
      </c>
      <c r="V94" s="2135">
        <f t="shared" si="46"/>
        <v>1.7041009317239758E-2</v>
      </c>
      <c r="W94" s="2134">
        <f t="shared" si="46"/>
        <v>0.19705002520947174</v>
      </c>
      <c r="X94" s="2135">
        <f t="shared" si="47"/>
        <v>1.0096833212554571E-3</v>
      </c>
      <c r="Y94" s="2134">
        <f t="shared" si="47"/>
        <v>0</v>
      </c>
      <c r="Z94" s="2135">
        <f>Vehi_Plastics!BR129</f>
        <v>1.2960480085193687E-2</v>
      </c>
      <c r="AA94" s="2134">
        <v>0</v>
      </c>
    </row>
    <row r="95" spans="1:27" s="2136" customFormat="1" ht="15.75">
      <c r="A95" s="2093" t="s">
        <v>2544</v>
      </c>
      <c r="B95" s="2133">
        <f t="shared" si="43"/>
        <v>1.4872996419596765E-2</v>
      </c>
      <c r="C95" s="2134">
        <f t="shared" si="43"/>
        <v>0.10263425012750457</v>
      </c>
      <c r="D95" s="2135">
        <f t="shared" si="44"/>
        <v>1.4872996419596765E-2</v>
      </c>
      <c r="E95" s="2134">
        <f t="shared" si="44"/>
        <v>0.10263425012750457</v>
      </c>
      <c r="F95" s="2135">
        <f t="shared" si="44"/>
        <v>1.4872996419596765E-2</v>
      </c>
      <c r="G95" s="2134">
        <f t="shared" si="44"/>
        <v>0.10263425012750457</v>
      </c>
      <c r="H95" s="2135">
        <f t="shared" si="44"/>
        <v>1.4872996419596765E-2</v>
      </c>
      <c r="I95" s="2134">
        <f t="shared" si="44"/>
        <v>0.10263425012750457</v>
      </c>
      <c r="J95" s="2135">
        <f t="shared" si="44"/>
        <v>1.4872996419596765E-2</v>
      </c>
      <c r="K95" s="2134">
        <f t="shared" si="44"/>
        <v>0.10263425012750457</v>
      </c>
      <c r="L95" s="2135">
        <f t="shared" si="44"/>
        <v>1.4872996419596765E-2</v>
      </c>
      <c r="M95" s="2134">
        <f t="shared" si="44"/>
        <v>0.10263425012750457</v>
      </c>
      <c r="N95" s="2135">
        <f t="shared" si="44"/>
        <v>1.4872996419596765E-2</v>
      </c>
      <c r="O95" s="2134">
        <f t="shared" si="44"/>
        <v>0.10263425012750457</v>
      </c>
      <c r="P95" s="2135">
        <f t="shared" si="44"/>
        <v>1.4872996419596765E-2</v>
      </c>
      <c r="Q95" s="2134">
        <f t="shared" si="44"/>
        <v>0.10263425012750457</v>
      </c>
      <c r="R95" s="2135">
        <f t="shared" si="44"/>
        <v>1.4872996419596765E-2</v>
      </c>
      <c r="S95" s="2134">
        <f t="shared" si="44"/>
        <v>0.10263425012750457</v>
      </c>
      <c r="T95" s="2135">
        <f t="shared" si="45"/>
        <v>6.2500882074004649E-3</v>
      </c>
      <c r="U95" s="2134">
        <v>0</v>
      </c>
      <c r="V95" s="2135">
        <f t="shared" si="46"/>
        <v>1.4872996419596765E-2</v>
      </c>
      <c r="W95" s="2134">
        <f t="shared" si="46"/>
        <v>0.10263425012750457</v>
      </c>
      <c r="X95" s="2135">
        <f t="shared" si="47"/>
        <v>8.7290243182470962E-4</v>
      </c>
      <c r="Y95" s="2134">
        <f t="shared" si="47"/>
        <v>0</v>
      </c>
      <c r="Z95" s="2135">
        <f>Vehi_Plastics!BR130</f>
        <v>1.0976752727549702E-2</v>
      </c>
      <c r="AA95" s="2134">
        <v>0</v>
      </c>
    </row>
    <row r="96" spans="1:27" s="2136" customFormat="1" ht="15.75">
      <c r="A96" s="2093" t="s">
        <v>2545</v>
      </c>
      <c r="B96" s="2133">
        <f t="shared" si="43"/>
        <v>2.908390302348841E-2</v>
      </c>
      <c r="C96" s="2134">
        <f t="shared" si="43"/>
        <v>2.4833330949362478</v>
      </c>
      <c r="D96" s="2135">
        <f t="shared" si="44"/>
        <v>2.908390302348841E-2</v>
      </c>
      <c r="E96" s="2134">
        <f t="shared" si="44"/>
        <v>2.4833330949362478</v>
      </c>
      <c r="F96" s="2135">
        <f t="shared" si="44"/>
        <v>2.908390302348841E-2</v>
      </c>
      <c r="G96" s="2134">
        <f t="shared" si="44"/>
        <v>2.4833330949362478</v>
      </c>
      <c r="H96" s="2135">
        <f t="shared" si="44"/>
        <v>2.908390302348841E-2</v>
      </c>
      <c r="I96" s="2134">
        <f t="shared" si="44"/>
        <v>2.4833330949362478</v>
      </c>
      <c r="J96" s="2135">
        <f t="shared" si="44"/>
        <v>2.908390302348841E-2</v>
      </c>
      <c r="K96" s="2134">
        <f t="shared" si="44"/>
        <v>2.4833330949362478</v>
      </c>
      <c r="L96" s="2135">
        <f t="shared" si="44"/>
        <v>2.908390302348841E-2</v>
      </c>
      <c r="M96" s="2134">
        <f t="shared" si="44"/>
        <v>2.4833330949362478</v>
      </c>
      <c r="N96" s="2135">
        <f t="shared" si="44"/>
        <v>2.908390302348841E-2</v>
      </c>
      <c r="O96" s="2134">
        <f t="shared" si="44"/>
        <v>2.4833330949362478</v>
      </c>
      <c r="P96" s="2135">
        <f t="shared" si="44"/>
        <v>2.908390302348841E-2</v>
      </c>
      <c r="Q96" s="2134">
        <f t="shared" si="44"/>
        <v>2.4833330949362478</v>
      </c>
      <c r="R96" s="2135">
        <f t="shared" si="44"/>
        <v>2.908390302348841E-2</v>
      </c>
      <c r="S96" s="2134">
        <f t="shared" si="44"/>
        <v>2.4833330949362478</v>
      </c>
      <c r="T96" s="2135">
        <f t="shared" si="45"/>
        <v>1.3166617834043787E-2</v>
      </c>
      <c r="U96" s="2134">
        <v>0</v>
      </c>
      <c r="V96" s="2135">
        <f t="shared" si="46"/>
        <v>2.908390302348841E-2</v>
      </c>
      <c r="W96" s="2134">
        <f t="shared" si="46"/>
        <v>2.4833330949362478</v>
      </c>
      <c r="X96" s="2135">
        <f t="shared" si="47"/>
        <v>4.3877715505939267E-3</v>
      </c>
      <c r="Y96" s="2134">
        <f t="shared" si="47"/>
        <v>0</v>
      </c>
      <c r="Z96" s="2135">
        <f>Vehi_Plastics!BR131</f>
        <v>0.16876605221870142</v>
      </c>
      <c r="AA96" s="2134">
        <v>0</v>
      </c>
    </row>
    <row r="97" spans="1:27" s="2136" customFormat="1">
      <c r="A97" s="2093" t="s">
        <v>827</v>
      </c>
      <c r="B97" s="2133">
        <f t="shared" si="43"/>
        <v>1.7014887749575542E-3</v>
      </c>
      <c r="C97" s="2134">
        <f t="shared" si="43"/>
        <v>6.5070114580837897E-3</v>
      </c>
      <c r="D97" s="2135">
        <f t="shared" si="44"/>
        <v>1.7014887749575542E-3</v>
      </c>
      <c r="E97" s="2134">
        <f t="shared" si="44"/>
        <v>6.5070114580837897E-3</v>
      </c>
      <c r="F97" s="2135">
        <f t="shared" si="44"/>
        <v>1.7014887749575542E-3</v>
      </c>
      <c r="G97" s="2134">
        <f t="shared" si="44"/>
        <v>6.5070114580837897E-3</v>
      </c>
      <c r="H97" s="2135">
        <f t="shared" si="44"/>
        <v>1.7014887749575542E-3</v>
      </c>
      <c r="I97" s="2134">
        <f t="shared" si="44"/>
        <v>6.5070114580837897E-3</v>
      </c>
      <c r="J97" s="2135">
        <f t="shared" si="44"/>
        <v>1.7014887749575542E-3</v>
      </c>
      <c r="K97" s="2134">
        <f t="shared" si="44"/>
        <v>6.5070114580837897E-3</v>
      </c>
      <c r="L97" s="2135">
        <f t="shared" si="44"/>
        <v>1.7014887749575542E-3</v>
      </c>
      <c r="M97" s="2134">
        <f t="shared" si="44"/>
        <v>6.5070114580837897E-3</v>
      </c>
      <c r="N97" s="2135">
        <f t="shared" si="44"/>
        <v>1.7014887749575542E-3</v>
      </c>
      <c r="O97" s="2134">
        <f t="shared" si="44"/>
        <v>6.5070114580837897E-3</v>
      </c>
      <c r="P97" s="2135">
        <f t="shared" si="44"/>
        <v>1.7014887749575542E-3</v>
      </c>
      <c r="Q97" s="2134">
        <f t="shared" si="44"/>
        <v>6.5070114580837897E-3</v>
      </c>
      <c r="R97" s="2135">
        <f t="shared" si="44"/>
        <v>1.7014887749575542E-3</v>
      </c>
      <c r="S97" s="2134">
        <f t="shared" si="44"/>
        <v>6.5070114580837897E-3</v>
      </c>
      <c r="T97" s="2135">
        <f t="shared" si="45"/>
        <v>5.4155415909712596E-4</v>
      </c>
      <c r="U97" s="2134">
        <v>0</v>
      </c>
      <c r="V97" s="2135">
        <f t="shared" si="46"/>
        <v>1.7014887749575542E-3</v>
      </c>
      <c r="W97" s="2134">
        <f t="shared" si="46"/>
        <v>6.5070114580837897E-3</v>
      </c>
      <c r="X97" s="2135">
        <f t="shared" si="47"/>
        <v>4.0013336880006145E-6</v>
      </c>
      <c r="Y97" s="2134">
        <f t="shared" si="47"/>
        <v>0</v>
      </c>
      <c r="Z97" s="2135">
        <f>Vehi_Plastics!BR132</f>
        <v>7.6567281044291212E-4</v>
      </c>
      <c r="AA97" s="2134">
        <v>0</v>
      </c>
    </row>
    <row r="98" spans="1:27" s="2136" customFormat="1">
      <c r="A98" s="2142" t="s">
        <v>828</v>
      </c>
      <c r="B98" s="2140">
        <f t="shared" si="43"/>
        <v>2.2750388153437353E-3</v>
      </c>
      <c r="C98" s="2137">
        <f t="shared" si="43"/>
        <v>4.5159070056102011E-3</v>
      </c>
      <c r="D98" s="2140">
        <f t="shared" si="44"/>
        <v>2.2750388153437353E-3</v>
      </c>
      <c r="E98" s="2137">
        <f t="shared" si="44"/>
        <v>4.5159070056102011E-3</v>
      </c>
      <c r="F98" s="2147">
        <f t="shared" si="44"/>
        <v>2.2750388153437353E-3</v>
      </c>
      <c r="G98" s="2137">
        <f t="shared" si="44"/>
        <v>4.5159070056102011E-3</v>
      </c>
      <c r="H98" s="2147">
        <f t="shared" si="44"/>
        <v>2.2750388153437353E-3</v>
      </c>
      <c r="I98" s="2137">
        <f t="shared" si="44"/>
        <v>4.5159070056102011E-3</v>
      </c>
      <c r="J98" s="2147">
        <f t="shared" si="44"/>
        <v>2.2750388153437353E-3</v>
      </c>
      <c r="K98" s="2137">
        <f t="shared" si="44"/>
        <v>4.5159070056102011E-3</v>
      </c>
      <c r="L98" s="2147">
        <f t="shared" si="44"/>
        <v>2.2750388153437353E-3</v>
      </c>
      <c r="M98" s="2137">
        <f t="shared" si="44"/>
        <v>4.5159070056102011E-3</v>
      </c>
      <c r="N98" s="2147">
        <f t="shared" si="44"/>
        <v>2.2750388153437353E-3</v>
      </c>
      <c r="O98" s="2137">
        <f t="shared" si="44"/>
        <v>4.5159070056102011E-3</v>
      </c>
      <c r="P98" s="2147">
        <f t="shared" si="44"/>
        <v>2.2750388153437353E-3</v>
      </c>
      <c r="Q98" s="2137">
        <f t="shared" si="44"/>
        <v>4.5159070056102011E-3</v>
      </c>
      <c r="R98" s="2147">
        <f t="shared" si="44"/>
        <v>2.2750388153437353E-3</v>
      </c>
      <c r="S98" s="2137">
        <f t="shared" si="44"/>
        <v>4.5159070056102011E-3</v>
      </c>
      <c r="T98" s="2147">
        <f t="shared" si="45"/>
        <v>1.8261672458160364E-3</v>
      </c>
      <c r="U98" s="2137">
        <v>0</v>
      </c>
      <c r="V98" s="2147">
        <f t="shared" si="46"/>
        <v>2.2750388153437353E-3</v>
      </c>
      <c r="W98" s="2137">
        <f t="shared" si="46"/>
        <v>4.5159070056102011E-3</v>
      </c>
      <c r="X98" s="2147">
        <f t="shared" si="47"/>
        <v>7.1300205559022791E-5</v>
      </c>
      <c r="Y98" s="2137">
        <f t="shared" si="47"/>
        <v>0</v>
      </c>
      <c r="Z98" s="2147">
        <f>Vehi_Plastics!BR133</f>
        <v>2.6217862240500698E-3</v>
      </c>
      <c r="AA98" s="2137">
        <v>0</v>
      </c>
    </row>
    <row r="99" spans="1:27" s="2136" customFormat="1"/>
    <row r="100" spans="1:27" s="2136" customFormat="1" ht="15">
      <c r="A100" s="1501" t="s">
        <v>1436</v>
      </c>
      <c r="B100" s="621"/>
      <c r="C100" s="621"/>
      <c r="D100" s="621"/>
      <c r="E100" s="621"/>
      <c r="N100" s="2148"/>
    </row>
    <row r="101" spans="1:27" s="2136" customFormat="1">
      <c r="A101" s="510"/>
      <c r="B101" s="2883" t="s">
        <v>2551</v>
      </c>
      <c r="C101" s="2883" t="s">
        <v>1439</v>
      </c>
      <c r="D101" s="2883" t="s">
        <v>1441</v>
      </c>
      <c r="E101" s="2545" t="s">
        <v>1442</v>
      </c>
      <c r="N101" s="2148"/>
    </row>
    <row r="102" spans="1:27" s="2136" customFormat="1">
      <c r="A102" s="699" t="s">
        <v>1443</v>
      </c>
      <c r="B102" s="2884"/>
      <c r="C102" s="2884"/>
      <c r="D102" s="2884"/>
      <c r="E102" s="2856"/>
      <c r="N102" s="2148"/>
    </row>
    <row r="103" spans="1:27" s="2136" customFormat="1">
      <c r="A103" s="347" t="s">
        <v>816</v>
      </c>
      <c r="B103" s="2885">
        <f t="shared" ref="B103:B108" si="48" xml:space="preserve"> ($B$6*(1+$B$10)*$B70)+($B$6*(1+$B$10)*$B$11*$C70)+($C$6*(1+$C$10)*$D70)+($C$6*(1+$C$10)*$C$11*$E70)+($D$6*(1+$D$10)*$F70)+($D$6*(1+$D$10)*$D$11*$G70)+($E$6*(1+$E$10)*$H70)+($E$6*(1+$E$10)*$E$11*$I70)+($F$6*(1+$F$10)*$J70)+($F$6*(1+$F$10)*$F$11*$K70)+($G$6*(1+$G$10)*$L70)+($G$6*(1+$G$10)*$G$11*$M70)+($H$6*(1+$H$10)*$N70)+($H$6*(1+$H$10)*$H$11*$O70)+($I$6*(1+$I$10)*$P70)+($I$6*(1+$I$10)*$I$11*$Q70)+($J$6*(1+$J$10)*$R70)+($J$6*(1+$J$10)*$J$11*$S70)+($K$6*(1+$K$10)*$T70)+($K$6*(1+$K$10)*$K$11*$U70)+($L$6*(1+$L$10)*$V70)+($L$6*(1+$L$10)*$L$11*$W70)+($M$6*(1+$M$10)*$X70)+($M$6*(1+$M$10)*(1-$M$11)*$Y70)+($N$6*(1+$N$10)*$Z70)+($N$6*(1+$N$10)*$N$11*$AA70)</f>
        <v>74.230562894011413</v>
      </c>
      <c r="C103" s="2885">
        <f t="shared" ref="C103:C108" si="49" xml:space="preserve"> ($B$7*(1+$B$10)*$B70)+($B$7*(1+$B$10)*$B$11*$C70)+($C$7*(1+$C$10)*$D70)+($C$7*(1+$C$10)*$C$11*$E70)+($D$7*(1+$D$10)*$F70)+($D$7*(1+$D$10)*$D$11*$G70)+($E$7*(1+$E$10)*$H70)+($E$7*(1+$E$10)*$E$11*$I70)+($F$7*(1+$F$10)*$J70)+($F$7*(1+$F$10)*$F$11*$K70)+($G$7*(1+$G$10)*$L70)+($G$7*(1+$G$10)*$G$11*$M70)+($H$7*(1+$H$10)*$N70)+($H$7*(1+$H$10)*$H$11*$O70)+($I$7*(1+$I$10)*$P70)+($I$7*(1+$I$10)*$I$11*$Q70)+($J$7*(1+$J$10)*$R70)+($J$7*(1+$J$10)*$J$11*$S70)+($K$7*(1+$K$10)*$T70)+($K$7*(1+$K$10)*$K$11*$U70)+($L$7*(1+$L$10)*$V70)+($L$7*(1+$L$10)*$L$11*$W70)+($M$7*(1+$M$10)*$X70)+($M$7*(1+$M$10)*(1-$M$11)*$Y70)+($N$7*(1+$N$10)*$Z70)+($N$7*(1+$N$10)*$N$11*$AA70)</f>
        <v>73.683804389007463</v>
      </c>
      <c r="D103" s="2885">
        <f t="shared" ref="D103:D108" si="50" xml:space="preserve"> ($B$8*(1+$B$10)*$B70)+($B$8*(1+$B$10)*$B$11*$C70)+($C$8*(1+$C$10)*$D70)+($C$8*(1+$C$10)*$C$11*$E70)+($D$8*(1+$D$10)*$F70)+($D$8*(1+$D$10)*$D$11*$G70)+($E$8*(1+$E$10)*$H70)+($E$8*(1+$E$10)*$E$11*$I70)+($F$8*(1+$F$10)*$J70)+($F$8*(1+$F$10)*$F$11*$K70)+($G$8*(1+$G$10)*$L70)+($G$8*(1+$G$10)*$G$11*$M70)+($H$8*(1+$H$10)*$N70)+($H$8*(1+$H$10)*$H$11*$O70)+($I$8*(1+$I$10)*$P70)+($I$8*(1+$I$10)*$I$11*$Q70)+($J$8*(1+$J$10)*$R70)+($J$8*(1+$J$10)*$J$11*$S70)+($K$8*(1+$K$10)*$T70)+($K$8*(1+$K$10)*$K$11*$U70)+($L$8*(1+$L$10)*$V70)+($L$8*(1+$L$10)*$L$11*$W70)+($M$8*(1+$M$10)*$X70)+($M$8*(1+$M$10)*(1-$M$11)*$Y70)+($N$8*(1+$N$10)*$Z70)+($N$8*(1+$N$10)*$N$11*$AA70)</f>
        <v>29.77922042402254</v>
      </c>
      <c r="E103" s="2886">
        <f t="shared" ref="E103:E108" si="51" xml:space="preserve"> ($B$9*(1+$B$10)*$B70)+($B$9*(1+$B$10)*$B$11*$C70)+($C$9*(1+$C$10)*$D70)+($C$9*(1+$C$10)*$C$11*$E70)+($D$9*(1+$D$10)*$F70)+($D$9*(1+$D$10)*$D$11*$G70)+($E$9*(1+$E$10)*$H70)+($E$9*(1+$E$10)*$E$11*$I70)+($F$9*(1+$F$10)*$J70)+($F$9*(1+$F$10)*$F$11*$K70)+($G$9*(1+$G$10)*$L70)+($G$9*(1+$G$10)*$G$11*$M70)+($H$9*(1+$H$10)*$N70)+($H$9*(1+$H$10)*$H$11*$O70)+($I$9*(1+$I$10)*$P70)+($I$9*(1+$I$10)*$I$11*$Q70)+($J$9*(1+$J$10)*$R70)+($J$9*(1+$J$10)*$J$11*$S70)+($K$9*(1+$K$10)*$T70)+($K$9*(1+$K$10)*$K$11*$U70)+($L$9*(1+$L$10)*$V70)+($L$9*(1+$L$10)*$L$11*$W70)+($M$9*(1+$M$10)*$X70)+($M$9*(1+$M$10)*(1-$M$11)*$Y70)+($N$9*(1+$N$10)*$Z70)+($N$9*(1+$N$10)*$N$11*$AA70)</f>
        <v>29.77922042402254</v>
      </c>
      <c r="N103" s="2148"/>
    </row>
    <row r="104" spans="1:27" s="2136" customFormat="1">
      <c r="A104" s="347" t="s">
        <v>817</v>
      </c>
      <c r="B104" s="2885">
        <f t="shared" si="48"/>
        <v>73.806351800997618</v>
      </c>
      <c r="C104" s="2885">
        <f t="shared" si="49"/>
        <v>73.262451126783773</v>
      </c>
      <c r="D104" s="2885">
        <f t="shared" si="50"/>
        <v>29.594692415275919</v>
      </c>
      <c r="E104" s="2886">
        <f t="shared" si="51"/>
        <v>29.594692415275919</v>
      </c>
      <c r="N104" s="2148"/>
    </row>
    <row r="105" spans="1:27" s="2136" customFormat="1">
      <c r="A105" s="347" t="s">
        <v>805</v>
      </c>
      <c r="B105" s="2885">
        <f t="shared" si="48"/>
        <v>0.54313483185283629</v>
      </c>
      <c r="C105" s="2885">
        <f t="shared" si="49"/>
        <v>0.53949282612244143</v>
      </c>
      <c r="D105" s="2885">
        <f t="shared" si="50"/>
        <v>0.23722049325673211</v>
      </c>
      <c r="E105" s="2886">
        <f t="shared" si="51"/>
        <v>0.23722049325673211</v>
      </c>
      <c r="N105" s="2148"/>
    </row>
    <row r="106" spans="1:27" s="2136" customFormat="1">
      <c r="A106" s="347" t="s">
        <v>804</v>
      </c>
      <c r="B106" s="2885">
        <f t="shared" si="48"/>
        <v>11.238057981104628</v>
      </c>
      <c r="C106" s="2885">
        <f t="shared" si="49"/>
        <v>11.175390857003602</v>
      </c>
      <c r="D106" s="2885">
        <f t="shared" si="50"/>
        <v>5.7581291163180133</v>
      </c>
      <c r="E106" s="2886">
        <f t="shared" si="51"/>
        <v>5.7581291163180133</v>
      </c>
      <c r="N106" s="2148"/>
    </row>
    <row r="107" spans="1:27" s="2136" customFormat="1">
      <c r="A107" s="503" t="s">
        <v>818</v>
      </c>
      <c r="B107" s="2887">
        <f t="shared" si="48"/>
        <v>62.025158988040168</v>
      </c>
      <c r="C107" s="2887">
        <f t="shared" si="49"/>
        <v>61.547567443657741</v>
      </c>
      <c r="D107" s="2887">
        <f t="shared" si="50"/>
        <v>23.599342805701173</v>
      </c>
      <c r="E107" s="2857">
        <f t="shared" si="51"/>
        <v>23.599342805701173</v>
      </c>
      <c r="N107" s="2148"/>
    </row>
    <row r="108" spans="1:27" s="2136" customFormat="1">
      <c r="A108" s="347" t="s">
        <v>819</v>
      </c>
      <c r="B108" s="2885">
        <f t="shared" si="48"/>
        <v>1565.5167563332607</v>
      </c>
      <c r="C108" s="2885">
        <f t="shared" si="49"/>
        <v>1554.016957716452</v>
      </c>
      <c r="D108" s="2885">
        <f t="shared" si="50"/>
        <v>620.73397968828499</v>
      </c>
      <c r="E108" s="2886">
        <f t="shared" si="51"/>
        <v>620.73397968828499</v>
      </c>
      <c r="N108" s="2148"/>
    </row>
    <row r="109" spans="1:27" s="2136" customFormat="1">
      <c r="A109" s="699" t="s">
        <v>1030</v>
      </c>
      <c r="B109" s="2888"/>
      <c r="C109" s="2888"/>
      <c r="D109" s="2888"/>
      <c r="E109" s="2889"/>
      <c r="N109" s="2148"/>
    </row>
    <row r="110" spans="1:27" s="2136" customFormat="1">
      <c r="A110" s="160" t="s">
        <v>821</v>
      </c>
      <c r="B110" s="2885">
        <f t="shared" ref="B110:B122" si="52" xml:space="preserve"> ($B$6*(1+$B$10)*$B77)+($B$6*(1+$B$10)*$B$11*$C77)+($C$6*(1+$C$10)*$D77)+($C$6*(1+$C$10)*$C$11*$E77)+($D$6*(1+$D$10)*$F77)+($D$6*(1+$D$10)*$D$11*$G77)+($E$6*(1+$E$10)*$H77)+($E$6*(1+$E$10)*$E$11*$I77)+($F$6*(1+$F$10)*$J77)+($F$6*(1+$F$10)*$F$11*$K77)+($G$6*(1+$G$10)*$L77)+($G$6*(1+$G$10)*$G$11*$M77)+($H$6*(1+$H$10)*$N77)+($H$6*(1+$H$10)*$H$11*$O77)+($I$6*(1+$I$10)*$P77)+($I$6*(1+$I$10)*$I$11*$Q77)+($J$6*(1+$J$10)*$R77)+($J$6*(1+$J$10)*$J$11*$S77)+($K$6*(1+$K$10)*$T77)+($K$6*(1+$K$10)*$K$11*$U77)+($L$6*(1+$L$10)*$V77)+($L$6*(1+$L$10)*$L$11*$W77)+($M$6*(1+$M$10)*$X77)+($M$6*(1+$M$10)*(1-$M$11)*$Y77)+($N$6*(1+$N$10)*$Z77)+($N$6*(1+$N$10)*$N$11*$AA77)</f>
        <v>62950.022274068491</v>
      </c>
      <c r="C110" s="2885">
        <f t="shared" ref="C110:C122" si="53" xml:space="preserve"> ($B$7*(1+$B$10)*$B77)+($B$7*(1+$B$10)*$B$11*$C77)+($C$7*(1+$C$10)*$D77)+($C$7*(1+$C$10)*$C$11*$E77)+($D$7*(1+$D$10)*$F77)+($D$7*(1+$D$10)*$D$11*$G77)+($E$7*(1+$E$10)*$H77)+($E$7*(1+$E$10)*$E$11*$I77)+($F$7*(1+$F$10)*$J77)+($F$7*(1+$F$10)*$F$11*$K77)+($G$7*(1+$G$10)*$L77)+($G$7*(1+$G$10)*$G$11*$M77)+($H$7*(1+$H$10)*$N77)+($H$7*(1+$H$10)*$H$11*$O77)+($I$7*(1+$I$10)*$P77)+($I$7*(1+$I$10)*$I$11*$Q77)+($J$7*(1+$J$10)*$R77)+($J$7*(1+$J$10)*$J$11*$S77)+($K$7*(1+$K$10)*$T77)+($K$7*(1+$K$10)*$K$11*$U77)+($L$7*(1+$L$10)*$V77)+($L$7*(1+$L$10)*$L$11*$W77)+($M$7*(1+$M$10)*$X77)+($M$7*(1+$M$10)*(1-$M$11)*$Y77)+($N$7*(1+$N$10)*$Z77)+($N$7*(1+$N$10)*$N$11*$AA77)</f>
        <v>62936.807750510146</v>
      </c>
      <c r="D110" s="2885">
        <f t="shared" ref="D110:D122" si="54" xml:space="preserve"> ($B$8*(1+$B$10)*$B77)+($B$8*(1+$B$10)*$B$11*$C77)+($C$8*(1+$C$10)*$D77)+($C$8*(1+$C$10)*$C$11*$E77)+($D$8*(1+$D$10)*$F77)+($D$8*(1+$D$10)*$D$11*$G77)+($E$8*(1+$E$10)*$H77)+($E$8*(1+$E$10)*$E$11*$I77)+($F$8*(1+$F$10)*$J77)+($F$8*(1+$F$10)*$F$11*$K77)+($G$8*(1+$G$10)*$L77)+($G$8*(1+$G$10)*$G$11*$M77)+($H$8*(1+$H$10)*$N77)+($H$8*(1+$H$10)*$H$11*$O77)+($I$8*(1+$I$10)*$P77)+($I$8*(1+$I$10)*$I$11*$Q77)+($J$8*(1+$J$10)*$R77)+($J$8*(1+$J$10)*$J$11*$S77)+($K$8*(1+$K$10)*$T77)+($K$8*(1+$K$10)*$K$11*$U77)+($L$8*(1+$L$10)*$V77)+($L$8*(1+$L$10)*$L$11*$W77)+($M$8*(1+$M$10)*$X77)+($M$8*(1+$M$10)*(1-$M$11)*$Y77)+($N$8*(1+$N$10)*$Z77)+($N$8*(1+$N$10)*$N$11*$AA77)</f>
        <v>61881.265945793013</v>
      </c>
      <c r="E110" s="2886">
        <f t="shared" ref="E110:E122" si="55" xml:space="preserve"> ($B$9*(1+$B$10)*$B77)+($B$9*(1+$B$10)*$B$11*$C77)+($C$9*(1+$C$10)*$D77)+($C$9*(1+$C$10)*$C$11*$E77)+($D$9*(1+$D$10)*$F77)+($D$9*(1+$D$10)*$D$11*$G77)+($E$9*(1+$E$10)*$H77)+($E$9*(1+$E$10)*$E$11*$I77)+($F$9*(1+$F$10)*$J77)+($F$9*(1+$F$10)*$F$11*$K77)+($G$9*(1+$G$10)*$L77)+($G$9*(1+$G$10)*$G$11*$M77)+($H$9*(1+$H$10)*$N77)+($H$9*(1+$H$10)*$H$11*$O77)+($I$9*(1+$I$10)*$P77)+($I$9*(1+$I$10)*$I$11*$Q77)+($J$9*(1+$J$10)*$R77)+($J$9*(1+$J$10)*$J$11*$S77)+($K$9*(1+$K$10)*$T77)+($K$9*(1+$K$10)*$K$11*$U77)+($L$9*(1+$L$10)*$V77)+($L$9*(1+$L$10)*$L$11*$W77)+($M$9*(1+$M$10)*$X77)+($M$9*(1+$M$10)*(1-$M$11)*$Y77)+($N$9*(1+$N$10)*$Z77)+($N$9*(1+$N$10)*$N$11*$AA77)</f>
        <v>61881.265945793013</v>
      </c>
      <c r="N110" s="2148"/>
    </row>
    <row r="111" spans="1:27" s="2136" customFormat="1">
      <c r="A111" s="160" t="s">
        <v>822</v>
      </c>
      <c r="B111" s="2885">
        <f t="shared" si="52"/>
        <v>1482.722641882285</v>
      </c>
      <c r="C111" s="2885">
        <f t="shared" si="53"/>
        <v>1471.7373137663042</v>
      </c>
      <c r="D111" s="2885">
        <f t="shared" si="54"/>
        <v>588.59378124401348</v>
      </c>
      <c r="E111" s="2886">
        <f t="shared" si="55"/>
        <v>588.59378124401348</v>
      </c>
      <c r="N111" s="2148"/>
    </row>
    <row r="112" spans="1:27" s="2136" customFormat="1" ht="15.75">
      <c r="A112" s="160" t="s">
        <v>2542</v>
      </c>
      <c r="B112" s="2885">
        <f t="shared" si="52"/>
        <v>5775.1512714287637</v>
      </c>
      <c r="C112" s="2885">
        <f t="shared" si="53"/>
        <v>5730.8756860862486</v>
      </c>
      <c r="D112" s="2885">
        <f t="shared" si="54"/>
        <v>2213.2359705103122</v>
      </c>
      <c r="E112" s="2886">
        <f t="shared" si="55"/>
        <v>2213.2359705103122</v>
      </c>
      <c r="N112" s="2148"/>
    </row>
    <row r="113" spans="1:14" s="2136" customFormat="1" ht="15.75">
      <c r="A113" s="160" t="s">
        <v>2543</v>
      </c>
      <c r="B113" s="2885">
        <f t="shared" si="52"/>
        <v>915.59460687950025</v>
      </c>
      <c r="C113" s="2885">
        <f t="shared" si="53"/>
        <v>908.51064615265682</v>
      </c>
      <c r="D113" s="2885">
        <f t="shared" si="54"/>
        <v>347.66643851661939</v>
      </c>
      <c r="E113" s="2886">
        <f t="shared" si="55"/>
        <v>347.66643851661939</v>
      </c>
      <c r="N113" s="2148"/>
    </row>
    <row r="114" spans="1:14" s="2136" customFormat="1" ht="15.75">
      <c r="A114" s="160" t="s">
        <v>2544</v>
      </c>
      <c r="B114" s="2885">
        <f t="shared" si="52"/>
        <v>515.49473257873058</v>
      </c>
      <c r="C114" s="2885">
        <f t="shared" si="53"/>
        <v>511.52300666689513</v>
      </c>
      <c r="D114" s="2885">
        <f t="shared" si="54"/>
        <v>196.59728136644014</v>
      </c>
      <c r="E114" s="2886">
        <f t="shared" si="55"/>
        <v>196.59728136644014</v>
      </c>
      <c r="N114" s="2148"/>
    </row>
    <row r="115" spans="1:14" s="2136" customFormat="1" ht="15.75">
      <c r="A115" s="160" t="s">
        <v>2545</v>
      </c>
      <c r="B115" s="2885">
        <f t="shared" si="52"/>
        <v>10470.359328105034</v>
      </c>
      <c r="C115" s="2885">
        <f t="shared" si="53"/>
        <v>10389.029392962108</v>
      </c>
      <c r="D115" s="2885">
        <f t="shared" si="54"/>
        <v>3960.9998630388568</v>
      </c>
      <c r="E115" s="2886">
        <f t="shared" si="55"/>
        <v>3960.9998630388568</v>
      </c>
      <c r="N115" s="2148"/>
    </row>
    <row r="116" spans="1:14" s="2136" customFormat="1">
      <c r="A116" s="160" t="s">
        <v>827</v>
      </c>
      <c r="B116" s="2885">
        <f t="shared" si="52"/>
        <v>39.841559086814044</v>
      </c>
      <c r="C116" s="2885">
        <f t="shared" si="53"/>
        <v>39.535951091781222</v>
      </c>
      <c r="D116" s="2885">
        <f t="shared" si="54"/>
        <v>15.229589683987259</v>
      </c>
      <c r="E116" s="2886">
        <f t="shared" si="55"/>
        <v>15.229589683987259</v>
      </c>
      <c r="N116" s="2148"/>
    </row>
    <row r="117" spans="1:14" s="2136" customFormat="1">
      <c r="A117" s="160" t="s">
        <v>828</v>
      </c>
      <c r="B117" s="2885">
        <f t="shared" si="52"/>
        <v>40.929332495623058</v>
      </c>
      <c r="C117" s="2885">
        <f t="shared" si="53"/>
        <v>40.62274456022719</v>
      </c>
      <c r="D117" s="2885">
        <f t="shared" si="54"/>
        <v>15.948033063918178</v>
      </c>
      <c r="E117" s="2886">
        <f t="shared" si="55"/>
        <v>15.948033063918178</v>
      </c>
      <c r="N117" s="2148"/>
    </row>
    <row r="118" spans="1:14" s="2136" customFormat="1" ht="15.75">
      <c r="A118" s="160" t="s">
        <v>2546</v>
      </c>
      <c r="B118" s="2885">
        <f t="shared" si="52"/>
        <v>7217.7128907141359</v>
      </c>
      <c r="C118" s="2885">
        <f t="shared" si="53"/>
        <v>7165.804660397197</v>
      </c>
      <c r="D118" s="2885">
        <f t="shared" si="54"/>
        <v>2970.5901790279622</v>
      </c>
      <c r="E118" s="2886">
        <f t="shared" si="55"/>
        <v>2970.5901790279622</v>
      </c>
      <c r="N118" s="2148"/>
    </row>
    <row r="119" spans="1:14" s="2136" customFormat="1" ht="15.75">
      <c r="A119" s="160" t="s">
        <v>2547</v>
      </c>
      <c r="B119" s="2885">
        <f t="shared" si="52"/>
        <v>85.563114618465164</v>
      </c>
      <c r="C119" s="2885">
        <f t="shared" si="53"/>
        <v>84.909659910729232</v>
      </c>
      <c r="D119" s="2885">
        <f t="shared" si="54"/>
        <v>32.883520949837902</v>
      </c>
      <c r="E119" s="2886">
        <f t="shared" si="55"/>
        <v>32.883520949837902</v>
      </c>
      <c r="N119" s="2148"/>
    </row>
    <row r="120" spans="1:14" s="2144" customFormat="1" ht="15.75">
      <c r="A120" s="160" t="s">
        <v>2548</v>
      </c>
      <c r="B120" s="2885">
        <f t="shared" si="52"/>
        <v>4392334.9324915139</v>
      </c>
      <c r="C120" s="2885">
        <f t="shared" si="53"/>
        <v>4358698.9618189996</v>
      </c>
      <c r="D120" s="2885">
        <f t="shared" si="54"/>
        <v>1684981.9373198703</v>
      </c>
      <c r="E120" s="2886">
        <f t="shared" si="55"/>
        <v>1684981.9373198703</v>
      </c>
      <c r="N120" s="2173"/>
    </row>
    <row r="121" spans="1:14" s="2144" customFormat="1" ht="15.75">
      <c r="A121" s="160" t="s">
        <v>2550</v>
      </c>
      <c r="B121" s="2885">
        <f t="shared" si="52"/>
        <v>4590859.1613019863</v>
      </c>
      <c r="C121" s="2885">
        <f t="shared" si="53"/>
        <v>4557164.7427059123</v>
      </c>
      <c r="D121" s="2885">
        <f t="shared" si="54"/>
        <v>1878770.1492690707</v>
      </c>
      <c r="E121" s="2886">
        <f t="shared" si="55"/>
        <v>1878770.1492690707</v>
      </c>
      <c r="N121" s="2173"/>
    </row>
    <row r="122" spans="1:14" s="2144" customFormat="1">
      <c r="A122" s="161" t="s">
        <v>851</v>
      </c>
      <c r="B122" s="2887">
        <f t="shared" si="52"/>
        <v>4830064.7733973013</v>
      </c>
      <c r="C122" s="2887">
        <f t="shared" si="53"/>
        <v>4794639.94239417</v>
      </c>
      <c r="D122" s="2887">
        <f t="shared" si="54"/>
        <v>1976601.9876916169</v>
      </c>
      <c r="E122" s="2857">
        <f t="shared" si="55"/>
        <v>1976601.9876916169</v>
      </c>
      <c r="N122" s="2173"/>
    </row>
    <row r="123" spans="1:14" s="2136" customFormat="1">
      <c r="A123" s="699" t="s">
        <v>1031</v>
      </c>
      <c r="B123" s="2888"/>
      <c r="C123" s="2888"/>
      <c r="D123" s="2888"/>
      <c r="E123" s="2889"/>
      <c r="N123" s="2148"/>
    </row>
    <row r="124" spans="1:14" s="2136" customFormat="1">
      <c r="A124" s="160" t="s">
        <v>821</v>
      </c>
      <c r="B124" s="2885">
        <f t="shared" ref="B124:B131" si="56" xml:space="preserve"> ($B$6*(1+$B$10)*$B91)+($B$6*(1+$B$10)*$B$11*$C91)+($C$6*(1+$C$10)*$D91)+($C$6*(1+$C$10)*$C$11*$E91)+($D$6*(1+$D$10)*$F91)+($D$6*(1+$D$10)*$D$11*$G91)+($E$6*(1+$E$10)*$H91)+($E$6*(1+$E$10)*$E$11*$I91)+($F$6*(1+$F$10)*$J91)+($F$6*(1+$F$10)*$F$11*$K91)+($G$6*(1+$G$10)*$L91)+($G$6*(1+$G$10)*$G$11*$M91)+($H$6*(1+$H$10)*$N91)+($H$6*(1+$H$10)*$H$11*$O91)+($I$6*(1+$I$10)*$P91)+($I$6*(1+$I$10)*$I$11*$Q91)+($J$6*(1+$J$10)*$R91)+($J$6*(1+$J$10)*$J$11*$S91)+($K$6*(1+$K$10)*$T91)+($K$6*(1+$K$10)*$K$11*$U91)+($L$6*(1+$L$10)*$V91)+($L$6*(1+$L$10)*$L$11*$W91)+($M$6*(1+$M$10)*$X91)+($M$6*(1+$M$10)*(1-$M$11)*$Y91)+($N$6*(1+$N$10)*$Z91)+($N$6*(1+$N$10)*$N$11*$AA91)</f>
        <v>43843.968596759296</v>
      </c>
      <c r="C124" s="2885">
        <f t="shared" ref="C124:C131" si="57" xml:space="preserve"> ($B$7*(1+$B$10)*$B91)+($B$7*(1+$B$10)*$B$11*$C91)+($C$7*(1+$C$10)*$D91)+($C$7*(1+$C$10)*$C$11*$E91)+($D$7*(1+$D$10)*$F91)+($D$7*(1+$D$10)*$D$11*$G91)+($E$7*(1+$E$10)*$H91)+($E$7*(1+$E$10)*$E$11*$I91)+($F$7*(1+$F$10)*$J91)+($F$7*(1+$F$10)*$F$11*$K91)+($G$7*(1+$G$10)*$L91)+($G$7*(1+$G$10)*$G$11*$M91)+($H$7*(1+$H$10)*$N91)+($H$7*(1+$H$10)*$H$11*$O91)+($I$7*(1+$I$10)*$P91)+($I$7*(1+$I$10)*$I$11*$Q91)+($J$7*(1+$J$10)*$R91)+($J$7*(1+$J$10)*$J$11*$S91)+($K$7*(1+$K$10)*$T91)+($K$7*(1+$K$10)*$K$11*$U91)+($L$7*(1+$L$10)*$V91)+($L$7*(1+$L$10)*$L$11*$W91)+($M$7*(1+$M$10)*$X91)+($M$7*(1+$M$10)*(1-$M$11)*$Y91)+($N$7*(1+$N$10)*$Z91)+($N$7*(1+$N$10)*$N$11*$AA91)</f>
        <v>43836.3001493353</v>
      </c>
      <c r="D124" s="2885">
        <f t="shared" ref="D124:D131" si="58" xml:space="preserve"> ($B$8*(1+$B$10)*$B91)+($B$8*(1+$B$10)*$B$11*$C91)+($C$8*(1+$C$10)*$D91)+($C$8*(1+$C$10)*$C$11*$E91)+($D$8*(1+$D$10)*$F91)+($D$8*(1+$D$10)*$D$11*$G91)+($E$8*(1+$E$10)*$H91)+($E$8*(1+$E$10)*$E$11*$I91)+($F$8*(1+$F$10)*$J91)+($F$8*(1+$F$10)*$F$11*$K91)+($G$8*(1+$G$10)*$L91)+($G$8*(1+$G$10)*$G$11*$M91)+($H$8*(1+$H$10)*$N91)+($H$8*(1+$H$10)*$H$11*$O91)+($I$8*(1+$I$10)*$P91)+($I$8*(1+$I$10)*$I$11*$Q91)+($J$8*(1+$J$10)*$R91)+($J$8*(1+$J$10)*$J$11*$S91)+($K$8*(1+$K$10)*$T91)+($K$8*(1+$K$10)*$K$11*$U91)+($L$8*(1+$L$10)*$V91)+($L$8*(1+$L$10)*$L$11*$W91)+($M$8*(1+$M$10)*$X91)+($M$8*(1+$M$10)*(1-$M$11)*$Y91)+($N$8*(1+$N$10)*$Z91)+($N$8*(1+$N$10)*$N$11*$AA91)</f>
        <v>43225.342731762154</v>
      </c>
      <c r="E124" s="2886">
        <f t="shared" ref="E124:E131" si="59" xml:space="preserve"> ($B$9*(1+$B$10)*$B91)+($B$9*(1+$B$10)*$B$11*$C91)+($C$9*(1+$C$10)*$D91)+($C$9*(1+$C$10)*$C$11*$E91)+($D$9*(1+$D$10)*$F91)+($D$9*(1+$D$10)*$D$11*$G91)+($E$9*(1+$E$10)*$H91)+($E$9*(1+$E$10)*$E$11*$I91)+($F$9*(1+$F$10)*$J91)+($F$9*(1+$F$10)*$F$11*$K91)+($G$9*(1+$G$10)*$L91)+($G$9*(1+$G$10)*$G$11*$M91)+($H$9*(1+$H$10)*$N91)+($H$9*(1+$H$10)*$H$11*$O91)+($I$9*(1+$I$10)*$P91)+($I$9*(1+$I$10)*$I$11*$Q91)+($J$9*(1+$J$10)*$R91)+($J$9*(1+$J$10)*$J$11*$S91)+($K$9*(1+$K$10)*$T91)+($K$9*(1+$K$10)*$K$11*$U91)+($L$9*(1+$L$10)*$V91)+($L$9*(1+$L$10)*$L$11*$W91)+($M$9*(1+$M$10)*$X91)+($M$9*(1+$M$10)*(1-$M$11)*$Y91)+($N$9*(1+$N$10)*$Z91)+($N$9*(1+$N$10)*$N$11*$AA91)</f>
        <v>43225.342731762154</v>
      </c>
      <c r="N124" s="2148"/>
    </row>
    <row r="125" spans="1:14" s="2136" customFormat="1">
      <c r="A125" s="160" t="s">
        <v>822</v>
      </c>
      <c r="B125" s="2885">
        <f t="shared" si="56"/>
        <v>487.93631439203216</v>
      </c>
      <c r="C125" s="2885">
        <f t="shared" si="57"/>
        <v>484.21941987760533</v>
      </c>
      <c r="D125" s="2885">
        <f t="shared" si="58"/>
        <v>187.67397062906431</v>
      </c>
      <c r="E125" s="2886">
        <f t="shared" si="59"/>
        <v>187.67397062906431</v>
      </c>
      <c r="N125" s="2148"/>
    </row>
    <row r="126" spans="1:14" s="2136" customFormat="1" ht="15.75">
      <c r="A126" s="160" t="s">
        <v>2542</v>
      </c>
      <c r="B126" s="2885">
        <f t="shared" si="56"/>
        <v>2512.8445866795973</v>
      </c>
      <c r="C126" s="2885">
        <f t="shared" si="57"/>
        <v>2493.3811451467195</v>
      </c>
      <c r="D126" s="2885">
        <f t="shared" si="58"/>
        <v>951.97089020422197</v>
      </c>
      <c r="E126" s="2886">
        <f t="shared" si="59"/>
        <v>951.97089020422197</v>
      </c>
      <c r="N126" s="2148"/>
    </row>
    <row r="127" spans="1:14" s="2136" customFormat="1" ht="15.75">
      <c r="A127" s="160" t="s">
        <v>2543</v>
      </c>
      <c r="B127" s="2885">
        <f t="shared" si="56"/>
        <v>454.69253147538279</v>
      </c>
      <c r="C127" s="2885">
        <f t="shared" si="57"/>
        <v>451.16106964101272</v>
      </c>
      <c r="D127" s="2885">
        <f t="shared" si="58"/>
        <v>171.84105539516514</v>
      </c>
      <c r="E127" s="2886">
        <f t="shared" si="59"/>
        <v>171.84105539516514</v>
      </c>
      <c r="N127" s="2148"/>
    </row>
    <row r="128" spans="1:14" s="2136" customFormat="1" ht="15.75">
      <c r="A128" s="160" t="s">
        <v>2544</v>
      </c>
      <c r="B128" s="2885">
        <f t="shared" si="56"/>
        <v>255.85937934695397</v>
      </c>
      <c r="C128" s="2885">
        <f t="shared" si="57"/>
        <v>253.87729850933434</v>
      </c>
      <c r="D128" s="2885">
        <f t="shared" si="58"/>
        <v>96.924587973164108</v>
      </c>
      <c r="E128" s="2886">
        <f t="shared" si="59"/>
        <v>96.924587973164108</v>
      </c>
      <c r="N128" s="2148"/>
    </row>
    <row r="129" spans="1:14" s="2136" customFormat="1" ht="15.75">
      <c r="A129" s="160" t="s">
        <v>2545</v>
      </c>
      <c r="B129" s="2885">
        <f t="shared" si="56"/>
        <v>5143.7018717103911</v>
      </c>
      <c r="C129" s="2885">
        <f t="shared" si="57"/>
        <v>5103.61473552807</v>
      </c>
      <c r="D129" s="2885">
        <f t="shared" si="58"/>
        <v>1937.8999522505203</v>
      </c>
      <c r="E129" s="2886">
        <f t="shared" si="59"/>
        <v>1937.8999522505203</v>
      </c>
      <c r="N129" s="2148"/>
    </row>
    <row r="130" spans="1:14" s="2136" customFormat="1">
      <c r="A130" s="160" t="s">
        <v>827</v>
      </c>
      <c r="B130" s="2885">
        <f t="shared" si="56"/>
        <v>18.556909461804416</v>
      </c>
      <c r="C130" s="2885">
        <f t="shared" si="57"/>
        <v>18.413195543187854</v>
      </c>
      <c r="D130" s="2885">
        <f t="shared" si="58"/>
        <v>7.0263636537600735</v>
      </c>
      <c r="E130" s="2886">
        <f t="shared" si="59"/>
        <v>7.0263636537600735</v>
      </c>
      <c r="N130" s="2148"/>
    </row>
    <row r="131" spans="1:14" s="2136" customFormat="1">
      <c r="A131" s="161" t="s">
        <v>828</v>
      </c>
      <c r="B131" s="2887">
        <f t="shared" si="56"/>
        <v>16.58632823615222</v>
      </c>
      <c r="C131" s="2887">
        <f t="shared" si="57"/>
        <v>16.460552759901134</v>
      </c>
      <c r="D131" s="2887">
        <f t="shared" si="58"/>
        <v>6.3921194494031353</v>
      </c>
      <c r="E131" s="2857">
        <f t="shared" si="59"/>
        <v>6.3921194494031353</v>
      </c>
      <c r="N131" s="2148"/>
    </row>
    <row r="132" spans="1:14">
      <c r="M132" s="2082"/>
      <c r="N132" s="2081"/>
    </row>
    <row r="133" spans="1:14">
      <c r="M133" s="2082"/>
      <c r="N133" s="2081"/>
    </row>
    <row r="134" spans="1:14">
      <c r="M134" s="2082"/>
      <c r="N134" s="2081"/>
    </row>
    <row r="135" spans="1:14">
      <c r="M135" s="2082"/>
      <c r="N135" s="2081"/>
    </row>
    <row r="136" spans="1:14">
      <c r="M136" s="2082"/>
      <c r="N136" s="2081"/>
    </row>
    <row r="137" spans="1:14">
      <c r="M137" s="2082"/>
      <c r="N137" s="2081"/>
    </row>
    <row r="138" spans="1:14">
      <c r="M138" s="2082"/>
      <c r="N138" s="2081"/>
    </row>
    <row r="139" spans="1:14">
      <c r="M139" s="2082"/>
      <c r="N139" s="2081"/>
    </row>
    <row r="140" spans="1:14">
      <c r="M140" s="2082"/>
      <c r="N140" s="2081"/>
    </row>
    <row r="141" spans="1:14">
      <c r="M141" s="2082"/>
      <c r="N141" s="2081"/>
    </row>
    <row r="142" spans="1:14">
      <c r="M142" s="2082"/>
      <c r="N142" s="2081"/>
    </row>
    <row r="143" spans="1:14">
      <c r="M143" s="2082"/>
      <c r="N143" s="2081"/>
    </row>
    <row r="144" spans="1:14">
      <c r="M144" s="2082"/>
      <c r="N144" s="2081"/>
    </row>
    <row r="145" spans="13:14">
      <c r="M145" s="2082"/>
      <c r="N145" s="2081"/>
    </row>
    <row r="146" spans="13:14">
      <c r="M146" s="2082"/>
      <c r="N146" s="2081"/>
    </row>
    <row r="147" spans="13:14">
      <c r="M147" s="2082"/>
      <c r="N147" s="2081"/>
    </row>
    <row r="148" spans="13:14">
      <c r="M148" s="2082"/>
      <c r="N148" s="2081"/>
    </row>
    <row r="149" spans="13:14">
      <c r="M149" s="2082"/>
      <c r="N149" s="2081"/>
    </row>
    <row r="150" spans="13:14">
      <c r="M150" s="2082"/>
      <c r="N150" s="2081"/>
    </row>
    <row r="151" spans="13:14">
      <c r="M151" s="2082"/>
      <c r="N151" s="2081"/>
    </row>
    <row r="152" spans="13:14">
      <c r="M152" s="2082"/>
      <c r="N152" s="2081"/>
    </row>
    <row r="153" spans="13:14">
      <c r="M153" s="2082"/>
      <c r="N153" s="2081"/>
    </row>
    <row r="154" spans="13:14">
      <c r="M154" s="2082"/>
      <c r="N154" s="2081"/>
    </row>
    <row r="155" spans="13:14">
      <c r="M155" s="2082"/>
      <c r="N155" s="2081"/>
    </row>
    <row r="156" spans="13:14">
      <c r="M156" s="2082"/>
      <c r="N156" s="2081"/>
    </row>
    <row r="157" spans="13:14">
      <c r="M157" s="2082"/>
      <c r="N157" s="2081"/>
    </row>
    <row r="158" spans="13:14">
      <c r="M158" s="2082"/>
      <c r="N158" s="2081"/>
    </row>
    <row r="159" spans="13:14">
      <c r="M159" s="2082"/>
      <c r="N159" s="2081"/>
    </row>
    <row r="160" spans="13:14">
      <c r="M160" s="2082"/>
      <c r="N160" s="2081"/>
    </row>
  </sheetData>
  <mergeCells count="25">
    <mergeCell ref="Z67:AA67"/>
    <mergeCell ref="N67:O67"/>
    <mergeCell ref="P67:Q67"/>
    <mergeCell ref="R67:S67"/>
    <mergeCell ref="T67:U67"/>
    <mergeCell ref="V67:W67"/>
    <mergeCell ref="X67:Y67"/>
    <mergeCell ref="B67:C67"/>
    <mergeCell ref="D67:E67"/>
    <mergeCell ref="F67:G67"/>
    <mergeCell ref="H67:I67"/>
    <mergeCell ref="J67:K67"/>
    <mergeCell ref="L67:M67"/>
    <mergeCell ref="N22:O22"/>
    <mergeCell ref="P22:Q22"/>
    <mergeCell ref="R22:S22"/>
    <mergeCell ref="T22:U22"/>
    <mergeCell ref="V22:W22"/>
    <mergeCell ref="X22:Y22"/>
    <mergeCell ref="B22:C22"/>
    <mergeCell ref="D22:E22"/>
    <mergeCell ref="F22:G22"/>
    <mergeCell ref="H22:I22"/>
    <mergeCell ref="J22:K22"/>
    <mergeCell ref="L22:M22"/>
  </mergeCell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1314EB16-753D-4A26-B50A-270F1DA9BE30}">
            <xm:f>OR(MHDV_Inputs!$B$3=2,MHDV_Inputs!$B$3=3)</xm:f>
            <x14:dxf>
              <fill>
                <patternFill>
                  <bgColor theme="1" tint="0.24994659260841701"/>
                </patternFill>
              </fill>
            </x14:dxf>
          </x14:cfRule>
          <xm:sqref>B7:N7 C102:C131</xm:sqref>
        </x14:conditionalFormatting>
      </x14:conditionalFormatting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5">
    <tabColor theme="9" tint="0.59999389629810485"/>
  </sheetPr>
  <dimension ref="A1:AA157"/>
  <sheetViews>
    <sheetView showGridLines="0" zoomScale="85" zoomScaleNormal="85" workbookViewId="0"/>
  </sheetViews>
  <sheetFormatPr defaultColWidth="9.140625" defaultRowHeight="12.75"/>
  <cols>
    <col min="1" max="1" width="49.85546875" style="2081" customWidth="1"/>
    <col min="2" max="2" width="17.140625" style="2081" customWidth="1"/>
    <col min="3" max="3" width="14.42578125" style="2081" customWidth="1"/>
    <col min="4" max="4" width="17.5703125" style="2081" customWidth="1"/>
    <col min="5" max="5" width="15.28515625" style="2081" customWidth="1"/>
    <col min="6" max="6" width="11.85546875" style="2081" bestFit="1" customWidth="1"/>
    <col min="7" max="7" width="12.7109375" style="2081" bestFit="1" customWidth="1"/>
    <col min="8" max="8" width="13.7109375" style="2081" customWidth="1"/>
    <col min="9" max="9" width="12.7109375" style="2081" bestFit="1" customWidth="1"/>
    <col min="10" max="10" width="14.140625" style="2081" customWidth="1"/>
    <col min="11" max="11" width="12.7109375" style="2081" bestFit="1" customWidth="1"/>
    <col min="12" max="12" width="13.85546875" style="2081" customWidth="1"/>
    <col min="13" max="13" width="17.140625" style="2081" customWidth="1"/>
    <col min="14" max="14" width="15.5703125" style="2082" customWidth="1"/>
    <col min="15" max="15" width="16.42578125" style="2081" customWidth="1"/>
    <col min="16" max="16" width="14.140625" style="2081" customWidth="1"/>
    <col min="17" max="17" width="15.5703125" style="2081" customWidth="1"/>
    <col min="18" max="18" width="16.85546875" style="2081" customWidth="1"/>
    <col min="19" max="19" width="18.7109375" style="2081" customWidth="1"/>
    <col min="20" max="20" width="14.28515625" style="2081" customWidth="1"/>
    <col min="21" max="21" width="14.85546875" style="2081" customWidth="1"/>
    <col min="22" max="22" width="14.7109375" style="2081" customWidth="1"/>
    <col min="23" max="24" width="14" style="2081" customWidth="1"/>
    <col min="25" max="25" width="13.85546875" style="2081" customWidth="1"/>
    <col min="26" max="26" width="12.85546875" style="2081" customWidth="1"/>
    <col min="27" max="27" width="12.28515625" style="2081" customWidth="1"/>
    <col min="28" max="16384" width="9.140625" style="2081"/>
  </cols>
  <sheetData>
    <row r="1" spans="1:14" ht="15.75">
      <c r="A1" s="2080" t="s">
        <v>2552</v>
      </c>
    </row>
    <row r="2" spans="1:14">
      <c r="A2" s="2083"/>
    </row>
    <row r="3" spans="1:14" s="521" customFormat="1" ht="15">
      <c r="A3" s="134" t="s">
        <v>2705</v>
      </c>
      <c r="N3" s="2890"/>
    </row>
    <row r="4" spans="1:14" ht="25.5">
      <c r="A4" s="393"/>
      <c r="B4" s="1539" t="s">
        <v>157</v>
      </c>
      <c r="C4" s="2837" t="s">
        <v>2339</v>
      </c>
      <c r="D4" s="2837" t="s">
        <v>2673</v>
      </c>
      <c r="E4" s="2837" t="s">
        <v>2494</v>
      </c>
      <c r="F4" s="2838" t="s">
        <v>2342</v>
      </c>
      <c r="G4" s="2838" t="s">
        <v>2674</v>
      </c>
      <c r="H4" s="2838" t="s">
        <v>158</v>
      </c>
      <c r="I4" s="2838" t="s">
        <v>159</v>
      </c>
      <c r="J4" s="2837" t="s">
        <v>160</v>
      </c>
      <c r="K4" s="2837" t="s">
        <v>161</v>
      </c>
      <c r="L4" s="2838" t="s">
        <v>2344</v>
      </c>
      <c r="M4" s="2837" t="s">
        <v>162</v>
      </c>
      <c r="N4" s="2839" t="s">
        <v>163</v>
      </c>
    </row>
    <row r="5" spans="1:14">
      <c r="A5" s="393" t="s">
        <v>2553</v>
      </c>
      <c r="B5" s="2539"/>
      <c r="C5" s="2539"/>
      <c r="D5" s="2539"/>
      <c r="E5" s="2539"/>
      <c r="F5" s="2539"/>
      <c r="G5" s="2539"/>
      <c r="H5" s="392"/>
      <c r="I5" s="392"/>
      <c r="J5" s="2539"/>
      <c r="K5" s="2539"/>
      <c r="L5" s="392"/>
      <c r="M5" s="2539"/>
      <c r="N5" s="2540"/>
    </row>
    <row r="6" spans="1:14">
      <c r="A6" s="2891" t="s">
        <v>2554</v>
      </c>
      <c r="B6" s="2892">
        <f xml:space="preserve"> MHDV_Inputs!C161</f>
        <v>0</v>
      </c>
      <c r="C6" s="2892">
        <f xml:space="preserve"> MHDV_Inputs!D161</f>
        <v>0</v>
      </c>
      <c r="D6" s="2892">
        <f xml:space="preserve"> MHDV_Inputs!E161</f>
        <v>45.181609883549996</v>
      </c>
      <c r="E6" s="2892">
        <f xml:space="preserve"> MHDV_Inputs!F161</f>
        <v>0</v>
      </c>
      <c r="F6" s="2892">
        <f xml:space="preserve"> MHDV_Inputs!G161</f>
        <v>0</v>
      </c>
      <c r="G6" s="2892">
        <f xml:space="preserve"> MHDV_Inputs!H161</f>
        <v>38.01</v>
      </c>
      <c r="H6" s="2892">
        <f xml:space="preserve"> MHDV_Inputs!I161</f>
        <v>0</v>
      </c>
      <c r="I6" s="2892">
        <f xml:space="preserve"> MHDV_Inputs!J161</f>
        <v>0</v>
      </c>
      <c r="J6" s="2892">
        <f xml:space="preserve"> MHDV_Inputs!K161</f>
        <v>0</v>
      </c>
      <c r="K6" s="2892">
        <f xml:space="preserve"> MHDV_Inputs!L161</f>
        <v>0</v>
      </c>
      <c r="L6" s="2892">
        <f xml:space="preserve"> MHDV_Inputs!M161</f>
        <v>0</v>
      </c>
      <c r="M6" s="2892">
        <f xml:space="preserve"> MHDV_Inputs!N161</f>
        <v>0</v>
      </c>
      <c r="N6" s="2893">
        <f xml:space="preserve"> MHDV_Inputs!O161</f>
        <v>0</v>
      </c>
    </row>
    <row r="7" spans="1:14">
      <c r="A7" s="1424" t="s">
        <v>2555</v>
      </c>
      <c r="B7" s="2894">
        <f xml:space="preserve"> MHDV_Inputs!B165</f>
        <v>0</v>
      </c>
      <c r="C7" s="2894">
        <f xml:space="preserve"> MHDV_Inputs!C165</f>
        <v>0</v>
      </c>
      <c r="D7" s="2894">
        <f xml:space="preserve"> MHDV_Inputs!D165</f>
        <v>1</v>
      </c>
      <c r="E7" s="2894">
        <f xml:space="preserve"> MHDV_Inputs!E165</f>
        <v>0</v>
      </c>
      <c r="F7" s="2894">
        <f xml:space="preserve"> MHDV_Inputs!F165</f>
        <v>0</v>
      </c>
      <c r="G7" s="2894">
        <f xml:space="preserve"> MHDV_Inputs!G165</f>
        <v>1</v>
      </c>
      <c r="H7" s="2894">
        <f xml:space="preserve"> MHDV_Inputs!H165</f>
        <v>0</v>
      </c>
      <c r="I7" s="2894">
        <f xml:space="preserve"> MHDV_Inputs!I165</f>
        <v>0</v>
      </c>
      <c r="J7" s="2894">
        <f xml:space="preserve"> MHDV_Inputs!J165</f>
        <v>0</v>
      </c>
      <c r="K7" s="2894">
        <f xml:space="preserve"> MHDV_Inputs!K165</f>
        <v>0</v>
      </c>
      <c r="L7" s="2894">
        <f xml:space="preserve"> MHDV_Inputs!L165</f>
        <v>0</v>
      </c>
      <c r="M7" s="2894">
        <f xml:space="preserve"> MHDV_Inputs!M165</f>
        <v>0</v>
      </c>
      <c r="N7" s="2895">
        <f xml:space="preserve"> MHDV_Inputs!N165</f>
        <v>0</v>
      </c>
    </row>
    <row r="8" spans="1:14">
      <c r="A8" s="589" t="s">
        <v>1428</v>
      </c>
      <c r="B8" s="2896">
        <f xml:space="preserve"> MHDV_Inputs!B129</f>
        <v>0.66666666666666663</v>
      </c>
      <c r="C8" s="2896">
        <f xml:space="preserve"> MHDV_Inputs!C129</f>
        <v>0.66666666666666663</v>
      </c>
      <c r="D8" s="2896">
        <f xml:space="preserve"> MHDV_Inputs!D129</f>
        <v>0.66666666666666663</v>
      </c>
      <c r="E8" s="2896">
        <f xml:space="preserve"> MHDV_Inputs!E129</f>
        <v>0.66666666666666663</v>
      </c>
      <c r="F8" s="2896">
        <f xml:space="preserve"> MHDV_Inputs!F129</f>
        <v>0.66666666666666663</v>
      </c>
      <c r="G8" s="2896">
        <f xml:space="preserve"> MHDV_Inputs!G129</f>
        <v>0.66666666666666663</v>
      </c>
      <c r="H8" s="2896">
        <f xml:space="preserve"> MHDV_Inputs!H129</f>
        <v>0.66666666666666663</v>
      </c>
      <c r="I8" s="2896">
        <f xml:space="preserve"> MHDV_Inputs!I129</f>
        <v>0.66666666666666663</v>
      </c>
      <c r="J8" s="2896">
        <f xml:space="preserve"> MHDV_Inputs!J129</f>
        <v>0.66666666666666663</v>
      </c>
      <c r="K8" s="2896">
        <f xml:space="preserve"> MHDV_Inputs!K129</f>
        <v>0.66666666666666663</v>
      </c>
      <c r="L8" s="2896">
        <f xml:space="preserve"> MHDV_Inputs!L129</f>
        <v>0.66666666666666663</v>
      </c>
      <c r="M8" s="2896">
        <f xml:space="preserve"> MHDV_Inputs!M129</f>
        <v>0</v>
      </c>
      <c r="N8" s="2897">
        <f xml:space="preserve"> MHDV_Inputs!N129</f>
        <v>0.66666666666666663</v>
      </c>
    </row>
    <row r="9" spans="1:14">
      <c r="A9" s="2083"/>
    </row>
    <row r="10" spans="1:14">
      <c r="A10" s="2105">
        <f>Mat_Inputs!B165</f>
        <v>0.5</v>
      </c>
      <c r="B10" s="2081" t="s">
        <v>321</v>
      </c>
    </row>
    <row r="11" spans="1:14">
      <c r="A11" s="2106">
        <f>Mat_Inputs!B166</f>
        <v>0.5</v>
      </c>
      <c r="B11" s="2081" t="s">
        <v>322</v>
      </c>
    </row>
    <row r="12" spans="1:14">
      <c r="A12" s="2083"/>
    </row>
    <row r="13" spans="1:14" ht="15">
      <c r="A13" s="2084" t="s">
        <v>762</v>
      </c>
    </row>
    <row r="14" spans="1:14">
      <c r="A14" s="2085" t="s">
        <v>769</v>
      </c>
      <c r="B14" s="2107">
        <v>1</v>
      </c>
    </row>
    <row r="15" spans="1:14">
      <c r="A15" s="2096" t="s">
        <v>770</v>
      </c>
      <c r="B15" s="940">
        <v>1</v>
      </c>
    </row>
    <row r="16" spans="1:14">
      <c r="A16" s="2097" t="s">
        <v>773</v>
      </c>
      <c r="B16" s="942">
        <v>1</v>
      </c>
    </row>
    <row r="18" spans="1:25" ht="15">
      <c r="A18" s="2084" t="s">
        <v>784</v>
      </c>
    </row>
    <row r="19" spans="1:25" ht="24" customHeight="1">
      <c r="A19" s="2176"/>
      <c r="B19" s="2980" t="s">
        <v>588</v>
      </c>
      <c r="C19" s="2981"/>
      <c r="D19" s="3020" t="s">
        <v>157</v>
      </c>
      <c r="E19" s="3022"/>
      <c r="F19" s="3020" t="s">
        <v>2339</v>
      </c>
      <c r="G19" s="3022"/>
      <c r="H19" s="3020" t="s">
        <v>2673</v>
      </c>
      <c r="I19" s="3022"/>
      <c r="J19" s="3020" t="s">
        <v>2341</v>
      </c>
      <c r="K19" s="3022"/>
      <c r="L19" s="3020" t="s">
        <v>2342</v>
      </c>
      <c r="M19" s="3022"/>
      <c r="N19" s="3020" t="s">
        <v>2674</v>
      </c>
      <c r="O19" s="3022"/>
      <c r="P19" s="3020" t="s">
        <v>158</v>
      </c>
      <c r="Q19" s="3022"/>
      <c r="R19" s="3020" t="s">
        <v>159</v>
      </c>
      <c r="S19" s="3022"/>
      <c r="T19" s="3020" t="s">
        <v>160</v>
      </c>
      <c r="U19" s="3022"/>
      <c r="V19" s="3020" t="s">
        <v>1429</v>
      </c>
      <c r="W19" s="3022"/>
      <c r="X19" s="3020" t="s">
        <v>2344</v>
      </c>
      <c r="Y19" s="3022"/>
    </row>
    <row r="20" spans="1:25" ht="67.5" customHeight="1">
      <c r="A20" s="2177"/>
      <c r="B20" s="1673" t="s">
        <v>785</v>
      </c>
      <c r="C20" s="1674" t="s">
        <v>786</v>
      </c>
      <c r="D20" s="2898" t="s">
        <v>1430</v>
      </c>
      <c r="E20" s="2898" t="s">
        <v>1431</v>
      </c>
      <c r="F20" s="2899" t="s">
        <v>1430</v>
      </c>
      <c r="G20" s="2900" t="s">
        <v>1431</v>
      </c>
      <c r="H20" s="2899" t="s">
        <v>1430</v>
      </c>
      <c r="I20" s="2900" t="s">
        <v>1431</v>
      </c>
      <c r="J20" s="2899" t="s">
        <v>1430</v>
      </c>
      <c r="K20" s="2900" t="s">
        <v>1431</v>
      </c>
      <c r="L20" s="2899" t="s">
        <v>1430</v>
      </c>
      <c r="M20" s="2900" t="s">
        <v>1431</v>
      </c>
      <c r="N20" s="2898" t="s">
        <v>1430</v>
      </c>
      <c r="O20" s="2898" t="s">
        <v>1431</v>
      </c>
      <c r="P20" s="2899" t="s">
        <v>1430</v>
      </c>
      <c r="Q20" s="2900" t="s">
        <v>1431</v>
      </c>
      <c r="R20" s="2898" t="s">
        <v>1430</v>
      </c>
      <c r="S20" s="2898" t="s">
        <v>1431</v>
      </c>
      <c r="T20" s="2899" t="s">
        <v>1430</v>
      </c>
      <c r="U20" s="2900" t="s">
        <v>1431</v>
      </c>
      <c r="V20" s="2898" t="s">
        <v>1430</v>
      </c>
      <c r="W20" s="2900" t="s">
        <v>1432</v>
      </c>
      <c r="X20" s="2899" t="s">
        <v>1430</v>
      </c>
      <c r="Y20" s="2900" t="s">
        <v>1431</v>
      </c>
    </row>
    <row r="21" spans="1:25" ht="25.5">
      <c r="A21" s="2913" t="s">
        <v>797</v>
      </c>
      <c r="B21" s="377">
        <f>Mat_Inputs!B507</f>
        <v>29.654</v>
      </c>
      <c r="C21" s="395"/>
      <c r="D21" s="2115"/>
      <c r="E21" s="2086"/>
      <c r="F21" s="2116"/>
      <c r="G21" s="2117"/>
      <c r="H21" s="2116"/>
      <c r="I21" s="2117"/>
      <c r="J21" s="2116"/>
      <c r="K21" s="2117"/>
      <c r="L21" s="2116"/>
      <c r="M21" s="2117"/>
      <c r="N21" s="2086"/>
      <c r="O21" s="2117"/>
      <c r="P21" s="2113"/>
      <c r="Q21" s="2114"/>
      <c r="R21" s="2118"/>
      <c r="S21" s="2119"/>
      <c r="T21" s="2113"/>
      <c r="U21" s="2114"/>
      <c r="V21" s="2118"/>
      <c r="W21" s="2114"/>
      <c r="X21" s="2113"/>
      <c r="Y21" s="2114"/>
    </row>
    <row r="22" spans="1:25">
      <c r="A22" s="2914" t="s">
        <v>798</v>
      </c>
      <c r="B22" s="382"/>
      <c r="C22" s="395"/>
      <c r="D22" s="2120"/>
      <c r="E22" s="2127">
        <v>0.5</v>
      </c>
      <c r="F22" s="2130"/>
      <c r="G22" s="2124">
        <v>0.5</v>
      </c>
      <c r="H22" s="2123"/>
      <c r="I22" s="2124">
        <v>0.5</v>
      </c>
      <c r="J22" s="2123"/>
      <c r="K22" s="2124">
        <v>0.5</v>
      </c>
      <c r="L22" s="2123"/>
      <c r="M22" s="2124">
        <v>0.5</v>
      </c>
      <c r="N22" s="2125"/>
      <c r="O22" s="2124">
        <v>0.5</v>
      </c>
      <c r="P22" s="2120"/>
      <c r="Q22" s="2124">
        <v>0.5</v>
      </c>
      <c r="R22" s="2126"/>
      <c r="S22" s="2127">
        <v>0.5</v>
      </c>
      <c r="T22" s="2120"/>
      <c r="U22" s="2128">
        <v>0.5</v>
      </c>
      <c r="V22" s="2126"/>
      <c r="W22" s="2129">
        <f>GREET1_Import_Export!$B$166</f>
        <v>0.7</v>
      </c>
      <c r="X22" s="2120"/>
      <c r="Y22" s="2128">
        <v>0.5</v>
      </c>
    </row>
    <row r="23" spans="1:25">
      <c r="A23" s="2309" t="s">
        <v>799</v>
      </c>
      <c r="B23" s="1539"/>
      <c r="C23" s="394"/>
      <c r="D23" s="2086"/>
      <c r="E23" s="2086"/>
      <c r="F23" s="2116"/>
      <c r="G23" s="2117"/>
      <c r="H23" s="2116"/>
      <c r="I23" s="2117"/>
      <c r="J23" s="2116"/>
      <c r="K23" s="2117"/>
      <c r="L23" s="2116"/>
      <c r="M23" s="2117"/>
      <c r="N23" s="2086"/>
      <c r="O23" s="2117"/>
      <c r="P23" s="2116"/>
      <c r="Q23" s="2117"/>
      <c r="R23" s="2086"/>
      <c r="S23" s="2086"/>
      <c r="T23" s="2116"/>
      <c r="U23" s="2117"/>
      <c r="V23" s="2086"/>
      <c r="W23" s="2117"/>
      <c r="X23" s="2116"/>
      <c r="Y23" s="2117"/>
    </row>
    <row r="24" spans="1:25">
      <c r="A24" s="2326" t="s">
        <v>800</v>
      </c>
      <c r="B24" s="2902"/>
      <c r="C24" s="395"/>
      <c r="D24" s="2126"/>
      <c r="E24" s="2905"/>
      <c r="F24" s="2130"/>
      <c r="G24" s="2114"/>
      <c r="H24" s="2130"/>
      <c r="I24" s="2114"/>
      <c r="J24" s="2130"/>
      <c r="K24" s="2114"/>
      <c r="L24" s="2130"/>
      <c r="M24" s="2114"/>
      <c r="N24" s="2119"/>
      <c r="O24" s="2114"/>
      <c r="P24" s="2120"/>
      <c r="Q24" s="2114"/>
      <c r="R24" s="2126"/>
      <c r="S24" s="2119"/>
      <c r="T24" s="2120"/>
      <c r="U24" s="2114"/>
      <c r="V24" s="2126"/>
      <c r="W24" s="2114"/>
      <c r="X24" s="2120"/>
      <c r="Y24" s="2114"/>
    </row>
    <row r="25" spans="1:25">
      <c r="A25" s="2326" t="s">
        <v>802</v>
      </c>
      <c r="B25" s="2902"/>
      <c r="C25" s="395"/>
      <c r="D25" s="2126"/>
      <c r="E25" s="2905"/>
      <c r="F25" s="2130"/>
      <c r="G25" s="2114"/>
      <c r="H25" s="2130"/>
      <c r="I25" s="2114"/>
      <c r="J25" s="2130"/>
      <c r="K25" s="2114"/>
      <c r="L25" s="2130"/>
      <c r="M25" s="2114"/>
      <c r="N25" s="2119"/>
      <c r="O25" s="2114"/>
      <c r="P25" s="2120"/>
      <c r="Q25" s="2114"/>
      <c r="R25" s="2126"/>
      <c r="S25" s="2119"/>
      <c r="T25" s="2120"/>
      <c r="U25" s="2114"/>
      <c r="V25" s="2126"/>
      <c r="W25" s="2114"/>
      <c r="X25" s="2120"/>
      <c r="Y25" s="2114"/>
    </row>
    <row r="26" spans="1:25">
      <c r="A26" s="2326" t="s">
        <v>804</v>
      </c>
      <c r="B26" s="2902"/>
      <c r="C26" s="395"/>
      <c r="D26" s="2126"/>
      <c r="E26" s="2905"/>
      <c r="F26" s="2130"/>
      <c r="G26" s="2114"/>
      <c r="H26" s="2130"/>
      <c r="I26" s="2114"/>
      <c r="J26" s="2130"/>
      <c r="K26" s="2114"/>
      <c r="L26" s="2130"/>
      <c r="M26" s="2114"/>
      <c r="N26" s="2119"/>
      <c r="O26" s="2114"/>
      <c r="P26" s="2120"/>
      <c r="Q26" s="2114"/>
      <c r="R26" s="2126"/>
      <c r="S26" s="2119"/>
      <c r="T26" s="2120"/>
      <c r="U26" s="2114"/>
      <c r="V26" s="2126"/>
      <c r="W26" s="2114"/>
      <c r="X26" s="2120"/>
      <c r="Y26" s="2114"/>
    </row>
    <row r="27" spans="1:25">
      <c r="A27" s="2326" t="s">
        <v>805</v>
      </c>
      <c r="B27" s="2902"/>
      <c r="C27" s="395"/>
      <c r="D27" s="2126"/>
      <c r="E27" s="2905"/>
      <c r="F27" s="2130"/>
      <c r="G27" s="2114"/>
      <c r="H27" s="2130"/>
      <c r="I27" s="2114"/>
      <c r="J27" s="2130"/>
      <c r="K27" s="2114"/>
      <c r="L27" s="2130"/>
      <c r="M27" s="2114"/>
      <c r="N27" s="2119"/>
      <c r="O27" s="2114"/>
      <c r="P27" s="2120"/>
      <c r="Q27" s="2114"/>
      <c r="R27" s="2126"/>
      <c r="S27" s="2119"/>
      <c r="T27" s="2120"/>
      <c r="U27" s="2114"/>
      <c r="V27" s="2126"/>
      <c r="W27" s="2114"/>
      <c r="X27" s="2120"/>
      <c r="Y27" s="2114"/>
    </row>
    <row r="28" spans="1:25">
      <c r="A28" s="2327" t="s">
        <v>806</v>
      </c>
      <c r="B28" s="2903"/>
      <c r="C28" s="707"/>
      <c r="D28" s="2132"/>
      <c r="E28" s="2125"/>
      <c r="F28" s="2123"/>
      <c r="G28" s="2131"/>
      <c r="H28" s="2123"/>
      <c r="I28" s="2131"/>
      <c r="J28" s="2123"/>
      <c r="K28" s="2131"/>
      <c r="L28" s="2123"/>
      <c r="M28" s="2131"/>
      <c r="N28" s="2125"/>
      <c r="O28" s="2131"/>
      <c r="P28" s="2121"/>
      <c r="Q28" s="2131"/>
      <c r="R28" s="2132"/>
      <c r="S28" s="2125"/>
      <c r="T28" s="2121"/>
      <c r="U28" s="2131"/>
      <c r="V28" s="2132"/>
      <c r="W28" s="2131"/>
      <c r="X28" s="2121"/>
      <c r="Y28" s="2131"/>
    </row>
    <row r="29" spans="1:25">
      <c r="A29" s="2914" t="s">
        <v>862</v>
      </c>
      <c r="B29" s="2901"/>
      <c r="C29" s="395"/>
      <c r="D29" s="2119"/>
      <c r="E29" s="2119"/>
      <c r="F29" s="2116"/>
      <c r="G29" s="2117"/>
      <c r="H29" s="2116"/>
      <c r="I29" s="2117"/>
      <c r="J29" s="2116"/>
      <c r="K29" s="2117"/>
      <c r="L29" s="2116"/>
      <c r="M29" s="2117"/>
      <c r="N29" s="2086"/>
      <c r="O29" s="2117"/>
      <c r="P29" s="2130"/>
      <c r="Q29" s="2114"/>
      <c r="R29" s="2119"/>
      <c r="S29" s="2119"/>
      <c r="T29" s="2130"/>
      <c r="U29" s="2114"/>
      <c r="V29" s="2119"/>
      <c r="W29" s="2114"/>
      <c r="X29" s="2130"/>
      <c r="Y29" s="2114"/>
    </row>
    <row r="30" spans="1:25" s="2136" customFormat="1">
      <c r="A30" s="2229" t="s">
        <v>800</v>
      </c>
      <c r="B30" s="2904"/>
      <c r="C30" s="348"/>
      <c r="D30" s="2135"/>
      <c r="E30" s="2135"/>
      <c r="F30" s="2133"/>
      <c r="G30" s="2134"/>
      <c r="H30" s="2133"/>
      <c r="I30" s="2134"/>
      <c r="J30" s="2133"/>
      <c r="K30" s="2134"/>
      <c r="L30" s="2133"/>
      <c r="M30" s="2134"/>
      <c r="N30" s="2135"/>
      <c r="O30" s="2134"/>
      <c r="P30" s="2133"/>
      <c r="Q30" s="2134"/>
      <c r="R30" s="2135"/>
      <c r="S30" s="2135"/>
      <c r="T30" s="2133"/>
      <c r="U30" s="2134"/>
      <c r="V30" s="2135"/>
      <c r="W30" s="2134"/>
      <c r="X30" s="2133"/>
      <c r="Y30" s="2134"/>
    </row>
    <row r="31" spans="1:25" s="2136" customFormat="1">
      <c r="A31" s="2229" t="s">
        <v>802</v>
      </c>
      <c r="B31" s="2904"/>
      <c r="C31" s="348"/>
      <c r="D31" s="2135"/>
      <c r="E31" s="2135"/>
      <c r="F31" s="2133"/>
      <c r="G31" s="2134"/>
      <c r="H31" s="2133"/>
      <c r="I31" s="2134"/>
      <c r="J31" s="2133"/>
      <c r="K31" s="2134"/>
      <c r="L31" s="2133"/>
      <c r="M31" s="2134"/>
      <c r="N31" s="2135"/>
      <c r="O31" s="2134"/>
      <c r="P31" s="2133"/>
      <c r="Q31" s="2134"/>
      <c r="R31" s="2135"/>
      <c r="S31" s="2135"/>
      <c r="T31" s="2133"/>
      <c r="U31" s="2134"/>
      <c r="V31" s="2135"/>
      <c r="W31" s="2134"/>
      <c r="X31" s="2133"/>
      <c r="Y31" s="2134"/>
    </row>
    <row r="32" spans="1:25" s="2136" customFormat="1">
      <c r="A32" s="2229" t="s">
        <v>804</v>
      </c>
      <c r="B32" s="2904"/>
      <c r="C32" s="348"/>
      <c r="D32" s="2135"/>
      <c r="E32" s="2135"/>
      <c r="F32" s="2133"/>
      <c r="G32" s="2134"/>
      <c r="H32" s="2133"/>
      <c r="I32" s="2134"/>
      <c r="J32" s="2133"/>
      <c r="K32" s="2134"/>
      <c r="L32" s="2133"/>
      <c r="M32" s="2134"/>
      <c r="N32" s="2135"/>
      <c r="O32" s="2134"/>
      <c r="P32" s="2133"/>
      <c r="Q32" s="2134"/>
      <c r="R32" s="2135"/>
      <c r="S32" s="2135"/>
      <c r="T32" s="2133"/>
      <c r="U32" s="2134"/>
      <c r="V32" s="2135"/>
      <c r="W32" s="2134"/>
      <c r="X32" s="2133"/>
      <c r="Y32" s="2134"/>
    </row>
    <row r="33" spans="1:25" s="2136" customFormat="1">
      <c r="A33" s="2229" t="s">
        <v>805</v>
      </c>
      <c r="B33" s="2904"/>
      <c r="C33" s="348"/>
      <c r="D33" s="2135"/>
      <c r="E33" s="2135"/>
      <c r="F33" s="2133"/>
      <c r="G33" s="2134"/>
      <c r="H33" s="2133"/>
      <c r="I33" s="2134"/>
      <c r="J33" s="2133"/>
      <c r="K33" s="2134"/>
      <c r="L33" s="2133"/>
      <c r="M33" s="2134"/>
      <c r="N33" s="2135"/>
      <c r="O33" s="2134"/>
      <c r="P33" s="2133"/>
      <c r="Q33" s="2134"/>
      <c r="R33" s="2135"/>
      <c r="S33" s="2135"/>
      <c r="T33" s="2133"/>
      <c r="U33" s="2134"/>
      <c r="V33" s="2135"/>
      <c r="W33" s="2134"/>
      <c r="X33" s="2133"/>
      <c r="Y33" s="2134"/>
    </row>
    <row r="34" spans="1:25" s="2136" customFormat="1">
      <c r="A34" s="2229" t="s">
        <v>806</v>
      </c>
      <c r="B34" s="2904"/>
      <c r="C34" s="348"/>
      <c r="D34" s="2135"/>
      <c r="E34" s="2135"/>
      <c r="F34" s="2133"/>
      <c r="G34" s="2137"/>
      <c r="H34" s="2133"/>
      <c r="I34" s="2137"/>
      <c r="J34" s="2133"/>
      <c r="K34" s="2137"/>
      <c r="L34" s="2133"/>
      <c r="M34" s="2137"/>
      <c r="N34" s="2135"/>
      <c r="O34" s="2137"/>
      <c r="P34" s="2133"/>
      <c r="Q34" s="2134"/>
      <c r="R34" s="2135"/>
      <c r="S34" s="2135"/>
      <c r="T34" s="2133"/>
      <c r="U34" s="2134"/>
      <c r="V34" s="2135"/>
      <c r="W34" s="2134"/>
      <c r="X34" s="2133"/>
      <c r="Y34" s="2134"/>
    </row>
    <row r="35" spans="1:25" s="2136" customFormat="1">
      <c r="A35" s="2235" t="s">
        <v>816</v>
      </c>
      <c r="B35" s="1254">
        <f>GREET1_Import_Export!J525</f>
        <v>38.907451643223773</v>
      </c>
      <c r="C35" s="673"/>
      <c r="D35" s="2859">
        <f>(GREET1_Import_Export!$C$179*GREET1_Import_Export!B180+GREET1_Import_Export!C180+1000000)/1000000*GREET1_Import_Export!$B$27/1000000/GREET1_Import_Export!$E$27*454*2000</f>
        <v>45.954435894699586</v>
      </c>
      <c r="E35" s="2859">
        <v>0</v>
      </c>
      <c r="F35" s="2860">
        <f xml:space="preserve"> D35</f>
        <v>45.954435894699586</v>
      </c>
      <c r="G35" s="2859">
        <v>0</v>
      </c>
      <c r="H35" s="2860">
        <f xml:space="preserve"> D35</f>
        <v>45.954435894699586</v>
      </c>
      <c r="I35" s="2859">
        <v>0</v>
      </c>
      <c r="J35" s="2860">
        <f xml:space="preserve"> D35</f>
        <v>45.954435894699586</v>
      </c>
      <c r="K35" s="2859">
        <v>0</v>
      </c>
      <c r="L35" s="2860">
        <f xml:space="preserve"> D35</f>
        <v>45.954435894699586</v>
      </c>
      <c r="M35" s="2859">
        <v>0</v>
      </c>
      <c r="N35" s="2860">
        <f xml:space="preserve"> D35</f>
        <v>45.954435894699586</v>
      </c>
      <c r="O35" s="2859">
        <v>0</v>
      </c>
      <c r="P35" s="2860">
        <f xml:space="preserve"> $D$35</f>
        <v>45.954435894699586</v>
      </c>
      <c r="Q35" s="2859">
        <v>0</v>
      </c>
      <c r="R35" s="2860">
        <f xml:space="preserve"> D35</f>
        <v>45.954435894699586</v>
      </c>
      <c r="S35" s="2859">
        <v>0</v>
      </c>
      <c r="T35" s="2860">
        <f xml:space="preserve"> D35</f>
        <v>45.954435894699586</v>
      </c>
      <c r="U35" s="2859">
        <v>0</v>
      </c>
      <c r="V35" s="2860">
        <f>(GREET1_Import_Export!$D$215*GREET1_Import_Export!C216+GREET1_Import_Export!D216+1000000)/1000000*GREET1_Import_Export!$B$29/1000000/GREET1_Import_Export!$E$29*454*2000</f>
        <v>26.393927476709422</v>
      </c>
      <c r="W35" s="2859">
        <v>0</v>
      </c>
      <c r="X35" s="2860">
        <f>F35</f>
        <v>45.954435894699586</v>
      </c>
      <c r="Y35" s="2858">
        <v>0</v>
      </c>
    </row>
    <row r="36" spans="1:25" s="2136" customFormat="1">
      <c r="A36" s="2229" t="s">
        <v>817</v>
      </c>
      <c r="B36" s="2911">
        <f>GREET1_Import_Export!J526</f>
        <v>38.318200645055015</v>
      </c>
      <c r="C36" s="710"/>
      <c r="D36" s="2862">
        <f>(GREET1_Import_Export!$C$179*GREET1_Import_Export!B181+GREET1_Import_Export!C181+1000000)/1000000*GREET1_Import_Export!$B$27/1000000/GREET1_Import_Export!$E$27*454*2000</f>
        <v>45.714238438893744</v>
      </c>
      <c r="E36" s="2862">
        <v>0</v>
      </c>
      <c r="F36" s="2863">
        <f t="shared" ref="F36:F40" si="0" xml:space="preserve"> D36</f>
        <v>45.714238438893744</v>
      </c>
      <c r="G36" s="2862">
        <v>0</v>
      </c>
      <c r="H36" s="2863">
        <f t="shared" ref="H36:H40" si="1" xml:space="preserve"> D36</f>
        <v>45.714238438893744</v>
      </c>
      <c r="I36" s="2862">
        <v>0</v>
      </c>
      <c r="J36" s="2863">
        <f t="shared" ref="J36:J40" si="2" xml:space="preserve"> D36</f>
        <v>45.714238438893744</v>
      </c>
      <c r="K36" s="2862">
        <v>0</v>
      </c>
      <c r="L36" s="2863">
        <f t="shared" ref="L36:L40" si="3" xml:space="preserve"> D36</f>
        <v>45.714238438893744</v>
      </c>
      <c r="M36" s="2862">
        <v>0</v>
      </c>
      <c r="N36" s="2863">
        <f t="shared" ref="N36:N40" si="4" xml:space="preserve"> D36</f>
        <v>45.714238438893744</v>
      </c>
      <c r="O36" s="2862">
        <v>0</v>
      </c>
      <c r="P36" s="2863">
        <f xml:space="preserve"> $D$36</f>
        <v>45.714238438893744</v>
      </c>
      <c r="Q36" s="2862">
        <v>0</v>
      </c>
      <c r="R36" s="2863">
        <f t="shared" ref="R36:R40" si="5" xml:space="preserve"> D36</f>
        <v>45.714238438893744</v>
      </c>
      <c r="S36" s="2862">
        <v>0</v>
      </c>
      <c r="T36" s="2863">
        <f t="shared" ref="T36:T40" si="6" xml:space="preserve"> D36</f>
        <v>45.714238438893744</v>
      </c>
      <c r="U36" s="2862">
        <v>0</v>
      </c>
      <c r="V36" s="2863">
        <f>(GREET1_Import_Export!$D$215*GREET1_Import_Export!C217+GREET1_Import_Export!D217+IF(GREET1_Import_Export!$B$5=5, 0, 1000000))/1000000*GREET1_Import_Export!$B$29/1000000/GREET1_Import_Export!$E$29*454*2000</f>
        <v>26.065161230273429</v>
      </c>
      <c r="W36" s="2862">
        <v>0</v>
      </c>
      <c r="X36" s="2863">
        <f>F36</f>
        <v>45.714238438893744</v>
      </c>
      <c r="Y36" s="2861">
        <v>0</v>
      </c>
    </row>
    <row r="37" spans="1:25" s="2136" customFormat="1">
      <c r="A37" s="2229" t="s">
        <v>805</v>
      </c>
      <c r="B37" s="2911">
        <f>GREET1_Import_Export!J527</f>
        <v>0.77529282850867631</v>
      </c>
      <c r="C37" s="710"/>
      <c r="D37" s="2862">
        <f>(GREET1_Import_Export!$C$179*GREET1_Import_Export!B182+GREET1_Import_Export!C182)/1000000*GREET1_Import_Export!$B$27/1000000/GREET1_Import_Export!$E$27*454*2000</f>
        <v>0.30610647540700153</v>
      </c>
      <c r="E37" s="2862">
        <v>0</v>
      </c>
      <c r="F37" s="2863">
        <f t="shared" si="0"/>
        <v>0.30610647540700153</v>
      </c>
      <c r="G37" s="2862">
        <v>0</v>
      </c>
      <c r="H37" s="2863">
        <f t="shared" si="1"/>
        <v>0.30610647540700153</v>
      </c>
      <c r="I37" s="2862">
        <v>0</v>
      </c>
      <c r="J37" s="2863">
        <f t="shared" si="2"/>
        <v>0.30610647540700153</v>
      </c>
      <c r="K37" s="2862">
        <v>0</v>
      </c>
      <c r="L37" s="2863">
        <f t="shared" si="3"/>
        <v>0.30610647540700153</v>
      </c>
      <c r="M37" s="2862">
        <v>0</v>
      </c>
      <c r="N37" s="2863">
        <f t="shared" si="4"/>
        <v>0.30610647540700153</v>
      </c>
      <c r="O37" s="2862">
        <v>0</v>
      </c>
      <c r="P37" s="2863">
        <f xml:space="preserve"> $D$37</f>
        <v>0.30610647540700153</v>
      </c>
      <c r="Q37" s="2862">
        <v>0</v>
      </c>
      <c r="R37" s="2863">
        <f t="shared" si="5"/>
        <v>0.30610647540700153</v>
      </c>
      <c r="S37" s="2862">
        <v>0</v>
      </c>
      <c r="T37" s="2863">
        <f t="shared" si="6"/>
        <v>0.30610647540700153</v>
      </c>
      <c r="U37" s="2862">
        <v>0</v>
      </c>
      <c r="V37" s="2863">
        <f>(GREET1_Import_Export!$D$215*GREET1_Import_Export!C218+GREET1_Import_Export!D218+IF(GREET1_Import_Export!$B$5=6, 1000000, 0))/1000000*GREET1_Import_Export!$B$29/1000000/GREET1_Import_Export!$E$29*454*2000</f>
        <v>0.4345292511444897</v>
      </c>
      <c r="W37" s="2862">
        <v>0</v>
      </c>
      <c r="X37" s="2863">
        <f>F37</f>
        <v>0.30610647540700153</v>
      </c>
      <c r="Y37" s="2861">
        <v>0</v>
      </c>
    </row>
    <row r="38" spans="1:25" s="2136" customFormat="1">
      <c r="A38" s="2229" t="s">
        <v>804</v>
      </c>
      <c r="B38" s="2911">
        <f>GREET1_Import_Export!J528</f>
        <v>24.699886666985829</v>
      </c>
      <c r="C38" s="710"/>
      <c r="D38" s="2862">
        <f>D36-D37-D39</f>
        <v>5.2671011257244515</v>
      </c>
      <c r="E38" s="2862">
        <v>0</v>
      </c>
      <c r="F38" s="2863">
        <f t="shared" si="0"/>
        <v>5.2671011257244515</v>
      </c>
      <c r="G38" s="2862">
        <v>0</v>
      </c>
      <c r="H38" s="2863">
        <f t="shared" si="1"/>
        <v>5.2671011257244515</v>
      </c>
      <c r="I38" s="2862">
        <v>0</v>
      </c>
      <c r="J38" s="2863">
        <f t="shared" si="2"/>
        <v>5.2671011257244515</v>
      </c>
      <c r="K38" s="2862">
        <v>0</v>
      </c>
      <c r="L38" s="2863">
        <f t="shared" si="3"/>
        <v>5.2671011257244515</v>
      </c>
      <c r="M38" s="2862">
        <v>0</v>
      </c>
      <c r="N38" s="2863">
        <f t="shared" si="4"/>
        <v>5.2671011257244515</v>
      </c>
      <c r="O38" s="2862">
        <v>0</v>
      </c>
      <c r="P38" s="2863">
        <f xml:space="preserve"> $D$38</f>
        <v>5.2671011257244515</v>
      </c>
      <c r="Q38" s="2862">
        <v>0</v>
      </c>
      <c r="R38" s="2863">
        <f t="shared" si="5"/>
        <v>5.2671011257244515</v>
      </c>
      <c r="S38" s="2862">
        <v>0</v>
      </c>
      <c r="T38" s="2863">
        <f t="shared" si="6"/>
        <v>5.2671011257244515</v>
      </c>
      <c r="U38" s="2862">
        <v>0</v>
      </c>
      <c r="V38" s="2863">
        <f>V36-V37-V39</f>
        <v>25.355225154793146</v>
      </c>
      <c r="W38" s="2862">
        <v>0</v>
      </c>
      <c r="X38" s="2863">
        <f>X36-X37-X39</f>
        <v>5.2671011257244515</v>
      </c>
      <c r="Y38" s="2861">
        <v>0</v>
      </c>
    </row>
    <row r="39" spans="1:25" s="2136" customFormat="1">
      <c r="A39" s="2229" t="s">
        <v>818</v>
      </c>
      <c r="B39" s="2911">
        <f>GREET1_Import_Export!J529</f>
        <v>12.843021149560508</v>
      </c>
      <c r="C39" s="710"/>
      <c r="D39" s="2862">
        <f>(GREET1_Import_Export!$C$179*GREET1_Import_Export!B184+GREET1_Import_Export!C184+1000000)/1000000*GREET1_Import_Export!$B$27/1000000/GREET1_Import_Export!$E$27*454*2000</f>
        <v>40.141030837762294</v>
      </c>
      <c r="E39" s="2862">
        <v>0</v>
      </c>
      <c r="F39" s="2863">
        <f t="shared" si="0"/>
        <v>40.141030837762294</v>
      </c>
      <c r="G39" s="2862">
        <v>0</v>
      </c>
      <c r="H39" s="2863">
        <f t="shared" si="1"/>
        <v>40.141030837762294</v>
      </c>
      <c r="I39" s="2862">
        <v>0</v>
      </c>
      <c r="J39" s="2863">
        <f t="shared" si="2"/>
        <v>40.141030837762294</v>
      </c>
      <c r="K39" s="2862">
        <v>0</v>
      </c>
      <c r="L39" s="2863">
        <f t="shared" si="3"/>
        <v>40.141030837762294</v>
      </c>
      <c r="M39" s="2862">
        <v>0</v>
      </c>
      <c r="N39" s="2863">
        <f t="shared" si="4"/>
        <v>40.141030837762294</v>
      </c>
      <c r="O39" s="2862">
        <v>0</v>
      </c>
      <c r="P39" s="2863">
        <f xml:space="preserve"> $D$39</f>
        <v>40.141030837762294</v>
      </c>
      <c r="Q39" s="2862">
        <v>0</v>
      </c>
      <c r="R39" s="2863">
        <f t="shared" si="5"/>
        <v>40.141030837762294</v>
      </c>
      <c r="S39" s="2862">
        <v>0</v>
      </c>
      <c r="T39" s="2863">
        <f t="shared" si="6"/>
        <v>40.141030837762294</v>
      </c>
      <c r="U39" s="2862">
        <v>0</v>
      </c>
      <c r="V39" s="2863">
        <f>(GREET1_Import_Export!$D$215*GREET1_Import_Export!C220+GREET1_Import_Export!D220)/1000000*GREET1_Import_Export!$B$29/1000000/GREET1_Import_Export!$E$29*454*2000</f>
        <v>0.27540682433579411</v>
      </c>
      <c r="W39" s="2862">
        <v>0</v>
      </c>
      <c r="X39" s="2863">
        <f>F39</f>
        <v>40.141030837762294</v>
      </c>
      <c r="Y39" s="2861">
        <v>0</v>
      </c>
    </row>
    <row r="40" spans="1:25" s="2136" customFormat="1">
      <c r="A40" s="2915" t="s">
        <v>819</v>
      </c>
      <c r="B40" s="2912">
        <f>GREET1_Import_Export!J530</f>
        <v>1096.4613141041298</v>
      </c>
      <c r="C40" s="2906"/>
      <c r="D40" s="2865">
        <f>(GREET1_Import_Export!$C$179*GREET1_Import_Export!B185+GREET1_Import_Export!C185)*GREET1_Import_Export!$B$27/1000000/GREET1_Import_Export!$E$27*454*2000</f>
        <v>966.54510812642661</v>
      </c>
      <c r="E40" s="2865">
        <v>0</v>
      </c>
      <c r="F40" s="2866">
        <f t="shared" si="0"/>
        <v>966.54510812642661</v>
      </c>
      <c r="G40" s="2865">
        <v>0</v>
      </c>
      <c r="H40" s="2867">
        <f t="shared" si="1"/>
        <v>966.54510812642661</v>
      </c>
      <c r="I40" s="2865">
        <v>0</v>
      </c>
      <c r="J40" s="2867">
        <f t="shared" si="2"/>
        <v>966.54510812642661</v>
      </c>
      <c r="K40" s="2865">
        <v>0</v>
      </c>
      <c r="L40" s="2867">
        <f t="shared" si="3"/>
        <v>966.54510812642661</v>
      </c>
      <c r="M40" s="2865">
        <v>0</v>
      </c>
      <c r="N40" s="2867">
        <f t="shared" si="4"/>
        <v>966.54510812642661</v>
      </c>
      <c r="O40" s="2865">
        <v>0</v>
      </c>
      <c r="P40" s="2867">
        <f xml:space="preserve"> $D$40</f>
        <v>966.54510812642661</v>
      </c>
      <c r="Q40" s="2865">
        <v>0</v>
      </c>
      <c r="R40" s="2867">
        <f t="shared" si="5"/>
        <v>966.54510812642661</v>
      </c>
      <c r="S40" s="2865">
        <v>0</v>
      </c>
      <c r="T40" s="2867">
        <f t="shared" si="6"/>
        <v>966.54510812642661</v>
      </c>
      <c r="U40" s="2865">
        <v>0</v>
      </c>
      <c r="V40" s="2868">
        <f>(GREET1_Import_Export!$D$215*GREET1_Import_Export!C221+GREET1_Import_Export!D221)*GREET1_Import_Export!$B$29/1000000/GREET1_Import_Export!$E$29*454*2000</f>
        <v>153.05524701449926</v>
      </c>
      <c r="W40" s="2865">
        <v>0</v>
      </c>
      <c r="X40" s="2907">
        <f>F40</f>
        <v>966.54510812642661</v>
      </c>
      <c r="Y40" s="2864">
        <v>0</v>
      </c>
    </row>
    <row r="41" spans="1:25" s="2136" customFormat="1">
      <c r="A41" s="2228" t="s">
        <v>864</v>
      </c>
      <c r="B41" s="1254">
        <f>GREET1_Import_Export!J531</f>
        <v>0</v>
      </c>
      <c r="C41" s="673"/>
      <c r="D41" s="2859"/>
      <c r="E41" s="2859"/>
      <c r="F41" s="2863"/>
      <c r="G41" s="2858"/>
      <c r="H41" s="2863"/>
      <c r="I41" s="2858"/>
      <c r="J41" s="2863"/>
      <c r="K41" s="2858"/>
      <c r="L41" s="2863"/>
      <c r="M41" s="2858"/>
      <c r="N41" s="2862"/>
      <c r="O41" s="2858"/>
      <c r="P41" s="2863"/>
      <c r="Q41" s="2858"/>
      <c r="R41" s="2862"/>
      <c r="S41" s="2859"/>
      <c r="T41" s="2863"/>
      <c r="U41" s="2858"/>
      <c r="V41" s="2859"/>
      <c r="W41" s="2858"/>
      <c r="X41" s="2860"/>
      <c r="Y41" s="2858"/>
    </row>
    <row r="42" spans="1:25" s="2136" customFormat="1">
      <c r="A42" s="2236" t="s">
        <v>821</v>
      </c>
      <c r="B42" s="2911">
        <f>GREET1_Import_Export!J532</f>
        <v>646.99772514048402</v>
      </c>
      <c r="C42" s="710"/>
      <c r="D42" s="2862">
        <f>(GREET1_Import_Export!$C$179*GREET1_Import_Export!B186+GREET1_Import_Export!C186)*GREET1_Import_Export!$B$27/1000000/GREET1_Import_Export!$E$27*454*2000</f>
        <v>1016.5304261200441</v>
      </c>
      <c r="E42" s="2862">
        <f>GREET1_Import_Export!$L72/1000000*GREET1_Import_Export!$B$28/GREET1_Import_Export!$E$28*454*2000</f>
        <v>141.20307007650274</v>
      </c>
      <c r="F42" s="2863">
        <f xml:space="preserve"> D42</f>
        <v>1016.5304261200441</v>
      </c>
      <c r="G42" s="2862">
        <f>GREET1_Import_Export!$L72/1000000*GREET1_Import_Export!$B$28/GREET1_Import_Export!$E$28*454*2000</f>
        <v>141.20307007650274</v>
      </c>
      <c r="H42" s="2863">
        <f xml:space="preserve"> D42</f>
        <v>1016.5304261200441</v>
      </c>
      <c r="I42" s="2862">
        <f>GREET1_Import_Export!$L72/1000000*GREET1_Import_Export!$B$28/GREET1_Import_Export!$E$28*454*2000</f>
        <v>141.20307007650274</v>
      </c>
      <c r="J42" s="2863">
        <f xml:space="preserve"> D42</f>
        <v>1016.5304261200441</v>
      </c>
      <c r="K42" s="2862">
        <f>GREET1_Import_Export!$L72/1000000*GREET1_Import_Export!$B$28/GREET1_Import_Export!$E$28*454*2000</f>
        <v>141.20307007650274</v>
      </c>
      <c r="L42" s="2863">
        <f xml:space="preserve"> D42</f>
        <v>1016.5304261200441</v>
      </c>
      <c r="M42" s="2862">
        <f>GREET1_Import_Export!$L72/1000000*GREET1_Import_Export!$B$28/GREET1_Import_Export!$E$28*454*2000</f>
        <v>141.20307007650274</v>
      </c>
      <c r="N42" s="2862">
        <f xml:space="preserve"> D42</f>
        <v>1016.5304261200441</v>
      </c>
      <c r="O42" s="2862">
        <f>GREET1_Import_Export!$L72/1000000*GREET1_Import_Export!$B$28/GREET1_Import_Export!$E$28*454*2000</f>
        <v>141.20307007650274</v>
      </c>
      <c r="P42" s="2863">
        <f xml:space="preserve"> $D$42</f>
        <v>1016.5304261200441</v>
      </c>
      <c r="Q42" s="2861">
        <f>GREET1_Import_Export!$L72/1000000*GREET1_Import_Export!$B$28/GREET1_Import_Export!$E$28*454*2000</f>
        <v>141.20307007650274</v>
      </c>
      <c r="R42" s="2863">
        <f xml:space="preserve"> D42</f>
        <v>1016.5304261200441</v>
      </c>
      <c r="S42" s="2862">
        <f>GREET1_Import_Export!$L72/1000000*GREET1_Import_Export!$B$28/GREET1_Import_Export!$E$28*454*2000</f>
        <v>141.20307007650274</v>
      </c>
      <c r="T42" s="2863">
        <f xml:space="preserve"> D42</f>
        <v>1016.5304261200441</v>
      </c>
      <c r="U42" s="2861">
        <f>GREET1_Import_Export!$L72/1000000*GREET1_Import_Export!$B$28/GREET1_Import_Export!$E$28*454*2000</f>
        <v>141.20307007650274</v>
      </c>
      <c r="V42" s="2862">
        <f>(GREET1_Import_Export!$D$215*GREET1_Import_Export!C222+GREET1_Import_Export!D222)*GREET1_Import_Export!$B$29/1000000/GREET1_Import_Export!$E$29*454*2000</f>
        <v>406.02242842443138</v>
      </c>
      <c r="W42" s="2861">
        <f>454*2000</f>
        <v>908000</v>
      </c>
      <c r="X42" s="2863">
        <f xml:space="preserve"> D42</f>
        <v>1016.5304261200441</v>
      </c>
      <c r="Y42" s="2861">
        <f>GREET1_Import_Export!$L72/1000000*GREET1_Import_Export!$B$28/GREET1_Import_Export!$E$28*454*2000</f>
        <v>141.20307007650274</v>
      </c>
    </row>
    <row r="43" spans="1:25" s="2136" customFormat="1">
      <c r="A43" s="2236" t="s">
        <v>822</v>
      </c>
      <c r="B43" s="2911">
        <f>GREET1_Import_Export!J533</f>
        <v>835.5471536135426</v>
      </c>
      <c r="C43" s="710"/>
      <c r="D43" s="2862">
        <f>(GREET1_Import_Export!$C$179*GREET1_Import_Export!B187+GREET1_Import_Export!C187)*GREET1_Import_Export!$B$27/1000000/GREET1_Import_Export!$E$27*454*2000</f>
        <v>506.82435658522297</v>
      </c>
      <c r="E43" s="2862">
        <f>GREET1_Import_Export!$L73/1000000*GREET1_Import_Export!$B$28/GREET1_Import_Export!$E$28*454*2000</f>
        <v>624.72012899089248</v>
      </c>
      <c r="F43" s="2863">
        <f t="shared" ref="F43:F52" si="7" xml:space="preserve"> D43</f>
        <v>506.82435658522297</v>
      </c>
      <c r="G43" s="2862">
        <f>GREET1_Import_Export!$L73/1000000*GREET1_Import_Export!$B$28/GREET1_Import_Export!$E$28*454*2000</f>
        <v>624.72012899089248</v>
      </c>
      <c r="H43" s="2863">
        <f t="shared" ref="H43:H52" si="8" xml:space="preserve"> D43</f>
        <v>506.82435658522297</v>
      </c>
      <c r="I43" s="2862">
        <f>GREET1_Import_Export!$L73/1000000*GREET1_Import_Export!$B$28/GREET1_Import_Export!$E$28*454*2000</f>
        <v>624.72012899089248</v>
      </c>
      <c r="J43" s="2863">
        <f t="shared" ref="J43:J52" si="9" xml:space="preserve"> D43</f>
        <v>506.82435658522297</v>
      </c>
      <c r="K43" s="2862">
        <f>GREET1_Import_Export!$L73/1000000*GREET1_Import_Export!$B$28/GREET1_Import_Export!$E$28*454*2000</f>
        <v>624.72012899089248</v>
      </c>
      <c r="L43" s="2863">
        <f t="shared" ref="L43:L52" si="10" xml:space="preserve"> D43</f>
        <v>506.82435658522297</v>
      </c>
      <c r="M43" s="2862">
        <f>GREET1_Import_Export!$L73/1000000*GREET1_Import_Export!$B$28/GREET1_Import_Export!$E$28*454*2000</f>
        <v>624.72012899089248</v>
      </c>
      <c r="N43" s="2862">
        <f t="shared" ref="N43:N52" si="11" xml:space="preserve"> D43</f>
        <v>506.82435658522297</v>
      </c>
      <c r="O43" s="2862">
        <f>GREET1_Import_Export!$L73/1000000*GREET1_Import_Export!$B$28/GREET1_Import_Export!$E$28*454*2000</f>
        <v>624.72012899089248</v>
      </c>
      <c r="P43" s="2863">
        <f xml:space="preserve"> $D$43</f>
        <v>506.82435658522297</v>
      </c>
      <c r="Q43" s="2861">
        <f>GREET1_Import_Export!$L73/1000000*GREET1_Import_Export!$B$28/GREET1_Import_Export!$E$28*454*2000</f>
        <v>624.72012899089248</v>
      </c>
      <c r="R43" s="2863">
        <f t="shared" ref="R43:R52" si="12" xml:space="preserve"> D43</f>
        <v>506.82435658522297</v>
      </c>
      <c r="S43" s="2862">
        <f>GREET1_Import_Export!$L73/1000000*GREET1_Import_Export!$B$28/GREET1_Import_Export!$E$28*454*2000</f>
        <v>624.72012899089248</v>
      </c>
      <c r="T43" s="2863">
        <f t="shared" ref="T43:T52" si="13" xml:space="preserve"> D43</f>
        <v>506.82435658522297</v>
      </c>
      <c r="U43" s="2861">
        <f>GREET1_Import_Export!$L73/1000000*GREET1_Import_Export!$B$28/GREET1_Import_Export!$E$28*454*2000</f>
        <v>624.72012899089248</v>
      </c>
      <c r="V43" s="2862">
        <f>(GREET1_Import_Export!$D$215*GREET1_Import_Export!C223+GREET1_Import_Export!D223)*GREET1_Import_Export!$B$29/1000000/GREET1_Import_Export!$E$29*454*2000</f>
        <v>352.86982419027714</v>
      </c>
      <c r="W43" s="2861">
        <v>0</v>
      </c>
      <c r="X43" s="2863">
        <f t="shared" ref="X43:X52" si="14" xml:space="preserve"> D43</f>
        <v>506.82435658522297</v>
      </c>
      <c r="Y43" s="2861">
        <f>GREET1_Import_Export!$L73/1000000*GREET1_Import_Export!$B$28/GREET1_Import_Export!$E$28*454*2000</f>
        <v>624.72012899089248</v>
      </c>
    </row>
    <row r="44" spans="1:25" s="2136" customFormat="1" ht="15.75">
      <c r="A44" s="2236" t="s">
        <v>2542</v>
      </c>
      <c r="B44" s="2911">
        <f>GREET1_Import_Export!J534</f>
        <v>1170.2795529204723</v>
      </c>
      <c r="C44" s="710"/>
      <c r="D44" s="2862">
        <f>(GREET1_Import_Export!$C$179*GREET1_Import_Export!B188+GREET1_Import_Export!C188)*GREET1_Import_Export!$B$27/1000000/GREET1_Import_Export!$E$27*454*2000</f>
        <v>770.7322326894581</v>
      </c>
      <c r="E44" s="2862">
        <f>GREET1_Import_Export!$L74/1000000*GREET1_Import_Export!$B$28/GREET1_Import_Export!$E$28*454*2000</f>
        <v>4425.8711942877962</v>
      </c>
      <c r="F44" s="2863">
        <f t="shared" si="7"/>
        <v>770.7322326894581</v>
      </c>
      <c r="G44" s="2862">
        <f>GREET1_Import_Export!$L74/1000000*GREET1_Import_Export!$B$28/GREET1_Import_Export!$E$28*454*2000</f>
        <v>4425.8711942877962</v>
      </c>
      <c r="H44" s="2863">
        <f t="shared" si="8"/>
        <v>770.7322326894581</v>
      </c>
      <c r="I44" s="2862">
        <f>GREET1_Import_Export!$L74/1000000*GREET1_Import_Export!$B$28/GREET1_Import_Export!$E$28*454*2000</f>
        <v>4425.8711942877962</v>
      </c>
      <c r="J44" s="2863">
        <f t="shared" si="9"/>
        <v>770.7322326894581</v>
      </c>
      <c r="K44" s="2862">
        <f>GREET1_Import_Export!$L74/1000000*GREET1_Import_Export!$B$28/GREET1_Import_Export!$E$28*454*2000</f>
        <v>4425.8711942877962</v>
      </c>
      <c r="L44" s="2863">
        <f t="shared" si="10"/>
        <v>770.7322326894581</v>
      </c>
      <c r="M44" s="2862">
        <f>GREET1_Import_Export!$L74/1000000*GREET1_Import_Export!$B$28/GREET1_Import_Export!$E$28*454*2000</f>
        <v>4425.8711942877962</v>
      </c>
      <c r="N44" s="2862">
        <f t="shared" si="11"/>
        <v>770.7322326894581</v>
      </c>
      <c r="O44" s="2862">
        <f>GREET1_Import_Export!$L74/1000000*GREET1_Import_Export!$B$28/GREET1_Import_Export!$E$28*454*2000</f>
        <v>4425.8711942877962</v>
      </c>
      <c r="P44" s="2863">
        <f xml:space="preserve"> $D$44</f>
        <v>770.7322326894581</v>
      </c>
      <c r="Q44" s="2861">
        <f>GREET1_Import_Export!$L74/1000000*GREET1_Import_Export!$B$28/GREET1_Import_Export!$E$28*454*2000</f>
        <v>4425.8711942877962</v>
      </c>
      <c r="R44" s="2863">
        <f t="shared" si="12"/>
        <v>770.7322326894581</v>
      </c>
      <c r="S44" s="2862">
        <f>GREET1_Import_Export!$L74/1000000*GREET1_Import_Export!$B$28/GREET1_Import_Export!$E$28*454*2000</f>
        <v>4425.8711942877962</v>
      </c>
      <c r="T44" s="2863">
        <f t="shared" si="13"/>
        <v>770.7322326894581</v>
      </c>
      <c r="U44" s="2861">
        <f>GREET1_Import_Export!$L74/1000000*GREET1_Import_Export!$B$28/GREET1_Import_Export!$E$28*454*2000</f>
        <v>4425.8711942877962</v>
      </c>
      <c r="V44" s="2862">
        <f>(GREET1_Import_Export!$D$215*GREET1_Import_Export!C224+GREET1_Import_Export!D224)*GREET1_Import_Export!$B$29/1000000/GREET1_Import_Export!$E$29*454*2000</f>
        <v>415.51467475577215</v>
      </c>
      <c r="W44" s="2861">
        <v>0</v>
      </c>
      <c r="X44" s="2863">
        <f t="shared" si="14"/>
        <v>770.7322326894581</v>
      </c>
      <c r="Y44" s="2861">
        <f>GREET1_Import_Export!$L74/1000000*GREET1_Import_Export!$B$28/GREET1_Import_Export!$E$28*454*2000</f>
        <v>4425.8711942877962</v>
      </c>
    </row>
    <row r="45" spans="1:25" s="2136" customFormat="1" ht="15.75">
      <c r="A45" s="2236" t="s">
        <v>2543</v>
      </c>
      <c r="B45" s="2911">
        <f>GREET1_Import_Export!J535</f>
        <v>83.828398036640237</v>
      </c>
      <c r="C45" s="710"/>
      <c r="D45" s="2862">
        <f>(GREET1_Import_Export!$C$179*GREET1_Import_Export!B189+GREET1_Import_Export!C189)*GREET1_Import_Export!$B$27/1000000/GREET1_Import_Export!$E$27*454*2000</f>
        <v>69.932178283998354</v>
      </c>
      <c r="E45" s="2862">
        <f>GREET1_Import_Export!$L75/1000000*GREET1_Import_Export!$B$28/GREET1_Import_Export!$E$28*454*2000</f>
        <v>788.20010083788691</v>
      </c>
      <c r="F45" s="2863">
        <f t="shared" si="7"/>
        <v>69.932178283998354</v>
      </c>
      <c r="G45" s="2862">
        <f>GREET1_Import_Export!$L75/1000000*GREET1_Import_Export!$B$28/GREET1_Import_Export!$E$28*454*2000</f>
        <v>788.20010083788691</v>
      </c>
      <c r="H45" s="2863">
        <f t="shared" si="8"/>
        <v>69.932178283998354</v>
      </c>
      <c r="I45" s="2862">
        <f>GREET1_Import_Export!$L75/1000000*GREET1_Import_Export!$B$28/GREET1_Import_Export!$E$28*454*2000</f>
        <v>788.20010083788691</v>
      </c>
      <c r="J45" s="2863">
        <f t="shared" si="9"/>
        <v>69.932178283998354</v>
      </c>
      <c r="K45" s="2862">
        <f>GREET1_Import_Export!$L75/1000000*GREET1_Import_Export!$B$28/GREET1_Import_Export!$E$28*454*2000</f>
        <v>788.20010083788691</v>
      </c>
      <c r="L45" s="2863">
        <f t="shared" si="10"/>
        <v>69.932178283998354</v>
      </c>
      <c r="M45" s="2862">
        <f>GREET1_Import_Export!$L75/1000000*GREET1_Import_Export!$B$28/GREET1_Import_Export!$E$28*454*2000</f>
        <v>788.20010083788691</v>
      </c>
      <c r="N45" s="2862">
        <f t="shared" si="11"/>
        <v>69.932178283998354</v>
      </c>
      <c r="O45" s="2862">
        <f>GREET1_Import_Export!$L75/1000000*GREET1_Import_Export!$B$28/GREET1_Import_Export!$E$28*454*2000</f>
        <v>788.20010083788691</v>
      </c>
      <c r="P45" s="2863">
        <f xml:space="preserve"> $D$45</f>
        <v>69.932178283998354</v>
      </c>
      <c r="Q45" s="2861">
        <f>GREET1_Import_Export!$L75/1000000*GREET1_Import_Export!$B$28/GREET1_Import_Export!$E$28*454*2000</f>
        <v>788.20010083788691</v>
      </c>
      <c r="R45" s="2863">
        <f t="shared" si="12"/>
        <v>69.932178283998354</v>
      </c>
      <c r="S45" s="2862">
        <f>GREET1_Import_Export!$L75/1000000*GREET1_Import_Export!$B$28/GREET1_Import_Export!$E$28*454*2000</f>
        <v>788.20010083788691</v>
      </c>
      <c r="T45" s="2863">
        <f t="shared" si="13"/>
        <v>69.932178283998354</v>
      </c>
      <c r="U45" s="2861">
        <f>GREET1_Import_Export!$L75/1000000*GREET1_Import_Export!$B$28/GREET1_Import_Export!$E$28*454*2000</f>
        <v>788.20010083788691</v>
      </c>
      <c r="V45" s="2862">
        <f>(GREET1_Import_Export!$D$215*GREET1_Import_Export!C225+GREET1_Import_Export!D225)*GREET1_Import_Export!$B$29/1000000/GREET1_Import_Export!$E$29*454*2000</f>
        <v>34.545246630000001</v>
      </c>
      <c r="W45" s="2861">
        <v>0</v>
      </c>
      <c r="X45" s="2863">
        <f t="shared" si="14"/>
        <v>69.932178283998354</v>
      </c>
      <c r="Y45" s="2861">
        <f>GREET1_Import_Export!$L75/1000000*GREET1_Import_Export!$B$28/GREET1_Import_Export!$E$28*454*2000</f>
        <v>788.20010083788691</v>
      </c>
    </row>
    <row r="46" spans="1:25" s="2136" customFormat="1" ht="15.75">
      <c r="A46" s="2236" t="s">
        <v>2544</v>
      </c>
      <c r="B46" s="2911">
        <f>GREET1_Import_Export!J536</f>
        <v>72.240149797399781</v>
      </c>
      <c r="C46" s="710"/>
      <c r="D46" s="2862">
        <f>(GREET1_Import_Export!$C$179*GREET1_Import_Export!B190+GREET1_Import_Export!C190)*GREET1_Import_Export!$B$27/1000000/GREET1_Import_Export!$E$27*454*2000</f>
        <v>60.127751235877788</v>
      </c>
      <c r="E46" s="2862">
        <f>GREET1_Import_Export!$L76/1000000*GREET1_Import_Export!$B$28/GREET1_Import_Export!$E$28*454*2000</f>
        <v>410.53700051001829</v>
      </c>
      <c r="F46" s="2863">
        <f t="shared" si="7"/>
        <v>60.127751235877788</v>
      </c>
      <c r="G46" s="2862">
        <f>GREET1_Import_Export!$L76/1000000*GREET1_Import_Export!$B$28/GREET1_Import_Export!$E$28*454*2000</f>
        <v>410.53700051001829</v>
      </c>
      <c r="H46" s="2863">
        <f t="shared" si="8"/>
        <v>60.127751235877788</v>
      </c>
      <c r="I46" s="2862">
        <f>GREET1_Import_Export!$L76/1000000*GREET1_Import_Export!$B$28/GREET1_Import_Export!$E$28*454*2000</f>
        <v>410.53700051001829</v>
      </c>
      <c r="J46" s="2863">
        <f t="shared" si="9"/>
        <v>60.127751235877788</v>
      </c>
      <c r="K46" s="2862">
        <f>GREET1_Import_Export!$L76/1000000*GREET1_Import_Export!$B$28/GREET1_Import_Export!$E$28*454*2000</f>
        <v>410.53700051001829</v>
      </c>
      <c r="L46" s="2863">
        <f t="shared" si="10"/>
        <v>60.127751235877788</v>
      </c>
      <c r="M46" s="2862">
        <f>GREET1_Import_Export!$L76/1000000*GREET1_Import_Export!$B$28/GREET1_Import_Export!$E$28*454*2000</f>
        <v>410.53700051001829</v>
      </c>
      <c r="N46" s="2862">
        <f t="shared" si="11"/>
        <v>60.127751235877788</v>
      </c>
      <c r="O46" s="2862">
        <f>GREET1_Import_Export!$L76/1000000*GREET1_Import_Export!$B$28/GREET1_Import_Export!$E$28*454*2000</f>
        <v>410.53700051001829</v>
      </c>
      <c r="P46" s="2863">
        <f xml:space="preserve"> $D$46</f>
        <v>60.127751235877788</v>
      </c>
      <c r="Q46" s="2861">
        <f>GREET1_Import_Export!$L76/1000000*GREET1_Import_Export!$B$28/GREET1_Import_Export!$E$28*454*2000</f>
        <v>410.53700051001829</v>
      </c>
      <c r="R46" s="2863">
        <f t="shared" si="12"/>
        <v>60.127751235877788</v>
      </c>
      <c r="S46" s="2862">
        <f>GREET1_Import_Export!$L76/1000000*GREET1_Import_Export!$B$28/GREET1_Import_Export!$E$28*454*2000</f>
        <v>410.53700051001829</v>
      </c>
      <c r="T46" s="2863">
        <f t="shared" si="13"/>
        <v>60.127751235877788</v>
      </c>
      <c r="U46" s="2861">
        <f>GREET1_Import_Export!$L76/1000000*GREET1_Import_Export!$B$28/GREET1_Import_Export!$E$28*454*2000</f>
        <v>410.53700051001829</v>
      </c>
      <c r="V46" s="2862">
        <f>(GREET1_Import_Export!$D$215*GREET1_Import_Export!C226+GREET1_Import_Export!D226)*GREET1_Import_Export!$B$29/1000000/GREET1_Import_Export!$E$29*454*2000</f>
        <v>28.647490928111544</v>
      </c>
      <c r="W46" s="2861">
        <v>0</v>
      </c>
      <c r="X46" s="2863">
        <f t="shared" si="14"/>
        <v>60.127751235877788</v>
      </c>
      <c r="Y46" s="2861">
        <f>GREET1_Import_Export!$L76/1000000*GREET1_Import_Export!$B$28/GREET1_Import_Export!$E$28*454*2000</f>
        <v>410.53700051001829</v>
      </c>
    </row>
    <row r="47" spans="1:25" s="2136" customFormat="1" ht="15.75">
      <c r="A47" s="2236" t="s">
        <v>2545</v>
      </c>
      <c r="B47" s="2911">
        <f>GREET1_Import_Export!J537</f>
        <v>387.31790386698236</v>
      </c>
      <c r="C47" s="710"/>
      <c r="D47" s="2862">
        <f>(GREET1_Import_Export!$C$179*GREET1_Import_Export!B191+GREET1_Import_Export!C191)*GREET1_Import_Export!$B$27/1000000/GREET1_Import_Export!$E$27*454*2000</f>
        <v>213.46776563991827</v>
      </c>
      <c r="E47" s="2862">
        <f>GREET1_Import_Export!$L77/1000000*GREET1_Import_Export!$B$28/GREET1_Import_Export!$E$28*454*2000</f>
        <v>9933.3323797449902</v>
      </c>
      <c r="F47" s="2863">
        <f t="shared" si="7"/>
        <v>213.46776563991827</v>
      </c>
      <c r="G47" s="2862">
        <f>GREET1_Import_Export!$L77/1000000*GREET1_Import_Export!$B$28/GREET1_Import_Export!$E$28*454*2000</f>
        <v>9933.3323797449902</v>
      </c>
      <c r="H47" s="2863">
        <f t="shared" si="8"/>
        <v>213.46776563991827</v>
      </c>
      <c r="I47" s="2862">
        <f>GREET1_Import_Export!$L77/1000000*GREET1_Import_Export!$B$28/GREET1_Import_Export!$E$28*454*2000</f>
        <v>9933.3323797449902</v>
      </c>
      <c r="J47" s="2863">
        <f t="shared" si="9"/>
        <v>213.46776563991827</v>
      </c>
      <c r="K47" s="2862">
        <f>GREET1_Import_Export!$L77/1000000*GREET1_Import_Export!$B$28/GREET1_Import_Export!$E$28*454*2000</f>
        <v>9933.3323797449902</v>
      </c>
      <c r="L47" s="2863">
        <f t="shared" si="10"/>
        <v>213.46776563991827</v>
      </c>
      <c r="M47" s="2862">
        <f>GREET1_Import_Export!$L77/1000000*GREET1_Import_Export!$B$28/GREET1_Import_Export!$E$28*454*2000</f>
        <v>9933.3323797449902</v>
      </c>
      <c r="N47" s="2862">
        <f t="shared" si="11"/>
        <v>213.46776563991827</v>
      </c>
      <c r="O47" s="2862">
        <f>GREET1_Import_Export!$L77/1000000*GREET1_Import_Export!$B$28/GREET1_Import_Export!$E$28*454*2000</f>
        <v>9933.3323797449902</v>
      </c>
      <c r="P47" s="2863">
        <f xml:space="preserve"> $D$47</f>
        <v>213.46776563991827</v>
      </c>
      <c r="Q47" s="2861">
        <f>GREET1_Import_Export!$L77/1000000*GREET1_Import_Export!$B$28/GREET1_Import_Export!$E$28*454*2000</f>
        <v>9933.3323797449902</v>
      </c>
      <c r="R47" s="2863">
        <f t="shared" si="12"/>
        <v>213.46776563991827</v>
      </c>
      <c r="S47" s="2862">
        <f>GREET1_Import_Export!$L77/1000000*GREET1_Import_Export!$B$28/GREET1_Import_Export!$E$28*454*2000</f>
        <v>9933.3323797449902</v>
      </c>
      <c r="T47" s="2863">
        <f t="shared" si="13"/>
        <v>213.46776563991827</v>
      </c>
      <c r="U47" s="2861">
        <f>GREET1_Import_Export!$L77/1000000*GREET1_Import_Export!$B$28/GREET1_Import_Export!$E$28*454*2000</f>
        <v>9933.3323797449902</v>
      </c>
      <c r="V47" s="2862">
        <f>(GREET1_Import_Export!$D$215*GREET1_Import_Export!C227+GREET1_Import_Export!D227)*GREET1_Import_Export!$B$29/1000000/GREET1_Import_Export!$E$29*454*2000</f>
        <v>298.12602268352981</v>
      </c>
      <c r="W47" s="2861">
        <v>0</v>
      </c>
      <c r="X47" s="2863">
        <f t="shared" si="14"/>
        <v>213.46776563991827</v>
      </c>
      <c r="Y47" s="2861">
        <f>GREET1_Import_Export!$L77/1000000*GREET1_Import_Export!$B$28/GREET1_Import_Export!$E$28*454*2000</f>
        <v>9933.3323797449902</v>
      </c>
    </row>
    <row r="48" spans="1:25" s="2136" customFormat="1">
      <c r="A48" s="2236" t="s">
        <v>827</v>
      </c>
      <c r="B48" s="2911">
        <f>GREET1_Import_Export!J538</f>
        <v>9.454219512945258</v>
      </c>
      <c r="C48" s="710"/>
      <c r="D48" s="2862">
        <f>(GREET1_Import_Export!$C$179*GREET1_Import_Export!B192+GREET1_Import_Export!C192)*GREET1_Import_Export!$B$27/1000000/GREET1_Import_Export!$E$27*454*2000</f>
        <v>8.3339768654095874</v>
      </c>
      <c r="E48" s="2862">
        <f>GREET1_Import_Export!$L78/1000000*GREET1_Import_Export!$B$28/GREET1_Import_Export!$E$28*454*2000</f>
        <v>26.02804583233516</v>
      </c>
      <c r="F48" s="2863">
        <f t="shared" si="7"/>
        <v>8.3339768654095874</v>
      </c>
      <c r="G48" s="2862">
        <f>GREET1_Import_Export!$L78/1000000*GREET1_Import_Export!$B$28/GREET1_Import_Export!$E$28*454*2000</f>
        <v>26.02804583233516</v>
      </c>
      <c r="H48" s="2863">
        <f t="shared" si="8"/>
        <v>8.3339768654095874</v>
      </c>
      <c r="I48" s="2862">
        <f>GREET1_Import_Export!$L78/1000000*GREET1_Import_Export!$B$28/GREET1_Import_Export!$E$28*454*2000</f>
        <v>26.02804583233516</v>
      </c>
      <c r="J48" s="2863">
        <f t="shared" si="9"/>
        <v>8.3339768654095874</v>
      </c>
      <c r="K48" s="2862">
        <f>GREET1_Import_Export!$L78/1000000*GREET1_Import_Export!$B$28/GREET1_Import_Export!$E$28*454*2000</f>
        <v>26.02804583233516</v>
      </c>
      <c r="L48" s="2863">
        <f t="shared" si="10"/>
        <v>8.3339768654095874</v>
      </c>
      <c r="M48" s="2862">
        <f>GREET1_Import_Export!$L78/1000000*GREET1_Import_Export!$B$28/GREET1_Import_Export!$E$28*454*2000</f>
        <v>26.02804583233516</v>
      </c>
      <c r="N48" s="2862">
        <f t="shared" si="11"/>
        <v>8.3339768654095874</v>
      </c>
      <c r="O48" s="2862">
        <f>GREET1_Import_Export!$L78/1000000*GREET1_Import_Export!$B$28/GREET1_Import_Export!$E$28*454*2000</f>
        <v>26.02804583233516</v>
      </c>
      <c r="P48" s="2863">
        <f xml:space="preserve"> $D$48</f>
        <v>8.3339768654095874</v>
      </c>
      <c r="Q48" s="2861">
        <f>GREET1_Import_Export!$L78/1000000*GREET1_Import_Export!$B$28/GREET1_Import_Export!$E$28*454*2000</f>
        <v>26.02804583233516</v>
      </c>
      <c r="R48" s="2863">
        <f t="shared" si="12"/>
        <v>8.3339768654095874</v>
      </c>
      <c r="S48" s="2862">
        <f>GREET1_Import_Export!$L78/1000000*GREET1_Import_Export!$B$28/GREET1_Import_Export!$E$28*454*2000</f>
        <v>26.02804583233516</v>
      </c>
      <c r="T48" s="2863">
        <f t="shared" si="13"/>
        <v>8.3339768654095874</v>
      </c>
      <c r="U48" s="2861">
        <f>GREET1_Import_Export!$L78/1000000*GREET1_Import_Export!$B$28/GREET1_Import_Export!$E$28*454*2000</f>
        <v>26.02804583233516</v>
      </c>
      <c r="V48" s="2862">
        <f>(GREET1_Import_Export!$D$215*GREET1_Import_Export!C228+GREET1_Import_Export!D228)*GREET1_Import_Export!$B$29/1000000/GREET1_Import_Export!$E$29*454*2000</f>
        <v>1.3218677009184621</v>
      </c>
      <c r="W48" s="2861">
        <v>0</v>
      </c>
      <c r="X48" s="2863">
        <f t="shared" si="14"/>
        <v>8.3339768654095874</v>
      </c>
      <c r="Y48" s="2861">
        <f>GREET1_Import_Export!$L78/1000000*GREET1_Import_Export!$B$28/GREET1_Import_Export!$E$28*454*2000</f>
        <v>26.02804583233516</v>
      </c>
    </row>
    <row r="49" spans="1:27" s="2136" customFormat="1">
      <c r="A49" s="2236" t="s">
        <v>828</v>
      </c>
      <c r="B49" s="2911">
        <f>GREET1_Import_Export!J539</f>
        <v>24.748024737437266</v>
      </c>
      <c r="C49" s="710"/>
      <c r="D49" s="2862">
        <f>(GREET1_Import_Export!$C$179*GREET1_Import_Export!B193+GREET1_Import_Export!C193)*GREET1_Import_Export!$B$27/1000000/GREET1_Import_Export!$E$27*454*2000</f>
        <v>13.725951621338114</v>
      </c>
      <c r="E49" s="2862">
        <f>GREET1_Import_Export!$L79/1000000*GREET1_Import_Export!$B$28/GREET1_Import_Export!$E$28*454*2000</f>
        <v>18.063628022440806</v>
      </c>
      <c r="F49" s="2863">
        <f t="shared" si="7"/>
        <v>13.725951621338114</v>
      </c>
      <c r="G49" s="2862">
        <f>GREET1_Import_Export!$L79/1000000*GREET1_Import_Export!$B$28/GREET1_Import_Export!$E$28*454*2000</f>
        <v>18.063628022440806</v>
      </c>
      <c r="H49" s="2863">
        <f t="shared" si="8"/>
        <v>13.725951621338114</v>
      </c>
      <c r="I49" s="2862">
        <f>GREET1_Import_Export!$L79/1000000*GREET1_Import_Export!$B$28/GREET1_Import_Export!$E$28*454*2000</f>
        <v>18.063628022440806</v>
      </c>
      <c r="J49" s="2863">
        <f t="shared" si="9"/>
        <v>13.725951621338114</v>
      </c>
      <c r="K49" s="2862">
        <f>GREET1_Import_Export!$L79/1000000*GREET1_Import_Export!$B$28/GREET1_Import_Export!$E$28*454*2000</f>
        <v>18.063628022440806</v>
      </c>
      <c r="L49" s="2863">
        <f t="shared" si="10"/>
        <v>13.725951621338114</v>
      </c>
      <c r="M49" s="2862">
        <f>GREET1_Import_Export!$L79/1000000*GREET1_Import_Export!$B$28/GREET1_Import_Export!$E$28*454*2000</f>
        <v>18.063628022440806</v>
      </c>
      <c r="N49" s="2862">
        <f t="shared" si="11"/>
        <v>13.725951621338114</v>
      </c>
      <c r="O49" s="2862">
        <f>GREET1_Import_Export!$L79/1000000*GREET1_Import_Export!$B$28/GREET1_Import_Export!$E$28*454*2000</f>
        <v>18.063628022440806</v>
      </c>
      <c r="P49" s="2863">
        <f xml:space="preserve"> $D$49</f>
        <v>13.725951621338114</v>
      </c>
      <c r="Q49" s="2861">
        <f>GREET1_Import_Export!$L79/1000000*GREET1_Import_Export!$B$28/GREET1_Import_Export!$E$28*454*2000</f>
        <v>18.063628022440806</v>
      </c>
      <c r="R49" s="2863">
        <f t="shared" si="12"/>
        <v>13.725951621338114</v>
      </c>
      <c r="S49" s="2862">
        <f>GREET1_Import_Export!$L79/1000000*GREET1_Import_Export!$B$28/GREET1_Import_Export!$E$28*454*2000</f>
        <v>18.063628022440806</v>
      </c>
      <c r="T49" s="2863">
        <f t="shared" si="13"/>
        <v>13.725951621338114</v>
      </c>
      <c r="U49" s="2861">
        <f>GREET1_Import_Export!$L79/1000000*GREET1_Import_Export!$B$28/GREET1_Import_Export!$E$28*454*2000</f>
        <v>18.063628022440806</v>
      </c>
      <c r="V49" s="2862">
        <f>(GREET1_Import_Export!$D$215*GREET1_Import_Export!C229+GREET1_Import_Export!D229)*GREET1_Import_Export!$B$29/1000000/GREET1_Import_Export!$E$29*454*2000</f>
        <v>1.8609118391586439</v>
      </c>
      <c r="W49" s="2861">
        <v>0</v>
      </c>
      <c r="X49" s="2863">
        <f t="shared" si="14"/>
        <v>13.725951621338114</v>
      </c>
      <c r="Y49" s="2861">
        <f>GREET1_Import_Export!$L79/1000000*GREET1_Import_Export!$B$28/GREET1_Import_Export!$E$28*454*2000</f>
        <v>18.063628022440806</v>
      </c>
    </row>
    <row r="50" spans="1:27" s="2136" customFormat="1" ht="15.75">
      <c r="A50" s="2236" t="s">
        <v>2546</v>
      </c>
      <c r="B50" s="2911">
        <f>GREET1_Import_Export!J540</f>
        <v>5112.628749053506</v>
      </c>
      <c r="C50" s="710"/>
      <c r="D50" s="2862">
        <f>(GREET1_Import_Export!$C$179*GREET1_Import_Export!B194+GREET1_Import_Export!C194)*GREET1_Import_Export!$B$27/1000000/GREET1_Import_Export!$E$27*454*2000</f>
        <v>4323.2506359701056</v>
      </c>
      <c r="E50" s="2862">
        <f>GREET1_Import_Export!$L80/1000000*GREET1_Import_Export!$B$28/GREET1_Import_Export!$E$28*454*2000</f>
        <v>59.366396211293264</v>
      </c>
      <c r="F50" s="2863">
        <f t="shared" si="7"/>
        <v>4323.2506359701056</v>
      </c>
      <c r="G50" s="2862">
        <f>GREET1_Import_Export!$L80/1000000*GREET1_Import_Export!$B$28/GREET1_Import_Export!$E$28*454*2000</f>
        <v>59.366396211293264</v>
      </c>
      <c r="H50" s="2863">
        <f t="shared" si="8"/>
        <v>4323.2506359701056</v>
      </c>
      <c r="I50" s="2862">
        <f>GREET1_Import_Export!$L80/1000000*GREET1_Import_Export!$B$28/GREET1_Import_Export!$E$28*454*2000</f>
        <v>59.366396211293264</v>
      </c>
      <c r="J50" s="2863">
        <f t="shared" si="9"/>
        <v>4323.2506359701056</v>
      </c>
      <c r="K50" s="2862">
        <f>GREET1_Import_Export!$L80/1000000*GREET1_Import_Export!$B$28/GREET1_Import_Export!$E$28*454*2000</f>
        <v>59.366396211293264</v>
      </c>
      <c r="L50" s="2863">
        <f t="shared" si="10"/>
        <v>4323.2506359701056</v>
      </c>
      <c r="M50" s="2862">
        <f>GREET1_Import_Export!$L80/1000000*GREET1_Import_Export!$B$28/GREET1_Import_Export!$E$28*454*2000</f>
        <v>59.366396211293264</v>
      </c>
      <c r="N50" s="2862">
        <f t="shared" si="11"/>
        <v>4323.2506359701056</v>
      </c>
      <c r="O50" s="2862">
        <f>GREET1_Import_Export!$L80/1000000*GREET1_Import_Export!$B$28/GREET1_Import_Export!$E$28*454*2000</f>
        <v>59.366396211293264</v>
      </c>
      <c r="P50" s="2863">
        <f xml:space="preserve"> $D$50</f>
        <v>4323.2506359701056</v>
      </c>
      <c r="Q50" s="2861">
        <f>GREET1_Import_Export!$L80/1000000*GREET1_Import_Export!$B$28/GREET1_Import_Export!$E$28*454*2000</f>
        <v>59.366396211293264</v>
      </c>
      <c r="R50" s="2863">
        <f t="shared" si="12"/>
        <v>4323.2506359701056</v>
      </c>
      <c r="S50" s="2862">
        <f>GREET1_Import_Export!$L80/1000000*GREET1_Import_Export!$B$28/GREET1_Import_Export!$E$28*454*2000</f>
        <v>59.366396211293264</v>
      </c>
      <c r="T50" s="2863">
        <f t="shared" si="13"/>
        <v>4323.2506359701056</v>
      </c>
      <c r="U50" s="2861">
        <f>GREET1_Import_Export!$L80/1000000*GREET1_Import_Export!$B$28/GREET1_Import_Export!$E$28*454*2000</f>
        <v>59.366396211293264</v>
      </c>
      <c r="V50" s="2862">
        <f>(GREET1_Import_Export!$D$215*GREET1_Import_Export!C230+GREET1_Import_Export!D230)*GREET1_Import_Export!$B$29/1000000/GREET1_Import_Export!$E$29*454*2000</f>
        <v>3759.8914488509899</v>
      </c>
      <c r="W50" s="2861">
        <v>0</v>
      </c>
      <c r="X50" s="2863">
        <f t="shared" si="14"/>
        <v>4323.2506359701056</v>
      </c>
      <c r="Y50" s="2861">
        <f>GREET1_Import_Export!$L80/1000000*GREET1_Import_Export!$B$28/GREET1_Import_Export!$E$28*454*2000</f>
        <v>59.366396211293264</v>
      </c>
    </row>
    <row r="51" spans="1:27" s="2136" customFormat="1" ht="15.75">
      <c r="A51" s="2236" t="s">
        <v>2547</v>
      </c>
      <c r="B51" s="2911">
        <f>GREET1_Import_Export!J541</f>
        <v>23.052392545257241</v>
      </c>
      <c r="C51" s="710"/>
      <c r="D51" s="2862">
        <f>(GREET1_Import_Export!$C$179*GREET1_Import_Export!B195+GREET1_Import_Export!C195)*GREET1_Import_Export!$B$27/1000000/GREET1_Import_Export!$E$27*454*2000</f>
        <v>10.780863115115137</v>
      </c>
      <c r="E51" s="2862">
        <f>GREET1_Import_Export!$L81/1000000*GREET1_Import_Export!$B$28/GREET1_Import_Export!$E$28*454*2000</f>
        <v>66.21190248451731</v>
      </c>
      <c r="F51" s="2863">
        <f t="shared" si="7"/>
        <v>10.780863115115137</v>
      </c>
      <c r="G51" s="2862">
        <f>GREET1_Import_Export!$L81/1000000*GREET1_Import_Export!$B$28/GREET1_Import_Export!$E$28*454*2000</f>
        <v>66.21190248451731</v>
      </c>
      <c r="H51" s="2863">
        <f t="shared" si="8"/>
        <v>10.780863115115137</v>
      </c>
      <c r="I51" s="2862">
        <f>GREET1_Import_Export!$L81/1000000*GREET1_Import_Export!$B$28/GREET1_Import_Export!$E$28*454*2000</f>
        <v>66.21190248451731</v>
      </c>
      <c r="J51" s="2863">
        <f t="shared" si="9"/>
        <v>10.780863115115137</v>
      </c>
      <c r="K51" s="2862">
        <f>GREET1_Import_Export!$L81/1000000*GREET1_Import_Export!$B$28/GREET1_Import_Export!$E$28*454*2000</f>
        <v>66.21190248451731</v>
      </c>
      <c r="L51" s="2863">
        <f t="shared" si="10"/>
        <v>10.780863115115137</v>
      </c>
      <c r="M51" s="2862">
        <f>GREET1_Import_Export!$L81/1000000*GREET1_Import_Export!$B$28/GREET1_Import_Export!$E$28*454*2000</f>
        <v>66.21190248451731</v>
      </c>
      <c r="N51" s="2862">
        <f t="shared" si="11"/>
        <v>10.780863115115137</v>
      </c>
      <c r="O51" s="2862">
        <f>GREET1_Import_Export!$L81/1000000*GREET1_Import_Export!$B$28/GREET1_Import_Export!$E$28*454*2000</f>
        <v>66.21190248451731</v>
      </c>
      <c r="P51" s="2863">
        <f xml:space="preserve"> $D$51</f>
        <v>10.780863115115137</v>
      </c>
      <c r="Q51" s="2861">
        <f>GREET1_Import_Export!$L81/1000000*GREET1_Import_Export!$B$28/GREET1_Import_Export!$E$28*454*2000</f>
        <v>66.21190248451731</v>
      </c>
      <c r="R51" s="2863">
        <f t="shared" si="12"/>
        <v>10.780863115115137</v>
      </c>
      <c r="S51" s="2862">
        <f>GREET1_Import_Export!$L81/1000000*GREET1_Import_Export!$B$28/GREET1_Import_Export!$E$28*454*2000</f>
        <v>66.21190248451731</v>
      </c>
      <c r="T51" s="2863">
        <f t="shared" si="13"/>
        <v>10.780863115115137</v>
      </c>
      <c r="U51" s="2861">
        <f>GREET1_Import_Export!$L81/1000000*GREET1_Import_Export!$B$28/GREET1_Import_Export!$E$28*454*2000</f>
        <v>66.21190248451731</v>
      </c>
      <c r="V51" s="2862">
        <f>(GREET1_Import_Export!$D$215*GREET1_Import_Export!C231+GREET1_Import_Export!D231)*GREET1_Import_Export!$B$29/1000000/GREET1_Import_Export!$E$29*454*2000</f>
        <v>5.8188554105738071</v>
      </c>
      <c r="W51" s="2861">
        <v>0</v>
      </c>
      <c r="X51" s="2863">
        <f t="shared" si="14"/>
        <v>10.780863115115137</v>
      </c>
      <c r="Y51" s="2861">
        <f>GREET1_Import_Export!$L81/1000000*GREET1_Import_Export!$B$28/GREET1_Import_Export!$E$28*454*2000</f>
        <v>66.21190248451731</v>
      </c>
    </row>
    <row r="52" spans="1:27" s="2144" customFormat="1" ht="15.75">
      <c r="A52" s="2238" t="s">
        <v>2548</v>
      </c>
      <c r="B52" s="2912">
        <f>GREET1_Import_Export!J542</f>
        <v>961657.50852660066</v>
      </c>
      <c r="C52" s="2908"/>
      <c r="D52" s="2871">
        <f>(GREET1_Import_Export!$C$179*GREET1_Import_Export!B196+GREET1_Import_Export!C196)*GREET1_Import_Export!$B$27/1000000/GREET1_Import_Export!$E$27*454*2000</f>
        <v>634434.35178228782</v>
      </c>
      <c r="E52" s="2871">
        <f>GREET1_Import_Export!$L82/1000000*GREET1_Import_Export!$B$28/GREET1_Import_Export!$E$28*454*2000</f>
        <v>3288946.5898123789</v>
      </c>
      <c r="F52" s="2863">
        <f t="shared" si="7"/>
        <v>634434.35178228782</v>
      </c>
      <c r="G52" s="2862">
        <f>GREET1_Import_Export!$L82/1000000*GREET1_Import_Export!$B$28/GREET1_Import_Export!$E$28*454*2000</f>
        <v>3288946.5898123789</v>
      </c>
      <c r="H52" s="2863">
        <f t="shared" si="8"/>
        <v>634434.35178228782</v>
      </c>
      <c r="I52" s="2862">
        <f>GREET1_Import_Export!$L82/1000000*GREET1_Import_Export!$B$28/GREET1_Import_Export!$E$28*454*2000</f>
        <v>3288946.5898123789</v>
      </c>
      <c r="J52" s="2863">
        <f t="shared" si="9"/>
        <v>634434.35178228782</v>
      </c>
      <c r="K52" s="2862">
        <f>GREET1_Import_Export!$L82/1000000*GREET1_Import_Export!$B$28/GREET1_Import_Export!$E$28*454*2000</f>
        <v>3288946.5898123789</v>
      </c>
      <c r="L52" s="2863">
        <f t="shared" si="10"/>
        <v>634434.35178228782</v>
      </c>
      <c r="M52" s="2862">
        <f>GREET1_Import_Export!$L82/1000000*GREET1_Import_Export!$B$28/GREET1_Import_Export!$E$28*454*2000</f>
        <v>3288946.5898123789</v>
      </c>
      <c r="N52" s="2862">
        <f t="shared" si="11"/>
        <v>634434.35178228782</v>
      </c>
      <c r="O52" s="2862">
        <f>GREET1_Import_Export!$L82/1000000*GREET1_Import_Export!$B$28/GREET1_Import_Export!$E$28*454*2000</f>
        <v>3288946.5898123789</v>
      </c>
      <c r="P52" s="2867">
        <f xml:space="preserve"> $D$52</f>
        <v>634434.35178228782</v>
      </c>
      <c r="Q52" s="2870">
        <f>GREET1_Import_Export!$L82/1000000*GREET1_Import_Export!$B$28/GREET1_Import_Export!$E$28*454*2000</f>
        <v>3288946.5898123789</v>
      </c>
      <c r="R52" s="2867">
        <f t="shared" si="12"/>
        <v>634434.35178228782</v>
      </c>
      <c r="S52" s="2871">
        <f>GREET1_Import_Export!$L82/1000000*GREET1_Import_Export!$B$28/GREET1_Import_Export!$E$28*454*2000</f>
        <v>3288946.5898123789</v>
      </c>
      <c r="T52" s="2867">
        <f t="shared" si="13"/>
        <v>634434.35178228782</v>
      </c>
      <c r="U52" s="2870">
        <f>GREET1_Import_Export!$L82/1000000*GREET1_Import_Export!$B$28/GREET1_Import_Export!$E$28*454*2000</f>
        <v>3288946.5898123789</v>
      </c>
      <c r="V52" s="2871">
        <f>(GREET1_Import_Export!$D$215*GREET1_Import_Export!C232+GREET1_Import_Export!D232)*GREET1_Import_Export!$B$29/1000000/GREET1_Import_Export!$E$29*454*2000</f>
        <v>324309.34487650963</v>
      </c>
      <c r="W52" s="2870">
        <v>0</v>
      </c>
      <c r="X52" s="2867">
        <f t="shared" si="14"/>
        <v>634434.35178228782</v>
      </c>
      <c r="Y52" s="2870">
        <f>GREET1_Import_Export!$L82/1000000*GREET1_Import_Export!$B$28/GREET1_Import_Export!$E$28*454*2000</f>
        <v>3288946.5898123789</v>
      </c>
    </row>
    <row r="53" spans="1:27" s="2136" customFormat="1">
      <c r="A53" s="2174" t="s">
        <v>865</v>
      </c>
      <c r="B53" s="1089">
        <f>GREET1_Import_Export!J543</f>
        <v>0</v>
      </c>
      <c r="C53" s="2909"/>
      <c r="D53" s="2876"/>
      <c r="E53" s="2876"/>
      <c r="F53" s="2860"/>
      <c r="G53" s="2858"/>
      <c r="H53" s="2860"/>
      <c r="I53" s="2858"/>
      <c r="J53" s="2860"/>
      <c r="K53" s="2858"/>
      <c r="L53" s="2860"/>
      <c r="M53" s="2858"/>
      <c r="N53" s="2859"/>
      <c r="O53" s="2858"/>
      <c r="P53" s="2877"/>
      <c r="Q53" s="2878"/>
      <c r="R53" s="2876"/>
      <c r="S53" s="2876"/>
      <c r="T53" s="2877"/>
      <c r="U53" s="2878"/>
      <c r="V53" s="2876"/>
      <c r="W53" s="2878"/>
      <c r="X53" s="2877"/>
      <c r="Y53" s="2878"/>
    </row>
    <row r="54" spans="1:27" s="2136" customFormat="1">
      <c r="A54" s="2093" t="s">
        <v>821</v>
      </c>
      <c r="B54" s="1273">
        <f>GREET1_Import_Export!J544</f>
        <v>292.50637471349972</v>
      </c>
      <c r="C54" s="2909"/>
      <c r="D54" s="2862">
        <f>(GREET1_Import_Export!$C$200*GREET1_Import_Export!B201+GREET1_Import_Export!C201)*GREET1_Import_Export!$B$27/1000000/GREET1_Import_Export!$E$27*454*2000</f>
        <v>597.45667005775636</v>
      </c>
      <c r="E54" s="2876">
        <f t="shared" ref="E54:O61" si="15">E42*E$22</f>
        <v>70.60153503825137</v>
      </c>
      <c r="F54" s="2863">
        <f xml:space="preserve"> D54</f>
        <v>597.45667005775636</v>
      </c>
      <c r="G54" s="2876">
        <f t="shared" si="15"/>
        <v>70.60153503825137</v>
      </c>
      <c r="H54" s="2863">
        <f xml:space="preserve"> D54</f>
        <v>597.45667005775636</v>
      </c>
      <c r="I54" s="2876">
        <f t="shared" si="15"/>
        <v>70.60153503825137</v>
      </c>
      <c r="J54" s="2863">
        <f xml:space="preserve"> D54</f>
        <v>597.45667005775636</v>
      </c>
      <c r="K54" s="2876">
        <f t="shared" si="15"/>
        <v>70.60153503825137</v>
      </c>
      <c r="L54" s="2863">
        <f xml:space="preserve"> D54</f>
        <v>597.45667005775636</v>
      </c>
      <c r="M54" s="2878">
        <f t="shared" si="15"/>
        <v>70.60153503825137</v>
      </c>
      <c r="N54" s="2862">
        <f xml:space="preserve"> D54</f>
        <v>597.45667005775636</v>
      </c>
      <c r="O54" s="2876">
        <f t="shared" si="15"/>
        <v>70.60153503825137</v>
      </c>
      <c r="P54" s="2863">
        <f xml:space="preserve"> D54</f>
        <v>597.45667005775636</v>
      </c>
      <c r="Q54" s="2878">
        <f t="shared" ref="Q54:Q61" si="16">Q42*Q$22</f>
        <v>70.60153503825137</v>
      </c>
      <c r="R54" s="2863">
        <f xml:space="preserve"> D54</f>
        <v>597.45667005775636</v>
      </c>
      <c r="S54" s="2876">
        <f t="shared" ref="S54:S61" si="17">S42*S$22</f>
        <v>70.60153503825137</v>
      </c>
      <c r="T54" s="2863">
        <f xml:space="preserve"> D54</f>
        <v>597.45667005775636</v>
      </c>
      <c r="U54" s="2878">
        <f t="shared" ref="U54:U61" si="18">U42*U$22</f>
        <v>70.60153503825137</v>
      </c>
      <c r="V54" s="2862">
        <f>(GREET1_Import_Export!$D$215*GREET1_Import_Export!C237+GREET1_Import_Export!D237)*GREET1_Import_Export!$B$29/1000000/GREET1_Import_Export!$E$29*454*2000</f>
        <v>157.26778113774395</v>
      </c>
      <c r="W54" s="2878">
        <f t="shared" ref="W54:W61" si="19">W42*W$22</f>
        <v>635600</v>
      </c>
      <c r="X54" s="2863">
        <f>F54</f>
        <v>597.45667005775636</v>
      </c>
      <c r="Y54" s="2878">
        <f t="shared" ref="Y54:Y61" si="20">Y42*Y$22</f>
        <v>70.60153503825137</v>
      </c>
    </row>
    <row r="55" spans="1:27" s="2136" customFormat="1">
      <c r="A55" s="2093" t="s">
        <v>822</v>
      </c>
      <c r="B55" s="1273">
        <f>GREET1_Import_Export!J545</f>
        <v>163.56548568441761</v>
      </c>
      <c r="C55" s="2909"/>
      <c r="D55" s="2862">
        <f>(GREET1_Import_Export!$C$200*GREET1_Import_Export!B202+GREET1_Import_Export!C202)*GREET1_Import_Export!$B$27/1000000/GREET1_Import_Export!$E$27*454*2000</f>
        <v>104.1607502734597</v>
      </c>
      <c r="E55" s="2876">
        <f t="shared" si="15"/>
        <v>312.36006449544624</v>
      </c>
      <c r="F55" s="2863">
        <f t="shared" ref="F55:F61" si="21" xml:space="preserve"> D55</f>
        <v>104.1607502734597</v>
      </c>
      <c r="G55" s="2876">
        <f t="shared" si="15"/>
        <v>312.36006449544624</v>
      </c>
      <c r="H55" s="2863">
        <f t="shared" ref="H55:H61" si="22" xml:space="preserve"> D55</f>
        <v>104.1607502734597</v>
      </c>
      <c r="I55" s="2876">
        <f t="shared" si="15"/>
        <v>312.36006449544624</v>
      </c>
      <c r="J55" s="2863">
        <f t="shared" ref="J55:J61" si="23" xml:space="preserve"> D55</f>
        <v>104.1607502734597</v>
      </c>
      <c r="K55" s="2876">
        <f t="shared" si="15"/>
        <v>312.36006449544624</v>
      </c>
      <c r="L55" s="2863">
        <f t="shared" ref="L55:L61" si="24" xml:space="preserve"> D55</f>
        <v>104.1607502734597</v>
      </c>
      <c r="M55" s="2878">
        <f t="shared" si="15"/>
        <v>312.36006449544624</v>
      </c>
      <c r="N55" s="2862">
        <f t="shared" ref="N55:N61" si="25" xml:space="preserve"> D55</f>
        <v>104.1607502734597</v>
      </c>
      <c r="O55" s="2876">
        <f t="shared" si="15"/>
        <v>312.36006449544624</v>
      </c>
      <c r="P55" s="2863">
        <f t="shared" ref="P55:P61" si="26" xml:space="preserve"> D55</f>
        <v>104.1607502734597</v>
      </c>
      <c r="Q55" s="2878">
        <f t="shared" si="16"/>
        <v>312.36006449544624</v>
      </c>
      <c r="R55" s="2863">
        <f t="shared" ref="R55:R61" si="27" xml:space="preserve"> D55</f>
        <v>104.1607502734597</v>
      </c>
      <c r="S55" s="2876">
        <f t="shared" si="17"/>
        <v>312.36006449544624</v>
      </c>
      <c r="T55" s="2863">
        <f t="shared" ref="T55:T61" si="28" xml:space="preserve"> D55</f>
        <v>104.1607502734597</v>
      </c>
      <c r="U55" s="2878">
        <f t="shared" si="18"/>
        <v>312.36006449544624</v>
      </c>
      <c r="V55" s="2862">
        <f>(GREET1_Import_Export!$D$215*GREET1_Import_Export!C238+GREET1_Import_Export!D238)*GREET1_Import_Export!$B$29/1000000/GREET1_Import_Export!$E$29*454*2000</f>
        <v>22.468097429737469</v>
      </c>
      <c r="W55" s="2878">
        <f t="shared" si="19"/>
        <v>0</v>
      </c>
      <c r="X55" s="2863">
        <f t="shared" ref="X55:X61" si="29">F55</f>
        <v>104.1607502734597</v>
      </c>
      <c r="Y55" s="2878">
        <f t="shared" si="20"/>
        <v>312.36006449544624</v>
      </c>
    </row>
    <row r="56" spans="1:27" s="2136" customFormat="1" ht="15.75">
      <c r="A56" s="2093" t="s">
        <v>2542</v>
      </c>
      <c r="B56" s="1273">
        <f>GREET1_Import_Export!J546</f>
        <v>255.03734294608418</v>
      </c>
      <c r="C56" s="2909"/>
      <c r="D56" s="2862">
        <f>(GREET1_Import_Export!$C$200*GREET1_Import_Export!B203+GREET1_Import_Export!C203)*GREET1_Import_Export!$B$27/1000000/GREET1_Import_Export!$E$27*454*2000</f>
        <v>160.589918400258</v>
      </c>
      <c r="E56" s="2876">
        <f t="shared" si="15"/>
        <v>2212.9355971438981</v>
      </c>
      <c r="F56" s="2863">
        <f t="shared" si="21"/>
        <v>160.589918400258</v>
      </c>
      <c r="G56" s="2876">
        <f t="shared" si="15"/>
        <v>2212.9355971438981</v>
      </c>
      <c r="H56" s="2863">
        <f t="shared" si="22"/>
        <v>160.589918400258</v>
      </c>
      <c r="I56" s="2876">
        <f t="shared" si="15"/>
        <v>2212.9355971438981</v>
      </c>
      <c r="J56" s="2863">
        <f t="shared" si="23"/>
        <v>160.589918400258</v>
      </c>
      <c r="K56" s="2876">
        <f t="shared" si="15"/>
        <v>2212.9355971438981</v>
      </c>
      <c r="L56" s="2863">
        <f t="shared" si="24"/>
        <v>160.589918400258</v>
      </c>
      <c r="M56" s="2878">
        <f t="shared" si="15"/>
        <v>2212.9355971438981</v>
      </c>
      <c r="N56" s="2862">
        <f t="shared" si="25"/>
        <v>160.589918400258</v>
      </c>
      <c r="O56" s="2876">
        <f t="shared" si="15"/>
        <v>2212.9355971438981</v>
      </c>
      <c r="P56" s="2863">
        <f t="shared" si="26"/>
        <v>160.589918400258</v>
      </c>
      <c r="Q56" s="2878">
        <f t="shared" si="16"/>
        <v>2212.9355971438981</v>
      </c>
      <c r="R56" s="2863">
        <f t="shared" si="27"/>
        <v>160.589918400258</v>
      </c>
      <c r="S56" s="2876">
        <f t="shared" si="17"/>
        <v>2212.9355971438981</v>
      </c>
      <c r="T56" s="2863">
        <f t="shared" si="28"/>
        <v>160.589918400258</v>
      </c>
      <c r="U56" s="2878">
        <f t="shared" si="18"/>
        <v>2212.9355971438981</v>
      </c>
      <c r="V56" s="2862">
        <f>(GREET1_Import_Export!$D$215*GREET1_Import_Export!C239+GREET1_Import_Export!D239)*GREET1_Import_Export!$B$29/1000000/GREET1_Import_Export!$E$29*454*2000</f>
        <v>31.383272831456921</v>
      </c>
      <c r="W56" s="2878">
        <f t="shared" si="19"/>
        <v>0</v>
      </c>
      <c r="X56" s="2863">
        <f t="shared" si="29"/>
        <v>160.589918400258</v>
      </c>
      <c r="Y56" s="2878">
        <f t="shared" si="20"/>
        <v>2212.9355971438981</v>
      </c>
    </row>
    <row r="57" spans="1:27" s="2136" customFormat="1" ht="15.75">
      <c r="A57" s="2093" t="s">
        <v>2543</v>
      </c>
      <c r="B57" s="1273">
        <f>GREET1_Import_Export!J547</f>
        <v>27.634369770702303</v>
      </c>
      <c r="C57" s="2909"/>
      <c r="D57" s="2862">
        <f>(GREET1_Import_Export!$C$200*GREET1_Import_Export!B204+GREET1_Import_Export!C204)*GREET1_Import_Export!$B$27/1000000/GREET1_Import_Export!$E$27*454*2000</f>
        <v>34.082018634479518</v>
      </c>
      <c r="E57" s="2876">
        <f t="shared" si="15"/>
        <v>394.10005041894345</v>
      </c>
      <c r="F57" s="2863">
        <f t="shared" si="21"/>
        <v>34.082018634479518</v>
      </c>
      <c r="G57" s="2876">
        <f t="shared" si="15"/>
        <v>394.10005041894345</v>
      </c>
      <c r="H57" s="2863">
        <f t="shared" si="22"/>
        <v>34.082018634479518</v>
      </c>
      <c r="I57" s="2876">
        <f t="shared" si="15"/>
        <v>394.10005041894345</v>
      </c>
      <c r="J57" s="2863">
        <f t="shared" si="23"/>
        <v>34.082018634479518</v>
      </c>
      <c r="K57" s="2876">
        <f t="shared" si="15"/>
        <v>394.10005041894345</v>
      </c>
      <c r="L57" s="2863">
        <f t="shared" si="24"/>
        <v>34.082018634479518</v>
      </c>
      <c r="M57" s="2878">
        <f t="shared" si="15"/>
        <v>394.10005041894345</v>
      </c>
      <c r="N57" s="2862">
        <f t="shared" si="25"/>
        <v>34.082018634479518</v>
      </c>
      <c r="O57" s="2876">
        <f t="shared" si="15"/>
        <v>394.10005041894345</v>
      </c>
      <c r="P57" s="2863">
        <f t="shared" si="26"/>
        <v>34.082018634479518</v>
      </c>
      <c r="Q57" s="2878">
        <f t="shared" si="16"/>
        <v>394.10005041894345</v>
      </c>
      <c r="R57" s="2863">
        <f t="shared" si="27"/>
        <v>34.082018634479518</v>
      </c>
      <c r="S57" s="2876">
        <f t="shared" si="17"/>
        <v>394.10005041894345</v>
      </c>
      <c r="T57" s="2863">
        <f t="shared" si="28"/>
        <v>34.082018634479518</v>
      </c>
      <c r="U57" s="2878">
        <f t="shared" si="18"/>
        <v>394.10005041894345</v>
      </c>
      <c r="V57" s="2862">
        <f>(GREET1_Import_Export!$D$215*GREET1_Import_Export!C240+GREET1_Import_Export!D240)*GREET1_Import_Export!$B$29/1000000/GREET1_Import_Export!$E$29*454*2000</f>
        <v>4.038733285021828</v>
      </c>
      <c r="W57" s="2878">
        <f t="shared" si="19"/>
        <v>0</v>
      </c>
      <c r="X57" s="2863">
        <f t="shared" si="29"/>
        <v>34.082018634479518</v>
      </c>
      <c r="Y57" s="2878">
        <f t="shared" si="20"/>
        <v>394.10005041894345</v>
      </c>
    </row>
    <row r="58" spans="1:27" s="2136" customFormat="1" ht="15.75">
      <c r="A58" s="2093" t="s">
        <v>2544</v>
      </c>
      <c r="B58" s="1273">
        <f>GREET1_Import_Export!J548</f>
        <v>25.000352829601859</v>
      </c>
      <c r="C58" s="2909"/>
      <c r="D58" s="2862">
        <f>(GREET1_Import_Export!$C$200*GREET1_Import_Export!B205+GREET1_Import_Export!C205)*GREET1_Import_Export!$B$27/1000000/GREET1_Import_Export!$E$27*454*2000</f>
        <v>29.74599283919353</v>
      </c>
      <c r="E58" s="2876">
        <f t="shared" si="15"/>
        <v>205.26850025500914</v>
      </c>
      <c r="F58" s="2863">
        <f t="shared" si="21"/>
        <v>29.74599283919353</v>
      </c>
      <c r="G58" s="2876">
        <f t="shared" si="15"/>
        <v>205.26850025500914</v>
      </c>
      <c r="H58" s="2863">
        <f t="shared" si="22"/>
        <v>29.74599283919353</v>
      </c>
      <c r="I58" s="2876">
        <f t="shared" si="15"/>
        <v>205.26850025500914</v>
      </c>
      <c r="J58" s="2863">
        <f t="shared" si="23"/>
        <v>29.74599283919353</v>
      </c>
      <c r="K58" s="2876">
        <f t="shared" si="15"/>
        <v>205.26850025500914</v>
      </c>
      <c r="L58" s="2863">
        <f t="shared" si="24"/>
        <v>29.74599283919353</v>
      </c>
      <c r="M58" s="2878">
        <f t="shared" si="15"/>
        <v>205.26850025500914</v>
      </c>
      <c r="N58" s="2862">
        <f t="shared" si="25"/>
        <v>29.74599283919353</v>
      </c>
      <c r="O58" s="2876">
        <f t="shared" si="15"/>
        <v>205.26850025500914</v>
      </c>
      <c r="P58" s="2863">
        <f t="shared" si="26"/>
        <v>29.74599283919353</v>
      </c>
      <c r="Q58" s="2878">
        <f t="shared" si="16"/>
        <v>205.26850025500914</v>
      </c>
      <c r="R58" s="2863">
        <f t="shared" si="27"/>
        <v>29.74599283919353</v>
      </c>
      <c r="S58" s="2876">
        <f t="shared" si="17"/>
        <v>205.26850025500914</v>
      </c>
      <c r="T58" s="2863">
        <f t="shared" si="28"/>
        <v>29.74599283919353</v>
      </c>
      <c r="U58" s="2878">
        <f t="shared" si="18"/>
        <v>205.26850025500914</v>
      </c>
      <c r="V58" s="2862">
        <f>(GREET1_Import_Export!$D$215*GREET1_Import_Export!C241+GREET1_Import_Export!D241)*GREET1_Import_Export!$B$29/1000000/GREET1_Import_Export!$E$29*454*2000</f>
        <v>3.4916097272988385</v>
      </c>
      <c r="W58" s="2878">
        <f t="shared" si="19"/>
        <v>0</v>
      </c>
      <c r="X58" s="2863">
        <f t="shared" si="29"/>
        <v>29.74599283919353</v>
      </c>
      <c r="Y58" s="2878">
        <f t="shared" si="20"/>
        <v>205.26850025500914</v>
      </c>
    </row>
    <row r="59" spans="1:27" s="2136" customFormat="1" ht="15.75">
      <c r="A59" s="2093" t="s">
        <v>2545</v>
      </c>
      <c r="B59" s="1273">
        <f>GREET1_Import_Export!J549</f>
        <v>52.66647133617515</v>
      </c>
      <c r="C59" s="2909"/>
      <c r="D59" s="2862">
        <f>(GREET1_Import_Export!$C$200*GREET1_Import_Export!B206+GREET1_Import_Export!C206)*GREET1_Import_Export!$B$27/1000000/GREET1_Import_Export!$E$27*454*2000</f>
        <v>58.167806046976821</v>
      </c>
      <c r="E59" s="2876">
        <f t="shared" si="15"/>
        <v>4966.6661898724951</v>
      </c>
      <c r="F59" s="2863">
        <f t="shared" si="21"/>
        <v>58.167806046976821</v>
      </c>
      <c r="G59" s="2876">
        <f t="shared" si="15"/>
        <v>4966.6661898724951</v>
      </c>
      <c r="H59" s="2863">
        <f t="shared" si="22"/>
        <v>58.167806046976821</v>
      </c>
      <c r="I59" s="2876">
        <f t="shared" si="15"/>
        <v>4966.6661898724951</v>
      </c>
      <c r="J59" s="2863">
        <f t="shared" si="23"/>
        <v>58.167806046976821</v>
      </c>
      <c r="K59" s="2876">
        <f t="shared" si="15"/>
        <v>4966.6661898724951</v>
      </c>
      <c r="L59" s="2863">
        <f t="shared" si="24"/>
        <v>58.167806046976821</v>
      </c>
      <c r="M59" s="2878">
        <f t="shared" si="15"/>
        <v>4966.6661898724951</v>
      </c>
      <c r="N59" s="2862">
        <f t="shared" si="25"/>
        <v>58.167806046976821</v>
      </c>
      <c r="O59" s="2876">
        <f t="shared" si="15"/>
        <v>4966.6661898724951</v>
      </c>
      <c r="P59" s="2863">
        <f t="shared" si="26"/>
        <v>58.167806046976821</v>
      </c>
      <c r="Q59" s="2878">
        <f t="shared" si="16"/>
        <v>4966.6661898724951</v>
      </c>
      <c r="R59" s="2863">
        <f t="shared" si="27"/>
        <v>58.167806046976821</v>
      </c>
      <c r="S59" s="2876">
        <f t="shared" si="17"/>
        <v>4966.6661898724951</v>
      </c>
      <c r="T59" s="2863">
        <f t="shared" si="28"/>
        <v>58.167806046976821</v>
      </c>
      <c r="U59" s="2878">
        <f t="shared" si="18"/>
        <v>4966.6661898724951</v>
      </c>
      <c r="V59" s="2862">
        <f>(GREET1_Import_Export!$D$215*GREET1_Import_Export!C242+GREET1_Import_Export!D242)*GREET1_Import_Export!$B$29/1000000/GREET1_Import_Export!$E$29*454*2000</f>
        <v>17.551086202375707</v>
      </c>
      <c r="W59" s="2878">
        <f t="shared" si="19"/>
        <v>0</v>
      </c>
      <c r="X59" s="2863">
        <f t="shared" si="29"/>
        <v>58.167806046976821</v>
      </c>
      <c r="Y59" s="2878">
        <f t="shared" si="20"/>
        <v>4966.6661898724951</v>
      </c>
    </row>
    <row r="60" spans="1:27" s="2136" customFormat="1">
      <c r="A60" s="2093" t="s">
        <v>827</v>
      </c>
      <c r="B60" s="1273">
        <f>GREET1_Import_Export!J550</f>
        <v>2.166216636388504</v>
      </c>
      <c r="C60" s="2909"/>
      <c r="D60" s="2862">
        <f>(GREET1_Import_Export!$C$200*GREET1_Import_Export!B207+GREET1_Import_Export!C207)*GREET1_Import_Export!$B$27/1000000/GREET1_Import_Export!$E$27*454*2000</f>
        <v>3.4029775499151085</v>
      </c>
      <c r="E60" s="2876">
        <f t="shared" si="15"/>
        <v>13.01402291616758</v>
      </c>
      <c r="F60" s="2863">
        <f t="shared" si="21"/>
        <v>3.4029775499151085</v>
      </c>
      <c r="G60" s="2876">
        <f t="shared" si="15"/>
        <v>13.01402291616758</v>
      </c>
      <c r="H60" s="2863">
        <f t="shared" si="22"/>
        <v>3.4029775499151085</v>
      </c>
      <c r="I60" s="2876">
        <f t="shared" si="15"/>
        <v>13.01402291616758</v>
      </c>
      <c r="J60" s="2863">
        <f t="shared" si="23"/>
        <v>3.4029775499151085</v>
      </c>
      <c r="K60" s="2876">
        <f t="shared" si="15"/>
        <v>13.01402291616758</v>
      </c>
      <c r="L60" s="2863">
        <f t="shared" si="24"/>
        <v>3.4029775499151085</v>
      </c>
      <c r="M60" s="2878">
        <f t="shared" si="15"/>
        <v>13.01402291616758</v>
      </c>
      <c r="N60" s="2862">
        <f t="shared" si="25"/>
        <v>3.4029775499151085</v>
      </c>
      <c r="O60" s="2876">
        <f t="shared" si="15"/>
        <v>13.01402291616758</v>
      </c>
      <c r="P60" s="2863">
        <f t="shared" si="26"/>
        <v>3.4029775499151085</v>
      </c>
      <c r="Q60" s="2878">
        <f t="shared" si="16"/>
        <v>13.01402291616758</v>
      </c>
      <c r="R60" s="2863">
        <f t="shared" si="27"/>
        <v>3.4029775499151085</v>
      </c>
      <c r="S60" s="2876">
        <f t="shared" si="17"/>
        <v>13.01402291616758</v>
      </c>
      <c r="T60" s="2863">
        <f t="shared" si="28"/>
        <v>3.4029775499151085</v>
      </c>
      <c r="U60" s="2878">
        <f t="shared" si="18"/>
        <v>13.01402291616758</v>
      </c>
      <c r="V60" s="2862">
        <f>(GREET1_Import_Export!$D$215*GREET1_Import_Export!C243+GREET1_Import_Export!D243)*GREET1_Import_Export!$B$29/1000000/GREET1_Import_Export!$E$29*454*2000</f>
        <v>1.6005334752002456E-2</v>
      </c>
      <c r="W60" s="2878">
        <f t="shared" si="19"/>
        <v>0</v>
      </c>
      <c r="X60" s="2863">
        <f t="shared" si="29"/>
        <v>3.4029775499151085</v>
      </c>
      <c r="Y60" s="2878">
        <f t="shared" si="20"/>
        <v>13.01402291616758</v>
      </c>
    </row>
    <row r="61" spans="1:27" s="2136" customFormat="1">
      <c r="A61" s="2142" t="s">
        <v>828</v>
      </c>
      <c r="B61" s="2879">
        <f>GREET1_Import_Export!J551</f>
        <v>7.304668983264146</v>
      </c>
      <c r="C61" s="2910"/>
      <c r="D61" s="2881">
        <f>(GREET1_Import_Export!$C$200*GREET1_Import_Export!B208+GREET1_Import_Export!C208)*GREET1_Import_Export!$B$27/1000000/GREET1_Import_Export!$E$27*454*2000</f>
        <v>4.5500776306874702</v>
      </c>
      <c r="E61" s="2882">
        <f t="shared" si="15"/>
        <v>9.0318140112204031</v>
      </c>
      <c r="F61" s="2867">
        <f t="shared" si="21"/>
        <v>4.5500776306874702</v>
      </c>
      <c r="G61" s="2882">
        <f t="shared" si="15"/>
        <v>9.0318140112204031</v>
      </c>
      <c r="H61" s="2867">
        <f t="shared" si="22"/>
        <v>4.5500776306874702</v>
      </c>
      <c r="I61" s="2882">
        <f t="shared" si="15"/>
        <v>9.0318140112204031</v>
      </c>
      <c r="J61" s="2867">
        <f t="shared" si="23"/>
        <v>4.5500776306874702</v>
      </c>
      <c r="K61" s="2882">
        <f t="shared" si="15"/>
        <v>9.0318140112204031</v>
      </c>
      <c r="L61" s="2867">
        <f t="shared" si="24"/>
        <v>4.5500776306874702</v>
      </c>
      <c r="M61" s="2880">
        <f t="shared" si="15"/>
        <v>9.0318140112204031</v>
      </c>
      <c r="N61" s="2881">
        <f t="shared" si="25"/>
        <v>4.5500776306874702</v>
      </c>
      <c r="O61" s="2880">
        <f t="shared" si="15"/>
        <v>9.0318140112204031</v>
      </c>
      <c r="P61" s="2867">
        <f t="shared" si="26"/>
        <v>4.5500776306874702</v>
      </c>
      <c r="Q61" s="2880">
        <f t="shared" si="16"/>
        <v>9.0318140112204031</v>
      </c>
      <c r="R61" s="2867">
        <f t="shared" si="27"/>
        <v>4.5500776306874702</v>
      </c>
      <c r="S61" s="2882">
        <f t="shared" si="17"/>
        <v>9.0318140112204031</v>
      </c>
      <c r="T61" s="2867">
        <f t="shared" si="28"/>
        <v>4.5500776306874702</v>
      </c>
      <c r="U61" s="2880">
        <f t="shared" si="18"/>
        <v>9.0318140112204031</v>
      </c>
      <c r="V61" s="2881">
        <f>(GREET1_Import_Export!$D$215*GREET1_Import_Export!C244+GREET1_Import_Export!D244)*GREET1_Import_Export!$B$29/1000000/GREET1_Import_Export!$E$29*454*2000</f>
        <v>0.28520082223609117</v>
      </c>
      <c r="W61" s="2880">
        <f t="shared" si="19"/>
        <v>0</v>
      </c>
      <c r="X61" s="2867">
        <f t="shared" si="29"/>
        <v>4.5500776306874702</v>
      </c>
      <c r="Y61" s="2880">
        <f t="shared" si="20"/>
        <v>9.0318140112204031</v>
      </c>
    </row>
    <row r="62" spans="1:27" s="2136" customFormat="1">
      <c r="N62" s="2148"/>
    </row>
    <row r="63" spans="1:27" s="2136" customFormat="1" ht="15">
      <c r="A63" s="2149" t="s">
        <v>1433</v>
      </c>
    </row>
    <row r="64" spans="1:27" s="621" customFormat="1" ht="22.5" customHeight="1">
      <c r="A64" s="1570"/>
      <c r="B64" s="3172" t="s">
        <v>157</v>
      </c>
      <c r="C64" s="3173"/>
      <c r="D64" s="3172" t="s">
        <v>2339</v>
      </c>
      <c r="E64" s="3173"/>
      <c r="F64" s="3171" t="s">
        <v>2673</v>
      </c>
      <c r="G64" s="3171"/>
      <c r="H64" s="3020" t="s">
        <v>2341</v>
      </c>
      <c r="I64" s="3022"/>
      <c r="J64" s="3171" t="s">
        <v>2342</v>
      </c>
      <c r="K64" s="3171"/>
      <c r="L64" s="3022" t="s">
        <v>2674</v>
      </c>
      <c r="M64" s="3171"/>
      <c r="N64" s="3174" t="s">
        <v>158</v>
      </c>
      <c r="O64" s="3174"/>
      <c r="P64" s="3172" t="s">
        <v>159</v>
      </c>
      <c r="Q64" s="3173"/>
      <c r="R64" s="3174" t="s">
        <v>160</v>
      </c>
      <c r="S64" s="3174"/>
      <c r="T64" s="3172" t="s">
        <v>161</v>
      </c>
      <c r="U64" s="3173"/>
      <c r="V64" s="3172" t="s">
        <v>2549</v>
      </c>
      <c r="W64" s="3173"/>
      <c r="X64" s="3172" t="s">
        <v>162</v>
      </c>
      <c r="Y64" s="3173"/>
      <c r="Z64" s="3172" t="s">
        <v>163</v>
      </c>
      <c r="AA64" s="3173"/>
    </row>
    <row r="65" spans="1:27" s="2136" customFormat="1">
      <c r="A65" s="2151"/>
      <c r="B65" s="2195" t="s">
        <v>1430</v>
      </c>
      <c r="C65" s="2196" t="s">
        <v>1434</v>
      </c>
      <c r="D65" s="2152" t="s">
        <v>1430</v>
      </c>
      <c r="E65" s="2153" t="s">
        <v>1434</v>
      </c>
      <c r="F65" s="2154" t="s">
        <v>1430</v>
      </c>
      <c r="G65" s="2154" t="s">
        <v>1434</v>
      </c>
      <c r="H65" s="2152" t="s">
        <v>1430</v>
      </c>
      <c r="I65" s="2154" t="s">
        <v>1434</v>
      </c>
      <c r="J65" s="2152" t="s">
        <v>1430</v>
      </c>
      <c r="K65" s="2154" t="s">
        <v>1434</v>
      </c>
      <c r="L65" s="2152" t="s">
        <v>1430</v>
      </c>
      <c r="M65" s="2154" t="s">
        <v>1434</v>
      </c>
      <c r="N65" s="2152" t="s">
        <v>1430</v>
      </c>
      <c r="O65" s="2154" t="s">
        <v>1434</v>
      </c>
      <c r="P65" s="2152" t="s">
        <v>1430</v>
      </c>
      <c r="Q65" s="2153" t="s">
        <v>1434</v>
      </c>
      <c r="R65" s="2152" t="s">
        <v>1430</v>
      </c>
      <c r="S65" s="2153" t="s">
        <v>1434</v>
      </c>
      <c r="T65" s="2154" t="s">
        <v>1430</v>
      </c>
      <c r="U65" s="2154" t="s">
        <v>1434</v>
      </c>
      <c r="V65" s="2152" t="s">
        <v>1430</v>
      </c>
      <c r="W65" s="2154" t="s">
        <v>1434</v>
      </c>
      <c r="X65" s="2152" t="s">
        <v>1430</v>
      </c>
      <c r="Y65" s="2153" t="s">
        <v>1434</v>
      </c>
      <c r="Z65" s="2154" t="s">
        <v>1430</v>
      </c>
      <c r="AA65" s="2153" t="s">
        <v>1435</v>
      </c>
    </row>
    <row r="66" spans="1:27" s="2136" customFormat="1">
      <c r="A66" s="2155" t="s">
        <v>1029</v>
      </c>
      <c r="B66" s="2918" t="s">
        <v>846</v>
      </c>
      <c r="C66" s="2919" t="s">
        <v>846</v>
      </c>
      <c r="D66" s="2918" t="s">
        <v>846</v>
      </c>
      <c r="E66" s="2919" t="s">
        <v>846</v>
      </c>
      <c r="F66" s="2920" t="s">
        <v>846</v>
      </c>
      <c r="G66" s="2919" t="s">
        <v>846</v>
      </c>
      <c r="H66" s="2920" t="s">
        <v>846</v>
      </c>
      <c r="I66" s="2919" t="s">
        <v>846</v>
      </c>
      <c r="J66" s="2920" t="s">
        <v>846</v>
      </c>
      <c r="K66" s="2919" t="s">
        <v>846</v>
      </c>
      <c r="L66" s="2920" t="s">
        <v>846</v>
      </c>
      <c r="M66" s="2919" t="s">
        <v>846</v>
      </c>
      <c r="N66" s="2920" t="s">
        <v>846</v>
      </c>
      <c r="O66" s="2919" t="s">
        <v>846</v>
      </c>
      <c r="P66" s="2920" t="s">
        <v>846</v>
      </c>
      <c r="Q66" s="2919" t="s">
        <v>846</v>
      </c>
      <c r="R66" s="2920" t="s">
        <v>846</v>
      </c>
      <c r="S66" s="2919" t="s">
        <v>846</v>
      </c>
      <c r="T66" s="2920" t="s">
        <v>846</v>
      </c>
      <c r="U66" s="2919" t="s">
        <v>846</v>
      </c>
      <c r="V66" s="2920" t="s">
        <v>846</v>
      </c>
      <c r="W66" s="2919" t="s">
        <v>846</v>
      </c>
      <c r="X66" s="2920" t="s">
        <v>846</v>
      </c>
      <c r="Y66" s="2919" t="s">
        <v>846</v>
      </c>
      <c r="Z66" s="2920" t="s">
        <v>846</v>
      </c>
      <c r="AA66" s="2919" t="s">
        <v>846</v>
      </c>
    </row>
    <row r="67" spans="1:27" s="2136" customFormat="1">
      <c r="A67" s="2151" t="s">
        <v>816</v>
      </c>
      <c r="B67" s="2863">
        <f t="shared" ref="B67:C69" si="30">D35/2000</f>
        <v>2.2977217947349794E-2</v>
      </c>
      <c r="C67" s="2861">
        <f t="shared" si="30"/>
        <v>0</v>
      </c>
      <c r="D67" s="2863">
        <f t="shared" ref="D67:S82" si="31" xml:space="preserve"> F35/2000</f>
        <v>2.2977217947349794E-2</v>
      </c>
      <c r="E67" s="2861">
        <f t="shared" si="31"/>
        <v>0</v>
      </c>
      <c r="F67" s="2862">
        <f t="shared" si="31"/>
        <v>2.2977217947349794E-2</v>
      </c>
      <c r="G67" s="2861">
        <f t="shared" si="31"/>
        <v>0</v>
      </c>
      <c r="H67" s="2862">
        <f t="shared" si="31"/>
        <v>2.2977217947349794E-2</v>
      </c>
      <c r="I67" s="2861">
        <f t="shared" si="31"/>
        <v>0</v>
      </c>
      <c r="J67" s="2862">
        <f t="shared" si="31"/>
        <v>2.2977217947349794E-2</v>
      </c>
      <c r="K67" s="2861">
        <f t="shared" si="31"/>
        <v>0</v>
      </c>
      <c r="L67" s="2862">
        <f t="shared" si="31"/>
        <v>2.2977217947349794E-2</v>
      </c>
      <c r="M67" s="2861">
        <f t="shared" si="31"/>
        <v>0</v>
      </c>
      <c r="N67" s="2862">
        <f t="shared" si="31"/>
        <v>2.2977217947349794E-2</v>
      </c>
      <c r="O67" s="2861">
        <f t="shared" si="31"/>
        <v>0</v>
      </c>
      <c r="P67" s="2862">
        <f t="shared" si="31"/>
        <v>2.2977217947349794E-2</v>
      </c>
      <c r="Q67" s="2861">
        <f t="shared" si="31"/>
        <v>0</v>
      </c>
      <c r="R67" s="2862">
        <f t="shared" si="31"/>
        <v>2.2977217947349794E-2</v>
      </c>
      <c r="S67" s="2861">
        <f t="shared" si="31"/>
        <v>0</v>
      </c>
      <c r="T67" s="2862">
        <f xml:space="preserve"> B35*$A$10/2000</f>
        <v>9.7268629108059439E-3</v>
      </c>
      <c r="U67" s="2861">
        <v>0</v>
      </c>
      <c r="V67" s="2862">
        <f t="shared" ref="V67:W69" si="32" xml:space="preserve"> X35/2000</f>
        <v>2.2977217947349794E-2</v>
      </c>
      <c r="W67" s="2861">
        <f t="shared" si="32"/>
        <v>0</v>
      </c>
      <c r="X67" s="2862">
        <f xml:space="preserve"> V35*$A$11/2000</f>
        <v>6.5984818691773557E-3</v>
      </c>
      <c r="Y67" s="2861">
        <f xml:space="preserve"> W35*$A$11/2000</f>
        <v>0</v>
      </c>
      <c r="Z67" s="2862">
        <f>Vehi_Plastics!BR105</f>
        <v>3.7233163965860745E-2</v>
      </c>
      <c r="AA67" s="2861">
        <v>0</v>
      </c>
    </row>
    <row r="68" spans="1:27" s="2136" customFormat="1">
      <c r="A68" s="2151" t="s">
        <v>817</v>
      </c>
      <c r="B68" s="2863">
        <f t="shared" si="30"/>
        <v>2.2857119219446873E-2</v>
      </c>
      <c r="C68" s="2861">
        <f t="shared" si="30"/>
        <v>0</v>
      </c>
      <c r="D68" s="2863">
        <f t="shared" si="31"/>
        <v>2.2857119219446873E-2</v>
      </c>
      <c r="E68" s="2861">
        <f t="shared" si="31"/>
        <v>0</v>
      </c>
      <c r="F68" s="2862">
        <f t="shared" si="31"/>
        <v>2.2857119219446873E-2</v>
      </c>
      <c r="G68" s="2861">
        <f t="shared" si="31"/>
        <v>0</v>
      </c>
      <c r="H68" s="2862">
        <f t="shared" si="31"/>
        <v>2.2857119219446873E-2</v>
      </c>
      <c r="I68" s="2861">
        <f t="shared" si="31"/>
        <v>0</v>
      </c>
      <c r="J68" s="2862">
        <f t="shared" si="31"/>
        <v>2.2857119219446873E-2</v>
      </c>
      <c r="K68" s="2861">
        <f t="shared" si="31"/>
        <v>0</v>
      </c>
      <c r="L68" s="2862">
        <f t="shared" si="31"/>
        <v>2.2857119219446873E-2</v>
      </c>
      <c r="M68" s="2861">
        <f t="shared" si="31"/>
        <v>0</v>
      </c>
      <c r="N68" s="2862">
        <f t="shared" si="31"/>
        <v>2.2857119219446873E-2</v>
      </c>
      <c r="O68" s="2861">
        <f t="shared" si="31"/>
        <v>0</v>
      </c>
      <c r="P68" s="2862">
        <f t="shared" si="31"/>
        <v>2.2857119219446873E-2</v>
      </c>
      <c r="Q68" s="2861">
        <f t="shared" si="31"/>
        <v>0</v>
      </c>
      <c r="R68" s="2862">
        <f t="shared" si="31"/>
        <v>2.2857119219446873E-2</v>
      </c>
      <c r="S68" s="2861">
        <f t="shared" si="31"/>
        <v>0</v>
      </c>
      <c r="T68" s="2862">
        <f t="shared" ref="T68:T71" si="33" xml:space="preserve"> B36*$A$10/2000</f>
        <v>9.5795501612637533E-3</v>
      </c>
      <c r="U68" s="2861">
        <v>0</v>
      </c>
      <c r="V68" s="2862">
        <f t="shared" si="32"/>
        <v>2.2857119219446873E-2</v>
      </c>
      <c r="W68" s="2861">
        <f t="shared" si="32"/>
        <v>0</v>
      </c>
      <c r="X68" s="2862">
        <f t="shared" ref="X68:Y72" si="34" xml:space="preserve"> V36*$A$11/2000</f>
        <v>6.5162903075683572E-3</v>
      </c>
      <c r="Y68" s="2861">
        <f t="shared" si="34"/>
        <v>0</v>
      </c>
      <c r="Z68" s="2862">
        <f>Vehi_Plastics!BR106</f>
        <v>3.6095878378539087E-2</v>
      </c>
      <c r="AA68" s="2861">
        <v>0</v>
      </c>
    </row>
    <row r="69" spans="1:27" s="2136" customFormat="1">
      <c r="A69" s="2151" t="s">
        <v>805</v>
      </c>
      <c r="B69" s="2863">
        <f t="shared" si="30"/>
        <v>1.5305323770350076E-4</v>
      </c>
      <c r="C69" s="2861">
        <f t="shared" si="30"/>
        <v>0</v>
      </c>
      <c r="D69" s="2863">
        <f t="shared" si="31"/>
        <v>1.5305323770350076E-4</v>
      </c>
      <c r="E69" s="2861">
        <f t="shared" si="31"/>
        <v>0</v>
      </c>
      <c r="F69" s="2862">
        <f t="shared" si="31"/>
        <v>1.5305323770350076E-4</v>
      </c>
      <c r="G69" s="2861">
        <f t="shared" si="31"/>
        <v>0</v>
      </c>
      <c r="H69" s="2862">
        <f t="shared" si="31"/>
        <v>1.5305323770350076E-4</v>
      </c>
      <c r="I69" s="2861">
        <f t="shared" si="31"/>
        <v>0</v>
      </c>
      <c r="J69" s="2862">
        <f t="shared" si="31"/>
        <v>1.5305323770350076E-4</v>
      </c>
      <c r="K69" s="2861">
        <f t="shared" si="31"/>
        <v>0</v>
      </c>
      <c r="L69" s="2862">
        <f t="shared" si="31"/>
        <v>1.5305323770350076E-4</v>
      </c>
      <c r="M69" s="2861">
        <f t="shared" si="31"/>
        <v>0</v>
      </c>
      <c r="N69" s="2862">
        <f t="shared" si="31"/>
        <v>1.5305323770350076E-4</v>
      </c>
      <c r="O69" s="2861">
        <f t="shared" si="31"/>
        <v>0</v>
      </c>
      <c r="P69" s="2862">
        <f t="shared" si="31"/>
        <v>1.5305323770350076E-4</v>
      </c>
      <c r="Q69" s="2861">
        <f t="shared" si="31"/>
        <v>0</v>
      </c>
      <c r="R69" s="2862">
        <f t="shared" si="31"/>
        <v>1.5305323770350076E-4</v>
      </c>
      <c r="S69" s="2861">
        <f t="shared" si="31"/>
        <v>0</v>
      </c>
      <c r="T69" s="2862">
        <f t="shared" si="33"/>
        <v>1.9382320712716907E-4</v>
      </c>
      <c r="U69" s="2861">
        <v>0</v>
      </c>
      <c r="V69" s="2862">
        <f t="shared" si="32"/>
        <v>1.5305323770350076E-4</v>
      </c>
      <c r="W69" s="2861">
        <f t="shared" si="32"/>
        <v>0</v>
      </c>
      <c r="X69" s="2862">
        <f t="shared" si="34"/>
        <v>1.0863231278612243E-4</v>
      </c>
      <c r="Y69" s="2861">
        <f t="shared" si="34"/>
        <v>0</v>
      </c>
      <c r="Z69" s="2862">
        <f>Vehi_Plastics!BR107</f>
        <v>1.7056584159618718E-3</v>
      </c>
      <c r="AA69" s="2861">
        <v>0</v>
      </c>
    </row>
    <row r="70" spans="1:27" s="2136" customFormat="1">
      <c r="A70" s="2151" t="s">
        <v>804</v>
      </c>
      <c r="B70" s="2863">
        <f t="shared" ref="B70:C70" si="35">B68-B69-B71</f>
        <v>2.6335505628622274E-3</v>
      </c>
      <c r="C70" s="2861">
        <f t="shared" si="35"/>
        <v>0</v>
      </c>
      <c r="D70" s="2863">
        <f t="shared" si="31"/>
        <v>2.6335505628622257E-3</v>
      </c>
      <c r="E70" s="2861">
        <f t="shared" si="31"/>
        <v>0</v>
      </c>
      <c r="F70" s="2862">
        <f t="shared" si="31"/>
        <v>2.6335505628622257E-3</v>
      </c>
      <c r="G70" s="2861">
        <f t="shared" si="31"/>
        <v>0</v>
      </c>
      <c r="H70" s="2862">
        <f t="shared" si="31"/>
        <v>2.6335505628622257E-3</v>
      </c>
      <c r="I70" s="2861">
        <f t="shared" si="31"/>
        <v>0</v>
      </c>
      <c r="J70" s="2862">
        <f t="shared" si="31"/>
        <v>2.6335505628622257E-3</v>
      </c>
      <c r="K70" s="2861">
        <f t="shared" si="31"/>
        <v>0</v>
      </c>
      <c r="L70" s="2862">
        <f t="shared" si="31"/>
        <v>2.6335505628622257E-3</v>
      </c>
      <c r="M70" s="2861">
        <f t="shared" si="31"/>
        <v>0</v>
      </c>
      <c r="N70" s="2862">
        <f t="shared" si="31"/>
        <v>2.6335505628622257E-3</v>
      </c>
      <c r="O70" s="2861">
        <f t="shared" si="31"/>
        <v>0</v>
      </c>
      <c r="P70" s="2862">
        <f t="shared" si="31"/>
        <v>2.6335505628622257E-3</v>
      </c>
      <c r="Q70" s="2861">
        <f t="shared" si="31"/>
        <v>0</v>
      </c>
      <c r="R70" s="2862">
        <f t="shared" si="31"/>
        <v>2.6335505628622257E-3</v>
      </c>
      <c r="S70" s="2861">
        <f t="shared" si="31"/>
        <v>0</v>
      </c>
      <c r="T70" s="2862">
        <f t="shared" si="33"/>
        <v>6.1749716667464571E-3</v>
      </c>
      <c r="U70" s="2861">
        <v>0</v>
      </c>
      <c r="V70" s="2862">
        <f>V68-V69-V71</f>
        <v>2.6335505628622274E-3</v>
      </c>
      <c r="W70" s="2861">
        <f>W68-W69-W71</f>
        <v>0</v>
      </c>
      <c r="X70" s="2862">
        <f>X68-X69-X71</f>
        <v>6.3388062886982864E-3</v>
      </c>
      <c r="Y70" s="2861">
        <f>Y68-Y69-Y71</f>
        <v>0</v>
      </c>
      <c r="Z70" s="2862">
        <f>Vehi_Plastics!BR108</f>
        <v>2.3023372026169022E-2</v>
      </c>
      <c r="AA70" s="2861">
        <v>0</v>
      </c>
    </row>
    <row r="71" spans="1:27" s="2136" customFormat="1">
      <c r="A71" s="2159" t="s">
        <v>818</v>
      </c>
      <c r="B71" s="2867">
        <f t="shared" ref="B71:C72" si="36">D39/2000</f>
        <v>2.0070515418881146E-2</v>
      </c>
      <c r="C71" s="2921">
        <f t="shared" si="36"/>
        <v>0</v>
      </c>
      <c r="D71" s="2867">
        <f t="shared" si="31"/>
        <v>2.0070515418881146E-2</v>
      </c>
      <c r="E71" s="2921">
        <f t="shared" si="31"/>
        <v>0</v>
      </c>
      <c r="F71" s="2881">
        <f t="shared" si="31"/>
        <v>2.0070515418881146E-2</v>
      </c>
      <c r="G71" s="2921">
        <f t="shared" si="31"/>
        <v>0</v>
      </c>
      <c r="H71" s="2881">
        <f t="shared" si="31"/>
        <v>2.0070515418881146E-2</v>
      </c>
      <c r="I71" s="2921">
        <f t="shared" si="31"/>
        <v>0</v>
      </c>
      <c r="J71" s="2881">
        <f t="shared" si="31"/>
        <v>2.0070515418881146E-2</v>
      </c>
      <c r="K71" s="2921">
        <f t="shared" si="31"/>
        <v>0</v>
      </c>
      <c r="L71" s="2881">
        <f t="shared" si="31"/>
        <v>2.0070515418881146E-2</v>
      </c>
      <c r="M71" s="2921">
        <f t="shared" si="31"/>
        <v>0</v>
      </c>
      <c r="N71" s="2881">
        <f t="shared" si="31"/>
        <v>2.0070515418881146E-2</v>
      </c>
      <c r="O71" s="2921">
        <f t="shared" si="31"/>
        <v>0</v>
      </c>
      <c r="P71" s="2881">
        <f t="shared" si="31"/>
        <v>2.0070515418881146E-2</v>
      </c>
      <c r="Q71" s="2921">
        <f t="shared" si="31"/>
        <v>0</v>
      </c>
      <c r="R71" s="2881">
        <f t="shared" si="31"/>
        <v>2.0070515418881146E-2</v>
      </c>
      <c r="S71" s="2921">
        <f t="shared" si="31"/>
        <v>0</v>
      </c>
      <c r="T71" s="2881">
        <f t="shared" si="33"/>
        <v>3.2107552873901269E-3</v>
      </c>
      <c r="U71" s="2921">
        <v>0</v>
      </c>
      <c r="V71" s="2881">
        <f t="shared" ref="V71:W72" si="37" xml:space="preserve"> X39/2000</f>
        <v>2.0070515418881146E-2</v>
      </c>
      <c r="W71" s="2921">
        <f t="shared" si="37"/>
        <v>0</v>
      </c>
      <c r="X71" s="2881">
        <f t="shared" si="34"/>
        <v>6.8851706083948534E-5</v>
      </c>
      <c r="Y71" s="2921">
        <f t="shared" si="34"/>
        <v>0</v>
      </c>
      <c r="Z71" s="2881">
        <f>Vehi_Plastics!BR109</f>
        <v>1.1366847936408192E-2</v>
      </c>
      <c r="AA71" s="2921">
        <v>0</v>
      </c>
    </row>
    <row r="72" spans="1:27" s="2136" customFormat="1">
      <c r="A72" s="2150" t="s">
        <v>819</v>
      </c>
      <c r="B72" s="2922">
        <f t="shared" si="36"/>
        <v>0.48327255406321329</v>
      </c>
      <c r="C72" s="2923">
        <f t="shared" si="36"/>
        <v>0</v>
      </c>
      <c r="D72" s="2922">
        <f t="shared" si="31"/>
        <v>0.48327255406321329</v>
      </c>
      <c r="E72" s="2923">
        <f t="shared" si="31"/>
        <v>0</v>
      </c>
      <c r="F72" s="2924">
        <f t="shared" si="31"/>
        <v>0.48327255406321329</v>
      </c>
      <c r="G72" s="2923">
        <f t="shared" si="31"/>
        <v>0</v>
      </c>
      <c r="H72" s="2924">
        <f t="shared" si="31"/>
        <v>0.48327255406321329</v>
      </c>
      <c r="I72" s="2923">
        <f t="shared" si="31"/>
        <v>0</v>
      </c>
      <c r="J72" s="2924">
        <f t="shared" si="31"/>
        <v>0.48327255406321329</v>
      </c>
      <c r="K72" s="2923">
        <f t="shared" si="31"/>
        <v>0</v>
      </c>
      <c r="L72" s="2924">
        <f t="shared" si="31"/>
        <v>0.48327255406321329</v>
      </c>
      <c r="M72" s="2923">
        <f t="shared" si="31"/>
        <v>0</v>
      </c>
      <c r="N72" s="2924">
        <f t="shared" si="31"/>
        <v>0.48327255406321329</v>
      </c>
      <c r="O72" s="2923">
        <f t="shared" si="31"/>
        <v>0</v>
      </c>
      <c r="P72" s="2924">
        <f t="shared" si="31"/>
        <v>0.48327255406321329</v>
      </c>
      <c r="Q72" s="2923">
        <f t="shared" si="31"/>
        <v>0</v>
      </c>
      <c r="R72" s="2924">
        <f t="shared" si="31"/>
        <v>0.48327255406321329</v>
      </c>
      <c r="S72" s="2923">
        <f t="shared" si="31"/>
        <v>0</v>
      </c>
      <c r="T72" s="2925">
        <f>(B40*A10+(1-A10)*907.2/3.7854)/2000</f>
        <v>0.3340297365146202</v>
      </c>
      <c r="U72" s="2923">
        <v>0</v>
      </c>
      <c r="V72" s="2924">
        <f t="shared" si="37"/>
        <v>0.48327255406321329</v>
      </c>
      <c r="W72" s="2923">
        <f t="shared" si="37"/>
        <v>0</v>
      </c>
      <c r="X72" s="2924">
        <f t="shared" si="34"/>
        <v>3.8263811753624817E-2</v>
      </c>
      <c r="Y72" s="2923">
        <f t="shared" si="34"/>
        <v>0</v>
      </c>
      <c r="Z72" s="2924">
        <f>Vehi_Plastics!BR110</f>
        <v>0.59302845654179925</v>
      </c>
      <c r="AA72" s="2923">
        <v>0</v>
      </c>
    </row>
    <row r="73" spans="1:27" s="2136" customFormat="1">
      <c r="A73" s="2155" t="s">
        <v>1030</v>
      </c>
      <c r="B73" s="2918" t="s">
        <v>846</v>
      </c>
      <c r="C73" s="2919" t="s">
        <v>846</v>
      </c>
      <c r="D73" s="2918" t="s">
        <v>846</v>
      </c>
      <c r="E73" s="2926" t="s">
        <v>846</v>
      </c>
      <c r="F73" s="2920" t="s">
        <v>846</v>
      </c>
      <c r="G73" s="2926" t="s">
        <v>846</v>
      </c>
      <c r="H73" s="2920" t="s">
        <v>846</v>
      </c>
      <c r="I73" s="2926" t="s">
        <v>846</v>
      </c>
      <c r="J73" s="2920" t="s">
        <v>846</v>
      </c>
      <c r="K73" s="2926" t="s">
        <v>846</v>
      </c>
      <c r="L73" s="2920" t="s">
        <v>846</v>
      </c>
      <c r="M73" s="2926" t="s">
        <v>846</v>
      </c>
      <c r="N73" s="2920" t="s">
        <v>846</v>
      </c>
      <c r="O73" s="2926" t="s">
        <v>846</v>
      </c>
      <c r="P73" s="2920" t="s">
        <v>846</v>
      </c>
      <c r="Q73" s="2926" t="s">
        <v>846</v>
      </c>
      <c r="R73" s="2920" t="s">
        <v>846</v>
      </c>
      <c r="S73" s="2926" t="s">
        <v>846</v>
      </c>
      <c r="T73" s="2920" t="s">
        <v>846</v>
      </c>
      <c r="U73" s="2926" t="s">
        <v>846</v>
      </c>
      <c r="V73" s="2920" t="s">
        <v>846</v>
      </c>
      <c r="W73" s="2926" t="s">
        <v>846</v>
      </c>
      <c r="X73" s="2920" t="s">
        <v>846</v>
      </c>
      <c r="Y73" s="2926" t="s">
        <v>846</v>
      </c>
      <c r="Z73" s="2920" t="s">
        <v>846</v>
      </c>
      <c r="AA73" s="2926" t="s">
        <v>846</v>
      </c>
    </row>
    <row r="74" spans="1:27" s="2136" customFormat="1">
      <c r="A74" s="2093" t="s">
        <v>821</v>
      </c>
      <c r="B74" s="2863">
        <f t="shared" ref="B74:C84" si="38">D42/2000</f>
        <v>0.50826521306002204</v>
      </c>
      <c r="C74" s="2861">
        <f t="shared" si="38"/>
        <v>7.0601535038251367E-2</v>
      </c>
      <c r="D74" s="2862">
        <f t="shared" si="31"/>
        <v>0.50826521306002204</v>
      </c>
      <c r="E74" s="2861">
        <f t="shared" si="31"/>
        <v>7.0601535038251367E-2</v>
      </c>
      <c r="F74" s="2862">
        <f t="shared" si="31"/>
        <v>0.50826521306002204</v>
      </c>
      <c r="G74" s="2861">
        <f t="shared" si="31"/>
        <v>7.0601535038251367E-2</v>
      </c>
      <c r="H74" s="2862">
        <f t="shared" si="31"/>
        <v>0.50826521306002204</v>
      </c>
      <c r="I74" s="2861">
        <f t="shared" si="31"/>
        <v>7.0601535038251367E-2</v>
      </c>
      <c r="J74" s="2862">
        <f t="shared" si="31"/>
        <v>0.50826521306002204</v>
      </c>
      <c r="K74" s="2861">
        <f t="shared" si="31"/>
        <v>7.0601535038251367E-2</v>
      </c>
      <c r="L74" s="2862">
        <f t="shared" si="31"/>
        <v>0.50826521306002204</v>
      </c>
      <c r="M74" s="2861">
        <f t="shared" si="31"/>
        <v>7.0601535038251367E-2</v>
      </c>
      <c r="N74" s="2862">
        <f t="shared" si="31"/>
        <v>0.50826521306002204</v>
      </c>
      <c r="O74" s="2861">
        <f t="shared" si="31"/>
        <v>7.0601535038251367E-2</v>
      </c>
      <c r="P74" s="2862">
        <f t="shared" si="31"/>
        <v>0.50826521306002204</v>
      </c>
      <c r="Q74" s="2861">
        <f t="shared" si="31"/>
        <v>7.0601535038251367E-2</v>
      </c>
      <c r="R74" s="2862">
        <f t="shared" si="31"/>
        <v>0.50826521306002204</v>
      </c>
      <c r="S74" s="2861">
        <f t="shared" si="31"/>
        <v>7.0601535038251367E-2</v>
      </c>
      <c r="T74" s="2862">
        <f xml:space="preserve"> SUM(B42:C42)*$A$10/2000</f>
        <v>0.16174943128512101</v>
      </c>
      <c r="U74" s="2861">
        <v>0</v>
      </c>
      <c r="V74" s="2862">
        <f t="shared" ref="V74:W84" si="39" xml:space="preserve"> X42/2000</f>
        <v>0.50826521306002204</v>
      </c>
      <c r="W74" s="2861">
        <f t="shared" si="39"/>
        <v>7.0601535038251367E-2</v>
      </c>
      <c r="X74" s="2862">
        <f t="shared" ref="X74:Y84" si="40" xml:space="preserve"> V42*$A$11/2000</f>
        <v>0.10150560710610784</v>
      </c>
      <c r="Y74" s="2861">
        <f t="shared" si="40"/>
        <v>227</v>
      </c>
      <c r="Z74" s="2862">
        <f>Vehi_Plastics!BR112</f>
        <v>0.51900414951114837</v>
      </c>
      <c r="AA74" s="2861">
        <v>0</v>
      </c>
    </row>
    <row r="75" spans="1:27" s="2136" customFormat="1">
      <c r="A75" s="2093" t="s">
        <v>822</v>
      </c>
      <c r="B75" s="2863">
        <f t="shared" si="38"/>
        <v>0.25341217829261148</v>
      </c>
      <c r="C75" s="2861">
        <f t="shared" si="38"/>
        <v>0.31236006449544623</v>
      </c>
      <c r="D75" s="2862">
        <f t="shared" si="31"/>
        <v>0.25341217829261148</v>
      </c>
      <c r="E75" s="2861">
        <f t="shared" si="31"/>
        <v>0.31236006449544623</v>
      </c>
      <c r="F75" s="2862">
        <f t="shared" si="31"/>
        <v>0.25341217829261148</v>
      </c>
      <c r="G75" s="2861">
        <f t="shared" si="31"/>
        <v>0.31236006449544623</v>
      </c>
      <c r="H75" s="2862">
        <f t="shared" si="31"/>
        <v>0.25341217829261148</v>
      </c>
      <c r="I75" s="2861">
        <f t="shared" si="31"/>
        <v>0.31236006449544623</v>
      </c>
      <c r="J75" s="2862">
        <f t="shared" si="31"/>
        <v>0.25341217829261148</v>
      </c>
      <c r="K75" s="2861">
        <f t="shared" si="31"/>
        <v>0.31236006449544623</v>
      </c>
      <c r="L75" s="2862">
        <f t="shared" si="31"/>
        <v>0.25341217829261148</v>
      </c>
      <c r="M75" s="2861">
        <f t="shared" si="31"/>
        <v>0.31236006449544623</v>
      </c>
      <c r="N75" s="2862">
        <f t="shared" si="31"/>
        <v>0.25341217829261148</v>
      </c>
      <c r="O75" s="2861">
        <f t="shared" si="31"/>
        <v>0.31236006449544623</v>
      </c>
      <c r="P75" s="2862">
        <f t="shared" si="31"/>
        <v>0.25341217829261148</v>
      </c>
      <c r="Q75" s="2861">
        <f t="shared" si="31"/>
        <v>0.31236006449544623</v>
      </c>
      <c r="R75" s="2862">
        <f t="shared" si="31"/>
        <v>0.25341217829261148</v>
      </c>
      <c r="S75" s="2861">
        <f t="shared" si="31"/>
        <v>0.31236006449544623</v>
      </c>
      <c r="T75" s="2862">
        <f t="shared" ref="T75:T83" si="41" xml:space="preserve"> SUM(B43:C43)*$A$10/2000</f>
        <v>0.20888678840338565</v>
      </c>
      <c r="U75" s="2861">
        <v>0</v>
      </c>
      <c r="V75" s="2862">
        <f t="shared" si="39"/>
        <v>0.25341217829261148</v>
      </c>
      <c r="W75" s="2861">
        <f t="shared" si="39"/>
        <v>0.31236006449544623</v>
      </c>
      <c r="X75" s="2862">
        <f t="shared" si="40"/>
        <v>8.8217456047569281E-2</v>
      </c>
      <c r="Y75" s="2861">
        <f t="shared" si="40"/>
        <v>0</v>
      </c>
      <c r="Z75" s="2862">
        <f>Vehi_Plastics!BR113</f>
        <v>3.0135955105613021</v>
      </c>
      <c r="AA75" s="2861">
        <v>0</v>
      </c>
    </row>
    <row r="76" spans="1:27" s="2136" customFormat="1" ht="15.75">
      <c r="A76" s="2093" t="s">
        <v>2542</v>
      </c>
      <c r="B76" s="2863">
        <f t="shared" si="38"/>
        <v>0.38536611634472906</v>
      </c>
      <c r="C76" s="2861">
        <f t="shared" si="38"/>
        <v>2.2129355971438982</v>
      </c>
      <c r="D76" s="2862">
        <f t="shared" si="31"/>
        <v>0.38536611634472906</v>
      </c>
      <c r="E76" s="2861">
        <f t="shared" si="31"/>
        <v>2.2129355971438982</v>
      </c>
      <c r="F76" s="2862">
        <f t="shared" si="31"/>
        <v>0.38536611634472906</v>
      </c>
      <c r="G76" s="2861">
        <f t="shared" si="31"/>
        <v>2.2129355971438982</v>
      </c>
      <c r="H76" s="2862">
        <f t="shared" si="31"/>
        <v>0.38536611634472906</v>
      </c>
      <c r="I76" s="2861">
        <f t="shared" si="31"/>
        <v>2.2129355971438982</v>
      </c>
      <c r="J76" s="2862">
        <f t="shared" si="31"/>
        <v>0.38536611634472906</v>
      </c>
      <c r="K76" s="2861">
        <f t="shared" si="31"/>
        <v>2.2129355971438982</v>
      </c>
      <c r="L76" s="2862">
        <f t="shared" si="31"/>
        <v>0.38536611634472906</v>
      </c>
      <c r="M76" s="2861">
        <f t="shared" si="31"/>
        <v>2.2129355971438982</v>
      </c>
      <c r="N76" s="2862">
        <f t="shared" si="31"/>
        <v>0.38536611634472906</v>
      </c>
      <c r="O76" s="2861">
        <f t="shared" si="31"/>
        <v>2.2129355971438982</v>
      </c>
      <c r="P76" s="2862">
        <f t="shared" si="31"/>
        <v>0.38536611634472906</v>
      </c>
      <c r="Q76" s="2861">
        <f t="shared" si="31"/>
        <v>2.2129355971438982</v>
      </c>
      <c r="R76" s="2862">
        <f t="shared" si="31"/>
        <v>0.38536611634472906</v>
      </c>
      <c r="S76" s="2861">
        <f t="shared" si="31"/>
        <v>2.2129355971438982</v>
      </c>
      <c r="T76" s="2862">
        <f t="shared" si="41"/>
        <v>0.29256988823011809</v>
      </c>
      <c r="U76" s="2861">
        <v>0</v>
      </c>
      <c r="V76" s="2862">
        <f t="shared" si="39"/>
        <v>0.38536611634472906</v>
      </c>
      <c r="W76" s="2861">
        <f t="shared" si="39"/>
        <v>2.2129355971438982</v>
      </c>
      <c r="X76" s="2862">
        <f t="shared" si="40"/>
        <v>0.10387866868894303</v>
      </c>
      <c r="Y76" s="2861">
        <f t="shared" si="40"/>
        <v>0</v>
      </c>
      <c r="Z76" s="2862">
        <f>Vehi_Plastics!BR114</f>
        <v>1.8513541377106255</v>
      </c>
      <c r="AA76" s="2861">
        <v>0</v>
      </c>
    </row>
    <row r="77" spans="1:27" s="2136" customFormat="1" ht="15.75">
      <c r="A77" s="2093" t="s">
        <v>2543</v>
      </c>
      <c r="B77" s="2863">
        <f t="shared" si="38"/>
        <v>3.4966089141999175E-2</v>
      </c>
      <c r="C77" s="2861">
        <f t="shared" si="38"/>
        <v>0.39410005041894347</v>
      </c>
      <c r="D77" s="2862">
        <f t="shared" si="31"/>
        <v>3.4966089141999175E-2</v>
      </c>
      <c r="E77" s="2861">
        <f t="shared" si="31"/>
        <v>0.39410005041894347</v>
      </c>
      <c r="F77" s="2862">
        <f t="shared" si="31"/>
        <v>3.4966089141999175E-2</v>
      </c>
      <c r="G77" s="2861">
        <f t="shared" si="31"/>
        <v>0.39410005041894347</v>
      </c>
      <c r="H77" s="2862">
        <f t="shared" si="31"/>
        <v>3.4966089141999175E-2</v>
      </c>
      <c r="I77" s="2861">
        <f t="shared" si="31"/>
        <v>0.39410005041894347</v>
      </c>
      <c r="J77" s="2862">
        <f t="shared" si="31"/>
        <v>3.4966089141999175E-2</v>
      </c>
      <c r="K77" s="2861">
        <f t="shared" si="31"/>
        <v>0.39410005041894347</v>
      </c>
      <c r="L77" s="2862">
        <f t="shared" si="31"/>
        <v>3.4966089141999175E-2</v>
      </c>
      <c r="M77" s="2861">
        <f t="shared" si="31"/>
        <v>0.39410005041894347</v>
      </c>
      <c r="N77" s="2862">
        <f t="shared" si="31"/>
        <v>3.4966089141999175E-2</v>
      </c>
      <c r="O77" s="2861">
        <f t="shared" si="31"/>
        <v>0.39410005041894347</v>
      </c>
      <c r="P77" s="2862">
        <f t="shared" si="31"/>
        <v>3.4966089141999175E-2</v>
      </c>
      <c r="Q77" s="2861">
        <f t="shared" si="31"/>
        <v>0.39410005041894347</v>
      </c>
      <c r="R77" s="2862">
        <f t="shared" si="31"/>
        <v>3.4966089141999175E-2</v>
      </c>
      <c r="S77" s="2861">
        <f t="shared" si="31"/>
        <v>0.39410005041894347</v>
      </c>
      <c r="T77" s="2862">
        <f t="shared" si="41"/>
        <v>2.0957099509160058E-2</v>
      </c>
      <c r="U77" s="2861">
        <v>0</v>
      </c>
      <c r="V77" s="2862">
        <f t="shared" si="39"/>
        <v>3.4966089141999175E-2</v>
      </c>
      <c r="W77" s="2861">
        <f t="shared" si="39"/>
        <v>0.39410005041894347</v>
      </c>
      <c r="X77" s="2862">
        <f t="shared" si="40"/>
        <v>8.6363116574999996E-3</v>
      </c>
      <c r="Y77" s="2861">
        <f t="shared" si="40"/>
        <v>0</v>
      </c>
      <c r="Z77" s="2862">
        <f>Vehi_Plastics!BR115</f>
        <v>0.51063511054352728</v>
      </c>
      <c r="AA77" s="2861">
        <v>0</v>
      </c>
    </row>
    <row r="78" spans="1:27" s="2136" customFormat="1" ht="15.75">
      <c r="A78" s="2093" t="s">
        <v>2544</v>
      </c>
      <c r="B78" s="2863">
        <f t="shared" si="38"/>
        <v>3.0063875617938895E-2</v>
      </c>
      <c r="C78" s="2861">
        <f t="shared" si="38"/>
        <v>0.20526850025500915</v>
      </c>
      <c r="D78" s="2862">
        <f t="shared" si="31"/>
        <v>3.0063875617938895E-2</v>
      </c>
      <c r="E78" s="2861">
        <f t="shared" si="31"/>
        <v>0.20526850025500915</v>
      </c>
      <c r="F78" s="2862">
        <f t="shared" si="31"/>
        <v>3.0063875617938895E-2</v>
      </c>
      <c r="G78" s="2861">
        <f t="shared" si="31"/>
        <v>0.20526850025500915</v>
      </c>
      <c r="H78" s="2862">
        <f t="shared" si="31"/>
        <v>3.0063875617938895E-2</v>
      </c>
      <c r="I78" s="2861">
        <f t="shared" si="31"/>
        <v>0.20526850025500915</v>
      </c>
      <c r="J78" s="2862">
        <f t="shared" si="31"/>
        <v>3.0063875617938895E-2</v>
      </c>
      <c r="K78" s="2861">
        <f t="shared" si="31"/>
        <v>0.20526850025500915</v>
      </c>
      <c r="L78" s="2862">
        <f t="shared" si="31"/>
        <v>3.0063875617938895E-2</v>
      </c>
      <c r="M78" s="2861">
        <f t="shared" si="31"/>
        <v>0.20526850025500915</v>
      </c>
      <c r="N78" s="2862">
        <f t="shared" si="31"/>
        <v>3.0063875617938895E-2</v>
      </c>
      <c r="O78" s="2861">
        <f t="shared" si="31"/>
        <v>0.20526850025500915</v>
      </c>
      <c r="P78" s="2862">
        <f t="shared" si="31"/>
        <v>3.0063875617938895E-2</v>
      </c>
      <c r="Q78" s="2861">
        <f t="shared" si="31"/>
        <v>0.20526850025500915</v>
      </c>
      <c r="R78" s="2862">
        <f t="shared" si="31"/>
        <v>3.0063875617938895E-2</v>
      </c>
      <c r="S78" s="2861">
        <f t="shared" si="31"/>
        <v>0.20526850025500915</v>
      </c>
      <c r="T78" s="2862">
        <f t="shared" si="41"/>
        <v>1.8060037449349944E-2</v>
      </c>
      <c r="U78" s="2861">
        <v>0</v>
      </c>
      <c r="V78" s="2862">
        <f t="shared" si="39"/>
        <v>3.0063875617938895E-2</v>
      </c>
      <c r="W78" s="2861">
        <f t="shared" si="39"/>
        <v>0.20526850025500915</v>
      </c>
      <c r="X78" s="2862">
        <f t="shared" si="40"/>
        <v>7.1618727320278859E-3</v>
      </c>
      <c r="Y78" s="2861">
        <f t="shared" si="40"/>
        <v>0</v>
      </c>
      <c r="Z78" s="2862">
        <f>Vehi_Plastics!BR116</f>
        <v>0.13658091131722533</v>
      </c>
      <c r="AA78" s="2861">
        <v>0</v>
      </c>
    </row>
    <row r="79" spans="1:27" s="2136" customFormat="1" ht="15.75">
      <c r="A79" s="2093" t="s">
        <v>2545</v>
      </c>
      <c r="B79" s="2863">
        <f t="shared" si="38"/>
        <v>0.10673388281995913</v>
      </c>
      <c r="C79" s="2861">
        <f t="shared" si="38"/>
        <v>4.9666661898724955</v>
      </c>
      <c r="D79" s="2862">
        <f t="shared" si="31"/>
        <v>0.10673388281995913</v>
      </c>
      <c r="E79" s="2861">
        <f t="shared" si="31"/>
        <v>4.9666661898724955</v>
      </c>
      <c r="F79" s="2862">
        <f t="shared" si="31"/>
        <v>0.10673388281995913</v>
      </c>
      <c r="G79" s="2861">
        <f t="shared" si="31"/>
        <v>4.9666661898724955</v>
      </c>
      <c r="H79" s="2862">
        <f t="shared" si="31"/>
        <v>0.10673388281995913</v>
      </c>
      <c r="I79" s="2861">
        <f t="shared" si="31"/>
        <v>4.9666661898724955</v>
      </c>
      <c r="J79" s="2862">
        <f t="shared" si="31"/>
        <v>0.10673388281995913</v>
      </c>
      <c r="K79" s="2861">
        <f t="shared" si="31"/>
        <v>4.9666661898724955</v>
      </c>
      <c r="L79" s="2862">
        <f t="shared" si="31"/>
        <v>0.10673388281995913</v>
      </c>
      <c r="M79" s="2861">
        <f t="shared" si="31"/>
        <v>4.9666661898724955</v>
      </c>
      <c r="N79" s="2862">
        <f t="shared" si="31"/>
        <v>0.10673388281995913</v>
      </c>
      <c r="O79" s="2861">
        <f t="shared" si="31"/>
        <v>4.9666661898724955</v>
      </c>
      <c r="P79" s="2862">
        <f t="shared" si="31"/>
        <v>0.10673388281995913</v>
      </c>
      <c r="Q79" s="2861">
        <f t="shared" si="31"/>
        <v>4.9666661898724955</v>
      </c>
      <c r="R79" s="2862">
        <f t="shared" si="31"/>
        <v>0.10673388281995913</v>
      </c>
      <c r="S79" s="2861">
        <f t="shared" si="31"/>
        <v>4.9666661898724955</v>
      </c>
      <c r="T79" s="2862">
        <f t="shared" si="41"/>
        <v>9.6829475966745585E-2</v>
      </c>
      <c r="U79" s="2861">
        <v>0</v>
      </c>
      <c r="V79" s="2862">
        <f t="shared" si="39"/>
        <v>0.10673388281995913</v>
      </c>
      <c r="W79" s="2861">
        <f t="shared" si="39"/>
        <v>4.9666661898724955</v>
      </c>
      <c r="X79" s="2862">
        <f t="shared" si="40"/>
        <v>7.4531505670882459E-2</v>
      </c>
      <c r="Y79" s="2861">
        <f t="shared" si="40"/>
        <v>0</v>
      </c>
      <c r="Z79" s="2862">
        <f>Vehi_Plastics!BR117</f>
        <v>6.3716057760393721</v>
      </c>
      <c r="AA79" s="2861">
        <v>0</v>
      </c>
    </row>
    <row r="80" spans="1:27" s="2136" customFormat="1">
      <c r="A80" s="2093" t="s">
        <v>827</v>
      </c>
      <c r="B80" s="2863">
        <f t="shared" si="38"/>
        <v>4.1669884327047938E-3</v>
      </c>
      <c r="C80" s="2861">
        <f t="shared" si="38"/>
        <v>1.3014022916167579E-2</v>
      </c>
      <c r="D80" s="2862">
        <f t="shared" si="31"/>
        <v>4.1669884327047938E-3</v>
      </c>
      <c r="E80" s="2861">
        <f t="shared" si="31"/>
        <v>1.3014022916167579E-2</v>
      </c>
      <c r="F80" s="2862">
        <f t="shared" si="31"/>
        <v>4.1669884327047938E-3</v>
      </c>
      <c r="G80" s="2861">
        <f t="shared" si="31"/>
        <v>1.3014022916167579E-2</v>
      </c>
      <c r="H80" s="2862">
        <f t="shared" si="31"/>
        <v>4.1669884327047938E-3</v>
      </c>
      <c r="I80" s="2861">
        <f t="shared" si="31"/>
        <v>1.3014022916167579E-2</v>
      </c>
      <c r="J80" s="2862">
        <f t="shared" si="31"/>
        <v>4.1669884327047938E-3</v>
      </c>
      <c r="K80" s="2861">
        <f t="shared" si="31"/>
        <v>1.3014022916167579E-2</v>
      </c>
      <c r="L80" s="2862">
        <f t="shared" si="31"/>
        <v>4.1669884327047938E-3</v>
      </c>
      <c r="M80" s="2861">
        <f t="shared" si="31"/>
        <v>1.3014022916167579E-2</v>
      </c>
      <c r="N80" s="2862">
        <f t="shared" si="31"/>
        <v>4.1669884327047938E-3</v>
      </c>
      <c r="O80" s="2861">
        <f t="shared" si="31"/>
        <v>1.3014022916167579E-2</v>
      </c>
      <c r="P80" s="2862">
        <f t="shared" si="31"/>
        <v>4.1669884327047938E-3</v>
      </c>
      <c r="Q80" s="2861">
        <f t="shared" si="31"/>
        <v>1.3014022916167579E-2</v>
      </c>
      <c r="R80" s="2862">
        <f t="shared" si="31"/>
        <v>4.1669884327047938E-3</v>
      </c>
      <c r="S80" s="2861">
        <f t="shared" si="31"/>
        <v>1.3014022916167579E-2</v>
      </c>
      <c r="T80" s="2862">
        <f t="shared" si="41"/>
        <v>2.3635548782363143E-3</v>
      </c>
      <c r="U80" s="2861">
        <v>0</v>
      </c>
      <c r="V80" s="2862">
        <f t="shared" si="39"/>
        <v>4.1669884327047938E-3</v>
      </c>
      <c r="W80" s="2861">
        <f t="shared" si="39"/>
        <v>1.3014022916167579E-2</v>
      </c>
      <c r="X80" s="2862">
        <f t="shared" si="40"/>
        <v>3.3046692522961554E-4</v>
      </c>
      <c r="Y80" s="2861">
        <f t="shared" si="40"/>
        <v>0</v>
      </c>
      <c r="Z80" s="2862">
        <f>Vehi_Plastics!BR118</f>
        <v>1.2967888705950229E-2</v>
      </c>
      <c r="AA80" s="2861">
        <v>0</v>
      </c>
    </row>
    <row r="81" spans="1:27" s="2136" customFormat="1">
      <c r="A81" s="2093" t="s">
        <v>828</v>
      </c>
      <c r="B81" s="2863">
        <f t="shared" si="38"/>
        <v>6.8629758106690565E-3</v>
      </c>
      <c r="C81" s="2861">
        <f t="shared" si="38"/>
        <v>9.0318140112204022E-3</v>
      </c>
      <c r="D81" s="2862">
        <f t="shared" si="31"/>
        <v>6.8629758106690565E-3</v>
      </c>
      <c r="E81" s="2861">
        <f t="shared" si="31"/>
        <v>9.0318140112204022E-3</v>
      </c>
      <c r="F81" s="2862">
        <f t="shared" si="31"/>
        <v>6.8629758106690565E-3</v>
      </c>
      <c r="G81" s="2861">
        <f t="shared" si="31"/>
        <v>9.0318140112204022E-3</v>
      </c>
      <c r="H81" s="2862">
        <f t="shared" si="31"/>
        <v>6.8629758106690565E-3</v>
      </c>
      <c r="I81" s="2861">
        <f t="shared" si="31"/>
        <v>9.0318140112204022E-3</v>
      </c>
      <c r="J81" s="2862">
        <f t="shared" si="31"/>
        <v>6.8629758106690565E-3</v>
      </c>
      <c r="K81" s="2861">
        <f t="shared" si="31"/>
        <v>9.0318140112204022E-3</v>
      </c>
      <c r="L81" s="2862">
        <f t="shared" si="31"/>
        <v>6.8629758106690565E-3</v>
      </c>
      <c r="M81" s="2861">
        <f t="shared" si="31"/>
        <v>9.0318140112204022E-3</v>
      </c>
      <c r="N81" s="2862">
        <f t="shared" si="31"/>
        <v>6.8629758106690565E-3</v>
      </c>
      <c r="O81" s="2861">
        <f t="shared" si="31"/>
        <v>9.0318140112204022E-3</v>
      </c>
      <c r="P81" s="2862">
        <f t="shared" si="31"/>
        <v>6.8629758106690565E-3</v>
      </c>
      <c r="Q81" s="2861">
        <f t="shared" si="31"/>
        <v>9.0318140112204022E-3</v>
      </c>
      <c r="R81" s="2862">
        <f t="shared" si="31"/>
        <v>6.8629758106690565E-3</v>
      </c>
      <c r="S81" s="2861">
        <f t="shared" si="31"/>
        <v>9.0318140112204022E-3</v>
      </c>
      <c r="T81" s="2862">
        <f t="shared" si="41"/>
        <v>6.1870061843593161E-3</v>
      </c>
      <c r="U81" s="2861">
        <v>0</v>
      </c>
      <c r="V81" s="2862">
        <f t="shared" si="39"/>
        <v>6.8629758106690565E-3</v>
      </c>
      <c r="W81" s="2861">
        <f t="shared" si="39"/>
        <v>9.0318140112204022E-3</v>
      </c>
      <c r="X81" s="2862">
        <f t="shared" si="40"/>
        <v>4.6522795978966097E-4</v>
      </c>
      <c r="Y81" s="2861">
        <f t="shared" si="40"/>
        <v>0</v>
      </c>
      <c r="Z81" s="2862">
        <f>Vehi_Plastics!BR119</f>
        <v>2.6671924385483364E-2</v>
      </c>
      <c r="AA81" s="2861">
        <v>0</v>
      </c>
    </row>
    <row r="82" spans="1:27" s="2136" customFormat="1" ht="15.75">
      <c r="A82" s="2093" t="s">
        <v>2546</v>
      </c>
      <c r="B82" s="2863">
        <f t="shared" si="38"/>
        <v>2.1616253179850529</v>
      </c>
      <c r="C82" s="2861">
        <f t="shared" si="38"/>
        <v>2.9683198105646631E-2</v>
      </c>
      <c r="D82" s="2862">
        <f t="shared" si="31"/>
        <v>2.1616253179850529</v>
      </c>
      <c r="E82" s="2861">
        <f t="shared" si="31"/>
        <v>2.9683198105646631E-2</v>
      </c>
      <c r="F82" s="2862">
        <f t="shared" si="31"/>
        <v>2.1616253179850529</v>
      </c>
      <c r="G82" s="2861">
        <f t="shared" si="31"/>
        <v>2.9683198105646631E-2</v>
      </c>
      <c r="H82" s="2862">
        <f t="shared" si="31"/>
        <v>2.1616253179850529</v>
      </c>
      <c r="I82" s="2861">
        <f t="shared" si="31"/>
        <v>2.9683198105646631E-2</v>
      </c>
      <c r="J82" s="2862">
        <f t="shared" si="31"/>
        <v>2.1616253179850529</v>
      </c>
      <c r="K82" s="2861">
        <f t="shared" si="31"/>
        <v>2.9683198105646631E-2</v>
      </c>
      <c r="L82" s="2862">
        <f t="shared" si="31"/>
        <v>2.1616253179850529</v>
      </c>
      <c r="M82" s="2861">
        <f t="shared" si="31"/>
        <v>2.9683198105646631E-2</v>
      </c>
      <c r="N82" s="2862">
        <f t="shared" si="31"/>
        <v>2.1616253179850529</v>
      </c>
      <c r="O82" s="2861">
        <f t="shared" si="31"/>
        <v>2.9683198105646631E-2</v>
      </c>
      <c r="P82" s="2862">
        <f t="shared" si="31"/>
        <v>2.1616253179850529</v>
      </c>
      <c r="Q82" s="2861">
        <f t="shared" si="31"/>
        <v>2.9683198105646631E-2</v>
      </c>
      <c r="R82" s="2862">
        <f t="shared" si="31"/>
        <v>2.1616253179850529</v>
      </c>
      <c r="S82" s="2861">
        <f t="shared" si="31"/>
        <v>2.9683198105646631E-2</v>
      </c>
      <c r="T82" s="2862">
        <f t="shared" si="41"/>
        <v>1.2781571872633766</v>
      </c>
      <c r="U82" s="2861">
        <v>0</v>
      </c>
      <c r="V82" s="2862">
        <f t="shared" si="39"/>
        <v>2.1616253179850529</v>
      </c>
      <c r="W82" s="2861">
        <f t="shared" si="39"/>
        <v>2.9683198105646631E-2</v>
      </c>
      <c r="X82" s="2862">
        <f t="shared" si="40"/>
        <v>0.93997286221274745</v>
      </c>
      <c r="Y82" s="2861">
        <f t="shared" si="40"/>
        <v>0</v>
      </c>
      <c r="Z82" s="2862">
        <f>Vehi_Plastics!BR120</f>
        <v>9.4071692146569639</v>
      </c>
      <c r="AA82" s="2861">
        <v>0</v>
      </c>
    </row>
    <row r="83" spans="1:27" s="2136" customFormat="1" ht="15.75">
      <c r="A83" s="2093" t="s">
        <v>2547</v>
      </c>
      <c r="B83" s="2863">
        <f t="shared" si="38"/>
        <v>5.3904315575575689E-3</v>
      </c>
      <c r="C83" s="2861">
        <f t="shared" si="38"/>
        <v>3.3105951242258652E-2</v>
      </c>
      <c r="D83" s="2862">
        <f t="shared" ref="D83:S84" si="42" xml:space="preserve"> F51/2000</f>
        <v>5.3904315575575689E-3</v>
      </c>
      <c r="E83" s="2861">
        <f t="shared" si="42"/>
        <v>3.3105951242258652E-2</v>
      </c>
      <c r="F83" s="2862">
        <f t="shared" si="42"/>
        <v>5.3904315575575689E-3</v>
      </c>
      <c r="G83" s="2861">
        <f t="shared" si="42"/>
        <v>3.3105951242258652E-2</v>
      </c>
      <c r="H83" s="2862">
        <f t="shared" si="42"/>
        <v>5.3904315575575689E-3</v>
      </c>
      <c r="I83" s="2861">
        <f t="shared" si="42"/>
        <v>3.3105951242258652E-2</v>
      </c>
      <c r="J83" s="2862">
        <f t="shared" si="42"/>
        <v>5.3904315575575689E-3</v>
      </c>
      <c r="K83" s="2861">
        <f t="shared" si="42"/>
        <v>3.3105951242258652E-2</v>
      </c>
      <c r="L83" s="2862">
        <f t="shared" si="42"/>
        <v>5.3904315575575689E-3</v>
      </c>
      <c r="M83" s="2861">
        <f t="shared" si="42"/>
        <v>3.3105951242258652E-2</v>
      </c>
      <c r="N83" s="2862">
        <f t="shared" si="42"/>
        <v>5.3904315575575689E-3</v>
      </c>
      <c r="O83" s="2861">
        <f t="shared" si="42"/>
        <v>3.3105951242258652E-2</v>
      </c>
      <c r="P83" s="2862">
        <f t="shared" si="42"/>
        <v>5.3904315575575689E-3</v>
      </c>
      <c r="Q83" s="2861">
        <f t="shared" si="42"/>
        <v>3.3105951242258652E-2</v>
      </c>
      <c r="R83" s="2862">
        <f t="shared" si="42"/>
        <v>5.3904315575575689E-3</v>
      </c>
      <c r="S83" s="2861">
        <f t="shared" si="42"/>
        <v>3.3105951242258652E-2</v>
      </c>
      <c r="T83" s="2862">
        <f t="shared" si="41"/>
        <v>5.76309813631431E-3</v>
      </c>
      <c r="U83" s="2861">
        <v>0</v>
      </c>
      <c r="V83" s="2862">
        <f t="shared" si="39"/>
        <v>5.3904315575575689E-3</v>
      </c>
      <c r="W83" s="2861">
        <f t="shared" si="39"/>
        <v>3.3105951242258652E-2</v>
      </c>
      <c r="X83" s="2862">
        <f t="shared" si="40"/>
        <v>1.4547138526434518E-3</v>
      </c>
      <c r="Y83" s="2861">
        <f t="shared" si="40"/>
        <v>0</v>
      </c>
      <c r="Z83" s="2862">
        <f>Vehi_Plastics!BR121</f>
        <v>0.11036058175071385</v>
      </c>
      <c r="AA83" s="2861">
        <v>0</v>
      </c>
    </row>
    <row r="84" spans="1:27" s="2144" customFormat="1" ht="15.75">
      <c r="A84" s="2093" t="s">
        <v>2548</v>
      </c>
      <c r="B84" s="2927">
        <f t="shared" si="38"/>
        <v>317.21717589114394</v>
      </c>
      <c r="C84" s="2928">
        <f t="shared" si="38"/>
        <v>1644.4732949061895</v>
      </c>
      <c r="D84" s="2873">
        <f t="shared" si="42"/>
        <v>317.21717589114394</v>
      </c>
      <c r="E84" s="2929">
        <f t="shared" si="42"/>
        <v>1644.4732949061895</v>
      </c>
      <c r="F84" s="2873">
        <f t="shared" si="42"/>
        <v>317.21717589114394</v>
      </c>
      <c r="G84" s="2929">
        <f t="shared" si="42"/>
        <v>1644.4732949061895</v>
      </c>
      <c r="H84" s="2873">
        <f t="shared" si="42"/>
        <v>317.21717589114394</v>
      </c>
      <c r="I84" s="2929">
        <f t="shared" si="42"/>
        <v>1644.4732949061895</v>
      </c>
      <c r="J84" s="2873">
        <f t="shared" si="42"/>
        <v>317.21717589114394</v>
      </c>
      <c r="K84" s="2929">
        <f t="shared" si="42"/>
        <v>1644.4732949061895</v>
      </c>
      <c r="L84" s="2873">
        <f t="shared" si="42"/>
        <v>317.21717589114394</v>
      </c>
      <c r="M84" s="2929">
        <f t="shared" si="42"/>
        <v>1644.4732949061895</v>
      </c>
      <c r="N84" s="2873">
        <f t="shared" si="42"/>
        <v>317.21717589114394</v>
      </c>
      <c r="O84" s="2929">
        <f t="shared" si="42"/>
        <v>1644.4732949061895</v>
      </c>
      <c r="P84" s="2873">
        <f t="shared" si="42"/>
        <v>317.21717589114394</v>
      </c>
      <c r="Q84" s="2929">
        <f t="shared" si="42"/>
        <v>1644.4732949061895</v>
      </c>
      <c r="R84" s="2873">
        <f t="shared" si="42"/>
        <v>317.21717589114394</v>
      </c>
      <c r="S84" s="2929">
        <f t="shared" si="42"/>
        <v>1644.4732949061895</v>
      </c>
      <c r="T84" s="2930">
        <f>SUM(B52:C52)* $A$10/2000</f>
        <v>240.41437713165016</v>
      </c>
      <c r="U84" s="2928">
        <v>0</v>
      </c>
      <c r="V84" s="2873">
        <f t="shared" si="39"/>
        <v>317.21717589114394</v>
      </c>
      <c r="W84" s="2929">
        <f t="shared" si="39"/>
        <v>1644.4732949061895</v>
      </c>
      <c r="X84" s="2873">
        <f t="shared" si="40"/>
        <v>81.077336219127403</v>
      </c>
      <c r="Y84" s="2929">
        <f t="shared" si="40"/>
        <v>0</v>
      </c>
      <c r="Z84" s="2873">
        <f>Vehi_Plastics!BR122</f>
        <v>1337.2216339701936</v>
      </c>
      <c r="AA84" s="2928">
        <v>0</v>
      </c>
    </row>
    <row r="85" spans="1:27" s="2144" customFormat="1" ht="15.75">
      <c r="A85" s="2093" t="s">
        <v>2550</v>
      </c>
      <c r="B85" s="2927">
        <f>B84+B74*GREET1_Import_Export!$B$62/GREET1_Import_Export!$B$65+B75*GREET1_Import_Export!$B$63/GREET1_Import_Export!$B$65</f>
        <v>319.1994882758313</v>
      </c>
      <c r="C85" s="2928">
        <f>C84+C74*GREET1_Import_Export!$B$62/GREET1_Import_Export!$B$65+C75*GREET1_Import_Export!$B$63/GREET1_Import_Export!$B$65</f>
        <v>1645.1841878869802</v>
      </c>
      <c r="D85" s="2931">
        <f>D84+D74*GREET1_Import_Export!$B$62/GREET1_Import_Export!$B$65+D75*GREET1_Import_Export!$B$63/GREET1_Import_Export!$B$65</f>
        <v>319.1994882758313</v>
      </c>
      <c r="E85" s="2932">
        <f>E84+E74*GREET1_Import_Export!$B$62/GREET1_Import_Export!$B$65+E75*GREET1_Import_Export!$B$63/GREET1_Import_Export!$B$65</f>
        <v>1645.1841878869802</v>
      </c>
      <c r="F85" s="2931">
        <f>F84+F74*GREET1_Import_Export!$B$62/GREET1_Import_Export!$B$65+F75*GREET1_Import_Export!$B$63/GREET1_Import_Export!$B$65</f>
        <v>319.1994882758313</v>
      </c>
      <c r="G85" s="2932">
        <f>G84+G74*GREET1_Import_Export!$B$62/GREET1_Import_Export!$B$65+G75*GREET1_Import_Export!$B$63/GREET1_Import_Export!$B$65</f>
        <v>1645.1841878869802</v>
      </c>
      <c r="H85" s="2931">
        <f>H84+H74*GREET1_Import_Export!$B$62/GREET1_Import_Export!$B$65+H75*GREET1_Import_Export!$B$63/GREET1_Import_Export!$B$65</f>
        <v>319.1994882758313</v>
      </c>
      <c r="I85" s="2932">
        <f>I84+I74*GREET1_Import_Export!$B$62/GREET1_Import_Export!$B$65+I75*GREET1_Import_Export!$B$63/GREET1_Import_Export!$B$65</f>
        <v>1645.1841878869802</v>
      </c>
      <c r="J85" s="2931">
        <f>J84+J74*GREET1_Import_Export!$B$62/GREET1_Import_Export!$B$65+J75*GREET1_Import_Export!$B$63/GREET1_Import_Export!$B$65</f>
        <v>319.1994882758313</v>
      </c>
      <c r="K85" s="2932">
        <f>K84+K74*GREET1_Import_Export!$B$62/GREET1_Import_Export!$B$65+K75*GREET1_Import_Export!$B$63/GREET1_Import_Export!$B$65</f>
        <v>1645.1841878869802</v>
      </c>
      <c r="L85" s="2931">
        <f>L84+L74*GREET1_Import_Export!$B$62/GREET1_Import_Export!$B$65+L75*GREET1_Import_Export!$B$63/GREET1_Import_Export!$B$65</f>
        <v>319.1994882758313</v>
      </c>
      <c r="M85" s="2932">
        <f>M84+M74*GREET1_Import_Export!$B$62/GREET1_Import_Export!$B$65+M75*GREET1_Import_Export!$B$63/GREET1_Import_Export!$B$65</f>
        <v>1645.1841878869802</v>
      </c>
      <c r="N85" s="2931">
        <f>N84+N74*GREET1_Import_Export!$B$62/GREET1_Import_Export!$B$65+N75*GREET1_Import_Export!$B$63/GREET1_Import_Export!$B$65</f>
        <v>319.1994882758313</v>
      </c>
      <c r="O85" s="2932">
        <f>O84+O74*GREET1_Import_Export!$B$62/GREET1_Import_Export!$B$65+O75*GREET1_Import_Export!$B$63/GREET1_Import_Export!$B$65</f>
        <v>1645.1841878869802</v>
      </c>
      <c r="P85" s="2931">
        <f>P84+P74*GREET1_Import_Export!$B$62/GREET1_Import_Export!$B$65+P75*GREET1_Import_Export!$B$63/GREET1_Import_Export!$B$65</f>
        <v>319.1994882758313</v>
      </c>
      <c r="Q85" s="2932">
        <f>Q84+Q74*GREET1_Import_Export!$B$62/GREET1_Import_Export!$B$65+Q75*GREET1_Import_Export!$B$63/GREET1_Import_Export!$B$65</f>
        <v>1645.1841878869802</v>
      </c>
      <c r="R85" s="2931">
        <f>R84+R74*GREET1_Import_Export!$B$62/GREET1_Import_Export!$B$65+R75*GREET1_Import_Export!$B$63/GREET1_Import_Export!$B$65</f>
        <v>319.1994882758313</v>
      </c>
      <c r="S85" s="2932">
        <f>S84+S74*GREET1_Import_Export!$B$62/GREET1_Import_Export!$B$65+S75*GREET1_Import_Export!$B$63/GREET1_Import_Export!$B$65</f>
        <v>1645.1841878869802</v>
      </c>
      <c r="T85" s="2931">
        <f>T84+T74*GREET1_Import_Export!$B$62/GREET1_Import_Export!$B$65+T75*GREET1_Import_Export!$B$63/GREET1_Import_Export!$B$65</f>
        <v>241.24674685997982</v>
      </c>
      <c r="U85" s="2932">
        <f>U84+U74*GREET1_Import_Export!$B$62/GREET1_Import_Export!$B$65+U75*GREET1_Import_Export!$B$63/GREET1_Import_Export!$B$65</f>
        <v>0</v>
      </c>
      <c r="V85" s="2931">
        <f>V84+V74*GREET1_Import_Export!$B$62/GREET1_Import_Export!$B$65+V75*GREET1_Import_Export!$B$63/GREET1_Import_Export!$B$65</f>
        <v>319.1994882758313</v>
      </c>
      <c r="W85" s="2932">
        <f>W84+W74*GREET1_Import_Export!$B$62/GREET1_Import_Export!$B$65+W75*GREET1_Import_Export!$B$63/GREET1_Import_Export!$B$65</f>
        <v>1645.1841878869802</v>
      </c>
      <c r="X85" s="2931">
        <f>X84+X74*GREET1_Import_Export!$B$62/GREET1_Import_Export!$B$65+X75*GREET1_Import_Export!$B$63/GREET1_Import_Export!$B$65</f>
        <v>81.532322792206656</v>
      </c>
      <c r="Y85" s="2932">
        <f>Y84+Y74*GREET1_Import_Export!$B$62/GREET1_Import_Export!$B$65+Y75*GREET1_Import_Export!$B$63/GREET1_Import_Export!$B$65</f>
        <v>707.48333333333335</v>
      </c>
      <c r="Z85" s="2931">
        <f>Z84+Z74*GREET1_Import_Export!$B$62/GREET1_Import_Export!$B$65+Z75*GREET1_Import_Export!$B$63/GREET1_Import_Export!$B$65</f>
        <v>1343.5748469908615</v>
      </c>
      <c r="AA85" s="2932">
        <f>AA84+AA74*GREET1_Import_Export!$B$62/GREET1_Import_Export!$B$65+AA75*GREET1_Import_Export!$B$63/GREET1_Import_Export!$B$65</f>
        <v>0</v>
      </c>
    </row>
    <row r="86" spans="1:27" s="2144" customFormat="1">
      <c r="A86" s="2142" t="s">
        <v>851</v>
      </c>
      <c r="B86" s="2907">
        <f>B85+SUMPRODUCT(B82:B83,GREET1_Import_Export!$B$51:$B$52)+SUMPRODUCT(B74:B76,GREET1_Import_Export!$B$55:$B$57)+SUMPRODUCT(B80:B81,GREET1_Import_Export!$B$58:$B$59)</f>
        <v>385.47671217813564</v>
      </c>
      <c r="C86" s="2933">
        <f>C85+SUMPRODUCT(C82:C83,GREET1_Import_Export!$B$51:$B$52)+SUMPRODUCT(C74:C76,GREET1_Import_Export!$B$55:$B$57)+SUMPRODUCT(C80:C81,GREET1_Import_Export!$B$58:$B$59)</f>
        <v>1654.8477609093482</v>
      </c>
      <c r="D86" s="2934">
        <f>D85+SUMPRODUCT(D82:D83,GREET1_Import_Export!$B$51:$B$52)+SUMPRODUCT(D74:D76,GREET1_Import_Export!$B$55:$B$57)+SUMPRODUCT(D80:D81,GREET1_Import_Export!$B$58:$B$59)</f>
        <v>385.47671217813564</v>
      </c>
      <c r="E86" s="2935">
        <f>E85+SUMPRODUCT(E82:E83,GREET1_Import_Export!$B$51:$B$52)+SUMPRODUCT(E74:E76,GREET1_Import_Export!$B$55:$B$57)+SUMPRODUCT(E80:E81,GREET1_Import_Export!$B$58:$B$59)</f>
        <v>1654.8477609093482</v>
      </c>
      <c r="F86" s="2936">
        <f>F85+SUMPRODUCT(F82:F83,GREET1_Import_Export!$B$51:$B$52)+SUMPRODUCT(F74:F76,GREET1_Import_Export!$B$55:$B$57)+SUMPRODUCT(F80:F81,GREET1_Import_Export!$B$58:$B$59)</f>
        <v>385.47671217813564</v>
      </c>
      <c r="G86" s="2935">
        <f>G85+SUMPRODUCT(G82:G83,GREET1_Import_Export!$B$51:$B$52)+SUMPRODUCT(G74:G76,GREET1_Import_Export!$B$55:$B$57)+SUMPRODUCT(G80:G81,GREET1_Import_Export!$B$58:$B$59)</f>
        <v>1654.8477609093482</v>
      </c>
      <c r="H86" s="2936">
        <f>H85+SUMPRODUCT(H82:H83,GREET1_Import_Export!$B$51:$B$52)+SUMPRODUCT(H74:H76,GREET1_Import_Export!$B$55:$B$57)+SUMPRODUCT(H80:H81,GREET1_Import_Export!$B$58:$B$59)</f>
        <v>385.47671217813564</v>
      </c>
      <c r="I86" s="2935">
        <f>I85+SUMPRODUCT(I82:I83,GREET1_Import_Export!$B$51:$B$52)+SUMPRODUCT(I74:I76,GREET1_Import_Export!$B$55:$B$57)+SUMPRODUCT(I80:I81,GREET1_Import_Export!$B$58:$B$59)</f>
        <v>1654.8477609093482</v>
      </c>
      <c r="J86" s="2936">
        <f>J85+SUMPRODUCT(J82:J83,GREET1_Import_Export!$B$51:$B$52)+SUMPRODUCT(J74:J76,GREET1_Import_Export!$B$55:$B$57)+SUMPRODUCT(J80:J81,GREET1_Import_Export!$B$58:$B$59)</f>
        <v>385.47671217813564</v>
      </c>
      <c r="K86" s="2935">
        <f>K85+SUMPRODUCT(K82:K83,GREET1_Import_Export!$B$51:$B$52)+SUMPRODUCT(K74:K76,GREET1_Import_Export!$B$55:$B$57)+SUMPRODUCT(K80:K81,GREET1_Import_Export!$B$58:$B$59)</f>
        <v>1654.8477609093482</v>
      </c>
      <c r="L86" s="2936">
        <f>L85+SUMPRODUCT(L82:L83,GREET1_Import_Export!$B$51:$B$52)+SUMPRODUCT(L74:L76,GREET1_Import_Export!$B$55:$B$57)+SUMPRODUCT(L80:L81,GREET1_Import_Export!$B$58:$B$59)</f>
        <v>385.47671217813564</v>
      </c>
      <c r="M86" s="2935">
        <f>M85+SUMPRODUCT(M82:M83,GREET1_Import_Export!$B$51:$B$52)+SUMPRODUCT(M74:M76,GREET1_Import_Export!$B$55:$B$57)+SUMPRODUCT(M80:M81,GREET1_Import_Export!$B$58:$B$59)</f>
        <v>1654.8477609093482</v>
      </c>
      <c r="N86" s="2936">
        <f>N85+SUMPRODUCT(N82:N83,GREET1_Import_Export!$B$51:$B$52)+SUMPRODUCT(N74:N76,GREET1_Import_Export!$B$55:$B$57)+SUMPRODUCT(N80:N81,GREET1_Import_Export!$B$58:$B$59)</f>
        <v>385.47671217813564</v>
      </c>
      <c r="O86" s="2935">
        <f>O85+SUMPRODUCT(O82:O83,GREET1_Import_Export!$B$51:$B$52)+SUMPRODUCT(O74:O76,GREET1_Import_Export!$B$55:$B$57)+SUMPRODUCT(O80:O81,GREET1_Import_Export!$B$58:$B$59)</f>
        <v>1654.8477609093482</v>
      </c>
      <c r="P86" s="2936">
        <f>P85+SUMPRODUCT(P82:P83,GREET1_Import_Export!$B$51:$B$52)+SUMPRODUCT(P74:P76,GREET1_Import_Export!$B$55:$B$57)+SUMPRODUCT(P80:P81,GREET1_Import_Export!$B$58:$B$59)</f>
        <v>385.47671217813564</v>
      </c>
      <c r="Q86" s="2935">
        <f>Q85+SUMPRODUCT(Q82:Q83,GREET1_Import_Export!$B$51:$B$52)+SUMPRODUCT(Q74:Q76,GREET1_Import_Export!$B$55:$B$57)+SUMPRODUCT(Q80:Q81,GREET1_Import_Export!$B$58:$B$59)</f>
        <v>1654.8477609093482</v>
      </c>
      <c r="R86" s="2936">
        <f>R85+SUMPRODUCT(R82:R83,GREET1_Import_Export!$B$51:$B$52)+SUMPRODUCT(R74:R76,GREET1_Import_Export!$B$55:$B$57)+SUMPRODUCT(R80:R81,GREET1_Import_Export!$B$58:$B$59)</f>
        <v>385.47671217813564</v>
      </c>
      <c r="S86" s="2935">
        <f>S85+SUMPRODUCT(S82:S83,GREET1_Import_Export!$B$51:$B$52)+SUMPRODUCT(S74:S76,GREET1_Import_Export!$B$55:$B$57)+SUMPRODUCT(S80:S81,GREET1_Import_Export!$B$58:$B$59)</f>
        <v>1654.8477609093482</v>
      </c>
      <c r="T86" s="2936">
        <f>T85+SUMPRODUCT(T82:T83,GREET1_Import_Export!$B$51:$B$52)+SUMPRODUCT(T74:T76,GREET1_Import_Export!$B$55:$B$57)+SUMPRODUCT(T80:T81,GREET1_Import_Export!$B$58:$B$59)</f>
        <v>281.11868348400441</v>
      </c>
      <c r="U86" s="2935">
        <f>U85+SUMPRODUCT(U82:U83,GREET1_Import_Export!$B$51:$B$52)+SUMPRODUCT(U74:U76,GREET1_Import_Export!$B$55:$B$57)+SUMPRODUCT(U80:U81,GREET1_Import_Export!$B$58:$B$59)</f>
        <v>0</v>
      </c>
      <c r="V86" s="2936">
        <f>V85+SUMPRODUCT(V82:V83,GREET1_Import_Export!$B$51:$B$52)+SUMPRODUCT(V74:V76,GREET1_Import_Export!$B$55:$B$57)+SUMPRODUCT(V80:V81,GREET1_Import_Export!$B$58:$B$59)</f>
        <v>385.47671217813564</v>
      </c>
      <c r="W86" s="2935">
        <f>W85+SUMPRODUCT(W82:W83,GREET1_Import_Export!$B$51:$B$52)+SUMPRODUCT(W74:W76,GREET1_Import_Export!$B$55:$B$57)+SUMPRODUCT(W80:W81,GREET1_Import_Export!$B$58:$B$59)</f>
        <v>1654.8477609093482</v>
      </c>
      <c r="X86" s="2936">
        <f>X85+SUMPRODUCT(X82:X83,GREET1_Import_Export!$B$51:$B$52)+SUMPRODUCT(X74:X76,GREET1_Import_Export!$B$55:$B$57)+SUMPRODUCT(X80:X81,GREET1_Import_Export!$B$58:$B$59)</f>
        <v>110.11700782953959</v>
      </c>
      <c r="Y86" s="2935">
        <f>Y85+SUMPRODUCT(Y82:Y83,GREET1_Import_Export!$B$51:$B$52)+SUMPRODUCT(Y74:Y76,GREET1_Import_Export!$B$55:$B$57)+SUMPRODUCT(Y80:Y81,GREET1_Import_Export!$B$58:$B$59)</f>
        <v>707.48333333333335</v>
      </c>
      <c r="Z86" s="2936">
        <f>Z85+SUMPRODUCT(Z82:Z83,GREET1_Import_Export!$B$51:$B$52)+SUMPRODUCT(Z74:Z76,GREET1_Import_Export!$B$55:$B$57)+SUMPRODUCT(Z80:Z81,GREET1_Import_Export!$B$58:$B$59)</f>
        <v>1655.0354775945095</v>
      </c>
      <c r="AA86" s="2935">
        <f>AA85+SUMPRODUCT(AA82:AA83,GREET1_Import_Export!$B$51:$B$52)+SUMPRODUCT(AA74:AA76,GREET1_Import_Export!$B$55:$B$57)+SUMPRODUCT(AA80:AA81,GREET1_Import_Export!$B$58:$B$59)</f>
        <v>0</v>
      </c>
    </row>
    <row r="87" spans="1:27" s="2136" customFormat="1">
      <c r="A87" s="2155" t="s">
        <v>1031</v>
      </c>
      <c r="B87" s="2937" t="s">
        <v>846</v>
      </c>
      <c r="C87" s="2919" t="s">
        <v>846</v>
      </c>
      <c r="D87" s="2918" t="s">
        <v>846</v>
      </c>
      <c r="E87" s="2926" t="s">
        <v>846</v>
      </c>
      <c r="F87" s="2920" t="s">
        <v>846</v>
      </c>
      <c r="G87" s="2926" t="s">
        <v>846</v>
      </c>
      <c r="H87" s="2920" t="s">
        <v>846</v>
      </c>
      <c r="I87" s="2926" t="s">
        <v>846</v>
      </c>
      <c r="J87" s="2920" t="s">
        <v>846</v>
      </c>
      <c r="K87" s="2926" t="s">
        <v>846</v>
      </c>
      <c r="L87" s="2920" t="s">
        <v>846</v>
      </c>
      <c r="M87" s="2926" t="s">
        <v>846</v>
      </c>
      <c r="N87" s="2920" t="s">
        <v>846</v>
      </c>
      <c r="O87" s="2926" t="s">
        <v>846</v>
      </c>
      <c r="P87" s="2920" t="s">
        <v>846</v>
      </c>
      <c r="Q87" s="2926" t="s">
        <v>846</v>
      </c>
      <c r="R87" s="2920" t="s">
        <v>846</v>
      </c>
      <c r="S87" s="2926" t="s">
        <v>846</v>
      </c>
      <c r="T87" s="2920" t="s">
        <v>846</v>
      </c>
      <c r="U87" s="2926" t="s">
        <v>846</v>
      </c>
      <c r="V87" s="2920" t="s">
        <v>846</v>
      </c>
      <c r="W87" s="2926" t="s">
        <v>846</v>
      </c>
      <c r="X87" s="2920" t="s">
        <v>846</v>
      </c>
      <c r="Y87" s="2926" t="s">
        <v>846</v>
      </c>
      <c r="Z87" s="2920" t="s">
        <v>846</v>
      </c>
      <c r="AA87" s="2926" t="s">
        <v>846</v>
      </c>
    </row>
    <row r="88" spans="1:27" s="2136" customFormat="1">
      <c r="A88" s="2093" t="s">
        <v>821</v>
      </c>
      <c r="B88" s="2863">
        <f t="shared" ref="B88:C95" si="43">D54/2000</f>
        <v>0.29872833502887819</v>
      </c>
      <c r="C88" s="2861">
        <f t="shared" si="43"/>
        <v>3.5300767519125684E-2</v>
      </c>
      <c r="D88" s="2862">
        <f t="shared" ref="D88:S95" si="44" xml:space="preserve"> F54/2000</f>
        <v>0.29872833502887819</v>
      </c>
      <c r="E88" s="2861">
        <f t="shared" si="44"/>
        <v>3.5300767519125684E-2</v>
      </c>
      <c r="F88" s="2862">
        <f t="shared" si="44"/>
        <v>0.29872833502887819</v>
      </c>
      <c r="G88" s="2861">
        <f t="shared" si="44"/>
        <v>3.5300767519125684E-2</v>
      </c>
      <c r="H88" s="2862">
        <f t="shared" si="44"/>
        <v>0.29872833502887819</v>
      </c>
      <c r="I88" s="2861">
        <f t="shared" si="44"/>
        <v>3.5300767519125684E-2</v>
      </c>
      <c r="J88" s="2862">
        <f t="shared" si="44"/>
        <v>0.29872833502887819</v>
      </c>
      <c r="K88" s="2861">
        <f t="shared" si="44"/>
        <v>3.5300767519125684E-2</v>
      </c>
      <c r="L88" s="2862">
        <f t="shared" si="44"/>
        <v>0.29872833502887819</v>
      </c>
      <c r="M88" s="2861">
        <f t="shared" si="44"/>
        <v>3.5300767519125684E-2</v>
      </c>
      <c r="N88" s="2862">
        <f t="shared" si="44"/>
        <v>0.29872833502887819</v>
      </c>
      <c r="O88" s="2861">
        <f t="shared" si="44"/>
        <v>3.5300767519125684E-2</v>
      </c>
      <c r="P88" s="2862">
        <f t="shared" si="44"/>
        <v>0.29872833502887819</v>
      </c>
      <c r="Q88" s="2861">
        <f t="shared" si="44"/>
        <v>3.5300767519125684E-2</v>
      </c>
      <c r="R88" s="2862">
        <f t="shared" si="44"/>
        <v>0.29872833502887819</v>
      </c>
      <c r="S88" s="2861">
        <f t="shared" si="44"/>
        <v>3.5300767519125684E-2</v>
      </c>
      <c r="T88" s="2862">
        <f xml:space="preserve"> SUM(B54:C54)*$A$10/2000</f>
        <v>7.3126593678374929E-2</v>
      </c>
      <c r="U88" s="2861">
        <v>0</v>
      </c>
      <c r="V88" s="2862">
        <f xml:space="preserve"> X54/2000</f>
        <v>0.29872833502887819</v>
      </c>
      <c r="W88" s="2861">
        <f xml:space="preserve"> Y54/2000</f>
        <v>3.5300767519125684E-2</v>
      </c>
      <c r="X88" s="2862">
        <f>V54* $A$11/2000</f>
        <v>3.9316945284435988E-2</v>
      </c>
      <c r="Y88" s="2861">
        <f>W54* $A$11/2000</f>
        <v>158.9</v>
      </c>
      <c r="Z88" s="2862">
        <f>Vehi_Plastics!BR126</f>
        <v>5.4083238127787515E-2</v>
      </c>
      <c r="AA88" s="2861">
        <v>0</v>
      </c>
    </row>
    <row r="89" spans="1:27" s="2136" customFormat="1">
      <c r="A89" s="2093" t="s">
        <v>822</v>
      </c>
      <c r="B89" s="2863">
        <f t="shared" si="43"/>
        <v>5.2080375136729848E-2</v>
      </c>
      <c r="C89" s="2861">
        <f t="shared" si="43"/>
        <v>0.15618003224772312</v>
      </c>
      <c r="D89" s="2862">
        <f t="shared" si="44"/>
        <v>5.2080375136729848E-2</v>
      </c>
      <c r="E89" s="2861">
        <f t="shared" si="44"/>
        <v>0.15618003224772312</v>
      </c>
      <c r="F89" s="2862">
        <f t="shared" si="44"/>
        <v>5.2080375136729848E-2</v>
      </c>
      <c r="G89" s="2861">
        <f t="shared" si="44"/>
        <v>0.15618003224772312</v>
      </c>
      <c r="H89" s="2862">
        <f t="shared" si="44"/>
        <v>5.2080375136729848E-2</v>
      </c>
      <c r="I89" s="2861">
        <f t="shared" si="44"/>
        <v>0.15618003224772312</v>
      </c>
      <c r="J89" s="2862">
        <f t="shared" si="44"/>
        <v>5.2080375136729848E-2</v>
      </c>
      <c r="K89" s="2861">
        <f t="shared" si="44"/>
        <v>0.15618003224772312</v>
      </c>
      <c r="L89" s="2862">
        <f t="shared" si="44"/>
        <v>5.2080375136729848E-2</v>
      </c>
      <c r="M89" s="2861">
        <f t="shared" si="44"/>
        <v>0.15618003224772312</v>
      </c>
      <c r="N89" s="2862">
        <f t="shared" si="44"/>
        <v>5.2080375136729848E-2</v>
      </c>
      <c r="O89" s="2861">
        <f t="shared" si="44"/>
        <v>0.15618003224772312</v>
      </c>
      <c r="P89" s="2862">
        <f t="shared" si="44"/>
        <v>5.2080375136729848E-2</v>
      </c>
      <c r="Q89" s="2861">
        <f t="shared" si="44"/>
        <v>0.15618003224772312</v>
      </c>
      <c r="R89" s="2862">
        <f t="shared" si="44"/>
        <v>5.2080375136729848E-2</v>
      </c>
      <c r="S89" s="2861">
        <f t="shared" si="44"/>
        <v>0.15618003224772312</v>
      </c>
      <c r="T89" s="2862">
        <f t="shared" ref="T89:T95" si="45" xml:space="preserve"> SUM(B55:C55)*$A$10/2000</f>
        <v>4.0891371421104404E-2</v>
      </c>
      <c r="U89" s="2861">
        <v>0</v>
      </c>
      <c r="V89" s="2862">
        <f t="shared" ref="V89:W95" si="46" xml:space="preserve"> X55/2000</f>
        <v>5.2080375136729848E-2</v>
      </c>
      <c r="W89" s="2861">
        <f t="shared" si="46"/>
        <v>0.15618003224772312</v>
      </c>
      <c r="X89" s="2862">
        <f t="shared" ref="X89:Y95" si="47">V55* $A$11/2000</f>
        <v>5.6170243574343668E-3</v>
      </c>
      <c r="Y89" s="2861">
        <f t="shared" si="47"/>
        <v>0</v>
      </c>
      <c r="Z89" s="2862">
        <f>Vehi_Plastics!BR127</f>
        <v>0.12073625327115751</v>
      </c>
      <c r="AA89" s="2861">
        <v>0</v>
      </c>
    </row>
    <row r="90" spans="1:27" s="2136" customFormat="1" ht="15.75">
      <c r="A90" s="2093" t="s">
        <v>2542</v>
      </c>
      <c r="B90" s="2863">
        <f t="shared" si="43"/>
        <v>8.0294959200128996E-2</v>
      </c>
      <c r="C90" s="2861">
        <f t="shared" si="43"/>
        <v>1.1064677985719491</v>
      </c>
      <c r="D90" s="2862">
        <f t="shared" si="44"/>
        <v>8.0294959200128996E-2</v>
      </c>
      <c r="E90" s="2861">
        <f t="shared" si="44"/>
        <v>1.1064677985719491</v>
      </c>
      <c r="F90" s="2862">
        <f t="shared" si="44"/>
        <v>8.0294959200128996E-2</v>
      </c>
      <c r="G90" s="2861">
        <f t="shared" si="44"/>
        <v>1.1064677985719491</v>
      </c>
      <c r="H90" s="2862">
        <f t="shared" si="44"/>
        <v>8.0294959200128996E-2</v>
      </c>
      <c r="I90" s="2861">
        <f t="shared" si="44"/>
        <v>1.1064677985719491</v>
      </c>
      <c r="J90" s="2862">
        <f t="shared" si="44"/>
        <v>8.0294959200128996E-2</v>
      </c>
      <c r="K90" s="2861">
        <f t="shared" si="44"/>
        <v>1.1064677985719491</v>
      </c>
      <c r="L90" s="2862">
        <f t="shared" si="44"/>
        <v>8.0294959200128996E-2</v>
      </c>
      <c r="M90" s="2861">
        <f t="shared" si="44"/>
        <v>1.1064677985719491</v>
      </c>
      <c r="N90" s="2862">
        <f t="shared" si="44"/>
        <v>8.0294959200128996E-2</v>
      </c>
      <c r="O90" s="2861">
        <f t="shared" si="44"/>
        <v>1.1064677985719491</v>
      </c>
      <c r="P90" s="2862">
        <f t="shared" si="44"/>
        <v>8.0294959200128996E-2</v>
      </c>
      <c r="Q90" s="2861">
        <f t="shared" si="44"/>
        <v>1.1064677985719491</v>
      </c>
      <c r="R90" s="2862">
        <f t="shared" si="44"/>
        <v>8.0294959200128996E-2</v>
      </c>
      <c r="S90" s="2861">
        <f t="shared" si="44"/>
        <v>1.1064677985719491</v>
      </c>
      <c r="T90" s="2862">
        <f t="shared" si="45"/>
        <v>6.3759335736521039E-2</v>
      </c>
      <c r="U90" s="2861">
        <v>0</v>
      </c>
      <c r="V90" s="2862">
        <f t="shared" si="46"/>
        <v>8.0294959200128996E-2</v>
      </c>
      <c r="W90" s="2861">
        <f t="shared" si="46"/>
        <v>1.1064677985719491</v>
      </c>
      <c r="X90" s="2862">
        <f t="shared" si="47"/>
        <v>7.8458182078642302E-3</v>
      </c>
      <c r="Y90" s="2861">
        <f t="shared" si="47"/>
        <v>0</v>
      </c>
      <c r="Z90" s="2862">
        <f>Vehi_Plastics!BR128</f>
        <v>0.13964835464299105</v>
      </c>
      <c r="AA90" s="2861">
        <v>0</v>
      </c>
    </row>
    <row r="91" spans="1:27" s="2136" customFormat="1" ht="15.75">
      <c r="A91" s="2093" t="s">
        <v>2543</v>
      </c>
      <c r="B91" s="2863">
        <f t="shared" si="43"/>
        <v>1.7041009317239758E-2</v>
      </c>
      <c r="C91" s="2861">
        <f t="shared" si="43"/>
        <v>0.19705002520947174</v>
      </c>
      <c r="D91" s="2862">
        <f t="shared" si="44"/>
        <v>1.7041009317239758E-2</v>
      </c>
      <c r="E91" s="2861">
        <f t="shared" si="44"/>
        <v>0.19705002520947174</v>
      </c>
      <c r="F91" s="2862">
        <f t="shared" si="44"/>
        <v>1.7041009317239758E-2</v>
      </c>
      <c r="G91" s="2861">
        <f t="shared" si="44"/>
        <v>0.19705002520947174</v>
      </c>
      <c r="H91" s="2862">
        <f t="shared" si="44"/>
        <v>1.7041009317239758E-2</v>
      </c>
      <c r="I91" s="2861">
        <f t="shared" si="44"/>
        <v>0.19705002520947174</v>
      </c>
      <c r="J91" s="2862">
        <f t="shared" si="44"/>
        <v>1.7041009317239758E-2</v>
      </c>
      <c r="K91" s="2861">
        <f t="shared" si="44"/>
        <v>0.19705002520947174</v>
      </c>
      <c r="L91" s="2862">
        <f t="shared" si="44"/>
        <v>1.7041009317239758E-2</v>
      </c>
      <c r="M91" s="2861">
        <f t="shared" si="44"/>
        <v>0.19705002520947174</v>
      </c>
      <c r="N91" s="2862">
        <f t="shared" si="44"/>
        <v>1.7041009317239758E-2</v>
      </c>
      <c r="O91" s="2861">
        <f t="shared" si="44"/>
        <v>0.19705002520947174</v>
      </c>
      <c r="P91" s="2862">
        <f t="shared" si="44"/>
        <v>1.7041009317239758E-2</v>
      </c>
      <c r="Q91" s="2861">
        <f t="shared" si="44"/>
        <v>0.19705002520947174</v>
      </c>
      <c r="R91" s="2862">
        <f t="shared" si="44"/>
        <v>1.7041009317239758E-2</v>
      </c>
      <c r="S91" s="2861">
        <f t="shared" si="44"/>
        <v>0.19705002520947174</v>
      </c>
      <c r="T91" s="2862">
        <f t="shared" si="45"/>
        <v>6.9085924426755757E-3</v>
      </c>
      <c r="U91" s="2861">
        <v>0</v>
      </c>
      <c r="V91" s="2862">
        <f t="shared" si="46"/>
        <v>1.7041009317239758E-2</v>
      </c>
      <c r="W91" s="2861">
        <f t="shared" si="46"/>
        <v>0.19705002520947174</v>
      </c>
      <c r="X91" s="2862">
        <f t="shared" si="47"/>
        <v>1.0096833212554571E-3</v>
      </c>
      <c r="Y91" s="2861">
        <f t="shared" si="47"/>
        <v>0</v>
      </c>
      <c r="Z91" s="2862">
        <f>Vehi_Plastics!BR129</f>
        <v>1.2960480085193687E-2</v>
      </c>
      <c r="AA91" s="2861">
        <v>0</v>
      </c>
    </row>
    <row r="92" spans="1:27" s="2136" customFormat="1" ht="15.75">
      <c r="A92" s="2093" t="s">
        <v>2544</v>
      </c>
      <c r="B92" s="2863">
        <f t="shared" si="43"/>
        <v>1.4872996419596765E-2</v>
      </c>
      <c r="C92" s="2861">
        <f t="shared" si="43"/>
        <v>0.10263425012750457</v>
      </c>
      <c r="D92" s="2862">
        <f t="shared" si="44"/>
        <v>1.4872996419596765E-2</v>
      </c>
      <c r="E92" s="2861">
        <f t="shared" si="44"/>
        <v>0.10263425012750457</v>
      </c>
      <c r="F92" s="2862">
        <f t="shared" si="44"/>
        <v>1.4872996419596765E-2</v>
      </c>
      <c r="G92" s="2861">
        <f t="shared" si="44"/>
        <v>0.10263425012750457</v>
      </c>
      <c r="H92" s="2862">
        <f t="shared" si="44"/>
        <v>1.4872996419596765E-2</v>
      </c>
      <c r="I92" s="2861">
        <f t="shared" si="44"/>
        <v>0.10263425012750457</v>
      </c>
      <c r="J92" s="2862">
        <f t="shared" si="44"/>
        <v>1.4872996419596765E-2</v>
      </c>
      <c r="K92" s="2861">
        <f t="shared" si="44"/>
        <v>0.10263425012750457</v>
      </c>
      <c r="L92" s="2862">
        <f t="shared" si="44"/>
        <v>1.4872996419596765E-2</v>
      </c>
      <c r="M92" s="2861">
        <f t="shared" si="44"/>
        <v>0.10263425012750457</v>
      </c>
      <c r="N92" s="2862">
        <f t="shared" si="44"/>
        <v>1.4872996419596765E-2</v>
      </c>
      <c r="O92" s="2861">
        <f t="shared" si="44"/>
        <v>0.10263425012750457</v>
      </c>
      <c r="P92" s="2862">
        <f t="shared" si="44"/>
        <v>1.4872996419596765E-2</v>
      </c>
      <c r="Q92" s="2861">
        <f t="shared" si="44"/>
        <v>0.10263425012750457</v>
      </c>
      <c r="R92" s="2862">
        <f t="shared" si="44"/>
        <v>1.4872996419596765E-2</v>
      </c>
      <c r="S92" s="2861">
        <f t="shared" si="44"/>
        <v>0.10263425012750457</v>
      </c>
      <c r="T92" s="2862">
        <f t="shared" si="45"/>
        <v>6.2500882074004649E-3</v>
      </c>
      <c r="U92" s="2861">
        <v>0</v>
      </c>
      <c r="V92" s="2862">
        <f t="shared" si="46"/>
        <v>1.4872996419596765E-2</v>
      </c>
      <c r="W92" s="2861">
        <f t="shared" si="46"/>
        <v>0.10263425012750457</v>
      </c>
      <c r="X92" s="2862">
        <f t="shared" si="47"/>
        <v>8.7290243182470962E-4</v>
      </c>
      <c r="Y92" s="2861">
        <f t="shared" si="47"/>
        <v>0</v>
      </c>
      <c r="Z92" s="2862">
        <f>Vehi_Plastics!BR130</f>
        <v>1.0976752727549702E-2</v>
      </c>
      <c r="AA92" s="2861">
        <v>0</v>
      </c>
    </row>
    <row r="93" spans="1:27" s="2136" customFormat="1" ht="15.75">
      <c r="A93" s="2093" t="s">
        <v>2545</v>
      </c>
      <c r="B93" s="2863">
        <f t="shared" si="43"/>
        <v>2.908390302348841E-2</v>
      </c>
      <c r="C93" s="2861">
        <f t="shared" si="43"/>
        <v>2.4833330949362478</v>
      </c>
      <c r="D93" s="2862">
        <f t="shared" si="44"/>
        <v>2.908390302348841E-2</v>
      </c>
      <c r="E93" s="2861">
        <f t="shared" si="44"/>
        <v>2.4833330949362478</v>
      </c>
      <c r="F93" s="2862">
        <f t="shared" si="44"/>
        <v>2.908390302348841E-2</v>
      </c>
      <c r="G93" s="2861">
        <f t="shared" si="44"/>
        <v>2.4833330949362478</v>
      </c>
      <c r="H93" s="2862">
        <f t="shared" si="44"/>
        <v>2.908390302348841E-2</v>
      </c>
      <c r="I93" s="2861">
        <f t="shared" si="44"/>
        <v>2.4833330949362478</v>
      </c>
      <c r="J93" s="2862">
        <f t="shared" si="44"/>
        <v>2.908390302348841E-2</v>
      </c>
      <c r="K93" s="2861">
        <f t="shared" si="44"/>
        <v>2.4833330949362478</v>
      </c>
      <c r="L93" s="2862">
        <f t="shared" si="44"/>
        <v>2.908390302348841E-2</v>
      </c>
      <c r="M93" s="2861">
        <f t="shared" si="44"/>
        <v>2.4833330949362478</v>
      </c>
      <c r="N93" s="2862">
        <f t="shared" si="44"/>
        <v>2.908390302348841E-2</v>
      </c>
      <c r="O93" s="2861">
        <f t="shared" si="44"/>
        <v>2.4833330949362478</v>
      </c>
      <c r="P93" s="2862">
        <f t="shared" si="44"/>
        <v>2.908390302348841E-2</v>
      </c>
      <c r="Q93" s="2861">
        <f t="shared" si="44"/>
        <v>2.4833330949362478</v>
      </c>
      <c r="R93" s="2862">
        <f t="shared" si="44"/>
        <v>2.908390302348841E-2</v>
      </c>
      <c r="S93" s="2861">
        <f t="shared" si="44"/>
        <v>2.4833330949362478</v>
      </c>
      <c r="T93" s="2862">
        <f t="shared" si="45"/>
        <v>1.3166617834043787E-2</v>
      </c>
      <c r="U93" s="2861">
        <v>0</v>
      </c>
      <c r="V93" s="2862">
        <f t="shared" si="46"/>
        <v>2.908390302348841E-2</v>
      </c>
      <c r="W93" s="2861">
        <f t="shared" si="46"/>
        <v>2.4833330949362478</v>
      </c>
      <c r="X93" s="2862">
        <f t="shared" si="47"/>
        <v>4.3877715505939267E-3</v>
      </c>
      <c r="Y93" s="2861">
        <f t="shared" si="47"/>
        <v>0</v>
      </c>
      <c r="Z93" s="2862">
        <f>Vehi_Plastics!BR131</f>
        <v>0.16876605221870142</v>
      </c>
      <c r="AA93" s="2861">
        <v>0</v>
      </c>
    </row>
    <row r="94" spans="1:27" s="2136" customFormat="1">
      <c r="A94" s="2093" t="s">
        <v>827</v>
      </c>
      <c r="B94" s="2863">
        <f t="shared" si="43"/>
        <v>1.7014887749575542E-3</v>
      </c>
      <c r="C94" s="2861">
        <f t="shared" si="43"/>
        <v>6.5070114580837897E-3</v>
      </c>
      <c r="D94" s="2862">
        <f t="shared" si="44"/>
        <v>1.7014887749575542E-3</v>
      </c>
      <c r="E94" s="2861">
        <f t="shared" si="44"/>
        <v>6.5070114580837897E-3</v>
      </c>
      <c r="F94" s="2862">
        <f t="shared" si="44"/>
        <v>1.7014887749575542E-3</v>
      </c>
      <c r="G94" s="2861">
        <f t="shared" si="44"/>
        <v>6.5070114580837897E-3</v>
      </c>
      <c r="H94" s="2862">
        <f t="shared" si="44"/>
        <v>1.7014887749575542E-3</v>
      </c>
      <c r="I94" s="2861">
        <f t="shared" si="44"/>
        <v>6.5070114580837897E-3</v>
      </c>
      <c r="J94" s="2862">
        <f t="shared" si="44"/>
        <v>1.7014887749575542E-3</v>
      </c>
      <c r="K94" s="2861">
        <f t="shared" si="44"/>
        <v>6.5070114580837897E-3</v>
      </c>
      <c r="L94" s="2862">
        <f t="shared" si="44"/>
        <v>1.7014887749575542E-3</v>
      </c>
      <c r="M94" s="2861">
        <f t="shared" si="44"/>
        <v>6.5070114580837897E-3</v>
      </c>
      <c r="N94" s="2862">
        <f t="shared" si="44"/>
        <v>1.7014887749575542E-3</v>
      </c>
      <c r="O94" s="2861">
        <f t="shared" si="44"/>
        <v>6.5070114580837897E-3</v>
      </c>
      <c r="P94" s="2862">
        <f t="shared" si="44"/>
        <v>1.7014887749575542E-3</v>
      </c>
      <c r="Q94" s="2861">
        <f t="shared" si="44"/>
        <v>6.5070114580837897E-3</v>
      </c>
      <c r="R94" s="2862">
        <f t="shared" si="44"/>
        <v>1.7014887749575542E-3</v>
      </c>
      <c r="S94" s="2861">
        <f t="shared" si="44"/>
        <v>6.5070114580837897E-3</v>
      </c>
      <c r="T94" s="2862">
        <f t="shared" si="45"/>
        <v>5.4155415909712596E-4</v>
      </c>
      <c r="U94" s="2861">
        <v>0</v>
      </c>
      <c r="V94" s="2862">
        <f t="shared" si="46"/>
        <v>1.7014887749575542E-3</v>
      </c>
      <c r="W94" s="2861">
        <f t="shared" si="46"/>
        <v>6.5070114580837897E-3</v>
      </c>
      <c r="X94" s="2862">
        <f t="shared" si="47"/>
        <v>4.0013336880006145E-6</v>
      </c>
      <c r="Y94" s="2861">
        <f t="shared" si="47"/>
        <v>0</v>
      </c>
      <c r="Z94" s="2862">
        <f>Vehi_Plastics!BR132</f>
        <v>7.6567281044291212E-4</v>
      </c>
      <c r="AA94" s="2861">
        <v>0</v>
      </c>
    </row>
    <row r="95" spans="1:27" s="2136" customFormat="1">
      <c r="A95" s="2142" t="s">
        <v>828</v>
      </c>
      <c r="B95" s="2867">
        <f t="shared" si="43"/>
        <v>2.2750388153437353E-3</v>
      </c>
      <c r="C95" s="2921">
        <f t="shared" si="43"/>
        <v>4.5159070056102011E-3</v>
      </c>
      <c r="D95" s="2867">
        <f t="shared" si="44"/>
        <v>2.2750388153437353E-3</v>
      </c>
      <c r="E95" s="2921">
        <f t="shared" si="44"/>
        <v>4.5159070056102011E-3</v>
      </c>
      <c r="F95" s="2881">
        <f t="shared" si="44"/>
        <v>2.2750388153437353E-3</v>
      </c>
      <c r="G95" s="2921">
        <f t="shared" si="44"/>
        <v>4.5159070056102011E-3</v>
      </c>
      <c r="H95" s="2881">
        <f t="shared" si="44"/>
        <v>2.2750388153437353E-3</v>
      </c>
      <c r="I95" s="2921">
        <f t="shared" si="44"/>
        <v>4.5159070056102011E-3</v>
      </c>
      <c r="J95" s="2881">
        <f t="shared" si="44"/>
        <v>2.2750388153437353E-3</v>
      </c>
      <c r="K95" s="2921">
        <f t="shared" si="44"/>
        <v>4.5159070056102011E-3</v>
      </c>
      <c r="L95" s="2881">
        <f t="shared" si="44"/>
        <v>2.2750388153437353E-3</v>
      </c>
      <c r="M95" s="2921">
        <f t="shared" si="44"/>
        <v>4.5159070056102011E-3</v>
      </c>
      <c r="N95" s="2881">
        <f t="shared" si="44"/>
        <v>2.2750388153437353E-3</v>
      </c>
      <c r="O95" s="2921">
        <f t="shared" si="44"/>
        <v>4.5159070056102011E-3</v>
      </c>
      <c r="P95" s="2881">
        <f t="shared" si="44"/>
        <v>2.2750388153437353E-3</v>
      </c>
      <c r="Q95" s="2921">
        <f t="shared" si="44"/>
        <v>4.5159070056102011E-3</v>
      </c>
      <c r="R95" s="2881">
        <f t="shared" si="44"/>
        <v>2.2750388153437353E-3</v>
      </c>
      <c r="S95" s="2921">
        <f t="shared" si="44"/>
        <v>4.5159070056102011E-3</v>
      </c>
      <c r="T95" s="2881">
        <f t="shared" si="45"/>
        <v>1.8261672458160364E-3</v>
      </c>
      <c r="U95" s="2921">
        <v>0</v>
      </c>
      <c r="V95" s="2881">
        <f t="shared" si="46"/>
        <v>2.2750388153437353E-3</v>
      </c>
      <c r="W95" s="2921">
        <f t="shared" si="46"/>
        <v>4.5159070056102011E-3</v>
      </c>
      <c r="X95" s="2881">
        <f t="shared" si="47"/>
        <v>7.1300205559022791E-5</v>
      </c>
      <c r="Y95" s="2921">
        <f t="shared" si="47"/>
        <v>0</v>
      </c>
      <c r="Z95" s="2881">
        <f>Vehi_Plastics!BR133</f>
        <v>2.6217862240500698E-3</v>
      </c>
      <c r="AA95" s="2921">
        <v>0</v>
      </c>
    </row>
    <row r="96" spans="1:27" s="2136" customFormat="1"/>
    <row r="97" spans="1:14" s="2136" customFormat="1" ht="15">
      <c r="A97" s="2149" t="s">
        <v>1436</v>
      </c>
      <c r="N97" s="2148"/>
    </row>
    <row r="98" spans="1:14" s="2136" customFormat="1">
      <c r="A98" s="1570"/>
      <c r="B98" s="2916" t="s">
        <v>2556</v>
      </c>
      <c r="C98" s="2197"/>
      <c r="D98" s="2197"/>
      <c r="E98" s="2197"/>
      <c r="F98" s="2197"/>
      <c r="G98" s="2197"/>
      <c r="N98" s="2148"/>
    </row>
    <row r="99" spans="1:14" s="2136" customFormat="1">
      <c r="A99" s="699" t="s">
        <v>1443</v>
      </c>
      <c r="B99" s="673"/>
      <c r="D99" s="2198"/>
      <c r="E99" s="2198"/>
      <c r="F99" s="2198"/>
      <c r="G99" s="2198"/>
      <c r="N99" s="2148"/>
    </row>
    <row r="100" spans="1:14" s="2136" customFormat="1">
      <c r="A100" s="347" t="s">
        <v>816</v>
      </c>
      <c r="B100" s="2886">
        <f t="shared" ref="B100:B105" si="48" xml:space="preserve"> ($B$6*(1+$B$7)*$B67)+($B$6*(1+$B$7)*$B$8*$C67)+($C$6*(1+$C$7)*$D67)+($C$6*(1+$C$7)*$C$8*$E67)+($D$6*(1+$D$7)*$F67)+($D$6*(1+$D$7)*$D$8*$G67)+($E$6*(1+$E$7)*$H67)+($E$6*(1+$E$7)*$E$8*$I67)+($F$6*(1+$F$7)*$J67)+($F$6*(1+$F$7)*$F$8*$K67)+($G$6*(1+$G$7)*$L67)+($G$6*(1+$G$7)*$G$8*$M67)+($H$6*(1+$H$7)*$N67)+($H$6*(1+$H$7)*$H$8*$O67)+($I$6*(1+$I$7)*$P67)+($I$6*(1+$I$7)*$I$8*$Q67)+($J$6*(1+$J$7)*$R67)+($J$6*(1+$J$7)*$J$8*$S67)+($K$6*(1+$K$7)*$T67)+($K$6*(1+$K$7)*$K$8*$U67)+($L$6*(1+$L$7)*$V67)+($L$6*(1+$L$7)*$L$8*$W67)+($M$6*(1+$M$7)*$X67)+($M$6*(1+$M$7)*(1-$M$8)*$Y67)+($N$6*(1+$N$7)*$Z67)+($N$6*(1+$N$7)*$N$8*$AA67)</f>
        <v>3.8230235033704547</v>
      </c>
      <c r="C100" s="2164"/>
      <c r="D100" s="2164"/>
      <c r="E100" s="2164"/>
      <c r="F100" s="2164"/>
      <c r="G100" s="2164"/>
      <c r="N100" s="2148"/>
    </row>
    <row r="101" spans="1:14" s="2136" customFormat="1">
      <c r="A101" s="347" t="s">
        <v>817</v>
      </c>
      <c r="B101" s="2886">
        <f t="shared" si="48"/>
        <v>3.8030410903320337</v>
      </c>
      <c r="C101" s="2164"/>
      <c r="D101" s="2164"/>
      <c r="E101" s="2164"/>
      <c r="F101" s="2164"/>
      <c r="G101" s="2164"/>
      <c r="N101" s="2148"/>
    </row>
    <row r="102" spans="1:14" s="2136" customFormat="1">
      <c r="A102" s="347" t="s">
        <v>805</v>
      </c>
      <c r="B102" s="2886">
        <f t="shared" si="48"/>
        <v>2.5465490484887762E-2</v>
      </c>
      <c r="C102" s="2164"/>
      <c r="D102" s="2164"/>
      <c r="E102" s="2164"/>
      <c r="F102" s="2164"/>
      <c r="G102" s="2164"/>
      <c r="N102" s="2148"/>
    </row>
    <row r="103" spans="1:14" s="2136" customFormat="1">
      <c r="A103" s="347" t="s">
        <v>804</v>
      </c>
      <c r="B103" s="2886">
        <f t="shared" si="48"/>
        <v>0.43817862206847558</v>
      </c>
      <c r="C103" s="2164"/>
      <c r="D103" s="2164"/>
      <c r="E103" s="2164"/>
      <c r="F103" s="2164"/>
      <c r="G103" s="2164"/>
      <c r="N103" s="2148"/>
    </row>
    <row r="104" spans="1:14" s="2136" customFormat="1">
      <c r="A104" s="503" t="s">
        <v>818</v>
      </c>
      <c r="B104" s="2886">
        <f t="shared" si="48"/>
        <v>3.3393969777786703</v>
      </c>
      <c r="C104" s="2164"/>
      <c r="D104" s="2164"/>
      <c r="E104" s="2164"/>
      <c r="F104" s="2164"/>
      <c r="G104" s="2164"/>
      <c r="N104" s="2148"/>
    </row>
    <row r="105" spans="1:14" s="2136" customFormat="1">
      <c r="A105" s="1570" t="s">
        <v>819</v>
      </c>
      <c r="B105" s="2917">
        <f t="shared" si="48"/>
        <v>80.408443570107323</v>
      </c>
      <c r="C105" s="2164"/>
      <c r="D105" s="2164"/>
      <c r="E105" s="2164"/>
      <c r="F105" s="2164"/>
      <c r="G105" s="2164"/>
      <c r="N105" s="2148"/>
    </row>
    <row r="106" spans="1:14" s="2136" customFormat="1">
      <c r="A106" s="699" t="s">
        <v>1030</v>
      </c>
      <c r="B106" s="2889"/>
      <c r="C106" s="2146"/>
      <c r="D106" s="2164"/>
      <c r="E106" s="2146"/>
      <c r="F106" s="2135"/>
      <c r="G106" s="2146"/>
      <c r="N106" s="2148"/>
    </row>
    <row r="107" spans="1:14" s="2136" customFormat="1">
      <c r="A107" s="160" t="s">
        <v>821</v>
      </c>
      <c r="B107" s="2886">
        <f t="shared" ref="B107:B119" si="49" xml:space="preserve"> ($B$6*(1+$B$7)*$B74)+($B$6*(1+$B$7)*$B$8*$C74)+($C$6*(1+$C$7)*$D74)+($C$6*(1+$C$7)*$C$8*$E74)+($D$6*(1+$D$7)*$F74)+($D$6*(1+$D$7)*$D$8*$G74)+($E$6*(1+$E$7)*$H74)+($E$6*(1+$E$7)*$E$8*$I74)+($F$6*(1+$F$7)*$J74)+($F$6*(1+$F$7)*$F$8*$K74)+($G$6*(1+$G$7)*$L74)+($G$6*(1+$G$7)*$G$8*$M74)+($H$6*(1+$H$7)*$N74)+($H$6*(1+$H$7)*$H$8*$O74)+($I$6*(1+$I$7)*$P74)+($I$6*(1+$I$7)*$I$8*$Q74)+($J$6*(1+$J$7)*$R74)+($J$6*(1+$J$7)*$J$8*$S74)+($K$6*(1+$K$7)*$T74)+($K$6*(1+$K$7)*$K$8*$U74)+($L$6*(1+$L$7)*$V74)+($L$6*(1+$L$7)*$L$8*$W74)+($M$6*(1+$M$7)*$X74)+($M$6*(1+$M$7)*(1-$M$8)*$Y74)+($N$6*(1+$N$7)*$Z74)+($N$6*(1+$N$7)*$N$8*$AA74)</f>
        <v>92.398076457980196</v>
      </c>
      <c r="C107" s="2164"/>
      <c r="D107" s="2164"/>
      <c r="E107" s="2164"/>
      <c r="F107" s="2164"/>
      <c r="G107" s="2164"/>
      <c r="N107" s="2148"/>
    </row>
    <row r="108" spans="1:14" s="2136" customFormat="1">
      <c r="A108" s="160" t="s">
        <v>822</v>
      </c>
      <c r="B108" s="2886">
        <f t="shared" si="49"/>
        <v>76.811182990793341</v>
      </c>
      <c r="C108" s="2164"/>
      <c r="D108" s="2164"/>
      <c r="E108" s="2164"/>
      <c r="F108" s="2164"/>
      <c r="G108" s="2164"/>
      <c r="N108" s="2148"/>
    </row>
    <row r="109" spans="1:14" s="2136" customFormat="1" ht="15.75">
      <c r="A109" s="160" t="s">
        <v>2542</v>
      </c>
      <c r="B109" s="2886">
        <f t="shared" si="49"/>
        <v>309.58202175326676</v>
      </c>
      <c r="C109" s="2164"/>
      <c r="D109" s="2164"/>
      <c r="E109" s="2164"/>
      <c r="F109" s="2164"/>
      <c r="G109" s="2164"/>
      <c r="N109" s="2148"/>
    </row>
    <row r="110" spans="1:14" s="2136" customFormat="1" ht="15.75">
      <c r="A110" s="160" t="s">
        <v>2543</v>
      </c>
      <c r="B110" s="2886">
        <f t="shared" si="49"/>
        <v>49.532194026829423</v>
      </c>
      <c r="C110" s="2164"/>
      <c r="D110" s="2164"/>
      <c r="E110" s="2164"/>
      <c r="F110" s="2164"/>
      <c r="G110" s="2164"/>
      <c r="N110" s="2148"/>
    </row>
    <row r="111" spans="1:14" s="2136" customFormat="1" ht="15.75">
      <c r="A111" s="160" t="s">
        <v>2544</v>
      </c>
      <c r="B111" s="2886">
        <f t="shared" si="49"/>
        <v>27.770947083451759</v>
      </c>
      <c r="C111" s="2164"/>
      <c r="D111" s="2164"/>
      <c r="E111" s="2164"/>
      <c r="F111" s="2164"/>
      <c r="G111" s="2164"/>
      <c r="N111" s="2148"/>
    </row>
    <row r="112" spans="1:14" s="2136" customFormat="1" ht="15.75">
      <c r="A112" s="160" t="s">
        <v>2545</v>
      </c>
      <c r="B112" s="2886">
        <f t="shared" si="49"/>
        <v>568.67200186808282</v>
      </c>
      <c r="C112" s="2164"/>
      <c r="D112" s="2164"/>
      <c r="E112" s="2164"/>
      <c r="F112" s="2164"/>
      <c r="G112" s="2164"/>
      <c r="N112" s="2148"/>
    </row>
    <row r="113" spans="1:14" s="2136" customFormat="1">
      <c r="A113" s="160" t="s">
        <v>827</v>
      </c>
      <c r="B113" s="2886">
        <f t="shared" si="49"/>
        <v>2.1368603087755424</v>
      </c>
      <c r="C113" s="2164"/>
      <c r="D113" s="2164"/>
      <c r="E113" s="2164"/>
      <c r="F113" s="2164"/>
      <c r="G113" s="2164"/>
      <c r="N113" s="2148"/>
    </row>
    <row r="114" spans="1:14" s="2136" customFormat="1">
      <c r="A114" s="160" t="s">
        <v>828</v>
      </c>
      <c r="B114" s="2886">
        <f t="shared" si="49"/>
        <v>2.1437122095791454</v>
      </c>
      <c r="C114" s="2164"/>
      <c r="D114" s="2164"/>
      <c r="E114" s="2164"/>
      <c r="F114" s="2164"/>
      <c r="G114" s="2164"/>
      <c r="N114" s="2148"/>
    </row>
    <row r="115" spans="1:14" s="2136" customFormat="1" ht="15.75">
      <c r="A115" s="160" t="s">
        <v>2546</v>
      </c>
      <c r="B115" s="2886">
        <f t="shared" si="49"/>
        <v>362.9507043856359</v>
      </c>
      <c r="C115" s="2164"/>
      <c r="D115" s="2164"/>
      <c r="E115" s="2164"/>
      <c r="F115" s="2164"/>
      <c r="G115" s="2164"/>
      <c r="N115" s="2148"/>
    </row>
    <row r="116" spans="1:14" s="2136" customFormat="1" ht="15.75">
      <c r="A116" s="160" t="s">
        <v>2547</v>
      </c>
      <c r="B116" s="2886">
        <f t="shared" si="49"/>
        <v>4.5690605325736904</v>
      </c>
      <c r="C116" s="2164"/>
      <c r="D116" s="2164"/>
      <c r="E116" s="2164"/>
      <c r="F116" s="2164"/>
      <c r="G116" s="2164"/>
      <c r="N116" s="2148"/>
    </row>
    <row r="117" spans="1:14" s="2144" customFormat="1" ht="15.75">
      <c r="A117" s="160" t="s">
        <v>2548</v>
      </c>
      <c r="B117" s="2886">
        <f t="shared" si="49"/>
        <v>235188.12284186407</v>
      </c>
      <c r="C117" s="2164"/>
      <c r="D117" s="2164"/>
      <c r="E117" s="2164"/>
      <c r="F117" s="2164"/>
      <c r="G117" s="2164"/>
      <c r="N117" s="2173"/>
    </row>
    <row r="118" spans="1:14" s="2144" customFormat="1" ht="15.75">
      <c r="A118" s="160" t="s">
        <v>2550</v>
      </c>
      <c r="B118" s="2886">
        <f t="shared" si="49"/>
        <v>235596.80013438172</v>
      </c>
      <c r="C118" s="2164"/>
      <c r="D118" s="2164"/>
      <c r="E118" s="2164"/>
      <c r="F118" s="2164"/>
      <c r="G118" s="2164"/>
      <c r="N118" s="2173"/>
    </row>
    <row r="119" spans="1:14" s="2144" customFormat="1">
      <c r="A119" s="161" t="s">
        <v>851</v>
      </c>
      <c r="B119" s="2886">
        <f t="shared" si="49"/>
        <v>247696.12230708281</v>
      </c>
      <c r="C119" s="2164"/>
      <c r="D119" s="2164"/>
      <c r="E119" s="2164"/>
      <c r="F119" s="2164"/>
      <c r="G119" s="2164"/>
      <c r="N119" s="2173"/>
    </row>
    <row r="120" spans="1:14" s="2136" customFormat="1">
      <c r="A120" s="699" t="s">
        <v>1031</v>
      </c>
      <c r="B120" s="2889"/>
      <c r="D120" s="2164"/>
      <c r="N120" s="2148"/>
    </row>
    <row r="121" spans="1:14" s="2136" customFormat="1">
      <c r="A121" s="160" t="s">
        <v>821</v>
      </c>
      <c r="B121" s="2886">
        <f t="shared" ref="B121:B128" si="50" xml:space="preserve"> ($B$6*(1+$B$7)*$B88)+($B$6*(1+$B$7)*$B$8*$C88)+($C$6*(1+$C$7)*$D88)+($C$6*(1+$C$7)*$C$8*$E88)+($D$6*(1+$D$7)*$F88)+($D$6*(1+$D$7)*$D$8*$G88)+($E$6*(1+$E$7)*$H88)+($E$6*(1+$E$7)*$E$8*$I88)+($F$6*(1+$F$7)*$J88)+($F$6*(1+$F$7)*$F$8*$K88)+($G$6*(1+$G$7)*$L88)+($G$6*(1+$G$7)*$G$8*$M88)+($H$6*(1+$H$7)*$N88)+($H$6*(1+$H$7)*$H$8*$O88)+($I$6*(1+$I$7)*$P88)+($I$6*(1+$I$7)*$I$8*$Q88)+($J$6*(1+$J$7)*$R88)+($J$6*(1+$J$7)*$J$8*$S88)+($K$6*(1+$K$7)*$T88)+($K$6*(1+$K$7)*$K$8*$U88)+($L$6*(1+$L$7)*$V88)+($L$6*(1+$L$7)*$L$8*$W88)+($M$6*(1+$M$7)*$X88)+($M$6*(1+$M$7)*(1-$M$8)*$Y88)+($N$6*(1+$N$7)*$Z88)+($N$6*(1+$N$7)*$N$8*$AA88)</f>
        <v>53.619019124491039</v>
      </c>
      <c r="C121" s="2164"/>
      <c r="D121" s="2164"/>
      <c r="E121" s="2164"/>
      <c r="F121" s="2164"/>
      <c r="G121" s="2164"/>
      <c r="N121" s="2148"/>
    </row>
    <row r="122" spans="1:14" s="2136" customFormat="1">
      <c r="A122" s="160" t="s">
        <v>822</v>
      </c>
      <c r="B122" s="2886">
        <f t="shared" si="50"/>
        <v>25.989124921064651</v>
      </c>
      <c r="C122" s="2164"/>
      <c r="D122" s="2164"/>
      <c r="E122" s="2164"/>
      <c r="F122" s="2164"/>
      <c r="G122" s="2164"/>
      <c r="N122" s="2148"/>
    </row>
    <row r="123" spans="1:14" s="2136" customFormat="1" ht="15.75">
      <c r="A123" s="160" t="s">
        <v>2542</v>
      </c>
      <c r="B123" s="2886">
        <f t="shared" si="50"/>
        <v>136.09151710612934</v>
      </c>
      <c r="C123" s="2164"/>
      <c r="D123" s="2164"/>
      <c r="E123" s="2164"/>
      <c r="F123" s="2164"/>
      <c r="G123" s="2164"/>
      <c r="N123" s="2148"/>
    </row>
    <row r="124" spans="1:14" s="2136" customFormat="1" ht="15.75">
      <c r="A124" s="160" t="s">
        <v>2543</v>
      </c>
      <c r="B124" s="2886">
        <f t="shared" si="50"/>
        <v>24.692549764643587</v>
      </c>
      <c r="C124" s="2164"/>
      <c r="D124" s="2164"/>
      <c r="E124" s="2164"/>
      <c r="F124" s="2164"/>
      <c r="G124" s="2164"/>
      <c r="N124" s="2148"/>
    </row>
    <row r="125" spans="1:14" s="2136" customFormat="1" ht="15.75">
      <c r="A125" s="160" t="s">
        <v>2544</v>
      </c>
      <c r="B125" s="2886">
        <f t="shared" si="50"/>
        <v>13.859028361607795</v>
      </c>
      <c r="C125" s="2164"/>
      <c r="D125" s="2164"/>
      <c r="E125" s="2164"/>
      <c r="F125" s="2164"/>
      <c r="G125" s="2164"/>
      <c r="N125" s="2148"/>
    </row>
    <row r="126" spans="1:14" s="2136" customFormat="1" ht="15.75">
      <c r="A126" s="160" t="s">
        <v>2545</v>
      </c>
      <c r="B126" s="2886">
        <f t="shared" si="50"/>
        <v>280.29571082156895</v>
      </c>
      <c r="C126" s="2164"/>
      <c r="D126" s="2164"/>
      <c r="E126" s="2164"/>
      <c r="F126" s="2164"/>
      <c r="G126" s="2164"/>
      <c r="N126" s="2148"/>
    </row>
    <row r="127" spans="1:14" s="2136" customFormat="1">
      <c r="A127" s="160" t="s">
        <v>827</v>
      </c>
      <c r="B127" s="2886">
        <f t="shared" si="50"/>
        <v>1.0048708590799451</v>
      </c>
      <c r="C127" s="2164"/>
      <c r="D127" s="2164"/>
      <c r="E127" s="2164"/>
      <c r="F127" s="2164"/>
      <c r="G127" s="2164"/>
      <c r="N127" s="2148"/>
    </row>
    <row r="128" spans="1:14" s="2136" customFormat="1">
      <c r="A128" s="161" t="s">
        <v>828</v>
      </c>
      <c r="B128" s="2857">
        <f t="shared" si="50"/>
        <v>0.87944238170017186</v>
      </c>
      <c r="C128" s="2164"/>
      <c r="D128" s="2164"/>
      <c r="E128" s="2164"/>
      <c r="F128" s="2164"/>
      <c r="G128" s="2164"/>
      <c r="N128" s="2148"/>
    </row>
    <row r="129" spans="1:14">
      <c r="A129" s="62"/>
      <c r="B129" s="62"/>
      <c r="M129" s="2082"/>
      <c r="N129" s="2081"/>
    </row>
    <row r="130" spans="1:14">
      <c r="M130" s="2082"/>
      <c r="N130" s="2081"/>
    </row>
    <row r="131" spans="1:14">
      <c r="M131" s="2082"/>
      <c r="N131" s="2081"/>
    </row>
    <row r="132" spans="1:14">
      <c r="M132" s="2082"/>
      <c r="N132" s="2081"/>
    </row>
    <row r="133" spans="1:14">
      <c r="M133" s="2082"/>
      <c r="N133" s="2081"/>
    </row>
    <row r="134" spans="1:14">
      <c r="M134" s="2082"/>
      <c r="N134" s="2081"/>
    </row>
    <row r="135" spans="1:14">
      <c r="M135" s="2082"/>
      <c r="N135" s="2081"/>
    </row>
    <row r="136" spans="1:14">
      <c r="M136" s="2082"/>
      <c r="N136" s="2081"/>
    </row>
    <row r="137" spans="1:14">
      <c r="M137" s="2082"/>
      <c r="N137" s="2081"/>
    </row>
    <row r="138" spans="1:14">
      <c r="M138" s="2082"/>
      <c r="N138" s="2081"/>
    </row>
    <row r="139" spans="1:14">
      <c r="M139" s="2082"/>
      <c r="N139" s="2081"/>
    </row>
    <row r="140" spans="1:14">
      <c r="M140" s="2082"/>
      <c r="N140" s="2081"/>
    </row>
    <row r="141" spans="1:14">
      <c r="M141" s="2082"/>
      <c r="N141" s="2081"/>
    </row>
    <row r="142" spans="1:14">
      <c r="M142" s="2082"/>
      <c r="N142" s="2081"/>
    </row>
    <row r="143" spans="1:14">
      <c r="M143" s="2082"/>
      <c r="N143" s="2081"/>
    </row>
    <row r="144" spans="1:14">
      <c r="M144" s="2082"/>
      <c r="N144" s="2081"/>
    </row>
    <row r="145" spans="13:14">
      <c r="M145" s="2082"/>
      <c r="N145" s="2081"/>
    </row>
    <row r="146" spans="13:14">
      <c r="M146" s="2082"/>
      <c r="N146" s="2081"/>
    </row>
    <row r="147" spans="13:14">
      <c r="M147" s="2082"/>
      <c r="N147" s="2081"/>
    </row>
    <row r="148" spans="13:14">
      <c r="M148" s="2082"/>
      <c r="N148" s="2081"/>
    </row>
    <row r="149" spans="13:14">
      <c r="M149" s="2082"/>
      <c r="N149" s="2081"/>
    </row>
    <row r="150" spans="13:14">
      <c r="M150" s="2082"/>
      <c r="N150" s="2081"/>
    </row>
    <row r="151" spans="13:14">
      <c r="M151" s="2082"/>
      <c r="N151" s="2081"/>
    </row>
    <row r="152" spans="13:14">
      <c r="M152" s="2082"/>
      <c r="N152" s="2081"/>
    </row>
    <row r="153" spans="13:14">
      <c r="M153" s="2082"/>
      <c r="N153" s="2081"/>
    </row>
    <row r="154" spans="13:14">
      <c r="M154" s="2082"/>
      <c r="N154" s="2081"/>
    </row>
    <row r="155" spans="13:14">
      <c r="M155" s="2082"/>
      <c r="N155" s="2081"/>
    </row>
    <row r="156" spans="13:14">
      <c r="M156" s="2082"/>
      <c r="N156" s="2081"/>
    </row>
    <row r="157" spans="13:14">
      <c r="M157" s="2082"/>
      <c r="N157" s="2081"/>
    </row>
  </sheetData>
  <mergeCells count="25">
    <mergeCell ref="Z64:AA64"/>
    <mergeCell ref="N64:O64"/>
    <mergeCell ref="P64:Q64"/>
    <mergeCell ref="R64:S64"/>
    <mergeCell ref="T64:U64"/>
    <mergeCell ref="V64:W64"/>
    <mergeCell ref="X64:Y64"/>
    <mergeCell ref="B64:C64"/>
    <mergeCell ref="D64:E64"/>
    <mergeCell ref="F64:G64"/>
    <mergeCell ref="H64:I64"/>
    <mergeCell ref="J64:K64"/>
    <mergeCell ref="L64:M64"/>
    <mergeCell ref="N19:O19"/>
    <mergeCell ref="P19:Q19"/>
    <mergeCell ref="R19:S19"/>
    <mergeCell ref="T19:U19"/>
    <mergeCell ref="V19:W19"/>
    <mergeCell ref="X19:Y19"/>
    <mergeCell ref="B19:C19"/>
    <mergeCell ref="D19:E19"/>
    <mergeCell ref="F19:G19"/>
    <mergeCell ref="H19:I19"/>
    <mergeCell ref="J19:K19"/>
    <mergeCell ref="L19:M19"/>
  </mergeCells>
  <pageMargins left="0.7" right="0.7" top="0.75" bottom="0.75" header="0.3" footer="0.3"/>
  <legacy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6">
    <tabColor theme="9" tint="0.59999389629810485"/>
  </sheetPr>
  <dimension ref="A1:BI276"/>
  <sheetViews>
    <sheetView showGridLines="0" zoomScale="85" zoomScaleNormal="85" workbookViewId="0"/>
  </sheetViews>
  <sheetFormatPr defaultColWidth="9.140625" defaultRowHeight="12.75"/>
  <cols>
    <col min="1" max="1" width="60.140625" style="2081" customWidth="1"/>
    <col min="2" max="2" width="12.7109375" style="2081" bestFit="1" customWidth="1"/>
    <col min="3" max="3" width="13.85546875" style="2081" customWidth="1"/>
    <col min="4" max="4" width="12.7109375" style="2081" bestFit="1" customWidth="1"/>
    <col min="5" max="5" width="13.5703125" style="2081" customWidth="1"/>
    <col min="6" max="11" width="12.7109375" style="2081" bestFit="1" customWidth="1"/>
    <col min="12" max="12" width="10.28515625" style="2081" bestFit="1" customWidth="1"/>
    <col min="13" max="13" width="9.42578125" style="2081" bestFit="1" customWidth="1"/>
    <col min="14" max="14" width="10.28515625" style="2081" bestFit="1" customWidth="1"/>
    <col min="15" max="15" width="10.140625" style="2081" bestFit="1" customWidth="1"/>
    <col min="16" max="16" width="11.28515625" style="2081" bestFit="1" customWidth="1"/>
    <col min="17" max="31" width="9.42578125" style="2081" bestFit="1" customWidth="1"/>
    <col min="32" max="37" width="11.28515625" style="2081" bestFit="1" customWidth="1"/>
    <col min="38" max="38" width="12.7109375" style="2081" bestFit="1" customWidth="1"/>
    <col min="39" max="47" width="11.28515625" style="2081" bestFit="1" customWidth="1"/>
    <col min="48" max="48" width="12.7109375" style="2081" bestFit="1" customWidth="1"/>
    <col min="49" max="50" width="11.28515625" style="2081" bestFit="1" customWidth="1"/>
    <col min="51" max="51" width="12.7109375" style="2081" bestFit="1" customWidth="1"/>
    <col min="52" max="56" width="11.28515625" style="2081" bestFit="1" customWidth="1"/>
    <col min="57" max="57" width="12.7109375" style="2081" bestFit="1" customWidth="1"/>
    <col min="58" max="61" width="11.28515625" style="2081" bestFit="1" customWidth="1"/>
    <col min="62" max="62" width="9.28515625" style="2081" bestFit="1" customWidth="1"/>
    <col min="63" max="16384" width="9.140625" style="2081"/>
  </cols>
  <sheetData>
    <row r="1" spans="1:13" ht="15.75">
      <c r="A1" s="2080" t="s">
        <v>2557</v>
      </c>
    </row>
    <row r="2" spans="1:13">
      <c r="A2" s="2083"/>
    </row>
    <row r="3" spans="1:13" ht="15">
      <c r="A3" s="2084" t="s">
        <v>872</v>
      </c>
    </row>
    <row r="4" spans="1:13">
      <c r="A4" s="2083" t="s">
        <v>2558</v>
      </c>
    </row>
    <row r="5" spans="1:13" ht="25.5">
      <c r="A5" s="2199"/>
      <c r="B5" s="2200" t="str">
        <f>Mat_Inputs!C170</f>
        <v>Virgin Material</v>
      </c>
      <c r="C5" s="2201" t="str">
        <f>Mat_Inputs!D170</f>
        <v>Recycled Material</v>
      </c>
    </row>
    <row r="6" spans="1:13">
      <c r="A6" s="2202" t="str">
        <f>Mat_Inputs!B171</f>
        <v>Steel</v>
      </c>
      <c r="B6" s="2203">
        <f xml:space="preserve"> Mat_Inputs!C171</f>
        <v>0.73599999999999999</v>
      </c>
      <c r="C6" s="2204">
        <f xml:space="preserve"> Mat_Inputs!D171</f>
        <v>0.26400000000000001</v>
      </c>
    </row>
    <row r="7" spans="1:13">
      <c r="A7" s="2205" t="str">
        <f>Mat_Inputs!B172</f>
        <v>Wrought Aluminum</v>
      </c>
      <c r="B7" s="2206">
        <f xml:space="preserve"> Mat_Inputs!C172</f>
        <v>0.89</v>
      </c>
      <c r="C7" s="2207">
        <f xml:space="preserve"> Mat_Inputs!D172</f>
        <v>0.10999999999999999</v>
      </c>
    </row>
    <row r="8" spans="1:13">
      <c r="A8" s="2205" t="str">
        <f>Mat_Inputs!B173</f>
        <v>Cast Aluminum</v>
      </c>
      <c r="B8" s="2206">
        <f xml:space="preserve"> Mat_Inputs!C173</f>
        <v>0.15</v>
      </c>
      <c r="C8" s="2207">
        <f xml:space="preserve"> Mat_Inputs!D173</f>
        <v>0.85</v>
      </c>
    </row>
    <row r="9" spans="1:13">
      <c r="A9" s="2205" t="str">
        <f>Mat_Inputs!B174</f>
        <v>Lead</v>
      </c>
      <c r="B9" s="2206">
        <f xml:space="preserve"> Mat_Inputs!C174</f>
        <v>0.27</v>
      </c>
      <c r="C9" s="2207">
        <f xml:space="preserve"> Mat_Inputs!D174</f>
        <v>0.73</v>
      </c>
    </row>
    <row r="10" spans="1:13">
      <c r="A10" s="2208" t="str">
        <f>Mat_Inputs!B175</f>
        <v>Nickel</v>
      </c>
      <c r="B10" s="2209">
        <f xml:space="preserve"> Mat_Inputs!C175</f>
        <v>0.56000000000000005</v>
      </c>
      <c r="C10" s="2210">
        <f xml:space="preserve"> Mat_Inputs!D175</f>
        <v>0.43999999999999995</v>
      </c>
    </row>
    <row r="11" spans="1:13">
      <c r="A11" s="2211"/>
      <c r="B11" s="2206"/>
      <c r="C11" s="2206"/>
    </row>
    <row r="12" spans="1:13">
      <c r="A12" s="2083" t="s">
        <v>2559</v>
      </c>
      <c r="H12" s="2212"/>
    </row>
    <row r="13" spans="1:13" ht="25.5">
      <c r="A13" s="2213" t="str">
        <f>Mat_Inputs!B179</f>
        <v>Hot Rolled</v>
      </c>
      <c r="B13" s="2214" t="str">
        <f>Mat_Inputs!C179</f>
        <v>Cold Rolled</v>
      </c>
      <c r="C13" s="2215" t="str">
        <f>Mat_Inputs!D179</f>
        <v>Galvanized Rolled</v>
      </c>
      <c r="G13" s="2212"/>
    </row>
    <row r="14" spans="1:13">
      <c r="A14" s="2184">
        <f>Mat_Inputs!B180</f>
        <v>0.21099999999999999</v>
      </c>
      <c r="B14" s="2216">
        <f>Mat_Inputs!C180</f>
        <v>0.191</v>
      </c>
      <c r="C14" s="2217">
        <f>Mat_Inputs!D180</f>
        <v>0.59800000000000009</v>
      </c>
      <c r="G14" s="2212"/>
    </row>
    <row r="15" spans="1:13">
      <c r="A15" s="2218"/>
      <c r="B15" s="2218"/>
      <c r="C15" s="2218"/>
      <c r="G15" s="2212"/>
    </row>
    <row r="16" spans="1:13">
      <c r="A16" s="2083" t="s">
        <v>2560</v>
      </c>
      <c r="F16" s="2219"/>
      <c r="G16" s="2219"/>
      <c r="H16" s="2212"/>
      <c r="K16" s="2219"/>
      <c r="L16" s="2219"/>
      <c r="M16" s="2219"/>
    </row>
    <row r="17" spans="1:16">
      <c r="A17" s="2213" t="str">
        <f>Mat_Inputs!B190</f>
        <v>Cast Iron</v>
      </c>
      <c r="B17" s="2215" t="str">
        <f>Mat_Inputs!C190</f>
        <v>Forged Iron</v>
      </c>
      <c r="C17" s="2219"/>
      <c r="E17" s="2219"/>
      <c r="F17" s="2219"/>
      <c r="G17" s="2212"/>
      <c r="J17" s="2219"/>
      <c r="K17" s="2219"/>
      <c r="L17" s="2219"/>
    </row>
    <row r="18" spans="1:16">
      <c r="A18" s="2184">
        <f>Mat_Inputs!B191</f>
        <v>0.85</v>
      </c>
      <c r="B18" s="2217">
        <f>Mat_Inputs!C191</f>
        <v>0.15000000000000002</v>
      </c>
      <c r="C18" s="2219"/>
      <c r="E18" s="2219"/>
      <c r="F18" s="2219"/>
      <c r="G18" s="2212"/>
      <c r="J18" s="2219"/>
      <c r="K18" s="2219"/>
      <c r="L18" s="2219"/>
    </row>
    <row r="19" spans="1:16">
      <c r="H19" s="2212"/>
    </row>
    <row r="20" spans="1:16">
      <c r="A20" s="2083" t="s">
        <v>2561</v>
      </c>
      <c r="H20" s="2212"/>
    </row>
    <row r="21" spans="1:16">
      <c r="A21" s="2213" t="str">
        <f>Mat_Inputs!B194</f>
        <v>Hot Rolled</v>
      </c>
      <c r="B21" s="2214" t="str">
        <f>Mat_Inputs!C194</f>
        <v>Cold Rolled</v>
      </c>
      <c r="C21" s="2215" t="str">
        <f>Mat_Inputs!D194</f>
        <v>Extruded</v>
      </c>
      <c r="G21" s="2212"/>
    </row>
    <row r="22" spans="1:16">
      <c r="A22" s="2184">
        <f>Mat_Inputs!B195</f>
        <v>0</v>
      </c>
      <c r="B22" s="2216">
        <f>Mat_Inputs!C195</f>
        <v>0.13</v>
      </c>
      <c r="C22" s="2217">
        <f>Mat_Inputs!D195</f>
        <v>0.87</v>
      </c>
      <c r="E22" s="2219"/>
      <c r="G22" s="2212"/>
    </row>
    <row r="23" spans="1:16">
      <c r="A23" s="2083"/>
      <c r="H23" s="2212"/>
    </row>
    <row r="24" spans="1:16">
      <c r="A24" s="2083" t="s">
        <v>1463</v>
      </c>
      <c r="F24" s="2219"/>
      <c r="H24" s="2212"/>
    </row>
    <row r="25" spans="1:16">
      <c r="A25" s="2202" t="str">
        <f>Mat_Inputs!B215</f>
        <v>Glass</v>
      </c>
      <c r="B25" s="2220" t="str">
        <f>Mat_Inputs!C215</f>
        <v>Glass Fiber</v>
      </c>
    </row>
    <row r="26" spans="1:16">
      <c r="A26" s="2184">
        <f>Mat_Inputs!B216</f>
        <v>0</v>
      </c>
      <c r="B26" s="2217">
        <f>Mat_Inputs!C216</f>
        <v>1</v>
      </c>
    </row>
    <row r="28" spans="1:16">
      <c r="A28" s="2083" t="s">
        <v>2562</v>
      </c>
    </row>
    <row r="29" spans="1:16" ht="38.25">
      <c r="A29" s="2213" t="str">
        <f>Mat_Inputs!B219</f>
        <v>ABS</v>
      </c>
      <c r="B29" s="2214" t="str">
        <f>Mat_Inputs!C219</f>
        <v>EPDM</v>
      </c>
      <c r="C29" s="2214" t="str">
        <f>Mat_Inputs!D219</f>
        <v>Liquid Epoxy</v>
      </c>
      <c r="D29" s="2214" t="str">
        <f>Mat_Inputs!E219</f>
        <v>GPPS</v>
      </c>
      <c r="E29" s="2214" t="str">
        <f>Mat_Inputs!F219</f>
        <v>HIPS</v>
      </c>
      <c r="F29" s="2214" t="str">
        <f>Mat_Inputs!G219</f>
        <v>HDPE</v>
      </c>
      <c r="G29" s="2214" t="str">
        <f>Mat_Inputs!H219</f>
        <v>LDPE</v>
      </c>
      <c r="H29" s="2214" t="str">
        <f>Mat_Inputs!I219</f>
        <v>LLDPE</v>
      </c>
      <c r="I29" s="2214" t="str">
        <f>Mat_Inputs!J219</f>
        <v>Nylon 6</v>
      </c>
      <c r="J29" s="2214" t="str">
        <f>Mat_Inputs!K219</f>
        <v>Nylon 66</v>
      </c>
      <c r="K29" s="2214" t="str">
        <f>Mat_Inputs!L219</f>
        <v>PC</v>
      </c>
      <c r="L29" s="2214" t="str">
        <f>Mat_Inputs!M219</f>
        <v>PET</v>
      </c>
      <c r="M29" s="2214" t="str">
        <f>Mat_Inputs!N219</f>
        <v>PP</v>
      </c>
      <c r="N29" s="2214" t="str">
        <f>Mat_Inputs!O219</f>
        <v>PUR Flexible Foam</v>
      </c>
      <c r="O29" s="2214" t="str">
        <f>Mat_Inputs!P219</f>
        <v>PUR Rigid Foam</v>
      </c>
      <c r="P29" s="2215" t="str">
        <f>Mat_Inputs!Q219</f>
        <v>PVC</v>
      </c>
    </row>
    <row r="30" spans="1:16">
      <c r="A30" s="2184">
        <f>Mat_Inputs!B220</f>
        <v>7.5999999999999998E-2</v>
      </c>
      <c r="B30" s="2216">
        <f>Mat_Inputs!C220</f>
        <v>7.0999999999999994E-2</v>
      </c>
      <c r="C30" s="2216">
        <f>Mat_Inputs!D220</f>
        <v>0.107</v>
      </c>
      <c r="D30" s="2216">
        <f>Mat_Inputs!E220</f>
        <v>7.0000000000000001E-3</v>
      </c>
      <c r="E30" s="2216">
        <f>Mat_Inputs!F220</f>
        <v>7.0000000000000001E-3</v>
      </c>
      <c r="F30" s="2216">
        <f>Mat_Inputs!G220</f>
        <v>1.4E-2</v>
      </c>
      <c r="G30" s="2216">
        <f>Mat_Inputs!H220</f>
        <v>1.4E-2</v>
      </c>
      <c r="H30" s="2216">
        <f>Mat_Inputs!I220</f>
        <v>1.4E-2</v>
      </c>
      <c r="I30" s="2216">
        <f>Mat_Inputs!J220</f>
        <v>1.0999999999999999E-2</v>
      </c>
      <c r="J30" s="2216">
        <f>Mat_Inputs!K220</f>
        <v>7.0000000000000007E-2</v>
      </c>
      <c r="K30" s="2216">
        <f>Mat_Inputs!L220</f>
        <v>3.5000000000000003E-2</v>
      </c>
      <c r="L30" s="2216">
        <f>Mat_Inputs!M220</f>
        <v>1.7000000000000001E-2</v>
      </c>
      <c r="M30" s="2216">
        <f>Mat_Inputs!N220</f>
        <v>0.18099999999999999</v>
      </c>
      <c r="N30" s="2216">
        <f>Mat_Inputs!O220</f>
        <v>0.122</v>
      </c>
      <c r="O30" s="2216">
        <f>Mat_Inputs!P220</f>
        <v>0.11600000000000001</v>
      </c>
      <c r="P30" s="2217">
        <f>Mat_Inputs!Q220</f>
        <v>0.1379999999999999</v>
      </c>
    </row>
    <row r="31" spans="1:16">
      <c r="A31" s="2211"/>
      <c r="B31" s="2206"/>
      <c r="C31" s="2206"/>
    </row>
    <row r="32" spans="1:16">
      <c r="A32" s="2083" t="s">
        <v>1465</v>
      </c>
    </row>
    <row r="33" spans="1:15" ht="38.25">
      <c r="A33" s="2221" t="str">
        <f>Vehi_Plastics!A22</f>
        <v/>
      </c>
      <c r="B33" s="2213" t="str">
        <f>Vehi_Plastics!B22</f>
        <v>Glass Fiber-Reinforced Plastic</v>
      </c>
      <c r="C33" s="2214" t="str">
        <f>Vehi_Plastics!C22</f>
        <v>Carbon Fiber-Reinforced Plastic</v>
      </c>
      <c r="D33" s="2214" t="str">
        <f>Vehi_Plastics!D22</f>
        <v>Blow Molding (HDPE)</v>
      </c>
      <c r="E33" s="2214" t="str">
        <f>Vehi_Plastics!E22</f>
        <v>Calendaring (PVC)</v>
      </c>
      <c r="F33" s="2214" t="str">
        <f>Vehi_Plastics!F22</f>
        <v>Compression Molding</v>
      </c>
      <c r="G33" s="2214" t="str">
        <f>Vehi_Plastics!G22</f>
        <v>Extrusion (HDPE)</v>
      </c>
      <c r="H33" s="2214" t="str">
        <f>Vehi_Plastics!H22</f>
        <v>Extrusion (PVC)</v>
      </c>
      <c r="I33" s="2214" t="str">
        <f>Vehi_Plastics!I22</f>
        <v>Extrusion (PP)</v>
      </c>
      <c r="J33" s="2214" t="str">
        <f>Vehi_Plastics!J22</f>
        <v>Injection Molding (HDPE)</v>
      </c>
      <c r="K33" s="2214" t="str">
        <f>Vehi_Plastics!K22</f>
        <v>Injection Molding (PVC)</v>
      </c>
      <c r="L33" s="2215" t="str">
        <f>Vehi_Plastics!L22</f>
        <v>Injection Molding (PP)</v>
      </c>
      <c r="N33" s="2222"/>
      <c r="O33" s="2222"/>
    </row>
    <row r="34" spans="1:15">
      <c r="A34" s="2205" t="str">
        <f>Vehi_Plastics!A23</f>
        <v>GFRP</v>
      </c>
      <c r="B34" s="2223">
        <f>Vehi_Plastics!B23</f>
        <v>1</v>
      </c>
      <c r="C34" s="2218">
        <f>Vehi_Plastics!C23</f>
        <v>0</v>
      </c>
      <c r="D34" s="2218">
        <f>Vehi_Plastics!D23</f>
        <v>0</v>
      </c>
      <c r="E34" s="2218">
        <f>Vehi_Plastics!E23</f>
        <v>0</v>
      </c>
      <c r="F34" s="2218">
        <f>Vehi_Plastics!F23</f>
        <v>0</v>
      </c>
      <c r="G34" s="2218">
        <f>Vehi_Plastics!G23</f>
        <v>0</v>
      </c>
      <c r="H34" s="2218">
        <f>Vehi_Plastics!H23</f>
        <v>0</v>
      </c>
      <c r="I34" s="2218">
        <f>Vehi_Plastics!I23</f>
        <v>0</v>
      </c>
      <c r="J34" s="2218">
        <f>Vehi_Plastics!J23</f>
        <v>0</v>
      </c>
      <c r="K34" s="2218">
        <f>Vehi_Plastics!K23</f>
        <v>0</v>
      </c>
      <c r="L34" s="2224">
        <f>Vehi_Plastics!L23</f>
        <v>0</v>
      </c>
      <c r="N34" s="2222"/>
      <c r="O34" s="2222"/>
    </row>
    <row r="35" spans="1:15">
      <c r="A35" s="2205" t="str">
        <f>Vehi_Plastics!A24</f>
        <v>CFRP</v>
      </c>
      <c r="B35" s="2223">
        <f>Vehi_Plastics!B24</f>
        <v>0</v>
      </c>
      <c r="C35" s="2218">
        <f>Vehi_Plastics!C24</f>
        <v>1</v>
      </c>
      <c r="D35" s="2218">
        <f>Vehi_Plastics!D24</f>
        <v>0</v>
      </c>
      <c r="E35" s="2218">
        <f>Vehi_Plastics!E24</f>
        <v>0</v>
      </c>
      <c r="F35" s="2218">
        <f>Vehi_Plastics!F24</f>
        <v>0</v>
      </c>
      <c r="G35" s="2218">
        <f>Vehi_Plastics!G24</f>
        <v>0</v>
      </c>
      <c r="H35" s="2218">
        <f>Vehi_Plastics!H24</f>
        <v>0</v>
      </c>
      <c r="I35" s="2218">
        <f>Vehi_Plastics!I24</f>
        <v>0</v>
      </c>
      <c r="J35" s="2218">
        <f>Vehi_Plastics!J24</f>
        <v>0</v>
      </c>
      <c r="K35" s="2218">
        <f>Vehi_Plastics!K24</f>
        <v>0</v>
      </c>
      <c r="L35" s="2224">
        <f>Vehi_Plastics!L24</f>
        <v>0</v>
      </c>
      <c r="N35" s="2222"/>
      <c r="O35" s="2222"/>
    </row>
    <row r="36" spans="1:15">
      <c r="A36" s="2205" t="str">
        <f>Vehi_Plastics!A25</f>
        <v>ABS</v>
      </c>
      <c r="B36" s="2223">
        <f>Vehi_Plastics!B25</f>
        <v>0</v>
      </c>
      <c r="C36" s="2218">
        <f>Vehi_Plastics!C25</f>
        <v>0</v>
      </c>
      <c r="D36" s="2218">
        <f>Vehi_Plastics!D25</f>
        <v>0</v>
      </c>
      <c r="E36" s="2218">
        <f>Vehi_Plastics!E25</f>
        <v>0</v>
      </c>
      <c r="F36" s="2218">
        <f>Vehi_Plastics!F25</f>
        <v>0.23799999999999999</v>
      </c>
      <c r="G36" s="2218">
        <f>Vehi_Plastics!G25</f>
        <v>0.17499999999999999</v>
      </c>
      <c r="H36" s="2218">
        <f>Vehi_Plastics!H25</f>
        <v>0</v>
      </c>
      <c r="I36" s="2218">
        <f>Vehi_Plastics!I25</f>
        <v>0</v>
      </c>
      <c r="J36" s="2218">
        <f>Vehi_Plastics!J25</f>
        <v>0</v>
      </c>
      <c r="K36" s="2218">
        <f>Vehi_Plastics!K25</f>
        <v>0</v>
      </c>
      <c r="L36" s="2224">
        <f>Vehi_Plastics!L25</f>
        <v>0.58699999999999997</v>
      </c>
      <c r="N36" s="2222"/>
      <c r="O36" s="2222"/>
    </row>
    <row r="37" spans="1:15">
      <c r="A37" s="2205" t="str">
        <f>Vehi_Plastics!A26</f>
        <v>EPDM</v>
      </c>
      <c r="B37" s="2223">
        <f>Vehi_Plastics!B26</f>
        <v>0</v>
      </c>
      <c r="C37" s="2218">
        <f>Vehi_Plastics!C26</f>
        <v>0</v>
      </c>
      <c r="D37" s="2218">
        <f>Vehi_Plastics!D26</f>
        <v>0</v>
      </c>
      <c r="E37" s="2218">
        <f>Vehi_Plastics!E26</f>
        <v>0</v>
      </c>
      <c r="F37" s="2218">
        <f>Vehi_Plastics!F26</f>
        <v>0.31900000000000001</v>
      </c>
      <c r="G37" s="2218">
        <f>Vehi_Plastics!G26</f>
        <v>0.27500000000000002</v>
      </c>
      <c r="H37" s="2218">
        <f>Vehi_Plastics!H26</f>
        <v>0</v>
      </c>
      <c r="I37" s="2218">
        <f>Vehi_Plastics!I26</f>
        <v>0</v>
      </c>
      <c r="J37" s="2218">
        <f>Vehi_Plastics!J26</f>
        <v>0</v>
      </c>
      <c r="K37" s="2218">
        <f>Vehi_Plastics!K26</f>
        <v>0</v>
      </c>
      <c r="L37" s="2224">
        <f>Vehi_Plastics!L26</f>
        <v>0.40599999999999992</v>
      </c>
      <c r="N37" s="2222"/>
      <c r="O37" s="2222"/>
    </row>
    <row r="38" spans="1:15">
      <c r="A38" s="2205" t="str">
        <f>Vehi_Plastics!A27</f>
        <v>HPDE</v>
      </c>
      <c r="B38" s="2223">
        <f>Vehi_Plastics!B27</f>
        <v>0</v>
      </c>
      <c r="C38" s="2218">
        <f>Vehi_Plastics!C27</f>
        <v>0</v>
      </c>
      <c r="D38" s="2218">
        <f>Vehi_Plastics!D27</f>
        <v>0</v>
      </c>
      <c r="E38" s="2218">
        <f>Vehi_Plastics!E27</f>
        <v>0</v>
      </c>
      <c r="F38" s="2218">
        <f>Vehi_Plastics!F27</f>
        <v>0.24249999999999999</v>
      </c>
      <c r="G38" s="2218">
        <f>Vehi_Plastics!G27</f>
        <v>9.2499999999999999E-2</v>
      </c>
      <c r="H38" s="2218">
        <f>Vehi_Plastics!H27</f>
        <v>0</v>
      </c>
      <c r="I38" s="2218">
        <f>Vehi_Plastics!I27</f>
        <v>0</v>
      </c>
      <c r="J38" s="2218">
        <f>Vehi_Plastics!J27</f>
        <v>0.66500000000000004</v>
      </c>
      <c r="K38" s="2218">
        <f>Vehi_Plastics!K27</f>
        <v>0</v>
      </c>
      <c r="L38" s="2224">
        <f>Vehi_Plastics!L27</f>
        <v>0</v>
      </c>
      <c r="N38" s="2222"/>
      <c r="O38" s="2222"/>
    </row>
    <row r="39" spans="1:15">
      <c r="A39" s="2205" t="str">
        <f>Vehi_Plastics!A28</f>
        <v>LDPE</v>
      </c>
      <c r="B39" s="2223">
        <f>Vehi_Plastics!B28</f>
        <v>0</v>
      </c>
      <c r="C39" s="2218">
        <f>Vehi_Plastics!C28</f>
        <v>0</v>
      </c>
      <c r="D39" s="2218">
        <f>Vehi_Plastics!D28</f>
        <v>0</v>
      </c>
      <c r="E39" s="2218">
        <f>Vehi_Plastics!E28</f>
        <v>0</v>
      </c>
      <c r="F39" s="2218">
        <f>Vehi_Plastics!F28</f>
        <v>0.24249999999999999</v>
      </c>
      <c r="G39" s="2218">
        <f>Vehi_Plastics!G28</f>
        <v>9.2499999999999999E-2</v>
      </c>
      <c r="H39" s="2218">
        <f>Vehi_Plastics!H28</f>
        <v>0</v>
      </c>
      <c r="I39" s="2218">
        <f>Vehi_Plastics!I28</f>
        <v>0</v>
      </c>
      <c r="J39" s="2218">
        <f>Vehi_Plastics!J28</f>
        <v>0.66500000000000004</v>
      </c>
      <c r="K39" s="2218">
        <f>Vehi_Plastics!K28</f>
        <v>0</v>
      </c>
      <c r="L39" s="2224">
        <f>Vehi_Plastics!L28</f>
        <v>0</v>
      </c>
      <c r="N39" s="2222"/>
      <c r="O39" s="2222"/>
    </row>
    <row r="40" spans="1:15">
      <c r="A40" s="2205" t="str">
        <f>Vehi_Plastics!A29</f>
        <v>LLDPE</v>
      </c>
      <c r="B40" s="2223">
        <f>Vehi_Plastics!B29</f>
        <v>0</v>
      </c>
      <c r="C40" s="2218">
        <f>Vehi_Plastics!C29</f>
        <v>0</v>
      </c>
      <c r="D40" s="2218">
        <f>Vehi_Plastics!D29</f>
        <v>0</v>
      </c>
      <c r="E40" s="2218">
        <f>Vehi_Plastics!E29</f>
        <v>0</v>
      </c>
      <c r="F40" s="2218">
        <f>Vehi_Plastics!F29</f>
        <v>0.24249999999999999</v>
      </c>
      <c r="G40" s="2218">
        <f>Vehi_Plastics!G29</f>
        <v>9.2499999999999999E-2</v>
      </c>
      <c r="H40" s="2218">
        <f>Vehi_Plastics!H29</f>
        <v>0</v>
      </c>
      <c r="I40" s="2218">
        <f>Vehi_Plastics!I29</f>
        <v>0</v>
      </c>
      <c r="J40" s="2218">
        <f>Vehi_Plastics!J29</f>
        <v>0.66500000000000004</v>
      </c>
      <c r="K40" s="2218">
        <f>Vehi_Plastics!K29</f>
        <v>0</v>
      </c>
      <c r="L40" s="2224">
        <f>Vehi_Plastics!L29</f>
        <v>0</v>
      </c>
      <c r="N40" s="2222"/>
      <c r="O40" s="2222"/>
    </row>
    <row r="41" spans="1:15">
      <c r="A41" s="2205" t="str">
        <f>Vehi_Plastics!A30</f>
        <v>Nylon 6</v>
      </c>
      <c r="B41" s="2223">
        <f>Vehi_Plastics!B30</f>
        <v>0</v>
      </c>
      <c r="C41" s="2218">
        <f>Vehi_Plastics!C30</f>
        <v>0</v>
      </c>
      <c r="D41" s="2218">
        <f>Vehi_Plastics!D30</f>
        <v>0.36399999999999999</v>
      </c>
      <c r="E41" s="2218">
        <f>Vehi_Plastics!E30</f>
        <v>0</v>
      </c>
      <c r="F41" s="2218">
        <f>Vehi_Plastics!F30</f>
        <v>0.45400000000000001</v>
      </c>
      <c r="G41" s="2218">
        <f>Vehi_Plastics!G30</f>
        <v>0</v>
      </c>
      <c r="H41" s="2218">
        <f>Vehi_Plastics!H30</f>
        <v>0</v>
      </c>
      <c r="I41" s="2218">
        <f>Vehi_Plastics!I30</f>
        <v>0</v>
      </c>
      <c r="J41" s="2218">
        <f>Vehi_Plastics!J30</f>
        <v>0</v>
      </c>
      <c r="K41" s="2218">
        <f>Vehi_Plastics!K30</f>
        <v>0</v>
      </c>
      <c r="L41" s="2224">
        <f>Vehi_Plastics!L30</f>
        <v>0.18199999999999994</v>
      </c>
      <c r="N41" s="2222"/>
      <c r="O41" s="2222"/>
    </row>
    <row r="42" spans="1:15">
      <c r="A42" s="2205" t="str">
        <f>Vehi_Plastics!A31</f>
        <v>Nylon 66</v>
      </c>
      <c r="B42" s="2223">
        <f>Vehi_Plastics!B31</f>
        <v>0</v>
      </c>
      <c r="C42" s="2218">
        <f>Vehi_Plastics!C31</f>
        <v>0</v>
      </c>
      <c r="D42" s="2218">
        <f>Vehi_Plastics!D31</f>
        <v>0</v>
      </c>
      <c r="E42" s="2218">
        <f>Vehi_Plastics!E31</f>
        <v>0</v>
      </c>
      <c r="F42" s="2218">
        <f>Vehi_Plastics!F31</f>
        <v>0.34300000000000003</v>
      </c>
      <c r="G42" s="2218">
        <f>Vehi_Plastics!G31</f>
        <v>0.29899999999999999</v>
      </c>
      <c r="H42" s="2218">
        <f>Vehi_Plastics!H31</f>
        <v>0</v>
      </c>
      <c r="I42" s="2218">
        <f>Vehi_Plastics!I31</f>
        <v>0</v>
      </c>
      <c r="J42" s="2218">
        <f>Vehi_Plastics!J31</f>
        <v>0</v>
      </c>
      <c r="K42" s="2218">
        <f>Vehi_Plastics!K31</f>
        <v>0</v>
      </c>
      <c r="L42" s="2224">
        <f>Vehi_Plastics!L31</f>
        <v>0.35799999999999998</v>
      </c>
      <c r="N42" s="2222"/>
      <c r="O42" s="2222"/>
    </row>
    <row r="43" spans="1:15">
      <c r="A43" s="2205" t="str">
        <f>Vehi_Plastics!A32</f>
        <v>PC</v>
      </c>
      <c r="B43" s="2223">
        <f>Vehi_Plastics!B32</f>
        <v>0</v>
      </c>
      <c r="C43" s="2218">
        <f>Vehi_Plastics!C32</f>
        <v>0</v>
      </c>
      <c r="D43" s="2218">
        <f>Vehi_Plastics!D32</f>
        <v>0</v>
      </c>
      <c r="E43" s="2218">
        <f>Vehi_Plastics!E32</f>
        <v>0</v>
      </c>
      <c r="F43" s="2218">
        <f>Vehi_Plastics!F32</f>
        <v>0.22</v>
      </c>
      <c r="G43" s="2218">
        <f>Vehi_Plastics!G32</f>
        <v>0</v>
      </c>
      <c r="H43" s="2218">
        <f>Vehi_Plastics!H32</f>
        <v>0</v>
      </c>
      <c r="I43" s="2218">
        <f>Vehi_Plastics!I32</f>
        <v>0</v>
      </c>
      <c r="J43" s="2218">
        <f>Vehi_Plastics!J32</f>
        <v>0</v>
      </c>
      <c r="K43" s="2218">
        <f>Vehi_Plastics!K32</f>
        <v>0</v>
      </c>
      <c r="L43" s="2224">
        <f>Vehi_Plastics!L32</f>
        <v>0.78</v>
      </c>
      <c r="N43" s="2222"/>
      <c r="O43" s="2222"/>
    </row>
    <row r="44" spans="1:15">
      <c r="A44" s="2205" t="str">
        <f>Vehi_Plastics!A33</f>
        <v>PET</v>
      </c>
      <c r="B44" s="2223">
        <f>Vehi_Plastics!B33</f>
        <v>0</v>
      </c>
      <c r="C44" s="2218">
        <f>Vehi_Plastics!C33</f>
        <v>0</v>
      </c>
      <c r="D44" s="2218">
        <f>Vehi_Plastics!D33</f>
        <v>0</v>
      </c>
      <c r="E44" s="2218">
        <f>Vehi_Plastics!E33</f>
        <v>0</v>
      </c>
      <c r="F44" s="2218">
        <f>Vehi_Plastics!F33</f>
        <v>0.5</v>
      </c>
      <c r="G44" s="2218">
        <f>Vehi_Plastics!G33</f>
        <v>0</v>
      </c>
      <c r="H44" s="2218">
        <f>Vehi_Plastics!H33</f>
        <v>0</v>
      </c>
      <c r="I44" s="2218">
        <f>Vehi_Plastics!I33</f>
        <v>0</v>
      </c>
      <c r="J44" s="2218">
        <f>Vehi_Plastics!J33</f>
        <v>0</v>
      </c>
      <c r="K44" s="2218">
        <f>Vehi_Plastics!K33</f>
        <v>0</v>
      </c>
      <c r="L44" s="2224">
        <f>Vehi_Plastics!L33</f>
        <v>0.5</v>
      </c>
      <c r="N44" s="2222"/>
      <c r="O44" s="2222"/>
    </row>
    <row r="45" spans="1:15">
      <c r="A45" s="2205" t="str">
        <f>Vehi_Plastics!A34</f>
        <v>PP</v>
      </c>
      <c r="B45" s="2223">
        <f>Vehi_Plastics!B34</f>
        <v>0</v>
      </c>
      <c r="C45" s="2218">
        <f>Vehi_Plastics!C34</f>
        <v>0</v>
      </c>
      <c r="D45" s="2218">
        <f>Vehi_Plastics!D34</f>
        <v>9.1999999999999998E-2</v>
      </c>
      <c r="E45" s="2218">
        <f>Vehi_Plastics!E34</f>
        <v>0</v>
      </c>
      <c r="F45" s="2218">
        <f>Vehi_Plastics!F34</f>
        <v>0.15329999999999999</v>
      </c>
      <c r="G45" s="2218">
        <f>Vehi_Plastics!G34</f>
        <v>0</v>
      </c>
      <c r="H45" s="2218">
        <f>Vehi_Plastics!H34</f>
        <v>0</v>
      </c>
      <c r="I45" s="2218">
        <f>Vehi_Plastics!I34</f>
        <v>1.9E-2</v>
      </c>
      <c r="J45" s="2218">
        <f>Vehi_Plastics!J34</f>
        <v>0</v>
      </c>
      <c r="K45" s="2218">
        <f>Vehi_Plastics!K34</f>
        <v>0</v>
      </c>
      <c r="L45" s="2224">
        <f>Vehi_Plastics!L34</f>
        <v>0.73570000000000002</v>
      </c>
      <c r="N45" s="2222"/>
      <c r="O45" s="2222"/>
    </row>
    <row r="46" spans="1:15">
      <c r="A46" s="2208" t="str">
        <f>Vehi_Plastics!A35</f>
        <v>PVC</v>
      </c>
      <c r="B46" s="2184">
        <f>Vehi_Plastics!B35</f>
        <v>0</v>
      </c>
      <c r="C46" s="2216">
        <f>Vehi_Plastics!C35</f>
        <v>0</v>
      </c>
      <c r="D46" s="2216">
        <f>Vehi_Plastics!D35</f>
        <v>0</v>
      </c>
      <c r="E46" s="2216">
        <f>Vehi_Plastics!E35</f>
        <v>0.18099999999999999</v>
      </c>
      <c r="F46" s="2216">
        <f>Vehi_Plastics!F35</f>
        <v>1.4999999999999999E-2</v>
      </c>
      <c r="G46" s="2216">
        <f>Vehi_Plastics!G35</f>
        <v>0</v>
      </c>
      <c r="H46" s="2216">
        <f>Vehi_Plastics!H35</f>
        <v>0.51100000000000001</v>
      </c>
      <c r="I46" s="2216">
        <f>Vehi_Plastics!I35</f>
        <v>0</v>
      </c>
      <c r="J46" s="2216">
        <f>Vehi_Plastics!J35</f>
        <v>0</v>
      </c>
      <c r="K46" s="2216">
        <f>Vehi_Plastics!K35</f>
        <v>0.29299999999999998</v>
      </c>
      <c r="L46" s="2217">
        <f>Vehi_Plastics!L35</f>
        <v>0</v>
      </c>
      <c r="N46" s="2222"/>
      <c r="O46" s="2222"/>
    </row>
    <row r="47" spans="1:15">
      <c r="B47" s="2222"/>
      <c r="C47" s="2222"/>
      <c r="D47" s="2222"/>
      <c r="E47" s="2222"/>
      <c r="F47" s="2222"/>
      <c r="G47" s="2222"/>
      <c r="H47" s="2222"/>
      <c r="I47" s="2222"/>
      <c r="J47" s="2222"/>
      <c r="K47" s="2222"/>
      <c r="L47" s="2222"/>
      <c r="M47" s="2222"/>
      <c r="N47" s="2222"/>
      <c r="O47" s="2222"/>
    </row>
    <row r="48" spans="1:15">
      <c r="A48" s="2083" t="s">
        <v>1466</v>
      </c>
      <c r="B48" s="2225"/>
      <c r="C48" s="2218"/>
      <c r="D48" s="2218"/>
      <c r="E48" s="2218"/>
      <c r="F48" s="2218"/>
      <c r="G48" s="2218"/>
      <c r="H48" s="2218"/>
      <c r="I48" s="2218"/>
      <c r="J48" s="2218"/>
      <c r="K48" s="2218"/>
      <c r="L48" s="2218"/>
      <c r="M48" s="2218"/>
      <c r="N48" s="2218"/>
      <c r="O48" s="2218"/>
    </row>
    <row r="49" spans="1:17" ht="38.25">
      <c r="A49" s="2213" t="str">
        <f>Mat_Inputs!B267</f>
        <v>Compression Molding</v>
      </c>
      <c r="B49" s="2215" t="str">
        <f>Mat_Inputs!C267</f>
        <v>Injection Molding (PVC)</v>
      </c>
      <c r="C49" s="2218"/>
      <c r="D49" s="2218"/>
      <c r="E49" s="2218"/>
      <c r="F49" s="2218"/>
      <c r="G49" s="2218"/>
      <c r="H49" s="2218"/>
      <c r="I49" s="2218"/>
      <c r="J49" s="2218"/>
      <c r="K49" s="2218"/>
      <c r="L49" s="2218"/>
      <c r="M49" s="2218"/>
      <c r="N49" s="2218"/>
    </row>
    <row r="50" spans="1:17">
      <c r="A50" s="2184">
        <f>Mat_Inputs!B268</f>
        <v>0.89</v>
      </c>
      <c r="B50" s="2217">
        <f>Mat_Inputs!C268</f>
        <v>0.10999999999999999</v>
      </c>
      <c r="C50" s="2218"/>
      <c r="D50" s="2218"/>
      <c r="E50" s="2218"/>
      <c r="F50" s="2218"/>
      <c r="G50" s="2218"/>
      <c r="H50" s="2218"/>
      <c r="I50" s="2218"/>
      <c r="J50" s="2218"/>
      <c r="K50" s="2218"/>
      <c r="L50" s="2218"/>
      <c r="M50" s="2218"/>
      <c r="N50" s="2218"/>
    </row>
    <row r="51" spans="1:17">
      <c r="I51" s="2218"/>
    </row>
    <row r="52" spans="1:17" ht="15">
      <c r="A52" s="2084" t="s">
        <v>762</v>
      </c>
    </row>
    <row r="53" spans="1:17">
      <c r="A53" s="2085" t="s">
        <v>769</v>
      </c>
      <c r="B53" s="2107">
        <v>1</v>
      </c>
    </row>
    <row r="54" spans="1:17">
      <c r="A54" s="2096" t="s">
        <v>770</v>
      </c>
      <c r="B54" s="940">
        <v>1</v>
      </c>
    </row>
    <row r="55" spans="1:17">
      <c r="A55" s="2097" t="s">
        <v>773</v>
      </c>
      <c r="B55" s="942">
        <v>1</v>
      </c>
    </row>
    <row r="57" spans="1:17" ht="15">
      <c r="A57" s="2084" t="s">
        <v>784</v>
      </c>
    </row>
    <row r="58" spans="1:17" ht="26.45" customHeight="1">
      <c r="A58" s="2176"/>
      <c r="B58" s="3175" t="s">
        <v>236</v>
      </c>
      <c r="C58" s="3176"/>
      <c r="D58" s="3175" t="s">
        <v>237</v>
      </c>
      <c r="E58" s="3176"/>
      <c r="F58" s="3175" t="s">
        <v>238</v>
      </c>
      <c r="G58" s="3176"/>
      <c r="H58" s="3175" t="s">
        <v>239</v>
      </c>
      <c r="I58" s="3176"/>
      <c r="J58" s="3175" t="s">
        <v>240</v>
      </c>
      <c r="K58" s="3176"/>
      <c r="L58" s="3175" t="s">
        <v>241</v>
      </c>
      <c r="M58" s="3176"/>
      <c r="N58" s="3175" t="s">
        <v>242</v>
      </c>
      <c r="O58" s="3176"/>
      <c r="P58" s="3175" t="s">
        <v>243</v>
      </c>
      <c r="Q58" s="3176"/>
    </row>
    <row r="59" spans="1:17" ht="70.5" customHeight="1">
      <c r="A59" s="2177"/>
      <c r="B59" s="2178" t="s">
        <v>785</v>
      </c>
      <c r="C59" s="2179" t="s">
        <v>786</v>
      </c>
      <c r="D59" s="2178" t="s">
        <v>785</v>
      </c>
      <c r="E59" s="2179" t="s">
        <v>786</v>
      </c>
      <c r="F59" s="2178" t="s">
        <v>785</v>
      </c>
      <c r="G59" s="2179" t="s">
        <v>786</v>
      </c>
      <c r="H59" s="2178" t="s">
        <v>785</v>
      </c>
      <c r="I59" s="2179" t="s">
        <v>786</v>
      </c>
      <c r="J59" s="2178" t="s">
        <v>785</v>
      </c>
      <c r="K59" s="2179" t="s">
        <v>786</v>
      </c>
      <c r="L59" s="2178" t="s">
        <v>785</v>
      </c>
      <c r="M59" s="2179" t="s">
        <v>786</v>
      </c>
      <c r="N59" s="2178" t="s">
        <v>785</v>
      </c>
      <c r="O59" s="2179" t="s">
        <v>786</v>
      </c>
      <c r="P59" s="2178" t="s">
        <v>785</v>
      </c>
      <c r="Q59" s="2179" t="s">
        <v>786</v>
      </c>
    </row>
    <row r="60" spans="1:17">
      <c r="A60" s="2180" t="s">
        <v>1467</v>
      </c>
      <c r="B60" s="2181">
        <f xml:space="preserve"> MHDV_Inputs!B137</f>
        <v>0.28699999999999998</v>
      </c>
      <c r="C60" s="2182"/>
      <c r="D60" s="2181">
        <f xml:space="preserve"> MHDV_Inputs!B138</f>
        <v>2.7589999999999999</v>
      </c>
      <c r="E60" s="2182"/>
      <c r="F60" s="2181">
        <f xml:space="preserve"> MHDV_Inputs!B139</f>
        <v>0.99</v>
      </c>
      <c r="G60" s="2182"/>
      <c r="H60" s="2181">
        <f xml:space="preserve"> MHDV_Inputs!B140</f>
        <v>2.9820000000000002</v>
      </c>
      <c r="I60" s="2182"/>
      <c r="J60" s="2181">
        <f xml:space="preserve"> MHDV_Inputs!B141</f>
        <v>0.20499999999999999</v>
      </c>
      <c r="K60" s="2182"/>
      <c r="L60" s="2181">
        <f xml:space="preserve"> MHDV_Inputs!B142</f>
        <v>0.27300000000000002</v>
      </c>
      <c r="M60" s="2182"/>
      <c r="N60" s="2181">
        <f xml:space="preserve"> MHDV_Inputs!B143</f>
        <v>0.40899999999999997</v>
      </c>
      <c r="O60" s="2182"/>
      <c r="P60" s="2181">
        <f xml:space="preserve"> MHDV_Inputs!B144</f>
        <v>8.5613372039195692</v>
      </c>
      <c r="Q60" s="2182"/>
    </row>
    <row r="61" spans="1:17">
      <c r="A61" s="2177" t="s">
        <v>798</v>
      </c>
      <c r="B61" s="1477">
        <v>0</v>
      </c>
      <c r="C61" s="2182"/>
      <c r="D61" s="1477">
        <v>0</v>
      </c>
      <c r="E61" s="2182"/>
      <c r="F61" s="1477">
        <v>0</v>
      </c>
      <c r="G61" s="2182"/>
      <c r="H61" s="1477">
        <v>0</v>
      </c>
      <c r="I61" s="2182"/>
      <c r="J61" s="1477">
        <v>0</v>
      </c>
      <c r="K61" s="2182"/>
      <c r="L61" s="1477">
        <v>0</v>
      </c>
      <c r="M61" s="2182"/>
      <c r="N61" s="1477">
        <v>0</v>
      </c>
      <c r="O61" s="2182"/>
      <c r="P61" s="1477">
        <v>0</v>
      </c>
      <c r="Q61" s="2182"/>
    </row>
    <row r="62" spans="1:17">
      <c r="A62" s="2176" t="s">
        <v>799</v>
      </c>
      <c r="B62" s="2085"/>
      <c r="C62" s="2183"/>
      <c r="D62" s="2085"/>
      <c r="E62" s="2183"/>
      <c r="F62" s="2085"/>
      <c r="G62" s="2183"/>
      <c r="H62" s="2085"/>
      <c r="I62" s="2183"/>
      <c r="J62" s="2085"/>
      <c r="K62" s="2183"/>
      <c r="L62" s="2085"/>
      <c r="M62" s="2183"/>
      <c r="N62" s="2085"/>
      <c r="O62" s="2183"/>
      <c r="P62" s="2085"/>
      <c r="Q62" s="2183"/>
    </row>
    <row r="63" spans="1:17">
      <c r="A63" s="2096" t="s">
        <v>800</v>
      </c>
      <c r="B63" s="1477">
        <v>0</v>
      </c>
      <c r="C63" s="2224"/>
      <c r="D63" s="1477">
        <v>0</v>
      </c>
      <c r="E63" s="2224"/>
      <c r="F63" s="1477">
        <v>0</v>
      </c>
      <c r="G63" s="2224"/>
      <c r="H63" s="1477">
        <v>0</v>
      </c>
      <c r="I63" s="2224"/>
      <c r="J63" s="1477">
        <v>0</v>
      </c>
      <c r="K63" s="2224"/>
      <c r="L63" s="1477">
        <v>0</v>
      </c>
      <c r="M63" s="2224"/>
      <c r="N63" s="1477">
        <v>0</v>
      </c>
      <c r="O63" s="2224"/>
      <c r="P63" s="1477">
        <v>0</v>
      </c>
      <c r="Q63" s="2224"/>
    </row>
    <row r="64" spans="1:17">
      <c r="A64" s="2096" t="s">
        <v>802</v>
      </c>
      <c r="B64" s="1477">
        <v>0</v>
      </c>
      <c r="C64" s="2182"/>
      <c r="D64" s="1477">
        <v>0</v>
      </c>
      <c r="E64" s="2182"/>
      <c r="F64" s="1477">
        <v>0</v>
      </c>
      <c r="G64" s="2182"/>
      <c r="H64" s="1477">
        <v>0</v>
      </c>
      <c r="I64" s="2182"/>
      <c r="J64" s="1477">
        <v>0</v>
      </c>
      <c r="K64" s="2182"/>
      <c r="L64" s="1477">
        <v>0</v>
      </c>
      <c r="M64" s="2182"/>
      <c r="N64" s="1477">
        <v>0</v>
      </c>
      <c r="O64" s="2182"/>
      <c r="P64" s="1477">
        <v>0</v>
      </c>
      <c r="Q64" s="2182"/>
    </row>
    <row r="65" spans="1:17">
      <c r="A65" s="2096" t="s">
        <v>804</v>
      </c>
      <c r="B65" s="1477">
        <v>0</v>
      </c>
      <c r="C65" s="2224"/>
      <c r="D65" s="1477">
        <v>0.83399999999999996</v>
      </c>
      <c r="E65" s="2224"/>
      <c r="F65" s="1477">
        <v>0</v>
      </c>
      <c r="G65" s="2224"/>
      <c r="H65" s="1477">
        <v>1</v>
      </c>
      <c r="I65" s="2224"/>
      <c r="J65" s="1477">
        <v>0</v>
      </c>
      <c r="K65" s="2224"/>
      <c r="L65" s="1477">
        <v>0</v>
      </c>
      <c r="M65" s="2224"/>
      <c r="N65" s="1477">
        <v>0</v>
      </c>
      <c r="O65" s="2224"/>
      <c r="P65" s="1477">
        <v>0</v>
      </c>
      <c r="Q65" s="2224"/>
    </row>
    <row r="66" spans="1:17">
      <c r="A66" s="2096" t="s">
        <v>805</v>
      </c>
      <c r="B66" s="1477">
        <v>0</v>
      </c>
      <c r="C66" s="2224"/>
      <c r="D66" s="1477">
        <v>0</v>
      </c>
      <c r="E66" s="2224"/>
      <c r="F66" s="1477">
        <v>0</v>
      </c>
      <c r="G66" s="2224"/>
      <c r="H66" s="1477">
        <v>0</v>
      </c>
      <c r="I66" s="2224"/>
      <c r="J66" s="1477">
        <v>0</v>
      </c>
      <c r="K66" s="2224"/>
      <c r="L66" s="1477">
        <v>0</v>
      </c>
      <c r="M66" s="2224"/>
      <c r="N66" s="1477">
        <v>0</v>
      </c>
      <c r="O66" s="2224"/>
      <c r="P66" s="1477">
        <v>0</v>
      </c>
      <c r="Q66" s="2224"/>
    </row>
    <row r="67" spans="1:17">
      <c r="A67" s="2097" t="s">
        <v>806</v>
      </c>
      <c r="B67" s="2184">
        <f>1-SUM(B63:B66)</f>
        <v>1</v>
      </c>
      <c r="C67" s="2217"/>
      <c r="D67" s="2184">
        <f>1-SUM(D63:D66)</f>
        <v>0.16600000000000004</v>
      </c>
      <c r="E67" s="2217"/>
      <c r="F67" s="2184">
        <f>1-SUM(F63:F66)</f>
        <v>1</v>
      </c>
      <c r="G67" s="2217"/>
      <c r="H67" s="2184">
        <f>1-SUM(H63:H66)</f>
        <v>0</v>
      </c>
      <c r="I67" s="2217"/>
      <c r="J67" s="2184">
        <f>1-SUM(J63:J66)</f>
        <v>1</v>
      </c>
      <c r="K67" s="2217"/>
      <c r="L67" s="2184">
        <f>1-SUM(L63:L66)</f>
        <v>1</v>
      </c>
      <c r="M67" s="2217"/>
      <c r="N67" s="2184">
        <f>1-SUM(N63:N66)</f>
        <v>1</v>
      </c>
      <c r="O67" s="2217"/>
      <c r="P67" s="2184">
        <f>1-SUM(P63:P66)</f>
        <v>1</v>
      </c>
      <c r="Q67" s="2217"/>
    </row>
    <row r="68" spans="1:17">
      <c r="A68" s="2177" t="s">
        <v>1467</v>
      </c>
      <c r="B68" s="2096"/>
      <c r="C68" s="2182"/>
      <c r="D68" s="2096"/>
      <c r="E68" s="2182"/>
      <c r="F68" s="2096"/>
      <c r="G68" s="2182"/>
      <c r="H68" s="2096"/>
      <c r="I68" s="2182"/>
      <c r="J68" s="2096"/>
      <c r="K68" s="2182"/>
      <c r="L68" s="2096"/>
      <c r="M68" s="2182"/>
      <c r="N68" s="2096"/>
      <c r="O68" s="2182"/>
      <c r="P68" s="2096"/>
      <c r="Q68" s="2182"/>
    </row>
    <row r="69" spans="1:17" s="2136" customFormat="1">
      <c r="A69" s="2151" t="s">
        <v>800</v>
      </c>
      <c r="B69" s="2193">
        <f>B$60*B63</f>
        <v>0</v>
      </c>
      <c r="C69" s="2185"/>
      <c r="D69" s="2193">
        <f>D$60*D63</f>
        <v>0</v>
      </c>
      <c r="E69" s="2185"/>
      <c r="F69" s="2193">
        <f>F$60*F63</f>
        <v>0</v>
      </c>
      <c r="G69" s="2185"/>
      <c r="H69" s="2193">
        <f>H$60*H63</f>
        <v>0</v>
      </c>
      <c r="I69" s="2185"/>
      <c r="J69" s="2193">
        <f>J$60*J63</f>
        <v>0</v>
      </c>
      <c r="K69" s="2185"/>
      <c r="L69" s="2193">
        <f>L$60*L63</f>
        <v>0</v>
      </c>
      <c r="M69" s="2185"/>
      <c r="N69" s="2193">
        <f>N$60*N63</f>
        <v>0</v>
      </c>
      <c r="O69" s="2185"/>
      <c r="P69" s="2193">
        <f>P$60*P63</f>
        <v>0</v>
      </c>
      <c r="Q69" s="2185"/>
    </row>
    <row r="70" spans="1:17" s="2136" customFormat="1">
      <c r="A70" s="2151" t="s">
        <v>802</v>
      </c>
      <c r="B70" s="2193">
        <f>B$60*B64</f>
        <v>0</v>
      </c>
      <c r="C70" s="2185"/>
      <c r="D70" s="2193">
        <f>D$60*D64</f>
        <v>0</v>
      </c>
      <c r="E70" s="2185"/>
      <c r="F70" s="2193">
        <f>F$60*F64</f>
        <v>0</v>
      </c>
      <c r="G70" s="2185"/>
      <c r="H70" s="2193">
        <f>H$60*H64</f>
        <v>0</v>
      </c>
      <c r="I70" s="2185"/>
      <c r="J70" s="2193">
        <f>J$60*J64</f>
        <v>0</v>
      </c>
      <c r="K70" s="2185"/>
      <c r="L70" s="2193">
        <f>L$60*L64</f>
        <v>0</v>
      </c>
      <c r="M70" s="2185"/>
      <c r="N70" s="2193">
        <f>N$60*N64</f>
        <v>0</v>
      </c>
      <c r="O70" s="2185"/>
      <c r="P70" s="2193">
        <f>P$60*P64</f>
        <v>0</v>
      </c>
      <c r="Q70" s="2185"/>
    </row>
    <row r="71" spans="1:17" s="2136" customFormat="1">
      <c r="A71" s="2151" t="s">
        <v>804</v>
      </c>
      <c r="B71" s="2193">
        <f>B$60*B65</f>
        <v>0</v>
      </c>
      <c r="C71" s="2185"/>
      <c r="D71" s="2193">
        <f>D$60*D65</f>
        <v>2.3010059999999997</v>
      </c>
      <c r="E71" s="2185"/>
      <c r="F71" s="2193">
        <f>F$60*F65</f>
        <v>0</v>
      </c>
      <c r="G71" s="2185"/>
      <c r="H71" s="2193">
        <f>H$60*H65</f>
        <v>2.9820000000000002</v>
      </c>
      <c r="I71" s="2185"/>
      <c r="J71" s="2193">
        <f>J$60*J65</f>
        <v>0</v>
      </c>
      <c r="K71" s="2185"/>
      <c r="L71" s="2193">
        <f>L$60*L65</f>
        <v>0</v>
      </c>
      <c r="M71" s="2185"/>
      <c r="N71" s="2193">
        <f>N$60*N65</f>
        <v>0</v>
      </c>
      <c r="O71" s="2185"/>
      <c r="P71" s="2193">
        <f>P$60*P65</f>
        <v>0</v>
      </c>
      <c r="Q71" s="2185"/>
    </row>
    <row r="72" spans="1:17" s="2136" customFormat="1">
      <c r="A72" s="2151" t="s">
        <v>805</v>
      </c>
      <c r="B72" s="2193">
        <f>B$60*B66</f>
        <v>0</v>
      </c>
      <c r="C72" s="2185"/>
      <c r="D72" s="2193">
        <f>D$60*D66</f>
        <v>0</v>
      </c>
      <c r="E72" s="2185"/>
      <c r="F72" s="2193">
        <f>F$60*F66</f>
        <v>0</v>
      </c>
      <c r="G72" s="2185"/>
      <c r="H72" s="2193">
        <f>H$60*H66</f>
        <v>0</v>
      </c>
      <c r="I72" s="2185"/>
      <c r="J72" s="2193">
        <f>J$60*J66</f>
        <v>0</v>
      </c>
      <c r="K72" s="2185"/>
      <c r="L72" s="2193">
        <f>L$60*L66</f>
        <v>0</v>
      </c>
      <c r="M72" s="2185"/>
      <c r="N72" s="2193">
        <f>N$60*N66</f>
        <v>0</v>
      </c>
      <c r="O72" s="2185"/>
      <c r="P72" s="2193">
        <f>P$60*P66</f>
        <v>0</v>
      </c>
      <c r="Q72" s="2185"/>
    </row>
    <row r="73" spans="1:17" s="2136" customFormat="1">
      <c r="A73" s="2151" t="s">
        <v>806</v>
      </c>
      <c r="B73" s="2193">
        <f>B$60*B67</f>
        <v>0.28699999999999998</v>
      </c>
      <c r="C73" s="2185"/>
      <c r="D73" s="2193">
        <f>D$60*D67</f>
        <v>0.45799400000000007</v>
      </c>
      <c r="E73" s="2185"/>
      <c r="F73" s="2193">
        <f>F$60*F67</f>
        <v>0.99</v>
      </c>
      <c r="G73" s="2185"/>
      <c r="H73" s="2193">
        <f>H$60*H67</f>
        <v>0</v>
      </c>
      <c r="I73" s="2185"/>
      <c r="J73" s="2193">
        <f>J$60*J67</f>
        <v>0.20499999999999999</v>
      </c>
      <c r="K73" s="2185"/>
      <c r="L73" s="2193">
        <f>L$60*L67</f>
        <v>0.27300000000000002</v>
      </c>
      <c r="M73" s="2185"/>
      <c r="N73" s="2193">
        <f>N$60*N67</f>
        <v>0.40899999999999997</v>
      </c>
      <c r="O73" s="2185"/>
      <c r="P73" s="2193">
        <f>P$60*P67</f>
        <v>8.5613372039195692</v>
      </c>
      <c r="Q73" s="2185"/>
    </row>
    <row r="74" spans="1:17" s="2136" customFormat="1">
      <c r="A74" s="2172" t="s">
        <v>816</v>
      </c>
      <c r="B74" s="2172">
        <f>B$69*(1+(GREET1_Import_Export!$G$179*GREET1_Import_Export!$B180+GREET1_Import_Export!$G180)/1000000)+B$70*(1+(GREET1_Import_Export!$G$179*GREET1_Import_Export!$B180+GREET1_Import_Export!$G180)/1000000)+B$71*(1+GREET1_Import_Export!$B216/1000000)+B$72*(1+GREET1_Import_Export!$B284/1000000)+B$73*(GREET1_Import_Export!$B309+GREET1_Import_Export!$C309)/1000000</f>
        <v>0.58205186056138436</v>
      </c>
      <c r="C74" s="2186"/>
      <c r="D74" s="2172">
        <f>D$69*(1+(GREET1_Import_Export!$G$179*GREET1_Import_Export!$B180+GREET1_Import_Export!$G180)/1000000)+D$70*(1+(GREET1_Import_Export!$G$179*GREET1_Import_Export!$B180+GREET1_Import_Export!$G180)/1000000)+D$71*(1+GREET1_Import_Export!$B216/1000000)+D$72*(1+GREET1_Import_Export!$B284/1000000)+D$73*(GREET1_Import_Export!$B309+GREET1_Import_Export!$C309)/1000000</f>
        <v>3.4697372066247998</v>
      </c>
      <c r="E74" s="2186"/>
      <c r="F74" s="2172">
        <f>F$69*(1+(GREET1_Import_Export!$G$179*GREET1_Import_Export!$B180+GREET1_Import_Export!$G180)/1000000)+F$70*(1+(GREET1_Import_Export!$G$179*GREET1_Import_Export!$B180+GREET1_Import_Export!$G180)/1000000)+F$71*(1+GREET1_Import_Export!$B216/1000000)+F$72*(1+GREET1_Import_Export!$B284/1000000)+F$73*(GREET1_Import_Export!$B309+GREET1_Import_Export!$C309)/1000000</f>
        <v>2.0077747106472841</v>
      </c>
      <c r="G74" s="2186"/>
      <c r="H74" s="2172">
        <f>H$69*(1+(GREET1_Import_Export!$G$179*GREET1_Import_Export!$B180+GREET1_Import_Export!$G180)/1000000)+H$70*(1+(GREET1_Import_Export!$G$179*GREET1_Import_Export!$B180+GREET1_Import_Export!$G180)/1000000)+H$71*(1+GREET1_Import_Export!$B216/1000000)+H$72*(1+GREET1_Import_Export!$B284/1000000)+H$73*(GREET1_Import_Export!$B309+GREET1_Import_Export!$C309)/1000000</f>
        <v>3.2928918881409128</v>
      </c>
      <c r="I74" s="2186"/>
      <c r="J74" s="2172">
        <f>J$69*(1+(GREET1_Import_Export!$G$179*GREET1_Import_Export!$B180+GREET1_Import_Export!$G180)/1000000)+J$70*(1+(GREET1_Import_Export!$G$179*GREET1_Import_Export!$B180+GREET1_Import_Export!$G180)/1000000)+J$71*(1+GREET1_Import_Export!$B216/1000000)+J$72*(1+GREET1_Import_Export!$B284/1000000)+J$73*(GREET1_Import_Export!$B309+GREET1_Import_Export!$C309)/1000000</f>
        <v>0.41575132897241734</v>
      </c>
      <c r="K74" s="2186"/>
      <c r="L74" s="2172">
        <f>L$69*(1+(GREET1_Import_Export!$G$179*GREET1_Import_Export!$B180+GREET1_Import_Export!$G180)/1000000)+L$70*(1+(GREET1_Import_Export!$G$179*GREET1_Import_Export!$B180+GREET1_Import_Export!$G180)/1000000)+L$71*(1+GREET1_Import_Export!$B216/1000000)+L$72*(1+GREET1_Import_Export!$B284/1000000)+L$73*(GREET1_Import_Export!$B309+GREET1_Import_Export!$C309)/1000000</f>
        <v>0.55365908687546328</v>
      </c>
      <c r="M74" s="2186"/>
      <c r="N74" s="2172">
        <f>N$69*(1+(GREET1_Import_Export!$G$179*GREET1_Import_Export!$B180+GREET1_Import_Export!$G180)/1000000)+N$70*(1+(GREET1_Import_Export!$G$179*GREET1_Import_Export!$B180+GREET1_Import_Export!$G180)/1000000)+N$71*(1+GREET1_Import_Export!$B216/1000000)+N$72*(1+GREET1_Import_Export!$B284/1000000)+N$73*(GREET1_Import_Export!$B309+GREET1_Import_Export!$C309)/1000000</f>
        <v>0.8294746026815546</v>
      </c>
      <c r="O74" s="2186"/>
      <c r="P74" s="2172">
        <f>P$69*(1+(GREET1_Import_Export!$G$179*GREET1_Import_Export!$B180+GREET1_Import_Export!$G180)/1000000)+P$70*(1+(GREET1_Import_Export!$G$179*GREET1_Import_Export!$B180+GREET1_Import_Export!$G180)/1000000)+P$71*(1+GREET1_Import_Export!$B216/1000000)+P$72*(1+GREET1_Import_Export!$B284/1000000)+P$73*(GREET1_Import_Export!$B309+GREET1_Import_Export!$C309)/1000000</f>
        <v>17.362864977124687</v>
      </c>
      <c r="Q74" s="2186"/>
    </row>
    <row r="75" spans="1:17" s="2136" customFormat="1">
      <c r="A75" s="2151" t="s">
        <v>817</v>
      </c>
      <c r="B75" s="2151">
        <f>B$69*(1+(GREET1_Import_Export!$G$179*GREET1_Import_Export!$B181+GREET1_Import_Export!$G181)/1000000)+B$70*(1+(GREET1_Import_Export!$G$179*GREET1_Import_Export!$B181+GREET1_Import_Export!$G181)/1000000)+B$71*(1+GREET1_Import_Export!$B217/1000000)+B$72*(1+GREET1_Import_Export!$B285/1000000)+B$73*(GREET1_Import_Export!$B310+GREET1_Import_Export!$C310)/1000000</f>
        <v>0.46099343845488616</v>
      </c>
      <c r="C75" s="2185"/>
      <c r="D75" s="2151">
        <f>D$69*(1+(GREET1_Import_Export!$G$179*GREET1_Import_Export!$B181+GREET1_Import_Export!$G181)/1000000)+D$70*(1+(GREET1_Import_Export!$G$179*GREET1_Import_Export!$B181+GREET1_Import_Export!$G181)/1000000)+D$71*(1+GREET1_Import_Export!$B217/1000000)+D$72*(1+GREET1_Import_Export!$B285/1000000)+D$73*(GREET1_Import_Export!$B310+GREET1_Import_Export!$C310)/1000000</f>
        <v>3.2748345544818638</v>
      </c>
      <c r="E75" s="2185"/>
      <c r="F75" s="2151">
        <f>F$69*(1+(GREET1_Import_Export!$G$179*GREET1_Import_Export!$B181+GREET1_Import_Export!$G181)/1000000)+F$70*(1+(GREET1_Import_Export!$G$179*GREET1_Import_Export!$B181+GREET1_Import_Export!$G181)/1000000)+F$71*(1+GREET1_Import_Export!$B217/1000000)+F$72*(1+GREET1_Import_Export!$B285/1000000)+F$73*(GREET1_Import_Export!$B310+GREET1_Import_Export!$C310)/1000000</f>
        <v>1.5901864253321858</v>
      </c>
      <c r="G75" s="2185"/>
      <c r="H75" s="2151">
        <f>H$69*(1+(GREET1_Import_Export!$G$179*GREET1_Import_Export!$B181+GREET1_Import_Export!$G181)/1000000)+H$70*(1+(GREET1_Import_Export!$G$179*GREET1_Import_Export!$B181+GREET1_Import_Export!$G181)/1000000)+H$71*(1+GREET1_Import_Export!$B217/1000000)+H$72*(1+GREET1_Import_Export!$B285/1000000)+H$73*(GREET1_Import_Export!$B310+GREET1_Import_Export!$C310)/1000000</f>
        <v>3.2906655993205178</v>
      </c>
      <c r="I75" s="2185"/>
      <c r="J75" s="2151">
        <f>J$69*(1+(GREET1_Import_Export!$G$179*GREET1_Import_Export!$B181+GREET1_Import_Export!$G181)/1000000)+J$70*(1+(GREET1_Import_Export!$G$179*GREET1_Import_Export!$B181+GREET1_Import_Export!$G181)/1000000)+J$71*(1+GREET1_Import_Export!$B217/1000000)+J$72*(1+GREET1_Import_Export!$B285/1000000)+J$73*(GREET1_Import_Export!$B310+GREET1_Import_Export!$C310)/1000000</f>
        <v>0.32928102746777582</v>
      </c>
      <c r="K75" s="2185"/>
      <c r="L75" s="2151">
        <f>L$69*(1+(GREET1_Import_Export!$G$179*GREET1_Import_Export!$B181+GREET1_Import_Export!$G181)/1000000)+L$70*(1+(GREET1_Import_Export!$G$179*GREET1_Import_Export!$B181+GREET1_Import_Export!$G181)/1000000)+L$71*(1+GREET1_Import_Export!$B217/1000000)+L$72*(1+GREET1_Import_Export!$B285/1000000)+L$73*(GREET1_Import_Export!$B310+GREET1_Import_Export!$C310)/1000000</f>
        <v>0.43850595365220885</v>
      </c>
      <c r="M75" s="2185"/>
      <c r="N75" s="2151">
        <f>N$69*(1+(GREET1_Import_Export!$G$179*GREET1_Import_Export!$B181+GREET1_Import_Export!$G181)/1000000)+N$70*(1+(GREET1_Import_Export!$G$179*GREET1_Import_Export!$B181+GREET1_Import_Export!$G181)/1000000)+N$71*(1+GREET1_Import_Export!$B217/1000000)+N$72*(1+GREET1_Import_Export!$B285/1000000)+N$73*(GREET1_Import_Export!$B310+GREET1_Import_Export!$C310)/1000000</f>
        <v>0.65695580602107462</v>
      </c>
      <c r="O75" s="2185"/>
      <c r="P75" s="2151">
        <f>P$69*(1+(GREET1_Import_Export!$G$179*GREET1_Import_Export!$B181+GREET1_Import_Export!$G181)/1000000)+P$70*(1+(GREET1_Import_Export!$G$179*GREET1_Import_Export!$B181+GREET1_Import_Export!$G181)/1000000)+P$71*(1+GREET1_Import_Export!$B217/1000000)+P$72*(1+GREET1_Import_Export!$B285/1000000)+P$73*(GREET1_Import_Export!$B310+GREET1_Import_Export!$C310)/1000000</f>
        <v>13.75163859026698</v>
      </c>
      <c r="Q75" s="2185"/>
    </row>
    <row r="76" spans="1:17" s="2136" customFormat="1">
      <c r="A76" s="2151" t="s">
        <v>805</v>
      </c>
      <c r="B76" s="2151">
        <f>B$69*(GREET1_Import_Export!$F$179*GREET1_Import_Export!$B182+GREET1_Import_Export!$F182)/1000000+B$70*(GREET1_Import_Export!$G$179*GREET1_Import_Export!$B182+GREET1_Import_Export!$G182)/1000000+B$71*GREET1_Import_Export!$B218/1000000+B$72*(1+GREET1_Import_Export!$B286/1000000)+B$73*(GREET1_Import_Export!$B311+GREET1_Import_Export!$C311)/1000000</f>
        <v>0.16002997625492929</v>
      </c>
      <c r="C76" s="2185"/>
      <c r="D76" s="2151">
        <f>D$69*(GREET1_Import_Export!$F$179*GREET1_Import_Export!$B182+GREET1_Import_Export!$F182)/1000000+D$70*(GREET1_Import_Export!$G$179*GREET1_Import_Export!$B182+GREET1_Import_Export!$G182)/1000000+D$71*GREET1_Import_Export!$B218/1000000+D$72*(1+GREET1_Import_Export!$B286/1000000)+D$73*(GREET1_Import_Export!$B311+GREET1_Import_Export!$C311)/1000000</f>
        <v>0.25764379026268952</v>
      </c>
      <c r="E76" s="2185"/>
      <c r="F76" s="2151">
        <f>F$69*(GREET1_Import_Export!$F$179*GREET1_Import_Export!$B182+GREET1_Import_Export!$F182)/1000000+F$70*(GREET1_Import_Export!$G$179*GREET1_Import_Export!$B182+GREET1_Import_Export!$G182)/1000000+F$71*GREET1_Import_Export!$B218/1000000+F$72*(1+GREET1_Import_Export!$B286/1000000)+F$73*(GREET1_Import_Export!$B311+GREET1_Import_Export!$C311)/1000000</f>
        <v>0.55201977871909413</v>
      </c>
      <c r="G76" s="2185"/>
      <c r="H76" s="2151">
        <f>H$69*(GREET1_Import_Export!$F$179*GREET1_Import_Export!$B182+GREET1_Import_Export!$F182)/1000000+H$70*(GREET1_Import_Export!$G$179*GREET1_Import_Export!$B182+GREET1_Import_Export!$G182)/1000000+H$71*GREET1_Import_Export!$B218/1000000+H$72*(1+GREET1_Import_Export!$B286/1000000)+H$73*(GREET1_Import_Export!$B311+GREET1_Import_Export!$C311)/1000000</f>
        <v>2.9395998709779987E-3</v>
      </c>
      <c r="I76" s="2185"/>
      <c r="J76" s="2151">
        <f>J$69*(GREET1_Import_Export!$F$179*GREET1_Import_Export!$B182+GREET1_Import_Export!$F182)/1000000+J$70*(GREET1_Import_Export!$G$179*GREET1_Import_Export!$B182+GREET1_Import_Export!$G182)/1000000+J$71*GREET1_Import_Export!$B218/1000000+J$72*(1+GREET1_Import_Export!$B286/1000000)+J$73*(GREET1_Import_Export!$B311+GREET1_Import_Export!$C311)/1000000</f>
        <v>0.11430712589637806</v>
      </c>
      <c r="K76" s="2185"/>
      <c r="L76" s="2151">
        <f>L$69*(GREET1_Import_Export!$F$179*GREET1_Import_Export!$B182+GREET1_Import_Export!$F182)/1000000+L$70*(GREET1_Import_Export!$G$179*GREET1_Import_Export!$B182+GREET1_Import_Export!$G182)/1000000+L$71*GREET1_Import_Export!$B218/1000000+L$72*(1+GREET1_Import_Export!$B286/1000000)+L$73*(GREET1_Import_Export!$B311+GREET1_Import_Export!$C311)/1000000</f>
        <v>0.15222363594981081</v>
      </c>
      <c r="M76" s="2185"/>
      <c r="N76" s="2151">
        <f>N$69*(GREET1_Import_Export!$F$179*GREET1_Import_Export!$B182+GREET1_Import_Export!$F182)/1000000+N$70*(GREET1_Import_Export!$G$179*GREET1_Import_Export!$B182+GREET1_Import_Export!$G182)/1000000+N$71*GREET1_Import_Export!$B218/1000000+N$72*(1+GREET1_Import_Export!$B286/1000000)+N$73*(GREET1_Import_Export!$B311+GREET1_Import_Export!$C311)/1000000</f>
        <v>0.22805665605667627</v>
      </c>
      <c r="O76" s="2185"/>
      <c r="P76" s="2151">
        <f>P$69*(GREET1_Import_Export!$F$179*GREET1_Import_Export!$B182+GREET1_Import_Export!$F182)/1000000+P$70*(GREET1_Import_Export!$G$179*GREET1_Import_Export!$B182+GREET1_Import_Export!$G182)/1000000+P$71*GREET1_Import_Export!$B218/1000000+P$72*(1+GREET1_Import_Export!$B286/1000000)+P$73*(GREET1_Import_Export!$B311+GREET1_Import_Export!$C311)/1000000</f>
        <v>4.773765120047706</v>
      </c>
      <c r="Q76" s="2185"/>
    </row>
    <row r="77" spans="1:17" s="2136" customFormat="1">
      <c r="A77" s="2151" t="s">
        <v>804</v>
      </c>
      <c r="B77" s="2151">
        <f>B75-B76-B78</f>
        <v>0.29595698035738616</v>
      </c>
      <c r="C77" s="2185"/>
      <c r="D77" s="2151">
        <f>D75-D76-D78</f>
        <v>2.9999646100561628</v>
      </c>
      <c r="E77" s="2185"/>
      <c r="F77" s="2151">
        <f>F75-F76-F78</f>
        <v>1.0208969008843636</v>
      </c>
      <c r="G77" s="2185"/>
      <c r="H77" s="2151">
        <f>H75-H76-H78</f>
        <v>3.2757554961396154</v>
      </c>
      <c r="I77" s="2185"/>
      <c r="J77" s="2151">
        <f>J75-J76-J78</f>
        <v>0.21139784311241872</v>
      </c>
      <c r="K77" s="2185"/>
      <c r="L77" s="2151">
        <f>L75-L76-L78</f>
        <v>0.28152005448629425</v>
      </c>
      <c r="M77" s="2185"/>
      <c r="N77" s="2151">
        <f>N75-N76-N78</f>
        <v>0.42176447723404503</v>
      </c>
      <c r="O77" s="2185"/>
      <c r="P77" s="2151">
        <f>P75-P76-P78</f>
        <v>8.8285278978863531</v>
      </c>
      <c r="Q77" s="2185"/>
    </row>
    <row r="78" spans="1:17" s="2136" customFormat="1">
      <c r="A78" s="2151" t="s">
        <v>818</v>
      </c>
      <c r="B78" s="2151">
        <f>B$69*(1+(GREET1_Import_Export!$G$179*GREET1_Import_Export!$B184+GREET1_Import_Export!$G184)/1000000)+B$70*(1+(GREET1_Import_Export!$G$179*GREET1_Import_Export!$B184+GREET1_Import_Export!$G184)/1000000)+B$71*GREET1_Import_Export!$B220/1000000+B$72*GREET1_Import_Export!$B288/1000000+B$73*(GREET1_Import_Export!$B313+GREET1_Import_Export!$C313)/1000000</f>
        <v>5.0064818425706774E-3</v>
      </c>
      <c r="C78" s="2185"/>
      <c r="D78" s="2151">
        <f>D$69*(1+(GREET1_Import_Export!$G$179*GREET1_Import_Export!$B184+GREET1_Import_Export!$G184)/1000000)+D$70*(1+(GREET1_Import_Export!$G$179*GREET1_Import_Export!$B184+GREET1_Import_Export!$G184)/1000000)+D$71*GREET1_Import_Export!$B220/1000000+D$72*GREET1_Import_Export!$B288/1000000+D$73*(GREET1_Import_Export!$B313+GREET1_Import_Export!$C313)/1000000</f>
        <v>1.7226154163011521E-2</v>
      </c>
      <c r="E78" s="2185"/>
      <c r="F78" s="2151">
        <f>F$69*(1+(GREET1_Import_Export!$G$179*GREET1_Import_Export!$B184+GREET1_Import_Export!$G184)/1000000)+F$70*(1+(GREET1_Import_Export!$G$179*GREET1_Import_Export!$B184+GREET1_Import_Export!$G184)/1000000)+F$71*GREET1_Import_Export!$B220/1000000+F$72*GREET1_Import_Export!$B288/1000000+F$73*(GREET1_Import_Export!$B313+GREET1_Import_Export!$C313)/1000000</f>
        <v>1.7269745728728123E-2</v>
      </c>
      <c r="G78" s="2185"/>
      <c r="H78" s="2151">
        <f>H$69*(1+(GREET1_Import_Export!$G$179*GREET1_Import_Export!$B184+GREET1_Import_Export!$G184)/1000000)+H$70*(1+(GREET1_Import_Export!$G$179*GREET1_Import_Export!$B184+GREET1_Import_Export!$G184)/1000000)+H$71*GREET1_Import_Export!$B220/1000000+H$72*GREET1_Import_Export!$B288/1000000+H$73*(GREET1_Import_Export!$B313+GREET1_Import_Export!$C313)/1000000</f>
        <v>1.1970503309924744E-2</v>
      </c>
      <c r="I78" s="2185"/>
      <c r="J78" s="2151">
        <f>J$69*(1+(GREET1_Import_Export!$G$179*GREET1_Import_Export!$B184+GREET1_Import_Export!$G184)/1000000)+J$70*(1+(GREET1_Import_Export!$G$179*GREET1_Import_Export!$B184+GREET1_Import_Export!$G184)/1000000)+J$71*GREET1_Import_Export!$B220/1000000+J$72*GREET1_Import_Export!$B288/1000000+J$73*(GREET1_Import_Export!$B313+GREET1_Import_Export!$C313)/1000000</f>
        <v>3.5760584589790557E-3</v>
      </c>
      <c r="K78" s="2185"/>
      <c r="L78" s="2151">
        <f>L$69*(1+(GREET1_Import_Export!$G$179*GREET1_Import_Export!$B184+GREET1_Import_Export!$G184)/1000000)+L$70*(1+(GREET1_Import_Export!$G$179*GREET1_Import_Export!$B184+GREET1_Import_Export!$G184)/1000000)+L$71*GREET1_Import_Export!$B220/1000000+L$72*GREET1_Import_Export!$B288/1000000+L$73*(GREET1_Import_Export!$B313+GREET1_Import_Export!$C313)/1000000</f>
        <v>4.7622632161038164E-3</v>
      </c>
      <c r="M78" s="2185"/>
      <c r="N78" s="2151">
        <f>N$69*(1+(GREET1_Import_Export!$G$179*GREET1_Import_Export!$B184+GREET1_Import_Export!$G184)/1000000)+N$70*(1+(GREET1_Import_Export!$G$179*GREET1_Import_Export!$B184+GREET1_Import_Export!$G184)/1000000)+N$71*GREET1_Import_Export!$B220/1000000+N$72*GREET1_Import_Export!$B288/1000000+N$73*(GREET1_Import_Export!$B313+GREET1_Import_Export!$C313)/1000000</f>
        <v>7.134672730353335E-3</v>
      </c>
      <c r="O78" s="2185"/>
      <c r="P78" s="2151">
        <f>P$69*(1+(GREET1_Import_Export!$G$179*GREET1_Import_Export!$B184+GREET1_Import_Export!$G184)/1000000)+P$70*(1+(GREET1_Import_Export!$G$179*GREET1_Import_Export!$B184+GREET1_Import_Export!$G184)/1000000)+P$71*GREET1_Import_Export!$B220/1000000+P$72*GREET1_Import_Export!$B288/1000000+P$73*(GREET1_Import_Export!$B313+GREET1_Import_Export!$C313)/1000000</f>
        <v>0.14934557233292037</v>
      </c>
      <c r="Q78" s="2185"/>
    </row>
    <row r="79" spans="1:17" s="2144" customFormat="1">
      <c r="A79" s="2093" t="s">
        <v>819</v>
      </c>
      <c r="B79" s="2187">
        <f>B$69*((GREET1_Import_Export!$G$179*GREET1_Import_Export!$B185+GREET1_Import_Export!$G185))+B$70*((GREET1_Import_Export!$G$179*GREET1_Import_Export!$B185+GREET1_Import_Export!$G185))+B$71*GREET1_Import_Export!$B221+B$72*GREET1_Import_Export!$B289+B$73*(GREET1_Import_Export!$B314+GREET1_Import_Export!$C314)</f>
        <v>31.192701757183013</v>
      </c>
      <c r="C79" s="2226"/>
      <c r="D79" s="2187">
        <f>D$69*((GREET1_Import_Export!$G$179*GREET1_Import_Export!$B185+GREET1_Import_Export!$G185))+D$70*((GREET1_Import_Export!$G$179*GREET1_Import_Export!$B185+GREET1_Import_Export!$G185))+D$71*GREET1_Import_Export!$B221+D$72*GREET1_Import_Export!$B289+D$73*(GREET1_Import_Export!$B314+GREET1_Import_Export!$C314)</f>
        <v>56.868972119403729</v>
      </c>
      <c r="E79" s="2226"/>
      <c r="F79" s="2187">
        <f>F$69*((GREET1_Import_Export!$G$179*GREET1_Import_Export!$B185+GREET1_Import_Export!$G185))+F$70*((GREET1_Import_Export!$G$179*GREET1_Import_Export!$B185+GREET1_Import_Export!$G185))+F$71*GREET1_Import_Export!$B221+F$72*GREET1_Import_Export!$B289+F$73*(GREET1_Import_Export!$B314+GREET1_Import_Export!$C314)</f>
        <v>107.59851825648497</v>
      </c>
      <c r="G79" s="2226"/>
      <c r="H79" s="2187">
        <f>H$69*((GREET1_Import_Export!$G$179*GREET1_Import_Export!$B185+GREET1_Import_Export!$G185))+H$70*((GREET1_Import_Export!$G$179*GREET1_Import_Export!$B185+GREET1_Import_Export!$G185))+H$71*GREET1_Import_Export!$B221+H$72*GREET1_Import_Export!$B289+H$73*(GREET1_Import_Export!$B314+GREET1_Import_Export!$C314)</f>
        <v>9.1905542923162731</v>
      </c>
      <c r="I79" s="2226"/>
      <c r="J79" s="2187">
        <f>J$69*((GREET1_Import_Export!$G$179*GREET1_Import_Export!$B185+GREET1_Import_Export!$G185))+J$70*((GREET1_Import_Export!$G$179*GREET1_Import_Export!$B185+GREET1_Import_Export!$G185))+J$71*GREET1_Import_Export!$B221+J$72*GREET1_Import_Export!$B289+J$73*(GREET1_Import_Export!$B314+GREET1_Import_Export!$C314)</f>
        <v>22.280501255130723</v>
      </c>
      <c r="K79" s="2226"/>
      <c r="L79" s="2187">
        <f>L$69*((GREET1_Import_Export!$G$179*GREET1_Import_Export!$B185+GREET1_Import_Export!$G185))+L$70*((GREET1_Import_Export!$G$179*GREET1_Import_Export!$B185+GREET1_Import_Export!$G185))+L$71*GREET1_Import_Export!$B221+L$72*GREET1_Import_Export!$B289+L$73*(GREET1_Import_Export!$B314+GREET1_Import_Export!$C314)</f>
        <v>29.671106549515553</v>
      </c>
      <c r="M79" s="2226"/>
      <c r="N79" s="2187">
        <f>N$69*((GREET1_Import_Export!$G$179*GREET1_Import_Export!$B185+GREET1_Import_Export!$G185))+N$70*((GREET1_Import_Export!$G$179*GREET1_Import_Export!$B185+GREET1_Import_Export!$G185))+N$71*GREET1_Import_Export!$B221+N$72*GREET1_Import_Export!$B289+N$73*(GREET1_Import_Export!$B314+GREET1_Import_Export!$C314)</f>
        <v>44.452317138285203</v>
      </c>
      <c r="O79" s="2226"/>
      <c r="P79" s="2187">
        <f>P$69*((GREET1_Import_Export!$G$179*GREET1_Import_Export!$B185+GREET1_Import_Export!$G185))+P$70*((GREET1_Import_Export!$G$179*GREET1_Import_Export!$B185+GREET1_Import_Export!$G185))+P$71*GREET1_Import_Export!$B221+P$72*GREET1_Import_Export!$B289+P$73*(GREET1_Import_Export!$B314+GREET1_Import_Export!$C314)</f>
        <v>930.4921186220846</v>
      </c>
      <c r="Q79" s="2226"/>
    </row>
    <row r="80" spans="1:17" s="2136" customFormat="1">
      <c r="A80" s="2155" t="s">
        <v>864</v>
      </c>
      <c r="B80" s="2172"/>
      <c r="C80" s="2186"/>
      <c r="D80" s="2172"/>
      <c r="E80" s="2186"/>
      <c r="F80" s="2172"/>
      <c r="G80" s="2186"/>
      <c r="H80" s="2172"/>
      <c r="I80" s="2186"/>
      <c r="J80" s="2172"/>
      <c r="K80" s="2186"/>
      <c r="L80" s="2172"/>
      <c r="M80" s="2186"/>
      <c r="N80" s="2172"/>
      <c r="O80" s="2186"/>
      <c r="P80" s="2172"/>
      <c r="Q80" s="2186"/>
    </row>
    <row r="81" spans="1:17" s="2136" customFormat="1">
      <c r="A81" s="2093" t="s">
        <v>821</v>
      </c>
      <c r="B81" s="2151">
        <f>B$69*($B$53*GREET1_Import_Export!$K72+GREET1_Import_Export!$G$179*GREET1_Import_Export!$B186+GREET1_Import_Export!$G186)+B$70*(GREET1_Import_Export!$O72+GREET1_Import_Export!$G$179*GREET1_Import_Export!$B186+GREET1_Import_Export!$G186)+B$71*($B$54*GREET1_Import_Export!$B72+GREET1_Import_Export!$B222)+B$72*($B$55*GREET1_Import_Export!$AA72+GREET1_Import_Export!$B290)+B$73*(GREET1_Import_Export!$B315+GREET1_Import_Export!$C315)</f>
        <v>3.976921279393351</v>
      </c>
      <c r="C81" s="2185"/>
      <c r="D81" s="2151">
        <f>D$69*($B$53*GREET1_Import_Export!$K72+GREET1_Import_Export!$G$179*GREET1_Import_Export!$B186+GREET1_Import_Export!$G186)+D$70*(GREET1_Import_Export!$O72+GREET1_Import_Export!$G$179*GREET1_Import_Export!$B186+GREET1_Import_Export!$G186)+D$71*($B$54*GREET1_Import_Export!$B72+GREET1_Import_Export!$B222)+D$72*($B$55*GREET1_Import_Export!$AA72+GREET1_Import_Export!$B290)+D$73*(GREET1_Import_Export!$B315+GREET1_Import_Export!$C315)</f>
        <v>35.86105318938754</v>
      </c>
      <c r="E81" s="843">
        <f>(1200+2000)/2</f>
        <v>1600</v>
      </c>
      <c r="F81" s="2151">
        <f>F$69*($B$53*GREET1_Import_Export!$K72+GREET1_Import_Export!$G$179*GREET1_Import_Export!$B186+GREET1_Import_Export!$G186)+F$70*(GREET1_Import_Export!D72+GREET1_Import_Export!$G$179*GREET1_Import_Export!$B186+GREET1_Import_Export!$G186)+F$71*($B$54*GREET1_Import_Export!$B72+GREET1_Import_Export!$B222)+F$72*($B$55*GREET1_Import_Export!$AA72+GREET1_Import_Export!$B290)+F$73*(GREET1_Import_Export!$B315+GREET1_Import_Export!$C315)</f>
        <v>13.718299883621665</v>
      </c>
      <c r="G81" s="2185"/>
      <c r="H81" s="2151">
        <f>H$69*($B$53*GREET1_Import_Export!$K72+GREET1_Import_Export!$G$179*GREET1_Import_Export!$B186+GREET1_Import_Export!$G186)+H$70*(GREET1_Import_Export!F72+GREET1_Import_Export!$G$179*GREET1_Import_Export!$B186+GREET1_Import_Export!$G186)+H$71*($B$54*GREET1_Import_Export!$B72+GREET1_Import_Export!$B222)+H$72*($B$55*GREET1_Import_Export!$AA72+GREET1_Import_Export!$B290)+H$73*(GREET1_Import_Export!$B315+GREET1_Import_Export!$C315)</f>
        <v>38.249707800889254</v>
      </c>
      <c r="I81" s="2185"/>
      <c r="J81" s="2151">
        <f>J$69*($B$53*GREET1_Import_Export!$K72+GREET1_Import_Export!$G$179*GREET1_Import_Export!$B186+GREET1_Import_Export!$G186)+J$70*(GREET1_Import_Export!H72+GREET1_Import_Export!$G$179*GREET1_Import_Export!$B186+GREET1_Import_Export!$G186)+J$71*($B$54*GREET1_Import_Export!$B72+GREET1_Import_Export!$B222)+J$72*($B$55*GREET1_Import_Export!$AA72+GREET1_Import_Export!$B290)+J$73*(GREET1_Import_Export!$B315+GREET1_Import_Export!$C315)</f>
        <v>2.8406580567095365</v>
      </c>
      <c r="K81" s="2185"/>
      <c r="L81" s="2151">
        <f>L$69*($B$53*GREET1_Import_Export!$K72+GREET1_Import_Export!$G$179*GREET1_Import_Export!$B186+GREET1_Import_Export!$G186)+L$70*(GREET1_Import_Export!K72+GREET1_Import_Export!$G$179*GREET1_Import_Export!$B186+GREET1_Import_Export!$G186)+L$71*($B$54*GREET1_Import_Export!$B72+GREET1_Import_Export!$B222)+L$72*($B$55*GREET1_Import_Export!$AA72+GREET1_Import_Export!$B290)+L$73*(GREET1_Import_Export!$B315+GREET1_Import_Export!$C315)</f>
        <v>3.7829251194229441</v>
      </c>
      <c r="M81" s="2185"/>
      <c r="N81" s="2151">
        <f>N$69*($B$53*GREET1_Import_Export!$K72+GREET1_Import_Export!$G$179*GREET1_Import_Export!$B186+GREET1_Import_Export!$G186)+N$70*(GREET1_Import_Export!M72+GREET1_Import_Export!$G$179*GREET1_Import_Export!$B186+GREET1_Import_Export!$G186)+N$71*($B$54*GREET1_Import_Export!$B72+GREET1_Import_Export!$B222)+N$72*($B$55*GREET1_Import_Export!$AA72+GREET1_Import_Export!$B290)+N$73*(GREET1_Import_Export!$B315+GREET1_Import_Export!$C315)</f>
        <v>5.6674592448497583</v>
      </c>
      <c r="O81" s="2185"/>
      <c r="P81" s="2151">
        <f>P$69*($B$53*GREET1_Import_Export!$K72+GREET1_Import_Export!$G$179*GREET1_Import_Export!$B186+GREET1_Import_Export!$G186)+P$70*(GREET1_Import_Export!Q72+GREET1_Import_Export!$G$179*GREET1_Import_Export!$B186+GREET1_Import_Export!$G186)+P$71*($B$54*GREET1_Import_Export!$B72+GREET1_Import_Export!$B222)+P$72*($B$55*GREET1_Import_Export!$AA72+GREET1_Import_Export!$B290)+P$73*(GREET1_Import_Export!$B315+GREET1_Import_Export!$C315)</f>
        <v>118.63332441229863</v>
      </c>
      <c r="Q81" s="2185"/>
    </row>
    <row r="82" spans="1:17" s="2136" customFormat="1">
      <c r="A82" s="2093" t="s">
        <v>822</v>
      </c>
      <c r="B82" s="2151">
        <f>B$69*($B$53*GREET1_Import_Export!$K73+GREET1_Import_Export!$G$179*GREET1_Import_Export!$B187+GREET1_Import_Export!$G187)+B$70*(GREET1_Import_Export!$O73+GREET1_Import_Export!$G$179*GREET1_Import_Export!$B187+GREET1_Import_Export!$G187)+B$71*($B$54*GREET1_Import_Export!$B73+GREET1_Import_Export!$B223)+B$72*($B$55*GREET1_Import_Export!$AA73+GREET1_Import_Export!$B291)+B$73*(GREET1_Import_Export!$B316+GREET1_Import_Export!$C316)</f>
        <v>10.749575709622755</v>
      </c>
      <c r="C82" s="2185"/>
      <c r="D82" s="2151">
        <f>D$69*($B$53*GREET1_Import_Export!$K73+GREET1_Import_Export!$G$179*GREET1_Import_Export!$B187+GREET1_Import_Export!$G187)+D$70*(GREET1_Import_Export!$O73+GREET1_Import_Export!$G$179*GREET1_Import_Export!$B187+GREET1_Import_Export!$G187)+D$71*($B$54*GREET1_Import_Export!$B73+GREET1_Import_Export!$B223)+D$72*($B$55*GREET1_Import_Export!$AA73+GREET1_Import_Export!$B291)+D$73*(GREET1_Import_Export!$B316+GREET1_Import_Export!$C316)</f>
        <v>140.15645973173673</v>
      </c>
      <c r="E82" s="843">
        <f>(21.3+23.6)/2</f>
        <v>22.450000000000003</v>
      </c>
      <c r="F82" s="2151">
        <f>F$69*($B$53*GREET1_Import_Export!$K73+GREET1_Import_Export!$G$179*GREET1_Import_Export!$B187+GREET1_Import_Export!$G187)+F$70*(GREET1_Import_Export!D73+GREET1_Import_Export!$G$179*GREET1_Import_Export!$B187+GREET1_Import_Export!$G187)+F$71*($B$54*GREET1_Import_Export!$B73+GREET1_Import_Export!$B223)+F$72*($B$55*GREET1_Import_Export!$AA73+GREET1_Import_Export!$B291)+F$73*(GREET1_Import_Export!$B316+GREET1_Import_Export!$C316)</f>
        <v>37.080417953054109</v>
      </c>
      <c r="G82" s="2185"/>
      <c r="H82" s="2151">
        <f>H$69*($B$53*GREET1_Import_Export!$K73+GREET1_Import_Export!$G$179*GREET1_Import_Export!$B187+GREET1_Import_Export!$G187)+H$70*(GREET1_Import_Export!F73+GREET1_Import_Export!$G$179*GREET1_Import_Export!$B187+GREET1_Import_Export!$G187)+H$71*($B$54*GREET1_Import_Export!$B73+GREET1_Import_Export!$B223)+H$72*($B$55*GREET1_Import_Export!$AA73+GREET1_Import_Export!$B291)+H$73*(GREET1_Import_Export!$B316+GREET1_Import_Export!$C316)</f>
        <v>159.40544539854855</v>
      </c>
      <c r="I82" s="2185"/>
      <c r="J82" s="2151">
        <f>J$69*($B$53*GREET1_Import_Export!$K73+GREET1_Import_Export!$G$179*GREET1_Import_Export!$B187+GREET1_Import_Export!$G187)+J$70*(GREET1_Import_Export!H73+GREET1_Import_Export!$G$179*GREET1_Import_Export!$B187+GREET1_Import_Export!$G187)+J$71*($B$54*GREET1_Import_Export!$B73+GREET1_Import_Export!$B223)+J$72*($B$55*GREET1_Import_Export!$AA73+GREET1_Import_Export!$B291)+J$73*(GREET1_Import_Export!$B316+GREET1_Import_Export!$C316)</f>
        <v>7.6782683640162546</v>
      </c>
      <c r="K82" s="2185"/>
      <c r="L82" s="2151">
        <f>L$69*($B$53*GREET1_Import_Export!$K73+GREET1_Import_Export!$G$179*GREET1_Import_Export!$B187+GREET1_Import_Export!$G187)+L$70*(GREET1_Import_Export!K73+GREET1_Import_Export!$G$179*GREET1_Import_Export!$B187+GREET1_Import_Export!$G187)+L$71*($B$54*GREET1_Import_Export!$B73+GREET1_Import_Export!$B223)+L$72*($B$55*GREET1_Import_Export!$AA73+GREET1_Import_Export!$B291)+L$73*(GREET1_Import_Export!$B316+GREET1_Import_Export!$C316)</f>
        <v>10.225206162811892</v>
      </c>
      <c r="M82" s="2185"/>
      <c r="N82" s="2151">
        <f>N$69*($B$53*GREET1_Import_Export!$K73+GREET1_Import_Export!$G$179*GREET1_Import_Export!$B187+GREET1_Import_Export!$G187)+N$70*(GREET1_Import_Export!M73+GREET1_Import_Export!$G$179*GREET1_Import_Export!$B187+GREET1_Import_Export!$G187)+N$71*($B$54*GREET1_Import_Export!$B73+GREET1_Import_Export!$B223)+N$72*($B$55*GREET1_Import_Export!$AA73+GREET1_Import_Export!$B291)+N$73*(GREET1_Import_Export!$B316+GREET1_Import_Export!$C316)</f>
        <v>15.319081760403161</v>
      </c>
      <c r="O82" s="2185"/>
      <c r="P82" s="2151">
        <f>P$69*($B$53*GREET1_Import_Export!$K73+GREET1_Import_Export!$G$179*GREET1_Import_Export!$B187+GREET1_Import_Export!$G187)+P$70*(GREET1_Import_Export!Q73+GREET1_Import_Export!$G$179*GREET1_Import_Export!$B187+GREET1_Import_Export!$G187)+P$71*($B$54*GREET1_Import_Export!$B73+GREET1_Import_Export!$B223)+P$72*($B$55*GREET1_Import_Export!$AA73+GREET1_Import_Export!$B291)+P$73*(GREET1_Import_Export!$B316+GREET1_Import_Export!$C316)</f>
        <v>320.66460783673665</v>
      </c>
      <c r="Q82" s="2185"/>
    </row>
    <row r="83" spans="1:17" s="2136" customFormat="1" ht="15.75">
      <c r="A83" s="2093" t="s">
        <v>2542</v>
      </c>
      <c r="B83" s="2151">
        <f>B$69*($B$53*GREET1_Import_Export!$K74+GREET1_Import_Export!$G$179*GREET1_Import_Export!$B188+GREET1_Import_Export!$G188)+B$70*(GREET1_Import_Export!$O74+GREET1_Import_Export!$G$179*GREET1_Import_Export!$B188+GREET1_Import_Export!$G188)+B$71*($B$54*GREET1_Import_Export!$B74+GREET1_Import_Export!$B224)+B$72*($B$55*GREET1_Import_Export!$AA74+GREET1_Import_Export!$B292)+B$73*(GREET1_Import_Export!$B317+GREET1_Import_Export!$C317)</f>
        <v>22.144794037446616</v>
      </c>
      <c r="C83" s="2185"/>
      <c r="D83" s="2151">
        <f>D$69*($B$53*GREET1_Import_Export!$K74+GREET1_Import_Export!$G$179*GREET1_Import_Export!$B188+GREET1_Import_Export!$G188)+D$70*(GREET1_Import_Export!$O74+GREET1_Import_Export!$G$179*GREET1_Import_Export!$B188+GREET1_Import_Export!$G188)+D$71*($B$54*GREET1_Import_Export!$B74+GREET1_Import_Export!$B224)+D$72*($B$55*GREET1_Import_Export!$AA74+GREET1_Import_Export!$B292)+D$73*(GREET1_Import_Export!$B317+GREET1_Import_Export!$C317)</f>
        <v>202.55268635197717</v>
      </c>
      <c r="E83" s="843">
        <f>(25.4+28.1)/2</f>
        <v>26.75</v>
      </c>
      <c r="F83" s="2151">
        <f>F$69*($B$53*GREET1_Import_Export!$K74+GREET1_Import_Export!$G$179*GREET1_Import_Export!$B188+GREET1_Import_Export!$G188)+F$70*(GREET1_Import_Export!D74+GREET1_Import_Export!$G$179*GREET1_Import_Export!$B188+GREET1_Import_Export!$G188)+F$71*($B$54*GREET1_Import_Export!$B74+GREET1_Import_Export!$B224)+F$72*($B$55*GREET1_Import_Export!$AA74+GREET1_Import_Export!$B292)+F$73*(GREET1_Import_Export!$B317+GREET1_Import_Export!$C317)</f>
        <v>76.387965495024915</v>
      </c>
      <c r="G83" s="2185"/>
      <c r="H83" s="2151">
        <f>H$69*($B$53*GREET1_Import_Export!$K74+GREET1_Import_Export!$G$179*GREET1_Import_Export!$B188+GREET1_Import_Export!$G188)+H$70*(GREET1_Import_Export!F74+GREET1_Import_Export!$G$179*GREET1_Import_Export!$B188+GREET1_Import_Export!$G188)+H$71*($B$54*GREET1_Import_Export!$B74+GREET1_Import_Export!$B224)+H$72*($B$55*GREET1_Import_Export!$AA74+GREET1_Import_Export!$B292)+H$73*(GREET1_Import_Export!$B317+GREET1_Import_Export!$C317)</f>
        <v>216.70189373798249</v>
      </c>
      <c r="I83" s="2185"/>
      <c r="J83" s="2151">
        <f>J$69*($B$53*GREET1_Import_Export!$K74+GREET1_Import_Export!$G$179*GREET1_Import_Export!$B188+GREET1_Import_Export!$G188)+J$70*(GREET1_Import_Export!H74+GREET1_Import_Export!$G$179*GREET1_Import_Export!$B188+GREET1_Import_Export!$G188)+J$71*($B$54*GREET1_Import_Export!$B74+GREET1_Import_Export!$B224)+J$72*($B$55*GREET1_Import_Export!$AA74+GREET1_Import_Export!$B292)+J$73*(GREET1_Import_Export!$B317+GREET1_Import_Export!$C317)</f>
        <v>15.817710026747584</v>
      </c>
      <c r="K83" s="2185"/>
      <c r="L83" s="2151">
        <f>L$69*($B$53*GREET1_Import_Export!$K74+GREET1_Import_Export!$G$179*GREET1_Import_Export!$B188+GREET1_Import_Export!$G188)+L$70*(GREET1_Import_Export!K74+GREET1_Import_Export!$G$179*GREET1_Import_Export!$B188+GREET1_Import_Export!$G188)+L$71*($B$54*GREET1_Import_Export!$B74+GREET1_Import_Export!$B224)+L$72*($B$55*GREET1_Import_Export!$AA74+GREET1_Import_Export!$B292)+L$73*(GREET1_Import_Export!$B317+GREET1_Import_Export!$C317)</f>
        <v>21.064560181961419</v>
      </c>
      <c r="M83" s="2185"/>
      <c r="N83" s="2151">
        <f>N$69*($B$53*GREET1_Import_Export!$K74+GREET1_Import_Export!$G$179*GREET1_Import_Export!$B188+GREET1_Import_Export!$G188)+N$70*(GREET1_Import_Export!M74+GREET1_Import_Export!$G$179*GREET1_Import_Export!$B188+GREET1_Import_Export!$G188)+N$71*($B$54*GREET1_Import_Export!$B74+GREET1_Import_Export!$B224)+N$72*($B$55*GREET1_Import_Export!$AA74+GREET1_Import_Export!$B292)+N$73*(GREET1_Import_Export!$B317+GREET1_Import_Export!$C317)</f>
        <v>31.558260492389081</v>
      </c>
      <c r="O83" s="2185"/>
      <c r="P83" s="2151">
        <f>P$69*($B$53*GREET1_Import_Export!$K74+GREET1_Import_Export!$G$179*GREET1_Import_Export!$B188+GREET1_Import_Export!$G188)+P$70*(GREET1_Import_Export!Q74+GREET1_Import_Export!$G$179*GREET1_Import_Export!$B188+GREET1_Import_Export!$G188)+P$71*($B$54*GREET1_Import_Export!$B74+GREET1_Import_Export!$B224)+P$72*($B$55*GREET1_Import_Export!$AA74+GREET1_Import_Export!$B292)+P$73*(GREET1_Import_Export!$B317+GREET1_Import_Export!$C317)</f>
        <v>660.58902113563749</v>
      </c>
      <c r="Q83" s="2185"/>
    </row>
    <row r="84" spans="1:17" s="2136" customFormat="1" ht="15.75">
      <c r="A84" s="2093" t="s">
        <v>2543</v>
      </c>
      <c r="B84" s="2151">
        <f>B$69*($B$53*GREET1_Import_Export!$K75+GREET1_Import_Export!$G$179*GREET1_Import_Export!$B189+GREET1_Import_Export!$G189)+B$70*(GREET1_Import_Export!$O75+GREET1_Import_Export!$G$179*GREET1_Import_Export!$B189+GREET1_Import_Export!$G189)+B$71*($B$54*GREET1_Import_Export!$B75+GREET1_Import_Export!$B225)+B$72*($B$55*GREET1_Import_Export!$AA75+GREET1_Import_Export!$B293)+B$73*(GREET1_Import_Export!$B318+GREET1_Import_Export!$C318)</f>
        <v>3.544856015042662</v>
      </c>
      <c r="C84" s="2185"/>
      <c r="D84" s="2151">
        <f>D$69*($B$53*GREET1_Import_Export!$K75+GREET1_Import_Export!$G$179*GREET1_Import_Export!$B189+GREET1_Import_Export!$G189)+D$70*(GREET1_Import_Export!$O75+GREET1_Import_Export!$G$179*GREET1_Import_Export!$B189+GREET1_Import_Export!$G189)+D$71*($B$54*GREET1_Import_Export!$B75+GREET1_Import_Export!$B225)+D$72*($B$55*GREET1_Import_Export!$AA75+GREET1_Import_Export!$B293)+D$73*(GREET1_Import_Export!$B318+GREET1_Import_Export!$C318)</f>
        <v>14.69303387586374</v>
      </c>
      <c r="E84" s="843">
        <v>60</v>
      </c>
      <c r="F84" s="2151">
        <f>F$69*($B$53*GREET1_Import_Export!$K75+GREET1_Import_Export!$G$179*GREET1_Import_Export!$B189+GREET1_Import_Export!$G189)+F$70*(GREET1_Import_Export!D75+GREET1_Import_Export!$G$179*GREET1_Import_Export!$B189+GREET1_Import_Export!$G189)+F$71*($B$54*GREET1_Import_Export!$B75+GREET1_Import_Export!$B225)+F$72*($B$55*GREET1_Import_Export!$AA75+GREET1_Import_Export!$B293)+F$73*(GREET1_Import_Export!$B318+GREET1_Import_Export!$C318)</f>
        <v>12.2279005396942</v>
      </c>
      <c r="G84" s="2185"/>
      <c r="H84" s="2151">
        <f>H$69*($B$53*GREET1_Import_Export!$K75+GREET1_Import_Export!$G$179*GREET1_Import_Export!$B189+GREET1_Import_Export!$G189)+H$70*(GREET1_Import_Export!F75+GREET1_Import_Export!$G$179*GREET1_Import_Export!$B189+GREET1_Import_Export!$G189)+H$71*($B$54*GREET1_Import_Export!$B75+GREET1_Import_Export!$B225)+H$72*($B$55*GREET1_Import_Export!$AA75+GREET1_Import_Export!$B293)+H$73*(GREET1_Import_Export!$B318+GREET1_Import_Export!$C318)</f>
        <v>11.71045590175779</v>
      </c>
      <c r="I84" s="2185"/>
      <c r="J84" s="2151">
        <f>J$69*($B$53*GREET1_Import_Export!$K75+GREET1_Import_Export!$G$179*GREET1_Import_Export!$B189+GREET1_Import_Export!$G189)+J$70*(GREET1_Import_Export!H75+GREET1_Import_Export!$G$179*GREET1_Import_Export!$B189+GREET1_Import_Export!$G189)+J$71*($B$54*GREET1_Import_Export!$B75+GREET1_Import_Export!$B225)+J$72*($B$55*GREET1_Import_Export!$AA75+GREET1_Import_Export!$B293)+J$73*(GREET1_Import_Export!$B318+GREET1_Import_Export!$C318)</f>
        <v>2.5320400107447587</v>
      </c>
      <c r="K84" s="2185"/>
      <c r="L84" s="2151">
        <f>L$69*($B$53*GREET1_Import_Export!$K75+GREET1_Import_Export!$G$179*GREET1_Import_Export!$B189+GREET1_Import_Export!$G189)+L$70*(GREET1_Import_Export!K75+GREET1_Import_Export!$G$179*GREET1_Import_Export!$B189+GREET1_Import_Export!$G189)+L$71*($B$54*GREET1_Import_Export!$B75+GREET1_Import_Export!$B225)+L$72*($B$55*GREET1_Import_Export!$AA75+GREET1_Import_Export!$B293)+L$73*(GREET1_Import_Export!$B318+GREET1_Import_Export!$C318)</f>
        <v>3.3719362094308254</v>
      </c>
      <c r="M84" s="2185"/>
      <c r="N84" s="2151">
        <f>N$69*($B$53*GREET1_Import_Export!$K75+GREET1_Import_Export!$G$179*GREET1_Import_Export!$B189+GREET1_Import_Export!$G189)+N$70*(GREET1_Import_Export!M75+GREET1_Import_Export!$G$179*GREET1_Import_Export!$B189+GREET1_Import_Export!$G189)+N$71*($B$54*GREET1_Import_Export!$B75+GREET1_Import_Export!$B225)+N$72*($B$55*GREET1_Import_Export!$AA75+GREET1_Import_Export!$B293)+N$73*(GREET1_Import_Export!$B318+GREET1_Import_Export!$C318)</f>
        <v>5.0517286068029579</v>
      </c>
      <c r="O84" s="2185"/>
      <c r="P84" s="2151">
        <f>P$69*($B$53*GREET1_Import_Export!$K75+GREET1_Import_Export!$G$179*GREET1_Import_Export!$B189+GREET1_Import_Export!$G189)+P$70*(GREET1_Import_Export!Q75+GREET1_Import_Export!$G$179*GREET1_Import_Export!$B189+GREET1_Import_Export!$G189)+P$71*($B$54*GREET1_Import_Export!$B75+GREET1_Import_Export!$B225)+P$72*($B$55*GREET1_Import_Export!$AA75+GREET1_Import_Export!$B293)+P$73*(GREET1_Import_Export!$B318+GREET1_Import_Export!$C318)</f>
        <v>105.74462607708297</v>
      </c>
      <c r="Q84" s="2185"/>
    </row>
    <row r="85" spans="1:17" s="2136" customFormat="1" ht="15.75">
      <c r="A85" s="2093" t="s">
        <v>2544</v>
      </c>
      <c r="B85" s="2151">
        <f>B$69*($B$53*GREET1_Import_Export!$K76+GREET1_Import_Export!$G$179*GREET1_Import_Export!$B190+GREET1_Import_Export!$G190)+B$70*(GREET1_Import_Export!$O76+GREET1_Import_Export!$G$179*GREET1_Import_Export!$B190+GREET1_Import_Export!$G190)+B$71*($B$54*GREET1_Import_Export!$B76+GREET1_Import_Export!$B226)+B$72*($B$55*GREET1_Import_Export!$AA76+GREET1_Import_Export!$B294)+B$73*(GREET1_Import_Export!$B319+GREET1_Import_Export!$C319)</f>
        <v>2.1278690312376258</v>
      </c>
      <c r="C85" s="2185"/>
      <c r="D85" s="2151">
        <f>D$69*($B$53*GREET1_Import_Export!$K76+GREET1_Import_Export!$G$179*GREET1_Import_Export!$B190+GREET1_Import_Export!$G190)+D$70*(GREET1_Import_Export!$O76+GREET1_Import_Export!$G$179*GREET1_Import_Export!$B190+GREET1_Import_Export!$G190)+D$71*($B$54*GREET1_Import_Export!$B76+GREET1_Import_Export!$B226)+D$72*($B$55*GREET1_Import_Export!$AA76+GREET1_Import_Export!$B294)+D$73*(GREET1_Import_Export!$B319+GREET1_Import_Export!$C319)</f>
        <v>12.336663351795483</v>
      </c>
      <c r="E85" s="2185">
        <f>E84/2</f>
        <v>30</v>
      </c>
      <c r="F85" s="2151">
        <f>F$69*($B$53*GREET1_Import_Export!$K76+GREET1_Import_Export!$G$179*GREET1_Import_Export!$B190+GREET1_Import_Export!$G190)+F$70*(GREET1_Import_Export!D76+GREET1_Import_Export!$G$179*GREET1_Import_Export!$B190+GREET1_Import_Export!$G190)+F$71*($B$54*GREET1_Import_Export!$B76+GREET1_Import_Export!$B226)+F$72*($B$55*GREET1_Import_Export!$AA76+GREET1_Import_Export!$B294)+F$73*(GREET1_Import_Export!$B319+GREET1_Import_Export!$C319)</f>
        <v>7.3400360310984301</v>
      </c>
      <c r="G85" s="2185"/>
      <c r="H85" s="2151">
        <f>H$69*($B$53*GREET1_Import_Export!$K76+GREET1_Import_Export!$G$179*GREET1_Import_Export!$B190+GREET1_Import_Export!$G190)+H$70*(GREET1_Import_Export!F76+GREET1_Import_Export!$G$179*GREET1_Import_Export!$B190+GREET1_Import_Export!$G190)+H$71*($B$54*GREET1_Import_Export!$B76+GREET1_Import_Export!$B226)+H$72*($B$55*GREET1_Import_Export!$AA76+GREET1_Import_Export!$B294)+H$73*(GREET1_Import_Export!$B319+GREET1_Import_Export!$C319)</f>
        <v>11.587151420532994</v>
      </c>
      <c r="I85" s="2185"/>
      <c r="J85" s="2151">
        <f>J$69*($B$53*GREET1_Import_Export!$K76+GREET1_Import_Export!$G$179*GREET1_Import_Export!$B190+GREET1_Import_Export!$G190)+J$70*(GREET1_Import_Export!H76+GREET1_Import_Export!$G$179*GREET1_Import_Export!$B190+GREET1_Import_Export!$G190)+J$71*($B$54*GREET1_Import_Export!$B76+GREET1_Import_Export!$B226)+J$72*($B$55*GREET1_Import_Export!$AA76+GREET1_Import_Export!$B294)+J$73*(GREET1_Import_Export!$B319+GREET1_Import_Export!$C319)</f>
        <v>1.5199064508840183</v>
      </c>
      <c r="K85" s="2185"/>
      <c r="L85" s="2151">
        <f>L$69*($B$53*GREET1_Import_Export!$K76+GREET1_Import_Export!$G$179*GREET1_Import_Export!$B190+GREET1_Import_Export!$G190)+L$70*(GREET1_Import_Export!K76+GREET1_Import_Export!$G$179*GREET1_Import_Export!$B190+GREET1_Import_Export!$G190)+L$71*($B$54*GREET1_Import_Export!$B76+GREET1_Import_Export!$B226)+L$72*($B$55*GREET1_Import_Export!$AA76+GREET1_Import_Export!$B294)+L$73*(GREET1_Import_Export!$B319+GREET1_Import_Export!$C319)</f>
        <v>2.0240705419089613</v>
      </c>
      <c r="M85" s="2185"/>
      <c r="N85" s="2151">
        <f>N$69*($B$53*GREET1_Import_Export!$K76+GREET1_Import_Export!$G$179*GREET1_Import_Export!$B190+GREET1_Import_Export!$G190)+N$70*(GREET1_Import_Export!M76+GREET1_Import_Export!$G$179*GREET1_Import_Export!$B190+GREET1_Import_Export!$G190)+N$71*($B$54*GREET1_Import_Export!$B76+GREET1_Import_Export!$B226)+N$72*($B$55*GREET1_Import_Export!$AA76+GREET1_Import_Export!$B294)+N$73*(GREET1_Import_Export!$B319+GREET1_Import_Export!$C319)</f>
        <v>3.0323987239588464</v>
      </c>
      <c r="O85" s="2185"/>
      <c r="P85" s="2151">
        <f>P$69*($B$53*GREET1_Import_Export!$K76+GREET1_Import_Export!$G$179*GREET1_Import_Export!$B190+GREET1_Import_Export!$G190)+P$70*(GREET1_Import_Export!Q76+GREET1_Import_Export!$G$179*GREET1_Import_Export!$B190+GREET1_Import_Export!$G190)+P$71*($B$54*GREET1_Import_Export!$B76+GREET1_Import_Export!$B226)+P$72*($B$55*GREET1_Import_Export!$AA76+GREET1_Import_Export!$B294)+P$73*(GREET1_Import_Export!$B319+GREET1_Import_Export!$C319)</f>
        <v>63.475276314296089</v>
      </c>
      <c r="Q85" s="2185"/>
    </row>
    <row r="86" spans="1:17" s="2136" customFormat="1" ht="15.75">
      <c r="A86" s="2093" t="s">
        <v>2545</v>
      </c>
      <c r="B86" s="2151">
        <f>B$69*($B$53*GREET1_Import_Export!$K77+GREET1_Import_Export!$G$179*GREET1_Import_Export!$B191+GREET1_Import_Export!$G191)+B$70*(GREET1_Import_Export!$O77+GREET1_Import_Export!$G$179*GREET1_Import_Export!$B191+GREET1_Import_Export!$G191)+B$71*($B$54*GREET1_Import_Export!$B77+GREET1_Import_Export!$B227)+B$72*($B$55*GREET1_Import_Export!$AA77+GREET1_Import_Export!$B295)+B$73*(GREET1_Import_Export!$B320+GREET1_Import_Export!$C320)</f>
        <v>18.593608870892343</v>
      </c>
      <c r="C86" s="2185"/>
      <c r="D86" s="2151">
        <f>D$69*($B$53*GREET1_Import_Export!$K77+GREET1_Import_Export!$G$179*GREET1_Import_Export!$B191+GREET1_Import_Export!$G191)+D$70*(GREET1_Import_Export!$O77+GREET1_Import_Export!$G$179*GREET1_Import_Export!$B191+GREET1_Import_Export!$G191)+D$71*($B$54*GREET1_Import_Export!$B77+GREET1_Import_Export!$B227)+D$72*($B$55*GREET1_Import_Export!$AA77+GREET1_Import_Export!$B295)+D$73*(GREET1_Import_Export!$B320+GREET1_Import_Export!$C320)</f>
        <v>55.831666129399352</v>
      </c>
      <c r="E86" s="2185"/>
      <c r="F86" s="2151">
        <f>F$69*($B$53*GREET1_Import_Export!$K77+GREET1_Import_Export!$G$179*GREET1_Import_Export!$B191+GREET1_Import_Export!$G191)+F$70*(GREET1_Import_Export!D77+GREET1_Import_Export!$G$179*GREET1_Import_Export!$B191+GREET1_Import_Export!$G191)+F$71*($B$54*GREET1_Import_Export!$B77+GREET1_Import_Export!$B227)+F$72*($B$55*GREET1_Import_Export!$AA77+GREET1_Import_Export!$B295)+F$73*(GREET1_Import_Export!$B320+GREET1_Import_Export!$C320)</f>
        <v>64.138232690534565</v>
      </c>
      <c r="G86" s="2185"/>
      <c r="H86" s="2151">
        <f>H$69*($B$53*GREET1_Import_Export!$K77+GREET1_Import_Export!$G$179*GREET1_Import_Export!$B191+GREET1_Import_Export!$G191)+H$70*(GREET1_Import_Export!F77+GREET1_Import_Export!$G$179*GREET1_Import_Export!$B191+GREET1_Import_Export!$G191)+H$71*($B$54*GREET1_Import_Export!$B77+GREET1_Import_Export!$B227)+H$72*($B$55*GREET1_Import_Export!$AA77+GREET1_Import_Export!$B295)+H$73*(GREET1_Import_Export!$B320+GREET1_Import_Export!$C320)</f>
        <v>33.902211234255212</v>
      </c>
      <c r="I86" s="2185"/>
      <c r="J86" s="2151">
        <f>J$69*($B$53*GREET1_Import_Export!$K77+GREET1_Import_Export!$G$179*GREET1_Import_Export!$B191+GREET1_Import_Export!$G191)+J$70*(GREET1_Import_Export!H77+GREET1_Import_Export!$G$179*GREET1_Import_Export!$B191+GREET1_Import_Export!$G191)+J$71*($B$54*GREET1_Import_Export!$B77+GREET1_Import_Export!$B227)+J$72*($B$55*GREET1_Import_Export!$AA77+GREET1_Import_Export!$B295)+J$73*(GREET1_Import_Export!$B320+GREET1_Import_Export!$C320)</f>
        <v>13.281149193494532</v>
      </c>
      <c r="K86" s="2185"/>
      <c r="L86" s="2151">
        <f>L$69*($B$53*GREET1_Import_Export!$K77+GREET1_Import_Export!$G$179*GREET1_Import_Export!$B191+GREET1_Import_Export!$G191)+L$70*(GREET1_Import_Export!K77+GREET1_Import_Export!$G$179*GREET1_Import_Export!$B191+GREET1_Import_Export!$G191)+L$71*($B$54*GREET1_Import_Export!$B77+GREET1_Import_Export!$B227)+L$72*($B$55*GREET1_Import_Export!$AA77+GREET1_Import_Export!$B295)+L$73*(GREET1_Import_Export!$B320+GREET1_Import_Export!$C320)</f>
        <v>17.68660356011711</v>
      </c>
      <c r="M86" s="2185"/>
      <c r="N86" s="2151">
        <f>N$69*($B$53*GREET1_Import_Export!$K77+GREET1_Import_Export!$G$179*GREET1_Import_Export!$B191+GREET1_Import_Export!$G191)+N$70*(GREET1_Import_Export!M77+GREET1_Import_Export!$G$179*GREET1_Import_Export!$B191+GREET1_Import_Export!$G191)+N$71*($B$54*GREET1_Import_Export!$B77+GREET1_Import_Export!$B227)+N$72*($B$55*GREET1_Import_Export!$AA77+GREET1_Import_Export!$B295)+N$73*(GREET1_Import_Export!$B320+GREET1_Import_Export!$C320)</f>
        <v>26.497512293362259</v>
      </c>
      <c r="O86" s="2185"/>
      <c r="P86" s="2151">
        <f>P$69*($B$53*GREET1_Import_Export!$K77+GREET1_Import_Export!$G$179*GREET1_Import_Export!$B191+GREET1_Import_Export!$G191)+P$70*(GREET1_Import_Export!Q77+GREET1_Import_Export!$G$179*GREET1_Import_Export!$B191+GREET1_Import_Export!$G191)+P$71*($B$54*GREET1_Import_Export!$B77+GREET1_Import_Export!$B227)+P$72*($B$55*GREET1_Import_Export!$AA77+GREET1_Import_Export!$B295)+P$73*(GREET1_Import_Export!$B320+GREET1_Import_Export!$C320)</f>
        <v>554.65559366376158</v>
      </c>
      <c r="Q86" s="2185"/>
    </row>
    <row r="87" spans="1:17" s="2136" customFormat="1">
      <c r="A87" s="2093" t="s">
        <v>827</v>
      </c>
      <c r="B87" s="2151">
        <f>B$69*($B$53*GREET1_Import_Export!$K78+GREET1_Import_Export!$G$179*GREET1_Import_Export!$B192+GREET1_Import_Export!$G192)+B$70*(GREET1_Import_Export!$O78+GREET1_Import_Export!$G$179*GREET1_Import_Export!$B192+GREET1_Import_Export!$G192)+B$71*($B$54*GREET1_Import_Export!$B78+GREET1_Import_Export!$B228)+B$72*($B$55*GREET1_Import_Export!$AA78+GREET1_Import_Export!$B296)+B$73*(GREET1_Import_Export!$B321+GREET1_Import_Export!$C321)</f>
        <v>0.12983107122569518</v>
      </c>
      <c r="C87" s="2185"/>
      <c r="D87" s="2151">
        <f>D$69*($B$53*GREET1_Import_Export!$K78+GREET1_Import_Export!$G$179*GREET1_Import_Export!$B192+GREET1_Import_Export!$G192)+D$70*(GREET1_Import_Export!$O78+GREET1_Import_Export!$G$179*GREET1_Import_Export!$B192+GREET1_Import_Export!$G192)+D$71*($B$54*GREET1_Import_Export!$B78+GREET1_Import_Export!$B228)+D$72*($B$55*GREET1_Import_Export!$AA78+GREET1_Import_Export!$B296)+D$73*(GREET1_Import_Export!$B321+GREET1_Import_Export!$C321)</f>
        <v>1.7669994841127479</v>
      </c>
      <c r="E87" s="2185"/>
      <c r="F87" s="2151">
        <f>F$69*($B$53*GREET1_Import_Export!$K78+GREET1_Import_Export!$G$179*GREET1_Import_Export!$B192+GREET1_Import_Export!$G192)+F$70*(GREET1_Import_Export!D78+GREET1_Import_Export!$G$179*GREET1_Import_Export!$B192+GREET1_Import_Export!$G192)+F$71*($B$54*GREET1_Import_Export!$B78+GREET1_Import_Export!$B228)+F$72*($B$55*GREET1_Import_Export!$AA78+GREET1_Import_Export!$B296)+F$73*(GREET1_Import_Export!$B321+GREET1_Import_Export!$C321)</f>
        <v>0.44784933976807745</v>
      </c>
      <c r="G87" s="2185"/>
      <c r="H87" s="2151">
        <f>H$69*($B$53*GREET1_Import_Export!$K78+GREET1_Import_Export!$G$179*GREET1_Import_Export!$B192+GREET1_Import_Export!$G192)+H$70*(GREET1_Import_Export!F78+GREET1_Import_Export!$G$179*GREET1_Import_Export!$B192+GREET1_Import_Export!$G192)+H$71*($B$54*GREET1_Import_Export!$B78+GREET1_Import_Export!$B228)+H$72*($B$55*GREET1_Import_Export!$AA78+GREET1_Import_Export!$B296)+H$73*(GREET1_Import_Export!$B321+GREET1_Import_Export!$C321)</f>
        <v>2.0214503222705784</v>
      </c>
      <c r="I87" s="2185"/>
      <c r="J87" s="2151">
        <f>J$69*($B$53*GREET1_Import_Export!$K78+GREET1_Import_Export!$G$179*GREET1_Import_Export!$B192+GREET1_Import_Export!$G192)+J$70*(GREET1_Import_Export!H78+GREET1_Import_Export!$G$179*GREET1_Import_Export!$B192+GREET1_Import_Export!$G192)+J$71*($B$54*GREET1_Import_Export!$B78+GREET1_Import_Export!$B228)+J$72*($B$55*GREET1_Import_Export!$AA78+GREET1_Import_Export!$B296)+J$73*(GREET1_Import_Export!$B321+GREET1_Import_Export!$C321)</f>
        <v>9.2736479446925119E-2</v>
      </c>
      <c r="K87" s="2185"/>
      <c r="L87" s="2151">
        <f>L$69*($B$53*GREET1_Import_Export!$K78+GREET1_Import_Export!$G$179*GREET1_Import_Export!$B192+GREET1_Import_Export!$G192)+L$70*(GREET1_Import_Export!K78+GREET1_Import_Export!$G$179*GREET1_Import_Export!$B192+GREET1_Import_Export!$G192)+L$71*($B$54*GREET1_Import_Export!$B78+GREET1_Import_Export!$B228)+L$72*($B$55*GREET1_Import_Export!$AA78+GREET1_Import_Export!$B296)+L$73*(GREET1_Import_Export!$B321+GREET1_Import_Export!$C321)</f>
        <v>0.12349784823907591</v>
      </c>
      <c r="M87" s="2185"/>
      <c r="N87" s="2151">
        <f>N$69*($B$53*GREET1_Import_Export!$K78+GREET1_Import_Export!$G$179*GREET1_Import_Export!$B192+GREET1_Import_Export!$G192)+N$70*(GREET1_Import_Export!M78+GREET1_Import_Export!$G$179*GREET1_Import_Export!$B192+GREET1_Import_Export!$G192)+N$71*($B$54*GREET1_Import_Export!$B78+GREET1_Import_Export!$B228)+N$72*($B$55*GREET1_Import_Export!$AA78+GREET1_Import_Export!$B296)+N$73*(GREET1_Import_Export!$B321+GREET1_Import_Export!$C321)</f>
        <v>0.18502058582337744</v>
      </c>
      <c r="O87" s="2185"/>
      <c r="P87" s="2151">
        <f>P$69*($B$53*GREET1_Import_Export!$K78+GREET1_Import_Export!$G$179*GREET1_Import_Export!$B192+GREET1_Import_Export!$G192)+P$70*(GREET1_Import_Export!Q78+GREET1_Import_Export!$G$179*GREET1_Import_Export!$B192+GREET1_Import_Export!$G192)+P$71*($B$54*GREET1_Import_Export!$B78+GREET1_Import_Export!$B228)+P$72*($B$55*GREET1_Import_Export!$AA78+GREET1_Import_Export!$B296)+P$73*(GREET1_Import_Export!$B321+GREET1_Import_Export!$C321)</f>
        <v>3.8729183982901589</v>
      </c>
      <c r="Q87" s="2185"/>
    </row>
    <row r="88" spans="1:17" s="2136" customFormat="1">
      <c r="A88" s="2093" t="s">
        <v>828</v>
      </c>
      <c r="B88" s="2151">
        <f>B$69*($B$53*GREET1_Import_Export!$K79+GREET1_Import_Export!$G$179*GREET1_Import_Export!$B193+GREET1_Import_Export!$G193)+B$70*(GREET1_Import_Export!$O79+GREET1_Import_Export!$G$179*GREET1_Import_Export!$B193+GREET1_Import_Export!$G193)+B$71*($B$54*GREET1_Import_Export!$B79+GREET1_Import_Export!$B229)+B$72*($B$55*GREET1_Import_Export!$AA79+GREET1_Import_Export!$B297)+B$73*(GREET1_Import_Export!$B322+GREET1_Import_Export!$C322)</f>
        <v>0.61796444484001511</v>
      </c>
      <c r="C88" s="2185"/>
      <c r="D88" s="2151">
        <f>D$69*($B$53*GREET1_Import_Export!$K79+GREET1_Import_Export!$G$179*GREET1_Import_Export!$B193+GREET1_Import_Export!$G193)+D$70*(GREET1_Import_Export!$O79+GREET1_Import_Export!$G$179*GREET1_Import_Export!$B193+GREET1_Import_Export!$G193)+D$71*($B$54*GREET1_Import_Export!$B79+GREET1_Import_Export!$B229)+D$72*($B$55*GREET1_Import_Export!$AA79+GREET1_Import_Export!$B297)+D$73*(GREET1_Import_Export!$B322+GREET1_Import_Export!$C322)</f>
        <v>4.769634615241646</v>
      </c>
      <c r="E88" s="2185"/>
      <c r="F88" s="2151">
        <f>F$69*($B$53*GREET1_Import_Export!$K79+GREET1_Import_Export!$G$179*GREET1_Import_Export!$B193+GREET1_Import_Export!$G193)+F$70*(GREET1_Import_Export!D79+GREET1_Import_Export!$G$179*GREET1_Import_Export!$B193+GREET1_Import_Export!$G193)+F$71*($B$54*GREET1_Import_Export!$B79+GREET1_Import_Export!$B229)+F$72*($B$55*GREET1_Import_Export!$AA79+GREET1_Import_Export!$B297)+F$73*(GREET1_Import_Export!$B322+GREET1_Import_Export!$C322)</f>
        <v>2.1316543567652091</v>
      </c>
      <c r="G88" s="2185"/>
      <c r="H88" s="2151">
        <f>H$69*($B$53*GREET1_Import_Export!$K79+GREET1_Import_Export!$G$179*GREET1_Import_Export!$B193+GREET1_Import_Export!$G193)+H$70*(GREET1_Import_Export!F79+GREET1_Import_Export!$G$179*GREET1_Import_Export!$B193+GREET1_Import_Export!$G193)+H$71*($B$54*GREET1_Import_Export!$B79+GREET1_Import_Export!$B229)+H$72*($B$55*GREET1_Import_Export!$AA79+GREET1_Import_Export!$B297)+H$73*(GREET1_Import_Export!$B322+GREET1_Import_Export!$C322)</f>
        <v>4.9032301305618704</v>
      </c>
      <c r="I88" s="2185"/>
      <c r="J88" s="2151">
        <f>J$69*($B$53*GREET1_Import_Export!$K79+GREET1_Import_Export!$G$179*GREET1_Import_Export!$B193+GREET1_Import_Export!$G193)+J$70*(GREET1_Import_Export!H79+GREET1_Import_Export!$G$179*GREET1_Import_Export!$B193+GREET1_Import_Export!$G193)+J$71*($B$54*GREET1_Import_Export!$B79+GREET1_Import_Export!$B229)+J$72*($B$55*GREET1_Import_Export!$AA79+GREET1_Import_Export!$B297)+J$73*(GREET1_Import_Export!$B322+GREET1_Import_Export!$C322)</f>
        <v>0.44140317488572511</v>
      </c>
      <c r="K88" s="2185"/>
      <c r="L88" s="2151">
        <f>L$69*($B$53*GREET1_Import_Export!$K79+GREET1_Import_Export!$G$179*GREET1_Import_Export!$B193+GREET1_Import_Export!$G193)+L$70*(GREET1_Import_Export!K79+GREET1_Import_Export!$G$179*GREET1_Import_Export!$B193+GREET1_Import_Export!$G193)+L$71*($B$54*GREET1_Import_Export!$B79+GREET1_Import_Export!$B229)+L$72*($B$55*GREET1_Import_Export!$AA79+GREET1_Import_Export!$B297)+L$73*(GREET1_Import_Export!$B322+GREET1_Import_Export!$C322)</f>
        <v>0.58781983777464863</v>
      </c>
      <c r="M88" s="2185"/>
      <c r="N88" s="2151">
        <f>N$69*($B$53*GREET1_Import_Export!$K79+GREET1_Import_Export!$G$179*GREET1_Import_Export!$B193+GREET1_Import_Export!$G193)+N$70*(GREET1_Import_Export!M79+GREET1_Import_Export!$G$179*GREET1_Import_Export!$B193+GREET1_Import_Export!$G193)+N$71*($B$54*GREET1_Import_Export!$B79+GREET1_Import_Export!$B229)+N$72*($B$55*GREET1_Import_Export!$AA79+GREET1_Import_Export!$B297)+N$73*(GREET1_Import_Export!$B322+GREET1_Import_Export!$C322)</f>
        <v>0.88065316355249545</v>
      </c>
      <c r="O88" s="2185"/>
      <c r="P88" s="2151">
        <f>P$69*($B$53*GREET1_Import_Export!$K79+GREET1_Import_Export!$G$179*GREET1_Import_Export!$B193+GREET1_Import_Export!$G193)+P$70*(GREET1_Import_Export!Q79+GREET1_Import_Export!$G$179*GREET1_Import_Export!$B193+GREET1_Import_Export!$G193)+P$71*($B$54*GREET1_Import_Export!$B79+GREET1_Import_Export!$B229)+P$72*($B$55*GREET1_Import_Export!$AA79+GREET1_Import_Export!$B297)+P$73*(GREET1_Import_Export!$B322+GREET1_Import_Export!$C322)</f>
        <v>18.434153283304266</v>
      </c>
      <c r="Q88" s="2185"/>
    </row>
    <row r="89" spans="1:17" s="2136" customFormat="1" ht="15.75">
      <c r="A89" s="2093" t="s">
        <v>2546</v>
      </c>
      <c r="B89" s="2151">
        <f>B$69*($B$53*GREET1_Import_Export!$K80+GREET1_Import_Export!$G$179*GREET1_Import_Export!$B194+GREET1_Import_Export!$G194)+B$70*(GREET1_Import_Export!$O80+GREET1_Import_Export!$G$179*GREET1_Import_Export!$B194+GREET1_Import_Export!$G194)+B$71*($B$54*GREET1_Import_Export!$B80+GREET1_Import_Export!$B230)+B$72*($B$55*GREET1_Import_Export!$AA80+GREET1_Import_Export!$B298)+B$73*(GREET1_Import_Export!$B323+GREET1_Import_Export!$C323)</f>
        <v>76.887353151280678</v>
      </c>
      <c r="C89" s="2185"/>
      <c r="D89" s="2151">
        <f>D$69*($B$53*GREET1_Import_Export!$K80+GREET1_Import_Export!$G$179*GREET1_Import_Export!$B194+GREET1_Import_Export!$G194)+D$70*(GREET1_Import_Export!$O80+GREET1_Import_Export!$G$179*GREET1_Import_Export!$B194+GREET1_Import_Export!$G194)+D$71*($B$54*GREET1_Import_Export!$B80+GREET1_Import_Export!$B230)+D$72*($B$55*GREET1_Import_Export!$AA80+GREET1_Import_Export!$B298)+D$73*(GREET1_Import_Export!$B323+GREET1_Import_Export!$C323)</f>
        <v>622.99050042592114</v>
      </c>
      <c r="E89" s="2185"/>
      <c r="F89" s="2151">
        <f>F$69*($B$53*GREET1_Import_Export!$K80+GREET1_Import_Export!$G$179*GREET1_Import_Export!$B194+GREET1_Import_Export!$G194)+F$70*(GREET1_Import_Export!D80+GREET1_Import_Export!$G$179*GREET1_Import_Export!$B194+GREET1_Import_Export!$G194)+F$71*($B$54*GREET1_Import_Export!$B80+GREET1_Import_Export!$B230)+F$72*($B$55*GREET1_Import_Export!$AA80+GREET1_Import_Export!$B298)+F$73*(GREET1_Import_Export!$B323+GREET1_Import_Export!$C323)</f>
        <v>265.22118334413892</v>
      </c>
      <c r="G89" s="2185"/>
      <c r="H89" s="2151">
        <f>H$69*($B$53*GREET1_Import_Export!$K80+GREET1_Import_Export!$G$179*GREET1_Import_Export!$B194+GREET1_Import_Export!$G194)+H$70*(GREET1_Import_Export!F80+GREET1_Import_Export!$G$179*GREET1_Import_Export!$B194+GREET1_Import_Export!$G194)+H$71*($B$54*GREET1_Import_Export!$B80+GREET1_Import_Export!$B230)+H$72*($B$55*GREET1_Import_Export!$AA80+GREET1_Import_Export!$B298)+H$73*(GREET1_Import_Export!$B323+GREET1_Import_Export!$C323)</f>
        <v>648.35823122909107</v>
      </c>
      <c r="I89" s="2185"/>
      <c r="J89" s="2151">
        <f>J$69*($B$53*GREET1_Import_Export!$K80+GREET1_Import_Export!$G$179*GREET1_Import_Export!$B194+GREET1_Import_Export!$G194)+J$70*(GREET1_Import_Export!H80+GREET1_Import_Export!$G$179*GREET1_Import_Export!$B194+GREET1_Import_Export!$G194)+J$71*($B$54*GREET1_Import_Export!$B80+GREET1_Import_Export!$B230)+J$72*($B$55*GREET1_Import_Export!$AA80+GREET1_Import_Export!$B298)+J$73*(GREET1_Import_Export!$B323+GREET1_Import_Export!$C323)</f>
        <v>54.919537965200483</v>
      </c>
      <c r="K89" s="2185"/>
      <c r="L89" s="2151">
        <f>L$69*($B$53*GREET1_Import_Export!$K80+GREET1_Import_Export!$G$179*GREET1_Import_Export!$B194+GREET1_Import_Export!$G194)+L$70*(GREET1_Import_Export!K80+GREET1_Import_Export!$G$179*GREET1_Import_Export!$B194+GREET1_Import_Export!$G194)+L$71*($B$54*GREET1_Import_Export!$B80+GREET1_Import_Export!$B230)+L$72*($B$55*GREET1_Import_Export!$AA80+GREET1_Import_Export!$B298)+L$73*(GREET1_Import_Export!$B323+GREET1_Import_Export!$C323)</f>
        <v>73.136750558535283</v>
      </c>
      <c r="M89" s="2185"/>
      <c r="N89" s="2151">
        <f>N$69*($B$53*GREET1_Import_Export!$K80+GREET1_Import_Export!$G$179*GREET1_Import_Export!$B194+GREET1_Import_Export!$G194)+N$70*(GREET1_Import_Export!M80+GREET1_Import_Export!$G$179*GREET1_Import_Export!$B194+GREET1_Import_Export!$G194)+N$71*($B$54*GREET1_Import_Export!$B80+GREET1_Import_Export!$B230)+N$72*($B$55*GREET1_Import_Export!$AA80+GREET1_Import_Export!$B298)+N$73*(GREET1_Import_Export!$B323+GREET1_Import_Export!$C323)</f>
        <v>109.57117574520487</v>
      </c>
      <c r="O89" s="2185"/>
      <c r="P89" s="2151">
        <f>P$69*($B$53*GREET1_Import_Export!$K80+GREET1_Import_Export!$G$179*GREET1_Import_Export!$B194+GREET1_Import_Export!$G194)+P$70*(GREET1_Import_Export!Q80+GREET1_Import_Export!$G$179*GREET1_Import_Export!$B194+GREET1_Import_Export!$G194)+P$71*($B$54*GREET1_Import_Export!$B80+GREET1_Import_Export!$B230)+P$72*($B$55*GREET1_Import_Export!$AA80+GREET1_Import_Export!$B298)+P$73*(GREET1_Import_Export!$B323+GREET1_Import_Export!$C323)</f>
        <v>2293.5838224563131</v>
      </c>
      <c r="Q89" s="2185"/>
    </row>
    <row r="90" spans="1:17" s="2136" customFormat="1" ht="15.75">
      <c r="A90" s="2093" t="s">
        <v>2547</v>
      </c>
      <c r="B90" s="2151">
        <f>B$69*($B$53*GREET1_Import_Export!$K81+GREET1_Import_Export!$G$179*GREET1_Import_Export!$B195+GREET1_Import_Export!$G195)+B$70*(GREET1_Import_Export!$O81+GREET1_Import_Export!$G$179*GREET1_Import_Export!$B195+GREET1_Import_Export!$G195)+B$71*($B$54*GREET1_Import_Export!$B81+GREET1_Import_Export!$B231)+B$72*($B$55*GREET1_Import_Export!$AA81+GREET1_Import_Export!$B299)+B$73*(GREET1_Import_Export!$B324+GREET1_Import_Export!$C324)</f>
        <v>0.69758399989935316</v>
      </c>
      <c r="C90" s="2185"/>
      <c r="D90" s="2151">
        <f>D$69*($B$53*GREET1_Import_Export!$K81+GREET1_Import_Export!$G$179*GREET1_Import_Export!$B195+GREET1_Import_Export!$G195)+D$70*(GREET1_Import_Export!$O81+GREET1_Import_Export!$G$179*GREET1_Import_Export!$B195+GREET1_Import_Export!$G195)+D$71*($B$54*GREET1_Import_Export!$B81+GREET1_Import_Export!$B231)+D$72*($B$55*GREET1_Import_Export!$AA81+GREET1_Import_Export!$B299)+D$73*(GREET1_Import_Export!$B324+GREET1_Import_Export!$C324)</f>
        <v>6.1057685736485103</v>
      </c>
      <c r="E90" s="2185"/>
      <c r="F90" s="2151">
        <f>F$69*($B$53*GREET1_Import_Export!$K81+GREET1_Import_Export!$G$179*GREET1_Import_Export!$B195+GREET1_Import_Export!$G195)+F$70*(GREET1_Import_Export!D81+GREET1_Import_Export!$G$179*GREET1_Import_Export!$B195+GREET1_Import_Export!$G195)+F$71*($B$54*GREET1_Import_Export!$B81+GREET1_Import_Export!$B231)+F$72*($B$55*GREET1_Import_Export!$AA81+GREET1_Import_Export!$B299)+F$73*(GREET1_Import_Export!$B324+GREET1_Import_Export!$C324)</f>
        <v>2.4063002087120546</v>
      </c>
      <c r="G90" s="2185"/>
      <c r="H90" s="2151">
        <f>H$69*($B$53*GREET1_Import_Export!$K81+GREET1_Import_Export!$G$179*GREET1_Import_Export!$B195+GREET1_Import_Export!$G195)+H$70*(GREET1_Import_Export!F81+GREET1_Import_Export!$G$179*GREET1_Import_Export!$B195+GREET1_Import_Export!$G195)+H$71*($B$54*GREET1_Import_Export!$B81+GREET1_Import_Export!$B231)+H$72*($B$55*GREET1_Import_Export!$AA81+GREET1_Import_Export!$B299)+H$73*(GREET1_Import_Export!$B324+GREET1_Import_Export!$C324)</f>
        <v>6.4701397024558593</v>
      </c>
      <c r="I90" s="2185"/>
      <c r="J90" s="2151">
        <f>J$69*($B$53*GREET1_Import_Export!$K81+GREET1_Import_Export!$G$179*GREET1_Import_Export!$B195+GREET1_Import_Export!$G195)+J$70*(GREET1_Import_Export!H81+GREET1_Import_Export!$G$179*GREET1_Import_Export!$B195+GREET1_Import_Export!$G195)+J$71*($B$54*GREET1_Import_Export!$B81+GREET1_Import_Export!$B231)+J$72*($B$55*GREET1_Import_Export!$AA81+GREET1_Import_Export!$B299)+J$73*(GREET1_Import_Export!$B324+GREET1_Import_Export!$C324)</f>
        <v>0.49827428564239512</v>
      </c>
      <c r="K90" s="2185"/>
      <c r="L90" s="2151">
        <f>L$69*($B$53*GREET1_Import_Export!$K81+GREET1_Import_Export!$G$179*GREET1_Import_Export!$B195+GREET1_Import_Export!$G195)+L$70*(GREET1_Import_Export!K81+GREET1_Import_Export!$G$179*GREET1_Import_Export!$B195+GREET1_Import_Export!$G195)+L$71*($B$54*GREET1_Import_Export!$B81+GREET1_Import_Export!$B231)+L$72*($B$55*GREET1_Import_Export!$AA81+GREET1_Import_Export!$B299)+L$73*(GREET1_Import_Export!$B324+GREET1_Import_Export!$C324)</f>
        <v>0.66355551209938479</v>
      </c>
      <c r="M90" s="2185"/>
      <c r="N90" s="2151">
        <f>N$69*($B$53*GREET1_Import_Export!$K81+GREET1_Import_Export!$G$179*GREET1_Import_Export!$B195+GREET1_Import_Export!$G195)+N$70*(GREET1_Import_Export!M81+GREET1_Import_Export!$G$179*GREET1_Import_Export!$B195+GREET1_Import_Export!$G195)+N$71*($B$54*GREET1_Import_Export!$B81+GREET1_Import_Export!$B231)+N$72*($B$55*GREET1_Import_Export!$AA81+GREET1_Import_Export!$B299)+N$73*(GREET1_Import_Export!$B324+GREET1_Import_Export!$C324)</f>
        <v>0.99411796501336391</v>
      </c>
      <c r="O90" s="2185"/>
      <c r="P90" s="2151">
        <f>P$69*($B$53*GREET1_Import_Export!$K81+GREET1_Import_Export!$G$179*GREET1_Import_Export!$B195+GREET1_Import_Export!$G195)+P$70*(GREET1_Import_Export!Q81+GREET1_Import_Export!$G$179*GREET1_Import_Export!$B195+GREET1_Import_Export!$G195)+P$71*($B$54*GREET1_Import_Export!$B81+GREET1_Import_Export!$B231)+P$72*($B$55*GREET1_Import_Export!$AA81+GREET1_Import_Export!$B299)+P$73*(GREET1_Import_Export!$B324+GREET1_Import_Export!$C324)</f>
        <v>20.80923989964236</v>
      </c>
      <c r="Q90" s="2185"/>
    </row>
    <row r="91" spans="1:17" s="2144" customFormat="1" ht="15.75">
      <c r="A91" s="2142" t="s">
        <v>2548</v>
      </c>
      <c r="B91" s="2191">
        <f>B$69*($B$53*GREET1_Import_Export!$K82+GREET1_Import_Export!$G$179*GREET1_Import_Export!$B196+GREET1_Import_Export!$G196)+B$70*(GREET1_Import_Export!$O82+GREET1_Import_Export!$G$179*GREET1_Import_Export!$B196+GREET1_Import_Export!$G196)+B$71*($B$54*GREET1_Import_Export!$B82+GREET1_Import_Export!$B232)+B$72*($B$55*GREET1_Import_Export!$AA82+GREET1_Import_Export!$B300)+B$73*(GREET1_Import_Export!$B325+GREET1_Import_Export!$C325)</f>
        <v>33973.059951692521</v>
      </c>
      <c r="C91" s="2226"/>
      <c r="D91" s="2191">
        <f>D$69*($B$53*GREET1_Import_Export!$K82+GREET1_Import_Export!$G$179*GREET1_Import_Export!$B196+GREET1_Import_Export!$G196)+D$70*(GREET1_Import_Export!$O82+GREET1_Import_Export!$G$179*GREET1_Import_Export!$B196+GREET1_Import_Export!$G196)+D$71*($B$54*GREET1_Import_Export!$B82+GREET1_Import_Export!$B232)+D$72*($B$55*GREET1_Import_Export!$AA82+GREET1_Import_Export!$B300)+D$73*(GREET1_Import_Export!$B325+GREET1_Import_Export!$C325)</f>
        <v>204929.23679561081</v>
      </c>
      <c r="E91" s="2226"/>
      <c r="F91" s="2191">
        <f>F$69*($B$53*GREET1_Import_Export!$K82+GREET1_Import_Export!$G$179*GREET1_Import_Export!$B196+GREET1_Import_Export!$G196)+F$70*(GREET1_Import_Export!D82+GREET1_Import_Export!$G$179*GREET1_Import_Export!$B196+GREET1_Import_Export!$G196)+F$71*($B$54*GREET1_Import_Export!$B82+GREET1_Import_Export!$B232)+F$72*($B$55*GREET1_Import_Export!$AA82+GREET1_Import_Export!$B300)+F$73*(GREET1_Import_Export!$B325+GREET1_Import_Export!$C325)</f>
        <v>117189.30087866062</v>
      </c>
      <c r="G91" s="2226"/>
      <c r="H91" s="2191">
        <f>H$69*($B$53*GREET1_Import_Export!$K82+GREET1_Import_Export!$G$179*GREET1_Import_Export!$B196+GREET1_Import_Export!$G196)+H$70*(GREET1_Import_Export!F82+GREET1_Import_Export!$G$179*GREET1_Import_Export!$B196+GREET1_Import_Export!$G196)+H$71*($B$54*GREET1_Import_Export!$B82+GREET1_Import_Export!$B232)+H$72*($B$55*GREET1_Import_Export!$AA82+GREET1_Import_Export!$B300)+H$73*(GREET1_Import_Export!$B325+GREET1_Import_Export!$C325)</f>
        <v>195319.97068590109</v>
      </c>
      <c r="I91" s="2226"/>
      <c r="J91" s="2191">
        <f>J$69*($B$53*GREET1_Import_Export!$K82+GREET1_Import_Export!$G$179*GREET1_Import_Export!$B196+GREET1_Import_Export!$G196)+J$70*(GREET1_Import_Export!H82+GREET1_Import_Export!$G$179*GREET1_Import_Export!$B196+GREET1_Import_Export!$G196)+J$71*($B$54*GREET1_Import_Export!$B82+GREET1_Import_Export!$B232)+J$72*($B$55*GREET1_Import_Export!$AA82+GREET1_Import_Export!$B300)+J$73*(GREET1_Import_Export!$B325+GREET1_Import_Export!$C325)</f>
        <v>24266.471394066088</v>
      </c>
      <c r="K91" s="2226"/>
      <c r="L91" s="2191">
        <f>L$69*($B$53*GREET1_Import_Export!$K82+GREET1_Import_Export!$G$179*GREET1_Import_Export!$B196+GREET1_Import_Export!$G196)+L$70*(GREET1_Import_Export!K82+GREET1_Import_Export!$G$179*GREET1_Import_Export!$B196+GREET1_Import_Export!$G196)+L$71*($B$54*GREET1_Import_Export!$B82+GREET1_Import_Export!$B232)+L$72*($B$55*GREET1_Import_Export!$AA82+GREET1_Import_Export!$B300)+L$73*(GREET1_Import_Export!$B325+GREET1_Import_Export!$C325)</f>
        <v>32315.837515024596</v>
      </c>
      <c r="M91" s="2226"/>
      <c r="N91" s="2191">
        <f>N$69*($B$53*GREET1_Import_Export!$K82+GREET1_Import_Export!$G$179*GREET1_Import_Export!$B196+GREET1_Import_Export!$G196)+N$70*(GREET1_Import_Export!M82+GREET1_Import_Export!$G$179*GREET1_Import_Export!$B196+GREET1_Import_Export!$G196)+N$71*($B$54*GREET1_Import_Export!$B82+GREET1_Import_Export!$B232)+N$72*($B$55*GREET1_Import_Export!$AA82+GREET1_Import_Export!$B300)+N$73*(GREET1_Import_Export!$B325+GREET1_Import_Export!$C325)</f>
        <v>48414.569756941608</v>
      </c>
      <c r="O91" s="2226"/>
      <c r="P91" s="2191">
        <f>P$69*($B$53*GREET1_Import_Export!$K82+GREET1_Import_Export!$G$179*GREET1_Import_Export!$B196+GREET1_Import_Export!$G196)+P$70*(GREET1_Import_Export!Q82+GREET1_Import_Export!$G$179*GREET1_Import_Export!$B196+GREET1_Import_Export!$G196)+P$71*($B$54*GREET1_Import_Export!$B82+GREET1_Import_Export!$B232)+P$72*($B$55*GREET1_Import_Export!$AA82+GREET1_Import_Export!$B300)+P$73*(GREET1_Import_Export!$B325+GREET1_Import_Export!$C325)</f>
        <v>1013431.4358725267</v>
      </c>
      <c r="Q91" s="2226"/>
    </row>
    <row r="92" spans="1:17" s="2136" customFormat="1">
      <c r="A92" s="2174" t="s">
        <v>865</v>
      </c>
      <c r="B92" s="2151"/>
      <c r="C92" s="2185"/>
      <c r="D92" s="2151"/>
      <c r="E92" s="2185"/>
      <c r="F92" s="2151"/>
      <c r="G92" s="2185"/>
      <c r="H92" s="2151"/>
      <c r="I92" s="2185"/>
      <c r="J92" s="2151"/>
      <c r="K92" s="2185"/>
      <c r="L92" s="2151"/>
      <c r="M92" s="2185"/>
      <c r="N92" s="2151"/>
      <c r="O92" s="2185"/>
      <c r="P92" s="2151"/>
      <c r="Q92" s="2185"/>
    </row>
    <row r="93" spans="1:17" s="2136" customFormat="1">
      <c r="A93" s="2093" t="s">
        <v>821</v>
      </c>
      <c r="B93" s="2151">
        <f>B$69*(B$61*($B$53*GREET1_Import_Export!$K72)+GREET1_Import_Export!$G$200*GREET1_Import_Export!$B201+GREET1_Import_Export!$G201)+B$70*(B$61*(GREET1_Import_Export!$O72)+GREET1_Import_Export!$G$200*GREET1_Import_Export!$B201+GREET1_Import_Export!$G201)+B$71*(B$61*($B$54*GREET1_Import_Export!$B72)+GREET1_Import_Export!$B237)+B$72*(B$61*($B$55*GREET1_Import_Export!$AA72)+GREET1_Import_Export!$C290)+B$73*(GREET1_Import_Export!$D315+GREET1_Import_Export!$E315)</f>
        <v>0.24799894420566984</v>
      </c>
      <c r="C93" s="2185"/>
      <c r="D93" s="2151">
        <f>D$69*(D$61*($B$53*GREET1_Import_Export!$K72)+GREET1_Import_Export!$G$200*GREET1_Import_Export!$B201+GREET1_Import_Export!$G201)+D$70*(D$61*(GREET1_Import_Export!$O72)+GREET1_Import_Export!$G$200*GREET1_Import_Export!$B201+GREET1_Import_Export!$G201)+D$71*(D$61*($B$54*GREET1_Import_Export!$B72)+GREET1_Import_Export!$B237)+D$72*(D$61*($B$55*GREET1_Import_Export!$AA72)+GREET1_Import_Export!$C290)+D$73*(GREET1_Import_Export!$D315+GREET1_Import_Export!$E315)</f>
        <v>1.7720414993401268</v>
      </c>
      <c r="E93" s="2185">
        <f t="shared" ref="E93:E100" si="0">E81*D$61</f>
        <v>0</v>
      </c>
      <c r="F93" s="2151">
        <f>F$69*(F$61*($B$53*GREET1_Import_Export!$K72)+GREET1_Import_Export!$G$200*GREET1_Import_Export!$B201+GREET1_Import_Export!$G201)+F$70*(F$61*(GREET1_Import_Export!$O72)+GREET1_Import_Export!$G$200*GREET1_Import_Export!$B201+GREET1_Import_Export!$G201)+F$71*(F$61*($B$54*GREET1_Import_Export!$B72)+GREET1_Import_Export!$B237)+F$72*(F$61*($B$55*GREET1_Import_Export!$AA72)+GREET1_Import_Export!$C290)+F$73*(GREET1_Import_Export!$D315+GREET1_Import_Export!$E315)</f>
        <v>0.85546674133663114</v>
      </c>
      <c r="G93" s="2185"/>
      <c r="H93" s="2151">
        <f>H$69*(H$61*($B$53*GREET1_Import_Export!$K72)+GREET1_Import_Export!$G$200*GREET1_Import_Export!$B201+GREET1_Import_Export!$G201)+H$70*(H$61*(GREET1_Import_Export!$O72)+GREET1_Import_Export!$G$200*GREET1_Import_Export!$B201+GREET1_Import_Export!$G201)+H$71*(H$61*($B$54*GREET1_Import_Export!$B72)+GREET1_Import_Export!$B237)+H$72*(H$61*($B$55*GREET1_Import_Export!$AA72)+GREET1_Import_Export!$C290)+H$73*(GREET1_Import_Export!$D315+GREET1_Import_Export!$E315)</f>
        <v>1.7836036813796603</v>
      </c>
      <c r="I93" s="2185"/>
      <c r="J93" s="2151">
        <f>J$69*(J$61*($B$53*GREET1_Import_Export!$K72)+GREET1_Import_Export!$G$200*GREET1_Import_Export!$B201+GREET1_Import_Export!$G201)+J$70*(J$61*(GREET1_Import_Export!$O72)+GREET1_Import_Export!$G$200*GREET1_Import_Export!$B201+GREET1_Import_Export!$G201)+J$71*(J$61*($B$54*GREET1_Import_Export!$B72)+GREET1_Import_Export!$B237)+J$72*(J$61*($B$55*GREET1_Import_Export!$AA72)+GREET1_Import_Export!$C290)+J$73*(GREET1_Import_Export!$D315+GREET1_Import_Export!$E315)</f>
        <v>0.17714210300404989</v>
      </c>
      <c r="K93" s="2185"/>
      <c r="L93" s="2151">
        <f>L$69*(L$61*($B$53*GREET1_Import_Export!$K72)+GREET1_Import_Export!$G$200*GREET1_Import_Export!$B201+GREET1_Import_Export!$G201)+L$70*(L$61*(GREET1_Import_Export!$O72)+GREET1_Import_Export!$G$200*GREET1_Import_Export!$B201+GREET1_Import_Export!$G201)+L$71*(L$61*($B$54*GREET1_Import_Export!$B72)+GREET1_Import_Export!$B237)+L$72*(L$61*($B$55*GREET1_Import_Export!$AA72)+GREET1_Import_Export!$C290)+L$73*(GREET1_Import_Export!$D315+GREET1_Import_Export!$E315)</f>
        <v>0.23590143473222255</v>
      </c>
      <c r="M93" s="2185"/>
      <c r="N93" s="2151">
        <f>N$69*(N$61*($B$53*GREET1_Import_Export!$K72)+GREET1_Import_Export!$G$200*GREET1_Import_Export!$B201+GREET1_Import_Export!$G201)+N$70*(N$61*(GREET1_Import_Export!$O72)+GREET1_Import_Export!$G$200*GREET1_Import_Export!$B201+GREET1_Import_Export!$G201)+N$71*(N$61*($B$54*GREET1_Import_Export!$B72)+GREET1_Import_Export!$B237)+N$72*(N$61*($B$55*GREET1_Import_Export!$AA72)+GREET1_Import_Export!$C290)+N$73*(GREET1_Import_Export!$D315+GREET1_Import_Export!$E315)</f>
        <v>0.35342009818856784</v>
      </c>
      <c r="O93" s="2185"/>
      <c r="P93" s="2151">
        <f>P$69*(P$61*($B$53*GREET1_Import_Export!$K72)+GREET1_Import_Export!$G$200*GREET1_Import_Export!$B201+GREET1_Import_Export!$G201)+P$70*(P$61*(GREET1_Import_Export!$O72)+GREET1_Import_Export!$G$200*GREET1_Import_Export!$B201+GREET1_Import_Export!$G201)+P$71*(P$61*($B$54*GREET1_Import_Export!$B72)+GREET1_Import_Export!$B237)+P$72*(P$61*($B$55*GREET1_Import_Export!$AA72)+GREET1_Import_Export!$C290)+P$73*(GREET1_Import_Export!$D315+GREET1_Import_Export!$E315)</f>
        <v>7.3979184235567068</v>
      </c>
      <c r="Q93" s="2185"/>
    </row>
    <row r="94" spans="1:17" s="2136" customFormat="1">
      <c r="A94" s="2093" t="s">
        <v>822</v>
      </c>
      <c r="B94" s="2151">
        <f>B$69*(B$61*($B$53*GREET1_Import_Export!$K73)+GREET1_Import_Export!$G$200*GREET1_Import_Export!$B202+GREET1_Import_Export!$G202)+B$70*(B$61*(GREET1_Import_Export!$O73)+GREET1_Import_Export!$G$200*GREET1_Import_Export!$B202+GREET1_Import_Export!$G202)+B$71*(B$61*($B$54*GREET1_Import_Export!$B73)+GREET1_Import_Export!$B238)+B$72*(B$61*($B$55*GREET1_Import_Export!$AA73)+GREET1_Import_Export!$C291)+B$73*(GREET1_Import_Export!$D316+GREET1_Import_Export!$E316)</f>
        <v>1.8308702832816139</v>
      </c>
      <c r="C94" s="2185"/>
      <c r="D94" s="2151">
        <f>D$69*(D$61*($B$53*GREET1_Import_Export!$K73)+GREET1_Import_Export!$G$200*GREET1_Import_Export!$B202+GREET1_Import_Export!$G202)+D$70*(D$61*(GREET1_Import_Export!$O73)+GREET1_Import_Export!$G$200*GREET1_Import_Export!$B202+GREET1_Import_Export!$G202)+D$71*(D$61*($B$54*GREET1_Import_Export!$B73)+GREET1_Import_Export!$B238)+D$72*(D$61*($B$55*GREET1_Import_Export!$AA73)+GREET1_Import_Export!$C291)+D$73*(GREET1_Import_Export!$D316+GREET1_Import_Export!$E316)</f>
        <v>9.5341422653260466</v>
      </c>
      <c r="E94" s="2185">
        <f t="shared" si="0"/>
        <v>0</v>
      </c>
      <c r="F94" s="2151">
        <f>F$69*(F$61*($B$53*GREET1_Import_Export!$K73)+GREET1_Import_Export!$G$200*GREET1_Import_Export!$B202+GREET1_Import_Export!$G202)+F$70*(F$61*(GREET1_Import_Export!$O73)+GREET1_Import_Export!$G$200*GREET1_Import_Export!$B202+GREET1_Import_Export!$G202)+F$71*(F$61*($B$54*GREET1_Import_Export!$B73)+GREET1_Import_Export!$B238)+F$72*(F$61*($B$55*GREET1_Import_Export!$AA73)+GREET1_Import_Export!$C291)+F$73*(GREET1_Import_Export!$D316+GREET1_Import_Export!$E316)</f>
        <v>6.3155455764766479</v>
      </c>
      <c r="G94" s="2185"/>
      <c r="H94" s="2151">
        <f>H$69*(H$61*($B$53*GREET1_Import_Export!$K73)+GREET1_Import_Export!$G$200*GREET1_Import_Export!$B202+GREET1_Import_Export!$G202)+H$70*(H$61*(GREET1_Import_Export!$O73)+GREET1_Import_Export!$G$200*GREET1_Import_Export!$B202+GREET1_Import_Export!$G202)+H$71*(H$61*($B$54*GREET1_Import_Export!$B73)+GREET1_Import_Export!$B238)+H$72*(H$61*($B$55*GREET1_Import_Export!$AA73)+GREET1_Import_Export!$C291)+H$73*(GREET1_Import_Export!$D316+GREET1_Import_Export!$E316)</f>
        <v>8.5694282871484244</v>
      </c>
      <c r="I94" s="2185"/>
      <c r="J94" s="2151">
        <f>J$69*(J$61*($B$53*GREET1_Import_Export!$K73)+GREET1_Import_Export!$G$200*GREET1_Import_Export!$B202+GREET1_Import_Export!$G202)+J$70*(J$61*(GREET1_Import_Export!$O73)+GREET1_Import_Export!$G$200*GREET1_Import_Export!$B202+GREET1_Import_Export!$G202)+J$71*(J$61*($B$54*GREET1_Import_Export!$B73)+GREET1_Import_Export!$B238)+J$72*(J$61*($B$55*GREET1_Import_Export!$AA73)+GREET1_Import_Export!$C291)+J$73*(GREET1_Import_Export!$D316+GREET1_Import_Export!$E316)</f>
        <v>1.3077644880582957</v>
      </c>
      <c r="K94" s="2185"/>
      <c r="L94" s="2151">
        <f>L$69*(L$61*($B$53*GREET1_Import_Export!$K73)+GREET1_Import_Export!$G$200*GREET1_Import_Export!$B202+GREET1_Import_Export!$G202)+L$70*(L$61*(GREET1_Import_Export!$O73)+GREET1_Import_Export!$G$200*GREET1_Import_Export!$B202+GREET1_Import_Export!$G202)+L$71*(L$61*($B$54*GREET1_Import_Export!$B73)+GREET1_Import_Export!$B238)+L$72*(L$61*($B$55*GREET1_Import_Export!$AA73)+GREET1_Import_Export!$C291)+L$73*(GREET1_Import_Export!$D316+GREET1_Import_Export!$E316)</f>
        <v>1.7415595377556818</v>
      </c>
      <c r="M94" s="2185"/>
      <c r="N94" s="2151">
        <f>N$69*(N$61*($B$53*GREET1_Import_Export!$K73)+GREET1_Import_Export!$G$200*GREET1_Import_Export!$B202+GREET1_Import_Export!$G202)+N$70*(N$61*(GREET1_Import_Export!$O73)+GREET1_Import_Export!$G$200*GREET1_Import_Export!$B202+GREET1_Import_Export!$G202)+N$71*(N$61*($B$54*GREET1_Import_Export!$B73)+GREET1_Import_Export!$B238)+N$72*(N$61*($B$55*GREET1_Import_Export!$AA73)+GREET1_Import_Export!$C291)+N$73*(GREET1_Import_Export!$D316+GREET1_Import_Export!$E316)</f>
        <v>2.6091496371504532</v>
      </c>
      <c r="O94" s="2185"/>
      <c r="P94" s="2151">
        <f>P$69*(P$61*($B$53*GREET1_Import_Export!$K73)+GREET1_Import_Export!$G$200*GREET1_Import_Export!$B202+GREET1_Import_Export!$G202)+P$70*(P$61*(GREET1_Import_Export!$O73)+GREET1_Import_Export!$G$200*GREET1_Import_Export!$B202+GREET1_Import_Export!$G202)+P$71*(P$61*($B$54*GREET1_Import_Export!$B73)+GREET1_Import_Export!$B238)+P$72*(P$61*($B$55*GREET1_Import_Export!$AA73)+GREET1_Import_Export!$C291)+P$73*(GREET1_Import_Export!$D316+GREET1_Import_Export!$E316)</f>
        <v>54.615672027211296</v>
      </c>
      <c r="Q94" s="2185"/>
    </row>
    <row r="95" spans="1:17" s="2136" customFormat="1" ht="15.75">
      <c r="A95" s="2093" t="s">
        <v>2542</v>
      </c>
      <c r="B95" s="2151">
        <f>B$69*(B$61*($B$53*GREET1_Import_Export!$K74)+GREET1_Import_Export!$G$200*GREET1_Import_Export!$B203+GREET1_Import_Export!$G203)+B$70*(B$61*(GREET1_Import_Export!$O74)+GREET1_Import_Export!$G$200*GREET1_Import_Export!$B203+GREET1_Import_Export!$G203)+B$71*(B$61*($B$54*GREET1_Import_Export!$B74)+GREET1_Import_Export!$B239)+B$72*(B$61*($B$55*GREET1_Import_Export!$AA74)+GREET1_Import_Export!$C292)+B$73*(GREET1_Import_Export!$D317+GREET1_Import_Export!$E317)</f>
        <v>5.4683881628019844</v>
      </c>
      <c r="C95" s="2185"/>
      <c r="D95" s="2151">
        <f>D$69*(D$61*($B$53*GREET1_Import_Export!$K74)+GREET1_Import_Export!$G$200*GREET1_Import_Export!$B203+GREET1_Import_Export!$G203)+D$70*(D$61*(GREET1_Import_Export!$O74)+GREET1_Import_Export!$G$200*GREET1_Import_Export!$B203+GREET1_Import_Export!$G203)+D$71*(D$61*($B$54*GREET1_Import_Export!$B74)+GREET1_Import_Export!$B239)+D$72*(D$61*($B$55*GREET1_Import_Export!$AA74)+GREET1_Import_Export!$C292)+D$73*(GREET1_Import_Export!$D317+GREET1_Import_Export!$E317)</f>
        <v>16.564289017373916</v>
      </c>
      <c r="E95" s="2185">
        <f t="shared" si="0"/>
        <v>0</v>
      </c>
      <c r="F95" s="2151">
        <f>F$69*(F$61*($B$53*GREET1_Import_Export!$K74)+GREET1_Import_Export!$G$200*GREET1_Import_Export!$B203+GREET1_Import_Export!$G203)+F$70*(F$61*(GREET1_Import_Export!$O74)+GREET1_Import_Export!$G$200*GREET1_Import_Export!$B203+GREET1_Import_Export!$G203)+F$71*(F$61*($B$54*GREET1_Import_Export!$B74)+GREET1_Import_Export!$B239)+F$72*(F$61*($B$55*GREET1_Import_Export!$AA74)+GREET1_Import_Export!$C292)+F$73*(GREET1_Import_Export!$D317+GREET1_Import_Export!$E317)</f>
        <v>18.863081119073048</v>
      </c>
      <c r="G95" s="2185"/>
      <c r="H95" s="2151">
        <f>H$69*(H$61*($B$53*GREET1_Import_Export!$K74)+GREET1_Import_Export!$G$200*GREET1_Import_Export!$B203+GREET1_Import_Export!$G203)+H$70*(H$61*(GREET1_Import_Export!$O74)+GREET1_Import_Export!$G$200*GREET1_Import_Export!$B203+GREET1_Import_Export!$G203)+H$71*(H$61*($B$54*GREET1_Import_Export!$B74)+GREET1_Import_Export!$B239)+H$72*(H$61*($B$55*GREET1_Import_Export!$AA74)+GREET1_Import_Export!$C292)+H$73*(GREET1_Import_Export!$D317+GREET1_Import_Export!$E317)</f>
        <v>10.157495729644531</v>
      </c>
      <c r="I95" s="2185"/>
      <c r="J95" s="2151">
        <f>J$69*(J$61*($B$53*GREET1_Import_Export!$K74)+GREET1_Import_Export!$G$200*GREET1_Import_Export!$B203+GREET1_Import_Export!$G203)+J$70*(J$61*(GREET1_Import_Export!$O74)+GREET1_Import_Export!$G$200*GREET1_Import_Export!$B203+GREET1_Import_Export!$G203)+J$71*(J$61*($B$54*GREET1_Import_Export!$B74)+GREET1_Import_Export!$B239)+J$72*(J$61*($B$55*GREET1_Import_Export!$AA74)+GREET1_Import_Export!$C292)+J$73*(GREET1_Import_Export!$D317+GREET1_Import_Export!$E317)</f>
        <v>3.9059915448585603</v>
      </c>
      <c r="K95" s="2185"/>
      <c r="L95" s="2151">
        <f>L$69*(L$61*($B$53*GREET1_Import_Export!$K74)+GREET1_Import_Export!$G$200*GREET1_Import_Export!$B203+GREET1_Import_Export!$G203)+L$70*(L$61*(GREET1_Import_Export!$O74)+GREET1_Import_Export!$G$200*GREET1_Import_Export!$B203+GREET1_Import_Export!$G203)+L$71*(L$61*($B$54*GREET1_Import_Export!$B74)+GREET1_Import_Export!$B239)+L$72*(L$61*($B$55*GREET1_Import_Export!$AA74)+GREET1_Import_Export!$C292)+L$73*(GREET1_Import_Export!$D317+GREET1_Import_Export!$E317)</f>
        <v>5.2016375207140833</v>
      </c>
      <c r="M95" s="2185"/>
      <c r="N95" s="2151">
        <f>N$69*(N$61*($B$53*GREET1_Import_Export!$K74)+GREET1_Import_Export!$G$200*GREET1_Import_Export!$B203+GREET1_Import_Export!$G203)+N$70*(N$61*(GREET1_Import_Export!$O74)+GREET1_Import_Export!$G$200*GREET1_Import_Export!$B203+GREET1_Import_Export!$G203)+N$71*(N$61*($B$54*GREET1_Import_Export!$B74)+GREET1_Import_Export!$B239)+N$72*(N$61*($B$55*GREET1_Import_Export!$AA74)+GREET1_Import_Export!$C292)+N$73*(GREET1_Import_Export!$D317+GREET1_Import_Export!$E317)</f>
        <v>7.7929294724251275</v>
      </c>
      <c r="O95" s="2185"/>
      <c r="P95" s="2151">
        <f>P$69*(P$61*($B$53*GREET1_Import_Export!$K74)+GREET1_Import_Export!$G$200*GREET1_Import_Export!$B203+GREET1_Import_Export!$G203)+P$70*(P$61*(GREET1_Import_Export!$O74)+GREET1_Import_Export!$G$200*GREET1_Import_Export!$B203+GREET1_Import_Export!$G203)+P$71*(P$61*($B$54*GREET1_Import_Export!$B74)+GREET1_Import_Export!$B239)+P$72*(P$61*($B$55*GREET1_Import_Export!$AA74)+GREET1_Import_Export!$C292)+P$73*(GREET1_Import_Export!$D317+GREET1_Import_Export!$E317)</f>
        <v>163.12444259118473</v>
      </c>
      <c r="Q95" s="2185"/>
    </row>
    <row r="96" spans="1:17" s="2136" customFormat="1" ht="15.75">
      <c r="A96" s="2093" t="s">
        <v>2543</v>
      </c>
      <c r="B96" s="2151">
        <f>B$69*(B$61*($B$53*GREET1_Import_Export!$K75)+GREET1_Import_Export!$G$200*GREET1_Import_Export!$B204+GREET1_Import_Export!$G204)+B$70*(B$61*(GREET1_Import_Export!$O75)+GREET1_Import_Export!$G$200*GREET1_Import_Export!$B204+GREET1_Import_Export!$G204)+B$71*(B$61*($B$54*GREET1_Import_Export!$B75)+GREET1_Import_Export!$B240)+B$72*(B$61*($B$55*GREET1_Import_Export!$AA75)+GREET1_Import_Export!$C293)+B$73*(GREET1_Import_Export!$D318+GREET1_Import_Export!$E318)</f>
        <v>0.73009148476269392</v>
      </c>
      <c r="C96" s="2185"/>
      <c r="D96" s="2151">
        <f>D$69*(D$61*($B$53*GREET1_Import_Export!$K75)+GREET1_Import_Export!$G$200*GREET1_Import_Export!$B204+GREET1_Import_Export!$G204)+D$70*(D$61*(GREET1_Import_Export!$O75)+GREET1_Import_Export!$G$200*GREET1_Import_Export!$B204+GREET1_Import_Export!$G204)+D$71*(D$61*($B$54*GREET1_Import_Export!$B75)+GREET1_Import_Export!$B240)+D$72*(D$61*($B$55*GREET1_Import_Export!$AA75)+GREET1_Import_Export!$C293)+D$73*(GREET1_Import_Export!$D318+GREET1_Import_Export!$E318)</f>
        <v>1.1987016592542099</v>
      </c>
      <c r="E96" s="2185">
        <f t="shared" si="0"/>
        <v>0</v>
      </c>
      <c r="F96" s="2151">
        <f>F$69*(F$61*($B$53*GREET1_Import_Export!$K75)+GREET1_Import_Export!$G$200*GREET1_Import_Export!$B204+GREET1_Import_Export!$G204)+F$70*(F$61*(GREET1_Import_Export!$O75)+GREET1_Import_Export!$G$200*GREET1_Import_Export!$B204+GREET1_Import_Export!$G204)+F$71*(F$61*($B$54*GREET1_Import_Export!$B75)+GREET1_Import_Export!$B240)+F$72*(F$61*($B$55*GREET1_Import_Export!$AA75)+GREET1_Import_Export!$C293)+F$73*(GREET1_Import_Export!$D318+GREET1_Import_Export!$E318)</f>
        <v>2.518434041515913</v>
      </c>
      <c r="G96" s="2185"/>
      <c r="H96" s="2151">
        <f>H$69*(H$61*($B$53*GREET1_Import_Export!$K75)+GREET1_Import_Export!$G$200*GREET1_Import_Export!$B204+GREET1_Import_Export!$G204)+H$70*(H$61*(GREET1_Import_Export!$O75)+GREET1_Import_Export!$G$200*GREET1_Import_Export!$B204+GREET1_Import_Export!$G204)+H$71*(H$61*($B$54*GREET1_Import_Export!$B75)+GREET1_Import_Export!$B240)+H$72*(H$61*($B$55*GREET1_Import_Export!$AA75)+GREET1_Import_Export!$C293)+H$73*(GREET1_Import_Export!$D318+GREET1_Import_Export!$E318)</f>
        <v>4.3574143259604216E-2</v>
      </c>
      <c r="I96" s="2185"/>
      <c r="J96" s="2151">
        <f>J$69*(J$61*($B$53*GREET1_Import_Export!$K75)+GREET1_Import_Export!$G$200*GREET1_Import_Export!$B204+GREET1_Import_Export!$G204)+J$70*(J$61*(GREET1_Import_Export!$O75)+GREET1_Import_Export!$G$200*GREET1_Import_Export!$B204+GREET1_Import_Export!$G204)+J$71*(J$61*($B$54*GREET1_Import_Export!$B75)+GREET1_Import_Export!$B240)+J$72*(J$61*($B$55*GREET1_Import_Export!$AA75)+GREET1_Import_Export!$C293)+J$73*(GREET1_Import_Export!$D318+GREET1_Import_Export!$E318)</f>
        <v>0.52149391768763853</v>
      </c>
      <c r="K96" s="2185"/>
      <c r="L96" s="2151">
        <f>L$69*(L$61*($B$53*GREET1_Import_Export!$K75)+GREET1_Import_Export!$G$200*GREET1_Import_Export!$B204+GREET1_Import_Export!$G204)+L$70*(L$61*(GREET1_Import_Export!$O75)+GREET1_Import_Export!$G$200*GREET1_Import_Export!$B204+GREET1_Import_Export!$G204)+L$71*(L$61*($B$54*GREET1_Import_Export!$B75)+GREET1_Import_Export!$B240)+L$72*(L$61*($B$55*GREET1_Import_Export!$AA75)+GREET1_Import_Export!$C293)+L$73*(GREET1_Import_Export!$D318+GREET1_Import_Export!$E318)</f>
        <v>0.69447726599378212</v>
      </c>
      <c r="M96" s="2185"/>
      <c r="N96" s="2151">
        <f>N$69*(N$61*($B$53*GREET1_Import_Export!$K75)+GREET1_Import_Export!$G$200*GREET1_Import_Export!$B204+GREET1_Import_Export!$G204)+N$70*(N$61*(GREET1_Import_Export!$O75)+GREET1_Import_Export!$G$200*GREET1_Import_Export!$B204+GREET1_Import_Export!$G204)+N$71*(N$61*($B$54*GREET1_Import_Export!$B75)+GREET1_Import_Export!$B240)+N$72*(N$61*($B$55*GREET1_Import_Export!$AA75)+GREET1_Import_Export!$C293)+N$73*(GREET1_Import_Export!$D318+GREET1_Import_Export!$E318)</f>
        <v>1.0404439626060691</v>
      </c>
      <c r="O96" s="2185"/>
      <c r="P96" s="2151">
        <f>P$69*(P$61*($B$53*GREET1_Import_Export!$K75)+GREET1_Import_Export!$G$200*GREET1_Import_Export!$B204+GREET1_Import_Export!$G204)+P$70*(P$61*(GREET1_Import_Export!$O75)+GREET1_Import_Export!$G$200*GREET1_Import_Export!$B204+GREET1_Import_Export!$G204)+P$71*(P$61*($B$54*GREET1_Import_Export!$B75)+GREET1_Import_Export!$B240)+P$72*(P$61*($B$55*GREET1_Import_Export!$AA75)+GREET1_Import_Export!$C293)+P$73*(GREET1_Import_Export!$D318+GREET1_Import_Export!$E318)</f>
        <v>21.778952581058288</v>
      </c>
      <c r="Q96" s="2185"/>
    </row>
    <row r="97" spans="1:17" s="2136" customFormat="1" ht="15.75">
      <c r="A97" s="2093" t="s">
        <v>2544</v>
      </c>
      <c r="B97" s="2151">
        <f>B$69*(B$61*($B$53*GREET1_Import_Export!$K76)+GREET1_Import_Export!$G$200*GREET1_Import_Export!$B205+GREET1_Import_Export!$G205)+B$70*(B$61*(GREET1_Import_Export!$O76)+GREET1_Import_Export!$G$200*GREET1_Import_Export!$B205+GREET1_Import_Export!$G205)+B$71*(B$61*($B$54*GREET1_Import_Export!$B76)+GREET1_Import_Export!$B241)+B$72*(B$61*($B$55*GREET1_Import_Export!$AA76)+GREET1_Import_Export!$C294)+B$73*(GREET1_Import_Export!$D319+GREET1_Import_Export!$E319)</f>
        <v>0.64199137765759484</v>
      </c>
      <c r="C97" s="2185"/>
      <c r="D97" s="2151">
        <f>D$69*(D$61*($B$53*GREET1_Import_Export!$K76)+GREET1_Import_Export!$G$200*GREET1_Import_Export!$B205+GREET1_Import_Export!$G205)+D$70*(D$61*(GREET1_Import_Export!$O76)+GREET1_Import_Export!$G$200*GREET1_Import_Export!$B205+GREET1_Import_Export!$G205)+D$71*(D$61*($B$54*GREET1_Import_Export!$B76)+GREET1_Import_Export!$B241)+D$72*(D$61*($B$55*GREET1_Import_Export!$AA76)+GREET1_Import_Export!$C294)+D$73*(GREET1_Import_Export!$D319+GREET1_Import_Export!$E319)</f>
        <v>1.0555449451247028</v>
      </c>
      <c r="E97" s="2185">
        <f t="shared" si="0"/>
        <v>0</v>
      </c>
      <c r="F97" s="2151">
        <f>F$69*(F$61*($B$53*GREET1_Import_Export!$K76)+GREET1_Import_Export!$G$200*GREET1_Import_Export!$B205+GREET1_Import_Export!$G205)+F$70*(F$61*(GREET1_Import_Export!$O76)+GREET1_Import_Export!$G$200*GREET1_Import_Export!$B205+GREET1_Import_Export!$G205)+F$71*(F$61*($B$54*GREET1_Import_Export!$B76)+GREET1_Import_Export!$B241)+F$72*(F$61*($B$55*GREET1_Import_Export!$AA76)+GREET1_Import_Export!$C294)+F$73*(GREET1_Import_Export!$D319+GREET1_Import_Export!$E319)</f>
        <v>2.2145347173554666</v>
      </c>
      <c r="G97" s="2185"/>
      <c r="H97" s="2151">
        <f>H$69*(H$61*($B$53*GREET1_Import_Export!$K76)+GREET1_Import_Export!$G$200*GREET1_Import_Export!$B205+GREET1_Import_Export!$G205)+H$70*(H$61*(GREET1_Import_Export!$O76)+GREET1_Import_Export!$G$200*GREET1_Import_Export!$B205+GREET1_Import_Export!$G205)+H$71*(H$61*($B$54*GREET1_Import_Export!$B76)+GREET1_Import_Export!$B241)+H$72*(H$61*($B$55*GREET1_Import_Export!$AA76)+GREET1_Import_Export!$C294)+H$73*(GREET1_Import_Export!$D319+GREET1_Import_Export!$E319)</f>
        <v>4.0247754399806011E-2</v>
      </c>
      <c r="I97" s="2185"/>
      <c r="J97" s="2151">
        <f>J$69*(J$61*($B$53*GREET1_Import_Export!$K76)+GREET1_Import_Export!$G$200*GREET1_Import_Export!$B205+GREET1_Import_Export!$G205)+J$70*(J$61*(GREET1_Import_Export!$O76)+GREET1_Import_Export!$G$200*GREET1_Import_Export!$B205+GREET1_Import_Export!$G205)+J$71*(J$61*($B$54*GREET1_Import_Export!$B76)+GREET1_Import_Export!$B241)+J$72*(J$61*($B$55*GREET1_Import_Export!$AA76)+GREET1_Import_Export!$C294)+J$73*(GREET1_Import_Export!$D319+GREET1_Import_Export!$E319)</f>
        <v>0.45856526975542489</v>
      </c>
      <c r="K97" s="2185"/>
      <c r="L97" s="2151">
        <f>L$69*(L$61*($B$53*GREET1_Import_Export!$K76)+GREET1_Import_Export!$G$200*GREET1_Import_Export!$B205+GREET1_Import_Export!$G205)+L$70*(L$61*(GREET1_Import_Export!$O76)+GREET1_Import_Export!$G$200*GREET1_Import_Export!$B205+GREET1_Import_Export!$G205)+L$71*(L$61*($B$54*GREET1_Import_Export!$B76)+GREET1_Import_Export!$B241)+L$72*(L$61*($B$55*GREET1_Import_Export!$AA76)+GREET1_Import_Export!$C294)+L$73*(GREET1_Import_Export!$D319+GREET1_Import_Export!$E319)</f>
        <v>0.61067472508893172</v>
      </c>
      <c r="M97" s="2185"/>
      <c r="N97" s="2151">
        <f>N$69*(N$61*($B$53*GREET1_Import_Export!$K76)+GREET1_Import_Export!$G$200*GREET1_Import_Export!$B205+GREET1_Import_Export!$G205)+N$70*(N$61*(GREET1_Import_Export!$O76)+GREET1_Import_Export!$G$200*GREET1_Import_Export!$B205+GREET1_Import_Export!$G205)+N$71*(N$61*($B$54*GREET1_Import_Export!$B76)+GREET1_Import_Export!$B241)+N$72*(N$61*($B$55*GREET1_Import_Export!$AA76)+GREET1_Import_Export!$C294)+N$73*(GREET1_Import_Export!$D319+GREET1_Import_Export!$E319)</f>
        <v>0.91489363575594518</v>
      </c>
      <c r="O97" s="2185"/>
      <c r="P97" s="2151">
        <f>P$69*(P$61*($B$53*GREET1_Import_Export!$K76)+GREET1_Import_Export!$G$200*GREET1_Import_Export!$B205+GREET1_Import_Export!$G205)+P$70*(P$61*(GREET1_Import_Export!$O76)+GREET1_Import_Export!$G$200*GREET1_Import_Export!$B205+GREET1_Import_Export!$G205)+P$71*(P$61*($B$54*GREET1_Import_Export!$B76)+GREET1_Import_Export!$B241)+P$72*(P$61*($B$55*GREET1_Import_Export!$AA76)+GREET1_Import_Export!$C294)+P$73*(GREET1_Import_Export!$D319+GREET1_Import_Export!$E319)</f>
        <v>19.150887338451376</v>
      </c>
      <c r="Q97" s="2185"/>
    </row>
    <row r="98" spans="1:17" s="2136" customFormat="1" ht="15.75">
      <c r="A98" s="2093" t="s">
        <v>2545</v>
      </c>
      <c r="B98" s="2151">
        <f>B$69*(B$61*($B$53*GREET1_Import_Export!$K77)+GREET1_Import_Export!$G$200*GREET1_Import_Export!$B206+GREET1_Import_Export!$G206)+B$70*(B$61*(GREET1_Import_Export!$O77)+GREET1_Import_Export!$G$200*GREET1_Import_Export!$B206+GREET1_Import_Export!$G206)+B$71*(B$61*($B$54*GREET1_Import_Export!$B77)+GREET1_Import_Export!$B242)+B$72*(B$61*($B$55*GREET1_Import_Export!$AA77)+GREET1_Import_Export!$C295)+B$73*(GREET1_Import_Export!$D320+GREET1_Import_Export!$E320)</f>
        <v>5.4333355363692464</v>
      </c>
      <c r="C98" s="2185"/>
      <c r="D98" s="2151">
        <f>D$69*(D$61*($B$53*GREET1_Import_Export!$K77)+GREET1_Import_Export!$G$200*GREET1_Import_Export!$B206+GREET1_Import_Export!$G206)+D$70*(D$61*(GREET1_Import_Export!$O77)+GREET1_Import_Export!$G$200*GREET1_Import_Export!$B206+GREET1_Import_Export!$G206)+D$71*(D$61*($B$54*GREET1_Import_Export!$B77)+GREET1_Import_Export!$B242)+D$72*(D$61*($B$55*GREET1_Import_Export!$AA77)+GREET1_Import_Export!$C295)+D$73*(GREET1_Import_Export!$D320+GREET1_Import_Export!$E320)</f>
        <v>9.0088707625638129</v>
      </c>
      <c r="E98" s="2185">
        <f t="shared" si="0"/>
        <v>0</v>
      </c>
      <c r="F98" s="2151">
        <f>F$69*(F$61*($B$53*GREET1_Import_Export!$K77)+GREET1_Import_Export!$G$200*GREET1_Import_Export!$B206+GREET1_Import_Export!$G206)+F$70*(F$61*(GREET1_Import_Export!$O77)+GREET1_Import_Export!$G$200*GREET1_Import_Export!$B206+GREET1_Import_Export!$G206)+F$71*(F$61*($B$54*GREET1_Import_Export!$B77)+GREET1_Import_Export!$B242)+F$72*(F$61*($B$55*GREET1_Import_Export!$AA77)+GREET1_Import_Export!$C295)+F$73*(GREET1_Import_Export!$D320+GREET1_Import_Export!$E320)</f>
        <v>18.74216787806813</v>
      </c>
      <c r="G98" s="2185"/>
      <c r="H98" s="2151">
        <f>H$69*(H$61*($B$53*GREET1_Import_Export!$K77)+GREET1_Import_Export!$G$200*GREET1_Import_Export!$B206+GREET1_Import_Export!$G206)+H$70*(H$61*(GREET1_Import_Export!$O77)+GREET1_Import_Export!$G$200*GREET1_Import_Export!$B206+GREET1_Import_Export!$G206)+H$71*(H$61*($B$54*GREET1_Import_Export!$B77)+GREET1_Import_Export!$B242)+H$72*(H$61*($B$55*GREET1_Import_Export!$AA77)+GREET1_Import_Export!$C295)+H$73*(GREET1_Import_Export!$D320+GREET1_Import_Export!$E320)</f>
        <v>0.43850613281360329</v>
      </c>
      <c r="I98" s="2185"/>
      <c r="J98" s="2151">
        <f>J$69*(J$61*($B$53*GREET1_Import_Export!$K77)+GREET1_Import_Export!$G$200*GREET1_Import_Export!$B206+GREET1_Import_Export!$G206)+J$70*(J$61*(GREET1_Import_Export!$O77)+GREET1_Import_Export!$G$200*GREET1_Import_Export!$B206+GREET1_Import_Export!$G206)+J$71*(J$61*($B$54*GREET1_Import_Export!$B77)+GREET1_Import_Export!$B242)+J$72*(J$61*($B$55*GREET1_Import_Export!$AA77)+GREET1_Import_Export!$C295)+J$73*(GREET1_Import_Export!$D320+GREET1_Import_Export!$E320)</f>
        <v>3.8809539545494616</v>
      </c>
      <c r="K98" s="2185"/>
      <c r="L98" s="2151">
        <f>L$69*(L$61*($B$53*GREET1_Import_Export!$K77)+GREET1_Import_Export!$G$200*GREET1_Import_Export!$B206+GREET1_Import_Export!$G206)+L$70*(L$61*(GREET1_Import_Export!$O77)+GREET1_Import_Export!$G$200*GREET1_Import_Export!$B206+GREET1_Import_Export!$G206)+L$71*(L$61*($B$54*GREET1_Import_Export!$B77)+GREET1_Import_Export!$B242)+L$72*(L$61*($B$55*GREET1_Import_Export!$AA77)+GREET1_Import_Export!$C295)+L$73*(GREET1_Import_Export!$D320+GREET1_Import_Export!$E320)</f>
        <v>5.1682947784975761</v>
      </c>
      <c r="M98" s="2185"/>
      <c r="N98" s="2151">
        <f>N$69*(N$61*($B$53*GREET1_Import_Export!$K77)+GREET1_Import_Export!$G$200*GREET1_Import_Export!$B206+GREET1_Import_Export!$G206)+N$70*(N$61*(GREET1_Import_Export!$O77)+GREET1_Import_Export!$G$200*GREET1_Import_Export!$B206+GREET1_Import_Export!$G206)+N$71*(N$61*($B$54*GREET1_Import_Export!$B77)+GREET1_Import_Export!$B242)+N$72*(N$61*($B$55*GREET1_Import_Export!$AA77)+GREET1_Import_Export!$C295)+N$73*(GREET1_Import_Export!$D320+GREET1_Import_Export!$E320)</f>
        <v>7.7429764263938035</v>
      </c>
      <c r="O98" s="2185"/>
      <c r="P98" s="2151">
        <f>P$69*(P$61*($B$53*GREET1_Import_Export!$K77)+GREET1_Import_Export!$G$200*GREET1_Import_Export!$B206+GREET1_Import_Export!$G206)+P$70*(P$61*(GREET1_Import_Export!$O77)+GREET1_Import_Export!$G$200*GREET1_Import_Export!$B206+GREET1_Import_Export!$G206)+P$71*(P$61*($B$54*GREET1_Import_Export!$B77)+GREET1_Import_Export!$B242)+P$72*(P$61*($B$55*GREET1_Import_Export!$AA77)+GREET1_Import_Export!$C295)+P$73*(GREET1_Import_Export!$D320+GREET1_Import_Export!$E320)</f>
        <v>162.07880720869798</v>
      </c>
      <c r="Q98" s="2185"/>
    </row>
    <row r="99" spans="1:17" s="2136" customFormat="1">
      <c r="A99" s="2093" t="s">
        <v>827</v>
      </c>
      <c r="B99" s="2151">
        <f>B$69*(B$61*($B$53*GREET1_Import_Export!$K78)+GREET1_Import_Export!$G$200*GREET1_Import_Export!$B207+GREET1_Import_Export!$G207)+B$70*(B$61*(GREET1_Import_Export!$O78)+GREET1_Import_Export!$G$200*GREET1_Import_Export!$B207+GREET1_Import_Export!$G207)+B$71*(B$61*($B$54*GREET1_Import_Export!$B78)+GREET1_Import_Export!$B243)+B$72*(B$61*($B$55*GREET1_Import_Export!$AA78)+GREET1_Import_Export!$C296)+B$73*(GREET1_Import_Export!$D321+GREET1_Import_Export!$E321)</f>
        <v>3.3085616671073396E-2</v>
      </c>
      <c r="C99" s="2185"/>
      <c r="D99" s="2151">
        <f>D$69*(D$61*($B$53*GREET1_Import_Export!$K78)+GREET1_Import_Export!$G$200*GREET1_Import_Export!$B207+GREET1_Import_Export!$G207)+D$70*(D$61*(GREET1_Import_Export!$O78)+GREET1_Import_Export!$G$200*GREET1_Import_Export!$B207+GREET1_Import_Export!$G207)+D$71*(D$61*($B$54*GREET1_Import_Export!$B78)+GREET1_Import_Export!$B243)+D$72*(D$61*($B$55*GREET1_Import_Export!$AA78)+GREET1_Import_Export!$C296)+D$73*(GREET1_Import_Export!$D321+GREET1_Import_Export!$E321)</f>
        <v>5.7984562531595216E-2</v>
      </c>
      <c r="E99" s="2185">
        <f t="shared" si="0"/>
        <v>0</v>
      </c>
      <c r="F99" s="2151">
        <f>F$69*(F$61*($B$53*GREET1_Import_Export!$K78)+GREET1_Import_Export!$G$200*GREET1_Import_Export!$B207+GREET1_Import_Export!$G207)+F$70*(F$61*(GREET1_Import_Export!$O78)+GREET1_Import_Export!$G$200*GREET1_Import_Export!$B207+GREET1_Import_Export!$G207)+F$71*(F$61*($B$54*GREET1_Import_Export!$B78)+GREET1_Import_Export!$B243)+F$72*(F$61*($B$55*GREET1_Import_Export!$AA78)+GREET1_Import_Export!$C296)+F$73*(GREET1_Import_Export!$D321+GREET1_Import_Export!$E321)</f>
        <v>0.11412808538105459</v>
      </c>
      <c r="G99" s="2185"/>
      <c r="H99" s="2151">
        <f>H$69*(H$61*($B$53*GREET1_Import_Export!$K78)+GREET1_Import_Export!$G$200*GREET1_Import_Export!$B207+GREET1_Import_Export!$G207)+H$70*(H$61*(GREET1_Import_Export!$O78)+GREET1_Import_Export!$G$200*GREET1_Import_Export!$B207+GREET1_Import_Export!$G207)+H$71*(H$61*($B$54*GREET1_Import_Export!$B78)+GREET1_Import_Export!$B243)+H$72*(H$61*($B$55*GREET1_Import_Export!$AA78)+GREET1_Import_Export!$C296)+H$73*(GREET1_Import_Export!$D321+GREET1_Import_Export!$E321)</f>
        <v>6.721605665610096E-3</v>
      </c>
      <c r="I99" s="2185"/>
      <c r="J99" s="2151">
        <f>J$69*(J$61*($B$53*GREET1_Import_Export!$K78)+GREET1_Import_Export!$G$200*GREET1_Import_Export!$B207+GREET1_Import_Export!$G207)+J$70*(J$61*(GREET1_Import_Export!$O78)+GREET1_Import_Export!$G$200*GREET1_Import_Export!$B207+GREET1_Import_Export!$G207)+J$71*(J$61*($B$54*GREET1_Import_Export!$B78)+GREET1_Import_Export!$B243)+J$72*(J$61*($B$55*GREET1_Import_Export!$AA78)+GREET1_Import_Export!$C296)+J$73*(GREET1_Import_Export!$D321+GREET1_Import_Export!$E321)</f>
        <v>2.3632583336481001E-2</v>
      </c>
      <c r="K99" s="2185"/>
      <c r="L99" s="2151">
        <f>L$69*(L$61*($B$53*GREET1_Import_Export!$K78)+GREET1_Import_Export!$G$200*GREET1_Import_Export!$B207+GREET1_Import_Export!$G207)+L$70*(L$61*(GREET1_Import_Export!$O78)+GREET1_Import_Export!$G$200*GREET1_Import_Export!$B207+GREET1_Import_Export!$G207)+L$71*(L$61*($B$54*GREET1_Import_Export!$B78)+GREET1_Import_Export!$B243)+L$72*(L$61*($B$55*GREET1_Import_Export!$AA78)+GREET1_Import_Export!$C296)+L$73*(GREET1_Import_Export!$D321+GREET1_Import_Export!$E321)</f>
        <v>3.1471684150533238E-2</v>
      </c>
      <c r="M99" s="2185"/>
      <c r="N99" s="2151">
        <f>N$69*(N$61*($B$53*GREET1_Import_Export!$K78)+GREET1_Import_Export!$G$200*GREET1_Import_Export!$B207+GREET1_Import_Export!$G207)+N$70*(N$61*(GREET1_Import_Export!$O78)+GREET1_Import_Export!$G$200*GREET1_Import_Export!$B207+GREET1_Import_Export!$G207)+N$71*(N$61*($B$54*GREET1_Import_Export!$B78)+GREET1_Import_Export!$B243)+N$72*(N$61*($B$55*GREET1_Import_Export!$AA78)+GREET1_Import_Export!$C296)+N$73*(GREET1_Import_Export!$D321+GREET1_Import_Export!$E321)</f>
        <v>4.7149885778637705E-2</v>
      </c>
      <c r="O99" s="2185"/>
      <c r="P99" s="2151">
        <f>P$69*(P$61*($B$53*GREET1_Import_Export!$K78)+GREET1_Import_Export!$G$200*GREET1_Import_Export!$B207+GREET1_Import_Export!$G207)+P$70*(P$61*(GREET1_Import_Export!$O78)+GREET1_Import_Export!$G$200*GREET1_Import_Export!$B207+GREET1_Import_Export!$G207)+P$71*(P$61*($B$54*GREET1_Import_Export!$B78)+GREET1_Import_Export!$B243)+P$72*(P$61*($B$55*GREET1_Import_Export!$AA78)+GREET1_Import_Export!$C296)+P$73*(GREET1_Import_Export!$D321+GREET1_Import_Export!$E321)</f>
        <v>0.98695860947972913</v>
      </c>
      <c r="Q99" s="2185"/>
    </row>
    <row r="100" spans="1:17" s="2136" customFormat="1">
      <c r="A100" s="2142" t="s">
        <v>828</v>
      </c>
      <c r="B100" s="2159">
        <f>B$69*(B$61*($B$53*GREET1_Import_Export!$K79)+GREET1_Import_Export!$G$200*GREET1_Import_Export!$B208+GREET1_Import_Export!$G208)+B$70*(B$61*(GREET1_Import_Export!$O79)+GREET1_Import_Export!$G$200*GREET1_Import_Export!$B208+GREET1_Import_Export!$G208)+B$71*(B$61*($B$54*GREET1_Import_Export!$B79)+GREET1_Import_Export!$B244)+B$72*(B$61*($B$55*GREET1_Import_Export!$AA79)+GREET1_Import_Export!$C297)+B$73*(GREET1_Import_Export!$D322+GREET1_Import_Export!$E322)</f>
        <v>0.18361254526407442</v>
      </c>
      <c r="C100" s="2227"/>
      <c r="D100" s="2159">
        <f>D$69*(D$61*($B$53*GREET1_Import_Export!$K79)+GREET1_Import_Export!$G$200*GREET1_Import_Export!$B208+GREET1_Import_Export!$G208)+D$70*(D$61*(GREET1_Import_Export!$O79)+GREET1_Import_Export!$G$200*GREET1_Import_Export!$B208+GREET1_Import_Export!$G208)+D$71*(D$61*($B$54*GREET1_Import_Export!$B79)+GREET1_Import_Export!$B244)+D$72*(D$61*($B$55*GREET1_Import_Export!$AA79)+GREET1_Import_Export!$C297)+D$73*(GREET1_Import_Export!$D322+GREET1_Import_Export!$E322)</f>
        <v>0.3036745422133672</v>
      </c>
      <c r="E100" s="2227">
        <f t="shared" si="0"/>
        <v>0</v>
      </c>
      <c r="F100" s="2159">
        <f>F$69*(F$61*($B$53*GREET1_Import_Export!$K79)+GREET1_Import_Export!$G$200*GREET1_Import_Export!$B208+GREET1_Import_Export!$G208)+F$70*(F$61*(GREET1_Import_Export!$O79)+GREET1_Import_Export!$G$200*GREET1_Import_Export!$B208+GREET1_Import_Export!$G208)+F$71*(F$61*($B$54*GREET1_Import_Export!$B79)+GREET1_Import_Export!$B244)+F$72*(F$61*($B$55*GREET1_Import_Export!$AA79)+GREET1_Import_Export!$C297)+F$73*(GREET1_Import_Export!$D322+GREET1_Import_Export!$E322)</f>
        <v>0.63336731641614519</v>
      </c>
      <c r="G100" s="2227"/>
      <c r="H100" s="2159">
        <f>H$69*(H$61*($B$53*GREET1_Import_Export!$K79)+GREET1_Import_Export!$G$200*GREET1_Import_Export!$B208+GREET1_Import_Export!$G208)+H$70*(H$61*(GREET1_Import_Export!$O79)+GREET1_Import_Export!$G$200*GREET1_Import_Export!$B208+GREET1_Import_Export!$G208)+H$71*(H$61*($B$54*GREET1_Import_Export!$B79)+GREET1_Import_Export!$B244)+H$72*(H$61*($B$55*GREET1_Import_Export!$AA79)+GREET1_Import_Export!$C297)+H$73*(GREET1_Import_Export!$D322+GREET1_Import_Export!$E322)</f>
        <v>1.3822689095852707E-2</v>
      </c>
      <c r="I100" s="2227"/>
      <c r="J100" s="2159">
        <f>J$69*(J$61*($B$53*GREET1_Import_Export!$K79)+GREET1_Import_Export!$G$200*GREET1_Import_Export!$B208+GREET1_Import_Export!$G208)+J$70*(J$61*(GREET1_Import_Export!$O79)+GREET1_Import_Export!$G$200*GREET1_Import_Export!$B208+GREET1_Import_Export!$G208)+J$71*(J$61*($B$54*GREET1_Import_Export!$B79)+GREET1_Import_Export!$B244)+J$72*(J$61*($B$55*GREET1_Import_Export!$AA79)+GREET1_Import_Export!$C297)+J$73*(GREET1_Import_Export!$D322+GREET1_Import_Export!$E322)</f>
        <v>0.13115181804576742</v>
      </c>
      <c r="K100" s="2227"/>
      <c r="L100" s="2159">
        <f>L$69*(L$61*($B$53*GREET1_Import_Export!$K79)+GREET1_Import_Export!$G$200*GREET1_Import_Export!$B208+GREET1_Import_Export!$G208)+L$70*(L$61*(GREET1_Import_Export!$O79)+GREET1_Import_Export!$G$200*GREET1_Import_Export!$B208+GREET1_Import_Export!$G208)+L$71*(L$61*($B$54*GREET1_Import_Export!$B79)+GREET1_Import_Export!$B244)+L$72*(L$61*($B$55*GREET1_Import_Export!$AA79)+GREET1_Import_Export!$C297)+L$73*(GREET1_Import_Export!$D322+GREET1_Import_Export!$E322)</f>
        <v>0.17465583573899762</v>
      </c>
      <c r="M100" s="2227"/>
      <c r="N100" s="2159">
        <f>N$69*(N$61*($B$53*GREET1_Import_Export!$K79)+GREET1_Import_Export!$G$200*GREET1_Import_Export!$B208+GREET1_Import_Export!$G208)+N$70*(N$61*(GREET1_Import_Export!$O79)+GREET1_Import_Export!$G$200*GREET1_Import_Export!$B208+GREET1_Import_Export!$G208)+N$71*(N$61*($B$54*GREET1_Import_Export!$B79)+GREET1_Import_Export!$B244)+N$72*(N$61*($B$55*GREET1_Import_Export!$AA79)+GREET1_Import_Export!$C297)+N$73*(GREET1_Import_Export!$D322+GREET1_Import_Export!$E322)</f>
        <v>0.26166387112545797</v>
      </c>
      <c r="O100" s="2227"/>
      <c r="P100" s="2159">
        <f>P$69*(P$61*($B$53*GREET1_Import_Export!$K79)+GREET1_Import_Export!$G$200*GREET1_Import_Export!$B208+GREET1_Import_Export!$G208)+P$70*(P$61*(GREET1_Import_Export!$O79)+GREET1_Import_Export!$G$200*GREET1_Import_Export!$B208+GREET1_Import_Export!$G208)+P$71*(P$61*($B$54*GREET1_Import_Export!$B79)+GREET1_Import_Export!$B244)+P$72*(P$61*($B$55*GREET1_Import_Export!$AA79)+GREET1_Import_Export!$C297)+P$73*(GREET1_Import_Export!$D322+GREET1_Import_Export!$E322)</f>
        <v>5.4772436058386278</v>
      </c>
      <c r="Q100" s="2227"/>
    </row>
    <row r="101" spans="1:17" s="2136" customFormat="1"/>
    <row r="102" spans="1:17" s="2136" customFormat="1"/>
    <row r="103" spans="1:17" s="2136" customFormat="1" ht="15">
      <c r="A103" s="1501" t="s">
        <v>2677</v>
      </c>
      <c r="B103" s="621"/>
      <c r="C103" s="621"/>
      <c r="D103" s="621"/>
      <c r="E103" s="621"/>
      <c r="F103" s="621"/>
      <c r="G103" s="621"/>
      <c r="H103" s="621"/>
      <c r="I103" s="621"/>
      <c r="J103" s="621"/>
      <c r="K103" s="621"/>
      <c r="L103" s="621"/>
      <c r="M103" s="621"/>
      <c r="N103" s="621"/>
    </row>
    <row r="104" spans="1:17" s="2136" customFormat="1" ht="51">
      <c r="A104" s="1714"/>
      <c r="B104" s="1712" t="s">
        <v>236</v>
      </c>
      <c r="C104" s="1712" t="s">
        <v>237</v>
      </c>
      <c r="D104" s="1712" t="s">
        <v>238</v>
      </c>
      <c r="E104" s="1712" t="s">
        <v>239</v>
      </c>
      <c r="F104" s="1712" t="s">
        <v>240</v>
      </c>
      <c r="G104" s="1712" t="s">
        <v>241</v>
      </c>
      <c r="H104" s="1712" t="s">
        <v>242</v>
      </c>
      <c r="I104" s="1712" t="s">
        <v>243</v>
      </c>
      <c r="J104" s="844" t="s">
        <v>2678</v>
      </c>
      <c r="K104" s="621"/>
      <c r="L104" s="621"/>
      <c r="M104" s="621"/>
      <c r="N104" s="621"/>
    </row>
    <row r="105" spans="1:17" s="2136" customFormat="1">
      <c r="A105" s="795" t="s">
        <v>1443</v>
      </c>
      <c r="B105" s="2938"/>
      <c r="C105" s="2938"/>
      <c r="D105" s="2938"/>
      <c r="E105" s="2938"/>
      <c r="F105" s="621"/>
      <c r="G105" s="621"/>
      <c r="H105" s="2938"/>
      <c r="I105" s="2938"/>
      <c r="J105" s="844"/>
      <c r="K105" s="621"/>
      <c r="L105" s="621"/>
      <c r="M105" s="621"/>
      <c r="N105" s="621"/>
    </row>
    <row r="106" spans="1:17" s="2136" customFormat="1">
      <c r="A106" s="494" t="s">
        <v>855</v>
      </c>
      <c r="B106" s="621">
        <f>SUM(B74:C74)</f>
        <v>0.58205186056138436</v>
      </c>
      <c r="C106" s="621">
        <f>SUM(D74:E74)</f>
        <v>3.4697372066247998</v>
      </c>
      <c r="D106" s="621">
        <f>SUM(F74:G74)</f>
        <v>2.0077747106472841</v>
      </c>
      <c r="E106" s="621">
        <f>SUM(H74:I74)</f>
        <v>3.2928918881409128</v>
      </c>
      <c r="F106" s="621">
        <f>SUM(J74:K74)</f>
        <v>0.41575132897241734</v>
      </c>
      <c r="G106" s="621">
        <f>SUM(L74:M74)</f>
        <v>0.55365908687546328</v>
      </c>
      <c r="H106" s="621">
        <f>SUM(N74:O74)</f>
        <v>0.8294746026815546</v>
      </c>
      <c r="I106" s="621">
        <f>SUM(P74:Q74)</f>
        <v>17.362864977124687</v>
      </c>
      <c r="J106" s="494">
        <f>SUM(B106:I106)</f>
        <v>28.514205661628502</v>
      </c>
      <c r="K106" s="621"/>
      <c r="L106" s="621"/>
      <c r="M106" s="621"/>
      <c r="N106" s="621"/>
    </row>
    <row r="107" spans="1:17" s="2136" customFormat="1">
      <c r="A107" s="494" t="s">
        <v>817</v>
      </c>
      <c r="B107" s="621">
        <f t="shared" ref="B107:B123" si="1">SUM(B75:C75)</f>
        <v>0.46099343845488616</v>
      </c>
      <c r="C107" s="621">
        <f t="shared" ref="C107:C123" si="2">SUM(D75:E75)</f>
        <v>3.2748345544818638</v>
      </c>
      <c r="D107" s="621">
        <f t="shared" ref="D107:D123" si="3">SUM(F75:G75)</f>
        <v>1.5901864253321858</v>
      </c>
      <c r="E107" s="621">
        <f t="shared" ref="E107:E123" si="4">SUM(H75:I75)</f>
        <v>3.2906655993205178</v>
      </c>
      <c r="F107" s="621">
        <f t="shared" ref="F107:F123" si="5">SUM(J75:K75)</f>
        <v>0.32928102746777582</v>
      </c>
      <c r="G107" s="621">
        <f t="shared" ref="G107:G123" si="6">SUM(L75:M75)</f>
        <v>0.43850595365220885</v>
      </c>
      <c r="H107" s="621">
        <f t="shared" ref="H107:H123" si="7">SUM(N75:O75)</f>
        <v>0.65695580602107462</v>
      </c>
      <c r="I107" s="621">
        <f t="shared" ref="I107:I123" si="8">SUM(P75:Q75)</f>
        <v>13.75163859026698</v>
      </c>
      <c r="J107" s="494">
        <f>SUM(B107:I107)</f>
        <v>23.793061394997494</v>
      </c>
      <c r="K107" s="621"/>
      <c r="L107" s="621"/>
      <c r="M107" s="621"/>
      <c r="N107" s="621"/>
    </row>
    <row r="108" spans="1:17" s="2136" customFormat="1">
      <c r="A108" s="494" t="s">
        <v>805</v>
      </c>
      <c r="B108" s="621">
        <f t="shared" si="1"/>
        <v>0.16002997625492929</v>
      </c>
      <c r="C108" s="621">
        <f t="shared" si="2"/>
        <v>0.25764379026268952</v>
      </c>
      <c r="D108" s="621">
        <f t="shared" si="3"/>
        <v>0.55201977871909413</v>
      </c>
      <c r="E108" s="621">
        <f t="shared" si="4"/>
        <v>2.9395998709779987E-3</v>
      </c>
      <c r="F108" s="621">
        <f t="shared" si="5"/>
        <v>0.11430712589637806</v>
      </c>
      <c r="G108" s="621">
        <f t="shared" si="6"/>
        <v>0.15222363594981081</v>
      </c>
      <c r="H108" s="621">
        <f t="shared" si="7"/>
        <v>0.22805665605667627</v>
      </c>
      <c r="I108" s="621">
        <f t="shared" si="8"/>
        <v>4.773765120047706</v>
      </c>
      <c r="J108" s="494">
        <f>SUM(B108:I108)</f>
        <v>6.2409856830582626</v>
      </c>
      <c r="K108" s="621"/>
      <c r="L108" s="621"/>
      <c r="M108" s="621"/>
      <c r="N108" s="621"/>
    </row>
    <row r="109" spans="1:17" s="2136" customFormat="1">
      <c r="A109" s="494" t="s">
        <v>804</v>
      </c>
      <c r="B109" s="621">
        <f t="shared" si="1"/>
        <v>0.29595698035738616</v>
      </c>
      <c r="C109" s="621">
        <f t="shared" si="2"/>
        <v>2.9999646100561628</v>
      </c>
      <c r="D109" s="621">
        <f t="shared" si="3"/>
        <v>1.0208969008843636</v>
      </c>
      <c r="E109" s="621">
        <f t="shared" si="4"/>
        <v>3.2757554961396154</v>
      </c>
      <c r="F109" s="621">
        <f t="shared" si="5"/>
        <v>0.21139784311241872</v>
      </c>
      <c r="G109" s="621">
        <f t="shared" si="6"/>
        <v>0.28152005448629425</v>
      </c>
      <c r="H109" s="621">
        <f t="shared" si="7"/>
        <v>0.42176447723404503</v>
      </c>
      <c r="I109" s="621">
        <f t="shared" si="8"/>
        <v>8.8285278978863531</v>
      </c>
      <c r="J109" s="494">
        <f t="shared" ref="J109" si="9">J107-J108-J110</f>
        <v>17.33578426015664</v>
      </c>
      <c r="K109" s="621"/>
      <c r="L109" s="621"/>
      <c r="M109" s="621"/>
      <c r="N109" s="621"/>
    </row>
    <row r="110" spans="1:17" s="2136" customFormat="1">
      <c r="A110" s="504" t="s">
        <v>818</v>
      </c>
      <c r="B110" s="621">
        <f t="shared" si="1"/>
        <v>5.0064818425706774E-3</v>
      </c>
      <c r="C110" s="621">
        <f t="shared" si="2"/>
        <v>1.7226154163011521E-2</v>
      </c>
      <c r="D110" s="621">
        <f t="shared" si="3"/>
        <v>1.7269745728728123E-2</v>
      </c>
      <c r="E110" s="621">
        <f t="shared" si="4"/>
        <v>1.1970503309924744E-2</v>
      </c>
      <c r="F110" s="621">
        <f t="shared" si="5"/>
        <v>3.5760584589790557E-3</v>
      </c>
      <c r="G110" s="621">
        <f t="shared" si="6"/>
        <v>4.7622632161038164E-3</v>
      </c>
      <c r="H110" s="621">
        <f t="shared" si="7"/>
        <v>7.134672730353335E-3</v>
      </c>
      <c r="I110" s="621">
        <f t="shared" si="8"/>
        <v>0.14934557233292037</v>
      </c>
      <c r="J110" s="504">
        <f>SUM(B110:I110)</f>
        <v>0.21629145178259165</v>
      </c>
      <c r="K110" s="621"/>
      <c r="L110" s="621"/>
      <c r="M110" s="621"/>
      <c r="N110" s="621"/>
    </row>
    <row r="111" spans="1:17" s="2136" customFormat="1">
      <c r="A111" s="1670" t="s">
        <v>819</v>
      </c>
      <c r="B111" s="1571">
        <f t="shared" si="1"/>
        <v>31.192701757183013</v>
      </c>
      <c r="C111" s="1571">
        <f t="shared" si="2"/>
        <v>56.868972119403729</v>
      </c>
      <c r="D111" s="1571">
        <f t="shared" si="3"/>
        <v>107.59851825648497</v>
      </c>
      <c r="E111" s="1571">
        <f t="shared" si="4"/>
        <v>9.1905542923162731</v>
      </c>
      <c r="F111" s="1571">
        <f t="shared" si="5"/>
        <v>22.280501255130723</v>
      </c>
      <c r="G111" s="1571">
        <f t="shared" si="6"/>
        <v>29.671106549515553</v>
      </c>
      <c r="H111" s="1571">
        <f t="shared" si="7"/>
        <v>44.452317138285203</v>
      </c>
      <c r="I111" s="1573">
        <f t="shared" si="8"/>
        <v>930.4921186220846</v>
      </c>
      <c r="J111" s="756">
        <f>SUM(B111:I111)</f>
        <v>1231.7467899904041</v>
      </c>
      <c r="K111" s="621"/>
      <c r="L111" s="621"/>
      <c r="M111" s="621"/>
      <c r="N111" s="621"/>
    </row>
    <row r="112" spans="1:17" s="2136" customFormat="1">
      <c r="A112" s="795" t="s">
        <v>1470</v>
      </c>
      <c r="B112" s="621">
        <f t="shared" si="1"/>
        <v>0</v>
      </c>
      <c r="C112" s="621">
        <f t="shared" si="2"/>
        <v>0</v>
      </c>
      <c r="D112" s="621">
        <f t="shared" si="3"/>
        <v>0</v>
      </c>
      <c r="E112" s="621">
        <f t="shared" si="4"/>
        <v>0</v>
      </c>
      <c r="F112" s="621">
        <f t="shared" si="5"/>
        <v>0</v>
      </c>
      <c r="G112" s="621">
        <f t="shared" si="6"/>
        <v>0</v>
      </c>
      <c r="H112" s="621">
        <f t="shared" si="7"/>
        <v>0</v>
      </c>
      <c r="I112" s="621">
        <f t="shared" si="8"/>
        <v>0</v>
      </c>
      <c r="J112" s="511"/>
      <c r="K112" s="621"/>
      <c r="L112" s="621"/>
      <c r="M112" s="621"/>
      <c r="N112" s="621"/>
    </row>
    <row r="113" spans="1:14" s="2136" customFormat="1">
      <c r="A113" s="490" t="s">
        <v>821</v>
      </c>
      <c r="B113" s="621">
        <f t="shared" si="1"/>
        <v>3.976921279393351</v>
      </c>
      <c r="C113" s="621">
        <f t="shared" si="2"/>
        <v>1635.8610531893876</v>
      </c>
      <c r="D113" s="621">
        <f t="shared" si="3"/>
        <v>13.718299883621665</v>
      </c>
      <c r="E113" s="621">
        <f t="shared" si="4"/>
        <v>38.249707800889254</v>
      </c>
      <c r="F113" s="621">
        <f t="shared" si="5"/>
        <v>2.8406580567095365</v>
      </c>
      <c r="G113" s="621">
        <f t="shared" si="6"/>
        <v>3.7829251194229441</v>
      </c>
      <c r="H113" s="621">
        <f t="shared" si="7"/>
        <v>5.6674592448497583</v>
      </c>
      <c r="I113" s="621">
        <f t="shared" si="8"/>
        <v>118.63332441229863</v>
      </c>
      <c r="J113" s="494">
        <f t="shared" ref="J113:J124" si="10">SUM(B113:I113)</f>
        <v>1822.7303489865728</v>
      </c>
      <c r="K113" s="621"/>
      <c r="L113" s="621"/>
      <c r="M113" s="621"/>
      <c r="N113" s="621"/>
    </row>
    <row r="114" spans="1:14" s="2136" customFormat="1">
      <c r="A114" s="490" t="s">
        <v>822</v>
      </c>
      <c r="B114" s="621">
        <f t="shared" si="1"/>
        <v>10.749575709622755</v>
      </c>
      <c r="C114" s="621">
        <f t="shared" si="2"/>
        <v>162.60645973173672</v>
      </c>
      <c r="D114" s="621">
        <f t="shared" si="3"/>
        <v>37.080417953054109</v>
      </c>
      <c r="E114" s="621">
        <f t="shared" si="4"/>
        <v>159.40544539854855</v>
      </c>
      <c r="F114" s="621">
        <f t="shared" si="5"/>
        <v>7.6782683640162546</v>
      </c>
      <c r="G114" s="621">
        <f t="shared" si="6"/>
        <v>10.225206162811892</v>
      </c>
      <c r="H114" s="621">
        <f t="shared" si="7"/>
        <v>15.319081760403161</v>
      </c>
      <c r="I114" s="621">
        <f t="shared" si="8"/>
        <v>320.66460783673665</v>
      </c>
      <c r="J114" s="494">
        <f t="shared" si="10"/>
        <v>723.72906291693016</v>
      </c>
      <c r="K114" s="621"/>
      <c r="L114" s="621"/>
      <c r="M114" s="621"/>
      <c r="N114" s="621"/>
    </row>
    <row r="115" spans="1:14" s="2136" customFormat="1" ht="15.75">
      <c r="A115" s="490" t="s">
        <v>2542</v>
      </c>
      <c r="B115" s="621">
        <f t="shared" si="1"/>
        <v>22.144794037446616</v>
      </c>
      <c r="C115" s="621">
        <f t="shared" si="2"/>
        <v>229.30268635197717</v>
      </c>
      <c r="D115" s="621">
        <f t="shared" si="3"/>
        <v>76.387965495024915</v>
      </c>
      <c r="E115" s="621">
        <f t="shared" si="4"/>
        <v>216.70189373798249</v>
      </c>
      <c r="F115" s="621">
        <f t="shared" si="5"/>
        <v>15.817710026747584</v>
      </c>
      <c r="G115" s="621">
        <f t="shared" si="6"/>
        <v>21.064560181961419</v>
      </c>
      <c r="H115" s="621">
        <f t="shared" si="7"/>
        <v>31.558260492389081</v>
      </c>
      <c r="I115" s="621">
        <f t="shared" si="8"/>
        <v>660.58902113563749</v>
      </c>
      <c r="J115" s="494">
        <f t="shared" si="10"/>
        <v>1273.5668914591668</v>
      </c>
      <c r="K115" s="621"/>
      <c r="L115" s="621"/>
      <c r="M115" s="621"/>
      <c r="N115" s="621"/>
    </row>
    <row r="116" spans="1:14" s="2136" customFormat="1" ht="15.75">
      <c r="A116" s="490" t="s">
        <v>2543</v>
      </c>
      <c r="B116" s="621">
        <f t="shared" si="1"/>
        <v>3.544856015042662</v>
      </c>
      <c r="C116" s="621">
        <f t="shared" si="2"/>
        <v>74.693033875863733</v>
      </c>
      <c r="D116" s="621">
        <f t="shared" si="3"/>
        <v>12.2279005396942</v>
      </c>
      <c r="E116" s="621">
        <f t="shared" si="4"/>
        <v>11.71045590175779</v>
      </c>
      <c r="F116" s="621">
        <f t="shared" si="5"/>
        <v>2.5320400107447587</v>
      </c>
      <c r="G116" s="621">
        <f t="shared" si="6"/>
        <v>3.3719362094308254</v>
      </c>
      <c r="H116" s="621">
        <f t="shared" si="7"/>
        <v>5.0517286068029579</v>
      </c>
      <c r="I116" s="621">
        <f t="shared" si="8"/>
        <v>105.74462607708297</v>
      </c>
      <c r="J116" s="494">
        <f t="shared" si="10"/>
        <v>218.87657723641991</v>
      </c>
      <c r="K116" s="621"/>
      <c r="L116" s="621"/>
      <c r="M116" s="621"/>
      <c r="N116" s="621"/>
    </row>
    <row r="117" spans="1:14" s="2136" customFormat="1" ht="15.75">
      <c r="A117" s="490" t="s">
        <v>2544</v>
      </c>
      <c r="B117" s="621">
        <f t="shared" si="1"/>
        <v>2.1278690312376258</v>
      </c>
      <c r="C117" s="621">
        <f t="shared" si="2"/>
        <v>42.33666335179548</v>
      </c>
      <c r="D117" s="621">
        <f t="shared" si="3"/>
        <v>7.3400360310984301</v>
      </c>
      <c r="E117" s="621">
        <f t="shared" si="4"/>
        <v>11.587151420532994</v>
      </c>
      <c r="F117" s="621">
        <f t="shared" si="5"/>
        <v>1.5199064508840183</v>
      </c>
      <c r="G117" s="621">
        <f t="shared" si="6"/>
        <v>2.0240705419089613</v>
      </c>
      <c r="H117" s="621">
        <f t="shared" si="7"/>
        <v>3.0323987239588464</v>
      </c>
      <c r="I117" s="621">
        <f t="shared" si="8"/>
        <v>63.475276314296089</v>
      </c>
      <c r="J117" s="494">
        <f t="shared" si="10"/>
        <v>133.44337186571244</v>
      </c>
      <c r="K117" s="621"/>
      <c r="L117" s="621"/>
      <c r="M117" s="621"/>
      <c r="N117" s="621"/>
    </row>
    <row r="118" spans="1:14" s="2136" customFormat="1" ht="15.75">
      <c r="A118" s="490" t="s">
        <v>2545</v>
      </c>
      <c r="B118" s="621">
        <f t="shared" si="1"/>
        <v>18.593608870892343</v>
      </c>
      <c r="C118" s="621">
        <f t="shared" si="2"/>
        <v>55.831666129399352</v>
      </c>
      <c r="D118" s="621">
        <f t="shared" si="3"/>
        <v>64.138232690534565</v>
      </c>
      <c r="E118" s="621">
        <f t="shared" si="4"/>
        <v>33.902211234255212</v>
      </c>
      <c r="F118" s="621">
        <f t="shared" si="5"/>
        <v>13.281149193494532</v>
      </c>
      <c r="G118" s="621">
        <f t="shared" si="6"/>
        <v>17.68660356011711</v>
      </c>
      <c r="H118" s="621">
        <f t="shared" si="7"/>
        <v>26.497512293362259</v>
      </c>
      <c r="I118" s="621">
        <f t="shared" si="8"/>
        <v>554.65559366376158</v>
      </c>
      <c r="J118" s="494">
        <f t="shared" si="10"/>
        <v>784.58657763581698</v>
      </c>
      <c r="K118" s="621"/>
      <c r="L118" s="621"/>
      <c r="M118" s="621"/>
      <c r="N118" s="621"/>
    </row>
    <row r="119" spans="1:14" s="2136" customFormat="1">
      <c r="A119" s="490" t="s">
        <v>827</v>
      </c>
      <c r="B119" s="621">
        <f t="shared" si="1"/>
        <v>0.12983107122569518</v>
      </c>
      <c r="C119" s="621">
        <f t="shared" si="2"/>
        <v>1.7669994841127479</v>
      </c>
      <c r="D119" s="621">
        <f t="shared" si="3"/>
        <v>0.44784933976807745</v>
      </c>
      <c r="E119" s="621">
        <f t="shared" si="4"/>
        <v>2.0214503222705784</v>
      </c>
      <c r="F119" s="621">
        <f t="shared" si="5"/>
        <v>9.2736479446925119E-2</v>
      </c>
      <c r="G119" s="621">
        <f t="shared" si="6"/>
        <v>0.12349784823907591</v>
      </c>
      <c r="H119" s="621">
        <f t="shared" si="7"/>
        <v>0.18502058582337744</v>
      </c>
      <c r="I119" s="621">
        <f t="shared" si="8"/>
        <v>3.8729183982901589</v>
      </c>
      <c r="J119" s="494">
        <f t="shared" si="10"/>
        <v>8.6403035291766361</v>
      </c>
      <c r="K119" s="621"/>
      <c r="L119" s="621"/>
      <c r="M119" s="621"/>
      <c r="N119" s="621"/>
    </row>
    <row r="120" spans="1:14" s="2136" customFormat="1">
      <c r="A120" s="490" t="s">
        <v>828</v>
      </c>
      <c r="B120" s="621">
        <f t="shared" si="1"/>
        <v>0.61796444484001511</v>
      </c>
      <c r="C120" s="621">
        <f t="shared" si="2"/>
        <v>4.769634615241646</v>
      </c>
      <c r="D120" s="621">
        <f t="shared" si="3"/>
        <v>2.1316543567652091</v>
      </c>
      <c r="E120" s="621">
        <f t="shared" si="4"/>
        <v>4.9032301305618704</v>
      </c>
      <c r="F120" s="621">
        <f t="shared" si="5"/>
        <v>0.44140317488572511</v>
      </c>
      <c r="G120" s="621">
        <f t="shared" si="6"/>
        <v>0.58781983777464863</v>
      </c>
      <c r="H120" s="621">
        <f t="shared" si="7"/>
        <v>0.88065316355249545</v>
      </c>
      <c r="I120" s="621">
        <f t="shared" si="8"/>
        <v>18.434153283304266</v>
      </c>
      <c r="J120" s="494">
        <f t="shared" si="10"/>
        <v>32.766513006925877</v>
      </c>
      <c r="K120" s="621"/>
      <c r="L120" s="621"/>
      <c r="M120" s="621"/>
      <c r="N120" s="621"/>
    </row>
    <row r="121" spans="1:14" s="2136" customFormat="1" ht="15.75">
      <c r="A121" s="490" t="s">
        <v>2546</v>
      </c>
      <c r="B121" s="621">
        <f t="shared" si="1"/>
        <v>76.887353151280678</v>
      </c>
      <c r="C121" s="621">
        <f t="shared" si="2"/>
        <v>622.99050042592114</v>
      </c>
      <c r="D121" s="621">
        <f t="shared" si="3"/>
        <v>265.22118334413892</v>
      </c>
      <c r="E121" s="621">
        <f t="shared" si="4"/>
        <v>648.35823122909107</v>
      </c>
      <c r="F121" s="621">
        <f t="shared" si="5"/>
        <v>54.919537965200483</v>
      </c>
      <c r="G121" s="621">
        <f t="shared" si="6"/>
        <v>73.136750558535283</v>
      </c>
      <c r="H121" s="621">
        <f t="shared" si="7"/>
        <v>109.57117574520487</v>
      </c>
      <c r="I121" s="621">
        <f t="shared" si="8"/>
        <v>2293.5838224563131</v>
      </c>
      <c r="J121" s="494">
        <f t="shared" si="10"/>
        <v>4144.6685548756859</v>
      </c>
      <c r="K121" s="621"/>
      <c r="L121" s="621"/>
      <c r="M121" s="621"/>
      <c r="N121" s="621"/>
    </row>
    <row r="122" spans="1:14" s="2136" customFormat="1" ht="15.75">
      <c r="A122" s="490" t="s">
        <v>2547</v>
      </c>
      <c r="B122" s="621">
        <f t="shared" si="1"/>
        <v>0.69758399989935316</v>
      </c>
      <c r="C122" s="621">
        <f t="shared" si="2"/>
        <v>6.1057685736485103</v>
      </c>
      <c r="D122" s="621">
        <f t="shared" si="3"/>
        <v>2.4063002087120546</v>
      </c>
      <c r="E122" s="621">
        <f t="shared" si="4"/>
        <v>6.4701397024558593</v>
      </c>
      <c r="F122" s="621">
        <f t="shared" si="5"/>
        <v>0.49827428564239512</v>
      </c>
      <c r="G122" s="621">
        <f t="shared" si="6"/>
        <v>0.66355551209938479</v>
      </c>
      <c r="H122" s="621">
        <f t="shared" si="7"/>
        <v>0.99411796501336391</v>
      </c>
      <c r="I122" s="621">
        <f t="shared" si="8"/>
        <v>20.80923989964236</v>
      </c>
      <c r="J122" s="494">
        <f t="shared" si="10"/>
        <v>38.644980147113287</v>
      </c>
      <c r="K122" s="621"/>
      <c r="L122" s="621"/>
      <c r="M122" s="621"/>
      <c r="N122" s="621"/>
    </row>
    <row r="123" spans="1:14" s="2144" customFormat="1" ht="15.75">
      <c r="A123" s="490" t="s">
        <v>2548</v>
      </c>
      <c r="B123" s="621">
        <f t="shared" si="1"/>
        <v>33973.059951692521</v>
      </c>
      <c r="C123" s="621">
        <f t="shared" si="2"/>
        <v>204929.23679561081</v>
      </c>
      <c r="D123" s="621">
        <f t="shared" si="3"/>
        <v>117189.30087866062</v>
      </c>
      <c r="E123" s="621">
        <f t="shared" si="4"/>
        <v>195319.97068590109</v>
      </c>
      <c r="F123" s="621">
        <f t="shared" si="5"/>
        <v>24266.471394066088</v>
      </c>
      <c r="G123" s="621">
        <f t="shared" si="6"/>
        <v>32315.837515024596</v>
      </c>
      <c r="H123" s="621">
        <f t="shared" si="7"/>
        <v>48414.569756941608</v>
      </c>
      <c r="I123" s="621">
        <f t="shared" si="8"/>
        <v>1013431.4358725267</v>
      </c>
      <c r="J123" s="630">
        <f t="shared" si="10"/>
        <v>1669839.8828504242</v>
      </c>
      <c r="K123" s="622"/>
      <c r="L123" s="246"/>
      <c r="M123" s="622"/>
      <c r="N123" s="622"/>
    </row>
    <row r="124" spans="1:14" s="2144" customFormat="1" ht="15.75">
      <c r="A124" s="490" t="s">
        <v>2550</v>
      </c>
      <c r="B124" s="246">
        <f>B123+B113*GREET1_Import_Export!$B$62/GREET1_Import_Export!$B$65+B114*GREET1_Import_Export!$B$63/GREET1_Import_Export!$B$65</f>
        <v>34002.346880080804</v>
      </c>
      <c r="C124" s="246">
        <f>C123+C113*GREET1_Import_Export!$B$62/GREET1_Import_Export!$B$65+C114*GREET1_Import_Export!$B$63/GREET1_Import_Export!$B$65</f>
        <v>210283.19484810569</v>
      </c>
      <c r="D124" s="246">
        <f>D123+D113*GREET1_Import_Export!$B$62/GREET1_Import_Export!$B$65+D114*GREET1_Import_Export!$B$63/GREET1_Import_Export!$B$65</f>
        <v>117290.32547484318</v>
      </c>
      <c r="E124" s="246">
        <f>E123+E113*GREET1_Import_Export!$B$62/GREET1_Import_Export!$B$65+E114*GREET1_Import_Export!$B$63/GREET1_Import_Export!$B$65</f>
        <v>195689.67654655443</v>
      </c>
      <c r="F124" s="246">
        <f>F123+F113*GREET1_Import_Export!$B$62/GREET1_Import_Export!$B$65+F114*GREET1_Import_Export!$B$63/GREET1_Import_Export!$B$65</f>
        <v>24287.390628629146</v>
      </c>
      <c r="G124" s="246">
        <f>G123+G113*GREET1_Import_Export!$B$62/GREET1_Import_Export!$B$65+G114*GREET1_Import_Export!$B$63/GREET1_Import_Export!$B$65</f>
        <v>32343.695812759786</v>
      </c>
      <c r="H124" s="246">
        <f>H123+H113*GREET1_Import_Export!$B$62/GREET1_Import_Export!$B$65+H114*GREET1_Import_Export!$B$63/GREET1_Import_Export!$B$65</f>
        <v>48456.306181021071</v>
      </c>
      <c r="I124" s="246">
        <f>I123+I113*GREET1_Import_Export!$B$62/GREET1_Import_Export!$B$65+I114*GREET1_Import_Export!$B$63/GREET1_Import_Export!$B$65</f>
        <v>1014305.0779268789</v>
      </c>
      <c r="J124" s="630">
        <f t="shared" si="10"/>
        <v>1676658.014298873</v>
      </c>
      <c r="K124" s="622"/>
      <c r="L124" s="246"/>
      <c r="M124" s="622"/>
      <c r="N124" s="622"/>
    </row>
    <row r="125" spans="1:14" s="2144" customFormat="1">
      <c r="A125" s="647" t="s">
        <v>851</v>
      </c>
      <c r="B125" s="294">
        <f>B124+SUMPRODUCT(B121:B122,GREET1_Import_Export!$B$51:$B$52)+SUMPRODUCT(B113:B115,GREET1_Import_Export!$B$55:$B$57)+SUMPRODUCT(B119:B120,GREET1_Import_Export!$B$58:$B$59)</f>
        <v>36493.827234592551</v>
      </c>
      <c r="C125" s="294">
        <f>C124+SUMPRODUCT(C121:C122,GREET1_Import_Export!$B$51:$B$52)+SUMPRODUCT(C113:C115,GREET1_Import_Export!$B$55:$B$57)+SUMPRODUCT(C119:C120,GREET1_Import_Export!$B$58:$B$59)</f>
        <v>230590.93853290018</v>
      </c>
      <c r="D125" s="294">
        <f>D124+SUMPRODUCT(D121:D122,GREET1_Import_Export!$B$51:$B$52)+SUMPRODUCT(D113:D115,GREET1_Import_Export!$B$55:$B$57)+SUMPRODUCT(D119:D120,GREET1_Import_Export!$B$58:$B$59)</f>
        <v>125884.63053047605</v>
      </c>
      <c r="E125" s="294">
        <f>E124+SUMPRODUCT(E121:E122,GREET1_Import_Export!$B$51:$B$52)+SUMPRODUCT(E113:E115,GREET1_Import_Export!$B$55:$B$57)+SUMPRODUCT(E119:E120,GREET1_Import_Export!$B$58:$B$59)</f>
        <v>216855.01050457795</v>
      </c>
      <c r="F125" s="294">
        <f>F124+SUMPRODUCT(F121:F122,GREET1_Import_Export!$B$51:$B$52)+SUMPRODUCT(F113:F115,GREET1_Import_Export!$B$55:$B$57)+SUMPRODUCT(F119:F120,GREET1_Import_Export!$B$58:$B$59)</f>
        <v>26067.019453280394</v>
      </c>
      <c r="G125" s="294">
        <f>G124+SUMPRODUCT(G121:G122,GREET1_Import_Export!$B$51:$B$52)+SUMPRODUCT(G113:G115,GREET1_Import_Export!$B$55:$B$57)+SUMPRODUCT(G119:G120,GREET1_Import_Export!$B$58:$B$59)</f>
        <v>34713.640540222179</v>
      </c>
      <c r="H125" s="294">
        <f>H124+SUMPRODUCT(H121:H122,GREET1_Import_Export!$B$51:$B$52)+SUMPRODUCT(H113:H115,GREET1_Import_Export!$B$55:$B$57)+SUMPRODUCT(H119:H120,GREET1_Import_Export!$B$58:$B$59)</f>
        <v>52006.882714105755</v>
      </c>
      <c r="I125" s="294">
        <f>I124+SUMPRODUCT(I121:I122,GREET1_Import_Export!$B$51:$B$52)+SUMPRODUCT(I113:I115,GREET1_Import_Export!$B$55:$B$57)+SUMPRODUCT(I119:I120,GREET1_Import_Export!$B$58:$B$59)</f>
        <v>1088627.0411739736</v>
      </c>
      <c r="J125" s="756">
        <f>J124+SUMPRODUCT(J121:J122,GREET1_Import_Export!$B$51:$B$52)+SUMPRODUCT(J113:J115,GREET1_Import_Export!$B$55:$B$57)+SUMPRODUCT(J119:J120,GREET1_Import_Export!$B$58:$B$59)</f>
        <v>1811238.9906841286</v>
      </c>
      <c r="K125" s="622"/>
      <c r="L125" s="622"/>
      <c r="M125" s="622"/>
      <c r="N125" s="622"/>
    </row>
    <row r="126" spans="1:14" s="2136" customFormat="1">
      <c r="A126" s="795" t="s">
        <v>1471</v>
      </c>
      <c r="B126" s="512"/>
      <c r="C126" s="513"/>
      <c r="D126" s="513"/>
      <c r="E126" s="513"/>
      <c r="F126" s="513"/>
      <c r="G126" s="513"/>
      <c r="H126" s="513"/>
      <c r="I126" s="514"/>
      <c r="J126" s="494"/>
      <c r="K126" s="621"/>
      <c r="L126" s="621"/>
      <c r="M126" s="621"/>
      <c r="N126" s="621"/>
    </row>
    <row r="127" spans="1:14" s="2136" customFormat="1">
      <c r="A127" s="490" t="s">
        <v>821</v>
      </c>
      <c r="B127" s="349">
        <f>SUM(B93:C93)</f>
        <v>0.24799894420566984</v>
      </c>
      <c r="C127" s="621">
        <f>SUM(D93:E93)</f>
        <v>1.7720414993401268</v>
      </c>
      <c r="D127" s="621">
        <f>SUM(F93:G93)</f>
        <v>0.85546674133663114</v>
      </c>
      <c r="E127" s="621">
        <f>SUM(H93:I93)</f>
        <v>1.7836036813796603</v>
      </c>
      <c r="F127" s="621">
        <f>SUM(J93:K93)</f>
        <v>0.17714210300404989</v>
      </c>
      <c r="G127" s="621">
        <f>SUM(L93:M93)</f>
        <v>0.23590143473222255</v>
      </c>
      <c r="H127" s="621">
        <f>SUM(N93:O93)</f>
        <v>0.35342009818856784</v>
      </c>
      <c r="I127" s="348">
        <f>SUM(P93:Q93)</f>
        <v>7.3979184235567068</v>
      </c>
      <c r="J127" s="494">
        <f t="shared" ref="J127:J134" si="11">SUM(B127:I127)</f>
        <v>12.823492925743636</v>
      </c>
      <c r="K127" s="621"/>
      <c r="L127" s="621"/>
      <c r="M127" s="621"/>
      <c r="N127" s="621"/>
    </row>
    <row r="128" spans="1:14" s="2136" customFormat="1">
      <c r="A128" s="490" t="s">
        <v>822</v>
      </c>
      <c r="B128" s="349">
        <f t="shared" ref="B128:B134" si="12">SUM(B94:C94)</f>
        <v>1.8308702832816139</v>
      </c>
      <c r="C128" s="621">
        <f t="shared" ref="C128:C134" si="13">SUM(D94:E94)</f>
        <v>9.5341422653260466</v>
      </c>
      <c r="D128" s="621">
        <f t="shared" ref="D128:D134" si="14">SUM(F94:G94)</f>
        <v>6.3155455764766479</v>
      </c>
      <c r="E128" s="621">
        <f t="shared" ref="E128:E134" si="15">SUM(H94:I94)</f>
        <v>8.5694282871484244</v>
      </c>
      <c r="F128" s="621">
        <f t="shared" ref="F128:F134" si="16">SUM(J94:K94)</f>
        <v>1.3077644880582957</v>
      </c>
      <c r="G128" s="621">
        <f t="shared" ref="G128:G134" si="17">SUM(L94:M94)</f>
        <v>1.7415595377556818</v>
      </c>
      <c r="H128" s="621">
        <f t="shared" ref="H128:H134" si="18">SUM(N94:O94)</f>
        <v>2.6091496371504532</v>
      </c>
      <c r="I128" s="348">
        <f t="shared" ref="I128:I134" si="19">SUM(P94:Q94)</f>
        <v>54.615672027211296</v>
      </c>
      <c r="J128" s="494">
        <f t="shared" si="11"/>
        <v>86.524132102408458</v>
      </c>
      <c r="K128" s="621"/>
      <c r="L128" s="621"/>
      <c r="M128" s="621"/>
      <c r="N128" s="621"/>
    </row>
    <row r="129" spans="1:61" s="2136" customFormat="1" ht="15.75">
      <c r="A129" s="490" t="s">
        <v>2542</v>
      </c>
      <c r="B129" s="349">
        <f t="shared" si="12"/>
        <v>5.4683881628019844</v>
      </c>
      <c r="C129" s="621">
        <f t="shared" si="13"/>
        <v>16.564289017373916</v>
      </c>
      <c r="D129" s="621">
        <f t="shared" si="14"/>
        <v>18.863081119073048</v>
      </c>
      <c r="E129" s="621">
        <f t="shared" si="15"/>
        <v>10.157495729644531</v>
      </c>
      <c r="F129" s="621">
        <f t="shared" si="16"/>
        <v>3.9059915448585603</v>
      </c>
      <c r="G129" s="621">
        <f t="shared" si="17"/>
        <v>5.2016375207140833</v>
      </c>
      <c r="H129" s="621">
        <f t="shared" si="18"/>
        <v>7.7929294724251275</v>
      </c>
      <c r="I129" s="348">
        <f t="shared" si="19"/>
        <v>163.12444259118473</v>
      </c>
      <c r="J129" s="494">
        <f t="shared" si="11"/>
        <v>231.07825515807599</v>
      </c>
      <c r="K129" s="621"/>
      <c r="L129" s="621"/>
      <c r="M129" s="621"/>
      <c r="N129" s="621"/>
    </row>
    <row r="130" spans="1:61" s="2136" customFormat="1" ht="15.75">
      <c r="A130" s="490" t="s">
        <v>2543</v>
      </c>
      <c r="B130" s="349">
        <f t="shared" si="12"/>
        <v>0.73009148476269392</v>
      </c>
      <c r="C130" s="621">
        <f t="shared" si="13"/>
        <v>1.1987016592542099</v>
      </c>
      <c r="D130" s="621">
        <f t="shared" si="14"/>
        <v>2.518434041515913</v>
      </c>
      <c r="E130" s="621">
        <f t="shared" si="15"/>
        <v>4.3574143259604216E-2</v>
      </c>
      <c r="F130" s="621">
        <f t="shared" si="16"/>
        <v>0.52149391768763853</v>
      </c>
      <c r="G130" s="621">
        <f t="shared" si="17"/>
        <v>0.69447726599378212</v>
      </c>
      <c r="H130" s="621">
        <f t="shared" si="18"/>
        <v>1.0404439626060691</v>
      </c>
      <c r="I130" s="348">
        <f t="shared" si="19"/>
        <v>21.778952581058288</v>
      </c>
      <c r="J130" s="494">
        <f t="shared" si="11"/>
        <v>28.526169056138201</v>
      </c>
      <c r="K130" s="621"/>
      <c r="L130" s="621"/>
      <c r="M130" s="621"/>
      <c r="N130" s="621"/>
    </row>
    <row r="131" spans="1:61" s="2136" customFormat="1" ht="15.75">
      <c r="A131" s="490" t="s">
        <v>2544</v>
      </c>
      <c r="B131" s="349">
        <f t="shared" si="12"/>
        <v>0.64199137765759484</v>
      </c>
      <c r="C131" s="621">
        <f t="shared" si="13"/>
        <v>1.0555449451247028</v>
      </c>
      <c r="D131" s="621">
        <f t="shared" si="14"/>
        <v>2.2145347173554666</v>
      </c>
      <c r="E131" s="621">
        <f t="shared" si="15"/>
        <v>4.0247754399806011E-2</v>
      </c>
      <c r="F131" s="621">
        <f t="shared" si="16"/>
        <v>0.45856526975542489</v>
      </c>
      <c r="G131" s="621">
        <f t="shared" si="17"/>
        <v>0.61067472508893172</v>
      </c>
      <c r="H131" s="621">
        <f t="shared" si="18"/>
        <v>0.91489363575594518</v>
      </c>
      <c r="I131" s="348">
        <f t="shared" si="19"/>
        <v>19.150887338451376</v>
      </c>
      <c r="J131" s="494">
        <f t="shared" si="11"/>
        <v>25.087339763589249</v>
      </c>
      <c r="K131" s="621"/>
      <c r="L131" s="621"/>
      <c r="M131" s="621"/>
      <c r="N131" s="621"/>
    </row>
    <row r="132" spans="1:61" s="2136" customFormat="1" ht="15.75">
      <c r="A132" s="490" t="s">
        <v>2545</v>
      </c>
      <c r="B132" s="349">
        <f t="shared" si="12"/>
        <v>5.4333355363692464</v>
      </c>
      <c r="C132" s="621">
        <f t="shared" si="13"/>
        <v>9.0088707625638129</v>
      </c>
      <c r="D132" s="621">
        <f t="shared" si="14"/>
        <v>18.74216787806813</v>
      </c>
      <c r="E132" s="621">
        <f t="shared" si="15"/>
        <v>0.43850613281360329</v>
      </c>
      <c r="F132" s="621">
        <f t="shared" si="16"/>
        <v>3.8809539545494616</v>
      </c>
      <c r="G132" s="621">
        <f t="shared" si="17"/>
        <v>5.1682947784975761</v>
      </c>
      <c r="H132" s="621">
        <f t="shared" si="18"/>
        <v>7.7429764263938035</v>
      </c>
      <c r="I132" s="348">
        <f t="shared" si="19"/>
        <v>162.07880720869798</v>
      </c>
      <c r="J132" s="494">
        <f t="shared" si="11"/>
        <v>212.4939126779536</v>
      </c>
      <c r="K132" s="621"/>
      <c r="L132" s="621"/>
      <c r="M132" s="621"/>
      <c r="N132" s="621"/>
    </row>
    <row r="133" spans="1:61" s="2136" customFormat="1">
      <c r="A133" s="490" t="s">
        <v>827</v>
      </c>
      <c r="B133" s="349">
        <f t="shared" si="12"/>
        <v>3.3085616671073396E-2</v>
      </c>
      <c r="C133" s="621">
        <f t="shared" si="13"/>
        <v>5.7984562531595216E-2</v>
      </c>
      <c r="D133" s="621">
        <f t="shared" si="14"/>
        <v>0.11412808538105459</v>
      </c>
      <c r="E133" s="621">
        <f t="shared" si="15"/>
        <v>6.721605665610096E-3</v>
      </c>
      <c r="F133" s="621">
        <f t="shared" si="16"/>
        <v>2.3632583336481001E-2</v>
      </c>
      <c r="G133" s="621">
        <f t="shared" si="17"/>
        <v>3.1471684150533238E-2</v>
      </c>
      <c r="H133" s="621">
        <f t="shared" si="18"/>
        <v>4.7149885778637705E-2</v>
      </c>
      <c r="I133" s="348">
        <f t="shared" si="19"/>
        <v>0.98695860947972913</v>
      </c>
      <c r="J133" s="494">
        <f t="shared" si="11"/>
        <v>1.3011326329947144</v>
      </c>
      <c r="K133" s="621"/>
      <c r="L133" s="621"/>
      <c r="M133" s="621"/>
      <c r="N133" s="621"/>
    </row>
    <row r="134" spans="1:61" s="2136" customFormat="1">
      <c r="A134" s="647" t="s">
        <v>828</v>
      </c>
      <c r="B134" s="505">
        <f t="shared" si="12"/>
        <v>0.18361254526407442</v>
      </c>
      <c r="C134" s="505">
        <f t="shared" si="13"/>
        <v>0.3036745422133672</v>
      </c>
      <c r="D134" s="505">
        <f t="shared" si="14"/>
        <v>0.63336731641614519</v>
      </c>
      <c r="E134" s="505">
        <f t="shared" si="15"/>
        <v>1.3822689095852707E-2</v>
      </c>
      <c r="F134" s="505">
        <f t="shared" si="16"/>
        <v>0.13115181804576742</v>
      </c>
      <c r="G134" s="505">
        <f t="shared" si="17"/>
        <v>0.17465583573899762</v>
      </c>
      <c r="H134" s="505">
        <f t="shared" si="18"/>
        <v>0.26166387112545797</v>
      </c>
      <c r="I134" s="502">
        <f t="shared" si="19"/>
        <v>5.4772436058386278</v>
      </c>
      <c r="J134" s="504">
        <f t="shared" si="11"/>
        <v>7.1791922237382906</v>
      </c>
      <c r="K134" s="621"/>
      <c r="L134" s="621"/>
      <c r="M134" s="621"/>
      <c r="N134" s="621"/>
    </row>
    <row r="135" spans="1:61" s="2136" customFormat="1"/>
    <row r="136" spans="1:61" s="2136" customFormat="1" ht="15">
      <c r="A136" s="2149" t="s">
        <v>1472</v>
      </c>
    </row>
    <row r="137" spans="1:61" s="2136" customFormat="1">
      <c r="A137" s="2243" t="s">
        <v>1473</v>
      </c>
    </row>
    <row r="138" spans="1:61" s="2136" customFormat="1" ht="89.25">
      <c r="A138" s="2244"/>
      <c r="B138" s="2245" t="s">
        <v>1474</v>
      </c>
      <c r="C138" s="2245" t="s">
        <v>1475</v>
      </c>
      <c r="D138" s="2245" t="s">
        <v>1476</v>
      </c>
      <c r="E138" s="2245" t="s">
        <v>1477</v>
      </c>
      <c r="F138" s="2245" t="s">
        <v>1478</v>
      </c>
      <c r="G138" s="2245" t="s">
        <v>281</v>
      </c>
      <c r="H138" s="2245" t="s">
        <v>344</v>
      </c>
      <c r="I138" s="2245" t="s">
        <v>1479</v>
      </c>
      <c r="J138" s="2245" t="s">
        <v>1480</v>
      </c>
      <c r="K138" s="2245" t="s">
        <v>1481</v>
      </c>
      <c r="L138" s="2245" t="s">
        <v>1482</v>
      </c>
      <c r="M138" s="2245" t="s">
        <v>1483</v>
      </c>
      <c r="N138" s="2245" t="s">
        <v>1484</v>
      </c>
      <c r="O138" s="2245" t="s">
        <v>364</v>
      </c>
      <c r="P138" s="2245" t="s">
        <v>365</v>
      </c>
      <c r="Q138" s="2245" t="s">
        <v>1485</v>
      </c>
      <c r="R138" s="2245" t="s">
        <v>1486</v>
      </c>
      <c r="S138" s="2245" t="s">
        <v>1487</v>
      </c>
      <c r="T138" s="2245" t="s">
        <v>1178</v>
      </c>
      <c r="U138" s="2245" t="s">
        <v>1488</v>
      </c>
      <c r="V138" s="2245" t="s">
        <v>1489</v>
      </c>
      <c r="W138" s="2245" t="s">
        <v>1490</v>
      </c>
      <c r="X138" s="2245" t="s">
        <v>1491</v>
      </c>
      <c r="Y138" s="2245" t="s">
        <v>1492</v>
      </c>
      <c r="Z138" s="2245" t="s">
        <v>1493</v>
      </c>
      <c r="AA138" s="2245" t="s">
        <v>1494</v>
      </c>
      <c r="AB138" s="2245" t="s">
        <v>1495</v>
      </c>
      <c r="AC138" s="2245" t="s">
        <v>1496</v>
      </c>
      <c r="AD138" s="2245" t="s">
        <v>1497</v>
      </c>
      <c r="AE138" s="2245" t="s">
        <v>1498</v>
      </c>
      <c r="AF138" s="2245" t="s">
        <v>1474</v>
      </c>
      <c r="AG138" s="2245" t="s">
        <v>1475</v>
      </c>
      <c r="AH138" s="2245" t="s">
        <v>1476</v>
      </c>
      <c r="AI138" s="2245" t="s">
        <v>1477</v>
      </c>
      <c r="AJ138" s="2245" t="s">
        <v>1478</v>
      </c>
      <c r="AK138" s="2245" t="s">
        <v>281</v>
      </c>
      <c r="AL138" s="2245" t="s">
        <v>344</v>
      </c>
      <c r="AM138" s="2245" t="s">
        <v>1479</v>
      </c>
      <c r="AN138" s="2245" t="s">
        <v>1480</v>
      </c>
      <c r="AO138" s="2245" t="s">
        <v>1481</v>
      </c>
      <c r="AP138" s="2245" t="s">
        <v>1482</v>
      </c>
      <c r="AQ138" s="2245" t="s">
        <v>1483</v>
      </c>
      <c r="AR138" s="2245" t="s">
        <v>1484</v>
      </c>
      <c r="AS138" s="2245" t="s">
        <v>364</v>
      </c>
      <c r="AT138" s="2245" t="s">
        <v>365</v>
      </c>
      <c r="AU138" s="2245" t="s">
        <v>1485</v>
      </c>
      <c r="AV138" s="2245" t="s">
        <v>1486</v>
      </c>
      <c r="AW138" s="2245" t="s">
        <v>1487</v>
      </c>
      <c r="AX138" s="2245" t="s">
        <v>1178</v>
      </c>
      <c r="AY138" s="2245" t="s">
        <v>1488</v>
      </c>
      <c r="AZ138" s="2245" t="s">
        <v>1489</v>
      </c>
      <c r="BA138" s="2245" t="s">
        <v>1490</v>
      </c>
      <c r="BB138" s="2245" t="s">
        <v>1491</v>
      </c>
      <c r="BC138" s="2245" t="s">
        <v>1492</v>
      </c>
      <c r="BD138" s="2245" t="s">
        <v>1493</v>
      </c>
      <c r="BE138" s="2245" t="s">
        <v>1494</v>
      </c>
      <c r="BF138" s="2245" t="s">
        <v>1495</v>
      </c>
      <c r="BG138" s="2245" t="s">
        <v>1496</v>
      </c>
      <c r="BH138" s="2245" t="s">
        <v>1497</v>
      </c>
      <c r="BI138" s="2246" t="s">
        <v>1498</v>
      </c>
    </row>
    <row r="139" spans="1:61" s="2136" customFormat="1">
      <c r="A139" s="2247" t="s">
        <v>1499</v>
      </c>
      <c r="B139" s="2198" t="s">
        <v>846</v>
      </c>
      <c r="C139" s="2198" t="s">
        <v>846</v>
      </c>
      <c r="D139" s="2198" t="s">
        <v>846</v>
      </c>
      <c r="E139" s="2198" t="s">
        <v>846</v>
      </c>
      <c r="F139" s="2198" t="s">
        <v>846</v>
      </c>
      <c r="G139" s="2198" t="s">
        <v>846</v>
      </c>
      <c r="H139" s="2198" t="s">
        <v>846</v>
      </c>
      <c r="I139" s="2198" t="s">
        <v>846</v>
      </c>
      <c r="J139" s="2198" t="s">
        <v>846</v>
      </c>
      <c r="K139" s="2198" t="s">
        <v>846</v>
      </c>
      <c r="L139" s="2198" t="s">
        <v>846</v>
      </c>
      <c r="M139" s="2198" t="s">
        <v>846</v>
      </c>
      <c r="N139" s="2198" t="s">
        <v>846</v>
      </c>
      <c r="O139" s="2198" t="s">
        <v>846</v>
      </c>
      <c r="P139" s="2198" t="s">
        <v>846</v>
      </c>
      <c r="Q139" s="2198" t="s">
        <v>846</v>
      </c>
      <c r="R139" s="2198" t="s">
        <v>846</v>
      </c>
      <c r="S139" s="2198" t="s">
        <v>846</v>
      </c>
      <c r="T139" s="2198" t="s">
        <v>846</v>
      </c>
      <c r="U139" s="2198" t="s">
        <v>846</v>
      </c>
      <c r="V139" s="2198" t="s">
        <v>846</v>
      </c>
      <c r="W139" s="2198" t="s">
        <v>846</v>
      </c>
      <c r="X139" s="2198" t="s">
        <v>846</v>
      </c>
      <c r="Y139" s="2198" t="s">
        <v>846</v>
      </c>
      <c r="Z139" s="2198" t="s">
        <v>846</v>
      </c>
      <c r="AA139" s="2198" t="s">
        <v>846</v>
      </c>
      <c r="AB139" s="2198" t="s">
        <v>846</v>
      </c>
      <c r="AC139" s="2198" t="s">
        <v>846</v>
      </c>
      <c r="AD139" s="2198" t="s">
        <v>846</v>
      </c>
      <c r="AE139" s="2198" t="s">
        <v>846</v>
      </c>
      <c r="AF139" s="2198" t="s">
        <v>845</v>
      </c>
      <c r="AG139" s="2198" t="s">
        <v>845</v>
      </c>
      <c r="AH139" s="2198" t="s">
        <v>845</v>
      </c>
      <c r="AI139" s="2198" t="s">
        <v>845</v>
      </c>
      <c r="AJ139" s="2198" t="s">
        <v>845</v>
      </c>
      <c r="AK139" s="2198" t="s">
        <v>845</v>
      </c>
      <c r="AL139" s="2198" t="s">
        <v>845</v>
      </c>
      <c r="AM139" s="2198" t="s">
        <v>845</v>
      </c>
      <c r="AN139" s="2198" t="s">
        <v>845</v>
      </c>
      <c r="AO139" s="2198" t="s">
        <v>845</v>
      </c>
      <c r="AP139" s="2198" t="s">
        <v>845</v>
      </c>
      <c r="AQ139" s="2198" t="s">
        <v>845</v>
      </c>
      <c r="AR139" s="2198" t="s">
        <v>845</v>
      </c>
      <c r="AS139" s="2198" t="s">
        <v>845</v>
      </c>
      <c r="AT139" s="2198" t="s">
        <v>845</v>
      </c>
      <c r="AU139" s="2198" t="s">
        <v>845</v>
      </c>
      <c r="AV139" s="2198" t="s">
        <v>845</v>
      </c>
      <c r="AW139" s="2198" t="s">
        <v>845</v>
      </c>
      <c r="AX139" s="2198" t="s">
        <v>845</v>
      </c>
      <c r="AY139" s="2198" t="s">
        <v>845</v>
      </c>
      <c r="AZ139" s="2198" t="s">
        <v>845</v>
      </c>
      <c r="BA139" s="2198" t="s">
        <v>845</v>
      </c>
      <c r="BB139" s="2198" t="s">
        <v>845</v>
      </c>
      <c r="BC139" s="2198" t="s">
        <v>845</v>
      </c>
      <c r="BD139" s="2198" t="s">
        <v>845</v>
      </c>
      <c r="BE139" s="2198" t="s">
        <v>845</v>
      </c>
      <c r="BF139" s="2198" t="s">
        <v>845</v>
      </c>
      <c r="BG139" s="2198" t="s">
        <v>845</v>
      </c>
      <c r="BH139" s="2198" t="s">
        <v>845</v>
      </c>
      <c r="BI139" s="2248" t="s">
        <v>845</v>
      </c>
    </row>
    <row r="140" spans="1:61" s="2136" customFormat="1">
      <c r="A140" s="2229" t="s">
        <v>816</v>
      </c>
      <c r="B140" s="2136">
        <f t="shared" ref="B140:Q142" ca="1" si="20">AF140/2000</f>
        <v>8.7196764684724772E-4</v>
      </c>
      <c r="C140" s="2136">
        <f t="shared" ca="1" si="20"/>
        <v>8.7196764684724772E-4</v>
      </c>
      <c r="D140" s="2136">
        <f t="shared" ca="1" si="20"/>
        <v>8.7196764684724772E-4</v>
      </c>
      <c r="E140" s="2136">
        <f t="shared" ca="1" si="20"/>
        <v>2.8302339573200515E-3</v>
      </c>
      <c r="F140" s="2136">
        <f t="shared" ca="1" si="20"/>
        <v>2.8302339573200515E-3</v>
      </c>
      <c r="G140" s="2136">
        <f t="shared" ca="1" si="20"/>
        <v>1.1700611895443606E-2</v>
      </c>
      <c r="H140" s="2136">
        <f t="shared" si="20"/>
        <v>1.9756499593268181E-2</v>
      </c>
      <c r="I140" s="2136">
        <f t="shared" ca="1" si="20"/>
        <v>8.7196764684724793E-4</v>
      </c>
      <c r="J140" s="2136">
        <f t="shared" ca="1" si="20"/>
        <v>8.7196764684724793E-4</v>
      </c>
      <c r="K140" s="2136">
        <f t="shared" ca="1" si="20"/>
        <v>3.5988851858332503E-3</v>
      </c>
      <c r="L140" s="2136">
        <f t="shared" ca="1" si="20"/>
        <v>8.7196764684724793E-4</v>
      </c>
      <c r="M140" s="2136">
        <f t="shared" ca="1" si="20"/>
        <v>8.7196764684724793E-4</v>
      </c>
      <c r="N140" s="2136">
        <f t="shared" ca="1" si="20"/>
        <v>3.5988851858332503E-3</v>
      </c>
      <c r="O140" s="2136">
        <f t="shared" ca="1" si="20"/>
        <v>5.1737915311429331E-3</v>
      </c>
      <c r="P140" s="2136">
        <f t="shared" ca="1" si="20"/>
        <v>5.1737915311429331E-3</v>
      </c>
      <c r="Q140" s="2136">
        <f t="shared" si="20"/>
        <v>2.1343115748556703E-3</v>
      </c>
      <c r="R140" s="2136">
        <f t="shared" ref="R140:AE142" si="21">AV140/2000</f>
        <v>1.0029426172139236E-3</v>
      </c>
      <c r="S140" s="2136">
        <f t="shared" si="21"/>
        <v>3.4795344152096412E-3</v>
      </c>
      <c r="T140" s="2136">
        <f t="shared" si="21"/>
        <v>5.7225572411932959E-3</v>
      </c>
      <c r="U140" s="2136">
        <f t="shared" si="21"/>
        <v>5.3784855374132395E-3</v>
      </c>
      <c r="V140" s="2136">
        <f t="shared" si="21"/>
        <v>2.1065503310232353E-3</v>
      </c>
      <c r="W140" s="2136">
        <f t="shared" si="21"/>
        <v>4.4029899104311232E-3</v>
      </c>
      <c r="X140" s="2136">
        <f t="shared" si="21"/>
        <v>1.6257910088222959E-3</v>
      </c>
      <c r="Y140" s="2136">
        <f t="shared" si="21"/>
        <v>1.6598812995621129E-3</v>
      </c>
      <c r="Z140" s="2136">
        <f t="shared" si="21"/>
        <v>2.202369046825324E-3</v>
      </c>
      <c r="AA140" s="2136">
        <f t="shared" si="21"/>
        <v>6.3068827627431471E-3</v>
      </c>
      <c r="AB140" s="2136">
        <f t="shared" si="21"/>
        <v>3.9747369385790829E-3</v>
      </c>
      <c r="AC140" s="2136">
        <f t="shared" si="21"/>
        <v>2.8581668781198365E-3</v>
      </c>
      <c r="AD140" s="2136">
        <f t="shared" si="21"/>
        <v>4.4029899104311224E-3</v>
      </c>
      <c r="AE140" s="2136">
        <f t="shared" si="21"/>
        <v>3.9747369385790829E-3</v>
      </c>
      <c r="AF140" s="2136">
        <f ca="1">Steel!H108</f>
        <v>1.7439352936944954</v>
      </c>
      <c r="AG140" s="2136">
        <f ca="1">Steel!H108</f>
        <v>1.7439352936944954</v>
      </c>
      <c r="AH140" s="2136">
        <f ca="1">Steel!H108</f>
        <v>1.7439352936944954</v>
      </c>
      <c r="AI140" s="2136">
        <f ca="1">Steel!$D$140*Steel!C142+Steel!D142</f>
        <v>5.6604679146401029</v>
      </c>
      <c r="AJ140" s="2136">
        <f ca="1">Steel!$D$208*Steel!C210+Steel!D210</f>
        <v>5.6604679146401029</v>
      </c>
      <c r="AK140" s="2136">
        <f ca="1">'C.Iron'!C62+'C.Iron'!E62</f>
        <v>23.401223790887212</v>
      </c>
      <c r="AL140" s="2136">
        <f>'C.Iron'!D62+'C.Iron'!E62</f>
        <v>39.512999186536362</v>
      </c>
      <c r="AM140" s="2136">
        <f ca="1">W.Al!$I$122*W.Al!I126</f>
        <v>1.7439352936944958</v>
      </c>
      <c r="AN140" s="2136">
        <f ca="1">W.Al!$I$123*W.Al!I126</f>
        <v>1.7439352936944958</v>
      </c>
      <c r="AO140" s="2136">
        <f ca="1">W.Al!$J$124*W.Al!J126</f>
        <v>7.1977703716665005</v>
      </c>
      <c r="AP140" s="2136">
        <f ca="1">W.Al!$F$160*W.Al!F164</f>
        <v>1.7439352936944958</v>
      </c>
      <c r="AQ140" s="2136">
        <f ca="1">W.Al!$F$161*W.Al!F164</f>
        <v>1.7439352936944958</v>
      </c>
      <c r="AR140" s="2136">
        <f ca="1">W.Al!$G$162*W.Al!G164</f>
        <v>7.1977703716665005</v>
      </c>
      <c r="AS140" s="2136">
        <f ca="1">'C.Al'!$G$113*'C.Al'!G115+'C.Al'!$H$113*'C.Al'!H115</f>
        <v>10.347583062285866</v>
      </c>
      <c r="AT140" s="2136">
        <f ca="1">'C.Al'!$D$149*'C.Al'!D151+'C.Al'!$E$149*'C.Al'!E151</f>
        <v>10.347583062285866</v>
      </c>
      <c r="AU140" s="2136">
        <f>Copper!D63</f>
        <v>4.2686231497113409</v>
      </c>
      <c r="AV140" s="2136">
        <f>Glass!B71</f>
        <v>2.0058852344278471</v>
      </c>
      <c r="AW140" s="2136">
        <f>Vehi_Plastics!B$19*Vehi_Plastics!X105</f>
        <v>6.9590688304192829</v>
      </c>
      <c r="AX140" s="2136">
        <f>Vehi_Plastics!C$19*Vehi_Plastics!AA105</f>
        <v>11.445114482386591</v>
      </c>
      <c r="AY140" s="2136">
        <f>Vehi_Plastics!D$19*Vehi_Plastics!AB105</f>
        <v>10.756971074826479</v>
      </c>
      <c r="AZ140" s="2136">
        <f>Vehi_Plastics!E$19*Vehi_Plastics!AC105</f>
        <v>4.2131006620464708</v>
      </c>
      <c r="BA140" s="2136">
        <f>Vehi_Plastics!F$19*Vehi_Plastics!AD105</f>
        <v>8.8059798208622464</v>
      </c>
      <c r="BB140" s="2136">
        <f>Vehi_Plastics!G$19*Vehi_Plastics!AE105</f>
        <v>3.251582017644592</v>
      </c>
      <c r="BC140" s="2136">
        <f>Vehi_Plastics!H$19*Vehi_Plastics!AF105</f>
        <v>3.3197625991242261</v>
      </c>
      <c r="BD140" s="2136">
        <f>Vehi_Plastics!I$19*Vehi_Plastics!AG105</f>
        <v>4.4047380936506482</v>
      </c>
      <c r="BE140" s="2136">
        <f>Vehi_Plastics!J$19*Vehi_Plastics!AH105</f>
        <v>12.613765525486293</v>
      </c>
      <c r="BF140" s="2136">
        <f>Vehi_Plastics!K$19*Vehi_Plastics!AI105</f>
        <v>7.949473877158165</v>
      </c>
      <c r="BG140" s="2136">
        <f>Vehi_Plastics!L$19*Vehi_Plastics!AJ105</f>
        <v>5.7163337562396732</v>
      </c>
      <c r="BH140" s="2136">
        <f>Rubber!$A$6*Rubber!C65</f>
        <v>8.8059798208622446</v>
      </c>
      <c r="BI140" s="2185">
        <f>Rubber!$B$6*Rubber!D65</f>
        <v>7.949473877158165</v>
      </c>
    </row>
    <row r="141" spans="1:61" s="2136" customFormat="1">
      <c r="A141" s="2229" t="s">
        <v>817</v>
      </c>
      <c r="B141" s="2136">
        <f t="shared" ca="1" si="20"/>
        <v>6.9061090768412028E-4</v>
      </c>
      <c r="C141" s="2136">
        <f t="shared" ca="1" si="20"/>
        <v>6.9061090768412028E-4</v>
      </c>
      <c r="D141" s="2136">
        <f t="shared" ca="1" si="20"/>
        <v>6.9061090768412028E-4</v>
      </c>
      <c r="E141" s="2136">
        <f t="shared" ca="1" si="20"/>
        <v>2.4884500035914454E-3</v>
      </c>
      <c r="F141" s="2136">
        <f t="shared" ca="1" si="20"/>
        <v>2.4884500035914454E-3</v>
      </c>
      <c r="G141" s="2136">
        <f t="shared" ca="1" si="20"/>
        <v>1.1554469015862894E-2</v>
      </c>
      <c r="H141" s="2136">
        <f t="shared" si="20"/>
        <v>1.9380930151683046E-2</v>
      </c>
      <c r="I141" s="2136">
        <f t="shared" ca="1" si="20"/>
        <v>6.9061090768412039E-4</v>
      </c>
      <c r="J141" s="2136">
        <f t="shared" ca="1" si="20"/>
        <v>6.9061090768412039E-4</v>
      </c>
      <c r="K141" s="2136">
        <f t="shared" ca="1" si="20"/>
        <v>3.4627871491752808E-3</v>
      </c>
      <c r="L141" s="2136">
        <f t="shared" ca="1" si="20"/>
        <v>6.9061090768412039E-4</v>
      </c>
      <c r="M141" s="2136">
        <f t="shared" ca="1" si="20"/>
        <v>6.9061090768412039E-4</v>
      </c>
      <c r="N141" s="2136">
        <f t="shared" ca="1" si="20"/>
        <v>3.4627871491752808E-3</v>
      </c>
      <c r="O141" s="2136">
        <f t="shared" ca="1" si="20"/>
        <v>5.0567760816290159E-3</v>
      </c>
      <c r="P141" s="2136">
        <f t="shared" ca="1" si="20"/>
        <v>5.0567760816290159E-3</v>
      </c>
      <c r="Q141" s="2136">
        <f t="shared" si="20"/>
        <v>1.7883668205693718E-3</v>
      </c>
      <c r="R141" s="2136">
        <f t="shared" si="21"/>
        <v>9.2041143988632105E-4</v>
      </c>
      <c r="S141" s="2136">
        <f t="shared" si="21"/>
        <v>2.755841262568112E-3</v>
      </c>
      <c r="T141" s="2136">
        <f t="shared" si="21"/>
        <v>5.3893732234284149E-3</v>
      </c>
      <c r="U141" s="2136">
        <f t="shared" si="21"/>
        <v>4.2629664591391017E-3</v>
      </c>
      <c r="V141" s="2136">
        <f t="shared" si="21"/>
        <v>1.6684181362122202E-3</v>
      </c>
      <c r="W141" s="2136">
        <f t="shared" si="21"/>
        <v>3.9726878017364593E-3</v>
      </c>
      <c r="X141" s="2136">
        <f t="shared" si="21"/>
        <v>1.2876498438526801E-3</v>
      </c>
      <c r="Y141" s="2136">
        <f t="shared" si="21"/>
        <v>1.314649844043243E-3</v>
      </c>
      <c r="Z141" s="2136">
        <f t="shared" si="21"/>
        <v>1.7443079361749473E-3</v>
      </c>
      <c r="AA141" s="2136">
        <f t="shared" si="21"/>
        <v>4.9951417867208957E-3</v>
      </c>
      <c r="AB141" s="2136">
        <f t="shared" si="21"/>
        <v>3.1480487778218825E-3</v>
      </c>
      <c r="AC141" s="2136">
        <f t="shared" si="21"/>
        <v>2.2637092432820673E-3</v>
      </c>
      <c r="AD141" s="2136">
        <f t="shared" si="21"/>
        <v>3.9726878017364584E-3</v>
      </c>
      <c r="AE141" s="2136">
        <f t="shared" si="21"/>
        <v>3.1480487778218825E-3</v>
      </c>
      <c r="AF141" s="2136">
        <f ca="1">Steel!H109</f>
        <v>1.3812218153682405</v>
      </c>
      <c r="AG141" s="2136">
        <f ca="1">Steel!H109</f>
        <v>1.3812218153682405</v>
      </c>
      <c r="AH141" s="2136">
        <f ca="1">Steel!H109</f>
        <v>1.3812218153682405</v>
      </c>
      <c r="AI141" s="2136">
        <f ca="1">Steel!$D$140*Steel!C143+Steel!D143</f>
        <v>4.9769000071828904</v>
      </c>
      <c r="AJ141" s="2136">
        <f ca="1">Steel!$D$208*Steel!C211+Steel!D211</f>
        <v>4.9769000071828904</v>
      </c>
      <c r="AK141" s="2136">
        <f ca="1">'C.Iron'!C63+'C.Iron'!E63</f>
        <v>23.108938031725788</v>
      </c>
      <c r="AL141" s="2136">
        <f>'C.Iron'!D63+'C.Iron'!E63</f>
        <v>38.761860303366092</v>
      </c>
      <c r="AM141" s="2136">
        <f ca="1">W.Al!$I$122*W.Al!I127</f>
        <v>1.3812218153682407</v>
      </c>
      <c r="AN141" s="2136">
        <f ca="1">W.Al!$I$123*W.Al!I127</f>
        <v>1.3812218153682407</v>
      </c>
      <c r="AO141" s="2136">
        <f ca="1">W.Al!$J$124*W.Al!J127</f>
        <v>6.9255742983505613</v>
      </c>
      <c r="AP141" s="2136">
        <f ca="1">W.Al!$F$160*W.Al!F165</f>
        <v>1.3812218153682407</v>
      </c>
      <c r="AQ141" s="2136">
        <f ca="1">W.Al!$F$161*W.Al!F165</f>
        <v>1.3812218153682407</v>
      </c>
      <c r="AR141" s="2136">
        <f ca="1">W.Al!$G$162*W.Al!G165</f>
        <v>6.9255742983505613</v>
      </c>
      <c r="AS141" s="2136">
        <f ca="1">'C.Al'!$G$113*'C.Al'!G116+'C.Al'!$H$113*'C.Al'!H116</f>
        <v>10.113552163258031</v>
      </c>
      <c r="AT141" s="2136">
        <f ca="1">'C.Al'!$D$149*'C.Al'!D152+'C.Al'!$E$149*'C.Al'!E152</f>
        <v>10.113552163258031</v>
      </c>
      <c r="AU141" s="2136">
        <f>Copper!D64</f>
        <v>3.5767336411387434</v>
      </c>
      <c r="AV141" s="2136">
        <f>Glass!B72</f>
        <v>1.840822879772642</v>
      </c>
      <c r="AW141" s="2136">
        <f>Vehi_Plastics!B$19*Vehi_Plastics!X106</f>
        <v>5.5116825251362238</v>
      </c>
      <c r="AX141" s="2136">
        <f>Vehi_Plastics!C$19*Vehi_Plastics!AA106</f>
        <v>10.778746446856831</v>
      </c>
      <c r="AY141" s="2136">
        <f>Vehi_Plastics!D$19*Vehi_Plastics!AB106</f>
        <v>8.5259329182782029</v>
      </c>
      <c r="AZ141" s="2136">
        <f>Vehi_Plastics!E$19*Vehi_Plastics!AC106</f>
        <v>3.3368362724244403</v>
      </c>
      <c r="BA141" s="2136">
        <f>Vehi_Plastics!F$19*Vehi_Plastics!AD106</f>
        <v>7.9453756034729182</v>
      </c>
      <c r="BB141" s="2136">
        <f>Vehi_Plastics!G$19*Vehi_Plastics!AE106</f>
        <v>2.57529968770536</v>
      </c>
      <c r="BC141" s="2136">
        <f>Vehi_Plastics!H$19*Vehi_Plastics!AF106</f>
        <v>2.6292996880864861</v>
      </c>
      <c r="BD141" s="2136">
        <f>Vehi_Plastics!I$19*Vehi_Plastics!AG106</f>
        <v>3.4886158723498948</v>
      </c>
      <c r="BE141" s="2136">
        <f>Vehi_Plastics!J$19*Vehi_Plastics!AH106</f>
        <v>9.9902835734417916</v>
      </c>
      <c r="BF141" s="2136">
        <f>Vehi_Plastics!K$19*Vehi_Plastics!AI106</f>
        <v>6.2960975556437653</v>
      </c>
      <c r="BG141" s="2136">
        <f>Vehi_Plastics!L$19*Vehi_Plastics!AJ106</f>
        <v>4.5274184865641347</v>
      </c>
      <c r="BH141" s="2136">
        <f>Rubber!$A$6*Rubber!C66</f>
        <v>7.9453756034729164</v>
      </c>
      <c r="BI141" s="2185">
        <f>Rubber!$B$6*Rubber!D66</f>
        <v>6.2960975556437653</v>
      </c>
    </row>
    <row r="142" spans="1:61" s="2136" customFormat="1">
      <c r="A142" s="2229" t="s">
        <v>805</v>
      </c>
      <c r="B142" s="2136">
        <f t="shared" ca="1" si="20"/>
        <v>2.3973974017615113E-4</v>
      </c>
      <c r="C142" s="2136">
        <f t="shared" ca="1" si="20"/>
        <v>2.3973974017615113E-4</v>
      </c>
      <c r="D142" s="2136">
        <f t="shared" ca="1" si="20"/>
        <v>2.3973974017615113E-4</v>
      </c>
      <c r="E142" s="2136">
        <f t="shared" ca="1" si="20"/>
        <v>4.5181102575277864E-4</v>
      </c>
      <c r="F142" s="2136">
        <f t="shared" ca="1" si="20"/>
        <v>4.5181102575277864E-4</v>
      </c>
      <c r="G142" s="2136">
        <f t="shared" ca="1" si="20"/>
        <v>1.0842560131033555E-2</v>
      </c>
      <c r="H142" s="2136">
        <f t="shared" si="20"/>
        <v>4.9645557471675501E-4</v>
      </c>
      <c r="I142" s="2136">
        <f t="shared" ca="1" si="20"/>
        <v>2.3973974017615121E-4</v>
      </c>
      <c r="J142" s="2136">
        <f t="shared" ca="1" si="20"/>
        <v>2.3973974017615121E-4</v>
      </c>
      <c r="K142" s="2136">
        <f t="shared" ca="1" si="20"/>
        <v>1.8740749217524135E-4</v>
      </c>
      <c r="L142" s="2136">
        <f t="shared" ca="1" si="20"/>
        <v>2.3973974017615121E-4</v>
      </c>
      <c r="M142" s="2136">
        <f t="shared" ca="1" si="20"/>
        <v>2.3973974017615121E-4</v>
      </c>
      <c r="N142" s="2136">
        <f t="shared" ca="1" si="20"/>
        <v>1.8740749217524135E-4</v>
      </c>
      <c r="O142" s="2136">
        <f t="shared" ca="1" si="20"/>
        <v>1.5468072187801307E-4</v>
      </c>
      <c r="P142" s="2136">
        <f t="shared" ca="1" si="20"/>
        <v>1.5468072187801307E-4</v>
      </c>
      <c r="Q142" s="2136">
        <f t="shared" si="20"/>
        <v>4.633970313442268E-4</v>
      </c>
      <c r="R142" s="2136">
        <f t="shared" si="21"/>
        <v>5.9986759883426247E-4</v>
      </c>
      <c r="S142" s="2136">
        <f t="shared" si="21"/>
        <v>9.5666700439227237E-4</v>
      </c>
      <c r="T142" s="2136">
        <f t="shared" si="21"/>
        <v>4.3985528301046804E-4</v>
      </c>
      <c r="U142" s="2136">
        <f t="shared" si="21"/>
        <v>1.4746292965198359E-3</v>
      </c>
      <c r="V142" s="2136">
        <f t="shared" si="21"/>
        <v>5.7917725600657092E-4</v>
      </c>
      <c r="W142" s="2136">
        <f t="shared" si="21"/>
        <v>5.688240746813735E-4</v>
      </c>
      <c r="X142" s="2136">
        <f t="shared" si="21"/>
        <v>4.469967612273803E-4</v>
      </c>
      <c r="Y142" s="2136">
        <f t="shared" si="21"/>
        <v>4.5636958311365484E-4</v>
      </c>
      <c r="Z142" s="2136">
        <f t="shared" si="21"/>
        <v>6.0552175871084321E-4</v>
      </c>
      <c r="AA142" s="2136">
        <f t="shared" si="21"/>
        <v>1.7340212567845011E-3</v>
      </c>
      <c r="AB142" s="2136">
        <f t="shared" si="21"/>
        <v>1.0928185287251032E-3</v>
      </c>
      <c r="AC142" s="2136">
        <f t="shared" si="21"/>
        <v>7.8582753295727218E-4</v>
      </c>
      <c r="AD142" s="2136">
        <f t="shared" si="21"/>
        <v>5.6882407468137339E-4</v>
      </c>
      <c r="AE142" s="2136">
        <f t="shared" si="21"/>
        <v>1.0928185287251032E-3</v>
      </c>
      <c r="AF142" s="2136">
        <f ca="1">Steel!H110</f>
        <v>0.47947948035230226</v>
      </c>
      <c r="AG142" s="2136">
        <f ca="1">Steel!H110</f>
        <v>0.47947948035230226</v>
      </c>
      <c r="AH142" s="2136">
        <f ca="1">Steel!H110</f>
        <v>0.47947948035230226</v>
      </c>
      <c r="AI142" s="2136">
        <f ca="1">Steel!$D$140*Steel!C144+Steel!D144</f>
        <v>0.9036220515055573</v>
      </c>
      <c r="AJ142" s="2136">
        <f ca="1">Steel!$D$208*Steel!C212+Steel!D212</f>
        <v>0.9036220515055573</v>
      </c>
      <c r="AK142" s="2136">
        <f ca="1">'C.Iron'!C64+'C.Iron'!E64</f>
        <v>21.685120262067109</v>
      </c>
      <c r="AL142" s="2136">
        <f>'C.Iron'!D64+'C.Iron'!E64</f>
        <v>0.99291114943351011</v>
      </c>
      <c r="AM142" s="2136">
        <f ca="1">W.Al!$I$122*W.Al!I128</f>
        <v>0.47947948035230242</v>
      </c>
      <c r="AN142" s="2136">
        <f ca="1">W.Al!$I$123*W.Al!I128</f>
        <v>0.47947948035230242</v>
      </c>
      <c r="AO142" s="2136">
        <f ca="1">W.Al!$J$124*W.Al!J128</f>
        <v>0.37481498435048272</v>
      </c>
      <c r="AP142" s="2136">
        <f ca="1">W.Al!$F$160*W.Al!F166</f>
        <v>0.47947948035230242</v>
      </c>
      <c r="AQ142" s="2136">
        <f ca="1">W.Al!$F$161*W.Al!F166</f>
        <v>0.47947948035230242</v>
      </c>
      <c r="AR142" s="2136">
        <f ca="1">W.Al!$G$162*W.Al!G166</f>
        <v>0.37481498435048272</v>
      </c>
      <c r="AS142" s="2136">
        <f ca="1">'C.Al'!$G$113*'C.Al'!G117+'C.Al'!$H$113*'C.Al'!H117</f>
        <v>0.30936144375602614</v>
      </c>
      <c r="AT142" s="2136">
        <f ca="1">'C.Al'!$D$149*'C.Al'!D153+'C.Al'!$E$149*'C.Al'!E153</f>
        <v>0.30936144375602614</v>
      </c>
      <c r="AU142" s="2136">
        <f>Copper!D65</f>
        <v>0.92679406268845355</v>
      </c>
      <c r="AV142" s="2136">
        <f>Glass!B73</f>
        <v>1.1997351976685249</v>
      </c>
      <c r="AW142" s="2136">
        <f>Vehi_Plastics!B$19*Vehi_Plastics!X107</f>
        <v>1.9133340087845447</v>
      </c>
      <c r="AX142" s="2136">
        <f>Vehi_Plastics!C$19*Vehi_Plastics!AA107</f>
        <v>0.87971056602093611</v>
      </c>
      <c r="AY142" s="2136">
        <f>Vehi_Plastics!D$19*Vehi_Plastics!AB107</f>
        <v>2.949258593039672</v>
      </c>
      <c r="AZ142" s="2136">
        <f>Vehi_Plastics!E$19*Vehi_Plastics!AC107</f>
        <v>1.1583545120131418</v>
      </c>
      <c r="BA142" s="2136">
        <f>Vehi_Plastics!F$19*Vehi_Plastics!AD107</f>
        <v>1.1376481493627471</v>
      </c>
      <c r="BB142" s="2136">
        <f>Vehi_Plastics!G$19*Vehi_Plastics!AE107</f>
        <v>0.8939935224547606</v>
      </c>
      <c r="BC142" s="2136">
        <f>Vehi_Plastics!H$19*Vehi_Plastics!AF107</f>
        <v>0.91273916622730966</v>
      </c>
      <c r="BD142" s="2136">
        <f>Vehi_Plastics!I$19*Vehi_Plastics!AG107</f>
        <v>1.2110435174216865</v>
      </c>
      <c r="BE142" s="2136">
        <f>Vehi_Plastics!J$19*Vehi_Plastics!AH107</f>
        <v>3.4680425135690021</v>
      </c>
      <c r="BF142" s="2136">
        <f>Vehi_Plastics!K$19*Vehi_Plastics!AI107</f>
        <v>2.1856370574502062</v>
      </c>
      <c r="BG142" s="2136">
        <f>Vehi_Plastics!L$19*Vehi_Plastics!AJ107</f>
        <v>1.5716550659145443</v>
      </c>
      <c r="BH142" s="2136">
        <f>Rubber!$A$6*Rubber!C67</f>
        <v>1.1376481493627468</v>
      </c>
      <c r="BI142" s="2185">
        <f>Rubber!$B$6*Rubber!D67</f>
        <v>2.1856370574502062</v>
      </c>
    </row>
    <row r="143" spans="1:61" s="2136" customFormat="1">
      <c r="A143" s="2229" t="s">
        <v>804</v>
      </c>
      <c r="B143" s="2136">
        <f t="shared" ref="B143:AE143" ca="1" si="22">B141-B142-B144</f>
        <v>4.4337099357666452E-4</v>
      </c>
      <c r="C143" s="2136">
        <f t="shared" ca="1" si="22"/>
        <v>4.4337099357666452E-4</v>
      </c>
      <c r="D143" s="2136">
        <f t="shared" ca="1" si="22"/>
        <v>4.4337099357666452E-4</v>
      </c>
      <c r="E143" s="2136">
        <f t="shared" ca="1" si="22"/>
        <v>2.018208625360042E-3</v>
      </c>
      <c r="F143" s="2136">
        <f t="shared" ca="1" si="22"/>
        <v>2.018208625360042E-3</v>
      </c>
      <c r="G143" s="2136">
        <f t="shared" ca="1" si="22"/>
        <v>5.6464859267675864E-4</v>
      </c>
      <c r="H143" s="2136">
        <f t="shared" si="22"/>
        <v>1.8803977717418992E-2</v>
      </c>
      <c r="I143" s="2136">
        <f t="shared" ca="1" si="22"/>
        <v>4.4337099357666458E-4</v>
      </c>
      <c r="J143" s="2136">
        <f t="shared" ca="1" si="22"/>
        <v>4.4337099357666458E-4</v>
      </c>
      <c r="K143" s="2136">
        <f t="shared" ca="1" si="22"/>
        <v>3.2577212060282829E-3</v>
      </c>
      <c r="L143" s="2136">
        <f t="shared" ca="1" si="22"/>
        <v>4.4337099357666458E-4</v>
      </c>
      <c r="M143" s="2136">
        <f t="shared" ca="1" si="22"/>
        <v>4.4337099357666458E-4</v>
      </c>
      <c r="N143" s="2136">
        <f t="shared" ca="1" si="22"/>
        <v>3.2577212060282829E-3</v>
      </c>
      <c r="O143" s="2136">
        <f t="shared" ca="1" si="22"/>
        <v>4.8805679497742772E-3</v>
      </c>
      <c r="P143" s="2136">
        <f t="shared" ca="1" si="22"/>
        <v>4.8805679497742772E-3</v>
      </c>
      <c r="Q143" s="2136">
        <f t="shared" si="22"/>
        <v>8.7394363769148367E-4</v>
      </c>
      <c r="R143" s="2136">
        <f t="shared" si="22"/>
        <v>2.1094378198197508E-4</v>
      </c>
      <c r="S143" s="2136">
        <f t="shared" si="22"/>
        <v>1.7692452655023257E-3</v>
      </c>
      <c r="T143" s="2136">
        <f t="shared" si="22"/>
        <v>2.8700052456866344E-3</v>
      </c>
      <c r="U143" s="2136">
        <f t="shared" si="22"/>
        <v>2.7365271812680014E-3</v>
      </c>
      <c r="V143" s="2136">
        <f t="shared" si="22"/>
        <v>1.0711215222973056E-3</v>
      </c>
      <c r="W143" s="2136">
        <f t="shared" si="22"/>
        <v>3.3776209904066378E-3</v>
      </c>
      <c r="X143" s="2136">
        <f t="shared" si="22"/>
        <v>8.2666894527088437E-4</v>
      </c>
      <c r="Y143" s="2136">
        <f t="shared" si="22"/>
        <v>8.4400289812025834E-4</v>
      </c>
      <c r="Z143" s="2136">
        <f t="shared" si="22"/>
        <v>1.1198426410016725E-3</v>
      </c>
      <c r="AA143" s="2136">
        <f t="shared" si="22"/>
        <v>3.2068722813276855E-3</v>
      </c>
      <c r="AB143" s="2136">
        <f t="shared" si="22"/>
        <v>2.0210418035984724E-3</v>
      </c>
      <c r="AC143" s="2136">
        <f t="shared" si="22"/>
        <v>1.453297370770339E-3</v>
      </c>
      <c r="AD143" s="2136">
        <f t="shared" si="22"/>
        <v>3.3776209904066369E-3</v>
      </c>
      <c r="AE143" s="2136">
        <f t="shared" si="22"/>
        <v>2.0210418035984724E-3</v>
      </c>
      <c r="AF143" s="2136">
        <f ca="1">Steel!H111</f>
        <v>0.88674198715332908</v>
      </c>
      <c r="AG143" s="2136">
        <f ca="1">Steel!H111</f>
        <v>0.88674198715332908</v>
      </c>
      <c r="AH143" s="2136">
        <f ca="1">Steel!H111</f>
        <v>0.88674198715332908</v>
      </c>
      <c r="AI143" s="2136">
        <f ca="1">Steel!$D$140*Steel!C145+Steel!D145</f>
        <v>4.0364172507200839</v>
      </c>
      <c r="AJ143" s="2136">
        <f ca="1">Steel!$D$208*Steel!C213+Steel!D213</f>
        <v>4.0364172507200839</v>
      </c>
      <c r="AK143" s="2136">
        <f ca="1">'C.Iron'!C65+'C.Iron'!E65</f>
        <v>1.1292971853535188</v>
      </c>
      <c r="AL143" s="2136">
        <f>'C.Iron'!D65+'C.Iron'!E65</f>
        <v>37.607955434837983</v>
      </c>
      <c r="AM143" s="2136">
        <f ca="1">W.Al!$I$122*W.Al!I129</f>
        <v>0.88674198715332919</v>
      </c>
      <c r="AN143" s="2136">
        <f ca="1">W.Al!$I$123*W.Al!I129</f>
        <v>0.88674198715332919</v>
      </c>
      <c r="AO143" s="2136">
        <f ca="1">W.Al!$J$124*W.Al!J129</f>
        <v>6.5154424120565659</v>
      </c>
      <c r="AP143" s="2136">
        <f ca="1">W.Al!$F$160*W.Al!F167</f>
        <v>0.88674198715332919</v>
      </c>
      <c r="AQ143" s="2136">
        <f ca="1">W.Al!$F$161*W.Al!F167</f>
        <v>0.88674198715332919</v>
      </c>
      <c r="AR143" s="2136">
        <f ca="1">W.Al!$G$162*W.Al!G167</f>
        <v>6.5154424120565659</v>
      </c>
      <c r="AS143" s="2136">
        <f ca="1">'C.Al'!$G$113*'C.Al'!G118+'C.Al'!$H$113*'C.Al'!H118</f>
        <v>9.7611358995485542</v>
      </c>
      <c r="AT143" s="2136">
        <f ca="1">'C.Al'!$D$149*'C.Al'!D154+'C.Al'!$E$149*'C.Al'!E154</f>
        <v>9.7611358995485542</v>
      </c>
      <c r="AU143" s="2136">
        <f>Copper!D66</f>
        <v>1.7478872753829671</v>
      </c>
      <c r="AV143" s="2136">
        <f>Glass!B74</f>
        <v>0.42188756396395016</v>
      </c>
      <c r="AW143" s="2136">
        <f>Vehi_Plastics!B$19*Vehi_Plastics!X108</f>
        <v>3.5384905310046504</v>
      </c>
      <c r="AX143" s="2136">
        <f>Vehi_Plastics!C$19*Vehi_Plastics!AA108</f>
        <v>5.7400104913732681</v>
      </c>
      <c r="AY143" s="2136">
        <f>Vehi_Plastics!D$19*Vehi_Plastics!AB108</f>
        <v>5.4730543625360015</v>
      </c>
      <c r="AZ143" s="2136">
        <f>Vehi_Plastics!E$19*Vehi_Plastics!AC108</f>
        <v>2.1422430445946108</v>
      </c>
      <c r="BA143" s="2136">
        <f>Vehi_Plastics!F$19*Vehi_Plastics!AD108</f>
        <v>6.7552419808132749</v>
      </c>
      <c r="BB143" s="2136">
        <f>Vehi_Plastics!G$19*Vehi_Plastics!AE108</f>
        <v>1.6533378905417682</v>
      </c>
      <c r="BC143" s="2136">
        <f>Vehi_Plastics!H$19*Vehi_Plastics!AF108</f>
        <v>1.6880057962405166</v>
      </c>
      <c r="BD143" s="2136">
        <f>Vehi_Plastics!I$19*Vehi_Plastics!AG108</f>
        <v>2.2396852820033448</v>
      </c>
      <c r="BE143" s="2136">
        <f>Vehi_Plastics!J$19*Vehi_Plastics!AH108</f>
        <v>6.4137445626553724</v>
      </c>
      <c r="BF143" s="2136">
        <f>Vehi_Plastics!K$19*Vehi_Plastics!AI108</f>
        <v>4.042083607196945</v>
      </c>
      <c r="BG143" s="2136">
        <f>Vehi_Plastics!L$19*Vehi_Plastics!AJ108</f>
        <v>2.9065947415406788</v>
      </c>
      <c r="BH143" s="2136">
        <f>Rubber!$A$6*Rubber!C68</f>
        <v>6.7552419808132731</v>
      </c>
      <c r="BI143" s="2185">
        <f>Rubber!$B$6*Rubber!D68</f>
        <v>4.042083607196945</v>
      </c>
    </row>
    <row r="144" spans="1:61" s="2136" customFormat="1">
      <c r="A144" s="2230" t="s">
        <v>818</v>
      </c>
      <c r="B144" s="2242">
        <f t="shared" ref="B144:Q145" ca="1" si="23">AF144/2000</f>
        <v>7.5001739313045865E-6</v>
      </c>
      <c r="C144" s="2242">
        <f t="shared" ca="1" si="23"/>
        <v>7.5001739313045865E-6</v>
      </c>
      <c r="D144" s="2242">
        <f t="shared" ca="1" si="23"/>
        <v>7.5001739313045865E-6</v>
      </c>
      <c r="E144" s="2242">
        <f t="shared" ca="1" si="23"/>
        <v>1.8430352478624533E-5</v>
      </c>
      <c r="F144" s="2242">
        <f t="shared" ca="1" si="23"/>
        <v>1.8430352478624533E-5</v>
      </c>
      <c r="G144" s="2242">
        <f t="shared" ca="1" si="23"/>
        <v>1.4726029215258036E-4</v>
      </c>
      <c r="H144" s="2242">
        <f t="shared" si="23"/>
        <v>8.0496859547297416E-5</v>
      </c>
      <c r="I144" s="2242">
        <f t="shared" ca="1" si="23"/>
        <v>7.5001739313045882E-6</v>
      </c>
      <c r="J144" s="2242">
        <f t="shared" ca="1" si="23"/>
        <v>7.5001739313045882E-6</v>
      </c>
      <c r="K144" s="2242">
        <f t="shared" ca="1" si="23"/>
        <v>1.765845097175652E-5</v>
      </c>
      <c r="L144" s="2242">
        <f t="shared" ca="1" si="23"/>
        <v>7.5001739313045882E-6</v>
      </c>
      <c r="M144" s="2242">
        <f t="shared" ca="1" si="23"/>
        <v>7.5001739313045882E-6</v>
      </c>
      <c r="N144" s="2242">
        <f t="shared" ca="1" si="23"/>
        <v>1.765845097175652E-5</v>
      </c>
      <c r="O144" s="2242">
        <f t="shared" ca="1" si="23"/>
        <v>2.1527409976725463E-5</v>
      </c>
      <c r="P144" s="2242">
        <f t="shared" ca="1" si="23"/>
        <v>2.1527409976725463E-5</v>
      </c>
      <c r="Q144" s="2242">
        <f t="shared" si="23"/>
        <v>4.5102615153366131E-4</v>
      </c>
      <c r="R144" s="2242">
        <f t="shared" ref="R144:AE145" si="24">AV144/2000</f>
        <v>1.0960005907008349E-4</v>
      </c>
      <c r="S144" s="2242">
        <f t="shared" si="24"/>
        <v>2.9928992673513975E-5</v>
      </c>
      <c r="T144" s="2242">
        <f t="shared" si="24"/>
        <v>2.0795126947313128E-3</v>
      </c>
      <c r="U144" s="2242">
        <f t="shared" si="24"/>
        <v>5.1809981351264606E-5</v>
      </c>
      <c r="V144" s="2242">
        <f t="shared" si="24"/>
        <v>1.8119357908343686E-5</v>
      </c>
      <c r="W144" s="2242">
        <f t="shared" si="24"/>
        <v>2.6242736648448225E-5</v>
      </c>
      <c r="X144" s="2242">
        <f t="shared" si="24"/>
        <v>1.3984137354415485E-5</v>
      </c>
      <c r="Y144" s="2242">
        <f t="shared" si="24"/>
        <v>1.4277362809329826E-5</v>
      </c>
      <c r="Z144" s="2242">
        <f t="shared" si="24"/>
        <v>1.8943536462431492E-5</v>
      </c>
      <c r="AA144" s="2242">
        <f t="shared" si="24"/>
        <v>5.4248248608708923E-5</v>
      </c>
      <c r="AB144" s="2242">
        <f t="shared" si="24"/>
        <v>3.4188445498307114E-5</v>
      </c>
      <c r="AC144" s="2242">
        <f t="shared" si="24"/>
        <v>2.4584339554455879E-5</v>
      </c>
      <c r="AD144" s="2242">
        <f t="shared" si="24"/>
        <v>2.6242736648448221E-5</v>
      </c>
      <c r="AE144" s="2242">
        <f t="shared" si="24"/>
        <v>3.4188445498307114E-5</v>
      </c>
      <c r="AF144" s="2242">
        <f ca="1">Steel!H112</f>
        <v>1.5000347862609172E-2</v>
      </c>
      <c r="AG144" s="2242">
        <f ca="1">Steel!H112</f>
        <v>1.5000347862609172E-2</v>
      </c>
      <c r="AH144" s="2242">
        <f ca="1">Steel!H112</f>
        <v>1.5000347862609172E-2</v>
      </c>
      <c r="AI144" s="2242">
        <f ca="1">Steel!$D$140*Steel!C146+Steel!D146</f>
        <v>3.6860704957249066E-2</v>
      </c>
      <c r="AJ144" s="2242">
        <f ca="1">Steel!$D$208*Steel!C214+Steel!D214</f>
        <v>3.6860704957249066E-2</v>
      </c>
      <c r="AK144" s="2242">
        <f ca="1">'C.Iron'!C66+'C.Iron'!E66</f>
        <v>0.2945205843051607</v>
      </c>
      <c r="AL144" s="2242">
        <f>'C.Iron'!D66+'C.Iron'!E66</f>
        <v>0.16099371909459484</v>
      </c>
      <c r="AM144" s="2242">
        <f ca="1">W.Al!$I$122*W.Al!I130</f>
        <v>1.5000347862609176E-2</v>
      </c>
      <c r="AN144" s="2242">
        <f ca="1">W.Al!$I$123*W.Al!I130</f>
        <v>1.5000347862609176E-2</v>
      </c>
      <c r="AO144" s="2242">
        <f ca="1">W.Al!$J$124*W.Al!J130</f>
        <v>3.5316901943513036E-2</v>
      </c>
      <c r="AP144" s="2242">
        <f ca="1">W.Al!$F$160*W.Al!F168</f>
        <v>1.5000347862609176E-2</v>
      </c>
      <c r="AQ144" s="2242">
        <f ca="1">W.Al!$F$161*W.Al!F168</f>
        <v>1.5000347862609176E-2</v>
      </c>
      <c r="AR144" s="2242">
        <f ca="1">W.Al!$G$162*W.Al!G168</f>
        <v>3.5316901943513036E-2</v>
      </c>
      <c r="AS144" s="2242">
        <f ca="1">'C.Al'!$G$113*'C.Al'!G119+'C.Al'!$H$113*'C.Al'!H119</f>
        <v>4.3054819953450923E-2</v>
      </c>
      <c r="AT144" s="2242">
        <f ca="1">'C.Al'!$D$149*'C.Al'!D155+'C.Al'!$E$149*'C.Al'!E155</f>
        <v>4.3054819953450923E-2</v>
      </c>
      <c r="AU144" s="2242">
        <f>Copper!D67</f>
        <v>0.90205230306732265</v>
      </c>
      <c r="AV144" s="2242">
        <f>Glass!B75</f>
        <v>0.21920011814016699</v>
      </c>
      <c r="AW144" s="2242">
        <f>Vehi_Plastics!B$19*Vehi_Plastics!X109</f>
        <v>5.985798534702795E-2</v>
      </c>
      <c r="AX144" s="2242">
        <f>Vehi_Plastics!C$19*Vehi_Plastics!AA109</f>
        <v>4.1590253894626255</v>
      </c>
      <c r="AY144" s="2242">
        <f>Vehi_Plastics!D$19*Vehi_Plastics!AB109</f>
        <v>0.10361996270252921</v>
      </c>
      <c r="AZ144" s="2242">
        <f>Vehi_Plastics!E$19*Vehi_Plastics!AC109</f>
        <v>3.6238715816687375E-2</v>
      </c>
      <c r="BA144" s="2242">
        <f>Vehi_Plastics!F$19*Vehi_Plastics!AD109</f>
        <v>5.248547329689645E-2</v>
      </c>
      <c r="BB144" s="2242">
        <f>Vehi_Plastics!G$19*Vehi_Plastics!AE109</f>
        <v>2.7968274708830971E-2</v>
      </c>
      <c r="BC144" s="2242">
        <f>Vehi_Plastics!H$19*Vehi_Plastics!AF109</f>
        <v>2.8554725618659651E-2</v>
      </c>
      <c r="BD144" s="2242">
        <f>Vehi_Plastics!I$19*Vehi_Plastics!AG109</f>
        <v>3.7887072924862986E-2</v>
      </c>
      <c r="BE144" s="2242">
        <f>Vehi_Plastics!J$19*Vehi_Plastics!AH109</f>
        <v>0.10849649721741784</v>
      </c>
      <c r="BF144" s="2242">
        <f>Vehi_Plastics!K$19*Vehi_Plastics!AI109</f>
        <v>6.8376890996614231E-2</v>
      </c>
      <c r="BG144" s="2242">
        <f>Vehi_Plastics!L$19*Vehi_Plastics!AJ109</f>
        <v>4.9168679108911761E-2</v>
      </c>
      <c r="BH144" s="2242">
        <f>Rubber!$A$6*Rubber!C69</f>
        <v>5.2485473296896443E-2</v>
      </c>
      <c r="BI144" s="2227">
        <f>Rubber!$B$6*Rubber!D69</f>
        <v>6.8376890996614231E-2</v>
      </c>
    </row>
    <row r="145" spans="1:61" s="2136" customFormat="1">
      <c r="A145" s="2249" t="s">
        <v>819</v>
      </c>
      <c r="B145" s="2242">
        <f t="shared" ca="1" si="23"/>
        <v>4.672955898428989E-2</v>
      </c>
      <c r="C145" s="2242">
        <f t="shared" ca="1" si="23"/>
        <v>4.672955898428989E-2</v>
      </c>
      <c r="D145" s="2242">
        <f t="shared" ca="1" si="23"/>
        <v>4.672955898428989E-2</v>
      </c>
      <c r="E145" s="2242">
        <f t="shared" ca="1" si="23"/>
        <v>9.1182390685096856E-2</v>
      </c>
      <c r="F145" s="2242">
        <f t="shared" ca="1" si="23"/>
        <v>9.1182390685096856E-2</v>
      </c>
      <c r="G145" s="2242">
        <f t="shared" ca="1" si="23"/>
        <v>7.0582086632344304E-2</v>
      </c>
      <c r="H145" s="2242">
        <f t="shared" si="23"/>
        <v>0.14389879968953673</v>
      </c>
      <c r="I145" s="2242">
        <f t="shared" ca="1" si="23"/>
        <v>4.6729558984289897E-2</v>
      </c>
      <c r="J145" s="2242">
        <f t="shared" ca="1" si="23"/>
        <v>4.6729558984289897E-2</v>
      </c>
      <c r="K145" s="2242">
        <f t="shared" ca="1" si="23"/>
        <v>9.9249333456050151E-2</v>
      </c>
      <c r="L145" s="2242">
        <f t="shared" ca="1" si="23"/>
        <v>4.6729558984289897E-2</v>
      </c>
      <c r="M145" s="2242">
        <f t="shared" ca="1" si="23"/>
        <v>4.6729558984289897E-2</v>
      </c>
      <c r="N145" s="2242">
        <f t="shared" ca="1" si="23"/>
        <v>9.9249333456050151E-2</v>
      </c>
      <c r="O145" s="2242">
        <f t="shared" ca="1" si="23"/>
        <v>4.2256951694563644E-2</v>
      </c>
      <c r="P145" s="2242">
        <f t="shared" ca="1" si="23"/>
        <v>4.2256951694563644E-2</v>
      </c>
      <c r="Q145" s="2242">
        <f t="shared" si="23"/>
        <v>9.7117846074770406E-2</v>
      </c>
      <c r="R145" s="2242">
        <f t="shared" si="24"/>
        <v>3.0388339157698521E-2</v>
      </c>
      <c r="S145" s="2242">
        <f t="shared" si="24"/>
        <v>0.18647149269964772</v>
      </c>
      <c r="T145" s="2242">
        <f t="shared" si="24"/>
        <v>0.12843713514932553</v>
      </c>
      <c r="U145" s="2242">
        <f t="shared" si="24"/>
        <v>0.28757051284470447</v>
      </c>
      <c r="V145" s="2242">
        <f t="shared" si="24"/>
        <v>0.11289199582443932</v>
      </c>
      <c r="W145" s="2242">
        <f t="shared" si="24"/>
        <v>0.11700225557819599</v>
      </c>
      <c r="X145" s="2242">
        <f t="shared" si="24"/>
        <v>8.7127655616101751E-2</v>
      </c>
      <c r="Y145" s="2242">
        <f t="shared" si="24"/>
        <v>8.8954586073530698E-2</v>
      </c>
      <c r="Z145" s="2242">
        <f t="shared" si="24"/>
        <v>0.11802701012005228</v>
      </c>
      <c r="AA145" s="2242">
        <f t="shared" si="24"/>
        <v>0.33799172610842987</v>
      </c>
      <c r="AB145" s="2242">
        <f t="shared" si="24"/>
        <v>0.21300985752158852</v>
      </c>
      <c r="AC145" s="2242">
        <f t="shared" si="24"/>
        <v>0.15317182718987038</v>
      </c>
      <c r="AD145" s="2242">
        <f t="shared" si="24"/>
        <v>0.11700225557819599</v>
      </c>
      <c r="AE145" s="2242">
        <f t="shared" si="24"/>
        <v>0.21300985752158852</v>
      </c>
      <c r="AF145" s="2242">
        <f ca="1">Steel!H113</f>
        <v>93.459117968579775</v>
      </c>
      <c r="AG145" s="2242">
        <f ca="1">Steel!H113</f>
        <v>93.459117968579775</v>
      </c>
      <c r="AH145" s="2242">
        <f ca="1">Steel!H113</f>
        <v>93.459117968579775</v>
      </c>
      <c r="AI145" s="2242">
        <f ca="1">Steel!$D$140*Steel!C147+Steel!D147</f>
        <v>182.36478137019373</v>
      </c>
      <c r="AJ145" s="2242">
        <f ca="1">Steel!$D$208*Steel!C215+Steel!D215</f>
        <v>182.36478137019373</v>
      </c>
      <c r="AK145" s="2242">
        <f ca="1">'C.Iron'!C67+'C.Iron'!E67</f>
        <v>141.1641732646886</v>
      </c>
      <c r="AL145" s="2242">
        <f>'C.Iron'!D67+'C.Iron'!E67</f>
        <v>287.79759937907346</v>
      </c>
      <c r="AM145" s="2242">
        <f ca="1">W.Al!$I$122*W.Al!I131</f>
        <v>93.45911796857979</v>
      </c>
      <c r="AN145" s="2242">
        <f ca="1">W.Al!$I$123*W.Al!I131</f>
        <v>93.45911796857979</v>
      </c>
      <c r="AO145" s="2242">
        <f ca="1">W.Al!$J$124*W.Al!J131</f>
        <v>198.4986669121003</v>
      </c>
      <c r="AP145" s="2242">
        <f ca="1">W.Al!$F$160*W.Al!F169</f>
        <v>93.45911796857979</v>
      </c>
      <c r="AQ145" s="2242">
        <f ca="1">W.Al!$F$161*W.Al!F169</f>
        <v>93.45911796857979</v>
      </c>
      <c r="AR145" s="2242">
        <f ca="1">W.Al!$G$162*W.Al!G169</f>
        <v>198.4986669121003</v>
      </c>
      <c r="AS145" s="2242">
        <f ca="1">'C.Al'!$G$113*'C.Al'!G120+'C.Al'!$H$113*'C.Al'!H120</f>
        <v>84.513903389127293</v>
      </c>
      <c r="AT145" s="2242">
        <f ca="1">'C.Al'!$D$149*'C.Al'!D156+'C.Al'!$E$149*'C.Al'!E156</f>
        <v>84.513903389127293</v>
      </c>
      <c r="AU145" s="2242">
        <f>Copper!D68</f>
        <v>194.23569214954082</v>
      </c>
      <c r="AV145" s="2242">
        <f>Glass!B76</f>
        <v>60.776678315397042</v>
      </c>
      <c r="AW145" s="2242">
        <f>Vehi_Plastics!B$19*Vehi_Plastics!X110</f>
        <v>372.94298539929542</v>
      </c>
      <c r="AX145" s="2242">
        <f>Vehi_Plastics!C$19*Vehi_Plastics!AA110</f>
        <v>256.87427029865108</v>
      </c>
      <c r="AY145" s="2242">
        <f>Vehi_Plastics!D$19*Vehi_Plastics!AB110</f>
        <v>575.14102568940893</v>
      </c>
      <c r="AZ145" s="2242">
        <f>Vehi_Plastics!E$19*Vehi_Plastics!AC110</f>
        <v>225.78399164887864</v>
      </c>
      <c r="BA145" s="2242">
        <f>Vehi_Plastics!F$19*Vehi_Plastics!AD110</f>
        <v>234.00451115639197</v>
      </c>
      <c r="BB145" s="2242">
        <f>Vehi_Plastics!G$19*Vehi_Plastics!AE110</f>
        <v>174.2553112322035</v>
      </c>
      <c r="BC145" s="2242">
        <f>Vehi_Plastics!H$19*Vehi_Plastics!AF110</f>
        <v>177.90917214706138</v>
      </c>
      <c r="BD145" s="2242">
        <f>Vehi_Plastics!I$19*Vehi_Plastics!AG110</f>
        <v>236.05402024010456</v>
      </c>
      <c r="BE145" s="2242">
        <f>Vehi_Plastics!J$19*Vehi_Plastics!AH110</f>
        <v>675.98345221685975</v>
      </c>
      <c r="BF145" s="2242">
        <f>Vehi_Plastics!K$19*Vehi_Plastics!AI110</f>
        <v>426.01971504317703</v>
      </c>
      <c r="BG145" s="2242">
        <f>Vehi_Plastics!L$19*Vehi_Plastics!AJ110</f>
        <v>306.34365437974077</v>
      </c>
      <c r="BH145" s="2242">
        <f>Rubber!$A$6*Rubber!C70</f>
        <v>234.00451115639197</v>
      </c>
      <c r="BI145" s="2227">
        <f>Rubber!$B$6*Rubber!D70</f>
        <v>426.01971504317703</v>
      </c>
    </row>
    <row r="146" spans="1:61" s="2136" customFormat="1">
      <c r="A146" s="2228" t="s">
        <v>1030</v>
      </c>
      <c r="B146" s="2250" t="s">
        <v>846</v>
      </c>
      <c r="C146" s="2250" t="s">
        <v>846</v>
      </c>
      <c r="D146" s="2250" t="s">
        <v>846</v>
      </c>
      <c r="E146" s="2250" t="s">
        <v>846</v>
      </c>
      <c r="F146" s="2250" t="s">
        <v>846</v>
      </c>
      <c r="G146" s="2250" t="s">
        <v>846</v>
      </c>
      <c r="H146" s="2250" t="s">
        <v>846</v>
      </c>
      <c r="I146" s="2250" t="s">
        <v>846</v>
      </c>
      <c r="J146" s="2250" t="s">
        <v>846</v>
      </c>
      <c r="K146" s="2250" t="s">
        <v>846</v>
      </c>
      <c r="L146" s="2250" t="s">
        <v>846</v>
      </c>
      <c r="M146" s="2250" t="s">
        <v>846</v>
      </c>
      <c r="N146" s="2250" t="s">
        <v>846</v>
      </c>
      <c r="O146" s="2250" t="s">
        <v>846</v>
      </c>
      <c r="P146" s="2250" t="s">
        <v>846</v>
      </c>
      <c r="Q146" s="2250" t="s">
        <v>846</v>
      </c>
      <c r="R146" s="2250" t="s">
        <v>846</v>
      </c>
      <c r="S146" s="2250" t="s">
        <v>846</v>
      </c>
      <c r="T146" s="2250" t="s">
        <v>846</v>
      </c>
      <c r="U146" s="2250" t="s">
        <v>846</v>
      </c>
      <c r="V146" s="2250" t="s">
        <v>846</v>
      </c>
      <c r="W146" s="2250" t="s">
        <v>846</v>
      </c>
      <c r="X146" s="2250" t="s">
        <v>846</v>
      </c>
      <c r="Y146" s="2250" t="s">
        <v>846</v>
      </c>
      <c r="Z146" s="2250" t="s">
        <v>846</v>
      </c>
      <c r="AA146" s="2250" t="s">
        <v>846</v>
      </c>
      <c r="AB146" s="2250" t="s">
        <v>846</v>
      </c>
      <c r="AC146" s="2250" t="s">
        <v>846</v>
      </c>
      <c r="AD146" s="2250" t="s">
        <v>846</v>
      </c>
      <c r="AE146" s="2250" t="s">
        <v>846</v>
      </c>
      <c r="AF146" s="2251"/>
      <c r="AG146" s="2251"/>
      <c r="AH146" s="2251"/>
      <c r="AI146" s="2251"/>
      <c r="AJ146" s="2251"/>
      <c r="AK146" s="2251"/>
      <c r="AL146" s="2251"/>
      <c r="AM146" s="2251"/>
      <c r="AN146" s="2251"/>
      <c r="AO146" s="2251"/>
      <c r="AP146" s="2251"/>
      <c r="AQ146" s="2251"/>
      <c r="AR146" s="2251"/>
      <c r="AS146" s="2251"/>
      <c r="AT146" s="2251"/>
      <c r="AU146" s="2251"/>
      <c r="AV146" s="2251"/>
      <c r="AW146" s="2251"/>
      <c r="AX146" s="2251"/>
      <c r="AY146" s="2251"/>
      <c r="AZ146" s="2251"/>
      <c r="BA146" s="2251"/>
      <c r="BB146" s="2251"/>
      <c r="BC146" s="2251"/>
      <c r="BD146" s="2251"/>
      <c r="BE146" s="2251"/>
      <c r="BF146" s="2251"/>
      <c r="BG146" s="2251"/>
      <c r="BH146" s="2251"/>
      <c r="BI146" s="2186"/>
    </row>
    <row r="147" spans="1:61" s="2136" customFormat="1">
      <c r="A147" s="2236" t="s">
        <v>821</v>
      </c>
      <c r="B147" s="2136">
        <f t="shared" ref="B147:Q159" ca="1" si="25">AF147/2000</f>
        <v>5.9577967611764912E-3</v>
      </c>
      <c r="C147" s="2136">
        <f t="shared" ca="1" si="25"/>
        <v>5.9577967611764912E-3</v>
      </c>
      <c r="D147" s="2136">
        <f t="shared" ca="1" si="25"/>
        <v>5.9577967611764912E-3</v>
      </c>
      <c r="E147" s="2136">
        <f t="shared" ca="1" si="25"/>
        <v>2.5033718194219592E-2</v>
      </c>
      <c r="F147" s="2136">
        <f t="shared" ca="1" si="25"/>
        <v>2.5033718194219592E-2</v>
      </c>
      <c r="G147" s="2136">
        <f t="shared" ca="1" si="25"/>
        <v>0.94214786353526025</v>
      </c>
      <c r="H147" s="2136">
        <f t="shared" si="25"/>
        <v>0.22113103173440388</v>
      </c>
      <c r="I147" s="2136">
        <f t="shared" ca="1" si="25"/>
        <v>5.9577967611764929E-3</v>
      </c>
      <c r="J147" s="2136">
        <f t="shared" ca="1" si="25"/>
        <v>5.9577967611764929E-3</v>
      </c>
      <c r="K147" s="2136">
        <f t="shared" ca="1" si="25"/>
        <v>0.16145262570285229</v>
      </c>
      <c r="L147" s="2136">
        <f t="shared" ca="1" si="25"/>
        <v>5.9577967611764929E-3</v>
      </c>
      <c r="M147" s="2136">
        <f t="shared" ca="1" si="25"/>
        <v>5.9577967611764929E-3</v>
      </c>
      <c r="N147" s="2136">
        <f t="shared" ca="1" si="25"/>
        <v>0.16145262570285229</v>
      </c>
      <c r="O147" s="2136">
        <f t="shared" ca="1" si="25"/>
        <v>5.7478749961038668E-2</v>
      </c>
      <c r="P147" s="2136">
        <f t="shared" ca="1" si="25"/>
        <v>5.7478749961038668E-2</v>
      </c>
      <c r="Q147" s="2136">
        <f t="shared" si="25"/>
        <v>1.4227295644852674E-2</v>
      </c>
      <c r="R147" s="2136">
        <f t="shared" ref="R147:AE159" si="26">AV147/2000</f>
        <v>1.2296336680193656E-2</v>
      </c>
      <c r="S147" s="2136">
        <f t="shared" si="26"/>
        <v>2.3774229404373418E-2</v>
      </c>
      <c r="T147" s="2136">
        <f t="shared" si="26"/>
        <v>4.6657610030189506E-2</v>
      </c>
      <c r="U147" s="2136">
        <f t="shared" si="26"/>
        <v>3.6839110476680308E-2</v>
      </c>
      <c r="V147" s="2136">
        <f t="shared" si="26"/>
        <v>1.4393193124542715E-2</v>
      </c>
      <c r="W147" s="2136">
        <f t="shared" si="26"/>
        <v>4.1284756192012023E-2</v>
      </c>
      <c r="X147" s="2136">
        <f t="shared" si="26"/>
        <v>1.1108362152808362E-2</v>
      </c>
      <c r="Y147" s="2136">
        <f t="shared" si="26"/>
        <v>1.1341287106493974E-2</v>
      </c>
      <c r="Z147" s="2136">
        <f t="shared" si="26"/>
        <v>1.5047883051089705E-2</v>
      </c>
      <c r="AA147" s="2136">
        <f t="shared" si="26"/>
        <v>4.3092339300489453E-2</v>
      </c>
      <c r="AB147" s="2136">
        <f t="shared" si="26"/>
        <v>2.7157744836997864E-2</v>
      </c>
      <c r="AC147" s="2136">
        <f t="shared" si="26"/>
        <v>1.9528680256582196E-2</v>
      </c>
      <c r="AD147" s="2136">
        <f t="shared" si="26"/>
        <v>4.1284756192012023E-2</v>
      </c>
      <c r="AE147" s="2136">
        <f t="shared" si="26"/>
        <v>2.7157744836997864E-2</v>
      </c>
      <c r="AF147" s="2136">
        <f ca="1">Steel!H115</f>
        <v>11.915593522352982</v>
      </c>
      <c r="AG147" s="2136">
        <f ca="1">Steel!H115</f>
        <v>11.915593522352982</v>
      </c>
      <c r="AH147" s="2136">
        <f ca="1">Steel!H115</f>
        <v>11.915593522352982</v>
      </c>
      <c r="AI147" s="2136">
        <f ca="1">Steel!$D$140*Steel!C149+Steel!D149</f>
        <v>50.067436388439184</v>
      </c>
      <c r="AJ147" s="2136">
        <f ca="1">Steel!$D$208*Steel!C217+Steel!D217</f>
        <v>50.067436388439184</v>
      </c>
      <c r="AK147" s="2136">
        <f ca="1">'C.Iron'!C69+'C.Iron'!E69</f>
        <v>1884.2957270705206</v>
      </c>
      <c r="AL147" s="2136">
        <f>'C.Iron'!D69+'C.Iron'!E69</f>
        <v>442.26206346880775</v>
      </c>
      <c r="AM147" s="2136">
        <f ca="1">W.Al!$I$122*W.Al!I133</f>
        <v>11.915593522352985</v>
      </c>
      <c r="AN147" s="2136">
        <f ca="1">W.Al!$I$123*W.Al!I133</f>
        <v>11.915593522352985</v>
      </c>
      <c r="AO147" s="2136">
        <f ca="1">W.Al!$J$124*W.Al!J133</f>
        <v>322.90525140570458</v>
      </c>
      <c r="AP147" s="2136">
        <f ca="1">W.Al!$F$160*W.Al!F171</f>
        <v>11.915593522352985</v>
      </c>
      <c r="AQ147" s="2136">
        <f ca="1">W.Al!$F$161*W.Al!F171</f>
        <v>11.915593522352985</v>
      </c>
      <c r="AR147" s="2136">
        <f ca="1">W.Al!$G$162*W.Al!G171</f>
        <v>322.90525140570458</v>
      </c>
      <c r="AS147" s="2136">
        <f ca="1">'C.Al'!$G$113*'C.Al'!G122+'C.Al'!$H$113*'C.Al'!H122</f>
        <v>114.95749992207733</v>
      </c>
      <c r="AT147" s="2136">
        <f ca="1">'C.Al'!$D$149*'C.Al'!D158+'C.Al'!$E$149*'C.Al'!E158</f>
        <v>114.95749992207733</v>
      </c>
      <c r="AU147" s="2136">
        <f>Copper!D70</f>
        <v>28.454591289705348</v>
      </c>
      <c r="AV147" s="2136">
        <f>Glass!B78</f>
        <v>24.592673360387312</v>
      </c>
      <c r="AW147" s="2136">
        <f>Vehi_Plastics!B$19*Vehi_Plastics!X112</f>
        <v>47.548458808746837</v>
      </c>
      <c r="AX147" s="2136">
        <f>Vehi_Plastics!C$19*Vehi_Plastics!AA112</f>
        <v>93.315220060379005</v>
      </c>
      <c r="AY147" s="2136">
        <f>Vehi_Plastics!D$19*Vehi_Plastics!AB112</f>
        <v>73.678220953360622</v>
      </c>
      <c r="AZ147" s="2136">
        <f>Vehi_Plastics!E$19*Vehi_Plastics!AC112</f>
        <v>28.786386249085432</v>
      </c>
      <c r="BA147" s="2136">
        <f>Vehi_Plastics!F$19*Vehi_Plastics!AD112</f>
        <v>82.569512384024051</v>
      </c>
      <c r="BB147" s="2136">
        <f>Vehi_Plastics!G$19*Vehi_Plastics!AE112</f>
        <v>22.216724305616722</v>
      </c>
      <c r="BC147" s="2136">
        <f>Vehi_Plastics!H$19*Vehi_Plastics!AF112</f>
        <v>22.682574212987948</v>
      </c>
      <c r="BD147" s="2136">
        <f>Vehi_Plastics!I$19*Vehi_Plastics!AG112</f>
        <v>30.095766102179411</v>
      </c>
      <c r="BE147" s="2136">
        <f>Vehi_Plastics!J$19*Vehi_Plastics!AH112</f>
        <v>86.184678600978913</v>
      </c>
      <c r="BF147" s="2136">
        <f>Vehi_Plastics!K$19*Vehi_Plastics!AI112</f>
        <v>54.315489673995728</v>
      </c>
      <c r="BG147" s="2136">
        <f>Vehi_Plastics!L$19*Vehi_Plastics!AJ112</f>
        <v>39.05736051316439</v>
      </c>
      <c r="BH147" s="2136">
        <f>Rubber!$A$6*Rubber!C72</f>
        <v>82.569512384024051</v>
      </c>
      <c r="BI147" s="2185">
        <f>Rubber!$B$6*Rubber!D72</f>
        <v>54.315489673995728</v>
      </c>
    </row>
    <row r="148" spans="1:61" s="2136" customFormat="1">
      <c r="A148" s="2236" t="s">
        <v>822</v>
      </c>
      <c r="B148" s="2136">
        <f t="shared" ca="1" si="25"/>
        <v>1.61038609636702E-2</v>
      </c>
      <c r="C148" s="2136">
        <f t="shared" ca="1" si="25"/>
        <v>1.61038609636702E-2</v>
      </c>
      <c r="D148" s="2136">
        <f t="shared" ca="1" si="25"/>
        <v>1.61038609636702E-2</v>
      </c>
      <c r="E148" s="2136">
        <f t="shared" ca="1" si="25"/>
        <v>8.7923104114029454E-2</v>
      </c>
      <c r="F148" s="2136">
        <f t="shared" ca="1" si="25"/>
        <v>8.7923104114029454E-2</v>
      </c>
      <c r="G148" s="2136">
        <f t="shared" ca="1" si="25"/>
        <v>0.25336889671387081</v>
      </c>
      <c r="H148" s="2136">
        <f t="shared" si="25"/>
        <v>0.90407918298193801</v>
      </c>
      <c r="I148" s="2136">
        <f t="shared" ca="1" si="25"/>
        <v>1.6103860963670204E-2</v>
      </c>
      <c r="J148" s="2136">
        <f t="shared" ca="1" si="25"/>
        <v>1.6103860963670204E-2</v>
      </c>
      <c r="K148" s="2136">
        <f t="shared" ca="1" si="25"/>
        <v>0.16263227905576944</v>
      </c>
      <c r="L148" s="2136">
        <f t="shared" ca="1" si="25"/>
        <v>1.6103860963670204E-2</v>
      </c>
      <c r="M148" s="2136">
        <f t="shared" ca="1" si="25"/>
        <v>1.6103860963670204E-2</v>
      </c>
      <c r="N148" s="2136">
        <f t="shared" ca="1" si="25"/>
        <v>0.16263227905576944</v>
      </c>
      <c r="O148" s="2136">
        <f t="shared" ca="1" si="25"/>
        <v>0.23406313914009261</v>
      </c>
      <c r="P148" s="2136">
        <f t="shared" ca="1" si="25"/>
        <v>0.23406313914009261</v>
      </c>
      <c r="Q148" s="2136">
        <f t="shared" si="25"/>
        <v>5.0093424974832094E-2</v>
      </c>
      <c r="R148" s="2136">
        <f t="shared" si="26"/>
        <v>7.3068681140029762E-2</v>
      </c>
      <c r="S148" s="2136">
        <f t="shared" si="26"/>
        <v>6.4261487961671637E-2</v>
      </c>
      <c r="T148" s="2136">
        <f t="shared" si="26"/>
        <v>0.2137834550111089</v>
      </c>
      <c r="U148" s="2136">
        <f t="shared" si="26"/>
        <v>0.10068070419136016</v>
      </c>
      <c r="V148" s="2136">
        <f t="shared" si="26"/>
        <v>3.890464716945443E-2</v>
      </c>
      <c r="W148" s="2136">
        <f t="shared" si="26"/>
        <v>0.15142796822957053</v>
      </c>
      <c r="X148" s="2136">
        <f t="shared" si="26"/>
        <v>3.0025784163808401E-2</v>
      </c>
      <c r="Y148" s="2136">
        <f t="shared" si="26"/>
        <v>3.065537782392877E-2</v>
      </c>
      <c r="Z148" s="2136">
        <f t="shared" si="26"/>
        <v>4.0674267043051174E-2</v>
      </c>
      <c r="AA148" s="2136">
        <f t="shared" si="26"/>
        <v>0.11647813252316246</v>
      </c>
      <c r="AB148" s="2136">
        <f t="shared" si="26"/>
        <v>7.3407094010283613E-2</v>
      </c>
      <c r="AC148" s="2136">
        <f t="shared" si="26"/>
        <v>5.2785813995083128E-2</v>
      </c>
      <c r="AD148" s="2136">
        <f t="shared" si="26"/>
        <v>0.15142796822957053</v>
      </c>
      <c r="AE148" s="2136">
        <f t="shared" si="26"/>
        <v>7.3407094010283613E-2</v>
      </c>
      <c r="AF148" s="2136">
        <f ca="1">Steel!H116</f>
        <v>32.207721927340401</v>
      </c>
      <c r="AG148" s="2136">
        <f ca="1">Steel!H116</f>
        <v>32.207721927340401</v>
      </c>
      <c r="AH148" s="2136">
        <f ca="1">Steel!H116</f>
        <v>32.207721927340401</v>
      </c>
      <c r="AI148" s="2136">
        <f ca="1">Steel!$D$140*Steel!C150+Steel!D150</f>
        <v>175.84620822805891</v>
      </c>
      <c r="AJ148" s="2136">
        <f ca="1">Steel!$D$208*Steel!C218+Steel!D218</f>
        <v>175.84620822805891</v>
      </c>
      <c r="AK148" s="2136">
        <f ca="1">'C.Iron'!C70+'C.Iron'!E70</f>
        <v>506.73779342774162</v>
      </c>
      <c r="AL148" s="2136">
        <f>'C.Iron'!D70+'C.Iron'!E70</f>
        <v>1808.1583659638761</v>
      </c>
      <c r="AM148" s="2136">
        <f ca="1">W.Al!$I$122*W.Al!I134</f>
        <v>32.207721927340408</v>
      </c>
      <c r="AN148" s="2136">
        <f ca="1">W.Al!$I$123*W.Al!I134</f>
        <v>32.207721927340408</v>
      </c>
      <c r="AO148" s="2136">
        <f ca="1">W.Al!$J$124*W.Al!J134</f>
        <v>325.26455811153886</v>
      </c>
      <c r="AP148" s="2136">
        <f ca="1">W.Al!$F$160*W.Al!F172</f>
        <v>32.207721927340408</v>
      </c>
      <c r="AQ148" s="2136">
        <f ca="1">W.Al!$F$161*W.Al!F172</f>
        <v>32.207721927340408</v>
      </c>
      <c r="AR148" s="2136">
        <f ca="1">W.Al!$G$162*W.Al!G172</f>
        <v>325.26455811153886</v>
      </c>
      <c r="AS148" s="2136">
        <f ca="1">'C.Al'!$G$113*'C.Al'!G123+'C.Al'!$H$113*'C.Al'!H123</f>
        <v>468.1262782801852</v>
      </c>
      <c r="AT148" s="2136">
        <f ca="1">'C.Al'!$D$149*'C.Al'!D159+'C.Al'!$E$149*'C.Al'!E159</f>
        <v>468.1262782801852</v>
      </c>
      <c r="AU148" s="2136">
        <f>Copper!D71</f>
        <v>100.18684994966419</v>
      </c>
      <c r="AV148" s="2136">
        <f>Glass!B79</f>
        <v>146.13736228005953</v>
      </c>
      <c r="AW148" s="2136">
        <f>Vehi_Plastics!B$19*Vehi_Plastics!X113</f>
        <v>128.52297592334327</v>
      </c>
      <c r="AX148" s="2136">
        <f>Vehi_Plastics!C$19*Vehi_Plastics!AA113</f>
        <v>427.56691002221783</v>
      </c>
      <c r="AY148" s="2136">
        <f>Vehi_Plastics!D$19*Vehi_Plastics!AB113</f>
        <v>201.36140838272033</v>
      </c>
      <c r="AZ148" s="2136">
        <f>Vehi_Plastics!E$19*Vehi_Plastics!AC113</f>
        <v>77.809294338908856</v>
      </c>
      <c r="BA148" s="2136">
        <f>Vehi_Plastics!F$19*Vehi_Plastics!AD113</f>
        <v>302.85593645914105</v>
      </c>
      <c r="BB148" s="2136">
        <f>Vehi_Plastics!G$19*Vehi_Plastics!AE113</f>
        <v>60.051568327616799</v>
      </c>
      <c r="BC148" s="2136">
        <f>Vehi_Plastics!H$19*Vehi_Plastics!AF113</f>
        <v>61.31075564785754</v>
      </c>
      <c r="BD148" s="2136">
        <f>Vehi_Plastics!I$19*Vehi_Plastics!AG113</f>
        <v>81.348534086102347</v>
      </c>
      <c r="BE148" s="2136">
        <f>Vehi_Plastics!J$19*Vehi_Plastics!AH113</f>
        <v>232.95626504632492</v>
      </c>
      <c r="BF148" s="2136">
        <f>Vehi_Plastics!K$19*Vehi_Plastics!AI113</f>
        <v>146.81418802056723</v>
      </c>
      <c r="BG148" s="2136">
        <f>Vehi_Plastics!L$19*Vehi_Plastics!AJ113</f>
        <v>105.57162799016625</v>
      </c>
      <c r="BH148" s="2136">
        <f>Rubber!$A$6*Rubber!C73</f>
        <v>302.85593645914105</v>
      </c>
      <c r="BI148" s="2185">
        <f>Rubber!$B$6*Rubber!D73</f>
        <v>146.81418802056723</v>
      </c>
    </row>
    <row r="149" spans="1:61" s="2136" customFormat="1" ht="15.75">
      <c r="A149" s="2236" t="s">
        <v>2542</v>
      </c>
      <c r="B149" s="2136">
        <f t="shared" ca="1" si="25"/>
        <v>3.3174954424379621E-2</v>
      </c>
      <c r="C149" s="2136">
        <f t="shared" ca="1" si="25"/>
        <v>3.3174954424379621E-2</v>
      </c>
      <c r="D149" s="2136">
        <f t="shared" ca="1" si="25"/>
        <v>3.3174954424379621E-2</v>
      </c>
      <c r="E149" s="2136">
        <f t="shared" ca="1" si="25"/>
        <v>0.14073936707582224</v>
      </c>
      <c r="F149" s="2136">
        <f t="shared" ca="1" si="25"/>
        <v>0.14073936707582224</v>
      </c>
      <c r="G149" s="2136">
        <f t="shared" ca="1" si="25"/>
        <v>0.40385257944107972</v>
      </c>
      <c r="H149" s="2136">
        <f t="shared" si="25"/>
        <v>1.2516478174466525</v>
      </c>
      <c r="I149" s="2136">
        <f t="shared" ca="1" si="25"/>
        <v>3.3174954424379628E-2</v>
      </c>
      <c r="J149" s="2136">
        <f t="shared" ca="1" si="25"/>
        <v>3.3174954424379628E-2</v>
      </c>
      <c r="K149" s="2136">
        <f t="shared" ca="1" si="25"/>
        <v>0.21950109241669052</v>
      </c>
      <c r="L149" s="2136">
        <f t="shared" ca="1" si="25"/>
        <v>3.3174954424379628E-2</v>
      </c>
      <c r="M149" s="2136">
        <f t="shared" ca="1" si="25"/>
        <v>3.3174954424379628E-2</v>
      </c>
      <c r="N149" s="2136">
        <f t="shared" ca="1" si="25"/>
        <v>0.21950109241669052</v>
      </c>
      <c r="O149" s="2136">
        <f t="shared" ca="1" si="25"/>
        <v>0.32527973030967394</v>
      </c>
      <c r="P149" s="2136">
        <f t="shared" ca="1" si="25"/>
        <v>0.32527973030967394</v>
      </c>
      <c r="Q149" s="2136">
        <f t="shared" si="25"/>
        <v>0.12910006508044239</v>
      </c>
      <c r="R149" s="2136">
        <f t="shared" si="26"/>
        <v>5.2961715694133112E-2</v>
      </c>
      <c r="S149" s="2136">
        <f t="shared" si="26"/>
        <v>0.13238265898971135</v>
      </c>
      <c r="T149" s="2136">
        <f t="shared" si="26"/>
        <v>0.49473005379423596</v>
      </c>
      <c r="U149" s="2136">
        <f t="shared" si="26"/>
        <v>0.20575333932766313</v>
      </c>
      <c r="V149" s="2136">
        <f t="shared" si="26"/>
        <v>8.0145991054872384E-2</v>
      </c>
      <c r="W149" s="2136">
        <f t="shared" si="26"/>
        <v>0.23252889313483718</v>
      </c>
      <c r="X149" s="2136">
        <f t="shared" si="26"/>
        <v>6.1854981450583935E-2</v>
      </c>
      <c r="Y149" s="2136">
        <f t="shared" si="26"/>
        <v>6.3151983519062524E-2</v>
      </c>
      <c r="Z149" s="2136">
        <f t="shared" si="26"/>
        <v>8.379151797462718E-2</v>
      </c>
      <c r="AA149" s="2136">
        <f t="shared" si="26"/>
        <v>0.23995219199980544</v>
      </c>
      <c r="AB149" s="2136">
        <f t="shared" si="26"/>
        <v>0.15122317584032902</v>
      </c>
      <c r="AC149" s="2136">
        <f t="shared" si="26"/>
        <v>0.1087420574166183</v>
      </c>
      <c r="AD149" s="2136">
        <f t="shared" si="26"/>
        <v>0.23252889313483718</v>
      </c>
      <c r="AE149" s="2136">
        <f t="shared" si="26"/>
        <v>0.15122317584032902</v>
      </c>
      <c r="AF149" s="2136">
        <f ca="1">Steel!H117</f>
        <v>66.349908848759242</v>
      </c>
      <c r="AG149" s="2136">
        <f ca="1">Steel!H117</f>
        <v>66.349908848759242</v>
      </c>
      <c r="AH149" s="2136">
        <f ca="1">Steel!H117</f>
        <v>66.349908848759242</v>
      </c>
      <c r="AI149" s="2136">
        <f ca="1">Steel!$D$140*Steel!C151+Steel!D151</f>
        <v>281.47873415164446</v>
      </c>
      <c r="AJ149" s="2136">
        <f ca="1">Steel!$D$208*Steel!C219+Steel!D219</f>
        <v>281.47873415164446</v>
      </c>
      <c r="AK149" s="2136">
        <f ca="1">'C.Iron'!C71+'C.Iron'!E71</f>
        <v>807.70515888215948</v>
      </c>
      <c r="AL149" s="2136">
        <f>'C.Iron'!D71+'C.Iron'!E71</f>
        <v>2503.2956348933053</v>
      </c>
      <c r="AM149" s="2136">
        <f ca="1">W.Al!$I$122*W.Al!I135</f>
        <v>66.349908848759256</v>
      </c>
      <c r="AN149" s="2136">
        <f ca="1">W.Al!$I$123*W.Al!I135</f>
        <v>66.349908848759256</v>
      </c>
      <c r="AO149" s="2136">
        <f ca="1">W.Al!$J$124*W.Al!J135</f>
        <v>439.00218483338102</v>
      </c>
      <c r="AP149" s="2136">
        <f ca="1">W.Al!$F$160*W.Al!F173</f>
        <v>66.349908848759256</v>
      </c>
      <c r="AQ149" s="2136">
        <f ca="1">W.Al!$F$161*W.Al!F173</f>
        <v>66.349908848759256</v>
      </c>
      <c r="AR149" s="2136">
        <f ca="1">W.Al!$G$162*W.Al!G173</f>
        <v>439.00218483338102</v>
      </c>
      <c r="AS149" s="2136">
        <f ca="1">'C.Al'!$G$113*'C.Al'!G124+'C.Al'!$H$113*'C.Al'!H124</f>
        <v>650.55946061934787</v>
      </c>
      <c r="AT149" s="2136">
        <f ca="1">'C.Al'!$D$149*'C.Al'!D160+'C.Al'!$E$149*'C.Al'!E160</f>
        <v>650.55946061934787</v>
      </c>
      <c r="AU149" s="2136">
        <f>Copper!D72</f>
        <v>258.20013016088478</v>
      </c>
      <c r="AV149" s="2136">
        <f>Glass!B80</f>
        <v>105.92343138826622</v>
      </c>
      <c r="AW149" s="2136">
        <f>Vehi_Plastics!B$19*Vehi_Plastics!X114</f>
        <v>264.76531797942272</v>
      </c>
      <c r="AX149" s="2136">
        <f>Vehi_Plastics!C$19*Vehi_Plastics!AA114</f>
        <v>989.46010758847194</v>
      </c>
      <c r="AY149" s="2136">
        <f>Vehi_Plastics!D$19*Vehi_Plastics!AB114</f>
        <v>411.50667865532625</v>
      </c>
      <c r="AZ149" s="2136">
        <f>Vehi_Plastics!E$19*Vehi_Plastics!AC114</f>
        <v>160.29198210974477</v>
      </c>
      <c r="BA149" s="2136">
        <f>Vehi_Plastics!F$19*Vehi_Plastics!AD114</f>
        <v>465.05778626967435</v>
      </c>
      <c r="BB149" s="2136">
        <f>Vehi_Plastics!G$19*Vehi_Plastics!AE114</f>
        <v>123.70996290116787</v>
      </c>
      <c r="BC149" s="2136">
        <f>Vehi_Plastics!H$19*Vehi_Plastics!AF114</f>
        <v>126.30396703812504</v>
      </c>
      <c r="BD149" s="2136">
        <f>Vehi_Plastics!I$19*Vehi_Plastics!AG114</f>
        <v>167.58303594925437</v>
      </c>
      <c r="BE149" s="2136">
        <f>Vehi_Plastics!J$19*Vehi_Plastics!AH114</f>
        <v>479.9043839996109</v>
      </c>
      <c r="BF149" s="2136">
        <f>Vehi_Plastics!K$19*Vehi_Plastics!AI114</f>
        <v>302.44635168065804</v>
      </c>
      <c r="BG149" s="2136">
        <f>Vehi_Plastics!L$19*Vehi_Plastics!AJ114</f>
        <v>217.48411483323659</v>
      </c>
      <c r="BH149" s="2136">
        <f>Rubber!$A$6*Rubber!C74</f>
        <v>465.05778626967435</v>
      </c>
      <c r="BI149" s="2185">
        <f>Rubber!$B$6*Rubber!D74</f>
        <v>302.44635168065804</v>
      </c>
    </row>
    <row r="150" spans="1:61" s="2136" customFormat="1" ht="15.75">
      <c r="A150" s="2236" t="s">
        <v>2543</v>
      </c>
      <c r="B150" s="2136">
        <f t="shared" ca="1" si="25"/>
        <v>5.3105229401170847E-3</v>
      </c>
      <c r="C150" s="2136">
        <f t="shared" ca="1" si="25"/>
        <v>5.3105229401170847E-3</v>
      </c>
      <c r="D150" s="2136">
        <f t="shared" ca="1" si="25"/>
        <v>5.3105229401170847E-3</v>
      </c>
      <c r="E150" s="2136">
        <f t="shared" ca="1" si="25"/>
        <v>1.4219427954920637E-2</v>
      </c>
      <c r="F150" s="2136">
        <f t="shared" ca="1" si="25"/>
        <v>1.4219427954920637E-2</v>
      </c>
      <c r="G150" s="2136">
        <f t="shared" ca="1" si="25"/>
        <v>0.47482525594914438</v>
      </c>
      <c r="H150" s="2136">
        <f t="shared" si="25"/>
        <v>7.4687110260641926E-2</v>
      </c>
      <c r="I150" s="2136">
        <f t="shared" ca="1" si="25"/>
        <v>5.3105229401170856E-3</v>
      </c>
      <c r="J150" s="2136">
        <f t="shared" ca="1" si="25"/>
        <v>5.3105229401170856E-3</v>
      </c>
      <c r="K150" s="2136">
        <f t="shared" ca="1" si="25"/>
        <v>1.4994144801251332E-2</v>
      </c>
      <c r="L150" s="2136">
        <f t="shared" ca="1" si="25"/>
        <v>5.3105229401170856E-3</v>
      </c>
      <c r="M150" s="2136">
        <f t="shared" ca="1" si="25"/>
        <v>5.3105229401170856E-3</v>
      </c>
      <c r="N150" s="2136">
        <f t="shared" ca="1" si="25"/>
        <v>1.4994144801251332E-2</v>
      </c>
      <c r="O150" s="2136">
        <f t="shared" ca="1" si="25"/>
        <v>1.9787018095063971E-2</v>
      </c>
      <c r="P150" s="2136">
        <f t="shared" ca="1" si="25"/>
        <v>1.9787018095063971E-2</v>
      </c>
      <c r="Q150" s="2136">
        <f t="shared" si="25"/>
        <v>2.2999699164006245E-2</v>
      </c>
      <c r="R150" s="2136">
        <f t="shared" si="26"/>
        <v>2.0543241656535594E-2</v>
      </c>
      <c r="S150" s="2136">
        <f t="shared" si="26"/>
        <v>2.1191322177730645E-2</v>
      </c>
      <c r="T150" s="2136">
        <f t="shared" si="26"/>
        <v>7.6958465248916613E-2</v>
      </c>
      <c r="U150" s="2136">
        <f t="shared" si="26"/>
        <v>3.2776558074100709E-2</v>
      </c>
      <c r="V150" s="2136">
        <f t="shared" si="26"/>
        <v>1.282947125143722E-2</v>
      </c>
      <c r="W150" s="2136">
        <f t="shared" si="26"/>
        <v>2.0881573906103231E-2</v>
      </c>
      <c r="X150" s="2136">
        <f t="shared" si="26"/>
        <v>9.9015146713343338E-3</v>
      </c>
      <c r="Y150" s="2136">
        <f t="shared" si="26"/>
        <v>1.0109133923795859E-2</v>
      </c>
      <c r="Z150" s="2136">
        <f t="shared" si="26"/>
        <v>1.341303360056724E-2</v>
      </c>
      <c r="AA150" s="2136">
        <f t="shared" si="26"/>
        <v>3.841065171772802E-2</v>
      </c>
      <c r="AB150" s="2136">
        <f t="shared" si="26"/>
        <v>2.4207241827806803E-2</v>
      </c>
      <c r="AC150" s="2136">
        <f t="shared" si="26"/>
        <v>1.7407022872715807E-2</v>
      </c>
      <c r="AD150" s="2136">
        <f t="shared" si="26"/>
        <v>2.0881573906103228E-2</v>
      </c>
      <c r="AE150" s="2136">
        <f t="shared" si="26"/>
        <v>2.4207241827806803E-2</v>
      </c>
      <c r="AF150" s="2136">
        <f ca="1">Steel!H118</f>
        <v>10.621045880234169</v>
      </c>
      <c r="AG150" s="2136">
        <f ca="1">Steel!H118</f>
        <v>10.621045880234169</v>
      </c>
      <c r="AH150" s="2136">
        <f ca="1">Steel!H118</f>
        <v>10.621045880234169</v>
      </c>
      <c r="AI150" s="2136">
        <f ca="1">Steel!$D$140*Steel!C152+Steel!D152</f>
        <v>28.438855909841273</v>
      </c>
      <c r="AJ150" s="2136">
        <f ca="1">Steel!$D$208*Steel!C220+Steel!D220</f>
        <v>28.438855909841273</v>
      </c>
      <c r="AK150" s="2136">
        <f ca="1">'C.Iron'!C72+'C.Iron'!E72</f>
        <v>949.65051189828876</v>
      </c>
      <c r="AL150" s="2136">
        <f>'C.Iron'!D72+'C.Iron'!E72</f>
        <v>149.37422052128386</v>
      </c>
      <c r="AM150" s="2136">
        <f ca="1">W.Al!$I$122*W.Al!I136</f>
        <v>10.621045880234171</v>
      </c>
      <c r="AN150" s="2136">
        <f ca="1">W.Al!$I$123*W.Al!I136</f>
        <v>10.621045880234171</v>
      </c>
      <c r="AO150" s="2136">
        <f ca="1">W.Al!$J$124*W.Al!J136</f>
        <v>29.988289602502665</v>
      </c>
      <c r="AP150" s="2136">
        <f ca="1">W.Al!$F$160*W.Al!F174</f>
        <v>10.621045880234171</v>
      </c>
      <c r="AQ150" s="2136">
        <f ca="1">W.Al!$F$161*W.Al!F174</f>
        <v>10.621045880234171</v>
      </c>
      <c r="AR150" s="2136">
        <f ca="1">W.Al!$G$162*W.Al!G174</f>
        <v>29.988289602502665</v>
      </c>
      <c r="AS150" s="2136">
        <f ca="1">'C.Al'!$G$113*'C.Al'!G125+'C.Al'!$H$113*'C.Al'!H125</f>
        <v>39.574036190127941</v>
      </c>
      <c r="AT150" s="2136">
        <f ca="1">'C.Al'!$D$149*'C.Al'!D161+'C.Al'!$E$149*'C.Al'!E161</f>
        <v>39.574036190127941</v>
      </c>
      <c r="AU150" s="2136">
        <f>Copper!D73</f>
        <v>45.999398328012489</v>
      </c>
      <c r="AV150" s="2136">
        <f>Glass!B81</f>
        <v>41.086483313071184</v>
      </c>
      <c r="AW150" s="2136">
        <f>Vehi_Plastics!B$19*Vehi_Plastics!X115</f>
        <v>42.382644355461288</v>
      </c>
      <c r="AX150" s="2136">
        <f>Vehi_Plastics!C$19*Vehi_Plastics!AA115</f>
        <v>153.91693049783322</v>
      </c>
      <c r="AY150" s="2136">
        <f>Vehi_Plastics!D$19*Vehi_Plastics!AB115</f>
        <v>65.553116148201411</v>
      </c>
      <c r="AZ150" s="2136">
        <f>Vehi_Plastics!E$19*Vehi_Plastics!AC115</f>
        <v>25.658942502874442</v>
      </c>
      <c r="BA150" s="2136">
        <f>Vehi_Plastics!F$19*Vehi_Plastics!AD115</f>
        <v>41.763147812206462</v>
      </c>
      <c r="BB150" s="2136">
        <f>Vehi_Plastics!G$19*Vehi_Plastics!AE115</f>
        <v>19.803029342668669</v>
      </c>
      <c r="BC150" s="2136">
        <f>Vehi_Plastics!H$19*Vehi_Plastics!AF115</f>
        <v>20.218267847591719</v>
      </c>
      <c r="BD150" s="2136">
        <f>Vehi_Plastics!I$19*Vehi_Plastics!AG115</f>
        <v>26.826067201134478</v>
      </c>
      <c r="BE150" s="2136">
        <f>Vehi_Plastics!J$19*Vehi_Plastics!AH115</f>
        <v>76.821303435456045</v>
      </c>
      <c r="BF150" s="2136">
        <f>Vehi_Plastics!K$19*Vehi_Plastics!AI115</f>
        <v>48.414483655613608</v>
      </c>
      <c r="BG150" s="2136">
        <f>Vehi_Plastics!L$19*Vehi_Plastics!AJ115</f>
        <v>34.814045745431613</v>
      </c>
      <c r="BH150" s="2136">
        <f>Rubber!$A$6*Rubber!C75</f>
        <v>41.763147812206455</v>
      </c>
      <c r="BI150" s="2185">
        <f>Rubber!$B$6*Rubber!D75</f>
        <v>48.414483655613608</v>
      </c>
    </row>
    <row r="151" spans="1:61" s="2136" customFormat="1" ht="15.75">
      <c r="A151" s="2236" t="s">
        <v>2544</v>
      </c>
      <c r="B151" s="2136">
        <f t="shared" ca="1" si="25"/>
        <v>3.187745075117284E-3</v>
      </c>
      <c r="C151" s="2136">
        <f t="shared" ca="1" si="25"/>
        <v>3.187745075117284E-3</v>
      </c>
      <c r="D151" s="2136">
        <f t="shared" ca="1" si="25"/>
        <v>3.187745075117284E-3</v>
      </c>
      <c r="E151" s="2136">
        <f t="shared" ca="1" si="25"/>
        <v>1.0183685264980423E-2</v>
      </c>
      <c r="F151" s="2136">
        <f t="shared" ca="1" si="25"/>
        <v>1.0183685264980423E-2</v>
      </c>
      <c r="G151" s="2136">
        <f t="shared" ca="1" si="25"/>
        <v>0.21178799533264553</v>
      </c>
      <c r="H151" s="2136">
        <f t="shared" si="25"/>
        <v>6.9759224528422883E-2</v>
      </c>
      <c r="I151" s="2136">
        <f t="shared" ca="1" si="25"/>
        <v>3.1877450751172849E-3</v>
      </c>
      <c r="J151" s="2136">
        <f t="shared" ca="1" si="25"/>
        <v>3.1877450751172849E-3</v>
      </c>
      <c r="K151" s="2136">
        <f t="shared" ca="1" si="25"/>
        <v>1.2999770941963355E-2</v>
      </c>
      <c r="L151" s="2136">
        <f t="shared" ca="1" si="25"/>
        <v>3.1877450751172849E-3</v>
      </c>
      <c r="M151" s="2136">
        <f t="shared" ca="1" si="25"/>
        <v>3.1877450751172849E-3</v>
      </c>
      <c r="N151" s="2136">
        <f t="shared" ca="1" si="25"/>
        <v>1.2999770941963355E-2</v>
      </c>
      <c r="O151" s="2136">
        <f t="shared" ca="1" si="25"/>
        <v>1.8280732444418638E-2</v>
      </c>
      <c r="P151" s="2136">
        <f t="shared" ca="1" si="25"/>
        <v>1.8280732444418638E-2</v>
      </c>
      <c r="Q151" s="2136">
        <f t="shared" si="25"/>
        <v>1.2822057661545866E-2</v>
      </c>
      <c r="R151" s="2136">
        <f t="shared" si="26"/>
        <v>1.3005839665477777E-2</v>
      </c>
      <c r="S151" s="2136">
        <f t="shared" si="26"/>
        <v>1.2720504867227854E-2</v>
      </c>
      <c r="T151" s="2136">
        <f t="shared" si="26"/>
        <v>4.4323302633176846E-2</v>
      </c>
      <c r="U151" s="2136">
        <f t="shared" si="26"/>
        <v>1.9717522370512955E-2</v>
      </c>
      <c r="V151" s="2136">
        <f t="shared" si="26"/>
        <v>7.7011405956239213E-3</v>
      </c>
      <c r="W151" s="2136">
        <f t="shared" si="26"/>
        <v>1.5775739151304174E-2</v>
      </c>
      <c r="X151" s="2136">
        <f t="shared" si="26"/>
        <v>5.943577494281883E-3</v>
      </c>
      <c r="Y151" s="2136">
        <f t="shared" si="26"/>
        <v>6.0682050040387963E-3</v>
      </c>
      <c r="Z151" s="2136">
        <f t="shared" si="26"/>
        <v>8.0514352889036155E-3</v>
      </c>
      <c r="AA151" s="2136">
        <f t="shared" si="26"/>
        <v>2.3056743606220665E-2</v>
      </c>
      <c r="AB151" s="2136">
        <f t="shared" si="26"/>
        <v>1.4530869518673604E-2</v>
      </c>
      <c r="AC151" s="2136">
        <f t="shared" si="26"/>
        <v>1.0448905326399046E-2</v>
      </c>
      <c r="AD151" s="2136">
        <f t="shared" si="26"/>
        <v>1.5775739151304174E-2</v>
      </c>
      <c r="AE151" s="2136">
        <f t="shared" si="26"/>
        <v>1.4530869518673604E-2</v>
      </c>
      <c r="AF151" s="2136">
        <f ca="1">Steel!H119</f>
        <v>6.375490150234568</v>
      </c>
      <c r="AG151" s="2136">
        <f ca="1">Steel!H119</f>
        <v>6.375490150234568</v>
      </c>
      <c r="AH151" s="2136">
        <f ca="1">Steel!H119</f>
        <v>6.375490150234568</v>
      </c>
      <c r="AI151" s="2136">
        <f ca="1">Steel!$D$140*Steel!C153+Steel!D153</f>
        <v>20.367370529960844</v>
      </c>
      <c r="AJ151" s="2136">
        <f ca="1">Steel!$D$208*Steel!C221+Steel!D221</f>
        <v>20.367370529960844</v>
      </c>
      <c r="AK151" s="2136">
        <f ca="1">'C.Iron'!C73+'C.Iron'!E73</f>
        <v>423.57599066529104</v>
      </c>
      <c r="AL151" s="2136">
        <f>'C.Iron'!D73+'C.Iron'!E73</f>
        <v>139.51844905684575</v>
      </c>
      <c r="AM151" s="2136">
        <f ca="1">W.Al!$I$122*W.Al!I137</f>
        <v>6.3754901502345698</v>
      </c>
      <c r="AN151" s="2136">
        <f ca="1">W.Al!$I$123*W.Al!I137</f>
        <v>6.3754901502345698</v>
      </c>
      <c r="AO151" s="2136">
        <f ca="1">W.Al!$J$124*W.Al!J137</f>
        <v>25.99954188392671</v>
      </c>
      <c r="AP151" s="2136">
        <f ca="1">W.Al!$F$160*W.Al!F175</f>
        <v>6.3754901502345698</v>
      </c>
      <c r="AQ151" s="2136">
        <f ca="1">W.Al!$F$161*W.Al!F175</f>
        <v>6.3754901502345698</v>
      </c>
      <c r="AR151" s="2136">
        <f ca="1">W.Al!$G$162*W.Al!G175</f>
        <v>25.99954188392671</v>
      </c>
      <c r="AS151" s="2136">
        <f ca="1">'C.Al'!$G$113*'C.Al'!G126+'C.Al'!$H$113*'C.Al'!H126</f>
        <v>36.561464888837278</v>
      </c>
      <c r="AT151" s="2136">
        <f ca="1">'C.Al'!$D$149*'C.Al'!D162+'C.Al'!$E$149*'C.Al'!E162</f>
        <v>36.561464888837278</v>
      </c>
      <c r="AU151" s="2136">
        <f>Copper!D74</f>
        <v>25.644115323091732</v>
      </c>
      <c r="AV151" s="2136">
        <f>Glass!B82</f>
        <v>26.011679330955555</v>
      </c>
      <c r="AW151" s="2136">
        <f>Vehi_Plastics!B$19*Vehi_Plastics!X116</f>
        <v>25.441009734455708</v>
      </c>
      <c r="AX151" s="2136">
        <f>Vehi_Plastics!C$19*Vehi_Plastics!AA116</f>
        <v>88.646605266353689</v>
      </c>
      <c r="AY151" s="2136">
        <f>Vehi_Plastics!D$19*Vehi_Plastics!AB116</f>
        <v>39.435044741025912</v>
      </c>
      <c r="AZ151" s="2136">
        <f>Vehi_Plastics!E$19*Vehi_Plastics!AC116</f>
        <v>15.402281191247843</v>
      </c>
      <c r="BA151" s="2136">
        <f>Vehi_Plastics!F$19*Vehi_Plastics!AD116</f>
        <v>31.551478302608352</v>
      </c>
      <c r="BB151" s="2136">
        <f>Vehi_Plastics!G$19*Vehi_Plastics!AE116</f>
        <v>11.887154988563767</v>
      </c>
      <c r="BC151" s="2136">
        <f>Vehi_Plastics!H$19*Vehi_Plastics!AF116</f>
        <v>12.136410008077593</v>
      </c>
      <c r="BD151" s="2136">
        <f>Vehi_Plastics!I$19*Vehi_Plastics!AG116</f>
        <v>16.102870577807231</v>
      </c>
      <c r="BE151" s="2136">
        <f>Vehi_Plastics!J$19*Vehi_Plastics!AH116</f>
        <v>46.113487212441328</v>
      </c>
      <c r="BF151" s="2136">
        <f>Vehi_Plastics!K$19*Vehi_Plastics!AI116</f>
        <v>29.061739037347209</v>
      </c>
      <c r="BG151" s="2136">
        <f>Vehi_Plastics!L$19*Vehi_Plastics!AJ116</f>
        <v>20.897810652798093</v>
      </c>
      <c r="BH151" s="2136">
        <f>Rubber!$A$6*Rubber!C76</f>
        <v>31.551478302608352</v>
      </c>
      <c r="BI151" s="2185">
        <f>Rubber!$B$6*Rubber!D76</f>
        <v>29.061739037347209</v>
      </c>
    </row>
    <row r="152" spans="1:61" s="2136" customFormat="1" ht="15.75">
      <c r="A152" s="2236" t="s">
        <v>2545</v>
      </c>
      <c r="B152" s="2136">
        <f t="shared" ca="1" si="25"/>
        <v>2.785494982854754E-2</v>
      </c>
      <c r="C152" s="2136">
        <f t="shared" ca="1" si="25"/>
        <v>2.785494982854754E-2</v>
      </c>
      <c r="D152" s="2136">
        <f t="shared" ca="1" si="25"/>
        <v>2.785494982854754E-2</v>
      </c>
      <c r="E152" s="2136">
        <f t="shared" ca="1" si="25"/>
        <v>6.4631597633091661E-2</v>
      </c>
      <c r="F152" s="2136">
        <f t="shared" ca="1" si="25"/>
        <v>6.4631597633091661E-2</v>
      </c>
      <c r="G152" s="2136">
        <f t="shared" ca="1" si="25"/>
        <v>1.6566602285275109</v>
      </c>
      <c r="H152" s="2136">
        <f t="shared" si="25"/>
        <v>0.24123037277587794</v>
      </c>
      <c r="I152" s="2136">
        <f t="shared" ca="1" si="25"/>
        <v>2.7854949828547547E-2</v>
      </c>
      <c r="J152" s="2136">
        <f t="shared" ca="1" si="25"/>
        <v>2.7854949828547547E-2</v>
      </c>
      <c r="K152" s="2136">
        <f t="shared" ca="1" si="25"/>
        <v>5.7523446991827737E-2</v>
      </c>
      <c r="L152" s="2136">
        <f t="shared" ca="1" si="25"/>
        <v>2.7854949828547547E-2</v>
      </c>
      <c r="M152" s="2136">
        <f t="shared" ca="1" si="25"/>
        <v>2.7854949828547547E-2</v>
      </c>
      <c r="N152" s="2136">
        <f t="shared" ca="1" si="25"/>
        <v>5.7523446991827737E-2</v>
      </c>
      <c r="O152" s="2136">
        <f t="shared" ca="1" si="25"/>
        <v>6.5121799500080083E-2</v>
      </c>
      <c r="P152" s="2136">
        <f t="shared" ca="1" si="25"/>
        <v>6.5121799500080083E-2</v>
      </c>
      <c r="Q152" s="2136">
        <f t="shared" si="25"/>
        <v>0.10525186349234145</v>
      </c>
      <c r="R152" s="2136">
        <f t="shared" si="26"/>
        <v>3.1689818080734469E-2</v>
      </c>
      <c r="S152" s="2136">
        <f t="shared" si="26"/>
        <v>0.1111535008355052</v>
      </c>
      <c r="T152" s="2136">
        <f t="shared" si="26"/>
        <v>0.31008169579241784</v>
      </c>
      <c r="U152" s="2136">
        <f t="shared" si="26"/>
        <v>0.17153244341241625</v>
      </c>
      <c r="V152" s="2136">
        <f t="shared" si="26"/>
        <v>6.7293613466190533E-2</v>
      </c>
      <c r="W152" s="2136">
        <f t="shared" si="26"/>
        <v>8.9956941586535027E-2</v>
      </c>
      <c r="X152" s="2136">
        <f t="shared" si="26"/>
        <v>5.1935788152449709E-2</v>
      </c>
      <c r="Y152" s="2136">
        <f t="shared" si="26"/>
        <v>5.3024800275355402E-2</v>
      </c>
      <c r="Z152" s="2136">
        <f t="shared" si="26"/>
        <v>7.0354536117338634E-2</v>
      </c>
      <c r="AA152" s="2136">
        <f t="shared" si="26"/>
        <v>0.20147296011031599</v>
      </c>
      <c r="AB152" s="2136">
        <f t="shared" si="26"/>
        <v>0.12697271327222803</v>
      </c>
      <c r="AC152" s="2136">
        <f t="shared" si="26"/>
        <v>9.1303955232173037E-2</v>
      </c>
      <c r="AD152" s="2136">
        <f t="shared" si="26"/>
        <v>8.9956941586535014E-2</v>
      </c>
      <c r="AE152" s="2136">
        <f t="shared" si="26"/>
        <v>0.12697271327222803</v>
      </c>
      <c r="AF152" s="2136">
        <f ca="1">Steel!H120</f>
        <v>55.709899657095079</v>
      </c>
      <c r="AG152" s="2136">
        <f ca="1">Steel!H120</f>
        <v>55.709899657095079</v>
      </c>
      <c r="AH152" s="2136">
        <f ca="1">Steel!H120</f>
        <v>55.709899657095079</v>
      </c>
      <c r="AI152" s="2136">
        <f ca="1">Steel!$D$140*Steel!C154+Steel!D154</f>
        <v>129.26319526618332</v>
      </c>
      <c r="AJ152" s="2136">
        <f ca="1">Steel!$D$208*Steel!C222+Steel!D222</f>
        <v>129.26319526618332</v>
      </c>
      <c r="AK152" s="2136">
        <f ca="1">'C.Iron'!C74+'C.Iron'!E74</f>
        <v>3313.320457055022</v>
      </c>
      <c r="AL152" s="2136">
        <f>'C.Iron'!D74+'C.Iron'!E74</f>
        <v>482.46074555175591</v>
      </c>
      <c r="AM152" s="2136">
        <f ca="1">W.Al!$I$122*W.Al!I138</f>
        <v>55.709899657095093</v>
      </c>
      <c r="AN152" s="2136">
        <f ca="1">W.Al!$I$123*W.Al!I138</f>
        <v>55.709899657095093</v>
      </c>
      <c r="AO152" s="2136">
        <f ca="1">W.Al!$J$124*W.Al!J138</f>
        <v>115.04689398365548</v>
      </c>
      <c r="AP152" s="2136">
        <f ca="1">W.Al!$F$160*W.Al!F176</f>
        <v>55.709899657095093</v>
      </c>
      <c r="AQ152" s="2136">
        <f ca="1">W.Al!$F$161*W.Al!F176</f>
        <v>55.709899657095093</v>
      </c>
      <c r="AR152" s="2136">
        <f ca="1">W.Al!$G$162*W.Al!G176</f>
        <v>115.04689398365548</v>
      </c>
      <c r="AS152" s="2136">
        <f ca="1">'C.Al'!$G$113*'C.Al'!G127+'C.Al'!$H$113*'C.Al'!H127</f>
        <v>130.24359900016017</v>
      </c>
      <c r="AT152" s="2136">
        <f ca="1">'C.Al'!$D$149*'C.Al'!D163+'C.Al'!$E$149*'C.Al'!E163</f>
        <v>130.24359900016017</v>
      </c>
      <c r="AU152" s="2136">
        <f>Copper!D75</f>
        <v>210.50372698468288</v>
      </c>
      <c r="AV152" s="2136">
        <f>Glass!B83</f>
        <v>63.379636161468937</v>
      </c>
      <c r="AW152" s="2136">
        <f>Vehi_Plastics!B$19*Vehi_Plastics!X117</f>
        <v>222.3070016710104</v>
      </c>
      <c r="AX152" s="2136">
        <f>Vehi_Plastics!C$19*Vehi_Plastics!AA117</f>
        <v>620.16339158483572</v>
      </c>
      <c r="AY152" s="2136">
        <f>Vehi_Plastics!D$19*Vehi_Plastics!AB117</f>
        <v>343.06488682483251</v>
      </c>
      <c r="AZ152" s="2136">
        <f>Vehi_Plastics!E$19*Vehi_Plastics!AC117</f>
        <v>134.58722693238107</v>
      </c>
      <c r="BA152" s="2136">
        <f>Vehi_Plastics!F$19*Vehi_Plastics!AD117</f>
        <v>179.91388317307005</v>
      </c>
      <c r="BB152" s="2136">
        <f>Vehi_Plastics!G$19*Vehi_Plastics!AE117</f>
        <v>103.87157630489942</v>
      </c>
      <c r="BC152" s="2136">
        <f>Vehi_Plastics!H$19*Vehi_Plastics!AF117</f>
        <v>106.04960055071081</v>
      </c>
      <c r="BD152" s="2136">
        <f>Vehi_Plastics!I$19*Vehi_Plastics!AG117</f>
        <v>140.70907223467728</v>
      </c>
      <c r="BE152" s="2136">
        <f>Vehi_Plastics!J$19*Vehi_Plastics!AH117</f>
        <v>402.94592022063199</v>
      </c>
      <c r="BF152" s="2136">
        <f>Vehi_Plastics!K$19*Vehi_Plastics!AI117</f>
        <v>253.94542654445607</v>
      </c>
      <c r="BG152" s="2136">
        <f>Vehi_Plastics!L$19*Vehi_Plastics!AJ117</f>
        <v>182.60791046434608</v>
      </c>
      <c r="BH152" s="2136">
        <f>Rubber!$A$6*Rubber!C77</f>
        <v>179.91388317307002</v>
      </c>
      <c r="BI152" s="2185">
        <f>Rubber!$B$6*Rubber!D77</f>
        <v>253.94542654445607</v>
      </c>
    </row>
    <row r="153" spans="1:61" s="2136" customFormat="1">
      <c r="A153" s="2236" t="s">
        <v>827</v>
      </c>
      <c r="B153" s="2136">
        <f t="shared" ca="1" si="25"/>
        <v>1.9449898082129341E-4</v>
      </c>
      <c r="C153" s="2136">
        <f t="shared" ca="1" si="25"/>
        <v>1.9449898082129341E-4</v>
      </c>
      <c r="D153" s="2136">
        <f t="shared" ca="1" si="25"/>
        <v>1.9449898082129341E-4</v>
      </c>
      <c r="E153" s="2136">
        <f t="shared" ca="1" si="25"/>
        <v>1.0966997039070065E-3</v>
      </c>
      <c r="F153" s="2136">
        <f t="shared" ca="1" si="25"/>
        <v>1.0966997039070065E-3</v>
      </c>
      <c r="G153" s="2136">
        <f t="shared" ca="1" si="25"/>
        <v>1.1729182909814093E-3</v>
      </c>
      <c r="H153" s="2136">
        <f t="shared" si="25"/>
        <v>1.1445326891030196E-2</v>
      </c>
      <c r="I153" s="2136">
        <f t="shared" ca="1" si="25"/>
        <v>1.9449898082129347E-4</v>
      </c>
      <c r="J153" s="2136">
        <f t="shared" ca="1" si="25"/>
        <v>1.9449898082129347E-4</v>
      </c>
      <c r="K153" s="2136">
        <f t="shared" ca="1" si="25"/>
        <v>1.9551939272697805E-3</v>
      </c>
      <c r="L153" s="2136">
        <f t="shared" ca="1" si="25"/>
        <v>1.9449898082129347E-4</v>
      </c>
      <c r="M153" s="2136">
        <f t="shared" ca="1" si="25"/>
        <v>1.9449898082129347E-4</v>
      </c>
      <c r="N153" s="2136">
        <f t="shared" ca="1" si="25"/>
        <v>1.9551939272697805E-3</v>
      </c>
      <c r="O153" s="2136">
        <f t="shared" ca="1" si="25"/>
        <v>2.9620964199427269E-3</v>
      </c>
      <c r="P153" s="2136">
        <f t="shared" ca="1" si="25"/>
        <v>2.9620964199427269E-3</v>
      </c>
      <c r="Q153" s="2136">
        <f t="shared" si="25"/>
        <v>8.4130759804343196E-4</v>
      </c>
      <c r="R153" s="2136">
        <f t="shared" si="26"/>
        <v>8.400924224317471E-4</v>
      </c>
      <c r="S153" s="2136">
        <f t="shared" si="26"/>
        <v>7.7613647701019227E-4</v>
      </c>
      <c r="T153" s="2136">
        <f t="shared" si="26"/>
        <v>3.7576012213422815E-3</v>
      </c>
      <c r="U153" s="2136">
        <f t="shared" si="26"/>
        <v>1.2529077624518731E-3</v>
      </c>
      <c r="V153" s="2136">
        <f t="shared" si="26"/>
        <v>4.6988198921622722E-4</v>
      </c>
      <c r="W153" s="2136">
        <f t="shared" si="26"/>
        <v>1.8973156719583055E-3</v>
      </c>
      <c r="X153" s="2136">
        <f t="shared" si="26"/>
        <v>3.6264498503779213E-4</v>
      </c>
      <c r="Y153" s="2136">
        <f t="shared" si="26"/>
        <v>3.7024908230994419E-4</v>
      </c>
      <c r="Z153" s="2136">
        <f t="shared" si="26"/>
        <v>4.9125507872762773E-4</v>
      </c>
      <c r="AA153" s="2136">
        <f t="shared" si="26"/>
        <v>1.4067979172715992E-3</v>
      </c>
      <c r="AB153" s="2136">
        <f t="shared" si="26"/>
        <v>8.8659514648461361E-4</v>
      </c>
      <c r="AC153" s="2136">
        <f t="shared" si="26"/>
        <v>6.3753574667761844E-4</v>
      </c>
      <c r="AD153" s="2136">
        <f t="shared" si="26"/>
        <v>1.8973156719583053E-3</v>
      </c>
      <c r="AE153" s="2136">
        <f t="shared" si="26"/>
        <v>8.8659514648461361E-4</v>
      </c>
      <c r="AF153" s="2136">
        <f ca="1">Steel!H121</f>
        <v>0.38899796164258682</v>
      </c>
      <c r="AG153" s="2136">
        <f ca="1">Steel!H121</f>
        <v>0.38899796164258682</v>
      </c>
      <c r="AH153" s="2136">
        <f ca="1">Steel!H121</f>
        <v>0.38899796164258682</v>
      </c>
      <c r="AI153" s="2136">
        <f ca="1">Steel!$D$140*Steel!C155+Steel!D155</f>
        <v>2.1933994078140131</v>
      </c>
      <c r="AJ153" s="2136">
        <f ca="1">Steel!$D$208*Steel!C223+Steel!D223</f>
        <v>2.1933994078140131</v>
      </c>
      <c r="AK153" s="2136">
        <f ca="1">'C.Iron'!C75+'C.Iron'!E75</f>
        <v>2.3458365819628186</v>
      </c>
      <c r="AL153" s="2136">
        <f>'C.Iron'!D75+'C.Iron'!E75</f>
        <v>22.890653782060394</v>
      </c>
      <c r="AM153" s="2136">
        <f ca="1">W.Al!$I$122*W.Al!I139</f>
        <v>0.38899796164258693</v>
      </c>
      <c r="AN153" s="2136">
        <f ca="1">W.Al!$I$123*W.Al!I139</f>
        <v>0.38899796164258693</v>
      </c>
      <c r="AO153" s="2136">
        <f ca="1">W.Al!$J$124*W.Al!J139</f>
        <v>3.9103878545395609</v>
      </c>
      <c r="AP153" s="2136">
        <f ca="1">W.Al!$F$160*W.Al!F177</f>
        <v>0.38899796164258693</v>
      </c>
      <c r="AQ153" s="2136">
        <f ca="1">W.Al!$F$161*W.Al!F177</f>
        <v>0.38899796164258693</v>
      </c>
      <c r="AR153" s="2136">
        <f ca="1">W.Al!$G$162*W.Al!G177</f>
        <v>3.9103878545395609</v>
      </c>
      <c r="AS153" s="2136">
        <f ca="1">'C.Al'!$G$113*'C.Al'!G128+'C.Al'!$H$113*'C.Al'!H128</f>
        <v>5.9241928398854533</v>
      </c>
      <c r="AT153" s="2136">
        <f ca="1">'C.Al'!$D$149*'C.Al'!D164+'C.Al'!$E$149*'C.Al'!E164</f>
        <v>5.9241928398854533</v>
      </c>
      <c r="AU153" s="2136">
        <f>Copper!D76</f>
        <v>1.6826151960868638</v>
      </c>
      <c r="AV153" s="2136">
        <f>Glass!B84</f>
        <v>1.6801848448634942</v>
      </c>
      <c r="AW153" s="2136">
        <f>Vehi_Plastics!B$19*Vehi_Plastics!X118</f>
        <v>1.5522729540203846</v>
      </c>
      <c r="AX153" s="2136">
        <f>Vehi_Plastics!C$19*Vehi_Plastics!AA118</f>
        <v>7.5152024426845632</v>
      </c>
      <c r="AY153" s="2136">
        <f>Vehi_Plastics!D$19*Vehi_Plastics!AB118</f>
        <v>2.5058155249037459</v>
      </c>
      <c r="AZ153" s="2136">
        <f>Vehi_Plastics!E$19*Vehi_Plastics!AC118</f>
        <v>0.93976397843245441</v>
      </c>
      <c r="BA153" s="2136">
        <f>Vehi_Plastics!F$19*Vehi_Plastics!AD118</f>
        <v>3.7946313439166111</v>
      </c>
      <c r="BB153" s="2136">
        <f>Vehi_Plastics!G$19*Vehi_Plastics!AE118</f>
        <v>0.72528997007558427</v>
      </c>
      <c r="BC153" s="2136">
        <f>Vehi_Plastics!H$19*Vehi_Plastics!AF118</f>
        <v>0.74049816461988838</v>
      </c>
      <c r="BD153" s="2136">
        <f>Vehi_Plastics!I$19*Vehi_Plastics!AG118</f>
        <v>0.9825101574552555</v>
      </c>
      <c r="BE153" s="2136">
        <f>Vehi_Plastics!J$19*Vehi_Plastics!AH118</f>
        <v>2.8135958345431984</v>
      </c>
      <c r="BF153" s="2136">
        <f>Vehi_Plastics!K$19*Vehi_Plastics!AI118</f>
        <v>1.7731902929692271</v>
      </c>
      <c r="BG153" s="2136">
        <f>Vehi_Plastics!L$19*Vehi_Plastics!AJ118</f>
        <v>1.275071493355237</v>
      </c>
      <c r="BH153" s="2136">
        <f>Rubber!$A$6*Rubber!C78</f>
        <v>3.7946313439166106</v>
      </c>
      <c r="BI153" s="2185">
        <f>Rubber!$B$6*Rubber!D78</f>
        <v>1.7731902929692271</v>
      </c>
    </row>
    <row r="154" spans="1:61" s="2136" customFormat="1">
      <c r="A154" s="2236" t="s">
        <v>828</v>
      </c>
      <c r="B154" s="2136">
        <f t="shared" ca="1" si="25"/>
        <v>9.2576802741031034E-4</v>
      </c>
      <c r="C154" s="2136">
        <f t="shared" ca="1" si="25"/>
        <v>9.2576802741031034E-4</v>
      </c>
      <c r="D154" s="2136">
        <f t="shared" ca="1" si="25"/>
        <v>9.2576802741031034E-4</v>
      </c>
      <c r="E154" s="2136">
        <f t="shared" ca="1" si="25"/>
        <v>3.5137291147661256E-3</v>
      </c>
      <c r="F154" s="2136">
        <f t="shared" ca="1" si="25"/>
        <v>3.5137291147661256E-3</v>
      </c>
      <c r="G154" s="2136">
        <f t="shared" ca="1" si="25"/>
        <v>3.2164811464074111E-3</v>
      </c>
      <c r="H154" s="2136">
        <f t="shared" si="25"/>
        <v>2.8671471187464898E-2</v>
      </c>
      <c r="I154" s="2136">
        <f t="shared" ca="1" si="25"/>
        <v>9.2576802741031077E-4</v>
      </c>
      <c r="J154" s="2136">
        <f t="shared" ca="1" si="25"/>
        <v>9.2576802741031077E-4</v>
      </c>
      <c r="K154" s="2136">
        <f t="shared" ca="1" si="25"/>
        <v>5.0756568424808555E-3</v>
      </c>
      <c r="L154" s="2136">
        <f t="shared" ca="1" si="25"/>
        <v>9.2576802741031077E-4</v>
      </c>
      <c r="M154" s="2136">
        <f t="shared" ca="1" si="25"/>
        <v>9.2576802741031077E-4</v>
      </c>
      <c r="N154" s="2136">
        <f t="shared" ca="1" si="25"/>
        <v>5.0756568424808555E-3</v>
      </c>
      <c r="O154" s="2136">
        <f t="shared" ca="1" si="25"/>
        <v>7.4699571245323776E-3</v>
      </c>
      <c r="P154" s="2136">
        <f t="shared" ca="1" si="25"/>
        <v>7.4699571245323776E-3</v>
      </c>
      <c r="Q154" s="2136">
        <f t="shared" si="25"/>
        <v>2.1829870722602988E-3</v>
      </c>
      <c r="R154" s="2136">
        <f t="shared" si="26"/>
        <v>1.3768587811476022E-3</v>
      </c>
      <c r="S154" s="2136">
        <f t="shared" si="26"/>
        <v>3.6942215958606756E-3</v>
      </c>
      <c r="T154" s="2136">
        <f t="shared" si="26"/>
        <v>6.5349028525160183E-3</v>
      </c>
      <c r="U154" s="2136">
        <f t="shared" si="26"/>
        <v>5.7253526494666206E-3</v>
      </c>
      <c r="V154" s="2136">
        <f t="shared" si="26"/>
        <v>2.2365244302849133E-3</v>
      </c>
      <c r="W154" s="2136">
        <f t="shared" si="26"/>
        <v>5.6753434105765374E-3</v>
      </c>
      <c r="X154" s="2136">
        <f t="shared" si="26"/>
        <v>1.7261022707216356E-3</v>
      </c>
      <c r="Y154" s="2136">
        <f t="shared" si="26"/>
        <v>1.7622959314912226E-3</v>
      </c>
      <c r="Z154" s="2136">
        <f t="shared" si="26"/>
        <v>2.3382551582973809E-3</v>
      </c>
      <c r="AA154" s="2136">
        <f t="shared" si="26"/>
        <v>6.6960172610574433E-3</v>
      </c>
      <c r="AB154" s="2136">
        <f t="shared" si="26"/>
        <v>4.2199781017194836E-3</v>
      </c>
      <c r="AC154" s="2136">
        <f t="shared" si="26"/>
        <v>3.0345156982986262E-3</v>
      </c>
      <c r="AD154" s="2136">
        <f t="shared" si="26"/>
        <v>5.6753434105765365E-3</v>
      </c>
      <c r="AE154" s="2136">
        <f t="shared" si="26"/>
        <v>4.2199781017194836E-3</v>
      </c>
      <c r="AF154" s="2136">
        <f ca="1">Steel!H122</f>
        <v>1.8515360548206208</v>
      </c>
      <c r="AG154" s="2136">
        <f ca="1">Steel!H122</f>
        <v>1.8515360548206208</v>
      </c>
      <c r="AH154" s="2136">
        <f ca="1">Steel!H122</f>
        <v>1.8515360548206208</v>
      </c>
      <c r="AI154" s="2136">
        <f ca="1">Steel!$D$140*Steel!C156+Steel!D156</f>
        <v>7.0274582295322512</v>
      </c>
      <c r="AJ154" s="2136">
        <f ca="1">Steel!$D$208*Steel!C224+Steel!D224</f>
        <v>7.0274582295322512</v>
      </c>
      <c r="AK154" s="2136">
        <f ca="1">'C.Iron'!C76+'C.Iron'!E76</f>
        <v>6.432962292814822</v>
      </c>
      <c r="AL154" s="2136">
        <f>'C.Iron'!D76+'C.Iron'!E76</f>
        <v>57.342942374929798</v>
      </c>
      <c r="AM154" s="2136">
        <f ca="1">W.Al!$I$122*W.Al!I140</f>
        <v>1.8515360548206214</v>
      </c>
      <c r="AN154" s="2136">
        <f ca="1">W.Al!$I$123*W.Al!I140</f>
        <v>1.8515360548206214</v>
      </c>
      <c r="AO154" s="2136">
        <f ca="1">W.Al!$J$124*W.Al!J140</f>
        <v>10.15131368496171</v>
      </c>
      <c r="AP154" s="2136">
        <f ca="1">W.Al!$F$160*W.Al!F178</f>
        <v>1.8515360548206214</v>
      </c>
      <c r="AQ154" s="2136">
        <f ca="1">W.Al!$F$161*W.Al!F178</f>
        <v>1.8515360548206214</v>
      </c>
      <c r="AR154" s="2136">
        <f ca="1">W.Al!$G$162*W.Al!G178</f>
        <v>10.15131368496171</v>
      </c>
      <c r="AS154" s="2136">
        <f ca="1">'C.Al'!$G$113*'C.Al'!G129+'C.Al'!$H$113*'C.Al'!H129</f>
        <v>14.939914249064755</v>
      </c>
      <c r="AT154" s="2136">
        <f ca="1">'C.Al'!$D$149*'C.Al'!D165+'C.Al'!$E$149*'C.Al'!E165</f>
        <v>14.939914249064755</v>
      </c>
      <c r="AU154" s="2136">
        <f>Copper!D77</f>
        <v>4.3659741445205977</v>
      </c>
      <c r="AV154" s="2136">
        <f>Glass!B85</f>
        <v>2.7537175622952046</v>
      </c>
      <c r="AW154" s="2136">
        <f>Vehi_Plastics!B$19*Vehi_Plastics!X119</f>
        <v>7.3884431917213513</v>
      </c>
      <c r="AX154" s="2136">
        <f>Vehi_Plastics!C$19*Vehi_Plastics!AA119</f>
        <v>13.069805705032037</v>
      </c>
      <c r="AY154" s="2136">
        <f>Vehi_Plastics!D$19*Vehi_Plastics!AB119</f>
        <v>11.450705298933242</v>
      </c>
      <c r="AZ154" s="2136">
        <f>Vehi_Plastics!E$19*Vehi_Plastics!AC119</f>
        <v>4.4730488605698264</v>
      </c>
      <c r="BA154" s="2136">
        <f>Vehi_Plastics!F$19*Vehi_Plastics!AD119</f>
        <v>11.350686821153074</v>
      </c>
      <c r="BB154" s="2136">
        <f>Vehi_Plastics!G$19*Vehi_Plastics!AE119</f>
        <v>3.4522045414432712</v>
      </c>
      <c r="BC154" s="2136">
        <f>Vehi_Plastics!H$19*Vehi_Plastics!AF119</f>
        <v>3.5245918629824451</v>
      </c>
      <c r="BD154" s="2136">
        <f>Vehi_Plastics!I$19*Vehi_Plastics!AG119</f>
        <v>4.6765103165947615</v>
      </c>
      <c r="BE154" s="2136">
        <f>Vehi_Plastics!J$19*Vehi_Plastics!AH119</f>
        <v>13.392034522114887</v>
      </c>
      <c r="BF154" s="2136">
        <f>Vehi_Plastics!K$19*Vehi_Plastics!AI119</f>
        <v>8.4399562034389675</v>
      </c>
      <c r="BG154" s="2136">
        <f>Vehi_Plastics!L$19*Vehi_Plastics!AJ119</f>
        <v>6.0690313965972527</v>
      </c>
      <c r="BH154" s="2136">
        <f>Rubber!$A$6*Rubber!C79</f>
        <v>11.350686821153072</v>
      </c>
      <c r="BI154" s="2185">
        <f>Rubber!$B$6*Rubber!D79</f>
        <v>8.4399562034389675</v>
      </c>
    </row>
    <row r="155" spans="1:61" s="2136" customFormat="1" ht="15.75">
      <c r="A155" s="2236" t="s">
        <v>2546</v>
      </c>
      <c r="B155" s="2136">
        <f t="shared" ca="1" si="25"/>
        <v>0.11518438294308143</v>
      </c>
      <c r="C155" s="2136">
        <f t="shared" ca="1" si="25"/>
        <v>0.11518438294308143</v>
      </c>
      <c r="D155" s="2136">
        <f t="shared" ca="1" si="25"/>
        <v>0.11518438294308143</v>
      </c>
      <c r="E155" s="2136">
        <f t="shared" ca="1" si="25"/>
        <v>0.45102850755732854</v>
      </c>
      <c r="F155" s="2136">
        <f t="shared" ca="1" si="25"/>
        <v>0.45102850755732854</v>
      </c>
      <c r="G155" s="2136">
        <f t="shared" ca="1" si="25"/>
        <v>1.483468559301454</v>
      </c>
      <c r="H155" s="2136">
        <f t="shared" si="25"/>
        <v>3.7767641608601097</v>
      </c>
      <c r="I155" s="2136">
        <f t="shared" ca="1" si="25"/>
        <v>0.11518438294308146</v>
      </c>
      <c r="J155" s="2136">
        <f t="shared" ca="1" si="25"/>
        <v>0.11518438294308146</v>
      </c>
      <c r="K155" s="2136">
        <f t="shared" ca="1" si="25"/>
        <v>0.66637660548352973</v>
      </c>
      <c r="L155" s="2136">
        <f t="shared" ca="1" si="25"/>
        <v>0.11518438294308146</v>
      </c>
      <c r="M155" s="2136">
        <f t="shared" ca="1" si="25"/>
        <v>0.11518438294308146</v>
      </c>
      <c r="N155" s="2136">
        <f t="shared" ca="1" si="25"/>
        <v>0.66637660548352973</v>
      </c>
      <c r="O155" s="2136">
        <f t="shared" ca="1" si="25"/>
        <v>0.98321798654813475</v>
      </c>
      <c r="P155" s="2136">
        <f t="shared" ca="1" si="25"/>
        <v>0.98321798654813475</v>
      </c>
      <c r="Q155" s="2136">
        <f t="shared" si="25"/>
        <v>0.26301426307173287</v>
      </c>
      <c r="R155" s="2136">
        <f t="shared" si="26"/>
        <v>0.13453960608545398</v>
      </c>
      <c r="S155" s="2136">
        <f t="shared" si="26"/>
        <v>0.45963634774094858</v>
      </c>
      <c r="T155" s="2136">
        <f t="shared" si="26"/>
        <v>0.79173939372032631</v>
      </c>
      <c r="U155" s="2136">
        <f t="shared" si="26"/>
        <v>0.71036412517202663</v>
      </c>
      <c r="V155" s="2136">
        <f t="shared" si="26"/>
        <v>0.2782691547040409</v>
      </c>
      <c r="W155" s="2136">
        <f t="shared" si="26"/>
        <v>0.73336237965617257</v>
      </c>
      <c r="X155" s="2136">
        <f t="shared" si="26"/>
        <v>0.21476225043749983</v>
      </c>
      <c r="Y155" s="2136">
        <f t="shared" si="26"/>
        <v>0.21926547841552585</v>
      </c>
      <c r="Z155" s="2136">
        <f t="shared" si="26"/>
        <v>0.29092652759392701</v>
      </c>
      <c r="AA155" s="2136">
        <f t="shared" si="26"/>
        <v>0.83312081812616512</v>
      </c>
      <c r="AB155" s="2136">
        <f t="shared" si="26"/>
        <v>0.52505115675640079</v>
      </c>
      <c r="AC155" s="2136">
        <f t="shared" si="26"/>
        <v>0.37755550838947488</v>
      </c>
      <c r="AD155" s="2136">
        <f t="shared" si="26"/>
        <v>0.73336237965617246</v>
      </c>
      <c r="AE155" s="2136">
        <f t="shared" si="26"/>
        <v>0.52505115675640079</v>
      </c>
      <c r="AF155" s="2136">
        <f ca="1">Steel!H123</f>
        <v>230.36876588616286</v>
      </c>
      <c r="AG155" s="2136">
        <f ca="1">Steel!H123</f>
        <v>230.36876588616286</v>
      </c>
      <c r="AH155" s="2136">
        <f ca="1">Steel!H123</f>
        <v>230.36876588616286</v>
      </c>
      <c r="AI155" s="2136">
        <f ca="1">Steel!$D$140*Steel!C157+Steel!D157</f>
        <v>902.05701511465713</v>
      </c>
      <c r="AJ155" s="2136">
        <f ca="1">Steel!$D$208*Steel!C225+Steel!D225</f>
        <v>902.05701511465713</v>
      </c>
      <c r="AK155" s="2136">
        <f ca="1">'C.Iron'!C77+'C.Iron'!E77</f>
        <v>2966.937118602908</v>
      </c>
      <c r="AL155" s="2136">
        <f>'C.Iron'!D77+'C.Iron'!E77</f>
        <v>7553.5283217202195</v>
      </c>
      <c r="AM155" s="2136">
        <f ca="1">W.Al!$I$122*W.Al!I141</f>
        <v>230.36876588616292</v>
      </c>
      <c r="AN155" s="2136">
        <f ca="1">W.Al!$I$123*W.Al!I141</f>
        <v>230.36876588616292</v>
      </c>
      <c r="AO155" s="2136">
        <f ca="1">W.Al!$J$124*W.Al!J141</f>
        <v>1332.7532109670594</v>
      </c>
      <c r="AP155" s="2136">
        <f ca="1">W.Al!$F$160*W.Al!F179</f>
        <v>230.36876588616292</v>
      </c>
      <c r="AQ155" s="2136">
        <f ca="1">W.Al!$F$161*W.Al!F179</f>
        <v>230.36876588616292</v>
      </c>
      <c r="AR155" s="2136">
        <f ca="1">W.Al!$G$162*W.Al!G179</f>
        <v>1332.7532109670594</v>
      </c>
      <c r="AS155" s="2136">
        <f ca="1">'C.Al'!$G$113*'C.Al'!G130+'C.Al'!$H$113*'C.Al'!H130</f>
        <v>1966.4359730962694</v>
      </c>
      <c r="AT155" s="2136">
        <f ca="1">'C.Al'!$D$149*'C.Al'!D166+'C.Al'!$E$149*'C.Al'!E166</f>
        <v>1966.4359730962694</v>
      </c>
      <c r="AU155" s="2136">
        <f>Copper!D78</f>
        <v>526.02852614346568</v>
      </c>
      <c r="AV155" s="2136">
        <f>Glass!B86</f>
        <v>269.07921217090797</v>
      </c>
      <c r="AW155" s="2136">
        <f>Vehi_Plastics!B$19*Vehi_Plastics!X120</f>
        <v>919.27269548189713</v>
      </c>
      <c r="AX155" s="2136">
        <f>Vehi_Plastics!C$19*Vehi_Plastics!AA120</f>
        <v>1583.4787874406527</v>
      </c>
      <c r="AY155" s="2136">
        <f>Vehi_Plastics!D$19*Vehi_Plastics!AB120</f>
        <v>1420.7282503440533</v>
      </c>
      <c r="AZ155" s="2136">
        <f>Vehi_Plastics!E$19*Vehi_Plastics!AC120</f>
        <v>556.53830940808177</v>
      </c>
      <c r="BA155" s="2136">
        <f>Vehi_Plastics!F$19*Vehi_Plastics!AD120</f>
        <v>1466.7247593123452</v>
      </c>
      <c r="BB155" s="2136">
        <f>Vehi_Plastics!G$19*Vehi_Plastics!AE120</f>
        <v>429.52450087499966</v>
      </c>
      <c r="BC155" s="2136">
        <f>Vehi_Plastics!H$19*Vehi_Plastics!AF120</f>
        <v>438.5309568310517</v>
      </c>
      <c r="BD155" s="2136">
        <f>Vehi_Plastics!I$19*Vehi_Plastics!AG120</f>
        <v>581.85305518785401</v>
      </c>
      <c r="BE155" s="2136">
        <f>Vehi_Plastics!J$19*Vehi_Plastics!AH120</f>
        <v>1666.2416362523302</v>
      </c>
      <c r="BF155" s="2136">
        <f>Vehi_Plastics!K$19*Vehi_Plastics!AI120</f>
        <v>1050.1023135128016</v>
      </c>
      <c r="BG155" s="2136">
        <f>Vehi_Plastics!L$19*Vehi_Plastics!AJ120</f>
        <v>755.11101677894976</v>
      </c>
      <c r="BH155" s="2136">
        <f>Rubber!$A$6*Rubber!C80</f>
        <v>1466.724759312345</v>
      </c>
      <c r="BI155" s="2185">
        <f>Rubber!$B$6*Rubber!D80</f>
        <v>1050.1023135128016</v>
      </c>
    </row>
    <row r="156" spans="1:61" s="2136" customFormat="1" ht="15.75">
      <c r="A156" s="2236" t="s">
        <v>2547</v>
      </c>
      <c r="B156" s="2136">
        <f t="shared" ca="1" si="25"/>
        <v>1.0450455021032963E-3</v>
      </c>
      <c r="C156" s="2136">
        <f t="shared" ca="1" si="25"/>
        <v>1.0450455021032963E-3</v>
      </c>
      <c r="D156" s="2136">
        <f t="shared" ca="1" si="25"/>
        <v>1.0450455021032963E-3</v>
      </c>
      <c r="E156" s="2136">
        <f t="shared" ca="1" si="25"/>
        <v>4.3046264019876521E-3</v>
      </c>
      <c r="F156" s="2136">
        <f t="shared" ca="1" si="25"/>
        <v>4.3046264019876521E-3</v>
      </c>
      <c r="G156" s="2136">
        <f t="shared" ca="1" si="25"/>
        <v>2.182996905942142E-3</v>
      </c>
      <c r="H156" s="2136">
        <f t="shared" si="25"/>
        <v>3.7480124922248961E-2</v>
      </c>
      <c r="I156" s="2136">
        <f t="shared" ca="1" si="25"/>
        <v>1.0450455021032965E-3</v>
      </c>
      <c r="J156" s="2136">
        <f t="shared" ca="1" si="25"/>
        <v>1.0450455021032965E-3</v>
      </c>
      <c r="K156" s="2136">
        <f t="shared" ca="1" si="25"/>
        <v>6.560946219583589E-3</v>
      </c>
      <c r="L156" s="2136">
        <f t="shared" ca="1" si="25"/>
        <v>1.0450455021032965E-3</v>
      </c>
      <c r="M156" s="2136">
        <f t="shared" ca="1" si="25"/>
        <v>1.0450455021032965E-3</v>
      </c>
      <c r="N156" s="2136">
        <f t="shared" ca="1" si="25"/>
        <v>6.560946219583589E-3</v>
      </c>
      <c r="O156" s="2136">
        <f t="shared" ca="1" si="25"/>
        <v>9.7462274022945723E-3</v>
      </c>
      <c r="P156" s="2136">
        <f t="shared" ca="1" si="25"/>
        <v>9.7462274022945723E-3</v>
      </c>
      <c r="Q156" s="2136">
        <f t="shared" si="25"/>
        <v>2.7741763788458186E-3</v>
      </c>
      <c r="R156" s="2136">
        <f t="shared" si="26"/>
        <v>5.9928737588816911E-4</v>
      </c>
      <c r="S156" s="2136">
        <f t="shared" si="26"/>
        <v>4.1701911798861322E-3</v>
      </c>
      <c r="T156" s="2136">
        <f t="shared" si="26"/>
        <v>9.3713476133657422E-3</v>
      </c>
      <c r="U156" s="2136">
        <f t="shared" si="26"/>
        <v>6.4830263241624541E-3</v>
      </c>
      <c r="V156" s="2136">
        <f t="shared" si="26"/>
        <v>2.5246819149193651E-3</v>
      </c>
      <c r="W156" s="2136">
        <f t="shared" si="26"/>
        <v>7.0715979654143654E-3</v>
      </c>
      <c r="X156" s="2136">
        <f t="shared" si="26"/>
        <v>1.9484961251404758E-3</v>
      </c>
      <c r="Y156" s="2136">
        <f t="shared" si="26"/>
        <v>1.9893530366690755E-3</v>
      </c>
      <c r="Z156" s="2136">
        <f t="shared" si="26"/>
        <v>2.6395197971829359E-3</v>
      </c>
      <c r="AA156" s="2136">
        <f t="shared" si="26"/>
        <v>7.5587431337944483E-3</v>
      </c>
      <c r="AB156" s="2136">
        <f t="shared" si="26"/>
        <v>4.7636870183482396E-3</v>
      </c>
      <c r="AC156" s="2136">
        <f t="shared" si="26"/>
        <v>3.425487689869537E-3</v>
      </c>
      <c r="AD156" s="2136">
        <f t="shared" si="26"/>
        <v>7.0715979654143645E-3</v>
      </c>
      <c r="AE156" s="2136">
        <f t="shared" si="26"/>
        <v>4.7636870183482396E-3</v>
      </c>
      <c r="AF156" s="2136">
        <f ca="1">Steel!H124</f>
        <v>2.0900910042065926</v>
      </c>
      <c r="AG156" s="2136">
        <f ca="1">Steel!H124</f>
        <v>2.0900910042065926</v>
      </c>
      <c r="AH156" s="2136">
        <f ca="1">Steel!H124</f>
        <v>2.0900910042065926</v>
      </c>
      <c r="AI156" s="2136">
        <f ca="1">Steel!$D$140*Steel!C158+Steel!D158</f>
        <v>8.6092528039753038</v>
      </c>
      <c r="AJ156" s="2136">
        <f ca="1">Steel!$D$208*Steel!C226+Steel!D226</f>
        <v>8.6092528039753038</v>
      </c>
      <c r="AK156" s="2136">
        <f ca="1">'C.Iron'!C78+'C.Iron'!E78</f>
        <v>4.3659938118842838</v>
      </c>
      <c r="AL156" s="2136">
        <f>'C.Iron'!D78+'C.Iron'!E78</f>
        <v>74.960249844497923</v>
      </c>
      <c r="AM156" s="2136">
        <f ca="1">W.Al!$I$122*W.Al!I142</f>
        <v>2.090091004206593</v>
      </c>
      <c r="AN156" s="2136">
        <f ca="1">W.Al!$I$123*W.Al!I142</f>
        <v>2.090091004206593</v>
      </c>
      <c r="AO156" s="2136">
        <f ca="1">W.Al!$J$124*W.Al!J142</f>
        <v>13.121892439167178</v>
      </c>
      <c r="AP156" s="2136">
        <f ca="1">W.Al!$F$160*W.Al!F180</f>
        <v>2.090091004206593</v>
      </c>
      <c r="AQ156" s="2136">
        <f ca="1">W.Al!$F$161*W.Al!F180</f>
        <v>2.090091004206593</v>
      </c>
      <c r="AR156" s="2136">
        <f ca="1">W.Al!$G$162*W.Al!G180</f>
        <v>13.121892439167178</v>
      </c>
      <c r="AS156" s="2136">
        <f ca="1">'C.Al'!$G$113*'C.Al'!G131+'C.Al'!$H$113*'C.Al'!H131</f>
        <v>19.492454804589144</v>
      </c>
      <c r="AT156" s="2136">
        <f ca="1">'C.Al'!$D$149*'C.Al'!D167+'C.Al'!$E$149*'C.Al'!E167</f>
        <v>19.492454804589144</v>
      </c>
      <c r="AU156" s="2136">
        <f>Copper!D79</f>
        <v>5.5483527576916369</v>
      </c>
      <c r="AV156" s="2136">
        <f>Glass!B87</f>
        <v>1.1985747517763383</v>
      </c>
      <c r="AW156" s="2136">
        <f>Vehi_Plastics!B$19*Vehi_Plastics!X121</f>
        <v>8.3403823597722653</v>
      </c>
      <c r="AX156" s="2136">
        <f>Vehi_Plastics!C$19*Vehi_Plastics!AA121</f>
        <v>18.742695226731485</v>
      </c>
      <c r="AY156" s="2136">
        <f>Vehi_Plastics!D$19*Vehi_Plastics!AB121</f>
        <v>12.966052648324908</v>
      </c>
      <c r="AZ156" s="2136">
        <f>Vehi_Plastics!E$19*Vehi_Plastics!AC121</f>
        <v>5.0493638298387298</v>
      </c>
      <c r="BA156" s="2136">
        <f>Vehi_Plastics!F$19*Vehi_Plastics!AD121</f>
        <v>14.14319593082873</v>
      </c>
      <c r="BB156" s="2136">
        <f>Vehi_Plastics!G$19*Vehi_Plastics!AE121</f>
        <v>3.8969922502809515</v>
      </c>
      <c r="BC156" s="2136">
        <f>Vehi_Plastics!H$19*Vehi_Plastics!AF121</f>
        <v>3.978706073338151</v>
      </c>
      <c r="BD156" s="2136">
        <f>Vehi_Plastics!I$19*Vehi_Plastics!AG121</f>
        <v>5.2790395943658721</v>
      </c>
      <c r="BE156" s="2136">
        <f>Vehi_Plastics!J$19*Vehi_Plastics!AH121</f>
        <v>15.117486267588896</v>
      </c>
      <c r="BF156" s="2136">
        <f>Vehi_Plastics!K$19*Vehi_Plastics!AI121</f>
        <v>9.5273740366964788</v>
      </c>
      <c r="BG156" s="2136">
        <f>Vehi_Plastics!L$19*Vehi_Plastics!AJ121</f>
        <v>6.850975379739074</v>
      </c>
      <c r="BH156" s="2136">
        <f>Rubber!$A$6*Rubber!C81</f>
        <v>14.143195930828728</v>
      </c>
      <c r="BI156" s="2185">
        <f>Rubber!$B$6*Rubber!D81</f>
        <v>9.5273740366964788</v>
      </c>
    </row>
    <row r="157" spans="1:61" s="2144" customFormat="1" ht="15.75">
      <c r="A157" s="2236" t="s">
        <v>2548</v>
      </c>
      <c r="B157" s="2237">
        <f t="shared" ca="1" si="25"/>
        <v>50.894793315678534</v>
      </c>
      <c r="C157" s="2237">
        <f t="shared" ca="1" si="25"/>
        <v>50.894793315678534</v>
      </c>
      <c r="D157" s="2237">
        <f t="shared" ca="1" si="25"/>
        <v>50.894793315678534</v>
      </c>
      <c r="E157" s="2237">
        <f t="shared" ca="1" si="25"/>
        <v>166.32313476155511</v>
      </c>
      <c r="F157" s="2237">
        <f t="shared" ca="1" si="25"/>
        <v>166.32313476155511</v>
      </c>
      <c r="G157" s="2237">
        <f t="shared" ca="1" si="25"/>
        <v>137.61681706962949</v>
      </c>
      <c r="H157" s="2237">
        <f t="shared" si="25"/>
        <v>1170.2131621833844</v>
      </c>
      <c r="I157" s="2237">
        <f t="shared" ca="1" si="25"/>
        <v>50.894793315678548</v>
      </c>
      <c r="J157" s="2237">
        <f t="shared" ca="1" si="25"/>
        <v>50.894793315678548</v>
      </c>
      <c r="K157" s="2237">
        <f t="shared" ca="1" si="25"/>
        <v>213.22712765728267</v>
      </c>
      <c r="L157" s="2237">
        <f t="shared" ca="1" si="25"/>
        <v>50.894793315678548</v>
      </c>
      <c r="M157" s="2237">
        <f t="shared" ca="1" si="25"/>
        <v>50.894793315678548</v>
      </c>
      <c r="N157" s="2237">
        <f t="shared" ca="1" si="25"/>
        <v>213.22712765728267</v>
      </c>
      <c r="O157" s="2237">
        <f t="shared" ca="1" si="25"/>
        <v>306.36769057782362</v>
      </c>
      <c r="P157" s="2237">
        <f t="shared" ca="1" si="25"/>
        <v>306.36769057782362</v>
      </c>
      <c r="Q157" s="2237">
        <f t="shared" si="25"/>
        <v>136.92304188246058</v>
      </c>
      <c r="R157" s="2237">
        <f t="shared" si="26"/>
        <v>96.206340744808628</v>
      </c>
      <c r="S157" s="2237">
        <f t="shared" si="26"/>
        <v>203.09260961365456</v>
      </c>
      <c r="T157" s="2237">
        <f t="shared" si="26"/>
        <v>392.84246437981591</v>
      </c>
      <c r="U157" s="2237">
        <f t="shared" si="26"/>
        <v>314.10581919646216</v>
      </c>
      <c r="V157" s="2237">
        <f t="shared" si="26"/>
        <v>122.95461201358468</v>
      </c>
      <c r="W157" s="2237">
        <f t="shared" si="26"/>
        <v>259.21228244187091</v>
      </c>
      <c r="X157" s="2237">
        <f t="shared" si="26"/>
        <v>94.893770047175266</v>
      </c>
      <c r="Y157" s="2237">
        <f t="shared" si="26"/>
        <v>96.883543759018394</v>
      </c>
      <c r="Z157" s="2237">
        <f t="shared" si="26"/>
        <v>128.54733526903289</v>
      </c>
      <c r="AA157" s="2237">
        <f t="shared" si="26"/>
        <v>368.11858311098445</v>
      </c>
      <c r="AB157" s="2237">
        <f t="shared" si="26"/>
        <v>231.99646879629384</v>
      </c>
      <c r="AC157" s="2237">
        <f t="shared" si="26"/>
        <v>166.82478191660485</v>
      </c>
      <c r="AD157" s="2237">
        <f t="shared" si="26"/>
        <v>259.21228244187091</v>
      </c>
      <c r="AE157" s="2237">
        <f t="shared" si="26"/>
        <v>231.99646879629384</v>
      </c>
      <c r="AF157" s="2237">
        <f ca="1">Steel!H125</f>
        <v>101789.58663135707</v>
      </c>
      <c r="AG157" s="2237">
        <f ca="1">Steel!H125</f>
        <v>101789.58663135707</v>
      </c>
      <c r="AH157" s="2237">
        <f ca="1">Steel!H125</f>
        <v>101789.58663135707</v>
      </c>
      <c r="AI157" s="2237">
        <f ca="1">Steel!$D$140*Steel!C159+Steel!D159</f>
        <v>332646.26952311024</v>
      </c>
      <c r="AJ157" s="2237">
        <f ca="1">Steel!$D$208*Steel!C227+Steel!D227</f>
        <v>332646.26952311024</v>
      </c>
      <c r="AK157" s="2237">
        <f ca="1">'C.Iron'!C79+'C.Iron'!E79</f>
        <v>275233.634139259</v>
      </c>
      <c r="AL157" s="2237">
        <f>'C.Iron'!D79+'C.Iron'!E79</f>
        <v>2340426.3243667688</v>
      </c>
      <c r="AM157" s="2237">
        <f ca="1">W.Al!$I$122*W.Al!I145</f>
        <v>101789.5866313571</v>
      </c>
      <c r="AN157" s="2237">
        <f ca="1">W.Al!$I$123*W.Al!I145</f>
        <v>101789.5866313571</v>
      </c>
      <c r="AO157" s="2237">
        <f ca="1">W.Al!$J$124*W.Al!J145</f>
        <v>426454.25531456532</v>
      </c>
      <c r="AP157" s="2237">
        <f ca="1">W.Al!$F$160*W.Al!F183</f>
        <v>101789.5866313571</v>
      </c>
      <c r="AQ157" s="2237">
        <f ca="1">W.Al!$F$161*W.Al!F183</f>
        <v>101789.5866313571</v>
      </c>
      <c r="AR157" s="2237">
        <f ca="1">W.Al!$G$162*W.Al!G183</f>
        <v>426454.25531456532</v>
      </c>
      <c r="AS157" s="2237">
        <f ca="1">'C.Al'!$G$113*'C.Al'!G134+'C.Al'!$H$113*'C.Al'!H134</f>
        <v>612735.38115564722</v>
      </c>
      <c r="AT157" s="2237">
        <f ca="1">'C.Al'!$D$149*'C.Al'!D170+'C.Al'!$E$149*'C.Al'!E170</f>
        <v>612735.38115564722</v>
      </c>
      <c r="AU157" s="2237">
        <f>Copper!D80</f>
        <v>273846.08376492118</v>
      </c>
      <c r="AV157" s="2237">
        <f>Glass!B88</f>
        <v>192412.68148961724</v>
      </c>
      <c r="AW157" s="2237">
        <f>Vehi_Plastics!B$19*Vehi_Plastics!X122</f>
        <v>406185.21922730911</v>
      </c>
      <c r="AX157" s="2237">
        <f>Vehi_Plastics!C$19*Vehi_Plastics!AA122</f>
        <v>785684.92875963182</v>
      </c>
      <c r="AY157" s="2237">
        <f>Vehi_Plastics!D$19*Vehi_Plastics!AB122</f>
        <v>628211.63839292433</v>
      </c>
      <c r="AZ157" s="2237">
        <f>Vehi_Plastics!E$19*Vehi_Plastics!AC122</f>
        <v>245909.22402716934</v>
      </c>
      <c r="BA157" s="2237">
        <f>Vehi_Plastics!F$19*Vehi_Plastics!AD122</f>
        <v>518424.56488374178</v>
      </c>
      <c r="BB157" s="2237">
        <f>Vehi_Plastics!G$19*Vehi_Plastics!AE122</f>
        <v>189787.54009435052</v>
      </c>
      <c r="BC157" s="2237">
        <f>Vehi_Plastics!H$19*Vehi_Plastics!AF122</f>
        <v>193767.0875180368</v>
      </c>
      <c r="BD157" s="2237">
        <f>Vehi_Plastics!I$19*Vehi_Plastics!AG122</f>
        <v>257094.67053806578</v>
      </c>
      <c r="BE157" s="2237">
        <f>Vehi_Plastics!J$19*Vehi_Plastics!AH122</f>
        <v>736237.16622196895</v>
      </c>
      <c r="BF157" s="2237">
        <f>Vehi_Plastics!K$19*Vehi_Plastics!AI122</f>
        <v>463992.93759258767</v>
      </c>
      <c r="BG157" s="2237">
        <f>Vehi_Plastics!L$19*Vehi_Plastics!AJ122</f>
        <v>333649.56383320969</v>
      </c>
      <c r="BH157" s="2237">
        <f>Rubber!$A$6*Rubber!C82</f>
        <v>518424.56488374178</v>
      </c>
      <c r="BI157" s="2252">
        <f>Rubber!$B$6*Rubber!D82</f>
        <v>463992.93759258767</v>
      </c>
    </row>
    <row r="158" spans="1:61" s="2144" customFormat="1" ht="15.75">
      <c r="A158" s="2236" t="s">
        <v>2550</v>
      </c>
      <c r="B158" s="2237">
        <f t="shared" ca="1" si="25"/>
        <v>50.938667849479494</v>
      </c>
      <c r="C158" s="2237">
        <f t="shared" ca="1" si="25"/>
        <v>50.938667849479494</v>
      </c>
      <c r="D158" s="2237">
        <f t="shared" ca="1" si="25"/>
        <v>50.938667849479494</v>
      </c>
      <c r="E158" s="2237">
        <f t="shared" ca="1" si="25"/>
        <v>166.53932139448725</v>
      </c>
      <c r="F158" s="2237">
        <f t="shared" ca="1" si="25"/>
        <v>166.53932139448725</v>
      </c>
      <c r="G158" s="2237">
        <f t="shared" ca="1" si="25"/>
        <v>140.95132903438858</v>
      </c>
      <c r="H158" s="2237">
        <f t="shared" si="25"/>
        <v>1172.3230497579282</v>
      </c>
      <c r="I158" s="2237">
        <f t="shared" ca="1" si="25"/>
        <v>50.938667849479508</v>
      </c>
      <c r="J158" s="2237">
        <f t="shared" ca="1" si="25"/>
        <v>50.938667849479508</v>
      </c>
      <c r="K158" s="2237">
        <f t="shared" ca="1" si="25"/>
        <v>213.98588668400134</v>
      </c>
      <c r="L158" s="2237">
        <f t="shared" ca="1" si="25"/>
        <v>50.938667849479508</v>
      </c>
      <c r="M158" s="2237">
        <f t="shared" ca="1" si="25"/>
        <v>50.938667849479508</v>
      </c>
      <c r="N158" s="2237">
        <f t="shared" ca="1" si="25"/>
        <v>213.98588668400134</v>
      </c>
      <c r="O158" s="2237">
        <f t="shared" ca="1" si="25"/>
        <v>306.91464618623183</v>
      </c>
      <c r="P158" s="2237">
        <f t="shared" ca="1" si="25"/>
        <v>306.91464618623183</v>
      </c>
      <c r="Q158" s="2237">
        <f t="shared" si="25"/>
        <v>137.04610185979988</v>
      </c>
      <c r="R158" s="2237">
        <f t="shared" si="26"/>
        <v>96.359486540681942</v>
      </c>
      <c r="S158" s="2237">
        <f t="shared" si="26"/>
        <v>203.26768830019031</v>
      </c>
      <c r="T158" s="2237">
        <f t="shared" si="26"/>
        <v>393.32382602704655</v>
      </c>
      <c r="U158" s="2237">
        <f t="shared" si="26"/>
        <v>314.37884695927232</v>
      </c>
      <c r="V158" s="2237">
        <f t="shared" si="26"/>
        <v>123.06060667294626</v>
      </c>
      <c r="W158" s="2237">
        <f t="shared" si="26"/>
        <v>259.57891150112533</v>
      </c>
      <c r="X158" s="2237">
        <f t="shared" si="26"/>
        <v>94.975574484332725</v>
      </c>
      <c r="Y158" s="2237">
        <f t="shared" si="26"/>
        <v>96.967063507080766</v>
      </c>
      <c r="Z158" s="2237">
        <f t="shared" si="26"/>
        <v>128.65815120989549</v>
      </c>
      <c r="AA158" s="2237">
        <f t="shared" si="26"/>
        <v>368.43592463386449</v>
      </c>
      <c r="AB158" s="2237">
        <f t="shared" si="26"/>
        <v>232.19646443924242</v>
      </c>
      <c r="AC158" s="2237">
        <f t="shared" si="26"/>
        <v>166.96859543968253</v>
      </c>
      <c r="AD158" s="2237">
        <f t="shared" si="26"/>
        <v>259.57891150112533</v>
      </c>
      <c r="AE158" s="2237">
        <f t="shared" si="26"/>
        <v>232.19646443924242</v>
      </c>
      <c r="AF158" s="2237">
        <f ca="1">Steel!H126</f>
        <v>101877.33569895898</v>
      </c>
      <c r="AG158" s="2237">
        <f ca="1">Steel!H126</f>
        <v>101877.33569895898</v>
      </c>
      <c r="AH158" s="2237">
        <f ca="1">Steel!H126</f>
        <v>101877.33569895898</v>
      </c>
      <c r="AI158" s="2237">
        <f ca="1">Steel!$D$140*Steel!C160+Steel!D160</f>
        <v>333078.64278897451</v>
      </c>
      <c r="AJ158" s="2237">
        <f ca="1">Steel!$D$208*Steel!C228+Steel!D228</f>
        <v>333078.64278897451</v>
      </c>
      <c r="AK158" s="2237">
        <f ca="1">'C.Iron'!C80+'C.Iron'!E80</f>
        <v>281902.65806877718</v>
      </c>
      <c r="AL158" s="2237">
        <f>'C.Iron'!D80+'C.Iron'!E80</f>
        <v>2344646.0995158562</v>
      </c>
      <c r="AM158" s="2237">
        <f ca="1">W.Al!$I$122*W.Al!I146</f>
        <v>101877.33569895901</v>
      </c>
      <c r="AN158" s="2237">
        <f ca="1">W.Al!$I$123*W.Al!I146</f>
        <v>101877.33569895901</v>
      </c>
      <c r="AO158" s="2237">
        <f ca="1">W.Al!$J$124*W.Al!J146</f>
        <v>427971.77336800267</v>
      </c>
      <c r="AP158" s="2237">
        <f ca="1">W.Al!$F$160*W.Al!F184</f>
        <v>101877.33569895901</v>
      </c>
      <c r="AQ158" s="2237">
        <f ca="1">W.Al!$F$161*W.Al!F184</f>
        <v>101877.33569895901</v>
      </c>
      <c r="AR158" s="2237">
        <f ca="1">W.Al!$G$162*W.Al!G184</f>
        <v>427971.77336800267</v>
      </c>
      <c r="AS158" s="2237">
        <f ca="1">'C.Al'!$G$113*'C.Al'!G135+'C.Al'!$H$113*'C.Al'!H135</f>
        <v>613829.29237246362</v>
      </c>
      <c r="AT158" s="2237">
        <f ca="1">'C.Al'!$D$149*'C.Al'!D171+'C.Al'!$E$149*'C.Al'!E171</f>
        <v>613829.29237246362</v>
      </c>
      <c r="AU158" s="2237">
        <f>Copper!D81</f>
        <v>274092.20371959975</v>
      </c>
      <c r="AV158" s="2237">
        <f>Glass!B89</f>
        <v>192718.97308136389</v>
      </c>
      <c r="AW158" s="2237">
        <f>Vehi_Plastics!B$19*Vehi_Plastics!X123</f>
        <v>406535.37660038064</v>
      </c>
      <c r="AX158" s="2237">
        <f>Vehi_Plastics!C$19*Vehi_Plastics!AA123</f>
        <v>786647.65205409308</v>
      </c>
      <c r="AY158" s="2237">
        <f>Vehi_Plastics!D$19*Vehi_Plastics!AB123</f>
        <v>628757.69391854468</v>
      </c>
      <c r="AZ158" s="2237">
        <f>Vehi_Plastics!E$19*Vehi_Plastics!AC123</f>
        <v>246121.21334589252</v>
      </c>
      <c r="BA158" s="2237">
        <f>Vehi_Plastics!F$19*Vehi_Plastics!AD123</f>
        <v>519157.82300225063</v>
      </c>
      <c r="BB158" s="2237">
        <f>Vehi_Plastics!G$19*Vehi_Plastics!AE123</f>
        <v>189951.14896866545</v>
      </c>
      <c r="BC158" s="2237">
        <f>Vehi_Plastics!H$19*Vehi_Plastics!AF123</f>
        <v>193934.12701416152</v>
      </c>
      <c r="BD158" s="2237">
        <f>Vehi_Plastics!I$19*Vehi_Plastics!AG123</f>
        <v>257316.302419791</v>
      </c>
      <c r="BE158" s="2237">
        <f>Vehi_Plastics!J$19*Vehi_Plastics!AH123</f>
        <v>736871.84926772898</v>
      </c>
      <c r="BF158" s="2237">
        <f>Vehi_Plastics!K$19*Vehi_Plastics!AI123</f>
        <v>464392.92887848482</v>
      </c>
      <c r="BG158" s="2237">
        <f>Vehi_Plastics!L$19*Vehi_Plastics!AJ123</f>
        <v>333937.19087936508</v>
      </c>
      <c r="BH158" s="2237">
        <f>Rubber!$A$6*Rubber!C83</f>
        <v>519157.82300225063</v>
      </c>
      <c r="BI158" s="2252">
        <f>Rubber!$B$6*Rubber!D83</f>
        <v>464392.92887848482</v>
      </c>
    </row>
    <row r="159" spans="1:61" s="2144" customFormat="1">
      <c r="A159" s="2238" t="s">
        <v>851</v>
      </c>
      <c r="B159" s="2239">
        <f t="shared" ca="1" si="25"/>
        <v>54.671136395829308</v>
      </c>
      <c r="C159" s="2239">
        <f t="shared" ca="1" si="25"/>
        <v>54.671136395829308</v>
      </c>
      <c r="D159" s="2239">
        <f t="shared" ca="1" si="25"/>
        <v>54.671136395829308</v>
      </c>
      <c r="E159" s="2239">
        <f t="shared" ca="1" si="25"/>
        <v>181.21090261773384</v>
      </c>
      <c r="F159" s="2239">
        <f t="shared" ca="1" si="25"/>
        <v>181.21090261773384</v>
      </c>
      <c r="G159" s="2239">
        <f t="shared" ca="1" si="25"/>
        <v>186.03387999350684</v>
      </c>
      <c r="H159" s="2239">
        <f t="shared" si="25"/>
        <v>1295.5582076881271</v>
      </c>
      <c r="I159" s="2239">
        <f t="shared" ca="1" si="25"/>
        <v>54.671136395829322</v>
      </c>
      <c r="J159" s="2239">
        <f t="shared" ca="1" si="25"/>
        <v>54.671136395829322</v>
      </c>
      <c r="K159" s="2239">
        <f t="shared" ca="1" si="25"/>
        <v>235.71583559669688</v>
      </c>
      <c r="L159" s="2239">
        <f t="shared" ca="1" si="25"/>
        <v>54.671136395829322</v>
      </c>
      <c r="M159" s="2239">
        <f t="shared" ca="1" si="25"/>
        <v>54.671136395829322</v>
      </c>
      <c r="N159" s="2239">
        <f t="shared" ca="1" si="25"/>
        <v>235.71583559669688</v>
      </c>
      <c r="O159" s="2239">
        <f t="shared" ca="1" si="25"/>
        <v>338.99393604428388</v>
      </c>
      <c r="P159" s="2239">
        <f t="shared" ca="1" si="25"/>
        <v>338.99393604428388</v>
      </c>
      <c r="Q159" s="2239">
        <f t="shared" si="25"/>
        <v>145.671686492346</v>
      </c>
      <c r="R159" s="2239">
        <f t="shared" si="26"/>
        <v>100.55448587785592</v>
      </c>
      <c r="S159" s="2239">
        <f t="shared" si="26"/>
        <v>218.16187939508862</v>
      </c>
      <c r="T159" s="2239">
        <f t="shared" si="26"/>
        <v>419.55941495619822</v>
      </c>
      <c r="U159" s="2239">
        <f t="shared" si="26"/>
        <v>337.40777269033617</v>
      </c>
      <c r="V159" s="2239">
        <f t="shared" si="26"/>
        <v>132.07772202152114</v>
      </c>
      <c r="W159" s="2239">
        <f t="shared" si="26"/>
        <v>283.45375635164527</v>
      </c>
      <c r="X159" s="2239">
        <f t="shared" si="26"/>
        <v>101.93479347061995</v>
      </c>
      <c r="Y159" s="2239">
        <f t="shared" si="26"/>
        <v>104.07220641426385</v>
      </c>
      <c r="Z159" s="2239">
        <f t="shared" si="26"/>
        <v>138.08541978396678</v>
      </c>
      <c r="AA159" s="2239">
        <f t="shared" si="26"/>
        <v>395.43261610810498</v>
      </c>
      <c r="AB159" s="2239">
        <f t="shared" si="26"/>
        <v>249.21037620179672</v>
      </c>
      <c r="AC159" s="2239">
        <f t="shared" si="26"/>
        <v>179.20301492918222</v>
      </c>
      <c r="AD159" s="2239">
        <f t="shared" si="26"/>
        <v>283.45375635164527</v>
      </c>
      <c r="AE159" s="2239">
        <f t="shared" si="26"/>
        <v>249.21037620179672</v>
      </c>
      <c r="AF159" s="2239">
        <f ca="1">Steel!H127</f>
        <v>109342.27279165862</v>
      </c>
      <c r="AG159" s="2239">
        <f ca="1">Steel!H127</f>
        <v>109342.27279165862</v>
      </c>
      <c r="AH159" s="2239">
        <f ca="1">Steel!H127</f>
        <v>109342.27279165862</v>
      </c>
      <c r="AI159" s="2239">
        <f ca="1">Steel!$D$140*Steel!C161+Steel!D161</f>
        <v>362421.80523546768</v>
      </c>
      <c r="AJ159" s="2239">
        <f ca="1">Steel!$D$208*Steel!C229+Steel!D229</f>
        <v>362421.80523546768</v>
      </c>
      <c r="AK159" s="2239">
        <f ca="1">'C.Iron'!C81+'C.Iron'!E81</f>
        <v>372067.75998701371</v>
      </c>
      <c r="AL159" s="2239">
        <f>'C.Iron'!D81+'C.Iron'!E81</f>
        <v>2591116.4153762544</v>
      </c>
      <c r="AM159" s="2239">
        <f ca="1">W.Al!$I$122*W.Al!I147</f>
        <v>109342.27279165864</v>
      </c>
      <c r="AN159" s="2239">
        <f ca="1">W.Al!$I$123*W.Al!I147</f>
        <v>109342.27279165864</v>
      </c>
      <c r="AO159" s="2239">
        <f ca="1">W.Al!$J$124*W.Al!J147</f>
        <v>471431.67119339376</v>
      </c>
      <c r="AP159" s="2239">
        <f ca="1">W.Al!$F$160*W.Al!F185</f>
        <v>109342.27279165864</v>
      </c>
      <c r="AQ159" s="2239">
        <f ca="1">W.Al!$F$161*W.Al!F185</f>
        <v>109342.27279165864</v>
      </c>
      <c r="AR159" s="2239">
        <f ca="1">W.Al!$G$162*W.Al!G185</f>
        <v>471431.67119339376</v>
      </c>
      <c r="AS159" s="2239">
        <f ca="1">'C.Al'!$G$113*'C.Al'!G136+'C.Al'!$H$113*'C.Al'!H136</f>
        <v>677987.87208856782</v>
      </c>
      <c r="AT159" s="2239">
        <f ca="1">'C.Al'!$D$149*'C.Al'!D172+'C.Al'!$E$149*'C.Al'!E172</f>
        <v>677987.87208856782</v>
      </c>
      <c r="AU159" s="2239">
        <f>Copper!D82</f>
        <v>291343.37298469199</v>
      </c>
      <c r="AV159" s="2239">
        <f>Glass!B90</f>
        <v>201108.97175571186</v>
      </c>
      <c r="AW159" s="2239">
        <f>Vehi_Plastics!B$19*Vehi_Plastics!X124</f>
        <v>436323.75879017723</v>
      </c>
      <c r="AX159" s="2239">
        <f>Vehi_Plastics!C$19*Vehi_Plastics!AA124</f>
        <v>839118.8299123965</v>
      </c>
      <c r="AY159" s="2239">
        <f>Vehi_Plastics!D$19*Vehi_Plastics!AB124</f>
        <v>674815.54538067232</v>
      </c>
      <c r="AZ159" s="2239">
        <f>Vehi_Plastics!E$19*Vehi_Plastics!AC124</f>
        <v>264155.44404304225</v>
      </c>
      <c r="BA159" s="2239">
        <f>Vehi_Plastics!F$19*Vehi_Plastics!AD124</f>
        <v>566907.51270329056</v>
      </c>
      <c r="BB159" s="2239">
        <f>Vehi_Plastics!G$19*Vehi_Plastics!AE124</f>
        <v>203869.58694123989</v>
      </c>
      <c r="BC159" s="2239">
        <f>Vehi_Plastics!H$19*Vehi_Plastics!AF124</f>
        <v>208144.41282852768</v>
      </c>
      <c r="BD159" s="2239">
        <f>Vehi_Plastics!I$19*Vehi_Plastics!AG124</f>
        <v>276170.83956793358</v>
      </c>
      <c r="BE159" s="2239">
        <f>Vehi_Plastics!J$19*Vehi_Plastics!AH124</f>
        <v>790865.23221620999</v>
      </c>
      <c r="BF159" s="2239">
        <f>Vehi_Plastics!K$19*Vehi_Plastics!AI124</f>
        <v>498420.75240359345</v>
      </c>
      <c r="BG159" s="2239">
        <f>Vehi_Plastics!L$19*Vehi_Plastics!AJ124</f>
        <v>358406.02985836443</v>
      </c>
      <c r="BH159" s="2239">
        <f>Rubber!$A$6*Rubber!C84</f>
        <v>566907.51270329056</v>
      </c>
      <c r="BI159" s="2192">
        <f>Rubber!$B$6*Rubber!D84</f>
        <v>498420.75240359345</v>
      </c>
    </row>
    <row r="160" spans="1:61" s="2136" customFormat="1">
      <c r="A160" s="2247" t="s">
        <v>1031</v>
      </c>
      <c r="B160" s="2253" t="s">
        <v>846</v>
      </c>
      <c r="C160" s="2253" t="s">
        <v>846</v>
      </c>
      <c r="D160" s="2253" t="s">
        <v>846</v>
      </c>
      <c r="E160" s="2253" t="s">
        <v>846</v>
      </c>
      <c r="F160" s="2253" t="s">
        <v>846</v>
      </c>
      <c r="G160" s="2253" t="s">
        <v>846</v>
      </c>
      <c r="H160" s="2253" t="s">
        <v>846</v>
      </c>
      <c r="I160" s="2253" t="s">
        <v>846</v>
      </c>
      <c r="J160" s="2253" t="s">
        <v>846</v>
      </c>
      <c r="K160" s="2253" t="s">
        <v>846</v>
      </c>
      <c r="L160" s="2253" t="s">
        <v>846</v>
      </c>
      <c r="M160" s="2253" t="s">
        <v>846</v>
      </c>
      <c r="N160" s="2253" t="s">
        <v>846</v>
      </c>
      <c r="O160" s="2253" t="s">
        <v>846</v>
      </c>
      <c r="P160" s="2253" t="s">
        <v>846</v>
      </c>
      <c r="Q160" s="2253" t="s">
        <v>846</v>
      </c>
      <c r="R160" s="2253" t="s">
        <v>846</v>
      </c>
      <c r="S160" s="2253" t="s">
        <v>846</v>
      </c>
      <c r="T160" s="2253" t="s">
        <v>846</v>
      </c>
      <c r="U160" s="2253" t="s">
        <v>846</v>
      </c>
      <c r="V160" s="2253" t="s">
        <v>846</v>
      </c>
      <c r="W160" s="2253" t="s">
        <v>846</v>
      </c>
      <c r="X160" s="2253" t="s">
        <v>846</v>
      </c>
      <c r="Y160" s="2253" t="s">
        <v>846</v>
      </c>
      <c r="Z160" s="2253" t="s">
        <v>846</v>
      </c>
      <c r="AA160" s="2253" t="s">
        <v>846</v>
      </c>
      <c r="AB160" s="2253" t="s">
        <v>846</v>
      </c>
      <c r="AC160" s="2253" t="s">
        <v>846</v>
      </c>
      <c r="AD160" s="2253" t="s">
        <v>846</v>
      </c>
      <c r="AE160" s="2253" t="s">
        <v>846</v>
      </c>
      <c r="AF160" s="2254"/>
      <c r="AG160" s="2254"/>
      <c r="AH160" s="2254"/>
      <c r="AI160" s="2254"/>
      <c r="AJ160" s="2254"/>
      <c r="AK160" s="2254"/>
      <c r="AL160" s="2254"/>
      <c r="AM160" s="2254"/>
      <c r="AN160" s="2254"/>
      <c r="AO160" s="2254"/>
      <c r="AP160" s="2254"/>
      <c r="AQ160" s="2254"/>
      <c r="AR160" s="2254"/>
      <c r="AS160" s="2254"/>
      <c r="AT160" s="2254"/>
      <c r="AU160" s="2254"/>
      <c r="AV160" s="2254"/>
      <c r="AW160" s="2254"/>
      <c r="AX160" s="2254"/>
      <c r="AY160" s="2254"/>
      <c r="AZ160" s="2254"/>
      <c r="BA160" s="2254"/>
      <c r="BB160" s="2254"/>
      <c r="BC160" s="2254"/>
      <c r="BD160" s="2254"/>
      <c r="BE160" s="2254"/>
      <c r="BF160" s="2254"/>
      <c r="BG160" s="2254"/>
      <c r="BH160" s="2254"/>
      <c r="BI160" s="2194"/>
    </row>
    <row r="161" spans="1:61" s="2136" customFormat="1">
      <c r="A161" s="2236" t="s">
        <v>821</v>
      </c>
      <c r="B161" s="2136">
        <f t="shared" ref="B161:Q168" ca="1" si="27">AF161/2000</f>
        <v>3.7152540942150976E-4</v>
      </c>
      <c r="C161" s="2136">
        <f t="shared" ca="1" si="27"/>
        <v>3.7152540942150976E-4</v>
      </c>
      <c r="D161" s="2136">
        <f t="shared" ca="1" si="27"/>
        <v>3.7152540942150976E-4</v>
      </c>
      <c r="E161" s="2136">
        <f t="shared" ca="1" si="27"/>
        <v>1.3435251039910156E-3</v>
      </c>
      <c r="F161" s="2136">
        <f t="shared" ca="1" si="27"/>
        <v>1.3435251039910156E-3</v>
      </c>
      <c r="G161" s="2136">
        <f t="shared" ca="1" si="27"/>
        <v>9.7555181899713558E-4</v>
      </c>
      <c r="H161" s="2136">
        <f t="shared" si="27"/>
        <v>1.0499226445219939E-2</v>
      </c>
      <c r="I161" s="2136">
        <f t="shared" ca="1" si="27"/>
        <v>3.7152540942150987E-4</v>
      </c>
      <c r="J161" s="2136">
        <f t="shared" ca="1" si="27"/>
        <v>3.7152540942150987E-4</v>
      </c>
      <c r="K161" s="2136">
        <f t="shared" ca="1" si="27"/>
        <v>1.8728100961317804E-3</v>
      </c>
      <c r="L161" s="2136">
        <f t="shared" ca="1" si="27"/>
        <v>3.7152540942150987E-4</v>
      </c>
      <c r="M161" s="2136">
        <f t="shared" ca="1" si="27"/>
        <v>3.7152540942150987E-4</v>
      </c>
      <c r="N161" s="2136">
        <f t="shared" ca="1" si="27"/>
        <v>1.8728100961317804E-3</v>
      </c>
      <c r="O161" s="2136">
        <f t="shared" ca="1" si="27"/>
        <v>2.7391116875059287E-3</v>
      </c>
      <c r="P161" s="2136">
        <f t="shared" ca="1" si="27"/>
        <v>2.7391116875059287E-3</v>
      </c>
      <c r="Q161" s="2136">
        <f t="shared" si="27"/>
        <v>1.542189434674972E-3</v>
      </c>
      <c r="R161" s="2136">
        <f t="shared" ref="R161:AE168" si="28">AV161/2000</f>
        <v>4.2754832914728699E-4</v>
      </c>
      <c r="S161" s="2136">
        <f t="shared" si="28"/>
        <v>1.4825497859709675E-3</v>
      </c>
      <c r="T161" s="2136">
        <f t="shared" si="28"/>
        <v>5.6566354373463607E-3</v>
      </c>
      <c r="U161" s="2136">
        <f t="shared" si="28"/>
        <v>2.3075606954303727E-3</v>
      </c>
      <c r="V161" s="2136">
        <f t="shared" si="28"/>
        <v>8.9755276704380708E-4</v>
      </c>
      <c r="W161" s="2136">
        <f t="shared" si="28"/>
        <v>2.1466562664924859E-3</v>
      </c>
      <c r="X161" s="2136">
        <f t="shared" si="28"/>
        <v>6.9271224955474325E-4</v>
      </c>
      <c r="Y161" s="2136">
        <f t="shared" si="28"/>
        <v>7.0723734033099255E-4</v>
      </c>
      <c r="Z161" s="2136">
        <f t="shared" si="28"/>
        <v>9.3837892355010544E-4</v>
      </c>
      <c r="AA161" s="2136">
        <f t="shared" si="28"/>
        <v>2.6872180511212118E-3</v>
      </c>
      <c r="AB161" s="2136">
        <f t="shared" si="28"/>
        <v>1.6935442201183922E-3</v>
      </c>
      <c r="AC161" s="2136">
        <f t="shared" si="28"/>
        <v>1.2177993339866336E-3</v>
      </c>
      <c r="AD161" s="2136">
        <f t="shared" si="28"/>
        <v>2.1466562664924859E-3</v>
      </c>
      <c r="AE161" s="2136">
        <f t="shared" si="28"/>
        <v>1.6935442201183922E-3</v>
      </c>
      <c r="AF161" s="2136">
        <f ca="1">Steel!H129</f>
        <v>0.74305081884301949</v>
      </c>
      <c r="AG161" s="2136">
        <f ca="1">Steel!H129</f>
        <v>0.74305081884301949</v>
      </c>
      <c r="AH161" s="2136">
        <f ca="1">Steel!H129</f>
        <v>0.74305081884301949</v>
      </c>
      <c r="AI161" s="2136">
        <f ca="1">Steel!$D$140*Steel!C163+Steel!D163</f>
        <v>2.6870502079820313</v>
      </c>
      <c r="AJ161" s="2136">
        <f ca="1">Steel!$D$208*Steel!C231+Steel!D231</f>
        <v>2.6870502079820313</v>
      </c>
      <c r="AK161" s="2136">
        <f ca="1">'C.Iron'!C83+'C.Iron'!E83</f>
        <v>1.9511036379942712</v>
      </c>
      <c r="AL161" s="2136">
        <f>'C.Iron'!D83+'C.Iron'!E83</f>
        <v>20.998452890439879</v>
      </c>
      <c r="AM161" s="2136">
        <f ca="1">W.Al!$I$122*W.Al!I149</f>
        <v>0.74305081884301971</v>
      </c>
      <c r="AN161" s="2136">
        <f ca="1">W.Al!$I$123*W.Al!I149</f>
        <v>0.74305081884301971</v>
      </c>
      <c r="AO161" s="2136">
        <f ca="1">W.Al!$J$124*W.Al!J149</f>
        <v>3.7456201922635608</v>
      </c>
      <c r="AP161" s="2136">
        <f ca="1">W.Al!$F$160*W.Al!F187</f>
        <v>0.74305081884301971</v>
      </c>
      <c r="AQ161" s="2136">
        <f ca="1">W.Al!$F$161*W.Al!F187</f>
        <v>0.74305081884301971</v>
      </c>
      <c r="AR161" s="2136">
        <f ca="1">W.Al!$G$162*W.Al!G187</f>
        <v>3.7456201922635608</v>
      </c>
      <c r="AS161" s="2136">
        <f ca="1">'C.Al'!$G$113*'C.Al'!G138+'C.Al'!$H$113*'C.Al'!H138</f>
        <v>5.4782233750118579</v>
      </c>
      <c r="AT161" s="2136">
        <f ca="1">'C.Al'!$D$149*'C.Al'!D174+'C.Al'!$E$149*'C.Al'!E174</f>
        <v>5.4782233750118579</v>
      </c>
      <c r="AU161" s="2136">
        <f>Copper!D84</f>
        <v>3.0843788693499441</v>
      </c>
      <c r="AV161" s="2136">
        <f>Glass!B92</f>
        <v>0.85509665829457393</v>
      </c>
      <c r="AW161" s="2136">
        <f>Vehi_Plastics!B$19*Vehi_Plastics!X126</f>
        <v>2.9650995719419351</v>
      </c>
      <c r="AX161" s="2136">
        <f>Vehi_Plastics!C$19*Vehi_Plastics!AA126</f>
        <v>11.313270874692721</v>
      </c>
      <c r="AY161" s="2136">
        <f>Vehi_Plastics!D$19*Vehi_Plastics!AB126</f>
        <v>4.6151213908607458</v>
      </c>
      <c r="AZ161" s="2136">
        <f>Vehi_Plastics!E$19*Vehi_Plastics!AC126</f>
        <v>1.7951055340876141</v>
      </c>
      <c r="BA161" s="2136">
        <f>Vehi_Plastics!F$19*Vehi_Plastics!AD126</f>
        <v>4.293312532984972</v>
      </c>
      <c r="BB161" s="2136">
        <f>Vehi_Plastics!G$19*Vehi_Plastics!AE126</f>
        <v>1.3854244991094864</v>
      </c>
      <c r="BC161" s="2136">
        <f>Vehi_Plastics!H$19*Vehi_Plastics!AF126</f>
        <v>1.414474680661985</v>
      </c>
      <c r="BD161" s="2136">
        <f>Vehi_Plastics!I$19*Vehi_Plastics!AG126</f>
        <v>1.8767578471002109</v>
      </c>
      <c r="BE161" s="2136">
        <f>Vehi_Plastics!J$19*Vehi_Plastics!AH126</f>
        <v>5.3744361022424236</v>
      </c>
      <c r="BF161" s="2136">
        <f>Vehi_Plastics!K$19*Vehi_Plastics!AI126</f>
        <v>3.3870884402367842</v>
      </c>
      <c r="BG161" s="2136">
        <f>Vehi_Plastics!L$19*Vehi_Plastics!AJ126</f>
        <v>2.4355986679732671</v>
      </c>
      <c r="BH161" s="2136">
        <f>Rubber!$A$6*Rubber!C86</f>
        <v>4.293312532984972</v>
      </c>
      <c r="BI161" s="2185">
        <f>Rubber!$B$6*Rubber!D86</f>
        <v>3.3870884402367842</v>
      </c>
    </row>
    <row r="162" spans="1:61" s="2136" customFormat="1">
      <c r="A162" s="2236" t="s">
        <v>822</v>
      </c>
      <c r="B162" s="2136">
        <f t="shared" ca="1" si="27"/>
        <v>2.7428134170997239E-3</v>
      </c>
      <c r="C162" s="2136">
        <f t="shared" ca="1" si="27"/>
        <v>2.7428134170997239E-3</v>
      </c>
      <c r="D162" s="2136">
        <f t="shared" ca="1" si="27"/>
        <v>2.7428134170997239E-3</v>
      </c>
      <c r="E162" s="2136">
        <f t="shared" ca="1" si="27"/>
        <v>8.2558538634436747E-3</v>
      </c>
      <c r="F162" s="2136">
        <f t="shared" ca="1" si="27"/>
        <v>8.2558538634436747E-3</v>
      </c>
      <c r="G162" s="2136">
        <f t="shared" ca="1" si="27"/>
        <v>3.288365147272846E-3</v>
      </c>
      <c r="H162" s="2136">
        <f t="shared" si="27"/>
        <v>5.2363335353637963E-2</v>
      </c>
      <c r="I162" s="2136">
        <f t="shared" ca="1" si="27"/>
        <v>2.7428134170997247E-3</v>
      </c>
      <c r="J162" s="2136">
        <f t="shared" ca="1" si="27"/>
        <v>2.7428134170997247E-3</v>
      </c>
      <c r="K162" s="2136">
        <f t="shared" ca="1" si="27"/>
        <v>9.6944849635401103E-3</v>
      </c>
      <c r="L162" s="2136">
        <f t="shared" ca="1" si="27"/>
        <v>2.7428134170997247E-3</v>
      </c>
      <c r="M162" s="2136">
        <f t="shared" ca="1" si="27"/>
        <v>2.7428134170997247E-3</v>
      </c>
      <c r="N162" s="2136">
        <f t="shared" ca="1" si="27"/>
        <v>9.6944849635401103E-3</v>
      </c>
      <c r="O162" s="2136">
        <f t="shared" ca="1" si="27"/>
        <v>1.3761696670908751E-2</v>
      </c>
      <c r="P162" s="2136">
        <f t="shared" ca="1" si="27"/>
        <v>1.3761696670908751E-2</v>
      </c>
      <c r="Q162" s="2136">
        <f t="shared" si="27"/>
        <v>5.7426217580798262E-3</v>
      </c>
      <c r="R162" s="2136">
        <f t="shared" si="28"/>
        <v>1.4179987388401563E-3</v>
      </c>
      <c r="S162" s="2136">
        <f t="shared" si="28"/>
        <v>1.0945031864203014E-2</v>
      </c>
      <c r="T162" s="2136">
        <f t="shared" si="28"/>
        <v>1.2462759840402115E-2</v>
      </c>
      <c r="U162" s="2136">
        <f t="shared" si="28"/>
        <v>1.6887333100720159E-2</v>
      </c>
      <c r="V162" s="2136">
        <f t="shared" si="28"/>
        <v>6.6262487290868139E-3</v>
      </c>
      <c r="W162" s="2136">
        <f t="shared" si="28"/>
        <v>1.2577925309824151E-2</v>
      </c>
      <c r="X162" s="2136">
        <f t="shared" si="28"/>
        <v>5.1139986770392916E-3</v>
      </c>
      <c r="Y162" s="2136">
        <f t="shared" si="28"/>
        <v>5.2212312184897443E-3</v>
      </c>
      <c r="Z162" s="2136">
        <f t="shared" si="28"/>
        <v>6.9276508054843507E-3</v>
      </c>
      <c r="AA162" s="2136">
        <f t="shared" si="28"/>
        <v>1.9838583144997431E-2</v>
      </c>
      <c r="AB162" s="2136">
        <f t="shared" si="28"/>
        <v>1.2502713654565682E-2</v>
      </c>
      <c r="AC162" s="2136">
        <f t="shared" si="28"/>
        <v>8.9904923536577464E-3</v>
      </c>
      <c r="AD162" s="2136">
        <f t="shared" si="28"/>
        <v>1.2577925309824149E-2</v>
      </c>
      <c r="AE162" s="2136">
        <f t="shared" si="28"/>
        <v>1.2502713654565682E-2</v>
      </c>
      <c r="AF162" s="2136">
        <f ca="1">Steel!H130</f>
        <v>5.4856268341994481</v>
      </c>
      <c r="AG162" s="2136">
        <f ca="1">Steel!H130</f>
        <v>5.4856268341994481</v>
      </c>
      <c r="AH162" s="2136">
        <f ca="1">Steel!H130</f>
        <v>5.4856268341994481</v>
      </c>
      <c r="AI162" s="2136">
        <f ca="1">Steel!$D$140*Steel!C164+Steel!D164</f>
        <v>16.511707726887348</v>
      </c>
      <c r="AJ162" s="2136">
        <f ca="1">Steel!$D$208*Steel!C232+Steel!D232</f>
        <v>16.511707726887348</v>
      </c>
      <c r="AK162" s="2136">
        <f ca="1">'C.Iron'!C84+'C.Iron'!E84</f>
        <v>6.5767302945456922</v>
      </c>
      <c r="AL162" s="2136">
        <f>'C.Iron'!D84+'C.Iron'!E84</f>
        <v>104.72667070727593</v>
      </c>
      <c r="AM162" s="2136">
        <f ca="1">W.Al!$I$122*W.Al!I150</f>
        <v>5.4856268341994499</v>
      </c>
      <c r="AN162" s="2136">
        <f ca="1">W.Al!$I$123*W.Al!I150</f>
        <v>5.4856268341994499</v>
      </c>
      <c r="AO162" s="2136">
        <f ca="1">W.Al!$J$124*W.Al!J150</f>
        <v>19.388969927080222</v>
      </c>
      <c r="AP162" s="2136">
        <f ca="1">W.Al!$F$160*W.Al!F188</f>
        <v>5.4856268341994499</v>
      </c>
      <c r="AQ162" s="2136">
        <f ca="1">W.Al!$F$161*W.Al!F188</f>
        <v>5.4856268341994499</v>
      </c>
      <c r="AR162" s="2136">
        <f ca="1">W.Al!$G$162*W.Al!G188</f>
        <v>19.388969927080222</v>
      </c>
      <c r="AS162" s="2136">
        <f ca="1">'C.Al'!$G$113*'C.Al'!G139+'C.Al'!$H$113*'C.Al'!H139</f>
        <v>27.523393341817503</v>
      </c>
      <c r="AT162" s="2136">
        <f ca="1">'C.Al'!$D$149*'C.Al'!D175+'C.Al'!$E$149*'C.Al'!E175</f>
        <v>27.523393341817503</v>
      </c>
      <c r="AU162" s="2136">
        <f>Copper!D85</f>
        <v>11.485243516159652</v>
      </c>
      <c r="AV162" s="2136">
        <f>Glass!B93</f>
        <v>2.8359974776803125</v>
      </c>
      <c r="AW162" s="2136">
        <f>Vehi_Plastics!B$19*Vehi_Plastics!X127</f>
        <v>21.890063728406027</v>
      </c>
      <c r="AX162" s="2136">
        <f>Vehi_Plastics!C$19*Vehi_Plastics!AA127</f>
        <v>24.925519680804229</v>
      </c>
      <c r="AY162" s="2136">
        <f>Vehi_Plastics!D$19*Vehi_Plastics!AB127</f>
        <v>33.774666201440319</v>
      </c>
      <c r="AZ162" s="2136">
        <f>Vehi_Plastics!E$19*Vehi_Plastics!AC127</f>
        <v>13.252497458173627</v>
      </c>
      <c r="BA162" s="2136">
        <f>Vehi_Plastics!F$19*Vehi_Plastics!AD127</f>
        <v>25.155850619648302</v>
      </c>
      <c r="BB162" s="2136">
        <f>Vehi_Plastics!G$19*Vehi_Plastics!AE127</f>
        <v>10.227997354078584</v>
      </c>
      <c r="BC162" s="2136">
        <f>Vehi_Plastics!H$19*Vehi_Plastics!AF127</f>
        <v>10.442462436979488</v>
      </c>
      <c r="BD162" s="2136">
        <f>Vehi_Plastics!I$19*Vehi_Plastics!AG127</f>
        <v>13.855301610968702</v>
      </c>
      <c r="BE162" s="2136">
        <f>Vehi_Plastics!J$19*Vehi_Plastics!AH127</f>
        <v>39.677166289994858</v>
      </c>
      <c r="BF162" s="2136">
        <f>Vehi_Plastics!K$19*Vehi_Plastics!AI127</f>
        <v>25.005427309131363</v>
      </c>
      <c r="BG162" s="2136">
        <f>Vehi_Plastics!L$19*Vehi_Plastics!AJ127</f>
        <v>17.980984707315493</v>
      </c>
      <c r="BH162" s="2136">
        <f>Rubber!$A$6*Rubber!C87</f>
        <v>25.155850619648298</v>
      </c>
      <c r="BI162" s="2185">
        <f>Rubber!$B$6*Rubber!D87</f>
        <v>25.005427309131363</v>
      </c>
    </row>
    <row r="163" spans="1:61" s="2136" customFormat="1" ht="15.75">
      <c r="A163" s="2236" t="s">
        <v>2542</v>
      </c>
      <c r="B163" s="2136">
        <f t="shared" ca="1" si="27"/>
        <v>8.1921524205194433E-3</v>
      </c>
      <c r="C163" s="2136">
        <f t="shared" ca="1" si="27"/>
        <v>8.1921524205194433E-3</v>
      </c>
      <c r="D163" s="2136">
        <f t="shared" ca="1" si="27"/>
        <v>8.1921524205194433E-3</v>
      </c>
      <c r="E163" s="2136">
        <f t="shared" ca="1" si="27"/>
        <v>1.9075746809847003E-2</v>
      </c>
      <c r="F163" s="2136">
        <f t="shared" ca="1" si="27"/>
        <v>1.9075746809847003E-2</v>
      </c>
      <c r="G163" s="2136">
        <f t="shared" ca="1" si="27"/>
        <v>1.0158601682316191E-2</v>
      </c>
      <c r="H163" s="2136">
        <f t="shared" si="27"/>
        <v>7.1967814842194736E-2</v>
      </c>
      <c r="I163" s="2136">
        <f t="shared" ca="1" si="27"/>
        <v>8.1921524205194468E-3</v>
      </c>
      <c r="J163" s="2136">
        <f t="shared" ca="1" si="27"/>
        <v>8.1921524205194468E-3</v>
      </c>
      <c r="K163" s="2136">
        <f t="shared" ca="1" si="27"/>
        <v>1.5147361506772102E-2</v>
      </c>
      <c r="L163" s="2136">
        <f t="shared" ca="1" si="27"/>
        <v>8.1921524205194468E-3</v>
      </c>
      <c r="M163" s="2136">
        <f t="shared" ca="1" si="27"/>
        <v>8.1921524205194468E-3</v>
      </c>
      <c r="N163" s="2136">
        <f t="shared" ca="1" si="27"/>
        <v>1.5147361506772102E-2</v>
      </c>
      <c r="O163" s="2136">
        <f t="shared" ca="1" si="27"/>
        <v>1.9414843585620657E-2</v>
      </c>
      <c r="P163" s="2136">
        <f t="shared" ca="1" si="27"/>
        <v>1.9414843585620657E-2</v>
      </c>
      <c r="Q163" s="2136">
        <f t="shared" si="27"/>
        <v>1.6444044389891038E-2</v>
      </c>
      <c r="R163" s="2136">
        <f t="shared" si="28"/>
        <v>4.0990721172753392E-3</v>
      </c>
      <c r="S163" s="2136">
        <f t="shared" si="28"/>
        <v>3.2690291187872346E-2</v>
      </c>
      <c r="T163" s="2136">
        <f t="shared" si="28"/>
        <v>2.4806486062219246E-2</v>
      </c>
      <c r="U163" s="2136">
        <f t="shared" si="28"/>
        <v>5.0410652280512232E-2</v>
      </c>
      <c r="V163" s="2136">
        <f t="shared" si="28"/>
        <v>1.9791079927832651E-2</v>
      </c>
      <c r="W163" s="2136">
        <f t="shared" si="28"/>
        <v>2.658924400645751E-2</v>
      </c>
      <c r="X163" s="2136">
        <f t="shared" si="28"/>
        <v>1.5274337065530493E-2</v>
      </c>
      <c r="Y163" s="2136">
        <f t="shared" si="28"/>
        <v>1.5594615987357655E-2</v>
      </c>
      <c r="Z163" s="2136">
        <f t="shared" si="28"/>
        <v>2.0691298562580524E-2</v>
      </c>
      <c r="AA163" s="2136">
        <f t="shared" si="28"/>
        <v>5.9253282019751018E-2</v>
      </c>
      <c r="AB163" s="2136">
        <f t="shared" si="28"/>
        <v>3.7342728196442888E-2</v>
      </c>
      <c r="AC163" s="2136">
        <f t="shared" si="28"/>
        <v>2.6852531505609522E-2</v>
      </c>
      <c r="AD163" s="2136">
        <f t="shared" si="28"/>
        <v>2.6589244006457506E-2</v>
      </c>
      <c r="AE163" s="2136">
        <f t="shared" si="28"/>
        <v>3.7342728196442888E-2</v>
      </c>
      <c r="AF163" s="2136">
        <f ca="1">Steel!H131</f>
        <v>16.384304841038887</v>
      </c>
      <c r="AG163" s="2136">
        <f ca="1">Steel!H131</f>
        <v>16.384304841038887</v>
      </c>
      <c r="AH163" s="2136">
        <f ca="1">Steel!H131</f>
        <v>16.384304841038887</v>
      </c>
      <c r="AI163" s="2136">
        <f ca="1">Steel!$D$140*Steel!C165+Steel!D165</f>
        <v>38.151493619694008</v>
      </c>
      <c r="AJ163" s="2136">
        <f ca="1">Steel!$D$208*Steel!C233+Steel!D233</f>
        <v>38.151493619694008</v>
      </c>
      <c r="AK163" s="2136">
        <f ca="1">'C.Iron'!C85+'C.Iron'!E85</f>
        <v>20.317203364632384</v>
      </c>
      <c r="AL163" s="2136">
        <f>'C.Iron'!D85+'C.Iron'!E85</f>
        <v>143.93562968438948</v>
      </c>
      <c r="AM163" s="2136">
        <f ca="1">W.Al!$I$122*W.Al!I151</f>
        <v>16.384304841038894</v>
      </c>
      <c r="AN163" s="2136">
        <f ca="1">W.Al!$I$123*W.Al!I151</f>
        <v>16.384304841038894</v>
      </c>
      <c r="AO163" s="2136">
        <f ca="1">W.Al!$J$124*W.Al!J151</f>
        <v>30.294723013544203</v>
      </c>
      <c r="AP163" s="2136">
        <f ca="1">W.Al!$F$160*W.Al!F189</f>
        <v>16.384304841038894</v>
      </c>
      <c r="AQ163" s="2136">
        <f ca="1">W.Al!$F$161*W.Al!F189</f>
        <v>16.384304841038894</v>
      </c>
      <c r="AR163" s="2136">
        <f ca="1">W.Al!$G$162*W.Al!G189</f>
        <v>30.294723013544203</v>
      </c>
      <c r="AS163" s="2136">
        <f ca="1">'C.Al'!$G$113*'C.Al'!G140+'C.Al'!$H$113*'C.Al'!H140</f>
        <v>38.829687171241318</v>
      </c>
      <c r="AT163" s="2136">
        <f ca="1">'C.Al'!$D$149*'C.Al'!D176+'C.Al'!$E$149*'C.Al'!E176</f>
        <v>38.829687171241318</v>
      </c>
      <c r="AU163" s="2136">
        <f>Copper!D86</f>
        <v>32.888088779782073</v>
      </c>
      <c r="AV163" s="2136">
        <f>Glass!B94</f>
        <v>8.1981442345506785</v>
      </c>
      <c r="AW163" s="2136">
        <f>Vehi_Plastics!B$19*Vehi_Plastics!X128</f>
        <v>65.380582375744694</v>
      </c>
      <c r="AX163" s="2136">
        <f>Vehi_Plastics!C$19*Vehi_Plastics!AA128</f>
        <v>49.612972124438492</v>
      </c>
      <c r="AY163" s="2136">
        <f>Vehi_Plastics!D$19*Vehi_Plastics!AB128</f>
        <v>100.82130456102446</v>
      </c>
      <c r="AZ163" s="2136">
        <f>Vehi_Plastics!E$19*Vehi_Plastics!AC128</f>
        <v>39.582159855665303</v>
      </c>
      <c r="BA163" s="2136">
        <f>Vehi_Plastics!F$19*Vehi_Plastics!AD128</f>
        <v>53.178488012915018</v>
      </c>
      <c r="BB163" s="2136">
        <f>Vehi_Plastics!G$19*Vehi_Plastics!AE128</f>
        <v>30.548674131060988</v>
      </c>
      <c r="BC163" s="2136">
        <f>Vehi_Plastics!H$19*Vehi_Plastics!AF128</f>
        <v>31.189231974715309</v>
      </c>
      <c r="BD163" s="2136">
        <f>Vehi_Plastics!I$19*Vehi_Plastics!AG128</f>
        <v>41.382597125161048</v>
      </c>
      <c r="BE163" s="2136">
        <f>Vehi_Plastics!J$19*Vehi_Plastics!AH128</f>
        <v>118.50656403950204</v>
      </c>
      <c r="BF163" s="2136">
        <f>Vehi_Plastics!K$19*Vehi_Plastics!AI128</f>
        <v>74.685456392885783</v>
      </c>
      <c r="BG163" s="2136">
        <f>Vehi_Plastics!L$19*Vehi_Plastics!AJ128</f>
        <v>53.705063011219046</v>
      </c>
      <c r="BH163" s="2136">
        <f>Rubber!$A$6*Rubber!C88</f>
        <v>53.178488012915011</v>
      </c>
      <c r="BI163" s="2185">
        <f>Rubber!$B$6*Rubber!D88</f>
        <v>74.685456392885783</v>
      </c>
    </row>
    <row r="164" spans="1:61" s="2136" customFormat="1" ht="15.75">
      <c r="A164" s="2236" t="s">
        <v>2543</v>
      </c>
      <c r="B164" s="2136">
        <f t="shared" ca="1" si="27"/>
        <v>1.093744728068953E-3</v>
      </c>
      <c r="C164" s="2136">
        <f t="shared" ca="1" si="27"/>
        <v>1.093744728068953E-3</v>
      </c>
      <c r="D164" s="2136">
        <f t="shared" ca="1" si="27"/>
        <v>1.093744728068953E-3</v>
      </c>
      <c r="E164" s="2136">
        <f t="shared" ca="1" si="27"/>
        <v>2.0721677399954076E-3</v>
      </c>
      <c r="F164" s="2136">
        <f t="shared" ca="1" si="27"/>
        <v>2.0721677399954076E-3</v>
      </c>
      <c r="G164" s="2136">
        <f t="shared" ca="1" si="27"/>
        <v>9.9021350592414068E-4</v>
      </c>
      <c r="H164" s="2136">
        <f t="shared" si="27"/>
        <v>2.429904100891949E-3</v>
      </c>
      <c r="I164" s="2136">
        <f t="shared" ca="1" si="27"/>
        <v>1.0937447280689532E-3</v>
      </c>
      <c r="J164" s="2136">
        <f t="shared" ca="1" si="27"/>
        <v>1.0937447280689532E-3</v>
      </c>
      <c r="K164" s="2136">
        <f t="shared" ca="1" si="27"/>
        <v>8.4828626627595123E-4</v>
      </c>
      <c r="L164" s="2136">
        <f t="shared" ca="1" si="27"/>
        <v>1.0937447280689532E-3</v>
      </c>
      <c r="M164" s="2136">
        <f t="shared" ca="1" si="27"/>
        <v>1.0937447280689532E-3</v>
      </c>
      <c r="N164" s="2136">
        <f t="shared" ca="1" si="27"/>
        <v>8.4828626627595123E-4</v>
      </c>
      <c r="O164" s="2136">
        <f t="shared" ca="1" si="27"/>
        <v>7.4806339553952191E-4</v>
      </c>
      <c r="P164" s="2136">
        <f t="shared" ca="1" si="27"/>
        <v>7.4806339553952191E-4</v>
      </c>
      <c r="Q164" s="2136">
        <f t="shared" si="27"/>
        <v>2.2439744452023122E-3</v>
      </c>
      <c r="R164" s="2136">
        <f t="shared" si="28"/>
        <v>5.4325167733162299E-4</v>
      </c>
      <c r="S164" s="2136">
        <f t="shared" si="28"/>
        <v>4.3645225101301525E-3</v>
      </c>
      <c r="T164" s="2136">
        <f t="shared" si="28"/>
        <v>2.7699633803385765E-3</v>
      </c>
      <c r="U164" s="2136">
        <f t="shared" si="28"/>
        <v>6.7313273798485923E-3</v>
      </c>
      <c r="V164" s="2136">
        <f t="shared" si="28"/>
        <v>2.6423323471910804E-3</v>
      </c>
      <c r="W164" s="2136">
        <f t="shared" si="28"/>
        <v>2.6165489630867408E-3</v>
      </c>
      <c r="X164" s="2136">
        <f t="shared" si="28"/>
        <v>2.0392962414037792E-3</v>
      </c>
      <c r="Y164" s="2136">
        <f t="shared" si="28"/>
        <v>2.0820570891368663E-3</v>
      </c>
      <c r="Z164" s="2136">
        <f t="shared" si="28"/>
        <v>2.7625216863687426E-3</v>
      </c>
      <c r="AA164" s="2136">
        <f t="shared" si="28"/>
        <v>7.9109813273928603E-3</v>
      </c>
      <c r="AB164" s="2136">
        <f t="shared" si="28"/>
        <v>4.9856753146179213E-3</v>
      </c>
      <c r="AC164" s="2136">
        <f t="shared" si="28"/>
        <v>3.5851157622508699E-3</v>
      </c>
      <c r="AD164" s="2136">
        <f t="shared" si="28"/>
        <v>2.6165489630867399E-3</v>
      </c>
      <c r="AE164" s="2136">
        <f t="shared" si="28"/>
        <v>4.9856753146179213E-3</v>
      </c>
      <c r="AF164" s="2136">
        <f ca="1">Steel!H132</f>
        <v>2.1874894561379059</v>
      </c>
      <c r="AG164" s="2136">
        <f ca="1">Steel!H132</f>
        <v>2.1874894561379059</v>
      </c>
      <c r="AH164" s="2136">
        <f ca="1">Steel!H132</f>
        <v>2.1874894561379059</v>
      </c>
      <c r="AI164" s="2136">
        <f ca="1">Steel!$D$140*Steel!C166+Steel!D166</f>
        <v>4.144335479990815</v>
      </c>
      <c r="AJ164" s="2136">
        <f ca="1">Steel!$D$208*Steel!C234+Steel!D234</f>
        <v>4.144335479990815</v>
      </c>
      <c r="AK164" s="2136">
        <f ca="1">'C.Iron'!C86+'C.Iron'!E86</f>
        <v>1.9804270118482812</v>
      </c>
      <c r="AL164" s="2136">
        <f>'C.Iron'!D86+'C.Iron'!E86</f>
        <v>4.8598082017838982</v>
      </c>
      <c r="AM164" s="2136">
        <f ca="1">W.Al!$I$122*W.Al!I152</f>
        <v>2.1874894561379064</v>
      </c>
      <c r="AN164" s="2136">
        <f ca="1">W.Al!$I$123*W.Al!I152</f>
        <v>2.1874894561379064</v>
      </c>
      <c r="AO164" s="2136">
        <f ca="1">W.Al!$J$124*W.Al!J152</f>
        <v>1.6965725325519025</v>
      </c>
      <c r="AP164" s="2136">
        <f ca="1">W.Al!$F$160*W.Al!F190</f>
        <v>2.1874894561379064</v>
      </c>
      <c r="AQ164" s="2136">
        <f ca="1">W.Al!$F$161*W.Al!F190</f>
        <v>2.1874894561379064</v>
      </c>
      <c r="AR164" s="2136">
        <f ca="1">W.Al!$G$162*W.Al!G190</f>
        <v>1.6965725325519025</v>
      </c>
      <c r="AS164" s="2136">
        <f ca="1">'C.Al'!$G$113*'C.Al'!G141+'C.Al'!$H$113*'C.Al'!H141</f>
        <v>1.4961267910790439</v>
      </c>
      <c r="AT164" s="2136">
        <f ca="1">'C.Al'!$D$149*'C.Al'!D177+'C.Al'!$E$149*'C.Al'!E177</f>
        <v>1.4961267910790439</v>
      </c>
      <c r="AU164" s="2136">
        <f>Copper!D87</f>
        <v>4.4879488904046241</v>
      </c>
      <c r="AV164" s="2136">
        <f>Glass!B95</f>
        <v>1.0865033546632459</v>
      </c>
      <c r="AW164" s="2136">
        <f>Vehi_Plastics!B$19*Vehi_Plastics!X129</f>
        <v>8.7290450202603047</v>
      </c>
      <c r="AX164" s="2136">
        <f>Vehi_Plastics!C$19*Vehi_Plastics!AA129</f>
        <v>5.5399267606771527</v>
      </c>
      <c r="AY164" s="2136">
        <f>Vehi_Plastics!D$19*Vehi_Plastics!AB129</f>
        <v>13.462654759697184</v>
      </c>
      <c r="AZ164" s="2136">
        <f>Vehi_Plastics!E$19*Vehi_Plastics!AC129</f>
        <v>5.2846646943821609</v>
      </c>
      <c r="BA164" s="2136">
        <f>Vehi_Plastics!F$19*Vehi_Plastics!AD129</f>
        <v>5.2330979261734818</v>
      </c>
      <c r="BB164" s="2136">
        <f>Vehi_Plastics!G$19*Vehi_Plastics!AE129</f>
        <v>4.0785924828075588</v>
      </c>
      <c r="BC164" s="2136">
        <f>Vehi_Plastics!H$19*Vehi_Plastics!AF129</f>
        <v>4.1641141782737323</v>
      </c>
      <c r="BD164" s="2136">
        <f>Vehi_Plastics!I$19*Vehi_Plastics!AG129</f>
        <v>5.5250433727374855</v>
      </c>
      <c r="BE164" s="2136">
        <f>Vehi_Plastics!J$19*Vehi_Plastics!AH129</f>
        <v>15.821962654785722</v>
      </c>
      <c r="BF164" s="2136">
        <f>Vehi_Plastics!K$19*Vehi_Plastics!AI129</f>
        <v>9.9713506292358431</v>
      </c>
      <c r="BG164" s="2136">
        <f>Vehi_Plastics!L$19*Vehi_Plastics!AJ129</f>
        <v>7.1702315245017401</v>
      </c>
      <c r="BH164" s="2136">
        <f>Rubber!$A$6*Rubber!C89</f>
        <v>5.23309792617348</v>
      </c>
      <c r="BI164" s="2185">
        <f>Rubber!$B$6*Rubber!D89</f>
        <v>9.9713506292358431</v>
      </c>
    </row>
    <row r="165" spans="1:61" s="2136" customFormat="1" ht="15.75">
      <c r="A165" s="2236" t="s">
        <v>2544</v>
      </c>
      <c r="B165" s="2136">
        <f t="shared" ca="1" si="27"/>
        <v>9.6176260021297276E-4</v>
      </c>
      <c r="C165" s="2136">
        <f t="shared" ca="1" si="27"/>
        <v>9.6176260021297276E-4</v>
      </c>
      <c r="D165" s="2136">
        <f t="shared" ca="1" si="27"/>
        <v>9.6176260021297276E-4</v>
      </c>
      <c r="E165" s="2136">
        <f t="shared" ca="1" si="27"/>
        <v>1.8228179062709374E-3</v>
      </c>
      <c r="F165" s="2136">
        <f t="shared" ca="1" si="27"/>
        <v>1.8228179062709374E-3</v>
      </c>
      <c r="G165" s="2136">
        <f t="shared" ca="1" si="27"/>
        <v>8.7300484224612585E-4</v>
      </c>
      <c r="H165" s="2136">
        <f t="shared" si="27"/>
        <v>2.1472524289123385E-3</v>
      </c>
      <c r="I165" s="2136">
        <f t="shared" ca="1" si="27"/>
        <v>9.6176260021297298E-4</v>
      </c>
      <c r="J165" s="2136">
        <f t="shared" ca="1" si="27"/>
        <v>9.6176260021297298E-4</v>
      </c>
      <c r="K165" s="2136">
        <f t="shared" ca="1" si="27"/>
        <v>7.4765277137568492E-4</v>
      </c>
      <c r="L165" s="2136">
        <f t="shared" ca="1" si="27"/>
        <v>9.6176260021297298E-4</v>
      </c>
      <c r="M165" s="2136">
        <f t="shared" ca="1" si="27"/>
        <v>9.6176260021297298E-4</v>
      </c>
      <c r="N165" s="2136">
        <f t="shared" ca="1" si="27"/>
        <v>7.4765277137568492E-4</v>
      </c>
      <c r="O165" s="2136">
        <f t="shared" ca="1" si="27"/>
        <v>6.6050848483842177E-4</v>
      </c>
      <c r="P165" s="2136">
        <f t="shared" ca="1" si="27"/>
        <v>6.6050848483842177E-4</v>
      </c>
      <c r="Q165" s="2136">
        <f t="shared" si="27"/>
        <v>1.9735585724054276E-3</v>
      </c>
      <c r="R165" s="2136">
        <f t="shared" si="28"/>
        <v>4.7746780270721187E-4</v>
      </c>
      <c r="S165" s="2136">
        <f t="shared" si="28"/>
        <v>3.8378557722896704E-3</v>
      </c>
      <c r="T165" s="2136">
        <f t="shared" si="28"/>
        <v>2.43855903776336E-3</v>
      </c>
      <c r="U165" s="2136">
        <f t="shared" si="28"/>
        <v>5.9189934486524563E-3</v>
      </c>
      <c r="V165" s="2136">
        <f t="shared" si="28"/>
        <v>2.3234822199765886E-3</v>
      </c>
      <c r="W165" s="2136">
        <f t="shared" si="28"/>
        <v>2.3021838207469567E-3</v>
      </c>
      <c r="X165" s="2136">
        <f t="shared" si="28"/>
        <v>1.7932144543451405E-3</v>
      </c>
      <c r="Y165" s="2136">
        <f t="shared" si="28"/>
        <v>1.8308153524776445E-3</v>
      </c>
      <c r="Z165" s="2136">
        <f t="shared" si="28"/>
        <v>2.4291683169230609E-3</v>
      </c>
      <c r="AA165" s="2136">
        <f t="shared" si="28"/>
        <v>6.9563635612696385E-3</v>
      </c>
      <c r="AB165" s="2136">
        <f t="shared" si="28"/>
        <v>4.3840540953924223E-3</v>
      </c>
      <c r="AC165" s="2136">
        <f t="shared" si="28"/>
        <v>3.1525000021298726E-3</v>
      </c>
      <c r="AD165" s="2136">
        <f t="shared" si="28"/>
        <v>2.3021838207469563E-3</v>
      </c>
      <c r="AE165" s="2136">
        <f t="shared" si="28"/>
        <v>4.3840540953924223E-3</v>
      </c>
      <c r="AF165" s="2136">
        <f ca="1">Steel!H133</f>
        <v>1.9235252004259455</v>
      </c>
      <c r="AG165" s="2136">
        <f ca="1">Steel!H133</f>
        <v>1.9235252004259455</v>
      </c>
      <c r="AH165" s="2136">
        <f ca="1">Steel!H133</f>
        <v>1.9235252004259455</v>
      </c>
      <c r="AI165" s="2136">
        <f ca="1">Steel!$D$140*Steel!C167+Steel!D167</f>
        <v>3.6456358125418751</v>
      </c>
      <c r="AJ165" s="2136">
        <f ca="1">Steel!$D$208*Steel!C235+Steel!D235</f>
        <v>3.6456358125418751</v>
      </c>
      <c r="AK165" s="2136">
        <f ca="1">'C.Iron'!C87+'C.Iron'!E87</f>
        <v>1.7460096844922517</v>
      </c>
      <c r="AL165" s="2136">
        <f>'C.Iron'!D87+'C.Iron'!E87</f>
        <v>4.2945048578246769</v>
      </c>
      <c r="AM165" s="2136">
        <f ca="1">W.Al!$I$122*W.Al!I153</f>
        <v>1.923525200425946</v>
      </c>
      <c r="AN165" s="2136">
        <f ca="1">W.Al!$I$123*W.Al!I153</f>
        <v>1.923525200425946</v>
      </c>
      <c r="AO165" s="2136">
        <f ca="1">W.Al!$J$124*W.Al!J153</f>
        <v>1.4953055427513697</v>
      </c>
      <c r="AP165" s="2136">
        <f ca="1">W.Al!$F$160*W.Al!F191</f>
        <v>1.923525200425946</v>
      </c>
      <c r="AQ165" s="2136">
        <f ca="1">W.Al!$F$161*W.Al!F191</f>
        <v>1.923525200425946</v>
      </c>
      <c r="AR165" s="2136">
        <f ca="1">W.Al!$G$162*W.Al!G191</f>
        <v>1.4953055427513697</v>
      </c>
      <c r="AS165" s="2136">
        <f ca="1">'C.Al'!$G$113*'C.Al'!G142+'C.Al'!$H$113*'C.Al'!H142</f>
        <v>1.3210169696768435</v>
      </c>
      <c r="AT165" s="2136">
        <f ca="1">'C.Al'!$D$149*'C.Al'!D178+'C.Al'!$E$149*'C.Al'!E178</f>
        <v>1.3210169696768435</v>
      </c>
      <c r="AU165" s="2136">
        <f>Copper!D88</f>
        <v>3.9471171448108548</v>
      </c>
      <c r="AV165" s="2136">
        <f>Glass!B96</f>
        <v>0.95493560541442379</v>
      </c>
      <c r="AW165" s="2136">
        <f>Vehi_Plastics!B$19*Vehi_Plastics!X130</f>
        <v>7.6757115445793405</v>
      </c>
      <c r="AX165" s="2136">
        <f>Vehi_Plastics!C$19*Vehi_Plastics!AA130</f>
        <v>4.8771180755267203</v>
      </c>
      <c r="AY165" s="2136">
        <f>Vehi_Plastics!D$19*Vehi_Plastics!AB130</f>
        <v>11.837986897304912</v>
      </c>
      <c r="AZ165" s="2136">
        <f>Vehi_Plastics!E$19*Vehi_Plastics!AC130</f>
        <v>4.6469644399531775</v>
      </c>
      <c r="BA165" s="2136">
        <f>Vehi_Plastics!F$19*Vehi_Plastics!AD130</f>
        <v>4.604367641493913</v>
      </c>
      <c r="BB165" s="2136">
        <f>Vehi_Plastics!G$19*Vehi_Plastics!AE130</f>
        <v>3.586428908690281</v>
      </c>
      <c r="BC165" s="2136">
        <f>Vehi_Plastics!H$19*Vehi_Plastics!AF130</f>
        <v>3.661630704955289</v>
      </c>
      <c r="BD165" s="2136">
        <f>Vehi_Plastics!I$19*Vehi_Plastics!AG130</f>
        <v>4.8583366338461218</v>
      </c>
      <c r="BE165" s="2136">
        <f>Vehi_Plastics!J$19*Vehi_Plastics!AH130</f>
        <v>13.912727122539277</v>
      </c>
      <c r="BF165" s="2136">
        <f>Vehi_Plastics!K$19*Vehi_Plastics!AI130</f>
        <v>8.7681081907848455</v>
      </c>
      <c r="BG165" s="2136">
        <f>Vehi_Plastics!L$19*Vehi_Plastics!AJ130</f>
        <v>6.3050000042597452</v>
      </c>
      <c r="BH165" s="2136">
        <f>Rubber!$A$6*Rubber!C90</f>
        <v>4.6043676414939121</v>
      </c>
      <c r="BI165" s="2185">
        <f>Rubber!$B$6*Rubber!D90</f>
        <v>8.7681081907848455</v>
      </c>
    </row>
    <row r="166" spans="1:61" s="2136" customFormat="1" ht="15.75">
      <c r="A166" s="2236" t="s">
        <v>2545</v>
      </c>
      <c r="B166" s="2136">
        <f t="shared" ca="1" si="27"/>
        <v>8.139640336532819E-3</v>
      </c>
      <c r="C166" s="2136">
        <f t="shared" ca="1" si="27"/>
        <v>8.139640336532819E-3</v>
      </c>
      <c r="D166" s="2136">
        <f t="shared" ca="1" si="27"/>
        <v>8.139640336532819E-3</v>
      </c>
      <c r="E166" s="2136">
        <f t="shared" ca="1" si="27"/>
        <v>1.5462365129438606E-2</v>
      </c>
      <c r="F166" s="2136">
        <f t="shared" ca="1" si="27"/>
        <v>1.5462365129438606E-2</v>
      </c>
      <c r="G166" s="2136">
        <f t="shared" ca="1" si="27"/>
        <v>6.6798122773228585E-3</v>
      </c>
      <c r="H166" s="2136">
        <f t="shared" si="27"/>
        <v>1.8708056114921975E-2</v>
      </c>
      <c r="I166" s="2136">
        <f t="shared" ca="1" si="27"/>
        <v>8.1396403365328208E-3</v>
      </c>
      <c r="J166" s="2136">
        <f t="shared" ca="1" si="27"/>
        <v>8.1396403365328208E-3</v>
      </c>
      <c r="K166" s="2136">
        <f t="shared" ca="1" si="27"/>
        <v>6.4120378155101262E-3</v>
      </c>
      <c r="L166" s="2136">
        <f t="shared" ca="1" si="27"/>
        <v>8.1396403365328208E-3</v>
      </c>
      <c r="M166" s="2136">
        <f t="shared" ca="1" si="27"/>
        <v>8.1396403365328208E-3</v>
      </c>
      <c r="N166" s="2136">
        <f t="shared" ca="1" si="27"/>
        <v>6.4120378155101262E-3</v>
      </c>
      <c r="O166" s="2136">
        <f t="shared" ca="1" si="27"/>
        <v>5.7275619637872548E-3</v>
      </c>
      <c r="P166" s="2136">
        <f t="shared" ca="1" si="27"/>
        <v>5.7275619637872548E-3</v>
      </c>
      <c r="Q166" s="2136">
        <f t="shared" si="27"/>
        <v>1.58185187417757E-2</v>
      </c>
      <c r="R166" s="2136">
        <f t="shared" si="28"/>
        <v>3.7764633317638407E-3</v>
      </c>
      <c r="S166" s="2136">
        <f t="shared" si="28"/>
        <v>3.2480744877173222E-2</v>
      </c>
      <c r="T166" s="2136">
        <f t="shared" si="28"/>
        <v>1.6528789311366362E-2</v>
      </c>
      <c r="U166" s="2136">
        <f t="shared" si="28"/>
        <v>5.0076337822765535E-2</v>
      </c>
      <c r="V166" s="2136">
        <f t="shared" si="28"/>
        <v>1.9664218170627891E-2</v>
      </c>
      <c r="W166" s="2136">
        <f t="shared" si="28"/>
        <v>1.9553569995038281E-2</v>
      </c>
      <c r="X166" s="2136">
        <f t="shared" si="28"/>
        <v>1.5176427843429584E-2</v>
      </c>
      <c r="Y166" s="2136">
        <f t="shared" si="28"/>
        <v>1.5494653762238882E-2</v>
      </c>
      <c r="Z166" s="2136">
        <f t="shared" si="28"/>
        <v>2.055866636140358E-2</v>
      </c>
      <c r="AA166" s="2136">
        <f t="shared" si="28"/>
        <v>5.8873465683068768E-2</v>
      </c>
      <c r="AB166" s="2136">
        <f t="shared" si="28"/>
        <v>3.7103359544752579E-2</v>
      </c>
      <c r="AC166" s="2136">
        <f t="shared" si="28"/>
        <v>2.668040551023081E-2</v>
      </c>
      <c r="AD166" s="2136">
        <f t="shared" si="28"/>
        <v>1.9553569995038277E-2</v>
      </c>
      <c r="AE166" s="2136">
        <f t="shared" si="28"/>
        <v>3.7103359544752579E-2</v>
      </c>
      <c r="AF166" s="2136">
        <f ca="1">Steel!H134</f>
        <v>16.279280673065639</v>
      </c>
      <c r="AG166" s="2136">
        <f ca="1">Steel!H134</f>
        <v>16.279280673065639</v>
      </c>
      <c r="AH166" s="2136">
        <f ca="1">Steel!H134</f>
        <v>16.279280673065639</v>
      </c>
      <c r="AI166" s="2136">
        <f ca="1">Steel!$D$140*Steel!C168+Steel!D168</f>
        <v>30.924730258877211</v>
      </c>
      <c r="AJ166" s="2136">
        <f ca="1">Steel!$D$208*Steel!C236+Steel!D236</f>
        <v>30.924730258877211</v>
      </c>
      <c r="AK166" s="2136">
        <f ca="1">'C.Iron'!C88+'C.Iron'!E88</f>
        <v>13.359624554645716</v>
      </c>
      <c r="AL166" s="2136">
        <f>'C.Iron'!D88+'C.Iron'!E88</f>
        <v>37.416112229843954</v>
      </c>
      <c r="AM166" s="2136">
        <f ca="1">W.Al!$I$122*W.Al!I154</f>
        <v>16.279280673065642</v>
      </c>
      <c r="AN166" s="2136">
        <f ca="1">W.Al!$I$123*W.Al!I154</f>
        <v>16.279280673065642</v>
      </c>
      <c r="AO166" s="2136">
        <f ca="1">W.Al!$J$124*W.Al!J154</f>
        <v>12.824075631020252</v>
      </c>
      <c r="AP166" s="2136">
        <f ca="1">W.Al!$F$160*W.Al!F192</f>
        <v>16.279280673065642</v>
      </c>
      <c r="AQ166" s="2136">
        <f ca="1">W.Al!$F$161*W.Al!F192</f>
        <v>16.279280673065642</v>
      </c>
      <c r="AR166" s="2136">
        <f ca="1">W.Al!$G$162*W.Al!G192</f>
        <v>12.824075631020252</v>
      </c>
      <c r="AS166" s="2136">
        <f ca="1">'C.Al'!$G$113*'C.Al'!G143+'C.Al'!$H$113*'C.Al'!H143</f>
        <v>11.45512392757451</v>
      </c>
      <c r="AT166" s="2136">
        <f ca="1">'C.Al'!$D$149*'C.Al'!D179+'C.Al'!$E$149*'C.Al'!E179</f>
        <v>11.45512392757451</v>
      </c>
      <c r="AU166" s="2136">
        <f>Copper!D89</f>
        <v>31.637037483551403</v>
      </c>
      <c r="AV166" s="2136">
        <f>Glass!B97</f>
        <v>7.5529266635276811</v>
      </c>
      <c r="AW166" s="2136">
        <f>Vehi_Plastics!B$19*Vehi_Plastics!X131</f>
        <v>64.961489754346445</v>
      </c>
      <c r="AX166" s="2136">
        <f>Vehi_Plastics!C$19*Vehi_Plastics!AA131</f>
        <v>33.057578622732727</v>
      </c>
      <c r="AY166" s="2136">
        <f>Vehi_Plastics!D$19*Vehi_Plastics!AB131</f>
        <v>100.15267564553108</v>
      </c>
      <c r="AZ166" s="2136">
        <f>Vehi_Plastics!E$19*Vehi_Plastics!AC131</f>
        <v>39.328436341255781</v>
      </c>
      <c r="BA166" s="2136">
        <f>Vehi_Plastics!F$19*Vehi_Plastics!AD131</f>
        <v>39.107139990076561</v>
      </c>
      <c r="BB166" s="2136">
        <f>Vehi_Plastics!G$19*Vehi_Plastics!AE131</f>
        <v>30.352855686859169</v>
      </c>
      <c r="BC166" s="2136">
        <f>Vehi_Plastics!H$19*Vehi_Plastics!AF131</f>
        <v>30.989307524477763</v>
      </c>
      <c r="BD166" s="2136">
        <f>Vehi_Plastics!I$19*Vehi_Plastics!AG131</f>
        <v>41.117332722807163</v>
      </c>
      <c r="BE166" s="2136">
        <f>Vehi_Plastics!J$19*Vehi_Plastics!AH131</f>
        <v>117.74693136613753</v>
      </c>
      <c r="BF166" s="2136">
        <f>Vehi_Plastics!K$19*Vehi_Plastics!AI131</f>
        <v>74.206719089505157</v>
      </c>
      <c r="BG166" s="2136">
        <f>Vehi_Plastics!L$19*Vehi_Plastics!AJ131</f>
        <v>53.360811020461618</v>
      </c>
      <c r="BH166" s="2136">
        <f>Rubber!$A$6*Rubber!C91</f>
        <v>39.107139990076554</v>
      </c>
      <c r="BI166" s="2185">
        <f>Rubber!$B$6*Rubber!D91</f>
        <v>74.206719089505157</v>
      </c>
    </row>
    <row r="167" spans="1:61" s="2136" customFormat="1">
      <c r="A167" s="2236" t="s">
        <v>827</v>
      </c>
      <c r="B167" s="2136">
        <f t="shared" ca="1" si="27"/>
        <v>4.95653210099539E-5</v>
      </c>
      <c r="C167" s="2136">
        <f t="shared" ca="1" si="27"/>
        <v>4.95653210099539E-5</v>
      </c>
      <c r="D167" s="2136">
        <f t="shared" ca="1" si="27"/>
        <v>4.95653210099539E-5</v>
      </c>
      <c r="E167" s="2136">
        <f t="shared" ca="1" si="27"/>
        <v>9.5621225272076951E-5</v>
      </c>
      <c r="F167" s="2136">
        <f t="shared" ca="1" si="27"/>
        <v>9.5621225272076951E-5</v>
      </c>
      <c r="G167" s="2136">
        <f t="shared" ca="1" si="27"/>
        <v>5.1041423239821792E-5</v>
      </c>
      <c r="H167" s="2136">
        <f t="shared" si="27"/>
        <v>1.3607792610954614E-4</v>
      </c>
      <c r="I167" s="2136">
        <f t="shared" ca="1" si="27"/>
        <v>4.9565321009953913E-5</v>
      </c>
      <c r="J167" s="2136">
        <f t="shared" ca="1" si="27"/>
        <v>4.9565321009953913E-5</v>
      </c>
      <c r="K167" s="2136">
        <f t="shared" ca="1" si="27"/>
        <v>4.2716860960673803E-5</v>
      </c>
      <c r="L167" s="2136">
        <f t="shared" ca="1" si="27"/>
        <v>4.9565321009953913E-5</v>
      </c>
      <c r="M167" s="2136">
        <f t="shared" ca="1" si="27"/>
        <v>4.9565321009953913E-5</v>
      </c>
      <c r="N167" s="2136">
        <f t="shared" ca="1" si="27"/>
        <v>4.2716860960673803E-5</v>
      </c>
      <c r="O167" s="2136">
        <f t="shared" ca="1" si="27"/>
        <v>4.0569092212745473E-5</v>
      </c>
      <c r="P167" s="2136">
        <f t="shared" ca="1" si="27"/>
        <v>4.0569092212745473E-5</v>
      </c>
      <c r="Q167" s="2136">
        <f t="shared" si="27"/>
        <v>1.1006073191033915E-4</v>
      </c>
      <c r="R167" s="2136">
        <f t="shared" si="28"/>
        <v>2.7401272270988606E-5</v>
      </c>
      <c r="S167" s="2136">
        <f t="shared" si="28"/>
        <v>1.9778743039219733E-4</v>
      </c>
      <c r="T167" s="2136">
        <f t="shared" si="28"/>
        <v>1.6776603333168742E-4</v>
      </c>
      <c r="U167" s="2136">
        <f t="shared" si="28"/>
        <v>3.0519671392279256E-4</v>
      </c>
      <c r="V167" s="2136">
        <f t="shared" si="28"/>
        <v>1.1974279522676178E-4</v>
      </c>
      <c r="W167" s="2136">
        <f t="shared" si="28"/>
        <v>1.2195010341316048E-4</v>
      </c>
      <c r="X167" s="2136">
        <f t="shared" si="28"/>
        <v>9.2414957755296729E-5</v>
      </c>
      <c r="Y167" s="2136">
        <f t="shared" si="28"/>
        <v>9.4352754656306853E-5</v>
      </c>
      <c r="Z167" s="2136">
        <f t="shared" si="28"/>
        <v>1.2518942552854415E-4</v>
      </c>
      <c r="AA167" s="2136">
        <f t="shared" si="28"/>
        <v>3.5850260022579844E-4</v>
      </c>
      <c r="AB167" s="2136">
        <f t="shared" si="28"/>
        <v>2.2593626380877174E-4</v>
      </c>
      <c r="AC167" s="2136">
        <f t="shared" si="28"/>
        <v>1.6246698983184255E-4</v>
      </c>
      <c r="AD167" s="2136">
        <f t="shared" si="28"/>
        <v>1.2195010341316045E-4</v>
      </c>
      <c r="AE167" s="2136">
        <f t="shared" si="28"/>
        <v>2.2593626380877174E-4</v>
      </c>
      <c r="AF167" s="2136">
        <f ca="1">Steel!H135</f>
        <v>9.9130642019907803E-2</v>
      </c>
      <c r="AG167" s="2136">
        <f ca="1">Steel!H135</f>
        <v>9.9130642019907803E-2</v>
      </c>
      <c r="AH167" s="2136">
        <f ca="1">Steel!H135</f>
        <v>9.9130642019907803E-2</v>
      </c>
      <c r="AI167" s="2136">
        <f ca="1">Steel!$D$140*Steel!C169+Steel!D169</f>
        <v>0.1912424505441539</v>
      </c>
      <c r="AJ167" s="2136">
        <f ca="1">Steel!$D$208*Steel!C237+Steel!D237</f>
        <v>0.1912424505441539</v>
      </c>
      <c r="AK167" s="2136">
        <f ca="1">'C.Iron'!C89+'C.Iron'!E89</f>
        <v>0.10208284647964358</v>
      </c>
      <c r="AL167" s="2136">
        <f>'C.Iron'!D89+'C.Iron'!E89</f>
        <v>0.27215585221909228</v>
      </c>
      <c r="AM167" s="2136">
        <f ca="1">W.Al!$I$122*W.Al!I155</f>
        <v>9.913064201990783E-2</v>
      </c>
      <c r="AN167" s="2136">
        <f ca="1">W.Al!$I$123*W.Al!I155</f>
        <v>9.913064201990783E-2</v>
      </c>
      <c r="AO167" s="2136">
        <f ca="1">W.Al!$J$124*W.Al!J155</f>
        <v>8.54337219213476E-2</v>
      </c>
      <c r="AP167" s="2136">
        <f ca="1">W.Al!$F$160*W.Al!F193</f>
        <v>9.913064201990783E-2</v>
      </c>
      <c r="AQ167" s="2136">
        <f ca="1">W.Al!$F$161*W.Al!F193</f>
        <v>9.913064201990783E-2</v>
      </c>
      <c r="AR167" s="2136">
        <f ca="1">W.Al!$G$162*W.Al!G193</f>
        <v>8.54337219213476E-2</v>
      </c>
      <c r="AS167" s="2136">
        <f ca="1">'C.Al'!$G$113*'C.Al'!G144+'C.Al'!$H$113*'C.Al'!H144</f>
        <v>8.113818442549095E-2</v>
      </c>
      <c r="AT167" s="2136">
        <f ca="1">'C.Al'!$D$149*'C.Al'!D180+'C.Al'!$E$149*'C.Al'!E180</f>
        <v>8.113818442549095E-2</v>
      </c>
      <c r="AU167" s="2136">
        <f>Copper!D90</f>
        <v>0.22012146382067829</v>
      </c>
      <c r="AV167" s="2136">
        <f>Glass!B98</f>
        <v>5.4802544541977215E-2</v>
      </c>
      <c r="AW167" s="2136">
        <f>Vehi_Plastics!B$19*Vehi_Plastics!X132</f>
        <v>0.39557486078439463</v>
      </c>
      <c r="AX167" s="2136">
        <f>Vehi_Plastics!C$19*Vehi_Plastics!AA132</f>
        <v>0.33553206666337482</v>
      </c>
      <c r="AY167" s="2136">
        <f>Vehi_Plastics!D$19*Vehi_Plastics!AB132</f>
        <v>0.61039342784558515</v>
      </c>
      <c r="AZ167" s="2136">
        <f>Vehi_Plastics!E$19*Vehi_Plastics!AC132</f>
        <v>0.23948559045352355</v>
      </c>
      <c r="BA167" s="2136">
        <f>Vehi_Plastics!F$19*Vehi_Plastics!AD132</f>
        <v>0.24390020682632096</v>
      </c>
      <c r="BB167" s="2136">
        <f>Vehi_Plastics!G$19*Vehi_Plastics!AE132</f>
        <v>0.18482991551059347</v>
      </c>
      <c r="BC167" s="2136">
        <f>Vehi_Plastics!H$19*Vehi_Plastics!AF132</f>
        <v>0.18870550931261371</v>
      </c>
      <c r="BD167" s="2136">
        <f>Vehi_Plastics!I$19*Vehi_Plastics!AG132</f>
        <v>0.25037885105708829</v>
      </c>
      <c r="BE167" s="2136">
        <f>Vehi_Plastics!J$19*Vehi_Plastics!AH132</f>
        <v>0.71700520045159688</v>
      </c>
      <c r="BF167" s="2136">
        <f>Vehi_Plastics!K$19*Vehi_Plastics!AI132</f>
        <v>0.45187252761754348</v>
      </c>
      <c r="BG167" s="2136">
        <f>Vehi_Plastics!L$19*Vehi_Plastics!AJ132</f>
        <v>0.32493397966368509</v>
      </c>
      <c r="BH167" s="2136">
        <f>Rubber!$A$6*Rubber!C92</f>
        <v>0.24390020682632091</v>
      </c>
      <c r="BI167" s="2185">
        <f>Rubber!$B$6*Rubber!D92</f>
        <v>0.45187252761754348</v>
      </c>
    </row>
    <row r="168" spans="1:61" s="2136" customFormat="1">
      <c r="A168" s="2238" t="s">
        <v>828</v>
      </c>
      <c r="B168" s="2242">
        <f t="shared" ca="1" si="27"/>
        <v>2.7506861479856709E-4</v>
      </c>
      <c r="C168" s="2242">
        <f t="shared" ca="1" si="27"/>
        <v>2.7506861479856709E-4</v>
      </c>
      <c r="D168" s="2242">
        <f t="shared" ca="1" si="27"/>
        <v>2.7506861479856709E-4</v>
      </c>
      <c r="E168" s="2242">
        <f t="shared" ca="1" si="27"/>
        <v>5.221704238803094E-4</v>
      </c>
      <c r="F168" s="2242">
        <f t="shared" ca="1" si="27"/>
        <v>5.221704238803094E-4</v>
      </c>
      <c r="G168" s="2242">
        <f t="shared" ca="1" si="27"/>
        <v>2.6832366992326671E-4</v>
      </c>
      <c r="H168" s="2242">
        <f t="shared" si="27"/>
        <v>6.2676696854419478E-4</v>
      </c>
      <c r="I168" s="2242">
        <f t="shared" ca="1" si="27"/>
        <v>2.750686147985672E-4</v>
      </c>
      <c r="J168" s="2242">
        <f t="shared" ca="1" si="27"/>
        <v>2.750686147985672E-4</v>
      </c>
      <c r="K168" s="2242">
        <f t="shared" ca="1" si="27"/>
        <v>2.1586656852007059E-4</v>
      </c>
      <c r="L168" s="2242">
        <f t="shared" ca="1" si="27"/>
        <v>2.750686147985672E-4</v>
      </c>
      <c r="M168" s="2242">
        <f t="shared" ca="1" si="27"/>
        <v>2.750686147985672E-4</v>
      </c>
      <c r="N168" s="2242">
        <f t="shared" ca="1" si="27"/>
        <v>2.1586656852007059E-4</v>
      </c>
      <c r="O168" s="2242">
        <f t="shared" ca="1" si="27"/>
        <v>1.9215617442217627E-4</v>
      </c>
      <c r="P168" s="2242">
        <f t="shared" ca="1" si="27"/>
        <v>1.9215617442217627E-4</v>
      </c>
      <c r="Q168" s="2242">
        <f t="shared" si="27"/>
        <v>5.4598587531439098E-4</v>
      </c>
      <c r="R168" s="2242">
        <f t="shared" si="28"/>
        <v>1.332978986546096E-4</v>
      </c>
      <c r="S168" s="2242">
        <f t="shared" si="28"/>
        <v>1.0976447522981618E-3</v>
      </c>
      <c r="T168" s="2242">
        <f t="shared" si="28"/>
        <v>6.1169222640634479E-4</v>
      </c>
      <c r="U168" s="2242">
        <f t="shared" si="28"/>
        <v>1.6923705850527731E-3</v>
      </c>
      <c r="V168" s="2242">
        <f t="shared" si="28"/>
        <v>6.6452681318293497E-4</v>
      </c>
      <c r="W168" s="2242">
        <f t="shared" si="28"/>
        <v>6.6007926679200043E-4</v>
      </c>
      <c r="X168" s="2242">
        <f t="shared" si="28"/>
        <v>5.1286774499679989E-4</v>
      </c>
      <c r="Y168" s="2242">
        <f t="shared" si="28"/>
        <v>5.2362177822932489E-4</v>
      </c>
      <c r="Z168" s="2242">
        <f t="shared" si="28"/>
        <v>6.9475353262918446E-4</v>
      </c>
      <c r="AA168" s="2242">
        <f t="shared" si="28"/>
        <v>1.9895526072753779E-3</v>
      </c>
      <c r="AB168" s="2242">
        <f t="shared" si="28"/>
        <v>1.2538600346432068E-3</v>
      </c>
      <c r="AC168" s="2242">
        <f t="shared" si="28"/>
        <v>9.0162978737821713E-4</v>
      </c>
      <c r="AD168" s="2242">
        <f t="shared" si="28"/>
        <v>6.6007926679200021E-4</v>
      </c>
      <c r="AE168" s="2242">
        <f t="shared" si="28"/>
        <v>1.2538600346432068E-3</v>
      </c>
      <c r="AF168" s="2242">
        <f ca="1">Steel!H136</f>
        <v>0.55013722959713418</v>
      </c>
      <c r="AG168" s="2242">
        <f ca="1">Steel!H136</f>
        <v>0.55013722959713418</v>
      </c>
      <c r="AH168" s="2242">
        <f ca="1">Steel!H136</f>
        <v>0.55013722959713418</v>
      </c>
      <c r="AI168" s="2242">
        <f ca="1">Steel!$D$140*Steel!C170+Steel!D170</f>
        <v>1.0443408477606189</v>
      </c>
      <c r="AJ168" s="2242">
        <f ca="1">Steel!$D$208*Steel!C238+Steel!D238</f>
        <v>1.0443408477606189</v>
      </c>
      <c r="AK168" s="2242">
        <f ca="1">'C.Iron'!C90+'C.Iron'!E90</f>
        <v>0.53664733984653346</v>
      </c>
      <c r="AL168" s="2242">
        <f>'C.Iron'!D90+'C.Iron'!E90</f>
        <v>1.2535339370883896</v>
      </c>
      <c r="AM168" s="2242">
        <f ca="1">W.Al!$I$122*W.Al!I156</f>
        <v>0.5501372295971344</v>
      </c>
      <c r="AN168" s="2242">
        <f ca="1">W.Al!$I$123*W.Al!I156</f>
        <v>0.5501372295971344</v>
      </c>
      <c r="AO168" s="2242">
        <f ca="1">W.Al!$J$124*W.Al!J156</f>
        <v>0.43173313704014116</v>
      </c>
      <c r="AP168" s="2242">
        <f ca="1">W.Al!$F$160*W.Al!F194</f>
        <v>0.5501372295971344</v>
      </c>
      <c r="AQ168" s="2242">
        <f ca="1">W.Al!$F$161*W.Al!F194</f>
        <v>0.5501372295971344</v>
      </c>
      <c r="AR168" s="2242">
        <f ca="1">W.Al!$G$162*W.Al!G194</f>
        <v>0.43173313704014116</v>
      </c>
      <c r="AS168" s="2242">
        <f ca="1">'C.Al'!$G$113*'C.Al'!G145+'C.Al'!$H$113*'C.Al'!H145</f>
        <v>0.38431234884435256</v>
      </c>
      <c r="AT168" s="2242">
        <f ca="1">'C.Al'!$D$149*'C.Al'!D181+'C.Al'!$E$149*'C.Al'!E181</f>
        <v>0.38431234884435256</v>
      </c>
      <c r="AU168" s="2242">
        <f>Copper!D91</f>
        <v>1.091971750628782</v>
      </c>
      <c r="AV168" s="2242">
        <f>Glass!B99</f>
        <v>0.26659579730921917</v>
      </c>
      <c r="AW168" s="2242">
        <f>Vehi_Plastics!B$19*Vehi_Plastics!X133</f>
        <v>2.1952895045963237</v>
      </c>
      <c r="AX168" s="2242">
        <f>Vehi_Plastics!C$19*Vehi_Plastics!AA133</f>
        <v>1.2233844528126896</v>
      </c>
      <c r="AY168" s="2242">
        <f>Vehi_Plastics!D$19*Vehi_Plastics!AB133</f>
        <v>3.3847411701055461</v>
      </c>
      <c r="AZ168" s="2242">
        <f>Vehi_Plastics!E$19*Vehi_Plastics!AC133</f>
        <v>1.3290536263658699</v>
      </c>
      <c r="BA168" s="2242">
        <f>Vehi_Plastics!F$19*Vehi_Plastics!AD133</f>
        <v>1.3201585335840009</v>
      </c>
      <c r="BB168" s="2242">
        <f>Vehi_Plastics!G$19*Vehi_Plastics!AE133</f>
        <v>1.0257354899935998</v>
      </c>
      <c r="BC168" s="2242">
        <f>Vehi_Plastics!H$19*Vehi_Plastics!AF133</f>
        <v>1.0472435564586497</v>
      </c>
      <c r="BD168" s="2242">
        <f>Vehi_Plastics!I$19*Vehi_Plastics!AG133</f>
        <v>1.389507065258369</v>
      </c>
      <c r="BE168" s="2242">
        <f>Vehi_Plastics!J$19*Vehi_Plastics!AH133</f>
        <v>3.9791052145507555</v>
      </c>
      <c r="BF168" s="2242">
        <f>Vehi_Plastics!K$19*Vehi_Plastics!AI133</f>
        <v>2.5077200692864134</v>
      </c>
      <c r="BG168" s="2242">
        <f>Vehi_Plastics!L$19*Vehi_Plastics!AJ133</f>
        <v>1.8032595747564342</v>
      </c>
      <c r="BH168" s="2242">
        <f>Rubber!$A$6*Rubber!C93</f>
        <v>1.3201585335840005</v>
      </c>
      <c r="BI168" s="2227">
        <f>Rubber!$B$6*Rubber!D93</f>
        <v>2.5077200692864134</v>
      </c>
    </row>
    <row r="169" spans="1:61" s="2136" customFormat="1"/>
    <row r="170" spans="1:61" s="2136" customFormat="1">
      <c r="A170" s="2243" t="s">
        <v>1500</v>
      </c>
      <c r="C170" s="2255"/>
      <c r="D170" s="2255"/>
      <c r="E170" s="2255"/>
      <c r="H170" s="2255"/>
    </row>
    <row r="171" spans="1:61" s="2136" customFormat="1">
      <c r="A171" s="2235"/>
      <c r="B171" s="2245" t="s">
        <v>203</v>
      </c>
      <c r="C171" s="2245" t="s">
        <v>194</v>
      </c>
      <c r="D171" s="2245" t="s">
        <v>167</v>
      </c>
      <c r="E171" s="2246" t="s">
        <v>198</v>
      </c>
      <c r="F171" s="2257"/>
      <c r="G171" s="2257"/>
      <c r="H171" s="2257"/>
      <c r="I171" s="2257"/>
      <c r="J171" s="2257"/>
      <c r="K171" s="2257"/>
    </row>
    <row r="172" spans="1:61" s="2136" customFormat="1">
      <c r="A172" s="2244" t="str">
        <f>Vehi_Comp_Sum!A148</f>
        <v>Vehicle Weight: lbs</v>
      </c>
      <c r="B172" s="2258">
        <f xml:space="preserve"> MHDV_Comp_Sum!B231</f>
        <v>17492.859480076746</v>
      </c>
      <c r="C172" s="2258">
        <f xml:space="preserve"> MHDV_Comp_Sum!C231</f>
        <v>17667.024667056743</v>
      </c>
      <c r="D172" s="2258">
        <f xml:space="preserve"> MHDV_Comp_Sum!D231</f>
        <v>14621.05372760627</v>
      </c>
      <c r="E172" s="2259">
        <f xml:space="preserve"> MHDV_Comp_Sum!E231</f>
        <v>20777.361546497094</v>
      </c>
      <c r="F172" s="2144"/>
      <c r="G172" s="2144"/>
      <c r="H172" s="2144"/>
      <c r="I172" s="2144"/>
      <c r="J172" s="2144"/>
      <c r="K172" s="2144"/>
    </row>
    <row r="173" spans="1:61" s="2136" customFormat="1">
      <c r="A173" s="2228" t="str">
        <f>Vehi_Comp_Sum!A149</f>
        <v>Weight by Materials: lbs, per-vehicle lifetime</v>
      </c>
      <c r="B173" s="2260"/>
      <c r="C173" s="2260"/>
      <c r="D173" s="2260"/>
      <c r="E173" s="2261"/>
      <c r="F173" s="2144"/>
      <c r="G173" s="2144"/>
      <c r="H173" s="2144"/>
      <c r="I173" s="2144"/>
      <c r="J173" s="2144"/>
      <c r="K173" s="2144"/>
    </row>
    <row r="174" spans="1:61" s="2263" customFormat="1">
      <c r="A174" s="2939" t="s">
        <v>38</v>
      </c>
      <c r="B174" s="2263">
        <f xml:space="preserve"> MHDV_Comp_Sum!B233</f>
        <v>12640.683598503954</v>
      </c>
      <c r="C174" s="2263">
        <f xml:space="preserve"> MHDV_Comp_Sum!C233</f>
        <v>12694.544901221558</v>
      </c>
      <c r="D174" s="2263">
        <f xml:space="preserve"> MHDV_Comp_Sum!D233</f>
        <v>11086.647990561989</v>
      </c>
      <c r="E174" s="2264">
        <f xml:space="preserve"> MHDV_Comp_Sum!E233</f>
        <v>11221.960056166081</v>
      </c>
    </row>
    <row r="175" spans="1:61" s="2263" customFormat="1">
      <c r="A175" s="2939" t="s">
        <v>1868</v>
      </c>
      <c r="B175" s="2263">
        <f xml:space="preserve"> MHDV_Comp_Sum!B234</f>
        <v>138.15428453473822</v>
      </c>
      <c r="C175" s="2263">
        <f xml:space="preserve"> MHDV_Comp_Sum!C234</f>
        <v>138.09815545915177</v>
      </c>
      <c r="D175" s="2263">
        <f xml:space="preserve"> MHDV_Comp_Sum!D234</f>
        <v>79.327789494789172</v>
      </c>
      <c r="E175" s="2264">
        <f xml:space="preserve"> MHDV_Comp_Sum!E234</f>
        <v>2687.0853412376855</v>
      </c>
    </row>
    <row r="176" spans="1:61" s="2263" customFormat="1">
      <c r="A176" s="2939" t="s">
        <v>1869</v>
      </c>
      <c r="B176" s="2263">
        <f xml:space="preserve"> MHDV_Comp_Sum!B235</f>
        <v>1802.3175465393058</v>
      </c>
      <c r="C176" s="2263">
        <f xml:space="preserve"> MHDV_Comp_Sum!C235</f>
        <v>1791.6974600634653</v>
      </c>
      <c r="D176" s="2263">
        <f xml:space="preserve"> MHDV_Comp_Sum!D235</f>
        <v>797.00709885853075</v>
      </c>
      <c r="E176" s="2264">
        <f xml:space="preserve"> MHDV_Comp_Sum!E235</f>
        <v>797.47320884200462</v>
      </c>
    </row>
    <row r="177" spans="1:5" s="2263" customFormat="1">
      <c r="A177" s="2939" t="s">
        <v>2406</v>
      </c>
      <c r="B177" s="2263">
        <f xml:space="preserve"> MHDV_Comp_Sum!B236</f>
        <v>836.05749340678244</v>
      </c>
      <c r="C177" s="2263">
        <f xml:space="preserve"> MHDV_Comp_Sum!C236</f>
        <v>909.05894745758019</v>
      </c>
      <c r="D177" s="2263">
        <f xml:space="preserve"> MHDV_Comp_Sum!D236</f>
        <v>881.31348867676763</v>
      </c>
      <c r="E177" s="2264">
        <f xml:space="preserve"> MHDV_Comp_Sum!E236</f>
        <v>999.8136514879136</v>
      </c>
    </row>
    <row r="178" spans="1:5" s="2263" customFormat="1">
      <c r="A178" s="2939" t="s">
        <v>2405</v>
      </c>
      <c r="B178" s="2263">
        <f xml:space="preserve"> MHDV_Comp_Sum!B237</f>
        <v>576.31083849914239</v>
      </c>
      <c r="C178" s="2263">
        <f xml:space="preserve"> MHDV_Comp_Sum!C237</f>
        <v>575.36785731451039</v>
      </c>
      <c r="D178" s="2263">
        <f xml:space="preserve"> MHDV_Comp_Sum!D237</f>
        <v>347.70316546880872</v>
      </c>
      <c r="E178" s="2264">
        <f xml:space="preserve"> MHDV_Comp_Sum!E237</f>
        <v>544.52910462256227</v>
      </c>
    </row>
    <row r="179" spans="1:5" s="2263" customFormat="1">
      <c r="A179" s="2939" t="s">
        <v>2413</v>
      </c>
      <c r="B179" s="2263">
        <f xml:space="preserve"> MHDV_Comp_Sum!B238</f>
        <v>35.785327786385558</v>
      </c>
      <c r="C179" s="2263">
        <f xml:space="preserve"> MHDV_Comp_Sum!C238</f>
        <v>88.161749743930685</v>
      </c>
      <c r="D179" s="2263">
        <f xml:space="preserve"> MHDV_Comp_Sum!D238</f>
        <v>194.03832369869772</v>
      </c>
      <c r="E179" s="2264">
        <f xml:space="preserve"> MHDV_Comp_Sum!E238</f>
        <v>228.46114557775195</v>
      </c>
    </row>
    <row r="180" spans="1:5" s="2263" customFormat="1">
      <c r="A180" s="2939" t="s">
        <v>2425</v>
      </c>
      <c r="B180" s="2263">
        <f xml:space="preserve"> MHDV_Comp_Sum!B239</f>
        <v>1.9836883436317359</v>
      </c>
      <c r="C180" s="2263">
        <f xml:space="preserve"> MHDV_Comp_Sum!C239</f>
        <v>1.9836883436317356</v>
      </c>
      <c r="D180" s="2263">
        <f xml:space="preserve"> MHDV_Comp_Sum!D239</f>
        <v>1.0716256790785492</v>
      </c>
      <c r="E180" s="2264">
        <f xml:space="preserve"> MHDV_Comp_Sum!E239</f>
        <v>1.082793793338384</v>
      </c>
    </row>
    <row r="181" spans="1:5" s="2263" customFormat="1">
      <c r="A181" s="2939" t="s">
        <v>2414</v>
      </c>
      <c r="B181" s="2263">
        <f xml:space="preserve"> MHDV_Comp_Sum!B240</f>
        <v>0</v>
      </c>
      <c r="C181" s="2263">
        <f xml:space="preserve"> MHDV_Comp_Sum!C240</f>
        <v>0</v>
      </c>
      <c r="D181" s="2263">
        <f xml:space="preserve"> MHDV_Comp_Sum!D240</f>
        <v>0</v>
      </c>
      <c r="E181" s="2264">
        <f xml:space="preserve"> MHDV_Comp_Sum!E240</f>
        <v>0</v>
      </c>
    </row>
    <row r="182" spans="1:5" s="2263" customFormat="1">
      <c r="A182" s="2939" t="s">
        <v>2416</v>
      </c>
      <c r="B182" s="2263">
        <f xml:space="preserve"> MHDV_Comp_Sum!B241</f>
        <v>9.8744555657670237</v>
      </c>
      <c r="C182" s="2263">
        <f xml:space="preserve"> MHDV_Comp_Sum!C241</f>
        <v>9.7660367124266738</v>
      </c>
      <c r="D182" s="2263">
        <f xml:space="preserve"> MHDV_Comp_Sum!D241</f>
        <v>0</v>
      </c>
      <c r="E182" s="2264">
        <f xml:space="preserve"> MHDV_Comp_Sum!E241</f>
        <v>3.633136840756789</v>
      </c>
    </row>
    <row r="183" spans="1:5" s="2263" customFormat="1">
      <c r="A183" s="2939" t="s">
        <v>2417</v>
      </c>
      <c r="B183" s="2263">
        <f xml:space="preserve"> MHDV_Comp_Sum!B242</f>
        <v>2.8526204967771402</v>
      </c>
      <c r="C183" s="2263">
        <f xml:space="preserve"> MHDV_Comp_Sum!C242</f>
        <v>2.821299494701039</v>
      </c>
      <c r="D183" s="2263">
        <f xml:space="preserve"> MHDV_Comp_Sum!D242</f>
        <v>0</v>
      </c>
      <c r="E183" s="2264">
        <f xml:space="preserve"> MHDV_Comp_Sum!E242</f>
        <v>0</v>
      </c>
    </row>
    <row r="184" spans="1:5" s="2263" customFormat="1">
      <c r="A184" s="2939" t="s">
        <v>48</v>
      </c>
      <c r="B184" s="2263">
        <f xml:space="preserve"> MHDV_Comp_Sum!B243</f>
        <v>0</v>
      </c>
      <c r="C184" s="2263">
        <f xml:space="preserve"> MHDV_Comp_Sum!C243</f>
        <v>0</v>
      </c>
      <c r="D184" s="2263">
        <f xml:space="preserve"> MHDV_Comp_Sum!D243</f>
        <v>0</v>
      </c>
      <c r="E184" s="2264">
        <f xml:space="preserve"> MHDV_Comp_Sum!E243</f>
        <v>4.1912595040764664</v>
      </c>
    </row>
    <row r="185" spans="1:5" s="2263" customFormat="1">
      <c r="A185" s="2939" t="s">
        <v>71</v>
      </c>
      <c r="B185" s="2263">
        <f xml:space="preserve"> MHDV_Comp_Sum!B244</f>
        <v>0</v>
      </c>
      <c r="C185" s="2263">
        <f xml:space="preserve"> MHDV_Comp_Sum!C244</f>
        <v>0</v>
      </c>
      <c r="D185" s="2263">
        <f xml:space="preserve"> MHDV_Comp_Sum!D244</f>
        <v>0</v>
      </c>
      <c r="E185" s="2264">
        <f xml:space="preserve"> MHDV_Comp_Sum!E244</f>
        <v>1.403887249956469</v>
      </c>
    </row>
    <row r="186" spans="1:5" s="2263" customFormat="1">
      <c r="A186" s="2939" t="s">
        <v>73</v>
      </c>
      <c r="B186" s="2263">
        <f xml:space="preserve"> MHDV_Comp_Sum!B245</f>
        <v>0</v>
      </c>
      <c r="C186" s="2263">
        <f xml:space="preserve"> MHDV_Comp_Sum!C245</f>
        <v>0</v>
      </c>
      <c r="D186" s="2263">
        <f xml:space="preserve"> MHDV_Comp_Sum!D245</f>
        <v>0</v>
      </c>
      <c r="E186" s="2264">
        <f xml:space="preserve"> MHDV_Comp_Sum!E245</f>
        <v>0.71496726608901917</v>
      </c>
    </row>
    <row r="187" spans="1:5" s="2263" customFormat="1">
      <c r="A187" s="2939" t="s">
        <v>2423</v>
      </c>
      <c r="B187" s="2263">
        <f xml:space="preserve"> MHDV_Comp_Sum!B246</f>
        <v>0</v>
      </c>
      <c r="C187" s="2263">
        <f xml:space="preserve"> MHDV_Comp_Sum!C246</f>
        <v>0</v>
      </c>
      <c r="D187" s="2263">
        <f xml:space="preserve"> MHDV_Comp_Sum!D246</f>
        <v>0</v>
      </c>
      <c r="E187" s="2264">
        <f xml:space="preserve"> MHDV_Comp_Sum!E246</f>
        <v>0.2674070952298036</v>
      </c>
    </row>
    <row r="188" spans="1:5" s="2263" customFormat="1">
      <c r="A188" s="2939" t="s">
        <v>69</v>
      </c>
      <c r="B188" s="2263">
        <f xml:space="preserve"> MHDV_Comp_Sum!B247</f>
        <v>0</v>
      </c>
      <c r="C188" s="2263">
        <f xml:space="preserve"> MHDV_Comp_Sum!C247</f>
        <v>0</v>
      </c>
      <c r="D188" s="2263">
        <f xml:space="preserve"> MHDV_Comp_Sum!D247</f>
        <v>0</v>
      </c>
      <c r="E188" s="2264">
        <f xml:space="preserve"> MHDV_Comp_Sum!E247</f>
        <v>6.6851773807450901E-2</v>
      </c>
    </row>
    <row r="189" spans="1:5" s="2263" customFormat="1">
      <c r="A189" s="2939" t="s">
        <v>63</v>
      </c>
      <c r="B189" s="2263">
        <f xml:space="preserve"> MHDV_Comp_Sum!B248</f>
        <v>0.64172146678767272</v>
      </c>
      <c r="C189" s="2263">
        <f xml:space="preserve"> MHDV_Comp_Sum!C248</f>
        <v>0.64172146678767283</v>
      </c>
      <c r="D189" s="2263">
        <f xml:space="preserve"> MHDV_Comp_Sum!D248</f>
        <v>0</v>
      </c>
      <c r="E189" s="2264">
        <f xml:space="preserve"> MHDV_Comp_Sum!E248</f>
        <v>1.1363326204264648</v>
      </c>
    </row>
    <row r="190" spans="1:5" s="2263" customFormat="1">
      <c r="A190" s="2939" t="s">
        <v>61</v>
      </c>
      <c r="B190" s="2263">
        <f xml:space="preserve"> MHDV_Comp_Sum!B249</f>
        <v>4099.6285849167325</v>
      </c>
      <c r="C190" s="2263">
        <f xml:space="preserve"> MHDV_Comp_Sum!C249</f>
        <v>4100.083349213719</v>
      </c>
      <c r="D190" s="2263">
        <f xml:space="preserve"> MHDV_Comp_Sum!D249</f>
        <v>4071.0328122199044</v>
      </c>
      <c r="E190" s="2264">
        <f xml:space="preserve"> MHDV_Comp_Sum!E249</f>
        <v>4085.6158697661203</v>
      </c>
    </row>
    <row r="191" spans="1:5" s="2263" customFormat="1">
      <c r="A191" s="2939" t="s">
        <v>2431</v>
      </c>
      <c r="B191" s="2263">
        <f xml:space="preserve"> MHDV_Comp_Sum!B250</f>
        <v>813.99730619335639</v>
      </c>
      <c r="C191" s="2263">
        <f xml:space="preserve"> MHDV_Comp_Sum!C250</f>
        <v>817.82166727986487</v>
      </c>
      <c r="D191" s="2263">
        <f xml:space="preserve"> MHDV_Comp_Sum!D250</f>
        <v>651.53417202325102</v>
      </c>
      <c r="E191" s="2264">
        <f xml:space="preserve"> MHDV_Comp_Sum!E250</f>
        <v>683.88351506091078</v>
      </c>
    </row>
    <row r="192" spans="1:5" s="2263" customFormat="1">
      <c r="A192" s="2939" t="s">
        <v>2418</v>
      </c>
      <c r="B192" s="2263">
        <f xml:space="preserve"> MHDV_Comp_Sum!B251</f>
        <v>0</v>
      </c>
      <c r="C192" s="2263">
        <f xml:space="preserve"> MHDV_Comp_Sum!C251</f>
        <v>0</v>
      </c>
      <c r="D192" s="2263">
        <f xml:space="preserve"> MHDV_Comp_Sum!D251</f>
        <v>0</v>
      </c>
      <c r="E192" s="2264">
        <f xml:space="preserve"> MHDV_Comp_Sum!E251</f>
        <v>2.0149449065847271</v>
      </c>
    </row>
    <row r="193" spans="1:5" s="2263" customFormat="1">
      <c r="A193" s="2939" t="s">
        <v>1391</v>
      </c>
      <c r="B193" s="2263">
        <f xml:space="preserve"> MHDV_Comp_Sum!B252</f>
        <v>0</v>
      </c>
      <c r="C193" s="2263">
        <f xml:space="preserve"> MHDV_Comp_Sum!C252</f>
        <v>0</v>
      </c>
      <c r="D193" s="2263">
        <f xml:space="preserve"> MHDV_Comp_Sum!D252</f>
        <v>0</v>
      </c>
      <c r="E193" s="2264">
        <f xml:space="preserve"> MHDV_Comp_Sum!E252</f>
        <v>213.0926121359316</v>
      </c>
    </row>
    <row r="194" spans="1:5" s="2263" customFormat="1">
      <c r="A194" s="2939" t="s">
        <v>375</v>
      </c>
      <c r="B194" s="2263">
        <f xml:space="preserve"> MHDV_Comp_Sum!B253</f>
        <v>0</v>
      </c>
      <c r="C194" s="2263">
        <f xml:space="preserve"> MHDV_Comp_Sum!C253</f>
        <v>0</v>
      </c>
      <c r="D194" s="2263">
        <f xml:space="preserve"> MHDV_Comp_Sum!D253</f>
        <v>0</v>
      </c>
      <c r="E194" s="2264">
        <f xml:space="preserve"> MHDV_Comp_Sum!E253</f>
        <v>78.705027533999996</v>
      </c>
    </row>
    <row r="195" spans="1:5" s="2263" customFormat="1">
      <c r="A195" s="2939" t="s">
        <v>381</v>
      </c>
      <c r="B195" s="2263">
        <f xml:space="preserve"> MHDV_Comp_Sum!B254</f>
        <v>0</v>
      </c>
      <c r="C195" s="2263">
        <f xml:space="preserve"> MHDV_Comp_Sum!C254</f>
        <v>0</v>
      </c>
      <c r="D195" s="2263">
        <f xml:space="preserve"> MHDV_Comp_Sum!D254</f>
        <v>0</v>
      </c>
      <c r="E195" s="2264">
        <f xml:space="preserve"> MHDV_Comp_Sum!E254</f>
        <v>44.397091162036361</v>
      </c>
    </row>
    <row r="196" spans="1:5" s="2263" customFormat="1">
      <c r="A196" s="2939" t="s">
        <v>291</v>
      </c>
      <c r="B196" s="2263">
        <f xml:space="preserve"> MHDV_Comp_Sum!B255</f>
        <v>0</v>
      </c>
      <c r="C196" s="2263">
        <f xml:space="preserve"> MHDV_Comp_Sum!C255</f>
        <v>0</v>
      </c>
      <c r="D196" s="2263">
        <f xml:space="preserve"> MHDV_Comp_Sum!D255</f>
        <v>0</v>
      </c>
      <c r="E196" s="2264">
        <f xml:space="preserve"> MHDV_Comp_Sum!E255</f>
        <v>5.5359757518200734</v>
      </c>
    </row>
    <row r="197" spans="1:5" s="2263" customFormat="1">
      <c r="A197" s="2939" t="s">
        <v>289</v>
      </c>
      <c r="B197" s="2263">
        <f xml:space="preserve"> MHDV_Comp_Sum!B256</f>
        <v>0</v>
      </c>
      <c r="C197" s="2263">
        <f xml:space="preserve"> MHDV_Comp_Sum!C256</f>
        <v>0</v>
      </c>
      <c r="D197" s="2263">
        <f xml:space="preserve"> MHDV_Comp_Sum!D256</f>
        <v>0</v>
      </c>
      <c r="E197" s="2264">
        <f xml:space="preserve"> MHDV_Comp_Sum!E256</f>
        <v>12.612189050876944</v>
      </c>
    </row>
    <row r="198" spans="1:5" s="2263" customFormat="1">
      <c r="A198" s="2939" t="s">
        <v>2432</v>
      </c>
      <c r="B198" s="2263">
        <f xml:space="preserve"> MHDV_Comp_Sum!B257</f>
        <v>0</v>
      </c>
      <c r="C198" s="2263">
        <f xml:space="preserve"> MHDV_Comp_Sum!C257</f>
        <v>0</v>
      </c>
      <c r="D198" s="2263">
        <f xml:space="preserve"> MHDV_Comp_Sum!D257</f>
        <v>0</v>
      </c>
      <c r="E198" s="2264">
        <f xml:space="preserve"> MHDV_Comp_Sum!E257</f>
        <v>33.440100707017301</v>
      </c>
    </row>
    <row r="199" spans="1:5" s="2263" customFormat="1">
      <c r="A199" s="2939" t="s">
        <v>2422</v>
      </c>
      <c r="B199" s="2263">
        <f xml:space="preserve"> MHDV_Comp_Sum!B258</f>
        <v>0</v>
      </c>
      <c r="C199" s="2263">
        <f xml:space="preserve"> MHDV_Comp_Sum!C258</f>
        <v>0</v>
      </c>
      <c r="D199" s="2263">
        <f xml:space="preserve"> MHDV_Comp_Sum!D258</f>
        <v>0</v>
      </c>
      <c r="E199" s="2264">
        <f xml:space="preserve"> MHDV_Comp_Sum!E258</f>
        <v>0</v>
      </c>
    </row>
    <row r="200" spans="1:5" s="2263" customFormat="1">
      <c r="A200" s="2939" t="s">
        <v>2433</v>
      </c>
      <c r="B200" s="2263">
        <f xml:space="preserve"> MHDV_Comp_Sum!B259</f>
        <v>0</v>
      </c>
      <c r="C200" s="2263">
        <f xml:space="preserve"> MHDV_Comp_Sum!C259</f>
        <v>0</v>
      </c>
      <c r="D200" s="2263">
        <f xml:space="preserve"> MHDV_Comp_Sum!D259</f>
        <v>0</v>
      </c>
      <c r="E200" s="2264">
        <f xml:space="preserve"> MHDV_Comp_Sum!E259</f>
        <v>2512.3879377520007</v>
      </c>
    </row>
    <row r="201" spans="1:5" s="2263" customFormat="1">
      <c r="A201" s="2939" t="s">
        <v>2407</v>
      </c>
      <c r="B201" s="2263">
        <f xml:space="preserve"> MHDV_Comp_Sum!B260</f>
        <v>514.06245680991412</v>
      </c>
      <c r="C201" s="2263">
        <f xml:space="preserve"> MHDV_Comp_Sum!C260</f>
        <v>514.06245680991401</v>
      </c>
      <c r="D201" s="2263">
        <f xml:space="preserve"> MHDV_Comp_Sum!D260</f>
        <v>514.06245680991401</v>
      </c>
      <c r="E201" s="2264">
        <f xml:space="preserve"> MHDV_Comp_Sum!E260</f>
        <v>572.06708583669547</v>
      </c>
    </row>
    <row r="202" spans="1:5" s="2263" customFormat="1">
      <c r="A202" s="2939" t="s">
        <v>2415</v>
      </c>
      <c r="B202" s="2263">
        <f xml:space="preserve"> MHDV_Comp_Sum!B261</f>
        <v>0</v>
      </c>
      <c r="C202" s="2263">
        <f xml:space="preserve"> MHDV_Comp_Sum!C261</f>
        <v>0</v>
      </c>
      <c r="D202" s="2263">
        <f xml:space="preserve"> MHDV_Comp_Sum!D261</f>
        <v>0</v>
      </c>
      <c r="E202" s="2264">
        <f xml:space="preserve"> MHDV_Comp_Sum!E261</f>
        <v>0</v>
      </c>
    </row>
    <row r="203" spans="1:5" s="2263" customFormat="1">
      <c r="A203" s="2939" t="s">
        <v>58</v>
      </c>
      <c r="B203" s="2263">
        <f xml:space="preserve"> MHDV_Comp_Sum!B262</f>
        <v>301.32535420216851</v>
      </c>
      <c r="C203" s="2263">
        <f xml:space="preserve"> MHDV_Comp_Sum!C262</f>
        <v>301.32535420216846</v>
      </c>
      <c r="D203" s="2263">
        <f xml:space="preserve"> MHDV_Comp_Sum!D262</f>
        <v>301.32535420216851</v>
      </c>
      <c r="E203" s="2264">
        <f xml:space="preserve"> MHDV_Comp_Sum!E262</f>
        <v>301.81037117856846</v>
      </c>
    </row>
    <row r="204" spans="1:5" s="2263" customFormat="1">
      <c r="A204" s="2939" t="s">
        <v>1409</v>
      </c>
      <c r="B204" s="2263">
        <f xml:space="preserve"> MHDV_Comp_Sum!B263</f>
        <v>3.4385403504563552</v>
      </c>
      <c r="C204" s="2263">
        <f xml:space="preserve"> MHDV_Comp_Sum!C263</f>
        <v>3.4363490290765828</v>
      </c>
      <c r="D204" s="2263">
        <f xml:space="preserve"> MHDV_Comp_Sum!D263</f>
        <v>3.2389615417140165</v>
      </c>
      <c r="E204" s="2264">
        <f xml:space="preserve"> MHDV_Comp_Sum!E263</f>
        <v>3.2389615417140165</v>
      </c>
    </row>
    <row r="205" spans="1:5" s="2263" customFormat="1">
      <c r="A205" s="2939" t="s">
        <v>2420</v>
      </c>
      <c r="B205" s="2263">
        <f xml:space="preserve"> MHDV_Comp_Sum!B264</f>
        <v>96.460868902399625</v>
      </c>
      <c r="C205" s="2263">
        <f xml:space="preserve"> MHDV_Comp_Sum!C264</f>
        <v>96.460868902399639</v>
      </c>
      <c r="D205" s="2263">
        <f xml:space="preserve"> MHDV_Comp_Sum!D264</f>
        <v>0</v>
      </c>
      <c r="E205" s="2264">
        <f xml:space="preserve"> MHDV_Comp_Sum!E264</f>
        <v>0.4629707502</v>
      </c>
    </row>
    <row r="206" spans="1:5" s="2263" customFormat="1">
      <c r="A206" s="2939" t="s">
        <v>293</v>
      </c>
      <c r="B206" s="2263">
        <f xml:space="preserve"> MHDV_Comp_Sum!B265</f>
        <v>0</v>
      </c>
      <c r="C206" s="2263">
        <f xml:space="preserve"> MHDV_Comp_Sum!C265</f>
        <v>0</v>
      </c>
      <c r="D206" s="2263">
        <f xml:space="preserve"> MHDV_Comp_Sum!D265</f>
        <v>0</v>
      </c>
      <c r="E206" s="2264">
        <f xml:space="preserve"> MHDV_Comp_Sum!E265</f>
        <v>24.667265957275124</v>
      </c>
    </row>
    <row r="207" spans="1:5" s="2263" customFormat="1">
      <c r="A207" s="2939" t="s">
        <v>2421</v>
      </c>
      <c r="B207" s="2263">
        <f xml:space="preserve"> MHDV_Comp_Sum!B272</f>
        <v>3.4354328075033016</v>
      </c>
      <c r="C207" s="2263">
        <f xml:space="preserve"> MHDV_Comp_Sum!C272</f>
        <v>3.4354328075033016</v>
      </c>
      <c r="D207" s="2263">
        <f xml:space="preserve"> MHDV_Comp_Sum!D272</f>
        <v>0</v>
      </c>
      <c r="E207" s="2264">
        <f xml:space="preserve"> MHDV_Comp_Sum!E272</f>
        <v>16.167371504698469</v>
      </c>
    </row>
    <row r="208" spans="1:5" s="2263" customFormat="1">
      <c r="A208" s="2939" t="s">
        <v>2426</v>
      </c>
      <c r="B208" s="2263">
        <f xml:space="preserve"> MHDV_Comp_Sum!B267</f>
        <v>0.582395357127241</v>
      </c>
      <c r="C208" s="2263">
        <f xml:space="preserve"> MHDV_Comp_Sum!C267</f>
        <v>0.582395357127241</v>
      </c>
      <c r="D208" s="2263">
        <f xml:space="preserve"> MHDV_Comp_Sum!D267</f>
        <v>0.58239535712724089</v>
      </c>
      <c r="E208" s="2264">
        <f xml:space="preserve"> MHDV_Comp_Sum!E267</f>
        <v>0.58239535712724089</v>
      </c>
    </row>
    <row r="209" spans="1:15" s="2263" customFormat="1">
      <c r="A209" s="2939" t="s">
        <v>2408</v>
      </c>
      <c r="B209" s="2263">
        <f xml:space="preserve"> MHDV_Comp_Sum!B268</f>
        <v>108.31133403716692</v>
      </c>
      <c r="C209" s="2263">
        <f xml:space="preserve"> MHDV_Comp_Sum!C268</f>
        <v>108.31133403716692</v>
      </c>
      <c r="D209" s="2263">
        <f xml:space="preserve"> MHDV_Comp_Sum!D268</f>
        <v>108.31133403716692</v>
      </c>
      <c r="E209" s="2264">
        <f xml:space="preserve"> MHDV_Comp_Sum!E268</f>
        <v>108.31133403716692</v>
      </c>
    </row>
    <row r="210" spans="1:15" s="2263" customFormat="1">
      <c r="A210" s="2939" t="s">
        <v>2409</v>
      </c>
      <c r="B210" s="2263">
        <f xml:space="preserve"> MHDV_Comp_Sum!B269</f>
        <v>83.941283878804356</v>
      </c>
      <c r="C210" s="2263">
        <f xml:space="preserve"> MHDV_Comp_Sum!C269</f>
        <v>83.941283878804356</v>
      </c>
      <c r="D210" s="2263">
        <f xml:space="preserve"> MHDV_Comp_Sum!D269</f>
        <v>83.941283878804342</v>
      </c>
      <c r="E210" s="2264">
        <f xml:space="preserve"> MHDV_Comp_Sum!E269</f>
        <v>83.941283878804356</v>
      </c>
    </row>
    <row r="211" spans="1:15" s="2263" customFormat="1">
      <c r="A211" s="2939" t="s">
        <v>2410</v>
      </c>
      <c r="B211" s="2263">
        <f xml:space="preserve"> MHDV_Comp_Sum!B270</f>
        <v>55.767244175516822</v>
      </c>
      <c r="C211" s="2263">
        <f xml:space="preserve"> MHDV_Comp_Sum!C270</f>
        <v>55.767244175516822</v>
      </c>
      <c r="D211" s="2263">
        <f xml:space="preserve"> MHDV_Comp_Sum!D270</f>
        <v>55.767244175516822</v>
      </c>
      <c r="E211" s="2264">
        <f xml:space="preserve"> MHDV_Comp_Sum!E270</f>
        <v>55.767244175516822</v>
      </c>
    </row>
    <row r="212" spans="1:15" s="2263" customFormat="1">
      <c r="A212" s="2939" t="s">
        <v>2411</v>
      </c>
      <c r="B212" s="2263">
        <f xml:space="preserve"> MHDV_Comp_Sum!B271</f>
        <v>3.238961541714017</v>
      </c>
      <c r="C212" s="2263">
        <f xml:space="preserve"> MHDV_Comp_Sum!C271</f>
        <v>3.2389615417140165</v>
      </c>
      <c r="D212" s="2263">
        <f xml:space="preserve"> MHDV_Comp_Sum!D271</f>
        <v>3.2389615417140165</v>
      </c>
      <c r="E212" s="2264">
        <f xml:space="preserve"> MHDV_Comp_Sum!E271</f>
        <v>3.2389615417140165</v>
      </c>
    </row>
    <row r="213" spans="1:15" s="2263" customFormat="1">
      <c r="A213" s="2940" t="s">
        <v>294</v>
      </c>
      <c r="B213" s="2266">
        <f xml:space="preserve"> MHDV_Comp_Sum!B274</f>
        <v>0</v>
      </c>
      <c r="C213" s="2266">
        <f xml:space="preserve"> MHDV_Comp_Sum!C274</f>
        <v>2.4080107834110636</v>
      </c>
      <c r="D213" s="2266">
        <f xml:space="preserve"> MHDV_Comp_Sum!D274</f>
        <v>8.1924714696485097</v>
      </c>
      <c r="E213" s="2267">
        <f xml:space="preserve"> MHDV_Comp_Sum!E274</f>
        <v>10.885094921957812</v>
      </c>
    </row>
    <row r="214" spans="1:15" s="2136" customFormat="1">
      <c r="A214" s="2228" t="s">
        <v>1501</v>
      </c>
      <c r="B214" s="2251"/>
      <c r="C214" s="2251"/>
      <c r="D214" s="2251"/>
      <c r="E214" s="2186"/>
    </row>
    <row r="215" spans="1:15" s="2136" customFormat="1">
      <c r="A215" s="2229" t="s">
        <v>816</v>
      </c>
      <c r="B215" s="2136">
        <f ca="1">B$174*($B$6*($A$14*$B140+$B$14*$C140+$C$14*$D140)+$C$6*$E140)+B$175*$F140+B$176*($A$18*$G140+$B$18*$H140)+B$178*($B$7*($A$22*$I140+$B$22*$J140+$C$22*$K140)+$C$7*($A$22*$L140+$B$22*$M140+$C$22*$N140))+B$177*($B$8*$O140+$C$8*$P140)+B$179*$Q140+B$203*$R140+B$191*($A$30*SUMPRODUCT($B$36:$L$36,$S140:$AC140)+$B$30*SUMPRODUCT($B$37:$L$37,$S140:$AC140)+$F$30*SUMPRODUCT($B$38:$L$38,$S140:$AC140)+$G$30*SUMPRODUCT($B$39:$L$39,$S140:$AC140)+$H$30*SUMPRODUCT($B$40:$L$40,$S140:$AC140)+$I$30*SUMPRODUCT($B$41:$L$41,$S140:$AC140)+$J$30*SUMPRODUCT($B$42:$L$42,$S140:$AC140)+$K$30*SUMPRODUCT($B$43:$L$43,$S140:$AC140)+$L$30*SUMPRODUCT($B$44:$L$44,$S140:$AC140)+$M$30*SUMPRODUCT($B$45:$L$45,$S140:$AC140)+$P$30*SUMPRODUCT($B$46:$L$46,$S140:$AC140))+B$190*($A$50*$AD140+$B$50*$AE140)+B$201*$S140+B$200*$T140+B$202*$S140</f>
        <v>69.098035536373487</v>
      </c>
      <c r="C215" s="2136">
        <f ca="1">C$174*($B$6*($A$14*$B140+$B$14*$C140+$C$14*$D140)+$C$6*$E140)+C$175*$F140+C$176*($A$18*$G140+$B$18*$H140)+C$178*($B$7*($A$22*$I140+$B$22*$J140+$C$22*$K140)+$C$7*($A$22*$L140+$B$22*$M140+$C$22*$N140))+C$177*($B$8*$O140+$C$8*$P140)+C$179*$Q140+C$203*$R140+C$191*($A$30*SUMPRODUCT($B$36:$L$36,$S140:$AC140)+$B$30*SUMPRODUCT($B$37:$L$37,$S140:$AC140)+$F$30*SUMPRODUCT($B$38:$L$38,$S140:$AC140)+$G$30*SUMPRODUCT($B$39:$L$39,$S140:$AC140)+$H$30*SUMPRODUCT($B$40:$L$40,$S140:$AC140)+$I$30*SUMPRODUCT($B$41:$L$41,$S140:$AC140)+$J$30*SUMPRODUCT($B$42:$L$42,$S140:$AC140)+$K$30*SUMPRODUCT($B$43:$L$43,$S140:$AC140)+$L$30*SUMPRODUCT($B$44:$L$44,$S140:$AC140)+$M$30*SUMPRODUCT($B$45:$L$45,$S140:$AC140)+$P$30*SUMPRODUCT($B$46:$L$46,$S140:$AC140))+C$190*($A$50*$AD140+$B$50*$AE140)+C$201*$S140+C$200*$T140+C$202*$S140</f>
        <v>69.531811606832036</v>
      </c>
      <c r="D215" s="2136">
        <f ca="1">D$174*($B$6*($A$14*$B140+$B$14*$C140+$C$14*$D140)+$C$6*$E140)+D$175*$F140+D$176*($A$18*$G140+$B$18*$H140)+D$178*($B$7*($A$22*$I140+$B$22*$J140+$C$22*$K140)+$C$7*($A$22*$L140+$B$22*$M140+$C$22*$N140))+D$177*($B$8*$O140+$C$8*$P140)+D$179*$Q140+D$203*$R140+D$191*($A$30*SUMPRODUCT($B$36:$L$36,$S140:$AC140)+$B$30*SUMPRODUCT($B$37:$L$37,$S140:$AC140)+$F$30*SUMPRODUCT($B$38:$L$38,$S140:$AC140)+$G$30*SUMPRODUCT($B$39:$L$39,$S140:$AC140)+$H$30*SUMPRODUCT($B$40:$L$40,$S140:$AC140)+$I$30*SUMPRODUCT($B$41:$L$41,$S140:$AC140)+$J$30*SUMPRODUCT($B$42:$L$42,$S140:$AC140)+$K$30*SUMPRODUCT($B$43:$L$43,$S140:$AC140)+$L$30*SUMPRODUCT($B$44:$L$44,$S140:$AC140)+$M$30*SUMPRODUCT($B$45:$L$45,$S140:$AC140)+$P$30*SUMPRODUCT($B$46:$L$46,$S140:$AC140))+D$190*($A$50*$AD140+$B$50*$AE140)+D$201*$S140+D$200*$T140+D$202*$S140</f>
        <v>53.169161060058862</v>
      </c>
      <c r="E215" s="2185">
        <f ca="1">E$174*($B$6*($A$14*$B140+$B$14*$C140+$C$14*$D140)+$C$6*$E140)+E$175*$F140+E$176*($A$18*$G140+$B$18*$H140)+E$178*($B$7*($A$22*$I140+$B$22*$J140+$C$22*$K140)+$C$7*($A$22*$L140+$B$22*$M140+$C$22*$N140))+E$177*($B$8*$O140+$C$8*$P140)+E$179*$Q140+E$203*$R140+E$191*($A$30*SUMPRODUCT($B$36:$L$36,$S140:$AC140)+$B$30*SUMPRODUCT($B$37:$L$37,$S140:$AC140)+$F$30*SUMPRODUCT($B$38:$L$38,$S140:$AC140)+$G$30*SUMPRODUCT($B$39:$L$39,$S140:$AC140)+$H$30*SUMPRODUCT($B$40:$L$40,$S140:$AC140)+$I$30*SUMPRODUCT($B$41:$L$41,$S140:$AC140)+$J$30*SUMPRODUCT($B$42:$L$42,$S140:$AC140)+$K$30*SUMPRODUCT($B$43:$L$43,$S140:$AC140)+$L$30*SUMPRODUCT($B$44:$L$44,$S140:$AC140)+$M$30*SUMPRODUCT($B$45:$L$45,$S140:$AC140)+$P$30*SUMPRODUCT($B$46:$L$46,$S140:$AC140))+E$190*($A$50*$AD140+$B$50*$AE140)+E$201*$S140+E$200*$T140+E$202*$S140</f>
        <v>76.778058081673649</v>
      </c>
    </row>
    <row r="216" spans="1:15" s="2136" customFormat="1">
      <c r="A216" s="2229" t="s">
        <v>817</v>
      </c>
      <c r="B216" s="2136">
        <f t="shared" ref="B216:E220" ca="1" si="29">B$174*($B$6*($A$14*$B141+$B$14*$C141+$C$14*$D141)+$C$6*$E141)+B$175*$F141+B$176*($A$18*$G141+$B$18*$H141)+B$178*($B$7*($A$22*$I141+$B$22*$J141+$C$22*$K141)+$C$7*($A$22*$L141+$B$22*$M141+$C$22*$N141))+B$177*($B$8*$O141+$C$8*$P141)+B$179*$Q141+B$203*$R141+B$191*($A$30*SUMPRODUCT($B$36:$L$36,$S141:$AC141)+$B$30*SUMPRODUCT($B$37:$L$37,$S141:$AC141)+$F$30*SUMPRODUCT($B$38:$L$38,$S141:$AC141)+$G$30*SUMPRODUCT($B$39:$L$39,$S141:$AC141)+$H$30*SUMPRODUCT($B$40:$L$40,$S141:$AC141)+$I$30*SUMPRODUCT($B$41:$L$41,$S141:$AC141)+$J$30*SUMPRODUCT($B$42:$L$42,$S141:$AC141)+$K$30*SUMPRODUCT($B$43:$L$43,$S141:$AC141)+$L$30*SUMPRODUCT($B$44:$L$44,$S141:$AC141)+$M$30*SUMPRODUCT($B$45:$L$45,$S141:$AC141)+$P$30*SUMPRODUCT($B$46:$L$46,$S141:$AC141))+B$190*($A$50*$AD141+$B$50*$AE141)+B$201*$S141+B$200*$T141+B$202*$S141</f>
        <v>63.06963020313129</v>
      </c>
      <c r="C216" s="2136">
        <f t="shared" ca="1" si="29"/>
        <v>63.465158981230537</v>
      </c>
      <c r="D216" s="2136">
        <f t="shared" ca="1" si="29"/>
        <v>47.735107376573104</v>
      </c>
      <c r="E216" s="2185">
        <f t="shared" ca="1" si="29"/>
        <v>69.470853578490079</v>
      </c>
      <c r="L216" s="2268"/>
      <c r="M216" s="2268"/>
      <c r="N216" s="2268"/>
      <c r="O216" s="2268"/>
    </row>
    <row r="217" spans="1:15" s="2136" customFormat="1">
      <c r="A217" s="2229" t="s">
        <v>805</v>
      </c>
      <c r="B217" s="2136">
        <f t="shared" ca="1" si="29"/>
        <v>24.43544070286395</v>
      </c>
      <c r="C217" s="2136">
        <f t="shared" ca="1" si="29"/>
        <v>24.390180247319385</v>
      </c>
      <c r="D217" s="2136">
        <f t="shared" ca="1" si="29"/>
        <v>14.549193661936206</v>
      </c>
      <c r="E217" s="2185">
        <f t="shared" ca="1" si="29"/>
        <v>17.029823738667041</v>
      </c>
      <c r="L217" s="2268"/>
      <c r="M217" s="2268"/>
      <c r="N217" s="2268"/>
      <c r="O217" s="2268"/>
    </row>
    <row r="218" spans="1:15" s="2136" customFormat="1">
      <c r="A218" s="2229" t="s">
        <v>804</v>
      </c>
      <c r="B218" s="2136">
        <f t="shared" ca="1" si="29"/>
        <v>38.036657152460222</v>
      </c>
      <c r="C218" s="2136">
        <f t="shared" ca="1" si="29"/>
        <v>38.45309193787584</v>
      </c>
      <c r="D218" s="2136">
        <f t="shared" ca="1" si="29"/>
        <v>32.678376331385834</v>
      </c>
      <c r="E218" s="2185">
        <f t="shared" ca="1" si="29"/>
        <v>46.635416768781447</v>
      </c>
      <c r="L218" s="2268"/>
      <c r="M218" s="2268"/>
      <c r="N218" s="2268"/>
      <c r="O218" s="2268"/>
    </row>
    <row r="219" spans="1:15" s="2136" customFormat="1">
      <c r="A219" s="2230" t="s">
        <v>818</v>
      </c>
      <c r="B219" s="2242">
        <f t="shared" ca="1" si="29"/>
        <v>0.59753234780711617</v>
      </c>
      <c r="C219" s="2242">
        <f t="shared" ca="1" si="29"/>
        <v>0.62188679603532215</v>
      </c>
      <c r="D219" s="2242">
        <f t="shared" ca="1" si="29"/>
        <v>0.50753738325106645</v>
      </c>
      <c r="E219" s="2227">
        <f t="shared" ca="1" si="29"/>
        <v>5.8056130710415914</v>
      </c>
      <c r="L219" s="2268"/>
      <c r="M219" s="2268"/>
      <c r="N219" s="2268"/>
      <c r="O219" s="2268"/>
    </row>
    <row r="220" spans="1:15" s="2136" customFormat="1">
      <c r="A220" s="2231" t="s">
        <v>819</v>
      </c>
      <c r="B220" s="2232">
        <f t="shared" ca="1" si="29"/>
        <v>1695.6545187887382</v>
      </c>
      <c r="C220" s="2232">
        <f t="shared" ca="1" si="29"/>
        <v>1706.4358796520303</v>
      </c>
      <c r="D220" s="2232">
        <f t="shared" ca="1" si="29"/>
        <v>1494.5698416027303</v>
      </c>
      <c r="E220" s="2233">
        <f t="shared" ca="1" si="29"/>
        <v>2105.2748776636945</v>
      </c>
      <c r="F220" s="2144"/>
      <c r="G220" s="2144"/>
      <c r="H220" s="2144"/>
      <c r="I220" s="2144"/>
      <c r="J220" s="2144"/>
      <c r="K220" s="2144"/>
      <c r="L220" s="2268"/>
      <c r="M220" s="2268"/>
      <c r="N220" s="2268"/>
      <c r="O220" s="2268"/>
    </row>
    <row r="221" spans="1:15" s="2136" customFormat="1">
      <c r="A221" s="2228" t="s">
        <v>1030</v>
      </c>
      <c r="B221" s="2251"/>
      <c r="C221" s="2251"/>
      <c r="D221" s="2251"/>
      <c r="E221" s="2186"/>
      <c r="F221" s="2198"/>
      <c r="G221" s="2198"/>
      <c r="H221" s="2198"/>
      <c r="I221" s="2198"/>
      <c r="J221" s="2198"/>
      <c r="K221" s="2198"/>
      <c r="L221" s="2268"/>
      <c r="M221" s="2268"/>
      <c r="N221" s="2268"/>
      <c r="O221" s="2268"/>
    </row>
    <row r="222" spans="1:15" s="2136" customFormat="1">
      <c r="A222" s="2236" t="s">
        <v>821</v>
      </c>
      <c r="B222" s="2136">
        <f t="shared" ref="B222:E234" ca="1" si="30">B$174*($B$6*($A$14*$B147+$B$14*$C147+$C$14*$D147)+$C$6*$E147)+B$175*$F147+B$176*($A$18*$G147+$B$18*$H147)+B$178*($B$7*($A$22*$I147+$B$22*$J147+$C$22*$K147)+$C$7*($A$22*$L147+$B$22*$M147+$C$22*$N147))+B$177*($B$8*$O147+$C$8*$P147)+B$179*$Q147+B$203*$R147+B$191*($A$30*SUMPRODUCT($B$36:$L$36,$S147:$AC147)+$B$30*SUMPRODUCT($B$37:$L$37,$S147:$AC147)+$F$30*SUMPRODUCT($B$38:$L$38,$S147:$AC147)+$G$30*SUMPRODUCT($B$39:$L$39,$S147:$AC147)+$H$30*SUMPRODUCT($B$40:$L$40,$S147:$AC147)+$I$30*SUMPRODUCT($B$41:$L$41,$S147:$AC147)+$J$30*SUMPRODUCT($B$42:$L$42,$S147:$AC147)+$K$30*SUMPRODUCT($B$43:$L$43,$S147:$AC147)+$L$30*SUMPRODUCT($B$44:$L$44,$S147:$AC147)+$M$30*SUMPRODUCT($B$45:$L$45,$S147:$AC147)+$P$30*SUMPRODUCT($B$46:$L$46,$S147:$AC147))+B$190*($A$50*$AD147+$B$50*$AE147)+B$201*$S147+B$200*$T147+B$202*$S147</f>
        <v>1966.8383061830762</v>
      </c>
      <c r="C222" s="2136">
        <f t="shared" ca="1" si="30"/>
        <v>1963.4568334591577</v>
      </c>
      <c r="D222" s="2136">
        <f t="shared" ca="1" si="30"/>
        <v>1078.7871091078516</v>
      </c>
      <c r="E222" s="2185">
        <f t="shared" ca="1" si="30"/>
        <v>1300.7294410307682</v>
      </c>
      <c r="L222" s="2268"/>
      <c r="M222" s="2268"/>
      <c r="N222" s="2268"/>
      <c r="O222" s="2268"/>
    </row>
    <row r="223" spans="1:15" s="2136" customFormat="1">
      <c r="A223" s="2236" t="s">
        <v>822</v>
      </c>
      <c r="B223" s="2136">
        <f t="shared" ca="1" si="30"/>
        <v>2046.7809998204661</v>
      </c>
      <c r="C223" s="2136">
        <f t="shared" ca="1" si="30"/>
        <v>2064.7557199690759</v>
      </c>
      <c r="D223" s="2136">
        <f t="shared" ca="1" si="30"/>
        <v>1608.3188783833759</v>
      </c>
      <c r="E223" s="2185">
        <f t="shared" ca="1" si="30"/>
        <v>2444.6915525542558</v>
      </c>
      <c r="L223" s="2268"/>
      <c r="M223" s="2268"/>
      <c r="N223" s="2268"/>
      <c r="O223" s="2268"/>
    </row>
    <row r="224" spans="1:15" s="2136" customFormat="1" ht="15.75">
      <c r="A224" s="2236" t="s">
        <v>2542</v>
      </c>
      <c r="B224" s="2136">
        <f t="shared" ca="1" si="30"/>
        <v>3214.540512918265</v>
      </c>
      <c r="C224" s="2136">
        <f t="shared" ca="1" si="30"/>
        <v>3242.9634398697667</v>
      </c>
      <c r="D224" s="2136">
        <f t="shared" ca="1" si="30"/>
        <v>2546.8842613410343</v>
      </c>
      <c r="E224" s="2185">
        <f t="shared" ca="1" si="30"/>
        <v>4260.6026539996983</v>
      </c>
      <c r="L224" s="2268"/>
      <c r="M224" s="2268"/>
      <c r="N224" s="2268"/>
      <c r="O224" s="2268"/>
    </row>
    <row r="225" spans="1:15" s="2136" customFormat="1" ht="15.75">
      <c r="A225" s="2236" t="s">
        <v>2543</v>
      </c>
      <c r="B225" s="2136">
        <f t="shared" ca="1" si="30"/>
        <v>985.42824607848456</v>
      </c>
      <c r="C225" s="2136">
        <f t="shared" ca="1" si="30"/>
        <v>984.12547436525529</v>
      </c>
      <c r="D225" s="2136">
        <f t="shared" ca="1" si="30"/>
        <v>554.56366053669979</v>
      </c>
      <c r="E225" s="2185">
        <f t="shared" ca="1" si="30"/>
        <v>793.99158159994397</v>
      </c>
      <c r="L225" s="2268"/>
      <c r="M225" s="2268"/>
      <c r="N225" s="2268"/>
      <c r="O225" s="2268"/>
    </row>
    <row r="226" spans="1:15" s="2136" customFormat="1" ht="15.75">
      <c r="A226" s="2236" t="s">
        <v>2544</v>
      </c>
      <c r="B226" s="2136">
        <f t="shared" ca="1" si="30"/>
        <v>511.48094328691167</v>
      </c>
      <c r="C226" s="2136">
        <f t="shared" ca="1" si="30"/>
        <v>511.75916423350776</v>
      </c>
      <c r="D226" s="2136">
        <f t="shared" ca="1" si="30"/>
        <v>310.08418141587481</v>
      </c>
      <c r="E226" s="2185">
        <f t="shared" ca="1" si="30"/>
        <v>454.89603328957287</v>
      </c>
      <c r="L226" s="2268"/>
      <c r="M226" s="2268"/>
      <c r="N226" s="2268"/>
      <c r="O226" s="2268"/>
    </row>
    <row r="227" spans="1:15" s="2136" customFormat="1" ht="15.75">
      <c r="A227" s="2236" t="s">
        <v>2545</v>
      </c>
      <c r="B227" s="2136">
        <f t="shared" ca="1" si="30"/>
        <v>3676.1835400009027</v>
      </c>
      <c r="C227" s="2136">
        <f t="shared" ca="1" si="30"/>
        <v>3673.3481625620707</v>
      </c>
      <c r="D227" s="2136">
        <f t="shared" ca="1" si="30"/>
        <v>2157.0681857837926</v>
      </c>
      <c r="E227" s="2185">
        <f t="shared" ca="1" si="30"/>
        <v>3142.0554376696946</v>
      </c>
      <c r="L227" s="2268"/>
      <c r="M227" s="2268"/>
      <c r="N227" s="2268"/>
      <c r="O227" s="2268"/>
    </row>
    <row r="228" spans="1:15" s="2136" customFormat="1">
      <c r="A228" s="2236" t="s">
        <v>827</v>
      </c>
      <c r="B228" s="2136">
        <f t="shared" ca="1" si="30"/>
        <v>22.453846294598851</v>
      </c>
      <c r="C228" s="2136">
        <f t="shared" ca="1" si="30"/>
        <v>22.709943613926512</v>
      </c>
      <c r="D228" s="2136">
        <f t="shared" ca="1" si="30"/>
        <v>18.717247999545766</v>
      </c>
      <c r="E228" s="2185">
        <f t="shared" ca="1" si="30"/>
        <v>31.887273806154386</v>
      </c>
      <c r="L228" s="2268"/>
      <c r="M228" s="2268"/>
      <c r="N228" s="2268"/>
      <c r="O228" s="2268"/>
    </row>
    <row r="229" spans="1:15" s="2136" customFormat="1">
      <c r="A229" s="2236" t="s">
        <v>828</v>
      </c>
      <c r="B229" s="2136">
        <f t="shared" ca="1" si="30"/>
        <v>69.234065720981775</v>
      </c>
      <c r="C229" s="2136">
        <f t="shared" ca="1" si="30"/>
        <v>69.912487638265063</v>
      </c>
      <c r="D229" s="2136">
        <f t="shared" ca="1" si="30"/>
        <v>58.570636720264346</v>
      </c>
      <c r="E229" s="2185">
        <f t="shared" ca="1" si="30"/>
        <v>86.595622477172881</v>
      </c>
      <c r="L229" s="2268"/>
      <c r="M229" s="2268"/>
      <c r="N229" s="2268"/>
      <c r="O229" s="2268"/>
    </row>
    <row r="230" spans="1:15" s="2136" customFormat="1" ht="15.75">
      <c r="A230" s="2236" t="s">
        <v>2546</v>
      </c>
      <c r="B230" s="2136">
        <f t="shared" ca="1" si="30"/>
        <v>10531.623879424982</v>
      </c>
      <c r="C230" s="2136">
        <f t="shared" ca="1" si="30"/>
        <v>10609.590073157045</v>
      </c>
      <c r="D230" s="2136">
        <f t="shared" ca="1" si="30"/>
        <v>8234.0214935433978</v>
      </c>
      <c r="E230" s="2185">
        <f t="shared" ca="1" si="30"/>
        <v>11716.845409219395</v>
      </c>
      <c r="L230" s="2268"/>
      <c r="M230" s="2268"/>
      <c r="N230" s="2268"/>
      <c r="O230" s="2268"/>
    </row>
    <row r="231" spans="1:15" s="2136" customFormat="1" ht="15.75">
      <c r="A231" s="2236" t="s">
        <v>2547</v>
      </c>
      <c r="B231" s="2136">
        <f t="shared" ca="1" si="30"/>
        <v>82.22775029913781</v>
      </c>
      <c r="C231" s="2136">
        <f t="shared" ca="1" si="30"/>
        <v>83.115347159209989</v>
      </c>
      <c r="D231" s="2136">
        <f t="shared" ca="1" si="30"/>
        <v>70.410343408098441</v>
      </c>
      <c r="E231" s="2185">
        <f t="shared" ca="1" si="30"/>
        <v>108.27038269574912</v>
      </c>
      <c r="L231" s="2268"/>
      <c r="M231" s="2268"/>
      <c r="N231" s="2268"/>
      <c r="O231" s="2268"/>
    </row>
    <row r="232" spans="1:15" s="2144" customFormat="1" ht="15.75">
      <c r="A232" s="2236" t="s">
        <v>2548</v>
      </c>
      <c r="B232" s="2136">
        <f t="shared" ca="1" si="30"/>
        <v>3231594.3981695524</v>
      </c>
      <c r="C232" s="2136">
        <f t="shared" ca="1" si="30"/>
        <v>3262790.6327008465</v>
      </c>
      <c r="D232" s="2136">
        <f t="shared" ca="1" si="30"/>
        <v>2766162.9262692709</v>
      </c>
      <c r="E232" s="2185">
        <f t="shared" ca="1" si="30"/>
        <v>4296276.5165275615</v>
      </c>
      <c r="F232" s="2237"/>
      <c r="G232" s="2237"/>
      <c r="H232" s="2237"/>
      <c r="I232" s="2237"/>
      <c r="J232" s="2237"/>
      <c r="K232" s="2237"/>
      <c r="L232" s="2268"/>
      <c r="M232" s="2268"/>
      <c r="N232" s="2268"/>
      <c r="O232" s="2268"/>
    </row>
    <row r="233" spans="1:15" s="2144" customFormat="1" ht="15.75">
      <c r="A233" s="2236" t="s">
        <v>2550</v>
      </c>
      <c r="B233" s="2136">
        <f t="shared" ca="1" si="30"/>
        <v>3240940.747699731</v>
      </c>
      <c r="C233" s="2136">
        <f t="shared" ca="1" si="30"/>
        <v>3272154.6892965063</v>
      </c>
      <c r="D233" s="2136">
        <f t="shared" ca="1" si="30"/>
        <v>2772052.5043301163</v>
      </c>
      <c r="E233" s="2185">
        <f t="shared" ca="1" si="30"/>
        <v>4304172.1147727882</v>
      </c>
      <c r="F233" s="2237"/>
      <c r="G233" s="2237"/>
      <c r="H233" s="2237"/>
      <c r="I233" s="2237"/>
      <c r="J233" s="2237"/>
      <c r="K233" s="2237"/>
      <c r="L233" s="2268"/>
      <c r="M233" s="2268"/>
      <c r="N233" s="2268"/>
      <c r="O233" s="2268"/>
    </row>
    <row r="234" spans="1:15" s="2144" customFormat="1">
      <c r="A234" s="2238" t="s">
        <v>851</v>
      </c>
      <c r="B234" s="2242">
        <f t="shared" ca="1" si="30"/>
        <v>3578679.817911752</v>
      </c>
      <c r="C234" s="2242">
        <f t="shared" ca="1" si="30"/>
        <v>3612467.9584884099</v>
      </c>
      <c r="D234" s="2242">
        <f t="shared" ca="1" si="30"/>
        <v>3037731.8901395644</v>
      </c>
      <c r="E234" s="2227">
        <f t="shared" ca="1" si="30"/>
        <v>4684369.1284637433</v>
      </c>
      <c r="F234" s="2237"/>
      <c r="G234" s="2237"/>
      <c r="H234" s="2237"/>
      <c r="I234" s="2237"/>
      <c r="J234" s="2237"/>
      <c r="K234" s="2237"/>
      <c r="L234" s="2268"/>
      <c r="M234" s="2268"/>
      <c r="N234" s="2268"/>
      <c r="O234" s="2268"/>
    </row>
    <row r="235" spans="1:15" s="2136" customFormat="1">
      <c r="A235" s="2228" t="s">
        <v>1031</v>
      </c>
      <c r="B235" s="2251"/>
      <c r="C235" s="2251"/>
      <c r="D235" s="2251"/>
      <c r="E235" s="2186"/>
      <c r="F235" s="2198"/>
      <c r="G235" s="2198"/>
      <c r="H235" s="2198"/>
      <c r="I235" s="2198"/>
      <c r="J235" s="2198"/>
      <c r="K235" s="2198"/>
      <c r="L235" s="2268"/>
      <c r="M235" s="2268"/>
      <c r="N235" s="2268"/>
      <c r="O235" s="2268"/>
    </row>
    <row r="236" spans="1:15" s="2136" customFormat="1">
      <c r="A236" s="2236" t="s">
        <v>821</v>
      </c>
      <c r="B236" s="2136">
        <f t="shared" ref="B236:E243" ca="1" si="31">B$174*($B$6*($A$14*$B161+$B$14*$C161+$C$14*$D161)+$C$6*$E161)+B$175*$F161+B$176*($A$18*$G161+$B$18*$H161)+B$178*($B$7*($A$22*$I161+$B$22*$J161+$C$22*$K161)+$C$7*($A$22*$L161+$B$22*$M161+$C$22*$N161))+B$177*($B$8*$O161+$C$8*$P161)+B$179*$Q161+B$203*$R161+B$191*($A$30*SUMPRODUCT($B$36:$L$36,$S161:$AC161)+$B$30*SUMPRODUCT($B$37:$L$37,$S161:$AC161)+$F$30*SUMPRODUCT($B$38:$L$38,$S161:$AC161)+$G$30*SUMPRODUCT($B$39:$L$39,$S161:$AC161)+$H$30*SUMPRODUCT($B$40:$L$40,$S161:$AC161)+$I$30*SUMPRODUCT($B$41:$L$41,$S161:$AC161)+$J$30*SUMPRODUCT($B$42:$L$42,$S161:$AC161)+$K$30*SUMPRODUCT($B$43:$L$43,$S161:$AC161)+$L$30*SUMPRODUCT($B$44:$L$44,$S161:$AC161)+$M$30*SUMPRODUCT($B$45:$L$45,$S161:$AC161)+$P$30*SUMPRODUCT($B$46:$L$46,$S161:$AC161))+B$190*($A$50*$AD161+$B$50*$AE161)+B$201*$S161+B$200*$T161+B$202*$S161</f>
        <v>25.994594370261545</v>
      </c>
      <c r="C236" s="2136">
        <f t="shared" ca="1" si="31"/>
        <v>26.286385948355282</v>
      </c>
      <c r="D236" s="2136">
        <f t="shared" ca="1" si="31"/>
        <v>22.300029774656981</v>
      </c>
      <c r="E236" s="2185">
        <f t="shared" ca="1" si="31"/>
        <v>40.955331201828287</v>
      </c>
      <c r="L236" s="2268"/>
      <c r="M236" s="2268"/>
      <c r="N236" s="2268"/>
      <c r="O236" s="2268"/>
    </row>
    <row r="237" spans="1:15" s="2136" customFormat="1">
      <c r="A237" s="2236" t="s">
        <v>822</v>
      </c>
      <c r="B237" s="2136">
        <f t="shared" ca="1" si="31"/>
        <v>152.86697264475694</v>
      </c>
      <c r="C237" s="2136">
        <f t="shared" ca="1" si="31"/>
        <v>154.30633053264873</v>
      </c>
      <c r="D237" s="2136">
        <f t="shared" ca="1" si="31"/>
        <v>133.29518693330539</v>
      </c>
      <c r="E237" s="2185">
        <f t="shared" ca="1" si="31"/>
        <v>191.28907191454263</v>
      </c>
      <c r="L237" s="2268"/>
      <c r="M237" s="2268"/>
      <c r="N237" s="2268"/>
      <c r="O237" s="2268"/>
    </row>
    <row r="238" spans="1:15" s="2136" customFormat="1" ht="15.75">
      <c r="A238" s="2236" t="s">
        <v>2542</v>
      </c>
      <c r="B238" s="2136">
        <f t="shared" ca="1" si="31"/>
        <v>348.56481913660917</v>
      </c>
      <c r="C238" s="2136">
        <f t="shared" ca="1" si="31"/>
        <v>351.29748904111921</v>
      </c>
      <c r="D238" s="2136">
        <f t="shared" ca="1" si="31"/>
        <v>307.32762931610449</v>
      </c>
      <c r="E238" s="2185">
        <f t="shared" ca="1" si="31"/>
        <v>429.43654490330994</v>
      </c>
      <c r="L238" s="2268"/>
      <c r="M238" s="2268"/>
      <c r="N238" s="2268"/>
      <c r="O238" s="2268"/>
    </row>
    <row r="239" spans="1:15" s="2136" customFormat="1" ht="15.75">
      <c r="A239" s="2236" t="s">
        <v>2543</v>
      </c>
      <c r="B239" s="2136">
        <f t="shared" ca="1" si="31"/>
        <v>36.754960722548589</v>
      </c>
      <c r="C239" s="2136">
        <f t="shared" ca="1" si="31"/>
        <v>36.995879675288798</v>
      </c>
      <c r="D239" s="2136">
        <f t="shared" ca="1" si="31"/>
        <v>33.067896210466635</v>
      </c>
      <c r="E239" s="2185">
        <f t="shared" ca="1" si="31"/>
        <v>46.319932060977223</v>
      </c>
      <c r="L239" s="2268"/>
      <c r="M239" s="2268"/>
      <c r="N239" s="2268"/>
      <c r="O239" s="2268"/>
    </row>
    <row r="240" spans="1:15" s="2136" customFormat="1" ht="15.75">
      <c r="A240" s="2236" t="s">
        <v>2544</v>
      </c>
      <c r="B240" s="2136">
        <f t="shared" ca="1" si="31"/>
        <v>32.336750210965135</v>
      </c>
      <c r="C240" s="2136">
        <f t="shared" ca="1" si="31"/>
        <v>32.548786960761753</v>
      </c>
      <c r="D240" s="2136">
        <f t="shared" ca="1" si="31"/>
        <v>29.090507926184856</v>
      </c>
      <c r="E240" s="2185">
        <f t="shared" ca="1" si="31"/>
        <v>40.753075775899561</v>
      </c>
      <c r="L240" s="2268"/>
      <c r="M240" s="2268"/>
      <c r="N240" s="2268"/>
      <c r="O240" s="2268"/>
    </row>
    <row r="241" spans="1:15" s="2136" customFormat="1" ht="15.75">
      <c r="A241" s="2236" t="s">
        <v>2545</v>
      </c>
      <c r="B241" s="2136">
        <f t="shared" ca="1" si="31"/>
        <v>273.16299758337277</v>
      </c>
      <c r="C241" s="2136">
        <f t="shared" ca="1" si="31"/>
        <v>274.92728179968276</v>
      </c>
      <c r="D241" s="2136">
        <f t="shared" ca="1" si="31"/>
        <v>246.04380938985392</v>
      </c>
      <c r="E241" s="2185">
        <f t="shared" ca="1" si="31"/>
        <v>334.51747732750988</v>
      </c>
      <c r="L241" s="2268"/>
      <c r="M241" s="2268"/>
      <c r="N241" s="2268"/>
      <c r="O241" s="2268"/>
    </row>
    <row r="242" spans="1:15" s="2136" customFormat="1">
      <c r="A242" s="2236" t="s">
        <v>827</v>
      </c>
      <c r="B242" s="2136">
        <f t="shared" ca="1" si="31"/>
        <v>1.7095838020047125</v>
      </c>
      <c r="C242" s="2136">
        <f t="shared" ca="1" si="31"/>
        <v>1.7213535804002233</v>
      </c>
      <c r="D242" s="2136">
        <f t="shared" ca="1" si="31"/>
        <v>1.5331267929681869</v>
      </c>
      <c r="E242" s="2185">
        <f t="shared" ca="1" si="31"/>
        <v>2.2462037000169781</v>
      </c>
      <c r="L242" s="2268"/>
      <c r="M242" s="2268"/>
      <c r="N242" s="2268"/>
      <c r="O242" s="2268"/>
    </row>
    <row r="243" spans="1:15" s="2136" customFormat="1">
      <c r="A243" s="2238" t="s">
        <v>828</v>
      </c>
      <c r="B243" s="2242">
        <f t="shared" ca="1" si="31"/>
        <v>9.2915921227003917</v>
      </c>
      <c r="C243" s="2242">
        <f t="shared" ca="1" si="31"/>
        <v>9.3513289656922947</v>
      </c>
      <c r="D243" s="2242">
        <f t="shared" ca="1" si="31"/>
        <v>8.3416716882375468</v>
      </c>
      <c r="E243" s="2227">
        <f t="shared" ca="1" si="31"/>
        <v>11.464132769591282</v>
      </c>
      <c r="L243" s="2268"/>
      <c r="M243" s="2268"/>
      <c r="N243" s="2268"/>
      <c r="O243" s="2268"/>
    </row>
    <row r="244" spans="1:15" s="2136" customFormat="1"/>
    <row r="245" spans="1:15" s="2136" customFormat="1" ht="15">
      <c r="A245" s="2149" t="s">
        <v>1502</v>
      </c>
    </row>
    <row r="246" spans="1:15" s="2136" customFormat="1">
      <c r="A246" s="2235"/>
      <c r="B246" s="2256" t="str">
        <f>B171</f>
        <v>ICEV</v>
      </c>
      <c r="C246" s="2245" t="str">
        <f>C171</f>
        <v>HEV</v>
      </c>
      <c r="D246" s="2245" t="str">
        <f>D171</f>
        <v>EV</v>
      </c>
      <c r="E246" s="2246" t="str">
        <f>E171</f>
        <v>FCV</v>
      </c>
      <c r="F246" s="2257"/>
      <c r="G246" s="2257"/>
      <c r="H246" s="2257"/>
      <c r="I246" s="2257"/>
      <c r="J246" s="2257"/>
      <c r="K246" s="2257"/>
    </row>
    <row r="247" spans="1:15" s="2136" customFormat="1">
      <c r="A247" s="2228" t="s">
        <v>1443</v>
      </c>
      <c r="B247" s="2172"/>
      <c r="C247" s="2251"/>
      <c r="D247" s="2251"/>
      <c r="E247" s="2186"/>
    </row>
    <row r="248" spans="1:15" s="2136" customFormat="1">
      <c r="A248" s="2229" t="s">
        <v>816</v>
      </c>
      <c r="B248" s="2151">
        <f t="shared" ref="B248:E253" ca="1" si="32">SUM($C106:$H106)+B215</f>
        <v>79.667324360315916</v>
      </c>
      <c r="C248" s="2136">
        <f t="shared" ca="1" si="32"/>
        <v>80.101100430774466</v>
      </c>
      <c r="D248" s="2136">
        <f t="shared" ca="1" si="32"/>
        <v>63.738449884001291</v>
      </c>
      <c r="E248" s="2185">
        <f t="shared" ca="1" si="32"/>
        <v>87.347346905616078</v>
      </c>
    </row>
    <row r="249" spans="1:15" s="2136" customFormat="1">
      <c r="A249" s="2229" t="s">
        <v>817</v>
      </c>
      <c r="B249" s="2151">
        <f t="shared" ca="1" si="32"/>
        <v>72.65005956940692</v>
      </c>
      <c r="C249" s="2136">
        <f t="shared" ca="1" si="32"/>
        <v>73.045588347506168</v>
      </c>
      <c r="D249" s="2136">
        <f t="shared" ca="1" si="32"/>
        <v>57.315536742848728</v>
      </c>
      <c r="E249" s="2185">
        <f t="shared" ca="1" si="32"/>
        <v>79.051282944765703</v>
      </c>
    </row>
    <row r="250" spans="1:15" s="2136" customFormat="1">
      <c r="A250" s="2229" t="s">
        <v>805</v>
      </c>
      <c r="B250" s="2151">
        <f t="shared" ca="1" si="32"/>
        <v>25.742631289619577</v>
      </c>
      <c r="C250" s="2136">
        <f t="shared" ca="1" si="32"/>
        <v>25.697370834075013</v>
      </c>
      <c r="D250" s="2136">
        <f t="shared" ca="1" si="32"/>
        <v>15.856384248691834</v>
      </c>
      <c r="E250" s="2185">
        <f t="shared" ca="1" si="32"/>
        <v>18.337014325422668</v>
      </c>
    </row>
    <row r="251" spans="1:15" s="2136" customFormat="1">
      <c r="A251" s="2229" t="s">
        <v>804</v>
      </c>
      <c r="B251" s="2151">
        <f t="shared" ca="1" si="32"/>
        <v>46.247956534373124</v>
      </c>
      <c r="C251" s="2136">
        <f t="shared" ca="1" si="32"/>
        <v>46.664391319788741</v>
      </c>
      <c r="D251" s="2136">
        <f t="shared" ca="1" si="32"/>
        <v>40.889675713298736</v>
      </c>
      <c r="E251" s="2185">
        <f t="shared" ca="1" si="32"/>
        <v>54.846716150694348</v>
      </c>
    </row>
    <row r="252" spans="1:15" s="2136" customFormat="1">
      <c r="A252" s="2229" t="s">
        <v>818</v>
      </c>
      <c r="B252" s="2159">
        <f t="shared" ca="1" si="32"/>
        <v>0.65947174541421671</v>
      </c>
      <c r="C252" s="2242">
        <f t="shared" ca="1" si="32"/>
        <v>0.68382619364242281</v>
      </c>
      <c r="D252" s="2242">
        <f t="shared" ca="1" si="32"/>
        <v>0.56947678085816711</v>
      </c>
      <c r="E252" s="2227">
        <f t="shared" ca="1" si="32"/>
        <v>5.8675524686486922</v>
      </c>
    </row>
    <row r="253" spans="1:15" s="2136" customFormat="1">
      <c r="A253" s="2269" t="s">
        <v>819</v>
      </c>
      <c r="B253" s="2270">
        <f t="shared" ca="1" si="32"/>
        <v>1965.7164883998746</v>
      </c>
      <c r="C253" s="2258">
        <f t="shared" ca="1" si="32"/>
        <v>1976.4978492631667</v>
      </c>
      <c r="D253" s="2258">
        <f t="shared" ca="1" si="32"/>
        <v>1764.6318112138667</v>
      </c>
      <c r="E253" s="2259">
        <f t="shared" ca="1" si="32"/>
        <v>2375.3368472748311</v>
      </c>
      <c r="F253" s="2144"/>
      <c r="G253" s="2144"/>
      <c r="H253" s="2144"/>
      <c r="I253" s="2144"/>
      <c r="J253" s="2144"/>
      <c r="K253" s="2144"/>
    </row>
    <row r="254" spans="1:15" s="2136" customFormat="1">
      <c r="A254" s="2228" t="s">
        <v>1030</v>
      </c>
      <c r="B254" s="2189"/>
      <c r="C254" s="2250"/>
      <c r="D254" s="2250"/>
      <c r="E254" s="2190"/>
      <c r="F254" s="2198"/>
      <c r="G254" s="2198"/>
      <c r="H254" s="2198"/>
      <c r="I254" s="2198"/>
      <c r="J254" s="2198"/>
      <c r="K254" s="2198"/>
    </row>
    <row r="255" spans="1:15" s="2136" customFormat="1">
      <c r="A255" s="2236" t="s">
        <v>821</v>
      </c>
      <c r="B255" s="2151">
        <f t="shared" ref="B255:E267" ca="1" si="33">SUM($C113:$H113)+B222</f>
        <v>3666.958409477957</v>
      </c>
      <c r="C255" s="2136">
        <f t="shared" ca="1" si="33"/>
        <v>3663.5769367540388</v>
      </c>
      <c r="D255" s="2136">
        <f t="shared" ca="1" si="33"/>
        <v>2778.9072124027325</v>
      </c>
      <c r="E255" s="2185">
        <f t="shared" ca="1" si="33"/>
        <v>3000.8495443256488</v>
      </c>
    </row>
    <row r="256" spans="1:15" s="2136" customFormat="1">
      <c r="A256" s="2236" t="s">
        <v>822</v>
      </c>
      <c r="B256" s="2151">
        <f t="shared" ca="1" si="33"/>
        <v>2439.0958791910371</v>
      </c>
      <c r="C256" s="2136">
        <f t="shared" ca="1" si="33"/>
        <v>2457.0705993396468</v>
      </c>
      <c r="D256" s="2136">
        <f t="shared" ca="1" si="33"/>
        <v>2000.6337577539466</v>
      </c>
      <c r="E256" s="2185">
        <f t="shared" ca="1" si="33"/>
        <v>2837.0064319248268</v>
      </c>
    </row>
    <row r="257" spans="1:11" s="2136" customFormat="1" ht="15.75">
      <c r="A257" s="2236" t="s">
        <v>2542</v>
      </c>
      <c r="B257" s="2151">
        <f t="shared" ca="1" si="33"/>
        <v>3805.3735892043478</v>
      </c>
      <c r="C257" s="2136">
        <f t="shared" ca="1" si="33"/>
        <v>3833.7965161558495</v>
      </c>
      <c r="D257" s="2136">
        <f t="shared" ca="1" si="33"/>
        <v>3137.7173376271166</v>
      </c>
      <c r="E257" s="2185">
        <f t="shared" ca="1" si="33"/>
        <v>4851.4357302857807</v>
      </c>
    </row>
    <row r="258" spans="1:11" s="2136" customFormat="1" ht="15.75">
      <c r="A258" s="2236" t="s">
        <v>2543</v>
      </c>
      <c r="B258" s="2151">
        <f t="shared" ca="1" si="33"/>
        <v>1095.0153412227787</v>
      </c>
      <c r="C258" s="2136">
        <f t="shared" ca="1" si="33"/>
        <v>1093.7125695095497</v>
      </c>
      <c r="D258" s="2136">
        <f t="shared" ca="1" si="33"/>
        <v>664.15075568099405</v>
      </c>
      <c r="E258" s="2185">
        <f t="shared" ca="1" si="33"/>
        <v>903.57867674423824</v>
      </c>
    </row>
    <row r="259" spans="1:11" s="2136" customFormat="1" ht="15.75">
      <c r="A259" s="2236" t="s">
        <v>2544</v>
      </c>
      <c r="B259" s="2151">
        <f t="shared" ca="1" si="33"/>
        <v>579.32116980709043</v>
      </c>
      <c r="C259" s="2136">
        <f t="shared" ca="1" si="33"/>
        <v>579.59939075368652</v>
      </c>
      <c r="D259" s="2136">
        <f t="shared" ca="1" si="33"/>
        <v>377.92440793605351</v>
      </c>
      <c r="E259" s="2185">
        <f t="shared" ca="1" si="33"/>
        <v>522.73625980975157</v>
      </c>
    </row>
    <row r="260" spans="1:11" s="2136" customFormat="1" ht="15.75">
      <c r="A260" s="2236" t="s">
        <v>2545</v>
      </c>
      <c r="B260" s="2151">
        <f t="shared" ca="1" si="33"/>
        <v>3887.5209151020658</v>
      </c>
      <c r="C260" s="2136">
        <f t="shared" ca="1" si="33"/>
        <v>3884.6855376632338</v>
      </c>
      <c r="D260" s="2136">
        <f t="shared" ca="1" si="33"/>
        <v>2368.4055608849558</v>
      </c>
      <c r="E260" s="2185">
        <f t="shared" ca="1" si="33"/>
        <v>3353.3928127708577</v>
      </c>
    </row>
    <row r="261" spans="1:11" s="2136" customFormat="1">
      <c r="A261" s="2236" t="s">
        <v>827</v>
      </c>
      <c r="B261" s="2151">
        <f t="shared" ca="1" si="33"/>
        <v>27.091400354259633</v>
      </c>
      <c r="C261" s="2136">
        <f t="shared" ca="1" si="33"/>
        <v>27.347497673587295</v>
      </c>
      <c r="D261" s="2136">
        <f t="shared" ca="1" si="33"/>
        <v>23.354802059206548</v>
      </c>
      <c r="E261" s="2185">
        <f t="shared" ca="1" si="33"/>
        <v>36.524827865815169</v>
      </c>
    </row>
    <row r="262" spans="1:11" s="2136" customFormat="1">
      <c r="A262" s="2236" t="s">
        <v>828</v>
      </c>
      <c r="B262" s="2151">
        <f t="shared" ca="1" si="33"/>
        <v>82.94846099976337</v>
      </c>
      <c r="C262" s="2136">
        <f t="shared" ca="1" si="33"/>
        <v>83.626882917046657</v>
      </c>
      <c r="D262" s="2136">
        <f t="shared" ca="1" si="33"/>
        <v>72.285031999045941</v>
      </c>
      <c r="E262" s="2185">
        <f t="shared" ca="1" si="33"/>
        <v>100.31001775595448</v>
      </c>
    </row>
    <row r="263" spans="1:11" s="2136" customFormat="1" ht="15.75">
      <c r="A263" s="2236" t="s">
        <v>2546</v>
      </c>
      <c r="B263" s="2151">
        <f t="shared" ca="1" si="33"/>
        <v>12305.821258693075</v>
      </c>
      <c r="C263" s="2136">
        <f t="shared" ca="1" si="33"/>
        <v>12383.787452425138</v>
      </c>
      <c r="D263" s="2136">
        <f t="shared" ca="1" si="33"/>
        <v>10008.218872811489</v>
      </c>
      <c r="E263" s="2185">
        <f t="shared" ca="1" si="33"/>
        <v>13491.042788487488</v>
      </c>
    </row>
    <row r="264" spans="1:11" s="2136" customFormat="1" ht="15.75">
      <c r="A264" s="2236" t="s">
        <v>2547</v>
      </c>
      <c r="B264" s="2151">
        <f t="shared" ca="1" si="33"/>
        <v>99.365906546709382</v>
      </c>
      <c r="C264" s="2136">
        <f t="shared" ca="1" si="33"/>
        <v>100.25350340678156</v>
      </c>
      <c r="D264" s="2136">
        <f t="shared" ca="1" si="33"/>
        <v>87.548499655670014</v>
      </c>
      <c r="E264" s="2185">
        <f t="shared" ca="1" si="33"/>
        <v>125.40853894332069</v>
      </c>
    </row>
    <row r="265" spans="1:11" s="2144" customFormat="1" ht="15.75">
      <c r="A265" s="2236" t="s">
        <v>2548</v>
      </c>
      <c r="B265" s="2271">
        <f t="shared" ca="1" si="33"/>
        <v>3854029.7851957572</v>
      </c>
      <c r="C265" s="2237">
        <f t="shared" ca="1" si="33"/>
        <v>3885226.0197270513</v>
      </c>
      <c r="D265" s="2237">
        <f t="shared" ca="1" si="33"/>
        <v>3388598.3132954757</v>
      </c>
      <c r="E265" s="2252">
        <f t="shared" ca="1" si="33"/>
        <v>4918711.9035537662</v>
      </c>
      <c r="F265" s="2237"/>
      <c r="G265" s="2237"/>
      <c r="H265" s="2237"/>
      <c r="I265" s="2237"/>
      <c r="J265" s="2237"/>
      <c r="K265" s="2237"/>
    </row>
    <row r="266" spans="1:11" s="2144" customFormat="1" ht="15.75">
      <c r="A266" s="2236" t="s">
        <v>2550</v>
      </c>
      <c r="B266" s="2271">
        <f t="shared" ca="1" si="33"/>
        <v>3869291.3371916441</v>
      </c>
      <c r="C266" s="2237">
        <f t="shared" ca="1" si="33"/>
        <v>3900505.2787884194</v>
      </c>
      <c r="D266" s="2237">
        <f t="shared" ca="1" si="33"/>
        <v>3400403.0938220294</v>
      </c>
      <c r="E266" s="2252">
        <f t="shared" ca="1" si="33"/>
        <v>4932522.7042647013</v>
      </c>
      <c r="F266" s="2237"/>
      <c r="G266" s="2237"/>
      <c r="H266" s="2237"/>
      <c r="I266" s="2237"/>
      <c r="J266" s="2237"/>
      <c r="K266" s="2237"/>
    </row>
    <row r="267" spans="1:11" s="2144" customFormat="1">
      <c r="A267" s="2238" t="s">
        <v>851</v>
      </c>
      <c r="B267" s="2191">
        <f t="shared" ca="1" si="33"/>
        <v>4264797.9401873145</v>
      </c>
      <c r="C267" s="2239">
        <f t="shared" ca="1" si="33"/>
        <v>4298586.0807639724</v>
      </c>
      <c r="D267" s="2239">
        <f t="shared" ca="1" si="33"/>
        <v>3723850.0124151269</v>
      </c>
      <c r="E267" s="2192">
        <f t="shared" ca="1" si="33"/>
        <v>5370487.2507393062</v>
      </c>
      <c r="F267" s="2237"/>
      <c r="G267" s="2237"/>
      <c r="H267" s="2237"/>
      <c r="I267" s="2237"/>
      <c r="J267" s="2237"/>
      <c r="K267" s="2237"/>
    </row>
    <row r="268" spans="1:11" s="2136" customFormat="1">
      <c r="A268" s="2247" t="s">
        <v>1031</v>
      </c>
      <c r="B268" s="2189"/>
      <c r="C268" s="2250"/>
      <c r="D268" s="2250"/>
      <c r="E268" s="2190"/>
      <c r="F268" s="2198"/>
      <c r="G268" s="2198"/>
      <c r="H268" s="2198"/>
      <c r="I268" s="2198"/>
      <c r="J268" s="2198"/>
      <c r="K268" s="2198"/>
    </row>
    <row r="269" spans="1:11" s="2136" customFormat="1">
      <c r="A269" s="2236" t="s">
        <v>821</v>
      </c>
      <c r="B269" s="2151">
        <f t="shared" ref="B269:E276" ca="1" si="34">SUM($C127:$H127)+B236</f>
        <v>31.172169928242802</v>
      </c>
      <c r="C269" s="2136">
        <f t="shared" ca="1" si="34"/>
        <v>31.463961506336538</v>
      </c>
      <c r="D269" s="2136">
        <f t="shared" ca="1" si="34"/>
        <v>27.477605332638241</v>
      </c>
      <c r="E269" s="2185">
        <f t="shared" ca="1" si="34"/>
        <v>46.132906759809543</v>
      </c>
    </row>
    <row r="270" spans="1:11" s="2136" customFormat="1">
      <c r="A270" s="2236" t="s">
        <v>822</v>
      </c>
      <c r="B270" s="2151">
        <f t="shared" ca="1" si="34"/>
        <v>182.9445624366725</v>
      </c>
      <c r="C270" s="2136">
        <f t="shared" ca="1" si="34"/>
        <v>184.38392032456429</v>
      </c>
      <c r="D270" s="2136">
        <f t="shared" ca="1" si="34"/>
        <v>163.37277672522094</v>
      </c>
      <c r="E270" s="2185">
        <f t="shared" ca="1" si="34"/>
        <v>221.36666170645819</v>
      </c>
    </row>
    <row r="271" spans="1:11" s="2136" customFormat="1" ht="15.75">
      <c r="A271" s="2236" t="s">
        <v>2542</v>
      </c>
      <c r="B271" s="2151">
        <f t="shared" ca="1" si="34"/>
        <v>411.05024354069843</v>
      </c>
      <c r="C271" s="2136">
        <f t="shared" ca="1" si="34"/>
        <v>413.78291344520846</v>
      </c>
      <c r="D271" s="2136">
        <f t="shared" ca="1" si="34"/>
        <v>369.81305372019375</v>
      </c>
      <c r="E271" s="2185">
        <f t="shared" ca="1" si="34"/>
        <v>491.92196930739919</v>
      </c>
    </row>
    <row r="272" spans="1:11" s="2136" customFormat="1" ht="15.75">
      <c r="A272" s="2236" t="s">
        <v>2543</v>
      </c>
      <c r="B272" s="2151">
        <f t="shared" ca="1" si="34"/>
        <v>42.772085712865803</v>
      </c>
      <c r="C272" s="2136">
        <f t="shared" ca="1" si="34"/>
        <v>43.013004665606019</v>
      </c>
      <c r="D272" s="2136">
        <f t="shared" ca="1" si="34"/>
        <v>39.085021200783856</v>
      </c>
      <c r="E272" s="2185">
        <f t="shared" ca="1" si="34"/>
        <v>52.337057051294437</v>
      </c>
    </row>
    <row r="273" spans="1:5" s="2136" customFormat="1" ht="15.75">
      <c r="A273" s="2236" t="s">
        <v>2544</v>
      </c>
      <c r="B273" s="2151">
        <f t="shared" ca="1" si="34"/>
        <v>37.631211258445411</v>
      </c>
      <c r="C273" s="2136">
        <f t="shared" ca="1" si="34"/>
        <v>37.843248008242028</v>
      </c>
      <c r="D273" s="2136">
        <f t="shared" ca="1" si="34"/>
        <v>34.384968973665131</v>
      </c>
      <c r="E273" s="2185">
        <f t="shared" ca="1" si="34"/>
        <v>46.047536823379836</v>
      </c>
    </row>
    <row r="274" spans="1:5" s="2136" customFormat="1" ht="15.75">
      <c r="A274" s="2236" t="s">
        <v>2545</v>
      </c>
      <c r="B274" s="2151">
        <f t="shared" ca="1" si="34"/>
        <v>318.14476751625915</v>
      </c>
      <c r="C274" s="2136">
        <f t="shared" ca="1" si="34"/>
        <v>319.90905173256914</v>
      </c>
      <c r="D274" s="2136">
        <f t="shared" ca="1" si="34"/>
        <v>291.02557932274033</v>
      </c>
      <c r="E274" s="2185">
        <f t="shared" ca="1" si="34"/>
        <v>379.49924726039626</v>
      </c>
    </row>
    <row r="275" spans="1:5" s="2136" customFormat="1">
      <c r="A275" s="2236" t="s">
        <v>827</v>
      </c>
      <c r="B275" s="2151">
        <f t="shared" ca="1" si="34"/>
        <v>1.9906722088486244</v>
      </c>
      <c r="C275" s="2136">
        <f t="shared" ca="1" si="34"/>
        <v>2.002441987244135</v>
      </c>
      <c r="D275" s="2136">
        <f t="shared" ca="1" si="34"/>
        <v>1.8142151998120988</v>
      </c>
      <c r="E275" s="2185">
        <f t="shared" ca="1" si="34"/>
        <v>2.52729210686089</v>
      </c>
    </row>
    <row r="276" spans="1:5" s="2136" customFormat="1">
      <c r="A276" s="2238" t="s">
        <v>828</v>
      </c>
      <c r="B276" s="2159">
        <f t="shared" ca="1" si="34"/>
        <v>10.80992819533598</v>
      </c>
      <c r="C276" s="2242">
        <f t="shared" ca="1" si="34"/>
        <v>10.869665038327883</v>
      </c>
      <c r="D276" s="2242">
        <f t="shared" ca="1" si="34"/>
        <v>9.8600077608731347</v>
      </c>
      <c r="E276" s="2227">
        <f t="shared" ca="1" si="34"/>
        <v>12.98246884222687</v>
      </c>
    </row>
  </sheetData>
  <mergeCells count="8">
    <mergeCell ref="N58:O58"/>
    <mergeCell ref="P58:Q58"/>
    <mergeCell ref="B58:C58"/>
    <mergeCell ref="D58:E58"/>
    <mergeCell ref="F58:G58"/>
    <mergeCell ref="H58:I58"/>
    <mergeCell ref="J58:K58"/>
    <mergeCell ref="L58:M58"/>
  </mergeCell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1" id="{4982C5AB-FB7E-470D-9B82-7B12478005DB}">
            <xm:f>OR(MHDV_Inputs!$B$3=2,MHDV_Inputs!$B$3=3)</xm:f>
            <x14:dxf>
              <fill>
                <patternFill>
                  <bgColor theme="1" tint="0.24994659260841701"/>
                </patternFill>
              </fill>
            </x14:dxf>
          </x14:cfRule>
          <xm:sqref>C172:C243 C247:C276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7">
    <tabColor theme="9" tint="0.59999389629810485"/>
  </sheetPr>
  <dimension ref="A1:BI249"/>
  <sheetViews>
    <sheetView showGridLines="0" zoomScale="85" zoomScaleNormal="85" workbookViewId="0"/>
  </sheetViews>
  <sheetFormatPr defaultColWidth="9.140625" defaultRowHeight="12.75"/>
  <cols>
    <col min="1" max="1" width="60.140625" style="2081" customWidth="1"/>
    <col min="2" max="2" width="12.7109375" style="2081" bestFit="1" customWidth="1"/>
    <col min="3" max="3" width="13.85546875" style="2081" customWidth="1"/>
    <col min="4" max="4" width="12.7109375" style="2081" bestFit="1" customWidth="1"/>
    <col min="5" max="5" width="13.5703125" style="2081" customWidth="1"/>
    <col min="6" max="11" width="12.7109375" style="2081" bestFit="1" customWidth="1"/>
    <col min="12" max="12" width="10.28515625" style="2081" bestFit="1" customWidth="1"/>
    <col min="13" max="13" width="9.42578125" style="2081" bestFit="1" customWidth="1"/>
    <col min="14" max="14" width="10.28515625" style="2081" bestFit="1" customWidth="1"/>
    <col min="15" max="15" width="10.140625" style="2081" bestFit="1" customWidth="1"/>
    <col min="16" max="16" width="11.28515625" style="2081" bestFit="1" customWidth="1"/>
    <col min="17" max="31" width="9.42578125" style="2081" bestFit="1" customWidth="1"/>
    <col min="32" max="37" width="11.28515625" style="2081" bestFit="1" customWidth="1"/>
    <col min="38" max="38" width="12.7109375" style="2081" bestFit="1" customWidth="1"/>
    <col min="39" max="47" width="11.28515625" style="2081" bestFit="1" customWidth="1"/>
    <col min="48" max="48" width="12.7109375" style="2081" bestFit="1" customWidth="1"/>
    <col min="49" max="50" width="11.28515625" style="2081" bestFit="1" customWidth="1"/>
    <col min="51" max="51" width="12.7109375" style="2081" bestFit="1" customWidth="1"/>
    <col min="52" max="56" width="11.28515625" style="2081" bestFit="1" customWidth="1"/>
    <col min="57" max="57" width="12.7109375" style="2081" bestFit="1" customWidth="1"/>
    <col min="58" max="61" width="11.28515625" style="2081" bestFit="1" customWidth="1"/>
    <col min="62" max="62" width="9.28515625" style="2081" bestFit="1" customWidth="1"/>
    <col min="63" max="16384" width="9.140625" style="2081"/>
  </cols>
  <sheetData>
    <row r="1" spans="1:13" ht="15.75">
      <c r="A1" s="2080" t="s">
        <v>2563</v>
      </c>
    </row>
    <row r="2" spans="1:13">
      <c r="A2" s="2083"/>
    </row>
    <row r="3" spans="1:13" ht="15">
      <c r="A3" s="2084" t="s">
        <v>872</v>
      </c>
    </row>
    <row r="4" spans="1:13" s="62" customFormat="1">
      <c r="A4" s="63" t="s">
        <v>2679</v>
      </c>
    </row>
    <row r="5" spans="1:13" s="62" customFormat="1" ht="25.5">
      <c r="A5" s="836"/>
      <c r="B5" s="378" t="str">
        <f>Mat_Inputs!C170</f>
        <v>Virgin Material</v>
      </c>
      <c r="C5" s="380" t="str">
        <f>Mat_Inputs!D170</f>
        <v>Recycled Material</v>
      </c>
    </row>
    <row r="6" spans="1:13" s="62" customFormat="1">
      <c r="A6" s="837" t="str">
        <f>Mat_Inputs!B171</f>
        <v>Steel</v>
      </c>
      <c r="B6" s="434">
        <f xml:space="preserve"> Mat_Inputs!C171</f>
        <v>0.73599999999999999</v>
      </c>
      <c r="C6" s="838">
        <f xml:space="preserve"> Mat_Inputs!D171</f>
        <v>0.26400000000000001</v>
      </c>
    </row>
    <row r="7" spans="1:13" s="62" customFormat="1">
      <c r="A7" s="700" t="str">
        <f>Mat_Inputs!B172</f>
        <v>Wrought Aluminum</v>
      </c>
      <c r="B7" s="2941">
        <f xml:space="preserve"> Mat_Inputs!C172</f>
        <v>0.89</v>
      </c>
      <c r="C7" s="839">
        <f xml:space="preserve"> Mat_Inputs!D172</f>
        <v>0.10999999999999999</v>
      </c>
    </row>
    <row r="8" spans="1:13" s="62" customFormat="1">
      <c r="A8" s="700" t="str">
        <f>Mat_Inputs!B173</f>
        <v>Cast Aluminum</v>
      </c>
      <c r="B8" s="2941">
        <f xml:space="preserve"> Mat_Inputs!C173</f>
        <v>0.15</v>
      </c>
      <c r="C8" s="839">
        <f xml:space="preserve"> Mat_Inputs!D173</f>
        <v>0.85</v>
      </c>
    </row>
    <row r="9" spans="1:13" s="62" customFormat="1">
      <c r="A9" s="700" t="str">
        <f>Mat_Inputs!B174</f>
        <v>Lead</v>
      </c>
      <c r="B9" s="2941">
        <f xml:space="preserve"> Mat_Inputs!C174</f>
        <v>0.27</v>
      </c>
      <c r="C9" s="839">
        <f xml:space="preserve"> Mat_Inputs!D174</f>
        <v>0.73</v>
      </c>
    </row>
    <row r="10" spans="1:13" s="62" customFormat="1">
      <c r="A10" s="701" t="str">
        <f>Mat_Inputs!B175</f>
        <v>Nickel</v>
      </c>
      <c r="B10" s="781">
        <f xml:space="preserve"> Mat_Inputs!C175</f>
        <v>0.56000000000000005</v>
      </c>
      <c r="C10" s="782">
        <f xml:space="preserve"> Mat_Inputs!D175</f>
        <v>0.43999999999999995</v>
      </c>
    </row>
    <row r="11" spans="1:13" s="62" customFormat="1">
      <c r="A11" s="2942"/>
      <c r="B11" s="2941"/>
      <c r="C11" s="2941"/>
    </row>
    <row r="12" spans="1:13" s="62" customFormat="1">
      <c r="A12" s="63" t="s">
        <v>2680</v>
      </c>
      <c r="H12" s="66"/>
    </row>
    <row r="13" spans="1:13" s="62" customFormat="1" ht="25.5">
      <c r="A13" s="1696" t="str">
        <f>Mat_Inputs!B179</f>
        <v>Hot Rolled</v>
      </c>
      <c r="B13" s="1659" t="str">
        <f>Mat_Inputs!C179</f>
        <v>Cold Rolled</v>
      </c>
      <c r="C13" s="1660" t="str">
        <f>Mat_Inputs!D179</f>
        <v>Galvanized Rolled</v>
      </c>
      <c r="G13" s="66"/>
    </row>
    <row r="14" spans="1:13" s="62" customFormat="1">
      <c r="A14" s="664">
        <f>Mat_Inputs!B180</f>
        <v>0.21099999999999999</v>
      </c>
      <c r="B14" s="368">
        <f>Mat_Inputs!C180</f>
        <v>0.191</v>
      </c>
      <c r="C14" s="428">
        <f>Mat_Inputs!D180</f>
        <v>0.59800000000000009</v>
      </c>
      <c r="G14" s="66"/>
    </row>
    <row r="15" spans="1:13" s="62" customFormat="1">
      <c r="A15" s="382"/>
      <c r="B15" s="382"/>
      <c r="C15" s="382"/>
      <c r="G15" s="66"/>
    </row>
    <row r="16" spans="1:13" s="62" customFormat="1">
      <c r="A16" s="63" t="s">
        <v>2681</v>
      </c>
      <c r="F16" s="436"/>
      <c r="G16" s="436"/>
      <c r="H16" s="66"/>
      <c r="K16" s="436"/>
      <c r="L16" s="436"/>
      <c r="M16" s="436"/>
    </row>
    <row r="17" spans="1:16" s="62" customFormat="1">
      <c r="A17" s="1696" t="str">
        <f>Mat_Inputs!B190</f>
        <v>Cast Iron</v>
      </c>
      <c r="B17" s="1660" t="str">
        <f>Mat_Inputs!C190</f>
        <v>Forged Iron</v>
      </c>
      <c r="C17" s="436"/>
      <c r="E17" s="436"/>
      <c r="F17" s="436"/>
      <c r="G17" s="66"/>
      <c r="J17" s="436"/>
      <c r="K17" s="436"/>
      <c r="L17" s="436"/>
    </row>
    <row r="18" spans="1:16" s="62" customFormat="1">
      <c r="A18" s="664">
        <f>Mat_Inputs!B191</f>
        <v>0.85</v>
      </c>
      <c r="B18" s="428">
        <f>Mat_Inputs!C191</f>
        <v>0.15000000000000002</v>
      </c>
      <c r="C18" s="436"/>
      <c r="E18" s="436"/>
      <c r="F18" s="436"/>
      <c r="G18" s="66"/>
      <c r="J18" s="436"/>
      <c r="K18" s="436"/>
      <c r="L18" s="436"/>
    </row>
    <row r="19" spans="1:16" s="62" customFormat="1">
      <c r="H19" s="66"/>
    </row>
    <row r="20" spans="1:16" s="62" customFormat="1">
      <c r="A20" s="63" t="s">
        <v>2682</v>
      </c>
      <c r="H20" s="66"/>
    </row>
    <row r="21" spans="1:16" s="62" customFormat="1">
      <c r="A21" s="1696" t="str">
        <f>Mat_Inputs!B194</f>
        <v>Hot Rolled</v>
      </c>
      <c r="B21" s="1659" t="str">
        <f>Mat_Inputs!C194</f>
        <v>Cold Rolled</v>
      </c>
      <c r="C21" s="1660" t="str">
        <f>Mat_Inputs!D194</f>
        <v>Extruded</v>
      </c>
      <c r="G21" s="66"/>
    </row>
    <row r="22" spans="1:16" s="62" customFormat="1">
      <c r="A22" s="664">
        <f>Mat_Inputs!B195</f>
        <v>0</v>
      </c>
      <c r="B22" s="368">
        <f>Mat_Inputs!C195</f>
        <v>0.13</v>
      </c>
      <c r="C22" s="428">
        <f>Mat_Inputs!D195</f>
        <v>0.87</v>
      </c>
      <c r="E22" s="436"/>
      <c r="G22" s="66"/>
    </row>
    <row r="23" spans="1:16" s="62" customFormat="1">
      <c r="A23" s="63"/>
      <c r="H23" s="66"/>
    </row>
    <row r="24" spans="1:16" s="62" customFormat="1">
      <c r="A24" s="63" t="s">
        <v>1463</v>
      </c>
      <c r="F24" s="436"/>
      <c r="H24" s="66"/>
    </row>
    <row r="25" spans="1:16" s="62" customFormat="1">
      <c r="A25" s="837" t="str">
        <f>Mat_Inputs!B215</f>
        <v>Glass</v>
      </c>
      <c r="B25" s="840" t="str">
        <f>Mat_Inputs!C215</f>
        <v>Glass Fiber</v>
      </c>
    </row>
    <row r="26" spans="1:16" s="62" customFormat="1">
      <c r="A26" s="664">
        <f>Mat_Inputs!B216</f>
        <v>0</v>
      </c>
      <c r="B26" s="428">
        <f>Mat_Inputs!C216</f>
        <v>1</v>
      </c>
    </row>
    <row r="27" spans="1:16" s="62" customFormat="1"/>
    <row r="28" spans="1:16" s="62" customFormat="1">
      <c r="A28" s="63" t="s">
        <v>2683</v>
      </c>
    </row>
    <row r="29" spans="1:16" ht="38.25">
      <c r="A29" s="2213" t="str">
        <f>Mat_Inputs!B219</f>
        <v>ABS</v>
      </c>
      <c r="B29" s="2214" t="str">
        <f>Mat_Inputs!C219</f>
        <v>EPDM</v>
      </c>
      <c r="C29" s="2214" t="str">
        <f>Mat_Inputs!D219</f>
        <v>Liquid Epoxy</v>
      </c>
      <c r="D29" s="2214" t="str">
        <f>Mat_Inputs!E219</f>
        <v>GPPS</v>
      </c>
      <c r="E29" s="2214" t="str">
        <f>Mat_Inputs!F219</f>
        <v>HIPS</v>
      </c>
      <c r="F29" s="2214" t="str">
        <f>Mat_Inputs!G219</f>
        <v>HDPE</v>
      </c>
      <c r="G29" s="2214" t="str">
        <f>Mat_Inputs!H219</f>
        <v>LDPE</v>
      </c>
      <c r="H29" s="2214" t="str">
        <f>Mat_Inputs!I219</f>
        <v>LLDPE</v>
      </c>
      <c r="I29" s="2214" t="str">
        <f>Mat_Inputs!J219</f>
        <v>Nylon 6</v>
      </c>
      <c r="J29" s="2214" t="str">
        <f>Mat_Inputs!K219</f>
        <v>Nylon 66</v>
      </c>
      <c r="K29" s="2214" t="str">
        <f>Mat_Inputs!L219</f>
        <v>PC</v>
      </c>
      <c r="L29" s="2214" t="str">
        <f>Mat_Inputs!M219</f>
        <v>PET</v>
      </c>
      <c r="M29" s="2214" t="str">
        <f>Mat_Inputs!N219</f>
        <v>PP</v>
      </c>
      <c r="N29" s="2214" t="str">
        <f>Mat_Inputs!O219</f>
        <v>PUR Flexible Foam</v>
      </c>
      <c r="O29" s="2214" t="str">
        <f>Mat_Inputs!P219</f>
        <v>PUR Rigid Foam</v>
      </c>
      <c r="P29" s="2215" t="str">
        <f>Mat_Inputs!Q219</f>
        <v>PVC</v>
      </c>
    </row>
    <row r="30" spans="1:16">
      <c r="A30" s="2184">
        <f>Mat_Inputs!B220</f>
        <v>7.5999999999999998E-2</v>
      </c>
      <c r="B30" s="2216">
        <f>Mat_Inputs!C220</f>
        <v>7.0999999999999994E-2</v>
      </c>
      <c r="C30" s="2216">
        <f>Mat_Inputs!D220</f>
        <v>0.107</v>
      </c>
      <c r="D30" s="2216">
        <f>Mat_Inputs!E220</f>
        <v>7.0000000000000001E-3</v>
      </c>
      <c r="E30" s="2216">
        <f>Mat_Inputs!F220</f>
        <v>7.0000000000000001E-3</v>
      </c>
      <c r="F30" s="2216">
        <f>Mat_Inputs!G220</f>
        <v>1.4E-2</v>
      </c>
      <c r="G30" s="2216">
        <f>Mat_Inputs!H220</f>
        <v>1.4E-2</v>
      </c>
      <c r="H30" s="2216">
        <f>Mat_Inputs!I220</f>
        <v>1.4E-2</v>
      </c>
      <c r="I30" s="2216">
        <f>Mat_Inputs!J220</f>
        <v>1.0999999999999999E-2</v>
      </c>
      <c r="J30" s="2216">
        <f>Mat_Inputs!K220</f>
        <v>7.0000000000000007E-2</v>
      </c>
      <c r="K30" s="2216">
        <f>Mat_Inputs!L220</f>
        <v>3.5000000000000003E-2</v>
      </c>
      <c r="L30" s="2216">
        <f>Mat_Inputs!M220</f>
        <v>1.7000000000000001E-2</v>
      </c>
      <c r="M30" s="2216">
        <f>Mat_Inputs!N220</f>
        <v>0.18099999999999999</v>
      </c>
      <c r="N30" s="2216">
        <f>Mat_Inputs!O220</f>
        <v>0.122</v>
      </c>
      <c r="O30" s="2216">
        <f>Mat_Inputs!P220</f>
        <v>0.11600000000000001</v>
      </c>
      <c r="P30" s="2217">
        <f>Mat_Inputs!Q220</f>
        <v>0.1379999999999999</v>
      </c>
    </row>
    <row r="31" spans="1:16">
      <c r="A31" s="2211"/>
      <c r="B31" s="2206"/>
      <c r="C31" s="2206"/>
    </row>
    <row r="32" spans="1:16">
      <c r="A32" s="2083" t="s">
        <v>1465</v>
      </c>
    </row>
    <row r="33" spans="1:15" ht="38.25">
      <c r="A33" s="2221" t="str">
        <f>Vehi_Plastics!A22</f>
        <v/>
      </c>
      <c r="B33" s="2213" t="str">
        <f>Vehi_Plastics!B22</f>
        <v>Glass Fiber-Reinforced Plastic</v>
      </c>
      <c r="C33" s="2214" t="str">
        <f>Vehi_Plastics!C22</f>
        <v>Carbon Fiber-Reinforced Plastic</v>
      </c>
      <c r="D33" s="2214" t="str">
        <f>Vehi_Plastics!D22</f>
        <v>Blow Molding (HDPE)</v>
      </c>
      <c r="E33" s="2214" t="str">
        <f>Vehi_Plastics!E22</f>
        <v>Calendaring (PVC)</v>
      </c>
      <c r="F33" s="2214" t="str">
        <f>Vehi_Plastics!F22</f>
        <v>Compression Molding</v>
      </c>
      <c r="G33" s="2214" t="str">
        <f>Vehi_Plastics!G22</f>
        <v>Extrusion (HDPE)</v>
      </c>
      <c r="H33" s="2214" t="str">
        <f>Vehi_Plastics!H22</f>
        <v>Extrusion (PVC)</v>
      </c>
      <c r="I33" s="2214" t="str">
        <f>Vehi_Plastics!I22</f>
        <v>Extrusion (PP)</v>
      </c>
      <c r="J33" s="2214" t="str">
        <f>Vehi_Plastics!J22</f>
        <v>Injection Molding (HDPE)</v>
      </c>
      <c r="K33" s="2214" t="str">
        <f>Vehi_Plastics!K22</f>
        <v>Injection Molding (PVC)</v>
      </c>
      <c r="L33" s="2215" t="str">
        <f>Vehi_Plastics!L22</f>
        <v>Injection Molding (PP)</v>
      </c>
      <c r="N33" s="2222"/>
      <c r="O33" s="2222"/>
    </row>
    <row r="34" spans="1:15">
      <c r="A34" s="2205" t="str">
        <f>Vehi_Plastics!A23</f>
        <v>GFRP</v>
      </c>
      <c r="B34" s="2223">
        <f>Vehi_Plastics!B23</f>
        <v>1</v>
      </c>
      <c r="C34" s="2218">
        <f>Vehi_Plastics!C23</f>
        <v>0</v>
      </c>
      <c r="D34" s="2218">
        <f>Vehi_Plastics!D23</f>
        <v>0</v>
      </c>
      <c r="E34" s="2218">
        <f>Vehi_Plastics!E23</f>
        <v>0</v>
      </c>
      <c r="F34" s="2218">
        <f>Vehi_Plastics!F23</f>
        <v>0</v>
      </c>
      <c r="G34" s="2218">
        <f>Vehi_Plastics!G23</f>
        <v>0</v>
      </c>
      <c r="H34" s="2218">
        <f>Vehi_Plastics!H23</f>
        <v>0</v>
      </c>
      <c r="I34" s="2218">
        <f>Vehi_Plastics!I23</f>
        <v>0</v>
      </c>
      <c r="J34" s="2218">
        <f>Vehi_Plastics!J23</f>
        <v>0</v>
      </c>
      <c r="K34" s="2218">
        <f>Vehi_Plastics!K23</f>
        <v>0</v>
      </c>
      <c r="L34" s="2224">
        <f>Vehi_Plastics!L23</f>
        <v>0</v>
      </c>
      <c r="N34" s="2222"/>
      <c r="O34" s="2222"/>
    </row>
    <row r="35" spans="1:15">
      <c r="A35" s="2205" t="str">
        <f>Vehi_Plastics!A24</f>
        <v>CFRP</v>
      </c>
      <c r="B35" s="2223">
        <f>Vehi_Plastics!B24</f>
        <v>0</v>
      </c>
      <c r="C35" s="2218">
        <f>Vehi_Plastics!C24</f>
        <v>1</v>
      </c>
      <c r="D35" s="2218">
        <f>Vehi_Plastics!D24</f>
        <v>0</v>
      </c>
      <c r="E35" s="2218">
        <f>Vehi_Plastics!E24</f>
        <v>0</v>
      </c>
      <c r="F35" s="2218">
        <f>Vehi_Plastics!F24</f>
        <v>0</v>
      </c>
      <c r="G35" s="2218">
        <f>Vehi_Plastics!G24</f>
        <v>0</v>
      </c>
      <c r="H35" s="2218">
        <f>Vehi_Plastics!H24</f>
        <v>0</v>
      </c>
      <c r="I35" s="2218">
        <f>Vehi_Plastics!I24</f>
        <v>0</v>
      </c>
      <c r="J35" s="2218">
        <f>Vehi_Plastics!J24</f>
        <v>0</v>
      </c>
      <c r="K35" s="2218">
        <f>Vehi_Plastics!K24</f>
        <v>0</v>
      </c>
      <c r="L35" s="2224">
        <f>Vehi_Plastics!L24</f>
        <v>0</v>
      </c>
      <c r="N35" s="2222"/>
      <c r="O35" s="2222"/>
    </row>
    <row r="36" spans="1:15">
      <c r="A36" s="2205" t="str">
        <f>Vehi_Plastics!A25</f>
        <v>ABS</v>
      </c>
      <c r="B36" s="2223">
        <f>Vehi_Plastics!B25</f>
        <v>0</v>
      </c>
      <c r="C36" s="2218">
        <f>Vehi_Plastics!C25</f>
        <v>0</v>
      </c>
      <c r="D36" s="2218">
        <f>Vehi_Plastics!D25</f>
        <v>0</v>
      </c>
      <c r="E36" s="2218">
        <f>Vehi_Plastics!E25</f>
        <v>0</v>
      </c>
      <c r="F36" s="2218">
        <f>Vehi_Plastics!F25</f>
        <v>0.23799999999999999</v>
      </c>
      <c r="G36" s="2218">
        <f>Vehi_Plastics!G25</f>
        <v>0.17499999999999999</v>
      </c>
      <c r="H36" s="2218">
        <f>Vehi_Plastics!H25</f>
        <v>0</v>
      </c>
      <c r="I36" s="2218">
        <f>Vehi_Plastics!I25</f>
        <v>0</v>
      </c>
      <c r="J36" s="2218">
        <f>Vehi_Plastics!J25</f>
        <v>0</v>
      </c>
      <c r="K36" s="2218">
        <f>Vehi_Plastics!K25</f>
        <v>0</v>
      </c>
      <c r="L36" s="2224">
        <f>Vehi_Plastics!L25</f>
        <v>0.58699999999999997</v>
      </c>
      <c r="N36" s="2222"/>
      <c r="O36" s="2222"/>
    </row>
    <row r="37" spans="1:15">
      <c r="A37" s="2205" t="str">
        <f>Vehi_Plastics!A26</f>
        <v>EPDM</v>
      </c>
      <c r="B37" s="2223">
        <f>Vehi_Plastics!B26</f>
        <v>0</v>
      </c>
      <c r="C37" s="2218">
        <f>Vehi_Plastics!C26</f>
        <v>0</v>
      </c>
      <c r="D37" s="2218">
        <f>Vehi_Plastics!D26</f>
        <v>0</v>
      </c>
      <c r="E37" s="2218">
        <f>Vehi_Plastics!E26</f>
        <v>0</v>
      </c>
      <c r="F37" s="2218">
        <f>Vehi_Plastics!F26</f>
        <v>0.31900000000000001</v>
      </c>
      <c r="G37" s="2218">
        <f>Vehi_Plastics!G26</f>
        <v>0.27500000000000002</v>
      </c>
      <c r="H37" s="2218">
        <f>Vehi_Plastics!H26</f>
        <v>0</v>
      </c>
      <c r="I37" s="2218">
        <f>Vehi_Plastics!I26</f>
        <v>0</v>
      </c>
      <c r="J37" s="2218">
        <f>Vehi_Plastics!J26</f>
        <v>0</v>
      </c>
      <c r="K37" s="2218">
        <f>Vehi_Plastics!K26</f>
        <v>0</v>
      </c>
      <c r="L37" s="2224">
        <f>Vehi_Plastics!L26</f>
        <v>0.40599999999999992</v>
      </c>
      <c r="N37" s="2222"/>
      <c r="O37" s="2222"/>
    </row>
    <row r="38" spans="1:15">
      <c r="A38" s="2205" t="str">
        <f>Vehi_Plastics!A27</f>
        <v>HPDE</v>
      </c>
      <c r="B38" s="2223">
        <f>Vehi_Plastics!B27</f>
        <v>0</v>
      </c>
      <c r="C38" s="2218">
        <f>Vehi_Plastics!C27</f>
        <v>0</v>
      </c>
      <c r="D38" s="2218">
        <f>Vehi_Plastics!D27</f>
        <v>0</v>
      </c>
      <c r="E38" s="2218">
        <f>Vehi_Plastics!E27</f>
        <v>0</v>
      </c>
      <c r="F38" s="2218">
        <f>Vehi_Plastics!F27</f>
        <v>0.24249999999999999</v>
      </c>
      <c r="G38" s="2218">
        <f>Vehi_Plastics!G27</f>
        <v>9.2499999999999999E-2</v>
      </c>
      <c r="H38" s="2218">
        <f>Vehi_Plastics!H27</f>
        <v>0</v>
      </c>
      <c r="I38" s="2218">
        <f>Vehi_Plastics!I27</f>
        <v>0</v>
      </c>
      <c r="J38" s="2218">
        <f>Vehi_Plastics!J27</f>
        <v>0.66500000000000004</v>
      </c>
      <c r="K38" s="2218">
        <f>Vehi_Plastics!K27</f>
        <v>0</v>
      </c>
      <c r="L38" s="2224">
        <f>Vehi_Plastics!L27</f>
        <v>0</v>
      </c>
      <c r="N38" s="2222"/>
      <c r="O38" s="2222"/>
    </row>
    <row r="39" spans="1:15">
      <c r="A39" s="2205" t="str">
        <f>Vehi_Plastics!A28</f>
        <v>LDPE</v>
      </c>
      <c r="B39" s="2223">
        <f>Vehi_Plastics!B28</f>
        <v>0</v>
      </c>
      <c r="C39" s="2218">
        <f>Vehi_Plastics!C28</f>
        <v>0</v>
      </c>
      <c r="D39" s="2218">
        <f>Vehi_Plastics!D28</f>
        <v>0</v>
      </c>
      <c r="E39" s="2218">
        <f>Vehi_Plastics!E28</f>
        <v>0</v>
      </c>
      <c r="F39" s="2218">
        <f>Vehi_Plastics!F28</f>
        <v>0.24249999999999999</v>
      </c>
      <c r="G39" s="2218">
        <f>Vehi_Plastics!G28</f>
        <v>9.2499999999999999E-2</v>
      </c>
      <c r="H39" s="2218">
        <f>Vehi_Plastics!H28</f>
        <v>0</v>
      </c>
      <c r="I39" s="2218">
        <f>Vehi_Plastics!I28</f>
        <v>0</v>
      </c>
      <c r="J39" s="2218">
        <f>Vehi_Plastics!J28</f>
        <v>0.66500000000000004</v>
      </c>
      <c r="K39" s="2218">
        <f>Vehi_Plastics!K28</f>
        <v>0</v>
      </c>
      <c r="L39" s="2224">
        <f>Vehi_Plastics!L28</f>
        <v>0</v>
      </c>
      <c r="N39" s="2222"/>
      <c r="O39" s="2222"/>
    </row>
    <row r="40" spans="1:15">
      <c r="A40" s="2205" t="str">
        <f>Vehi_Plastics!A29</f>
        <v>LLDPE</v>
      </c>
      <c r="B40" s="2223">
        <f>Vehi_Plastics!B29</f>
        <v>0</v>
      </c>
      <c r="C40" s="2218">
        <f>Vehi_Plastics!C29</f>
        <v>0</v>
      </c>
      <c r="D40" s="2218">
        <f>Vehi_Plastics!D29</f>
        <v>0</v>
      </c>
      <c r="E40" s="2218">
        <f>Vehi_Plastics!E29</f>
        <v>0</v>
      </c>
      <c r="F40" s="2218">
        <f>Vehi_Plastics!F29</f>
        <v>0.24249999999999999</v>
      </c>
      <c r="G40" s="2218">
        <f>Vehi_Plastics!G29</f>
        <v>9.2499999999999999E-2</v>
      </c>
      <c r="H40" s="2218">
        <f>Vehi_Plastics!H29</f>
        <v>0</v>
      </c>
      <c r="I40" s="2218">
        <f>Vehi_Plastics!I29</f>
        <v>0</v>
      </c>
      <c r="J40" s="2218">
        <f>Vehi_Plastics!J29</f>
        <v>0.66500000000000004</v>
      </c>
      <c r="K40" s="2218">
        <f>Vehi_Plastics!K29</f>
        <v>0</v>
      </c>
      <c r="L40" s="2224">
        <f>Vehi_Plastics!L29</f>
        <v>0</v>
      </c>
      <c r="N40" s="2222"/>
      <c r="O40" s="2222"/>
    </row>
    <row r="41" spans="1:15">
      <c r="A41" s="2205" t="str">
        <f>Vehi_Plastics!A30</f>
        <v>Nylon 6</v>
      </c>
      <c r="B41" s="2223">
        <f>Vehi_Plastics!B30</f>
        <v>0</v>
      </c>
      <c r="C41" s="2218">
        <f>Vehi_Plastics!C30</f>
        <v>0</v>
      </c>
      <c r="D41" s="2218">
        <f>Vehi_Plastics!D30</f>
        <v>0.36399999999999999</v>
      </c>
      <c r="E41" s="2218">
        <f>Vehi_Plastics!E30</f>
        <v>0</v>
      </c>
      <c r="F41" s="2218">
        <f>Vehi_Plastics!F30</f>
        <v>0.45400000000000001</v>
      </c>
      <c r="G41" s="2218">
        <f>Vehi_Plastics!G30</f>
        <v>0</v>
      </c>
      <c r="H41" s="2218">
        <f>Vehi_Plastics!H30</f>
        <v>0</v>
      </c>
      <c r="I41" s="2218">
        <f>Vehi_Plastics!I30</f>
        <v>0</v>
      </c>
      <c r="J41" s="2218">
        <f>Vehi_Plastics!J30</f>
        <v>0</v>
      </c>
      <c r="K41" s="2218">
        <f>Vehi_Plastics!K30</f>
        <v>0</v>
      </c>
      <c r="L41" s="2224">
        <f>Vehi_Plastics!L30</f>
        <v>0.18199999999999994</v>
      </c>
      <c r="N41" s="2222"/>
      <c r="O41" s="2222"/>
    </row>
    <row r="42" spans="1:15">
      <c r="A42" s="2205" t="str">
        <f>Vehi_Plastics!A31</f>
        <v>Nylon 66</v>
      </c>
      <c r="B42" s="2223">
        <f>Vehi_Plastics!B31</f>
        <v>0</v>
      </c>
      <c r="C42" s="2218">
        <f>Vehi_Plastics!C31</f>
        <v>0</v>
      </c>
      <c r="D42" s="2218">
        <f>Vehi_Plastics!D31</f>
        <v>0</v>
      </c>
      <c r="E42" s="2218">
        <f>Vehi_Plastics!E31</f>
        <v>0</v>
      </c>
      <c r="F42" s="2218">
        <f>Vehi_Plastics!F31</f>
        <v>0.34300000000000003</v>
      </c>
      <c r="G42" s="2218">
        <f>Vehi_Plastics!G31</f>
        <v>0.29899999999999999</v>
      </c>
      <c r="H42" s="2218">
        <f>Vehi_Plastics!H31</f>
        <v>0</v>
      </c>
      <c r="I42" s="2218">
        <f>Vehi_Plastics!I31</f>
        <v>0</v>
      </c>
      <c r="J42" s="2218">
        <f>Vehi_Plastics!J31</f>
        <v>0</v>
      </c>
      <c r="K42" s="2218">
        <f>Vehi_Plastics!K31</f>
        <v>0</v>
      </c>
      <c r="L42" s="2224">
        <f>Vehi_Plastics!L31</f>
        <v>0.35799999999999998</v>
      </c>
      <c r="N42" s="2222"/>
      <c r="O42" s="2222"/>
    </row>
    <row r="43" spans="1:15">
      <c r="A43" s="2205" t="str">
        <f>Vehi_Plastics!A32</f>
        <v>PC</v>
      </c>
      <c r="B43" s="2223">
        <f>Vehi_Plastics!B32</f>
        <v>0</v>
      </c>
      <c r="C43" s="2218">
        <f>Vehi_Plastics!C32</f>
        <v>0</v>
      </c>
      <c r="D43" s="2218">
        <f>Vehi_Plastics!D32</f>
        <v>0</v>
      </c>
      <c r="E43" s="2218">
        <f>Vehi_Plastics!E32</f>
        <v>0</v>
      </c>
      <c r="F43" s="2218">
        <f>Vehi_Plastics!F32</f>
        <v>0.22</v>
      </c>
      <c r="G43" s="2218">
        <f>Vehi_Plastics!G32</f>
        <v>0</v>
      </c>
      <c r="H43" s="2218">
        <f>Vehi_Plastics!H32</f>
        <v>0</v>
      </c>
      <c r="I43" s="2218">
        <f>Vehi_Plastics!I32</f>
        <v>0</v>
      </c>
      <c r="J43" s="2218">
        <f>Vehi_Plastics!J32</f>
        <v>0</v>
      </c>
      <c r="K43" s="2218">
        <f>Vehi_Plastics!K32</f>
        <v>0</v>
      </c>
      <c r="L43" s="2224">
        <f>Vehi_Plastics!L32</f>
        <v>0.78</v>
      </c>
      <c r="N43" s="2222"/>
      <c r="O43" s="2222"/>
    </row>
    <row r="44" spans="1:15">
      <c r="A44" s="2205" t="str">
        <f>Vehi_Plastics!A33</f>
        <v>PET</v>
      </c>
      <c r="B44" s="2223">
        <f>Vehi_Plastics!B33</f>
        <v>0</v>
      </c>
      <c r="C44" s="2218">
        <f>Vehi_Plastics!C33</f>
        <v>0</v>
      </c>
      <c r="D44" s="2218">
        <f>Vehi_Plastics!D33</f>
        <v>0</v>
      </c>
      <c r="E44" s="2218">
        <f>Vehi_Plastics!E33</f>
        <v>0</v>
      </c>
      <c r="F44" s="2218">
        <f>Vehi_Plastics!F33</f>
        <v>0.5</v>
      </c>
      <c r="G44" s="2218">
        <f>Vehi_Plastics!G33</f>
        <v>0</v>
      </c>
      <c r="H44" s="2218">
        <f>Vehi_Plastics!H33</f>
        <v>0</v>
      </c>
      <c r="I44" s="2218">
        <f>Vehi_Plastics!I33</f>
        <v>0</v>
      </c>
      <c r="J44" s="2218">
        <f>Vehi_Plastics!J33</f>
        <v>0</v>
      </c>
      <c r="K44" s="2218">
        <f>Vehi_Plastics!K33</f>
        <v>0</v>
      </c>
      <c r="L44" s="2224">
        <f>Vehi_Plastics!L33</f>
        <v>0.5</v>
      </c>
      <c r="N44" s="2222"/>
      <c r="O44" s="2222"/>
    </row>
    <row r="45" spans="1:15">
      <c r="A45" s="2205" t="str">
        <f>Vehi_Plastics!A34</f>
        <v>PP</v>
      </c>
      <c r="B45" s="2223">
        <f>Vehi_Plastics!B34</f>
        <v>0</v>
      </c>
      <c r="C45" s="2218">
        <f>Vehi_Plastics!C34</f>
        <v>0</v>
      </c>
      <c r="D45" s="2218">
        <f>Vehi_Plastics!D34</f>
        <v>9.1999999999999998E-2</v>
      </c>
      <c r="E45" s="2218">
        <f>Vehi_Plastics!E34</f>
        <v>0</v>
      </c>
      <c r="F45" s="2218">
        <f>Vehi_Plastics!F34</f>
        <v>0.15329999999999999</v>
      </c>
      <c r="G45" s="2218">
        <f>Vehi_Plastics!G34</f>
        <v>0</v>
      </c>
      <c r="H45" s="2218">
        <f>Vehi_Plastics!H34</f>
        <v>0</v>
      </c>
      <c r="I45" s="2218">
        <f>Vehi_Plastics!I34</f>
        <v>1.9E-2</v>
      </c>
      <c r="J45" s="2218">
        <f>Vehi_Plastics!J34</f>
        <v>0</v>
      </c>
      <c r="K45" s="2218">
        <f>Vehi_Plastics!K34</f>
        <v>0</v>
      </c>
      <c r="L45" s="2224">
        <f>Vehi_Plastics!L34</f>
        <v>0.73570000000000002</v>
      </c>
      <c r="N45" s="2222"/>
      <c r="O45" s="2222"/>
    </row>
    <row r="46" spans="1:15">
      <c r="A46" s="2208" t="str">
        <f>Vehi_Plastics!A35</f>
        <v>PVC</v>
      </c>
      <c r="B46" s="2184">
        <f>Vehi_Plastics!B35</f>
        <v>0</v>
      </c>
      <c r="C46" s="2216">
        <f>Vehi_Plastics!C35</f>
        <v>0</v>
      </c>
      <c r="D46" s="2216">
        <f>Vehi_Plastics!D35</f>
        <v>0</v>
      </c>
      <c r="E46" s="2216">
        <f>Vehi_Plastics!E35</f>
        <v>0.18099999999999999</v>
      </c>
      <c r="F46" s="2216">
        <f>Vehi_Plastics!F35</f>
        <v>1.4999999999999999E-2</v>
      </c>
      <c r="G46" s="2216">
        <f>Vehi_Plastics!G35</f>
        <v>0</v>
      </c>
      <c r="H46" s="2216">
        <f>Vehi_Plastics!H35</f>
        <v>0.51100000000000001</v>
      </c>
      <c r="I46" s="2216">
        <f>Vehi_Plastics!I35</f>
        <v>0</v>
      </c>
      <c r="J46" s="2216">
        <f>Vehi_Plastics!J35</f>
        <v>0</v>
      </c>
      <c r="K46" s="2216">
        <f>Vehi_Plastics!K35</f>
        <v>0.29299999999999998</v>
      </c>
      <c r="L46" s="2217">
        <f>Vehi_Plastics!L35</f>
        <v>0</v>
      </c>
      <c r="N46" s="2222"/>
      <c r="O46" s="2222"/>
    </row>
    <row r="47" spans="1:15">
      <c r="B47" s="2222"/>
      <c r="C47" s="2222"/>
      <c r="D47" s="2222"/>
      <c r="E47" s="2222"/>
      <c r="F47" s="2222"/>
      <c r="G47" s="2222"/>
      <c r="H47" s="2222"/>
      <c r="I47" s="2222"/>
      <c r="J47" s="2222"/>
      <c r="K47" s="2222"/>
      <c r="L47" s="2222"/>
      <c r="M47" s="2222"/>
      <c r="N47" s="2222"/>
      <c r="O47" s="2222"/>
    </row>
    <row r="48" spans="1:15">
      <c r="A48" s="2083" t="s">
        <v>1466</v>
      </c>
      <c r="B48" s="2225"/>
      <c r="C48" s="2218"/>
      <c r="D48" s="2218"/>
      <c r="E48" s="2218"/>
      <c r="F48" s="2218"/>
      <c r="G48" s="2218"/>
      <c r="H48" s="2218"/>
      <c r="I48" s="2218"/>
      <c r="J48" s="2218"/>
      <c r="K48" s="2218"/>
      <c r="L48" s="2218"/>
      <c r="M48" s="2218"/>
      <c r="N48" s="2218"/>
      <c r="O48" s="2218"/>
    </row>
    <row r="49" spans="1:17" ht="38.25">
      <c r="A49" s="2213" t="str">
        <f>Mat_Inputs!B267</f>
        <v>Compression Molding</v>
      </c>
      <c r="B49" s="2215" t="str">
        <f>Mat_Inputs!C267</f>
        <v>Injection Molding (PVC)</v>
      </c>
      <c r="C49" s="2218"/>
      <c r="D49" s="2218"/>
      <c r="E49" s="2218"/>
      <c r="F49" s="2218"/>
      <c r="G49" s="2218"/>
      <c r="H49" s="2218"/>
      <c r="I49" s="2218"/>
      <c r="J49" s="2218"/>
      <c r="K49" s="2218"/>
      <c r="L49" s="2218"/>
      <c r="M49" s="2218"/>
      <c r="N49" s="2218"/>
    </row>
    <row r="50" spans="1:17">
      <c r="A50" s="2184">
        <f>Mat_Inputs!B268</f>
        <v>0.89</v>
      </c>
      <c r="B50" s="2217">
        <f>Mat_Inputs!C268</f>
        <v>0.10999999999999999</v>
      </c>
      <c r="C50" s="2218"/>
      <c r="D50" s="2218"/>
      <c r="E50" s="2218"/>
      <c r="F50" s="2218"/>
      <c r="G50" s="2218"/>
      <c r="H50" s="2218"/>
      <c r="I50" s="2218"/>
      <c r="J50" s="2218"/>
      <c r="K50" s="2218"/>
      <c r="L50" s="2218"/>
      <c r="M50" s="2218"/>
      <c r="N50" s="2218"/>
    </row>
    <row r="51" spans="1:17">
      <c r="I51" s="2218"/>
    </row>
    <row r="52" spans="1:17" ht="15">
      <c r="A52" s="2084" t="s">
        <v>762</v>
      </c>
    </row>
    <row r="53" spans="1:17">
      <c r="A53" s="2085" t="s">
        <v>769</v>
      </c>
      <c r="B53" s="2107">
        <v>1</v>
      </c>
    </row>
    <row r="54" spans="1:17">
      <c r="A54" s="2096" t="s">
        <v>770</v>
      </c>
      <c r="B54" s="940">
        <v>1</v>
      </c>
    </row>
    <row r="55" spans="1:17">
      <c r="A55" s="2097" t="s">
        <v>773</v>
      </c>
      <c r="B55" s="942">
        <v>1</v>
      </c>
    </row>
    <row r="57" spans="1:17" ht="15">
      <c r="A57" s="2084" t="s">
        <v>784</v>
      </c>
    </row>
    <row r="58" spans="1:17" ht="26.45" customHeight="1">
      <c r="A58" s="2176"/>
      <c r="B58" s="3175" t="s">
        <v>236</v>
      </c>
      <c r="C58" s="3176"/>
      <c r="D58" s="3175" t="s">
        <v>2564</v>
      </c>
      <c r="E58" s="3176"/>
      <c r="F58" s="3175" t="s">
        <v>2397</v>
      </c>
      <c r="G58" s="3176"/>
      <c r="H58" s="3175" t="s">
        <v>2398</v>
      </c>
      <c r="I58" s="3176"/>
      <c r="J58" s="3175" t="s">
        <v>2399</v>
      </c>
      <c r="K58" s="3176"/>
      <c r="L58" s="3175" t="s">
        <v>2400</v>
      </c>
      <c r="M58" s="3176"/>
      <c r="N58" s="3175" t="s">
        <v>2401</v>
      </c>
      <c r="O58" s="3176"/>
      <c r="P58" s="3175" t="s">
        <v>2402</v>
      </c>
      <c r="Q58" s="3176"/>
    </row>
    <row r="59" spans="1:17" ht="70.5" customHeight="1">
      <c r="A59" s="2177"/>
      <c r="B59" s="2178" t="s">
        <v>785</v>
      </c>
      <c r="C59" s="2179" t="s">
        <v>786</v>
      </c>
      <c r="D59" s="2178" t="s">
        <v>785</v>
      </c>
      <c r="E59" s="2179" t="s">
        <v>786</v>
      </c>
      <c r="F59" s="2178" t="s">
        <v>785</v>
      </c>
      <c r="G59" s="2179" t="s">
        <v>786</v>
      </c>
      <c r="H59" s="2178" t="s">
        <v>785</v>
      </c>
      <c r="I59" s="2179" t="s">
        <v>786</v>
      </c>
      <c r="J59" s="2178" t="s">
        <v>785</v>
      </c>
      <c r="K59" s="2179" t="s">
        <v>786</v>
      </c>
      <c r="L59" s="2178" t="s">
        <v>785</v>
      </c>
      <c r="M59" s="2179" t="s">
        <v>786</v>
      </c>
      <c r="N59" s="2178" t="s">
        <v>785</v>
      </c>
      <c r="O59" s="2179" t="s">
        <v>786</v>
      </c>
      <c r="P59" s="2178" t="s">
        <v>785</v>
      </c>
      <c r="Q59" s="2179" t="s">
        <v>786</v>
      </c>
    </row>
    <row r="60" spans="1:17">
      <c r="A60" s="2180" t="s">
        <v>1467</v>
      </c>
      <c r="B60" s="2181">
        <f xml:space="preserve"> MHDV_Inputs!B180</f>
        <v>0.28699999999999998</v>
      </c>
      <c r="C60" s="2182"/>
      <c r="D60" s="2181">
        <f xml:space="preserve"> MHDV_Inputs!B181</f>
        <v>2.7589999999999999</v>
      </c>
      <c r="E60" s="2182"/>
      <c r="F60" s="2181">
        <f xml:space="preserve"> MHDV_Inputs!B182</f>
        <v>0.99</v>
      </c>
      <c r="G60" s="2182"/>
      <c r="H60" s="2181">
        <f xml:space="preserve"> MHDV_Inputs!B183</f>
        <v>2.9820000000000002</v>
      </c>
      <c r="I60" s="2182"/>
      <c r="J60" s="2181">
        <f xml:space="preserve"> MHDV_Inputs!B184</f>
        <v>0.20499999999999999</v>
      </c>
      <c r="K60" s="2182"/>
      <c r="L60" s="2181">
        <f xml:space="preserve"> MHDV_Inputs!B185</f>
        <v>0.27300000000000002</v>
      </c>
      <c r="M60" s="2182"/>
      <c r="N60" s="2181">
        <f xml:space="preserve"> MHDV_Inputs!B186</f>
        <v>0.40899999999999997</v>
      </c>
      <c r="O60" s="2182"/>
      <c r="P60" s="2181">
        <f xml:space="preserve"> MHDV_Inputs!B187</f>
        <v>5.3331709858490841</v>
      </c>
      <c r="Q60" s="2182"/>
    </row>
    <row r="61" spans="1:17">
      <c r="A61" s="2177" t="s">
        <v>798</v>
      </c>
      <c r="B61" s="1477">
        <v>0</v>
      </c>
      <c r="C61" s="2182"/>
      <c r="D61" s="1477">
        <v>0</v>
      </c>
      <c r="E61" s="2182"/>
      <c r="F61" s="1477">
        <v>0</v>
      </c>
      <c r="G61" s="2182"/>
      <c r="H61" s="1477">
        <v>0</v>
      </c>
      <c r="I61" s="2182"/>
      <c r="J61" s="1477">
        <v>0</v>
      </c>
      <c r="K61" s="2182"/>
      <c r="L61" s="1477">
        <v>0</v>
      </c>
      <c r="M61" s="2182"/>
      <c r="N61" s="1477">
        <v>0</v>
      </c>
      <c r="O61" s="2182"/>
      <c r="P61" s="1477">
        <v>0</v>
      </c>
      <c r="Q61" s="2182"/>
    </row>
    <row r="62" spans="1:17">
      <c r="A62" s="2176" t="s">
        <v>799</v>
      </c>
      <c r="B62" s="2085"/>
      <c r="C62" s="2183"/>
      <c r="D62" s="2085"/>
      <c r="E62" s="2183"/>
      <c r="F62" s="2085"/>
      <c r="G62" s="2183"/>
      <c r="H62" s="2085"/>
      <c r="I62" s="2183"/>
      <c r="J62" s="2085"/>
      <c r="K62" s="2183"/>
      <c r="L62" s="2085"/>
      <c r="M62" s="2183"/>
      <c r="N62" s="2085"/>
      <c r="O62" s="2183"/>
      <c r="P62" s="2085"/>
      <c r="Q62" s="2183"/>
    </row>
    <row r="63" spans="1:17">
      <c r="A63" s="2096" t="s">
        <v>800</v>
      </c>
      <c r="B63" s="1477">
        <v>0</v>
      </c>
      <c r="C63" s="2224"/>
      <c r="D63" s="1477">
        <v>0</v>
      </c>
      <c r="E63" s="2224"/>
      <c r="F63" s="1477">
        <v>0</v>
      </c>
      <c r="G63" s="2224"/>
      <c r="H63" s="1477">
        <v>0</v>
      </c>
      <c r="I63" s="2224"/>
      <c r="J63" s="1477">
        <v>0</v>
      </c>
      <c r="K63" s="2224"/>
      <c r="L63" s="1477">
        <v>0</v>
      </c>
      <c r="M63" s="2224"/>
      <c r="N63" s="1477">
        <v>0</v>
      </c>
      <c r="O63" s="2224"/>
      <c r="P63" s="1477">
        <v>0</v>
      </c>
      <c r="Q63" s="2224"/>
    </row>
    <row r="64" spans="1:17">
      <c r="A64" s="2096" t="s">
        <v>802</v>
      </c>
      <c r="B64" s="1477">
        <v>0</v>
      </c>
      <c r="C64" s="2182"/>
      <c r="D64" s="1477">
        <v>0</v>
      </c>
      <c r="E64" s="2182"/>
      <c r="F64" s="1477">
        <v>0</v>
      </c>
      <c r="G64" s="2182"/>
      <c r="H64" s="1477">
        <v>0</v>
      </c>
      <c r="I64" s="2182"/>
      <c r="J64" s="1477">
        <v>0</v>
      </c>
      <c r="K64" s="2182"/>
      <c r="L64" s="1477">
        <v>0</v>
      </c>
      <c r="M64" s="2182"/>
      <c r="N64" s="1477">
        <v>0</v>
      </c>
      <c r="O64" s="2182"/>
      <c r="P64" s="1477">
        <v>0</v>
      </c>
      <c r="Q64" s="2182"/>
    </row>
    <row r="65" spans="1:17">
      <c r="A65" s="2096" t="s">
        <v>804</v>
      </c>
      <c r="B65" s="1477">
        <v>0</v>
      </c>
      <c r="C65" s="2224"/>
      <c r="D65" s="1477">
        <v>0.83399999999999996</v>
      </c>
      <c r="E65" s="2224"/>
      <c r="F65" s="1477">
        <v>0</v>
      </c>
      <c r="G65" s="2224"/>
      <c r="H65" s="1477">
        <v>1</v>
      </c>
      <c r="I65" s="2224"/>
      <c r="J65" s="1477">
        <v>0</v>
      </c>
      <c r="K65" s="2224"/>
      <c r="L65" s="1477">
        <v>0</v>
      </c>
      <c r="M65" s="2224"/>
      <c r="N65" s="1477">
        <v>0</v>
      </c>
      <c r="O65" s="2224"/>
      <c r="P65" s="1477">
        <v>0</v>
      </c>
      <c r="Q65" s="2224"/>
    </row>
    <row r="66" spans="1:17">
      <c r="A66" s="2096" t="s">
        <v>805</v>
      </c>
      <c r="B66" s="1477">
        <v>0</v>
      </c>
      <c r="C66" s="2224"/>
      <c r="D66" s="1477">
        <v>0</v>
      </c>
      <c r="E66" s="2224"/>
      <c r="F66" s="1477">
        <v>0</v>
      </c>
      <c r="G66" s="2224"/>
      <c r="H66" s="1477">
        <v>0</v>
      </c>
      <c r="I66" s="2224"/>
      <c r="J66" s="1477">
        <v>0</v>
      </c>
      <c r="K66" s="2224"/>
      <c r="L66" s="1477">
        <v>0</v>
      </c>
      <c r="M66" s="2224"/>
      <c r="N66" s="1477">
        <v>0</v>
      </c>
      <c r="O66" s="2224"/>
      <c r="P66" s="1477">
        <v>0</v>
      </c>
      <c r="Q66" s="2224"/>
    </row>
    <row r="67" spans="1:17">
      <c r="A67" s="2097" t="s">
        <v>806</v>
      </c>
      <c r="B67" s="2184">
        <f>1-SUM(B63:B66)</f>
        <v>1</v>
      </c>
      <c r="C67" s="2217"/>
      <c r="D67" s="2184">
        <f>1-SUM(D63:D66)</f>
        <v>0.16600000000000004</v>
      </c>
      <c r="E67" s="2217"/>
      <c r="F67" s="2184">
        <f>1-SUM(F63:F66)</f>
        <v>1</v>
      </c>
      <c r="G67" s="2217"/>
      <c r="H67" s="2184">
        <f>1-SUM(H63:H66)</f>
        <v>0</v>
      </c>
      <c r="I67" s="2217"/>
      <c r="J67" s="2184">
        <f>1-SUM(J63:J66)</f>
        <v>1</v>
      </c>
      <c r="K67" s="2217"/>
      <c r="L67" s="2184">
        <f>1-SUM(L63:L66)</f>
        <v>1</v>
      </c>
      <c r="M67" s="2217"/>
      <c r="N67" s="2184">
        <f>1-SUM(N63:N66)</f>
        <v>1</v>
      </c>
      <c r="O67" s="2217"/>
      <c r="P67" s="2184">
        <f>1-SUM(P63:P66)</f>
        <v>1</v>
      </c>
      <c r="Q67" s="2217"/>
    </row>
    <row r="68" spans="1:17">
      <c r="A68" s="2177" t="s">
        <v>1467</v>
      </c>
      <c r="B68" s="2096"/>
      <c r="C68" s="2182"/>
      <c r="D68" s="2096"/>
      <c r="E68" s="2182"/>
      <c r="F68" s="2096"/>
      <c r="G68" s="2182"/>
      <c r="H68" s="2096"/>
      <c r="I68" s="2182"/>
      <c r="J68" s="2096"/>
      <c r="K68" s="2182"/>
      <c r="L68" s="2096"/>
      <c r="M68" s="2182"/>
      <c r="N68" s="2096"/>
      <c r="O68" s="2182"/>
      <c r="P68" s="2096"/>
      <c r="Q68" s="2182"/>
    </row>
    <row r="69" spans="1:17" s="2136" customFormat="1">
      <c r="A69" s="2151" t="s">
        <v>800</v>
      </c>
      <c r="B69" s="2193">
        <f>B$60*B63</f>
        <v>0</v>
      </c>
      <c r="C69" s="2185"/>
      <c r="D69" s="2193">
        <f>D$60*D63</f>
        <v>0</v>
      </c>
      <c r="E69" s="2185"/>
      <c r="F69" s="2193">
        <f>F$60*F63</f>
        <v>0</v>
      </c>
      <c r="G69" s="2185"/>
      <c r="H69" s="2193">
        <f>H$60*H63</f>
        <v>0</v>
      </c>
      <c r="I69" s="2185"/>
      <c r="J69" s="2193">
        <f>J$60*J63</f>
        <v>0</v>
      </c>
      <c r="K69" s="2185"/>
      <c r="L69" s="2193">
        <f>L$60*L63</f>
        <v>0</v>
      </c>
      <c r="M69" s="2185"/>
      <c r="N69" s="2193">
        <f>N$60*N63</f>
        <v>0</v>
      </c>
      <c r="O69" s="2185"/>
      <c r="P69" s="2193">
        <f>P$60*P63</f>
        <v>0</v>
      </c>
      <c r="Q69" s="2185"/>
    </row>
    <row r="70" spans="1:17" s="2136" customFormat="1">
      <c r="A70" s="2151" t="s">
        <v>802</v>
      </c>
      <c r="B70" s="2193">
        <f>B$60*B64</f>
        <v>0</v>
      </c>
      <c r="C70" s="2185"/>
      <c r="D70" s="2193">
        <f>D$60*D64</f>
        <v>0</v>
      </c>
      <c r="E70" s="2185"/>
      <c r="F70" s="2193">
        <f>F$60*F64</f>
        <v>0</v>
      </c>
      <c r="G70" s="2185"/>
      <c r="H70" s="2193">
        <f>H$60*H64</f>
        <v>0</v>
      </c>
      <c r="I70" s="2185"/>
      <c r="J70" s="2193">
        <f>J$60*J64</f>
        <v>0</v>
      </c>
      <c r="K70" s="2185"/>
      <c r="L70" s="2193">
        <f>L$60*L64</f>
        <v>0</v>
      </c>
      <c r="M70" s="2185"/>
      <c r="N70" s="2193">
        <f>N$60*N64</f>
        <v>0</v>
      </c>
      <c r="O70" s="2185"/>
      <c r="P70" s="2193">
        <f>P$60*P64</f>
        <v>0</v>
      </c>
      <c r="Q70" s="2185"/>
    </row>
    <row r="71" spans="1:17" s="2136" customFormat="1">
      <c r="A71" s="2151" t="s">
        <v>804</v>
      </c>
      <c r="B71" s="2193">
        <f>B$60*B65</f>
        <v>0</v>
      </c>
      <c r="C71" s="2185"/>
      <c r="D71" s="2193">
        <f>D$60*D65</f>
        <v>2.3010059999999997</v>
      </c>
      <c r="E71" s="2185"/>
      <c r="F71" s="2193">
        <f>F$60*F65</f>
        <v>0</v>
      </c>
      <c r="G71" s="2185"/>
      <c r="H71" s="2193">
        <f>H$60*H65</f>
        <v>2.9820000000000002</v>
      </c>
      <c r="I71" s="2185"/>
      <c r="J71" s="2193">
        <f>J$60*J65</f>
        <v>0</v>
      </c>
      <c r="K71" s="2185"/>
      <c r="L71" s="2193">
        <f>L$60*L65</f>
        <v>0</v>
      </c>
      <c r="M71" s="2185"/>
      <c r="N71" s="2193">
        <f>N$60*N65</f>
        <v>0</v>
      </c>
      <c r="O71" s="2185"/>
      <c r="P71" s="2193">
        <f>P$60*P65</f>
        <v>0</v>
      </c>
      <c r="Q71" s="2185"/>
    </row>
    <row r="72" spans="1:17" s="2136" customFormat="1">
      <c r="A72" s="2151" t="s">
        <v>805</v>
      </c>
      <c r="B72" s="2193">
        <f>B$60*B66</f>
        <v>0</v>
      </c>
      <c r="C72" s="2185"/>
      <c r="D72" s="2193">
        <f>D$60*D66</f>
        <v>0</v>
      </c>
      <c r="E72" s="2185"/>
      <c r="F72" s="2193">
        <f>F$60*F66</f>
        <v>0</v>
      </c>
      <c r="G72" s="2185"/>
      <c r="H72" s="2193">
        <f>H$60*H66</f>
        <v>0</v>
      </c>
      <c r="I72" s="2185"/>
      <c r="J72" s="2193">
        <f>J$60*J66</f>
        <v>0</v>
      </c>
      <c r="K72" s="2185"/>
      <c r="L72" s="2193">
        <f>L$60*L66</f>
        <v>0</v>
      </c>
      <c r="M72" s="2185"/>
      <c r="N72" s="2193">
        <f>N$60*N66</f>
        <v>0</v>
      </c>
      <c r="O72" s="2185"/>
      <c r="P72" s="2193">
        <f>P$60*P66</f>
        <v>0</v>
      </c>
      <c r="Q72" s="2185"/>
    </row>
    <row r="73" spans="1:17" s="2136" customFormat="1">
      <c r="A73" s="2151" t="s">
        <v>806</v>
      </c>
      <c r="B73" s="2193">
        <f>B$60*B67</f>
        <v>0.28699999999999998</v>
      </c>
      <c r="C73" s="2185"/>
      <c r="D73" s="2193">
        <f>D$60*D67</f>
        <v>0.45799400000000007</v>
      </c>
      <c r="E73" s="2185"/>
      <c r="F73" s="2193">
        <f>F$60*F67</f>
        <v>0.99</v>
      </c>
      <c r="G73" s="2185"/>
      <c r="H73" s="2193">
        <f>H$60*H67</f>
        <v>0</v>
      </c>
      <c r="I73" s="2185"/>
      <c r="J73" s="2193">
        <f>J$60*J67</f>
        <v>0.20499999999999999</v>
      </c>
      <c r="K73" s="2185"/>
      <c r="L73" s="2193">
        <f>L$60*L67</f>
        <v>0.27300000000000002</v>
      </c>
      <c r="M73" s="2185"/>
      <c r="N73" s="2193">
        <f>N$60*N67</f>
        <v>0.40899999999999997</v>
      </c>
      <c r="O73" s="2185"/>
      <c r="P73" s="2193">
        <f>P$60*P67</f>
        <v>5.3331709858490841</v>
      </c>
      <c r="Q73" s="2185"/>
    </row>
    <row r="74" spans="1:17" s="2136" customFormat="1">
      <c r="A74" s="2172" t="s">
        <v>816</v>
      </c>
      <c r="B74" s="2172">
        <f>B$69*(1+(GREET1_Import_Export!$G$179*GREET1_Import_Export!$B180+GREET1_Import_Export!$G180)/1000000)+B$70*(1+(GREET1_Import_Export!$G$179*GREET1_Import_Export!$B180+GREET1_Import_Export!$G180)/1000000)+B$71*(1+GREET1_Import_Export!$B216/1000000)+B$72*(1+GREET1_Import_Export!$B284/1000000)+B$73*(GREET1_Import_Export!$B309+GREET1_Import_Export!$C309)/1000000</f>
        <v>0.58205186056138436</v>
      </c>
      <c r="C74" s="2186"/>
      <c r="D74" s="2172">
        <f>D$69*(1+(GREET1_Import_Export!$G$179*GREET1_Import_Export!$B180+GREET1_Import_Export!$G180)/1000000)+D$70*(1+(GREET1_Import_Export!$G$179*GREET1_Import_Export!$B180+GREET1_Import_Export!$G180)/1000000)+D$71*(1+GREET1_Import_Export!$B216/1000000)+D$72*(1+GREET1_Import_Export!$B284/1000000)+D$73*(GREET1_Import_Export!$B309+GREET1_Import_Export!$C309)/1000000</f>
        <v>3.4697372066247998</v>
      </c>
      <c r="E74" s="2186"/>
      <c r="F74" s="2172">
        <f>F$69*(1+(GREET1_Import_Export!$G$179*GREET1_Import_Export!$B180+GREET1_Import_Export!$G180)/1000000)+F$70*(1+(GREET1_Import_Export!$G$179*GREET1_Import_Export!$B180+GREET1_Import_Export!$G180)/1000000)+F$71*(1+GREET1_Import_Export!$B216/1000000)+F$72*(1+GREET1_Import_Export!$B284/1000000)+F$73*(GREET1_Import_Export!$B309+GREET1_Import_Export!$C309)/1000000</f>
        <v>2.0077747106472841</v>
      </c>
      <c r="G74" s="2186"/>
      <c r="H74" s="2172">
        <f>H$69*(1+(GREET1_Import_Export!$G$179*GREET1_Import_Export!$B180+GREET1_Import_Export!$G180)/1000000)+H$70*(1+(GREET1_Import_Export!$G$179*GREET1_Import_Export!$B180+GREET1_Import_Export!$G180)/1000000)+H$71*(1+GREET1_Import_Export!$B216/1000000)+H$72*(1+GREET1_Import_Export!$B284/1000000)+H$73*(GREET1_Import_Export!$B309+GREET1_Import_Export!$C309)/1000000</f>
        <v>3.2928918881409128</v>
      </c>
      <c r="I74" s="2186"/>
      <c r="J74" s="2172">
        <f>J$69*(1+(GREET1_Import_Export!$G$179*GREET1_Import_Export!$B180+GREET1_Import_Export!$G180)/1000000)+J$70*(1+(GREET1_Import_Export!$G$179*GREET1_Import_Export!$B180+GREET1_Import_Export!$G180)/1000000)+J$71*(1+GREET1_Import_Export!$B216/1000000)+J$72*(1+GREET1_Import_Export!$B284/1000000)+J$73*(GREET1_Import_Export!$B309+GREET1_Import_Export!$C309)/1000000</f>
        <v>0.41575132897241734</v>
      </c>
      <c r="K74" s="2186"/>
      <c r="L74" s="2172">
        <f>L$69*(1+(GREET1_Import_Export!$G$179*GREET1_Import_Export!$B180+GREET1_Import_Export!$G180)/1000000)+L$70*(1+(GREET1_Import_Export!$G$179*GREET1_Import_Export!$B180+GREET1_Import_Export!$G180)/1000000)+L$71*(1+GREET1_Import_Export!$B216/1000000)+L$72*(1+GREET1_Import_Export!$B284/1000000)+L$73*(GREET1_Import_Export!$B309+GREET1_Import_Export!$C309)/1000000</f>
        <v>0.55365908687546328</v>
      </c>
      <c r="M74" s="2186"/>
      <c r="N74" s="2172">
        <f>N$69*(1+(GREET1_Import_Export!$G$179*GREET1_Import_Export!$B180+GREET1_Import_Export!$G180)/1000000)+N$70*(1+(GREET1_Import_Export!$G$179*GREET1_Import_Export!$B180+GREET1_Import_Export!$G180)/1000000)+N$71*(1+GREET1_Import_Export!$B216/1000000)+N$72*(1+GREET1_Import_Export!$B284/1000000)+N$73*(GREET1_Import_Export!$B309+GREET1_Import_Export!$C309)/1000000</f>
        <v>0.8294746026815546</v>
      </c>
      <c r="O74" s="2186"/>
      <c r="P74" s="2172">
        <f>P$69*(1+(GREET1_Import_Export!$G$179*GREET1_Import_Export!$B180+GREET1_Import_Export!$G180)/1000000)+P$70*(1+(GREET1_Import_Export!$G$179*GREET1_Import_Export!$B180+GREET1_Import_Export!$G180)/1000000)+P$71*(1+GREET1_Import_Export!$B216/1000000)+P$72*(1+GREET1_Import_Export!$B284/1000000)+P$73*(GREET1_Import_Export!$B309+GREET1_Import_Export!$C309)/1000000</f>
        <v>10.815965487823874</v>
      </c>
      <c r="Q74" s="2186"/>
    </row>
    <row r="75" spans="1:17" s="2136" customFormat="1">
      <c r="A75" s="2151" t="s">
        <v>817</v>
      </c>
      <c r="B75" s="2151">
        <f>B$69*(1+(GREET1_Import_Export!$G$179*GREET1_Import_Export!$B181+GREET1_Import_Export!$G181)/1000000)+B$70*(1+(GREET1_Import_Export!$G$179*GREET1_Import_Export!$B181+GREET1_Import_Export!$G181)/1000000)+B$71*(1+GREET1_Import_Export!$B217/1000000)+B$72*(1+GREET1_Import_Export!$B285/1000000)+B$73*(GREET1_Import_Export!$B310+GREET1_Import_Export!$C310)/1000000</f>
        <v>0.46099343845488616</v>
      </c>
      <c r="C75" s="2185"/>
      <c r="D75" s="2151">
        <f>D$69*(1+(GREET1_Import_Export!$G$179*GREET1_Import_Export!$B181+GREET1_Import_Export!$G181)/1000000)+D$70*(1+(GREET1_Import_Export!$G$179*GREET1_Import_Export!$B181+GREET1_Import_Export!$G181)/1000000)+D$71*(1+GREET1_Import_Export!$B217/1000000)+D$72*(1+GREET1_Import_Export!$B285/1000000)+D$73*(GREET1_Import_Export!$B310+GREET1_Import_Export!$C310)/1000000</f>
        <v>3.2748345544818638</v>
      </c>
      <c r="E75" s="2185"/>
      <c r="F75" s="2151">
        <f>F$69*(1+(GREET1_Import_Export!$G$179*GREET1_Import_Export!$B181+GREET1_Import_Export!$G181)/1000000)+F$70*(1+(GREET1_Import_Export!$G$179*GREET1_Import_Export!$B181+GREET1_Import_Export!$G181)/1000000)+F$71*(1+GREET1_Import_Export!$B217/1000000)+F$72*(1+GREET1_Import_Export!$B285/1000000)+F$73*(GREET1_Import_Export!$B310+GREET1_Import_Export!$C310)/1000000</f>
        <v>1.5901864253321858</v>
      </c>
      <c r="G75" s="2185"/>
      <c r="H75" s="2151">
        <f>H$69*(1+(GREET1_Import_Export!$G$179*GREET1_Import_Export!$B181+GREET1_Import_Export!$G181)/1000000)+H$70*(1+(GREET1_Import_Export!$G$179*GREET1_Import_Export!$B181+GREET1_Import_Export!$G181)/1000000)+H$71*(1+GREET1_Import_Export!$B217/1000000)+H$72*(1+GREET1_Import_Export!$B285/1000000)+H$73*(GREET1_Import_Export!$B310+GREET1_Import_Export!$C310)/1000000</f>
        <v>3.2906655993205178</v>
      </c>
      <c r="I75" s="2185"/>
      <c r="J75" s="2151">
        <f>J$69*(1+(GREET1_Import_Export!$G$179*GREET1_Import_Export!$B181+GREET1_Import_Export!$G181)/1000000)+J$70*(1+(GREET1_Import_Export!$G$179*GREET1_Import_Export!$B181+GREET1_Import_Export!$G181)/1000000)+J$71*(1+GREET1_Import_Export!$B217/1000000)+J$72*(1+GREET1_Import_Export!$B285/1000000)+J$73*(GREET1_Import_Export!$B310+GREET1_Import_Export!$C310)/1000000</f>
        <v>0.32928102746777582</v>
      </c>
      <c r="K75" s="2185"/>
      <c r="L75" s="2151">
        <f>L$69*(1+(GREET1_Import_Export!$G$179*GREET1_Import_Export!$B181+GREET1_Import_Export!$G181)/1000000)+L$70*(1+(GREET1_Import_Export!$G$179*GREET1_Import_Export!$B181+GREET1_Import_Export!$G181)/1000000)+L$71*(1+GREET1_Import_Export!$B217/1000000)+L$72*(1+GREET1_Import_Export!$B285/1000000)+L$73*(GREET1_Import_Export!$B310+GREET1_Import_Export!$C310)/1000000</f>
        <v>0.43850595365220885</v>
      </c>
      <c r="M75" s="2185"/>
      <c r="N75" s="2151">
        <f>N$69*(1+(GREET1_Import_Export!$G$179*GREET1_Import_Export!$B181+GREET1_Import_Export!$G181)/1000000)+N$70*(1+(GREET1_Import_Export!$G$179*GREET1_Import_Export!$B181+GREET1_Import_Export!$G181)/1000000)+N$71*(1+GREET1_Import_Export!$B217/1000000)+N$72*(1+GREET1_Import_Export!$B285/1000000)+N$73*(GREET1_Import_Export!$B310+GREET1_Import_Export!$C310)/1000000</f>
        <v>0.65695580602107462</v>
      </c>
      <c r="O75" s="2185"/>
      <c r="P75" s="2151">
        <f>P$69*(1+(GREET1_Import_Export!$G$179*GREET1_Import_Export!$B181+GREET1_Import_Export!$G181)/1000000)+P$70*(1+(GREET1_Import_Export!$G$179*GREET1_Import_Export!$B181+GREET1_Import_Export!$G181)/1000000)+P$71*(1+GREET1_Import_Export!$B217/1000000)+P$72*(1+GREET1_Import_Export!$B285/1000000)+P$73*(GREET1_Import_Export!$B310+GREET1_Import_Export!$C310)/1000000</f>
        <v>8.566400106740085</v>
      </c>
      <c r="Q75" s="2185"/>
    </row>
    <row r="76" spans="1:17" s="2136" customFormat="1">
      <c r="A76" s="2151" t="s">
        <v>805</v>
      </c>
      <c r="B76" s="2151">
        <f>B$69*(GREET1_Import_Export!$F$179*GREET1_Import_Export!$B182+GREET1_Import_Export!$F182)/1000000+B$70*(GREET1_Import_Export!$G$179*GREET1_Import_Export!$B182+GREET1_Import_Export!$G182)/1000000+B$71*GREET1_Import_Export!$B218/1000000+B$72*(1+GREET1_Import_Export!$B286/1000000)+B$73*(GREET1_Import_Export!$B311+GREET1_Import_Export!$C311)/1000000</f>
        <v>0.16002997625492929</v>
      </c>
      <c r="C76" s="2185"/>
      <c r="D76" s="2151">
        <f>D$69*(GREET1_Import_Export!$F$179*GREET1_Import_Export!$B182+GREET1_Import_Export!$F182)/1000000+D$70*(GREET1_Import_Export!$G$179*GREET1_Import_Export!$B182+GREET1_Import_Export!$G182)/1000000+D$71*GREET1_Import_Export!$B218/1000000+D$72*(1+GREET1_Import_Export!$B286/1000000)+D$73*(GREET1_Import_Export!$B311+GREET1_Import_Export!$C311)/1000000</f>
        <v>0.25764379026268952</v>
      </c>
      <c r="E76" s="2185"/>
      <c r="F76" s="2151">
        <f>F$69*(GREET1_Import_Export!$F$179*GREET1_Import_Export!$B182+GREET1_Import_Export!$F182)/1000000+F$70*(GREET1_Import_Export!$G$179*GREET1_Import_Export!$B182+GREET1_Import_Export!$G182)/1000000+F$71*GREET1_Import_Export!$B218/1000000+F$72*(1+GREET1_Import_Export!$B286/1000000)+F$73*(GREET1_Import_Export!$B311+GREET1_Import_Export!$C311)/1000000</f>
        <v>0.55201977871909413</v>
      </c>
      <c r="G76" s="2185"/>
      <c r="H76" s="2151">
        <f>H$69*(GREET1_Import_Export!$F$179*GREET1_Import_Export!$B182+GREET1_Import_Export!$F182)/1000000+H$70*(GREET1_Import_Export!$G$179*GREET1_Import_Export!$B182+GREET1_Import_Export!$G182)/1000000+H$71*GREET1_Import_Export!$B218/1000000+H$72*(1+GREET1_Import_Export!$B286/1000000)+H$73*(GREET1_Import_Export!$B311+GREET1_Import_Export!$C311)/1000000</f>
        <v>2.9395998709779987E-3</v>
      </c>
      <c r="I76" s="2185"/>
      <c r="J76" s="2151">
        <f>J$69*(GREET1_Import_Export!$F$179*GREET1_Import_Export!$B182+GREET1_Import_Export!$F182)/1000000+J$70*(GREET1_Import_Export!$G$179*GREET1_Import_Export!$B182+GREET1_Import_Export!$G182)/1000000+J$71*GREET1_Import_Export!$B218/1000000+J$72*(1+GREET1_Import_Export!$B286/1000000)+J$73*(GREET1_Import_Export!$B311+GREET1_Import_Export!$C311)/1000000</f>
        <v>0.11430712589637806</v>
      </c>
      <c r="K76" s="2185"/>
      <c r="L76" s="2151">
        <f>L$69*(GREET1_Import_Export!$F$179*GREET1_Import_Export!$B182+GREET1_Import_Export!$F182)/1000000+L$70*(GREET1_Import_Export!$G$179*GREET1_Import_Export!$B182+GREET1_Import_Export!$G182)/1000000+L$71*GREET1_Import_Export!$B218/1000000+L$72*(1+GREET1_Import_Export!$B286/1000000)+L$73*(GREET1_Import_Export!$B311+GREET1_Import_Export!$C311)/1000000</f>
        <v>0.15222363594981081</v>
      </c>
      <c r="M76" s="2185"/>
      <c r="N76" s="2151">
        <f>N$69*(GREET1_Import_Export!$F$179*GREET1_Import_Export!$B182+GREET1_Import_Export!$F182)/1000000+N$70*(GREET1_Import_Export!$G$179*GREET1_Import_Export!$B182+GREET1_Import_Export!$G182)/1000000+N$71*GREET1_Import_Export!$B218/1000000+N$72*(1+GREET1_Import_Export!$B286/1000000)+N$73*(GREET1_Import_Export!$B311+GREET1_Import_Export!$C311)/1000000</f>
        <v>0.22805665605667627</v>
      </c>
      <c r="O76" s="2185"/>
      <c r="P76" s="2151">
        <f>P$69*(GREET1_Import_Export!$F$179*GREET1_Import_Export!$B182+GREET1_Import_Export!$F182)/1000000+P$70*(GREET1_Import_Export!$G$179*GREET1_Import_Export!$B182+GREET1_Import_Export!$G182)/1000000+P$71*GREET1_Import_Export!$B218/1000000+P$72*(1+GREET1_Import_Export!$B286/1000000)+P$73*(GREET1_Import_Export!$B311+GREET1_Import_Export!$C311)/1000000</f>
        <v>2.9737534014944491</v>
      </c>
      <c r="Q76" s="2185"/>
    </row>
    <row r="77" spans="1:17" s="2136" customFormat="1">
      <c r="A77" s="2151" t="s">
        <v>804</v>
      </c>
      <c r="B77" s="2151">
        <f>B75-B76-B78</f>
        <v>0.29595698035738616</v>
      </c>
      <c r="C77" s="2185"/>
      <c r="D77" s="2151">
        <f>D75-D76-D78</f>
        <v>2.9999646100561628</v>
      </c>
      <c r="E77" s="2185"/>
      <c r="F77" s="2151">
        <f>F75-F76-F78</f>
        <v>1.0208969008843636</v>
      </c>
      <c r="G77" s="2185"/>
      <c r="H77" s="2151">
        <f>H75-H76-H78</f>
        <v>3.2757554961396154</v>
      </c>
      <c r="I77" s="2185"/>
      <c r="J77" s="2151">
        <f>J75-J76-J78</f>
        <v>0.21139784311241872</v>
      </c>
      <c r="K77" s="2185"/>
      <c r="L77" s="2151">
        <f>L75-L76-L78</f>
        <v>0.28152005448629425</v>
      </c>
      <c r="M77" s="2185"/>
      <c r="N77" s="2151">
        <f>N75-N76-N78</f>
        <v>0.42176447723404503</v>
      </c>
      <c r="O77" s="2185"/>
      <c r="P77" s="2151">
        <f>P75-P76-P78</f>
        <v>5.4996138700401378</v>
      </c>
      <c r="Q77" s="2185"/>
    </row>
    <row r="78" spans="1:17" s="2136" customFormat="1">
      <c r="A78" s="2151" t="s">
        <v>818</v>
      </c>
      <c r="B78" s="2151">
        <f>B$69*(1+(GREET1_Import_Export!$G$179*GREET1_Import_Export!$B184+GREET1_Import_Export!$G184)/1000000)+B$70*(1+(GREET1_Import_Export!$G$179*GREET1_Import_Export!$B184+GREET1_Import_Export!$G184)/1000000)+B$71*GREET1_Import_Export!$B220/1000000+B$72*GREET1_Import_Export!$B288/1000000+B$73*(GREET1_Import_Export!$B313+GREET1_Import_Export!$C313)/1000000</f>
        <v>5.0064818425706774E-3</v>
      </c>
      <c r="C78" s="2185"/>
      <c r="D78" s="2151">
        <f>D$69*(1+(GREET1_Import_Export!$G$179*GREET1_Import_Export!$B184+GREET1_Import_Export!$G184)/1000000)+D$70*(1+(GREET1_Import_Export!$G$179*GREET1_Import_Export!$B184+GREET1_Import_Export!$G184)/1000000)+D$71*GREET1_Import_Export!$B220/1000000+D$72*GREET1_Import_Export!$B288/1000000+D$73*(GREET1_Import_Export!$B313+GREET1_Import_Export!$C313)/1000000</f>
        <v>1.7226154163011521E-2</v>
      </c>
      <c r="E78" s="2185"/>
      <c r="F78" s="2151">
        <f>F$69*(1+(GREET1_Import_Export!$G$179*GREET1_Import_Export!$B184+GREET1_Import_Export!$G184)/1000000)+F$70*(1+(GREET1_Import_Export!$G$179*GREET1_Import_Export!$B184+GREET1_Import_Export!$G184)/1000000)+F$71*GREET1_Import_Export!$B220/1000000+F$72*GREET1_Import_Export!$B288/1000000+F$73*(GREET1_Import_Export!$B313+GREET1_Import_Export!$C313)/1000000</f>
        <v>1.7269745728728123E-2</v>
      </c>
      <c r="G78" s="2185"/>
      <c r="H78" s="2151">
        <f>H$69*(1+(GREET1_Import_Export!$G$179*GREET1_Import_Export!$B184+GREET1_Import_Export!$G184)/1000000)+H$70*(1+(GREET1_Import_Export!$G$179*GREET1_Import_Export!$B184+GREET1_Import_Export!$G184)/1000000)+H$71*GREET1_Import_Export!$B220/1000000+H$72*GREET1_Import_Export!$B288/1000000+H$73*(GREET1_Import_Export!$B313+GREET1_Import_Export!$C313)/1000000</f>
        <v>1.1970503309924744E-2</v>
      </c>
      <c r="I78" s="2185"/>
      <c r="J78" s="2151">
        <f>J$69*(1+(GREET1_Import_Export!$G$179*GREET1_Import_Export!$B184+GREET1_Import_Export!$G184)/1000000)+J$70*(1+(GREET1_Import_Export!$G$179*GREET1_Import_Export!$B184+GREET1_Import_Export!$G184)/1000000)+J$71*GREET1_Import_Export!$B220/1000000+J$72*GREET1_Import_Export!$B288/1000000+J$73*(GREET1_Import_Export!$B313+GREET1_Import_Export!$C313)/1000000</f>
        <v>3.5760584589790557E-3</v>
      </c>
      <c r="K78" s="2185"/>
      <c r="L78" s="2151">
        <f>L$69*(1+(GREET1_Import_Export!$G$179*GREET1_Import_Export!$B184+GREET1_Import_Export!$G184)/1000000)+L$70*(1+(GREET1_Import_Export!$G$179*GREET1_Import_Export!$B184+GREET1_Import_Export!$G184)/1000000)+L$71*GREET1_Import_Export!$B220/1000000+L$72*GREET1_Import_Export!$B288/1000000+L$73*(GREET1_Import_Export!$B313+GREET1_Import_Export!$C313)/1000000</f>
        <v>4.7622632161038164E-3</v>
      </c>
      <c r="M78" s="2185"/>
      <c r="N78" s="2151">
        <f>N$69*(1+(GREET1_Import_Export!$G$179*GREET1_Import_Export!$B184+GREET1_Import_Export!$G184)/1000000)+N$70*(1+(GREET1_Import_Export!$G$179*GREET1_Import_Export!$B184+GREET1_Import_Export!$G184)/1000000)+N$71*GREET1_Import_Export!$B220/1000000+N$72*GREET1_Import_Export!$B288/1000000+N$73*(GREET1_Import_Export!$B313+GREET1_Import_Export!$C313)/1000000</f>
        <v>7.134672730353335E-3</v>
      </c>
      <c r="O78" s="2185"/>
      <c r="P78" s="2151">
        <f>P$69*(1+(GREET1_Import_Export!$G$179*GREET1_Import_Export!$B184+GREET1_Import_Export!$G184)/1000000)+P$70*(1+(GREET1_Import_Export!$G$179*GREET1_Import_Export!$B184+GREET1_Import_Export!$G184)/1000000)+P$71*GREET1_Import_Export!$B220/1000000+P$72*GREET1_Import_Export!$B288/1000000+P$73*(GREET1_Import_Export!$B313+GREET1_Import_Export!$C313)/1000000</f>
        <v>9.3032835205498973E-2</v>
      </c>
      <c r="Q78" s="2185"/>
    </row>
    <row r="79" spans="1:17" s="2144" customFormat="1">
      <c r="A79" s="2093" t="s">
        <v>819</v>
      </c>
      <c r="B79" s="2187">
        <f>B$69*((GREET1_Import_Export!$G$179*GREET1_Import_Export!$B185+GREET1_Import_Export!$G185))+B$70*((GREET1_Import_Export!$G$179*GREET1_Import_Export!$B185+GREET1_Import_Export!$G185))+B$71*GREET1_Import_Export!$B221+B$72*GREET1_Import_Export!$B289+B$73*(GREET1_Import_Export!$B314+GREET1_Import_Export!$C314)</f>
        <v>31.192701757183013</v>
      </c>
      <c r="C79" s="2226"/>
      <c r="D79" s="2187">
        <f>D$69*((GREET1_Import_Export!$G$179*GREET1_Import_Export!$B185+GREET1_Import_Export!$G185))+D$70*((GREET1_Import_Export!$G$179*GREET1_Import_Export!$B185+GREET1_Import_Export!$G185))+D$71*GREET1_Import_Export!$B221+D$72*GREET1_Import_Export!$B289+D$73*(GREET1_Import_Export!$B314+GREET1_Import_Export!$C314)</f>
        <v>56.868972119403729</v>
      </c>
      <c r="E79" s="2226"/>
      <c r="F79" s="2187">
        <f>F$69*((GREET1_Import_Export!$G$179*GREET1_Import_Export!$B185+GREET1_Import_Export!$G185))+F$70*((GREET1_Import_Export!$G$179*GREET1_Import_Export!$B185+GREET1_Import_Export!$G185))+F$71*GREET1_Import_Export!$B221+F$72*GREET1_Import_Export!$B289+F$73*(GREET1_Import_Export!$B314+GREET1_Import_Export!$C314)</f>
        <v>107.59851825648497</v>
      </c>
      <c r="G79" s="2226"/>
      <c r="H79" s="2187">
        <f>H$69*((GREET1_Import_Export!$G$179*GREET1_Import_Export!$B185+GREET1_Import_Export!$G185))+H$70*((GREET1_Import_Export!$G$179*GREET1_Import_Export!$B185+GREET1_Import_Export!$G185))+H$71*GREET1_Import_Export!$B221+H$72*GREET1_Import_Export!$B289+H$73*(GREET1_Import_Export!$B314+GREET1_Import_Export!$C314)</f>
        <v>9.1905542923162731</v>
      </c>
      <c r="I79" s="2226"/>
      <c r="J79" s="2187">
        <f>J$69*((GREET1_Import_Export!$G$179*GREET1_Import_Export!$B185+GREET1_Import_Export!$G185))+J$70*((GREET1_Import_Export!$G$179*GREET1_Import_Export!$B185+GREET1_Import_Export!$G185))+J$71*GREET1_Import_Export!$B221+J$72*GREET1_Import_Export!$B289+J$73*(GREET1_Import_Export!$B314+GREET1_Import_Export!$C314)</f>
        <v>22.280501255130723</v>
      </c>
      <c r="K79" s="2226"/>
      <c r="L79" s="2187">
        <f>L$69*((GREET1_Import_Export!$G$179*GREET1_Import_Export!$B185+GREET1_Import_Export!$G185))+L$70*((GREET1_Import_Export!$G$179*GREET1_Import_Export!$B185+GREET1_Import_Export!$G185))+L$71*GREET1_Import_Export!$B221+L$72*GREET1_Import_Export!$B289+L$73*(GREET1_Import_Export!$B314+GREET1_Import_Export!$C314)</f>
        <v>29.671106549515553</v>
      </c>
      <c r="M79" s="2226"/>
      <c r="N79" s="2187">
        <f>N$69*((GREET1_Import_Export!$G$179*GREET1_Import_Export!$B185+GREET1_Import_Export!$G185))+N$70*((GREET1_Import_Export!$G$179*GREET1_Import_Export!$B185+GREET1_Import_Export!$G185))+N$71*GREET1_Import_Export!$B221+N$72*GREET1_Import_Export!$B289+N$73*(GREET1_Import_Export!$B314+GREET1_Import_Export!$C314)</f>
        <v>44.452317138285203</v>
      </c>
      <c r="O79" s="2226"/>
      <c r="P79" s="2187">
        <f>P$69*((GREET1_Import_Export!$G$179*GREET1_Import_Export!$B185+GREET1_Import_Export!$G185))+P$70*((GREET1_Import_Export!$G$179*GREET1_Import_Export!$B185+GREET1_Import_Export!$G185))+P$71*GREET1_Import_Export!$B221+P$72*GREET1_Import_Export!$B289+P$73*(GREET1_Import_Export!$B314+GREET1_Import_Export!$C314)</f>
        <v>579.63767240993798</v>
      </c>
      <c r="Q79" s="2226"/>
    </row>
    <row r="80" spans="1:17" s="2136" customFormat="1">
      <c r="A80" s="2155" t="s">
        <v>864</v>
      </c>
      <c r="B80" s="2172"/>
      <c r="C80" s="2186"/>
      <c r="D80" s="2172"/>
      <c r="E80" s="2186"/>
      <c r="F80" s="2172"/>
      <c r="G80" s="2186"/>
      <c r="H80" s="2172"/>
      <c r="I80" s="2186"/>
      <c r="J80" s="2172"/>
      <c r="K80" s="2186"/>
      <c r="L80" s="2172"/>
      <c r="M80" s="2186"/>
      <c r="N80" s="2172"/>
      <c r="O80" s="2186"/>
      <c r="P80" s="2172"/>
      <c r="Q80" s="2186"/>
    </row>
    <row r="81" spans="1:17" s="2136" customFormat="1">
      <c r="A81" s="2093" t="s">
        <v>821</v>
      </c>
      <c r="B81" s="2151">
        <f>B$69*($B$53*GREET1_Import_Export!$K72+GREET1_Import_Export!$G$179*GREET1_Import_Export!$B186+GREET1_Import_Export!$G186)+B$70*(GREET1_Import_Export!$O72+GREET1_Import_Export!$G$179*GREET1_Import_Export!$B186+GREET1_Import_Export!$G186)+B$71*($B$54*GREET1_Import_Export!$B72+GREET1_Import_Export!$B222)+B$72*($B$55*GREET1_Import_Export!$AA72+GREET1_Import_Export!$B290)+B$73*(GREET1_Import_Export!$B315+GREET1_Import_Export!$C315)</f>
        <v>3.976921279393351</v>
      </c>
      <c r="C81" s="2185"/>
      <c r="D81" s="2151">
        <f>D$69*($B$53*GREET1_Import_Export!$K72+GREET1_Import_Export!$G$179*GREET1_Import_Export!$B186+GREET1_Import_Export!$G186)+D$70*(GREET1_Import_Export!$O72+GREET1_Import_Export!$G$179*GREET1_Import_Export!$B186+GREET1_Import_Export!$G186)+D$71*($B$54*GREET1_Import_Export!$B72+GREET1_Import_Export!$B222)+D$72*($B$55*GREET1_Import_Export!$AA72+GREET1_Import_Export!$B290)+D$73*(GREET1_Import_Export!$B315+GREET1_Import_Export!$C315)</f>
        <v>35.86105318938754</v>
      </c>
      <c r="E81" s="843">
        <f>(1200+2000)/2</f>
        <v>1600</v>
      </c>
      <c r="F81" s="2151">
        <f>F$69*($B$53*GREET1_Import_Export!$K72+GREET1_Import_Export!$G$179*GREET1_Import_Export!$B186+GREET1_Import_Export!$G186)+F$70*(GREET1_Import_Export!D72+GREET1_Import_Export!$G$179*GREET1_Import_Export!$B186+GREET1_Import_Export!$G186)+F$71*($B$54*GREET1_Import_Export!$B72+GREET1_Import_Export!$B222)+F$72*($B$55*GREET1_Import_Export!$AA72+GREET1_Import_Export!$B290)+F$73*(GREET1_Import_Export!$B315+GREET1_Import_Export!$C315)</f>
        <v>13.718299883621665</v>
      </c>
      <c r="G81" s="2185"/>
      <c r="H81" s="2151">
        <f>H$69*($B$53*GREET1_Import_Export!$K72+GREET1_Import_Export!$G$179*GREET1_Import_Export!$B186+GREET1_Import_Export!$G186)+H$70*(GREET1_Import_Export!F72+GREET1_Import_Export!$G$179*GREET1_Import_Export!$B186+GREET1_Import_Export!$G186)+H$71*($B$54*GREET1_Import_Export!$B72+GREET1_Import_Export!$B222)+H$72*($B$55*GREET1_Import_Export!$AA72+GREET1_Import_Export!$B290)+H$73*(GREET1_Import_Export!$B315+GREET1_Import_Export!$C315)</f>
        <v>38.249707800889254</v>
      </c>
      <c r="I81" s="2185"/>
      <c r="J81" s="2151">
        <f>J$69*($B$53*GREET1_Import_Export!$K72+GREET1_Import_Export!$G$179*GREET1_Import_Export!$B186+GREET1_Import_Export!$G186)+J$70*(GREET1_Import_Export!H72+GREET1_Import_Export!$G$179*GREET1_Import_Export!$B186+GREET1_Import_Export!$G186)+J$71*($B$54*GREET1_Import_Export!$B72+GREET1_Import_Export!$B222)+J$72*($B$55*GREET1_Import_Export!$AA72+GREET1_Import_Export!$B290)+J$73*(GREET1_Import_Export!$B315+GREET1_Import_Export!$C315)</f>
        <v>2.8406580567095365</v>
      </c>
      <c r="K81" s="2185"/>
      <c r="L81" s="2151">
        <f>L$69*($B$53*GREET1_Import_Export!$K72+GREET1_Import_Export!$G$179*GREET1_Import_Export!$B186+GREET1_Import_Export!$G186)+L$70*(GREET1_Import_Export!K72+GREET1_Import_Export!$G$179*GREET1_Import_Export!$B186+GREET1_Import_Export!$G186)+L$71*($B$54*GREET1_Import_Export!$B72+GREET1_Import_Export!$B222)+L$72*($B$55*GREET1_Import_Export!$AA72+GREET1_Import_Export!$B290)+L$73*(GREET1_Import_Export!$B315+GREET1_Import_Export!$C315)</f>
        <v>3.7829251194229441</v>
      </c>
      <c r="M81" s="2185"/>
      <c r="N81" s="2151">
        <f>N$69*($B$53*GREET1_Import_Export!$K72+GREET1_Import_Export!$G$179*GREET1_Import_Export!$B186+GREET1_Import_Export!$G186)+N$70*(GREET1_Import_Export!M72+GREET1_Import_Export!$G$179*GREET1_Import_Export!$B186+GREET1_Import_Export!$G186)+N$71*($B$54*GREET1_Import_Export!$B72+GREET1_Import_Export!$B222)+N$72*($B$55*GREET1_Import_Export!$AA72+GREET1_Import_Export!$B290)+N$73*(GREET1_Import_Export!$B315+GREET1_Import_Export!$C315)</f>
        <v>5.6674592448497583</v>
      </c>
      <c r="O81" s="2185"/>
      <c r="P81" s="2151">
        <f>P$69*($B$53*GREET1_Import_Export!$K72+GREET1_Import_Export!$G$179*GREET1_Import_Export!$B186+GREET1_Import_Export!$G186)+P$70*(GREET1_Import_Export!Q72+GREET1_Import_Export!$G$179*GREET1_Import_Export!$B186+GREET1_Import_Export!$G186)+P$71*($B$54*GREET1_Import_Export!$B72+GREET1_Import_Export!$B222)+P$72*($B$55*GREET1_Import_Export!$AA72+GREET1_Import_Export!$B290)+P$73*(GREET1_Import_Export!$B315+GREET1_Import_Export!$C315)</f>
        <v>73.901049408593863</v>
      </c>
      <c r="Q81" s="2185"/>
    </row>
    <row r="82" spans="1:17" s="2136" customFormat="1">
      <c r="A82" s="2093" t="s">
        <v>822</v>
      </c>
      <c r="B82" s="2151">
        <f>B$69*($B$53*GREET1_Import_Export!$K73+GREET1_Import_Export!$G$179*GREET1_Import_Export!$B187+GREET1_Import_Export!$G187)+B$70*(GREET1_Import_Export!$O73+GREET1_Import_Export!$G$179*GREET1_Import_Export!$B187+GREET1_Import_Export!$G187)+B$71*($B$54*GREET1_Import_Export!$B73+GREET1_Import_Export!$B223)+B$72*($B$55*GREET1_Import_Export!$AA73+GREET1_Import_Export!$B291)+B$73*(GREET1_Import_Export!$B316+GREET1_Import_Export!$C316)</f>
        <v>10.749575709622755</v>
      </c>
      <c r="C82" s="2185"/>
      <c r="D82" s="2151">
        <f>D$69*($B$53*GREET1_Import_Export!$K73+GREET1_Import_Export!$G$179*GREET1_Import_Export!$B187+GREET1_Import_Export!$G187)+D$70*(GREET1_Import_Export!$O73+GREET1_Import_Export!$G$179*GREET1_Import_Export!$B187+GREET1_Import_Export!$G187)+D$71*($B$54*GREET1_Import_Export!$B73+GREET1_Import_Export!$B223)+D$72*($B$55*GREET1_Import_Export!$AA73+GREET1_Import_Export!$B291)+D$73*(GREET1_Import_Export!$B316+GREET1_Import_Export!$C316)</f>
        <v>140.15645973173673</v>
      </c>
      <c r="E82" s="843">
        <f>(21.3+23.6)/2</f>
        <v>22.450000000000003</v>
      </c>
      <c r="F82" s="2151">
        <f>F$69*($B$53*GREET1_Import_Export!$K73+GREET1_Import_Export!$G$179*GREET1_Import_Export!$B187+GREET1_Import_Export!$G187)+F$70*(GREET1_Import_Export!D73+GREET1_Import_Export!$G$179*GREET1_Import_Export!$B187+GREET1_Import_Export!$G187)+F$71*($B$54*GREET1_Import_Export!$B73+GREET1_Import_Export!$B223)+F$72*($B$55*GREET1_Import_Export!$AA73+GREET1_Import_Export!$B291)+F$73*(GREET1_Import_Export!$B316+GREET1_Import_Export!$C316)</f>
        <v>37.080417953054109</v>
      </c>
      <c r="G82" s="2185"/>
      <c r="H82" s="2151">
        <f>H$69*($B$53*GREET1_Import_Export!$K73+GREET1_Import_Export!$G$179*GREET1_Import_Export!$B187+GREET1_Import_Export!$G187)+H$70*(GREET1_Import_Export!F73+GREET1_Import_Export!$G$179*GREET1_Import_Export!$B187+GREET1_Import_Export!$G187)+H$71*($B$54*GREET1_Import_Export!$B73+GREET1_Import_Export!$B223)+H$72*($B$55*GREET1_Import_Export!$AA73+GREET1_Import_Export!$B291)+H$73*(GREET1_Import_Export!$B316+GREET1_Import_Export!$C316)</f>
        <v>159.40544539854855</v>
      </c>
      <c r="I82" s="2185"/>
      <c r="J82" s="2151">
        <f>J$69*($B$53*GREET1_Import_Export!$K73+GREET1_Import_Export!$G$179*GREET1_Import_Export!$B187+GREET1_Import_Export!$G187)+J$70*(GREET1_Import_Export!H73+GREET1_Import_Export!$G$179*GREET1_Import_Export!$B187+GREET1_Import_Export!$G187)+J$71*($B$54*GREET1_Import_Export!$B73+GREET1_Import_Export!$B223)+J$72*($B$55*GREET1_Import_Export!$AA73+GREET1_Import_Export!$B291)+J$73*(GREET1_Import_Export!$B316+GREET1_Import_Export!$C316)</f>
        <v>7.6782683640162546</v>
      </c>
      <c r="K82" s="2185"/>
      <c r="L82" s="2151">
        <f>L$69*($B$53*GREET1_Import_Export!$K73+GREET1_Import_Export!$G$179*GREET1_Import_Export!$B187+GREET1_Import_Export!$G187)+L$70*(GREET1_Import_Export!K73+GREET1_Import_Export!$G$179*GREET1_Import_Export!$B187+GREET1_Import_Export!$G187)+L$71*($B$54*GREET1_Import_Export!$B73+GREET1_Import_Export!$B223)+L$72*($B$55*GREET1_Import_Export!$AA73+GREET1_Import_Export!$B291)+L$73*(GREET1_Import_Export!$B316+GREET1_Import_Export!$C316)</f>
        <v>10.225206162811892</v>
      </c>
      <c r="M82" s="2185"/>
      <c r="N82" s="2151">
        <f>N$69*($B$53*GREET1_Import_Export!$K73+GREET1_Import_Export!$G$179*GREET1_Import_Export!$B187+GREET1_Import_Export!$G187)+N$70*(GREET1_Import_Export!M73+GREET1_Import_Export!$G$179*GREET1_Import_Export!$B187+GREET1_Import_Export!$G187)+N$71*($B$54*GREET1_Import_Export!$B73+GREET1_Import_Export!$B223)+N$72*($B$55*GREET1_Import_Export!$AA73+GREET1_Import_Export!$B291)+N$73*(GREET1_Import_Export!$B316+GREET1_Import_Export!$C316)</f>
        <v>15.319081760403161</v>
      </c>
      <c r="O82" s="2185"/>
      <c r="P82" s="2151">
        <f>P$69*($B$53*GREET1_Import_Export!$K73+GREET1_Import_Export!$G$179*GREET1_Import_Export!$B187+GREET1_Import_Export!$G187)+P$70*(GREET1_Import_Export!Q73+GREET1_Import_Export!$G$179*GREET1_Import_Export!$B187+GREET1_Import_Export!$G187)+P$71*($B$54*GREET1_Import_Export!$B73+GREET1_Import_Export!$B223)+P$72*($B$55*GREET1_Import_Export!$AA73+GREET1_Import_Export!$B291)+P$73*(GREET1_Import_Export!$B316+GREET1_Import_Export!$C316)</f>
        <v>199.75374663675319</v>
      </c>
      <c r="Q82" s="2185"/>
    </row>
    <row r="83" spans="1:17" s="2136" customFormat="1" ht="15.75">
      <c r="A83" s="2093" t="s">
        <v>2542</v>
      </c>
      <c r="B83" s="2151">
        <f>B$69*($B$53*GREET1_Import_Export!$K74+GREET1_Import_Export!$G$179*GREET1_Import_Export!$B188+GREET1_Import_Export!$G188)+B$70*(GREET1_Import_Export!$O74+GREET1_Import_Export!$G$179*GREET1_Import_Export!$B188+GREET1_Import_Export!$G188)+B$71*($B$54*GREET1_Import_Export!$B74+GREET1_Import_Export!$B224)+B$72*($B$55*GREET1_Import_Export!$AA74+GREET1_Import_Export!$B292)+B$73*(GREET1_Import_Export!$B317+GREET1_Import_Export!$C317)</f>
        <v>22.144794037446616</v>
      </c>
      <c r="C83" s="2185"/>
      <c r="D83" s="2151">
        <f>D$69*($B$53*GREET1_Import_Export!$K74+GREET1_Import_Export!$G$179*GREET1_Import_Export!$B188+GREET1_Import_Export!$G188)+D$70*(GREET1_Import_Export!$O74+GREET1_Import_Export!$G$179*GREET1_Import_Export!$B188+GREET1_Import_Export!$G188)+D$71*($B$54*GREET1_Import_Export!$B74+GREET1_Import_Export!$B224)+D$72*($B$55*GREET1_Import_Export!$AA74+GREET1_Import_Export!$B292)+D$73*(GREET1_Import_Export!$B317+GREET1_Import_Export!$C317)</f>
        <v>202.55268635197717</v>
      </c>
      <c r="E83" s="843">
        <f>(25.4+28.1)/2</f>
        <v>26.75</v>
      </c>
      <c r="F83" s="2151">
        <f>F$69*($B$53*GREET1_Import_Export!$K74+GREET1_Import_Export!$G$179*GREET1_Import_Export!$B188+GREET1_Import_Export!$G188)+F$70*(GREET1_Import_Export!D74+GREET1_Import_Export!$G$179*GREET1_Import_Export!$B188+GREET1_Import_Export!$G188)+F$71*($B$54*GREET1_Import_Export!$B74+GREET1_Import_Export!$B224)+F$72*($B$55*GREET1_Import_Export!$AA74+GREET1_Import_Export!$B292)+F$73*(GREET1_Import_Export!$B317+GREET1_Import_Export!$C317)</f>
        <v>76.387965495024915</v>
      </c>
      <c r="G83" s="2185"/>
      <c r="H83" s="2151">
        <f>H$69*($B$53*GREET1_Import_Export!$K74+GREET1_Import_Export!$G$179*GREET1_Import_Export!$B188+GREET1_Import_Export!$G188)+H$70*(GREET1_Import_Export!F74+GREET1_Import_Export!$G$179*GREET1_Import_Export!$B188+GREET1_Import_Export!$G188)+H$71*($B$54*GREET1_Import_Export!$B74+GREET1_Import_Export!$B224)+H$72*($B$55*GREET1_Import_Export!$AA74+GREET1_Import_Export!$B292)+H$73*(GREET1_Import_Export!$B317+GREET1_Import_Export!$C317)</f>
        <v>216.70189373798249</v>
      </c>
      <c r="I83" s="2185"/>
      <c r="J83" s="2151">
        <f>J$69*($B$53*GREET1_Import_Export!$K74+GREET1_Import_Export!$G$179*GREET1_Import_Export!$B188+GREET1_Import_Export!$G188)+J$70*(GREET1_Import_Export!H74+GREET1_Import_Export!$G$179*GREET1_Import_Export!$B188+GREET1_Import_Export!$G188)+J$71*($B$54*GREET1_Import_Export!$B74+GREET1_Import_Export!$B224)+J$72*($B$55*GREET1_Import_Export!$AA74+GREET1_Import_Export!$B292)+J$73*(GREET1_Import_Export!$B317+GREET1_Import_Export!$C317)</f>
        <v>15.817710026747584</v>
      </c>
      <c r="K83" s="2185"/>
      <c r="L83" s="2151">
        <f>L$69*($B$53*GREET1_Import_Export!$K74+GREET1_Import_Export!$G$179*GREET1_Import_Export!$B188+GREET1_Import_Export!$G188)+L$70*(GREET1_Import_Export!K74+GREET1_Import_Export!$G$179*GREET1_Import_Export!$B188+GREET1_Import_Export!$G188)+L$71*($B$54*GREET1_Import_Export!$B74+GREET1_Import_Export!$B224)+L$72*($B$55*GREET1_Import_Export!$AA74+GREET1_Import_Export!$B292)+L$73*(GREET1_Import_Export!$B317+GREET1_Import_Export!$C317)</f>
        <v>21.064560181961419</v>
      </c>
      <c r="M83" s="2185"/>
      <c r="N83" s="2151">
        <f>N$69*($B$53*GREET1_Import_Export!$K74+GREET1_Import_Export!$G$179*GREET1_Import_Export!$B188+GREET1_Import_Export!$G188)+N$70*(GREET1_Import_Export!M74+GREET1_Import_Export!$G$179*GREET1_Import_Export!$B188+GREET1_Import_Export!$G188)+N$71*($B$54*GREET1_Import_Export!$B74+GREET1_Import_Export!$B224)+N$72*($B$55*GREET1_Import_Export!$AA74+GREET1_Import_Export!$B292)+N$73*(GREET1_Import_Export!$B317+GREET1_Import_Export!$C317)</f>
        <v>31.558260492389081</v>
      </c>
      <c r="O83" s="2185"/>
      <c r="P83" s="2151">
        <f>P$69*($B$53*GREET1_Import_Export!$K74+GREET1_Import_Export!$G$179*GREET1_Import_Export!$B188+GREET1_Import_Export!$G188)+P$70*(GREET1_Import_Export!Q74+GREET1_Import_Export!$G$179*GREET1_Import_Export!$B188+GREET1_Import_Export!$G188)+P$71*($B$54*GREET1_Import_Export!$B74+GREET1_Import_Export!$B224)+P$72*($B$55*GREET1_Import_Export!$AA74+GREET1_Import_Export!$B292)+P$73*(GREET1_Import_Export!$B317+GREET1_Import_Export!$C317)</f>
        <v>411.5051325718261</v>
      </c>
      <c r="Q83" s="2185"/>
    </row>
    <row r="84" spans="1:17" s="2136" customFormat="1" ht="15.75">
      <c r="A84" s="2093" t="s">
        <v>2543</v>
      </c>
      <c r="B84" s="2151">
        <f>B$69*($B$53*GREET1_Import_Export!$K75+GREET1_Import_Export!$G$179*GREET1_Import_Export!$B189+GREET1_Import_Export!$G189)+B$70*(GREET1_Import_Export!$O75+GREET1_Import_Export!$G$179*GREET1_Import_Export!$B189+GREET1_Import_Export!$G189)+B$71*($B$54*GREET1_Import_Export!$B75+GREET1_Import_Export!$B225)+B$72*($B$55*GREET1_Import_Export!$AA75+GREET1_Import_Export!$B293)+B$73*(GREET1_Import_Export!$B318+GREET1_Import_Export!$C318)</f>
        <v>3.544856015042662</v>
      </c>
      <c r="C84" s="2185"/>
      <c r="D84" s="2151">
        <f>D$69*($B$53*GREET1_Import_Export!$K75+GREET1_Import_Export!$G$179*GREET1_Import_Export!$B189+GREET1_Import_Export!$G189)+D$70*(GREET1_Import_Export!$O75+GREET1_Import_Export!$G$179*GREET1_Import_Export!$B189+GREET1_Import_Export!$G189)+D$71*($B$54*GREET1_Import_Export!$B75+GREET1_Import_Export!$B225)+D$72*($B$55*GREET1_Import_Export!$AA75+GREET1_Import_Export!$B293)+D$73*(GREET1_Import_Export!$B318+GREET1_Import_Export!$C318)</f>
        <v>14.69303387586374</v>
      </c>
      <c r="E84" s="843">
        <v>60</v>
      </c>
      <c r="F84" s="2151">
        <f>F$69*($B$53*GREET1_Import_Export!$K75+GREET1_Import_Export!$G$179*GREET1_Import_Export!$B189+GREET1_Import_Export!$G189)+F$70*(GREET1_Import_Export!D75+GREET1_Import_Export!$G$179*GREET1_Import_Export!$B189+GREET1_Import_Export!$G189)+F$71*($B$54*GREET1_Import_Export!$B75+GREET1_Import_Export!$B225)+F$72*($B$55*GREET1_Import_Export!$AA75+GREET1_Import_Export!$B293)+F$73*(GREET1_Import_Export!$B318+GREET1_Import_Export!$C318)</f>
        <v>12.2279005396942</v>
      </c>
      <c r="G84" s="2185"/>
      <c r="H84" s="2151">
        <f>H$69*($B$53*GREET1_Import_Export!$K75+GREET1_Import_Export!$G$179*GREET1_Import_Export!$B189+GREET1_Import_Export!$G189)+H$70*(GREET1_Import_Export!F75+GREET1_Import_Export!$G$179*GREET1_Import_Export!$B189+GREET1_Import_Export!$G189)+H$71*($B$54*GREET1_Import_Export!$B75+GREET1_Import_Export!$B225)+H$72*($B$55*GREET1_Import_Export!$AA75+GREET1_Import_Export!$B293)+H$73*(GREET1_Import_Export!$B318+GREET1_Import_Export!$C318)</f>
        <v>11.71045590175779</v>
      </c>
      <c r="I84" s="2185"/>
      <c r="J84" s="2151">
        <f>J$69*($B$53*GREET1_Import_Export!$K75+GREET1_Import_Export!$G$179*GREET1_Import_Export!$B189+GREET1_Import_Export!$G189)+J$70*(GREET1_Import_Export!H75+GREET1_Import_Export!$G$179*GREET1_Import_Export!$B189+GREET1_Import_Export!$G189)+J$71*($B$54*GREET1_Import_Export!$B75+GREET1_Import_Export!$B225)+J$72*($B$55*GREET1_Import_Export!$AA75+GREET1_Import_Export!$B293)+J$73*(GREET1_Import_Export!$B318+GREET1_Import_Export!$C318)</f>
        <v>2.5320400107447587</v>
      </c>
      <c r="K84" s="2185"/>
      <c r="L84" s="2151">
        <f>L$69*($B$53*GREET1_Import_Export!$K75+GREET1_Import_Export!$G$179*GREET1_Import_Export!$B189+GREET1_Import_Export!$G189)+L$70*(GREET1_Import_Export!K75+GREET1_Import_Export!$G$179*GREET1_Import_Export!$B189+GREET1_Import_Export!$G189)+L$71*($B$54*GREET1_Import_Export!$B75+GREET1_Import_Export!$B225)+L$72*($B$55*GREET1_Import_Export!$AA75+GREET1_Import_Export!$B293)+L$73*(GREET1_Import_Export!$B318+GREET1_Import_Export!$C318)</f>
        <v>3.3719362094308254</v>
      </c>
      <c r="M84" s="2185"/>
      <c r="N84" s="2151">
        <f>N$69*($B$53*GREET1_Import_Export!$K75+GREET1_Import_Export!$G$179*GREET1_Import_Export!$B189+GREET1_Import_Export!$G189)+N$70*(GREET1_Import_Export!M75+GREET1_Import_Export!$G$179*GREET1_Import_Export!$B189+GREET1_Import_Export!$G189)+N$71*($B$54*GREET1_Import_Export!$B75+GREET1_Import_Export!$B225)+N$72*($B$55*GREET1_Import_Export!$AA75+GREET1_Import_Export!$B293)+N$73*(GREET1_Import_Export!$B318+GREET1_Import_Export!$C318)</f>
        <v>5.0517286068029579</v>
      </c>
      <c r="O84" s="2185"/>
      <c r="P84" s="2151">
        <f>P$69*($B$53*GREET1_Import_Export!$K75+GREET1_Import_Export!$G$179*GREET1_Import_Export!$B189+GREET1_Import_Export!$G189)+P$70*(GREET1_Import_Export!Q75+GREET1_Import_Export!$G$179*GREET1_Import_Export!$B189+GREET1_Import_Export!$G189)+P$71*($B$54*GREET1_Import_Export!$B75+GREET1_Import_Export!$B225)+P$72*($B$55*GREET1_Import_Export!$AA75+GREET1_Import_Export!$B293)+P$73*(GREET1_Import_Export!$B318+GREET1_Import_Export!$C318)</f>
        <v>65.872206440550983</v>
      </c>
      <c r="Q84" s="2185"/>
    </row>
    <row r="85" spans="1:17" s="2136" customFormat="1" ht="15.75">
      <c r="A85" s="2093" t="s">
        <v>2544</v>
      </c>
      <c r="B85" s="2151">
        <f>B$69*($B$53*GREET1_Import_Export!$K76+GREET1_Import_Export!$G$179*GREET1_Import_Export!$B190+GREET1_Import_Export!$G190)+B$70*(GREET1_Import_Export!$O76+GREET1_Import_Export!$G$179*GREET1_Import_Export!$B190+GREET1_Import_Export!$G190)+B$71*($B$54*GREET1_Import_Export!$B76+GREET1_Import_Export!$B226)+B$72*($B$55*GREET1_Import_Export!$AA76+GREET1_Import_Export!$B294)+B$73*(GREET1_Import_Export!$B319+GREET1_Import_Export!$C319)</f>
        <v>2.1278690312376258</v>
      </c>
      <c r="C85" s="2185"/>
      <c r="D85" s="2151">
        <f>D$69*($B$53*GREET1_Import_Export!$K76+GREET1_Import_Export!$G$179*GREET1_Import_Export!$B190+GREET1_Import_Export!$G190)+D$70*(GREET1_Import_Export!$O76+GREET1_Import_Export!$G$179*GREET1_Import_Export!$B190+GREET1_Import_Export!$G190)+D$71*($B$54*GREET1_Import_Export!$B76+GREET1_Import_Export!$B226)+D$72*($B$55*GREET1_Import_Export!$AA76+GREET1_Import_Export!$B294)+D$73*(GREET1_Import_Export!$B319+GREET1_Import_Export!$C319)</f>
        <v>12.336663351795483</v>
      </c>
      <c r="E85" s="2185">
        <f>E84/2</f>
        <v>30</v>
      </c>
      <c r="F85" s="2151">
        <f>F$69*($B$53*GREET1_Import_Export!$K76+GREET1_Import_Export!$G$179*GREET1_Import_Export!$B190+GREET1_Import_Export!$G190)+F$70*(GREET1_Import_Export!D76+GREET1_Import_Export!$G$179*GREET1_Import_Export!$B190+GREET1_Import_Export!$G190)+F$71*($B$54*GREET1_Import_Export!$B76+GREET1_Import_Export!$B226)+F$72*($B$55*GREET1_Import_Export!$AA76+GREET1_Import_Export!$B294)+F$73*(GREET1_Import_Export!$B319+GREET1_Import_Export!$C319)</f>
        <v>7.3400360310984301</v>
      </c>
      <c r="G85" s="2185"/>
      <c r="H85" s="2151">
        <f>H$69*($B$53*GREET1_Import_Export!$K76+GREET1_Import_Export!$G$179*GREET1_Import_Export!$B190+GREET1_Import_Export!$G190)+H$70*(GREET1_Import_Export!F76+GREET1_Import_Export!$G$179*GREET1_Import_Export!$B190+GREET1_Import_Export!$G190)+H$71*($B$54*GREET1_Import_Export!$B76+GREET1_Import_Export!$B226)+H$72*($B$55*GREET1_Import_Export!$AA76+GREET1_Import_Export!$B294)+H$73*(GREET1_Import_Export!$B319+GREET1_Import_Export!$C319)</f>
        <v>11.587151420532994</v>
      </c>
      <c r="I85" s="2185"/>
      <c r="J85" s="2151">
        <f>J$69*($B$53*GREET1_Import_Export!$K76+GREET1_Import_Export!$G$179*GREET1_Import_Export!$B190+GREET1_Import_Export!$G190)+J$70*(GREET1_Import_Export!H76+GREET1_Import_Export!$G$179*GREET1_Import_Export!$B190+GREET1_Import_Export!$G190)+J$71*($B$54*GREET1_Import_Export!$B76+GREET1_Import_Export!$B226)+J$72*($B$55*GREET1_Import_Export!$AA76+GREET1_Import_Export!$B294)+J$73*(GREET1_Import_Export!$B319+GREET1_Import_Export!$C319)</f>
        <v>1.5199064508840183</v>
      </c>
      <c r="K85" s="2185"/>
      <c r="L85" s="2151">
        <f>L$69*($B$53*GREET1_Import_Export!$K76+GREET1_Import_Export!$G$179*GREET1_Import_Export!$B190+GREET1_Import_Export!$G190)+L$70*(GREET1_Import_Export!K76+GREET1_Import_Export!$G$179*GREET1_Import_Export!$B190+GREET1_Import_Export!$G190)+L$71*($B$54*GREET1_Import_Export!$B76+GREET1_Import_Export!$B226)+L$72*($B$55*GREET1_Import_Export!$AA76+GREET1_Import_Export!$B294)+L$73*(GREET1_Import_Export!$B319+GREET1_Import_Export!$C319)</f>
        <v>2.0240705419089613</v>
      </c>
      <c r="M85" s="2185"/>
      <c r="N85" s="2151">
        <f>N$69*($B$53*GREET1_Import_Export!$K76+GREET1_Import_Export!$G$179*GREET1_Import_Export!$B190+GREET1_Import_Export!$G190)+N$70*(GREET1_Import_Export!M76+GREET1_Import_Export!$G$179*GREET1_Import_Export!$B190+GREET1_Import_Export!$G190)+N$71*($B$54*GREET1_Import_Export!$B76+GREET1_Import_Export!$B226)+N$72*($B$55*GREET1_Import_Export!$AA76+GREET1_Import_Export!$B294)+N$73*(GREET1_Import_Export!$B319+GREET1_Import_Export!$C319)</f>
        <v>3.0323987239588464</v>
      </c>
      <c r="O85" s="2185"/>
      <c r="P85" s="2151">
        <f>P$69*($B$53*GREET1_Import_Export!$K76+GREET1_Import_Export!$G$179*GREET1_Import_Export!$B190+GREET1_Import_Export!$G190)+P$70*(GREET1_Import_Export!Q76+GREET1_Import_Export!$G$179*GREET1_Import_Export!$B190+GREET1_Import_Export!$G190)+P$71*($B$54*GREET1_Import_Export!$B76+GREET1_Import_Export!$B226)+P$72*($B$55*GREET1_Import_Export!$AA76+GREET1_Import_Export!$B294)+P$73*(GREET1_Import_Export!$B319+GREET1_Import_Export!$C319)</f>
        <v>39.541077975900016</v>
      </c>
      <c r="Q85" s="2185"/>
    </row>
    <row r="86" spans="1:17" s="2136" customFormat="1" ht="15.75">
      <c r="A86" s="2093" t="s">
        <v>2545</v>
      </c>
      <c r="B86" s="2151">
        <f>B$69*($B$53*GREET1_Import_Export!$K77+GREET1_Import_Export!$G$179*GREET1_Import_Export!$B191+GREET1_Import_Export!$G191)+B$70*(GREET1_Import_Export!$O77+GREET1_Import_Export!$G$179*GREET1_Import_Export!$B191+GREET1_Import_Export!$G191)+B$71*($B$54*GREET1_Import_Export!$B77+GREET1_Import_Export!$B227)+B$72*($B$55*GREET1_Import_Export!$AA77+GREET1_Import_Export!$B295)+B$73*(GREET1_Import_Export!$B320+GREET1_Import_Export!$C320)</f>
        <v>18.593608870892343</v>
      </c>
      <c r="C86" s="2185"/>
      <c r="D86" s="2151">
        <f>D$69*($B$53*GREET1_Import_Export!$K77+GREET1_Import_Export!$G$179*GREET1_Import_Export!$B191+GREET1_Import_Export!$G191)+D$70*(GREET1_Import_Export!$O77+GREET1_Import_Export!$G$179*GREET1_Import_Export!$B191+GREET1_Import_Export!$G191)+D$71*($B$54*GREET1_Import_Export!$B77+GREET1_Import_Export!$B227)+D$72*($B$55*GREET1_Import_Export!$AA77+GREET1_Import_Export!$B295)+D$73*(GREET1_Import_Export!$B320+GREET1_Import_Export!$C320)</f>
        <v>55.831666129399352</v>
      </c>
      <c r="E86" s="2185"/>
      <c r="F86" s="2151">
        <f>F$69*($B$53*GREET1_Import_Export!$K77+GREET1_Import_Export!$G$179*GREET1_Import_Export!$B191+GREET1_Import_Export!$G191)+F$70*(GREET1_Import_Export!D77+GREET1_Import_Export!$G$179*GREET1_Import_Export!$B191+GREET1_Import_Export!$G191)+F$71*($B$54*GREET1_Import_Export!$B77+GREET1_Import_Export!$B227)+F$72*($B$55*GREET1_Import_Export!$AA77+GREET1_Import_Export!$B295)+F$73*(GREET1_Import_Export!$B320+GREET1_Import_Export!$C320)</f>
        <v>64.138232690534565</v>
      </c>
      <c r="G86" s="2185"/>
      <c r="H86" s="2151">
        <f>H$69*($B$53*GREET1_Import_Export!$K77+GREET1_Import_Export!$G$179*GREET1_Import_Export!$B191+GREET1_Import_Export!$G191)+H$70*(GREET1_Import_Export!F77+GREET1_Import_Export!$G$179*GREET1_Import_Export!$B191+GREET1_Import_Export!$G191)+H$71*($B$54*GREET1_Import_Export!$B77+GREET1_Import_Export!$B227)+H$72*($B$55*GREET1_Import_Export!$AA77+GREET1_Import_Export!$B295)+H$73*(GREET1_Import_Export!$B320+GREET1_Import_Export!$C320)</f>
        <v>33.902211234255212</v>
      </c>
      <c r="I86" s="2185"/>
      <c r="J86" s="2151">
        <f>J$69*($B$53*GREET1_Import_Export!$K77+GREET1_Import_Export!$G$179*GREET1_Import_Export!$B191+GREET1_Import_Export!$G191)+J$70*(GREET1_Import_Export!H77+GREET1_Import_Export!$G$179*GREET1_Import_Export!$B191+GREET1_Import_Export!$G191)+J$71*($B$54*GREET1_Import_Export!$B77+GREET1_Import_Export!$B227)+J$72*($B$55*GREET1_Import_Export!$AA77+GREET1_Import_Export!$B295)+J$73*(GREET1_Import_Export!$B320+GREET1_Import_Export!$C320)</f>
        <v>13.281149193494532</v>
      </c>
      <c r="K86" s="2185"/>
      <c r="L86" s="2151">
        <f>L$69*($B$53*GREET1_Import_Export!$K77+GREET1_Import_Export!$G$179*GREET1_Import_Export!$B191+GREET1_Import_Export!$G191)+L$70*(GREET1_Import_Export!K77+GREET1_Import_Export!$G$179*GREET1_Import_Export!$B191+GREET1_Import_Export!$G191)+L$71*($B$54*GREET1_Import_Export!$B77+GREET1_Import_Export!$B227)+L$72*($B$55*GREET1_Import_Export!$AA77+GREET1_Import_Export!$B295)+L$73*(GREET1_Import_Export!$B320+GREET1_Import_Export!$C320)</f>
        <v>17.68660356011711</v>
      </c>
      <c r="M86" s="2185"/>
      <c r="N86" s="2151">
        <f>N$69*($B$53*GREET1_Import_Export!$K77+GREET1_Import_Export!$G$179*GREET1_Import_Export!$B191+GREET1_Import_Export!$G191)+N$70*(GREET1_Import_Export!M77+GREET1_Import_Export!$G$179*GREET1_Import_Export!$B191+GREET1_Import_Export!$G191)+N$71*($B$54*GREET1_Import_Export!$B77+GREET1_Import_Export!$B227)+N$72*($B$55*GREET1_Import_Export!$AA77+GREET1_Import_Export!$B295)+N$73*(GREET1_Import_Export!$B320+GREET1_Import_Export!$C320)</f>
        <v>26.497512293362259</v>
      </c>
      <c r="O86" s="2185"/>
      <c r="P86" s="2151">
        <f>P$69*($B$53*GREET1_Import_Export!$K77+GREET1_Import_Export!$G$179*GREET1_Import_Export!$B191+GREET1_Import_Export!$G191)+P$70*(GREET1_Import_Export!Q77+GREET1_Import_Export!$G$179*GREET1_Import_Export!$B191+GREET1_Import_Export!$G191)+P$71*($B$54*GREET1_Import_Export!$B77+GREET1_Import_Export!$B227)+P$72*($B$55*GREET1_Import_Export!$AA77+GREET1_Import_Export!$B295)+P$73*(GREET1_Import_Export!$B320+GREET1_Import_Export!$C320)</f>
        <v>345.51531481696588</v>
      </c>
      <c r="Q86" s="2185"/>
    </row>
    <row r="87" spans="1:17" s="2136" customFormat="1">
      <c r="A87" s="2093" t="s">
        <v>827</v>
      </c>
      <c r="B87" s="2151">
        <f>B$69*($B$53*GREET1_Import_Export!$K78+GREET1_Import_Export!$G$179*GREET1_Import_Export!$B192+GREET1_Import_Export!$G192)+B$70*(GREET1_Import_Export!$O78+GREET1_Import_Export!$G$179*GREET1_Import_Export!$B192+GREET1_Import_Export!$G192)+B$71*($B$54*GREET1_Import_Export!$B78+GREET1_Import_Export!$B228)+B$72*($B$55*GREET1_Import_Export!$AA78+GREET1_Import_Export!$B296)+B$73*(GREET1_Import_Export!$B321+GREET1_Import_Export!$C321)</f>
        <v>0.12983107122569518</v>
      </c>
      <c r="C87" s="2185"/>
      <c r="D87" s="2151">
        <f>D$69*($B$53*GREET1_Import_Export!$K78+GREET1_Import_Export!$G$179*GREET1_Import_Export!$B192+GREET1_Import_Export!$G192)+D$70*(GREET1_Import_Export!$O78+GREET1_Import_Export!$G$179*GREET1_Import_Export!$B192+GREET1_Import_Export!$G192)+D$71*($B$54*GREET1_Import_Export!$B78+GREET1_Import_Export!$B228)+D$72*($B$55*GREET1_Import_Export!$AA78+GREET1_Import_Export!$B296)+D$73*(GREET1_Import_Export!$B321+GREET1_Import_Export!$C321)</f>
        <v>1.7669994841127479</v>
      </c>
      <c r="E87" s="2185"/>
      <c r="F87" s="2151">
        <f>F$69*($B$53*GREET1_Import_Export!$K78+GREET1_Import_Export!$G$179*GREET1_Import_Export!$B192+GREET1_Import_Export!$G192)+F$70*(GREET1_Import_Export!D78+GREET1_Import_Export!$G$179*GREET1_Import_Export!$B192+GREET1_Import_Export!$G192)+F$71*($B$54*GREET1_Import_Export!$B78+GREET1_Import_Export!$B228)+F$72*($B$55*GREET1_Import_Export!$AA78+GREET1_Import_Export!$B296)+F$73*(GREET1_Import_Export!$B321+GREET1_Import_Export!$C321)</f>
        <v>0.44784933976807745</v>
      </c>
      <c r="G87" s="2185"/>
      <c r="H87" s="2151">
        <f>H$69*($B$53*GREET1_Import_Export!$K78+GREET1_Import_Export!$G$179*GREET1_Import_Export!$B192+GREET1_Import_Export!$G192)+H$70*(GREET1_Import_Export!F78+GREET1_Import_Export!$G$179*GREET1_Import_Export!$B192+GREET1_Import_Export!$G192)+H$71*($B$54*GREET1_Import_Export!$B78+GREET1_Import_Export!$B228)+H$72*($B$55*GREET1_Import_Export!$AA78+GREET1_Import_Export!$B296)+H$73*(GREET1_Import_Export!$B321+GREET1_Import_Export!$C321)</f>
        <v>2.0214503222705784</v>
      </c>
      <c r="I87" s="2185"/>
      <c r="J87" s="2151">
        <f>J$69*($B$53*GREET1_Import_Export!$K78+GREET1_Import_Export!$G$179*GREET1_Import_Export!$B192+GREET1_Import_Export!$G192)+J$70*(GREET1_Import_Export!H78+GREET1_Import_Export!$G$179*GREET1_Import_Export!$B192+GREET1_Import_Export!$G192)+J$71*($B$54*GREET1_Import_Export!$B78+GREET1_Import_Export!$B228)+J$72*($B$55*GREET1_Import_Export!$AA78+GREET1_Import_Export!$B296)+J$73*(GREET1_Import_Export!$B321+GREET1_Import_Export!$C321)</f>
        <v>9.2736479446925119E-2</v>
      </c>
      <c r="K87" s="2185"/>
      <c r="L87" s="2151">
        <f>L$69*($B$53*GREET1_Import_Export!$K78+GREET1_Import_Export!$G$179*GREET1_Import_Export!$B192+GREET1_Import_Export!$G192)+L$70*(GREET1_Import_Export!K78+GREET1_Import_Export!$G$179*GREET1_Import_Export!$B192+GREET1_Import_Export!$G192)+L$71*($B$54*GREET1_Import_Export!$B78+GREET1_Import_Export!$B228)+L$72*($B$55*GREET1_Import_Export!$AA78+GREET1_Import_Export!$B296)+L$73*(GREET1_Import_Export!$B321+GREET1_Import_Export!$C321)</f>
        <v>0.12349784823907591</v>
      </c>
      <c r="M87" s="2185"/>
      <c r="N87" s="2151">
        <f>N$69*($B$53*GREET1_Import_Export!$K78+GREET1_Import_Export!$G$179*GREET1_Import_Export!$B192+GREET1_Import_Export!$G192)+N$70*(GREET1_Import_Export!M78+GREET1_Import_Export!$G$179*GREET1_Import_Export!$B192+GREET1_Import_Export!$G192)+N$71*($B$54*GREET1_Import_Export!$B78+GREET1_Import_Export!$B228)+N$72*($B$55*GREET1_Import_Export!$AA78+GREET1_Import_Export!$B296)+N$73*(GREET1_Import_Export!$B321+GREET1_Import_Export!$C321)</f>
        <v>0.18502058582337744</v>
      </c>
      <c r="O87" s="2185"/>
      <c r="P87" s="2151">
        <f>P$69*($B$53*GREET1_Import_Export!$K78+GREET1_Import_Export!$G$179*GREET1_Import_Export!$B192+GREET1_Import_Export!$G192)+P$70*(GREET1_Import_Export!Q78+GREET1_Import_Export!$G$179*GREET1_Import_Export!$B192+GREET1_Import_Export!$G192)+P$71*($B$54*GREET1_Import_Export!$B78+GREET1_Import_Export!$B228)+P$72*($B$55*GREET1_Import_Export!$AA78+GREET1_Import_Export!$B296)+P$73*(GREET1_Import_Export!$B321+GREET1_Import_Export!$C321)</f>
        <v>2.4125829342250293</v>
      </c>
      <c r="Q87" s="2185"/>
    </row>
    <row r="88" spans="1:17" s="2136" customFormat="1">
      <c r="A88" s="2093" t="s">
        <v>828</v>
      </c>
      <c r="B88" s="2151">
        <f>B$69*($B$53*GREET1_Import_Export!$K79+GREET1_Import_Export!$G$179*GREET1_Import_Export!$B193+GREET1_Import_Export!$G193)+B$70*(GREET1_Import_Export!$O79+GREET1_Import_Export!$G$179*GREET1_Import_Export!$B193+GREET1_Import_Export!$G193)+B$71*($B$54*GREET1_Import_Export!$B79+GREET1_Import_Export!$B229)+B$72*($B$55*GREET1_Import_Export!$AA79+GREET1_Import_Export!$B297)+B$73*(GREET1_Import_Export!$B322+GREET1_Import_Export!$C322)</f>
        <v>0.61796444484001511</v>
      </c>
      <c r="C88" s="2185"/>
      <c r="D88" s="2151">
        <f>D$69*($B$53*GREET1_Import_Export!$K79+GREET1_Import_Export!$G$179*GREET1_Import_Export!$B193+GREET1_Import_Export!$G193)+D$70*(GREET1_Import_Export!$O79+GREET1_Import_Export!$G$179*GREET1_Import_Export!$B193+GREET1_Import_Export!$G193)+D$71*($B$54*GREET1_Import_Export!$B79+GREET1_Import_Export!$B229)+D$72*($B$55*GREET1_Import_Export!$AA79+GREET1_Import_Export!$B297)+D$73*(GREET1_Import_Export!$B322+GREET1_Import_Export!$C322)</f>
        <v>4.769634615241646</v>
      </c>
      <c r="E88" s="2185"/>
      <c r="F88" s="2151">
        <f>F$69*($B$53*GREET1_Import_Export!$K79+GREET1_Import_Export!$G$179*GREET1_Import_Export!$B193+GREET1_Import_Export!$G193)+F$70*(GREET1_Import_Export!D79+GREET1_Import_Export!$G$179*GREET1_Import_Export!$B193+GREET1_Import_Export!$G193)+F$71*($B$54*GREET1_Import_Export!$B79+GREET1_Import_Export!$B229)+F$72*($B$55*GREET1_Import_Export!$AA79+GREET1_Import_Export!$B297)+F$73*(GREET1_Import_Export!$B322+GREET1_Import_Export!$C322)</f>
        <v>2.1316543567652091</v>
      </c>
      <c r="G88" s="2185"/>
      <c r="H88" s="2151">
        <f>H$69*($B$53*GREET1_Import_Export!$K79+GREET1_Import_Export!$G$179*GREET1_Import_Export!$B193+GREET1_Import_Export!$G193)+H$70*(GREET1_Import_Export!F79+GREET1_Import_Export!$G$179*GREET1_Import_Export!$B193+GREET1_Import_Export!$G193)+H$71*($B$54*GREET1_Import_Export!$B79+GREET1_Import_Export!$B229)+H$72*($B$55*GREET1_Import_Export!$AA79+GREET1_Import_Export!$B297)+H$73*(GREET1_Import_Export!$B322+GREET1_Import_Export!$C322)</f>
        <v>4.9032301305618704</v>
      </c>
      <c r="I88" s="2185"/>
      <c r="J88" s="2151">
        <f>J$69*($B$53*GREET1_Import_Export!$K79+GREET1_Import_Export!$G$179*GREET1_Import_Export!$B193+GREET1_Import_Export!$G193)+J$70*(GREET1_Import_Export!H79+GREET1_Import_Export!$G$179*GREET1_Import_Export!$B193+GREET1_Import_Export!$G193)+J$71*($B$54*GREET1_Import_Export!$B79+GREET1_Import_Export!$B229)+J$72*($B$55*GREET1_Import_Export!$AA79+GREET1_Import_Export!$B297)+J$73*(GREET1_Import_Export!$B322+GREET1_Import_Export!$C322)</f>
        <v>0.44140317488572511</v>
      </c>
      <c r="K88" s="2185"/>
      <c r="L88" s="2151">
        <f>L$69*($B$53*GREET1_Import_Export!$K79+GREET1_Import_Export!$G$179*GREET1_Import_Export!$B193+GREET1_Import_Export!$G193)+L$70*(GREET1_Import_Export!K79+GREET1_Import_Export!$G$179*GREET1_Import_Export!$B193+GREET1_Import_Export!$G193)+L$71*($B$54*GREET1_Import_Export!$B79+GREET1_Import_Export!$B229)+L$72*($B$55*GREET1_Import_Export!$AA79+GREET1_Import_Export!$B297)+L$73*(GREET1_Import_Export!$B322+GREET1_Import_Export!$C322)</f>
        <v>0.58781983777464863</v>
      </c>
      <c r="M88" s="2185"/>
      <c r="N88" s="2151">
        <f>N$69*($B$53*GREET1_Import_Export!$K79+GREET1_Import_Export!$G$179*GREET1_Import_Export!$B193+GREET1_Import_Export!$G193)+N$70*(GREET1_Import_Export!M79+GREET1_Import_Export!$G$179*GREET1_Import_Export!$B193+GREET1_Import_Export!$G193)+N$71*($B$54*GREET1_Import_Export!$B79+GREET1_Import_Export!$B229)+N$72*($B$55*GREET1_Import_Export!$AA79+GREET1_Import_Export!$B297)+N$73*(GREET1_Import_Export!$B322+GREET1_Import_Export!$C322)</f>
        <v>0.88065316355249545</v>
      </c>
      <c r="O88" s="2185"/>
      <c r="P88" s="2151">
        <f>P$69*($B$53*GREET1_Import_Export!$K79+GREET1_Import_Export!$G$179*GREET1_Import_Export!$B193+GREET1_Import_Export!$G193)+P$70*(GREET1_Import_Export!Q79+GREET1_Import_Export!$G$179*GREET1_Import_Export!$B193+GREET1_Import_Export!$G193)+P$71*($B$54*GREET1_Import_Export!$B79+GREET1_Import_Export!$B229)+P$72*($B$55*GREET1_Import_Export!$AA79+GREET1_Import_Export!$B297)+P$73*(GREET1_Import_Export!$B322+GREET1_Import_Export!$C322)</f>
        <v>11.483310270059603</v>
      </c>
      <c r="Q88" s="2185"/>
    </row>
    <row r="89" spans="1:17" s="2136" customFormat="1" ht="15.75">
      <c r="A89" s="2093" t="s">
        <v>2546</v>
      </c>
      <c r="B89" s="2151">
        <f>B$69*($B$53*GREET1_Import_Export!$K80+GREET1_Import_Export!$G$179*GREET1_Import_Export!$B194+GREET1_Import_Export!$G194)+B$70*(GREET1_Import_Export!$O80+GREET1_Import_Export!$G$179*GREET1_Import_Export!$B194+GREET1_Import_Export!$G194)+B$71*($B$54*GREET1_Import_Export!$B80+GREET1_Import_Export!$B230)+B$72*($B$55*GREET1_Import_Export!$AA80+GREET1_Import_Export!$B298)+B$73*(GREET1_Import_Export!$B323+GREET1_Import_Export!$C323)</f>
        <v>76.887353151280678</v>
      </c>
      <c r="C89" s="2185"/>
      <c r="D89" s="2151">
        <f>D$69*($B$53*GREET1_Import_Export!$K80+GREET1_Import_Export!$G$179*GREET1_Import_Export!$B194+GREET1_Import_Export!$G194)+D$70*(GREET1_Import_Export!$O80+GREET1_Import_Export!$G$179*GREET1_Import_Export!$B194+GREET1_Import_Export!$G194)+D$71*($B$54*GREET1_Import_Export!$B80+GREET1_Import_Export!$B230)+D$72*($B$55*GREET1_Import_Export!$AA80+GREET1_Import_Export!$B298)+D$73*(GREET1_Import_Export!$B323+GREET1_Import_Export!$C323)</f>
        <v>622.99050042592114</v>
      </c>
      <c r="E89" s="2185"/>
      <c r="F89" s="2151">
        <f>F$69*($B$53*GREET1_Import_Export!$K80+GREET1_Import_Export!$G$179*GREET1_Import_Export!$B194+GREET1_Import_Export!$G194)+F$70*(GREET1_Import_Export!D80+GREET1_Import_Export!$G$179*GREET1_Import_Export!$B194+GREET1_Import_Export!$G194)+F$71*($B$54*GREET1_Import_Export!$B80+GREET1_Import_Export!$B230)+F$72*($B$55*GREET1_Import_Export!$AA80+GREET1_Import_Export!$B298)+F$73*(GREET1_Import_Export!$B323+GREET1_Import_Export!$C323)</f>
        <v>265.22118334413892</v>
      </c>
      <c r="G89" s="2185"/>
      <c r="H89" s="2151">
        <f>H$69*($B$53*GREET1_Import_Export!$K80+GREET1_Import_Export!$G$179*GREET1_Import_Export!$B194+GREET1_Import_Export!$G194)+H$70*(GREET1_Import_Export!F80+GREET1_Import_Export!$G$179*GREET1_Import_Export!$B194+GREET1_Import_Export!$G194)+H$71*($B$54*GREET1_Import_Export!$B80+GREET1_Import_Export!$B230)+H$72*($B$55*GREET1_Import_Export!$AA80+GREET1_Import_Export!$B298)+H$73*(GREET1_Import_Export!$B323+GREET1_Import_Export!$C323)</f>
        <v>648.35823122909107</v>
      </c>
      <c r="I89" s="2185"/>
      <c r="J89" s="2151">
        <f>J$69*($B$53*GREET1_Import_Export!$K80+GREET1_Import_Export!$G$179*GREET1_Import_Export!$B194+GREET1_Import_Export!$G194)+J$70*(GREET1_Import_Export!H80+GREET1_Import_Export!$G$179*GREET1_Import_Export!$B194+GREET1_Import_Export!$G194)+J$71*($B$54*GREET1_Import_Export!$B80+GREET1_Import_Export!$B230)+J$72*($B$55*GREET1_Import_Export!$AA80+GREET1_Import_Export!$B298)+J$73*(GREET1_Import_Export!$B323+GREET1_Import_Export!$C323)</f>
        <v>54.919537965200483</v>
      </c>
      <c r="K89" s="2185"/>
      <c r="L89" s="2151">
        <f>L$69*($B$53*GREET1_Import_Export!$K80+GREET1_Import_Export!$G$179*GREET1_Import_Export!$B194+GREET1_Import_Export!$G194)+L$70*(GREET1_Import_Export!K80+GREET1_Import_Export!$G$179*GREET1_Import_Export!$B194+GREET1_Import_Export!$G194)+L$71*($B$54*GREET1_Import_Export!$B80+GREET1_Import_Export!$B230)+L$72*($B$55*GREET1_Import_Export!$AA80+GREET1_Import_Export!$B298)+L$73*(GREET1_Import_Export!$B323+GREET1_Import_Export!$C323)</f>
        <v>73.136750558535283</v>
      </c>
      <c r="M89" s="2185"/>
      <c r="N89" s="2151">
        <f>N$69*($B$53*GREET1_Import_Export!$K80+GREET1_Import_Export!$G$179*GREET1_Import_Export!$B194+GREET1_Import_Export!$G194)+N$70*(GREET1_Import_Export!M80+GREET1_Import_Export!$G$179*GREET1_Import_Export!$B194+GREET1_Import_Export!$G194)+N$71*($B$54*GREET1_Import_Export!$B80+GREET1_Import_Export!$B230)+N$72*($B$55*GREET1_Import_Export!$AA80+GREET1_Import_Export!$B298)+N$73*(GREET1_Import_Export!$B323+GREET1_Import_Export!$C323)</f>
        <v>109.57117574520487</v>
      </c>
      <c r="O89" s="2185"/>
      <c r="P89" s="2151">
        <f>P$69*($B$53*GREET1_Import_Export!$K80+GREET1_Import_Export!$G$179*GREET1_Import_Export!$B194+GREET1_Import_Export!$G194)+P$70*(GREET1_Import_Export!Q80+GREET1_Import_Export!$G$179*GREET1_Import_Export!$B194+GREET1_Import_Export!$G194)+P$71*($B$54*GREET1_Import_Export!$B80+GREET1_Import_Export!$B230)+P$72*($B$55*GREET1_Import_Export!$AA80+GREET1_Import_Export!$B298)+P$73*(GREET1_Import_Export!$B323+GREET1_Import_Export!$C323)</f>
        <v>1428.7574947914366</v>
      </c>
      <c r="Q89" s="2185"/>
    </row>
    <row r="90" spans="1:17" s="2136" customFormat="1" ht="15.75">
      <c r="A90" s="2093" t="s">
        <v>2547</v>
      </c>
      <c r="B90" s="2151">
        <f>B$69*($B$53*GREET1_Import_Export!$K81+GREET1_Import_Export!$G$179*GREET1_Import_Export!$B195+GREET1_Import_Export!$G195)+B$70*(GREET1_Import_Export!$O81+GREET1_Import_Export!$G$179*GREET1_Import_Export!$B195+GREET1_Import_Export!$G195)+B$71*($B$54*GREET1_Import_Export!$B81+GREET1_Import_Export!$B231)+B$72*($B$55*GREET1_Import_Export!$AA81+GREET1_Import_Export!$B299)+B$73*(GREET1_Import_Export!$B324+GREET1_Import_Export!$C324)</f>
        <v>0.69758399989935316</v>
      </c>
      <c r="C90" s="2185"/>
      <c r="D90" s="2151">
        <f>D$69*($B$53*GREET1_Import_Export!$K81+GREET1_Import_Export!$G$179*GREET1_Import_Export!$B195+GREET1_Import_Export!$G195)+D$70*(GREET1_Import_Export!$O81+GREET1_Import_Export!$G$179*GREET1_Import_Export!$B195+GREET1_Import_Export!$G195)+D$71*($B$54*GREET1_Import_Export!$B81+GREET1_Import_Export!$B231)+D$72*($B$55*GREET1_Import_Export!$AA81+GREET1_Import_Export!$B299)+D$73*(GREET1_Import_Export!$B324+GREET1_Import_Export!$C324)</f>
        <v>6.1057685736485103</v>
      </c>
      <c r="E90" s="2185"/>
      <c r="F90" s="2151">
        <f>F$69*($B$53*GREET1_Import_Export!$K81+GREET1_Import_Export!$G$179*GREET1_Import_Export!$B195+GREET1_Import_Export!$G195)+F$70*(GREET1_Import_Export!D81+GREET1_Import_Export!$G$179*GREET1_Import_Export!$B195+GREET1_Import_Export!$G195)+F$71*($B$54*GREET1_Import_Export!$B81+GREET1_Import_Export!$B231)+F$72*($B$55*GREET1_Import_Export!$AA81+GREET1_Import_Export!$B299)+F$73*(GREET1_Import_Export!$B324+GREET1_Import_Export!$C324)</f>
        <v>2.4063002087120546</v>
      </c>
      <c r="G90" s="2185"/>
      <c r="H90" s="2151">
        <f>H$69*($B$53*GREET1_Import_Export!$K81+GREET1_Import_Export!$G$179*GREET1_Import_Export!$B195+GREET1_Import_Export!$G195)+H$70*(GREET1_Import_Export!F81+GREET1_Import_Export!$G$179*GREET1_Import_Export!$B195+GREET1_Import_Export!$G195)+H$71*($B$54*GREET1_Import_Export!$B81+GREET1_Import_Export!$B231)+H$72*($B$55*GREET1_Import_Export!$AA81+GREET1_Import_Export!$B299)+H$73*(GREET1_Import_Export!$B324+GREET1_Import_Export!$C324)</f>
        <v>6.4701397024558593</v>
      </c>
      <c r="I90" s="2185"/>
      <c r="J90" s="2151">
        <f>J$69*($B$53*GREET1_Import_Export!$K81+GREET1_Import_Export!$G$179*GREET1_Import_Export!$B195+GREET1_Import_Export!$G195)+J$70*(GREET1_Import_Export!H81+GREET1_Import_Export!$G$179*GREET1_Import_Export!$B195+GREET1_Import_Export!$G195)+J$71*($B$54*GREET1_Import_Export!$B81+GREET1_Import_Export!$B231)+J$72*($B$55*GREET1_Import_Export!$AA81+GREET1_Import_Export!$B299)+J$73*(GREET1_Import_Export!$B324+GREET1_Import_Export!$C324)</f>
        <v>0.49827428564239512</v>
      </c>
      <c r="K90" s="2185"/>
      <c r="L90" s="2151">
        <f>L$69*($B$53*GREET1_Import_Export!$K81+GREET1_Import_Export!$G$179*GREET1_Import_Export!$B195+GREET1_Import_Export!$G195)+L$70*(GREET1_Import_Export!K81+GREET1_Import_Export!$G$179*GREET1_Import_Export!$B195+GREET1_Import_Export!$G195)+L$71*($B$54*GREET1_Import_Export!$B81+GREET1_Import_Export!$B231)+L$72*($B$55*GREET1_Import_Export!$AA81+GREET1_Import_Export!$B299)+L$73*(GREET1_Import_Export!$B324+GREET1_Import_Export!$C324)</f>
        <v>0.66355551209938479</v>
      </c>
      <c r="M90" s="2185"/>
      <c r="N90" s="2151">
        <f>N$69*($B$53*GREET1_Import_Export!$K81+GREET1_Import_Export!$G$179*GREET1_Import_Export!$B195+GREET1_Import_Export!$G195)+N$70*(GREET1_Import_Export!M81+GREET1_Import_Export!$G$179*GREET1_Import_Export!$B195+GREET1_Import_Export!$G195)+N$71*($B$54*GREET1_Import_Export!$B81+GREET1_Import_Export!$B231)+N$72*($B$55*GREET1_Import_Export!$AA81+GREET1_Import_Export!$B299)+N$73*(GREET1_Import_Export!$B324+GREET1_Import_Export!$C324)</f>
        <v>0.99411796501336391</v>
      </c>
      <c r="O90" s="2185"/>
      <c r="P90" s="2151">
        <f>P$69*($B$53*GREET1_Import_Export!$K81+GREET1_Import_Export!$G$179*GREET1_Import_Export!$B195+GREET1_Import_Export!$G195)+P$70*(GREET1_Import_Export!Q81+GREET1_Import_Export!$G$179*GREET1_Import_Export!$B195+GREET1_Import_Export!$G195)+P$71*($B$54*GREET1_Import_Export!$B81+GREET1_Import_Export!$B231)+P$72*($B$55*GREET1_Import_Export!$AA81+GREET1_Import_Export!$B299)+P$73*(GREET1_Import_Export!$B324+GREET1_Import_Export!$C324)</f>
        <v>12.962838844793662</v>
      </c>
      <c r="Q90" s="2185"/>
    </row>
    <row r="91" spans="1:17" s="2144" customFormat="1" ht="15.75">
      <c r="A91" s="2142" t="s">
        <v>2548</v>
      </c>
      <c r="B91" s="2191">
        <f>B$69*($B$53*GREET1_Import_Export!$K82+GREET1_Import_Export!$G$179*GREET1_Import_Export!$B196+GREET1_Import_Export!$G196)+B$70*(GREET1_Import_Export!$O82+GREET1_Import_Export!$G$179*GREET1_Import_Export!$B196+GREET1_Import_Export!$G196)+B$71*($B$54*GREET1_Import_Export!$B82+GREET1_Import_Export!$B232)+B$72*($B$55*GREET1_Import_Export!$AA82+GREET1_Import_Export!$B300)+B$73*(GREET1_Import_Export!$B325+GREET1_Import_Export!$C325)</f>
        <v>33973.059951692521</v>
      </c>
      <c r="C91" s="2226"/>
      <c r="D91" s="2191">
        <f>D$69*($B$53*GREET1_Import_Export!$K82+GREET1_Import_Export!$G$179*GREET1_Import_Export!$B196+GREET1_Import_Export!$G196)+D$70*(GREET1_Import_Export!$O82+GREET1_Import_Export!$G$179*GREET1_Import_Export!$B196+GREET1_Import_Export!$G196)+D$71*($B$54*GREET1_Import_Export!$B82+GREET1_Import_Export!$B232)+D$72*($B$55*GREET1_Import_Export!$AA82+GREET1_Import_Export!$B300)+D$73*(GREET1_Import_Export!$B325+GREET1_Import_Export!$C325)</f>
        <v>204929.23679561081</v>
      </c>
      <c r="E91" s="2226"/>
      <c r="F91" s="2191">
        <f>F$69*($B$53*GREET1_Import_Export!$K82+GREET1_Import_Export!$G$179*GREET1_Import_Export!$B196+GREET1_Import_Export!$G196)+F$70*(GREET1_Import_Export!D82+GREET1_Import_Export!$G$179*GREET1_Import_Export!$B196+GREET1_Import_Export!$G196)+F$71*($B$54*GREET1_Import_Export!$B82+GREET1_Import_Export!$B232)+F$72*($B$55*GREET1_Import_Export!$AA82+GREET1_Import_Export!$B300)+F$73*(GREET1_Import_Export!$B325+GREET1_Import_Export!$C325)</f>
        <v>117189.30087866062</v>
      </c>
      <c r="G91" s="2226"/>
      <c r="H91" s="2191">
        <f>H$69*($B$53*GREET1_Import_Export!$K82+GREET1_Import_Export!$G$179*GREET1_Import_Export!$B196+GREET1_Import_Export!$G196)+H$70*(GREET1_Import_Export!F82+GREET1_Import_Export!$G$179*GREET1_Import_Export!$B196+GREET1_Import_Export!$G196)+H$71*($B$54*GREET1_Import_Export!$B82+GREET1_Import_Export!$B232)+H$72*($B$55*GREET1_Import_Export!$AA82+GREET1_Import_Export!$B300)+H$73*(GREET1_Import_Export!$B325+GREET1_Import_Export!$C325)</f>
        <v>195319.97068590109</v>
      </c>
      <c r="I91" s="2226"/>
      <c r="J91" s="2191">
        <f>J$69*($B$53*GREET1_Import_Export!$K82+GREET1_Import_Export!$G$179*GREET1_Import_Export!$B196+GREET1_Import_Export!$G196)+J$70*(GREET1_Import_Export!H82+GREET1_Import_Export!$G$179*GREET1_Import_Export!$B196+GREET1_Import_Export!$G196)+J$71*($B$54*GREET1_Import_Export!$B82+GREET1_Import_Export!$B232)+J$72*($B$55*GREET1_Import_Export!$AA82+GREET1_Import_Export!$B300)+J$73*(GREET1_Import_Export!$B325+GREET1_Import_Export!$C325)</f>
        <v>24266.471394066088</v>
      </c>
      <c r="K91" s="2226"/>
      <c r="L91" s="2191">
        <f>L$69*($B$53*GREET1_Import_Export!$K82+GREET1_Import_Export!$G$179*GREET1_Import_Export!$B196+GREET1_Import_Export!$G196)+L$70*(GREET1_Import_Export!K82+GREET1_Import_Export!$G$179*GREET1_Import_Export!$B196+GREET1_Import_Export!$G196)+L$71*($B$54*GREET1_Import_Export!$B82+GREET1_Import_Export!$B232)+L$72*($B$55*GREET1_Import_Export!$AA82+GREET1_Import_Export!$B300)+L$73*(GREET1_Import_Export!$B325+GREET1_Import_Export!$C325)</f>
        <v>32315.837515024596</v>
      </c>
      <c r="M91" s="2226"/>
      <c r="N91" s="2191">
        <f>N$69*($B$53*GREET1_Import_Export!$K82+GREET1_Import_Export!$G$179*GREET1_Import_Export!$B196+GREET1_Import_Export!$G196)+N$70*(GREET1_Import_Export!M82+GREET1_Import_Export!$G$179*GREET1_Import_Export!$B196+GREET1_Import_Export!$G196)+N$71*($B$54*GREET1_Import_Export!$B82+GREET1_Import_Export!$B232)+N$72*($B$55*GREET1_Import_Export!$AA82+GREET1_Import_Export!$B300)+N$73*(GREET1_Import_Export!$B325+GREET1_Import_Export!$C325)</f>
        <v>48414.569756941608</v>
      </c>
      <c r="O91" s="2226"/>
      <c r="P91" s="2191">
        <f>P$69*($B$53*GREET1_Import_Export!$K82+GREET1_Import_Export!$G$179*GREET1_Import_Export!$B196+GREET1_Import_Export!$G196)+P$70*(GREET1_Import_Export!Q82+GREET1_Import_Export!$G$179*GREET1_Import_Export!$B196+GREET1_Import_Export!$G196)+P$71*($B$54*GREET1_Import_Export!$B82+GREET1_Import_Export!$B232)+P$72*($B$55*GREET1_Import_Export!$AA82+GREET1_Import_Export!$B300)+P$73*(GREET1_Import_Export!$B325+GREET1_Import_Export!$C325)</f>
        <v>631303.61545253673</v>
      </c>
      <c r="Q91" s="2226"/>
    </row>
    <row r="92" spans="1:17" s="2136" customFormat="1">
      <c r="A92" s="2174" t="s">
        <v>865</v>
      </c>
      <c r="B92" s="2151"/>
      <c r="C92" s="2185"/>
      <c r="D92" s="2151"/>
      <c r="E92" s="2185"/>
      <c r="F92" s="2151"/>
      <c r="G92" s="2185"/>
      <c r="H92" s="2151"/>
      <c r="I92" s="2185"/>
      <c r="J92" s="2151"/>
      <c r="K92" s="2185"/>
      <c r="L92" s="2151"/>
      <c r="M92" s="2185"/>
      <c r="N92" s="2151"/>
      <c r="O92" s="2185"/>
      <c r="P92" s="2151"/>
      <c r="Q92" s="2185"/>
    </row>
    <row r="93" spans="1:17" s="2136" customFormat="1">
      <c r="A93" s="2093" t="s">
        <v>821</v>
      </c>
      <c r="B93" s="2151">
        <f>B$69*(B$61*($B$53*GREET1_Import_Export!$K72)+GREET1_Import_Export!$G$200*GREET1_Import_Export!$B201+GREET1_Import_Export!$G201)+B$70*(B$61*(GREET1_Import_Export!$O72)+GREET1_Import_Export!$G$200*GREET1_Import_Export!$B201+GREET1_Import_Export!$G201)+B$71*(B$61*($B$54*GREET1_Import_Export!$B72)+GREET1_Import_Export!$B237)+B$72*(B$61*($B$55*GREET1_Import_Export!$AA72)+GREET1_Import_Export!$C290)+B$73*(GREET1_Import_Export!$D315+GREET1_Import_Export!$E315)</f>
        <v>0.24799894420566984</v>
      </c>
      <c r="C93" s="2185"/>
      <c r="D93" s="2151">
        <f>D$69*(D$61*($B$53*GREET1_Import_Export!$K72)+GREET1_Import_Export!$G$200*GREET1_Import_Export!$B201+GREET1_Import_Export!$G201)+D$70*(D$61*(GREET1_Import_Export!$O72)+GREET1_Import_Export!$G$200*GREET1_Import_Export!$B201+GREET1_Import_Export!$G201)+D$71*(D$61*($B$54*GREET1_Import_Export!$B72)+GREET1_Import_Export!$B237)+D$72*(D$61*($B$55*GREET1_Import_Export!$AA72)+GREET1_Import_Export!$C290)+D$73*(GREET1_Import_Export!$D315+GREET1_Import_Export!$E315)</f>
        <v>1.7720414993401268</v>
      </c>
      <c r="E93" s="2185">
        <f t="shared" ref="E93:E100" si="0">E81*D$61</f>
        <v>0</v>
      </c>
      <c r="F93" s="2151">
        <f>F$69*(F$61*($B$53*GREET1_Import_Export!$K72)+GREET1_Import_Export!$G$200*GREET1_Import_Export!$B201+GREET1_Import_Export!$G201)+F$70*(F$61*(GREET1_Import_Export!$O72)+GREET1_Import_Export!$G$200*GREET1_Import_Export!$B201+GREET1_Import_Export!$G201)+F$71*(F$61*($B$54*GREET1_Import_Export!$B72)+GREET1_Import_Export!$B237)+F$72*(F$61*($B$55*GREET1_Import_Export!$AA72)+GREET1_Import_Export!$C290)+F$73*(GREET1_Import_Export!$D315+GREET1_Import_Export!$E315)</f>
        <v>0.85546674133663114</v>
      </c>
      <c r="G93" s="2185"/>
      <c r="H93" s="2151">
        <f>H$69*(H$61*($B$53*GREET1_Import_Export!$K72)+GREET1_Import_Export!$G$200*GREET1_Import_Export!$B201+GREET1_Import_Export!$G201)+H$70*(H$61*(GREET1_Import_Export!$O72)+GREET1_Import_Export!$G$200*GREET1_Import_Export!$B201+GREET1_Import_Export!$G201)+H$71*(H$61*($B$54*GREET1_Import_Export!$B72)+GREET1_Import_Export!$B237)+H$72*(H$61*($B$55*GREET1_Import_Export!$AA72)+GREET1_Import_Export!$C290)+H$73*(GREET1_Import_Export!$D315+GREET1_Import_Export!$E315)</f>
        <v>1.7836036813796603</v>
      </c>
      <c r="I93" s="2185"/>
      <c r="J93" s="2151">
        <f>J$69*(J$61*($B$53*GREET1_Import_Export!$K72)+GREET1_Import_Export!$G$200*GREET1_Import_Export!$B201+GREET1_Import_Export!$G201)+J$70*(J$61*(GREET1_Import_Export!$O72)+GREET1_Import_Export!$G$200*GREET1_Import_Export!$B201+GREET1_Import_Export!$G201)+J$71*(J$61*($B$54*GREET1_Import_Export!$B72)+GREET1_Import_Export!$B237)+J$72*(J$61*($B$55*GREET1_Import_Export!$AA72)+GREET1_Import_Export!$C290)+J$73*(GREET1_Import_Export!$D315+GREET1_Import_Export!$E315)</f>
        <v>0.17714210300404989</v>
      </c>
      <c r="K93" s="2185"/>
      <c r="L93" s="2151">
        <f>L$69*(L$61*($B$53*GREET1_Import_Export!$K72)+GREET1_Import_Export!$G$200*GREET1_Import_Export!$B201+GREET1_Import_Export!$G201)+L$70*(L$61*(GREET1_Import_Export!$O72)+GREET1_Import_Export!$G$200*GREET1_Import_Export!$B201+GREET1_Import_Export!$G201)+L$71*(L$61*($B$54*GREET1_Import_Export!$B72)+GREET1_Import_Export!$B237)+L$72*(L$61*($B$55*GREET1_Import_Export!$AA72)+GREET1_Import_Export!$C290)+L$73*(GREET1_Import_Export!$D315+GREET1_Import_Export!$E315)</f>
        <v>0.23590143473222255</v>
      </c>
      <c r="M93" s="2185"/>
      <c r="N93" s="2151">
        <f>N$69*(N$61*($B$53*GREET1_Import_Export!$K72)+GREET1_Import_Export!$G$200*GREET1_Import_Export!$B201+GREET1_Import_Export!$G201)+N$70*(N$61*(GREET1_Import_Export!$O72)+GREET1_Import_Export!$G$200*GREET1_Import_Export!$B201+GREET1_Import_Export!$G201)+N$71*(N$61*($B$54*GREET1_Import_Export!$B72)+GREET1_Import_Export!$B237)+N$72*(N$61*($B$55*GREET1_Import_Export!$AA72)+GREET1_Import_Export!$C290)+N$73*(GREET1_Import_Export!$D315+GREET1_Import_Export!$E315)</f>
        <v>0.35342009818856784</v>
      </c>
      <c r="O93" s="2185"/>
      <c r="P93" s="2151">
        <f>P$69*(P$61*($B$53*GREET1_Import_Export!$K72)+GREET1_Import_Export!$G$200*GREET1_Import_Export!$B201+GREET1_Import_Export!$G201)+P$70*(P$61*(GREET1_Import_Export!$O72)+GREET1_Import_Export!$G$200*GREET1_Import_Export!$B201+GREET1_Import_Export!$G201)+P$71*(P$61*($B$54*GREET1_Import_Export!$B72)+GREET1_Import_Export!$B237)+P$72*(P$61*($B$55*GREET1_Import_Export!$AA72)+GREET1_Import_Export!$C290)+P$73*(GREET1_Import_Export!$D315+GREET1_Import_Export!$E315)</f>
        <v>4.6084347517731157</v>
      </c>
      <c r="Q93" s="2185"/>
    </row>
    <row r="94" spans="1:17" s="2136" customFormat="1">
      <c r="A94" s="2093" t="s">
        <v>822</v>
      </c>
      <c r="B94" s="2151">
        <f>B$69*(B$61*($B$53*GREET1_Import_Export!$K73)+GREET1_Import_Export!$G$200*GREET1_Import_Export!$B202+GREET1_Import_Export!$G202)+B$70*(B$61*(GREET1_Import_Export!$O73)+GREET1_Import_Export!$G$200*GREET1_Import_Export!$B202+GREET1_Import_Export!$G202)+B$71*(B$61*($B$54*GREET1_Import_Export!$B73)+GREET1_Import_Export!$B238)+B$72*(B$61*($B$55*GREET1_Import_Export!$AA73)+GREET1_Import_Export!$C291)+B$73*(GREET1_Import_Export!$D316+GREET1_Import_Export!$E316)</f>
        <v>1.8308702832816139</v>
      </c>
      <c r="C94" s="2185"/>
      <c r="D94" s="2151">
        <f>D$69*(D$61*($B$53*GREET1_Import_Export!$K73)+GREET1_Import_Export!$G$200*GREET1_Import_Export!$B202+GREET1_Import_Export!$G202)+D$70*(D$61*(GREET1_Import_Export!$O73)+GREET1_Import_Export!$G$200*GREET1_Import_Export!$B202+GREET1_Import_Export!$G202)+D$71*(D$61*($B$54*GREET1_Import_Export!$B73)+GREET1_Import_Export!$B238)+D$72*(D$61*($B$55*GREET1_Import_Export!$AA73)+GREET1_Import_Export!$C291)+D$73*(GREET1_Import_Export!$D316+GREET1_Import_Export!$E316)</f>
        <v>9.5341422653260466</v>
      </c>
      <c r="E94" s="2185">
        <f t="shared" si="0"/>
        <v>0</v>
      </c>
      <c r="F94" s="2151">
        <f>F$69*(F$61*($B$53*GREET1_Import_Export!$K73)+GREET1_Import_Export!$G$200*GREET1_Import_Export!$B202+GREET1_Import_Export!$G202)+F$70*(F$61*(GREET1_Import_Export!$O73)+GREET1_Import_Export!$G$200*GREET1_Import_Export!$B202+GREET1_Import_Export!$G202)+F$71*(F$61*($B$54*GREET1_Import_Export!$B73)+GREET1_Import_Export!$B238)+F$72*(F$61*($B$55*GREET1_Import_Export!$AA73)+GREET1_Import_Export!$C291)+F$73*(GREET1_Import_Export!$D316+GREET1_Import_Export!$E316)</f>
        <v>6.3155455764766479</v>
      </c>
      <c r="G94" s="2185"/>
      <c r="H94" s="2151">
        <f>H$69*(H$61*($B$53*GREET1_Import_Export!$K73)+GREET1_Import_Export!$G$200*GREET1_Import_Export!$B202+GREET1_Import_Export!$G202)+H$70*(H$61*(GREET1_Import_Export!$O73)+GREET1_Import_Export!$G$200*GREET1_Import_Export!$B202+GREET1_Import_Export!$G202)+H$71*(H$61*($B$54*GREET1_Import_Export!$B73)+GREET1_Import_Export!$B238)+H$72*(H$61*($B$55*GREET1_Import_Export!$AA73)+GREET1_Import_Export!$C291)+H$73*(GREET1_Import_Export!$D316+GREET1_Import_Export!$E316)</f>
        <v>8.5694282871484244</v>
      </c>
      <c r="I94" s="2185"/>
      <c r="J94" s="2151">
        <f>J$69*(J$61*($B$53*GREET1_Import_Export!$K73)+GREET1_Import_Export!$G$200*GREET1_Import_Export!$B202+GREET1_Import_Export!$G202)+J$70*(J$61*(GREET1_Import_Export!$O73)+GREET1_Import_Export!$G$200*GREET1_Import_Export!$B202+GREET1_Import_Export!$G202)+J$71*(J$61*($B$54*GREET1_Import_Export!$B73)+GREET1_Import_Export!$B238)+J$72*(J$61*($B$55*GREET1_Import_Export!$AA73)+GREET1_Import_Export!$C291)+J$73*(GREET1_Import_Export!$D316+GREET1_Import_Export!$E316)</f>
        <v>1.3077644880582957</v>
      </c>
      <c r="K94" s="2185"/>
      <c r="L94" s="2151">
        <f>L$69*(L$61*($B$53*GREET1_Import_Export!$K73)+GREET1_Import_Export!$G$200*GREET1_Import_Export!$B202+GREET1_Import_Export!$G202)+L$70*(L$61*(GREET1_Import_Export!$O73)+GREET1_Import_Export!$G$200*GREET1_Import_Export!$B202+GREET1_Import_Export!$G202)+L$71*(L$61*($B$54*GREET1_Import_Export!$B73)+GREET1_Import_Export!$B238)+L$72*(L$61*($B$55*GREET1_Import_Export!$AA73)+GREET1_Import_Export!$C291)+L$73*(GREET1_Import_Export!$D316+GREET1_Import_Export!$E316)</f>
        <v>1.7415595377556818</v>
      </c>
      <c r="M94" s="2185"/>
      <c r="N94" s="2151">
        <f>N$69*(N$61*($B$53*GREET1_Import_Export!$K73)+GREET1_Import_Export!$G$200*GREET1_Import_Export!$B202+GREET1_Import_Export!$G202)+N$70*(N$61*(GREET1_Import_Export!$O73)+GREET1_Import_Export!$G$200*GREET1_Import_Export!$B202+GREET1_Import_Export!$G202)+N$71*(N$61*($B$54*GREET1_Import_Export!$B73)+GREET1_Import_Export!$B238)+N$72*(N$61*($B$55*GREET1_Import_Export!$AA73)+GREET1_Import_Export!$C291)+N$73*(GREET1_Import_Export!$D316+GREET1_Import_Export!$E316)</f>
        <v>2.6091496371504532</v>
      </c>
      <c r="O94" s="2185"/>
      <c r="P94" s="2151">
        <f>P$69*(P$61*($B$53*GREET1_Import_Export!$K73)+GREET1_Import_Export!$G$200*GREET1_Import_Export!$B202+GREET1_Import_Export!$G202)+P$70*(P$61*(GREET1_Import_Export!$O73)+GREET1_Import_Export!$G$200*GREET1_Import_Export!$B202+GREET1_Import_Export!$G202)+P$71*(P$61*($B$54*GREET1_Import_Export!$B73)+GREET1_Import_Export!$B238)+P$72*(P$61*($B$55*GREET1_Import_Export!$AA73)+GREET1_Import_Export!$C291)+P$73*(GREET1_Import_Export!$D316+GREET1_Import_Export!$E316)</f>
        <v>34.022105483103822</v>
      </c>
      <c r="Q94" s="2185"/>
    </row>
    <row r="95" spans="1:17" s="2136" customFormat="1" ht="15.75">
      <c r="A95" s="2093" t="s">
        <v>2542</v>
      </c>
      <c r="B95" s="2151">
        <f>B$69*(B$61*($B$53*GREET1_Import_Export!$K74)+GREET1_Import_Export!$G$200*GREET1_Import_Export!$B203+GREET1_Import_Export!$G203)+B$70*(B$61*(GREET1_Import_Export!$O74)+GREET1_Import_Export!$G$200*GREET1_Import_Export!$B203+GREET1_Import_Export!$G203)+B$71*(B$61*($B$54*GREET1_Import_Export!$B74)+GREET1_Import_Export!$B239)+B$72*(B$61*($B$55*GREET1_Import_Export!$AA74)+GREET1_Import_Export!$C292)+B$73*(GREET1_Import_Export!$D317+GREET1_Import_Export!$E317)</f>
        <v>5.4683881628019844</v>
      </c>
      <c r="C95" s="2185"/>
      <c r="D95" s="2151">
        <f>D$69*(D$61*($B$53*GREET1_Import_Export!$K74)+GREET1_Import_Export!$G$200*GREET1_Import_Export!$B203+GREET1_Import_Export!$G203)+D$70*(D$61*(GREET1_Import_Export!$O74)+GREET1_Import_Export!$G$200*GREET1_Import_Export!$B203+GREET1_Import_Export!$G203)+D$71*(D$61*($B$54*GREET1_Import_Export!$B74)+GREET1_Import_Export!$B239)+D$72*(D$61*($B$55*GREET1_Import_Export!$AA74)+GREET1_Import_Export!$C292)+D$73*(GREET1_Import_Export!$D317+GREET1_Import_Export!$E317)</f>
        <v>16.564289017373916</v>
      </c>
      <c r="E95" s="2185">
        <f t="shared" si="0"/>
        <v>0</v>
      </c>
      <c r="F95" s="2151">
        <f>F$69*(F$61*($B$53*GREET1_Import_Export!$K74)+GREET1_Import_Export!$G$200*GREET1_Import_Export!$B203+GREET1_Import_Export!$G203)+F$70*(F$61*(GREET1_Import_Export!$O74)+GREET1_Import_Export!$G$200*GREET1_Import_Export!$B203+GREET1_Import_Export!$G203)+F$71*(F$61*($B$54*GREET1_Import_Export!$B74)+GREET1_Import_Export!$B239)+F$72*(F$61*($B$55*GREET1_Import_Export!$AA74)+GREET1_Import_Export!$C292)+F$73*(GREET1_Import_Export!$D317+GREET1_Import_Export!$E317)</f>
        <v>18.863081119073048</v>
      </c>
      <c r="G95" s="2185"/>
      <c r="H95" s="2151">
        <f>H$69*(H$61*($B$53*GREET1_Import_Export!$K74)+GREET1_Import_Export!$G$200*GREET1_Import_Export!$B203+GREET1_Import_Export!$G203)+H$70*(H$61*(GREET1_Import_Export!$O74)+GREET1_Import_Export!$G$200*GREET1_Import_Export!$B203+GREET1_Import_Export!$G203)+H$71*(H$61*($B$54*GREET1_Import_Export!$B74)+GREET1_Import_Export!$B239)+H$72*(H$61*($B$55*GREET1_Import_Export!$AA74)+GREET1_Import_Export!$C292)+H$73*(GREET1_Import_Export!$D317+GREET1_Import_Export!$E317)</f>
        <v>10.157495729644531</v>
      </c>
      <c r="I95" s="2185"/>
      <c r="J95" s="2151">
        <f>J$69*(J$61*($B$53*GREET1_Import_Export!$K74)+GREET1_Import_Export!$G$200*GREET1_Import_Export!$B203+GREET1_Import_Export!$G203)+J$70*(J$61*(GREET1_Import_Export!$O74)+GREET1_Import_Export!$G$200*GREET1_Import_Export!$B203+GREET1_Import_Export!$G203)+J$71*(J$61*($B$54*GREET1_Import_Export!$B74)+GREET1_Import_Export!$B239)+J$72*(J$61*($B$55*GREET1_Import_Export!$AA74)+GREET1_Import_Export!$C292)+J$73*(GREET1_Import_Export!$D317+GREET1_Import_Export!$E317)</f>
        <v>3.9059915448585603</v>
      </c>
      <c r="K95" s="2185"/>
      <c r="L95" s="2151">
        <f>L$69*(L$61*($B$53*GREET1_Import_Export!$K74)+GREET1_Import_Export!$G$200*GREET1_Import_Export!$B203+GREET1_Import_Export!$G203)+L$70*(L$61*(GREET1_Import_Export!$O74)+GREET1_Import_Export!$G$200*GREET1_Import_Export!$B203+GREET1_Import_Export!$G203)+L$71*(L$61*($B$54*GREET1_Import_Export!$B74)+GREET1_Import_Export!$B239)+L$72*(L$61*($B$55*GREET1_Import_Export!$AA74)+GREET1_Import_Export!$C292)+L$73*(GREET1_Import_Export!$D317+GREET1_Import_Export!$E317)</f>
        <v>5.2016375207140833</v>
      </c>
      <c r="M95" s="2185"/>
      <c r="N95" s="2151">
        <f>N$69*(N$61*($B$53*GREET1_Import_Export!$K74)+GREET1_Import_Export!$G$200*GREET1_Import_Export!$B203+GREET1_Import_Export!$G203)+N$70*(N$61*(GREET1_Import_Export!$O74)+GREET1_Import_Export!$G$200*GREET1_Import_Export!$B203+GREET1_Import_Export!$G203)+N$71*(N$61*($B$54*GREET1_Import_Export!$B74)+GREET1_Import_Export!$B239)+N$72*(N$61*($B$55*GREET1_Import_Export!$AA74)+GREET1_Import_Export!$C292)+N$73*(GREET1_Import_Export!$D317+GREET1_Import_Export!$E317)</f>
        <v>7.7929294724251275</v>
      </c>
      <c r="O95" s="2185"/>
      <c r="P95" s="2151">
        <f>P$69*(P$61*($B$53*GREET1_Import_Export!$K74)+GREET1_Import_Export!$G$200*GREET1_Import_Export!$B203+GREET1_Import_Export!$G203)+P$70*(P$61*(GREET1_Import_Export!$O74)+GREET1_Import_Export!$G$200*GREET1_Import_Export!$B203+GREET1_Import_Export!$G203)+P$71*(P$61*($B$54*GREET1_Import_Export!$B74)+GREET1_Import_Export!$B239)+P$72*(P$61*($B$55*GREET1_Import_Export!$AA74)+GREET1_Import_Export!$C292)+P$73*(GREET1_Import_Export!$D317+GREET1_Import_Export!$E317)</f>
        <v>101.61619891712935</v>
      </c>
      <c r="Q95" s="2185"/>
    </row>
    <row r="96" spans="1:17" s="2136" customFormat="1" ht="15.75">
      <c r="A96" s="2093" t="s">
        <v>2543</v>
      </c>
      <c r="B96" s="2151">
        <f>B$69*(B$61*($B$53*GREET1_Import_Export!$K75)+GREET1_Import_Export!$G$200*GREET1_Import_Export!$B204+GREET1_Import_Export!$G204)+B$70*(B$61*(GREET1_Import_Export!$O75)+GREET1_Import_Export!$G$200*GREET1_Import_Export!$B204+GREET1_Import_Export!$G204)+B$71*(B$61*($B$54*GREET1_Import_Export!$B75)+GREET1_Import_Export!$B240)+B$72*(B$61*($B$55*GREET1_Import_Export!$AA75)+GREET1_Import_Export!$C293)+B$73*(GREET1_Import_Export!$D318+GREET1_Import_Export!$E318)</f>
        <v>0.73009148476269392</v>
      </c>
      <c r="C96" s="2185"/>
      <c r="D96" s="2151">
        <f>D$69*(D$61*($B$53*GREET1_Import_Export!$K75)+GREET1_Import_Export!$G$200*GREET1_Import_Export!$B204+GREET1_Import_Export!$G204)+D$70*(D$61*(GREET1_Import_Export!$O75)+GREET1_Import_Export!$G$200*GREET1_Import_Export!$B204+GREET1_Import_Export!$G204)+D$71*(D$61*($B$54*GREET1_Import_Export!$B75)+GREET1_Import_Export!$B240)+D$72*(D$61*($B$55*GREET1_Import_Export!$AA75)+GREET1_Import_Export!$C293)+D$73*(GREET1_Import_Export!$D318+GREET1_Import_Export!$E318)</f>
        <v>1.1987016592542099</v>
      </c>
      <c r="E96" s="2185">
        <f t="shared" si="0"/>
        <v>0</v>
      </c>
      <c r="F96" s="2151">
        <f>F$69*(F$61*($B$53*GREET1_Import_Export!$K75)+GREET1_Import_Export!$G$200*GREET1_Import_Export!$B204+GREET1_Import_Export!$G204)+F$70*(F$61*(GREET1_Import_Export!$O75)+GREET1_Import_Export!$G$200*GREET1_Import_Export!$B204+GREET1_Import_Export!$G204)+F$71*(F$61*($B$54*GREET1_Import_Export!$B75)+GREET1_Import_Export!$B240)+F$72*(F$61*($B$55*GREET1_Import_Export!$AA75)+GREET1_Import_Export!$C293)+F$73*(GREET1_Import_Export!$D318+GREET1_Import_Export!$E318)</f>
        <v>2.518434041515913</v>
      </c>
      <c r="G96" s="2185"/>
      <c r="H96" s="2151">
        <f>H$69*(H$61*($B$53*GREET1_Import_Export!$K75)+GREET1_Import_Export!$G$200*GREET1_Import_Export!$B204+GREET1_Import_Export!$G204)+H$70*(H$61*(GREET1_Import_Export!$O75)+GREET1_Import_Export!$G$200*GREET1_Import_Export!$B204+GREET1_Import_Export!$G204)+H$71*(H$61*($B$54*GREET1_Import_Export!$B75)+GREET1_Import_Export!$B240)+H$72*(H$61*($B$55*GREET1_Import_Export!$AA75)+GREET1_Import_Export!$C293)+H$73*(GREET1_Import_Export!$D318+GREET1_Import_Export!$E318)</f>
        <v>4.3574143259604216E-2</v>
      </c>
      <c r="I96" s="2185"/>
      <c r="J96" s="2151">
        <f>J$69*(J$61*($B$53*GREET1_Import_Export!$K75)+GREET1_Import_Export!$G$200*GREET1_Import_Export!$B204+GREET1_Import_Export!$G204)+J$70*(J$61*(GREET1_Import_Export!$O75)+GREET1_Import_Export!$G$200*GREET1_Import_Export!$B204+GREET1_Import_Export!$G204)+J$71*(J$61*($B$54*GREET1_Import_Export!$B75)+GREET1_Import_Export!$B240)+J$72*(J$61*($B$55*GREET1_Import_Export!$AA75)+GREET1_Import_Export!$C293)+J$73*(GREET1_Import_Export!$D318+GREET1_Import_Export!$E318)</f>
        <v>0.52149391768763853</v>
      </c>
      <c r="K96" s="2185"/>
      <c r="L96" s="2151">
        <f>L$69*(L$61*($B$53*GREET1_Import_Export!$K75)+GREET1_Import_Export!$G$200*GREET1_Import_Export!$B204+GREET1_Import_Export!$G204)+L$70*(L$61*(GREET1_Import_Export!$O75)+GREET1_Import_Export!$G$200*GREET1_Import_Export!$B204+GREET1_Import_Export!$G204)+L$71*(L$61*($B$54*GREET1_Import_Export!$B75)+GREET1_Import_Export!$B240)+L$72*(L$61*($B$55*GREET1_Import_Export!$AA75)+GREET1_Import_Export!$C293)+L$73*(GREET1_Import_Export!$D318+GREET1_Import_Export!$E318)</f>
        <v>0.69447726599378212</v>
      </c>
      <c r="M96" s="2185"/>
      <c r="N96" s="2151">
        <f>N$69*(N$61*($B$53*GREET1_Import_Export!$K75)+GREET1_Import_Export!$G$200*GREET1_Import_Export!$B204+GREET1_Import_Export!$G204)+N$70*(N$61*(GREET1_Import_Export!$O75)+GREET1_Import_Export!$G$200*GREET1_Import_Export!$B204+GREET1_Import_Export!$G204)+N$71*(N$61*($B$54*GREET1_Import_Export!$B75)+GREET1_Import_Export!$B240)+N$72*(N$61*($B$55*GREET1_Import_Export!$AA75)+GREET1_Import_Export!$C293)+N$73*(GREET1_Import_Export!$D318+GREET1_Import_Export!$E318)</f>
        <v>1.0404439626060691</v>
      </c>
      <c r="O96" s="2185"/>
      <c r="P96" s="2151">
        <f>P$69*(P$61*($B$53*GREET1_Import_Export!$K75)+GREET1_Import_Export!$G$200*GREET1_Import_Export!$B204+GREET1_Import_Export!$G204)+P$70*(P$61*(GREET1_Import_Export!$O75)+GREET1_Import_Export!$G$200*GREET1_Import_Export!$B204+GREET1_Import_Export!$G204)+P$71*(P$61*($B$54*GREET1_Import_Export!$B75)+GREET1_Import_Export!$B240)+P$72*(P$61*($B$55*GREET1_Import_Export!$AA75)+GREET1_Import_Export!$C293)+P$73*(GREET1_Import_Export!$D318+GREET1_Import_Export!$E318)</f>
        <v>13.566908444431631</v>
      </c>
      <c r="Q96" s="2185"/>
    </row>
    <row r="97" spans="1:17" s="2136" customFormat="1" ht="15.75">
      <c r="A97" s="2093" t="s">
        <v>2544</v>
      </c>
      <c r="B97" s="2151">
        <f>B$69*(B$61*($B$53*GREET1_Import_Export!$K76)+GREET1_Import_Export!$G$200*GREET1_Import_Export!$B205+GREET1_Import_Export!$G205)+B$70*(B$61*(GREET1_Import_Export!$O76)+GREET1_Import_Export!$G$200*GREET1_Import_Export!$B205+GREET1_Import_Export!$G205)+B$71*(B$61*($B$54*GREET1_Import_Export!$B76)+GREET1_Import_Export!$B241)+B$72*(B$61*($B$55*GREET1_Import_Export!$AA76)+GREET1_Import_Export!$C294)+B$73*(GREET1_Import_Export!$D319+GREET1_Import_Export!$E319)</f>
        <v>0.64199137765759484</v>
      </c>
      <c r="C97" s="2185"/>
      <c r="D97" s="2151">
        <f>D$69*(D$61*($B$53*GREET1_Import_Export!$K76)+GREET1_Import_Export!$G$200*GREET1_Import_Export!$B205+GREET1_Import_Export!$G205)+D$70*(D$61*(GREET1_Import_Export!$O76)+GREET1_Import_Export!$G$200*GREET1_Import_Export!$B205+GREET1_Import_Export!$G205)+D$71*(D$61*($B$54*GREET1_Import_Export!$B76)+GREET1_Import_Export!$B241)+D$72*(D$61*($B$55*GREET1_Import_Export!$AA76)+GREET1_Import_Export!$C294)+D$73*(GREET1_Import_Export!$D319+GREET1_Import_Export!$E319)</f>
        <v>1.0555449451247028</v>
      </c>
      <c r="E97" s="2185">
        <f t="shared" si="0"/>
        <v>0</v>
      </c>
      <c r="F97" s="2151">
        <f>F$69*(F$61*($B$53*GREET1_Import_Export!$K76)+GREET1_Import_Export!$G$200*GREET1_Import_Export!$B205+GREET1_Import_Export!$G205)+F$70*(F$61*(GREET1_Import_Export!$O76)+GREET1_Import_Export!$G$200*GREET1_Import_Export!$B205+GREET1_Import_Export!$G205)+F$71*(F$61*($B$54*GREET1_Import_Export!$B76)+GREET1_Import_Export!$B241)+F$72*(F$61*($B$55*GREET1_Import_Export!$AA76)+GREET1_Import_Export!$C294)+F$73*(GREET1_Import_Export!$D319+GREET1_Import_Export!$E319)</f>
        <v>2.2145347173554666</v>
      </c>
      <c r="G97" s="2185"/>
      <c r="H97" s="2151">
        <f>H$69*(H$61*($B$53*GREET1_Import_Export!$K76)+GREET1_Import_Export!$G$200*GREET1_Import_Export!$B205+GREET1_Import_Export!$G205)+H$70*(H$61*(GREET1_Import_Export!$O76)+GREET1_Import_Export!$G$200*GREET1_Import_Export!$B205+GREET1_Import_Export!$G205)+H$71*(H$61*($B$54*GREET1_Import_Export!$B76)+GREET1_Import_Export!$B241)+H$72*(H$61*($B$55*GREET1_Import_Export!$AA76)+GREET1_Import_Export!$C294)+H$73*(GREET1_Import_Export!$D319+GREET1_Import_Export!$E319)</f>
        <v>4.0247754399806011E-2</v>
      </c>
      <c r="I97" s="2185"/>
      <c r="J97" s="2151">
        <f>J$69*(J$61*($B$53*GREET1_Import_Export!$K76)+GREET1_Import_Export!$G$200*GREET1_Import_Export!$B205+GREET1_Import_Export!$G205)+J$70*(J$61*(GREET1_Import_Export!$O76)+GREET1_Import_Export!$G$200*GREET1_Import_Export!$B205+GREET1_Import_Export!$G205)+J$71*(J$61*($B$54*GREET1_Import_Export!$B76)+GREET1_Import_Export!$B241)+J$72*(J$61*($B$55*GREET1_Import_Export!$AA76)+GREET1_Import_Export!$C294)+J$73*(GREET1_Import_Export!$D319+GREET1_Import_Export!$E319)</f>
        <v>0.45856526975542489</v>
      </c>
      <c r="K97" s="2185"/>
      <c r="L97" s="2151">
        <f>L$69*(L$61*($B$53*GREET1_Import_Export!$K76)+GREET1_Import_Export!$G$200*GREET1_Import_Export!$B205+GREET1_Import_Export!$G205)+L$70*(L$61*(GREET1_Import_Export!$O76)+GREET1_Import_Export!$G$200*GREET1_Import_Export!$B205+GREET1_Import_Export!$G205)+L$71*(L$61*($B$54*GREET1_Import_Export!$B76)+GREET1_Import_Export!$B241)+L$72*(L$61*($B$55*GREET1_Import_Export!$AA76)+GREET1_Import_Export!$C294)+L$73*(GREET1_Import_Export!$D319+GREET1_Import_Export!$E319)</f>
        <v>0.61067472508893172</v>
      </c>
      <c r="M97" s="2185"/>
      <c r="N97" s="2151">
        <f>N$69*(N$61*($B$53*GREET1_Import_Export!$K76)+GREET1_Import_Export!$G$200*GREET1_Import_Export!$B205+GREET1_Import_Export!$G205)+N$70*(N$61*(GREET1_Import_Export!$O76)+GREET1_Import_Export!$G$200*GREET1_Import_Export!$B205+GREET1_Import_Export!$G205)+N$71*(N$61*($B$54*GREET1_Import_Export!$B76)+GREET1_Import_Export!$B241)+N$72*(N$61*($B$55*GREET1_Import_Export!$AA76)+GREET1_Import_Export!$C294)+N$73*(GREET1_Import_Export!$D319+GREET1_Import_Export!$E319)</f>
        <v>0.91489363575594518</v>
      </c>
      <c r="O97" s="2185"/>
      <c r="P97" s="2151">
        <f>P$69*(P$61*($B$53*GREET1_Import_Export!$K76)+GREET1_Import_Export!$G$200*GREET1_Import_Export!$B205+GREET1_Import_Export!$G205)+P$70*(P$61*(GREET1_Import_Export!$O76)+GREET1_Import_Export!$G$200*GREET1_Import_Export!$B205+GREET1_Import_Export!$G205)+P$71*(P$61*($B$54*GREET1_Import_Export!$B76)+GREET1_Import_Export!$B241)+P$72*(P$61*($B$55*GREET1_Import_Export!$AA76)+GREET1_Import_Export!$C294)+P$73*(GREET1_Import_Export!$D319+GREET1_Import_Export!$E319)</f>
        <v>11.929790203793612</v>
      </c>
      <c r="Q97" s="2185"/>
    </row>
    <row r="98" spans="1:17" s="2136" customFormat="1" ht="15.75">
      <c r="A98" s="2093" t="s">
        <v>2545</v>
      </c>
      <c r="B98" s="2151">
        <f>B$69*(B$61*($B$53*GREET1_Import_Export!$K77)+GREET1_Import_Export!$G$200*GREET1_Import_Export!$B206+GREET1_Import_Export!$G206)+B$70*(B$61*(GREET1_Import_Export!$O77)+GREET1_Import_Export!$G$200*GREET1_Import_Export!$B206+GREET1_Import_Export!$G206)+B$71*(B$61*($B$54*GREET1_Import_Export!$B77)+GREET1_Import_Export!$B242)+B$72*(B$61*($B$55*GREET1_Import_Export!$AA77)+GREET1_Import_Export!$C295)+B$73*(GREET1_Import_Export!$D320+GREET1_Import_Export!$E320)</f>
        <v>5.4333355363692464</v>
      </c>
      <c r="C98" s="2185"/>
      <c r="D98" s="2151">
        <f>D$69*(D$61*($B$53*GREET1_Import_Export!$K77)+GREET1_Import_Export!$G$200*GREET1_Import_Export!$B206+GREET1_Import_Export!$G206)+D$70*(D$61*(GREET1_Import_Export!$O77)+GREET1_Import_Export!$G$200*GREET1_Import_Export!$B206+GREET1_Import_Export!$G206)+D$71*(D$61*($B$54*GREET1_Import_Export!$B77)+GREET1_Import_Export!$B242)+D$72*(D$61*($B$55*GREET1_Import_Export!$AA77)+GREET1_Import_Export!$C295)+D$73*(GREET1_Import_Export!$D320+GREET1_Import_Export!$E320)</f>
        <v>9.0088707625638129</v>
      </c>
      <c r="E98" s="2185">
        <f t="shared" si="0"/>
        <v>0</v>
      </c>
      <c r="F98" s="2151">
        <f>F$69*(F$61*($B$53*GREET1_Import_Export!$K77)+GREET1_Import_Export!$G$200*GREET1_Import_Export!$B206+GREET1_Import_Export!$G206)+F$70*(F$61*(GREET1_Import_Export!$O77)+GREET1_Import_Export!$G$200*GREET1_Import_Export!$B206+GREET1_Import_Export!$G206)+F$71*(F$61*($B$54*GREET1_Import_Export!$B77)+GREET1_Import_Export!$B242)+F$72*(F$61*($B$55*GREET1_Import_Export!$AA77)+GREET1_Import_Export!$C295)+F$73*(GREET1_Import_Export!$D320+GREET1_Import_Export!$E320)</f>
        <v>18.74216787806813</v>
      </c>
      <c r="G98" s="2185"/>
      <c r="H98" s="2151">
        <f>H$69*(H$61*($B$53*GREET1_Import_Export!$K77)+GREET1_Import_Export!$G$200*GREET1_Import_Export!$B206+GREET1_Import_Export!$G206)+H$70*(H$61*(GREET1_Import_Export!$O77)+GREET1_Import_Export!$G$200*GREET1_Import_Export!$B206+GREET1_Import_Export!$G206)+H$71*(H$61*($B$54*GREET1_Import_Export!$B77)+GREET1_Import_Export!$B242)+H$72*(H$61*($B$55*GREET1_Import_Export!$AA77)+GREET1_Import_Export!$C295)+H$73*(GREET1_Import_Export!$D320+GREET1_Import_Export!$E320)</f>
        <v>0.43850613281360329</v>
      </c>
      <c r="I98" s="2185"/>
      <c r="J98" s="2151">
        <f>J$69*(J$61*($B$53*GREET1_Import_Export!$K77)+GREET1_Import_Export!$G$200*GREET1_Import_Export!$B206+GREET1_Import_Export!$G206)+J$70*(J$61*(GREET1_Import_Export!$O77)+GREET1_Import_Export!$G$200*GREET1_Import_Export!$B206+GREET1_Import_Export!$G206)+J$71*(J$61*($B$54*GREET1_Import_Export!$B77)+GREET1_Import_Export!$B242)+J$72*(J$61*($B$55*GREET1_Import_Export!$AA77)+GREET1_Import_Export!$C295)+J$73*(GREET1_Import_Export!$D320+GREET1_Import_Export!$E320)</f>
        <v>3.8809539545494616</v>
      </c>
      <c r="K98" s="2185"/>
      <c r="L98" s="2151">
        <f>L$69*(L$61*($B$53*GREET1_Import_Export!$K77)+GREET1_Import_Export!$G$200*GREET1_Import_Export!$B206+GREET1_Import_Export!$G206)+L$70*(L$61*(GREET1_Import_Export!$O77)+GREET1_Import_Export!$G$200*GREET1_Import_Export!$B206+GREET1_Import_Export!$G206)+L$71*(L$61*($B$54*GREET1_Import_Export!$B77)+GREET1_Import_Export!$B242)+L$72*(L$61*($B$55*GREET1_Import_Export!$AA77)+GREET1_Import_Export!$C295)+L$73*(GREET1_Import_Export!$D320+GREET1_Import_Export!$E320)</f>
        <v>5.1682947784975761</v>
      </c>
      <c r="M98" s="2185"/>
      <c r="N98" s="2151">
        <f>N$69*(N$61*($B$53*GREET1_Import_Export!$K77)+GREET1_Import_Export!$G$200*GREET1_Import_Export!$B206+GREET1_Import_Export!$G206)+N$70*(N$61*(GREET1_Import_Export!$O77)+GREET1_Import_Export!$G$200*GREET1_Import_Export!$B206+GREET1_Import_Export!$G206)+N$71*(N$61*($B$54*GREET1_Import_Export!$B77)+GREET1_Import_Export!$B242)+N$72*(N$61*($B$55*GREET1_Import_Export!$AA77)+GREET1_Import_Export!$C295)+N$73*(GREET1_Import_Export!$D320+GREET1_Import_Export!$E320)</f>
        <v>7.7429764263938035</v>
      </c>
      <c r="O98" s="2185"/>
      <c r="P98" s="2151">
        <f>P$69*(P$61*($B$53*GREET1_Import_Export!$K77)+GREET1_Import_Export!$G$200*GREET1_Import_Export!$B206+GREET1_Import_Export!$G206)+P$70*(P$61*(GREET1_Import_Export!$O77)+GREET1_Import_Export!$G$200*GREET1_Import_Export!$B206+GREET1_Import_Export!$G206)+P$71*(P$61*($B$54*GREET1_Import_Export!$B77)+GREET1_Import_Export!$B242)+P$72*(P$61*($B$55*GREET1_Import_Export!$AA77)+GREET1_Import_Export!$C295)+P$73*(GREET1_Import_Export!$D320+GREET1_Import_Export!$E320)</f>
        <v>100.96483428204611</v>
      </c>
      <c r="Q98" s="2185"/>
    </row>
    <row r="99" spans="1:17" s="2136" customFormat="1">
      <c r="A99" s="2093" t="s">
        <v>827</v>
      </c>
      <c r="B99" s="2151">
        <f>B$69*(B$61*($B$53*GREET1_Import_Export!$K78)+GREET1_Import_Export!$G$200*GREET1_Import_Export!$B207+GREET1_Import_Export!$G207)+B$70*(B$61*(GREET1_Import_Export!$O78)+GREET1_Import_Export!$G$200*GREET1_Import_Export!$B207+GREET1_Import_Export!$G207)+B$71*(B$61*($B$54*GREET1_Import_Export!$B78)+GREET1_Import_Export!$B243)+B$72*(B$61*($B$55*GREET1_Import_Export!$AA78)+GREET1_Import_Export!$C296)+B$73*(GREET1_Import_Export!$D321+GREET1_Import_Export!$E321)</f>
        <v>3.3085616671073396E-2</v>
      </c>
      <c r="C99" s="2185"/>
      <c r="D99" s="2151">
        <f>D$69*(D$61*($B$53*GREET1_Import_Export!$K78)+GREET1_Import_Export!$G$200*GREET1_Import_Export!$B207+GREET1_Import_Export!$G207)+D$70*(D$61*(GREET1_Import_Export!$O78)+GREET1_Import_Export!$G$200*GREET1_Import_Export!$B207+GREET1_Import_Export!$G207)+D$71*(D$61*($B$54*GREET1_Import_Export!$B78)+GREET1_Import_Export!$B243)+D$72*(D$61*($B$55*GREET1_Import_Export!$AA78)+GREET1_Import_Export!$C296)+D$73*(GREET1_Import_Export!$D321+GREET1_Import_Export!$E321)</f>
        <v>5.7984562531595216E-2</v>
      </c>
      <c r="E99" s="2185">
        <f t="shared" si="0"/>
        <v>0</v>
      </c>
      <c r="F99" s="2151">
        <f>F$69*(F$61*($B$53*GREET1_Import_Export!$K78)+GREET1_Import_Export!$G$200*GREET1_Import_Export!$B207+GREET1_Import_Export!$G207)+F$70*(F$61*(GREET1_Import_Export!$O78)+GREET1_Import_Export!$G$200*GREET1_Import_Export!$B207+GREET1_Import_Export!$G207)+F$71*(F$61*($B$54*GREET1_Import_Export!$B78)+GREET1_Import_Export!$B243)+F$72*(F$61*($B$55*GREET1_Import_Export!$AA78)+GREET1_Import_Export!$C296)+F$73*(GREET1_Import_Export!$D321+GREET1_Import_Export!$E321)</f>
        <v>0.11412808538105459</v>
      </c>
      <c r="G99" s="2185"/>
      <c r="H99" s="2151">
        <f>H$69*(H$61*($B$53*GREET1_Import_Export!$K78)+GREET1_Import_Export!$G$200*GREET1_Import_Export!$B207+GREET1_Import_Export!$G207)+H$70*(H$61*(GREET1_Import_Export!$O78)+GREET1_Import_Export!$G$200*GREET1_Import_Export!$B207+GREET1_Import_Export!$G207)+H$71*(H$61*($B$54*GREET1_Import_Export!$B78)+GREET1_Import_Export!$B243)+H$72*(H$61*($B$55*GREET1_Import_Export!$AA78)+GREET1_Import_Export!$C296)+H$73*(GREET1_Import_Export!$D321+GREET1_Import_Export!$E321)</f>
        <v>6.721605665610096E-3</v>
      </c>
      <c r="I99" s="2185"/>
      <c r="J99" s="2151">
        <f>J$69*(J$61*($B$53*GREET1_Import_Export!$K78)+GREET1_Import_Export!$G$200*GREET1_Import_Export!$B207+GREET1_Import_Export!$G207)+J$70*(J$61*(GREET1_Import_Export!$O78)+GREET1_Import_Export!$G$200*GREET1_Import_Export!$B207+GREET1_Import_Export!$G207)+J$71*(J$61*($B$54*GREET1_Import_Export!$B78)+GREET1_Import_Export!$B243)+J$72*(J$61*($B$55*GREET1_Import_Export!$AA78)+GREET1_Import_Export!$C296)+J$73*(GREET1_Import_Export!$D321+GREET1_Import_Export!$E321)</f>
        <v>2.3632583336481001E-2</v>
      </c>
      <c r="K99" s="2185"/>
      <c r="L99" s="2151">
        <f>L$69*(L$61*($B$53*GREET1_Import_Export!$K78)+GREET1_Import_Export!$G$200*GREET1_Import_Export!$B207+GREET1_Import_Export!$G207)+L$70*(L$61*(GREET1_Import_Export!$O78)+GREET1_Import_Export!$G$200*GREET1_Import_Export!$B207+GREET1_Import_Export!$G207)+L$71*(L$61*($B$54*GREET1_Import_Export!$B78)+GREET1_Import_Export!$B243)+L$72*(L$61*($B$55*GREET1_Import_Export!$AA78)+GREET1_Import_Export!$C296)+L$73*(GREET1_Import_Export!$D321+GREET1_Import_Export!$E321)</f>
        <v>3.1471684150533238E-2</v>
      </c>
      <c r="M99" s="2185"/>
      <c r="N99" s="2151">
        <f>N$69*(N$61*($B$53*GREET1_Import_Export!$K78)+GREET1_Import_Export!$G$200*GREET1_Import_Export!$B207+GREET1_Import_Export!$G207)+N$70*(N$61*(GREET1_Import_Export!$O78)+GREET1_Import_Export!$G$200*GREET1_Import_Export!$B207+GREET1_Import_Export!$G207)+N$71*(N$61*($B$54*GREET1_Import_Export!$B78)+GREET1_Import_Export!$B243)+N$72*(N$61*($B$55*GREET1_Import_Export!$AA78)+GREET1_Import_Export!$C296)+N$73*(GREET1_Import_Export!$D321+GREET1_Import_Export!$E321)</f>
        <v>4.7149885778637705E-2</v>
      </c>
      <c r="O99" s="2185"/>
      <c r="P99" s="2151">
        <f>P$69*(P$61*($B$53*GREET1_Import_Export!$K78)+GREET1_Import_Export!$G$200*GREET1_Import_Export!$B207+GREET1_Import_Export!$G207)+P$70*(P$61*(GREET1_Import_Export!$O78)+GREET1_Import_Export!$G$200*GREET1_Import_Export!$B207+GREET1_Import_Export!$G207)+P$71*(P$61*($B$54*GREET1_Import_Export!$B78)+GREET1_Import_Export!$B243)+P$72*(P$61*($B$55*GREET1_Import_Export!$AA78)+GREET1_Import_Export!$C296)+P$73*(GREET1_Import_Export!$D321+GREET1_Import_Export!$E321)</f>
        <v>0.61481272083307814</v>
      </c>
      <c r="Q99" s="2185"/>
    </row>
    <row r="100" spans="1:17" s="2136" customFormat="1">
      <c r="A100" s="2142" t="s">
        <v>828</v>
      </c>
      <c r="B100" s="2159">
        <f>B$69*(B$61*($B$53*GREET1_Import_Export!$K79)+GREET1_Import_Export!$G$200*GREET1_Import_Export!$B208+GREET1_Import_Export!$G208)+B$70*(B$61*(GREET1_Import_Export!$O79)+GREET1_Import_Export!$G$200*GREET1_Import_Export!$B208+GREET1_Import_Export!$G208)+B$71*(B$61*($B$54*GREET1_Import_Export!$B79)+GREET1_Import_Export!$B244)+B$72*(B$61*($B$55*GREET1_Import_Export!$AA79)+GREET1_Import_Export!$C297)+B$73*(GREET1_Import_Export!$D322+GREET1_Import_Export!$E322)</f>
        <v>0.18361254526407442</v>
      </c>
      <c r="C100" s="2227"/>
      <c r="D100" s="2159">
        <f>D$69*(D$61*($B$53*GREET1_Import_Export!$K79)+GREET1_Import_Export!$G$200*GREET1_Import_Export!$B208+GREET1_Import_Export!$G208)+D$70*(D$61*(GREET1_Import_Export!$O79)+GREET1_Import_Export!$G$200*GREET1_Import_Export!$B208+GREET1_Import_Export!$G208)+D$71*(D$61*($B$54*GREET1_Import_Export!$B79)+GREET1_Import_Export!$B244)+D$72*(D$61*($B$55*GREET1_Import_Export!$AA79)+GREET1_Import_Export!$C297)+D$73*(GREET1_Import_Export!$D322+GREET1_Import_Export!$E322)</f>
        <v>0.3036745422133672</v>
      </c>
      <c r="E100" s="2227">
        <f t="shared" si="0"/>
        <v>0</v>
      </c>
      <c r="F100" s="2159">
        <f>F$69*(F$61*($B$53*GREET1_Import_Export!$K79)+GREET1_Import_Export!$G$200*GREET1_Import_Export!$B208+GREET1_Import_Export!$G208)+F$70*(F$61*(GREET1_Import_Export!$O79)+GREET1_Import_Export!$G$200*GREET1_Import_Export!$B208+GREET1_Import_Export!$G208)+F$71*(F$61*($B$54*GREET1_Import_Export!$B79)+GREET1_Import_Export!$B244)+F$72*(F$61*($B$55*GREET1_Import_Export!$AA79)+GREET1_Import_Export!$C297)+F$73*(GREET1_Import_Export!$D322+GREET1_Import_Export!$E322)</f>
        <v>0.63336731641614519</v>
      </c>
      <c r="G100" s="2227"/>
      <c r="H100" s="2159">
        <f>H$69*(H$61*($B$53*GREET1_Import_Export!$K79)+GREET1_Import_Export!$G$200*GREET1_Import_Export!$B208+GREET1_Import_Export!$G208)+H$70*(H$61*(GREET1_Import_Export!$O79)+GREET1_Import_Export!$G$200*GREET1_Import_Export!$B208+GREET1_Import_Export!$G208)+H$71*(H$61*($B$54*GREET1_Import_Export!$B79)+GREET1_Import_Export!$B244)+H$72*(H$61*($B$55*GREET1_Import_Export!$AA79)+GREET1_Import_Export!$C297)+H$73*(GREET1_Import_Export!$D322+GREET1_Import_Export!$E322)</f>
        <v>1.3822689095852707E-2</v>
      </c>
      <c r="I100" s="2227"/>
      <c r="J100" s="2159">
        <f>J$69*(J$61*($B$53*GREET1_Import_Export!$K79)+GREET1_Import_Export!$G$200*GREET1_Import_Export!$B208+GREET1_Import_Export!$G208)+J$70*(J$61*(GREET1_Import_Export!$O79)+GREET1_Import_Export!$G$200*GREET1_Import_Export!$B208+GREET1_Import_Export!$G208)+J$71*(J$61*($B$54*GREET1_Import_Export!$B79)+GREET1_Import_Export!$B244)+J$72*(J$61*($B$55*GREET1_Import_Export!$AA79)+GREET1_Import_Export!$C297)+J$73*(GREET1_Import_Export!$D322+GREET1_Import_Export!$E322)</f>
        <v>0.13115181804576742</v>
      </c>
      <c r="K100" s="2227"/>
      <c r="L100" s="2159">
        <f>L$69*(L$61*($B$53*GREET1_Import_Export!$K79)+GREET1_Import_Export!$G$200*GREET1_Import_Export!$B208+GREET1_Import_Export!$G208)+L$70*(L$61*(GREET1_Import_Export!$O79)+GREET1_Import_Export!$G$200*GREET1_Import_Export!$B208+GREET1_Import_Export!$G208)+L$71*(L$61*($B$54*GREET1_Import_Export!$B79)+GREET1_Import_Export!$B244)+L$72*(L$61*($B$55*GREET1_Import_Export!$AA79)+GREET1_Import_Export!$C297)+L$73*(GREET1_Import_Export!$D322+GREET1_Import_Export!$E322)</f>
        <v>0.17465583573899762</v>
      </c>
      <c r="M100" s="2227"/>
      <c r="N100" s="2159">
        <f>N$69*(N$61*($B$53*GREET1_Import_Export!$K79)+GREET1_Import_Export!$G$200*GREET1_Import_Export!$B208+GREET1_Import_Export!$G208)+N$70*(N$61*(GREET1_Import_Export!$O79)+GREET1_Import_Export!$G$200*GREET1_Import_Export!$B208+GREET1_Import_Export!$G208)+N$71*(N$61*($B$54*GREET1_Import_Export!$B79)+GREET1_Import_Export!$B244)+N$72*(N$61*($B$55*GREET1_Import_Export!$AA79)+GREET1_Import_Export!$C297)+N$73*(GREET1_Import_Export!$D322+GREET1_Import_Export!$E322)</f>
        <v>0.26166387112545797</v>
      </c>
      <c r="O100" s="2227"/>
      <c r="P100" s="2159">
        <f>P$69*(P$61*($B$53*GREET1_Import_Export!$K79)+GREET1_Import_Export!$G$200*GREET1_Import_Export!$B208+GREET1_Import_Export!$G208)+P$70*(P$61*(GREET1_Import_Export!$O79)+GREET1_Import_Export!$G$200*GREET1_Import_Export!$B208+GREET1_Import_Export!$G208)+P$71*(P$61*($B$54*GREET1_Import_Export!$B79)+GREET1_Import_Export!$B244)+P$72*(P$61*($B$55*GREET1_Import_Export!$AA79)+GREET1_Import_Export!$C297)+P$73*(GREET1_Import_Export!$D322+GREET1_Import_Export!$E322)</f>
        <v>3.4119759548441233</v>
      </c>
      <c r="Q100" s="2227"/>
    </row>
    <row r="101" spans="1:17" s="2136" customFormat="1"/>
    <row r="102" spans="1:17" s="2136" customFormat="1"/>
    <row r="103" spans="1:17" s="621" customFormat="1" ht="15">
      <c r="A103" s="1501" t="s">
        <v>2684</v>
      </c>
    </row>
    <row r="104" spans="1:17" s="621" customFormat="1" ht="51">
      <c r="A104" s="1714"/>
      <c r="B104" s="1712" t="s">
        <v>236</v>
      </c>
      <c r="C104" s="1712" t="s">
        <v>2396</v>
      </c>
      <c r="D104" s="1712" t="s">
        <v>2397</v>
      </c>
      <c r="E104" s="1712" t="s">
        <v>2398</v>
      </c>
      <c r="F104" s="1712" t="s">
        <v>2399</v>
      </c>
      <c r="G104" s="1712" t="s">
        <v>2685</v>
      </c>
      <c r="H104" s="1712" t="s">
        <v>2401</v>
      </c>
      <c r="I104" s="1712" t="s">
        <v>2402</v>
      </c>
      <c r="J104" s="844" t="s">
        <v>2686</v>
      </c>
    </row>
    <row r="105" spans="1:17" s="621" customFormat="1">
      <c r="A105" s="795" t="s">
        <v>1443</v>
      </c>
      <c r="B105" s="2938"/>
      <c r="C105" s="2938"/>
      <c r="D105" s="2938"/>
      <c r="E105" s="2938"/>
      <c r="H105" s="2938"/>
      <c r="I105" s="2938"/>
      <c r="J105" s="844"/>
    </row>
    <row r="106" spans="1:17" s="621" customFormat="1">
      <c r="A106" s="494" t="s">
        <v>855</v>
      </c>
      <c r="B106" s="621">
        <f>IF(MHDV_Inputs!$B$3=1,0,SUM(B74:C74))</f>
        <v>0.58205186056138436</v>
      </c>
      <c r="C106" s="621">
        <f>IF(MHDV_Inputs!$B$3=1,0,SUM(D74:E74))</f>
        <v>3.4697372066247998</v>
      </c>
      <c r="D106" s="621">
        <f>IF(MHDV_Inputs!$B$3=1,0,SUM(F74:G74))</f>
        <v>2.0077747106472841</v>
      </c>
      <c r="E106" s="621">
        <f>IF(MHDV_Inputs!$B$3=1,0,SUM(H74:I74))</f>
        <v>3.2928918881409128</v>
      </c>
      <c r="F106" s="621">
        <f>IF(MHDV_Inputs!$B$3=1,0,SUM(J74:K74))</f>
        <v>0.41575132897241734</v>
      </c>
      <c r="G106" s="621">
        <f>IF(MHDV_Inputs!$B$3=1,0,SUM(L74:M74))</f>
        <v>0.55365908687546328</v>
      </c>
      <c r="H106" s="621">
        <f>IF(MHDV_Inputs!$B$3=1,0,SUM(N74:O74))</f>
        <v>0.8294746026815546</v>
      </c>
      <c r="I106" s="621">
        <f>IF(MHDV_Inputs!$B$3=1,0,SUM(P74:Q74))</f>
        <v>10.815965487823874</v>
      </c>
      <c r="J106" s="494">
        <f>SUM(B106:I106)</f>
        <v>21.967306172327689</v>
      </c>
    </row>
    <row r="107" spans="1:17" s="621" customFormat="1">
      <c r="A107" s="494" t="s">
        <v>817</v>
      </c>
      <c r="B107" s="621">
        <f>IF(MHDV_Inputs!$B$3=1,0,SUM(B75:C75))</f>
        <v>0.46099343845488616</v>
      </c>
      <c r="C107" s="621">
        <f>IF(MHDV_Inputs!$B$3=1,0,SUM(D75:E75))</f>
        <v>3.2748345544818638</v>
      </c>
      <c r="D107" s="621">
        <f>IF(MHDV_Inputs!$B$3=1,0,SUM(F75:G75))</f>
        <v>1.5901864253321858</v>
      </c>
      <c r="E107" s="621">
        <f>IF(MHDV_Inputs!$B$3=1,0,SUM(H75:I75))</f>
        <v>3.2906655993205178</v>
      </c>
      <c r="F107" s="621">
        <f>IF(MHDV_Inputs!$B$3=1,0,SUM(J75:K75))</f>
        <v>0.32928102746777582</v>
      </c>
      <c r="G107" s="621">
        <f>IF(MHDV_Inputs!$B$3=1,0,SUM(L75:M75))</f>
        <v>0.43850595365220885</v>
      </c>
      <c r="H107" s="621">
        <f>IF(MHDV_Inputs!$B$3=1,0,SUM(N75:O75))</f>
        <v>0.65695580602107462</v>
      </c>
      <c r="I107" s="621">
        <f>IF(MHDV_Inputs!$B$3=1,0,SUM(P75:Q75))</f>
        <v>8.566400106740085</v>
      </c>
      <c r="J107" s="494">
        <f>SUM(B107:I107)</f>
        <v>18.607822911470599</v>
      </c>
    </row>
    <row r="108" spans="1:17" s="621" customFormat="1">
      <c r="A108" s="494" t="s">
        <v>805</v>
      </c>
      <c r="B108" s="621">
        <f>IF(MHDV_Inputs!$B$3=1,0,SUM(B76:C76))</f>
        <v>0.16002997625492929</v>
      </c>
      <c r="C108" s="621">
        <f>IF(MHDV_Inputs!$B$3=1,0,SUM(D76:E76))</f>
        <v>0.25764379026268952</v>
      </c>
      <c r="D108" s="621">
        <f>IF(MHDV_Inputs!$B$3=1,0,SUM(F76:G76))</f>
        <v>0.55201977871909413</v>
      </c>
      <c r="E108" s="621">
        <f>IF(MHDV_Inputs!$B$3=1,0,SUM(H76:I76))</f>
        <v>2.9395998709779987E-3</v>
      </c>
      <c r="F108" s="621">
        <f>IF(MHDV_Inputs!$B$3=1,0,SUM(J76:K76))</f>
        <v>0.11430712589637806</v>
      </c>
      <c r="G108" s="621">
        <f>IF(MHDV_Inputs!$B$3=1,0,SUM(L76:M76))</f>
        <v>0.15222363594981081</v>
      </c>
      <c r="H108" s="621">
        <f>IF(MHDV_Inputs!$B$3=1,0,SUM(N76:O76))</f>
        <v>0.22805665605667627</v>
      </c>
      <c r="I108" s="621">
        <f>IF(MHDV_Inputs!$B$3=1,0,SUM(P76:Q76))</f>
        <v>2.9737534014944491</v>
      </c>
      <c r="J108" s="494">
        <f>SUM(B108:I108)</f>
        <v>4.4409739645050053</v>
      </c>
    </row>
    <row r="109" spans="1:17" s="621" customFormat="1">
      <c r="A109" s="494" t="s">
        <v>804</v>
      </c>
      <c r="B109" s="621">
        <f t="shared" ref="B109:I109" si="1">B107-B108-B110</f>
        <v>0.29595698035738616</v>
      </c>
      <c r="C109" s="621">
        <f t="shared" si="1"/>
        <v>2.9999646100561628</v>
      </c>
      <c r="D109" s="621">
        <f t="shared" si="1"/>
        <v>1.0208969008843636</v>
      </c>
      <c r="E109" s="621">
        <f t="shared" si="1"/>
        <v>3.2757554961396154</v>
      </c>
      <c r="F109" s="621">
        <f t="shared" si="1"/>
        <v>0.21139784311241872</v>
      </c>
      <c r="G109" s="621">
        <f t="shared" si="1"/>
        <v>0.28152005448629425</v>
      </c>
      <c r="H109" s="621">
        <f t="shared" si="1"/>
        <v>0.42176447723404503</v>
      </c>
      <c r="I109" s="621">
        <f t="shared" si="1"/>
        <v>5.4996138700401378</v>
      </c>
      <c r="J109" s="494">
        <f t="shared" ref="J109" si="2">J107-J108-J110</f>
        <v>14.006870232310424</v>
      </c>
    </row>
    <row r="110" spans="1:17" s="621" customFormat="1">
      <c r="A110" s="504" t="s">
        <v>818</v>
      </c>
      <c r="B110" s="621">
        <f>IF(MHDV_Inputs!$B$3=1,0,SUM(B78:C78))</f>
        <v>5.0064818425706774E-3</v>
      </c>
      <c r="C110" s="621">
        <f>IF(MHDV_Inputs!$B$3=1,0,SUM(D78:E78))</f>
        <v>1.7226154163011521E-2</v>
      </c>
      <c r="D110" s="621">
        <f>IF(MHDV_Inputs!$B$3=1,0,SUM(F78:G78))</f>
        <v>1.7269745728728123E-2</v>
      </c>
      <c r="E110" s="621">
        <f>IF(MHDV_Inputs!$B$3=1,0,SUM(H78:I78))</f>
        <v>1.1970503309924744E-2</v>
      </c>
      <c r="F110" s="621">
        <f>IF(MHDV_Inputs!$B$3=1,0,SUM(J78:K78))</f>
        <v>3.5760584589790557E-3</v>
      </c>
      <c r="G110" s="621">
        <f>IF(MHDV_Inputs!$B$3=1,0,SUM(L78:M78))</f>
        <v>4.7622632161038164E-3</v>
      </c>
      <c r="H110" s="621">
        <f>IF(MHDV_Inputs!$B$3=1,0,SUM(N78:O78))</f>
        <v>7.134672730353335E-3</v>
      </c>
      <c r="I110" s="621">
        <f>IF(MHDV_Inputs!$B$3=1,0,SUM(P78:Q78))</f>
        <v>9.3032835205498973E-2</v>
      </c>
      <c r="J110" s="504">
        <f>SUM(B110:I110)</f>
        <v>0.15997871465517027</v>
      </c>
    </row>
    <row r="111" spans="1:17" s="621" customFormat="1">
      <c r="A111" s="1670" t="s">
        <v>819</v>
      </c>
      <c r="B111" s="1571">
        <f>IF(MHDV_Inputs!$B$3=1,0,SUM(B79:C79))</f>
        <v>31.192701757183013</v>
      </c>
      <c r="C111" s="1571">
        <f>IF(MHDV_Inputs!$B$3=1,0,SUM(D79:E79))</f>
        <v>56.868972119403729</v>
      </c>
      <c r="D111" s="1571">
        <f>IF(MHDV_Inputs!$B$3=1,0,SUM(F79:G79))</f>
        <v>107.59851825648497</v>
      </c>
      <c r="E111" s="1571">
        <f>IF(MHDV_Inputs!$B$3=1,0,SUM(H79:I79))</f>
        <v>9.1905542923162731</v>
      </c>
      <c r="F111" s="1571">
        <f>IF(MHDV_Inputs!$B$3=1,0,SUM(J79:K79))</f>
        <v>22.280501255130723</v>
      </c>
      <c r="G111" s="1571">
        <f>IF(MHDV_Inputs!$B$3=1,0,SUM(L79:M79))</f>
        <v>29.671106549515553</v>
      </c>
      <c r="H111" s="1571">
        <f>IF(MHDV_Inputs!$B$3=1,0,SUM(N79:O79))</f>
        <v>44.452317138285203</v>
      </c>
      <c r="I111" s="1573">
        <f>IF(MHDV_Inputs!$B$3=1,0,SUM(P79:Q79))</f>
        <v>579.63767240993798</v>
      </c>
      <c r="J111" s="756">
        <f>SUM(B111:I111)</f>
        <v>880.89234377825744</v>
      </c>
    </row>
    <row r="112" spans="1:17" s="621" customFormat="1">
      <c r="A112" s="795" t="s">
        <v>1470</v>
      </c>
      <c r="B112" s="512"/>
      <c r="C112" s="512"/>
      <c r="D112" s="512"/>
      <c r="E112" s="512"/>
      <c r="F112" s="512"/>
      <c r="G112" s="512"/>
      <c r="H112" s="512"/>
      <c r="I112" s="512"/>
      <c r="J112" s="511"/>
    </row>
    <row r="113" spans="1:12" s="621" customFormat="1">
      <c r="A113" s="490" t="s">
        <v>821</v>
      </c>
      <c r="B113" s="621">
        <f>IF(MHDV_Inputs!$B$3=1,0,SUM(B81:C81))</f>
        <v>3.976921279393351</v>
      </c>
      <c r="C113" s="621">
        <f>IF(MHDV_Inputs!$B$3=1,0,SUM(D81:E81))</f>
        <v>1635.8610531893876</v>
      </c>
      <c r="D113" s="621">
        <f>IF(MHDV_Inputs!$B$3=1,0,SUM(F81:G81))</f>
        <v>13.718299883621665</v>
      </c>
      <c r="E113" s="621">
        <f>IF(MHDV_Inputs!$B$3=1,0,SUM(H81:I81))</f>
        <v>38.249707800889254</v>
      </c>
      <c r="F113" s="621">
        <f>IF(MHDV_Inputs!$B$3=1,0,SUM(J81:K81))</f>
        <v>2.8406580567095365</v>
      </c>
      <c r="G113" s="621">
        <f>IF(MHDV_Inputs!$B$3=1,0,SUM(L81:M81))</f>
        <v>3.7829251194229441</v>
      </c>
      <c r="H113" s="621">
        <f>IF(MHDV_Inputs!$B$3=1,0,SUM(N81:O81))</f>
        <v>5.6674592448497583</v>
      </c>
      <c r="I113" s="621">
        <f>IF(MHDV_Inputs!$B$3=1,0,SUM(P81:Q81))</f>
        <v>73.901049408593863</v>
      </c>
      <c r="J113" s="494">
        <f t="shared" ref="J113:J124" si="3">SUM(B113:I113)</f>
        <v>1777.9980739828682</v>
      </c>
    </row>
    <row r="114" spans="1:12" s="621" customFormat="1">
      <c r="A114" s="490" t="s">
        <v>822</v>
      </c>
      <c r="B114" s="621">
        <f>IF(MHDV_Inputs!$B$3=1,0,SUM(B82:C82))</f>
        <v>10.749575709622755</v>
      </c>
      <c r="C114" s="621">
        <f>IF(MHDV_Inputs!$B$3=1,0,SUM(D82:E82))</f>
        <v>162.60645973173672</v>
      </c>
      <c r="D114" s="621">
        <f>IF(MHDV_Inputs!$B$3=1,0,SUM(F82:G82))</f>
        <v>37.080417953054109</v>
      </c>
      <c r="E114" s="621">
        <f>IF(MHDV_Inputs!$B$3=1,0,SUM(H82:I82))</f>
        <v>159.40544539854855</v>
      </c>
      <c r="F114" s="621">
        <f>IF(MHDV_Inputs!$B$3=1,0,SUM(J82:K82))</f>
        <v>7.6782683640162546</v>
      </c>
      <c r="G114" s="621">
        <f>IF(MHDV_Inputs!$B$3=1,0,SUM(L82:M82))</f>
        <v>10.225206162811892</v>
      </c>
      <c r="H114" s="621">
        <f>IF(MHDV_Inputs!$B$3=1,0,SUM(N82:O82))</f>
        <v>15.319081760403161</v>
      </c>
      <c r="I114" s="621">
        <f>IF(MHDV_Inputs!$B$3=1,0,SUM(P82:Q82))</f>
        <v>199.75374663675319</v>
      </c>
      <c r="J114" s="494">
        <f t="shared" si="3"/>
        <v>602.81820171694665</v>
      </c>
    </row>
    <row r="115" spans="1:12" s="621" customFormat="1" ht="15.75">
      <c r="A115" s="490" t="s">
        <v>2542</v>
      </c>
      <c r="B115" s="621">
        <f>IF(MHDV_Inputs!$B$3=1,0,SUM(B83:C83))</f>
        <v>22.144794037446616</v>
      </c>
      <c r="C115" s="621">
        <f>IF(MHDV_Inputs!$B$3=1,0,SUM(D83:E83))</f>
        <v>229.30268635197717</v>
      </c>
      <c r="D115" s="621">
        <f>IF(MHDV_Inputs!$B$3=1,0,SUM(F83:G83))</f>
        <v>76.387965495024915</v>
      </c>
      <c r="E115" s="621">
        <f>IF(MHDV_Inputs!$B$3=1,0,SUM(H83:I83))</f>
        <v>216.70189373798249</v>
      </c>
      <c r="F115" s="621">
        <f>IF(MHDV_Inputs!$B$3=1,0,SUM(J83:K83))</f>
        <v>15.817710026747584</v>
      </c>
      <c r="G115" s="621">
        <f>IF(MHDV_Inputs!$B$3=1,0,SUM(L83:M83))</f>
        <v>21.064560181961419</v>
      </c>
      <c r="H115" s="621">
        <f>IF(MHDV_Inputs!$B$3=1,0,SUM(N83:O83))</f>
        <v>31.558260492389081</v>
      </c>
      <c r="I115" s="621">
        <f>IF(MHDV_Inputs!$B$3=1,0,SUM(P83:Q83))</f>
        <v>411.5051325718261</v>
      </c>
      <c r="J115" s="494">
        <f t="shared" si="3"/>
        <v>1024.4830028953554</v>
      </c>
    </row>
    <row r="116" spans="1:12" s="621" customFormat="1" ht="15.75">
      <c r="A116" s="490" t="s">
        <v>2543</v>
      </c>
      <c r="B116" s="621">
        <f>IF(MHDV_Inputs!$B$3=1,0,SUM(B84:C84))</f>
        <v>3.544856015042662</v>
      </c>
      <c r="C116" s="621">
        <f>IF(MHDV_Inputs!$B$3=1,0,SUM(D84:E84))</f>
        <v>74.693033875863733</v>
      </c>
      <c r="D116" s="621">
        <f>IF(MHDV_Inputs!$B$3=1,0,SUM(F84:G84))</f>
        <v>12.2279005396942</v>
      </c>
      <c r="E116" s="621">
        <f>IF(MHDV_Inputs!$B$3=1,0,SUM(H84:I84))</f>
        <v>11.71045590175779</v>
      </c>
      <c r="F116" s="621">
        <f>IF(MHDV_Inputs!$B$3=1,0,SUM(J84:K84))</f>
        <v>2.5320400107447587</v>
      </c>
      <c r="G116" s="621">
        <f>IF(MHDV_Inputs!$B$3=1,0,SUM(L84:M84))</f>
        <v>3.3719362094308254</v>
      </c>
      <c r="H116" s="621">
        <f>IF(MHDV_Inputs!$B$3=1,0,SUM(N84:O84))</f>
        <v>5.0517286068029579</v>
      </c>
      <c r="I116" s="621">
        <f>IF(MHDV_Inputs!$B$3=1,0,SUM(P84:Q84))</f>
        <v>65.872206440550983</v>
      </c>
      <c r="J116" s="494">
        <f t="shared" si="3"/>
        <v>179.00415759988795</v>
      </c>
    </row>
    <row r="117" spans="1:12" s="621" customFormat="1" ht="15.75">
      <c r="A117" s="490" t="s">
        <v>2544</v>
      </c>
      <c r="B117" s="621">
        <f>IF(MHDV_Inputs!$B$3=1,0,SUM(B85:C85))</f>
        <v>2.1278690312376258</v>
      </c>
      <c r="C117" s="621">
        <f>IF(MHDV_Inputs!$B$3=1,0,SUM(D85:E85))</f>
        <v>42.33666335179548</v>
      </c>
      <c r="D117" s="621">
        <f>IF(MHDV_Inputs!$B$3=1,0,SUM(F85:G85))</f>
        <v>7.3400360310984301</v>
      </c>
      <c r="E117" s="621">
        <f>IF(MHDV_Inputs!$B$3=1,0,SUM(H85:I85))</f>
        <v>11.587151420532994</v>
      </c>
      <c r="F117" s="621">
        <f>IF(MHDV_Inputs!$B$3=1,0,SUM(J85:K85))</f>
        <v>1.5199064508840183</v>
      </c>
      <c r="G117" s="621">
        <f>IF(MHDV_Inputs!$B$3=1,0,SUM(L85:M85))</f>
        <v>2.0240705419089613</v>
      </c>
      <c r="H117" s="621">
        <f>IF(MHDV_Inputs!$B$3=1,0,SUM(N85:O85))</f>
        <v>3.0323987239588464</v>
      </c>
      <c r="I117" s="621">
        <f>IF(MHDV_Inputs!$B$3=1,0,SUM(P85:Q85))</f>
        <v>39.541077975900016</v>
      </c>
      <c r="J117" s="494">
        <f t="shared" si="3"/>
        <v>109.50917352731636</v>
      </c>
    </row>
    <row r="118" spans="1:12" s="621" customFormat="1" ht="15.75">
      <c r="A118" s="490" t="s">
        <v>2545</v>
      </c>
      <c r="B118" s="621">
        <f>IF(MHDV_Inputs!$B$3=1,0,SUM(B86:C86))</f>
        <v>18.593608870892343</v>
      </c>
      <c r="C118" s="621">
        <f>IF(MHDV_Inputs!$B$3=1,0,SUM(D86:E86))</f>
        <v>55.831666129399352</v>
      </c>
      <c r="D118" s="621">
        <f>IF(MHDV_Inputs!$B$3=1,0,SUM(F86:G86))</f>
        <v>64.138232690534565</v>
      </c>
      <c r="E118" s="621">
        <f>IF(MHDV_Inputs!$B$3=1,0,SUM(H86:I86))</f>
        <v>33.902211234255212</v>
      </c>
      <c r="F118" s="621">
        <f>IF(MHDV_Inputs!$B$3=1,0,SUM(J86:K86))</f>
        <v>13.281149193494532</v>
      </c>
      <c r="G118" s="621">
        <f>IF(MHDV_Inputs!$B$3=1,0,SUM(L86:M86))</f>
        <v>17.68660356011711</v>
      </c>
      <c r="H118" s="621">
        <f>IF(MHDV_Inputs!$B$3=1,0,SUM(N86:O86))</f>
        <v>26.497512293362259</v>
      </c>
      <c r="I118" s="621">
        <f>IF(MHDV_Inputs!$B$3=1,0,SUM(P86:Q86))</f>
        <v>345.51531481696588</v>
      </c>
      <c r="J118" s="494">
        <f t="shared" si="3"/>
        <v>575.44629878902128</v>
      </c>
    </row>
    <row r="119" spans="1:12" s="621" customFormat="1">
      <c r="A119" s="490" t="s">
        <v>827</v>
      </c>
      <c r="B119" s="621">
        <f>IF(MHDV_Inputs!$B$3=1,0,SUM(B87:C87))</f>
        <v>0.12983107122569518</v>
      </c>
      <c r="C119" s="621">
        <f>IF(MHDV_Inputs!$B$3=1,0,SUM(D87:E87))</f>
        <v>1.7669994841127479</v>
      </c>
      <c r="D119" s="621">
        <f>IF(MHDV_Inputs!$B$3=1,0,SUM(F87:G87))</f>
        <v>0.44784933976807745</v>
      </c>
      <c r="E119" s="621">
        <f>IF(MHDV_Inputs!$B$3=1,0,SUM(H87:I87))</f>
        <v>2.0214503222705784</v>
      </c>
      <c r="F119" s="621">
        <f>IF(MHDV_Inputs!$B$3=1,0,SUM(J87:K87))</f>
        <v>9.2736479446925119E-2</v>
      </c>
      <c r="G119" s="621">
        <f>IF(MHDV_Inputs!$B$3=1,0,SUM(L87:M87))</f>
        <v>0.12349784823907591</v>
      </c>
      <c r="H119" s="621">
        <f>IF(MHDV_Inputs!$B$3=1,0,SUM(N87:O87))</f>
        <v>0.18502058582337744</v>
      </c>
      <c r="I119" s="621">
        <f>IF(MHDV_Inputs!$B$3=1,0,SUM(P87:Q87))</f>
        <v>2.4125829342250293</v>
      </c>
      <c r="J119" s="494">
        <f t="shared" si="3"/>
        <v>7.179968065111507</v>
      </c>
    </row>
    <row r="120" spans="1:12" s="621" customFormat="1">
      <c r="A120" s="490" t="s">
        <v>828</v>
      </c>
      <c r="B120" s="621">
        <f>IF(MHDV_Inputs!$B$3=1,0,SUM(B88:C88))</f>
        <v>0.61796444484001511</v>
      </c>
      <c r="C120" s="621">
        <f>IF(MHDV_Inputs!$B$3=1,0,SUM(D88:E88))</f>
        <v>4.769634615241646</v>
      </c>
      <c r="D120" s="621">
        <f>IF(MHDV_Inputs!$B$3=1,0,SUM(F88:G88))</f>
        <v>2.1316543567652091</v>
      </c>
      <c r="E120" s="621">
        <f>IF(MHDV_Inputs!$B$3=1,0,SUM(H88:I88))</f>
        <v>4.9032301305618704</v>
      </c>
      <c r="F120" s="621">
        <f>IF(MHDV_Inputs!$B$3=1,0,SUM(J88:K88))</f>
        <v>0.44140317488572511</v>
      </c>
      <c r="G120" s="621">
        <f>IF(MHDV_Inputs!$B$3=1,0,SUM(L88:M88))</f>
        <v>0.58781983777464863</v>
      </c>
      <c r="H120" s="621">
        <f>IF(MHDV_Inputs!$B$3=1,0,SUM(N88:O88))</f>
        <v>0.88065316355249545</v>
      </c>
      <c r="I120" s="621">
        <f>IF(MHDV_Inputs!$B$3=1,0,SUM(P88:Q88))</f>
        <v>11.483310270059603</v>
      </c>
      <c r="J120" s="494">
        <f t="shared" si="3"/>
        <v>25.815669993681212</v>
      </c>
    </row>
    <row r="121" spans="1:12" s="621" customFormat="1" ht="15.75">
      <c r="A121" s="490" t="s">
        <v>2546</v>
      </c>
      <c r="B121" s="621">
        <f>IF(MHDV_Inputs!$B$3=1,0,SUM(B89:C89))</f>
        <v>76.887353151280678</v>
      </c>
      <c r="C121" s="621">
        <f>IF(MHDV_Inputs!$B$3=1,0,SUM(D89:E89))</f>
        <v>622.99050042592114</v>
      </c>
      <c r="D121" s="621">
        <f>IF(MHDV_Inputs!$B$3=1,0,SUM(F89:G89))</f>
        <v>265.22118334413892</v>
      </c>
      <c r="E121" s="621">
        <f>IF(MHDV_Inputs!$B$3=1,0,SUM(H89:I89))</f>
        <v>648.35823122909107</v>
      </c>
      <c r="F121" s="621">
        <f>IF(MHDV_Inputs!$B$3=1,0,SUM(J89:K89))</f>
        <v>54.919537965200483</v>
      </c>
      <c r="G121" s="621">
        <f>IF(MHDV_Inputs!$B$3=1,0,SUM(L89:M89))</f>
        <v>73.136750558535283</v>
      </c>
      <c r="H121" s="621">
        <f>IF(MHDV_Inputs!$B$3=1,0,SUM(N89:O89))</f>
        <v>109.57117574520487</v>
      </c>
      <c r="I121" s="621">
        <f>IF(MHDV_Inputs!$B$3=1,0,SUM(P89:Q89))</f>
        <v>1428.7574947914366</v>
      </c>
      <c r="J121" s="494">
        <f t="shared" si="3"/>
        <v>3279.8422272108091</v>
      </c>
    </row>
    <row r="122" spans="1:12" s="621" customFormat="1" ht="15.75">
      <c r="A122" s="490" t="s">
        <v>2547</v>
      </c>
      <c r="B122" s="621">
        <f>IF(MHDV_Inputs!$B$3=1,0,SUM(B90:C90))</f>
        <v>0.69758399989935316</v>
      </c>
      <c r="C122" s="621">
        <f>IF(MHDV_Inputs!$B$3=1,0,SUM(D90:E90))</f>
        <v>6.1057685736485103</v>
      </c>
      <c r="D122" s="621">
        <f>IF(MHDV_Inputs!$B$3=1,0,SUM(F90:G90))</f>
        <v>2.4063002087120546</v>
      </c>
      <c r="E122" s="621">
        <f>IF(MHDV_Inputs!$B$3=1,0,SUM(H90:I90))</f>
        <v>6.4701397024558593</v>
      </c>
      <c r="F122" s="621">
        <f>IF(MHDV_Inputs!$B$3=1,0,SUM(J90:K90))</f>
        <v>0.49827428564239512</v>
      </c>
      <c r="G122" s="621">
        <f>IF(MHDV_Inputs!$B$3=1,0,SUM(L90:M90))</f>
        <v>0.66355551209938479</v>
      </c>
      <c r="H122" s="621">
        <f>IF(MHDV_Inputs!$B$3=1,0,SUM(N90:O90))</f>
        <v>0.99411796501336391</v>
      </c>
      <c r="I122" s="621">
        <f>IF(MHDV_Inputs!$B$3=1,0,SUM(P90:Q90))</f>
        <v>12.962838844793662</v>
      </c>
      <c r="J122" s="494">
        <f t="shared" si="3"/>
        <v>30.798579092264585</v>
      </c>
    </row>
    <row r="123" spans="1:12" s="622" customFormat="1" ht="15.75">
      <c r="A123" s="490" t="s">
        <v>2548</v>
      </c>
      <c r="B123" s="622">
        <f>IF(MHDV_Inputs!$B$3=1,0,SUM(B91:C91))</f>
        <v>33973.059951692521</v>
      </c>
      <c r="C123" s="622">
        <f>IF(MHDV_Inputs!$B$3=1,0,SUM(D91:E91))</f>
        <v>204929.23679561081</v>
      </c>
      <c r="D123" s="622">
        <f>IF(MHDV_Inputs!$B$3=1,0,SUM(F91:G91))</f>
        <v>117189.30087866062</v>
      </c>
      <c r="E123" s="622">
        <f>IF(MHDV_Inputs!$B$3=1,0,SUM(H91:I91))</f>
        <v>195319.97068590109</v>
      </c>
      <c r="F123" s="622">
        <f>IF(MHDV_Inputs!$B$3=1,0,SUM(J91:K91))</f>
        <v>24266.471394066088</v>
      </c>
      <c r="G123" s="622">
        <f>IF(MHDV_Inputs!$B$3=1,0,SUM(L91:M91))</f>
        <v>32315.837515024596</v>
      </c>
      <c r="H123" s="622">
        <f>IF(MHDV_Inputs!$B$3=1,0,SUM(N91:O91))</f>
        <v>48414.569756941608</v>
      </c>
      <c r="I123" s="622">
        <f>IF(MHDV_Inputs!$B$3=1,0,SUM(P91:Q91))</f>
        <v>631303.61545253673</v>
      </c>
      <c r="J123" s="630">
        <f t="shared" si="3"/>
        <v>1287712.0624304342</v>
      </c>
      <c r="L123" s="246"/>
    </row>
    <row r="124" spans="1:12" s="622" customFormat="1" ht="15.75">
      <c r="A124" s="490" t="s">
        <v>2550</v>
      </c>
      <c r="B124" s="246">
        <f>B123+B113*GREET1_Import_Export!$B$62/GREET1_Import_Export!$B$65+B114*GREET1_Import_Export!$B$63/GREET1_Import_Export!$B$65</f>
        <v>34002.346880080804</v>
      </c>
      <c r="C124" s="246">
        <f>C123+C113*GREET1_Import_Export!$B$62/GREET1_Import_Export!$B$65+C114*GREET1_Import_Export!$B$63/GREET1_Import_Export!$B$65</f>
        <v>210283.19484810569</v>
      </c>
      <c r="D124" s="246">
        <f>D123+D113*GREET1_Import_Export!$B$62/GREET1_Import_Export!$B$65+D114*GREET1_Import_Export!$B$63/GREET1_Import_Export!$B$65</f>
        <v>117290.32547484318</v>
      </c>
      <c r="E124" s="246">
        <f>E123+E113*GREET1_Import_Export!$B$62/GREET1_Import_Export!$B$65+E114*GREET1_Import_Export!$B$63/GREET1_Import_Export!$B$65</f>
        <v>195689.67654655443</v>
      </c>
      <c r="F124" s="246">
        <f>F123+F113*GREET1_Import_Export!$B$62/GREET1_Import_Export!$B$65+F114*GREET1_Import_Export!$B$63/GREET1_Import_Export!$B$65</f>
        <v>24287.390628629146</v>
      </c>
      <c r="G124" s="246">
        <f>G123+G113*GREET1_Import_Export!$B$62/GREET1_Import_Export!$B$65+G114*GREET1_Import_Export!$B$63/GREET1_Import_Export!$B$65</f>
        <v>32343.695812759786</v>
      </c>
      <c r="H124" s="246">
        <f>H123+H113*GREET1_Import_Export!$B$62/GREET1_Import_Export!$B$65+H114*GREET1_Import_Export!$B$63/GREET1_Import_Export!$B$65</f>
        <v>48456.306181021071</v>
      </c>
      <c r="I124" s="246">
        <f>I123+I113*GREET1_Import_Export!$B$62/GREET1_Import_Export!$B$65+I114*GREET1_Import_Export!$B$63/GREET1_Import_Export!$B$65</f>
        <v>631847.8391345751</v>
      </c>
      <c r="J124" s="630">
        <f t="shared" si="3"/>
        <v>1294200.7755065691</v>
      </c>
      <c r="L124" s="246"/>
    </row>
    <row r="125" spans="1:12" s="622" customFormat="1">
      <c r="A125" s="647" t="s">
        <v>851</v>
      </c>
      <c r="B125" s="294">
        <f>B124+SUMPRODUCT(B121:B122,GREET1_Import_Export!$B$51:$B$52)+SUMPRODUCT(B113:B115,GREET1_Import_Export!$B$55:$B$57)+SUMPRODUCT(B119:B120,GREET1_Import_Export!$B$58:$B$59)</f>
        <v>36493.827234592551</v>
      </c>
      <c r="C125" s="294">
        <f>C124+SUMPRODUCT(C121:C122,GREET1_Import_Export!$B$51:$B$52)+SUMPRODUCT(C113:C115,GREET1_Import_Export!$B$55:$B$57)+SUMPRODUCT(C119:C120,GREET1_Import_Export!$B$58:$B$59)</f>
        <v>230590.93853290018</v>
      </c>
      <c r="D125" s="294">
        <f>D124+SUMPRODUCT(D121:D122,GREET1_Import_Export!$B$51:$B$52)+SUMPRODUCT(D113:D115,GREET1_Import_Export!$B$55:$B$57)+SUMPRODUCT(D119:D120,GREET1_Import_Export!$B$58:$B$59)</f>
        <v>125884.63053047605</v>
      </c>
      <c r="E125" s="294">
        <f>E124+SUMPRODUCT(E121:E122,GREET1_Import_Export!$B$51:$B$52)+SUMPRODUCT(E113:E115,GREET1_Import_Export!$B$55:$B$57)+SUMPRODUCT(E119:E120,GREET1_Import_Export!$B$58:$B$59)</f>
        <v>216855.01050457795</v>
      </c>
      <c r="F125" s="294">
        <f>F124+SUMPRODUCT(F121:F122,GREET1_Import_Export!$B$51:$B$52)+SUMPRODUCT(F113:F115,GREET1_Import_Export!$B$55:$B$57)+SUMPRODUCT(F119:F120,GREET1_Import_Export!$B$58:$B$59)</f>
        <v>26067.019453280394</v>
      </c>
      <c r="G125" s="294">
        <f>G124+SUMPRODUCT(G121:G122,GREET1_Import_Export!$B$51:$B$52)+SUMPRODUCT(G113:G115,GREET1_Import_Export!$B$55:$B$57)+SUMPRODUCT(G119:G120,GREET1_Import_Export!$B$58:$B$59)</f>
        <v>34713.640540222179</v>
      </c>
      <c r="H125" s="294">
        <f>H124+SUMPRODUCT(H121:H122,GREET1_Import_Export!$B$51:$B$52)+SUMPRODUCT(H113:H115,GREET1_Import_Export!$B$55:$B$57)+SUMPRODUCT(H119:H120,GREET1_Import_Export!$B$58:$B$59)</f>
        <v>52006.882714105755</v>
      </c>
      <c r="I125" s="294">
        <f>I124+SUMPRODUCT(I121:I122,GREET1_Import_Export!$B$51:$B$52)+SUMPRODUCT(I113:I115,GREET1_Import_Export!$B$55:$B$57)+SUMPRODUCT(I119:I120,GREET1_Import_Export!$B$58:$B$59)</f>
        <v>678145.71627218847</v>
      </c>
      <c r="J125" s="756">
        <f>J124+SUMPRODUCT(J121:J122,GREET1_Import_Export!$B$51:$B$52)+SUMPRODUCT(J113:J115,GREET1_Import_Export!$B$55:$B$57)+SUMPRODUCT(J119:J120,GREET1_Import_Export!$B$58:$B$59)</f>
        <v>1400757.6657823434</v>
      </c>
    </row>
    <row r="126" spans="1:12" s="621" customFormat="1">
      <c r="A126" s="795" t="s">
        <v>1471</v>
      </c>
      <c r="B126" s="512"/>
      <c r="C126" s="513"/>
      <c r="D126" s="513"/>
      <c r="E126" s="513"/>
      <c r="F126" s="513"/>
      <c r="G126" s="513"/>
      <c r="H126" s="513"/>
      <c r="I126" s="514"/>
      <c r="J126" s="494"/>
    </row>
    <row r="127" spans="1:12" s="621" customFormat="1">
      <c r="A127" s="490" t="s">
        <v>821</v>
      </c>
      <c r="B127" s="349">
        <f>IF(MHDV_Inputs!$B$3=1,0,SUM(B93:C93))</f>
        <v>0.24799894420566984</v>
      </c>
      <c r="C127" s="621">
        <f>IF(MHDV_Inputs!$B$3=1,0,SUM(D93:E93))</f>
        <v>1.7720414993401268</v>
      </c>
      <c r="D127" s="621">
        <f>IF(MHDV_Inputs!$B$3=1,0,SUM(F93:G93))</f>
        <v>0.85546674133663114</v>
      </c>
      <c r="E127" s="621">
        <f>IF(MHDV_Inputs!$B$3=1,0,SUM(H93:I93))</f>
        <v>1.7836036813796603</v>
      </c>
      <c r="F127" s="621">
        <f>IF(MHDV_Inputs!$B$3=1,0,SUM(J93:K93))</f>
        <v>0.17714210300404989</v>
      </c>
      <c r="G127" s="621">
        <f>IF(MHDV_Inputs!$B$3=1,0,SUM(L93:M93))</f>
        <v>0.23590143473222255</v>
      </c>
      <c r="H127" s="621">
        <f>IF(MHDV_Inputs!$B$3=1,0,SUM(N93:O93))</f>
        <v>0.35342009818856784</v>
      </c>
      <c r="I127" s="348">
        <f>IF(MHDV_Inputs!$B$3=1,0,SUM(P93:Q93))</f>
        <v>4.6084347517731157</v>
      </c>
      <c r="J127" s="494">
        <f t="shared" ref="J127:J134" si="4">SUM(B127:I127)</f>
        <v>10.034009253960043</v>
      </c>
    </row>
    <row r="128" spans="1:12" s="621" customFormat="1">
      <c r="A128" s="490" t="s">
        <v>822</v>
      </c>
      <c r="B128" s="349">
        <f>IF(MHDV_Inputs!$B$3=1,0,SUM(B94:C94))</f>
        <v>1.8308702832816139</v>
      </c>
      <c r="C128" s="621">
        <f>IF(MHDV_Inputs!$B$3=1,0,SUM(D94:E94))</f>
        <v>9.5341422653260466</v>
      </c>
      <c r="D128" s="621">
        <f>IF(MHDV_Inputs!$B$3=1,0,SUM(F94:G94))</f>
        <v>6.3155455764766479</v>
      </c>
      <c r="E128" s="621">
        <f>IF(MHDV_Inputs!$B$3=1,0,SUM(H94:I94))</f>
        <v>8.5694282871484244</v>
      </c>
      <c r="F128" s="621">
        <f>IF(MHDV_Inputs!$B$3=1,0,SUM(J94:K94))</f>
        <v>1.3077644880582957</v>
      </c>
      <c r="G128" s="621">
        <f>IF(MHDV_Inputs!$B$3=1,0,SUM(L94:M94))</f>
        <v>1.7415595377556818</v>
      </c>
      <c r="H128" s="621">
        <f>IF(MHDV_Inputs!$B$3=1,0,SUM(N94:O94))</f>
        <v>2.6091496371504532</v>
      </c>
      <c r="I128" s="348">
        <f>IF(MHDV_Inputs!$B$3=1,0,SUM(P94:Q94))</f>
        <v>34.022105483103822</v>
      </c>
      <c r="J128" s="494">
        <f t="shared" si="4"/>
        <v>65.930565558300984</v>
      </c>
    </row>
    <row r="129" spans="1:61" s="621" customFormat="1" ht="15.75">
      <c r="A129" s="490" t="s">
        <v>2542</v>
      </c>
      <c r="B129" s="349">
        <f>IF(MHDV_Inputs!$B$3=1,0,SUM(B95:C95))</f>
        <v>5.4683881628019844</v>
      </c>
      <c r="C129" s="621">
        <f>IF(MHDV_Inputs!$B$3=1,0,SUM(D95:E95))</f>
        <v>16.564289017373916</v>
      </c>
      <c r="D129" s="621">
        <f>IF(MHDV_Inputs!$B$3=1,0,SUM(F95:G95))</f>
        <v>18.863081119073048</v>
      </c>
      <c r="E129" s="621">
        <f>IF(MHDV_Inputs!$B$3=1,0,SUM(H95:I95))</f>
        <v>10.157495729644531</v>
      </c>
      <c r="F129" s="621">
        <f>IF(MHDV_Inputs!$B$3=1,0,SUM(J95:K95))</f>
        <v>3.9059915448585603</v>
      </c>
      <c r="G129" s="621">
        <f>IF(MHDV_Inputs!$B$3=1,0,SUM(L95:M95))</f>
        <v>5.2016375207140833</v>
      </c>
      <c r="H129" s="621">
        <f>IF(MHDV_Inputs!$B$3=1,0,SUM(N95:O95))</f>
        <v>7.7929294724251275</v>
      </c>
      <c r="I129" s="348">
        <f>IF(MHDV_Inputs!$B$3=1,0,SUM(P95:Q95))</f>
        <v>101.61619891712935</v>
      </c>
      <c r="J129" s="494">
        <f t="shared" si="4"/>
        <v>169.5700114840206</v>
      </c>
    </row>
    <row r="130" spans="1:61" s="621" customFormat="1" ht="15.75">
      <c r="A130" s="490" t="s">
        <v>2543</v>
      </c>
      <c r="B130" s="349">
        <f>IF(MHDV_Inputs!$B$3=1,0,SUM(B96:C96))</f>
        <v>0.73009148476269392</v>
      </c>
      <c r="C130" s="621">
        <f>IF(MHDV_Inputs!$B$3=1,0,SUM(D96:E96))</f>
        <v>1.1987016592542099</v>
      </c>
      <c r="D130" s="621">
        <f>IF(MHDV_Inputs!$B$3=1,0,SUM(F96:G96))</f>
        <v>2.518434041515913</v>
      </c>
      <c r="E130" s="621">
        <f>IF(MHDV_Inputs!$B$3=1,0,SUM(H96:I96))</f>
        <v>4.3574143259604216E-2</v>
      </c>
      <c r="F130" s="621">
        <f>IF(MHDV_Inputs!$B$3=1,0,SUM(J96:K96))</f>
        <v>0.52149391768763853</v>
      </c>
      <c r="G130" s="621">
        <f>IF(MHDV_Inputs!$B$3=1,0,SUM(L96:M96))</f>
        <v>0.69447726599378212</v>
      </c>
      <c r="H130" s="621">
        <f>IF(MHDV_Inputs!$B$3=1,0,SUM(N96:O96))</f>
        <v>1.0404439626060691</v>
      </c>
      <c r="I130" s="348">
        <f>IF(MHDV_Inputs!$B$3=1,0,SUM(P96:Q96))</f>
        <v>13.566908444431631</v>
      </c>
      <c r="J130" s="494">
        <f t="shared" si="4"/>
        <v>20.314124919511542</v>
      </c>
    </row>
    <row r="131" spans="1:61" s="621" customFormat="1" ht="15.75">
      <c r="A131" s="490" t="s">
        <v>2544</v>
      </c>
      <c r="B131" s="349">
        <f>IF(MHDV_Inputs!$B$3=1,0,SUM(B97:C97))</f>
        <v>0.64199137765759484</v>
      </c>
      <c r="C131" s="621">
        <f>IF(MHDV_Inputs!$B$3=1,0,SUM(D97:E97))</f>
        <v>1.0555449451247028</v>
      </c>
      <c r="D131" s="621">
        <f>IF(MHDV_Inputs!$B$3=1,0,SUM(F97:G97))</f>
        <v>2.2145347173554666</v>
      </c>
      <c r="E131" s="621">
        <f>IF(MHDV_Inputs!$B$3=1,0,SUM(H97:I97))</f>
        <v>4.0247754399806011E-2</v>
      </c>
      <c r="F131" s="621">
        <f>IF(MHDV_Inputs!$B$3=1,0,SUM(J97:K97))</f>
        <v>0.45856526975542489</v>
      </c>
      <c r="G131" s="621">
        <f>IF(MHDV_Inputs!$B$3=1,0,SUM(L97:M97))</f>
        <v>0.61067472508893172</v>
      </c>
      <c r="H131" s="621">
        <f>IF(MHDV_Inputs!$B$3=1,0,SUM(N97:O97))</f>
        <v>0.91489363575594518</v>
      </c>
      <c r="I131" s="348">
        <f>IF(MHDV_Inputs!$B$3=1,0,SUM(P97:Q97))</f>
        <v>11.929790203793612</v>
      </c>
      <c r="J131" s="494">
        <f t="shared" si="4"/>
        <v>17.866242628931484</v>
      </c>
    </row>
    <row r="132" spans="1:61" s="621" customFormat="1" ht="15.75">
      <c r="A132" s="490" t="s">
        <v>2545</v>
      </c>
      <c r="B132" s="349">
        <f>IF(MHDV_Inputs!$B$3=1,0,SUM(B98:C98))</f>
        <v>5.4333355363692464</v>
      </c>
      <c r="C132" s="621">
        <f>IF(MHDV_Inputs!$B$3=1,0,SUM(D98:E98))</f>
        <v>9.0088707625638129</v>
      </c>
      <c r="D132" s="621">
        <f>IF(MHDV_Inputs!$B$3=1,0,SUM(F98:G98))</f>
        <v>18.74216787806813</v>
      </c>
      <c r="E132" s="621">
        <f>IF(MHDV_Inputs!$B$3=1,0,SUM(H98:I98))</f>
        <v>0.43850613281360329</v>
      </c>
      <c r="F132" s="621">
        <f>IF(MHDV_Inputs!$B$3=1,0,SUM(J98:K98))</f>
        <v>3.8809539545494616</v>
      </c>
      <c r="G132" s="621">
        <f>IF(MHDV_Inputs!$B$3=1,0,SUM(L98:M98))</f>
        <v>5.1682947784975761</v>
      </c>
      <c r="H132" s="621">
        <f>IF(MHDV_Inputs!$B$3=1,0,SUM(N98:O98))</f>
        <v>7.7429764263938035</v>
      </c>
      <c r="I132" s="348">
        <f>IF(MHDV_Inputs!$B$3=1,0,SUM(P98:Q98))</f>
        <v>100.96483428204611</v>
      </c>
      <c r="J132" s="494">
        <f t="shared" si="4"/>
        <v>151.37993975130175</v>
      </c>
    </row>
    <row r="133" spans="1:61" s="621" customFormat="1">
      <c r="A133" s="490" t="s">
        <v>827</v>
      </c>
      <c r="B133" s="349">
        <f>IF(MHDV_Inputs!$B$3=1,0,SUM(B99:C99))</f>
        <v>3.3085616671073396E-2</v>
      </c>
      <c r="C133" s="621">
        <f>IF(MHDV_Inputs!$B$3=1,0,SUM(D99:E99))</f>
        <v>5.7984562531595216E-2</v>
      </c>
      <c r="D133" s="621">
        <f>IF(MHDV_Inputs!$B$3=1,0,SUM(F99:G99))</f>
        <v>0.11412808538105459</v>
      </c>
      <c r="E133" s="621">
        <f>IF(MHDV_Inputs!$B$3=1,0,SUM(H99:I99))</f>
        <v>6.721605665610096E-3</v>
      </c>
      <c r="F133" s="621">
        <f>IF(MHDV_Inputs!$B$3=1,0,SUM(J99:K99))</f>
        <v>2.3632583336481001E-2</v>
      </c>
      <c r="G133" s="621">
        <f>IF(MHDV_Inputs!$B$3=1,0,SUM(L99:M99))</f>
        <v>3.1471684150533238E-2</v>
      </c>
      <c r="H133" s="621">
        <f>IF(MHDV_Inputs!$B$3=1,0,SUM(N99:O99))</f>
        <v>4.7149885778637705E-2</v>
      </c>
      <c r="I133" s="348">
        <f>IF(MHDV_Inputs!$B$3=1,0,SUM(P99:Q99))</f>
        <v>0.61481272083307814</v>
      </c>
      <c r="J133" s="494">
        <f t="shared" si="4"/>
        <v>0.92898674434806339</v>
      </c>
    </row>
    <row r="134" spans="1:61" s="621" customFormat="1">
      <c r="A134" s="647" t="s">
        <v>828</v>
      </c>
      <c r="B134" s="505">
        <f>IF(MHDV_Inputs!$B$3=1,0,SUM(B100:C100))</f>
        <v>0.18361254526407442</v>
      </c>
      <c r="C134" s="505">
        <f>IF(MHDV_Inputs!$B$3=1,0,SUM(D100:E100))</f>
        <v>0.3036745422133672</v>
      </c>
      <c r="D134" s="505">
        <f>IF(MHDV_Inputs!$B$3=1,0,SUM(F100:G100))</f>
        <v>0.63336731641614519</v>
      </c>
      <c r="E134" s="505">
        <f>IF(MHDV_Inputs!$B$3=1,0,SUM(H100:I100))</f>
        <v>1.3822689095852707E-2</v>
      </c>
      <c r="F134" s="505">
        <f>IF(MHDV_Inputs!$B$3=1,0,SUM(J100:K100))</f>
        <v>0.13115181804576742</v>
      </c>
      <c r="G134" s="505">
        <f>IF(MHDV_Inputs!$B$3=1,0,SUM(L100:M100))</f>
        <v>0.17465583573899762</v>
      </c>
      <c r="H134" s="505">
        <f>IF(MHDV_Inputs!$B$3=1,0,SUM(N100:O100))</f>
        <v>0.26166387112545797</v>
      </c>
      <c r="I134" s="502">
        <f>IF(MHDV_Inputs!$B$3=1,0,SUM(P100:Q100))</f>
        <v>3.4119759548441233</v>
      </c>
      <c r="J134" s="504">
        <f t="shared" si="4"/>
        <v>5.1139245727437856</v>
      </c>
    </row>
    <row r="135" spans="1:61" s="2136" customFormat="1"/>
    <row r="136" spans="1:61" s="2136" customFormat="1" ht="15">
      <c r="A136" s="2149" t="s">
        <v>2565</v>
      </c>
    </row>
    <row r="137" spans="1:61" s="2136" customFormat="1">
      <c r="A137" s="2243" t="s">
        <v>1473</v>
      </c>
    </row>
    <row r="138" spans="1:61" s="2136" customFormat="1" ht="89.25">
      <c r="A138" s="2244"/>
      <c r="B138" s="2245" t="s">
        <v>1474</v>
      </c>
      <c r="C138" s="2245" t="s">
        <v>1475</v>
      </c>
      <c r="D138" s="2245" t="s">
        <v>1476</v>
      </c>
      <c r="E138" s="2245" t="s">
        <v>1477</v>
      </c>
      <c r="F138" s="2245" t="s">
        <v>1478</v>
      </c>
      <c r="G138" s="2245" t="s">
        <v>281</v>
      </c>
      <c r="H138" s="2245" t="s">
        <v>344</v>
      </c>
      <c r="I138" s="2245" t="s">
        <v>1479</v>
      </c>
      <c r="J138" s="2245" t="s">
        <v>1480</v>
      </c>
      <c r="K138" s="2245" t="s">
        <v>1481</v>
      </c>
      <c r="L138" s="2245" t="s">
        <v>1482</v>
      </c>
      <c r="M138" s="2245" t="s">
        <v>1483</v>
      </c>
      <c r="N138" s="2245" t="s">
        <v>1484</v>
      </c>
      <c r="O138" s="2245" t="s">
        <v>364</v>
      </c>
      <c r="P138" s="2245" t="s">
        <v>365</v>
      </c>
      <c r="Q138" s="2245" t="s">
        <v>1485</v>
      </c>
      <c r="R138" s="2245" t="s">
        <v>1486</v>
      </c>
      <c r="S138" s="2245" t="s">
        <v>1487</v>
      </c>
      <c r="T138" s="2245" t="s">
        <v>1178</v>
      </c>
      <c r="U138" s="2245" t="s">
        <v>1488</v>
      </c>
      <c r="V138" s="2245" t="s">
        <v>1489</v>
      </c>
      <c r="W138" s="2245" t="s">
        <v>1490</v>
      </c>
      <c r="X138" s="2245" t="s">
        <v>1491</v>
      </c>
      <c r="Y138" s="2245" t="s">
        <v>1492</v>
      </c>
      <c r="Z138" s="2245" t="s">
        <v>1493</v>
      </c>
      <c r="AA138" s="2245" t="s">
        <v>1494</v>
      </c>
      <c r="AB138" s="2245" t="s">
        <v>1495</v>
      </c>
      <c r="AC138" s="2245" t="s">
        <v>1496</v>
      </c>
      <c r="AD138" s="2245" t="s">
        <v>1497</v>
      </c>
      <c r="AE138" s="2245" t="s">
        <v>1498</v>
      </c>
      <c r="AF138" s="2245" t="s">
        <v>1474</v>
      </c>
      <c r="AG138" s="2245" t="s">
        <v>1475</v>
      </c>
      <c r="AH138" s="2245" t="s">
        <v>1476</v>
      </c>
      <c r="AI138" s="2245" t="s">
        <v>1477</v>
      </c>
      <c r="AJ138" s="2245" t="s">
        <v>1478</v>
      </c>
      <c r="AK138" s="2245" t="s">
        <v>281</v>
      </c>
      <c r="AL138" s="2245" t="s">
        <v>344</v>
      </c>
      <c r="AM138" s="2245" t="s">
        <v>1479</v>
      </c>
      <c r="AN138" s="2245" t="s">
        <v>1480</v>
      </c>
      <c r="AO138" s="2245" t="s">
        <v>1481</v>
      </c>
      <c r="AP138" s="2245" t="s">
        <v>1482</v>
      </c>
      <c r="AQ138" s="2245" t="s">
        <v>1483</v>
      </c>
      <c r="AR138" s="2245" t="s">
        <v>1484</v>
      </c>
      <c r="AS138" s="2245" t="s">
        <v>364</v>
      </c>
      <c r="AT138" s="2245" t="s">
        <v>365</v>
      </c>
      <c r="AU138" s="2245" t="s">
        <v>1485</v>
      </c>
      <c r="AV138" s="2245" t="s">
        <v>1486</v>
      </c>
      <c r="AW138" s="2245" t="s">
        <v>1487</v>
      </c>
      <c r="AX138" s="2245" t="s">
        <v>1178</v>
      </c>
      <c r="AY138" s="2245" t="s">
        <v>1488</v>
      </c>
      <c r="AZ138" s="2245" t="s">
        <v>1489</v>
      </c>
      <c r="BA138" s="2245" t="s">
        <v>1490</v>
      </c>
      <c r="BB138" s="2245" t="s">
        <v>1491</v>
      </c>
      <c r="BC138" s="2245" t="s">
        <v>1492</v>
      </c>
      <c r="BD138" s="2245" t="s">
        <v>1493</v>
      </c>
      <c r="BE138" s="2245" t="s">
        <v>1494</v>
      </c>
      <c r="BF138" s="2245" t="s">
        <v>1495</v>
      </c>
      <c r="BG138" s="2245" t="s">
        <v>1496</v>
      </c>
      <c r="BH138" s="2245" t="s">
        <v>1497</v>
      </c>
      <c r="BI138" s="2246" t="s">
        <v>1498</v>
      </c>
    </row>
    <row r="139" spans="1:61" s="2136" customFormat="1">
      <c r="A139" s="2247" t="s">
        <v>1499</v>
      </c>
      <c r="B139" s="2198" t="s">
        <v>846</v>
      </c>
      <c r="C139" s="2198" t="s">
        <v>846</v>
      </c>
      <c r="D139" s="2198" t="s">
        <v>846</v>
      </c>
      <c r="E139" s="2198" t="s">
        <v>846</v>
      </c>
      <c r="F139" s="2198" t="s">
        <v>846</v>
      </c>
      <c r="G139" s="2198" t="s">
        <v>846</v>
      </c>
      <c r="H139" s="2198" t="s">
        <v>846</v>
      </c>
      <c r="I139" s="2198" t="s">
        <v>846</v>
      </c>
      <c r="J139" s="2198" t="s">
        <v>846</v>
      </c>
      <c r="K139" s="2198" t="s">
        <v>846</v>
      </c>
      <c r="L139" s="2198" t="s">
        <v>846</v>
      </c>
      <c r="M139" s="2198" t="s">
        <v>846</v>
      </c>
      <c r="N139" s="2198" t="s">
        <v>846</v>
      </c>
      <c r="O139" s="2198" t="s">
        <v>846</v>
      </c>
      <c r="P139" s="2198" t="s">
        <v>846</v>
      </c>
      <c r="Q139" s="2198" t="s">
        <v>846</v>
      </c>
      <c r="R139" s="2198" t="s">
        <v>846</v>
      </c>
      <c r="S139" s="2198" t="s">
        <v>846</v>
      </c>
      <c r="T139" s="2198" t="s">
        <v>846</v>
      </c>
      <c r="U139" s="2198" t="s">
        <v>846</v>
      </c>
      <c r="V139" s="2198" t="s">
        <v>846</v>
      </c>
      <c r="W139" s="2198" t="s">
        <v>846</v>
      </c>
      <c r="X139" s="2198" t="s">
        <v>846</v>
      </c>
      <c r="Y139" s="2198" t="s">
        <v>846</v>
      </c>
      <c r="Z139" s="2198" t="s">
        <v>846</v>
      </c>
      <c r="AA139" s="2198" t="s">
        <v>846</v>
      </c>
      <c r="AB139" s="2198" t="s">
        <v>846</v>
      </c>
      <c r="AC139" s="2198" t="s">
        <v>846</v>
      </c>
      <c r="AD139" s="2198" t="s">
        <v>846</v>
      </c>
      <c r="AE139" s="2198" t="s">
        <v>846</v>
      </c>
      <c r="AF139" s="2198" t="s">
        <v>845</v>
      </c>
      <c r="AG139" s="2198" t="s">
        <v>845</v>
      </c>
      <c r="AH139" s="2198" t="s">
        <v>845</v>
      </c>
      <c r="AI139" s="2198" t="s">
        <v>845</v>
      </c>
      <c r="AJ139" s="2198" t="s">
        <v>845</v>
      </c>
      <c r="AK139" s="2198" t="s">
        <v>845</v>
      </c>
      <c r="AL139" s="2198" t="s">
        <v>845</v>
      </c>
      <c r="AM139" s="2198" t="s">
        <v>845</v>
      </c>
      <c r="AN139" s="2198" t="s">
        <v>845</v>
      </c>
      <c r="AO139" s="2198" t="s">
        <v>845</v>
      </c>
      <c r="AP139" s="2198" t="s">
        <v>845</v>
      </c>
      <c r="AQ139" s="2198" t="s">
        <v>845</v>
      </c>
      <c r="AR139" s="2198" t="s">
        <v>845</v>
      </c>
      <c r="AS139" s="2198" t="s">
        <v>845</v>
      </c>
      <c r="AT139" s="2198" t="s">
        <v>845</v>
      </c>
      <c r="AU139" s="2198" t="s">
        <v>845</v>
      </c>
      <c r="AV139" s="2198" t="s">
        <v>845</v>
      </c>
      <c r="AW139" s="2198" t="s">
        <v>845</v>
      </c>
      <c r="AX139" s="2198" t="s">
        <v>845</v>
      </c>
      <c r="AY139" s="2198" t="s">
        <v>845</v>
      </c>
      <c r="AZ139" s="2198" t="s">
        <v>845</v>
      </c>
      <c r="BA139" s="2198" t="s">
        <v>845</v>
      </c>
      <c r="BB139" s="2198" t="s">
        <v>845</v>
      </c>
      <c r="BC139" s="2198" t="s">
        <v>845</v>
      </c>
      <c r="BD139" s="2198" t="s">
        <v>845</v>
      </c>
      <c r="BE139" s="2198" t="s">
        <v>845</v>
      </c>
      <c r="BF139" s="2198" t="s">
        <v>845</v>
      </c>
      <c r="BG139" s="2198" t="s">
        <v>845</v>
      </c>
      <c r="BH139" s="2198" t="s">
        <v>845</v>
      </c>
      <c r="BI139" s="2248" t="s">
        <v>845</v>
      </c>
    </row>
    <row r="140" spans="1:61" s="2136" customFormat="1">
      <c r="A140" s="2229" t="s">
        <v>816</v>
      </c>
      <c r="B140" s="2136">
        <f t="shared" ref="B140:Q142" ca="1" si="5">AF140/2000</f>
        <v>8.7196764684724772E-4</v>
      </c>
      <c r="C140" s="2136">
        <f t="shared" ca="1" si="5"/>
        <v>8.7196764684724772E-4</v>
      </c>
      <c r="D140" s="2136">
        <f t="shared" ca="1" si="5"/>
        <v>8.7196764684724772E-4</v>
      </c>
      <c r="E140" s="2136">
        <f t="shared" ca="1" si="5"/>
        <v>2.8302339573200515E-3</v>
      </c>
      <c r="F140" s="2136">
        <f t="shared" ca="1" si="5"/>
        <v>2.8302339573200515E-3</v>
      </c>
      <c r="G140" s="2136">
        <f t="shared" ca="1" si="5"/>
        <v>1.1700611895443606E-2</v>
      </c>
      <c r="H140" s="2136">
        <f t="shared" si="5"/>
        <v>1.9756499593268181E-2</v>
      </c>
      <c r="I140" s="2136">
        <f t="shared" ca="1" si="5"/>
        <v>8.7196764684724793E-4</v>
      </c>
      <c r="J140" s="2136">
        <f t="shared" ca="1" si="5"/>
        <v>8.7196764684724793E-4</v>
      </c>
      <c r="K140" s="2136">
        <f t="shared" ca="1" si="5"/>
        <v>3.5988851858332503E-3</v>
      </c>
      <c r="L140" s="2136">
        <f t="shared" ca="1" si="5"/>
        <v>8.7196764684724793E-4</v>
      </c>
      <c r="M140" s="2136">
        <f t="shared" ca="1" si="5"/>
        <v>8.7196764684724793E-4</v>
      </c>
      <c r="N140" s="2136">
        <f t="shared" ca="1" si="5"/>
        <v>3.5988851858332503E-3</v>
      </c>
      <c r="O140" s="2136">
        <f t="shared" ca="1" si="5"/>
        <v>5.1737915311429331E-3</v>
      </c>
      <c r="P140" s="2136">
        <f t="shared" ca="1" si="5"/>
        <v>5.1737915311429331E-3</v>
      </c>
      <c r="Q140" s="2136">
        <f t="shared" si="5"/>
        <v>2.1343115748556703E-3</v>
      </c>
      <c r="R140" s="2136">
        <f t="shared" ref="R140:AE142" si="6">AV140/2000</f>
        <v>1.0029426172139236E-3</v>
      </c>
      <c r="S140" s="2136">
        <f t="shared" si="6"/>
        <v>3.4795344152096412E-3</v>
      </c>
      <c r="T140" s="2136">
        <f t="shared" si="6"/>
        <v>5.7225572411932959E-3</v>
      </c>
      <c r="U140" s="2136">
        <f t="shared" si="6"/>
        <v>5.3784855374132395E-3</v>
      </c>
      <c r="V140" s="2136">
        <f t="shared" si="6"/>
        <v>2.1065503310232353E-3</v>
      </c>
      <c r="W140" s="2136">
        <f t="shared" si="6"/>
        <v>4.4029899104311232E-3</v>
      </c>
      <c r="X140" s="2136">
        <f t="shared" si="6"/>
        <v>1.6257910088222959E-3</v>
      </c>
      <c r="Y140" s="2136">
        <f t="shared" si="6"/>
        <v>1.6598812995621129E-3</v>
      </c>
      <c r="Z140" s="2136">
        <f t="shared" si="6"/>
        <v>2.202369046825324E-3</v>
      </c>
      <c r="AA140" s="2136">
        <f t="shared" si="6"/>
        <v>6.3068827627431471E-3</v>
      </c>
      <c r="AB140" s="2136">
        <f t="shared" si="6"/>
        <v>3.9747369385790829E-3</v>
      </c>
      <c r="AC140" s="2136">
        <f t="shared" si="6"/>
        <v>2.8581668781198365E-3</v>
      </c>
      <c r="AD140" s="2136">
        <f t="shared" si="6"/>
        <v>4.4029899104311224E-3</v>
      </c>
      <c r="AE140" s="2136">
        <f t="shared" si="6"/>
        <v>3.9747369385790829E-3</v>
      </c>
      <c r="AF140" s="2136">
        <f ca="1">Steel!H108</f>
        <v>1.7439352936944954</v>
      </c>
      <c r="AG140" s="2136">
        <f ca="1">Steel!H108</f>
        <v>1.7439352936944954</v>
      </c>
      <c r="AH140" s="2136">
        <f ca="1">Steel!H108</f>
        <v>1.7439352936944954</v>
      </c>
      <c r="AI140" s="2136">
        <f ca="1">Steel!$D$140*Steel!C142+Steel!D142</f>
        <v>5.6604679146401029</v>
      </c>
      <c r="AJ140" s="2136">
        <f ca="1">Steel!$D$208*Steel!C210+Steel!D210</f>
        <v>5.6604679146401029</v>
      </c>
      <c r="AK140" s="2136">
        <f ca="1">'C.Iron'!C62+'C.Iron'!E62</f>
        <v>23.401223790887212</v>
      </c>
      <c r="AL140" s="2136">
        <f>'C.Iron'!D62+'C.Iron'!E62</f>
        <v>39.512999186536362</v>
      </c>
      <c r="AM140" s="2136">
        <f ca="1">W.Al!$I$122*W.Al!I126</f>
        <v>1.7439352936944958</v>
      </c>
      <c r="AN140" s="2136">
        <f ca="1">W.Al!$I$123*W.Al!I126</f>
        <v>1.7439352936944958</v>
      </c>
      <c r="AO140" s="2136">
        <f ca="1">W.Al!$J$124*W.Al!J126</f>
        <v>7.1977703716665005</v>
      </c>
      <c r="AP140" s="2136">
        <f ca="1">W.Al!$F$160*W.Al!F164</f>
        <v>1.7439352936944958</v>
      </c>
      <c r="AQ140" s="2136">
        <f ca="1">W.Al!$F$161*W.Al!F164</f>
        <v>1.7439352936944958</v>
      </c>
      <c r="AR140" s="2136">
        <f ca="1">W.Al!$G$162*W.Al!G164</f>
        <v>7.1977703716665005</v>
      </c>
      <c r="AS140" s="2136">
        <f ca="1">'C.Al'!$G$113*'C.Al'!G115+'C.Al'!$H$113*'C.Al'!H115</f>
        <v>10.347583062285866</v>
      </c>
      <c r="AT140" s="2136">
        <f ca="1">'C.Al'!$D$149*'C.Al'!D151+'C.Al'!$E$149*'C.Al'!E151</f>
        <v>10.347583062285866</v>
      </c>
      <c r="AU140" s="2136">
        <f>Copper!D63</f>
        <v>4.2686231497113409</v>
      </c>
      <c r="AV140" s="2136">
        <f>Glass!B71</f>
        <v>2.0058852344278471</v>
      </c>
      <c r="AW140" s="2136">
        <f>Vehi_Plastics!B$19*Vehi_Plastics!X105</f>
        <v>6.9590688304192829</v>
      </c>
      <c r="AX140" s="2136">
        <f>Vehi_Plastics!C$19*Vehi_Plastics!AA105</f>
        <v>11.445114482386591</v>
      </c>
      <c r="AY140" s="2136">
        <f>Vehi_Plastics!D$19*Vehi_Plastics!AB105</f>
        <v>10.756971074826479</v>
      </c>
      <c r="AZ140" s="2136">
        <f>Vehi_Plastics!E$19*Vehi_Plastics!AC105</f>
        <v>4.2131006620464708</v>
      </c>
      <c r="BA140" s="2136">
        <f>Vehi_Plastics!F$19*Vehi_Plastics!AD105</f>
        <v>8.8059798208622464</v>
      </c>
      <c r="BB140" s="2136">
        <f>Vehi_Plastics!G$19*Vehi_Plastics!AE105</f>
        <v>3.251582017644592</v>
      </c>
      <c r="BC140" s="2136">
        <f>Vehi_Plastics!H$19*Vehi_Plastics!AF105</f>
        <v>3.3197625991242261</v>
      </c>
      <c r="BD140" s="2136">
        <f>Vehi_Plastics!I$19*Vehi_Plastics!AG105</f>
        <v>4.4047380936506482</v>
      </c>
      <c r="BE140" s="2136">
        <f>Vehi_Plastics!J$19*Vehi_Plastics!AH105</f>
        <v>12.613765525486293</v>
      </c>
      <c r="BF140" s="2136">
        <f>Vehi_Plastics!K$19*Vehi_Plastics!AI105</f>
        <v>7.949473877158165</v>
      </c>
      <c r="BG140" s="2136">
        <f>Vehi_Plastics!L$19*Vehi_Plastics!AJ105</f>
        <v>5.7163337562396732</v>
      </c>
      <c r="BH140" s="2136">
        <f>Rubber!$A$6*Rubber!C65</f>
        <v>8.8059798208622446</v>
      </c>
      <c r="BI140" s="2185">
        <f>Rubber!$B$6*Rubber!D65</f>
        <v>7.949473877158165</v>
      </c>
    </row>
    <row r="141" spans="1:61" s="2136" customFormat="1">
      <c r="A141" s="2229" t="s">
        <v>817</v>
      </c>
      <c r="B141" s="2136">
        <f t="shared" ca="1" si="5"/>
        <v>6.9061090768412028E-4</v>
      </c>
      <c r="C141" s="2136">
        <f t="shared" ca="1" si="5"/>
        <v>6.9061090768412028E-4</v>
      </c>
      <c r="D141" s="2136">
        <f t="shared" ca="1" si="5"/>
        <v>6.9061090768412028E-4</v>
      </c>
      <c r="E141" s="2136">
        <f t="shared" ca="1" si="5"/>
        <v>2.4884500035914454E-3</v>
      </c>
      <c r="F141" s="2136">
        <f t="shared" ca="1" si="5"/>
        <v>2.4884500035914454E-3</v>
      </c>
      <c r="G141" s="2136">
        <f t="shared" ca="1" si="5"/>
        <v>1.1554469015862894E-2</v>
      </c>
      <c r="H141" s="2136">
        <f t="shared" si="5"/>
        <v>1.9380930151683046E-2</v>
      </c>
      <c r="I141" s="2136">
        <f t="shared" ca="1" si="5"/>
        <v>6.9061090768412039E-4</v>
      </c>
      <c r="J141" s="2136">
        <f t="shared" ca="1" si="5"/>
        <v>6.9061090768412039E-4</v>
      </c>
      <c r="K141" s="2136">
        <f t="shared" ca="1" si="5"/>
        <v>3.4627871491752808E-3</v>
      </c>
      <c r="L141" s="2136">
        <f t="shared" ca="1" si="5"/>
        <v>6.9061090768412039E-4</v>
      </c>
      <c r="M141" s="2136">
        <f t="shared" ca="1" si="5"/>
        <v>6.9061090768412039E-4</v>
      </c>
      <c r="N141" s="2136">
        <f t="shared" ca="1" si="5"/>
        <v>3.4627871491752808E-3</v>
      </c>
      <c r="O141" s="2136">
        <f t="shared" ca="1" si="5"/>
        <v>5.0567760816290159E-3</v>
      </c>
      <c r="P141" s="2136">
        <f t="shared" ca="1" si="5"/>
        <v>5.0567760816290159E-3</v>
      </c>
      <c r="Q141" s="2136">
        <f t="shared" si="5"/>
        <v>1.7883668205693718E-3</v>
      </c>
      <c r="R141" s="2136">
        <f t="shared" si="6"/>
        <v>9.2041143988632105E-4</v>
      </c>
      <c r="S141" s="2136">
        <f t="shared" si="6"/>
        <v>2.755841262568112E-3</v>
      </c>
      <c r="T141" s="2136">
        <f t="shared" si="6"/>
        <v>5.3893732234284149E-3</v>
      </c>
      <c r="U141" s="2136">
        <f t="shared" si="6"/>
        <v>4.2629664591391017E-3</v>
      </c>
      <c r="V141" s="2136">
        <f t="shared" si="6"/>
        <v>1.6684181362122202E-3</v>
      </c>
      <c r="W141" s="2136">
        <f t="shared" si="6"/>
        <v>3.9726878017364593E-3</v>
      </c>
      <c r="X141" s="2136">
        <f t="shared" si="6"/>
        <v>1.2876498438526801E-3</v>
      </c>
      <c r="Y141" s="2136">
        <f t="shared" si="6"/>
        <v>1.314649844043243E-3</v>
      </c>
      <c r="Z141" s="2136">
        <f t="shared" si="6"/>
        <v>1.7443079361749473E-3</v>
      </c>
      <c r="AA141" s="2136">
        <f t="shared" si="6"/>
        <v>4.9951417867208957E-3</v>
      </c>
      <c r="AB141" s="2136">
        <f t="shared" si="6"/>
        <v>3.1480487778218825E-3</v>
      </c>
      <c r="AC141" s="2136">
        <f t="shared" si="6"/>
        <v>2.2637092432820673E-3</v>
      </c>
      <c r="AD141" s="2136">
        <f t="shared" si="6"/>
        <v>3.9726878017364584E-3</v>
      </c>
      <c r="AE141" s="2136">
        <f t="shared" si="6"/>
        <v>3.1480487778218825E-3</v>
      </c>
      <c r="AF141" s="2136">
        <f ca="1">Steel!H109</f>
        <v>1.3812218153682405</v>
      </c>
      <c r="AG141" s="2136">
        <f ca="1">Steel!H109</f>
        <v>1.3812218153682405</v>
      </c>
      <c r="AH141" s="2136">
        <f ca="1">Steel!H109</f>
        <v>1.3812218153682405</v>
      </c>
      <c r="AI141" s="2136">
        <f ca="1">Steel!$D$140*Steel!C143+Steel!D143</f>
        <v>4.9769000071828904</v>
      </c>
      <c r="AJ141" s="2136">
        <f ca="1">Steel!$D$208*Steel!C211+Steel!D211</f>
        <v>4.9769000071828904</v>
      </c>
      <c r="AK141" s="2136">
        <f ca="1">'C.Iron'!C63+'C.Iron'!E63</f>
        <v>23.108938031725788</v>
      </c>
      <c r="AL141" s="2136">
        <f>'C.Iron'!D63+'C.Iron'!E63</f>
        <v>38.761860303366092</v>
      </c>
      <c r="AM141" s="2136">
        <f ca="1">W.Al!$I$122*W.Al!I127</f>
        <v>1.3812218153682407</v>
      </c>
      <c r="AN141" s="2136">
        <f ca="1">W.Al!$I$123*W.Al!I127</f>
        <v>1.3812218153682407</v>
      </c>
      <c r="AO141" s="2136">
        <f ca="1">W.Al!$J$124*W.Al!J127</f>
        <v>6.9255742983505613</v>
      </c>
      <c r="AP141" s="2136">
        <f ca="1">W.Al!$F$160*W.Al!F165</f>
        <v>1.3812218153682407</v>
      </c>
      <c r="AQ141" s="2136">
        <f ca="1">W.Al!$F$161*W.Al!F165</f>
        <v>1.3812218153682407</v>
      </c>
      <c r="AR141" s="2136">
        <f ca="1">W.Al!$G$162*W.Al!G165</f>
        <v>6.9255742983505613</v>
      </c>
      <c r="AS141" s="2136">
        <f ca="1">'C.Al'!$G$113*'C.Al'!G116+'C.Al'!$H$113*'C.Al'!H116</f>
        <v>10.113552163258031</v>
      </c>
      <c r="AT141" s="2136">
        <f ca="1">'C.Al'!$D$149*'C.Al'!D152+'C.Al'!$E$149*'C.Al'!E152</f>
        <v>10.113552163258031</v>
      </c>
      <c r="AU141" s="2136">
        <f>Copper!D64</f>
        <v>3.5767336411387434</v>
      </c>
      <c r="AV141" s="2136">
        <f>Glass!B72</f>
        <v>1.840822879772642</v>
      </c>
      <c r="AW141" s="2136">
        <f>Vehi_Plastics!B$19*Vehi_Plastics!X106</f>
        <v>5.5116825251362238</v>
      </c>
      <c r="AX141" s="2136">
        <f>Vehi_Plastics!C$19*Vehi_Plastics!AA106</f>
        <v>10.778746446856831</v>
      </c>
      <c r="AY141" s="2136">
        <f>Vehi_Plastics!D$19*Vehi_Plastics!AB106</f>
        <v>8.5259329182782029</v>
      </c>
      <c r="AZ141" s="2136">
        <f>Vehi_Plastics!E$19*Vehi_Plastics!AC106</f>
        <v>3.3368362724244403</v>
      </c>
      <c r="BA141" s="2136">
        <f>Vehi_Plastics!F$19*Vehi_Plastics!AD106</f>
        <v>7.9453756034729182</v>
      </c>
      <c r="BB141" s="2136">
        <f>Vehi_Plastics!G$19*Vehi_Plastics!AE106</f>
        <v>2.57529968770536</v>
      </c>
      <c r="BC141" s="2136">
        <f>Vehi_Plastics!H$19*Vehi_Plastics!AF106</f>
        <v>2.6292996880864861</v>
      </c>
      <c r="BD141" s="2136">
        <f>Vehi_Plastics!I$19*Vehi_Plastics!AG106</f>
        <v>3.4886158723498948</v>
      </c>
      <c r="BE141" s="2136">
        <f>Vehi_Plastics!J$19*Vehi_Plastics!AH106</f>
        <v>9.9902835734417916</v>
      </c>
      <c r="BF141" s="2136">
        <f>Vehi_Plastics!K$19*Vehi_Plastics!AI106</f>
        <v>6.2960975556437653</v>
      </c>
      <c r="BG141" s="2136">
        <f>Vehi_Plastics!L$19*Vehi_Plastics!AJ106</f>
        <v>4.5274184865641347</v>
      </c>
      <c r="BH141" s="2136">
        <f>Rubber!$A$6*Rubber!C66</f>
        <v>7.9453756034729164</v>
      </c>
      <c r="BI141" s="2185">
        <f>Rubber!$B$6*Rubber!D66</f>
        <v>6.2960975556437653</v>
      </c>
    </row>
    <row r="142" spans="1:61" s="2136" customFormat="1">
      <c r="A142" s="2229" t="s">
        <v>805</v>
      </c>
      <c r="B142" s="2136">
        <f t="shared" ca="1" si="5"/>
        <v>2.3973974017615113E-4</v>
      </c>
      <c r="C142" s="2136">
        <f t="shared" ca="1" si="5"/>
        <v>2.3973974017615113E-4</v>
      </c>
      <c r="D142" s="2136">
        <f t="shared" ca="1" si="5"/>
        <v>2.3973974017615113E-4</v>
      </c>
      <c r="E142" s="2136">
        <f t="shared" ca="1" si="5"/>
        <v>4.5181102575277864E-4</v>
      </c>
      <c r="F142" s="2136">
        <f t="shared" ca="1" si="5"/>
        <v>4.5181102575277864E-4</v>
      </c>
      <c r="G142" s="2136">
        <f t="shared" ca="1" si="5"/>
        <v>1.0842560131033555E-2</v>
      </c>
      <c r="H142" s="2136">
        <f t="shared" si="5"/>
        <v>4.9645557471675501E-4</v>
      </c>
      <c r="I142" s="2136">
        <f t="shared" ca="1" si="5"/>
        <v>2.3973974017615121E-4</v>
      </c>
      <c r="J142" s="2136">
        <f t="shared" ca="1" si="5"/>
        <v>2.3973974017615121E-4</v>
      </c>
      <c r="K142" s="2136">
        <f t="shared" ca="1" si="5"/>
        <v>1.8740749217524135E-4</v>
      </c>
      <c r="L142" s="2136">
        <f t="shared" ca="1" si="5"/>
        <v>2.3973974017615121E-4</v>
      </c>
      <c r="M142" s="2136">
        <f t="shared" ca="1" si="5"/>
        <v>2.3973974017615121E-4</v>
      </c>
      <c r="N142" s="2136">
        <f t="shared" ca="1" si="5"/>
        <v>1.8740749217524135E-4</v>
      </c>
      <c r="O142" s="2136">
        <f t="shared" ca="1" si="5"/>
        <v>1.5468072187801307E-4</v>
      </c>
      <c r="P142" s="2136">
        <f t="shared" ca="1" si="5"/>
        <v>1.5468072187801307E-4</v>
      </c>
      <c r="Q142" s="2136">
        <f t="shared" si="5"/>
        <v>4.633970313442268E-4</v>
      </c>
      <c r="R142" s="2136">
        <f t="shared" si="6"/>
        <v>5.9986759883426247E-4</v>
      </c>
      <c r="S142" s="2136">
        <f t="shared" si="6"/>
        <v>9.5666700439227237E-4</v>
      </c>
      <c r="T142" s="2136">
        <f t="shared" si="6"/>
        <v>4.3985528301046804E-4</v>
      </c>
      <c r="U142" s="2136">
        <f t="shared" si="6"/>
        <v>1.4746292965198359E-3</v>
      </c>
      <c r="V142" s="2136">
        <f t="shared" si="6"/>
        <v>5.7917725600657092E-4</v>
      </c>
      <c r="W142" s="2136">
        <f t="shared" si="6"/>
        <v>5.688240746813735E-4</v>
      </c>
      <c r="X142" s="2136">
        <f t="shared" si="6"/>
        <v>4.469967612273803E-4</v>
      </c>
      <c r="Y142" s="2136">
        <f t="shared" si="6"/>
        <v>4.5636958311365484E-4</v>
      </c>
      <c r="Z142" s="2136">
        <f t="shared" si="6"/>
        <v>6.0552175871084321E-4</v>
      </c>
      <c r="AA142" s="2136">
        <f t="shared" si="6"/>
        <v>1.7340212567845011E-3</v>
      </c>
      <c r="AB142" s="2136">
        <f t="shared" si="6"/>
        <v>1.0928185287251032E-3</v>
      </c>
      <c r="AC142" s="2136">
        <f t="shared" si="6"/>
        <v>7.8582753295727218E-4</v>
      </c>
      <c r="AD142" s="2136">
        <f t="shared" si="6"/>
        <v>5.6882407468137339E-4</v>
      </c>
      <c r="AE142" s="2136">
        <f t="shared" si="6"/>
        <v>1.0928185287251032E-3</v>
      </c>
      <c r="AF142" s="2136">
        <f ca="1">Steel!H110</f>
        <v>0.47947948035230226</v>
      </c>
      <c r="AG142" s="2136">
        <f ca="1">Steel!H110</f>
        <v>0.47947948035230226</v>
      </c>
      <c r="AH142" s="2136">
        <f ca="1">Steel!H110</f>
        <v>0.47947948035230226</v>
      </c>
      <c r="AI142" s="2136">
        <f ca="1">Steel!$D$140*Steel!C144+Steel!D144</f>
        <v>0.9036220515055573</v>
      </c>
      <c r="AJ142" s="2136">
        <f ca="1">Steel!$D$208*Steel!C212+Steel!D212</f>
        <v>0.9036220515055573</v>
      </c>
      <c r="AK142" s="2136">
        <f ca="1">'C.Iron'!C64+'C.Iron'!E64</f>
        <v>21.685120262067109</v>
      </c>
      <c r="AL142" s="2136">
        <f>'C.Iron'!D64+'C.Iron'!E64</f>
        <v>0.99291114943351011</v>
      </c>
      <c r="AM142" s="2136">
        <f ca="1">W.Al!$I$122*W.Al!I128</f>
        <v>0.47947948035230242</v>
      </c>
      <c r="AN142" s="2136">
        <f ca="1">W.Al!$I$123*W.Al!I128</f>
        <v>0.47947948035230242</v>
      </c>
      <c r="AO142" s="2136">
        <f ca="1">W.Al!$J$124*W.Al!J128</f>
        <v>0.37481498435048272</v>
      </c>
      <c r="AP142" s="2136">
        <f ca="1">W.Al!$F$160*W.Al!F166</f>
        <v>0.47947948035230242</v>
      </c>
      <c r="AQ142" s="2136">
        <f ca="1">W.Al!$F$161*W.Al!F166</f>
        <v>0.47947948035230242</v>
      </c>
      <c r="AR142" s="2136">
        <f ca="1">W.Al!$G$162*W.Al!G166</f>
        <v>0.37481498435048272</v>
      </c>
      <c r="AS142" s="2136">
        <f ca="1">'C.Al'!$G$113*'C.Al'!G117+'C.Al'!$H$113*'C.Al'!H117</f>
        <v>0.30936144375602614</v>
      </c>
      <c r="AT142" s="2136">
        <f ca="1">'C.Al'!$D$149*'C.Al'!D153+'C.Al'!$E$149*'C.Al'!E153</f>
        <v>0.30936144375602614</v>
      </c>
      <c r="AU142" s="2136">
        <f>Copper!D65</f>
        <v>0.92679406268845355</v>
      </c>
      <c r="AV142" s="2136">
        <f>Glass!B73</f>
        <v>1.1997351976685249</v>
      </c>
      <c r="AW142" s="2136">
        <f>Vehi_Plastics!B$19*Vehi_Plastics!X107</f>
        <v>1.9133340087845447</v>
      </c>
      <c r="AX142" s="2136">
        <f>Vehi_Plastics!C$19*Vehi_Plastics!AA107</f>
        <v>0.87971056602093611</v>
      </c>
      <c r="AY142" s="2136">
        <f>Vehi_Plastics!D$19*Vehi_Plastics!AB107</f>
        <v>2.949258593039672</v>
      </c>
      <c r="AZ142" s="2136">
        <f>Vehi_Plastics!E$19*Vehi_Plastics!AC107</f>
        <v>1.1583545120131418</v>
      </c>
      <c r="BA142" s="2136">
        <f>Vehi_Plastics!F$19*Vehi_Plastics!AD107</f>
        <v>1.1376481493627471</v>
      </c>
      <c r="BB142" s="2136">
        <f>Vehi_Plastics!G$19*Vehi_Plastics!AE107</f>
        <v>0.8939935224547606</v>
      </c>
      <c r="BC142" s="2136">
        <f>Vehi_Plastics!H$19*Vehi_Plastics!AF107</f>
        <v>0.91273916622730966</v>
      </c>
      <c r="BD142" s="2136">
        <f>Vehi_Plastics!I$19*Vehi_Plastics!AG107</f>
        <v>1.2110435174216865</v>
      </c>
      <c r="BE142" s="2136">
        <f>Vehi_Plastics!J$19*Vehi_Plastics!AH107</f>
        <v>3.4680425135690021</v>
      </c>
      <c r="BF142" s="2136">
        <f>Vehi_Plastics!K$19*Vehi_Plastics!AI107</f>
        <v>2.1856370574502062</v>
      </c>
      <c r="BG142" s="2136">
        <f>Vehi_Plastics!L$19*Vehi_Plastics!AJ107</f>
        <v>1.5716550659145443</v>
      </c>
      <c r="BH142" s="2136">
        <f>Rubber!$A$6*Rubber!C67</f>
        <v>1.1376481493627468</v>
      </c>
      <c r="BI142" s="2185">
        <f>Rubber!$B$6*Rubber!D67</f>
        <v>2.1856370574502062</v>
      </c>
    </row>
    <row r="143" spans="1:61" s="2136" customFormat="1">
      <c r="A143" s="2229" t="s">
        <v>804</v>
      </c>
      <c r="B143" s="2136">
        <f t="shared" ref="B143:AE143" ca="1" si="7">B141-B142-B144</f>
        <v>4.4337099357666452E-4</v>
      </c>
      <c r="C143" s="2136">
        <f t="shared" ca="1" si="7"/>
        <v>4.4337099357666452E-4</v>
      </c>
      <c r="D143" s="2136">
        <f t="shared" ca="1" si="7"/>
        <v>4.4337099357666452E-4</v>
      </c>
      <c r="E143" s="2136">
        <f t="shared" ca="1" si="7"/>
        <v>2.018208625360042E-3</v>
      </c>
      <c r="F143" s="2136">
        <f t="shared" ca="1" si="7"/>
        <v>2.018208625360042E-3</v>
      </c>
      <c r="G143" s="2136">
        <f t="shared" ca="1" si="7"/>
        <v>5.6464859267675864E-4</v>
      </c>
      <c r="H143" s="2136">
        <f t="shared" si="7"/>
        <v>1.8803977717418992E-2</v>
      </c>
      <c r="I143" s="2136">
        <f t="shared" ca="1" si="7"/>
        <v>4.4337099357666458E-4</v>
      </c>
      <c r="J143" s="2136">
        <f t="shared" ca="1" si="7"/>
        <v>4.4337099357666458E-4</v>
      </c>
      <c r="K143" s="2136">
        <f t="shared" ca="1" si="7"/>
        <v>3.2577212060282829E-3</v>
      </c>
      <c r="L143" s="2136">
        <f t="shared" ca="1" si="7"/>
        <v>4.4337099357666458E-4</v>
      </c>
      <c r="M143" s="2136">
        <f t="shared" ca="1" si="7"/>
        <v>4.4337099357666458E-4</v>
      </c>
      <c r="N143" s="2136">
        <f t="shared" ca="1" si="7"/>
        <v>3.2577212060282829E-3</v>
      </c>
      <c r="O143" s="2136">
        <f t="shared" ca="1" si="7"/>
        <v>4.8805679497742772E-3</v>
      </c>
      <c r="P143" s="2136">
        <f t="shared" ca="1" si="7"/>
        <v>4.8805679497742772E-3</v>
      </c>
      <c r="Q143" s="2136">
        <f t="shared" si="7"/>
        <v>8.7394363769148367E-4</v>
      </c>
      <c r="R143" s="2136">
        <f t="shared" si="7"/>
        <v>2.1094378198197508E-4</v>
      </c>
      <c r="S143" s="2136">
        <f t="shared" si="7"/>
        <v>1.7692452655023257E-3</v>
      </c>
      <c r="T143" s="2136">
        <f t="shared" si="7"/>
        <v>2.8700052456866344E-3</v>
      </c>
      <c r="U143" s="2136">
        <f t="shared" si="7"/>
        <v>2.7365271812680014E-3</v>
      </c>
      <c r="V143" s="2136">
        <f t="shared" si="7"/>
        <v>1.0711215222973056E-3</v>
      </c>
      <c r="W143" s="2136">
        <f t="shared" si="7"/>
        <v>3.3776209904066378E-3</v>
      </c>
      <c r="X143" s="2136">
        <f t="shared" si="7"/>
        <v>8.2666894527088437E-4</v>
      </c>
      <c r="Y143" s="2136">
        <f t="shared" si="7"/>
        <v>8.4400289812025834E-4</v>
      </c>
      <c r="Z143" s="2136">
        <f t="shared" si="7"/>
        <v>1.1198426410016725E-3</v>
      </c>
      <c r="AA143" s="2136">
        <f t="shared" si="7"/>
        <v>3.2068722813276855E-3</v>
      </c>
      <c r="AB143" s="2136">
        <f t="shared" si="7"/>
        <v>2.0210418035984724E-3</v>
      </c>
      <c r="AC143" s="2136">
        <f t="shared" si="7"/>
        <v>1.453297370770339E-3</v>
      </c>
      <c r="AD143" s="2136">
        <f t="shared" si="7"/>
        <v>3.3776209904066369E-3</v>
      </c>
      <c r="AE143" s="2136">
        <f t="shared" si="7"/>
        <v>2.0210418035984724E-3</v>
      </c>
      <c r="AF143" s="2136">
        <f ca="1">Steel!H111</f>
        <v>0.88674198715332908</v>
      </c>
      <c r="AG143" s="2136">
        <f ca="1">Steel!H111</f>
        <v>0.88674198715332908</v>
      </c>
      <c r="AH143" s="2136">
        <f ca="1">Steel!H111</f>
        <v>0.88674198715332908</v>
      </c>
      <c r="AI143" s="2136">
        <f ca="1">Steel!$D$140*Steel!C145+Steel!D145</f>
        <v>4.0364172507200839</v>
      </c>
      <c r="AJ143" s="2136">
        <f ca="1">Steel!$D$208*Steel!C213+Steel!D213</f>
        <v>4.0364172507200839</v>
      </c>
      <c r="AK143" s="2136">
        <f ca="1">'C.Iron'!C65+'C.Iron'!E65</f>
        <v>1.1292971853535188</v>
      </c>
      <c r="AL143" s="2136">
        <f>'C.Iron'!D65+'C.Iron'!E65</f>
        <v>37.607955434837983</v>
      </c>
      <c r="AM143" s="2136">
        <f ca="1">W.Al!$I$122*W.Al!I129</f>
        <v>0.88674198715332919</v>
      </c>
      <c r="AN143" s="2136">
        <f ca="1">W.Al!$I$123*W.Al!I129</f>
        <v>0.88674198715332919</v>
      </c>
      <c r="AO143" s="2136">
        <f ca="1">W.Al!$J$124*W.Al!J129</f>
        <v>6.5154424120565659</v>
      </c>
      <c r="AP143" s="2136">
        <f ca="1">W.Al!$F$160*W.Al!F167</f>
        <v>0.88674198715332919</v>
      </c>
      <c r="AQ143" s="2136">
        <f ca="1">W.Al!$F$161*W.Al!F167</f>
        <v>0.88674198715332919</v>
      </c>
      <c r="AR143" s="2136">
        <f ca="1">W.Al!$G$162*W.Al!G167</f>
        <v>6.5154424120565659</v>
      </c>
      <c r="AS143" s="2136">
        <f ca="1">'C.Al'!$G$113*'C.Al'!G118+'C.Al'!$H$113*'C.Al'!H118</f>
        <v>9.7611358995485542</v>
      </c>
      <c r="AT143" s="2136">
        <f ca="1">'C.Al'!$D$149*'C.Al'!D154+'C.Al'!$E$149*'C.Al'!E154</f>
        <v>9.7611358995485542</v>
      </c>
      <c r="AU143" s="2136">
        <f>Copper!D66</f>
        <v>1.7478872753829671</v>
      </c>
      <c r="AV143" s="2136">
        <f>Glass!B74</f>
        <v>0.42188756396395016</v>
      </c>
      <c r="AW143" s="2136">
        <f>Vehi_Plastics!B$19*Vehi_Plastics!X108</f>
        <v>3.5384905310046504</v>
      </c>
      <c r="AX143" s="2136">
        <f>Vehi_Plastics!C$19*Vehi_Plastics!AA108</f>
        <v>5.7400104913732681</v>
      </c>
      <c r="AY143" s="2136">
        <f>Vehi_Plastics!D$19*Vehi_Plastics!AB108</f>
        <v>5.4730543625360015</v>
      </c>
      <c r="AZ143" s="2136">
        <f>Vehi_Plastics!E$19*Vehi_Plastics!AC108</f>
        <v>2.1422430445946108</v>
      </c>
      <c r="BA143" s="2136">
        <f>Vehi_Plastics!F$19*Vehi_Plastics!AD108</f>
        <v>6.7552419808132749</v>
      </c>
      <c r="BB143" s="2136">
        <f>Vehi_Plastics!G$19*Vehi_Plastics!AE108</f>
        <v>1.6533378905417682</v>
      </c>
      <c r="BC143" s="2136">
        <f>Vehi_Plastics!H$19*Vehi_Plastics!AF108</f>
        <v>1.6880057962405166</v>
      </c>
      <c r="BD143" s="2136">
        <f>Vehi_Plastics!I$19*Vehi_Plastics!AG108</f>
        <v>2.2396852820033448</v>
      </c>
      <c r="BE143" s="2136">
        <f>Vehi_Plastics!J$19*Vehi_Plastics!AH108</f>
        <v>6.4137445626553724</v>
      </c>
      <c r="BF143" s="2136">
        <f>Vehi_Plastics!K$19*Vehi_Plastics!AI108</f>
        <v>4.042083607196945</v>
      </c>
      <c r="BG143" s="2136">
        <f>Vehi_Plastics!L$19*Vehi_Plastics!AJ108</f>
        <v>2.9065947415406788</v>
      </c>
      <c r="BH143" s="2136">
        <f>Rubber!$A$6*Rubber!C68</f>
        <v>6.7552419808132731</v>
      </c>
      <c r="BI143" s="2185">
        <f>Rubber!$B$6*Rubber!D68</f>
        <v>4.042083607196945</v>
      </c>
    </row>
    <row r="144" spans="1:61" s="2136" customFormat="1">
      <c r="A144" s="2230" t="s">
        <v>818</v>
      </c>
      <c r="B144" s="2242">
        <f t="shared" ref="B144:Q145" ca="1" si="8">AF144/2000</f>
        <v>7.5001739313045865E-6</v>
      </c>
      <c r="C144" s="2242">
        <f t="shared" ca="1" si="8"/>
        <v>7.5001739313045865E-6</v>
      </c>
      <c r="D144" s="2242">
        <f t="shared" ca="1" si="8"/>
        <v>7.5001739313045865E-6</v>
      </c>
      <c r="E144" s="2242">
        <f t="shared" ca="1" si="8"/>
        <v>1.8430352478624533E-5</v>
      </c>
      <c r="F144" s="2242">
        <f t="shared" ca="1" si="8"/>
        <v>1.8430352478624533E-5</v>
      </c>
      <c r="G144" s="2242">
        <f t="shared" ca="1" si="8"/>
        <v>1.4726029215258036E-4</v>
      </c>
      <c r="H144" s="2242">
        <f t="shared" si="8"/>
        <v>8.0496859547297416E-5</v>
      </c>
      <c r="I144" s="2242">
        <f t="shared" ca="1" si="8"/>
        <v>7.5001739313045882E-6</v>
      </c>
      <c r="J144" s="2242">
        <f t="shared" ca="1" si="8"/>
        <v>7.5001739313045882E-6</v>
      </c>
      <c r="K144" s="2242">
        <f t="shared" ca="1" si="8"/>
        <v>1.765845097175652E-5</v>
      </c>
      <c r="L144" s="2242">
        <f t="shared" ca="1" si="8"/>
        <v>7.5001739313045882E-6</v>
      </c>
      <c r="M144" s="2242">
        <f t="shared" ca="1" si="8"/>
        <v>7.5001739313045882E-6</v>
      </c>
      <c r="N144" s="2242">
        <f t="shared" ca="1" si="8"/>
        <v>1.765845097175652E-5</v>
      </c>
      <c r="O144" s="2242">
        <f t="shared" ca="1" si="8"/>
        <v>2.1527409976725463E-5</v>
      </c>
      <c r="P144" s="2242">
        <f t="shared" ca="1" si="8"/>
        <v>2.1527409976725463E-5</v>
      </c>
      <c r="Q144" s="2242">
        <f t="shared" si="8"/>
        <v>4.5102615153366131E-4</v>
      </c>
      <c r="R144" s="2242">
        <f t="shared" ref="R144:AE145" si="9">AV144/2000</f>
        <v>1.0960005907008349E-4</v>
      </c>
      <c r="S144" s="2242">
        <f t="shared" si="9"/>
        <v>2.9928992673513975E-5</v>
      </c>
      <c r="T144" s="2242">
        <f t="shared" si="9"/>
        <v>2.0795126947313128E-3</v>
      </c>
      <c r="U144" s="2242">
        <f t="shared" si="9"/>
        <v>5.1809981351264606E-5</v>
      </c>
      <c r="V144" s="2242">
        <f t="shared" si="9"/>
        <v>1.8119357908343686E-5</v>
      </c>
      <c r="W144" s="2242">
        <f t="shared" si="9"/>
        <v>2.6242736648448225E-5</v>
      </c>
      <c r="X144" s="2242">
        <f t="shared" si="9"/>
        <v>1.3984137354415485E-5</v>
      </c>
      <c r="Y144" s="2242">
        <f t="shared" si="9"/>
        <v>1.4277362809329826E-5</v>
      </c>
      <c r="Z144" s="2242">
        <f t="shared" si="9"/>
        <v>1.8943536462431492E-5</v>
      </c>
      <c r="AA144" s="2242">
        <f t="shared" si="9"/>
        <v>5.4248248608708923E-5</v>
      </c>
      <c r="AB144" s="2242">
        <f t="shared" si="9"/>
        <v>3.4188445498307114E-5</v>
      </c>
      <c r="AC144" s="2242">
        <f t="shared" si="9"/>
        <v>2.4584339554455879E-5</v>
      </c>
      <c r="AD144" s="2242">
        <f t="shared" si="9"/>
        <v>2.6242736648448221E-5</v>
      </c>
      <c r="AE144" s="2242">
        <f t="shared" si="9"/>
        <v>3.4188445498307114E-5</v>
      </c>
      <c r="AF144" s="2242">
        <f ca="1">Steel!H112</f>
        <v>1.5000347862609172E-2</v>
      </c>
      <c r="AG144" s="2242">
        <f ca="1">Steel!H112</f>
        <v>1.5000347862609172E-2</v>
      </c>
      <c r="AH144" s="2242">
        <f ca="1">Steel!H112</f>
        <v>1.5000347862609172E-2</v>
      </c>
      <c r="AI144" s="2242">
        <f ca="1">Steel!$D$140*Steel!C146+Steel!D146</f>
        <v>3.6860704957249066E-2</v>
      </c>
      <c r="AJ144" s="2242">
        <f ca="1">Steel!$D$208*Steel!C214+Steel!D214</f>
        <v>3.6860704957249066E-2</v>
      </c>
      <c r="AK144" s="2242">
        <f ca="1">'C.Iron'!C66+'C.Iron'!E66</f>
        <v>0.2945205843051607</v>
      </c>
      <c r="AL144" s="2242">
        <f>'C.Iron'!D66+'C.Iron'!E66</f>
        <v>0.16099371909459484</v>
      </c>
      <c r="AM144" s="2242">
        <f ca="1">W.Al!$I$122*W.Al!I130</f>
        <v>1.5000347862609176E-2</v>
      </c>
      <c r="AN144" s="2242">
        <f ca="1">W.Al!$I$123*W.Al!I130</f>
        <v>1.5000347862609176E-2</v>
      </c>
      <c r="AO144" s="2242">
        <f ca="1">W.Al!$J$124*W.Al!J130</f>
        <v>3.5316901943513036E-2</v>
      </c>
      <c r="AP144" s="2242">
        <f ca="1">W.Al!$F$160*W.Al!F168</f>
        <v>1.5000347862609176E-2</v>
      </c>
      <c r="AQ144" s="2242">
        <f ca="1">W.Al!$F$161*W.Al!F168</f>
        <v>1.5000347862609176E-2</v>
      </c>
      <c r="AR144" s="2242">
        <f ca="1">W.Al!$G$162*W.Al!G168</f>
        <v>3.5316901943513036E-2</v>
      </c>
      <c r="AS144" s="2242">
        <f ca="1">'C.Al'!$G$113*'C.Al'!G119+'C.Al'!$H$113*'C.Al'!H119</f>
        <v>4.3054819953450923E-2</v>
      </c>
      <c r="AT144" s="2242">
        <f ca="1">'C.Al'!$D$149*'C.Al'!D155+'C.Al'!$E$149*'C.Al'!E155</f>
        <v>4.3054819953450923E-2</v>
      </c>
      <c r="AU144" s="2242">
        <f>Copper!D67</f>
        <v>0.90205230306732265</v>
      </c>
      <c r="AV144" s="2242">
        <f>Glass!B75</f>
        <v>0.21920011814016699</v>
      </c>
      <c r="AW144" s="2242">
        <f>Vehi_Plastics!B$19*Vehi_Plastics!X109</f>
        <v>5.985798534702795E-2</v>
      </c>
      <c r="AX144" s="2242">
        <f>Vehi_Plastics!C$19*Vehi_Plastics!AA109</f>
        <v>4.1590253894626255</v>
      </c>
      <c r="AY144" s="2242">
        <f>Vehi_Plastics!D$19*Vehi_Plastics!AB109</f>
        <v>0.10361996270252921</v>
      </c>
      <c r="AZ144" s="2242">
        <f>Vehi_Plastics!E$19*Vehi_Plastics!AC109</f>
        <v>3.6238715816687375E-2</v>
      </c>
      <c r="BA144" s="2242">
        <f>Vehi_Plastics!F$19*Vehi_Plastics!AD109</f>
        <v>5.248547329689645E-2</v>
      </c>
      <c r="BB144" s="2242">
        <f>Vehi_Plastics!G$19*Vehi_Plastics!AE109</f>
        <v>2.7968274708830971E-2</v>
      </c>
      <c r="BC144" s="2242">
        <f>Vehi_Plastics!H$19*Vehi_Plastics!AF109</f>
        <v>2.8554725618659651E-2</v>
      </c>
      <c r="BD144" s="2242">
        <f>Vehi_Plastics!I$19*Vehi_Plastics!AG109</f>
        <v>3.7887072924862986E-2</v>
      </c>
      <c r="BE144" s="2242">
        <f>Vehi_Plastics!J$19*Vehi_Plastics!AH109</f>
        <v>0.10849649721741784</v>
      </c>
      <c r="BF144" s="2242">
        <f>Vehi_Plastics!K$19*Vehi_Plastics!AI109</f>
        <v>6.8376890996614231E-2</v>
      </c>
      <c r="BG144" s="2242">
        <f>Vehi_Plastics!L$19*Vehi_Plastics!AJ109</f>
        <v>4.9168679108911761E-2</v>
      </c>
      <c r="BH144" s="2242">
        <f>Rubber!$A$6*Rubber!C69</f>
        <v>5.2485473296896443E-2</v>
      </c>
      <c r="BI144" s="2227">
        <f>Rubber!$B$6*Rubber!D69</f>
        <v>6.8376890996614231E-2</v>
      </c>
    </row>
    <row r="145" spans="1:61" s="2136" customFormat="1">
      <c r="A145" s="2249" t="s">
        <v>819</v>
      </c>
      <c r="B145" s="2242">
        <f t="shared" ca="1" si="8"/>
        <v>4.672955898428989E-2</v>
      </c>
      <c r="C145" s="2242">
        <f t="shared" ca="1" si="8"/>
        <v>4.672955898428989E-2</v>
      </c>
      <c r="D145" s="2242">
        <f t="shared" ca="1" si="8"/>
        <v>4.672955898428989E-2</v>
      </c>
      <c r="E145" s="2242">
        <f t="shared" ca="1" si="8"/>
        <v>9.1182390685096856E-2</v>
      </c>
      <c r="F145" s="2242">
        <f t="shared" ca="1" si="8"/>
        <v>9.1182390685096856E-2</v>
      </c>
      <c r="G145" s="2242">
        <f t="shared" ca="1" si="8"/>
        <v>7.0582086632344304E-2</v>
      </c>
      <c r="H145" s="2242">
        <f t="shared" si="8"/>
        <v>0.14389879968953673</v>
      </c>
      <c r="I145" s="2242">
        <f t="shared" ca="1" si="8"/>
        <v>4.6729558984289897E-2</v>
      </c>
      <c r="J145" s="2242">
        <f t="shared" ca="1" si="8"/>
        <v>4.6729558984289897E-2</v>
      </c>
      <c r="K145" s="2242">
        <f t="shared" ca="1" si="8"/>
        <v>9.9249333456050151E-2</v>
      </c>
      <c r="L145" s="2242">
        <f t="shared" ca="1" si="8"/>
        <v>4.6729558984289897E-2</v>
      </c>
      <c r="M145" s="2242">
        <f t="shared" ca="1" si="8"/>
        <v>4.6729558984289897E-2</v>
      </c>
      <c r="N145" s="2242">
        <f t="shared" ca="1" si="8"/>
        <v>9.9249333456050151E-2</v>
      </c>
      <c r="O145" s="2242">
        <f t="shared" ca="1" si="8"/>
        <v>4.2256951694563644E-2</v>
      </c>
      <c r="P145" s="2242">
        <f t="shared" ca="1" si="8"/>
        <v>4.2256951694563644E-2</v>
      </c>
      <c r="Q145" s="2242">
        <f t="shared" si="8"/>
        <v>9.7117846074770406E-2</v>
      </c>
      <c r="R145" s="2242">
        <f t="shared" si="9"/>
        <v>3.0388339157698521E-2</v>
      </c>
      <c r="S145" s="2242">
        <f t="shared" si="9"/>
        <v>0.18647149269964772</v>
      </c>
      <c r="T145" s="2242">
        <f t="shared" si="9"/>
        <v>0.12843713514932553</v>
      </c>
      <c r="U145" s="2242">
        <f t="shared" si="9"/>
        <v>0.28757051284470447</v>
      </c>
      <c r="V145" s="2242">
        <f t="shared" si="9"/>
        <v>0.11289199582443932</v>
      </c>
      <c r="W145" s="2242">
        <f t="shared" si="9"/>
        <v>0.11700225557819599</v>
      </c>
      <c r="X145" s="2242">
        <f t="shared" si="9"/>
        <v>8.7127655616101751E-2</v>
      </c>
      <c r="Y145" s="2242">
        <f t="shared" si="9"/>
        <v>8.8954586073530698E-2</v>
      </c>
      <c r="Z145" s="2242">
        <f t="shared" si="9"/>
        <v>0.11802701012005228</v>
      </c>
      <c r="AA145" s="2242">
        <f t="shared" si="9"/>
        <v>0.33799172610842987</v>
      </c>
      <c r="AB145" s="2242">
        <f t="shared" si="9"/>
        <v>0.21300985752158852</v>
      </c>
      <c r="AC145" s="2242">
        <f t="shared" si="9"/>
        <v>0.15317182718987038</v>
      </c>
      <c r="AD145" s="2242">
        <f t="shared" si="9"/>
        <v>0.11700225557819599</v>
      </c>
      <c r="AE145" s="2242">
        <f t="shared" si="9"/>
        <v>0.21300985752158852</v>
      </c>
      <c r="AF145" s="2242">
        <f ca="1">Steel!H113</f>
        <v>93.459117968579775</v>
      </c>
      <c r="AG145" s="2242">
        <f ca="1">Steel!H113</f>
        <v>93.459117968579775</v>
      </c>
      <c r="AH145" s="2242">
        <f ca="1">Steel!H113</f>
        <v>93.459117968579775</v>
      </c>
      <c r="AI145" s="2242">
        <f ca="1">Steel!$D$140*Steel!C147+Steel!D147</f>
        <v>182.36478137019373</v>
      </c>
      <c r="AJ145" s="2242">
        <f ca="1">Steel!$D$208*Steel!C215+Steel!D215</f>
        <v>182.36478137019373</v>
      </c>
      <c r="AK145" s="2242">
        <f ca="1">'C.Iron'!C67+'C.Iron'!E67</f>
        <v>141.1641732646886</v>
      </c>
      <c r="AL145" s="2242">
        <f>'C.Iron'!D67+'C.Iron'!E67</f>
        <v>287.79759937907346</v>
      </c>
      <c r="AM145" s="2242">
        <f ca="1">W.Al!$I$122*W.Al!I131</f>
        <v>93.45911796857979</v>
      </c>
      <c r="AN145" s="2242">
        <f ca="1">W.Al!$I$123*W.Al!I131</f>
        <v>93.45911796857979</v>
      </c>
      <c r="AO145" s="2242">
        <f ca="1">W.Al!$J$124*W.Al!J131</f>
        <v>198.4986669121003</v>
      </c>
      <c r="AP145" s="2242">
        <f ca="1">W.Al!$F$160*W.Al!F169</f>
        <v>93.45911796857979</v>
      </c>
      <c r="AQ145" s="2242">
        <f ca="1">W.Al!$F$161*W.Al!F169</f>
        <v>93.45911796857979</v>
      </c>
      <c r="AR145" s="2242">
        <f ca="1">W.Al!$G$162*W.Al!G169</f>
        <v>198.4986669121003</v>
      </c>
      <c r="AS145" s="2242">
        <f ca="1">'C.Al'!$G$113*'C.Al'!G120+'C.Al'!$H$113*'C.Al'!H120</f>
        <v>84.513903389127293</v>
      </c>
      <c r="AT145" s="2242">
        <f ca="1">'C.Al'!$D$149*'C.Al'!D156+'C.Al'!$E$149*'C.Al'!E156</f>
        <v>84.513903389127293</v>
      </c>
      <c r="AU145" s="2242">
        <f>Copper!D68</f>
        <v>194.23569214954082</v>
      </c>
      <c r="AV145" s="2242">
        <f>Glass!B76</f>
        <v>60.776678315397042</v>
      </c>
      <c r="AW145" s="2242">
        <f>Vehi_Plastics!B$19*Vehi_Plastics!X110</f>
        <v>372.94298539929542</v>
      </c>
      <c r="AX145" s="2242">
        <f>Vehi_Plastics!C$19*Vehi_Plastics!AA110</f>
        <v>256.87427029865108</v>
      </c>
      <c r="AY145" s="2242">
        <f>Vehi_Plastics!D$19*Vehi_Plastics!AB110</f>
        <v>575.14102568940893</v>
      </c>
      <c r="AZ145" s="2242">
        <f>Vehi_Plastics!E$19*Vehi_Plastics!AC110</f>
        <v>225.78399164887864</v>
      </c>
      <c r="BA145" s="2242">
        <f>Vehi_Plastics!F$19*Vehi_Plastics!AD110</f>
        <v>234.00451115639197</v>
      </c>
      <c r="BB145" s="2242">
        <f>Vehi_Plastics!G$19*Vehi_Plastics!AE110</f>
        <v>174.2553112322035</v>
      </c>
      <c r="BC145" s="2242">
        <f>Vehi_Plastics!H$19*Vehi_Plastics!AF110</f>
        <v>177.90917214706138</v>
      </c>
      <c r="BD145" s="2242">
        <f>Vehi_Plastics!I$19*Vehi_Plastics!AG110</f>
        <v>236.05402024010456</v>
      </c>
      <c r="BE145" s="2242">
        <f>Vehi_Plastics!J$19*Vehi_Plastics!AH110</f>
        <v>675.98345221685975</v>
      </c>
      <c r="BF145" s="2242">
        <f>Vehi_Plastics!K$19*Vehi_Plastics!AI110</f>
        <v>426.01971504317703</v>
      </c>
      <c r="BG145" s="2242">
        <f>Vehi_Plastics!L$19*Vehi_Plastics!AJ110</f>
        <v>306.34365437974077</v>
      </c>
      <c r="BH145" s="2242">
        <f>Rubber!$A$6*Rubber!C70</f>
        <v>234.00451115639197</v>
      </c>
      <c r="BI145" s="2227">
        <f>Rubber!$B$6*Rubber!D70</f>
        <v>426.01971504317703</v>
      </c>
    </row>
    <row r="146" spans="1:61" s="2136" customFormat="1">
      <c r="A146" s="2228" t="s">
        <v>1030</v>
      </c>
      <c r="B146" s="2250" t="s">
        <v>846</v>
      </c>
      <c r="C146" s="2250" t="s">
        <v>846</v>
      </c>
      <c r="D146" s="2250" t="s">
        <v>846</v>
      </c>
      <c r="E146" s="2250" t="s">
        <v>846</v>
      </c>
      <c r="F146" s="2250" t="s">
        <v>846</v>
      </c>
      <c r="G146" s="2250" t="s">
        <v>846</v>
      </c>
      <c r="H146" s="2250" t="s">
        <v>846</v>
      </c>
      <c r="I146" s="2250" t="s">
        <v>846</v>
      </c>
      <c r="J146" s="2250" t="s">
        <v>846</v>
      </c>
      <c r="K146" s="2250" t="s">
        <v>846</v>
      </c>
      <c r="L146" s="2250" t="s">
        <v>846</v>
      </c>
      <c r="M146" s="2250" t="s">
        <v>846</v>
      </c>
      <c r="N146" s="2250" t="s">
        <v>846</v>
      </c>
      <c r="O146" s="2250" t="s">
        <v>846</v>
      </c>
      <c r="P146" s="2250" t="s">
        <v>846</v>
      </c>
      <c r="Q146" s="2250" t="s">
        <v>846</v>
      </c>
      <c r="R146" s="2250" t="s">
        <v>846</v>
      </c>
      <c r="S146" s="2250" t="s">
        <v>846</v>
      </c>
      <c r="T146" s="2250" t="s">
        <v>846</v>
      </c>
      <c r="U146" s="2250" t="s">
        <v>846</v>
      </c>
      <c r="V146" s="2250" t="s">
        <v>846</v>
      </c>
      <c r="W146" s="2250" t="s">
        <v>846</v>
      </c>
      <c r="X146" s="2250" t="s">
        <v>846</v>
      </c>
      <c r="Y146" s="2250" t="s">
        <v>846</v>
      </c>
      <c r="Z146" s="2250" t="s">
        <v>846</v>
      </c>
      <c r="AA146" s="2250" t="s">
        <v>846</v>
      </c>
      <c r="AB146" s="2250" t="s">
        <v>846</v>
      </c>
      <c r="AC146" s="2250" t="s">
        <v>846</v>
      </c>
      <c r="AD146" s="2250" t="s">
        <v>846</v>
      </c>
      <c r="AE146" s="2250" t="s">
        <v>846</v>
      </c>
      <c r="AF146" s="2251"/>
      <c r="AG146" s="2251"/>
      <c r="AH146" s="2251"/>
      <c r="AI146" s="2251"/>
      <c r="AJ146" s="2251"/>
      <c r="AK146" s="2251"/>
      <c r="AL146" s="2251"/>
      <c r="AM146" s="2251"/>
      <c r="AN146" s="2251"/>
      <c r="AO146" s="2251"/>
      <c r="AP146" s="2251"/>
      <c r="AQ146" s="2251"/>
      <c r="AR146" s="2251"/>
      <c r="AS146" s="2251"/>
      <c r="AT146" s="2251"/>
      <c r="AU146" s="2251"/>
      <c r="AV146" s="2251"/>
      <c r="AW146" s="2251"/>
      <c r="AX146" s="2251"/>
      <c r="AY146" s="2251"/>
      <c r="AZ146" s="2251"/>
      <c r="BA146" s="2251"/>
      <c r="BB146" s="2251"/>
      <c r="BC146" s="2251"/>
      <c r="BD146" s="2251"/>
      <c r="BE146" s="2251"/>
      <c r="BF146" s="2251"/>
      <c r="BG146" s="2251"/>
      <c r="BH146" s="2251"/>
      <c r="BI146" s="2186"/>
    </row>
    <row r="147" spans="1:61" s="2136" customFormat="1">
      <c r="A147" s="2236" t="s">
        <v>821</v>
      </c>
      <c r="B147" s="2136">
        <f t="shared" ref="B147:Q159" ca="1" si="10">AF147/2000</f>
        <v>5.9577967611764912E-3</v>
      </c>
      <c r="C147" s="2136">
        <f t="shared" ca="1" si="10"/>
        <v>5.9577967611764912E-3</v>
      </c>
      <c r="D147" s="2136">
        <f t="shared" ca="1" si="10"/>
        <v>5.9577967611764912E-3</v>
      </c>
      <c r="E147" s="2136">
        <f t="shared" ca="1" si="10"/>
        <v>2.5033718194219592E-2</v>
      </c>
      <c r="F147" s="2136">
        <f t="shared" ca="1" si="10"/>
        <v>2.5033718194219592E-2</v>
      </c>
      <c r="G147" s="2136">
        <f t="shared" ca="1" si="10"/>
        <v>0.94214786353526025</v>
      </c>
      <c r="H147" s="2136">
        <f t="shared" si="10"/>
        <v>0.22113103173440388</v>
      </c>
      <c r="I147" s="2136">
        <f t="shared" ca="1" si="10"/>
        <v>5.9577967611764929E-3</v>
      </c>
      <c r="J147" s="2136">
        <f t="shared" ca="1" si="10"/>
        <v>5.9577967611764929E-3</v>
      </c>
      <c r="K147" s="2136">
        <f t="shared" ca="1" si="10"/>
        <v>0.16145262570285229</v>
      </c>
      <c r="L147" s="2136">
        <f t="shared" ca="1" si="10"/>
        <v>5.9577967611764929E-3</v>
      </c>
      <c r="M147" s="2136">
        <f t="shared" ca="1" si="10"/>
        <v>5.9577967611764929E-3</v>
      </c>
      <c r="N147" s="2136">
        <f t="shared" ca="1" si="10"/>
        <v>0.16145262570285229</v>
      </c>
      <c r="O147" s="2136">
        <f t="shared" ca="1" si="10"/>
        <v>5.7478749961038668E-2</v>
      </c>
      <c r="P147" s="2136">
        <f t="shared" ca="1" si="10"/>
        <v>5.7478749961038668E-2</v>
      </c>
      <c r="Q147" s="2136">
        <f t="shared" si="10"/>
        <v>1.4227295644852674E-2</v>
      </c>
      <c r="R147" s="2136">
        <f t="shared" ref="R147:AE159" si="11">AV147/2000</f>
        <v>1.2296336680193656E-2</v>
      </c>
      <c r="S147" s="2136">
        <f t="shared" si="11"/>
        <v>2.3774229404373418E-2</v>
      </c>
      <c r="T147" s="2136">
        <f t="shared" si="11"/>
        <v>4.6657610030189506E-2</v>
      </c>
      <c r="U147" s="2136">
        <f t="shared" si="11"/>
        <v>3.6839110476680308E-2</v>
      </c>
      <c r="V147" s="2136">
        <f t="shared" si="11"/>
        <v>1.4393193124542715E-2</v>
      </c>
      <c r="W147" s="2136">
        <f t="shared" si="11"/>
        <v>4.1284756192012023E-2</v>
      </c>
      <c r="X147" s="2136">
        <f t="shared" si="11"/>
        <v>1.1108362152808362E-2</v>
      </c>
      <c r="Y147" s="2136">
        <f t="shared" si="11"/>
        <v>1.1341287106493974E-2</v>
      </c>
      <c r="Z147" s="2136">
        <f t="shared" si="11"/>
        <v>1.5047883051089705E-2</v>
      </c>
      <c r="AA147" s="2136">
        <f t="shared" si="11"/>
        <v>4.3092339300489453E-2</v>
      </c>
      <c r="AB147" s="2136">
        <f t="shared" si="11"/>
        <v>2.7157744836997864E-2</v>
      </c>
      <c r="AC147" s="2136">
        <f t="shared" si="11"/>
        <v>1.9528680256582196E-2</v>
      </c>
      <c r="AD147" s="2136">
        <f t="shared" si="11"/>
        <v>4.1284756192012023E-2</v>
      </c>
      <c r="AE147" s="2136">
        <f t="shared" si="11"/>
        <v>2.7157744836997864E-2</v>
      </c>
      <c r="AF147" s="2136">
        <f ca="1">Steel!H115</f>
        <v>11.915593522352982</v>
      </c>
      <c r="AG147" s="2136">
        <f ca="1">Steel!H115</f>
        <v>11.915593522352982</v>
      </c>
      <c r="AH147" s="2136">
        <f ca="1">Steel!H115</f>
        <v>11.915593522352982</v>
      </c>
      <c r="AI147" s="2136">
        <f ca="1">Steel!$D$140*Steel!C149+Steel!D149</f>
        <v>50.067436388439184</v>
      </c>
      <c r="AJ147" s="2136">
        <f ca="1">Steel!$D$208*Steel!C217+Steel!D217</f>
        <v>50.067436388439184</v>
      </c>
      <c r="AK147" s="2136">
        <f ca="1">'C.Iron'!C69+'C.Iron'!E69</f>
        <v>1884.2957270705206</v>
      </c>
      <c r="AL147" s="2136">
        <f>'C.Iron'!D69+'C.Iron'!E69</f>
        <v>442.26206346880775</v>
      </c>
      <c r="AM147" s="2136">
        <f ca="1">W.Al!$I$122*W.Al!I133</f>
        <v>11.915593522352985</v>
      </c>
      <c r="AN147" s="2136">
        <f ca="1">W.Al!$I$123*W.Al!I133</f>
        <v>11.915593522352985</v>
      </c>
      <c r="AO147" s="2136">
        <f ca="1">W.Al!$J$124*W.Al!J133</f>
        <v>322.90525140570458</v>
      </c>
      <c r="AP147" s="2136">
        <f ca="1">W.Al!$F$160*W.Al!F171</f>
        <v>11.915593522352985</v>
      </c>
      <c r="AQ147" s="2136">
        <f ca="1">W.Al!$F$161*W.Al!F171</f>
        <v>11.915593522352985</v>
      </c>
      <c r="AR147" s="2136">
        <f ca="1">W.Al!$G$162*W.Al!G171</f>
        <v>322.90525140570458</v>
      </c>
      <c r="AS147" s="2136">
        <f ca="1">'C.Al'!$G$113*'C.Al'!G122+'C.Al'!$H$113*'C.Al'!H122</f>
        <v>114.95749992207733</v>
      </c>
      <c r="AT147" s="2136">
        <f ca="1">'C.Al'!$D$149*'C.Al'!D158+'C.Al'!$E$149*'C.Al'!E158</f>
        <v>114.95749992207733</v>
      </c>
      <c r="AU147" s="2136">
        <f>Copper!D70</f>
        <v>28.454591289705348</v>
      </c>
      <c r="AV147" s="2136">
        <f>Glass!B78</f>
        <v>24.592673360387312</v>
      </c>
      <c r="AW147" s="2136">
        <f>Vehi_Plastics!B$19*Vehi_Plastics!X112</f>
        <v>47.548458808746837</v>
      </c>
      <c r="AX147" s="2136">
        <f>Vehi_Plastics!C$19*Vehi_Plastics!AA112</f>
        <v>93.315220060379005</v>
      </c>
      <c r="AY147" s="2136">
        <f>Vehi_Plastics!D$19*Vehi_Plastics!AB112</f>
        <v>73.678220953360622</v>
      </c>
      <c r="AZ147" s="2136">
        <f>Vehi_Plastics!E$19*Vehi_Plastics!AC112</f>
        <v>28.786386249085432</v>
      </c>
      <c r="BA147" s="2136">
        <f>Vehi_Plastics!F$19*Vehi_Plastics!AD112</f>
        <v>82.569512384024051</v>
      </c>
      <c r="BB147" s="2136">
        <f>Vehi_Plastics!G$19*Vehi_Plastics!AE112</f>
        <v>22.216724305616722</v>
      </c>
      <c r="BC147" s="2136">
        <f>Vehi_Plastics!H$19*Vehi_Plastics!AF112</f>
        <v>22.682574212987948</v>
      </c>
      <c r="BD147" s="2136">
        <f>Vehi_Plastics!I$19*Vehi_Plastics!AG112</f>
        <v>30.095766102179411</v>
      </c>
      <c r="BE147" s="2136">
        <f>Vehi_Plastics!J$19*Vehi_Plastics!AH112</f>
        <v>86.184678600978913</v>
      </c>
      <c r="BF147" s="2136">
        <f>Vehi_Plastics!K$19*Vehi_Plastics!AI112</f>
        <v>54.315489673995728</v>
      </c>
      <c r="BG147" s="2136">
        <f>Vehi_Plastics!L$19*Vehi_Plastics!AJ112</f>
        <v>39.05736051316439</v>
      </c>
      <c r="BH147" s="2136">
        <f>Rubber!$A$6*Rubber!C72</f>
        <v>82.569512384024051</v>
      </c>
      <c r="BI147" s="2185">
        <f>Rubber!$B$6*Rubber!D72</f>
        <v>54.315489673995728</v>
      </c>
    </row>
    <row r="148" spans="1:61" s="2136" customFormat="1">
      <c r="A148" s="2236" t="s">
        <v>822</v>
      </c>
      <c r="B148" s="2136">
        <f t="shared" ca="1" si="10"/>
        <v>1.61038609636702E-2</v>
      </c>
      <c r="C148" s="2136">
        <f t="shared" ca="1" si="10"/>
        <v>1.61038609636702E-2</v>
      </c>
      <c r="D148" s="2136">
        <f t="shared" ca="1" si="10"/>
        <v>1.61038609636702E-2</v>
      </c>
      <c r="E148" s="2136">
        <f t="shared" ca="1" si="10"/>
        <v>8.7923104114029454E-2</v>
      </c>
      <c r="F148" s="2136">
        <f t="shared" ca="1" si="10"/>
        <v>8.7923104114029454E-2</v>
      </c>
      <c r="G148" s="2136">
        <f t="shared" ca="1" si="10"/>
        <v>0.25336889671387081</v>
      </c>
      <c r="H148" s="2136">
        <f t="shared" si="10"/>
        <v>0.90407918298193801</v>
      </c>
      <c r="I148" s="2136">
        <f t="shared" ca="1" si="10"/>
        <v>1.6103860963670204E-2</v>
      </c>
      <c r="J148" s="2136">
        <f t="shared" ca="1" si="10"/>
        <v>1.6103860963670204E-2</v>
      </c>
      <c r="K148" s="2136">
        <f t="shared" ca="1" si="10"/>
        <v>0.16263227905576944</v>
      </c>
      <c r="L148" s="2136">
        <f t="shared" ca="1" si="10"/>
        <v>1.6103860963670204E-2</v>
      </c>
      <c r="M148" s="2136">
        <f t="shared" ca="1" si="10"/>
        <v>1.6103860963670204E-2</v>
      </c>
      <c r="N148" s="2136">
        <f t="shared" ca="1" si="10"/>
        <v>0.16263227905576944</v>
      </c>
      <c r="O148" s="2136">
        <f t="shared" ca="1" si="10"/>
        <v>0.23406313914009261</v>
      </c>
      <c r="P148" s="2136">
        <f t="shared" ca="1" si="10"/>
        <v>0.23406313914009261</v>
      </c>
      <c r="Q148" s="2136">
        <f t="shared" si="10"/>
        <v>5.0093424974832094E-2</v>
      </c>
      <c r="R148" s="2136">
        <f t="shared" si="11"/>
        <v>7.3068681140029762E-2</v>
      </c>
      <c r="S148" s="2136">
        <f t="shared" si="11"/>
        <v>6.4261487961671637E-2</v>
      </c>
      <c r="T148" s="2136">
        <f t="shared" si="11"/>
        <v>0.2137834550111089</v>
      </c>
      <c r="U148" s="2136">
        <f t="shared" si="11"/>
        <v>0.10068070419136016</v>
      </c>
      <c r="V148" s="2136">
        <f t="shared" si="11"/>
        <v>3.890464716945443E-2</v>
      </c>
      <c r="W148" s="2136">
        <f t="shared" si="11"/>
        <v>0.15142796822957053</v>
      </c>
      <c r="X148" s="2136">
        <f t="shared" si="11"/>
        <v>3.0025784163808401E-2</v>
      </c>
      <c r="Y148" s="2136">
        <f t="shared" si="11"/>
        <v>3.065537782392877E-2</v>
      </c>
      <c r="Z148" s="2136">
        <f t="shared" si="11"/>
        <v>4.0674267043051174E-2</v>
      </c>
      <c r="AA148" s="2136">
        <f t="shared" si="11"/>
        <v>0.11647813252316246</v>
      </c>
      <c r="AB148" s="2136">
        <f t="shared" si="11"/>
        <v>7.3407094010283613E-2</v>
      </c>
      <c r="AC148" s="2136">
        <f t="shared" si="11"/>
        <v>5.2785813995083128E-2</v>
      </c>
      <c r="AD148" s="2136">
        <f t="shared" si="11"/>
        <v>0.15142796822957053</v>
      </c>
      <c r="AE148" s="2136">
        <f t="shared" si="11"/>
        <v>7.3407094010283613E-2</v>
      </c>
      <c r="AF148" s="2136">
        <f ca="1">Steel!H116</f>
        <v>32.207721927340401</v>
      </c>
      <c r="AG148" s="2136">
        <f ca="1">Steel!H116</f>
        <v>32.207721927340401</v>
      </c>
      <c r="AH148" s="2136">
        <f ca="1">Steel!H116</f>
        <v>32.207721927340401</v>
      </c>
      <c r="AI148" s="2136">
        <f ca="1">Steel!$D$140*Steel!C150+Steel!D150</f>
        <v>175.84620822805891</v>
      </c>
      <c r="AJ148" s="2136">
        <f ca="1">Steel!$D$208*Steel!C218+Steel!D218</f>
        <v>175.84620822805891</v>
      </c>
      <c r="AK148" s="2136">
        <f ca="1">'C.Iron'!C70+'C.Iron'!E70</f>
        <v>506.73779342774162</v>
      </c>
      <c r="AL148" s="2136">
        <f>'C.Iron'!D70+'C.Iron'!E70</f>
        <v>1808.1583659638761</v>
      </c>
      <c r="AM148" s="2136">
        <f ca="1">W.Al!$I$122*W.Al!I134</f>
        <v>32.207721927340408</v>
      </c>
      <c r="AN148" s="2136">
        <f ca="1">W.Al!$I$123*W.Al!I134</f>
        <v>32.207721927340408</v>
      </c>
      <c r="AO148" s="2136">
        <f ca="1">W.Al!$J$124*W.Al!J134</f>
        <v>325.26455811153886</v>
      </c>
      <c r="AP148" s="2136">
        <f ca="1">W.Al!$F$160*W.Al!F172</f>
        <v>32.207721927340408</v>
      </c>
      <c r="AQ148" s="2136">
        <f ca="1">W.Al!$F$161*W.Al!F172</f>
        <v>32.207721927340408</v>
      </c>
      <c r="AR148" s="2136">
        <f ca="1">W.Al!$G$162*W.Al!G172</f>
        <v>325.26455811153886</v>
      </c>
      <c r="AS148" s="2136">
        <f ca="1">'C.Al'!$G$113*'C.Al'!G123+'C.Al'!$H$113*'C.Al'!H123</f>
        <v>468.1262782801852</v>
      </c>
      <c r="AT148" s="2136">
        <f ca="1">'C.Al'!$D$149*'C.Al'!D159+'C.Al'!$E$149*'C.Al'!E159</f>
        <v>468.1262782801852</v>
      </c>
      <c r="AU148" s="2136">
        <f>Copper!D71</f>
        <v>100.18684994966419</v>
      </c>
      <c r="AV148" s="2136">
        <f>Glass!B79</f>
        <v>146.13736228005953</v>
      </c>
      <c r="AW148" s="2136">
        <f>Vehi_Plastics!B$19*Vehi_Plastics!X113</f>
        <v>128.52297592334327</v>
      </c>
      <c r="AX148" s="2136">
        <f>Vehi_Plastics!C$19*Vehi_Plastics!AA113</f>
        <v>427.56691002221783</v>
      </c>
      <c r="AY148" s="2136">
        <f>Vehi_Plastics!D$19*Vehi_Plastics!AB113</f>
        <v>201.36140838272033</v>
      </c>
      <c r="AZ148" s="2136">
        <f>Vehi_Plastics!E$19*Vehi_Plastics!AC113</f>
        <v>77.809294338908856</v>
      </c>
      <c r="BA148" s="2136">
        <f>Vehi_Plastics!F$19*Vehi_Plastics!AD113</f>
        <v>302.85593645914105</v>
      </c>
      <c r="BB148" s="2136">
        <f>Vehi_Plastics!G$19*Vehi_Plastics!AE113</f>
        <v>60.051568327616799</v>
      </c>
      <c r="BC148" s="2136">
        <f>Vehi_Plastics!H$19*Vehi_Plastics!AF113</f>
        <v>61.31075564785754</v>
      </c>
      <c r="BD148" s="2136">
        <f>Vehi_Plastics!I$19*Vehi_Plastics!AG113</f>
        <v>81.348534086102347</v>
      </c>
      <c r="BE148" s="2136">
        <f>Vehi_Plastics!J$19*Vehi_Plastics!AH113</f>
        <v>232.95626504632492</v>
      </c>
      <c r="BF148" s="2136">
        <f>Vehi_Plastics!K$19*Vehi_Plastics!AI113</f>
        <v>146.81418802056723</v>
      </c>
      <c r="BG148" s="2136">
        <f>Vehi_Plastics!L$19*Vehi_Plastics!AJ113</f>
        <v>105.57162799016625</v>
      </c>
      <c r="BH148" s="2136">
        <f>Rubber!$A$6*Rubber!C73</f>
        <v>302.85593645914105</v>
      </c>
      <c r="BI148" s="2185">
        <f>Rubber!$B$6*Rubber!D73</f>
        <v>146.81418802056723</v>
      </c>
    </row>
    <row r="149" spans="1:61" s="2136" customFormat="1" ht="15.75">
      <c r="A149" s="2236" t="s">
        <v>2542</v>
      </c>
      <c r="B149" s="2136">
        <f t="shared" ca="1" si="10"/>
        <v>3.3174954424379621E-2</v>
      </c>
      <c r="C149" s="2136">
        <f t="shared" ca="1" si="10"/>
        <v>3.3174954424379621E-2</v>
      </c>
      <c r="D149" s="2136">
        <f t="shared" ca="1" si="10"/>
        <v>3.3174954424379621E-2</v>
      </c>
      <c r="E149" s="2136">
        <f t="shared" ca="1" si="10"/>
        <v>0.14073936707582224</v>
      </c>
      <c r="F149" s="2136">
        <f t="shared" ca="1" si="10"/>
        <v>0.14073936707582224</v>
      </c>
      <c r="G149" s="2136">
        <f t="shared" ca="1" si="10"/>
        <v>0.40385257944107972</v>
      </c>
      <c r="H149" s="2136">
        <f t="shared" si="10"/>
        <v>1.2516478174466525</v>
      </c>
      <c r="I149" s="2136">
        <f t="shared" ca="1" si="10"/>
        <v>3.3174954424379628E-2</v>
      </c>
      <c r="J149" s="2136">
        <f t="shared" ca="1" si="10"/>
        <v>3.3174954424379628E-2</v>
      </c>
      <c r="K149" s="2136">
        <f t="shared" ca="1" si="10"/>
        <v>0.21950109241669052</v>
      </c>
      <c r="L149" s="2136">
        <f t="shared" ca="1" si="10"/>
        <v>3.3174954424379628E-2</v>
      </c>
      <c r="M149" s="2136">
        <f t="shared" ca="1" si="10"/>
        <v>3.3174954424379628E-2</v>
      </c>
      <c r="N149" s="2136">
        <f t="shared" ca="1" si="10"/>
        <v>0.21950109241669052</v>
      </c>
      <c r="O149" s="2136">
        <f t="shared" ca="1" si="10"/>
        <v>0.32527973030967394</v>
      </c>
      <c r="P149" s="2136">
        <f t="shared" ca="1" si="10"/>
        <v>0.32527973030967394</v>
      </c>
      <c r="Q149" s="2136">
        <f t="shared" si="10"/>
        <v>0.12910006508044239</v>
      </c>
      <c r="R149" s="2136">
        <f t="shared" si="11"/>
        <v>5.2961715694133112E-2</v>
      </c>
      <c r="S149" s="2136">
        <f t="shared" si="11"/>
        <v>0.13238265898971135</v>
      </c>
      <c r="T149" s="2136">
        <f t="shared" si="11"/>
        <v>0.49473005379423596</v>
      </c>
      <c r="U149" s="2136">
        <f t="shared" si="11"/>
        <v>0.20575333932766313</v>
      </c>
      <c r="V149" s="2136">
        <f t="shared" si="11"/>
        <v>8.0145991054872384E-2</v>
      </c>
      <c r="W149" s="2136">
        <f t="shared" si="11"/>
        <v>0.23252889313483718</v>
      </c>
      <c r="X149" s="2136">
        <f t="shared" si="11"/>
        <v>6.1854981450583935E-2</v>
      </c>
      <c r="Y149" s="2136">
        <f t="shared" si="11"/>
        <v>6.3151983519062524E-2</v>
      </c>
      <c r="Z149" s="2136">
        <f t="shared" si="11"/>
        <v>8.379151797462718E-2</v>
      </c>
      <c r="AA149" s="2136">
        <f t="shared" si="11"/>
        <v>0.23995219199980544</v>
      </c>
      <c r="AB149" s="2136">
        <f t="shared" si="11"/>
        <v>0.15122317584032902</v>
      </c>
      <c r="AC149" s="2136">
        <f t="shared" si="11"/>
        <v>0.1087420574166183</v>
      </c>
      <c r="AD149" s="2136">
        <f t="shared" si="11"/>
        <v>0.23252889313483718</v>
      </c>
      <c r="AE149" s="2136">
        <f t="shared" si="11"/>
        <v>0.15122317584032902</v>
      </c>
      <c r="AF149" s="2136">
        <f ca="1">Steel!H117</f>
        <v>66.349908848759242</v>
      </c>
      <c r="AG149" s="2136">
        <f ca="1">Steel!H117</f>
        <v>66.349908848759242</v>
      </c>
      <c r="AH149" s="2136">
        <f ca="1">Steel!H117</f>
        <v>66.349908848759242</v>
      </c>
      <c r="AI149" s="2136">
        <f ca="1">Steel!$D$140*Steel!C151+Steel!D151</f>
        <v>281.47873415164446</v>
      </c>
      <c r="AJ149" s="2136">
        <f ca="1">Steel!$D$208*Steel!C219+Steel!D219</f>
        <v>281.47873415164446</v>
      </c>
      <c r="AK149" s="2136">
        <f ca="1">'C.Iron'!C71+'C.Iron'!E71</f>
        <v>807.70515888215948</v>
      </c>
      <c r="AL149" s="2136">
        <f>'C.Iron'!D71+'C.Iron'!E71</f>
        <v>2503.2956348933053</v>
      </c>
      <c r="AM149" s="2136">
        <f ca="1">W.Al!$I$122*W.Al!I135</f>
        <v>66.349908848759256</v>
      </c>
      <c r="AN149" s="2136">
        <f ca="1">W.Al!$I$123*W.Al!I135</f>
        <v>66.349908848759256</v>
      </c>
      <c r="AO149" s="2136">
        <f ca="1">W.Al!$J$124*W.Al!J135</f>
        <v>439.00218483338102</v>
      </c>
      <c r="AP149" s="2136">
        <f ca="1">W.Al!$F$160*W.Al!F173</f>
        <v>66.349908848759256</v>
      </c>
      <c r="AQ149" s="2136">
        <f ca="1">W.Al!$F$161*W.Al!F173</f>
        <v>66.349908848759256</v>
      </c>
      <c r="AR149" s="2136">
        <f ca="1">W.Al!$G$162*W.Al!G173</f>
        <v>439.00218483338102</v>
      </c>
      <c r="AS149" s="2136">
        <f ca="1">'C.Al'!$G$113*'C.Al'!G124+'C.Al'!$H$113*'C.Al'!H124</f>
        <v>650.55946061934787</v>
      </c>
      <c r="AT149" s="2136">
        <f ca="1">'C.Al'!$D$149*'C.Al'!D160+'C.Al'!$E$149*'C.Al'!E160</f>
        <v>650.55946061934787</v>
      </c>
      <c r="AU149" s="2136">
        <f>Copper!D72</f>
        <v>258.20013016088478</v>
      </c>
      <c r="AV149" s="2136">
        <f>Glass!B80</f>
        <v>105.92343138826622</v>
      </c>
      <c r="AW149" s="2136">
        <f>Vehi_Plastics!B$19*Vehi_Plastics!X114</f>
        <v>264.76531797942272</v>
      </c>
      <c r="AX149" s="2136">
        <f>Vehi_Plastics!C$19*Vehi_Plastics!AA114</f>
        <v>989.46010758847194</v>
      </c>
      <c r="AY149" s="2136">
        <f>Vehi_Plastics!D$19*Vehi_Plastics!AB114</f>
        <v>411.50667865532625</v>
      </c>
      <c r="AZ149" s="2136">
        <f>Vehi_Plastics!E$19*Vehi_Plastics!AC114</f>
        <v>160.29198210974477</v>
      </c>
      <c r="BA149" s="2136">
        <f>Vehi_Plastics!F$19*Vehi_Plastics!AD114</f>
        <v>465.05778626967435</v>
      </c>
      <c r="BB149" s="2136">
        <f>Vehi_Plastics!G$19*Vehi_Plastics!AE114</f>
        <v>123.70996290116787</v>
      </c>
      <c r="BC149" s="2136">
        <f>Vehi_Plastics!H$19*Vehi_Plastics!AF114</f>
        <v>126.30396703812504</v>
      </c>
      <c r="BD149" s="2136">
        <f>Vehi_Plastics!I$19*Vehi_Plastics!AG114</f>
        <v>167.58303594925437</v>
      </c>
      <c r="BE149" s="2136">
        <f>Vehi_Plastics!J$19*Vehi_Plastics!AH114</f>
        <v>479.9043839996109</v>
      </c>
      <c r="BF149" s="2136">
        <f>Vehi_Plastics!K$19*Vehi_Plastics!AI114</f>
        <v>302.44635168065804</v>
      </c>
      <c r="BG149" s="2136">
        <f>Vehi_Plastics!L$19*Vehi_Plastics!AJ114</f>
        <v>217.48411483323659</v>
      </c>
      <c r="BH149" s="2136">
        <f>Rubber!$A$6*Rubber!C74</f>
        <v>465.05778626967435</v>
      </c>
      <c r="BI149" s="2185">
        <f>Rubber!$B$6*Rubber!D74</f>
        <v>302.44635168065804</v>
      </c>
    </row>
    <row r="150" spans="1:61" s="2136" customFormat="1" ht="15.75">
      <c r="A150" s="2236" t="s">
        <v>2543</v>
      </c>
      <c r="B150" s="2136">
        <f t="shared" ca="1" si="10"/>
        <v>5.3105229401170847E-3</v>
      </c>
      <c r="C150" s="2136">
        <f t="shared" ca="1" si="10"/>
        <v>5.3105229401170847E-3</v>
      </c>
      <c r="D150" s="2136">
        <f t="shared" ca="1" si="10"/>
        <v>5.3105229401170847E-3</v>
      </c>
      <c r="E150" s="2136">
        <f t="shared" ca="1" si="10"/>
        <v>1.4219427954920637E-2</v>
      </c>
      <c r="F150" s="2136">
        <f t="shared" ca="1" si="10"/>
        <v>1.4219427954920637E-2</v>
      </c>
      <c r="G150" s="2136">
        <f t="shared" ca="1" si="10"/>
        <v>0.47482525594914438</v>
      </c>
      <c r="H150" s="2136">
        <f t="shared" si="10"/>
        <v>7.4687110260641926E-2</v>
      </c>
      <c r="I150" s="2136">
        <f t="shared" ca="1" si="10"/>
        <v>5.3105229401170856E-3</v>
      </c>
      <c r="J150" s="2136">
        <f t="shared" ca="1" si="10"/>
        <v>5.3105229401170856E-3</v>
      </c>
      <c r="K150" s="2136">
        <f t="shared" ca="1" si="10"/>
        <v>1.4994144801251332E-2</v>
      </c>
      <c r="L150" s="2136">
        <f t="shared" ca="1" si="10"/>
        <v>5.3105229401170856E-3</v>
      </c>
      <c r="M150" s="2136">
        <f t="shared" ca="1" si="10"/>
        <v>5.3105229401170856E-3</v>
      </c>
      <c r="N150" s="2136">
        <f t="shared" ca="1" si="10"/>
        <v>1.4994144801251332E-2</v>
      </c>
      <c r="O150" s="2136">
        <f t="shared" ca="1" si="10"/>
        <v>1.9787018095063971E-2</v>
      </c>
      <c r="P150" s="2136">
        <f t="shared" ca="1" si="10"/>
        <v>1.9787018095063971E-2</v>
      </c>
      <c r="Q150" s="2136">
        <f t="shared" si="10"/>
        <v>2.2999699164006245E-2</v>
      </c>
      <c r="R150" s="2136">
        <f t="shared" si="11"/>
        <v>2.0543241656535594E-2</v>
      </c>
      <c r="S150" s="2136">
        <f t="shared" si="11"/>
        <v>2.1191322177730645E-2</v>
      </c>
      <c r="T150" s="2136">
        <f t="shared" si="11"/>
        <v>7.6958465248916613E-2</v>
      </c>
      <c r="U150" s="2136">
        <f t="shared" si="11"/>
        <v>3.2776558074100709E-2</v>
      </c>
      <c r="V150" s="2136">
        <f t="shared" si="11"/>
        <v>1.282947125143722E-2</v>
      </c>
      <c r="W150" s="2136">
        <f t="shared" si="11"/>
        <v>2.0881573906103231E-2</v>
      </c>
      <c r="X150" s="2136">
        <f t="shared" si="11"/>
        <v>9.9015146713343338E-3</v>
      </c>
      <c r="Y150" s="2136">
        <f t="shared" si="11"/>
        <v>1.0109133923795859E-2</v>
      </c>
      <c r="Z150" s="2136">
        <f t="shared" si="11"/>
        <v>1.341303360056724E-2</v>
      </c>
      <c r="AA150" s="2136">
        <f t="shared" si="11"/>
        <v>3.841065171772802E-2</v>
      </c>
      <c r="AB150" s="2136">
        <f t="shared" si="11"/>
        <v>2.4207241827806803E-2</v>
      </c>
      <c r="AC150" s="2136">
        <f t="shared" si="11"/>
        <v>1.7407022872715807E-2</v>
      </c>
      <c r="AD150" s="2136">
        <f t="shared" si="11"/>
        <v>2.0881573906103228E-2</v>
      </c>
      <c r="AE150" s="2136">
        <f t="shared" si="11"/>
        <v>2.4207241827806803E-2</v>
      </c>
      <c r="AF150" s="2136">
        <f ca="1">Steel!H118</f>
        <v>10.621045880234169</v>
      </c>
      <c r="AG150" s="2136">
        <f ca="1">Steel!H118</f>
        <v>10.621045880234169</v>
      </c>
      <c r="AH150" s="2136">
        <f ca="1">Steel!H118</f>
        <v>10.621045880234169</v>
      </c>
      <c r="AI150" s="2136">
        <f ca="1">Steel!$D$140*Steel!C152+Steel!D152</f>
        <v>28.438855909841273</v>
      </c>
      <c r="AJ150" s="2136">
        <f ca="1">Steel!$D$208*Steel!C220+Steel!D220</f>
        <v>28.438855909841273</v>
      </c>
      <c r="AK150" s="2136">
        <f ca="1">'C.Iron'!C72+'C.Iron'!E72</f>
        <v>949.65051189828876</v>
      </c>
      <c r="AL150" s="2136">
        <f>'C.Iron'!D72+'C.Iron'!E72</f>
        <v>149.37422052128386</v>
      </c>
      <c r="AM150" s="2136">
        <f ca="1">W.Al!$I$122*W.Al!I136</f>
        <v>10.621045880234171</v>
      </c>
      <c r="AN150" s="2136">
        <f ca="1">W.Al!$I$123*W.Al!I136</f>
        <v>10.621045880234171</v>
      </c>
      <c r="AO150" s="2136">
        <f ca="1">W.Al!$J$124*W.Al!J136</f>
        <v>29.988289602502665</v>
      </c>
      <c r="AP150" s="2136">
        <f ca="1">W.Al!$F$160*W.Al!F174</f>
        <v>10.621045880234171</v>
      </c>
      <c r="AQ150" s="2136">
        <f ca="1">W.Al!$F$161*W.Al!F174</f>
        <v>10.621045880234171</v>
      </c>
      <c r="AR150" s="2136">
        <f ca="1">W.Al!$G$162*W.Al!G174</f>
        <v>29.988289602502665</v>
      </c>
      <c r="AS150" s="2136">
        <f ca="1">'C.Al'!$G$113*'C.Al'!G125+'C.Al'!$H$113*'C.Al'!H125</f>
        <v>39.574036190127941</v>
      </c>
      <c r="AT150" s="2136">
        <f ca="1">'C.Al'!$D$149*'C.Al'!D161+'C.Al'!$E$149*'C.Al'!E161</f>
        <v>39.574036190127941</v>
      </c>
      <c r="AU150" s="2136">
        <f>Copper!D73</f>
        <v>45.999398328012489</v>
      </c>
      <c r="AV150" s="2136">
        <f>Glass!B81</f>
        <v>41.086483313071184</v>
      </c>
      <c r="AW150" s="2136">
        <f>Vehi_Plastics!B$19*Vehi_Plastics!X115</f>
        <v>42.382644355461288</v>
      </c>
      <c r="AX150" s="2136">
        <f>Vehi_Plastics!C$19*Vehi_Plastics!AA115</f>
        <v>153.91693049783322</v>
      </c>
      <c r="AY150" s="2136">
        <f>Vehi_Plastics!D$19*Vehi_Plastics!AB115</f>
        <v>65.553116148201411</v>
      </c>
      <c r="AZ150" s="2136">
        <f>Vehi_Plastics!E$19*Vehi_Plastics!AC115</f>
        <v>25.658942502874442</v>
      </c>
      <c r="BA150" s="2136">
        <f>Vehi_Plastics!F$19*Vehi_Plastics!AD115</f>
        <v>41.763147812206462</v>
      </c>
      <c r="BB150" s="2136">
        <f>Vehi_Plastics!G$19*Vehi_Plastics!AE115</f>
        <v>19.803029342668669</v>
      </c>
      <c r="BC150" s="2136">
        <f>Vehi_Plastics!H$19*Vehi_Plastics!AF115</f>
        <v>20.218267847591719</v>
      </c>
      <c r="BD150" s="2136">
        <f>Vehi_Plastics!I$19*Vehi_Plastics!AG115</f>
        <v>26.826067201134478</v>
      </c>
      <c r="BE150" s="2136">
        <f>Vehi_Plastics!J$19*Vehi_Plastics!AH115</f>
        <v>76.821303435456045</v>
      </c>
      <c r="BF150" s="2136">
        <f>Vehi_Plastics!K$19*Vehi_Plastics!AI115</f>
        <v>48.414483655613608</v>
      </c>
      <c r="BG150" s="2136">
        <f>Vehi_Plastics!L$19*Vehi_Plastics!AJ115</f>
        <v>34.814045745431613</v>
      </c>
      <c r="BH150" s="2136">
        <f>Rubber!$A$6*Rubber!C75</f>
        <v>41.763147812206455</v>
      </c>
      <c r="BI150" s="2185">
        <f>Rubber!$B$6*Rubber!D75</f>
        <v>48.414483655613608</v>
      </c>
    </row>
    <row r="151" spans="1:61" s="2136" customFormat="1" ht="15.75">
      <c r="A151" s="2236" t="s">
        <v>2544</v>
      </c>
      <c r="B151" s="2136">
        <f t="shared" ca="1" si="10"/>
        <v>3.187745075117284E-3</v>
      </c>
      <c r="C151" s="2136">
        <f t="shared" ca="1" si="10"/>
        <v>3.187745075117284E-3</v>
      </c>
      <c r="D151" s="2136">
        <f t="shared" ca="1" si="10"/>
        <v>3.187745075117284E-3</v>
      </c>
      <c r="E151" s="2136">
        <f t="shared" ca="1" si="10"/>
        <v>1.0183685264980423E-2</v>
      </c>
      <c r="F151" s="2136">
        <f t="shared" ca="1" si="10"/>
        <v>1.0183685264980423E-2</v>
      </c>
      <c r="G151" s="2136">
        <f t="shared" ca="1" si="10"/>
        <v>0.21178799533264553</v>
      </c>
      <c r="H151" s="2136">
        <f t="shared" si="10"/>
        <v>6.9759224528422883E-2</v>
      </c>
      <c r="I151" s="2136">
        <f t="shared" ca="1" si="10"/>
        <v>3.1877450751172849E-3</v>
      </c>
      <c r="J151" s="2136">
        <f t="shared" ca="1" si="10"/>
        <v>3.1877450751172849E-3</v>
      </c>
      <c r="K151" s="2136">
        <f t="shared" ca="1" si="10"/>
        <v>1.2999770941963355E-2</v>
      </c>
      <c r="L151" s="2136">
        <f t="shared" ca="1" si="10"/>
        <v>3.1877450751172849E-3</v>
      </c>
      <c r="M151" s="2136">
        <f t="shared" ca="1" si="10"/>
        <v>3.1877450751172849E-3</v>
      </c>
      <c r="N151" s="2136">
        <f t="shared" ca="1" si="10"/>
        <v>1.2999770941963355E-2</v>
      </c>
      <c r="O151" s="2136">
        <f t="shared" ca="1" si="10"/>
        <v>1.8280732444418638E-2</v>
      </c>
      <c r="P151" s="2136">
        <f t="shared" ca="1" si="10"/>
        <v>1.8280732444418638E-2</v>
      </c>
      <c r="Q151" s="2136">
        <f t="shared" si="10"/>
        <v>1.2822057661545866E-2</v>
      </c>
      <c r="R151" s="2136">
        <f t="shared" si="11"/>
        <v>1.3005839665477777E-2</v>
      </c>
      <c r="S151" s="2136">
        <f t="shared" si="11"/>
        <v>1.2720504867227854E-2</v>
      </c>
      <c r="T151" s="2136">
        <f t="shared" si="11"/>
        <v>4.4323302633176846E-2</v>
      </c>
      <c r="U151" s="2136">
        <f t="shared" si="11"/>
        <v>1.9717522370512955E-2</v>
      </c>
      <c r="V151" s="2136">
        <f t="shared" si="11"/>
        <v>7.7011405956239213E-3</v>
      </c>
      <c r="W151" s="2136">
        <f t="shared" si="11"/>
        <v>1.5775739151304174E-2</v>
      </c>
      <c r="X151" s="2136">
        <f t="shared" si="11"/>
        <v>5.943577494281883E-3</v>
      </c>
      <c r="Y151" s="2136">
        <f t="shared" si="11"/>
        <v>6.0682050040387963E-3</v>
      </c>
      <c r="Z151" s="2136">
        <f t="shared" si="11"/>
        <v>8.0514352889036155E-3</v>
      </c>
      <c r="AA151" s="2136">
        <f t="shared" si="11"/>
        <v>2.3056743606220665E-2</v>
      </c>
      <c r="AB151" s="2136">
        <f t="shared" si="11"/>
        <v>1.4530869518673604E-2</v>
      </c>
      <c r="AC151" s="2136">
        <f t="shared" si="11"/>
        <v>1.0448905326399046E-2</v>
      </c>
      <c r="AD151" s="2136">
        <f t="shared" si="11"/>
        <v>1.5775739151304174E-2</v>
      </c>
      <c r="AE151" s="2136">
        <f t="shared" si="11"/>
        <v>1.4530869518673604E-2</v>
      </c>
      <c r="AF151" s="2136">
        <f ca="1">Steel!H119</f>
        <v>6.375490150234568</v>
      </c>
      <c r="AG151" s="2136">
        <f ca="1">Steel!H119</f>
        <v>6.375490150234568</v>
      </c>
      <c r="AH151" s="2136">
        <f ca="1">Steel!H119</f>
        <v>6.375490150234568</v>
      </c>
      <c r="AI151" s="2136">
        <f ca="1">Steel!$D$140*Steel!C153+Steel!D153</f>
        <v>20.367370529960844</v>
      </c>
      <c r="AJ151" s="2136">
        <f ca="1">Steel!$D$208*Steel!C221+Steel!D221</f>
        <v>20.367370529960844</v>
      </c>
      <c r="AK151" s="2136">
        <f ca="1">'C.Iron'!C73+'C.Iron'!E73</f>
        <v>423.57599066529104</v>
      </c>
      <c r="AL151" s="2136">
        <f>'C.Iron'!D73+'C.Iron'!E73</f>
        <v>139.51844905684575</v>
      </c>
      <c r="AM151" s="2136">
        <f ca="1">W.Al!$I$122*W.Al!I137</f>
        <v>6.3754901502345698</v>
      </c>
      <c r="AN151" s="2136">
        <f ca="1">W.Al!$I$123*W.Al!I137</f>
        <v>6.3754901502345698</v>
      </c>
      <c r="AO151" s="2136">
        <f ca="1">W.Al!$J$124*W.Al!J137</f>
        <v>25.99954188392671</v>
      </c>
      <c r="AP151" s="2136">
        <f ca="1">W.Al!$F$160*W.Al!F175</f>
        <v>6.3754901502345698</v>
      </c>
      <c r="AQ151" s="2136">
        <f ca="1">W.Al!$F$161*W.Al!F175</f>
        <v>6.3754901502345698</v>
      </c>
      <c r="AR151" s="2136">
        <f ca="1">W.Al!$G$162*W.Al!G175</f>
        <v>25.99954188392671</v>
      </c>
      <c r="AS151" s="2136">
        <f ca="1">'C.Al'!$G$113*'C.Al'!G126+'C.Al'!$H$113*'C.Al'!H126</f>
        <v>36.561464888837278</v>
      </c>
      <c r="AT151" s="2136">
        <f ca="1">'C.Al'!$D$149*'C.Al'!D162+'C.Al'!$E$149*'C.Al'!E162</f>
        <v>36.561464888837278</v>
      </c>
      <c r="AU151" s="2136">
        <f>Copper!D74</f>
        <v>25.644115323091732</v>
      </c>
      <c r="AV151" s="2136">
        <f>Glass!B82</f>
        <v>26.011679330955555</v>
      </c>
      <c r="AW151" s="2136">
        <f>Vehi_Plastics!B$19*Vehi_Plastics!X116</f>
        <v>25.441009734455708</v>
      </c>
      <c r="AX151" s="2136">
        <f>Vehi_Plastics!C$19*Vehi_Plastics!AA116</f>
        <v>88.646605266353689</v>
      </c>
      <c r="AY151" s="2136">
        <f>Vehi_Plastics!D$19*Vehi_Plastics!AB116</f>
        <v>39.435044741025912</v>
      </c>
      <c r="AZ151" s="2136">
        <f>Vehi_Plastics!E$19*Vehi_Plastics!AC116</f>
        <v>15.402281191247843</v>
      </c>
      <c r="BA151" s="2136">
        <f>Vehi_Plastics!F$19*Vehi_Plastics!AD116</f>
        <v>31.551478302608352</v>
      </c>
      <c r="BB151" s="2136">
        <f>Vehi_Plastics!G$19*Vehi_Plastics!AE116</f>
        <v>11.887154988563767</v>
      </c>
      <c r="BC151" s="2136">
        <f>Vehi_Plastics!H$19*Vehi_Plastics!AF116</f>
        <v>12.136410008077593</v>
      </c>
      <c r="BD151" s="2136">
        <f>Vehi_Plastics!I$19*Vehi_Plastics!AG116</f>
        <v>16.102870577807231</v>
      </c>
      <c r="BE151" s="2136">
        <f>Vehi_Plastics!J$19*Vehi_Plastics!AH116</f>
        <v>46.113487212441328</v>
      </c>
      <c r="BF151" s="2136">
        <f>Vehi_Plastics!K$19*Vehi_Plastics!AI116</f>
        <v>29.061739037347209</v>
      </c>
      <c r="BG151" s="2136">
        <f>Vehi_Plastics!L$19*Vehi_Plastics!AJ116</f>
        <v>20.897810652798093</v>
      </c>
      <c r="BH151" s="2136">
        <f>Rubber!$A$6*Rubber!C76</f>
        <v>31.551478302608352</v>
      </c>
      <c r="BI151" s="2185">
        <f>Rubber!$B$6*Rubber!D76</f>
        <v>29.061739037347209</v>
      </c>
    </row>
    <row r="152" spans="1:61" s="2136" customFormat="1" ht="15.75">
      <c r="A152" s="2236" t="s">
        <v>2545</v>
      </c>
      <c r="B152" s="2136">
        <f t="shared" ca="1" si="10"/>
        <v>2.785494982854754E-2</v>
      </c>
      <c r="C152" s="2136">
        <f t="shared" ca="1" si="10"/>
        <v>2.785494982854754E-2</v>
      </c>
      <c r="D152" s="2136">
        <f t="shared" ca="1" si="10"/>
        <v>2.785494982854754E-2</v>
      </c>
      <c r="E152" s="2136">
        <f t="shared" ca="1" si="10"/>
        <v>6.4631597633091661E-2</v>
      </c>
      <c r="F152" s="2136">
        <f t="shared" ca="1" si="10"/>
        <v>6.4631597633091661E-2</v>
      </c>
      <c r="G152" s="2136">
        <f t="shared" ca="1" si="10"/>
        <v>1.6566602285275109</v>
      </c>
      <c r="H152" s="2136">
        <f t="shared" si="10"/>
        <v>0.24123037277587794</v>
      </c>
      <c r="I152" s="2136">
        <f t="shared" ca="1" si="10"/>
        <v>2.7854949828547547E-2</v>
      </c>
      <c r="J152" s="2136">
        <f t="shared" ca="1" si="10"/>
        <v>2.7854949828547547E-2</v>
      </c>
      <c r="K152" s="2136">
        <f t="shared" ca="1" si="10"/>
        <v>5.7523446991827737E-2</v>
      </c>
      <c r="L152" s="2136">
        <f t="shared" ca="1" si="10"/>
        <v>2.7854949828547547E-2</v>
      </c>
      <c r="M152" s="2136">
        <f t="shared" ca="1" si="10"/>
        <v>2.7854949828547547E-2</v>
      </c>
      <c r="N152" s="2136">
        <f t="shared" ca="1" si="10"/>
        <v>5.7523446991827737E-2</v>
      </c>
      <c r="O152" s="2136">
        <f t="shared" ca="1" si="10"/>
        <v>6.5121799500080083E-2</v>
      </c>
      <c r="P152" s="2136">
        <f t="shared" ca="1" si="10"/>
        <v>6.5121799500080083E-2</v>
      </c>
      <c r="Q152" s="2136">
        <f t="shared" si="10"/>
        <v>0.10525186349234145</v>
      </c>
      <c r="R152" s="2136">
        <f t="shared" si="11"/>
        <v>3.1689818080734469E-2</v>
      </c>
      <c r="S152" s="2136">
        <f t="shared" si="11"/>
        <v>0.1111535008355052</v>
      </c>
      <c r="T152" s="2136">
        <f t="shared" si="11"/>
        <v>0.31008169579241784</v>
      </c>
      <c r="U152" s="2136">
        <f t="shared" si="11"/>
        <v>0.17153244341241625</v>
      </c>
      <c r="V152" s="2136">
        <f t="shared" si="11"/>
        <v>6.7293613466190533E-2</v>
      </c>
      <c r="W152" s="2136">
        <f t="shared" si="11"/>
        <v>8.9956941586535027E-2</v>
      </c>
      <c r="X152" s="2136">
        <f t="shared" si="11"/>
        <v>5.1935788152449709E-2</v>
      </c>
      <c r="Y152" s="2136">
        <f t="shared" si="11"/>
        <v>5.3024800275355402E-2</v>
      </c>
      <c r="Z152" s="2136">
        <f t="shared" si="11"/>
        <v>7.0354536117338634E-2</v>
      </c>
      <c r="AA152" s="2136">
        <f t="shared" si="11"/>
        <v>0.20147296011031599</v>
      </c>
      <c r="AB152" s="2136">
        <f t="shared" si="11"/>
        <v>0.12697271327222803</v>
      </c>
      <c r="AC152" s="2136">
        <f t="shared" si="11"/>
        <v>9.1303955232173037E-2</v>
      </c>
      <c r="AD152" s="2136">
        <f t="shared" si="11"/>
        <v>8.9956941586535014E-2</v>
      </c>
      <c r="AE152" s="2136">
        <f t="shared" si="11"/>
        <v>0.12697271327222803</v>
      </c>
      <c r="AF152" s="2136">
        <f ca="1">Steel!H120</f>
        <v>55.709899657095079</v>
      </c>
      <c r="AG152" s="2136">
        <f ca="1">Steel!H120</f>
        <v>55.709899657095079</v>
      </c>
      <c r="AH152" s="2136">
        <f ca="1">Steel!H120</f>
        <v>55.709899657095079</v>
      </c>
      <c r="AI152" s="2136">
        <f ca="1">Steel!$D$140*Steel!C154+Steel!D154</f>
        <v>129.26319526618332</v>
      </c>
      <c r="AJ152" s="2136">
        <f ca="1">Steel!$D$208*Steel!C222+Steel!D222</f>
        <v>129.26319526618332</v>
      </c>
      <c r="AK152" s="2136">
        <f ca="1">'C.Iron'!C74+'C.Iron'!E74</f>
        <v>3313.320457055022</v>
      </c>
      <c r="AL152" s="2136">
        <f>'C.Iron'!D74+'C.Iron'!E74</f>
        <v>482.46074555175591</v>
      </c>
      <c r="AM152" s="2136">
        <f ca="1">W.Al!$I$122*W.Al!I138</f>
        <v>55.709899657095093</v>
      </c>
      <c r="AN152" s="2136">
        <f ca="1">W.Al!$I$123*W.Al!I138</f>
        <v>55.709899657095093</v>
      </c>
      <c r="AO152" s="2136">
        <f ca="1">W.Al!$J$124*W.Al!J138</f>
        <v>115.04689398365548</v>
      </c>
      <c r="AP152" s="2136">
        <f ca="1">W.Al!$F$160*W.Al!F176</f>
        <v>55.709899657095093</v>
      </c>
      <c r="AQ152" s="2136">
        <f ca="1">W.Al!$F$161*W.Al!F176</f>
        <v>55.709899657095093</v>
      </c>
      <c r="AR152" s="2136">
        <f ca="1">W.Al!$G$162*W.Al!G176</f>
        <v>115.04689398365548</v>
      </c>
      <c r="AS152" s="2136">
        <f ca="1">'C.Al'!$G$113*'C.Al'!G127+'C.Al'!$H$113*'C.Al'!H127</f>
        <v>130.24359900016017</v>
      </c>
      <c r="AT152" s="2136">
        <f ca="1">'C.Al'!$D$149*'C.Al'!D163+'C.Al'!$E$149*'C.Al'!E163</f>
        <v>130.24359900016017</v>
      </c>
      <c r="AU152" s="2136">
        <f>Copper!D75</f>
        <v>210.50372698468288</v>
      </c>
      <c r="AV152" s="2136">
        <f>Glass!B83</f>
        <v>63.379636161468937</v>
      </c>
      <c r="AW152" s="2136">
        <f>Vehi_Plastics!B$19*Vehi_Plastics!X117</f>
        <v>222.3070016710104</v>
      </c>
      <c r="AX152" s="2136">
        <f>Vehi_Plastics!C$19*Vehi_Plastics!AA117</f>
        <v>620.16339158483572</v>
      </c>
      <c r="AY152" s="2136">
        <f>Vehi_Plastics!D$19*Vehi_Plastics!AB117</f>
        <v>343.06488682483251</v>
      </c>
      <c r="AZ152" s="2136">
        <f>Vehi_Plastics!E$19*Vehi_Plastics!AC117</f>
        <v>134.58722693238107</v>
      </c>
      <c r="BA152" s="2136">
        <f>Vehi_Plastics!F$19*Vehi_Plastics!AD117</f>
        <v>179.91388317307005</v>
      </c>
      <c r="BB152" s="2136">
        <f>Vehi_Plastics!G$19*Vehi_Plastics!AE117</f>
        <v>103.87157630489942</v>
      </c>
      <c r="BC152" s="2136">
        <f>Vehi_Plastics!H$19*Vehi_Plastics!AF117</f>
        <v>106.04960055071081</v>
      </c>
      <c r="BD152" s="2136">
        <f>Vehi_Plastics!I$19*Vehi_Plastics!AG117</f>
        <v>140.70907223467728</v>
      </c>
      <c r="BE152" s="2136">
        <f>Vehi_Plastics!J$19*Vehi_Plastics!AH117</f>
        <v>402.94592022063199</v>
      </c>
      <c r="BF152" s="2136">
        <f>Vehi_Plastics!K$19*Vehi_Plastics!AI117</f>
        <v>253.94542654445607</v>
      </c>
      <c r="BG152" s="2136">
        <f>Vehi_Plastics!L$19*Vehi_Plastics!AJ117</f>
        <v>182.60791046434608</v>
      </c>
      <c r="BH152" s="2136">
        <f>Rubber!$A$6*Rubber!C77</f>
        <v>179.91388317307002</v>
      </c>
      <c r="BI152" s="2185">
        <f>Rubber!$B$6*Rubber!D77</f>
        <v>253.94542654445607</v>
      </c>
    </row>
    <row r="153" spans="1:61" s="2136" customFormat="1">
      <c r="A153" s="2236" t="s">
        <v>827</v>
      </c>
      <c r="B153" s="2136">
        <f t="shared" ca="1" si="10"/>
        <v>1.9449898082129341E-4</v>
      </c>
      <c r="C153" s="2136">
        <f t="shared" ca="1" si="10"/>
        <v>1.9449898082129341E-4</v>
      </c>
      <c r="D153" s="2136">
        <f t="shared" ca="1" si="10"/>
        <v>1.9449898082129341E-4</v>
      </c>
      <c r="E153" s="2136">
        <f t="shared" ca="1" si="10"/>
        <v>1.0966997039070065E-3</v>
      </c>
      <c r="F153" s="2136">
        <f t="shared" ca="1" si="10"/>
        <v>1.0966997039070065E-3</v>
      </c>
      <c r="G153" s="2136">
        <f t="shared" ca="1" si="10"/>
        <v>1.1729182909814093E-3</v>
      </c>
      <c r="H153" s="2136">
        <f t="shared" si="10"/>
        <v>1.1445326891030196E-2</v>
      </c>
      <c r="I153" s="2136">
        <f t="shared" ca="1" si="10"/>
        <v>1.9449898082129347E-4</v>
      </c>
      <c r="J153" s="2136">
        <f t="shared" ca="1" si="10"/>
        <v>1.9449898082129347E-4</v>
      </c>
      <c r="K153" s="2136">
        <f t="shared" ca="1" si="10"/>
        <v>1.9551939272697805E-3</v>
      </c>
      <c r="L153" s="2136">
        <f t="shared" ca="1" si="10"/>
        <v>1.9449898082129347E-4</v>
      </c>
      <c r="M153" s="2136">
        <f t="shared" ca="1" si="10"/>
        <v>1.9449898082129347E-4</v>
      </c>
      <c r="N153" s="2136">
        <f t="shared" ca="1" si="10"/>
        <v>1.9551939272697805E-3</v>
      </c>
      <c r="O153" s="2136">
        <f t="shared" ca="1" si="10"/>
        <v>2.9620964199427269E-3</v>
      </c>
      <c r="P153" s="2136">
        <f t="shared" ca="1" si="10"/>
        <v>2.9620964199427269E-3</v>
      </c>
      <c r="Q153" s="2136">
        <f t="shared" si="10"/>
        <v>8.4130759804343196E-4</v>
      </c>
      <c r="R153" s="2136">
        <f t="shared" si="11"/>
        <v>8.400924224317471E-4</v>
      </c>
      <c r="S153" s="2136">
        <f t="shared" si="11"/>
        <v>7.7613647701019227E-4</v>
      </c>
      <c r="T153" s="2136">
        <f t="shared" si="11"/>
        <v>3.7576012213422815E-3</v>
      </c>
      <c r="U153" s="2136">
        <f t="shared" si="11"/>
        <v>1.2529077624518731E-3</v>
      </c>
      <c r="V153" s="2136">
        <f t="shared" si="11"/>
        <v>4.6988198921622722E-4</v>
      </c>
      <c r="W153" s="2136">
        <f t="shared" si="11"/>
        <v>1.8973156719583055E-3</v>
      </c>
      <c r="X153" s="2136">
        <f t="shared" si="11"/>
        <v>3.6264498503779213E-4</v>
      </c>
      <c r="Y153" s="2136">
        <f t="shared" si="11"/>
        <v>3.7024908230994419E-4</v>
      </c>
      <c r="Z153" s="2136">
        <f t="shared" si="11"/>
        <v>4.9125507872762773E-4</v>
      </c>
      <c r="AA153" s="2136">
        <f t="shared" si="11"/>
        <v>1.4067979172715992E-3</v>
      </c>
      <c r="AB153" s="2136">
        <f t="shared" si="11"/>
        <v>8.8659514648461361E-4</v>
      </c>
      <c r="AC153" s="2136">
        <f t="shared" si="11"/>
        <v>6.3753574667761844E-4</v>
      </c>
      <c r="AD153" s="2136">
        <f t="shared" si="11"/>
        <v>1.8973156719583053E-3</v>
      </c>
      <c r="AE153" s="2136">
        <f t="shared" si="11"/>
        <v>8.8659514648461361E-4</v>
      </c>
      <c r="AF153" s="2136">
        <f ca="1">Steel!H121</f>
        <v>0.38899796164258682</v>
      </c>
      <c r="AG153" s="2136">
        <f ca="1">Steel!H121</f>
        <v>0.38899796164258682</v>
      </c>
      <c r="AH153" s="2136">
        <f ca="1">Steel!H121</f>
        <v>0.38899796164258682</v>
      </c>
      <c r="AI153" s="2136">
        <f ca="1">Steel!$D$140*Steel!C155+Steel!D155</f>
        <v>2.1933994078140131</v>
      </c>
      <c r="AJ153" s="2136">
        <f ca="1">Steel!$D$208*Steel!C223+Steel!D223</f>
        <v>2.1933994078140131</v>
      </c>
      <c r="AK153" s="2136">
        <f ca="1">'C.Iron'!C75+'C.Iron'!E75</f>
        <v>2.3458365819628186</v>
      </c>
      <c r="AL153" s="2136">
        <f>'C.Iron'!D75+'C.Iron'!E75</f>
        <v>22.890653782060394</v>
      </c>
      <c r="AM153" s="2136">
        <f ca="1">W.Al!$I$122*W.Al!I139</f>
        <v>0.38899796164258693</v>
      </c>
      <c r="AN153" s="2136">
        <f ca="1">W.Al!$I$123*W.Al!I139</f>
        <v>0.38899796164258693</v>
      </c>
      <c r="AO153" s="2136">
        <f ca="1">W.Al!$J$124*W.Al!J139</f>
        <v>3.9103878545395609</v>
      </c>
      <c r="AP153" s="2136">
        <f ca="1">W.Al!$F$160*W.Al!F177</f>
        <v>0.38899796164258693</v>
      </c>
      <c r="AQ153" s="2136">
        <f ca="1">W.Al!$F$161*W.Al!F177</f>
        <v>0.38899796164258693</v>
      </c>
      <c r="AR153" s="2136">
        <f ca="1">W.Al!$G$162*W.Al!G177</f>
        <v>3.9103878545395609</v>
      </c>
      <c r="AS153" s="2136">
        <f ca="1">'C.Al'!$G$113*'C.Al'!G128+'C.Al'!$H$113*'C.Al'!H128</f>
        <v>5.9241928398854533</v>
      </c>
      <c r="AT153" s="2136">
        <f ca="1">'C.Al'!$D$149*'C.Al'!D164+'C.Al'!$E$149*'C.Al'!E164</f>
        <v>5.9241928398854533</v>
      </c>
      <c r="AU153" s="2136">
        <f>Copper!D76</f>
        <v>1.6826151960868638</v>
      </c>
      <c r="AV153" s="2136">
        <f>Glass!B84</f>
        <v>1.6801848448634942</v>
      </c>
      <c r="AW153" s="2136">
        <f>Vehi_Plastics!B$19*Vehi_Plastics!X118</f>
        <v>1.5522729540203846</v>
      </c>
      <c r="AX153" s="2136">
        <f>Vehi_Plastics!C$19*Vehi_Plastics!AA118</f>
        <v>7.5152024426845632</v>
      </c>
      <c r="AY153" s="2136">
        <f>Vehi_Plastics!D$19*Vehi_Plastics!AB118</f>
        <v>2.5058155249037459</v>
      </c>
      <c r="AZ153" s="2136">
        <f>Vehi_Plastics!E$19*Vehi_Plastics!AC118</f>
        <v>0.93976397843245441</v>
      </c>
      <c r="BA153" s="2136">
        <f>Vehi_Plastics!F$19*Vehi_Plastics!AD118</f>
        <v>3.7946313439166111</v>
      </c>
      <c r="BB153" s="2136">
        <f>Vehi_Plastics!G$19*Vehi_Plastics!AE118</f>
        <v>0.72528997007558427</v>
      </c>
      <c r="BC153" s="2136">
        <f>Vehi_Plastics!H$19*Vehi_Plastics!AF118</f>
        <v>0.74049816461988838</v>
      </c>
      <c r="BD153" s="2136">
        <f>Vehi_Plastics!I$19*Vehi_Plastics!AG118</f>
        <v>0.9825101574552555</v>
      </c>
      <c r="BE153" s="2136">
        <f>Vehi_Plastics!J$19*Vehi_Plastics!AH118</f>
        <v>2.8135958345431984</v>
      </c>
      <c r="BF153" s="2136">
        <f>Vehi_Plastics!K$19*Vehi_Plastics!AI118</f>
        <v>1.7731902929692271</v>
      </c>
      <c r="BG153" s="2136">
        <f>Vehi_Plastics!L$19*Vehi_Plastics!AJ118</f>
        <v>1.275071493355237</v>
      </c>
      <c r="BH153" s="2136">
        <f>Rubber!$A$6*Rubber!C78</f>
        <v>3.7946313439166106</v>
      </c>
      <c r="BI153" s="2185">
        <f>Rubber!$B$6*Rubber!D78</f>
        <v>1.7731902929692271</v>
      </c>
    </row>
    <row r="154" spans="1:61" s="2136" customFormat="1">
      <c r="A154" s="2236" t="s">
        <v>828</v>
      </c>
      <c r="B154" s="2136">
        <f t="shared" ca="1" si="10"/>
        <v>9.2576802741031034E-4</v>
      </c>
      <c r="C154" s="2136">
        <f t="shared" ca="1" si="10"/>
        <v>9.2576802741031034E-4</v>
      </c>
      <c r="D154" s="2136">
        <f t="shared" ca="1" si="10"/>
        <v>9.2576802741031034E-4</v>
      </c>
      <c r="E154" s="2136">
        <f t="shared" ca="1" si="10"/>
        <v>3.5137291147661256E-3</v>
      </c>
      <c r="F154" s="2136">
        <f t="shared" ca="1" si="10"/>
        <v>3.5137291147661256E-3</v>
      </c>
      <c r="G154" s="2136">
        <f t="shared" ca="1" si="10"/>
        <v>3.2164811464074111E-3</v>
      </c>
      <c r="H154" s="2136">
        <f t="shared" si="10"/>
        <v>2.8671471187464898E-2</v>
      </c>
      <c r="I154" s="2136">
        <f t="shared" ca="1" si="10"/>
        <v>9.2576802741031077E-4</v>
      </c>
      <c r="J154" s="2136">
        <f t="shared" ca="1" si="10"/>
        <v>9.2576802741031077E-4</v>
      </c>
      <c r="K154" s="2136">
        <f t="shared" ca="1" si="10"/>
        <v>5.0756568424808555E-3</v>
      </c>
      <c r="L154" s="2136">
        <f t="shared" ca="1" si="10"/>
        <v>9.2576802741031077E-4</v>
      </c>
      <c r="M154" s="2136">
        <f t="shared" ca="1" si="10"/>
        <v>9.2576802741031077E-4</v>
      </c>
      <c r="N154" s="2136">
        <f t="shared" ca="1" si="10"/>
        <v>5.0756568424808555E-3</v>
      </c>
      <c r="O154" s="2136">
        <f t="shared" ca="1" si="10"/>
        <v>7.4699571245323776E-3</v>
      </c>
      <c r="P154" s="2136">
        <f t="shared" ca="1" si="10"/>
        <v>7.4699571245323776E-3</v>
      </c>
      <c r="Q154" s="2136">
        <f t="shared" si="10"/>
        <v>2.1829870722602988E-3</v>
      </c>
      <c r="R154" s="2136">
        <f t="shared" si="11"/>
        <v>1.3768587811476022E-3</v>
      </c>
      <c r="S154" s="2136">
        <f t="shared" si="11"/>
        <v>3.6942215958606756E-3</v>
      </c>
      <c r="T154" s="2136">
        <f t="shared" si="11"/>
        <v>6.5349028525160183E-3</v>
      </c>
      <c r="U154" s="2136">
        <f t="shared" si="11"/>
        <v>5.7253526494666206E-3</v>
      </c>
      <c r="V154" s="2136">
        <f t="shared" si="11"/>
        <v>2.2365244302849133E-3</v>
      </c>
      <c r="W154" s="2136">
        <f t="shared" si="11"/>
        <v>5.6753434105765374E-3</v>
      </c>
      <c r="X154" s="2136">
        <f t="shared" si="11"/>
        <v>1.7261022707216356E-3</v>
      </c>
      <c r="Y154" s="2136">
        <f t="shared" si="11"/>
        <v>1.7622959314912226E-3</v>
      </c>
      <c r="Z154" s="2136">
        <f t="shared" si="11"/>
        <v>2.3382551582973809E-3</v>
      </c>
      <c r="AA154" s="2136">
        <f t="shared" si="11"/>
        <v>6.6960172610574433E-3</v>
      </c>
      <c r="AB154" s="2136">
        <f t="shared" si="11"/>
        <v>4.2199781017194836E-3</v>
      </c>
      <c r="AC154" s="2136">
        <f t="shared" si="11"/>
        <v>3.0345156982986262E-3</v>
      </c>
      <c r="AD154" s="2136">
        <f t="shared" si="11"/>
        <v>5.6753434105765365E-3</v>
      </c>
      <c r="AE154" s="2136">
        <f t="shared" si="11"/>
        <v>4.2199781017194836E-3</v>
      </c>
      <c r="AF154" s="2136">
        <f ca="1">Steel!H122</f>
        <v>1.8515360548206208</v>
      </c>
      <c r="AG154" s="2136">
        <f ca="1">Steel!H122</f>
        <v>1.8515360548206208</v>
      </c>
      <c r="AH154" s="2136">
        <f ca="1">Steel!H122</f>
        <v>1.8515360548206208</v>
      </c>
      <c r="AI154" s="2136">
        <f ca="1">Steel!$D$140*Steel!C156+Steel!D156</f>
        <v>7.0274582295322512</v>
      </c>
      <c r="AJ154" s="2136">
        <f ca="1">Steel!$D$208*Steel!C224+Steel!D224</f>
        <v>7.0274582295322512</v>
      </c>
      <c r="AK154" s="2136">
        <f ca="1">'C.Iron'!C76+'C.Iron'!E76</f>
        <v>6.432962292814822</v>
      </c>
      <c r="AL154" s="2136">
        <f>'C.Iron'!D76+'C.Iron'!E76</f>
        <v>57.342942374929798</v>
      </c>
      <c r="AM154" s="2136">
        <f ca="1">W.Al!$I$122*W.Al!I140</f>
        <v>1.8515360548206214</v>
      </c>
      <c r="AN154" s="2136">
        <f ca="1">W.Al!$I$123*W.Al!I140</f>
        <v>1.8515360548206214</v>
      </c>
      <c r="AO154" s="2136">
        <f ca="1">W.Al!$J$124*W.Al!J140</f>
        <v>10.15131368496171</v>
      </c>
      <c r="AP154" s="2136">
        <f ca="1">W.Al!$F$160*W.Al!F178</f>
        <v>1.8515360548206214</v>
      </c>
      <c r="AQ154" s="2136">
        <f ca="1">W.Al!$F$161*W.Al!F178</f>
        <v>1.8515360548206214</v>
      </c>
      <c r="AR154" s="2136">
        <f ca="1">W.Al!$G$162*W.Al!G178</f>
        <v>10.15131368496171</v>
      </c>
      <c r="AS154" s="2136">
        <f ca="1">'C.Al'!$G$113*'C.Al'!G129+'C.Al'!$H$113*'C.Al'!H129</f>
        <v>14.939914249064755</v>
      </c>
      <c r="AT154" s="2136">
        <f ca="1">'C.Al'!$D$149*'C.Al'!D165+'C.Al'!$E$149*'C.Al'!E165</f>
        <v>14.939914249064755</v>
      </c>
      <c r="AU154" s="2136">
        <f>Copper!D77</f>
        <v>4.3659741445205977</v>
      </c>
      <c r="AV154" s="2136">
        <f>Glass!B85</f>
        <v>2.7537175622952046</v>
      </c>
      <c r="AW154" s="2136">
        <f>Vehi_Plastics!B$19*Vehi_Plastics!X119</f>
        <v>7.3884431917213513</v>
      </c>
      <c r="AX154" s="2136">
        <f>Vehi_Plastics!C$19*Vehi_Plastics!AA119</f>
        <v>13.069805705032037</v>
      </c>
      <c r="AY154" s="2136">
        <f>Vehi_Plastics!D$19*Vehi_Plastics!AB119</f>
        <v>11.450705298933242</v>
      </c>
      <c r="AZ154" s="2136">
        <f>Vehi_Plastics!E$19*Vehi_Plastics!AC119</f>
        <v>4.4730488605698264</v>
      </c>
      <c r="BA154" s="2136">
        <f>Vehi_Plastics!F$19*Vehi_Plastics!AD119</f>
        <v>11.350686821153074</v>
      </c>
      <c r="BB154" s="2136">
        <f>Vehi_Plastics!G$19*Vehi_Plastics!AE119</f>
        <v>3.4522045414432712</v>
      </c>
      <c r="BC154" s="2136">
        <f>Vehi_Plastics!H$19*Vehi_Plastics!AF119</f>
        <v>3.5245918629824451</v>
      </c>
      <c r="BD154" s="2136">
        <f>Vehi_Plastics!I$19*Vehi_Plastics!AG119</f>
        <v>4.6765103165947615</v>
      </c>
      <c r="BE154" s="2136">
        <f>Vehi_Plastics!J$19*Vehi_Plastics!AH119</f>
        <v>13.392034522114887</v>
      </c>
      <c r="BF154" s="2136">
        <f>Vehi_Plastics!K$19*Vehi_Plastics!AI119</f>
        <v>8.4399562034389675</v>
      </c>
      <c r="BG154" s="2136">
        <f>Vehi_Plastics!L$19*Vehi_Plastics!AJ119</f>
        <v>6.0690313965972527</v>
      </c>
      <c r="BH154" s="2136">
        <f>Rubber!$A$6*Rubber!C79</f>
        <v>11.350686821153072</v>
      </c>
      <c r="BI154" s="2185">
        <f>Rubber!$B$6*Rubber!D79</f>
        <v>8.4399562034389675</v>
      </c>
    </row>
    <row r="155" spans="1:61" s="2136" customFormat="1" ht="15.75">
      <c r="A155" s="2236" t="s">
        <v>2546</v>
      </c>
      <c r="B155" s="2136">
        <f t="shared" ca="1" si="10"/>
        <v>0.11518438294308143</v>
      </c>
      <c r="C155" s="2136">
        <f t="shared" ca="1" si="10"/>
        <v>0.11518438294308143</v>
      </c>
      <c r="D155" s="2136">
        <f t="shared" ca="1" si="10"/>
        <v>0.11518438294308143</v>
      </c>
      <c r="E155" s="2136">
        <f t="shared" ca="1" si="10"/>
        <v>0.45102850755732854</v>
      </c>
      <c r="F155" s="2136">
        <f t="shared" ca="1" si="10"/>
        <v>0.45102850755732854</v>
      </c>
      <c r="G155" s="2136">
        <f t="shared" ca="1" si="10"/>
        <v>1.483468559301454</v>
      </c>
      <c r="H155" s="2136">
        <f t="shared" si="10"/>
        <v>3.7767641608601097</v>
      </c>
      <c r="I155" s="2136">
        <f t="shared" ca="1" si="10"/>
        <v>0.11518438294308146</v>
      </c>
      <c r="J155" s="2136">
        <f t="shared" ca="1" si="10"/>
        <v>0.11518438294308146</v>
      </c>
      <c r="K155" s="2136">
        <f t="shared" ca="1" si="10"/>
        <v>0.66637660548352973</v>
      </c>
      <c r="L155" s="2136">
        <f t="shared" ca="1" si="10"/>
        <v>0.11518438294308146</v>
      </c>
      <c r="M155" s="2136">
        <f t="shared" ca="1" si="10"/>
        <v>0.11518438294308146</v>
      </c>
      <c r="N155" s="2136">
        <f t="shared" ca="1" si="10"/>
        <v>0.66637660548352973</v>
      </c>
      <c r="O155" s="2136">
        <f t="shared" ca="1" si="10"/>
        <v>0.98321798654813475</v>
      </c>
      <c r="P155" s="2136">
        <f t="shared" ca="1" si="10"/>
        <v>0.98321798654813475</v>
      </c>
      <c r="Q155" s="2136">
        <f t="shared" si="10"/>
        <v>0.26301426307173287</v>
      </c>
      <c r="R155" s="2136">
        <f t="shared" si="11"/>
        <v>0.13453960608545398</v>
      </c>
      <c r="S155" s="2136">
        <f t="shared" si="11"/>
        <v>0.45963634774094858</v>
      </c>
      <c r="T155" s="2136">
        <f t="shared" si="11"/>
        <v>0.79173939372032631</v>
      </c>
      <c r="U155" s="2136">
        <f t="shared" si="11"/>
        <v>0.71036412517202663</v>
      </c>
      <c r="V155" s="2136">
        <f t="shared" si="11"/>
        <v>0.2782691547040409</v>
      </c>
      <c r="W155" s="2136">
        <f t="shared" si="11"/>
        <v>0.73336237965617257</v>
      </c>
      <c r="X155" s="2136">
        <f t="shared" si="11"/>
        <v>0.21476225043749983</v>
      </c>
      <c r="Y155" s="2136">
        <f t="shared" si="11"/>
        <v>0.21926547841552585</v>
      </c>
      <c r="Z155" s="2136">
        <f t="shared" si="11"/>
        <v>0.29092652759392701</v>
      </c>
      <c r="AA155" s="2136">
        <f t="shared" si="11"/>
        <v>0.83312081812616512</v>
      </c>
      <c r="AB155" s="2136">
        <f t="shared" si="11"/>
        <v>0.52505115675640079</v>
      </c>
      <c r="AC155" s="2136">
        <f t="shared" si="11"/>
        <v>0.37755550838947488</v>
      </c>
      <c r="AD155" s="2136">
        <f t="shared" si="11"/>
        <v>0.73336237965617246</v>
      </c>
      <c r="AE155" s="2136">
        <f t="shared" si="11"/>
        <v>0.52505115675640079</v>
      </c>
      <c r="AF155" s="2136">
        <f ca="1">Steel!H123</f>
        <v>230.36876588616286</v>
      </c>
      <c r="AG155" s="2136">
        <f ca="1">Steel!H123</f>
        <v>230.36876588616286</v>
      </c>
      <c r="AH155" s="2136">
        <f ca="1">Steel!H123</f>
        <v>230.36876588616286</v>
      </c>
      <c r="AI155" s="2136">
        <f ca="1">Steel!$D$140*Steel!C157+Steel!D157</f>
        <v>902.05701511465713</v>
      </c>
      <c r="AJ155" s="2136">
        <f ca="1">Steel!$D$208*Steel!C225+Steel!D225</f>
        <v>902.05701511465713</v>
      </c>
      <c r="AK155" s="2136">
        <f ca="1">'C.Iron'!C77+'C.Iron'!E77</f>
        <v>2966.937118602908</v>
      </c>
      <c r="AL155" s="2136">
        <f>'C.Iron'!D77+'C.Iron'!E77</f>
        <v>7553.5283217202195</v>
      </c>
      <c r="AM155" s="2136">
        <f ca="1">W.Al!$I$122*W.Al!I141</f>
        <v>230.36876588616292</v>
      </c>
      <c r="AN155" s="2136">
        <f ca="1">W.Al!$I$123*W.Al!I141</f>
        <v>230.36876588616292</v>
      </c>
      <c r="AO155" s="2136">
        <f ca="1">W.Al!$J$124*W.Al!J141</f>
        <v>1332.7532109670594</v>
      </c>
      <c r="AP155" s="2136">
        <f ca="1">W.Al!$F$160*W.Al!F179</f>
        <v>230.36876588616292</v>
      </c>
      <c r="AQ155" s="2136">
        <f ca="1">W.Al!$F$161*W.Al!F179</f>
        <v>230.36876588616292</v>
      </c>
      <c r="AR155" s="2136">
        <f ca="1">W.Al!$G$162*W.Al!G179</f>
        <v>1332.7532109670594</v>
      </c>
      <c r="AS155" s="2136">
        <f ca="1">'C.Al'!$G$113*'C.Al'!G130+'C.Al'!$H$113*'C.Al'!H130</f>
        <v>1966.4359730962694</v>
      </c>
      <c r="AT155" s="2136">
        <f ca="1">'C.Al'!$D$149*'C.Al'!D166+'C.Al'!$E$149*'C.Al'!E166</f>
        <v>1966.4359730962694</v>
      </c>
      <c r="AU155" s="2136">
        <f>Copper!D78</f>
        <v>526.02852614346568</v>
      </c>
      <c r="AV155" s="2136">
        <f>Glass!B86</f>
        <v>269.07921217090797</v>
      </c>
      <c r="AW155" s="2136">
        <f>Vehi_Plastics!B$19*Vehi_Plastics!X120</f>
        <v>919.27269548189713</v>
      </c>
      <c r="AX155" s="2136">
        <f>Vehi_Plastics!C$19*Vehi_Plastics!AA120</f>
        <v>1583.4787874406527</v>
      </c>
      <c r="AY155" s="2136">
        <f>Vehi_Plastics!D$19*Vehi_Plastics!AB120</f>
        <v>1420.7282503440533</v>
      </c>
      <c r="AZ155" s="2136">
        <f>Vehi_Plastics!E$19*Vehi_Plastics!AC120</f>
        <v>556.53830940808177</v>
      </c>
      <c r="BA155" s="2136">
        <f>Vehi_Plastics!F$19*Vehi_Plastics!AD120</f>
        <v>1466.7247593123452</v>
      </c>
      <c r="BB155" s="2136">
        <f>Vehi_Plastics!G$19*Vehi_Plastics!AE120</f>
        <v>429.52450087499966</v>
      </c>
      <c r="BC155" s="2136">
        <f>Vehi_Plastics!H$19*Vehi_Plastics!AF120</f>
        <v>438.5309568310517</v>
      </c>
      <c r="BD155" s="2136">
        <f>Vehi_Plastics!I$19*Vehi_Plastics!AG120</f>
        <v>581.85305518785401</v>
      </c>
      <c r="BE155" s="2136">
        <f>Vehi_Plastics!J$19*Vehi_Plastics!AH120</f>
        <v>1666.2416362523302</v>
      </c>
      <c r="BF155" s="2136">
        <f>Vehi_Plastics!K$19*Vehi_Plastics!AI120</f>
        <v>1050.1023135128016</v>
      </c>
      <c r="BG155" s="2136">
        <f>Vehi_Plastics!L$19*Vehi_Plastics!AJ120</f>
        <v>755.11101677894976</v>
      </c>
      <c r="BH155" s="2136">
        <f>Rubber!$A$6*Rubber!C80</f>
        <v>1466.724759312345</v>
      </c>
      <c r="BI155" s="2185">
        <f>Rubber!$B$6*Rubber!D80</f>
        <v>1050.1023135128016</v>
      </c>
    </row>
    <row r="156" spans="1:61" s="2136" customFormat="1" ht="15.75">
      <c r="A156" s="2236" t="s">
        <v>2547</v>
      </c>
      <c r="B156" s="2136">
        <f t="shared" ca="1" si="10"/>
        <v>1.0450455021032963E-3</v>
      </c>
      <c r="C156" s="2136">
        <f t="shared" ca="1" si="10"/>
        <v>1.0450455021032963E-3</v>
      </c>
      <c r="D156" s="2136">
        <f t="shared" ca="1" si="10"/>
        <v>1.0450455021032963E-3</v>
      </c>
      <c r="E156" s="2136">
        <f t="shared" ca="1" si="10"/>
        <v>4.3046264019876521E-3</v>
      </c>
      <c r="F156" s="2136">
        <f t="shared" ca="1" si="10"/>
        <v>4.3046264019876521E-3</v>
      </c>
      <c r="G156" s="2136">
        <f t="shared" ca="1" si="10"/>
        <v>2.182996905942142E-3</v>
      </c>
      <c r="H156" s="2136">
        <f t="shared" si="10"/>
        <v>3.7480124922248961E-2</v>
      </c>
      <c r="I156" s="2136">
        <f t="shared" ca="1" si="10"/>
        <v>1.0450455021032965E-3</v>
      </c>
      <c r="J156" s="2136">
        <f t="shared" ca="1" si="10"/>
        <v>1.0450455021032965E-3</v>
      </c>
      <c r="K156" s="2136">
        <f t="shared" ca="1" si="10"/>
        <v>6.560946219583589E-3</v>
      </c>
      <c r="L156" s="2136">
        <f t="shared" ca="1" si="10"/>
        <v>1.0450455021032965E-3</v>
      </c>
      <c r="M156" s="2136">
        <f t="shared" ca="1" si="10"/>
        <v>1.0450455021032965E-3</v>
      </c>
      <c r="N156" s="2136">
        <f t="shared" ca="1" si="10"/>
        <v>6.560946219583589E-3</v>
      </c>
      <c r="O156" s="2136">
        <f t="shared" ca="1" si="10"/>
        <v>9.7462274022945723E-3</v>
      </c>
      <c r="P156" s="2136">
        <f t="shared" ca="1" si="10"/>
        <v>9.7462274022945723E-3</v>
      </c>
      <c r="Q156" s="2136">
        <f t="shared" si="10"/>
        <v>2.7741763788458186E-3</v>
      </c>
      <c r="R156" s="2136">
        <f t="shared" si="11"/>
        <v>5.9928737588816911E-4</v>
      </c>
      <c r="S156" s="2136">
        <f t="shared" si="11"/>
        <v>4.1701911798861322E-3</v>
      </c>
      <c r="T156" s="2136">
        <f t="shared" si="11"/>
        <v>9.3713476133657422E-3</v>
      </c>
      <c r="U156" s="2136">
        <f t="shared" si="11"/>
        <v>6.4830263241624541E-3</v>
      </c>
      <c r="V156" s="2136">
        <f t="shared" si="11"/>
        <v>2.5246819149193651E-3</v>
      </c>
      <c r="W156" s="2136">
        <f t="shared" si="11"/>
        <v>7.0715979654143654E-3</v>
      </c>
      <c r="X156" s="2136">
        <f t="shared" si="11"/>
        <v>1.9484961251404758E-3</v>
      </c>
      <c r="Y156" s="2136">
        <f t="shared" si="11"/>
        <v>1.9893530366690755E-3</v>
      </c>
      <c r="Z156" s="2136">
        <f t="shared" si="11"/>
        <v>2.6395197971829359E-3</v>
      </c>
      <c r="AA156" s="2136">
        <f t="shared" si="11"/>
        <v>7.5587431337944483E-3</v>
      </c>
      <c r="AB156" s="2136">
        <f t="shared" si="11"/>
        <v>4.7636870183482396E-3</v>
      </c>
      <c r="AC156" s="2136">
        <f t="shared" si="11"/>
        <v>3.425487689869537E-3</v>
      </c>
      <c r="AD156" s="2136">
        <f t="shared" si="11"/>
        <v>7.0715979654143645E-3</v>
      </c>
      <c r="AE156" s="2136">
        <f t="shared" si="11"/>
        <v>4.7636870183482396E-3</v>
      </c>
      <c r="AF156" s="2136">
        <f ca="1">Steel!H124</f>
        <v>2.0900910042065926</v>
      </c>
      <c r="AG156" s="2136">
        <f ca="1">Steel!H124</f>
        <v>2.0900910042065926</v>
      </c>
      <c r="AH156" s="2136">
        <f ca="1">Steel!H124</f>
        <v>2.0900910042065926</v>
      </c>
      <c r="AI156" s="2136">
        <f ca="1">Steel!$D$140*Steel!C158+Steel!D158</f>
        <v>8.6092528039753038</v>
      </c>
      <c r="AJ156" s="2136">
        <f ca="1">Steel!$D$208*Steel!C226+Steel!D226</f>
        <v>8.6092528039753038</v>
      </c>
      <c r="AK156" s="2136">
        <f ca="1">'C.Iron'!C78+'C.Iron'!E78</f>
        <v>4.3659938118842838</v>
      </c>
      <c r="AL156" s="2136">
        <f>'C.Iron'!D78+'C.Iron'!E78</f>
        <v>74.960249844497923</v>
      </c>
      <c r="AM156" s="2136">
        <f ca="1">W.Al!$I$122*W.Al!I142</f>
        <v>2.090091004206593</v>
      </c>
      <c r="AN156" s="2136">
        <f ca="1">W.Al!$I$123*W.Al!I142</f>
        <v>2.090091004206593</v>
      </c>
      <c r="AO156" s="2136">
        <f ca="1">W.Al!$J$124*W.Al!J142</f>
        <v>13.121892439167178</v>
      </c>
      <c r="AP156" s="2136">
        <f ca="1">W.Al!$F$160*W.Al!F180</f>
        <v>2.090091004206593</v>
      </c>
      <c r="AQ156" s="2136">
        <f ca="1">W.Al!$F$161*W.Al!F180</f>
        <v>2.090091004206593</v>
      </c>
      <c r="AR156" s="2136">
        <f ca="1">W.Al!$G$162*W.Al!G180</f>
        <v>13.121892439167178</v>
      </c>
      <c r="AS156" s="2136">
        <f ca="1">'C.Al'!$G$113*'C.Al'!G131+'C.Al'!$H$113*'C.Al'!H131</f>
        <v>19.492454804589144</v>
      </c>
      <c r="AT156" s="2136">
        <f ca="1">'C.Al'!$D$149*'C.Al'!D167+'C.Al'!$E$149*'C.Al'!E167</f>
        <v>19.492454804589144</v>
      </c>
      <c r="AU156" s="2136">
        <f>Copper!D79</f>
        <v>5.5483527576916369</v>
      </c>
      <c r="AV156" s="2136">
        <f>Glass!B87</f>
        <v>1.1985747517763383</v>
      </c>
      <c r="AW156" s="2136">
        <f>Vehi_Plastics!B$19*Vehi_Plastics!X121</f>
        <v>8.3403823597722653</v>
      </c>
      <c r="AX156" s="2136">
        <f>Vehi_Plastics!C$19*Vehi_Plastics!AA121</f>
        <v>18.742695226731485</v>
      </c>
      <c r="AY156" s="2136">
        <f>Vehi_Plastics!D$19*Vehi_Plastics!AB121</f>
        <v>12.966052648324908</v>
      </c>
      <c r="AZ156" s="2136">
        <f>Vehi_Plastics!E$19*Vehi_Plastics!AC121</f>
        <v>5.0493638298387298</v>
      </c>
      <c r="BA156" s="2136">
        <f>Vehi_Plastics!F$19*Vehi_Plastics!AD121</f>
        <v>14.14319593082873</v>
      </c>
      <c r="BB156" s="2136">
        <f>Vehi_Plastics!G$19*Vehi_Plastics!AE121</f>
        <v>3.8969922502809515</v>
      </c>
      <c r="BC156" s="2136">
        <f>Vehi_Plastics!H$19*Vehi_Plastics!AF121</f>
        <v>3.978706073338151</v>
      </c>
      <c r="BD156" s="2136">
        <f>Vehi_Plastics!I$19*Vehi_Plastics!AG121</f>
        <v>5.2790395943658721</v>
      </c>
      <c r="BE156" s="2136">
        <f>Vehi_Plastics!J$19*Vehi_Plastics!AH121</f>
        <v>15.117486267588896</v>
      </c>
      <c r="BF156" s="2136">
        <f>Vehi_Plastics!K$19*Vehi_Plastics!AI121</f>
        <v>9.5273740366964788</v>
      </c>
      <c r="BG156" s="2136">
        <f>Vehi_Plastics!L$19*Vehi_Plastics!AJ121</f>
        <v>6.850975379739074</v>
      </c>
      <c r="BH156" s="2136">
        <f>Rubber!$A$6*Rubber!C81</f>
        <v>14.143195930828728</v>
      </c>
      <c r="BI156" s="2185">
        <f>Rubber!$B$6*Rubber!D81</f>
        <v>9.5273740366964788</v>
      </c>
    </row>
    <row r="157" spans="1:61" s="2144" customFormat="1" ht="15.75">
      <c r="A157" s="2236" t="s">
        <v>2548</v>
      </c>
      <c r="B157" s="2237">
        <f t="shared" ca="1" si="10"/>
        <v>50.894793315678534</v>
      </c>
      <c r="C157" s="2237">
        <f t="shared" ca="1" si="10"/>
        <v>50.894793315678534</v>
      </c>
      <c r="D157" s="2237">
        <f t="shared" ca="1" si="10"/>
        <v>50.894793315678534</v>
      </c>
      <c r="E157" s="2237">
        <f t="shared" ca="1" si="10"/>
        <v>166.32313476155511</v>
      </c>
      <c r="F157" s="2237">
        <f t="shared" ca="1" si="10"/>
        <v>166.32313476155511</v>
      </c>
      <c r="G157" s="2237">
        <f t="shared" ca="1" si="10"/>
        <v>137.61681706962949</v>
      </c>
      <c r="H157" s="2237">
        <f t="shared" si="10"/>
        <v>1170.2131621833844</v>
      </c>
      <c r="I157" s="2237">
        <f t="shared" ca="1" si="10"/>
        <v>50.894793315678548</v>
      </c>
      <c r="J157" s="2237">
        <f t="shared" ca="1" si="10"/>
        <v>50.894793315678548</v>
      </c>
      <c r="K157" s="2237">
        <f t="shared" ca="1" si="10"/>
        <v>213.22712765728267</v>
      </c>
      <c r="L157" s="2237">
        <f t="shared" ca="1" si="10"/>
        <v>50.894793315678548</v>
      </c>
      <c r="M157" s="2237">
        <f t="shared" ca="1" si="10"/>
        <v>50.894793315678548</v>
      </c>
      <c r="N157" s="2237">
        <f t="shared" ca="1" si="10"/>
        <v>213.22712765728267</v>
      </c>
      <c r="O157" s="2237">
        <f t="shared" ca="1" si="10"/>
        <v>306.36769057782362</v>
      </c>
      <c r="P157" s="2237">
        <f t="shared" ca="1" si="10"/>
        <v>306.36769057782362</v>
      </c>
      <c r="Q157" s="2237">
        <f t="shared" si="10"/>
        <v>136.92304188246058</v>
      </c>
      <c r="R157" s="2237">
        <f t="shared" si="11"/>
        <v>96.206340744808628</v>
      </c>
      <c r="S157" s="2237">
        <f t="shared" si="11"/>
        <v>203.09260961365456</v>
      </c>
      <c r="T157" s="2237">
        <f t="shared" si="11"/>
        <v>392.84246437981591</v>
      </c>
      <c r="U157" s="2237">
        <f t="shared" si="11"/>
        <v>314.10581919646216</v>
      </c>
      <c r="V157" s="2237">
        <f t="shared" si="11"/>
        <v>122.95461201358468</v>
      </c>
      <c r="W157" s="2237">
        <f t="shared" si="11"/>
        <v>259.21228244187091</v>
      </c>
      <c r="X157" s="2237">
        <f t="shared" si="11"/>
        <v>94.893770047175266</v>
      </c>
      <c r="Y157" s="2237">
        <f t="shared" si="11"/>
        <v>96.883543759018394</v>
      </c>
      <c r="Z157" s="2237">
        <f t="shared" si="11"/>
        <v>128.54733526903289</v>
      </c>
      <c r="AA157" s="2237">
        <f t="shared" si="11"/>
        <v>368.11858311098445</v>
      </c>
      <c r="AB157" s="2237">
        <f t="shared" si="11"/>
        <v>231.99646879629384</v>
      </c>
      <c r="AC157" s="2237">
        <f t="shared" si="11"/>
        <v>166.82478191660485</v>
      </c>
      <c r="AD157" s="2237">
        <f t="shared" si="11"/>
        <v>259.21228244187091</v>
      </c>
      <c r="AE157" s="2237">
        <f t="shared" si="11"/>
        <v>231.99646879629384</v>
      </c>
      <c r="AF157" s="2237">
        <f ca="1">Steel!H125</f>
        <v>101789.58663135707</v>
      </c>
      <c r="AG157" s="2237">
        <f ca="1">Steel!H125</f>
        <v>101789.58663135707</v>
      </c>
      <c r="AH157" s="2237">
        <f ca="1">Steel!H125</f>
        <v>101789.58663135707</v>
      </c>
      <c r="AI157" s="2237">
        <f ca="1">Steel!$D$140*Steel!C159+Steel!D159</f>
        <v>332646.26952311024</v>
      </c>
      <c r="AJ157" s="2237">
        <f ca="1">Steel!$D$208*Steel!C227+Steel!D227</f>
        <v>332646.26952311024</v>
      </c>
      <c r="AK157" s="2237">
        <f ca="1">'C.Iron'!C79+'C.Iron'!E79</f>
        <v>275233.634139259</v>
      </c>
      <c r="AL157" s="2237">
        <f>'C.Iron'!D79+'C.Iron'!E79</f>
        <v>2340426.3243667688</v>
      </c>
      <c r="AM157" s="2237">
        <f ca="1">W.Al!$I$122*W.Al!I145</f>
        <v>101789.5866313571</v>
      </c>
      <c r="AN157" s="2237">
        <f ca="1">W.Al!$I$123*W.Al!I145</f>
        <v>101789.5866313571</v>
      </c>
      <c r="AO157" s="2237">
        <f ca="1">W.Al!$J$124*W.Al!J145</f>
        <v>426454.25531456532</v>
      </c>
      <c r="AP157" s="2237">
        <f ca="1">W.Al!$F$160*W.Al!F183</f>
        <v>101789.5866313571</v>
      </c>
      <c r="AQ157" s="2237">
        <f ca="1">W.Al!$F$161*W.Al!F183</f>
        <v>101789.5866313571</v>
      </c>
      <c r="AR157" s="2237">
        <f ca="1">W.Al!$G$162*W.Al!G183</f>
        <v>426454.25531456532</v>
      </c>
      <c r="AS157" s="2237">
        <f ca="1">'C.Al'!$G$113*'C.Al'!G134+'C.Al'!$H$113*'C.Al'!H134</f>
        <v>612735.38115564722</v>
      </c>
      <c r="AT157" s="2237">
        <f ca="1">'C.Al'!$D$149*'C.Al'!D170+'C.Al'!$E$149*'C.Al'!E170</f>
        <v>612735.38115564722</v>
      </c>
      <c r="AU157" s="2237">
        <f>Copper!D80</f>
        <v>273846.08376492118</v>
      </c>
      <c r="AV157" s="2237">
        <f>Glass!B88</f>
        <v>192412.68148961724</v>
      </c>
      <c r="AW157" s="2237">
        <f>Vehi_Plastics!B$19*Vehi_Plastics!X122</f>
        <v>406185.21922730911</v>
      </c>
      <c r="AX157" s="2237">
        <f>Vehi_Plastics!C$19*Vehi_Plastics!AA122</f>
        <v>785684.92875963182</v>
      </c>
      <c r="AY157" s="2237">
        <f>Vehi_Plastics!D$19*Vehi_Plastics!AB122</f>
        <v>628211.63839292433</v>
      </c>
      <c r="AZ157" s="2237">
        <f>Vehi_Plastics!E$19*Vehi_Plastics!AC122</f>
        <v>245909.22402716934</v>
      </c>
      <c r="BA157" s="2237">
        <f>Vehi_Plastics!F$19*Vehi_Plastics!AD122</f>
        <v>518424.56488374178</v>
      </c>
      <c r="BB157" s="2237">
        <f>Vehi_Plastics!G$19*Vehi_Plastics!AE122</f>
        <v>189787.54009435052</v>
      </c>
      <c r="BC157" s="2237">
        <f>Vehi_Plastics!H$19*Vehi_Plastics!AF122</f>
        <v>193767.0875180368</v>
      </c>
      <c r="BD157" s="2237">
        <f>Vehi_Plastics!I$19*Vehi_Plastics!AG122</f>
        <v>257094.67053806578</v>
      </c>
      <c r="BE157" s="2237">
        <f>Vehi_Plastics!J$19*Vehi_Plastics!AH122</f>
        <v>736237.16622196895</v>
      </c>
      <c r="BF157" s="2237">
        <f>Vehi_Plastics!K$19*Vehi_Plastics!AI122</f>
        <v>463992.93759258767</v>
      </c>
      <c r="BG157" s="2237">
        <f>Vehi_Plastics!L$19*Vehi_Plastics!AJ122</f>
        <v>333649.56383320969</v>
      </c>
      <c r="BH157" s="2237">
        <f>Rubber!$A$6*Rubber!C82</f>
        <v>518424.56488374178</v>
      </c>
      <c r="BI157" s="2252">
        <f>Rubber!$B$6*Rubber!D82</f>
        <v>463992.93759258767</v>
      </c>
    </row>
    <row r="158" spans="1:61" s="2144" customFormat="1" ht="15.75">
      <c r="A158" s="2236" t="s">
        <v>2550</v>
      </c>
      <c r="B158" s="2237">
        <f t="shared" ca="1" si="10"/>
        <v>50.938667849479494</v>
      </c>
      <c r="C158" s="2237">
        <f t="shared" ca="1" si="10"/>
        <v>50.938667849479494</v>
      </c>
      <c r="D158" s="2237">
        <f t="shared" ca="1" si="10"/>
        <v>50.938667849479494</v>
      </c>
      <c r="E158" s="2237">
        <f t="shared" ca="1" si="10"/>
        <v>166.53932139448725</v>
      </c>
      <c r="F158" s="2237">
        <f t="shared" ca="1" si="10"/>
        <v>166.53932139448725</v>
      </c>
      <c r="G158" s="2237">
        <f t="shared" ca="1" si="10"/>
        <v>140.95132903438858</v>
      </c>
      <c r="H158" s="2237">
        <f t="shared" si="10"/>
        <v>1172.3230497579282</v>
      </c>
      <c r="I158" s="2237">
        <f t="shared" ca="1" si="10"/>
        <v>50.938667849479508</v>
      </c>
      <c r="J158" s="2237">
        <f t="shared" ca="1" si="10"/>
        <v>50.938667849479508</v>
      </c>
      <c r="K158" s="2237">
        <f t="shared" ca="1" si="10"/>
        <v>213.98588668400134</v>
      </c>
      <c r="L158" s="2237">
        <f t="shared" ca="1" si="10"/>
        <v>50.938667849479508</v>
      </c>
      <c r="M158" s="2237">
        <f t="shared" ca="1" si="10"/>
        <v>50.938667849479508</v>
      </c>
      <c r="N158" s="2237">
        <f t="shared" ca="1" si="10"/>
        <v>213.98588668400134</v>
      </c>
      <c r="O158" s="2237">
        <f t="shared" ca="1" si="10"/>
        <v>306.91464618623183</v>
      </c>
      <c r="P158" s="2237">
        <f t="shared" ca="1" si="10"/>
        <v>306.91464618623183</v>
      </c>
      <c r="Q158" s="2237">
        <f t="shared" si="10"/>
        <v>137.04610185979988</v>
      </c>
      <c r="R158" s="2237">
        <f t="shared" si="11"/>
        <v>96.359486540681942</v>
      </c>
      <c r="S158" s="2237">
        <f t="shared" si="11"/>
        <v>203.26768830019031</v>
      </c>
      <c r="T158" s="2237">
        <f t="shared" si="11"/>
        <v>393.32382602704655</v>
      </c>
      <c r="U158" s="2237">
        <f t="shared" si="11"/>
        <v>314.37884695927232</v>
      </c>
      <c r="V158" s="2237">
        <f t="shared" si="11"/>
        <v>123.06060667294626</v>
      </c>
      <c r="W158" s="2237">
        <f t="shared" si="11"/>
        <v>259.57891150112533</v>
      </c>
      <c r="X158" s="2237">
        <f t="shared" si="11"/>
        <v>94.975574484332725</v>
      </c>
      <c r="Y158" s="2237">
        <f t="shared" si="11"/>
        <v>96.967063507080766</v>
      </c>
      <c r="Z158" s="2237">
        <f t="shared" si="11"/>
        <v>128.65815120989549</v>
      </c>
      <c r="AA158" s="2237">
        <f t="shared" si="11"/>
        <v>368.43592463386449</v>
      </c>
      <c r="AB158" s="2237">
        <f t="shared" si="11"/>
        <v>232.19646443924242</v>
      </c>
      <c r="AC158" s="2237">
        <f t="shared" si="11"/>
        <v>166.96859543968253</v>
      </c>
      <c r="AD158" s="2237">
        <f t="shared" si="11"/>
        <v>259.57891150112533</v>
      </c>
      <c r="AE158" s="2237">
        <f t="shared" si="11"/>
        <v>232.19646443924242</v>
      </c>
      <c r="AF158" s="2237">
        <f ca="1">Steel!H126</f>
        <v>101877.33569895898</v>
      </c>
      <c r="AG158" s="2237">
        <f ca="1">Steel!H126</f>
        <v>101877.33569895898</v>
      </c>
      <c r="AH158" s="2237">
        <f ca="1">Steel!H126</f>
        <v>101877.33569895898</v>
      </c>
      <c r="AI158" s="2237">
        <f ca="1">Steel!$D$140*Steel!C160+Steel!D160</f>
        <v>333078.64278897451</v>
      </c>
      <c r="AJ158" s="2237">
        <f ca="1">Steel!$D$208*Steel!C228+Steel!D228</f>
        <v>333078.64278897451</v>
      </c>
      <c r="AK158" s="2237">
        <f ca="1">'C.Iron'!C80+'C.Iron'!E80</f>
        <v>281902.65806877718</v>
      </c>
      <c r="AL158" s="2237">
        <f>'C.Iron'!D80+'C.Iron'!E80</f>
        <v>2344646.0995158562</v>
      </c>
      <c r="AM158" s="2237">
        <f ca="1">W.Al!$I$122*W.Al!I146</f>
        <v>101877.33569895901</v>
      </c>
      <c r="AN158" s="2237">
        <f ca="1">W.Al!$I$123*W.Al!I146</f>
        <v>101877.33569895901</v>
      </c>
      <c r="AO158" s="2237">
        <f ca="1">W.Al!$J$124*W.Al!J146</f>
        <v>427971.77336800267</v>
      </c>
      <c r="AP158" s="2237">
        <f ca="1">W.Al!$F$160*W.Al!F184</f>
        <v>101877.33569895901</v>
      </c>
      <c r="AQ158" s="2237">
        <f ca="1">W.Al!$F$161*W.Al!F184</f>
        <v>101877.33569895901</v>
      </c>
      <c r="AR158" s="2237">
        <f ca="1">W.Al!$G$162*W.Al!G184</f>
        <v>427971.77336800267</v>
      </c>
      <c r="AS158" s="2237">
        <f ca="1">'C.Al'!$G$113*'C.Al'!G135+'C.Al'!$H$113*'C.Al'!H135</f>
        <v>613829.29237246362</v>
      </c>
      <c r="AT158" s="2237">
        <f ca="1">'C.Al'!$D$149*'C.Al'!D171+'C.Al'!$E$149*'C.Al'!E171</f>
        <v>613829.29237246362</v>
      </c>
      <c r="AU158" s="2237">
        <f>Copper!D81</f>
        <v>274092.20371959975</v>
      </c>
      <c r="AV158" s="2237">
        <f>Glass!B89</f>
        <v>192718.97308136389</v>
      </c>
      <c r="AW158" s="2237">
        <f>Vehi_Plastics!B$19*Vehi_Plastics!X123</f>
        <v>406535.37660038064</v>
      </c>
      <c r="AX158" s="2237">
        <f>Vehi_Plastics!C$19*Vehi_Plastics!AA123</f>
        <v>786647.65205409308</v>
      </c>
      <c r="AY158" s="2237">
        <f>Vehi_Plastics!D$19*Vehi_Plastics!AB123</f>
        <v>628757.69391854468</v>
      </c>
      <c r="AZ158" s="2237">
        <f>Vehi_Plastics!E$19*Vehi_Plastics!AC123</f>
        <v>246121.21334589252</v>
      </c>
      <c r="BA158" s="2237">
        <f>Vehi_Plastics!F$19*Vehi_Plastics!AD123</f>
        <v>519157.82300225063</v>
      </c>
      <c r="BB158" s="2237">
        <f>Vehi_Plastics!G$19*Vehi_Plastics!AE123</f>
        <v>189951.14896866545</v>
      </c>
      <c r="BC158" s="2237">
        <f>Vehi_Plastics!H$19*Vehi_Plastics!AF123</f>
        <v>193934.12701416152</v>
      </c>
      <c r="BD158" s="2237">
        <f>Vehi_Plastics!I$19*Vehi_Plastics!AG123</f>
        <v>257316.302419791</v>
      </c>
      <c r="BE158" s="2237">
        <f>Vehi_Plastics!J$19*Vehi_Plastics!AH123</f>
        <v>736871.84926772898</v>
      </c>
      <c r="BF158" s="2237">
        <f>Vehi_Plastics!K$19*Vehi_Plastics!AI123</f>
        <v>464392.92887848482</v>
      </c>
      <c r="BG158" s="2237">
        <f>Vehi_Plastics!L$19*Vehi_Plastics!AJ123</f>
        <v>333937.19087936508</v>
      </c>
      <c r="BH158" s="2237">
        <f>Rubber!$A$6*Rubber!C83</f>
        <v>519157.82300225063</v>
      </c>
      <c r="BI158" s="2252">
        <f>Rubber!$B$6*Rubber!D83</f>
        <v>464392.92887848482</v>
      </c>
    </row>
    <row r="159" spans="1:61" s="2144" customFormat="1">
      <c r="A159" s="2238" t="s">
        <v>851</v>
      </c>
      <c r="B159" s="2239">
        <f t="shared" ca="1" si="10"/>
        <v>54.671136395829308</v>
      </c>
      <c r="C159" s="2239">
        <f t="shared" ca="1" si="10"/>
        <v>54.671136395829308</v>
      </c>
      <c r="D159" s="2239">
        <f t="shared" ca="1" si="10"/>
        <v>54.671136395829308</v>
      </c>
      <c r="E159" s="2239">
        <f t="shared" ca="1" si="10"/>
        <v>181.21090261773384</v>
      </c>
      <c r="F159" s="2239">
        <f t="shared" ca="1" si="10"/>
        <v>181.21090261773384</v>
      </c>
      <c r="G159" s="2239">
        <f t="shared" ca="1" si="10"/>
        <v>186.03387999350684</v>
      </c>
      <c r="H159" s="2239">
        <f t="shared" si="10"/>
        <v>1295.5582076881271</v>
      </c>
      <c r="I159" s="2239">
        <f t="shared" ca="1" si="10"/>
        <v>54.671136395829322</v>
      </c>
      <c r="J159" s="2239">
        <f t="shared" ca="1" si="10"/>
        <v>54.671136395829322</v>
      </c>
      <c r="K159" s="2239">
        <f t="shared" ca="1" si="10"/>
        <v>235.71583559669688</v>
      </c>
      <c r="L159" s="2239">
        <f t="shared" ca="1" si="10"/>
        <v>54.671136395829322</v>
      </c>
      <c r="M159" s="2239">
        <f t="shared" ca="1" si="10"/>
        <v>54.671136395829322</v>
      </c>
      <c r="N159" s="2239">
        <f t="shared" ca="1" si="10"/>
        <v>235.71583559669688</v>
      </c>
      <c r="O159" s="2239">
        <f t="shared" ca="1" si="10"/>
        <v>338.99393604428388</v>
      </c>
      <c r="P159" s="2239">
        <f t="shared" ca="1" si="10"/>
        <v>338.99393604428388</v>
      </c>
      <c r="Q159" s="2239">
        <f t="shared" si="10"/>
        <v>145.671686492346</v>
      </c>
      <c r="R159" s="2239">
        <f t="shared" si="11"/>
        <v>100.55448587785592</v>
      </c>
      <c r="S159" s="2239">
        <f t="shared" si="11"/>
        <v>218.16187939508862</v>
      </c>
      <c r="T159" s="2239">
        <f t="shared" si="11"/>
        <v>419.55941495619822</v>
      </c>
      <c r="U159" s="2239">
        <f t="shared" si="11"/>
        <v>337.40777269033617</v>
      </c>
      <c r="V159" s="2239">
        <f t="shared" si="11"/>
        <v>132.07772202152114</v>
      </c>
      <c r="W159" s="2239">
        <f t="shared" si="11"/>
        <v>283.45375635164527</v>
      </c>
      <c r="X159" s="2239">
        <f t="shared" si="11"/>
        <v>101.93479347061995</v>
      </c>
      <c r="Y159" s="2239">
        <f t="shared" si="11"/>
        <v>104.07220641426385</v>
      </c>
      <c r="Z159" s="2239">
        <f t="shared" si="11"/>
        <v>138.08541978396678</v>
      </c>
      <c r="AA159" s="2239">
        <f t="shared" si="11"/>
        <v>395.43261610810498</v>
      </c>
      <c r="AB159" s="2239">
        <f t="shared" si="11"/>
        <v>249.21037620179672</v>
      </c>
      <c r="AC159" s="2239">
        <f t="shared" si="11"/>
        <v>179.20301492918222</v>
      </c>
      <c r="AD159" s="2239">
        <f t="shared" si="11"/>
        <v>283.45375635164527</v>
      </c>
      <c r="AE159" s="2239">
        <f t="shared" si="11"/>
        <v>249.21037620179672</v>
      </c>
      <c r="AF159" s="2239">
        <f ca="1">Steel!H127</f>
        <v>109342.27279165862</v>
      </c>
      <c r="AG159" s="2239">
        <f ca="1">Steel!H127</f>
        <v>109342.27279165862</v>
      </c>
      <c r="AH159" s="2239">
        <f ca="1">Steel!H127</f>
        <v>109342.27279165862</v>
      </c>
      <c r="AI159" s="2239">
        <f ca="1">Steel!$D$140*Steel!C161+Steel!D161</f>
        <v>362421.80523546768</v>
      </c>
      <c r="AJ159" s="2239">
        <f ca="1">Steel!$D$208*Steel!C229+Steel!D229</f>
        <v>362421.80523546768</v>
      </c>
      <c r="AK159" s="2239">
        <f ca="1">'C.Iron'!C81+'C.Iron'!E81</f>
        <v>372067.75998701371</v>
      </c>
      <c r="AL159" s="2239">
        <f>'C.Iron'!D81+'C.Iron'!E81</f>
        <v>2591116.4153762544</v>
      </c>
      <c r="AM159" s="2239">
        <f ca="1">W.Al!$I$122*W.Al!I147</f>
        <v>109342.27279165864</v>
      </c>
      <c r="AN159" s="2239">
        <f ca="1">W.Al!$I$123*W.Al!I147</f>
        <v>109342.27279165864</v>
      </c>
      <c r="AO159" s="2239">
        <f ca="1">W.Al!$J$124*W.Al!J147</f>
        <v>471431.67119339376</v>
      </c>
      <c r="AP159" s="2239">
        <f ca="1">W.Al!$F$160*W.Al!F185</f>
        <v>109342.27279165864</v>
      </c>
      <c r="AQ159" s="2239">
        <f ca="1">W.Al!$F$161*W.Al!F185</f>
        <v>109342.27279165864</v>
      </c>
      <c r="AR159" s="2239">
        <f ca="1">W.Al!$G$162*W.Al!G185</f>
        <v>471431.67119339376</v>
      </c>
      <c r="AS159" s="2239">
        <f ca="1">'C.Al'!$G$113*'C.Al'!G136+'C.Al'!$H$113*'C.Al'!H136</f>
        <v>677987.87208856782</v>
      </c>
      <c r="AT159" s="2239">
        <f ca="1">'C.Al'!$D$149*'C.Al'!D172+'C.Al'!$E$149*'C.Al'!E172</f>
        <v>677987.87208856782</v>
      </c>
      <c r="AU159" s="2239">
        <f>Copper!D82</f>
        <v>291343.37298469199</v>
      </c>
      <c r="AV159" s="2239">
        <f>Glass!B90</f>
        <v>201108.97175571186</v>
      </c>
      <c r="AW159" s="2239">
        <f>Vehi_Plastics!B$19*Vehi_Plastics!X124</f>
        <v>436323.75879017723</v>
      </c>
      <c r="AX159" s="2239">
        <f>Vehi_Plastics!C$19*Vehi_Plastics!AA124</f>
        <v>839118.8299123965</v>
      </c>
      <c r="AY159" s="2239">
        <f>Vehi_Plastics!D$19*Vehi_Plastics!AB124</f>
        <v>674815.54538067232</v>
      </c>
      <c r="AZ159" s="2239">
        <f>Vehi_Plastics!E$19*Vehi_Plastics!AC124</f>
        <v>264155.44404304225</v>
      </c>
      <c r="BA159" s="2239">
        <f>Vehi_Plastics!F$19*Vehi_Plastics!AD124</f>
        <v>566907.51270329056</v>
      </c>
      <c r="BB159" s="2239">
        <f>Vehi_Plastics!G$19*Vehi_Plastics!AE124</f>
        <v>203869.58694123989</v>
      </c>
      <c r="BC159" s="2239">
        <f>Vehi_Plastics!H$19*Vehi_Plastics!AF124</f>
        <v>208144.41282852768</v>
      </c>
      <c r="BD159" s="2239">
        <f>Vehi_Plastics!I$19*Vehi_Plastics!AG124</f>
        <v>276170.83956793358</v>
      </c>
      <c r="BE159" s="2239">
        <f>Vehi_Plastics!J$19*Vehi_Plastics!AH124</f>
        <v>790865.23221620999</v>
      </c>
      <c r="BF159" s="2239">
        <f>Vehi_Plastics!K$19*Vehi_Plastics!AI124</f>
        <v>498420.75240359345</v>
      </c>
      <c r="BG159" s="2239">
        <f>Vehi_Plastics!L$19*Vehi_Plastics!AJ124</f>
        <v>358406.02985836443</v>
      </c>
      <c r="BH159" s="2239">
        <f>Rubber!$A$6*Rubber!C84</f>
        <v>566907.51270329056</v>
      </c>
      <c r="BI159" s="2192">
        <f>Rubber!$B$6*Rubber!D84</f>
        <v>498420.75240359345</v>
      </c>
    </row>
    <row r="160" spans="1:61" s="2136" customFormat="1">
      <c r="A160" s="2247" t="s">
        <v>1031</v>
      </c>
      <c r="B160" s="2253" t="s">
        <v>846</v>
      </c>
      <c r="C160" s="2253" t="s">
        <v>846</v>
      </c>
      <c r="D160" s="2253" t="s">
        <v>846</v>
      </c>
      <c r="E160" s="2253" t="s">
        <v>846</v>
      </c>
      <c r="F160" s="2253" t="s">
        <v>846</v>
      </c>
      <c r="G160" s="2253" t="s">
        <v>846</v>
      </c>
      <c r="H160" s="2253" t="s">
        <v>846</v>
      </c>
      <c r="I160" s="2253" t="s">
        <v>846</v>
      </c>
      <c r="J160" s="2253" t="s">
        <v>846</v>
      </c>
      <c r="K160" s="2253" t="s">
        <v>846</v>
      </c>
      <c r="L160" s="2253" t="s">
        <v>846</v>
      </c>
      <c r="M160" s="2253" t="s">
        <v>846</v>
      </c>
      <c r="N160" s="2253" t="s">
        <v>846</v>
      </c>
      <c r="O160" s="2253" t="s">
        <v>846</v>
      </c>
      <c r="P160" s="2253" t="s">
        <v>846</v>
      </c>
      <c r="Q160" s="2253" t="s">
        <v>846</v>
      </c>
      <c r="R160" s="2253" t="s">
        <v>846</v>
      </c>
      <c r="S160" s="2253" t="s">
        <v>846</v>
      </c>
      <c r="T160" s="2253" t="s">
        <v>846</v>
      </c>
      <c r="U160" s="2253" t="s">
        <v>846</v>
      </c>
      <c r="V160" s="2253" t="s">
        <v>846</v>
      </c>
      <c r="W160" s="2253" t="s">
        <v>846</v>
      </c>
      <c r="X160" s="2253" t="s">
        <v>846</v>
      </c>
      <c r="Y160" s="2253" t="s">
        <v>846</v>
      </c>
      <c r="Z160" s="2253" t="s">
        <v>846</v>
      </c>
      <c r="AA160" s="2253" t="s">
        <v>846</v>
      </c>
      <c r="AB160" s="2253" t="s">
        <v>846</v>
      </c>
      <c r="AC160" s="2253" t="s">
        <v>846</v>
      </c>
      <c r="AD160" s="2253" t="s">
        <v>846</v>
      </c>
      <c r="AE160" s="2253" t="s">
        <v>846</v>
      </c>
      <c r="AF160" s="2254"/>
      <c r="AG160" s="2254"/>
      <c r="AH160" s="2254"/>
      <c r="AI160" s="2254"/>
      <c r="AJ160" s="2254"/>
      <c r="AK160" s="2254"/>
      <c r="AL160" s="2254"/>
      <c r="AM160" s="2254"/>
      <c r="AN160" s="2254"/>
      <c r="AO160" s="2254"/>
      <c r="AP160" s="2254"/>
      <c r="AQ160" s="2254"/>
      <c r="AR160" s="2254"/>
      <c r="AS160" s="2254"/>
      <c r="AT160" s="2254"/>
      <c r="AU160" s="2254"/>
      <c r="AV160" s="2254"/>
      <c r="AW160" s="2254"/>
      <c r="AX160" s="2254"/>
      <c r="AY160" s="2254"/>
      <c r="AZ160" s="2254"/>
      <c r="BA160" s="2254"/>
      <c r="BB160" s="2254"/>
      <c r="BC160" s="2254"/>
      <c r="BD160" s="2254"/>
      <c r="BE160" s="2254"/>
      <c r="BF160" s="2254"/>
      <c r="BG160" s="2254"/>
      <c r="BH160" s="2254"/>
      <c r="BI160" s="2194"/>
    </row>
    <row r="161" spans="1:61" s="2136" customFormat="1">
      <c r="A161" s="2236" t="s">
        <v>821</v>
      </c>
      <c r="B161" s="2136">
        <f t="shared" ref="B161:Q168" ca="1" si="12">AF161/2000</f>
        <v>3.7152540942150976E-4</v>
      </c>
      <c r="C161" s="2136">
        <f t="shared" ca="1" si="12"/>
        <v>3.7152540942150976E-4</v>
      </c>
      <c r="D161" s="2136">
        <f t="shared" ca="1" si="12"/>
        <v>3.7152540942150976E-4</v>
      </c>
      <c r="E161" s="2136">
        <f t="shared" ca="1" si="12"/>
        <v>1.3435251039910156E-3</v>
      </c>
      <c r="F161" s="2136">
        <f t="shared" ca="1" si="12"/>
        <v>1.3435251039910156E-3</v>
      </c>
      <c r="G161" s="2136">
        <f t="shared" ca="1" si="12"/>
        <v>9.7555181899713558E-4</v>
      </c>
      <c r="H161" s="2136">
        <f t="shared" si="12"/>
        <v>1.0499226445219939E-2</v>
      </c>
      <c r="I161" s="2136">
        <f t="shared" ca="1" si="12"/>
        <v>3.7152540942150987E-4</v>
      </c>
      <c r="J161" s="2136">
        <f t="shared" ca="1" si="12"/>
        <v>3.7152540942150987E-4</v>
      </c>
      <c r="K161" s="2136">
        <f t="shared" ca="1" si="12"/>
        <v>1.8728100961317804E-3</v>
      </c>
      <c r="L161" s="2136">
        <f t="shared" ca="1" si="12"/>
        <v>3.7152540942150987E-4</v>
      </c>
      <c r="M161" s="2136">
        <f t="shared" ca="1" si="12"/>
        <v>3.7152540942150987E-4</v>
      </c>
      <c r="N161" s="2136">
        <f t="shared" ca="1" si="12"/>
        <v>1.8728100961317804E-3</v>
      </c>
      <c r="O161" s="2136">
        <f t="shared" ca="1" si="12"/>
        <v>2.7391116875059287E-3</v>
      </c>
      <c r="P161" s="2136">
        <f t="shared" ca="1" si="12"/>
        <v>2.7391116875059287E-3</v>
      </c>
      <c r="Q161" s="2136">
        <f t="shared" si="12"/>
        <v>1.542189434674972E-3</v>
      </c>
      <c r="R161" s="2136">
        <f t="shared" ref="R161:AE168" si="13">AV161/2000</f>
        <v>4.2754832914728699E-4</v>
      </c>
      <c r="S161" s="2136">
        <f t="shared" si="13"/>
        <v>1.4825497859709675E-3</v>
      </c>
      <c r="T161" s="2136">
        <f t="shared" si="13"/>
        <v>5.6566354373463607E-3</v>
      </c>
      <c r="U161" s="2136">
        <f t="shared" si="13"/>
        <v>2.3075606954303727E-3</v>
      </c>
      <c r="V161" s="2136">
        <f t="shared" si="13"/>
        <v>8.9755276704380708E-4</v>
      </c>
      <c r="W161" s="2136">
        <f t="shared" si="13"/>
        <v>2.1466562664924859E-3</v>
      </c>
      <c r="X161" s="2136">
        <f t="shared" si="13"/>
        <v>6.9271224955474325E-4</v>
      </c>
      <c r="Y161" s="2136">
        <f t="shared" si="13"/>
        <v>7.0723734033099255E-4</v>
      </c>
      <c r="Z161" s="2136">
        <f t="shared" si="13"/>
        <v>9.3837892355010544E-4</v>
      </c>
      <c r="AA161" s="2136">
        <f t="shared" si="13"/>
        <v>2.6872180511212118E-3</v>
      </c>
      <c r="AB161" s="2136">
        <f t="shared" si="13"/>
        <v>1.6935442201183922E-3</v>
      </c>
      <c r="AC161" s="2136">
        <f t="shared" si="13"/>
        <v>1.2177993339866336E-3</v>
      </c>
      <c r="AD161" s="2136">
        <f t="shared" si="13"/>
        <v>2.1466562664924859E-3</v>
      </c>
      <c r="AE161" s="2136">
        <f t="shared" si="13"/>
        <v>1.6935442201183922E-3</v>
      </c>
      <c r="AF161" s="2136">
        <f ca="1">Steel!H129</f>
        <v>0.74305081884301949</v>
      </c>
      <c r="AG161" s="2136">
        <f ca="1">Steel!H129</f>
        <v>0.74305081884301949</v>
      </c>
      <c r="AH161" s="2136">
        <f ca="1">Steel!H129</f>
        <v>0.74305081884301949</v>
      </c>
      <c r="AI161" s="2136">
        <f ca="1">Steel!$D$140*Steel!C163+Steel!D163</f>
        <v>2.6870502079820313</v>
      </c>
      <c r="AJ161" s="2136">
        <f ca="1">Steel!$D$208*Steel!C231+Steel!D231</f>
        <v>2.6870502079820313</v>
      </c>
      <c r="AK161" s="2136">
        <f ca="1">'C.Iron'!C83+'C.Iron'!E83</f>
        <v>1.9511036379942712</v>
      </c>
      <c r="AL161" s="2136">
        <f>'C.Iron'!D83+'C.Iron'!E83</f>
        <v>20.998452890439879</v>
      </c>
      <c r="AM161" s="2136">
        <f ca="1">W.Al!$I$122*W.Al!I149</f>
        <v>0.74305081884301971</v>
      </c>
      <c r="AN161" s="2136">
        <f ca="1">W.Al!$I$123*W.Al!I149</f>
        <v>0.74305081884301971</v>
      </c>
      <c r="AO161" s="2136">
        <f ca="1">W.Al!$J$124*W.Al!J149</f>
        <v>3.7456201922635608</v>
      </c>
      <c r="AP161" s="2136">
        <f ca="1">W.Al!$F$160*W.Al!F187</f>
        <v>0.74305081884301971</v>
      </c>
      <c r="AQ161" s="2136">
        <f ca="1">W.Al!$F$161*W.Al!F187</f>
        <v>0.74305081884301971</v>
      </c>
      <c r="AR161" s="2136">
        <f ca="1">W.Al!$G$162*W.Al!G187</f>
        <v>3.7456201922635608</v>
      </c>
      <c r="AS161" s="2136">
        <f ca="1">'C.Al'!$G$113*'C.Al'!G138+'C.Al'!$H$113*'C.Al'!H138</f>
        <v>5.4782233750118579</v>
      </c>
      <c r="AT161" s="2136">
        <f ca="1">'C.Al'!$D$149*'C.Al'!D174+'C.Al'!$E$149*'C.Al'!E174</f>
        <v>5.4782233750118579</v>
      </c>
      <c r="AU161" s="2136">
        <f>Copper!D84</f>
        <v>3.0843788693499441</v>
      </c>
      <c r="AV161" s="2136">
        <f>Glass!B92</f>
        <v>0.85509665829457393</v>
      </c>
      <c r="AW161" s="2136">
        <f>Vehi_Plastics!B$19*Vehi_Plastics!X126</f>
        <v>2.9650995719419351</v>
      </c>
      <c r="AX161" s="2136">
        <f>Vehi_Plastics!C$19*Vehi_Plastics!AA126</f>
        <v>11.313270874692721</v>
      </c>
      <c r="AY161" s="2136">
        <f>Vehi_Plastics!D$19*Vehi_Plastics!AB126</f>
        <v>4.6151213908607458</v>
      </c>
      <c r="AZ161" s="2136">
        <f>Vehi_Plastics!E$19*Vehi_Plastics!AC126</f>
        <v>1.7951055340876141</v>
      </c>
      <c r="BA161" s="2136">
        <f>Vehi_Plastics!F$19*Vehi_Plastics!AD126</f>
        <v>4.293312532984972</v>
      </c>
      <c r="BB161" s="2136">
        <f>Vehi_Plastics!G$19*Vehi_Plastics!AE126</f>
        <v>1.3854244991094864</v>
      </c>
      <c r="BC161" s="2136">
        <f>Vehi_Plastics!H$19*Vehi_Plastics!AF126</f>
        <v>1.414474680661985</v>
      </c>
      <c r="BD161" s="2136">
        <f>Vehi_Plastics!I$19*Vehi_Plastics!AG126</f>
        <v>1.8767578471002109</v>
      </c>
      <c r="BE161" s="2136">
        <f>Vehi_Plastics!J$19*Vehi_Plastics!AH126</f>
        <v>5.3744361022424236</v>
      </c>
      <c r="BF161" s="2136">
        <f>Vehi_Plastics!K$19*Vehi_Plastics!AI126</f>
        <v>3.3870884402367842</v>
      </c>
      <c r="BG161" s="2136">
        <f>Vehi_Plastics!L$19*Vehi_Plastics!AJ126</f>
        <v>2.4355986679732671</v>
      </c>
      <c r="BH161" s="2136">
        <f>Rubber!$A$6*Rubber!C86</f>
        <v>4.293312532984972</v>
      </c>
      <c r="BI161" s="2185">
        <f>Rubber!$B$6*Rubber!D86</f>
        <v>3.3870884402367842</v>
      </c>
    </row>
    <row r="162" spans="1:61" s="2136" customFormat="1">
      <c r="A162" s="2236" t="s">
        <v>822</v>
      </c>
      <c r="B162" s="2136">
        <f t="shared" ca="1" si="12"/>
        <v>2.7428134170997239E-3</v>
      </c>
      <c r="C162" s="2136">
        <f t="shared" ca="1" si="12"/>
        <v>2.7428134170997239E-3</v>
      </c>
      <c r="D162" s="2136">
        <f t="shared" ca="1" si="12"/>
        <v>2.7428134170997239E-3</v>
      </c>
      <c r="E162" s="2136">
        <f t="shared" ca="1" si="12"/>
        <v>8.2558538634436747E-3</v>
      </c>
      <c r="F162" s="2136">
        <f t="shared" ca="1" si="12"/>
        <v>8.2558538634436747E-3</v>
      </c>
      <c r="G162" s="2136">
        <f t="shared" ca="1" si="12"/>
        <v>3.288365147272846E-3</v>
      </c>
      <c r="H162" s="2136">
        <f t="shared" si="12"/>
        <v>5.2363335353637963E-2</v>
      </c>
      <c r="I162" s="2136">
        <f t="shared" ca="1" si="12"/>
        <v>2.7428134170997247E-3</v>
      </c>
      <c r="J162" s="2136">
        <f t="shared" ca="1" si="12"/>
        <v>2.7428134170997247E-3</v>
      </c>
      <c r="K162" s="2136">
        <f t="shared" ca="1" si="12"/>
        <v>9.6944849635401103E-3</v>
      </c>
      <c r="L162" s="2136">
        <f t="shared" ca="1" si="12"/>
        <v>2.7428134170997247E-3</v>
      </c>
      <c r="M162" s="2136">
        <f t="shared" ca="1" si="12"/>
        <v>2.7428134170997247E-3</v>
      </c>
      <c r="N162" s="2136">
        <f t="shared" ca="1" si="12"/>
        <v>9.6944849635401103E-3</v>
      </c>
      <c r="O162" s="2136">
        <f t="shared" ca="1" si="12"/>
        <v>1.3761696670908751E-2</v>
      </c>
      <c r="P162" s="2136">
        <f t="shared" ca="1" si="12"/>
        <v>1.3761696670908751E-2</v>
      </c>
      <c r="Q162" s="2136">
        <f t="shared" si="12"/>
        <v>5.7426217580798262E-3</v>
      </c>
      <c r="R162" s="2136">
        <f t="shared" si="13"/>
        <v>1.4179987388401563E-3</v>
      </c>
      <c r="S162" s="2136">
        <f t="shared" si="13"/>
        <v>1.0945031864203014E-2</v>
      </c>
      <c r="T162" s="2136">
        <f t="shared" si="13"/>
        <v>1.2462759840402115E-2</v>
      </c>
      <c r="U162" s="2136">
        <f t="shared" si="13"/>
        <v>1.6887333100720159E-2</v>
      </c>
      <c r="V162" s="2136">
        <f t="shared" si="13"/>
        <v>6.6262487290868139E-3</v>
      </c>
      <c r="W162" s="2136">
        <f t="shared" si="13"/>
        <v>1.2577925309824151E-2</v>
      </c>
      <c r="X162" s="2136">
        <f t="shared" si="13"/>
        <v>5.1139986770392916E-3</v>
      </c>
      <c r="Y162" s="2136">
        <f t="shared" si="13"/>
        <v>5.2212312184897443E-3</v>
      </c>
      <c r="Z162" s="2136">
        <f t="shared" si="13"/>
        <v>6.9276508054843507E-3</v>
      </c>
      <c r="AA162" s="2136">
        <f t="shared" si="13"/>
        <v>1.9838583144997431E-2</v>
      </c>
      <c r="AB162" s="2136">
        <f t="shared" si="13"/>
        <v>1.2502713654565682E-2</v>
      </c>
      <c r="AC162" s="2136">
        <f t="shared" si="13"/>
        <v>8.9904923536577464E-3</v>
      </c>
      <c r="AD162" s="2136">
        <f t="shared" si="13"/>
        <v>1.2577925309824149E-2</v>
      </c>
      <c r="AE162" s="2136">
        <f t="shared" si="13"/>
        <v>1.2502713654565682E-2</v>
      </c>
      <c r="AF162" s="2136">
        <f ca="1">Steel!H130</f>
        <v>5.4856268341994481</v>
      </c>
      <c r="AG162" s="2136">
        <f ca="1">Steel!H130</f>
        <v>5.4856268341994481</v>
      </c>
      <c r="AH162" s="2136">
        <f ca="1">Steel!H130</f>
        <v>5.4856268341994481</v>
      </c>
      <c r="AI162" s="2136">
        <f ca="1">Steel!$D$140*Steel!C164+Steel!D164</f>
        <v>16.511707726887348</v>
      </c>
      <c r="AJ162" s="2136">
        <f ca="1">Steel!$D$208*Steel!C232+Steel!D232</f>
        <v>16.511707726887348</v>
      </c>
      <c r="AK162" s="2136">
        <f ca="1">'C.Iron'!C84+'C.Iron'!E84</f>
        <v>6.5767302945456922</v>
      </c>
      <c r="AL162" s="2136">
        <f>'C.Iron'!D84+'C.Iron'!E84</f>
        <v>104.72667070727593</v>
      </c>
      <c r="AM162" s="2136">
        <f ca="1">W.Al!$I$122*W.Al!I150</f>
        <v>5.4856268341994499</v>
      </c>
      <c r="AN162" s="2136">
        <f ca="1">W.Al!$I$123*W.Al!I150</f>
        <v>5.4856268341994499</v>
      </c>
      <c r="AO162" s="2136">
        <f ca="1">W.Al!$J$124*W.Al!J150</f>
        <v>19.388969927080222</v>
      </c>
      <c r="AP162" s="2136">
        <f ca="1">W.Al!$F$160*W.Al!F188</f>
        <v>5.4856268341994499</v>
      </c>
      <c r="AQ162" s="2136">
        <f ca="1">W.Al!$F$161*W.Al!F188</f>
        <v>5.4856268341994499</v>
      </c>
      <c r="AR162" s="2136">
        <f ca="1">W.Al!$G$162*W.Al!G188</f>
        <v>19.388969927080222</v>
      </c>
      <c r="AS162" s="2136">
        <f ca="1">'C.Al'!$G$113*'C.Al'!G139+'C.Al'!$H$113*'C.Al'!H139</f>
        <v>27.523393341817503</v>
      </c>
      <c r="AT162" s="2136">
        <f ca="1">'C.Al'!$D$149*'C.Al'!D175+'C.Al'!$E$149*'C.Al'!E175</f>
        <v>27.523393341817503</v>
      </c>
      <c r="AU162" s="2136">
        <f>Copper!D85</f>
        <v>11.485243516159652</v>
      </c>
      <c r="AV162" s="2136">
        <f>Glass!B93</f>
        <v>2.8359974776803125</v>
      </c>
      <c r="AW162" s="2136">
        <f>Vehi_Plastics!B$19*Vehi_Plastics!X127</f>
        <v>21.890063728406027</v>
      </c>
      <c r="AX162" s="2136">
        <f>Vehi_Plastics!C$19*Vehi_Plastics!AA127</f>
        <v>24.925519680804229</v>
      </c>
      <c r="AY162" s="2136">
        <f>Vehi_Plastics!D$19*Vehi_Plastics!AB127</f>
        <v>33.774666201440319</v>
      </c>
      <c r="AZ162" s="2136">
        <f>Vehi_Plastics!E$19*Vehi_Plastics!AC127</f>
        <v>13.252497458173627</v>
      </c>
      <c r="BA162" s="2136">
        <f>Vehi_Plastics!F$19*Vehi_Plastics!AD127</f>
        <v>25.155850619648302</v>
      </c>
      <c r="BB162" s="2136">
        <f>Vehi_Plastics!G$19*Vehi_Plastics!AE127</f>
        <v>10.227997354078584</v>
      </c>
      <c r="BC162" s="2136">
        <f>Vehi_Plastics!H$19*Vehi_Plastics!AF127</f>
        <v>10.442462436979488</v>
      </c>
      <c r="BD162" s="2136">
        <f>Vehi_Plastics!I$19*Vehi_Plastics!AG127</f>
        <v>13.855301610968702</v>
      </c>
      <c r="BE162" s="2136">
        <f>Vehi_Plastics!J$19*Vehi_Plastics!AH127</f>
        <v>39.677166289994858</v>
      </c>
      <c r="BF162" s="2136">
        <f>Vehi_Plastics!K$19*Vehi_Plastics!AI127</f>
        <v>25.005427309131363</v>
      </c>
      <c r="BG162" s="2136">
        <f>Vehi_Plastics!L$19*Vehi_Plastics!AJ127</f>
        <v>17.980984707315493</v>
      </c>
      <c r="BH162" s="2136">
        <f>Rubber!$A$6*Rubber!C87</f>
        <v>25.155850619648298</v>
      </c>
      <c r="BI162" s="2185">
        <f>Rubber!$B$6*Rubber!D87</f>
        <v>25.005427309131363</v>
      </c>
    </row>
    <row r="163" spans="1:61" s="2136" customFormat="1" ht="15.75">
      <c r="A163" s="2236" t="s">
        <v>2542</v>
      </c>
      <c r="B163" s="2136">
        <f t="shared" ca="1" si="12"/>
        <v>8.1921524205194433E-3</v>
      </c>
      <c r="C163" s="2136">
        <f t="shared" ca="1" si="12"/>
        <v>8.1921524205194433E-3</v>
      </c>
      <c r="D163" s="2136">
        <f t="shared" ca="1" si="12"/>
        <v>8.1921524205194433E-3</v>
      </c>
      <c r="E163" s="2136">
        <f t="shared" ca="1" si="12"/>
        <v>1.9075746809847003E-2</v>
      </c>
      <c r="F163" s="2136">
        <f t="shared" ca="1" si="12"/>
        <v>1.9075746809847003E-2</v>
      </c>
      <c r="G163" s="2136">
        <f t="shared" ca="1" si="12"/>
        <v>1.0158601682316191E-2</v>
      </c>
      <c r="H163" s="2136">
        <f t="shared" si="12"/>
        <v>7.1967814842194736E-2</v>
      </c>
      <c r="I163" s="2136">
        <f t="shared" ca="1" si="12"/>
        <v>8.1921524205194468E-3</v>
      </c>
      <c r="J163" s="2136">
        <f t="shared" ca="1" si="12"/>
        <v>8.1921524205194468E-3</v>
      </c>
      <c r="K163" s="2136">
        <f t="shared" ca="1" si="12"/>
        <v>1.5147361506772102E-2</v>
      </c>
      <c r="L163" s="2136">
        <f t="shared" ca="1" si="12"/>
        <v>8.1921524205194468E-3</v>
      </c>
      <c r="M163" s="2136">
        <f t="shared" ca="1" si="12"/>
        <v>8.1921524205194468E-3</v>
      </c>
      <c r="N163" s="2136">
        <f t="shared" ca="1" si="12"/>
        <v>1.5147361506772102E-2</v>
      </c>
      <c r="O163" s="2136">
        <f t="shared" ca="1" si="12"/>
        <v>1.9414843585620657E-2</v>
      </c>
      <c r="P163" s="2136">
        <f t="shared" ca="1" si="12"/>
        <v>1.9414843585620657E-2</v>
      </c>
      <c r="Q163" s="2136">
        <f t="shared" si="12"/>
        <v>1.6444044389891038E-2</v>
      </c>
      <c r="R163" s="2136">
        <f t="shared" si="13"/>
        <v>4.0990721172753392E-3</v>
      </c>
      <c r="S163" s="2136">
        <f t="shared" si="13"/>
        <v>3.2690291187872346E-2</v>
      </c>
      <c r="T163" s="2136">
        <f t="shared" si="13"/>
        <v>2.4806486062219246E-2</v>
      </c>
      <c r="U163" s="2136">
        <f t="shared" si="13"/>
        <v>5.0410652280512232E-2</v>
      </c>
      <c r="V163" s="2136">
        <f t="shared" si="13"/>
        <v>1.9791079927832651E-2</v>
      </c>
      <c r="W163" s="2136">
        <f t="shared" si="13"/>
        <v>2.658924400645751E-2</v>
      </c>
      <c r="X163" s="2136">
        <f t="shared" si="13"/>
        <v>1.5274337065530493E-2</v>
      </c>
      <c r="Y163" s="2136">
        <f t="shared" si="13"/>
        <v>1.5594615987357655E-2</v>
      </c>
      <c r="Z163" s="2136">
        <f t="shared" si="13"/>
        <v>2.0691298562580524E-2</v>
      </c>
      <c r="AA163" s="2136">
        <f t="shared" si="13"/>
        <v>5.9253282019751018E-2</v>
      </c>
      <c r="AB163" s="2136">
        <f t="shared" si="13"/>
        <v>3.7342728196442888E-2</v>
      </c>
      <c r="AC163" s="2136">
        <f t="shared" si="13"/>
        <v>2.6852531505609522E-2</v>
      </c>
      <c r="AD163" s="2136">
        <f t="shared" si="13"/>
        <v>2.6589244006457506E-2</v>
      </c>
      <c r="AE163" s="2136">
        <f t="shared" si="13"/>
        <v>3.7342728196442888E-2</v>
      </c>
      <c r="AF163" s="2136">
        <f ca="1">Steel!H131</f>
        <v>16.384304841038887</v>
      </c>
      <c r="AG163" s="2136">
        <f ca="1">Steel!H131</f>
        <v>16.384304841038887</v>
      </c>
      <c r="AH163" s="2136">
        <f ca="1">Steel!H131</f>
        <v>16.384304841038887</v>
      </c>
      <c r="AI163" s="2136">
        <f ca="1">Steel!$D$140*Steel!C165+Steel!D165</f>
        <v>38.151493619694008</v>
      </c>
      <c r="AJ163" s="2136">
        <f ca="1">Steel!$D$208*Steel!C233+Steel!D233</f>
        <v>38.151493619694008</v>
      </c>
      <c r="AK163" s="2136">
        <f ca="1">'C.Iron'!C85+'C.Iron'!E85</f>
        <v>20.317203364632384</v>
      </c>
      <c r="AL163" s="2136">
        <f>'C.Iron'!D85+'C.Iron'!E85</f>
        <v>143.93562968438948</v>
      </c>
      <c r="AM163" s="2136">
        <f ca="1">W.Al!$I$122*W.Al!I151</f>
        <v>16.384304841038894</v>
      </c>
      <c r="AN163" s="2136">
        <f ca="1">W.Al!$I$123*W.Al!I151</f>
        <v>16.384304841038894</v>
      </c>
      <c r="AO163" s="2136">
        <f ca="1">W.Al!$J$124*W.Al!J151</f>
        <v>30.294723013544203</v>
      </c>
      <c r="AP163" s="2136">
        <f ca="1">W.Al!$F$160*W.Al!F189</f>
        <v>16.384304841038894</v>
      </c>
      <c r="AQ163" s="2136">
        <f ca="1">W.Al!$F$161*W.Al!F189</f>
        <v>16.384304841038894</v>
      </c>
      <c r="AR163" s="2136">
        <f ca="1">W.Al!$G$162*W.Al!G189</f>
        <v>30.294723013544203</v>
      </c>
      <c r="AS163" s="2136">
        <f ca="1">'C.Al'!$G$113*'C.Al'!G140+'C.Al'!$H$113*'C.Al'!H140</f>
        <v>38.829687171241318</v>
      </c>
      <c r="AT163" s="2136">
        <f ca="1">'C.Al'!$D$149*'C.Al'!D176+'C.Al'!$E$149*'C.Al'!E176</f>
        <v>38.829687171241318</v>
      </c>
      <c r="AU163" s="2136">
        <f>Copper!D86</f>
        <v>32.888088779782073</v>
      </c>
      <c r="AV163" s="2136">
        <f>Glass!B94</f>
        <v>8.1981442345506785</v>
      </c>
      <c r="AW163" s="2136">
        <f>Vehi_Plastics!B$19*Vehi_Plastics!X128</f>
        <v>65.380582375744694</v>
      </c>
      <c r="AX163" s="2136">
        <f>Vehi_Plastics!C$19*Vehi_Plastics!AA128</f>
        <v>49.612972124438492</v>
      </c>
      <c r="AY163" s="2136">
        <f>Vehi_Plastics!D$19*Vehi_Plastics!AB128</f>
        <v>100.82130456102446</v>
      </c>
      <c r="AZ163" s="2136">
        <f>Vehi_Plastics!E$19*Vehi_Plastics!AC128</f>
        <v>39.582159855665303</v>
      </c>
      <c r="BA163" s="2136">
        <f>Vehi_Plastics!F$19*Vehi_Plastics!AD128</f>
        <v>53.178488012915018</v>
      </c>
      <c r="BB163" s="2136">
        <f>Vehi_Plastics!G$19*Vehi_Plastics!AE128</f>
        <v>30.548674131060988</v>
      </c>
      <c r="BC163" s="2136">
        <f>Vehi_Plastics!H$19*Vehi_Plastics!AF128</f>
        <v>31.189231974715309</v>
      </c>
      <c r="BD163" s="2136">
        <f>Vehi_Plastics!I$19*Vehi_Plastics!AG128</f>
        <v>41.382597125161048</v>
      </c>
      <c r="BE163" s="2136">
        <f>Vehi_Plastics!J$19*Vehi_Plastics!AH128</f>
        <v>118.50656403950204</v>
      </c>
      <c r="BF163" s="2136">
        <f>Vehi_Plastics!K$19*Vehi_Plastics!AI128</f>
        <v>74.685456392885783</v>
      </c>
      <c r="BG163" s="2136">
        <f>Vehi_Plastics!L$19*Vehi_Plastics!AJ128</f>
        <v>53.705063011219046</v>
      </c>
      <c r="BH163" s="2136">
        <f>Rubber!$A$6*Rubber!C88</f>
        <v>53.178488012915011</v>
      </c>
      <c r="BI163" s="2185">
        <f>Rubber!$B$6*Rubber!D88</f>
        <v>74.685456392885783</v>
      </c>
    </row>
    <row r="164" spans="1:61" s="2136" customFormat="1" ht="15.75">
      <c r="A164" s="2236" t="s">
        <v>2543</v>
      </c>
      <c r="B164" s="2136">
        <f t="shared" ca="1" si="12"/>
        <v>1.093744728068953E-3</v>
      </c>
      <c r="C164" s="2136">
        <f t="shared" ca="1" si="12"/>
        <v>1.093744728068953E-3</v>
      </c>
      <c r="D164" s="2136">
        <f t="shared" ca="1" si="12"/>
        <v>1.093744728068953E-3</v>
      </c>
      <c r="E164" s="2136">
        <f t="shared" ca="1" si="12"/>
        <v>2.0721677399954076E-3</v>
      </c>
      <c r="F164" s="2136">
        <f t="shared" ca="1" si="12"/>
        <v>2.0721677399954076E-3</v>
      </c>
      <c r="G164" s="2136">
        <f t="shared" ca="1" si="12"/>
        <v>9.9021350592414068E-4</v>
      </c>
      <c r="H164" s="2136">
        <f t="shared" si="12"/>
        <v>2.429904100891949E-3</v>
      </c>
      <c r="I164" s="2136">
        <f t="shared" ca="1" si="12"/>
        <v>1.0937447280689532E-3</v>
      </c>
      <c r="J164" s="2136">
        <f t="shared" ca="1" si="12"/>
        <v>1.0937447280689532E-3</v>
      </c>
      <c r="K164" s="2136">
        <f t="shared" ca="1" si="12"/>
        <v>8.4828626627595123E-4</v>
      </c>
      <c r="L164" s="2136">
        <f t="shared" ca="1" si="12"/>
        <v>1.0937447280689532E-3</v>
      </c>
      <c r="M164" s="2136">
        <f t="shared" ca="1" si="12"/>
        <v>1.0937447280689532E-3</v>
      </c>
      <c r="N164" s="2136">
        <f t="shared" ca="1" si="12"/>
        <v>8.4828626627595123E-4</v>
      </c>
      <c r="O164" s="2136">
        <f t="shared" ca="1" si="12"/>
        <v>7.4806339553952191E-4</v>
      </c>
      <c r="P164" s="2136">
        <f t="shared" ca="1" si="12"/>
        <v>7.4806339553952191E-4</v>
      </c>
      <c r="Q164" s="2136">
        <f t="shared" si="12"/>
        <v>2.2439744452023122E-3</v>
      </c>
      <c r="R164" s="2136">
        <f t="shared" si="13"/>
        <v>5.4325167733162299E-4</v>
      </c>
      <c r="S164" s="2136">
        <f t="shared" si="13"/>
        <v>4.3645225101301525E-3</v>
      </c>
      <c r="T164" s="2136">
        <f t="shared" si="13"/>
        <v>2.7699633803385765E-3</v>
      </c>
      <c r="U164" s="2136">
        <f t="shared" si="13"/>
        <v>6.7313273798485923E-3</v>
      </c>
      <c r="V164" s="2136">
        <f t="shared" si="13"/>
        <v>2.6423323471910804E-3</v>
      </c>
      <c r="W164" s="2136">
        <f t="shared" si="13"/>
        <v>2.6165489630867408E-3</v>
      </c>
      <c r="X164" s="2136">
        <f t="shared" si="13"/>
        <v>2.0392962414037792E-3</v>
      </c>
      <c r="Y164" s="2136">
        <f t="shared" si="13"/>
        <v>2.0820570891368663E-3</v>
      </c>
      <c r="Z164" s="2136">
        <f t="shared" si="13"/>
        <v>2.7625216863687426E-3</v>
      </c>
      <c r="AA164" s="2136">
        <f t="shared" si="13"/>
        <v>7.9109813273928603E-3</v>
      </c>
      <c r="AB164" s="2136">
        <f t="shared" si="13"/>
        <v>4.9856753146179213E-3</v>
      </c>
      <c r="AC164" s="2136">
        <f t="shared" si="13"/>
        <v>3.5851157622508699E-3</v>
      </c>
      <c r="AD164" s="2136">
        <f t="shared" si="13"/>
        <v>2.6165489630867399E-3</v>
      </c>
      <c r="AE164" s="2136">
        <f t="shared" si="13"/>
        <v>4.9856753146179213E-3</v>
      </c>
      <c r="AF164" s="2136">
        <f ca="1">Steel!H132</f>
        <v>2.1874894561379059</v>
      </c>
      <c r="AG164" s="2136">
        <f ca="1">Steel!H132</f>
        <v>2.1874894561379059</v>
      </c>
      <c r="AH164" s="2136">
        <f ca="1">Steel!H132</f>
        <v>2.1874894561379059</v>
      </c>
      <c r="AI164" s="2136">
        <f ca="1">Steel!$D$140*Steel!C166+Steel!D166</f>
        <v>4.144335479990815</v>
      </c>
      <c r="AJ164" s="2136">
        <f ca="1">Steel!$D$208*Steel!C234+Steel!D234</f>
        <v>4.144335479990815</v>
      </c>
      <c r="AK164" s="2136">
        <f ca="1">'C.Iron'!C86+'C.Iron'!E86</f>
        <v>1.9804270118482812</v>
      </c>
      <c r="AL164" s="2136">
        <f>'C.Iron'!D86+'C.Iron'!E86</f>
        <v>4.8598082017838982</v>
      </c>
      <c r="AM164" s="2136">
        <f ca="1">W.Al!$I$122*W.Al!I152</f>
        <v>2.1874894561379064</v>
      </c>
      <c r="AN164" s="2136">
        <f ca="1">W.Al!$I$123*W.Al!I152</f>
        <v>2.1874894561379064</v>
      </c>
      <c r="AO164" s="2136">
        <f ca="1">W.Al!$J$124*W.Al!J152</f>
        <v>1.6965725325519025</v>
      </c>
      <c r="AP164" s="2136">
        <f ca="1">W.Al!$F$160*W.Al!F190</f>
        <v>2.1874894561379064</v>
      </c>
      <c r="AQ164" s="2136">
        <f ca="1">W.Al!$F$161*W.Al!F190</f>
        <v>2.1874894561379064</v>
      </c>
      <c r="AR164" s="2136">
        <f ca="1">W.Al!$G$162*W.Al!G190</f>
        <v>1.6965725325519025</v>
      </c>
      <c r="AS164" s="2136">
        <f ca="1">'C.Al'!$G$113*'C.Al'!G141+'C.Al'!$H$113*'C.Al'!H141</f>
        <v>1.4961267910790439</v>
      </c>
      <c r="AT164" s="2136">
        <f ca="1">'C.Al'!$D$149*'C.Al'!D177+'C.Al'!$E$149*'C.Al'!E177</f>
        <v>1.4961267910790439</v>
      </c>
      <c r="AU164" s="2136">
        <f>Copper!D87</f>
        <v>4.4879488904046241</v>
      </c>
      <c r="AV164" s="2136">
        <f>Glass!B95</f>
        <v>1.0865033546632459</v>
      </c>
      <c r="AW164" s="2136">
        <f>Vehi_Plastics!B$19*Vehi_Plastics!X129</f>
        <v>8.7290450202603047</v>
      </c>
      <c r="AX164" s="2136">
        <f>Vehi_Plastics!C$19*Vehi_Plastics!AA129</f>
        <v>5.5399267606771527</v>
      </c>
      <c r="AY164" s="2136">
        <f>Vehi_Plastics!D$19*Vehi_Plastics!AB129</f>
        <v>13.462654759697184</v>
      </c>
      <c r="AZ164" s="2136">
        <f>Vehi_Plastics!E$19*Vehi_Plastics!AC129</f>
        <v>5.2846646943821609</v>
      </c>
      <c r="BA164" s="2136">
        <f>Vehi_Plastics!F$19*Vehi_Plastics!AD129</f>
        <v>5.2330979261734818</v>
      </c>
      <c r="BB164" s="2136">
        <f>Vehi_Plastics!G$19*Vehi_Plastics!AE129</f>
        <v>4.0785924828075588</v>
      </c>
      <c r="BC164" s="2136">
        <f>Vehi_Plastics!H$19*Vehi_Plastics!AF129</f>
        <v>4.1641141782737323</v>
      </c>
      <c r="BD164" s="2136">
        <f>Vehi_Plastics!I$19*Vehi_Plastics!AG129</f>
        <v>5.5250433727374855</v>
      </c>
      <c r="BE164" s="2136">
        <f>Vehi_Plastics!J$19*Vehi_Plastics!AH129</f>
        <v>15.821962654785722</v>
      </c>
      <c r="BF164" s="2136">
        <f>Vehi_Plastics!K$19*Vehi_Plastics!AI129</f>
        <v>9.9713506292358431</v>
      </c>
      <c r="BG164" s="2136">
        <f>Vehi_Plastics!L$19*Vehi_Plastics!AJ129</f>
        <v>7.1702315245017401</v>
      </c>
      <c r="BH164" s="2136">
        <f>Rubber!$A$6*Rubber!C89</f>
        <v>5.23309792617348</v>
      </c>
      <c r="BI164" s="2185">
        <f>Rubber!$B$6*Rubber!D89</f>
        <v>9.9713506292358431</v>
      </c>
    </row>
    <row r="165" spans="1:61" s="2136" customFormat="1" ht="15.75">
      <c r="A165" s="2236" t="s">
        <v>2544</v>
      </c>
      <c r="B165" s="2136">
        <f t="shared" ca="1" si="12"/>
        <v>9.6176260021297276E-4</v>
      </c>
      <c r="C165" s="2136">
        <f t="shared" ca="1" si="12"/>
        <v>9.6176260021297276E-4</v>
      </c>
      <c r="D165" s="2136">
        <f t="shared" ca="1" si="12"/>
        <v>9.6176260021297276E-4</v>
      </c>
      <c r="E165" s="2136">
        <f t="shared" ca="1" si="12"/>
        <v>1.8228179062709374E-3</v>
      </c>
      <c r="F165" s="2136">
        <f t="shared" ca="1" si="12"/>
        <v>1.8228179062709374E-3</v>
      </c>
      <c r="G165" s="2136">
        <f t="shared" ca="1" si="12"/>
        <v>8.7300484224612585E-4</v>
      </c>
      <c r="H165" s="2136">
        <f t="shared" si="12"/>
        <v>2.1472524289123385E-3</v>
      </c>
      <c r="I165" s="2136">
        <f t="shared" ca="1" si="12"/>
        <v>9.6176260021297298E-4</v>
      </c>
      <c r="J165" s="2136">
        <f t="shared" ca="1" si="12"/>
        <v>9.6176260021297298E-4</v>
      </c>
      <c r="K165" s="2136">
        <f t="shared" ca="1" si="12"/>
        <v>7.4765277137568492E-4</v>
      </c>
      <c r="L165" s="2136">
        <f t="shared" ca="1" si="12"/>
        <v>9.6176260021297298E-4</v>
      </c>
      <c r="M165" s="2136">
        <f t="shared" ca="1" si="12"/>
        <v>9.6176260021297298E-4</v>
      </c>
      <c r="N165" s="2136">
        <f t="shared" ca="1" si="12"/>
        <v>7.4765277137568492E-4</v>
      </c>
      <c r="O165" s="2136">
        <f t="shared" ca="1" si="12"/>
        <v>6.6050848483842177E-4</v>
      </c>
      <c r="P165" s="2136">
        <f t="shared" ca="1" si="12"/>
        <v>6.6050848483842177E-4</v>
      </c>
      <c r="Q165" s="2136">
        <f t="shared" si="12"/>
        <v>1.9735585724054276E-3</v>
      </c>
      <c r="R165" s="2136">
        <f t="shared" si="13"/>
        <v>4.7746780270721187E-4</v>
      </c>
      <c r="S165" s="2136">
        <f t="shared" si="13"/>
        <v>3.8378557722896704E-3</v>
      </c>
      <c r="T165" s="2136">
        <f t="shared" si="13"/>
        <v>2.43855903776336E-3</v>
      </c>
      <c r="U165" s="2136">
        <f t="shared" si="13"/>
        <v>5.9189934486524563E-3</v>
      </c>
      <c r="V165" s="2136">
        <f t="shared" si="13"/>
        <v>2.3234822199765886E-3</v>
      </c>
      <c r="W165" s="2136">
        <f t="shared" si="13"/>
        <v>2.3021838207469567E-3</v>
      </c>
      <c r="X165" s="2136">
        <f t="shared" si="13"/>
        <v>1.7932144543451405E-3</v>
      </c>
      <c r="Y165" s="2136">
        <f t="shared" si="13"/>
        <v>1.8308153524776445E-3</v>
      </c>
      <c r="Z165" s="2136">
        <f t="shared" si="13"/>
        <v>2.4291683169230609E-3</v>
      </c>
      <c r="AA165" s="2136">
        <f t="shared" si="13"/>
        <v>6.9563635612696385E-3</v>
      </c>
      <c r="AB165" s="2136">
        <f t="shared" si="13"/>
        <v>4.3840540953924223E-3</v>
      </c>
      <c r="AC165" s="2136">
        <f t="shared" si="13"/>
        <v>3.1525000021298726E-3</v>
      </c>
      <c r="AD165" s="2136">
        <f t="shared" si="13"/>
        <v>2.3021838207469563E-3</v>
      </c>
      <c r="AE165" s="2136">
        <f t="shared" si="13"/>
        <v>4.3840540953924223E-3</v>
      </c>
      <c r="AF165" s="2136">
        <f ca="1">Steel!H133</f>
        <v>1.9235252004259455</v>
      </c>
      <c r="AG165" s="2136">
        <f ca="1">Steel!H133</f>
        <v>1.9235252004259455</v>
      </c>
      <c r="AH165" s="2136">
        <f ca="1">Steel!H133</f>
        <v>1.9235252004259455</v>
      </c>
      <c r="AI165" s="2136">
        <f ca="1">Steel!$D$140*Steel!C167+Steel!D167</f>
        <v>3.6456358125418751</v>
      </c>
      <c r="AJ165" s="2136">
        <f ca="1">Steel!$D$208*Steel!C235+Steel!D235</f>
        <v>3.6456358125418751</v>
      </c>
      <c r="AK165" s="2136">
        <f ca="1">'C.Iron'!C87+'C.Iron'!E87</f>
        <v>1.7460096844922517</v>
      </c>
      <c r="AL165" s="2136">
        <f>'C.Iron'!D87+'C.Iron'!E87</f>
        <v>4.2945048578246769</v>
      </c>
      <c r="AM165" s="2136">
        <f ca="1">W.Al!$I$122*W.Al!I153</f>
        <v>1.923525200425946</v>
      </c>
      <c r="AN165" s="2136">
        <f ca="1">W.Al!$I$123*W.Al!I153</f>
        <v>1.923525200425946</v>
      </c>
      <c r="AO165" s="2136">
        <f ca="1">W.Al!$J$124*W.Al!J153</f>
        <v>1.4953055427513697</v>
      </c>
      <c r="AP165" s="2136">
        <f ca="1">W.Al!$F$160*W.Al!F191</f>
        <v>1.923525200425946</v>
      </c>
      <c r="AQ165" s="2136">
        <f ca="1">W.Al!$F$161*W.Al!F191</f>
        <v>1.923525200425946</v>
      </c>
      <c r="AR165" s="2136">
        <f ca="1">W.Al!$G$162*W.Al!G191</f>
        <v>1.4953055427513697</v>
      </c>
      <c r="AS165" s="2136">
        <f ca="1">'C.Al'!$G$113*'C.Al'!G142+'C.Al'!$H$113*'C.Al'!H142</f>
        <v>1.3210169696768435</v>
      </c>
      <c r="AT165" s="2136">
        <f ca="1">'C.Al'!$D$149*'C.Al'!D178+'C.Al'!$E$149*'C.Al'!E178</f>
        <v>1.3210169696768435</v>
      </c>
      <c r="AU165" s="2136">
        <f>Copper!D88</f>
        <v>3.9471171448108548</v>
      </c>
      <c r="AV165" s="2136">
        <f>Glass!B96</f>
        <v>0.95493560541442379</v>
      </c>
      <c r="AW165" s="2136">
        <f>Vehi_Plastics!B$19*Vehi_Plastics!X130</f>
        <v>7.6757115445793405</v>
      </c>
      <c r="AX165" s="2136">
        <f>Vehi_Plastics!C$19*Vehi_Plastics!AA130</f>
        <v>4.8771180755267203</v>
      </c>
      <c r="AY165" s="2136">
        <f>Vehi_Plastics!D$19*Vehi_Plastics!AB130</f>
        <v>11.837986897304912</v>
      </c>
      <c r="AZ165" s="2136">
        <f>Vehi_Plastics!E$19*Vehi_Plastics!AC130</f>
        <v>4.6469644399531775</v>
      </c>
      <c r="BA165" s="2136">
        <f>Vehi_Plastics!F$19*Vehi_Plastics!AD130</f>
        <v>4.604367641493913</v>
      </c>
      <c r="BB165" s="2136">
        <f>Vehi_Plastics!G$19*Vehi_Plastics!AE130</f>
        <v>3.586428908690281</v>
      </c>
      <c r="BC165" s="2136">
        <f>Vehi_Plastics!H$19*Vehi_Plastics!AF130</f>
        <v>3.661630704955289</v>
      </c>
      <c r="BD165" s="2136">
        <f>Vehi_Plastics!I$19*Vehi_Plastics!AG130</f>
        <v>4.8583366338461218</v>
      </c>
      <c r="BE165" s="2136">
        <f>Vehi_Plastics!J$19*Vehi_Plastics!AH130</f>
        <v>13.912727122539277</v>
      </c>
      <c r="BF165" s="2136">
        <f>Vehi_Plastics!K$19*Vehi_Plastics!AI130</f>
        <v>8.7681081907848455</v>
      </c>
      <c r="BG165" s="2136">
        <f>Vehi_Plastics!L$19*Vehi_Plastics!AJ130</f>
        <v>6.3050000042597452</v>
      </c>
      <c r="BH165" s="2136">
        <f>Rubber!$A$6*Rubber!C90</f>
        <v>4.6043676414939121</v>
      </c>
      <c r="BI165" s="2185">
        <f>Rubber!$B$6*Rubber!D90</f>
        <v>8.7681081907848455</v>
      </c>
    </row>
    <row r="166" spans="1:61" s="2136" customFormat="1" ht="15.75">
      <c r="A166" s="2236" t="s">
        <v>2545</v>
      </c>
      <c r="B166" s="2136">
        <f t="shared" ca="1" si="12"/>
        <v>8.139640336532819E-3</v>
      </c>
      <c r="C166" s="2136">
        <f t="shared" ca="1" si="12"/>
        <v>8.139640336532819E-3</v>
      </c>
      <c r="D166" s="2136">
        <f t="shared" ca="1" si="12"/>
        <v>8.139640336532819E-3</v>
      </c>
      <c r="E166" s="2136">
        <f t="shared" ca="1" si="12"/>
        <v>1.5462365129438606E-2</v>
      </c>
      <c r="F166" s="2136">
        <f t="shared" ca="1" si="12"/>
        <v>1.5462365129438606E-2</v>
      </c>
      <c r="G166" s="2136">
        <f t="shared" ca="1" si="12"/>
        <v>6.6798122773228585E-3</v>
      </c>
      <c r="H166" s="2136">
        <f t="shared" si="12"/>
        <v>1.8708056114921975E-2</v>
      </c>
      <c r="I166" s="2136">
        <f t="shared" ca="1" si="12"/>
        <v>8.1396403365328208E-3</v>
      </c>
      <c r="J166" s="2136">
        <f t="shared" ca="1" si="12"/>
        <v>8.1396403365328208E-3</v>
      </c>
      <c r="K166" s="2136">
        <f t="shared" ca="1" si="12"/>
        <v>6.4120378155101262E-3</v>
      </c>
      <c r="L166" s="2136">
        <f t="shared" ca="1" si="12"/>
        <v>8.1396403365328208E-3</v>
      </c>
      <c r="M166" s="2136">
        <f t="shared" ca="1" si="12"/>
        <v>8.1396403365328208E-3</v>
      </c>
      <c r="N166" s="2136">
        <f t="shared" ca="1" si="12"/>
        <v>6.4120378155101262E-3</v>
      </c>
      <c r="O166" s="2136">
        <f t="shared" ca="1" si="12"/>
        <v>5.7275619637872548E-3</v>
      </c>
      <c r="P166" s="2136">
        <f t="shared" ca="1" si="12"/>
        <v>5.7275619637872548E-3</v>
      </c>
      <c r="Q166" s="2136">
        <f t="shared" si="12"/>
        <v>1.58185187417757E-2</v>
      </c>
      <c r="R166" s="2136">
        <f t="shared" si="13"/>
        <v>3.7764633317638407E-3</v>
      </c>
      <c r="S166" s="2136">
        <f t="shared" si="13"/>
        <v>3.2480744877173222E-2</v>
      </c>
      <c r="T166" s="2136">
        <f t="shared" si="13"/>
        <v>1.6528789311366362E-2</v>
      </c>
      <c r="U166" s="2136">
        <f t="shared" si="13"/>
        <v>5.0076337822765535E-2</v>
      </c>
      <c r="V166" s="2136">
        <f t="shared" si="13"/>
        <v>1.9664218170627891E-2</v>
      </c>
      <c r="W166" s="2136">
        <f t="shared" si="13"/>
        <v>1.9553569995038281E-2</v>
      </c>
      <c r="X166" s="2136">
        <f t="shared" si="13"/>
        <v>1.5176427843429584E-2</v>
      </c>
      <c r="Y166" s="2136">
        <f t="shared" si="13"/>
        <v>1.5494653762238882E-2</v>
      </c>
      <c r="Z166" s="2136">
        <f t="shared" si="13"/>
        <v>2.055866636140358E-2</v>
      </c>
      <c r="AA166" s="2136">
        <f t="shared" si="13"/>
        <v>5.8873465683068768E-2</v>
      </c>
      <c r="AB166" s="2136">
        <f t="shared" si="13"/>
        <v>3.7103359544752579E-2</v>
      </c>
      <c r="AC166" s="2136">
        <f t="shared" si="13"/>
        <v>2.668040551023081E-2</v>
      </c>
      <c r="AD166" s="2136">
        <f t="shared" si="13"/>
        <v>1.9553569995038277E-2</v>
      </c>
      <c r="AE166" s="2136">
        <f t="shared" si="13"/>
        <v>3.7103359544752579E-2</v>
      </c>
      <c r="AF166" s="2136">
        <f ca="1">Steel!H134</f>
        <v>16.279280673065639</v>
      </c>
      <c r="AG166" s="2136">
        <f ca="1">Steel!H134</f>
        <v>16.279280673065639</v>
      </c>
      <c r="AH166" s="2136">
        <f ca="1">Steel!H134</f>
        <v>16.279280673065639</v>
      </c>
      <c r="AI166" s="2136">
        <f ca="1">Steel!$D$140*Steel!C168+Steel!D168</f>
        <v>30.924730258877211</v>
      </c>
      <c r="AJ166" s="2136">
        <f ca="1">Steel!$D$208*Steel!C236+Steel!D236</f>
        <v>30.924730258877211</v>
      </c>
      <c r="AK166" s="2136">
        <f ca="1">'C.Iron'!C88+'C.Iron'!E88</f>
        <v>13.359624554645716</v>
      </c>
      <c r="AL166" s="2136">
        <f>'C.Iron'!D88+'C.Iron'!E88</f>
        <v>37.416112229843954</v>
      </c>
      <c r="AM166" s="2136">
        <f ca="1">W.Al!$I$122*W.Al!I154</f>
        <v>16.279280673065642</v>
      </c>
      <c r="AN166" s="2136">
        <f ca="1">W.Al!$I$123*W.Al!I154</f>
        <v>16.279280673065642</v>
      </c>
      <c r="AO166" s="2136">
        <f ca="1">W.Al!$J$124*W.Al!J154</f>
        <v>12.824075631020252</v>
      </c>
      <c r="AP166" s="2136">
        <f ca="1">W.Al!$F$160*W.Al!F192</f>
        <v>16.279280673065642</v>
      </c>
      <c r="AQ166" s="2136">
        <f ca="1">W.Al!$F$161*W.Al!F192</f>
        <v>16.279280673065642</v>
      </c>
      <c r="AR166" s="2136">
        <f ca="1">W.Al!$G$162*W.Al!G192</f>
        <v>12.824075631020252</v>
      </c>
      <c r="AS166" s="2136">
        <f ca="1">'C.Al'!$G$113*'C.Al'!G143+'C.Al'!$H$113*'C.Al'!H143</f>
        <v>11.45512392757451</v>
      </c>
      <c r="AT166" s="2136">
        <f ca="1">'C.Al'!$D$149*'C.Al'!D179+'C.Al'!$E$149*'C.Al'!E179</f>
        <v>11.45512392757451</v>
      </c>
      <c r="AU166" s="2136">
        <f>Copper!D89</f>
        <v>31.637037483551403</v>
      </c>
      <c r="AV166" s="2136">
        <f>Glass!B97</f>
        <v>7.5529266635276811</v>
      </c>
      <c r="AW166" s="2136">
        <f>Vehi_Plastics!B$19*Vehi_Plastics!X131</f>
        <v>64.961489754346445</v>
      </c>
      <c r="AX166" s="2136">
        <f>Vehi_Plastics!C$19*Vehi_Plastics!AA131</f>
        <v>33.057578622732727</v>
      </c>
      <c r="AY166" s="2136">
        <f>Vehi_Plastics!D$19*Vehi_Plastics!AB131</f>
        <v>100.15267564553108</v>
      </c>
      <c r="AZ166" s="2136">
        <f>Vehi_Plastics!E$19*Vehi_Plastics!AC131</f>
        <v>39.328436341255781</v>
      </c>
      <c r="BA166" s="2136">
        <f>Vehi_Plastics!F$19*Vehi_Plastics!AD131</f>
        <v>39.107139990076561</v>
      </c>
      <c r="BB166" s="2136">
        <f>Vehi_Plastics!G$19*Vehi_Plastics!AE131</f>
        <v>30.352855686859169</v>
      </c>
      <c r="BC166" s="2136">
        <f>Vehi_Plastics!H$19*Vehi_Plastics!AF131</f>
        <v>30.989307524477763</v>
      </c>
      <c r="BD166" s="2136">
        <f>Vehi_Plastics!I$19*Vehi_Plastics!AG131</f>
        <v>41.117332722807163</v>
      </c>
      <c r="BE166" s="2136">
        <f>Vehi_Plastics!J$19*Vehi_Plastics!AH131</f>
        <v>117.74693136613753</v>
      </c>
      <c r="BF166" s="2136">
        <f>Vehi_Plastics!K$19*Vehi_Plastics!AI131</f>
        <v>74.206719089505157</v>
      </c>
      <c r="BG166" s="2136">
        <f>Vehi_Plastics!L$19*Vehi_Plastics!AJ131</f>
        <v>53.360811020461618</v>
      </c>
      <c r="BH166" s="2136">
        <f>Rubber!$A$6*Rubber!C91</f>
        <v>39.107139990076554</v>
      </c>
      <c r="BI166" s="2185">
        <f>Rubber!$B$6*Rubber!D91</f>
        <v>74.206719089505157</v>
      </c>
    </row>
    <row r="167" spans="1:61" s="2136" customFormat="1">
      <c r="A167" s="2236" t="s">
        <v>827</v>
      </c>
      <c r="B167" s="2136">
        <f t="shared" ca="1" si="12"/>
        <v>4.95653210099539E-5</v>
      </c>
      <c r="C167" s="2136">
        <f t="shared" ca="1" si="12"/>
        <v>4.95653210099539E-5</v>
      </c>
      <c r="D167" s="2136">
        <f t="shared" ca="1" si="12"/>
        <v>4.95653210099539E-5</v>
      </c>
      <c r="E167" s="2136">
        <f t="shared" ca="1" si="12"/>
        <v>9.5621225272076951E-5</v>
      </c>
      <c r="F167" s="2136">
        <f t="shared" ca="1" si="12"/>
        <v>9.5621225272076951E-5</v>
      </c>
      <c r="G167" s="2136">
        <f t="shared" ca="1" si="12"/>
        <v>5.1041423239821792E-5</v>
      </c>
      <c r="H167" s="2136">
        <f t="shared" si="12"/>
        <v>1.3607792610954614E-4</v>
      </c>
      <c r="I167" s="2136">
        <f t="shared" ca="1" si="12"/>
        <v>4.9565321009953913E-5</v>
      </c>
      <c r="J167" s="2136">
        <f t="shared" ca="1" si="12"/>
        <v>4.9565321009953913E-5</v>
      </c>
      <c r="K167" s="2136">
        <f t="shared" ca="1" si="12"/>
        <v>4.2716860960673803E-5</v>
      </c>
      <c r="L167" s="2136">
        <f t="shared" ca="1" si="12"/>
        <v>4.9565321009953913E-5</v>
      </c>
      <c r="M167" s="2136">
        <f t="shared" ca="1" si="12"/>
        <v>4.9565321009953913E-5</v>
      </c>
      <c r="N167" s="2136">
        <f t="shared" ca="1" si="12"/>
        <v>4.2716860960673803E-5</v>
      </c>
      <c r="O167" s="2136">
        <f t="shared" ca="1" si="12"/>
        <v>4.0569092212745473E-5</v>
      </c>
      <c r="P167" s="2136">
        <f t="shared" ca="1" si="12"/>
        <v>4.0569092212745473E-5</v>
      </c>
      <c r="Q167" s="2136">
        <f t="shared" si="12"/>
        <v>1.1006073191033915E-4</v>
      </c>
      <c r="R167" s="2136">
        <f t="shared" si="13"/>
        <v>2.7401272270988606E-5</v>
      </c>
      <c r="S167" s="2136">
        <f t="shared" si="13"/>
        <v>1.9778743039219733E-4</v>
      </c>
      <c r="T167" s="2136">
        <f t="shared" si="13"/>
        <v>1.6776603333168742E-4</v>
      </c>
      <c r="U167" s="2136">
        <f t="shared" si="13"/>
        <v>3.0519671392279256E-4</v>
      </c>
      <c r="V167" s="2136">
        <f t="shared" si="13"/>
        <v>1.1974279522676178E-4</v>
      </c>
      <c r="W167" s="2136">
        <f t="shared" si="13"/>
        <v>1.2195010341316048E-4</v>
      </c>
      <c r="X167" s="2136">
        <f t="shared" si="13"/>
        <v>9.2414957755296729E-5</v>
      </c>
      <c r="Y167" s="2136">
        <f t="shared" si="13"/>
        <v>9.4352754656306853E-5</v>
      </c>
      <c r="Z167" s="2136">
        <f t="shared" si="13"/>
        <v>1.2518942552854415E-4</v>
      </c>
      <c r="AA167" s="2136">
        <f t="shared" si="13"/>
        <v>3.5850260022579844E-4</v>
      </c>
      <c r="AB167" s="2136">
        <f t="shared" si="13"/>
        <v>2.2593626380877174E-4</v>
      </c>
      <c r="AC167" s="2136">
        <f t="shared" si="13"/>
        <v>1.6246698983184255E-4</v>
      </c>
      <c r="AD167" s="2136">
        <f t="shared" si="13"/>
        <v>1.2195010341316045E-4</v>
      </c>
      <c r="AE167" s="2136">
        <f t="shared" si="13"/>
        <v>2.2593626380877174E-4</v>
      </c>
      <c r="AF167" s="2136">
        <f ca="1">Steel!H135</f>
        <v>9.9130642019907803E-2</v>
      </c>
      <c r="AG167" s="2136">
        <f ca="1">Steel!H135</f>
        <v>9.9130642019907803E-2</v>
      </c>
      <c r="AH167" s="2136">
        <f ca="1">Steel!H135</f>
        <v>9.9130642019907803E-2</v>
      </c>
      <c r="AI167" s="2136">
        <f ca="1">Steel!$D$140*Steel!C169+Steel!D169</f>
        <v>0.1912424505441539</v>
      </c>
      <c r="AJ167" s="2136">
        <f ca="1">Steel!$D$208*Steel!C237+Steel!D237</f>
        <v>0.1912424505441539</v>
      </c>
      <c r="AK167" s="2136">
        <f ca="1">'C.Iron'!C89+'C.Iron'!E89</f>
        <v>0.10208284647964358</v>
      </c>
      <c r="AL167" s="2136">
        <f>'C.Iron'!D89+'C.Iron'!E89</f>
        <v>0.27215585221909228</v>
      </c>
      <c r="AM167" s="2136">
        <f ca="1">W.Al!$I$122*W.Al!I155</f>
        <v>9.913064201990783E-2</v>
      </c>
      <c r="AN167" s="2136">
        <f ca="1">W.Al!$I$123*W.Al!I155</f>
        <v>9.913064201990783E-2</v>
      </c>
      <c r="AO167" s="2136">
        <f ca="1">W.Al!$J$124*W.Al!J155</f>
        <v>8.54337219213476E-2</v>
      </c>
      <c r="AP167" s="2136">
        <f ca="1">W.Al!$F$160*W.Al!F193</f>
        <v>9.913064201990783E-2</v>
      </c>
      <c r="AQ167" s="2136">
        <f ca="1">W.Al!$F$161*W.Al!F193</f>
        <v>9.913064201990783E-2</v>
      </c>
      <c r="AR167" s="2136">
        <f ca="1">W.Al!$G$162*W.Al!G193</f>
        <v>8.54337219213476E-2</v>
      </c>
      <c r="AS167" s="2136">
        <f ca="1">'C.Al'!$G$113*'C.Al'!G144+'C.Al'!$H$113*'C.Al'!H144</f>
        <v>8.113818442549095E-2</v>
      </c>
      <c r="AT167" s="2136">
        <f ca="1">'C.Al'!$D$149*'C.Al'!D180+'C.Al'!$E$149*'C.Al'!E180</f>
        <v>8.113818442549095E-2</v>
      </c>
      <c r="AU167" s="2136">
        <f>Copper!D90</f>
        <v>0.22012146382067829</v>
      </c>
      <c r="AV167" s="2136">
        <f>Glass!B98</f>
        <v>5.4802544541977215E-2</v>
      </c>
      <c r="AW167" s="2136">
        <f>Vehi_Plastics!B$19*Vehi_Plastics!X132</f>
        <v>0.39557486078439463</v>
      </c>
      <c r="AX167" s="2136">
        <f>Vehi_Plastics!C$19*Vehi_Plastics!AA132</f>
        <v>0.33553206666337482</v>
      </c>
      <c r="AY167" s="2136">
        <f>Vehi_Plastics!D$19*Vehi_Plastics!AB132</f>
        <v>0.61039342784558515</v>
      </c>
      <c r="AZ167" s="2136">
        <f>Vehi_Plastics!E$19*Vehi_Plastics!AC132</f>
        <v>0.23948559045352355</v>
      </c>
      <c r="BA167" s="2136">
        <f>Vehi_Plastics!F$19*Vehi_Plastics!AD132</f>
        <v>0.24390020682632096</v>
      </c>
      <c r="BB167" s="2136">
        <f>Vehi_Plastics!G$19*Vehi_Plastics!AE132</f>
        <v>0.18482991551059347</v>
      </c>
      <c r="BC167" s="2136">
        <f>Vehi_Plastics!H$19*Vehi_Plastics!AF132</f>
        <v>0.18870550931261371</v>
      </c>
      <c r="BD167" s="2136">
        <f>Vehi_Plastics!I$19*Vehi_Plastics!AG132</f>
        <v>0.25037885105708829</v>
      </c>
      <c r="BE167" s="2136">
        <f>Vehi_Plastics!J$19*Vehi_Plastics!AH132</f>
        <v>0.71700520045159688</v>
      </c>
      <c r="BF167" s="2136">
        <f>Vehi_Plastics!K$19*Vehi_Plastics!AI132</f>
        <v>0.45187252761754348</v>
      </c>
      <c r="BG167" s="2136">
        <f>Vehi_Plastics!L$19*Vehi_Plastics!AJ132</f>
        <v>0.32493397966368509</v>
      </c>
      <c r="BH167" s="2136">
        <f>Rubber!$A$6*Rubber!C92</f>
        <v>0.24390020682632091</v>
      </c>
      <c r="BI167" s="2185">
        <f>Rubber!$B$6*Rubber!D92</f>
        <v>0.45187252761754348</v>
      </c>
    </row>
    <row r="168" spans="1:61" s="2136" customFormat="1">
      <c r="A168" s="2238" t="s">
        <v>828</v>
      </c>
      <c r="B168" s="2242">
        <f t="shared" ca="1" si="12"/>
        <v>2.7506861479856709E-4</v>
      </c>
      <c r="C168" s="2242">
        <f t="shared" ca="1" si="12"/>
        <v>2.7506861479856709E-4</v>
      </c>
      <c r="D168" s="2242">
        <f t="shared" ca="1" si="12"/>
        <v>2.7506861479856709E-4</v>
      </c>
      <c r="E168" s="2242">
        <f t="shared" ca="1" si="12"/>
        <v>5.221704238803094E-4</v>
      </c>
      <c r="F168" s="2242">
        <f t="shared" ca="1" si="12"/>
        <v>5.221704238803094E-4</v>
      </c>
      <c r="G168" s="2242">
        <f t="shared" ca="1" si="12"/>
        <v>2.6832366992326671E-4</v>
      </c>
      <c r="H168" s="2242">
        <f t="shared" si="12"/>
        <v>6.2676696854419478E-4</v>
      </c>
      <c r="I168" s="2242">
        <f t="shared" ca="1" si="12"/>
        <v>2.750686147985672E-4</v>
      </c>
      <c r="J168" s="2242">
        <f t="shared" ca="1" si="12"/>
        <v>2.750686147985672E-4</v>
      </c>
      <c r="K168" s="2242">
        <f t="shared" ca="1" si="12"/>
        <v>2.1586656852007059E-4</v>
      </c>
      <c r="L168" s="2242">
        <f t="shared" ca="1" si="12"/>
        <v>2.750686147985672E-4</v>
      </c>
      <c r="M168" s="2242">
        <f t="shared" ca="1" si="12"/>
        <v>2.750686147985672E-4</v>
      </c>
      <c r="N168" s="2242">
        <f t="shared" ca="1" si="12"/>
        <v>2.1586656852007059E-4</v>
      </c>
      <c r="O168" s="2242">
        <f t="shared" ca="1" si="12"/>
        <v>1.9215617442217627E-4</v>
      </c>
      <c r="P168" s="2242">
        <f t="shared" ca="1" si="12"/>
        <v>1.9215617442217627E-4</v>
      </c>
      <c r="Q168" s="2242">
        <f t="shared" si="12"/>
        <v>5.4598587531439098E-4</v>
      </c>
      <c r="R168" s="2242">
        <f t="shared" si="13"/>
        <v>1.332978986546096E-4</v>
      </c>
      <c r="S168" s="2242">
        <f t="shared" si="13"/>
        <v>1.0976447522981618E-3</v>
      </c>
      <c r="T168" s="2242">
        <f t="shared" si="13"/>
        <v>6.1169222640634479E-4</v>
      </c>
      <c r="U168" s="2242">
        <f t="shared" si="13"/>
        <v>1.6923705850527731E-3</v>
      </c>
      <c r="V168" s="2242">
        <f t="shared" si="13"/>
        <v>6.6452681318293497E-4</v>
      </c>
      <c r="W168" s="2242">
        <f t="shared" si="13"/>
        <v>6.6007926679200043E-4</v>
      </c>
      <c r="X168" s="2242">
        <f t="shared" si="13"/>
        <v>5.1286774499679989E-4</v>
      </c>
      <c r="Y168" s="2242">
        <f t="shared" si="13"/>
        <v>5.2362177822932489E-4</v>
      </c>
      <c r="Z168" s="2242">
        <f t="shared" si="13"/>
        <v>6.9475353262918446E-4</v>
      </c>
      <c r="AA168" s="2242">
        <f t="shared" si="13"/>
        <v>1.9895526072753779E-3</v>
      </c>
      <c r="AB168" s="2242">
        <f t="shared" si="13"/>
        <v>1.2538600346432068E-3</v>
      </c>
      <c r="AC168" s="2242">
        <f t="shared" si="13"/>
        <v>9.0162978737821713E-4</v>
      </c>
      <c r="AD168" s="2242">
        <f t="shared" si="13"/>
        <v>6.6007926679200021E-4</v>
      </c>
      <c r="AE168" s="2242">
        <f t="shared" si="13"/>
        <v>1.2538600346432068E-3</v>
      </c>
      <c r="AF168" s="2242">
        <f ca="1">Steel!H136</f>
        <v>0.55013722959713418</v>
      </c>
      <c r="AG168" s="2242">
        <f ca="1">Steel!H136</f>
        <v>0.55013722959713418</v>
      </c>
      <c r="AH168" s="2242">
        <f ca="1">Steel!H136</f>
        <v>0.55013722959713418</v>
      </c>
      <c r="AI168" s="2242">
        <f ca="1">Steel!$D$140*Steel!C170+Steel!D170</f>
        <v>1.0443408477606189</v>
      </c>
      <c r="AJ168" s="2242">
        <f ca="1">Steel!$D$208*Steel!C238+Steel!D238</f>
        <v>1.0443408477606189</v>
      </c>
      <c r="AK168" s="2242">
        <f ca="1">'C.Iron'!C90+'C.Iron'!E90</f>
        <v>0.53664733984653346</v>
      </c>
      <c r="AL168" s="2242">
        <f>'C.Iron'!D90+'C.Iron'!E90</f>
        <v>1.2535339370883896</v>
      </c>
      <c r="AM168" s="2242">
        <f ca="1">W.Al!$I$122*W.Al!I156</f>
        <v>0.5501372295971344</v>
      </c>
      <c r="AN168" s="2242">
        <f ca="1">W.Al!$I$123*W.Al!I156</f>
        <v>0.5501372295971344</v>
      </c>
      <c r="AO168" s="2242">
        <f ca="1">W.Al!$J$124*W.Al!J156</f>
        <v>0.43173313704014116</v>
      </c>
      <c r="AP168" s="2242">
        <f ca="1">W.Al!$F$160*W.Al!F194</f>
        <v>0.5501372295971344</v>
      </c>
      <c r="AQ168" s="2242">
        <f ca="1">W.Al!$F$161*W.Al!F194</f>
        <v>0.5501372295971344</v>
      </c>
      <c r="AR168" s="2242">
        <f ca="1">W.Al!$G$162*W.Al!G194</f>
        <v>0.43173313704014116</v>
      </c>
      <c r="AS168" s="2242">
        <f ca="1">'C.Al'!$G$113*'C.Al'!G145+'C.Al'!$H$113*'C.Al'!H145</f>
        <v>0.38431234884435256</v>
      </c>
      <c r="AT168" s="2242">
        <f ca="1">'C.Al'!$D$149*'C.Al'!D181+'C.Al'!$E$149*'C.Al'!E181</f>
        <v>0.38431234884435256</v>
      </c>
      <c r="AU168" s="2242">
        <f>Copper!D91</f>
        <v>1.091971750628782</v>
      </c>
      <c r="AV168" s="2242">
        <f>Glass!B99</f>
        <v>0.26659579730921917</v>
      </c>
      <c r="AW168" s="2242">
        <f>Vehi_Plastics!B$19*Vehi_Plastics!X133</f>
        <v>2.1952895045963237</v>
      </c>
      <c r="AX168" s="2242">
        <f>Vehi_Plastics!C$19*Vehi_Plastics!AA133</f>
        <v>1.2233844528126896</v>
      </c>
      <c r="AY168" s="2242">
        <f>Vehi_Plastics!D$19*Vehi_Plastics!AB133</f>
        <v>3.3847411701055461</v>
      </c>
      <c r="AZ168" s="2242">
        <f>Vehi_Plastics!E$19*Vehi_Plastics!AC133</f>
        <v>1.3290536263658699</v>
      </c>
      <c r="BA168" s="2242">
        <f>Vehi_Plastics!F$19*Vehi_Plastics!AD133</f>
        <v>1.3201585335840009</v>
      </c>
      <c r="BB168" s="2242">
        <f>Vehi_Plastics!G$19*Vehi_Plastics!AE133</f>
        <v>1.0257354899935998</v>
      </c>
      <c r="BC168" s="2242">
        <f>Vehi_Plastics!H$19*Vehi_Plastics!AF133</f>
        <v>1.0472435564586497</v>
      </c>
      <c r="BD168" s="2242">
        <f>Vehi_Plastics!I$19*Vehi_Plastics!AG133</f>
        <v>1.389507065258369</v>
      </c>
      <c r="BE168" s="2242">
        <f>Vehi_Plastics!J$19*Vehi_Plastics!AH133</f>
        <v>3.9791052145507555</v>
      </c>
      <c r="BF168" s="2242">
        <f>Vehi_Plastics!K$19*Vehi_Plastics!AI133</f>
        <v>2.5077200692864134</v>
      </c>
      <c r="BG168" s="2242">
        <f>Vehi_Plastics!L$19*Vehi_Plastics!AJ133</f>
        <v>1.8032595747564342</v>
      </c>
      <c r="BH168" s="2242">
        <f>Rubber!$A$6*Rubber!C93</f>
        <v>1.3201585335840005</v>
      </c>
      <c r="BI168" s="2227">
        <f>Rubber!$B$6*Rubber!D93</f>
        <v>2.5077200692864134</v>
      </c>
    </row>
    <row r="169" spans="1:61" s="2136" customFormat="1"/>
    <row r="170" spans="1:61" s="2136" customFormat="1">
      <c r="A170" s="2243" t="s">
        <v>2566</v>
      </c>
      <c r="C170" s="2255"/>
      <c r="D170" s="2255"/>
      <c r="E170" s="2255"/>
      <c r="H170" s="2255"/>
    </row>
    <row r="171" spans="1:61" s="2136" customFormat="1">
      <c r="A171" s="2172"/>
      <c r="B171" s="2273" t="s">
        <v>2556</v>
      </c>
      <c r="C171" s="2257"/>
      <c r="D171" s="2257"/>
      <c r="E171" s="2257"/>
      <c r="F171" s="2257"/>
      <c r="G171" s="2257"/>
      <c r="H171" s="2257"/>
      <c r="I171" s="2257"/>
      <c r="J171" s="2257"/>
      <c r="K171" s="2257"/>
    </row>
    <row r="172" spans="1:61" s="2136" customFormat="1">
      <c r="A172" s="2155" t="str">
        <f>Vehi_Comp_Sum!A149</f>
        <v>Weight by Materials: lbs, per-vehicle lifetime</v>
      </c>
      <c r="B172" s="2261"/>
      <c r="C172" s="2144"/>
      <c r="D172" s="2144"/>
      <c r="E172" s="2144"/>
      <c r="F172" s="2144"/>
      <c r="G172" s="2144"/>
      <c r="H172" s="2144"/>
      <c r="I172" s="2144"/>
      <c r="J172" s="2144"/>
      <c r="K172" s="2144"/>
    </row>
    <row r="173" spans="1:61" s="2263" customFormat="1">
      <c r="A173" s="2262" t="s">
        <v>38</v>
      </c>
      <c r="B173" s="2264">
        <f xml:space="preserve"> MHDV_Trailer_Comp_Sum!G83</f>
        <v>6955.9908418004452</v>
      </c>
    </row>
    <row r="174" spans="1:61" s="2263" customFormat="1">
      <c r="A174" s="2262" t="s">
        <v>1868</v>
      </c>
      <c r="B174" s="2264">
        <f xml:space="preserve"> MHDV_Trailer_Comp_Sum!G84</f>
        <v>3.0598963172562135</v>
      </c>
    </row>
    <row r="175" spans="1:61" s="2263" customFormat="1">
      <c r="A175" s="2262" t="s">
        <v>1869</v>
      </c>
      <c r="B175" s="2264">
        <f xml:space="preserve"> MHDV_Trailer_Comp_Sum!G85</f>
        <v>628.70669665224329</v>
      </c>
    </row>
    <row r="176" spans="1:61" s="2263" customFormat="1">
      <c r="A176" s="2262" t="s">
        <v>2406</v>
      </c>
      <c r="B176" s="2264">
        <f xml:space="preserve"> MHDV_Trailer_Comp_Sum!G86</f>
        <v>413.19155301217125</v>
      </c>
    </row>
    <row r="177" spans="1:2" s="2263" customFormat="1">
      <c r="A177" s="2262" t="s">
        <v>2405</v>
      </c>
      <c r="B177" s="2264">
        <f xml:space="preserve"> MHDV_Trailer_Comp_Sum!G87</f>
        <v>3068.2387079209775</v>
      </c>
    </row>
    <row r="178" spans="1:2" s="2263" customFormat="1">
      <c r="A178" s="2262" t="s">
        <v>2413</v>
      </c>
      <c r="B178" s="2264">
        <f xml:space="preserve"> MHDV_Trailer_Comp_Sum!G91</f>
        <v>11.155532473723138</v>
      </c>
    </row>
    <row r="179" spans="1:2" s="2263" customFormat="1">
      <c r="A179" s="2262" t="s">
        <v>2425</v>
      </c>
      <c r="B179" s="2264">
        <f xml:space="preserve"> MHDV_Trailer_Comp_Sum!G94</f>
        <v>4.5331797292684647E-2</v>
      </c>
    </row>
    <row r="180" spans="1:2" s="2263" customFormat="1">
      <c r="A180" s="2262" t="s">
        <v>2414</v>
      </c>
      <c r="B180" s="2264">
        <f xml:space="preserve"> MHDV_Comp_Sum!B240</f>
        <v>0</v>
      </c>
    </row>
    <row r="181" spans="1:2" s="2263" customFormat="1">
      <c r="A181" s="2262" t="s">
        <v>61</v>
      </c>
      <c r="B181" s="2264">
        <f xml:space="preserve"> MHDV_Trailer_Comp_Sum!G88</f>
        <v>7309.4059091820491</v>
      </c>
    </row>
    <row r="182" spans="1:2" s="2263" customFormat="1">
      <c r="A182" s="2262" t="s">
        <v>2431</v>
      </c>
      <c r="B182" s="2264">
        <f xml:space="preserve"> MHDV_Trailer_Comp_Sum!G89</f>
        <v>7.7602489213598469</v>
      </c>
    </row>
    <row r="183" spans="1:2" s="2263" customFormat="1">
      <c r="A183" s="2262" t="s">
        <v>2415</v>
      </c>
      <c r="B183" s="2264">
        <f xml:space="preserve"> MHDV_Trailer_Comp_Sum!G92</f>
        <v>105.3964287054918</v>
      </c>
    </row>
    <row r="184" spans="1:2" s="2263" customFormat="1">
      <c r="A184" s="2262" t="s">
        <v>2428</v>
      </c>
      <c r="B184" s="2264">
        <f xml:space="preserve"> MHDV_Trailer_Comp_Sum!G90</f>
        <v>2286.2320881177125</v>
      </c>
    </row>
    <row r="185" spans="1:2" s="2263" customFormat="1">
      <c r="A185" s="2262" t="s">
        <v>2420</v>
      </c>
      <c r="B185" s="2264">
        <f xml:space="preserve"> MHDV_Trailer_Comp_Sum!G95</f>
        <v>74.797465532929664</v>
      </c>
    </row>
    <row r="186" spans="1:2" s="2263" customFormat="1">
      <c r="A186" s="2265" t="s">
        <v>2426</v>
      </c>
      <c r="B186" s="2267">
        <f xml:space="preserve"> MHDV_Trailer_Comp_Sum!G93</f>
        <v>0</v>
      </c>
    </row>
    <row r="187" spans="1:2" s="2136" customFormat="1">
      <c r="A187" s="2155" t="s">
        <v>1501</v>
      </c>
      <c r="B187" s="2186"/>
    </row>
    <row r="188" spans="1:2" s="2136" customFormat="1">
      <c r="A188" s="2151" t="s">
        <v>816</v>
      </c>
      <c r="B188" s="2185">
        <f ca="1">B$173*($B$6*($A$14*$B140+$B$14*$C140+$C$14*$D140)+$C$6*$E140)+B$174*$F140+B$175*($A$18*$G140+$B$18*$H140)+B$177*($B$7*($A$22*$I140+$B$22*$J140+$C$22*$K140)+$C$7*($A$22*$L140+$B$22*$M140+$C$22*$N140))+B$176*($B$8*$O140+$C$8*$P140)+B$178*$Q140+B$182*($A$30*SUMPRODUCT($B$36:$L$36,$S140:$AC140)+$B$30*SUMPRODUCT($B$37:$L$37,$S140:$AC140)+$F$30*SUMPRODUCT($B$38:$L$38,$S140:$AC140)+$G$30*SUMPRODUCT($B$39:$L$39,$S140:$AC140)+$H$30*SUMPRODUCT($B$40:$L$40,$S140:$AC140)+$I$30*SUMPRODUCT($B$41:$L$41,$S140:$AC140)+$J$30*SUMPRODUCT($B$42:$L$42,$S140:$AC140)+$K$30*SUMPRODUCT($B$43:$L$43,$S140:$AC140)+$L$30*SUMPRODUCT($B$44:$L$44,$S140:$AC140)+$M$30*SUMPRODUCT($B$45:$L$45,$S140:$AC140)+$P$30*SUMPRODUCT($B$46:$L$46,$S140:$AC140))+B$181*($A$50*$AD140+$B$50*$AE140)+(B$183*$S140)</f>
        <v>62.123781438730546</v>
      </c>
    </row>
    <row r="189" spans="1:2" s="2136" customFormat="1">
      <c r="A189" s="2151" t="s">
        <v>817</v>
      </c>
      <c r="B189" s="2185">
        <f t="shared" ref="B189:B216" ca="1" si="14">B$173*($B$6*($A$14*$B141+$B$14*$C141+$C$14*$D141)+$C$6*$E141)+B$174*$F141+B$175*($A$18*$G141+$B$18*$H141)+B$177*($B$7*($A$22*$I141+$B$22*$J141+$C$22*$K141)+$C$7*($A$22*$L141+$B$22*$M141+$C$22*$N141))+B$176*($B$8*$O141+$C$8*$P141)+B$178*$Q141+B$182*($A$30*SUMPRODUCT($B$36:$L$36,$S141:$AC141)+$B$30*SUMPRODUCT($B$37:$L$37,$S141:$AC141)+$F$30*SUMPRODUCT($B$38:$L$38,$S141:$AC141)+$G$30*SUMPRODUCT($B$39:$L$39,$S141:$AC141)+$H$30*SUMPRODUCT($B$40:$L$40,$S141:$AC141)+$I$30*SUMPRODUCT($B$41:$L$41,$S141:$AC141)+$J$30*SUMPRODUCT($B$42:$L$42,$S141:$AC141)+$K$30*SUMPRODUCT($B$43:$L$43,$S141:$AC141)+$L$30*SUMPRODUCT($B$44:$L$44,$S141:$AC141)+$M$30*SUMPRODUCT($B$45:$L$45,$S141:$AC141)+$P$30*SUMPRODUCT($B$46:$L$46,$S141:$AC141))+B$181*($A$50*$AD141+$B$50*$AE141)+(B$183*$S141)</f>
        <v>56.422195227660005</v>
      </c>
    </row>
    <row r="190" spans="1:2" s="2136" customFormat="1">
      <c r="A190" s="2151" t="s">
        <v>805</v>
      </c>
      <c r="B190" s="2185">
        <f t="shared" ca="1" si="14"/>
        <v>13.248148502707728</v>
      </c>
    </row>
    <row r="191" spans="1:2" s="2136" customFormat="1">
      <c r="A191" s="2151" t="s">
        <v>804</v>
      </c>
      <c r="B191" s="2185">
        <f t="shared" ca="1" si="14"/>
        <v>42.749917208432095</v>
      </c>
    </row>
    <row r="192" spans="1:2" s="2136" customFormat="1">
      <c r="A192" s="2159" t="s">
        <v>818</v>
      </c>
      <c r="B192" s="2227">
        <f t="shared" ca="1" si="14"/>
        <v>0.42412951652018399</v>
      </c>
    </row>
    <row r="193" spans="1:11" s="2136" customFormat="1">
      <c r="A193" s="2150" t="s">
        <v>819</v>
      </c>
      <c r="B193" s="2233">
        <f t="shared" ca="1" si="14"/>
        <v>1713.1644082338523</v>
      </c>
      <c r="F193" s="2144"/>
      <c r="G193" s="2144"/>
      <c r="H193" s="2144"/>
      <c r="I193" s="2144"/>
      <c r="J193" s="2144"/>
      <c r="K193" s="2144"/>
    </row>
    <row r="194" spans="1:11" s="2136" customFormat="1">
      <c r="A194" s="2155" t="s">
        <v>1030</v>
      </c>
      <c r="B194" s="2186"/>
      <c r="F194" s="2198"/>
      <c r="G194" s="2198"/>
      <c r="H194" s="2198"/>
      <c r="I194" s="2198"/>
      <c r="J194" s="2198"/>
      <c r="K194" s="2198"/>
    </row>
    <row r="195" spans="1:11" s="2136" customFormat="1">
      <c r="A195" s="2093" t="s">
        <v>821</v>
      </c>
      <c r="B195" s="2185">
        <f t="shared" ca="1" si="14"/>
        <v>1351.1828376871545</v>
      </c>
    </row>
    <row r="196" spans="1:11" s="2136" customFormat="1">
      <c r="A196" s="2093" t="s">
        <v>822</v>
      </c>
      <c r="B196" s="2185">
        <f t="shared" ca="1" si="14"/>
        <v>2053.9074928827681</v>
      </c>
    </row>
    <row r="197" spans="1:11" s="2136" customFormat="1" ht="15.75">
      <c r="A197" s="2093" t="s">
        <v>2542</v>
      </c>
      <c r="B197" s="2185">
        <f t="shared" ca="1" si="14"/>
        <v>3146.4815032680799</v>
      </c>
    </row>
    <row r="198" spans="1:11" s="2136" customFormat="1" ht="15.75">
      <c r="A198" s="2093" t="s">
        <v>2543</v>
      </c>
      <c r="B198" s="2185">
        <f t="shared" ca="1" si="14"/>
        <v>522.33962887064899</v>
      </c>
    </row>
    <row r="199" spans="1:11" s="2136" customFormat="1" ht="15.75">
      <c r="A199" s="2093" t="s">
        <v>2544</v>
      </c>
      <c r="B199" s="2185">
        <f t="shared" ca="1" si="14"/>
        <v>314.18854687228708</v>
      </c>
    </row>
    <row r="200" spans="1:11" s="2136" customFormat="1" ht="15.75">
      <c r="A200" s="2093" t="s">
        <v>2545</v>
      </c>
      <c r="B200" s="2185">
        <f t="shared" ca="1" si="14"/>
        <v>2061.771991098296</v>
      </c>
    </row>
    <row r="201" spans="1:11" s="2136" customFormat="1">
      <c r="A201" s="2093" t="s">
        <v>827</v>
      </c>
      <c r="B201" s="2185">
        <f t="shared" ca="1" si="14"/>
        <v>24.391093558478463</v>
      </c>
    </row>
    <row r="202" spans="1:11" s="2136" customFormat="1">
      <c r="A202" s="2093" t="s">
        <v>828</v>
      </c>
      <c r="B202" s="2185">
        <f t="shared" ca="1" si="14"/>
        <v>73.374983355117877</v>
      </c>
    </row>
    <row r="203" spans="1:11" s="2136" customFormat="1" ht="15.75">
      <c r="A203" s="2093" t="s">
        <v>2546</v>
      </c>
      <c r="B203" s="2185">
        <f t="shared" ca="1" si="14"/>
        <v>10045.858159008356</v>
      </c>
    </row>
    <row r="204" spans="1:11" s="2136" customFormat="1" ht="15.75">
      <c r="A204" s="2093" t="s">
        <v>2547</v>
      </c>
      <c r="B204" s="2185">
        <f t="shared" ca="1" si="14"/>
        <v>90.251780819875307</v>
      </c>
    </row>
    <row r="205" spans="1:11" s="2144" customFormat="1" ht="15.75">
      <c r="A205" s="2093" t="s">
        <v>2548</v>
      </c>
      <c r="B205" s="2185">
        <f t="shared" ca="1" si="14"/>
        <v>3363140.2454494787</v>
      </c>
      <c r="C205" s="2136"/>
      <c r="D205" s="2136"/>
      <c r="E205" s="2136"/>
      <c r="F205" s="2237"/>
      <c r="G205" s="2237"/>
      <c r="H205" s="2237"/>
      <c r="I205" s="2237"/>
      <c r="J205" s="2237"/>
      <c r="K205" s="2237"/>
    </row>
    <row r="206" spans="1:11" s="2144" customFormat="1" ht="15.75">
      <c r="A206" s="2093" t="s">
        <v>2550</v>
      </c>
      <c r="B206" s="2185">
        <f t="shared" ca="1" si="14"/>
        <v>3370579.0008776574</v>
      </c>
      <c r="C206" s="2136"/>
      <c r="D206" s="2136"/>
      <c r="E206" s="2136"/>
      <c r="F206" s="2237"/>
      <c r="G206" s="2237"/>
      <c r="H206" s="2237"/>
      <c r="I206" s="2237"/>
      <c r="J206" s="2237"/>
      <c r="K206" s="2237"/>
    </row>
    <row r="207" spans="1:11" s="2144" customFormat="1">
      <c r="A207" s="2142" t="s">
        <v>851</v>
      </c>
      <c r="B207" s="2227">
        <f t="shared" ca="1" si="14"/>
        <v>3695871.4675651751</v>
      </c>
      <c r="C207" s="2136"/>
      <c r="D207" s="2136"/>
      <c r="E207" s="2136"/>
      <c r="F207" s="2237"/>
      <c r="G207" s="2237"/>
      <c r="H207" s="2237"/>
      <c r="I207" s="2237"/>
      <c r="J207" s="2237"/>
      <c r="K207" s="2237"/>
    </row>
    <row r="208" spans="1:11" s="2136" customFormat="1">
      <c r="A208" s="2155" t="s">
        <v>1031</v>
      </c>
      <c r="B208" s="2186"/>
      <c r="F208" s="2198"/>
      <c r="G208" s="2198"/>
      <c r="H208" s="2198"/>
      <c r="I208" s="2198"/>
      <c r="J208" s="2198"/>
      <c r="K208" s="2198"/>
    </row>
    <row r="209" spans="1:11" s="2136" customFormat="1">
      <c r="A209" s="2093" t="s">
        <v>821</v>
      </c>
      <c r="B209" s="2185">
        <f t="shared" ca="1" si="14"/>
        <v>27.671011463369332</v>
      </c>
    </row>
    <row r="210" spans="1:11" s="2136" customFormat="1">
      <c r="A210" s="2093" t="s">
        <v>822</v>
      </c>
      <c r="B210" s="2185">
        <f t="shared" ca="1" si="14"/>
        <v>161.72512001329628</v>
      </c>
    </row>
    <row r="211" spans="1:11" s="2136" customFormat="1" ht="15.75">
      <c r="A211" s="2093" t="s">
        <v>2542</v>
      </c>
      <c r="B211" s="2185">
        <f t="shared" ca="1" si="14"/>
        <v>347.72980555600924</v>
      </c>
    </row>
    <row r="212" spans="1:11" s="2136" customFormat="1" ht="15.75">
      <c r="A212" s="2093" t="s">
        <v>2543</v>
      </c>
      <c r="B212" s="2185">
        <f t="shared" ca="1" si="14"/>
        <v>34.711612308107597</v>
      </c>
    </row>
    <row r="213" spans="1:11" s="2136" customFormat="1" ht="15.75">
      <c r="A213" s="2093" t="s">
        <v>2544</v>
      </c>
      <c r="B213" s="2185">
        <f t="shared" ca="1" si="14"/>
        <v>30.541142484069372</v>
      </c>
    </row>
    <row r="214" spans="1:11" s="2136" customFormat="1" ht="15.75">
      <c r="A214" s="2093" t="s">
        <v>2545</v>
      </c>
      <c r="B214" s="2185">
        <f t="shared" ca="1" si="14"/>
        <v>258.93960255069362</v>
      </c>
    </row>
    <row r="215" spans="1:11" s="2136" customFormat="1">
      <c r="A215" s="2093" t="s">
        <v>827</v>
      </c>
      <c r="B215" s="2185">
        <f t="shared" ca="1" si="14"/>
        <v>1.6181553660226959</v>
      </c>
    </row>
    <row r="216" spans="1:11" s="2136" customFormat="1">
      <c r="A216" s="2142" t="s">
        <v>828</v>
      </c>
      <c r="B216" s="2227">
        <f t="shared" ca="1" si="14"/>
        <v>8.7648634194685595</v>
      </c>
    </row>
    <row r="217" spans="1:11" s="2136" customFormat="1"/>
    <row r="218" spans="1:11" s="2136" customFormat="1" ht="15">
      <c r="A218" s="2149" t="s">
        <v>2567</v>
      </c>
    </row>
    <row r="219" spans="1:11" s="2136" customFormat="1">
      <c r="A219" s="2235"/>
      <c r="B219" s="2273" t="s">
        <v>2556</v>
      </c>
      <c r="C219" s="2257"/>
      <c r="D219" s="2257"/>
      <c r="E219" s="2257"/>
      <c r="F219" s="2257"/>
      <c r="G219" s="2257"/>
      <c r="H219" s="2257"/>
      <c r="I219" s="2257"/>
      <c r="J219" s="2257"/>
      <c r="K219" s="2257"/>
    </row>
    <row r="220" spans="1:11" s="2136" customFormat="1">
      <c r="A220" s="2228" t="s">
        <v>1443</v>
      </c>
      <c r="B220" s="2229"/>
    </row>
    <row r="221" spans="1:11" s="2136" customFormat="1">
      <c r="A221" s="2229" t="s">
        <v>816</v>
      </c>
      <c r="B221" s="2229">
        <f t="shared" ref="B221:B226" ca="1" si="15">SUM($C106:$H106)+B188</f>
        <v>72.693070262672975</v>
      </c>
    </row>
    <row r="222" spans="1:11" s="2136" customFormat="1">
      <c r="A222" s="2229" t="s">
        <v>817</v>
      </c>
      <c r="B222" s="2229">
        <f t="shared" ca="1" si="15"/>
        <v>66.002624593935636</v>
      </c>
    </row>
    <row r="223" spans="1:11" s="2136" customFormat="1">
      <c r="A223" s="2229" t="s">
        <v>805</v>
      </c>
      <c r="B223" s="2229">
        <f t="shared" ca="1" si="15"/>
        <v>14.555339089463356</v>
      </c>
    </row>
    <row r="224" spans="1:11" s="2136" customFormat="1">
      <c r="A224" s="2229" t="s">
        <v>804</v>
      </c>
      <c r="B224" s="2229">
        <f t="shared" ca="1" si="15"/>
        <v>50.961216590344996</v>
      </c>
    </row>
    <row r="225" spans="1:11" s="2136" customFormat="1">
      <c r="A225" s="2229" t="s">
        <v>818</v>
      </c>
      <c r="B225" s="2229">
        <f t="shared" ca="1" si="15"/>
        <v>0.48606891412728459</v>
      </c>
    </row>
    <row r="226" spans="1:11" s="2136" customFormat="1">
      <c r="A226" s="2269" t="s">
        <v>819</v>
      </c>
      <c r="B226" s="2269">
        <f t="shared" ca="1" si="15"/>
        <v>1983.2263778449887</v>
      </c>
      <c r="C226" s="2144"/>
      <c r="D226" s="2144"/>
      <c r="E226" s="2144"/>
      <c r="F226" s="2144"/>
      <c r="G226" s="2144"/>
      <c r="H226" s="2144"/>
      <c r="I226" s="2144"/>
      <c r="J226" s="2144"/>
      <c r="K226" s="2144"/>
    </row>
    <row r="227" spans="1:11" s="2136" customFormat="1">
      <c r="A227" s="2228" t="s">
        <v>1030</v>
      </c>
      <c r="B227" s="2274"/>
      <c r="C227" s="2198"/>
      <c r="D227" s="2198"/>
      <c r="E227" s="2198"/>
      <c r="F227" s="2198"/>
      <c r="G227" s="2198"/>
      <c r="H227" s="2198"/>
      <c r="I227" s="2198"/>
      <c r="J227" s="2198"/>
      <c r="K227" s="2198"/>
    </row>
    <row r="228" spans="1:11" s="2136" customFormat="1">
      <c r="A228" s="2236" t="s">
        <v>821</v>
      </c>
      <c r="B228" s="2229">
        <f t="shared" ref="B228:B240" ca="1" si="16">SUM($C113:$H113)+B195</f>
        <v>3051.3029409820356</v>
      </c>
    </row>
    <row r="229" spans="1:11" s="2136" customFormat="1">
      <c r="A229" s="2236" t="s">
        <v>822</v>
      </c>
      <c r="B229" s="2229">
        <f t="shared" ca="1" si="16"/>
        <v>2446.222372253339</v>
      </c>
    </row>
    <row r="230" spans="1:11" s="2136" customFormat="1" ht="15.75">
      <c r="A230" s="2236" t="s">
        <v>2542</v>
      </c>
      <c r="B230" s="2229">
        <f t="shared" ca="1" si="16"/>
        <v>3737.3145795541623</v>
      </c>
    </row>
    <row r="231" spans="1:11" s="2136" customFormat="1" ht="15.75">
      <c r="A231" s="2236" t="s">
        <v>2543</v>
      </c>
      <c r="B231" s="2229">
        <f t="shared" ca="1" si="16"/>
        <v>631.92672401494326</v>
      </c>
    </row>
    <row r="232" spans="1:11" s="2136" customFormat="1" ht="15.75">
      <c r="A232" s="2236" t="s">
        <v>2544</v>
      </c>
      <c r="B232" s="2229">
        <f t="shared" ca="1" si="16"/>
        <v>382.02877339246584</v>
      </c>
    </row>
    <row r="233" spans="1:11" s="2136" customFormat="1" ht="15.75">
      <c r="A233" s="2236" t="s">
        <v>2545</v>
      </c>
      <c r="B233" s="2229">
        <f t="shared" ca="1" si="16"/>
        <v>2273.1093661994591</v>
      </c>
    </row>
    <row r="234" spans="1:11" s="2136" customFormat="1">
      <c r="A234" s="2236" t="s">
        <v>827</v>
      </c>
      <c r="B234" s="2229">
        <f t="shared" ca="1" si="16"/>
        <v>29.028647618139246</v>
      </c>
    </row>
    <row r="235" spans="1:11" s="2136" customFormat="1">
      <c r="A235" s="2236" t="s">
        <v>828</v>
      </c>
      <c r="B235" s="2229">
        <f t="shared" ca="1" si="16"/>
        <v>87.089378633899472</v>
      </c>
    </row>
    <row r="236" spans="1:11" s="2136" customFormat="1" ht="15.75">
      <c r="A236" s="2236" t="s">
        <v>2546</v>
      </c>
      <c r="B236" s="2229">
        <f t="shared" ca="1" si="16"/>
        <v>11820.055538276447</v>
      </c>
    </row>
    <row r="237" spans="1:11" s="2136" customFormat="1" ht="15.75">
      <c r="A237" s="2236" t="s">
        <v>2547</v>
      </c>
      <c r="B237" s="2229">
        <f t="shared" ca="1" si="16"/>
        <v>107.38993706744688</v>
      </c>
    </row>
    <row r="238" spans="1:11" s="2144" customFormat="1" ht="15.75">
      <c r="A238" s="2236" t="s">
        <v>2548</v>
      </c>
      <c r="B238" s="2275">
        <f t="shared" ca="1" si="16"/>
        <v>3985575.6324756835</v>
      </c>
      <c r="C238" s="2237"/>
      <c r="D238" s="2237"/>
      <c r="E238" s="2237"/>
      <c r="F238" s="2237"/>
      <c r="G238" s="2237"/>
      <c r="H238" s="2237"/>
      <c r="I238" s="2237"/>
      <c r="J238" s="2237"/>
      <c r="K238" s="2237"/>
    </row>
    <row r="239" spans="1:11" s="2144" customFormat="1" ht="15.75">
      <c r="A239" s="2236" t="s">
        <v>2550</v>
      </c>
      <c r="B239" s="2275">
        <f t="shared" ca="1" si="16"/>
        <v>3998929.590369571</v>
      </c>
      <c r="C239" s="2237"/>
      <c r="D239" s="2237"/>
      <c r="E239" s="2237"/>
      <c r="F239" s="2237"/>
      <c r="G239" s="2237"/>
      <c r="H239" s="2237"/>
      <c r="I239" s="2237"/>
      <c r="J239" s="2237"/>
      <c r="K239" s="2237"/>
    </row>
    <row r="240" spans="1:11" s="2144" customFormat="1">
      <c r="A240" s="2238" t="s">
        <v>851</v>
      </c>
      <c r="B240" s="2275">
        <f t="shared" ca="1" si="16"/>
        <v>4381989.5898407381</v>
      </c>
      <c r="C240" s="2237"/>
      <c r="D240" s="2237"/>
      <c r="E240" s="2237"/>
      <c r="F240" s="2237"/>
      <c r="G240" s="2237"/>
      <c r="H240" s="2237"/>
      <c r="I240" s="2237"/>
      <c r="J240" s="2237"/>
      <c r="K240" s="2237"/>
    </row>
    <row r="241" spans="1:11" s="2136" customFormat="1">
      <c r="A241" s="2247" t="s">
        <v>1031</v>
      </c>
      <c r="B241" s="2276"/>
      <c r="C241" s="2198"/>
      <c r="D241" s="2198"/>
      <c r="E241" s="2198"/>
      <c r="F241" s="2198"/>
      <c r="G241" s="2198"/>
      <c r="H241" s="2198"/>
      <c r="I241" s="2198"/>
      <c r="J241" s="2198"/>
      <c r="K241" s="2198"/>
    </row>
    <row r="242" spans="1:11" s="2136" customFormat="1">
      <c r="A242" s="2236" t="s">
        <v>821</v>
      </c>
      <c r="B242" s="2229">
        <f t="shared" ref="B242:B249" ca="1" si="17">SUM($C127:$H127)+B209</f>
        <v>32.848587021350589</v>
      </c>
    </row>
    <row r="243" spans="1:11" s="2136" customFormat="1">
      <c r="A243" s="2236" t="s">
        <v>822</v>
      </c>
      <c r="B243" s="2229">
        <f t="shared" ca="1" si="17"/>
        <v>191.80270980521183</v>
      </c>
    </row>
    <row r="244" spans="1:11" s="2136" customFormat="1" ht="15.75">
      <c r="A244" s="2236" t="s">
        <v>2542</v>
      </c>
      <c r="B244" s="2229">
        <f t="shared" ca="1" si="17"/>
        <v>410.2152299600985</v>
      </c>
    </row>
    <row r="245" spans="1:11" s="2136" customFormat="1" ht="15.75">
      <c r="A245" s="2236" t="s">
        <v>2543</v>
      </c>
      <c r="B245" s="2229">
        <f t="shared" ca="1" si="17"/>
        <v>40.728737298424818</v>
      </c>
    </row>
    <row r="246" spans="1:11" s="2136" customFormat="1" ht="15.75">
      <c r="A246" s="2236" t="s">
        <v>2544</v>
      </c>
      <c r="B246" s="2229">
        <f t="shared" ca="1" si="17"/>
        <v>35.835603531549651</v>
      </c>
    </row>
    <row r="247" spans="1:11" s="2136" customFormat="1" ht="15.75">
      <c r="A247" s="2236" t="s">
        <v>2545</v>
      </c>
      <c r="B247" s="2229">
        <f t="shared" ca="1" si="17"/>
        <v>303.92137248358</v>
      </c>
    </row>
    <row r="248" spans="1:11" s="2136" customFormat="1">
      <c r="A248" s="2236" t="s">
        <v>827</v>
      </c>
      <c r="B248" s="2229">
        <f t="shared" ca="1" si="17"/>
        <v>1.8992437728666078</v>
      </c>
    </row>
    <row r="249" spans="1:11" s="2136" customFormat="1">
      <c r="A249" s="2238" t="s">
        <v>828</v>
      </c>
      <c r="B249" s="2230">
        <f t="shared" ca="1" si="17"/>
        <v>10.283199492104147</v>
      </c>
    </row>
  </sheetData>
  <mergeCells count="8">
    <mergeCell ref="N58:O58"/>
    <mergeCell ref="P58:Q58"/>
    <mergeCell ref="B58:C58"/>
    <mergeCell ref="D58:E58"/>
    <mergeCell ref="F58:G58"/>
    <mergeCell ref="H58:I58"/>
    <mergeCell ref="J58:K58"/>
    <mergeCell ref="L58:M58"/>
  </mergeCells>
  <pageMargins left="0.7" right="0.7" top="0.75" bottom="0.75" header="0.3" footer="0.3"/>
  <legacy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8">
    <tabColor theme="9" tint="0.59999389629810485"/>
  </sheetPr>
  <dimension ref="A1:AB187"/>
  <sheetViews>
    <sheetView showGridLines="0" zoomScale="85" zoomScaleNormal="85" workbookViewId="0"/>
  </sheetViews>
  <sheetFormatPr defaultColWidth="9.140625" defaultRowHeight="12.75"/>
  <cols>
    <col min="1" max="1" width="44.85546875" style="2081" customWidth="1"/>
    <col min="2" max="5" width="14.85546875" style="2081" bestFit="1" customWidth="1"/>
    <col min="6" max="6" width="11.42578125" style="2081" customWidth="1"/>
    <col min="7" max="7" width="12.28515625" style="2081" customWidth="1"/>
    <col min="8" max="8" width="15.28515625" style="2081" bestFit="1" customWidth="1"/>
    <col min="9" max="9" width="14.140625" style="2081" bestFit="1" customWidth="1"/>
    <col min="10" max="10" width="16.42578125" style="2081" bestFit="1" customWidth="1"/>
    <col min="11" max="11" width="15.28515625" style="2081" bestFit="1" customWidth="1"/>
    <col min="12" max="12" width="11.7109375" style="2081" customWidth="1"/>
    <col min="13" max="16384" width="9.140625" style="2081"/>
  </cols>
  <sheetData>
    <row r="1" spans="1:3" ht="15.75">
      <c r="A1" s="2080" t="s">
        <v>2568</v>
      </c>
    </row>
    <row r="3" spans="1:3" s="62" customFormat="1" ht="15">
      <c r="A3" s="134" t="s">
        <v>2687</v>
      </c>
    </row>
    <row r="4" spans="1:3">
      <c r="A4" s="2081" t="s">
        <v>1508</v>
      </c>
    </row>
    <row r="5" spans="1:3">
      <c r="A5" s="2199"/>
      <c r="B5" s="2220" t="s">
        <v>155</v>
      </c>
    </row>
    <row r="6" spans="1:3">
      <c r="A6" s="2277" t="s">
        <v>194</v>
      </c>
      <c r="B6" s="2278">
        <f xml:space="preserve"> MHDV_Inputs!C83</f>
        <v>219</v>
      </c>
    </row>
    <row r="7" spans="1:3">
      <c r="A7" s="2279" t="s">
        <v>198</v>
      </c>
      <c r="B7" s="2280">
        <f xml:space="preserve"> MHDV_Inputs!C84</f>
        <v>112</v>
      </c>
    </row>
    <row r="8" spans="1:3">
      <c r="A8" s="2281"/>
      <c r="B8" s="2211"/>
      <c r="C8" s="2211"/>
    </row>
    <row r="9" spans="1:3">
      <c r="A9" s="2081" t="s">
        <v>1509</v>
      </c>
    </row>
    <row r="10" spans="1:3">
      <c r="A10" s="2282"/>
      <c r="B10" s="2283" t="s">
        <v>155</v>
      </c>
    </row>
    <row r="11" spans="1:3">
      <c r="A11" s="2284" t="s">
        <v>167</v>
      </c>
      <c r="B11" s="2285">
        <f xml:space="preserve"> MHDV_Inputs!C88</f>
        <v>1622</v>
      </c>
    </row>
    <row r="12" spans="1:3">
      <c r="A12" s="2281"/>
      <c r="B12" s="2211"/>
      <c r="C12" s="2211"/>
    </row>
    <row r="13" spans="1:3">
      <c r="A13" s="2081" t="s">
        <v>1510</v>
      </c>
    </row>
    <row r="14" spans="1:3">
      <c r="A14" s="2199"/>
      <c r="B14" s="2286" t="s">
        <v>153</v>
      </c>
      <c r="C14" s="2220" t="s">
        <v>155</v>
      </c>
    </row>
    <row r="15" spans="1:3">
      <c r="A15" s="2277" t="s">
        <v>203</v>
      </c>
      <c r="B15" s="2287">
        <f xml:space="preserve"> MHDV_Inputs!C92</f>
        <v>1</v>
      </c>
      <c r="C15" s="2278">
        <f xml:space="preserve"> MHDV_Inputs!D92</f>
        <v>0</v>
      </c>
    </row>
    <row r="16" spans="1:3">
      <c r="A16" s="2288" t="s">
        <v>194</v>
      </c>
      <c r="B16" s="2289">
        <f xml:space="preserve"> MHDV_Inputs!C93</f>
        <v>1</v>
      </c>
      <c r="C16" s="2290">
        <f xml:space="preserve"> MHDV_Inputs!D93</f>
        <v>1</v>
      </c>
    </row>
    <row r="17" spans="1:11">
      <c r="A17" s="2288" t="s">
        <v>167</v>
      </c>
      <c r="B17" s="2289">
        <f xml:space="preserve"> MHDV_Inputs!C94</f>
        <v>1</v>
      </c>
      <c r="C17" s="2290">
        <f xml:space="preserve"> MHDV_Inputs!D94</f>
        <v>1</v>
      </c>
    </row>
    <row r="18" spans="1:11">
      <c r="A18" s="2279" t="s">
        <v>198</v>
      </c>
      <c r="B18" s="2291">
        <f xml:space="preserve"> MHDV_Inputs!C95</f>
        <v>1</v>
      </c>
      <c r="C18" s="2280">
        <f xml:space="preserve"> MHDV_Inputs!D95</f>
        <v>1</v>
      </c>
    </row>
    <row r="20" spans="1:11">
      <c r="A20" s="2081" t="s">
        <v>1511</v>
      </c>
    </row>
    <row r="21" spans="1:11">
      <c r="A21" s="2100"/>
      <c r="B21" s="2292" t="s">
        <v>155</v>
      </c>
    </row>
    <row r="22" spans="1:11">
      <c r="A22" s="2085" t="s">
        <v>194</v>
      </c>
      <c r="B22" s="2261">
        <f xml:space="preserve"> MHDV_Inputs!C105</f>
        <v>2808.1198057971133</v>
      </c>
    </row>
    <row r="23" spans="1:11">
      <c r="A23" s="2097" t="s">
        <v>198</v>
      </c>
      <c r="B23" s="2226">
        <f xml:space="preserve"> MHDV_Inputs!C106</f>
        <v>1213.5385506504831</v>
      </c>
    </row>
    <row r="25" spans="1:11">
      <c r="A25" s="2081" t="s">
        <v>1512</v>
      </c>
    </row>
    <row r="26" spans="1:11">
      <c r="A26" s="2085"/>
      <c r="B26" s="2183" t="s">
        <v>155</v>
      </c>
    </row>
    <row r="27" spans="1:11">
      <c r="A27" s="2085" t="s">
        <v>194</v>
      </c>
      <c r="B27" s="2261">
        <f xml:space="preserve"> MHDV_Inputs!C111</f>
        <v>89.757254066574404</v>
      </c>
    </row>
    <row r="28" spans="1:11">
      <c r="A28" s="2096" t="s">
        <v>167</v>
      </c>
      <c r="B28" s="2293">
        <f xml:space="preserve"> MHDV_Inputs!C112</f>
        <v>209.86033029087125</v>
      </c>
    </row>
    <row r="29" spans="1:11">
      <c r="A29" s="2097" t="s">
        <v>198</v>
      </c>
      <c r="B29" s="2226">
        <f xml:space="preserve"> MHDV_Inputs!C113</f>
        <v>97.516490677270951</v>
      </c>
    </row>
    <row r="31" spans="1:11">
      <c r="A31" s="2081" t="s">
        <v>1513</v>
      </c>
    </row>
    <row r="32" spans="1:11">
      <c r="A32" s="2085"/>
      <c r="B32" s="2200" t="s">
        <v>203</v>
      </c>
      <c r="C32" s="2200" t="s">
        <v>194</v>
      </c>
      <c r="D32" s="2200" t="s">
        <v>167</v>
      </c>
      <c r="E32" s="2201" t="s">
        <v>198</v>
      </c>
      <c r="F32" s="2294"/>
      <c r="G32" s="2294"/>
      <c r="H32" s="2294"/>
      <c r="I32" s="2294"/>
      <c r="J32" s="2294"/>
      <c r="K32" s="2294"/>
    </row>
    <row r="33" spans="1:11">
      <c r="A33" s="2096" t="s">
        <v>153</v>
      </c>
      <c r="B33" s="2295">
        <f xml:space="preserve"> MHDV_Inputs!C14</f>
        <v>276</v>
      </c>
      <c r="C33" s="2295">
        <f xml:space="preserve"> MHDV_Inputs!D14</f>
        <v>207</v>
      </c>
      <c r="D33" s="2295">
        <f xml:space="preserve"> MHDV_Inputs!E14</f>
        <v>69</v>
      </c>
      <c r="E33" s="2296">
        <f xml:space="preserve"> MHDV_Inputs!F14</f>
        <v>69</v>
      </c>
      <c r="F33" s="2295"/>
      <c r="G33" s="2295"/>
      <c r="H33" s="2295"/>
      <c r="I33" s="2295"/>
      <c r="J33" s="2295"/>
      <c r="K33" s="2295"/>
    </row>
    <row r="34" spans="1:11">
      <c r="A34" s="2097" t="s">
        <v>155</v>
      </c>
      <c r="B34" s="2297"/>
      <c r="C34" s="2297">
        <f xml:space="preserve"> MHDV_Inputs!D15</f>
        <v>171.93438569938394</v>
      </c>
      <c r="D34" s="2297">
        <f xml:space="preserve"> MHDV_Inputs!E15</f>
        <v>17039.418000932921</v>
      </c>
      <c r="E34" s="2298">
        <f xml:space="preserve"> MHDV_Inputs!F15</f>
        <v>203.46921266542932</v>
      </c>
      <c r="F34" s="2295"/>
      <c r="G34" s="2295"/>
      <c r="H34" s="2295"/>
      <c r="I34" s="2295"/>
      <c r="J34" s="2295"/>
      <c r="K34" s="2295"/>
    </row>
    <row r="36" spans="1:11">
      <c r="A36" s="2081" t="s">
        <v>1514</v>
      </c>
      <c r="B36" s="2299"/>
      <c r="C36" s="2299"/>
      <c r="D36" s="2299"/>
      <c r="E36" s="2299"/>
    </row>
    <row r="37" spans="1:11">
      <c r="A37" s="2100"/>
      <c r="B37" s="2214" t="s">
        <v>203</v>
      </c>
      <c r="C37" s="2214" t="s">
        <v>194</v>
      </c>
      <c r="D37" s="2214" t="s">
        <v>167</v>
      </c>
      <c r="E37" s="2215" t="s">
        <v>198</v>
      </c>
      <c r="F37" s="2294"/>
      <c r="G37" s="2294"/>
      <c r="H37" s="2294"/>
      <c r="I37" s="2294"/>
      <c r="J37" s="2294"/>
      <c r="K37" s="2294"/>
    </row>
    <row r="38" spans="1:11">
      <c r="A38" s="2096" t="s">
        <v>153</v>
      </c>
      <c r="B38" s="2299"/>
      <c r="C38" s="2299"/>
      <c r="D38" s="2299"/>
      <c r="E38" s="2300"/>
      <c r="F38" s="2299"/>
      <c r="G38" s="2299"/>
      <c r="H38" s="2299"/>
      <c r="I38" s="2299"/>
      <c r="J38" s="2299"/>
      <c r="K38" s="2299"/>
    </row>
    <row r="39" spans="1:11">
      <c r="A39" s="2096" t="s">
        <v>1515</v>
      </c>
      <c r="B39" s="2218">
        <f xml:space="preserve"> MHDV_Mat_Parameters!C185</f>
        <v>6.0999999999999999E-2</v>
      </c>
      <c r="C39" s="2218">
        <f xml:space="preserve"> MHDV_Mat_Parameters!D185</f>
        <v>6.0999999999999999E-2</v>
      </c>
      <c r="D39" s="2218">
        <f xml:space="preserve"> MHDV_Mat_Parameters!E185</f>
        <v>6.0999999999999999E-2</v>
      </c>
      <c r="E39" s="2224">
        <f xml:space="preserve"> MHDV_Mat_Parameters!F185</f>
        <v>6.0999999999999999E-2</v>
      </c>
      <c r="F39" s="2218"/>
      <c r="G39" s="2301"/>
      <c r="H39" s="2218"/>
      <c r="I39" s="2218"/>
      <c r="J39" s="2218"/>
      <c r="K39" s="2218"/>
    </row>
    <row r="40" spans="1:11">
      <c r="A40" s="2096" t="s">
        <v>298</v>
      </c>
      <c r="B40" s="2218">
        <f xml:space="preserve"> MHDV_Mat_Parameters!C186</f>
        <v>0.69</v>
      </c>
      <c r="C40" s="2218">
        <f xml:space="preserve"> MHDV_Mat_Parameters!D186</f>
        <v>0.69</v>
      </c>
      <c r="D40" s="2218">
        <f xml:space="preserve"> MHDV_Mat_Parameters!E186</f>
        <v>0.69</v>
      </c>
      <c r="E40" s="2224">
        <f xml:space="preserve"> MHDV_Mat_Parameters!F186</f>
        <v>0.69</v>
      </c>
      <c r="F40" s="2218"/>
      <c r="G40" s="2301"/>
      <c r="H40" s="2218"/>
      <c r="I40" s="2218"/>
      <c r="J40" s="2218"/>
      <c r="K40" s="2218"/>
    </row>
    <row r="41" spans="1:11">
      <c r="A41" s="2096" t="s">
        <v>299</v>
      </c>
      <c r="B41" s="2218">
        <f xml:space="preserve"> MHDV_Mat_Parameters!C187</f>
        <v>7.9000000000000001E-2</v>
      </c>
      <c r="C41" s="2218">
        <f xml:space="preserve"> MHDV_Mat_Parameters!D187</f>
        <v>7.9000000000000001E-2</v>
      </c>
      <c r="D41" s="2218">
        <f xml:space="preserve"> MHDV_Mat_Parameters!E187</f>
        <v>7.9000000000000001E-2</v>
      </c>
      <c r="E41" s="2224">
        <f xml:space="preserve"> MHDV_Mat_Parameters!F187</f>
        <v>7.9000000000000001E-2</v>
      </c>
      <c r="F41" s="2218"/>
      <c r="G41" s="2301"/>
      <c r="H41" s="2218"/>
      <c r="I41" s="2218"/>
      <c r="J41" s="2218"/>
      <c r="K41" s="2218"/>
    </row>
    <row r="42" spans="1:11">
      <c r="A42" s="2096" t="s">
        <v>300</v>
      </c>
      <c r="B42" s="2218">
        <f xml:space="preserve"> MHDV_Mat_Parameters!C188</f>
        <v>2.1000000000000001E-2</v>
      </c>
      <c r="C42" s="2218">
        <f xml:space="preserve"> MHDV_Mat_Parameters!D188</f>
        <v>2.1000000000000001E-2</v>
      </c>
      <c r="D42" s="2218">
        <f xml:space="preserve"> MHDV_Mat_Parameters!E188</f>
        <v>2.1000000000000001E-2</v>
      </c>
      <c r="E42" s="2224">
        <f xml:space="preserve"> MHDV_Mat_Parameters!F188</f>
        <v>2.1000000000000001E-2</v>
      </c>
      <c r="F42" s="2218"/>
      <c r="G42" s="2301"/>
      <c r="H42" s="2218"/>
      <c r="I42" s="2218"/>
      <c r="J42" s="2218"/>
      <c r="K42" s="2218"/>
    </row>
    <row r="43" spans="1:11">
      <c r="A43" s="2096" t="s">
        <v>301</v>
      </c>
      <c r="B43" s="2218">
        <f xml:space="preserve"> MHDV_Mat_Parameters!C189</f>
        <v>0.14099999999999999</v>
      </c>
      <c r="C43" s="2218">
        <f xml:space="preserve"> MHDV_Mat_Parameters!D189</f>
        <v>0.14099999999999999</v>
      </c>
      <c r="D43" s="2218">
        <f xml:space="preserve"> MHDV_Mat_Parameters!E189</f>
        <v>0.14099999999999999</v>
      </c>
      <c r="E43" s="2224">
        <f xml:space="preserve"> MHDV_Mat_Parameters!F189</f>
        <v>0.14099999999999999</v>
      </c>
      <c r="F43" s="2218"/>
      <c r="G43" s="2301"/>
      <c r="H43" s="2218"/>
      <c r="I43" s="2218"/>
      <c r="J43" s="2218"/>
      <c r="K43" s="2218"/>
    </row>
    <row r="44" spans="1:11">
      <c r="A44" s="2097" t="s">
        <v>262</v>
      </c>
      <c r="B44" s="2216">
        <f xml:space="preserve"> MHDV_Mat_Parameters!C190</f>
        <v>8.0000000000001181E-3</v>
      </c>
      <c r="C44" s="2216">
        <f xml:space="preserve"> MHDV_Mat_Parameters!D190</f>
        <v>8.0000000000001181E-3</v>
      </c>
      <c r="D44" s="2216">
        <f xml:space="preserve"> MHDV_Mat_Parameters!E190</f>
        <v>8.0000000000001181E-3</v>
      </c>
      <c r="E44" s="2217">
        <f xml:space="preserve"> MHDV_Mat_Parameters!F190</f>
        <v>8.0000000000001181E-3</v>
      </c>
      <c r="F44" s="2218"/>
      <c r="G44" s="2301"/>
      <c r="H44" s="2218"/>
      <c r="I44" s="2218"/>
      <c r="J44" s="2218"/>
      <c r="K44" s="2218"/>
    </row>
    <row r="45" spans="1:11">
      <c r="A45" s="2085" t="s">
        <v>155</v>
      </c>
      <c r="B45" s="2302"/>
      <c r="C45" s="2302"/>
      <c r="D45" s="2302"/>
      <c r="E45" s="2303"/>
      <c r="F45" s="2299"/>
      <c r="G45" s="2299"/>
      <c r="H45" s="2299"/>
      <c r="I45" s="2299"/>
      <c r="J45" s="2299"/>
      <c r="K45" s="2299"/>
    </row>
    <row r="46" spans="1:11">
      <c r="A46" s="2093" t="s">
        <v>309</v>
      </c>
      <c r="B46" s="2299"/>
      <c r="C46" s="2218">
        <f xml:space="preserve"> MHDV_Mat_Parameters!D194</f>
        <v>0.1332910555847352</v>
      </c>
      <c r="D46" s="2218">
        <f xml:space="preserve"> MHDV_Mat_Parameters!E194</f>
        <v>0.31226036630957898</v>
      </c>
      <c r="E46" s="2224">
        <f xml:space="preserve"> MHDV_Mat_Parameters!F194</f>
        <v>0.14481866315074726</v>
      </c>
      <c r="F46" s="2218"/>
      <c r="G46" s="2218"/>
      <c r="H46" s="2218"/>
      <c r="I46" s="2218"/>
      <c r="J46" s="2218"/>
      <c r="K46" s="2218"/>
    </row>
    <row r="47" spans="1:11">
      <c r="A47" s="2096" t="s">
        <v>310</v>
      </c>
      <c r="B47" s="2299"/>
      <c r="C47" s="2218">
        <f xml:space="preserve"> MHDV_Mat_Parameters!D195</f>
        <v>8.3059555087098461E-2</v>
      </c>
      <c r="D47" s="2218">
        <f xml:space="preserve"> MHDV_Mat_Parameters!E195</f>
        <v>0.18325151585647909</v>
      </c>
      <c r="E47" s="2224">
        <f xml:space="preserve"> MHDV_Mat_Parameters!F195</f>
        <v>8.9367660538818061E-2</v>
      </c>
      <c r="F47" s="2218"/>
      <c r="G47" s="2218"/>
      <c r="H47" s="2218"/>
      <c r="I47" s="2218"/>
      <c r="J47" s="2218"/>
      <c r="K47" s="2218"/>
    </row>
    <row r="48" spans="1:11">
      <c r="A48" s="2093" t="s">
        <v>273</v>
      </c>
      <c r="B48" s="2299"/>
      <c r="C48" s="2218">
        <f xml:space="preserve"> MHDV_Mat_Parameters!D196</f>
        <v>0</v>
      </c>
      <c r="D48" s="2218">
        <f xml:space="preserve"> MHDV_Mat_Parameters!E196</f>
        <v>0</v>
      </c>
      <c r="E48" s="2224">
        <f xml:space="preserve"> MHDV_Mat_Parameters!F196</f>
        <v>0</v>
      </c>
      <c r="F48" s="2218"/>
      <c r="G48" s="2218"/>
      <c r="H48" s="2218"/>
      <c r="I48" s="2218"/>
      <c r="J48" s="2218"/>
      <c r="K48" s="2218"/>
    </row>
    <row r="49" spans="1:11">
      <c r="A49" s="2096" t="s">
        <v>311</v>
      </c>
      <c r="B49" s="2299"/>
      <c r="C49" s="2218">
        <f xml:space="preserve"> MHDV_Mat_Parameters!D197</f>
        <v>4.4153185851394617E-3</v>
      </c>
      <c r="D49" s="2218">
        <f xml:space="preserve"> MHDV_Mat_Parameters!E197</f>
        <v>1.0112487391144025E-2</v>
      </c>
      <c r="E49" s="2224">
        <f xml:space="preserve"> MHDV_Mat_Parameters!F197</f>
        <v>4.7793127283584759E-3</v>
      </c>
      <c r="F49" s="2218"/>
      <c r="G49" s="2218"/>
      <c r="H49" s="2218"/>
      <c r="I49" s="2218"/>
      <c r="J49" s="2218"/>
      <c r="K49" s="2218"/>
    </row>
    <row r="50" spans="1:11">
      <c r="A50" s="2096" t="s">
        <v>275</v>
      </c>
      <c r="B50" s="2299"/>
      <c r="C50" s="2218">
        <f xml:space="preserve"> MHDV_Mat_Parameters!D198</f>
        <v>0.25134218654312002</v>
      </c>
      <c r="D50" s="2218">
        <f xml:space="preserve"> MHDV_Mat_Parameters!E198</f>
        <v>0.16113954724986887</v>
      </c>
      <c r="E50" s="2224">
        <f xml:space="preserve"> MHDV_Mat_Parameters!F198</f>
        <v>0.26388888367189672</v>
      </c>
      <c r="F50" s="2218"/>
      <c r="G50" s="2218"/>
      <c r="H50" s="2218"/>
      <c r="I50" s="2218"/>
      <c r="J50" s="2218"/>
      <c r="K50" s="2218"/>
    </row>
    <row r="51" spans="1:11">
      <c r="A51" s="2096" t="s">
        <v>252</v>
      </c>
      <c r="B51" s="2299"/>
      <c r="C51" s="2218">
        <f xml:space="preserve"> MHDV_Mat_Parameters!D199</f>
        <v>0.28176932826061629</v>
      </c>
      <c r="D51" s="2218">
        <f xml:space="preserve"> MHDV_Mat_Parameters!E199</f>
        <v>0.1914058814174471</v>
      </c>
      <c r="E51" s="2224">
        <f xml:space="preserve"> MHDV_Mat_Parameters!F199</f>
        <v>0.26850458547285228</v>
      </c>
      <c r="F51" s="2218"/>
      <c r="G51" s="2218"/>
      <c r="H51" s="2218"/>
      <c r="I51" s="2218"/>
      <c r="J51" s="2218"/>
      <c r="K51" s="2218"/>
    </row>
    <row r="52" spans="1:11">
      <c r="A52" s="2096" t="s">
        <v>253</v>
      </c>
      <c r="B52" s="2299"/>
      <c r="C52" s="2218">
        <f xml:space="preserve"> MHDV_Mat_Parameters!D200</f>
        <v>0</v>
      </c>
      <c r="D52" s="2218">
        <f xml:space="preserve"> MHDV_Mat_Parameters!E200</f>
        <v>0</v>
      </c>
      <c r="E52" s="2224">
        <f xml:space="preserve"> MHDV_Mat_Parameters!F200</f>
        <v>0</v>
      </c>
      <c r="F52" s="2218"/>
      <c r="G52" s="2218"/>
      <c r="H52" s="2218"/>
      <c r="I52" s="2218"/>
      <c r="J52" s="2218"/>
      <c r="K52" s="2218"/>
    </row>
    <row r="53" spans="1:11" ht="15.75">
      <c r="A53" s="2096" t="s">
        <v>1516</v>
      </c>
      <c r="B53" s="2299"/>
      <c r="C53" s="2218">
        <f xml:space="preserve"> MHDV_Mat_Parameters!D201</f>
        <v>9.9372699200705964E-3</v>
      </c>
      <c r="D53" s="2218">
        <f xml:space="preserve"> MHDV_Mat_Parameters!E201</f>
        <v>1.3939595405492246E-2</v>
      </c>
      <c r="E53" s="2224">
        <f xml:space="preserve"> MHDV_Mat_Parameters!F201</f>
        <v>1.0667598944161584E-2</v>
      </c>
      <c r="F53" s="2218"/>
      <c r="G53" s="2218"/>
      <c r="H53" s="2218"/>
      <c r="I53" s="2218"/>
      <c r="J53" s="2218"/>
      <c r="K53" s="2218"/>
    </row>
    <row r="54" spans="1:11">
      <c r="A54" s="2096" t="s">
        <v>313</v>
      </c>
      <c r="B54" s="2299"/>
      <c r="C54" s="2218">
        <f xml:space="preserve"> MHDV_Mat_Parameters!D202</f>
        <v>2.7740195954255201E-2</v>
      </c>
      <c r="D54" s="2218">
        <f xml:space="preserve"> MHDV_Mat_Parameters!E202</f>
        <v>3.8912811182715994E-2</v>
      </c>
      <c r="E54" s="2224">
        <f xml:space="preserve"> MHDV_Mat_Parameters!F202</f>
        <v>2.9778931985611792E-2</v>
      </c>
      <c r="F54" s="2218"/>
      <c r="G54" s="2218"/>
      <c r="H54" s="2218"/>
      <c r="I54" s="2218"/>
      <c r="J54" s="2218"/>
      <c r="K54" s="2218"/>
    </row>
    <row r="55" spans="1:11">
      <c r="A55" s="2096" t="s">
        <v>314</v>
      </c>
      <c r="B55" s="2299"/>
      <c r="C55" s="2218">
        <f xml:space="preserve"> MHDV_Mat_Parameters!D203</f>
        <v>2.7740195954255201E-2</v>
      </c>
      <c r="D55" s="2218">
        <f xml:space="preserve"> MHDV_Mat_Parameters!E203</f>
        <v>3.8912811182715994E-2</v>
      </c>
      <c r="E55" s="2224">
        <f xml:space="preserve"> MHDV_Mat_Parameters!F203</f>
        <v>2.9778931985611792E-2</v>
      </c>
      <c r="F55" s="2218"/>
      <c r="G55" s="2218"/>
      <c r="H55" s="2218"/>
      <c r="I55" s="2218"/>
      <c r="J55" s="2218"/>
      <c r="K55" s="2218"/>
    </row>
    <row r="56" spans="1:11">
      <c r="A56" s="2096" t="s">
        <v>297</v>
      </c>
      <c r="B56" s="2299"/>
      <c r="C56" s="2218">
        <f xml:space="preserve"> MHDV_Mat_Parameters!D204</f>
        <v>1.1547586843580459E-2</v>
      </c>
      <c r="D56" s="2218">
        <f xml:space="preserve"> MHDV_Mat_Parameters!E204</f>
        <v>1.4278303763291901E-2</v>
      </c>
      <c r="E56" s="2224">
        <f xml:space="preserve"> MHDV_Mat_Parameters!F204</f>
        <v>1.2076414029400516E-2</v>
      </c>
      <c r="F56" s="2218"/>
      <c r="G56" s="2218"/>
      <c r="H56" s="2218"/>
      <c r="I56" s="2218"/>
      <c r="J56" s="2218"/>
      <c r="K56" s="2218"/>
    </row>
    <row r="57" spans="1:11">
      <c r="A57" s="2096" t="s">
        <v>315</v>
      </c>
      <c r="B57" s="2299"/>
      <c r="C57" s="2218">
        <f xml:space="preserve"> MHDV_Mat_Parameters!D205</f>
        <v>5.4868942998833291E-3</v>
      </c>
      <c r="D57" s="2218">
        <f xml:space="preserve"> MHDV_Mat_Parameters!E205</f>
        <v>3.8495115480671428E-3</v>
      </c>
      <c r="E57" s="2224">
        <f xml:space="preserve"> MHDV_Mat_Parameters!F205</f>
        <v>5.1863671140486341E-3</v>
      </c>
      <c r="F57" s="2218"/>
      <c r="G57" s="2218"/>
      <c r="H57" s="2218"/>
      <c r="I57" s="2218"/>
      <c r="J57" s="2218"/>
      <c r="K57" s="2218"/>
    </row>
    <row r="58" spans="1:11">
      <c r="A58" s="2096" t="s">
        <v>316</v>
      </c>
      <c r="B58" s="2299"/>
      <c r="C58" s="2218">
        <f xml:space="preserve"> MHDV_Mat_Parameters!D206</f>
        <v>2.8981006571933018E-3</v>
      </c>
      <c r="D58" s="2218">
        <f xml:space="preserve"> MHDV_Mat_Parameters!E206</f>
        <v>1.9623005892971607E-3</v>
      </c>
      <c r="E58" s="2224">
        <f xml:space="preserve"> MHDV_Mat_Parameters!F206</f>
        <v>2.865023596361543E-3</v>
      </c>
      <c r="F58" s="2218"/>
      <c r="G58" s="2218"/>
      <c r="H58" s="2218"/>
      <c r="I58" s="2218"/>
      <c r="J58" s="2218"/>
      <c r="K58" s="2218"/>
    </row>
    <row r="59" spans="1:11">
      <c r="A59" s="2096" t="s">
        <v>251</v>
      </c>
      <c r="B59" s="2299"/>
      <c r="C59" s="2218">
        <f xml:space="preserve"> MHDV_Mat_Parameters!D207</f>
        <v>6.3592803689970986E-3</v>
      </c>
      <c r="D59" s="2218">
        <f xml:space="preserve"> MHDV_Mat_Parameters!E207</f>
        <v>5.8112153966074186E-4</v>
      </c>
      <c r="E59" s="2224">
        <f xml:space="preserve"> MHDV_Mat_Parameters!F207</f>
        <v>6.2134965258607662E-3</v>
      </c>
      <c r="F59" s="2218"/>
      <c r="G59" s="2218"/>
      <c r="H59" s="2218"/>
      <c r="I59" s="2218"/>
      <c r="J59" s="2218"/>
      <c r="K59" s="2218"/>
    </row>
    <row r="60" spans="1:11">
      <c r="A60" s="2096" t="s">
        <v>317</v>
      </c>
      <c r="B60" s="2299"/>
      <c r="C60" s="2218">
        <f xml:space="preserve"> MHDV_Mat_Parameters!D208</f>
        <v>1.732632915361312E-2</v>
      </c>
      <c r="D60" s="2218">
        <f xml:space="preserve"> MHDV_Mat_Parameters!E208</f>
        <v>5.0524040751697965E-3</v>
      </c>
      <c r="E60" s="2224">
        <f xml:space="preserve"> MHDV_Mat_Parameters!F208</f>
        <v>1.7786569906881346E-2</v>
      </c>
      <c r="F60" s="2218"/>
      <c r="G60" s="2218"/>
      <c r="H60" s="2218"/>
      <c r="I60" s="2218"/>
      <c r="J60" s="2218"/>
      <c r="K60" s="2218"/>
    </row>
    <row r="61" spans="1:11">
      <c r="A61" s="2096" t="s">
        <v>318</v>
      </c>
      <c r="B61" s="2299"/>
      <c r="C61" s="2218">
        <f xml:space="preserve"> MHDV_Mat_Parameters!D209</f>
        <v>8.7309894175127772E-2</v>
      </c>
      <c r="D61" s="2218">
        <f xml:space="preserve"> MHDV_Mat_Parameters!E209</f>
        <v>2.3241096937465327E-2</v>
      </c>
      <c r="E61" s="2224">
        <f xml:space="preserve"> MHDV_Mat_Parameters!F209</f>
        <v>7.2225447370593096E-2</v>
      </c>
      <c r="F61" s="2218"/>
      <c r="G61" s="2218"/>
      <c r="H61" s="2218"/>
      <c r="I61" s="2218"/>
      <c r="J61" s="2218"/>
      <c r="K61" s="2218"/>
    </row>
    <row r="62" spans="1:11">
      <c r="A62" s="2097" t="s">
        <v>319</v>
      </c>
      <c r="B62" s="2304"/>
      <c r="C62" s="2216">
        <f xml:space="preserve"> MHDV_Mat_Parameters!D210</f>
        <v>4.9776808612314823E-2</v>
      </c>
      <c r="D62" s="2216">
        <f xml:space="preserve"> MHDV_Mat_Parameters!E210</f>
        <v>1.1002455516059689E-3</v>
      </c>
      <c r="E62" s="2217">
        <f xml:space="preserve"> MHDV_Mat_Parameters!F210</f>
        <v>4.2062112978796098E-2</v>
      </c>
      <c r="F62" s="2218"/>
      <c r="G62" s="2218"/>
      <c r="H62" s="2218"/>
      <c r="I62" s="2218"/>
      <c r="J62" s="2218"/>
      <c r="K62" s="2218"/>
    </row>
    <row r="63" spans="1:11">
      <c r="B63" s="2299"/>
      <c r="C63" s="2299"/>
      <c r="D63" s="2299"/>
      <c r="E63" s="2299"/>
    </row>
    <row r="64" spans="1:11" ht="15">
      <c r="A64" s="2084" t="s">
        <v>1517</v>
      </c>
      <c r="B64" s="2299"/>
      <c r="C64" s="2299"/>
      <c r="D64" s="2299"/>
      <c r="E64" s="2299"/>
    </row>
    <row r="65" spans="1:11">
      <c r="A65" s="2083" t="s">
        <v>1518</v>
      </c>
      <c r="B65" s="2299"/>
      <c r="C65" s="2299"/>
      <c r="D65" s="2299"/>
      <c r="E65" s="2299"/>
    </row>
    <row r="66" spans="1:11">
      <c r="A66" s="2305"/>
      <c r="B66" s="2306" t="s">
        <v>203</v>
      </c>
      <c r="C66" s="2306" t="s">
        <v>194</v>
      </c>
      <c r="D66" s="2306" t="s">
        <v>167</v>
      </c>
      <c r="E66" s="2307" t="s">
        <v>198</v>
      </c>
      <c r="F66" s="2308"/>
      <c r="G66" s="2308"/>
      <c r="H66" s="2308"/>
      <c r="I66" s="2308"/>
      <c r="J66" s="2308"/>
      <c r="K66" s="2308"/>
    </row>
    <row r="67" spans="1:11">
      <c r="A67" s="2309" t="s">
        <v>1519</v>
      </c>
      <c r="B67" s="2310"/>
      <c r="C67" s="2311"/>
      <c r="D67" s="2311"/>
      <c r="E67" s="2312"/>
      <c r="F67" s="2313"/>
      <c r="G67" s="2313"/>
      <c r="H67" s="2313"/>
      <c r="I67" s="2313"/>
      <c r="J67" s="2313"/>
      <c r="K67" s="2313"/>
    </row>
    <row r="68" spans="1:11" s="2263" customFormat="1">
      <c r="A68" s="2314" t="s">
        <v>1515</v>
      </c>
      <c r="B68" s="2315">
        <f t="shared" ref="B68:E73" si="0">B39*B$33</f>
        <v>16.835999999999999</v>
      </c>
      <c r="C68" s="2263">
        <f t="shared" si="0"/>
        <v>12.626999999999999</v>
      </c>
      <c r="D68" s="2263">
        <f t="shared" si="0"/>
        <v>4.2089999999999996</v>
      </c>
      <c r="E68" s="2264">
        <f t="shared" si="0"/>
        <v>4.2089999999999996</v>
      </c>
    </row>
    <row r="69" spans="1:11" s="2263" customFormat="1">
      <c r="A69" s="2314" t="s">
        <v>298</v>
      </c>
      <c r="B69" s="2315">
        <f t="shared" si="0"/>
        <v>190.44</v>
      </c>
      <c r="C69" s="2263">
        <f t="shared" si="0"/>
        <v>142.82999999999998</v>
      </c>
      <c r="D69" s="2263">
        <f t="shared" si="0"/>
        <v>47.61</v>
      </c>
      <c r="E69" s="2264">
        <f t="shared" si="0"/>
        <v>47.61</v>
      </c>
    </row>
    <row r="70" spans="1:11" s="2263" customFormat="1">
      <c r="A70" s="2314" t="s">
        <v>299</v>
      </c>
      <c r="B70" s="2315">
        <f t="shared" si="0"/>
        <v>21.803999999999998</v>
      </c>
      <c r="C70" s="2263">
        <f t="shared" si="0"/>
        <v>16.353000000000002</v>
      </c>
      <c r="D70" s="2263">
        <f t="shared" si="0"/>
        <v>5.4509999999999996</v>
      </c>
      <c r="E70" s="2264">
        <f t="shared" si="0"/>
        <v>5.4509999999999996</v>
      </c>
    </row>
    <row r="71" spans="1:11" s="2263" customFormat="1">
      <c r="A71" s="2314" t="s">
        <v>300</v>
      </c>
      <c r="B71" s="2315">
        <f t="shared" si="0"/>
        <v>5.7960000000000003</v>
      </c>
      <c r="C71" s="2263">
        <f t="shared" si="0"/>
        <v>4.3470000000000004</v>
      </c>
      <c r="D71" s="2263">
        <f t="shared" si="0"/>
        <v>1.4490000000000001</v>
      </c>
      <c r="E71" s="2264">
        <f t="shared" si="0"/>
        <v>1.4490000000000001</v>
      </c>
    </row>
    <row r="72" spans="1:11" s="2263" customFormat="1">
      <c r="A72" s="2314" t="s">
        <v>301</v>
      </c>
      <c r="B72" s="2315">
        <f t="shared" si="0"/>
        <v>38.915999999999997</v>
      </c>
      <c r="C72" s="2263">
        <f t="shared" si="0"/>
        <v>29.186999999999998</v>
      </c>
      <c r="D72" s="2263">
        <f t="shared" si="0"/>
        <v>9.7289999999999992</v>
      </c>
      <c r="E72" s="2264">
        <f t="shared" si="0"/>
        <v>9.7289999999999992</v>
      </c>
    </row>
    <row r="73" spans="1:11" s="2263" customFormat="1">
      <c r="A73" s="2316" t="s">
        <v>262</v>
      </c>
      <c r="B73" s="2317">
        <f t="shared" si="0"/>
        <v>2.2080000000000326</v>
      </c>
      <c r="C73" s="2266">
        <f t="shared" si="0"/>
        <v>1.6560000000000246</v>
      </c>
      <c r="D73" s="2266">
        <f t="shared" si="0"/>
        <v>0.55200000000000815</v>
      </c>
      <c r="E73" s="2267">
        <f t="shared" si="0"/>
        <v>0.55200000000000815</v>
      </c>
    </row>
    <row r="74" spans="1:11" s="2136" customFormat="1">
      <c r="A74" s="2155" t="s">
        <v>1501</v>
      </c>
      <c r="B74" s="2172"/>
      <c r="C74" s="2251"/>
      <c r="D74" s="2251"/>
      <c r="E74" s="2186"/>
    </row>
    <row r="75" spans="1:11" s="2136" customFormat="1">
      <c r="A75" s="2151" t="s">
        <v>816</v>
      </c>
      <c r="B75" s="2151">
        <f ca="1" xml:space="preserve"> (((B$68*Mat_Sum!$AQ15)+(B$69*Mat_Sum!$O15)+(B$70*Mat_Sum!$AL15)+(B$71*Mat_Sum!$AN15)+(B$72*0)+(B$73*0))+(B$33*Battery_Assembly!$C61))*(1+$B$15)</f>
        <v>3.8158756499489006</v>
      </c>
      <c r="C75" s="2136">
        <f ca="1" xml:space="preserve"> (((C$68*Mat_Sum!$AQ15)+(C$69*Mat_Sum!$O15)+(C$70*Mat_Sum!$AL15)+(C$71*Mat_Sum!$AN15)+(C$72*0)+(C$73*0))+(C$33*Battery_Assembly!$C61))*(1+$B$16)</f>
        <v>2.8619067374616751</v>
      </c>
      <c r="D75" s="2136">
        <f ca="1" xml:space="preserve"> (((D$68*Mat_Sum!$AQ15)+(D$69*Mat_Sum!$O15)+(D$70*Mat_Sum!$AL15)+(D$71*Mat_Sum!$AN15)+(D$72*0)+(D$73*0))+(D$33*Battery_Assembly!$C61))*(1+$B$17)</f>
        <v>0.95396891248722515</v>
      </c>
      <c r="E75" s="2185">
        <f ca="1" xml:space="preserve"> (((E$68*Mat_Sum!$AQ15)+(E$69*Mat_Sum!$O15)+(E$70*Mat_Sum!$AL15)+(E$71*Mat_Sum!$AN15)+(E$72*0)+(E$73*0))+(E$33*Battery_Assembly!$C61))*(1+$B$18)</f>
        <v>0.95396891248722515</v>
      </c>
    </row>
    <row r="76" spans="1:11" s="2136" customFormat="1">
      <c r="A76" s="2151" t="s">
        <v>817</v>
      </c>
      <c r="B76" s="2151">
        <f ca="1" xml:space="preserve"> (((B$68*Mat_Sum!$AQ16)+(B$69*Mat_Sum!$O16)+(B$70*Mat_Sum!$AL16)+(B$71*Mat_Sum!$AN16)+(B$72*0)+(B$73*0))+(B$33*Battery_Assembly!$C62))*(1+$B$15)</f>
        <v>3.6260466987181714</v>
      </c>
      <c r="C76" s="2136">
        <f ca="1" xml:space="preserve"> (((C$68*Mat_Sum!$AQ16)+(C$69*Mat_Sum!$O16)+(C$70*Mat_Sum!$AL16)+(C$71*Mat_Sum!$AN16)+(C$72*0)+(C$73*0))+(C$33*Battery_Assembly!$C62))*(1+$B$16)</f>
        <v>2.7195350240386285</v>
      </c>
      <c r="D76" s="2136">
        <f ca="1" xml:space="preserve"> (((D$68*Mat_Sum!$AQ16)+(D$69*Mat_Sum!$O16)+(D$70*Mat_Sum!$AL16)+(D$71*Mat_Sum!$AN16)+(D$72*0)+(D$73*0))+(D$33*Battery_Assembly!$C62))*(1+$B$17)</f>
        <v>0.90651167467954286</v>
      </c>
      <c r="E76" s="2185">
        <f ca="1" xml:space="preserve"> (((E$68*Mat_Sum!$AQ16)+(E$69*Mat_Sum!$O16)+(E$70*Mat_Sum!$AL16)+(E$71*Mat_Sum!$AN16)+(E$72*0)+(E$73*0))+(E$33*Battery_Assembly!$C62))*(1+$B$18)</f>
        <v>0.90651167467954286</v>
      </c>
    </row>
    <row r="77" spans="1:11" s="2136" customFormat="1">
      <c r="A77" s="2151" t="s">
        <v>805</v>
      </c>
      <c r="B77" s="2151">
        <f ca="1" xml:space="preserve"> (((B$68*Mat_Sum!$AQ17)+(B$69*Mat_Sum!$O17)+(B$70*Mat_Sum!$AL17)+(B$71*Mat_Sum!$AN17)+(B$72*0)+(B$73*0))+(B$33*Battery_Assembly!$C63))*(1+$B$15)</f>
        <v>1.6223167845884725</v>
      </c>
      <c r="C77" s="2136">
        <f ca="1" xml:space="preserve"> (((C$68*Mat_Sum!$AQ17)+(C$69*Mat_Sum!$O17)+(C$70*Mat_Sum!$AL17)+(C$71*Mat_Sum!$AN17)+(C$72*0)+(C$73*0))+(C$33*Battery_Assembly!$C63))*(1+$B$16)</f>
        <v>1.2167375884413543</v>
      </c>
      <c r="D77" s="2136">
        <f ca="1" xml:space="preserve"> (((D$68*Mat_Sum!$AQ17)+(D$69*Mat_Sum!$O17)+(D$70*Mat_Sum!$AL17)+(D$71*Mat_Sum!$AN17)+(D$72*0)+(D$73*0))+(D$33*Battery_Assembly!$C63))*(1+$B$17)</f>
        <v>0.40557919614711813</v>
      </c>
      <c r="E77" s="2185">
        <f ca="1" xml:space="preserve"> (((E$68*Mat_Sum!$AQ17)+(E$69*Mat_Sum!$O17)+(E$70*Mat_Sum!$AL17)+(E$71*Mat_Sum!$AN17)+(E$72*0)+(E$73*0))+(E$33*Battery_Assembly!$C63))*(1+$B$18)</f>
        <v>0.40557919614711813</v>
      </c>
    </row>
    <row r="78" spans="1:11" s="2136" customFormat="1">
      <c r="A78" s="2151" t="s">
        <v>804</v>
      </c>
      <c r="B78" s="2151">
        <f t="shared" ref="B78:E78" ca="1" si="1">B76-B77-B79</f>
        <v>1.2431806391386901</v>
      </c>
      <c r="C78" s="2136">
        <f t="shared" ca="1" si="1"/>
        <v>0.9323854793540175</v>
      </c>
      <c r="D78" s="2136">
        <f t="shared" ca="1" si="1"/>
        <v>0.31079515978467254</v>
      </c>
      <c r="E78" s="2185">
        <f t="shared" ca="1" si="1"/>
        <v>0.31079515978467254</v>
      </c>
    </row>
    <row r="79" spans="1:11" s="2136" customFormat="1">
      <c r="A79" s="2151" t="s">
        <v>818</v>
      </c>
      <c r="B79" s="2151">
        <f ca="1" xml:space="preserve"> (((B$68*Mat_Sum!$AQ19)+(B$69*Mat_Sum!$O19)+(B$70*Mat_Sum!$AL19)+(B$71*Mat_Sum!$AN19)+(B$72*0)+(B$73*0))+(B$33*Battery_Assembly!$C65))*(1+$B$15)</f>
        <v>0.76054927499100877</v>
      </c>
      <c r="C79" s="2136">
        <f ca="1" xml:space="preserve"> (((C$68*Mat_Sum!$AQ19)+(C$69*Mat_Sum!$O19)+(C$70*Mat_Sum!$AL19)+(C$71*Mat_Sum!$AN19)+(C$72*0)+(C$73*0))+(C$33*Battery_Assembly!$C65))*(1+$B$16)</f>
        <v>0.57041195624325669</v>
      </c>
      <c r="D79" s="2136">
        <f ca="1" xml:space="preserve"> (((D$68*Mat_Sum!$AQ19)+(D$69*Mat_Sum!$O19)+(D$70*Mat_Sum!$AL19)+(D$71*Mat_Sum!$AN19)+(D$72*0)+(D$73*0))+(D$33*Battery_Assembly!$C65))*(1+$B$17)</f>
        <v>0.19013731874775219</v>
      </c>
      <c r="E79" s="2185">
        <f ca="1" xml:space="preserve"> (((E$68*Mat_Sum!$AQ19)+(E$69*Mat_Sum!$O19)+(E$70*Mat_Sum!$AL19)+(E$71*Mat_Sum!$AN19)+(E$72*0)+(E$73*0))+(E$33*Battery_Assembly!$C65))*(1+$B$18)</f>
        <v>0.19013731874775219</v>
      </c>
    </row>
    <row r="80" spans="1:11" s="2144" customFormat="1">
      <c r="A80" s="2318" t="s">
        <v>819</v>
      </c>
      <c r="B80" s="2159">
        <f ca="1" xml:space="preserve"> (((B$68*Mat_Sum!$AQ20)+(B$69*Mat_Sum!$O20)+(B$70*Mat_Sum!$AL20)+(B$71*Mat_Sum!$AN20)+(B$72/8.344)+(B$73*0))+(B$33*Battery_Assembly!$C66))*(1+$B$15)</f>
        <v>93.206208246800387</v>
      </c>
      <c r="C80" s="2242">
        <f ca="1" xml:space="preserve"> (((C$68*Mat_Sum!$AQ20)+(C$69*Mat_Sum!$O20)+(C$70*Mat_Sum!$AL20)+(C$71*Mat_Sum!$AN20)+(C$72/8.344)+(C$73*0))+(C$33*Battery_Assembly!$C66))*(1+$B$16)</f>
        <v>69.904656185100293</v>
      </c>
      <c r="D80" s="2242">
        <f ca="1" xml:space="preserve"> (((D$68*Mat_Sum!$AQ20)+(D$69*Mat_Sum!$O20)+(D$70*Mat_Sum!$AL20)+(D$71*Mat_Sum!$AN20)+(D$72/8.344)+(D$73*0))+(D$33*Battery_Assembly!$C66))*(1+$B$17)</f>
        <v>23.301552061700097</v>
      </c>
      <c r="E80" s="2227">
        <f ca="1" xml:space="preserve"> (((E$68*Mat_Sum!$AQ20)+(E$69*Mat_Sum!$O20)+(E$70*Mat_Sum!$AL20)+(E$71*Mat_Sum!$AN20)+(E$72/8.344)+(E$73*0))+(E$33*Battery_Assembly!$C66))*(1+$B$18)</f>
        <v>23.301552061700097</v>
      </c>
      <c r="F80" s="2319"/>
      <c r="G80" s="2319"/>
      <c r="H80" s="2319"/>
      <c r="I80" s="2319"/>
      <c r="J80" s="2319"/>
      <c r="K80" s="2319"/>
    </row>
    <row r="81" spans="1:11" s="2136" customFormat="1">
      <c r="A81" s="2155" t="s">
        <v>1520</v>
      </c>
      <c r="B81" s="2172"/>
      <c r="C81" s="2251"/>
      <c r="D81" s="2251"/>
      <c r="E81" s="2186"/>
    </row>
    <row r="82" spans="1:11" s="2136" customFormat="1">
      <c r="A82" s="2093" t="s">
        <v>821</v>
      </c>
      <c r="B82" s="2151">
        <f ca="1" xml:space="preserve"> (((B$68*Mat_Sum!$AQ22)+(B$69*Mat_Sum!$O22)+(B$70*Mat_Sum!$AL22)+(B$71*Mat_Sum!$AN22)+(B$72*0)+(B$73*0))+(B$33*Battery_Assembly!$C68))*(1+$B$15)</f>
        <v>106.98679871730197</v>
      </c>
      <c r="C82" s="2136">
        <f ca="1" xml:space="preserve"> (((C$68*Mat_Sum!$AQ22)+(C$69*Mat_Sum!$O22)+(C$70*Mat_Sum!$AL22)+(C$71*Mat_Sum!$AN22)+(C$72*0)+(C$73*0))+(C$33*Battery_Assembly!$C68))*(1+$B$16)</f>
        <v>80.240099037976478</v>
      </c>
      <c r="D82" s="2136">
        <f ca="1" xml:space="preserve"> (((D$68*Mat_Sum!$AQ22)+(D$69*Mat_Sum!$O22)+(D$70*Mat_Sum!$AL22)+(D$71*Mat_Sum!$AN22)+(D$72*0)+(D$73*0))+(D$33*Battery_Assembly!$C68))*(1+$B$17)</f>
        <v>26.746699679325491</v>
      </c>
      <c r="E82" s="2185">
        <f ca="1" xml:space="preserve"> (((E$68*Mat_Sum!$AQ22)+(E$69*Mat_Sum!$O22)+(E$70*Mat_Sum!$AL22)+(E$71*Mat_Sum!$AN22)+(E$72*0)+(E$73*0))+(E$33*Battery_Assembly!$C68))*(1+$B$18)</f>
        <v>26.746699679325491</v>
      </c>
    </row>
    <row r="83" spans="1:11" s="2136" customFormat="1">
      <c r="A83" s="2093" t="s">
        <v>822</v>
      </c>
      <c r="B83" s="2151">
        <f ca="1" xml:space="preserve"> (((B$68*Mat_Sum!$AQ23)+(B$69*Mat_Sum!$O23)+(B$70*Mat_Sum!$AL23)+(B$71*Mat_Sum!$AN23)+(B$72*0)+(B$73*0))+(B$33*Battery_Assembly!$C69))*(1+$B$15)</f>
        <v>188.44621864523319</v>
      </c>
      <c r="C83" s="2136">
        <f ca="1" xml:space="preserve"> (((C$68*Mat_Sum!$AQ23)+(C$69*Mat_Sum!$O23)+(C$70*Mat_Sum!$AL23)+(C$71*Mat_Sum!$AN23)+(C$72*0)+(C$73*0))+(C$33*Battery_Assembly!$C69))*(1+$B$16)</f>
        <v>141.33466398392491</v>
      </c>
      <c r="D83" s="2136">
        <f ca="1" xml:space="preserve"> (((D$68*Mat_Sum!$AQ23)+(D$69*Mat_Sum!$O23)+(D$70*Mat_Sum!$AL23)+(D$71*Mat_Sum!$AN23)+(D$72*0)+(D$73*0))+(D$33*Battery_Assembly!$C69))*(1+$B$17)</f>
        <v>47.111554661308297</v>
      </c>
      <c r="E83" s="2185">
        <f ca="1" xml:space="preserve"> (((E$68*Mat_Sum!$AQ23)+(E$69*Mat_Sum!$O23)+(E$70*Mat_Sum!$AL23)+(E$71*Mat_Sum!$AN23)+(E$72*0)+(E$73*0))+(E$33*Battery_Assembly!$C69))*(1+$B$18)</f>
        <v>47.111554661308297</v>
      </c>
    </row>
    <row r="84" spans="1:11" s="2136" customFormat="1" ht="15.75">
      <c r="A84" s="2093" t="s">
        <v>2542</v>
      </c>
      <c r="B84" s="2151">
        <f ca="1" xml:space="preserve"> (((B$68*Mat_Sum!$AQ24)+(B$69*Mat_Sum!$O24)+(B$70*Mat_Sum!$AL24)+(B$71*Mat_Sum!$AN24)+(B$72*0)+(B$73*0))+(B$33*Battery_Assembly!$C70))*(1+$B$15)</f>
        <v>219.83863144497013</v>
      </c>
      <c r="C84" s="2136">
        <f ca="1" xml:space="preserve"> (((C$68*Mat_Sum!$AQ24)+(C$69*Mat_Sum!$O24)+(C$70*Mat_Sum!$AL24)+(C$71*Mat_Sum!$AN24)+(C$72*0)+(C$73*0))+(C$33*Battery_Assembly!$C70))*(1+$B$16)</f>
        <v>164.8789735837276</v>
      </c>
      <c r="D84" s="2136">
        <f ca="1" xml:space="preserve"> (((D$68*Mat_Sum!$AQ24)+(D$69*Mat_Sum!$O24)+(D$70*Mat_Sum!$AL24)+(D$71*Mat_Sum!$AN24)+(D$72*0)+(D$73*0))+(D$33*Battery_Assembly!$C70))*(1+$B$17)</f>
        <v>54.959657861242533</v>
      </c>
      <c r="E84" s="2185">
        <f ca="1" xml:space="preserve"> (((E$68*Mat_Sum!$AQ24)+(E$69*Mat_Sum!$O24)+(E$70*Mat_Sum!$AL24)+(E$71*Mat_Sum!$AN24)+(E$72*0)+(E$73*0))+(E$33*Battery_Assembly!$C70))*(1+$B$18)</f>
        <v>54.959657861242533</v>
      </c>
    </row>
    <row r="85" spans="1:11" s="2136" customFormat="1" ht="15.75">
      <c r="A85" s="2093" t="s">
        <v>2543</v>
      </c>
      <c r="B85" s="2151">
        <f ca="1" xml:space="preserve"> (((B$68*Mat_Sum!$AQ25)+(B$69*Mat_Sum!$O25)+(B$70*Mat_Sum!$AL25)+(B$71*Mat_Sum!$AN25)+(B$72*0)+(B$73*0))+(B$33*Battery_Assembly!$C71))*(1+$B$15)</f>
        <v>254.43522006597476</v>
      </c>
      <c r="C85" s="2136">
        <f ca="1" xml:space="preserve"> (((C$68*Mat_Sum!$AQ25)+(C$69*Mat_Sum!$O25)+(C$70*Mat_Sum!$AL25)+(C$71*Mat_Sum!$AN25)+(C$72*0)+(C$73*0))+(C$33*Battery_Assembly!$C71))*(1+$B$16)</f>
        <v>190.82641504948103</v>
      </c>
      <c r="D85" s="2136">
        <f ca="1" xml:space="preserve"> (((D$68*Mat_Sum!$AQ25)+(D$69*Mat_Sum!$O25)+(D$70*Mat_Sum!$AL25)+(D$71*Mat_Sum!$AN25)+(D$72*0)+(D$73*0))+(D$33*Battery_Assembly!$C71))*(1+$B$17)</f>
        <v>63.60880501649369</v>
      </c>
      <c r="E85" s="2185">
        <f ca="1" xml:space="preserve"> (((E$68*Mat_Sum!$AQ25)+(E$69*Mat_Sum!$O25)+(E$70*Mat_Sum!$AL25)+(E$71*Mat_Sum!$AN25)+(E$72*0)+(E$73*0))+(E$33*Battery_Assembly!$C71))*(1+$B$18)</f>
        <v>63.60880501649369</v>
      </c>
    </row>
    <row r="86" spans="1:11" s="2136" customFormat="1" ht="15.75">
      <c r="A86" s="2093" t="s">
        <v>2544</v>
      </c>
      <c r="B86" s="2151">
        <f ca="1" xml:space="preserve"> (((B$68*Mat_Sum!$AQ26)+(B$69*Mat_Sum!$O26)+(B$70*Mat_Sum!$AL26)+(B$71*Mat_Sum!$AN26)+(B$72*0)+(B$73*0))+(B$33*Battery_Assembly!$C72))*(1+$B$15)</f>
        <v>125.74112816813512</v>
      </c>
      <c r="C86" s="2136">
        <f ca="1" xml:space="preserve"> (((C$68*Mat_Sum!$AQ26)+(C$69*Mat_Sum!$O26)+(C$70*Mat_Sum!$AL26)+(C$71*Mat_Sum!$AN26)+(C$72*0)+(C$73*0))+(C$33*Battery_Assembly!$C72))*(1+$B$16)</f>
        <v>94.305846126101343</v>
      </c>
      <c r="D86" s="2136">
        <f ca="1" xml:space="preserve"> (((D$68*Mat_Sum!$AQ26)+(D$69*Mat_Sum!$O26)+(D$70*Mat_Sum!$AL26)+(D$71*Mat_Sum!$AN26)+(D$72*0)+(D$73*0))+(D$33*Battery_Assembly!$C72))*(1+$B$17)</f>
        <v>31.43528204203378</v>
      </c>
      <c r="E86" s="2185">
        <f ca="1" xml:space="preserve"> (((E$68*Mat_Sum!$AQ26)+(E$69*Mat_Sum!$O26)+(E$70*Mat_Sum!$AL26)+(E$71*Mat_Sum!$AN26)+(E$72*0)+(E$73*0))+(E$33*Battery_Assembly!$C72))*(1+$B$18)</f>
        <v>31.43528204203378</v>
      </c>
    </row>
    <row r="87" spans="1:11" s="2136" customFormat="1" ht="15.75">
      <c r="A87" s="2093" t="s">
        <v>2545</v>
      </c>
      <c r="B87" s="2151">
        <f ca="1" xml:space="preserve"> (((B$68*Mat_Sum!$AQ27)+(B$69*Mat_Sum!$O27)+(B$70*Mat_Sum!$AL27)+(B$71*Mat_Sum!$AN27)+(B$72*0)+(B$73*0))+(B$33*Battery_Assembly!$C73))*(1+$B$15)</f>
        <v>2448.5946973189889</v>
      </c>
      <c r="C87" s="2136">
        <f ca="1" xml:space="preserve"> (((C$68*Mat_Sum!$AQ27)+(C$69*Mat_Sum!$O27)+(C$70*Mat_Sum!$AL27)+(C$71*Mat_Sum!$AN27)+(C$72*0)+(C$73*0))+(C$33*Battery_Assembly!$C73))*(1+$B$16)</f>
        <v>1836.4460229892416</v>
      </c>
      <c r="D87" s="2136">
        <f ca="1" xml:space="preserve"> (((D$68*Mat_Sum!$AQ27)+(D$69*Mat_Sum!$O27)+(D$70*Mat_Sum!$AL27)+(D$71*Mat_Sum!$AN27)+(D$72*0)+(D$73*0))+(D$33*Battery_Assembly!$C73))*(1+$B$17)</f>
        <v>612.14867432974722</v>
      </c>
      <c r="E87" s="2185">
        <f ca="1" xml:space="preserve"> (((E$68*Mat_Sum!$AQ27)+(E$69*Mat_Sum!$O27)+(E$70*Mat_Sum!$AL27)+(E$71*Mat_Sum!$AN27)+(E$72*0)+(E$73*0))+(E$33*Battery_Assembly!$C73))*(1+$B$18)</f>
        <v>612.14867432974722</v>
      </c>
    </row>
    <row r="88" spans="1:11" s="2136" customFormat="1">
      <c r="A88" s="2093" t="s">
        <v>827</v>
      </c>
      <c r="B88" s="2151">
        <f ca="1" xml:space="preserve"> (((B$68*Mat_Sum!$AQ28)+(B$69*Mat_Sum!$O28)+(B$70*Mat_Sum!$AL28)+(B$71*Mat_Sum!$AN28)+(B$72*0)+(B$73*0))+(B$33*Battery_Assembly!$C74))*(1+$B$15)</f>
        <v>1.098118206434695</v>
      </c>
      <c r="C88" s="2136">
        <f ca="1" xml:space="preserve"> (((C$68*Mat_Sum!$AQ28)+(C$69*Mat_Sum!$O28)+(C$70*Mat_Sum!$AL28)+(C$71*Mat_Sum!$AN28)+(C$72*0)+(C$73*0))+(C$33*Battery_Assembly!$C74))*(1+$B$16)</f>
        <v>0.82358865482602139</v>
      </c>
      <c r="D88" s="2136">
        <f ca="1" xml:space="preserve"> (((D$68*Mat_Sum!$AQ28)+(D$69*Mat_Sum!$O28)+(D$70*Mat_Sum!$AL28)+(D$71*Mat_Sum!$AN28)+(D$72*0)+(D$73*0))+(D$33*Battery_Assembly!$C74))*(1+$B$17)</f>
        <v>0.27452955160867376</v>
      </c>
      <c r="E88" s="2185">
        <f ca="1" xml:space="preserve"> (((E$68*Mat_Sum!$AQ28)+(E$69*Mat_Sum!$O28)+(E$70*Mat_Sum!$AL28)+(E$71*Mat_Sum!$AN28)+(E$72*0)+(E$73*0))+(E$33*Battery_Assembly!$C74))*(1+$B$18)</f>
        <v>0.27452955160867376</v>
      </c>
    </row>
    <row r="89" spans="1:11" s="2136" customFormat="1">
      <c r="A89" s="2093" t="s">
        <v>828</v>
      </c>
      <c r="B89" s="2151">
        <f ca="1" xml:space="preserve"> (((B$68*Mat_Sum!$AQ29)+(B$69*Mat_Sum!$O29)+(B$70*Mat_Sum!$AL29)+(B$71*Mat_Sum!$AN29)+(B$72*0)+(B$73*0))+(B$33*Battery_Assembly!$C75))*(1+$B$15)</f>
        <v>2.6398359136086489</v>
      </c>
      <c r="C89" s="2136">
        <f ca="1" xml:space="preserve"> (((C$68*Mat_Sum!$AQ29)+(C$69*Mat_Sum!$O29)+(C$70*Mat_Sum!$AL29)+(C$71*Mat_Sum!$AN29)+(C$72*0)+(C$73*0))+(C$33*Battery_Assembly!$C75))*(1+$B$16)</f>
        <v>1.9798769352064864</v>
      </c>
      <c r="D89" s="2136">
        <f ca="1" xml:space="preserve"> (((D$68*Mat_Sum!$AQ29)+(D$69*Mat_Sum!$O29)+(D$70*Mat_Sum!$AL29)+(D$71*Mat_Sum!$AN29)+(D$72*0)+(D$73*0))+(D$33*Battery_Assembly!$C75))*(1+$B$17)</f>
        <v>0.65995897840216222</v>
      </c>
      <c r="E89" s="2185">
        <f ca="1" xml:space="preserve"> (((E$68*Mat_Sum!$AQ29)+(E$69*Mat_Sum!$O29)+(E$70*Mat_Sum!$AL29)+(E$71*Mat_Sum!$AN29)+(E$72*0)+(E$73*0))+(E$33*Battery_Assembly!$C75))*(1+$B$18)</f>
        <v>0.65995897840216222</v>
      </c>
    </row>
    <row r="90" spans="1:11" s="2136" customFormat="1" ht="15.75">
      <c r="A90" s="2093" t="s">
        <v>2546</v>
      </c>
      <c r="B90" s="2151">
        <f ca="1" xml:space="preserve"> (((B$68*Mat_Sum!$AQ30)+(B$69*Mat_Sum!$O30)+(B$70*Mat_Sum!$AL30)+(B$71*Mat_Sum!$AN30)+(B$72*0)+(B$73*0))+(B$33*Battery_Assembly!$C76))*(1+$B$15)</f>
        <v>906.44776964069695</v>
      </c>
      <c r="C90" s="2136">
        <f ca="1" xml:space="preserve"> (((C$68*Mat_Sum!$AQ30)+(C$69*Mat_Sum!$O30)+(C$70*Mat_Sum!$AL30)+(C$71*Mat_Sum!$AN30)+(C$72*0)+(C$73*0))+(C$33*Battery_Assembly!$C76))*(1+$B$16)</f>
        <v>679.8358272305228</v>
      </c>
      <c r="D90" s="2136">
        <f ca="1" xml:space="preserve"> (((D$68*Mat_Sum!$AQ30)+(D$69*Mat_Sum!$O30)+(D$70*Mat_Sum!$AL30)+(D$71*Mat_Sum!$AN30)+(D$72*0)+(D$73*0))+(D$33*Battery_Assembly!$C76))*(1+$B$17)</f>
        <v>226.61194241017424</v>
      </c>
      <c r="E90" s="2185">
        <f ca="1" xml:space="preserve"> (((E$68*Mat_Sum!$AQ30)+(E$69*Mat_Sum!$O30)+(E$70*Mat_Sum!$AL30)+(E$71*Mat_Sum!$AN30)+(E$72*0)+(E$73*0))+(E$33*Battery_Assembly!$C76))*(1+$B$18)</f>
        <v>226.61194241017424</v>
      </c>
    </row>
    <row r="91" spans="1:11" s="2136" customFormat="1" ht="15.75">
      <c r="A91" s="2093" t="s">
        <v>2547</v>
      </c>
      <c r="B91" s="2151">
        <f ca="1" xml:space="preserve"> (((B$68*Mat_Sum!$AQ31)+(B$69*Mat_Sum!$O31)+(B$70*Mat_Sum!$AL31)+(B$71*Mat_Sum!$AN31)+(B$72*0)+(B$73*0))+(B$33*Battery_Assembly!$C77))*(1+$B$15)</f>
        <v>3.1323597596352872</v>
      </c>
      <c r="C91" s="2136">
        <f ca="1" xml:space="preserve"> (((C$68*Mat_Sum!$AQ31)+(C$69*Mat_Sum!$O31)+(C$70*Mat_Sum!$AL31)+(C$71*Mat_Sum!$AN31)+(C$72*0)+(C$73*0))+(C$33*Battery_Assembly!$C77))*(1+$B$16)</f>
        <v>2.3492698197264654</v>
      </c>
      <c r="D91" s="2136">
        <f ca="1" xml:space="preserve"> (((D$68*Mat_Sum!$AQ31)+(D$69*Mat_Sum!$O31)+(D$70*Mat_Sum!$AL31)+(D$71*Mat_Sum!$AN31)+(D$72*0)+(D$73*0))+(D$33*Battery_Assembly!$C77))*(1+$B$17)</f>
        <v>0.78308993990882181</v>
      </c>
      <c r="E91" s="2185">
        <f ca="1" xml:space="preserve"> (((E$68*Mat_Sum!$AQ31)+(E$69*Mat_Sum!$O31)+(E$70*Mat_Sum!$AL31)+(E$71*Mat_Sum!$AN31)+(E$72*0)+(E$73*0))+(E$33*Battery_Assembly!$C77))*(1+$B$18)</f>
        <v>0.78308993990882181</v>
      </c>
    </row>
    <row r="92" spans="1:11" s="2144" customFormat="1" ht="15.75">
      <c r="A92" s="2093" t="s">
        <v>2548</v>
      </c>
      <c r="B92" s="2151">
        <f ca="1" xml:space="preserve"> (((B$68*Mat_Sum!$AQ32)+(B$69*Mat_Sum!$O32)+(B$70*Mat_Sum!$AL32)+(B$71*Mat_Sum!$AN32)+(B$72*0)+(B$73*0))+(B$33*Battery_Assembly!$C78))*(1+$B$15)</f>
        <v>168842.46010845029</v>
      </c>
      <c r="C92" s="2136">
        <f ca="1" xml:space="preserve"> (((C$68*Mat_Sum!$AQ32)+(C$69*Mat_Sum!$O32)+(C$70*Mat_Sum!$AL32)+(C$71*Mat_Sum!$AN32)+(C$72*0)+(C$73*0))+(C$33*Battery_Assembly!$C78))*(1+$B$16)</f>
        <v>126631.8450813377</v>
      </c>
      <c r="D92" s="2136">
        <f ca="1" xml:space="preserve"> (((D$68*Mat_Sum!$AQ32)+(D$69*Mat_Sum!$O32)+(D$70*Mat_Sum!$AL32)+(D$71*Mat_Sum!$AN32)+(D$72*0)+(D$73*0))+(D$33*Battery_Assembly!$C78))*(1+$B$17)</f>
        <v>42210.615027112573</v>
      </c>
      <c r="E92" s="2185">
        <f ca="1" xml:space="preserve"> (((E$68*Mat_Sum!$AQ32)+(E$69*Mat_Sum!$O32)+(E$70*Mat_Sum!$AL32)+(E$71*Mat_Sum!$AN32)+(E$72*0)+(E$73*0))+(E$33*Battery_Assembly!$C78))*(1+$B$18)</f>
        <v>42210.615027112573</v>
      </c>
      <c r="F92" s="2237"/>
      <c r="G92" s="2237"/>
      <c r="H92" s="2237"/>
      <c r="I92" s="2237"/>
      <c r="J92" s="2237"/>
      <c r="K92" s="2237"/>
    </row>
    <row r="93" spans="1:11" s="2144" customFormat="1" ht="15.75">
      <c r="A93" s="2093" t="s">
        <v>2550</v>
      </c>
      <c r="B93" s="2151">
        <f ca="1" xml:space="preserve"> (((B$68*Mat_Sum!$AQ33)+(B$69*Mat_Sum!$O33)+(B$70*Mat_Sum!$AL33)+(B$71*Mat_Sum!$AN33)+(B$72*0)+(B$73*0))+(B$33*Battery_Assembly!$C79))*(1+$B$15)</f>
        <v>169472.03206994265</v>
      </c>
      <c r="C93" s="2136">
        <f ca="1" xml:space="preserve"> (((C$68*Mat_Sum!$AQ33)+(C$69*Mat_Sum!$O33)+(C$70*Mat_Sum!$AL33)+(C$71*Mat_Sum!$AN33)+(C$72*0)+(C$73*0))+(C$33*Battery_Assembly!$C79))*(1+$B$16)</f>
        <v>127104.02405245698</v>
      </c>
      <c r="D93" s="2136">
        <f ca="1" xml:space="preserve"> (((D$68*Mat_Sum!$AQ33)+(D$69*Mat_Sum!$O33)+(D$70*Mat_Sum!$AL33)+(D$71*Mat_Sum!$AN33)+(D$72*0)+(D$73*0))+(D$33*Battery_Assembly!$C79))*(1+$B$17)</f>
        <v>42368.008017485663</v>
      </c>
      <c r="E93" s="2185">
        <f ca="1" xml:space="preserve"> (((E$68*Mat_Sum!$AQ33)+(E$69*Mat_Sum!$O33)+(E$70*Mat_Sum!$AL33)+(E$71*Mat_Sum!$AN33)+(E$72*0)+(E$73*0))+(E$33*Battery_Assembly!$C79))*(1+$B$18)</f>
        <v>42368.008017485663</v>
      </c>
      <c r="F93" s="2237"/>
      <c r="G93" s="2237"/>
      <c r="H93" s="2237"/>
      <c r="I93" s="2237"/>
      <c r="J93" s="2237"/>
      <c r="K93" s="2237"/>
    </row>
    <row r="94" spans="1:11" s="2144" customFormat="1">
      <c r="A94" s="2142" t="s">
        <v>851</v>
      </c>
      <c r="B94" s="2151">
        <f ca="1" xml:space="preserve"> (((B$68*Mat_Sum!$AQ34)+(B$69*Mat_Sum!$O34)+(B$70*Mat_Sum!$AL34)+(B$71*Mat_Sum!$AN34)+(B$72*0)+(B$73*0))+(B$33*Battery_Assembly!$C80))*(1+$B$15)</f>
        <v>197495.54049546691</v>
      </c>
      <c r="C94" s="2136">
        <f ca="1" xml:space="preserve"> (((C$68*Mat_Sum!$AQ34)+(C$69*Mat_Sum!$O34)+(C$70*Mat_Sum!$AL34)+(C$71*Mat_Sum!$AN34)+(C$72*0)+(C$73*0))+(C$33*Battery_Assembly!$C80))*(1+$B$16)</f>
        <v>148121.65537160018</v>
      </c>
      <c r="D94" s="2136">
        <f ca="1" xml:space="preserve"> (((D$68*Mat_Sum!$AQ34)+(D$69*Mat_Sum!$O34)+(D$70*Mat_Sum!$AL34)+(D$71*Mat_Sum!$AN34)+(D$72*0)+(D$73*0))+(D$33*Battery_Assembly!$C80))*(1+$B$17)</f>
        <v>49373.885123866727</v>
      </c>
      <c r="E94" s="2185">
        <f ca="1" xml:space="preserve"> (((E$68*Mat_Sum!$AQ34)+(E$69*Mat_Sum!$O34)+(E$70*Mat_Sum!$AL34)+(E$71*Mat_Sum!$AN34)+(E$72*0)+(E$73*0))+(E$33*Battery_Assembly!$C80))*(1+$B$18)</f>
        <v>49373.885123866727</v>
      </c>
      <c r="F94" s="2237"/>
      <c r="G94" s="2237"/>
      <c r="H94" s="2237"/>
      <c r="I94" s="2237"/>
      <c r="J94" s="2237"/>
      <c r="K94" s="2237"/>
    </row>
    <row r="95" spans="1:11" s="2136" customFormat="1">
      <c r="A95" s="2174" t="s">
        <v>1521</v>
      </c>
      <c r="B95" s="2320"/>
      <c r="C95" s="2240"/>
      <c r="D95" s="2240"/>
      <c r="E95" s="2241"/>
      <c r="F95" s="2254"/>
      <c r="G95" s="2254"/>
      <c r="H95" s="2254"/>
      <c r="I95" s="2254"/>
      <c r="J95" s="2254"/>
      <c r="K95" s="2254"/>
    </row>
    <row r="96" spans="1:11" s="2136" customFormat="1">
      <c r="A96" s="2093" t="s">
        <v>821</v>
      </c>
      <c r="B96" s="2151">
        <f ca="1" xml:space="preserve"> (((B$68*Mat_Sum!$AQ36)+(B$69*Mat_Sum!$O36)+(B$70*Mat_Sum!$AL36)+(B$71*Mat_Sum!$AN36)+(B$72*0)+(B$73*0))+(B$33*Battery_Assembly!$C82))*(1+$B$15)</f>
        <v>5.1968944496547831</v>
      </c>
      <c r="C96" s="2136">
        <f ca="1" xml:space="preserve"> (((C$68*Mat_Sum!$AQ36)+(C$69*Mat_Sum!$O36)+(C$70*Mat_Sum!$AL36)+(C$71*Mat_Sum!$AN36)+(C$72*0)+(C$73*0))+(C$33*Battery_Assembly!$C82))*(1+$B$16)</f>
        <v>3.8976708372410864</v>
      </c>
      <c r="D96" s="2136">
        <f ca="1" xml:space="preserve"> (((D$68*Mat_Sum!$AQ36)+(D$69*Mat_Sum!$O36)+(D$70*Mat_Sum!$AL36)+(D$71*Mat_Sum!$AN36)+(D$72*0)+(D$73*0))+(D$33*Battery_Assembly!$C82))*(1+$B$17)</f>
        <v>1.2992236124136958</v>
      </c>
      <c r="E96" s="2185">
        <f ca="1" xml:space="preserve"> (((E$68*Mat_Sum!$AQ36)+(E$69*Mat_Sum!$O36)+(E$70*Mat_Sum!$AL36)+(E$71*Mat_Sum!$AN36)+(E$72*0)+(E$73*0))+(E$33*Battery_Assembly!$C82))*(1+$B$18)</f>
        <v>1.2992236124136958</v>
      </c>
    </row>
    <row r="97" spans="1:28" s="2136" customFormat="1">
      <c r="A97" s="2093" t="s">
        <v>822</v>
      </c>
      <c r="B97" s="2151">
        <f ca="1" xml:space="preserve"> (((B$68*Mat_Sum!$AQ37)+(B$69*Mat_Sum!$O37)+(B$70*Mat_Sum!$AL37)+(B$71*Mat_Sum!$AN37)+(B$72*0)+(B$73*0))+(B$33*Battery_Assembly!$C83))*(1+$B$15)</f>
        <v>12.124295759043228</v>
      </c>
      <c r="C97" s="2136">
        <f ca="1" xml:space="preserve"> (((C$68*Mat_Sum!$AQ37)+(C$69*Mat_Sum!$O37)+(C$70*Mat_Sum!$AL37)+(C$71*Mat_Sum!$AN37)+(C$72*0)+(C$73*0))+(C$33*Battery_Assembly!$C83))*(1+$B$16)</f>
        <v>9.0932218192824195</v>
      </c>
      <c r="D97" s="2136">
        <f ca="1" xml:space="preserve"> (((D$68*Mat_Sum!$AQ37)+(D$69*Mat_Sum!$O37)+(D$70*Mat_Sum!$AL37)+(D$71*Mat_Sum!$AN37)+(D$72*0)+(D$73*0))+(D$33*Battery_Assembly!$C83))*(1+$B$17)</f>
        <v>3.0310739397608071</v>
      </c>
      <c r="E97" s="2185">
        <f ca="1" xml:space="preserve"> (((E$68*Mat_Sum!$AQ37)+(E$69*Mat_Sum!$O37)+(E$70*Mat_Sum!$AL37)+(E$71*Mat_Sum!$AN37)+(E$72*0)+(E$73*0))+(E$33*Battery_Assembly!$C83))*(1+$B$18)</f>
        <v>3.0310739397608071</v>
      </c>
    </row>
    <row r="98" spans="1:28" s="2136" customFormat="1" ht="15.75">
      <c r="A98" s="2093" t="s">
        <v>2542</v>
      </c>
      <c r="B98" s="2151">
        <f ca="1" xml:space="preserve"> (((B$68*Mat_Sum!$AQ38)+(B$69*Mat_Sum!$O38)+(B$70*Mat_Sum!$AL38)+(B$71*Mat_Sum!$AN38)+(B$72*0)+(B$73*0))+(B$33*Battery_Assembly!$C84))*(1+$B$15)</f>
        <v>14.83575446295162</v>
      </c>
      <c r="C98" s="2136">
        <f ca="1" xml:space="preserve"> (((C$68*Mat_Sum!$AQ38)+(C$69*Mat_Sum!$O38)+(C$70*Mat_Sum!$AL38)+(C$71*Mat_Sum!$AN38)+(C$72*0)+(C$73*0))+(C$33*Battery_Assembly!$C84))*(1+$B$16)</f>
        <v>11.126815847213713</v>
      </c>
      <c r="D98" s="2136">
        <f ca="1" xml:space="preserve"> (((D$68*Mat_Sum!$AQ38)+(D$69*Mat_Sum!$O38)+(D$70*Mat_Sum!$AL38)+(D$71*Mat_Sum!$AN38)+(D$72*0)+(D$73*0))+(D$33*Battery_Assembly!$C84))*(1+$B$17)</f>
        <v>3.708938615737905</v>
      </c>
      <c r="E98" s="2185">
        <f ca="1" xml:space="preserve"> (((E$68*Mat_Sum!$AQ38)+(E$69*Mat_Sum!$O38)+(E$70*Mat_Sum!$AL38)+(E$71*Mat_Sum!$AN38)+(E$72*0)+(E$73*0))+(E$33*Battery_Assembly!$C84))*(1+$B$18)</f>
        <v>3.708938615737905</v>
      </c>
    </row>
    <row r="99" spans="1:28" s="2136" customFormat="1" ht="15.75">
      <c r="A99" s="2093" t="s">
        <v>2543</v>
      </c>
      <c r="B99" s="2151">
        <f ca="1" xml:space="preserve"> (((B$68*Mat_Sum!$AQ39)+(B$69*Mat_Sum!$O39)+(B$70*Mat_Sum!$AL39)+(B$71*Mat_Sum!$AN39)+(B$72*0)+(B$73*0))+(B$33*Battery_Assembly!$C85))*(1+$B$15)</f>
        <v>2.0048057503600702</v>
      </c>
      <c r="C99" s="2136">
        <f ca="1" xml:space="preserve"> (((C$68*Mat_Sum!$AQ39)+(C$69*Mat_Sum!$O39)+(C$70*Mat_Sum!$AL39)+(C$71*Mat_Sum!$AN39)+(C$72*0)+(C$73*0))+(C$33*Battery_Assembly!$C85))*(1+$B$16)</f>
        <v>1.5036043127700527</v>
      </c>
      <c r="D99" s="2136">
        <f ca="1" xml:space="preserve"> (((D$68*Mat_Sum!$AQ39)+(D$69*Mat_Sum!$O39)+(D$70*Mat_Sum!$AL39)+(D$71*Mat_Sum!$AN39)+(D$72*0)+(D$73*0))+(D$33*Battery_Assembly!$C85))*(1+$B$17)</f>
        <v>0.50120143759001756</v>
      </c>
      <c r="E99" s="2185">
        <f ca="1" xml:space="preserve"> (((E$68*Mat_Sum!$AQ39)+(E$69*Mat_Sum!$O39)+(E$70*Mat_Sum!$AL39)+(E$71*Mat_Sum!$AN39)+(E$72*0)+(E$73*0))+(E$33*Battery_Assembly!$C85))*(1+$B$18)</f>
        <v>0.50120143759001756</v>
      </c>
    </row>
    <row r="100" spans="1:28" s="2136" customFormat="1" ht="15.75">
      <c r="A100" s="2093" t="s">
        <v>2544</v>
      </c>
      <c r="B100" s="2151">
        <f ca="1" xml:space="preserve"> (((B$68*Mat_Sum!$AQ40)+(B$69*Mat_Sum!$O40)+(B$70*Mat_Sum!$AL40)+(B$71*Mat_Sum!$AN40)+(B$72*0)+(B$73*0))+(B$33*Battery_Assembly!$C86))*(1+$B$15)</f>
        <v>1.6938797550849536</v>
      </c>
      <c r="C100" s="2136">
        <f ca="1" xml:space="preserve"> (((C$68*Mat_Sum!$AQ40)+(C$69*Mat_Sum!$O40)+(C$70*Mat_Sum!$AL40)+(C$71*Mat_Sum!$AN40)+(C$72*0)+(C$73*0))+(C$33*Battery_Assembly!$C86))*(1+$B$16)</f>
        <v>1.2704098163137152</v>
      </c>
      <c r="D100" s="2136">
        <f ca="1" xml:space="preserve"> (((D$68*Mat_Sum!$AQ40)+(D$69*Mat_Sum!$O40)+(D$70*Mat_Sum!$AL40)+(D$71*Mat_Sum!$AN40)+(D$72*0)+(D$73*0))+(D$33*Battery_Assembly!$C86))*(1+$B$17)</f>
        <v>0.4234699387712384</v>
      </c>
      <c r="E100" s="2185">
        <f ca="1" xml:space="preserve"> (((E$68*Mat_Sum!$AQ40)+(E$69*Mat_Sum!$O40)+(E$70*Mat_Sum!$AL40)+(E$71*Mat_Sum!$AN40)+(E$72*0)+(E$73*0))+(E$33*Battery_Assembly!$C86))*(1+$B$18)</f>
        <v>0.4234699387712384</v>
      </c>
    </row>
    <row r="101" spans="1:28" s="2136" customFormat="1" ht="15.75">
      <c r="A101" s="2093" t="s">
        <v>2545</v>
      </c>
      <c r="B101" s="2151">
        <f ca="1" xml:space="preserve"> (((B$68*Mat_Sum!$AQ41)+(B$69*Mat_Sum!$O41)+(B$70*Mat_Sum!$AL41)+(B$71*Mat_Sum!$AN41)+(B$72*0)+(B$73*0))+(B$33*Battery_Assembly!$C87))*(1+$B$15)</f>
        <v>26.531298679347845</v>
      </c>
      <c r="C101" s="2136">
        <f ca="1" xml:space="preserve"> (((C$68*Mat_Sum!$AQ41)+(C$69*Mat_Sum!$O41)+(C$70*Mat_Sum!$AL41)+(C$71*Mat_Sum!$AN41)+(C$72*0)+(C$73*0))+(C$33*Battery_Assembly!$C87))*(1+$B$16)</f>
        <v>19.898474009510881</v>
      </c>
      <c r="D101" s="2136">
        <f ca="1" xml:space="preserve"> (((D$68*Mat_Sum!$AQ41)+(D$69*Mat_Sum!$O41)+(D$70*Mat_Sum!$AL41)+(D$71*Mat_Sum!$AN41)+(D$72*0)+(D$73*0))+(D$33*Battery_Assembly!$C87))*(1+$B$17)</f>
        <v>6.6328246698369613</v>
      </c>
      <c r="E101" s="2185">
        <f ca="1" xml:space="preserve"> (((E$68*Mat_Sum!$AQ41)+(E$69*Mat_Sum!$O41)+(E$70*Mat_Sum!$AL41)+(E$71*Mat_Sum!$AN41)+(E$72*0)+(E$73*0))+(E$33*Battery_Assembly!$C87))*(1+$B$18)</f>
        <v>6.6328246698369613</v>
      </c>
    </row>
    <row r="102" spans="1:28" s="2136" customFormat="1">
      <c r="A102" s="2093" t="s">
        <v>827</v>
      </c>
      <c r="B102" s="2151">
        <f ca="1" xml:space="preserve"> (((B$68*Mat_Sum!$AQ42)+(B$69*Mat_Sum!$O42)+(B$70*Mat_Sum!$AL42)+(B$71*Mat_Sum!$AN42)+(B$72*0)+(B$73*0))+(B$33*Battery_Assembly!$C88))*(1+$B$15)</f>
        <v>0.10890669235438413</v>
      </c>
      <c r="C102" s="2136">
        <f ca="1" xml:space="preserve"> (((C$68*Mat_Sum!$AQ42)+(C$69*Mat_Sum!$O42)+(C$70*Mat_Sum!$AL42)+(C$71*Mat_Sum!$AN42)+(C$72*0)+(C$73*0))+(C$33*Battery_Assembly!$C88))*(1+$B$16)</f>
        <v>8.1680019265788106E-2</v>
      </c>
      <c r="D102" s="2136">
        <f ca="1" xml:space="preserve"> (((D$68*Mat_Sum!$AQ42)+(D$69*Mat_Sum!$O42)+(D$70*Mat_Sum!$AL42)+(D$71*Mat_Sum!$AN42)+(D$72*0)+(D$73*0))+(D$33*Battery_Assembly!$C88))*(1+$B$17)</f>
        <v>2.7226673088596033E-2</v>
      </c>
      <c r="E102" s="2185">
        <f ca="1" xml:space="preserve"> (((E$68*Mat_Sum!$AQ42)+(E$69*Mat_Sum!$O42)+(E$70*Mat_Sum!$AL42)+(E$71*Mat_Sum!$AN42)+(E$72*0)+(E$73*0))+(E$33*Battery_Assembly!$C88))*(1+$B$18)</f>
        <v>2.7226673088596033E-2</v>
      </c>
    </row>
    <row r="103" spans="1:28" s="2136" customFormat="1">
      <c r="A103" s="2142" t="s">
        <v>828</v>
      </c>
      <c r="B103" s="2159">
        <f ca="1" xml:space="preserve"> (((B$68*Mat_Sum!$AQ43)+(B$69*Mat_Sum!$O43)+(B$70*Mat_Sum!$AL43)+(B$71*Mat_Sum!$AN43)+(B$72*0)+(B$73*0))+(B$33*Battery_Assembly!$C89))*(1+$B$15)</f>
        <v>0.40340515974324131</v>
      </c>
      <c r="C103" s="2242">
        <f ca="1" xml:space="preserve"> (((C$68*Mat_Sum!$AQ43)+(C$69*Mat_Sum!$O43)+(C$70*Mat_Sum!$AL43)+(C$71*Mat_Sum!$AN43)+(C$72*0)+(C$73*0))+(C$33*Battery_Assembly!$C89))*(1+$B$16)</f>
        <v>0.30255386980743099</v>
      </c>
      <c r="D103" s="2242">
        <f ca="1" xml:space="preserve"> (((D$68*Mat_Sum!$AQ43)+(D$69*Mat_Sum!$O43)+(D$70*Mat_Sum!$AL43)+(D$71*Mat_Sum!$AN43)+(D$72*0)+(D$73*0))+(D$33*Battery_Assembly!$C89))*(1+$B$17)</f>
        <v>0.10085128993581033</v>
      </c>
      <c r="E103" s="2227">
        <f ca="1" xml:space="preserve"> (((E$68*Mat_Sum!$AQ43)+(E$69*Mat_Sum!$O43)+(E$70*Mat_Sum!$AL43)+(E$71*Mat_Sum!$AN43)+(E$72*0)+(E$73*0))+(E$33*Battery_Assembly!$C89))*(1+$B$18)</f>
        <v>0.10085128993581033</v>
      </c>
    </row>
    <row r="104" spans="1:28">
      <c r="B104" s="2219"/>
      <c r="C104" s="2219"/>
      <c r="D104" s="2219"/>
      <c r="E104" s="2219"/>
    </row>
    <row r="105" spans="1:28">
      <c r="A105" s="2083" t="s">
        <v>2569</v>
      </c>
      <c r="B105" s="2219"/>
      <c r="C105" s="2219"/>
      <c r="D105" s="2219"/>
      <c r="E105" s="2219"/>
      <c r="L105" s="2321"/>
      <c r="M105" s="2321"/>
      <c r="N105" s="2321"/>
      <c r="O105" s="2321"/>
      <c r="P105" s="2321"/>
      <c r="Q105" s="2321"/>
      <c r="R105" s="2321"/>
      <c r="S105" s="2321"/>
      <c r="T105" s="2321"/>
      <c r="U105" s="2321"/>
      <c r="V105" s="2321"/>
      <c r="W105" s="2321"/>
      <c r="X105" s="2321"/>
      <c r="Y105" s="2321"/>
      <c r="Z105" s="2321"/>
      <c r="AA105" s="2321"/>
      <c r="AB105" s="2321"/>
    </row>
    <row r="106" spans="1:28">
      <c r="A106" s="2322"/>
      <c r="B106" s="2306" t="s">
        <v>203</v>
      </c>
      <c r="C106" s="2306" t="s">
        <v>194</v>
      </c>
      <c r="D106" s="2306" t="s">
        <v>167</v>
      </c>
      <c r="E106" s="2307" t="s">
        <v>198</v>
      </c>
      <c r="F106" s="2308"/>
      <c r="G106" s="2308"/>
      <c r="H106" s="2308"/>
      <c r="I106" s="2308"/>
      <c r="J106" s="2308"/>
      <c r="K106" s="2308"/>
      <c r="L106" s="2321"/>
      <c r="M106" s="2321"/>
      <c r="N106" s="2321"/>
      <c r="O106" s="2321"/>
      <c r="P106" s="2321"/>
      <c r="Q106" s="2321"/>
      <c r="R106" s="2321"/>
      <c r="S106" s="2321"/>
      <c r="T106" s="2321"/>
      <c r="U106" s="2321"/>
      <c r="V106" s="2321"/>
      <c r="W106" s="2321"/>
      <c r="X106" s="2321"/>
      <c r="Y106" s="2321"/>
      <c r="Z106" s="2321"/>
      <c r="AA106" s="2321"/>
      <c r="AB106" s="2321"/>
    </row>
    <row r="107" spans="1:28">
      <c r="A107" s="2309" t="s">
        <v>1519</v>
      </c>
      <c r="B107" s="2311"/>
      <c r="C107" s="2311"/>
      <c r="D107" s="2311"/>
      <c r="E107" s="2312"/>
      <c r="F107" s="2313"/>
      <c r="G107" s="2313"/>
      <c r="H107" s="2313"/>
      <c r="I107" s="2313"/>
      <c r="J107" s="2313"/>
      <c r="L107" s="2321"/>
      <c r="M107" s="2321"/>
      <c r="N107" s="2321"/>
      <c r="O107" s="2321"/>
      <c r="P107" s="2321"/>
      <c r="Q107" s="2321"/>
      <c r="R107" s="2321"/>
      <c r="S107" s="2321"/>
      <c r="T107" s="2321"/>
      <c r="U107" s="2321"/>
      <c r="V107" s="2321"/>
      <c r="W107" s="2321"/>
      <c r="X107" s="2321"/>
      <c r="Y107" s="2321"/>
      <c r="Z107" s="2321"/>
      <c r="AA107" s="2321"/>
      <c r="AB107" s="2321"/>
    </row>
    <row r="108" spans="1:28">
      <c r="A108" s="2236" t="s">
        <v>309</v>
      </c>
      <c r="B108" s="2323"/>
      <c r="C108" s="2324">
        <f t="shared" ref="C108:E123" si="2">C46*C$34</f>
        <v>22.917315761183886</v>
      </c>
      <c r="D108" s="2324">
        <f t="shared" si="2"/>
        <v>5320.7349066733477</v>
      </c>
      <c r="E108" s="2325">
        <f t="shared" si="2"/>
        <v>29.466139370542567</v>
      </c>
      <c r="F108" s="2324"/>
      <c r="G108" s="2324"/>
      <c r="H108" s="2324"/>
      <c r="I108" s="2324"/>
      <c r="J108" s="2324"/>
      <c r="K108" s="2324"/>
      <c r="L108" s="2321"/>
      <c r="M108" s="2321"/>
      <c r="N108" s="2321"/>
      <c r="O108" s="2321"/>
      <c r="P108" s="2321"/>
      <c r="Q108" s="2321"/>
      <c r="R108" s="2321"/>
      <c r="S108" s="2321"/>
      <c r="T108" s="2321"/>
      <c r="U108" s="2321"/>
      <c r="V108" s="2321"/>
      <c r="W108" s="2321"/>
      <c r="X108" s="2321"/>
      <c r="Y108" s="2321"/>
      <c r="Z108" s="2321"/>
      <c r="AA108" s="2321"/>
      <c r="AB108" s="2321"/>
    </row>
    <row r="109" spans="1:28">
      <c r="A109" s="2326" t="s">
        <v>310</v>
      </c>
      <c r="B109" s="2323"/>
      <c r="C109" s="2324">
        <f t="shared" si="2"/>
        <v>14.280793580364413</v>
      </c>
      <c r="D109" s="2324">
        <f t="shared" si="2"/>
        <v>3122.4991779831344</v>
      </c>
      <c r="E109" s="2325">
        <f t="shared" si="2"/>
        <v>18.183567527584668</v>
      </c>
      <c r="F109" s="2324"/>
      <c r="G109" s="2324"/>
      <c r="H109" s="2324"/>
      <c r="I109" s="2324"/>
      <c r="J109" s="2324"/>
      <c r="K109" s="2324"/>
      <c r="L109" s="2321"/>
      <c r="M109" s="2321"/>
      <c r="N109" s="2321"/>
      <c r="O109" s="2321"/>
      <c r="P109" s="2321"/>
      <c r="Q109" s="2321"/>
      <c r="R109" s="2321"/>
      <c r="S109" s="2321"/>
      <c r="T109" s="2321"/>
      <c r="U109" s="2321"/>
      <c r="V109" s="2321"/>
      <c r="W109" s="2321"/>
      <c r="X109" s="2321"/>
      <c r="Y109" s="2321"/>
      <c r="Z109" s="2321"/>
      <c r="AA109" s="2321"/>
      <c r="AB109" s="2321"/>
    </row>
    <row r="110" spans="1:28">
      <c r="A110" s="2236" t="s">
        <v>273</v>
      </c>
      <c r="B110" s="2323"/>
      <c r="C110" s="2324">
        <f t="shared" si="2"/>
        <v>0</v>
      </c>
      <c r="D110" s="2324">
        <f t="shared" si="2"/>
        <v>0</v>
      </c>
      <c r="E110" s="2325">
        <f t="shared" si="2"/>
        <v>0</v>
      </c>
      <c r="F110" s="2324"/>
      <c r="G110" s="2324"/>
      <c r="H110" s="2324"/>
      <c r="I110" s="2324"/>
      <c r="J110" s="2324"/>
      <c r="K110" s="2324"/>
      <c r="L110" s="2321"/>
      <c r="M110" s="2321"/>
      <c r="N110" s="2321"/>
      <c r="O110" s="2321"/>
      <c r="P110" s="2321"/>
      <c r="Q110" s="2321"/>
      <c r="R110" s="2321"/>
      <c r="S110" s="2321"/>
      <c r="T110" s="2321"/>
      <c r="U110" s="2321"/>
      <c r="V110" s="2321"/>
      <c r="W110" s="2321"/>
      <c r="X110" s="2321"/>
      <c r="Y110" s="2321"/>
      <c r="Z110" s="2321"/>
      <c r="AA110" s="2321"/>
      <c r="AB110" s="2321"/>
    </row>
    <row r="111" spans="1:28">
      <c r="A111" s="2326" t="s">
        <v>311</v>
      </c>
      <c r="B111" s="2323"/>
      <c r="C111" s="2324">
        <f t="shared" si="2"/>
        <v>0.75914508860302643</v>
      </c>
      <c r="D111" s="2324">
        <f t="shared" si="2"/>
        <v>172.31089968686669</v>
      </c>
      <c r="E111" s="2325">
        <f t="shared" si="2"/>
        <v>0.972442997920964</v>
      </c>
      <c r="F111" s="2324"/>
      <c r="G111" s="2324"/>
      <c r="H111" s="2324"/>
      <c r="I111" s="2324"/>
      <c r="J111" s="2324"/>
      <c r="K111" s="2324"/>
      <c r="L111" s="2321"/>
      <c r="M111" s="2321"/>
      <c r="N111" s="2321"/>
      <c r="O111" s="2321"/>
      <c r="P111" s="2321"/>
      <c r="Q111" s="2321"/>
      <c r="R111" s="2321"/>
      <c r="S111" s="2321"/>
      <c r="T111" s="2321"/>
      <c r="U111" s="2321"/>
      <c r="V111" s="2321"/>
      <c r="W111" s="2321"/>
      <c r="X111" s="2321"/>
      <c r="Y111" s="2321"/>
      <c r="Z111" s="2321"/>
      <c r="AA111" s="2321"/>
      <c r="AB111" s="2321"/>
    </row>
    <row r="112" spans="1:28">
      <c r="A112" s="2326" t="s">
        <v>275</v>
      </c>
      <c r="B112" s="2323"/>
      <c r="C112" s="2324">
        <f t="shared" si="2"/>
        <v>43.214364443631304</v>
      </c>
      <c r="D112" s="2324">
        <f t="shared" si="2"/>
        <v>2745.7241020715965</v>
      </c>
      <c r="E112" s="2325">
        <f t="shared" si="2"/>
        <v>53.693263391879896</v>
      </c>
      <c r="F112" s="2324"/>
      <c r="G112" s="2324"/>
      <c r="H112" s="2324"/>
      <c r="I112" s="2324"/>
      <c r="J112" s="2324"/>
      <c r="K112" s="2324"/>
      <c r="L112" s="2321"/>
      <c r="M112" s="2321"/>
      <c r="N112" s="2321"/>
      <c r="O112" s="2321"/>
      <c r="P112" s="2321"/>
      <c r="Q112" s="2321"/>
      <c r="R112" s="2321"/>
      <c r="S112" s="2321"/>
      <c r="T112" s="2321"/>
      <c r="U112" s="2321"/>
      <c r="V112" s="2321"/>
      <c r="W112" s="2321"/>
      <c r="X112" s="2321"/>
      <c r="Y112" s="2321"/>
      <c r="Z112" s="2321"/>
      <c r="AA112" s="2321"/>
      <c r="AB112" s="2321"/>
    </row>
    <row r="113" spans="1:28">
      <c r="A113" s="2326" t="s">
        <v>252</v>
      </c>
      <c r="B113" s="2323"/>
      <c r="C113" s="2324">
        <f t="shared" si="2"/>
        <v>48.445836363417122</v>
      </c>
      <c r="D113" s="2324">
        <f t="shared" si="2"/>
        <v>3261.4448213088804</v>
      </c>
      <c r="E113" s="2325">
        <f t="shared" si="2"/>
        <v>54.632416603218722</v>
      </c>
      <c r="F113" s="2324"/>
      <c r="G113" s="2324"/>
      <c r="H113" s="2324"/>
      <c r="I113" s="2324"/>
      <c r="J113" s="2324"/>
      <c r="K113" s="2324"/>
      <c r="L113" s="2321"/>
      <c r="M113" s="2321"/>
      <c r="N113" s="2321"/>
      <c r="O113" s="2321"/>
      <c r="P113" s="2321"/>
      <c r="Q113" s="2321"/>
      <c r="R113" s="2321"/>
      <c r="S113" s="2321"/>
      <c r="T113" s="2321"/>
      <c r="U113" s="2321"/>
      <c r="V113" s="2321"/>
      <c r="W113" s="2321"/>
      <c r="X113" s="2321"/>
      <c r="Y113" s="2321"/>
      <c r="Z113" s="2321"/>
      <c r="AA113" s="2321"/>
      <c r="AB113" s="2321"/>
    </row>
    <row r="114" spans="1:28">
      <c r="A114" s="2326" t="s">
        <v>253</v>
      </c>
      <c r="B114" s="2323"/>
      <c r="C114" s="2324">
        <f t="shared" si="2"/>
        <v>0</v>
      </c>
      <c r="D114" s="2324">
        <f t="shared" si="2"/>
        <v>0</v>
      </c>
      <c r="E114" s="2325">
        <f t="shared" si="2"/>
        <v>0</v>
      </c>
      <c r="F114" s="2324"/>
      <c r="G114" s="2324"/>
      <c r="H114" s="2324"/>
      <c r="I114" s="2324"/>
      <c r="J114" s="2324"/>
      <c r="K114" s="2324"/>
      <c r="L114" s="2321"/>
      <c r="M114" s="2321"/>
      <c r="N114" s="2321"/>
      <c r="O114" s="2321"/>
      <c r="P114" s="2321"/>
      <c r="Q114" s="2321"/>
      <c r="R114" s="2321"/>
      <c r="S114" s="2321"/>
      <c r="T114" s="2321"/>
      <c r="U114" s="2321"/>
      <c r="V114" s="2321"/>
      <c r="W114" s="2321"/>
      <c r="X114" s="2321"/>
      <c r="Y114" s="2321"/>
      <c r="Z114" s="2321"/>
      <c r="AA114" s="2321"/>
      <c r="AB114" s="2321"/>
    </row>
    <row r="115" spans="1:28" ht="15.75">
      <c r="A115" s="2326" t="s">
        <v>1516</v>
      </c>
      <c r="B115" s="2323"/>
      <c r="C115" s="2324">
        <f t="shared" si="2"/>
        <v>1.708558399236304</v>
      </c>
      <c r="D115" s="2324">
        <f t="shared" si="2"/>
        <v>237.52259287806643</v>
      </c>
      <c r="E115" s="2325">
        <f t="shared" si="2"/>
        <v>2.1705279581991226</v>
      </c>
      <c r="F115" s="2324"/>
      <c r="G115" s="2324"/>
      <c r="H115" s="2324"/>
      <c r="I115" s="2324"/>
      <c r="J115" s="2324"/>
      <c r="K115" s="2324"/>
      <c r="L115" s="2321"/>
      <c r="M115" s="2321"/>
      <c r="N115" s="2321"/>
      <c r="O115" s="2321"/>
      <c r="P115" s="2321"/>
      <c r="Q115" s="2321"/>
      <c r="R115" s="2321"/>
      <c r="S115" s="2321"/>
      <c r="T115" s="2321"/>
      <c r="U115" s="2321"/>
      <c r="V115" s="2321"/>
      <c r="W115" s="2321"/>
      <c r="X115" s="2321"/>
      <c r="Y115" s="2321"/>
      <c r="Z115" s="2321"/>
      <c r="AA115" s="2321"/>
      <c r="AB115" s="2321"/>
    </row>
    <row r="116" spans="1:28">
      <c r="A116" s="2326" t="s">
        <v>313</v>
      </c>
      <c r="B116" s="2323"/>
      <c r="C116" s="2324">
        <f t="shared" si="2"/>
        <v>4.7694935505754037</v>
      </c>
      <c r="D116" s="2324">
        <f t="shared" si="2"/>
        <v>663.05165533367483</v>
      </c>
      <c r="E116" s="2325">
        <f t="shared" si="2"/>
        <v>6.0590958451298009</v>
      </c>
      <c r="F116" s="2324"/>
      <c r="G116" s="2324"/>
      <c r="H116" s="2324"/>
      <c r="I116" s="2324"/>
      <c r="J116" s="2324"/>
      <c r="K116" s="2324"/>
      <c r="L116" s="2321"/>
      <c r="M116" s="2321"/>
      <c r="N116" s="2321"/>
      <c r="O116" s="2321"/>
      <c r="P116" s="2321"/>
      <c r="Q116" s="2321"/>
      <c r="R116" s="2321"/>
      <c r="S116" s="2321"/>
      <c r="T116" s="2321"/>
      <c r="U116" s="2321"/>
      <c r="V116" s="2321"/>
      <c r="W116" s="2321"/>
      <c r="X116" s="2321"/>
      <c r="Y116" s="2321"/>
      <c r="Z116" s="2321"/>
      <c r="AA116" s="2321"/>
      <c r="AB116" s="2321"/>
    </row>
    <row r="117" spans="1:28">
      <c r="A117" s="2326" t="s">
        <v>314</v>
      </c>
      <c r="B117" s="2323"/>
      <c r="C117" s="2324">
        <f t="shared" si="2"/>
        <v>4.7694935505754037</v>
      </c>
      <c r="D117" s="2324">
        <f t="shared" si="2"/>
        <v>663.05165533367483</v>
      </c>
      <c r="E117" s="2325">
        <f t="shared" si="2"/>
        <v>6.0590958451298009</v>
      </c>
      <c r="F117" s="2324"/>
      <c r="G117" s="2324"/>
      <c r="H117" s="2324"/>
      <c r="I117" s="2324"/>
      <c r="J117" s="2324"/>
      <c r="K117" s="2324"/>
      <c r="L117" s="2321"/>
      <c r="M117" s="2321"/>
      <c r="N117" s="2321"/>
      <c r="O117" s="2321"/>
      <c r="P117" s="2321"/>
      <c r="Q117" s="2321"/>
      <c r="R117" s="2321"/>
      <c r="S117" s="2321"/>
      <c r="T117" s="2321"/>
      <c r="U117" s="2321"/>
      <c r="V117" s="2321"/>
      <c r="W117" s="2321"/>
      <c r="X117" s="2321"/>
      <c r="Y117" s="2321"/>
      <c r="Z117" s="2321"/>
      <c r="AA117" s="2321"/>
      <c r="AB117" s="2321"/>
    </row>
    <row r="118" spans="1:28">
      <c r="A118" s="2326" t="s">
        <v>297</v>
      </c>
      <c r="B118" s="2323"/>
      <c r="C118" s="2324">
        <f t="shared" si="2"/>
        <v>1.9854272502612942</v>
      </c>
      <c r="D118" s="2324">
        <f t="shared" si="2"/>
        <v>243.29398616702429</v>
      </c>
      <c r="E118" s="2325">
        <f t="shared" si="2"/>
        <v>2.4571784543838677</v>
      </c>
      <c r="F118" s="2324"/>
      <c r="G118" s="2324"/>
      <c r="H118" s="2324"/>
      <c r="I118" s="2324"/>
      <c r="J118" s="2324"/>
      <c r="K118" s="2324"/>
      <c r="L118" s="2321"/>
      <c r="M118" s="2321"/>
      <c r="N118" s="2321"/>
      <c r="O118" s="2321"/>
      <c r="P118" s="2321"/>
      <c r="Q118" s="2321"/>
      <c r="R118" s="2321"/>
      <c r="S118" s="2321"/>
      <c r="T118" s="2321"/>
      <c r="U118" s="2321"/>
      <c r="V118" s="2321"/>
      <c r="W118" s="2321"/>
      <c r="X118" s="2321"/>
      <c r="Y118" s="2321"/>
      <c r="Z118" s="2321"/>
      <c r="AA118" s="2321"/>
      <c r="AB118" s="2321"/>
    </row>
    <row r="119" spans="1:28">
      <c r="A119" s="2326" t="s">
        <v>315</v>
      </c>
      <c r="B119" s="2323"/>
      <c r="C119" s="2324">
        <f t="shared" si="2"/>
        <v>0.94338580084789148</v>
      </c>
      <c r="D119" s="2324">
        <f t="shared" si="2"/>
        <v>65.593436366934426</v>
      </c>
      <c r="E119" s="2325">
        <f t="shared" si="2"/>
        <v>1.0552660332893504</v>
      </c>
      <c r="F119" s="2324"/>
      <c r="G119" s="2324"/>
      <c r="H119" s="2324"/>
      <c r="I119" s="2324"/>
      <c r="J119" s="2324"/>
      <c r="K119" s="2324"/>
      <c r="L119" s="2321"/>
      <c r="M119" s="2321"/>
      <c r="N119" s="2321"/>
      <c r="O119" s="2321"/>
      <c r="P119" s="2321"/>
      <c r="Q119" s="2321"/>
      <c r="R119" s="2321"/>
      <c r="S119" s="2321"/>
      <c r="T119" s="2321"/>
      <c r="U119" s="2321"/>
      <c r="V119" s="2321"/>
      <c r="W119" s="2321"/>
      <c r="X119" s="2321"/>
      <c r="Y119" s="2321"/>
      <c r="Z119" s="2321"/>
      <c r="AA119" s="2321"/>
      <c r="AB119" s="2321"/>
    </row>
    <row r="120" spans="1:28">
      <c r="A120" s="2326" t="s">
        <v>316</v>
      </c>
      <c r="B120" s="2323"/>
      <c r="C120" s="2324">
        <f t="shared" si="2"/>
        <v>0.49828315618951119</v>
      </c>
      <c r="D120" s="2324">
        <f t="shared" si="2"/>
        <v>33.436459984511316</v>
      </c>
      <c r="E120" s="2325">
        <f t="shared" si="2"/>
        <v>0.58294409541955994</v>
      </c>
      <c r="F120" s="2324"/>
      <c r="G120" s="2324"/>
      <c r="H120" s="2324"/>
      <c r="I120" s="2324"/>
      <c r="J120" s="2324"/>
      <c r="K120" s="2324"/>
      <c r="L120" s="2321"/>
      <c r="M120" s="2321"/>
      <c r="N120" s="2321"/>
      <c r="O120" s="2321"/>
      <c r="P120" s="2321"/>
      <c r="Q120" s="2321"/>
      <c r="R120" s="2321"/>
      <c r="S120" s="2321"/>
      <c r="T120" s="2321"/>
      <c r="U120" s="2321"/>
      <c r="V120" s="2321"/>
      <c r="W120" s="2321"/>
      <c r="X120" s="2321"/>
      <c r="Y120" s="2321"/>
      <c r="Z120" s="2321"/>
      <c r="AA120" s="2321"/>
      <c r="AB120" s="2321"/>
    </row>
    <row r="121" spans="1:28">
      <c r="A121" s="2326" t="s">
        <v>251</v>
      </c>
      <c r="B121" s="2323"/>
      <c r="C121" s="2324">
        <f t="shared" si="2"/>
        <v>1.0933789637336677</v>
      </c>
      <c r="D121" s="2324">
        <f t="shared" si="2"/>
        <v>9.9019728236250995</v>
      </c>
      <c r="E121" s="2325">
        <f t="shared" si="2"/>
        <v>1.2642552460162706</v>
      </c>
      <c r="F121" s="2324"/>
      <c r="G121" s="2324"/>
      <c r="H121" s="2324"/>
      <c r="I121" s="2324"/>
      <c r="J121" s="2324"/>
      <c r="K121" s="2324"/>
      <c r="L121" s="2321"/>
      <c r="M121" s="2321"/>
      <c r="N121" s="2321"/>
      <c r="O121" s="2321"/>
      <c r="P121" s="2321"/>
      <c r="Q121" s="2321"/>
      <c r="R121" s="2321"/>
      <c r="S121" s="2321"/>
      <c r="T121" s="2321"/>
      <c r="U121" s="2321"/>
      <c r="V121" s="2321"/>
      <c r="W121" s="2321"/>
      <c r="X121" s="2321"/>
      <c r="Y121" s="2321"/>
      <c r="Z121" s="2321"/>
      <c r="AA121" s="2321"/>
      <c r="AB121" s="2321"/>
    </row>
    <row r="122" spans="1:28">
      <c r="A122" s="2326" t="s">
        <v>317</v>
      </c>
      <c r="B122" s="2323"/>
      <c r="C122" s="2324">
        <f t="shared" si="2"/>
        <v>2.9789917594517985</v>
      </c>
      <c r="D122" s="2324">
        <f t="shared" si="2"/>
        <v>86.090024946435079</v>
      </c>
      <c r="E122" s="2325">
        <f t="shared" si="2"/>
        <v>3.6190193749717663</v>
      </c>
      <c r="F122" s="2324"/>
      <c r="G122" s="2324"/>
      <c r="H122" s="2324"/>
      <c r="I122" s="2324"/>
      <c r="J122" s="2324"/>
      <c r="K122" s="2324"/>
      <c r="L122" s="2321"/>
      <c r="M122" s="2321"/>
      <c r="N122" s="2321"/>
      <c r="O122" s="2321"/>
      <c r="P122" s="2321"/>
      <c r="Q122" s="2321"/>
      <c r="R122" s="2321"/>
      <c r="S122" s="2321"/>
      <c r="T122" s="2321"/>
      <c r="U122" s="2321"/>
      <c r="V122" s="2321"/>
      <c r="W122" s="2321"/>
      <c r="X122" s="2321"/>
      <c r="Y122" s="2321"/>
      <c r="Z122" s="2321"/>
      <c r="AA122" s="2321"/>
      <c r="AB122" s="2321"/>
    </row>
    <row r="123" spans="1:28">
      <c r="A123" s="2326" t="s">
        <v>318</v>
      </c>
      <c r="B123" s="2323"/>
      <c r="C123" s="2324">
        <f t="shared" si="2"/>
        <v>15.011573020478814</v>
      </c>
      <c r="D123" s="2324">
        <f t="shared" si="2"/>
        <v>396.01476551767365</v>
      </c>
      <c r="E123" s="2325">
        <f t="shared" si="2"/>
        <v>14.695654910902979</v>
      </c>
      <c r="F123" s="2324"/>
      <c r="G123" s="2324"/>
      <c r="H123" s="2324"/>
      <c r="I123" s="2324"/>
      <c r="J123" s="2324"/>
      <c r="K123" s="2324"/>
      <c r="L123" s="2321"/>
      <c r="M123" s="2321"/>
      <c r="N123" s="2321"/>
      <c r="O123" s="2321"/>
      <c r="P123" s="2321"/>
      <c r="Q123" s="2321"/>
      <c r="R123" s="2321"/>
      <c r="S123" s="2321"/>
      <c r="T123" s="2321"/>
      <c r="U123" s="2321"/>
      <c r="V123" s="2321"/>
      <c r="W123" s="2321"/>
      <c r="X123" s="2321"/>
      <c r="Y123" s="2321"/>
      <c r="Z123" s="2321"/>
      <c r="AA123" s="2321"/>
      <c r="AB123" s="2321"/>
    </row>
    <row r="124" spans="1:28">
      <c r="A124" s="2327" t="s">
        <v>319</v>
      </c>
      <c r="B124" s="2328"/>
      <c r="C124" s="2329">
        <f t="shared" ref="C124:E124" si="3">C62*C$34</f>
        <v>8.5583450108341523</v>
      </c>
      <c r="D124" s="2329">
        <f t="shared" si="3"/>
        <v>18.747543857481119</v>
      </c>
      <c r="E124" s="2330">
        <f t="shared" si="3"/>
        <v>8.5583450108399788</v>
      </c>
      <c r="F124" s="2324"/>
      <c r="G124" s="2324"/>
      <c r="H124" s="2324"/>
      <c r="I124" s="2324"/>
      <c r="J124" s="2324"/>
      <c r="K124" s="2324"/>
      <c r="L124" s="2321"/>
      <c r="M124" s="2321"/>
      <c r="N124" s="2321"/>
      <c r="O124" s="2321"/>
      <c r="P124" s="2321"/>
      <c r="Q124" s="2321"/>
      <c r="R124" s="2321"/>
      <c r="S124" s="2321"/>
      <c r="T124" s="2321"/>
      <c r="U124" s="2321"/>
      <c r="V124" s="2321"/>
      <c r="W124" s="2321"/>
      <c r="X124" s="2321"/>
      <c r="Y124" s="2321"/>
      <c r="Z124" s="2321"/>
      <c r="AA124" s="2321"/>
      <c r="AB124" s="2321"/>
    </row>
    <row r="125" spans="1:28">
      <c r="A125" s="2228" t="s">
        <v>1501</v>
      </c>
      <c r="B125" s="2172"/>
      <c r="C125" s="2251"/>
      <c r="D125" s="2251"/>
      <c r="E125" s="2186"/>
      <c r="F125" s="2136"/>
      <c r="G125" s="2136"/>
      <c r="H125" s="2136"/>
      <c r="I125" s="2136"/>
      <c r="J125" s="2136"/>
      <c r="K125" s="2136"/>
      <c r="L125" s="2321"/>
      <c r="M125" s="2321"/>
      <c r="N125" s="2321"/>
      <c r="O125" s="2321"/>
      <c r="P125" s="2321"/>
      <c r="Q125" s="2321"/>
      <c r="R125" s="2321"/>
      <c r="S125" s="2321"/>
      <c r="T125" s="2321"/>
      <c r="U125" s="2321"/>
      <c r="V125" s="2321"/>
      <c r="W125" s="2321"/>
      <c r="X125" s="2321"/>
      <c r="Y125" s="2321"/>
      <c r="Z125" s="2321"/>
      <c r="AA125" s="2321"/>
      <c r="AB125" s="2321"/>
    </row>
    <row r="126" spans="1:28">
      <c r="A126" s="2229" t="s">
        <v>816</v>
      </c>
      <c r="B126" s="2151"/>
      <c r="C126" s="2136">
        <f ca="1" xml:space="preserve"> ((((C$108*(IF(MHDV_Inputs!$C$98=1,Mat_Sum!$BW15,IF(MHDV_Inputs!$C$98=2,Mat_Sum!$BV15,IF(MHDV_Inputs!$C$98=3,Mat_Sum!$BU15,Mat_Sum!$BT15))))))+(C$108*LiMn2O4!$E$9*Mat_Sum!$CE15)+(C$109*Mat_Sum!$CF15)+(C$110*Mat_Sum!$CO15)+(C$111*Mat_Sum!$CG15)+(C$112*Mat_Sum!$AG15)+(C$113*Mat_Sum!$I15)+(C$114*Mat_Sum!$L15)+(C$115*Mat_Sum!$CI15)+(C$116*Mat_Sum!$CJ15)+(C$117*Mat_Sum!$CK15)+(C$118*Mat_Sum!$AQ15)+(C$119*Mat_Sum!$AO15)+(C$120*Mat_Sum!$AP15)+(C$121*Mat_Sum!$D15)+(C$122*Mat_Sum!$BE15)+(C$123*Mat_Sum!$CM15)+(C$124*Mat_Sum!$CL15))+(Battery_Assembly!$F61*$C$34/2.2046*$B$27/1000))*(1+$C$16)</f>
        <v>21.169330258004365</v>
      </c>
      <c r="D126" s="2136">
        <f ca="1" xml:space="preserve"> (((((D$108*(IF(MHDV_Inputs!$C$99=1,Mat_Sum!$BW15,IF(MHDV_Inputs!$C$99=2,Mat_Sum!$BV15,IF(MHDV_Inputs!$C$99=3,Mat_Sum!$BU15,Mat_Sum!$BT15))))))))+(D$108*LiMn2O4!$E$9*Mat_Sum!$CE15)+(D$109*Mat_Sum!$CF15)+(D$110*Mat_Sum!$CO15)+(D$111*Mat_Sum!$CG15)+(D$112*Mat_Sum!$AG15)+(D$113*Mat_Sum!$I15)+(D$114*Mat_Sum!$L15)+(D$115*Mat_Sum!$CI15)+(D$116*Mat_Sum!$CJ15)+(D$117*Mat_Sum!$CK15)+(D$118*Mat_Sum!$AQ15)+(D$119*Mat_Sum!$AO15)+(D$120*Mat_Sum!$AP15)+(D$121*Mat_Sum!$D15)+(D$122*Mat_Sum!$BE15)+(D$123*Mat_Sum!$CM15)+(D$124*Mat_Sum!$CL15)+(Battery_Assembly!$F61*$B$11))*(1+$C$17)</f>
        <v>2969.1269153253984</v>
      </c>
      <c r="E126" s="2185">
        <f ca="1" xml:space="preserve"> ((((E$108*(IF(MHDV_Inputs!$C$100=1,Mat_Sum!$BW15,IF(MHDV_Inputs!$C$100=2,Mat_Sum!$BV15,IF(MHDV_Inputs!$C$100=3,Mat_Sum!$BU15,Mat_Sum!$BT15))))))+(E$108*LiMn2O4!$E$9*Mat_Sum!$CE15)+(E$109*Mat_Sum!$CF15)+(E$110*Mat_Sum!$CO15)+(E$111*Mat_Sum!$CG15)+(E$112*Mat_Sum!$AG15)+(E$113*Mat_Sum!$I15)+(E$114*Mat_Sum!$L15)+(E$115*Mat_Sum!$CI15)+(E$116*Mat_Sum!$CJ15)+(E$117*Mat_Sum!$CK15)+(E$118*Mat_Sum!$AQ15)+(E$119*Mat_Sum!$AO15)+(E$120*Mat_Sum!$AP15)+(E$121*Mat_Sum!$D15)+(E$122*Mat_Sum!$BE15)+(E$123*Mat_Sum!$CM15)+(E$124*Mat_Sum!$CL15))+(Battery_Assembly!$F61*$E$34/2.2046*$B$29/1000))*(1+$C$18)</f>
        <v>25.377810721440213</v>
      </c>
      <c r="F126" s="2136"/>
      <c r="G126" s="2136"/>
      <c r="H126" s="2136"/>
      <c r="I126" s="2136"/>
      <c r="J126" s="2136"/>
      <c r="K126" s="2136"/>
      <c r="L126" s="2321"/>
      <c r="M126" s="2321"/>
      <c r="N126" s="2321"/>
      <c r="O126" s="2321"/>
      <c r="P126" s="2331"/>
      <c r="Q126" s="2331"/>
      <c r="R126" s="2321"/>
      <c r="S126" s="2321"/>
      <c r="T126" s="2321"/>
      <c r="U126" s="2321"/>
      <c r="V126" s="2321"/>
      <c r="W126" s="2321"/>
      <c r="X126" s="2321"/>
      <c r="Y126" s="2321"/>
      <c r="Z126" s="2321"/>
      <c r="AA126" s="2321"/>
      <c r="AB126" s="2321"/>
    </row>
    <row r="127" spans="1:28">
      <c r="A127" s="2229" t="s">
        <v>817</v>
      </c>
      <c r="B127" s="2151"/>
      <c r="C127" s="2136">
        <f ca="1" xml:space="preserve"> ((((C$108*(IF(MHDV_Inputs!$C$98=1,Mat_Sum!$BW16,IF(MHDV_Inputs!$C$98=2,Mat_Sum!$BV16,IF(MHDV_Inputs!$C$98=3,Mat_Sum!$BU16,Mat_Sum!$BT16))))))+(C$108*LiMn2O4!$E$9*Mat_Sum!$CE16)+(C$109*Mat_Sum!$CF16)+(C$110*Mat_Sum!$CO16)+(C$111*Mat_Sum!$CG16)+(C$112*Mat_Sum!$AG16)+(C$113*Mat_Sum!$I16)+(C$114*Mat_Sum!$L16)+(C$115*Mat_Sum!$CI16)+(C$116*Mat_Sum!$CJ16)+(C$117*Mat_Sum!$CK16)+(C$118*Mat_Sum!$AQ16)+(C$119*Mat_Sum!$AO16)+(C$120*Mat_Sum!$AP16)+(C$121*Mat_Sum!$D16)+(C$122*Mat_Sum!$BE16)+(C$123*Mat_Sum!$CM16)+(C$124*Mat_Sum!$CL16))+(Battery_Assembly!$F62*$C$34/2.2046*$B$27/1000))*(1+$C$16)</f>
        <v>17.808701045070304</v>
      </c>
      <c r="D127" s="2136">
        <f ca="1" xml:space="preserve"> (((((D$108*(IF(MHDV_Inputs!$C$99=1,Mat_Sum!$BW16,IF(MHDV_Inputs!$C$99=2,Mat_Sum!$BV16,IF(MHDV_Inputs!$C$99=3,Mat_Sum!$BU16,Mat_Sum!$BT16))))))))+(D$108*LiMn2O4!$E$9*Mat_Sum!$CE16)+(D$109*Mat_Sum!$CF16)+(D$110*Mat_Sum!$CO16)+(D$111*Mat_Sum!$CG16)+(D$112*Mat_Sum!$AG16)+(D$113*Mat_Sum!$I16)+(D$114*Mat_Sum!$L16)+(D$115*Mat_Sum!$CI16)+(D$116*Mat_Sum!$CJ16)+(D$117*Mat_Sum!$CK16)+(D$118*Mat_Sum!$AQ16)+(D$119*Mat_Sum!$AO16)+(D$120*Mat_Sum!$AP16)+(D$121*Mat_Sum!$D16)+(D$122*Mat_Sum!$BE16)+(D$123*Mat_Sum!$CM16)+(D$124*Mat_Sum!$CL16)+(Battery_Assembly!$F62*$B$11))*(1+$C$17)</f>
        <v>2642.2197299402937</v>
      </c>
      <c r="E127" s="2185">
        <f ca="1" xml:space="preserve"> ((((E$108*(IF(MHDV_Inputs!$C$100=1,Mat_Sum!$BW16,IF(MHDV_Inputs!$C$100=2,Mat_Sum!$BV16,IF(MHDV_Inputs!$C$100=3,Mat_Sum!$BU16,Mat_Sum!$BT16))))))+(E$108*LiMn2O4!$E$9*Mat_Sum!$CE16)+(E$109*Mat_Sum!$CF16)+(E$110*Mat_Sum!$CO16)+(E$111*Mat_Sum!$CG16)+(E$112*Mat_Sum!$AG16)+(E$113*Mat_Sum!$I16)+(E$114*Mat_Sum!$L16)+(E$115*Mat_Sum!$CI16)+(E$116*Mat_Sum!$CJ16)+(E$117*Mat_Sum!$CK16)+(E$118*Mat_Sum!$AQ16)+(E$119*Mat_Sum!$AO16)+(E$120*Mat_Sum!$AP16)+(E$121*Mat_Sum!$D16)+(E$122*Mat_Sum!$BE16)+(E$123*Mat_Sum!$CM16)+(E$124*Mat_Sum!$CL16))+(Battery_Assembly!$F62*$E$34/2.2046*$B$29/1000))*(1+$C$18)</f>
        <v>21.488805586966869</v>
      </c>
      <c r="F127" s="2136"/>
      <c r="G127" s="2136"/>
      <c r="H127" s="2136"/>
      <c r="I127" s="2136"/>
      <c r="J127" s="2136"/>
      <c r="K127" s="2268"/>
      <c r="L127" s="2268"/>
      <c r="M127" s="2268"/>
      <c r="N127" s="2321"/>
      <c r="O127" s="2321"/>
      <c r="P127" s="2331"/>
      <c r="Q127" s="2331"/>
      <c r="R127" s="2321"/>
      <c r="S127" s="2321"/>
      <c r="T127" s="2321"/>
      <c r="U127" s="2321"/>
      <c r="V127" s="2321"/>
      <c r="W127" s="2321"/>
      <c r="X127" s="2321"/>
      <c r="Y127" s="2321"/>
      <c r="Z127" s="2321"/>
      <c r="AA127" s="2321"/>
      <c r="AB127" s="2321"/>
    </row>
    <row r="128" spans="1:28">
      <c r="A128" s="2229" t="s">
        <v>805</v>
      </c>
      <c r="B128" s="2151"/>
      <c r="C128" s="2136">
        <f ca="1" xml:space="preserve"> ((((C$108*(IF(MHDV_Inputs!$C$98=1,Mat_Sum!$BW17,IF(MHDV_Inputs!$C$98=2,Mat_Sum!$BV17,IF(MHDV_Inputs!$C$98=3,Mat_Sum!$BU17,Mat_Sum!$BT17))))))+(C$108*LiMn2O4!$E$9*Mat_Sum!$CE17)+(C$109*Mat_Sum!$CF17)+(C$110*Mat_Sum!$CO17)+(C$111*Mat_Sum!$CG17)+(C$112*Mat_Sum!$AG17)+(C$113*Mat_Sum!$I17)+(C$114*Mat_Sum!$L17)+(C$115*Mat_Sum!$CI17)+(C$116*Mat_Sum!$CJ17)+(C$117*Mat_Sum!$CK17)+(C$118*Mat_Sum!$AQ17)+(C$119*Mat_Sum!$AO17)+(C$120*Mat_Sum!$AP17)+(C$121*Mat_Sum!$D17)+(C$122*Mat_Sum!$BE17)+(C$123*Mat_Sum!$CM17)+(C$124*Mat_Sum!$CL17))+(Battery_Assembly!$F63*$C$34/2.2046*$B$27/1000))*(1+$C$16)</f>
        <v>4.6076033881465763</v>
      </c>
      <c r="D128" s="2136">
        <f ca="1" xml:space="preserve"> (((((D$108*(IF(MHDV_Inputs!$C$99=1,Mat_Sum!$BW17,IF(MHDV_Inputs!$C$99=2,Mat_Sum!$BV17,IF(MHDV_Inputs!$C$99=3,Mat_Sum!$BU17,Mat_Sum!$BT17))))))))+(D$108*LiMn2O4!$E$9*Mat_Sum!$CE17)+(D$109*Mat_Sum!$CF17)+(D$110*Mat_Sum!$CO17)+(D$111*Mat_Sum!$CG17)+(D$112*Mat_Sum!$AG17)+(D$113*Mat_Sum!$I17)+(D$114*Mat_Sum!$L17)+(D$115*Mat_Sum!$CI17)+(D$116*Mat_Sum!$CJ17)+(D$117*Mat_Sum!$CK17)+(D$118*Mat_Sum!$AQ17)+(D$119*Mat_Sum!$AO17)+(D$120*Mat_Sum!$AP17)+(D$121*Mat_Sum!$D17)+(D$122*Mat_Sum!$BE17)+(D$123*Mat_Sum!$CM17)+(D$124*Mat_Sum!$CL17)+(Battery_Assembly!$F63*$B$11))*(1+$C$17)</f>
        <v>654.37082574580495</v>
      </c>
      <c r="E128" s="2185">
        <f ca="1" xml:space="preserve"> ((((E$108*(IF(MHDV_Inputs!$C$100=1,Mat_Sum!$BW17,IF(MHDV_Inputs!$C$100=2,Mat_Sum!$BV17,IF(MHDV_Inputs!$C$100=3,Mat_Sum!$BU17,Mat_Sum!$BT17))))))+(E$108*LiMn2O4!$E$9*Mat_Sum!$CE17)+(E$109*Mat_Sum!$CF17)+(E$110*Mat_Sum!$CO17)+(E$111*Mat_Sum!$CG17)+(E$112*Mat_Sum!$AG17)+(E$113*Mat_Sum!$I17)+(E$114*Mat_Sum!$L17)+(E$115*Mat_Sum!$CI17)+(E$116*Mat_Sum!$CJ17)+(E$117*Mat_Sum!$CK17)+(E$118*Mat_Sum!$AQ17)+(E$119*Mat_Sum!$AO17)+(E$120*Mat_Sum!$AP17)+(E$121*Mat_Sum!$D17)+(E$122*Mat_Sum!$BE17)+(E$123*Mat_Sum!$CM17)+(E$124*Mat_Sum!$CL17))+(Battery_Assembly!$F63*$E$34/2.2046*$B$29/1000))*(1+$C$18)</f>
        <v>5.545889228351319</v>
      </c>
      <c r="F128" s="2136"/>
      <c r="G128" s="2136"/>
      <c r="H128" s="2136"/>
      <c r="I128" s="2136"/>
      <c r="J128" s="2136"/>
      <c r="K128" s="2268"/>
      <c r="L128" s="2268"/>
      <c r="M128" s="2268"/>
      <c r="N128" s="2321"/>
      <c r="O128" s="2321"/>
      <c r="P128" s="2331"/>
      <c r="Q128" s="2331"/>
      <c r="R128" s="2321"/>
      <c r="S128" s="2321"/>
      <c r="T128" s="2321"/>
      <c r="U128" s="2321"/>
      <c r="V128" s="2321"/>
      <c r="W128" s="2321"/>
      <c r="X128" s="2321"/>
      <c r="Y128" s="2321"/>
      <c r="Z128" s="2321"/>
      <c r="AA128" s="2321"/>
      <c r="AB128" s="2321"/>
    </row>
    <row r="129" spans="1:28">
      <c r="A129" s="2229" t="s">
        <v>804</v>
      </c>
      <c r="B129" s="2151"/>
      <c r="C129" s="2136">
        <f ca="1" xml:space="preserve"> ((((C$108*(IF(MHDV_Inputs!$C$98=1,Mat_Sum!$BW18,IF(MHDV_Inputs!$C$98=2,Mat_Sum!$BV18,IF(MHDV_Inputs!$C$98=3,Mat_Sum!$BU18,Mat_Sum!$BT18))))))+(C$108*LiMn2O4!$E$9*Mat_Sum!$CE18)+(C$109*Mat_Sum!$CF18)+(C$110*Mat_Sum!$CO18)+(C$111*Mat_Sum!$CG18)+(C$112*Mat_Sum!$AG18)+(C$113*Mat_Sum!$I18)+(C$114*Mat_Sum!$L18)+(C$115*Mat_Sum!$CI18)+(C$116*Mat_Sum!$CJ18)+(C$117*Mat_Sum!$CK18)+(C$118*Mat_Sum!$AQ18)+(C$119*Mat_Sum!$AO18)+(C$120*Mat_Sum!$AP18)+(C$121*Mat_Sum!$D18)+(C$122*Mat_Sum!$BE18)+(C$123*Mat_Sum!$CM18)+(C$124*Mat_Sum!$CL18))+(Battery_Assembly!$F64*$C$34/2.2046*$B$27/1000))*(1+$C$16)</f>
        <v>10.474693983869592</v>
      </c>
      <c r="D129" s="2136">
        <f ca="1" xml:space="preserve"> (((((D$108*(IF(MHDV_Inputs!$C$99=1,Mat_Sum!$BW18,IF(MHDV_Inputs!$C$99=2,Mat_Sum!$BV18,IF(MHDV_Inputs!$C$99=3,Mat_Sum!$BU18,Mat_Sum!$BT18))))))))+(D$108*LiMn2O4!$E$9*Mat_Sum!$CE18)+(D$109*Mat_Sum!$CF18)+(D$110*Mat_Sum!$CO18)+(D$111*Mat_Sum!$CG18)+(D$112*Mat_Sum!$AG18)+(D$113*Mat_Sum!$I18)+(D$114*Mat_Sum!$L18)+(D$115*Mat_Sum!$CI18)+(D$116*Mat_Sum!$CJ18)+(D$117*Mat_Sum!$CK18)+(D$118*Mat_Sum!$AQ18)+(D$119*Mat_Sum!$AO18)+(D$120*Mat_Sum!$AP18)+(D$121*Mat_Sum!$D18)+(D$122*Mat_Sum!$BE18)+(D$123*Mat_Sum!$CM18)+(D$124*Mat_Sum!$CL18)+(Battery_Assembly!$F64*$B$11))*(1+$C$17)</f>
        <v>1540.7310640486007</v>
      </c>
      <c r="E129" s="2185">
        <f ca="1" xml:space="preserve"> ((((E$108*(IF(MHDV_Inputs!$C$100=1,Mat_Sum!$BW18,IF(MHDV_Inputs!$C$100=2,Mat_Sum!$BV18,IF(MHDV_Inputs!$C$100=3,Mat_Sum!$BU18,Mat_Sum!$BT18))))))+(E$108*LiMn2O4!$E$9*Mat_Sum!$CE18)+(E$109*Mat_Sum!$CF18)+(E$110*Mat_Sum!$CO18)+(E$111*Mat_Sum!$CG18)+(E$112*Mat_Sum!$AG18)+(E$113*Mat_Sum!$I18)+(E$114*Mat_Sum!$L18)+(E$115*Mat_Sum!$CI18)+(E$116*Mat_Sum!$CJ18)+(E$117*Mat_Sum!$CK18)+(E$118*Mat_Sum!$AQ18)+(E$119*Mat_Sum!$AO18)+(E$120*Mat_Sum!$AP18)+(E$121*Mat_Sum!$D18)+(E$122*Mat_Sum!$BE18)+(E$123*Mat_Sum!$CM18)+(E$124*Mat_Sum!$CL18))+(Battery_Assembly!$F64*$E$34/2.2046*$B$29/1000))*(1+$C$18)</f>
        <v>12.590780259205399</v>
      </c>
      <c r="F129" s="2136"/>
      <c r="G129" s="2136"/>
      <c r="H129" s="2136"/>
      <c r="I129" s="2136"/>
      <c r="J129" s="2136"/>
      <c r="K129" s="2268"/>
      <c r="L129" s="2268"/>
      <c r="M129" s="2268"/>
      <c r="N129" s="2321"/>
      <c r="O129" s="2321"/>
      <c r="P129" s="2331"/>
      <c r="Q129" s="2331"/>
      <c r="R129" s="2321"/>
      <c r="S129" s="2321"/>
      <c r="T129" s="2321"/>
      <c r="U129" s="2321"/>
      <c r="V129" s="2321"/>
      <c r="W129" s="2321"/>
      <c r="X129" s="2321"/>
      <c r="Y129" s="2321"/>
      <c r="Z129" s="2321"/>
      <c r="AA129" s="2321"/>
      <c r="AB129" s="2321"/>
    </row>
    <row r="130" spans="1:28">
      <c r="A130" s="2229" t="s">
        <v>818</v>
      </c>
      <c r="B130" s="2151"/>
      <c r="C130" s="2136">
        <f ca="1" xml:space="preserve"> ((((C$108*(IF(MHDV_Inputs!$C$98=1,Mat_Sum!$BW19,IF(MHDV_Inputs!$C$98=2,Mat_Sum!$BV19,IF(MHDV_Inputs!$C$98=3,Mat_Sum!$BU19,Mat_Sum!$BT19))))))+(C$108*LiMn2O4!$E$9*Mat_Sum!$CE19)+(C$109*Mat_Sum!$CF19)+(C$110*Mat_Sum!$CO19)+(C$111*Mat_Sum!$CG19)+(C$112*Mat_Sum!$AG19)+(C$113*Mat_Sum!$I19)+(C$114*Mat_Sum!$L19)+(C$115*Mat_Sum!$CI19)+(C$116*Mat_Sum!$CJ19)+(C$117*Mat_Sum!$CK19)+(C$118*Mat_Sum!$AQ19)+(C$119*Mat_Sum!$AO19)+(C$120*Mat_Sum!$AP19)+(C$121*Mat_Sum!$D19)+(C$122*Mat_Sum!$BE19)+(C$123*Mat_Sum!$CM19)+(C$124*Mat_Sum!$CL19))+(Battery_Assembly!$F65*$C$34/2.2046*$B$27/1000))*(1+$C$16)</f>
        <v>2.7264036730541386</v>
      </c>
      <c r="D130" s="2136">
        <f ca="1" xml:space="preserve"> (((((D$108*(IF(MHDV_Inputs!$C$99=1,Mat_Sum!$BW19,IF(MHDV_Inputs!$C$99=2,Mat_Sum!$BV19,IF(MHDV_Inputs!$C$99=3,Mat_Sum!$BU19,Mat_Sum!$BT19))))))))+(D$108*LiMn2O4!$E$9*Mat_Sum!$CE19)+(D$109*Mat_Sum!$CF19)+(D$110*Mat_Sum!$CO19)+(D$111*Mat_Sum!$CG19)+(D$112*Mat_Sum!$AG19)+(D$113*Mat_Sum!$I19)+(D$114*Mat_Sum!$L19)+(D$115*Mat_Sum!$CI19)+(D$116*Mat_Sum!$CJ19)+(D$117*Mat_Sum!$CK19)+(D$118*Mat_Sum!$AQ19)+(D$119*Mat_Sum!$AO19)+(D$120*Mat_Sum!$AP19)+(D$121*Mat_Sum!$D19)+(D$122*Mat_Sum!$BE19)+(D$123*Mat_Sum!$CM19)+(D$124*Mat_Sum!$CL19)+(Battery_Assembly!$F65*$B$11))*(1+$C$17)</f>
        <v>447.11784014588795</v>
      </c>
      <c r="E130" s="2185">
        <f ca="1" xml:space="preserve"> ((((E$108*(IF(MHDV_Inputs!$C$100=1,Mat_Sum!$BW19,IF(MHDV_Inputs!$C$100=2,Mat_Sum!$BV19,IF(MHDV_Inputs!$C$100=3,Mat_Sum!$BU19,Mat_Sum!$BT19))))))+(E$108*LiMn2O4!$E$9*Mat_Sum!$CE19)+(E$109*Mat_Sum!$CF19)+(E$110*Mat_Sum!$CO19)+(E$111*Mat_Sum!$CG19)+(E$112*Mat_Sum!$AG19)+(E$113*Mat_Sum!$I19)+(E$114*Mat_Sum!$L19)+(E$115*Mat_Sum!$CI19)+(E$116*Mat_Sum!$CJ19)+(E$117*Mat_Sum!$CK19)+(E$118*Mat_Sum!$AQ19)+(E$119*Mat_Sum!$AO19)+(E$120*Mat_Sum!$AP19)+(E$121*Mat_Sum!$D19)+(E$122*Mat_Sum!$BE19)+(E$123*Mat_Sum!$CM19)+(E$124*Mat_Sum!$CL19))+(Battery_Assembly!$F65*$E$34/2.2046*$B$29/1000))*(1+$C$18)</f>
        <v>3.3521360994101479</v>
      </c>
      <c r="F130" s="2136"/>
      <c r="G130" s="2136"/>
      <c r="H130" s="2136"/>
      <c r="I130" s="2136"/>
      <c r="J130" s="2136"/>
      <c r="K130" s="2268"/>
      <c r="L130" s="2268"/>
      <c r="M130" s="2268"/>
      <c r="N130" s="2321"/>
      <c r="O130" s="2321"/>
      <c r="P130" s="2331"/>
      <c r="Q130" s="2331"/>
      <c r="R130" s="2321"/>
      <c r="S130" s="2321"/>
      <c r="T130" s="2321"/>
      <c r="U130" s="2321"/>
      <c r="V130" s="2321"/>
      <c r="W130" s="2321"/>
      <c r="X130" s="2321"/>
      <c r="Y130" s="2321"/>
      <c r="Z130" s="2321"/>
      <c r="AA130" s="2321"/>
      <c r="AB130" s="2321"/>
    </row>
    <row r="131" spans="1:28">
      <c r="A131" s="2234" t="s">
        <v>819</v>
      </c>
      <c r="B131" s="2318"/>
      <c r="C131" s="2136">
        <f ca="1" xml:space="preserve"> ((((C$108*(IF(MHDV_Inputs!$C$98=1,Mat_Sum!$BW20,IF(MHDV_Inputs!$C$98=2,Mat_Sum!$BV20,IF(MHDV_Inputs!$C$98=3,Mat_Sum!$BU20,Mat_Sum!$BT20))))))+(C$108*LiMn2O4!$E$9*Mat_Sum!$CE20)+(C$109*Mat_Sum!$CF20)+(C$110*Mat_Sum!$CO20)+(C$111*Mat_Sum!$CG20)+(C$112*Mat_Sum!$AG20)+(C$113*Mat_Sum!$I20)+(C$114*Mat_Sum!$L20)+(C$115*Mat_Sum!$CI20)+(C$116*Mat_Sum!$CJ20)+(C$117*Mat_Sum!$CK20)+(C$118*Mat_Sum!$AQ20)+(C$119*Mat_Sum!$AO20)+(C$120*Mat_Sum!$AP20)+(C$121*Mat_Sum!$D20)+(C$122*Mat_Sum!$BE20)+(C$123*Mat_Sum!$CM20)+(C$124*Mat_Sum!$CL20))+(Battery_Assembly!$F66*$C$34/2.2046*$B$27/1000))*(1+$C$16)</f>
        <v>2058.4921503244859</v>
      </c>
      <c r="D131" s="2136">
        <f ca="1" xml:space="preserve"> (((((D$108*(IF(MHDV_Inputs!$C$99=1,Mat_Sum!$BW20,IF(MHDV_Inputs!$C$99=2,Mat_Sum!$BV20,IF(MHDV_Inputs!$C$99=3,Mat_Sum!$BU20,Mat_Sum!$BT20))))))))+(D$108*LiMn2O4!$E$9*Mat_Sum!$CE20)+(D$109*Mat_Sum!$CF20)+(D$110*Mat_Sum!$CO20)+(D$111*Mat_Sum!$CG20)+(D$112*Mat_Sum!$AG20)+(D$113*Mat_Sum!$I20)+(D$114*Mat_Sum!$L20)+(D$115*Mat_Sum!$CI20)+(D$116*Mat_Sum!$CJ20)+(D$117*Mat_Sum!$CK20)+(D$118*Mat_Sum!$AQ20)+(D$119*Mat_Sum!$AO20)+(D$120*Mat_Sum!$AP20)+(D$121*Mat_Sum!$D20)+(D$122*Mat_Sum!$BE20)+(D$123*Mat_Sum!$CM20)+(D$124*Mat_Sum!$CL20)+(Battery_Assembly!$F66*$B$11))*(1+$C$17)</f>
        <v>246254.85045759814</v>
      </c>
      <c r="E131" s="2185">
        <f ca="1" xml:space="preserve"> ((((E$108*(IF(MHDV_Inputs!$C$100=1,Mat_Sum!$BW20,IF(MHDV_Inputs!$C$100=2,Mat_Sum!$BV20,IF(MHDV_Inputs!$C$100=3,Mat_Sum!$BU20,Mat_Sum!$BT20))))))+(E$108*LiMn2O4!$E$9*Mat_Sum!$CE20)+(E$109*Mat_Sum!$CF20)+(E$110*Mat_Sum!$CO20)+(E$111*Mat_Sum!$CG20)+(E$112*Mat_Sum!$AG20)+(E$113*Mat_Sum!$I20)+(E$114*Mat_Sum!$L20)+(E$115*Mat_Sum!$CI20)+(E$116*Mat_Sum!$CJ20)+(E$117*Mat_Sum!$CK20)+(E$118*Mat_Sum!$AQ20)+(E$119*Mat_Sum!$AO20)+(E$120*Mat_Sum!$AP20)+(E$121*Mat_Sum!$D20)+(E$122*Mat_Sum!$BE20)+(E$123*Mat_Sum!$CM20)+(E$124*Mat_Sum!$CL20))+(Battery_Assembly!$F66*$E$34/2.2046*$B$29/1000))*(1+$C$18)</f>
        <v>2426.2168652309679</v>
      </c>
      <c r="F131" s="2136"/>
      <c r="G131" s="2136"/>
      <c r="H131" s="2136"/>
      <c r="I131" s="2136"/>
      <c r="J131" s="2136"/>
      <c r="K131" s="2268"/>
      <c r="L131" s="2268"/>
      <c r="M131" s="2268"/>
      <c r="N131" s="2321"/>
      <c r="O131" s="2321"/>
      <c r="P131" s="2331"/>
      <c r="Q131" s="2331"/>
      <c r="R131" s="2321"/>
      <c r="S131" s="2321"/>
      <c r="T131" s="2321"/>
      <c r="U131" s="2321"/>
      <c r="V131" s="2321"/>
      <c r="W131" s="2321"/>
      <c r="X131" s="2321"/>
      <c r="Y131" s="2321"/>
      <c r="Z131" s="2321"/>
      <c r="AA131" s="2321"/>
      <c r="AB131" s="2321"/>
    </row>
    <row r="132" spans="1:28">
      <c r="A132" s="2155" t="s">
        <v>1520</v>
      </c>
      <c r="B132" s="2172"/>
      <c r="C132" s="2251"/>
      <c r="D132" s="2251"/>
      <c r="E132" s="2186"/>
      <c r="F132" s="2136"/>
      <c r="G132" s="2136"/>
      <c r="H132" s="2136"/>
      <c r="I132" s="2136"/>
      <c r="J132" s="2136"/>
      <c r="K132" s="2268"/>
      <c r="L132" s="2268"/>
      <c r="M132" s="2268"/>
      <c r="N132" s="2321"/>
      <c r="O132" s="2321"/>
      <c r="P132" s="2331"/>
      <c r="Q132" s="2331"/>
      <c r="R132" s="2321"/>
      <c r="S132" s="2321"/>
      <c r="T132" s="2321"/>
      <c r="U132" s="2321"/>
      <c r="V132" s="2321"/>
      <c r="W132" s="2321"/>
      <c r="X132" s="2321"/>
      <c r="Y132" s="2321"/>
      <c r="Z132" s="2321"/>
      <c r="AA132" s="2321"/>
      <c r="AB132" s="2321"/>
    </row>
    <row r="133" spans="1:28">
      <c r="A133" s="2093" t="s">
        <v>821</v>
      </c>
      <c r="B133" s="2151"/>
      <c r="C133" s="2136">
        <f ca="1" xml:space="preserve"> ((((C$108*(IF(MHDV_Inputs!$C$98=1,Mat_Sum!$BW22,IF(MHDV_Inputs!$C$98=2,Mat_Sum!$BV22,IF(MHDV_Inputs!$C$98=3,Mat_Sum!$BU22,Mat_Sum!$BT22))))))+(C$108*LiMn2O4!$E$9*Mat_Sum!$CE22)+(C$109*Mat_Sum!$CF22)+(C$110*Mat_Sum!$CO22)+(C$111*Mat_Sum!$CG22)+(C$112*Mat_Sum!$AG22)+(C$113*Mat_Sum!$I22)+(C$114*Mat_Sum!$L22)+(C$115*Mat_Sum!$CI22)+(C$116*Mat_Sum!$CJ22)+(C$117*Mat_Sum!$CK22)+(C$118*Mat_Sum!$AQ22)+(C$119*Mat_Sum!$AO22)+(C$120*Mat_Sum!$AP22)+(C$121*Mat_Sum!$D22)+(C$122*Mat_Sum!$BE22)+(C$123*Mat_Sum!$CM22)+(C$124*Mat_Sum!$CL22))+(Battery_Assembly!$F68*$C$34/2.2046*$B$27/1000))*(1+$C$16)</f>
        <v>239.22257777613862</v>
      </c>
      <c r="D133" s="2136">
        <f ca="1" xml:space="preserve"> (((((D$108*(IF(MHDV_Inputs!$C$99=1,Mat_Sum!$BW22,IF(MHDV_Inputs!$C$99=2,Mat_Sum!$BV22,IF(MHDV_Inputs!$C$99=3,Mat_Sum!$BU22,Mat_Sum!$BT22))))))))+(D$108*LiMn2O4!$E$9*Mat_Sum!$CE22)+(D$109*Mat_Sum!$CF22)+(D$110*Mat_Sum!$CO22)+(D$111*Mat_Sum!$CG22)+(D$112*Mat_Sum!$AG22)+(D$113*Mat_Sum!$I22)+(D$114*Mat_Sum!$L22)+(D$115*Mat_Sum!$CI22)+(D$116*Mat_Sum!$CJ22)+(D$117*Mat_Sum!$CK22)+(D$118*Mat_Sum!$AQ22)+(D$119*Mat_Sum!$AO22)+(D$120*Mat_Sum!$AP22)+(D$121*Mat_Sum!$D22)+(D$122*Mat_Sum!$BE22)+(D$123*Mat_Sum!$CM22)+(D$124*Mat_Sum!$CL22)+(Battery_Assembly!$F68*$B$11))*(1+$C$17)</f>
        <v>36594.534748395148</v>
      </c>
      <c r="E133" s="2185">
        <f ca="1" xml:space="preserve"> ((((E$108*(IF(MHDV_Inputs!$C$100=1,Mat_Sum!$BW22,IF(MHDV_Inputs!$C$100=2,Mat_Sum!$BV22,IF(MHDV_Inputs!$C$100=3,Mat_Sum!$BU22,Mat_Sum!$BT22))))))+(E$108*LiMn2O4!$E$9*Mat_Sum!$CE22)+(E$109*Mat_Sum!$CF22)+(E$110*Mat_Sum!$CO22)+(E$111*Mat_Sum!$CG22)+(E$112*Mat_Sum!$AG22)+(E$113*Mat_Sum!$I22)+(E$114*Mat_Sum!$L22)+(E$115*Mat_Sum!$CI22)+(E$116*Mat_Sum!$CJ22)+(E$117*Mat_Sum!$CK22)+(E$118*Mat_Sum!$AQ22)+(E$119*Mat_Sum!$AO22)+(E$120*Mat_Sum!$AP22)+(E$121*Mat_Sum!$D22)+(E$122*Mat_Sum!$BE22)+(E$123*Mat_Sum!$CM22)+(E$124*Mat_Sum!$CL22))+(Battery_Assembly!$F68*$E$34/2.2046*$B$29/1000))*(1+$C$18)</f>
        <v>289.70300159770028</v>
      </c>
      <c r="F133" s="2136"/>
      <c r="G133" s="2136"/>
      <c r="H133" s="2136"/>
      <c r="I133" s="2136"/>
      <c r="J133" s="2136"/>
      <c r="K133" s="2268"/>
      <c r="L133" s="2268"/>
      <c r="M133" s="2268"/>
      <c r="N133" s="2321"/>
      <c r="O133" s="2321"/>
      <c r="P133" s="2331"/>
      <c r="Q133" s="2331"/>
      <c r="R133" s="2321"/>
      <c r="S133" s="2321"/>
      <c r="T133" s="2321"/>
      <c r="U133" s="2321"/>
      <c r="V133" s="2321"/>
      <c r="W133" s="2321"/>
      <c r="X133" s="2321"/>
      <c r="Y133" s="2321"/>
      <c r="Z133" s="2321"/>
      <c r="AA133" s="2321"/>
      <c r="AB133" s="2321"/>
    </row>
    <row r="134" spans="1:28">
      <c r="A134" s="2093" t="s">
        <v>822</v>
      </c>
      <c r="B134" s="2151"/>
      <c r="C134" s="2136">
        <f ca="1" xml:space="preserve"> ((((C$108*(IF(MHDV_Inputs!$C$98=1,Mat_Sum!$BW23,IF(MHDV_Inputs!$C$98=2,Mat_Sum!$BV23,IF(MHDV_Inputs!$C$98=3,Mat_Sum!$BU23,Mat_Sum!$BT23))))))+(C$108*LiMn2O4!$E$9*Mat_Sum!$CE23)+(C$109*Mat_Sum!$CF23)+(C$110*Mat_Sum!$CO23)+(C$111*Mat_Sum!$CG23)+(C$112*Mat_Sum!$AG23)+(C$113*Mat_Sum!$I23)+(C$114*Mat_Sum!$L23)+(C$115*Mat_Sum!$CI23)+(C$116*Mat_Sum!$CJ23)+(C$117*Mat_Sum!$CK23)+(C$118*Mat_Sum!$AQ23)+(C$119*Mat_Sum!$AO23)+(C$120*Mat_Sum!$AP23)+(C$121*Mat_Sum!$D23)+(C$122*Mat_Sum!$BE23)+(C$123*Mat_Sum!$CM23)+(C$124*Mat_Sum!$CL23))+(Battery_Assembly!$F69*$C$34/2.2046*$B$27/1000))*(1+$C$16)</f>
        <v>847.71858670568645</v>
      </c>
      <c r="D134" s="2136">
        <f ca="1" xml:space="preserve"> (((((D$108*(IF(MHDV_Inputs!$C$99=1,Mat_Sum!$BW23,IF(MHDV_Inputs!$C$99=2,Mat_Sum!$BV23,IF(MHDV_Inputs!$C$99=3,Mat_Sum!$BU23,Mat_Sum!$BT23))))))))+(D$108*LiMn2O4!$E$9*Mat_Sum!$CE23)+(D$109*Mat_Sum!$CF23)+(D$110*Mat_Sum!$CO23)+(D$111*Mat_Sum!$CG23)+(D$112*Mat_Sum!$AG23)+(D$113*Mat_Sum!$I23)+(D$114*Mat_Sum!$L23)+(D$115*Mat_Sum!$CI23)+(D$116*Mat_Sum!$CJ23)+(D$117*Mat_Sum!$CK23)+(D$118*Mat_Sum!$AQ23)+(D$119*Mat_Sum!$AO23)+(D$120*Mat_Sum!$AP23)+(D$121*Mat_Sum!$D23)+(D$122*Mat_Sum!$BE23)+(D$123*Mat_Sum!$CM23)+(D$124*Mat_Sum!$CL23)+(Battery_Assembly!$F69*$B$11))*(1+$C$17)</f>
        <v>137203.49542165047</v>
      </c>
      <c r="E134" s="2185">
        <f ca="1" xml:space="preserve"> ((((E$108*(IF(MHDV_Inputs!$C$100=1,Mat_Sum!$BW23,IF(MHDV_Inputs!$C$100=2,Mat_Sum!$BV23,IF(MHDV_Inputs!$C$100=3,Mat_Sum!$BU23,Mat_Sum!$BT23))))))+(E$108*LiMn2O4!$E$9*Mat_Sum!$CE23)+(E$109*Mat_Sum!$CF23)+(E$110*Mat_Sum!$CO23)+(E$111*Mat_Sum!$CG23)+(E$112*Mat_Sum!$AG23)+(E$113*Mat_Sum!$I23)+(E$114*Mat_Sum!$L23)+(E$115*Mat_Sum!$CI23)+(E$116*Mat_Sum!$CJ23)+(E$117*Mat_Sum!$CK23)+(E$118*Mat_Sum!$AQ23)+(E$119*Mat_Sum!$AO23)+(E$120*Mat_Sum!$AP23)+(E$121*Mat_Sum!$D23)+(E$122*Mat_Sum!$BE23)+(E$123*Mat_Sum!$CM23)+(E$124*Mat_Sum!$CL23))+(Battery_Assembly!$F69*$E$34/2.2046*$B$29/1000))*(1+$C$18)</f>
        <v>1040.5175578704986</v>
      </c>
      <c r="F134" s="2136"/>
      <c r="G134" s="2136"/>
      <c r="H134" s="2136"/>
      <c r="I134" s="2136"/>
      <c r="J134" s="2136"/>
      <c r="K134" s="2268"/>
      <c r="L134" s="2268"/>
      <c r="M134" s="2268"/>
      <c r="N134" s="2321"/>
      <c r="O134" s="2321"/>
      <c r="P134" s="2331"/>
      <c r="Q134" s="2331"/>
      <c r="R134" s="2321"/>
      <c r="S134" s="2321"/>
      <c r="T134" s="2321"/>
      <c r="U134" s="2321"/>
      <c r="V134" s="2321"/>
      <c r="W134" s="2321"/>
      <c r="X134" s="2321"/>
      <c r="Y134" s="2321"/>
      <c r="Z134" s="2321"/>
      <c r="AA134" s="2321"/>
      <c r="AB134" s="2321"/>
    </row>
    <row r="135" spans="1:28" ht="15.75">
      <c r="A135" s="2093" t="s">
        <v>2542</v>
      </c>
      <c r="B135" s="2151"/>
      <c r="C135" s="2136">
        <f ca="1" xml:space="preserve"> ((((C$108*(IF(MHDV_Inputs!$C$98=1,Mat_Sum!$BW24,IF(MHDV_Inputs!$C$98=2,Mat_Sum!$BV24,IF(MHDV_Inputs!$C$98=3,Mat_Sum!$BU24,Mat_Sum!$BT24))))))+(C$108*LiMn2O4!$E$9*Mat_Sum!$CE24)+(C$109*Mat_Sum!$CF24)+(C$110*Mat_Sum!$CO24)+(C$111*Mat_Sum!$CG24)+(C$112*Mat_Sum!$AG24)+(C$113*Mat_Sum!$I24)+(C$114*Mat_Sum!$L24)+(C$115*Mat_Sum!$CI24)+(C$116*Mat_Sum!$CJ24)+(C$117*Mat_Sum!$CK24)+(C$118*Mat_Sum!$AQ24)+(C$119*Mat_Sum!$AO24)+(C$120*Mat_Sum!$AP24)+(C$121*Mat_Sum!$D24)+(C$122*Mat_Sum!$BE24)+(C$123*Mat_Sum!$CM24)+(C$124*Mat_Sum!$CL24))+(Battery_Assembly!$F70*$C$34/2.2046*$B$27/1000))*(1+$C$16)</f>
        <v>1529.394803777152</v>
      </c>
      <c r="D135" s="2136">
        <f ca="1" xml:space="preserve"> (((((D$108*(IF(MHDV_Inputs!$C$99=1,Mat_Sum!$BW24,IF(MHDV_Inputs!$C$99=2,Mat_Sum!$BV24,IF(MHDV_Inputs!$C$99=3,Mat_Sum!$BU24,Mat_Sum!$BT24))))))))+(D$108*LiMn2O4!$E$9*Mat_Sum!$CE24)+(D$109*Mat_Sum!$CF24)+(D$110*Mat_Sum!$CO24)+(D$111*Mat_Sum!$CG24)+(D$112*Mat_Sum!$AG24)+(D$113*Mat_Sum!$I24)+(D$114*Mat_Sum!$L24)+(D$115*Mat_Sum!$CI24)+(D$116*Mat_Sum!$CJ24)+(D$117*Mat_Sum!$CK24)+(D$118*Mat_Sum!$AQ24)+(D$119*Mat_Sum!$AO24)+(D$120*Mat_Sum!$AP24)+(D$121*Mat_Sum!$D24)+(D$122*Mat_Sum!$BE24)+(D$123*Mat_Sum!$CM24)+(D$124*Mat_Sum!$CL24)+(Battery_Assembly!$F70*$B$11))*(1+$C$17)</f>
        <v>259306.30641117651</v>
      </c>
      <c r="E135" s="2185">
        <f ca="1" xml:space="preserve"> ((((E$108*(IF(MHDV_Inputs!$C$100=1,Mat_Sum!$BW24,IF(MHDV_Inputs!$C$100=2,Mat_Sum!$BV24,IF(MHDV_Inputs!$C$100=3,Mat_Sum!$BU24,Mat_Sum!$BT24))))))+(E$108*LiMn2O4!$E$9*Mat_Sum!$CE24)+(E$109*Mat_Sum!$CF24)+(E$110*Mat_Sum!$CO24)+(E$111*Mat_Sum!$CG24)+(E$112*Mat_Sum!$AG24)+(E$113*Mat_Sum!$I24)+(E$114*Mat_Sum!$L24)+(E$115*Mat_Sum!$CI24)+(E$116*Mat_Sum!$CJ24)+(E$117*Mat_Sum!$CK24)+(E$118*Mat_Sum!$AQ24)+(E$119*Mat_Sum!$AO24)+(E$120*Mat_Sum!$AP24)+(E$121*Mat_Sum!$D24)+(E$122*Mat_Sum!$BE24)+(E$123*Mat_Sum!$CM24)+(E$124*Mat_Sum!$CL24))+(Battery_Assembly!$F70*$E$34/2.2046*$B$29/1000))*(1+$C$18)</f>
        <v>1881.8858169349517</v>
      </c>
      <c r="F135" s="2136"/>
      <c r="G135" s="2136"/>
      <c r="H135" s="2136"/>
      <c r="I135" s="2136"/>
      <c r="J135" s="2136"/>
      <c r="K135" s="2268"/>
      <c r="L135" s="2268"/>
      <c r="M135" s="2268"/>
      <c r="N135" s="2321"/>
      <c r="O135" s="2321"/>
      <c r="P135" s="2331"/>
      <c r="Q135" s="2331"/>
      <c r="R135" s="2321"/>
      <c r="S135" s="2321"/>
      <c r="T135" s="2321"/>
      <c r="U135" s="2321"/>
      <c r="V135" s="2321"/>
      <c r="W135" s="2321"/>
      <c r="X135" s="2321"/>
      <c r="Y135" s="2321"/>
      <c r="Z135" s="2321"/>
      <c r="AA135" s="2321"/>
      <c r="AB135" s="2321"/>
    </row>
    <row r="136" spans="1:28" ht="15.75">
      <c r="A136" s="2093" t="s">
        <v>2543</v>
      </c>
      <c r="B136" s="2151"/>
      <c r="C136" s="2136">
        <f ca="1" xml:space="preserve"> ((((C$108*(IF(MHDV_Inputs!$C$98=1,Mat_Sum!$BW25,IF(MHDV_Inputs!$C$98=2,Mat_Sum!$BV25,IF(MHDV_Inputs!$C$98=3,Mat_Sum!$BU25,Mat_Sum!$BT25))))))+(C$108*LiMn2O4!$E$9*Mat_Sum!$CE25)+(C$109*Mat_Sum!$CF25)+(C$110*Mat_Sum!$CO25)+(C$111*Mat_Sum!$CG25)+(C$112*Mat_Sum!$AG25)+(C$113*Mat_Sum!$I25)+(C$114*Mat_Sum!$L25)+(C$115*Mat_Sum!$CI25)+(C$116*Mat_Sum!$CJ25)+(C$117*Mat_Sum!$CK25)+(C$118*Mat_Sum!$AQ25)+(C$119*Mat_Sum!$AO25)+(C$120*Mat_Sum!$AP25)+(C$121*Mat_Sum!$D25)+(C$122*Mat_Sum!$BE25)+(C$123*Mat_Sum!$CM25)+(C$124*Mat_Sum!$CL25))+(Battery_Assembly!$F71*$C$34/2.2046*$B$27/1000))*(1+$C$16)</f>
        <v>626.56743318906524</v>
      </c>
      <c r="D136" s="2136">
        <f ca="1" xml:space="preserve"> (((((D$108*(IF(MHDV_Inputs!$C$99=1,Mat_Sum!$BW25,IF(MHDV_Inputs!$C$99=2,Mat_Sum!$BV25,IF(MHDV_Inputs!$C$99=3,Mat_Sum!$BU25,Mat_Sum!$BT25))))))))+(D$108*LiMn2O4!$E$9*Mat_Sum!$CE25)+(D$109*Mat_Sum!$CF25)+(D$110*Mat_Sum!$CO25)+(D$111*Mat_Sum!$CG25)+(D$112*Mat_Sum!$AG25)+(D$113*Mat_Sum!$I25)+(D$114*Mat_Sum!$L25)+(D$115*Mat_Sum!$CI25)+(D$116*Mat_Sum!$CJ25)+(D$117*Mat_Sum!$CK25)+(D$118*Mat_Sum!$AQ25)+(D$119*Mat_Sum!$AO25)+(D$120*Mat_Sum!$AP25)+(D$121*Mat_Sum!$D25)+(D$122*Mat_Sum!$BE25)+(D$123*Mat_Sum!$CM25)+(D$124*Mat_Sum!$CL25)+(Battery_Assembly!$F71*$B$11))*(1+$C$17)</f>
        <v>105189.86850690019</v>
      </c>
      <c r="E136" s="2185">
        <f ca="1" xml:space="preserve"> ((((E$108*(IF(MHDV_Inputs!$C$100=1,Mat_Sum!$BW25,IF(MHDV_Inputs!$C$100=2,Mat_Sum!$BV25,IF(MHDV_Inputs!$C$100=3,Mat_Sum!$BU25,Mat_Sum!$BT25))))))+(E$108*LiMn2O4!$E$9*Mat_Sum!$CE25)+(E$109*Mat_Sum!$CF25)+(E$110*Mat_Sum!$CO25)+(E$111*Mat_Sum!$CG25)+(E$112*Mat_Sum!$AG25)+(E$113*Mat_Sum!$I25)+(E$114*Mat_Sum!$L25)+(E$115*Mat_Sum!$CI25)+(E$116*Mat_Sum!$CJ25)+(E$117*Mat_Sum!$CK25)+(E$118*Mat_Sum!$AQ25)+(E$119*Mat_Sum!$AO25)+(E$120*Mat_Sum!$AP25)+(E$121*Mat_Sum!$D25)+(E$122*Mat_Sum!$BE25)+(E$123*Mat_Sum!$CM25)+(E$124*Mat_Sum!$CL25))+(Battery_Assembly!$F71*$E$34/2.2046*$B$29/1000))*(1+$C$18)</f>
        <v>768.65425540297394</v>
      </c>
      <c r="F136" s="2136"/>
      <c r="G136" s="2136"/>
      <c r="H136" s="2136"/>
      <c r="I136" s="2136"/>
      <c r="J136" s="2136"/>
      <c r="K136" s="2268"/>
      <c r="L136" s="2268"/>
      <c r="M136" s="2268"/>
      <c r="N136" s="2321"/>
      <c r="O136" s="2321"/>
      <c r="P136" s="2331"/>
      <c r="Q136" s="2331"/>
      <c r="R136" s="2321"/>
      <c r="S136" s="2321"/>
      <c r="T136" s="2321"/>
      <c r="U136" s="2321"/>
      <c r="V136" s="2321"/>
      <c r="W136" s="2321"/>
      <c r="X136" s="2321"/>
      <c r="Y136" s="2321"/>
      <c r="Z136" s="2321"/>
      <c r="AA136" s="2321"/>
      <c r="AB136" s="2321"/>
    </row>
    <row r="137" spans="1:28" ht="15.75">
      <c r="A137" s="2093" t="s">
        <v>2544</v>
      </c>
      <c r="B137" s="2151"/>
      <c r="C137" s="2136">
        <f ca="1" xml:space="preserve"> ((((C$108*(IF(MHDV_Inputs!$C$98=1,Mat_Sum!$BW26,IF(MHDV_Inputs!$C$98=2,Mat_Sum!$BV26,IF(MHDV_Inputs!$C$98=3,Mat_Sum!$BU26,Mat_Sum!$BT26))))))+(C$108*LiMn2O4!$E$9*Mat_Sum!$CE26)+(C$109*Mat_Sum!$CF26)+(C$110*Mat_Sum!$CO26)+(C$111*Mat_Sum!$CG26)+(C$112*Mat_Sum!$AG26)+(C$113*Mat_Sum!$I26)+(C$114*Mat_Sum!$L26)+(C$115*Mat_Sum!$CI26)+(C$116*Mat_Sum!$CJ26)+(C$117*Mat_Sum!$CK26)+(C$118*Mat_Sum!$AQ26)+(C$119*Mat_Sum!$AO26)+(C$120*Mat_Sum!$AP26)+(C$121*Mat_Sum!$D26)+(C$122*Mat_Sum!$BE26)+(C$123*Mat_Sum!$CM26)+(C$124*Mat_Sum!$CL26))+(Battery_Assembly!$F72*$C$34/2.2046*$B$27/1000))*(1+$C$16)</f>
        <v>276.70498048198397</v>
      </c>
      <c r="D137" s="2136">
        <f ca="1" xml:space="preserve"> (((((D$108*(IF(MHDV_Inputs!$C$99=1,Mat_Sum!$BW26,IF(MHDV_Inputs!$C$99=2,Mat_Sum!$BV26,IF(MHDV_Inputs!$C$99=3,Mat_Sum!$BU26,Mat_Sum!$BT26))))))))+(D$108*LiMn2O4!$E$9*Mat_Sum!$CE26)+(D$109*Mat_Sum!$CF26)+(D$110*Mat_Sum!$CO26)+(D$111*Mat_Sum!$CG26)+(D$112*Mat_Sum!$AG26)+(D$113*Mat_Sum!$I26)+(D$114*Mat_Sum!$L26)+(D$115*Mat_Sum!$CI26)+(D$116*Mat_Sum!$CJ26)+(D$117*Mat_Sum!$CK26)+(D$118*Mat_Sum!$AQ26)+(D$119*Mat_Sum!$AO26)+(D$120*Mat_Sum!$AP26)+(D$121*Mat_Sum!$D26)+(D$122*Mat_Sum!$BE26)+(D$123*Mat_Sum!$CM26)+(D$124*Mat_Sum!$CL26)+(Battery_Assembly!$F72*$B$11))*(1+$C$17)</f>
        <v>42976.577724939561</v>
      </c>
      <c r="E137" s="2185">
        <f ca="1" xml:space="preserve"> ((((E$108*(IF(MHDV_Inputs!$C$100=1,Mat_Sum!$BW26,IF(MHDV_Inputs!$C$100=2,Mat_Sum!$BV26,IF(MHDV_Inputs!$C$100=3,Mat_Sum!$BU26,Mat_Sum!$BT26))))))+(E$108*LiMn2O4!$E$9*Mat_Sum!$CE26)+(E$109*Mat_Sum!$CF26)+(E$110*Mat_Sum!$CO26)+(E$111*Mat_Sum!$CG26)+(E$112*Mat_Sum!$AG26)+(E$113*Mat_Sum!$I26)+(E$114*Mat_Sum!$L26)+(E$115*Mat_Sum!$CI26)+(E$116*Mat_Sum!$CJ26)+(E$117*Mat_Sum!$CK26)+(E$118*Mat_Sum!$AQ26)+(E$119*Mat_Sum!$AO26)+(E$120*Mat_Sum!$AP26)+(E$121*Mat_Sum!$D26)+(E$122*Mat_Sum!$BE26)+(E$123*Mat_Sum!$CM26)+(E$124*Mat_Sum!$CL26))+(Battery_Assembly!$F72*$E$34/2.2046*$B$29/1000))*(1+$C$18)</f>
        <v>336.25271157004192</v>
      </c>
      <c r="F137" s="2136"/>
      <c r="G137" s="2136"/>
      <c r="H137" s="2136"/>
      <c r="I137" s="2136"/>
      <c r="J137" s="2136"/>
      <c r="K137" s="2268"/>
      <c r="L137" s="2268"/>
      <c r="M137" s="2268"/>
      <c r="N137" s="2321"/>
      <c r="O137" s="2321"/>
      <c r="P137" s="2331"/>
      <c r="Q137" s="2331"/>
      <c r="R137" s="2321"/>
      <c r="S137" s="2321"/>
      <c r="T137" s="2321"/>
      <c r="U137" s="2321"/>
      <c r="V137" s="2321"/>
      <c r="W137" s="2321"/>
      <c r="X137" s="2321"/>
      <c r="Y137" s="2321"/>
      <c r="Z137" s="2321"/>
      <c r="AA137" s="2321"/>
      <c r="AB137" s="2321"/>
    </row>
    <row r="138" spans="1:28" ht="15.75">
      <c r="A138" s="2093" t="s">
        <v>2545</v>
      </c>
      <c r="B138" s="2151"/>
      <c r="C138" s="2136">
        <f ca="1" xml:space="preserve"> ((((C$108*(IF(MHDV_Inputs!$C$98=1,Mat_Sum!$BW27,IF(MHDV_Inputs!$C$98=2,Mat_Sum!$BV27,IF(MHDV_Inputs!$C$98=3,Mat_Sum!$BU27,Mat_Sum!$BT27))))))+(C$108*LiMn2O4!$E$9*Mat_Sum!$CE27)+(C$109*Mat_Sum!$CF27)+(C$110*Mat_Sum!$CO27)+(C$111*Mat_Sum!$CG27)+(C$112*Mat_Sum!$AG27)+(C$113*Mat_Sum!$I27)+(C$114*Mat_Sum!$L27)+(C$115*Mat_Sum!$CI27)+(C$116*Mat_Sum!$CJ27)+(C$117*Mat_Sum!$CK27)+(C$118*Mat_Sum!$AQ27)+(C$119*Mat_Sum!$AO27)+(C$120*Mat_Sum!$AP27)+(C$121*Mat_Sum!$D27)+(C$122*Mat_Sum!$BE27)+(C$123*Mat_Sum!$CM27)+(C$124*Mat_Sum!$CL27))+(Battery_Assembly!$F73*$C$34/2.2046*$B$27/1000))*(1+$C$16)</f>
        <v>18710.802234641957</v>
      </c>
      <c r="D138" s="2136">
        <f ca="1" xml:space="preserve"> (((((D$108*(IF(MHDV_Inputs!$C$99=1,Mat_Sum!$BW27,IF(MHDV_Inputs!$C$99=2,Mat_Sum!$BV27,IF(MHDV_Inputs!$C$99=3,Mat_Sum!$BU27,Mat_Sum!$BT27))))))))+(D$108*LiMn2O4!$E$9*Mat_Sum!$CE27)+(D$109*Mat_Sum!$CF27)+(D$110*Mat_Sum!$CO27)+(D$111*Mat_Sum!$CG27)+(D$112*Mat_Sum!$AG27)+(D$113*Mat_Sum!$I27)+(D$114*Mat_Sum!$L27)+(D$115*Mat_Sum!$CI27)+(D$116*Mat_Sum!$CJ27)+(D$117*Mat_Sum!$CK27)+(D$118*Mat_Sum!$AQ27)+(D$119*Mat_Sum!$AO27)+(D$120*Mat_Sum!$AP27)+(D$121*Mat_Sum!$D27)+(D$122*Mat_Sum!$BE27)+(D$123*Mat_Sum!$CM27)+(D$124*Mat_Sum!$CL27)+(Battery_Assembly!$F73*$B$11))*(1+$C$17)</f>
        <v>3222651.7134903399</v>
      </c>
      <c r="E138" s="2185">
        <f ca="1" xml:space="preserve"> ((((E$108*(IF(MHDV_Inputs!$C$100=1,Mat_Sum!$BW27,IF(MHDV_Inputs!$C$100=2,Mat_Sum!$BV27,IF(MHDV_Inputs!$C$100=3,Mat_Sum!$BU27,Mat_Sum!$BT27))))))+(E$108*LiMn2O4!$E$9*Mat_Sum!$CE27)+(E$109*Mat_Sum!$CF27)+(E$110*Mat_Sum!$CO27)+(E$111*Mat_Sum!$CG27)+(E$112*Mat_Sum!$AG27)+(E$113*Mat_Sum!$I27)+(E$114*Mat_Sum!$L27)+(E$115*Mat_Sum!$CI27)+(E$116*Mat_Sum!$CJ27)+(E$117*Mat_Sum!$CK27)+(E$118*Mat_Sum!$AQ27)+(E$119*Mat_Sum!$AO27)+(E$120*Mat_Sum!$AP27)+(E$121*Mat_Sum!$D27)+(E$122*Mat_Sum!$BE27)+(E$123*Mat_Sum!$CM27)+(E$124*Mat_Sum!$CL27))+(Battery_Assembly!$F73*$E$34/2.2046*$B$29/1000))*(1+$C$18)</f>
        <v>23636.882170953493</v>
      </c>
      <c r="F138" s="2136"/>
      <c r="G138" s="2136"/>
      <c r="H138" s="2136"/>
      <c r="I138" s="2136"/>
      <c r="J138" s="2136"/>
      <c r="K138" s="2268"/>
      <c r="L138" s="2268"/>
      <c r="M138" s="2268"/>
      <c r="N138" s="2321"/>
      <c r="O138" s="2321"/>
      <c r="P138" s="2331"/>
      <c r="Q138" s="2331"/>
      <c r="R138" s="2321"/>
      <c r="S138" s="2321"/>
      <c r="T138" s="2321"/>
      <c r="U138" s="2321"/>
      <c r="V138" s="2321"/>
      <c r="W138" s="2321"/>
      <c r="X138" s="2321"/>
      <c r="Y138" s="2321"/>
      <c r="Z138" s="2321"/>
      <c r="AA138" s="2321"/>
      <c r="AB138" s="2321"/>
    </row>
    <row r="139" spans="1:28">
      <c r="A139" s="2093" t="s">
        <v>827</v>
      </c>
      <c r="B139" s="2151"/>
      <c r="C139" s="2136">
        <f ca="1" xml:space="preserve"> ((((C$108*(IF(MHDV_Inputs!$C$98=1,Mat_Sum!$BW28,IF(MHDV_Inputs!$C$98=2,Mat_Sum!$BV28,IF(MHDV_Inputs!$C$98=3,Mat_Sum!$BU28,Mat_Sum!$BT28))))))+(C$108*LiMn2O4!$E$9*Mat_Sum!$CE28)+(C$109*Mat_Sum!$CF28)+(C$110*Mat_Sum!$CO28)+(C$111*Mat_Sum!$CG28)+(C$112*Mat_Sum!$AG28)+(C$113*Mat_Sum!$I28)+(C$114*Mat_Sum!$L28)+(C$115*Mat_Sum!$CI28)+(C$116*Mat_Sum!$CJ28)+(C$117*Mat_Sum!$CK28)+(C$118*Mat_Sum!$AQ28)+(C$119*Mat_Sum!$AO28)+(C$120*Mat_Sum!$AP28)+(C$121*Mat_Sum!$D28)+(C$122*Mat_Sum!$BE28)+(C$123*Mat_Sum!$CM28)+(C$124*Mat_Sum!$CL28))+(Battery_Assembly!$F74*$C$34/2.2046*$B$27/1000))*(1+$C$16)</f>
        <v>11.641764357935633</v>
      </c>
      <c r="D139" s="2136">
        <f ca="1" xml:space="preserve"> (((((D$108*(IF(MHDV_Inputs!$C$99=1,Mat_Sum!$BW28,IF(MHDV_Inputs!$C$99=2,Mat_Sum!$BV28,IF(MHDV_Inputs!$C$99=3,Mat_Sum!$BU28,Mat_Sum!$BT28))))))))+(D$108*LiMn2O4!$E$9*Mat_Sum!$CE28)+(D$109*Mat_Sum!$CF28)+(D$110*Mat_Sum!$CO28)+(D$111*Mat_Sum!$CG28)+(D$112*Mat_Sum!$AG28)+(D$113*Mat_Sum!$I28)+(D$114*Mat_Sum!$L28)+(D$115*Mat_Sum!$CI28)+(D$116*Mat_Sum!$CJ28)+(D$117*Mat_Sum!$CK28)+(D$118*Mat_Sum!$AQ28)+(D$119*Mat_Sum!$AO28)+(D$120*Mat_Sum!$AP28)+(D$121*Mat_Sum!$D28)+(D$122*Mat_Sum!$BE28)+(D$123*Mat_Sum!$CM28)+(D$124*Mat_Sum!$CL28)+(Battery_Assembly!$F74*$B$11))*(1+$C$17)</f>
        <v>1884.6971986059405</v>
      </c>
      <c r="E139" s="2185">
        <f ca="1" xml:space="preserve"> ((((E$108*(IF(MHDV_Inputs!$C$100=1,Mat_Sum!$BW28,IF(MHDV_Inputs!$C$100=2,Mat_Sum!$BV28,IF(MHDV_Inputs!$C$100=3,Mat_Sum!$BU28,Mat_Sum!$BT28))))))+(E$108*LiMn2O4!$E$9*Mat_Sum!$CE28)+(E$109*Mat_Sum!$CF28)+(E$110*Mat_Sum!$CO28)+(E$111*Mat_Sum!$CG28)+(E$112*Mat_Sum!$AG28)+(E$113*Mat_Sum!$I28)+(E$114*Mat_Sum!$L28)+(E$115*Mat_Sum!$CI28)+(E$116*Mat_Sum!$CJ28)+(E$117*Mat_Sum!$CK28)+(E$118*Mat_Sum!$AQ28)+(E$119*Mat_Sum!$AO28)+(E$120*Mat_Sum!$AP28)+(E$121*Mat_Sum!$D28)+(E$122*Mat_Sum!$BE28)+(E$123*Mat_Sum!$CM28)+(E$124*Mat_Sum!$CL28))+(Battery_Assembly!$F74*$E$34/2.2046*$B$29/1000))*(1+$C$18)</f>
        <v>14.3352320581238</v>
      </c>
      <c r="F139" s="2136"/>
      <c r="G139" s="2136"/>
      <c r="H139" s="2136"/>
      <c r="I139" s="2136"/>
      <c r="J139" s="2136"/>
      <c r="K139" s="2268"/>
      <c r="L139" s="2268"/>
      <c r="M139" s="2268"/>
      <c r="N139" s="2321"/>
      <c r="O139" s="2321"/>
      <c r="P139" s="2331"/>
      <c r="Q139" s="2331"/>
      <c r="R139" s="2321"/>
      <c r="S139" s="2321"/>
      <c r="T139" s="2321"/>
      <c r="U139" s="2321"/>
      <c r="V139" s="2321"/>
      <c r="W139" s="2321"/>
      <c r="X139" s="2321"/>
      <c r="Y139" s="2321"/>
      <c r="Z139" s="2321"/>
      <c r="AA139" s="2321"/>
      <c r="AB139" s="2321"/>
    </row>
    <row r="140" spans="1:28">
      <c r="A140" s="2093" t="s">
        <v>828</v>
      </c>
      <c r="B140" s="2151"/>
      <c r="C140" s="2136">
        <f ca="1" xml:space="preserve"> ((((C$108*(IF(MHDV_Inputs!$C$98=1,Mat_Sum!$BW29,IF(MHDV_Inputs!$C$98=2,Mat_Sum!$BV29,IF(MHDV_Inputs!$C$98=3,Mat_Sum!$BU29,Mat_Sum!$BT29))))))+(C$108*LiMn2O4!$E$9*Mat_Sum!$CE29)+(C$109*Mat_Sum!$CF29)+(C$110*Mat_Sum!$CO29)+(C$111*Mat_Sum!$CG29)+(C$112*Mat_Sum!$AG29)+(C$113*Mat_Sum!$I29)+(C$114*Mat_Sum!$L29)+(C$115*Mat_Sum!$CI29)+(C$116*Mat_Sum!$CJ29)+(C$117*Mat_Sum!$CK29)+(C$118*Mat_Sum!$AQ29)+(C$119*Mat_Sum!$AO29)+(C$120*Mat_Sum!$AP29)+(C$121*Mat_Sum!$D29)+(C$122*Mat_Sum!$BE29)+(C$123*Mat_Sum!$CM29)+(C$124*Mat_Sum!$CL29))+(Battery_Assembly!$F75*$C$34/2.2046*$B$27/1000))*(1+$C$16)</f>
        <v>24.906071525405146</v>
      </c>
      <c r="D140" s="2136">
        <f ca="1" xml:space="preserve"> (((((D$108*(IF(MHDV_Inputs!$C$99=1,Mat_Sum!$BW29,IF(MHDV_Inputs!$C$99=2,Mat_Sum!$BV29,IF(MHDV_Inputs!$C$99=3,Mat_Sum!$BU29,Mat_Sum!$BT29))))))))+(D$108*LiMn2O4!$E$9*Mat_Sum!$CE29)+(D$109*Mat_Sum!$CF29)+(D$110*Mat_Sum!$CO29)+(D$111*Mat_Sum!$CG29)+(D$112*Mat_Sum!$AG29)+(D$113*Mat_Sum!$I29)+(D$114*Mat_Sum!$L29)+(D$115*Mat_Sum!$CI29)+(D$116*Mat_Sum!$CJ29)+(D$117*Mat_Sum!$CK29)+(D$118*Mat_Sum!$AQ29)+(D$119*Mat_Sum!$AO29)+(D$120*Mat_Sum!$AP29)+(D$121*Mat_Sum!$D29)+(D$122*Mat_Sum!$BE29)+(D$123*Mat_Sum!$CM29)+(D$124*Mat_Sum!$CL29)+(Battery_Assembly!$F75*$B$11))*(1+$C$17)</f>
        <v>4013.5830808601877</v>
      </c>
      <c r="E140" s="2185">
        <f ca="1" xml:space="preserve"> ((((E$108*(IF(MHDV_Inputs!$C$100=1,Mat_Sum!$BW29,IF(MHDV_Inputs!$C$100=2,Mat_Sum!$BV29,IF(MHDV_Inputs!$C$100=3,Mat_Sum!$BU29,Mat_Sum!$BT29))))))+(E$108*LiMn2O4!$E$9*Mat_Sum!$CE29)+(E$109*Mat_Sum!$CF29)+(E$110*Mat_Sum!$CO29)+(E$111*Mat_Sum!$CG29)+(E$112*Mat_Sum!$AG29)+(E$113*Mat_Sum!$I29)+(E$114*Mat_Sum!$L29)+(E$115*Mat_Sum!$CI29)+(E$116*Mat_Sum!$CJ29)+(E$117*Mat_Sum!$CK29)+(E$118*Mat_Sum!$AQ29)+(E$119*Mat_Sum!$AO29)+(E$120*Mat_Sum!$AP29)+(E$121*Mat_Sum!$D29)+(E$122*Mat_Sum!$BE29)+(E$123*Mat_Sum!$CM29)+(E$124*Mat_Sum!$CL29))+(Battery_Assembly!$F75*$E$34/2.2046*$B$29/1000))*(1+$C$18)</f>
        <v>30.358668653732664</v>
      </c>
      <c r="F140" s="2136"/>
      <c r="G140" s="2136"/>
      <c r="H140" s="2136"/>
      <c r="I140" s="2136"/>
      <c r="J140" s="2136"/>
      <c r="K140" s="2268"/>
      <c r="L140" s="2268"/>
      <c r="M140" s="2268"/>
      <c r="N140" s="2321"/>
      <c r="O140" s="2321"/>
      <c r="P140" s="2331"/>
      <c r="Q140" s="2331"/>
      <c r="R140" s="2321"/>
      <c r="S140" s="2321"/>
      <c r="T140" s="2321"/>
      <c r="U140" s="2321"/>
      <c r="V140" s="2321"/>
      <c r="W140" s="2321"/>
      <c r="X140" s="2321"/>
      <c r="Y140" s="2321"/>
      <c r="Z140" s="2321"/>
      <c r="AA140" s="2321"/>
      <c r="AB140" s="2321"/>
    </row>
    <row r="141" spans="1:28" ht="15.75">
      <c r="A141" s="2093" t="s">
        <v>2546</v>
      </c>
      <c r="B141" s="2151"/>
      <c r="C141" s="2136">
        <f ca="1" xml:space="preserve"> ((((C$108*(IF(MHDV_Inputs!$C$98=1,Mat_Sum!$BW30,IF(MHDV_Inputs!$C$98=2,Mat_Sum!$BV30,IF(MHDV_Inputs!$C$98=3,Mat_Sum!$BU30,Mat_Sum!$BT30))))))+(C$108*LiMn2O4!$E$9*Mat_Sum!$CE30)+(C$109*Mat_Sum!$CF30)+(C$110*Mat_Sum!$CO30)+(C$111*Mat_Sum!$CG30)+(C$112*Mat_Sum!$AG30)+(C$113*Mat_Sum!$I30)+(C$114*Mat_Sum!$L30)+(C$115*Mat_Sum!$CI30)+(C$116*Mat_Sum!$CJ30)+(C$117*Mat_Sum!$CK30)+(C$118*Mat_Sum!$AQ30)+(C$119*Mat_Sum!$AO30)+(C$120*Mat_Sum!$AP30)+(C$121*Mat_Sum!$D30)+(C$122*Mat_Sum!$BE30)+(C$123*Mat_Sum!$CM30)+(C$124*Mat_Sum!$CL30))+(Battery_Assembly!$F76*$C$34/2.2046*$B$27/1000))*(1+$C$16)</f>
        <v>2954.6944728837793</v>
      </c>
      <c r="D141" s="2136">
        <f ca="1" xml:space="preserve"> (((((D$108*(IF(MHDV_Inputs!$C$99=1,Mat_Sum!$BW30,IF(MHDV_Inputs!$C$99=2,Mat_Sum!$BV30,IF(MHDV_Inputs!$C$99=3,Mat_Sum!$BU30,Mat_Sum!$BT30))))))))+(D$108*LiMn2O4!$E$9*Mat_Sum!$CE30)+(D$109*Mat_Sum!$CF30)+(D$110*Mat_Sum!$CO30)+(D$111*Mat_Sum!$CG30)+(D$112*Mat_Sum!$AG30)+(D$113*Mat_Sum!$I30)+(D$114*Mat_Sum!$L30)+(D$115*Mat_Sum!$CI30)+(D$116*Mat_Sum!$CJ30)+(D$117*Mat_Sum!$CK30)+(D$118*Mat_Sum!$AQ30)+(D$119*Mat_Sum!$AO30)+(D$120*Mat_Sum!$AP30)+(D$121*Mat_Sum!$D30)+(D$122*Mat_Sum!$BE30)+(D$123*Mat_Sum!$CM30)+(D$124*Mat_Sum!$CL30)+(Battery_Assembly!$F76*$B$11))*(1+$C$17)</f>
        <v>435936.26617643918</v>
      </c>
      <c r="E141" s="2185">
        <f ca="1" xml:space="preserve"> ((((E$108*(IF(MHDV_Inputs!$C$100=1,Mat_Sum!$BW30,IF(MHDV_Inputs!$C$100=2,Mat_Sum!$BV30,IF(MHDV_Inputs!$C$100=3,Mat_Sum!$BU30,Mat_Sum!$BT30))))))+(E$108*LiMn2O4!$E$9*Mat_Sum!$CE30)+(E$109*Mat_Sum!$CF30)+(E$110*Mat_Sum!$CO30)+(E$111*Mat_Sum!$CG30)+(E$112*Mat_Sum!$AG30)+(E$113*Mat_Sum!$I30)+(E$114*Mat_Sum!$L30)+(E$115*Mat_Sum!$CI30)+(E$116*Mat_Sum!$CJ30)+(E$117*Mat_Sum!$CK30)+(E$118*Mat_Sum!$AQ30)+(E$119*Mat_Sum!$AO30)+(E$120*Mat_Sum!$AP30)+(E$121*Mat_Sum!$D30)+(E$122*Mat_Sum!$BE30)+(E$123*Mat_Sum!$CM30)+(E$124*Mat_Sum!$CL30))+(Battery_Assembly!$F76*$E$34/2.2046*$B$29/1000))*(1+$C$18)</f>
        <v>3561.9676168555443</v>
      </c>
      <c r="F141" s="2136"/>
      <c r="G141" s="2136"/>
      <c r="H141" s="2136"/>
      <c r="I141" s="2136"/>
      <c r="J141" s="2136"/>
      <c r="K141" s="2268"/>
      <c r="L141" s="2268"/>
      <c r="M141" s="2268"/>
      <c r="N141" s="2321"/>
      <c r="O141" s="2321"/>
      <c r="P141" s="2331"/>
      <c r="Q141" s="2331"/>
      <c r="R141" s="2321"/>
      <c r="S141" s="2321"/>
      <c r="T141" s="2321"/>
      <c r="U141" s="2321"/>
      <c r="V141" s="2321"/>
      <c r="W141" s="2321"/>
      <c r="X141" s="2321"/>
      <c r="Y141" s="2321"/>
      <c r="Z141" s="2321"/>
      <c r="AA141" s="2321"/>
      <c r="AB141" s="2321"/>
    </row>
    <row r="142" spans="1:28" ht="15.75">
      <c r="A142" s="2093" t="s">
        <v>2547</v>
      </c>
      <c r="B142" s="2151"/>
      <c r="C142" s="2136">
        <f ca="1" xml:space="preserve"> ((((C$108*(IF(MHDV_Inputs!$C$98=1,Mat_Sum!$BW31,IF(MHDV_Inputs!$C$98=2,Mat_Sum!$BV31,IF(MHDV_Inputs!$C$98=3,Mat_Sum!$BU31,Mat_Sum!$BT31))))))+(C$108*LiMn2O4!$E$9*Mat_Sum!$CE31)+(C$109*Mat_Sum!$CF31)+(C$110*Mat_Sum!$CO31)+(C$111*Mat_Sum!$CG31)+(C$112*Mat_Sum!$AG31)+(C$113*Mat_Sum!$I31)+(C$114*Mat_Sum!$L31)+(C$115*Mat_Sum!$CI31)+(C$116*Mat_Sum!$CJ31)+(C$117*Mat_Sum!$CK31)+(C$118*Mat_Sum!$AQ31)+(C$119*Mat_Sum!$AO31)+(C$120*Mat_Sum!$AP31)+(C$121*Mat_Sum!$D31)+(C$122*Mat_Sum!$BE31)+(C$123*Mat_Sum!$CM31)+(C$124*Mat_Sum!$CL31))+(Battery_Assembly!$F77*$C$34/2.2046*$B$27/1000))*(1+$C$16)</f>
        <v>42.168961308204366</v>
      </c>
      <c r="D142" s="2136">
        <f ca="1" xml:space="preserve"> (((((D$108*(IF(MHDV_Inputs!$C$99=1,Mat_Sum!$BW31,IF(MHDV_Inputs!$C$99=2,Mat_Sum!$BV31,IF(MHDV_Inputs!$C$99=3,Mat_Sum!$BU31,Mat_Sum!$BT31))))))))+(D$108*LiMn2O4!$E$9*Mat_Sum!$CE31)+(D$109*Mat_Sum!$CF31)+(D$110*Mat_Sum!$CO31)+(D$111*Mat_Sum!$CG31)+(D$112*Mat_Sum!$AG31)+(D$113*Mat_Sum!$I31)+(D$114*Mat_Sum!$L31)+(D$115*Mat_Sum!$CI31)+(D$116*Mat_Sum!$CJ31)+(D$117*Mat_Sum!$CK31)+(D$118*Mat_Sum!$AQ31)+(D$119*Mat_Sum!$AO31)+(D$120*Mat_Sum!$AP31)+(D$121*Mat_Sum!$D31)+(D$122*Mat_Sum!$BE31)+(D$123*Mat_Sum!$CM31)+(D$124*Mat_Sum!$CL31)+(Battery_Assembly!$F77*$B$11))*(1+$C$17)</f>
        <v>7414.869715554004</v>
      </c>
      <c r="E142" s="2185">
        <f ca="1" xml:space="preserve"> ((((E$108*(IF(MHDV_Inputs!$C$100=1,Mat_Sum!$BW31,IF(MHDV_Inputs!$C$100=2,Mat_Sum!$BV31,IF(MHDV_Inputs!$C$100=3,Mat_Sum!$BU31,Mat_Sum!$BT31))))))+(E$108*LiMn2O4!$E$9*Mat_Sum!$CE31)+(E$109*Mat_Sum!$CF31)+(E$110*Mat_Sum!$CO31)+(E$111*Mat_Sum!$CG31)+(E$112*Mat_Sum!$AG31)+(E$113*Mat_Sum!$I31)+(E$114*Mat_Sum!$L31)+(E$115*Mat_Sum!$CI31)+(E$116*Mat_Sum!$CJ31)+(E$117*Mat_Sum!$CK31)+(E$118*Mat_Sum!$AQ31)+(E$119*Mat_Sum!$AO31)+(E$120*Mat_Sum!$AP31)+(E$121*Mat_Sum!$D31)+(E$122*Mat_Sum!$BE31)+(E$123*Mat_Sum!$CM31)+(E$124*Mat_Sum!$CL31))+(Battery_Assembly!$F77*$E$34/2.2046*$B$29/1000))*(1+$C$18)</f>
        <v>52.005804673269225</v>
      </c>
      <c r="F142" s="2136"/>
      <c r="G142" s="2136"/>
      <c r="H142" s="2136"/>
      <c r="I142" s="2136"/>
      <c r="J142" s="2136"/>
      <c r="K142" s="2268"/>
      <c r="L142" s="2268"/>
      <c r="M142" s="2268"/>
      <c r="N142" s="2321"/>
      <c r="O142" s="2321"/>
      <c r="P142" s="2331"/>
      <c r="Q142" s="2331"/>
      <c r="R142" s="2321"/>
      <c r="S142" s="2321"/>
      <c r="T142" s="2321"/>
      <c r="U142" s="2321"/>
      <c r="V142" s="2321"/>
      <c r="W142" s="2321"/>
      <c r="X142" s="2321"/>
      <c r="Y142" s="2321"/>
      <c r="Z142" s="2321"/>
      <c r="AA142" s="2321"/>
      <c r="AB142" s="2321"/>
    </row>
    <row r="143" spans="1:28" ht="15.75">
      <c r="A143" s="2093" t="s">
        <v>2548</v>
      </c>
      <c r="B143" s="2271"/>
      <c r="C143" s="2144">
        <f ca="1" xml:space="preserve"> ((((C$108*(IF(MHDV_Inputs!$C$98=1,Mat_Sum!$BW32,IF(MHDV_Inputs!$C$98=2,Mat_Sum!$BV32,IF(MHDV_Inputs!$C$98=3,Mat_Sum!$BU32,Mat_Sum!$BT32))))))+(C$108*LiMn2O4!$E$9*Mat_Sum!$CE32)+(C$109*Mat_Sum!$CF32)+(C$110*Mat_Sum!$CO32)+(C$111*Mat_Sum!$CG32)+(C$112*Mat_Sum!$AG32)+(C$113*Mat_Sum!$I32)+(C$114*Mat_Sum!$L32)+(C$115*Mat_Sum!$CI32)+(C$116*Mat_Sum!$CJ32)+(C$117*Mat_Sum!$CK32)+(C$118*Mat_Sum!$AQ32)+(C$119*Mat_Sum!$AO32)+(C$120*Mat_Sum!$AP32)+(C$121*Mat_Sum!$D32)+(C$122*Mat_Sum!$BE32)+(C$123*Mat_Sum!$CM32)+(C$124*Mat_Sum!$CL32))+(Battery_Assembly!$F78*$C$34/2.2046*$B$27/1000))*(1+$C$16)</f>
        <v>1287718.1158037281</v>
      </c>
      <c r="D143" s="2144">
        <f ca="1" xml:space="preserve"> (((((D$108*(IF(MHDV_Inputs!$C$99=1,Mat_Sum!$BW32,IF(MHDV_Inputs!$C$99=2,Mat_Sum!$BV32,IF(MHDV_Inputs!$C$99=3,Mat_Sum!$BU32,Mat_Sum!$BT32))))))))+(D$108*LiMn2O4!$E$9*Mat_Sum!$CE32)+(D$109*Mat_Sum!$CF32)+(D$110*Mat_Sum!$CO32)+(D$111*Mat_Sum!$CG32)+(D$112*Mat_Sum!$AG32)+(D$113*Mat_Sum!$I32)+(D$114*Mat_Sum!$L32)+(D$115*Mat_Sum!$CI32)+(D$116*Mat_Sum!$CJ32)+(D$117*Mat_Sum!$CK32)+(D$118*Mat_Sum!$AQ32)+(D$119*Mat_Sum!$AO32)+(D$120*Mat_Sum!$AP32)+(D$121*Mat_Sum!$D32)+(D$122*Mat_Sum!$BE32)+(D$123*Mat_Sum!$CM32)+(D$124*Mat_Sum!$CL32)+(Battery_Assembly!$F78*$B$11))*(1+$C$17)</f>
        <v>188830378.02612114</v>
      </c>
      <c r="E143" s="2293">
        <f ca="1" xml:space="preserve"> ((((E$108*(IF(MHDV_Inputs!$C$100=1,Mat_Sum!$BW32,IF(MHDV_Inputs!$C$100=2,Mat_Sum!$BV32,IF(MHDV_Inputs!$C$100=3,Mat_Sum!$BU32,Mat_Sum!$BT32))))))+(E$108*LiMn2O4!$E$9*Mat_Sum!$CE32)+(E$109*Mat_Sum!$CF32)+(E$110*Mat_Sum!$CO32)+(E$111*Mat_Sum!$CG32)+(E$112*Mat_Sum!$AG32)+(E$113*Mat_Sum!$I32)+(E$114*Mat_Sum!$L32)+(E$115*Mat_Sum!$CI32)+(E$116*Mat_Sum!$CJ32)+(E$117*Mat_Sum!$CK32)+(E$118*Mat_Sum!$AQ32)+(E$119*Mat_Sum!$AO32)+(E$120*Mat_Sum!$AP32)+(E$121*Mat_Sum!$D32)+(E$122*Mat_Sum!$BE32)+(E$123*Mat_Sum!$CM32)+(E$124*Mat_Sum!$CL32))+(Battery_Assembly!$F78*$E$34/2.2046*$B$29/1000))*(1+$C$18)</f>
        <v>1553334.2200540612</v>
      </c>
      <c r="F143" s="2237"/>
      <c r="G143" s="2237"/>
      <c r="H143" s="2144"/>
      <c r="I143" s="2144"/>
      <c r="J143" s="2237"/>
      <c r="K143" s="2268"/>
      <c r="L143" s="2268"/>
      <c r="M143" s="2268"/>
      <c r="N143" s="2321"/>
      <c r="O143" s="2321"/>
      <c r="P143" s="2331"/>
      <c r="Q143" s="2331"/>
      <c r="R143" s="2321"/>
      <c r="S143" s="2321"/>
      <c r="T143" s="2321"/>
      <c r="U143" s="2321"/>
      <c r="V143" s="2321"/>
      <c r="W143" s="2321"/>
      <c r="X143" s="2321"/>
      <c r="Y143" s="2321"/>
      <c r="Z143" s="2321"/>
      <c r="AA143" s="2321"/>
      <c r="AB143" s="2321"/>
    </row>
    <row r="144" spans="1:28" ht="15.75">
      <c r="A144" s="2093" t="s">
        <v>2550</v>
      </c>
      <c r="B144" s="2271"/>
      <c r="C144" s="2144">
        <f ca="1" xml:space="preserve"> ((((C$108*(IF(MHDV_Inputs!$C$98=1,Mat_Sum!$BW33,IF(MHDV_Inputs!$C$98=2,Mat_Sum!$BV33,IF(MHDV_Inputs!$C$98=3,Mat_Sum!$BU33,Mat_Sum!$BT33))))))+(C$108*LiMn2O4!$E$9*Mat_Sum!$CE33)+(C$109*Mat_Sum!$CF33)+(C$110*Mat_Sum!$CO33)+(C$111*Mat_Sum!$CG33)+(C$112*Mat_Sum!$AG33)+(C$113*Mat_Sum!$I33)+(C$114*Mat_Sum!$L33)+(C$115*Mat_Sum!$CI33)+(C$116*Mat_Sum!$CJ33)+(C$117*Mat_Sum!$CK33)+(C$118*Mat_Sum!$AQ33)+(C$119*Mat_Sum!$AO33)+(C$120*Mat_Sum!$AP33)+(C$121*Mat_Sum!$D33)+(C$122*Mat_Sum!$BE33)+(C$123*Mat_Sum!$CM33)+(C$124*Mat_Sum!$CL33))+(Battery_Assembly!$F79*$C$34/2.2046*$B$27/1000))*(1+$C$16)</f>
        <v>1289795.8220454776</v>
      </c>
      <c r="D144" s="2144">
        <f ca="1" xml:space="preserve"> (((((D$108*(IF(MHDV_Inputs!$C$99=1,Mat_Sum!$BW33,IF(MHDV_Inputs!$C$99=2,Mat_Sum!$BV33,IF(MHDV_Inputs!$C$99=3,Mat_Sum!$BU33,Mat_Sum!$BT33))))))))+(D$108*LiMn2O4!$E$9*Mat_Sum!$CE33)+(D$109*Mat_Sum!$CF33)+(D$110*Mat_Sum!$CO33)+(D$111*Mat_Sum!$CG33)+(D$112*Mat_Sum!$AG33)+(D$113*Mat_Sum!$I33)+(D$114*Mat_Sum!$L33)+(D$115*Mat_Sum!$CI33)+(D$116*Mat_Sum!$CJ33)+(D$117*Mat_Sum!$CK33)+(D$118*Mat_Sum!$AQ33)+(D$119*Mat_Sum!$AO33)+(D$120*Mat_Sum!$AP33)+(D$121*Mat_Sum!$D33)+(D$122*Mat_Sum!$BE33)+(D$123*Mat_Sum!$CM33)+(D$124*Mat_Sum!$CL33)+(Battery_Assembly!$F79*$B$11))*(1+$C$17)</f>
        <v>189160036.48555905</v>
      </c>
      <c r="E144" s="2293">
        <f ca="1" xml:space="preserve"> ((((E$108*(IF(MHDV_Inputs!$C$100=1,Mat_Sum!$BW33,IF(MHDV_Inputs!$C$100=2,Mat_Sum!$BV33,IF(MHDV_Inputs!$C$100=3,Mat_Sum!$BU33,Mat_Sum!$BT33))))))+(E$108*LiMn2O4!$E$9*Mat_Sum!$CE33)+(E$109*Mat_Sum!$CF33)+(E$110*Mat_Sum!$CO33)+(E$111*Mat_Sum!$CG33)+(E$112*Mat_Sum!$AG33)+(E$113*Mat_Sum!$I33)+(E$114*Mat_Sum!$L33)+(E$115*Mat_Sum!$CI33)+(E$116*Mat_Sum!$CJ33)+(E$117*Mat_Sum!$CK33)+(E$118*Mat_Sum!$AQ33)+(E$119*Mat_Sum!$AO33)+(E$120*Mat_Sum!$AP33)+(E$121*Mat_Sum!$D33)+(E$122*Mat_Sum!$BE33)+(E$123*Mat_Sum!$CM33)+(E$124*Mat_Sum!$CL33))+(Battery_Assembly!$F79*$E$34/2.2046*$B$29/1000))*(1+$C$18)</f>
        <v>1555872.226761885</v>
      </c>
      <c r="F144" s="2237"/>
      <c r="G144" s="2237"/>
      <c r="H144" s="2144"/>
      <c r="I144" s="2144"/>
      <c r="J144" s="2237"/>
      <c r="K144" s="2268"/>
      <c r="L144" s="2268"/>
      <c r="M144" s="2268"/>
      <c r="N144" s="2321"/>
      <c r="O144" s="2321"/>
      <c r="P144" s="2331"/>
      <c r="Q144" s="2331"/>
      <c r="R144" s="2321"/>
      <c r="S144" s="2321"/>
      <c r="T144" s="2321"/>
      <c r="U144" s="2321"/>
      <c r="V144" s="2321"/>
      <c r="W144" s="2321"/>
      <c r="X144" s="2321"/>
      <c r="Y144" s="2321"/>
      <c r="Z144" s="2321"/>
      <c r="AA144" s="2321"/>
      <c r="AB144" s="2321"/>
    </row>
    <row r="145" spans="1:28">
      <c r="A145" s="2142" t="s">
        <v>851</v>
      </c>
      <c r="B145" s="2191"/>
      <c r="C145" s="2272">
        <f ca="1" xml:space="preserve"> ((((C$108*(IF(MHDV_Inputs!$C$98=1,Mat_Sum!$BW34,IF(MHDV_Inputs!$C$98=2,Mat_Sum!$BV34,IF(MHDV_Inputs!$C$98=3,Mat_Sum!$BU34,Mat_Sum!$BT34))))))+(C$108*LiMn2O4!$E$9*Mat_Sum!$CE34)+(C$109*Mat_Sum!$CF34)+(C$110*Mat_Sum!$CO34)+(C$111*Mat_Sum!$CG34)+(C$112*Mat_Sum!$AG34)+(C$113*Mat_Sum!$I34)+(C$114*Mat_Sum!$L34)+(C$115*Mat_Sum!$CI34)+(C$116*Mat_Sum!$CJ34)+(C$117*Mat_Sum!$CK34)+(C$118*Mat_Sum!$AQ34)+(C$119*Mat_Sum!$AO34)+(C$120*Mat_Sum!$AP34)+(C$121*Mat_Sum!$D34)+(C$122*Mat_Sum!$BE34)+(C$123*Mat_Sum!$CM34)+(C$124*Mat_Sum!$CL34))+(Battery_Assembly!$F80*$C$34/2.2046*$B$27/1000))*(1+$C$16)</f>
        <v>1415009.9732342886</v>
      </c>
      <c r="D145" s="2272">
        <f ca="1" xml:space="preserve"> (((((D$108*(IF(MHDV_Inputs!$C$99=1,Mat_Sum!$BW34,IF(MHDV_Inputs!$C$99=2,Mat_Sum!$BV34,IF(MHDV_Inputs!$C$99=3,Mat_Sum!$BU34,Mat_Sum!$BT34))))))))+(D$108*LiMn2O4!$E$9*Mat_Sum!$CE34)+(D$109*Mat_Sum!$CF34)+(D$110*Mat_Sum!$CO34)+(D$111*Mat_Sum!$CG34)+(D$112*Mat_Sum!$AG34)+(D$113*Mat_Sum!$I34)+(D$114*Mat_Sum!$L34)+(D$115*Mat_Sum!$CI34)+(D$116*Mat_Sum!$CJ34)+(D$117*Mat_Sum!$CK34)+(D$118*Mat_Sum!$AQ34)+(D$119*Mat_Sum!$AO34)+(D$120*Mat_Sum!$AP34)+(D$121*Mat_Sum!$D34)+(D$122*Mat_Sum!$BE34)+(D$123*Mat_Sum!$CM34)+(D$124*Mat_Sum!$CL34)+(Battery_Assembly!$F80*$B$11))*(1+$C$17)</f>
        <v>205912932.09457237</v>
      </c>
      <c r="E145" s="2226">
        <f ca="1" xml:space="preserve"> ((((E$108*(IF(MHDV_Inputs!$C$100=1,Mat_Sum!$BW34,IF(MHDV_Inputs!$C$100=2,Mat_Sum!$BV34,IF(MHDV_Inputs!$C$100=3,Mat_Sum!$BU34,Mat_Sum!$BT34))))))+(E$108*LiMn2O4!$E$9*Mat_Sum!$CE34)+(E$109*Mat_Sum!$CF34)+(E$110*Mat_Sum!$CO34)+(E$111*Mat_Sum!$CG34)+(E$112*Mat_Sum!$AG34)+(E$113*Mat_Sum!$I34)+(E$114*Mat_Sum!$L34)+(E$115*Mat_Sum!$CI34)+(E$116*Mat_Sum!$CJ34)+(E$117*Mat_Sum!$CK34)+(E$118*Mat_Sum!$AQ34)+(E$119*Mat_Sum!$AO34)+(E$120*Mat_Sum!$AP34)+(E$121*Mat_Sum!$D34)+(E$122*Mat_Sum!$BE34)+(E$123*Mat_Sum!$CM34)+(E$124*Mat_Sum!$CL34))+(Battery_Assembly!$F80*$E$34/2.2046*$B$29/1000))*(1+$C$18)</f>
        <v>1705154.7542147206</v>
      </c>
      <c r="F145" s="2237"/>
      <c r="G145" s="2237"/>
      <c r="H145" s="2144"/>
      <c r="I145" s="2144"/>
      <c r="J145" s="2237"/>
      <c r="K145" s="2268"/>
      <c r="L145" s="2268"/>
      <c r="M145" s="2268"/>
      <c r="N145" s="2321"/>
      <c r="O145" s="2321"/>
      <c r="P145" s="2331"/>
      <c r="Q145" s="2331"/>
      <c r="R145" s="2321"/>
      <c r="S145" s="2321"/>
      <c r="T145" s="2321"/>
      <c r="U145" s="2321"/>
      <c r="V145" s="2321"/>
      <c r="W145" s="2321"/>
      <c r="X145" s="2321"/>
      <c r="Y145" s="2321"/>
      <c r="Z145" s="2321"/>
      <c r="AA145" s="2321"/>
      <c r="AB145" s="2321"/>
    </row>
    <row r="146" spans="1:28">
      <c r="A146" s="2155" t="s">
        <v>1521</v>
      </c>
      <c r="B146" s="2320"/>
      <c r="C146" s="2251"/>
      <c r="D146" s="2251"/>
      <c r="E146" s="2186"/>
      <c r="F146" s="2254"/>
      <c r="G146" s="2254"/>
      <c r="H146" s="2136"/>
      <c r="I146" s="2136"/>
      <c r="J146" s="2254"/>
      <c r="K146" s="2268"/>
      <c r="L146" s="2268"/>
      <c r="M146" s="2268"/>
      <c r="N146" s="2321"/>
      <c r="O146" s="2321"/>
      <c r="P146" s="2331"/>
      <c r="Q146" s="2331"/>
      <c r="R146" s="2321"/>
      <c r="S146" s="2321"/>
      <c r="T146" s="2321"/>
      <c r="U146" s="2321"/>
      <c r="V146" s="2321"/>
      <c r="W146" s="2321"/>
      <c r="X146" s="2321"/>
      <c r="Y146" s="2321"/>
      <c r="Z146" s="2321"/>
      <c r="AA146" s="2321"/>
      <c r="AB146" s="2321"/>
    </row>
    <row r="147" spans="1:28">
      <c r="A147" s="2093" t="s">
        <v>821</v>
      </c>
      <c r="B147" s="2151"/>
      <c r="C147" s="2136">
        <f ca="1" xml:space="preserve"> ((((C$108*(IF(MHDV_Inputs!$C$98=1,Mat_Sum!$BW36,IF(MHDV_Inputs!$C$98=2,Mat_Sum!$BV36,IF(MHDV_Inputs!$C$98=3,Mat_Sum!$BU36,Mat_Sum!$BT36))))))+(C$108*LiMn2O4!$E$9*Mat_Sum!$CE36)+(C$109*Mat_Sum!$CF36)+(C$110*Mat_Sum!$CO36)+(C$111*Mat_Sum!$CG36)+(C$112*Mat_Sum!$AG36)+(C$113*Mat_Sum!$I36)+(C$114*Mat_Sum!$L36)+(C$115*Mat_Sum!$CI36)+(C$116*Mat_Sum!$CJ36)+(C$117*Mat_Sum!$CK36)+(C$118*Mat_Sum!$AQ36)+(C$119*Mat_Sum!$AO36)+(C$120*Mat_Sum!$AP36)+(C$121*Mat_Sum!$D36)+(C$122*Mat_Sum!$BE36)+(C$123*Mat_Sum!$CM36)+(C$124*Mat_Sum!$CL36))+(Battery_Assembly!$F82*$C$34/2.2046*$B$27/1000))*(1+$C$16)</f>
        <v>17.11789169594088</v>
      </c>
      <c r="D147" s="2136">
        <f ca="1" xml:space="preserve"> (((((D$108*(IF(MHDV_Inputs!$C$99=1,Mat_Sum!$BW36,IF(MHDV_Inputs!$C$99=2,Mat_Sum!$BV36,IF(MHDV_Inputs!$C$99=3,Mat_Sum!$BU36,Mat_Sum!$BT36))))))))+(D$108*LiMn2O4!$E$9*Mat_Sum!$CE36)+(D$109*Mat_Sum!$CF36)+(D$110*Mat_Sum!$CO36)+(D$111*Mat_Sum!$CG36)+(D$112*Mat_Sum!$AG36)+(D$113*Mat_Sum!$I36)+(D$114*Mat_Sum!$L36)+(D$115*Mat_Sum!$CI36)+(D$116*Mat_Sum!$CJ36)+(D$117*Mat_Sum!$CK36)+(D$118*Mat_Sum!$AQ36)+(D$119*Mat_Sum!$AO36)+(D$120*Mat_Sum!$AP36)+(D$121*Mat_Sum!$D36)+(D$122*Mat_Sum!$BE36)+(D$123*Mat_Sum!$CM36)+(D$124*Mat_Sum!$CL36)+(Battery_Assembly!$F82*$B$11))*(1+$C$17)</f>
        <v>2289.8413490096391</v>
      </c>
      <c r="E147" s="2185">
        <f ca="1" xml:space="preserve"> ((((E$108*(IF(MHDV_Inputs!$C$100=1,Mat_Sum!$BW36,IF(MHDV_Inputs!$C$100=2,Mat_Sum!$BV36,IF(MHDV_Inputs!$C$100=3,Mat_Sum!$BU36,Mat_Sum!$BT36))))))+(E$108*LiMn2O4!$E$9*Mat_Sum!$CE36)+(E$109*Mat_Sum!$CF36)+(E$110*Mat_Sum!$CO36)+(E$111*Mat_Sum!$CG36)+(E$112*Mat_Sum!$AG36)+(E$113*Mat_Sum!$I36)+(E$114*Mat_Sum!$L36)+(E$115*Mat_Sum!$CI36)+(E$116*Mat_Sum!$CJ36)+(E$117*Mat_Sum!$CK36)+(E$118*Mat_Sum!$AQ36)+(E$119*Mat_Sum!$AO36)+(E$120*Mat_Sum!$AP36)+(E$121*Mat_Sum!$D36)+(E$122*Mat_Sum!$BE36)+(E$123*Mat_Sum!$CM36)+(E$124*Mat_Sum!$CL36))+(Battery_Assembly!$F82*$E$34/2.2046*$B$29/1000))*(1+$C$18)</f>
        <v>20.344080440106705</v>
      </c>
      <c r="F147" s="2136"/>
      <c r="G147" s="2136"/>
      <c r="H147" s="2136"/>
      <c r="I147" s="2136"/>
      <c r="J147" s="2136"/>
      <c r="K147" s="2268"/>
      <c r="L147" s="2268"/>
      <c r="M147" s="2268"/>
      <c r="N147" s="2321"/>
      <c r="O147" s="2321"/>
      <c r="P147" s="2331"/>
      <c r="Q147" s="2331"/>
      <c r="R147" s="2321"/>
      <c r="S147" s="2321"/>
      <c r="T147" s="2321"/>
      <c r="U147" s="2321"/>
      <c r="V147" s="2321"/>
      <c r="W147" s="2321"/>
      <c r="X147" s="2321"/>
      <c r="Y147" s="2321"/>
      <c r="Z147" s="2321"/>
      <c r="AA147" s="2321"/>
      <c r="AB147" s="2321"/>
    </row>
    <row r="148" spans="1:28">
      <c r="A148" s="2093" t="s">
        <v>822</v>
      </c>
      <c r="B148" s="2151"/>
      <c r="C148" s="2136">
        <f ca="1" xml:space="preserve"> ((((C$108*(IF(MHDV_Inputs!$C$98=1,Mat_Sum!$BW37,IF(MHDV_Inputs!$C$98=2,Mat_Sum!$BV37,IF(MHDV_Inputs!$C$98=3,Mat_Sum!$BU37,Mat_Sum!$BT37))))))+(C$108*LiMn2O4!$E$9*Mat_Sum!$CE37)+(C$109*Mat_Sum!$CF37)+(C$110*Mat_Sum!$CO37)+(C$111*Mat_Sum!$CG37)+(C$112*Mat_Sum!$AG37)+(C$113*Mat_Sum!$I37)+(C$114*Mat_Sum!$L37)+(C$115*Mat_Sum!$CI37)+(C$116*Mat_Sum!$CJ37)+(C$117*Mat_Sum!$CK37)+(C$118*Mat_Sum!$AQ37)+(C$119*Mat_Sum!$AO37)+(C$120*Mat_Sum!$AP37)+(C$121*Mat_Sum!$D37)+(C$122*Mat_Sum!$BE37)+(C$123*Mat_Sum!$CM37)+(C$124*Mat_Sum!$CL37))+(Battery_Assembly!$F83*$C$34/2.2046*$B$27/1000))*(1+$C$16)</f>
        <v>53.992917536802594</v>
      </c>
      <c r="D148" s="2136">
        <f ca="1" xml:space="preserve"> (((((D$108*(IF(MHDV_Inputs!$C$99=1,Mat_Sum!$BW37,IF(MHDV_Inputs!$C$99=2,Mat_Sum!$BV37,IF(MHDV_Inputs!$C$99=3,Mat_Sum!$BU37,Mat_Sum!$BT37))))))))+(D$108*LiMn2O4!$E$9*Mat_Sum!$CE37)+(D$109*Mat_Sum!$CF37)+(D$110*Mat_Sum!$CO37)+(D$111*Mat_Sum!$CG37)+(D$112*Mat_Sum!$AG37)+(D$113*Mat_Sum!$I37)+(D$114*Mat_Sum!$L37)+(D$115*Mat_Sum!$CI37)+(D$116*Mat_Sum!$CJ37)+(D$117*Mat_Sum!$CK37)+(D$118*Mat_Sum!$AQ37)+(D$119*Mat_Sum!$AO37)+(D$120*Mat_Sum!$AP37)+(D$121*Mat_Sum!$D37)+(D$122*Mat_Sum!$BE37)+(D$123*Mat_Sum!$CM37)+(D$124*Mat_Sum!$CL37)+(Battery_Assembly!$F83*$B$11))*(1+$C$17)</f>
        <v>7434.0331632756543</v>
      </c>
      <c r="E148" s="2185">
        <f ca="1" xml:space="preserve"> ((((E$108*(IF(MHDV_Inputs!$C$100=1,Mat_Sum!$BW37,IF(MHDV_Inputs!$C$100=2,Mat_Sum!$BV37,IF(MHDV_Inputs!$C$100=3,Mat_Sum!$BU37,Mat_Sum!$BT37))))))+(E$108*LiMn2O4!$E$9*Mat_Sum!$CE37)+(E$109*Mat_Sum!$CF37)+(E$110*Mat_Sum!$CO37)+(E$111*Mat_Sum!$CG37)+(E$112*Mat_Sum!$AG37)+(E$113*Mat_Sum!$I37)+(E$114*Mat_Sum!$L37)+(E$115*Mat_Sum!$CI37)+(E$116*Mat_Sum!$CJ37)+(E$117*Mat_Sum!$CK37)+(E$118*Mat_Sum!$AQ37)+(E$119*Mat_Sum!$AO37)+(E$120*Mat_Sum!$AP37)+(E$121*Mat_Sum!$D37)+(E$122*Mat_Sum!$BE37)+(E$123*Mat_Sum!$CM37)+(E$124*Mat_Sum!$CL37))+(Battery_Assembly!$F83*$E$34/2.2046*$B$29/1000))*(1+$C$18)</f>
        <v>64.539190727871699</v>
      </c>
      <c r="F148" s="2136"/>
      <c r="G148" s="2136"/>
      <c r="H148" s="2136"/>
      <c r="I148" s="2136"/>
      <c r="J148" s="2136"/>
      <c r="K148" s="2268"/>
      <c r="L148" s="2268"/>
      <c r="M148" s="2268"/>
      <c r="N148" s="2321"/>
      <c r="O148" s="2321"/>
      <c r="P148" s="2331"/>
      <c r="Q148" s="2331"/>
      <c r="R148" s="2321"/>
      <c r="S148" s="2321"/>
      <c r="T148" s="2321"/>
      <c r="U148" s="2321"/>
      <c r="V148" s="2321"/>
      <c r="W148" s="2321"/>
      <c r="X148" s="2321"/>
      <c r="Y148" s="2321"/>
      <c r="Z148" s="2321"/>
      <c r="AA148" s="2321"/>
      <c r="AB148" s="2321"/>
    </row>
    <row r="149" spans="1:28" ht="15.75">
      <c r="A149" s="2093" t="s">
        <v>2542</v>
      </c>
      <c r="B149" s="2151"/>
      <c r="C149" s="2136">
        <f ca="1" xml:space="preserve"> ((((C$108*(IF(MHDV_Inputs!$C$98=1,Mat_Sum!$BW38,IF(MHDV_Inputs!$C$98=2,Mat_Sum!$BV38,IF(MHDV_Inputs!$C$98=3,Mat_Sum!$BU38,Mat_Sum!$BT38))))))+(C$108*LiMn2O4!$E$9*Mat_Sum!$CE38)+(C$109*Mat_Sum!$CF38)+(C$110*Mat_Sum!$CO38)+(C$111*Mat_Sum!$CG38)+(C$112*Mat_Sum!$AG38)+(C$113*Mat_Sum!$I38)+(C$114*Mat_Sum!$L38)+(C$115*Mat_Sum!$CI38)+(C$116*Mat_Sum!$CJ38)+(C$117*Mat_Sum!$CK38)+(C$118*Mat_Sum!$AQ38)+(C$119*Mat_Sum!$AO38)+(C$120*Mat_Sum!$AP38)+(C$121*Mat_Sum!$D38)+(C$122*Mat_Sum!$BE38)+(C$123*Mat_Sum!$CM38)+(C$124*Mat_Sum!$CL38))+(Battery_Assembly!$F84*$C$34/2.2046*$B$27/1000))*(1+$C$16)</f>
        <v>132.30711585893934</v>
      </c>
      <c r="D149" s="2136">
        <f ca="1" xml:space="preserve"> (((((D$108*(IF(MHDV_Inputs!$C$99=1,Mat_Sum!$BW38,IF(MHDV_Inputs!$C$99=2,Mat_Sum!$BV38,IF(MHDV_Inputs!$C$99=3,Mat_Sum!$BU38,Mat_Sum!$BT38))))))))+(D$108*LiMn2O4!$E$9*Mat_Sum!$CE38)+(D$109*Mat_Sum!$CF38)+(D$110*Mat_Sum!$CO38)+(D$111*Mat_Sum!$CG38)+(D$112*Mat_Sum!$AG38)+(D$113*Mat_Sum!$I38)+(D$114*Mat_Sum!$L38)+(D$115*Mat_Sum!$CI38)+(D$116*Mat_Sum!$CJ38)+(D$117*Mat_Sum!$CK38)+(D$118*Mat_Sum!$AQ38)+(D$119*Mat_Sum!$AO38)+(D$120*Mat_Sum!$AP38)+(D$121*Mat_Sum!$D38)+(D$122*Mat_Sum!$BE38)+(D$123*Mat_Sum!$CM38)+(D$124*Mat_Sum!$CL38)+(Battery_Assembly!$F84*$B$11))*(1+$C$17)</f>
        <v>17681.609140906075</v>
      </c>
      <c r="E149" s="2185">
        <f ca="1" xml:space="preserve"> ((((E$108*(IF(MHDV_Inputs!$C$100=1,Mat_Sum!$BW38,IF(MHDV_Inputs!$C$100=2,Mat_Sum!$BV38,IF(MHDV_Inputs!$C$100=3,Mat_Sum!$BU38,Mat_Sum!$BT38))))))+(E$108*LiMn2O4!$E$9*Mat_Sum!$CE38)+(E$109*Mat_Sum!$CF38)+(E$110*Mat_Sum!$CO38)+(E$111*Mat_Sum!$CG38)+(E$112*Mat_Sum!$AG38)+(E$113*Mat_Sum!$I38)+(E$114*Mat_Sum!$L38)+(E$115*Mat_Sum!$CI38)+(E$116*Mat_Sum!$CJ38)+(E$117*Mat_Sum!$CK38)+(E$118*Mat_Sum!$AQ38)+(E$119*Mat_Sum!$AO38)+(E$120*Mat_Sum!$AP38)+(E$121*Mat_Sum!$D38)+(E$122*Mat_Sum!$BE38)+(E$123*Mat_Sum!$CM38)+(E$124*Mat_Sum!$CL38))+(Battery_Assembly!$F84*$E$34/2.2046*$B$29/1000))*(1+$C$18)</f>
        <v>157.63588319430062</v>
      </c>
      <c r="F149" s="2136"/>
      <c r="G149" s="2136"/>
      <c r="H149" s="2136"/>
      <c r="I149" s="2136"/>
      <c r="J149" s="2136"/>
      <c r="K149" s="2268"/>
      <c r="L149" s="2268"/>
      <c r="M149" s="2268"/>
      <c r="N149" s="2321"/>
      <c r="O149" s="2321"/>
      <c r="P149" s="2331"/>
      <c r="Q149" s="2331"/>
      <c r="R149" s="2321"/>
      <c r="S149" s="2321"/>
      <c r="T149" s="2321"/>
      <c r="U149" s="2321"/>
      <c r="V149" s="2321"/>
      <c r="W149" s="2321"/>
      <c r="X149" s="2321"/>
      <c r="Y149" s="2321"/>
      <c r="Z149" s="2321"/>
      <c r="AA149" s="2321"/>
      <c r="AB149" s="2321"/>
    </row>
    <row r="150" spans="1:28" ht="15.75">
      <c r="A150" s="2093" t="s">
        <v>2543</v>
      </c>
      <c r="B150" s="2151"/>
      <c r="C150" s="2136">
        <f ca="1" xml:space="preserve"> ((((C$108*(IF(MHDV_Inputs!$C$98=1,Mat_Sum!$BW39,IF(MHDV_Inputs!$C$98=2,Mat_Sum!$BV39,IF(MHDV_Inputs!$C$98=3,Mat_Sum!$BU39,Mat_Sum!$BT39))))))+(C$108*LiMn2O4!$E$9*Mat_Sum!$CE39)+(C$109*Mat_Sum!$CF39)+(C$110*Mat_Sum!$CO39)+(C$111*Mat_Sum!$CG39)+(C$112*Mat_Sum!$AG39)+(C$113*Mat_Sum!$I39)+(C$114*Mat_Sum!$L39)+(C$115*Mat_Sum!$CI39)+(C$116*Mat_Sum!$CJ39)+(C$117*Mat_Sum!$CK39)+(C$118*Mat_Sum!$AQ39)+(C$119*Mat_Sum!$AO39)+(C$120*Mat_Sum!$AP39)+(C$121*Mat_Sum!$D39)+(C$122*Mat_Sum!$BE39)+(C$123*Mat_Sum!$CM39)+(C$124*Mat_Sum!$CL39))+(Battery_Assembly!$F85*$C$34/2.2046*$B$27/1000))*(1+$C$16)</f>
        <v>14.895458573002786</v>
      </c>
      <c r="D150" s="2136">
        <f ca="1" xml:space="preserve"> (((((D$108*(IF(MHDV_Inputs!$C$99=1,Mat_Sum!$BW39,IF(MHDV_Inputs!$C$99=2,Mat_Sum!$BV39,IF(MHDV_Inputs!$C$99=3,Mat_Sum!$BU39,Mat_Sum!$BT39))))))))+(D$108*LiMn2O4!$E$9*Mat_Sum!$CE39)+(D$109*Mat_Sum!$CF39)+(D$110*Mat_Sum!$CO39)+(D$111*Mat_Sum!$CG39)+(D$112*Mat_Sum!$AG39)+(D$113*Mat_Sum!$I39)+(D$114*Mat_Sum!$L39)+(D$115*Mat_Sum!$CI39)+(D$116*Mat_Sum!$CJ39)+(D$117*Mat_Sum!$CK39)+(D$118*Mat_Sum!$AQ39)+(D$119*Mat_Sum!$AO39)+(D$120*Mat_Sum!$AP39)+(D$121*Mat_Sum!$D39)+(D$122*Mat_Sum!$BE39)+(D$123*Mat_Sum!$CM39)+(D$124*Mat_Sum!$CL39)+(Battery_Assembly!$F85*$B$11))*(1+$C$17)</f>
        <v>1901.6183999651662</v>
      </c>
      <c r="E150" s="2185">
        <f ca="1" xml:space="preserve"> ((((E$108*(IF(MHDV_Inputs!$C$100=1,Mat_Sum!$BW39,IF(MHDV_Inputs!$C$100=2,Mat_Sum!$BV39,IF(MHDV_Inputs!$C$100=3,Mat_Sum!$BU39,Mat_Sum!$BT39))))))+(E$108*LiMn2O4!$E$9*Mat_Sum!$CE39)+(E$109*Mat_Sum!$CF39)+(E$110*Mat_Sum!$CO39)+(E$111*Mat_Sum!$CG39)+(E$112*Mat_Sum!$AG39)+(E$113*Mat_Sum!$I39)+(E$114*Mat_Sum!$L39)+(E$115*Mat_Sum!$CI39)+(E$116*Mat_Sum!$CJ39)+(E$117*Mat_Sum!$CK39)+(E$118*Mat_Sum!$AQ39)+(E$119*Mat_Sum!$AO39)+(E$120*Mat_Sum!$AP39)+(E$121*Mat_Sum!$D39)+(E$122*Mat_Sum!$BE39)+(E$123*Mat_Sum!$CM39)+(E$124*Mat_Sum!$CL39))+(Battery_Assembly!$F85*$E$34/2.2046*$B$29/1000))*(1+$C$18)</f>
        <v>17.669263608026291</v>
      </c>
      <c r="F150" s="2136"/>
      <c r="G150" s="2136"/>
      <c r="H150" s="2136"/>
      <c r="I150" s="2136"/>
      <c r="J150" s="2136"/>
      <c r="K150" s="2268"/>
      <c r="L150" s="2268"/>
      <c r="M150" s="2268"/>
      <c r="N150" s="2321"/>
      <c r="O150" s="2321"/>
      <c r="P150" s="2331"/>
      <c r="Q150" s="2331"/>
      <c r="R150" s="2321"/>
      <c r="S150" s="2321"/>
      <c r="T150" s="2321"/>
      <c r="U150" s="2321"/>
      <c r="V150" s="2321"/>
      <c r="W150" s="2321"/>
      <c r="X150" s="2321"/>
      <c r="Y150" s="2321"/>
      <c r="Z150" s="2321"/>
      <c r="AA150" s="2321"/>
      <c r="AB150" s="2321"/>
    </row>
    <row r="151" spans="1:28" ht="15.75">
      <c r="A151" s="2093" t="s">
        <v>2544</v>
      </c>
      <c r="B151" s="2151"/>
      <c r="C151" s="2136">
        <f ca="1" xml:space="preserve"> ((((C$108*(IF(MHDV_Inputs!$C$98=1,Mat_Sum!$BW40,IF(MHDV_Inputs!$C$98=2,Mat_Sum!$BV40,IF(MHDV_Inputs!$C$98=3,Mat_Sum!$BU40,Mat_Sum!$BT40))))))+(C$108*LiMn2O4!$E$9*Mat_Sum!$CE40)+(C$109*Mat_Sum!$CF40)+(C$110*Mat_Sum!$CO40)+(C$111*Mat_Sum!$CG40)+(C$112*Mat_Sum!$AG40)+(C$113*Mat_Sum!$I40)+(C$114*Mat_Sum!$L40)+(C$115*Mat_Sum!$CI40)+(C$116*Mat_Sum!$CJ40)+(C$117*Mat_Sum!$CK40)+(C$118*Mat_Sum!$AQ40)+(C$119*Mat_Sum!$AO40)+(C$120*Mat_Sum!$AP40)+(C$121*Mat_Sum!$D40)+(C$122*Mat_Sum!$BE40)+(C$123*Mat_Sum!$CM40)+(C$124*Mat_Sum!$CL40))+(Battery_Assembly!$F86*$C$34/2.2046*$B$27/1000))*(1+$C$16)</f>
        <v>12.836038637912582</v>
      </c>
      <c r="D151" s="2136">
        <f ca="1" xml:space="preserve"> (((((D$108*(IF(MHDV_Inputs!$C$99=1,Mat_Sum!$BW40,IF(MHDV_Inputs!$C$99=2,Mat_Sum!$BV40,IF(MHDV_Inputs!$C$99=3,Mat_Sum!$BU40,Mat_Sum!$BT40))))))))+(D$108*LiMn2O4!$E$9*Mat_Sum!$CE40)+(D$109*Mat_Sum!$CF40)+(D$110*Mat_Sum!$CO40)+(D$111*Mat_Sum!$CG40)+(D$112*Mat_Sum!$AG40)+(D$113*Mat_Sum!$I40)+(D$114*Mat_Sum!$L40)+(D$115*Mat_Sum!$CI40)+(D$116*Mat_Sum!$CJ40)+(D$117*Mat_Sum!$CK40)+(D$118*Mat_Sum!$AQ40)+(D$119*Mat_Sum!$AO40)+(D$120*Mat_Sum!$AP40)+(D$121*Mat_Sum!$D40)+(D$122*Mat_Sum!$BE40)+(D$123*Mat_Sum!$CM40)+(D$124*Mat_Sum!$CL40)+(Battery_Assembly!$F86*$B$11))*(1+$C$17)</f>
        <v>1636.146329212467</v>
      </c>
      <c r="E151" s="2185">
        <f ca="1" xml:space="preserve"> ((((E$108*(IF(MHDV_Inputs!$C$100=1,Mat_Sum!$BW40,IF(MHDV_Inputs!$C$100=2,Mat_Sum!$BV40,IF(MHDV_Inputs!$C$100=3,Mat_Sum!$BU40,Mat_Sum!$BT40))))))+(E$108*LiMn2O4!$E$9*Mat_Sum!$CE40)+(E$109*Mat_Sum!$CF40)+(E$110*Mat_Sum!$CO40)+(E$111*Mat_Sum!$CG40)+(E$112*Mat_Sum!$AG40)+(E$113*Mat_Sum!$I40)+(E$114*Mat_Sum!$L40)+(E$115*Mat_Sum!$CI40)+(E$116*Mat_Sum!$CJ40)+(E$117*Mat_Sum!$CK40)+(E$118*Mat_Sum!$AQ40)+(E$119*Mat_Sum!$AO40)+(E$120*Mat_Sum!$AP40)+(E$121*Mat_Sum!$D40)+(E$122*Mat_Sum!$BE40)+(E$123*Mat_Sum!$CM40)+(E$124*Mat_Sum!$CL40))+(Battery_Assembly!$F86*$E$34/2.2046*$B$29/1000))*(1+$C$18)</f>
        <v>15.22167047129745</v>
      </c>
      <c r="F151" s="2136"/>
      <c r="G151" s="2136"/>
      <c r="H151" s="2136"/>
      <c r="I151" s="2136"/>
      <c r="J151" s="2136"/>
      <c r="K151" s="2268"/>
      <c r="L151" s="2268"/>
      <c r="M151" s="2268"/>
      <c r="N151" s="2321"/>
      <c r="O151" s="2321"/>
      <c r="P151" s="2331"/>
      <c r="Q151" s="2331"/>
      <c r="R151" s="2321"/>
      <c r="S151" s="2321"/>
      <c r="T151" s="2321"/>
      <c r="U151" s="2321"/>
      <c r="V151" s="2321"/>
      <c r="W151" s="2321"/>
      <c r="X151" s="2321"/>
      <c r="Y151" s="2321"/>
      <c r="Z151" s="2321"/>
      <c r="AA151" s="2321"/>
      <c r="AB151" s="2321"/>
    </row>
    <row r="152" spans="1:28" ht="15.75">
      <c r="A152" s="2093" t="s">
        <v>2545</v>
      </c>
      <c r="B152" s="2151"/>
      <c r="C152" s="2136">
        <f ca="1" xml:space="preserve"> ((((C$108*(IF(MHDV_Inputs!$C$98=1,Mat_Sum!$BW41,IF(MHDV_Inputs!$C$98=2,Mat_Sum!$BV41,IF(MHDV_Inputs!$C$98=3,Mat_Sum!$BU41,Mat_Sum!$BT41))))))+(C$108*LiMn2O4!$E$9*Mat_Sum!$CE41)+(C$109*Mat_Sum!$CF41)+(C$110*Mat_Sum!$CO41)+(C$111*Mat_Sum!$CG41)+(C$112*Mat_Sum!$AG41)+(C$113*Mat_Sum!$I41)+(C$114*Mat_Sum!$L41)+(C$115*Mat_Sum!$CI41)+(C$116*Mat_Sum!$CJ41)+(C$117*Mat_Sum!$CK41)+(C$118*Mat_Sum!$AQ41)+(C$119*Mat_Sum!$AO41)+(C$120*Mat_Sum!$AP41)+(C$121*Mat_Sum!$D41)+(C$122*Mat_Sum!$BE41)+(C$123*Mat_Sum!$CM41)+(C$124*Mat_Sum!$CL41))+(Battery_Assembly!$F87*$C$34/2.2046*$B$27/1000))*(1+$C$16)</f>
        <v>123.498301821053</v>
      </c>
      <c r="D152" s="2136">
        <f ca="1" xml:space="preserve"> (((((D$108*(IF(MHDV_Inputs!$C$99=1,Mat_Sum!$BW41,IF(MHDV_Inputs!$C$99=2,Mat_Sum!$BV41,IF(MHDV_Inputs!$C$99=3,Mat_Sum!$BU41,Mat_Sum!$BT41))))))))+(D$108*LiMn2O4!$E$9*Mat_Sum!$CE41)+(D$109*Mat_Sum!$CF41)+(D$110*Mat_Sum!$CO41)+(D$111*Mat_Sum!$CG41)+(D$112*Mat_Sum!$AG41)+(D$113*Mat_Sum!$I41)+(D$114*Mat_Sum!$L41)+(D$115*Mat_Sum!$CI41)+(D$116*Mat_Sum!$CJ41)+(D$117*Mat_Sum!$CK41)+(D$118*Mat_Sum!$AQ41)+(D$119*Mat_Sum!$AO41)+(D$120*Mat_Sum!$AP41)+(D$121*Mat_Sum!$D41)+(D$122*Mat_Sum!$BE41)+(D$123*Mat_Sum!$CM41)+(D$124*Mat_Sum!$CL41)+(Battery_Assembly!$F87*$B$11))*(1+$C$17)</f>
        <v>15759.160862836598</v>
      </c>
      <c r="E152" s="2185">
        <f ca="1" xml:space="preserve"> ((((E$108*(IF(MHDV_Inputs!$C$100=1,Mat_Sum!$BW41,IF(MHDV_Inputs!$C$100=2,Mat_Sum!$BV41,IF(MHDV_Inputs!$C$100=3,Mat_Sum!$BU41,Mat_Sum!$BT41))))))+(E$108*LiMn2O4!$E$9*Mat_Sum!$CE41)+(E$109*Mat_Sum!$CF41)+(E$110*Mat_Sum!$CO41)+(E$111*Mat_Sum!$CG41)+(E$112*Mat_Sum!$AG41)+(E$113*Mat_Sum!$I41)+(E$114*Mat_Sum!$L41)+(E$115*Mat_Sum!$CI41)+(E$116*Mat_Sum!$CJ41)+(E$117*Mat_Sum!$CK41)+(E$118*Mat_Sum!$AQ41)+(E$119*Mat_Sum!$AO41)+(E$120*Mat_Sum!$AP41)+(E$121*Mat_Sum!$D41)+(E$122*Mat_Sum!$BE41)+(E$123*Mat_Sum!$CM41)+(E$124*Mat_Sum!$CL41))+(Battery_Assembly!$F87*$E$34/2.2046*$B$29/1000))*(1+$C$18)</f>
        <v>146.68027761889851</v>
      </c>
      <c r="F152" s="2136"/>
      <c r="G152" s="2136"/>
      <c r="H152" s="2136"/>
      <c r="I152" s="2136"/>
      <c r="J152" s="2136"/>
      <c r="K152" s="2268"/>
      <c r="L152" s="2268"/>
      <c r="M152" s="2268"/>
      <c r="N152" s="2321"/>
      <c r="O152" s="2321"/>
      <c r="P152" s="2331"/>
      <c r="Q152" s="2331"/>
      <c r="R152" s="2321"/>
      <c r="S152" s="2321"/>
      <c r="T152" s="2321"/>
      <c r="U152" s="2321"/>
      <c r="V152" s="2321"/>
      <c r="W152" s="2321"/>
      <c r="X152" s="2321"/>
      <c r="Y152" s="2321"/>
      <c r="Z152" s="2321"/>
      <c r="AA152" s="2321"/>
      <c r="AB152" s="2321"/>
    </row>
    <row r="153" spans="1:28">
      <c r="A153" s="2093" t="s">
        <v>827</v>
      </c>
      <c r="B153" s="2151"/>
      <c r="C153" s="2136">
        <f ca="1" xml:space="preserve"> ((((C$108*(IF(MHDV_Inputs!$C$98=1,Mat_Sum!$BW42,IF(MHDV_Inputs!$C$98=2,Mat_Sum!$BV42,IF(MHDV_Inputs!$C$98=3,Mat_Sum!$BU42,Mat_Sum!$BT42))))))+(C$108*LiMn2O4!$E$9*Mat_Sum!$CE42)+(C$109*Mat_Sum!$CF42)+(C$110*Mat_Sum!$CO42)+(C$111*Mat_Sum!$CG42)+(C$112*Mat_Sum!$AG42)+(C$113*Mat_Sum!$I42)+(C$114*Mat_Sum!$L42)+(C$115*Mat_Sum!$CI42)+(C$116*Mat_Sum!$CJ42)+(C$117*Mat_Sum!$CK42)+(C$118*Mat_Sum!$AQ42)+(C$119*Mat_Sum!$AO42)+(C$120*Mat_Sum!$AP42)+(C$121*Mat_Sum!$D42)+(C$122*Mat_Sum!$BE42)+(C$123*Mat_Sum!$CM42)+(C$124*Mat_Sum!$CL42))+(Battery_Assembly!$F88*$C$34/2.2046*$B$27/1000))*(1+$C$16)</f>
        <v>0.72122692197050409</v>
      </c>
      <c r="D153" s="2136">
        <f ca="1" xml:space="preserve"> (((((D$108*(IF(MHDV_Inputs!$C$99=1,Mat_Sum!$BW42,IF(MHDV_Inputs!$C$99=2,Mat_Sum!$BV42,IF(MHDV_Inputs!$C$99=3,Mat_Sum!$BU42,Mat_Sum!$BT42))))))))+(D$108*LiMn2O4!$E$9*Mat_Sum!$CE42)+(D$109*Mat_Sum!$CF42)+(D$110*Mat_Sum!$CO42)+(D$111*Mat_Sum!$CG42)+(D$112*Mat_Sum!$AG42)+(D$113*Mat_Sum!$I42)+(D$114*Mat_Sum!$L42)+(D$115*Mat_Sum!$CI42)+(D$116*Mat_Sum!$CJ42)+(D$117*Mat_Sum!$CK42)+(D$118*Mat_Sum!$AQ42)+(D$119*Mat_Sum!$AO42)+(D$120*Mat_Sum!$AP42)+(D$121*Mat_Sum!$D42)+(D$122*Mat_Sum!$BE42)+(D$123*Mat_Sum!$CM42)+(D$124*Mat_Sum!$CL42)+(Battery_Assembly!$F88*$B$11))*(1+$C$17)</f>
        <v>94.675776756143705</v>
      </c>
      <c r="E153" s="2185">
        <f ca="1" xml:space="preserve"> ((((E$108*(IF(MHDV_Inputs!$C$100=1,Mat_Sum!$BW42,IF(MHDV_Inputs!$C$100=2,Mat_Sum!$BV42,IF(MHDV_Inputs!$C$100=3,Mat_Sum!$BU42,Mat_Sum!$BT42))))))+(E$108*LiMn2O4!$E$9*Mat_Sum!$CE42)+(E$109*Mat_Sum!$CF42)+(E$110*Mat_Sum!$CO42)+(E$111*Mat_Sum!$CG42)+(E$112*Mat_Sum!$AG42)+(E$113*Mat_Sum!$I42)+(E$114*Mat_Sum!$L42)+(E$115*Mat_Sum!$CI42)+(E$116*Mat_Sum!$CJ42)+(E$117*Mat_Sum!$CK42)+(E$118*Mat_Sum!$AQ42)+(E$119*Mat_Sum!$AO42)+(E$120*Mat_Sum!$AP42)+(E$121*Mat_Sum!$D42)+(E$122*Mat_Sum!$BE42)+(E$123*Mat_Sum!$CM42)+(E$124*Mat_Sum!$CL42))+(Battery_Assembly!$F88*$E$34/2.2046*$B$29/1000))*(1+$C$18)</f>
        <v>0.85809873301269457</v>
      </c>
      <c r="F153" s="2136"/>
      <c r="G153" s="2136"/>
      <c r="H153" s="2136"/>
      <c r="I153" s="2136"/>
      <c r="J153" s="2136"/>
      <c r="K153" s="2268"/>
      <c r="L153" s="2268"/>
      <c r="M153" s="2268"/>
      <c r="N153" s="2321"/>
      <c r="O153" s="2321"/>
      <c r="P153" s="2331"/>
      <c r="Q153" s="2331"/>
      <c r="R153" s="2321"/>
      <c r="S153" s="2321"/>
      <c r="T153" s="2321"/>
      <c r="U153" s="2321"/>
      <c r="V153" s="2321"/>
      <c r="W153" s="2321"/>
      <c r="X153" s="2321"/>
      <c r="Y153" s="2321"/>
      <c r="Z153" s="2321"/>
      <c r="AA153" s="2321"/>
      <c r="AB153" s="2321"/>
    </row>
    <row r="154" spans="1:28">
      <c r="A154" s="2142" t="s">
        <v>828</v>
      </c>
      <c r="B154" s="2159"/>
      <c r="C154" s="2242">
        <f ca="1" xml:space="preserve"> ((((C$108*(IF(MHDV_Inputs!$C$98=1,Mat_Sum!$BW43,IF(MHDV_Inputs!$C$98=2,Mat_Sum!$BV43,IF(MHDV_Inputs!$C$98=3,Mat_Sum!$BU43,Mat_Sum!$BT43))))))+(C$108*LiMn2O4!$E$9*Mat_Sum!$CE43)+(C$109*Mat_Sum!$CF43)+(C$110*Mat_Sum!$CO43)+(C$111*Mat_Sum!$CG43)+(C$112*Mat_Sum!$AG43)+(C$113*Mat_Sum!$I43)+(C$114*Mat_Sum!$L43)+(C$115*Mat_Sum!$CI43)+(C$116*Mat_Sum!$CJ43)+(C$117*Mat_Sum!$CK43)+(C$118*Mat_Sum!$AQ43)+(C$119*Mat_Sum!$AO43)+(C$120*Mat_Sum!$AP43)+(C$121*Mat_Sum!$D43)+(C$122*Mat_Sum!$BE43)+(C$123*Mat_Sum!$CM43)+(C$124*Mat_Sum!$CL43))+(Battery_Assembly!$F89*$C$34/2.2046*$B$27/1000))*(1+$C$16)</f>
        <v>2.7722981606132402</v>
      </c>
      <c r="D154" s="2242">
        <f ca="1" xml:space="preserve"> (((((D$108*(IF(MHDV_Inputs!$C$99=1,Mat_Sum!$BW43,IF(MHDV_Inputs!$C$99=2,Mat_Sum!$BV43,IF(MHDV_Inputs!$C$99=3,Mat_Sum!$BU43,Mat_Sum!$BT43))))))))+(D$108*LiMn2O4!$E$9*Mat_Sum!$CE43)+(D$109*Mat_Sum!$CF43)+(D$110*Mat_Sum!$CO43)+(D$111*Mat_Sum!$CG43)+(D$112*Mat_Sum!$AG43)+(D$113*Mat_Sum!$I43)+(D$114*Mat_Sum!$L43)+(D$115*Mat_Sum!$CI43)+(D$116*Mat_Sum!$CJ43)+(D$117*Mat_Sum!$CK43)+(D$118*Mat_Sum!$AQ43)+(D$119*Mat_Sum!$AO43)+(D$120*Mat_Sum!$AP43)+(D$121*Mat_Sum!$D43)+(D$122*Mat_Sum!$BE43)+(D$123*Mat_Sum!$CM43)+(D$124*Mat_Sum!$CL43)+(Battery_Assembly!$F89*$B$11))*(1+$C$17)</f>
        <v>341.74952199679001</v>
      </c>
      <c r="E154" s="2227">
        <f ca="1" xml:space="preserve"> ((((E$108*(IF(MHDV_Inputs!$C$100=1,Mat_Sum!$BW43,IF(MHDV_Inputs!$C$100=2,Mat_Sum!$BV43,IF(MHDV_Inputs!$C$100=3,Mat_Sum!$BU43,Mat_Sum!$BT43))))))+(E$108*LiMn2O4!$E$9*Mat_Sum!$CE43)+(E$109*Mat_Sum!$CF43)+(E$110*Mat_Sum!$CO43)+(E$111*Mat_Sum!$CG43)+(E$112*Mat_Sum!$AG43)+(E$113*Mat_Sum!$I43)+(E$114*Mat_Sum!$L43)+(E$115*Mat_Sum!$CI43)+(E$116*Mat_Sum!$CJ43)+(E$117*Mat_Sum!$CK43)+(E$118*Mat_Sum!$AQ43)+(E$119*Mat_Sum!$AO43)+(E$120*Mat_Sum!$AP43)+(E$121*Mat_Sum!$D43)+(E$122*Mat_Sum!$BE43)+(E$123*Mat_Sum!$CM43)+(E$124*Mat_Sum!$CL43))+(Battery_Assembly!$F89*$E$34/2.2046*$B$29/1000))*(1+$C$18)</f>
        <v>3.2701131977236741</v>
      </c>
      <c r="F154" s="2136"/>
      <c r="G154" s="2136"/>
      <c r="H154" s="2136"/>
      <c r="I154" s="2136"/>
      <c r="J154" s="2136"/>
      <c r="K154" s="2268"/>
      <c r="L154" s="2268"/>
      <c r="M154" s="2268"/>
      <c r="N154" s="2321"/>
      <c r="O154" s="2321"/>
      <c r="P154" s="2331"/>
      <c r="Q154" s="2331"/>
      <c r="R154" s="2321"/>
      <c r="S154" s="2321"/>
      <c r="T154" s="2321"/>
      <c r="U154" s="2321"/>
      <c r="V154" s="2321"/>
      <c r="W154" s="2321"/>
      <c r="X154" s="2321"/>
      <c r="Y154" s="2321"/>
      <c r="Z154" s="2321"/>
      <c r="AA154" s="2321"/>
      <c r="AB154" s="2321"/>
    </row>
    <row r="155" spans="1:28">
      <c r="L155" s="2321"/>
      <c r="M155" s="2321"/>
      <c r="N155" s="2321"/>
      <c r="O155" s="2321"/>
      <c r="P155" s="2321"/>
      <c r="Q155" s="2321"/>
      <c r="R155" s="2321"/>
      <c r="S155" s="2321"/>
      <c r="T155" s="2321"/>
      <c r="U155" s="2321"/>
      <c r="V155" s="2321"/>
      <c r="W155" s="2321"/>
      <c r="X155" s="2321"/>
      <c r="Y155" s="2321"/>
      <c r="Z155" s="2321"/>
      <c r="AA155" s="2321"/>
      <c r="AB155" s="2321"/>
    </row>
    <row r="156" spans="1:28" ht="15">
      <c r="A156" s="2084" t="s">
        <v>1524</v>
      </c>
    </row>
    <row r="157" spans="1:28">
      <c r="A157" s="2322"/>
      <c r="B157" s="2306" t="s">
        <v>203</v>
      </c>
      <c r="C157" s="2306" t="s">
        <v>194</v>
      </c>
      <c r="D157" s="2306" t="s">
        <v>167</v>
      </c>
      <c r="E157" s="2307" t="s">
        <v>198</v>
      </c>
      <c r="F157" s="2308"/>
      <c r="G157" s="2308"/>
      <c r="H157" s="2308"/>
      <c r="I157" s="2308"/>
      <c r="J157" s="2308"/>
      <c r="K157" s="2308"/>
    </row>
    <row r="158" spans="1:28">
      <c r="A158" s="2247" t="s">
        <v>1501</v>
      </c>
      <c r="B158" s="2172"/>
      <c r="C158" s="2251"/>
      <c r="D158" s="2251"/>
      <c r="E158" s="2186"/>
      <c r="F158" s="2136"/>
      <c r="G158" s="2136"/>
      <c r="H158" s="2136"/>
      <c r="I158" s="2136"/>
      <c r="J158" s="2136"/>
      <c r="K158" s="2136"/>
    </row>
    <row r="159" spans="1:28">
      <c r="A159" s="2229" t="s">
        <v>816</v>
      </c>
      <c r="B159" s="2151">
        <f ca="1">B75+B126</f>
        <v>3.8158756499489006</v>
      </c>
      <c r="C159" s="2136">
        <f ca="1">C75+C126</f>
        <v>24.031236995466038</v>
      </c>
      <c r="D159" s="2136">
        <f ca="1">D75+D126</f>
        <v>2970.0808842378856</v>
      </c>
      <c r="E159" s="2185">
        <f ca="1">E75+E126</f>
        <v>26.331779633927439</v>
      </c>
      <c r="F159" s="2136"/>
      <c r="G159" s="2136"/>
      <c r="H159" s="2136"/>
      <c r="I159" s="2136"/>
      <c r="J159" s="2136"/>
      <c r="K159" s="2136"/>
    </row>
    <row r="160" spans="1:28">
      <c r="A160" s="2229" t="s">
        <v>817</v>
      </c>
      <c r="B160" s="2151">
        <f t="shared" ref="B160:E175" ca="1" si="4">B76+B127</f>
        <v>3.6260466987181714</v>
      </c>
      <c r="C160" s="2136">
        <f t="shared" ca="1" si="4"/>
        <v>20.528236069108932</v>
      </c>
      <c r="D160" s="2136">
        <f t="shared" ca="1" si="4"/>
        <v>2643.1262416149734</v>
      </c>
      <c r="E160" s="2185">
        <f t="shared" ca="1" si="4"/>
        <v>22.395317261646412</v>
      </c>
      <c r="F160" s="2136"/>
      <c r="G160" s="2136"/>
      <c r="H160" s="2136"/>
      <c r="I160" s="2136"/>
      <c r="J160" s="2136"/>
      <c r="K160" s="2136"/>
    </row>
    <row r="161" spans="1:11">
      <c r="A161" s="2229" t="s">
        <v>805</v>
      </c>
      <c r="B161" s="2151">
        <f t="shared" ca="1" si="4"/>
        <v>1.6223167845884725</v>
      </c>
      <c r="C161" s="2136">
        <f t="shared" ca="1" si="4"/>
        <v>5.8243409765879308</v>
      </c>
      <c r="D161" s="2136">
        <f t="shared" ca="1" si="4"/>
        <v>654.77640494195202</v>
      </c>
      <c r="E161" s="2185">
        <f t="shared" ca="1" si="4"/>
        <v>5.9514684244984375</v>
      </c>
      <c r="F161" s="2136"/>
      <c r="G161" s="2136"/>
      <c r="H161" s="2136"/>
      <c r="I161" s="2136"/>
      <c r="J161" s="2136"/>
      <c r="K161" s="2136"/>
    </row>
    <row r="162" spans="1:11">
      <c r="A162" s="2229" t="s">
        <v>804</v>
      </c>
      <c r="B162" s="2151">
        <f t="shared" ca="1" si="4"/>
        <v>1.2431806391386901</v>
      </c>
      <c r="C162" s="2136">
        <f t="shared" ca="1" si="4"/>
        <v>11.40707946322361</v>
      </c>
      <c r="D162" s="2136">
        <f t="shared" ca="1" si="4"/>
        <v>1541.0418592083854</v>
      </c>
      <c r="E162" s="2185">
        <f t="shared" ca="1" si="4"/>
        <v>12.901575418990072</v>
      </c>
      <c r="F162" s="2136"/>
      <c r="G162" s="2136"/>
      <c r="H162" s="2136"/>
      <c r="I162" s="2136"/>
      <c r="J162" s="2136"/>
      <c r="K162" s="2136"/>
    </row>
    <row r="163" spans="1:11">
      <c r="A163" s="2229" t="s">
        <v>818</v>
      </c>
      <c r="B163" s="2151">
        <f t="shared" ca="1" si="4"/>
        <v>0.76054927499100877</v>
      </c>
      <c r="C163" s="2136">
        <f t="shared" ca="1" si="4"/>
        <v>3.2968156292973951</v>
      </c>
      <c r="D163" s="2136">
        <f t="shared" ca="1" si="4"/>
        <v>447.30797746463571</v>
      </c>
      <c r="E163" s="2185">
        <f t="shared" ca="1" si="4"/>
        <v>3.5422734181579001</v>
      </c>
      <c r="F163" s="2136"/>
      <c r="G163" s="2136"/>
      <c r="H163" s="2136"/>
      <c r="I163" s="2136"/>
      <c r="J163" s="2136"/>
      <c r="K163" s="2136"/>
    </row>
    <row r="164" spans="1:11">
      <c r="A164" s="2229" t="s">
        <v>819</v>
      </c>
      <c r="B164" s="2159">
        <f t="shared" ca="1" si="4"/>
        <v>93.206208246800387</v>
      </c>
      <c r="C164" s="2242">
        <f t="shared" ca="1" si="4"/>
        <v>2128.396806509586</v>
      </c>
      <c r="D164" s="2242">
        <f t="shared" ca="1" si="4"/>
        <v>246278.15200965983</v>
      </c>
      <c r="E164" s="2227">
        <f t="shared" ca="1" si="4"/>
        <v>2449.5184172926679</v>
      </c>
      <c r="F164" s="2144"/>
      <c r="G164" s="2144"/>
      <c r="H164" s="2144"/>
      <c r="I164" s="2144"/>
      <c r="J164" s="2144"/>
      <c r="K164" s="2144"/>
    </row>
    <row r="165" spans="1:11">
      <c r="A165" s="2155" t="s">
        <v>1520</v>
      </c>
      <c r="B165" s="2172"/>
      <c r="C165" s="2251"/>
      <c r="D165" s="2251"/>
      <c r="E165" s="2186"/>
      <c r="F165" s="2136"/>
      <c r="G165" s="2136"/>
      <c r="H165" s="2136"/>
      <c r="I165" s="2136"/>
      <c r="J165" s="2136"/>
      <c r="K165" s="2136"/>
    </row>
    <row r="166" spans="1:11">
      <c r="A166" s="2093" t="s">
        <v>821</v>
      </c>
      <c r="B166" s="2151">
        <f t="shared" ca="1" si="4"/>
        <v>106.98679871730197</v>
      </c>
      <c r="C166" s="2136">
        <f t="shared" ca="1" si="4"/>
        <v>319.46267681411507</v>
      </c>
      <c r="D166" s="2136">
        <f t="shared" ca="1" si="4"/>
        <v>36621.281448074471</v>
      </c>
      <c r="E166" s="2185">
        <f t="shared" ca="1" si="4"/>
        <v>316.44970127702578</v>
      </c>
      <c r="F166" s="2136"/>
      <c r="G166" s="2136"/>
      <c r="H166" s="2136"/>
      <c r="I166" s="2136"/>
      <c r="J166" s="2136"/>
      <c r="K166" s="2136"/>
    </row>
    <row r="167" spans="1:11">
      <c r="A167" s="2093" t="s">
        <v>822</v>
      </c>
      <c r="B167" s="2151">
        <f t="shared" ca="1" si="4"/>
        <v>188.44621864523319</v>
      </c>
      <c r="C167" s="2136">
        <f t="shared" ca="1" si="4"/>
        <v>989.05325068961133</v>
      </c>
      <c r="D167" s="2136">
        <f t="shared" ca="1" si="4"/>
        <v>137250.60697631177</v>
      </c>
      <c r="E167" s="2185">
        <f t="shared" ca="1" si="4"/>
        <v>1087.6291125318069</v>
      </c>
      <c r="F167" s="2136"/>
      <c r="G167" s="2136"/>
      <c r="H167" s="2136"/>
      <c r="I167" s="2136"/>
      <c r="J167" s="2136"/>
      <c r="K167" s="2136"/>
    </row>
    <row r="168" spans="1:11" ht="15.75">
      <c r="A168" s="2093" t="s">
        <v>2542</v>
      </c>
      <c r="B168" s="2151">
        <f t="shared" ca="1" si="4"/>
        <v>219.83863144497013</v>
      </c>
      <c r="C168" s="2136">
        <f t="shared" ca="1" si="4"/>
        <v>1694.2737773608796</v>
      </c>
      <c r="D168" s="2136">
        <f t="shared" ca="1" si="4"/>
        <v>259361.26606903775</v>
      </c>
      <c r="E168" s="2185">
        <f t="shared" ca="1" si="4"/>
        <v>1936.8454747961941</v>
      </c>
      <c r="F168" s="2136"/>
      <c r="G168" s="2136"/>
      <c r="H168" s="2136"/>
      <c r="I168" s="2136"/>
      <c r="J168" s="2136"/>
      <c r="K168" s="2136"/>
    </row>
    <row r="169" spans="1:11" ht="15.75">
      <c r="A169" s="2093" t="s">
        <v>2543</v>
      </c>
      <c r="B169" s="2151">
        <f t="shared" ca="1" si="4"/>
        <v>254.43522006597476</v>
      </c>
      <c r="C169" s="2136">
        <f t="shared" ca="1" si="4"/>
        <v>817.3938482385463</v>
      </c>
      <c r="D169" s="2136">
        <f t="shared" ca="1" si="4"/>
        <v>105253.47731191669</v>
      </c>
      <c r="E169" s="2185">
        <f t="shared" ca="1" si="4"/>
        <v>832.26306041946759</v>
      </c>
      <c r="F169" s="2136"/>
      <c r="G169" s="2136"/>
      <c r="H169" s="2136"/>
      <c r="I169" s="2136"/>
      <c r="J169" s="2136"/>
      <c r="K169" s="2136"/>
    </row>
    <row r="170" spans="1:11" ht="15.75">
      <c r="A170" s="2093" t="s">
        <v>2544</v>
      </c>
      <c r="B170" s="2151">
        <f t="shared" ca="1" si="4"/>
        <v>125.74112816813512</v>
      </c>
      <c r="C170" s="2136">
        <f t="shared" ca="1" si="4"/>
        <v>371.01082660808532</v>
      </c>
      <c r="D170" s="2136">
        <f t="shared" ca="1" si="4"/>
        <v>43008.013006981593</v>
      </c>
      <c r="E170" s="2185">
        <f t="shared" ca="1" si="4"/>
        <v>367.68799361207573</v>
      </c>
      <c r="F170" s="2136"/>
      <c r="G170" s="2136"/>
      <c r="H170" s="2136"/>
      <c r="I170" s="2136"/>
      <c r="J170" s="2136"/>
      <c r="K170" s="2136"/>
    </row>
    <row r="171" spans="1:11" ht="15.75">
      <c r="A171" s="2093" t="s">
        <v>2545</v>
      </c>
      <c r="B171" s="2151">
        <f t="shared" ca="1" si="4"/>
        <v>2448.5946973189889</v>
      </c>
      <c r="C171" s="2136">
        <f t="shared" ca="1" si="4"/>
        <v>20547.2482576312</v>
      </c>
      <c r="D171" s="2136">
        <f t="shared" ca="1" si="4"/>
        <v>3223263.8621646697</v>
      </c>
      <c r="E171" s="2185">
        <f t="shared" ca="1" si="4"/>
        <v>24249.03084528324</v>
      </c>
      <c r="F171" s="2136"/>
      <c r="G171" s="2136"/>
      <c r="H171" s="2136"/>
      <c r="I171" s="2136"/>
      <c r="J171" s="2136"/>
      <c r="K171" s="2136"/>
    </row>
    <row r="172" spans="1:11">
      <c r="A172" s="2093" t="s">
        <v>827</v>
      </c>
      <c r="B172" s="2151">
        <f t="shared" ca="1" si="4"/>
        <v>1.098118206434695</v>
      </c>
      <c r="C172" s="2136">
        <f t="shared" ca="1" si="4"/>
        <v>12.465353012761655</v>
      </c>
      <c r="D172" s="2136">
        <f t="shared" ca="1" si="4"/>
        <v>1884.971728157549</v>
      </c>
      <c r="E172" s="2185">
        <f t="shared" ca="1" si="4"/>
        <v>14.609761609732475</v>
      </c>
      <c r="F172" s="2136"/>
      <c r="G172" s="2136"/>
      <c r="H172" s="2136"/>
      <c r="I172" s="2136"/>
      <c r="J172" s="2136"/>
      <c r="K172" s="2136"/>
    </row>
    <row r="173" spans="1:11">
      <c r="A173" s="2093" t="s">
        <v>828</v>
      </c>
      <c r="B173" s="2151">
        <f t="shared" ca="1" si="4"/>
        <v>2.6398359136086489</v>
      </c>
      <c r="C173" s="2136">
        <f t="shared" ca="1" si="4"/>
        <v>26.885948460611633</v>
      </c>
      <c r="D173" s="2136">
        <f t="shared" ca="1" si="4"/>
        <v>4014.24303983859</v>
      </c>
      <c r="E173" s="2185">
        <f t="shared" ca="1" si="4"/>
        <v>31.018627632134827</v>
      </c>
      <c r="F173" s="2136"/>
      <c r="G173" s="2136"/>
      <c r="H173" s="2136"/>
      <c r="I173" s="2136"/>
      <c r="J173" s="2136"/>
      <c r="K173" s="2136"/>
    </row>
    <row r="174" spans="1:11" ht="15.75">
      <c r="A174" s="2093" t="s">
        <v>2546</v>
      </c>
      <c r="B174" s="2151">
        <f t="shared" ca="1" si="4"/>
        <v>906.44776964069695</v>
      </c>
      <c r="C174" s="2136">
        <f t="shared" ca="1" si="4"/>
        <v>3634.530300114302</v>
      </c>
      <c r="D174" s="2136">
        <f t="shared" ca="1" si="4"/>
        <v>436162.87811884936</v>
      </c>
      <c r="E174" s="2185">
        <f t="shared" ca="1" si="4"/>
        <v>3788.5795592657187</v>
      </c>
      <c r="F174" s="2136"/>
      <c r="G174" s="2136"/>
      <c r="H174" s="2136"/>
      <c r="I174" s="2136"/>
      <c r="J174" s="2136"/>
      <c r="K174" s="2136"/>
    </row>
    <row r="175" spans="1:11" ht="15.75">
      <c r="A175" s="2093" t="s">
        <v>2547</v>
      </c>
      <c r="B175" s="2151">
        <f t="shared" ca="1" si="4"/>
        <v>3.1323597596352872</v>
      </c>
      <c r="C175" s="2136">
        <f t="shared" ca="1" si="4"/>
        <v>44.518231127930832</v>
      </c>
      <c r="D175" s="2136">
        <f t="shared" ca="1" si="4"/>
        <v>7415.6528054939126</v>
      </c>
      <c r="E175" s="2185">
        <f t="shared" ca="1" si="4"/>
        <v>52.788894613178044</v>
      </c>
      <c r="F175" s="2136"/>
      <c r="G175" s="2136"/>
      <c r="H175" s="2136"/>
      <c r="I175" s="2136"/>
      <c r="J175" s="2136"/>
      <c r="K175" s="2136"/>
    </row>
    <row r="176" spans="1:11" ht="15.75">
      <c r="A176" s="2093" t="s">
        <v>2548</v>
      </c>
      <c r="B176" s="2151">
        <f t="shared" ref="B176:E187" ca="1" si="5">B92+B143</f>
        <v>168842.46010845029</v>
      </c>
      <c r="C176" s="2136">
        <f t="shared" ca="1" si="5"/>
        <v>1414349.9608850658</v>
      </c>
      <c r="D176" s="2136">
        <f t="shared" ca="1" si="5"/>
        <v>188872588.64114824</v>
      </c>
      <c r="E176" s="2185">
        <f t="shared" ca="1" si="5"/>
        <v>1595544.8350811738</v>
      </c>
      <c r="F176" s="2237"/>
      <c r="G176" s="2237"/>
      <c r="H176" s="2237"/>
      <c r="I176" s="2237"/>
      <c r="J176" s="2237"/>
      <c r="K176" s="2237"/>
    </row>
    <row r="177" spans="1:11" ht="15.75">
      <c r="A177" s="2093" t="s">
        <v>2550</v>
      </c>
      <c r="B177" s="2151">
        <f t="shared" ca="1" si="5"/>
        <v>169472.03206994265</v>
      </c>
      <c r="C177" s="2136">
        <f t="shared" ca="1" si="5"/>
        <v>1416899.8460979345</v>
      </c>
      <c r="D177" s="2136">
        <f t="shared" ca="1" si="5"/>
        <v>189202404.49357653</v>
      </c>
      <c r="E177" s="2185">
        <f t="shared" ca="1" si="5"/>
        <v>1598240.2347793707</v>
      </c>
      <c r="F177" s="2237"/>
      <c r="G177" s="2237"/>
      <c r="H177" s="2237"/>
      <c r="I177" s="2237"/>
      <c r="J177" s="2237"/>
      <c r="K177" s="2237"/>
    </row>
    <row r="178" spans="1:11">
      <c r="A178" s="2142" t="s">
        <v>851</v>
      </c>
      <c r="B178" s="2159">
        <f t="shared" ca="1" si="5"/>
        <v>197495.54049546691</v>
      </c>
      <c r="C178" s="2242">
        <f t="shared" ca="1" si="5"/>
        <v>1563131.6286058887</v>
      </c>
      <c r="D178" s="2242">
        <f t="shared" ca="1" si="5"/>
        <v>205962305.97969624</v>
      </c>
      <c r="E178" s="2227">
        <f t="shared" ca="1" si="5"/>
        <v>1754528.6393385874</v>
      </c>
      <c r="F178" s="2237"/>
      <c r="G178" s="2237"/>
      <c r="H178" s="2237"/>
      <c r="I178" s="2237"/>
      <c r="J178" s="2237"/>
      <c r="K178" s="2237"/>
    </row>
    <row r="179" spans="1:11">
      <c r="A179" s="2174" t="s">
        <v>1521</v>
      </c>
      <c r="B179" s="2172"/>
      <c r="C179" s="2251"/>
      <c r="D179" s="2251"/>
      <c r="E179" s="2186"/>
      <c r="F179" s="2254"/>
      <c r="G179" s="2254"/>
      <c r="H179" s="2254"/>
      <c r="I179" s="2254"/>
      <c r="J179" s="2254"/>
      <c r="K179" s="2254"/>
    </row>
    <row r="180" spans="1:11">
      <c r="A180" s="2093" t="s">
        <v>821</v>
      </c>
      <c r="B180" s="2151">
        <f t="shared" ca="1" si="5"/>
        <v>5.1968944496547831</v>
      </c>
      <c r="C180" s="2136">
        <f t="shared" ca="1" si="5"/>
        <v>21.015562533181967</v>
      </c>
      <c r="D180" s="2136">
        <f t="shared" ca="1" si="5"/>
        <v>2291.1405726220528</v>
      </c>
      <c r="E180" s="2185">
        <f t="shared" ca="1" si="5"/>
        <v>21.643304052520399</v>
      </c>
      <c r="F180" s="2136"/>
      <c r="G180" s="2136"/>
      <c r="H180" s="2136"/>
      <c r="I180" s="2136"/>
      <c r="J180" s="2136"/>
      <c r="K180" s="2136"/>
    </row>
    <row r="181" spans="1:11">
      <c r="A181" s="2093" t="s">
        <v>822</v>
      </c>
      <c r="B181" s="2151">
        <f t="shared" ca="1" si="5"/>
        <v>12.124295759043228</v>
      </c>
      <c r="C181" s="2136">
        <f t="shared" ca="1" si="5"/>
        <v>63.086139356085013</v>
      </c>
      <c r="D181" s="2136">
        <f t="shared" ca="1" si="5"/>
        <v>7437.0642372154152</v>
      </c>
      <c r="E181" s="2185">
        <f t="shared" ca="1" si="5"/>
        <v>67.5702646676325</v>
      </c>
      <c r="F181" s="2136"/>
      <c r="G181" s="2136"/>
      <c r="H181" s="2136"/>
      <c r="I181" s="2136"/>
      <c r="J181" s="2136"/>
      <c r="K181" s="2136"/>
    </row>
    <row r="182" spans="1:11" ht="15.75">
      <c r="A182" s="2093" t="s">
        <v>2542</v>
      </c>
      <c r="B182" s="2151">
        <f t="shared" ca="1" si="5"/>
        <v>14.83575446295162</v>
      </c>
      <c r="C182" s="2136">
        <f t="shared" ca="1" si="5"/>
        <v>143.43393170615306</v>
      </c>
      <c r="D182" s="2136">
        <f t="shared" ca="1" si="5"/>
        <v>17685.318079521814</v>
      </c>
      <c r="E182" s="2185">
        <f t="shared" ca="1" si="5"/>
        <v>161.34482181003852</v>
      </c>
      <c r="F182" s="2136"/>
      <c r="G182" s="2136"/>
      <c r="H182" s="2136"/>
      <c r="I182" s="2136"/>
      <c r="J182" s="2136"/>
      <c r="K182" s="2136"/>
    </row>
    <row r="183" spans="1:11" ht="15.75">
      <c r="A183" s="2093" t="s">
        <v>2543</v>
      </c>
      <c r="B183" s="2151">
        <f t="shared" ca="1" si="5"/>
        <v>2.0048057503600702</v>
      </c>
      <c r="C183" s="2136">
        <f t="shared" ca="1" si="5"/>
        <v>16.399062885772839</v>
      </c>
      <c r="D183" s="2136">
        <f t="shared" ca="1" si="5"/>
        <v>1902.1196014027562</v>
      </c>
      <c r="E183" s="2185">
        <f t="shared" ca="1" si="5"/>
        <v>18.170465045616311</v>
      </c>
      <c r="F183" s="2136"/>
      <c r="G183" s="2136"/>
      <c r="H183" s="2136"/>
      <c r="I183" s="2136"/>
      <c r="J183" s="2136"/>
      <c r="K183" s="2136"/>
    </row>
    <row r="184" spans="1:11" ht="15.75">
      <c r="A184" s="2093" t="s">
        <v>2544</v>
      </c>
      <c r="B184" s="2151">
        <f t="shared" ca="1" si="5"/>
        <v>1.6938797550849536</v>
      </c>
      <c r="C184" s="2136">
        <f t="shared" ca="1" si="5"/>
        <v>14.106448454226296</v>
      </c>
      <c r="D184" s="2136">
        <f t="shared" ca="1" si="5"/>
        <v>1636.5697991512382</v>
      </c>
      <c r="E184" s="2185">
        <f t="shared" ca="1" si="5"/>
        <v>15.645140410068688</v>
      </c>
      <c r="F184" s="2136"/>
      <c r="G184" s="2136"/>
      <c r="H184" s="2136"/>
      <c r="I184" s="2136"/>
      <c r="J184" s="2136"/>
      <c r="K184" s="2136"/>
    </row>
    <row r="185" spans="1:11" ht="15.75">
      <c r="A185" s="2093" t="s">
        <v>2545</v>
      </c>
      <c r="B185" s="2151">
        <f t="shared" ca="1" si="5"/>
        <v>26.531298679347845</v>
      </c>
      <c r="C185" s="2136">
        <f t="shared" ca="1" si="5"/>
        <v>143.39677583056388</v>
      </c>
      <c r="D185" s="2136">
        <f t="shared" ca="1" si="5"/>
        <v>15765.793687506435</v>
      </c>
      <c r="E185" s="2185">
        <f t="shared" ca="1" si="5"/>
        <v>153.31310228873548</v>
      </c>
      <c r="F185" s="2136"/>
      <c r="G185" s="2136"/>
      <c r="H185" s="2136"/>
      <c r="I185" s="2136"/>
      <c r="J185" s="2136"/>
      <c r="K185" s="2136"/>
    </row>
    <row r="186" spans="1:11">
      <c r="A186" s="2093" t="s">
        <v>827</v>
      </c>
      <c r="B186" s="2151">
        <f t="shared" ca="1" si="5"/>
        <v>0.10890669235438413</v>
      </c>
      <c r="C186" s="2136">
        <f t="shared" ca="1" si="5"/>
        <v>0.80290694123629214</v>
      </c>
      <c r="D186" s="2136">
        <f t="shared" ca="1" si="5"/>
        <v>94.703003429232297</v>
      </c>
      <c r="E186" s="2185">
        <f t="shared" ca="1" si="5"/>
        <v>0.88532540610129062</v>
      </c>
      <c r="F186" s="2136"/>
      <c r="G186" s="2136"/>
      <c r="H186" s="2136"/>
      <c r="I186" s="2136"/>
      <c r="J186" s="2136"/>
      <c r="K186" s="2136"/>
    </row>
    <row r="187" spans="1:11">
      <c r="A187" s="2142" t="s">
        <v>828</v>
      </c>
      <c r="B187" s="2159">
        <f t="shared" ca="1" si="5"/>
        <v>0.40340515974324131</v>
      </c>
      <c r="C187" s="2242">
        <f t="shared" ca="1" si="5"/>
        <v>3.0748520304206712</v>
      </c>
      <c r="D187" s="2242">
        <f t="shared" ca="1" si="5"/>
        <v>341.85037328672581</v>
      </c>
      <c r="E187" s="2227">
        <f t="shared" ca="1" si="5"/>
        <v>3.3709644876594846</v>
      </c>
      <c r="F187" s="2136"/>
      <c r="G187" s="2136"/>
      <c r="H187" s="2136"/>
      <c r="I187" s="2136"/>
      <c r="J187" s="2136"/>
      <c r="K187" s="2136"/>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2" id="{E948058F-AAF5-4635-9313-6FA7384CCB07}">
            <xm:f>OR(MHDV_Inputs!$B$3=2,MHDV_Inputs!$B$3=3)</xm:f>
            <x14:dxf>
              <fill>
                <patternFill>
                  <bgColor theme="1" tint="0.24994659260841701"/>
                </patternFill>
              </fill>
            </x14:dxf>
          </x14:cfRule>
          <xm:sqref>B6 B16:C16 B22 B27 C33:C34 C38:C62 C67:C103 C107:C154 C158:C187</xm:sqref>
        </x14:conditionalFormatting>
      </x14:conditionalFormatting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9">
    <tabColor theme="9" tint="0.59999389629810485"/>
  </sheetPr>
  <dimension ref="A1:AR441"/>
  <sheetViews>
    <sheetView showGridLines="0" zoomScale="85" zoomScaleNormal="85" workbookViewId="0"/>
  </sheetViews>
  <sheetFormatPr defaultColWidth="9.140625" defaultRowHeight="12.75"/>
  <cols>
    <col min="1" max="1" width="47.5703125" style="2081" customWidth="1"/>
    <col min="2" max="2" width="31.85546875" style="2081" customWidth="1"/>
    <col min="3" max="3" width="23.5703125" style="2081" customWidth="1"/>
    <col min="4" max="6" width="13.7109375" style="2081" customWidth="1"/>
    <col min="7" max="7" width="13.42578125" style="2081" customWidth="1"/>
    <col min="8" max="9" width="12.85546875" style="2081" customWidth="1"/>
    <col min="10" max="10" width="15.28515625" style="2081" customWidth="1"/>
    <col min="11" max="11" width="13.85546875" style="2081" bestFit="1" customWidth="1"/>
    <col min="12" max="12" width="11" style="2081" customWidth="1"/>
    <col min="13" max="13" width="14.7109375" style="2081" customWidth="1"/>
    <col min="14" max="14" width="14.140625" style="2081" customWidth="1"/>
    <col min="15" max="19" width="11" style="2081" customWidth="1"/>
    <col min="20" max="20" width="15.140625" style="2081" customWidth="1"/>
    <col min="21" max="21" width="13" style="2081" customWidth="1"/>
    <col min="22" max="31" width="9.140625" style="2081"/>
    <col min="32" max="32" width="10.140625" style="2081" bestFit="1" customWidth="1"/>
    <col min="33" max="16384" width="9.140625" style="2081"/>
  </cols>
  <sheetData>
    <row r="1" spans="1:12" ht="15.75">
      <c r="A1" s="2080" t="s">
        <v>2570</v>
      </c>
    </row>
    <row r="3" spans="1:12" s="62" customFormat="1" ht="15">
      <c r="A3" s="134" t="s">
        <v>2688</v>
      </c>
    </row>
    <row r="4" spans="1:12">
      <c r="A4" s="2081" t="s">
        <v>2571</v>
      </c>
    </row>
    <row r="5" spans="1:12">
      <c r="A5" s="2332" t="s">
        <v>203</v>
      </c>
      <c r="B5" s="2200" t="s">
        <v>194</v>
      </c>
      <c r="C5" s="2200" t="s">
        <v>167</v>
      </c>
      <c r="D5" s="2201" t="s">
        <v>198</v>
      </c>
      <c r="E5" s="2333"/>
      <c r="F5" s="2333"/>
      <c r="G5" s="2333"/>
      <c r="H5" s="2333"/>
      <c r="I5" s="2333"/>
      <c r="J5" s="2333"/>
      <c r="K5" s="2333"/>
    </row>
    <row r="6" spans="1:12">
      <c r="A6" s="2191">
        <f xml:space="preserve"> MHDV_Inputs!C27</f>
        <v>17492.859480076746</v>
      </c>
      <c r="B6" s="2239">
        <f xml:space="preserve"> MHDV_Inputs!D27</f>
        <v>17667.024667056743</v>
      </c>
      <c r="C6" s="2239">
        <f xml:space="preserve"> MHDV_Inputs!E27</f>
        <v>14621.05372760627</v>
      </c>
      <c r="D6" s="2192">
        <f xml:space="preserve"> MHDV_Inputs!F27</f>
        <v>20777.361546497094</v>
      </c>
      <c r="E6" s="2334"/>
      <c r="F6" s="2334"/>
      <c r="G6" s="2334"/>
      <c r="H6" s="2334"/>
      <c r="I6" s="2334"/>
      <c r="J6" s="2334"/>
      <c r="K6" s="2334"/>
    </row>
    <row r="8" spans="1:12">
      <c r="A8" s="2081" t="s">
        <v>2572</v>
      </c>
    </row>
    <row r="9" spans="1:12">
      <c r="A9" s="2335"/>
      <c r="B9" s="2214" t="s">
        <v>203</v>
      </c>
      <c r="C9" s="2214" t="s">
        <v>194</v>
      </c>
      <c r="D9" s="2214" t="s">
        <v>167</v>
      </c>
      <c r="E9" s="2215" t="s">
        <v>198</v>
      </c>
      <c r="F9" s="2294"/>
      <c r="G9" s="2294"/>
      <c r="H9" s="2294"/>
      <c r="I9" s="2294"/>
      <c r="J9" s="2294"/>
      <c r="K9" s="2294"/>
      <c r="L9" s="2294"/>
    </row>
    <row r="10" spans="1:12">
      <c r="A10" s="2085" t="s">
        <v>182</v>
      </c>
      <c r="B10" s="2336">
        <f xml:space="preserve"> MHDV_Inputs!C54</f>
        <v>0.17274020259935324</v>
      </c>
      <c r="C10" s="2336">
        <f xml:space="preserve"> MHDV_Inputs!D54</f>
        <v>0.16941505731587941</v>
      </c>
      <c r="D10" s="2336">
        <f xml:space="preserve"> MHDV_Inputs!E54</f>
        <v>0</v>
      </c>
      <c r="E10" s="2337">
        <f xml:space="preserve"> MHDV_Inputs!F54</f>
        <v>7.3398171078348451E-2</v>
      </c>
      <c r="F10" s="2218"/>
      <c r="G10" s="2218"/>
      <c r="H10" s="2218"/>
      <c r="I10" s="2218"/>
      <c r="J10" s="2218"/>
      <c r="K10" s="2218"/>
      <c r="L10" s="2218"/>
    </row>
    <row r="11" spans="1:12">
      <c r="A11" s="2096" t="s">
        <v>183</v>
      </c>
      <c r="B11" s="2218">
        <f xml:space="preserve"> MHDV_Inputs!C55</f>
        <v>5.3940779804163848E-2</v>
      </c>
      <c r="C11" s="2218">
        <f xml:space="preserve"> MHDV_Inputs!D55</f>
        <v>5.3409020428859588E-2</v>
      </c>
      <c r="D11" s="2218">
        <f xml:space="preserve"> MHDV_Inputs!E55</f>
        <v>2.7593492711010741E-2</v>
      </c>
      <c r="E11" s="2224">
        <f xml:space="preserve"> MHDV_Inputs!F55</f>
        <v>1.9735894107745022E-2</v>
      </c>
      <c r="F11" s="2218"/>
      <c r="G11" s="2218"/>
      <c r="H11" s="2218"/>
      <c r="I11" s="2218"/>
      <c r="J11" s="2218"/>
      <c r="K11" s="2218"/>
      <c r="L11" s="2218"/>
    </row>
    <row r="12" spans="1:12">
      <c r="A12" s="2096" t="s">
        <v>184</v>
      </c>
      <c r="B12" s="2218">
        <f xml:space="preserve"> MHDV_Inputs!C56</f>
        <v>0.58203898963181933</v>
      </c>
      <c r="C12" s="2218">
        <f xml:space="preserve"> MHDV_Inputs!D56</f>
        <v>0.5763011287656431</v>
      </c>
      <c r="D12" s="2218">
        <f xml:space="preserve"> MHDV_Inputs!E56</f>
        <v>0.69636063496103162</v>
      </c>
      <c r="E12" s="2224">
        <f xml:space="preserve"> MHDV_Inputs!F56</f>
        <v>0.49002979684260195</v>
      </c>
      <c r="F12" s="2218"/>
      <c r="G12" s="2218"/>
      <c r="H12" s="2218"/>
      <c r="I12" s="2218"/>
      <c r="J12" s="2218"/>
      <c r="K12" s="2218"/>
      <c r="L12" s="2218"/>
    </row>
    <row r="13" spans="1:12">
      <c r="A13" s="2096" t="s">
        <v>185</v>
      </c>
      <c r="B13" s="2218">
        <f xml:space="preserve"> MHDV_Inputs!C57</f>
        <v>0</v>
      </c>
      <c r="C13" s="2218">
        <f xml:space="preserve"> MHDV_Inputs!D57</f>
        <v>1.0381252230902815E-2</v>
      </c>
      <c r="D13" s="2218">
        <f xml:space="preserve"> MHDV_Inputs!E57</f>
        <v>4.2676716287434052E-2</v>
      </c>
      <c r="E13" s="2224">
        <f xml:space="preserve"> MHDV_Inputs!F57</f>
        <v>3.0703289849614766E-2</v>
      </c>
      <c r="F13" s="2218"/>
      <c r="G13" s="2218"/>
      <c r="H13" s="2218"/>
      <c r="I13" s="2218"/>
      <c r="J13" s="2218"/>
      <c r="K13" s="2218"/>
      <c r="L13" s="2218"/>
    </row>
    <row r="14" spans="1:12">
      <c r="A14" s="2096" t="s">
        <v>186</v>
      </c>
      <c r="B14" s="2218">
        <f xml:space="preserve"> MHDV_Inputs!C58</f>
        <v>0</v>
      </c>
      <c r="C14" s="2218">
        <f xml:space="preserve"> MHDV_Inputs!D58</f>
        <v>0</v>
      </c>
      <c r="D14" s="2218">
        <f xml:space="preserve"> MHDV_Inputs!E58</f>
        <v>0</v>
      </c>
      <c r="E14" s="2224">
        <f xml:space="preserve"> MHDV_Inputs!F58</f>
        <v>0</v>
      </c>
      <c r="F14" s="2218"/>
      <c r="G14" s="2218"/>
      <c r="H14" s="2218"/>
      <c r="I14" s="2218"/>
      <c r="J14" s="2218"/>
      <c r="K14" s="2218"/>
      <c r="L14" s="2218"/>
    </row>
    <row r="15" spans="1:12">
      <c r="A15" s="2096" t="s">
        <v>187</v>
      </c>
      <c r="B15" s="2218">
        <f xml:space="preserve"> MHDV_Inputs!C59</f>
        <v>0</v>
      </c>
      <c r="C15" s="2218">
        <f xml:space="preserve"> MHDV_Inputs!D59</f>
        <v>1.0991914126838274E-3</v>
      </c>
      <c r="D15" s="2218">
        <f xml:space="preserve"> MHDV_Inputs!E59</f>
        <v>4.5187111363165465E-3</v>
      </c>
      <c r="E15" s="2224">
        <f xml:space="preserve"> MHDV_Inputs!F59</f>
        <v>3.2509365723121515E-3</v>
      </c>
      <c r="F15" s="2218"/>
      <c r="G15" s="2218"/>
      <c r="H15" s="2218"/>
      <c r="I15" s="2218"/>
      <c r="J15" s="2218"/>
      <c r="K15" s="2218"/>
      <c r="L15" s="2218"/>
    </row>
    <row r="16" spans="1:12">
      <c r="A16" s="2096" t="s">
        <v>2346</v>
      </c>
      <c r="B16" s="2218">
        <f xml:space="preserve"> MHDV_Inputs!C60</f>
        <v>0</v>
      </c>
      <c r="C16" s="2218">
        <f xml:space="preserve"> MHDV_Inputs!D60</f>
        <v>0</v>
      </c>
      <c r="D16" s="2218">
        <f xml:space="preserve"> MHDV_Inputs!E60</f>
        <v>0</v>
      </c>
      <c r="E16" s="2224">
        <f xml:space="preserve"> MHDV_Inputs!F60</f>
        <v>0.22183958463780096</v>
      </c>
      <c r="F16" s="2218"/>
      <c r="G16" s="2218"/>
      <c r="H16" s="2218"/>
      <c r="I16" s="2218"/>
      <c r="J16" s="2218"/>
      <c r="K16" s="2218"/>
      <c r="L16" s="2218"/>
    </row>
    <row r="17" spans="1:12">
      <c r="A17" s="2096" t="s">
        <v>2427</v>
      </c>
      <c r="B17" s="2218">
        <f xml:space="preserve"> MHDV_Inputs!C61</f>
        <v>0</v>
      </c>
      <c r="C17" s="2218">
        <f xml:space="preserve"> MHDV_Inputs!D61</f>
        <v>0</v>
      </c>
      <c r="D17" s="2218">
        <f xml:space="preserve"> MHDV_Inputs!E61</f>
        <v>0</v>
      </c>
      <c r="E17" s="2224">
        <f xml:space="preserve"> MHDV_Inputs!F61</f>
        <v>0</v>
      </c>
      <c r="F17" s="2218"/>
      <c r="G17" s="2218"/>
      <c r="H17" s="2218"/>
      <c r="I17" s="2218"/>
      <c r="J17" s="2218"/>
      <c r="K17" s="2218"/>
      <c r="L17" s="2218"/>
    </row>
    <row r="18" spans="1:12">
      <c r="A18" s="2096" t="s">
        <v>189</v>
      </c>
      <c r="B18" s="2218">
        <f xml:space="preserve"> MHDV_Inputs!C62</f>
        <v>0.19128002796466356</v>
      </c>
      <c r="C18" s="2218">
        <f xml:space="preserve"> MHDV_Inputs!D62</f>
        <v>0.18939434984603132</v>
      </c>
      <c r="D18" s="2218">
        <f xml:space="preserve"> MHDV_Inputs!E62</f>
        <v>0.22885044490420706</v>
      </c>
      <c r="E18" s="2224">
        <f xml:space="preserve"> MHDV_Inputs!F62</f>
        <v>0.1610423269115768</v>
      </c>
      <c r="F18" s="2218"/>
      <c r="G18" s="2218"/>
      <c r="H18" s="2218"/>
      <c r="I18" s="2218"/>
      <c r="J18" s="2218"/>
      <c r="K18" s="2218"/>
      <c r="L18" s="2218"/>
    </row>
    <row r="19" spans="1:12">
      <c r="A19" s="2097" t="s">
        <v>2349</v>
      </c>
      <c r="B19" s="2216">
        <f xml:space="preserve"> MHDV_Inputs!C63</f>
        <v>0</v>
      </c>
      <c r="C19" s="2216">
        <f xml:space="preserve"> MHDV_Inputs!D63</f>
        <v>0</v>
      </c>
      <c r="D19" s="2216">
        <f xml:space="preserve"> MHDV_Inputs!E63</f>
        <v>0</v>
      </c>
      <c r="E19" s="2217">
        <f xml:space="preserve"> MHDV_Inputs!F63</f>
        <v>0</v>
      </c>
      <c r="F19" s="2218"/>
      <c r="G19" s="2218"/>
      <c r="H19" s="2218"/>
      <c r="I19" s="2218"/>
      <c r="J19" s="2218"/>
      <c r="K19" s="2218"/>
      <c r="L19" s="2218"/>
    </row>
    <row r="21" spans="1:12">
      <c r="A21" s="2081" t="s">
        <v>1858</v>
      </c>
    </row>
    <row r="22" spans="1:12">
      <c r="A22" s="2335"/>
      <c r="B22" s="2214" t="s">
        <v>203</v>
      </c>
      <c r="C22" s="2214" t="s">
        <v>194</v>
      </c>
      <c r="D22" s="2214" t="s">
        <v>167</v>
      </c>
      <c r="E22" s="2215" t="s">
        <v>198</v>
      </c>
      <c r="F22" s="2294"/>
      <c r="G22" s="2294"/>
      <c r="H22" s="2294"/>
      <c r="I22" s="2294"/>
      <c r="J22" s="2294"/>
      <c r="K22" s="2294"/>
      <c r="L22" s="2294"/>
    </row>
    <row r="23" spans="1:12">
      <c r="A23" s="2176" t="s">
        <v>250</v>
      </c>
      <c r="B23" s="2091"/>
      <c r="C23" s="2091"/>
      <c r="D23" s="2091"/>
      <c r="E23" s="2183"/>
    </row>
    <row r="24" spans="1:12">
      <c r="A24" s="2262" t="s">
        <v>38</v>
      </c>
      <c r="B24" s="2218">
        <f xml:space="preserve"> MHDV_Mat_Parameters!C6</f>
        <v>0.3132718489970639</v>
      </c>
      <c r="C24" s="2218">
        <f xml:space="preserve"> MHDV_Mat_Parameters!D6</f>
        <v>0.3132718489970639</v>
      </c>
      <c r="D24" s="2218">
        <f xml:space="preserve"> MHDV_Mat_Parameters!E6</f>
        <v>0.3132718489970639</v>
      </c>
      <c r="E24" s="2224">
        <f xml:space="preserve"> MHDV_Mat_Parameters!F6</f>
        <v>0.3132718489970639</v>
      </c>
      <c r="F24" s="2218"/>
      <c r="G24" s="2338"/>
      <c r="H24" s="2338"/>
      <c r="I24" s="2218"/>
      <c r="J24" s="2218"/>
      <c r="K24" s="2218"/>
      <c r="L24" s="2218"/>
    </row>
    <row r="25" spans="1:12">
      <c r="A25" s="2262" t="s">
        <v>1868</v>
      </c>
      <c r="B25" s="2218">
        <f xml:space="preserve"> MHDV_Mat_Parameters!C7</f>
        <v>2.3707999999999996E-2</v>
      </c>
      <c r="C25" s="2218">
        <f xml:space="preserve"> MHDV_Mat_Parameters!D7</f>
        <v>2.3707999999999996E-2</v>
      </c>
      <c r="D25" s="2218">
        <f xml:space="preserve"> MHDV_Mat_Parameters!E7</f>
        <v>2.3707999999999996E-2</v>
      </c>
      <c r="E25" s="2224">
        <f xml:space="preserve"> MHDV_Mat_Parameters!F7</f>
        <v>2.3707999999999996E-2</v>
      </c>
      <c r="F25" s="2218"/>
      <c r="G25" s="2338"/>
      <c r="H25" s="2338"/>
      <c r="I25" s="2218"/>
      <c r="J25" s="2218"/>
      <c r="K25" s="2218"/>
      <c r="L25" s="2218"/>
    </row>
    <row r="26" spans="1:12">
      <c r="A26" s="2262" t="s">
        <v>2405</v>
      </c>
      <c r="B26" s="2218">
        <f xml:space="preserve"> MHDV_Mat_Parameters!C8</f>
        <v>0.10382666666666665</v>
      </c>
      <c r="C26" s="2218">
        <f xml:space="preserve"> MHDV_Mat_Parameters!D8</f>
        <v>0.10382666666666665</v>
      </c>
      <c r="D26" s="2218">
        <f xml:space="preserve"> MHDV_Mat_Parameters!E8</f>
        <v>0.10382666666666665</v>
      </c>
      <c r="E26" s="2224">
        <f xml:space="preserve"> MHDV_Mat_Parameters!F8</f>
        <v>0.10382666666666665</v>
      </c>
      <c r="F26" s="2218"/>
      <c r="G26" s="2338"/>
      <c r="H26" s="2338"/>
      <c r="I26" s="2218"/>
      <c r="J26" s="2218"/>
      <c r="K26" s="2218"/>
      <c r="L26" s="2218"/>
    </row>
    <row r="27" spans="1:12">
      <c r="A27" s="2262" t="s">
        <v>2406</v>
      </c>
      <c r="B27" s="2218">
        <f xml:space="preserve"> MHDV_Mat_Parameters!C9</f>
        <v>3.4894805333333334E-2</v>
      </c>
      <c r="C27" s="2218">
        <f xml:space="preserve"> MHDV_Mat_Parameters!D9</f>
        <v>3.4894805333333334E-2</v>
      </c>
      <c r="D27" s="2218">
        <f xml:space="preserve"> MHDV_Mat_Parameters!E9</f>
        <v>3.4894805333333334E-2</v>
      </c>
      <c r="E27" s="2224">
        <f xml:space="preserve"> MHDV_Mat_Parameters!F9</f>
        <v>3.4894805333333334E-2</v>
      </c>
      <c r="F27" s="2218"/>
      <c r="G27" s="2338"/>
      <c r="H27" s="2338"/>
      <c r="I27" s="2218"/>
      <c r="J27" s="2218"/>
      <c r="K27" s="2218"/>
      <c r="L27" s="2218"/>
    </row>
    <row r="28" spans="1:12">
      <c r="A28" s="2262" t="s">
        <v>60</v>
      </c>
      <c r="B28" s="2218">
        <f xml:space="preserve"> MHDV_Mat_Parameters!C10</f>
        <v>0.18149554110233743</v>
      </c>
      <c r="C28" s="2218">
        <f xml:space="preserve"> MHDV_Mat_Parameters!D10</f>
        <v>0.18149554110233743</v>
      </c>
      <c r="D28" s="2218">
        <f xml:space="preserve"> MHDV_Mat_Parameters!E10</f>
        <v>0.18149554110233743</v>
      </c>
      <c r="E28" s="2224">
        <f xml:space="preserve"> MHDV_Mat_Parameters!F10</f>
        <v>0.18149554110233743</v>
      </c>
      <c r="F28" s="2218"/>
      <c r="G28" s="2338"/>
      <c r="H28" s="2338"/>
      <c r="I28" s="2218"/>
      <c r="J28" s="2218"/>
      <c r="K28" s="2218"/>
      <c r="L28" s="2218"/>
    </row>
    <row r="29" spans="1:12">
      <c r="A29" s="2262" t="s">
        <v>61</v>
      </c>
      <c r="B29" s="2218">
        <f xml:space="preserve"> MHDV_Mat_Parameters!C11</f>
        <v>1.9198999999999997E-2</v>
      </c>
      <c r="C29" s="2218">
        <f xml:space="preserve"> MHDV_Mat_Parameters!D11</f>
        <v>1.9198999999999997E-2</v>
      </c>
      <c r="D29" s="2218">
        <f xml:space="preserve"> MHDV_Mat_Parameters!E11</f>
        <v>1.9198999999999997E-2</v>
      </c>
      <c r="E29" s="2224">
        <f xml:space="preserve"> MHDV_Mat_Parameters!F11</f>
        <v>1.9198999999999997E-2</v>
      </c>
      <c r="F29" s="2218"/>
      <c r="G29" s="2338"/>
      <c r="H29" s="2338"/>
      <c r="I29" s="2218"/>
      <c r="J29" s="2218"/>
      <c r="K29" s="2218"/>
      <c r="L29" s="2218"/>
    </row>
    <row r="30" spans="1:12">
      <c r="A30" s="2262" t="s">
        <v>2407</v>
      </c>
      <c r="B30" s="2218">
        <f xml:space="preserve"> MHDV_Mat_Parameters!C12</f>
        <v>0.15363333333333332</v>
      </c>
      <c r="C30" s="2218">
        <f xml:space="preserve"> MHDV_Mat_Parameters!D12</f>
        <v>0.15363333333333332</v>
      </c>
      <c r="D30" s="2218">
        <f xml:space="preserve"> MHDV_Mat_Parameters!E12</f>
        <v>0.15363333333333332</v>
      </c>
      <c r="E30" s="2224">
        <f xml:space="preserve"> MHDV_Mat_Parameters!F12</f>
        <v>0.15363333333333332</v>
      </c>
      <c r="F30" s="2218"/>
      <c r="G30" s="2338"/>
      <c r="H30" s="2338"/>
      <c r="I30" s="2218"/>
      <c r="J30" s="2218"/>
      <c r="K30" s="2218"/>
      <c r="L30" s="2218"/>
    </row>
    <row r="31" spans="1:12">
      <c r="A31" s="2262" t="s">
        <v>58</v>
      </c>
      <c r="B31" s="2218">
        <f xml:space="preserve"> MHDV_Mat_Parameters!C13</f>
        <v>9.0054463170113522E-2</v>
      </c>
      <c r="C31" s="2218">
        <f xml:space="preserve"> MHDV_Mat_Parameters!D13</f>
        <v>9.0054463170113522E-2</v>
      </c>
      <c r="D31" s="2218">
        <f xml:space="preserve"> MHDV_Mat_Parameters!E13</f>
        <v>9.0054463170113522E-2</v>
      </c>
      <c r="E31" s="2224">
        <f xml:space="preserve"> MHDV_Mat_Parameters!F13</f>
        <v>9.0054463170113522E-2</v>
      </c>
      <c r="F31" s="2218"/>
      <c r="G31" s="2338"/>
      <c r="H31" s="2338"/>
      <c r="I31" s="2218"/>
      <c r="J31" s="2218"/>
      <c r="K31" s="2218"/>
      <c r="L31" s="2218"/>
    </row>
    <row r="32" spans="1:12">
      <c r="A32" s="2262" t="s">
        <v>52</v>
      </c>
      <c r="B32" s="2218">
        <f xml:space="preserve"> MHDV_Mat_Parameters!C14</f>
        <v>3.3734893333333326E-3</v>
      </c>
      <c r="C32" s="2218">
        <f xml:space="preserve"> MHDV_Mat_Parameters!D14</f>
        <v>3.3734893333333326E-3</v>
      </c>
      <c r="D32" s="2218">
        <f xml:space="preserve"> MHDV_Mat_Parameters!E14</f>
        <v>3.3734893333333326E-3</v>
      </c>
      <c r="E32" s="2224">
        <f xml:space="preserve"> MHDV_Mat_Parameters!F14</f>
        <v>3.3734893333333326E-3</v>
      </c>
      <c r="F32" s="2218"/>
      <c r="G32" s="2338"/>
      <c r="H32" s="2338"/>
      <c r="I32" s="2218"/>
      <c r="J32" s="2218"/>
      <c r="K32" s="2218"/>
      <c r="L32" s="2218"/>
    </row>
    <row r="33" spans="1:12">
      <c r="A33" s="2262" t="s">
        <v>2408</v>
      </c>
      <c r="B33" s="2218">
        <f xml:space="preserve"> MHDV_Mat_Parameters!C15</f>
        <v>3.2370057500742885E-2</v>
      </c>
      <c r="C33" s="2218">
        <f xml:space="preserve"> MHDV_Mat_Parameters!D15</f>
        <v>3.2370057500742885E-2</v>
      </c>
      <c r="D33" s="2218">
        <f xml:space="preserve"> MHDV_Mat_Parameters!E15</f>
        <v>3.2370057500742885E-2</v>
      </c>
      <c r="E33" s="2224">
        <f xml:space="preserve"> MHDV_Mat_Parameters!F15</f>
        <v>3.2370057500742885E-2</v>
      </c>
      <c r="F33" s="2218"/>
      <c r="G33" s="2338"/>
      <c r="H33" s="2338"/>
      <c r="I33" s="2218"/>
      <c r="J33" s="2218"/>
      <c r="K33" s="2218"/>
      <c r="L33" s="2218"/>
    </row>
    <row r="34" spans="1:12">
      <c r="A34" s="2262" t="s">
        <v>2409</v>
      </c>
      <c r="B34" s="2218">
        <f xml:space="preserve"> MHDV_Mat_Parameters!C16</f>
        <v>2.5086794563075734E-2</v>
      </c>
      <c r="C34" s="2218">
        <f xml:space="preserve"> MHDV_Mat_Parameters!D16</f>
        <v>2.5086794563075734E-2</v>
      </c>
      <c r="D34" s="2218">
        <f xml:space="preserve"> MHDV_Mat_Parameters!E16</f>
        <v>2.5086794563075734E-2</v>
      </c>
      <c r="E34" s="2224">
        <f xml:space="preserve"> MHDV_Mat_Parameters!F16</f>
        <v>2.5086794563075734E-2</v>
      </c>
      <c r="F34" s="2218"/>
      <c r="G34" s="2338"/>
      <c r="H34" s="2338"/>
      <c r="I34" s="2218"/>
      <c r="J34" s="2218"/>
      <c r="K34" s="2218"/>
      <c r="L34" s="2218"/>
    </row>
    <row r="35" spans="1:12">
      <c r="A35" s="2262" t="s">
        <v>2410</v>
      </c>
      <c r="B35" s="2218">
        <f xml:space="preserve"> MHDV_Mat_Parameters!C17</f>
        <v>1.6666666666666663E-2</v>
      </c>
      <c r="C35" s="2218">
        <f xml:space="preserve"> MHDV_Mat_Parameters!D17</f>
        <v>1.6666666666666663E-2</v>
      </c>
      <c r="D35" s="2218">
        <f xml:space="preserve"> MHDV_Mat_Parameters!E17</f>
        <v>1.6666666666666663E-2</v>
      </c>
      <c r="E35" s="2224">
        <f xml:space="preserve"> MHDV_Mat_Parameters!F17</f>
        <v>1.6666666666666663E-2</v>
      </c>
      <c r="F35" s="2218"/>
      <c r="G35" s="2338"/>
      <c r="H35" s="2338"/>
      <c r="I35" s="2218"/>
      <c r="J35" s="2218"/>
      <c r="K35" s="2218"/>
      <c r="L35" s="2218"/>
    </row>
    <row r="36" spans="1:12">
      <c r="A36" s="2262" t="s">
        <v>1409</v>
      </c>
      <c r="B36" s="2218">
        <f xml:space="preserve"> MHDV_Mat_Parameters!C18</f>
        <v>9.6799999999999979E-4</v>
      </c>
      <c r="C36" s="2218">
        <f xml:space="preserve"> MHDV_Mat_Parameters!D18</f>
        <v>9.6799999999999979E-4</v>
      </c>
      <c r="D36" s="2218">
        <f xml:space="preserve"> MHDV_Mat_Parameters!E18</f>
        <v>9.6799999999999979E-4</v>
      </c>
      <c r="E36" s="2224">
        <f xml:space="preserve"> MHDV_Mat_Parameters!F18</f>
        <v>9.6799999999999979E-4</v>
      </c>
      <c r="F36" s="2218"/>
      <c r="G36" s="2338"/>
      <c r="H36" s="2338"/>
      <c r="I36" s="2218"/>
      <c r="J36" s="2218"/>
      <c r="K36" s="2218"/>
      <c r="L36" s="2218"/>
    </row>
    <row r="37" spans="1:12">
      <c r="A37" s="2262" t="s">
        <v>2411</v>
      </c>
      <c r="B37" s="2218">
        <f xml:space="preserve"> MHDV_Mat_Parameters!C19</f>
        <v>9.6799999999999979E-4</v>
      </c>
      <c r="C37" s="2218">
        <f xml:space="preserve"> MHDV_Mat_Parameters!D19</f>
        <v>9.6799999999999979E-4</v>
      </c>
      <c r="D37" s="2218">
        <f xml:space="preserve"> MHDV_Mat_Parameters!E19</f>
        <v>9.6799999999999979E-4</v>
      </c>
      <c r="E37" s="2224">
        <f xml:space="preserve"> MHDV_Mat_Parameters!F19</f>
        <v>9.6799999999999979E-4</v>
      </c>
      <c r="F37" s="2218"/>
      <c r="G37" s="2338"/>
      <c r="H37" s="2338"/>
      <c r="I37" s="2218"/>
      <c r="J37" s="2218"/>
      <c r="K37" s="2218"/>
      <c r="L37" s="2218"/>
    </row>
    <row r="38" spans="1:12">
      <c r="A38" s="2265" t="s">
        <v>2412</v>
      </c>
      <c r="B38" s="2216">
        <f xml:space="preserve"> MHDV_Mat_Parameters!C20</f>
        <v>4.8333333333333323E-4</v>
      </c>
      <c r="C38" s="2216">
        <f xml:space="preserve"> MHDV_Mat_Parameters!D20</f>
        <v>4.8333333333333323E-4</v>
      </c>
      <c r="D38" s="2216">
        <f xml:space="preserve"> MHDV_Mat_Parameters!E20</f>
        <v>4.8333333333333323E-4</v>
      </c>
      <c r="E38" s="2217">
        <f xml:space="preserve"> MHDV_Mat_Parameters!F20</f>
        <v>4.8333333333333323E-4</v>
      </c>
      <c r="F38" s="2218"/>
      <c r="G38" s="2338"/>
      <c r="H38" s="2338"/>
      <c r="I38" s="2218"/>
      <c r="J38" s="2218"/>
      <c r="K38" s="2218"/>
      <c r="L38" s="2218"/>
    </row>
    <row r="39" spans="1:12">
      <c r="A39" s="2176" t="s">
        <v>182</v>
      </c>
      <c r="B39" s="2091"/>
      <c r="C39" s="2091"/>
      <c r="D39" s="2091"/>
      <c r="E39" s="2183"/>
    </row>
    <row r="40" spans="1:12">
      <c r="A40" s="2262" t="s">
        <v>1868</v>
      </c>
      <c r="B40" s="2218">
        <f xml:space="preserve"> MHDV_Mat_Parameters!C22</f>
        <v>1.9467883614486304E-2</v>
      </c>
      <c r="C40" s="2218">
        <f xml:space="preserve"> MHDV_Mat_Parameters!D22</f>
        <v>1.963554557265916E-2</v>
      </c>
      <c r="D40" s="2218">
        <f xml:space="preserve"> MHDV_Mat_Parameters!E22</f>
        <v>0</v>
      </c>
      <c r="E40" s="2224">
        <f xml:space="preserve"> MHDV_Mat_Parameters!F22</f>
        <v>0.52337611063159906</v>
      </c>
      <c r="F40" s="2218"/>
      <c r="G40" s="2218"/>
      <c r="H40" s="2218"/>
      <c r="I40" s="2218"/>
      <c r="J40" s="2218"/>
      <c r="K40" s="2218"/>
      <c r="L40" s="2218"/>
    </row>
    <row r="41" spans="1:12">
      <c r="A41" s="2262" t="s">
        <v>38</v>
      </c>
      <c r="B41" s="2218">
        <f xml:space="preserve"> MHDV_Mat_Parameters!C23</f>
        <v>0.41528545820481283</v>
      </c>
      <c r="C41" s="2218">
        <f xml:space="preserve"> MHDV_Mat_Parameters!D23</f>
        <v>0.414812010614311</v>
      </c>
      <c r="D41" s="2218">
        <f xml:space="preserve"> MHDV_Mat_Parameters!E23</f>
        <v>0</v>
      </c>
      <c r="E41" s="2224">
        <f xml:space="preserve"> MHDV_Mat_Parameters!F23</f>
        <v>5.6915171624122449E-2</v>
      </c>
      <c r="F41" s="2218"/>
      <c r="G41" s="2218"/>
      <c r="H41" s="2218"/>
      <c r="I41" s="2218"/>
      <c r="J41" s="2218"/>
      <c r="K41" s="2218"/>
      <c r="L41" s="2218"/>
    </row>
    <row r="42" spans="1:12">
      <c r="A42" s="2262" t="s">
        <v>2406</v>
      </c>
      <c r="B42" s="2218">
        <f xml:space="preserve"> MHDV_Mat_Parameters!C24</f>
        <v>6.9799118661064988E-2</v>
      </c>
      <c r="C42" s="2218">
        <f xml:space="preserve"> MHDV_Mat_Parameters!D24</f>
        <v>6.9693767343865815E-2</v>
      </c>
      <c r="D42" s="2218">
        <f xml:space="preserve"> MHDV_Mat_Parameters!E24</f>
        <v>0</v>
      </c>
      <c r="E42" s="2224">
        <f xml:space="preserve"> MHDV_Mat_Parameters!F24</f>
        <v>7.3945644389102186E-2</v>
      </c>
      <c r="F42" s="2218"/>
      <c r="G42" s="2218"/>
      <c r="H42" s="2218"/>
      <c r="I42" s="2218"/>
      <c r="J42" s="2218"/>
      <c r="K42" s="2218"/>
      <c r="L42" s="2218"/>
    </row>
    <row r="43" spans="1:12">
      <c r="A43" s="2262" t="s">
        <v>2405</v>
      </c>
      <c r="B43" s="2218">
        <f xml:space="preserve"> MHDV_Mat_Parameters!C25</f>
        <v>7.5523872607624817E-2</v>
      </c>
      <c r="C43" s="2218">
        <f xml:space="preserve"> MHDV_Mat_Parameters!D25</f>
        <v>7.59319967713495E-2</v>
      </c>
      <c r="D43" s="2218">
        <f xml:space="preserve"> MHDV_Mat_Parameters!E25</f>
        <v>0</v>
      </c>
      <c r="E43" s="2224">
        <f xml:space="preserve"> MHDV_Mat_Parameters!F25</f>
        <v>5.6625345482894593E-2</v>
      </c>
      <c r="F43" s="2218"/>
      <c r="G43" s="2218"/>
      <c r="H43" s="2218"/>
      <c r="I43" s="2218"/>
      <c r="J43" s="2218"/>
      <c r="K43" s="2218"/>
      <c r="L43" s="2218"/>
    </row>
    <row r="44" spans="1:12">
      <c r="A44" s="2262" t="s">
        <v>1869</v>
      </c>
      <c r="B44" s="2218">
        <f xml:space="preserve"> MHDV_Mat_Parameters!C26</f>
        <v>0.32009741803338065</v>
      </c>
      <c r="C44" s="2218">
        <f xml:space="preserve"> MHDV_Mat_Parameters!D26</f>
        <v>0.31961427891545535</v>
      </c>
      <c r="D44" s="2218">
        <f xml:space="preserve"> MHDV_Mat_Parameters!E26</f>
        <v>0</v>
      </c>
      <c r="E44" s="2224">
        <f xml:space="preserve"> MHDV_Mat_Parameters!F26</f>
        <v>0</v>
      </c>
      <c r="F44" s="2218"/>
      <c r="G44" s="2218"/>
      <c r="H44" s="2218"/>
      <c r="I44" s="2218"/>
      <c r="J44" s="2218"/>
      <c r="K44" s="2218"/>
      <c r="L44" s="2218"/>
    </row>
    <row r="45" spans="1:12">
      <c r="A45" s="2262" t="s">
        <v>61</v>
      </c>
      <c r="B45" s="2218">
        <f xml:space="preserve"> MHDV_Mat_Parameters!C27</f>
        <v>8.0054375924898964E-3</v>
      </c>
      <c r="C45" s="2218">
        <f xml:space="preserve"> MHDV_Mat_Parameters!D27</f>
        <v>7.9939715826792355E-3</v>
      </c>
      <c r="D45" s="2218">
        <f xml:space="preserve"> MHDV_Mat_Parameters!E27</f>
        <v>0</v>
      </c>
      <c r="E45" s="2224">
        <f xml:space="preserve"> MHDV_Mat_Parameters!F27</f>
        <v>9.4992669154998783E-3</v>
      </c>
      <c r="F45" s="2218"/>
      <c r="G45" s="2218"/>
      <c r="H45" s="2218"/>
      <c r="I45" s="2218"/>
      <c r="J45" s="2218"/>
      <c r="K45" s="2218"/>
      <c r="L45" s="2218"/>
    </row>
    <row r="46" spans="1:12">
      <c r="A46" s="2262" t="s">
        <v>60</v>
      </c>
      <c r="B46" s="2218">
        <f xml:space="preserve"> MHDV_Mat_Parameters!C28</f>
        <v>4.9295614151915725E-2</v>
      </c>
      <c r="C46" s="2218">
        <f xml:space="preserve"> MHDV_Mat_Parameters!D28</f>
        <v>4.950120671496084E-2</v>
      </c>
      <c r="D46" s="2218">
        <f xml:space="preserve"> MHDV_Mat_Parameters!E28</f>
        <v>0</v>
      </c>
      <c r="E46" s="2224">
        <f xml:space="preserve"> MHDV_Mat_Parameters!F28</f>
        <v>2.074711072150703E-2</v>
      </c>
      <c r="F46" s="2218"/>
      <c r="G46" s="2218"/>
      <c r="H46" s="2218"/>
      <c r="I46" s="2218"/>
      <c r="J46" s="2218"/>
      <c r="K46" s="2218"/>
      <c r="L46" s="2218"/>
    </row>
    <row r="47" spans="1:12">
      <c r="A47" s="2262" t="s">
        <v>2413</v>
      </c>
      <c r="B47" s="2218">
        <f xml:space="preserve"> MHDV_Mat_Parameters!C29</f>
        <v>6.1124117204980968E-3</v>
      </c>
      <c r="C47" s="2218">
        <f xml:space="preserve"> MHDV_Mat_Parameters!D29</f>
        <v>6.1031859503398065E-3</v>
      </c>
      <c r="D47" s="2218">
        <f xml:space="preserve"> MHDV_Mat_Parameters!E29</f>
        <v>0</v>
      </c>
      <c r="E47" s="2224">
        <f xml:space="preserve"> MHDV_Mat_Parameters!F29</f>
        <v>1.9931388171572664E-2</v>
      </c>
      <c r="F47" s="2218"/>
      <c r="G47" s="2218"/>
      <c r="H47" s="2218"/>
      <c r="I47" s="2218"/>
      <c r="J47" s="2218"/>
      <c r="K47" s="2218"/>
      <c r="L47" s="2218"/>
    </row>
    <row r="48" spans="1:12">
      <c r="A48" s="2262" t="s">
        <v>2414</v>
      </c>
      <c r="B48" s="2218">
        <f xml:space="preserve"> MHDV_Mat_Parameters!C30</f>
        <v>0</v>
      </c>
      <c r="C48" s="2218">
        <f xml:space="preserve"> MHDV_Mat_Parameters!D30</f>
        <v>0</v>
      </c>
      <c r="D48" s="2218">
        <f xml:space="preserve"> MHDV_Mat_Parameters!E30</f>
        <v>0</v>
      </c>
      <c r="E48" s="2224">
        <f xml:space="preserve"> MHDV_Mat_Parameters!F30</f>
        <v>0</v>
      </c>
      <c r="F48" s="2218"/>
      <c r="G48" s="2218"/>
      <c r="H48" s="2218"/>
      <c r="I48" s="2218"/>
      <c r="J48" s="2218"/>
      <c r="K48" s="2218"/>
      <c r="L48" s="2218"/>
    </row>
    <row r="49" spans="1:12">
      <c r="A49" s="2262" t="s">
        <v>1409</v>
      </c>
      <c r="B49" s="2218">
        <f xml:space="preserve"> MHDV_Mat_Parameters!C31</f>
        <v>6.6048079489949266E-5</v>
      </c>
      <c r="C49" s="2218">
        <f xml:space="preserve"> MHDV_Mat_Parameters!D31</f>
        <v>6.594838980466069E-5</v>
      </c>
      <c r="D49" s="2218">
        <f xml:space="preserve"> MHDV_Mat_Parameters!E31</f>
        <v>0</v>
      </c>
      <c r="E49" s="2224">
        <f xml:space="preserve"> MHDV_Mat_Parameters!F31</f>
        <v>0</v>
      </c>
      <c r="F49" s="2218"/>
      <c r="G49" s="2218"/>
      <c r="H49" s="2218"/>
      <c r="I49" s="2218"/>
      <c r="J49" s="2218"/>
      <c r="K49" s="2218"/>
      <c r="L49" s="2218"/>
    </row>
    <row r="50" spans="1:12">
      <c r="A50" s="2262" t="s">
        <v>2415</v>
      </c>
      <c r="B50" s="2218">
        <f xml:space="preserve"> MHDV_Mat_Parameters!C32</f>
        <v>0</v>
      </c>
      <c r="C50" s="2218">
        <f xml:space="preserve"> MHDV_Mat_Parameters!D32</f>
        <v>0</v>
      </c>
      <c r="D50" s="2218">
        <f xml:space="preserve"> MHDV_Mat_Parameters!E32</f>
        <v>0</v>
      </c>
      <c r="E50" s="2224">
        <f xml:space="preserve"> MHDV_Mat_Parameters!F32</f>
        <v>0</v>
      </c>
      <c r="F50" s="2218"/>
      <c r="G50" s="2218"/>
      <c r="H50" s="2218"/>
      <c r="I50" s="2218"/>
      <c r="J50" s="2218"/>
      <c r="K50" s="2218"/>
      <c r="L50" s="2218"/>
    </row>
    <row r="51" spans="1:12">
      <c r="A51" s="2262" t="s">
        <v>2416</v>
      </c>
      <c r="B51" s="2218">
        <f xml:space="preserve"> MHDV_Mat_Parameters!C33</f>
        <v>3.2678260294145061E-3</v>
      </c>
      <c r="C51" s="2218">
        <f xml:space="preserve"> MHDV_Mat_Parameters!D33</f>
        <v>3.2628937353801311E-3</v>
      </c>
      <c r="D51" s="2218">
        <f xml:space="preserve"> MHDV_Mat_Parameters!E33</f>
        <v>0</v>
      </c>
      <c r="E51" s="2224">
        <f xml:space="preserve"> MHDV_Mat_Parameters!F33</f>
        <v>2.3823530426344223E-3</v>
      </c>
      <c r="F51" s="2218"/>
      <c r="G51" s="2218"/>
      <c r="H51" s="2218"/>
      <c r="I51" s="2218"/>
      <c r="J51" s="2218"/>
      <c r="K51" s="2218"/>
      <c r="L51" s="2218"/>
    </row>
    <row r="52" spans="1:12">
      <c r="A52" s="2262" t="s">
        <v>2417</v>
      </c>
      <c r="B52" s="2218">
        <f xml:space="preserve"> MHDV_Mat_Parameters!C34</f>
        <v>9.440386307197462E-4</v>
      </c>
      <c r="C52" s="2218">
        <f xml:space="preserve"> MHDV_Mat_Parameters!D34</f>
        <v>9.4261374577648226E-4</v>
      </c>
      <c r="D52" s="2218">
        <f xml:space="preserve"> MHDV_Mat_Parameters!E34</f>
        <v>0</v>
      </c>
      <c r="E52" s="2224">
        <f xml:space="preserve"> MHDV_Mat_Parameters!F34</f>
        <v>0</v>
      </c>
      <c r="F52" s="2218"/>
      <c r="G52" s="2218"/>
      <c r="H52" s="2218"/>
      <c r="I52" s="2218"/>
      <c r="J52" s="2218"/>
      <c r="K52" s="2218"/>
      <c r="L52" s="2218"/>
    </row>
    <row r="53" spans="1:12">
      <c r="A53" s="2262" t="s">
        <v>63</v>
      </c>
      <c r="B53" s="2218">
        <f xml:space="preserve"> MHDV_Mat_Parameters!C35</f>
        <v>2.1236959332450255E-4</v>
      </c>
      <c r="C53" s="2218">
        <f xml:space="preserve"> MHDV_Mat_Parameters!D35</f>
        <v>2.144031417756323E-4</v>
      </c>
      <c r="D53" s="2218">
        <f xml:space="preserve"> MHDV_Mat_Parameters!E35</f>
        <v>0</v>
      </c>
      <c r="E53" s="2224">
        <f xml:space="preserve"> MHDV_Mat_Parameters!F35</f>
        <v>7.4512620756498433E-4</v>
      </c>
      <c r="F53" s="2218"/>
      <c r="G53" s="2218"/>
      <c r="H53" s="2218"/>
      <c r="I53" s="2218"/>
      <c r="J53" s="2218"/>
      <c r="K53" s="2218"/>
      <c r="L53" s="2218"/>
    </row>
    <row r="54" spans="1:12">
      <c r="A54" s="2262" t="s">
        <v>2407</v>
      </c>
      <c r="B54" s="2218">
        <f xml:space="preserve"> MHDV_Mat_Parameters!C36</f>
        <v>0</v>
      </c>
      <c r="C54" s="2218">
        <f xml:space="preserve"> MHDV_Mat_Parameters!D36</f>
        <v>0</v>
      </c>
      <c r="D54" s="2218">
        <f xml:space="preserve"> MHDV_Mat_Parameters!E36</f>
        <v>0</v>
      </c>
      <c r="E54" s="2224">
        <f xml:space="preserve"> MHDV_Mat_Parameters!F36</f>
        <v>3.8035315075016236E-2</v>
      </c>
      <c r="F54" s="2218"/>
      <c r="G54" s="2218"/>
      <c r="H54" s="2218"/>
      <c r="I54" s="2218"/>
      <c r="J54" s="2218"/>
      <c r="K54" s="2218"/>
      <c r="L54" s="2218"/>
    </row>
    <row r="55" spans="1:12">
      <c r="A55" s="2262" t="s">
        <v>2418</v>
      </c>
      <c r="B55" s="2218">
        <f xml:space="preserve"> MHDV_Mat_Parameters!C37</f>
        <v>0</v>
      </c>
      <c r="C55" s="2218">
        <f xml:space="preserve"> MHDV_Mat_Parameters!D37</f>
        <v>0</v>
      </c>
      <c r="D55" s="2218">
        <f xml:space="preserve"> MHDV_Mat_Parameters!E37</f>
        <v>0</v>
      </c>
      <c r="E55" s="2224">
        <f xml:space="preserve"> MHDV_Mat_Parameters!F37</f>
        <v>1.321257728333443E-3</v>
      </c>
      <c r="F55" s="2218"/>
      <c r="G55" s="2218"/>
      <c r="H55" s="2218"/>
      <c r="I55" s="2218"/>
      <c r="J55" s="2218"/>
      <c r="K55" s="2218"/>
      <c r="L55" s="2218"/>
    </row>
    <row r="56" spans="1:12">
      <c r="A56" s="2262" t="s">
        <v>1391</v>
      </c>
      <c r="B56" s="2218">
        <f xml:space="preserve"> MHDV_Mat_Parameters!C38</f>
        <v>0</v>
      </c>
      <c r="C56" s="2218">
        <f xml:space="preserve"> MHDV_Mat_Parameters!D38</f>
        <v>0</v>
      </c>
      <c r="D56" s="2218">
        <f xml:space="preserve"> MHDV_Mat_Parameters!E38</f>
        <v>0</v>
      </c>
      <c r="E56" s="2224">
        <f xml:space="preserve"> MHDV_Mat_Parameters!F38</f>
        <v>9.9657997593641856E-2</v>
      </c>
      <c r="F56" s="2218"/>
      <c r="G56" s="2218"/>
      <c r="H56" s="2218"/>
      <c r="I56" s="2218"/>
      <c r="J56" s="2218"/>
      <c r="K56" s="2218"/>
      <c r="L56" s="2218"/>
    </row>
    <row r="57" spans="1:12">
      <c r="A57" s="2262" t="s">
        <v>375</v>
      </c>
      <c r="B57" s="2218">
        <f xml:space="preserve"> MHDV_Mat_Parameters!C39</f>
        <v>0</v>
      </c>
      <c r="C57" s="2218">
        <f xml:space="preserve"> MHDV_Mat_Parameters!D39</f>
        <v>0</v>
      </c>
      <c r="D57" s="2218">
        <f xml:space="preserve"> MHDV_Mat_Parameters!E39</f>
        <v>0</v>
      </c>
      <c r="E57" s="2224">
        <f xml:space="preserve"> MHDV_Mat_Parameters!F39</f>
        <v>4.7705951637725769E-4</v>
      </c>
      <c r="F57" s="2218"/>
      <c r="G57" s="2218"/>
      <c r="H57" s="2218"/>
      <c r="I57" s="2218"/>
      <c r="J57" s="2218"/>
      <c r="K57" s="2218"/>
      <c r="L57" s="2218"/>
    </row>
    <row r="58" spans="1:12">
      <c r="A58" s="2262" t="s">
        <v>381</v>
      </c>
      <c r="B58" s="2218">
        <f xml:space="preserve"> MHDV_Mat_Parameters!C40</f>
        <v>0</v>
      </c>
      <c r="C58" s="2218">
        <f xml:space="preserve"> MHDV_Mat_Parameters!D40</f>
        <v>0</v>
      </c>
      <c r="D58" s="2218">
        <f xml:space="preserve"> MHDV_Mat_Parameters!E40</f>
        <v>0</v>
      </c>
      <c r="E58" s="2224">
        <f xml:space="preserve"> MHDV_Mat_Parameters!F40</f>
        <v>2.911245842090637E-2</v>
      </c>
      <c r="F58" s="2218"/>
      <c r="G58" s="2218"/>
      <c r="H58" s="2218"/>
      <c r="I58" s="2218"/>
      <c r="J58" s="2218"/>
      <c r="K58" s="2218"/>
      <c r="L58" s="2218"/>
    </row>
    <row r="59" spans="1:12">
      <c r="A59" s="2262" t="s">
        <v>291</v>
      </c>
      <c r="B59" s="2218">
        <f xml:space="preserve"> MHDV_Mat_Parameters!C41</f>
        <v>0</v>
      </c>
      <c r="C59" s="2218">
        <f xml:space="preserve"> MHDV_Mat_Parameters!D41</f>
        <v>0</v>
      </c>
      <c r="D59" s="2218">
        <f xml:space="preserve"> MHDV_Mat_Parameters!E41</f>
        <v>0</v>
      </c>
      <c r="E59" s="2224">
        <f xml:space="preserve"> MHDV_Mat_Parameters!F41</f>
        <v>3.6300996230991716E-3</v>
      </c>
      <c r="F59" s="2218"/>
      <c r="G59" s="2218"/>
      <c r="H59" s="2218"/>
      <c r="I59" s="2218"/>
      <c r="J59" s="2218"/>
      <c r="K59" s="2218"/>
      <c r="L59" s="2218"/>
    </row>
    <row r="60" spans="1:12">
      <c r="A60" s="2262" t="s">
        <v>289</v>
      </c>
      <c r="B60" s="2218">
        <f xml:space="preserve"> MHDV_Mat_Parameters!C42</f>
        <v>0</v>
      </c>
      <c r="C60" s="2218">
        <f xml:space="preserve"> MHDV_Mat_Parameters!D42</f>
        <v>0</v>
      </c>
      <c r="D60" s="2218">
        <f xml:space="preserve"> MHDV_Mat_Parameters!E42</f>
        <v>0</v>
      </c>
      <c r="E60" s="2224">
        <f xml:space="preserve"> MHDV_Mat_Parameters!F42</f>
        <v>8.2701776114159405E-3</v>
      </c>
      <c r="F60" s="2218"/>
      <c r="G60" s="2218"/>
      <c r="H60" s="2218"/>
      <c r="I60" s="2218"/>
      <c r="J60" s="2218"/>
      <c r="K60" s="2218"/>
      <c r="L60" s="2218"/>
    </row>
    <row r="61" spans="1:12">
      <c r="A61" s="2262" t="s">
        <v>2419</v>
      </c>
      <c r="B61" s="2218">
        <f xml:space="preserve"> MHDV_Mat_Parameters!C43</f>
        <v>0</v>
      </c>
      <c r="C61" s="2218">
        <f xml:space="preserve"> MHDV_Mat_Parameters!D43</f>
        <v>0</v>
      </c>
      <c r="D61" s="2218">
        <f xml:space="preserve"> MHDV_Mat_Parameters!E43</f>
        <v>0</v>
      </c>
      <c r="E61" s="2224">
        <f xml:space="preserve"> MHDV_Mat_Parameters!F43</f>
        <v>2.1927642463576893E-2</v>
      </c>
      <c r="F61" s="2218"/>
      <c r="G61" s="2218"/>
      <c r="H61" s="2218"/>
      <c r="I61" s="2218"/>
      <c r="J61" s="2218"/>
      <c r="K61" s="2218"/>
      <c r="L61" s="2218"/>
    </row>
    <row r="62" spans="1:12">
      <c r="A62" s="2262" t="s">
        <v>2420</v>
      </c>
      <c r="B62" s="2218">
        <f xml:space="preserve"> MHDV_Mat_Parameters!C44</f>
        <v>3.1922503080777848E-2</v>
      </c>
      <c r="C62" s="2218">
        <f xml:space="preserve"> MHDV_Mat_Parameters!D44</f>
        <v>3.2228177521642407E-2</v>
      </c>
      <c r="D62" s="2218">
        <f xml:space="preserve"> MHDV_Mat_Parameters!E44</f>
        <v>0</v>
      </c>
      <c r="E62" s="2224">
        <f xml:space="preserve"> MHDV_Mat_Parameters!F44</f>
        <v>3.0358332860370947E-4</v>
      </c>
      <c r="F62" s="2218"/>
      <c r="G62" s="2218"/>
      <c r="H62" s="2218"/>
      <c r="I62" s="2218"/>
      <c r="J62" s="2218"/>
      <c r="K62" s="2218"/>
      <c r="L62" s="2218"/>
    </row>
    <row r="63" spans="1:12">
      <c r="A63" s="2262" t="s">
        <v>293</v>
      </c>
      <c r="B63" s="2218">
        <f xml:space="preserve"> MHDV_Mat_Parameters!C45</f>
        <v>0</v>
      </c>
      <c r="C63" s="2218">
        <f xml:space="preserve"> MHDV_Mat_Parameters!D45</f>
        <v>0</v>
      </c>
      <c r="D63" s="2218">
        <f xml:space="preserve"> MHDV_Mat_Parameters!E45</f>
        <v>0</v>
      </c>
      <c r="E63" s="2224">
        <f xml:space="preserve"> MHDV_Mat_Parameters!F45</f>
        <v>1.6175040655651663E-2</v>
      </c>
      <c r="F63" s="2218"/>
      <c r="G63" s="2218"/>
      <c r="H63" s="2218"/>
      <c r="I63" s="2218"/>
      <c r="J63" s="2218"/>
      <c r="K63" s="2218"/>
      <c r="L63" s="2218"/>
    </row>
    <row r="64" spans="1:12">
      <c r="A64" s="2262" t="s">
        <v>2421</v>
      </c>
      <c r="B64" s="2218">
        <f xml:space="preserve"> MHDV_Mat_Parameters!C46</f>
        <v>0</v>
      </c>
      <c r="C64" s="2218">
        <f xml:space="preserve"> MHDV_Mat_Parameters!D46</f>
        <v>0</v>
      </c>
      <c r="D64" s="2218">
        <f xml:space="preserve"> MHDV_Mat_Parameters!E46</f>
        <v>0</v>
      </c>
      <c r="E64" s="2224">
        <f xml:space="preserve"> MHDV_Mat_Parameters!F46</f>
        <v>1.0601413704966979E-2</v>
      </c>
      <c r="F64" s="2218"/>
      <c r="G64" s="2218"/>
      <c r="H64" s="2218"/>
      <c r="I64" s="2218"/>
      <c r="J64" s="2218"/>
      <c r="K64" s="2218"/>
      <c r="L64" s="2218"/>
    </row>
    <row r="65" spans="1:12">
      <c r="A65" s="2262" t="s">
        <v>2422</v>
      </c>
      <c r="B65" s="2218">
        <f xml:space="preserve"> MHDV_Mat_Parameters!C47</f>
        <v>0</v>
      </c>
      <c r="C65" s="2218">
        <f xml:space="preserve"> MHDV_Mat_Parameters!D47</f>
        <v>0</v>
      </c>
      <c r="D65" s="2218">
        <f xml:space="preserve"> MHDV_Mat_Parameters!E47</f>
        <v>0</v>
      </c>
      <c r="E65" s="2224">
        <f xml:space="preserve"> MHDV_Mat_Parameters!F47</f>
        <v>0</v>
      </c>
      <c r="F65" s="2218"/>
      <c r="G65" s="2218"/>
      <c r="H65" s="2218"/>
      <c r="I65" s="2218"/>
      <c r="J65" s="2218"/>
      <c r="K65" s="2218"/>
      <c r="L65" s="2218"/>
    </row>
    <row r="66" spans="1:12">
      <c r="A66" s="2262" t="s">
        <v>48</v>
      </c>
      <c r="B66" s="2218">
        <f xml:space="preserve"> MHDV_Mat_Parameters!C48</f>
        <v>0</v>
      </c>
      <c r="C66" s="2218">
        <f xml:space="preserve"> MHDV_Mat_Parameters!D48</f>
        <v>0</v>
      </c>
      <c r="D66" s="2218">
        <f xml:space="preserve"> MHDV_Mat_Parameters!E48</f>
        <v>0</v>
      </c>
      <c r="E66" s="2224">
        <f xml:space="preserve"> MHDV_Mat_Parameters!F48</f>
        <v>2.7483302362833941E-3</v>
      </c>
      <c r="F66" s="2218"/>
      <c r="G66" s="2218"/>
      <c r="H66" s="2218"/>
      <c r="I66" s="2218"/>
      <c r="J66" s="2218"/>
      <c r="K66" s="2218"/>
      <c r="L66" s="2218"/>
    </row>
    <row r="67" spans="1:12">
      <c r="A67" s="2262" t="s">
        <v>71</v>
      </c>
      <c r="B67" s="2218">
        <f xml:space="preserve"> MHDV_Mat_Parameters!C49</f>
        <v>0</v>
      </c>
      <c r="C67" s="2218">
        <f xml:space="preserve"> MHDV_Mat_Parameters!D49</f>
        <v>0</v>
      </c>
      <c r="D67" s="2218">
        <f xml:space="preserve"> MHDV_Mat_Parameters!E49</f>
        <v>0</v>
      </c>
      <c r="E67" s="2224">
        <f xml:space="preserve"> MHDV_Mat_Parameters!F49</f>
        <v>9.2056952656723728E-4</v>
      </c>
      <c r="F67" s="2218"/>
      <c r="G67" s="2218"/>
      <c r="H67" s="2218"/>
      <c r="I67" s="2218"/>
      <c r="J67" s="2218"/>
      <c r="K67" s="2218"/>
      <c r="L67" s="2218"/>
    </row>
    <row r="68" spans="1:12">
      <c r="A68" s="2262" t="s">
        <v>73</v>
      </c>
      <c r="B68" s="2218">
        <f xml:space="preserve"> MHDV_Mat_Parameters!C50</f>
        <v>0</v>
      </c>
      <c r="C68" s="2218">
        <f xml:space="preserve"> MHDV_Mat_Parameters!D50</f>
        <v>0</v>
      </c>
      <c r="D68" s="2218">
        <f xml:space="preserve"> MHDV_Mat_Parameters!E50</f>
        <v>0</v>
      </c>
      <c r="E68" s="2224">
        <f xml:space="preserve"> MHDV_Mat_Parameters!F50</f>
        <v>4.6882474192642525E-4</v>
      </c>
      <c r="F68" s="2218"/>
      <c r="G68" s="2218"/>
      <c r="H68" s="2218"/>
      <c r="I68" s="2218"/>
      <c r="J68" s="2218"/>
      <c r="K68" s="2218"/>
      <c r="L68" s="2218"/>
    </row>
    <row r="69" spans="1:12">
      <c r="A69" s="2262" t="s">
        <v>2423</v>
      </c>
      <c r="B69" s="2218">
        <f xml:space="preserve"> MHDV_Mat_Parameters!C51</f>
        <v>0</v>
      </c>
      <c r="C69" s="2218">
        <f xml:space="preserve"> MHDV_Mat_Parameters!D51</f>
        <v>0</v>
      </c>
      <c r="D69" s="2218">
        <f xml:space="preserve"> MHDV_Mat_Parameters!E51</f>
        <v>0</v>
      </c>
      <c r="E69" s="2224">
        <f xml:space="preserve"> MHDV_Mat_Parameters!F51</f>
        <v>1.753465764889976E-4</v>
      </c>
      <c r="F69" s="2218"/>
      <c r="G69" s="2218"/>
      <c r="H69" s="2218"/>
      <c r="I69" s="2218"/>
      <c r="J69" s="2218"/>
      <c r="K69" s="2218"/>
      <c r="L69" s="2218"/>
    </row>
    <row r="70" spans="1:12">
      <c r="A70" s="2262" t="s">
        <v>69</v>
      </c>
      <c r="B70" s="2218">
        <f xml:space="preserve"> MHDV_Mat_Parameters!C52</f>
        <v>0</v>
      </c>
      <c r="C70" s="2218">
        <f xml:space="preserve"> MHDV_Mat_Parameters!D52</f>
        <v>0</v>
      </c>
      <c r="D70" s="2218">
        <f xml:space="preserve"> MHDV_Mat_Parameters!E52</f>
        <v>0</v>
      </c>
      <c r="E70" s="2224">
        <f xml:space="preserve"> MHDV_Mat_Parameters!F52</f>
        <v>4.3836644122249399E-5</v>
      </c>
      <c r="F70" s="2218"/>
      <c r="G70" s="2218"/>
      <c r="H70" s="2218"/>
      <c r="I70" s="2218"/>
      <c r="J70" s="2218"/>
      <c r="K70" s="2218"/>
      <c r="L70" s="2218"/>
    </row>
    <row r="71" spans="1:12">
      <c r="A71" s="2262" t="s">
        <v>58</v>
      </c>
      <c r="B71" s="2218">
        <f xml:space="preserve"> MHDV_Mat_Parameters!C53</f>
        <v>0</v>
      </c>
      <c r="C71" s="2218">
        <f xml:space="preserve"> MHDV_Mat_Parameters!D53</f>
        <v>0</v>
      </c>
      <c r="D71" s="2218">
        <f xml:space="preserve"> MHDV_Mat_Parameters!E53</f>
        <v>0</v>
      </c>
      <c r="E71" s="2224">
        <f xml:space="preserve"> MHDV_Mat_Parameters!F53</f>
        <v>3.1803967758483849E-4</v>
      </c>
      <c r="F71" s="2218"/>
      <c r="G71" s="2218"/>
      <c r="H71" s="2218"/>
      <c r="I71" s="2218"/>
      <c r="J71" s="2218"/>
      <c r="K71" s="2218"/>
      <c r="L71" s="2218"/>
    </row>
    <row r="72" spans="1:12">
      <c r="A72" s="2265" t="s">
        <v>294</v>
      </c>
      <c r="B72" s="2216">
        <f xml:space="preserve"> MHDV_Mat_Parameters!C54</f>
        <v>0</v>
      </c>
      <c r="C72" s="2216">
        <f xml:space="preserve"> MHDV_Mat_Parameters!D54</f>
        <v>0</v>
      </c>
      <c r="D72" s="2216">
        <f xml:space="preserve"> MHDV_Mat_Parameters!E54</f>
        <v>0</v>
      </c>
      <c r="E72" s="2217">
        <f xml:space="preserve"> MHDV_Mat_Parameters!F54</f>
        <v>1.6454896889403752E-3</v>
      </c>
      <c r="F72" s="2218"/>
      <c r="G72" s="2218"/>
      <c r="H72" s="2218"/>
      <c r="I72" s="2218"/>
      <c r="J72" s="2218"/>
      <c r="K72" s="2218"/>
      <c r="L72" s="2218"/>
    </row>
    <row r="73" spans="1:12">
      <c r="A73" s="2176" t="s">
        <v>274</v>
      </c>
      <c r="B73" s="2091"/>
      <c r="C73" s="2091"/>
      <c r="D73" s="2091"/>
      <c r="E73" s="2183"/>
    </row>
    <row r="74" spans="1:12">
      <c r="A74" s="2262" t="s">
        <v>38</v>
      </c>
      <c r="B74" s="2218">
        <f xml:space="preserve"> MHDV_Mat_Parameters!C56</f>
        <v>0.86253103742493664</v>
      </c>
      <c r="C74" s="2218">
        <f xml:space="preserve"> MHDV_Mat_Parameters!D56</f>
        <v>0.86253103742493664</v>
      </c>
      <c r="D74" s="2218">
        <f xml:space="preserve"> MHDV_Mat_Parameters!E56</f>
        <v>0.86253103742493664</v>
      </c>
      <c r="E74" s="2224">
        <f xml:space="preserve"> MHDV_Mat_Parameters!F56</f>
        <v>0.86253103742493664</v>
      </c>
      <c r="F74" s="2218"/>
      <c r="G74" s="2218"/>
      <c r="H74" s="2218"/>
      <c r="I74" s="2218"/>
      <c r="J74" s="2218"/>
      <c r="K74" s="2218"/>
      <c r="L74" s="2218"/>
    </row>
    <row r="75" spans="1:12">
      <c r="A75" s="2262" t="s">
        <v>2406</v>
      </c>
      <c r="B75" s="2218">
        <f xml:space="preserve"> MHDV_Mat_Parameters!C57</f>
        <v>1.3498102108116383E-4</v>
      </c>
      <c r="C75" s="2218">
        <f xml:space="preserve"> MHDV_Mat_Parameters!D57</f>
        <v>1.3498102108116383E-4</v>
      </c>
      <c r="D75" s="2218">
        <f xml:space="preserve"> MHDV_Mat_Parameters!E57</f>
        <v>1.3498102108116383E-4</v>
      </c>
      <c r="E75" s="2224">
        <f xml:space="preserve"> MHDV_Mat_Parameters!F57</f>
        <v>1.3498102108116383E-4</v>
      </c>
      <c r="F75" s="2218"/>
      <c r="G75" s="2218"/>
      <c r="H75" s="2218"/>
      <c r="I75" s="2218"/>
      <c r="J75" s="2218"/>
      <c r="K75" s="2218"/>
      <c r="L75" s="2218"/>
    </row>
    <row r="76" spans="1:12">
      <c r="A76" s="2262" t="s">
        <v>2405</v>
      </c>
      <c r="B76" s="2218">
        <f xml:space="preserve"> MHDV_Mat_Parameters!C58</f>
        <v>7.3254214283268956E-4</v>
      </c>
      <c r="C76" s="2218">
        <f xml:space="preserve"> MHDV_Mat_Parameters!D58</f>
        <v>7.3254214283268956E-4</v>
      </c>
      <c r="D76" s="2218">
        <f xml:space="preserve"> MHDV_Mat_Parameters!E58</f>
        <v>7.3254214283268956E-4</v>
      </c>
      <c r="E76" s="2224">
        <f xml:space="preserve"> MHDV_Mat_Parameters!F58</f>
        <v>7.3254214283268956E-4</v>
      </c>
      <c r="F76" s="2218"/>
      <c r="G76" s="2218"/>
      <c r="H76" s="2218"/>
      <c r="I76" s="2218"/>
      <c r="J76" s="2218"/>
      <c r="K76" s="2218"/>
      <c r="L76" s="2218"/>
    </row>
    <row r="77" spans="1:12">
      <c r="A77" s="2262" t="s">
        <v>1869</v>
      </c>
      <c r="B77" s="2218">
        <f xml:space="preserve"> MHDV_Mat_Parameters!C59</f>
        <v>7.0474644087292926E-2</v>
      </c>
      <c r="C77" s="2218">
        <f xml:space="preserve"> MHDV_Mat_Parameters!D59</f>
        <v>7.0474644087292926E-2</v>
      </c>
      <c r="D77" s="2218">
        <f xml:space="preserve"> MHDV_Mat_Parameters!E59</f>
        <v>7.0474644087292926E-2</v>
      </c>
      <c r="E77" s="2224">
        <f xml:space="preserve"> MHDV_Mat_Parameters!F59</f>
        <v>7.0474644087292926E-2</v>
      </c>
      <c r="F77" s="2218"/>
      <c r="G77" s="2218"/>
      <c r="H77" s="2218"/>
      <c r="I77" s="2218"/>
      <c r="J77" s="2218"/>
      <c r="K77" s="2218"/>
      <c r="L77" s="2218"/>
    </row>
    <row r="78" spans="1:12">
      <c r="A78" s="2262" t="s">
        <v>61</v>
      </c>
      <c r="B78" s="2218">
        <f xml:space="preserve"> MHDV_Mat_Parameters!C60</f>
        <v>6.3219224804186959E-3</v>
      </c>
      <c r="C78" s="2218">
        <f xml:space="preserve"> MHDV_Mat_Parameters!D60</f>
        <v>6.3219224804186959E-3</v>
      </c>
      <c r="D78" s="2218">
        <f xml:space="preserve"> MHDV_Mat_Parameters!E60</f>
        <v>6.3219224804186959E-3</v>
      </c>
      <c r="E78" s="2224">
        <f xml:space="preserve"> MHDV_Mat_Parameters!F60</f>
        <v>6.3219224804186959E-3</v>
      </c>
      <c r="F78" s="2218"/>
      <c r="G78" s="2218"/>
      <c r="H78" s="2218"/>
      <c r="I78" s="2218"/>
      <c r="J78" s="2218"/>
      <c r="K78" s="2218"/>
      <c r="L78" s="2218"/>
    </row>
    <row r="79" spans="1:12">
      <c r="A79" s="2262" t="s">
        <v>60</v>
      </c>
      <c r="B79" s="2218">
        <f xml:space="preserve"> MHDV_Mat_Parameters!C61</f>
        <v>5.4116062255264281E-2</v>
      </c>
      <c r="C79" s="2218">
        <f xml:space="preserve"> MHDV_Mat_Parameters!D61</f>
        <v>5.4116062255264281E-2</v>
      </c>
      <c r="D79" s="2218">
        <f xml:space="preserve"> MHDV_Mat_Parameters!E61</f>
        <v>5.4116062255264281E-2</v>
      </c>
      <c r="E79" s="2224">
        <f xml:space="preserve"> MHDV_Mat_Parameters!F61</f>
        <v>5.4116062255264281E-2</v>
      </c>
      <c r="F79" s="2218"/>
      <c r="G79" s="2218"/>
      <c r="H79" s="2218"/>
      <c r="I79" s="2218"/>
      <c r="J79" s="2218"/>
      <c r="K79" s="2218"/>
      <c r="L79" s="2218"/>
    </row>
    <row r="80" spans="1:12">
      <c r="A80" s="2262" t="s">
        <v>52</v>
      </c>
      <c r="B80" s="2218">
        <f xml:space="preserve"> MHDV_Mat_Parameters!C62</f>
        <v>3.5218372251571623E-3</v>
      </c>
      <c r="C80" s="2218">
        <f xml:space="preserve"> MHDV_Mat_Parameters!D62</f>
        <v>3.5218372251571623E-3</v>
      </c>
      <c r="D80" s="2218">
        <f xml:space="preserve"> MHDV_Mat_Parameters!E62</f>
        <v>3.5218372251571623E-3</v>
      </c>
      <c r="E80" s="2224">
        <f xml:space="preserve"> MHDV_Mat_Parameters!F62</f>
        <v>3.5218372251571623E-3</v>
      </c>
      <c r="F80" s="2218"/>
      <c r="G80" s="2218"/>
      <c r="H80" s="2218"/>
      <c r="I80" s="2218"/>
      <c r="J80" s="2218"/>
      <c r="K80" s="2218"/>
      <c r="L80" s="2218"/>
    </row>
    <row r="81" spans="1:12">
      <c r="A81" s="2262" t="s">
        <v>2424</v>
      </c>
      <c r="B81" s="2218">
        <f xml:space="preserve"> MHDV_Mat_Parameters!C63</f>
        <v>4.7838288975051449E-4</v>
      </c>
      <c r="C81" s="2218">
        <f xml:space="preserve"> MHDV_Mat_Parameters!D63</f>
        <v>4.7838288975051449E-4</v>
      </c>
      <c r="D81" s="2218">
        <f xml:space="preserve"> MHDV_Mat_Parameters!E63</f>
        <v>4.7838288975051449E-4</v>
      </c>
      <c r="E81" s="2224">
        <f xml:space="preserve"> MHDV_Mat_Parameters!F63</f>
        <v>4.7838288975051449E-4</v>
      </c>
      <c r="F81" s="2218"/>
      <c r="G81" s="2218"/>
      <c r="H81" s="2218"/>
      <c r="I81" s="2218"/>
      <c r="J81" s="2218"/>
      <c r="K81" s="2218"/>
      <c r="L81" s="2218"/>
    </row>
    <row r="82" spans="1:12">
      <c r="A82" s="2262" t="s">
        <v>2425</v>
      </c>
      <c r="B82" s="2218">
        <f xml:space="preserve"> MHDV_Mat_Parameters!C64</f>
        <v>1.6885904732658118E-3</v>
      </c>
      <c r="C82" s="2218">
        <f xml:space="preserve"> MHDV_Mat_Parameters!D64</f>
        <v>1.6885904732658118E-3</v>
      </c>
      <c r="D82" s="2218">
        <f xml:space="preserve"> MHDV_Mat_Parameters!E64</f>
        <v>1.6885904732658118E-3</v>
      </c>
      <c r="E82" s="2224">
        <f xml:space="preserve"> MHDV_Mat_Parameters!F64</f>
        <v>1.6885904732658118E-3</v>
      </c>
      <c r="F82" s="2218"/>
      <c r="G82" s="2218"/>
      <c r="H82" s="2218"/>
      <c r="I82" s="2218"/>
      <c r="J82" s="2218"/>
      <c r="K82" s="2218"/>
      <c r="L82" s="2218"/>
    </row>
    <row r="83" spans="1:12">
      <c r="A83" s="2265" t="s">
        <v>2426</v>
      </c>
      <c r="B83" s="2216">
        <f xml:space="preserve"> MHDV_Mat_Parameters!C65</f>
        <v>0</v>
      </c>
      <c r="C83" s="2216">
        <f xml:space="preserve"> MHDV_Mat_Parameters!D65</f>
        <v>0</v>
      </c>
      <c r="D83" s="2216">
        <f xml:space="preserve"> MHDV_Mat_Parameters!E65</f>
        <v>0</v>
      </c>
      <c r="E83" s="2217">
        <f xml:space="preserve"> MHDV_Mat_Parameters!F65</f>
        <v>0</v>
      </c>
      <c r="F83" s="2218"/>
      <c r="G83" s="2218"/>
      <c r="H83" s="2218"/>
      <c r="I83" s="2218"/>
      <c r="J83" s="2218"/>
      <c r="K83" s="2218"/>
      <c r="L83" s="2218"/>
    </row>
    <row r="84" spans="1:12">
      <c r="A84" s="2176" t="s">
        <v>184</v>
      </c>
      <c r="B84" s="2091"/>
      <c r="C84" s="2091"/>
      <c r="D84" s="2091"/>
      <c r="E84" s="2183"/>
    </row>
    <row r="85" spans="1:12">
      <c r="A85" s="2262" t="s">
        <v>38</v>
      </c>
      <c r="B85" s="2218">
        <f xml:space="preserve"> MHDV_Mat_Parameters!C67</f>
        <v>0.77956631354324046</v>
      </c>
      <c r="C85" s="2218">
        <f xml:space="preserve"> MHDV_Mat_Parameters!D67</f>
        <v>0.77956631354324046</v>
      </c>
      <c r="D85" s="2218">
        <f xml:space="preserve"> MHDV_Mat_Parameters!E67</f>
        <v>0.77956631354324046</v>
      </c>
      <c r="E85" s="2224">
        <f xml:space="preserve"> MHDV_Mat_Parameters!F67</f>
        <v>0.77956631354324046</v>
      </c>
      <c r="F85" s="2218"/>
      <c r="G85" s="2218"/>
      <c r="H85" s="2218"/>
      <c r="I85" s="2218"/>
      <c r="J85" s="2218"/>
      <c r="K85" s="2218"/>
      <c r="L85" s="2218"/>
    </row>
    <row r="86" spans="1:12">
      <c r="A86" s="2262" t="s">
        <v>1869</v>
      </c>
      <c r="B86" s="2218">
        <f xml:space="preserve"> MHDV_Mat_Parameters!C68</f>
        <v>7.548714902113017E-2</v>
      </c>
      <c r="C86" s="2218">
        <f xml:space="preserve"> MHDV_Mat_Parameters!D68</f>
        <v>7.548714902113017E-2</v>
      </c>
      <c r="D86" s="2218">
        <f xml:space="preserve"> MHDV_Mat_Parameters!E68</f>
        <v>7.548714902113017E-2</v>
      </c>
      <c r="E86" s="2224">
        <f xml:space="preserve"> MHDV_Mat_Parameters!F68</f>
        <v>7.548714902113017E-2</v>
      </c>
      <c r="F86" s="2218"/>
      <c r="G86" s="2218"/>
      <c r="H86" s="2218"/>
      <c r="I86" s="2218"/>
      <c r="J86" s="2218"/>
      <c r="K86" s="2218"/>
      <c r="L86" s="2218"/>
    </row>
    <row r="87" spans="1:12">
      <c r="A87" s="2262" t="s">
        <v>2406</v>
      </c>
      <c r="B87" s="2218">
        <f xml:space="preserve"> MHDV_Mat_Parameters!C69</f>
        <v>4.991957869847212E-2</v>
      </c>
      <c r="C87" s="2218">
        <f xml:space="preserve"> MHDV_Mat_Parameters!D69</f>
        <v>4.991957869847212E-2</v>
      </c>
      <c r="D87" s="2218">
        <f xml:space="preserve"> MHDV_Mat_Parameters!E69</f>
        <v>4.991957869847212E-2</v>
      </c>
      <c r="E87" s="2224">
        <f xml:space="preserve"> MHDV_Mat_Parameters!F69</f>
        <v>4.991957869847212E-2</v>
      </c>
      <c r="F87" s="2218"/>
      <c r="G87" s="2218"/>
      <c r="H87" s="2218"/>
      <c r="I87" s="2218"/>
      <c r="J87" s="2218"/>
      <c r="K87" s="2218"/>
      <c r="L87" s="2218"/>
    </row>
    <row r="88" spans="1:12">
      <c r="A88" s="2262" t="s">
        <v>2405</v>
      </c>
      <c r="B88" s="2218">
        <f xml:space="preserve"> MHDV_Mat_Parameters!C70</f>
        <v>0</v>
      </c>
      <c r="C88" s="2218">
        <f xml:space="preserve"> MHDV_Mat_Parameters!D70</f>
        <v>0</v>
      </c>
      <c r="D88" s="2218">
        <f xml:space="preserve"> MHDV_Mat_Parameters!E70</f>
        <v>0</v>
      </c>
      <c r="E88" s="2224">
        <f xml:space="preserve"> MHDV_Mat_Parameters!F70</f>
        <v>0</v>
      </c>
      <c r="F88" s="2218"/>
      <c r="G88" s="2218"/>
      <c r="H88" s="2218"/>
      <c r="I88" s="2218"/>
      <c r="J88" s="2218"/>
      <c r="K88" s="2218"/>
      <c r="L88" s="2218"/>
    </row>
    <row r="89" spans="1:12">
      <c r="A89" s="2262" t="s">
        <v>61</v>
      </c>
      <c r="B89" s="2218">
        <f xml:space="preserve"> MHDV_Mat_Parameters!C71</f>
        <v>9.409710037130127E-2</v>
      </c>
      <c r="C89" s="2218">
        <f xml:space="preserve"> MHDV_Mat_Parameters!D71</f>
        <v>9.409710037130127E-2</v>
      </c>
      <c r="D89" s="2218">
        <f xml:space="preserve"> MHDV_Mat_Parameters!E71</f>
        <v>9.409710037130127E-2</v>
      </c>
      <c r="E89" s="2224">
        <f xml:space="preserve"> MHDV_Mat_Parameters!F71</f>
        <v>9.409710037130127E-2</v>
      </c>
      <c r="F89" s="2218"/>
      <c r="G89" s="2218"/>
      <c r="H89" s="2218"/>
      <c r="I89" s="2218"/>
      <c r="J89" s="2218"/>
      <c r="K89" s="2218"/>
      <c r="L89" s="2218"/>
    </row>
    <row r="90" spans="1:12">
      <c r="A90" s="2262" t="s">
        <v>60</v>
      </c>
      <c r="B90" s="2218">
        <f xml:space="preserve"> MHDV_Mat_Parameters!C72</f>
        <v>6.130332996087816E-4</v>
      </c>
      <c r="C90" s="2218">
        <f xml:space="preserve"> MHDV_Mat_Parameters!D72</f>
        <v>6.130332996087816E-4</v>
      </c>
      <c r="D90" s="2218">
        <f xml:space="preserve"> MHDV_Mat_Parameters!E72</f>
        <v>6.130332996087816E-4</v>
      </c>
      <c r="E90" s="2224">
        <f xml:space="preserve"> MHDV_Mat_Parameters!F72</f>
        <v>6.130332996087816E-4</v>
      </c>
      <c r="F90" s="2218"/>
      <c r="G90" s="2218"/>
      <c r="H90" s="2218"/>
      <c r="I90" s="2218"/>
      <c r="J90" s="2218"/>
      <c r="K90" s="2218"/>
      <c r="L90" s="2218"/>
    </row>
    <row r="91" spans="1:12">
      <c r="A91" s="2262" t="s">
        <v>52</v>
      </c>
      <c r="B91" s="2218">
        <f xml:space="preserve"> MHDV_Mat_Parameters!C73</f>
        <v>1.4021880558760439E-4</v>
      </c>
      <c r="C91" s="2218">
        <f xml:space="preserve"> MHDV_Mat_Parameters!D73</f>
        <v>1.4021880558760439E-4</v>
      </c>
      <c r="D91" s="2218">
        <f xml:space="preserve"> MHDV_Mat_Parameters!E73</f>
        <v>1.4021880558760439E-4</v>
      </c>
      <c r="E91" s="2224">
        <f xml:space="preserve"> MHDV_Mat_Parameters!F73</f>
        <v>1.4021880558760439E-4</v>
      </c>
      <c r="F91" s="2218"/>
      <c r="G91" s="2218"/>
      <c r="H91" s="2218"/>
      <c r="I91" s="2218"/>
      <c r="J91" s="2218"/>
      <c r="K91" s="2218"/>
      <c r="L91" s="2218"/>
    </row>
    <row r="92" spans="1:12">
      <c r="A92" s="2262" t="s">
        <v>2424</v>
      </c>
      <c r="B92" s="2218">
        <f xml:space="preserve"> MHDV_Mat_Parameters!C74</f>
        <v>8.1063996980333799E-5</v>
      </c>
      <c r="C92" s="2218">
        <f xml:space="preserve"> MHDV_Mat_Parameters!D74</f>
        <v>8.1063996980333799E-5</v>
      </c>
      <c r="D92" s="2218">
        <f xml:space="preserve"> MHDV_Mat_Parameters!E74</f>
        <v>8.1063996980333799E-5</v>
      </c>
      <c r="E92" s="2224">
        <f xml:space="preserve"> MHDV_Mat_Parameters!F74</f>
        <v>8.1063996980333799E-5</v>
      </c>
      <c r="F92" s="2218"/>
      <c r="G92" s="2218"/>
      <c r="H92" s="2218"/>
      <c r="I92" s="2218"/>
      <c r="J92" s="2218"/>
      <c r="K92" s="2218"/>
      <c r="L92" s="2218"/>
    </row>
    <row r="93" spans="1:12">
      <c r="A93" s="2262" t="s">
        <v>2425</v>
      </c>
      <c r="B93" s="2218">
        <f xml:space="preserve"> MHDV_Mat_Parameters!C75</f>
        <v>3.8341079652860572E-5</v>
      </c>
      <c r="C93" s="2218">
        <f xml:space="preserve"> MHDV_Mat_Parameters!D75</f>
        <v>3.8341079652860572E-5</v>
      </c>
      <c r="D93" s="2218">
        <f xml:space="preserve"> MHDV_Mat_Parameters!E75</f>
        <v>3.8341079652860572E-5</v>
      </c>
      <c r="E93" s="2224">
        <f xml:space="preserve"> MHDV_Mat_Parameters!F75</f>
        <v>3.8341079652860572E-5</v>
      </c>
      <c r="F93" s="2218"/>
      <c r="G93" s="2218"/>
      <c r="H93" s="2218"/>
      <c r="I93" s="2218"/>
      <c r="J93" s="2218"/>
      <c r="K93" s="2218"/>
      <c r="L93" s="2218"/>
    </row>
    <row r="94" spans="1:12">
      <c r="A94" s="2265" t="s">
        <v>2426</v>
      </c>
      <c r="B94" s="2216">
        <f xml:space="preserve"> MHDV_Mat_Parameters!C76</f>
        <v>5.7201184026321305E-5</v>
      </c>
      <c r="C94" s="2216">
        <f xml:space="preserve"> MHDV_Mat_Parameters!D76</f>
        <v>5.7201184026321305E-5</v>
      </c>
      <c r="D94" s="2216">
        <f xml:space="preserve"> MHDV_Mat_Parameters!E76</f>
        <v>5.7201184026321305E-5</v>
      </c>
      <c r="E94" s="2217">
        <f xml:space="preserve"> MHDV_Mat_Parameters!F76</f>
        <v>5.7201184026321305E-5</v>
      </c>
      <c r="F94" s="2218"/>
      <c r="G94" s="2218"/>
      <c r="H94" s="2218"/>
      <c r="I94" s="2218"/>
      <c r="J94" s="2218"/>
      <c r="K94" s="2218"/>
      <c r="L94" s="2218"/>
    </row>
    <row r="95" spans="1:12">
      <c r="A95" s="2176" t="s">
        <v>185</v>
      </c>
      <c r="B95" s="2091"/>
      <c r="C95" s="2091"/>
      <c r="D95" s="2091"/>
      <c r="E95" s="2183"/>
    </row>
    <row r="96" spans="1:12">
      <c r="A96" s="2262" t="s">
        <v>38</v>
      </c>
      <c r="B96" s="2218">
        <f xml:space="preserve"> MHDV_Mat_Parameters!C78</f>
        <v>0</v>
      </c>
      <c r="C96" s="2218">
        <f xml:space="preserve"> MHDV_Mat_Parameters!D78</f>
        <v>0.36099999999999999</v>
      </c>
      <c r="D96" s="2218">
        <f xml:space="preserve"> MHDV_Mat_Parameters!E78</f>
        <v>0.36099999999999999</v>
      </c>
      <c r="E96" s="2224">
        <f xml:space="preserve"> MHDV_Mat_Parameters!F78</f>
        <v>0.36099999999999999</v>
      </c>
      <c r="F96" s="2218"/>
      <c r="G96" s="2218"/>
      <c r="H96" s="2218"/>
      <c r="I96" s="2218"/>
      <c r="J96" s="2218"/>
      <c r="K96" s="2218"/>
      <c r="L96" s="2218"/>
    </row>
    <row r="97" spans="1:12">
      <c r="A97" s="2262" t="s">
        <v>2406</v>
      </c>
      <c r="B97" s="2218">
        <f xml:space="preserve"> MHDV_Mat_Parameters!C79</f>
        <v>0</v>
      </c>
      <c r="C97" s="2218">
        <f xml:space="preserve"> MHDV_Mat_Parameters!D79</f>
        <v>0.36099999999999999</v>
      </c>
      <c r="D97" s="2218">
        <f xml:space="preserve"> MHDV_Mat_Parameters!E79</f>
        <v>0.36099999999999999</v>
      </c>
      <c r="E97" s="2224">
        <f xml:space="preserve"> MHDV_Mat_Parameters!F79</f>
        <v>0.36099999999999999</v>
      </c>
      <c r="F97" s="2218"/>
      <c r="G97" s="2218"/>
      <c r="H97" s="2218"/>
      <c r="I97" s="2218"/>
      <c r="J97" s="2218"/>
      <c r="K97" s="2218"/>
      <c r="L97" s="2218"/>
    </row>
    <row r="98" spans="1:12">
      <c r="A98" s="2262" t="s">
        <v>284</v>
      </c>
      <c r="B98" s="2218">
        <f xml:space="preserve"> MHDV_Mat_Parameters!C80</f>
        <v>0</v>
      </c>
      <c r="C98" s="2218">
        <f xml:space="preserve"> MHDV_Mat_Parameters!D80</f>
        <v>0.27800000000000002</v>
      </c>
      <c r="D98" s="2218">
        <f xml:space="preserve"> MHDV_Mat_Parameters!E80</f>
        <v>0.27800000000000002</v>
      </c>
      <c r="E98" s="2224">
        <f xml:space="preserve"> MHDV_Mat_Parameters!F80</f>
        <v>0.27800000000000002</v>
      </c>
      <c r="F98" s="2218"/>
      <c r="G98" s="2218"/>
      <c r="H98" s="2218"/>
      <c r="I98" s="2218"/>
      <c r="J98" s="2218"/>
      <c r="K98" s="2218"/>
      <c r="L98" s="2218"/>
    </row>
    <row r="99" spans="1:12">
      <c r="A99" s="2265" t="s">
        <v>294</v>
      </c>
      <c r="B99" s="2216">
        <f xml:space="preserve"> MHDV_Mat_Parameters!C81</f>
        <v>0</v>
      </c>
      <c r="C99" s="2216">
        <f xml:space="preserve"> MHDV_Mat_Parameters!D81</f>
        <v>0</v>
      </c>
      <c r="D99" s="2216">
        <f xml:space="preserve"> MHDV_Mat_Parameters!E81</f>
        <v>0</v>
      </c>
      <c r="E99" s="2217">
        <f xml:space="preserve"> MHDV_Mat_Parameters!F81</f>
        <v>0</v>
      </c>
      <c r="F99" s="2218"/>
      <c r="G99" s="2218"/>
      <c r="H99" s="2218"/>
      <c r="I99" s="2218"/>
      <c r="J99" s="2218"/>
      <c r="K99" s="2218"/>
      <c r="L99" s="2218"/>
    </row>
    <row r="100" spans="1:12">
      <c r="A100" s="2176" t="s">
        <v>186</v>
      </c>
      <c r="B100" s="2091"/>
      <c r="C100" s="2091"/>
      <c r="D100" s="2091"/>
      <c r="E100" s="2183"/>
    </row>
    <row r="101" spans="1:12">
      <c r="A101" s="2262" t="s">
        <v>38</v>
      </c>
      <c r="B101" s="2218">
        <f xml:space="preserve"> MHDV_Mat_Parameters!C83</f>
        <v>0</v>
      </c>
      <c r="C101" s="2218">
        <f xml:space="preserve"> MHDV_Mat_Parameters!D83</f>
        <v>0.36099999999999999</v>
      </c>
      <c r="D101" s="2218">
        <f xml:space="preserve"> MHDV_Mat_Parameters!E83</f>
        <v>0</v>
      </c>
      <c r="E101" s="2224">
        <f xml:space="preserve"> MHDV_Mat_Parameters!F83</f>
        <v>0</v>
      </c>
      <c r="F101" s="2218"/>
      <c r="G101" s="2218"/>
      <c r="H101" s="2218"/>
      <c r="I101" s="2218"/>
      <c r="J101" s="2218"/>
      <c r="K101" s="2339"/>
      <c r="L101" s="2339"/>
    </row>
    <row r="102" spans="1:12">
      <c r="A102" s="2262" t="s">
        <v>283</v>
      </c>
      <c r="B102" s="2218">
        <f xml:space="preserve"> MHDV_Mat_Parameters!C84</f>
        <v>0</v>
      </c>
      <c r="C102" s="2218">
        <f xml:space="preserve"> MHDV_Mat_Parameters!D84</f>
        <v>0.36099999999999999</v>
      </c>
      <c r="D102" s="2218">
        <f xml:space="preserve"> MHDV_Mat_Parameters!E84</f>
        <v>0</v>
      </c>
      <c r="E102" s="2224">
        <f xml:space="preserve"> MHDV_Mat_Parameters!F84</f>
        <v>0</v>
      </c>
      <c r="F102" s="2218"/>
      <c r="G102" s="2218"/>
      <c r="H102" s="2218"/>
      <c r="I102" s="2218"/>
      <c r="J102" s="2218"/>
      <c r="K102" s="2339"/>
      <c r="L102" s="2339"/>
    </row>
    <row r="103" spans="1:12">
      <c r="A103" s="2262" t="s">
        <v>284</v>
      </c>
      <c r="B103" s="2218">
        <f xml:space="preserve"> MHDV_Mat_Parameters!C85</f>
        <v>0</v>
      </c>
      <c r="C103" s="2218">
        <f xml:space="preserve"> MHDV_Mat_Parameters!D85</f>
        <v>0.27800000000000002</v>
      </c>
      <c r="D103" s="2218">
        <f xml:space="preserve"> MHDV_Mat_Parameters!E85</f>
        <v>0</v>
      </c>
      <c r="E103" s="2224">
        <f xml:space="preserve"> MHDV_Mat_Parameters!F85</f>
        <v>0</v>
      </c>
      <c r="F103" s="2218"/>
      <c r="G103" s="2218"/>
      <c r="H103" s="2218"/>
      <c r="I103" s="2218"/>
      <c r="J103" s="2218"/>
      <c r="K103" s="2339"/>
      <c r="L103" s="2339"/>
    </row>
    <row r="104" spans="1:12">
      <c r="A104" s="2265" t="s">
        <v>294</v>
      </c>
      <c r="B104" s="2216">
        <f xml:space="preserve"> MHDV_Mat_Parameters!C86</f>
        <v>0</v>
      </c>
      <c r="C104" s="2216">
        <f xml:space="preserve"> MHDV_Mat_Parameters!D86</f>
        <v>0</v>
      </c>
      <c r="D104" s="2216">
        <f xml:space="preserve"> MHDV_Mat_Parameters!E86</f>
        <v>0</v>
      </c>
      <c r="E104" s="2217">
        <f xml:space="preserve"> MHDV_Mat_Parameters!F86</f>
        <v>0</v>
      </c>
      <c r="F104" s="2218"/>
      <c r="G104" s="2218"/>
      <c r="H104" s="2218"/>
      <c r="I104" s="2218"/>
      <c r="J104" s="2218"/>
      <c r="K104" s="2339"/>
      <c r="L104" s="2339"/>
    </row>
    <row r="105" spans="1:12">
      <c r="A105" s="2176" t="s">
        <v>187</v>
      </c>
      <c r="B105" s="2091"/>
      <c r="C105" s="2091"/>
      <c r="D105" s="2091"/>
      <c r="E105" s="2183"/>
    </row>
    <row r="106" spans="1:12">
      <c r="A106" s="2262" t="s">
        <v>38</v>
      </c>
      <c r="B106" s="2218">
        <f xml:space="preserve"> MHDV_Mat_Parameters!C88</f>
        <v>0</v>
      </c>
      <c r="C106" s="2218">
        <f xml:space="preserve"> MHDV_Mat_Parameters!D88</f>
        <v>0.05</v>
      </c>
      <c r="D106" s="2218">
        <f xml:space="preserve"> MHDV_Mat_Parameters!E88</f>
        <v>0.05</v>
      </c>
      <c r="E106" s="2224">
        <f xml:space="preserve"> MHDV_Mat_Parameters!F88</f>
        <v>0.05</v>
      </c>
      <c r="F106" s="2218"/>
      <c r="G106" s="2218"/>
      <c r="H106" s="2218"/>
      <c r="I106" s="2218"/>
      <c r="J106" s="2218"/>
      <c r="K106" s="2218"/>
      <c r="L106" s="2218"/>
    </row>
    <row r="107" spans="1:12">
      <c r="A107" s="2262" t="s">
        <v>283</v>
      </c>
      <c r="B107" s="2218">
        <f xml:space="preserve"> MHDV_Mat_Parameters!C89</f>
        <v>0</v>
      </c>
      <c r="C107" s="2218">
        <f xml:space="preserve"> MHDV_Mat_Parameters!D89</f>
        <v>0.46899999999999997</v>
      </c>
      <c r="D107" s="2218">
        <f xml:space="preserve"> MHDV_Mat_Parameters!E89</f>
        <v>0.46899999999999997</v>
      </c>
      <c r="E107" s="2224">
        <f xml:space="preserve"> MHDV_Mat_Parameters!F89</f>
        <v>0.46899999999999997</v>
      </c>
      <c r="F107" s="2218"/>
      <c r="G107" s="2218"/>
      <c r="H107" s="2218"/>
      <c r="I107" s="2218"/>
      <c r="J107" s="2218"/>
      <c r="K107" s="2218"/>
      <c r="L107" s="2218"/>
    </row>
    <row r="108" spans="1:12">
      <c r="A108" s="2262" t="s">
        <v>284</v>
      </c>
      <c r="B108" s="2218">
        <f xml:space="preserve"> MHDV_Mat_Parameters!C90</f>
        <v>0</v>
      </c>
      <c r="C108" s="2218">
        <f xml:space="preserve"> MHDV_Mat_Parameters!D90</f>
        <v>8.2000000000000003E-2</v>
      </c>
      <c r="D108" s="2218">
        <f xml:space="preserve"> MHDV_Mat_Parameters!E90</f>
        <v>8.2000000000000003E-2</v>
      </c>
      <c r="E108" s="2224">
        <f xml:space="preserve"> MHDV_Mat_Parameters!F90</f>
        <v>8.2000000000000003E-2</v>
      </c>
      <c r="F108" s="2218"/>
      <c r="G108" s="2218"/>
      <c r="H108" s="2218"/>
      <c r="I108" s="2218"/>
      <c r="J108" s="2218"/>
      <c r="K108" s="2218"/>
      <c r="L108" s="2218"/>
    </row>
    <row r="109" spans="1:12">
      <c r="A109" s="2262" t="s">
        <v>61</v>
      </c>
      <c r="B109" s="2218">
        <f xml:space="preserve"> MHDV_Mat_Parameters!C91</f>
        <v>0</v>
      </c>
      <c r="C109" s="2218">
        <f xml:space="preserve"> MHDV_Mat_Parameters!D91</f>
        <v>3.6999999999999998E-2</v>
      </c>
      <c r="D109" s="2218">
        <f xml:space="preserve"> MHDV_Mat_Parameters!E91</f>
        <v>3.6999999999999998E-2</v>
      </c>
      <c r="E109" s="2224">
        <f xml:space="preserve"> MHDV_Mat_Parameters!F91</f>
        <v>3.6999999999999998E-2</v>
      </c>
      <c r="F109" s="2218"/>
      <c r="G109" s="2218"/>
      <c r="H109" s="2218"/>
      <c r="I109" s="2218"/>
      <c r="J109" s="2218"/>
      <c r="K109" s="2218"/>
      <c r="L109" s="2218"/>
    </row>
    <row r="110" spans="1:12">
      <c r="A110" s="2262" t="s">
        <v>285</v>
      </c>
      <c r="B110" s="2218">
        <f xml:space="preserve"> MHDV_Mat_Parameters!C92</f>
        <v>0</v>
      </c>
      <c r="C110" s="2218">
        <f xml:space="preserve"> MHDV_Mat_Parameters!D92</f>
        <v>0.23799999999999999</v>
      </c>
      <c r="D110" s="2218">
        <f xml:space="preserve"> MHDV_Mat_Parameters!E92</f>
        <v>0.23799999999999999</v>
      </c>
      <c r="E110" s="2224">
        <f xml:space="preserve"> MHDV_Mat_Parameters!F92</f>
        <v>0.23799999999999999</v>
      </c>
      <c r="F110" s="2218"/>
      <c r="G110" s="2218"/>
      <c r="H110" s="2218"/>
      <c r="I110" s="2218"/>
      <c r="J110" s="2218"/>
      <c r="K110" s="2218"/>
      <c r="L110" s="2218"/>
    </row>
    <row r="111" spans="1:12">
      <c r="A111" s="2265" t="s">
        <v>294</v>
      </c>
      <c r="B111" s="2216">
        <f xml:space="preserve"> MHDV_Mat_Parameters!C93</f>
        <v>0</v>
      </c>
      <c r="C111" s="2216">
        <f xml:space="preserve"> MHDV_Mat_Parameters!D93</f>
        <v>0.124</v>
      </c>
      <c r="D111" s="2216">
        <f xml:space="preserve"> MHDV_Mat_Parameters!E93</f>
        <v>0.124</v>
      </c>
      <c r="E111" s="2217">
        <f xml:space="preserve"> MHDV_Mat_Parameters!F93</f>
        <v>0.124</v>
      </c>
      <c r="F111" s="2218"/>
      <c r="G111" s="2218"/>
      <c r="H111" s="2218"/>
      <c r="I111" s="2218"/>
      <c r="J111" s="2218"/>
      <c r="K111" s="2218"/>
      <c r="L111" s="2218"/>
    </row>
    <row r="112" spans="1:12">
      <c r="A112" s="2176" t="s">
        <v>2427</v>
      </c>
      <c r="B112" s="2336"/>
      <c r="C112" s="2336"/>
      <c r="D112" s="2336"/>
      <c r="E112" s="2337"/>
      <c r="F112" s="2218"/>
      <c r="G112" s="2218"/>
      <c r="H112" s="2218"/>
      <c r="I112" s="2218"/>
      <c r="J112" s="2218"/>
      <c r="K112" s="2218"/>
      <c r="L112" s="2218"/>
    </row>
    <row r="113" spans="1:12">
      <c r="A113" s="2262" t="s">
        <v>1868</v>
      </c>
      <c r="B113" s="2218">
        <f xml:space="preserve"> MHDV_Mat_Parameters!C95</f>
        <v>0</v>
      </c>
      <c r="C113" s="2218">
        <f xml:space="preserve"> MHDV_Mat_Parameters!D95</f>
        <v>0</v>
      </c>
      <c r="D113" s="2218">
        <f xml:space="preserve"> MHDV_Mat_Parameters!E95</f>
        <v>0</v>
      </c>
      <c r="E113" s="2224">
        <f xml:space="preserve"> MHDV_Mat_Parameters!F95</f>
        <v>0</v>
      </c>
      <c r="F113" s="2218"/>
      <c r="G113" s="2218"/>
      <c r="H113" s="2218"/>
      <c r="I113" s="2218"/>
      <c r="J113" s="2218"/>
      <c r="K113" s="2218"/>
      <c r="L113" s="2218"/>
    </row>
    <row r="114" spans="1:12">
      <c r="A114" s="2262" t="s">
        <v>38</v>
      </c>
      <c r="B114" s="2218">
        <f xml:space="preserve"> MHDV_Mat_Parameters!C96</f>
        <v>0</v>
      </c>
      <c r="C114" s="2218">
        <f xml:space="preserve"> MHDV_Mat_Parameters!D96</f>
        <v>0</v>
      </c>
      <c r="D114" s="2218">
        <f xml:space="preserve"> MHDV_Mat_Parameters!E96</f>
        <v>0</v>
      </c>
      <c r="E114" s="2224">
        <f xml:space="preserve"> MHDV_Mat_Parameters!F96</f>
        <v>0</v>
      </c>
      <c r="F114" s="2218"/>
      <c r="G114" s="2218"/>
      <c r="H114" s="2218"/>
      <c r="I114" s="2218"/>
      <c r="J114" s="2218"/>
      <c r="K114" s="2218"/>
      <c r="L114" s="2218"/>
    </row>
    <row r="115" spans="1:12">
      <c r="A115" s="2262" t="s">
        <v>1869</v>
      </c>
      <c r="B115" s="2218">
        <f xml:space="preserve"> MHDV_Mat_Parameters!C97</f>
        <v>0</v>
      </c>
      <c r="C115" s="2218">
        <f xml:space="preserve"> MHDV_Mat_Parameters!D97</f>
        <v>0</v>
      </c>
      <c r="D115" s="2218">
        <f xml:space="preserve"> MHDV_Mat_Parameters!E97</f>
        <v>0</v>
      </c>
      <c r="E115" s="2224">
        <f xml:space="preserve"> MHDV_Mat_Parameters!F97</f>
        <v>0</v>
      </c>
      <c r="F115" s="2218"/>
      <c r="G115" s="2218"/>
      <c r="H115" s="2218"/>
      <c r="I115" s="2218"/>
      <c r="J115" s="2218"/>
      <c r="K115" s="2218"/>
      <c r="L115" s="2218"/>
    </row>
    <row r="116" spans="1:12">
      <c r="A116" s="2262" t="s">
        <v>2406</v>
      </c>
      <c r="B116" s="2218">
        <f xml:space="preserve"> MHDV_Mat_Parameters!C98</f>
        <v>0</v>
      </c>
      <c r="C116" s="2218">
        <f xml:space="preserve"> MHDV_Mat_Parameters!D98</f>
        <v>0</v>
      </c>
      <c r="D116" s="2218">
        <f xml:space="preserve"> MHDV_Mat_Parameters!E98</f>
        <v>0</v>
      </c>
      <c r="E116" s="2224">
        <f xml:space="preserve"> MHDV_Mat_Parameters!F98</f>
        <v>0</v>
      </c>
      <c r="F116" s="2218"/>
      <c r="G116" s="2218"/>
      <c r="H116" s="2218"/>
      <c r="I116" s="2218"/>
      <c r="J116" s="2218"/>
      <c r="K116" s="2218"/>
      <c r="L116" s="2218"/>
    </row>
    <row r="117" spans="1:12">
      <c r="A117" s="2262" t="s">
        <v>2405</v>
      </c>
      <c r="B117" s="2218">
        <f xml:space="preserve"> MHDV_Mat_Parameters!C99</f>
        <v>0</v>
      </c>
      <c r="C117" s="2218">
        <f xml:space="preserve"> MHDV_Mat_Parameters!D99</f>
        <v>0</v>
      </c>
      <c r="D117" s="2218">
        <f xml:space="preserve"> MHDV_Mat_Parameters!E99</f>
        <v>0</v>
      </c>
      <c r="E117" s="2224">
        <f xml:space="preserve"> MHDV_Mat_Parameters!F99</f>
        <v>0</v>
      </c>
      <c r="F117" s="2218"/>
      <c r="G117" s="2218"/>
      <c r="H117" s="2218"/>
      <c r="I117" s="2218"/>
      <c r="J117" s="2218"/>
      <c r="K117" s="2218"/>
      <c r="L117" s="2218"/>
    </row>
    <row r="118" spans="1:12">
      <c r="A118" s="2262" t="s">
        <v>2428</v>
      </c>
      <c r="B118" s="2218">
        <f xml:space="preserve"> MHDV_Mat_Parameters!C100</f>
        <v>0</v>
      </c>
      <c r="C118" s="2218">
        <f xml:space="preserve"> MHDV_Mat_Parameters!D100</f>
        <v>0</v>
      </c>
      <c r="D118" s="2218">
        <f xml:space="preserve"> MHDV_Mat_Parameters!E100</f>
        <v>0</v>
      </c>
      <c r="E118" s="2224">
        <f xml:space="preserve"> MHDV_Mat_Parameters!F100</f>
        <v>0</v>
      </c>
      <c r="F118" s="2218"/>
      <c r="G118" s="2218"/>
      <c r="H118" s="2218"/>
      <c r="I118" s="2218"/>
      <c r="J118" s="2218"/>
      <c r="K118" s="2218"/>
      <c r="L118" s="2218"/>
    </row>
    <row r="119" spans="1:12">
      <c r="A119" s="2262" t="s">
        <v>61</v>
      </c>
      <c r="B119" s="2218">
        <f xml:space="preserve"> MHDV_Mat_Parameters!C101</f>
        <v>0</v>
      </c>
      <c r="C119" s="2218">
        <f xml:space="preserve"> MHDV_Mat_Parameters!D101</f>
        <v>0</v>
      </c>
      <c r="D119" s="2218">
        <f xml:space="preserve"> MHDV_Mat_Parameters!E101</f>
        <v>0</v>
      </c>
      <c r="E119" s="2224">
        <f xml:space="preserve"> MHDV_Mat_Parameters!F101</f>
        <v>0</v>
      </c>
      <c r="F119" s="2218"/>
      <c r="G119" s="2218"/>
      <c r="H119" s="2218"/>
      <c r="I119" s="2218"/>
      <c r="J119" s="2218"/>
      <c r="K119" s="2218"/>
      <c r="L119" s="2218"/>
    </row>
    <row r="120" spans="1:12">
      <c r="A120" s="2262" t="s">
        <v>60</v>
      </c>
      <c r="B120" s="2218">
        <f xml:space="preserve"> MHDV_Mat_Parameters!C102</f>
        <v>0</v>
      </c>
      <c r="C120" s="2218">
        <f xml:space="preserve"> MHDV_Mat_Parameters!D102</f>
        <v>0</v>
      </c>
      <c r="D120" s="2218">
        <f xml:space="preserve"> MHDV_Mat_Parameters!E102</f>
        <v>0</v>
      </c>
      <c r="E120" s="2224">
        <f xml:space="preserve"> MHDV_Mat_Parameters!F102</f>
        <v>0</v>
      </c>
      <c r="F120" s="2218"/>
      <c r="G120" s="2218"/>
      <c r="H120" s="2218"/>
      <c r="I120" s="2218"/>
      <c r="J120" s="2218"/>
      <c r="K120" s="2218"/>
      <c r="L120" s="2218"/>
    </row>
    <row r="121" spans="1:12">
      <c r="A121" s="2262" t="s">
        <v>52</v>
      </c>
      <c r="B121" s="2218">
        <f xml:space="preserve"> MHDV_Mat_Parameters!C103</f>
        <v>0</v>
      </c>
      <c r="C121" s="2218">
        <f xml:space="preserve"> MHDV_Mat_Parameters!D103</f>
        <v>0</v>
      </c>
      <c r="D121" s="2218">
        <f xml:space="preserve"> MHDV_Mat_Parameters!E103</f>
        <v>0</v>
      </c>
      <c r="E121" s="2224">
        <f xml:space="preserve"> MHDV_Mat_Parameters!F103</f>
        <v>0</v>
      </c>
      <c r="F121" s="2218"/>
      <c r="G121" s="2218"/>
      <c r="H121" s="2218"/>
      <c r="I121" s="2218"/>
      <c r="J121" s="2218"/>
      <c r="K121" s="2218"/>
      <c r="L121" s="2218"/>
    </row>
    <row r="122" spans="1:12">
      <c r="A122" s="2262" t="s">
        <v>2424</v>
      </c>
      <c r="B122" s="2218">
        <f xml:space="preserve"> MHDV_Mat_Parameters!C104</f>
        <v>0</v>
      </c>
      <c r="C122" s="2218">
        <f xml:space="preserve"> MHDV_Mat_Parameters!D104</f>
        <v>0</v>
      </c>
      <c r="D122" s="2218">
        <f xml:space="preserve"> MHDV_Mat_Parameters!E104</f>
        <v>0</v>
      </c>
      <c r="E122" s="2224">
        <f xml:space="preserve"> MHDV_Mat_Parameters!F104</f>
        <v>0</v>
      </c>
      <c r="F122" s="2218"/>
      <c r="G122" s="2218"/>
      <c r="H122" s="2218"/>
      <c r="I122" s="2218"/>
      <c r="J122" s="2218"/>
      <c r="K122" s="2218"/>
      <c r="L122" s="2218"/>
    </row>
    <row r="123" spans="1:12">
      <c r="A123" s="2262" t="s">
        <v>2407</v>
      </c>
      <c r="B123" s="2218">
        <f xml:space="preserve"> MHDV_Mat_Parameters!C105</f>
        <v>0</v>
      </c>
      <c r="C123" s="2218">
        <f xml:space="preserve"> MHDV_Mat_Parameters!D105</f>
        <v>0</v>
      </c>
      <c r="D123" s="2218">
        <f xml:space="preserve"> MHDV_Mat_Parameters!E105</f>
        <v>0</v>
      </c>
      <c r="E123" s="2224">
        <f xml:space="preserve"> MHDV_Mat_Parameters!F105</f>
        <v>0</v>
      </c>
      <c r="F123" s="2218"/>
      <c r="G123" s="2218"/>
      <c r="H123" s="2218"/>
      <c r="I123" s="2218"/>
      <c r="J123" s="2218"/>
      <c r="K123" s="2218"/>
      <c r="L123" s="2218"/>
    </row>
    <row r="124" spans="1:12">
      <c r="A124" s="2262" t="s">
        <v>2426</v>
      </c>
      <c r="B124" s="2218">
        <f xml:space="preserve"> MHDV_Mat_Parameters!C106</f>
        <v>0</v>
      </c>
      <c r="C124" s="2218">
        <f xml:space="preserve"> MHDV_Mat_Parameters!D106</f>
        <v>0</v>
      </c>
      <c r="D124" s="2218">
        <f xml:space="preserve"> MHDV_Mat_Parameters!E106</f>
        <v>0</v>
      </c>
      <c r="E124" s="2224">
        <f xml:space="preserve"> MHDV_Mat_Parameters!F106</f>
        <v>0</v>
      </c>
      <c r="F124" s="2218"/>
      <c r="G124" s="2218"/>
      <c r="H124" s="2218"/>
      <c r="I124" s="2218"/>
      <c r="J124" s="2218"/>
      <c r="K124" s="2218"/>
      <c r="L124" s="2218"/>
    </row>
    <row r="125" spans="1:12">
      <c r="A125" s="2262" t="s">
        <v>2425</v>
      </c>
      <c r="B125" s="2218">
        <f xml:space="preserve"> MHDV_Mat_Parameters!C107</f>
        <v>0</v>
      </c>
      <c r="C125" s="2218">
        <f xml:space="preserve"> MHDV_Mat_Parameters!D107</f>
        <v>0</v>
      </c>
      <c r="D125" s="2218">
        <f xml:space="preserve"> MHDV_Mat_Parameters!E107</f>
        <v>0</v>
      </c>
      <c r="E125" s="2224">
        <f xml:space="preserve"> MHDV_Mat_Parameters!F107</f>
        <v>0</v>
      </c>
      <c r="F125" s="2218"/>
      <c r="G125" s="2218"/>
      <c r="H125" s="2218"/>
      <c r="I125" s="2218"/>
      <c r="J125" s="2218"/>
      <c r="K125" s="2218"/>
      <c r="L125" s="2218"/>
    </row>
    <row r="126" spans="1:12">
      <c r="A126" s="2262" t="s">
        <v>2420</v>
      </c>
      <c r="B126" s="2218">
        <f xml:space="preserve"> MHDV_Mat_Parameters!C108</f>
        <v>0</v>
      </c>
      <c r="C126" s="2218">
        <f xml:space="preserve"> MHDV_Mat_Parameters!D108</f>
        <v>0</v>
      </c>
      <c r="D126" s="2218">
        <f xml:space="preserve"> MHDV_Mat_Parameters!E108</f>
        <v>0</v>
      </c>
      <c r="E126" s="2224">
        <f xml:space="preserve"> MHDV_Mat_Parameters!F108</f>
        <v>0</v>
      </c>
      <c r="F126" s="2218"/>
      <c r="G126" s="2218"/>
      <c r="H126" s="2218"/>
      <c r="I126" s="2218"/>
      <c r="J126" s="2218"/>
      <c r="K126" s="2218"/>
      <c r="L126" s="2218"/>
    </row>
    <row r="127" spans="1:12">
      <c r="A127" s="2176" t="s">
        <v>1860</v>
      </c>
      <c r="B127" s="2091"/>
      <c r="C127" s="2091"/>
      <c r="D127" s="2091"/>
      <c r="E127" s="2183"/>
    </row>
    <row r="128" spans="1:12">
      <c r="A128" s="2340" t="s">
        <v>2429</v>
      </c>
      <c r="B128" s="2218">
        <f xml:space="preserve"> MHDV_Mat_Parameters!C110</f>
        <v>0</v>
      </c>
      <c r="C128" s="2218">
        <f xml:space="preserve"> MHDV_Mat_Parameters!D110</f>
        <v>0</v>
      </c>
      <c r="D128" s="2218">
        <f xml:space="preserve"> MHDV_Mat_Parameters!E110</f>
        <v>0</v>
      </c>
      <c r="E128" s="2224">
        <f xml:space="preserve"> MHDV_Mat_Parameters!F110</f>
        <v>0.54507624977081237</v>
      </c>
      <c r="F128" s="2339"/>
      <c r="G128" s="2339"/>
      <c r="H128" s="2339"/>
      <c r="I128" s="2339"/>
      <c r="J128" s="2339"/>
      <c r="K128" s="2218"/>
      <c r="L128" s="2218"/>
    </row>
    <row r="129" spans="1:12">
      <c r="A129" s="2340" t="s">
        <v>38</v>
      </c>
      <c r="B129" s="2218">
        <f xml:space="preserve"> MHDV_Mat_Parameters!C111</f>
        <v>0</v>
      </c>
      <c r="C129" s="2218">
        <f xml:space="preserve"> MHDV_Mat_Parameters!D111</f>
        <v>0</v>
      </c>
      <c r="D129" s="2218">
        <f xml:space="preserve"> MHDV_Mat_Parameters!E111</f>
        <v>0</v>
      </c>
      <c r="E129" s="2224">
        <f xml:space="preserve"> MHDV_Mat_Parameters!F111</f>
        <v>8.1790135758870574E-3</v>
      </c>
      <c r="F129" s="2339"/>
      <c r="G129" s="2339"/>
      <c r="H129" s="2339"/>
      <c r="I129" s="2339"/>
      <c r="J129" s="2339"/>
      <c r="K129" s="2218"/>
      <c r="L129" s="2218"/>
    </row>
    <row r="130" spans="1:12">
      <c r="A130" s="2340" t="s">
        <v>1868</v>
      </c>
      <c r="B130" s="2218">
        <f xml:space="preserve"> MHDV_Mat_Parameters!C112</f>
        <v>0</v>
      </c>
      <c r="C130" s="2218">
        <f xml:space="preserve"> MHDV_Mat_Parameters!D112</f>
        <v>0</v>
      </c>
      <c r="D130" s="2218">
        <f xml:space="preserve"> MHDV_Mat_Parameters!E112</f>
        <v>0</v>
      </c>
      <c r="E130" s="2224">
        <f xml:space="preserve"> MHDV_Mat_Parameters!F112</f>
        <v>0.39260221774032833</v>
      </c>
      <c r="F130" s="2339"/>
      <c r="G130" s="2339"/>
      <c r="H130" s="2339"/>
      <c r="I130" s="2339"/>
      <c r="J130" s="2339"/>
      <c r="K130" s="2218"/>
      <c r="L130" s="2218"/>
    </row>
    <row r="131" spans="1:12">
      <c r="A131" s="2340" t="s">
        <v>2407</v>
      </c>
      <c r="B131" s="2218">
        <f xml:space="preserve"> MHDV_Mat_Parameters!C113</f>
        <v>0</v>
      </c>
      <c r="C131" s="2218">
        <f xml:space="preserve"> MHDV_Mat_Parameters!D113</f>
        <v>0</v>
      </c>
      <c r="D131" s="2218">
        <f xml:space="preserve"> MHDV_Mat_Parameters!E113</f>
        <v>0</v>
      </c>
      <c r="E131" s="2224">
        <f xml:space="preserve"> MHDV_Mat_Parameters!F113</f>
        <v>0</v>
      </c>
      <c r="F131" s="2339"/>
      <c r="G131" s="2339"/>
      <c r="H131" s="2339"/>
      <c r="I131" s="2339"/>
      <c r="J131" s="2339"/>
      <c r="K131" s="2218"/>
      <c r="L131" s="2218"/>
    </row>
    <row r="132" spans="1:12">
      <c r="A132" s="2340" t="s">
        <v>2405</v>
      </c>
      <c r="B132" s="2218">
        <f xml:space="preserve"> MHDV_Mat_Parameters!C114</f>
        <v>0</v>
      </c>
      <c r="C132" s="2218">
        <f xml:space="preserve"> MHDV_Mat_Parameters!D114</f>
        <v>0</v>
      </c>
      <c r="D132" s="2218">
        <f xml:space="preserve"> MHDV_Mat_Parameters!E114</f>
        <v>0</v>
      </c>
      <c r="E132" s="2224">
        <f xml:space="preserve"> MHDV_Mat_Parameters!F114</f>
        <v>2.3966263561936495E-2</v>
      </c>
      <c r="F132" s="2339"/>
      <c r="G132" s="2339"/>
      <c r="H132" s="2339"/>
      <c r="I132" s="2339"/>
      <c r="J132" s="2339"/>
      <c r="K132" s="2218"/>
      <c r="L132" s="2218"/>
    </row>
    <row r="133" spans="1:12">
      <c r="A133" s="2340" t="s">
        <v>52</v>
      </c>
      <c r="B133" s="2218">
        <f xml:space="preserve"> MHDV_Mat_Parameters!C115</f>
        <v>0</v>
      </c>
      <c r="C133" s="2218">
        <f xml:space="preserve"> MHDV_Mat_Parameters!D115</f>
        <v>0</v>
      </c>
      <c r="D133" s="2218">
        <f xml:space="preserve"> MHDV_Mat_Parameters!E115</f>
        <v>0</v>
      </c>
      <c r="E133" s="2224">
        <f xml:space="preserve"> MHDV_Mat_Parameters!F115</f>
        <v>0</v>
      </c>
      <c r="F133" s="2339"/>
      <c r="G133" s="2339"/>
      <c r="H133" s="2339"/>
      <c r="I133" s="2339"/>
      <c r="J133" s="2339"/>
      <c r="K133" s="2218"/>
      <c r="L133" s="2218"/>
    </row>
    <row r="134" spans="1:12">
      <c r="A134" s="2340" t="s">
        <v>1391</v>
      </c>
      <c r="B134" s="2218">
        <f xml:space="preserve"> MHDV_Mat_Parameters!C116</f>
        <v>0</v>
      </c>
      <c r="C134" s="2218">
        <f xml:space="preserve"> MHDV_Mat_Parameters!D116</f>
        <v>0</v>
      </c>
      <c r="D134" s="2218">
        <f xml:space="preserve"> MHDV_Mat_Parameters!E116</f>
        <v>0</v>
      </c>
      <c r="E134" s="2224">
        <f xml:space="preserve"> MHDV_Mat_Parameters!F116</f>
        <v>1.3258611480911651E-2</v>
      </c>
      <c r="F134" s="2339"/>
      <c r="G134" s="2339"/>
      <c r="H134" s="2339"/>
      <c r="I134" s="2339"/>
      <c r="J134" s="2339"/>
      <c r="K134" s="2218"/>
      <c r="L134" s="2218"/>
    </row>
    <row r="135" spans="1:12">
      <c r="A135" s="2340" t="s">
        <v>375</v>
      </c>
      <c r="B135" s="2218">
        <f xml:space="preserve"> MHDV_Mat_Parameters!C117</f>
        <v>0</v>
      </c>
      <c r="C135" s="2218">
        <f xml:space="preserve"> MHDV_Mat_Parameters!D117</f>
        <v>0</v>
      </c>
      <c r="D135" s="2218">
        <f xml:space="preserve"> MHDV_Mat_Parameters!E117</f>
        <v>0</v>
      </c>
      <c r="E135" s="2224">
        <f xml:space="preserve"> MHDV_Mat_Parameters!F117</f>
        <v>1.6917643870124281E-2</v>
      </c>
      <c r="F135" s="2339"/>
      <c r="G135" s="2339"/>
      <c r="H135" s="2339"/>
      <c r="I135" s="2339"/>
      <c r="J135" s="2339"/>
      <c r="K135" s="2218"/>
      <c r="L135" s="2218"/>
    </row>
    <row r="136" spans="1:12">
      <c r="A136" s="2175" t="s">
        <v>294</v>
      </c>
      <c r="B136" s="2216">
        <f xml:space="preserve"> MHDV_Mat_Parameters!C118</f>
        <v>0</v>
      </c>
      <c r="C136" s="2216">
        <f xml:space="preserve"> MHDV_Mat_Parameters!D118</f>
        <v>0</v>
      </c>
      <c r="D136" s="2216">
        <f xml:space="preserve"> MHDV_Mat_Parameters!E118</f>
        <v>0</v>
      </c>
      <c r="E136" s="2217">
        <f xml:space="preserve"> MHDV_Mat_Parameters!F118</f>
        <v>0</v>
      </c>
      <c r="F136" s="2339"/>
      <c r="G136" s="2339"/>
      <c r="H136" s="2339"/>
      <c r="I136" s="2339"/>
      <c r="J136" s="2339"/>
      <c r="K136" s="2218"/>
      <c r="L136" s="2218"/>
    </row>
    <row r="137" spans="1:12">
      <c r="A137" s="2341" t="s">
        <v>2430</v>
      </c>
      <c r="B137" s="2336"/>
      <c r="C137" s="2336"/>
      <c r="D137" s="2336"/>
      <c r="E137" s="2337"/>
      <c r="F137" s="2339"/>
      <c r="G137" s="2339"/>
      <c r="H137" s="2339"/>
      <c r="I137" s="2339"/>
      <c r="J137" s="2339"/>
      <c r="K137" s="2218"/>
      <c r="L137" s="2218"/>
    </row>
    <row r="138" spans="1:12">
      <c r="A138" s="2175" t="s">
        <v>38</v>
      </c>
      <c r="B138" s="2216">
        <f xml:space="preserve"> MHDV_Mat_Parameters!C120</f>
        <v>0</v>
      </c>
      <c r="C138" s="2216">
        <f xml:space="preserve"> MHDV_Mat_Parameters!D120</f>
        <v>0</v>
      </c>
      <c r="D138" s="2216">
        <f xml:space="preserve"> MHDV_Mat_Parameters!E120</f>
        <v>0</v>
      </c>
      <c r="E138" s="2217">
        <f xml:space="preserve"> MHDV_Mat_Parameters!F120</f>
        <v>0</v>
      </c>
      <c r="F138" s="2339"/>
      <c r="G138" s="2339"/>
      <c r="H138" s="2339"/>
      <c r="I138" s="2339"/>
      <c r="J138" s="2339"/>
      <c r="K138" s="2218"/>
      <c r="L138" s="2218"/>
    </row>
    <row r="139" spans="1:12">
      <c r="A139" s="2342"/>
      <c r="B139" s="2218"/>
      <c r="C139" s="2218"/>
      <c r="D139" s="2218"/>
      <c r="E139" s="2218"/>
      <c r="F139" s="2339"/>
      <c r="G139" s="2339"/>
      <c r="H139" s="2339"/>
      <c r="I139" s="2339"/>
      <c r="J139" s="2339"/>
      <c r="K139" s="2218"/>
      <c r="L139" s="2218"/>
    </row>
    <row r="140" spans="1:12">
      <c r="A140" s="2081" t="s">
        <v>2573</v>
      </c>
      <c r="C140" s="2343"/>
      <c r="D140" s="2343"/>
      <c r="E140" s="2343"/>
      <c r="H140" s="2343"/>
      <c r="I140" s="2343"/>
    </row>
    <row r="141" spans="1:12">
      <c r="A141" s="2335"/>
      <c r="B141" s="2214" t="s">
        <v>203</v>
      </c>
      <c r="C141" s="2214" t="s">
        <v>194</v>
      </c>
      <c r="D141" s="2214" t="s">
        <v>167</v>
      </c>
      <c r="E141" s="2215" t="s">
        <v>198</v>
      </c>
      <c r="F141" s="2294"/>
      <c r="G141" s="2294"/>
      <c r="H141" s="2294"/>
      <c r="I141" s="2294"/>
      <c r="J141" s="2294"/>
      <c r="K141" s="2294"/>
      <c r="L141" s="2294"/>
    </row>
    <row r="142" spans="1:12">
      <c r="A142" s="2344" t="s">
        <v>38</v>
      </c>
      <c r="B142" s="2345">
        <f xml:space="preserve"> MHDV_Mat_Parameters!C124</f>
        <v>0.63192272847327013</v>
      </c>
      <c r="C142" s="2345">
        <f xml:space="preserve"> MHDV_Mat_Parameters!D124</f>
        <v>0.62874179458638635</v>
      </c>
      <c r="D142" s="2345">
        <f xml:space="preserve"> MHDV_Mat_Parameters!E124</f>
        <v>0.65398416914292834</v>
      </c>
      <c r="E142" s="2346">
        <f xml:space="preserve"> MHDV_Mat_Parameters!F124</f>
        <v>0.46672190393114071</v>
      </c>
      <c r="F142" s="2347"/>
      <c r="G142" s="2347"/>
      <c r="H142" s="2347"/>
      <c r="I142" s="2347"/>
      <c r="J142" s="2347"/>
      <c r="K142" s="2347"/>
      <c r="L142" s="2347"/>
    </row>
    <row r="143" spans="1:12">
      <c r="A143" s="2262" t="s">
        <v>1868</v>
      </c>
      <c r="B143" s="2347">
        <f xml:space="preserve"> MHDV_Mat_Parameters!C125</f>
        <v>7.8977530627332357E-3</v>
      </c>
      <c r="C143" s="2347">
        <f xml:space="preserve"> MHDV_Mat_Parameters!D125</f>
        <v>7.8167183247703238E-3</v>
      </c>
      <c r="D143" s="2347">
        <f xml:space="preserve"> MHDV_Mat_Parameters!E125</f>
        <v>5.4255863477889405E-3</v>
      </c>
      <c r="E143" s="2348">
        <f xml:space="preserve"> MHDV_Mat_Parameters!F125</f>
        <v>0.12932755370427232</v>
      </c>
      <c r="F143" s="2347"/>
      <c r="G143" s="2347"/>
      <c r="H143" s="2347"/>
      <c r="I143" s="2347"/>
      <c r="J143" s="2347"/>
      <c r="K143" s="2347"/>
      <c r="L143" s="2347"/>
    </row>
    <row r="144" spans="1:12">
      <c r="A144" s="2262" t="s">
        <v>1869</v>
      </c>
      <c r="B144" s="2347">
        <f xml:space="preserve"> MHDV_Mat_Parameters!C126</f>
        <v>0.10303161404755071</v>
      </c>
      <c r="C144" s="2347">
        <f xml:space="preserve"> MHDV_Mat_Parameters!D126</f>
        <v>0.1014147822753878</v>
      </c>
      <c r="D144" s="2347">
        <f xml:space="preserve"> MHDV_Mat_Parameters!E126</f>
        <v>5.4510920601686018E-2</v>
      </c>
      <c r="E144" s="2348">
        <f xml:space="preserve"> MHDV_Mat_Parameters!F126</f>
        <v>3.838183241203947E-2</v>
      </c>
      <c r="F144" s="2347"/>
      <c r="G144" s="2347"/>
      <c r="H144" s="2347"/>
      <c r="I144" s="2347"/>
      <c r="J144" s="2347"/>
      <c r="K144" s="2347"/>
      <c r="L144" s="2347"/>
    </row>
    <row r="145" spans="1:12">
      <c r="A145" s="2262" t="s">
        <v>2406</v>
      </c>
      <c r="B145" s="2347">
        <f xml:space="preserve"> MHDV_Mat_Parameters!C127</f>
        <v>4.7794215368790832E-2</v>
      </c>
      <c r="C145" s="2347">
        <f xml:space="preserve"> MHDV_Mat_Parameters!D127</f>
        <v>5.1455124141682983E-2</v>
      </c>
      <c r="D145" s="2347">
        <f xml:space="preserve"> MHDV_Mat_Parameters!E127</f>
        <v>6.0277015945351745E-2</v>
      </c>
      <c r="E145" s="2348">
        <f xml:space="preserve"> MHDV_Mat_Parameters!F127</f>
        <v>4.812033757272105E-2</v>
      </c>
      <c r="F145" s="2347"/>
      <c r="G145" s="2347"/>
      <c r="H145" s="2347"/>
      <c r="I145" s="2347"/>
      <c r="J145" s="2347"/>
      <c r="K145" s="2347"/>
      <c r="L145" s="2347"/>
    </row>
    <row r="146" spans="1:12">
      <c r="A146" s="2262" t="s">
        <v>2405</v>
      </c>
      <c r="B146" s="2347">
        <f xml:space="preserve"> MHDV_Mat_Parameters!C128</f>
        <v>3.2945490653230464E-2</v>
      </c>
      <c r="C146" s="2347">
        <f xml:space="preserve"> MHDV_Mat_Parameters!D128</f>
        <v>3.2567331973412841E-2</v>
      </c>
      <c r="D146" s="2347">
        <f xml:space="preserve"> MHDV_Mat_Parameters!E128</f>
        <v>2.3780992255866228E-2</v>
      </c>
      <c r="E146" s="2348">
        <f xml:space="preserve"> MHDV_Mat_Parameters!F128</f>
        <v>2.6207808118657191E-2</v>
      </c>
      <c r="F146" s="2347"/>
      <c r="G146" s="2347"/>
      <c r="H146" s="2347"/>
      <c r="I146" s="2347"/>
      <c r="J146" s="2347"/>
      <c r="K146" s="2347"/>
      <c r="L146" s="2347"/>
    </row>
    <row r="147" spans="1:12">
      <c r="A147" s="2262" t="s">
        <v>2413</v>
      </c>
      <c r="B147" s="2347">
        <f xml:space="preserve"> MHDV_Mat_Parameters!C129</f>
        <v>2.0457105842039587E-3</v>
      </c>
      <c r="C147" s="2347">
        <f xml:space="preserve"> MHDV_Mat_Parameters!D129</f>
        <v>4.9901865993499002E-3</v>
      </c>
      <c r="D147" s="2347">
        <f xml:space="preserve"> MHDV_Mat_Parameters!E129</f>
        <v>1.3271158653382863E-2</v>
      </c>
      <c r="E147" s="2348">
        <f xml:space="preserve"> MHDV_Mat_Parameters!F129</f>
        <v>1.0995676475402566E-2</v>
      </c>
      <c r="F147" s="2347"/>
      <c r="G147" s="2347"/>
      <c r="H147" s="2347"/>
      <c r="I147" s="2347"/>
      <c r="J147" s="2347"/>
      <c r="K147" s="2347"/>
      <c r="L147" s="2347"/>
    </row>
    <row r="148" spans="1:12">
      <c r="A148" s="2340" t="s">
        <v>2425</v>
      </c>
      <c r="B148" s="2347">
        <f xml:space="preserve"> MHDV_Mat_Parameters!C130</f>
        <v>1.1339989016038405E-4</v>
      </c>
      <c r="C148" s="2347">
        <f xml:space="preserve"> MHDV_Mat_Parameters!D130</f>
        <v>1.1228197056466839E-4</v>
      </c>
      <c r="D148" s="2347">
        <f xml:space="preserve"> MHDV_Mat_Parameters!E130</f>
        <v>7.3293327488099835E-5</v>
      </c>
      <c r="E148" s="2348">
        <f xml:space="preserve"> MHDV_Mat_Parameters!F130</f>
        <v>5.2114114244738394E-5</v>
      </c>
      <c r="F148" s="2347"/>
      <c r="G148" s="2347"/>
      <c r="H148" s="2347"/>
      <c r="I148" s="2347"/>
      <c r="J148" s="2347"/>
      <c r="K148" s="2347"/>
      <c r="L148" s="2347"/>
    </row>
    <row r="149" spans="1:12">
      <c r="A149" s="2262" t="s">
        <v>2414</v>
      </c>
      <c r="B149" s="2347">
        <f xml:space="preserve"> MHDV_Mat_Parameters!C131</f>
        <v>0</v>
      </c>
      <c r="C149" s="2347">
        <f xml:space="preserve"> MHDV_Mat_Parameters!D131</f>
        <v>0</v>
      </c>
      <c r="D149" s="2347">
        <f xml:space="preserve"> MHDV_Mat_Parameters!E131</f>
        <v>0</v>
      </c>
      <c r="E149" s="2348">
        <f xml:space="preserve"> MHDV_Mat_Parameters!F131</f>
        <v>0</v>
      </c>
      <c r="F149" s="2347"/>
      <c r="G149" s="2347"/>
      <c r="H149" s="2347"/>
      <c r="I149" s="2347"/>
      <c r="J149" s="2347"/>
      <c r="K149" s="2349"/>
      <c r="L149" s="2347"/>
    </row>
    <row r="150" spans="1:12">
      <c r="A150" s="2262" t="s">
        <v>2416</v>
      </c>
      <c r="B150" s="2347">
        <f xml:space="preserve"> MHDV_Mat_Parameters!C132</f>
        <v>5.6448493038050189E-4</v>
      </c>
      <c r="C150" s="2347">
        <f xml:space="preserve"> MHDV_Mat_Parameters!D132</f>
        <v>5.5278332919504877E-4</v>
      </c>
      <c r="D150" s="2347">
        <f xml:space="preserve"> MHDV_Mat_Parameters!E132</f>
        <v>0</v>
      </c>
      <c r="E150" s="2348">
        <f xml:space="preserve"> MHDV_Mat_Parameters!F132</f>
        <v>1.748603561923053E-4</v>
      </c>
      <c r="F150" s="2347"/>
      <c r="G150" s="2347"/>
      <c r="H150" s="2347"/>
      <c r="I150" s="2347"/>
      <c r="J150" s="2347"/>
      <c r="K150" s="2347"/>
      <c r="L150" s="2347"/>
    </row>
    <row r="151" spans="1:12">
      <c r="A151" s="2262" t="s">
        <v>2417</v>
      </c>
      <c r="B151" s="2347">
        <f xml:space="preserve"> MHDV_Mat_Parameters!C133</f>
        <v>1.6307342433214499E-4</v>
      </c>
      <c r="C151" s="2347">
        <f xml:space="preserve"> MHDV_Mat_Parameters!D133</f>
        <v>1.5969296176745852E-4</v>
      </c>
      <c r="D151" s="2347">
        <f xml:space="preserve"> MHDV_Mat_Parameters!E133</f>
        <v>0</v>
      </c>
      <c r="E151" s="2348">
        <f xml:space="preserve"> MHDV_Mat_Parameters!F133</f>
        <v>0</v>
      </c>
      <c r="F151" s="2347"/>
      <c r="G151" s="2347"/>
      <c r="H151" s="2347"/>
      <c r="I151" s="2347"/>
      <c r="J151" s="2347"/>
      <c r="K151" s="2347"/>
      <c r="L151" s="2347"/>
    </row>
    <row r="152" spans="1:12">
      <c r="A152" s="2262" t="s">
        <v>48</v>
      </c>
      <c r="B152" s="2347">
        <f xml:space="preserve"> MHDV_Mat_Parameters!C134</f>
        <v>0</v>
      </c>
      <c r="C152" s="2347">
        <f xml:space="preserve"> MHDV_Mat_Parameters!D134</f>
        <v>0</v>
      </c>
      <c r="D152" s="2347">
        <f xml:space="preserve"> MHDV_Mat_Parameters!E134</f>
        <v>0</v>
      </c>
      <c r="E152" s="2348">
        <f xml:space="preserve"> MHDV_Mat_Parameters!F134</f>
        <v>2.0172241286252638E-4</v>
      </c>
      <c r="F152" s="2347"/>
      <c r="G152" s="2347"/>
      <c r="H152" s="2347"/>
      <c r="I152" s="2347"/>
      <c r="J152" s="2347"/>
      <c r="K152" s="2347"/>
      <c r="L152" s="2347"/>
    </row>
    <row r="153" spans="1:12">
      <c r="A153" s="2262" t="s">
        <v>71</v>
      </c>
      <c r="B153" s="2347">
        <f xml:space="preserve"> MHDV_Mat_Parameters!C135</f>
        <v>0</v>
      </c>
      <c r="C153" s="2347">
        <f xml:space="preserve"> MHDV_Mat_Parameters!D135</f>
        <v>0</v>
      </c>
      <c r="D153" s="2347">
        <f xml:space="preserve"> MHDV_Mat_Parameters!E135</f>
        <v>0</v>
      </c>
      <c r="E153" s="2348">
        <f xml:space="preserve"> MHDV_Mat_Parameters!F135</f>
        <v>6.7568119600496323E-5</v>
      </c>
      <c r="F153" s="2347"/>
      <c r="G153" s="2347"/>
      <c r="H153" s="2347"/>
      <c r="I153" s="2347"/>
      <c r="J153" s="2347"/>
      <c r="K153" s="2347"/>
      <c r="L153" s="2347"/>
    </row>
    <row r="154" spans="1:12">
      <c r="A154" s="2262" t="s">
        <v>73</v>
      </c>
      <c r="B154" s="2347">
        <f xml:space="preserve"> MHDV_Mat_Parameters!C136</f>
        <v>0</v>
      </c>
      <c r="C154" s="2347">
        <f xml:space="preserve"> MHDV_Mat_Parameters!D136</f>
        <v>0</v>
      </c>
      <c r="D154" s="2347">
        <f xml:space="preserve"> MHDV_Mat_Parameters!E136</f>
        <v>0</v>
      </c>
      <c r="E154" s="2348">
        <f xml:space="preserve"> MHDV_Mat_Parameters!F136</f>
        <v>3.4410878613678324E-5</v>
      </c>
      <c r="F154" s="2347"/>
      <c r="G154" s="2347"/>
      <c r="H154" s="2347"/>
      <c r="I154" s="2347"/>
      <c r="J154" s="2347"/>
      <c r="K154" s="2347"/>
      <c r="L154" s="2347"/>
    </row>
    <row r="155" spans="1:12">
      <c r="A155" s="2262" t="s">
        <v>2423</v>
      </c>
      <c r="B155" s="2347">
        <f xml:space="preserve"> MHDV_Mat_Parameters!C137</f>
        <v>0</v>
      </c>
      <c r="C155" s="2347">
        <f xml:space="preserve"> MHDV_Mat_Parameters!D137</f>
        <v>0</v>
      </c>
      <c r="D155" s="2347">
        <f xml:space="preserve"> MHDV_Mat_Parameters!E137</f>
        <v>0</v>
      </c>
      <c r="E155" s="2348">
        <f xml:space="preserve"> MHDV_Mat_Parameters!F137</f>
        <v>1.2870118019142158E-5</v>
      </c>
      <c r="F155" s="2347"/>
      <c r="G155" s="2347"/>
      <c r="H155" s="2347"/>
      <c r="I155" s="2347"/>
      <c r="J155" s="2347"/>
      <c r="K155" s="2347"/>
      <c r="L155" s="2347"/>
    </row>
    <row r="156" spans="1:12">
      <c r="A156" s="2262" t="s">
        <v>69</v>
      </c>
      <c r="B156" s="2347">
        <f xml:space="preserve"> MHDV_Mat_Parameters!C138</f>
        <v>0</v>
      </c>
      <c r="C156" s="2347">
        <f xml:space="preserve"> MHDV_Mat_Parameters!D138</f>
        <v>0</v>
      </c>
      <c r="D156" s="2347">
        <f xml:space="preserve"> MHDV_Mat_Parameters!E138</f>
        <v>0</v>
      </c>
      <c r="E156" s="2348">
        <f xml:space="preserve"> MHDV_Mat_Parameters!F138</f>
        <v>3.2175295047855396E-6</v>
      </c>
      <c r="F156" s="2347"/>
      <c r="G156" s="2347"/>
      <c r="H156" s="2347"/>
      <c r="I156" s="2347"/>
      <c r="J156" s="2347"/>
      <c r="K156" s="2347"/>
      <c r="L156" s="2347"/>
    </row>
    <row r="157" spans="1:12">
      <c r="A157" s="2262" t="s">
        <v>63</v>
      </c>
      <c r="B157" s="2347">
        <f xml:space="preserve"> MHDV_Mat_Parameters!C139</f>
        <v>3.6684766576816825E-5</v>
      </c>
      <c r="C157" s="2347">
        <f xml:space="preserve"> MHDV_Mat_Parameters!D139</f>
        <v>3.6323120552623369E-5</v>
      </c>
      <c r="D157" s="2347">
        <f xml:space="preserve"> MHDV_Mat_Parameters!E139</f>
        <v>0</v>
      </c>
      <c r="E157" s="2348">
        <f xml:space="preserve"> MHDV_Mat_Parameters!F139</f>
        <v>5.4690900857815699E-5</v>
      </c>
      <c r="F157" s="2347"/>
      <c r="G157" s="2347"/>
      <c r="H157" s="2347"/>
      <c r="I157" s="2347"/>
      <c r="J157" s="2347"/>
      <c r="K157" s="2347"/>
      <c r="L157" s="2347"/>
    </row>
    <row r="158" spans="1:12">
      <c r="A158" s="2262" t="s">
        <v>61</v>
      </c>
      <c r="B158" s="2347">
        <f xml:space="preserve"> MHDV_Mat_Parameters!C140</f>
        <v>6.0164436824368096E-2</v>
      </c>
      <c r="C158" s="2347">
        <f xml:space="preserve"> MHDV_Mat_Parameters!D140</f>
        <v>5.9597064203285657E-2</v>
      </c>
      <c r="D158" s="2347">
        <f xml:space="preserve"> MHDV_Mat_Parameters!E140</f>
        <v>7.0260852488193859E-2</v>
      </c>
      <c r="E158" s="2348">
        <f xml:space="preserve"> MHDV_Mat_Parameters!F140</f>
        <v>5.0144516876791265E-2</v>
      </c>
      <c r="F158" s="2347"/>
      <c r="G158" s="2347"/>
      <c r="H158" s="2347"/>
      <c r="I158" s="2347"/>
      <c r="J158" s="2347"/>
      <c r="K158" s="2347"/>
      <c r="L158" s="2347"/>
    </row>
    <row r="159" spans="1:12">
      <c r="A159" s="2262" t="s">
        <v>2431</v>
      </c>
      <c r="B159" s="2347">
        <f xml:space="preserve"> MHDV_Mat_Parameters!C141</f>
        <v>4.65076784336729E-2</v>
      </c>
      <c r="C159" s="2347">
        <f xml:space="preserve"> MHDV_Mat_Parameters!D141</f>
        <v>4.6265664993126204E-2</v>
      </c>
      <c r="D159" s="2347">
        <f xml:space="preserve"> MHDV_Mat_Parameters!E141</f>
        <v>4.4530932007000118E-2</v>
      </c>
      <c r="E159" s="2348">
        <f xml:space="preserve"> MHDV_Mat_Parameters!F141</f>
        <v>3.2893420606988126E-2</v>
      </c>
      <c r="F159" s="2347"/>
      <c r="G159" s="2347"/>
      <c r="H159" s="2347"/>
      <c r="I159" s="2347"/>
      <c r="J159" s="2347"/>
      <c r="K159" s="2347"/>
      <c r="L159" s="2347"/>
    </row>
    <row r="160" spans="1:12">
      <c r="A160" s="2262" t="s">
        <v>2418</v>
      </c>
      <c r="B160" s="2347">
        <f xml:space="preserve"> MHDV_Mat_Parameters!C142</f>
        <v>0</v>
      </c>
      <c r="C160" s="2347">
        <f xml:space="preserve"> MHDV_Mat_Parameters!D142</f>
        <v>0</v>
      </c>
      <c r="D160" s="2347">
        <f xml:space="preserve"> MHDV_Mat_Parameters!E142</f>
        <v>0</v>
      </c>
      <c r="E160" s="2348">
        <f xml:space="preserve"> MHDV_Mat_Parameters!F142</f>
        <v>9.6977900782808089E-5</v>
      </c>
      <c r="F160" s="2347"/>
      <c r="G160" s="2347"/>
      <c r="H160" s="2347"/>
      <c r="I160" s="2347"/>
      <c r="J160" s="2347"/>
      <c r="K160" s="2347"/>
      <c r="L160" s="2347"/>
    </row>
    <row r="161" spans="1:12">
      <c r="A161" s="2262" t="s">
        <v>1391</v>
      </c>
      <c r="B161" s="2347">
        <f xml:space="preserve"> MHDV_Mat_Parameters!C143</f>
        <v>0</v>
      </c>
      <c r="C161" s="2347">
        <f xml:space="preserve"> MHDV_Mat_Parameters!D143</f>
        <v>0</v>
      </c>
      <c r="D161" s="2347">
        <f xml:space="preserve"> MHDV_Mat_Parameters!E143</f>
        <v>0</v>
      </c>
      <c r="E161" s="2348">
        <f xml:space="preserve"> MHDV_Mat_Parameters!F143</f>
        <v>1.0255999620503182E-2</v>
      </c>
      <c r="F161" s="2347"/>
      <c r="G161" s="2347"/>
      <c r="H161" s="2347"/>
      <c r="I161" s="2347"/>
      <c r="J161" s="2347"/>
      <c r="K161" s="2347"/>
      <c r="L161" s="2347"/>
    </row>
    <row r="162" spans="1:12">
      <c r="A162" s="2262" t="s">
        <v>375</v>
      </c>
      <c r="B162" s="2347">
        <f xml:space="preserve"> MHDV_Mat_Parameters!C144</f>
        <v>0</v>
      </c>
      <c r="C162" s="2347">
        <f xml:space="preserve"> MHDV_Mat_Parameters!D144</f>
        <v>0</v>
      </c>
      <c r="D162" s="2347">
        <f xml:space="preserve"> MHDV_Mat_Parameters!E144</f>
        <v>0</v>
      </c>
      <c r="E162" s="2348">
        <f xml:space="preserve"> MHDV_Mat_Parameters!F144</f>
        <v>3.7880183851962219E-3</v>
      </c>
      <c r="F162" s="2347"/>
      <c r="G162" s="2347"/>
      <c r="H162" s="2347"/>
      <c r="I162" s="2347"/>
      <c r="J162" s="2347"/>
      <c r="K162" s="2347"/>
      <c r="L162" s="2347"/>
    </row>
    <row r="163" spans="1:12">
      <c r="A163" s="2262" t="s">
        <v>381</v>
      </c>
      <c r="B163" s="2347">
        <f xml:space="preserve"> MHDV_Mat_Parameters!C145</f>
        <v>0</v>
      </c>
      <c r="C163" s="2347">
        <f xml:space="preserve"> MHDV_Mat_Parameters!D145</f>
        <v>0</v>
      </c>
      <c r="D163" s="2347">
        <f xml:space="preserve"> MHDV_Mat_Parameters!E145</f>
        <v>0</v>
      </c>
      <c r="E163" s="2348">
        <f xml:space="preserve"> MHDV_Mat_Parameters!F145</f>
        <v>2.1368012036889917E-3</v>
      </c>
      <c r="F163" s="2347"/>
      <c r="G163" s="2347"/>
      <c r="H163" s="2347"/>
      <c r="I163" s="2347"/>
      <c r="J163" s="2347"/>
      <c r="K163" s="2347"/>
      <c r="L163" s="2347"/>
    </row>
    <row r="164" spans="1:12">
      <c r="A164" s="2262" t="s">
        <v>291</v>
      </c>
      <c r="B164" s="2347">
        <f xml:space="preserve"> MHDV_Mat_Parameters!C146</f>
        <v>0</v>
      </c>
      <c r="C164" s="2347">
        <f xml:space="preserve"> MHDV_Mat_Parameters!D146</f>
        <v>0</v>
      </c>
      <c r="D164" s="2347">
        <f xml:space="preserve"> MHDV_Mat_Parameters!E146</f>
        <v>0</v>
      </c>
      <c r="E164" s="2348">
        <f xml:space="preserve"> MHDV_Mat_Parameters!F146</f>
        <v>2.6644267316768125E-4</v>
      </c>
      <c r="F164" s="2347"/>
      <c r="G164" s="2347"/>
      <c r="H164" s="2347"/>
      <c r="I164" s="2347"/>
      <c r="J164" s="2347"/>
      <c r="K164" s="2347"/>
      <c r="L164" s="2347"/>
    </row>
    <row r="165" spans="1:12">
      <c r="A165" s="2262" t="s">
        <v>289</v>
      </c>
      <c r="B165" s="2347">
        <f xml:space="preserve"> MHDV_Mat_Parameters!C147</f>
        <v>0</v>
      </c>
      <c r="C165" s="2347">
        <f xml:space="preserve"> MHDV_Mat_Parameters!D147</f>
        <v>0</v>
      </c>
      <c r="D165" s="2347">
        <f xml:space="preserve"> MHDV_Mat_Parameters!E147</f>
        <v>0</v>
      </c>
      <c r="E165" s="2348">
        <f xml:space="preserve"> MHDV_Mat_Parameters!F147</f>
        <v>6.0701591117103438E-4</v>
      </c>
      <c r="F165" s="2347"/>
      <c r="G165" s="2347"/>
      <c r="H165" s="2347"/>
      <c r="I165" s="2347"/>
      <c r="J165" s="2347"/>
      <c r="K165" s="2347"/>
      <c r="L165" s="2347"/>
    </row>
    <row r="166" spans="1:12">
      <c r="A166" s="2262" t="s">
        <v>2432</v>
      </c>
      <c r="B166" s="2347">
        <f xml:space="preserve"> MHDV_Mat_Parameters!C148</f>
        <v>0</v>
      </c>
      <c r="C166" s="2347">
        <f xml:space="preserve"> MHDV_Mat_Parameters!D148</f>
        <v>0</v>
      </c>
      <c r="D166" s="2347">
        <f xml:space="preserve"> MHDV_Mat_Parameters!E148</f>
        <v>0</v>
      </c>
      <c r="E166" s="2348">
        <f xml:space="preserve"> MHDV_Mat_Parameters!F148</f>
        <v>1.6094488528864749E-3</v>
      </c>
      <c r="F166" s="2347"/>
      <c r="G166" s="2347"/>
      <c r="H166" s="2347"/>
      <c r="I166" s="2347"/>
      <c r="J166" s="2347"/>
      <c r="K166" s="2347"/>
      <c r="L166" s="2347"/>
    </row>
    <row r="167" spans="1:12">
      <c r="A167" s="2262" t="s">
        <v>2422</v>
      </c>
      <c r="B167" s="2347">
        <f xml:space="preserve"> MHDV_Mat_Parameters!C149</f>
        <v>0</v>
      </c>
      <c r="C167" s="2347">
        <f xml:space="preserve"> MHDV_Mat_Parameters!D149</f>
        <v>0</v>
      </c>
      <c r="D167" s="2347">
        <f xml:space="preserve"> MHDV_Mat_Parameters!E149</f>
        <v>0</v>
      </c>
      <c r="E167" s="2348">
        <f xml:space="preserve"> MHDV_Mat_Parameters!F149</f>
        <v>0</v>
      </c>
      <c r="F167" s="2347"/>
      <c r="G167" s="2347"/>
      <c r="H167" s="2347"/>
      <c r="I167" s="2347"/>
      <c r="J167" s="2347"/>
      <c r="K167" s="2347"/>
      <c r="L167" s="2347"/>
    </row>
    <row r="168" spans="1:12">
      <c r="A168" s="2262" t="s">
        <v>2433</v>
      </c>
      <c r="B168" s="2347">
        <f xml:space="preserve"> MHDV_Mat_Parameters!C150</f>
        <v>0</v>
      </c>
      <c r="C168" s="2347">
        <f xml:space="preserve"> MHDV_Mat_Parameters!D150</f>
        <v>0</v>
      </c>
      <c r="D168" s="2347">
        <f xml:space="preserve"> MHDV_Mat_Parameters!E150</f>
        <v>0</v>
      </c>
      <c r="E168" s="2348">
        <f xml:space="preserve"> MHDV_Mat_Parameters!F150</f>
        <v>0.12091948884508727</v>
      </c>
      <c r="F168" s="2347"/>
      <c r="G168" s="2347"/>
      <c r="H168" s="2347"/>
      <c r="I168" s="2347"/>
      <c r="J168" s="2347"/>
      <c r="K168" s="2347"/>
      <c r="L168" s="2347"/>
    </row>
    <row r="169" spans="1:12">
      <c r="A169" s="2262" t="s">
        <v>2407</v>
      </c>
      <c r="B169" s="2347">
        <f xml:space="preserve"> MHDV_Mat_Parameters!C151</f>
        <v>2.9386988296304477E-2</v>
      </c>
      <c r="C169" s="2347">
        <f xml:space="preserve"> MHDV_Mat_Parameters!D151</f>
        <v>2.9097285281345274E-2</v>
      </c>
      <c r="D169" s="2347">
        <f xml:space="preserve"> MHDV_Mat_Parameters!E151</f>
        <v>3.515905668544967E-2</v>
      </c>
      <c r="E169" s="2348">
        <f xml:space="preserve"> MHDV_Mat_Parameters!F151</f>
        <v>2.7533192054076842E-2</v>
      </c>
      <c r="F169" s="2347"/>
      <c r="G169" s="2347"/>
      <c r="H169" s="2347"/>
      <c r="I169" s="2347"/>
      <c r="J169" s="2347"/>
      <c r="K169" s="2347"/>
      <c r="L169" s="2347"/>
    </row>
    <row r="170" spans="1:12">
      <c r="A170" s="2262" t="s">
        <v>2415</v>
      </c>
      <c r="B170" s="2347">
        <f xml:space="preserve"> MHDV_Mat_Parameters!C152</f>
        <v>0</v>
      </c>
      <c r="C170" s="2347">
        <f xml:space="preserve"> MHDV_Mat_Parameters!D152</f>
        <v>0</v>
      </c>
      <c r="D170" s="2347">
        <f xml:space="preserve"> MHDV_Mat_Parameters!E152</f>
        <v>0</v>
      </c>
      <c r="E170" s="2348">
        <f xml:space="preserve"> MHDV_Mat_Parameters!F152</f>
        <v>0</v>
      </c>
      <c r="F170" s="2347"/>
      <c r="G170" s="2347"/>
      <c r="H170" s="2347"/>
      <c r="I170" s="2347"/>
      <c r="J170" s="2347"/>
      <c r="K170" s="2347"/>
      <c r="L170" s="2347"/>
    </row>
    <row r="171" spans="1:12">
      <c r="A171" s="2262" t="s">
        <v>58</v>
      </c>
      <c r="B171" s="2347">
        <f xml:space="preserve"> MHDV_Mat_Parameters!C153</f>
        <v>1.7225620233522081E-2</v>
      </c>
      <c r="C171" s="2347">
        <f xml:space="preserve"> MHDV_Mat_Parameters!D153</f>
        <v>1.7055806502837022E-2</v>
      </c>
      <c r="D171" s="2347">
        <f xml:space="preserve"> MHDV_Mat_Parameters!E153</f>
        <v>2.0609003962090009E-2</v>
      </c>
      <c r="E171" s="2348">
        <f xml:space="preserve"> MHDV_Mat_Parameters!F153</f>
        <v>1.4525923828353049E-2</v>
      </c>
      <c r="F171" s="2347"/>
      <c r="G171" s="2347"/>
      <c r="H171" s="2347"/>
      <c r="I171" s="2347"/>
      <c r="J171" s="2347"/>
      <c r="K171" s="2347"/>
      <c r="L171" s="2347"/>
    </row>
    <row r="172" spans="1:12">
      <c r="A172" s="2262" t="s">
        <v>1409</v>
      </c>
      <c r="B172" s="2347">
        <f xml:space="preserve"> MHDV_Mat_Parameters!C154</f>
        <v>1.9656822570218632E-4</v>
      </c>
      <c r="C172" s="2347">
        <f xml:space="preserve"> MHDV_Mat_Parameters!D154</f>
        <v>1.9450638088960482E-4</v>
      </c>
      <c r="D172" s="2347">
        <f xml:space="preserve"> MHDV_Mat_Parameters!E154</f>
        <v>2.2152723066727237E-4</v>
      </c>
      <c r="E172" s="2348">
        <f xml:space="preserve"> MHDV_Mat_Parameters!F154</f>
        <v>1.558889724504063E-4</v>
      </c>
      <c r="F172" s="2347"/>
      <c r="G172" s="2347"/>
      <c r="H172" s="2347"/>
      <c r="I172" s="2347"/>
      <c r="J172" s="2347"/>
      <c r="K172" s="2347"/>
      <c r="L172" s="2347"/>
    </row>
    <row r="173" spans="1:12">
      <c r="A173" s="2262" t="s">
        <v>2420</v>
      </c>
      <c r="B173" s="2347">
        <f xml:space="preserve"> MHDV_Mat_Parameters!C155</f>
        <v>5.5142996496520434E-3</v>
      </c>
      <c r="C173" s="2347">
        <f xml:space="preserve"> MHDV_Mat_Parameters!D155</f>
        <v>5.4599385420153849E-3</v>
      </c>
      <c r="D173" s="2347">
        <f xml:space="preserve"> MHDV_Mat_Parameters!E155</f>
        <v>0</v>
      </c>
      <c r="E173" s="2348">
        <f xml:space="preserve"> MHDV_Mat_Parameters!F155</f>
        <v>2.2282461089389541E-5</v>
      </c>
      <c r="F173" s="2347"/>
      <c r="G173" s="2347"/>
      <c r="H173" s="2347"/>
      <c r="I173" s="2347"/>
      <c r="J173" s="2347"/>
      <c r="K173" s="2347"/>
      <c r="L173" s="2347"/>
    </row>
    <row r="174" spans="1:12">
      <c r="A174" s="2262" t="s">
        <v>293</v>
      </c>
      <c r="B174" s="2347">
        <f xml:space="preserve"> MHDV_Mat_Parameters!C156</f>
        <v>0</v>
      </c>
      <c r="C174" s="2347">
        <f xml:space="preserve"> MHDV_Mat_Parameters!D156</f>
        <v>0</v>
      </c>
      <c r="D174" s="2347">
        <f xml:space="preserve"> MHDV_Mat_Parameters!E156</f>
        <v>0</v>
      </c>
      <c r="E174" s="2348">
        <f xml:space="preserve"> MHDV_Mat_Parameters!F156</f>
        <v>1.1872184012427622E-3</v>
      </c>
      <c r="F174" s="2347"/>
      <c r="G174" s="2347"/>
      <c r="H174" s="2347"/>
      <c r="I174" s="2347"/>
      <c r="J174" s="2347"/>
      <c r="K174" s="2347"/>
      <c r="L174" s="2347"/>
    </row>
    <row r="175" spans="1:12">
      <c r="A175" s="2262" t="s">
        <v>2412</v>
      </c>
      <c r="B175" s="2347">
        <f xml:space="preserve"> MHDV_Mat_Parameters!C157</f>
        <v>9.2452013516254036E-5</v>
      </c>
      <c r="C175" s="2347">
        <f xml:space="preserve"> MHDV_Mat_Parameters!D157</f>
        <v>9.1540602425581785E-5</v>
      </c>
      <c r="D175" s="2347">
        <f xml:space="preserve"> MHDV_Mat_Parameters!E157</f>
        <v>1.1061104837036671E-4</v>
      </c>
      <c r="E175" s="2348">
        <f xml:space="preserve"> MHDV_Mat_Parameters!F157</f>
        <v>7.7837124673928767E-5</v>
      </c>
      <c r="F175" s="2347"/>
      <c r="G175" s="2347"/>
      <c r="H175" s="2347"/>
      <c r="I175" s="2347"/>
      <c r="J175" s="2347"/>
      <c r="K175" s="2347"/>
      <c r="L175" s="2347"/>
    </row>
    <row r="176" spans="1:12">
      <c r="A176" s="2262" t="s">
        <v>2426</v>
      </c>
      <c r="B176" s="2347">
        <f xml:space="preserve"> MHDV_Mat_Parameters!C158</f>
        <v>3.3293319356423814E-5</v>
      </c>
      <c r="C176" s="2347">
        <f xml:space="preserve"> MHDV_Mat_Parameters!D158</f>
        <v>3.2965106921100243E-5</v>
      </c>
      <c r="D176" s="2347">
        <f xml:space="preserve"> MHDV_Mat_Parameters!E158</f>
        <v>3.9832652829091926E-5</v>
      </c>
      <c r="E176" s="2348">
        <f xml:space="preserve"> MHDV_Mat_Parameters!F158</f>
        <v>2.8030284587574515E-5</v>
      </c>
      <c r="F176" s="2347"/>
      <c r="G176" s="2347"/>
      <c r="H176" s="2347"/>
      <c r="I176" s="2347"/>
      <c r="J176" s="2347"/>
      <c r="K176" s="2347"/>
      <c r="L176" s="2347"/>
    </row>
    <row r="177" spans="1:12">
      <c r="A177" s="2262" t="s">
        <v>2408</v>
      </c>
      <c r="B177" s="2347">
        <f xml:space="preserve"> MHDV_Mat_Parameters!C159</f>
        <v>6.1917455039598663E-3</v>
      </c>
      <c r="C177" s="2347">
        <f xml:space="preserve"> MHDV_Mat_Parameters!D159</f>
        <v>6.1307059948318482E-3</v>
      </c>
      <c r="D177" s="2347">
        <f xml:space="preserve"> MHDV_Mat_Parameters!E159</f>
        <v>7.407902060619774E-3</v>
      </c>
      <c r="E177" s="2348">
        <f xml:space="preserve"> MHDV_Mat_Parameters!F159</f>
        <v>5.2129493821811744E-3</v>
      </c>
      <c r="F177" s="2347"/>
      <c r="G177" s="2347"/>
      <c r="H177" s="2347"/>
      <c r="I177" s="2347"/>
      <c r="J177" s="2347"/>
      <c r="K177" s="2347"/>
      <c r="L177" s="2347"/>
    </row>
    <row r="178" spans="1:12">
      <c r="A178" s="2262" t="s">
        <v>2409</v>
      </c>
      <c r="B178" s="2347">
        <f xml:space="preserve"> MHDV_Mat_Parameters!C160</f>
        <v>4.7986027655688964E-3</v>
      </c>
      <c r="C178" s="2347">
        <f xml:space="preserve"> MHDV_Mat_Parameters!D160</f>
        <v>4.7512971459946823E-3</v>
      </c>
      <c r="D178" s="2347">
        <f xml:space="preserve"> MHDV_Mat_Parameters!E160</f>
        <v>5.7411240969803242E-3</v>
      </c>
      <c r="E178" s="2348">
        <f xml:space="preserve"> MHDV_Mat_Parameters!F160</f>
        <v>4.0400357711904101E-3</v>
      </c>
      <c r="F178" s="2347"/>
      <c r="G178" s="2347"/>
      <c r="H178" s="2347"/>
      <c r="I178" s="2347"/>
      <c r="J178" s="2347"/>
      <c r="K178" s="2347"/>
      <c r="L178" s="2347"/>
    </row>
    <row r="179" spans="1:12">
      <c r="A179" s="2262" t="s">
        <v>2410</v>
      </c>
      <c r="B179" s="2347">
        <f xml:space="preserve"> MHDV_Mat_Parameters!C161</f>
        <v>3.1880004660777253E-3</v>
      </c>
      <c r="C179" s="2347">
        <f xml:space="preserve"> MHDV_Mat_Parameters!D161</f>
        <v>3.1565724974338548E-3</v>
      </c>
      <c r="D179" s="2347">
        <f xml:space="preserve"> MHDV_Mat_Parameters!E161</f>
        <v>3.8141740817367836E-3</v>
      </c>
      <c r="E179" s="2348">
        <f xml:space="preserve"> MHDV_Mat_Parameters!F161</f>
        <v>2.6840387818596128E-3</v>
      </c>
      <c r="F179" s="2347"/>
      <c r="G179" s="2347"/>
      <c r="H179" s="2347"/>
      <c r="I179" s="2347"/>
      <c r="J179" s="2347"/>
      <c r="K179" s="2347"/>
      <c r="L179" s="2347"/>
    </row>
    <row r="180" spans="1:12">
      <c r="A180" s="2262" t="s">
        <v>2411</v>
      </c>
      <c r="B180" s="2347">
        <f xml:space="preserve"> MHDV_Mat_Parameters!C162</f>
        <v>1.8515906706979428E-4</v>
      </c>
      <c r="C180" s="2347">
        <f xml:space="preserve"> MHDV_Mat_Parameters!D162</f>
        <v>1.8333373065095826E-4</v>
      </c>
      <c r="D180" s="2347">
        <f xml:space="preserve"> MHDV_Mat_Parameters!E162</f>
        <v>2.2152723066727237E-4</v>
      </c>
      <c r="E180" s="2348">
        <f xml:space="preserve"> MHDV_Mat_Parameters!F162</f>
        <v>1.558889724504063E-4</v>
      </c>
      <c r="F180" s="2347"/>
      <c r="G180" s="2347"/>
      <c r="H180" s="2347"/>
      <c r="I180" s="2347"/>
      <c r="J180" s="2347"/>
      <c r="K180" s="2347"/>
      <c r="L180" s="2347"/>
    </row>
    <row r="181" spans="1:12">
      <c r="A181" s="2350" t="s">
        <v>2421</v>
      </c>
      <c r="B181" s="2347">
        <f xml:space="preserve"> MHDV_Mat_Parameters!C163</f>
        <v>0</v>
      </c>
      <c r="C181" s="2347">
        <f xml:space="preserve"> MHDV_Mat_Parameters!D163</f>
        <v>0</v>
      </c>
      <c r="D181" s="2347">
        <f xml:space="preserve"> MHDV_Mat_Parameters!E163</f>
        <v>0</v>
      </c>
      <c r="E181" s="2348">
        <f xml:space="preserve"> MHDV_Mat_Parameters!F163</f>
        <v>7.7812437678951424E-4</v>
      </c>
      <c r="F181" s="2347"/>
      <c r="G181" s="2347"/>
      <c r="H181" s="2347"/>
      <c r="I181" s="2347"/>
      <c r="J181" s="2347"/>
      <c r="K181" s="2347"/>
      <c r="L181" s="2347"/>
    </row>
    <row r="182" spans="1:12">
      <c r="A182" s="2342" t="s">
        <v>2428</v>
      </c>
      <c r="B182" s="2347">
        <f xml:space="preserve"> MHDV_Mat_Parameters!C164</f>
        <v>0</v>
      </c>
      <c r="C182" s="2347">
        <f xml:space="preserve"> MHDV_Mat_Parameters!D164</f>
        <v>0</v>
      </c>
      <c r="D182" s="2347">
        <f xml:space="preserve"> MHDV_Mat_Parameters!E164</f>
        <v>0</v>
      </c>
      <c r="E182" s="2348">
        <f xml:space="preserve"> MHDV_Mat_Parameters!F164</f>
        <v>0</v>
      </c>
      <c r="F182" s="2347"/>
      <c r="G182" s="2347"/>
      <c r="H182" s="2347"/>
      <c r="I182" s="2347"/>
      <c r="J182" s="2347"/>
      <c r="K182" s="2347"/>
      <c r="L182" s="2347"/>
    </row>
    <row r="183" spans="1:12">
      <c r="A183" s="2265" t="s">
        <v>294</v>
      </c>
      <c r="B183" s="2351">
        <f xml:space="preserve"> MHDV_Mat_Parameters!C165</f>
        <v>0</v>
      </c>
      <c r="C183" s="2351">
        <f xml:space="preserve"> MHDV_Mat_Parameters!D165</f>
        <v>1.3629973517279459E-4</v>
      </c>
      <c r="D183" s="2351">
        <f xml:space="preserve"> MHDV_Mat_Parameters!E165</f>
        <v>5.603201809032518E-4</v>
      </c>
      <c r="E183" s="2352">
        <f xml:space="preserve"> MHDV_Mat_Parameters!F165</f>
        <v>5.2389206866321084E-4</v>
      </c>
      <c r="F183" s="2347"/>
      <c r="G183" s="2347"/>
      <c r="H183" s="2347"/>
      <c r="I183" s="2347"/>
      <c r="J183" s="2347"/>
      <c r="K183" s="2347"/>
      <c r="L183" s="2347"/>
    </row>
    <row r="184" spans="1:12">
      <c r="C184" s="2343"/>
      <c r="D184" s="2343"/>
      <c r="E184" s="2343"/>
      <c r="H184" s="2343"/>
      <c r="I184" s="2343"/>
    </row>
    <row r="185" spans="1:12">
      <c r="A185" s="2081" t="s">
        <v>2574</v>
      </c>
      <c r="C185" s="2343"/>
      <c r="D185" s="2343"/>
      <c r="E185" s="2343"/>
      <c r="H185" s="2343"/>
      <c r="I185" s="2343"/>
    </row>
    <row r="186" spans="1:12">
      <c r="A186" s="2353" t="s">
        <v>2352</v>
      </c>
      <c r="B186" s="2354" t="s">
        <v>2353</v>
      </c>
      <c r="C186" s="2355" t="s">
        <v>2354</v>
      </c>
      <c r="D186" s="2343"/>
      <c r="E186" s="2343"/>
      <c r="H186" s="2343"/>
      <c r="I186" s="2343"/>
    </row>
    <row r="187" spans="1:12">
      <c r="A187" s="2356" t="s">
        <v>2355</v>
      </c>
      <c r="B187" s="2319">
        <f xml:space="preserve"> MHDV_Inputs!C67</f>
        <v>7</v>
      </c>
      <c r="C187" s="2188">
        <f xml:space="preserve"> MHDV_Inputs!D67</f>
        <v>2</v>
      </c>
      <c r="D187" s="2343"/>
      <c r="E187" s="2343"/>
      <c r="H187" s="2343"/>
      <c r="I187" s="2343"/>
    </row>
    <row r="188" spans="1:12">
      <c r="A188" s="2357" t="s">
        <v>2356</v>
      </c>
      <c r="B188" s="2358">
        <f xml:space="preserve"> MHDV_Inputs!C68</f>
        <v>3</v>
      </c>
      <c r="C188" s="2359">
        <f xml:space="preserve"> MHDV_Inputs!D68</f>
        <v>8</v>
      </c>
      <c r="D188" s="2343"/>
      <c r="E188" s="2343"/>
      <c r="H188" s="2343"/>
      <c r="I188" s="2343"/>
    </row>
    <row r="189" spans="1:12">
      <c r="C189" s="2343"/>
      <c r="D189" s="2343"/>
      <c r="E189" s="2343"/>
      <c r="H189" s="2343"/>
      <c r="I189" s="2343"/>
    </row>
    <row r="190" spans="1:12">
      <c r="A190" s="2321" t="s">
        <v>2575</v>
      </c>
      <c r="B190" s="2321"/>
      <c r="C190" s="2321"/>
      <c r="D190" s="2321"/>
      <c r="E190" s="2321"/>
      <c r="F190" s="2321"/>
      <c r="G190" s="2321"/>
      <c r="H190" s="2321"/>
      <c r="I190" s="2321"/>
      <c r="J190" s="2321"/>
      <c r="K190" s="2321"/>
      <c r="L190" s="2321"/>
    </row>
    <row r="191" spans="1:12">
      <c r="A191" s="2360"/>
      <c r="B191" s="2361" t="s">
        <v>203</v>
      </c>
      <c r="C191" s="2361" t="s">
        <v>194</v>
      </c>
      <c r="D191" s="2361" t="s">
        <v>167</v>
      </c>
      <c r="E191" s="2362" t="s">
        <v>198</v>
      </c>
      <c r="F191" s="2363"/>
      <c r="G191" s="2363"/>
      <c r="H191" s="2363"/>
      <c r="I191" s="2363"/>
      <c r="J191" s="2363"/>
      <c r="K191" s="2363"/>
      <c r="L191" s="2363"/>
    </row>
    <row r="192" spans="1:12">
      <c r="A192" s="2364" t="s">
        <v>2355</v>
      </c>
      <c r="B192" s="2365">
        <f xml:space="preserve"> MHDV_Inputs!C72</f>
        <v>120</v>
      </c>
      <c r="C192" s="2365">
        <f xml:space="preserve"> MHDV_Inputs!D72</f>
        <v>120</v>
      </c>
      <c r="D192" s="2365">
        <f xml:space="preserve"> MHDV_Inputs!E72</f>
        <v>120</v>
      </c>
      <c r="E192" s="2366">
        <f xml:space="preserve"> MHDV_Inputs!F72</f>
        <v>120</v>
      </c>
      <c r="F192" s="2363"/>
      <c r="G192" s="2363"/>
      <c r="H192" s="2363"/>
      <c r="I192" s="2363"/>
      <c r="J192" s="2363"/>
      <c r="K192" s="2363"/>
      <c r="L192" s="2363"/>
    </row>
    <row r="193" spans="1:12">
      <c r="A193" s="2367" t="s">
        <v>2356</v>
      </c>
      <c r="B193" s="2368">
        <f xml:space="preserve"> MHDV_Inputs!C73</f>
        <v>120</v>
      </c>
      <c r="C193" s="2368">
        <f xml:space="preserve"> MHDV_Inputs!D73</f>
        <v>120</v>
      </c>
      <c r="D193" s="2368">
        <f xml:space="preserve"> MHDV_Inputs!E73</f>
        <v>120</v>
      </c>
      <c r="E193" s="2369">
        <f xml:space="preserve"> MHDV_Inputs!F73</f>
        <v>120</v>
      </c>
      <c r="F193" s="2370"/>
      <c r="G193" s="2370"/>
      <c r="H193" s="2370"/>
      <c r="I193" s="2370"/>
      <c r="J193" s="2370"/>
      <c r="K193" s="2370"/>
      <c r="L193" s="2370"/>
    </row>
    <row r="194" spans="1:12">
      <c r="C194" s="2343"/>
      <c r="D194" s="2343"/>
      <c r="E194" s="2343"/>
      <c r="H194" s="2343"/>
      <c r="I194" s="2343"/>
    </row>
    <row r="195" spans="1:12">
      <c r="A195" s="2081" t="s">
        <v>1864</v>
      </c>
      <c r="C195" s="2343"/>
      <c r="D195" s="2343"/>
      <c r="E195" s="2343"/>
      <c r="H195" s="2343"/>
      <c r="I195" s="2343"/>
    </row>
    <row r="196" spans="1:12">
      <c r="A196" s="2202" t="s">
        <v>61</v>
      </c>
      <c r="B196" s="2220" t="s">
        <v>38</v>
      </c>
      <c r="C196" s="2343"/>
      <c r="D196" s="2343"/>
      <c r="E196" s="2343"/>
      <c r="H196" s="2343"/>
      <c r="I196" s="2343"/>
    </row>
    <row r="197" spans="1:12">
      <c r="A197" s="2371">
        <f>Mat_Inputs!B121</f>
        <v>0.66700000000000004</v>
      </c>
      <c r="B197" s="2372">
        <f>Mat_Inputs!C121</f>
        <v>0.33299999999999996</v>
      </c>
      <c r="C197" s="2343"/>
      <c r="D197" s="2343"/>
      <c r="E197" s="2343"/>
      <c r="H197" s="2343"/>
      <c r="I197" s="2343"/>
    </row>
    <row r="198" spans="1:12">
      <c r="C198" s="2343"/>
      <c r="D198" s="2343"/>
      <c r="E198" s="2343"/>
      <c r="H198" s="2343"/>
      <c r="I198" s="2343"/>
    </row>
    <row r="199" spans="1:12">
      <c r="A199" s="2081" t="s">
        <v>2576</v>
      </c>
      <c r="C199" s="2343"/>
      <c r="D199" s="2343"/>
      <c r="E199" s="2343"/>
      <c r="H199" s="2343"/>
      <c r="I199" s="2343"/>
    </row>
    <row r="200" spans="1:12">
      <c r="A200" s="2373"/>
      <c r="B200" s="2374" t="s">
        <v>203</v>
      </c>
      <c r="C200" s="2374" t="s">
        <v>194</v>
      </c>
      <c r="D200" s="2374" t="s">
        <v>167</v>
      </c>
      <c r="E200" s="2375" t="s">
        <v>198</v>
      </c>
      <c r="H200" s="2343"/>
      <c r="I200" s="2343"/>
    </row>
    <row r="201" spans="1:12">
      <c r="A201" s="2376" t="s">
        <v>2359</v>
      </c>
      <c r="B201" s="2377">
        <f xml:space="preserve"> MHDV_Inputs!C77</f>
        <v>7</v>
      </c>
      <c r="C201" s="2377">
        <f xml:space="preserve"> MHDV_Inputs!D77</f>
        <v>7</v>
      </c>
      <c r="D201" s="2377">
        <f xml:space="preserve"> MHDV_Inputs!E77</f>
        <v>7</v>
      </c>
      <c r="E201" s="2378">
        <f xml:space="preserve"> MHDV_Inputs!F77</f>
        <v>7</v>
      </c>
      <c r="H201" s="2343"/>
      <c r="I201" s="2343"/>
    </row>
    <row r="202" spans="1:12">
      <c r="A202" s="2142" t="s">
        <v>2360</v>
      </c>
      <c r="B202" s="2358">
        <f xml:space="preserve"> MHDV_Inputs!C78</f>
        <v>19</v>
      </c>
      <c r="C202" s="2358">
        <f xml:space="preserve"> MHDV_Inputs!D78</f>
        <v>19</v>
      </c>
      <c r="D202" s="2358">
        <f xml:space="preserve"> MHDV_Inputs!E78</f>
        <v>0</v>
      </c>
      <c r="E202" s="2359">
        <f xml:space="preserve"> MHDV_Inputs!F78</f>
        <v>0</v>
      </c>
      <c r="H202" s="2343"/>
      <c r="I202" s="2343"/>
    </row>
    <row r="203" spans="1:12">
      <c r="C203" s="2343"/>
      <c r="D203" s="2343"/>
      <c r="E203" s="2343"/>
      <c r="H203" s="2343"/>
      <c r="I203" s="2343"/>
    </row>
    <row r="204" spans="1:12">
      <c r="A204" s="2081" t="s">
        <v>2577</v>
      </c>
      <c r="C204" s="2343"/>
      <c r="D204" s="2343"/>
      <c r="E204" s="2343"/>
      <c r="H204" s="2343"/>
      <c r="I204" s="2343"/>
    </row>
    <row r="205" spans="1:12">
      <c r="A205" s="2373"/>
      <c r="B205" s="2374" t="s">
        <v>203</v>
      </c>
      <c r="C205" s="2374" t="s">
        <v>194</v>
      </c>
      <c r="D205" s="2374" t="s">
        <v>167</v>
      </c>
      <c r="E205" s="2375" t="s">
        <v>198</v>
      </c>
      <c r="H205" s="2343"/>
      <c r="I205" s="2343"/>
    </row>
    <row r="206" spans="1:12">
      <c r="A206" s="2176" t="s">
        <v>2359</v>
      </c>
      <c r="B206" s="2379"/>
      <c r="C206" s="2379"/>
      <c r="D206" s="2379"/>
      <c r="E206" s="2380"/>
      <c r="H206" s="2343"/>
      <c r="I206" s="2343"/>
    </row>
    <row r="207" spans="1:12">
      <c r="A207" s="2340" t="s">
        <v>38</v>
      </c>
      <c r="B207" s="2381">
        <f>IF(MHDV_Inputs!$B$3=1,'Class 6 PnD Trucks'!C288,IF(MHDV_Inputs!$B$3=2,'Class 8 Day-cab Trucks'!C288,'Class 8 Sleeper-cab Trucks'!C288))</f>
        <v>0.89004521704124839</v>
      </c>
      <c r="C207" s="2381">
        <f>IF(MHDV_Inputs!$B$3=1,'Class 6 PnD Trucks'!D288,IF(MHDV_Inputs!$B$3=2,'Class 8 Day-cab Trucks'!D288,'Class 8 Sleeper-cab Trucks'!D288))</f>
        <v>0.89004521704124839</v>
      </c>
      <c r="D207" s="2381">
        <f>IF(MHDV_Inputs!$B$3=1,'Class 6 PnD Trucks'!E288,IF(MHDV_Inputs!$B$3=2,'Class 8 Day-cab Trucks'!E288,'Class 8 Sleeper-cab Trucks'!E288))</f>
        <v>0.89004521704124839</v>
      </c>
      <c r="E207" s="2382">
        <f>IF(MHDV_Inputs!$B$3=1,'Class 6 PnD Trucks'!F288,IF(MHDV_Inputs!$B$3=2,'Class 8 Day-cab Trucks'!F288,'Class 8 Sleeper-cab Trucks'!F288))</f>
        <v>0.89004521704124839</v>
      </c>
      <c r="G207" s="2313"/>
      <c r="H207" s="2383"/>
      <c r="I207" s="2343"/>
    </row>
    <row r="208" spans="1:12">
      <c r="A208" s="2340" t="s">
        <v>61</v>
      </c>
      <c r="B208" s="2381">
        <f>IF(MHDV_Inputs!$B$3=1,'Class 6 PnD Trucks'!C289,IF(MHDV_Inputs!$B$3=2,'Class 8 Day-cab Trucks'!C289,'Class 8 Sleeper-cab Trucks'!C289))</f>
        <v>0.31787329180044588</v>
      </c>
      <c r="C208" s="2381">
        <f>IF(MHDV_Inputs!$B$3=1,'Class 6 PnD Trucks'!D289,IF(MHDV_Inputs!$B$3=2,'Class 8 Day-cab Trucks'!D289,'Class 8 Sleeper-cab Trucks'!D289))</f>
        <v>0.31787329180044588</v>
      </c>
      <c r="D208" s="2381">
        <f>IF(MHDV_Inputs!$B$3=1,'Class 6 PnD Trucks'!E289,IF(MHDV_Inputs!$B$3=2,'Class 8 Day-cab Trucks'!E289,'Class 8 Sleeper-cab Trucks'!E289))</f>
        <v>0.31787329180044588</v>
      </c>
      <c r="E208" s="2382">
        <f>IF(MHDV_Inputs!$B$3=1,'Class 6 PnD Trucks'!F289,IF(MHDV_Inputs!$B$3=2,'Class 8 Day-cab Trucks'!F289,'Class 8 Sleeper-cab Trucks'!F289))</f>
        <v>0.31787329180044588</v>
      </c>
      <c r="G208" s="2313"/>
      <c r="H208" s="2383"/>
      <c r="I208" s="2343"/>
    </row>
    <row r="209" spans="1:9">
      <c r="A209" s="2175" t="s">
        <v>60</v>
      </c>
      <c r="B209" s="2384">
        <f>IF(MHDV_Inputs!$B$3=1,'Class 6 PnD Trucks'!C290,IF(MHDV_Inputs!$B$3=2,'Class 8 Day-cab Trucks'!C290,'Class 8 Sleeper-cab Trucks'!C290))</f>
        <v>6.3574658360089173E-2</v>
      </c>
      <c r="C209" s="2384">
        <f>IF(MHDV_Inputs!$B$3=1,'Class 6 PnD Trucks'!D290,IF(MHDV_Inputs!$B$3=2,'Class 8 Day-cab Trucks'!D290,'Class 8 Sleeper-cab Trucks'!D290))</f>
        <v>6.3574658360089173E-2</v>
      </c>
      <c r="D209" s="2384">
        <f>IF(MHDV_Inputs!$B$3=1,'Class 6 PnD Trucks'!E290,IF(MHDV_Inputs!$B$3=2,'Class 8 Day-cab Trucks'!E290,'Class 8 Sleeper-cab Trucks'!E290))</f>
        <v>6.3574658360089173E-2</v>
      </c>
      <c r="E209" s="2385">
        <f>IF(MHDV_Inputs!$B$3=1,'Class 6 PnD Trucks'!F290,IF(MHDV_Inputs!$B$3=2,'Class 8 Day-cab Trucks'!F290,'Class 8 Sleeper-cab Trucks'!F290))</f>
        <v>6.3574658360089173E-2</v>
      </c>
      <c r="G209" s="2313"/>
      <c r="H209" s="2383"/>
      <c r="I209" s="2343"/>
    </row>
    <row r="210" spans="1:9">
      <c r="A210" s="2341" t="s">
        <v>2360</v>
      </c>
      <c r="B210" s="2386"/>
      <c r="C210" s="2386"/>
      <c r="D210" s="2386"/>
      <c r="E210" s="2387"/>
      <c r="H210" s="2343"/>
      <c r="I210" s="2343"/>
    </row>
    <row r="211" spans="1:9">
      <c r="A211" s="2340" t="s">
        <v>38</v>
      </c>
      <c r="B211" s="2381">
        <f>IF(MHDV_Inputs!$B$3=1,'Class 6 PnD Trucks'!C292,IF(MHDV_Inputs!$B$3=2,'Class 8 Day-cab Trucks'!C292,'Class 8 Sleeper-cab Trucks'!C292))</f>
        <v>3.2546205544768121</v>
      </c>
      <c r="C211" s="2381">
        <f>IF(MHDV_Inputs!$B$3=1,'Class 6 PnD Trucks'!D292,IF(MHDV_Inputs!$B$3=2,'Class 8 Day-cab Trucks'!D292,'Class 8 Sleeper-cab Trucks'!D292))</f>
        <v>3.2546205544768121</v>
      </c>
      <c r="D211" s="2381">
        <f>IF(MHDV_Inputs!$B$3=1,'Class 6 PnD Trucks'!E292,IF(MHDV_Inputs!$B$3=2,'Class 8 Day-cab Trucks'!E292,'Class 8 Sleeper-cab Trucks'!E292))</f>
        <v>0</v>
      </c>
      <c r="E211" s="2382">
        <f>IF(MHDV_Inputs!$B$3=1,'Class 6 PnD Trucks'!F292,IF(MHDV_Inputs!$B$3=2,'Class 8 Day-cab Trucks'!F292,'Class 8 Sleeper-cab Trucks'!F292))</f>
        <v>0</v>
      </c>
      <c r="H211" s="2343"/>
      <c r="I211" s="2343"/>
    </row>
    <row r="212" spans="1:9">
      <c r="A212" s="2340" t="s">
        <v>2421</v>
      </c>
      <c r="B212" s="2381">
        <f>IF(MHDV_Inputs!$B$3=1,'Class 6 PnD Trucks'!C293,IF(MHDV_Inputs!$B$3=2,'Class 8 Day-cab Trucks'!C293,'Class 8 Sleeper-cab Trucks'!C293))</f>
        <v>0.18081225302648957</v>
      </c>
      <c r="C212" s="2381">
        <f>IF(MHDV_Inputs!$B$3=1,'Class 6 PnD Trucks'!D293,IF(MHDV_Inputs!$B$3=2,'Class 8 Day-cab Trucks'!D293,'Class 8 Sleeper-cab Trucks'!D293))</f>
        <v>0.18081225302648957</v>
      </c>
      <c r="D212" s="2381">
        <f>IF(MHDV_Inputs!$B$3=1,'Class 6 PnD Trucks'!E293,IF(MHDV_Inputs!$B$3=2,'Class 8 Day-cab Trucks'!E293,'Class 8 Sleeper-cab Trucks'!E293))</f>
        <v>0</v>
      </c>
      <c r="E212" s="2382">
        <f>IF(MHDV_Inputs!$B$3=1,'Class 6 PnD Trucks'!F293,IF(MHDV_Inputs!$B$3=2,'Class 8 Day-cab Trucks'!F293,'Class 8 Sleeper-cab Trucks'!F293))</f>
        <v>0</v>
      </c>
      <c r="H212" s="2343"/>
      <c r="I212" s="2343"/>
    </row>
    <row r="213" spans="1:9">
      <c r="A213" s="2175" t="s">
        <v>61</v>
      </c>
      <c r="B213" s="2384">
        <f>IF(MHDV_Inputs!$B$3=1,'Class 6 PnD Trucks'!C294,IF(MHDV_Inputs!$B$3=2,'Class 8 Day-cab Trucks'!C294,'Class 8 Sleeper-cab Trucks'!C294))</f>
        <v>0.18081225302648957</v>
      </c>
      <c r="C213" s="2384">
        <f>IF(MHDV_Inputs!$B$3=1,'Class 6 PnD Trucks'!D294,IF(MHDV_Inputs!$B$3=2,'Class 8 Day-cab Trucks'!D294,'Class 8 Sleeper-cab Trucks'!D294))</f>
        <v>0.18081225302648957</v>
      </c>
      <c r="D213" s="2384">
        <f>IF(MHDV_Inputs!$B$3=1,'Class 6 PnD Trucks'!E294,IF(MHDV_Inputs!$B$3=2,'Class 8 Day-cab Trucks'!E294,'Class 8 Sleeper-cab Trucks'!E294))</f>
        <v>0</v>
      </c>
      <c r="E213" s="2385">
        <f>IF(MHDV_Inputs!$B$3=1,'Class 6 PnD Trucks'!F294,IF(MHDV_Inputs!$B$3=2,'Class 8 Day-cab Trucks'!F294,'Class 8 Sleeper-cab Trucks'!F294))</f>
        <v>0</v>
      </c>
      <c r="H213" s="2343"/>
      <c r="I213" s="2343"/>
    </row>
    <row r="214" spans="1:9">
      <c r="C214" s="2343"/>
      <c r="D214" s="2343"/>
      <c r="E214" s="2343"/>
      <c r="H214" s="2343"/>
      <c r="I214" s="2343"/>
    </row>
    <row r="215" spans="1:9">
      <c r="A215" s="2081" t="s">
        <v>2578</v>
      </c>
      <c r="C215" s="2343"/>
      <c r="D215" s="2343"/>
      <c r="E215" s="2343"/>
      <c r="H215" s="2343"/>
      <c r="I215" s="2343"/>
    </row>
    <row r="216" spans="1:9">
      <c r="A216" s="2373"/>
      <c r="B216" s="2374" t="s">
        <v>203</v>
      </c>
      <c r="C216" s="2374" t="s">
        <v>194</v>
      </c>
      <c r="D216" s="2374" t="s">
        <v>167</v>
      </c>
      <c r="E216" s="2375" t="s">
        <v>198</v>
      </c>
      <c r="H216" s="2343"/>
      <c r="I216" s="2343"/>
    </row>
    <row r="217" spans="1:9">
      <c r="A217" s="2176" t="s">
        <v>2359</v>
      </c>
      <c r="B217" s="2379"/>
      <c r="C217" s="2379"/>
      <c r="D217" s="2379"/>
      <c r="E217" s="2380"/>
      <c r="H217" s="2343"/>
      <c r="I217" s="2343"/>
    </row>
    <row r="218" spans="1:9">
      <c r="A218" s="2340" t="s">
        <v>38</v>
      </c>
      <c r="B218" s="2388">
        <f xml:space="preserve"> MHDV_Mat_Parameters!C174</f>
        <v>0.7</v>
      </c>
      <c r="C218" s="2388">
        <f xml:space="preserve"> MHDV_Mat_Parameters!D174</f>
        <v>0.7</v>
      </c>
      <c r="D218" s="2388">
        <f xml:space="preserve"> MHDV_Mat_Parameters!E174</f>
        <v>0.7</v>
      </c>
      <c r="E218" s="2389">
        <f xml:space="preserve"> MHDV_Mat_Parameters!F174</f>
        <v>0.7</v>
      </c>
      <c r="H218" s="2343"/>
      <c r="I218" s="2343"/>
    </row>
    <row r="219" spans="1:9">
      <c r="A219" s="2340" t="s">
        <v>61</v>
      </c>
      <c r="B219" s="2388">
        <f xml:space="preserve"> MHDV_Mat_Parameters!C175</f>
        <v>0.25</v>
      </c>
      <c r="C219" s="2388">
        <f xml:space="preserve"> MHDV_Mat_Parameters!D175</f>
        <v>0.25</v>
      </c>
      <c r="D219" s="2388">
        <f xml:space="preserve"> MHDV_Mat_Parameters!E175</f>
        <v>0.25</v>
      </c>
      <c r="E219" s="2389">
        <f xml:space="preserve"> MHDV_Mat_Parameters!F175</f>
        <v>0.25</v>
      </c>
      <c r="H219" s="2343"/>
      <c r="I219" s="2343"/>
    </row>
    <row r="220" spans="1:9">
      <c r="A220" s="2175" t="s">
        <v>60</v>
      </c>
      <c r="B220" s="2390">
        <f xml:space="preserve"> MHDV_Mat_Parameters!C176</f>
        <v>4.9999999999999996E-2</v>
      </c>
      <c r="C220" s="2390">
        <f xml:space="preserve"> MHDV_Mat_Parameters!D176</f>
        <v>4.9999999999999996E-2</v>
      </c>
      <c r="D220" s="2390">
        <f xml:space="preserve"> MHDV_Mat_Parameters!E176</f>
        <v>4.9999999999999996E-2</v>
      </c>
      <c r="E220" s="2391">
        <f xml:space="preserve"> MHDV_Mat_Parameters!F176</f>
        <v>4.9999999999999996E-2</v>
      </c>
      <c r="H220" s="2343"/>
      <c r="I220" s="2343"/>
    </row>
    <row r="221" spans="1:9">
      <c r="A221" s="2341" t="s">
        <v>2360</v>
      </c>
      <c r="B221" s="2392"/>
      <c r="C221" s="2392"/>
      <c r="D221" s="2392"/>
      <c r="E221" s="2393"/>
      <c r="H221" s="2343"/>
      <c r="I221" s="2343"/>
    </row>
    <row r="222" spans="1:9">
      <c r="A222" s="2340" t="s">
        <v>38</v>
      </c>
      <c r="B222" s="2388">
        <f xml:space="preserve"> MHDV_Mat_Parameters!C178</f>
        <v>0.9</v>
      </c>
      <c r="C222" s="2388">
        <f xml:space="preserve"> MHDV_Mat_Parameters!D178</f>
        <v>0.9</v>
      </c>
      <c r="D222" s="2388">
        <f xml:space="preserve"> MHDV_Mat_Parameters!E178</f>
        <v>0</v>
      </c>
      <c r="E222" s="2389">
        <f xml:space="preserve"> MHDV_Mat_Parameters!F178</f>
        <v>0</v>
      </c>
      <c r="H222" s="2343"/>
      <c r="I222" s="2343"/>
    </row>
    <row r="223" spans="1:9">
      <c r="A223" s="2340" t="s">
        <v>2421</v>
      </c>
      <c r="B223" s="2388">
        <f xml:space="preserve"> MHDV_Mat_Parameters!C179</f>
        <v>0.05</v>
      </c>
      <c r="C223" s="2388">
        <f xml:space="preserve"> MHDV_Mat_Parameters!D179</f>
        <v>0.05</v>
      </c>
      <c r="D223" s="2388">
        <f xml:space="preserve"> MHDV_Mat_Parameters!E179</f>
        <v>0</v>
      </c>
      <c r="E223" s="2389">
        <f xml:space="preserve"> MHDV_Mat_Parameters!F179</f>
        <v>0</v>
      </c>
      <c r="H223" s="2343"/>
      <c r="I223" s="2343"/>
    </row>
    <row r="224" spans="1:9">
      <c r="A224" s="2175" t="s">
        <v>61</v>
      </c>
      <c r="B224" s="2390">
        <f xml:space="preserve"> MHDV_Mat_Parameters!C180</f>
        <v>0.05</v>
      </c>
      <c r="C224" s="2390">
        <f xml:space="preserve"> MHDV_Mat_Parameters!D180</f>
        <v>0.05</v>
      </c>
      <c r="D224" s="2390">
        <f xml:space="preserve"> MHDV_Mat_Parameters!E180</f>
        <v>0</v>
      </c>
      <c r="E224" s="2391">
        <f xml:space="preserve"> MHDV_Mat_Parameters!F180</f>
        <v>0</v>
      </c>
      <c r="H224" s="2343"/>
      <c r="I224" s="2343"/>
    </row>
    <row r="225" spans="1:12">
      <c r="C225" s="2343"/>
      <c r="D225" s="2343"/>
      <c r="E225" s="2343"/>
      <c r="H225" s="2343"/>
      <c r="I225" s="2343"/>
    </row>
    <row r="226" spans="1:12">
      <c r="A226" s="2081" t="s">
        <v>2579</v>
      </c>
      <c r="C226" s="2343"/>
      <c r="D226" s="2343"/>
      <c r="E226" s="2343"/>
      <c r="H226" s="2343"/>
      <c r="I226" s="2343"/>
    </row>
    <row r="227" spans="1:12">
      <c r="A227" s="2322">
        <f xml:space="preserve"> MHDV_Inputs!B116</f>
        <v>0</v>
      </c>
      <c r="C227" s="2343"/>
      <c r="D227" s="2343"/>
      <c r="E227" s="2343"/>
      <c r="H227" s="2343"/>
      <c r="I227" s="2343"/>
    </row>
    <row r="228" spans="1:12">
      <c r="C228" s="2343"/>
      <c r="D228" s="2343"/>
      <c r="E228" s="2343"/>
      <c r="H228" s="2343"/>
      <c r="I228" s="2343"/>
    </row>
    <row r="229" spans="1:12" ht="15">
      <c r="A229" s="2084" t="s">
        <v>1865</v>
      </c>
      <c r="C229" s="2343"/>
      <c r="D229" s="2343"/>
      <c r="E229" s="2343"/>
      <c r="H229" s="2343"/>
      <c r="I229" s="2343"/>
    </row>
    <row r="230" spans="1:12" ht="35.450000000000003" customHeight="1">
      <c r="A230" s="2100"/>
      <c r="B230" s="2306" t="s">
        <v>203</v>
      </c>
      <c r="C230" s="2306" t="s">
        <v>194</v>
      </c>
      <c r="D230" s="2306" t="s">
        <v>167</v>
      </c>
      <c r="E230" s="2307" t="s">
        <v>198</v>
      </c>
      <c r="F230" s="2308"/>
      <c r="G230" s="2308"/>
      <c r="H230" s="2308"/>
      <c r="I230" s="2308"/>
      <c r="J230" s="2308"/>
      <c r="K230" s="2308"/>
      <c r="L230" s="2308"/>
    </row>
    <row r="231" spans="1:12">
      <c r="A231" s="2335" t="s">
        <v>1866</v>
      </c>
      <c r="B231" s="2394">
        <f>A6</f>
        <v>17492.859480076746</v>
      </c>
      <c r="C231" s="2395">
        <f>B6</f>
        <v>17667.024667056743</v>
      </c>
      <c r="D231" s="2395">
        <f>C6</f>
        <v>14621.05372760627</v>
      </c>
      <c r="E231" s="2396">
        <f>D6</f>
        <v>20777.361546497094</v>
      </c>
      <c r="F231" s="2397"/>
      <c r="G231" s="2397"/>
      <c r="H231" s="2397"/>
      <c r="I231" s="2397"/>
      <c r="J231" s="2397"/>
      <c r="K231" s="2397"/>
      <c r="L231" s="2397"/>
    </row>
    <row r="232" spans="1:12">
      <c r="A232" s="2176" t="s">
        <v>1867</v>
      </c>
      <c r="B232" s="2085"/>
      <c r="C232" s="2091"/>
      <c r="D232" s="2091"/>
      <c r="E232" s="2183"/>
    </row>
    <row r="233" spans="1:12">
      <c r="A233" s="2262" t="s">
        <v>38</v>
      </c>
      <c r="B233" s="2151">
        <f xml:space="preserve"> (B$231*B142)+($C$187*($B$187)*B$192*$B$197)+($C$188*($B$188)*B$193*$B$197)+(B$201*B$207)+(B$202*B$211)</f>
        <v>12640.683598503954</v>
      </c>
      <c r="C233" s="2136">
        <f xml:space="preserve"> (C$231*C142)+($C$187*($B$187)*C$192*$B$197)+($C$188*($B$188)*C$193*$B$197)+(C$201*C$207)+(C$202*C$211)</f>
        <v>12694.544901221558</v>
      </c>
      <c r="D233" s="2136">
        <f xml:space="preserve"> (D$231*D142)+($C$187*($B$187)*D$192*$B$197)+($C$188*($B$188)*D$193*$B$197)+(D$201*D$207)+(D$202*D$211)</f>
        <v>11086.647990561989</v>
      </c>
      <c r="E233" s="2185">
        <f xml:space="preserve"> (E$231*E142)+($C$187*($B$187)*E$192*$B$197)+($C$188*($B$188)*E$193*$B$197)+(E$201*E$207)+(E$202*E$211)</f>
        <v>11221.960056166081</v>
      </c>
      <c r="F233" s="2219"/>
      <c r="G233" s="2219"/>
      <c r="H233" s="2219"/>
      <c r="I233" s="2219"/>
      <c r="J233" s="2219"/>
      <c r="K233" s="2219"/>
      <c r="L233" s="2219"/>
    </row>
    <row r="234" spans="1:12">
      <c r="A234" s="2262" t="s">
        <v>1868</v>
      </c>
      <c r="B234" s="2151">
        <f t="shared" ref="B234:E248" si="0" xml:space="preserve"> (B$231*B143)</f>
        <v>138.15428453473822</v>
      </c>
      <c r="C234" s="2136">
        <f t="shared" si="0"/>
        <v>138.09815545915177</v>
      </c>
      <c r="D234" s="2136">
        <f t="shared" si="0"/>
        <v>79.327789494789172</v>
      </c>
      <c r="E234" s="2185">
        <f t="shared" si="0"/>
        <v>2687.0853412376855</v>
      </c>
      <c r="F234" s="2219"/>
      <c r="G234" s="2219"/>
      <c r="H234" s="2219"/>
      <c r="I234" s="2219"/>
      <c r="J234" s="2219"/>
      <c r="K234" s="2219"/>
      <c r="L234" s="2219"/>
    </row>
    <row r="235" spans="1:12">
      <c r="A235" s="2262" t="s">
        <v>1869</v>
      </c>
      <c r="B235" s="2151">
        <f t="shared" si="0"/>
        <v>1802.3175465393058</v>
      </c>
      <c r="C235" s="2136">
        <f t="shared" si="0"/>
        <v>1791.6974600634653</v>
      </c>
      <c r="D235" s="2136">
        <f t="shared" si="0"/>
        <v>797.00709885853075</v>
      </c>
      <c r="E235" s="2185">
        <f t="shared" si="0"/>
        <v>797.47320884200462</v>
      </c>
      <c r="F235" s="2219"/>
      <c r="G235" s="2219"/>
      <c r="H235" s="2219"/>
      <c r="I235" s="2219"/>
      <c r="J235" s="2219"/>
      <c r="K235" s="2219"/>
      <c r="L235" s="2219"/>
    </row>
    <row r="236" spans="1:12">
      <c r="A236" s="2262" t="s">
        <v>2406</v>
      </c>
      <c r="B236" s="2151">
        <f t="shared" si="0"/>
        <v>836.05749340678244</v>
      </c>
      <c r="C236" s="2136">
        <f t="shared" si="0"/>
        <v>909.05894745758019</v>
      </c>
      <c r="D236" s="2136">
        <f t="shared" si="0"/>
        <v>881.31348867676763</v>
      </c>
      <c r="E236" s="2185">
        <f t="shared" si="0"/>
        <v>999.8136514879136</v>
      </c>
      <c r="F236" s="2219"/>
      <c r="G236" s="2219"/>
      <c r="H236" s="2219"/>
      <c r="I236" s="2219"/>
      <c r="J236" s="2219"/>
      <c r="K236" s="2219"/>
      <c r="L236" s="2219"/>
    </row>
    <row r="237" spans="1:12">
      <c r="A237" s="2262" t="s">
        <v>2405</v>
      </c>
      <c r="B237" s="2151">
        <f t="shared" si="0"/>
        <v>576.31083849914239</v>
      </c>
      <c r="C237" s="2136">
        <f t="shared" si="0"/>
        <v>575.36785731451039</v>
      </c>
      <c r="D237" s="2136">
        <f t="shared" si="0"/>
        <v>347.70316546880872</v>
      </c>
      <c r="E237" s="2185">
        <f t="shared" si="0"/>
        <v>544.52910462256227</v>
      </c>
      <c r="F237" s="2219"/>
      <c r="G237" s="2219"/>
      <c r="H237" s="2219"/>
      <c r="I237" s="2219"/>
      <c r="J237" s="2219"/>
      <c r="K237" s="2219"/>
      <c r="L237" s="2219"/>
    </row>
    <row r="238" spans="1:12">
      <c r="A238" s="2262" t="s">
        <v>2413</v>
      </c>
      <c r="B238" s="2151">
        <f t="shared" si="0"/>
        <v>35.785327786385558</v>
      </c>
      <c r="C238" s="2136">
        <f t="shared" si="0"/>
        <v>88.161749743930685</v>
      </c>
      <c r="D238" s="2136">
        <f t="shared" si="0"/>
        <v>194.03832369869772</v>
      </c>
      <c r="E238" s="2185">
        <f t="shared" si="0"/>
        <v>228.46114557775195</v>
      </c>
      <c r="F238" s="2219"/>
      <c r="G238" s="2219"/>
      <c r="H238" s="2219"/>
      <c r="I238" s="2219"/>
      <c r="J238" s="2219"/>
      <c r="K238" s="2219"/>
      <c r="L238" s="2219"/>
    </row>
    <row r="239" spans="1:12">
      <c r="A239" s="2262" t="s">
        <v>2425</v>
      </c>
      <c r="B239" s="2151">
        <f t="shared" si="0"/>
        <v>1.9836883436317359</v>
      </c>
      <c r="C239" s="2136">
        <f t="shared" si="0"/>
        <v>1.9836883436317356</v>
      </c>
      <c r="D239" s="2136">
        <f t="shared" si="0"/>
        <v>1.0716256790785492</v>
      </c>
      <c r="E239" s="2185">
        <f t="shared" si="0"/>
        <v>1.082793793338384</v>
      </c>
      <c r="F239" s="2219"/>
      <c r="G239" s="2219"/>
      <c r="H239" s="2219"/>
      <c r="I239" s="2219"/>
      <c r="J239" s="2219"/>
      <c r="K239" s="2219"/>
      <c r="L239" s="2219"/>
    </row>
    <row r="240" spans="1:12">
      <c r="A240" s="2262" t="s">
        <v>2414</v>
      </c>
      <c r="B240" s="2151">
        <f t="shared" si="0"/>
        <v>0</v>
      </c>
      <c r="C240" s="2136">
        <f t="shared" si="0"/>
        <v>0</v>
      </c>
      <c r="D240" s="2136">
        <f t="shared" si="0"/>
        <v>0</v>
      </c>
      <c r="E240" s="2185">
        <f t="shared" si="0"/>
        <v>0</v>
      </c>
      <c r="F240" s="2219"/>
      <c r="G240" s="2219"/>
      <c r="H240" s="2219"/>
      <c r="I240" s="2219"/>
      <c r="J240" s="2219"/>
      <c r="K240" s="2219"/>
      <c r="L240" s="2219"/>
    </row>
    <row r="241" spans="1:12">
      <c r="A241" s="2262" t="s">
        <v>2416</v>
      </c>
      <c r="B241" s="2151">
        <f t="shared" si="0"/>
        <v>9.8744555657670237</v>
      </c>
      <c r="C241" s="2136">
        <f t="shared" si="0"/>
        <v>9.7660367124266738</v>
      </c>
      <c r="D241" s="2136">
        <f t="shared" si="0"/>
        <v>0</v>
      </c>
      <c r="E241" s="2185">
        <f t="shared" si="0"/>
        <v>3.633136840756789</v>
      </c>
      <c r="F241" s="2219"/>
      <c r="G241" s="2219"/>
      <c r="H241" s="2219"/>
      <c r="I241" s="2219"/>
      <c r="J241" s="2219"/>
      <c r="K241" s="2219"/>
      <c r="L241" s="2219"/>
    </row>
    <row r="242" spans="1:12">
      <c r="A242" s="2262" t="s">
        <v>2417</v>
      </c>
      <c r="B242" s="2151">
        <f t="shared" si="0"/>
        <v>2.8526204967771402</v>
      </c>
      <c r="C242" s="2136">
        <f t="shared" si="0"/>
        <v>2.821299494701039</v>
      </c>
      <c r="D242" s="2136">
        <f t="shared" si="0"/>
        <v>0</v>
      </c>
      <c r="E242" s="2185">
        <f t="shared" si="0"/>
        <v>0</v>
      </c>
      <c r="F242" s="2219"/>
      <c r="G242" s="2219"/>
      <c r="H242" s="2219"/>
      <c r="I242" s="2219"/>
      <c r="J242" s="2219"/>
      <c r="K242" s="2219"/>
      <c r="L242" s="2219"/>
    </row>
    <row r="243" spans="1:12">
      <c r="A243" s="2262" t="s">
        <v>48</v>
      </c>
      <c r="B243" s="2151">
        <f t="shared" si="0"/>
        <v>0</v>
      </c>
      <c r="C243" s="2136">
        <f t="shared" si="0"/>
        <v>0</v>
      </c>
      <c r="D243" s="2136">
        <f t="shared" si="0"/>
        <v>0</v>
      </c>
      <c r="E243" s="2185">
        <f t="shared" si="0"/>
        <v>4.1912595040764664</v>
      </c>
      <c r="F243" s="2219"/>
      <c r="G243" s="2219"/>
      <c r="H243" s="2219"/>
      <c r="I243" s="2219"/>
      <c r="J243" s="2219"/>
      <c r="K243" s="2219"/>
      <c r="L243" s="2219"/>
    </row>
    <row r="244" spans="1:12">
      <c r="A244" s="2262" t="s">
        <v>71</v>
      </c>
      <c r="B244" s="2151">
        <f t="shared" si="0"/>
        <v>0</v>
      </c>
      <c r="C244" s="2136">
        <f t="shared" si="0"/>
        <v>0</v>
      </c>
      <c r="D244" s="2136">
        <f t="shared" si="0"/>
        <v>0</v>
      </c>
      <c r="E244" s="2185">
        <f t="shared" si="0"/>
        <v>1.403887249956469</v>
      </c>
      <c r="F244" s="2219"/>
      <c r="G244" s="2219"/>
      <c r="H244" s="2219"/>
      <c r="I244" s="2219"/>
      <c r="J244" s="2219"/>
      <c r="K244" s="2219"/>
      <c r="L244" s="2219"/>
    </row>
    <row r="245" spans="1:12">
      <c r="A245" s="2262" t="s">
        <v>73</v>
      </c>
      <c r="B245" s="2151">
        <f t="shared" si="0"/>
        <v>0</v>
      </c>
      <c r="C245" s="2136">
        <f t="shared" si="0"/>
        <v>0</v>
      </c>
      <c r="D245" s="2136">
        <f t="shared" si="0"/>
        <v>0</v>
      </c>
      <c r="E245" s="2185">
        <f t="shared" si="0"/>
        <v>0.71496726608901917</v>
      </c>
      <c r="F245" s="2219"/>
      <c r="G245" s="2219"/>
      <c r="H245" s="2219"/>
      <c r="I245" s="2219"/>
      <c r="J245" s="2219"/>
      <c r="K245" s="2219"/>
      <c r="L245" s="2219"/>
    </row>
    <row r="246" spans="1:12">
      <c r="A246" s="2262" t="s">
        <v>2423</v>
      </c>
      <c r="B246" s="2151">
        <f t="shared" si="0"/>
        <v>0</v>
      </c>
      <c r="C246" s="2136">
        <f t="shared" si="0"/>
        <v>0</v>
      </c>
      <c r="D246" s="2136">
        <f t="shared" si="0"/>
        <v>0</v>
      </c>
      <c r="E246" s="2185">
        <f t="shared" si="0"/>
        <v>0.2674070952298036</v>
      </c>
      <c r="F246" s="2219"/>
      <c r="G246" s="2219"/>
      <c r="H246" s="2219"/>
      <c r="I246" s="2219"/>
      <c r="J246" s="2219"/>
      <c r="K246" s="2219"/>
      <c r="L246" s="2219"/>
    </row>
    <row r="247" spans="1:12">
      <c r="A247" s="2262" t="s">
        <v>69</v>
      </c>
      <c r="B247" s="2151">
        <f t="shared" si="0"/>
        <v>0</v>
      </c>
      <c r="C247" s="2136">
        <f t="shared" si="0"/>
        <v>0</v>
      </c>
      <c r="D247" s="2136">
        <f t="shared" si="0"/>
        <v>0</v>
      </c>
      <c r="E247" s="2185">
        <f t="shared" si="0"/>
        <v>6.6851773807450901E-2</v>
      </c>
      <c r="F247" s="2219"/>
      <c r="G247" s="2219"/>
      <c r="H247" s="2219"/>
      <c r="I247" s="2219"/>
      <c r="J247" s="2219"/>
      <c r="K247" s="2219"/>
      <c r="L247" s="2219"/>
    </row>
    <row r="248" spans="1:12">
      <c r="A248" s="2262" t="s">
        <v>63</v>
      </c>
      <c r="B248" s="2151">
        <f t="shared" si="0"/>
        <v>0.64172146678767272</v>
      </c>
      <c r="C248" s="2136">
        <f t="shared" si="0"/>
        <v>0.64172146678767283</v>
      </c>
      <c r="D248" s="2136">
        <f t="shared" si="0"/>
        <v>0</v>
      </c>
      <c r="E248" s="2185">
        <f t="shared" si="0"/>
        <v>1.1363326204264648</v>
      </c>
      <c r="F248" s="2219"/>
      <c r="G248" s="2219"/>
      <c r="H248" s="2219"/>
      <c r="I248" s="2219"/>
      <c r="J248" s="2219"/>
      <c r="K248" s="2219"/>
      <c r="L248" s="2219"/>
    </row>
    <row r="249" spans="1:12">
      <c r="A249" s="2262" t="s">
        <v>61</v>
      </c>
      <c r="B249" s="2151">
        <f xml:space="preserve"> (B$231*B158)+($C$187*$B$187*B$192*$A$197)+($C$188*$B$188*B$193*$A$197)+(B$201*B$208)+(B$202*B$213)</f>
        <v>4099.6285849167325</v>
      </c>
      <c r="C249" s="2136">
        <f xml:space="preserve"> (C$231*C158)+($C$187*$B$187*C$192*$A$197)+($C$188*$B$188*C$193*$A$197)+(C$201*C$208)+(C$202*C$213)</f>
        <v>4100.083349213719</v>
      </c>
      <c r="D249" s="2136">
        <f xml:space="preserve"> (D$231*D158)+($C$187*$B$187*D$192*$A$197)+($C$188*$B$188*D$193*$A$197)+(D$201*D$208)+(D$202*D$213)</f>
        <v>4071.0328122199044</v>
      </c>
      <c r="E249" s="2185">
        <f xml:space="preserve"> (E$231*E158)+($C$187*$B$187*E$192*$A$197)+($C$188*$B$188*E$193*$A$197)+(E$201*E$208)+(E$202*E$213)</f>
        <v>4085.6158697661203</v>
      </c>
      <c r="F249" s="2219"/>
      <c r="G249" s="2219"/>
      <c r="H249" s="2219"/>
      <c r="I249" s="2219"/>
      <c r="J249" s="2219"/>
      <c r="K249" s="2219"/>
      <c r="L249" s="2219"/>
    </row>
    <row r="250" spans="1:12">
      <c r="A250" s="2262" t="s">
        <v>2431</v>
      </c>
      <c r="B250" s="2151">
        <f xml:space="preserve"> (B$231*B159)+(B$201*B$209)</f>
        <v>813.99730619335639</v>
      </c>
      <c r="C250" s="2136">
        <f xml:space="preserve"> (C$231*C159)+(C$201*C$209)</f>
        <v>817.82166727986487</v>
      </c>
      <c r="D250" s="2136">
        <f xml:space="preserve"> (D$231*D159)+(D$201*D$209)</f>
        <v>651.53417202325102</v>
      </c>
      <c r="E250" s="2185">
        <f xml:space="preserve"> (E$231*E159)+(E$201*E$209)</f>
        <v>683.88351506091078</v>
      </c>
      <c r="F250" s="2219"/>
      <c r="G250" s="2219"/>
      <c r="H250" s="2219"/>
      <c r="I250" s="2219"/>
      <c r="J250" s="2219"/>
      <c r="K250" s="2219"/>
      <c r="L250" s="2219"/>
    </row>
    <row r="251" spans="1:12">
      <c r="A251" s="2262" t="s">
        <v>2418</v>
      </c>
      <c r="B251" s="2151">
        <f t="shared" ref="B251:E266" si="1" xml:space="preserve"> (B$231*B160)</f>
        <v>0</v>
      </c>
      <c r="C251" s="2136">
        <f t="shared" si="1"/>
        <v>0</v>
      </c>
      <c r="D251" s="2136">
        <f t="shared" si="1"/>
        <v>0</v>
      </c>
      <c r="E251" s="2185">
        <f t="shared" si="1"/>
        <v>2.0149449065847271</v>
      </c>
      <c r="F251" s="2219"/>
      <c r="G251" s="2219"/>
      <c r="H251" s="2219"/>
      <c r="I251" s="2219"/>
      <c r="J251" s="2219"/>
      <c r="K251" s="2219"/>
      <c r="L251" s="2219"/>
    </row>
    <row r="252" spans="1:12">
      <c r="A252" s="2262" t="s">
        <v>1391</v>
      </c>
      <c r="B252" s="2151">
        <f t="shared" si="1"/>
        <v>0</v>
      </c>
      <c r="C252" s="2136">
        <f t="shared" si="1"/>
        <v>0</v>
      </c>
      <c r="D252" s="2136">
        <f t="shared" si="1"/>
        <v>0</v>
      </c>
      <c r="E252" s="2185">
        <f t="shared" si="1"/>
        <v>213.0926121359316</v>
      </c>
      <c r="F252" s="2219"/>
      <c r="G252" s="2219"/>
      <c r="H252" s="2219"/>
      <c r="I252" s="2219"/>
      <c r="J252" s="2219"/>
      <c r="K252" s="2219"/>
      <c r="L252" s="2219"/>
    </row>
    <row r="253" spans="1:12">
      <c r="A253" s="2262" t="s">
        <v>375</v>
      </c>
      <c r="B253" s="2151">
        <f t="shared" si="1"/>
        <v>0</v>
      </c>
      <c r="C253" s="2136">
        <f t="shared" si="1"/>
        <v>0</v>
      </c>
      <c r="D253" s="2136">
        <f t="shared" si="1"/>
        <v>0</v>
      </c>
      <c r="E253" s="2185">
        <f t="shared" si="1"/>
        <v>78.705027533999996</v>
      </c>
      <c r="F253" s="2219"/>
      <c r="G253" s="2219"/>
      <c r="H253" s="2219"/>
      <c r="I253" s="2219"/>
      <c r="J253" s="2219"/>
      <c r="K253" s="2219"/>
      <c r="L253" s="2219"/>
    </row>
    <row r="254" spans="1:12">
      <c r="A254" s="2262" t="s">
        <v>381</v>
      </c>
      <c r="B254" s="2151">
        <f t="shared" si="1"/>
        <v>0</v>
      </c>
      <c r="C254" s="2136">
        <f t="shared" si="1"/>
        <v>0</v>
      </c>
      <c r="D254" s="2136">
        <f t="shared" si="1"/>
        <v>0</v>
      </c>
      <c r="E254" s="2185">
        <f t="shared" si="1"/>
        <v>44.397091162036361</v>
      </c>
      <c r="F254" s="2219"/>
      <c r="G254" s="2219"/>
      <c r="H254" s="2219"/>
      <c r="I254" s="2219"/>
      <c r="J254" s="2219"/>
      <c r="K254" s="2219"/>
      <c r="L254" s="2219"/>
    </row>
    <row r="255" spans="1:12">
      <c r="A255" s="2262" t="s">
        <v>291</v>
      </c>
      <c r="B255" s="2151">
        <f t="shared" si="1"/>
        <v>0</v>
      </c>
      <c r="C255" s="2136">
        <f t="shared" si="1"/>
        <v>0</v>
      </c>
      <c r="D255" s="2136">
        <f t="shared" si="1"/>
        <v>0</v>
      </c>
      <c r="E255" s="2185">
        <f t="shared" si="1"/>
        <v>5.5359757518200734</v>
      </c>
      <c r="F255" s="2219"/>
      <c r="G255" s="2219"/>
      <c r="H255" s="2219"/>
      <c r="I255" s="2219"/>
      <c r="J255" s="2219"/>
      <c r="K255" s="2219"/>
      <c r="L255" s="2219"/>
    </row>
    <row r="256" spans="1:12">
      <c r="A256" s="2262" t="s">
        <v>289</v>
      </c>
      <c r="B256" s="2151">
        <f t="shared" si="1"/>
        <v>0</v>
      </c>
      <c r="C256" s="2136">
        <f t="shared" si="1"/>
        <v>0</v>
      </c>
      <c r="D256" s="2136">
        <f t="shared" si="1"/>
        <v>0</v>
      </c>
      <c r="E256" s="2185">
        <f t="shared" si="1"/>
        <v>12.612189050876944</v>
      </c>
      <c r="F256" s="2219"/>
      <c r="G256" s="2219"/>
      <c r="H256" s="2219"/>
      <c r="I256" s="2219"/>
      <c r="J256" s="2219"/>
      <c r="K256" s="2219"/>
      <c r="L256" s="2219"/>
    </row>
    <row r="257" spans="1:12">
      <c r="A257" s="2262" t="s">
        <v>2432</v>
      </c>
      <c r="B257" s="2151">
        <f t="shared" si="1"/>
        <v>0</v>
      </c>
      <c r="C257" s="2136">
        <f t="shared" si="1"/>
        <v>0</v>
      </c>
      <c r="D257" s="2136">
        <f t="shared" si="1"/>
        <v>0</v>
      </c>
      <c r="E257" s="2185">
        <f t="shared" si="1"/>
        <v>33.440100707017301</v>
      </c>
      <c r="F257" s="2219"/>
      <c r="G257" s="2219"/>
      <c r="H257" s="2219"/>
      <c r="I257" s="2219"/>
      <c r="J257" s="2219"/>
      <c r="K257" s="2219"/>
      <c r="L257" s="2219"/>
    </row>
    <row r="258" spans="1:12">
      <c r="A258" s="2262" t="s">
        <v>2422</v>
      </c>
      <c r="B258" s="2151">
        <f t="shared" si="1"/>
        <v>0</v>
      </c>
      <c r="C258" s="2136">
        <f t="shared" si="1"/>
        <v>0</v>
      </c>
      <c r="D258" s="2136">
        <f t="shared" si="1"/>
        <v>0</v>
      </c>
      <c r="E258" s="2185">
        <f t="shared" si="1"/>
        <v>0</v>
      </c>
      <c r="F258" s="2219"/>
      <c r="G258" s="2219"/>
      <c r="H258" s="2219"/>
      <c r="I258" s="2219"/>
      <c r="J258" s="2219"/>
      <c r="K258" s="2219"/>
      <c r="L258" s="2219"/>
    </row>
    <row r="259" spans="1:12">
      <c r="A259" s="2262" t="s">
        <v>2433</v>
      </c>
      <c r="B259" s="2151">
        <f t="shared" si="1"/>
        <v>0</v>
      </c>
      <c r="C259" s="2136">
        <f t="shared" si="1"/>
        <v>0</v>
      </c>
      <c r="D259" s="2136">
        <f t="shared" si="1"/>
        <v>0</v>
      </c>
      <c r="E259" s="2185">
        <f t="shared" si="1"/>
        <v>2512.3879377520007</v>
      </c>
      <c r="F259" s="2219"/>
      <c r="G259" s="2219"/>
      <c r="H259" s="2219"/>
      <c r="I259" s="2219"/>
      <c r="J259" s="2219"/>
      <c r="K259" s="2219"/>
      <c r="L259" s="2219"/>
    </row>
    <row r="260" spans="1:12">
      <c r="A260" s="2262" t="s">
        <v>2407</v>
      </c>
      <c r="B260" s="2151">
        <f t="shared" si="1"/>
        <v>514.06245680991412</v>
      </c>
      <c r="C260" s="2136">
        <f t="shared" si="1"/>
        <v>514.06245680991401</v>
      </c>
      <c r="D260" s="2136">
        <f t="shared" si="1"/>
        <v>514.06245680991401</v>
      </c>
      <c r="E260" s="2185">
        <f t="shared" si="1"/>
        <v>572.06708583669547</v>
      </c>
      <c r="F260" s="2219"/>
      <c r="G260" s="2219"/>
      <c r="H260" s="2219"/>
      <c r="I260" s="2219"/>
      <c r="J260" s="2219"/>
      <c r="K260" s="2219"/>
      <c r="L260" s="2219"/>
    </row>
    <row r="261" spans="1:12">
      <c r="A261" s="2262" t="s">
        <v>2415</v>
      </c>
      <c r="B261" s="2151">
        <f t="shared" si="1"/>
        <v>0</v>
      </c>
      <c r="C261" s="2136">
        <f t="shared" si="1"/>
        <v>0</v>
      </c>
      <c r="D261" s="2136">
        <f t="shared" si="1"/>
        <v>0</v>
      </c>
      <c r="E261" s="2185">
        <f t="shared" si="1"/>
        <v>0</v>
      </c>
      <c r="F261" s="2219"/>
      <c r="G261" s="2219"/>
      <c r="H261" s="2219"/>
      <c r="I261" s="2219"/>
      <c r="J261" s="2219"/>
      <c r="K261" s="2219"/>
      <c r="L261" s="2219"/>
    </row>
    <row r="262" spans="1:12">
      <c r="A262" s="2262" t="s">
        <v>58</v>
      </c>
      <c r="B262" s="2151">
        <f t="shared" si="1"/>
        <v>301.32535420216851</v>
      </c>
      <c r="C262" s="2136">
        <f t="shared" si="1"/>
        <v>301.32535420216846</v>
      </c>
      <c r="D262" s="2136">
        <f t="shared" si="1"/>
        <v>301.32535420216851</v>
      </c>
      <c r="E262" s="2185">
        <f t="shared" si="1"/>
        <v>301.81037117856846</v>
      </c>
      <c r="F262" s="2219"/>
      <c r="G262" s="2219"/>
      <c r="H262" s="2219"/>
      <c r="I262" s="2219"/>
      <c r="J262" s="2219"/>
      <c r="K262" s="2219"/>
      <c r="L262" s="2219"/>
    </row>
    <row r="263" spans="1:12">
      <c r="A263" s="2262" t="s">
        <v>1409</v>
      </c>
      <c r="B263" s="2151">
        <f t="shared" si="1"/>
        <v>3.4385403504563552</v>
      </c>
      <c r="C263" s="2136">
        <f t="shared" si="1"/>
        <v>3.4363490290765828</v>
      </c>
      <c r="D263" s="2136">
        <f t="shared" si="1"/>
        <v>3.2389615417140165</v>
      </c>
      <c r="E263" s="2185">
        <f t="shared" si="1"/>
        <v>3.2389615417140165</v>
      </c>
      <c r="F263" s="2219"/>
      <c r="G263" s="2219"/>
      <c r="H263" s="2219"/>
      <c r="I263" s="2219"/>
      <c r="J263" s="2219"/>
      <c r="K263" s="2219"/>
      <c r="L263" s="2219"/>
    </row>
    <row r="264" spans="1:12">
      <c r="A264" s="2262" t="s">
        <v>2420</v>
      </c>
      <c r="B264" s="2151">
        <f t="shared" si="1"/>
        <v>96.460868902399625</v>
      </c>
      <c r="C264" s="2136">
        <f t="shared" si="1"/>
        <v>96.460868902399639</v>
      </c>
      <c r="D264" s="2136">
        <f t="shared" si="1"/>
        <v>0</v>
      </c>
      <c r="E264" s="2185">
        <f t="shared" si="1"/>
        <v>0.4629707502</v>
      </c>
      <c r="F264" s="2219"/>
      <c r="G264" s="2219"/>
      <c r="H264" s="2219"/>
      <c r="I264" s="2219"/>
      <c r="J264" s="2219"/>
      <c r="K264" s="2219"/>
      <c r="L264" s="2219"/>
    </row>
    <row r="265" spans="1:12">
      <c r="A265" s="2262" t="s">
        <v>293</v>
      </c>
      <c r="B265" s="2151">
        <f t="shared" si="1"/>
        <v>0</v>
      </c>
      <c r="C265" s="2136">
        <f t="shared" si="1"/>
        <v>0</v>
      </c>
      <c r="D265" s="2136">
        <f t="shared" si="1"/>
        <v>0</v>
      </c>
      <c r="E265" s="2185">
        <f t="shared" si="1"/>
        <v>24.667265957275124</v>
      </c>
      <c r="F265" s="2219"/>
      <c r="G265" s="2219"/>
      <c r="H265" s="2219"/>
      <c r="I265" s="2219"/>
      <c r="J265" s="2219"/>
      <c r="K265" s="2219"/>
      <c r="L265" s="2219"/>
    </row>
    <row r="266" spans="1:12">
      <c r="A266" s="2262" t="s">
        <v>2412</v>
      </c>
      <c r="B266" s="2151">
        <f t="shared" si="1"/>
        <v>1.6172500810899879</v>
      </c>
      <c r="C266" s="2136">
        <f t="shared" si="1"/>
        <v>1.6172500810899877</v>
      </c>
      <c r="D266" s="2136">
        <f t="shared" si="1"/>
        <v>1.6172500810899877</v>
      </c>
      <c r="E266" s="2185">
        <f t="shared" si="1"/>
        <v>1.6172500810899877</v>
      </c>
      <c r="F266" s="2219"/>
      <c r="G266" s="2219"/>
      <c r="H266" s="2219"/>
      <c r="I266" s="2219"/>
      <c r="J266" s="2219"/>
      <c r="K266" s="2219"/>
      <c r="L266" s="2219"/>
    </row>
    <row r="267" spans="1:12">
      <c r="A267" s="2262" t="s">
        <v>2426</v>
      </c>
      <c r="B267" s="2151">
        <f t="shared" ref="B267:E271" si="2" xml:space="preserve"> (B$231*B176)</f>
        <v>0.582395357127241</v>
      </c>
      <c r="C267" s="2136">
        <f t="shared" si="2"/>
        <v>0.582395357127241</v>
      </c>
      <c r="D267" s="2136">
        <f t="shared" si="2"/>
        <v>0.58239535712724089</v>
      </c>
      <c r="E267" s="2185">
        <f t="shared" si="2"/>
        <v>0.58239535712724089</v>
      </c>
      <c r="F267" s="2219"/>
      <c r="G267" s="2219"/>
      <c r="H267" s="2219"/>
      <c r="I267" s="2219"/>
      <c r="J267" s="2219"/>
      <c r="K267" s="2219"/>
      <c r="L267" s="2219"/>
    </row>
    <row r="268" spans="1:12">
      <c r="A268" s="2262" t="s">
        <v>2408</v>
      </c>
      <c r="B268" s="2151">
        <f t="shared" si="2"/>
        <v>108.31133403716692</v>
      </c>
      <c r="C268" s="2136">
        <f t="shared" si="2"/>
        <v>108.31133403716692</v>
      </c>
      <c r="D268" s="2136">
        <f t="shared" si="2"/>
        <v>108.31133403716692</v>
      </c>
      <c r="E268" s="2185">
        <f t="shared" si="2"/>
        <v>108.31133403716692</v>
      </c>
      <c r="F268" s="2219"/>
      <c r="G268" s="2219"/>
      <c r="H268" s="2219"/>
      <c r="I268" s="2219"/>
      <c r="J268" s="2219"/>
      <c r="K268" s="2219"/>
      <c r="L268" s="2219"/>
    </row>
    <row r="269" spans="1:12">
      <c r="A269" s="2262" t="s">
        <v>2409</v>
      </c>
      <c r="B269" s="2151">
        <f t="shared" si="2"/>
        <v>83.941283878804356</v>
      </c>
      <c r="C269" s="2136">
        <f t="shared" si="2"/>
        <v>83.941283878804356</v>
      </c>
      <c r="D269" s="2136">
        <f t="shared" si="2"/>
        <v>83.941283878804342</v>
      </c>
      <c r="E269" s="2185">
        <f t="shared" si="2"/>
        <v>83.941283878804356</v>
      </c>
      <c r="F269" s="2219"/>
      <c r="G269" s="2219"/>
      <c r="H269" s="2219"/>
      <c r="I269" s="2219"/>
      <c r="J269" s="2219"/>
      <c r="K269" s="2219"/>
      <c r="L269" s="2219"/>
    </row>
    <row r="270" spans="1:12">
      <c r="A270" s="2262" t="s">
        <v>2410</v>
      </c>
      <c r="B270" s="2151">
        <f t="shared" si="2"/>
        <v>55.767244175516822</v>
      </c>
      <c r="C270" s="2136">
        <f t="shared" si="2"/>
        <v>55.767244175516822</v>
      </c>
      <c r="D270" s="2136">
        <f t="shared" si="2"/>
        <v>55.767244175516822</v>
      </c>
      <c r="E270" s="2185">
        <f t="shared" si="2"/>
        <v>55.767244175516822</v>
      </c>
      <c r="F270" s="2219"/>
      <c r="G270" s="2219"/>
      <c r="H270" s="2219"/>
      <c r="I270" s="2219"/>
      <c r="J270" s="2219"/>
      <c r="K270" s="2219"/>
      <c r="L270" s="2219"/>
    </row>
    <row r="271" spans="1:12">
      <c r="A271" s="2262" t="s">
        <v>2411</v>
      </c>
      <c r="B271" s="2151">
        <f t="shared" si="2"/>
        <v>3.238961541714017</v>
      </c>
      <c r="C271" s="2136">
        <f t="shared" si="2"/>
        <v>3.2389615417140165</v>
      </c>
      <c r="D271" s="2136">
        <f t="shared" si="2"/>
        <v>3.2389615417140165</v>
      </c>
      <c r="E271" s="2185">
        <f t="shared" si="2"/>
        <v>3.2389615417140165</v>
      </c>
      <c r="F271" s="2219"/>
      <c r="G271" s="2219"/>
      <c r="H271" s="2219"/>
      <c r="I271" s="2219"/>
      <c r="J271" s="2219"/>
      <c r="K271" s="2219"/>
      <c r="L271" s="2219"/>
    </row>
    <row r="272" spans="1:12">
      <c r="A272" s="2262" t="s">
        <v>2421</v>
      </c>
      <c r="B272" s="2151">
        <f xml:space="preserve"> (B$231*B181)+(B$202*B$212)</f>
        <v>3.4354328075033016</v>
      </c>
      <c r="C272" s="2136">
        <f xml:space="preserve"> (C$231*C181)+(C$202*C$212)</f>
        <v>3.4354328075033016</v>
      </c>
      <c r="D272" s="2136">
        <f xml:space="preserve"> (D$231*D181)+(D$202*D$212)</f>
        <v>0</v>
      </c>
      <c r="E272" s="2185">
        <f xml:space="preserve"> (E$231*E181)+(E$202*E$212)</f>
        <v>16.167371504698469</v>
      </c>
      <c r="F272" s="2219"/>
      <c r="G272" s="2219"/>
      <c r="H272" s="2219"/>
      <c r="I272" s="2219"/>
      <c r="J272" s="2219"/>
      <c r="K272" s="2219"/>
      <c r="L272" s="2219"/>
    </row>
    <row r="273" spans="1:12">
      <c r="A273" s="2340" t="s">
        <v>2428</v>
      </c>
      <c r="B273" s="2151">
        <f t="shared" ref="B273:E274" si="3" xml:space="preserve"> (B$231*B182)</f>
        <v>0</v>
      </c>
      <c r="C273" s="2136">
        <f t="shared" si="3"/>
        <v>0</v>
      </c>
      <c r="D273" s="2136">
        <f t="shared" si="3"/>
        <v>0</v>
      </c>
      <c r="E273" s="2185">
        <f t="shared" si="3"/>
        <v>0</v>
      </c>
      <c r="F273" s="2219"/>
      <c r="G273" s="2219"/>
      <c r="H273" s="2219"/>
      <c r="I273" s="2219"/>
      <c r="J273" s="2219"/>
      <c r="K273" s="2219"/>
      <c r="L273" s="2219"/>
    </row>
    <row r="274" spans="1:12">
      <c r="A274" s="2265" t="s">
        <v>294</v>
      </c>
      <c r="B274" s="2159">
        <f t="shared" si="3"/>
        <v>0</v>
      </c>
      <c r="C274" s="2242">
        <f t="shared" si="3"/>
        <v>2.4080107834110636</v>
      </c>
      <c r="D274" s="2242">
        <f t="shared" si="3"/>
        <v>8.1924714696485097</v>
      </c>
      <c r="E274" s="2227">
        <f t="shared" si="3"/>
        <v>10.885094921957812</v>
      </c>
      <c r="F274" s="2219"/>
      <c r="G274" s="2219"/>
      <c r="H274" s="2219"/>
      <c r="I274" s="2219"/>
      <c r="J274" s="2219"/>
      <c r="K274" s="2219"/>
      <c r="L274" s="2219"/>
    </row>
    <row r="275" spans="1:12">
      <c r="A275" s="2176" t="s">
        <v>1501</v>
      </c>
      <c r="B275" s="2398"/>
      <c r="C275" s="2302"/>
      <c r="D275" s="2302"/>
      <c r="E275" s="2303"/>
      <c r="F275" s="2299"/>
      <c r="G275" s="2299"/>
      <c r="H275" s="2299"/>
      <c r="I275" s="2299"/>
      <c r="J275" s="2299"/>
    </row>
    <row r="276" spans="1:12">
      <c r="A276" s="2096" t="s">
        <v>816</v>
      </c>
      <c r="B276" s="2151">
        <f ca="1">(B$233*Mat_Sum!$D15)+(B$234*Mat_Sum!$E15)+(B$235*Mat_Sum!$F15)+(B$236*Mat_Sum!$L15)+(B$237*Mat_Sum!$I15)+(B$238*Mat_Sum!$AG15)+(B$239*Mat_Sum!$F15)+(B$240*((88%*Mat_Sum!$AG15)+(12%*0)))+(B$241*'C.Iron'!$I62)+(B$242*((80%*Mat_Sum!$U15)+(20%*Mat_Sum!$BA15)))+(B$243*Mat_Sum!$U15)+(B$244*Mat_Sum!$BA15)+(B$245*Mat_Sum!$CP15)+(B$246*0)+(B$247*Mat_Sum!$AZ15)+(B$248*Mat_Sum!$AW15)+(B$249*Mat_Sum!$AV15)+(B$250*Mat_Sum!$AR15)+(B$251*Mat_Sum!$CQ15)+(B$252*Mat_Sum!$AQ15)+(B$253*Mat_Sum!$AO15)+(B$254*Mat_Sum!$AP15)+(B$255*Mat_Sum!$BJ15)+(B$256*Mat_Sum!$BI15)+(B$257*Mat_Sum!$AR15)+(B$258*Mat_Sum!$BH15)+(B$259*Mat_Sum!$AU15)+(B$260*Mat_Sum!$AS15)+(B$261*Mat_Sum!$AN15)+(B$262*Mat_Sum!$AM15)+(B$263*Mat_Sum!$CF15)+(B$264*0)+(B$265*Mat_Sum!$CF15)+(B$266*0)+(B$267*0)+(B$268*0)+(B$269*0)+(B$270*0)+(B$271*Silicon!$K72)+(B$272*Mat_Sum!$BG15)+(B$273*0)+(B$274*0)</f>
        <v>378.73890884924936</v>
      </c>
      <c r="C276" s="2136">
        <f ca="1">(C$233*Mat_Sum!$D15)+(C$234*Mat_Sum!$E15)+(C$235*Mat_Sum!$F15)+(C$236*Mat_Sum!$L15)+(C$237*Mat_Sum!$I15)+(C$238*Mat_Sum!$AG15)+(C$239*Mat_Sum!$F15)+(C$240*((88%*Mat_Sum!$AG15)+(12%*0)))+(C$241*'C.Iron'!$I62)+(C$242*((80%*Mat_Sum!$U15)+(20%*Mat_Sum!$BA15)))+(C$243*Mat_Sum!$U15)+(C$244*Mat_Sum!$BA15)+(C$245*Mat_Sum!$CP15)+(C$246*0)+(C$247*Mat_Sum!$AZ15)+(C$248*Mat_Sum!$AW15)+(C$249*Mat_Sum!$AV15)+(C$250*Mat_Sum!$AR15)+(C$251*Mat_Sum!$CQ15)+(C$252*Mat_Sum!$AQ15)+(C$253*Mat_Sum!$AO15)+(C$254*Mat_Sum!$AP15)+(C$255*Mat_Sum!$BJ15)+(C$256*Mat_Sum!$BI15)+(C$257*Mat_Sum!$AR15)+(C$258*Mat_Sum!$BH15)+(C$259*Mat_Sum!$AU15)+(C$260*Mat_Sum!$AS15)+(C$261*Mat_Sum!$AN15)+(C$262*Mat_Sum!$AM15)+(C$263*Mat_Sum!$CF15)+(C$264*0)+(C$265*Mat_Sum!$CF15)+(C$266*0)+(C$267*0)+(C$268*0)+(C$269*0)+(C$270*0)+(C$271*Silicon!$K72)+(C$272*Mat_Sum!$BG15)+(C$273*0)+(C$274*0)</f>
        <v>381.84908641601555</v>
      </c>
      <c r="D276" s="2136">
        <f ca="1">(D$233*Mat_Sum!$D15)+(D$234*Mat_Sum!$E15)+(D$235*Mat_Sum!$F15)+(D$236*Mat_Sum!$L15)+(D$237*Mat_Sum!$I15)+(D$238*Mat_Sum!$AG15)+(D$239*Mat_Sum!$F15)+(D$240*((88%*Mat_Sum!$AG15)+(12%*0)))+(D$241*'C.Iron'!$I62)+(D$242*((80%*Mat_Sum!$U15)+(20%*Mat_Sum!$BA15)))+(D$243*Mat_Sum!$U15)+(D$244*Mat_Sum!$BA15)+(D$245*Mat_Sum!$CP15)+(D$246*0)+(D$247*Mat_Sum!$AZ15)+(D$248*Mat_Sum!$AW15)+(D$249*Mat_Sum!$AV15)+(D$250*Mat_Sum!$AR15)+(D$251*Mat_Sum!$CQ15)+(D$252*Mat_Sum!$AQ15)+(D$253*Mat_Sum!$AO15)+(D$254*Mat_Sum!$AP15)+(D$255*Mat_Sum!$BJ15)+(D$256*Mat_Sum!$BI15)+(D$257*Mat_Sum!$AR15)+(D$258*Mat_Sum!$BH15)+(D$259*Mat_Sum!$AU15)+(D$260*Mat_Sum!$AS15)+(D$261*Mat_Sum!$AN15)+(D$262*Mat_Sum!$AM15)+(D$263*Mat_Sum!$CF15)+(D$264*0)+(D$265*Mat_Sum!$CF15)+(D$266*0)+(D$267*0)+(D$268*0)+(D$269*0)+(D$270*0)+(D$271*Silicon!$K72)+(D$272*Mat_Sum!$BG15)+(D$273*0)+(D$274*0)</f>
        <v>328.04380284583215</v>
      </c>
      <c r="E276" s="2185">
        <f ca="1">(E$233*Mat_Sum!$D15)+(E$234*Mat_Sum!$E15)+(E$235*Mat_Sum!$F15)+(E$236*Mat_Sum!$L15)+(E$237*Mat_Sum!$I15)+(E$238*Mat_Sum!$AG15)+(E$239*Mat_Sum!$F15)+(E$240*((88%*Mat_Sum!$AG15)+(12%*0)))+(E$241*'C.Iron'!$I62)+(E$242*((80%*Mat_Sum!$U15)+(20%*Mat_Sum!$BA15)))+(E$243*Mat_Sum!$U15)+(E$244*Mat_Sum!$BA15)+(E$245*Mat_Sum!$CP15)+(E$246*0)+(E$247*Mat_Sum!$AZ15)+(E$248*Mat_Sum!$AW15)+(E$249*Mat_Sum!$AV15)+(E$250*Mat_Sum!$AR15)+(E$251*Mat_Sum!$CQ15)+(E$252*Mat_Sum!$AQ15)+(E$253*Mat_Sum!$AO15)+(E$254*Mat_Sum!$AP15)+(E$255*Mat_Sum!$BJ15)+(E$256*Mat_Sum!$BI15)+(E$257*Mat_Sum!$AR15)+(E$258*Mat_Sum!$BH15)+(E$259*Mat_Sum!$AU15)+(E$260*Mat_Sum!$AS15)+(E$261*Mat_Sum!$AN15)+(E$262*Mat_Sum!$AM15)+(E$263*Mat_Sum!$CF15)+(E$264*0)+(E$265*Mat_Sum!$CF15)+(E$266*0)+(E$267*0)+(E$268*0)+(E$269*0)+(E$270*0)+(E$271*Silicon!$K72)+(E$272*Mat_Sum!$BG15)+(E$273*0)+(E$274*0)</f>
        <v>791.42249448667496</v>
      </c>
      <c r="F276" s="2219"/>
      <c r="G276" s="2219"/>
      <c r="H276" s="2219"/>
      <c r="I276" s="2219"/>
      <c r="J276" s="2219"/>
      <c r="K276" s="2219"/>
      <c r="L276" s="2219"/>
    </row>
    <row r="277" spans="1:12">
      <c r="A277" s="2096" t="s">
        <v>817</v>
      </c>
      <c r="B277" s="2151">
        <f ca="1">(B$233*Mat_Sum!$D16)+(B$234*Mat_Sum!$E16)+(B$235*Mat_Sum!$F16)+(B$236*Mat_Sum!$L16)+(B$237*Mat_Sum!$I16)+(B$238*Mat_Sum!$AG16)+(B$239*Mat_Sum!$F16)+(B$240*((88%*Mat_Sum!$AG16)+(12%*0)))+(B$241*'C.Iron'!$I63)+(B$242*((80%*Mat_Sum!$U16)+(20%*Mat_Sum!$BA16)))+(B$243*Mat_Sum!$U16)+(B$244*Mat_Sum!$BA16)+(B$245*Mat_Sum!$CP16)+(B$246*0)+(B$247*Mat_Sum!$AZ16)+(B$248*Mat_Sum!$AW16)+(B$249*Mat_Sum!$AV16)+(B$250*Mat_Sum!$AR16)+(B$251*Mat_Sum!$CQ16)+(B$252*Mat_Sum!$AQ16)+(B$253*Mat_Sum!$AO16)+(B$254*Mat_Sum!$AP16)+(B$255*Mat_Sum!$BJ16)+(B$256*Mat_Sum!$BI16)+(B$257*Mat_Sum!$AR16)+(B$258*Mat_Sum!$BH16)+(B$259*Mat_Sum!$AU16)+(B$260*Mat_Sum!$AS16)+(B$261*Mat_Sum!$AN16)+(B$262*Mat_Sum!$AM16)+(B$263*Mat_Sum!$CF16)+(B$264*0)+(B$265*Mat_Sum!$CF16)+(B$266*0)+(B$267*0)+(B$268*0)+(B$269*0)+(B$270*0)+(B$271*Silicon!$K73)+(B$272*Mat_Sum!$BG16)+(B$273*0)+(B$274*0)</f>
        <v>347.56824532852846</v>
      </c>
      <c r="C277" s="2136">
        <f ca="1">(C$233*Mat_Sum!$D16)+(C$234*Mat_Sum!$E16)+(C$235*Mat_Sum!$F16)+(C$236*Mat_Sum!$L16)+(C$237*Mat_Sum!$I16)+(C$238*Mat_Sum!$AG16)+(C$239*Mat_Sum!$F16)+(C$240*((88%*Mat_Sum!$AG16)+(12%*0)))+(C$241*'C.Iron'!$I63)+(C$242*((80%*Mat_Sum!$U16)+(20%*Mat_Sum!$BA16)))+(C$243*Mat_Sum!$U16)+(C$244*Mat_Sum!$BA16)+(C$245*Mat_Sum!$CP16)+(C$246*0)+(C$247*Mat_Sum!$AZ16)+(C$248*Mat_Sum!$AW16)+(C$249*Mat_Sum!$AV16)+(C$250*Mat_Sum!$AR16)+(C$251*Mat_Sum!$CQ16)+(C$252*Mat_Sum!$AQ16)+(C$253*Mat_Sum!$AO16)+(C$254*Mat_Sum!$AP16)+(C$255*Mat_Sum!$BJ16)+(C$256*Mat_Sum!$BI16)+(C$257*Mat_Sum!$AR16)+(C$258*Mat_Sum!$BH16)+(C$259*Mat_Sum!$AU16)+(C$260*Mat_Sum!$AS16)+(C$261*Mat_Sum!$AN16)+(C$262*Mat_Sum!$AM16)+(C$263*Mat_Sum!$CF16)+(C$264*0)+(C$265*Mat_Sum!$CF16)+(C$266*0)+(C$267*0)+(C$268*0)+(C$269*0)+(C$270*0)+(C$271*Silicon!$K73)+(C$272*Mat_Sum!$BG16)+(C$273*0)+(C$274*0)</f>
        <v>350.12942095041149</v>
      </c>
      <c r="D277" s="2136">
        <f ca="1">(D$233*Mat_Sum!$D16)+(D$234*Mat_Sum!$E16)+(D$235*Mat_Sum!$F16)+(D$236*Mat_Sum!$L16)+(D$237*Mat_Sum!$I16)+(D$238*Mat_Sum!$AG16)+(D$239*Mat_Sum!$F16)+(D$240*((88%*Mat_Sum!$AG16)+(12%*0)))+(D$241*'C.Iron'!$I63)+(D$242*((80%*Mat_Sum!$U16)+(20%*Mat_Sum!$BA16)))+(D$243*Mat_Sum!$U16)+(D$244*Mat_Sum!$BA16)+(D$245*Mat_Sum!$CP16)+(D$246*0)+(D$247*Mat_Sum!$AZ16)+(D$248*Mat_Sum!$AW16)+(D$249*Mat_Sum!$AV16)+(D$250*Mat_Sum!$AR16)+(D$251*Mat_Sum!$CQ16)+(D$252*Mat_Sum!$AQ16)+(D$253*Mat_Sum!$AO16)+(D$254*Mat_Sum!$AP16)+(D$255*Mat_Sum!$BJ16)+(D$256*Mat_Sum!$BI16)+(D$257*Mat_Sum!$AR16)+(D$258*Mat_Sum!$BH16)+(D$259*Mat_Sum!$AU16)+(D$260*Mat_Sum!$AS16)+(D$261*Mat_Sum!$AN16)+(D$262*Mat_Sum!$AM16)+(D$263*Mat_Sum!$CF16)+(D$264*0)+(D$265*Mat_Sum!$CF16)+(D$266*0)+(D$267*0)+(D$268*0)+(D$269*0)+(D$270*0)+(D$271*Silicon!$K73)+(D$272*Mat_Sum!$BG16)+(D$273*0)+(D$274*0)</f>
        <v>302.57410349787949</v>
      </c>
      <c r="E277" s="2185">
        <f ca="1">(E$233*Mat_Sum!$D16)+(E$234*Mat_Sum!$E16)+(E$235*Mat_Sum!$F16)+(E$236*Mat_Sum!$L16)+(E$237*Mat_Sum!$I16)+(E$238*Mat_Sum!$AG16)+(E$239*Mat_Sum!$F16)+(E$240*((88%*Mat_Sum!$AG16)+(12%*0)))+(E$241*'C.Iron'!$I63)+(E$242*((80%*Mat_Sum!$U16)+(20%*Mat_Sum!$BA16)))+(E$243*Mat_Sum!$U16)+(E$244*Mat_Sum!$BA16)+(E$245*Mat_Sum!$CP16)+(E$246*0)+(E$247*Mat_Sum!$AZ16)+(E$248*Mat_Sum!$AW16)+(E$249*Mat_Sum!$AV16)+(E$250*Mat_Sum!$AR16)+(E$251*Mat_Sum!$CQ16)+(E$252*Mat_Sum!$AQ16)+(E$253*Mat_Sum!$AO16)+(E$254*Mat_Sum!$AP16)+(E$255*Mat_Sum!$BJ16)+(E$256*Mat_Sum!$BI16)+(E$257*Mat_Sum!$AR16)+(E$258*Mat_Sum!$BH16)+(E$259*Mat_Sum!$AU16)+(E$260*Mat_Sum!$AS16)+(E$261*Mat_Sum!$AN16)+(E$262*Mat_Sum!$AM16)+(E$263*Mat_Sum!$CF16)+(E$264*0)+(E$265*Mat_Sum!$CF16)+(E$266*0)+(E$267*0)+(E$268*0)+(E$269*0)+(E$270*0)+(E$271*Silicon!$K73)+(E$272*Mat_Sum!$BG16)+(E$273*0)+(E$274*0)</f>
        <v>717.36344668910681</v>
      </c>
      <c r="F277" s="2219"/>
      <c r="G277" s="2219"/>
      <c r="H277" s="2219"/>
      <c r="I277" s="2219"/>
      <c r="J277" s="2219"/>
      <c r="K277" s="2219"/>
      <c r="L277" s="2219"/>
    </row>
    <row r="278" spans="1:12">
      <c r="A278" s="2096" t="s">
        <v>805</v>
      </c>
      <c r="B278" s="2151">
        <f ca="1">(B$233*Mat_Sum!$D17)+(B$234*Mat_Sum!$E17)+(B$235*Mat_Sum!$F17)+(B$236*Mat_Sum!$L17)+(B$237*Mat_Sum!$I17)+(B$238*Mat_Sum!$AG17)+(B$239*Mat_Sum!$F17)+(B$240*((88%*Mat_Sum!$AG17)+(12%*0)))+(B$241*'C.Iron'!$I64)+(B$242*((80%*Mat_Sum!$U17)+(20%*Mat_Sum!$BA17)))+(B$243*Mat_Sum!$U17)+(B$244*Mat_Sum!$BA17)+(B$245*Mat_Sum!$CP17)+(B$246*0)+(B$247*Mat_Sum!$AZ17)+(B$248*Mat_Sum!$AW17)+(B$249*Mat_Sum!$AV17)+(B$250*Mat_Sum!$AR17)+(B$251*Mat_Sum!$CQ17)+(B$252*Mat_Sum!$AQ17)+(B$253*Mat_Sum!$AO17)+(B$254*Mat_Sum!$AP17)+(B$255*Mat_Sum!$BJ17)+(B$256*Mat_Sum!$BI17)+(B$257*Mat_Sum!$AR17)+(B$258*Mat_Sum!$BH17)+(B$259*Mat_Sum!$AU17)+(B$260*Mat_Sum!$AS17)+(B$261*Mat_Sum!$AN17)+(B$262*Mat_Sum!$AM17)+(B$263*Mat_Sum!$CF17)+(B$264*0)+(B$265*Mat_Sum!$CF17)+(B$266*0)+(B$267*0)+(B$268*0)+(B$269*0)+(B$270*0)+(B$271*Silicon!$K74)+(B$272*Mat_Sum!$BG17)+(B$273*0)+(B$274*0)</f>
        <v>133.59227349901369</v>
      </c>
      <c r="C278" s="2136">
        <f ca="1">(C$233*Mat_Sum!$D17)+(C$234*Mat_Sum!$E17)+(C$235*Mat_Sum!$F17)+(C$236*Mat_Sum!$L17)+(C$237*Mat_Sum!$I17)+(C$238*Mat_Sum!$AG17)+(C$239*Mat_Sum!$F17)+(C$240*((88%*Mat_Sum!$AG17)+(12%*0)))+(C$241*'C.Iron'!$I64)+(C$242*((80%*Mat_Sum!$U17)+(20%*Mat_Sum!$BA17)))+(C$243*Mat_Sum!$U17)+(C$244*Mat_Sum!$BA17)+(C$245*Mat_Sum!$CP17)+(C$246*0)+(C$247*Mat_Sum!$AZ17)+(C$248*Mat_Sum!$AW17)+(C$249*Mat_Sum!$AV17)+(C$250*Mat_Sum!$AR17)+(C$251*Mat_Sum!$CQ17)+(C$252*Mat_Sum!$AQ17)+(C$253*Mat_Sum!$AO17)+(C$254*Mat_Sum!$AP17)+(C$255*Mat_Sum!$BJ17)+(C$256*Mat_Sum!$BI17)+(C$257*Mat_Sum!$AR17)+(C$258*Mat_Sum!$BH17)+(C$259*Mat_Sum!$AU17)+(C$260*Mat_Sum!$AS17)+(C$261*Mat_Sum!$AN17)+(C$262*Mat_Sum!$AM17)+(C$263*Mat_Sum!$CF17)+(C$264*0)+(C$265*Mat_Sum!$CF17)+(C$266*0)+(C$267*0)+(C$268*0)+(C$269*0)+(C$270*0)+(C$271*Silicon!$K74)+(C$272*Mat_Sum!$BG17)+(C$273*0)+(C$274*0)</f>
        <v>134.41646825496471</v>
      </c>
      <c r="D278" s="2136">
        <f ca="1">(D$233*Mat_Sum!$D17)+(D$234*Mat_Sum!$E17)+(D$235*Mat_Sum!$F17)+(D$236*Mat_Sum!$L17)+(D$237*Mat_Sum!$I17)+(D$238*Mat_Sum!$AG17)+(D$239*Mat_Sum!$F17)+(D$240*((88%*Mat_Sum!$AG17)+(12%*0)))+(D$241*'C.Iron'!$I64)+(D$242*((80%*Mat_Sum!$U17)+(20%*Mat_Sum!$BA17)))+(D$243*Mat_Sum!$U17)+(D$244*Mat_Sum!$BA17)+(D$245*Mat_Sum!$CP17)+(D$246*0)+(D$247*Mat_Sum!$AZ17)+(D$248*Mat_Sum!$AW17)+(D$249*Mat_Sum!$AV17)+(D$250*Mat_Sum!$AR17)+(D$251*Mat_Sum!$CQ17)+(D$252*Mat_Sum!$AQ17)+(D$253*Mat_Sum!$AO17)+(D$254*Mat_Sum!$AP17)+(D$255*Mat_Sum!$BJ17)+(D$256*Mat_Sum!$BI17)+(D$257*Mat_Sum!$AR17)+(D$258*Mat_Sum!$BH17)+(D$259*Mat_Sum!$AU17)+(D$260*Mat_Sum!$AS17)+(D$261*Mat_Sum!$AN17)+(D$262*Mat_Sum!$AM17)+(D$263*Mat_Sum!$CF17)+(D$264*0)+(D$265*Mat_Sum!$CF17)+(D$266*0)+(D$267*0)+(D$268*0)+(D$269*0)+(D$270*0)+(D$271*Silicon!$K74)+(D$272*Mat_Sum!$BG17)+(D$273*0)+(D$274*0)</f>
        <v>109.13768207419288</v>
      </c>
      <c r="E278" s="2185">
        <f ca="1">(E$233*Mat_Sum!$D17)+(E$234*Mat_Sum!$E17)+(E$235*Mat_Sum!$F17)+(E$236*Mat_Sum!$L17)+(E$237*Mat_Sum!$I17)+(E$238*Mat_Sum!$AG17)+(E$239*Mat_Sum!$F17)+(E$240*((88%*Mat_Sum!$AG17)+(12%*0)))+(E$241*'C.Iron'!$I64)+(E$242*((80%*Mat_Sum!$U17)+(20%*Mat_Sum!$BA17)))+(E$243*Mat_Sum!$U17)+(E$244*Mat_Sum!$BA17)+(E$245*Mat_Sum!$CP17)+(E$246*0)+(E$247*Mat_Sum!$AZ17)+(E$248*Mat_Sum!$AW17)+(E$249*Mat_Sum!$AV17)+(E$250*Mat_Sum!$AR17)+(E$251*Mat_Sum!$CQ17)+(E$252*Mat_Sum!$AQ17)+(E$253*Mat_Sum!$AO17)+(E$254*Mat_Sum!$AP17)+(E$255*Mat_Sum!$BJ17)+(E$256*Mat_Sum!$BI17)+(E$257*Mat_Sum!$AR17)+(E$258*Mat_Sum!$BH17)+(E$259*Mat_Sum!$AU17)+(E$260*Mat_Sum!$AS17)+(E$261*Mat_Sum!$AN17)+(E$262*Mat_Sum!$AM17)+(E$263*Mat_Sum!$CF17)+(E$264*0)+(E$265*Mat_Sum!$CF17)+(E$266*0)+(E$267*0)+(E$268*0)+(E$269*0)+(E$270*0)+(E$271*Silicon!$K74)+(E$272*Mat_Sum!$BG17)+(E$273*0)+(E$274*0)</f>
        <v>173.7720767215221</v>
      </c>
      <c r="F278" s="2219"/>
      <c r="G278" s="2219"/>
      <c r="H278" s="2219"/>
      <c r="I278" s="2219"/>
      <c r="J278" s="2219"/>
      <c r="K278" s="2219"/>
      <c r="L278" s="2219"/>
    </row>
    <row r="279" spans="1:12">
      <c r="A279" s="2096" t="s">
        <v>804</v>
      </c>
      <c r="B279" s="2151">
        <f ca="1">(B$233*Mat_Sum!$D18)+(B$234*Mat_Sum!$E18)+(B$235*Mat_Sum!$F18)+(B$236*Mat_Sum!$L18)+(B$237*Mat_Sum!$I18)+(B$238*Mat_Sum!$AG18)+(B$239*Mat_Sum!$F18)+(B$240*((88%*Mat_Sum!$AG18)+(12%*0)))+(B$241*'C.Iron'!$I65)+(B$242*((80%*Mat_Sum!$U18)+(20%*Mat_Sum!$BA18)))+(B$243*Mat_Sum!$U18)+(B$244*Mat_Sum!$BA18)+(B$245*Mat_Sum!$CP18)+(B$246*0)+(B$247*Mat_Sum!$AZ18)+(B$248*Mat_Sum!$AW18)+(B$249*Mat_Sum!$AV18)+(B$250*Mat_Sum!$AR18)+(B$251*Mat_Sum!$CQ18)+(B$252*Mat_Sum!$AQ18)+(B$253*Mat_Sum!$AO18)+(B$254*Mat_Sum!$AP18)+(B$255*Mat_Sum!$BJ18)+(B$256*Mat_Sum!$BI18)+(B$257*Mat_Sum!$AR18)+(B$258*Mat_Sum!$BH18)+(B$259*Mat_Sum!$AU18)+(B$260*Mat_Sum!$AS18)+(B$261*Mat_Sum!$AN18)+(B$262*Mat_Sum!$AM18)+(B$263*Mat_Sum!$CF18)+(B$264*0)+(B$265*Mat_Sum!$CF18)+(B$266*0)+(B$267*0)+(B$268*0)+(B$269*0)+(B$270*0)+(B$271*Silicon!$K75)+(B$272*Mat_Sum!$BG18)+(B$273*0)+(B$274*0)</f>
        <v>159.4897559326109</v>
      </c>
      <c r="C279" s="2136">
        <f ca="1">(C$233*Mat_Sum!$D18)+(C$234*Mat_Sum!$E18)+(C$235*Mat_Sum!$F18)+(C$236*Mat_Sum!$L18)+(C$237*Mat_Sum!$I18)+(C$238*Mat_Sum!$AG18)+(C$239*Mat_Sum!$F18)+(C$240*((88%*Mat_Sum!$AG18)+(12%*0)))+(C$241*'C.Iron'!$I65)+(C$242*((80%*Mat_Sum!$U18)+(20%*Mat_Sum!$BA18)))+(C$243*Mat_Sum!$U18)+(C$244*Mat_Sum!$BA18)+(C$245*Mat_Sum!$CP18)+(C$246*0)+(C$247*Mat_Sum!$AZ18)+(C$248*Mat_Sum!$AW18)+(C$249*Mat_Sum!$AV18)+(C$250*Mat_Sum!$AR18)+(C$251*Mat_Sum!$CQ18)+(C$252*Mat_Sum!$AQ18)+(C$253*Mat_Sum!$AO18)+(C$254*Mat_Sum!$AP18)+(C$255*Mat_Sum!$BJ18)+(C$256*Mat_Sum!$BI18)+(C$257*Mat_Sum!$AR18)+(C$258*Mat_Sum!$BH18)+(C$259*Mat_Sum!$AU18)+(C$260*Mat_Sum!$AS18)+(C$261*Mat_Sum!$AN18)+(C$262*Mat_Sum!$AM18)+(C$263*Mat_Sum!$CF18)+(C$264*0)+(C$265*Mat_Sum!$CF18)+(C$266*0)+(C$267*0)+(C$268*0)+(C$269*0)+(C$270*0)+(C$271*Silicon!$K75)+(C$272*Mat_Sum!$BG18)+(C$273*0)+(C$274*0)</f>
        <v>160.9415206208663</v>
      </c>
      <c r="D279" s="2136">
        <f ca="1">(D$233*Mat_Sum!$D18)+(D$234*Mat_Sum!$E18)+(D$235*Mat_Sum!$F18)+(D$236*Mat_Sum!$L18)+(D$237*Mat_Sum!$I18)+(D$238*Mat_Sum!$AG18)+(D$239*Mat_Sum!$F18)+(D$240*((88%*Mat_Sum!$AG18)+(12%*0)))+(D$241*'C.Iron'!$I65)+(D$242*((80%*Mat_Sum!$U18)+(20%*Mat_Sum!$BA18)))+(D$243*Mat_Sum!$U18)+(D$244*Mat_Sum!$BA18)+(D$245*Mat_Sum!$CP18)+(D$246*0)+(D$247*Mat_Sum!$AZ18)+(D$248*Mat_Sum!$AW18)+(D$249*Mat_Sum!$AV18)+(D$250*Mat_Sum!$AR18)+(D$251*Mat_Sum!$CQ18)+(D$252*Mat_Sum!$AQ18)+(D$253*Mat_Sum!$AO18)+(D$254*Mat_Sum!$AP18)+(D$255*Mat_Sum!$BJ18)+(D$256*Mat_Sum!$BI18)+(D$257*Mat_Sum!$AR18)+(D$258*Mat_Sum!$BH18)+(D$259*Mat_Sum!$AU18)+(D$260*Mat_Sum!$AS18)+(D$261*Mat_Sum!$AN18)+(D$262*Mat_Sum!$AM18)+(D$263*Mat_Sum!$CF18)+(D$264*0)+(D$265*Mat_Sum!$CF18)+(D$266*0)+(D$267*0)+(D$268*0)+(D$269*0)+(D$270*0)+(D$271*Silicon!$K75)+(D$272*Mat_Sum!$BG18)+(D$273*0)+(D$274*0)</f>
        <v>143.25671232079557</v>
      </c>
      <c r="E279" s="2185">
        <f ca="1">(E$233*Mat_Sum!$D18)+(E$234*Mat_Sum!$E18)+(E$235*Mat_Sum!$F18)+(E$236*Mat_Sum!$L18)+(E$237*Mat_Sum!$I18)+(E$238*Mat_Sum!$AG18)+(E$239*Mat_Sum!$F18)+(E$240*((88%*Mat_Sum!$AG18)+(12%*0)))+(E$241*'C.Iron'!$I65)+(E$242*((80%*Mat_Sum!$U18)+(20%*Mat_Sum!$BA18)))+(E$243*Mat_Sum!$U18)+(E$244*Mat_Sum!$BA18)+(E$245*Mat_Sum!$CP18)+(E$246*0)+(E$247*Mat_Sum!$AZ18)+(E$248*Mat_Sum!$AW18)+(E$249*Mat_Sum!$AV18)+(E$250*Mat_Sum!$AR18)+(E$251*Mat_Sum!$CQ18)+(E$252*Mat_Sum!$AQ18)+(E$253*Mat_Sum!$AO18)+(E$254*Mat_Sum!$AP18)+(E$255*Mat_Sum!$BJ18)+(E$256*Mat_Sum!$BI18)+(E$257*Mat_Sum!$AR18)+(E$258*Mat_Sum!$BH18)+(E$259*Mat_Sum!$AU18)+(E$260*Mat_Sum!$AS18)+(E$261*Mat_Sum!$AN18)+(E$262*Mat_Sum!$AM18)+(E$263*Mat_Sum!$CF18)+(E$264*0)+(E$265*Mat_Sum!$CF18)+(E$266*0)+(E$267*0)+(E$268*0)+(E$269*0)+(E$270*0)+(E$271*Silicon!$K75)+(E$272*Mat_Sum!$BG18)+(E$273*0)+(E$274*0)</f>
        <v>376.96910276359199</v>
      </c>
      <c r="F279" s="2219"/>
      <c r="G279" s="2219"/>
      <c r="H279" s="2219"/>
      <c r="I279" s="2219"/>
      <c r="J279" s="2219"/>
      <c r="K279" s="2219"/>
      <c r="L279" s="2219"/>
    </row>
    <row r="280" spans="1:12">
      <c r="A280" s="2096" t="s">
        <v>818</v>
      </c>
      <c r="B280" s="2151">
        <f ca="1">(B$233*Mat_Sum!$D19)+(B$234*Mat_Sum!$E19)+(B$235*Mat_Sum!$F19)+(B$236*Mat_Sum!$L19)+(B$237*Mat_Sum!$I19)+(B$238*Mat_Sum!$AG19)+(B$239*Mat_Sum!$F19)+(B$240*((88%*Mat_Sum!$AG19)+(12%*0)))+(B$241*'C.Iron'!$I66)+(B$242*((80%*Mat_Sum!$U19)+(20%*Mat_Sum!$BA19)))+(B$243*Mat_Sum!$U19)+(B$244*Mat_Sum!$BA19)+(B$245*Mat_Sum!$CP19)+(B$246*0)+(B$247*Mat_Sum!$AZ19)+(B$248*Mat_Sum!$AW19)+(B$249*Mat_Sum!$AV19)+(B$250*Mat_Sum!$AR19)+(B$251*Mat_Sum!$CQ19)+(B$252*Mat_Sum!$AQ19)+(B$253*Mat_Sum!$AO19)+(B$254*Mat_Sum!$AP19)+(B$255*Mat_Sum!$BJ19)+(B$256*Mat_Sum!$BI19)+(B$257*Mat_Sum!$AR19)+(B$258*Mat_Sum!$BH19)+(B$259*Mat_Sum!$AU19)+(B$260*Mat_Sum!$AS19)+(B$261*Mat_Sum!$AN19)+(B$262*Mat_Sum!$AM19)+(B$263*Mat_Sum!$CF19)+(B$264*0)+(B$265*Mat_Sum!$CF19)+(B$266*0)+(B$267*0)+(B$268*0)+(B$269*0)+(B$270*0)+(B$271*Silicon!$K76)+(B$272*Mat_Sum!$BG19)+(B$273*0)+(B$274*0)</f>
        <v>54.48621589690395</v>
      </c>
      <c r="C280" s="2136">
        <f ca="1">(C$233*Mat_Sum!$D19)+(C$234*Mat_Sum!$E19)+(C$235*Mat_Sum!$F19)+(C$236*Mat_Sum!$L19)+(C$237*Mat_Sum!$I19)+(C$238*Mat_Sum!$AG19)+(C$239*Mat_Sum!$F19)+(C$240*((88%*Mat_Sum!$AG19)+(12%*0)))+(C$241*'C.Iron'!$I66)+(C$242*((80%*Mat_Sum!$U19)+(20%*Mat_Sum!$BA19)))+(C$243*Mat_Sum!$U19)+(C$244*Mat_Sum!$BA19)+(C$245*Mat_Sum!$CP19)+(C$246*0)+(C$247*Mat_Sum!$AZ19)+(C$248*Mat_Sum!$AW19)+(C$249*Mat_Sum!$AV19)+(C$250*Mat_Sum!$AR19)+(C$251*Mat_Sum!$CQ19)+(C$252*Mat_Sum!$AQ19)+(C$253*Mat_Sum!$AO19)+(C$254*Mat_Sum!$AP19)+(C$255*Mat_Sum!$BJ19)+(C$256*Mat_Sum!$BI19)+(C$257*Mat_Sum!$AR19)+(C$258*Mat_Sum!$BH19)+(C$259*Mat_Sum!$AU19)+(C$260*Mat_Sum!$AS19)+(C$261*Mat_Sum!$AN19)+(C$262*Mat_Sum!$AM19)+(C$263*Mat_Sum!$CF19)+(C$264*0)+(C$265*Mat_Sum!$CF19)+(C$266*0)+(C$267*0)+(C$268*0)+(C$269*0)+(C$270*0)+(C$271*Silicon!$K76)+(C$272*Mat_Sum!$BG19)+(C$273*0)+(C$274*0)</f>
        <v>54.771432074580581</v>
      </c>
      <c r="D280" s="2136">
        <f ca="1">(D$233*Mat_Sum!$D19)+(D$234*Mat_Sum!$E19)+(D$235*Mat_Sum!$F19)+(D$236*Mat_Sum!$L19)+(D$237*Mat_Sum!$I19)+(D$238*Mat_Sum!$AG19)+(D$239*Mat_Sum!$F19)+(D$240*((88%*Mat_Sum!$AG19)+(12%*0)))+(D$241*'C.Iron'!$I66)+(D$242*((80%*Mat_Sum!$U19)+(20%*Mat_Sum!$BA19)))+(D$243*Mat_Sum!$U19)+(D$244*Mat_Sum!$BA19)+(D$245*Mat_Sum!$CP19)+(D$246*0)+(D$247*Mat_Sum!$AZ19)+(D$248*Mat_Sum!$AW19)+(D$249*Mat_Sum!$AV19)+(D$250*Mat_Sum!$AR19)+(D$251*Mat_Sum!$CQ19)+(D$252*Mat_Sum!$AQ19)+(D$253*Mat_Sum!$AO19)+(D$254*Mat_Sum!$AP19)+(D$255*Mat_Sum!$BJ19)+(D$256*Mat_Sum!$BI19)+(D$257*Mat_Sum!$AR19)+(D$258*Mat_Sum!$BH19)+(D$259*Mat_Sum!$AU19)+(D$260*Mat_Sum!$AS19)+(D$261*Mat_Sum!$AN19)+(D$262*Mat_Sum!$AM19)+(D$263*Mat_Sum!$CF19)+(D$264*0)+(D$265*Mat_Sum!$CF19)+(D$266*0)+(D$267*0)+(D$268*0)+(D$269*0)+(D$270*0)+(D$271*Silicon!$K76)+(D$272*Mat_Sum!$BG19)+(D$273*0)+(D$274*0)</f>
        <v>50.179709102891039</v>
      </c>
      <c r="E280" s="2185">
        <f ca="1">(E$233*Mat_Sum!$D19)+(E$234*Mat_Sum!$E19)+(E$235*Mat_Sum!$F19)+(E$236*Mat_Sum!$L19)+(E$237*Mat_Sum!$I19)+(E$238*Mat_Sum!$AG19)+(E$239*Mat_Sum!$F19)+(E$240*((88%*Mat_Sum!$AG19)+(12%*0)))+(E$241*'C.Iron'!$I66)+(E$242*((80%*Mat_Sum!$U19)+(20%*Mat_Sum!$BA19)))+(E$243*Mat_Sum!$U19)+(E$244*Mat_Sum!$BA19)+(E$245*Mat_Sum!$CP19)+(E$246*0)+(E$247*Mat_Sum!$AZ19)+(E$248*Mat_Sum!$AW19)+(E$249*Mat_Sum!$AV19)+(E$250*Mat_Sum!$AR19)+(E$251*Mat_Sum!$CQ19)+(E$252*Mat_Sum!$AQ19)+(E$253*Mat_Sum!$AO19)+(E$254*Mat_Sum!$AP19)+(E$255*Mat_Sum!$BJ19)+(E$256*Mat_Sum!$BI19)+(E$257*Mat_Sum!$AR19)+(E$258*Mat_Sum!$BH19)+(E$259*Mat_Sum!$AU19)+(E$260*Mat_Sum!$AS19)+(E$261*Mat_Sum!$AN19)+(E$262*Mat_Sum!$AM19)+(E$263*Mat_Sum!$CF19)+(E$264*0)+(E$265*Mat_Sum!$CF19)+(E$266*0)+(E$267*0)+(E$268*0)+(E$269*0)+(E$270*0)+(E$271*Silicon!$K76)+(E$272*Mat_Sum!$BG19)+(E$273*0)+(E$274*0)</f>
        <v>166.62226720399309</v>
      </c>
      <c r="F280" s="2219"/>
      <c r="G280" s="2219"/>
      <c r="H280" s="2219"/>
      <c r="I280" s="2219"/>
      <c r="J280" s="2219"/>
      <c r="K280" s="2219"/>
      <c r="L280" s="2219"/>
    </row>
    <row r="281" spans="1:12" s="2144" customFormat="1">
      <c r="A281" s="2399" t="s">
        <v>819</v>
      </c>
      <c r="B281" s="2159">
        <f ca="1">(B$233*Mat_Sum!$D20)+(B$234*Mat_Sum!$E20)+(B$235*Mat_Sum!$F20)+(B$236*Mat_Sum!$L20)+(B$237*Mat_Sum!$I20)+(B$238*Mat_Sum!$AG20)+(B$239*Mat_Sum!$F20)+(B$240*((88%*Mat_Sum!$AG20)+(12%*0)))+(B$241*'C.Iron'!$I67)+(B$242*((80%*Mat_Sum!$U20)+(20%*Mat_Sum!$BA20)))+(B$243*Mat_Sum!$U20)+(B$244*Mat_Sum!$BA20)+(B$245*Mat_Sum!$CP20)+(B$246*0)+(B$247*Mat_Sum!$AZ20)+(B$248*Mat_Sum!$AW20)+(B$249*Mat_Sum!$AV20)+(B$250*Mat_Sum!$AR20)+(B$251*Mat_Sum!$CQ20)+(B$252*Mat_Sum!$AQ20)+(B$253*Mat_Sum!$AO20)+(B$254*Mat_Sum!$AP20)+(B$255*Mat_Sum!$BJ20)+(B$256*Mat_Sum!$BI20)+(B$257*Mat_Sum!$AR20)+(B$258*Mat_Sum!$BH20)+(B$259*Mat_Sum!$AU20)+(B$260*Mat_Sum!$AS20)+(B$261*Mat_Sum!$AN20)+(B$262*Mat_Sum!$AM20)+(B$263*Mat_Sum!$CF20)+(B$264*0)+(B$265*Mat_Sum!$CF20)+(B$266*0)+(B$267*0)+(B$268*0)+(B$269*0)+(B$270*0)+(B$271*Silicon!$K77)+(B$272*Mat_Sum!$BG20)+(B$273*0)+(B$274*0)</f>
        <v>15658.485541218522</v>
      </c>
      <c r="C281" s="2242">
        <f ca="1">(C$233*Mat_Sum!$D20)+(C$234*Mat_Sum!$E20)+(C$235*Mat_Sum!$F20)+(C$236*Mat_Sum!$L20)+(C$237*Mat_Sum!$I20)+(C$238*Mat_Sum!$AG20)+(C$239*Mat_Sum!$F20)+(C$240*((88%*Mat_Sum!$AG20)+(12%*0)))+(C$241*'C.Iron'!$I67)+(C$242*((80%*Mat_Sum!$U20)+(20%*Mat_Sum!$BA20)))+(C$243*Mat_Sum!$U20)+(C$244*Mat_Sum!$BA20)+(C$245*Mat_Sum!$CP20)+(C$246*0)+(C$247*Mat_Sum!$AZ20)+(C$248*Mat_Sum!$AW20)+(C$249*Mat_Sum!$AV20)+(C$250*Mat_Sum!$AR20)+(C$251*Mat_Sum!$CQ20)+(C$252*Mat_Sum!$AQ20)+(C$253*Mat_Sum!$AO20)+(C$254*Mat_Sum!$AP20)+(C$255*Mat_Sum!$BJ20)+(C$256*Mat_Sum!$BI20)+(C$257*Mat_Sum!$AR20)+(C$258*Mat_Sum!$BH20)+(C$259*Mat_Sum!$AU20)+(C$260*Mat_Sum!$AS20)+(C$261*Mat_Sum!$AN20)+(C$262*Mat_Sum!$AM20)+(C$263*Mat_Sum!$CF20)+(C$264*0)+(C$265*Mat_Sum!$CF20)+(C$266*0)+(C$267*0)+(C$268*0)+(C$269*0)+(C$270*0)+(C$271*Silicon!$K77)+(C$272*Mat_Sum!$BG20)+(C$273*0)+(C$274*0)</f>
        <v>15937.452955957906</v>
      </c>
      <c r="D281" s="2242">
        <f ca="1">(D$233*Mat_Sum!$D20)+(D$234*Mat_Sum!$E20)+(D$235*Mat_Sum!$F20)+(D$236*Mat_Sum!$L20)+(D$237*Mat_Sum!$I20)+(D$238*Mat_Sum!$AG20)+(D$239*Mat_Sum!$F20)+(D$240*((88%*Mat_Sum!$AG20)+(12%*0)))+(D$241*'C.Iron'!$I67)+(D$242*((80%*Mat_Sum!$U20)+(20%*Mat_Sum!$BA20)))+(D$243*Mat_Sum!$U20)+(D$244*Mat_Sum!$BA20)+(D$245*Mat_Sum!$CP20)+(D$246*0)+(D$247*Mat_Sum!$AZ20)+(D$248*Mat_Sum!$AW20)+(D$249*Mat_Sum!$AV20)+(D$250*Mat_Sum!$AR20)+(D$251*Mat_Sum!$CQ20)+(D$252*Mat_Sum!$AQ20)+(D$253*Mat_Sum!$AO20)+(D$254*Mat_Sum!$AP20)+(D$255*Mat_Sum!$BJ20)+(D$256*Mat_Sum!$BI20)+(D$257*Mat_Sum!$AR20)+(D$258*Mat_Sum!$BH20)+(D$259*Mat_Sum!$AU20)+(D$260*Mat_Sum!$AS20)+(D$261*Mat_Sum!$AN20)+(D$262*Mat_Sum!$AM20)+(D$263*Mat_Sum!$CF20)+(D$264*0)+(D$265*Mat_Sum!$CF20)+(D$266*0)+(D$267*0)+(D$268*0)+(D$269*0)+(D$270*0)+(D$271*Silicon!$K77)+(D$272*Mat_Sum!$BG20)+(D$273*0)+(D$274*0)</f>
        <v>12459.287106921303</v>
      </c>
      <c r="E281" s="2227">
        <f ca="1">(E$233*Mat_Sum!$D20)+(E$234*Mat_Sum!$E20)+(E$235*Mat_Sum!$F20)+(E$236*Mat_Sum!$L20)+(E$237*Mat_Sum!$I20)+(E$238*Mat_Sum!$AG20)+(E$239*Mat_Sum!$F20)+(E$240*((88%*Mat_Sum!$AG20)+(12%*0)))+(E$241*'C.Iron'!$I67)+(E$242*((80%*Mat_Sum!$U20)+(20%*Mat_Sum!$BA20)))+(E$243*Mat_Sum!$U20)+(E$244*Mat_Sum!$BA20)+(E$245*Mat_Sum!$CP20)+(E$246*0)+(E$247*Mat_Sum!$AZ20)+(E$248*Mat_Sum!$AW20)+(E$249*Mat_Sum!$AV20)+(E$250*Mat_Sum!$AR20)+(E$251*Mat_Sum!$CQ20)+(E$252*Mat_Sum!$AQ20)+(E$253*Mat_Sum!$AO20)+(E$254*Mat_Sum!$AP20)+(E$255*Mat_Sum!$BJ20)+(E$256*Mat_Sum!$BI20)+(E$257*Mat_Sum!$AR20)+(E$258*Mat_Sum!$BH20)+(E$259*Mat_Sum!$AU20)+(E$260*Mat_Sum!$AS20)+(E$261*Mat_Sum!$AN20)+(E$262*Mat_Sum!$AM20)+(E$263*Mat_Sum!$CF20)+(E$264*0)+(E$265*Mat_Sum!$CF20)+(E$266*0)+(E$267*0)+(E$268*0)+(E$269*0)+(E$270*0)+(E$271*Silicon!$K77)+(E$272*Mat_Sum!$BG20)+(E$273*0)+(E$274*0)</f>
        <v>30224.925978018164</v>
      </c>
      <c r="F281" s="2219"/>
      <c r="G281" s="2219"/>
      <c r="H281" s="2219"/>
      <c r="I281" s="2219"/>
      <c r="J281" s="2219"/>
      <c r="K281" s="2219"/>
      <c r="L281" s="2219"/>
    </row>
    <row r="282" spans="1:12">
      <c r="A282" s="2176" t="s">
        <v>1520</v>
      </c>
      <c r="B282" s="2172"/>
      <c r="C282" s="2251"/>
      <c r="D282" s="2251"/>
      <c r="E282" s="2186"/>
      <c r="F282" s="2219"/>
      <c r="G282" s="2219"/>
      <c r="H282" s="2219"/>
      <c r="I282" s="2219"/>
      <c r="J282" s="2219"/>
      <c r="K282" s="2219"/>
      <c r="L282" s="2219"/>
    </row>
    <row r="283" spans="1:12">
      <c r="A283" s="2093" t="s">
        <v>821</v>
      </c>
      <c r="B283" s="2151">
        <f ca="1">(B$233*Mat_Sum!$D22)+(B$234*Mat_Sum!$E22)+(B$235*Mat_Sum!$F22)+(B$236*Mat_Sum!$L22)+(B$237*Mat_Sum!$I22)+(B$238*Mat_Sum!$AG22)+(B$239*Mat_Sum!$F22)+(B$240*((88%*Mat_Sum!$AG22)+(12%*0)))+(B$241*'C.Iron'!$I69)+(B$242*((80%*Mat_Sum!$U22)+(20%*Mat_Sum!$BA22)))+(B$243*Mat_Sum!$U22)+(B$244*Mat_Sum!$BA22)+(B$245*Mat_Sum!$CP22)+(B$246*0)+(B$247*Mat_Sum!$AZ22)+(B$248*Mat_Sum!$AW22)+(B$249*Mat_Sum!$AV22)+(B$250*Mat_Sum!$AR22)+(B$251*Mat_Sum!$CQ22)+(B$252*Mat_Sum!$AQ22)+(B$253*Mat_Sum!$AO22)+(B$254*Mat_Sum!$AP22)+(B$255*Mat_Sum!$BJ22)+(B$256*Mat_Sum!$BI22)+(B$257*Mat_Sum!$AR22)+(B$258*Mat_Sum!$BH22)+(B$259*Mat_Sum!$AU22)+(B$260*Mat_Sum!$AS22)+(B$261*Mat_Sum!$AN22)+(B$262*Mat_Sum!$AM22)+(B$263*Mat_Sum!$CF22)+(B$264*0)+(B$265*Mat_Sum!$CF22)+(B$266*0)+(B$267*0)+(B$268*0)+(B$269*0)+(B$270*0)+(B$271*Silicon!$K79)+(B$272*Mat_Sum!$BG22)+(B$273*0)+(B$274*0)</f>
        <v>29290.497738647329</v>
      </c>
      <c r="C283" s="2136">
        <f ca="1">(C$233*Mat_Sum!$D22)+(C$234*Mat_Sum!$E22)+(C$235*Mat_Sum!$F22)+(C$236*Mat_Sum!$L22)+(C$237*Mat_Sum!$I22)+(C$238*Mat_Sum!$AG22)+(C$239*Mat_Sum!$F22)+(C$240*((88%*Mat_Sum!$AG22)+(12%*0)))+(C$241*'C.Iron'!$I69)+(C$242*((80%*Mat_Sum!$U22)+(20%*Mat_Sum!$BA22)))+(C$243*Mat_Sum!$U22)+(C$244*Mat_Sum!$BA22)+(C$245*Mat_Sum!$CP22)+(C$246*0)+(C$247*Mat_Sum!$AZ22)+(C$248*Mat_Sum!$AW22)+(C$249*Mat_Sum!$AV22)+(C$250*Mat_Sum!$AR22)+(C$251*Mat_Sum!$CQ22)+(C$252*Mat_Sum!$AQ22)+(C$253*Mat_Sum!$AO22)+(C$254*Mat_Sum!$AP22)+(C$255*Mat_Sum!$BJ22)+(C$256*Mat_Sum!$BI22)+(C$257*Mat_Sum!$AR22)+(C$258*Mat_Sum!$BH22)+(C$259*Mat_Sum!$AU22)+(C$260*Mat_Sum!$AS22)+(C$261*Mat_Sum!$AN22)+(C$262*Mat_Sum!$AM22)+(C$263*Mat_Sum!$CF22)+(C$264*0)+(C$265*Mat_Sum!$CF22)+(C$266*0)+(C$267*0)+(C$268*0)+(C$269*0)+(C$270*0)+(C$271*Silicon!$K79)+(C$272*Mat_Sum!$BG22)+(C$273*0)+(C$274*0)</f>
        <v>29370.814186004889</v>
      </c>
      <c r="D283" s="2136">
        <f ca="1">(D$233*Mat_Sum!$D22)+(D$234*Mat_Sum!$E22)+(D$235*Mat_Sum!$F22)+(D$236*Mat_Sum!$L22)+(D$237*Mat_Sum!$I22)+(D$238*Mat_Sum!$AG22)+(D$239*Mat_Sum!$F22)+(D$240*((88%*Mat_Sum!$AG22)+(12%*0)))+(D$241*'C.Iron'!$I69)+(D$242*((80%*Mat_Sum!$U22)+(20%*Mat_Sum!$BA22)))+(D$243*Mat_Sum!$U22)+(D$244*Mat_Sum!$BA22)+(D$245*Mat_Sum!$CP22)+(D$246*0)+(D$247*Mat_Sum!$AZ22)+(D$248*Mat_Sum!$AW22)+(D$249*Mat_Sum!$AV22)+(D$250*Mat_Sum!$AR22)+(D$251*Mat_Sum!$CQ22)+(D$252*Mat_Sum!$AQ22)+(D$253*Mat_Sum!$AO22)+(D$254*Mat_Sum!$AP22)+(D$255*Mat_Sum!$BJ22)+(D$256*Mat_Sum!$BI22)+(D$257*Mat_Sum!$AR22)+(D$258*Mat_Sum!$BH22)+(D$259*Mat_Sum!$AU22)+(D$260*Mat_Sum!$AS22)+(D$261*Mat_Sum!$AN22)+(D$262*Mat_Sum!$AM22)+(D$263*Mat_Sum!$CF22)+(D$264*0)+(D$265*Mat_Sum!$CF22)+(D$266*0)+(D$267*0)+(D$268*0)+(D$269*0)+(D$270*0)+(D$271*Silicon!$K79)+(D$272*Mat_Sum!$BG22)+(D$273*0)+(D$274*0)</f>
        <v>26297.374685843646</v>
      </c>
      <c r="E283" s="2185">
        <f ca="1">(E$233*Mat_Sum!$D22)+(E$234*Mat_Sum!$E22)+(E$235*Mat_Sum!$F22)+(E$236*Mat_Sum!$L22)+(E$237*Mat_Sum!$I22)+(E$238*Mat_Sum!$AG22)+(E$239*Mat_Sum!$F22)+(E$240*((88%*Mat_Sum!$AG22)+(12%*0)))+(E$241*'C.Iron'!$I69)+(E$242*((80%*Mat_Sum!$U22)+(20%*Mat_Sum!$BA22)))+(E$243*Mat_Sum!$U22)+(E$244*Mat_Sum!$BA22)+(E$245*Mat_Sum!$CP22)+(E$246*0)+(E$247*Mat_Sum!$AZ22)+(E$248*Mat_Sum!$AW22)+(E$249*Mat_Sum!$AV22)+(E$250*Mat_Sum!$AR22)+(E$251*Mat_Sum!$CQ22)+(E$252*Mat_Sum!$AQ22)+(E$253*Mat_Sum!$AO22)+(E$254*Mat_Sum!$AP22)+(E$255*Mat_Sum!$BJ22)+(E$256*Mat_Sum!$BI22)+(E$257*Mat_Sum!$AR22)+(E$258*Mat_Sum!$BH22)+(E$259*Mat_Sum!$AU22)+(E$260*Mat_Sum!$AS22)+(E$261*Mat_Sum!$AN22)+(E$262*Mat_Sum!$AM22)+(E$263*Mat_Sum!$CF22)+(E$264*0)+(E$265*Mat_Sum!$CF22)+(E$266*0)+(E$267*0)+(E$268*0)+(E$269*0)+(E$270*0)+(E$271*Silicon!$K79)+(E$272*Mat_Sum!$BG22)+(E$273*0)+(E$274*0)</f>
        <v>34924.453983794796</v>
      </c>
      <c r="F283" s="2136"/>
      <c r="G283" s="2136"/>
      <c r="H283" s="2136"/>
      <c r="I283" s="2136"/>
      <c r="J283" s="2136"/>
      <c r="K283" s="2136"/>
      <c r="L283" s="2136"/>
    </row>
    <row r="284" spans="1:12">
      <c r="A284" s="2093" t="s">
        <v>822</v>
      </c>
      <c r="B284" s="2151">
        <f ca="1">(B$233*Mat_Sum!$D23)+(B$234*Mat_Sum!$E23)+(B$235*Mat_Sum!$F23)+(B$236*Mat_Sum!$L23)+(B$237*Mat_Sum!$I23)+(B$238*Mat_Sum!$AG23)+(B$239*Mat_Sum!$F23)+(B$240*((88%*Mat_Sum!$AG23)+(12%*0)))+(B$241*'C.Iron'!$I70)+(B$242*((80%*Mat_Sum!$U23)+(20%*Mat_Sum!$BA23)))+(B$243*Mat_Sum!$U23)+(B$244*Mat_Sum!$BA23)+(B$245*Mat_Sum!$CP23)+(B$246*0)+(B$247*Mat_Sum!$AZ23)+(B$248*Mat_Sum!$AW23)+(B$249*Mat_Sum!$AV23)+(B$250*Mat_Sum!$AR23)+(B$251*Mat_Sum!$CQ23)+(B$252*Mat_Sum!$AQ23)+(B$253*Mat_Sum!$AO23)+(B$254*Mat_Sum!$AP23)+(B$255*Mat_Sum!$BJ23)+(B$256*Mat_Sum!$BI23)+(B$257*Mat_Sum!$AR23)+(B$258*Mat_Sum!$BH23)+(B$259*Mat_Sum!$AU23)+(B$260*Mat_Sum!$AS23)+(B$261*Mat_Sum!$AN23)+(B$262*Mat_Sum!$AM23)+(B$263*Mat_Sum!$CF23)+(B$264*0)+(B$265*Mat_Sum!$CF23)+(B$266*0)+(B$267*0)+(B$268*0)+(B$269*0)+(B$270*0)+(B$271*Silicon!$K80)+(B$272*Mat_Sum!$BG23)+(B$273*0)+(B$274*0)</f>
        <v>117355.14352271991</v>
      </c>
      <c r="C284" s="2136">
        <f ca="1">(C$233*Mat_Sum!$D23)+(C$234*Mat_Sum!$E23)+(C$235*Mat_Sum!$F23)+(C$236*Mat_Sum!$L23)+(C$237*Mat_Sum!$I23)+(C$238*Mat_Sum!$AG23)+(C$239*Mat_Sum!$F23)+(C$240*((88%*Mat_Sum!$AG23)+(12%*0)))+(C$241*'C.Iron'!$I70)+(C$242*((80%*Mat_Sum!$U23)+(20%*Mat_Sum!$BA23)))+(C$243*Mat_Sum!$U23)+(C$244*Mat_Sum!$BA23)+(C$245*Mat_Sum!$CP23)+(C$246*0)+(C$247*Mat_Sum!$AZ23)+(C$248*Mat_Sum!$AW23)+(C$249*Mat_Sum!$AV23)+(C$250*Mat_Sum!$AR23)+(C$251*Mat_Sum!$CQ23)+(C$252*Mat_Sum!$AQ23)+(C$253*Mat_Sum!$AO23)+(C$254*Mat_Sum!$AP23)+(C$255*Mat_Sum!$BJ23)+(C$256*Mat_Sum!$BI23)+(C$257*Mat_Sum!$AR23)+(C$258*Mat_Sum!$BH23)+(C$259*Mat_Sum!$AU23)+(C$260*Mat_Sum!$AS23)+(C$261*Mat_Sum!$AN23)+(C$262*Mat_Sum!$AM23)+(C$263*Mat_Sum!$CF23)+(C$264*0)+(C$265*Mat_Sum!$CF23)+(C$266*0)+(C$267*0)+(C$268*0)+(C$269*0)+(C$270*0)+(C$271*Silicon!$K80)+(C$272*Mat_Sum!$BG23)+(C$273*0)+(C$274*0)</f>
        <v>117912.93696687363</v>
      </c>
      <c r="D284" s="2136">
        <f ca="1">(D$233*Mat_Sum!$D23)+(D$234*Mat_Sum!$E23)+(D$235*Mat_Sum!$F23)+(D$236*Mat_Sum!$L23)+(D$237*Mat_Sum!$I23)+(D$238*Mat_Sum!$AG23)+(D$239*Mat_Sum!$F23)+(D$240*((88%*Mat_Sum!$AG23)+(12%*0)))+(D$241*'C.Iron'!$I70)+(D$242*((80%*Mat_Sum!$U23)+(20%*Mat_Sum!$BA23)))+(D$243*Mat_Sum!$U23)+(D$244*Mat_Sum!$BA23)+(D$245*Mat_Sum!$CP23)+(D$246*0)+(D$247*Mat_Sum!$AZ23)+(D$248*Mat_Sum!$AW23)+(D$249*Mat_Sum!$AV23)+(D$250*Mat_Sum!$AR23)+(D$251*Mat_Sum!$CQ23)+(D$252*Mat_Sum!$AQ23)+(D$253*Mat_Sum!$AO23)+(D$254*Mat_Sum!$AP23)+(D$255*Mat_Sum!$BJ23)+(D$256*Mat_Sum!$BI23)+(D$257*Mat_Sum!$AR23)+(D$258*Mat_Sum!$BH23)+(D$259*Mat_Sum!$AU23)+(D$260*Mat_Sum!$AS23)+(D$261*Mat_Sum!$AN23)+(D$262*Mat_Sum!$AM23)+(D$263*Mat_Sum!$CF23)+(D$264*0)+(D$265*Mat_Sum!$CF23)+(D$266*0)+(D$267*0)+(D$268*0)+(D$269*0)+(D$270*0)+(D$271*Silicon!$K80)+(D$272*Mat_Sum!$BG23)+(D$273*0)+(D$274*0)</f>
        <v>102826.74811258828</v>
      </c>
      <c r="E284" s="2185">
        <f ca="1">(E$233*Mat_Sum!$D23)+(E$234*Mat_Sum!$E23)+(E$235*Mat_Sum!$F23)+(E$236*Mat_Sum!$L23)+(E$237*Mat_Sum!$I23)+(E$238*Mat_Sum!$AG23)+(E$239*Mat_Sum!$F23)+(E$240*((88%*Mat_Sum!$AG23)+(12%*0)))+(E$241*'C.Iron'!$I70)+(E$242*((80%*Mat_Sum!$U23)+(20%*Mat_Sum!$BA23)))+(E$243*Mat_Sum!$U23)+(E$244*Mat_Sum!$BA23)+(E$245*Mat_Sum!$CP23)+(E$246*0)+(E$247*Mat_Sum!$AZ23)+(E$248*Mat_Sum!$AW23)+(E$249*Mat_Sum!$AV23)+(E$250*Mat_Sum!$AR23)+(E$251*Mat_Sum!$CQ23)+(E$252*Mat_Sum!$AQ23)+(E$253*Mat_Sum!$AO23)+(E$254*Mat_Sum!$AP23)+(E$255*Mat_Sum!$BJ23)+(E$256*Mat_Sum!$BI23)+(E$257*Mat_Sum!$AR23)+(E$258*Mat_Sum!$BH23)+(E$259*Mat_Sum!$AU23)+(E$260*Mat_Sum!$AS23)+(E$261*Mat_Sum!$AN23)+(E$262*Mat_Sum!$AM23)+(E$263*Mat_Sum!$CF23)+(E$264*0)+(E$265*Mat_Sum!$CF23)+(E$266*0)+(E$267*0)+(E$268*0)+(E$269*0)+(E$270*0)+(E$271*Silicon!$K80)+(E$272*Mat_Sum!$BG23)+(E$273*0)+(E$274*0)</f>
        <v>125239.971956119</v>
      </c>
      <c r="F284" s="2136"/>
      <c r="G284" s="2136"/>
      <c r="H284" s="2136"/>
      <c r="I284" s="2136"/>
      <c r="J284" s="2136"/>
      <c r="K284" s="2136"/>
      <c r="L284" s="2136"/>
    </row>
    <row r="285" spans="1:12" ht="15.75">
      <c r="A285" s="2093" t="s">
        <v>2542</v>
      </c>
      <c r="B285" s="2151">
        <f ca="1">(B$233*Mat_Sum!$D24)+(B$234*Mat_Sum!$E24)+(B$235*Mat_Sum!$F24)+(B$236*Mat_Sum!$L24)+(B$237*Mat_Sum!$I24)+(B$238*Mat_Sum!$AG24)+(B$239*Mat_Sum!$F24)+(B$240*((88%*Mat_Sum!$AG24)+(12%*0)))+(B$241*'C.Iron'!$I71)+(B$242*((80%*Mat_Sum!$U24)+(20%*Mat_Sum!$BA24)))+(B$243*Mat_Sum!$U24)+(B$244*Mat_Sum!$BA24)+(B$245*Mat_Sum!$CP24)+(B$246*0)+(B$247*Mat_Sum!$AZ24)+(B$248*Mat_Sum!$AW24)+(B$249*Mat_Sum!$AV24)+(B$250*Mat_Sum!$AR24)+(B$251*Mat_Sum!$CQ24)+(B$252*Mat_Sum!$AQ24)+(B$253*Mat_Sum!$AO24)+(B$254*Mat_Sum!$AP24)+(B$255*Mat_Sum!$BJ24)+(B$256*Mat_Sum!$BI24)+(B$257*Mat_Sum!$AR24)+(B$258*Mat_Sum!$BH24)+(B$259*Mat_Sum!$AU24)+(B$260*Mat_Sum!$AS24)+(B$261*Mat_Sum!$AN24)+(B$262*Mat_Sum!$AM24)+(B$263*Mat_Sum!$CF24)+(B$264*0)+(B$265*Mat_Sum!$CF24)+(B$266*0)+(B$267*0)+(B$268*0)+(B$269*0)+(B$270*0)+(B$271*Silicon!$K81)+(B$272*Mat_Sum!$BG24)+(B$273*0)+(B$274*0)</f>
        <v>29046.946214874195</v>
      </c>
      <c r="C285" s="2136">
        <f ca="1">(C$233*Mat_Sum!$D24)+(C$234*Mat_Sum!$E24)+(C$235*Mat_Sum!$F24)+(C$236*Mat_Sum!$L24)+(C$237*Mat_Sum!$I24)+(C$238*Mat_Sum!$AG24)+(C$239*Mat_Sum!$F24)+(C$240*((88%*Mat_Sum!$AG24)+(12%*0)))+(C$241*'C.Iron'!$I71)+(C$242*((80%*Mat_Sum!$U24)+(20%*Mat_Sum!$BA24)))+(C$243*Mat_Sum!$U24)+(C$244*Mat_Sum!$BA24)+(C$245*Mat_Sum!$CP24)+(C$246*0)+(C$247*Mat_Sum!$AZ24)+(C$248*Mat_Sum!$AW24)+(C$249*Mat_Sum!$AV24)+(C$250*Mat_Sum!$AR24)+(C$251*Mat_Sum!$CQ24)+(C$252*Mat_Sum!$AQ24)+(C$253*Mat_Sum!$AO24)+(C$254*Mat_Sum!$AP24)+(C$255*Mat_Sum!$BJ24)+(C$256*Mat_Sum!$BI24)+(C$257*Mat_Sum!$AR24)+(C$258*Mat_Sum!$BH24)+(C$259*Mat_Sum!$AU24)+(C$260*Mat_Sum!$AS24)+(C$261*Mat_Sum!$AN24)+(C$262*Mat_Sum!$AM24)+(C$263*Mat_Sum!$CF24)+(C$264*0)+(C$265*Mat_Sum!$CF24)+(C$266*0)+(C$267*0)+(C$268*0)+(C$269*0)+(C$270*0)+(C$271*Silicon!$K81)+(C$272*Mat_Sum!$BG24)+(C$273*0)+(C$274*0)</f>
        <v>29249.91779068395</v>
      </c>
      <c r="D285" s="2136">
        <f ca="1">(D$233*Mat_Sum!$D24)+(D$234*Mat_Sum!$E24)+(D$235*Mat_Sum!$F24)+(D$236*Mat_Sum!$L24)+(D$237*Mat_Sum!$I24)+(D$238*Mat_Sum!$AG24)+(D$239*Mat_Sum!$F24)+(D$240*((88%*Mat_Sum!$AG24)+(12%*0)))+(D$241*'C.Iron'!$I71)+(D$242*((80%*Mat_Sum!$U24)+(20%*Mat_Sum!$BA24)))+(D$243*Mat_Sum!$U24)+(D$244*Mat_Sum!$BA24)+(D$245*Mat_Sum!$CP24)+(D$246*0)+(D$247*Mat_Sum!$AZ24)+(D$248*Mat_Sum!$AW24)+(D$249*Mat_Sum!$AV24)+(D$250*Mat_Sum!$AR24)+(D$251*Mat_Sum!$CQ24)+(D$252*Mat_Sum!$AQ24)+(D$253*Mat_Sum!$AO24)+(D$254*Mat_Sum!$AP24)+(D$255*Mat_Sum!$BJ24)+(D$256*Mat_Sum!$BI24)+(D$257*Mat_Sum!$AR24)+(D$258*Mat_Sum!$BH24)+(D$259*Mat_Sum!$AU24)+(D$260*Mat_Sum!$AS24)+(D$261*Mat_Sum!$AN24)+(D$262*Mat_Sum!$AM24)+(D$263*Mat_Sum!$CF24)+(D$264*0)+(D$265*Mat_Sum!$CF24)+(D$266*0)+(D$267*0)+(D$268*0)+(D$269*0)+(D$270*0)+(D$271*Silicon!$K81)+(D$272*Mat_Sum!$BG24)+(D$273*0)+(D$274*0)</f>
        <v>26006.548730803326</v>
      </c>
      <c r="E285" s="2185">
        <f ca="1">(E$233*Mat_Sum!$D24)+(E$234*Mat_Sum!$E24)+(E$235*Mat_Sum!$F24)+(E$236*Mat_Sum!$L24)+(E$237*Mat_Sum!$I24)+(E$238*Mat_Sum!$AG24)+(E$239*Mat_Sum!$F24)+(E$240*((88%*Mat_Sum!$AG24)+(12%*0)))+(E$241*'C.Iron'!$I71)+(E$242*((80%*Mat_Sum!$U24)+(20%*Mat_Sum!$BA24)))+(E$243*Mat_Sum!$U24)+(E$244*Mat_Sum!$BA24)+(E$245*Mat_Sum!$CP24)+(E$246*0)+(E$247*Mat_Sum!$AZ24)+(E$248*Mat_Sum!$AW24)+(E$249*Mat_Sum!$AV24)+(E$250*Mat_Sum!$AR24)+(E$251*Mat_Sum!$CQ24)+(E$252*Mat_Sum!$AQ24)+(E$253*Mat_Sum!$AO24)+(E$254*Mat_Sum!$AP24)+(E$255*Mat_Sum!$BJ24)+(E$256*Mat_Sum!$BI24)+(E$257*Mat_Sum!$AR24)+(E$258*Mat_Sum!$BH24)+(E$259*Mat_Sum!$AU24)+(E$260*Mat_Sum!$AS24)+(E$261*Mat_Sum!$AN24)+(E$262*Mat_Sum!$AM24)+(E$263*Mat_Sum!$CF24)+(E$264*0)+(E$265*Mat_Sum!$CF24)+(E$266*0)+(E$267*0)+(E$268*0)+(E$269*0)+(E$270*0)+(E$271*Silicon!$K81)+(E$272*Mat_Sum!$BG24)+(E$273*0)+(E$274*0)</f>
        <v>45100.750861532375</v>
      </c>
      <c r="F285" s="2136"/>
      <c r="G285" s="2136"/>
      <c r="H285" s="2136"/>
      <c r="I285" s="2136"/>
      <c r="J285" s="2136"/>
      <c r="K285" s="2136"/>
      <c r="L285" s="2136"/>
    </row>
    <row r="286" spans="1:12" ht="15.75">
      <c r="A286" s="2093" t="s">
        <v>2543</v>
      </c>
      <c r="B286" s="2151">
        <f ca="1">(B$233*Mat_Sum!$D25)+(B$234*Mat_Sum!$E25)+(B$235*Mat_Sum!$F25)+(B$236*Mat_Sum!$L25)+(B$237*Mat_Sum!$I25)+(B$238*Mat_Sum!$AG25)+(B$239*Mat_Sum!$F25)+(B$240*((88%*Mat_Sum!$AG25)+(12%*0)))+(B$241*'C.Iron'!$I72)+(B$242*((80%*Mat_Sum!$U25)+(20%*Mat_Sum!$BA25)))+(B$243*Mat_Sum!$U25)+(B$244*Mat_Sum!$BA25)+(B$245*Mat_Sum!$CP25)+(B$246*0)+(B$247*Mat_Sum!$AZ25)+(B$248*Mat_Sum!$AW25)+(B$249*Mat_Sum!$AV25)+(B$250*Mat_Sum!$AR25)+(B$251*Mat_Sum!$CQ25)+(B$252*Mat_Sum!$AQ25)+(B$253*Mat_Sum!$AO25)+(B$254*Mat_Sum!$AP25)+(B$255*Mat_Sum!$BJ25)+(B$256*Mat_Sum!$BI25)+(B$257*Mat_Sum!$AR25)+(B$258*Mat_Sum!$BH25)+(B$259*Mat_Sum!$AU25)+(B$260*Mat_Sum!$AS25)+(B$261*Mat_Sum!$AN25)+(B$262*Mat_Sum!$AM25)+(B$263*Mat_Sum!$CF25)+(B$264*0)+(B$265*Mat_Sum!$CF25)+(B$266*0)+(B$267*0)+(B$268*0)+(B$269*0)+(B$270*0)+(B$271*Silicon!$K82)+(B$272*Mat_Sum!$BG25)+(B$273*0)+(B$274*0)</f>
        <v>13446.396532598761</v>
      </c>
      <c r="C286" s="2136">
        <f ca="1">(C$233*Mat_Sum!$D25)+(C$234*Mat_Sum!$E25)+(C$235*Mat_Sum!$F25)+(C$236*Mat_Sum!$L25)+(C$237*Mat_Sum!$I25)+(C$238*Mat_Sum!$AG25)+(C$239*Mat_Sum!$F25)+(C$240*((88%*Mat_Sum!$AG25)+(12%*0)))+(C$241*'C.Iron'!$I72)+(C$242*((80%*Mat_Sum!$U25)+(20%*Mat_Sum!$BA25)))+(C$243*Mat_Sum!$U25)+(C$244*Mat_Sum!$BA25)+(C$245*Mat_Sum!$CP25)+(C$246*0)+(C$247*Mat_Sum!$AZ25)+(C$248*Mat_Sum!$AW25)+(C$249*Mat_Sum!$AV25)+(C$250*Mat_Sum!$AR25)+(C$251*Mat_Sum!$CQ25)+(C$252*Mat_Sum!$AQ25)+(C$253*Mat_Sum!$AO25)+(C$254*Mat_Sum!$AP25)+(C$255*Mat_Sum!$BJ25)+(C$256*Mat_Sum!$BI25)+(C$257*Mat_Sum!$AR25)+(C$258*Mat_Sum!$BH25)+(C$259*Mat_Sum!$AU25)+(C$260*Mat_Sum!$AS25)+(C$261*Mat_Sum!$AN25)+(C$262*Mat_Sum!$AM25)+(C$263*Mat_Sum!$CF25)+(C$264*0)+(C$265*Mat_Sum!$CF25)+(C$266*0)+(C$267*0)+(C$268*0)+(C$269*0)+(C$270*0)+(C$271*Silicon!$K82)+(C$272*Mat_Sum!$BG25)+(C$273*0)+(C$274*0)</f>
        <v>13534.665497187925</v>
      </c>
      <c r="D286" s="2136">
        <f ca="1">(D$233*Mat_Sum!$D25)+(D$234*Mat_Sum!$E25)+(D$235*Mat_Sum!$F25)+(D$236*Mat_Sum!$L25)+(D$237*Mat_Sum!$I25)+(D$238*Mat_Sum!$AG25)+(D$239*Mat_Sum!$F25)+(D$240*((88%*Mat_Sum!$AG25)+(12%*0)))+(D$241*'C.Iron'!$I72)+(D$242*((80%*Mat_Sum!$U25)+(20%*Mat_Sum!$BA25)))+(D$243*Mat_Sum!$U25)+(D$244*Mat_Sum!$BA25)+(D$245*Mat_Sum!$CP25)+(D$246*0)+(D$247*Mat_Sum!$AZ25)+(D$248*Mat_Sum!$AW25)+(D$249*Mat_Sum!$AV25)+(D$250*Mat_Sum!$AR25)+(D$251*Mat_Sum!$CQ25)+(D$252*Mat_Sum!$AQ25)+(D$253*Mat_Sum!$AO25)+(D$254*Mat_Sum!$AP25)+(D$255*Mat_Sum!$BJ25)+(D$256*Mat_Sum!$BI25)+(D$257*Mat_Sum!$AR25)+(D$258*Mat_Sum!$BH25)+(D$259*Mat_Sum!$AU25)+(D$260*Mat_Sum!$AS25)+(D$261*Mat_Sum!$AN25)+(D$262*Mat_Sum!$AM25)+(D$263*Mat_Sum!$CF25)+(D$264*0)+(D$265*Mat_Sum!$CF25)+(D$266*0)+(D$267*0)+(D$268*0)+(D$269*0)+(D$270*0)+(D$271*Silicon!$K82)+(D$272*Mat_Sum!$BG25)+(D$273*0)+(D$274*0)</f>
        <v>11476.534760833025</v>
      </c>
      <c r="E286" s="2185">
        <f ca="1">(E$233*Mat_Sum!$D25)+(E$234*Mat_Sum!$E25)+(E$235*Mat_Sum!$F25)+(E$236*Mat_Sum!$L25)+(E$237*Mat_Sum!$I25)+(E$238*Mat_Sum!$AG25)+(E$239*Mat_Sum!$F25)+(E$240*((88%*Mat_Sum!$AG25)+(12%*0)))+(E$241*'C.Iron'!$I72)+(E$242*((80%*Mat_Sum!$U25)+(20%*Mat_Sum!$BA25)))+(E$243*Mat_Sum!$U25)+(E$244*Mat_Sum!$BA25)+(E$245*Mat_Sum!$CP25)+(E$246*0)+(E$247*Mat_Sum!$AZ25)+(E$248*Mat_Sum!$AW25)+(E$249*Mat_Sum!$AV25)+(E$250*Mat_Sum!$AR25)+(E$251*Mat_Sum!$CQ25)+(E$252*Mat_Sum!$AQ25)+(E$253*Mat_Sum!$AO25)+(E$254*Mat_Sum!$AP25)+(E$255*Mat_Sum!$BJ25)+(E$256*Mat_Sum!$BI25)+(E$257*Mat_Sum!$AR25)+(E$258*Mat_Sum!$BH25)+(E$259*Mat_Sum!$AU25)+(E$260*Mat_Sum!$AS25)+(E$261*Mat_Sum!$AN25)+(E$262*Mat_Sum!$AM25)+(E$263*Mat_Sum!$CF25)+(E$264*0)+(E$265*Mat_Sum!$CF25)+(E$266*0)+(E$267*0)+(E$268*0)+(E$269*0)+(E$270*0)+(E$271*Silicon!$K82)+(E$272*Mat_Sum!$BG25)+(E$273*0)+(E$274*0)</f>
        <v>18437.274064600861</v>
      </c>
      <c r="F286" s="2136"/>
      <c r="G286" s="2136"/>
      <c r="H286" s="2136"/>
      <c r="I286" s="2136"/>
      <c r="J286" s="2136"/>
      <c r="K286" s="2136"/>
      <c r="L286" s="2136"/>
    </row>
    <row r="287" spans="1:12" ht="15.75">
      <c r="A287" s="2093" t="s">
        <v>2544</v>
      </c>
      <c r="B287" s="2151">
        <f ca="1">(B$233*Mat_Sum!$D26)+(B$234*Mat_Sum!$E26)+(B$235*Mat_Sum!$F26)+(B$236*Mat_Sum!$L26)+(B$237*Mat_Sum!$I26)+(B$238*Mat_Sum!$AG26)+(B$239*Mat_Sum!$F26)+(B$240*((88%*Mat_Sum!$AG26)+(12%*0)))+(B$241*'C.Iron'!$I73)+(B$242*((80%*Mat_Sum!$U26)+(20%*Mat_Sum!$BA26)))+(B$243*Mat_Sum!$U26)+(B$244*Mat_Sum!$BA26)+(B$245*Mat_Sum!$CP26)+(B$246*0)+(B$247*Mat_Sum!$AZ26)+(B$248*Mat_Sum!$AW26)+(B$249*Mat_Sum!$AV26)+(B$250*Mat_Sum!$AR26)+(B$251*Mat_Sum!$CQ26)+(B$252*Mat_Sum!$AQ26)+(B$253*Mat_Sum!$AO26)+(B$254*Mat_Sum!$AP26)+(B$255*Mat_Sum!$BJ26)+(B$256*Mat_Sum!$BI26)+(B$257*Mat_Sum!$AR26)+(B$258*Mat_Sum!$BH26)+(B$259*Mat_Sum!$AU26)+(B$260*Mat_Sum!$AS26)+(B$261*Mat_Sum!$AN26)+(B$262*Mat_Sum!$AM26)+(B$263*Mat_Sum!$CF26)+(B$264*0)+(B$265*Mat_Sum!$CF26)+(B$266*0)+(B$267*0)+(B$268*0)+(B$269*0)+(B$270*0)+(B$271*Silicon!$K83)+(B$272*Mat_Sum!$BG26)+(B$273*0)+(B$274*0)</f>
        <v>6327.4763303993996</v>
      </c>
      <c r="C287" s="2136">
        <f ca="1">(C$233*Mat_Sum!$D26)+(C$234*Mat_Sum!$E26)+(C$235*Mat_Sum!$F26)+(C$236*Mat_Sum!$L26)+(C$237*Mat_Sum!$I26)+(C$238*Mat_Sum!$AG26)+(C$239*Mat_Sum!$F26)+(C$240*((88%*Mat_Sum!$AG26)+(12%*0)))+(C$241*'C.Iron'!$I73)+(C$242*((80%*Mat_Sum!$U26)+(20%*Mat_Sum!$BA26)))+(C$243*Mat_Sum!$U26)+(C$244*Mat_Sum!$BA26)+(C$245*Mat_Sum!$CP26)+(C$246*0)+(C$247*Mat_Sum!$AZ26)+(C$248*Mat_Sum!$AW26)+(C$249*Mat_Sum!$AV26)+(C$250*Mat_Sum!$AR26)+(C$251*Mat_Sum!$CQ26)+(C$252*Mat_Sum!$AQ26)+(C$253*Mat_Sum!$AO26)+(C$254*Mat_Sum!$AP26)+(C$255*Mat_Sum!$BJ26)+(C$256*Mat_Sum!$BI26)+(C$257*Mat_Sum!$AR26)+(C$258*Mat_Sum!$BH26)+(C$259*Mat_Sum!$AU26)+(C$260*Mat_Sum!$AS26)+(C$261*Mat_Sum!$AN26)+(C$262*Mat_Sum!$AM26)+(C$263*Mat_Sum!$CF26)+(C$264*0)+(C$265*Mat_Sum!$CF26)+(C$266*0)+(C$267*0)+(C$268*0)+(C$269*0)+(C$270*0)+(C$271*Silicon!$K83)+(C$272*Mat_Sum!$BG26)+(C$273*0)+(C$274*0)</f>
        <v>6372.5062875821422</v>
      </c>
      <c r="D287" s="2136">
        <f ca="1">(D$233*Mat_Sum!$D26)+(D$234*Mat_Sum!$E26)+(D$235*Mat_Sum!$F26)+(D$236*Mat_Sum!$L26)+(D$237*Mat_Sum!$I26)+(D$238*Mat_Sum!$AG26)+(D$239*Mat_Sum!$F26)+(D$240*((88%*Mat_Sum!$AG26)+(12%*0)))+(D$241*'C.Iron'!$I73)+(D$242*((80%*Mat_Sum!$U26)+(20%*Mat_Sum!$BA26)))+(D$243*Mat_Sum!$U26)+(D$244*Mat_Sum!$BA26)+(D$245*Mat_Sum!$CP26)+(D$246*0)+(D$247*Mat_Sum!$AZ26)+(D$248*Mat_Sum!$AW26)+(D$249*Mat_Sum!$AV26)+(D$250*Mat_Sum!$AR26)+(D$251*Mat_Sum!$CQ26)+(D$252*Mat_Sum!$AQ26)+(D$253*Mat_Sum!$AO26)+(D$254*Mat_Sum!$AP26)+(D$255*Mat_Sum!$BJ26)+(D$256*Mat_Sum!$BI26)+(D$257*Mat_Sum!$AR26)+(D$258*Mat_Sum!$BH26)+(D$259*Mat_Sum!$AU26)+(D$260*Mat_Sum!$AS26)+(D$261*Mat_Sum!$AN26)+(D$262*Mat_Sum!$AM26)+(D$263*Mat_Sum!$CF26)+(D$264*0)+(D$265*Mat_Sum!$CF26)+(D$266*0)+(D$267*0)+(D$268*0)+(D$269*0)+(D$270*0)+(D$271*Silicon!$K83)+(D$272*Mat_Sum!$BG26)+(D$273*0)+(D$274*0)</f>
        <v>5394.5679106222478</v>
      </c>
      <c r="E287" s="2185">
        <f ca="1">(E$233*Mat_Sum!$D26)+(E$234*Mat_Sum!$E26)+(E$235*Mat_Sum!$F26)+(E$236*Mat_Sum!$L26)+(E$237*Mat_Sum!$I26)+(E$238*Mat_Sum!$AG26)+(E$239*Mat_Sum!$F26)+(E$240*((88%*Mat_Sum!$AG26)+(12%*0)))+(E$241*'C.Iron'!$I73)+(E$242*((80%*Mat_Sum!$U26)+(20%*Mat_Sum!$BA26)))+(E$243*Mat_Sum!$U26)+(E$244*Mat_Sum!$BA26)+(E$245*Mat_Sum!$CP26)+(E$246*0)+(E$247*Mat_Sum!$AZ26)+(E$248*Mat_Sum!$AW26)+(E$249*Mat_Sum!$AV26)+(E$250*Mat_Sum!$AR26)+(E$251*Mat_Sum!$CQ26)+(E$252*Mat_Sum!$AQ26)+(E$253*Mat_Sum!$AO26)+(E$254*Mat_Sum!$AP26)+(E$255*Mat_Sum!$BJ26)+(E$256*Mat_Sum!$BI26)+(E$257*Mat_Sum!$AR26)+(E$258*Mat_Sum!$BH26)+(E$259*Mat_Sum!$AU26)+(E$260*Mat_Sum!$AS26)+(E$261*Mat_Sum!$AN26)+(E$262*Mat_Sum!$AM26)+(E$263*Mat_Sum!$CF26)+(E$264*0)+(E$265*Mat_Sum!$CF26)+(E$266*0)+(E$267*0)+(E$268*0)+(E$269*0)+(E$270*0)+(E$271*Silicon!$K83)+(E$272*Mat_Sum!$BG26)+(E$273*0)+(E$274*0)</f>
        <v>8019.9822023862871</v>
      </c>
      <c r="F287" s="2136"/>
      <c r="G287" s="2136"/>
      <c r="H287" s="2136"/>
      <c r="I287" s="2136"/>
      <c r="J287" s="2136"/>
      <c r="K287" s="2136"/>
      <c r="L287" s="2136"/>
    </row>
    <row r="288" spans="1:12" ht="15.75">
      <c r="A288" s="2093" t="s">
        <v>2545</v>
      </c>
      <c r="B288" s="2151">
        <f ca="1">(B$233*Mat_Sum!$D27)+(B$234*Mat_Sum!$E27)+(B$235*Mat_Sum!$F27)+(B$236*Mat_Sum!$L27)+(B$237*Mat_Sum!$I27)+(B$238*Mat_Sum!$AG27)+(B$239*Mat_Sum!$F27)+(B$240*((88%*Mat_Sum!$AG27)+(12%*0)))+(B$241*'C.Iron'!$I74)+(B$242*((80%*Mat_Sum!$U27)+(20%*Mat_Sum!$BA27)))+(B$243*Mat_Sum!$U27)+(B$244*Mat_Sum!$BA27)+(B$245*Mat_Sum!$CP27)+(B$246*0)+(B$247*Mat_Sum!$AZ27)+(B$248*Mat_Sum!$AW27)+(B$249*Mat_Sum!$AV27)+(B$250*Mat_Sum!$AR27)+(B$251*Mat_Sum!$CQ27)+(B$252*Mat_Sum!$AQ27)+(B$253*Mat_Sum!$AO27)+(B$254*Mat_Sum!$AP27)+(B$255*Mat_Sum!$BJ27)+(B$256*Mat_Sum!$BI27)+(B$257*Mat_Sum!$AR27)+(B$258*Mat_Sum!$BH27)+(B$259*Mat_Sum!$AU27)+(B$260*Mat_Sum!$AS27)+(B$261*Mat_Sum!$AN27)+(B$262*Mat_Sum!$AM27)+(B$263*Mat_Sum!$CF27)+(B$264*0)+(B$265*Mat_Sum!$CF27)+(B$266*0)+(B$267*0)+(B$268*0)+(B$269*0)+(B$270*0)+(B$271*Silicon!$K84)+(B$272*Mat_Sum!$BG27)+(B$273*0)+(B$274*0)</f>
        <v>77566.92448306155</v>
      </c>
      <c r="C288" s="2136">
        <f ca="1">(C$233*Mat_Sum!$D27)+(C$234*Mat_Sum!$E27)+(C$235*Mat_Sum!$F27)+(C$236*Mat_Sum!$L27)+(C$237*Mat_Sum!$I27)+(C$238*Mat_Sum!$AG27)+(C$239*Mat_Sum!$F27)+(C$240*((88%*Mat_Sum!$AG27)+(12%*0)))+(C$241*'C.Iron'!$I74)+(C$242*((80%*Mat_Sum!$U27)+(20%*Mat_Sum!$BA27)))+(C$243*Mat_Sum!$U27)+(C$244*Mat_Sum!$BA27)+(C$245*Mat_Sum!$CP27)+(C$246*0)+(C$247*Mat_Sum!$AZ27)+(C$248*Mat_Sum!$AW27)+(C$249*Mat_Sum!$AV27)+(C$250*Mat_Sum!$AR27)+(C$251*Mat_Sum!$CQ27)+(C$252*Mat_Sum!$AQ27)+(C$253*Mat_Sum!$AO27)+(C$254*Mat_Sum!$AP27)+(C$255*Mat_Sum!$BJ27)+(C$256*Mat_Sum!$BI27)+(C$257*Mat_Sum!$AR27)+(C$258*Mat_Sum!$BH27)+(C$259*Mat_Sum!$AU27)+(C$260*Mat_Sum!$AS27)+(C$261*Mat_Sum!$AN27)+(C$262*Mat_Sum!$AM27)+(C$263*Mat_Sum!$CF27)+(C$264*0)+(C$265*Mat_Sum!$CF27)+(C$266*0)+(C$267*0)+(C$268*0)+(C$269*0)+(C$270*0)+(C$271*Silicon!$K84)+(C$272*Mat_Sum!$BG27)+(C$273*0)+(C$274*0)</f>
        <v>81302.797104696729</v>
      </c>
      <c r="D288" s="2136">
        <f ca="1">(D$233*Mat_Sum!$D27)+(D$234*Mat_Sum!$E27)+(D$235*Mat_Sum!$F27)+(D$236*Mat_Sum!$L27)+(D$237*Mat_Sum!$I27)+(D$238*Mat_Sum!$AG27)+(D$239*Mat_Sum!$F27)+(D$240*((88%*Mat_Sum!$AG27)+(12%*0)))+(D$241*'C.Iron'!$I74)+(D$242*((80%*Mat_Sum!$U27)+(20%*Mat_Sum!$BA27)))+(D$243*Mat_Sum!$U27)+(D$244*Mat_Sum!$BA27)+(D$245*Mat_Sum!$CP27)+(D$246*0)+(D$247*Mat_Sum!$AZ27)+(D$248*Mat_Sum!$AW27)+(D$249*Mat_Sum!$AV27)+(D$250*Mat_Sum!$AR27)+(D$251*Mat_Sum!$CQ27)+(D$252*Mat_Sum!$AQ27)+(D$253*Mat_Sum!$AO27)+(D$254*Mat_Sum!$AP27)+(D$255*Mat_Sum!$BJ27)+(D$256*Mat_Sum!$BI27)+(D$257*Mat_Sum!$AR27)+(D$258*Mat_Sum!$BH27)+(D$259*Mat_Sum!$AU27)+(D$260*Mat_Sum!$AS27)+(D$261*Mat_Sum!$AN27)+(D$262*Mat_Sum!$AM27)+(D$263*Mat_Sum!$CF27)+(D$264*0)+(D$265*Mat_Sum!$CF27)+(D$266*0)+(D$267*0)+(D$268*0)+(D$269*0)+(D$270*0)+(D$271*Silicon!$K84)+(D$272*Mat_Sum!$BG27)+(D$273*0)+(D$274*0)</f>
        <v>74934.24512001744</v>
      </c>
      <c r="E288" s="2185">
        <f ca="1">(E$233*Mat_Sum!$D27)+(E$234*Mat_Sum!$E27)+(E$235*Mat_Sum!$F27)+(E$236*Mat_Sum!$L27)+(E$237*Mat_Sum!$I27)+(E$238*Mat_Sum!$AG27)+(E$239*Mat_Sum!$F27)+(E$240*((88%*Mat_Sum!$AG27)+(12%*0)))+(E$241*'C.Iron'!$I74)+(E$242*((80%*Mat_Sum!$U27)+(20%*Mat_Sum!$BA27)))+(E$243*Mat_Sum!$U27)+(E$244*Mat_Sum!$BA27)+(E$245*Mat_Sum!$CP27)+(E$246*0)+(E$247*Mat_Sum!$AZ27)+(E$248*Mat_Sum!$AW27)+(E$249*Mat_Sum!$AV27)+(E$250*Mat_Sum!$AR27)+(E$251*Mat_Sum!$CQ27)+(E$252*Mat_Sum!$AQ27)+(E$253*Mat_Sum!$AO27)+(E$254*Mat_Sum!$AP27)+(E$255*Mat_Sum!$BJ27)+(E$256*Mat_Sum!$BI27)+(E$257*Mat_Sum!$AR27)+(E$258*Mat_Sum!$BH27)+(E$259*Mat_Sum!$AU27)+(E$260*Mat_Sum!$AS27)+(E$261*Mat_Sum!$AN27)+(E$262*Mat_Sum!$AM27)+(E$263*Mat_Sum!$CF27)+(E$264*0)+(E$265*Mat_Sum!$CF27)+(E$266*0)+(E$267*0)+(E$268*0)+(E$269*0)+(E$270*0)+(E$271*Silicon!$K84)+(E$272*Mat_Sum!$BG27)+(E$273*0)+(E$274*0)</f>
        <v>98639.326406783439</v>
      </c>
      <c r="F288" s="2136"/>
      <c r="G288" s="2136"/>
      <c r="H288" s="2136"/>
      <c r="I288" s="2136"/>
      <c r="J288" s="2136"/>
      <c r="K288" s="2136"/>
      <c r="L288" s="2136"/>
    </row>
    <row r="289" spans="1:12">
      <c r="A289" s="2093" t="s">
        <v>827</v>
      </c>
      <c r="B289" s="2151">
        <f ca="1">(B$233*Mat_Sum!$D28)+(B$234*Mat_Sum!$E28)+(B$235*Mat_Sum!$F28)+(B$236*Mat_Sum!$L28)+(B$237*Mat_Sum!$I28)+(B$238*Mat_Sum!$AG28)+(B$239*Mat_Sum!$F28)+(B$240*((88%*Mat_Sum!$AG28)+(12%*0)))+(B$241*'C.Iron'!$I75)+(B$242*((80%*Mat_Sum!$U28)+(20%*Mat_Sum!$BA28)))+(B$243*Mat_Sum!$U28)+(B$244*Mat_Sum!$BA28)+(B$245*Mat_Sum!$CP28)+(B$246*0)+(B$247*Mat_Sum!$AZ28)+(B$248*Mat_Sum!$AW28)+(B$249*Mat_Sum!$AV28)+(B$250*Mat_Sum!$AR28)+(B$251*Mat_Sum!$CQ28)+(B$252*Mat_Sum!$AQ28)+(B$253*Mat_Sum!$AO28)+(B$254*Mat_Sum!$AP28)+(B$255*Mat_Sum!$BJ28)+(B$256*Mat_Sum!$BI28)+(B$257*Mat_Sum!$AR28)+(B$258*Mat_Sum!$BH28)+(B$259*Mat_Sum!$AU28)+(B$260*Mat_Sum!$AS28)+(B$261*Mat_Sum!$AN28)+(B$262*Mat_Sum!$AM28)+(B$263*Mat_Sum!$CF28)+(B$264*0)+(B$265*Mat_Sum!$CF28)+(B$266*0)+(B$267*0)+(B$268*0)+(B$269*0)+(B$270*0)+(B$271*Silicon!$K85)+(B$272*Mat_Sum!$BG28)+(B$273*0)+(B$274*0)</f>
        <v>160.91989266840207</v>
      </c>
      <c r="C289" s="2136">
        <f ca="1">(C$233*Mat_Sum!$D28)+(C$234*Mat_Sum!$E28)+(C$235*Mat_Sum!$F28)+(C$236*Mat_Sum!$L28)+(C$237*Mat_Sum!$I28)+(C$238*Mat_Sum!$AG28)+(C$239*Mat_Sum!$F28)+(C$240*((88%*Mat_Sum!$AG28)+(12%*0)))+(C$241*'C.Iron'!$I75)+(C$242*((80%*Mat_Sum!$U28)+(20%*Mat_Sum!$BA28)))+(C$243*Mat_Sum!$U28)+(C$244*Mat_Sum!$BA28)+(C$245*Mat_Sum!$CP28)+(C$246*0)+(C$247*Mat_Sum!$AZ28)+(C$248*Mat_Sum!$AW28)+(C$249*Mat_Sum!$AV28)+(C$250*Mat_Sum!$AR28)+(C$251*Mat_Sum!$CQ28)+(C$252*Mat_Sum!$AQ28)+(C$253*Mat_Sum!$AO28)+(C$254*Mat_Sum!$AP28)+(C$255*Mat_Sum!$BJ28)+(C$256*Mat_Sum!$BI28)+(C$257*Mat_Sum!$AR28)+(C$258*Mat_Sum!$BH28)+(C$259*Mat_Sum!$AU28)+(C$260*Mat_Sum!$AS28)+(C$261*Mat_Sum!$AN28)+(C$262*Mat_Sum!$AM28)+(C$263*Mat_Sum!$CF28)+(C$264*0)+(C$265*Mat_Sum!$CF28)+(C$266*0)+(C$267*0)+(C$268*0)+(C$269*0)+(C$270*0)+(C$271*Silicon!$K85)+(C$272*Mat_Sum!$BG28)+(C$273*0)+(C$274*0)</f>
        <v>162.77691823954785</v>
      </c>
      <c r="D289" s="2136">
        <f ca="1">(D$233*Mat_Sum!$D28)+(D$234*Mat_Sum!$E28)+(D$235*Mat_Sum!$F28)+(D$236*Mat_Sum!$L28)+(D$237*Mat_Sum!$I28)+(D$238*Mat_Sum!$AG28)+(D$239*Mat_Sum!$F28)+(D$240*((88%*Mat_Sum!$AG28)+(12%*0)))+(D$241*'C.Iron'!$I75)+(D$242*((80%*Mat_Sum!$U28)+(20%*Mat_Sum!$BA28)))+(D$243*Mat_Sum!$U28)+(D$244*Mat_Sum!$BA28)+(D$245*Mat_Sum!$CP28)+(D$246*0)+(D$247*Mat_Sum!$AZ28)+(D$248*Mat_Sum!$AW28)+(D$249*Mat_Sum!$AV28)+(D$250*Mat_Sum!$AR28)+(D$251*Mat_Sum!$CQ28)+(D$252*Mat_Sum!$AQ28)+(D$253*Mat_Sum!$AO28)+(D$254*Mat_Sum!$AP28)+(D$255*Mat_Sum!$BJ28)+(D$256*Mat_Sum!$BI28)+(D$257*Mat_Sum!$AR28)+(D$258*Mat_Sum!$BH28)+(D$259*Mat_Sum!$AU28)+(D$260*Mat_Sum!$AS28)+(D$261*Mat_Sum!$AN28)+(D$262*Mat_Sum!$AM28)+(D$263*Mat_Sum!$CF28)+(D$264*0)+(D$265*Mat_Sum!$CF28)+(D$266*0)+(D$267*0)+(D$268*0)+(D$269*0)+(D$270*0)+(D$271*Silicon!$K85)+(D$272*Mat_Sum!$BG28)+(D$273*0)+(D$274*0)</f>
        <v>148.41256643018784</v>
      </c>
      <c r="E289" s="2185">
        <f ca="1">(E$233*Mat_Sum!$D28)+(E$234*Mat_Sum!$E28)+(E$235*Mat_Sum!$F28)+(E$236*Mat_Sum!$L28)+(E$237*Mat_Sum!$I28)+(E$238*Mat_Sum!$AG28)+(E$239*Mat_Sum!$F28)+(E$240*((88%*Mat_Sum!$AG28)+(12%*0)))+(E$241*'C.Iron'!$I75)+(E$242*((80%*Mat_Sum!$U28)+(20%*Mat_Sum!$BA28)))+(E$243*Mat_Sum!$U28)+(E$244*Mat_Sum!$BA28)+(E$245*Mat_Sum!$CP28)+(E$246*0)+(E$247*Mat_Sum!$AZ28)+(E$248*Mat_Sum!$AW28)+(E$249*Mat_Sum!$AV28)+(E$250*Mat_Sum!$AR28)+(E$251*Mat_Sum!$CQ28)+(E$252*Mat_Sum!$AQ28)+(E$253*Mat_Sum!$AO28)+(E$254*Mat_Sum!$AP28)+(E$255*Mat_Sum!$BJ28)+(E$256*Mat_Sum!$BI28)+(E$257*Mat_Sum!$AR28)+(E$258*Mat_Sum!$BH28)+(E$259*Mat_Sum!$AU28)+(E$260*Mat_Sum!$AS28)+(E$261*Mat_Sum!$AN28)+(E$262*Mat_Sum!$AM28)+(E$263*Mat_Sum!$CF28)+(E$264*0)+(E$265*Mat_Sum!$CF28)+(E$266*0)+(E$267*0)+(E$268*0)+(E$269*0)+(E$270*0)+(E$271*Silicon!$K85)+(E$272*Mat_Sum!$BG28)+(E$273*0)+(E$274*0)</f>
        <v>277.41218654676936</v>
      </c>
      <c r="F289" s="2136"/>
      <c r="G289" s="2136"/>
      <c r="H289" s="2136"/>
      <c r="I289" s="2136"/>
      <c r="J289" s="2136"/>
      <c r="K289" s="2136"/>
      <c r="L289" s="2136"/>
    </row>
    <row r="290" spans="1:12">
      <c r="A290" s="2093" t="s">
        <v>828</v>
      </c>
      <c r="B290" s="2151">
        <f ca="1">(B$233*Mat_Sum!$D29)+(B$234*Mat_Sum!$E29)+(B$235*Mat_Sum!$F29)+(B$236*Mat_Sum!$L29)+(B$237*Mat_Sum!$I29)+(B$238*Mat_Sum!$AG29)+(B$239*Mat_Sum!$F29)+(B$240*((88%*Mat_Sum!$AG29)+(12%*0)))+(B$241*'C.Iron'!$I76)+(B$242*((80%*Mat_Sum!$U29)+(20%*Mat_Sum!$BA29)))+(B$243*Mat_Sum!$U29)+(B$244*Mat_Sum!$BA29)+(B$245*Mat_Sum!$CP29)+(B$246*0)+(B$247*Mat_Sum!$AZ29)+(B$248*Mat_Sum!$AW29)+(B$249*Mat_Sum!$AV29)+(B$250*Mat_Sum!$AR29)+(B$251*Mat_Sum!$CQ29)+(B$252*Mat_Sum!$AQ29)+(B$253*Mat_Sum!$AO29)+(B$254*Mat_Sum!$AP29)+(B$255*Mat_Sum!$BJ29)+(B$256*Mat_Sum!$BI29)+(B$257*Mat_Sum!$AR29)+(B$258*Mat_Sum!$BH29)+(B$259*Mat_Sum!$AU29)+(B$260*Mat_Sum!$AS29)+(B$261*Mat_Sum!$AN29)+(B$262*Mat_Sum!$AM29)+(B$263*Mat_Sum!$CF29)+(B$264*0)+(B$265*Mat_Sum!$CF29)+(B$266*0)+(B$267*0)+(B$268*0)+(B$269*0)+(B$270*0)+(B$271*Silicon!$K86)+(B$272*Mat_Sum!$BG29)+(B$273*0)+(B$274*0)</f>
        <v>352.44464678261778</v>
      </c>
      <c r="C290" s="2136">
        <f ca="1">(C$233*Mat_Sum!$D29)+(C$234*Mat_Sum!$E29)+(C$235*Mat_Sum!$F29)+(C$236*Mat_Sum!$L29)+(C$237*Mat_Sum!$I29)+(C$238*Mat_Sum!$AG29)+(C$239*Mat_Sum!$F29)+(C$240*((88%*Mat_Sum!$AG29)+(12%*0)))+(C$241*'C.Iron'!$I76)+(C$242*((80%*Mat_Sum!$U29)+(20%*Mat_Sum!$BA29)))+(C$243*Mat_Sum!$U29)+(C$244*Mat_Sum!$BA29)+(C$245*Mat_Sum!$CP29)+(C$246*0)+(C$247*Mat_Sum!$AZ29)+(C$248*Mat_Sum!$AW29)+(C$249*Mat_Sum!$AV29)+(C$250*Mat_Sum!$AR29)+(C$251*Mat_Sum!$CQ29)+(C$252*Mat_Sum!$AQ29)+(C$253*Mat_Sum!$AO29)+(C$254*Mat_Sum!$AP29)+(C$255*Mat_Sum!$BJ29)+(C$256*Mat_Sum!$BI29)+(C$257*Mat_Sum!$AR29)+(C$258*Mat_Sum!$BH29)+(C$259*Mat_Sum!$AU29)+(C$260*Mat_Sum!$AS29)+(C$261*Mat_Sum!$AN29)+(C$262*Mat_Sum!$AM29)+(C$263*Mat_Sum!$CF29)+(C$264*0)+(C$265*Mat_Sum!$CF29)+(C$266*0)+(C$267*0)+(C$268*0)+(C$269*0)+(C$270*0)+(C$271*Silicon!$K86)+(C$272*Mat_Sum!$BG29)+(C$273*0)+(C$274*0)</f>
        <v>355.53143276530352</v>
      </c>
      <c r="D290" s="2136">
        <f ca="1">(D$233*Mat_Sum!$D29)+(D$234*Mat_Sum!$E29)+(D$235*Mat_Sum!$F29)+(D$236*Mat_Sum!$L29)+(D$237*Mat_Sum!$I29)+(D$238*Mat_Sum!$AG29)+(D$239*Mat_Sum!$F29)+(D$240*((88%*Mat_Sum!$AG29)+(12%*0)))+(D$241*'C.Iron'!$I76)+(D$242*((80%*Mat_Sum!$U29)+(20%*Mat_Sum!$BA29)))+(D$243*Mat_Sum!$U29)+(D$244*Mat_Sum!$BA29)+(D$245*Mat_Sum!$CP29)+(D$246*0)+(D$247*Mat_Sum!$AZ29)+(D$248*Mat_Sum!$AW29)+(D$249*Mat_Sum!$AV29)+(D$250*Mat_Sum!$AR29)+(D$251*Mat_Sum!$CQ29)+(D$252*Mat_Sum!$AQ29)+(D$253*Mat_Sum!$AO29)+(D$254*Mat_Sum!$AP29)+(D$255*Mat_Sum!$BJ29)+(D$256*Mat_Sum!$BI29)+(D$257*Mat_Sum!$AR29)+(D$258*Mat_Sum!$BH29)+(D$259*Mat_Sum!$AU29)+(D$260*Mat_Sum!$AS29)+(D$261*Mat_Sum!$AN29)+(D$262*Mat_Sum!$AM29)+(D$263*Mat_Sum!$CF29)+(D$264*0)+(D$265*Mat_Sum!$CF29)+(D$266*0)+(D$267*0)+(D$268*0)+(D$269*0)+(D$270*0)+(D$271*Silicon!$K86)+(D$272*Mat_Sum!$BG29)+(D$273*0)+(D$274*0)</f>
        <v>316.57901939202821</v>
      </c>
      <c r="E290" s="2185">
        <f ca="1">(E$233*Mat_Sum!$D29)+(E$234*Mat_Sum!$E29)+(E$235*Mat_Sum!$F29)+(E$236*Mat_Sum!$L29)+(E$237*Mat_Sum!$I29)+(E$238*Mat_Sum!$AG29)+(E$239*Mat_Sum!$F29)+(E$240*((88%*Mat_Sum!$AG29)+(12%*0)))+(E$241*'C.Iron'!$I76)+(E$242*((80%*Mat_Sum!$U29)+(20%*Mat_Sum!$BA29)))+(E$243*Mat_Sum!$U29)+(E$244*Mat_Sum!$BA29)+(E$245*Mat_Sum!$CP29)+(E$246*0)+(E$247*Mat_Sum!$AZ29)+(E$248*Mat_Sum!$AW29)+(E$249*Mat_Sum!$AV29)+(E$250*Mat_Sum!$AR29)+(E$251*Mat_Sum!$CQ29)+(E$252*Mat_Sum!$AQ29)+(E$253*Mat_Sum!$AO29)+(E$254*Mat_Sum!$AP29)+(E$255*Mat_Sum!$BJ29)+(E$256*Mat_Sum!$BI29)+(E$257*Mat_Sum!$AR29)+(E$258*Mat_Sum!$BH29)+(E$259*Mat_Sum!$AU29)+(E$260*Mat_Sum!$AS29)+(E$261*Mat_Sum!$AN29)+(E$262*Mat_Sum!$AM29)+(E$263*Mat_Sum!$CF29)+(E$264*0)+(E$265*Mat_Sum!$CF29)+(E$266*0)+(E$267*0)+(E$268*0)+(E$269*0)+(E$270*0)+(E$271*Silicon!$K86)+(E$272*Mat_Sum!$BG29)+(E$273*0)+(E$274*0)</f>
        <v>703.53118797420393</v>
      </c>
      <c r="F290" s="2136"/>
      <c r="G290" s="2136"/>
      <c r="H290" s="2136"/>
      <c r="I290" s="2136"/>
      <c r="J290" s="2136"/>
      <c r="K290" s="2136"/>
      <c r="L290" s="2136"/>
    </row>
    <row r="291" spans="1:12" ht="15.75">
      <c r="A291" s="2093" t="s">
        <v>2546</v>
      </c>
      <c r="B291" s="2151">
        <f ca="1">(B$233*Mat_Sum!$D30)+(B$234*Mat_Sum!$E30)+(B$235*Mat_Sum!$F30)+(B$236*Mat_Sum!$L30)+(B$237*Mat_Sum!$I30)+(B$238*Mat_Sum!$AG30)+(B$239*Mat_Sum!$F30)+(B$240*((88%*Mat_Sum!$AG30)+(12%*0)))+(B$241*'C.Iron'!$I77)+(B$242*((80%*Mat_Sum!$U30)+(20%*Mat_Sum!$BA30)))+(B$243*Mat_Sum!$U30)+(B$244*Mat_Sum!$BA30)+(B$245*Mat_Sum!$CP30)+(B$246*0)+(B$247*Mat_Sum!$AZ30)+(B$248*Mat_Sum!$AW30)+(B$249*Mat_Sum!$AV30)+(B$250*Mat_Sum!$AR30)+(B$251*Mat_Sum!$CQ30)+(B$252*Mat_Sum!$AQ30)+(B$253*Mat_Sum!$AO30)+(B$254*Mat_Sum!$AP30)+(B$255*Mat_Sum!$BJ30)+(B$256*Mat_Sum!$BI30)+(B$257*Mat_Sum!$AR30)+(B$258*Mat_Sum!$BH30)+(B$259*Mat_Sum!$AU30)+(B$260*Mat_Sum!$AS30)+(B$261*Mat_Sum!$AN30)+(B$262*Mat_Sum!$AM30)+(B$263*Mat_Sum!$CF30)+(B$264*0)+(B$265*Mat_Sum!$CF30)+(B$266*0)+(B$267*0)+(B$268*0)+(B$269*0)+(B$270*0)+(B$271*Silicon!$K87)+(B$272*Mat_Sum!$BG30)+(B$273*0)+(B$274*0)</f>
        <v>58057.994692155502</v>
      </c>
      <c r="C291" s="2136">
        <f ca="1">(C$233*Mat_Sum!$D30)+(C$234*Mat_Sum!$E30)+(C$235*Mat_Sum!$F30)+(C$236*Mat_Sum!$L30)+(C$237*Mat_Sum!$I30)+(C$238*Mat_Sum!$AG30)+(C$239*Mat_Sum!$F30)+(C$240*((88%*Mat_Sum!$AG30)+(12%*0)))+(C$241*'C.Iron'!$I77)+(C$242*((80%*Mat_Sum!$U30)+(20%*Mat_Sum!$BA30)))+(C$243*Mat_Sum!$U30)+(C$244*Mat_Sum!$BA30)+(C$245*Mat_Sum!$CP30)+(C$246*0)+(C$247*Mat_Sum!$AZ30)+(C$248*Mat_Sum!$AW30)+(C$249*Mat_Sum!$AV30)+(C$250*Mat_Sum!$AR30)+(C$251*Mat_Sum!$CQ30)+(C$252*Mat_Sum!$AQ30)+(C$253*Mat_Sum!$AO30)+(C$254*Mat_Sum!$AP30)+(C$255*Mat_Sum!$BJ30)+(C$256*Mat_Sum!$BI30)+(C$257*Mat_Sum!$AR30)+(C$258*Mat_Sum!$BH30)+(C$259*Mat_Sum!$AU30)+(C$260*Mat_Sum!$AS30)+(C$261*Mat_Sum!$AN30)+(C$262*Mat_Sum!$AM30)+(C$263*Mat_Sum!$CF30)+(C$264*0)+(C$265*Mat_Sum!$CF30)+(C$266*0)+(C$267*0)+(C$268*0)+(C$269*0)+(C$270*0)+(C$271*Silicon!$K87)+(C$272*Mat_Sum!$BG30)+(C$273*0)+(C$274*0)</f>
        <v>58501.157554379599</v>
      </c>
      <c r="D291" s="2136">
        <f ca="1">(D$233*Mat_Sum!$D30)+(D$234*Mat_Sum!$E30)+(D$235*Mat_Sum!$F30)+(D$236*Mat_Sum!$L30)+(D$237*Mat_Sum!$I30)+(D$238*Mat_Sum!$AG30)+(D$239*Mat_Sum!$F30)+(D$240*((88%*Mat_Sum!$AG30)+(12%*0)))+(D$241*'C.Iron'!$I77)+(D$242*((80%*Mat_Sum!$U30)+(20%*Mat_Sum!$BA30)))+(D$243*Mat_Sum!$U30)+(D$244*Mat_Sum!$BA30)+(D$245*Mat_Sum!$CP30)+(D$246*0)+(D$247*Mat_Sum!$AZ30)+(D$248*Mat_Sum!$AW30)+(D$249*Mat_Sum!$AV30)+(D$250*Mat_Sum!$AR30)+(D$251*Mat_Sum!$CQ30)+(D$252*Mat_Sum!$AQ30)+(D$253*Mat_Sum!$AO30)+(D$254*Mat_Sum!$AP30)+(D$255*Mat_Sum!$BJ30)+(D$256*Mat_Sum!$BI30)+(D$257*Mat_Sum!$AR30)+(D$258*Mat_Sum!$BH30)+(D$259*Mat_Sum!$AU30)+(D$260*Mat_Sum!$AS30)+(D$261*Mat_Sum!$AN30)+(D$262*Mat_Sum!$AM30)+(D$263*Mat_Sum!$CF30)+(D$264*0)+(D$265*Mat_Sum!$CF30)+(D$266*0)+(D$267*0)+(D$268*0)+(D$269*0)+(D$270*0)+(D$271*Silicon!$K87)+(D$272*Mat_Sum!$BG30)+(D$273*0)+(D$274*0)</f>
        <v>50543.699663889325</v>
      </c>
      <c r="E291" s="2185">
        <f ca="1">(E$233*Mat_Sum!$D30)+(E$234*Mat_Sum!$E30)+(E$235*Mat_Sum!$F30)+(E$236*Mat_Sum!$L30)+(E$237*Mat_Sum!$I30)+(E$238*Mat_Sum!$AG30)+(E$239*Mat_Sum!$F30)+(E$240*((88%*Mat_Sum!$AG30)+(12%*0)))+(E$241*'C.Iron'!$I77)+(E$242*((80%*Mat_Sum!$U30)+(20%*Mat_Sum!$BA30)))+(E$243*Mat_Sum!$U30)+(E$244*Mat_Sum!$BA30)+(E$245*Mat_Sum!$CP30)+(E$246*0)+(E$247*Mat_Sum!$AZ30)+(E$248*Mat_Sum!$AW30)+(E$249*Mat_Sum!$AV30)+(E$250*Mat_Sum!$AR30)+(E$251*Mat_Sum!$CQ30)+(E$252*Mat_Sum!$AQ30)+(E$253*Mat_Sum!$AO30)+(E$254*Mat_Sum!$AP30)+(E$255*Mat_Sum!$BJ30)+(E$256*Mat_Sum!$BI30)+(E$257*Mat_Sum!$AR30)+(E$258*Mat_Sum!$BH30)+(E$259*Mat_Sum!$AU30)+(E$260*Mat_Sum!$AS30)+(E$261*Mat_Sum!$AN30)+(E$262*Mat_Sum!$AM30)+(E$263*Mat_Sum!$CF30)+(E$264*0)+(E$265*Mat_Sum!$CF30)+(E$266*0)+(E$267*0)+(E$268*0)+(E$269*0)+(E$270*0)+(E$271*Silicon!$K87)+(E$272*Mat_Sum!$BG30)+(E$273*0)+(E$274*0)</f>
        <v>115224.20353558894</v>
      </c>
      <c r="F291" s="2136"/>
      <c r="G291" s="2136"/>
      <c r="H291" s="2136"/>
      <c r="I291" s="2136"/>
      <c r="J291" s="2136"/>
      <c r="K291" s="2136"/>
      <c r="L291" s="2136"/>
    </row>
    <row r="292" spans="1:12" ht="15.75">
      <c r="A292" s="2093" t="s">
        <v>2547</v>
      </c>
      <c r="B292" s="2151">
        <f ca="1">(B$233*Mat_Sum!$D31)+(B$234*Mat_Sum!$E31)+(B$235*Mat_Sum!$F31)+(B$236*Mat_Sum!$L31)+(B$237*Mat_Sum!$I31)+(B$238*Mat_Sum!$AG31)+(B$239*Mat_Sum!$F31)+(B$240*((88%*Mat_Sum!$AG31)+(12%*0)))+(B$241*'C.Iron'!$I78)+(B$242*((80%*Mat_Sum!$U31)+(20%*Mat_Sum!$BA31)))+(B$243*Mat_Sum!$U31)+(B$244*Mat_Sum!$BA31)+(B$245*Mat_Sum!$CP31)+(B$246*0)+(B$247*Mat_Sum!$AZ31)+(B$248*Mat_Sum!$AW31)+(B$249*Mat_Sum!$AV31)+(B$250*Mat_Sum!$AR31)+(B$251*Mat_Sum!$CQ31)+(B$252*Mat_Sum!$AQ31)+(B$253*Mat_Sum!$AO31)+(B$254*Mat_Sum!$AP31)+(B$255*Mat_Sum!$BJ31)+(B$256*Mat_Sum!$BI31)+(B$257*Mat_Sum!$AR31)+(B$258*Mat_Sum!$BH31)+(B$259*Mat_Sum!$AU31)+(B$260*Mat_Sum!$AS31)+(B$261*Mat_Sum!$AN31)+(B$262*Mat_Sum!$AM31)+(B$263*Mat_Sum!$CF31)+(B$264*0)+(B$265*Mat_Sum!$CF31)+(B$266*0)+(B$267*0)+(B$268*0)+(B$269*0)+(B$270*0)+(B$271*Silicon!$K88)+(B$272*Mat_Sum!$BG31)+(B$273*0)+(B$274*0)</f>
        <v>494.23904545173525</v>
      </c>
      <c r="C292" s="2136">
        <f ca="1">(C$233*Mat_Sum!$D31)+(C$234*Mat_Sum!$E31)+(C$235*Mat_Sum!$F31)+(C$236*Mat_Sum!$L31)+(C$237*Mat_Sum!$I31)+(C$238*Mat_Sum!$AG31)+(C$239*Mat_Sum!$F31)+(C$240*((88%*Mat_Sum!$AG31)+(12%*0)))+(C$241*'C.Iron'!$I78)+(C$242*((80%*Mat_Sum!$U31)+(20%*Mat_Sum!$BA31)))+(C$243*Mat_Sum!$U31)+(C$244*Mat_Sum!$BA31)+(C$245*Mat_Sum!$CP31)+(C$246*0)+(C$247*Mat_Sum!$AZ31)+(C$248*Mat_Sum!$AW31)+(C$249*Mat_Sum!$AV31)+(C$250*Mat_Sum!$AR31)+(C$251*Mat_Sum!$CQ31)+(C$252*Mat_Sum!$AQ31)+(C$253*Mat_Sum!$AO31)+(C$254*Mat_Sum!$AP31)+(C$255*Mat_Sum!$BJ31)+(C$256*Mat_Sum!$BI31)+(C$257*Mat_Sum!$AR31)+(C$258*Mat_Sum!$BH31)+(C$259*Mat_Sum!$AU31)+(C$260*Mat_Sum!$AS31)+(C$261*Mat_Sum!$AN31)+(C$262*Mat_Sum!$AM31)+(C$263*Mat_Sum!$CF31)+(C$264*0)+(C$265*Mat_Sum!$CF31)+(C$266*0)+(C$267*0)+(C$268*0)+(C$269*0)+(C$270*0)+(C$271*Silicon!$K88)+(C$272*Mat_Sum!$BG31)+(C$273*0)+(C$274*0)</f>
        <v>498.59704576227176</v>
      </c>
      <c r="D292" s="2136">
        <f ca="1">(D$233*Mat_Sum!$D31)+(D$234*Mat_Sum!$E31)+(D$235*Mat_Sum!$F31)+(D$236*Mat_Sum!$L31)+(D$237*Mat_Sum!$I31)+(D$238*Mat_Sum!$AG31)+(D$239*Mat_Sum!$F31)+(D$240*((88%*Mat_Sum!$AG31)+(12%*0)))+(D$241*'C.Iron'!$I78)+(D$242*((80%*Mat_Sum!$U31)+(20%*Mat_Sum!$BA31)))+(D$243*Mat_Sum!$U31)+(D$244*Mat_Sum!$BA31)+(D$245*Mat_Sum!$CP31)+(D$246*0)+(D$247*Mat_Sum!$AZ31)+(D$248*Mat_Sum!$AW31)+(D$249*Mat_Sum!$AV31)+(D$250*Mat_Sum!$AR31)+(D$251*Mat_Sum!$CQ31)+(D$252*Mat_Sum!$AQ31)+(D$253*Mat_Sum!$AO31)+(D$254*Mat_Sum!$AP31)+(D$255*Mat_Sum!$BJ31)+(D$256*Mat_Sum!$BI31)+(D$257*Mat_Sum!$AR31)+(D$258*Mat_Sum!$BH31)+(D$259*Mat_Sum!$AU31)+(D$260*Mat_Sum!$AS31)+(D$261*Mat_Sum!$AN31)+(D$262*Mat_Sum!$AM31)+(D$263*Mat_Sum!$CF31)+(D$264*0)+(D$265*Mat_Sum!$CF31)+(D$266*0)+(D$267*0)+(D$268*0)+(D$269*0)+(D$270*0)+(D$271*Silicon!$K88)+(D$272*Mat_Sum!$BG31)+(D$273*0)+(D$274*0)</f>
        <v>440.57085709681621</v>
      </c>
      <c r="E292" s="2185">
        <f ca="1">(E$233*Mat_Sum!$D31)+(E$234*Mat_Sum!$E31)+(E$235*Mat_Sum!$F31)+(E$236*Mat_Sum!$L31)+(E$237*Mat_Sum!$I31)+(E$238*Mat_Sum!$AG31)+(E$239*Mat_Sum!$F31)+(E$240*((88%*Mat_Sum!$AG31)+(12%*0)))+(E$241*'C.Iron'!$I78)+(E$242*((80%*Mat_Sum!$U31)+(20%*Mat_Sum!$BA31)))+(E$243*Mat_Sum!$U31)+(E$244*Mat_Sum!$BA31)+(E$245*Mat_Sum!$CP31)+(E$246*0)+(E$247*Mat_Sum!$AZ31)+(E$248*Mat_Sum!$AW31)+(E$249*Mat_Sum!$AV31)+(E$250*Mat_Sum!$AR31)+(E$251*Mat_Sum!$CQ31)+(E$252*Mat_Sum!$AQ31)+(E$253*Mat_Sum!$AO31)+(E$254*Mat_Sum!$AP31)+(E$255*Mat_Sum!$BJ31)+(E$256*Mat_Sum!$BI31)+(E$257*Mat_Sum!$AR31)+(E$258*Mat_Sum!$BH31)+(E$259*Mat_Sum!$AU31)+(E$260*Mat_Sum!$AS31)+(E$261*Mat_Sum!$AN31)+(E$262*Mat_Sum!$AM31)+(E$263*Mat_Sum!$CF31)+(E$264*0)+(E$265*Mat_Sum!$CF31)+(E$266*0)+(E$267*0)+(E$268*0)+(E$269*0)+(E$270*0)+(E$271*Silicon!$K88)+(E$272*Mat_Sum!$BG31)+(E$273*0)+(E$274*0)</f>
        <v>926.33403635352852</v>
      </c>
      <c r="F292" s="2136"/>
      <c r="G292" s="2136"/>
      <c r="H292" s="2136"/>
      <c r="I292" s="2136"/>
      <c r="J292" s="2136"/>
      <c r="K292" s="2136"/>
      <c r="L292" s="2136"/>
    </row>
    <row r="293" spans="1:12" ht="15.75">
      <c r="A293" s="2093" t="s">
        <v>2548</v>
      </c>
      <c r="B293" s="2318">
        <f ca="1">(B$233*Mat_Sum!$D32)+(B$234*Mat_Sum!$E32)+(B$235*Mat_Sum!$F32)+(B$236*Mat_Sum!$L32)+(B$237*Mat_Sum!$I32)+(B$238*Mat_Sum!$AG32)+(B$239*Mat_Sum!$F32)+(B$240*((88%*Mat_Sum!$AG32)+(12%*0)))+(B$241*'C.Iron'!$I79)+(B$242*((80%*Mat_Sum!$U32)+(20%*Mat_Sum!$BA32)))+(B$243*Mat_Sum!$U32)+(B$244*Mat_Sum!$BA32)+(B$245*Mat_Sum!$CP32)+(B$246*0)+(B$247*Mat_Sum!$AZ32)+(B$248*Mat_Sum!$AW32)+(B$249*Mat_Sum!$AV32)+(B$250*Mat_Sum!$AR32)+(B$251*Mat_Sum!$CQ32)+(B$252*Mat_Sum!$AQ32)+(B$253*Mat_Sum!$AO32)+(B$254*Mat_Sum!$AP32)+(B$255*Mat_Sum!$BJ32)+(B$256*Mat_Sum!$BI32)+(B$257*Mat_Sum!$AR32)+(B$258*Mat_Sum!$BH32)+(B$259*Mat_Sum!$AU32)+(B$260*Mat_Sum!$AS32)+(B$261*Mat_Sum!$AN32)+(B$262*Mat_Sum!$AM32)+(B$263*Mat_Sum!$CF32)+(B$264*0)+(B$265*Mat_Sum!$CF32)+(B$266*0)+(B$267*0)+(B$268*0)+(B$269*0)+(B$270*0)+(B$271*Silicon!$K89)+(B$272*Mat_Sum!$BG32)+(B$273*0)+(B$274*0)</f>
        <v>25378235.286553137</v>
      </c>
      <c r="C293" s="2144">
        <f ca="1">(C$233*Mat_Sum!$D32)+(C$234*Mat_Sum!$E32)+(C$235*Mat_Sum!$F32)+(C$236*Mat_Sum!$L32)+(C$237*Mat_Sum!$I32)+(C$238*Mat_Sum!$AG32)+(C$239*Mat_Sum!$F32)+(C$240*((88%*Mat_Sum!$AG32)+(12%*0)))+(C$241*'C.Iron'!$I79)+(C$242*((80%*Mat_Sum!$U32)+(20%*Mat_Sum!$BA32)))+(C$243*Mat_Sum!$U32)+(C$244*Mat_Sum!$BA32)+(C$245*Mat_Sum!$CP32)+(C$246*0)+(C$247*Mat_Sum!$AZ32)+(C$248*Mat_Sum!$AW32)+(C$249*Mat_Sum!$AV32)+(C$250*Mat_Sum!$AR32)+(C$251*Mat_Sum!$CQ32)+(C$252*Mat_Sum!$AQ32)+(C$253*Mat_Sum!$AO32)+(C$254*Mat_Sum!$AP32)+(C$255*Mat_Sum!$BJ32)+(C$256*Mat_Sum!$BI32)+(C$257*Mat_Sum!$AR32)+(C$258*Mat_Sum!$BH32)+(C$259*Mat_Sum!$AU32)+(C$260*Mat_Sum!$AS32)+(C$261*Mat_Sum!$AN32)+(C$262*Mat_Sum!$AM32)+(C$263*Mat_Sum!$CF32)+(C$264*0)+(C$265*Mat_Sum!$CF32)+(C$266*0)+(C$267*0)+(C$268*0)+(C$269*0)+(C$270*0)+(C$271*Silicon!$K89)+(C$272*Mat_Sum!$BG32)+(C$273*0)+(C$274*0)</f>
        <v>25582506.014765024</v>
      </c>
      <c r="D293" s="2144">
        <f ca="1">(D$233*Mat_Sum!$D32)+(D$234*Mat_Sum!$E32)+(D$235*Mat_Sum!$F32)+(D$236*Mat_Sum!$L32)+(D$237*Mat_Sum!$I32)+(D$238*Mat_Sum!$AG32)+(D$239*Mat_Sum!$F32)+(D$240*((88%*Mat_Sum!$AG32)+(12%*0)))+(D$241*'C.Iron'!$I79)+(D$242*((80%*Mat_Sum!$U32)+(20%*Mat_Sum!$BA32)))+(D$243*Mat_Sum!$U32)+(D$244*Mat_Sum!$BA32)+(D$245*Mat_Sum!$CP32)+(D$246*0)+(D$247*Mat_Sum!$AZ32)+(D$248*Mat_Sum!$AW32)+(D$249*Mat_Sum!$AV32)+(D$250*Mat_Sum!$AR32)+(D$251*Mat_Sum!$CQ32)+(D$252*Mat_Sum!$AQ32)+(D$253*Mat_Sum!$AO32)+(D$254*Mat_Sum!$AP32)+(D$255*Mat_Sum!$BJ32)+(D$256*Mat_Sum!$BI32)+(D$257*Mat_Sum!$AR32)+(D$258*Mat_Sum!$BH32)+(D$259*Mat_Sum!$AU32)+(D$260*Mat_Sum!$AS32)+(D$261*Mat_Sum!$AN32)+(D$262*Mat_Sum!$AM32)+(D$263*Mat_Sum!$CF32)+(D$264*0)+(D$265*Mat_Sum!$CF32)+(D$266*0)+(D$267*0)+(D$268*0)+(D$269*0)+(D$270*0)+(D$271*Silicon!$K89)+(D$272*Mat_Sum!$BG32)+(D$273*0)+(D$274*0)</f>
        <v>22579569.492746118</v>
      </c>
      <c r="E293" s="2293">
        <f ca="1">(E$233*Mat_Sum!$D32)+(E$234*Mat_Sum!$E32)+(E$235*Mat_Sum!$F32)+(E$236*Mat_Sum!$L32)+(E$237*Mat_Sum!$I32)+(E$238*Mat_Sum!$AG32)+(E$239*Mat_Sum!$F32)+(E$240*((88%*Mat_Sum!$AG32)+(12%*0)))+(E$241*'C.Iron'!$I79)+(E$242*((80%*Mat_Sum!$U32)+(20%*Mat_Sum!$BA32)))+(E$243*Mat_Sum!$U32)+(E$244*Mat_Sum!$BA32)+(E$245*Mat_Sum!$CP32)+(E$246*0)+(E$247*Mat_Sum!$AZ32)+(E$248*Mat_Sum!$AW32)+(E$249*Mat_Sum!$AV32)+(E$250*Mat_Sum!$AR32)+(E$251*Mat_Sum!$CQ32)+(E$252*Mat_Sum!$AQ32)+(E$253*Mat_Sum!$AO32)+(E$254*Mat_Sum!$AP32)+(E$255*Mat_Sum!$BJ32)+(E$256*Mat_Sum!$BI32)+(E$257*Mat_Sum!$AR32)+(E$258*Mat_Sum!$BH32)+(E$259*Mat_Sum!$AU32)+(E$260*Mat_Sum!$AS32)+(E$261*Mat_Sum!$AN32)+(E$262*Mat_Sum!$AM32)+(E$263*Mat_Sum!$CF32)+(E$264*0)+(E$265*Mat_Sum!$CF32)+(E$266*0)+(E$267*0)+(E$268*0)+(E$269*0)+(E$270*0)+(E$271*Silicon!$K89)+(E$272*Mat_Sum!$BG32)+(E$273*0)+(E$274*0)</f>
        <v>43904503.48872783</v>
      </c>
      <c r="F293" s="2144"/>
      <c r="G293" s="2144"/>
      <c r="H293" s="2144"/>
      <c r="I293" s="2144"/>
      <c r="J293" s="2144"/>
      <c r="K293" s="2144"/>
      <c r="L293" s="2144"/>
    </row>
    <row r="294" spans="1:12" ht="15.75">
      <c r="A294" s="2093" t="s">
        <v>2550</v>
      </c>
      <c r="B294" s="2318">
        <f ca="1">(B$233*Mat_Sum!$D33)+(B$234*Mat_Sum!$E33)+(B$235*Mat_Sum!$F33)+(B$236*Mat_Sum!$L33)+(B$237*Mat_Sum!$I33)+(B$238*Mat_Sum!$AG33)+(B$239*Mat_Sum!$F33)+(B$240*((88%*Mat_Sum!$AG33)+(12%*0)))+(B$241*'C.Iron'!$I80)+(B$242*((80%*Mat_Sum!$U33)+(20%*Mat_Sum!$BA33)))+(B$243*Mat_Sum!$U33)+(B$244*Mat_Sum!$BA33)+(B$245*Mat_Sum!$CP33)+(B$246*0)+(B$247*Mat_Sum!$AZ33)+(B$248*Mat_Sum!$AW33)+(B$249*Mat_Sum!$AV33)+(B$250*Mat_Sum!$AR33)+(B$251*Mat_Sum!$CQ33)+(B$252*Mat_Sum!$AQ33)+(B$253*Mat_Sum!$AO33)+(B$254*Mat_Sum!$AP33)+(B$255*Mat_Sum!$BJ33)+(B$256*Mat_Sum!$BI33)+(B$257*Mat_Sum!$AR33)+(B$258*Mat_Sum!$BH33)+(B$259*Mat_Sum!$AU33)+(B$260*Mat_Sum!$AS33)+(B$261*Mat_Sum!$AN33)+(B$262*Mat_Sum!$AM33)+(B$263*Mat_Sum!$CF33)+(B$264*0)+(B$265*Mat_Sum!$CF33)+(B$266*0)+(B$267*0)+(B$268*0)+(B$269*0)+(B$270*0)+(B$271*Silicon!$K90)+(B$272*Mat_Sum!$BG33)+(B$273*0)+(B$274*0)</f>
        <v>25653939.230040953</v>
      </c>
      <c r="C294" s="2144">
        <f ca="1">(C$233*Mat_Sum!$D33)+(C$234*Mat_Sum!$E33)+(C$235*Mat_Sum!$F33)+(C$236*Mat_Sum!$L33)+(C$237*Mat_Sum!$I33)+(C$238*Mat_Sum!$AG33)+(C$239*Mat_Sum!$F33)+(C$240*((88%*Mat_Sum!$AG33)+(12%*0)))+(C$241*'C.Iron'!$I80)+(C$242*((80%*Mat_Sum!$U33)+(20%*Mat_Sum!$BA33)))+(C$243*Mat_Sum!$U33)+(C$244*Mat_Sum!$BA33)+(C$245*Mat_Sum!$CP33)+(C$246*0)+(C$247*Mat_Sum!$AZ33)+(C$248*Mat_Sum!$AW33)+(C$249*Mat_Sum!$AV33)+(C$250*Mat_Sum!$AR33)+(C$251*Mat_Sum!$CQ33)+(C$252*Mat_Sum!$AQ33)+(C$253*Mat_Sum!$AO33)+(C$254*Mat_Sum!$AP33)+(C$255*Mat_Sum!$BJ33)+(C$256*Mat_Sum!$BI33)+(C$257*Mat_Sum!$AR33)+(C$258*Mat_Sum!$BH33)+(C$259*Mat_Sum!$AU33)+(C$260*Mat_Sum!$AS33)+(C$261*Mat_Sum!$AN33)+(C$262*Mat_Sum!$AM33)+(C$263*Mat_Sum!$CF33)+(C$264*0)+(C$265*Mat_Sum!$CF33)+(C$266*0)+(C$267*0)+(C$268*0)+(C$269*0)+(C$270*0)+(C$271*Silicon!$K90)+(C$272*Mat_Sum!$BG33)+(C$273*0)+(C$274*0)</f>
        <v>25859336.810402207</v>
      </c>
      <c r="D294" s="2144">
        <f ca="1">(D$233*Mat_Sum!$D33)+(D$234*Mat_Sum!$E33)+(D$235*Mat_Sum!$F33)+(D$236*Mat_Sum!$L33)+(D$237*Mat_Sum!$I33)+(D$238*Mat_Sum!$AG33)+(D$239*Mat_Sum!$F33)+(D$240*((88%*Mat_Sum!$AG33)+(12%*0)))+(D$241*'C.Iron'!$I80)+(D$242*((80%*Mat_Sum!$U33)+(20%*Mat_Sum!$BA33)))+(D$243*Mat_Sum!$U33)+(D$244*Mat_Sum!$BA33)+(D$245*Mat_Sum!$CP33)+(D$246*0)+(D$247*Mat_Sum!$AZ33)+(D$248*Mat_Sum!$AW33)+(D$249*Mat_Sum!$AV33)+(D$250*Mat_Sum!$AR33)+(D$251*Mat_Sum!$CQ33)+(D$252*Mat_Sum!$AQ33)+(D$253*Mat_Sum!$AO33)+(D$254*Mat_Sum!$AP33)+(D$255*Mat_Sum!$BJ33)+(D$256*Mat_Sum!$BI33)+(D$257*Mat_Sum!$AR33)+(D$258*Mat_Sum!$BH33)+(D$259*Mat_Sum!$AU33)+(D$260*Mat_Sum!$AS33)+(D$261*Mat_Sum!$AN33)+(D$262*Mat_Sum!$AM33)+(D$263*Mat_Sum!$CF33)+(D$264*0)+(D$265*Mat_Sum!$CF33)+(D$266*0)+(D$267*0)+(D$268*0)+(D$269*0)+(D$270*0)+(D$271*Silicon!$K90)+(D$272*Mat_Sum!$BG33)+(D$273*0)+(D$274*0)</f>
        <v>22823114.533741545</v>
      </c>
      <c r="E294" s="2293">
        <f ca="1">(E$233*Mat_Sum!$D33)+(E$234*Mat_Sum!$E33)+(E$235*Mat_Sum!$F33)+(E$236*Mat_Sum!$L33)+(E$237*Mat_Sum!$I33)+(E$238*Mat_Sum!$AG33)+(E$239*Mat_Sum!$F33)+(E$240*((88%*Mat_Sum!$AG33)+(12%*0)))+(E$241*'C.Iron'!$I80)+(E$242*((80%*Mat_Sum!$U33)+(20%*Mat_Sum!$BA33)))+(E$243*Mat_Sum!$U33)+(E$244*Mat_Sum!$BA33)+(E$245*Mat_Sum!$CP33)+(E$246*0)+(E$247*Mat_Sum!$AZ33)+(E$248*Mat_Sum!$AW33)+(E$249*Mat_Sum!$AV33)+(E$250*Mat_Sum!$AR33)+(E$251*Mat_Sum!$CQ33)+(E$252*Mat_Sum!$AQ33)+(E$253*Mat_Sum!$AO33)+(E$254*Mat_Sum!$AP33)+(E$255*Mat_Sum!$BJ33)+(E$256*Mat_Sum!$BI33)+(E$257*Mat_Sum!$AR33)+(E$258*Mat_Sum!$BH33)+(E$259*Mat_Sum!$AU33)+(E$260*Mat_Sum!$AS33)+(E$261*Mat_Sum!$AN33)+(E$262*Mat_Sum!$AM33)+(E$263*Mat_Sum!$CF33)+(E$264*0)+(E$265*Mat_Sum!$CF33)+(E$266*0)+(E$267*0)+(E$268*0)+(E$269*0)+(E$270*0)+(E$271*Silicon!$K90)+(E$272*Mat_Sum!$BG33)+(E$273*0)+(E$274*0)</f>
        <v>44210157.040527418</v>
      </c>
      <c r="F294" s="2144"/>
      <c r="G294" s="2144"/>
      <c r="H294" s="2144"/>
      <c r="I294" s="2144"/>
      <c r="J294" s="2144"/>
      <c r="K294" s="2144"/>
      <c r="L294" s="2144"/>
    </row>
    <row r="295" spans="1:12">
      <c r="A295" s="2142" t="s">
        <v>851</v>
      </c>
      <c r="B295" s="2399">
        <f ca="1">(B$233*Mat_Sum!$D34)+(B$234*Mat_Sum!$E34)+(B$235*Mat_Sum!$F34)+(B$236*Mat_Sum!$L34)+(B$237*Mat_Sum!$I34)+(B$238*Mat_Sum!$AG34)+(B$239*Mat_Sum!$F34)+(B$240*((88%*Mat_Sum!$AG34)+(12%*0)))+(B$241*'C.Iron'!$I81)+(B$242*((80%*Mat_Sum!$U34)+(20%*Mat_Sum!$BA34)))+(B$243*Mat_Sum!$U34)+(B$244*Mat_Sum!$BA34)+(B$245*Mat_Sum!$CP34)+(B$246*0)+(B$247*Mat_Sum!$AZ34)+(B$248*Mat_Sum!$AW34)+(B$249*Mat_Sum!$AV34)+(B$250*Mat_Sum!$AR34)+(B$251*Mat_Sum!$CQ34)+(B$252*Mat_Sum!$AQ34)+(B$253*Mat_Sum!$AO34)+(B$254*Mat_Sum!$AP34)+(B$255*Mat_Sum!$BJ34)+(B$256*Mat_Sum!$BI34)+(B$257*Mat_Sum!$AR34)+(B$258*Mat_Sum!$BH34)+(B$259*Mat_Sum!$AU34)+(B$260*Mat_Sum!$AS34)+(B$261*Mat_Sum!$AN34)+(B$262*Mat_Sum!$AM34)+(B$263*Mat_Sum!$CF34)+(B$264*0)+(B$265*Mat_Sum!$CF34)+(B$266*0)+(B$267*0)+(B$268*0)+(B$269*0)+(B$270*0)+(B$271*Silicon!$K91)+(B$272*Mat_Sum!$BG34)+(B$273*0)+(B$274*0)</f>
        <v>27736282.875453256</v>
      </c>
      <c r="C295" s="2272">
        <f ca="1">(C$233*Mat_Sum!$D34)+(C$234*Mat_Sum!$E34)+(C$235*Mat_Sum!$F34)+(C$236*Mat_Sum!$L34)+(C$237*Mat_Sum!$I34)+(C$238*Mat_Sum!$AG34)+(C$239*Mat_Sum!$F34)+(C$240*((88%*Mat_Sum!$AG34)+(12%*0)))+(C$241*'C.Iron'!$I81)+(C$242*((80%*Mat_Sum!$U34)+(20%*Mat_Sum!$BA34)))+(C$243*Mat_Sum!$U34)+(C$244*Mat_Sum!$BA34)+(C$245*Mat_Sum!$CP34)+(C$246*0)+(C$247*Mat_Sum!$AZ34)+(C$248*Mat_Sum!$AW34)+(C$249*Mat_Sum!$AV34)+(C$250*Mat_Sum!$AR34)+(C$251*Mat_Sum!$CQ34)+(C$252*Mat_Sum!$AQ34)+(C$253*Mat_Sum!$AO34)+(C$254*Mat_Sum!$AP34)+(C$255*Mat_Sum!$BJ34)+(C$256*Mat_Sum!$BI34)+(C$257*Mat_Sum!$AR34)+(C$258*Mat_Sum!$BH34)+(C$259*Mat_Sum!$AU34)+(C$260*Mat_Sum!$AS34)+(C$261*Mat_Sum!$AN34)+(C$262*Mat_Sum!$AM34)+(C$263*Mat_Sum!$CF34)+(C$264*0)+(C$265*Mat_Sum!$CF34)+(C$266*0)+(C$267*0)+(C$268*0)+(C$269*0)+(C$270*0)+(C$271*Silicon!$K91)+(C$272*Mat_Sum!$BG34)+(C$273*0)+(C$274*0)</f>
        <v>27960996.280694742</v>
      </c>
      <c r="D295" s="2272">
        <f ca="1">(D$233*Mat_Sum!$D34)+(D$234*Mat_Sum!$E34)+(D$235*Mat_Sum!$F34)+(D$236*Mat_Sum!$L34)+(D$237*Mat_Sum!$I34)+(D$238*Mat_Sum!$AG34)+(D$239*Mat_Sum!$F34)+(D$240*((88%*Mat_Sum!$AG34)+(12%*0)))+(D$241*'C.Iron'!$I81)+(D$242*((80%*Mat_Sum!$U34)+(20%*Mat_Sum!$BA34)))+(D$243*Mat_Sum!$U34)+(D$244*Mat_Sum!$BA34)+(D$245*Mat_Sum!$CP34)+(D$246*0)+(D$247*Mat_Sum!$AZ34)+(D$248*Mat_Sum!$AW34)+(D$249*Mat_Sum!$AV34)+(D$250*Mat_Sum!$AR34)+(D$251*Mat_Sum!$CQ34)+(D$252*Mat_Sum!$AQ34)+(D$253*Mat_Sum!$AO34)+(D$254*Mat_Sum!$AP34)+(D$255*Mat_Sum!$BJ34)+(D$256*Mat_Sum!$BI34)+(D$257*Mat_Sum!$AR34)+(D$258*Mat_Sum!$BH34)+(D$259*Mat_Sum!$AU34)+(D$260*Mat_Sum!$AS34)+(D$261*Mat_Sum!$AN34)+(D$262*Mat_Sum!$AM34)+(D$263*Mat_Sum!$CF34)+(D$264*0)+(D$265*Mat_Sum!$CF34)+(D$266*0)+(D$267*0)+(D$268*0)+(D$269*0)+(D$270*0)+(D$271*Silicon!$K91)+(D$272*Mat_Sum!$BG34)+(D$273*0)+(D$274*0)</f>
        <v>24609051.429910704</v>
      </c>
      <c r="E295" s="2226">
        <f ca="1">(E$233*Mat_Sum!$D34)+(E$234*Mat_Sum!$E34)+(E$235*Mat_Sum!$F34)+(E$236*Mat_Sum!$L34)+(E$237*Mat_Sum!$I34)+(E$238*Mat_Sum!$AG34)+(E$239*Mat_Sum!$F34)+(E$240*((88%*Mat_Sum!$AG34)+(12%*0)))+(E$241*'C.Iron'!$I81)+(E$242*((80%*Mat_Sum!$U34)+(20%*Mat_Sum!$BA34)))+(E$243*Mat_Sum!$U34)+(E$244*Mat_Sum!$BA34)+(E$245*Mat_Sum!$CP34)+(E$246*0)+(E$247*Mat_Sum!$AZ34)+(E$248*Mat_Sum!$AW34)+(E$249*Mat_Sum!$AV34)+(E$250*Mat_Sum!$AR34)+(E$251*Mat_Sum!$CQ34)+(E$252*Mat_Sum!$AQ34)+(E$253*Mat_Sum!$AO34)+(E$254*Mat_Sum!$AP34)+(E$255*Mat_Sum!$BJ34)+(E$256*Mat_Sum!$BI34)+(E$257*Mat_Sum!$AR34)+(E$258*Mat_Sum!$BH34)+(E$259*Mat_Sum!$AU34)+(E$260*Mat_Sum!$AS34)+(E$261*Mat_Sum!$AN34)+(E$262*Mat_Sum!$AM34)+(E$263*Mat_Sum!$CF34)+(E$264*0)+(E$265*Mat_Sum!$CF34)+(E$266*0)+(E$267*0)+(E$268*0)+(E$269*0)+(E$270*0)+(E$271*Silicon!$K91)+(E$272*Mat_Sum!$BG34)+(E$273*0)+(E$274*0)</f>
        <v>48125131.076399811</v>
      </c>
      <c r="F295" s="2144"/>
      <c r="G295" s="2144"/>
      <c r="H295" s="2144"/>
      <c r="I295" s="2144"/>
      <c r="J295" s="2144"/>
      <c r="K295" s="2144"/>
      <c r="L295" s="2144"/>
    </row>
    <row r="296" spans="1:12">
      <c r="A296" s="2176" t="s">
        <v>1521</v>
      </c>
      <c r="B296" s="2172"/>
      <c r="C296" s="2251"/>
      <c r="D296" s="2251"/>
      <c r="E296" s="2186"/>
      <c r="F296" s="2136"/>
      <c r="G296" s="2136"/>
      <c r="H296" s="2136"/>
      <c r="I296" s="2136"/>
      <c r="J296" s="2136"/>
      <c r="K296" s="2136"/>
      <c r="L296" s="2136"/>
    </row>
    <row r="297" spans="1:12">
      <c r="A297" s="2093" t="s">
        <v>821</v>
      </c>
      <c r="B297" s="2151">
        <f ca="1">(B$233*Mat_Sum!$D36)+(B$234*Mat_Sum!$E36)+(B$235*Mat_Sum!$F36)+(B$236*Mat_Sum!$L36)+(B$237*Mat_Sum!$I36)+(B$238*Mat_Sum!$AG36)+(B$239*Mat_Sum!$F36)+(B$240*((88%*Mat_Sum!$AG36)+(12%*0)))+(B$241*'C.Iron'!$I83)+(B$242*((80%*Mat_Sum!$U36)+(20%*Mat_Sum!$BA36)))+(B$243*Mat_Sum!$U36)+(B$244*Mat_Sum!$BA36)+(B$245*Mat_Sum!$CP36)+(B$246*0)+(B$247*Mat_Sum!$AZ36)+(B$248*Mat_Sum!$AW36)+(B$249*Mat_Sum!$AV36)+(B$250*Mat_Sum!$AR36)+(B$251*Mat_Sum!$CQ36)+(B$252*Mat_Sum!$AQ36)+(B$253*Mat_Sum!$AO36)+(B$254*Mat_Sum!$AP36)+(B$255*Mat_Sum!$BJ36)+(B$256*Mat_Sum!$BI36)+(B$257*Mat_Sum!$AR36)+(B$258*Mat_Sum!$BH36)+(B$259*Mat_Sum!$AU36)+(B$260*Mat_Sum!$AS36)+(B$261*Mat_Sum!$AN36)+(B$262*Mat_Sum!$AM36)+(B$263*Mat_Sum!$CF36)+(B$264*0)+(B$265*Mat_Sum!$CF36)+(B$266*0)+(B$267*0)+(B$268*0)+(B$269*0)+(B$270*0)+(B$271*Silicon!$K93)+(B$272*Mat_Sum!$BG36)+(B$273*0)+(B$274*0)</f>
        <v>220.93248341256572</v>
      </c>
      <c r="C297" s="2136">
        <f ca="1">(C$233*Mat_Sum!$D36)+(C$234*Mat_Sum!$E36)+(C$235*Mat_Sum!$F36)+(C$236*Mat_Sum!$L36)+(C$237*Mat_Sum!$I36)+(C$238*Mat_Sum!$AG36)+(C$239*Mat_Sum!$F36)+(C$240*((88%*Mat_Sum!$AG36)+(12%*0)))+(C$241*'C.Iron'!$I83)+(C$242*((80%*Mat_Sum!$U36)+(20%*Mat_Sum!$BA36)))+(C$243*Mat_Sum!$U36)+(C$244*Mat_Sum!$BA36)+(C$245*Mat_Sum!$CP36)+(C$246*0)+(C$247*Mat_Sum!$AZ36)+(C$248*Mat_Sum!$AW36)+(C$249*Mat_Sum!$AV36)+(C$250*Mat_Sum!$AR36)+(C$251*Mat_Sum!$CQ36)+(C$252*Mat_Sum!$AQ36)+(C$253*Mat_Sum!$AO36)+(C$254*Mat_Sum!$AP36)+(C$255*Mat_Sum!$BJ36)+(C$256*Mat_Sum!$BI36)+(C$257*Mat_Sum!$AR36)+(C$258*Mat_Sum!$BH36)+(C$259*Mat_Sum!$AU36)+(C$260*Mat_Sum!$AS36)+(C$261*Mat_Sum!$AN36)+(C$262*Mat_Sum!$AM36)+(C$263*Mat_Sum!$CF36)+(C$264*0)+(C$265*Mat_Sum!$CF36)+(C$266*0)+(C$267*0)+(C$268*0)+(C$269*0)+(C$270*0)+(C$271*Silicon!$K93)+(C$272*Mat_Sum!$BG36)+(C$273*0)+(C$274*0)</f>
        <v>222.601781029883</v>
      </c>
      <c r="D297" s="2136">
        <f ca="1">(D$233*Mat_Sum!$D36)+(D$234*Mat_Sum!$E36)+(D$235*Mat_Sum!$F36)+(D$236*Mat_Sum!$L36)+(D$237*Mat_Sum!$I36)+(D$238*Mat_Sum!$AG36)+(D$239*Mat_Sum!$F36)+(D$240*((88%*Mat_Sum!$AG36)+(12%*0)))+(D$241*'C.Iron'!$I83)+(D$242*((80%*Mat_Sum!$U36)+(20%*Mat_Sum!$BA36)))+(D$243*Mat_Sum!$U36)+(D$244*Mat_Sum!$BA36)+(D$245*Mat_Sum!$CP36)+(D$246*0)+(D$247*Mat_Sum!$AZ36)+(D$248*Mat_Sum!$AW36)+(D$249*Mat_Sum!$AV36)+(D$250*Mat_Sum!$AR36)+(D$251*Mat_Sum!$CQ36)+(D$252*Mat_Sum!$AQ36)+(D$253*Mat_Sum!$AO36)+(D$254*Mat_Sum!$AP36)+(D$255*Mat_Sum!$BJ36)+(D$256*Mat_Sum!$BI36)+(D$257*Mat_Sum!$AR36)+(D$258*Mat_Sum!$BH36)+(D$259*Mat_Sum!$AU36)+(D$260*Mat_Sum!$AS36)+(D$261*Mat_Sum!$AN36)+(D$262*Mat_Sum!$AM36)+(D$263*Mat_Sum!$CF36)+(D$264*0)+(D$265*Mat_Sum!$CF36)+(D$266*0)+(D$267*0)+(D$268*0)+(D$269*0)+(D$270*0)+(D$271*Silicon!$K93)+(D$272*Mat_Sum!$BG36)+(D$273*0)+(D$274*0)</f>
        <v>196.07756939952105</v>
      </c>
      <c r="E297" s="2185">
        <f ca="1">(E$233*Mat_Sum!$D36)+(E$234*Mat_Sum!$E36)+(E$235*Mat_Sum!$F36)+(E$236*Mat_Sum!$L36)+(E$237*Mat_Sum!$I36)+(E$238*Mat_Sum!$AG36)+(E$239*Mat_Sum!$F36)+(E$240*((88%*Mat_Sum!$AG36)+(12%*0)))+(E$241*'C.Iron'!$I83)+(E$242*((80%*Mat_Sum!$U36)+(20%*Mat_Sum!$BA36)))+(E$243*Mat_Sum!$U36)+(E$244*Mat_Sum!$BA36)+(E$245*Mat_Sum!$CP36)+(E$246*0)+(E$247*Mat_Sum!$AZ36)+(E$248*Mat_Sum!$AW36)+(E$249*Mat_Sum!$AV36)+(E$250*Mat_Sum!$AR36)+(E$251*Mat_Sum!$CQ36)+(E$252*Mat_Sum!$AQ36)+(E$253*Mat_Sum!$AO36)+(E$254*Mat_Sum!$AP36)+(E$255*Mat_Sum!$BJ36)+(E$256*Mat_Sum!$BI36)+(E$257*Mat_Sum!$AR36)+(E$258*Mat_Sum!$BH36)+(E$259*Mat_Sum!$AU36)+(E$260*Mat_Sum!$AS36)+(E$261*Mat_Sum!$AN36)+(E$262*Mat_Sum!$AM36)+(E$263*Mat_Sum!$CF36)+(E$264*0)+(E$265*Mat_Sum!$CF36)+(E$266*0)+(E$267*0)+(E$268*0)+(E$269*0)+(E$270*0)+(E$271*Silicon!$K93)+(E$272*Mat_Sum!$BG36)+(E$273*0)+(E$274*0)</f>
        <v>906.80080225554048</v>
      </c>
      <c r="F297" s="2136"/>
      <c r="G297" s="2136"/>
      <c r="H297" s="2136"/>
      <c r="I297" s="2136"/>
      <c r="J297" s="2136"/>
      <c r="K297" s="2136"/>
      <c r="L297" s="2136"/>
    </row>
    <row r="298" spans="1:12">
      <c r="A298" s="2093" t="s">
        <v>822</v>
      </c>
      <c r="B298" s="2151">
        <f ca="1">(B$233*Mat_Sum!$D37)+(B$234*Mat_Sum!$E37)+(B$235*Mat_Sum!$F37)+(B$236*Mat_Sum!$L37)+(B$237*Mat_Sum!$I37)+(B$238*Mat_Sum!$AG37)+(B$239*Mat_Sum!$F37)+(B$240*((88%*Mat_Sum!$AG37)+(12%*0)))+(B$241*'C.Iron'!$I84)+(B$242*((80%*Mat_Sum!$U37)+(20%*Mat_Sum!$BA37)))+(B$243*Mat_Sum!$U37)+(B$244*Mat_Sum!$BA37)+(B$245*Mat_Sum!$CP37)+(B$246*0)+(B$247*Mat_Sum!$AZ37)+(B$248*Mat_Sum!$AW37)+(B$249*Mat_Sum!$AV37)+(B$250*Mat_Sum!$AR37)+(B$251*Mat_Sum!$CQ37)+(B$252*Mat_Sum!$AQ37)+(B$253*Mat_Sum!$AO37)+(B$254*Mat_Sum!$AP37)+(B$255*Mat_Sum!$BJ37)+(B$256*Mat_Sum!$BI37)+(B$257*Mat_Sum!$AR37)+(B$258*Mat_Sum!$BH37)+(B$259*Mat_Sum!$AU37)+(B$260*Mat_Sum!$AS37)+(B$261*Mat_Sum!$AN37)+(B$262*Mat_Sum!$AM37)+(B$263*Mat_Sum!$CF37)+(B$264*0)+(B$265*Mat_Sum!$CF37)+(B$266*0)+(B$267*0)+(B$268*0)+(B$269*0)+(B$270*0)+(B$271*Silicon!$K94)+(B$272*Mat_Sum!$BG37)+(B$273*0)+(B$274*0)</f>
        <v>692.39959432694843</v>
      </c>
      <c r="C298" s="2136">
        <f ca="1">(C$233*Mat_Sum!$D37)+(C$234*Mat_Sum!$E37)+(C$235*Mat_Sum!$F37)+(C$236*Mat_Sum!$L37)+(C$237*Mat_Sum!$I37)+(C$238*Mat_Sum!$AG37)+(C$239*Mat_Sum!$F37)+(C$240*((88%*Mat_Sum!$AG37)+(12%*0)))+(C$241*'C.Iron'!$I84)+(C$242*((80%*Mat_Sum!$U37)+(20%*Mat_Sum!$BA37)))+(C$243*Mat_Sum!$U37)+(C$244*Mat_Sum!$BA37)+(C$245*Mat_Sum!$CP37)+(C$246*0)+(C$247*Mat_Sum!$AZ37)+(C$248*Mat_Sum!$AW37)+(C$249*Mat_Sum!$AV37)+(C$250*Mat_Sum!$AR37)+(C$251*Mat_Sum!$CQ37)+(C$252*Mat_Sum!$AQ37)+(C$253*Mat_Sum!$AO37)+(C$254*Mat_Sum!$AP37)+(C$255*Mat_Sum!$BJ37)+(C$256*Mat_Sum!$BI37)+(C$257*Mat_Sum!$AR37)+(C$258*Mat_Sum!$BH37)+(C$259*Mat_Sum!$AU37)+(C$260*Mat_Sum!$AS37)+(C$261*Mat_Sum!$AN37)+(C$262*Mat_Sum!$AM37)+(C$263*Mat_Sum!$CF37)+(C$264*0)+(C$265*Mat_Sum!$CF37)+(C$266*0)+(C$267*0)+(C$268*0)+(C$269*0)+(C$270*0)+(C$271*Silicon!$K94)+(C$272*Mat_Sum!$BG37)+(C$273*0)+(C$274*0)</f>
        <v>699.40440200391311</v>
      </c>
      <c r="D298" s="2136">
        <f ca="1">(D$233*Mat_Sum!$D37)+(D$234*Mat_Sum!$E37)+(D$235*Mat_Sum!$F37)+(D$236*Mat_Sum!$L37)+(D$237*Mat_Sum!$I37)+(D$238*Mat_Sum!$AG37)+(D$239*Mat_Sum!$F37)+(D$240*((88%*Mat_Sum!$AG37)+(12%*0)))+(D$241*'C.Iron'!$I84)+(D$242*((80%*Mat_Sum!$U37)+(20%*Mat_Sum!$BA37)))+(D$243*Mat_Sum!$U37)+(D$244*Mat_Sum!$BA37)+(D$245*Mat_Sum!$CP37)+(D$246*0)+(D$247*Mat_Sum!$AZ37)+(D$248*Mat_Sum!$AW37)+(D$249*Mat_Sum!$AV37)+(D$250*Mat_Sum!$AR37)+(D$251*Mat_Sum!$CQ37)+(D$252*Mat_Sum!$AQ37)+(D$253*Mat_Sum!$AO37)+(D$254*Mat_Sum!$AP37)+(D$255*Mat_Sum!$BJ37)+(D$256*Mat_Sum!$BI37)+(D$257*Mat_Sum!$AR37)+(D$258*Mat_Sum!$BH37)+(D$259*Mat_Sum!$AU37)+(D$260*Mat_Sum!$AS37)+(D$261*Mat_Sum!$AN37)+(D$262*Mat_Sum!$AM37)+(D$263*Mat_Sum!$CF37)+(D$264*0)+(D$265*Mat_Sum!$CF37)+(D$266*0)+(D$267*0)+(D$268*0)+(D$269*0)+(D$270*0)+(D$271*Silicon!$K94)+(D$272*Mat_Sum!$BG37)+(D$273*0)+(D$274*0)</f>
        <v>609.72269280816511</v>
      </c>
      <c r="E298" s="2185">
        <f ca="1">(E$233*Mat_Sum!$D37)+(E$234*Mat_Sum!$E37)+(E$235*Mat_Sum!$F37)+(E$236*Mat_Sum!$L37)+(E$237*Mat_Sum!$I37)+(E$238*Mat_Sum!$AG37)+(E$239*Mat_Sum!$F37)+(E$240*((88%*Mat_Sum!$AG37)+(12%*0)))+(E$241*'C.Iron'!$I84)+(E$242*((80%*Mat_Sum!$U37)+(20%*Mat_Sum!$BA37)))+(E$243*Mat_Sum!$U37)+(E$244*Mat_Sum!$BA37)+(E$245*Mat_Sum!$CP37)+(E$246*0)+(E$247*Mat_Sum!$AZ37)+(E$248*Mat_Sum!$AW37)+(E$249*Mat_Sum!$AV37)+(E$250*Mat_Sum!$AR37)+(E$251*Mat_Sum!$CQ37)+(E$252*Mat_Sum!$AQ37)+(E$253*Mat_Sum!$AO37)+(E$254*Mat_Sum!$AP37)+(E$255*Mat_Sum!$BJ37)+(E$256*Mat_Sum!$BI37)+(E$257*Mat_Sum!$AR37)+(E$258*Mat_Sum!$BH37)+(E$259*Mat_Sum!$AU37)+(E$260*Mat_Sum!$AS37)+(E$261*Mat_Sum!$AN37)+(E$262*Mat_Sum!$AM37)+(E$263*Mat_Sum!$CF37)+(E$264*0)+(E$265*Mat_Sum!$CF37)+(E$266*0)+(E$267*0)+(E$268*0)+(E$269*0)+(E$270*0)+(E$271*Silicon!$K94)+(E$272*Mat_Sum!$BG37)+(E$273*0)+(E$274*0)</f>
        <v>1975.5003450502372</v>
      </c>
      <c r="F298" s="2136"/>
      <c r="G298" s="2136"/>
      <c r="H298" s="2136"/>
      <c r="I298" s="2136"/>
      <c r="J298" s="2136"/>
      <c r="K298" s="2136"/>
      <c r="L298" s="2136"/>
    </row>
    <row r="299" spans="1:12" ht="15.75">
      <c r="A299" s="2093" t="s">
        <v>2542</v>
      </c>
      <c r="B299" s="2151">
        <f ca="1">(B$233*Mat_Sum!$D38)+(B$234*Mat_Sum!$E38)+(B$235*Mat_Sum!$F38)+(B$236*Mat_Sum!$L38)+(B$237*Mat_Sum!$I38)+(B$238*Mat_Sum!$AG38)+(B$239*Mat_Sum!$F38)+(B$240*((88%*Mat_Sum!$AG38)+(12%*0)))+(B$241*'C.Iron'!$I85)+(B$242*((80%*Mat_Sum!$U38)+(20%*Mat_Sum!$BA38)))+(B$243*Mat_Sum!$U38)+(B$244*Mat_Sum!$BA38)+(B$245*Mat_Sum!$CP38)+(B$246*0)+(B$247*Mat_Sum!$AZ38)+(B$248*Mat_Sum!$AW38)+(B$249*Mat_Sum!$AV38)+(B$250*Mat_Sum!$AR38)+(B$251*Mat_Sum!$CQ38)+(B$252*Mat_Sum!$AQ38)+(B$253*Mat_Sum!$AO38)+(B$254*Mat_Sum!$AP38)+(B$255*Mat_Sum!$BJ38)+(B$256*Mat_Sum!$BI38)+(B$257*Mat_Sum!$AR38)+(B$258*Mat_Sum!$BH38)+(B$259*Mat_Sum!$AU38)+(B$260*Mat_Sum!$AS38)+(B$261*Mat_Sum!$AN38)+(B$262*Mat_Sum!$AM38)+(B$263*Mat_Sum!$CF38)+(B$264*0)+(B$265*Mat_Sum!$CF38)+(B$266*0)+(B$267*0)+(B$268*0)+(B$269*0)+(B$270*0)+(B$271*Silicon!$K95)+(B$272*Mat_Sum!$BG38)+(B$273*0)+(B$274*0)</f>
        <v>1418.6136097509207</v>
      </c>
      <c r="C299" s="2136">
        <f ca="1">(C$233*Mat_Sum!$D38)+(C$234*Mat_Sum!$E38)+(C$235*Mat_Sum!$F38)+(C$236*Mat_Sum!$L38)+(C$237*Mat_Sum!$I38)+(C$238*Mat_Sum!$AG38)+(C$239*Mat_Sum!$F38)+(C$240*((88%*Mat_Sum!$AG38)+(12%*0)))+(C$241*'C.Iron'!$I85)+(C$242*((80%*Mat_Sum!$U38)+(20%*Mat_Sum!$BA38)))+(C$243*Mat_Sum!$U38)+(C$244*Mat_Sum!$BA38)+(C$245*Mat_Sum!$CP38)+(C$246*0)+(C$247*Mat_Sum!$AZ38)+(C$248*Mat_Sum!$AW38)+(C$249*Mat_Sum!$AV38)+(C$250*Mat_Sum!$AR38)+(C$251*Mat_Sum!$CQ38)+(C$252*Mat_Sum!$AQ38)+(C$253*Mat_Sum!$AO38)+(C$254*Mat_Sum!$AP38)+(C$255*Mat_Sum!$BJ38)+(C$256*Mat_Sum!$BI38)+(C$257*Mat_Sum!$AR38)+(C$258*Mat_Sum!$BH38)+(C$259*Mat_Sum!$AU38)+(C$260*Mat_Sum!$AS38)+(C$261*Mat_Sum!$AN38)+(C$262*Mat_Sum!$AM38)+(C$263*Mat_Sum!$CF38)+(C$264*0)+(C$265*Mat_Sum!$CF38)+(C$266*0)+(C$267*0)+(C$268*0)+(C$269*0)+(C$270*0)+(C$271*Silicon!$K95)+(C$272*Mat_Sum!$BG38)+(C$273*0)+(C$274*0)</f>
        <v>1435.4997681556715</v>
      </c>
      <c r="D299" s="2136">
        <f ca="1">(D$233*Mat_Sum!$D38)+(D$234*Mat_Sum!$E38)+(D$235*Mat_Sum!$F38)+(D$236*Mat_Sum!$L38)+(D$237*Mat_Sum!$I38)+(D$238*Mat_Sum!$AG38)+(D$239*Mat_Sum!$F38)+(D$240*((88%*Mat_Sum!$AG38)+(12%*0)))+(D$241*'C.Iron'!$I85)+(D$242*((80%*Mat_Sum!$U38)+(20%*Mat_Sum!$BA38)))+(D$243*Mat_Sum!$U38)+(D$244*Mat_Sum!$BA38)+(D$245*Mat_Sum!$CP38)+(D$246*0)+(D$247*Mat_Sum!$AZ38)+(D$248*Mat_Sum!$AW38)+(D$249*Mat_Sum!$AV38)+(D$250*Mat_Sum!$AR38)+(D$251*Mat_Sum!$CQ38)+(D$252*Mat_Sum!$AQ38)+(D$253*Mat_Sum!$AO38)+(D$254*Mat_Sum!$AP38)+(D$255*Mat_Sum!$BJ38)+(D$256*Mat_Sum!$BI38)+(D$257*Mat_Sum!$AR38)+(D$258*Mat_Sum!$BH38)+(D$259*Mat_Sum!$AU38)+(D$260*Mat_Sum!$AS38)+(D$261*Mat_Sum!$AN38)+(D$262*Mat_Sum!$AM38)+(D$263*Mat_Sum!$CF38)+(D$264*0)+(D$265*Mat_Sum!$CF38)+(D$266*0)+(D$267*0)+(D$268*0)+(D$269*0)+(D$270*0)+(D$271*Silicon!$K95)+(D$272*Mat_Sum!$BG38)+(D$273*0)+(D$274*0)</f>
        <v>1234.028080610733</v>
      </c>
      <c r="E299" s="2185">
        <f ca="1">(E$233*Mat_Sum!$D38)+(E$234*Mat_Sum!$E38)+(E$235*Mat_Sum!$F38)+(E$236*Mat_Sum!$L38)+(E$237*Mat_Sum!$I38)+(E$238*Mat_Sum!$AG38)+(E$239*Mat_Sum!$F38)+(E$240*((88%*Mat_Sum!$AG38)+(12%*0)))+(E$241*'C.Iron'!$I85)+(E$242*((80%*Mat_Sum!$U38)+(20%*Mat_Sum!$BA38)))+(E$243*Mat_Sum!$U38)+(E$244*Mat_Sum!$BA38)+(E$245*Mat_Sum!$CP38)+(E$246*0)+(E$247*Mat_Sum!$AZ38)+(E$248*Mat_Sum!$AW38)+(E$249*Mat_Sum!$AV38)+(E$250*Mat_Sum!$AR38)+(E$251*Mat_Sum!$CQ38)+(E$252*Mat_Sum!$AQ38)+(E$253*Mat_Sum!$AO38)+(E$254*Mat_Sum!$AP38)+(E$255*Mat_Sum!$BJ38)+(E$256*Mat_Sum!$BI38)+(E$257*Mat_Sum!$AR38)+(E$258*Mat_Sum!$BH38)+(E$259*Mat_Sum!$AU38)+(E$260*Mat_Sum!$AS38)+(E$261*Mat_Sum!$AN38)+(E$262*Mat_Sum!$AM38)+(E$263*Mat_Sum!$CF38)+(E$264*0)+(E$265*Mat_Sum!$CF38)+(E$266*0)+(E$267*0)+(E$268*0)+(E$269*0)+(E$270*0)+(E$271*Silicon!$K95)+(E$272*Mat_Sum!$BG38)+(E$273*0)+(E$274*0)</f>
        <v>4122.3958743219619</v>
      </c>
      <c r="F299" s="2136"/>
      <c r="G299" s="2136"/>
      <c r="H299" s="2136"/>
      <c r="I299" s="2136"/>
      <c r="J299" s="2136"/>
      <c r="K299" s="2136"/>
      <c r="L299" s="2136"/>
    </row>
    <row r="300" spans="1:12" ht="15.75">
      <c r="A300" s="2093" t="s">
        <v>2543</v>
      </c>
      <c r="B300" s="2151">
        <f ca="1">(B$233*Mat_Sum!$D39)+(B$234*Mat_Sum!$E39)+(B$235*Mat_Sum!$F39)+(B$236*Mat_Sum!$L39)+(B$237*Mat_Sum!$I39)+(B$238*Mat_Sum!$AG39)+(B$239*Mat_Sum!$F39)+(B$240*((88%*Mat_Sum!$AG39)+(12%*0)))+(B$241*'C.Iron'!$I86)+(B$242*((80%*Mat_Sum!$U39)+(20%*Mat_Sum!$BA39)))+(B$243*Mat_Sum!$U39)+(B$244*Mat_Sum!$BA39)+(B$245*Mat_Sum!$CP39)+(B$246*0)+(B$247*Mat_Sum!$AZ39)+(B$248*Mat_Sum!$AW39)+(B$249*Mat_Sum!$AV39)+(B$250*Mat_Sum!$AR39)+(B$251*Mat_Sum!$CQ39)+(B$252*Mat_Sum!$AQ39)+(B$253*Mat_Sum!$AO39)+(B$254*Mat_Sum!$AP39)+(B$255*Mat_Sum!$BJ39)+(B$256*Mat_Sum!$BI39)+(B$257*Mat_Sum!$AR39)+(B$258*Mat_Sum!$BH39)+(B$259*Mat_Sum!$AU39)+(B$260*Mat_Sum!$AS39)+(B$261*Mat_Sum!$AN39)+(B$262*Mat_Sum!$AM39)+(B$263*Mat_Sum!$CF39)+(B$264*0)+(B$265*Mat_Sum!$CF39)+(B$266*0)+(B$267*0)+(B$268*0)+(B$269*0)+(B$270*0)+(B$271*Silicon!$K96)+(B$272*Mat_Sum!$BG39)+(B$273*0)+(B$274*0)</f>
        <v>145.89282475214679</v>
      </c>
      <c r="C300" s="2136">
        <f ca="1">(C$233*Mat_Sum!$D39)+(C$234*Mat_Sum!$E39)+(C$235*Mat_Sum!$F39)+(C$236*Mat_Sum!$L39)+(C$237*Mat_Sum!$I39)+(C$238*Mat_Sum!$AG39)+(C$239*Mat_Sum!$F39)+(C$240*((88%*Mat_Sum!$AG39)+(12%*0)))+(C$241*'C.Iron'!$I86)+(C$242*((80%*Mat_Sum!$U39)+(20%*Mat_Sum!$BA39)))+(C$243*Mat_Sum!$U39)+(C$244*Mat_Sum!$BA39)+(C$245*Mat_Sum!$CP39)+(C$246*0)+(C$247*Mat_Sum!$AZ39)+(C$248*Mat_Sum!$AW39)+(C$249*Mat_Sum!$AV39)+(C$250*Mat_Sum!$AR39)+(C$251*Mat_Sum!$CQ39)+(C$252*Mat_Sum!$AQ39)+(C$253*Mat_Sum!$AO39)+(C$254*Mat_Sum!$AP39)+(C$255*Mat_Sum!$BJ39)+(C$256*Mat_Sum!$BI39)+(C$257*Mat_Sum!$AR39)+(C$258*Mat_Sum!$BH39)+(C$259*Mat_Sum!$AU39)+(C$260*Mat_Sum!$AS39)+(C$261*Mat_Sum!$AN39)+(C$262*Mat_Sum!$AM39)+(C$263*Mat_Sum!$CF39)+(C$264*0)+(C$265*Mat_Sum!$CF39)+(C$266*0)+(C$267*0)+(C$268*0)+(C$269*0)+(C$270*0)+(C$271*Silicon!$K96)+(C$272*Mat_Sum!$BG39)+(C$273*0)+(C$274*0)</f>
        <v>147.75551228994536</v>
      </c>
      <c r="D300" s="2136">
        <f ca="1">(D$233*Mat_Sum!$D39)+(D$234*Mat_Sum!$E39)+(D$235*Mat_Sum!$F39)+(D$236*Mat_Sum!$L39)+(D$237*Mat_Sum!$I39)+(D$238*Mat_Sum!$AG39)+(D$239*Mat_Sum!$F39)+(D$240*((88%*Mat_Sum!$AG39)+(12%*0)))+(D$241*'C.Iron'!$I86)+(D$242*((80%*Mat_Sum!$U39)+(20%*Mat_Sum!$BA39)))+(D$243*Mat_Sum!$U39)+(D$244*Mat_Sum!$BA39)+(D$245*Mat_Sum!$CP39)+(D$246*0)+(D$247*Mat_Sum!$AZ39)+(D$248*Mat_Sum!$AW39)+(D$249*Mat_Sum!$AV39)+(D$250*Mat_Sum!$AR39)+(D$251*Mat_Sum!$CQ39)+(D$252*Mat_Sum!$AQ39)+(D$253*Mat_Sum!$AO39)+(D$254*Mat_Sum!$AP39)+(D$255*Mat_Sum!$BJ39)+(D$256*Mat_Sum!$BI39)+(D$257*Mat_Sum!$AR39)+(D$258*Mat_Sum!$BH39)+(D$259*Mat_Sum!$AU39)+(D$260*Mat_Sum!$AS39)+(D$261*Mat_Sum!$AN39)+(D$262*Mat_Sum!$AM39)+(D$263*Mat_Sum!$CF39)+(D$264*0)+(D$265*Mat_Sum!$CF39)+(D$266*0)+(D$267*0)+(D$268*0)+(D$269*0)+(D$270*0)+(D$271*Silicon!$K96)+(D$272*Mat_Sum!$BG39)+(D$273*0)+(D$274*0)</f>
        <v>125.73920353929853</v>
      </c>
      <c r="E300" s="2185">
        <f ca="1">(E$233*Mat_Sum!$D39)+(E$234*Mat_Sum!$E39)+(E$235*Mat_Sum!$F39)+(E$236*Mat_Sum!$L39)+(E$237*Mat_Sum!$I39)+(E$238*Mat_Sum!$AG39)+(E$239*Mat_Sum!$F39)+(E$240*((88%*Mat_Sum!$AG39)+(12%*0)))+(E$241*'C.Iron'!$I86)+(E$242*((80%*Mat_Sum!$U39)+(20%*Mat_Sum!$BA39)))+(E$243*Mat_Sum!$U39)+(E$244*Mat_Sum!$BA39)+(E$245*Mat_Sum!$CP39)+(E$246*0)+(E$247*Mat_Sum!$AZ39)+(E$248*Mat_Sum!$AW39)+(E$249*Mat_Sum!$AV39)+(E$250*Mat_Sum!$AR39)+(E$251*Mat_Sum!$CQ39)+(E$252*Mat_Sum!$AQ39)+(E$253*Mat_Sum!$AO39)+(E$254*Mat_Sum!$AP39)+(E$255*Mat_Sum!$BJ39)+(E$256*Mat_Sum!$BI39)+(E$257*Mat_Sum!$AR39)+(E$258*Mat_Sum!$BH39)+(E$259*Mat_Sum!$AU39)+(E$260*Mat_Sum!$AS39)+(E$261*Mat_Sum!$AN39)+(E$262*Mat_Sum!$AM39)+(E$263*Mat_Sum!$CF39)+(E$264*0)+(E$265*Mat_Sum!$CF39)+(E$266*0)+(E$267*0)+(E$268*0)+(E$269*0)+(E$270*0)+(E$271*Silicon!$K96)+(E$272*Mat_Sum!$BG39)+(E$273*0)+(E$274*0)</f>
        <v>506.91007162053501</v>
      </c>
      <c r="F300" s="2136"/>
      <c r="G300" s="2136"/>
      <c r="H300" s="2136"/>
      <c r="I300" s="2136"/>
      <c r="J300" s="2136"/>
      <c r="K300" s="2136"/>
      <c r="L300" s="2136"/>
    </row>
    <row r="301" spans="1:12" ht="15.75">
      <c r="A301" s="2093" t="s">
        <v>2544</v>
      </c>
      <c r="B301" s="2151">
        <f ca="1">(B$233*Mat_Sum!$D40)+(B$234*Mat_Sum!$E40)+(B$235*Mat_Sum!$F40)+(B$236*Mat_Sum!$L40)+(B$237*Mat_Sum!$I40)+(B$238*Mat_Sum!$AG40)+(B$239*Mat_Sum!$F40)+(B$240*((88%*Mat_Sum!$AG40)+(12%*0)))+(B$241*'C.Iron'!$I87)+(B$242*((80%*Mat_Sum!$U40)+(20%*Mat_Sum!$BA40)))+(B$243*Mat_Sum!$U40)+(B$244*Mat_Sum!$BA40)+(B$245*Mat_Sum!$CP40)+(B$246*0)+(B$247*Mat_Sum!$AZ40)+(B$248*Mat_Sum!$AW40)+(B$249*Mat_Sum!$AV40)+(B$250*Mat_Sum!$AR40)+(B$251*Mat_Sum!$CQ40)+(B$252*Mat_Sum!$AQ40)+(B$253*Mat_Sum!$AO40)+(B$254*Mat_Sum!$AP40)+(B$255*Mat_Sum!$BJ40)+(B$256*Mat_Sum!$BI40)+(B$257*Mat_Sum!$AR40)+(B$258*Mat_Sum!$BH40)+(B$259*Mat_Sum!$AU40)+(B$260*Mat_Sum!$AS40)+(B$261*Mat_Sum!$AN40)+(B$262*Mat_Sum!$AM40)+(B$263*Mat_Sum!$CF40)+(B$264*0)+(B$265*Mat_Sum!$CF40)+(B$266*0)+(B$267*0)+(B$268*0)+(B$269*0)+(B$270*0)+(B$271*Silicon!$K97)+(B$272*Mat_Sum!$BG40)+(B$273*0)+(B$274*0)</f>
        <v>126.89749382083031</v>
      </c>
      <c r="C301" s="2136">
        <f ca="1">(C$233*Mat_Sum!$D40)+(C$234*Mat_Sum!$E40)+(C$235*Mat_Sum!$F40)+(C$236*Mat_Sum!$L40)+(C$237*Mat_Sum!$I40)+(C$238*Mat_Sum!$AG40)+(C$239*Mat_Sum!$F40)+(C$240*((88%*Mat_Sum!$AG40)+(12%*0)))+(C$241*'C.Iron'!$I87)+(C$242*((80%*Mat_Sum!$U40)+(20%*Mat_Sum!$BA40)))+(C$243*Mat_Sum!$U40)+(C$244*Mat_Sum!$BA40)+(C$245*Mat_Sum!$CP40)+(C$246*0)+(C$247*Mat_Sum!$AZ40)+(C$248*Mat_Sum!$AW40)+(C$249*Mat_Sum!$AV40)+(C$250*Mat_Sum!$AR40)+(C$251*Mat_Sum!$CQ40)+(C$252*Mat_Sum!$AQ40)+(C$253*Mat_Sum!$AO40)+(C$254*Mat_Sum!$AP40)+(C$255*Mat_Sum!$BJ40)+(C$256*Mat_Sum!$BI40)+(C$257*Mat_Sum!$AR40)+(C$258*Mat_Sum!$BH40)+(C$259*Mat_Sum!$AU40)+(C$260*Mat_Sum!$AS40)+(C$261*Mat_Sum!$AN40)+(C$262*Mat_Sum!$AM40)+(C$263*Mat_Sum!$CF40)+(C$264*0)+(C$265*Mat_Sum!$CF40)+(C$266*0)+(C$267*0)+(C$268*0)+(C$269*0)+(C$270*0)+(C$271*Silicon!$K97)+(C$272*Mat_Sum!$BG40)+(C$273*0)+(C$274*0)</f>
        <v>128.50100372857176</v>
      </c>
      <c r="D301" s="2136">
        <f ca="1">(D$233*Mat_Sum!$D40)+(D$234*Mat_Sum!$E40)+(D$235*Mat_Sum!$F40)+(D$236*Mat_Sum!$L40)+(D$237*Mat_Sum!$I40)+(D$238*Mat_Sum!$AG40)+(D$239*Mat_Sum!$F40)+(D$240*((88%*Mat_Sum!$AG40)+(12%*0)))+(D$241*'C.Iron'!$I87)+(D$242*((80%*Mat_Sum!$U40)+(20%*Mat_Sum!$BA40)))+(D$243*Mat_Sum!$U40)+(D$244*Mat_Sum!$BA40)+(D$245*Mat_Sum!$CP40)+(D$246*0)+(D$247*Mat_Sum!$AZ40)+(D$248*Mat_Sum!$AW40)+(D$249*Mat_Sum!$AV40)+(D$250*Mat_Sum!$AR40)+(D$251*Mat_Sum!$CQ40)+(D$252*Mat_Sum!$AQ40)+(D$253*Mat_Sum!$AO40)+(D$254*Mat_Sum!$AP40)+(D$255*Mat_Sum!$BJ40)+(D$256*Mat_Sum!$BI40)+(D$257*Mat_Sum!$AR40)+(D$258*Mat_Sum!$BH40)+(D$259*Mat_Sum!$AU40)+(D$260*Mat_Sum!$AS40)+(D$261*Mat_Sum!$AN40)+(D$262*Mat_Sum!$AM40)+(D$263*Mat_Sum!$CF40)+(D$264*0)+(D$265*Mat_Sum!$CF40)+(D$266*0)+(D$267*0)+(D$268*0)+(D$269*0)+(D$270*0)+(D$271*Silicon!$K97)+(D$272*Mat_Sum!$BG40)+(D$273*0)+(D$274*0)</f>
        <v>109.55712215639035</v>
      </c>
      <c r="E301" s="2185">
        <f ca="1">(E$233*Mat_Sum!$D40)+(E$234*Mat_Sum!$E40)+(E$235*Mat_Sum!$F40)+(E$236*Mat_Sum!$L40)+(E$237*Mat_Sum!$I40)+(E$238*Mat_Sum!$AG40)+(E$239*Mat_Sum!$F40)+(E$240*((88%*Mat_Sum!$AG40)+(12%*0)))+(E$241*'C.Iron'!$I87)+(E$242*((80%*Mat_Sum!$U40)+(20%*Mat_Sum!$BA40)))+(E$243*Mat_Sum!$U40)+(E$244*Mat_Sum!$BA40)+(E$245*Mat_Sum!$CP40)+(E$246*0)+(E$247*Mat_Sum!$AZ40)+(E$248*Mat_Sum!$AW40)+(E$249*Mat_Sum!$AV40)+(E$250*Mat_Sum!$AR40)+(E$251*Mat_Sum!$CQ40)+(E$252*Mat_Sum!$AQ40)+(E$253*Mat_Sum!$AO40)+(E$254*Mat_Sum!$AP40)+(E$255*Mat_Sum!$BJ40)+(E$256*Mat_Sum!$BI40)+(E$257*Mat_Sum!$AR40)+(E$258*Mat_Sum!$BH40)+(E$259*Mat_Sum!$AU40)+(E$260*Mat_Sum!$AS40)+(E$261*Mat_Sum!$AN40)+(E$262*Mat_Sum!$AM40)+(E$263*Mat_Sum!$CF40)+(E$264*0)+(E$265*Mat_Sum!$CF40)+(E$266*0)+(E$267*0)+(E$268*0)+(E$269*0)+(E$270*0)+(E$271*Silicon!$K97)+(E$272*Mat_Sum!$BG40)+(E$273*0)+(E$274*0)</f>
        <v>444.03738033853125</v>
      </c>
      <c r="F301" s="2136"/>
      <c r="G301" s="2136"/>
      <c r="H301" s="2136"/>
      <c r="I301" s="2136"/>
      <c r="J301" s="2136"/>
      <c r="K301" s="2136"/>
      <c r="L301" s="2136"/>
    </row>
    <row r="302" spans="1:12" ht="15.75">
      <c r="A302" s="2093" t="s">
        <v>2545</v>
      </c>
      <c r="B302" s="2151">
        <f ca="1">(B$233*Mat_Sum!$D41)+(B$234*Mat_Sum!$E41)+(B$235*Mat_Sum!$F41)+(B$236*Mat_Sum!$L41)+(B$237*Mat_Sum!$I41)+(B$238*Mat_Sum!$AG41)+(B$239*Mat_Sum!$F41)+(B$240*((88%*Mat_Sum!$AG41)+(12%*0)))+(B$241*'C.Iron'!$I88)+(B$242*((80%*Mat_Sum!$U41)+(20%*Mat_Sum!$BA41)))+(B$243*Mat_Sum!$U41)+(B$244*Mat_Sum!$BA41)+(B$245*Mat_Sum!$CP41)+(B$246*0)+(B$247*Mat_Sum!$AZ41)+(B$248*Mat_Sum!$AW41)+(B$249*Mat_Sum!$AV41)+(B$250*Mat_Sum!$AR41)+(B$251*Mat_Sum!$CQ41)+(B$252*Mat_Sum!$AQ41)+(B$253*Mat_Sum!$AO41)+(B$254*Mat_Sum!$AP41)+(B$255*Mat_Sum!$BJ41)+(B$256*Mat_Sum!$BI41)+(B$257*Mat_Sum!$AR41)+(B$258*Mat_Sum!$BH41)+(B$259*Mat_Sum!$AU41)+(B$260*Mat_Sum!$AS41)+(B$261*Mat_Sum!$AN41)+(B$262*Mat_Sum!$AM41)+(B$263*Mat_Sum!$CF41)+(B$264*0)+(B$265*Mat_Sum!$CF41)+(B$266*0)+(B$267*0)+(B$268*0)+(B$269*0)+(B$270*0)+(B$271*Silicon!$K98)+(B$272*Mat_Sum!$BG41)+(B$273*0)+(B$274*0)</f>
        <v>1132.0619981010502</v>
      </c>
      <c r="C302" s="2136">
        <f ca="1">(C$233*Mat_Sum!$D41)+(C$234*Mat_Sum!$E41)+(C$235*Mat_Sum!$F41)+(C$236*Mat_Sum!$L41)+(C$237*Mat_Sum!$I41)+(C$238*Mat_Sum!$AG41)+(C$239*Mat_Sum!$F41)+(C$240*((88%*Mat_Sum!$AG41)+(12%*0)))+(C$241*'C.Iron'!$I88)+(C$242*((80%*Mat_Sum!$U41)+(20%*Mat_Sum!$BA41)))+(C$243*Mat_Sum!$U41)+(C$244*Mat_Sum!$BA41)+(C$245*Mat_Sum!$CP41)+(C$246*0)+(C$247*Mat_Sum!$AZ41)+(C$248*Mat_Sum!$AW41)+(C$249*Mat_Sum!$AV41)+(C$250*Mat_Sum!$AR41)+(C$251*Mat_Sum!$CQ41)+(C$252*Mat_Sum!$AQ41)+(C$253*Mat_Sum!$AO41)+(C$254*Mat_Sum!$AP41)+(C$255*Mat_Sum!$BJ41)+(C$256*Mat_Sum!$BI41)+(C$257*Mat_Sum!$AR41)+(C$258*Mat_Sum!$BH41)+(C$259*Mat_Sum!$AU41)+(C$260*Mat_Sum!$AS41)+(C$261*Mat_Sum!$AN41)+(C$262*Mat_Sum!$AM41)+(C$263*Mat_Sum!$CF41)+(C$264*0)+(C$265*Mat_Sum!$CF41)+(C$266*0)+(C$267*0)+(C$268*0)+(C$269*0)+(C$270*0)+(C$271*Silicon!$K98)+(C$272*Mat_Sum!$BG41)+(C$273*0)+(C$274*0)</f>
        <v>1147.9231931960858</v>
      </c>
      <c r="D302" s="2136">
        <f ca="1">(D$233*Mat_Sum!$D41)+(D$234*Mat_Sum!$E41)+(D$235*Mat_Sum!$F41)+(D$236*Mat_Sum!$L41)+(D$237*Mat_Sum!$I41)+(D$238*Mat_Sum!$AG41)+(D$239*Mat_Sum!$F41)+(D$240*((88%*Mat_Sum!$AG41)+(12%*0)))+(D$241*'C.Iron'!$I88)+(D$242*((80%*Mat_Sum!$U41)+(20%*Mat_Sum!$BA41)))+(D$243*Mat_Sum!$U41)+(D$244*Mat_Sum!$BA41)+(D$245*Mat_Sum!$CP41)+(D$246*0)+(D$247*Mat_Sum!$AZ41)+(D$248*Mat_Sum!$AW41)+(D$249*Mat_Sum!$AV41)+(D$250*Mat_Sum!$AR41)+(D$251*Mat_Sum!$CQ41)+(D$252*Mat_Sum!$AQ41)+(D$253*Mat_Sum!$AO41)+(D$254*Mat_Sum!$AP41)+(D$255*Mat_Sum!$BJ41)+(D$256*Mat_Sum!$BI41)+(D$257*Mat_Sum!$AR41)+(D$258*Mat_Sum!$BH41)+(D$259*Mat_Sum!$AU41)+(D$260*Mat_Sum!$AS41)+(D$261*Mat_Sum!$AN41)+(D$262*Mat_Sum!$AM41)+(D$263*Mat_Sum!$CF41)+(D$264*0)+(D$265*Mat_Sum!$CF41)+(D$266*0)+(D$267*0)+(D$268*0)+(D$269*0)+(D$270*0)+(D$271*Silicon!$K98)+(D$272*Mat_Sum!$BG41)+(D$273*0)+(D$274*0)</f>
        <v>956.57908968447771</v>
      </c>
      <c r="E302" s="2185">
        <f ca="1">(E$233*Mat_Sum!$D41)+(E$234*Mat_Sum!$E41)+(E$235*Mat_Sum!$F41)+(E$236*Mat_Sum!$L41)+(E$237*Mat_Sum!$I41)+(E$238*Mat_Sum!$AG41)+(E$239*Mat_Sum!$F41)+(E$240*((88%*Mat_Sum!$AG41)+(12%*0)))+(E$241*'C.Iron'!$I88)+(E$242*((80%*Mat_Sum!$U41)+(20%*Mat_Sum!$BA41)))+(E$243*Mat_Sum!$U41)+(E$244*Mat_Sum!$BA41)+(E$245*Mat_Sum!$CP41)+(E$246*0)+(E$247*Mat_Sum!$AZ41)+(E$248*Mat_Sum!$AW41)+(E$249*Mat_Sum!$AV41)+(E$250*Mat_Sum!$AR41)+(E$251*Mat_Sum!$CQ41)+(E$252*Mat_Sum!$AQ41)+(E$253*Mat_Sum!$AO41)+(E$254*Mat_Sum!$AP41)+(E$255*Mat_Sum!$BJ41)+(E$256*Mat_Sum!$BI41)+(E$257*Mat_Sum!$AR41)+(E$258*Mat_Sum!$BH41)+(E$259*Mat_Sum!$AU41)+(E$260*Mat_Sum!$AS41)+(E$261*Mat_Sum!$AN41)+(E$262*Mat_Sum!$AM41)+(E$263*Mat_Sum!$CF41)+(E$264*0)+(E$265*Mat_Sum!$CF41)+(E$266*0)+(E$267*0)+(E$268*0)+(E$269*0)+(E$270*0)+(E$271*Silicon!$K98)+(E$272*Mat_Sum!$BG41)+(E$273*0)+(E$274*0)</f>
        <v>3427.3593625030226</v>
      </c>
      <c r="F302" s="2136"/>
      <c r="G302" s="2136"/>
      <c r="H302" s="2136"/>
      <c r="I302" s="2136"/>
      <c r="J302" s="2136"/>
      <c r="K302" s="2136"/>
      <c r="L302" s="2136"/>
    </row>
    <row r="303" spans="1:12">
      <c r="A303" s="2093" t="s">
        <v>827</v>
      </c>
      <c r="B303" s="2151">
        <f ca="1">(B$233*Mat_Sum!$D42)+(B$234*Mat_Sum!$E42)+(B$235*Mat_Sum!$F42)+(B$236*Mat_Sum!$L42)+(B$237*Mat_Sum!$I42)+(B$238*Mat_Sum!$AG42)+(B$239*Mat_Sum!$F42)+(B$240*((88%*Mat_Sum!$AG42)+(12%*0)))+(B$241*'C.Iron'!$I89)+(B$242*((80%*Mat_Sum!$U42)+(20%*Mat_Sum!$BA42)))+(B$243*Mat_Sum!$U42)+(B$244*Mat_Sum!$BA42)+(B$245*Mat_Sum!$CP42)+(B$246*0)+(B$247*Mat_Sum!$AZ42)+(B$248*Mat_Sum!$AW42)+(B$249*Mat_Sum!$AV42)+(B$250*Mat_Sum!$AR42)+(B$251*Mat_Sum!$CQ42)+(B$252*Mat_Sum!$AQ42)+(B$253*Mat_Sum!$AO42)+(B$254*Mat_Sum!$AP42)+(B$255*Mat_Sum!$BJ42)+(B$256*Mat_Sum!$BI42)+(B$257*Mat_Sum!$AR42)+(B$258*Mat_Sum!$BH42)+(B$259*Mat_Sum!$AU42)+(B$260*Mat_Sum!$AS42)+(B$261*Mat_Sum!$AN42)+(B$262*Mat_Sum!$AM42)+(B$263*Mat_Sum!$CF42)+(B$264*0)+(B$265*Mat_Sum!$CF42)+(B$266*0)+(B$267*0)+(B$268*0)+(B$269*0)+(B$270*0)+(B$271*Silicon!$K99)+(B$272*Mat_Sum!$BG42)+(B$273*0)+(B$274*0)</f>
        <v>7.5850840097975505</v>
      </c>
      <c r="C303" s="2136">
        <f ca="1">(C$233*Mat_Sum!$D42)+(C$234*Mat_Sum!$E42)+(C$235*Mat_Sum!$F42)+(C$236*Mat_Sum!$L42)+(C$237*Mat_Sum!$I42)+(C$238*Mat_Sum!$AG42)+(C$239*Mat_Sum!$F42)+(C$240*((88%*Mat_Sum!$AG42)+(12%*0)))+(C$241*'C.Iron'!$I89)+(C$242*((80%*Mat_Sum!$U42)+(20%*Mat_Sum!$BA42)))+(C$243*Mat_Sum!$U42)+(C$244*Mat_Sum!$BA42)+(C$245*Mat_Sum!$CP42)+(C$246*0)+(C$247*Mat_Sum!$AZ42)+(C$248*Mat_Sum!$AW42)+(C$249*Mat_Sum!$AV42)+(C$250*Mat_Sum!$AR42)+(C$251*Mat_Sum!$CQ42)+(C$252*Mat_Sum!$AQ42)+(C$253*Mat_Sum!$AO42)+(C$254*Mat_Sum!$AP42)+(C$255*Mat_Sum!$BJ42)+(C$256*Mat_Sum!$BI42)+(C$257*Mat_Sum!$AR42)+(C$258*Mat_Sum!$BH42)+(C$259*Mat_Sum!$AU42)+(C$260*Mat_Sum!$AS42)+(C$261*Mat_Sum!$AN42)+(C$262*Mat_Sum!$AM42)+(C$263*Mat_Sum!$CF42)+(C$264*0)+(C$265*Mat_Sum!$CF42)+(C$266*0)+(C$267*0)+(C$268*0)+(C$269*0)+(C$270*0)+(C$271*Silicon!$K99)+(C$272*Mat_Sum!$BG42)+(C$273*0)+(C$274*0)</f>
        <v>7.6715090598475264</v>
      </c>
      <c r="D303" s="2136">
        <f ca="1">(D$233*Mat_Sum!$D42)+(D$234*Mat_Sum!$E42)+(D$235*Mat_Sum!$F42)+(D$236*Mat_Sum!$L42)+(D$237*Mat_Sum!$I42)+(D$238*Mat_Sum!$AG42)+(D$239*Mat_Sum!$F42)+(D$240*((88%*Mat_Sum!$AG42)+(12%*0)))+(D$241*'C.Iron'!$I89)+(D$242*((80%*Mat_Sum!$U42)+(20%*Mat_Sum!$BA42)))+(D$243*Mat_Sum!$U42)+(D$244*Mat_Sum!$BA42)+(D$245*Mat_Sum!$CP42)+(D$246*0)+(D$247*Mat_Sum!$AZ42)+(D$248*Mat_Sum!$AW42)+(D$249*Mat_Sum!$AV42)+(D$250*Mat_Sum!$AR42)+(D$251*Mat_Sum!$CQ42)+(D$252*Mat_Sum!$AQ42)+(D$253*Mat_Sum!$AO42)+(D$254*Mat_Sum!$AP42)+(D$255*Mat_Sum!$BJ42)+(D$256*Mat_Sum!$BI42)+(D$257*Mat_Sum!$AR42)+(D$258*Mat_Sum!$BH42)+(D$259*Mat_Sum!$AU42)+(D$260*Mat_Sum!$AS42)+(D$261*Mat_Sum!$AN42)+(D$262*Mat_Sum!$AM42)+(D$263*Mat_Sum!$CF42)+(D$264*0)+(D$265*Mat_Sum!$CF42)+(D$266*0)+(D$267*0)+(D$268*0)+(D$269*0)+(D$270*0)+(D$271*Silicon!$K99)+(D$272*Mat_Sum!$BG42)+(D$273*0)+(D$274*0)</f>
        <v>6.6210711291342559</v>
      </c>
      <c r="E303" s="2185">
        <f ca="1">(E$233*Mat_Sum!$D42)+(E$234*Mat_Sum!$E42)+(E$235*Mat_Sum!$F42)+(E$236*Mat_Sum!$L42)+(E$237*Mat_Sum!$I42)+(E$238*Mat_Sum!$AG42)+(E$239*Mat_Sum!$F42)+(E$240*((88%*Mat_Sum!$AG42)+(12%*0)))+(E$241*'C.Iron'!$I89)+(E$242*((80%*Mat_Sum!$U42)+(20%*Mat_Sum!$BA42)))+(E$243*Mat_Sum!$U42)+(E$244*Mat_Sum!$BA42)+(E$245*Mat_Sum!$CP42)+(E$246*0)+(E$247*Mat_Sum!$AZ42)+(E$248*Mat_Sum!$AW42)+(E$249*Mat_Sum!$AV42)+(E$250*Mat_Sum!$AR42)+(E$251*Mat_Sum!$CQ42)+(E$252*Mat_Sum!$AQ42)+(E$253*Mat_Sum!$AO42)+(E$254*Mat_Sum!$AP42)+(E$255*Mat_Sum!$BJ42)+(E$256*Mat_Sum!$BI42)+(E$257*Mat_Sum!$AR42)+(E$258*Mat_Sum!$BH42)+(E$259*Mat_Sum!$AU42)+(E$260*Mat_Sum!$AS42)+(E$261*Mat_Sum!$AN42)+(E$262*Mat_Sum!$AM42)+(E$263*Mat_Sum!$CF42)+(E$264*0)+(E$265*Mat_Sum!$CF42)+(E$266*0)+(E$267*0)+(E$268*0)+(E$269*0)+(E$270*0)+(E$271*Silicon!$K99)+(E$272*Mat_Sum!$BG42)+(E$273*0)+(E$274*0)</f>
        <v>26.655718262292407</v>
      </c>
      <c r="F303" s="2136"/>
      <c r="G303" s="2136"/>
      <c r="H303" s="2136"/>
      <c r="I303" s="2136"/>
      <c r="J303" s="2136"/>
      <c r="K303" s="2136"/>
      <c r="L303" s="2136"/>
    </row>
    <row r="304" spans="1:12">
      <c r="A304" s="2142" t="s">
        <v>828</v>
      </c>
      <c r="B304" s="2159">
        <f ca="1">(B$233*Mat_Sum!$D43)+(B$234*Mat_Sum!$E43)+(B$235*Mat_Sum!$F43)+(B$236*Mat_Sum!$L43)+(B$237*Mat_Sum!$I43)+(B$238*Mat_Sum!$AG43)+(B$239*Mat_Sum!$F43)+(B$240*((88%*Mat_Sum!$AG43)+(12%*0)))+(B$241*'C.Iron'!$I90)+(B$242*((80%*Mat_Sum!$U43)+(20%*Mat_Sum!$BA43)))+(B$243*Mat_Sum!$U43)+(B$244*Mat_Sum!$BA43)+(B$245*Mat_Sum!$CP43)+(B$246*0)+(B$247*Mat_Sum!$AZ43)+(B$248*Mat_Sum!$AW43)+(B$249*Mat_Sum!$AV43)+(B$250*Mat_Sum!$AR43)+(B$251*Mat_Sum!$CQ43)+(B$252*Mat_Sum!$AQ43)+(B$253*Mat_Sum!$AO43)+(B$254*Mat_Sum!$AP43)+(B$255*Mat_Sum!$BJ43)+(B$256*Mat_Sum!$BI43)+(B$257*Mat_Sum!$AR43)+(B$258*Mat_Sum!$BH43)+(B$259*Mat_Sum!$AU43)+(B$260*Mat_Sum!$AS43)+(B$261*Mat_Sum!$AN43)+(B$262*Mat_Sum!$AM43)+(B$263*Mat_Sum!$CF43)+(B$264*0)+(B$265*Mat_Sum!$CF43)+(B$266*0)+(B$267*0)+(B$268*0)+(B$269*0)+(B$270*0)+(B$271*Silicon!$K100)+(B$272*Mat_Sum!$BG43)+(B$273*0)+(B$274*0)</f>
        <v>30.904299333916754</v>
      </c>
      <c r="C304" s="2242">
        <f ca="1">(C$233*Mat_Sum!$D43)+(C$234*Mat_Sum!$E43)+(C$235*Mat_Sum!$F43)+(C$236*Mat_Sum!$L43)+(C$237*Mat_Sum!$I43)+(C$238*Mat_Sum!$AG43)+(C$239*Mat_Sum!$F43)+(C$240*((88%*Mat_Sum!$AG43)+(12%*0)))+(C$241*'C.Iron'!$I90)+(C$242*((80%*Mat_Sum!$U43)+(20%*Mat_Sum!$BA43)))+(C$243*Mat_Sum!$U43)+(C$244*Mat_Sum!$BA43)+(C$245*Mat_Sum!$CP43)+(C$246*0)+(C$247*Mat_Sum!$AZ43)+(C$248*Mat_Sum!$AW43)+(C$249*Mat_Sum!$AV43)+(C$250*Mat_Sum!$AR43)+(C$251*Mat_Sum!$CQ43)+(C$252*Mat_Sum!$AQ43)+(C$253*Mat_Sum!$AO43)+(C$254*Mat_Sum!$AP43)+(C$255*Mat_Sum!$BJ43)+(C$256*Mat_Sum!$BI43)+(C$257*Mat_Sum!$AR43)+(C$258*Mat_Sum!$BH43)+(C$259*Mat_Sum!$AU43)+(C$260*Mat_Sum!$AS43)+(C$261*Mat_Sum!$AN43)+(C$262*Mat_Sum!$AM43)+(C$263*Mat_Sum!$CF43)+(C$264*0)+(C$265*Mat_Sum!$CF43)+(C$266*0)+(C$267*0)+(C$268*0)+(C$269*0)+(C$270*0)+(C$271*Silicon!$K100)+(C$272*Mat_Sum!$BG43)+(C$273*0)+(C$274*0)</f>
        <v>31.250425396418578</v>
      </c>
      <c r="D304" s="2242">
        <f ca="1">(D$233*Mat_Sum!$D43)+(D$234*Mat_Sum!$E43)+(D$235*Mat_Sum!$F43)+(D$236*Mat_Sum!$L43)+(D$237*Mat_Sum!$I43)+(D$238*Mat_Sum!$AG43)+(D$239*Mat_Sum!$F43)+(D$240*((88%*Mat_Sum!$AG43)+(12%*0)))+(D$241*'C.Iron'!$I90)+(D$242*((80%*Mat_Sum!$U43)+(20%*Mat_Sum!$BA43)))+(D$243*Mat_Sum!$U43)+(D$244*Mat_Sum!$BA43)+(D$245*Mat_Sum!$CP43)+(D$246*0)+(D$247*Mat_Sum!$AZ43)+(D$248*Mat_Sum!$AW43)+(D$249*Mat_Sum!$AV43)+(D$250*Mat_Sum!$AR43)+(D$251*Mat_Sum!$CQ43)+(D$252*Mat_Sum!$AQ43)+(D$253*Mat_Sum!$AO43)+(D$254*Mat_Sum!$AP43)+(D$255*Mat_Sum!$BJ43)+(D$256*Mat_Sum!$BI43)+(D$257*Mat_Sum!$AR43)+(D$258*Mat_Sum!$BH43)+(D$259*Mat_Sum!$AU43)+(D$260*Mat_Sum!$AS43)+(D$261*Mat_Sum!$AN43)+(D$262*Mat_Sum!$AM43)+(D$263*Mat_Sum!$CF43)+(D$264*0)+(D$265*Mat_Sum!$CF43)+(D$266*0)+(D$267*0)+(D$268*0)+(D$269*0)+(D$270*0)+(D$271*Silicon!$K100)+(D$272*Mat_Sum!$BG43)+(D$273*0)+(D$274*0)</f>
        <v>27.091574461338496</v>
      </c>
      <c r="E304" s="2227">
        <f ca="1">(E$233*Mat_Sum!$D43)+(E$234*Mat_Sum!$E43)+(E$235*Mat_Sum!$F43)+(E$236*Mat_Sum!$L43)+(E$237*Mat_Sum!$I43)+(E$238*Mat_Sum!$AG43)+(E$239*Mat_Sum!$F43)+(E$240*((88%*Mat_Sum!$AG43)+(12%*0)))+(E$241*'C.Iron'!$I90)+(E$242*((80%*Mat_Sum!$U43)+(20%*Mat_Sum!$BA43)))+(E$243*Mat_Sum!$U43)+(E$244*Mat_Sum!$BA43)+(E$245*Mat_Sum!$CP43)+(E$246*0)+(E$247*Mat_Sum!$AZ43)+(E$248*Mat_Sum!$AW43)+(E$249*Mat_Sum!$AV43)+(E$250*Mat_Sum!$AR43)+(E$251*Mat_Sum!$CQ43)+(E$252*Mat_Sum!$AQ43)+(E$253*Mat_Sum!$AO43)+(E$254*Mat_Sum!$AP43)+(E$255*Mat_Sum!$BJ43)+(E$256*Mat_Sum!$BI43)+(E$257*Mat_Sum!$AR43)+(E$258*Mat_Sum!$BH43)+(E$259*Mat_Sum!$AU43)+(E$260*Mat_Sum!$AS43)+(E$261*Mat_Sum!$AN43)+(E$262*Mat_Sum!$AM43)+(E$263*Mat_Sum!$CF43)+(E$264*0)+(E$265*Mat_Sum!$CF43)+(E$266*0)+(E$267*0)+(E$268*0)+(E$269*0)+(E$270*0)+(E$271*Silicon!$K100)+(E$272*Mat_Sum!$BG43)+(E$273*0)+(E$274*0)</f>
        <v>109.68874527261875</v>
      </c>
      <c r="F304" s="2136"/>
      <c r="G304" s="2136"/>
      <c r="H304" s="2136"/>
      <c r="I304" s="2136"/>
      <c r="J304" s="2136"/>
      <c r="K304" s="2136"/>
      <c r="L304" s="2136"/>
    </row>
    <row r="306" spans="1:44" ht="15">
      <c r="A306" s="2084" t="s">
        <v>1873</v>
      </c>
    </row>
    <row r="307" spans="1:44">
      <c r="A307" s="2083" t="s">
        <v>2580</v>
      </c>
    </row>
    <row r="308" spans="1:44">
      <c r="A308" s="2176"/>
      <c r="B308" s="3177" t="s">
        <v>1875</v>
      </c>
      <c r="C308" s="3178"/>
      <c r="D308" s="3178"/>
      <c r="E308" s="3178"/>
      <c r="F308" s="3178"/>
      <c r="G308" s="3178"/>
      <c r="H308" s="3178"/>
      <c r="I308" s="3178"/>
      <c r="J308" s="3178"/>
      <c r="K308" s="3179"/>
      <c r="L308" s="3177" t="s">
        <v>1876</v>
      </c>
      <c r="M308" s="3178"/>
      <c r="N308" s="3178"/>
      <c r="O308" s="3178"/>
      <c r="P308" s="3178"/>
      <c r="Q308" s="3178"/>
      <c r="R308" s="3178"/>
      <c r="S308" s="3178"/>
      <c r="T308" s="3178"/>
      <c r="U308" s="3179"/>
    </row>
    <row r="309" spans="1:44" ht="51">
      <c r="A309" s="2096"/>
      <c r="B309" s="2400" t="s">
        <v>250</v>
      </c>
      <c r="C309" s="2401" t="s">
        <v>182</v>
      </c>
      <c r="D309" s="2401" t="s">
        <v>183</v>
      </c>
      <c r="E309" s="2401" t="s">
        <v>184</v>
      </c>
      <c r="F309" s="2401" t="s">
        <v>185</v>
      </c>
      <c r="G309" s="2401" t="s">
        <v>186</v>
      </c>
      <c r="H309" s="2306" t="s">
        <v>187</v>
      </c>
      <c r="I309" s="2306" t="s">
        <v>2427</v>
      </c>
      <c r="J309" s="2401" t="s">
        <v>1860</v>
      </c>
      <c r="K309" s="2402" t="s">
        <v>2349</v>
      </c>
      <c r="L309" s="2400" t="s">
        <v>250</v>
      </c>
      <c r="M309" s="2401" t="s">
        <v>182</v>
      </c>
      <c r="N309" s="2401" t="s">
        <v>183</v>
      </c>
      <c r="O309" s="2401" t="s">
        <v>184</v>
      </c>
      <c r="P309" s="2401" t="s">
        <v>185</v>
      </c>
      <c r="Q309" s="2401" t="s">
        <v>186</v>
      </c>
      <c r="R309" s="2306" t="s">
        <v>187</v>
      </c>
      <c r="S309" s="2306" t="s">
        <v>2427</v>
      </c>
      <c r="T309" s="2401" t="s">
        <v>1860</v>
      </c>
      <c r="U309" s="2403" t="s">
        <v>2349</v>
      </c>
      <c r="X309" s="2404"/>
      <c r="Y309" s="2404"/>
      <c r="Z309" s="2404"/>
      <c r="AA309" s="2404"/>
      <c r="AB309" s="2404"/>
      <c r="AC309" s="2404"/>
      <c r="AD309" s="2308"/>
      <c r="AE309" s="2308"/>
      <c r="AF309" s="2404"/>
      <c r="AG309" s="2404"/>
      <c r="AI309" s="2404"/>
      <c r="AJ309" s="2404"/>
      <c r="AK309" s="2404"/>
      <c r="AL309" s="2404"/>
      <c r="AM309" s="2404"/>
      <c r="AN309" s="2404"/>
      <c r="AO309" s="2308"/>
      <c r="AP309" s="2308"/>
      <c r="AQ309" s="2404"/>
      <c r="AR309" s="2404"/>
    </row>
    <row r="310" spans="1:44">
      <c r="A310" s="2176" t="s">
        <v>1877</v>
      </c>
      <c r="B310" s="2398"/>
      <c r="C310" s="2302"/>
      <c r="D310" s="2302"/>
      <c r="E310" s="2302"/>
      <c r="F310" s="2091"/>
      <c r="G310" s="2091"/>
      <c r="H310" s="2091"/>
      <c r="I310" s="2091"/>
      <c r="J310" s="2091"/>
      <c r="K310" s="2183"/>
      <c r="L310" s="2398"/>
      <c r="M310" s="2302"/>
      <c r="N310" s="2302"/>
      <c r="O310" s="2302"/>
      <c r="P310" s="2091"/>
      <c r="Q310" s="2091"/>
      <c r="R310" s="2091"/>
      <c r="S310" s="2091"/>
      <c r="T310" s="2091"/>
      <c r="U310" s="2183"/>
      <c r="AI310" s="2405"/>
      <c r="AJ310" s="2405"/>
      <c r="AK310" s="2405"/>
      <c r="AL310" s="2405"/>
      <c r="AM310" s="2405"/>
      <c r="AN310" s="2405"/>
      <c r="AO310" s="2405"/>
      <c r="AP310" s="2405"/>
      <c r="AQ310" s="2405"/>
      <c r="AR310" s="2405"/>
    </row>
    <row r="311" spans="1:44">
      <c r="A311" s="2096" t="s">
        <v>816</v>
      </c>
      <c r="B311" s="2151">
        <f ca="1">($A$6*$B$18*(($B$24*Mat_Sum!$D15)+($B$25*Mat_Sum!$E15)+($B$26*Mat_Sum!$I15)+($B$27*Mat_Sum!$L15)+($B$28*Mat_Sum!$AR15)+($B$29*Mat_Sum!$AV15)+($B$30*Mat_Sum!$AS15)+($B$31*Mat_Sum!$AM15)+($B$32*Mat_Sum!$AG15)+($B$33*0)+($B$34*0)+($B$35*0)+($B$36*Mat_Sum!$CF15)+($B$37*Silicon!$K72)+($B$38*0)))+($B$201*(($B$207*Mat_Sum!$D15)+($B$208*Mat_Sum!$AV15)+($B$209*Mat_Sum!$AR15)))</f>
        <v>80.289988790155903</v>
      </c>
      <c r="C311" s="2136">
        <f ca="1">($A$6*$B$10*(($B$40*Mat_Sum!$E15)+($B$41*Mat_Sum!$D15)+($B$42*Mat_Sum!$L15)+($B$43*Mat_Sum!$I15)+($B$44*Mat_Sum!$F15)+($B$45*Mat_Sum!$AV15)+($B$46*Mat_Sum!$AR15)+($B$47*Mat_Sum!$AG15)+($B$48*((88%*Mat_Sum!$AG15)+(12%*0)))+($B$49*Mat_Sum!$CF15)+($B$50*Mat_Sum!$AN15)+($B$51*'C.Iron'!$I62)+($B$52*((80%*Mat_Sum!$U15)+(20%*Mat_Sum!$BA15)))+($B$53*Mat_Sum!$AW15)+($B$54*Mat_Sum!$AS15)+($B$55*Mat_Sum!$CQ15)+($B$56*Mat_Sum!$AQ15)+($B$57*Mat_Sum!$AO15)+($B$58*Mat_Sum!$AP15)+($B$59*Mat_Sum!$BJ15)+($B$60*Mat_Sum!$BI15)+($B$61*Mat_Sum!$AR15)+($B$62*0)+($B$63*Mat_Sum!$CF15)+($B$64*Mat_Sum!$BG15)+($B$65*Mat_Sum!$BI15)+($B$66*Mat_Sum!$U15)+($B$67*Mat_Sum!$BA15)+($B$68*Mat_Sum!$CP15)+($B$69*0)+($B$70*Mat_Sum!$AZ15)+($B$71*Mat_Sum!$AM15)+($B$72*0)))+($B$202*(($B$211*Mat_Sum!$D15)+($B$212*Mat_Sum!$BG15)+($B$213*Mat_Sum!$AV15)))</f>
        <v>55.386069660823601</v>
      </c>
      <c r="D311" s="2136">
        <f ca="1" xml:space="preserve"> $A$6*$B$11*(($B$74*Mat_Sum!$D15)+($B$75*Mat_Sum!$L15)+($B$76*Mat_Sum!$I15)+($B$77*Mat_Sum!$F15)+($B$78*Mat_Sum!$AV15)+($B$79*Mat_Sum!$AR15)+($B$80*Mat_Sum!$AG15)+($B$81*Mat_Sum!$AG15)+($B$82*Mat_Sum!$F15)+($B$83*0))</f>
        <v>12.960474127168428</v>
      </c>
      <c r="E311" s="2136">
        <f ca="1" xml:space="preserve"> ($A$6*$B$12*(($B$85*Mat_Sum!$D15)+($B$86*Mat_Sum!$F15)+($B$87*Mat_Sum!$L15)+($B$88*Mat_Sum!$I15)+($B$89*Mat_Sum!$AV15)+($B$90*Mat_Sum!$AR15)+($B$91*Mat_Sum!$AG15)+($B$92*Mat_Sum!$AG15)+($B$93*Mat_Sum!$F15)+($B$94*0)))+($C$187*$B$187*$B$192*(($B$197*Mat_Sum!$D15)+($A$197*Mat_Sum!$AV15)))+($C$188*$B$188*$B$193*(($B$197*Mat_Sum!$D15)+($A$197*Mat_Sum!$AV15)))</f>
        <v>230.10237627110143</v>
      </c>
      <c r="F311" s="2136">
        <f ca="1" xml:space="preserve"> $A$6*$B$13*(($B$96*Mat_Sum!$D15)+($B$97*Mat_Sum!$L15)+($B$98*Mat_Sum!$AG15)+($B$99*0))</f>
        <v>0</v>
      </c>
      <c r="G311" s="2136">
        <f ca="1" xml:space="preserve"> $A$6*$B$14*(($B$101*Mat_Sum!$D15)+($B$102*Mat_Sum!$L15)+($B$103*Mat_Sum!$AG15)+($B$104*0))</f>
        <v>0</v>
      </c>
      <c r="H311" s="2136">
        <f ca="1" xml:space="preserve"> $A$6*$B$15*(($B$106*Mat_Sum!$D15)+($B$107*Mat_Sum!$L15)+($B$108*Mat_Sum!$AG15)+($B$109*Mat_Sum!$AV15)+($B$110*Mat_Sum!$AR15)+($B$111*0))</f>
        <v>0</v>
      </c>
      <c r="I311" s="2136">
        <f ca="1" xml:space="preserve"> $A$6*$B$17*(($B$113*Mat_Sum!$E15)+($B$114*Mat_Sum!$D15)+($B$115*Mat_Sum!$F15)+($B$116*Mat_Sum!$L15)+($B$117*Mat_Sum!$I15)+($B$118*0)+($B$119*Mat_Sum!$AV15)+($B$120*Mat_Sum!$AR15)+($B$121*Mat_Sum!$AG15)+($B$122*Mat_Sum!$AG15)+($B$123*Mat_Sum!$AS15)+($B$124*0)+($B$125*Mat_Sum!$E15)+($B$126*0))</f>
        <v>0</v>
      </c>
      <c r="J311" s="2136">
        <f ca="1">$A$6*$B$16*(($B$128*Mat_Sum!$AU15)+($B$129*Mat_Sum!$D15)+($B$130*Mat_Sum!$E15)+($B$131*Mat_Sum!$AS15)+($B$132*Mat_Sum!$I15)+($B$133*Mat_Sum!$AG15)+($B$134*Mat_Sum!$AQ15)+($B$135*Mat_Sum!$AO15)+($B$136*0))</f>
        <v>0</v>
      </c>
      <c r="K311" s="2406">
        <f ca="1" xml:space="preserve"> $A$6*$B$19*$B$138*Mat_Sum!$D15</f>
        <v>0</v>
      </c>
      <c r="L311" s="2223">
        <f t="shared" ref="L311:U316" ca="1" si="4" xml:space="preserve"> B311/$B276</f>
        <v>0.21199297699332492</v>
      </c>
      <c r="M311" s="2218">
        <f t="shared" ca="1" si="4"/>
        <v>0.14623812966327443</v>
      </c>
      <c r="N311" s="2218">
        <f t="shared" ca="1" si="4"/>
        <v>3.4220075688941497E-2</v>
      </c>
      <c r="O311" s="2218">
        <f t="shared" ca="1" si="4"/>
        <v>0.60754881765445923</v>
      </c>
      <c r="P311" s="2218">
        <f t="shared" ca="1" si="4"/>
        <v>0</v>
      </c>
      <c r="Q311" s="2218">
        <f t="shared" ca="1" si="4"/>
        <v>0</v>
      </c>
      <c r="R311" s="2218">
        <f t="shared" ca="1" si="4"/>
        <v>0</v>
      </c>
      <c r="S311" s="2218">
        <f t="shared" ca="1" si="4"/>
        <v>0</v>
      </c>
      <c r="T311" s="2218">
        <f t="shared" ca="1" si="4"/>
        <v>0</v>
      </c>
      <c r="U311" s="2224">
        <f t="shared" ca="1" si="4"/>
        <v>0</v>
      </c>
      <c r="AI311" s="2299"/>
      <c r="AJ311" s="2299"/>
      <c r="AK311" s="2299"/>
      <c r="AL311" s="2299"/>
      <c r="AM311" s="2299"/>
      <c r="AN311" s="2299"/>
      <c r="AO311" s="2299"/>
      <c r="AP311" s="2299"/>
      <c r="AQ311" s="2299"/>
      <c r="AR311" s="2299"/>
    </row>
    <row r="312" spans="1:44">
      <c r="A312" s="2096" t="s">
        <v>817</v>
      </c>
      <c r="B312" s="2151">
        <f ca="1">($A$6*$B$18*(($B$24*Mat_Sum!$D16)+($B$25*Mat_Sum!$E16)+($B$26*Mat_Sum!$I16)+($B$27*Mat_Sum!$L16)+($B$28*Mat_Sum!$AR16)+($B$29*Mat_Sum!$AV16)+($B$30*Mat_Sum!$AS16)+($B$31*Mat_Sum!$AM16)+($B$32*Mat_Sum!$AG16)+($B$33*0)+($B$34*0)+($B$35*0)+($B$36*Mat_Sum!$CF16)+($B$37*Silicon!$K73)+($B$38*0)))+($B$201*(($B$207*Mat_Sum!$D16)+($B$208*Mat_Sum!$AV16)+($B$209*Mat_Sum!$AR16)))</f>
        <v>69.938296416327731</v>
      </c>
      <c r="C312" s="2136">
        <f ca="1">($A$6*$B$10*(($B$40*Mat_Sum!$E16)+($B$41*Mat_Sum!$D16)+($B$42*Mat_Sum!$L16)+($B$43*Mat_Sum!$I16)+($B$44*Mat_Sum!$F16)+($B$45*Mat_Sum!$AV16)+($B$46*Mat_Sum!$AR16)+($B$47*Mat_Sum!$AG16)+($B$48*((88%*Mat_Sum!$AG16)+(12%*0)))+($B$49*Mat_Sum!$CF16)+($B$50*Mat_Sum!$AN16)+($B$51*'C.Iron'!$I63)+($B$52*((80%*Mat_Sum!$U16)+(20%*Mat_Sum!$BA16)))+($B$53*Mat_Sum!$AW16)+($B$54*Mat_Sum!$AS16)+($B$55*Mat_Sum!$CQ16)+($B$56*Mat_Sum!$AQ16)+($B$57*Mat_Sum!$AO16)+($B$58*Mat_Sum!$AP16)+($B$59*Mat_Sum!$BJ16)+($B$60*Mat_Sum!$BI16)+($B$61*Mat_Sum!$AR16)+($B$62*0)+($B$63*Mat_Sum!$CF16)+($B$64*Mat_Sum!$BG16)+($B$65*Mat_Sum!$BI16)+($B$66*Mat_Sum!$U16)+($B$67*Mat_Sum!$BA16)+($B$68*Mat_Sum!$CP16)+($B$69*0)+($B$70*Mat_Sum!$AZ16)+($B$71*Mat_Sum!$AM16)+($B$72*0)))+($B$202*(($B$211*Mat_Sum!$D16)+($B$212*Mat_Sum!$BG16)+($B$213*Mat_Sum!$AV16)))</f>
        <v>48.092124137441843</v>
      </c>
      <c r="D312" s="2136">
        <f ca="1" xml:space="preserve"> $A$6*$B$11*(($B$74*Mat_Sum!$D16)+($B$75*Mat_Sum!$L16)+($B$76*Mat_Sum!$I16)+($B$77*Mat_Sum!$F16)+($B$78*Mat_Sum!$AV16)+($B$79*Mat_Sum!$AR16)+($B$80*Mat_Sum!$AG16)+($B$81*Mat_Sum!$AG16)+($B$82*Mat_Sum!$F16)+($B$83*0))</f>
        <v>12.212599038551099</v>
      </c>
      <c r="E312" s="2136">
        <f ca="1" xml:space="preserve"> ($A$6*$B$12*(($B$85*Mat_Sum!$D16)+($B$86*Mat_Sum!$F16)+($B$87*Mat_Sum!$L16)+($B$88*Mat_Sum!$I16)+($B$89*Mat_Sum!$AV16)+($B$90*Mat_Sum!$AR16)+($B$91*Mat_Sum!$AG16)+($B$92*Mat_Sum!$AG16)+($B$93*Mat_Sum!$F16)+($B$94*0)))+($C$187*$B$187*$B$192*(($B$197*Mat_Sum!$D16)+($A$197*Mat_Sum!$AV16)))+($C$188*$B$188*$B$193*(($B$197*Mat_Sum!$D16)+($A$197*Mat_Sum!$AV16)))</f>
        <v>217.3252257362079</v>
      </c>
      <c r="F312" s="2136">
        <f ca="1" xml:space="preserve"> $A$6*$B$13*(($B$96*Mat_Sum!$D16)+($B$97*Mat_Sum!$L16)+($B$98*Mat_Sum!$AG16)+($B$99*0))</f>
        <v>0</v>
      </c>
      <c r="G312" s="2136">
        <f ca="1" xml:space="preserve"> $A$6*$B$14*(($B$101*Mat_Sum!$D16)+($B$102*Mat_Sum!$L16)+($B$103*Mat_Sum!$AG16)+($B$104*0))</f>
        <v>0</v>
      </c>
      <c r="H312" s="2136">
        <f ca="1" xml:space="preserve"> $A$6*$B$15*(($B$106*Mat_Sum!$D16)+($B$107*Mat_Sum!$L16)+($B$108*Mat_Sum!$AG16)+($B$109*Mat_Sum!$AV16)+($B$110*Mat_Sum!$AR16)+($B$111*0))</f>
        <v>0</v>
      </c>
      <c r="I312" s="2136">
        <f ca="1" xml:space="preserve"> $A$6*$B$17*(($B$113*Mat_Sum!$E16)+($B$114*Mat_Sum!$D16)+($B$115*Mat_Sum!$F16)+($B$116*Mat_Sum!$L16)+($B$117*Mat_Sum!$I16)+($B$118*0)+($B$119*Mat_Sum!$AV16)+($B$120*Mat_Sum!$AR16)+($B$121*Mat_Sum!$AG16)+($B$122*Mat_Sum!$AG16)+($B$123*Mat_Sum!$AN16)+($B$124*0)+($B$125*Mat_Sum!$E16)+($B$126*0))</f>
        <v>0</v>
      </c>
      <c r="J312" s="2136">
        <f ca="1">$A$6*$B$16*(($B$128*Mat_Sum!$AU16)+($B$129*Mat_Sum!$D16)+($B$130*Mat_Sum!$E16)+($B$131*Mat_Sum!$AS16)+($B$132*Mat_Sum!$I16)+($B$133*Mat_Sum!$AG16)+($B$134*Mat_Sum!$AQ16)+($B$135*Mat_Sum!$AO16)+($B$136*0))</f>
        <v>0</v>
      </c>
      <c r="K312" s="2406">
        <f ca="1" xml:space="preserve"> $A$6*$B$19*$B$138*Mat_Sum!$D16</f>
        <v>0</v>
      </c>
      <c r="L312" s="2223">
        <f t="shared" ca="1" si="4"/>
        <v>0.20122176682228451</v>
      </c>
      <c r="M312" s="2218">
        <f t="shared" ca="1" si="4"/>
        <v>0.13836742793342413</v>
      </c>
      <c r="N312" s="2218">
        <f t="shared" ca="1" si="4"/>
        <v>3.5137269306658052E-2</v>
      </c>
      <c r="O312" s="2218">
        <f t="shared" ca="1" si="4"/>
        <v>0.62527353593763357</v>
      </c>
      <c r="P312" s="2218">
        <f t="shared" ca="1" si="4"/>
        <v>0</v>
      </c>
      <c r="Q312" s="2218">
        <f t="shared" ca="1" si="4"/>
        <v>0</v>
      </c>
      <c r="R312" s="2218">
        <f t="shared" ca="1" si="4"/>
        <v>0</v>
      </c>
      <c r="S312" s="2218">
        <f t="shared" ca="1" si="4"/>
        <v>0</v>
      </c>
      <c r="T312" s="2218">
        <f t="shared" ca="1" si="4"/>
        <v>0</v>
      </c>
      <c r="U312" s="2224">
        <f t="shared" ca="1" si="4"/>
        <v>0</v>
      </c>
      <c r="AI312" s="2299"/>
      <c r="AJ312" s="2299"/>
      <c r="AK312" s="2299"/>
      <c r="AL312" s="2299"/>
      <c r="AM312" s="2299"/>
      <c r="AN312" s="2299"/>
      <c r="AO312" s="2299"/>
      <c r="AP312" s="2299"/>
      <c r="AQ312" s="2299"/>
      <c r="AR312" s="2299"/>
    </row>
    <row r="313" spans="1:44">
      <c r="A313" s="2096" t="s">
        <v>805</v>
      </c>
      <c r="B313" s="2151">
        <f ca="1">($A$6*$B$18*(($B$24*Mat_Sum!$D17)+($B$25*Mat_Sum!$E17)+($B$26*Mat_Sum!$I17)+($B$27*Mat_Sum!$L17)+($B$28*Mat_Sum!$AR17)+($B$29*Mat_Sum!$AV17)+($B$30*Mat_Sum!$AS17)+($B$31*Mat_Sum!$AM17)+($B$32*Mat_Sum!$AG17)+($B$33*0)+($B$34*0)+($B$35*0)+($B$36*Mat_Sum!$CF17)+($B$37*Silicon!$K74)+($B$38*0)))+($B$201*(($B$207*Mat_Sum!$D17)+($B$208*Mat_Sum!$AV17)+($B$209*Mat_Sum!$AR17)))</f>
        <v>16.1388211699098</v>
      </c>
      <c r="C313" s="2136">
        <f ca="1">($A$6*$B$10*(($B$40*Mat_Sum!$E17)+($B$41*Mat_Sum!$D17)+($B$42*Mat_Sum!$L17)+($B$43*Mat_Sum!$I17)+($B$44*Mat_Sum!$F17)+($B$45*Mat_Sum!$AV17)+($B$46*Mat_Sum!$AR17)+($B$47*Mat_Sum!$AG17)+($B$48*((88%*Mat_Sum!$AG17)+(12%*0)))+($B$49*Mat_Sum!$CF17)+($B$50*Mat_Sum!$AN17)+($B$51*'C.Iron'!$I64)+($B$52*((80%*Mat_Sum!$U17)+(20%*Mat_Sum!$BA17)))+($B$53*Mat_Sum!$AW17)+($B$54*Mat_Sum!$AS17)+($B$55*Mat_Sum!$CQ17)+($B$56*Mat_Sum!$AQ17)+($B$57*Mat_Sum!$AO17)+($B$58*Mat_Sum!$AP17)+($B$59*Mat_Sum!$BJ17)+($B$60*Mat_Sum!$BI17)+($B$61*Mat_Sum!$AR17)+($B$62*0)+($B$63*Mat_Sum!$CF17)+($B$64*Mat_Sum!$BG17)+($B$65*Mat_Sum!$BI17)+($B$66*Mat_Sum!$U17)+($B$67*Mat_Sum!$BA17)+($B$68*Mat_Sum!$CP17)+($B$69*0)+($B$70*Mat_Sum!$AZ17)+($B$71*Mat_Sum!$AM17)+($B$72*0)))+($B$202*(($B$211*Mat_Sum!$D17)+($B$212*Mat_Sum!$BG17)+($B$213*Mat_Sum!$AV17)))</f>
        <v>23.93527025825264</v>
      </c>
      <c r="D313" s="2136">
        <f ca="1" xml:space="preserve"> $A$6*$B$11*(($B$74*Mat_Sum!$D17)+($B$75*Mat_Sum!$L17)+($B$76*Mat_Sum!$I17)+($B$77*Mat_Sum!$F17)+($B$78*Mat_Sum!$AV17)+($B$79*Mat_Sum!$AR17)+($B$80*Mat_Sum!$AG17)+($B$81*Mat_Sum!$AG17)+($B$82*Mat_Sum!$F17)+($B$83*0))</f>
        <v>7.1490069506989444</v>
      </c>
      <c r="E313" s="2136">
        <f ca="1" xml:space="preserve"> ($A$6*$B$12*(($B$85*Mat_Sum!$D17)+($B$86*Mat_Sum!$F17)+($B$87*Mat_Sum!$L17)+($B$88*Mat_Sum!$I17)+($B$89*Mat_Sum!$AV17)+($B$90*Mat_Sum!$AR17)+($B$91*Mat_Sum!$AG17)+($B$92*Mat_Sum!$AG17)+($B$93*Mat_Sum!$F17)+($B$94*0)))+($C$187*$B$187*$B$192*(($B$197*Mat_Sum!$D17)+($A$197*Mat_Sum!$AV17)))+($C$188*$B$188*$B$193*(($B$197*Mat_Sum!$D17)+($A$197*Mat_Sum!$AV17)))</f>
        <v>86.369175120152335</v>
      </c>
      <c r="F313" s="2136">
        <f ca="1" xml:space="preserve"> $A$6*$B$13*(($B$96*Mat_Sum!$D17)+($B$97*Mat_Sum!$L17)+($B$98*Mat_Sum!$AG17)+($B$99*0))</f>
        <v>0</v>
      </c>
      <c r="G313" s="2136">
        <f ca="1" xml:space="preserve"> $A$6*$B$14*(($B$101*Mat_Sum!$D17)+($B$102*Mat_Sum!$L17)+($B$103*Mat_Sum!$AG17)+($B$104*0))</f>
        <v>0</v>
      </c>
      <c r="H313" s="2136">
        <f ca="1" xml:space="preserve"> $A$6*$B$15*(($B$106*Mat_Sum!$D17)+($B$107*Mat_Sum!$L17)+($B$108*Mat_Sum!$AG17)+($B$109*Mat_Sum!$AV17)+($B$110*Mat_Sum!$AR17)+($B$111*0))</f>
        <v>0</v>
      </c>
      <c r="I313" s="2136">
        <f ca="1" xml:space="preserve"> $A$6*$B$17*(($B$113*Mat_Sum!$E17)+($B$114*Mat_Sum!$D17)+($B$115*Mat_Sum!$F17)+($B$116*Mat_Sum!$L17)+($B$117*Mat_Sum!$I17)+($B$118*0)+($B$119*Mat_Sum!$AV17)+($B$120*Mat_Sum!$AR17)+($B$121*Mat_Sum!$AG17)+($B$122*Mat_Sum!$AG17)+($B$123*Mat_Sum!$AN17)+($B$124*0)+($B$125*Mat_Sum!$E17)+($B$126*0))</f>
        <v>0</v>
      </c>
      <c r="J313" s="2136">
        <f ca="1">$A$6*$B$16*(($B$128*Mat_Sum!$AU17)+($B$129*Mat_Sum!$D17)+($B$130*Mat_Sum!$E17)+($B$131*Mat_Sum!$AS17)+($B$132*Mat_Sum!$I17)+($B$133*Mat_Sum!$AG17)+($B$134*Mat_Sum!$AQ17)+($B$135*Mat_Sum!$AO17)+($B$136*0))</f>
        <v>0</v>
      </c>
      <c r="K313" s="2406">
        <f ca="1" xml:space="preserve"> $A$6*$B$19*$B$138*Mat_Sum!$D17</f>
        <v>0</v>
      </c>
      <c r="L313" s="2223">
        <f t="shared" ca="1" si="4"/>
        <v>0.12080654627102333</v>
      </c>
      <c r="M313" s="2218">
        <f t="shared" ca="1" si="4"/>
        <v>0.17916657626482682</v>
      </c>
      <c r="N313" s="2218">
        <f t="shared" ca="1" si="4"/>
        <v>5.3513625926515318E-2</v>
      </c>
      <c r="O313" s="2218">
        <f t="shared" ca="1" si="4"/>
        <v>0.64651325153763473</v>
      </c>
      <c r="P313" s="2218">
        <f t="shared" ca="1" si="4"/>
        <v>0</v>
      </c>
      <c r="Q313" s="2218">
        <f t="shared" ca="1" si="4"/>
        <v>0</v>
      </c>
      <c r="R313" s="2218">
        <f t="shared" ca="1" si="4"/>
        <v>0</v>
      </c>
      <c r="S313" s="2218">
        <f t="shared" ca="1" si="4"/>
        <v>0</v>
      </c>
      <c r="T313" s="2218">
        <f t="shared" ca="1" si="4"/>
        <v>0</v>
      </c>
      <c r="U313" s="2224">
        <f t="shared" ca="1" si="4"/>
        <v>0</v>
      </c>
      <c r="AI313" s="2299"/>
      <c r="AJ313" s="2299"/>
      <c r="AK313" s="2299"/>
      <c r="AL313" s="2299"/>
      <c r="AM313" s="2299"/>
      <c r="AN313" s="2299"/>
      <c r="AO313" s="2299"/>
      <c r="AP313" s="2299"/>
      <c r="AQ313" s="2299"/>
      <c r="AR313" s="2299"/>
    </row>
    <row r="314" spans="1:44">
      <c r="A314" s="2096" t="s">
        <v>804</v>
      </c>
      <c r="B314" s="2151">
        <f ca="1">($A$6*$B$18*(($B$24*Mat_Sum!$D18)+($B$25*Mat_Sum!$E18)+($B$26*Mat_Sum!$I18)+($B$27*Mat_Sum!$L18)+($B$28*Mat_Sum!$AR18)+($B$29*Mat_Sum!$AV18)+($B$30*Mat_Sum!$AS18)+($B$31*Mat_Sum!$AM18)+($B$32*Mat_Sum!$AG18)+($B$33*0)+($B$34*0)+($B$35*0)+($B$36*Mat_Sum!$CF18)+($B$37*Silicon!$K75)+($B$38*0)))+($B$201*(($B$207*Mat_Sum!$D18)+($B$208*Mat_Sum!$AV18)+($B$209*Mat_Sum!$AR18)))</f>
        <v>41.138328886654485</v>
      </c>
      <c r="C314" s="2136">
        <f ca="1">($A$6*$B$10*(($B$40*Mat_Sum!$E18)+($B$41*Mat_Sum!$D18)+($B$42*Mat_Sum!$L18)+($B$43*Mat_Sum!$I18)+($B$44*Mat_Sum!$F18)+($B$45*Mat_Sum!$AV18)+($B$46*Mat_Sum!$AR18)+($B$47*Mat_Sum!$AG18)+($B$48*((88%*Mat_Sum!$AG18)+(12%*0)))+($B$49*Mat_Sum!$CF18)+($B$50*Mat_Sum!$AN18)+($B$51*'C.Iron'!$I65)+($B$52*((80%*Mat_Sum!$U18)+(20%*Mat_Sum!$BA18)))+($B$53*Mat_Sum!$AW18)+($B$54*Mat_Sum!$AS18)+($B$55*Mat_Sum!$CQ18)+($B$56*Mat_Sum!$AQ18)+($B$57*Mat_Sum!$AO18)+($B$58*Mat_Sum!$AP18)+($B$59*Mat_Sum!$BJ18)+($B$60*Mat_Sum!$BI18)+($B$61*Mat_Sum!$AR18)+($B$62*0)+($B$63*Mat_Sum!$CF18)+($B$64*Mat_Sum!$BG18)+($B$65*Mat_Sum!$BI18)+($B$66*Mat_Sum!$U18)+($B$67*Mat_Sum!$BA18)+($B$68*Mat_Sum!$CP18)+($B$69*0)+($B$70*Mat_Sum!$AZ18)+($B$71*Mat_Sum!$AM18)+($B$72*0)))+($B$202*(($B$211*Mat_Sum!$D18)+($B$212*Mat_Sum!$BG18)+($B$213*Mat_Sum!$AV18)))</f>
        <v>19.151098269385297</v>
      </c>
      <c r="D314" s="2136">
        <f ca="1" xml:space="preserve"> $A$6*$B$11*(($B$74*Mat_Sum!$D18)+($B$75*Mat_Sum!$L18)+($B$76*Mat_Sum!$I18)+($B$77*Mat_Sum!$F18)+($B$78*Mat_Sum!$AV18)+($B$79*Mat_Sum!$AR18)+($B$80*Mat_Sum!$AG18)+($B$81*Mat_Sum!$AG18)+($B$82*Mat_Sum!$F18)+($B$83*0))</f>
        <v>4.415791779167562</v>
      </c>
      <c r="E314" s="2136">
        <f ca="1" xml:space="preserve"> ($A$6*$B$12*(($B$85*Mat_Sum!$D18)+($B$86*Mat_Sum!$F18)+($B$87*Mat_Sum!$L18)+($B$88*Mat_Sum!$I18)+($B$89*Mat_Sum!$AV18)+($B$90*Mat_Sum!$AR18)+($B$91*Mat_Sum!$AG18)+($B$92*Mat_Sum!$AG18)+($B$93*Mat_Sum!$F18)+($B$94*0)))+($C$187*$B$187*$B$192*(($B$197*Mat_Sum!$D18)+($A$197*Mat_Sum!$AV18)))+($C$188*$B$188*$B$193*(($B$197*Mat_Sum!$D18)+($A$197*Mat_Sum!$AV18)))</f>
        <v>94.784536997403563</v>
      </c>
      <c r="F314" s="2136">
        <f ca="1" xml:space="preserve"> $A$6*$B$13*(($B$96*Mat_Sum!$D18)+($B$97*Mat_Sum!$L18)+($B$98*Mat_Sum!$AG18)+($B$99*0))</f>
        <v>0</v>
      </c>
      <c r="G314" s="2136">
        <f ca="1" xml:space="preserve"> $A$6*$B$14*(($B$101*Mat_Sum!$D18)+($B$102*Mat_Sum!$L18)+($B$103*Mat_Sum!$AG18)+($B$104*0))</f>
        <v>0</v>
      </c>
      <c r="H314" s="2136">
        <f ca="1" xml:space="preserve"> $A$6*$B$15*(($B$106*Mat_Sum!$D18)+($B$107*Mat_Sum!$L18)+($B$108*Mat_Sum!$AG18)+($B$109*Mat_Sum!$AV18)+($B$110*Mat_Sum!$AR18)+($B$111*0))</f>
        <v>0</v>
      </c>
      <c r="I314" s="2136">
        <f ca="1" xml:space="preserve"> $A$6*$B$17*(($B$113*Mat_Sum!$E18)+($B$114*Mat_Sum!$D18)+($B$115*Mat_Sum!$F18)+($B$116*Mat_Sum!$L18)+($B$117*Mat_Sum!$I18)+($B$118*0)+($B$119*Mat_Sum!$AV18)+($B$120*Mat_Sum!$AR18)+($B$121*Mat_Sum!$AG18)+($B$122*Mat_Sum!$AG18)+($B$123*Mat_Sum!$AN18)+($B$124*0)+($B$125*Mat_Sum!$E18)+($B$126*0))</f>
        <v>0</v>
      </c>
      <c r="J314" s="2136">
        <f ca="1">$A$6*$B$16*(($B$128*Mat_Sum!$AU18)+($B$129*Mat_Sum!$D18)+($B$130*Mat_Sum!$E18)+($B$131*Mat_Sum!$AS18)+($B$132*Mat_Sum!$I18)+($B$133*Mat_Sum!$AG18)+($B$134*Mat_Sum!$AQ18)+($B$135*Mat_Sum!$AO18)+($B$136*0))</f>
        <v>0</v>
      </c>
      <c r="K314" s="2406">
        <f ca="1" xml:space="preserve"> $A$6*$B$19*$B$138*Mat_Sum!$D18</f>
        <v>0</v>
      </c>
      <c r="L314" s="2223">
        <f t="shared" ca="1" si="4"/>
        <v>0.25793712358577209</v>
      </c>
      <c r="M314" s="2218">
        <f t="shared" ca="1" si="4"/>
        <v>0.12007729372585658</v>
      </c>
      <c r="N314" s="2218">
        <f t="shared" ca="1" si="4"/>
        <v>2.7686993144772028E-2</v>
      </c>
      <c r="O314" s="2218">
        <f t="shared" ca="1" si="4"/>
        <v>0.59429858954359938</v>
      </c>
      <c r="P314" s="2218">
        <f t="shared" ca="1" si="4"/>
        <v>0</v>
      </c>
      <c r="Q314" s="2218">
        <f t="shared" ca="1" si="4"/>
        <v>0</v>
      </c>
      <c r="R314" s="2218">
        <f t="shared" ca="1" si="4"/>
        <v>0</v>
      </c>
      <c r="S314" s="2218">
        <f t="shared" ca="1" si="4"/>
        <v>0</v>
      </c>
      <c r="T314" s="2218">
        <f t="shared" ca="1" si="4"/>
        <v>0</v>
      </c>
      <c r="U314" s="2224">
        <f t="shared" ca="1" si="4"/>
        <v>0</v>
      </c>
      <c r="AI314" s="2299"/>
      <c r="AJ314" s="2299"/>
      <c r="AK314" s="2299"/>
      <c r="AL314" s="2299"/>
      <c r="AM314" s="2299"/>
      <c r="AN314" s="2299"/>
      <c r="AO314" s="2299"/>
      <c r="AP314" s="2299"/>
      <c r="AQ314" s="2299"/>
      <c r="AR314" s="2299"/>
    </row>
    <row r="315" spans="1:44">
      <c r="A315" s="2097" t="s">
        <v>818</v>
      </c>
      <c r="B315" s="2151">
        <f ca="1">($A$6*$B$18*(($B$24*Mat_Sum!$D19)+($B$25*Mat_Sum!$E19)+($B$26*Mat_Sum!$I19)+($B$27*Mat_Sum!$L19)+($B$28*Mat_Sum!$AR19)+($B$29*Mat_Sum!$AV19)+($B$30*Mat_Sum!$AS19)+($B$31*Mat_Sum!$AM19)+($B$32*Mat_Sum!$AG19)+($B$33*0)+($B$34*0)+($B$35*0)+($B$36*Mat_Sum!$CF19)+($B$37*Silicon!$K76)+($B$38*0)))+($B$201*(($B$207*Mat_Sum!$D19)+($B$208*Mat_Sum!$AV19)+($B$209*Mat_Sum!$AR19)))</f>
        <v>12.661146359763428</v>
      </c>
      <c r="C315" s="2242">
        <f ca="1">($A$6*$B$10*(($B$40*Mat_Sum!$E19)+($B$41*Mat_Sum!$D19)+($B$42*Mat_Sum!$L19)+($B$43*Mat_Sum!$I19)+($B$44*Mat_Sum!$F19)+($B$45*Mat_Sum!$AV19)+($B$46*Mat_Sum!$AR19)+($B$47*Mat_Sum!$AG19)+($B$48*((88%*Mat_Sum!$AG19)+(12%*0)))+($B$49*Mat_Sum!$CF19)+($B$50*Mat_Sum!$AN19)+($B$51*'C.Iron'!$I66)+($B$52*((80%*Mat_Sum!$U19)+(20%*Mat_Sum!$BA19)))+($B$53*Mat_Sum!$AW19)+($B$54*Mat_Sum!$AS19)+($B$55*Mat_Sum!$CQ19)+($B$56*Mat_Sum!$AQ19)+($B$57*Mat_Sum!$AO19)+($B$58*Mat_Sum!$AP19)+($B$59*Mat_Sum!$BJ19)+($B$60*Mat_Sum!$BI19)+($B$61*Mat_Sum!$AR19)+($B$62*0)+($B$63*Mat_Sum!$CF19)+($B$64*Mat_Sum!$BG19)+($B$65*Mat_Sum!$BI19)+($B$66*Mat_Sum!$U19)+($B$67*Mat_Sum!$BA19)+($B$68*Mat_Sum!$CP19)+($B$69*0)+($B$70*Mat_Sum!$AZ19)+($B$71*Mat_Sum!$AM19)+($B$72*0)))+($B$202*(($B$211*Mat_Sum!$D19)+($B$212*Mat_Sum!$BG19)+($B$213*Mat_Sum!$AV19)))</f>
        <v>5.0057556098038996</v>
      </c>
      <c r="D315" s="2136">
        <f ca="1" xml:space="preserve"> $A$6*$B$11*(($B$74*Mat_Sum!$D19)+($B$75*Mat_Sum!$L19)+($B$76*Mat_Sum!$I19)+($B$77*Mat_Sum!$F19)+($B$78*Mat_Sum!$AV19)+($B$79*Mat_Sum!$AR19)+($B$80*Mat_Sum!$AG19)+($B$81*Mat_Sum!$AG19)+($B$82*Mat_Sum!$F19)+($B$83*0))</f>
        <v>0.64780030868459415</v>
      </c>
      <c r="E315" s="2136">
        <f ca="1" xml:space="preserve"> ($A$6*$B$12*(($B$85*Mat_Sum!$D19)+($B$86*Mat_Sum!$F19)+($B$87*Mat_Sum!$L19)+($B$88*Mat_Sum!$I19)+($B$89*Mat_Sum!$AV19)+($B$90*Mat_Sum!$AR19)+($B$91*Mat_Sum!$AG19)+($B$92*Mat_Sum!$AG19)+($B$93*Mat_Sum!$F19)+($B$94*0)))+($C$187*$B$187*$B$192*(($B$197*Mat_Sum!$D19)+($A$197*Mat_Sum!$AV19)))+($C$188*$B$188*$B$193*(($B$197*Mat_Sum!$D19)+($A$197*Mat_Sum!$AV19)))</f>
        <v>36.171513618652021</v>
      </c>
      <c r="F315" s="2242">
        <f ca="1" xml:space="preserve"> $A$6*$B$13*(($B$96*Mat_Sum!$D19)+($B$97*Mat_Sum!$L19)+($B$98*Mat_Sum!$AG19)+($B$99*0))</f>
        <v>0</v>
      </c>
      <c r="G315" s="2136">
        <f ca="1" xml:space="preserve"> $A$6*$B$14*(($B$101*Mat_Sum!$D19)+($B$102*Mat_Sum!$L19)+($B$103*Mat_Sum!$AG19)+($B$104*0))</f>
        <v>0</v>
      </c>
      <c r="H315" s="2136">
        <f ca="1" xml:space="preserve"> $A$6*$B$15*(($B$106*Mat_Sum!$D19)+($B$107*Mat_Sum!$L19)+($B$108*Mat_Sum!$AG19)+($B$109*Mat_Sum!$AV19)+($B$110*Mat_Sum!$AR19)+($B$111*0))</f>
        <v>0</v>
      </c>
      <c r="I315" s="2136">
        <f ca="1" xml:space="preserve"> $A$6*$B$17*(($B$113*Mat_Sum!$E19)+($B$114*Mat_Sum!$D19)+($B$115*Mat_Sum!$F19)+($B$116*Mat_Sum!$L19)+($B$117*Mat_Sum!$I19)+($B$118*0)+($B$119*Mat_Sum!$AV19)+($B$120*Mat_Sum!$AR19)+($B$121*Mat_Sum!$AG19)+($B$122*Mat_Sum!$AG19)+($B$123*Mat_Sum!$AN19)+($B$124*0)+($B$125*Mat_Sum!$E19)+($B$126*0))</f>
        <v>0</v>
      </c>
      <c r="J315" s="2136">
        <f ca="1">$A$6*$B$16*(($B$128*Mat_Sum!$AU19)+($B$129*Mat_Sum!$D19)+($B$130*Mat_Sum!$E19)+($B$131*Mat_Sum!$AS19)+($B$132*Mat_Sum!$I19)+($B$133*Mat_Sum!$AG19)+($B$134*Mat_Sum!$AQ19)+($B$135*Mat_Sum!$AO19)+($B$136*0))</f>
        <v>0</v>
      </c>
      <c r="K315" s="2406">
        <f ca="1" xml:space="preserve"> $A$6*$B$19*$B$138*Mat_Sum!$D19</f>
        <v>0</v>
      </c>
      <c r="L315" s="2223">
        <f t="shared" ca="1" si="4"/>
        <v>0.23237338382463937</v>
      </c>
      <c r="M315" s="2218">
        <f t="shared" ca="1" si="4"/>
        <v>9.1871962980059688E-2</v>
      </c>
      <c r="N315" s="2218">
        <f t="shared" ca="1" si="4"/>
        <v>1.1889251217414859E-2</v>
      </c>
      <c r="O315" s="2218">
        <f t="shared" ca="1" si="4"/>
        <v>0.66386540197788602</v>
      </c>
      <c r="P315" s="2218">
        <f t="shared" ca="1" si="4"/>
        <v>0</v>
      </c>
      <c r="Q315" s="2218">
        <f t="shared" ca="1" si="4"/>
        <v>0</v>
      </c>
      <c r="R315" s="2218">
        <f t="shared" ca="1" si="4"/>
        <v>0</v>
      </c>
      <c r="S315" s="2218">
        <f t="shared" ca="1" si="4"/>
        <v>0</v>
      </c>
      <c r="T315" s="2218">
        <f t="shared" ca="1" si="4"/>
        <v>0</v>
      </c>
      <c r="U315" s="2224">
        <f t="shared" ca="1" si="4"/>
        <v>0</v>
      </c>
      <c r="AI315" s="2299"/>
      <c r="AJ315" s="2299"/>
      <c r="AK315" s="2299"/>
      <c r="AL315" s="2299"/>
      <c r="AM315" s="2299"/>
      <c r="AN315" s="2299"/>
      <c r="AO315" s="2299"/>
      <c r="AP315" s="2299"/>
      <c r="AQ315" s="2299"/>
      <c r="AR315" s="2299"/>
    </row>
    <row r="316" spans="1:44">
      <c r="A316" s="2100" t="s">
        <v>819</v>
      </c>
      <c r="B316" s="2150">
        <f ca="1">($A$6*$B$18*(($B$24*Mat_Sum!$D20)+($B$25*Mat_Sum!$E20)+($B$26*Mat_Sum!$I20)+($B$27*Mat_Sum!$L20)+($B$28*Mat_Sum!$AR20)+($B$29*Mat_Sum!$AV20)+($B$30*Mat_Sum!$AS20)+($B$31*Mat_Sum!$AM20)+($B$32*Mat_Sum!$AG20)+($B$33*0)+($B$34*0)+($B$35*0)+($B$36*Mat_Sum!$CF20)+($B$37*Silicon!$K77)+($B$38*0)))+($B$201*(($B$207*Mat_Sum!$D20)+($B$208*Mat_Sum!$AV20)+($B$209*Mat_Sum!$AR20)))</f>
        <v>5814.280446571388</v>
      </c>
      <c r="C316" s="2232">
        <f ca="1">($A$6*$B$10*(($B$40*Mat_Sum!$E20)+($B$41*Mat_Sum!$D20)+($B$42*Mat_Sum!$L20)+($B$43*Mat_Sum!$I20)+($B$44*Mat_Sum!$F20)+($B$45*Mat_Sum!$AV20)+($B$46*Mat_Sum!$AR20)+($B$47*Mat_Sum!$AG20)+($B$48*((88%*Mat_Sum!$AG20)+(12%*0)))+($B$49*Mat_Sum!$CF20)+($B$50*Mat_Sum!$AN20)+($B$51*'C.Iron'!$I67)+($B$52*((80%*Mat_Sum!$U20)+(20%*Mat_Sum!$BA20)))+($B$53*Mat_Sum!$AW20)+($B$54*Mat_Sum!$AS20)+($B$55*Mat_Sum!$CQ20)+($B$56*Mat_Sum!$AQ20)+($B$57*Mat_Sum!$AO20)+($B$58*Mat_Sum!$AP20)+($B$59*Mat_Sum!$BJ20)+($B$60*Mat_Sum!$BI20)+($B$61*Mat_Sum!$AR20)+($B$62*0)+($B$63*Mat_Sum!$CF20)+($B$64*Mat_Sum!$BG20)+($B$65*Mat_Sum!$BI20)+($B$66*Mat_Sum!$U20)+($B$67*Mat_Sum!$BA20)+($B$68*Mat_Sum!$CP20)+($B$69*0)+($B$70*Mat_Sum!$AZ20)+($B$71*Mat_Sum!$AM20)+($B$72*0)))+($B$202*(($B$211*Mat_Sum!$D20)+($B$212*Mat_Sum!$BG20)+($B$213*Mat_Sum!$AV20)))</f>
        <v>4081.674004066188</v>
      </c>
      <c r="D316" s="2232">
        <f ca="1" xml:space="preserve"> $A$6*$B$11*(($B$74*Mat_Sum!$D20)+($B$75*Mat_Sum!$L20)+($B$76*Mat_Sum!$I20)+($B$77*Mat_Sum!$F20)+($B$78*Mat_Sum!$AV20)+($B$79*Mat_Sum!$AR20)+($B$80*Mat_Sum!$AG20)+($B$81*Mat_Sum!$AG20)+($B$82*Mat_Sum!$F20)+($B$83*0))</f>
        <v>258.35498004239139</v>
      </c>
      <c r="E316" s="2232">
        <f ca="1" xml:space="preserve"> ($A$6*$B$12*(($B$85*Mat_Sum!$D20)+($B$86*Mat_Sum!$F20)+($B$87*Mat_Sum!$L20)+($B$88*Mat_Sum!$I20)+($B$89*Mat_Sum!$AV20)+($B$90*Mat_Sum!$AR20)+($B$91*Mat_Sum!$AG20)+($B$92*Mat_Sum!$AG20)+($B$93*Mat_Sum!$F20)+($B$94*0)))+($C$187*$B$187*$B$192*(($B$197*Mat_Sum!$D20)+($A$197*Mat_Sum!$AV20)))+($C$188*$B$188*$B$193*(($B$197*Mat_Sum!$D20)+($A$197*Mat_Sum!$AV20)))</f>
        <v>5504.176110538554</v>
      </c>
      <c r="F316" s="2242">
        <f ca="1" xml:space="preserve"> $A$6*$B$13*(($B$96*Mat_Sum!$D20)+($B$97*Mat_Sum!$L20)+($B$98*Mat_Sum!$AG20)+($B$99*0))</f>
        <v>0</v>
      </c>
      <c r="G316" s="2232">
        <f ca="1" xml:space="preserve"> $A$6*$B$14*(($B$101*Mat_Sum!$D20)+($B$102*Mat_Sum!$L20)+($B$103*Mat_Sum!$AG20)+($B$104*0))</f>
        <v>0</v>
      </c>
      <c r="H316" s="2232">
        <f ca="1" xml:space="preserve"> $A$6*$B$15*(($B$106*Mat_Sum!$D20)+($B$107*Mat_Sum!$L20)+($B$108*Mat_Sum!$AG20)+($B$109*Mat_Sum!$AV20)+($B$110*Mat_Sum!$AR20)+($B$111*0))</f>
        <v>0</v>
      </c>
      <c r="I316" s="2232">
        <f ca="1" xml:space="preserve"> $A$6*$B$17*(($B$113*Mat_Sum!$E20)+($B$114*Mat_Sum!$D20)+($B$115*Mat_Sum!$F20)+($B$116*Mat_Sum!$L20)+($B$117*Mat_Sum!$I20)+($B$118*0)+($B$119*Mat_Sum!$AV20)+($B$120*Mat_Sum!$AR20)+($B$121*Mat_Sum!$AG20)+($B$122*Mat_Sum!$AG20)+($B$123*Mat_Sum!$AN20)+($B$124*0)+($B$125*Mat_Sum!$E20)+($B$126*0))</f>
        <v>0</v>
      </c>
      <c r="J316" s="2232">
        <f ca="1">$A$6*$B$16*(($B$128*Mat_Sum!$AU20)+($B$129*Mat_Sum!$D20)+($B$130*Mat_Sum!$E20)+($B$131*Mat_Sum!$AS20)+($B$132*Mat_Sum!$I20)+($B$133*Mat_Sum!$AG20)+($B$134*Mat_Sum!$AQ20)+($B$135*Mat_Sum!$AO20)+($B$136*0))</f>
        <v>0</v>
      </c>
      <c r="K316" s="2407">
        <f ca="1" xml:space="preserve"> $A$6*$B$19*$B$138*Mat_Sum!$D20</f>
        <v>0</v>
      </c>
      <c r="L316" s="2408">
        <f t="shared" ca="1" si="4"/>
        <v>0.37131818599354333</v>
      </c>
      <c r="M316" s="2409">
        <f t="shared" ca="1" si="4"/>
        <v>0.26066850419996351</v>
      </c>
      <c r="N316" s="2409">
        <f t="shared" ca="1" si="4"/>
        <v>1.6499359364116804E-2</v>
      </c>
      <c r="O316" s="2409">
        <f t="shared" ca="1" si="4"/>
        <v>0.35151395044237632</v>
      </c>
      <c r="P316" s="2409">
        <f t="shared" ca="1" si="4"/>
        <v>0</v>
      </c>
      <c r="Q316" s="2409">
        <f t="shared" ca="1" si="4"/>
        <v>0</v>
      </c>
      <c r="R316" s="2409">
        <f t="shared" ca="1" si="4"/>
        <v>0</v>
      </c>
      <c r="S316" s="2409">
        <f t="shared" ca="1" si="4"/>
        <v>0</v>
      </c>
      <c r="T316" s="2409">
        <f t="shared" ca="1" si="4"/>
        <v>0</v>
      </c>
      <c r="U316" s="2410">
        <f t="shared" ca="1" si="4"/>
        <v>0</v>
      </c>
      <c r="AI316" s="2299"/>
      <c r="AJ316" s="2299"/>
      <c r="AK316" s="2299"/>
      <c r="AL316" s="2299"/>
      <c r="AM316" s="2299"/>
      <c r="AN316" s="2299"/>
      <c r="AO316" s="2299"/>
      <c r="AP316" s="2299"/>
      <c r="AQ316" s="2299"/>
      <c r="AR316" s="2299"/>
    </row>
    <row r="317" spans="1:44">
      <c r="A317" s="2177" t="s">
        <v>964</v>
      </c>
      <c r="B317" s="2151"/>
      <c r="C317" s="2136"/>
      <c r="D317" s="2136"/>
      <c r="E317" s="2136"/>
      <c r="F317" s="2136"/>
      <c r="G317" s="2136"/>
      <c r="H317" s="2136"/>
      <c r="I317" s="2136"/>
      <c r="J317" s="2136"/>
      <c r="K317" s="2406"/>
      <c r="L317" s="2411"/>
      <c r="M317" s="2336"/>
      <c r="N317" s="2336"/>
      <c r="O317" s="2336"/>
      <c r="P317" s="2336"/>
      <c r="Q317" s="2336"/>
      <c r="R317" s="2336"/>
      <c r="S317" s="2336"/>
      <c r="T317" s="2336"/>
      <c r="U317" s="2337"/>
      <c r="AI317" s="2299"/>
      <c r="AJ317" s="2299"/>
      <c r="AK317" s="2299"/>
      <c r="AL317" s="2299"/>
      <c r="AM317" s="2299"/>
      <c r="AN317" s="2299"/>
      <c r="AO317" s="2299"/>
      <c r="AP317" s="2299"/>
      <c r="AQ317" s="2299"/>
      <c r="AR317" s="2299"/>
    </row>
    <row r="318" spans="1:44">
      <c r="A318" s="2093" t="s">
        <v>821</v>
      </c>
      <c r="B318" s="2151">
        <f ca="1">($A$6*$B$18*(($B$24*Mat_Sum!$D22)+($B$25*Mat_Sum!$E22)+($B$26*Mat_Sum!$I22)+($B$27*Mat_Sum!$L22)+($B$28*Mat_Sum!$AR22)+($B$29*Mat_Sum!$AV22)+($B$30*Mat_Sum!$AS22)+($B$31*Mat_Sum!$AM22)+($B$32*Mat_Sum!$AG22)+($B$33*0)+($B$34*0)+($B$35*0)+($B$36*Mat_Sum!$CF22)+($B$37*Silicon!$K79)+($B$38*0)))+($B$201*(($B$207*Mat_Sum!$D22)+($B$208*Mat_Sum!$AV22)+($B$209*Mat_Sum!$AR22)))</f>
        <v>2172.2217931622881</v>
      </c>
      <c r="C318" s="2136">
        <f ca="1">($A$6*$B$10*(($B$40*Mat_Sum!$E22)+($B$41*Mat_Sum!$D22)+($B$42*Mat_Sum!$L22)+($B$43*Mat_Sum!$I22)+($B$44*Mat_Sum!$F22)+($B$45*Mat_Sum!$AV22)+($B$46*Mat_Sum!$AR22)+($B$47*Mat_Sum!$AG22)+($B$48*((88%*Mat_Sum!$AG22)+(12%*0)))+($B$49*Mat_Sum!$CF22)+($B$50*Mat_Sum!$AN22)+($B$51*'C.Iron'!$I69)+($B$52*((80%*Mat_Sum!$U22)+(20%*Mat_Sum!$BA22)))+($B$53*Mat_Sum!$AW22)+($B$54*Mat_Sum!$AS22)+($B$55*Mat_Sum!$CQ22)+($B$56*Mat_Sum!$AQ22)+($B$57*Mat_Sum!$AO22)+($B$58*Mat_Sum!$AP22)+($B$59*Mat_Sum!$BJ22)+($B$60*Mat_Sum!$BI22)+($B$61*Mat_Sum!$AR22)+($B$62*0)+($B$63*Mat_Sum!$CF22)+($B$64*Mat_Sum!$BG22)+($B$65*Mat_Sum!$BI22)+($B$66*Mat_Sum!$U22)+($B$67*Mat_Sum!$BA22)+($B$68*Mat_Sum!$CP22)+($B$69*0)+($B$70*Mat_Sum!$AZ22)+($B$71*Mat_Sum!$AM22)+($B$72*0)))+($B$202*(($B$211*Mat_Sum!$D22)+($B$212*Mat_Sum!$BG22)+($B$213*Mat_Sum!$AV22)))</f>
        <v>2750.1463004013217</v>
      </c>
      <c r="D318" s="2136">
        <f ca="1" xml:space="preserve"> $A$6*$B$11*(($B$74*Mat_Sum!$D22)+($B$75*Mat_Sum!$L22)+($B$76*Mat_Sum!$I22)+($B$77*Mat_Sum!$F22)+($B$78*Mat_Sum!$AV22)+($B$79*Mat_Sum!$AR22)+($B$80*Mat_Sum!$AG22)+($B$81*Mat_Sum!$AG22)+($B$82*Mat_Sum!$F22)+($B$83*0))</f>
        <v>1061.6252862135298</v>
      </c>
      <c r="E318" s="2136">
        <f ca="1" xml:space="preserve"> ($A$6*$B$12*(($B$85*Mat_Sum!$D22)+($B$86*Mat_Sum!$F22)+($B$87*Mat_Sum!$L22)+($B$88*Mat_Sum!$I22)+($B$89*Mat_Sum!$AV22)+($B$90*Mat_Sum!$AR22)+($B$91*Mat_Sum!$AG22)+($B$92*Mat_Sum!$AG22)+($B$93*Mat_Sum!$F22)+($B$94*0)))+($C$187*$B$187*$B$192*(($B$197*Mat_Sum!$D22)+($A$197*Mat_Sum!$AV22)))+($C$188*$B$188*$B$193*(($B$197*Mat_Sum!$D22)+($A$197*Mat_Sum!$AV22)))</f>
        <v>23306.504358870199</v>
      </c>
      <c r="F318" s="2136">
        <f ca="1" xml:space="preserve"> $A$6*$B$13*(($B$96*Mat_Sum!$D22)+($B$97*Mat_Sum!$L22)+($B$98*Mat_Sum!$AG22)+($B$99*0))</f>
        <v>0</v>
      </c>
      <c r="G318" s="2136">
        <f ca="1" xml:space="preserve"> $A$6*$B$14*(($B$101*Mat_Sum!$D22)+($B$102*Mat_Sum!$L22)+($B$103*Mat_Sum!$AG22)+($B$104*0))</f>
        <v>0</v>
      </c>
      <c r="H318" s="2136">
        <f ca="1" xml:space="preserve"> $A$6*$B$15*(($B$106*Mat_Sum!$D22)+($B$107*Mat_Sum!$L22)+($B$108*Mat_Sum!$AG22)+($B$109*Mat_Sum!$AV22)+($B$110*Mat_Sum!$AR22)+($B$111*0))</f>
        <v>0</v>
      </c>
      <c r="I318" s="2136">
        <f ca="1" xml:space="preserve"> $A$6*$B$17*(($B$113*Mat_Sum!$E22)+($B$114*Mat_Sum!$D22)+($B$115*Mat_Sum!$F22)+($B$116*Mat_Sum!$L22)+($B$117*Mat_Sum!$I22)+($B$118*0)+($B$119*Mat_Sum!$AV22)+($B$120*Mat_Sum!$AR22)+($B$121*Mat_Sum!$AG22)+($B$122*Mat_Sum!$AG22)+($B$123*Mat_Sum!$AN22)+($B$124*0)+($B$125*Mat_Sum!$E22)+($B$126*0))</f>
        <v>0</v>
      </c>
      <c r="J318" s="2136">
        <f ca="1">$A$6*$B$16*(($B$128*Mat_Sum!$AU22)+($B$129*Mat_Sum!$D22)+($B$130*Mat_Sum!$E22)+($B$131*Mat_Sum!$AS22)+($B$132*Mat_Sum!$I22)+($B$133*Mat_Sum!$AG22)+($B$134*Mat_Sum!$AQ22)+($B$135*Mat_Sum!$AO22)+($B$136*0))</f>
        <v>0</v>
      </c>
      <c r="K318" s="2406">
        <f ca="1" xml:space="preserve"> $A$6*$B$19*$B$138*Mat_Sum!$D22</f>
        <v>0</v>
      </c>
      <c r="L318" s="2223">
        <f t="shared" ref="L318:U330" ca="1" si="5" xml:space="preserve"> B318/$B283</f>
        <v>7.4161313766141684E-2</v>
      </c>
      <c r="M318" s="2218">
        <f t="shared" ca="1" si="5"/>
        <v>9.3892098554974115E-2</v>
      </c>
      <c r="N318" s="2218">
        <f t="shared" ca="1" si="5"/>
        <v>3.6244699413652125E-2</v>
      </c>
      <c r="O318" s="2218">
        <f t="shared" ca="1" si="5"/>
        <v>0.79570188826523236</v>
      </c>
      <c r="P318" s="2218">
        <f t="shared" ca="1" si="5"/>
        <v>0</v>
      </c>
      <c r="Q318" s="2218">
        <f t="shared" ca="1" si="5"/>
        <v>0</v>
      </c>
      <c r="R318" s="2218">
        <f t="shared" ca="1" si="5"/>
        <v>0</v>
      </c>
      <c r="S318" s="2218">
        <f t="shared" ca="1" si="5"/>
        <v>0</v>
      </c>
      <c r="T318" s="2218">
        <f t="shared" ca="1" si="5"/>
        <v>0</v>
      </c>
      <c r="U318" s="2224">
        <f t="shared" ca="1" si="5"/>
        <v>0</v>
      </c>
      <c r="AI318" s="2299"/>
      <c r="AJ318" s="2299"/>
      <c r="AK318" s="2299"/>
      <c r="AL318" s="2299"/>
      <c r="AM318" s="2299"/>
      <c r="AN318" s="2299"/>
      <c r="AO318" s="2299"/>
      <c r="AP318" s="2299"/>
      <c r="AQ318" s="2299"/>
      <c r="AR318" s="2299"/>
    </row>
    <row r="319" spans="1:44">
      <c r="A319" s="2093" t="s">
        <v>822</v>
      </c>
      <c r="B319" s="2151">
        <f ca="1">($A$6*$B$18*(($B$24*Mat_Sum!$D23)+($B$25*Mat_Sum!$E23)+($B$26*Mat_Sum!$I23)+($B$27*Mat_Sum!$L23)+($B$28*Mat_Sum!$AR23)+($B$29*Mat_Sum!$AV23)+($B$30*Mat_Sum!$AS23)+($B$31*Mat_Sum!$AM23)+($B$32*Mat_Sum!$AG23)+($B$33*0)+($B$34*0)+($B$35*0)+($B$36*Mat_Sum!$CF23)+($B$37*Silicon!$K80)+($B$38*0)))+($B$201*(($B$207*Mat_Sum!$D23)+($B$208*Mat_Sum!$AV23)+($B$209*Mat_Sum!$AR23)))</f>
        <v>12328.415869104145</v>
      </c>
      <c r="C319" s="2136">
        <f ca="1">($A$6*$B$10*(($B$40*Mat_Sum!$E23)+($B$41*Mat_Sum!$D23)+($B$42*Mat_Sum!$L23)+($B$43*Mat_Sum!$I23)+($B$44*Mat_Sum!$F23)+($B$45*Mat_Sum!$AV23)+($B$46*Mat_Sum!$AR23)+($B$47*Mat_Sum!$AG23)+($B$48*((88%*Mat_Sum!$AG23)+(12%*0)))+($B$49*Mat_Sum!$CF23)+($B$50*Mat_Sum!$AN23)+($B$51*'C.Iron'!$I70)+($B$52*((80%*Mat_Sum!$U23)+(20%*Mat_Sum!$BA23)))+($B$53*Mat_Sum!$AW23)+($B$54*Mat_Sum!$AS23)+($B$55*Mat_Sum!$CQ23)+($B$56*Mat_Sum!$AQ23)+($B$57*Mat_Sum!$AO23)+($B$58*Mat_Sum!$AP23)+($B$59*Mat_Sum!$BJ23)+($B$60*Mat_Sum!$BI23)+($B$61*Mat_Sum!$AR23)+($B$62*0)+($B$63*Mat_Sum!$CF23)+($B$64*Mat_Sum!$BG23)+($B$65*Mat_Sum!$BI23)+($B$66*Mat_Sum!$U23)+($B$67*Mat_Sum!$BA23)+($B$68*Mat_Sum!$CP23)+($B$69*0)+($B$70*Mat_Sum!$AZ23)+($B$71*Mat_Sum!$AM23)+($B$72*0)))+($B$202*(($B$211*Mat_Sum!$D23)+($B$212*Mat_Sum!$BG23)+($B$213*Mat_Sum!$AV23)))</f>
        <v>12769.21066202944</v>
      </c>
      <c r="D319" s="2136">
        <f ca="1" xml:space="preserve"> $A$6*$B$11*(($B$74*Mat_Sum!$D23)+($B$75*Mat_Sum!$L23)+($B$76*Mat_Sum!$I23)+($B$77*Mat_Sum!$F23)+($B$78*Mat_Sum!$AV23)+($B$79*Mat_Sum!$AR23)+($B$80*Mat_Sum!$AG23)+($B$81*Mat_Sum!$AG23)+($B$82*Mat_Sum!$F23)+($B$83*0))</f>
        <v>7124.9603128298086</v>
      </c>
      <c r="E319" s="2136">
        <f ca="1" xml:space="preserve"> ($A$6*$B$12*(($B$85*Mat_Sum!$D23)+($B$86*Mat_Sum!$F23)+($B$87*Mat_Sum!$L23)+($B$88*Mat_Sum!$I23)+($B$89*Mat_Sum!$AV23)+($B$90*Mat_Sum!$AR23)+($B$91*Mat_Sum!$AG23)+($B$92*Mat_Sum!$AG23)+($B$93*Mat_Sum!$F23)+($B$94*0)))+($C$187*$B$187*$B$192*(($B$197*Mat_Sum!$D23)+($A$197*Mat_Sum!$AV23)))+($C$188*$B$188*$B$193*(($B$197*Mat_Sum!$D23)+($A$197*Mat_Sum!$AV23)))</f>
        <v>85132.556678756519</v>
      </c>
      <c r="F319" s="2136">
        <f ca="1" xml:space="preserve"> $A$6*$B$13*(($B$96*Mat_Sum!$D23)+($B$97*Mat_Sum!$L23)+($B$98*Mat_Sum!$AG23)+($B$99*0))</f>
        <v>0</v>
      </c>
      <c r="G319" s="2136">
        <f ca="1" xml:space="preserve"> $A$6*$B$14*(($B$101*Mat_Sum!$D23)+($B$102*Mat_Sum!$L23)+($B$103*Mat_Sum!$AG23)+($B$104*0))</f>
        <v>0</v>
      </c>
      <c r="H319" s="2136">
        <f ca="1" xml:space="preserve"> $A$6*$B$15*(($B$106*Mat_Sum!$D23)+($B$107*Mat_Sum!$L23)+($B$108*Mat_Sum!$AG23)+($B$109*Mat_Sum!$AV23)+($B$110*Mat_Sum!$AR23)+($B$111*0))</f>
        <v>0</v>
      </c>
      <c r="I319" s="2136">
        <f ca="1" xml:space="preserve"> $A$6*$B$17*(($B$113*Mat_Sum!$E23)+($B$114*Mat_Sum!$D23)+($B$115*Mat_Sum!$F23)+($B$116*Mat_Sum!$L23)+($B$117*Mat_Sum!$I23)+($B$118*0)+($B$119*Mat_Sum!$AV23)+($B$120*Mat_Sum!$AR23)+($B$121*Mat_Sum!$AG23)+($B$122*Mat_Sum!$AG23)+($B$123*Mat_Sum!$AN23)+($B$124*0)+($B$125*Mat_Sum!$E23)+($B$126*0))</f>
        <v>0</v>
      </c>
      <c r="J319" s="2136">
        <f ca="1">$A$6*$B$16*(($B$128*Mat_Sum!$AU23)+($B$129*Mat_Sum!$D23)+($B$130*Mat_Sum!$E23)+($B$131*Mat_Sum!$AS23)+($B$132*Mat_Sum!$I23)+($B$133*Mat_Sum!$AG23)+($B$134*Mat_Sum!$AQ23)+($B$135*Mat_Sum!$AO23)+($B$136*0))</f>
        <v>0</v>
      </c>
      <c r="K319" s="2406">
        <f ca="1" xml:space="preserve"> $A$6*$B$19*$B$138*Mat_Sum!$D23</f>
        <v>0</v>
      </c>
      <c r="L319" s="2223">
        <f t="shared" ca="1" si="5"/>
        <v>0.10505219881323198</v>
      </c>
      <c r="M319" s="2218">
        <f t="shared" ca="1" si="5"/>
        <v>0.10880827442861357</v>
      </c>
      <c r="N319" s="2218">
        <f t="shared" ca="1" si="5"/>
        <v>6.0712808139086118E-2</v>
      </c>
      <c r="O319" s="2218">
        <f t="shared" ca="1" si="5"/>
        <v>0.72542671861906838</v>
      </c>
      <c r="P319" s="2218">
        <f t="shared" ca="1" si="5"/>
        <v>0</v>
      </c>
      <c r="Q319" s="2218">
        <f t="shared" ca="1" si="5"/>
        <v>0</v>
      </c>
      <c r="R319" s="2218">
        <f t="shared" ca="1" si="5"/>
        <v>0</v>
      </c>
      <c r="S319" s="2218">
        <f t="shared" ca="1" si="5"/>
        <v>0</v>
      </c>
      <c r="T319" s="2218">
        <f t="shared" ca="1" si="5"/>
        <v>0</v>
      </c>
      <c r="U319" s="2224">
        <f t="shared" ca="1" si="5"/>
        <v>0</v>
      </c>
      <c r="AI319" s="2299"/>
      <c r="AJ319" s="2299"/>
      <c r="AK319" s="2299"/>
      <c r="AL319" s="2299"/>
      <c r="AM319" s="2299"/>
      <c r="AN319" s="2299"/>
      <c r="AO319" s="2299"/>
      <c r="AP319" s="2299"/>
      <c r="AQ319" s="2299"/>
      <c r="AR319" s="2299"/>
    </row>
    <row r="320" spans="1:44" ht="15.75">
      <c r="A320" s="2093" t="s">
        <v>2542</v>
      </c>
      <c r="B320" s="2151">
        <f ca="1">($A$6*$B$18*(($B$24*Mat_Sum!$D24)+($B$25*Mat_Sum!$E24)+($B$26*Mat_Sum!$I24)+($B$27*Mat_Sum!$L24)+($B$28*Mat_Sum!$AR24)+($B$29*Mat_Sum!$AV24)+($B$30*Mat_Sum!$AS24)+($B$31*Mat_Sum!$AM24)+($B$32*Mat_Sum!$AG24)+($B$33*0)+($B$34*0)+($B$35*0)+($B$36*Mat_Sum!$CF24)+($B$37*Silicon!$K81)+($B$38*0)))+($B$201*(($B$207*Mat_Sum!$D24)+($B$208*Mat_Sum!$AV24)+($B$209*Mat_Sum!$AR24)))</f>
        <v>5058.1822267317284</v>
      </c>
      <c r="C320" s="2136">
        <f ca="1">($A$6*$B$10*(($B$40*Mat_Sum!$E24)+($B$41*Mat_Sum!$D24)+($B$42*Mat_Sum!$L24)+($B$43*Mat_Sum!$I24)+($B$44*Mat_Sum!$F24)+($B$45*Mat_Sum!$AV24)+($B$46*Mat_Sum!$AR24)+($B$47*Mat_Sum!$AG24)+($B$48*((88%*Mat_Sum!$AG24)+(12%*0)))+($B$49*Mat_Sum!$CF24)+($B$50*Mat_Sum!$AN24)+($B$51*'C.Iron'!$I71)+($B$52*((80%*Mat_Sum!$U24)+(20%*Mat_Sum!$BA24)))+($B$53*Mat_Sum!$AW24)+($B$54*Mat_Sum!$AS24)+($B$55*Mat_Sum!$CQ24)+($B$56*Mat_Sum!$AQ24)+($B$57*Mat_Sum!$AO24)+($B$58*Mat_Sum!$AP24)+($B$59*Mat_Sum!$BJ24)+($B$60*Mat_Sum!$BI24)+($B$61*Mat_Sum!$AR24)+($B$62*0)+($B$63*Mat_Sum!$CF24)+($B$64*Mat_Sum!$BG24)+($B$65*Mat_Sum!$BI24)+($B$66*Mat_Sum!$U24)+($B$67*Mat_Sum!$BA24)+($B$68*Mat_Sum!$CP24)+($B$69*0)+($B$70*Mat_Sum!$AZ24)+($B$71*Mat_Sum!$AM24)+($B$72*0)))+($B$202*(($B$211*Mat_Sum!$D24)+($B$212*Mat_Sum!$BG24)+($B$213*Mat_Sum!$AV24)))</f>
        <v>3240.1918243710356</v>
      </c>
      <c r="D320" s="2136">
        <f ca="1" xml:space="preserve"> $A$6*$B$11*(($B$74*Mat_Sum!$D24)+($B$75*Mat_Sum!$L24)+($B$76*Mat_Sum!$I24)+($B$77*Mat_Sum!$F24)+($B$78*Mat_Sum!$AV24)+($B$79*Mat_Sum!$AR24)+($B$80*Mat_Sum!$AG24)+($B$81*Mat_Sum!$AG24)+($B$82*Mat_Sum!$F24)+($B$83*0))</f>
        <v>1022.959844439443</v>
      </c>
      <c r="E320" s="2136">
        <f ca="1" xml:space="preserve"> ($A$6*$B$12*(($B$85*Mat_Sum!$D24)+($B$86*Mat_Sum!$F24)+($B$87*Mat_Sum!$L24)+($B$88*Mat_Sum!$I24)+($B$89*Mat_Sum!$AV24)+($B$90*Mat_Sum!$AR24)+($B$91*Mat_Sum!$AG24)+($B$92*Mat_Sum!$AG24)+($B$93*Mat_Sum!$F24)+($B$94*0)))+($C$187*$B$187*$B$192*(($B$197*Mat_Sum!$D24)+($A$197*Mat_Sum!$AV24)))+($C$188*$B$188*$B$193*(($B$197*Mat_Sum!$D24)+($A$197*Mat_Sum!$AV24)))</f>
        <v>19725.612319331987</v>
      </c>
      <c r="F320" s="2136">
        <f ca="1" xml:space="preserve"> $A$6*$B$13*(($B$96*Mat_Sum!$D24)+($B$97*Mat_Sum!$L24)+($B$98*Mat_Sum!$AG24)+($B$99*0))</f>
        <v>0</v>
      </c>
      <c r="G320" s="2136">
        <f ca="1" xml:space="preserve"> $A$6*$B$14*(($B$101*Mat_Sum!$D24)+($B$102*Mat_Sum!$L24)+($B$103*Mat_Sum!$AG24)+($B$104*0))</f>
        <v>0</v>
      </c>
      <c r="H320" s="2136">
        <f ca="1" xml:space="preserve"> $A$6*$B$15*(($B$106*Mat_Sum!$D24)+($B$107*Mat_Sum!$L24)+($B$108*Mat_Sum!$AG24)+($B$109*Mat_Sum!$AV24)+($B$110*Mat_Sum!$AR24)+($B$111*0))</f>
        <v>0</v>
      </c>
      <c r="I320" s="2136">
        <f ca="1" xml:space="preserve"> $A$6*$B$17*(($B$113*Mat_Sum!$E24)+($B$114*Mat_Sum!$D24)+($B$115*Mat_Sum!$F24)+($B$116*Mat_Sum!$L24)+($B$117*Mat_Sum!$I24)+($B$118*0)+($B$119*Mat_Sum!$AV24)+($B$120*Mat_Sum!$AR24)+($B$121*Mat_Sum!$AG24)+($B$122*Mat_Sum!$AG24)+($B$123*Mat_Sum!$AN24)+($B$124*0)+($B$125*Mat_Sum!$E24)+($B$126*0))</f>
        <v>0</v>
      </c>
      <c r="J320" s="2136">
        <f ca="1">$A$6*$B$16*(($B$128*Mat_Sum!$AU24)+($B$129*Mat_Sum!$D24)+($B$130*Mat_Sum!$E24)+($B$131*Mat_Sum!$AS24)+($B$132*Mat_Sum!$I24)+($B$133*Mat_Sum!$AG24)+($B$134*Mat_Sum!$AQ24)+($B$135*Mat_Sum!$AO24)+($B$136*0))</f>
        <v>0</v>
      </c>
      <c r="K320" s="2406">
        <f ca="1" xml:space="preserve"> $A$6*$B$19*$B$138*Mat_Sum!$D24</f>
        <v>0</v>
      </c>
      <c r="L320" s="2223">
        <f t="shared" ca="1" si="5"/>
        <v>0.17413817581076951</v>
      </c>
      <c r="M320" s="2218">
        <f t="shared" ca="1" si="5"/>
        <v>0.11155017124353736</v>
      </c>
      <c r="N320" s="2218">
        <f t="shared" ca="1" si="5"/>
        <v>3.5217466127837271E-2</v>
      </c>
      <c r="O320" s="2218">
        <f t="shared" ca="1" si="5"/>
        <v>0.67909418681785583</v>
      </c>
      <c r="P320" s="2218">
        <f t="shared" ca="1" si="5"/>
        <v>0</v>
      </c>
      <c r="Q320" s="2218">
        <f t="shared" ca="1" si="5"/>
        <v>0</v>
      </c>
      <c r="R320" s="2218">
        <f t="shared" ca="1" si="5"/>
        <v>0</v>
      </c>
      <c r="S320" s="2218">
        <f t="shared" ca="1" si="5"/>
        <v>0</v>
      </c>
      <c r="T320" s="2218">
        <f t="shared" ca="1" si="5"/>
        <v>0</v>
      </c>
      <c r="U320" s="2224">
        <f t="shared" ca="1" si="5"/>
        <v>0</v>
      </c>
      <c r="AI320" s="2299"/>
      <c r="AJ320" s="2299"/>
      <c r="AK320" s="2299"/>
      <c r="AL320" s="2299"/>
      <c r="AM320" s="2299"/>
      <c r="AN320" s="2299"/>
      <c r="AO320" s="2299"/>
      <c r="AP320" s="2299"/>
      <c r="AQ320" s="2299"/>
      <c r="AR320" s="2299"/>
    </row>
    <row r="321" spans="1:44" ht="15.75">
      <c r="A321" s="2093" t="s">
        <v>2543</v>
      </c>
      <c r="B321" s="2151">
        <f ca="1">($A$6*$B$18*(($B$24*Mat_Sum!$D25)+($B$25*Mat_Sum!$E25)+($B$26*Mat_Sum!$I25)+($B$27*Mat_Sum!$L25)+($B$28*Mat_Sum!$AR25)+($B$29*Mat_Sum!$AV25)+($B$30*Mat_Sum!$AS25)+($B$31*Mat_Sum!$AM25)+($B$32*Mat_Sum!$AG25)+($B$33*0)+($B$34*0)+($B$35*0)+($B$36*Mat_Sum!$CF25)+($B$37*Silicon!$K82)+($B$38*0)))+($B$201*(($B$207*Mat_Sum!$D25)+($B$208*Mat_Sum!$AV25)+($B$209*Mat_Sum!$AR25)))</f>
        <v>2838.0005827451309</v>
      </c>
      <c r="C321" s="2136">
        <f ca="1">($A$6*$B$10*(($B$40*Mat_Sum!$E25)+($B$41*Mat_Sum!$D25)+($B$42*Mat_Sum!$L25)+($B$43*Mat_Sum!$I25)+($B$44*Mat_Sum!$F25)+($B$45*Mat_Sum!$AV25)+($B$46*Mat_Sum!$AR25)+($B$47*Mat_Sum!$AG25)+($B$48*((88%*Mat_Sum!$AG25)+(12%*0)))+($B$49*Mat_Sum!$CF25)+($B$50*Mat_Sum!$AN25)+($B$51*'C.Iron'!$I72)+($B$52*((80%*Mat_Sum!$U25)+(20%*Mat_Sum!$BA25)))+($B$53*Mat_Sum!$AW25)+($B$54*Mat_Sum!$AS25)+($B$55*Mat_Sum!$CQ25)+($B$56*Mat_Sum!$AQ25)+($B$57*Mat_Sum!$AO25)+($B$58*Mat_Sum!$AP25)+($B$59*Mat_Sum!$BJ25)+($B$60*Mat_Sum!$BI25)+($B$61*Mat_Sum!$AR25)+($B$62*0)+($B$63*Mat_Sum!$CF25)+($B$64*Mat_Sum!$BG25)+($B$65*Mat_Sum!$BI25)+($B$66*Mat_Sum!$U25)+($B$67*Mat_Sum!$BA25)+($B$68*Mat_Sum!$CP25)+($B$69*0)+($B$70*Mat_Sum!$AZ25)+($B$71*Mat_Sum!$AM25)+($B$72*0)))+($B$202*(($B$211*Mat_Sum!$D25)+($B$212*Mat_Sum!$BG25)+($B$213*Mat_Sum!$AV25)))</f>
        <v>1993.9412615463757</v>
      </c>
      <c r="D321" s="2136">
        <f ca="1" xml:space="preserve"> $A$6*$B$11*(($B$74*Mat_Sum!$D25)+($B$75*Mat_Sum!$L25)+($B$76*Mat_Sum!$I25)+($B$77*Mat_Sum!$F25)+($B$78*Mat_Sum!$AV25)+($B$79*Mat_Sum!$AR25)+($B$80*Mat_Sum!$AG25)+($B$81*Mat_Sum!$AG25)+($B$82*Mat_Sum!$F25)+($B$83*0))</f>
        <v>584.68693661619773</v>
      </c>
      <c r="E321" s="2136">
        <f ca="1" xml:space="preserve"> ($A$6*$B$12*(($B$85*Mat_Sum!$D25)+($B$86*Mat_Sum!$F25)+($B$87*Mat_Sum!$L25)+($B$88*Mat_Sum!$I25)+($B$89*Mat_Sum!$AV25)+($B$90*Mat_Sum!$AR25)+($B$91*Mat_Sum!$AG25)+($B$92*Mat_Sum!$AG25)+($B$93*Mat_Sum!$F25)+($B$94*0)))+($C$187*$B$187*$B$192*(($B$197*Mat_Sum!$D25)+($A$197*Mat_Sum!$AV25)))+($C$188*$B$188*$B$193*(($B$197*Mat_Sum!$D25)+($A$197*Mat_Sum!$AV25)))</f>
        <v>8029.7677516910571</v>
      </c>
      <c r="F321" s="2136">
        <f ca="1" xml:space="preserve"> $A$6*$B$13*(($B$96*Mat_Sum!$D25)+($B$97*Mat_Sum!$L25)+($B$98*Mat_Sum!$AG25)+($B$99*0))</f>
        <v>0</v>
      </c>
      <c r="G321" s="2136">
        <f ca="1" xml:space="preserve"> $A$6*$B$14*(($B$101*Mat_Sum!$D25)+($B$102*Mat_Sum!$L25)+($B$103*Mat_Sum!$AG25)+($B$104*0))</f>
        <v>0</v>
      </c>
      <c r="H321" s="2136">
        <f ca="1" xml:space="preserve"> $A$6*$B$15*(($B$106*Mat_Sum!$D25)+($B$107*Mat_Sum!$L25)+($B$108*Mat_Sum!$AG25)+($B$109*Mat_Sum!$AV25)+($B$110*Mat_Sum!$AR25)+($B$111*0))</f>
        <v>0</v>
      </c>
      <c r="I321" s="2136">
        <f ca="1" xml:space="preserve"> $A$6*$B$17*(($B$113*Mat_Sum!$E25)+($B$114*Mat_Sum!$D25)+($B$115*Mat_Sum!$F25)+($B$116*Mat_Sum!$L25)+($B$117*Mat_Sum!$I25)+($B$118*0)+($B$119*Mat_Sum!$AV25)+($B$120*Mat_Sum!$AR25)+($B$121*Mat_Sum!$AG25)+($B$122*Mat_Sum!$AG25)+($B$123*Mat_Sum!$AN25)+($B$124*0)+($B$125*Mat_Sum!$E25)+($B$126*0))</f>
        <v>0</v>
      </c>
      <c r="J321" s="2136">
        <f ca="1">$A$6*$B$16*(($B$128*Mat_Sum!$AU25)+($B$129*Mat_Sum!$D25)+($B$130*Mat_Sum!$E25)+($B$131*Mat_Sum!$AS25)+($B$132*Mat_Sum!$I25)+($B$133*Mat_Sum!$AG25)+($B$134*Mat_Sum!$AQ25)+($B$135*Mat_Sum!$AO25)+($B$136*0))</f>
        <v>0</v>
      </c>
      <c r="K321" s="2406">
        <f ca="1" xml:space="preserve"> $A$6*$B$19*$B$138*Mat_Sum!$D25</f>
        <v>0</v>
      </c>
      <c r="L321" s="2223">
        <f t="shared" ca="1" si="5"/>
        <v>0.21106030718823637</v>
      </c>
      <c r="M321" s="2218">
        <f t="shared" ca="1" si="5"/>
        <v>0.14828814966986625</v>
      </c>
      <c r="N321" s="2218">
        <f t="shared" ca="1" si="5"/>
        <v>4.3482797431915118E-2</v>
      </c>
      <c r="O321" s="2218">
        <f t="shared" ca="1" si="5"/>
        <v>0.59716874570998224</v>
      </c>
      <c r="P321" s="2218">
        <f t="shared" ca="1" si="5"/>
        <v>0</v>
      </c>
      <c r="Q321" s="2218">
        <f t="shared" ca="1" si="5"/>
        <v>0</v>
      </c>
      <c r="R321" s="2218">
        <f t="shared" ca="1" si="5"/>
        <v>0</v>
      </c>
      <c r="S321" s="2218">
        <f t="shared" ca="1" si="5"/>
        <v>0</v>
      </c>
      <c r="T321" s="2218">
        <f t="shared" ca="1" si="5"/>
        <v>0</v>
      </c>
      <c r="U321" s="2224">
        <f t="shared" ca="1" si="5"/>
        <v>0</v>
      </c>
      <c r="AI321" s="2299"/>
      <c r="AJ321" s="2299"/>
      <c r="AK321" s="2299"/>
      <c r="AL321" s="2299"/>
      <c r="AM321" s="2299"/>
      <c r="AN321" s="2299"/>
      <c r="AO321" s="2299"/>
      <c r="AP321" s="2299"/>
      <c r="AQ321" s="2299"/>
      <c r="AR321" s="2299"/>
    </row>
    <row r="322" spans="1:44" ht="15.75">
      <c r="A322" s="2093" t="s">
        <v>2544</v>
      </c>
      <c r="B322" s="2151">
        <f ca="1">($A$6*$B$18*(($B$24*Mat_Sum!$D26)+($B$25*Mat_Sum!$E26)+($B$26*Mat_Sum!$I26)+($B$27*Mat_Sum!$L26)+($B$28*Mat_Sum!$AR26)+($B$29*Mat_Sum!$AV26)+($B$30*Mat_Sum!$AS26)+($B$31*Mat_Sum!$AM26)+($B$32*Mat_Sum!$AG26)+($B$33*0)+($B$34*0)+($B$35*0)+($B$36*Mat_Sum!$CF26)+($B$37*Silicon!$K83)+($B$38*0)))+($B$201*(($B$207*Mat_Sum!$D26)+($B$208*Mat_Sum!$AV26)+($B$209*Mat_Sum!$AR26)))</f>
        <v>1076.5396671389356</v>
      </c>
      <c r="C322" s="2136">
        <f ca="1">($A$6*$B$10*(($B$40*Mat_Sum!$E26)+($B$41*Mat_Sum!$D26)+($B$42*Mat_Sum!$L26)+($B$43*Mat_Sum!$I26)+($B$44*Mat_Sum!$F26)+($B$45*Mat_Sum!$AV26)+($B$46*Mat_Sum!$AR26)+($B$47*Mat_Sum!$AG26)+($B$48*((88%*Mat_Sum!$AG26)+(12%*0)))+($B$49*Mat_Sum!$CF26)+($B$50*Mat_Sum!$AN26)+($B$51*'C.Iron'!$I73)+($B$52*((80%*Mat_Sum!$U26)+(20%*Mat_Sum!$BA26)))+($B$53*Mat_Sum!$AW26)+($B$54*Mat_Sum!$AS26)+($B$55*Mat_Sum!$CQ26)+($B$56*Mat_Sum!$AQ26)+($B$57*Mat_Sum!$AO26)+($B$58*Mat_Sum!$AP26)+($B$59*Mat_Sum!$BJ26)+($B$60*Mat_Sum!$BI26)+($B$61*Mat_Sum!$AR26)+($B$62*0)+($B$63*Mat_Sum!$CF26)+($B$64*Mat_Sum!$BG26)+($B$65*Mat_Sum!$BI26)+($B$66*Mat_Sum!$U26)+($B$67*Mat_Sum!$BA26)+($B$68*Mat_Sum!$CP26)+($B$69*0)+($B$70*Mat_Sum!$AZ26)+($B$71*Mat_Sum!$AM26)+($B$72*0)))+($B$202*(($B$211*Mat_Sum!$D26)+($B$212*Mat_Sum!$BG26)+($B$213*Mat_Sum!$AV26)))</f>
        <v>955.60272776390218</v>
      </c>
      <c r="D322" s="2136">
        <f ca="1" xml:space="preserve"> $A$6*$B$11*(($B$74*Mat_Sum!$D26)+($B$75*Mat_Sum!$L26)+($B$76*Mat_Sum!$I26)+($B$77*Mat_Sum!$F26)+($B$78*Mat_Sum!$AV26)+($B$79*Mat_Sum!$AR26)+($B$80*Mat_Sum!$AG26)+($B$81*Mat_Sum!$AG26)+($B$82*Mat_Sum!$F26)+($B$83*0))</f>
        <v>276.83018569156764</v>
      </c>
      <c r="E322" s="2136">
        <f ca="1" xml:space="preserve"> ($A$6*$B$12*(($B$85*Mat_Sum!$D26)+($B$86*Mat_Sum!$F26)+($B$87*Mat_Sum!$L26)+($B$88*Mat_Sum!$I26)+($B$89*Mat_Sum!$AV26)+($B$90*Mat_Sum!$AR26)+($B$91*Mat_Sum!$AG26)+($B$92*Mat_Sum!$AG26)+($B$93*Mat_Sum!$F26)+($B$94*0)))+($C$187*$B$187*$B$192*(($B$197*Mat_Sum!$D26)+($A$197*Mat_Sum!$AV26)))+($C$188*$B$188*$B$193*(($B$197*Mat_Sum!$D26)+($A$197*Mat_Sum!$AV26)))</f>
        <v>4018.5037498049946</v>
      </c>
      <c r="F322" s="2136">
        <f ca="1" xml:space="preserve"> $A$6*$B$13*(($B$96*Mat_Sum!$D26)+($B$97*Mat_Sum!$L26)+($B$98*Mat_Sum!$AG26)+($B$99*0))</f>
        <v>0</v>
      </c>
      <c r="G322" s="2136">
        <f ca="1" xml:space="preserve"> $A$6*$B$14*(($B$101*Mat_Sum!$D26)+($B$102*Mat_Sum!$L26)+($B$103*Mat_Sum!$AG26)+($B$104*0))</f>
        <v>0</v>
      </c>
      <c r="H322" s="2136">
        <f ca="1" xml:space="preserve"> $A$6*$B$15*(($B$106*Mat_Sum!$D26)+($B$107*Mat_Sum!$L26)+($B$108*Mat_Sum!$AG26)+($B$109*Mat_Sum!$AV26)+($B$110*Mat_Sum!$AR26)+($B$111*0))</f>
        <v>0</v>
      </c>
      <c r="I322" s="2136">
        <f ca="1" xml:space="preserve"> $A$6*$B$17*(($B$113*Mat_Sum!$E26)+($B$114*Mat_Sum!$D26)+($B$115*Mat_Sum!$F26)+($B$116*Mat_Sum!$L26)+($B$117*Mat_Sum!$I26)+($B$118*0)+($B$119*Mat_Sum!$AV26)+($B$120*Mat_Sum!$AR26)+($B$121*Mat_Sum!$AG26)+($B$122*Mat_Sum!$AG26)+($B$123*Mat_Sum!$AN26)+($B$124*0)+($B$125*Mat_Sum!$E26)+($B$126*0))</f>
        <v>0</v>
      </c>
      <c r="J322" s="2136">
        <f ca="1">$A$6*$B$16*(($B$128*Mat_Sum!$AU26)+($B$129*Mat_Sum!$D26)+($B$130*Mat_Sum!$E26)+($B$131*Mat_Sum!$AS26)+($B$132*Mat_Sum!$I26)+($B$133*Mat_Sum!$AG26)+($B$134*Mat_Sum!$AQ26)+($B$135*Mat_Sum!$AO26)+($B$136*0))</f>
        <v>0</v>
      </c>
      <c r="K322" s="2406">
        <f ca="1" xml:space="preserve"> $A$6*$B$19*$B$138*Mat_Sum!$D26</f>
        <v>0</v>
      </c>
      <c r="L322" s="2223">
        <f t="shared" ca="1" si="5"/>
        <v>0.17013728869547312</v>
      </c>
      <c r="M322" s="2218">
        <f t="shared" ca="1" si="5"/>
        <v>0.15102430698521208</v>
      </c>
      <c r="N322" s="2218">
        <f t="shared" ca="1" si="5"/>
        <v>4.37504893319915E-2</v>
      </c>
      <c r="O322" s="2218">
        <f t="shared" ca="1" si="5"/>
        <v>0.63508791498732331</v>
      </c>
      <c r="P322" s="2218">
        <f t="shared" ca="1" si="5"/>
        <v>0</v>
      </c>
      <c r="Q322" s="2218">
        <f t="shared" ca="1" si="5"/>
        <v>0</v>
      </c>
      <c r="R322" s="2218">
        <f t="shared" ca="1" si="5"/>
        <v>0</v>
      </c>
      <c r="S322" s="2218">
        <f t="shared" ca="1" si="5"/>
        <v>0</v>
      </c>
      <c r="T322" s="2218">
        <f t="shared" ca="1" si="5"/>
        <v>0</v>
      </c>
      <c r="U322" s="2224">
        <f t="shared" ca="1" si="5"/>
        <v>0</v>
      </c>
      <c r="AI322" s="2299"/>
      <c r="AJ322" s="2299"/>
      <c r="AK322" s="2299"/>
      <c r="AL322" s="2299"/>
      <c r="AM322" s="2299"/>
      <c r="AN322" s="2299"/>
      <c r="AO322" s="2299"/>
      <c r="AP322" s="2299"/>
      <c r="AQ322" s="2299"/>
      <c r="AR322" s="2299"/>
    </row>
    <row r="323" spans="1:44" ht="15.75">
      <c r="A323" s="2093" t="s">
        <v>2545</v>
      </c>
      <c r="B323" s="2151">
        <f ca="1">($A$6*$B$18*(($B$24*Mat_Sum!$D27)+($B$25*Mat_Sum!$E27)+($B$26*Mat_Sum!$I27)+($B$27*Mat_Sum!$L27)+($B$28*Mat_Sum!$AR27)+($B$29*Mat_Sum!$AV27)+($B$30*Mat_Sum!$AS27)+($B$31*Mat_Sum!$AM27)+($B$32*Mat_Sum!$AG27)+($B$33*0)+($B$34*0)+($B$35*0)+($B$36*Mat_Sum!$CF27)+($B$37*Silicon!$K84)+($B$38*0)))+($B$201*(($B$207*Mat_Sum!$D27)+($B$208*Mat_Sum!$AV27)+($B$209*Mat_Sum!$AR27)))</f>
        <v>13395.958626244139</v>
      </c>
      <c r="C323" s="2136">
        <f ca="1">($A$6*$B$10*(($B$40*Mat_Sum!$E27)+($B$41*Mat_Sum!$D27)+($B$42*Mat_Sum!$L27)+($B$43*Mat_Sum!$I27)+($B$44*Mat_Sum!$F27)+($B$45*Mat_Sum!$AV27)+($B$46*Mat_Sum!$AR27)+($B$47*Mat_Sum!$AG27)+($B$48*((88%*Mat_Sum!$AG27)+(12%*0)))+($B$49*Mat_Sum!$CF27)+($B$50*Mat_Sum!$AN27)+($B$51*'C.Iron'!$I74)+($B$52*((80%*Mat_Sum!$U27)+(20%*Mat_Sum!$BA27)))+($B$53*Mat_Sum!$AW27)+($B$54*Mat_Sum!$AS27)+($B$55*Mat_Sum!$CQ27)+($B$56*Mat_Sum!$AQ27)+($B$57*Mat_Sum!$AO27)+($B$58*Mat_Sum!$AP27)+($B$59*Mat_Sum!$BJ27)+($B$60*Mat_Sum!$BI27)+($B$61*Mat_Sum!$AR27)+($B$62*0)+($B$63*Mat_Sum!$CF27)+($B$64*Mat_Sum!$BG27)+($B$65*Mat_Sum!$BI27)+($B$66*Mat_Sum!$U27)+($B$67*Mat_Sum!$BA27)+($B$68*Mat_Sum!$CP27)+($B$69*0)+($B$70*Mat_Sum!$AZ27)+($B$71*Mat_Sum!$AM27)+($B$72*0)))+($B$202*(($B$211*Mat_Sum!$D27)+($B$212*Mat_Sum!$BG27)+($B$213*Mat_Sum!$AV27)))</f>
        <v>13437.851214794206</v>
      </c>
      <c r="D323" s="2136">
        <f ca="1" xml:space="preserve"> $A$6*$B$11*(($B$74*Mat_Sum!$D27)+($B$75*Mat_Sum!$L27)+($B$76*Mat_Sum!$I27)+($B$77*Mat_Sum!$F27)+($B$78*Mat_Sum!$AV27)+($B$79*Mat_Sum!$AR27)+($B$80*Mat_Sum!$AG27)+($B$81*Mat_Sum!$AG27)+($B$82*Mat_Sum!$F27)+($B$83*0))</f>
        <v>4053.0351703259362</v>
      </c>
      <c r="E323" s="2136">
        <f ca="1" xml:space="preserve"> ($A$6*$B$12*(($B$85*Mat_Sum!$D27)+($B$86*Mat_Sum!$F27)+($B$87*Mat_Sum!$L27)+($B$88*Mat_Sum!$I27)+($B$89*Mat_Sum!$AV27)+($B$90*Mat_Sum!$AR27)+($B$91*Mat_Sum!$AG27)+($B$92*Mat_Sum!$AG27)+($B$93*Mat_Sum!$F27)+($B$94*0)))+($C$187*$B$187*$B$192*(($B$197*Mat_Sum!$D27)+($A$197*Mat_Sum!$AV27)))+($C$188*$B$188*$B$193*(($B$197*Mat_Sum!$D27)+($A$197*Mat_Sum!$AV27)))</f>
        <v>46680.07947169726</v>
      </c>
      <c r="F323" s="2136">
        <f ca="1" xml:space="preserve"> $A$6*$B$13*(($B$96*Mat_Sum!$D27)+($B$97*Mat_Sum!$L27)+($B$98*Mat_Sum!$AG27)+($B$99*0))</f>
        <v>0</v>
      </c>
      <c r="G323" s="2136">
        <f ca="1" xml:space="preserve"> $A$6*$B$14*(($B$101*Mat_Sum!$D27)+($B$102*Mat_Sum!$L27)+($B$103*Mat_Sum!$AG27)+($B$104*0))</f>
        <v>0</v>
      </c>
      <c r="H323" s="2136">
        <f ca="1" xml:space="preserve"> $A$6*$B$15*(($B$106*Mat_Sum!$D27)+($B$107*Mat_Sum!$L27)+($B$108*Mat_Sum!$AG27)+($B$109*Mat_Sum!$AV27)+($B$110*Mat_Sum!$AR27)+($B$111*0))</f>
        <v>0</v>
      </c>
      <c r="I323" s="2136">
        <f ca="1" xml:space="preserve"> $A$6*$B$17*(($B$113*Mat_Sum!$E27)+($B$114*Mat_Sum!$D27)+($B$115*Mat_Sum!$F27)+($B$116*Mat_Sum!$L27)+($B$117*Mat_Sum!$I27)+($B$118*0)+($B$119*Mat_Sum!$AV27)+($B$120*Mat_Sum!$AR27)+($B$121*Mat_Sum!$AG27)+($B$122*Mat_Sum!$AG27)+($B$123*Mat_Sum!$AN27)+($B$124*0)+($B$125*Mat_Sum!$E27)+($B$126*0))</f>
        <v>0</v>
      </c>
      <c r="J323" s="2136">
        <f ca="1">$A$6*$B$16*(($B$128*Mat_Sum!$AU27)+($B$129*Mat_Sum!$D27)+($B$130*Mat_Sum!$E27)+($B$131*Mat_Sum!$AS27)+($B$132*Mat_Sum!$I27)+($B$133*Mat_Sum!$AG27)+($B$134*Mat_Sum!$AQ27)+($B$135*Mat_Sum!$AO27)+($B$136*0))</f>
        <v>0</v>
      </c>
      <c r="K323" s="2406">
        <f ca="1" xml:space="preserve"> $A$6*$B$19*$B$138*Mat_Sum!$D27</f>
        <v>0</v>
      </c>
      <c r="L323" s="2223">
        <f t="shared" ca="1" si="5"/>
        <v>0.17270194371531958</v>
      </c>
      <c r="M323" s="2218">
        <f t="shared" ca="1" si="5"/>
        <v>0.17324202686067122</v>
      </c>
      <c r="N323" s="2218">
        <f t="shared" ca="1" si="5"/>
        <v>5.2252106130764614E-2</v>
      </c>
      <c r="O323" s="2218">
        <f t="shared" ca="1" si="5"/>
        <v>0.6018039232932445</v>
      </c>
      <c r="P323" s="2218">
        <f t="shared" ca="1" si="5"/>
        <v>0</v>
      </c>
      <c r="Q323" s="2218">
        <f t="shared" ca="1" si="5"/>
        <v>0</v>
      </c>
      <c r="R323" s="2218">
        <f t="shared" ca="1" si="5"/>
        <v>0</v>
      </c>
      <c r="S323" s="2218">
        <f t="shared" ca="1" si="5"/>
        <v>0</v>
      </c>
      <c r="T323" s="2218">
        <f t="shared" ca="1" si="5"/>
        <v>0</v>
      </c>
      <c r="U323" s="2224">
        <f t="shared" ca="1" si="5"/>
        <v>0</v>
      </c>
      <c r="AI323" s="2299"/>
      <c r="AJ323" s="2299"/>
      <c r="AK323" s="2299"/>
      <c r="AL323" s="2299"/>
      <c r="AM323" s="2299"/>
      <c r="AN323" s="2299"/>
      <c r="AO323" s="2299"/>
      <c r="AP323" s="2299"/>
      <c r="AQ323" s="2299"/>
      <c r="AR323" s="2299"/>
    </row>
    <row r="324" spans="1:44">
      <c r="A324" s="2093" t="s">
        <v>827</v>
      </c>
      <c r="B324" s="2151">
        <f ca="1">($A$6*$B$18*(($B$24*Mat_Sum!$D28)+($B$25*Mat_Sum!$E28)+($B$26*Mat_Sum!$I28)+($B$27*Mat_Sum!$L28)+($B$28*Mat_Sum!$AR28)+($B$29*Mat_Sum!$AV28)+($B$30*Mat_Sum!$AS28)+($B$31*Mat_Sum!$AM28)+($B$32*Mat_Sum!$AG28)+($B$33*0)+($B$34*0)+($B$35*0)+($B$36*Mat_Sum!$CF28)+($B$37*Silicon!$K85)+($B$38*0)))+($B$201*(($B$207*Mat_Sum!$D28)+($B$208*Mat_Sum!$AV28)+($B$209*Mat_Sum!$AR28)))</f>
        <v>29.458513014899751</v>
      </c>
      <c r="C324" s="2136">
        <f ca="1">($A$6*$B$10*(($B$40*Mat_Sum!$E28)+($B$41*Mat_Sum!$D28)+($B$42*Mat_Sum!$L28)+($B$43*Mat_Sum!$I28)+($B$44*Mat_Sum!$F28)+($B$45*Mat_Sum!$AV28)+($B$46*Mat_Sum!$AR28)+($B$47*Mat_Sum!$AG28)+($B$48*((88%*Mat_Sum!$AG28)+(12%*0)))+($B$49*Mat_Sum!$CF28)+($B$50*Mat_Sum!$AN28)+($B$51*'C.Iron'!$I75)+($B$52*((80%*Mat_Sum!$U28)+(20%*Mat_Sum!$BA28)))+($B$53*Mat_Sum!$AW28)+($B$54*Mat_Sum!$AS28)+($B$55*Mat_Sum!$CQ28)+($B$56*Mat_Sum!$AQ28)+($B$57*Mat_Sum!$AO28)+($B$58*Mat_Sum!$AP28)+($B$59*Mat_Sum!$BJ28)+($B$60*Mat_Sum!$BI28)+($B$61*Mat_Sum!$AR28)+($B$62*0)+($B$63*Mat_Sum!$CF28)+($B$64*Mat_Sum!$BG28)+($B$65*Mat_Sum!$BI28)+($B$66*Mat_Sum!$U28)+($B$67*Mat_Sum!$BA28)+($B$68*Mat_Sum!$CP28)+($B$69*0)+($B$70*Mat_Sum!$AZ28)+($B$71*Mat_Sum!$AM28)+($B$72*0)))+($B$202*(($B$211*Mat_Sum!$D28)+($B$212*Mat_Sum!$BG28)+($B$213*Mat_Sum!$AV28)))</f>
        <v>16.923073706283617</v>
      </c>
      <c r="D324" s="2136">
        <f ca="1" xml:space="preserve"> $A$6*$B$11*(($B$74*Mat_Sum!$D28)+($B$75*Mat_Sum!$L28)+($B$76*Mat_Sum!$I28)+($B$77*Mat_Sum!$F28)+($B$78*Mat_Sum!$AV28)+($B$79*Mat_Sum!$AR28)+($B$80*Mat_Sum!$AG28)+($B$81*Mat_Sum!$AG28)+($B$82*Mat_Sum!$F28)+($B$83*0))</f>
        <v>4.1338978180962549</v>
      </c>
      <c r="E324" s="2136">
        <f ca="1" xml:space="preserve"> ($A$6*$B$12*(($B$85*Mat_Sum!$D28)+($B$86*Mat_Sum!$F28)+($B$87*Mat_Sum!$L28)+($B$88*Mat_Sum!$I28)+($B$89*Mat_Sum!$AV28)+($B$90*Mat_Sum!$AR28)+($B$91*Mat_Sum!$AG28)+($B$92*Mat_Sum!$AG28)+($B$93*Mat_Sum!$F28)+($B$94*0)))+($C$187*$B$187*$B$192*(($B$197*Mat_Sum!$D28)+($A$197*Mat_Sum!$AV28)))+($C$188*$B$188*$B$193*(($B$197*Mat_Sum!$D28)+($A$197*Mat_Sum!$AV28)))</f>
        <v>110.40440812912246</v>
      </c>
      <c r="F324" s="2136">
        <f ca="1" xml:space="preserve"> $A$6*$B$13*(($B$96*Mat_Sum!$D28)+($B$97*Mat_Sum!$L28)+($B$98*Mat_Sum!$AG28)+($B$99*0))</f>
        <v>0</v>
      </c>
      <c r="G324" s="2136">
        <f ca="1" xml:space="preserve"> $A$6*$B$14*(($B$101*Mat_Sum!$D28)+($B$102*Mat_Sum!$L28)+($B$103*Mat_Sum!$AG28)+($B$104*0))</f>
        <v>0</v>
      </c>
      <c r="H324" s="2136">
        <f ca="1" xml:space="preserve"> $A$6*$B$15*(($B$106*Mat_Sum!$D28)+($B$107*Mat_Sum!$L28)+($B$108*Mat_Sum!$AG28)+($B$109*Mat_Sum!$AV28)+($B$110*Mat_Sum!$AR28)+($B$111*0))</f>
        <v>0</v>
      </c>
      <c r="I324" s="2136">
        <f ca="1" xml:space="preserve"> $A$6*$B$17*(($B$113*Mat_Sum!$E28)+($B$114*Mat_Sum!$D28)+($B$115*Mat_Sum!$F28)+($B$116*Mat_Sum!$L28)+($B$117*Mat_Sum!$I28)+($B$118*0)+($B$119*Mat_Sum!$AV28)+($B$120*Mat_Sum!$AR28)+($B$121*Mat_Sum!$AG28)+($B$122*Mat_Sum!$AG28)+($B$123*Mat_Sum!$AN28)+($B$124*0)+($B$125*Mat_Sum!$E28)+($B$126*0))</f>
        <v>0</v>
      </c>
      <c r="J324" s="2136">
        <f ca="1">$A$6*$B$16*(($B$128*Mat_Sum!$AU28)+($B$129*Mat_Sum!$D28)+($B$130*Mat_Sum!$E28)+($B$131*Mat_Sum!$AS28)+($B$132*Mat_Sum!$I28)+($B$133*Mat_Sum!$AG28)+($B$134*Mat_Sum!$AQ28)+($B$135*Mat_Sum!$AO28)+($B$136*0))</f>
        <v>0</v>
      </c>
      <c r="K324" s="2406">
        <f ca="1" xml:space="preserve"> $A$6*$B$19*$B$138*Mat_Sum!$D28</f>
        <v>0</v>
      </c>
      <c r="L324" s="2223">
        <f t="shared" ca="1" si="5"/>
        <v>0.18306321565602293</v>
      </c>
      <c r="M324" s="2218">
        <f t="shared" ca="1" si="5"/>
        <v>0.10516458484816402</v>
      </c>
      <c r="N324" s="2218">
        <f t="shared" ca="1" si="5"/>
        <v>2.5689165892092216E-2</v>
      </c>
      <c r="O324" s="2218">
        <f t="shared" ca="1" si="5"/>
        <v>0.68608303360372092</v>
      </c>
      <c r="P324" s="2218">
        <f t="shared" ca="1" si="5"/>
        <v>0</v>
      </c>
      <c r="Q324" s="2218">
        <f t="shared" ca="1" si="5"/>
        <v>0</v>
      </c>
      <c r="R324" s="2218">
        <f t="shared" ca="1" si="5"/>
        <v>0</v>
      </c>
      <c r="S324" s="2218">
        <f t="shared" ca="1" si="5"/>
        <v>0</v>
      </c>
      <c r="T324" s="2218">
        <f t="shared" ca="1" si="5"/>
        <v>0</v>
      </c>
      <c r="U324" s="2224">
        <f t="shared" ca="1" si="5"/>
        <v>0</v>
      </c>
      <c r="AI324" s="2299"/>
      <c r="AJ324" s="2299"/>
      <c r="AK324" s="2299"/>
      <c r="AL324" s="2299"/>
      <c r="AM324" s="2299"/>
      <c r="AN324" s="2299"/>
      <c r="AO324" s="2299"/>
      <c r="AP324" s="2299"/>
      <c r="AQ324" s="2299"/>
      <c r="AR324" s="2299"/>
    </row>
    <row r="325" spans="1:44">
      <c r="A325" s="2093" t="s">
        <v>828</v>
      </c>
      <c r="B325" s="2151">
        <f ca="1">($A$6*$B$18*(($B$24*Mat_Sum!$D29)+($B$25*Mat_Sum!$E29)+($B$26*Mat_Sum!$I29)+($B$27*Mat_Sum!$L29)+($B$28*Mat_Sum!$AR29)+($B$29*Mat_Sum!$AV29)+($B$30*Mat_Sum!$AS29)+($B$31*Mat_Sum!$AM29)+($B$32*Mat_Sum!$AG29)+($B$33*0)+($B$34*0)+($B$35*0)+($B$36*Mat_Sum!$CF29)+($B$37*Silicon!$K86)+($B$38*0)))+($B$201*(($B$207*Mat_Sum!$D29)+($B$208*Mat_Sum!$AV29)+($B$209*Mat_Sum!$AR29)))</f>
        <v>67.932920505094827</v>
      </c>
      <c r="C325" s="2136">
        <f ca="1">($A$6*$B$10*(($B$40*Mat_Sum!$E29)+($B$41*Mat_Sum!$D29)+($B$42*Mat_Sum!$L29)+($B$43*Mat_Sum!$I29)+($B$44*Mat_Sum!$F29)+($B$45*Mat_Sum!$AV29)+($B$46*Mat_Sum!$AR29)+($B$47*Mat_Sum!$AG29)+($B$48*((88%*Mat_Sum!$AG29)+(12%*0)))+($B$49*Mat_Sum!$CF29)+($B$50*Mat_Sum!$AN29)+($B$51*'C.Iron'!$I76)+($B$52*((80%*Mat_Sum!$U29)+(20%*Mat_Sum!$BA29)))+($B$53*Mat_Sum!$AW29)+($B$54*Mat_Sum!$AS29)+($B$55*Mat_Sum!$CQ29)+($B$56*Mat_Sum!$AQ29)+($B$57*Mat_Sum!$AO29)+($B$58*Mat_Sum!$AP29)+($B$59*Mat_Sum!$BJ29)+($B$60*Mat_Sum!$BI29)+($B$61*Mat_Sum!$AR29)+($B$62*0)+($B$63*Mat_Sum!$CF29)+($B$64*Mat_Sum!$BG29)+($B$65*Mat_Sum!$BI29)+($B$66*Mat_Sum!$U29)+($B$67*Mat_Sum!$BA29)+($B$68*Mat_Sum!$CP29)+($B$69*0)+($B$70*Mat_Sum!$AZ29)+($B$71*Mat_Sum!$AM29)+($B$72*0)))+($B$202*(($B$211*Mat_Sum!$D29)+($B$212*Mat_Sum!$BG29)+($B$213*Mat_Sum!$AV29)))</f>
        <v>41.173692742443301</v>
      </c>
      <c r="D325" s="2136">
        <f ca="1" xml:space="preserve"> $A$6*$B$11*(($B$74*Mat_Sum!$D29)+($B$75*Mat_Sum!$L29)+($B$76*Mat_Sum!$I29)+($B$77*Mat_Sum!$F29)+($B$78*Mat_Sum!$AV29)+($B$79*Mat_Sum!$AR29)+($B$80*Mat_Sum!$AG29)+($B$81*Mat_Sum!$AG29)+($B$82*Mat_Sum!$F29)+($B$83*0))</f>
        <v>11.083594913625205</v>
      </c>
      <c r="E325" s="2136">
        <f ca="1" xml:space="preserve"> ($A$6*$B$12*(($B$85*Mat_Sum!$D29)+($B$86*Mat_Sum!$F29)+($B$87*Mat_Sum!$L29)+($B$88*Mat_Sum!$I29)+($B$89*Mat_Sum!$AV29)+($B$90*Mat_Sum!$AR29)+($B$91*Mat_Sum!$AG29)+($B$92*Mat_Sum!$AG29)+($B$93*Mat_Sum!$F29)+($B$94*0)))+($C$187*$B$187*$B$192*(($B$197*Mat_Sum!$D29)+($A$197*Mat_Sum!$AV29)))+($C$188*$B$188*$B$193*(($B$197*Mat_Sum!$D29)+($A$197*Mat_Sum!$AV29)))</f>
        <v>232.25443862145448</v>
      </c>
      <c r="F325" s="2136">
        <f ca="1" xml:space="preserve"> $A$6*$B$13*(($B$96*Mat_Sum!$D29)+($B$97*Mat_Sum!$L29)+($B$98*Mat_Sum!$AG29)+($B$99*0))</f>
        <v>0</v>
      </c>
      <c r="G325" s="2136">
        <f ca="1" xml:space="preserve"> $A$6*$B$14*(($B$101*Mat_Sum!$D29)+($B$102*Mat_Sum!$L29)+($B$103*Mat_Sum!$AG29)+($B$104*0))</f>
        <v>0</v>
      </c>
      <c r="H325" s="2136">
        <f ca="1" xml:space="preserve"> $A$6*$B$15*(($B$106*Mat_Sum!$D29)+($B$107*Mat_Sum!$L29)+($B$108*Mat_Sum!$AG29)+($B$109*Mat_Sum!$AV29)+($B$110*Mat_Sum!$AR29)+($B$111*0))</f>
        <v>0</v>
      </c>
      <c r="I325" s="2136">
        <f ca="1" xml:space="preserve"> $A$6*$B$17*(($B$113*Mat_Sum!$E29)+($B$114*Mat_Sum!$D29)+($B$115*Mat_Sum!$F29)+($B$116*Mat_Sum!$L29)+($B$117*Mat_Sum!$I29)+($B$118*0)+($B$119*Mat_Sum!$AV29)+($B$120*Mat_Sum!$AR29)+($B$121*Mat_Sum!$AG29)+($B$122*Mat_Sum!$AG29)+($B$123*Mat_Sum!$AN29)+($B$124*0)+($B$125*Mat_Sum!$E29)+($B$126*0))</f>
        <v>0</v>
      </c>
      <c r="J325" s="2136">
        <f ca="1">$A$6*$B$16*(($B$128*Mat_Sum!$AU29)+($B$129*Mat_Sum!$D29)+($B$130*Mat_Sum!$E29)+($B$131*Mat_Sum!$AS29)+($B$132*Mat_Sum!$I29)+($B$133*Mat_Sum!$AG29)+($B$134*Mat_Sum!$AQ29)+($B$135*Mat_Sum!$AO29)+($B$136*0))</f>
        <v>0</v>
      </c>
      <c r="K325" s="2406">
        <f ca="1" xml:space="preserve"> $A$6*$B$19*$B$138*Mat_Sum!$D29</f>
        <v>0</v>
      </c>
      <c r="L325" s="2223">
        <f t="shared" ca="1" si="5"/>
        <v>0.19274777223952211</v>
      </c>
      <c r="M325" s="2218">
        <f t="shared" ca="1" si="5"/>
        <v>0.11682314689216595</v>
      </c>
      <c r="N325" s="2218">
        <f t="shared" ca="1" si="5"/>
        <v>3.1447760704566438E-2</v>
      </c>
      <c r="O325" s="2218">
        <f t="shared" ca="1" si="5"/>
        <v>0.65898132016374567</v>
      </c>
      <c r="P325" s="2218">
        <f t="shared" ca="1" si="5"/>
        <v>0</v>
      </c>
      <c r="Q325" s="2218">
        <f t="shared" ca="1" si="5"/>
        <v>0</v>
      </c>
      <c r="R325" s="2218">
        <f t="shared" ca="1" si="5"/>
        <v>0</v>
      </c>
      <c r="S325" s="2218">
        <f t="shared" ca="1" si="5"/>
        <v>0</v>
      </c>
      <c r="T325" s="2218">
        <f t="shared" ca="1" si="5"/>
        <v>0</v>
      </c>
      <c r="U325" s="2224">
        <f t="shared" ca="1" si="5"/>
        <v>0</v>
      </c>
      <c r="AI325" s="2299"/>
      <c r="AJ325" s="2299"/>
      <c r="AK325" s="2299"/>
      <c r="AL325" s="2299"/>
      <c r="AM325" s="2299"/>
      <c r="AN325" s="2299"/>
      <c r="AO325" s="2299"/>
      <c r="AP325" s="2299"/>
      <c r="AQ325" s="2299"/>
      <c r="AR325" s="2299"/>
    </row>
    <row r="326" spans="1:44" ht="15.75">
      <c r="A326" s="2093" t="s">
        <v>2546</v>
      </c>
      <c r="B326" s="2151">
        <f ca="1">($A$6*$B$18*(($B$24*Mat_Sum!$D30)+($B$25*Mat_Sum!$E30)+($B$26*Mat_Sum!$I30)+($B$27*Mat_Sum!$L30)+($B$28*Mat_Sum!$AR30)+($B$29*Mat_Sum!$AV30)+($B$30*Mat_Sum!$AS30)+($B$31*Mat_Sum!$AM30)+($B$32*Mat_Sum!$AG30)+($B$33*0)+($B$34*0)+($B$35*0)+($B$36*Mat_Sum!$CF30)+($B$37*Silicon!$K87)+($B$38*0)))+($B$201*(($B$207*Mat_Sum!$D30)+($B$208*Mat_Sum!$AV30)+($B$209*Mat_Sum!$AR30)))</f>
        <v>13876.955057921805</v>
      </c>
      <c r="C326" s="2136">
        <f ca="1">($A$6*$B$10*(($B$40*Mat_Sum!$E30)+($B$41*Mat_Sum!$D30)+($B$42*Mat_Sum!$L30)+($B$43*Mat_Sum!$I30)+($B$44*Mat_Sum!$F30)+($B$45*Mat_Sum!$AV30)+($B$46*Mat_Sum!$AR30)+($B$47*Mat_Sum!$AG30)+($B$48*((88%*Mat_Sum!$AG30)+(12%*0)))+($B$49*Mat_Sum!$CF30)+($B$50*Mat_Sum!$AN30)+($B$51*'C.Iron'!$I77)+($B$52*((80%*Mat_Sum!$U30)+(20%*Mat_Sum!$BA30)))+($B$53*Mat_Sum!$AW30)+($B$54*Mat_Sum!$AS30)+($B$55*Mat_Sum!$CQ30)+($B$56*Mat_Sum!$AQ30)+($B$57*Mat_Sum!$AO30)+($B$58*Mat_Sum!$AP30)+($B$59*Mat_Sum!$BJ30)+($B$60*Mat_Sum!$BI30)+($B$61*Mat_Sum!$AR30)+($B$62*0)+($B$63*Mat_Sum!$CF30)+($B$64*Mat_Sum!$BG30)+($B$65*Mat_Sum!$BI30)+($B$66*Mat_Sum!$U30)+($B$67*Mat_Sum!$BA30)+($B$68*Mat_Sum!$CP30)+($B$69*0)+($B$70*Mat_Sum!$AZ30)+($B$71*Mat_Sum!$AM30)+($B$72*0)))+($B$202*(($B$211*Mat_Sum!$D30)+($B$212*Mat_Sum!$BG30)+($B$213*Mat_Sum!$AV30)))</f>
        <v>8024.2806523369873</v>
      </c>
      <c r="D326" s="2136">
        <f ca="1" xml:space="preserve"> $A$6*$B$11*(($B$74*Mat_Sum!$D30)+($B$75*Mat_Sum!$L30)+($B$76*Mat_Sum!$I30)+($B$77*Mat_Sum!$F30)+($B$78*Mat_Sum!$AV30)+($B$79*Mat_Sum!$AR30)+($B$80*Mat_Sum!$AG30)+($B$81*Mat_Sum!$AG30)+($B$82*Mat_Sum!$F30)+($B$83*0))</f>
        <v>2132.5760047262556</v>
      </c>
      <c r="E326" s="2136">
        <f ca="1" xml:space="preserve"> ($A$6*$B$12*(($B$85*Mat_Sum!$D30)+($B$86*Mat_Sum!$F30)+($B$87*Mat_Sum!$L30)+($B$88*Mat_Sum!$I30)+($B$89*Mat_Sum!$AV30)+($B$90*Mat_Sum!$AR30)+($B$91*Mat_Sum!$AG30)+($B$92*Mat_Sum!$AG30)+($B$93*Mat_Sum!$F30)+($B$94*0)))+($C$187*$B$187*$B$192*(($B$197*Mat_Sum!$D30)+($A$197*Mat_Sum!$AV30)))+($C$188*$B$188*$B$193*(($B$197*Mat_Sum!$D30)+($A$197*Mat_Sum!$AV30)))</f>
        <v>34024.182977170465</v>
      </c>
      <c r="F326" s="2136">
        <f ca="1" xml:space="preserve"> $A$6*$B$13*(($B$96*Mat_Sum!$D30)+($B$97*Mat_Sum!$L30)+($B$98*Mat_Sum!$AG30)+($B$99*0))</f>
        <v>0</v>
      </c>
      <c r="G326" s="2136">
        <f ca="1" xml:space="preserve"> $A$6*$B$14*(($B$101*Mat_Sum!$D30)+($B$102*Mat_Sum!$L30)+($B$103*Mat_Sum!$AG30)+($B$104*0))</f>
        <v>0</v>
      </c>
      <c r="H326" s="2136">
        <f ca="1" xml:space="preserve"> $A$6*$B$15*(($B$106*Mat_Sum!$D30)+($B$107*Mat_Sum!$L30)+($B$108*Mat_Sum!$AG30)+($B$109*Mat_Sum!$AV30)+($B$110*Mat_Sum!$AR30)+($B$111*0))</f>
        <v>0</v>
      </c>
      <c r="I326" s="2136">
        <f ca="1" xml:space="preserve"> $A$6*$B$17*(($B$113*Mat_Sum!$E30)+($B$114*Mat_Sum!$D30)+($B$115*Mat_Sum!$F30)+($B$116*Mat_Sum!$L30)+($B$117*Mat_Sum!$I30)+($B$118*0)+($B$119*Mat_Sum!$AV30)+($B$120*Mat_Sum!$AR30)+($B$121*Mat_Sum!$AG30)+($B$122*Mat_Sum!$AG30)+($B$123*Mat_Sum!$AN30)+($B$124*0)+($B$125*Mat_Sum!$E30)+($B$126*0))</f>
        <v>0</v>
      </c>
      <c r="J326" s="2136">
        <f ca="1">$A$6*$B$16*(($B$128*Mat_Sum!$AU30)+($B$129*Mat_Sum!$D30)+($B$130*Mat_Sum!$E30)+($B$131*Mat_Sum!$AS30)+($B$132*Mat_Sum!$I30)+($B$133*Mat_Sum!$AG30)+($B$134*Mat_Sum!$AQ30)+($B$135*Mat_Sum!$AO30)+($B$136*0))</f>
        <v>0</v>
      </c>
      <c r="K326" s="2406">
        <f ca="1" xml:space="preserve"> $A$6*$B$19*$B$138*Mat_Sum!$D30</f>
        <v>0</v>
      </c>
      <c r="L326" s="2223">
        <f t="shared" ca="1" si="5"/>
        <v>0.23901884885109179</v>
      </c>
      <c r="M326" s="2218">
        <f t="shared" ca="1" si="5"/>
        <v>0.13821146760036454</v>
      </c>
      <c r="N326" s="2218">
        <f t="shared" ca="1" si="5"/>
        <v>3.6731823343777982E-2</v>
      </c>
      <c r="O326" s="2218">
        <f t="shared" ca="1" si="5"/>
        <v>0.58603786020476589</v>
      </c>
      <c r="P326" s="2218">
        <f t="shared" ca="1" si="5"/>
        <v>0</v>
      </c>
      <c r="Q326" s="2218">
        <f t="shared" ca="1" si="5"/>
        <v>0</v>
      </c>
      <c r="R326" s="2218">
        <f t="shared" ca="1" si="5"/>
        <v>0</v>
      </c>
      <c r="S326" s="2218">
        <f t="shared" ca="1" si="5"/>
        <v>0</v>
      </c>
      <c r="T326" s="2218">
        <f t="shared" ca="1" si="5"/>
        <v>0</v>
      </c>
      <c r="U326" s="2224">
        <f t="shared" ca="1" si="5"/>
        <v>0</v>
      </c>
      <c r="AI326" s="2299"/>
      <c r="AJ326" s="2299"/>
      <c r="AK326" s="2299"/>
      <c r="AL326" s="2299"/>
      <c r="AM326" s="2299"/>
      <c r="AN326" s="2299"/>
      <c r="AO326" s="2299"/>
      <c r="AP326" s="2299"/>
      <c r="AQ326" s="2299"/>
      <c r="AR326" s="2299"/>
    </row>
    <row r="327" spans="1:44" ht="15.75">
      <c r="A327" s="2093" t="s">
        <v>2547</v>
      </c>
      <c r="B327" s="2151">
        <f ca="1">($A$6*$B$18*(($B$24*Mat_Sum!$D31)+($B$25*Mat_Sum!$E31)+($B$26*Mat_Sum!$I31)+($B$27*Mat_Sum!$L31)+($B$28*Mat_Sum!$AR31)+($B$29*Mat_Sum!$AV31)+($B$30*Mat_Sum!$AS31)+($B$31*Mat_Sum!$AM31)+($B$32*Mat_Sum!$AG31)+($B$33*0)+($B$34*0)+($B$35*0)+($B$36*Mat_Sum!$CF31)+($B$37*Silicon!$K88)+($B$38*0)))+($B$201*(($B$207*Mat_Sum!$D31)+($B$208*Mat_Sum!$AV31)+($B$209*Mat_Sum!$AR31)))</f>
        <v>136.07590951831568</v>
      </c>
      <c r="C327" s="2136">
        <f ca="1">($A$6*$B$10*(($B$40*Mat_Sum!$E31)+($B$41*Mat_Sum!$D31)+($B$42*Mat_Sum!$L31)+($B$43*Mat_Sum!$I31)+($B$44*Mat_Sum!$F31)+($B$45*Mat_Sum!$AV31)+($B$46*Mat_Sum!$AR31)+($B$47*Mat_Sum!$AG31)+($B$48*((88%*Mat_Sum!$AG31)+(12%*0)))+($B$49*Mat_Sum!$CF31)+($B$50*Mat_Sum!$AN31)+($B$51*'C.Iron'!$I78)+($B$52*((80%*Mat_Sum!$U31)+(20%*Mat_Sum!$BA31)))+($B$53*Mat_Sum!$AW31)+($B$54*Mat_Sum!$AS31)+($B$55*Mat_Sum!$CQ31)+($B$56*Mat_Sum!$AQ31)+($B$57*Mat_Sum!$AO31)+($B$58*Mat_Sum!$AP31)+($B$59*Mat_Sum!$BJ31)+($B$60*Mat_Sum!$BI31)+($B$61*Mat_Sum!$AR31)+($B$62*0)+($B$63*Mat_Sum!$CF31)+($B$64*Mat_Sum!$BG31)+($B$65*Mat_Sum!$BI31)+($B$66*Mat_Sum!$U31)+($B$67*Mat_Sum!$BA31)+($B$68*Mat_Sum!$CP31)+($B$69*0)+($B$70*Mat_Sum!$AZ31)+($B$71*Mat_Sum!$AM31)+($B$72*0)))+($B$202*(($B$211*Mat_Sum!$D31)+($B$212*Mat_Sum!$BG31)+($B$213*Mat_Sum!$AV31)))</f>
        <v>61.529861607540347</v>
      </c>
      <c r="D327" s="2136">
        <f ca="1" xml:space="preserve"> $A$6*$B$11*(($B$74*Mat_Sum!$D31)+($B$75*Mat_Sum!$L31)+($B$76*Mat_Sum!$I31)+($B$77*Mat_Sum!$F31)+($B$78*Mat_Sum!$AV31)+($B$79*Mat_Sum!$AR31)+($B$80*Mat_Sum!$AG31)+($B$81*Mat_Sum!$AG31)+($B$82*Mat_Sum!$F31)+($B$83*0))</f>
        <v>14.838375225931602</v>
      </c>
      <c r="E327" s="2136">
        <f ca="1" xml:space="preserve"> ($A$6*$B$12*(($B$85*Mat_Sum!$D31)+($B$86*Mat_Sum!$F31)+($B$87*Mat_Sum!$L31)+($B$88*Mat_Sum!$I31)+($B$89*Mat_Sum!$AV31)+($B$90*Mat_Sum!$AR31)+($B$91*Mat_Sum!$AG31)+($B$92*Mat_Sum!$AG31)+($B$93*Mat_Sum!$F31)+($B$94*0)))+($C$187*$B$187*$B$192*(($B$197*Mat_Sum!$D31)+($A$197*Mat_Sum!$AV31)))+($C$188*$B$188*$B$193*(($B$197*Mat_Sum!$D31)+($A$197*Mat_Sum!$AV31)))</f>
        <v>281.79489909994754</v>
      </c>
      <c r="F327" s="2136">
        <f ca="1" xml:space="preserve"> $A$6*$B$13*(($B$96*Mat_Sum!$D31)+($B$97*Mat_Sum!$L31)+($B$98*Mat_Sum!$AG31)+($B$99*0))</f>
        <v>0</v>
      </c>
      <c r="G327" s="2136">
        <f ca="1" xml:space="preserve"> $A$6*$B$14*(($B$101*Mat_Sum!$D31)+($B$102*Mat_Sum!$L31)+($B$103*Mat_Sum!$AG31)+($B$104*0))</f>
        <v>0</v>
      </c>
      <c r="H327" s="2136">
        <f ca="1" xml:space="preserve"> $A$6*$B$15*(($B$106*Mat_Sum!$D31)+($B$107*Mat_Sum!$L31)+($B$108*Mat_Sum!$AG31)+($B$109*Mat_Sum!$AV31)+($B$110*Mat_Sum!$AR31)+($B$111*0))</f>
        <v>0</v>
      </c>
      <c r="I327" s="2136">
        <f ca="1" xml:space="preserve"> $A$6*$B$17*(($B$113*Mat_Sum!$E31)+($B$114*Mat_Sum!$D31)+($B$115*Mat_Sum!$F31)+($B$116*Mat_Sum!$L31)+($B$117*Mat_Sum!$I31)+($B$118*0)+($B$119*Mat_Sum!$AV31)+($B$120*Mat_Sum!$AR31)+($B$121*Mat_Sum!$AG31)+($B$122*Mat_Sum!$AG31)+($B$123*Mat_Sum!$AN31)+($B$124*0)+($B$125*Mat_Sum!$E31)+($B$126*0))</f>
        <v>0</v>
      </c>
      <c r="J327" s="2136">
        <f ca="1">$A$6*$B$16*(($B$128*Mat_Sum!$AU31)+($B$129*Mat_Sum!$D31)+($B$130*Mat_Sum!$E31)+($B$131*Mat_Sum!$AS31)+($B$132*Mat_Sum!$I31)+($B$133*Mat_Sum!$AG31)+($B$134*Mat_Sum!$AQ31)+($B$135*Mat_Sum!$AO31)+($B$136*0))</f>
        <v>0</v>
      </c>
      <c r="K327" s="2406">
        <f ca="1" xml:space="preserve"> $A$6*$B$19*$B$138*Mat_Sum!$D31</f>
        <v>0</v>
      </c>
      <c r="L327" s="2223">
        <f t="shared" ca="1" si="5"/>
        <v>0.27532407803584619</v>
      </c>
      <c r="M327" s="2218">
        <f t="shared" ca="1" si="5"/>
        <v>0.124494133302038</v>
      </c>
      <c r="N327" s="2218">
        <f t="shared" ca="1" si="5"/>
        <v>3.0022668913924643E-2</v>
      </c>
      <c r="O327" s="2218">
        <f t="shared" ca="1" si="5"/>
        <v>0.570159119748191</v>
      </c>
      <c r="P327" s="2218">
        <f t="shared" ca="1" si="5"/>
        <v>0</v>
      </c>
      <c r="Q327" s="2218">
        <f t="shared" ca="1" si="5"/>
        <v>0</v>
      </c>
      <c r="R327" s="2218">
        <f t="shared" ca="1" si="5"/>
        <v>0</v>
      </c>
      <c r="S327" s="2218">
        <f t="shared" ca="1" si="5"/>
        <v>0</v>
      </c>
      <c r="T327" s="2218">
        <f t="shared" ca="1" si="5"/>
        <v>0</v>
      </c>
      <c r="U327" s="2224">
        <f t="shared" ca="1" si="5"/>
        <v>0</v>
      </c>
      <c r="AI327" s="2299"/>
      <c r="AJ327" s="2299"/>
      <c r="AK327" s="2299"/>
      <c r="AL327" s="2299"/>
      <c r="AM327" s="2299"/>
      <c r="AN327" s="2299"/>
      <c r="AO327" s="2299"/>
      <c r="AP327" s="2299"/>
      <c r="AQ327" s="2299"/>
      <c r="AR327" s="2299"/>
    </row>
    <row r="328" spans="1:44" ht="15.75">
      <c r="A328" s="2093" t="s">
        <v>2548</v>
      </c>
      <c r="B328" s="2318">
        <f ca="1">($A$6*$B$18*(($B$24*Mat_Sum!$D32)+($B$25*Mat_Sum!$E32)+($B$26*Mat_Sum!$I32)+($B$27*Mat_Sum!$L32)+($B$28*Mat_Sum!$AR32)+($B$29*Mat_Sum!$AV32)+($B$30*Mat_Sum!$AS32)+($B$31*Mat_Sum!$AM32)+($B$32*Mat_Sum!$AG32)+($B$33*0)+($B$34*0)+($B$35*0)+($B$36*Mat_Sum!$CF32)+($B$37*Silicon!$K89)+($B$38*0)))+($B$201*(($B$207*Mat_Sum!$D32)+($B$208*Mat_Sum!$AV32)+($B$209*Mat_Sum!$AR32)))</f>
        <v>4385722.6365885912</v>
      </c>
      <c r="C328" s="2144">
        <f ca="1">($A$6*$B$10*(($B$40*Mat_Sum!$E32)+($B$41*Mat_Sum!$D32)+($B$42*Mat_Sum!$L32)+($B$43*Mat_Sum!$I32)+($B$44*Mat_Sum!$F32)+($B$45*Mat_Sum!$AV32)+($B$46*Mat_Sum!$AR32)+($B$47*Mat_Sum!$AG32)+($B$48*((88%*Mat_Sum!$AG32)+(12%*0)))+($B$49*Mat_Sum!$CF32)+($B$50*Mat_Sum!$AN32)+($B$51*'C.Iron'!$I79)+($B$52*((80%*Mat_Sum!$U32)+(20%*Mat_Sum!$BA32)))+($B$53*Mat_Sum!$AW32)+($B$54*Mat_Sum!$AS32)+($B$55*Mat_Sum!$CQ32)+($B$56*Mat_Sum!$AQ32)+($B$57*Mat_Sum!$AO32)+($B$58*Mat_Sum!$AP32)+($B$59*Mat_Sum!$BJ32)+($B$60*Mat_Sum!$BI32)+($B$61*Mat_Sum!$AR32)+($B$62*0)+($B$63*Mat_Sum!$CF32)+($B$64*Mat_Sum!$BG32)+($B$65*Mat_Sum!$BI32)+($B$66*Mat_Sum!$U32)+($B$67*Mat_Sum!$BA32)+($B$68*Mat_Sum!$CP32)+($B$69*0)+($B$70*Mat_Sum!$AZ32)+($B$71*Mat_Sum!$AM32)+($B$72*0)))+($B$202*(($B$211*Mat_Sum!$D32)+($B$212*Mat_Sum!$BG32)+($B$213*Mat_Sum!$AV32)))</f>
        <v>3041341.8931915732</v>
      </c>
      <c r="D328" s="2144">
        <f ca="1" xml:space="preserve"> $A$6*$B$11*(($B$74*Mat_Sum!$D32)+($B$75*Mat_Sum!$L32)+($B$76*Mat_Sum!$I32)+($B$77*Mat_Sum!$F32)+($B$78*Mat_Sum!$AV32)+($B$79*Mat_Sum!$AR32)+($B$80*Mat_Sum!$AG32)+($B$81*Mat_Sum!$AG32)+($B$82*Mat_Sum!$F32)+($B$83*0))</f>
        <v>937765.20368882664</v>
      </c>
      <c r="E328" s="2144">
        <f ca="1" xml:space="preserve"> ($A$6*$B$12*(($B$85*Mat_Sum!$D32)+($B$86*Mat_Sum!$F32)+($B$87*Mat_Sum!$L32)+($B$88*Mat_Sum!$I32)+($B$89*Mat_Sum!$AV32)+($B$90*Mat_Sum!$AR32)+($B$91*Mat_Sum!$AG32)+($B$92*Mat_Sum!$AG32)+($B$93*Mat_Sum!$F32)+($B$94*0)))+($C$187*$B$187*$B$192*(($B$197*Mat_Sum!$D32)+($A$197*Mat_Sum!$AV32)))+($C$188*$B$188*$B$193*(($B$197*Mat_Sum!$D32)+($A$197*Mat_Sum!$AV32)))</f>
        <v>17013405.553084146</v>
      </c>
      <c r="F328" s="2144">
        <f ca="1" xml:space="preserve"> $A$6*$B$13*(($B$96*Mat_Sum!$D32)+($B$97*Mat_Sum!$L32)+($B$98*Mat_Sum!$AG32)+($B$99*0))</f>
        <v>0</v>
      </c>
      <c r="G328" s="2144">
        <f ca="1" xml:space="preserve"> $A$6*$B$14*(($B$101*Mat_Sum!$D32)+($B$102*Mat_Sum!$L32)+($B$103*Mat_Sum!$AG32)+($B$104*0))</f>
        <v>0</v>
      </c>
      <c r="H328" s="2144">
        <f ca="1" xml:space="preserve"> $A$6*$B$15*(($B$106*Mat_Sum!$D32)+($B$107*Mat_Sum!$L32)+($B$108*Mat_Sum!$AG32)+($B$109*Mat_Sum!$AV32)+($B$110*Mat_Sum!$AR32)+($B$111*0))</f>
        <v>0</v>
      </c>
      <c r="I328" s="2144">
        <f ca="1" xml:space="preserve"> $A$6*$B$17*(($B$113*Mat_Sum!$E32)+($B$114*Mat_Sum!$D32)+($B$115*Mat_Sum!$F32)+($B$116*Mat_Sum!$L32)+($B$117*Mat_Sum!$I32)+($B$118*0)+($B$119*Mat_Sum!$AV32)+($B$120*Mat_Sum!$AR32)+($B$121*Mat_Sum!$AG32)+($B$122*Mat_Sum!$AG32)+($B$123*Mat_Sum!$AN32)+($B$124*0)+($B$125*Mat_Sum!$E32)+($B$126*0))</f>
        <v>0</v>
      </c>
      <c r="J328" s="2144">
        <f ca="1">$A$6*$B$16*(($B$128*Mat_Sum!$AU32)+($B$129*Mat_Sum!$D32)+($B$130*Mat_Sum!$E32)+($B$131*Mat_Sum!$AS32)+($B$132*Mat_Sum!$I32)+($B$133*Mat_Sum!$AG32)+($B$134*Mat_Sum!$AQ32)+($B$135*Mat_Sum!$AO32)+($B$136*0))</f>
        <v>0</v>
      </c>
      <c r="K328" s="2406">
        <f ca="1" xml:space="preserve"> $A$6*$B$19*$B$138*Mat_Sum!$D32</f>
        <v>0</v>
      </c>
      <c r="L328" s="2223">
        <f t="shared" ca="1" si="5"/>
        <v>0.17281432641269592</v>
      </c>
      <c r="M328" s="2218">
        <f t="shared" ca="1" si="5"/>
        <v>0.11984055860665192</v>
      </c>
      <c r="N328" s="2218">
        <f t="shared" ca="1" si="5"/>
        <v>3.6951552899570958E-2</v>
      </c>
      <c r="O328" s="2218">
        <f t="shared" ca="1" si="5"/>
        <v>0.67039356208108125</v>
      </c>
      <c r="P328" s="2218">
        <f t="shared" ca="1" si="5"/>
        <v>0</v>
      </c>
      <c r="Q328" s="2218">
        <f t="shared" ca="1" si="5"/>
        <v>0</v>
      </c>
      <c r="R328" s="2218">
        <f t="shared" ca="1" si="5"/>
        <v>0</v>
      </c>
      <c r="S328" s="2218">
        <f t="shared" ca="1" si="5"/>
        <v>0</v>
      </c>
      <c r="T328" s="2218">
        <f t="shared" ca="1" si="5"/>
        <v>0</v>
      </c>
      <c r="U328" s="2224">
        <f t="shared" ca="1" si="5"/>
        <v>0</v>
      </c>
      <c r="AI328" s="2299"/>
      <c r="AJ328" s="2299"/>
      <c r="AK328" s="2299"/>
      <c r="AL328" s="2299"/>
      <c r="AM328" s="2299"/>
      <c r="AN328" s="2299"/>
      <c r="AO328" s="2299"/>
      <c r="AP328" s="2299"/>
      <c r="AQ328" s="2299"/>
      <c r="AR328" s="2299"/>
    </row>
    <row r="329" spans="1:44" ht="15.75">
      <c r="A329" s="2093" t="s">
        <v>2550</v>
      </c>
      <c r="B329" s="2318">
        <f ca="1">($A$6*$B$18*(($B$24*Mat_Sum!$D33)+($B$25*Mat_Sum!$E33)+($B$26*Mat_Sum!$I33)+($B$27*Mat_Sum!$L33)+($B$28*Mat_Sum!$AR33)+($B$29*Mat_Sum!$AV33)+($B$30*Mat_Sum!$AS33)+($B$31*Mat_Sum!$AM33)+($B$32*Mat_Sum!$AG33)+($B$33*0)+($B$34*0)+($B$35*0)+($B$36*Mat_Sum!$CF33)+($B$37*Silicon!$K90)+($B$38*0)))+($B$201*(($B$207*Mat_Sum!$D33)+($B$208*Mat_Sum!$AV33)+($B$209*Mat_Sum!$AR33)))</f>
        <v>4411865.9527811101</v>
      </c>
      <c r="C329" s="2144">
        <f ca="1">($A$6*$B$10*(($B$40*Mat_Sum!$E33)+($B$41*Mat_Sum!$D33)+($B$42*Mat_Sum!$L33)+($B$43*Mat_Sum!$I33)+($B$44*Mat_Sum!$F33)+($B$45*Mat_Sum!$AV33)+($B$46*Mat_Sum!$AR33)+($B$47*Mat_Sum!$AG33)+($B$48*((88%*Mat_Sum!$AG33)+(12%*0)))+($B$49*Mat_Sum!$CF33)+($B$50*Mat_Sum!$AN33)+($B$51*'C.Iron'!$I80)+($B$52*((80%*Mat_Sum!$U33)+(20%*Mat_Sum!$BA33)))+($B$53*Mat_Sum!$AW33)+($B$54*Mat_Sum!$AS33)+($B$55*Mat_Sum!$CQ33)+($B$56*Mat_Sum!$AQ33)+($B$57*Mat_Sum!$AO33)+($B$58*Mat_Sum!$AP33)+($B$59*Mat_Sum!$BJ33)+($B$60*Mat_Sum!$BI33)+($B$61*Mat_Sum!$AR33)+($B$62*0)+($B$63*Mat_Sum!$CF33)+($B$64*Mat_Sum!$BG33)+($B$65*Mat_Sum!$BI33)+($B$66*Mat_Sum!$U33)+($B$67*Mat_Sum!$BA33)+($B$68*Mat_Sum!$CP33)+($B$69*0)+($B$70*Mat_Sum!$AZ33)+($B$71*Mat_Sum!$AM33)+($B$72*0)))+($B$202*(($B$211*Mat_Sum!$D33)+($B$212*Mat_Sum!$BG33)+($B$213*Mat_Sum!$AV33)))</f>
        <v>3069979.0849633934</v>
      </c>
      <c r="D329" s="2144">
        <f ca="1" xml:space="preserve"> $A$6*$B$11*(($B$74*Mat_Sum!$D33)+($B$75*Mat_Sum!$L33)+($B$76*Mat_Sum!$I33)+($B$77*Mat_Sum!$F33)+($B$78*Mat_Sum!$AV33)+($B$79*Mat_Sum!$AR33)+($B$80*Mat_Sum!$AG33)+($B$81*Mat_Sum!$AG33)+($B$82*Mat_Sum!$F33)+($B$83*0))</f>
        <v>952270.30203673465</v>
      </c>
      <c r="E329" s="2144">
        <f ca="1" xml:space="preserve"> ($A$6*$B$12*(($B$85*Mat_Sum!$D33)+($B$86*Mat_Sum!$F33)+($B$87*Mat_Sum!$L33)+($B$88*Mat_Sum!$I33)+($B$89*Mat_Sum!$AV33)+($B$90*Mat_Sum!$AR33)+($B$91*Mat_Sum!$AG33)+($B$92*Mat_Sum!$AG33)+($B$93*Mat_Sum!$F33)+($B$94*0)))+($C$187*$B$187*$B$192*(($B$197*Mat_Sum!$D33)+($A$197*Mat_Sum!$AV33)))+($C$188*$B$188*$B$193*(($B$197*Mat_Sum!$D33)+($A$197*Mat_Sum!$AV33)))</f>
        <v>17219823.890259717</v>
      </c>
      <c r="F329" s="2144">
        <f ca="1" xml:space="preserve"> $A$6*$B$13*(($B$96*Mat_Sum!$D33)+($B$97*Mat_Sum!$L33)+($B$98*Mat_Sum!$AG33)+($B$99*0))</f>
        <v>0</v>
      </c>
      <c r="G329" s="2144">
        <f ca="1" xml:space="preserve"> $A$6*$B$14*(($B$101*Mat_Sum!$D33)+($B$102*Mat_Sum!$L33)+($B$103*Mat_Sum!$AG33)+($B$104*0))</f>
        <v>0</v>
      </c>
      <c r="H329" s="2144">
        <f ca="1" xml:space="preserve"> $A$6*$B$15*(($B$106*Mat_Sum!$D33)+($B$107*Mat_Sum!$L33)+($B$108*Mat_Sum!$AG33)+($B$109*Mat_Sum!$AV33)+($B$110*Mat_Sum!$AR33)+($B$111*0))</f>
        <v>0</v>
      </c>
      <c r="I329" s="2144">
        <f ca="1" xml:space="preserve"> $A$6*$B$17*(($B$113*Mat_Sum!$E33)+($B$114*Mat_Sum!$D33)+($B$115*Mat_Sum!$F33)+($B$116*Mat_Sum!$L33)+($B$117*Mat_Sum!$I33)+($B$118*0)+($B$119*Mat_Sum!$AV33)+($B$120*Mat_Sum!$AR33)+($B$121*Mat_Sum!$AG33)+($B$122*Mat_Sum!$AG33)+($B$123*Mat_Sum!$AN33)+($B$124*0)+($B$125*Mat_Sum!$E33)+($B$126*0))</f>
        <v>0</v>
      </c>
      <c r="J329" s="2144">
        <f ca="1">$A$6*$B$16*(($B$128*Mat_Sum!$AU33)+($B$129*Mat_Sum!$D33)+($B$130*Mat_Sum!$E33)+($B$131*Mat_Sum!$AS33)+($B$132*Mat_Sum!$I33)+($B$133*Mat_Sum!$AG33)+($B$134*Mat_Sum!$AQ33)+($B$135*Mat_Sum!$AO33)+($B$136*0))</f>
        <v>0</v>
      </c>
      <c r="K329" s="2406">
        <f ca="1" xml:space="preserve"> $A$6*$B$19*$B$138*Mat_Sum!$D33</f>
        <v>0</v>
      </c>
      <c r="L329" s="2223">
        <f t="shared" ca="1" si="5"/>
        <v>0.17197615980998279</v>
      </c>
      <c r="M329" s="2218">
        <f t="shared" ca="1" si="5"/>
        <v>0.11966891546107762</v>
      </c>
      <c r="N329" s="2218">
        <f t="shared" ca="1" si="5"/>
        <v>3.7119847111886005E-2</v>
      </c>
      <c r="O329" s="2218">
        <f t="shared" ca="1" si="5"/>
        <v>0.6712350776170537</v>
      </c>
      <c r="P329" s="2218">
        <f t="shared" ca="1" si="5"/>
        <v>0</v>
      </c>
      <c r="Q329" s="2218">
        <f t="shared" ca="1" si="5"/>
        <v>0</v>
      </c>
      <c r="R329" s="2218">
        <f t="shared" ca="1" si="5"/>
        <v>0</v>
      </c>
      <c r="S329" s="2218">
        <f t="shared" ca="1" si="5"/>
        <v>0</v>
      </c>
      <c r="T329" s="2218">
        <f t="shared" ca="1" si="5"/>
        <v>0</v>
      </c>
      <c r="U329" s="2224">
        <f t="shared" ca="1" si="5"/>
        <v>0</v>
      </c>
      <c r="AI329" s="2299"/>
      <c r="AJ329" s="2299"/>
      <c r="AK329" s="2299"/>
      <c r="AL329" s="2299"/>
      <c r="AM329" s="2299"/>
      <c r="AN329" s="2299"/>
      <c r="AO329" s="2299"/>
      <c r="AP329" s="2299"/>
      <c r="AQ329" s="2299"/>
      <c r="AR329" s="2299"/>
    </row>
    <row r="330" spans="1:44">
      <c r="A330" s="2142" t="s">
        <v>851</v>
      </c>
      <c r="B330" s="2399">
        <f ca="1">($A$6*$B$18*(($B$24*Mat_Sum!$D34)+($B$25*Mat_Sum!$E34)+($B$26*Mat_Sum!$I34)+($B$27*Mat_Sum!$L34)+($B$28*Mat_Sum!$AR34)+($B$29*Mat_Sum!$AV34)+($B$30*Mat_Sum!$AS34)+($B$31*Mat_Sum!$AM34)+($B$32*Mat_Sum!$AG34)+($B$33*0)+($B$34*0)+($B$35*0)+($B$36*Mat_Sum!$CF34)+($B$37*Silicon!$K91)+($B$38*0)))+($B$201*(($B$207*Mat_Sum!$D34)+($B$208*Mat_Sum!$AV34)+($B$209*Mat_Sum!$AR34)))</f>
        <v>4963480.0479353638</v>
      </c>
      <c r="C330" s="2272">
        <f ca="1">($A$6*$B$10*(($B$40*Mat_Sum!$E34)+($B$41*Mat_Sum!$D34)+($B$42*Mat_Sum!$L34)+($B$43*Mat_Sum!$I34)+($B$44*Mat_Sum!$F34)+($B$45*Mat_Sum!$AV34)+($B$46*Mat_Sum!$AR34)+($B$47*Mat_Sum!$AG34)+($B$48*((88%*Mat_Sum!$AG34)+(12%*0)))+($B$49*Mat_Sum!$CF34)+($B$50*Mat_Sum!$AN34)+($B$51*'C.Iron'!$I81)+($B$52*((80%*Mat_Sum!$U34)+(20%*Mat_Sum!$BA34)))+($B$53*Mat_Sum!$AW34)+($B$54*Mat_Sum!$AS34)+($B$55*Mat_Sum!$CQ34)+($B$56*Mat_Sum!$AQ34)+($B$57*Mat_Sum!$AO34)+($B$58*Mat_Sum!$AP34)+($B$59*Mat_Sum!$BJ34)+($B$60*Mat_Sum!$BI34)+($B$61*Mat_Sum!$AR34)+($B$62*0)+($B$63*Mat_Sum!$CF34)+($B$64*Mat_Sum!$BG34)+($B$65*Mat_Sum!$BI34)+($B$66*Mat_Sum!$U34)+($B$67*Mat_Sum!$BA34)+($B$68*Mat_Sum!$CP34)+($B$69*0)+($B$70*Mat_Sum!$AZ34)+($B$71*Mat_Sum!$AM34)+($B$72*0)))+($B$202*(($B$211*Mat_Sum!$D34)+($B$212*Mat_Sum!$BG34)+($B$213*Mat_Sum!$AV34)))</f>
        <v>3401607.9533698503</v>
      </c>
      <c r="D330" s="2144">
        <f ca="1" xml:space="preserve"> $A$6*$B$11*(($B$74*Mat_Sum!$D34)+($B$75*Mat_Sum!$L34)+($B$76*Mat_Sum!$I34)+($B$77*Mat_Sum!$F34)+($B$78*Mat_Sum!$AV34)+($B$79*Mat_Sum!$AR34)+($B$80*Mat_Sum!$AG34)+($B$81*Mat_Sum!$AG34)+($B$82*Mat_Sum!$F34)+($B$83*0))</f>
        <v>1020369.8621598682</v>
      </c>
      <c r="E330" s="2144">
        <f ca="1" xml:space="preserve"> ($A$6*$B$12*(($B$85*Mat_Sum!$D34)+($B$86*Mat_Sum!$F34)+($B$87*Mat_Sum!$L34)+($B$88*Mat_Sum!$I34)+($B$89*Mat_Sum!$AV34)+($B$90*Mat_Sum!$AR34)+($B$91*Mat_Sum!$AG34)+($B$92*Mat_Sum!$AG34)+($B$93*Mat_Sum!$F34)+($B$94*0)))+($C$187*$B$187*$B$192*(($B$197*Mat_Sum!$D34)+($A$197*Mat_Sum!$AV34)))+($C$188*$B$188*$B$193*(($B$197*Mat_Sum!$D34)+($A$197*Mat_Sum!$AV34)))</f>
        <v>18350825.011988174</v>
      </c>
      <c r="F330" s="2272">
        <f ca="1" xml:space="preserve"> $A$6*$B$13*(($B$96*Mat_Sum!$D34)+($B$97*Mat_Sum!$L34)+($B$98*Mat_Sum!$AG34)+($B$99*0))</f>
        <v>0</v>
      </c>
      <c r="G330" s="2144">
        <f ca="1" xml:space="preserve"> $A$6*$B$14*(($B$101*Mat_Sum!$D34)+($B$102*Mat_Sum!$L34)+($B$103*Mat_Sum!$AG34)+($B$104*0))</f>
        <v>0</v>
      </c>
      <c r="H330" s="2144">
        <f ca="1" xml:space="preserve"> $A$6*$B$15*(($B$106*Mat_Sum!$D34)+($B$107*Mat_Sum!$L34)+($B$108*Mat_Sum!$AG34)+($B$109*Mat_Sum!$AV34)+($B$110*Mat_Sum!$AR34)+($B$111*0))</f>
        <v>0</v>
      </c>
      <c r="I330" s="2144">
        <f ca="1" xml:space="preserve"> $A$6*$B$17*(($B$113*Mat_Sum!$E34)+($B$114*Mat_Sum!$D34)+($B$115*Mat_Sum!$F34)+($B$116*Mat_Sum!$L34)+($B$117*Mat_Sum!$I34)+($B$118*0)+($B$119*Mat_Sum!$AV34)+($B$120*Mat_Sum!$AR34)+($B$121*Mat_Sum!$AG34)+($B$122*Mat_Sum!$AG34)+($B$123*Mat_Sum!$AN34)+($B$124*0)+($B$125*Mat_Sum!$E34)+($B$126*0))</f>
        <v>0</v>
      </c>
      <c r="J330" s="2144">
        <f ca="1">$A$6*$B$16*(($B$128*Mat_Sum!$AU34)+($B$129*Mat_Sum!$D34)+($B$130*Mat_Sum!$E34)+($B$131*Mat_Sum!$AS34)+($B$132*Mat_Sum!$I34)+($B$133*Mat_Sum!$AG34)+($B$134*Mat_Sum!$AQ34)+($B$135*Mat_Sum!$AO34)+($B$136*0))</f>
        <v>0</v>
      </c>
      <c r="K330" s="2406">
        <f ca="1" xml:space="preserve"> $A$6*$B$19*$B$138*Mat_Sum!$D34</f>
        <v>0</v>
      </c>
      <c r="L330" s="2184">
        <f t="shared" ca="1" si="5"/>
        <v>0.17895260407543895</v>
      </c>
      <c r="M330" s="2216">
        <f t="shared" ca="1" si="5"/>
        <v>0.12264108960253971</v>
      </c>
      <c r="N330" s="2216">
        <f t="shared" ca="1" si="5"/>
        <v>3.6788269961830412E-2</v>
      </c>
      <c r="O330" s="2216">
        <f t="shared" ca="1" si="5"/>
        <v>0.66161803636019101</v>
      </c>
      <c r="P330" s="2216">
        <f t="shared" ca="1" si="5"/>
        <v>0</v>
      </c>
      <c r="Q330" s="2216">
        <f t="shared" ca="1" si="5"/>
        <v>0</v>
      </c>
      <c r="R330" s="2216">
        <f t="shared" ca="1" si="5"/>
        <v>0</v>
      </c>
      <c r="S330" s="2216">
        <f t="shared" ca="1" si="5"/>
        <v>0</v>
      </c>
      <c r="T330" s="2216">
        <f t="shared" ca="1" si="5"/>
        <v>0</v>
      </c>
      <c r="U330" s="2217">
        <f t="shared" ca="1" si="5"/>
        <v>0</v>
      </c>
      <c r="AI330" s="2299"/>
      <c r="AJ330" s="2299"/>
      <c r="AK330" s="2299"/>
      <c r="AL330" s="2299"/>
      <c r="AM330" s="2299"/>
      <c r="AN330" s="2299"/>
      <c r="AO330" s="2299"/>
      <c r="AP330" s="2299"/>
      <c r="AQ330" s="2299"/>
      <c r="AR330" s="2299"/>
    </row>
    <row r="331" spans="1:44">
      <c r="A331" s="2177" t="s">
        <v>973</v>
      </c>
      <c r="B331" s="2151"/>
      <c r="C331" s="2136"/>
      <c r="D331" s="2251"/>
      <c r="E331" s="2251"/>
      <c r="F331" s="2136"/>
      <c r="G331" s="2251"/>
      <c r="H331" s="2251"/>
      <c r="I331" s="2251"/>
      <c r="J331" s="2251"/>
      <c r="K331" s="2412"/>
      <c r="L331" s="2411"/>
      <c r="M331" s="2336"/>
      <c r="N331" s="2336"/>
      <c r="O331" s="2336"/>
      <c r="P331" s="2336"/>
      <c r="Q331" s="2336"/>
      <c r="R331" s="2336"/>
      <c r="S331" s="2336"/>
      <c r="T331" s="2336"/>
      <c r="U331" s="2337"/>
      <c r="AI331" s="2299"/>
      <c r="AJ331" s="2299"/>
      <c r="AK331" s="2299"/>
      <c r="AL331" s="2299"/>
      <c r="AM331" s="2299"/>
      <c r="AN331" s="2299"/>
      <c r="AO331" s="2299"/>
      <c r="AP331" s="2299"/>
      <c r="AQ331" s="2299"/>
      <c r="AR331" s="2299"/>
    </row>
    <row r="332" spans="1:44">
      <c r="A332" s="2093" t="s">
        <v>821</v>
      </c>
      <c r="B332" s="2151">
        <f ca="1">($A$6*$B$18*(($B$24*Mat_Sum!$D36)+($B$25*Mat_Sum!$E36)+($B$26*Mat_Sum!$I36)+($B$27*Mat_Sum!$L36)+($B$28*Mat_Sum!$AR36)+($B$29*Mat_Sum!$AV36)+($B$30*Mat_Sum!$AS36)+($B$31*Mat_Sum!$AM36)+($B$32*Mat_Sum!$AG36)+($B$33*0)+($B$34*0)+($B$35*0)+($B$36*Mat_Sum!$CF36)+($B$37*Silicon!$K93)+($B$38*0)))+($B$201*(($B$207*Mat_Sum!$D36)+($B$208*Mat_Sum!$AV36)+($B$209*Mat_Sum!$AR36)))</f>
        <v>60.359002337267569</v>
      </c>
      <c r="C332" s="2136">
        <f ca="1">($A$6*$B$10*(($B$40*Mat_Sum!$E36)+($B$41*Mat_Sum!$D36)+($B$42*Mat_Sum!$L36)+($B$43*Mat_Sum!$I36)+($B$44*Mat_Sum!$F36)+($B$45*Mat_Sum!$AV36)+($B$46*Mat_Sum!$AR36)+($B$47*Mat_Sum!$AG36)+($B$48*((88%*Mat_Sum!$AG36)+(12%*0)))+($B$49*Mat_Sum!$CF36)+($B$50*Mat_Sum!$AN36)+($B$51*'C.Iron'!$I83)+($B$52*((80%*Mat_Sum!$U36)+(20%*Mat_Sum!$BA36)))+($B$53*Mat_Sum!$AW36)+($B$54*Mat_Sum!$AS36)+($B$55*Mat_Sum!$CQ36)+($B$56*Mat_Sum!$AQ36)+($B$57*Mat_Sum!$AO36)+($B$58*Mat_Sum!$AP36)+($B$59*Mat_Sum!$BJ36)+($B$60*Mat_Sum!$BI36)+($B$61*Mat_Sum!$AR36)+($B$62*0)+($B$63*Mat_Sum!$CF36)+($B$64*Mat_Sum!$BG36)+($B$65*Mat_Sum!$BI36)+($B$66*Mat_Sum!$U36)+($B$67*Mat_Sum!$BA36)+($B$68*Mat_Sum!$CP36)+($B$69*0)+($B$70*Mat_Sum!$AZ36)+($B$71*Mat_Sum!$AM36)+($B$72*0)))+($B$202*(($B$211*Mat_Sum!$D36)+($B$212*Mat_Sum!$BG36)+($B$213*Mat_Sum!$AV36)))</f>
        <v>28.185760702582098</v>
      </c>
      <c r="D332" s="2136">
        <f ca="1" xml:space="preserve"> $A$6*$B$11*(($B$74*Mat_Sum!$D36)+($B$75*Mat_Sum!$L36)+($B$76*Mat_Sum!$I36)+($B$77*Mat_Sum!$F36)+($B$78*Mat_Sum!$AV36)+($B$79*Mat_Sum!$AR36)+($B$80*Mat_Sum!$AG36)+($B$81*Mat_Sum!$AG36)+($B$82*Mat_Sum!$F36)+($B$83*0))</f>
        <v>5.1616082208068068</v>
      </c>
      <c r="E332" s="2136">
        <f ca="1" xml:space="preserve"> ($A$6*$B$12*(($B$85*Mat_Sum!$D36)+($B$86*Mat_Sum!$F36)+($B$87*Mat_Sum!$L36)+($B$88*Mat_Sum!$I36)+($B$89*Mat_Sum!$AV36)+($B$90*Mat_Sum!$AR36)+($B$91*Mat_Sum!$AG36)+($B$92*Mat_Sum!$AG36)+($B$93*Mat_Sum!$F36)+($B$94*0)))+($C$187*$B$187*$B$192*(($B$197*Mat_Sum!$D36)+($A$197*Mat_Sum!$AV36)))+($C$188*$B$188*$B$193*(($B$197*Mat_Sum!$D36)+($A$197*Mat_Sum!$AV36)))</f>
        <v>127.22611215190928</v>
      </c>
      <c r="F332" s="2136">
        <f ca="1" xml:space="preserve"> $A$6*$B$13*(($B$96*Mat_Sum!$D36)+($B$97*Mat_Sum!$L36)+($B$98*Mat_Sum!$AG36)+($B$99*0))</f>
        <v>0</v>
      </c>
      <c r="G332" s="2136">
        <f ca="1" xml:space="preserve"> $A$6*$B$14*(($B$101*Mat_Sum!$D36)+($B$102*Mat_Sum!$L36)+($B$103*Mat_Sum!$AG36)+($B$104*0))</f>
        <v>0</v>
      </c>
      <c r="H332" s="2136">
        <f ca="1" xml:space="preserve"> $A$6*$B$15*(($B$106*Mat_Sum!$D36)+($B$107*Mat_Sum!$L36)+($B$108*Mat_Sum!$AG36)+($B$109*Mat_Sum!$AV36)+($B$110*Mat_Sum!$AR36)+($B$111*0))</f>
        <v>0</v>
      </c>
      <c r="I332" s="2136">
        <f ca="1" xml:space="preserve"> $A$6*$B$17*(($B$113*Mat_Sum!$E36)+($B$114*Mat_Sum!$D36)+($B$115*Mat_Sum!$F36)+($B$116*Mat_Sum!$L36)+($B$117*Mat_Sum!$I36)+($B$118*0)+($B$119*Mat_Sum!$AV36)+($B$120*Mat_Sum!$AR36)+($B$121*Mat_Sum!$AG36)+($B$122*Mat_Sum!$AG36)+($B$123*Mat_Sum!$AN36)+($B$124*0)+($B$125*Mat_Sum!$E36)+($B$126*0))</f>
        <v>0</v>
      </c>
      <c r="J332" s="2136">
        <f ca="1">$A$6*$B$16*(($B$128*Mat_Sum!$AU36)+($B$129*Mat_Sum!$D36)+($B$130*Mat_Sum!$E36)+($B$131*Mat_Sum!$AS36)+($B$132*Mat_Sum!$I36)+($B$133*Mat_Sum!$AG36)+($B$134*Mat_Sum!$AQ36)+($B$135*Mat_Sum!$AO36)+($B$136*0))</f>
        <v>0</v>
      </c>
      <c r="K332" s="2406">
        <f ca="1" xml:space="preserve"> $A$6*$B$19*$B$138*Mat_Sum!$D36</f>
        <v>0</v>
      </c>
      <c r="L332" s="2223">
        <f t="shared" ref="L332:U339" ca="1" si="6" xml:space="preserve"> B332/$B297</f>
        <v>0.27320112192173279</v>
      </c>
      <c r="M332" s="2218">
        <f t="shared" ca="1" si="6"/>
        <v>0.12757635394858829</v>
      </c>
      <c r="N332" s="2218">
        <f t="shared" ca="1" si="6"/>
        <v>2.3362830766574527E-2</v>
      </c>
      <c r="O332" s="2218">
        <f t="shared" ca="1" si="6"/>
        <v>0.57585969336310461</v>
      </c>
      <c r="P332" s="2218">
        <f t="shared" ca="1" si="6"/>
        <v>0</v>
      </c>
      <c r="Q332" s="2218">
        <f t="shared" ca="1" si="6"/>
        <v>0</v>
      </c>
      <c r="R332" s="2218">
        <f t="shared" ca="1" si="6"/>
        <v>0</v>
      </c>
      <c r="S332" s="2218">
        <f t="shared" ca="1" si="6"/>
        <v>0</v>
      </c>
      <c r="T332" s="2218">
        <f t="shared" ca="1" si="6"/>
        <v>0</v>
      </c>
      <c r="U332" s="2224">
        <f t="shared" ca="1" si="6"/>
        <v>0</v>
      </c>
      <c r="AI332" s="2299"/>
      <c r="AJ332" s="2299"/>
      <c r="AK332" s="2299"/>
      <c r="AL332" s="2299"/>
      <c r="AM332" s="2299"/>
      <c r="AN332" s="2299"/>
      <c r="AO332" s="2299"/>
      <c r="AP332" s="2299"/>
      <c r="AQ332" s="2299"/>
      <c r="AR332" s="2299"/>
    </row>
    <row r="333" spans="1:44">
      <c r="A333" s="2093" t="s">
        <v>822</v>
      </c>
      <c r="B333" s="2151">
        <f ca="1">($A$6*$B$18*(($B$24*Mat_Sum!$D37)+($B$25*Mat_Sum!$E37)+($B$26*Mat_Sum!$I37)+($B$27*Mat_Sum!$L37)+($B$28*Mat_Sum!$AR37)+($B$29*Mat_Sum!$AV37)+($B$30*Mat_Sum!$AS37)+($B$31*Mat_Sum!$AM37)+($B$32*Mat_Sum!$AG37)+($B$33*0)+($B$34*0)+($B$35*0)+($B$36*Mat_Sum!$CF37)+($B$37*Silicon!$K94)+($B$38*0)))+($B$201*(($B$207*Mat_Sum!$D37)+($B$208*Mat_Sum!$AV37)+($B$209*Mat_Sum!$AR37)))</f>
        <v>192.31119029295485</v>
      </c>
      <c r="C333" s="2136">
        <f ca="1">($A$6*$B$10*(($B$40*Mat_Sum!$E37)+($B$41*Mat_Sum!$D37)+($B$42*Mat_Sum!$L37)+($B$43*Mat_Sum!$I37)+($B$44*Mat_Sum!$F37)+($B$45*Mat_Sum!$AV37)+($B$46*Mat_Sum!$AR37)+($B$47*Mat_Sum!$AG37)+($B$48*((88%*Mat_Sum!$AG37)+(12%*0)))+($B$49*Mat_Sum!$CF37)+($B$50*Mat_Sum!$AN37)+($B$51*'C.Iron'!$I84)+($B$52*((80%*Mat_Sum!$U37)+(20%*Mat_Sum!$BA37)))+($B$53*Mat_Sum!$AW37)+($B$54*Mat_Sum!$AS37)+($B$55*Mat_Sum!$CQ37)+($B$56*Mat_Sum!$AQ37)+($B$57*Mat_Sum!$AO37)+($B$58*Mat_Sum!$AP37)+($B$59*Mat_Sum!$BJ37)+($B$60*Mat_Sum!$BI37)+($B$61*Mat_Sum!$AR37)+($B$62*0)+($B$63*Mat_Sum!$CF37)+($B$64*Mat_Sum!$BG37)+($B$65*Mat_Sum!$BI37)+($B$66*Mat_Sum!$U37)+($B$67*Mat_Sum!$BA37)+($B$68*Mat_Sum!$CP37)+($B$69*0)+($B$70*Mat_Sum!$AZ37)+($B$71*Mat_Sum!$AM37)+($B$72*0)))+($B$202*(($B$211*Mat_Sum!$D37)+($B$212*Mat_Sum!$BG37)+($B$213*Mat_Sum!$AV37)))</f>
        <v>96.917190376999713</v>
      </c>
      <c r="D333" s="2136">
        <f ca="1" xml:space="preserve"> $A$6*$B$11*(($B$74*Mat_Sum!$D37)+($B$75*Mat_Sum!$L37)+($B$76*Mat_Sum!$I37)+($B$77*Mat_Sum!$F37)+($B$78*Mat_Sum!$AV37)+($B$79*Mat_Sum!$AR37)+($B$80*Mat_Sum!$AG37)+($B$81*Mat_Sum!$AG37)+($B$82*Mat_Sum!$F37)+($B$83*0))</f>
        <v>20.804795168167637</v>
      </c>
      <c r="E333" s="2136">
        <f ca="1" xml:space="preserve"> ($A$6*$B$12*(($B$85*Mat_Sum!$D37)+($B$86*Mat_Sum!$F37)+($B$87*Mat_Sum!$L37)+($B$88*Mat_Sum!$I37)+($B$89*Mat_Sum!$AV37)+($B$90*Mat_Sum!$AR37)+($B$91*Mat_Sum!$AG37)+($B$92*Mat_Sum!$AG37)+($B$93*Mat_Sum!$F37)+($B$94*0)))+($C$187*$B$187*$B$192*(($B$197*Mat_Sum!$D37)+($A$197*Mat_Sum!$AV37)))+($C$188*$B$188*$B$193*(($B$197*Mat_Sum!$D37)+($A$197*Mat_Sum!$AV37)))</f>
        <v>382.3664184888263</v>
      </c>
      <c r="F333" s="2136">
        <f ca="1" xml:space="preserve"> $A$6*$B$13*(($B$96*Mat_Sum!$D37)+($B$97*Mat_Sum!$L37)+($B$98*Mat_Sum!$AG37)+($B$99*0))</f>
        <v>0</v>
      </c>
      <c r="G333" s="2136">
        <f ca="1" xml:space="preserve"> $A$6*$B$14*(($B$101*Mat_Sum!$D37)+($B$102*Mat_Sum!$L37)+($B$103*Mat_Sum!$AG37)+($B$104*0))</f>
        <v>0</v>
      </c>
      <c r="H333" s="2136">
        <f ca="1" xml:space="preserve"> $A$6*$B$15*(($B$106*Mat_Sum!$D37)+($B$107*Mat_Sum!$L37)+($B$108*Mat_Sum!$AG37)+($B$109*Mat_Sum!$AV37)+($B$110*Mat_Sum!$AR37)+($B$111*0))</f>
        <v>0</v>
      </c>
      <c r="I333" s="2136">
        <f ca="1" xml:space="preserve"> $A$6*$B$17*(($B$113*Mat_Sum!$E37)+($B$114*Mat_Sum!$D37)+($B$115*Mat_Sum!$F37)+($B$116*Mat_Sum!$L37)+($B$117*Mat_Sum!$I37)+($B$118*0)+($B$119*Mat_Sum!$AV37)+($B$120*Mat_Sum!$AR37)+($B$121*Mat_Sum!$AG37)+($B$122*Mat_Sum!$AG37)+($B$123*Mat_Sum!$AN37)+($B$124*0)+($B$125*Mat_Sum!$E37)+($B$126*0))</f>
        <v>0</v>
      </c>
      <c r="J333" s="2136">
        <f ca="1">$A$6*$B$16*(($B$128*Mat_Sum!$AU37)+($B$129*Mat_Sum!$D37)+($B$130*Mat_Sum!$E37)+($B$131*Mat_Sum!$AS37)+($B$132*Mat_Sum!$I37)+($B$133*Mat_Sum!$AG37)+($B$134*Mat_Sum!$AQ37)+($B$135*Mat_Sum!$AO37)+($B$136*0))</f>
        <v>0</v>
      </c>
      <c r="K333" s="2406">
        <f ca="1" xml:space="preserve"> $A$6*$B$19*$B$138*Mat_Sum!$D37</f>
        <v>0</v>
      </c>
      <c r="L333" s="2223">
        <f t="shared" ca="1" si="6"/>
        <v>0.27774596037984711</v>
      </c>
      <c r="M333" s="2218">
        <f t="shared" ca="1" si="6"/>
        <v>0.1399729161759673</v>
      </c>
      <c r="N333" s="2218">
        <f t="shared" ca="1" si="6"/>
        <v>3.0047382087782813E-2</v>
      </c>
      <c r="O333" s="2218">
        <f t="shared" ca="1" si="6"/>
        <v>0.5522337413564028</v>
      </c>
      <c r="P333" s="2218">
        <f t="shared" ca="1" si="6"/>
        <v>0</v>
      </c>
      <c r="Q333" s="2218">
        <f t="shared" ca="1" si="6"/>
        <v>0</v>
      </c>
      <c r="R333" s="2218">
        <f t="shared" ca="1" si="6"/>
        <v>0</v>
      </c>
      <c r="S333" s="2218">
        <f t="shared" ca="1" si="6"/>
        <v>0</v>
      </c>
      <c r="T333" s="2218">
        <f t="shared" ca="1" si="6"/>
        <v>0</v>
      </c>
      <c r="U333" s="2224">
        <f t="shared" ca="1" si="6"/>
        <v>0</v>
      </c>
      <c r="AI333" s="2299"/>
      <c r="AJ333" s="2299"/>
      <c r="AK333" s="2299"/>
      <c r="AL333" s="2299"/>
      <c r="AM333" s="2299"/>
      <c r="AN333" s="2299"/>
      <c r="AO333" s="2299"/>
      <c r="AP333" s="2299"/>
      <c r="AQ333" s="2299"/>
      <c r="AR333" s="2299"/>
    </row>
    <row r="334" spans="1:44" ht="15.75">
      <c r="A334" s="2093" t="s">
        <v>2542</v>
      </c>
      <c r="B334" s="2151">
        <f ca="1">($A$6*$B$18*(($B$24*Mat_Sum!$D38)+($B$25*Mat_Sum!$E38)+($B$26*Mat_Sum!$I38)+($B$27*Mat_Sum!$L38)+($B$28*Mat_Sum!$AR38)+($B$29*Mat_Sum!$AV38)+($B$30*Mat_Sum!$AS38)+($B$31*Mat_Sum!$AM38)+($B$32*Mat_Sum!$AG38)+($B$33*0)+($B$34*0)+($B$35*0)+($B$36*Mat_Sum!$CF38)+($B$37*Silicon!$K95)+($B$38*0)))+($B$201*(($B$207*Mat_Sum!$D38)+($B$208*Mat_Sum!$AV38)+($B$209*Mat_Sum!$AR38)))</f>
        <v>364.77415354384368</v>
      </c>
      <c r="C334" s="2136">
        <f ca="1">($A$6*$B$10*(($B$40*Mat_Sum!$E38)+($B$41*Mat_Sum!$D38)+($B$42*Mat_Sum!$L38)+($B$43*Mat_Sum!$I38)+($B$44*Mat_Sum!$F38)+($B$45*Mat_Sum!$AV38)+($B$46*Mat_Sum!$AR38)+($B$47*Mat_Sum!$AG38)+($B$48*((88%*Mat_Sum!$AG38)+(12%*0)))+($B$49*Mat_Sum!$CF38)+($B$50*Mat_Sum!$AN38)+($B$51*'C.Iron'!$I85)+($B$52*((80%*Mat_Sum!$U38)+(20%*Mat_Sum!$BA38)))+($B$53*Mat_Sum!$AW38)+($B$54*Mat_Sum!$AS38)+($B$55*Mat_Sum!$CQ38)+($B$56*Mat_Sum!$AQ38)+($B$57*Mat_Sum!$AO38)+($B$58*Mat_Sum!$AP38)+($B$59*Mat_Sum!$BJ38)+($B$60*Mat_Sum!$BI38)+($B$61*Mat_Sum!$AR38)+($B$62*0)+($B$63*Mat_Sum!$CF38)+($B$64*Mat_Sum!$BG38)+($B$65*Mat_Sum!$BI38)+($B$66*Mat_Sum!$U38)+($B$67*Mat_Sum!$BA38)+($B$68*Mat_Sum!$CP38)+($B$69*0)+($B$70*Mat_Sum!$AZ38)+($B$71*Mat_Sum!$AM38)+($B$72*0)))+($B$202*(($B$211*Mat_Sum!$D38)+($B$212*Mat_Sum!$BG38)+($B$213*Mat_Sum!$AV38)))</f>
        <v>221.77345370417567</v>
      </c>
      <c r="D334" s="2136">
        <f ca="1" xml:space="preserve"> $A$6*$B$11*(($B$74*Mat_Sum!$D38)+($B$75*Mat_Sum!$L38)+($B$76*Mat_Sum!$I38)+($B$77*Mat_Sum!$F38)+($B$78*Mat_Sum!$AV38)+($B$79*Mat_Sum!$AR38)+($B$80*Mat_Sum!$AG38)+($B$81*Mat_Sum!$AG38)+($B$82*Mat_Sum!$F38)+($B$83*0))</f>
        <v>44.46312446313199</v>
      </c>
      <c r="E334" s="2136">
        <f ca="1" xml:space="preserve"> ($A$6*$B$12*(($B$85*Mat_Sum!$D38)+($B$86*Mat_Sum!$F38)+($B$87*Mat_Sum!$L38)+($B$88*Mat_Sum!$I38)+($B$89*Mat_Sum!$AV38)+($B$90*Mat_Sum!$AR38)+($B$91*Mat_Sum!$AG38)+($B$92*Mat_Sum!$AG38)+($B$93*Mat_Sum!$F38)+($B$94*0)))+($C$187*$B$187*$B$192*(($B$197*Mat_Sum!$D38)+($A$197*Mat_Sum!$AV38)))+($C$188*$B$188*$B$193*(($B$197*Mat_Sum!$D38)+($A$197*Mat_Sum!$AV38)))</f>
        <v>787.60287803976928</v>
      </c>
      <c r="F334" s="2136">
        <f ca="1" xml:space="preserve"> $A$6*$B$13*(($B$96*Mat_Sum!$D38)+($B$97*Mat_Sum!$L38)+($B$98*Mat_Sum!$AG38)+($B$99*0))</f>
        <v>0</v>
      </c>
      <c r="G334" s="2136">
        <f ca="1" xml:space="preserve"> $A$6*$B$14*(($B$101*Mat_Sum!$D38)+($B$102*Mat_Sum!$L38)+($B$103*Mat_Sum!$AG38)+($B$104*0))</f>
        <v>0</v>
      </c>
      <c r="H334" s="2136">
        <f ca="1" xml:space="preserve"> $A$6*$B$15*(($B$106*Mat_Sum!$D38)+($B$107*Mat_Sum!$L38)+($B$108*Mat_Sum!$AG38)+($B$109*Mat_Sum!$AV38)+($B$110*Mat_Sum!$AR38)+($B$111*0))</f>
        <v>0</v>
      </c>
      <c r="I334" s="2136">
        <f ca="1" xml:space="preserve"> $A$6*$B$17*(($B$113*Mat_Sum!$E38)+($B$114*Mat_Sum!$D38)+($B$115*Mat_Sum!$F38)+($B$116*Mat_Sum!$L38)+($B$117*Mat_Sum!$I38)+($B$118*0)+($B$119*Mat_Sum!$AV38)+($B$120*Mat_Sum!$AR38)+($B$121*Mat_Sum!$AG38)+($B$122*Mat_Sum!$AG38)+($B$123*Mat_Sum!$AN38)+($B$124*0)+($B$125*Mat_Sum!$E38)+($B$126*0))</f>
        <v>0</v>
      </c>
      <c r="J334" s="2136">
        <f ca="1">$A$6*$B$16*(($B$128*Mat_Sum!$AU38)+($B$129*Mat_Sum!$D38)+($B$130*Mat_Sum!$E38)+($B$131*Mat_Sum!$AS38)+($B$132*Mat_Sum!$I38)+($B$133*Mat_Sum!$AG38)+($B$134*Mat_Sum!$AQ38)+($B$135*Mat_Sum!$AO38)+($B$136*0))</f>
        <v>0</v>
      </c>
      <c r="K334" s="2406">
        <f ca="1" xml:space="preserve"> $A$6*$B$19*$B$138*Mat_Sum!$D38</f>
        <v>0</v>
      </c>
      <c r="L334" s="2223">
        <f t="shared" ca="1" si="6"/>
        <v>0.25713425490672581</v>
      </c>
      <c r="M334" s="2218">
        <f t="shared" ca="1" si="6"/>
        <v>0.15633111946748807</v>
      </c>
      <c r="N334" s="2218">
        <f t="shared" ca="1" si="6"/>
        <v>3.1342660297005609E-2</v>
      </c>
      <c r="O334" s="2218">
        <f t="shared" ca="1" si="6"/>
        <v>0.55519196532878046</v>
      </c>
      <c r="P334" s="2218">
        <f t="shared" ca="1" si="6"/>
        <v>0</v>
      </c>
      <c r="Q334" s="2218">
        <f t="shared" ca="1" si="6"/>
        <v>0</v>
      </c>
      <c r="R334" s="2218">
        <f t="shared" ca="1" si="6"/>
        <v>0</v>
      </c>
      <c r="S334" s="2218">
        <f t="shared" ca="1" si="6"/>
        <v>0</v>
      </c>
      <c r="T334" s="2218">
        <f t="shared" ca="1" si="6"/>
        <v>0</v>
      </c>
      <c r="U334" s="2224">
        <f t="shared" ca="1" si="6"/>
        <v>0</v>
      </c>
      <c r="AI334" s="2299"/>
      <c r="AJ334" s="2299"/>
      <c r="AK334" s="2299"/>
      <c r="AL334" s="2299"/>
      <c r="AM334" s="2299"/>
      <c r="AN334" s="2299"/>
      <c r="AO334" s="2299"/>
      <c r="AP334" s="2299"/>
      <c r="AQ334" s="2299"/>
      <c r="AR334" s="2299"/>
    </row>
    <row r="335" spans="1:44" ht="15.75">
      <c r="A335" s="2093" t="s">
        <v>2543</v>
      </c>
      <c r="B335" s="2151">
        <f ca="1">($A$6*$B$18*(($B$24*Mat_Sum!$D39)+($B$25*Mat_Sum!$E39)+($B$26*Mat_Sum!$I39)+($B$27*Mat_Sum!$L39)+($B$28*Mat_Sum!$AR39)+($B$29*Mat_Sum!$AV39)+($B$30*Mat_Sum!$AS39)+($B$31*Mat_Sum!$AM39)+($B$32*Mat_Sum!$AG39)+($B$33*0)+($B$34*0)+($B$35*0)+($B$36*Mat_Sum!$CF39)+($B$37*Silicon!$K96)+($B$38*0)))+($B$201*(($B$207*Mat_Sum!$D39)+($B$208*Mat_Sum!$AV39)+($B$209*Mat_Sum!$AR39)))</f>
        <v>37.231410625364184</v>
      </c>
      <c r="C335" s="2136">
        <f ca="1">($A$6*$B$10*(($B$40*Mat_Sum!$E39)+($B$41*Mat_Sum!$D39)+($B$42*Mat_Sum!$L39)+($B$43*Mat_Sum!$I39)+($B$44*Mat_Sum!$F39)+($B$45*Mat_Sum!$AV39)+($B$46*Mat_Sum!$AR39)+($B$47*Mat_Sum!$AG39)+($B$48*((88%*Mat_Sum!$AG39)+(12%*0)))+($B$49*Mat_Sum!$CF39)+($B$50*Mat_Sum!$AN39)+($B$51*'C.Iron'!$I86)+($B$52*((80%*Mat_Sum!$U39)+(20%*Mat_Sum!$BA39)))+($B$53*Mat_Sum!$AW39)+($B$54*Mat_Sum!$AS39)+($B$55*Mat_Sum!$CQ39)+($B$56*Mat_Sum!$AQ39)+($B$57*Mat_Sum!$AO39)+($B$58*Mat_Sum!$AP39)+($B$59*Mat_Sum!$BJ39)+($B$60*Mat_Sum!$BI39)+($B$61*Mat_Sum!$AR39)+($B$62*0)+($B$63*Mat_Sum!$CF39)+($B$64*Mat_Sum!$BG39)+($B$65*Mat_Sum!$BI39)+($B$66*Mat_Sum!$U39)+($B$67*Mat_Sum!$BA39)+($B$68*Mat_Sum!$CP39)+($B$69*0)+($B$70*Mat_Sum!$AZ39)+($B$71*Mat_Sum!$AM39)+($B$72*0)))+($B$202*(($B$211*Mat_Sum!$D39)+($B$212*Mat_Sum!$BG39)+($B$213*Mat_Sum!$AV39)))</f>
        <v>24.284647925433617</v>
      </c>
      <c r="D335" s="2136">
        <f ca="1" xml:space="preserve"> $A$6*$B$11*(($B$74*Mat_Sum!$D39)+($B$75*Mat_Sum!$L39)+($B$76*Mat_Sum!$I39)+($B$77*Mat_Sum!$F39)+($B$78*Mat_Sum!$AV39)+($B$79*Mat_Sum!$AR39)+($B$80*Mat_Sum!$AG39)+($B$81*Mat_Sum!$AG39)+($B$82*Mat_Sum!$F39)+($B$83*0))</f>
        <v>4.7952172485727997</v>
      </c>
      <c r="E335" s="2136">
        <f ca="1" xml:space="preserve"> ($A$6*$B$12*(($B$85*Mat_Sum!$D39)+($B$86*Mat_Sum!$F39)+($B$87*Mat_Sum!$L39)+($B$88*Mat_Sum!$I39)+($B$89*Mat_Sum!$AV39)+($B$90*Mat_Sum!$AR39)+($B$91*Mat_Sum!$AG39)+($B$92*Mat_Sum!$AG39)+($B$93*Mat_Sum!$F39)+($B$94*0)))+($C$187*$B$187*$B$192*(($B$197*Mat_Sum!$D39)+($A$197*Mat_Sum!$AV39)))+($C$188*$B$188*$B$193*(($B$197*Mat_Sum!$D39)+($A$197*Mat_Sum!$AV39)))</f>
        <v>79.581548952776231</v>
      </c>
      <c r="F335" s="2136">
        <f ca="1" xml:space="preserve"> $A$6*$B$13*(($B$96*Mat_Sum!$D39)+($B$97*Mat_Sum!$L39)+($B$98*Mat_Sum!$AG39)+($B$99*0))</f>
        <v>0</v>
      </c>
      <c r="G335" s="2136">
        <f ca="1" xml:space="preserve"> $A$6*$B$14*(($B$101*Mat_Sum!$D39)+($B$102*Mat_Sum!$L39)+($B$103*Mat_Sum!$AG39)+($B$104*0))</f>
        <v>0</v>
      </c>
      <c r="H335" s="2136">
        <f ca="1" xml:space="preserve"> $A$6*$B$15*(($B$106*Mat_Sum!$D39)+($B$107*Mat_Sum!$L39)+($B$108*Mat_Sum!$AG39)+($B$109*Mat_Sum!$AV39)+($B$110*Mat_Sum!$AR39)+($B$111*0))</f>
        <v>0</v>
      </c>
      <c r="I335" s="2136">
        <f ca="1" xml:space="preserve"> $A$6*$B$17*(($B$113*Mat_Sum!$E39)+($B$114*Mat_Sum!$D39)+($B$115*Mat_Sum!$F39)+($B$116*Mat_Sum!$L39)+($B$117*Mat_Sum!$I39)+($B$118*0)+($B$119*Mat_Sum!$AV39)+($B$120*Mat_Sum!$AR39)+($B$121*Mat_Sum!$AG39)+($B$122*Mat_Sum!$AG39)+($B$123*Mat_Sum!$AN39)+($B$124*0)+($B$125*Mat_Sum!$E39)+($B$126*0))</f>
        <v>0</v>
      </c>
      <c r="J335" s="2136">
        <f ca="1">$A$6*$B$16*(($B$128*Mat_Sum!$AU39)+($B$129*Mat_Sum!$D39)+($B$130*Mat_Sum!$E39)+($B$131*Mat_Sum!$AS39)+($B$132*Mat_Sum!$I39)+($B$133*Mat_Sum!$AG39)+($B$134*Mat_Sum!$AQ39)+($B$135*Mat_Sum!$AO39)+($B$136*0))</f>
        <v>0</v>
      </c>
      <c r="K335" s="2406">
        <f ca="1" xml:space="preserve"> $A$6*$B$19*$B$138*Mat_Sum!$D39</f>
        <v>0</v>
      </c>
      <c r="L335" s="2223">
        <f t="shared" ca="1" si="6"/>
        <v>0.25519699607308022</v>
      </c>
      <c r="M335" s="2218">
        <f t="shared" ca="1" si="6"/>
        <v>0.1664553960531652</v>
      </c>
      <c r="N335" s="2218">
        <f t="shared" ca="1" si="6"/>
        <v>3.2868081461300505E-2</v>
      </c>
      <c r="O335" s="2218">
        <f t="shared" ca="1" si="6"/>
        <v>0.54547952641245434</v>
      </c>
      <c r="P335" s="2218">
        <f t="shared" ca="1" si="6"/>
        <v>0</v>
      </c>
      <c r="Q335" s="2218">
        <f t="shared" ca="1" si="6"/>
        <v>0</v>
      </c>
      <c r="R335" s="2218">
        <f t="shared" ca="1" si="6"/>
        <v>0</v>
      </c>
      <c r="S335" s="2218">
        <f t="shared" ca="1" si="6"/>
        <v>0</v>
      </c>
      <c r="T335" s="2218">
        <f t="shared" ca="1" si="6"/>
        <v>0</v>
      </c>
      <c r="U335" s="2224">
        <f t="shared" ca="1" si="6"/>
        <v>0</v>
      </c>
      <c r="AI335" s="2299"/>
      <c r="AJ335" s="2299"/>
      <c r="AK335" s="2299"/>
      <c r="AL335" s="2299"/>
      <c r="AM335" s="2299"/>
      <c r="AN335" s="2299"/>
      <c r="AO335" s="2299"/>
      <c r="AP335" s="2299"/>
      <c r="AQ335" s="2299"/>
      <c r="AR335" s="2299"/>
    </row>
    <row r="336" spans="1:44" ht="15.75">
      <c r="A336" s="2093" t="s">
        <v>2544</v>
      </c>
      <c r="B336" s="2151">
        <f ca="1">($A$6*$B$18*(($B$24*Mat_Sum!$D40)+($B$25*Mat_Sum!$E40)+($B$26*Mat_Sum!$I40)+($B$27*Mat_Sum!$L40)+($B$28*Mat_Sum!$AR40)+($B$29*Mat_Sum!$AV40)+($B$30*Mat_Sum!$AS40)+($B$31*Mat_Sum!$AM40)+($B$32*Mat_Sum!$AG40)+($B$33*0)+($B$34*0)+($B$35*0)+($B$36*Mat_Sum!$CF40)+($B$37*Silicon!$K97)+($B$38*0)))+($B$201*(($B$207*Mat_Sum!$D40)+($B$208*Mat_Sum!$AV40)+($B$209*Mat_Sum!$AR40)))</f>
        <v>31.973958819307249</v>
      </c>
      <c r="C336" s="2136">
        <f ca="1">($A$6*$B$10*(($B$40*Mat_Sum!$E40)+($B$41*Mat_Sum!$D40)+($B$42*Mat_Sum!$L40)+($B$43*Mat_Sum!$I40)+($B$44*Mat_Sum!$F40)+($B$45*Mat_Sum!$AV40)+($B$46*Mat_Sum!$AR40)+($B$47*Mat_Sum!$AG40)+($B$48*((88%*Mat_Sum!$AG40)+(12%*0)))+($B$49*Mat_Sum!$CF40)+($B$50*Mat_Sum!$AN40)+($B$51*'C.Iron'!$I87)+($B$52*((80%*Mat_Sum!$U40)+(20%*Mat_Sum!$BA40)))+($B$53*Mat_Sum!$AW40)+($B$54*Mat_Sum!$AS40)+($B$55*Mat_Sum!$CQ40)+($B$56*Mat_Sum!$AQ40)+($B$57*Mat_Sum!$AO40)+($B$58*Mat_Sum!$AP40)+($B$59*Mat_Sum!$BJ40)+($B$60*Mat_Sum!$BI40)+($B$61*Mat_Sum!$AR40)+($B$62*0)+($B$63*Mat_Sum!$CF40)+($B$64*Mat_Sum!$BG40)+($B$65*Mat_Sum!$BI40)+($B$66*Mat_Sum!$U40)+($B$67*Mat_Sum!$BA40)+($B$68*Mat_Sum!$CP40)+($B$69*0)+($B$70*Mat_Sum!$AZ40)+($B$71*Mat_Sum!$AM40)+($B$72*0)))+($B$202*(($B$211*Mat_Sum!$D40)+($B$212*Mat_Sum!$BG40)+($B$213*Mat_Sum!$AV40)))</f>
        <v>20.859574518632947</v>
      </c>
      <c r="D336" s="2136">
        <f ca="1" xml:space="preserve"> $A$6*$B$11*(($B$74*Mat_Sum!$D40)+($B$75*Mat_Sum!$L40)+($B$76*Mat_Sum!$I40)+($B$77*Mat_Sum!$F40)+($B$78*Mat_Sum!$AV40)+($B$79*Mat_Sum!$AR40)+($B$80*Mat_Sum!$AG40)+($B$81*Mat_Sum!$AG40)+($B$82*Mat_Sum!$F40)+($B$83*0))</f>
        <v>4.1953075411997807</v>
      </c>
      <c r="E336" s="2136">
        <f ca="1" xml:space="preserve"> ($A$6*$B$12*(($B$85*Mat_Sum!$D40)+($B$86*Mat_Sum!$F40)+($B$87*Mat_Sum!$L40)+($B$88*Mat_Sum!$I40)+($B$89*Mat_Sum!$AV40)+($B$90*Mat_Sum!$AR40)+($B$91*Mat_Sum!$AG40)+($B$92*Mat_Sum!$AG40)+($B$93*Mat_Sum!$F40)+($B$94*0)))+($C$187*$B$187*$B$192*(($B$197*Mat_Sum!$D40)+($A$197*Mat_Sum!$AV40)))+($C$188*$B$188*$B$193*(($B$197*Mat_Sum!$D40)+($A$197*Mat_Sum!$AV40)))</f>
        <v>69.8686529416903</v>
      </c>
      <c r="F336" s="2136">
        <f ca="1" xml:space="preserve"> $A$6*$B$13*(($B$96*Mat_Sum!$D40)+($B$97*Mat_Sum!$L40)+($B$98*Mat_Sum!$AG40)+($B$99*0))</f>
        <v>0</v>
      </c>
      <c r="G336" s="2136">
        <f ca="1" xml:space="preserve"> $A$6*$B$14*(($B$101*Mat_Sum!$D40)+($B$102*Mat_Sum!$L40)+($B$103*Mat_Sum!$AG40)+($B$104*0))</f>
        <v>0</v>
      </c>
      <c r="H336" s="2136">
        <f ca="1" xml:space="preserve"> $A$6*$B$15*(($B$106*Mat_Sum!$D40)+($B$107*Mat_Sum!$L40)+($B$108*Mat_Sum!$AG40)+($B$109*Mat_Sum!$AV40)+($B$110*Mat_Sum!$AR40)+($B$111*0))</f>
        <v>0</v>
      </c>
      <c r="I336" s="2136">
        <f ca="1" xml:space="preserve"> $A$6*$B$17*(($B$113*Mat_Sum!$E40)+($B$114*Mat_Sum!$D40)+($B$115*Mat_Sum!$F40)+($B$116*Mat_Sum!$L40)+($B$117*Mat_Sum!$I40)+($B$118*0)+($B$119*Mat_Sum!$AV40)+($B$120*Mat_Sum!$AR40)+($B$121*Mat_Sum!$AG40)+($B$122*Mat_Sum!$AG40)+($B$123*Mat_Sum!$AN40)+($B$124*0)+($B$125*Mat_Sum!$E40)+($B$126*0))</f>
        <v>0</v>
      </c>
      <c r="J336" s="2136">
        <f ca="1">$A$6*$B$16*(($B$128*Mat_Sum!$AU40)+($B$129*Mat_Sum!$D40)+($B$130*Mat_Sum!$E40)+($B$131*Mat_Sum!$AS40)+($B$132*Mat_Sum!$I40)+($B$133*Mat_Sum!$AG40)+($B$134*Mat_Sum!$AQ40)+($B$135*Mat_Sum!$AO40)+($B$136*0))</f>
        <v>0</v>
      </c>
      <c r="K336" s="2406">
        <f ca="1" xml:space="preserve"> $A$6*$B$19*$B$138*Mat_Sum!$D40</f>
        <v>0</v>
      </c>
      <c r="L336" s="2223">
        <f t="shared" ca="1" si="6"/>
        <v>0.25196682658250186</v>
      </c>
      <c r="M336" s="2218">
        <f t="shared" ca="1" si="6"/>
        <v>0.16438129619868688</v>
      </c>
      <c r="N336" s="2218">
        <f t="shared" ca="1" si="6"/>
        <v>3.3060602025152985E-2</v>
      </c>
      <c r="O336" s="2218">
        <f t="shared" ca="1" si="6"/>
        <v>0.55059127519365803</v>
      </c>
      <c r="P336" s="2218">
        <f t="shared" ca="1" si="6"/>
        <v>0</v>
      </c>
      <c r="Q336" s="2218">
        <f t="shared" ca="1" si="6"/>
        <v>0</v>
      </c>
      <c r="R336" s="2218">
        <f t="shared" ca="1" si="6"/>
        <v>0</v>
      </c>
      <c r="S336" s="2218">
        <f t="shared" ca="1" si="6"/>
        <v>0</v>
      </c>
      <c r="T336" s="2218">
        <f t="shared" ca="1" si="6"/>
        <v>0</v>
      </c>
      <c r="U336" s="2224">
        <f t="shared" ca="1" si="6"/>
        <v>0</v>
      </c>
      <c r="AI336" s="2299"/>
      <c r="AJ336" s="2299"/>
      <c r="AK336" s="2299"/>
      <c r="AL336" s="2299"/>
      <c r="AM336" s="2299"/>
      <c r="AN336" s="2299"/>
      <c r="AO336" s="2299"/>
      <c r="AP336" s="2299"/>
      <c r="AQ336" s="2299"/>
      <c r="AR336" s="2299"/>
    </row>
    <row r="337" spans="1:44" ht="15.75">
      <c r="A337" s="2093" t="s">
        <v>2545</v>
      </c>
      <c r="B337" s="2151">
        <f ca="1">($A$6*$B$18*(($B$24*Mat_Sum!$D41)+($B$25*Mat_Sum!$E41)+($B$26*Mat_Sum!$I41)+($B$27*Mat_Sum!$L41)+($B$28*Mat_Sum!$AR41)+($B$29*Mat_Sum!$AV41)+($B$30*Mat_Sum!$AS41)+($B$31*Mat_Sum!$AM41)+($B$32*Mat_Sum!$AG41)+($B$33*0)+($B$34*0)+($B$35*0)+($B$36*Mat_Sum!$CF41)+($B$37*Silicon!$K98)+($B$38*0)))+($B$201*(($B$207*Mat_Sum!$D41)+($B$208*Mat_Sum!$AV41)+($B$209*Mat_Sum!$AR41)))</f>
        <v>347.16985717338656</v>
      </c>
      <c r="C337" s="2136">
        <f ca="1">($A$6*$B$10*(($B$40*Mat_Sum!$E41)+($B$41*Mat_Sum!$D41)+($B$42*Mat_Sum!$L41)+($B$43*Mat_Sum!$I41)+($B$44*Mat_Sum!$F41)+($B$45*Mat_Sum!$AV41)+($B$46*Mat_Sum!$AR41)+($B$47*Mat_Sum!$AG41)+($B$48*((88%*Mat_Sum!$AG41)+(12%*0)))+($B$49*Mat_Sum!$CF41)+($B$50*Mat_Sum!$AN41)+($B$51*'C.Iron'!$I88)+($B$52*((80%*Mat_Sum!$U41)+(20%*Mat_Sum!$BA41)))+($B$53*Mat_Sum!$AW41)+($B$54*Mat_Sum!$AS41)+($B$55*Mat_Sum!$CQ41)+($B$56*Mat_Sum!$AQ41)+($B$57*Mat_Sum!$AO41)+($B$58*Mat_Sum!$AP41)+($B$59*Mat_Sum!$BJ41)+($B$60*Mat_Sum!$BI41)+($B$61*Mat_Sum!$AR41)+($B$62*0)+($B$63*Mat_Sum!$CF41)+($B$64*Mat_Sum!$BG41)+($B$65*Mat_Sum!$BI41)+($B$66*Mat_Sum!$U41)+($B$67*Mat_Sum!$BA41)+($B$68*Mat_Sum!$CP41)+($B$69*0)+($B$70*Mat_Sum!$AZ41)+($B$71*Mat_Sum!$AM41)+($B$72*0)))+($B$202*(($B$211*Mat_Sum!$D41)+($B$212*Mat_Sum!$BG41)+($B$213*Mat_Sum!$AV41)))</f>
        <v>211.46050055380624</v>
      </c>
      <c r="D337" s="2136">
        <f ca="1" xml:space="preserve"> $A$6*$B$11*(($B$74*Mat_Sum!$D41)+($B$75*Mat_Sum!$L41)+($B$76*Mat_Sum!$I41)+($B$77*Mat_Sum!$F41)+($B$78*Mat_Sum!$AV41)+($B$79*Mat_Sum!$AR41)+($B$80*Mat_Sum!$AG41)+($B$81*Mat_Sum!$AG41)+($B$82*Mat_Sum!$F41)+($B$83*0))</f>
        <v>39.34076593030175</v>
      </c>
      <c r="E337" s="2136">
        <f ca="1" xml:space="preserve"> ($A$6*$B$12*(($B$85*Mat_Sum!$D41)+($B$86*Mat_Sum!$F41)+($B$87*Mat_Sum!$L41)+($B$88*Mat_Sum!$I41)+($B$89*Mat_Sum!$AV41)+($B$90*Mat_Sum!$AR41)+($B$91*Mat_Sum!$AG41)+($B$92*Mat_Sum!$AG41)+($B$93*Mat_Sum!$F41)+($B$94*0)))+($C$187*$B$187*$B$192*(($B$197*Mat_Sum!$D41)+($A$197*Mat_Sum!$AV41)))+($C$188*$B$188*$B$193*(($B$197*Mat_Sum!$D41)+($A$197*Mat_Sum!$AV41)))</f>
        <v>534.09087444355544</v>
      </c>
      <c r="F337" s="2136">
        <f ca="1" xml:space="preserve"> $A$6*$B$13*(($B$96*Mat_Sum!$D41)+($B$97*Mat_Sum!$L41)+($B$98*Mat_Sum!$AG41)+($B$99*0))</f>
        <v>0</v>
      </c>
      <c r="G337" s="2136">
        <f ca="1" xml:space="preserve"> $A$6*$B$14*(($B$101*Mat_Sum!$D41)+($B$102*Mat_Sum!$L41)+($B$103*Mat_Sum!$AG41)+($B$104*0))</f>
        <v>0</v>
      </c>
      <c r="H337" s="2136">
        <f ca="1" xml:space="preserve"> $A$6*$B$15*(($B$106*Mat_Sum!$D41)+($B$107*Mat_Sum!$L41)+($B$108*Mat_Sum!$AG41)+($B$109*Mat_Sum!$AV41)+($B$110*Mat_Sum!$AR41)+($B$111*0))</f>
        <v>0</v>
      </c>
      <c r="I337" s="2136">
        <f ca="1" xml:space="preserve"> $A$6*$B$17*(($B$113*Mat_Sum!$E41)+($B$114*Mat_Sum!$D41)+($B$115*Mat_Sum!$F41)+($B$116*Mat_Sum!$L41)+($B$117*Mat_Sum!$I41)+($B$118*0)+($B$119*Mat_Sum!$AV41)+($B$120*Mat_Sum!$AR41)+($B$121*Mat_Sum!$AG41)+($B$122*Mat_Sum!$AG41)+($B$123*Mat_Sum!$AN41)+($B$124*0)+($B$125*Mat_Sum!$E41)+($B$126*0))</f>
        <v>0</v>
      </c>
      <c r="J337" s="2136">
        <f ca="1">$A$6*$B$16*(($B$128*Mat_Sum!$AU41)+($B$129*Mat_Sum!$D41)+($B$130*Mat_Sum!$E41)+($B$131*Mat_Sum!$AS41)+($B$132*Mat_Sum!$I41)+($B$133*Mat_Sum!$AG41)+($B$134*Mat_Sum!$AQ41)+($B$135*Mat_Sum!$AO41)+($B$136*0))</f>
        <v>0</v>
      </c>
      <c r="K337" s="2406">
        <f ca="1" xml:space="preserve"> $A$6*$B$19*$B$138*Mat_Sum!$D41</f>
        <v>0</v>
      </c>
      <c r="L337" s="2223">
        <f t="shared" ca="1" si="6"/>
        <v>0.30667035706148443</v>
      </c>
      <c r="M337" s="2218">
        <f t="shared" ca="1" si="6"/>
        <v>0.18679233196460573</v>
      </c>
      <c r="N337" s="2218">
        <f t="shared" ca="1" si="6"/>
        <v>3.4751423505331829E-2</v>
      </c>
      <c r="O337" s="2218">
        <f t="shared" ca="1" si="6"/>
        <v>0.4717858874685778</v>
      </c>
      <c r="P337" s="2218">
        <f t="shared" ca="1" si="6"/>
        <v>0</v>
      </c>
      <c r="Q337" s="2218">
        <f t="shared" ca="1" si="6"/>
        <v>0</v>
      </c>
      <c r="R337" s="2218">
        <f t="shared" ca="1" si="6"/>
        <v>0</v>
      </c>
      <c r="S337" s="2218">
        <f t="shared" ca="1" si="6"/>
        <v>0</v>
      </c>
      <c r="T337" s="2218">
        <f t="shared" ca="1" si="6"/>
        <v>0</v>
      </c>
      <c r="U337" s="2224">
        <f t="shared" ca="1" si="6"/>
        <v>0</v>
      </c>
      <c r="AI337" s="2299"/>
      <c r="AJ337" s="2299"/>
      <c r="AK337" s="2299"/>
      <c r="AL337" s="2299"/>
      <c r="AM337" s="2299"/>
      <c r="AN337" s="2299"/>
      <c r="AO337" s="2299"/>
      <c r="AP337" s="2299"/>
      <c r="AQ337" s="2299"/>
      <c r="AR337" s="2299"/>
    </row>
    <row r="338" spans="1:44">
      <c r="A338" s="2093" t="s">
        <v>827</v>
      </c>
      <c r="B338" s="2151">
        <f ca="1">($A$6*$B$18*(($B$24*Mat_Sum!$D42)+($B$25*Mat_Sum!$E42)+($B$26*Mat_Sum!$I42)+($B$27*Mat_Sum!$L42)+($B$28*Mat_Sum!$AR42)+($B$29*Mat_Sum!$AV42)+($B$30*Mat_Sum!$AS42)+($B$31*Mat_Sum!$AM42)+($B$32*Mat_Sum!$AG42)+($B$33*0)+($B$34*0)+($B$35*0)+($B$36*Mat_Sum!$CF42)+($B$37*Silicon!$K99)+($B$38*0)))+($B$201*(($B$207*Mat_Sum!$D42)+($B$208*Mat_Sum!$AV42)+($B$209*Mat_Sum!$AR42)))</f>
        <v>1.8336341444798705</v>
      </c>
      <c r="C338" s="2136">
        <f ca="1">($A$6*$B$10*(($B$40*Mat_Sum!$E42)+($B$41*Mat_Sum!$D42)+($B$42*Mat_Sum!$L42)+($B$43*Mat_Sum!$I42)+($B$44*Mat_Sum!$F42)+($B$45*Mat_Sum!$AV42)+($B$46*Mat_Sum!$AR42)+($B$47*Mat_Sum!$AG42)+($B$48*((88%*Mat_Sum!$AG42)+(12%*0)))+($B$49*Mat_Sum!$CF42)+($B$50*Mat_Sum!$AN42)+($B$51*'C.Iron'!$I89)+($B$52*((80%*Mat_Sum!$U42)+(20%*Mat_Sum!$BA42)))+($B$53*Mat_Sum!$AW42)+($B$54*Mat_Sum!$AS42)+($B$55*Mat_Sum!$CQ42)+($B$56*Mat_Sum!$AQ42)+($B$57*Mat_Sum!$AO42)+($B$58*Mat_Sum!$AP42)+($B$59*Mat_Sum!$BJ42)+($B$60*Mat_Sum!$BI42)+($B$61*Mat_Sum!$AR42)+($B$62*0)+($B$63*Mat_Sum!$CF42)+($B$64*Mat_Sum!$BG42)+($B$65*Mat_Sum!$BI42)+($B$66*Mat_Sum!$U42)+($B$67*Mat_Sum!$BA42)+($B$68*Mat_Sum!$CP42)+($B$69*0)+($B$70*Mat_Sum!$AZ42)+($B$71*Mat_Sum!$AM42)+($B$72*0)))+($B$202*(($B$211*Mat_Sum!$D42)+($B$212*Mat_Sum!$BG42)+($B$213*Mat_Sum!$AV42)))</f>
        <v>1.1521747757414544</v>
      </c>
      <c r="D338" s="2136">
        <f ca="1" xml:space="preserve"> $A$6*$B$11*(($B$74*Mat_Sum!$D42)+($B$75*Mat_Sum!$L42)+($B$76*Mat_Sum!$I42)+($B$77*Mat_Sum!$F42)+($B$78*Mat_Sum!$AV42)+($B$79*Mat_Sum!$AR42)+($B$80*Mat_Sum!$AG42)+($B$81*Mat_Sum!$AG42)+($B$82*Mat_Sum!$F42)+($B$83*0))</f>
        <v>0.23023578074258053</v>
      </c>
      <c r="E338" s="2136">
        <f ca="1" xml:space="preserve"> ($A$6*$B$12*(($B$85*Mat_Sum!$D42)+($B$86*Mat_Sum!$F42)+($B$87*Mat_Sum!$L42)+($B$88*Mat_Sum!$I42)+($B$89*Mat_Sum!$AV42)+($B$90*Mat_Sum!$AR42)+($B$91*Mat_Sum!$AG42)+($B$92*Mat_Sum!$AG42)+($B$93*Mat_Sum!$F42)+($B$94*0)))+($C$187*$B$187*$B$192*(($B$197*Mat_Sum!$D42)+($A$197*Mat_Sum!$AV42)))+($C$188*$B$188*$B$193*(($B$197*Mat_Sum!$D42)+($A$197*Mat_Sum!$AV42)))</f>
        <v>4.3690393088336439</v>
      </c>
      <c r="F338" s="2136">
        <f ca="1" xml:space="preserve"> $A$6*$B$13*(($B$96*Mat_Sum!$D42)+($B$97*Mat_Sum!$L42)+($B$98*Mat_Sum!$AG42)+($B$99*0))</f>
        <v>0</v>
      </c>
      <c r="G338" s="2136">
        <f ca="1" xml:space="preserve"> $A$6*$B$14*(($B$101*Mat_Sum!$D42)+($B$102*Mat_Sum!$L42)+($B$103*Mat_Sum!$AG42)+($B$104*0))</f>
        <v>0</v>
      </c>
      <c r="H338" s="2136">
        <f ca="1" xml:space="preserve"> $A$6*$B$15*(($B$106*Mat_Sum!$D42)+($B$107*Mat_Sum!$L42)+($B$108*Mat_Sum!$AG42)+($B$109*Mat_Sum!$AV42)+($B$110*Mat_Sum!$AR42)+($B$111*0))</f>
        <v>0</v>
      </c>
      <c r="I338" s="2136">
        <f ca="1" xml:space="preserve"> $A$6*$B$17*(($B$113*Mat_Sum!$E42)+($B$114*Mat_Sum!$D42)+($B$115*Mat_Sum!$F42)+($B$116*Mat_Sum!$L42)+($B$117*Mat_Sum!$I42)+($B$118*0)+($B$119*Mat_Sum!$AV42)+($B$120*Mat_Sum!$AR42)+($B$121*Mat_Sum!$AG42)+($B$122*Mat_Sum!$AG42)+($B$123*Mat_Sum!$AN42)+($B$124*0)+($B$125*Mat_Sum!$E42)+($B$126*0))</f>
        <v>0</v>
      </c>
      <c r="J338" s="2136">
        <f ca="1">$A$6*$B$16*(($B$128*Mat_Sum!$AU42)+($B$129*Mat_Sum!$D42)+($B$130*Mat_Sum!$E42)+($B$131*Mat_Sum!$AS42)+($B$132*Mat_Sum!$I42)+($B$133*Mat_Sum!$AG42)+($B$134*Mat_Sum!$AQ42)+($B$135*Mat_Sum!$AO42)+($B$136*0))</f>
        <v>0</v>
      </c>
      <c r="K338" s="2406">
        <f ca="1" xml:space="preserve"> $A$6*$B$19*$B$138*Mat_Sum!$D42</f>
        <v>0</v>
      </c>
      <c r="L338" s="2223">
        <f t="shared" ca="1" si="6"/>
        <v>0.24174210095911794</v>
      </c>
      <c r="M338" s="2218">
        <f t="shared" ca="1" si="6"/>
        <v>0.15190006785069299</v>
      </c>
      <c r="N338" s="2218">
        <f t="shared" ca="1" si="6"/>
        <v>3.0353754875382801E-2</v>
      </c>
      <c r="O338" s="2218">
        <f t="shared" ca="1" si="6"/>
        <v>0.5760040763148061</v>
      </c>
      <c r="P338" s="2218">
        <f t="shared" ca="1" si="6"/>
        <v>0</v>
      </c>
      <c r="Q338" s="2218">
        <f t="shared" ca="1" si="6"/>
        <v>0</v>
      </c>
      <c r="R338" s="2218">
        <f t="shared" ca="1" si="6"/>
        <v>0</v>
      </c>
      <c r="S338" s="2218">
        <f t="shared" ca="1" si="6"/>
        <v>0</v>
      </c>
      <c r="T338" s="2218">
        <f t="shared" ca="1" si="6"/>
        <v>0</v>
      </c>
      <c r="U338" s="2224">
        <f t="shared" ca="1" si="6"/>
        <v>0</v>
      </c>
      <c r="AI338" s="2299"/>
      <c r="AJ338" s="2299"/>
      <c r="AK338" s="2299"/>
      <c r="AL338" s="2299"/>
      <c r="AM338" s="2299"/>
      <c r="AN338" s="2299"/>
      <c r="AO338" s="2299"/>
      <c r="AP338" s="2299"/>
      <c r="AQ338" s="2299"/>
      <c r="AR338" s="2299"/>
    </row>
    <row r="339" spans="1:44">
      <c r="A339" s="2142" t="s">
        <v>828</v>
      </c>
      <c r="B339" s="2159">
        <f ca="1">($A$6*$B$18*(($B$24*Mat_Sum!$D43)+($B$25*Mat_Sum!$E43)+($B$26*Mat_Sum!$I43)+($B$27*Mat_Sum!$L43)+($B$28*Mat_Sum!$AR43)+($B$29*Mat_Sum!$AV43)+($B$30*Mat_Sum!$AS43)+($B$31*Mat_Sum!$AM43)+($B$32*Mat_Sum!$AG43)+($B$33*0)+($B$34*0)+($B$35*0)+($B$36*Mat_Sum!$CF43)+($B$37*Silicon!$K100)+($B$38*0)))+($B$201*(($B$207*Mat_Sum!$D43)+($B$208*Mat_Sum!$AV43)+($B$209*Mat_Sum!$AR43)))</f>
        <v>7.098604219423466</v>
      </c>
      <c r="C339" s="2242">
        <f ca="1">($A$6*$B$10*(($B$40*Mat_Sum!$E43)+($B$41*Mat_Sum!$D43)+($B$42*Mat_Sum!$L43)+($B$43*Mat_Sum!$I43)+($B$44*Mat_Sum!$F43)+($B$45*Mat_Sum!$AV43)+($B$46*Mat_Sum!$AR43)+($B$47*Mat_Sum!$AG43)+($B$48*((88%*Mat_Sum!$AG43)+(12%*0)))+($B$49*Mat_Sum!$CF43)+($B$50*Mat_Sum!$AN43)+($B$51*'C.Iron'!$I90)+($B$52*((80%*Mat_Sum!$U43)+(20%*Mat_Sum!$BA43)))+($B$53*Mat_Sum!$AW43)+($B$54*Mat_Sum!$AS43)+($B$55*Mat_Sum!$CQ43)+($B$56*Mat_Sum!$AQ43)+($B$57*Mat_Sum!$AO43)+($B$58*Mat_Sum!$AP43)+($B$59*Mat_Sum!$BJ43)+($B$60*Mat_Sum!$BI43)+($B$61*Mat_Sum!$AR43)+($B$62*0)+($B$63*Mat_Sum!$CF43)+($B$64*Mat_Sum!$BG43)+($B$65*Mat_Sum!$BI43)+($B$66*Mat_Sum!$U43)+($B$67*Mat_Sum!$BA43)+($B$68*Mat_Sum!$CP43)+($B$69*0)+($B$70*Mat_Sum!$AZ43)+($B$71*Mat_Sum!$AM43)+($B$72*0)))+($B$202*(($B$211*Mat_Sum!$D43)+($B$212*Mat_Sum!$BG43)+($B$213*Mat_Sum!$AV43)))</f>
        <v>4.4180061552181655</v>
      </c>
      <c r="D339" s="2242">
        <f ca="1" xml:space="preserve"> $A$6*$B$11*(($B$74*Mat_Sum!$D43)+($B$75*Mat_Sum!$L43)+($B$76*Mat_Sum!$I43)+($B$77*Mat_Sum!$F43)+($B$78*Mat_Sum!$AV43)+($B$79*Mat_Sum!$AR43)+($B$80*Mat_Sum!$AG43)+($B$81*Mat_Sum!$AG43)+($B$82*Mat_Sum!$F43)+($B$83*0))</f>
        <v>1.1886974697734343</v>
      </c>
      <c r="E339" s="2242">
        <f ca="1" xml:space="preserve"> ($A$6*$B$12*(($B$85*Mat_Sum!$D43)+($B$86*Mat_Sum!$F43)+($B$87*Mat_Sum!$L43)+($B$88*Mat_Sum!$I43)+($B$89*Mat_Sum!$AV43)+($B$90*Mat_Sum!$AR43)+($B$91*Mat_Sum!$AG43)+($B$92*Mat_Sum!$AG43)+($B$93*Mat_Sum!$F43)+($B$94*0)))+($C$187*$B$187*$B$192*(($B$197*Mat_Sum!$D43)+($A$197*Mat_Sum!$AV43)))+($C$188*$B$188*$B$193*(($B$197*Mat_Sum!$D43)+($A$197*Mat_Sum!$AV43)))</f>
        <v>18.198991489501697</v>
      </c>
      <c r="F339" s="2242">
        <f ca="1" xml:space="preserve"> $A$6*$B$13*(($B$96*Mat_Sum!$D43)+($B$97*Mat_Sum!$L43)+($B$98*Mat_Sum!$AG43)+($B$99*0))</f>
        <v>0</v>
      </c>
      <c r="G339" s="2242">
        <f ca="1" xml:space="preserve"> $A$6*$B$14*(($B$101*Mat_Sum!$D43)+($B$102*Mat_Sum!$L43)+($B$103*Mat_Sum!$AG43)+($B$104*0))</f>
        <v>0</v>
      </c>
      <c r="H339" s="2242">
        <f ca="1" xml:space="preserve"> $A$6*$B$15*(($B$106*Mat_Sum!$D43)+($B$107*Mat_Sum!$L43)+($B$108*Mat_Sum!$AG43)+($B$109*Mat_Sum!$AV43)+($B$110*Mat_Sum!$AR43)+($B$111*0))</f>
        <v>0</v>
      </c>
      <c r="I339" s="2242">
        <f ca="1" xml:space="preserve"> $A$6*$B$17*(($B$113*Mat_Sum!$E43)+($B$114*Mat_Sum!$D43)+($B$115*Mat_Sum!$F43)+($B$116*Mat_Sum!$L43)+($B$117*Mat_Sum!$I43)+($B$118*0)+($B$119*Mat_Sum!$AV43)+($B$120*Mat_Sum!$AR43)+($B$121*Mat_Sum!$AG43)+($B$122*Mat_Sum!$AG43)+($B$123*Mat_Sum!$AN43)+($B$124*0)+($B$125*Mat_Sum!$E43)+($B$126*0))</f>
        <v>0</v>
      </c>
      <c r="J339" s="2242">
        <f ca="1">$A$6*$B$16*(($B$128*Mat_Sum!$AU43)+($B$129*Mat_Sum!$D43)+($B$130*Mat_Sum!$E43)+($B$131*Mat_Sum!$AS43)+($B$132*Mat_Sum!$I43)+($B$133*Mat_Sum!$AG43)+($B$134*Mat_Sum!$AQ43)+($B$135*Mat_Sum!$AO43)+($B$136*0))</f>
        <v>0</v>
      </c>
      <c r="K339" s="2413">
        <f ca="1" xml:space="preserve"> $A$6*$B$19*$B$138*Mat_Sum!$D43</f>
        <v>0</v>
      </c>
      <c r="L339" s="2184">
        <f t="shared" ca="1" si="6"/>
        <v>0.2296963326275096</v>
      </c>
      <c r="M339" s="2216">
        <f t="shared" ca="1" si="6"/>
        <v>0.14295765477425032</v>
      </c>
      <c r="N339" s="2216">
        <f t="shared" ca="1" si="6"/>
        <v>3.8463822037500983E-2</v>
      </c>
      <c r="O339" s="2216">
        <f t="shared" ca="1" si="6"/>
        <v>0.58888219056073943</v>
      </c>
      <c r="P339" s="2216">
        <f t="shared" ca="1" si="6"/>
        <v>0</v>
      </c>
      <c r="Q339" s="2216">
        <f t="shared" ca="1" si="6"/>
        <v>0</v>
      </c>
      <c r="R339" s="2216">
        <f t="shared" ca="1" si="6"/>
        <v>0</v>
      </c>
      <c r="S339" s="2216">
        <f t="shared" ca="1" si="6"/>
        <v>0</v>
      </c>
      <c r="T339" s="2216">
        <f t="shared" ca="1" si="6"/>
        <v>0</v>
      </c>
      <c r="U339" s="2217">
        <f t="shared" ca="1" si="6"/>
        <v>0</v>
      </c>
      <c r="AI339" s="2299"/>
      <c r="AJ339" s="2299"/>
      <c r="AK339" s="2299"/>
      <c r="AL339" s="2299"/>
      <c r="AM339" s="2299"/>
      <c r="AN339" s="2299"/>
      <c r="AO339" s="2299"/>
      <c r="AP339" s="2299"/>
      <c r="AQ339" s="2299"/>
      <c r="AR339" s="2299"/>
    </row>
    <row r="340" spans="1:44">
      <c r="AI340" s="2299"/>
      <c r="AJ340" s="2405"/>
      <c r="AK340" s="2405"/>
      <c r="AL340" s="2405"/>
      <c r="AM340" s="2405"/>
      <c r="AN340" s="2405"/>
      <c r="AO340" s="2405"/>
      <c r="AP340" s="2405"/>
      <c r="AQ340" s="2405"/>
      <c r="AR340" s="2405"/>
    </row>
    <row r="341" spans="1:44">
      <c r="A341" s="2083" t="s">
        <v>2581</v>
      </c>
      <c r="AI341" s="2405"/>
      <c r="AJ341" s="2405"/>
      <c r="AK341" s="2405"/>
      <c r="AL341" s="2405"/>
      <c r="AM341" s="2405"/>
      <c r="AN341" s="2405"/>
      <c r="AO341" s="2405"/>
      <c r="AP341" s="2405"/>
      <c r="AQ341" s="2405"/>
      <c r="AR341" s="2405"/>
    </row>
    <row r="342" spans="1:44">
      <c r="A342" s="2176"/>
      <c r="B342" s="3177" t="s">
        <v>1875</v>
      </c>
      <c r="C342" s="3178"/>
      <c r="D342" s="3178"/>
      <c r="E342" s="3178"/>
      <c r="F342" s="3178"/>
      <c r="G342" s="3178"/>
      <c r="H342" s="3178"/>
      <c r="I342" s="3178"/>
      <c r="J342" s="3178"/>
      <c r="K342" s="3179"/>
      <c r="L342" s="3177" t="s">
        <v>1876</v>
      </c>
      <c r="M342" s="3178"/>
      <c r="N342" s="3178"/>
      <c r="O342" s="3178"/>
      <c r="P342" s="3178"/>
      <c r="Q342" s="3178"/>
      <c r="R342" s="3178"/>
      <c r="S342" s="3178"/>
      <c r="T342" s="3178"/>
      <c r="U342" s="3179"/>
      <c r="AI342" s="2405"/>
      <c r="AJ342" s="2405"/>
      <c r="AK342" s="2405"/>
      <c r="AL342" s="2405"/>
      <c r="AM342" s="2405"/>
      <c r="AN342" s="2405"/>
      <c r="AO342" s="2405"/>
      <c r="AP342" s="2405"/>
      <c r="AQ342" s="2405"/>
      <c r="AR342" s="2405"/>
    </row>
    <row r="343" spans="1:44" ht="51">
      <c r="A343" s="2097"/>
      <c r="B343" s="2400" t="s">
        <v>250</v>
      </c>
      <c r="C343" s="2401" t="s">
        <v>182</v>
      </c>
      <c r="D343" s="2401" t="s">
        <v>183</v>
      </c>
      <c r="E343" s="2401" t="s">
        <v>184</v>
      </c>
      <c r="F343" s="2401" t="s">
        <v>185</v>
      </c>
      <c r="G343" s="2401" t="s">
        <v>186</v>
      </c>
      <c r="H343" s="2306" t="s">
        <v>187</v>
      </c>
      <c r="I343" s="2306" t="s">
        <v>2427</v>
      </c>
      <c r="J343" s="2401" t="s">
        <v>1860</v>
      </c>
      <c r="K343" s="2414" t="s">
        <v>2349</v>
      </c>
      <c r="L343" s="2400" t="s">
        <v>250</v>
      </c>
      <c r="M343" s="2401" t="s">
        <v>182</v>
      </c>
      <c r="N343" s="2401" t="s">
        <v>183</v>
      </c>
      <c r="O343" s="2401" t="s">
        <v>184</v>
      </c>
      <c r="P343" s="2401" t="s">
        <v>185</v>
      </c>
      <c r="Q343" s="2401" t="s">
        <v>186</v>
      </c>
      <c r="R343" s="2306" t="s">
        <v>187</v>
      </c>
      <c r="S343" s="2306" t="s">
        <v>2427</v>
      </c>
      <c r="T343" s="2401" t="s">
        <v>1860</v>
      </c>
      <c r="U343" s="2414" t="s">
        <v>2349</v>
      </c>
      <c r="AI343" s="2405"/>
      <c r="AJ343" s="2405"/>
      <c r="AK343" s="2405"/>
      <c r="AL343" s="2405"/>
      <c r="AM343" s="2405"/>
      <c r="AN343" s="2405"/>
      <c r="AO343" s="2405"/>
      <c r="AP343" s="2405"/>
      <c r="AQ343" s="2405"/>
      <c r="AR343" s="2405"/>
    </row>
    <row r="344" spans="1:44">
      <c r="A344" s="2177" t="s">
        <v>1877</v>
      </c>
      <c r="B344" s="2398"/>
      <c r="C344" s="2302"/>
      <c r="D344" s="2302"/>
      <c r="E344" s="2302"/>
      <c r="F344" s="2091"/>
      <c r="G344" s="2091"/>
      <c r="H344" s="2091"/>
      <c r="I344" s="2091"/>
      <c r="J344" s="2091"/>
      <c r="K344" s="2183"/>
      <c r="L344" s="2398"/>
      <c r="M344" s="2302"/>
      <c r="N344" s="2302"/>
      <c r="O344" s="2302"/>
      <c r="P344" s="2091"/>
      <c r="Q344" s="2091"/>
      <c r="R344" s="2091"/>
      <c r="S344" s="2091"/>
      <c r="T344" s="2091"/>
      <c r="U344" s="2183"/>
      <c r="AI344" s="2405"/>
      <c r="AJ344" s="2405"/>
      <c r="AK344" s="2405"/>
      <c r="AL344" s="2405"/>
      <c r="AM344" s="2405"/>
      <c r="AN344" s="2405"/>
      <c r="AO344" s="2405"/>
      <c r="AP344" s="2405"/>
      <c r="AQ344" s="2405"/>
      <c r="AR344" s="2405"/>
    </row>
    <row r="345" spans="1:44">
      <c r="A345" s="2096" t="s">
        <v>816</v>
      </c>
      <c r="B345" s="2151">
        <f ca="1">($B$6*$C$18*(($C$24*Mat_Sum!$D15)+($C$25*Mat_Sum!$E15)+($C$26*Mat_Sum!$I15)+($C$27*Mat_Sum!$L15)+($C$28*Mat_Sum!$AR15)+($C$29*Mat_Sum!$AV15)+($C$30*Mat_Sum!$AS15)+($C$31*Mat_Sum!$AM15)+($C$32*Mat_Sum!$AG15)+($C$33*0)+($C$34*0)+($C$35*0)+($C$36*Mat_Sum!$CF15)+($C$37*Silicon!$K72)+($C$38*0)))+($C$201*(($C$207*Mat_Sum!$D15)+($C$208*Mat_Sum!$AV15)+($C$209*Mat_Sum!$AR15)))</f>
        <v>80.289988790155903</v>
      </c>
      <c r="C345" s="2136">
        <f ca="1">($B$6*$C$10*(($C$40*Mat_Sum!$E15)+($C$41*Mat_Sum!$D15)+($C$42*Mat_Sum!$L15)+($C$43*Mat_Sum!$I15)+($C$44*Mat_Sum!$F15)+($C$45*Mat_Sum!$AV15)+($C$46*Mat_Sum!$AR15)+($C$47*Mat_Sum!$AG15)+($C$48*((88%*Mat_Sum!$AG15)+(12%*0)))+($C$49*Mat_Sum!$CF15)+($C$50*Mat_Sum!$AN15)+($C$51*'C.Iron'!$I62)+($C$52*((80%*Mat_Sum!$U15)+(20%*Mat_Sum!$BA15)))+($C$53*Mat_Sum!$AW15)+($C$54*Mat_Sum!$AS15)+($C$55*Mat_Sum!$CQ15)+($C$56*Mat_Sum!$AQ15)+($C$57*Mat_Sum!$AO15)+($C$58*Mat_Sum!$AP15)+($C$59*Mat_Sum!$BJ15)+($C$60*Mat_Sum!$BI15)+($C$61*Mat_Sum!$AR15)+($C$62*0)+($C$63*Mat_Sum!$CF15)+($C$64*Mat_Sum!$BG15)+($C$65*Mat_Sum!$BI15)+($C$66*Mat_Sum!$U15)+($C$67*Mat_Sum!$BA15)+($C$68*Mat_Sum!$CP15)+($C$69*0)+($C$70*Mat_Sum!$AZ15)+($C$71*Mat_Sum!$AM15)+($C$72*0)))+($C$202*(($C$211*Mat_Sum!$D15)+($C$212*Mat_Sum!$BG15)+($C$213*Mat_Sum!$AV15)))</f>
        <v>54.936779969218854</v>
      </c>
      <c r="D345" s="2136">
        <f ca="1" xml:space="preserve"> $B$6*$C$11*(($C$74*Mat_Sum!$D15)+($C$75*Mat_Sum!$L15)+($C$76*Mat_Sum!$I15)+($C$77*Mat_Sum!$F15)+($C$78*Mat_Sum!$AV15)+($C$79*Mat_Sum!$AR15)+($C$80*Mat_Sum!$AG15)+($C$81*Mat_Sum!$AG15)+($C$82*Mat_Sum!$F15)+($C$83*0))</f>
        <v>12.960474127168428</v>
      </c>
      <c r="E345" s="2136">
        <f ca="1" xml:space="preserve"> $B$6*$C$12*(($C$85*Mat_Sum!$D15)+($C$86*Mat_Sum!$F15)+($C$87*Mat_Sum!$L15)+($C$88*Mat_Sum!$I15)+($C$89*Mat_Sum!$AV15)+($C$90*Mat_Sum!$AR15)+($C$91*Mat_Sum!$AG15)+($C$92*Mat_Sum!$AG15)+($C$93*Mat_Sum!$F15)+($C$94*0))+($C$187*$B$187*$C$192*(($B$197*Mat_Sum!$D15)+($A$197*Mat_Sum!$AV15)))+($C$188*$B$188*$C$193*(($B$197*Mat_Sum!$D15)+($A$197*Mat_Sum!$AV15)))</f>
        <v>230.10237627110141</v>
      </c>
      <c r="F345" s="2136">
        <f ca="1" xml:space="preserve"> $B$6*$C$13*(($C$96*Mat_Sum!$D15)+($C$97*Mat_Sum!$L15)+($C$98*Mat_Sum!$AG15)+($C$99*0))</f>
        <v>3.1391677262035635</v>
      </c>
      <c r="G345" s="2136">
        <f ca="1" xml:space="preserve"> $B$6*$C$14*(($C$101*Mat_Sum!$D15)+($C$102*Mat_Sum!$L15)+($C$103*Mat_Sum!$AG15)+($C$104*0))</f>
        <v>0</v>
      </c>
      <c r="H345" s="2136">
        <f ca="1" xml:space="preserve"> $B$6*$C$15*(($C$106*Mat_Sum!$D15)+($C$107*Mat_Sum!$L15)+($C$108*Mat_Sum!$AG15)+($C$109*Mat_Sum!$AV15)+($C$110*Mat_Sum!$AR15)+($C$111*0))</f>
        <v>0.420299532167422</v>
      </c>
      <c r="I345" s="2136">
        <f ca="1" xml:space="preserve"> $B$6*$C$17*(($C$113*Mat_Sum!$E15)+($C$114*Mat_Sum!$D15)+($C$115*Mat_Sum!$F15)+($C$116*Mat_Sum!$L15)+($C$117*Mat_Sum!$I15)+($C$118*0)+($C$119*Mat_Sum!$AV15)+($C$120*Mat_Sum!$AR15)+($C$121*Mat_Sum!$AG15)+($C$122*Mat_Sum!$AG15)+($C$123*Mat_Sum!$AS15)+($C$124*0)+($C$125*Mat_Sum!$E15)+($C$126*0))</f>
        <v>0</v>
      </c>
      <c r="J345" s="2136">
        <f ca="1">$B$6*$C$16*(($C$128*Mat_Sum!$AU15)+($C$129*Mat_Sum!$D15)+($C$130*Mat_Sum!$E15)+($C$131*Mat_Sum!$AS15)+($C$132*Mat_Sum!$I15)+($C$133*Mat_Sum!$AG15)+($C$134*Mat_Sum!$AQ15)+($C$135*Mat_Sum!$AO15)+($C$136*0))</f>
        <v>0</v>
      </c>
      <c r="K345" s="2406">
        <f ca="1" xml:space="preserve"> $B$6*$C$19*$C$138*Mat_Sum!$D15</f>
        <v>0</v>
      </c>
      <c r="L345" s="2223">
        <f t="shared" ref="L345:U350" ca="1" si="7">B345/$C276</f>
        <v>0.21026628489214677</v>
      </c>
      <c r="M345" s="2218">
        <f t="shared" ca="1" si="7"/>
        <v>0.14387039781827979</v>
      </c>
      <c r="N345" s="2218">
        <f t="shared" ca="1" si="7"/>
        <v>3.3941351670665774E-2</v>
      </c>
      <c r="O345" s="2218">
        <f t="shared" ca="1" si="7"/>
        <v>0.60260030587165081</v>
      </c>
      <c r="P345" s="2218">
        <f t="shared" ca="1" si="7"/>
        <v>8.2209643492076202E-3</v>
      </c>
      <c r="Q345" s="2218">
        <f t="shared" ca="1" si="7"/>
        <v>0</v>
      </c>
      <c r="R345" s="2218">
        <f t="shared" ca="1" si="7"/>
        <v>1.1006953980492585E-3</v>
      </c>
      <c r="S345" s="2218">
        <f t="shared" ca="1" si="7"/>
        <v>0</v>
      </c>
      <c r="T345" s="2218">
        <f t="shared" ca="1" si="7"/>
        <v>0</v>
      </c>
      <c r="U345" s="2224">
        <f t="shared" ca="1" si="7"/>
        <v>0</v>
      </c>
      <c r="AI345" s="2299"/>
      <c r="AJ345" s="2299"/>
      <c r="AK345" s="2299"/>
      <c r="AL345" s="2299"/>
      <c r="AM345" s="2299"/>
      <c r="AN345" s="2299"/>
      <c r="AO345" s="2299"/>
      <c r="AP345" s="2299"/>
      <c r="AQ345" s="2299"/>
      <c r="AR345" s="2299"/>
    </row>
    <row r="346" spans="1:44">
      <c r="A346" s="2096" t="s">
        <v>817</v>
      </c>
      <c r="B346" s="2151">
        <f ca="1">($B$6*$C$18*(($C$24*Mat_Sum!$D16)+($C$25*Mat_Sum!$E16)+($C$26*Mat_Sum!$I16)+($C$27*Mat_Sum!$L16)+($C$28*Mat_Sum!$AR16)+($C$29*Mat_Sum!$AV16)+($C$30*Mat_Sum!$AS16)+($C$31*Mat_Sum!$AM16)+($C$32*Mat_Sum!$AG16)+($C$33*0)+($C$34*0)+($C$35*0)+($C$36*Mat_Sum!$CF16)+($C$37*Silicon!$K73)+($C$38*0)))+($C$201*(($C$207*Mat_Sum!$D16)+($C$208*Mat_Sum!$AV16)+($C$209*Mat_Sum!$AR16)))</f>
        <v>69.938296416327731</v>
      </c>
      <c r="C346" s="2136">
        <f ca="1">($B$6*$C$10*(($C$40*Mat_Sum!$E16)+($C$41*Mat_Sum!$D16)+($C$42*Mat_Sum!$L16)+($C$43*Mat_Sum!$I16)+($C$44*Mat_Sum!$F16)+($C$45*Mat_Sum!$AV16)+($C$46*Mat_Sum!$AR16)+($C$47*Mat_Sum!$AG16)+($C$48*((88%*Mat_Sum!$AG16)+(12%*0)))+($C$49*Mat_Sum!$CF16)+($C$50*Mat_Sum!$AN16)+($C$51*'C.Iron'!$I63)+($C$52*((80%*Mat_Sum!$U16)+(20%*Mat_Sum!$BA16)))+($C$53*Mat_Sum!$AW16)+($C$54*Mat_Sum!$AS16)+($C$55*Mat_Sum!$CQ16)+($C$56*Mat_Sum!$AQ16)+($C$57*Mat_Sum!$AO16)+($C$58*Mat_Sum!$AP16)+($C$59*Mat_Sum!$BJ16)+($C$60*Mat_Sum!$BI16)+($C$61*Mat_Sum!$AR16)+($C$62*0)+($C$63*Mat_Sum!$CF16)+($C$64*Mat_Sum!$BG16)+($C$65*Mat_Sum!$BI16)+($C$66*Mat_Sum!$U16)+($C$67*Mat_Sum!$BA16)+($C$68*Mat_Sum!$CP16)+($C$69*0)+($C$70*Mat_Sum!$AZ16)+($C$71*Mat_Sum!$AM16)+($C$72*0)))+($C$202*(($C$211*Mat_Sum!$D16)+($C$212*Mat_Sum!$BG16)+($C$213*Mat_Sum!$AV16)))</f>
        <v>47.687890144493913</v>
      </c>
      <c r="D346" s="2136">
        <f ca="1" xml:space="preserve"> $B$6*$C$11*(($C$74*Mat_Sum!$D16)+($C$75*Mat_Sum!$L16)+($C$76*Mat_Sum!$I16)+($C$77*Mat_Sum!$F16)+($C$78*Mat_Sum!$AV16)+($C$79*Mat_Sum!$AR16)+($C$80*Mat_Sum!$AG16)+($C$81*Mat_Sum!$AG16)+($C$82*Mat_Sum!$F16)+($C$83*0))</f>
        <v>12.212599038551099</v>
      </c>
      <c r="E346" s="2136">
        <f ca="1" xml:space="preserve"> $B$6*$C$12*(($C$85*Mat_Sum!$D16)+($C$86*Mat_Sum!$F16)+($C$87*Mat_Sum!$L16)+($C$88*Mat_Sum!$I16)+($C$89*Mat_Sum!$AV16)+($C$90*Mat_Sum!$AR16)+($C$91*Mat_Sum!$AG16)+($C$92*Mat_Sum!$AG16)+($C$93*Mat_Sum!$F16)+($C$94*0))+($C$187*$B$187*$C$192*(($B$197*Mat_Sum!$D16)+($A$197*Mat_Sum!$AV16)))+($C$188*$B$188*$C$193*(($B$197*Mat_Sum!$D16)+($A$197*Mat_Sum!$AV16)))</f>
        <v>217.32522573620787</v>
      </c>
      <c r="F346" s="2136">
        <f ca="1" xml:space="preserve"> $B$6*$C$13*(($C$96*Mat_Sum!$D16)+($C$97*Mat_Sum!$L16)+($C$98*Mat_Sum!$AG16)+($C$99*0))</f>
        <v>2.6040288935549079</v>
      </c>
      <c r="G346" s="2136">
        <f ca="1" xml:space="preserve"> $B$6*$C$14*(($C$101*Mat_Sum!$D16)+($C$102*Mat_Sum!$L16)+($C$103*Mat_Sum!$AG16)+($C$104*0))</f>
        <v>0</v>
      </c>
      <c r="H346" s="2136">
        <f ca="1" xml:space="preserve"> $B$6*$C$15*(($C$106*Mat_Sum!$D16)+($C$107*Mat_Sum!$L16)+($C$108*Mat_Sum!$AG16)+($C$109*Mat_Sum!$AV16)+($C$110*Mat_Sum!$AR16)+($C$111*0))</f>
        <v>0.36138072127605614</v>
      </c>
      <c r="I346" s="2136">
        <f ca="1" xml:space="preserve"> $B$6*$C$17*(($C$113*Mat_Sum!$E16)+($C$114*Mat_Sum!$D16)+($C$115*Mat_Sum!$F16)+($C$116*Mat_Sum!$L16)+($C$117*Mat_Sum!$I16)+($C$118*0)+($C$119*Mat_Sum!$AV16)+($C$120*Mat_Sum!$AR16)+($C$121*Mat_Sum!$AG16)+($C$122*Mat_Sum!$AG16)+($C$123*Mat_Sum!$AS16)+($C$124*0)+($C$125*Mat_Sum!$E16)+($C$126*0))</f>
        <v>0</v>
      </c>
      <c r="J346" s="2136">
        <f ca="1">$B$6*$C$16*(($C$128*Mat_Sum!$AU16)+($C$129*Mat_Sum!$D16)+($C$130*Mat_Sum!$E16)+($C$131*Mat_Sum!$AS16)+($C$132*Mat_Sum!$I16)+($C$133*Mat_Sum!$AG16)+($C$134*Mat_Sum!$AQ16)+($C$135*Mat_Sum!$AO16)+($C$136*0))</f>
        <v>0</v>
      </c>
      <c r="K346" s="2406">
        <f ca="1" xml:space="preserve"> $B$6*$C$19*$C$138*Mat_Sum!$D16</f>
        <v>0</v>
      </c>
      <c r="L346" s="2223">
        <f t="shared" ca="1" si="7"/>
        <v>0.19974984171990798</v>
      </c>
      <c r="M346" s="2218">
        <f t="shared" ca="1" si="7"/>
        <v>0.13620075118236896</v>
      </c>
      <c r="N346" s="2218">
        <f t="shared" ca="1" si="7"/>
        <v>3.4880242298406444E-2</v>
      </c>
      <c r="O346" s="2218">
        <f t="shared" ca="1" si="7"/>
        <v>0.62069969768975064</v>
      </c>
      <c r="P346" s="2218">
        <f t="shared" ca="1" si="7"/>
        <v>7.4373324197846095E-3</v>
      </c>
      <c r="Q346" s="2218">
        <f t="shared" ca="1" si="7"/>
        <v>0</v>
      </c>
      <c r="R346" s="2218">
        <f t="shared" ca="1" si="7"/>
        <v>1.032134689781577E-3</v>
      </c>
      <c r="S346" s="2218">
        <f t="shared" ca="1" si="7"/>
        <v>0</v>
      </c>
      <c r="T346" s="2218">
        <f t="shared" ca="1" si="7"/>
        <v>0</v>
      </c>
      <c r="U346" s="2224">
        <f t="shared" ca="1" si="7"/>
        <v>0</v>
      </c>
      <c r="AI346" s="2299"/>
      <c r="AJ346" s="2299"/>
      <c r="AK346" s="2299"/>
      <c r="AL346" s="2299"/>
      <c r="AM346" s="2299"/>
      <c r="AN346" s="2299"/>
      <c r="AO346" s="2299"/>
      <c r="AP346" s="2299"/>
      <c r="AQ346" s="2299"/>
      <c r="AR346" s="2299"/>
    </row>
    <row r="347" spans="1:44">
      <c r="A347" s="2096" t="s">
        <v>805</v>
      </c>
      <c r="B347" s="2151">
        <f ca="1">($B$6*$C$18*(($C$24*Mat_Sum!$D17)+($C$25*Mat_Sum!$E17)+($C$26*Mat_Sum!$I17)+($C$27*Mat_Sum!$L17)+($C$28*Mat_Sum!$AR17)+($C$29*Mat_Sum!$AV17)+($C$30*Mat_Sum!$AS17)+($C$31*Mat_Sum!$AM17)+($C$32*Mat_Sum!$AG17)+($C$33*0)+($C$34*0)+($C$35*0)+($C$36*Mat_Sum!$CF17)+($C$37*Silicon!$K74)+($C$38*0)))+($C$201*(($C$207*Mat_Sum!$D17)+($C$208*Mat_Sum!$AV17)+($C$209*Mat_Sum!$AR17)))</f>
        <v>16.1388211699098</v>
      </c>
      <c r="C347" s="2136">
        <f ca="1">($B$6*$C$10*(($C$40*Mat_Sum!$E17)+($C$41*Mat_Sum!$D17)+($C$42*Mat_Sum!$L17)+($C$43*Mat_Sum!$I17)+($C$44*Mat_Sum!$F17)+($C$45*Mat_Sum!$AV17)+($C$46*Mat_Sum!$AR17)+($C$47*Mat_Sum!$AG17)+($C$48*((88%*Mat_Sum!$AG17)+(12%*0)))+($C$49*Mat_Sum!$CF17)+($C$50*Mat_Sum!$AN17)+($C$51*'C.Iron'!$I64)+($C$52*((80%*Mat_Sum!$U17)+(20%*Mat_Sum!$BA17)))+($C$53*Mat_Sum!$AW17)+($C$54*Mat_Sum!$AS17)+($C$55*Mat_Sum!$CQ17)+($C$56*Mat_Sum!$AQ17)+($C$57*Mat_Sum!$AO17)+($C$58*Mat_Sum!$AP17)+($C$59*Mat_Sum!$BJ17)+($C$60*Mat_Sum!$BI17)+($C$61*Mat_Sum!$AR17)+($C$62*0)+($C$63*Mat_Sum!$CF17)+($C$64*Mat_Sum!$BG17)+($C$65*Mat_Sum!$BI17)+($C$66*Mat_Sum!$U17)+($C$67*Mat_Sum!$BA17)+($C$68*Mat_Sum!$CP17)+($C$69*0)+($C$70*Mat_Sum!$AZ17)+($C$71*Mat_Sum!$AM17)+($C$72*0)))+($C$202*(($C$211*Mat_Sum!$D17)+($C$212*Mat_Sum!$BG17)+($C$213*Mat_Sum!$AV17)))</f>
        <v>23.709258791532175</v>
      </c>
      <c r="D347" s="2136">
        <f ca="1" xml:space="preserve"> $B$6*$C$11*(($C$74*Mat_Sum!$D17)+($C$75*Mat_Sum!$L17)+($C$76*Mat_Sum!$I17)+($C$77*Mat_Sum!$F17)+($C$78*Mat_Sum!$AV17)+($C$79*Mat_Sum!$AR17)+($C$80*Mat_Sum!$AG17)+($C$81*Mat_Sum!$AG17)+($C$82*Mat_Sum!$F17)+($C$83*0))</f>
        <v>7.1490069506989444</v>
      </c>
      <c r="E347" s="2136">
        <f ca="1" xml:space="preserve"> $B$6*$C$12*(($C$85*Mat_Sum!$D17)+($C$86*Mat_Sum!$F17)+($C$87*Mat_Sum!$L17)+($C$88*Mat_Sum!$I17)+($C$89*Mat_Sum!$AV17)+($C$90*Mat_Sum!$AR17)+($C$91*Mat_Sum!$AG17)+($C$92*Mat_Sum!$AG17)+($C$93*Mat_Sum!$F17)+($C$94*0))+($C$187*$B$187*$C$192*(($B$197*Mat_Sum!$D17)+($A$197*Mat_Sum!$AV17)))+($C$188*$B$188*$C$193*(($B$197*Mat_Sum!$D17)+($A$197*Mat_Sum!$AV17)))</f>
        <v>86.36917512015232</v>
      </c>
      <c r="F347" s="2136">
        <f ca="1" xml:space="preserve"> $B$6*$C$13*(($C$96*Mat_Sum!$D17)+($C$97*Mat_Sum!$L17)+($C$98*Mat_Sum!$AG17)+($C$99*0))</f>
        <v>0.99504077481503828</v>
      </c>
      <c r="G347" s="2136">
        <f ca="1" xml:space="preserve"> $B$6*$C$14*(($C$101*Mat_Sum!$D17)+($C$102*Mat_Sum!$L17)+($C$103*Mat_Sum!$AG17)+($C$104*0))</f>
        <v>0</v>
      </c>
      <c r="H347" s="2136">
        <f ca="1" xml:space="preserve"> $B$6*$C$15*(($C$106*Mat_Sum!$D17)+($C$107*Mat_Sum!$L17)+($C$108*Mat_Sum!$AG17)+($C$109*Mat_Sum!$AV17)+($C$110*Mat_Sum!$AR17)+($C$111*0))</f>
        <v>5.5165447856465072E-2</v>
      </c>
      <c r="I347" s="2136">
        <f ca="1" xml:space="preserve"> $B$6*$C$17*(($C$113*Mat_Sum!$E17)+($C$114*Mat_Sum!$D17)+($C$115*Mat_Sum!$F17)+($C$116*Mat_Sum!$L17)+($C$117*Mat_Sum!$I17)+($C$118*0)+($C$119*Mat_Sum!$AV17)+($C$120*Mat_Sum!$AR17)+($C$121*Mat_Sum!$AG17)+($C$122*Mat_Sum!$AG17)+($C$123*Mat_Sum!$AS17)+($C$124*0)+($C$125*Mat_Sum!$E17)+($C$126*0))</f>
        <v>0</v>
      </c>
      <c r="J347" s="2136">
        <f ca="1">$B$6*$C$16*(($C$128*Mat_Sum!$AU17)+($C$129*Mat_Sum!$D17)+($C$130*Mat_Sum!$E17)+($C$131*Mat_Sum!$AS17)+($C$132*Mat_Sum!$I17)+($C$133*Mat_Sum!$AG17)+($C$134*Mat_Sum!$AQ17)+($C$135*Mat_Sum!$AO17)+($C$136*0))</f>
        <v>0</v>
      </c>
      <c r="K347" s="2406">
        <f ca="1" xml:space="preserve"> $B$6*$C$19*$C$138*Mat_Sum!$D17</f>
        <v>0</v>
      </c>
      <c r="L347" s="2223">
        <f t="shared" ca="1" si="7"/>
        <v>0.12006580279506568</v>
      </c>
      <c r="M347" s="2218">
        <f t="shared" ca="1" si="7"/>
        <v>0.1763865625940999</v>
      </c>
      <c r="N347" s="2218">
        <f t="shared" ca="1" si="7"/>
        <v>5.3185499094787397E-2</v>
      </c>
      <c r="O347" s="2218">
        <f t="shared" ca="1" si="7"/>
        <v>0.64254905847046195</v>
      </c>
      <c r="P347" s="2218">
        <f t="shared" ca="1" si="7"/>
        <v>7.4026701321122249E-3</v>
      </c>
      <c r="Q347" s="2218">
        <f t="shared" ca="1" si="7"/>
        <v>0</v>
      </c>
      <c r="R347" s="2218">
        <f t="shared" ca="1" si="7"/>
        <v>4.1040691347302616E-4</v>
      </c>
      <c r="S347" s="2218">
        <f t="shared" ca="1" si="7"/>
        <v>0</v>
      </c>
      <c r="T347" s="2218">
        <f t="shared" ca="1" si="7"/>
        <v>0</v>
      </c>
      <c r="U347" s="2224">
        <f t="shared" ca="1" si="7"/>
        <v>0</v>
      </c>
      <c r="AI347" s="2299"/>
      <c r="AJ347" s="2299"/>
      <c r="AK347" s="2299"/>
      <c r="AL347" s="2299"/>
      <c r="AM347" s="2299"/>
      <c r="AN347" s="2299"/>
      <c r="AO347" s="2299"/>
      <c r="AP347" s="2299"/>
      <c r="AQ347" s="2299"/>
      <c r="AR347" s="2299"/>
    </row>
    <row r="348" spans="1:44">
      <c r="A348" s="2096" t="s">
        <v>804</v>
      </c>
      <c r="B348" s="2151">
        <f ca="1">($B$6*$C$18*(($C$24*Mat_Sum!$D18)+($C$25*Mat_Sum!$E18)+($C$26*Mat_Sum!$I18)+($C$27*Mat_Sum!$L18)+($C$28*Mat_Sum!$AR18)+($C$29*Mat_Sum!$AV18)+($C$30*Mat_Sum!$AS18)+($C$31*Mat_Sum!$AM18)+($C$32*Mat_Sum!$AG18)+($C$33*0)+($C$34*0)+($C$35*0)+($C$36*Mat_Sum!$CF18)+($C$37*Silicon!$K75)+($C$38*0)))+($C$201*(($C$207*Mat_Sum!$D18)+($C$208*Mat_Sum!$AV18)+($C$209*Mat_Sum!$AR18)))</f>
        <v>41.138328886654485</v>
      </c>
      <c r="C348" s="2136">
        <f ca="1">($B$6*$C$10*(($C$40*Mat_Sum!$E18)+($C$41*Mat_Sum!$D18)+($C$42*Mat_Sum!$L18)+($C$43*Mat_Sum!$I18)+($C$44*Mat_Sum!$F18)+($C$45*Mat_Sum!$AV18)+($C$46*Mat_Sum!$AR18)+($C$47*Mat_Sum!$AG18)+($C$48*((88%*Mat_Sum!$AG18)+(12%*0)))+($C$49*Mat_Sum!$CF18)+($C$50*Mat_Sum!$AN18)+($C$51*'C.Iron'!$I65)+($C$52*((80%*Mat_Sum!$U18)+(20%*Mat_Sum!$BA18)))+($C$53*Mat_Sum!$AW18)+($C$54*Mat_Sum!$AS18)+($C$55*Mat_Sum!$CQ18)+($C$56*Mat_Sum!$AQ18)+($C$57*Mat_Sum!$AO18)+($C$58*Mat_Sum!$AP18)+($C$59*Mat_Sum!$BJ18)+($C$60*Mat_Sum!$BI18)+($C$61*Mat_Sum!$AR18)+($C$62*0)+($C$63*Mat_Sum!$CF18)+($C$64*Mat_Sum!$BG18)+($C$65*Mat_Sum!$BI18)+($C$66*Mat_Sum!$U18)+($C$67*Mat_Sum!$BA18)+($C$68*Mat_Sum!$CP18)+($C$69*0)+($C$70*Mat_Sum!$AZ18)+($C$71*Mat_Sum!$AM18)+($C$72*0)))+($C$202*(($C$211*Mat_Sum!$D18)+($C$212*Mat_Sum!$BG18)+($C$213*Mat_Sum!$AV18)))</f>
        <v>19.002184664226665</v>
      </c>
      <c r="D348" s="2136">
        <f ca="1" xml:space="preserve"> $B$6*$C$11*(($C$74*Mat_Sum!$D18)+($C$75*Mat_Sum!$L18)+($C$76*Mat_Sum!$I18)+($C$77*Mat_Sum!$F18)+($C$78*Mat_Sum!$AV18)+($C$79*Mat_Sum!$AR18)+($C$80*Mat_Sum!$AG18)+($C$81*Mat_Sum!$AG18)+($C$82*Mat_Sum!$F18)+($C$83*0))</f>
        <v>4.415791779167562</v>
      </c>
      <c r="E348" s="2136">
        <f ca="1" xml:space="preserve"> $B$6*$C$12*(($C$85*Mat_Sum!$D18)+($C$86*Mat_Sum!$F18)+($C$87*Mat_Sum!$L18)+($C$88*Mat_Sum!$I18)+($C$89*Mat_Sum!$AV18)+($C$90*Mat_Sum!$AR18)+($C$91*Mat_Sum!$AG18)+($C$92*Mat_Sum!$AG18)+($C$93*Mat_Sum!$F18)+($C$94*0))+($C$187*$B$187*$C$192*(($B$197*Mat_Sum!$D18)+($A$197*Mat_Sum!$AV18)))+($C$188*$B$188*$C$193*(($B$197*Mat_Sum!$D18)+($A$197*Mat_Sum!$AV18)))</f>
        <v>94.784536997403549</v>
      </c>
      <c r="F348" s="2136">
        <f ca="1" xml:space="preserve"> $B$6*$C$13*(($C$96*Mat_Sum!$D18)+($C$97*Mat_Sum!$L18)+($C$98*Mat_Sum!$AG18)+($C$99*0))</f>
        <v>1.3724360466606242</v>
      </c>
      <c r="G348" s="2136">
        <f ca="1" xml:space="preserve"> $B$6*$C$14*(($C$101*Mat_Sum!$D18)+($C$102*Mat_Sum!$L18)+($C$103*Mat_Sum!$AG18)+($C$104*0))</f>
        <v>0</v>
      </c>
      <c r="H348" s="2136">
        <f ca="1" xml:space="preserve"> $B$6*$C$15*(($C$106*Mat_Sum!$D18)+($C$107*Mat_Sum!$L18)+($C$108*Mat_Sum!$AG18)+($C$109*Mat_Sum!$AV18)+($C$110*Mat_Sum!$AR18)+($C$111*0))</f>
        <v>0.22824224675337471</v>
      </c>
      <c r="I348" s="2136">
        <f ca="1" xml:space="preserve"> $B$6*$C$17*(($C$113*Mat_Sum!$E18)+($C$114*Mat_Sum!$D18)+($C$115*Mat_Sum!$F18)+($C$116*Mat_Sum!$L18)+($C$117*Mat_Sum!$I18)+($C$118*0)+($C$119*Mat_Sum!$AV18)+($C$120*Mat_Sum!$AR18)+($C$121*Mat_Sum!$AG18)+($C$122*Mat_Sum!$AG18)+($C$123*Mat_Sum!$AS18)+($C$124*0)+($C$125*Mat_Sum!$E18)+($C$126*0))</f>
        <v>0</v>
      </c>
      <c r="J348" s="2136">
        <f ca="1">$B$6*$C$16*(($C$128*Mat_Sum!$AU18)+($C$129*Mat_Sum!$D18)+($C$130*Mat_Sum!$E18)+($C$131*Mat_Sum!$AS18)+($C$132*Mat_Sum!$I18)+($C$133*Mat_Sum!$AG18)+($C$134*Mat_Sum!$AQ18)+($C$135*Mat_Sum!$AO18)+($C$136*0))</f>
        <v>0</v>
      </c>
      <c r="K348" s="2406">
        <f ca="1" xml:space="preserve"> $B$6*$C$19*$C$138*Mat_Sum!$D18</f>
        <v>0</v>
      </c>
      <c r="L348" s="2223">
        <f t="shared" ca="1" si="7"/>
        <v>0.25561041506228221</v>
      </c>
      <c r="M348" s="2218">
        <f t="shared" ca="1" si="7"/>
        <v>0.11806887738429261</v>
      </c>
      <c r="N348" s="2218">
        <f t="shared" ca="1" si="7"/>
        <v>2.7437244050712965E-2</v>
      </c>
      <c r="O348" s="2218">
        <f t="shared" ca="1" si="7"/>
        <v>0.58893774975998703</v>
      </c>
      <c r="P348" s="2218">
        <f t="shared" ca="1" si="7"/>
        <v>8.5275449204540808E-3</v>
      </c>
      <c r="Q348" s="2218">
        <f t="shared" ca="1" si="7"/>
        <v>0</v>
      </c>
      <c r="R348" s="2218">
        <f t="shared" ca="1" si="7"/>
        <v>1.4181688222708565E-3</v>
      </c>
      <c r="S348" s="2218">
        <f t="shared" ca="1" si="7"/>
        <v>0</v>
      </c>
      <c r="T348" s="2218">
        <f t="shared" ca="1" si="7"/>
        <v>0</v>
      </c>
      <c r="U348" s="2224">
        <f t="shared" ca="1" si="7"/>
        <v>0</v>
      </c>
      <c r="AI348" s="2299"/>
      <c r="AJ348" s="2299"/>
      <c r="AK348" s="2299"/>
      <c r="AL348" s="2299"/>
      <c r="AM348" s="2299"/>
      <c r="AN348" s="2299"/>
      <c r="AO348" s="2299"/>
      <c r="AP348" s="2299"/>
      <c r="AQ348" s="2299"/>
      <c r="AR348" s="2299"/>
    </row>
    <row r="349" spans="1:44">
      <c r="A349" s="2096" t="s">
        <v>818</v>
      </c>
      <c r="B349" s="2159">
        <f ca="1">($B$6*$C$18*(($C$24*Mat_Sum!$D19)+($C$25*Mat_Sum!$E19)+($C$26*Mat_Sum!$I19)+($C$27*Mat_Sum!$L19)+($C$28*Mat_Sum!$AR19)+($C$29*Mat_Sum!$AV19)+($C$30*Mat_Sum!$AS19)+($C$31*Mat_Sum!$AM19)+($C$32*Mat_Sum!$AG19)+($C$33*0)+($C$34*0)+($C$35*0)+($C$36*Mat_Sum!$CF19)+($C$37*Silicon!$K76)+($C$38*0)))+($C$201*(($C$207*Mat_Sum!$D19)+($C$208*Mat_Sum!$AV19)+($C$209*Mat_Sum!$AR19)))</f>
        <v>12.661146359763428</v>
      </c>
      <c r="C349" s="2242">
        <f ca="1">($B$6*$C$10*(($C$40*Mat_Sum!$E19)+($C$41*Mat_Sum!$D19)+($C$42*Mat_Sum!$L19)+($C$43*Mat_Sum!$I19)+($C$44*Mat_Sum!$F19)+($C$45*Mat_Sum!$AV19)+($C$46*Mat_Sum!$AR19)+($C$47*Mat_Sum!$AG19)+($C$48*((88%*Mat_Sum!$AG19)+(12%*0)))+($C$49*Mat_Sum!$CF19)+($C$50*Mat_Sum!$AN19)+($C$51*'C.Iron'!$I66)+($C$52*((80%*Mat_Sum!$U19)+(20%*Mat_Sum!$BA19)))+($C$53*Mat_Sum!$AW19)+($C$54*Mat_Sum!$AS19)+($C$55*Mat_Sum!$CQ19)+($C$56*Mat_Sum!$AQ19)+($C$57*Mat_Sum!$AO19)+($C$58*Mat_Sum!$AP19)+($C$59*Mat_Sum!$BJ19)+($C$60*Mat_Sum!$BI19)+($C$61*Mat_Sum!$AR19)+($C$62*0)+($C$63*Mat_Sum!$CF19)+($C$64*Mat_Sum!$BG19)+($C$65*Mat_Sum!$BI19)+($C$66*Mat_Sum!$U19)+($C$67*Mat_Sum!$BA19)+($C$68*Mat_Sum!$CP19)+($C$69*0)+($C$70*Mat_Sum!$AZ19)+($C$71*Mat_Sum!$AM19)+($C$72*0)))+($C$202*(($C$211*Mat_Sum!$D19)+($C$212*Mat_Sum!$BG19)+($C$213*Mat_Sum!$AV19)))</f>
        <v>4.9764466887350611</v>
      </c>
      <c r="D349" s="2136">
        <f ca="1" xml:space="preserve"> $B$6*$C$11*(($C$74*Mat_Sum!$D19)+($C$75*Mat_Sum!$L19)+($C$76*Mat_Sum!$I19)+($C$77*Mat_Sum!$F19)+($C$78*Mat_Sum!$AV19)+($C$79*Mat_Sum!$AR19)+($C$80*Mat_Sum!$AG19)+($C$81*Mat_Sum!$AG19)+($C$82*Mat_Sum!$F19)+($C$83*0))</f>
        <v>0.64780030868459415</v>
      </c>
      <c r="E349" s="2136">
        <f ca="1" xml:space="preserve"> $B$6*$C$12*(($C$85*Mat_Sum!$D19)+($C$86*Mat_Sum!$F19)+($C$87*Mat_Sum!$L19)+($C$88*Mat_Sum!$I19)+($C$89*Mat_Sum!$AV19)+($C$90*Mat_Sum!$AR19)+($C$91*Mat_Sum!$AG19)+($C$92*Mat_Sum!$AG19)+($C$93*Mat_Sum!$F19)+($C$94*0))+($C$187*$B$187*$C$192*(($B$197*Mat_Sum!$D19)+($A$197*Mat_Sum!$AV19)))+($C$188*$B$188*$C$193*(($B$197*Mat_Sum!$D19)+($A$197*Mat_Sum!$AV19)))</f>
        <v>36.171513618652014</v>
      </c>
      <c r="F349" s="2242">
        <f ca="1" xml:space="preserve"> $B$6*$C$13*(($C$96*Mat_Sum!$D19)+($C$97*Mat_Sum!$L19)+($C$98*Mat_Sum!$AG19)+($C$99*0))</f>
        <v>0.23655207207924572</v>
      </c>
      <c r="G349" s="2136">
        <f ca="1" xml:space="preserve"> $B$6*$C$14*(($C$101*Mat_Sum!$D19)+($C$102*Mat_Sum!$L19)+($C$103*Mat_Sum!$AG19)+($C$104*0))</f>
        <v>0</v>
      </c>
      <c r="H349" s="2136">
        <f ca="1" xml:space="preserve"> $B$6*$C$15*(($C$106*Mat_Sum!$D19)+($C$107*Mat_Sum!$L19)+($C$108*Mat_Sum!$AG19)+($C$109*Mat_Sum!$AV19)+($C$110*Mat_Sum!$AR19)+($C$111*0))</f>
        <v>7.7973026666216333E-2</v>
      </c>
      <c r="I349" s="2136">
        <f ca="1" xml:space="preserve"> $B$6*$C$17*(($C$113*Mat_Sum!$E19)+($C$114*Mat_Sum!$D19)+($C$115*Mat_Sum!$F19)+($C$116*Mat_Sum!$L19)+($C$117*Mat_Sum!$I19)+($C$118*0)+($C$119*Mat_Sum!$AV19)+($C$120*Mat_Sum!$AR19)+($C$121*Mat_Sum!$AG19)+($C$122*Mat_Sum!$AG19)+($C$123*Mat_Sum!$AS19)+($C$124*0)+($C$125*Mat_Sum!$E19)+($C$126*0))</f>
        <v>0</v>
      </c>
      <c r="J349" s="2136">
        <f ca="1">$B$6*$C$16*(($C$128*Mat_Sum!$AU19)+($C$129*Mat_Sum!$D19)+($C$130*Mat_Sum!$E19)+($C$131*Mat_Sum!$AS19)+($C$132*Mat_Sum!$I19)+($C$133*Mat_Sum!$AG19)+($C$134*Mat_Sum!$AQ19)+($C$135*Mat_Sum!$AO19)+($C$136*0))</f>
        <v>0</v>
      </c>
      <c r="K349" s="2406">
        <f ca="1" xml:space="preserve"> $B$6*$C$19*$C$138*Mat_Sum!$D19</f>
        <v>0</v>
      </c>
      <c r="L349" s="2184">
        <f t="shared" ca="1" si="7"/>
        <v>0.23116332511669829</v>
      </c>
      <c r="M349" s="2216">
        <f t="shared" ca="1" si="7"/>
        <v>9.0858436601744974E-2</v>
      </c>
      <c r="N349" s="2216">
        <f t="shared" ca="1" si="7"/>
        <v>1.1827339256028659E-2</v>
      </c>
      <c r="O349" s="2216">
        <f t="shared" ca="1" si="7"/>
        <v>0.6604083962858297</v>
      </c>
      <c r="P349" s="2216">
        <f t="shared" ca="1" si="7"/>
        <v>4.318895145139532E-3</v>
      </c>
      <c r="Q349" s="2216">
        <f t="shared" ca="1" si="7"/>
        <v>0</v>
      </c>
      <c r="R349" s="2216">
        <f t="shared" ca="1" si="7"/>
        <v>1.4236075945584707E-3</v>
      </c>
      <c r="S349" s="2216">
        <f t="shared" ca="1" si="7"/>
        <v>0</v>
      </c>
      <c r="T349" s="2216">
        <f t="shared" ca="1" si="7"/>
        <v>0</v>
      </c>
      <c r="U349" s="2217">
        <f t="shared" ca="1" si="7"/>
        <v>0</v>
      </c>
      <c r="AI349" s="2299"/>
      <c r="AJ349" s="2299"/>
      <c r="AK349" s="2299"/>
      <c r="AL349" s="2299"/>
      <c r="AM349" s="2299"/>
      <c r="AN349" s="2299"/>
      <c r="AO349" s="2299"/>
      <c r="AP349" s="2299"/>
      <c r="AQ349" s="2299"/>
      <c r="AR349" s="2299"/>
    </row>
    <row r="350" spans="1:44">
      <c r="A350" s="2100" t="s">
        <v>819</v>
      </c>
      <c r="B350" s="2159">
        <f ca="1">($B$6*$C$18*(($C$24*Mat_Sum!$D20)+($C$25*Mat_Sum!$E20)+($C$26*Mat_Sum!$I20)+($C$27*Mat_Sum!$L20)+($C$28*Mat_Sum!$AR20)+($C$29*Mat_Sum!$AV20)+($C$30*Mat_Sum!$AS20)+($C$31*Mat_Sum!$AM20)+($C$32*Mat_Sum!$AG20)+($C$33*0)+($C$34*0)+($C$35*0)+($C$36*Mat_Sum!$CF20)+($C$37*Silicon!$K77)+($C$38*0)))+($C$201*(($C$207*Mat_Sum!$D20)+($C$208*Mat_Sum!$AV20)+($C$209*Mat_Sum!$AR20)))</f>
        <v>5814.280446571388</v>
      </c>
      <c r="C350" s="2242">
        <f ca="1">($B$6*$C$10*(($C$40*Mat_Sum!$E20)+($C$41*Mat_Sum!$D20)+($C$42*Mat_Sum!$L20)+($C$43*Mat_Sum!$I20)+($C$44*Mat_Sum!$F20)+($C$45*Mat_Sum!$AV20)+($C$46*Mat_Sum!$AR20)+($C$47*Mat_Sum!$AG20)+($C$48*((88%*Mat_Sum!$AG20)+(12%*0)))+($C$49*Mat_Sum!$CF20)+($C$50*Mat_Sum!$AN20)+($C$51*'C.Iron'!$I67)+($C$52*((80%*Mat_Sum!$U20)+(20%*Mat_Sum!$BA20)))+($C$53*Mat_Sum!$AW20)+($C$54*Mat_Sum!$AS20)+($C$55*Mat_Sum!$CQ20)+($C$56*Mat_Sum!$AQ20)+($C$57*Mat_Sum!$AO20)+($C$58*Mat_Sum!$AP20)+($C$59*Mat_Sum!$BJ20)+($C$60*Mat_Sum!$BI20)+($C$61*Mat_Sum!$AR20)+($C$62*0)+($C$63*Mat_Sum!$CF20)+($C$64*Mat_Sum!$BG20)+($C$65*Mat_Sum!$BI20)+($C$66*Mat_Sum!$U20)+($C$67*Mat_Sum!$BA20)+($C$68*Mat_Sum!$CP20)+($C$69*0)+($C$70*Mat_Sum!$AZ20)+($C$71*Mat_Sum!$AM20)+($C$72*0)))+($C$202*(($C$211*Mat_Sum!$D20)+($C$212*Mat_Sum!$BG20)+($C$213*Mat_Sum!$AV20)))</f>
        <v>4057.7863287412383</v>
      </c>
      <c r="D350" s="2232">
        <f ca="1" xml:space="preserve"> $B$6*$C$11*(($C$74*Mat_Sum!$D20)+($C$75*Mat_Sum!$L20)+($C$76*Mat_Sum!$I20)+($C$77*Mat_Sum!$F20)+($C$78*Mat_Sum!$AV20)+($C$79*Mat_Sum!$AR20)+($C$80*Mat_Sum!$AG20)+($C$81*Mat_Sum!$AG20)+($C$82*Mat_Sum!$F20)+($C$83*0))</f>
        <v>258.35498004239139</v>
      </c>
      <c r="E350" s="2232">
        <f ca="1" xml:space="preserve"> $B$6*$C$12*(($C$85*Mat_Sum!$D20)+($C$86*Mat_Sum!$F20)+($C$87*Mat_Sum!$L20)+($C$88*Mat_Sum!$I20)+($C$89*Mat_Sum!$AV20)+($C$90*Mat_Sum!$AR20)+($C$91*Mat_Sum!$AG20)+($C$92*Mat_Sum!$AG20)+($C$93*Mat_Sum!$F20)+($C$94*0))+($C$187*$B$187*$C$192*(($B$197*Mat_Sum!$D20)+($A$197*Mat_Sum!$AV20)))+($C$188*$B$188*$C$193*(($B$197*Mat_Sum!$D20)+($A$197*Mat_Sum!$AV20)))</f>
        <v>5504.1761105385531</v>
      </c>
      <c r="F350" s="2242">
        <f ca="1" xml:space="preserve"> $B$6*$C$13*(($C$96*Mat_Sum!$D20)+($C$97*Mat_Sum!$L20)+($C$98*Mat_Sum!$AG20)+($C$99*0))</f>
        <v>269.03496801238231</v>
      </c>
      <c r="G350" s="2232">
        <f ca="1" xml:space="preserve"> $B$6*$C$14*(($C$101*Mat_Sum!$D20)+($C$102*Mat_Sum!$L20)+($C$103*Mat_Sum!$AG20)+($C$104*0))</f>
        <v>0</v>
      </c>
      <c r="H350" s="2232">
        <f ca="1" xml:space="preserve"> $B$6*$C$15*(($C$106*Mat_Sum!$D20)+($C$107*Mat_Sum!$L20)+($C$108*Mat_Sum!$AG20)+($C$109*Mat_Sum!$AV20)+($C$110*Mat_Sum!$AR20)+($C$111*0))</f>
        <v>33.82012205195285</v>
      </c>
      <c r="I350" s="2232">
        <f ca="1" xml:space="preserve"> $B$6*$C$17*(($C$113*Mat_Sum!$E20)+($C$114*Mat_Sum!$D20)+($C$115*Mat_Sum!$F20)+($C$116*Mat_Sum!$L20)+($C$117*Mat_Sum!$I20)+($C$118*0)+($C$119*Mat_Sum!$AV20)+($C$120*Mat_Sum!$AR20)+($C$121*Mat_Sum!$AG20)+($C$122*Mat_Sum!$AG20)+($C$123*Mat_Sum!$AS20)+($C$124*0)+($C$125*Mat_Sum!$E20)+($C$126*0))</f>
        <v>0</v>
      </c>
      <c r="J350" s="2232">
        <f ca="1">$B$6*$C$16*(($C$128*Mat_Sum!$AU20)+($C$129*Mat_Sum!$D20)+($C$130*Mat_Sum!$E20)+($C$131*Mat_Sum!$AS20)+($C$132*Mat_Sum!$I20)+($C$133*Mat_Sum!$AG20)+($C$134*Mat_Sum!$AQ20)+($C$135*Mat_Sum!$AO20)+($C$136*0))</f>
        <v>0</v>
      </c>
      <c r="K350" s="2407">
        <f ca="1" xml:space="preserve"> $B$6*$C$19*$C$138*Mat_Sum!$D20</f>
        <v>0</v>
      </c>
      <c r="L350" s="2408">
        <f t="shared" ca="1" si="7"/>
        <v>0.36481867351318725</v>
      </c>
      <c r="M350" s="2409">
        <f t="shared" ca="1" si="7"/>
        <v>0.25460695256354082</v>
      </c>
      <c r="N350" s="2409">
        <f t="shared" ca="1" si="7"/>
        <v>1.6210556401724807E-2</v>
      </c>
      <c r="O350" s="2409">
        <f t="shared" ca="1" si="7"/>
        <v>0.34536108911185359</v>
      </c>
      <c r="P350" s="2409">
        <f t="shared" ca="1" si="7"/>
        <v>1.6880675272005045E-2</v>
      </c>
      <c r="Q350" s="2409">
        <f t="shared" ca="1" si="7"/>
        <v>0</v>
      </c>
      <c r="R350" s="2409">
        <f t="shared" ca="1" si="7"/>
        <v>2.1220531376884696E-3</v>
      </c>
      <c r="S350" s="2409">
        <f t="shared" ca="1" si="7"/>
        <v>0</v>
      </c>
      <c r="T350" s="2409">
        <f t="shared" ca="1" si="7"/>
        <v>0</v>
      </c>
      <c r="U350" s="2410">
        <f t="shared" ca="1" si="7"/>
        <v>0</v>
      </c>
      <c r="AI350" s="2299"/>
      <c r="AJ350" s="2299"/>
      <c r="AK350" s="2299"/>
      <c r="AL350" s="2299"/>
      <c r="AM350" s="2299"/>
      <c r="AN350" s="2299"/>
      <c r="AO350" s="2299"/>
      <c r="AP350" s="2299"/>
      <c r="AQ350" s="2299"/>
      <c r="AR350" s="2299"/>
    </row>
    <row r="351" spans="1:44">
      <c r="A351" s="2177" t="s">
        <v>964</v>
      </c>
      <c r="B351" s="2151"/>
      <c r="C351" s="2136"/>
      <c r="D351" s="2136"/>
      <c r="E351" s="2136"/>
      <c r="F351" s="2136"/>
      <c r="G351" s="2136"/>
      <c r="H351" s="2136"/>
      <c r="I351" s="2136"/>
      <c r="J351" s="2136"/>
      <c r="K351" s="2406"/>
      <c r="L351" s="2411"/>
      <c r="M351" s="2336"/>
      <c r="N351" s="2336"/>
      <c r="O351" s="2336"/>
      <c r="P351" s="2336"/>
      <c r="Q351" s="2336"/>
      <c r="R351" s="2336"/>
      <c r="S351" s="2336"/>
      <c r="T351" s="2336"/>
      <c r="U351" s="2337"/>
      <c r="AI351" s="2299"/>
      <c r="AJ351" s="2299"/>
      <c r="AK351" s="2299"/>
      <c r="AL351" s="2299"/>
      <c r="AM351" s="2299"/>
      <c r="AN351" s="2299"/>
      <c r="AO351" s="2299"/>
      <c r="AP351" s="2299"/>
      <c r="AQ351" s="2299"/>
      <c r="AR351" s="2299"/>
    </row>
    <row r="352" spans="1:44">
      <c r="A352" s="2093" t="s">
        <v>821</v>
      </c>
      <c r="B352" s="2151">
        <f ca="1">($B$6*$C$18*(($C$24*Mat_Sum!$D22)+($C$25*Mat_Sum!$E22)+($C$26*Mat_Sum!$I22)+($C$27*Mat_Sum!$L22)+($C$28*Mat_Sum!$AR22)+($C$29*Mat_Sum!$AV22)+($C$30*Mat_Sum!$AS22)+($C$31*Mat_Sum!$AM22)+($C$32*Mat_Sum!$AG22)+($C$33*0)+($C$34*0)+($C$35*0)+($C$36*Mat_Sum!$CF22)+($C$37*Silicon!$K79)+($C$38*0)))+($C$201*(($C$207*Mat_Sum!$D22)+($C$208*Mat_Sum!$AV22)+($C$209*Mat_Sum!$AR22)))</f>
        <v>2172.2217931622881</v>
      </c>
      <c r="C352" s="2136">
        <f ca="1">($B$6*$C$10*(($C$40*Mat_Sum!$E22)+($C$41*Mat_Sum!$D22)+($C$42*Mat_Sum!$L22)+($C$43*Mat_Sum!$I22)+($C$44*Mat_Sum!$F22)+($C$45*Mat_Sum!$AV22)+($C$46*Mat_Sum!$AR22)+($C$47*Mat_Sum!$AG22)+($C$48*((88%*Mat_Sum!$AG22)+(12%*0)))+($C$49*Mat_Sum!$CF22)+($C$50*Mat_Sum!$AN22)+($C$51*'C.Iron'!$I69)+($C$52*((80%*Mat_Sum!$U22)+(20%*Mat_Sum!$BA22)))+($C$53*Mat_Sum!$AW22)+($C$54*Mat_Sum!$AS22)+($C$55*Mat_Sum!$CQ22)+($C$56*Mat_Sum!$AQ22)+($C$57*Mat_Sum!$AO22)+($C$58*Mat_Sum!$AP22)+($C$59*Mat_Sum!$BJ22)+($C$60*Mat_Sum!$BI22)+($C$61*Mat_Sum!$AR22)+($C$62*0)+($C$63*Mat_Sum!$CF22)+($C$64*Mat_Sum!$BG22)+($C$65*Mat_Sum!$BI22)+($C$66*Mat_Sum!$U22)+($C$67*Mat_Sum!$BA22)+($C$68*Mat_Sum!$CP22)+($C$69*0)+($C$70*Mat_Sum!$AZ22)+($C$71*Mat_Sum!$AM22)+($C$72*0)))+($C$202*(($C$211*Mat_Sum!$D22)+($C$212*Mat_Sum!$BG22)+($C$213*Mat_Sum!$AV22)))</f>
        <v>2723.2579662604371</v>
      </c>
      <c r="D352" s="2136">
        <f ca="1" xml:space="preserve"> $B$6*$C$11*(($C$74*Mat_Sum!$D22)+($C$75*Mat_Sum!$L22)+($C$76*Mat_Sum!$I22)+($C$77*Mat_Sum!$F22)+($C$78*Mat_Sum!$AV22)+($C$79*Mat_Sum!$AR22)+($C$80*Mat_Sum!$AG22)+($C$81*Mat_Sum!$AG22)+($C$82*Mat_Sum!$F22)+($C$83*0))</f>
        <v>1061.6252862135298</v>
      </c>
      <c r="E352" s="2136">
        <f ca="1" xml:space="preserve"> $B$6*$C$12*(($C$85*Mat_Sum!$D22)+($C$86*Mat_Sum!$F22)+($C$87*Mat_Sum!$L22)+($C$88*Mat_Sum!$I22)+($C$89*Mat_Sum!$AV22)+($C$90*Mat_Sum!$AR22)+($C$91*Mat_Sum!$AG22)+($C$92*Mat_Sum!$AG22)+($C$93*Mat_Sum!$F22)+($C$94*0))+($C$187*$B$187*$C$192*(($B$197*Mat_Sum!$D22)+($A$197*Mat_Sum!$AV22)))+($C$188*$B$188*$C$193*(($B$197*Mat_Sum!$D22)+($A$197*Mat_Sum!$AV22)))</f>
        <v>23306.504358870196</v>
      </c>
      <c r="F352" s="2136">
        <f ca="1" xml:space="preserve"> $B$6*$C$13*(($C$96*Mat_Sum!$D22)+($C$97*Mat_Sum!$L22)+($C$98*Mat_Sum!$AG22)+($C$99*0))</f>
        <v>99.476342718672953</v>
      </c>
      <c r="G352" s="2136">
        <f ca="1" xml:space="preserve"> $B$6*$C$14*(($C$101*Mat_Sum!$D22)+($C$102*Mat_Sum!$L22)+($C$103*Mat_Sum!$AG22)+($C$104*0))</f>
        <v>0</v>
      </c>
      <c r="H352" s="2136">
        <f ca="1" xml:space="preserve"> $B$6*$C$15*(($C$106*Mat_Sum!$D22)+($C$107*Mat_Sum!$L22)+($C$108*Mat_Sum!$AG22)+($C$109*Mat_Sum!$AV22)+($C$110*Mat_Sum!$AR22)+($C$111*0))</f>
        <v>7.728438779770034</v>
      </c>
      <c r="I352" s="2136">
        <f ca="1" xml:space="preserve"> $B$6*$C$17*(($C$113*Mat_Sum!$E22)+($C$114*Mat_Sum!$D22)+($C$115*Mat_Sum!$F22)+($C$116*Mat_Sum!$L22)+($C$117*Mat_Sum!$I22)+($C$118*0)+($C$119*Mat_Sum!$AV22)+($C$120*Mat_Sum!$AR22)+($C$121*Mat_Sum!$AG22)+($C$122*Mat_Sum!$AG22)+($C$123*Mat_Sum!$AS22)+($C$124*0)+($C$125*Mat_Sum!$E22)+($C$126*0))</f>
        <v>0</v>
      </c>
      <c r="J352" s="2136">
        <f ca="1">$B$6*$C$16*(($C$128*Mat_Sum!$AU22)+($C$129*Mat_Sum!$D22)+($C$130*Mat_Sum!$E22)+($C$131*Mat_Sum!$AS22)+($C$132*Mat_Sum!$I22)+($C$133*Mat_Sum!$AG22)+($C$134*Mat_Sum!$AQ22)+($C$135*Mat_Sum!$AO22)+($C$136*0))</f>
        <v>0</v>
      </c>
      <c r="K352" s="2406">
        <f ca="1" xml:space="preserve"> $B$6*$C$19*$C$138*Mat_Sum!$D22</f>
        <v>0</v>
      </c>
      <c r="L352" s="2223">
        <f t="shared" ref="L352:U364" ca="1" si="8">B352/$C283</f>
        <v>7.3958514714833667E-2</v>
      </c>
      <c r="M352" s="2218">
        <f t="shared" ca="1" si="8"/>
        <v>9.2719866361691189E-2</v>
      </c>
      <c r="N352" s="2218">
        <f t="shared" ca="1" si="8"/>
        <v>3.61455858693693E-2</v>
      </c>
      <c r="O352" s="2218">
        <f t="shared" ca="1" si="8"/>
        <v>0.79352598846155509</v>
      </c>
      <c r="P352" s="2218">
        <f t="shared" ca="1" si="8"/>
        <v>3.3869113089167666E-3</v>
      </c>
      <c r="Q352" s="2218">
        <f t="shared" ca="1" si="8"/>
        <v>0</v>
      </c>
      <c r="R352" s="2218">
        <f t="shared" ca="1" si="8"/>
        <v>2.6313328363408505E-4</v>
      </c>
      <c r="S352" s="2218">
        <f t="shared" ca="1" si="8"/>
        <v>0</v>
      </c>
      <c r="T352" s="2218">
        <f t="shared" ca="1" si="8"/>
        <v>0</v>
      </c>
      <c r="U352" s="2224">
        <f t="shared" ca="1" si="8"/>
        <v>0</v>
      </c>
      <c r="AI352" s="2299"/>
      <c r="AJ352" s="2299"/>
      <c r="AK352" s="2299"/>
      <c r="AL352" s="2299"/>
      <c r="AM352" s="2299"/>
      <c r="AN352" s="2299"/>
      <c r="AO352" s="2299"/>
      <c r="AP352" s="2299"/>
      <c r="AQ352" s="2299"/>
      <c r="AR352" s="2299"/>
    </row>
    <row r="353" spans="1:44">
      <c r="A353" s="2093" t="s">
        <v>822</v>
      </c>
      <c r="B353" s="2151">
        <f ca="1">($B$6*$C$18*(($C$24*Mat_Sum!$D23)+($C$25*Mat_Sum!$E23)+($C$26*Mat_Sum!$I23)+($C$27*Mat_Sum!$L23)+($C$28*Mat_Sum!$AR23)+($C$29*Mat_Sum!$AV23)+($C$30*Mat_Sum!$AS23)+($C$31*Mat_Sum!$AM23)+($C$32*Mat_Sum!$AG23)+($C$33*0)+($C$34*0)+($C$35*0)+($C$36*Mat_Sum!$CF23)+($C$37*Silicon!$K80)+($C$38*0)))+($C$201*(($C$207*Mat_Sum!$D23)+($C$208*Mat_Sum!$AV23)+($C$209*Mat_Sum!$AR23)))</f>
        <v>12328.415869104145</v>
      </c>
      <c r="C353" s="2136">
        <f ca="1">($B$6*$C$10*(($C$40*Mat_Sum!$E23)+($C$41*Mat_Sum!$D23)+($C$42*Mat_Sum!$L23)+($C$43*Mat_Sum!$I23)+($C$44*Mat_Sum!$F23)+($C$45*Mat_Sum!$AV23)+($C$46*Mat_Sum!$AR23)+($C$47*Mat_Sum!$AG23)+($C$48*((88%*Mat_Sum!$AG23)+(12%*0)))+($C$49*Mat_Sum!$CF23)+($C$50*Mat_Sum!$AN23)+($C$51*'C.Iron'!$I70)+($C$52*((80%*Mat_Sum!$U23)+(20%*Mat_Sum!$BA23)))+($C$53*Mat_Sum!$AW23)+($C$54*Mat_Sum!$AS23)+($C$55*Mat_Sum!$CQ23)+($C$56*Mat_Sum!$AQ23)+($C$57*Mat_Sum!$AO23)+($C$58*Mat_Sum!$AP23)+($C$59*Mat_Sum!$BJ23)+($C$60*Mat_Sum!$BI23)+($C$61*Mat_Sum!$AR23)+($C$62*0)+($C$63*Mat_Sum!$CF23)+($C$64*Mat_Sum!$BG23)+($C$65*Mat_Sum!$BI23)+($C$66*Mat_Sum!$U23)+($C$67*Mat_Sum!$BA23)+($C$68*Mat_Sum!$CP23)+($C$69*0)+($C$70*Mat_Sum!$AZ23)+($C$71*Mat_Sum!$AM23)+($C$72*0)))+($C$202*(($C$211*Mat_Sum!$D23)+($C$212*Mat_Sum!$BG23)+($C$213*Mat_Sum!$AV23)))</f>
        <v>12645.276576325083</v>
      </c>
      <c r="D353" s="2136">
        <f ca="1" xml:space="preserve"> $B$6*$C$11*(($C$74*Mat_Sum!$D23)+($C$75*Mat_Sum!$L23)+($C$76*Mat_Sum!$I23)+($C$77*Mat_Sum!$F23)+($C$78*Mat_Sum!$AV23)+($C$79*Mat_Sum!$AR23)+($C$80*Mat_Sum!$AG23)+($C$81*Mat_Sum!$AG23)+($C$82*Mat_Sum!$F23)+($C$83*0))</f>
        <v>7124.9603128298086</v>
      </c>
      <c r="E353" s="2136">
        <f ca="1" xml:space="preserve"> $B$6*$C$12*(($C$85*Mat_Sum!$D23)+($C$86*Mat_Sum!$F23)+($C$87*Mat_Sum!$L23)+($C$88*Mat_Sum!$I23)+($C$89*Mat_Sum!$AV23)+($C$90*Mat_Sum!$AR23)+($C$91*Mat_Sum!$AG23)+($C$92*Mat_Sum!$AG23)+($C$93*Mat_Sum!$F23)+($C$94*0))+($C$187*$B$187*$C$192*(($B$197*Mat_Sum!$D23)+($A$197*Mat_Sum!$AV23)))+($C$188*$B$188*$C$193*(($B$197*Mat_Sum!$D23)+($A$197*Mat_Sum!$AV23)))</f>
        <v>85132.556678756504</v>
      </c>
      <c r="F353" s="2136">
        <f ca="1" xml:space="preserve"> $B$6*$C$13*(($C$96*Mat_Sum!$D23)+($C$97*Mat_Sum!$L23)+($C$98*Mat_Sum!$AG23)+($C$99*0))</f>
        <v>651.89269300038802</v>
      </c>
      <c r="G353" s="2136">
        <f ca="1" xml:space="preserve"> $B$6*$C$14*(($C$101*Mat_Sum!$D23)+($C$102*Mat_Sum!$L23)+($C$103*Mat_Sum!$AG23)+($C$104*0))</f>
        <v>0</v>
      </c>
      <c r="H353" s="2136">
        <f ca="1" xml:space="preserve"> $B$6*$C$15*(($C$106*Mat_Sum!$D23)+($C$107*Mat_Sum!$L23)+($C$108*Mat_Sum!$AG23)+($C$109*Mat_Sum!$AV23)+($C$110*Mat_Sum!$AR23)+($C$111*0))</f>
        <v>29.834836857733038</v>
      </c>
      <c r="I353" s="2136">
        <f ca="1" xml:space="preserve"> $B$6*$C$17*(($C$113*Mat_Sum!$E23)+($C$114*Mat_Sum!$D23)+($C$115*Mat_Sum!$F23)+($C$116*Mat_Sum!$L23)+($C$117*Mat_Sum!$I23)+($C$118*0)+($C$119*Mat_Sum!$AV23)+($C$120*Mat_Sum!$AR23)+($C$121*Mat_Sum!$AG23)+($C$122*Mat_Sum!$AG23)+($C$123*Mat_Sum!$AS23)+($C$124*0)+($C$125*Mat_Sum!$E23)+($C$126*0))</f>
        <v>0</v>
      </c>
      <c r="J353" s="2136">
        <f ca="1">$B$6*$C$16*(($C$128*Mat_Sum!$AU23)+($C$129*Mat_Sum!$D23)+($C$130*Mat_Sum!$E23)+($C$131*Mat_Sum!$AS23)+($C$132*Mat_Sum!$I23)+($C$133*Mat_Sum!$AG23)+($C$134*Mat_Sum!$AQ23)+($C$135*Mat_Sum!$AO23)+($C$136*0))</f>
        <v>0</v>
      </c>
      <c r="K353" s="2406">
        <f ca="1" xml:space="preserve"> $B$6*$C$19*$C$138*Mat_Sum!$D23</f>
        <v>0</v>
      </c>
      <c r="L353" s="2223">
        <f t="shared" ca="1" si="8"/>
        <v>0.10455524377759906</v>
      </c>
      <c r="M353" s="2218">
        <f t="shared" ca="1" si="8"/>
        <v>0.10724248671608982</v>
      </c>
      <c r="N353" s="2218">
        <f t="shared" ca="1" si="8"/>
        <v>6.0425602958490379E-2</v>
      </c>
      <c r="O353" s="2218">
        <f t="shared" ca="1" si="8"/>
        <v>0.72199504879327681</v>
      </c>
      <c r="P353" s="2218">
        <f t="shared" ca="1" si="8"/>
        <v>5.5285934670894531E-3</v>
      </c>
      <c r="Q353" s="2218">
        <f t="shared" ca="1" si="8"/>
        <v>0</v>
      </c>
      <c r="R353" s="2218">
        <f t="shared" ca="1" si="8"/>
        <v>2.530242874546905E-4</v>
      </c>
      <c r="S353" s="2218">
        <f t="shared" ca="1" si="8"/>
        <v>0</v>
      </c>
      <c r="T353" s="2218">
        <f t="shared" ca="1" si="8"/>
        <v>0</v>
      </c>
      <c r="U353" s="2224">
        <f t="shared" ca="1" si="8"/>
        <v>0</v>
      </c>
      <c r="AI353" s="2299"/>
      <c r="AJ353" s="2299"/>
      <c r="AK353" s="2299"/>
      <c r="AL353" s="2299"/>
      <c r="AM353" s="2299"/>
      <c r="AN353" s="2299"/>
      <c r="AO353" s="2299"/>
      <c r="AP353" s="2299"/>
      <c r="AQ353" s="2299"/>
      <c r="AR353" s="2299"/>
    </row>
    <row r="354" spans="1:44" ht="15.75">
      <c r="A354" s="2093" t="s">
        <v>2542</v>
      </c>
      <c r="B354" s="2151">
        <f ca="1">($B$6*$C$18*(($C$24*Mat_Sum!$D24)+($C$25*Mat_Sum!$E24)+($C$26*Mat_Sum!$I24)+($C$27*Mat_Sum!$L24)+($C$28*Mat_Sum!$AR24)+($C$29*Mat_Sum!$AV24)+($C$30*Mat_Sum!$AS24)+($C$31*Mat_Sum!$AM24)+($C$32*Mat_Sum!$AG24)+($C$33*0)+($C$34*0)+($C$35*0)+($C$36*Mat_Sum!$CF24)+($C$37*Silicon!$K81)+($C$38*0)))+($C$201*(($C$207*Mat_Sum!$D24)+($C$208*Mat_Sum!$AV24)+($C$209*Mat_Sum!$AR24)))</f>
        <v>5058.1822267317284</v>
      </c>
      <c r="C354" s="2136">
        <f ca="1">($B$6*$C$10*(($C$40*Mat_Sum!$E24)+($C$41*Mat_Sum!$D24)+($C$42*Mat_Sum!$L24)+($C$43*Mat_Sum!$I24)+($C$44*Mat_Sum!$F24)+($C$45*Mat_Sum!$AV24)+($C$46*Mat_Sum!$AR24)+($C$47*Mat_Sum!$AG24)+($C$48*((88%*Mat_Sum!$AG24)+(12%*0)))+($C$49*Mat_Sum!$CF24)+($C$50*Mat_Sum!$AN24)+($C$51*'C.Iron'!$I71)+($C$52*((80%*Mat_Sum!$U24)+(20%*Mat_Sum!$BA24)))+($C$53*Mat_Sum!$AW24)+($C$54*Mat_Sum!$AS24)+($C$55*Mat_Sum!$CQ24)+($C$56*Mat_Sum!$AQ24)+($C$57*Mat_Sum!$AO24)+($C$58*Mat_Sum!$AP24)+($C$59*Mat_Sum!$BJ24)+($C$60*Mat_Sum!$BI24)+($C$61*Mat_Sum!$AR24)+($C$62*0)+($C$63*Mat_Sum!$CF24)+($C$64*Mat_Sum!$BG24)+($C$65*Mat_Sum!$BI24)+($C$66*Mat_Sum!$U24)+($C$67*Mat_Sum!$BA24)+($C$68*Mat_Sum!$CP24)+($C$69*0)+($C$70*Mat_Sum!$AZ24)+($C$71*Mat_Sum!$AM24)+($C$72*0)))+($C$202*(($C$211*Mat_Sum!$D24)+($C$212*Mat_Sum!$BG24)+($C$213*Mat_Sum!$AV24)))</f>
        <v>3212.3206600616195</v>
      </c>
      <c r="D354" s="2136">
        <f ca="1" xml:space="preserve"> $B$6*$C$11*(($C$74*Mat_Sum!$D24)+($C$75*Mat_Sum!$L24)+($C$76*Mat_Sum!$I24)+($C$77*Mat_Sum!$F24)+($C$78*Mat_Sum!$AV24)+($C$79*Mat_Sum!$AR24)+($C$80*Mat_Sum!$AG24)+($C$81*Mat_Sum!$AG24)+($C$82*Mat_Sum!$F24)+($C$83*0))</f>
        <v>1022.959844439443</v>
      </c>
      <c r="E354" s="2136">
        <f ca="1" xml:space="preserve"> $B$6*$C$12*(($C$85*Mat_Sum!$D24)+($C$86*Mat_Sum!$F24)+($C$87*Mat_Sum!$L24)+($C$88*Mat_Sum!$I24)+($C$89*Mat_Sum!$AV24)+($C$90*Mat_Sum!$AR24)+($C$91*Mat_Sum!$AG24)+($C$92*Mat_Sum!$AG24)+($C$93*Mat_Sum!$F24)+($C$94*0))+($C$187*$B$187*$C$192*(($B$197*Mat_Sum!$D24)+($A$197*Mat_Sum!$AV24)))+($C$188*$B$188*$C$193*(($B$197*Mat_Sum!$D24)+($A$197*Mat_Sum!$AV24)))</f>
        <v>19725.612319331984</v>
      </c>
      <c r="F354" s="2136">
        <f ca="1" xml:space="preserve"> $B$6*$C$13*(($C$96*Mat_Sum!$D24)+($C$97*Mat_Sum!$L24)+($C$98*Mat_Sum!$AG24)+($C$99*0))</f>
        <v>208.02718081180564</v>
      </c>
      <c r="G354" s="2136">
        <f ca="1" xml:space="preserve"> $B$6*$C$14*(($C$101*Mat_Sum!$D24)+($C$102*Mat_Sum!$L24)+($C$103*Mat_Sum!$AG24)+($C$104*0))</f>
        <v>0</v>
      </c>
      <c r="H354" s="2136">
        <f ca="1" xml:space="preserve"> $B$6*$C$15*(($C$106*Mat_Sum!$D24)+($C$107*Mat_Sum!$L24)+($C$108*Mat_Sum!$AG24)+($C$109*Mat_Sum!$AV24)+($C$110*Mat_Sum!$AR24)+($C$111*0))</f>
        <v>22.815559307363692</v>
      </c>
      <c r="I354" s="2136">
        <f ca="1" xml:space="preserve"> $B$6*$C$17*(($C$113*Mat_Sum!$E24)+($C$114*Mat_Sum!$D24)+($C$115*Mat_Sum!$F24)+($C$116*Mat_Sum!$L24)+($C$117*Mat_Sum!$I24)+($C$118*0)+($C$119*Mat_Sum!$AV24)+($C$120*Mat_Sum!$AR24)+($C$121*Mat_Sum!$AG24)+($C$122*Mat_Sum!$AG24)+($C$123*Mat_Sum!$AS24)+($C$124*0)+($C$125*Mat_Sum!$E24)+($C$126*0))</f>
        <v>0</v>
      </c>
      <c r="J354" s="2136">
        <f ca="1">$B$6*$C$16*(($C$128*Mat_Sum!$AU24)+($C$129*Mat_Sum!$D24)+($C$130*Mat_Sum!$E24)+($C$131*Mat_Sum!$AS24)+($C$132*Mat_Sum!$I24)+($C$133*Mat_Sum!$AG24)+($C$134*Mat_Sum!$AQ24)+($C$135*Mat_Sum!$AO24)+($C$136*0))</f>
        <v>0</v>
      </c>
      <c r="K354" s="2406">
        <f ca="1" xml:space="preserve"> $B$6*$C$19*$C$138*Mat_Sum!$D24</f>
        <v>0</v>
      </c>
      <c r="L354" s="2223">
        <f t="shared" ca="1" si="8"/>
        <v>0.17292979292894803</v>
      </c>
      <c r="M354" s="2218">
        <f t="shared" ca="1" si="8"/>
        <v>0.10982323721555</v>
      </c>
      <c r="N354" s="2218">
        <f t="shared" ca="1" si="8"/>
        <v>3.4973084429155352E-2</v>
      </c>
      <c r="O354" s="2218">
        <f t="shared" ca="1" si="8"/>
        <v>0.67438180375380608</v>
      </c>
      <c r="P354" s="2218">
        <f t="shared" ca="1" si="8"/>
        <v>7.1120603586127661E-3</v>
      </c>
      <c r="Q354" s="2218">
        <f t="shared" ca="1" si="8"/>
        <v>0</v>
      </c>
      <c r="R354" s="2218">
        <f t="shared" ca="1" si="8"/>
        <v>7.8002131392760396E-4</v>
      </c>
      <c r="S354" s="2218">
        <f t="shared" ca="1" si="8"/>
        <v>0</v>
      </c>
      <c r="T354" s="2218">
        <f t="shared" ca="1" si="8"/>
        <v>0</v>
      </c>
      <c r="U354" s="2224">
        <f t="shared" ca="1" si="8"/>
        <v>0</v>
      </c>
      <c r="AI354" s="2299"/>
      <c r="AJ354" s="2299"/>
      <c r="AK354" s="2299"/>
      <c r="AL354" s="2299"/>
      <c r="AM354" s="2299"/>
      <c r="AN354" s="2299"/>
      <c r="AO354" s="2299"/>
      <c r="AP354" s="2299"/>
      <c r="AQ354" s="2299"/>
      <c r="AR354" s="2299"/>
    </row>
    <row r="355" spans="1:44" ht="15.75">
      <c r="A355" s="2093" t="s">
        <v>2543</v>
      </c>
      <c r="B355" s="2151">
        <f ca="1">($B$6*$C$18*(($C$24*Mat_Sum!$D25)+($C$25*Mat_Sum!$E25)+($C$26*Mat_Sum!$I25)+($C$27*Mat_Sum!$L25)+($C$28*Mat_Sum!$AR25)+($C$29*Mat_Sum!$AV25)+($C$30*Mat_Sum!$AS25)+($C$31*Mat_Sum!$AM25)+($C$32*Mat_Sum!$AG25)+($C$33*0)+($C$34*0)+($C$35*0)+($C$36*Mat_Sum!$CF25)+($C$37*Silicon!$K82)+($C$38*0)))+($C$201*(($C$207*Mat_Sum!$D25)+($C$208*Mat_Sum!$AV25)+($C$209*Mat_Sum!$AR25)))</f>
        <v>2838.0005827451309</v>
      </c>
      <c r="C355" s="2136">
        <f ca="1">($B$6*$C$10*(($C$40*Mat_Sum!$E25)+($C$41*Mat_Sum!$D25)+($C$42*Mat_Sum!$L25)+($C$43*Mat_Sum!$I25)+($C$44*Mat_Sum!$F25)+($C$45*Mat_Sum!$AV25)+($C$46*Mat_Sum!$AR25)+($C$47*Mat_Sum!$AG25)+($C$48*((88%*Mat_Sum!$AG25)+(12%*0)))+($C$49*Mat_Sum!$CF25)+($C$50*Mat_Sum!$AN25)+($C$51*'C.Iron'!$I72)+($C$52*((80%*Mat_Sum!$U25)+(20%*Mat_Sum!$BA25)))+($C$53*Mat_Sum!$AW25)+($C$54*Mat_Sum!$AS25)+($C$55*Mat_Sum!$CQ25)+($C$56*Mat_Sum!$AQ25)+($C$57*Mat_Sum!$AO25)+($C$58*Mat_Sum!$AP25)+($C$59*Mat_Sum!$BJ25)+($C$60*Mat_Sum!$BI25)+($C$61*Mat_Sum!$AR25)+($C$62*0)+($C$63*Mat_Sum!$CF25)+($C$64*Mat_Sum!$BG25)+($C$65*Mat_Sum!$BI25)+($C$66*Mat_Sum!$U25)+($C$67*Mat_Sum!$BA25)+($C$68*Mat_Sum!$CP25)+($C$69*0)+($C$70*Mat_Sum!$AZ25)+($C$71*Mat_Sum!$AM25)+($C$72*0)))+($C$202*(($C$211*Mat_Sum!$D25)+($C$212*Mat_Sum!$BG25)+($C$213*Mat_Sum!$AV25)))</f>
        <v>1976.7565405115552</v>
      </c>
      <c r="D355" s="2136">
        <f ca="1" xml:space="preserve"> $B$6*$C$11*(($C$74*Mat_Sum!$D25)+($C$75*Mat_Sum!$L25)+($C$76*Mat_Sum!$I25)+($C$77*Mat_Sum!$F25)+($C$78*Mat_Sum!$AV25)+($C$79*Mat_Sum!$AR25)+($C$80*Mat_Sum!$AG25)+($C$81*Mat_Sum!$AG25)+($C$82*Mat_Sum!$F25)+($C$83*0))</f>
        <v>584.68693661619773</v>
      </c>
      <c r="E355" s="2136">
        <f ca="1" xml:space="preserve"> $B$6*$C$12*(($C$85*Mat_Sum!$D25)+($C$86*Mat_Sum!$F25)+($C$87*Mat_Sum!$L25)+($C$88*Mat_Sum!$I25)+($C$89*Mat_Sum!$AV25)+($C$90*Mat_Sum!$AR25)+($C$91*Mat_Sum!$AG25)+($C$92*Mat_Sum!$AG25)+($C$93*Mat_Sum!$F25)+($C$94*0))+($C$187*$B$187*$C$192*(($B$197*Mat_Sum!$D25)+($A$197*Mat_Sum!$AV25)))+($C$188*$B$188*$C$193*(($B$197*Mat_Sum!$D25)+($A$197*Mat_Sum!$AV25)))</f>
        <v>8029.7677516910553</v>
      </c>
      <c r="F355" s="2136">
        <f ca="1" xml:space="preserve"> $B$6*$C$13*(($C$96*Mat_Sum!$D25)+($C$97*Mat_Sum!$L25)+($C$98*Mat_Sum!$AG25)+($C$99*0))</f>
        <v>95.9309841652899</v>
      </c>
      <c r="G355" s="2136">
        <f ca="1" xml:space="preserve"> $B$6*$C$14*(($C$101*Mat_Sum!$D25)+($C$102*Mat_Sum!$L25)+($C$103*Mat_Sum!$AG25)+($C$104*0))</f>
        <v>0</v>
      </c>
      <c r="H355" s="2136">
        <f ca="1" xml:space="preserve"> $B$6*$C$15*(($C$106*Mat_Sum!$D25)+($C$107*Mat_Sum!$L25)+($C$108*Mat_Sum!$AG25)+($C$109*Mat_Sum!$AV25)+($C$110*Mat_Sum!$AR25)+($C$111*0))</f>
        <v>9.5227014586955789</v>
      </c>
      <c r="I355" s="2136">
        <f ca="1" xml:space="preserve"> $B$6*$C$17*(($C$113*Mat_Sum!$E25)+($C$114*Mat_Sum!$D25)+($C$115*Mat_Sum!$F25)+($C$116*Mat_Sum!$L25)+($C$117*Mat_Sum!$I25)+($C$118*0)+($C$119*Mat_Sum!$AV25)+($C$120*Mat_Sum!$AR25)+($C$121*Mat_Sum!$AG25)+($C$122*Mat_Sum!$AG25)+($C$123*Mat_Sum!$AS25)+($C$124*0)+($C$125*Mat_Sum!$E25)+($C$126*0))</f>
        <v>0</v>
      </c>
      <c r="J355" s="2136">
        <f ca="1">$B$6*$C$16*(($C$128*Mat_Sum!$AU25)+($C$129*Mat_Sum!$D25)+($C$130*Mat_Sum!$E25)+($C$131*Mat_Sum!$AS25)+($C$132*Mat_Sum!$I25)+($C$133*Mat_Sum!$AG25)+($C$134*Mat_Sum!$AQ25)+($C$135*Mat_Sum!$AO25)+($C$136*0))</f>
        <v>0</v>
      </c>
      <c r="K355" s="2406">
        <f ca="1" xml:space="preserve"> $B$6*$C$19*$C$138*Mat_Sum!$D25</f>
        <v>0</v>
      </c>
      <c r="L355" s="2223">
        <f t="shared" ca="1" si="8"/>
        <v>0.20968383617125799</v>
      </c>
      <c r="M355" s="2218">
        <f t="shared" ca="1" si="8"/>
        <v>0.14605137754769504</v>
      </c>
      <c r="N355" s="2218">
        <f t="shared" ca="1" si="8"/>
        <v>4.3199215875536573E-2</v>
      </c>
      <c r="O355" s="2218">
        <f t="shared" ca="1" si="8"/>
        <v>0.59327419309767104</v>
      </c>
      <c r="P355" s="2218">
        <f t="shared" ca="1" si="8"/>
        <v>7.0877986740951462E-3</v>
      </c>
      <c r="Q355" s="2218">
        <f t="shared" ca="1" si="8"/>
        <v>0</v>
      </c>
      <c r="R355" s="2218">
        <f t="shared" ca="1" si="8"/>
        <v>7.0357863374415086E-4</v>
      </c>
      <c r="S355" s="2218">
        <f t="shared" ca="1" si="8"/>
        <v>0</v>
      </c>
      <c r="T355" s="2218">
        <f t="shared" ca="1" si="8"/>
        <v>0</v>
      </c>
      <c r="U355" s="2224">
        <f t="shared" ca="1" si="8"/>
        <v>0</v>
      </c>
      <c r="AI355" s="2299"/>
      <c r="AJ355" s="2299"/>
      <c r="AK355" s="2299"/>
      <c r="AL355" s="2299"/>
      <c r="AM355" s="2299"/>
      <c r="AN355" s="2299"/>
      <c r="AO355" s="2299"/>
      <c r="AP355" s="2299"/>
      <c r="AQ355" s="2299"/>
      <c r="AR355" s="2299"/>
    </row>
    <row r="356" spans="1:44" ht="15.75">
      <c r="A356" s="2093" t="s">
        <v>2544</v>
      </c>
      <c r="B356" s="2151">
        <f ca="1">($B$6*$C$18*(($C$24*Mat_Sum!$D26)+($C$25*Mat_Sum!$E26)+($C$26*Mat_Sum!$I26)+($C$27*Mat_Sum!$L26)+($C$28*Mat_Sum!$AR26)+($C$29*Mat_Sum!$AV26)+($C$30*Mat_Sum!$AS26)+($C$31*Mat_Sum!$AM26)+($C$32*Mat_Sum!$AG26)+($C$33*0)+($C$34*0)+($C$35*0)+($C$36*Mat_Sum!$CF26)+($C$37*Silicon!$K83)+($C$38*0)))+($C$201*(($C$207*Mat_Sum!$D26)+($C$208*Mat_Sum!$AV26)+($C$209*Mat_Sum!$AR26)))</f>
        <v>1076.5396671389356</v>
      </c>
      <c r="C356" s="2136">
        <f ca="1">($B$6*$C$10*(($C$40*Mat_Sum!$E26)+($C$41*Mat_Sum!$D26)+($C$42*Mat_Sum!$L26)+($C$43*Mat_Sum!$I26)+($C$44*Mat_Sum!$F26)+($C$45*Mat_Sum!$AV26)+($C$46*Mat_Sum!$AR26)+($C$47*Mat_Sum!$AG26)+($C$48*((88%*Mat_Sum!$AG26)+(12%*0)))+($C$49*Mat_Sum!$CF26)+($C$50*Mat_Sum!$AN26)+($C$51*'C.Iron'!$I73)+($C$52*((80%*Mat_Sum!$U26)+(20%*Mat_Sum!$BA26)))+($C$53*Mat_Sum!$AW26)+($C$54*Mat_Sum!$AS26)+($C$55*Mat_Sum!$CQ26)+($C$56*Mat_Sum!$AQ26)+($C$57*Mat_Sum!$AO26)+($C$58*Mat_Sum!$AP26)+($C$59*Mat_Sum!$BJ26)+($C$60*Mat_Sum!$BI26)+($C$61*Mat_Sum!$AR26)+($C$62*0)+($C$63*Mat_Sum!$CF26)+($C$64*Mat_Sum!$BG26)+($C$65*Mat_Sum!$BI26)+($C$66*Mat_Sum!$U26)+($C$67*Mat_Sum!$BA26)+($C$68*Mat_Sum!$CP26)+($C$69*0)+($C$70*Mat_Sum!$AZ26)+($C$71*Mat_Sum!$AM26)+($C$72*0)))+($C$202*(($C$211*Mat_Sum!$D26)+($C$212*Mat_Sum!$BG26)+($C$213*Mat_Sum!$AV26)))</f>
        <v>947.38432376920764</v>
      </c>
      <c r="D356" s="2136">
        <f ca="1" xml:space="preserve"> $B$6*$C$11*(($C$74*Mat_Sum!$D26)+($C$75*Mat_Sum!$L26)+($C$76*Mat_Sum!$I26)+($C$77*Mat_Sum!$F26)+($C$78*Mat_Sum!$AV26)+($C$79*Mat_Sum!$AR26)+($C$80*Mat_Sum!$AG26)+($C$81*Mat_Sum!$AG26)+($C$82*Mat_Sum!$F26)+($C$83*0))</f>
        <v>276.83018569156764</v>
      </c>
      <c r="E356" s="2136">
        <f ca="1" xml:space="preserve"> $B$6*$C$12*(($C$85*Mat_Sum!$D26)+($C$86*Mat_Sum!$F26)+($C$87*Mat_Sum!$L26)+($C$88*Mat_Sum!$I26)+($C$89*Mat_Sum!$AV26)+($C$90*Mat_Sum!$AR26)+($C$91*Mat_Sum!$AG26)+($C$92*Mat_Sum!$AG26)+($C$93*Mat_Sum!$F26)+($C$94*0))+($C$187*$B$187*$C$192*(($B$197*Mat_Sum!$D26)+($A$197*Mat_Sum!$AV26)))+($C$188*$B$188*$C$193*(($B$197*Mat_Sum!$D26)+($A$197*Mat_Sum!$AV26)))</f>
        <v>4018.5037498049942</v>
      </c>
      <c r="F356" s="2136">
        <f ca="1" xml:space="preserve"> $B$6*$C$13*(($C$96*Mat_Sum!$D26)+($C$97*Mat_Sum!$L26)+($C$98*Mat_Sum!$AG26)+($C$99*0))</f>
        <v>48.904900611765648</v>
      </c>
      <c r="G356" s="2136">
        <f ca="1" xml:space="preserve"> $B$6*$C$14*(($C$101*Mat_Sum!$D26)+($C$102*Mat_Sum!$L26)+($C$103*Mat_Sum!$AG26)+($C$104*0))</f>
        <v>0</v>
      </c>
      <c r="H356" s="2136">
        <f ca="1" xml:space="preserve"> $B$6*$C$15*(($C$106*Mat_Sum!$D26)+($C$107*Mat_Sum!$L26)+($C$108*Mat_Sum!$AG26)+($C$109*Mat_Sum!$AV26)+($C$110*Mat_Sum!$AR26)+($C$111*0))</f>
        <v>4.3434605656719638</v>
      </c>
      <c r="I356" s="2136">
        <f ca="1" xml:space="preserve"> $B$6*$C$17*(($C$113*Mat_Sum!$E26)+($C$114*Mat_Sum!$D26)+($C$115*Mat_Sum!$F26)+($C$116*Mat_Sum!$L26)+($C$117*Mat_Sum!$I26)+($C$118*0)+($C$119*Mat_Sum!$AV26)+($C$120*Mat_Sum!$AR26)+($C$121*Mat_Sum!$AG26)+($C$122*Mat_Sum!$AG26)+($C$123*Mat_Sum!$AS26)+($C$124*0)+($C$125*Mat_Sum!$E26)+($C$126*0))</f>
        <v>0</v>
      </c>
      <c r="J356" s="2136">
        <f ca="1">$B$6*$C$16*(($C$128*Mat_Sum!$AU26)+($C$129*Mat_Sum!$D26)+($C$130*Mat_Sum!$E26)+($C$131*Mat_Sum!$AS26)+($C$132*Mat_Sum!$I26)+($C$133*Mat_Sum!$AG26)+($C$134*Mat_Sum!$AQ26)+($C$135*Mat_Sum!$AO26)+($C$136*0))</f>
        <v>0</v>
      </c>
      <c r="K356" s="2406">
        <f ca="1" xml:space="preserve"> $B$6*$C$19*$C$138*Mat_Sum!$D26</f>
        <v>0</v>
      </c>
      <c r="L356" s="2223">
        <f t="shared" ca="1" si="8"/>
        <v>0.16893504981497579</v>
      </c>
      <c r="M356" s="2218">
        <f t="shared" ca="1" si="8"/>
        <v>0.14866746002516137</v>
      </c>
      <c r="N356" s="2218">
        <f t="shared" ca="1" si="8"/>
        <v>4.3441335825908242E-2</v>
      </c>
      <c r="O356" s="2218">
        <f t="shared" ca="1" si="8"/>
        <v>0.63060020162486108</v>
      </c>
      <c r="P356" s="2218">
        <f t="shared" ca="1" si="8"/>
        <v>7.6743589421111669E-3</v>
      </c>
      <c r="Q356" s="2218">
        <f t="shared" ca="1" si="8"/>
        <v>0</v>
      </c>
      <c r="R356" s="2218">
        <f t="shared" ca="1" si="8"/>
        <v>6.8159376698237212E-4</v>
      </c>
      <c r="S356" s="2218">
        <f t="shared" ca="1" si="8"/>
        <v>0</v>
      </c>
      <c r="T356" s="2218">
        <f t="shared" ca="1" si="8"/>
        <v>0</v>
      </c>
      <c r="U356" s="2224">
        <f t="shared" ca="1" si="8"/>
        <v>0</v>
      </c>
      <c r="AI356" s="2299"/>
      <c r="AJ356" s="2299"/>
      <c r="AK356" s="2299"/>
      <c r="AL356" s="2299"/>
      <c r="AM356" s="2299"/>
      <c r="AN356" s="2299"/>
      <c r="AO356" s="2299"/>
      <c r="AP356" s="2299"/>
      <c r="AQ356" s="2299"/>
      <c r="AR356" s="2299"/>
    </row>
    <row r="357" spans="1:44" ht="15.75">
      <c r="A357" s="2093" t="s">
        <v>2545</v>
      </c>
      <c r="B357" s="2151">
        <f ca="1">($B$6*$C$18*(($C$24*Mat_Sum!$D27)+($C$25*Mat_Sum!$E27)+($C$26*Mat_Sum!$I27)+($C$27*Mat_Sum!$L27)+($C$28*Mat_Sum!$AR27)+($C$29*Mat_Sum!$AV27)+($C$30*Mat_Sum!$AS27)+($C$31*Mat_Sum!$AM27)+($C$32*Mat_Sum!$AG27)+($C$33*0)+($C$34*0)+($C$35*0)+($C$36*Mat_Sum!$CF27)+($C$37*Silicon!$K84)+($C$38*0)))+($C$201*(($C$207*Mat_Sum!$D27)+($C$208*Mat_Sum!$AV27)+($C$209*Mat_Sum!$AR27)))</f>
        <v>13395.958626244139</v>
      </c>
      <c r="C357" s="2136">
        <f ca="1">($B$6*$C$10*(($C$40*Mat_Sum!$E27)+($C$41*Mat_Sum!$D27)+($C$42*Mat_Sum!$L27)+($C$43*Mat_Sum!$I27)+($C$44*Mat_Sum!$F27)+($C$45*Mat_Sum!$AV27)+($C$46*Mat_Sum!$AR27)+($C$47*Mat_Sum!$AG27)+($C$48*((88%*Mat_Sum!$AG27)+(12%*0)))+($C$49*Mat_Sum!$CF27)+($C$50*Mat_Sum!$AN27)+($C$51*'C.Iron'!$I74)+($C$52*((80%*Mat_Sum!$U27)+(20%*Mat_Sum!$BA27)))+($C$53*Mat_Sum!$AW27)+($C$54*Mat_Sum!$AS27)+($C$55*Mat_Sum!$CQ27)+($C$56*Mat_Sum!$AQ27)+($C$57*Mat_Sum!$AO27)+($C$58*Mat_Sum!$AP27)+($C$59*Mat_Sum!$BJ27)+($C$60*Mat_Sum!$BI27)+($C$61*Mat_Sum!$AR27)+($C$62*0)+($C$63*Mat_Sum!$CF27)+($C$64*Mat_Sum!$BG27)+($C$65*Mat_Sum!$BI27)+($C$66*Mat_Sum!$U27)+($C$67*Mat_Sum!$BA27)+($C$68*Mat_Sum!$CP27)+($C$69*0)+($C$70*Mat_Sum!$AZ27)+($C$71*Mat_Sum!$AM27)+($C$72*0)))+($C$202*(($C$211*Mat_Sum!$D27)+($C$212*Mat_Sum!$BG27)+($C$213*Mat_Sum!$AV27)))</f>
        <v>13315.822761710366</v>
      </c>
      <c r="D357" s="2136">
        <f ca="1" xml:space="preserve"> $B$6*$C$11*(($C$74*Mat_Sum!$D27)+($C$75*Mat_Sum!$L27)+($C$76*Mat_Sum!$I27)+($C$77*Mat_Sum!$F27)+($C$78*Mat_Sum!$AV27)+($C$79*Mat_Sum!$AR27)+($C$80*Mat_Sum!$AG27)+($C$81*Mat_Sum!$AG27)+($C$82*Mat_Sum!$F27)+($C$83*0))</f>
        <v>4053.0351703259362</v>
      </c>
      <c r="E357" s="2136">
        <f ca="1" xml:space="preserve"> $B$6*$C$12*(($C$85*Mat_Sum!$D27)+($C$86*Mat_Sum!$F27)+($C$87*Mat_Sum!$L27)+($C$88*Mat_Sum!$I27)+($C$89*Mat_Sum!$AV27)+($C$90*Mat_Sum!$AR27)+($C$91*Mat_Sum!$AG27)+($C$92*Mat_Sum!$AG27)+($C$93*Mat_Sum!$F27)+($C$94*0))+($C$187*$B$187*$C$192*(($B$197*Mat_Sum!$D27)+($A$197*Mat_Sum!$AV27)))+($C$188*$B$188*$C$193*(($B$197*Mat_Sum!$D27)+($A$197*Mat_Sum!$AV27)))</f>
        <v>46680.079471697252</v>
      </c>
      <c r="F357" s="2136">
        <f ca="1" xml:space="preserve"> $B$6*$C$13*(($C$96*Mat_Sum!$D27)+($C$97*Mat_Sum!$L27)+($C$98*Mat_Sum!$AG27)+($C$99*0))</f>
        <v>3698.7568269785857</v>
      </c>
      <c r="G357" s="2136">
        <f ca="1" xml:space="preserve"> $B$6*$C$14*(($C$101*Mat_Sum!$D27)+($C$102*Mat_Sum!$L27)+($C$103*Mat_Sum!$AG27)+($C$104*0))</f>
        <v>0</v>
      </c>
      <c r="H357" s="2136">
        <f ca="1" xml:space="preserve"> $B$6*$C$15*(($C$106*Mat_Sum!$D27)+($C$107*Mat_Sum!$L27)+($C$108*Mat_Sum!$AG27)+($C$109*Mat_Sum!$AV27)+($C$110*Mat_Sum!$AR27)+($C$111*0))</f>
        <v>159.144247740434</v>
      </c>
      <c r="I357" s="2136">
        <f ca="1" xml:space="preserve"> $B$6*$C$17*(($C$113*Mat_Sum!$E27)+($C$114*Mat_Sum!$D27)+($C$115*Mat_Sum!$F27)+($C$116*Mat_Sum!$L27)+($C$117*Mat_Sum!$I27)+($C$118*0)+($C$119*Mat_Sum!$AV27)+($C$120*Mat_Sum!$AR27)+($C$121*Mat_Sum!$AG27)+($C$122*Mat_Sum!$AG27)+($C$123*Mat_Sum!$AS27)+($C$124*0)+($C$125*Mat_Sum!$E27)+($C$126*0))</f>
        <v>0</v>
      </c>
      <c r="J357" s="2136">
        <f ca="1">$B$6*$C$16*(($C$128*Mat_Sum!$AU27)+($C$129*Mat_Sum!$D27)+($C$130*Mat_Sum!$E27)+($C$131*Mat_Sum!$AS27)+($C$132*Mat_Sum!$I27)+($C$133*Mat_Sum!$AG27)+($C$134*Mat_Sum!$AQ27)+($C$135*Mat_Sum!$AO27)+($C$136*0))</f>
        <v>0</v>
      </c>
      <c r="K357" s="2406">
        <f ca="1" xml:space="preserve"> $B$6*$C$19*$C$138*Mat_Sum!$D27</f>
        <v>0</v>
      </c>
      <c r="L357" s="2223">
        <f t="shared" ca="1" si="8"/>
        <v>0.16476627008285644</v>
      </c>
      <c r="M357" s="2218">
        <f t="shared" ca="1" si="8"/>
        <v>0.16378062300320456</v>
      </c>
      <c r="N357" s="2218">
        <f t="shared" ca="1" si="8"/>
        <v>4.9851116009043177E-2</v>
      </c>
      <c r="O357" s="2218">
        <f t="shared" ca="1" si="8"/>
        <v>0.57415096569907087</v>
      </c>
      <c r="P357" s="2218">
        <f t="shared" ca="1" si="8"/>
        <v>4.5493598728412195E-2</v>
      </c>
      <c r="Q357" s="2218">
        <f t="shared" ca="1" si="8"/>
        <v>0</v>
      </c>
      <c r="R357" s="2218">
        <f t="shared" ca="1" si="8"/>
        <v>1.9574264774125526E-3</v>
      </c>
      <c r="S357" s="2218">
        <f t="shared" ca="1" si="8"/>
        <v>0</v>
      </c>
      <c r="T357" s="2218">
        <f t="shared" ca="1" si="8"/>
        <v>0</v>
      </c>
      <c r="U357" s="2224">
        <f t="shared" ca="1" si="8"/>
        <v>0</v>
      </c>
      <c r="AI357" s="2299"/>
      <c r="AJ357" s="2299"/>
      <c r="AK357" s="2299"/>
      <c r="AL357" s="2299"/>
      <c r="AM357" s="2299"/>
      <c r="AN357" s="2299"/>
      <c r="AO357" s="2299"/>
      <c r="AP357" s="2299"/>
      <c r="AQ357" s="2299"/>
      <c r="AR357" s="2299"/>
    </row>
    <row r="358" spans="1:44">
      <c r="A358" s="2093" t="s">
        <v>827</v>
      </c>
      <c r="B358" s="2151">
        <f ca="1">($B$6*$C$18*(($C$24*Mat_Sum!$D28)+($C$25*Mat_Sum!$E28)+($C$26*Mat_Sum!$I28)+($C$27*Mat_Sum!$L28)+($C$28*Mat_Sum!$AR28)+($C$29*Mat_Sum!$AV28)+($C$30*Mat_Sum!$AS28)+($C$31*Mat_Sum!$AM28)+($C$32*Mat_Sum!$AG28)+($C$33*0)+($C$34*0)+($C$35*0)+($C$36*Mat_Sum!$CF28)+($C$37*Silicon!$K85)+($C$38*0)))+($C$201*(($C$207*Mat_Sum!$D28)+($C$208*Mat_Sum!$AV28)+($C$209*Mat_Sum!$AR28)))</f>
        <v>29.458513014899751</v>
      </c>
      <c r="C358" s="2136">
        <f ca="1">($B$6*$C$10*(($C$40*Mat_Sum!$E28)+($C$41*Mat_Sum!$D28)+($C$42*Mat_Sum!$L28)+($C$43*Mat_Sum!$I28)+($C$44*Mat_Sum!$F28)+($C$45*Mat_Sum!$AV28)+($C$46*Mat_Sum!$AR28)+($C$47*Mat_Sum!$AG28)+($C$48*((88%*Mat_Sum!$AG28)+(12%*0)))+($C$49*Mat_Sum!$CF28)+($C$50*Mat_Sum!$AN28)+($C$51*'C.Iron'!$I75)+($C$52*((80%*Mat_Sum!$U28)+(20%*Mat_Sum!$BA28)))+($C$53*Mat_Sum!$AW28)+($C$54*Mat_Sum!$AS28)+($C$55*Mat_Sum!$CQ28)+($C$56*Mat_Sum!$AQ28)+($C$57*Mat_Sum!$AO28)+($C$58*Mat_Sum!$AP28)+($C$59*Mat_Sum!$BJ28)+($C$60*Mat_Sum!$BI28)+($C$61*Mat_Sum!$AR28)+($C$62*0)+($C$63*Mat_Sum!$CF28)+($C$64*Mat_Sum!$BG28)+($C$65*Mat_Sum!$BI28)+($C$66*Mat_Sum!$U28)+($C$67*Mat_Sum!$BA28)+($C$68*Mat_Sum!$CP28)+($C$69*0)+($C$70*Mat_Sum!$AZ28)+($C$71*Mat_Sum!$AM28)+($C$72*0)))+($C$202*(($C$211*Mat_Sum!$D28)+($C$212*Mat_Sum!$BG28)+($C$213*Mat_Sum!$AV28)))</f>
        <v>16.786634397890218</v>
      </c>
      <c r="D358" s="2136">
        <f ca="1" xml:space="preserve"> $B$6*$C$11*(($C$74*Mat_Sum!$D28)+($C$75*Mat_Sum!$L28)+($C$76*Mat_Sum!$I28)+($C$77*Mat_Sum!$F28)+($C$78*Mat_Sum!$AV28)+($C$79*Mat_Sum!$AR28)+($C$80*Mat_Sum!$AG28)+($C$81*Mat_Sum!$AG28)+($C$82*Mat_Sum!$F28)+($C$83*0))</f>
        <v>4.1338978180962549</v>
      </c>
      <c r="E358" s="2136">
        <f ca="1" xml:space="preserve"> $B$6*$C$12*(($C$85*Mat_Sum!$D28)+($C$86*Mat_Sum!$F28)+($C$87*Mat_Sum!$L28)+($C$88*Mat_Sum!$I28)+($C$89*Mat_Sum!$AV28)+($C$90*Mat_Sum!$AR28)+($C$91*Mat_Sum!$AG28)+($C$92*Mat_Sum!$AG28)+($C$93*Mat_Sum!$F28)+($C$94*0))+($C$187*$B$187*$C$192*(($B$197*Mat_Sum!$D28)+($A$197*Mat_Sum!$AV28)))+($C$188*$B$188*$C$193*(($B$197*Mat_Sum!$D28)+($A$197*Mat_Sum!$AV28)))</f>
        <v>110.40440812912243</v>
      </c>
      <c r="F358" s="2136">
        <f ca="1" xml:space="preserve"> $B$6*$C$13*(($C$96*Mat_Sum!$D28)+($C$97*Mat_Sum!$L28)+($C$98*Mat_Sum!$AG28)+($C$99*0))</f>
        <v>1.8113329277609567</v>
      </c>
      <c r="G358" s="2136">
        <f ca="1" xml:space="preserve"> $B$6*$C$14*(($C$101*Mat_Sum!$D28)+($C$102*Mat_Sum!$L28)+($C$103*Mat_Sum!$AG28)+($C$104*0))</f>
        <v>0</v>
      </c>
      <c r="H358" s="2136">
        <f ca="1" xml:space="preserve"> $B$6*$C$15*(($C$106*Mat_Sum!$D28)+($C$107*Mat_Sum!$L28)+($C$108*Mat_Sum!$AG28)+($C$109*Mat_Sum!$AV28)+($C$110*Mat_Sum!$AR28)+($C$111*0))</f>
        <v>0.18213195177825592</v>
      </c>
      <c r="I358" s="2136">
        <f ca="1" xml:space="preserve"> $B$6*$C$17*(($C$113*Mat_Sum!$E28)+($C$114*Mat_Sum!$D28)+($C$115*Mat_Sum!$F28)+($C$116*Mat_Sum!$L28)+($C$117*Mat_Sum!$I28)+($C$118*0)+($C$119*Mat_Sum!$AV28)+($C$120*Mat_Sum!$AR28)+($C$121*Mat_Sum!$AG28)+($C$122*Mat_Sum!$AG28)+($C$123*Mat_Sum!$AS28)+($C$124*0)+($C$125*Mat_Sum!$E28)+($C$126*0))</f>
        <v>0</v>
      </c>
      <c r="J358" s="2136">
        <f ca="1">$B$6*$C$16*(($C$128*Mat_Sum!$AU28)+($C$129*Mat_Sum!$D28)+($C$130*Mat_Sum!$E28)+($C$131*Mat_Sum!$AS28)+($C$132*Mat_Sum!$I28)+($C$133*Mat_Sum!$AG28)+($C$134*Mat_Sum!$AQ28)+($C$135*Mat_Sum!$AO28)+($C$136*0))</f>
        <v>0</v>
      </c>
      <c r="K358" s="2406">
        <f ca="1" xml:space="preserve"> $B$6*$C$19*$C$138*Mat_Sum!$D28</f>
        <v>0</v>
      </c>
      <c r="L358" s="2223">
        <f t="shared" ca="1" si="8"/>
        <v>0.18097475571780783</v>
      </c>
      <c r="M358" s="2218">
        <f t="shared" ca="1" si="8"/>
        <v>0.10312662617918872</v>
      </c>
      <c r="N358" s="2218">
        <f t="shared" ca="1" si="8"/>
        <v>2.539609339459711E-2</v>
      </c>
      <c r="O358" s="2218">
        <f t="shared" ca="1" si="8"/>
        <v>0.67825591811885566</v>
      </c>
      <c r="P358" s="2218">
        <f t="shared" ca="1" si="8"/>
        <v>1.1127701318778745E-2</v>
      </c>
      <c r="Q358" s="2218">
        <f t="shared" ca="1" si="8"/>
        <v>0</v>
      </c>
      <c r="R358" s="2218">
        <f t="shared" ca="1" si="8"/>
        <v>1.118905270772018E-3</v>
      </c>
      <c r="S358" s="2218">
        <f t="shared" ca="1" si="8"/>
        <v>0</v>
      </c>
      <c r="T358" s="2218">
        <f t="shared" ca="1" si="8"/>
        <v>0</v>
      </c>
      <c r="U358" s="2224">
        <f t="shared" ca="1" si="8"/>
        <v>0</v>
      </c>
      <c r="AI358" s="2299"/>
      <c r="AJ358" s="2299"/>
      <c r="AK358" s="2299"/>
      <c r="AL358" s="2299"/>
      <c r="AM358" s="2299"/>
      <c r="AN358" s="2299"/>
      <c r="AO358" s="2299"/>
      <c r="AP358" s="2299"/>
      <c r="AQ358" s="2299"/>
      <c r="AR358" s="2299"/>
    </row>
    <row r="359" spans="1:44">
      <c r="A359" s="2093" t="s">
        <v>828</v>
      </c>
      <c r="B359" s="2151">
        <f ca="1">($B$6*$C$18*(($C$24*Mat_Sum!$D29)+($C$25*Mat_Sum!$E29)+($C$26*Mat_Sum!$I29)+($C$27*Mat_Sum!$L29)+($C$28*Mat_Sum!$AR29)+($C$29*Mat_Sum!$AV29)+($C$30*Mat_Sum!$AS29)+($C$31*Mat_Sum!$AM29)+($C$32*Mat_Sum!$AG29)+($C$33*0)+($C$34*0)+($C$35*0)+($C$36*Mat_Sum!$CF29)+($C$37*Silicon!$K86)+($C$38*0)))+($C$201*(($C$207*Mat_Sum!$D29)+($C$208*Mat_Sum!$AV29)+($C$209*Mat_Sum!$AR29)))</f>
        <v>67.932920505094827</v>
      </c>
      <c r="C359" s="2136">
        <f ca="1">($B$6*$C$10*(($C$40*Mat_Sum!$E29)+($C$41*Mat_Sum!$D29)+($C$42*Mat_Sum!$L29)+($C$43*Mat_Sum!$I29)+($C$44*Mat_Sum!$F29)+($C$45*Mat_Sum!$AV29)+($C$46*Mat_Sum!$AR29)+($C$47*Mat_Sum!$AG29)+($C$48*((88%*Mat_Sum!$AG29)+(12%*0)))+($C$49*Mat_Sum!$CF29)+($C$50*Mat_Sum!$AN29)+($C$51*'C.Iron'!$I76)+($C$52*((80%*Mat_Sum!$U29)+(20%*Mat_Sum!$BA29)))+($C$53*Mat_Sum!$AW29)+($C$54*Mat_Sum!$AS29)+($C$55*Mat_Sum!$CQ29)+($C$56*Mat_Sum!$AQ29)+($C$57*Mat_Sum!$AO29)+($C$58*Mat_Sum!$AP29)+($C$59*Mat_Sum!$BJ29)+($C$60*Mat_Sum!$BI29)+($C$61*Mat_Sum!$AR29)+($C$62*0)+($C$63*Mat_Sum!$CF29)+($C$64*Mat_Sum!$BG29)+($C$65*Mat_Sum!$BI29)+($C$66*Mat_Sum!$U29)+($C$67*Mat_Sum!$BA29)+($C$68*Mat_Sum!$CP29)+($C$69*0)+($C$70*Mat_Sum!$AZ29)+($C$71*Mat_Sum!$AM29)+($C$72*0)))+($C$202*(($C$211*Mat_Sum!$D29)+($C$212*Mat_Sum!$BG29)+($C$213*Mat_Sum!$AV29)))</f>
        <v>40.835419674580322</v>
      </c>
      <c r="D359" s="2136">
        <f ca="1" xml:space="preserve"> $B$6*$C$11*(($C$74*Mat_Sum!$D29)+($C$75*Mat_Sum!$L29)+($C$76*Mat_Sum!$I29)+($C$77*Mat_Sum!$F29)+($C$78*Mat_Sum!$AV29)+($C$79*Mat_Sum!$AR29)+($C$80*Mat_Sum!$AG29)+($C$81*Mat_Sum!$AG29)+($C$82*Mat_Sum!$F29)+($C$83*0))</f>
        <v>11.083594913625205</v>
      </c>
      <c r="E359" s="2136">
        <f ca="1" xml:space="preserve"> $B$6*$C$12*(($C$85*Mat_Sum!$D29)+($C$86*Mat_Sum!$F29)+($C$87*Mat_Sum!$L29)+($C$88*Mat_Sum!$I29)+($C$89*Mat_Sum!$AV29)+($C$90*Mat_Sum!$AR29)+($C$91*Mat_Sum!$AG29)+($C$92*Mat_Sum!$AG29)+($C$93*Mat_Sum!$F29)+($C$94*0))+($C$187*$B$187*$C$192*(($B$197*Mat_Sum!$D29)+($A$197*Mat_Sum!$AV29)))+($C$188*$B$188*$C$193*(($B$197*Mat_Sum!$D29)+($A$197*Mat_Sum!$AV29)))</f>
        <v>232.25443862145448</v>
      </c>
      <c r="F359" s="2136">
        <f ca="1" xml:space="preserve"> $B$6*$C$13*(($C$96*Mat_Sum!$D29)+($C$97*Mat_Sum!$L29)+($C$98*Mat_Sum!$AG29)+($C$99*0))</f>
        <v>3.0659416495965401</v>
      </c>
      <c r="G359" s="2136">
        <f ca="1" xml:space="preserve"> $B$6*$C$14*(($C$101*Mat_Sum!$D29)+($C$102*Mat_Sum!$L29)+($C$103*Mat_Sum!$AG29)+($C$104*0))</f>
        <v>0</v>
      </c>
      <c r="H359" s="2136">
        <f ca="1" xml:space="preserve"> $B$6*$C$15*(($C$106*Mat_Sum!$D29)+($C$107*Mat_Sum!$L29)+($C$108*Mat_Sum!$AG29)+($C$109*Mat_Sum!$AV29)+($C$110*Mat_Sum!$AR29)+($C$111*0))</f>
        <v>0.35911740095214839</v>
      </c>
      <c r="I359" s="2136">
        <f ca="1" xml:space="preserve"> $B$6*$C$17*(($C$113*Mat_Sum!$E29)+($C$114*Mat_Sum!$D29)+($C$115*Mat_Sum!$F29)+($C$116*Mat_Sum!$L29)+($C$117*Mat_Sum!$I29)+($C$118*0)+($C$119*Mat_Sum!$AV29)+($C$120*Mat_Sum!$AR29)+($C$121*Mat_Sum!$AG29)+($C$122*Mat_Sum!$AG29)+($C$123*Mat_Sum!$AS29)+($C$124*0)+($C$125*Mat_Sum!$E29)+($C$126*0))</f>
        <v>0</v>
      </c>
      <c r="J359" s="2136">
        <f ca="1">$B$6*$C$16*(($C$128*Mat_Sum!$AU29)+($C$129*Mat_Sum!$D29)+($C$130*Mat_Sum!$E29)+($C$131*Mat_Sum!$AS29)+($C$132*Mat_Sum!$I29)+($C$133*Mat_Sum!$AG29)+($C$134*Mat_Sum!$AQ29)+($C$135*Mat_Sum!$AO29)+($C$136*0))</f>
        <v>0</v>
      </c>
      <c r="K359" s="2406">
        <f ca="1" xml:space="preserve"> $B$6*$C$19*$C$138*Mat_Sum!$D29</f>
        <v>0</v>
      </c>
      <c r="L359" s="2223">
        <f t="shared" ca="1" si="8"/>
        <v>0.19107430242304144</v>
      </c>
      <c r="M359" s="2218">
        <f t="shared" ca="1" si="8"/>
        <v>0.11485741037568667</v>
      </c>
      <c r="N359" s="2218">
        <f t="shared" ca="1" si="8"/>
        <v>3.1174725754675548E-2</v>
      </c>
      <c r="O359" s="2218">
        <f t="shared" ca="1" si="8"/>
        <v>0.6532599292698047</v>
      </c>
      <c r="P359" s="2218">
        <f t="shared" ca="1" si="8"/>
        <v>8.6235459569631249E-3</v>
      </c>
      <c r="Q359" s="2218">
        <f t="shared" ca="1" si="8"/>
        <v>0</v>
      </c>
      <c r="R359" s="2218">
        <f t="shared" ca="1" si="8"/>
        <v>1.0100862198285912E-3</v>
      </c>
      <c r="S359" s="2218">
        <f t="shared" ca="1" si="8"/>
        <v>0</v>
      </c>
      <c r="T359" s="2218">
        <f t="shared" ca="1" si="8"/>
        <v>0</v>
      </c>
      <c r="U359" s="2224">
        <f t="shared" ca="1" si="8"/>
        <v>0</v>
      </c>
      <c r="AI359" s="2299"/>
      <c r="AJ359" s="2299"/>
      <c r="AK359" s="2299"/>
      <c r="AL359" s="2299"/>
      <c r="AM359" s="2299"/>
      <c r="AN359" s="2299"/>
      <c r="AO359" s="2299"/>
      <c r="AP359" s="2299"/>
      <c r="AQ359" s="2299"/>
      <c r="AR359" s="2299"/>
    </row>
    <row r="360" spans="1:44" ht="15.75">
      <c r="A360" s="2093" t="s">
        <v>2546</v>
      </c>
      <c r="B360" s="2151">
        <f ca="1">($B$6*$C$18*(($C$24*Mat_Sum!$D30)+($C$25*Mat_Sum!$E30)+($C$26*Mat_Sum!$I30)+($C$27*Mat_Sum!$L30)+($C$28*Mat_Sum!$AR30)+($C$29*Mat_Sum!$AV30)+($C$30*Mat_Sum!$AS30)+($C$31*Mat_Sum!$AM30)+($C$32*Mat_Sum!$AG30)+($C$33*0)+($C$34*0)+($C$35*0)+($C$36*Mat_Sum!$CF30)+($C$37*Silicon!$K87)+($C$38*0)))+($C$201*(($C$207*Mat_Sum!$D30)+($C$208*Mat_Sum!$AV30)+($C$209*Mat_Sum!$AR30)))</f>
        <v>13876.955057921805</v>
      </c>
      <c r="C360" s="2136">
        <f ca="1">($B$6*$C$10*(($C$40*Mat_Sum!$E30)+($C$41*Mat_Sum!$D30)+($C$42*Mat_Sum!$L30)+($C$43*Mat_Sum!$I30)+($C$44*Mat_Sum!$F30)+($C$45*Mat_Sum!$AV30)+($C$46*Mat_Sum!$AR30)+($C$47*Mat_Sum!$AG30)+($C$48*((88%*Mat_Sum!$AG30)+(12%*0)))+($C$49*Mat_Sum!$CF30)+($C$50*Mat_Sum!$AN30)+($C$51*'C.Iron'!$I77)+($C$52*((80%*Mat_Sum!$U30)+(20%*Mat_Sum!$BA30)))+($C$53*Mat_Sum!$AW30)+($C$54*Mat_Sum!$AS30)+($C$55*Mat_Sum!$CQ30)+($C$56*Mat_Sum!$AQ30)+($C$57*Mat_Sum!$AO30)+($C$58*Mat_Sum!$AP30)+($C$59*Mat_Sum!$BJ30)+($C$60*Mat_Sum!$BI30)+($C$61*Mat_Sum!$AR30)+($C$62*0)+($C$63*Mat_Sum!$CF30)+($C$64*Mat_Sum!$BG30)+($C$65*Mat_Sum!$BI30)+($C$66*Mat_Sum!$U30)+($C$67*Mat_Sum!$BA30)+($C$68*Mat_Sum!$CP30)+($C$69*0)+($C$70*Mat_Sum!$AZ30)+($C$71*Mat_Sum!$AM30)+($C$72*0)))+($C$202*(($C$211*Mat_Sum!$D30)+($C$212*Mat_Sum!$BG30)+($C$213*Mat_Sum!$AV30)))</f>
        <v>7958.7288070281502</v>
      </c>
      <c r="D360" s="2136">
        <f ca="1" xml:space="preserve"> $B$6*$C$11*(($C$74*Mat_Sum!$D30)+($C$75*Mat_Sum!$L30)+($C$76*Mat_Sum!$I30)+($C$77*Mat_Sum!$F30)+($C$78*Mat_Sum!$AV30)+($C$79*Mat_Sum!$AR30)+($C$80*Mat_Sum!$AG30)+($C$81*Mat_Sum!$AG30)+($C$82*Mat_Sum!$F30)+($C$83*0))</f>
        <v>2132.5760047262556</v>
      </c>
      <c r="E360" s="2136">
        <f ca="1" xml:space="preserve"> $B$6*$C$12*(($C$85*Mat_Sum!$D30)+($C$86*Mat_Sum!$F30)+($C$87*Mat_Sum!$L30)+($C$88*Mat_Sum!$I30)+($C$89*Mat_Sum!$AV30)+($C$90*Mat_Sum!$AR30)+($C$91*Mat_Sum!$AG30)+($C$92*Mat_Sum!$AG30)+($C$93*Mat_Sum!$F30)+($C$94*0))+($C$187*$B$187*$C$192*(($B$197*Mat_Sum!$D30)+($A$197*Mat_Sum!$AV30)))+($C$188*$B$188*$C$193*(($B$197*Mat_Sum!$D30)+($A$197*Mat_Sum!$AV30)))</f>
        <v>34024.182977170465</v>
      </c>
      <c r="F360" s="2136">
        <f ca="1" xml:space="preserve"> $B$6*$C$13*(($C$96*Mat_Sum!$D30)+($C$97*Mat_Sum!$L30)+($C$98*Mat_Sum!$AG30)+($C$99*0))</f>
        <v>432.25365043252816</v>
      </c>
      <c r="G360" s="2136">
        <f ca="1" xml:space="preserve"> $B$6*$C$14*(($C$101*Mat_Sum!$D30)+($C$102*Mat_Sum!$L30)+($C$103*Mat_Sum!$AG30)+($C$104*0))</f>
        <v>0</v>
      </c>
      <c r="H360" s="2136">
        <f ca="1" xml:space="preserve"> $B$6*$C$15*(($C$106*Mat_Sum!$D30)+($C$107*Mat_Sum!$L30)+($C$108*Mat_Sum!$AG30)+($C$109*Mat_Sum!$AV30)+($C$110*Mat_Sum!$AR30)+($C$111*0))</f>
        <v>76.461057100405611</v>
      </c>
      <c r="I360" s="2136">
        <f ca="1" xml:space="preserve"> $B$6*$C$17*(($C$113*Mat_Sum!$E30)+($C$114*Mat_Sum!$D30)+($C$115*Mat_Sum!$F30)+($C$116*Mat_Sum!$L30)+($C$117*Mat_Sum!$I30)+($C$118*0)+($C$119*Mat_Sum!$AV30)+($C$120*Mat_Sum!$AR30)+($C$121*Mat_Sum!$AG30)+($C$122*Mat_Sum!$AG30)+($C$123*Mat_Sum!$AS30)+($C$124*0)+($C$125*Mat_Sum!$E30)+($C$126*0))</f>
        <v>0</v>
      </c>
      <c r="J360" s="2136">
        <f ca="1">$B$6*$C$16*(($C$128*Mat_Sum!$AU30)+($C$129*Mat_Sum!$D30)+($C$130*Mat_Sum!$E30)+($C$131*Mat_Sum!$AS30)+($C$132*Mat_Sum!$I30)+($C$133*Mat_Sum!$AG30)+($C$134*Mat_Sum!$AQ30)+($C$135*Mat_Sum!$AO30)+($C$136*0))</f>
        <v>0</v>
      </c>
      <c r="K360" s="2406">
        <f ca="1" xml:space="preserve"> $B$6*$C$19*$C$138*Mat_Sum!$D30</f>
        <v>0</v>
      </c>
      <c r="L360" s="2223">
        <f t="shared" ca="1" si="8"/>
        <v>0.23720821327377184</v>
      </c>
      <c r="M360" s="2218">
        <f t="shared" ca="1" si="8"/>
        <v>0.13604395433765792</v>
      </c>
      <c r="N360" s="2218">
        <f t="shared" ca="1" si="8"/>
        <v>3.6453569363032262E-2</v>
      </c>
      <c r="O360" s="2218">
        <f t="shared" ca="1" si="8"/>
        <v>0.58159845718511427</v>
      </c>
      <c r="P360" s="2218">
        <f t="shared" ca="1" si="8"/>
        <v>7.3888050852793452E-3</v>
      </c>
      <c r="Q360" s="2218">
        <f t="shared" ca="1" si="8"/>
        <v>0</v>
      </c>
      <c r="R360" s="2218">
        <f t="shared" ca="1" si="8"/>
        <v>1.3070007551445701E-3</v>
      </c>
      <c r="S360" s="2218">
        <f t="shared" ca="1" si="8"/>
        <v>0</v>
      </c>
      <c r="T360" s="2218">
        <f t="shared" ca="1" si="8"/>
        <v>0</v>
      </c>
      <c r="U360" s="2224">
        <f t="shared" ca="1" si="8"/>
        <v>0</v>
      </c>
      <c r="AI360" s="2299"/>
      <c r="AJ360" s="2299"/>
      <c r="AK360" s="2299"/>
      <c r="AL360" s="2299"/>
      <c r="AM360" s="2299"/>
      <c r="AN360" s="2299"/>
      <c r="AO360" s="2299"/>
      <c r="AP360" s="2299"/>
      <c r="AQ360" s="2299"/>
      <c r="AR360" s="2299"/>
    </row>
    <row r="361" spans="1:44" ht="15.75">
      <c r="A361" s="2093" t="s">
        <v>2547</v>
      </c>
      <c r="B361" s="2151">
        <f ca="1">($B$6*$C$18*(($C$24*Mat_Sum!$D31)+($C$25*Mat_Sum!$E31)+($C$26*Mat_Sum!$I31)+($C$27*Mat_Sum!$L31)+($C$28*Mat_Sum!$AR31)+($C$29*Mat_Sum!$AV31)+($C$30*Mat_Sum!$AS31)+($C$31*Mat_Sum!$AM31)+($C$32*Mat_Sum!$AG31)+($C$33*0)+($C$34*0)+($C$35*0)+($C$36*Mat_Sum!$CF31)+($C$37*Silicon!$K88)+($C$38*0)))+($C$201*(($C$207*Mat_Sum!$D31)+($C$208*Mat_Sum!$AV31)+($C$209*Mat_Sum!$AR31)))</f>
        <v>136.07590951831568</v>
      </c>
      <c r="C361" s="2136">
        <f ca="1">($B$6*$C$10*(($C$40*Mat_Sum!$E31)+($C$41*Mat_Sum!$D31)+($C$42*Mat_Sum!$L31)+($C$43*Mat_Sum!$I31)+($C$44*Mat_Sum!$F31)+($C$45*Mat_Sum!$AV31)+($C$46*Mat_Sum!$AR31)+($C$47*Mat_Sum!$AG31)+($C$48*((88%*Mat_Sum!$AG31)+(12%*0)))+($C$49*Mat_Sum!$CF31)+($C$50*Mat_Sum!$AN31)+($C$51*'C.Iron'!$I78)+($C$52*((80%*Mat_Sum!$U31)+(20%*Mat_Sum!$BA31)))+($C$53*Mat_Sum!$AW31)+($C$54*Mat_Sum!$AS31)+($C$55*Mat_Sum!$CQ31)+($C$56*Mat_Sum!$AQ31)+($C$57*Mat_Sum!$AO31)+($C$58*Mat_Sum!$AP31)+($C$59*Mat_Sum!$BJ31)+($C$60*Mat_Sum!$BI31)+($C$61*Mat_Sum!$AR31)+($C$62*0)+($C$63*Mat_Sum!$CF31)+($C$64*Mat_Sum!$BG31)+($C$65*Mat_Sum!$BI31)+($C$66*Mat_Sum!$U31)+($C$67*Mat_Sum!$BA31)+($C$68*Mat_Sum!$CP31)+($C$69*0)+($C$70*Mat_Sum!$AZ31)+($C$71*Mat_Sum!$AM31)+($C$72*0)))+($C$202*(($C$211*Mat_Sum!$D31)+($C$212*Mat_Sum!$BG31)+($C$213*Mat_Sum!$AV31)))</f>
        <v>61.080464232223129</v>
      </c>
      <c r="D361" s="2136">
        <f ca="1" xml:space="preserve"> $B$6*$C$11*(($C$74*Mat_Sum!$D31)+($C$75*Mat_Sum!$L31)+($C$76*Mat_Sum!$I31)+($C$77*Mat_Sum!$F31)+($C$78*Mat_Sum!$AV31)+($C$79*Mat_Sum!$AR31)+($C$80*Mat_Sum!$AG31)+($C$81*Mat_Sum!$AG31)+($C$82*Mat_Sum!$F31)+($C$83*0))</f>
        <v>14.838375225931602</v>
      </c>
      <c r="E361" s="2136">
        <f ca="1" xml:space="preserve"> $B$6*$C$12*(($C$85*Mat_Sum!$D31)+($C$86*Mat_Sum!$F31)+($C$87*Mat_Sum!$L31)+($C$88*Mat_Sum!$I31)+($C$89*Mat_Sum!$AV31)+($C$90*Mat_Sum!$AR31)+($C$91*Mat_Sum!$AG31)+($C$92*Mat_Sum!$AG31)+($C$93*Mat_Sum!$F31)+($C$94*0))+($C$187*$B$187*$C$192*(($B$197*Mat_Sum!$D31)+($A$197*Mat_Sum!$AV31)))+($C$188*$B$188*$C$193*(($B$197*Mat_Sum!$D31)+($A$197*Mat_Sum!$AV31)))</f>
        <v>281.79489909994754</v>
      </c>
      <c r="F361" s="2136">
        <f ca="1" xml:space="preserve"> $B$6*$C$13*(($C$96*Mat_Sum!$D31)+($C$97*Mat_Sum!$L31)+($C$98*Mat_Sum!$AG31)+($C$99*0))</f>
        <v>3.9620513745374373</v>
      </c>
      <c r="G361" s="2136">
        <f ca="1" xml:space="preserve"> $B$6*$C$14*(($C$101*Mat_Sum!$D31)+($C$102*Mat_Sum!$L31)+($C$103*Mat_Sum!$AG31)+($C$104*0))</f>
        <v>0</v>
      </c>
      <c r="H361" s="2136">
        <f ca="1" xml:space="preserve"> $B$6*$C$15*(($C$106*Mat_Sum!$D31)+($C$107*Mat_Sum!$L31)+($C$108*Mat_Sum!$AG31)+($C$109*Mat_Sum!$AV31)+($C$110*Mat_Sum!$AR31)+($C$111*0))</f>
        <v>0.84534631131635984</v>
      </c>
      <c r="I361" s="2136">
        <f ca="1" xml:space="preserve"> $B$6*$C$17*(($C$113*Mat_Sum!$E31)+($C$114*Mat_Sum!$D31)+($C$115*Mat_Sum!$F31)+($C$116*Mat_Sum!$L31)+($C$117*Mat_Sum!$I31)+($C$118*0)+($C$119*Mat_Sum!$AV31)+($C$120*Mat_Sum!$AR31)+($C$121*Mat_Sum!$AG31)+($C$122*Mat_Sum!$AG31)+($C$123*Mat_Sum!$AS31)+($C$124*0)+($C$125*Mat_Sum!$E31)+($C$126*0))</f>
        <v>0</v>
      </c>
      <c r="J361" s="2136">
        <f ca="1">$B$6*$C$16*(($C$128*Mat_Sum!$AU31)+($C$129*Mat_Sum!$D31)+($C$130*Mat_Sum!$E31)+($C$131*Mat_Sum!$AS31)+($C$132*Mat_Sum!$I31)+($C$133*Mat_Sum!$AG31)+($C$134*Mat_Sum!$AQ31)+($C$135*Mat_Sum!$AO31)+($C$136*0))</f>
        <v>0</v>
      </c>
      <c r="K361" s="2406">
        <f ca="1" xml:space="preserve"> $B$6*$C$19*$C$138*Mat_Sum!$D31</f>
        <v>0</v>
      </c>
      <c r="L361" s="2223">
        <f t="shared" ca="1" si="8"/>
        <v>0.27291760084594624</v>
      </c>
      <c r="M361" s="2218">
        <f t="shared" ca="1" si="8"/>
        <v>0.12250466534321575</v>
      </c>
      <c r="N361" s="2218">
        <f t="shared" ca="1" si="8"/>
        <v>2.9760255003609577E-2</v>
      </c>
      <c r="O361" s="2218">
        <f t="shared" ca="1" si="8"/>
        <v>0.56517562928823639</v>
      </c>
      <c r="P361" s="2218">
        <f t="shared" ca="1" si="8"/>
        <v>7.9463996191155156E-3</v>
      </c>
      <c r="Q361" s="2218">
        <f t="shared" ca="1" si="8"/>
        <v>0</v>
      </c>
      <c r="R361" s="2218">
        <f t="shared" ca="1" si="8"/>
        <v>1.6954498998764951E-3</v>
      </c>
      <c r="S361" s="2218">
        <f t="shared" ca="1" si="8"/>
        <v>0</v>
      </c>
      <c r="T361" s="2218">
        <f t="shared" ca="1" si="8"/>
        <v>0</v>
      </c>
      <c r="U361" s="2224">
        <f t="shared" ca="1" si="8"/>
        <v>0</v>
      </c>
      <c r="AI361" s="2299"/>
      <c r="AJ361" s="2299"/>
      <c r="AK361" s="2299"/>
      <c r="AL361" s="2299"/>
      <c r="AM361" s="2299"/>
      <c r="AN361" s="2299"/>
      <c r="AO361" s="2299"/>
      <c r="AP361" s="2299"/>
      <c r="AQ361" s="2299"/>
      <c r="AR361" s="2299"/>
    </row>
    <row r="362" spans="1:44" ht="15.75">
      <c r="A362" s="2093" t="s">
        <v>2548</v>
      </c>
      <c r="B362" s="2318">
        <f ca="1">($B$6*$C$18*(($C$24*Mat_Sum!$D32)+($C$25*Mat_Sum!$E32)+($C$26*Mat_Sum!$I32)+($C$27*Mat_Sum!$L32)+($C$28*Mat_Sum!$AR32)+($C$29*Mat_Sum!$AV32)+($C$30*Mat_Sum!$AS32)+($C$31*Mat_Sum!$AM32)+($C$32*Mat_Sum!$AG32)+($C$33*0)+($C$34*0)+($C$35*0)+($C$36*Mat_Sum!$CF32)+($C$37*Silicon!$K89)+($C$38*0)))+($C$201*(($C$207*Mat_Sum!$D32)+($C$208*Mat_Sum!$AV32)+($C$209*Mat_Sum!$AR32)))</f>
        <v>4385722.6365885912</v>
      </c>
      <c r="C362" s="2144">
        <f ca="1">($B$6*$C$10*(($C$40*Mat_Sum!$E32)+($C$41*Mat_Sum!$D32)+($C$42*Mat_Sum!$L32)+($C$43*Mat_Sum!$I32)+($C$44*Mat_Sum!$F32)+($C$45*Mat_Sum!$AV32)+($C$46*Mat_Sum!$AR32)+($C$47*Mat_Sum!$AG32)+($C$48*((88%*Mat_Sum!$AG32)+(12%*0)))+($C$49*Mat_Sum!$CF32)+($C$50*Mat_Sum!$AN32)+($C$51*'C.Iron'!$I79)+($C$52*((80%*Mat_Sum!$U32)+(20%*Mat_Sum!$BA32)))+($C$53*Mat_Sum!$AW32)+($C$54*Mat_Sum!$AS32)+($C$55*Mat_Sum!$CQ32)+($C$56*Mat_Sum!$AQ32)+($C$57*Mat_Sum!$AO32)+($C$58*Mat_Sum!$AP32)+($C$59*Mat_Sum!$BJ32)+($C$60*Mat_Sum!$BI32)+($C$61*Mat_Sum!$AR32)+($C$62*0)+($C$63*Mat_Sum!$CF32)+($C$64*Mat_Sum!$BG32)+($C$65*Mat_Sum!$BI32)+($C$66*Mat_Sum!$U32)+($C$67*Mat_Sum!$BA32)+($C$68*Mat_Sum!$CP32)+($C$69*0)+($C$70*Mat_Sum!$AZ32)+($C$71*Mat_Sum!$AM32)+($C$72*0)))+($C$202*(($C$211*Mat_Sum!$D32)+($C$212*Mat_Sum!$BG32)+($C$213*Mat_Sum!$AV32)))</f>
        <v>3016500.0106982561</v>
      </c>
      <c r="D362" s="2144">
        <f ca="1" xml:space="preserve"> $B$6*$C$11*(($C$74*Mat_Sum!$D32)+($C$75*Mat_Sum!$L32)+($C$76*Mat_Sum!$I32)+($C$77*Mat_Sum!$F32)+($C$78*Mat_Sum!$AV32)+($C$79*Mat_Sum!$AR32)+($C$80*Mat_Sum!$AG32)+($C$81*Mat_Sum!$AG32)+($C$82*Mat_Sum!$F32)+($C$83*0))</f>
        <v>937765.20368882664</v>
      </c>
      <c r="E362" s="2144">
        <f ca="1" xml:space="preserve"> $B$6*$C$12*(($C$85*Mat_Sum!$D32)+($C$86*Mat_Sum!$F32)+($C$87*Mat_Sum!$L32)+($C$88*Mat_Sum!$I32)+($C$89*Mat_Sum!$AV32)+($C$90*Mat_Sum!$AR32)+($C$91*Mat_Sum!$AG32)+($C$92*Mat_Sum!$AG32)+($C$93*Mat_Sum!$F32)+($C$94*0))+($C$187*$B$187*$C$192*(($B$197*Mat_Sum!$D32)+($A$197*Mat_Sum!$AV32)))+($C$188*$B$188*$C$193*(($B$197*Mat_Sum!$D32)+($A$197*Mat_Sum!$AV32)))</f>
        <v>17013405.553084143</v>
      </c>
      <c r="F362" s="2144">
        <f ca="1" xml:space="preserve"> $B$6*$C$13*(($C$96*Mat_Sum!$D32)+($C$97*Mat_Sum!$L32)+($C$98*Mat_Sum!$AG32)+($C$99*0))</f>
        <v>208032.5014363596</v>
      </c>
      <c r="G362" s="2144">
        <f ca="1" xml:space="preserve"> $B$6*$C$14*(($C$101*Mat_Sum!$D32)+($C$102*Mat_Sum!$L32)+($C$103*Mat_Sum!$AG32)+($C$104*0))</f>
        <v>0</v>
      </c>
      <c r="H362" s="2144">
        <f ca="1" xml:space="preserve"> $B$6*$C$15*(($C$106*Mat_Sum!$D32)+($C$107*Mat_Sum!$L32)+($C$108*Mat_Sum!$AG32)+($C$109*Mat_Sum!$AV32)+($C$110*Mat_Sum!$AR32)+($C$111*0))</f>
        <v>21080.109268848555</v>
      </c>
      <c r="I362" s="2144">
        <f ca="1" xml:space="preserve"> $B$6*$C$17*(($C$113*Mat_Sum!$E32)+($C$114*Mat_Sum!$D32)+($C$115*Mat_Sum!$F32)+($C$116*Mat_Sum!$L32)+($C$117*Mat_Sum!$I32)+($C$118*0)+($C$119*Mat_Sum!$AV32)+($C$120*Mat_Sum!$AR32)+($C$121*Mat_Sum!$AG32)+($C$122*Mat_Sum!$AG32)+($C$123*Mat_Sum!$AS32)+($C$124*0)+($C$125*Mat_Sum!$E32)+($C$126*0))</f>
        <v>0</v>
      </c>
      <c r="J362" s="2144">
        <f ca="1">$B$6*$C$16*(($C$128*Mat_Sum!$AU32)+($C$129*Mat_Sum!$D32)+($C$130*Mat_Sum!$E32)+($C$131*Mat_Sum!$AS32)+($C$132*Mat_Sum!$I32)+($C$133*Mat_Sum!$AG32)+($C$134*Mat_Sum!$AQ32)+($C$135*Mat_Sum!$AO32)+($C$136*0))</f>
        <v>0</v>
      </c>
      <c r="K362" s="2406">
        <f ca="1" xml:space="preserve"> $B$6*$C$19*$C$138*Mat_Sum!$D32</f>
        <v>0</v>
      </c>
      <c r="L362" s="2223">
        <f t="shared" ca="1" si="8"/>
        <v>0.17143444172581676</v>
      </c>
      <c r="M362" s="2218">
        <f t="shared" ca="1" si="8"/>
        <v>0.11791260828619657</v>
      </c>
      <c r="N362" s="2218">
        <f t="shared" ca="1" si="8"/>
        <v>3.6656502812804678E-2</v>
      </c>
      <c r="O362" s="2218">
        <f t="shared" ca="1" si="8"/>
        <v>0.66504061577332574</v>
      </c>
      <c r="P362" s="2218">
        <f t="shared" ca="1" si="8"/>
        <v>8.1318265425714339E-3</v>
      </c>
      <c r="Q362" s="2218">
        <f t="shared" ca="1" si="8"/>
        <v>0</v>
      </c>
      <c r="R362" s="2218">
        <f t="shared" ca="1" si="8"/>
        <v>8.2400485928478247E-4</v>
      </c>
      <c r="S362" s="2218">
        <f t="shared" ca="1" si="8"/>
        <v>0</v>
      </c>
      <c r="T362" s="2218">
        <f t="shared" ca="1" si="8"/>
        <v>0</v>
      </c>
      <c r="U362" s="2224">
        <f t="shared" ca="1" si="8"/>
        <v>0</v>
      </c>
      <c r="AI362" s="2299"/>
      <c r="AJ362" s="2299"/>
      <c r="AK362" s="2299"/>
      <c r="AL362" s="2299"/>
      <c r="AM362" s="2299"/>
      <c r="AN362" s="2299"/>
      <c r="AO362" s="2299"/>
      <c r="AP362" s="2299"/>
      <c r="AQ362" s="2299"/>
      <c r="AR362" s="2299"/>
    </row>
    <row r="363" spans="1:44" ht="15.75">
      <c r="A363" s="2093" t="s">
        <v>2550</v>
      </c>
      <c r="B363" s="2318">
        <f ca="1">($B$6*$C$18*(($C$24*Mat_Sum!$D33)+($C$25*Mat_Sum!$E33)+($C$26*Mat_Sum!$I33)+($C$27*Mat_Sum!$L33)+($C$28*Mat_Sum!$AR33)+($C$29*Mat_Sum!$AV33)+($C$30*Mat_Sum!$AS33)+($C$31*Mat_Sum!$AM33)+($C$32*Mat_Sum!$AG33)+($C$33*0)+($C$34*0)+($C$35*0)+($C$36*Mat_Sum!$CF33)+($C$37*Silicon!$K90)+($C$38*0)))+($C$201*(($C$207*Mat_Sum!$D33)+($C$208*Mat_Sum!$AV33)+($C$209*Mat_Sum!$AR33)))</f>
        <v>4411865.9527811101</v>
      </c>
      <c r="C363" s="2144">
        <f ca="1">($B$6*$C$10*(($C$40*Mat_Sum!$E33)+($C$41*Mat_Sum!$D33)+($C$42*Mat_Sum!$L33)+($C$43*Mat_Sum!$I33)+($C$44*Mat_Sum!$F33)+($C$45*Mat_Sum!$AV33)+($C$46*Mat_Sum!$AR33)+($C$47*Mat_Sum!$AG33)+($C$48*((88%*Mat_Sum!$AG33)+(12%*0)))+($C$49*Mat_Sum!$CF33)+($C$50*Mat_Sum!$AN33)+($C$51*'C.Iron'!$I80)+($C$52*((80%*Mat_Sum!$U33)+(20%*Mat_Sum!$BA33)))+($C$53*Mat_Sum!$AW33)+($C$54*Mat_Sum!$AS33)+($C$55*Mat_Sum!$CQ33)+($C$56*Mat_Sum!$AQ33)+($C$57*Mat_Sum!$AO33)+($C$58*Mat_Sum!$AP33)+($C$59*Mat_Sum!$BJ33)+($C$60*Mat_Sum!$BI33)+($C$61*Mat_Sum!$AR33)+($C$62*0)+($C$63*Mat_Sum!$CF33)+($C$64*Mat_Sum!$BG33)+($C$65*Mat_Sum!$BI33)+($C$66*Mat_Sum!$U33)+($C$67*Mat_Sum!$BA33)+($C$68*Mat_Sum!$CP33)+($C$69*0)+($C$70*Mat_Sum!$AZ33)+($C$71*Mat_Sum!$AM33)+($C$72*0)))+($C$202*(($C$211*Mat_Sum!$D33)+($C$212*Mat_Sum!$BG33)+($C$213*Mat_Sum!$AV33)))</f>
        <v>3044858.6469320888</v>
      </c>
      <c r="D363" s="2144">
        <f ca="1" xml:space="preserve"> $B$6*$C$11*(($C$74*Mat_Sum!$D33)+($C$75*Mat_Sum!$L33)+($C$76*Mat_Sum!$I33)+($C$77*Mat_Sum!$F33)+($C$78*Mat_Sum!$AV33)+($C$79*Mat_Sum!$AR33)+($C$80*Mat_Sum!$AG33)+($C$81*Mat_Sum!$AG33)+($C$82*Mat_Sum!$F33)+($C$83*0))</f>
        <v>952270.30203673465</v>
      </c>
      <c r="E363" s="2144">
        <f ca="1" xml:space="preserve"> $B$6*$C$12*(($C$85*Mat_Sum!$D33)+($C$86*Mat_Sum!$F33)+($C$87*Mat_Sum!$L33)+($C$88*Mat_Sum!$I33)+($C$89*Mat_Sum!$AV33)+($C$90*Mat_Sum!$AR33)+($C$91*Mat_Sum!$AG33)+($C$92*Mat_Sum!$AG33)+($C$93*Mat_Sum!$F33)+($C$94*0))+($C$187*$B$187*$C$192*(($B$197*Mat_Sum!$D33)+($A$197*Mat_Sum!$AV33)))+($C$188*$B$188*$C$193*(($B$197*Mat_Sum!$D33)+($A$197*Mat_Sum!$AV33)))</f>
        <v>17219823.890259717</v>
      </c>
      <c r="F363" s="2144">
        <f ca="1" xml:space="preserve"> $B$6*$C$13*(($C$96*Mat_Sum!$D33)+($C$97*Mat_Sum!$L33)+($C$98*Mat_Sum!$AG33)+($C$99*0))</f>
        <v>209366.93884111915</v>
      </c>
      <c r="G363" s="2144">
        <f ca="1" xml:space="preserve"> $B$6*$C$14*(($C$101*Mat_Sum!$D33)+($C$102*Mat_Sum!$L33)+($C$103*Mat_Sum!$AG33)+($C$104*0))</f>
        <v>0</v>
      </c>
      <c r="H363" s="2144">
        <f ca="1" xml:space="preserve"> $B$6*$C$15*(($C$106*Mat_Sum!$D33)+($C$107*Mat_Sum!$L33)+($C$108*Mat_Sum!$AG33)+($C$109*Mat_Sum!$AV33)+($C$110*Mat_Sum!$AR33)+($C$111*0))</f>
        <v>21151.079551440991</v>
      </c>
      <c r="I363" s="2144">
        <f ca="1" xml:space="preserve"> $B$6*$C$17*(($C$113*Mat_Sum!$E33)+($C$114*Mat_Sum!$D33)+($C$115*Mat_Sum!$F33)+($C$116*Mat_Sum!$L33)+($C$117*Mat_Sum!$I33)+($C$118*0)+($C$119*Mat_Sum!$AV33)+($C$120*Mat_Sum!$AR33)+($C$121*Mat_Sum!$AG33)+($C$122*Mat_Sum!$AG33)+($C$123*Mat_Sum!$AS33)+($C$124*0)+($C$125*Mat_Sum!$E33)+($C$126*0))</f>
        <v>0</v>
      </c>
      <c r="J363" s="2144">
        <f ca="1">$B$6*$C$16*(($C$128*Mat_Sum!$AU33)+($C$129*Mat_Sum!$D33)+($C$130*Mat_Sum!$E33)+($C$131*Mat_Sum!$AS33)+($C$132*Mat_Sum!$I33)+($C$133*Mat_Sum!$AG33)+($C$134*Mat_Sum!$AQ33)+($C$135*Mat_Sum!$AO33)+($C$136*0))</f>
        <v>0</v>
      </c>
      <c r="K363" s="2406">
        <f ca="1" xml:space="preserve"> $B$6*$C$19*$C$138*Mat_Sum!$D33</f>
        <v>0</v>
      </c>
      <c r="L363" s="2223">
        <f t="shared" ca="1" si="8"/>
        <v>0.17061017400130649</v>
      </c>
      <c r="M363" s="2218">
        <f t="shared" ca="1" si="8"/>
        <v>0.1177469735305532</v>
      </c>
      <c r="N363" s="2218">
        <f t="shared" ca="1" si="8"/>
        <v>3.6825008662003784E-2</v>
      </c>
      <c r="O363" s="2218">
        <f t="shared" ca="1" si="8"/>
        <v>0.66590353869140406</v>
      </c>
      <c r="P363" s="2218">
        <f t="shared" ca="1" si="8"/>
        <v>8.0963769634223165E-3</v>
      </c>
      <c r="Q363" s="2218">
        <f t="shared" ca="1" si="8"/>
        <v>0</v>
      </c>
      <c r="R363" s="2218">
        <f t="shared" ca="1" si="8"/>
        <v>8.1792815131023517E-4</v>
      </c>
      <c r="S363" s="2218">
        <f t="shared" ca="1" si="8"/>
        <v>0</v>
      </c>
      <c r="T363" s="2218">
        <f t="shared" ca="1" si="8"/>
        <v>0</v>
      </c>
      <c r="U363" s="2224">
        <f t="shared" ca="1" si="8"/>
        <v>0</v>
      </c>
      <c r="AI363" s="2299"/>
      <c r="AJ363" s="2299"/>
      <c r="AK363" s="2299"/>
      <c r="AL363" s="2299"/>
      <c r="AM363" s="2299"/>
      <c r="AN363" s="2299"/>
      <c r="AO363" s="2299"/>
      <c r="AP363" s="2299"/>
      <c r="AQ363" s="2299"/>
      <c r="AR363" s="2299"/>
    </row>
    <row r="364" spans="1:44">
      <c r="A364" s="2142" t="s">
        <v>851</v>
      </c>
      <c r="B364" s="2399">
        <f ca="1">($B$6*$C$18*(($C$24*Mat_Sum!$D34)+($C$25*Mat_Sum!$E34)+($C$26*Mat_Sum!$I34)+($C$27*Mat_Sum!$L34)+($C$28*Mat_Sum!$AR34)+($C$29*Mat_Sum!$AV34)+($C$30*Mat_Sum!$AS34)+($C$31*Mat_Sum!$AM34)+($C$32*Mat_Sum!$AG34)+($C$33*0)+($C$34*0)+($C$35*0)+($C$36*Mat_Sum!$CF34)+($C$37*Silicon!$K91)+($C$38*0)))+($C$201*(($C$207*Mat_Sum!$D34)+($C$208*Mat_Sum!$AV34)+($C$209*Mat_Sum!$AR34)))</f>
        <v>4963480.0479353638</v>
      </c>
      <c r="C364" s="2272">
        <f ca="1">($B$6*$C$10*(($C$40*Mat_Sum!$E34)+($C$41*Mat_Sum!$D34)+($C$42*Mat_Sum!$L34)+($C$43*Mat_Sum!$I34)+($C$44*Mat_Sum!$F34)+($C$45*Mat_Sum!$AV34)+($C$46*Mat_Sum!$AR34)+($C$47*Mat_Sum!$AG34)+($C$48*((88%*Mat_Sum!$AG34)+(12%*0)))+($C$49*Mat_Sum!$CF34)+($C$50*Mat_Sum!$AN34)+($C$51*'C.Iron'!$I81)+($C$52*((80%*Mat_Sum!$U34)+(20%*Mat_Sum!$BA34)))+($C$53*Mat_Sum!$AW34)+($C$54*Mat_Sum!$AS34)+($C$55*Mat_Sum!$CQ34)+($C$56*Mat_Sum!$AQ34)+($C$57*Mat_Sum!$AO34)+($C$58*Mat_Sum!$AP34)+($C$59*Mat_Sum!$BJ34)+($C$60*Mat_Sum!$BI34)+($C$61*Mat_Sum!$AR34)+($C$62*0)+($C$63*Mat_Sum!$CF34)+($C$64*Mat_Sum!$BG34)+($C$65*Mat_Sum!$BI34)+($C$66*Mat_Sum!$U34)+($C$67*Mat_Sum!$BA34)+($C$68*Mat_Sum!$CP34)+($C$69*0)+($C$70*Mat_Sum!$AZ34)+($C$71*Mat_Sum!$AM34)+($C$72*0)))+($C$202*(($C$211*Mat_Sum!$D34)+($C$212*Mat_Sum!$BG34)+($C$213*Mat_Sum!$AV34)))</f>
        <v>3373992.4787235223</v>
      </c>
      <c r="D364" s="2144">
        <f ca="1" xml:space="preserve"> $B$6*$C$11*(($C$74*Mat_Sum!$D34)+($C$75*Mat_Sum!$L34)+($C$76*Mat_Sum!$I34)+($C$77*Mat_Sum!$F34)+($C$78*Mat_Sum!$AV34)+($C$79*Mat_Sum!$AR34)+($C$80*Mat_Sum!$AG34)+($C$81*Mat_Sum!$AG34)+($C$82*Mat_Sum!$F34)+($C$83*0))</f>
        <v>1020369.8621598682</v>
      </c>
      <c r="E364" s="2144">
        <f ca="1" xml:space="preserve"> $B$6*$C$12*(($C$85*Mat_Sum!$D34)+($C$86*Mat_Sum!$F34)+($C$87*Mat_Sum!$L34)+($C$88*Mat_Sum!$I34)+($C$89*Mat_Sum!$AV34)+($C$90*Mat_Sum!$AR34)+($C$91*Mat_Sum!$AG34)+($C$92*Mat_Sum!$AG34)+($C$93*Mat_Sum!$F34)+($C$94*0))+($C$187*$B$187*$C$192*(($B$197*Mat_Sum!$D34)+($A$197*Mat_Sum!$AV34)))+($C$188*$B$188*$C$193*(($B$197*Mat_Sum!$D34)+($A$197*Mat_Sum!$AV34)))</f>
        <v>18350825.011988174</v>
      </c>
      <c r="F364" s="2272">
        <f ca="1" xml:space="preserve"> $B$6*$C$13*(($C$96*Mat_Sum!$D34)+($C$97*Mat_Sum!$L34)+($C$98*Mat_Sum!$AG34)+($C$99*0))</f>
        <v>228022.0180811933</v>
      </c>
      <c r="G364" s="2144">
        <f ca="1" xml:space="preserve"> $B$6*$C$14*(($C$101*Mat_Sum!$D34)+($C$102*Mat_Sum!$L34)+($C$103*Mat_Sum!$AG34)+($C$104*0))</f>
        <v>0</v>
      </c>
      <c r="H364" s="2144">
        <f ca="1" xml:space="preserve"> $B$6*$C$15*(($C$106*Mat_Sum!$D34)+($C$107*Mat_Sum!$L34)+($C$108*Mat_Sum!$AG34)+($C$109*Mat_Sum!$AV34)+($C$110*Mat_Sum!$AR34)+($C$111*0))</f>
        <v>24306.861806621946</v>
      </c>
      <c r="I364" s="2144">
        <f ca="1" xml:space="preserve"> $B$6*$C$17*(($C$113*Mat_Sum!$E34)+($C$114*Mat_Sum!$D34)+($C$115*Mat_Sum!$F34)+($C$116*Mat_Sum!$L34)+($C$117*Mat_Sum!$I34)+($C$118*0)+($C$119*Mat_Sum!$AV34)+($C$120*Mat_Sum!$AR34)+($C$121*Mat_Sum!$AG34)+($C$122*Mat_Sum!$AG34)+($C$123*Mat_Sum!$AS34)+($C$124*0)+($C$125*Mat_Sum!$E34)+($C$126*0))</f>
        <v>0</v>
      </c>
      <c r="J364" s="2144">
        <f ca="1">$B$6*$C$16*(($C$128*Mat_Sum!$AU34)+($C$129*Mat_Sum!$D34)+($C$130*Mat_Sum!$E34)+($C$131*Mat_Sum!$AS34)+($C$132*Mat_Sum!$I34)+($C$133*Mat_Sum!$AG34)+($C$134*Mat_Sum!$AQ34)+($C$135*Mat_Sum!$AO34)+($C$136*0))</f>
        <v>0</v>
      </c>
      <c r="K364" s="2406">
        <f ca="1" xml:space="preserve"> $B$6*$C$19*$C$138*Mat_Sum!$D34</f>
        <v>0</v>
      </c>
      <c r="L364" s="2184">
        <f t="shared" ca="1" si="8"/>
        <v>0.17751442037715678</v>
      </c>
      <c r="M364" s="2216">
        <f t="shared" ca="1" si="8"/>
        <v>0.12066782044719364</v>
      </c>
      <c r="N364" s="2216">
        <f t="shared" ca="1" si="8"/>
        <v>3.6492614637782687E-2</v>
      </c>
      <c r="O364" s="2216">
        <f t="shared" ca="1" si="8"/>
        <v>0.65630082804518064</v>
      </c>
      <c r="P364" s="2216">
        <f t="shared" ca="1" si="8"/>
        <v>8.1550033408011192E-3</v>
      </c>
      <c r="Q364" s="2216">
        <f t="shared" ca="1" si="8"/>
        <v>0</v>
      </c>
      <c r="R364" s="2216">
        <f t="shared" ca="1" si="8"/>
        <v>8.6931315188523023E-4</v>
      </c>
      <c r="S364" s="2216">
        <f t="shared" ca="1" si="8"/>
        <v>0</v>
      </c>
      <c r="T364" s="2216">
        <f t="shared" ca="1" si="8"/>
        <v>0</v>
      </c>
      <c r="U364" s="2217">
        <f t="shared" ca="1" si="8"/>
        <v>0</v>
      </c>
      <c r="AI364" s="2299"/>
      <c r="AJ364" s="2299"/>
      <c r="AK364" s="2299"/>
      <c r="AL364" s="2299"/>
      <c r="AM364" s="2299"/>
      <c r="AN364" s="2299"/>
      <c r="AO364" s="2299"/>
      <c r="AP364" s="2299"/>
      <c r="AQ364" s="2299"/>
      <c r="AR364" s="2299"/>
    </row>
    <row r="365" spans="1:44">
      <c r="A365" s="2177" t="s">
        <v>973</v>
      </c>
      <c r="B365" s="2151"/>
      <c r="C365" s="2136"/>
      <c r="D365" s="2251"/>
      <c r="E365" s="2251"/>
      <c r="F365" s="2136"/>
      <c r="G365" s="2251"/>
      <c r="H365" s="2251"/>
      <c r="I365" s="2251"/>
      <c r="J365" s="2251"/>
      <c r="K365" s="2412"/>
      <c r="L365" s="2411"/>
      <c r="M365" s="2336"/>
      <c r="N365" s="2336"/>
      <c r="O365" s="2336"/>
      <c r="P365" s="2336"/>
      <c r="Q365" s="2336"/>
      <c r="R365" s="2336"/>
      <c r="S365" s="2336"/>
      <c r="T365" s="2336"/>
      <c r="U365" s="2337"/>
      <c r="AI365" s="2299"/>
      <c r="AJ365" s="2299"/>
      <c r="AK365" s="2299"/>
      <c r="AL365" s="2299"/>
      <c r="AM365" s="2299"/>
      <c r="AN365" s="2299"/>
      <c r="AO365" s="2299"/>
      <c r="AP365" s="2299"/>
      <c r="AQ365" s="2299"/>
      <c r="AR365" s="2299"/>
    </row>
    <row r="366" spans="1:44">
      <c r="A366" s="2093" t="s">
        <v>821</v>
      </c>
      <c r="B366" s="2151">
        <f ca="1">($B$6*$C$18*(($C$24*Mat_Sum!$D36)+($C$25*Mat_Sum!$E36)+($C$26*Mat_Sum!$I36)+($C$27*Mat_Sum!$L36)+($C$28*Mat_Sum!$AR36)+($C$29*Mat_Sum!$AV36)+($C$30*Mat_Sum!$AS36)+($C$31*Mat_Sum!$AM36)+($C$32*Mat_Sum!$AG36)+($C$33*0)+($C$34*0)+($C$35*0)+($C$36*Mat_Sum!$CF36)+($C$37*Silicon!$K93)+($C$38*0)))+($C$201*(($C$207*Mat_Sum!$D36)+($C$208*Mat_Sum!$AV36)+($C$209*Mat_Sum!$AR36)))</f>
        <v>60.359002337267569</v>
      </c>
      <c r="C366" s="2136">
        <f ca="1">($B$6*$C$10*(($C$40*Mat_Sum!$E36)+($C$41*Mat_Sum!$D36)+($C$42*Mat_Sum!$L36)+($C$43*Mat_Sum!$I36)+($C$44*Mat_Sum!$F36)+($C$45*Mat_Sum!$AV36)+($C$46*Mat_Sum!$AR36)+($C$47*Mat_Sum!$AG36)+($C$48*((88%*Mat_Sum!$AG36)+(12%*0)))+($C$49*Mat_Sum!$CF36)+($C$50*Mat_Sum!$AN36)+($C$51*'C.Iron'!$I83)+($C$52*((80%*Mat_Sum!$U36)+(20%*Mat_Sum!$BA36)))+($C$53*Mat_Sum!$AW36)+($C$54*Mat_Sum!$AS36)+($C$55*Mat_Sum!$CQ36)+($C$56*Mat_Sum!$AQ36)+($C$57*Mat_Sum!$AO36)+($C$58*Mat_Sum!$AP36)+($C$59*Mat_Sum!$BJ36)+($C$60*Mat_Sum!$BI36)+($C$61*Mat_Sum!$AR36)+($C$62*0)+($C$63*Mat_Sum!$CF36)+($C$64*Mat_Sum!$BG36)+($C$65*Mat_Sum!$BI36)+($C$66*Mat_Sum!$U36)+($C$67*Mat_Sum!$BA36)+($C$68*Mat_Sum!$CP36)+($C$69*0)+($C$70*Mat_Sum!$AZ36)+($C$71*Mat_Sum!$AM36)+($C$72*0)))+($C$202*(($C$211*Mat_Sum!$D36)+($C$212*Mat_Sum!$BG36)+($C$213*Mat_Sum!$AV36)))</f>
        <v>28.007561465937037</v>
      </c>
      <c r="D366" s="2136">
        <f ca="1" xml:space="preserve"> $B$6*$C$11*(($C$74*Mat_Sum!$D36)+($C$75*Mat_Sum!$L36)+($C$76*Mat_Sum!$I36)+($C$77*Mat_Sum!$F36)+($C$78*Mat_Sum!$AV36)+($C$79*Mat_Sum!$AR36)+($C$80*Mat_Sum!$AG36)+($C$81*Mat_Sum!$AG36)+($C$82*Mat_Sum!$F36)+($C$83*0))</f>
        <v>5.1616082208068068</v>
      </c>
      <c r="E366" s="2136">
        <f ca="1" xml:space="preserve"> $B$6*$C$12*(($C$85*Mat_Sum!$D36)+($C$86*Mat_Sum!$F36)+($C$87*Mat_Sum!$L36)+($C$88*Mat_Sum!$I36)+($C$89*Mat_Sum!$AV36)+($C$90*Mat_Sum!$AR36)+($C$91*Mat_Sum!$AG36)+($C$92*Mat_Sum!$AG36)+($C$93*Mat_Sum!$F36)+($C$94*0))+($C$187*$B$187*$C$192*(($B$197*Mat_Sum!$D36)+($A$197*Mat_Sum!$AV36)))+($C$188*$B$188*$C$193*(($B$197*Mat_Sum!$D36)+($A$197*Mat_Sum!$AV36)))</f>
        <v>127.22611215190926</v>
      </c>
      <c r="F366" s="2136">
        <f ca="1" xml:space="preserve"> $B$6*$C$13*(($C$96*Mat_Sum!$D36)+($C$97*Mat_Sum!$L36)+($C$98*Mat_Sum!$AG36)+($C$99*0))</f>
        <v>1.4638779205445738</v>
      </c>
      <c r="G366" s="2136">
        <f ca="1" xml:space="preserve"> $B$6*$C$14*(($C$101*Mat_Sum!$D36)+($C$102*Mat_Sum!$L36)+($C$103*Mat_Sum!$AG36)+($C$104*0))</f>
        <v>0</v>
      </c>
      <c r="H366" s="2136">
        <f ca="1" xml:space="preserve"> $B$6*$C$15*(($C$106*Mat_Sum!$D36)+($C$107*Mat_Sum!$L36)+($C$108*Mat_Sum!$AG36)+($C$109*Mat_Sum!$AV36)+($C$110*Mat_Sum!$AR36)+($C$111*0))</f>
        <v>0.38361893341776004</v>
      </c>
      <c r="I366" s="2136">
        <f ca="1" xml:space="preserve"> $B$6*$C$17*(($C$113*Mat_Sum!$E36)+($C$114*Mat_Sum!$D36)+($C$115*Mat_Sum!$F36)+($C$116*Mat_Sum!$L36)+($C$117*Mat_Sum!$I36)+($C$118*0)+($C$119*Mat_Sum!$AV36)+($C$120*Mat_Sum!$AR36)+($C$121*Mat_Sum!$AG36)+($C$122*Mat_Sum!$AG36)+($C$123*Mat_Sum!$AS36)+($C$124*0)+($C$125*Mat_Sum!$E36)+($C$126*0))</f>
        <v>0</v>
      </c>
      <c r="J366" s="2136">
        <f ca="1">$B$6*$C$16*(($C$128*Mat_Sum!$AU36)+($C$129*Mat_Sum!$D36)+($C$130*Mat_Sum!$E36)+($C$131*Mat_Sum!$AS36)+($C$132*Mat_Sum!$I36)+($C$133*Mat_Sum!$AG36)+($C$134*Mat_Sum!$AQ36)+($C$135*Mat_Sum!$AO36)+($C$136*0))</f>
        <v>0</v>
      </c>
      <c r="K366" s="2406">
        <f ca="1" xml:space="preserve"> $B$6*$C$19*$C$138*Mat_Sum!$D36</f>
        <v>0</v>
      </c>
      <c r="L366" s="2223">
        <f t="shared" ref="L366:U373" ca="1" si="9">B366/$C297</f>
        <v>0.27115237828741684</v>
      </c>
      <c r="M366" s="2218">
        <f t="shared" ca="1" si="9"/>
        <v>0.12581912568874362</v>
      </c>
      <c r="N366" s="2218">
        <f t="shared" ca="1" si="9"/>
        <v>2.3187632178530912E-2</v>
      </c>
      <c r="O366" s="2218">
        <f t="shared" ca="1" si="9"/>
        <v>0.57154130377254209</v>
      </c>
      <c r="P366" s="2218">
        <f t="shared" ca="1" si="9"/>
        <v>6.5762183652432532E-3</v>
      </c>
      <c r="Q366" s="2218">
        <f t="shared" ca="1" si="9"/>
        <v>0</v>
      </c>
      <c r="R366" s="2218">
        <f t="shared" ca="1" si="9"/>
        <v>1.7233417075232719E-3</v>
      </c>
      <c r="S366" s="2218">
        <f t="shared" ca="1" si="9"/>
        <v>0</v>
      </c>
      <c r="T366" s="2218">
        <f t="shared" ca="1" si="9"/>
        <v>0</v>
      </c>
      <c r="U366" s="2224">
        <f t="shared" ca="1" si="9"/>
        <v>0</v>
      </c>
      <c r="AI366" s="2299"/>
      <c r="AJ366" s="2299"/>
      <c r="AK366" s="2299"/>
      <c r="AL366" s="2299"/>
      <c r="AM366" s="2299"/>
      <c r="AN366" s="2299"/>
      <c r="AO366" s="2299"/>
      <c r="AP366" s="2299"/>
      <c r="AQ366" s="2299"/>
      <c r="AR366" s="2299"/>
    </row>
    <row r="367" spans="1:44">
      <c r="A367" s="2093" t="s">
        <v>822</v>
      </c>
      <c r="B367" s="2151">
        <f ca="1">($B$6*$C$18*(($C$24*Mat_Sum!$D37)+($C$25*Mat_Sum!$E37)+($C$26*Mat_Sum!$I37)+($C$27*Mat_Sum!$L37)+($C$28*Mat_Sum!$AR37)+($C$29*Mat_Sum!$AV37)+($C$30*Mat_Sum!$AS37)+($C$31*Mat_Sum!$AM37)+($C$32*Mat_Sum!$AG37)+($C$33*0)+($C$34*0)+($C$35*0)+($C$36*Mat_Sum!$CF37)+($C$37*Silicon!$K94)+($C$38*0)))+($C$201*(($C$207*Mat_Sum!$D37)+($C$208*Mat_Sum!$AV37)+($C$209*Mat_Sum!$AR37)))</f>
        <v>192.31119029295485</v>
      </c>
      <c r="C367" s="2136">
        <f ca="1">($B$6*$C$10*(($C$40*Mat_Sum!$E37)+($C$41*Mat_Sum!$D37)+($C$42*Mat_Sum!$L37)+($C$43*Mat_Sum!$I37)+($C$44*Mat_Sum!$F37)+($C$45*Mat_Sum!$AV37)+($C$46*Mat_Sum!$AR37)+($C$47*Mat_Sum!$AG37)+($C$48*((88%*Mat_Sum!$AG37)+(12%*0)))+($C$49*Mat_Sum!$CF37)+($C$50*Mat_Sum!$AN37)+($C$51*'C.Iron'!$I84)+($C$52*((80%*Mat_Sum!$U37)+(20%*Mat_Sum!$BA37)))+($C$53*Mat_Sum!$AW37)+($C$54*Mat_Sum!$AS37)+($C$55*Mat_Sum!$CQ37)+($C$56*Mat_Sum!$AQ37)+($C$57*Mat_Sum!$AO37)+($C$58*Mat_Sum!$AP37)+($C$59*Mat_Sum!$BJ37)+($C$60*Mat_Sum!$BI37)+($C$61*Mat_Sum!$AR37)+($C$62*0)+($C$63*Mat_Sum!$CF37)+($C$64*Mat_Sum!$BG37)+($C$65*Mat_Sum!$BI37)+($C$66*Mat_Sum!$U37)+($C$67*Mat_Sum!$BA37)+($C$68*Mat_Sum!$CP37)+($C$69*0)+($C$70*Mat_Sum!$AZ37)+($C$71*Mat_Sum!$AM37)+($C$72*0)))+($C$202*(($C$211*Mat_Sum!$D37)+($C$212*Mat_Sum!$BG37)+($C$213*Mat_Sum!$AV37)))</f>
        <v>96.235860754603237</v>
      </c>
      <c r="D367" s="2136">
        <f ca="1" xml:space="preserve"> $B$6*$C$11*(($C$74*Mat_Sum!$D37)+($C$75*Mat_Sum!$L37)+($C$76*Mat_Sum!$I37)+($C$77*Mat_Sum!$F37)+($C$78*Mat_Sum!$AV37)+($C$79*Mat_Sum!$AR37)+($C$80*Mat_Sum!$AG37)+($C$81*Mat_Sum!$AG37)+($C$82*Mat_Sum!$F37)+($C$83*0))</f>
        <v>20.804795168167637</v>
      </c>
      <c r="E367" s="2136">
        <f ca="1" xml:space="preserve"> $B$6*$C$12*(($C$85*Mat_Sum!$D37)+($C$86*Mat_Sum!$F37)+($C$87*Mat_Sum!$L37)+($C$88*Mat_Sum!$I37)+($C$89*Mat_Sum!$AV37)+($C$90*Mat_Sum!$AR37)+($C$91*Mat_Sum!$AG37)+($C$92*Mat_Sum!$AG37)+($C$93*Mat_Sum!$F37)+($C$94*0))+($C$187*$B$187*$C$192*(($B$197*Mat_Sum!$D37)+($A$197*Mat_Sum!$AV37)))+($C$188*$B$188*$C$193*(($B$197*Mat_Sum!$D37)+($A$197*Mat_Sum!$AV37)))</f>
        <v>382.36641848882624</v>
      </c>
      <c r="F367" s="2136">
        <f ca="1" xml:space="preserve"> $B$6*$C$13*(($C$96*Mat_Sum!$D37)+($C$97*Mat_Sum!$L37)+($C$98*Mat_Sum!$AG37)+($C$99*0))</f>
        <v>6.5803830618990258</v>
      </c>
      <c r="G367" s="2136">
        <f ca="1" xml:space="preserve"> $B$6*$C$14*(($C$101*Mat_Sum!$D37)+($C$102*Mat_Sum!$L37)+($C$103*Mat_Sum!$AG37)+($C$104*0))</f>
        <v>0</v>
      </c>
      <c r="H367" s="2136">
        <f ca="1" xml:space="preserve"> $B$6*$C$15*(($C$106*Mat_Sum!$D37)+($C$107*Mat_Sum!$L37)+($C$108*Mat_Sum!$AG37)+($C$109*Mat_Sum!$AV37)+($C$110*Mat_Sum!$AR37)+($C$111*0))</f>
        <v>1.1057542374622058</v>
      </c>
      <c r="I367" s="2136">
        <f ca="1" xml:space="preserve"> $B$6*$C$17*(($C$113*Mat_Sum!$E37)+($C$114*Mat_Sum!$D37)+($C$115*Mat_Sum!$F37)+($C$116*Mat_Sum!$L37)+($C$117*Mat_Sum!$I37)+($C$118*0)+($C$119*Mat_Sum!$AV37)+($C$120*Mat_Sum!$AR37)+($C$121*Mat_Sum!$AG37)+($C$122*Mat_Sum!$AG37)+($C$123*Mat_Sum!$AS37)+($C$124*0)+($C$125*Mat_Sum!$E37)+($C$126*0))</f>
        <v>0</v>
      </c>
      <c r="J367" s="2136">
        <f ca="1">$B$6*$C$16*(($C$128*Mat_Sum!$AU37)+($C$129*Mat_Sum!$D37)+($C$130*Mat_Sum!$E37)+($C$131*Mat_Sum!$AS37)+($C$132*Mat_Sum!$I37)+($C$133*Mat_Sum!$AG37)+($C$134*Mat_Sum!$AQ37)+($C$135*Mat_Sum!$AO37)+($C$136*0))</f>
        <v>0</v>
      </c>
      <c r="K367" s="2406">
        <f ca="1" xml:space="preserve"> $B$6*$C$19*$C$138*Mat_Sum!$D37</f>
        <v>0</v>
      </c>
      <c r="L367" s="2223">
        <f t="shared" ca="1" si="9"/>
        <v>0.27496422633593731</v>
      </c>
      <c r="M367" s="2218">
        <f t="shared" ca="1" si="9"/>
        <v>0.13759687596885442</v>
      </c>
      <c r="N367" s="2218">
        <f t="shared" ca="1" si="9"/>
        <v>2.9746445845291142E-2</v>
      </c>
      <c r="O367" s="2218">
        <f t="shared" ca="1" si="9"/>
        <v>0.54670290520517328</v>
      </c>
      <c r="P367" s="2218">
        <f t="shared" ca="1" si="9"/>
        <v>9.4085525384814631E-3</v>
      </c>
      <c r="Q367" s="2218">
        <f t="shared" ca="1" si="9"/>
        <v>0</v>
      </c>
      <c r="R367" s="2218">
        <f t="shared" ca="1" si="9"/>
        <v>1.5809941062624585E-3</v>
      </c>
      <c r="S367" s="2218">
        <f t="shared" ca="1" si="9"/>
        <v>0</v>
      </c>
      <c r="T367" s="2218">
        <f t="shared" ca="1" si="9"/>
        <v>0</v>
      </c>
      <c r="U367" s="2224">
        <f t="shared" ca="1" si="9"/>
        <v>0</v>
      </c>
      <c r="AI367" s="2299"/>
      <c r="AJ367" s="2299"/>
      <c r="AK367" s="2299"/>
      <c r="AL367" s="2299"/>
      <c r="AM367" s="2299"/>
      <c r="AN367" s="2299"/>
      <c r="AO367" s="2299"/>
      <c r="AP367" s="2299"/>
      <c r="AQ367" s="2299"/>
      <c r="AR367" s="2299"/>
    </row>
    <row r="368" spans="1:44" ht="15.75">
      <c r="A368" s="2093" t="s">
        <v>2542</v>
      </c>
      <c r="B368" s="2151">
        <f ca="1">($B$6*$C$18*(($C$24*Mat_Sum!$D38)+($C$25*Mat_Sum!$E38)+($C$26*Mat_Sum!$I38)+($C$27*Mat_Sum!$L38)+($C$28*Mat_Sum!$AR38)+($C$29*Mat_Sum!$AV38)+($C$30*Mat_Sum!$AS38)+($C$31*Mat_Sum!$AM38)+($C$32*Mat_Sum!$AG38)+($C$33*0)+($C$34*0)+($C$35*0)+($C$36*Mat_Sum!$CF38)+($C$37*Silicon!$K95)+($C$38*0)))+($C$201*(($C$207*Mat_Sum!$D38)+($C$208*Mat_Sum!$AV38)+($C$209*Mat_Sum!$AR38)))</f>
        <v>364.77415354384368</v>
      </c>
      <c r="C368" s="2136">
        <f ca="1">($B$6*$C$10*(($C$40*Mat_Sum!$E38)+($C$41*Mat_Sum!$D38)+($C$42*Mat_Sum!$L38)+($C$43*Mat_Sum!$I38)+($C$44*Mat_Sum!$F38)+($C$45*Mat_Sum!$AV38)+($C$46*Mat_Sum!$AR38)+($C$47*Mat_Sum!$AG38)+($C$48*((88%*Mat_Sum!$AG38)+(12%*0)))+($C$49*Mat_Sum!$CF38)+($C$50*Mat_Sum!$AN38)+($C$51*'C.Iron'!$I85)+($C$52*((80%*Mat_Sum!$U38)+(20%*Mat_Sum!$BA38)))+($C$53*Mat_Sum!$AW38)+($C$54*Mat_Sum!$AS38)+($C$55*Mat_Sum!$CQ38)+($C$56*Mat_Sum!$AQ38)+($C$57*Mat_Sum!$AO38)+($C$58*Mat_Sum!$AP38)+($C$59*Mat_Sum!$BJ38)+($C$60*Mat_Sum!$BI38)+($C$61*Mat_Sum!$AR38)+($C$62*0)+($C$63*Mat_Sum!$CF38)+($C$64*Mat_Sum!$BG38)+($C$65*Mat_Sum!$BI38)+($C$66*Mat_Sum!$U38)+($C$67*Mat_Sum!$BA38)+($C$68*Mat_Sum!$CP38)+($C$69*0)+($C$70*Mat_Sum!$AZ38)+($C$71*Mat_Sum!$AM38)+($C$72*0)))+($C$202*(($C$211*Mat_Sum!$D38)+($C$212*Mat_Sum!$BG38)+($C$213*Mat_Sum!$AV38)))</f>
        <v>220.24787057365927</v>
      </c>
      <c r="D368" s="2136">
        <f ca="1" xml:space="preserve"> $B$6*$C$11*(($C$74*Mat_Sum!$D38)+($C$75*Mat_Sum!$L38)+($C$76*Mat_Sum!$I38)+($C$77*Mat_Sum!$F38)+($C$78*Mat_Sum!$AV38)+($C$79*Mat_Sum!$AR38)+($C$80*Mat_Sum!$AG38)+($C$81*Mat_Sum!$AG38)+($C$82*Mat_Sum!$F38)+($C$83*0))</f>
        <v>44.46312446313199</v>
      </c>
      <c r="E368" s="2136">
        <f ca="1" xml:space="preserve"> $B$6*$C$12*(($C$85*Mat_Sum!$D38)+($C$86*Mat_Sum!$F38)+($C$87*Mat_Sum!$L38)+($C$88*Mat_Sum!$I38)+($C$89*Mat_Sum!$AV38)+($C$90*Mat_Sum!$AR38)+($C$91*Mat_Sum!$AG38)+($C$92*Mat_Sum!$AG38)+($C$93*Mat_Sum!$F38)+($C$94*0))+($C$187*$B$187*$C$192*(($B$197*Mat_Sum!$D38)+($A$197*Mat_Sum!$AV38)))+($C$188*$B$188*$C$193*(($B$197*Mat_Sum!$D38)+($A$197*Mat_Sum!$AV38)))</f>
        <v>787.60287803976917</v>
      </c>
      <c r="F368" s="2136">
        <f ca="1" xml:space="preserve"> $B$6*$C$13*(($C$96*Mat_Sum!$D38)+($C$97*Mat_Sum!$L38)+($C$98*Mat_Sum!$AG38)+($C$99*0))</f>
        <v>16.473728614642443</v>
      </c>
      <c r="G368" s="2136">
        <f ca="1" xml:space="preserve"> $B$6*$C$14*(($C$101*Mat_Sum!$D38)+($C$102*Mat_Sum!$L38)+($C$103*Mat_Sum!$AG38)+($C$104*0))</f>
        <v>0</v>
      </c>
      <c r="H368" s="2136">
        <f ca="1" xml:space="preserve"> $B$6*$C$15*(($C$106*Mat_Sum!$D38)+($C$107*Mat_Sum!$L38)+($C$108*Mat_Sum!$AG38)+($C$109*Mat_Sum!$AV38)+($C$110*Mat_Sum!$AR38)+($C$111*0))</f>
        <v>1.9380129206251637</v>
      </c>
      <c r="I368" s="2136">
        <f ca="1" xml:space="preserve"> $B$6*$C$17*(($C$113*Mat_Sum!$E38)+($C$114*Mat_Sum!$D38)+($C$115*Mat_Sum!$F38)+($C$116*Mat_Sum!$L38)+($C$117*Mat_Sum!$I38)+($C$118*0)+($C$119*Mat_Sum!$AV38)+($C$120*Mat_Sum!$AR38)+($C$121*Mat_Sum!$AG38)+($C$122*Mat_Sum!$AG38)+($C$123*Mat_Sum!$AS38)+($C$124*0)+($C$125*Mat_Sum!$E38)+($C$126*0))</f>
        <v>0</v>
      </c>
      <c r="J368" s="2136">
        <f ca="1">$B$6*$C$16*(($C$128*Mat_Sum!$AU38)+($C$129*Mat_Sum!$D38)+($C$130*Mat_Sum!$E38)+($C$131*Mat_Sum!$AS38)+($C$132*Mat_Sum!$I38)+($C$133*Mat_Sum!$AG38)+($C$134*Mat_Sum!$AQ38)+($C$135*Mat_Sum!$AO38)+($C$136*0))</f>
        <v>0</v>
      </c>
      <c r="K368" s="2406">
        <f ca="1" xml:space="preserve"> $B$6*$C$19*$C$138*Mat_Sum!$D38</f>
        <v>0</v>
      </c>
      <c r="L368" s="2223">
        <f t="shared" ca="1" si="9"/>
        <v>0.25410951756021882</v>
      </c>
      <c r="M368" s="2218">
        <f t="shared" ca="1" si="9"/>
        <v>0.15342940170351507</v>
      </c>
      <c r="N368" s="2218">
        <f t="shared" ca="1" si="9"/>
        <v>3.0973968404229116E-2</v>
      </c>
      <c r="O368" s="2218">
        <f t="shared" ca="1" si="9"/>
        <v>0.5486610973484729</v>
      </c>
      <c r="P368" s="2218">
        <f t="shared" ca="1" si="9"/>
        <v>1.1475953518131091E-2</v>
      </c>
      <c r="Q368" s="2218">
        <f t="shared" ca="1" si="9"/>
        <v>0</v>
      </c>
      <c r="R368" s="2218">
        <f t="shared" ca="1" si="9"/>
        <v>1.3500614654331296E-3</v>
      </c>
      <c r="S368" s="2218">
        <f t="shared" ca="1" si="9"/>
        <v>0</v>
      </c>
      <c r="T368" s="2218">
        <f t="shared" ca="1" si="9"/>
        <v>0</v>
      </c>
      <c r="U368" s="2224">
        <f t="shared" ca="1" si="9"/>
        <v>0</v>
      </c>
      <c r="AI368" s="2299"/>
      <c r="AJ368" s="2299"/>
      <c r="AK368" s="2299"/>
      <c r="AL368" s="2299"/>
      <c r="AM368" s="2299"/>
      <c r="AN368" s="2299"/>
      <c r="AO368" s="2299"/>
      <c r="AP368" s="2299"/>
      <c r="AQ368" s="2299"/>
      <c r="AR368" s="2299"/>
    </row>
    <row r="369" spans="1:44" ht="15.75">
      <c r="A369" s="2093" t="s">
        <v>2543</v>
      </c>
      <c r="B369" s="2151">
        <f ca="1">($B$6*$C$18*(($C$24*Mat_Sum!$D39)+($C$25*Mat_Sum!$E39)+($C$26*Mat_Sum!$I39)+($C$27*Mat_Sum!$L39)+($C$28*Mat_Sum!$AR39)+($C$29*Mat_Sum!$AV39)+($C$30*Mat_Sum!$AS39)+($C$31*Mat_Sum!$AM39)+($C$32*Mat_Sum!$AG39)+($C$33*0)+($C$34*0)+($C$35*0)+($C$36*Mat_Sum!$CF39)+($C$37*Silicon!$K96)+($C$38*0)))+($C$201*(($C$207*Mat_Sum!$D39)+($C$208*Mat_Sum!$AV39)+($C$209*Mat_Sum!$AR39)))</f>
        <v>37.231410625364184</v>
      </c>
      <c r="C369" s="2136">
        <f ca="1">($B$6*$C$10*(($C$40*Mat_Sum!$E39)+($C$41*Mat_Sum!$D39)+($C$42*Mat_Sum!$L39)+($C$43*Mat_Sum!$I39)+($C$44*Mat_Sum!$F39)+($C$45*Mat_Sum!$AV39)+($C$46*Mat_Sum!$AR39)+($C$47*Mat_Sum!$AG39)+($C$48*((88%*Mat_Sum!$AG39)+(12%*0)))+($C$49*Mat_Sum!$CF39)+($C$50*Mat_Sum!$AN39)+($C$51*'C.Iron'!$I86)+($C$52*((80%*Mat_Sum!$U39)+(20%*Mat_Sum!$BA39)))+($C$53*Mat_Sum!$AW39)+($C$54*Mat_Sum!$AS39)+($C$55*Mat_Sum!$CQ39)+($C$56*Mat_Sum!$AQ39)+($C$57*Mat_Sum!$AO39)+($C$58*Mat_Sum!$AP39)+($C$59*Mat_Sum!$BJ39)+($C$60*Mat_Sum!$BI39)+($C$61*Mat_Sum!$AR39)+($C$62*0)+($C$63*Mat_Sum!$CF39)+($C$64*Mat_Sum!$BG39)+($C$65*Mat_Sum!$BI39)+($C$66*Mat_Sum!$U39)+($C$67*Mat_Sum!$BA39)+($C$68*Mat_Sum!$CP39)+($C$69*0)+($C$70*Mat_Sum!$AZ39)+($C$71*Mat_Sum!$AM39)+($C$72*0)))+($C$202*(($C$211*Mat_Sum!$D39)+($C$212*Mat_Sum!$BG39)+($C$213*Mat_Sum!$AV39)))</f>
        <v>24.126288729650085</v>
      </c>
      <c r="D369" s="2136">
        <f ca="1" xml:space="preserve"> $B$6*$C$11*(($C$74*Mat_Sum!$D39)+($C$75*Mat_Sum!$L39)+($C$76*Mat_Sum!$I39)+($C$77*Mat_Sum!$F39)+($C$78*Mat_Sum!$AV39)+($C$79*Mat_Sum!$AR39)+($C$80*Mat_Sum!$AG39)+($C$81*Mat_Sum!$AG39)+($C$82*Mat_Sum!$F39)+($C$83*0))</f>
        <v>4.7952172485727997</v>
      </c>
      <c r="E369" s="2136">
        <f ca="1" xml:space="preserve"> $B$6*$C$12*(($C$85*Mat_Sum!$D39)+($C$86*Mat_Sum!$F39)+($C$87*Mat_Sum!$L39)+($C$88*Mat_Sum!$I39)+($C$89*Mat_Sum!$AV39)+($C$90*Mat_Sum!$AR39)+($C$91*Mat_Sum!$AG39)+($C$92*Mat_Sum!$AG39)+($C$93*Mat_Sum!$F39)+($C$94*0))+($C$187*$B$187*$C$192*(($B$197*Mat_Sum!$D39)+($A$197*Mat_Sum!$AV39)))+($C$188*$B$188*$C$193*(($B$197*Mat_Sum!$D39)+($A$197*Mat_Sum!$AV39)))</f>
        <v>79.581548952776217</v>
      </c>
      <c r="F369" s="2136">
        <f ca="1" xml:space="preserve"> $B$6*$C$13*(($C$96*Mat_Sum!$D39)+($C$97*Mat_Sum!$L39)+($C$98*Mat_Sum!$AG39)+($C$99*0))</f>
        <v>1.8268870968016679</v>
      </c>
      <c r="G369" s="2136">
        <f ca="1" xml:space="preserve"> $B$6*$C$14*(($C$101*Mat_Sum!$D39)+($C$102*Mat_Sum!$L39)+($C$103*Mat_Sum!$AG39)+($C$104*0))</f>
        <v>0</v>
      </c>
      <c r="H369" s="2136">
        <f ca="1" xml:space="preserve"> $B$6*$C$15*(($C$106*Mat_Sum!$D39)+($C$107*Mat_Sum!$L39)+($C$108*Mat_Sum!$AG39)+($C$109*Mat_Sum!$AV39)+($C$110*Mat_Sum!$AR39)+($C$111*0))</f>
        <v>0.19415963678042558</v>
      </c>
      <c r="I369" s="2136">
        <f ca="1" xml:space="preserve"> $B$6*$C$17*(($C$113*Mat_Sum!$E39)+($C$114*Mat_Sum!$D39)+($C$115*Mat_Sum!$F39)+($C$116*Mat_Sum!$L39)+($C$117*Mat_Sum!$I39)+($C$118*0)+($C$119*Mat_Sum!$AV39)+($C$120*Mat_Sum!$AR39)+($C$121*Mat_Sum!$AG39)+($C$122*Mat_Sum!$AG39)+($C$123*Mat_Sum!$AS39)+($C$124*0)+($C$125*Mat_Sum!$E39)+($C$126*0))</f>
        <v>0</v>
      </c>
      <c r="J369" s="2136">
        <f ca="1">$B$6*$C$16*(($C$128*Mat_Sum!$AU39)+($C$129*Mat_Sum!$D39)+($C$130*Mat_Sum!$E39)+($C$131*Mat_Sum!$AS39)+($C$132*Mat_Sum!$I39)+($C$133*Mat_Sum!$AG39)+($C$134*Mat_Sum!$AQ39)+($C$135*Mat_Sum!$AO39)+($C$136*0))</f>
        <v>0</v>
      </c>
      <c r="K369" s="2406">
        <f ca="1" xml:space="preserve"> $B$6*$C$19*$C$138*Mat_Sum!$D39</f>
        <v>0</v>
      </c>
      <c r="L369" s="2223">
        <f t="shared" ca="1" si="9"/>
        <v>0.25197984189113565</v>
      </c>
      <c r="M369" s="2218">
        <f t="shared" ca="1" si="9"/>
        <v>0.16328520239777111</v>
      </c>
      <c r="N369" s="2218">
        <f t="shared" ca="1" si="9"/>
        <v>3.2453728285703427E-2</v>
      </c>
      <c r="O369" s="2218">
        <f t="shared" ca="1" si="9"/>
        <v>0.53860291043904207</v>
      </c>
      <c r="P369" s="2218">
        <f t="shared" ca="1" si="9"/>
        <v>1.2364256794810532E-2</v>
      </c>
      <c r="Q369" s="2218">
        <f t="shared" ca="1" si="9"/>
        <v>0</v>
      </c>
      <c r="R369" s="2218">
        <f t="shared" ca="1" si="9"/>
        <v>1.3140601915373549E-3</v>
      </c>
      <c r="S369" s="2218">
        <f t="shared" ca="1" si="9"/>
        <v>0</v>
      </c>
      <c r="T369" s="2218">
        <f t="shared" ca="1" si="9"/>
        <v>0</v>
      </c>
      <c r="U369" s="2224">
        <f t="shared" ca="1" si="9"/>
        <v>0</v>
      </c>
      <c r="AI369" s="2299"/>
      <c r="AJ369" s="2299"/>
      <c r="AK369" s="2299"/>
      <c r="AL369" s="2299"/>
      <c r="AM369" s="2299"/>
      <c r="AN369" s="2299"/>
      <c r="AO369" s="2299"/>
      <c r="AP369" s="2299"/>
      <c r="AQ369" s="2299"/>
      <c r="AR369" s="2299"/>
    </row>
    <row r="370" spans="1:44" ht="15.75">
      <c r="A370" s="2093" t="s">
        <v>2544</v>
      </c>
      <c r="B370" s="2151">
        <f ca="1">($B$6*$C$18*(($C$24*Mat_Sum!$D40)+($C$25*Mat_Sum!$E40)+($C$26*Mat_Sum!$I40)+($C$27*Mat_Sum!$L40)+($C$28*Mat_Sum!$AR40)+($C$29*Mat_Sum!$AV40)+($C$30*Mat_Sum!$AS40)+($C$31*Mat_Sum!$AM40)+($C$32*Mat_Sum!$AG40)+($C$33*0)+($C$34*0)+($C$35*0)+($C$36*Mat_Sum!$CF40)+($C$37*Silicon!$K97)+($C$38*0)))+($C$201*(($C$207*Mat_Sum!$D40)+($C$208*Mat_Sum!$AV40)+($C$209*Mat_Sum!$AR40)))</f>
        <v>31.973958819307249</v>
      </c>
      <c r="C370" s="2136">
        <f ca="1">($B$6*$C$10*(($C$40*Mat_Sum!$E40)+($C$41*Mat_Sum!$D40)+($C$42*Mat_Sum!$L40)+($C$43*Mat_Sum!$I40)+($C$44*Mat_Sum!$F40)+($C$45*Mat_Sum!$AV40)+($C$46*Mat_Sum!$AR40)+($C$47*Mat_Sum!$AG40)+($C$48*((88%*Mat_Sum!$AG40)+(12%*0)))+($C$49*Mat_Sum!$CF40)+($C$50*Mat_Sum!$AN40)+($C$51*'C.Iron'!$I87)+($C$52*((80%*Mat_Sum!$U40)+(20%*Mat_Sum!$BA40)))+($C$53*Mat_Sum!$AW40)+($C$54*Mat_Sum!$AS40)+($C$55*Mat_Sum!$CQ40)+($C$56*Mat_Sum!$AQ40)+($C$57*Mat_Sum!$AO40)+($C$58*Mat_Sum!$AP40)+($C$59*Mat_Sum!$BJ40)+($C$60*Mat_Sum!$BI40)+($C$61*Mat_Sum!$AR40)+($C$62*0)+($C$63*Mat_Sum!$CF40)+($C$64*Mat_Sum!$BG40)+($C$65*Mat_Sum!$BI40)+($C$66*Mat_Sum!$U40)+($C$67*Mat_Sum!$BA40)+($C$68*Mat_Sum!$CP40)+($C$69*0)+($C$70*Mat_Sum!$AZ40)+($C$71*Mat_Sum!$AM40)+($C$72*0)))+($C$202*(($C$211*Mat_Sum!$D40)+($C$212*Mat_Sum!$BG40)+($C$213*Mat_Sum!$AV40)))</f>
        <v>20.72280820615595</v>
      </c>
      <c r="D370" s="2136">
        <f ca="1" xml:space="preserve"> $B$6*$C$11*(($C$74*Mat_Sum!$D40)+($C$75*Mat_Sum!$L40)+($C$76*Mat_Sum!$I40)+($C$77*Mat_Sum!$F40)+($C$78*Mat_Sum!$AV40)+($C$79*Mat_Sum!$AR40)+($C$80*Mat_Sum!$AG40)+($C$81*Mat_Sum!$AG40)+($C$82*Mat_Sum!$F40)+($C$83*0))</f>
        <v>4.1953075411997807</v>
      </c>
      <c r="E370" s="2136">
        <f ca="1" xml:space="preserve"> $B$6*$C$12*(($C$85*Mat_Sum!$D40)+($C$86*Mat_Sum!$F40)+($C$87*Mat_Sum!$L40)+($C$88*Mat_Sum!$I40)+($C$89*Mat_Sum!$AV40)+($C$90*Mat_Sum!$AR40)+($C$91*Mat_Sum!$AG40)+($C$92*Mat_Sum!$AG40)+($C$93*Mat_Sum!$F40)+($C$94*0))+($C$187*$B$187*$C$192*(($B$197*Mat_Sum!$D40)+($A$197*Mat_Sum!$AV40)))+($C$188*$B$188*$C$193*(($B$197*Mat_Sum!$D40)+($A$197*Mat_Sum!$AV40)))</f>
        <v>69.8686529416903</v>
      </c>
      <c r="F370" s="2136">
        <f ca="1" xml:space="preserve"> $B$6*$C$13*(($C$96*Mat_Sum!$D40)+($C$97*Mat_Sum!$L40)+($C$98*Mat_Sum!$AG40)+($C$99*0))</f>
        <v>1.5749784720331641</v>
      </c>
      <c r="G370" s="2136">
        <f ca="1" xml:space="preserve"> $B$6*$C$14*(($C$101*Mat_Sum!$D40)+($C$102*Mat_Sum!$L40)+($C$103*Mat_Sum!$AG40)+($C$104*0))</f>
        <v>0</v>
      </c>
      <c r="H370" s="2136">
        <f ca="1" xml:space="preserve"> $B$6*$C$15*(($C$106*Mat_Sum!$D40)+($C$107*Mat_Sum!$L40)+($C$108*Mat_Sum!$AG40)+($C$109*Mat_Sum!$AV40)+($C$110*Mat_Sum!$AR40)+($C$111*0))</f>
        <v>0.16529774818530232</v>
      </c>
      <c r="I370" s="2136">
        <f ca="1" xml:space="preserve"> $B$6*$C$17*(($C$113*Mat_Sum!$E40)+($C$114*Mat_Sum!$D40)+($C$115*Mat_Sum!$F40)+($C$116*Mat_Sum!$L40)+($C$117*Mat_Sum!$I40)+($C$118*0)+($C$119*Mat_Sum!$AV40)+($C$120*Mat_Sum!$AR40)+($C$121*Mat_Sum!$AG40)+($C$122*Mat_Sum!$AG40)+($C$123*Mat_Sum!$AS40)+($C$124*0)+($C$125*Mat_Sum!$E40)+($C$126*0))</f>
        <v>0</v>
      </c>
      <c r="J370" s="2136">
        <f ca="1">$B$6*$C$16*(($C$128*Mat_Sum!$AU40)+($C$129*Mat_Sum!$D40)+($C$130*Mat_Sum!$E40)+($C$131*Mat_Sum!$AS40)+($C$132*Mat_Sum!$I40)+($C$133*Mat_Sum!$AG40)+($C$134*Mat_Sum!$AQ40)+($C$135*Mat_Sum!$AO40)+($C$136*0))</f>
        <v>0</v>
      </c>
      <c r="K370" s="2406">
        <f ca="1" xml:space="preserve"> $B$6*$C$19*$C$138*Mat_Sum!$D40</f>
        <v>0</v>
      </c>
      <c r="L370" s="2223">
        <f t="shared" ca="1" si="9"/>
        <v>0.24882263866860324</v>
      </c>
      <c r="M370" s="2218">
        <f t="shared" ca="1" si="9"/>
        <v>0.16126573026564076</v>
      </c>
      <c r="N370" s="2218">
        <f t="shared" ca="1" si="9"/>
        <v>3.2648052695848077E-2</v>
      </c>
      <c r="O370" s="2218">
        <f t="shared" ca="1" si="9"/>
        <v>0.54372067855027384</v>
      </c>
      <c r="P370" s="2218">
        <f t="shared" ca="1" si="9"/>
        <v>1.2256546068386647E-2</v>
      </c>
      <c r="Q370" s="2218">
        <f t="shared" ca="1" si="9"/>
        <v>0</v>
      </c>
      <c r="R370" s="2218">
        <f t="shared" ca="1" si="9"/>
        <v>1.2863537512473838E-3</v>
      </c>
      <c r="S370" s="2218">
        <f t="shared" ca="1" si="9"/>
        <v>0</v>
      </c>
      <c r="T370" s="2218">
        <f t="shared" ca="1" si="9"/>
        <v>0</v>
      </c>
      <c r="U370" s="2224">
        <f t="shared" ca="1" si="9"/>
        <v>0</v>
      </c>
      <c r="AI370" s="2299"/>
      <c r="AJ370" s="2299"/>
      <c r="AK370" s="2299"/>
      <c r="AL370" s="2299"/>
      <c r="AM370" s="2299"/>
      <c r="AN370" s="2299"/>
      <c r="AO370" s="2299"/>
      <c r="AP370" s="2299"/>
      <c r="AQ370" s="2299"/>
      <c r="AR370" s="2299"/>
    </row>
    <row r="371" spans="1:44" ht="15.75">
      <c r="A371" s="2093" t="s">
        <v>2545</v>
      </c>
      <c r="B371" s="2151">
        <f ca="1">($B$6*$C$18*(($C$24*Mat_Sum!$D41)+($C$25*Mat_Sum!$E41)+($C$26*Mat_Sum!$I41)+($C$27*Mat_Sum!$L41)+($C$28*Mat_Sum!$AR41)+($C$29*Mat_Sum!$AV41)+($C$30*Mat_Sum!$AS41)+($C$31*Mat_Sum!$AM41)+($C$32*Mat_Sum!$AG41)+($C$33*0)+($C$34*0)+($C$35*0)+($C$36*Mat_Sum!$CF41)+($C$37*Silicon!$K98)+($C$38*0)))+($C$201*(($C$207*Mat_Sum!$D41)+($C$208*Mat_Sum!$AV41)+($C$209*Mat_Sum!$AR41)))</f>
        <v>347.16985717338656</v>
      </c>
      <c r="C371" s="2136">
        <f ca="1">($B$6*$C$10*(($C$40*Mat_Sum!$E41)+($C$41*Mat_Sum!$D41)+($C$42*Mat_Sum!$L41)+($C$43*Mat_Sum!$I41)+($C$44*Mat_Sum!$F41)+($C$45*Mat_Sum!$AV41)+($C$46*Mat_Sum!$AR41)+($C$47*Mat_Sum!$AG41)+($C$48*((88%*Mat_Sum!$AG41)+(12%*0)))+($C$49*Mat_Sum!$CF41)+($C$50*Mat_Sum!$AN41)+($C$51*'C.Iron'!$I88)+($C$52*((80%*Mat_Sum!$U41)+(20%*Mat_Sum!$BA41)))+($C$53*Mat_Sum!$AW41)+($C$54*Mat_Sum!$AS41)+($C$55*Mat_Sum!$CQ41)+($C$56*Mat_Sum!$AQ41)+($C$57*Mat_Sum!$AO41)+($C$58*Mat_Sum!$AP41)+($C$59*Mat_Sum!$BJ41)+($C$60*Mat_Sum!$BI41)+($C$61*Mat_Sum!$AR41)+($C$62*0)+($C$63*Mat_Sum!$CF41)+($C$64*Mat_Sum!$BG41)+($C$65*Mat_Sum!$BI41)+($C$66*Mat_Sum!$U41)+($C$67*Mat_Sum!$BA41)+($C$68*Mat_Sum!$CP41)+($C$69*0)+($C$70*Mat_Sum!$AZ41)+($C$71*Mat_Sum!$AM41)+($C$72*0)))+($C$202*(($C$211*Mat_Sum!$D41)+($C$212*Mat_Sum!$BG41)+($C$213*Mat_Sum!$AV41)))</f>
        <v>210.12756489681368</v>
      </c>
      <c r="D371" s="2136">
        <f ca="1" xml:space="preserve"> $B$6*$C$11*(($C$74*Mat_Sum!$D41)+($C$75*Mat_Sum!$L41)+($C$76*Mat_Sum!$I41)+($C$77*Mat_Sum!$F41)+($C$78*Mat_Sum!$AV41)+($C$79*Mat_Sum!$AR41)+($C$80*Mat_Sum!$AG41)+($C$81*Mat_Sum!$AG41)+($C$82*Mat_Sum!$F41)+($C$83*0))</f>
        <v>39.34076593030175</v>
      </c>
      <c r="E371" s="2136">
        <f ca="1" xml:space="preserve"> $B$6*$C$12*(($C$85*Mat_Sum!$D41)+($C$86*Mat_Sum!$F41)+($C$87*Mat_Sum!$L41)+($C$88*Mat_Sum!$I41)+($C$89*Mat_Sum!$AV41)+($C$90*Mat_Sum!$AR41)+($C$91*Mat_Sum!$AG41)+($C$92*Mat_Sum!$AG41)+($C$93*Mat_Sum!$F41)+($C$94*0))+($C$187*$B$187*$C$192*(($B$197*Mat_Sum!$D41)+($A$197*Mat_Sum!$AV41)))+($C$188*$B$188*$C$193*(($B$197*Mat_Sum!$D41)+($A$197*Mat_Sum!$AV41)))</f>
        <v>534.09087444355544</v>
      </c>
      <c r="F371" s="2136">
        <f ca="1" xml:space="preserve"> $B$6*$C$13*(($C$96*Mat_Sum!$D41)+($C$97*Mat_Sum!$L41)+($C$98*Mat_Sum!$AG41)+($C$99*0))</f>
        <v>15.231512716627073</v>
      </c>
      <c r="G371" s="2136">
        <f ca="1" xml:space="preserve"> $B$6*$C$14*(($C$101*Mat_Sum!$D41)+($C$102*Mat_Sum!$L41)+($C$103*Mat_Sum!$AG41)+($C$104*0))</f>
        <v>0</v>
      </c>
      <c r="H371" s="2136">
        <f ca="1" xml:space="preserve"> $B$6*$C$15*(($C$106*Mat_Sum!$D41)+($C$107*Mat_Sum!$L41)+($C$108*Mat_Sum!$AG41)+($C$109*Mat_Sum!$AV41)+($C$110*Mat_Sum!$AR41)+($C$111*0))</f>
        <v>1.9626180354012892</v>
      </c>
      <c r="I371" s="2136">
        <f ca="1" xml:space="preserve"> $B$6*$C$17*(($C$113*Mat_Sum!$E41)+($C$114*Mat_Sum!$D41)+($C$115*Mat_Sum!$F41)+($C$116*Mat_Sum!$L41)+($C$117*Mat_Sum!$I41)+($C$118*0)+($C$119*Mat_Sum!$AV41)+($C$120*Mat_Sum!$AR41)+($C$121*Mat_Sum!$AG41)+($C$122*Mat_Sum!$AG41)+($C$123*Mat_Sum!$AS41)+($C$124*0)+($C$125*Mat_Sum!$E41)+($C$126*0))</f>
        <v>0</v>
      </c>
      <c r="J371" s="2136">
        <f ca="1">$B$6*$C$16*(($C$128*Mat_Sum!$AU41)+($C$129*Mat_Sum!$D41)+($C$130*Mat_Sum!$E41)+($C$131*Mat_Sum!$AS41)+($C$132*Mat_Sum!$I41)+($C$133*Mat_Sum!$AG41)+($C$134*Mat_Sum!$AQ41)+($C$135*Mat_Sum!$AO41)+($C$136*0))</f>
        <v>0</v>
      </c>
      <c r="K371" s="2406">
        <f ca="1" xml:space="preserve"> $B$6*$C$19*$C$138*Mat_Sum!$D41</f>
        <v>0</v>
      </c>
      <c r="L371" s="2223">
        <f t="shared" ca="1" si="9"/>
        <v>0.30243300181677202</v>
      </c>
      <c r="M371" s="2218">
        <f t="shared" ca="1" si="9"/>
        <v>0.18305019546801696</v>
      </c>
      <c r="N371" s="2218">
        <f t="shared" ca="1" si="9"/>
        <v>3.4271252783705748E-2</v>
      </c>
      <c r="O371" s="2218">
        <f t="shared" ca="1" si="9"/>
        <v>0.46526708198701161</v>
      </c>
      <c r="P371" s="2218">
        <f t="shared" ca="1" si="9"/>
        <v>1.3268755964603338E-2</v>
      </c>
      <c r="Q371" s="2218">
        <f t="shared" ca="1" si="9"/>
        <v>0</v>
      </c>
      <c r="R371" s="2218">
        <f t="shared" ca="1" si="9"/>
        <v>1.7097119798903122E-3</v>
      </c>
      <c r="S371" s="2218">
        <f t="shared" ca="1" si="9"/>
        <v>0</v>
      </c>
      <c r="T371" s="2218">
        <f t="shared" ca="1" si="9"/>
        <v>0</v>
      </c>
      <c r="U371" s="2224">
        <f t="shared" ca="1" si="9"/>
        <v>0</v>
      </c>
      <c r="AI371" s="2299"/>
      <c r="AJ371" s="2299"/>
      <c r="AK371" s="2299"/>
      <c r="AL371" s="2299"/>
      <c r="AM371" s="2299"/>
      <c r="AN371" s="2299"/>
      <c r="AO371" s="2299"/>
      <c r="AP371" s="2299"/>
      <c r="AQ371" s="2299"/>
      <c r="AR371" s="2299"/>
    </row>
    <row r="372" spans="1:44">
      <c r="A372" s="2093" t="s">
        <v>827</v>
      </c>
      <c r="B372" s="2151">
        <f ca="1">($B$6*$C$18*(($C$24*Mat_Sum!$D42)+($C$25*Mat_Sum!$E42)+($C$26*Mat_Sum!$I42)+($C$27*Mat_Sum!$L42)+($C$28*Mat_Sum!$AR42)+($C$29*Mat_Sum!$AV42)+($C$30*Mat_Sum!$AS42)+($C$31*Mat_Sum!$AM42)+($C$32*Mat_Sum!$AG42)+($C$33*0)+($C$34*0)+($C$35*0)+($C$36*Mat_Sum!$CF42)+($C$37*Silicon!$K99)+($C$38*0)))+($C$201*(($C$207*Mat_Sum!$D42)+($C$208*Mat_Sum!$AV42)+($C$209*Mat_Sum!$AR42)))</f>
        <v>1.8336341444798705</v>
      </c>
      <c r="C372" s="2136">
        <f ca="1">($B$6*$C$10*(($C$40*Mat_Sum!$E42)+($C$41*Mat_Sum!$D42)+($C$42*Mat_Sum!$L42)+($C$43*Mat_Sum!$I42)+($C$44*Mat_Sum!$F42)+($C$45*Mat_Sum!$AV42)+($C$46*Mat_Sum!$AR42)+($C$47*Mat_Sum!$AG42)+($C$48*((88%*Mat_Sum!$AG42)+(12%*0)))+($C$49*Mat_Sum!$CF42)+($C$50*Mat_Sum!$AN42)+($C$51*'C.Iron'!$I89)+($C$52*((80%*Mat_Sum!$U42)+(20%*Mat_Sum!$BA42)))+($C$53*Mat_Sum!$AW42)+($C$54*Mat_Sum!$AS42)+($C$55*Mat_Sum!$CQ42)+($C$56*Mat_Sum!$AQ42)+($C$57*Mat_Sum!$AO42)+($C$58*Mat_Sum!$AP42)+($C$59*Mat_Sum!$BJ42)+($C$60*Mat_Sum!$BI42)+($C$61*Mat_Sum!$AR42)+($C$62*0)+($C$63*Mat_Sum!$CF42)+($C$64*Mat_Sum!$BG42)+($C$65*Mat_Sum!$BI42)+($C$66*Mat_Sum!$U42)+($C$67*Mat_Sum!$BA42)+($C$68*Mat_Sum!$CP42)+($C$69*0)+($C$70*Mat_Sum!$AZ42)+($C$71*Mat_Sum!$AM42)+($C$72*0)))+($C$202*(($C$211*Mat_Sum!$D42)+($C$212*Mat_Sum!$BG42)+($C$213*Mat_Sum!$AV42)))</f>
        <v>1.1445553266831956</v>
      </c>
      <c r="D372" s="2136">
        <f ca="1" xml:space="preserve"> $B$6*$C$11*(($C$74*Mat_Sum!$D42)+($C$75*Mat_Sum!$L42)+($C$76*Mat_Sum!$I42)+($C$77*Mat_Sum!$F42)+($C$78*Mat_Sum!$AV42)+($C$79*Mat_Sum!$AR42)+($C$80*Mat_Sum!$AG42)+($C$81*Mat_Sum!$AG42)+($C$82*Mat_Sum!$F42)+($C$83*0))</f>
        <v>0.23023578074258053</v>
      </c>
      <c r="E372" s="2136">
        <f ca="1" xml:space="preserve"> $B$6*$C$12*(($C$85*Mat_Sum!$D42)+($C$86*Mat_Sum!$F42)+($C$87*Mat_Sum!$L42)+($C$88*Mat_Sum!$I42)+($C$89*Mat_Sum!$AV42)+($C$90*Mat_Sum!$AR42)+($C$91*Mat_Sum!$AG42)+($C$92*Mat_Sum!$AG42)+($C$93*Mat_Sum!$F42)+($C$94*0))+($C$187*$B$187*$C$192*(($B$197*Mat_Sum!$D42)+($A$197*Mat_Sum!$AV42)))+($C$188*$B$188*$C$193*(($B$197*Mat_Sum!$D42)+($A$197*Mat_Sum!$AV42)))</f>
        <v>4.3690393088336439</v>
      </c>
      <c r="F372" s="2136">
        <f ca="1" xml:space="preserve"> $B$6*$C$13*(($C$96*Mat_Sum!$D42)+($C$97*Mat_Sum!$L42)+($C$98*Mat_Sum!$AG42)+($C$99*0))</f>
        <v>8.4306342116184804E-2</v>
      </c>
      <c r="G372" s="2136">
        <f ca="1" xml:space="preserve"> $B$6*$C$14*(($C$101*Mat_Sum!$D42)+($C$102*Mat_Sum!$L42)+($C$103*Mat_Sum!$AG42)+($C$104*0))</f>
        <v>0</v>
      </c>
      <c r="H372" s="2136">
        <f ca="1" xml:space="preserve"> $B$6*$C$15*(($C$106*Mat_Sum!$D42)+($C$107*Mat_Sum!$L42)+($C$108*Mat_Sum!$AG42)+($C$109*Mat_Sum!$AV42)+($C$110*Mat_Sum!$AR42)+($C$111*0))</f>
        <v>9.738156992049142E-3</v>
      </c>
      <c r="I372" s="2136">
        <f ca="1" xml:space="preserve"> $B$6*$C$17*(($C$113*Mat_Sum!$E42)+($C$114*Mat_Sum!$D42)+($C$115*Mat_Sum!$F42)+($C$116*Mat_Sum!$L42)+($C$117*Mat_Sum!$I42)+($C$118*0)+($C$119*Mat_Sum!$AV42)+($C$120*Mat_Sum!$AR42)+($C$121*Mat_Sum!$AG42)+($C$122*Mat_Sum!$AG42)+($C$123*Mat_Sum!$AS42)+($C$124*0)+($C$125*Mat_Sum!$E42)+($C$126*0))</f>
        <v>0</v>
      </c>
      <c r="J372" s="2136">
        <f ca="1">$B$6*$C$16*(($C$128*Mat_Sum!$AU42)+($C$129*Mat_Sum!$D42)+($C$130*Mat_Sum!$E42)+($C$131*Mat_Sum!$AS42)+($C$132*Mat_Sum!$I42)+($C$133*Mat_Sum!$AG42)+($C$134*Mat_Sum!$AQ42)+($C$135*Mat_Sum!$AO42)+($C$136*0))</f>
        <v>0</v>
      </c>
      <c r="K372" s="2406">
        <f ca="1" xml:space="preserve"> $B$6*$C$19*$C$138*Mat_Sum!$D42</f>
        <v>0</v>
      </c>
      <c r="L372" s="2223">
        <f t="shared" ca="1" si="9"/>
        <v>0.23901870286213472</v>
      </c>
      <c r="M372" s="2218">
        <f t="shared" ca="1" si="9"/>
        <v>0.14919559082238038</v>
      </c>
      <c r="N372" s="2218">
        <f t="shared" ca="1" si="9"/>
        <v>3.001179806299499E-2</v>
      </c>
      <c r="O372" s="2218">
        <f t="shared" ca="1" si="9"/>
        <v>0.56951497739878576</v>
      </c>
      <c r="P372" s="2218">
        <f t="shared" ca="1" si="9"/>
        <v>1.0989538232763349E-2</v>
      </c>
      <c r="Q372" s="2218">
        <f t="shared" ca="1" si="9"/>
        <v>0</v>
      </c>
      <c r="R372" s="2218">
        <f t="shared" ca="1" si="9"/>
        <v>1.2693926209405651E-3</v>
      </c>
      <c r="S372" s="2218">
        <f t="shared" ca="1" si="9"/>
        <v>0</v>
      </c>
      <c r="T372" s="2218">
        <f t="shared" ca="1" si="9"/>
        <v>0</v>
      </c>
      <c r="U372" s="2224">
        <f t="shared" ca="1" si="9"/>
        <v>0</v>
      </c>
      <c r="AI372" s="2299"/>
      <c r="AJ372" s="2299"/>
      <c r="AK372" s="2299"/>
      <c r="AL372" s="2299"/>
      <c r="AM372" s="2299"/>
      <c r="AN372" s="2299"/>
      <c r="AO372" s="2299"/>
      <c r="AP372" s="2299"/>
      <c r="AQ372" s="2299"/>
      <c r="AR372" s="2299"/>
    </row>
    <row r="373" spans="1:44">
      <c r="A373" s="2142" t="s">
        <v>828</v>
      </c>
      <c r="B373" s="2159">
        <f ca="1">($B$6*$C$18*(($C$24*Mat_Sum!$D43)+($C$25*Mat_Sum!$E43)+($C$26*Mat_Sum!$I43)+($C$27*Mat_Sum!$L43)+($C$28*Mat_Sum!$AR43)+($C$29*Mat_Sum!$AV43)+($C$30*Mat_Sum!$AS43)+($C$31*Mat_Sum!$AM43)+($C$32*Mat_Sum!$AG43)+($C$33*0)+($C$34*0)+($C$35*0)+($C$36*Mat_Sum!$CF43)+($C$37*Silicon!$K100)+($C$38*0)))+($C$201*(($C$207*Mat_Sum!$D43)+($C$208*Mat_Sum!$AV43)+($C$209*Mat_Sum!$AR43)))</f>
        <v>7.098604219423466</v>
      </c>
      <c r="C373" s="2242">
        <f ca="1">($B$6*$C$10*(($C$40*Mat_Sum!$E43)+($C$41*Mat_Sum!$D43)+($C$42*Mat_Sum!$L43)+($C$43*Mat_Sum!$I43)+($C$44*Mat_Sum!$F43)+($C$45*Mat_Sum!$AV43)+($C$46*Mat_Sum!$AR43)+($C$47*Mat_Sum!$AG43)+($C$48*((88%*Mat_Sum!$AG43)+(12%*0)))+($C$49*Mat_Sum!$CF43)+($C$50*Mat_Sum!$AN43)+($C$51*'C.Iron'!$I90)+($C$52*((80%*Mat_Sum!$U43)+(20%*Mat_Sum!$BA43)))+($C$53*Mat_Sum!$AW43)+($C$54*Mat_Sum!$AS43)+($C$55*Mat_Sum!$CQ43)+($C$56*Mat_Sum!$AQ43)+($C$57*Mat_Sum!$AO43)+($C$58*Mat_Sum!$AP43)+($C$59*Mat_Sum!$BJ43)+($C$60*Mat_Sum!$BI43)+($C$61*Mat_Sum!$AR43)+($C$62*0)+($C$63*Mat_Sum!$CF43)+($C$64*Mat_Sum!$BG43)+($C$65*Mat_Sum!$BI43)+($C$66*Mat_Sum!$U43)+($C$67*Mat_Sum!$BA43)+($C$68*Mat_Sum!$CP43)+($C$69*0)+($C$70*Mat_Sum!$AZ43)+($C$71*Mat_Sum!$AM43)+($C$72*0)))+($C$202*(($C$211*Mat_Sum!$D43)+($C$212*Mat_Sum!$BG43)+($C$213*Mat_Sum!$AV43)))</f>
        <v>4.3862187726607118</v>
      </c>
      <c r="D373" s="2242">
        <f ca="1" xml:space="preserve"> $B$6*$C$11*(($C$74*Mat_Sum!$D43)+($C$75*Mat_Sum!$L43)+($C$76*Mat_Sum!$I43)+($C$77*Mat_Sum!$F43)+($C$78*Mat_Sum!$AV43)+($C$79*Mat_Sum!$AR43)+($C$80*Mat_Sum!$AG43)+($C$81*Mat_Sum!$AG43)+($C$82*Mat_Sum!$F43)+($C$83*0))</f>
        <v>1.1886974697734343</v>
      </c>
      <c r="E373" s="2242">
        <f ca="1" xml:space="preserve"> $B$6*$C$12*(($C$85*Mat_Sum!$D43)+($C$86*Mat_Sum!$F43)+($C$87*Mat_Sum!$L43)+($C$88*Mat_Sum!$I43)+($C$89*Mat_Sum!$AV43)+($C$90*Mat_Sum!$AR43)+($C$91*Mat_Sum!$AG43)+($C$92*Mat_Sum!$AG43)+($C$93*Mat_Sum!$F43)+($C$94*0))+($C$187*$B$187*$C$192*(($B$197*Mat_Sum!$D43)+($A$197*Mat_Sum!$AV43)))+($C$188*$B$188*$C$193*(($B$197*Mat_Sum!$D43)+($A$197*Mat_Sum!$AV43)))</f>
        <v>18.198991489501694</v>
      </c>
      <c r="F373" s="2242">
        <f ca="1" xml:space="preserve"> $B$6*$C$13*(($C$96*Mat_Sum!$D43)+($C$97*Mat_Sum!$L43)+($C$98*Mat_Sum!$AG43)+($C$99*0))</f>
        <v>0.3448680342276374</v>
      </c>
      <c r="G373" s="2242">
        <f ca="1" xml:space="preserve"> $B$6*$C$14*(($C$101*Mat_Sum!$D43)+($C$102*Mat_Sum!$L43)+($C$103*Mat_Sum!$AG43)+($C$104*0))</f>
        <v>0</v>
      </c>
      <c r="H373" s="2242">
        <f ca="1" xml:space="preserve"> $B$6*$C$15*(($C$106*Mat_Sum!$D43)+($C$107*Mat_Sum!$L43)+($C$108*Mat_Sum!$AG43)+($C$109*Mat_Sum!$AV43)+($C$110*Mat_Sum!$AR43)+($C$111*0))</f>
        <v>3.3045410831646575E-2</v>
      </c>
      <c r="I373" s="2242">
        <f ca="1" xml:space="preserve"> $B$6*$C$17*(($C$113*Mat_Sum!$E43)+($C$114*Mat_Sum!$D43)+($C$115*Mat_Sum!$F43)+($C$116*Mat_Sum!$L43)+($C$117*Mat_Sum!$I43)+($C$118*0)+($C$119*Mat_Sum!$AV43)+($C$120*Mat_Sum!$AR43)+($C$121*Mat_Sum!$AG43)+($C$122*Mat_Sum!$AG43)+($C$123*Mat_Sum!$AS43)+($C$124*0)+($C$125*Mat_Sum!$E43)+($C$126*0))</f>
        <v>0</v>
      </c>
      <c r="J373" s="2242">
        <f ca="1">$B$6*$C$16*(($C$128*Mat_Sum!$AU43)+($C$129*Mat_Sum!$D43)+($C$130*Mat_Sum!$E43)+($C$131*Mat_Sum!$AS43)+($C$132*Mat_Sum!$I43)+($C$133*Mat_Sum!$AG43)+($C$134*Mat_Sum!$AQ43)+($C$135*Mat_Sum!$AO43)+($C$136*0))</f>
        <v>0</v>
      </c>
      <c r="K373" s="2413">
        <f ca="1" xml:space="preserve"> $B$6*$C$19*$C$138*Mat_Sum!$D43</f>
        <v>0</v>
      </c>
      <c r="L373" s="2184">
        <f t="shared" ca="1" si="9"/>
        <v>0.22715224286953206</v>
      </c>
      <c r="M373" s="2216">
        <f t="shared" ca="1" si="9"/>
        <v>0.14035709008823252</v>
      </c>
      <c r="N373" s="2216">
        <f t="shared" ca="1" si="9"/>
        <v>3.8037801236128571E-2</v>
      </c>
      <c r="O373" s="2216">
        <f t="shared" ca="1" si="9"/>
        <v>0.58235980018330791</v>
      </c>
      <c r="P373" s="2216">
        <f t="shared" ca="1" si="9"/>
        <v>1.1035626870767675E-2</v>
      </c>
      <c r="Q373" s="2216">
        <f t="shared" ca="1" si="9"/>
        <v>0</v>
      </c>
      <c r="R373" s="2216">
        <f t="shared" ca="1" si="9"/>
        <v>1.0574387520316351E-3</v>
      </c>
      <c r="S373" s="2216">
        <f t="shared" ca="1" si="9"/>
        <v>0</v>
      </c>
      <c r="T373" s="2216">
        <f t="shared" ca="1" si="9"/>
        <v>0</v>
      </c>
      <c r="U373" s="2217">
        <f t="shared" ca="1" si="9"/>
        <v>0</v>
      </c>
      <c r="AI373" s="2299"/>
      <c r="AJ373" s="2299"/>
      <c r="AK373" s="2299"/>
      <c r="AL373" s="2299"/>
      <c r="AM373" s="2299"/>
      <c r="AN373" s="2299"/>
      <c r="AO373" s="2299"/>
      <c r="AP373" s="2299"/>
      <c r="AQ373" s="2299"/>
      <c r="AR373" s="2299"/>
    </row>
    <row r="374" spans="1:44">
      <c r="AI374" s="2405"/>
      <c r="AJ374" s="2405"/>
      <c r="AK374" s="2405"/>
      <c r="AL374" s="2405"/>
      <c r="AM374" s="2405"/>
      <c r="AN374" s="2405"/>
      <c r="AO374" s="2405"/>
      <c r="AP374" s="2405"/>
      <c r="AQ374" s="2405"/>
      <c r="AR374" s="2405"/>
    </row>
    <row r="375" spans="1:44">
      <c r="A375" s="2083" t="s">
        <v>2582</v>
      </c>
      <c r="AI375" s="2405"/>
      <c r="AJ375" s="2405"/>
      <c r="AK375" s="2405"/>
      <c r="AL375" s="2405"/>
      <c r="AM375" s="2405"/>
      <c r="AN375" s="2405"/>
      <c r="AO375" s="2405"/>
      <c r="AP375" s="2405"/>
      <c r="AQ375" s="2405"/>
      <c r="AR375" s="2405"/>
    </row>
    <row r="376" spans="1:44">
      <c r="A376" s="2309"/>
      <c r="B376" s="3178" t="s">
        <v>1875</v>
      </c>
      <c r="C376" s="3178"/>
      <c r="D376" s="3178"/>
      <c r="E376" s="3178"/>
      <c r="F376" s="3178"/>
      <c r="G376" s="3178"/>
      <c r="H376" s="3178"/>
      <c r="I376" s="3178"/>
      <c r="J376" s="3178"/>
      <c r="K376" s="3179"/>
      <c r="L376" s="3177" t="s">
        <v>1876</v>
      </c>
      <c r="M376" s="3178"/>
      <c r="N376" s="3178"/>
      <c r="O376" s="3178"/>
      <c r="P376" s="3178"/>
      <c r="Q376" s="3178"/>
      <c r="R376" s="3178"/>
      <c r="S376" s="3178"/>
      <c r="T376" s="3178"/>
      <c r="U376" s="3179"/>
      <c r="AI376" s="2405"/>
      <c r="AJ376" s="2405"/>
      <c r="AK376" s="2405"/>
      <c r="AL376" s="2405"/>
      <c r="AM376" s="2405"/>
      <c r="AN376" s="2405"/>
      <c r="AO376" s="2405"/>
      <c r="AP376" s="2405"/>
      <c r="AQ376" s="2405"/>
      <c r="AR376" s="2405"/>
    </row>
    <row r="377" spans="1:44" ht="51">
      <c r="A377" s="2327"/>
      <c r="B377" s="2404" t="s">
        <v>250</v>
      </c>
      <c r="C377" s="2404" t="s">
        <v>182</v>
      </c>
      <c r="D377" s="2404" t="s">
        <v>183</v>
      </c>
      <c r="E377" s="2404" t="s">
        <v>184</v>
      </c>
      <c r="F377" s="2404" t="s">
        <v>185</v>
      </c>
      <c r="G377" s="2404" t="s">
        <v>186</v>
      </c>
      <c r="H377" s="2308" t="s">
        <v>187</v>
      </c>
      <c r="I377" s="2308" t="s">
        <v>2427</v>
      </c>
      <c r="J377" s="2404" t="s">
        <v>1860</v>
      </c>
      <c r="K377" s="2083" t="s">
        <v>2349</v>
      </c>
      <c r="L377" s="2400" t="s">
        <v>250</v>
      </c>
      <c r="M377" s="2401" t="s">
        <v>182</v>
      </c>
      <c r="N377" s="2401" t="s">
        <v>183</v>
      </c>
      <c r="O377" s="2401" t="s">
        <v>184</v>
      </c>
      <c r="P377" s="2401" t="s">
        <v>185</v>
      </c>
      <c r="Q377" s="2401" t="s">
        <v>186</v>
      </c>
      <c r="R377" s="2306" t="s">
        <v>187</v>
      </c>
      <c r="S377" s="2306" t="s">
        <v>2427</v>
      </c>
      <c r="T377" s="2401" t="s">
        <v>1860</v>
      </c>
      <c r="U377" s="2414" t="s">
        <v>2349</v>
      </c>
      <c r="AI377" s="2405"/>
      <c r="AJ377" s="2405"/>
      <c r="AK377" s="2405"/>
      <c r="AL377" s="2405"/>
      <c r="AM377" s="2405"/>
      <c r="AN377" s="2405"/>
      <c r="AO377" s="2405"/>
      <c r="AP377" s="2405"/>
      <c r="AQ377" s="2405"/>
      <c r="AR377" s="2405"/>
    </row>
    <row r="378" spans="1:44">
      <c r="A378" s="2177" t="s">
        <v>1877</v>
      </c>
      <c r="B378" s="2398"/>
      <c r="C378" s="2302"/>
      <c r="D378" s="2302"/>
      <c r="E378" s="2302"/>
      <c r="F378" s="2091"/>
      <c r="G378" s="2091"/>
      <c r="H378" s="2091"/>
      <c r="I378" s="2091"/>
      <c r="J378" s="2091"/>
      <c r="K378" s="2183"/>
      <c r="L378" s="2398"/>
      <c r="M378" s="2302"/>
      <c r="N378" s="2302"/>
      <c r="O378" s="2302"/>
      <c r="P378" s="2091"/>
      <c r="Q378" s="2091"/>
      <c r="R378" s="2091"/>
      <c r="S378" s="2091"/>
      <c r="T378" s="2091"/>
      <c r="U378" s="2183"/>
      <c r="AI378" s="2405"/>
      <c r="AJ378" s="2405"/>
      <c r="AK378" s="2405"/>
      <c r="AL378" s="2405"/>
      <c r="AM378" s="2405"/>
      <c r="AN378" s="2405"/>
      <c r="AO378" s="2405"/>
      <c r="AP378" s="2405"/>
      <c r="AQ378" s="2405"/>
      <c r="AR378" s="2405"/>
    </row>
    <row r="379" spans="1:44">
      <c r="A379" s="2096" t="s">
        <v>816</v>
      </c>
      <c r="B379" s="2151">
        <f ca="1">($C$6*$D$18*(($D$24*Mat_Sum!$D15)+($D$25*Mat_Sum!$E15)+($D$26*Mat_Sum!$I15)+($D$27*Mat_Sum!$L15)+($D$28*Mat_Sum!$AR15)+($D$29*Mat_Sum!$AV15)+($D$30*Mat_Sum!$AS15)+($D$31*Mat_Sum!$AM15)+($D$32*Mat_Sum!$AG15)+($D$33*0)+($D$34*0)+($D$35*0)+($D$36*Mat_Sum!$CF15)+($D$37*Silicon!$K72)+($D$38*0)))+($D$201*(($D$207*Mat_Sum!$D15)+($D$208*Mat_Sum!$AV15)+($D$209*Mat_Sum!$AR15)))</f>
        <v>80.289988790155903</v>
      </c>
      <c r="C379" s="2136">
        <f ca="1">($C$6*$D$10*(($D$40*Mat_Sum!$E15)+($D$41*Mat_Sum!$D15)+($D$42*Mat_Sum!$L15)+($D$43*Mat_Sum!$I15)+($D$44*Mat_Sum!$F15)+($D$45*Mat_Sum!$AV15)+($D$46*Mat_Sum!$AR15)+($D$47*Mat_Sum!$AG15)+($D$48*((88%*Mat_Sum!$AG15)+(12%*0)))+($D$49*Mat_Sum!$CF15)+($D$50*Mat_Sum!$AN15)+($D$51*'C.Iron'!$I62)+($D$52*((80%*Mat_Sum!$U15)+(20%*Mat_Sum!$BA15)))+($D$53*Mat_Sum!$AW15)+($D$54*Mat_Sum!$AS15)+($D$55*Mat_Sum!$CQ15)+($D$56*Mat_Sum!$AQ15)+($D$57*Mat_Sum!$AO15)+($D$58*Mat_Sum!$AP15)+($D$59*Mat_Sum!$BJ15)+($D$60*Mat_Sum!$BI15)+($D$61*Mat_Sum!$AR15)+($D$62*0)+($D$63*Mat_Sum!$CF15)+($D$64*Mat_Sum!$BG15)+($D$65*Mat_Sum!$BI15)+($D$66*Mat_Sum!$U15)+($D$67*Mat_Sum!$BA15)+($D$68*Mat_Sum!$CP15)+($D$69*0)+($D$70*Mat_Sum!$AZ15)+($D$71*Mat_Sum!$AM15)+($D$72*0)))+($D$202*(($D$211*Mat_Sum!$D15)+($D$212*Mat_Sum!$BG15)+($D$213*Mat_Sum!$AV15)))</f>
        <v>0</v>
      </c>
      <c r="D379" s="2136">
        <f ca="1" xml:space="preserve"> $C$6*$D$11*(($D$74*Mat_Sum!$D15)+($D$75*Mat_Sum!$L15)+($D$76*Mat_Sum!$I15)+($D$77*Mat_Sum!$F15)+($D$78*Mat_Sum!$AV15)+($D$79*Mat_Sum!$AR15)+($D$80*Mat_Sum!$AG15)+($D$81*Mat_Sum!$AG15)+($D$82*Mat_Sum!$F15)+($D$83*0))</f>
        <v>5.5415111338126701</v>
      </c>
      <c r="E379" s="2136">
        <f ca="1" xml:space="preserve"> $C$6*$D$12*(($D$85*Mat_Sum!$D15)+($D$86*Mat_Sum!$F15)+($D$87*Mat_Sum!$L15)+($D$88*Mat_Sum!$I15)+($D$89*Mat_Sum!$AV15)+($D$90*Mat_Sum!$AR15)+($D$91*Mat_Sum!$AG15)+($D$92*Mat_Sum!$AG15)+($D$93*Mat_Sum!$F15)+($D$94*0))+($C$187*$B$187*$D$192*(($B$197*Mat_Sum!$D15)+($A$197*Mat_Sum!$AV15)))+($C$188*$B$188*$D$193*(($B$197*Mat_Sum!$D15)+($A$197*Mat_Sum!$AV15)))</f>
        <v>230.10237627110141</v>
      </c>
      <c r="F379" s="2136">
        <f ca="1" xml:space="preserve"> $C$6*$D$13*(($D$96*Mat_Sum!$D15)+($D$97*Mat_Sum!$L15)+($D$98*Mat_Sum!$AG15)+($D$99*0))</f>
        <v>10.679994546757776</v>
      </c>
      <c r="G379" s="2136">
        <f ca="1" xml:space="preserve"> $C$6*$D$14*(($D$101*Mat_Sum!$D15)+($D$102*Mat_Sum!$L15)+($D$103*Mat_Sum!$AG15)+($D$104*0))</f>
        <v>0</v>
      </c>
      <c r="H379" s="2136">
        <f ca="1" xml:space="preserve"> $C$6*$D$15*(($D$106*Mat_Sum!$D15)+($D$107*Mat_Sum!$L15)+($D$108*Mat_Sum!$AG15)+($D$109*Mat_Sum!$AV15)+($D$110*Mat_Sum!$AR15)+($D$111*0))</f>
        <v>1.4299321040043809</v>
      </c>
      <c r="I379" s="2136">
        <f ca="1" xml:space="preserve"> $C$6*$D$17*(($D$113*Mat_Sum!$E15)+($D$114*Mat_Sum!$D15)+($D$115*Mat_Sum!$F15)+($D$116*Mat_Sum!$L15)+($D$117*Mat_Sum!$I15)+($D$118*0)+($D$119*Mat_Sum!$AV15)+($D$120*Mat_Sum!$AR15)+($D$121*Mat_Sum!$AG15)+($D$122*Mat_Sum!$AG15)+($D$123*Mat_Sum!$AS15)+($D$124*0)+($D$125*Mat_Sum!$E15)+($D$126*0))</f>
        <v>0</v>
      </c>
      <c r="J379" s="2136">
        <f ca="1">$C$6*$D$16*(($D$128*Mat_Sum!$AU15)+($D$129*Mat_Sum!$D15)+($D$130*Mat_Sum!$E15)+($D$131*Mat_Sum!$AS15)+($D$132*Mat_Sum!$I15)+($D$133*Mat_Sum!$AG15)+($D$134*Mat_Sum!$AQ15)+($D$135*Mat_Sum!$AO15)+($D$136*0))</f>
        <v>0</v>
      </c>
      <c r="K379" s="2406">
        <f ca="1" xml:space="preserve"> $C$6*$D$19*$D$138*Mat_Sum!$D15</f>
        <v>0</v>
      </c>
      <c r="L379" s="2223">
        <f t="shared" ref="L379:U384" ca="1" si="10">B379/$D276</f>
        <v>0.24475386547048744</v>
      </c>
      <c r="M379" s="2218">
        <f t="shared" ca="1" si="10"/>
        <v>0</v>
      </c>
      <c r="N379" s="2218">
        <f t="shared" ca="1" si="10"/>
        <v>1.6892595091689524E-2</v>
      </c>
      <c r="O379" s="2218">
        <f t="shared" ca="1" si="10"/>
        <v>0.70143796125677949</v>
      </c>
      <c r="P379" s="2218">
        <f t="shared" ca="1" si="10"/>
        <v>3.2556611202855003E-2</v>
      </c>
      <c r="Q379" s="2218">
        <f t="shared" ca="1" si="10"/>
        <v>0</v>
      </c>
      <c r="R379" s="2218">
        <f t="shared" ca="1" si="10"/>
        <v>4.3589669781885602E-3</v>
      </c>
      <c r="S379" s="2218">
        <f t="shared" ca="1" si="10"/>
        <v>0</v>
      </c>
      <c r="T379" s="2218">
        <f t="shared" ca="1" si="10"/>
        <v>0</v>
      </c>
      <c r="U379" s="2224">
        <f t="shared" ca="1" si="10"/>
        <v>0</v>
      </c>
      <c r="AI379" s="2299"/>
      <c r="AJ379" s="2299"/>
      <c r="AK379" s="2299"/>
      <c r="AL379" s="2299"/>
      <c r="AM379" s="2299"/>
      <c r="AN379" s="2299"/>
      <c r="AO379" s="2299"/>
      <c r="AP379" s="2299"/>
      <c r="AQ379" s="2299"/>
      <c r="AR379" s="2299"/>
    </row>
    <row r="380" spans="1:44">
      <c r="A380" s="2096" t="s">
        <v>817</v>
      </c>
      <c r="B380" s="2151">
        <f ca="1">($C$6*$D$18*(($D$24*Mat_Sum!$D16)+($D$25*Mat_Sum!$E16)+($D$26*Mat_Sum!$I16)+($D$27*Mat_Sum!$L16)+($D$28*Mat_Sum!$AR16)+($D$29*Mat_Sum!$AV16)+($D$30*Mat_Sum!$AS16)+($D$31*Mat_Sum!$AM16)+($D$32*Mat_Sum!$AG16)+($D$33*0)+($D$34*0)+($D$35*0)+($D$36*Mat_Sum!$CF16)+($D$37*Silicon!$K73)+($D$38*0)))+($D$201*(($D$207*Mat_Sum!$D16)+($D$208*Mat_Sum!$AV16)+($D$209*Mat_Sum!$AR16)))</f>
        <v>69.938296416327731</v>
      </c>
      <c r="C380" s="2136">
        <f ca="1">($C$6*$D$10*(($D$40*Mat_Sum!$E16)+($D$41*Mat_Sum!$D16)+($D$42*Mat_Sum!$L16)+($D$43*Mat_Sum!$I16)+($D$44*Mat_Sum!$F16)+($D$45*Mat_Sum!$AV16)+($D$46*Mat_Sum!$AR16)+($D$47*Mat_Sum!$AG16)+($D$48*((88%*Mat_Sum!$AG16)+(12%*0)))+($D$49*Mat_Sum!$CF16)+($D$50*Mat_Sum!$AN16)+($D$51*'C.Iron'!$I63)+($D$52*((80%*Mat_Sum!$U16)+(20%*Mat_Sum!$BA16)))+($D$53*Mat_Sum!$AW16)+($D$54*Mat_Sum!$AS16)+($D$55*Mat_Sum!$CQ16)+($D$56*Mat_Sum!$AQ16)+($D$57*Mat_Sum!$AO16)+($D$58*Mat_Sum!$AP16)+($D$59*Mat_Sum!$BJ16)+($D$60*Mat_Sum!$BI16)+($D$61*Mat_Sum!$AR16)+($D$62*0)+($D$63*Mat_Sum!$CF16)+($D$64*Mat_Sum!$BG16)+($D$65*Mat_Sum!$BI16)+($D$66*Mat_Sum!$U16)+($D$67*Mat_Sum!$BA16)+($D$68*Mat_Sum!$CP16)+($D$69*0)+($D$70*Mat_Sum!$AZ16)+($D$71*Mat_Sum!$AM16)+($D$72*0)))+($D$202*(($D$211*Mat_Sum!$D16)+($D$212*Mat_Sum!$BG16)+($D$213*Mat_Sum!$AV16)))</f>
        <v>0</v>
      </c>
      <c r="D380" s="2136">
        <f ca="1" xml:space="preserve"> $C$6*$D$11*(($D$74*Mat_Sum!$D16)+($D$75*Mat_Sum!$L16)+($D$76*Mat_Sum!$I16)+($D$77*Mat_Sum!$F16)+($D$78*Mat_Sum!$AV16)+($D$79*Mat_Sum!$AR16)+($D$80*Mat_Sum!$AG16)+($D$81*Mat_Sum!$AG16)+($D$82*Mat_Sum!$F16)+($D$83*0))</f>
        <v>5.221742112277691</v>
      </c>
      <c r="E380" s="2136">
        <f ca="1" xml:space="preserve"> $C$6*$D$12*(($D$85*Mat_Sum!$D16)+($D$86*Mat_Sum!$F16)+($D$87*Mat_Sum!$L16)+($D$88*Mat_Sum!$I16)+($D$89*Mat_Sum!$AV16)+($D$90*Mat_Sum!$AR16)+($D$91*Mat_Sum!$AG16)+($D$92*Mat_Sum!$AG16)+($D$93*Mat_Sum!$F16)+($D$94*0))+($C$187*$B$187*$D$192*(($B$197*Mat_Sum!$D16)+($A$197*Mat_Sum!$AV16)))+($C$188*$B$188*$D$193*(($B$197*Mat_Sum!$D16)+($A$197*Mat_Sum!$AV16)))</f>
        <v>217.32522573620787</v>
      </c>
      <c r="F380" s="2136">
        <f ca="1" xml:space="preserve"> $C$6*$D$13*(($D$96*Mat_Sum!$D16)+($D$97*Mat_Sum!$L16)+($D$98*Mat_Sum!$AG16)+($D$99*0))</f>
        <v>8.8593591704639785</v>
      </c>
      <c r="G380" s="2136">
        <f ca="1" xml:space="preserve"> $C$6*$D$14*(($D$101*Mat_Sum!$D16)+($D$102*Mat_Sum!$L16)+($D$103*Mat_Sum!$AG16)+($D$104*0))</f>
        <v>0</v>
      </c>
      <c r="H380" s="2136">
        <f ca="1" xml:space="preserve"> $C$6*$D$15*(($D$106*Mat_Sum!$D16)+($D$107*Mat_Sum!$L16)+($D$108*Mat_Sum!$AG16)+($D$109*Mat_Sum!$AV16)+($D$110*Mat_Sum!$AR16)+($D$111*0))</f>
        <v>1.2294800626022342</v>
      </c>
      <c r="I380" s="2136">
        <f ca="1" xml:space="preserve"> $C$6*$D$17*(($D$113*Mat_Sum!$E16)+($D$114*Mat_Sum!$D16)+($D$115*Mat_Sum!$F16)+($D$116*Mat_Sum!$L16)+($D$117*Mat_Sum!$I16)+($D$118*0)+($D$119*Mat_Sum!$AV16)+($D$120*Mat_Sum!$AR16)+($D$121*Mat_Sum!$AG16)+($D$122*Mat_Sum!$AG16)+($D$123*Mat_Sum!$AS16)+($D$124*0)+($D$125*Mat_Sum!$E16)+($D$126*0))</f>
        <v>0</v>
      </c>
      <c r="J380" s="2136">
        <f ca="1">$C$6*$D$16*(($D$128*Mat_Sum!$AU16)+($D$129*Mat_Sum!$D16)+($D$130*Mat_Sum!$E16)+($D$131*Mat_Sum!$AS16)+($D$132*Mat_Sum!$I16)+($D$133*Mat_Sum!$AG16)+($D$134*Mat_Sum!$AQ16)+($D$135*Mat_Sum!$AO16)+($D$136*0))</f>
        <v>0</v>
      </c>
      <c r="K380" s="2406">
        <f ca="1" xml:space="preserve"> $C$6*$D$19*$D$138*Mat_Sum!$D16</f>
        <v>0</v>
      </c>
      <c r="L380" s="2223">
        <f t="shared" ca="1" si="10"/>
        <v>0.23114435640001119</v>
      </c>
      <c r="M380" s="2218">
        <f t="shared" ca="1" si="10"/>
        <v>0</v>
      </c>
      <c r="N380" s="2218">
        <f t="shared" ca="1" si="10"/>
        <v>1.7257729765740797E-2</v>
      </c>
      <c r="O380" s="2218">
        <f t="shared" ca="1" si="10"/>
        <v>0.71825454731201388</v>
      </c>
      <c r="P380" s="2218">
        <f t="shared" ca="1" si="10"/>
        <v>2.9279965033511424E-2</v>
      </c>
      <c r="Q380" s="2218">
        <f t="shared" ca="1" si="10"/>
        <v>0</v>
      </c>
      <c r="R380" s="2218">
        <f t="shared" ca="1" si="10"/>
        <v>4.0634014887227475E-3</v>
      </c>
      <c r="S380" s="2218">
        <f t="shared" ca="1" si="10"/>
        <v>0</v>
      </c>
      <c r="T380" s="2218">
        <f t="shared" ca="1" si="10"/>
        <v>0</v>
      </c>
      <c r="U380" s="2224">
        <f t="shared" ca="1" si="10"/>
        <v>0</v>
      </c>
      <c r="AI380" s="2299"/>
      <c r="AJ380" s="2299"/>
      <c r="AK380" s="2299"/>
      <c r="AL380" s="2299"/>
      <c r="AM380" s="2299"/>
      <c r="AN380" s="2299"/>
      <c r="AO380" s="2299"/>
      <c r="AP380" s="2299"/>
      <c r="AQ380" s="2299"/>
      <c r="AR380" s="2299"/>
    </row>
    <row r="381" spans="1:44">
      <c r="A381" s="2096" t="s">
        <v>805</v>
      </c>
      <c r="B381" s="2151">
        <f ca="1">($C$6*$D$18*(($D$24*Mat_Sum!$D17)+($D$25*Mat_Sum!$E17)+($D$26*Mat_Sum!$I17)+($D$27*Mat_Sum!$L17)+($D$28*Mat_Sum!$AR17)+($D$29*Mat_Sum!$AV17)+($D$30*Mat_Sum!$AS17)+($D$31*Mat_Sum!$AM17)+($D$32*Mat_Sum!$AG17)+($D$33*0)+($D$34*0)+($D$35*0)+($D$36*Mat_Sum!$CF17)+($D$37*Silicon!$K74)+($D$38*0)))+($D$201*(($D$207*Mat_Sum!$D17)+($D$208*Mat_Sum!$AV17)+($D$209*Mat_Sum!$AR17)))</f>
        <v>16.1388211699098</v>
      </c>
      <c r="C381" s="2136">
        <f ca="1">($C$6*$D$10*(($D$40*Mat_Sum!$E17)+($D$41*Mat_Sum!$D17)+($D$42*Mat_Sum!$L17)+($D$43*Mat_Sum!$I17)+($D$44*Mat_Sum!$F17)+($D$45*Mat_Sum!$AV17)+($D$46*Mat_Sum!$AR17)+($D$47*Mat_Sum!$AG17)+($D$48*((88%*Mat_Sum!$AG17)+(12%*0)))+($D$49*Mat_Sum!$CF17)+($D$50*Mat_Sum!$AN17)+($D$51*'C.Iron'!$I64)+($D$52*((80%*Mat_Sum!$U17)+(20%*Mat_Sum!$BA17)))+($D$53*Mat_Sum!$AW17)+($D$54*Mat_Sum!$AS17)+($D$55*Mat_Sum!$CQ17)+($D$56*Mat_Sum!$AQ17)+($D$57*Mat_Sum!$AO17)+($D$58*Mat_Sum!$AP17)+($D$59*Mat_Sum!$BJ17)+($D$60*Mat_Sum!$BI17)+($D$61*Mat_Sum!$AR17)+($D$62*0)+($D$63*Mat_Sum!$CF17)+($D$64*Mat_Sum!$BG17)+($D$65*Mat_Sum!$BI17)+($D$66*Mat_Sum!$U17)+($D$67*Mat_Sum!$BA17)+($D$68*Mat_Sum!$CP17)+($D$69*0)+($D$70*Mat_Sum!$AZ17)+($D$71*Mat_Sum!$AM17)+($D$72*0)))+($D$202*(($D$211*Mat_Sum!$D17)+($D$212*Mat_Sum!$BG17)+($D$213*Mat_Sum!$AV17)))</f>
        <v>0</v>
      </c>
      <c r="D381" s="2136">
        <f ca="1" xml:space="preserve"> $C$6*$D$11*(($D$74*Mat_Sum!$D17)+($D$75*Mat_Sum!$L17)+($D$76*Mat_Sum!$I17)+($D$77*Mat_Sum!$F17)+($D$78*Mat_Sum!$AV17)+($D$79*Mat_Sum!$AR17)+($D$80*Mat_Sum!$AG17)+($D$81*Mat_Sum!$AG17)+($D$82*Mat_Sum!$F17)+($D$83*0))</f>
        <v>3.056701570041839</v>
      </c>
      <c r="E381" s="2136">
        <f ca="1" xml:space="preserve"> $C$6*$D$12*(($D$85*Mat_Sum!$D17)+($D$86*Mat_Sum!$F17)+($D$87*Mat_Sum!$L17)+($D$88*Mat_Sum!$I17)+($D$89*Mat_Sum!$AV17)+($D$90*Mat_Sum!$AR17)+($D$91*Mat_Sum!$AG17)+($D$92*Mat_Sum!$AG17)+($D$93*Mat_Sum!$F17)+($D$94*0))+($C$187*$B$187*$D$192*(($B$197*Mat_Sum!$D17)+($A$197*Mat_Sum!$AV17)))+($C$188*$B$188*$D$193*(($B$197*Mat_Sum!$D17)+($A$197*Mat_Sum!$AV17)))</f>
        <v>86.36917512015232</v>
      </c>
      <c r="F381" s="2136">
        <f ca="1" xml:space="preserve"> $C$6*$D$13*(($D$96*Mat_Sum!$D17)+($D$97*Mat_Sum!$L17)+($D$98*Mat_Sum!$AG17)+($D$99*0))</f>
        <v>3.3853017664902927</v>
      </c>
      <c r="G381" s="2136">
        <f ca="1" xml:space="preserve"> $C$6*$D$14*(($D$101*Mat_Sum!$D17)+($D$102*Mat_Sum!$L17)+($D$103*Mat_Sum!$AG17)+($D$104*0))</f>
        <v>0</v>
      </c>
      <c r="H381" s="2136">
        <f ca="1" xml:space="preserve"> $C$6*$D$15*(($D$106*Mat_Sum!$D17)+($D$107*Mat_Sum!$L17)+($D$108*Mat_Sum!$AG17)+($D$109*Mat_Sum!$AV17)+($D$110*Mat_Sum!$AR17)+($D$111*0))</f>
        <v>0.18768244759862571</v>
      </c>
      <c r="I381" s="2136">
        <f ca="1" xml:space="preserve"> $C$6*$D$17*(($D$113*Mat_Sum!$E17)+($D$114*Mat_Sum!$D17)+($D$115*Mat_Sum!$F17)+($D$116*Mat_Sum!$L17)+($D$117*Mat_Sum!$I17)+($D$118*0)+($D$119*Mat_Sum!$AV17)+($D$120*Mat_Sum!$AR17)+($D$121*Mat_Sum!$AG17)+($D$122*Mat_Sum!$AG17)+($D$123*Mat_Sum!$AS17)+($D$124*0)+($D$125*Mat_Sum!$E17)+($D$126*0))</f>
        <v>0</v>
      </c>
      <c r="J381" s="2136">
        <f ca="1">$C$6*$D$16*(($D$128*Mat_Sum!$AU17)+($D$129*Mat_Sum!$D17)+($D$130*Mat_Sum!$E17)+($D$131*Mat_Sum!$AS17)+($D$132*Mat_Sum!$I17)+($D$133*Mat_Sum!$AG17)+($D$134*Mat_Sum!$AQ17)+($D$135*Mat_Sum!$AO17)+($D$136*0))</f>
        <v>0</v>
      </c>
      <c r="K381" s="2406">
        <f ca="1" xml:space="preserve"> $C$6*$D$19*$D$138*Mat_Sum!$D17</f>
        <v>0</v>
      </c>
      <c r="L381" s="2223">
        <f t="shared" ca="1" si="10"/>
        <v>0.14787579196467146</v>
      </c>
      <c r="M381" s="2218">
        <f t="shared" ca="1" si="10"/>
        <v>0</v>
      </c>
      <c r="N381" s="2218">
        <f t="shared" ca="1" si="10"/>
        <v>2.8007756000937082E-2</v>
      </c>
      <c r="O381" s="2218">
        <f t="shared" ca="1" si="10"/>
        <v>0.79137813336953311</v>
      </c>
      <c r="P381" s="2218">
        <f t="shared" ca="1" si="10"/>
        <v>3.101863354756729E-2</v>
      </c>
      <c r="Q381" s="2218">
        <f t="shared" ca="1" si="10"/>
        <v>0</v>
      </c>
      <c r="R381" s="2218">
        <f t="shared" ca="1" si="10"/>
        <v>1.7196851172909949E-3</v>
      </c>
      <c r="S381" s="2218">
        <f t="shared" ca="1" si="10"/>
        <v>0</v>
      </c>
      <c r="T381" s="2218">
        <f t="shared" ca="1" si="10"/>
        <v>0</v>
      </c>
      <c r="U381" s="2224">
        <f t="shared" ca="1" si="10"/>
        <v>0</v>
      </c>
      <c r="AI381" s="2299"/>
      <c r="AJ381" s="2299"/>
      <c r="AK381" s="2299"/>
      <c r="AL381" s="2299"/>
      <c r="AM381" s="2299"/>
      <c r="AN381" s="2299"/>
      <c r="AO381" s="2299"/>
      <c r="AP381" s="2299"/>
      <c r="AQ381" s="2299"/>
      <c r="AR381" s="2299"/>
    </row>
    <row r="382" spans="1:44">
      <c r="A382" s="2096" t="s">
        <v>804</v>
      </c>
      <c r="B382" s="2151">
        <f ca="1">($C$6*$D$18*(($D$24*Mat_Sum!$D18)+($D$25*Mat_Sum!$E18)+($D$26*Mat_Sum!$I18)+($D$27*Mat_Sum!$L18)+($D$28*Mat_Sum!$AR18)+($D$29*Mat_Sum!$AV18)+($D$30*Mat_Sum!$AS18)+($D$31*Mat_Sum!$AM18)+($D$32*Mat_Sum!$AG18)+($D$33*0)+($D$34*0)+($D$35*0)+($D$36*Mat_Sum!$CF18)+($D$37*Silicon!$K75)+($D$38*0)))+($D$201*(($D$207*Mat_Sum!$D18)+($D$208*Mat_Sum!$AV18)+($D$209*Mat_Sum!$AR18)))</f>
        <v>41.138328886654485</v>
      </c>
      <c r="C382" s="2136">
        <f ca="1">($C$6*$D$10*(($D$40*Mat_Sum!$E18)+($D$41*Mat_Sum!$D18)+($D$42*Mat_Sum!$L18)+($D$43*Mat_Sum!$I18)+($D$44*Mat_Sum!$F18)+($D$45*Mat_Sum!$AV18)+($D$46*Mat_Sum!$AR18)+($D$47*Mat_Sum!$AG18)+($D$48*((88%*Mat_Sum!$AG18)+(12%*0)))+($D$49*Mat_Sum!$CF18)+($D$50*Mat_Sum!$AN18)+($D$51*'C.Iron'!$I65)+($D$52*((80%*Mat_Sum!$U18)+(20%*Mat_Sum!$BA18)))+($D$53*Mat_Sum!$AW18)+($D$54*Mat_Sum!$AS18)+($D$55*Mat_Sum!$CQ18)+($D$56*Mat_Sum!$AQ18)+($D$57*Mat_Sum!$AO18)+($D$58*Mat_Sum!$AP18)+($D$59*Mat_Sum!$BJ18)+($D$60*Mat_Sum!$BI18)+($D$61*Mat_Sum!$AR18)+($D$62*0)+($D$63*Mat_Sum!$CF18)+($D$64*Mat_Sum!$BG18)+($D$65*Mat_Sum!$BI18)+($D$66*Mat_Sum!$U18)+($D$67*Mat_Sum!$BA18)+($D$68*Mat_Sum!$CP18)+($D$69*0)+($D$70*Mat_Sum!$AZ18)+($D$71*Mat_Sum!$AM18)+($D$72*0)))+($D$202*(($D$211*Mat_Sum!$D18)+($D$212*Mat_Sum!$BG18)+($D$213*Mat_Sum!$AV18)))</f>
        <v>0</v>
      </c>
      <c r="D382" s="2136">
        <f ca="1" xml:space="preserve"> $C$6*$D$11*(($D$74*Mat_Sum!$D18)+($D$75*Mat_Sum!$L18)+($D$76*Mat_Sum!$I18)+($D$77*Mat_Sum!$F18)+($D$78*Mat_Sum!$AV18)+($D$79*Mat_Sum!$AR18)+($D$80*Mat_Sum!$AG18)+($D$81*Mat_Sum!$AG18)+($D$82*Mat_Sum!$F18)+($D$83*0))</f>
        <v>1.8880605037094955</v>
      </c>
      <c r="E382" s="2136">
        <f ca="1" xml:space="preserve"> $C$6*$D$12*(($D$85*Mat_Sum!$D18)+($D$86*Mat_Sum!$F18)+($D$87*Mat_Sum!$L18)+($D$88*Mat_Sum!$I18)+($D$89*Mat_Sum!$AV18)+($D$90*Mat_Sum!$AR18)+($D$91*Mat_Sum!$AG18)+($D$92*Mat_Sum!$AG18)+($D$93*Mat_Sum!$F18)+($D$94*0))+($C$187*$B$187*$D$192*(($B$197*Mat_Sum!$D18)+($A$197*Mat_Sum!$AV18)))+($C$188*$B$188*$D$193*(($B$197*Mat_Sum!$D18)+($A$197*Mat_Sum!$AV18)))</f>
        <v>94.784536997403549</v>
      </c>
      <c r="F382" s="2136">
        <f ca="1" xml:space="preserve"> $C$6*$D$13*(($D$96*Mat_Sum!$D18)+($D$97*Mat_Sum!$L18)+($D$98*Mat_Sum!$AG18)+($D$99*0))</f>
        <v>4.6692661152692976</v>
      </c>
      <c r="G382" s="2136">
        <f ca="1" xml:space="preserve"> $C$6*$D$14*(($D$101*Mat_Sum!$D18)+($D$102*Mat_Sum!$L18)+($D$103*Mat_Sum!$AG18)+($D$104*0))</f>
        <v>0</v>
      </c>
      <c r="H382" s="2136">
        <f ca="1" xml:space="preserve"> $C$6*$D$15*(($D$106*Mat_Sum!$D18)+($D$107*Mat_Sum!$L18)+($D$108*Mat_Sum!$AG18)+($D$109*Mat_Sum!$AV18)+($D$110*Mat_Sum!$AR18)+($D$111*0))</f>
        <v>0.77651981775876378</v>
      </c>
      <c r="I382" s="2136">
        <f ca="1" xml:space="preserve"> $C$6*$D$17*(($D$113*Mat_Sum!$E18)+($D$114*Mat_Sum!$D18)+($D$115*Mat_Sum!$F18)+($D$116*Mat_Sum!$L18)+($D$117*Mat_Sum!$I18)+($D$118*0)+($D$119*Mat_Sum!$AV18)+($D$120*Mat_Sum!$AR18)+($D$121*Mat_Sum!$AG18)+($D$122*Mat_Sum!$AG18)+($D$123*Mat_Sum!$AS18)+($D$124*0)+($D$125*Mat_Sum!$E18)+($D$126*0))</f>
        <v>0</v>
      </c>
      <c r="J382" s="2136">
        <f ca="1">$C$6*$D$16*(($D$128*Mat_Sum!$AU18)+($D$129*Mat_Sum!$D18)+($D$130*Mat_Sum!$E18)+($D$131*Mat_Sum!$AS18)+($D$132*Mat_Sum!$I18)+($D$133*Mat_Sum!$AG18)+($D$134*Mat_Sum!$AQ18)+($D$135*Mat_Sum!$AO18)+($D$136*0))</f>
        <v>0</v>
      </c>
      <c r="K382" s="2406">
        <f ca="1" xml:space="preserve"> $C$6*$D$19*$D$138*Mat_Sum!$D18</f>
        <v>0</v>
      </c>
      <c r="L382" s="2223">
        <f t="shared" ca="1" si="10"/>
        <v>0.28716510535669137</v>
      </c>
      <c r="M382" s="2218">
        <f t="shared" ca="1" si="10"/>
        <v>0</v>
      </c>
      <c r="N382" s="2218">
        <f t="shared" ca="1" si="10"/>
        <v>1.31795604765908E-2</v>
      </c>
      <c r="O382" s="2218">
        <f t="shared" ca="1" si="10"/>
        <v>0.66164115776405641</v>
      </c>
      <c r="P382" s="2218">
        <f t="shared" ca="1" si="10"/>
        <v>3.2593698679984948E-2</v>
      </c>
      <c r="Q382" s="2218">
        <f t="shared" ca="1" si="10"/>
        <v>0</v>
      </c>
      <c r="R382" s="2218">
        <f t="shared" ca="1" si="10"/>
        <v>5.4204777226766069E-3</v>
      </c>
      <c r="S382" s="2218">
        <f t="shared" ca="1" si="10"/>
        <v>0</v>
      </c>
      <c r="T382" s="2218">
        <f t="shared" ca="1" si="10"/>
        <v>0</v>
      </c>
      <c r="U382" s="2224">
        <f t="shared" ca="1" si="10"/>
        <v>0</v>
      </c>
      <c r="AI382" s="2299"/>
      <c r="AJ382" s="2299"/>
      <c r="AK382" s="2299"/>
      <c r="AL382" s="2299"/>
      <c r="AM382" s="2299"/>
      <c r="AN382" s="2299"/>
      <c r="AO382" s="2299"/>
      <c r="AP382" s="2299"/>
      <c r="AQ382" s="2299"/>
      <c r="AR382" s="2299"/>
    </row>
    <row r="383" spans="1:44">
      <c r="A383" s="2096" t="s">
        <v>818</v>
      </c>
      <c r="B383" s="2159">
        <f ca="1">($C$6*$D$18*(($D$24*Mat_Sum!$D19)+($D$25*Mat_Sum!$E19)+($D$26*Mat_Sum!$I19)+($D$27*Mat_Sum!$L19)+($D$28*Mat_Sum!$AR19)+($D$29*Mat_Sum!$AV19)+($D$30*Mat_Sum!$AS19)+($D$31*Mat_Sum!$AM19)+($D$32*Mat_Sum!$AG19)+($D$33*0)+($D$34*0)+($D$35*0)+($D$36*Mat_Sum!$CF19)+($D$37*Silicon!$K76)+($D$38*0)))+($D$201*(($D$207*Mat_Sum!$D19)+($D$208*Mat_Sum!$AV19)+($D$209*Mat_Sum!$AR19)))</f>
        <v>12.661146359763428</v>
      </c>
      <c r="C383" s="2242">
        <f ca="1">($C$6*$D$10*(($D$40*Mat_Sum!$E19)+($D$41*Mat_Sum!$D19)+($D$42*Mat_Sum!$L19)+($D$43*Mat_Sum!$I19)+($D$44*Mat_Sum!$F19)+($D$45*Mat_Sum!$AV19)+($D$46*Mat_Sum!$AR19)+($D$47*Mat_Sum!$AG19)+($D$48*((88%*Mat_Sum!$AG19)+(12%*0)))+($D$49*Mat_Sum!$CF19)+($D$50*Mat_Sum!$AN19)+($D$51*'C.Iron'!$I66)+($D$52*((80%*Mat_Sum!$U19)+(20%*Mat_Sum!$BA19)))+($D$53*Mat_Sum!$AW19)+($D$54*Mat_Sum!$AS19)+($D$55*Mat_Sum!$CQ19)+($D$56*Mat_Sum!$AQ19)+($D$57*Mat_Sum!$AO19)+($D$58*Mat_Sum!$AP19)+($D$59*Mat_Sum!$BJ19)+($D$60*Mat_Sum!$BI19)+($D$61*Mat_Sum!$AR19)+($D$62*0)+($D$63*Mat_Sum!$CF19)+($D$64*Mat_Sum!$BG19)+($D$65*Mat_Sum!$BI19)+($D$66*Mat_Sum!$U19)+($D$67*Mat_Sum!$BA19)+($D$68*Mat_Sum!$CP19)+($D$69*0)+($D$70*Mat_Sum!$AZ19)+($D$71*Mat_Sum!$AM19)+($D$72*0)))+($D$202*(($D$211*Mat_Sum!$D19)+($D$212*Mat_Sum!$BG19)+($D$213*Mat_Sum!$AV19)))</f>
        <v>0</v>
      </c>
      <c r="D383" s="2136">
        <f ca="1" xml:space="preserve"> $C$6*$D$11*(($D$74*Mat_Sum!$D19)+($D$75*Mat_Sum!$L19)+($D$76*Mat_Sum!$I19)+($D$77*Mat_Sum!$F19)+($D$78*Mat_Sum!$AV19)+($D$79*Mat_Sum!$AR19)+($D$80*Mat_Sum!$AG19)+($D$81*Mat_Sum!$AG19)+($D$82*Mat_Sum!$F19)+($D$83*0))</f>
        <v>0.27698003852635694</v>
      </c>
      <c r="E383" s="2136">
        <f ca="1" xml:space="preserve"> $C$6*$D$12*(($D$85*Mat_Sum!$D19)+($D$86*Mat_Sum!$F19)+($D$87*Mat_Sum!$L19)+($D$88*Mat_Sum!$I19)+($D$89*Mat_Sum!$AV19)+($D$90*Mat_Sum!$AR19)+($D$91*Mat_Sum!$AG19)+($D$92*Mat_Sum!$AG19)+($D$93*Mat_Sum!$F19)+($D$94*0))+($C$187*$B$187*$D$192*(($B$197*Mat_Sum!$D19)+($A$197*Mat_Sum!$AV19)))+($C$188*$B$188*$D$193*(($B$197*Mat_Sum!$D19)+($A$197*Mat_Sum!$AV19)))</f>
        <v>36.171513618652014</v>
      </c>
      <c r="F383" s="2242">
        <f ca="1" xml:space="preserve"> $C$6*$D$13*(($D$96*Mat_Sum!$D19)+($D$97*Mat_Sum!$L19)+($D$98*Mat_Sum!$AG19)+($D$99*0))</f>
        <v>0.80479128870439021</v>
      </c>
      <c r="G383" s="2136">
        <f ca="1" xml:space="preserve"> $C$6*$D$14*(($D$101*Mat_Sum!$D19)+($D$102*Mat_Sum!$L19)+($D$103*Mat_Sum!$AG19)+($D$104*0))</f>
        <v>0</v>
      </c>
      <c r="H383" s="2136">
        <f ca="1" xml:space="preserve"> $C$6*$D$15*(($D$106*Mat_Sum!$D19)+($D$107*Mat_Sum!$L19)+($D$108*Mat_Sum!$AG19)+($D$109*Mat_Sum!$AV19)+($D$110*Mat_Sum!$AR19)+($D$111*0))</f>
        <v>0.26527779724484463</v>
      </c>
      <c r="I383" s="2136">
        <f ca="1" xml:space="preserve"> $C$6*$D$17*(($D$113*Mat_Sum!$E19)+($D$114*Mat_Sum!$D19)+($D$115*Mat_Sum!$F19)+($D$116*Mat_Sum!$L19)+($D$117*Mat_Sum!$I19)+($D$118*0)+($D$119*Mat_Sum!$AV19)+($D$120*Mat_Sum!$AR19)+($D$121*Mat_Sum!$AG19)+($D$122*Mat_Sum!$AG19)+($D$123*Mat_Sum!$AS19)+($D$124*0)+($D$125*Mat_Sum!$E19)+($D$126*0))</f>
        <v>0</v>
      </c>
      <c r="J383" s="2136">
        <f ca="1">$C$6*$D$16*(($D$128*Mat_Sum!$AU19)+($D$129*Mat_Sum!$D19)+($D$130*Mat_Sum!$E19)+($D$131*Mat_Sum!$AS19)+($D$132*Mat_Sum!$I19)+($D$133*Mat_Sum!$AG19)+($D$134*Mat_Sum!$AQ19)+($D$135*Mat_Sum!$AO19)+($D$136*0))</f>
        <v>0</v>
      </c>
      <c r="K383" s="2406">
        <f ca="1" xml:space="preserve"> $C$6*$D$19*$D$138*Mat_Sum!$D19</f>
        <v>0</v>
      </c>
      <c r="L383" s="2223">
        <f t="shared" ca="1" si="10"/>
        <v>0.25231605734904455</v>
      </c>
      <c r="M383" s="2218">
        <f t="shared" ca="1" si="10"/>
        <v>0</v>
      </c>
      <c r="N383" s="2218">
        <f t="shared" ca="1" si="10"/>
        <v>5.519761741910917E-3</v>
      </c>
      <c r="O383" s="2218">
        <f t="shared" ca="1" si="10"/>
        <v>0.7208394441762126</v>
      </c>
      <c r="P383" s="2218">
        <f t="shared" ca="1" si="10"/>
        <v>1.6038181629435218E-2</v>
      </c>
      <c r="Q383" s="2218">
        <f t="shared" ca="1" si="10"/>
        <v>0</v>
      </c>
      <c r="R383" s="2218">
        <f t="shared" ca="1" si="10"/>
        <v>5.2865551033965839E-3</v>
      </c>
      <c r="S383" s="2218">
        <f t="shared" ca="1" si="10"/>
        <v>0</v>
      </c>
      <c r="T383" s="2218">
        <f t="shared" ca="1" si="10"/>
        <v>0</v>
      </c>
      <c r="U383" s="2224">
        <f t="shared" ca="1" si="10"/>
        <v>0</v>
      </c>
      <c r="AI383" s="2299"/>
      <c r="AJ383" s="2299"/>
      <c r="AK383" s="2299"/>
      <c r="AL383" s="2299"/>
      <c r="AM383" s="2299"/>
      <c r="AN383" s="2299"/>
      <c r="AO383" s="2299"/>
      <c r="AP383" s="2299"/>
      <c r="AQ383" s="2299"/>
      <c r="AR383" s="2299"/>
    </row>
    <row r="384" spans="1:44">
      <c r="A384" s="2100" t="s">
        <v>819</v>
      </c>
      <c r="B384" s="2159">
        <f ca="1">($C$6*$D$18*(($D$24*Mat_Sum!$D20)+($D$25*Mat_Sum!$E20)+($D$26*Mat_Sum!$I20)+($D$27*Mat_Sum!$L20)+($D$28*Mat_Sum!$AR20)+($D$29*Mat_Sum!$AV20)+($D$30*Mat_Sum!$AS20)+($D$31*Mat_Sum!$AM20)+($D$32*Mat_Sum!$AG20)+($D$33*0)+($D$34*0)+($D$35*0)+($D$36*Mat_Sum!$CF20)+($D$37*Silicon!$K77)+($D$38*0)))+($D$201*(($D$207*Mat_Sum!$D20)+($D$208*Mat_Sum!$AV20)+($D$209*Mat_Sum!$AR20)))</f>
        <v>5814.280446571388</v>
      </c>
      <c r="C384" s="2242">
        <f ca="1">($C$6*$D$10*(($D$40*Mat_Sum!$E20)+($D$41*Mat_Sum!$D20)+($D$42*Mat_Sum!$L20)+($D$43*Mat_Sum!$I20)+($D$44*Mat_Sum!$F20)+($D$45*Mat_Sum!$AV20)+($D$46*Mat_Sum!$AR20)+($D$47*Mat_Sum!$AG20)+($D$48*((88%*Mat_Sum!$AG20)+(12%*0)))+($D$49*Mat_Sum!$CF20)+($D$50*Mat_Sum!$AN20)+($D$51*'C.Iron'!$I67)+($D$52*((80%*Mat_Sum!$U20)+(20%*Mat_Sum!$BA20)))+($D$53*Mat_Sum!$AW20)+($D$54*Mat_Sum!$AS20)+($D$55*Mat_Sum!$CQ20)+($D$56*Mat_Sum!$AQ20)+($D$57*Mat_Sum!$AO20)+($D$58*Mat_Sum!$AP20)+($D$59*Mat_Sum!$BJ20)+($D$60*Mat_Sum!$BI20)+($D$61*Mat_Sum!$AR20)+($D$62*0)+($D$63*Mat_Sum!$CF20)+($D$64*Mat_Sum!$BG20)+($D$65*Mat_Sum!$BI20)+($D$66*Mat_Sum!$U20)+($D$67*Mat_Sum!$BA20)+($D$68*Mat_Sum!$CP20)+($D$69*0)+($D$70*Mat_Sum!$AZ20)+($D$71*Mat_Sum!$AM20)+($D$72*0)))+($D$202*(($D$211*Mat_Sum!$D20)+($D$212*Mat_Sum!$BG20)+($D$213*Mat_Sum!$AV20)))</f>
        <v>0</v>
      </c>
      <c r="D384" s="2232">
        <f ca="1" xml:space="preserve"> $C$6*$D$11*(($D$74*Mat_Sum!$D20)+($D$75*Mat_Sum!$L20)+($D$76*Mat_Sum!$I20)+($D$77*Mat_Sum!$F20)+($D$78*Mat_Sum!$AV20)+($D$79*Mat_Sum!$AR20)+($D$80*Mat_Sum!$AG20)+($D$81*Mat_Sum!$AG20)+($D$82*Mat_Sum!$F20)+($D$83*0))</f>
        <v>110.46486296205056</v>
      </c>
      <c r="E384" s="2232">
        <f ca="1" xml:space="preserve"> $C$6*$D$12*(($D$85*Mat_Sum!$D20)+($D$86*Mat_Sum!$F20)+($D$87*Mat_Sum!$L20)+($D$88*Mat_Sum!$I20)+($D$89*Mat_Sum!$AV20)+($D$90*Mat_Sum!$AR20)+($D$91*Mat_Sum!$AG20)+($D$92*Mat_Sum!$AG20)+($D$93*Mat_Sum!$F20)+($D$94*0))+($C$187*$B$187*$D$192*(($B$197*Mat_Sum!$D20)+($A$197*Mat_Sum!$AV20)))+($C$188*$B$188*$D$193*(($B$197*Mat_Sum!$D20)+($A$197*Mat_Sum!$AV20)))</f>
        <v>5504.1761105385531</v>
      </c>
      <c r="F384" s="2242">
        <f ca="1" xml:space="preserve"> $C$6*$D$13*(($D$96*Mat_Sum!$D20)+($D$97*Mat_Sum!$L20)+($D$98*Mat_Sum!$AG20)+($D$99*0))</f>
        <v>915.30374986821357</v>
      </c>
      <c r="G384" s="2232">
        <f ca="1" xml:space="preserve"> $C$6*$D$14*(($D$101*Mat_Sum!$D20)+($D$102*Mat_Sum!$L20)+($D$103*Mat_Sum!$AG20)+($D$104*0))</f>
        <v>0</v>
      </c>
      <c r="H384" s="2232">
        <f ca="1" xml:space="preserve"> $C$6*$D$15*(($D$106*Mat_Sum!$D20)+($D$107*Mat_Sum!$L20)+($D$108*Mat_Sum!$AG20)+($D$109*Mat_Sum!$AV20)+($D$110*Mat_Sum!$AR20)+($D$111*0))</f>
        <v>115.06193698110043</v>
      </c>
      <c r="I384" s="2232">
        <f ca="1" xml:space="preserve"> $C$6*$D$17*(($D$113*Mat_Sum!$E20)+($D$114*Mat_Sum!$D20)+($D$115*Mat_Sum!$F20)+($D$116*Mat_Sum!$L20)+($D$117*Mat_Sum!$I20)+($D$118*0)+($D$119*Mat_Sum!$AV20)+($D$120*Mat_Sum!$AR20)+($D$121*Mat_Sum!$AG20)+($D$122*Mat_Sum!$AG20)+($D$123*Mat_Sum!$AS20)+($D$124*0)+($D$125*Mat_Sum!$E20)+($D$126*0))</f>
        <v>0</v>
      </c>
      <c r="J384" s="2232">
        <f ca="1">$C$6*$D$16*(($D$128*Mat_Sum!$AU20)+($D$129*Mat_Sum!$D20)+($D$130*Mat_Sum!$E20)+($D$131*Mat_Sum!$AS20)+($D$132*Mat_Sum!$I20)+($D$133*Mat_Sum!$AG20)+($D$134*Mat_Sum!$AQ20)+($D$135*Mat_Sum!$AO20)+($D$136*0))</f>
        <v>0</v>
      </c>
      <c r="K384" s="2407">
        <f ca="1" xml:space="preserve"> $C$6*$D$19*$D$138*Mat_Sum!$D20</f>
        <v>0</v>
      </c>
      <c r="L384" s="2408">
        <f t="shared" ca="1" si="10"/>
        <v>0.46666236973875302</v>
      </c>
      <c r="M384" s="2409">
        <f t="shared" ca="1" si="10"/>
        <v>0</v>
      </c>
      <c r="N384" s="2409">
        <f t="shared" ca="1" si="10"/>
        <v>8.8660660930339925E-3</v>
      </c>
      <c r="O384" s="2409">
        <f t="shared" ca="1" si="10"/>
        <v>0.44177295725699334</v>
      </c>
      <c r="P384" s="2409">
        <f t="shared" ca="1" si="10"/>
        <v>7.346357315738794E-2</v>
      </c>
      <c r="Q384" s="2409">
        <f t="shared" ca="1" si="10"/>
        <v>0</v>
      </c>
      <c r="R384" s="2409">
        <f t="shared" ca="1" si="10"/>
        <v>9.2350337538318669E-3</v>
      </c>
      <c r="S384" s="2409">
        <f t="shared" ca="1" si="10"/>
        <v>0</v>
      </c>
      <c r="T384" s="2409">
        <f t="shared" ca="1" si="10"/>
        <v>0</v>
      </c>
      <c r="U384" s="2410">
        <f t="shared" ca="1" si="10"/>
        <v>0</v>
      </c>
      <c r="AI384" s="2299"/>
      <c r="AJ384" s="2299"/>
      <c r="AK384" s="2299"/>
      <c r="AL384" s="2299"/>
      <c r="AM384" s="2299"/>
      <c r="AN384" s="2299"/>
      <c r="AO384" s="2299"/>
      <c r="AP384" s="2299"/>
      <c r="AQ384" s="2299"/>
      <c r="AR384" s="2299"/>
    </row>
    <row r="385" spans="1:44">
      <c r="A385" s="2177" t="s">
        <v>964</v>
      </c>
      <c r="B385" s="2151"/>
      <c r="C385" s="2136"/>
      <c r="D385" s="2136"/>
      <c r="E385" s="2136"/>
      <c r="F385" s="2136"/>
      <c r="G385" s="2136"/>
      <c r="H385" s="2136"/>
      <c r="I385" s="2136"/>
      <c r="J385" s="2136"/>
      <c r="K385" s="2406"/>
      <c r="L385" s="2411"/>
      <c r="M385" s="2336"/>
      <c r="N385" s="2336"/>
      <c r="O385" s="2336"/>
      <c r="P385" s="2336"/>
      <c r="Q385" s="2336"/>
      <c r="R385" s="2336"/>
      <c r="S385" s="2336"/>
      <c r="T385" s="2336"/>
      <c r="U385" s="2337"/>
      <c r="AI385" s="2299"/>
      <c r="AJ385" s="2299"/>
      <c r="AK385" s="2299"/>
      <c r="AL385" s="2299"/>
      <c r="AM385" s="2299"/>
      <c r="AN385" s="2299"/>
      <c r="AO385" s="2299"/>
      <c r="AP385" s="2299"/>
      <c r="AQ385" s="2299"/>
      <c r="AR385" s="2299"/>
    </row>
    <row r="386" spans="1:44">
      <c r="A386" s="2093" t="s">
        <v>821</v>
      </c>
      <c r="B386" s="2151">
        <f ca="1">($C$6*$D$18*(($D$24*Mat_Sum!$D22)+($D$25*Mat_Sum!$E22)+($D$26*Mat_Sum!$I22)+($D$27*Mat_Sum!$L22)+($D$28*Mat_Sum!$AR22)+($D$29*Mat_Sum!$AV22)+($D$30*Mat_Sum!$AS22)+($D$31*Mat_Sum!$AM22)+($D$32*Mat_Sum!$AG22)+($D$33*0)+($D$34*0)+($D$35*0)+($D$36*Mat_Sum!$CF22)+($D$37*Silicon!$K79)+($D$38*0)))+($D$201*(($D$207*Mat_Sum!$D22)+($D$208*Mat_Sum!$AV22)+($D$209*Mat_Sum!$AR22)))</f>
        <v>2172.2217931622881</v>
      </c>
      <c r="C386" s="2136">
        <f ca="1">($C$6*$D$10*(($D$40*Mat_Sum!$E22)+($D$41*Mat_Sum!$D22)+($D$42*Mat_Sum!$L22)+($D$43*Mat_Sum!$I22)+($D$44*Mat_Sum!$F22)+($D$45*Mat_Sum!$AV22)+($D$46*Mat_Sum!$AR22)+($D$47*Mat_Sum!$AG22)+($D$48*((88%*Mat_Sum!$AG22)+(12%*0)))+($D$49*Mat_Sum!$CF22)+($D$50*Mat_Sum!$AN22)+($D$51*'C.Iron'!$I69)+($D$52*((80%*Mat_Sum!$U22)+(20%*Mat_Sum!$BA22)))+($D$53*Mat_Sum!$AW22)+($D$54*Mat_Sum!$AS22)+($D$55*Mat_Sum!$CQ22)+($D$56*Mat_Sum!$AQ22)+($D$57*Mat_Sum!$AO22)+($D$58*Mat_Sum!$AP22)+($D$59*Mat_Sum!$BJ22)+($D$60*Mat_Sum!$BI22)+($D$61*Mat_Sum!$AR22)+($D$62*0)+($D$63*Mat_Sum!$CF22)+($D$64*Mat_Sum!$BG22)+($D$65*Mat_Sum!$BI22)+($D$66*Mat_Sum!$U22)+($D$67*Mat_Sum!$BA22)+($D$68*Mat_Sum!$CP22)+($D$69*0)+($D$70*Mat_Sum!$AZ22)+($D$71*Mat_Sum!$AM22)+($D$72*0)))+($D$202*(($D$211*Mat_Sum!$D22)+($D$212*Mat_Sum!$BG22)+($D$213*Mat_Sum!$AV22)))</f>
        <v>0</v>
      </c>
      <c r="D386" s="2136">
        <f ca="1" xml:space="preserve"> $C$6*$D$11*(($D$74*Mat_Sum!$D22)+($D$75*Mat_Sum!$L22)+($D$76*Mat_Sum!$I22)+($D$77*Mat_Sum!$F22)+($D$78*Mat_Sum!$AV22)+($D$79*Mat_Sum!$AR22)+($D$80*Mat_Sum!$AG22)+($D$81*Mat_Sum!$AG22)+($D$82*Mat_Sum!$F22)+($D$83*0))</f>
        <v>453.91922284363551</v>
      </c>
      <c r="E386" s="2136">
        <f ca="1" xml:space="preserve"> $C$6*$D$12*(($D$85*Mat_Sum!$D22)+($D$86*Mat_Sum!$F22)+($D$87*Mat_Sum!$L22)+($D$88*Mat_Sum!$I22)+($D$89*Mat_Sum!$AV22)+($D$90*Mat_Sum!$AR22)+($D$91*Mat_Sum!$AG22)+($D$92*Mat_Sum!$AG22)+($D$93*Mat_Sum!$F22)+($D$94*0))+($C$187*$B$187*$D$192*(($B$197*Mat_Sum!$D22)+($A$197*Mat_Sum!$AV22)))+($C$188*$B$188*$D$193*(($B$197*Mat_Sum!$D22)+($A$197*Mat_Sum!$AV22)))</f>
        <v>23306.504358870196</v>
      </c>
      <c r="F386" s="2136">
        <f ca="1" xml:space="preserve"> $C$6*$D$13*(($D$96*Mat_Sum!$D22)+($D$97*Mat_Sum!$L22)+($D$98*Mat_Sum!$AG22)+($D$99*0))</f>
        <v>338.43581816244165</v>
      </c>
      <c r="G386" s="2136">
        <f ca="1" xml:space="preserve"> $C$6*$D$14*(($D$101*Mat_Sum!$D22)+($D$102*Mat_Sum!$L22)+($D$103*Mat_Sum!$AG22)+($D$104*0))</f>
        <v>0</v>
      </c>
      <c r="H386" s="2136">
        <f ca="1" xml:space="preserve"> $C$6*$D$15*(($D$106*Mat_Sum!$D22)+($D$107*Mat_Sum!$L22)+($D$108*Mat_Sum!$AG22)+($D$109*Mat_Sum!$AV22)+($D$110*Mat_Sum!$AR22)+($D$111*0))</f>
        <v>26.293492805087176</v>
      </c>
      <c r="I386" s="2136">
        <f ca="1" xml:space="preserve"> $C$6*$D$17*(($D$113*Mat_Sum!$E22)+($D$114*Mat_Sum!$D22)+($D$115*Mat_Sum!$F22)+($D$116*Mat_Sum!$L22)+($D$117*Mat_Sum!$I22)+($D$118*0)+($D$119*Mat_Sum!$AV22)+($D$120*Mat_Sum!$AR22)+($D$121*Mat_Sum!$AG22)+($D$122*Mat_Sum!$AG22)+($D$123*Mat_Sum!$AS22)+($D$124*0)+($D$125*Mat_Sum!$E22)+($D$126*0))</f>
        <v>0</v>
      </c>
      <c r="J386" s="2136">
        <f ca="1">$C$6*$D$16*(($D$128*Mat_Sum!$AU22)+($D$129*Mat_Sum!$D22)+($D$130*Mat_Sum!$E22)+($D$131*Mat_Sum!$AS22)+($D$132*Mat_Sum!$I22)+($D$133*Mat_Sum!$AG22)+($D$134*Mat_Sum!$AQ22)+($D$135*Mat_Sum!$AO22)+($D$136*0))</f>
        <v>0</v>
      </c>
      <c r="K386" s="2406">
        <f ca="1" xml:space="preserve"> $C$6*$D$19*$D$138*Mat_Sum!$D22</f>
        <v>0</v>
      </c>
      <c r="L386" s="2223">
        <f t="shared" ref="L386:U398" ca="1" si="11">B386/$D283</f>
        <v>8.2602230036735738E-2</v>
      </c>
      <c r="M386" s="2218">
        <f t="shared" ca="1" si="11"/>
        <v>0</v>
      </c>
      <c r="N386" s="2218">
        <f t="shared" ca="1" si="11"/>
        <v>1.7261009065212447E-2</v>
      </c>
      <c r="O386" s="2218">
        <f t="shared" ca="1" si="11"/>
        <v>0.88626734178969235</v>
      </c>
      <c r="P386" s="2218">
        <f t="shared" ca="1" si="11"/>
        <v>1.2869566723123423E-2</v>
      </c>
      <c r="Q386" s="2218">
        <f t="shared" ca="1" si="11"/>
        <v>0</v>
      </c>
      <c r="R386" s="2218">
        <f t="shared" ca="1" si="11"/>
        <v>9.9985238523606079E-4</v>
      </c>
      <c r="S386" s="2218">
        <f t="shared" ca="1" si="11"/>
        <v>0</v>
      </c>
      <c r="T386" s="2218">
        <f t="shared" ca="1" si="11"/>
        <v>0</v>
      </c>
      <c r="U386" s="2224">
        <f t="shared" ca="1" si="11"/>
        <v>0</v>
      </c>
      <c r="AI386" s="2299"/>
      <c r="AJ386" s="2299"/>
      <c r="AK386" s="2299"/>
      <c r="AL386" s="2299"/>
      <c r="AM386" s="2299"/>
      <c r="AN386" s="2299"/>
      <c r="AO386" s="2299"/>
      <c r="AP386" s="2299"/>
      <c r="AQ386" s="2299"/>
      <c r="AR386" s="2299"/>
    </row>
    <row r="387" spans="1:44">
      <c r="A387" s="2093" t="s">
        <v>822</v>
      </c>
      <c r="B387" s="2151">
        <f ca="1">($C$6*$D$18*(($D$24*Mat_Sum!$D23)+($D$25*Mat_Sum!$E23)+($D$26*Mat_Sum!$I23)+($D$27*Mat_Sum!$L23)+($D$28*Mat_Sum!$AR23)+($D$29*Mat_Sum!$AV23)+($D$30*Mat_Sum!$AS23)+($D$31*Mat_Sum!$AM23)+($D$32*Mat_Sum!$AG23)+($D$33*0)+($D$34*0)+($D$35*0)+($D$36*Mat_Sum!$CF23)+($D$37*Silicon!$K80)+($D$38*0)))+($D$201*(($D$207*Mat_Sum!$D23)+($D$208*Mat_Sum!$AV23)+($D$209*Mat_Sum!$AR23)))</f>
        <v>12328.415869104145</v>
      </c>
      <c r="C387" s="2136">
        <f ca="1">($C$6*$D$10*(($D$40*Mat_Sum!$E23)+($D$41*Mat_Sum!$D23)+($D$42*Mat_Sum!$L23)+($D$43*Mat_Sum!$I23)+($D$44*Mat_Sum!$F23)+($D$45*Mat_Sum!$AV23)+($D$46*Mat_Sum!$AR23)+($D$47*Mat_Sum!$AG23)+($D$48*((88%*Mat_Sum!$AG23)+(12%*0)))+($D$49*Mat_Sum!$CF23)+($D$50*Mat_Sum!$AN23)+($D$51*'C.Iron'!$I70)+($D$52*((80%*Mat_Sum!$U23)+(20%*Mat_Sum!$BA23)))+($D$53*Mat_Sum!$AW23)+($D$54*Mat_Sum!$AS23)+($D$55*Mat_Sum!$CQ23)+($D$56*Mat_Sum!$AQ23)+($D$57*Mat_Sum!$AO23)+($D$58*Mat_Sum!$AP23)+($D$59*Mat_Sum!$BJ23)+($D$60*Mat_Sum!$BI23)+($D$61*Mat_Sum!$AR23)+($D$62*0)+($D$63*Mat_Sum!$CF23)+($D$64*Mat_Sum!$BG23)+($D$65*Mat_Sum!$BI23)+($D$66*Mat_Sum!$U23)+($D$67*Mat_Sum!$BA23)+($D$68*Mat_Sum!$CP23)+($D$69*0)+($D$70*Mat_Sum!$AZ23)+($D$71*Mat_Sum!$AM23)+($D$72*0)))+($D$202*(($D$211*Mat_Sum!$D23)+($D$212*Mat_Sum!$BG23)+($D$213*Mat_Sum!$AV23)))</f>
        <v>0</v>
      </c>
      <c r="D387" s="2136">
        <f ca="1" xml:space="preserve"> $C$6*$D$11*(($D$74*Mat_Sum!$D23)+($D$75*Mat_Sum!$L23)+($D$76*Mat_Sum!$I23)+($D$77*Mat_Sum!$F23)+($D$78*Mat_Sum!$AV23)+($D$79*Mat_Sum!$AR23)+($D$80*Mat_Sum!$AG23)+($D$81*Mat_Sum!$AG23)+($D$82*Mat_Sum!$F23)+($D$83*0))</f>
        <v>3046.4199468407837</v>
      </c>
      <c r="E387" s="2136">
        <f ca="1" xml:space="preserve"> $C$6*$D$12*(($D$85*Mat_Sum!$D23)+($D$86*Mat_Sum!$F23)+($D$87*Mat_Sum!$L23)+($D$88*Mat_Sum!$I23)+($D$89*Mat_Sum!$AV23)+($D$90*Mat_Sum!$AR23)+($D$91*Mat_Sum!$AG23)+($D$92*Mat_Sum!$AG23)+($D$93*Mat_Sum!$F23)+($D$94*0))+($C$187*$B$187*$D$192*(($B$197*Mat_Sum!$D23)+($A$197*Mat_Sum!$AV23)))+($C$188*$B$188*$D$193*(($B$197*Mat_Sum!$D23)+($A$197*Mat_Sum!$AV23)))</f>
        <v>85132.556678756504</v>
      </c>
      <c r="F387" s="2136">
        <f ca="1" xml:space="preserve"> $C$6*$D$13*(($D$96*Mat_Sum!$D23)+($D$97*Mat_Sum!$L23)+($D$98*Mat_Sum!$AG23)+($D$99*0))</f>
        <v>2217.8523142295808</v>
      </c>
      <c r="G387" s="2136">
        <f ca="1" xml:space="preserve"> $C$6*$D$14*(($D$101*Mat_Sum!$D23)+($D$102*Mat_Sum!$L23)+($D$103*Mat_Sum!$AG23)+($D$104*0))</f>
        <v>0</v>
      </c>
      <c r="H387" s="2136">
        <f ca="1" xml:space="preserve"> $C$6*$D$15*(($D$106*Mat_Sum!$D23)+($D$107*Mat_Sum!$L23)+($D$108*Mat_Sum!$AG23)+($D$109*Mat_Sum!$AV23)+($D$110*Mat_Sum!$AR23)+($D$111*0))</f>
        <v>101.50330365728738</v>
      </c>
      <c r="I387" s="2136">
        <f ca="1" xml:space="preserve"> $C$6*$D$17*(($D$113*Mat_Sum!$E23)+($D$114*Mat_Sum!$D23)+($D$115*Mat_Sum!$F23)+($D$116*Mat_Sum!$L23)+($D$117*Mat_Sum!$I23)+($D$118*0)+($D$119*Mat_Sum!$AV23)+($D$120*Mat_Sum!$AR23)+($D$121*Mat_Sum!$AG23)+($D$122*Mat_Sum!$AG23)+($D$123*Mat_Sum!$AS23)+($D$124*0)+($D$125*Mat_Sum!$E23)+($D$126*0))</f>
        <v>0</v>
      </c>
      <c r="J387" s="2136">
        <f ca="1">$C$6*$D$16*(($D$128*Mat_Sum!$AU23)+($D$129*Mat_Sum!$D23)+($D$130*Mat_Sum!$E23)+($D$131*Mat_Sum!$AS23)+($D$132*Mat_Sum!$I23)+($D$133*Mat_Sum!$AG23)+($D$134*Mat_Sum!$AQ23)+($D$135*Mat_Sum!$AO23)+($D$136*0))</f>
        <v>0</v>
      </c>
      <c r="K387" s="2406">
        <f ca="1" xml:space="preserve"> $C$6*$D$19*$D$138*Mat_Sum!$D23</f>
        <v>0</v>
      </c>
      <c r="L387" s="2223">
        <f t="shared" ca="1" si="11"/>
        <v>0.11989502824309264</v>
      </c>
      <c r="M387" s="2218">
        <f t="shared" ca="1" si="11"/>
        <v>0</v>
      </c>
      <c r="N387" s="2218">
        <f t="shared" ca="1" si="11"/>
        <v>2.962672653525094E-2</v>
      </c>
      <c r="O387" s="2218">
        <f t="shared" ca="1" si="11"/>
        <v>0.82792228910654808</v>
      </c>
      <c r="P387" s="2218">
        <f t="shared" ca="1" si="11"/>
        <v>2.1568826739528743E-2</v>
      </c>
      <c r="Q387" s="2218">
        <f t="shared" ca="1" si="11"/>
        <v>0</v>
      </c>
      <c r="R387" s="2218">
        <f t="shared" ca="1" si="11"/>
        <v>9.8712937557986539E-4</v>
      </c>
      <c r="S387" s="2218">
        <f t="shared" ca="1" si="11"/>
        <v>0</v>
      </c>
      <c r="T387" s="2218">
        <f t="shared" ca="1" si="11"/>
        <v>0</v>
      </c>
      <c r="U387" s="2224">
        <f t="shared" ca="1" si="11"/>
        <v>0</v>
      </c>
      <c r="AI387" s="2299"/>
      <c r="AJ387" s="2299"/>
      <c r="AK387" s="2299"/>
      <c r="AL387" s="2299"/>
      <c r="AM387" s="2299"/>
      <c r="AN387" s="2299"/>
      <c r="AO387" s="2299"/>
      <c r="AP387" s="2299"/>
      <c r="AQ387" s="2299"/>
      <c r="AR387" s="2299"/>
    </row>
    <row r="388" spans="1:44" ht="15.75">
      <c r="A388" s="2093" t="s">
        <v>2542</v>
      </c>
      <c r="B388" s="2151">
        <f ca="1">($C$6*$D$18*(($D$24*Mat_Sum!$D24)+($D$25*Mat_Sum!$E24)+($D$26*Mat_Sum!$I24)+($D$27*Mat_Sum!$L24)+($D$28*Mat_Sum!$AR24)+($D$29*Mat_Sum!$AV24)+($D$30*Mat_Sum!$AS24)+($D$31*Mat_Sum!$AM24)+($D$32*Mat_Sum!$AG24)+($D$33*0)+($D$34*0)+($D$35*0)+($D$36*Mat_Sum!$CF24)+($D$37*Silicon!$K81)+($D$38*0)))+($D$201*(($D$207*Mat_Sum!$D24)+($D$208*Mat_Sum!$AV24)+($D$209*Mat_Sum!$AR24)))</f>
        <v>5058.1822267317284</v>
      </c>
      <c r="C388" s="2136">
        <f ca="1">($C$6*$D$10*(($D$40*Mat_Sum!$E24)+($D$41*Mat_Sum!$D24)+($D$42*Mat_Sum!$L24)+($D$43*Mat_Sum!$I24)+($D$44*Mat_Sum!$F24)+($D$45*Mat_Sum!$AV24)+($D$46*Mat_Sum!$AR24)+($D$47*Mat_Sum!$AG24)+($D$48*((88%*Mat_Sum!$AG24)+(12%*0)))+($D$49*Mat_Sum!$CF24)+($D$50*Mat_Sum!$AN24)+($D$51*'C.Iron'!$I71)+($D$52*((80%*Mat_Sum!$U24)+(20%*Mat_Sum!$BA24)))+($D$53*Mat_Sum!$AW24)+($D$54*Mat_Sum!$AS24)+($D$55*Mat_Sum!$CQ24)+($D$56*Mat_Sum!$AQ24)+($D$57*Mat_Sum!$AO24)+($D$58*Mat_Sum!$AP24)+($D$59*Mat_Sum!$BJ24)+($D$60*Mat_Sum!$BI24)+($D$61*Mat_Sum!$AR24)+($D$62*0)+($D$63*Mat_Sum!$CF24)+($D$64*Mat_Sum!$BG24)+($D$65*Mat_Sum!$BI24)+($D$66*Mat_Sum!$U24)+($D$67*Mat_Sum!$BA24)+($D$68*Mat_Sum!$CP24)+($D$69*0)+($D$70*Mat_Sum!$AZ24)+($D$71*Mat_Sum!$AM24)+($D$72*0)))+($D$202*(($D$211*Mat_Sum!$D24)+($D$212*Mat_Sum!$BG24)+($D$213*Mat_Sum!$AV24)))</f>
        <v>0</v>
      </c>
      <c r="D388" s="2136">
        <f ca="1" xml:space="preserve"> $C$6*$D$11*(($D$74*Mat_Sum!$D24)+($D$75*Mat_Sum!$L24)+($D$76*Mat_Sum!$I24)+($D$77*Mat_Sum!$F24)+($D$78*Mat_Sum!$AV24)+($D$79*Mat_Sum!$AR24)+($D$80*Mat_Sum!$AG24)+($D$81*Mat_Sum!$AG24)+($D$82*Mat_Sum!$F24)+($D$83*0))</f>
        <v>437.38703629069653</v>
      </c>
      <c r="E388" s="2136">
        <f ca="1" xml:space="preserve"> $C$6*$D$12*(($D$85*Mat_Sum!$D24)+($D$86*Mat_Sum!$F24)+($D$87*Mat_Sum!$L24)+($D$88*Mat_Sum!$I24)+($D$89*Mat_Sum!$AV24)+($D$90*Mat_Sum!$AR24)+($D$91*Mat_Sum!$AG24)+($D$92*Mat_Sum!$AG24)+($D$93*Mat_Sum!$F24)+($D$94*0))+($C$187*$B$187*$D$192*(($B$197*Mat_Sum!$D24)+($A$197*Mat_Sum!$AV24)))+($C$188*$B$188*$D$193*(($B$197*Mat_Sum!$D24)+($A$197*Mat_Sum!$AV24)))</f>
        <v>19725.612319331984</v>
      </c>
      <c r="F388" s="2136">
        <f ca="1" xml:space="preserve"> $C$6*$D$13*(($D$96*Mat_Sum!$D24)+($D$97*Mat_Sum!$L24)+($D$98*Mat_Sum!$AG24)+($D$99*0))</f>
        <v>707.74464776190393</v>
      </c>
      <c r="G388" s="2136">
        <f ca="1" xml:space="preserve"> $C$6*$D$14*(($D$101*Mat_Sum!$D24)+($D$102*Mat_Sum!$L24)+($D$103*Mat_Sum!$AG24)+($D$104*0))</f>
        <v>0</v>
      </c>
      <c r="H388" s="2136">
        <f ca="1" xml:space="preserve"> $C$6*$D$15*(($D$106*Mat_Sum!$D24)+($D$107*Mat_Sum!$L24)+($D$108*Mat_Sum!$AG24)+($D$109*Mat_Sum!$AV24)+($D$110*Mat_Sum!$AR24)+($D$111*0))</f>
        <v>77.622500687009065</v>
      </c>
      <c r="I388" s="2136">
        <f ca="1" xml:space="preserve"> $C$6*$D$17*(($D$113*Mat_Sum!$E24)+($D$114*Mat_Sum!$D24)+($D$115*Mat_Sum!$F24)+($D$116*Mat_Sum!$L24)+($D$117*Mat_Sum!$I24)+($D$118*0)+($D$119*Mat_Sum!$AV24)+($D$120*Mat_Sum!$AR24)+($D$121*Mat_Sum!$AG24)+($D$122*Mat_Sum!$AG24)+($D$123*Mat_Sum!$AS24)+($D$124*0)+($D$125*Mat_Sum!$E24)+($D$126*0))</f>
        <v>0</v>
      </c>
      <c r="J388" s="2136">
        <f ca="1">$C$6*$D$16*(($D$128*Mat_Sum!$AU24)+($D$129*Mat_Sum!$D24)+($D$130*Mat_Sum!$E24)+($D$131*Mat_Sum!$AS24)+($D$132*Mat_Sum!$I24)+($D$133*Mat_Sum!$AG24)+($D$134*Mat_Sum!$AQ24)+($D$135*Mat_Sum!$AO24)+($D$136*0))</f>
        <v>0</v>
      </c>
      <c r="K388" s="2406">
        <f ca="1" xml:space="preserve"> $C$6*$D$19*$D$138*Mat_Sum!$D24</f>
        <v>0</v>
      </c>
      <c r="L388" s="2223">
        <f t="shared" ca="1" si="11"/>
        <v>0.19449648160121261</v>
      </c>
      <c r="M388" s="2218">
        <f t="shared" ca="1" si="11"/>
        <v>0</v>
      </c>
      <c r="N388" s="2218">
        <f t="shared" ca="1" si="11"/>
        <v>1.6818342211346007E-2</v>
      </c>
      <c r="O388" s="2218">
        <f t="shared" ca="1" si="11"/>
        <v>0.75848635370705997</v>
      </c>
      <c r="P388" s="2218">
        <f t="shared" ca="1" si="11"/>
        <v>2.7214093461145013E-2</v>
      </c>
      <c r="Q388" s="2218">
        <f t="shared" ca="1" si="11"/>
        <v>0</v>
      </c>
      <c r="R388" s="2218">
        <f t="shared" ca="1" si="11"/>
        <v>2.9847290192362005E-3</v>
      </c>
      <c r="S388" s="2218">
        <f t="shared" ca="1" si="11"/>
        <v>0</v>
      </c>
      <c r="T388" s="2218">
        <f t="shared" ca="1" si="11"/>
        <v>0</v>
      </c>
      <c r="U388" s="2224">
        <f t="shared" ca="1" si="11"/>
        <v>0</v>
      </c>
      <c r="AI388" s="2299"/>
      <c r="AJ388" s="2299"/>
      <c r="AK388" s="2299"/>
      <c r="AL388" s="2299"/>
      <c r="AM388" s="2299"/>
      <c r="AN388" s="2299"/>
      <c r="AO388" s="2299"/>
      <c r="AP388" s="2299"/>
      <c r="AQ388" s="2299"/>
      <c r="AR388" s="2299"/>
    </row>
    <row r="389" spans="1:44" ht="15.75">
      <c r="A389" s="2093" t="s">
        <v>2543</v>
      </c>
      <c r="B389" s="2151">
        <f ca="1">($C$6*$D$18*(($D$24*Mat_Sum!$D25)+($D$25*Mat_Sum!$E25)+($D$26*Mat_Sum!$I25)+($D$27*Mat_Sum!$L25)+($D$28*Mat_Sum!$AR25)+($D$29*Mat_Sum!$AV25)+($D$30*Mat_Sum!$AS25)+($D$31*Mat_Sum!$AM25)+($D$32*Mat_Sum!$AG25)+($D$33*0)+($D$34*0)+($D$35*0)+($D$36*Mat_Sum!$CF25)+($D$37*Silicon!$K82)+($D$38*0)))+($D$201*(($D$207*Mat_Sum!$D25)+($D$208*Mat_Sum!$AV25)+($D$209*Mat_Sum!$AR25)))</f>
        <v>2838.0005827451309</v>
      </c>
      <c r="C389" s="2136">
        <f ca="1">($C$6*$D$10*(($D$40*Mat_Sum!$E25)+($D$41*Mat_Sum!$D25)+($D$42*Mat_Sum!$L25)+($D$43*Mat_Sum!$I25)+($D$44*Mat_Sum!$F25)+($D$45*Mat_Sum!$AV25)+($D$46*Mat_Sum!$AR25)+($D$47*Mat_Sum!$AG25)+($D$48*((88%*Mat_Sum!$AG25)+(12%*0)))+($D$49*Mat_Sum!$CF25)+($D$50*Mat_Sum!$AN25)+($D$51*'C.Iron'!$I72)+($D$52*((80%*Mat_Sum!$U25)+(20%*Mat_Sum!$BA25)))+($D$53*Mat_Sum!$AW25)+($D$54*Mat_Sum!$AS25)+($D$55*Mat_Sum!$CQ25)+($D$56*Mat_Sum!$AQ25)+($D$57*Mat_Sum!$AO25)+($D$58*Mat_Sum!$AP25)+($D$59*Mat_Sum!$BJ25)+($D$60*Mat_Sum!$BI25)+($D$61*Mat_Sum!$AR25)+($D$62*0)+($D$63*Mat_Sum!$CF25)+($D$64*Mat_Sum!$BG25)+($D$65*Mat_Sum!$BI25)+($D$66*Mat_Sum!$U25)+($D$67*Mat_Sum!$BA25)+($D$68*Mat_Sum!$CP25)+($D$69*0)+($D$70*Mat_Sum!$AZ25)+($D$71*Mat_Sum!$AM25)+($D$72*0)))+($D$202*(($D$211*Mat_Sum!$D25)+($D$212*Mat_Sum!$BG25)+($D$213*Mat_Sum!$AV25)))</f>
        <v>0</v>
      </c>
      <c r="D389" s="2136">
        <f ca="1" xml:space="preserve"> $C$6*$D$11*(($D$74*Mat_Sum!$D25)+($D$75*Mat_Sum!$L25)+($D$76*Mat_Sum!$I25)+($D$77*Mat_Sum!$F25)+($D$78*Mat_Sum!$AV25)+($D$79*Mat_Sum!$AR25)+($D$80*Mat_Sum!$AG25)+($D$81*Mat_Sum!$AG25)+($D$82*Mat_Sum!$F25)+($D$83*0))</f>
        <v>249.99464813262665</v>
      </c>
      <c r="E389" s="2136">
        <f ca="1" xml:space="preserve"> $C$6*$D$12*(($D$85*Mat_Sum!$D25)+($D$86*Mat_Sum!$F25)+($D$87*Mat_Sum!$L25)+($D$88*Mat_Sum!$I25)+($D$89*Mat_Sum!$AV25)+($D$90*Mat_Sum!$AR25)+($D$91*Mat_Sum!$AG25)+($D$92*Mat_Sum!$AG25)+($D$93*Mat_Sum!$F25)+($D$94*0))+($C$187*$B$187*$D$192*(($B$197*Mat_Sum!$D25)+($A$197*Mat_Sum!$AV25)))+($C$188*$B$188*$D$193*(($B$197*Mat_Sum!$D25)+($A$197*Mat_Sum!$AV25)))</f>
        <v>8029.7677516910553</v>
      </c>
      <c r="F389" s="2136">
        <f ca="1" xml:space="preserve"> $C$6*$D$13*(($D$96*Mat_Sum!$D25)+($D$97*Mat_Sum!$L25)+($D$98*Mat_Sum!$AG25)+($D$99*0))</f>
        <v>326.37389177973625</v>
      </c>
      <c r="G389" s="2136">
        <f ca="1" xml:space="preserve"> $C$6*$D$14*(($D$101*Mat_Sum!$D25)+($D$102*Mat_Sum!$L25)+($D$103*Mat_Sum!$AG25)+($D$104*0))</f>
        <v>0</v>
      </c>
      <c r="H389" s="2136">
        <f ca="1" xml:space="preserve"> $C$6*$D$15*(($D$106*Mat_Sum!$D25)+($D$107*Mat_Sum!$L25)+($D$108*Mat_Sum!$AG25)+($D$109*Mat_Sum!$AV25)+($D$110*Mat_Sum!$AR25)+($D$111*0))</f>
        <v>32.397886484475173</v>
      </c>
      <c r="I389" s="2136">
        <f ca="1" xml:space="preserve"> $C$6*$D$17*(($D$113*Mat_Sum!$E25)+($D$114*Mat_Sum!$D25)+($D$115*Mat_Sum!$F25)+($D$116*Mat_Sum!$L25)+($D$117*Mat_Sum!$I25)+($D$118*0)+($D$119*Mat_Sum!$AV25)+($D$120*Mat_Sum!$AR25)+($D$121*Mat_Sum!$AG25)+($D$122*Mat_Sum!$AG25)+($D$123*Mat_Sum!$AS25)+($D$124*0)+($D$125*Mat_Sum!$E25)+($D$126*0))</f>
        <v>0</v>
      </c>
      <c r="J389" s="2136">
        <f ca="1">$C$6*$D$16*(($D$128*Mat_Sum!$AU25)+($D$129*Mat_Sum!$D25)+($D$130*Mat_Sum!$E25)+($D$131*Mat_Sum!$AS25)+($D$132*Mat_Sum!$I25)+($D$133*Mat_Sum!$AG25)+($D$134*Mat_Sum!$AQ25)+($D$135*Mat_Sum!$AO25)+($D$136*0))</f>
        <v>0</v>
      </c>
      <c r="K389" s="2406">
        <f ca="1" xml:space="preserve"> $C$6*$D$19*$D$138*Mat_Sum!$D25</f>
        <v>0</v>
      </c>
      <c r="L389" s="2223">
        <f t="shared" ca="1" si="11"/>
        <v>0.24728723799370381</v>
      </c>
      <c r="M389" s="2218">
        <f t="shared" ca="1" si="11"/>
        <v>0</v>
      </c>
      <c r="N389" s="2218">
        <f t="shared" ca="1" si="11"/>
        <v>2.1783112528513858E-2</v>
      </c>
      <c r="O389" s="2218">
        <f t="shared" ca="1" si="11"/>
        <v>0.69966831617980607</v>
      </c>
      <c r="P389" s="2218">
        <f t="shared" ca="1" si="11"/>
        <v>2.8438365637472821E-2</v>
      </c>
      <c r="Q389" s="2218">
        <f t="shared" ca="1" si="11"/>
        <v>0</v>
      </c>
      <c r="R389" s="2218">
        <f t="shared" ca="1" si="11"/>
        <v>2.8229676605034367E-3</v>
      </c>
      <c r="S389" s="2218">
        <f t="shared" ca="1" si="11"/>
        <v>0</v>
      </c>
      <c r="T389" s="2218">
        <f t="shared" ca="1" si="11"/>
        <v>0</v>
      </c>
      <c r="U389" s="2224">
        <f t="shared" ca="1" si="11"/>
        <v>0</v>
      </c>
      <c r="AI389" s="2299"/>
      <c r="AJ389" s="2299"/>
      <c r="AK389" s="2299"/>
      <c r="AL389" s="2299"/>
      <c r="AM389" s="2299"/>
      <c r="AN389" s="2299"/>
      <c r="AO389" s="2299"/>
      <c r="AP389" s="2299"/>
      <c r="AQ389" s="2299"/>
      <c r="AR389" s="2299"/>
    </row>
    <row r="390" spans="1:44" ht="15.75">
      <c r="A390" s="2093" t="s">
        <v>2544</v>
      </c>
      <c r="B390" s="2151">
        <f ca="1">($C$6*$D$18*(($D$24*Mat_Sum!$D26)+($D$25*Mat_Sum!$E26)+($D$26*Mat_Sum!$I26)+($D$27*Mat_Sum!$L26)+($D$28*Mat_Sum!$AR26)+($D$29*Mat_Sum!$AV26)+($D$30*Mat_Sum!$AS26)+($D$31*Mat_Sum!$AM26)+($D$32*Mat_Sum!$AG26)+($D$33*0)+($D$34*0)+($D$35*0)+($D$36*Mat_Sum!$CF26)+($D$37*Silicon!$K83)+($D$38*0)))+($D$201*(($D$207*Mat_Sum!$D26)+($D$208*Mat_Sum!$AV26)+($D$209*Mat_Sum!$AR26)))</f>
        <v>1076.5396671389356</v>
      </c>
      <c r="C390" s="2136">
        <f ca="1">($C$6*$D$10*(($D$40*Mat_Sum!$E26)+($D$41*Mat_Sum!$D26)+($D$42*Mat_Sum!$L26)+($D$43*Mat_Sum!$I26)+($D$44*Mat_Sum!$F26)+($D$45*Mat_Sum!$AV26)+($D$46*Mat_Sum!$AR26)+($D$47*Mat_Sum!$AG26)+($D$48*((88%*Mat_Sum!$AG26)+(12%*0)))+($D$49*Mat_Sum!$CF26)+($D$50*Mat_Sum!$AN26)+($D$51*'C.Iron'!$I73)+($D$52*((80%*Mat_Sum!$U26)+(20%*Mat_Sum!$BA26)))+($D$53*Mat_Sum!$AW26)+($D$54*Mat_Sum!$AS26)+($D$55*Mat_Sum!$CQ26)+($D$56*Mat_Sum!$AQ26)+($D$57*Mat_Sum!$AO26)+($D$58*Mat_Sum!$AP26)+($D$59*Mat_Sum!$BJ26)+($D$60*Mat_Sum!$BI26)+($D$61*Mat_Sum!$AR26)+($D$62*0)+($D$63*Mat_Sum!$CF26)+($D$64*Mat_Sum!$BG26)+($D$65*Mat_Sum!$BI26)+($D$66*Mat_Sum!$U26)+($D$67*Mat_Sum!$BA26)+($D$68*Mat_Sum!$CP26)+($D$69*0)+($D$70*Mat_Sum!$AZ26)+($D$71*Mat_Sum!$AM26)+($D$72*0)))+($D$202*(($D$211*Mat_Sum!$D26)+($D$212*Mat_Sum!$BG26)+($D$213*Mat_Sum!$AV26)))</f>
        <v>0</v>
      </c>
      <c r="D390" s="2136">
        <f ca="1" xml:space="preserve"> $C$6*$D$11*(($D$74*Mat_Sum!$D26)+($D$75*Mat_Sum!$L26)+($D$76*Mat_Sum!$I26)+($D$77*Mat_Sum!$F26)+($D$78*Mat_Sum!$AV26)+($D$79*Mat_Sum!$AR26)+($D$80*Mat_Sum!$AG26)+($D$81*Mat_Sum!$AG26)+($D$82*Mat_Sum!$F26)+($D$83*0))</f>
        <v>118.36430836812357</v>
      </c>
      <c r="E390" s="2136">
        <f ca="1" xml:space="preserve"> $C$6*$D$12*(($D$85*Mat_Sum!$D26)+($D$86*Mat_Sum!$F26)+($D$87*Mat_Sum!$L26)+($D$88*Mat_Sum!$I26)+($D$89*Mat_Sum!$AV26)+($D$90*Mat_Sum!$AR26)+($D$91*Mat_Sum!$AG26)+($D$92*Mat_Sum!$AG26)+($D$93*Mat_Sum!$F26)+($D$94*0))+($C$187*$B$187*$D$192*(($B$197*Mat_Sum!$D26)+($A$197*Mat_Sum!$AV26)))+($C$188*$B$188*$D$193*(($B$197*Mat_Sum!$D26)+($A$197*Mat_Sum!$AV26)))</f>
        <v>4018.5037498049942</v>
      </c>
      <c r="F390" s="2136">
        <f ca="1" xml:space="preserve"> $C$6*$D$13*(($D$96*Mat_Sum!$D26)+($D$97*Mat_Sum!$L26)+($D$98*Mat_Sum!$AG26)+($D$99*0))</f>
        <v>166.38297708133311</v>
      </c>
      <c r="G390" s="2136">
        <f ca="1" xml:space="preserve"> $C$6*$D$14*(($D$101*Mat_Sum!$D26)+($D$102*Mat_Sum!$L26)+($D$103*Mat_Sum!$AG26)+($D$104*0))</f>
        <v>0</v>
      </c>
      <c r="H390" s="2136">
        <f ca="1" xml:space="preserve"> $C$6*$D$15*(($D$106*Mat_Sum!$D26)+($D$107*Mat_Sum!$L26)+($D$108*Mat_Sum!$AG26)+($D$109*Mat_Sum!$AV26)+($D$110*Mat_Sum!$AR26)+($D$111*0))</f>
        <v>14.77720822886222</v>
      </c>
      <c r="I390" s="2136">
        <f ca="1" xml:space="preserve"> $C$6*$D$17*(($D$113*Mat_Sum!$E26)+($D$114*Mat_Sum!$D26)+($D$115*Mat_Sum!$F26)+($D$116*Mat_Sum!$L26)+($D$117*Mat_Sum!$I26)+($D$118*0)+($D$119*Mat_Sum!$AV26)+($D$120*Mat_Sum!$AR26)+($D$121*Mat_Sum!$AG26)+($D$122*Mat_Sum!$AG26)+($D$123*Mat_Sum!$AS26)+($D$124*0)+($D$125*Mat_Sum!$E26)+($D$126*0))</f>
        <v>0</v>
      </c>
      <c r="J390" s="2136">
        <f ca="1">$C$6*$D$16*(($D$128*Mat_Sum!$AU26)+($D$129*Mat_Sum!$D26)+($D$130*Mat_Sum!$E26)+($D$131*Mat_Sum!$AS26)+($D$132*Mat_Sum!$I26)+($D$133*Mat_Sum!$AG26)+($D$134*Mat_Sum!$AQ26)+($D$135*Mat_Sum!$AO26)+($D$136*0))</f>
        <v>0</v>
      </c>
      <c r="K390" s="2406">
        <f ca="1" xml:space="preserve"> $C$6*$D$19*$D$138*Mat_Sum!$D26</f>
        <v>0</v>
      </c>
      <c r="L390" s="2223">
        <f t="shared" ca="1" si="11"/>
        <v>0.19955994344220979</v>
      </c>
      <c r="M390" s="2218">
        <f t="shared" ca="1" si="11"/>
        <v>0</v>
      </c>
      <c r="N390" s="2218">
        <f t="shared" ca="1" si="11"/>
        <v>2.1941388138808433E-2</v>
      </c>
      <c r="O390" s="2218">
        <f t="shared" ca="1" si="11"/>
        <v>0.74491670443008129</v>
      </c>
      <c r="P390" s="2218">
        <f t="shared" ca="1" si="11"/>
        <v>3.0842688392839476E-2</v>
      </c>
      <c r="Q390" s="2218">
        <f t="shared" ca="1" si="11"/>
        <v>0</v>
      </c>
      <c r="R390" s="2218">
        <f t="shared" ca="1" si="11"/>
        <v>2.7392755960611703E-3</v>
      </c>
      <c r="S390" s="2218">
        <f t="shared" ca="1" si="11"/>
        <v>0</v>
      </c>
      <c r="T390" s="2218">
        <f t="shared" ca="1" si="11"/>
        <v>0</v>
      </c>
      <c r="U390" s="2224">
        <f t="shared" ca="1" si="11"/>
        <v>0</v>
      </c>
      <c r="AI390" s="2299"/>
      <c r="AJ390" s="2299"/>
      <c r="AK390" s="2299"/>
      <c r="AL390" s="2299"/>
      <c r="AM390" s="2299"/>
      <c r="AN390" s="2299"/>
      <c r="AO390" s="2299"/>
      <c r="AP390" s="2299"/>
      <c r="AQ390" s="2299"/>
      <c r="AR390" s="2299"/>
    </row>
    <row r="391" spans="1:44" ht="15.75">
      <c r="A391" s="2093" t="s">
        <v>2545</v>
      </c>
      <c r="B391" s="2151">
        <f ca="1">($C$6*$D$18*(($D$24*Mat_Sum!$D27)+($D$25*Mat_Sum!$E27)+($D$26*Mat_Sum!$I27)+($D$27*Mat_Sum!$L27)+($D$28*Mat_Sum!$AR27)+($D$29*Mat_Sum!$AV27)+($D$30*Mat_Sum!$AS27)+($D$31*Mat_Sum!$AM27)+($D$32*Mat_Sum!$AG27)+($D$33*0)+($D$34*0)+($D$35*0)+($D$36*Mat_Sum!$CF27)+($D$37*Silicon!$K84)+($D$38*0)))+($D$201*(($D$207*Mat_Sum!$D27)+($D$208*Mat_Sum!$AV27)+($D$209*Mat_Sum!$AR27)))</f>
        <v>13395.958626244139</v>
      </c>
      <c r="C391" s="2136">
        <f ca="1">($C$6*$D$10*(($D$40*Mat_Sum!$E27)+($D$41*Mat_Sum!$D27)+($D$42*Mat_Sum!$L27)+($D$43*Mat_Sum!$I27)+($D$44*Mat_Sum!$F27)+($D$45*Mat_Sum!$AV27)+($D$46*Mat_Sum!$AR27)+($D$47*Mat_Sum!$AG27)+($D$48*((88%*Mat_Sum!$AG27)+(12%*0)))+($D$49*Mat_Sum!$CF27)+($D$50*Mat_Sum!$AN27)+($D$51*'C.Iron'!$I74)+($D$52*((80%*Mat_Sum!$U27)+(20%*Mat_Sum!$BA27)))+($D$53*Mat_Sum!$AW27)+($D$54*Mat_Sum!$AS27)+($D$55*Mat_Sum!$CQ27)+($D$56*Mat_Sum!$AQ27)+($D$57*Mat_Sum!$AO27)+($D$58*Mat_Sum!$AP27)+($D$59*Mat_Sum!$BJ27)+($D$60*Mat_Sum!$BI27)+($D$61*Mat_Sum!$AR27)+($D$62*0)+($D$63*Mat_Sum!$CF27)+($D$64*Mat_Sum!$BG27)+($D$65*Mat_Sum!$BI27)+($D$66*Mat_Sum!$U27)+($D$67*Mat_Sum!$BA27)+($D$68*Mat_Sum!$CP27)+($D$69*0)+($D$70*Mat_Sum!$AZ27)+($D$71*Mat_Sum!$AM27)+($D$72*0)))+($D$202*(($D$211*Mat_Sum!$D27)+($D$212*Mat_Sum!$BG27)+($D$213*Mat_Sum!$AV27)))</f>
        <v>0</v>
      </c>
      <c r="D391" s="2136">
        <f ca="1" xml:space="preserve"> $C$6*$D$11*(($D$74*Mat_Sum!$D27)+($D$75*Mat_Sum!$L27)+($D$76*Mat_Sum!$I27)+($D$77*Mat_Sum!$F27)+($D$78*Mat_Sum!$AV27)+($D$79*Mat_Sum!$AR27)+($D$80*Mat_Sum!$AG27)+($D$81*Mat_Sum!$AG27)+($D$82*Mat_Sum!$F27)+($D$83*0))</f>
        <v>1732.9566265645947</v>
      </c>
      <c r="E391" s="2136">
        <f ca="1" xml:space="preserve"> $C$6*$D$12*(($D$85*Mat_Sum!$D27)+($D$86*Mat_Sum!$F27)+($D$87*Mat_Sum!$L27)+($D$88*Mat_Sum!$I27)+($D$89*Mat_Sum!$AV27)+($D$90*Mat_Sum!$AR27)+($D$91*Mat_Sum!$AG27)+($D$92*Mat_Sum!$AG27)+($D$93*Mat_Sum!$F27)+($D$94*0))+($C$187*$B$187*$D$192*(($B$197*Mat_Sum!$D27)+($A$197*Mat_Sum!$AV27)))+($C$188*$B$188*$D$193*(($B$197*Mat_Sum!$D27)+($A$197*Mat_Sum!$AV27)))</f>
        <v>46680.079471697252</v>
      </c>
      <c r="F391" s="2136">
        <f ca="1" xml:space="preserve"> $C$6*$D$13*(($D$96*Mat_Sum!$D27)+($D$97*Mat_Sum!$L27)+($D$98*Mat_Sum!$AG27)+($D$99*0))</f>
        <v>12583.813987438012</v>
      </c>
      <c r="G391" s="2136">
        <f ca="1" xml:space="preserve"> $C$6*$D$14*(($D$101*Mat_Sum!$D27)+($D$102*Mat_Sum!$L27)+($D$103*Mat_Sum!$AG27)+($D$104*0))</f>
        <v>0</v>
      </c>
      <c r="H391" s="2136">
        <f ca="1" xml:space="preserve"> $C$6*$D$15*(($D$106*Mat_Sum!$D27)+($D$107*Mat_Sum!$L27)+($D$108*Mat_Sum!$AG27)+($D$109*Mat_Sum!$AV27)+($D$110*Mat_Sum!$AR27)+($D$111*0))</f>
        <v>541.43640807343297</v>
      </c>
      <c r="I391" s="2136">
        <f ca="1" xml:space="preserve"> $C$6*$D$17*(($D$113*Mat_Sum!$E27)+($D$114*Mat_Sum!$D27)+($D$115*Mat_Sum!$F27)+($D$116*Mat_Sum!$L27)+($D$117*Mat_Sum!$I27)+($D$118*0)+($D$119*Mat_Sum!$AV27)+($D$120*Mat_Sum!$AR27)+($D$121*Mat_Sum!$AG27)+($D$122*Mat_Sum!$AG27)+($D$123*Mat_Sum!$AS27)+($D$124*0)+($D$125*Mat_Sum!$E27)+($D$126*0))</f>
        <v>0</v>
      </c>
      <c r="J391" s="2136">
        <f ca="1">$C$6*$D$16*(($D$128*Mat_Sum!$AU27)+($D$129*Mat_Sum!$D27)+($D$130*Mat_Sum!$E27)+($D$131*Mat_Sum!$AS27)+($D$132*Mat_Sum!$I27)+($D$133*Mat_Sum!$AG27)+($D$134*Mat_Sum!$AQ27)+($D$135*Mat_Sum!$AO27)+($D$136*0))</f>
        <v>0</v>
      </c>
      <c r="K391" s="2406">
        <f ca="1" xml:space="preserve"> $C$6*$D$19*$D$138*Mat_Sum!$D27</f>
        <v>0</v>
      </c>
      <c r="L391" s="2223">
        <f t="shared" ca="1" si="11"/>
        <v>0.17876951458960691</v>
      </c>
      <c r="M391" s="2218">
        <f t="shared" ca="1" si="11"/>
        <v>0</v>
      </c>
      <c r="N391" s="2218">
        <f t="shared" ca="1" si="11"/>
        <v>2.3126363971359525E-2</v>
      </c>
      <c r="O391" s="2218">
        <f t="shared" ca="1" si="11"/>
        <v>0.6229472172160101</v>
      </c>
      <c r="P391" s="2218">
        <f t="shared" ca="1" si="11"/>
        <v>0.16793141730170649</v>
      </c>
      <c r="Q391" s="2218">
        <f t="shared" ca="1" si="11"/>
        <v>0</v>
      </c>
      <c r="R391" s="2218">
        <f t="shared" ca="1" si="11"/>
        <v>7.225486921316796E-3</v>
      </c>
      <c r="S391" s="2218">
        <f t="shared" ca="1" si="11"/>
        <v>0</v>
      </c>
      <c r="T391" s="2218">
        <f t="shared" ca="1" si="11"/>
        <v>0</v>
      </c>
      <c r="U391" s="2224">
        <f t="shared" ca="1" si="11"/>
        <v>0</v>
      </c>
      <c r="AI391" s="2299"/>
      <c r="AJ391" s="2299"/>
      <c r="AK391" s="2299"/>
      <c r="AL391" s="2299"/>
      <c r="AM391" s="2299"/>
      <c r="AN391" s="2299"/>
      <c r="AO391" s="2299"/>
      <c r="AP391" s="2299"/>
      <c r="AQ391" s="2299"/>
      <c r="AR391" s="2299"/>
    </row>
    <row r="392" spans="1:44">
      <c r="A392" s="2093" t="s">
        <v>827</v>
      </c>
      <c r="B392" s="2151">
        <f ca="1">($C$6*$D$18*(($D$24*Mat_Sum!$D28)+($D$25*Mat_Sum!$E28)+($D$26*Mat_Sum!$I28)+($D$27*Mat_Sum!$L28)+($D$28*Mat_Sum!$AR28)+($D$29*Mat_Sum!$AV28)+($D$30*Mat_Sum!$AS28)+($D$31*Mat_Sum!$AM28)+($D$32*Mat_Sum!$AG28)+($D$33*0)+($D$34*0)+($D$35*0)+($D$36*Mat_Sum!$CF28)+($D$37*Silicon!$K85)+($D$38*0)))+($D$201*(($D$207*Mat_Sum!$D28)+($D$208*Mat_Sum!$AV28)+($D$209*Mat_Sum!$AR28)))</f>
        <v>29.458513014899751</v>
      </c>
      <c r="C392" s="2136">
        <f ca="1">($C$6*$D$10*(($D$40*Mat_Sum!$E28)+($D$41*Mat_Sum!$D28)+($D$42*Mat_Sum!$L28)+($D$43*Mat_Sum!$I28)+($D$44*Mat_Sum!$F28)+($D$45*Mat_Sum!$AV28)+($D$46*Mat_Sum!$AR28)+($D$47*Mat_Sum!$AG28)+($D$48*((88%*Mat_Sum!$AG28)+(12%*0)))+($D$49*Mat_Sum!$CF28)+($D$50*Mat_Sum!$AN28)+($D$51*'C.Iron'!$I75)+($D$52*((80%*Mat_Sum!$U28)+(20%*Mat_Sum!$BA28)))+($D$53*Mat_Sum!$AW28)+($D$54*Mat_Sum!$AS28)+($D$55*Mat_Sum!$CQ28)+($D$56*Mat_Sum!$AQ28)+($D$57*Mat_Sum!$AO28)+($D$58*Mat_Sum!$AP28)+($D$59*Mat_Sum!$BJ28)+($D$60*Mat_Sum!$BI28)+($D$61*Mat_Sum!$AR28)+($D$62*0)+($D$63*Mat_Sum!$CF28)+($D$64*Mat_Sum!$BG28)+($D$65*Mat_Sum!$BI28)+($D$66*Mat_Sum!$U28)+($D$67*Mat_Sum!$BA28)+($D$68*Mat_Sum!$CP28)+($D$69*0)+($D$70*Mat_Sum!$AZ28)+($D$71*Mat_Sum!$AM28)+($D$72*0)))+($D$202*(($D$211*Mat_Sum!$D28)+($D$212*Mat_Sum!$BG28)+($D$213*Mat_Sum!$AV28)))</f>
        <v>0</v>
      </c>
      <c r="D392" s="2136">
        <f ca="1" xml:space="preserve"> $C$6*$D$11*(($D$74*Mat_Sum!$D28)+($D$75*Mat_Sum!$L28)+($D$76*Mat_Sum!$I28)+($D$77*Mat_Sum!$F28)+($D$78*Mat_Sum!$AV28)+($D$79*Mat_Sum!$AR28)+($D$80*Mat_Sum!$AG28)+($D$81*Mat_Sum!$AG28)+($D$82*Mat_Sum!$F28)+($D$83*0))</f>
        <v>1.7675310764290064</v>
      </c>
      <c r="E392" s="2136">
        <f ca="1" xml:space="preserve"> $C$6*$D$12*(($D$85*Mat_Sum!$D28)+($D$86*Mat_Sum!$F28)+($D$87*Mat_Sum!$L28)+($D$88*Mat_Sum!$I28)+($D$89*Mat_Sum!$AV28)+($D$90*Mat_Sum!$AR28)+($D$91*Mat_Sum!$AG28)+($D$92*Mat_Sum!$AG28)+($D$93*Mat_Sum!$F28)+($D$94*0))+($C$187*$B$187*$D$192*(($B$197*Mat_Sum!$D28)+($A$197*Mat_Sum!$AV28)))+($C$188*$B$188*$D$193*(($B$197*Mat_Sum!$D28)+($A$197*Mat_Sum!$AV28)))</f>
        <v>110.40440812912243</v>
      </c>
      <c r="F392" s="2136">
        <f ca="1" xml:space="preserve"> $C$6*$D$13*(($D$96*Mat_Sum!$D28)+($D$97*Mat_Sum!$L28)+($D$98*Mat_Sum!$AG28)+($D$99*0))</f>
        <v>6.1624696346649932</v>
      </c>
      <c r="G392" s="2136">
        <f ca="1" xml:space="preserve"> $C$6*$D$14*(($D$101*Mat_Sum!$D28)+($D$102*Mat_Sum!$L28)+($D$103*Mat_Sum!$AG28)+($D$104*0))</f>
        <v>0</v>
      </c>
      <c r="H392" s="2136">
        <f ca="1" xml:space="preserve"> $C$6*$D$15*(($D$106*Mat_Sum!$D28)+($D$107*Mat_Sum!$L28)+($D$108*Mat_Sum!$AG28)+($D$109*Mat_Sum!$AV28)+($D$110*Mat_Sum!$AR28)+($D$111*0))</f>
        <v>0.61964457507167481</v>
      </c>
      <c r="I392" s="2136">
        <f ca="1" xml:space="preserve"> $C$6*$D$17*(($D$113*Mat_Sum!$E28)+($D$114*Mat_Sum!$D28)+($D$115*Mat_Sum!$F28)+($D$116*Mat_Sum!$L28)+($D$117*Mat_Sum!$I28)+($D$118*0)+($D$119*Mat_Sum!$AV28)+($D$120*Mat_Sum!$AR28)+($D$121*Mat_Sum!$AG28)+($D$122*Mat_Sum!$AG28)+($D$123*Mat_Sum!$AS28)+($D$124*0)+($D$125*Mat_Sum!$E28)+($D$126*0))</f>
        <v>0</v>
      </c>
      <c r="J392" s="2136">
        <f ca="1">$C$6*$D$16*(($D$128*Mat_Sum!$AU28)+($D$129*Mat_Sum!$D28)+($D$130*Mat_Sum!$E28)+($D$131*Mat_Sum!$AS28)+($D$132*Mat_Sum!$I28)+($D$133*Mat_Sum!$AG28)+($D$134*Mat_Sum!$AQ28)+($D$135*Mat_Sum!$AO28)+($D$136*0))</f>
        <v>0</v>
      </c>
      <c r="K392" s="2406">
        <f ca="1" xml:space="preserve"> $C$6*$D$19*$D$138*Mat_Sum!$D28</f>
        <v>0</v>
      </c>
      <c r="L392" s="2223">
        <f t="shared" ca="1" si="11"/>
        <v>0.19849069201802946</v>
      </c>
      <c r="M392" s="2218">
        <f t="shared" ca="1" si="11"/>
        <v>0</v>
      </c>
      <c r="N392" s="2218">
        <f t="shared" ca="1" si="11"/>
        <v>1.190957827186716E-2</v>
      </c>
      <c r="O392" s="2218">
        <f t="shared" ca="1" si="11"/>
        <v>0.74390202113414594</v>
      </c>
      <c r="P392" s="2218">
        <f t="shared" ca="1" si="11"/>
        <v>4.1522559597834144E-2</v>
      </c>
      <c r="Q392" s="2218">
        <f t="shared" ca="1" si="11"/>
        <v>0</v>
      </c>
      <c r="R392" s="2218">
        <f t="shared" ca="1" si="11"/>
        <v>4.175148978123433E-3</v>
      </c>
      <c r="S392" s="2218">
        <f t="shared" ca="1" si="11"/>
        <v>0</v>
      </c>
      <c r="T392" s="2218">
        <f t="shared" ca="1" si="11"/>
        <v>0</v>
      </c>
      <c r="U392" s="2224">
        <f t="shared" ca="1" si="11"/>
        <v>0</v>
      </c>
      <c r="AI392" s="2299"/>
      <c r="AJ392" s="2299"/>
      <c r="AK392" s="2299"/>
      <c r="AL392" s="2299"/>
      <c r="AM392" s="2299"/>
      <c r="AN392" s="2299"/>
      <c r="AO392" s="2299"/>
      <c r="AP392" s="2299"/>
      <c r="AQ392" s="2299"/>
      <c r="AR392" s="2299"/>
    </row>
    <row r="393" spans="1:44">
      <c r="A393" s="2093" t="s">
        <v>828</v>
      </c>
      <c r="B393" s="2151">
        <f ca="1">($C$6*$D$18*(($D$24*Mat_Sum!$D29)+($D$25*Mat_Sum!$E29)+($D$26*Mat_Sum!$I29)+($D$27*Mat_Sum!$L29)+($D$28*Mat_Sum!$AR29)+($D$29*Mat_Sum!$AV29)+($D$30*Mat_Sum!$AS29)+($D$31*Mat_Sum!$AM29)+($D$32*Mat_Sum!$AG29)+($D$33*0)+($D$34*0)+($D$35*0)+($D$36*Mat_Sum!$CF29)+($D$37*Silicon!$K86)+($D$38*0)))+($D$201*(($D$207*Mat_Sum!$D29)+($D$208*Mat_Sum!$AV29)+($D$209*Mat_Sum!$AR29)))</f>
        <v>67.932920505094827</v>
      </c>
      <c r="C393" s="2136">
        <f ca="1">($C$6*$D$10*(($D$40*Mat_Sum!$E29)+($D$41*Mat_Sum!$D29)+($D$42*Mat_Sum!$L29)+($D$43*Mat_Sum!$I29)+($D$44*Mat_Sum!$F29)+($D$45*Mat_Sum!$AV29)+($D$46*Mat_Sum!$AR29)+($D$47*Mat_Sum!$AG29)+($D$48*((88%*Mat_Sum!$AG29)+(12%*0)))+($D$49*Mat_Sum!$CF29)+($D$50*Mat_Sum!$AN29)+($D$51*'C.Iron'!$I76)+($D$52*((80%*Mat_Sum!$U29)+(20%*Mat_Sum!$BA29)))+($D$53*Mat_Sum!$AW29)+($D$54*Mat_Sum!$AS29)+($D$55*Mat_Sum!$CQ29)+($D$56*Mat_Sum!$AQ29)+($D$57*Mat_Sum!$AO29)+($D$58*Mat_Sum!$AP29)+($D$59*Mat_Sum!$BJ29)+($D$60*Mat_Sum!$BI29)+($D$61*Mat_Sum!$AR29)+($D$62*0)+($D$63*Mat_Sum!$CF29)+($D$64*Mat_Sum!$BG29)+($D$65*Mat_Sum!$BI29)+($D$66*Mat_Sum!$U29)+($D$67*Mat_Sum!$BA29)+($D$68*Mat_Sum!$CP29)+($D$69*0)+($D$70*Mat_Sum!$AZ29)+($D$71*Mat_Sum!$AM29)+($D$72*0)))+($D$202*(($D$211*Mat_Sum!$D29)+($D$212*Mat_Sum!$BG29)+($D$213*Mat_Sum!$AV29)))</f>
        <v>0</v>
      </c>
      <c r="D393" s="2136">
        <f ca="1" xml:space="preserve"> $C$6*$D$11*(($D$74*Mat_Sum!$D29)+($D$75*Mat_Sum!$L29)+($D$76*Mat_Sum!$I29)+($D$77*Mat_Sum!$F29)+($D$78*Mat_Sum!$AV29)+($D$79*Mat_Sum!$AR29)+($D$80*Mat_Sum!$AG29)+($D$81*Mat_Sum!$AG29)+($D$82*Mat_Sum!$F29)+($D$83*0))</f>
        <v>4.7390137130687222</v>
      </c>
      <c r="E393" s="2136">
        <f ca="1" xml:space="preserve"> $C$6*$D$12*(($D$85*Mat_Sum!$D29)+($D$86*Mat_Sum!$F29)+($D$87*Mat_Sum!$L29)+($D$88*Mat_Sum!$I29)+($D$89*Mat_Sum!$AV29)+($D$90*Mat_Sum!$AR29)+($D$91*Mat_Sum!$AG29)+($D$92*Mat_Sum!$AG29)+($D$93*Mat_Sum!$F29)+($D$94*0))+($C$187*$B$187*$D$192*(($B$197*Mat_Sum!$D29)+($A$197*Mat_Sum!$AV29)))+($C$188*$B$188*$D$193*(($B$197*Mat_Sum!$D29)+($A$197*Mat_Sum!$AV29)))</f>
        <v>232.25443862145448</v>
      </c>
      <c r="F393" s="2136">
        <f ca="1" xml:space="preserve"> $C$6*$D$13*(($D$96*Mat_Sum!$D29)+($D$97*Mat_Sum!$L29)+($D$98*Mat_Sum!$AG29)+($D$99*0))</f>
        <v>10.430866699170837</v>
      </c>
      <c r="G393" s="2136">
        <f ca="1" xml:space="preserve"> $C$6*$D$14*(($D$101*Mat_Sum!$D29)+($D$102*Mat_Sum!$L29)+($D$103*Mat_Sum!$AG29)+($D$104*0))</f>
        <v>0</v>
      </c>
      <c r="H393" s="2136">
        <f ca="1" xml:space="preserve"> $C$6*$D$15*(($D$106*Mat_Sum!$D29)+($D$107*Mat_Sum!$L29)+($D$108*Mat_Sum!$AG29)+($D$109*Mat_Sum!$AV29)+($D$110*Mat_Sum!$AR29)+($D$111*0))</f>
        <v>1.221779853239374</v>
      </c>
      <c r="I393" s="2136">
        <f ca="1" xml:space="preserve"> $C$6*$D$17*(($D$113*Mat_Sum!$E29)+($D$114*Mat_Sum!$D29)+($D$115*Mat_Sum!$F29)+($D$116*Mat_Sum!$L29)+($D$117*Mat_Sum!$I29)+($D$118*0)+($D$119*Mat_Sum!$AV29)+($D$120*Mat_Sum!$AR29)+($D$121*Mat_Sum!$AG29)+($D$122*Mat_Sum!$AG29)+($D$123*Mat_Sum!$AS29)+($D$124*0)+($D$125*Mat_Sum!$E29)+($D$126*0))</f>
        <v>0</v>
      </c>
      <c r="J393" s="2136">
        <f ca="1">$C$6*$D$16*(($D$128*Mat_Sum!$AU29)+($D$129*Mat_Sum!$D29)+($D$130*Mat_Sum!$E29)+($D$131*Mat_Sum!$AS29)+($D$132*Mat_Sum!$I29)+($D$133*Mat_Sum!$AG29)+($D$134*Mat_Sum!$AQ29)+($D$135*Mat_Sum!$AO29)+($D$136*0))</f>
        <v>0</v>
      </c>
      <c r="K393" s="2406">
        <f ca="1" xml:space="preserve"> $C$6*$D$19*$D$138*Mat_Sum!$D29</f>
        <v>0</v>
      </c>
      <c r="L393" s="2223">
        <f t="shared" ca="1" si="11"/>
        <v>0.21458440497906681</v>
      </c>
      <c r="M393" s="2218">
        <f t="shared" ca="1" si="11"/>
        <v>0</v>
      </c>
      <c r="N393" s="2218">
        <f t="shared" ca="1" si="11"/>
        <v>1.4969449719598365E-2</v>
      </c>
      <c r="O393" s="2218">
        <f t="shared" ca="1" si="11"/>
        <v>0.73363812632778302</v>
      </c>
      <c r="P393" s="2218">
        <f t="shared" ca="1" si="11"/>
        <v>3.2948698619392772E-2</v>
      </c>
      <c r="Q393" s="2218">
        <f t="shared" ca="1" si="11"/>
        <v>0</v>
      </c>
      <c r="R393" s="2218">
        <f t="shared" ca="1" si="11"/>
        <v>3.8593203541590717E-3</v>
      </c>
      <c r="S393" s="2218">
        <f t="shared" ca="1" si="11"/>
        <v>0</v>
      </c>
      <c r="T393" s="2218">
        <f t="shared" ca="1" si="11"/>
        <v>0</v>
      </c>
      <c r="U393" s="2224">
        <f t="shared" ca="1" si="11"/>
        <v>0</v>
      </c>
      <c r="AI393" s="2299"/>
      <c r="AJ393" s="2299"/>
      <c r="AK393" s="2299"/>
      <c r="AL393" s="2299"/>
      <c r="AM393" s="2299"/>
      <c r="AN393" s="2299"/>
      <c r="AO393" s="2299"/>
      <c r="AP393" s="2299"/>
      <c r="AQ393" s="2299"/>
      <c r="AR393" s="2299"/>
    </row>
    <row r="394" spans="1:44" ht="15.75">
      <c r="A394" s="2093" t="s">
        <v>2546</v>
      </c>
      <c r="B394" s="2151">
        <f ca="1">($C$6*$D$18*(($D$24*Mat_Sum!$D30)+($D$25*Mat_Sum!$E30)+($D$26*Mat_Sum!$I30)+($D$27*Mat_Sum!$L30)+($D$28*Mat_Sum!$AR30)+($D$29*Mat_Sum!$AV30)+($D$30*Mat_Sum!$AS30)+($D$31*Mat_Sum!$AM30)+($D$32*Mat_Sum!$AG30)+($D$33*0)+($D$34*0)+($D$35*0)+($D$36*Mat_Sum!$CF30)+($D$37*Silicon!$K87)+($D$38*0)))+($D$201*(($D$207*Mat_Sum!$D30)+($D$208*Mat_Sum!$AV30)+($D$209*Mat_Sum!$AR30)))</f>
        <v>13876.955057921805</v>
      </c>
      <c r="C394" s="2136">
        <f ca="1">($C$6*$D$10*(($D$40*Mat_Sum!$E30)+($D$41*Mat_Sum!$D30)+($D$42*Mat_Sum!$L30)+($D$43*Mat_Sum!$I30)+($D$44*Mat_Sum!$F30)+($D$45*Mat_Sum!$AV30)+($D$46*Mat_Sum!$AR30)+($D$47*Mat_Sum!$AG30)+($D$48*((88%*Mat_Sum!$AG30)+(12%*0)))+($D$49*Mat_Sum!$CF30)+($D$50*Mat_Sum!$AN30)+($D$51*'C.Iron'!$I77)+($D$52*((80%*Mat_Sum!$U30)+(20%*Mat_Sum!$BA30)))+($D$53*Mat_Sum!$AW30)+($D$54*Mat_Sum!$AS30)+($D$55*Mat_Sum!$CQ30)+($D$56*Mat_Sum!$AQ30)+($D$57*Mat_Sum!$AO30)+($D$58*Mat_Sum!$AP30)+($D$59*Mat_Sum!$BJ30)+($D$60*Mat_Sum!$BI30)+($D$61*Mat_Sum!$AR30)+($D$62*0)+($D$63*Mat_Sum!$CF30)+($D$64*Mat_Sum!$BG30)+($D$65*Mat_Sum!$BI30)+($D$66*Mat_Sum!$U30)+($D$67*Mat_Sum!$BA30)+($D$68*Mat_Sum!$CP30)+($D$69*0)+($D$70*Mat_Sum!$AZ30)+($D$71*Mat_Sum!$AM30)+($D$72*0)))+($D$202*(($D$211*Mat_Sum!$D30)+($D$212*Mat_Sum!$BG30)+($D$213*Mat_Sum!$AV30)))</f>
        <v>0</v>
      </c>
      <c r="D394" s="2136">
        <f ca="1" xml:space="preserve"> $C$6*$D$11*(($D$74*Mat_Sum!$D30)+($D$75*Mat_Sum!$L30)+($D$76*Mat_Sum!$I30)+($D$77*Mat_Sum!$F30)+($D$78*Mat_Sum!$AV30)+($D$79*Mat_Sum!$AR30)+($D$80*Mat_Sum!$AG30)+($D$81*Mat_Sum!$AG30)+($D$82*Mat_Sum!$F30)+($D$83*0))</f>
        <v>911.82572164697399</v>
      </c>
      <c r="E394" s="2136">
        <f ca="1" xml:space="preserve"> $C$6*$D$12*(($D$85*Mat_Sum!$D30)+($D$86*Mat_Sum!$F30)+($D$87*Mat_Sum!$L30)+($D$88*Mat_Sum!$I30)+($D$89*Mat_Sum!$AV30)+($D$90*Mat_Sum!$AR30)+($D$91*Mat_Sum!$AG30)+($D$92*Mat_Sum!$AG30)+($D$93*Mat_Sum!$F30)+($D$94*0))+($C$187*$B$187*$D$192*(($B$197*Mat_Sum!$D30)+($A$197*Mat_Sum!$AV30)))+($C$188*$B$188*$D$193*(($B$197*Mat_Sum!$D30)+($A$197*Mat_Sum!$AV30)))</f>
        <v>34024.182977170465</v>
      </c>
      <c r="F394" s="2136">
        <f ca="1" xml:space="preserve"> $C$6*$D$13*(($D$96*Mat_Sum!$D30)+($D$97*Mat_Sum!$L30)+($D$98*Mat_Sum!$AG30)+($D$99*0))</f>
        <v>1470.602093319362</v>
      </c>
      <c r="G394" s="2136">
        <f ca="1" xml:space="preserve"> $C$6*$D$14*(($D$101*Mat_Sum!$D30)+($D$102*Mat_Sum!$L30)+($D$103*Mat_Sum!$AG30)+($D$104*0))</f>
        <v>0</v>
      </c>
      <c r="H394" s="2136">
        <f ca="1" xml:space="preserve"> $C$6*$D$15*(($D$106*Mat_Sum!$D30)+($D$107*Mat_Sum!$L30)+($D$108*Mat_Sum!$AG30)+($D$109*Mat_Sum!$AV30)+($D$110*Mat_Sum!$AR30)+($D$111*0))</f>
        <v>260.13381383072772</v>
      </c>
      <c r="I394" s="2136">
        <f ca="1" xml:space="preserve"> $C$6*$D$17*(($D$113*Mat_Sum!$E30)+($D$114*Mat_Sum!$D30)+($D$115*Mat_Sum!$F30)+($D$116*Mat_Sum!$L30)+($D$117*Mat_Sum!$I30)+($D$118*0)+($D$119*Mat_Sum!$AV30)+($D$120*Mat_Sum!$AR30)+($D$121*Mat_Sum!$AG30)+($D$122*Mat_Sum!$AG30)+($D$123*Mat_Sum!$AS30)+($D$124*0)+($D$125*Mat_Sum!$E30)+($D$126*0))</f>
        <v>0</v>
      </c>
      <c r="J394" s="2136">
        <f ca="1">$C$6*$D$16*(($D$128*Mat_Sum!$AU30)+($D$129*Mat_Sum!$D30)+($D$130*Mat_Sum!$E30)+($D$131*Mat_Sum!$AS30)+($D$132*Mat_Sum!$I30)+($D$133*Mat_Sum!$AG30)+($D$134*Mat_Sum!$AQ30)+($D$135*Mat_Sum!$AO30)+($D$136*0))</f>
        <v>0</v>
      </c>
      <c r="K394" s="2406">
        <f ca="1" xml:space="preserve"> $C$6*$D$19*$D$138*Mat_Sum!$D30</f>
        <v>0</v>
      </c>
      <c r="L394" s="2223">
        <f t="shared" ca="1" si="11"/>
        <v>0.27455360708064908</v>
      </c>
      <c r="M394" s="2218">
        <f t="shared" ca="1" si="11"/>
        <v>0</v>
      </c>
      <c r="N394" s="2218">
        <f t="shared" ca="1" si="11"/>
        <v>1.8040343855129842E-2</v>
      </c>
      <c r="O394" s="2218">
        <f t="shared" ca="1" si="11"/>
        <v>0.67316368218844214</v>
      </c>
      <c r="P394" s="2218">
        <f t="shared" ca="1" si="11"/>
        <v>2.9095655899720886E-2</v>
      </c>
      <c r="Q394" s="2218">
        <f t="shared" ca="1" si="11"/>
        <v>0</v>
      </c>
      <c r="R394" s="2218">
        <f t="shared" ca="1" si="11"/>
        <v>5.1467109760581879E-3</v>
      </c>
      <c r="S394" s="2218">
        <f t="shared" ca="1" si="11"/>
        <v>0</v>
      </c>
      <c r="T394" s="2218">
        <f t="shared" ca="1" si="11"/>
        <v>0</v>
      </c>
      <c r="U394" s="2224">
        <f t="shared" ca="1" si="11"/>
        <v>0</v>
      </c>
      <c r="AI394" s="2299"/>
      <c r="AJ394" s="2299"/>
      <c r="AK394" s="2299"/>
      <c r="AL394" s="2299"/>
      <c r="AM394" s="2299"/>
      <c r="AN394" s="2299"/>
      <c r="AO394" s="2299"/>
      <c r="AP394" s="2299"/>
      <c r="AQ394" s="2299"/>
      <c r="AR394" s="2299"/>
    </row>
    <row r="395" spans="1:44" ht="15.75">
      <c r="A395" s="2093" t="s">
        <v>2547</v>
      </c>
      <c r="B395" s="2151">
        <f ca="1">($C$6*$D$18*(($D$24*Mat_Sum!$D31)+($D$25*Mat_Sum!$E31)+($D$26*Mat_Sum!$I31)+($D$27*Mat_Sum!$L31)+($D$28*Mat_Sum!$AR31)+($D$29*Mat_Sum!$AV31)+($D$30*Mat_Sum!$AS31)+($D$31*Mat_Sum!$AM31)+($D$32*Mat_Sum!$AG31)+($D$33*0)+($D$34*0)+($D$35*0)+($D$36*Mat_Sum!$CF31)+($D$37*Silicon!$K88)+($D$38*0)))+($D$201*(($D$207*Mat_Sum!$D31)+($D$208*Mat_Sum!$AV31)+($D$209*Mat_Sum!$AR31)))</f>
        <v>136.07590951831568</v>
      </c>
      <c r="C395" s="2136">
        <f ca="1">($C$6*$D$10*(($D$40*Mat_Sum!$E31)+($D$41*Mat_Sum!$D31)+($D$42*Mat_Sum!$L31)+($D$43*Mat_Sum!$I31)+($D$44*Mat_Sum!$F31)+($D$45*Mat_Sum!$AV31)+($D$46*Mat_Sum!$AR31)+($D$47*Mat_Sum!$AG31)+($D$48*((88%*Mat_Sum!$AG31)+(12%*0)))+($D$49*Mat_Sum!$CF31)+($D$50*Mat_Sum!$AN31)+($D$51*'C.Iron'!$I78)+($D$52*((80%*Mat_Sum!$U31)+(20%*Mat_Sum!$BA31)))+($D$53*Mat_Sum!$AW31)+($D$54*Mat_Sum!$AS31)+($D$55*Mat_Sum!$CQ31)+($D$56*Mat_Sum!$AQ31)+($D$57*Mat_Sum!$AO31)+($D$58*Mat_Sum!$AP31)+($D$59*Mat_Sum!$BJ31)+($D$60*Mat_Sum!$BI31)+($D$61*Mat_Sum!$AR31)+($D$62*0)+($D$63*Mat_Sum!$CF31)+($D$64*Mat_Sum!$BG31)+($D$65*Mat_Sum!$BI31)+($D$66*Mat_Sum!$U31)+($D$67*Mat_Sum!$BA31)+($D$68*Mat_Sum!$CP31)+($D$69*0)+($D$70*Mat_Sum!$AZ31)+($D$71*Mat_Sum!$AM31)+($D$72*0)))+($D$202*(($D$211*Mat_Sum!$D31)+($D$212*Mat_Sum!$BG31)+($D$213*Mat_Sum!$AV31)))</f>
        <v>0</v>
      </c>
      <c r="D395" s="2136">
        <f ca="1" xml:space="preserve"> $C$6*$D$11*(($D$74*Mat_Sum!$D31)+($D$75*Mat_Sum!$L31)+($D$76*Mat_Sum!$I31)+($D$77*Mat_Sum!$F31)+($D$78*Mat_Sum!$AV31)+($D$79*Mat_Sum!$AR31)+($D$80*Mat_Sum!$AG31)+($D$81*Mat_Sum!$AG31)+($D$82*Mat_Sum!$F31)+($D$83*0))</f>
        <v>6.3444454821156162</v>
      </c>
      <c r="E395" s="2136">
        <f ca="1" xml:space="preserve"> $C$6*$D$12*(($D$85*Mat_Sum!$D31)+($D$86*Mat_Sum!$F31)+($D$87*Mat_Sum!$L31)+($D$88*Mat_Sum!$I31)+($D$89*Mat_Sum!$AV31)+($D$90*Mat_Sum!$AR31)+($D$91*Mat_Sum!$AG31)+($D$92*Mat_Sum!$AG31)+($D$93*Mat_Sum!$F31)+($D$94*0))+($C$187*$B$187*$D$192*(($B$197*Mat_Sum!$D31)+($A$197*Mat_Sum!$AV31)))+($C$188*$B$188*$D$193*(($B$197*Mat_Sum!$D31)+($A$197*Mat_Sum!$AV31)))</f>
        <v>281.79489909994754</v>
      </c>
      <c r="F395" s="2136">
        <f ca="1" xml:space="preserve"> $C$6*$D$13*(($D$96*Mat_Sum!$D31)+($D$97*Mat_Sum!$L31)+($D$98*Mat_Sum!$AG31)+($D$99*0))</f>
        <v>13.479587828589322</v>
      </c>
      <c r="G395" s="2136">
        <f ca="1" xml:space="preserve"> $C$6*$D$14*(($D$101*Mat_Sum!$D31)+($D$102*Mat_Sum!$L31)+($D$103*Mat_Sum!$AG31)+($D$104*0))</f>
        <v>0</v>
      </c>
      <c r="H395" s="2136">
        <f ca="1" xml:space="preserve"> $C$6*$D$15*(($D$106*Mat_Sum!$D31)+($D$107*Mat_Sum!$L31)+($D$108*Mat_Sum!$AG31)+($D$109*Mat_Sum!$AV31)+($D$110*Mat_Sum!$AR31)+($D$111*0))</f>
        <v>2.8760151678480494</v>
      </c>
      <c r="I395" s="2136">
        <f ca="1" xml:space="preserve"> $C$6*$D$17*(($D$113*Mat_Sum!$E31)+($D$114*Mat_Sum!$D31)+($D$115*Mat_Sum!$F31)+($D$116*Mat_Sum!$L31)+($D$117*Mat_Sum!$I31)+($D$118*0)+($D$119*Mat_Sum!$AV31)+($D$120*Mat_Sum!$AR31)+($D$121*Mat_Sum!$AG31)+($D$122*Mat_Sum!$AG31)+($D$123*Mat_Sum!$AS31)+($D$124*0)+($D$125*Mat_Sum!$E31)+($D$126*0))</f>
        <v>0</v>
      </c>
      <c r="J395" s="2136">
        <f ca="1">$C$6*$D$16*(($D$128*Mat_Sum!$AU31)+($D$129*Mat_Sum!$D31)+($D$130*Mat_Sum!$E31)+($D$131*Mat_Sum!$AS31)+($D$132*Mat_Sum!$I31)+($D$133*Mat_Sum!$AG31)+($D$134*Mat_Sum!$AQ31)+($D$135*Mat_Sum!$AO31)+($D$136*0))</f>
        <v>0</v>
      </c>
      <c r="K395" s="2406">
        <f ca="1" xml:space="preserve"> $C$6*$D$19*$D$138*Mat_Sum!$D31</f>
        <v>0</v>
      </c>
      <c r="L395" s="2223">
        <f t="shared" ca="1" si="11"/>
        <v>0.3088627114716595</v>
      </c>
      <c r="M395" s="2218">
        <f t="shared" ca="1" si="11"/>
        <v>0</v>
      </c>
      <c r="N395" s="2218">
        <f t="shared" ca="1" si="11"/>
        <v>1.4400511018642826E-2</v>
      </c>
      <c r="O395" s="2218">
        <f t="shared" ca="1" si="11"/>
        <v>0.63961311684767796</v>
      </c>
      <c r="P395" s="2218">
        <f t="shared" ca="1" si="11"/>
        <v>3.0595731904316945E-2</v>
      </c>
      <c r="Q395" s="2218">
        <f t="shared" ca="1" si="11"/>
        <v>0</v>
      </c>
      <c r="R395" s="2218">
        <f t="shared" ca="1" si="11"/>
        <v>6.527928757702737E-3</v>
      </c>
      <c r="S395" s="2218">
        <f t="shared" ca="1" si="11"/>
        <v>0</v>
      </c>
      <c r="T395" s="2218">
        <f t="shared" ca="1" si="11"/>
        <v>0</v>
      </c>
      <c r="U395" s="2224">
        <f t="shared" ca="1" si="11"/>
        <v>0</v>
      </c>
      <c r="AI395" s="2299"/>
      <c r="AJ395" s="2299"/>
      <c r="AK395" s="2299"/>
      <c r="AL395" s="2299"/>
      <c r="AM395" s="2299"/>
      <c r="AN395" s="2299"/>
      <c r="AO395" s="2299"/>
      <c r="AP395" s="2299"/>
      <c r="AQ395" s="2299"/>
      <c r="AR395" s="2299"/>
    </row>
    <row r="396" spans="1:44" ht="15.75">
      <c r="A396" s="2093" t="s">
        <v>2548</v>
      </c>
      <c r="B396" s="2318">
        <f ca="1">($C$6*$D$18*(($D$24*Mat_Sum!$D32)+($D$25*Mat_Sum!$E32)+($D$26*Mat_Sum!$I32)+($D$27*Mat_Sum!$L32)+($D$28*Mat_Sum!$AR32)+($D$29*Mat_Sum!$AV32)+($D$30*Mat_Sum!$AS32)+($D$31*Mat_Sum!$AM32)+($D$32*Mat_Sum!$AG32)+($D$33*0)+($D$34*0)+($D$35*0)+($D$36*Mat_Sum!$CF32)+($D$37*Silicon!$K89)+($D$38*0)))+($D$201*(($D$207*Mat_Sum!$D32)+($D$208*Mat_Sum!$AV32)+($D$209*Mat_Sum!$AR32)))</f>
        <v>4385722.6365885912</v>
      </c>
      <c r="C396" s="2144">
        <f ca="1">($C$6*$D$10*(($D$40*Mat_Sum!$E32)+($D$41*Mat_Sum!$D32)+($D$42*Mat_Sum!$L32)+($D$43*Mat_Sum!$I32)+($D$44*Mat_Sum!$F32)+($D$45*Mat_Sum!$AV32)+($D$46*Mat_Sum!$AR32)+($D$47*Mat_Sum!$AG32)+($D$48*((88%*Mat_Sum!$AG32)+(12%*0)))+($D$49*Mat_Sum!$CF32)+($D$50*Mat_Sum!$AN32)+($D$51*'C.Iron'!$I79)+($D$52*((80%*Mat_Sum!$U32)+(20%*Mat_Sum!$BA32)))+($D$53*Mat_Sum!$AW32)+($D$54*Mat_Sum!$AS32)+($D$55*Mat_Sum!$CQ32)+($D$56*Mat_Sum!$AQ32)+($D$57*Mat_Sum!$AO32)+($D$58*Mat_Sum!$AP32)+($D$59*Mat_Sum!$BJ32)+($D$60*Mat_Sum!$BI32)+($D$61*Mat_Sum!$AR32)+($D$62*0)+($D$63*Mat_Sum!$CF32)+($D$64*Mat_Sum!$BG32)+($D$65*Mat_Sum!$BI32)+($D$66*Mat_Sum!$U32)+($D$67*Mat_Sum!$BA32)+($D$68*Mat_Sum!$CP32)+($D$69*0)+($D$70*Mat_Sum!$AZ32)+($D$71*Mat_Sum!$AM32)+($D$72*0)))+($D$202*(($D$211*Mat_Sum!$D32)+($D$212*Mat_Sum!$BG32)+($D$213*Mat_Sum!$AV32)))</f>
        <v>0</v>
      </c>
      <c r="D396" s="2144">
        <f ca="1" xml:space="preserve"> $C$6*$D$11*(($D$74*Mat_Sum!$D32)+($D$75*Mat_Sum!$L32)+($D$76*Mat_Sum!$I32)+($D$77*Mat_Sum!$F32)+($D$78*Mat_Sum!$AV32)+($D$79*Mat_Sum!$AR32)+($D$80*Mat_Sum!$AG32)+($D$81*Mat_Sum!$AG32)+($D$82*Mat_Sum!$F32)+($D$83*0))</f>
        <v>400960.35578283953</v>
      </c>
      <c r="E396" s="2144">
        <f ca="1" xml:space="preserve"> $C$6*$D$12*(($D$85*Mat_Sum!$D32)+($D$86*Mat_Sum!$F32)+($D$87*Mat_Sum!$L32)+($D$88*Mat_Sum!$I32)+($D$89*Mat_Sum!$AV32)+($D$90*Mat_Sum!$AR32)+($D$91*Mat_Sum!$AG32)+($D$92*Mat_Sum!$AG32)+($D$93*Mat_Sum!$F32)+($D$94*0))+($C$187*$B$187*$D$192*(($B$197*Mat_Sum!$D32)+($A$197*Mat_Sum!$AV32)))+($C$188*$B$188*$D$193*(($B$197*Mat_Sum!$D32)+($A$197*Mat_Sum!$AV32)))</f>
        <v>17013405.553084143</v>
      </c>
      <c r="F396" s="2144">
        <f ca="1" xml:space="preserve"> $C$6*$D$13*(($D$96*Mat_Sum!$D32)+($D$97*Mat_Sum!$L32)+($D$98*Mat_Sum!$AG32)+($D$99*0))</f>
        <v>707762.74945196253</v>
      </c>
      <c r="G396" s="2144">
        <f ca="1" xml:space="preserve"> $C$6*$D$14*(($D$101*Mat_Sum!$D32)+($D$102*Mat_Sum!$L32)+($D$103*Mat_Sum!$AG32)+($D$104*0))</f>
        <v>0</v>
      </c>
      <c r="H396" s="2144">
        <f ca="1" xml:space="preserve"> $C$6*$D$15*(($D$106*Mat_Sum!$D32)+($D$107*Mat_Sum!$L32)+($D$108*Mat_Sum!$AG32)+($D$109*Mat_Sum!$AV32)+($D$110*Mat_Sum!$AR32)+($D$111*0))</f>
        <v>71718.197838582564</v>
      </c>
      <c r="I396" s="2144">
        <f ca="1" xml:space="preserve"> $C$6*$D$17*(($D$113*Mat_Sum!$E32)+($D$114*Mat_Sum!$D32)+($D$115*Mat_Sum!$F32)+($D$116*Mat_Sum!$L32)+($D$117*Mat_Sum!$I32)+($D$118*0)+($D$119*Mat_Sum!$AV32)+($D$120*Mat_Sum!$AR32)+($D$121*Mat_Sum!$AG32)+($D$122*Mat_Sum!$AG32)+($D$123*Mat_Sum!$AS32)+($D$124*0)+($D$125*Mat_Sum!$E32)+($D$126*0))</f>
        <v>0</v>
      </c>
      <c r="J396" s="2144">
        <f ca="1">$C$6*$D$16*(($D$128*Mat_Sum!$AU32)+($D$129*Mat_Sum!$D32)+($D$130*Mat_Sum!$E32)+($D$131*Mat_Sum!$AS32)+($D$132*Mat_Sum!$I32)+($D$133*Mat_Sum!$AG32)+($D$134*Mat_Sum!$AQ32)+($D$135*Mat_Sum!$AO32)+($D$136*0))</f>
        <v>0</v>
      </c>
      <c r="K396" s="2406">
        <f ca="1" xml:space="preserve"> $C$6*$D$19*$D$138*Mat_Sum!$D32</f>
        <v>0</v>
      </c>
      <c r="L396" s="2223">
        <f t="shared" ca="1" si="11"/>
        <v>0.19423411230216511</v>
      </c>
      <c r="M396" s="2218">
        <f t="shared" ca="1" si="11"/>
        <v>0</v>
      </c>
      <c r="N396" s="2218">
        <f t="shared" ca="1" si="11"/>
        <v>1.775766167338361E-2</v>
      </c>
      <c r="O396" s="2218">
        <f t="shared" ca="1" si="11"/>
        <v>0.75348671100881026</v>
      </c>
      <c r="P396" s="2218">
        <f t="shared" ca="1" si="11"/>
        <v>3.1345272091185684E-2</v>
      </c>
      <c r="Q396" s="2218">
        <f t="shared" ca="1" si="11"/>
        <v>0</v>
      </c>
      <c r="R396" s="2218">
        <f t="shared" ca="1" si="11"/>
        <v>3.1762429244553423E-3</v>
      </c>
      <c r="S396" s="2218">
        <f t="shared" ca="1" si="11"/>
        <v>0</v>
      </c>
      <c r="T396" s="2218">
        <f t="shared" ca="1" si="11"/>
        <v>0</v>
      </c>
      <c r="U396" s="2224">
        <f t="shared" ca="1" si="11"/>
        <v>0</v>
      </c>
      <c r="AI396" s="2299"/>
      <c r="AJ396" s="2299"/>
      <c r="AK396" s="2299"/>
      <c r="AL396" s="2299"/>
      <c r="AM396" s="2299"/>
      <c r="AN396" s="2299"/>
      <c r="AO396" s="2299"/>
      <c r="AP396" s="2299"/>
      <c r="AQ396" s="2299"/>
      <c r="AR396" s="2299"/>
    </row>
    <row r="397" spans="1:44" ht="15.75">
      <c r="A397" s="2093" t="s">
        <v>2550</v>
      </c>
      <c r="B397" s="2318">
        <f ca="1">($C$6*$D$18*(($D$24*Mat_Sum!$D33)+($D$25*Mat_Sum!$E33)+($D$26*Mat_Sum!$I33)+($D$27*Mat_Sum!$L33)+($D$28*Mat_Sum!$AR33)+($D$29*Mat_Sum!$AV33)+($D$30*Mat_Sum!$AS33)+($D$31*Mat_Sum!$AM33)+($D$32*Mat_Sum!$AG33)+($D$33*0)+($D$34*0)+($D$35*0)+($D$36*Mat_Sum!$CF33)+($D$37*Silicon!$K90)+($D$38*0)))+($D$201*(($D$207*Mat_Sum!$D33)+($D$208*Mat_Sum!$AV33)+($D$209*Mat_Sum!$AR33)))</f>
        <v>4411865.9527811101</v>
      </c>
      <c r="C397" s="2144">
        <f ca="1">($C$6*$D$10*(($D$40*Mat_Sum!$E33)+($D$41*Mat_Sum!$D33)+($D$42*Mat_Sum!$L33)+($D$43*Mat_Sum!$I33)+($D$44*Mat_Sum!$F33)+($D$45*Mat_Sum!$AV33)+($D$46*Mat_Sum!$AR33)+($D$47*Mat_Sum!$AG33)+($D$48*((88%*Mat_Sum!$AG33)+(12%*0)))+($D$49*Mat_Sum!$CF33)+($D$50*Mat_Sum!$AN33)+($D$51*'C.Iron'!$I80)+($D$52*((80%*Mat_Sum!$U33)+(20%*Mat_Sum!$BA33)))+($D$53*Mat_Sum!$AW33)+($D$54*Mat_Sum!$AS33)+($D$55*Mat_Sum!$CQ33)+($D$56*Mat_Sum!$AQ33)+($D$57*Mat_Sum!$AO33)+($D$58*Mat_Sum!$AP33)+($D$59*Mat_Sum!$BJ33)+($D$60*Mat_Sum!$BI33)+($D$61*Mat_Sum!$AR33)+($D$62*0)+($D$63*Mat_Sum!$CF33)+($D$64*Mat_Sum!$BG33)+($D$65*Mat_Sum!$BI33)+($D$66*Mat_Sum!$U33)+($D$67*Mat_Sum!$BA33)+($D$68*Mat_Sum!$CP33)+($D$69*0)+($D$70*Mat_Sum!$AZ33)+($D$71*Mat_Sum!$AM33)+($D$72*0)))+($D$202*(($D$211*Mat_Sum!$D33)+($D$212*Mat_Sum!$BG33)+($D$213*Mat_Sum!$AV33)))</f>
        <v>0</v>
      </c>
      <c r="D397" s="2144">
        <f ca="1" xml:space="preserve"> $C$6*$D$11*(($D$74*Mat_Sum!$D33)+($D$75*Mat_Sum!$L33)+($D$76*Mat_Sum!$I33)+($D$77*Mat_Sum!$F33)+($D$78*Mat_Sum!$AV33)+($D$79*Mat_Sum!$AR33)+($D$80*Mat_Sum!$AG33)+($D$81*Mat_Sum!$AG33)+($D$82*Mat_Sum!$F33)+($D$83*0))</f>
        <v>407162.30203907122</v>
      </c>
      <c r="E397" s="2144">
        <f ca="1" xml:space="preserve"> $C$6*$D$12*(($D$85*Mat_Sum!$D33)+($D$86*Mat_Sum!$F33)+($D$87*Mat_Sum!$L33)+($D$88*Mat_Sum!$I33)+($D$89*Mat_Sum!$AV33)+($D$90*Mat_Sum!$AR33)+($D$91*Mat_Sum!$AG33)+($D$92*Mat_Sum!$AG33)+($D$93*Mat_Sum!$F33)+($D$94*0))+($C$187*$B$187*$D$192*(($B$197*Mat_Sum!$D33)+($A$197*Mat_Sum!$AV33)))+($C$188*$B$188*$D$193*(($B$197*Mat_Sum!$D33)+($A$197*Mat_Sum!$AV33)))</f>
        <v>17219823.890259717</v>
      </c>
      <c r="F397" s="2144">
        <f ca="1" xml:space="preserve"> $C$6*$D$13*(($D$96*Mat_Sum!$D33)+($D$97*Mat_Sum!$L33)+($D$98*Mat_Sum!$AG33)+($D$99*0))</f>
        <v>712302.73757902486</v>
      </c>
      <c r="G397" s="2144">
        <f ca="1" xml:space="preserve"> $C$6*$D$14*(($D$101*Mat_Sum!$D33)+($D$102*Mat_Sum!$L33)+($D$103*Mat_Sum!$AG33)+($D$104*0))</f>
        <v>0</v>
      </c>
      <c r="H397" s="2144">
        <f ca="1" xml:space="preserve"> $C$6*$D$15*(($D$106*Mat_Sum!$D33)+($D$107*Mat_Sum!$L33)+($D$108*Mat_Sum!$AG33)+($D$109*Mat_Sum!$AV33)+($D$110*Mat_Sum!$AR33)+($D$111*0))</f>
        <v>71959.651082619879</v>
      </c>
      <c r="I397" s="2144">
        <f ca="1" xml:space="preserve"> $C$6*$D$17*(($D$113*Mat_Sum!$E33)+($D$114*Mat_Sum!$D33)+($D$115*Mat_Sum!$F33)+($D$116*Mat_Sum!$L33)+($D$117*Mat_Sum!$I33)+($D$118*0)+($D$119*Mat_Sum!$AV33)+($D$120*Mat_Sum!$AR33)+($D$121*Mat_Sum!$AG33)+($D$122*Mat_Sum!$AG33)+($D$123*Mat_Sum!$AS33)+($D$124*0)+($D$125*Mat_Sum!$E33)+($D$126*0))</f>
        <v>0</v>
      </c>
      <c r="J397" s="2144">
        <f ca="1">$C$6*$D$16*(($D$128*Mat_Sum!$AU33)+($D$129*Mat_Sum!$D33)+($D$130*Mat_Sum!$E33)+($D$131*Mat_Sum!$AS33)+($D$132*Mat_Sum!$I33)+($D$133*Mat_Sum!$AG33)+($D$134*Mat_Sum!$AQ33)+($D$135*Mat_Sum!$AO33)+($D$136*0))</f>
        <v>0</v>
      </c>
      <c r="K397" s="2406">
        <f ca="1" xml:space="preserve"> $C$6*$D$19*$D$138*Mat_Sum!$D33</f>
        <v>0</v>
      </c>
      <c r="L397" s="2223">
        <f t="shared" ca="1" si="11"/>
        <v>0.19330691901224242</v>
      </c>
      <c r="M397" s="2218">
        <f t="shared" ca="1" si="11"/>
        <v>0</v>
      </c>
      <c r="N397" s="2218">
        <f t="shared" ca="1" si="11"/>
        <v>1.7839909686170358E-2</v>
      </c>
      <c r="O397" s="2218">
        <f t="shared" ca="1" si="11"/>
        <v>0.75449053479541717</v>
      </c>
      <c r="P397" s="2218">
        <f t="shared" ca="1" si="11"/>
        <v>3.1209707883030648E-2</v>
      </c>
      <c r="Q397" s="2218">
        <f t="shared" ca="1" si="11"/>
        <v>0</v>
      </c>
      <c r="R397" s="2218">
        <f t="shared" ca="1" si="11"/>
        <v>3.1529286231392825E-3</v>
      </c>
      <c r="S397" s="2218">
        <f t="shared" ca="1" si="11"/>
        <v>0</v>
      </c>
      <c r="T397" s="2218">
        <f t="shared" ca="1" si="11"/>
        <v>0</v>
      </c>
      <c r="U397" s="2224">
        <f t="shared" ca="1" si="11"/>
        <v>0</v>
      </c>
      <c r="AI397" s="2299"/>
      <c r="AJ397" s="2299"/>
      <c r="AK397" s="2299"/>
      <c r="AL397" s="2299"/>
      <c r="AM397" s="2299"/>
      <c r="AN397" s="2299"/>
      <c r="AO397" s="2299"/>
      <c r="AP397" s="2299"/>
      <c r="AQ397" s="2299"/>
      <c r="AR397" s="2299"/>
    </row>
    <row r="398" spans="1:44">
      <c r="A398" s="2142" t="s">
        <v>851</v>
      </c>
      <c r="B398" s="2399">
        <f ca="1">($C$6*$D$18*(($D$24*Mat_Sum!$D34)+($D$25*Mat_Sum!$E34)+($D$26*Mat_Sum!$I34)+($D$27*Mat_Sum!$L34)+($D$28*Mat_Sum!$AR34)+($D$29*Mat_Sum!$AV34)+($D$30*Mat_Sum!$AS34)+($D$31*Mat_Sum!$AM34)+($D$32*Mat_Sum!$AG34)+($D$33*0)+($D$34*0)+($D$35*0)+($D$36*Mat_Sum!$CF34)+($D$37*Silicon!$K91)+($D$38*0)))+($D$201*(($D$207*Mat_Sum!$D34)+($D$208*Mat_Sum!$AV34)+($D$209*Mat_Sum!$AR34)))</f>
        <v>4963480.0479353638</v>
      </c>
      <c r="C398" s="2272">
        <f ca="1">($C$6*$D$10*(($D$40*Mat_Sum!$E34)+($D$41*Mat_Sum!$D34)+($D$42*Mat_Sum!$L34)+($D$43*Mat_Sum!$I34)+($D$44*Mat_Sum!$F34)+($D$45*Mat_Sum!$AV34)+($D$46*Mat_Sum!$AR34)+($D$47*Mat_Sum!$AG34)+($D$48*((88%*Mat_Sum!$AG34)+(12%*0)))+($D$49*Mat_Sum!$CF34)+($D$50*Mat_Sum!$AN34)+($D$51*'C.Iron'!$I81)+($D$52*((80%*Mat_Sum!$U34)+(20%*Mat_Sum!$BA34)))+($D$53*Mat_Sum!$AW34)+($D$54*Mat_Sum!$AS34)+($D$55*Mat_Sum!$CQ34)+($D$56*Mat_Sum!$AQ34)+($D$57*Mat_Sum!$AO34)+($D$58*Mat_Sum!$AP34)+($D$59*Mat_Sum!$BJ34)+($D$60*Mat_Sum!$BI34)+($D$61*Mat_Sum!$AR34)+($D$62*0)+($D$63*Mat_Sum!$CF34)+($D$64*Mat_Sum!$BG34)+($D$65*Mat_Sum!$BI34)+($D$66*Mat_Sum!$U34)+($D$67*Mat_Sum!$BA34)+($D$68*Mat_Sum!$CP34)+($D$69*0)+($D$70*Mat_Sum!$AZ34)+($D$71*Mat_Sum!$AM34)+($D$72*0)))+($D$202*(($D$211*Mat_Sum!$D34)+($D$212*Mat_Sum!$BG34)+($D$213*Mat_Sum!$AV34)))</f>
        <v>0</v>
      </c>
      <c r="D398" s="2144">
        <f ca="1" xml:space="preserve"> $C$6*$D$11*(($D$74*Mat_Sum!$D34)+($D$75*Mat_Sum!$L34)+($D$76*Mat_Sum!$I34)+($D$77*Mat_Sum!$F34)+($D$78*Mat_Sum!$AV34)+($D$79*Mat_Sum!$AR34)+($D$80*Mat_Sum!$AG34)+($D$81*Mat_Sum!$AG34)+($D$82*Mat_Sum!$F34)+($D$83*0))</f>
        <v>436279.63732536434</v>
      </c>
      <c r="E398" s="2144">
        <f ca="1" xml:space="preserve"> $C$6*$D$12*(($D$85*Mat_Sum!$D34)+($D$86*Mat_Sum!$F34)+($D$87*Mat_Sum!$L34)+($D$88*Mat_Sum!$I34)+($D$89*Mat_Sum!$AV34)+($D$90*Mat_Sum!$AR34)+($D$91*Mat_Sum!$AG34)+($D$92*Mat_Sum!$AG34)+($D$93*Mat_Sum!$F34)+($D$94*0))+($C$187*$B$187*$D$192*(($B$197*Mat_Sum!$D34)+($A$197*Mat_Sum!$AV34)))+($C$188*$B$188*$D$193*(($B$197*Mat_Sum!$D34)+($A$197*Mat_Sum!$AV34)))</f>
        <v>18350825.011988174</v>
      </c>
      <c r="F398" s="2272">
        <f ca="1" xml:space="preserve"> $C$6*$D$13*(($D$96*Mat_Sum!$D34)+($D$97*Mat_Sum!$L34)+($D$98*Mat_Sum!$AG34)+($D$99*0))</f>
        <v>775770.5615153641</v>
      </c>
      <c r="G398" s="2144">
        <f ca="1" xml:space="preserve"> $C$6*$D$14*(($D$101*Mat_Sum!$D34)+($D$102*Mat_Sum!$L34)+($D$103*Mat_Sum!$AG34)+($D$104*0))</f>
        <v>0</v>
      </c>
      <c r="H398" s="2144">
        <f ca="1" xml:space="preserve"> $C$6*$D$15*(($D$106*Mat_Sum!$D34)+($D$107*Mat_Sum!$L34)+($D$108*Mat_Sum!$AG34)+($D$109*Mat_Sum!$AV34)+($D$110*Mat_Sum!$AR34)+($D$111*0))</f>
        <v>82696.171146442037</v>
      </c>
      <c r="I398" s="2144">
        <f ca="1" xml:space="preserve"> $C$6*$D$17*(($D$113*Mat_Sum!$E34)+($D$114*Mat_Sum!$D34)+($D$115*Mat_Sum!$F34)+($D$116*Mat_Sum!$L34)+($D$117*Mat_Sum!$I34)+($D$118*0)+($D$119*Mat_Sum!$AV34)+($D$120*Mat_Sum!$AR34)+($D$121*Mat_Sum!$AG34)+($D$122*Mat_Sum!$AG34)+($D$123*Mat_Sum!$AS34)+($D$124*0)+($D$125*Mat_Sum!$E34)+($D$126*0))</f>
        <v>0</v>
      </c>
      <c r="J398" s="2144">
        <f ca="1">$C$6*$D$16*(($D$128*Mat_Sum!$AU34)+($D$129*Mat_Sum!$D34)+($D$130*Mat_Sum!$E34)+($D$131*Mat_Sum!$AS34)+($D$132*Mat_Sum!$I34)+($D$133*Mat_Sum!$AG34)+($D$134*Mat_Sum!$AQ34)+($D$135*Mat_Sum!$AO34)+($D$136*0))</f>
        <v>0</v>
      </c>
      <c r="K398" s="2406">
        <f ca="1" xml:space="preserve"> $C$6*$D$19*$D$138*Mat_Sum!$D34</f>
        <v>0</v>
      </c>
      <c r="L398" s="2184">
        <f t="shared" ca="1" si="11"/>
        <v>0.20169326973337037</v>
      </c>
      <c r="M398" s="2216">
        <f t="shared" ca="1" si="11"/>
        <v>0</v>
      </c>
      <c r="N398" s="2216">
        <f t="shared" ca="1" si="11"/>
        <v>1.7728421534976141E-2</v>
      </c>
      <c r="O398" s="2216">
        <f t="shared" ca="1" si="11"/>
        <v>0.74569412251639811</v>
      </c>
      <c r="P398" s="2216">
        <f t="shared" ca="1" si="11"/>
        <v>3.1523789680591482E-2</v>
      </c>
      <c r="Q398" s="2216">
        <f t="shared" ca="1" si="11"/>
        <v>0</v>
      </c>
      <c r="R398" s="2216">
        <f t="shared" ca="1" si="11"/>
        <v>3.3603965346640794E-3</v>
      </c>
      <c r="S398" s="2216">
        <f t="shared" ca="1" si="11"/>
        <v>0</v>
      </c>
      <c r="T398" s="2216">
        <f t="shared" ca="1" si="11"/>
        <v>0</v>
      </c>
      <c r="U398" s="2217">
        <f t="shared" ca="1" si="11"/>
        <v>0</v>
      </c>
      <c r="AI398" s="2299"/>
      <c r="AJ398" s="2299"/>
      <c r="AK398" s="2299"/>
      <c r="AL398" s="2299"/>
      <c r="AM398" s="2299"/>
      <c r="AN398" s="2299"/>
      <c r="AO398" s="2299"/>
      <c r="AP398" s="2299"/>
      <c r="AQ398" s="2299"/>
      <c r="AR398" s="2299"/>
    </row>
    <row r="399" spans="1:44">
      <c r="A399" s="2177" t="s">
        <v>973</v>
      </c>
      <c r="B399" s="2151"/>
      <c r="C399" s="2136"/>
      <c r="D399" s="2251"/>
      <c r="E399" s="2251"/>
      <c r="F399" s="2136"/>
      <c r="G399" s="2251"/>
      <c r="H399" s="2251"/>
      <c r="I399" s="2251"/>
      <c r="J399" s="2251"/>
      <c r="K399" s="2412"/>
      <c r="L399" s="2223"/>
      <c r="M399" s="2218"/>
      <c r="N399" s="2218"/>
      <c r="O399" s="2218"/>
      <c r="P399" s="2218"/>
      <c r="Q399" s="2218"/>
      <c r="R399" s="2218"/>
      <c r="S399" s="2218"/>
      <c r="T399" s="2218"/>
      <c r="U399" s="2224"/>
      <c r="AI399" s="2299"/>
      <c r="AJ399" s="2299"/>
      <c r="AK399" s="2299"/>
      <c r="AL399" s="2299"/>
      <c r="AM399" s="2299"/>
      <c r="AN399" s="2299"/>
      <c r="AO399" s="2299"/>
      <c r="AP399" s="2299"/>
      <c r="AQ399" s="2299"/>
      <c r="AR399" s="2299"/>
    </row>
    <row r="400" spans="1:44">
      <c r="A400" s="2093" t="s">
        <v>821</v>
      </c>
      <c r="B400" s="2151">
        <f ca="1">($C$6*$D$18*(($D$24*Mat_Sum!$D36)+($D$25*Mat_Sum!$E36)+($D$26*Mat_Sum!$I36)+($D$27*Mat_Sum!$L36)+($D$28*Mat_Sum!$AR36)+($D$29*Mat_Sum!$AV36)+($D$30*Mat_Sum!$AS36)+($D$31*Mat_Sum!$AM36)+($D$32*Mat_Sum!$AG36)+($D$33*0)+($D$34*0)+($D$35*0)+($D$36*Mat_Sum!$CF36)+($D$37*Silicon!$K93)+($D$38*0)))+($D$201*(($D$207*Mat_Sum!$D36)+($D$208*Mat_Sum!$AV36)+($D$209*Mat_Sum!$AR36)))</f>
        <v>60.359002337267569</v>
      </c>
      <c r="C400" s="2136">
        <f ca="1">($C$6*$D$10*(($D$40*Mat_Sum!$E36)+($D$41*Mat_Sum!$D36)+($D$42*Mat_Sum!$L36)+($D$43*Mat_Sum!$I36)+($D$44*Mat_Sum!$F36)+($D$45*Mat_Sum!$AV36)+($D$46*Mat_Sum!$AR36)+($D$47*Mat_Sum!$AG36)+($D$48*((88%*Mat_Sum!$AG36)+(12%*0)))+($D$49*Mat_Sum!$CF36)+($D$50*Mat_Sum!$AN36)+($D$51*'C.Iron'!$I83)+($D$52*((80%*Mat_Sum!$U36)+(20%*Mat_Sum!$BA36)))+($D$53*Mat_Sum!$AW36)+($D$54*Mat_Sum!$AS36)+($D$55*Mat_Sum!$CQ36)+($D$56*Mat_Sum!$AQ36)+($D$57*Mat_Sum!$AO36)+($D$58*Mat_Sum!$AP36)+($D$59*Mat_Sum!$BJ36)+($D$60*Mat_Sum!$BI36)+($D$61*Mat_Sum!$AR36)+($D$62*0)+($D$63*Mat_Sum!$CF36)+($D$64*Mat_Sum!$BG36)+($D$65*Mat_Sum!$BI36)+($D$66*Mat_Sum!$U36)+($D$67*Mat_Sum!$BA36)+($D$68*Mat_Sum!$CP36)+($D$69*0)+($D$70*Mat_Sum!$AZ36)+($D$71*Mat_Sum!$AM36)+($D$72*0)))+($D$202*(($D$211*Mat_Sum!$D36)+($D$212*Mat_Sum!$BG36)+($D$213*Mat_Sum!$AV36)))</f>
        <v>0</v>
      </c>
      <c r="D400" s="2136">
        <f ca="1" xml:space="preserve"> $C$6*$D$11*(($D$74*Mat_Sum!$D36)+($D$75*Mat_Sum!$L36)+($D$76*Mat_Sum!$I36)+($D$77*Mat_Sum!$F36)+($D$78*Mat_Sum!$AV36)+($D$79*Mat_Sum!$AR36)+($D$80*Mat_Sum!$AG36)+($D$81*Mat_Sum!$AG36)+($D$82*Mat_Sum!$F36)+($D$83*0))</f>
        <v>2.2069493093636585</v>
      </c>
      <c r="E400" s="2136">
        <f ca="1" xml:space="preserve"> $C$6*$D$12*(($D$85*Mat_Sum!$D36)+($D$86*Mat_Sum!$F36)+($D$87*Mat_Sum!$L36)+($D$88*Mat_Sum!$I36)+($D$89*Mat_Sum!$AV36)+($D$90*Mat_Sum!$AR36)+($D$91*Mat_Sum!$AG36)+($D$92*Mat_Sum!$AG36)+($D$93*Mat_Sum!$F36)+($D$94*0))+($C$187*$B$187*$D$192*(($B$197*Mat_Sum!$D36)+($A$197*Mat_Sum!$AV36)))+($C$188*$B$188*$D$193*(($B$197*Mat_Sum!$D36)+($A$197*Mat_Sum!$AV36)))</f>
        <v>127.22611215190926</v>
      </c>
      <c r="F400" s="2136">
        <f ca="1" xml:space="preserve"> $C$6*$D$13*(($D$96*Mat_Sum!$D36)+($D$97*Mat_Sum!$L36)+($D$98*Mat_Sum!$AG36)+($D$99*0))</f>
        <v>4.9803672731570821</v>
      </c>
      <c r="G400" s="2136">
        <f ca="1" xml:space="preserve"> $C$6*$D$14*(($D$101*Mat_Sum!$D36)+($D$102*Mat_Sum!$L36)+($D$103*Mat_Sum!$AG36)+($D$104*0))</f>
        <v>0</v>
      </c>
      <c r="H400" s="2136">
        <f ca="1" xml:space="preserve"> $C$6*$D$15*(($D$106*Mat_Sum!$D36)+($D$107*Mat_Sum!$L36)+($D$108*Mat_Sum!$AG36)+($D$109*Mat_Sum!$AV36)+($D$110*Mat_Sum!$AR36)+($D$111*0))</f>
        <v>1.3051383278234658</v>
      </c>
      <c r="I400" s="2136">
        <f ca="1" xml:space="preserve"> $C$6*$D$17*(($D$113*Mat_Sum!$E36)+($D$114*Mat_Sum!$D36)+($D$115*Mat_Sum!$F36)+($D$116*Mat_Sum!$L36)+($D$117*Mat_Sum!$I36)+($D$118*0)+($D$119*Mat_Sum!$AV36)+($D$120*Mat_Sum!$AR36)+($D$121*Mat_Sum!$AG36)+($D$122*Mat_Sum!$AG36)+($D$123*Mat_Sum!$AS36)+($D$124*0)+($D$125*Mat_Sum!$E36)+($D$126*0))</f>
        <v>0</v>
      </c>
      <c r="J400" s="2136">
        <f ca="1">$C$6*$D$16*(($D$128*Mat_Sum!$AU36)+($D$129*Mat_Sum!$D36)+($D$130*Mat_Sum!$E36)+($D$131*Mat_Sum!$AS36)+($D$132*Mat_Sum!$I36)+($D$133*Mat_Sum!$AG36)+($D$134*Mat_Sum!$AQ36)+($D$135*Mat_Sum!$AO36)+($D$136*0))</f>
        <v>0</v>
      </c>
      <c r="K400" s="2406">
        <f ca="1" xml:space="preserve"> $C$6*$D$19*$D$138*Mat_Sum!$D36</f>
        <v>0</v>
      </c>
      <c r="L400" s="2223">
        <f t="shared" ref="L400:U407" ca="1" si="12">B400/$D297</f>
        <v>0.30783226516992412</v>
      </c>
      <c r="M400" s="2218">
        <f t="shared" ca="1" si="12"/>
        <v>0</v>
      </c>
      <c r="N400" s="2218">
        <f t="shared" ca="1" si="12"/>
        <v>1.125549095759573E-2</v>
      </c>
      <c r="O400" s="2218">
        <f t="shared" ca="1" si="12"/>
        <v>0.64885602438633672</v>
      </c>
      <c r="P400" s="2218">
        <f t="shared" ca="1" si="12"/>
        <v>2.5399984753020136E-2</v>
      </c>
      <c r="Q400" s="2218">
        <f t="shared" ca="1" si="12"/>
        <v>0</v>
      </c>
      <c r="R400" s="2218">
        <f t="shared" ca="1" si="12"/>
        <v>6.6562347331231954E-3</v>
      </c>
      <c r="S400" s="2218">
        <f t="shared" ca="1" si="12"/>
        <v>0</v>
      </c>
      <c r="T400" s="2218">
        <f t="shared" ca="1" si="12"/>
        <v>0</v>
      </c>
      <c r="U400" s="2224">
        <f t="shared" ca="1" si="12"/>
        <v>0</v>
      </c>
      <c r="AI400" s="2299"/>
      <c r="AJ400" s="2299"/>
      <c r="AK400" s="2299"/>
      <c r="AL400" s="2299"/>
      <c r="AM400" s="2299"/>
      <c r="AN400" s="2299"/>
      <c r="AO400" s="2299"/>
      <c r="AP400" s="2299"/>
      <c r="AQ400" s="2299"/>
      <c r="AR400" s="2299"/>
    </row>
    <row r="401" spans="1:44">
      <c r="A401" s="2093" t="s">
        <v>822</v>
      </c>
      <c r="B401" s="2151">
        <f ca="1">($C$6*$D$18*(($D$24*Mat_Sum!$D37)+($D$25*Mat_Sum!$E37)+($D$26*Mat_Sum!$I37)+($D$27*Mat_Sum!$L37)+($D$28*Mat_Sum!$AR37)+($D$29*Mat_Sum!$AV37)+($D$30*Mat_Sum!$AS37)+($D$31*Mat_Sum!$AM37)+($D$32*Mat_Sum!$AG37)+($D$33*0)+($D$34*0)+($D$35*0)+($D$36*Mat_Sum!$CF37)+($D$37*Silicon!$K94)+($D$38*0)))+($D$201*(($D$207*Mat_Sum!$D37)+($D$208*Mat_Sum!$AV37)+($D$209*Mat_Sum!$AR37)))</f>
        <v>192.31119029295485</v>
      </c>
      <c r="C401" s="2136">
        <f ca="1">($C$6*$D$10*(($D$40*Mat_Sum!$E37)+($D$41*Mat_Sum!$D37)+($D$42*Mat_Sum!$L37)+($D$43*Mat_Sum!$I37)+($D$44*Mat_Sum!$F37)+($D$45*Mat_Sum!$AV37)+($D$46*Mat_Sum!$AR37)+($D$47*Mat_Sum!$AG37)+($D$48*((88%*Mat_Sum!$AG37)+(12%*0)))+($D$49*Mat_Sum!$CF37)+($D$50*Mat_Sum!$AN37)+($D$51*'C.Iron'!$I84)+($D$52*((80%*Mat_Sum!$U37)+(20%*Mat_Sum!$BA37)))+($D$53*Mat_Sum!$AW37)+($D$54*Mat_Sum!$AS37)+($D$55*Mat_Sum!$CQ37)+($D$56*Mat_Sum!$AQ37)+($D$57*Mat_Sum!$AO37)+($D$58*Mat_Sum!$AP37)+($D$59*Mat_Sum!$BJ37)+($D$60*Mat_Sum!$BI37)+($D$61*Mat_Sum!$AR37)+($D$62*0)+($D$63*Mat_Sum!$CF37)+($D$64*Mat_Sum!$BG37)+($D$65*Mat_Sum!$BI37)+($D$66*Mat_Sum!$U37)+($D$67*Mat_Sum!$BA37)+($D$68*Mat_Sum!$CP37)+($D$69*0)+($D$70*Mat_Sum!$AZ37)+($D$71*Mat_Sum!$AM37)+($D$72*0)))+($D$202*(($D$211*Mat_Sum!$D37)+($D$212*Mat_Sum!$BG37)+($D$213*Mat_Sum!$AV37)))</f>
        <v>0</v>
      </c>
      <c r="D401" s="2136">
        <f ca="1" xml:space="preserve"> $C$6*$D$11*(($D$74*Mat_Sum!$D37)+($D$75*Mat_Sum!$L37)+($D$76*Mat_Sum!$I37)+($D$77*Mat_Sum!$F37)+($D$78*Mat_Sum!$AV37)+($D$79*Mat_Sum!$AR37)+($D$80*Mat_Sum!$AG37)+($D$81*Mat_Sum!$AG37)+($D$82*Mat_Sum!$F37)+($D$83*0))</f>
        <v>8.8955082144268189</v>
      </c>
      <c r="E401" s="2136">
        <f ca="1" xml:space="preserve"> $C$6*$D$12*(($D$85*Mat_Sum!$D37)+($D$86*Mat_Sum!$F37)+($D$87*Mat_Sum!$L37)+($D$88*Mat_Sum!$I37)+($D$89*Mat_Sum!$AV37)+($D$90*Mat_Sum!$AR37)+($D$91*Mat_Sum!$AG37)+($D$92*Mat_Sum!$AG37)+($D$93*Mat_Sum!$F37)+($D$94*0))+($C$187*$B$187*$D$192*(($B$197*Mat_Sum!$D37)+($A$197*Mat_Sum!$AV37)))+($C$188*$B$188*$D$193*(($B$197*Mat_Sum!$D37)+($A$197*Mat_Sum!$AV37)))</f>
        <v>382.36641848882624</v>
      </c>
      <c r="F401" s="2136">
        <f ca="1" xml:space="preserve"> $C$6*$D$13*(($D$96*Mat_Sum!$D37)+($D$97*Mat_Sum!$L37)+($D$98*Mat_Sum!$AG37)+($D$99*0))</f>
        <v>22.387607591026033</v>
      </c>
      <c r="G401" s="2136">
        <f ca="1" xml:space="preserve"> $C$6*$D$14*(($D$101*Mat_Sum!$D37)+($D$102*Mat_Sum!$L37)+($D$103*Mat_Sum!$AG37)+($D$104*0))</f>
        <v>0</v>
      </c>
      <c r="H401" s="2136">
        <f ca="1" xml:space="preserve"> $C$6*$D$15*(($D$106*Mat_Sum!$D37)+($D$107*Mat_Sum!$L37)+($D$108*Mat_Sum!$AG37)+($D$109*Mat_Sum!$AV37)+($D$110*Mat_Sum!$AR37)+($D$111*0))</f>
        <v>3.7619682209311991</v>
      </c>
      <c r="I401" s="2136">
        <f ca="1" xml:space="preserve"> $C$6*$D$17*(($D$113*Mat_Sum!$E37)+($D$114*Mat_Sum!$D37)+($D$115*Mat_Sum!$F37)+($D$116*Mat_Sum!$L37)+($D$117*Mat_Sum!$I37)+($D$118*0)+($D$119*Mat_Sum!$AV37)+($D$120*Mat_Sum!$AR37)+($D$121*Mat_Sum!$AG37)+($D$122*Mat_Sum!$AG37)+($D$123*Mat_Sum!$AS37)+($D$124*0)+($D$125*Mat_Sum!$E37)+($D$126*0))</f>
        <v>0</v>
      </c>
      <c r="J401" s="2136">
        <f ca="1">$C$6*$D$16*(($D$128*Mat_Sum!$AU37)+($D$129*Mat_Sum!$D37)+($D$130*Mat_Sum!$E37)+($D$131*Mat_Sum!$AS37)+($D$132*Mat_Sum!$I37)+($D$133*Mat_Sum!$AG37)+($D$134*Mat_Sum!$AQ37)+($D$135*Mat_Sum!$AO37)+($D$136*0))</f>
        <v>0</v>
      </c>
      <c r="K401" s="2406">
        <f ca="1" xml:space="preserve"> $C$6*$D$19*$D$138*Mat_Sum!$D37</f>
        <v>0</v>
      </c>
      <c r="L401" s="2223">
        <f t="shared" ca="1" si="12"/>
        <v>0.31540763130733768</v>
      </c>
      <c r="M401" s="2218">
        <f t="shared" ca="1" si="12"/>
        <v>0</v>
      </c>
      <c r="N401" s="2218">
        <f t="shared" ca="1" si="12"/>
        <v>1.4589432736146464E-2</v>
      </c>
      <c r="O401" s="2218">
        <f t="shared" ca="1" si="12"/>
        <v>0.62711528207648459</v>
      </c>
      <c r="P401" s="2218">
        <f t="shared" ca="1" si="12"/>
        <v>3.6717687983559712E-2</v>
      </c>
      <c r="Q401" s="2218">
        <f t="shared" ca="1" si="12"/>
        <v>0</v>
      </c>
      <c r="R401" s="2218">
        <f t="shared" ca="1" si="12"/>
        <v>6.1699658964715848E-3</v>
      </c>
      <c r="S401" s="2218">
        <f t="shared" ca="1" si="12"/>
        <v>0</v>
      </c>
      <c r="T401" s="2218">
        <f t="shared" ca="1" si="12"/>
        <v>0</v>
      </c>
      <c r="U401" s="2224">
        <f t="shared" ca="1" si="12"/>
        <v>0</v>
      </c>
      <c r="AI401" s="2299"/>
      <c r="AJ401" s="2299"/>
      <c r="AK401" s="2299"/>
      <c r="AL401" s="2299"/>
      <c r="AM401" s="2299"/>
      <c r="AN401" s="2299"/>
      <c r="AO401" s="2299"/>
      <c r="AP401" s="2299"/>
      <c r="AQ401" s="2299"/>
      <c r="AR401" s="2299"/>
    </row>
    <row r="402" spans="1:44" ht="15.75">
      <c r="A402" s="2093" t="s">
        <v>2542</v>
      </c>
      <c r="B402" s="2151">
        <f ca="1">($C$6*$D$18*(($D$24*Mat_Sum!$D38)+($D$25*Mat_Sum!$E38)+($D$26*Mat_Sum!$I38)+($D$27*Mat_Sum!$L38)+($D$28*Mat_Sum!$AR38)+($D$29*Mat_Sum!$AV38)+($D$30*Mat_Sum!$AS38)+($D$31*Mat_Sum!$AM38)+($D$32*Mat_Sum!$AG38)+($D$33*0)+($D$34*0)+($D$35*0)+($D$36*Mat_Sum!$CF38)+($D$37*Silicon!$K95)+($D$38*0)))+($D$201*(($D$207*Mat_Sum!$D38)+($D$208*Mat_Sum!$AV38)+($D$209*Mat_Sum!$AR38)))</f>
        <v>364.77415354384368</v>
      </c>
      <c r="C402" s="2136">
        <f ca="1">($C$6*$D$10*(($D$40*Mat_Sum!$E38)+($D$41*Mat_Sum!$D38)+($D$42*Mat_Sum!$L38)+($D$43*Mat_Sum!$I38)+($D$44*Mat_Sum!$F38)+($D$45*Mat_Sum!$AV38)+($D$46*Mat_Sum!$AR38)+($D$47*Mat_Sum!$AG38)+($D$48*((88%*Mat_Sum!$AG38)+(12%*0)))+($D$49*Mat_Sum!$CF38)+($D$50*Mat_Sum!$AN38)+($D$51*'C.Iron'!$I85)+($D$52*((80%*Mat_Sum!$U38)+(20%*Mat_Sum!$BA38)))+($D$53*Mat_Sum!$AW38)+($D$54*Mat_Sum!$AS38)+($D$55*Mat_Sum!$CQ38)+($D$56*Mat_Sum!$AQ38)+($D$57*Mat_Sum!$AO38)+($D$58*Mat_Sum!$AP38)+($D$59*Mat_Sum!$BJ38)+($D$60*Mat_Sum!$BI38)+($D$61*Mat_Sum!$AR38)+($D$62*0)+($D$63*Mat_Sum!$CF38)+($D$64*Mat_Sum!$BG38)+($D$65*Mat_Sum!$BI38)+($D$66*Mat_Sum!$U38)+($D$67*Mat_Sum!$BA38)+($D$68*Mat_Sum!$CP38)+($D$69*0)+($D$70*Mat_Sum!$AZ38)+($D$71*Mat_Sum!$AM38)+($D$72*0)))+($D$202*(($D$211*Mat_Sum!$D38)+($D$212*Mat_Sum!$BG38)+($D$213*Mat_Sum!$AV38)))</f>
        <v>0</v>
      </c>
      <c r="D402" s="2136">
        <f ca="1" xml:space="preserve"> $C$6*$D$11*(($D$74*Mat_Sum!$D38)+($D$75*Mat_Sum!$L38)+($D$76*Mat_Sum!$I38)+($D$77*Mat_Sum!$F38)+($D$78*Mat_Sum!$AV38)+($D$79*Mat_Sum!$AR38)+($D$80*Mat_Sum!$AG38)+($D$81*Mat_Sum!$AG38)+($D$82*Mat_Sum!$F38)+($D$83*0))</f>
        <v>19.011102282133542</v>
      </c>
      <c r="E402" s="2136">
        <f ca="1" xml:space="preserve"> $C$6*$D$12*(($D$85*Mat_Sum!$D38)+($D$86*Mat_Sum!$F38)+($D$87*Mat_Sum!$L38)+($D$88*Mat_Sum!$I38)+($D$89*Mat_Sum!$AV38)+($D$90*Mat_Sum!$AR38)+($D$91*Mat_Sum!$AG38)+($D$92*Mat_Sum!$AG38)+($D$93*Mat_Sum!$F38)+($D$94*0))+($C$187*$B$187*$D$192*(($B$197*Mat_Sum!$D38)+($A$197*Mat_Sum!$AV38)))+($C$188*$B$188*$D$193*(($B$197*Mat_Sum!$D38)+($A$197*Mat_Sum!$AV38)))</f>
        <v>787.60287803976917</v>
      </c>
      <c r="F402" s="2136">
        <f ca="1" xml:space="preserve"> $C$6*$D$13*(($D$96*Mat_Sum!$D38)+($D$97*Mat_Sum!$L38)+($D$98*Mat_Sum!$AG38)+($D$99*0))</f>
        <v>56.046489743294394</v>
      </c>
      <c r="G402" s="2136">
        <f ca="1" xml:space="preserve"> $C$6*$D$14*(($D$101*Mat_Sum!$D38)+($D$102*Mat_Sum!$L38)+($D$103*Mat_Sum!$AG38)+($D$104*0))</f>
        <v>0</v>
      </c>
      <c r="H402" s="2136">
        <f ca="1" xml:space="preserve"> $C$6*$D$15*(($D$106*Mat_Sum!$D38)+($D$107*Mat_Sum!$L38)+($D$108*Mat_Sum!$AG38)+($D$109*Mat_Sum!$AV38)+($D$110*Mat_Sum!$AR38)+($D$111*0))</f>
        <v>6.5934570016921308</v>
      </c>
      <c r="I402" s="2136">
        <f ca="1" xml:space="preserve"> $C$6*$D$17*(($D$113*Mat_Sum!$E38)+($D$114*Mat_Sum!$D38)+($D$115*Mat_Sum!$F38)+($D$116*Mat_Sum!$L38)+($D$117*Mat_Sum!$I38)+($D$118*0)+($D$119*Mat_Sum!$AV38)+($D$120*Mat_Sum!$AR38)+($D$121*Mat_Sum!$AG38)+($D$122*Mat_Sum!$AG38)+($D$123*Mat_Sum!$AS38)+($D$124*0)+($D$125*Mat_Sum!$E38)+($D$126*0))</f>
        <v>0</v>
      </c>
      <c r="J402" s="2136">
        <f ca="1">$C$6*$D$16*(($D$128*Mat_Sum!$AU38)+($D$129*Mat_Sum!$D38)+($D$130*Mat_Sum!$E38)+($D$131*Mat_Sum!$AS38)+($D$132*Mat_Sum!$I38)+($D$133*Mat_Sum!$AG38)+($D$134*Mat_Sum!$AQ38)+($D$135*Mat_Sum!$AO38)+($D$136*0))</f>
        <v>0</v>
      </c>
      <c r="K402" s="2406">
        <f ca="1" xml:space="preserve"> $C$6*$D$19*$D$138*Mat_Sum!$D38</f>
        <v>0</v>
      </c>
      <c r="L402" s="2223">
        <f t="shared" ca="1" si="12"/>
        <v>0.29559631525022773</v>
      </c>
      <c r="M402" s="2218">
        <f t="shared" ca="1" si="12"/>
        <v>0</v>
      </c>
      <c r="N402" s="2218">
        <f t="shared" ca="1" si="12"/>
        <v>1.5405729076055348E-2</v>
      </c>
      <c r="O402" s="2218">
        <f t="shared" ca="1" si="12"/>
        <v>0.63823740352000458</v>
      </c>
      <c r="P402" s="2218">
        <f t="shared" ca="1" si="12"/>
        <v>4.541751571451795E-2</v>
      </c>
      <c r="Q402" s="2218">
        <f t="shared" ca="1" si="12"/>
        <v>0</v>
      </c>
      <c r="R402" s="2218">
        <f t="shared" ca="1" si="12"/>
        <v>5.3430364391942866E-3</v>
      </c>
      <c r="S402" s="2218">
        <f t="shared" ca="1" si="12"/>
        <v>0</v>
      </c>
      <c r="T402" s="2218">
        <f t="shared" ca="1" si="12"/>
        <v>0</v>
      </c>
      <c r="U402" s="2224">
        <f t="shared" ca="1" si="12"/>
        <v>0</v>
      </c>
      <c r="AI402" s="2299"/>
      <c r="AJ402" s="2299"/>
      <c r="AK402" s="2299"/>
      <c r="AL402" s="2299"/>
      <c r="AM402" s="2299"/>
      <c r="AN402" s="2299"/>
      <c r="AO402" s="2299"/>
      <c r="AP402" s="2299"/>
      <c r="AQ402" s="2299"/>
      <c r="AR402" s="2299"/>
    </row>
    <row r="403" spans="1:44" ht="15.75">
      <c r="A403" s="2093" t="s">
        <v>2543</v>
      </c>
      <c r="B403" s="2151">
        <f ca="1">($C$6*$D$18*(($D$24*Mat_Sum!$D39)+($D$25*Mat_Sum!$E39)+($D$26*Mat_Sum!$I39)+($D$27*Mat_Sum!$L39)+($D$28*Mat_Sum!$AR39)+($D$29*Mat_Sum!$AV39)+($D$30*Mat_Sum!$AS39)+($D$31*Mat_Sum!$AM39)+($D$32*Mat_Sum!$AG39)+($D$33*0)+($D$34*0)+($D$35*0)+($D$36*Mat_Sum!$CF39)+($D$37*Silicon!$K96)+($D$38*0)))+($D$201*(($D$207*Mat_Sum!$D39)+($D$208*Mat_Sum!$AV39)+($D$209*Mat_Sum!$AR39)))</f>
        <v>37.231410625364184</v>
      </c>
      <c r="C403" s="2136">
        <f ca="1">($C$6*$D$10*(($D$40*Mat_Sum!$E39)+($D$41*Mat_Sum!$D39)+($D$42*Mat_Sum!$L39)+($D$43*Mat_Sum!$I39)+($D$44*Mat_Sum!$F39)+($D$45*Mat_Sum!$AV39)+($D$46*Mat_Sum!$AR39)+($D$47*Mat_Sum!$AG39)+($D$48*((88%*Mat_Sum!$AG39)+(12%*0)))+($D$49*Mat_Sum!$CF39)+($D$50*Mat_Sum!$AN39)+($D$51*'C.Iron'!$I86)+($D$52*((80%*Mat_Sum!$U39)+(20%*Mat_Sum!$BA39)))+($D$53*Mat_Sum!$AW39)+($D$54*Mat_Sum!$AS39)+($D$55*Mat_Sum!$CQ39)+($D$56*Mat_Sum!$AQ39)+($D$57*Mat_Sum!$AO39)+($D$58*Mat_Sum!$AP39)+($D$59*Mat_Sum!$BJ39)+($D$60*Mat_Sum!$BI39)+($D$61*Mat_Sum!$AR39)+($D$62*0)+($D$63*Mat_Sum!$CF39)+($D$64*Mat_Sum!$BG39)+($D$65*Mat_Sum!$BI39)+($D$66*Mat_Sum!$U39)+($D$67*Mat_Sum!$BA39)+($D$68*Mat_Sum!$CP39)+($D$69*0)+($D$70*Mat_Sum!$AZ39)+($D$71*Mat_Sum!$AM39)+($D$72*0)))+($D$202*(($D$211*Mat_Sum!$D39)+($D$212*Mat_Sum!$BG39)+($D$213*Mat_Sum!$AV39)))</f>
        <v>0</v>
      </c>
      <c r="D403" s="2136">
        <f ca="1" xml:space="preserve"> $C$6*$D$11*(($D$74*Mat_Sum!$D39)+($D$75*Mat_Sum!$L39)+($D$76*Mat_Sum!$I39)+($D$77*Mat_Sum!$F39)+($D$78*Mat_Sum!$AV39)+($D$79*Mat_Sum!$AR39)+($D$80*Mat_Sum!$AG39)+($D$81*Mat_Sum!$AG39)+($D$82*Mat_Sum!$F39)+($D$83*0))</f>
        <v>2.0502914871234172</v>
      </c>
      <c r="E403" s="2136">
        <f ca="1" xml:space="preserve"> $C$6*$D$12*(($D$85*Mat_Sum!$D39)+($D$86*Mat_Sum!$F39)+($D$87*Mat_Sum!$L39)+($D$88*Mat_Sum!$I39)+($D$89*Mat_Sum!$AV39)+($D$90*Mat_Sum!$AR39)+($D$91*Mat_Sum!$AG39)+($D$92*Mat_Sum!$AG39)+($D$93*Mat_Sum!$F39)+($D$94*0))+($C$187*$B$187*$D$192*(($B$197*Mat_Sum!$D39)+($A$197*Mat_Sum!$AV39)))+($C$188*$B$188*$D$193*(($B$197*Mat_Sum!$D39)+($A$197*Mat_Sum!$AV39)))</f>
        <v>79.581548952776217</v>
      </c>
      <c r="F403" s="2136">
        <f ca="1" xml:space="preserve"> $C$6*$D$13*(($D$96*Mat_Sum!$D39)+($D$97*Mat_Sum!$L39)+($D$98*Mat_Sum!$AG39)+($D$99*0))</f>
        <v>6.2153876228143696</v>
      </c>
      <c r="G403" s="2136">
        <f ca="1" xml:space="preserve"> $C$6*$D$14*(($D$101*Mat_Sum!$D39)+($D$102*Mat_Sum!$L39)+($D$103*Mat_Sum!$AG39)+($D$104*0))</f>
        <v>0</v>
      </c>
      <c r="H403" s="2136">
        <f ca="1" xml:space="preserve"> $C$6*$D$15*(($D$106*Mat_Sum!$D39)+($D$107*Mat_Sum!$L39)+($D$108*Mat_Sum!$AG39)+($D$109*Mat_Sum!$AV39)+($D$110*Mat_Sum!$AR39)+($D$111*0))</f>
        <v>0.66056485122036079</v>
      </c>
      <c r="I403" s="2136">
        <f ca="1" xml:space="preserve"> $C$6*$D$17*(($D$113*Mat_Sum!$E39)+($D$114*Mat_Sum!$D39)+($D$115*Mat_Sum!$F39)+($D$116*Mat_Sum!$L39)+($D$117*Mat_Sum!$I39)+($D$118*0)+($D$119*Mat_Sum!$AV39)+($D$120*Mat_Sum!$AR39)+($D$121*Mat_Sum!$AG39)+($D$122*Mat_Sum!$AG39)+($D$123*Mat_Sum!$AS39)+($D$124*0)+($D$125*Mat_Sum!$E39)+($D$126*0))</f>
        <v>0</v>
      </c>
      <c r="J403" s="2136">
        <f ca="1">$C$6*$D$16*(($D$128*Mat_Sum!$AU39)+($D$129*Mat_Sum!$D39)+($D$130*Mat_Sum!$E39)+($D$131*Mat_Sum!$AS39)+($D$132*Mat_Sum!$I39)+($D$133*Mat_Sum!$AG39)+($D$134*Mat_Sum!$AQ39)+($D$135*Mat_Sum!$AO39)+($D$136*0))</f>
        <v>0</v>
      </c>
      <c r="K403" s="2406">
        <f ca="1" xml:space="preserve"> $C$6*$D$19*$D$138*Mat_Sum!$D39</f>
        <v>0</v>
      </c>
      <c r="L403" s="2223">
        <f t="shared" ca="1" si="12"/>
        <v>0.29610025813252333</v>
      </c>
      <c r="M403" s="2218">
        <f t="shared" ca="1" si="12"/>
        <v>0</v>
      </c>
      <c r="N403" s="2218">
        <f t="shared" ca="1" si="12"/>
        <v>1.6305904836454759E-2</v>
      </c>
      <c r="O403" s="2218">
        <f t="shared" ca="1" si="12"/>
        <v>0.63290959949419279</v>
      </c>
      <c r="P403" s="2218">
        <f t="shared" ca="1" si="12"/>
        <v>4.943078568866402E-2</v>
      </c>
      <c r="Q403" s="2218">
        <f t="shared" ca="1" si="12"/>
        <v>0</v>
      </c>
      <c r="R403" s="2218">
        <f t="shared" ca="1" si="12"/>
        <v>5.2534518481653011E-3</v>
      </c>
      <c r="S403" s="2218">
        <f t="shared" ca="1" si="12"/>
        <v>0</v>
      </c>
      <c r="T403" s="2218">
        <f t="shared" ca="1" si="12"/>
        <v>0</v>
      </c>
      <c r="U403" s="2224">
        <f t="shared" ca="1" si="12"/>
        <v>0</v>
      </c>
      <c r="AI403" s="2299"/>
      <c r="AJ403" s="2299"/>
      <c r="AK403" s="2299"/>
      <c r="AL403" s="2299"/>
      <c r="AM403" s="2299"/>
      <c r="AN403" s="2299"/>
      <c r="AO403" s="2299"/>
      <c r="AP403" s="2299"/>
      <c r="AQ403" s="2299"/>
      <c r="AR403" s="2299"/>
    </row>
    <row r="404" spans="1:44" ht="15.75">
      <c r="A404" s="2093" t="s">
        <v>2544</v>
      </c>
      <c r="B404" s="2151">
        <f ca="1">($C$6*$D$18*(($D$24*Mat_Sum!$D40)+($D$25*Mat_Sum!$E40)+($D$26*Mat_Sum!$I40)+($D$27*Mat_Sum!$L40)+($D$28*Mat_Sum!$AR40)+($D$29*Mat_Sum!$AV40)+($D$30*Mat_Sum!$AS40)+($D$31*Mat_Sum!$AM40)+($D$32*Mat_Sum!$AG40)+($D$33*0)+($D$34*0)+($D$35*0)+($D$36*Mat_Sum!$CF40)+($D$37*Silicon!$K97)+($D$38*0)))+($D$201*(($D$207*Mat_Sum!$D40)+($D$208*Mat_Sum!$AV40)+($D$209*Mat_Sum!$AR40)))</f>
        <v>31.973958819307249</v>
      </c>
      <c r="C404" s="2136">
        <f ca="1">($C$6*$D$10*(($D$40*Mat_Sum!$E40)+($D$41*Mat_Sum!$D40)+($D$42*Mat_Sum!$L40)+($D$43*Mat_Sum!$I40)+($D$44*Mat_Sum!$F40)+($D$45*Mat_Sum!$AV40)+($D$46*Mat_Sum!$AR40)+($D$47*Mat_Sum!$AG40)+($D$48*((88%*Mat_Sum!$AG40)+(12%*0)))+($D$49*Mat_Sum!$CF40)+($D$50*Mat_Sum!$AN40)+($D$51*'C.Iron'!$I87)+($D$52*((80%*Mat_Sum!$U40)+(20%*Mat_Sum!$BA40)))+($D$53*Mat_Sum!$AW40)+($D$54*Mat_Sum!$AS40)+($D$55*Mat_Sum!$CQ40)+($D$56*Mat_Sum!$AQ40)+($D$57*Mat_Sum!$AO40)+($D$58*Mat_Sum!$AP40)+($D$59*Mat_Sum!$BJ40)+($D$60*Mat_Sum!$BI40)+($D$61*Mat_Sum!$AR40)+($D$62*0)+($D$63*Mat_Sum!$CF40)+($D$64*Mat_Sum!$BG40)+($D$65*Mat_Sum!$BI40)+($D$66*Mat_Sum!$U40)+($D$67*Mat_Sum!$BA40)+($D$68*Mat_Sum!$CP40)+($D$69*0)+($D$70*Mat_Sum!$AZ40)+($D$71*Mat_Sum!$AM40)+($D$72*0)))+($D$202*(($D$211*Mat_Sum!$D40)+($D$212*Mat_Sum!$BG40)+($D$213*Mat_Sum!$AV40)))</f>
        <v>0</v>
      </c>
      <c r="D404" s="2136">
        <f ca="1" xml:space="preserve"> $C$6*$D$11*(($D$74*Mat_Sum!$D40)+($D$75*Mat_Sum!$L40)+($D$76*Mat_Sum!$I40)+($D$77*Mat_Sum!$F40)+($D$78*Mat_Sum!$AV40)+($D$79*Mat_Sum!$AR40)+($D$80*Mat_Sum!$AG40)+($D$81*Mat_Sum!$AG40)+($D$82*Mat_Sum!$F40)+($D$83*0))</f>
        <v>1.7937880374756074</v>
      </c>
      <c r="E404" s="2136">
        <f ca="1" xml:space="preserve"> $C$6*$D$12*(($D$85*Mat_Sum!$D40)+($D$86*Mat_Sum!$F40)+($D$87*Mat_Sum!$L40)+($D$88*Mat_Sum!$I40)+($D$89*Mat_Sum!$AV40)+($D$90*Mat_Sum!$AR40)+($D$91*Mat_Sum!$AG40)+($D$92*Mat_Sum!$AG40)+($D$93*Mat_Sum!$F40)+($D$94*0))+($C$187*$B$187*$D$192*(($B$197*Mat_Sum!$D40)+($A$197*Mat_Sum!$AV40)))+($C$188*$B$188*$D$193*(($B$197*Mat_Sum!$D40)+($A$197*Mat_Sum!$AV40)))</f>
        <v>69.8686529416903</v>
      </c>
      <c r="F404" s="2136">
        <f ca="1" xml:space="preserve"> $C$6*$D$13*(($D$96*Mat_Sum!$D40)+($D$97*Mat_Sum!$L40)+($D$98*Mat_Sum!$AG40)+($D$99*0))</f>
        <v>5.358350671156308</v>
      </c>
      <c r="G404" s="2136">
        <f ca="1" xml:space="preserve"> $C$6*$D$14*(($D$101*Mat_Sum!$D40)+($D$102*Mat_Sum!$L40)+($D$103*Mat_Sum!$AG40)+($D$104*0))</f>
        <v>0</v>
      </c>
      <c r="H404" s="2136">
        <f ca="1" xml:space="preserve"> $C$6*$D$15*(($D$106*Mat_Sum!$D40)+($D$107*Mat_Sum!$L40)+($D$108*Mat_Sum!$AG40)+($D$109*Mat_Sum!$AV40)+($D$110*Mat_Sum!$AR40)+($D$111*0))</f>
        <v>0.56237168676086535</v>
      </c>
      <c r="I404" s="2136">
        <f ca="1" xml:space="preserve"> $C$6*$D$17*(($D$113*Mat_Sum!$E40)+($D$114*Mat_Sum!$D40)+($D$115*Mat_Sum!$F40)+($D$116*Mat_Sum!$L40)+($D$117*Mat_Sum!$I40)+($D$118*0)+($D$119*Mat_Sum!$AV40)+($D$120*Mat_Sum!$AR40)+($D$121*Mat_Sum!$AG40)+($D$122*Mat_Sum!$AG40)+($D$123*Mat_Sum!$AS40)+($D$124*0)+($D$125*Mat_Sum!$E40)+($D$126*0))</f>
        <v>0</v>
      </c>
      <c r="J404" s="2136">
        <f ca="1">$C$6*$D$16*(($D$128*Mat_Sum!$AU40)+($D$129*Mat_Sum!$D40)+($D$130*Mat_Sum!$E40)+($D$131*Mat_Sum!$AS40)+($D$132*Mat_Sum!$I40)+($D$133*Mat_Sum!$AG40)+($D$134*Mat_Sum!$AQ40)+($D$135*Mat_Sum!$AO40)+($D$136*0))</f>
        <v>0</v>
      </c>
      <c r="K404" s="2406">
        <f ca="1" xml:space="preserve"> $C$6*$D$19*$D$138*Mat_Sum!$D40</f>
        <v>0</v>
      </c>
      <c r="L404" s="2223">
        <f t="shared" ca="1" si="12"/>
        <v>0.29184737778768172</v>
      </c>
      <c r="M404" s="2218">
        <f t="shared" ca="1" si="12"/>
        <v>0</v>
      </c>
      <c r="N404" s="2218">
        <f t="shared" ca="1" si="12"/>
        <v>1.6373084671893946E-2</v>
      </c>
      <c r="O404" s="2218">
        <f t="shared" ca="1" si="12"/>
        <v>0.63773720563738756</v>
      </c>
      <c r="P404" s="2218">
        <f t="shared" ca="1" si="12"/>
        <v>4.8909195182284745E-2</v>
      </c>
      <c r="Q404" s="2218">
        <f t="shared" ca="1" si="12"/>
        <v>0</v>
      </c>
      <c r="R404" s="2218">
        <f t="shared" ca="1" si="12"/>
        <v>5.1331367207518679E-3</v>
      </c>
      <c r="S404" s="2218">
        <f t="shared" ca="1" si="12"/>
        <v>0</v>
      </c>
      <c r="T404" s="2218">
        <f t="shared" ca="1" si="12"/>
        <v>0</v>
      </c>
      <c r="U404" s="2224">
        <f t="shared" ca="1" si="12"/>
        <v>0</v>
      </c>
      <c r="AI404" s="2299"/>
      <c r="AJ404" s="2299"/>
      <c r="AK404" s="2299"/>
      <c r="AL404" s="2299"/>
      <c r="AM404" s="2299"/>
      <c r="AN404" s="2299"/>
      <c r="AO404" s="2299"/>
      <c r="AP404" s="2299"/>
      <c r="AQ404" s="2299"/>
      <c r="AR404" s="2299"/>
    </row>
    <row r="405" spans="1:44" ht="15.75">
      <c r="A405" s="2093" t="s">
        <v>2545</v>
      </c>
      <c r="B405" s="2151">
        <f ca="1">($C$6*$D$18*(($D$24*Mat_Sum!$D41)+($D$25*Mat_Sum!$E41)+($D$26*Mat_Sum!$I41)+($D$27*Mat_Sum!$L41)+($D$28*Mat_Sum!$AR41)+($D$29*Mat_Sum!$AV41)+($D$30*Mat_Sum!$AS41)+($D$31*Mat_Sum!$AM41)+($D$32*Mat_Sum!$AG41)+($D$33*0)+($D$34*0)+($D$35*0)+($D$36*Mat_Sum!$CF41)+($D$37*Silicon!$K98)+($D$38*0)))+($D$201*(($D$207*Mat_Sum!$D41)+($D$208*Mat_Sum!$AV41)+($D$209*Mat_Sum!$AR41)))</f>
        <v>347.16985717338656</v>
      </c>
      <c r="C405" s="2136">
        <f ca="1">($C$6*$D$10*(($D$40*Mat_Sum!$E41)+($D$41*Mat_Sum!$D41)+($D$42*Mat_Sum!$L41)+($D$43*Mat_Sum!$I41)+($D$44*Mat_Sum!$F41)+($D$45*Mat_Sum!$AV41)+($D$46*Mat_Sum!$AR41)+($D$47*Mat_Sum!$AG41)+($D$48*((88%*Mat_Sum!$AG41)+(12%*0)))+($D$49*Mat_Sum!$CF41)+($D$50*Mat_Sum!$AN41)+($D$51*'C.Iron'!$I88)+($D$52*((80%*Mat_Sum!$U41)+(20%*Mat_Sum!$BA41)))+($D$53*Mat_Sum!$AW41)+($D$54*Mat_Sum!$AS41)+($D$55*Mat_Sum!$CQ41)+($D$56*Mat_Sum!$AQ41)+($D$57*Mat_Sum!$AO41)+($D$58*Mat_Sum!$AP41)+($D$59*Mat_Sum!$BJ41)+($D$60*Mat_Sum!$BI41)+($D$61*Mat_Sum!$AR41)+($D$62*0)+($D$63*Mat_Sum!$CF41)+($D$64*Mat_Sum!$BG41)+($D$65*Mat_Sum!$BI41)+($D$66*Mat_Sum!$U41)+($D$67*Mat_Sum!$BA41)+($D$68*Mat_Sum!$CP41)+($D$69*0)+($D$70*Mat_Sum!$AZ41)+($D$71*Mat_Sum!$AM41)+($D$72*0)))+($D$202*(($D$211*Mat_Sum!$D41)+($D$212*Mat_Sum!$BG41)+($D$213*Mat_Sum!$AV41)))</f>
        <v>0</v>
      </c>
      <c r="D405" s="2136">
        <f ca="1" xml:space="preserve"> $C$6*$D$11*(($D$74*Mat_Sum!$D41)+($D$75*Mat_Sum!$L41)+($D$76*Mat_Sum!$I41)+($D$77*Mat_Sum!$F41)+($D$78*Mat_Sum!$AV41)+($D$79*Mat_Sum!$AR41)+($D$80*Mat_Sum!$AG41)+($D$81*Mat_Sum!$AG41)+($D$82*Mat_Sum!$F41)+($D$83*0))</f>
        <v>16.82093496552622</v>
      </c>
      <c r="E405" s="2136">
        <f ca="1" xml:space="preserve"> $C$6*$D$12*(($D$85*Mat_Sum!$D41)+($D$86*Mat_Sum!$F41)+($D$87*Mat_Sum!$L41)+($D$88*Mat_Sum!$I41)+($D$89*Mat_Sum!$AV41)+($D$90*Mat_Sum!$AR41)+($D$91*Mat_Sum!$AG41)+($D$92*Mat_Sum!$AG41)+($D$93*Mat_Sum!$F41)+($D$94*0))+($C$187*$B$187*$D$192*(($B$197*Mat_Sum!$D41)+($A$197*Mat_Sum!$AV41)))+($C$188*$B$188*$D$193*(($B$197*Mat_Sum!$D41)+($A$197*Mat_Sum!$AV41)))</f>
        <v>534.09087444355544</v>
      </c>
      <c r="F405" s="2136">
        <f ca="1" xml:space="preserve"> $C$6*$D$13*(($D$96*Mat_Sum!$D41)+($D$97*Mat_Sum!$L41)+($D$98*Mat_Sum!$AG41)+($D$99*0))</f>
        <v>51.82025522069862</v>
      </c>
      <c r="G405" s="2136">
        <f ca="1" xml:space="preserve"> $C$6*$D$14*(($D$101*Mat_Sum!$D41)+($D$102*Mat_Sum!$L41)+($D$103*Mat_Sum!$AG41)+($D$104*0))</f>
        <v>0</v>
      </c>
      <c r="H405" s="2136">
        <f ca="1" xml:space="preserve"> $C$6*$D$15*(($D$106*Mat_Sum!$D41)+($D$107*Mat_Sum!$L41)+($D$108*Mat_Sum!$AG41)+($D$109*Mat_Sum!$AV41)+($D$110*Mat_Sum!$AR41)+($D$111*0))</f>
        <v>6.6771678813109059</v>
      </c>
      <c r="I405" s="2136">
        <f ca="1" xml:space="preserve"> $C$6*$D$17*(($D$113*Mat_Sum!$E41)+($D$114*Mat_Sum!$D41)+($D$115*Mat_Sum!$F41)+($D$116*Mat_Sum!$L41)+($D$117*Mat_Sum!$I41)+($D$118*0)+($D$119*Mat_Sum!$AV41)+($D$120*Mat_Sum!$AR41)+($D$121*Mat_Sum!$AG41)+($D$122*Mat_Sum!$AG41)+($D$123*Mat_Sum!$AS41)+($D$124*0)+($D$125*Mat_Sum!$E41)+($D$126*0))</f>
        <v>0</v>
      </c>
      <c r="J405" s="2136">
        <f ca="1">$C$6*$D$16*(($D$128*Mat_Sum!$AU41)+($D$129*Mat_Sum!$D41)+($D$130*Mat_Sum!$E41)+($D$131*Mat_Sum!$AS41)+($D$132*Mat_Sum!$I41)+($D$133*Mat_Sum!$AG41)+($D$134*Mat_Sum!$AQ41)+($D$135*Mat_Sum!$AO41)+($D$136*0))</f>
        <v>0</v>
      </c>
      <c r="K405" s="2406">
        <f ca="1" xml:space="preserve"> $C$6*$D$19*$D$138*Mat_Sum!$D41</f>
        <v>0</v>
      </c>
      <c r="L405" s="2223">
        <f t="shared" ca="1" si="12"/>
        <v>0.3629285449757203</v>
      </c>
      <c r="M405" s="2218">
        <f t="shared" ca="1" si="12"/>
        <v>0</v>
      </c>
      <c r="N405" s="2218">
        <f t="shared" ca="1" si="12"/>
        <v>1.7584468599532645E-2</v>
      </c>
      <c r="O405" s="2218">
        <f t="shared" ca="1" si="12"/>
        <v>0.55833425610392795</v>
      </c>
      <c r="P405" s="2218">
        <f t="shared" ca="1" si="12"/>
        <v>5.417247332658217E-2</v>
      </c>
      <c r="Q405" s="2218">
        <f t="shared" ca="1" si="12"/>
        <v>0</v>
      </c>
      <c r="R405" s="2218">
        <f t="shared" ca="1" si="12"/>
        <v>6.980256994236966E-3</v>
      </c>
      <c r="S405" s="2218">
        <f t="shared" ca="1" si="12"/>
        <v>0</v>
      </c>
      <c r="T405" s="2218">
        <f t="shared" ca="1" si="12"/>
        <v>0</v>
      </c>
      <c r="U405" s="2224">
        <f t="shared" ca="1" si="12"/>
        <v>0</v>
      </c>
      <c r="AI405" s="2299"/>
      <c r="AJ405" s="2299"/>
      <c r="AK405" s="2299"/>
      <c r="AL405" s="2299"/>
      <c r="AM405" s="2299"/>
      <c r="AN405" s="2299"/>
      <c r="AO405" s="2299"/>
      <c r="AP405" s="2299"/>
      <c r="AQ405" s="2299"/>
      <c r="AR405" s="2299"/>
    </row>
    <row r="406" spans="1:44">
      <c r="A406" s="2093" t="s">
        <v>827</v>
      </c>
      <c r="B406" s="2151">
        <f ca="1">($C$6*$D$18*(($D$24*Mat_Sum!$D42)+($D$25*Mat_Sum!$E42)+($D$26*Mat_Sum!$I42)+($D$27*Mat_Sum!$L42)+($D$28*Mat_Sum!$AR42)+($D$29*Mat_Sum!$AV42)+($D$30*Mat_Sum!$AS42)+($D$31*Mat_Sum!$AM42)+($D$32*Mat_Sum!$AG42)+($D$33*0)+($D$34*0)+($D$35*0)+($D$36*Mat_Sum!$CF42)+($D$37*Silicon!$K99)+($D$38*0)))+($D$201*(($D$207*Mat_Sum!$D42)+($D$208*Mat_Sum!$AV42)+($D$209*Mat_Sum!$AR42)))</f>
        <v>1.8336341444798705</v>
      </c>
      <c r="C406" s="2136">
        <f ca="1">($C$6*$D$10*(($D$40*Mat_Sum!$E42)+($D$41*Mat_Sum!$D42)+($D$42*Mat_Sum!$L42)+($D$43*Mat_Sum!$I42)+($D$44*Mat_Sum!$F42)+($D$45*Mat_Sum!$AV42)+($D$46*Mat_Sum!$AR42)+($D$47*Mat_Sum!$AG42)+($D$48*((88%*Mat_Sum!$AG42)+(12%*0)))+($D$49*Mat_Sum!$CF42)+($D$50*Mat_Sum!$AN42)+($D$51*'C.Iron'!$I89)+($D$52*((80%*Mat_Sum!$U42)+(20%*Mat_Sum!$BA42)))+($D$53*Mat_Sum!$AW42)+($D$54*Mat_Sum!$AS42)+($D$55*Mat_Sum!$CQ42)+($D$56*Mat_Sum!$AQ42)+($D$57*Mat_Sum!$AO42)+($D$58*Mat_Sum!$AP42)+($D$59*Mat_Sum!$BJ42)+($D$60*Mat_Sum!$BI42)+($D$61*Mat_Sum!$AR42)+($D$62*0)+($D$63*Mat_Sum!$CF42)+($D$64*Mat_Sum!$BG42)+($D$65*Mat_Sum!$BI42)+($D$66*Mat_Sum!$U42)+($D$67*Mat_Sum!$BA42)+($D$68*Mat_Sum!$CP42)+($D$69*0)+($D$70*Mat_Sum!$AZ42)+($D$71*Mat_Sum!$AM42)+($D$72*0)))+($D$202*(($D$211*Mat_Sum!$D42)+($D$212*Mat_Sum!$BG42)+($D$213*Mat_Sum!$AV42)))</f>
        <v>0</v>
      </c>
      <c r="D406" s="2136">
        <f ca="1" xml:space="preserve"> $C$6*$D$11*(($D$74*Mat_Sum!$D42)+($D$75*Mat_Sum!$L42)+($D$76*Mat_Sum!$I42)+($D$77*Mat_Sum!$F42)+($D$78*Mat_Sum!$AV42)+($D$79*Mat_Sum!$AR42)+($D$80*Mat_Sum!$AG42)+($D$81*Mat_Sum!$AG42)+($D$82*Mat_Sum!$F42)+($D$83*0))</f>
        <v>9.8441934289467861E-2</v>
      </c>
      <c r="E406" s="2136">
        <f ca="1" xml:space="preserve"> $C$6*$D$12*(($D$85*Mat_Sum!$D42)+($D$86*Mat_Sum!$F42)+($D$87*Mat_Sum!$L42)+($D$88*Mat_Sum!$I42)+($D$89*Mat_Sum!$AV42)+($D$90*Mat_Sum!$AR42)+($D$91*Mat_Sum!$AG42)+($D$92*Mat_Sum!$AG42)+($D$93*Mat_Sum!$F42)+($D$94*0))+($C$187*$B$187*$D$192*(($B$197*Mat_Sum!$D42)+($A$197*Mat_Sum!$AV42)))+($C$188*$B$188*$D$193*(($B$197*Mat_Sum!$D42)+($A$197*Mat_Sum!$AV42)))</f>
        <v>4.3690393088336439</v>
      </c>
      <c r="F406" s="2136">
        <f ca="1" xml:space="preserve"> $C$6*$D$13*(($D$96*Mat_Sum!$D42)+($D$97*Mat_Sum!$L42)+($D$98*Mat_Sum!$AG42)+($D$99*0))</f>
        <v>0.28682483785180263</v>
      </c>
      <c r="G406" s="2136">
        <f ca="1" xml:space="preserve"> $C$6*$D$14*(($D$101*Mat_Sum!$D42)+($D$102*Mat_Sum!$L42)+($D$103*Mat_Sum!$AG42)+($D$104*0))</f>
        <v>0</v>
      </c>
      <c r="H406" s="2136">
        <f ca="1" xml:space="preserve"> $C$6*$D$15*(($D$106*Mat_Sum!$D42)+($D$107*Mat_Sum!$L42)+($D$108*Mat_Sum!$AG42)+($D$109*Mat_Sum!$AV42)+($D$110*Mat_Sum!$AR42)+($D$111*0))</f>
        <v>3.3130903679471531E-2</v>
      </c>
      <c r="I406" s="2136">
        <f ca="1" xml:space="preserve"> $C$6*$D$17*(($D$113*Mat_Sum!$E42)+($D$114*Mat_Sum!$D42)+($D$115*Mat_Sum!$F42)+($D$116*Mat_Sum!$L42)+($D$117*Mat_Sum!$I42)+($D$118*0)+($D$119*Mat_Sum!$AV42)+($D$120*Mat_Sum!$AR42)+($D$121*Mat_Sum!$AG42)+($D$122*Mat_Sum!$AG42)+($D$123*Mat_Sum!$AS42)+($D$124*0)+($D$125*Mat_Sum!$E42)+($D$126*0))</f>
        <v>0</v>
      </c>
      <c r="J406" s="2136">
        <f ca="1">$C$6*$D$16*(($D$128*Mat_Sum!$AU42)+($D$129*Mat_Sum!$D42)+($D$130*Mat_Sum!$E42)+($D$131*Mat_Sum!$AS42)+($D$132*Mat_Sum!$I42)+($D$133*Mat_Sum!$AG42)+($D$134*Mat_Sum!$AQ42)+($D$135*Mat_Sum!$AO42)+($D$136*0))</f>
        <v>0</v>
      </c>
      <c r="K406" s="2406">
        <f ca="1" xml:space="preserve"> $C$6*$D$19*$D$138*Mat_Sum!$D42</f>
        <v>0</v>
      </c>
      <c r="L406" s="2223">
        <f t="shared" ca="1" si="12"/>
        <v>0.27693920042807774</v>
      </c>
      <c r="M406" s="2218">
        <f t="shared" ca="1" si="12"/>
        <v>0</v>
      </c>
      <c r="N406" s="2218">
        <f t="shared" ca="1" si="12"/>
        <v>1.4867977154980319E-2</v>
      </c>
      <c r="O406" s="2218">
        <f t="shared" ca="1" si="12"/>
        <v>0.65986895830326497</v>
      </c>
      <c r="P406" s="2218">
        <f t="shared" ca="1" si="12"/>
        <v>4.3320005518398146E-2</v>
      </c>
      <c r="Q406" s="2218">
        <f t="shared" ca="1" si="12"/>
        <v>0</v>
      </c>
      <c r="R406" s="2218">
        <f t="shared" ca="1" si="12"/>
        <v>5.0038585952789172E-3</v>
      </c>
      <c r="S406" s="2218">
        <f t="shared" ca="1" si="12"/>
        <v>0</v>
      </c>
      <c r="T406" s="2218">
        <f t="shared" ca="1" si="12"/>
        <v>0</v>
      </c>
      <c r="U406" s="2224">
        <f t="shared" ca="1" si="12"/>
        <v>0</v>
      </c>
      <c r="AI406" s="2299"/>
      <c r="AJ406" s="2299"/>
      <c r="AK406" s="2299"/>
      <c r="AL406" s="2299"/>
      <c r="AM406" s="2299"/>
      <c r="AN406" s="2299"/>
      <c r="AO406" s="2299"/>
      <c r="AP406" s="2299"/>
      <c r="AQ406" s="2299"/>
      <c r="AR406" s="2299"/>
    </row>
    <row r="407" spans="1:44">
      <c r="A407" s="2142" t="s">
        <v>828</v>
      </c>
      <c r="B407" s="2159">
        <f ca="1">($C$6*$D$18*(($D$24*Mat_Sum!$D43)+($D$25*Mat_Sum!$E43)+($D$26*Mat_Sum!$I43)+($D$27*Mat_Sum!$L43)+($D$28*Mat_Sum!$AR43)+($D$29*Mat_Sum!$AV43)+($D$30*Mat_Sum!$AS43)+($D$31*Mat_Sum!$AM43)+($D$32*Mat_Sum!$AG43)+($D$33*0)+($D$34*0)+($D$35*0)+($D$36*Mat_Sum!$CF43)+($D$37*Silicon!$K100)+($D$38*0)))+($D$201*(($D$207*Mat_Sum!$D43)+($D$208*Mat_Sum!$AV43)+($D$209*Mat_Sum!$AR43)))</f>
        <v>7.098604219423466</v>
      </c>
      <c r="C407" s="2242">
        <f ca="1">($C$6*$D$10*(($D$40*Mat_Sum!$E43)+($D$41*Mat_Sum!$D43)+($D$42*Mat_Sum!$L43)+($D$43*Mat_Sum!$I43)+($D$44*Mat_Sum!$F43)+($D$45*Mat_Sum!$AV43)+($D$46*Mat_Sum!$AR43)+($D$47*Mat_Sum!$AG43)+($D$48*((88%*Mat_Sum!$AG43)+(12%*0)))+($D$49*Mat_Sum!$CF43)+($D$50*Mat_Sum!$AN43)+($D$51*'C.Iron'!$I90)+($D$52*((80%*Mat_Sum!$U43)+(20%*Mat_Sum!$BA43)))+($D$53*Mat_Sum!$AW43)+($D$54*Mat_Sum!$AS43)+($D$55*Mat_Sum!$CQ43)+($D$56*Mat_Sum!$AQ43)+($D$57*Mat_Sum!$AO43)+($D$58*Mat_Sum!$AP43)+($D$59*Mat_Sum!$BJ43)+($D$60*Mat_Sum!$BI43)+($D$61*Mat_Sum!$AR43)+($D$62*0)+($D$63*Mat_Sum!$CF43)+($D$64*Mat_Sum!$BG43)+($D$65*Mat_Sum!$BI43)+($D$66*Mat_Sum!$U43)+($D$67*Mat_Sum!$BA43)+($D$68*Mat_Sum!$CP43)+($D$69*0)+($D$70*Mat_Sum!$AZ43)+($D$71*Mat_Sum!$AM43)+($D$72*0)))+($D$202*(($D$211*Mat_Sum!$D43)+($D$212*Mat_Sum!$BG43)+($D$213*Mat_Sum!$AV43)))</f>
        <v>0</v>
      </c>
      <c r="D407" s="2242">
        <f ca="1" xml:space="preserve"> $C$6*$D$11*(($D$74*Mat_Sum!$D43)+($D$75*Mat_Sum!$L43)+($D$76*Mat_Sum!$I43)+($D$77*Mat_Sum!$F43)+($D$78*Mat_Sum!$AV43)+($D$79*Mat_Sum!$AR43)+($D$80*Mat_Sum!$AG43)+($D$81*Mat_Sum!$AG43)+($D$82*Mat_Sum!$F43)+($D$83*0))</f>
        <v>0.50825148824424882</v>
      </c>
      <c r="E407" s="2242">
        <f ca="1" xml:space="preserve"> $C$6*$D$12*(($D$85*Mat_Sum!$D43)+($D$86*Mat_Sum!$F43)+($D$87*Mat_Sum!$L43)+($D$88*Mat_Sum!$I43)+($D$89*Mat_Sum!$AV43)+($D$90*Mat_Sum!$AR43)+($D$91*Mat_Sum!$AG43)+($D$92*Mat_Sum!$AG43)+($D$93*Mat_Sum!$F43)+($D$94*0))+($C$187*$B$187*$D$192*(($B$197*Mat_Sum!$D43)+($A$197*Mat_Sum!$AV43)))+($C$188*$B$188*$D$193*(($B$197*Mat_Sum!$D43)+($A$197*Mat_Sum!$AV43)))</f>
        <v>18.198991489501694</v>
      </c>
      <c r="F407" s="2242">
        <f ca="1" xml:space="preserve"> $C$6*$D$13*(($D$96*Mat_Sum!$D43)+($D$97*Mat_Sum!$L43)+($D$98*Mat_Sum!$AG43)+($D$99*0))</f>
        <v>1.1733010294918533</v>
      </c>
      <c r="G407" s="2242">
        <f ca="1" xml:space="preserve"> $C$6*$D$14*(($D$101*Mat_Sum!$D43)+($D$102*Mat_Sum!$L43)+($D$103*Mat_Sum!$AG43)+($D$104*0))</f>
        <v>0</v>
      </c>
      <c r="H407" s="2242">
        <f ca="1" xml:space="preserve"> $C$6*$D$15*(($D$106*Mat_Sum!$D43)+($D$107*Mat_Sum!$L43)+($D$108*Mat_Sum!$AG43)+($D$109*Mat_Sum!$AV43)+($D$110*Mat_Sum!$AR43)+($D$111*0))</f>
        <v>0.11242623467723234</v>
      </c>
      <c r="I407" s="2242">
        <f ca="1" xml:space="preserve"> $C$6*$D$17*(($D$113*Mat_Sum!$E43)+($D$114*Mat_Sum!$D43)+($D$115*Mat_Sum!$F43)+($D$116*Mat_Sum!$L43)+($D$117*Mat_Sum!$I43)+($D$118*0)+($D$119*Mat_Sum!$AV43)+($D$120*Mat_Sum!$AR43)+($D$121*Mat_Sum!$AG43)+($D$122*Mat_Sum!$AG43)+($D$123*Mat_Sum!$AS43)+($D$124*0)+($D$125*Mat_Sum!$E43)+($D$126*0))</f>
        <v>0</v>
      </c>
      <c r="J407" s="2242">
        <f ca="1">$C$6*$D$16*(($D$128*Mat_Sum!$AU43)+($D$129*Mat_Sum!$D43)+($D$130*Mat_Sum!$E43)+($D$131*Mat_Sum!$AS43)+($D$132*Mat_Sum!$I43)+($D$133*Mat_Sum!$AG43)+($D$134*Mat_Sum!$AQ43)+($D$135*Mat_Sum!$AO43)+($D$136*0))</f>
        <v>0</v>
      </c>
      <c r="K407" s="2413">
        <f ca="1" xml:space="preserve"> $C$6*$D$19*$D$138*Mat_Sum!$D43</f>
        <v>0</v>
      </c>
      <c r="L407" s="2184">
        <f t="shared" ca="1" si="12"/>
        <v>0.26202257936516954</v>
      </c>
      <c r="M407" s="2216">
        <f t="shared" ca="1" si="12"/>
        <v>0</v>
      </c>
      <c r="N407" s="2216">
        <f t="shared" ca="1" si="12"/>
        <v>1.8760500205315049E-2</v>
      </c>
      <c r="O407" s="2216">
        <f t="shared" ca="1" si="12"/>
        <v>0.67175835481517998</v>
      </c>
      <c r="P407" s="2216">
        <f t="shared" ca="1" si="12"/>
        <v>4.3308705854886102E-2</v>
      </c>
      <c r="Q407" s="2216">
        <f t="shared" ca="1" si="12"/>
        <v>0</v>
      </c>
      <c r="R407" s="2216">
        <f t="shared" ca="1" si="12"/>
        <v>4.1498597594492766E-3</v>
      </c>
      <c r="S407" s="2216">
        <f t="shared" ca="1" si="12"/>
        <v>0</v>
      </c>
      <c r="T407" s="2216">
        <f t="shared" ca="1" si="12"/>
        <v>0</v>
      </c>
      <c r="U407" s="2217">
        <f t="shared" ca="1" si="12"/>
        <v>0</v>
      </c>
      <c r="AI407" s="2299"/>
      <c r="AJ407" s="2299"/>
      <c r="AK407" s="2299"/>
      <c r="AL407" s="2299"/>
      <c r="AM407" s="2299"/>
      <c r="AN407" s="2299"/>
      <c r="AO407" s="2299"/>
      <c r="AP407" s="2299"/>
      <c r="AQ407" s="2299"/>
      <c r="AR407" s="2299"/>
    </row>
    <row r="409" spans="1:44">
      <c r="A409" s="2083" t="s">
        <v>2661</v>
      </c>
    </row>
    <row r="410" spans="1:44">
      <c r="A410" s="2176"/>
      <c r="B410" s="3177" t="s">
        <v>1875</v>
      </c>
      <c r="C410" s="3178"/>
      <c r="D410" s="3178"/>
      <c r="E410" s="3178"/>
      <c r="F410" s="3178"/>
      <c r="G410" s="3178"/>
      <c r="H410" s="3178"/>
      <c r="I410" s="3178"/>
      <c r="J410" s="3178"/>
      <c r="K410" s="3179"/>
      <c r="L410" s="3177" t="s">
        <v>1876</v>
      </c>
      <c r="M410" s="3178"/>
      <c r="N410" s="3178"/>
      <c r="O410" s="3178"/>
      <c r="P410" s="3178"/>
      <c r="Q410" s="3178"/>
      <c r="R410" s="3178"/>
      <c r="S410" s="3178"/>
      <c r="T410" s="3178"/>
      <c r="U410" s="3179"/>
    </row>
    <row r="411" spans="1:44" ht="51">
      <c r="A411" s="2096"/>
      <c r="B411" s="2400" t="s">
        <v>250</v>
      </c>
      <c r="C411" s="2401" t="s">
        <v>182</v>
      </c>
      <c r="D411" s="2401" t="s">
        <v>183</v>
      </c>
      <c r="E411" s="2401" t="s">
        <v>184</v>
      </c>
      <c r="F411" s="2401" t="s">
        <v>185</v>
      </c>
      <c r="G411" s="2401" t="s">
        <v>186</v>
      </c>
      <c r="H411" s="2306" t="s">
        <v>187</v>
      </c>
      <c r="I411" s="2306" t="s">
        <v>2427</v>
      </c>
      <c r="J411" s="2401" t="s">
        <v>1860</v>
      </c>
      <c r="K411" s="2414" t="s">
        <v>2349</v>
      </c>
      <c r="L411" s="2400" t="s">
        <v>250</v>
      </c>
      <c r="M411" s="2401" t="s">
        <v>182</v>
      </c>
      <c r="N411" s="2401" t="s">
        <v>183</v>
      </c>
      <c r="O411" s="2401" t="s">
        <v>184</v>
      </c>
      <c r="P411" s="2401" t="s">
        <v>185</v>
      </c>
      <c r="Q411" s="2401" t="s">
        <v>186</v>
      </c>
      <c r="R411" s="2306" t="s">
        <v>187</v>
      </c>
      <c r="S411" s="2306" t="s">
        <v>2427</v>
      </c>
      <c r="T411" s="2401" t="s">
        <v>1860</v>
      </c>
      <c r="U411" s="2414" t="s">
        <v>2349</v>
      </c>
    </row>
    <row r="412" spans="1:44">
      <c r="A412" s="2176" t="s">
        <v>1877</v>
      </c>
      <c r="B412" s="2398"/>
      <c r="C412" s="2302"/>
      <c r="D412" s="2302"/>
      <c r="E412" s="2302"/>
      <c r="F412" s="2091"/>
      <c r="G412" s="2091"/>
      <c r="H412" s="2091"/>
      <c r="I412" s="2091"/>
      <c r="J412" s="2091"/>
      <c r="K412" s="2183"/>
      <c r="L412" s="2398"/>
      <c r="M412" s="2302"/>
      <c r="N412" s="2302"/>
      <c r="O412" s="2302"/>
      <c r="P412" s="2091"/>
      <c r="Q412" s="2091"/>
      <c r="R412" s="2091"/>
      <c r="S412" s="2091"/>
      <c r="T412" s="2091"/>
      <c r="U412" s="2183"/>
    </row>
    <row r="413" spans="1:44">
      <c r="A413" s="2096" t="s">
        <v>816</v>
      </c>
      <c r="B413" s="2151">
        <f ca="1">($D$6*$E$18*(($E$24*Mat_Sum!$D15)+($E$25*Mat_Sum!$E15)+($E$26*Mat_Sum!$I15)+($E$27*Mat_Sum!$L15)+($E$28*Mat_Sum!$AR15)+($E$29*Mat_Sum!$AV15)+($E$30*Mat_Sum!$AS15)+($E$31*Mat_Sum!$AM15)+($E$32*Mat_Sum!$AG15)+($E$33*0)+($E$34*0)+($E$35*0)+($E$36*Mat_Sum!$CF15)+($E$37*Silicon!$K72)+($E$38*0)))+($E$201*(($E$207*Mat_Sum!$D15)+($E$208*Mat_Sum!$AV15)+($E$209*Mat_Sum!$AR15)))</f>
        <v>80.289988790155903</v>
      </c>
      <c r="C413" s="2136">
        <f ca="1">($D$6*$E$10*(($E$40*Mat_Sum!$E15)+($E$41*Mat_Sum!$D15)+($E$42*Mat_Sum!$L15)+($E$43*Mat_Sum!$I15)+($E$44*Mat_Sum!$F15)+($E$45*Mat_Sum!$AV15)+($E$46*Mat_Sum!$AR15)+($E$47*Mat_Sum!$AG15)+($E$48*((88%*Mat_Sum!$AG15)+(12%*0)))+($E$49*Mat_Sum!$CF15)+($E$50*Mat_Sum!$AN15)+($E$51*'C.Iron'!$I62)+($E$52*((80%*Mat_Sum!$U15)+(20%*Mat_Sum!$BA15)))+($E$53*Mat_Sum!$AW15)+($E$54*Mat_Sum!$AS15)+($E$55*Mat_Sum!$CQ15)+($E$56*Mat_Sum!$AQ15)+($E$57*Mat_Sum!$AO15)+($E$58*Mat_Sum!$AP15)+($E$59*Mat_Sum!$BJ15)+($E$60*Mat_Sum!$BI15)+($E$61*Mat_Sum!$AR15)+($E$62*0)+($E$63*Mat_Sum!$CF15)+($E$64*Mat_Sum!$BG15)+($E$65*Mat_Sum!$BI15)+($E$66*Mat_Sum!$U15)+($E$67*Mat_Sum!$BA15)+($E$68*Mat_Sum!$CP15)+($E$69*0)+($E$70*Mat_Sum!$AZ15)+($E$71*Mat_Sum!$AM15)+($E$72*0)))+($E$202*(($E$211*Mat_Sum!$D15)+($E$212*Mat_Sum!$BG15)+($E$213*Mat_Sum!$AV15)))</f>
        <v>36.928086577396634</v>
      </c>
      <c r="D413" s="2136">
        <f ca="1" xml:space="preserve"> $D$6*$E$11*(($E$74*Mat_Sum!$D15)+($E$75*Mat_Sum!$L15)+($E$76*Mat_Sum!$I15)+($E$77*Mat_Sum!$F15)+($E$78*Mat_Sum!$AV15)+($E$79*Mat_Sum!$AR15)+($E$80*Mat_Sum!$AG15)+($E$81*Mat_Sum!$AG15)+($E$82*Mat_Sum!$F15)+($E$83*0))</f>
        <v>5.6323555786292712</v>
      </c>
      <c r="E413" s="2136">
        <f ca="1" xml:space="preserve"> $D$6*$E$12*(($E$85*Mat_Sum!$D15)+($E$86*Mat_Sum!$F15)+($E$87*Mat_Sum!$L15)+($E$88*Mat_Sum!$I15)+($E$89*Mat_Sum!$AV15)+($E$90*Mat_Sum!$AR15)+($E$91*Mat_Sum!$AG15)+($E$92*Mat_Sum!$AG15)+($E$93*Mat_Sum!$F15)+($D$94*0))+($C$187*$B$187*$E$192*(($B$197*Mat_Sum!$D15)+($A$197*Mat_Sum!$AV15)))+($C$188*$B$188*$E$193*(($B$197*Mat_Sum!$D15)+($A$197*Mat_Sum!$AV15)))</f>
        <v>230.10237627110141</v>
      </c>
      <c r="F413" s="2136">
        <f ca="1" xml:space="preserve"> $D$6*$E$13*(($E$96*Mat_Sum!$D15)+($E$97*Mat_Sum!$L15)+($E$98*Mat_Sum!$AG15)+($E$99*0))</f>
        <v>10.918844265055874</v>
      </c>
      <c r="G413" s="2136">
        <f ca="1" xml:space="preserve"> $D$6*$E$14*(($E$101*Mat_Sum!$D15)+($E$102*Mat_Sum!$L15)+($E$103*Mat_Sum!$AG15)+($E$104*0))</f>
        <v>0</v>
      </c>
      <c r="H413" s="2136">
        <f ca="1" xml:space="preserve"> $D$6*$E$15*(($E$106*Mat_Sum!$D15)+($E$107*Mat_Sum!$L15)+($E$108*Mat_Sum!$AG15)+($E$109*Mat_Sum!$AV15)+($E$110*Mat_Sum!$AR15)+($E$111*0))</f>
        <v>1.461911416234511</v>
      </c>
      <c r="I413" s="2136">
        <f ca="1" xml:space="preserve"> $D$6*$E$17*(($E$113*Mat_Sum!$E15)+($E$114*Mat_Sum!$D15)+($E$115*Mat_Sum!$F15)+($E$116*Mat_Sum!$L15)+($E$117*Mat_Sum!$I15)+($E$118*0)+($E$119*Mat_Sum!$AV15)+($E$120*Mat_Sum!$AR15)+($E$121*Mat_Sum!$AG15)+($E$122*Mat_Sum!$AG15)+($E$123*Mat_Sum!$AS15)+($E$124*0)+($E$125*Mat_Sum!$E15)+($E$126*0))</f>
        <v>0</v>
      </c>
      <c r="J413" s="2136">
        <f ca="1">$D$6*$E$16*(($E$128*Mat_Sum!$AU15)+($E$129*Mat_Sum!$D15)+($E$130*Mat_Sum!$E15)+($E$131*Mat_Sum!$AS15)+($E$132*Mat_Sum!$I15)+($E$133*Mat_Sum!$AG15)+($E$134*Mat_Sum!$AQ15)+($E$135*Mat_Sum!$AO15)+($E$136*0))</f>
        <v>426.08893158810127</v>
      </c>
      <c r="K413" s="2406">
        <f ca="1" xml:space="preserve"> $D$6*$E$19*$E$138*Mat_Sum!$D15</f>
        <v>0</v>
      </c>
      <c r="L413" s="2223">
        <f t="shared" ref="L413:U418" ca="1" si="13">B413/$E276</f>
        <v>0.10145022329979747</v>
      </c>
      <c r="M413" s="2218">
        <f t="shared" ca="1" si="13"/>
        <v>4.6660395471003868E-2</v>
      </c>
      <c r="N413" s="2218">
        <f t="shared" ca="1" si="13"/>
        <v>7.1167494200205629E-3</v>
      </c>
      <c r="O413" s="2218">
        <f t="shared" ca="1" si="13"/>
        <v>0.2907453071830467</v>
      </c>
      <c r="P413" s="2218">
        <f t="shared" ca="1" si="13"/>
        <v>1.3796479555636024E-2</v>
      </c>
      <c r="Q413" s="2218">
        <f t="shared" ca="1" si="13"/>
        <v>0</v>
      </c>
      <c r="R413" s="2218">
        <f t="shared" ca="1" si="13"/>
        <v>1.8471946734123627E-3</v>
      </c>
      <c r="S413" s="2218">
        <f t="shared" ca="1" si="13"/>
        <v>0</v>
      </c>
      <c r="T413" s="2218">
        <f t="shared" ca="1" si="13"/>
        <v>0.53838365039708291</v>
      </c>
      <c r="U413" s="2224">
        <f t="shared" ca="1" si="13"/>
        <v>0</v>
      </c>
      <c r="AI413" s="2299"/>
      <c r="AJ413" s="2299"/>
      <c r="AK413" s="2299"/>
      <c r="AL413" s="2299"/>
      <c r="AM413" s="2299"/>
      <c r="AN413" s="2299"/>
      <c r="AO413" s="2299"/>
      <c r="AP413" s="2299"/>
      <c r="AQ413" s="2299"/>
      <c r="AR413" s="2299"/>
    </row>
    <row r="414" spans="1:44">
      <c r="A414" s="2096" t="s">
        <v>817</v>
      </c>
      <c r="B414" s="2151">
        <f ca="1">($D$6*$E$18*(($E$24*Mat_Sum!$D16)+($E$25*Mat_Sum!$E16)+($E$26*Mat_Sum!$I16)+($E$27*Mat_Sum!$L16)+($E$28*Mat_Sum!$AR16)+($E$29*Mat_Sum!$AV16)+($E$30*Mat_Sum!$AS16)+($E$31*Mat_Sum!$AM16)+($E$32*Mat_Sum!$AG16)+($E$33*0)+($E$34*0)+($E$35*0)+($E$36*Mat_Sum!$CF16)+($E$37*Silicon!$K73)+($E$38*0)))+($E$201*(($E$207*Mat_Sum!$D16)+($E$208*Mat_Sum!$AV16)+($E$209*Mat_Sum!$AR16)))</f>
        <v>69.938296416327731</v>
      </c>
      <c r="C414" s="2136">
        <f ca="1">($D$6*$E$10*(($E$40*Mat_Sum!$E16)+($E$41*Mat_Sum!$D16)+($E$42*Mat_Sum!$L16)+($E$43*Mat_Sum!$I16)+($E$44*Mat_Sum!$F16)+($E$45*Mat_Sum!$AV16)+($E$46*Mat_Sum!$AR16)+($E$47*Mat_Sum!$AG16)+($E$48*((88%*Mat_Sum!$AG16)+(12%*0)))+($E$49*Mat_Sum!$CF16)+($E$50*Mat_Sum!$AN16)+($E$51*'C.Iron'!$I63)+($E$52*((80%*Mat_Sum!$U16)+(20%*Mat_Sum!$BA16)))+($E$53*Mat_Sum!$AW16)+($E$54*Mat_Sum!$AS16)+($E$55*Mat_Sum!$CQ16)+($E$56*Mat_Sum!$AQ16)+($E$57*Mat_Sum!$AO16)+($E$58*Mat_Sum!$AP16)+($E$59*Mat_Sum!$BJ16)+($E$60*Mat_Sum!$BI16)+($E$61*Mat_Sum!$AR16)+($E$62*0)+($E$63*Mat_Sum!$CF16)+($E$64*Mat_Sum!$BG16)+($E$65*Mat_Sum!$BI16)+($E$66*Mat_Sum!$U16)+($E$67*Mat_Sum!$BA16)+($E$68*Mat_Sum!$CP16)+($E$69*0)+($E$70*Mat_Sum!$AZ16)+($E$71*Mat_Sum!$AM16)+($E$72*0)))+($E$202*(($E$211*Mat_Sum!$D16)+($E$212*Mat_Sum!$BG16)+($E$213*Mat_Sum!$AV16)))</f>
        <v>32.181245591405499</v>
      </c>
      <c r="D414" s="2136">
        <f ca="1" xml:space="preserve"> $D$6*$E$11*(($E$74*Mat_Sum!$D16)+($E$75*Mat_Sum!$L16)+($E$76*Mat_Sum!$I16)+($E$77*Mat_Sum!$F16)+($E$78*Mat_Sum!$AV16)+($E$79*Mat_Sum!$AR16)+($E$80*Mat_Sum!$AG16)+($E$81*Mat_Sum!$AG16)+($E$82*Mat_Sum!$F16)+($E$83*0))</f>
        <v>5.3073444419871612</v>
      </c>
      <c r="E414" s="2136">
        <f ca="1" xml:space="preserve"> $D$6*$E$12*(($E$85*Mat_Sum!$D16)+($E$86*Mat_Sum!$F16)+($E$87*Mat_Sum!$L16)+($E$88*Mat_Sum!$I16)+($E$89*Mat_Sum!$AV16)+($E$90*Mat_Sum!$AR16)+($E$91*Mat_Sum!$AG16)+($E$92*Mat_Sum!$AG16)+($E$93*Mat_Sum!$F16)+($D$94*0))+($C$187*$B$187*$E$192*(($B$197*Mat_Sum!$D16)+($A$197*Mat_Sum!$AV16)))+($C$188*$B$188*$E$193*(($B$197*Mat_Sum!$D16)+($A$197*Mat_Sum!$AV16)))</f>
        <v>217.32522573620787</v>
      </c>
      <c r="F414" s="2136">
        <f ca="1" xml:space="preserve"> $D$6*$E$13*(($E$96*Mat_Sum!$D16)+($E$97*Mat_Sum!$L16)+($E$98*Mat_Sum!$AG16)+($E$99*0))</f>
        <v>9.0574918036692456</v>
      </c>
      <c r="G414" s="2136">
        <f ca="1" xml:space="preserve"> $D$6*$E$14*(($E$101*Mat_Sum!$D16)+($E$102*Mat_Sum!$L16)+($E$103*Mat_Sum!$AG16)+($E$104*0))</f>
        <v>0</v>
      </c>
      <c r="H414" s="2136">
        <f ca="1" xml:space="preserve"> $D$6*$E$15*(($E$106*Mat_Sum!$D16)+($E$107*Mat_Sum!$L16)+($E$108*Mat_Sum!$AG16)+($E$109*Mat_Sum!$AV16)+($E$110*Mat_Sum!$AR16)+($E$111*0))</f>
        <v>1.2569764218297603</v>
      </c>
      <c r="I414" s="2136">
        <f ca="1" xml:space="preserve"> $D$6*$E$17*(($E$113*Mat_Sum!$E16)+($E$114*Mat_Sum!$D16)+($E$115*Mat_Sum!$F16)+($E$116*Mat_Sum!$L16)+($E$117*Mat_Sum!$I16)+($E$118*0)+($E$119*Mat_Sum!$AV16)+($E$120*Mat_Sum!$AR16)+($E$121*Mat_Sum!$AG16)+($E$122*Mat_Sum!$AG16)+($E$123*Mat_Sum!$AS16)+($E$124*0)+($E$125*Mat_Sum!$E16)+($E$126*0))</f>
        <v>0</v>
      </c>
      <c r="J414" s="2136">
        <f ca="1">$D$6*$E$16*(($E$128*Mat_Sum!$AU16)+($E$129*Mat_Sum!$D16)+($E$130*Mat_Sum!$E16)+($E$131*Mat_Sum!$AS16)+($E$132*Mat_Sum!$I16)+($E$133*Mat_Sum!$AG16)+($E$134*Mat_Sum!$AQ16)+($E$135*Mat_Sum!$AO16)+($E$136*0))</f>
        <v>382.29686627767973</v>
      </c>
      <c r="K414" s="2406">
        <f ca="1" xml:space="preserve"> $D$6*$E$19*$E$138*Mat_Sum!$D16</f>
        <v>0</v>
      </c>
      <c r="L414" s="2223">
        <f t="shared" ca="1" si="13"/>
        <v>9.7493532377650974E-2</v>
      </c>
      <c r="M414" s="2218">
        <f t="shared" ca="1" si="13"/>
        <v>4.4860447991786664E-2</v>
      </c>
      <c r="N414" s="2218">
        <f t="shared" ca="1" si="13"/>
        <v>7.3984037888778498E-3</v>
      </c>
      <c r="O414" s="2218">
        <f t="shared" ca="1" si="13"/>
        <v>0.30294995756926679</v>
      </c>
      <c r="P414" s="2218">
        <f t="shared" ca="1" si="13"/>
        <v>1.2626084930132507E-2</v>
      </c>
      <c r="Q414" s="2218">
        <f t="shared" ca="1" si="13"/>
        <v>0</v>
      </c>
      <c r="R414" s="2218">
        <f t="shared" ca="1" si="13"/>
        <v>1.752216993535374E-3</v>
      </c>
      <c r="S414" s="2218">
        <f t="shared" ca="1" si="13"/>
        <v>0</v>
      </c>
      <c r="T414" s="2218">
        <f t="shared" ca="1" si="13"/>
        <v>0.5329193563487501</v>
      </c>
      <c r="U414" s="2224">
        <f t="shared" ca="1" si="13"/>
        <v>0</v>
      </c>
      <c r="AI414" s="2299"/>
      <c r="AJ414" s="2299"/>
      <c r="AK414" s="2299"/>
      <c r="AL414" s="2299"/>
      <c r="AM414" s="2299"/>
      <c r="AN414" s="2299"/>
      <c r="AO414" s="2299"/>
      <c r="AP414" s="2299"/>
      <c r="AQ414" s="2299"/>
      <c r="AR414" s="2299"/>
    </row>
    <row r="415" spans="1:44" ht="13.5" customHeight="1">
      <c r="A415" s="2096" t="s">
        <v>805</v>
      </c>
      <c r="B415" s="2151">
        <f ca="1">($D$6*$E$18*(($E$24*Mat_Sum!$D17)+($E$25*Mat_Sum!$E17)+($E$26*Mat_Sum!$I17)+($E$27*Mat_Sum!$L17)+($E$28*Mat_Sum!$AR17)+($E$29*Mat_Sum!$AV17)+($E$30*Mat_Sum!$AS17)+($E$31*Mat_Sum!$AM17)+($E$32*Mat_Sum!$AG17)+($E$33*0)+($E$34*0)+($E$35*0)+($E$36*Mat_Sum!$CF17)+($E$37*Silicon!$K74)+($E$38*0)))+($E$201*(($E$207*Mat_Sum!$D17)+($E$208*Mat_Sum!$AV17)+($E$209*Mat_Sum!$AR17)))</f>
        <v>16.1388211699098</v>
      </c>
      <c r="C415" s="2136">
        <f ca="1">($D$6*$E$10*(($E$40*Mat_Sum!$E17)+($E$41*Mat_Sum!$D17)+($E$42*Mat_Sum!$L17)+($E$43*Mat_Sum!$I17)+($E$44*Mat_Sum!$F17)+($E$45*Mat_Sum!$AV17)+($E$46*Mat_Sum!$AR17)+($E$47*Mat_Sum!$AG17)+($E$48*((88%*Mat_Sum!$AG17)+(12%*0)))+($E$49*Mat_Sum!$CF17)+($E$50*Mat_Sum!$AN17)+($E$51*'C.Iron'!$I64)+($E$52*((80%*Mat_Sum!$U17)+(20%*Mat_Sum!$BA17)))+($E$53*Mat_Sum!$AW17)+($E$54*Mat_Sum!$AS17)+($E$55*Mat_Sum!$CQ17)+($E$56*Mat_Sum!$AQ17)+($E$57*Mat_Sum!$AO17)+($E$58*Mat_Sum!$AP17)+($E$59*Mat_Sum!$BJ17)+($E$60*Mat_Sum!$BI17)+($E$61*Mat_Sum!$AR17)+($E$62*0)+($E$63*Mat_Sum!$CF17)+($E$64*Mat_Sum!$BG17)+($E$65*Mat_Sum!$BI17)+($E$66*Mat_Sum!$U17)+($E$67*Mat_Sum!$BA17)+($E$68*Mat_Sum!$CP17)+($E$69*0)+($E$70*Mat_Sum!$AZ17)+($E$71*Mat_Sum!$AM17)+($E$72*0)))+($E$202*(($E$211*Mat_Sum!$D17)+($E$212*Mat_Sum!$BG17)+($E$213*Mat_Sum!$AV17)))</f>
        <v>6.4363619098948543</v>
      </c>
      <c r="D415" s="2136">
        <f ca="1" xml:space="preserve"> $D$6*$E$11*(($E$74*Mat_Sum!$D17)+($E$75*Mat_Sum!$L17)+($E$76*Mat_Sum!$I17)+($E$77*Mat_Sum!$F17)+($E$78*Mat_Sum!$AV17)+($E$79*Mat_Sum!$AR17)+($E$80*Mat_Sum!$AG17)+($E$81*Mat_Sum!$AG17)+($E$82*Mat_Sum!$F17)+($E$83*0))</f>
        <v>3.1068114318458036</v>
      </c>
      <c r="E415" s="2136">
        <f ca="1" xml:space="preserve"> $D$6*$E$12*(($E$85*Mat_Sum!$D17)+($E$86*Mat_Sum!$F17)+($E$87*Mat_Sum!$L17)+($E$88*Mat_Sum!$I17)+($E$89*Mat_Sum!$AV17)+($E$90*Mat_Sum!$AR17)+($E$91*Mat_Sum!$AG17)+($E$92*Mat_Sum!$AG17)+($E$93*Mat_Sum!$F17)+($D$94*0))+($C$187*$B$187*$E$192*(($B$197*Mat_Sum!$D17)+($A$197*Mat_Sum!$AV17)))+($C$188*$B$188*$E$193*(($B$197*Mat_Sum!$D17)+($A$197*Mat_Sum!$AV17)))</f>
        <v>86.36917512015232</v>
      </c>
      <c r="F415" s="2136">
        <f ca="1" xml:space="preserve"> $D$6*$E$13*(($E$96*Mat_Sum!$D17)+($E$97*Mat_Sum!$L17)+($E$98*Mat_Sum!$AG17)+($E$99*0))</f>
        <v>3.4610113906610027</v>
      </c>
      <c r="G415" s="2136">
        <f ca="1" xml:space="preserve"> $D$6*$E$14*(($E$101*Mat_Sum!$D17)+($E$102*Mat_Sum!$L17)+($E$103*Mat_Sum!$AG17)+($E$104*0))</f>
        <v>0</v>
      </c>
      <c r="H415" s="2136">
        <f ca="1" xml:space="preserve"> $D$6*$E$15*(($E$106*Mat_Sum!$D17)+($E$107*Mat_Sum!$L17)+($E$108*Mat_Sum!$AG17)+($E$109*Mat_Sum!$AV17)+($E$110*Mat_Sum!$AR17)+($E$111*0))</f>
        <v>0.19187981863118284</v>
      </c>
      <c r="I415" s="2136">
        <f ca="1" xml:space="preserve"> $D$6*$E$17*(($E$113*Mat_Sum!$E17)+($E$114*Mat_Sum!$D17)+($E$115*Mat_Sum!$F17)+($E$116*Mat_Sum!$L17)+($E$117*Mat_Sum!$I17)+($E$118*0)+($E$119*Mat_Sum!$AV17)+($E$120*Mat_Sum!$AR17)+($E$121*Mat_Sum!$AG17)+($E$122*Mat_Sum!$AG17)+($E$123*Mat_Sum!$AS17)+($E$124*0)+($E$125*Mat_Sum!$E17)+($E$126*0))</f>
        <v>0</v>
      </c>
      <c r="J415" s="2136">
        <f ca="1">$D$6*$E$16*(($E$128*Mat_Sum!$AU17)+($E$129*Mat_Sum!$D17)+($E$130*Mat_Sum!$E17)+($E$131*Mat_Sum!$AS17)+($E$132*Mat_Sum!$I17)+($E$133*Mat_Sum!$AG17)+($E$134*Mat_Sum!$AQ17)+($E$135*Mat_Sum!$AO17)+($E$136*0))</f>
        <v>58.068015880427062</v>
      </c>
      <c r="K415" s="2406">
        <f ca="1" xml:space="preserve"> $D$6*$E$19*$E$138*Mat_Sum!$D17</f>
        <v>0</v>
      </c>
      <c r="L415" s="2223">
        <f t="shared" ca="1" si="13"/>
        <v>9.2873501165397346E-2</v>
      </c>
      <c r="M415" s="2218">
        <f t="shared" ca="1" si="13"/>
        <v>3.7039103354962064E-2</v>
      </c>
      <c r="N415" s="2218">
        <f t="shared" ca="1" si="13"/>
        <v>1.7878657437147481E-2</v>
      </c>
      <c r="O415" s="2218">
        <f t="shared" ca="1" si="13"/>
        <v>0.49702562546089019</v>
      </c>
      <c r="P415" s="2218">
        <f t="shared" ca="1" si="13"/>
        <v>1.9916959364003204E-2</v>
      </c>
      <c r="Q415" s="2218">
        <f t="shared" ca="1" si="13"/>
        <v>0</v>
      </c>
      <c r="R415" s="2218">
        <f t="shared" ca="1" si="13"/>
        <v>1.1042039794384184E-3</v>
      </c>
      <c r="S415" s="2218">
        <f t="shared" ca="1" si="13"/>
        <v>0</v>
      </c>
      <c r="T415" s="2218">
        <f t="shared" ca="1" si="13"/>
        <v>0.33416194923816084</v>
      </c>
      <c r="U415" s="2224">
        <f t="shared" ca="1" si="13"/>
        <v>0</v>
      </c>
      <c r="AI415" s="2299"/>
      <c r="AJ415" s="2299"/>
      <c r="AK415" s="2299"/>
      <c r="AL415" s="2299"/>
      <c r="AM415" s="2299"/>
      <c r="AN415" s="2299"/>
      <c r="AO415" s="2299"/>
      <c r="AP415" s="2299"/>
      <c r="AQ415" s="2299"/>
      <c r="AR415" s="2299"/>
    </row>
    <row r="416" spans="1:44">
      <c r="A416" s="2096" t="s">
        <v>804</v>
      </c>
      <c r="B416" s="2151">
        <f ca="1">($D$6*$E$18*(($E$24*Mat_Sum!$D18)+($E$25*Mat_Sum!$E18)+($E$26*Mat_Sum!$I18)+($E$27*Mat_Sum!$L18)+($E$28*Mat_Sum!$AR18)+($E$29*Mat_Sum!$AV18)+($E$30*Mat_Sum!$AS18)+($E$31*Mat_Sum!$AM18)+($E$32*Mat_Sum!$AG18)+($E$33*0)+($E$34*0)+($E$35*0)+($E$36*Mat_Sum!$CF18)+($E$37*Silicon!$K75)+($E$38*0)))+($E$201*(($E$207*Mat_Sum!$D18)+($E$208*Mat_Sum!$AV18)+($E$209*Mat_Sum!$AR18)))</f>
        <v>41.138328886654485</v>
      </c>
      <c r="C416" s="2136">
        <f ca="1">($D$6*$E$10*(($E$40*Mat_Sum!$E18)+($E$41*Mat_Sum!$D18)+($E$42*Mat_Sum!$L18)+($E$43*Mat_Sum!$I18)+($E$44*Mat_Sum!$F18)+($E$45*Mat_Sum!$AV18)+($E$46*Mat_Sum!$AR18)+($E$47*Mat_Sum!$AG18)+($E$48*((88%*Mat_Sum!$AG18)+(12%*0)))+($E$49*Mat_Sum!$CF18)+($E$50*Mat_Sum!$AN18)+($E$51*'C.Iron'!$I65)+($E$52*((80%*Mat_Sum!$U18)+(20%*Mat_Sum!$BA18)))+($E$53*Mat_Sum!$AW18)+($E$54*Mat_Sum!$AS18)+($E$55*Mat_Sum!$CQ18)+($E$56*Mat_Sum!$AQ18)+($E$57*Mat_Sum!$AO18)+($E$58*Mat_Sum!$AP18)+($E$59*Mat_Sum!$BJ18)+($E$60*Mat_Sum!$BI18)+($E$61*Mat_Sum!$AR18)+($E$62*0)+($E$63*Mat_Sum!$CF18)+($E$64*Mat_Sum!$BG18)+($E$65*Mat_Sum!$BI18)+($E$66*Mat_Sum!$U18)+($E$67*Mat_Sum!$BA18)+($E$68*Mat_Sum!$CP18)+($E$69*0)+($E$70*Mat_Sum!$AZ18)+($E$71*Mat_Sum!$AM18)+($E$72*0)))+($E$202*(($E$211*Mat_Sum!$D18)+($E$212*Mat_Sum!$BG18)+($E$213*Mat_Sum!$AV18)))</f>
        <v>16.702742313300789</v>
      </c>
      <c r="D416" s="2136">
        <f ca="1" xml:space="preserve"> $D$6*$E$11*(($E$74*Mat_Sum!$D18)+($E$75*Mat_Sum!$L18)+($E$76*Mat_Sum!$I18)+($E$77*Mat_Sum!$F18)+($E$78*Mat_Sum!$AV18)+($E$79*Mat_Sum!$AR18)+($E$80*Mat_Sum!$AG18)+($E$81*Mat_Sum!$AG18)+($E$82*Mat_Sum!$F18)+($E$83*0))</f>
        <v>1.9190123152457168</v>
      </c>
      <c r="E416" s="2136">
        <f ca="1" xml:space="preserve"> $D$6*$E$12*(($E$85*Mat_Sum!$D18)+($E$86*Mat_Sum!$F18)+($E$87*Mat_Sum!$L18)+($E$88*Mat_Sum!$I18)+($E$89*Mat_Sum!$AV18)+($E$90*Mat_Sum!$AR18)+($E$91*Mat_Sum!$AG18)+($E$92*Mat_Sum!$AG18)+($E$93*Mat_Sum!$F18)+($D$94*0))+($C$187*$B$187*$E$192*(($B$197*Mat_Sum!$D18)+($A$197*Mat_Sum!$AV18)))+($C$188*$B$188*$E$193*(($B$197*Mat_Sum!$D18)+($A$197*Mat_Sum!$AV18)))</f>
        <v>94.784536997403549</v>
      </c>
      <c r="F416" s="2136">
        <f ca="1" xml:space="preserve"> $D$6*$E$13*(($E$96*Mat_Sum!$D18)+($E$97*Mat_Sum!$L18)+($E$98*Mat_Sum!$AG18)+($E$99*0))</f>
        <v>4.7736905970804324</v>
      </c>
      <c r="G416" s="2136">
        <f ca="1" xml:space="preserve"> $D$6*$E$14*(($E$101*Mat_Sum!$D18)+($E$102*Mat_Sum!$L18)+($E$103*Mat_Sum!$AG18)+($E$104*0))</f>
        <v>0</v>
      </c>
      <c r="H416" s="2136">
        <f ca="1" xml:space="preserve"> $D$6*$E$15*(($E$106*Mat_Sum!$D18)+($E$107*Mat_Sum!$L18)+($E$108*Mat_Sum!$AG18)+($E$109*Mat_Sum!$AV18)+($E$110*Mat_Sum!$AR18)+($E$111*0))</f>
        <v>0.79388607566391189</v>
      </c>
      <c r="I416" s="2136">
        <f ca="1" xml:space="preserve"> $D$6*$E$17*(($E$113*Mat_Sum!$E18)+($E$114*Mat_Sum!$D18)+($E$115*Mat_Sum!$F18)+($E$116*Mat_Sum!$L18)+($E$117*Mat_Sum!$I18)+($E$118*0)+($E$119*Mat_Sum!$AV18)+($E$120*Mat_Sum!$AR18)+($E$121*Mat_Sum!$AG18)+($E$122*Mat_Sum!$AG18)+($E$123*Mat_Sum!$AS18)+($E$124*0)+($E$125*Mat_Sum!$E18)+($E$126*0))</f>
        <v>0</v>
      </c>
      <c r="J416" s="2136">
        <f ca="1">$D$6*$E$16*(($E$128*Mat_Sum!$AU18)+($E$129*Mat_Sum!$D18)+($E$130*Mat_Sum!$E18)+($E$131*Mat_Sum!$AS18)+($E$132*Mat_Sum!$I18)+($E$133*Mat_Sum!$AG18)+($E$134*Mat_Sum!$AQ18)+($E$135*Mat_Sum!$AO18)+($E$136*0))</f>
        <v>216.85690557824307</v>
      </c>
      <c r="K416" s="2406">
        <f ca="1" xml:space="preserve"> $D$6*$E$19*$E$138*Mat_Sum!$D18</f>
        <v>0</v>
      </c>
      <c r="L416" s="2223">
        <f t="shared" ca="1" si="13"/>
        <v>0.10912917951382742</v>
      </c>
      <c r="M416" s="2218">
        <f t="shared" ca="1" si="13"/>
        <v>4.4307987553493348E-2</v>
      </c>
      <c r="N416" s="2218">
        <f t="shared" ca="1" si="13"/>
        <v>5.0906355485828341E-3</v>
      </c>
      <c r="O416" s="2218">
        <f t="shared" ca="1" si="13"/>
        <v>0.2514384767943319</v>
      </c>
      <c r="P416" s="2218">
        <f t="shared" ca="1" si="13"/>
        <v>1.2663347107452859E-2</v>
      </c>
      <c r="Q416" s="2218">
        <f t="shared" ca="1" si="13"/>
        <v>0</v>
      </c>
      <c r="R416" s="2218">
        <f t="shared" ca="1" si="13"/>
        <v>2.1059712051833073E-3</v>
      </c>
      <c r="S416" s="2218">
        <f t="shared" ca="1" si="13"/>
        <v>0</v>
      </c>
      <c r="T416" s="2218">
        <f t="shared" ca="1" si="13"/>
        <v>0.57526440227712827</v>
      </c>
      <c r="U416" s="2224">
        <f t="shared" ca="1" si="13"/>
        <v>0</v>
      </c>
      <c r="AI416" s="2299"/>
      <c r="AJ416" s="2299"/>
      <c r="AK416" s="2299"/>
      <c r="AL416" s="2299"/>
      <c r="AM416" s="2299"/>
      <c r="AN416" s="2299"/>
      <c r="AO416" s="2299"/>
      <c r="AP416" s="2299"/>
      <c r="AQ416" s="2299"/>
      <c r="AR416" s="2299"/>
    </row>
    <row r="417" spans="1:44">
      <c r="A417" s="2097" t="s">
        <v>818</v>
      </c>
      <c r="B417" s="2159">
        <f ca="1">($D$6*$E$18*(($E$24*Mat_Sum!$D19)+($E$25*Mat_Sum!$E19)+($E$26*Mat_Sum!$I19)+($E$27*Mat_Sum!$L19)+($E$28*Mat_Sum!$AR19)+($E$29*Mat_Sum!$AV19)+($E$30*Mat_Sum!$AS19)+($E$31*Mat_Sum!$AM19)+($E$32*Mat_Sum!$AG19)+($E$33*0)+($E$34*0)+($E$35*0)+($E$36*Mat_Sum!$CF19)+($E$37*Silicon!$K76)+($E$38*0)))+($E$201*(($E$207*Mat_Sum!$D19)+($E$208*Mat_Sum!$AV19)+($E$209*Mat_Sum!$AR19)))</f>
        <v>12.661146359763428</v>
      </c>
      <c r="C417" s="2242">
        <f ca="1">($D$6*$E$10*(($E$40*Mat_Sum!$E19)+($E$41*Mat_Sum!$D19)+($E$42*Mat_Sum!$L19)+($E$43*Mat_Sum!$I19)+($E$44*Mat_Sum!$F19)+($E$45*Mat_Sum!$AV19)+($E$46*Mat_Sum!$AR19)+($E$47*Mat_Sum!$AG19)+($E$48*((88%*Mat_Sum!$AG19)+(12%*0)))+($E$49*Mat_Sum!$CF19)+($E$50*Mat_Sum!$AN19)+($E$51*'C.Iron'!$I66)+($E$52*((80%*Mat_Sum!$U19)+(20%*Mat_Sum!$BA19)))+($E$53*Mat_Sum!$AW19)+($E$54*Mat_Sum!$AS19)+($E$55*Mat_Sum!$CQ19)+($E$56*Mat_Sum!$AQ19)+($E$57*Mat_Sum!$AO19)+($E$58*Mat_Sum!$AP19)+($E$59*Mat_Sum!$BJ19)+($E$60*Mat_Sum!$BI19)+($E$61*Mat_Sum!$AR19)+($E$62*0)+($E$63*Mat_Sum!$CF19)+($E$64*Mat_Sum!$BG19)+($E$65*Mat_Sum!$BI19)+($E$66*Mat_Sum!$U19)+($E$67*Mat_Sum!$BA19)+($E$68*Mat_Sum!$CP19)+($E$69*0)+($E$70*Mat_Sum!$AZ19)+($E$71*Mat_Sum!$AM19)+($E$72*0)))+($E$202*(($E$211*Mat_Sum!$D19)+($E$212*Mat_Sum!$BG19)+($E$213*Mat_Sum!$AV19)))</f>
        <v>9.0421413682098493</v>
      </c>
      <c r="D417" s="2136">
        <f ca="1" xml:space="preserve"> $D$6*$E$11*(($E$74*Mat_Sum!$D19)+($E$75*Mat_Sum!$L19)+($E$76*Mat_Sum!$I19)+($E$77*Mat_Sum!$F19)+($E$78*Mat_Sum!$AV19)+($E$79*Mat_Sum!$AR19)+($E$80*Mat_Sum!$AG19)+($E$81*Mat_Sum!$AG19)+($E$82*Mat_Sum!$F19)+($E$83*0))</f>
        <v>0.28152069489564147</v>
      </c>
      <c r="E417" s="2136">
        <f ca="1" xml:space="preserve"> $D$6*$E$12*(($E$85*Mat_Sum!$D19)+($E$86*Mat_Sum!$F19)+($E$87*Mat_Sum!$L19)+($E$88*Mat_Sum!$I19)+($E$89*Mat_Sum!$AV19)+($E$90*Mat_Sum!$AR19)+($E$91*Mat_Sum!$AG19)+($E$92*Mat_Sum!$AG19)+($E$93*Mat_Sum!$F19)+($D$94*0))+($C$187*$B$187*$E$192*(($B$197*Mat_Sum!$D19)+($A$197*Mat_Sum!$AV19)))+($C$188*$B$188*$E$193*(($B$197*Mat_Sum!$D19)+($A$197*Mat_Sum!$AV19)))</f>
        <v>36.171513618652014</v>
      </c>
      <c r="F417" s="2242">
        <f ca="1" xml:space="preserve"> $D$6*$E$13*(($E$96*Mat_Sum!$D19)+($E$97*Mat_Sum!$L19)+($E$98*Mat_Sum!$AG19)+($E$99*0))</f>
        <v>0.8227898159278112</v>
      </c>
      <c r="G417" s="2136">
        <f ca="1" xml:space="preserve"> $D$6*$E$14*(($E$101*Mat_Sum!$D19)+($E$102*Mat_Sum!$L19)+($E$103*Mat_Sum!$AG19)+($E$104*0))</f>
        <v>0</v>
      </c>
      <c r="H417" s="2136">
        <f ca="1" xml:space="preserve"> $D$6*$E$15*(($E$106*Mat_Sum!$D19)+($E$107*Mat_Sum!$L19)+($E$108*Mat_Sum!$AG19)+($E$109*Mat_Sum!$AV19)+($E$110*Mat_Sum!$AR19)+($E$111*0))</f>
        <v>0.27121052753466546</v>
      </c>
      <c r="I417" s="2136">
        <f ca="1" xml:space="preserve"> $D$6*$E$17*(($E$113*Mat_Sum!$E19)+($E$114*Mat_Sum!$D19)+($E$115*Mat_Sum!$F19)+($E$116*Mat_Sum!$L19)+($E$117*Mat_Sum!$I19)+($E$118*0)+($E$119*Mat_Sum!$AV19)+($E$120*Mat_Sum!$AR19)+($E$121*Mat_Sum!$AG19)+($E$122*Mat_Sum!$AG19)+($E$123*Mat_Sum!$AS19)+($E$124*0)+($E$125*Mat_Sum!$E19)+($E$126*0))</f>
        <v>0</v>
      </c>
      <c r="J417" s="2136">
        <f ca="1">$D$6*$E$16*(($E$128*Mat_Sum!$AU19)+($E$129*Mat_Sum!$D19)+($E$130*Mat_Sum!$E19)+($E$131*Mat_Sum!$AS19)+($E$132*Mat_Sum!$I19)+($E$133*Mat_Sum!$AG19)+($E$134*Mat_Sum!$AQ19)+($E$135*Mat_Sum!$AO19)+($E$136*0))</f>
        <v>107.37194481900967</v>
      </c>
      <c r="K417" s="2406">
        <f ca="1" xml:space="preserve"> $D$6*$E$19*$E$138*Mat_Sum!$D19</f>
        <v>0</v>
      </c>
      <c r="L417" s="2223">
        <f t="shared" ca="1" si="13"/>
        <v>7.598712088260437E-2</v>
      </c>
      <c r="M417" s="2218">
        <f t="shared" ca="1" si="13"/>
        <v>5.4267304844314079E-2</v>
      </c>
      <c r="N417" s="2218">
        <f t="shared" ca="1" si="13"/>
        <v>1.68957426651133E-3</v>
      </c>
      <c r="O417" s="2218">
        <f t="shared" ca="1" si="13"/>
        <v>0.21708691296564692</v>
      </c>
      <c r="P417" s="2218">
        <f t="shared" ca="1" si="13"/>
        <v>4.9380543773329061E-3</v>
      </c>
      <c r="Q417" s="2218">
        <f t="shared" ca="1" si="13"/>
        <v>0</v>
      </c>
      <c r="R417" s="2218">
        <f t="shared" ca="1" si="13"/>
        <v>1.6276967783821269E-3</v>
      </c>
      <c r="S417" s="2218">
        <f t="shared" ca="1" si="13"/>
        <v>0</v>
      </c>
      <c r="T417" s="2218">
        <f t="shared" ca="1" si="13"/>
        <v>0.64440333588520815</v>
      </c>
      <c r="U417" s="2224">
        <f t="shared" ca="1" si="13"/>
        <v>0</v>
      </c>
      <c r="AI417" s="2299"/>
      <c r="AJ417" s="2299"/>
      <c r="AK417" s="2299"/>
      <c r="AL417" s="2299"/>
      <c r="AM417" s="2299"/>
      <c r="AN417" s="2299"/>
      <c r="AO417" s="2299"/>
      <c r="AP417" s="2299"/>
      <c r="AQ417" s="2299"/>
      <c r="AR417" s="2299"/>
    </row>
    <row r="418" spans="1:44">
      <c r="A418" s="2100" t="s">
        <v>819</v>
      </c>
      <c r="B418" s="2159">
        <f ca="1">($D$6*$E$18*(($E$24*Mat_Sum!$D20)+($E$25*Mat_Sum!$E20)+($E$26*Mat_Sum!$I20)+($E$27*Mat_Sum!$L20)+($E$28*Mat_Sum!$AR20)+($E$29*Mat_Sum!$AV20)+($E$30*Mat_Sum!$AS20)+($E$31*Mat_Sum!$AM20)+($E$32*Mat_Sum!$AG20)+($E$33*0)+($E$34*0)+($E$35*0)+($E$36*Mat_Sum!$CF20)+($E$37*Silicon!$K77)+($E$38*0)))+($E$201*(($E$207*Mat_Sum!$D20)+($E$208*Mat_Sum!$AV20)+($E$209*Mat_Sum!$AR20)))</f>
        <v>5814.280446571388</v>
      </c>
      <c r="C418" s="2242">
        <f ca="1">($D$6*$E$10*(($E$40*Mat_Sum!$E20)+($E$41*Mat_Sum!$D20)+($E$42*Mat_Sum!$L20)+($E$43*Mat_Sum!$I20)+($E$44*Mat_Sum!$F20)+($E$45*Mat_Sum!$AV20)+($E$46*Mat_Sum!$AR20)+($E$47*Mat_Sum!$AG20)+($E$48*((88%*Mat_Sum!$AG20)+(12%*0)))+($E$49*Mat_Sum!$CF20)+($E$50*Mat_Sum!$AN20)+($E$51*'C.Iron'!$I67)+($E$52*((80%*Mat_Sum!$U20)+(20%*Mat_Sum!$BA20)))+($E$53*Mat_Sum!$AW20)+($E$54*Mat_Sum!$AS20)+($E$55*Mat_Sum!$CQ20)+($E$56*Mat_Sum!$AQ20)+($E$57*Mat_Sum!$AO20)+($E$58*Mat_Sum!$AP20)+($E$59*Mat_Sum!$BJ20)+($E$60*Mat_Sum!$BI20)+($E$61*Mat_Sum!$AR20)+($E$62*0)+($E$63*Mat_Sum!$CF20)+($E$64*Mat_Sum!$BG20)+($E$65*Mat_Sum!$BI20)+($E$66*Mat_Sum!$U20)+($E$67*Mat_Sum!$BA20)+($E$68*Mat_Sum!$CP20)+($E$69*0)+($E$70*Mat_Sum!$AZ20)+($E$71*Mat_Sum!$AM20)+($E$72*0)))+($E$202*(($E$211*Mat_Sum!$D20)+($E$212*Mat_Sum!$BG20)+($E$213*Mat_Sum!$AV20)))</f>
        <v>2435.8290407342447</v>
      </c>
      <c r="D418" s="2232">
        <f ca="1" xml:space="preserve"> $D$6*$E$11*(($E$74*Mat_Sum!$D20)+($E$75*Mat_Sum!$L20)+($E$76*Mat_Sum!$I20)+($E$77*Mat_Sum!$F20)+($E$78*Mat_Sum!$AV20)+($E$79*Mat_Sum!$AR20)+($E$80*Mat_Sum!$AG20)+($E$81*Mat_Sum!$AG20)+($E$82*Mat_Sum!$F20)+($E$83*0))</f>
        <v>112.27576235487105</v>
      </c>
      <c r="E418" s="2232">
        <f ca="1" xml:space="preserve"> $D$6*$E$12*(($E$85*Mat_Sum!$D20)+($E$86*Mat_Sum!$F20)+($E$87*Mat_Sum!$L20)+($E$88*Mat_Sum!$I20)+($E$89*Mat_Sum!$AV20)+($E$90*Mat_Sum!$AR20)+($E$91*Mat_Sum!$AG20)+($E$92*Mat_Sum!$AG20)+($E$93*Mat_Sum!$F20)+($D$94*0))+($C$187*$B$187*$E$192*(($B$197*Mat_Sum!$D20)+($A$197*Mat_Sum!$AV20)))+($C$188*$B$188*$E$193*(($B$197*Mat_Sum!$D20)+($A$197*Mat_Sum!$AV20)))</f>
        <v>5504.1761105385531</v>
      </c>
      <c r="F418" s="2242">
        <f ca="1" xml:space="preserve"> $D$6*$E$13*(($E$96*Mat_Sum!$D20)+($E$97*Mat_Sum!$L20)+($E$98*Mat_Sum!$AG20)+($E$99*0))</f>
        <v>935.77380178219937</v>
      </c>
      <c r="G418" s="2232">
        <f ca="1" xml:space="preserve"> $D$6*$E$14*(($E$101*Mat_Sum!$D20)+($E$102*Mat_Sum!$L20)+($E$103*Mat_Sum!$AG20)+($E$104*0))</f>
        <v>0</v>
      </c>
      <c r="H418" s="2232">
        <f ca="1" xml:space="preserve"> $D$6*$E$15*(($E$106*Mat_Sum!$D20)+($E$107*Mat_Sum!$L20)+($E$108*Mat_Sum!$AG20)+($E$109*Mat_Sum!$AV20)+($E$110*Mat_Sum!$AR20)+($E$111*0))</f>
        <v>117.6352071372273</v>
      </c>
      <c r="I418" s="2232">
        <f ca="1" xml:space="preserve"> $D$6*$E$17*(($E$113*Mat_Sum!$E20)+($E$114*Mat_Sum!$D20)+($E$115*Mat_Sum!$F20)+($E$116*Mat_Sum!$L20)+($E$117*Mat_Sum!$I20)+($E$118*0)+($E$119*Mat_Sum!$AV20)+($E$120*Mat_Sum!$AR20)+($E$121*Mat_Sum!$AG20)+($E$122*Mat_Sum!$AG20)+($E$123*Mat_Sum!$AS20)+($E$124*0)+($E$125*Mat_Sum!$E20)+($E$126*0))</f>
        <v>0</v>
      </c>
      <c r="J418" s="2232">
        <f ca="1">$D$6*$E$16*(($E$128*Mat_Sum!$AU20)+($E$129*Mat_Sum!$D20)+($E$130*Mat_Sum!$E20)+($E$131*Mat_Sum!$AS20)+($E$132*Mat_Sum!$I20)+($E$133*Mat_Sum!$AG20)+($E$134*Mat_Sum!$AQ20)+($E$135*Mat_Sum!$AO20)+($E$136*0))</f>
        <v>15304.955608899681</v>
      </c>
      <c r="K418" s="2407">
        <f ca="1" xml:space="preserve"> $D$6*$E$19*$E$138*Mat_Sum!$D20</f>
        <v>0</v>
      </c>
      <c r="L418" s="2408">
        <f t="shared" ca="1" si="13"/>
        <v>0.19236706984162574</v>
      </c>
      <c r="M418" s="2409">
        <f t="shared" ca="1" si="13"/>
        <v>8.0590074645865553E-2</v>
      </c>
      <c r="N418" s="2409">
        <f t="shared" ca="1" si="13"/>
        <v>3.71467451852575E-3</v>
      </c>
      <c r="O418" s="2409">
        <f t="shared" ca="1" si="13"/>
        <v>0.18210718248049981</v>
      </c>
      <c r="P418" s="2409">
        <f t="shared" ca="1" si="13"/>
        <v>3.0960333946318492E-2</v>
      </c>
      <c r="Q418" s="2409">
        <f t="shared" ca="1" si="13"/>
        <v>0</v>
      </c>
      <c r="R418" s="2409">
        <f t="shared" ca="1" si="13"/>
        <v>3.8919932251539825E-3</v>
      </c>
      <c r="S418" s="2409">
        <f t="shared" ca="1" si="13"/>
        <v>0</v>
      </c>
      <c r="T418" s="2409">
        <f t="shared" ca="1" si="13"/>
        <v>0.50636867134201069</v>
      </c>
      <c r="U418" s="2410">
        <f t="shared" ca="1" si="13"/>
        <v>0</v>
      </c>
      <c r="AI418" s="2299"/>
      <c r="AJ418" s="2299"/>
      <c r="AK418" s="2299"/>
      <c r="AL418" s="2299"/>
      <c r="AM418" s="2299"/>
      <c r="AN418" s="2299"/>
      <c r="AO418" s="2299"/>
      <c r="AP418" s="2299"/>
      <c r="AQ418" s="2299"/>
      <c r="AR418" s="2299"/>
    </row>
    <row r="419" spans="1:44">
      <c r="A419" s="2176" t="s">
        <v>964</v>
      </c>
      <c r="B419" s="2151"/>
      <c r="C419" s="2136"/>
      <c r="D419" s="2136"/>
      <c r="E419" s="2136"/>
      <c r="F419" s="2136"/>
      <c r="G419" s="2136"/>
      <c r="H419" s="2136"/>
      <c r="I419" s="2136"/>
      <c r="J419" s="2136"/>
      <c r="K419" s="2406"/>
      <c r="L419" s="2411"/>
      <c r="M419" s="2336"/>
      <c r="N419" s="2336"/>
      <c r="O419" s="2336"/>
      <c r="P419" s="2336"/>
      <c r="Q419" s="2336"/>
      <c r="R419" s="2336"/>
      <c r="S419" s="2336"/>
      <c r="T419" s="2336"/>
      <c r="U419" s="2337"/>
      <c r="AI419" s="2299"/>
      <c r="AJ419" s="2299"/>
      <c r="AK419" s="2299"/>
      <c r="AL419" s="2299"/>
      <c r="AM419" s="2299"/>
      <c r="AN419" s="2299"/>
      <c r="AO419" s="2299"/>
      <c r="AP419" s="2299"/>
      <c r="AQ419" s="2299"/>
      <c r="AR419" s="2299"/>
    </row>
    <row r="420" spans="1:44">
      <c r="A420" s="2093" t="s">
        <v>821</v>
      </c>
      <c r="B420" s="2151">
        <f ca="1">($D$6*$E$18*(($E$24*Mat_Sum!$D22)+($E$25*Mat_Sum!$E22)+($E$26*Mat_Sum!$I22)+($E$27*Mat_Sum!$L22)+($E$28*Mat_Sum!$AR22)+($E$29*Mat_Sum!$AV22)+($E$30*Mat_Sum!$AS22)+($E$31*Mat_Sum!$AM22)+($E$32*Mat_Sum!$AG22)+($E$33*0)+($E$34*0)+($E$35*0)+($E$36*Mat_Sum!$CF22)+($E$37*Silicon!$K79)+($E$38*0)))+($E$201*(($E$207*Mat_Sum!$D22)+($E$208*Mat_Sum!$AV22)+($E$209*Mat_Sum!$AR22)))</f>
        <v>2172.2217931622881</v>
      </c>
      <c r="C420" s="2136">
        <f ca="1">($D$6*$E$10*(($E$40*Mat_Sum!$E22)+($E$41*Mat_Sum!$D22)+($E$42*Mat_Sum!$L22)+($E$43*Mat_Sum!$I22)+($E$44*Mat_Sum!$F22)+($E$45*Mat_Sum!$AV22)+($E$46*Mat_Sum!$AR22)+($E$47*Mat_Sum!$AG22)+($E$48*((88%*Mat_Sum!$AG22)+(12%*0)))+($E$49*Mat_Sum!$CF22)+($E$50*Mat_Sum!$AN22)+($E$51*'C.Iron'!$I69)+($E$52*((80%*Mat_Sum!$U22)+(20%*Mat_Sum!$BA22)))+($E$53*Mat_Sum!$AW22)+($E$54*Mat_Sum!$AS22)+($E$55*Mat_Sum!$CQ22)+($E$56*Mat_Sum!$AQ22)+($E$57*Mat_Sum!$AO22)+($E$58*Mat_Sum!$AP22)+($E$59*Mat_Sum!$BJ22)+($E$60*Mat_Sum!$BI22)+($E$61*Mat_Sum!$AR22)+($E$62*0)+($E$63*Mat_Sum!$CF22)+($E$64*Mat_Sum!$BG22)+($E$65*Mat_Sum!$BI22)+($E$66*Mat_Sum!$U22)+($E$67*Mat_Sum!$BA22)+($E$68*Mat_Sum!$CP22)+($E$69*0)+($E$70*Mat_Sum!$AZ22)+($E$71*Mat_Sum!$AM22)+($E$72*0)))+($E$202*(($E$211*Mat_Sum!$D22)+($E$212*Mat_Sum!$BG22)+($E$213*Mat_Sum!$AV22)))</f>
        <v>761.27944907680501</v>
      </c>
      <c r="D420" s="2136">
        <f ca="1" xml:space="preserve"> $D$6*$E$11*(($E$74*Mat_Sum!$D22)+($E$75*Mat_Sum!$L22)+($E$76*Mat_Sum!$I22)+($E$77*Mat_Sum!$F22)+($E$78*Mat_Sum!$AV22)+($E$79*Mat_Sum!$AR22)+($E$80*Mat_Sum!$AG22)+($E$81*Mat_Sum!$AG22)+($E$82*Mat_Sum!$F22)+($E$83*0))</f>
        <v>461.36052157877702</v>
      </c>
      <c r="E420" s="2136">
        <f ca="1" xml:space="preserve"> $D$6*$E$12*(($E$85*Mat_Sum!$D22)+($E$86*Mat_Sum!$F22)+($E$87*Mat_Sum!$L22)+($E$88*Mat_Sum!$I22)+($E$89*Mat_Sum!$AV22)+($E$90*Mat_Sum!$AR22)+($E$91*Mat_Sum!$AG22)+($E$92*Mat_Sum!$AG22)+($E$93*Mat_Sum!$F22)+($D$94*0))+($C$187*$B$187*$E$192*(($B$197*Mat_Sum!$D22)+($A$197*Mat_Sum!$AV22)))+($C$188*$B$188*$E$193*(($B$197*Mat_Sum!$D22)+($A$197*Mat_Sum!$AV22)))</f>
        <v>23306.504358870196</v>
      </c>
      <c r="F420" s="2136">
        <f ca="1" xml:space="preserve"> $D$6*$E$13*(($E$96*Mat_Sum!$D22)+($E$97*Mat_Sum!$L22)+($E$98*Mat_Sum!$AG22)+($E$99*0))</f>
        <v>346.00467032581901</v>
      </c>
      <c r="G420" s="2136">
        <f ca="1" xml:space="preserve"> $D$6*$E$14*(($E$101*Mat_Sum!$D22)+($E$102*Mat_Sum!$L22)+($E$103*Mat_Sum!$AG22)+($E$104*0))</f>
        <v>0</v>
      </c>
      <c r="H420" s="2136">
        <f ca="1" xml:space="preserve"> $D$6*$E$15*(($E$106*Mat_Sum!$D22)+($E$107*Mat_Sum!$L22)+($E$108*Mat_Sum!$AG22)+($E$109*Mat_Sum!$AV22)+($E$110*Mat_Sum!$AR22)+($E$111*0))</f>
        <v>26.881526190504463</v>
      </c>
      <c r="I420" s="2136">
        <f ca="1" xml:space="preserve"> $D$6*$E$17*(($E$113*Mat_Sum!$E22)+($E$114*Mat_Sum!$D22)+($E$115*Mat_Sum!$F22)+($E$116*Mat_Sum!$L22)+($E$117*Mat_Sum!$I22)+($E$118*0)+($E$119*Mat_Sum!$AV22)+($E$120*Mat_Sum!$AR22)+($E$121*Mat_Sum!$AG22)+($E$122*Mat_Sum!$AG22)+($E$123*Mat_Sum!$AS22)+($E$124*0)+($E$125*Mat_Sum!$E22)+($E$126*0))</f>
        <v>0</v>
      </c>
      <c r="J420" s="2136">
        <f ca="1">$D$6*$E$16*(($E$128*Mat_Sum!$AU22)+($E$129*Mat_Sum!$D22)+($E$130*Mat_Sum!$E22)+($E$131*Mat_Sum!$AS22)+($E$132*Mat_Sum!$I22)+($E$133*Mat_Sum!$AG22)+($E$134*Mat_Sum!$AQ22)+($E$135*Mat_Sum!$AO22)+($E$136*0))</f>
        <v>7850.2016645904059</v>
      </c>
      <c r="K420" s="2406">
        <f ca="1" xml:space="preserve"> $D$6*$E$19*$E$138*Mat_Sum!$D22</f>
        <v>0</v>
      </c>
      <c r="L420" s="2223">
        <f t="shared" ref="L420:U432" ca="1" si="14">B420/$E283</f>
        <v>6.2197730970116674E-2</v>
      </c>
      <c r="M420" s="2218">
        <f t="shared" ca="1" si="14"/>
        <v>2.1797891226303618E-2</v>
      </c>
      <c r="N420" s="2218">
        <f t="shared" ca="1" si="14"/>
        <v>1.3210242937308389E-2</v>
      </c>
      <c r="O420" s="2218">
        <f t="shared" ca="1" si="14"/>
        <v>0.66734055082678134</v>
      </c>
      <c r="P420" s="2218">
        <f t="shared" ca="1" si="14"/>
        <v>9.9072320639964108E-3</v>
      </c>
      <c r="Q420" s="2218">
        <f t="shared" ca="1" si="14"/>
        <v>0</v>
      </c>
      <c r="R420" s="2218">
        <f t="shared" ca="1" si="14"/>
        <v>7.6970498101352396E-4</v>
      </c>
      <c r="S420" s="2218">
        <f t="shared" ca="1" si="14"/>
        <v>0</v>
      </c>
      <c r="T420" s="2218">
        <f t="shared" ca="1" si="14"/>
        <v>0.22477664699448008</v>
      </c>
      <c r="U420" s="2224">
        <f t="shared" ca="1" si="14"/>
        <v>0</v>
      </c>
      <c r="AI420" s="2299"/>
      <c r="AJ420" s="2299"/>
      <c r="AK420" s="2299"/>
      <c r="AL420" s="2299"/>
      <c r="AM420" s="2299"/>
      <c r="AN420" s="2299"/>
      <c r="AO420" s="2299"/>
      <c r="AP420" s="2299"/>
      <c r="AQ420" s="2299"/>
      <c r="AR420" s="2299"/>
    </row>
    <row r="421" spans="1:44">
      <c r="A421" s="2093" t="s">
        <v>822</v>
      </c>
      <c r="B421" s="2151">
        <f ca="1">($D$6*$E$18*(($E$24*Mat_Sum!$D23)+($E$25*Mat_Sum!$E23)+($E$26*Mat_Sum!$I23)+($E$27*Mat_Sum!$L23)+($E$28*Mat_Sum!$AR23)+($E$29*Mat_Sum!$AV23)+($E$30*Mat_Sum!$AS23)+($E$31*Mat_Sum!$AM23)+($E$32*Mat_Sum!$AG23)+($E$33*0)+($E$34*0)+($E$35*0)+($E$36*Mat_Sum!$CF23)+($E$37*Silicon!$K80)+($E$38*0)))+($E$201*(($E$207*Mat_Sum!$D23)+($E$208*Mat_Sum!$AV23)+($E$209*Mat_Sum!$AR23)))</f>
        <v>12328.415869104145</v>
      </c>
      <c r="C421" s="2136">
        <f ca="1">($D$6*$E$10*(($E$40*Mat_Sum!$E23)+($E$41*Mat_Sum!$D23)+($E$42*Mat_Sum!$L23)+($E$43*Mat_Sum!$I23)+($E$44*Mat_Sum!$F23)+($E$45*Mat_Sum!$AV23)+($E$46*Mat_Sum!$AR23)+($E$47*Mat_Sum!$AG23)+($E$48*((88%*Mat_Sum!$AG23)+(12%*0)))+($E$49*Mat_Sum!$CF23)+($E$50*Mat_Sum!$AN23)+($E$51*'C.Iron'!$I70)+($E$52*((80%*Mat_Sum!$U23)+(20%*Mat_Sum!$BA23)))+($E$53*Mat_Sum!$AW23)+($E$54*Mat_Sum!$AS23)+($E$55*Mat_Sum!$CQ23)+($E$56*Mat_Sum!$AQ23)+($E$57*Mat_Sum!$AO23)+($E$58*Mat_Sum!$AP23)+($E$59*Mat_Sum!$BJ23)+($E$60*Mat_Sum!$BI23)+($E$61*Mat_Sum!$AR23)+($E$62*0)+($E$63*Mat_Sum!$CF23)+($E$64*Mat_Sum!$BG23)+($E$65*Mat_Sum!$BI23)+($E$66*Mat_Sum!$U23)+($E$67*Mat_Sum!$BA23)+($E$68*Mat_Sum!$CP23)+($E$69*0)+($E$70*Mat_Sum!$AZ23)+($E$71*Mat_Sum!$AM23)+($E$72*0)))+($E$202*(($E$211*Mat_Sum!$D23)+($E$212*Mat_Sum!$BG23)+($E$213*Mat_Sum!$AV23)))</f>
        <v>4481.4473941758115</v>
      </c>
      <c r="D421" s="2136">
        <f ca="1" xml:space="preserve"> $D$6*$E$11*(($E$74*Mat_Sum!$D23)+($E$75*Mat_Sum!$L23)+($E$76*Mat_Sum!$I23)+($E$77*Mat_Sum!$F23)+($E$78*Mat_Sum!$AV23)+($E$79*Mat_Sum!$AR23)+($E$80*Mat_Sum!$AG23)+($E$81*Mat_Sum!$AG23)+($E$82*Mat_Sum!$F23)+($E$83*0))</f>
        <v>3096.3612574447307</v>
      </c>
      <c r="E421" s="2136">
        <f ca="1" xml:space="preserve"> $D$6*$E$12*(($E$85*Mat_Sum!$D23)+($E$86*Mat_Sum!$F23)+($E$87*Mat_Sum!$L23)+($E$88*Mat_Sum!$I23)+($E$89*Mat_Sum!$AV23)+($E$90*Mat_Sum!$AR23)+($E$91*Mat_Sum!$AG23)+($E$92*Mat_Sum!$AG23)+($E$93*Mat_Sum!$F23)+($D$94*0))+($C$187*$B$187*$E$192*(($B$197*Mat_Sum!$D23)+($A$197*Mat_Sum!$AV23)))+($C$188*$B$188*$E$193*(($B$197*Mat_Sum!$D23)+($A$197*Mat_Sum!$AV23)))</f>
        <v>85132.556678756504</v>
      </c>
      <c r="F421" s="2136">
        <f ca="1" xml:space="preserve"> $D$6*$E$13*(($E$96*Mat_Sum!$D23)+($E$97*Mat_Sum!$L23)+($E$98*Mat_Sum!$AG23)+($E$99*0))</f>
        <v>2267.452845218741</v>
      </c>
      <c r="G421" s="2136">
        <f ca="1" xml:space="preserve"> $D$6*$E$14*(($E$101*Mat_Sum!$D23)+($E$102*Mat_Sum!$L23)+($E$103*Mat_Sum!$AG23)+($E$104*0))</f>
        <v>0</v>
      </c>
      <c r="H421" s="2136">
        <f ca="1" xml:space="preserve"> $D$6*$E$15*(($E$106*Mat_Sum!$D23)+($E$107*Mat_Sum!$L23)+($E$108*Mat_Sum!$AG23)+($E$109*Mat_Sum!$AV23)+($E$110*Mat_Sum!$AR23)+($E$111*0))</f>
        <v>103.77334559211489</v>
      </c>
      <c r="I421" s="2136">
        <f ca="1" xml:space="preserve"> $D$6*$E$17*(($E$113*Mat_Sum!$E23)+($E$114*Mat_Sum!$D23)+($E$115*Mat_Sum!$F23)+($E$116*Mat_Sum!$L23)+($E$117*Mat_Sum!$I23)+($E$118*0)+($E$119*Mat_Sum!$AV23)+($E$120*Mat_Sum!$AR23)+($E$121*Mat_Sum!$AG23)+($E$122*Mat_Sum!$AG23)+($E$123*Mat_Sum!$AS23)+($E$124*0)+($E$125*Mat_Sum!$E23)+($E$126*0))</f>
        <v>0</v>
      </c>
      <c r="J421" s="2136">
        <f ca="1">$D$6*$E$16*(($E$128*Mat_Sum!$AU23)+($E$129*Mat_Sum!$D23)+($E$130*Mat_Sum!$E23)+($E$131*Mat_Sum!$AS23)+($E$132*Mat_Sum!$I23)+($E$133*Mat_Sum!$AG23)+($E$134*Mat_Sum!$AQ23)+($E$135*Mat_Sum!$AO23)+($E$136*0))</f>
        <v>17829.964565826969</v>
      </c>
      <c r="K421" s="2406">
        <f ca="1" xml:space="preserve"> $D$6*$E$19*$E$138*Mat_Sum!$D23</f>
        <v>0</v>
      </c>
      <c r="L421" s="2223">
        <f t="shared" ca="1" si="14"/>
        <v>9.8438347410551311E-2</v>
      </c>
      <c r="M421" s="2218">
        <f t="shared" ca="1" si="14"/>
        <v>3.5782884043969607E-2</v>
      </c>
      <c r="N421" s="2218">
        <f t="shared" ca="1" si="14"/>
        <v>2.4723426627160372E-2</v>
      </c>
      <c r="O421" s="2218">
        <f t="shared" ca="1" si="14"/>
        <v>0.67975547542109682</v>
      </c>
      <c r="P421" s="2218">
        <f t="shared" ca="1" si="14"/>
        <v>1.8104865481870281E-2</v>
      </c>
      <c r="Q421" s="2218">
        <f t="shared" ca="1" si="14"/>
        <v>0</v>
      </c>
      <c r="R421" s="2218">
        <f t="shared" ca="1" si="14"/>
        <v>8.2859604622455936E-4</v>
      </c>
      <c r="S421" s="2218">
        <f t="shared" ca="1" si="14"/>
        <v>0</v>
      </c>
      <c r="T421" s="2218">
        <f t="shared" ca="1" si="14"/>
        <v>0.1423664049691272</v>
      </c>
      <c r="U421" s="2224">
        <f t="shared" ca="1" si="14"/>
        <v>0</v>
      </c>
      <c r="AI421" s="2299"/>
      <c r="AJ421" s="2299"/>
      <c r="AK421" s="2299"/>
      <c r="AL421" s="2299"/>
      <c r="AM421" s="2299"/>
      <c r="AN421" s="2299"/>
      <c r="AO421" s="2299"/>
      <c r="AP421" s="2299"/>
      <c r="AQ421" s="2299"/>
      <c r="AR421" s="2299"/>
    </row>
    <row r="422" spans="1:44" ht="15.75">
      <c r="A422" s="2093" t="s">
        <v>2542</v>
      </c>
      <c r="B422" s="2151">
        <f ca="1">($D$6*$E$18*(($E$24*Mat_Sum!$D24)+($E$25*Mat_Sum!$E24)+($E$26*Mat_Sum!$I24)+($E$27*Mat_Sum!$L24)+($E$28*Mat_Sum!$AR24)+($E$29*Mat_Sum!$AV24)+($E$30*Mat_Sum!$AS24)+($E$31*Mat_Sum!$AM24)+($E$32*Mat_Sum!$AG24)+($E$33*0)+($E$34*0)+($E$35*0)+($E$36*Mat_Sum!$CF24)+($E$37*Silicon!$K81)+($E$38*0)))+($E$201*(($E$207*Mat_Sum!$D24)+($E$208*Mat_Sum!$AV24)+($E$209*Mat_Sum!$AR24)))</f>
        <v>5058.1822267317284</v>
      </c>
      <c r="C422" s="2136">
        <f ca="1">($D$6*$E$10*(($E$40*Mat_Sum!$E24)+($E$41*Mat_Sum!$D24)+($E$42*Mat_Sum!$L24)+($E$43*Mat_Sum!$I24)+($E$44*Mat_Sum!$F24)+($E$45*Mat_Sum!$AV24)+($E$46*Mat_Sum!$AR24)+($E$47*Mat_Sum!$AG24)+($E$48*((88%*Mat_Sum!$AG24)+(12%*0)))+($E$49*Mat_Sum!$CF24)+($E$50*Mat_Sum!$AN24)+($E$51*'C.Iron'!$I71)+($E$52*((80%*Mat_Sum!$U24)+(20%*Mat_Sum!$BA24)))+($E$53*Mat_Sum!$AW24)+($E$54*Mat_Sum!$AS24)+($E$55*Mat_Sum!$CQ24)+($E$56*Mat_Sum!$AQ24)+($E$57*Mat_Sum!$AO24)+($E$58*Mat_Sum!$AP24)+($E$59*Mat_Sum!$BJ24)+($E$60*Mat_Sum!$BI24)+($E$61*Mat_Sum!$AR24)+($E$62*0)+($E$63*Mat_Sum!$CF24)+($E$64*Mat_Sum!$BG24)+($E$65*Mat_Sum!$BI24)+($E$66*Mat_Sum!$U24)+($E$67*Mat_Sum!$BA24)+($E$68*Mat_Sum!$CP24)+($E$69*0)+($E$70*Mat_Sum!$AZ24)+($E$71*Mat_Sum!$AM24)+($E$72*0)))+($E$202*(($E$211*Mat_Sum!$D24)+($E$212*Mat_Sum!$BG24)+($E$213*Mat_Sum!$AV24)))</f>
        <v>1807.9325320181672</v>
      </c>
      <c r="D422" s="2136">
        <f ca="1" xml:space="preserve"> $D$6*$E$11*(($E$74*Mat_Sum!$D24)+($E$75*Mat_Sum!$L24)+($E$76*Mat_Sum!$I24)+($E$77*Mat_Sum!$F24)+($E$78*Mat_Sum!$AV24)+($E$79*Mat_Sum!$AR24)+($E$80*Mat_Sum!$AG24)+($E$81*Mat_Sum!$AG24)+($E$82*Mat_Sum!$F24)+($E$83*0))</f>
        <v>444.55731557415055</v>
      </c>
      <c r="E422" s="2136">
        <f ca="1" xml:space="preserve"> $D$6*$E$12*(($E$85*Mat_Sum!$D24)+($E$86*Mat_Sum!$F24)+($E$87*Mat_Sum!$L24)+($E$88*Mat_Sum!$I24)+($E$89*Mat_Sum!$AV24)+($E$90*Mat_Sum!$AR24)+($E$91*Mat_Sum!$AG24)+($E$92*Mat_Sum!$AG24)+($E$93*Mat_Sum!$F24)+($D$94*0))+($C$187*$B$187*$E$192*(($B$197*Mat_Sum!$D24)+($A$197*Mat_Sum!$AV24)))+($C$188*$B$188*$E$193*(($B$197*Mat_Sum!$D24)+($A$197*Mat_Sum!$AV24)))</f>
        <v>19725.612319331984</v>
      </c>
      <c r="F422" s="2136">
        <f ca="1" xml:space="preserve"> $D$6*$E$13*(($E$96*Mat_Sum!$D24)+($E$97*Mat_Sum!$L24)+($E$98*Mat_Sum!$AG24)+($E$99*0))</f>
        <v>723.57280282367185</v>
      </c>
      <c r="G422" s="2136">
        <f ca="1" xml:space="preserve"> $D$6*$E$14*(($E$101*Mat_Sum!$D24)+($E$102*Mat_Sum!$L24)+($E$103*Mat_Sum!$AG24)+($E$104*0))</f>
        <v>0</v>
      </c>
      <c r="H422" s="2136">
        <f ca="1" xml:space="preserve"> $D$6*$E$15*(($E$106*Mat_Sum!$D24)+($E$107*Mat_Sum!$L24)+($E$108*Mat_Sum!$AG24)+($E$109*Mat_Sum!$AV24)+($E$110*Mat_Sum!$AR24)+($E$111*0))</f>
        <v>79.358467156047624</v>
      </c>
      <c r="I422" s="2136">
        <f ca="1" xml:space="preserve"> $D$6*$E$17*(($E$113*Mat_Sum!$E24)+($E$114*Mat_Sum!$D24)+($E$115*Mat_Sum!$F24)+($E$116*Mat_Sum!$L24)+($E$117*Mat_Sum!$I24)+($E$118*0)+($E$119*Mat_Sum!$AV24)+($E$120*Mat_Sum!$AR24)+($E$121*Mat_Sum!$AG24)+($E$122*Mat_Sum!$AG24)+($E$123*Mat_Sum!$AS24)+($E$124*0)+($E$125*Mat_Sum!$E24)+($E$126*0))</f>
        <v>0</v>
      </c>
      <c r="J422" s="2136">
        <f ca="1">$D$6*$E$16*(($E$128*Mat_Sum!$AU24)+($E$129*Mat_Sum!$D24)+($E$130*Mat_Sum!$E24)+($E$131*Mat_Sum!$AS24)+($E$132*Mat_Sum!$I24)+($E$133*Mat_Sum!$AG24)+($E$134*Mat_Sum!$AQ24)+($E$135*Mat_Sum!$AO24)+($E$136*0))</f>
        <v>17261.535197896625</v>
      </c>
      <c r="K422" s="2406">
        <f ca="1" xml:space="preserve"> $D$6*$E$19*$E$138*Mat_Sum!$D24</f>
        <v>0</v>
      </c>
      <c r="L422" s="2223">
        <f t="shared" ca="1" si="14"/>
        <v>0.11215294934359921</v>
      </c>
      <c r="M422" s="2218">
        <f t="shared" ca="1" si="14"/>
        <v>4.0086528438713881E-2</v>
      </c>
      <c r="N422" s="2218">
        <f t="shared" ca="1" si="14"/>
        <v>9.8569825797141051E-3</v>
      </c>
      <c r="O422" s="2218">
        <f t="shared" ca="1" si="14"/>
        <v>0.43736771434012822</v>
      </c>
      <c r="P422" s="2218">
        <f t="shared" ca="1" si="14"/>
        <v>1.6043475751549543E-2</v>
      </c>
      <c r="Q422" s="2218">
        <f t="shared" ca="1" si="14"/>
        <v>0</v>
      </c>
      <c r="R422" s="2218">
        <f t="shared" ca="1" si="14"/>
        <v>1.7595819501917552E-3</v>
      </c>
      <c r="S422" s="2218">
        <f t="shared" ca="1" si="14"/>
        <v>0</v>
      </c>
      <c r="T422" s="2218">
        <f t="shared" ca="1" si="14"/>
        <v>0.38273276759610325</v>
      </c>
      <c r="U422" s="2224">
        <f t="shared" ca="1" si="14"/>
        <v>0</v>
      </c>
      <c r="AI422" s="2299"/>
      <c r="AJ422" s="2299"/>
      <c r="AK422" s="2299"/>
      <c r="AL422" s="2299"/>
      <c r="AM422" s="2299"/>
      <c r="AN422" s="2299"/>
      <c r="AO422" s="2299"/>
      <c r="AP422" s="2299"/>
      <c r="AQ422" s="2299"/>
      <c r="AR422" s="2299"/>
    </row>
    <row r="423" spans="1:44" ht="15.75">
      <c r="A423" s="2093" t="s">
        <v>2543</v>
      </c>
      <c r="B423" s="2151">
        <f ca="1">($D$6*$E$18*(($E$24*Mat_Sum!$D25)+($E$25*Mat_Sum!$E25)+($E$26*Mat_Sum!$I25)+($E$27*Mat_Sum!$L25)+($E$28*Mat_Sum!$AR25)+($E$29*Mat_Sum!$AV25)+($E$30*Mat_Sum!$AS25)+($E$31*Mat_Sum!$AM25)+($E$32*Mat_Sum!$AG25)+($E$33*0)+($E$34*0)+($E$35*0)+($E$36*Mat_Sum!$CF25)+($E$37*Silicon!$K82)+($E$38*0)))+($E$201*(($E$207*Mat_Sum!$D25)+($E$208*Mat_Sum!$AV25)+($E$209*Mat_Sum!$AR25)))</f>
        <v>2838.0005827451309</v>
      </c>
      <c r="C423" s="2136">
        <f ca="1">($D$6*$E$10*(($E$40*Mat_Sum!$E25)+($E$41*Mat_Sum!$D25)+($E$42*Mat_Sum!$L25)+($E$43*Mat_Sum!$I25)+($E$44*Mat_Sum!$F25)+($E$45*Mat_Sum!$AV25)+($E$46*Mat_Sum!$AR25)+($E$47*Mat_Sum!$AG25)+($E$48*((88%*Mat_Sum!$AG25)+(12%*0)))+($E$49*Mat_Sum!$CF25)+($E$50*Mat_Sum!$AN25)+($E$51*'C.Iron'!$I72)+($E$52*((80%*Mat_Sum!$U25)+(20%*Mat_Sum!$BA25)))+($E$53*Mat_Sum!$AW25)+($E$54*Mat_Sum!$AS25)+($E$55*Mat_Sum!$CQ25)+($E$56*Mat_Sum!$AQ25)+($E$57*Mat_Sum!$AO25)+($E$58*Mat_Sum!$AP25)+($E$59*Mat_Sum!$BJ25)+($E$60*Mat_Sum!$BI25)+($E$61*Mat_Sum!$AR25)+($E$62*0)+($E$63*Mat_Sum!$CF25)+($E$64*Mat_Sum!$BG25)+($E$65*Mat_Sum!$BI25)+($E$66*Mat_Sum!$U25)+($E$67*Mat_Sum!$BA25)+($E$68*Mat_Sum!$CP25)+($E$69*0)+($E$70*Mat_Sum!$AZ25)+($E$71*Mat_Sum!$AM25)+($E$72*0)))+($E$202*(($E$211*Mat_Sum!$D25)+($E$212*Mat_Sum!$BG25)+($E$213*Mat_Sum!$AV25)))</f>
        <v>1026.0134760495944</v>
      </c>
      <c r="D423" s="2136">
        <f ca="1" xml:space="preserve"> $D$6*$E$11*(($E$74*Mat_Sum!$D25)+($E$75*Mat_Sum!$L25)+($E$76*Mat_Sum!$I25)+($E$77*Mat_Sum!$F25)+($E$78*Mat_Sum!$AV25)+($E$79*Mat_Sum!$AR25)+($E$80*Mat_Sum!$AG25)+($E$81*Mat_Sum!$AG25)+($E$82*Mat_Sum!$F25)+($E$83*0))</f>
        <v>254.09292105283362</v>
      </c>
      <c r="E423" s="2136">
        <f ca="1" xml:space="preserve"> $D$6*$E$12*(($E$85*Mat_Sum!$D25)+($E$86*Mat_Sum!$F25)+($E$87*Mat_Sum!$L25)+($E$88*Mat_Sum!$I25)+($E$89*Mat_Sum!$AV25)+($E$90*Mat_Sum!$AR25)+($E$91*Mat_Sum!$AG25)+($E$92*Mat_Sum!$AG25)+($E$93*Mat_Sum!$F25)+($D$94*0))+($C$187*$B$187*$E$192*(($B$197*Mat_Sum!$D25)+($A$197*Mat_Sum!$AV25)))+($C$188*$B$188*$E$193*(($B$197*Mat_Sum!$D25)+($A$197*Mat_Sum!$AV25)))</f>
        <v>8029.7677516910553</v>
      </c>
      <c r="F423" s="2136">
        <f ca="1" xml:space="preserve"> $D$6*$E$13*(($E$96*Mat_Sum!$D25)+($E$97*Mat_Sum!$L25)+($E$98*Mat_Sum!$AG25)+($E$99*0))</f>
        <v>333.67298840100835</v>
      </c>
      <c r="G423" s="2136">
        <f ca="1" xml:space="preserve"> $D$6*$E$14*(($E$101*Mat_Sum!$D25)+($E$102*Mat_Sum!$L25)+($E$103*Mat_Sum!$AG25)+($E$104*0))</f>
        <v>0</v>
      </c>
      <c r="H423" s="2136">
        <f ca="1" xml:space="preserve"> $D$6*$E$15*(($E$106*Mat_Sum!$D25)+($E$107*Mat_Sum!$L25)+($E$108*Mat_Sum!$AG25)+($E$109*Mat_Sum!$AV25)+($E$110*Mat_Sum!$AR25)+($E$111*0))</f>
        <v>33.122439856332448</v>
      </c>
      <c r="I423" s="2136">
        <f ca="1" xml:space="preserve"> $D$6*$E$17*(($E$113*Mat_Sum!$E25)+($E$114*Mat_Sum!$D25)+($E$115*Mat_Sum!$F25)+($E$116*Mat_Sum!$L25)+($E$117*Mat_Sum!$I25)+($E$118*0)+($E$119*Mat_Sum!$AV25)+($E$120*Mat_Sum!$AR25)+($E$121*Mat_Sum!$AG25)+($E$122*Mat_Sum!$AG25)+($E$123*Mat_Sum!$AS25)+($E$124*0)+($E$125*Mat_Sum!$E25)+($E$126*0))</f>
        <v>0</v>
      </c>
      <c r="J423" s="2136">
        <f ca="1">$D$6*$E$16*(($E$128*Mat_Sum!$AU25)+($E$129*Mat_Sum!$D25)+($E$130*Mat_Sum!$E25)+($E$131*Mat_Sum!$AS25)+($E$132*Mat_Sum!$I25)+($E$133*Mat_Sum!$AG25)+($E$134*Mat_Sum!$AQ25)+($E$135*Mat_Sum!$AO25)+($E$136*0))</f>
        <v>5922.6039048049088</v>
      </c>
      <c r="K423" s="2406">
        <f ca="1" xml:space="preserve"> $D$6*$E$19*$E$138*Mat_Sum!$D25</f>
        <v>0</v>
      </c>
      <c r="L423" s="2223">
        <f t="shared" ca="1" si="14"/>
        <v>0.15392734157995874</v>
      </c>
      <c r="M423" s="2218">
        <f t="shared" ca="1" si="14"/>
        <v>5.5648870459625945E-2</v>
      </c>
      <c r="N423" s="2218">
        <f t="shared" ca="1" si="14"/>
        <v>1.3781479852311039E-2</v>
      </c>
      <c r="O423" s="2218">
        <f t="shared" ca="1" si="14"/>
        <v>0.43551816410366345</v>
      </c>
      <c r="P423" s="2218">
        <f t="shared" ca="1" si="14"/>
        <v>1.8097739786905525E-2</v>
      </c>
      <c r="Q423" s="2218">
        <f t="shared" ca="1" si="14"/>
        <v>0</v>
      </c>
      <c r="R423" s="2218">
        <f t="shared" ca="1" si="14"/>
        <v>1.796493328692595E-3</v>
      </c>
      <c r="S423" s="2218">
        <f t="shared" ca="1" si="14"/>
        <v>0</v>
      </c>
      <c r="T423" s="2218">
        <f t="shared" ca="1" si="14"/>
        <v>0.3212299108888429</v>
      </c>
      <c r="U423" s="2224">
        <f t="shared" ca="1" si="14"/>
        <v>0</v>
      </c>
      <c r="AI423" s="2299"/>
      <c r="AJ423" s="2299"/>
      <c r="AK423" s="2299"/>
      <c r="AL423" s="2299"/>
      <c r="AM423" s="2299"/>
      <c r="AN423" s="2299"/>
      <c r="AO423" s="2299"/>
      <c r="AP423" s="2299"/>
      <c r="AQ423" s="2299"/>
      <c r="AR423" s="2299"/>
    </row>
    <row r="424" spans="1:44" ht="15.75">
      <c r="A424" s="2093" t="s">
        <v>2544</v>
      </c>
      <c r="B424" s="2151">
        <f ca="1">($D$6*$E$18*(($E$24*Mat_Sum!$D26)+($E$25*Mat_Sum!$E26)+($E$26*Mat_Sum!$I26)+($E$27*Mat_Sum!$L26)+($E$28*Mat_Sum!$AR26)+($E$29*Mat_Sum!$AV26)+($E$30*Mat_Sum!$AS26)+($E$31*Mat_Sum!$AM26)+($E$32*Mat_Sum!$AG26)+($E$33*0)+($E$34*0)+($E$35*0)+($E$36*Mat_Sum!$CF26)+($E$37*Silicon!$K83)+($E$38*0)))+($E$201*(($E$207*Mat_Sum!$D26)+($E$208*Mat_Sum!$AV26)+($E$209*Mat_Sum!$AR26)))</f>
        <v>1076.5396671389356</v>
      </c>
      <c r="C424" s="2136">
        <f ca="1">($D$6*$E$10*(($E$40*Mat_Sum!$E26)+($E$41*Mat_Sum!$D26)+($E$42*Mat_Sum!$L26)+($E$43*Mat_Sum!$I26)+($E$44*Mat_Sum!$F26)+($E$45*Mat_Sum!$AV26)+($E$46*Mat_Sum!$AR26)+($E$47*Mat_Sum!$AG26)+($E$48*((88%*Mat_Sum!$AG26)+(12%*0)))+($E$49*Mat_Sum!$CF26)+($E$50*Mat_Sum!$AN26)+($E$51*'C.Iron'!$I73)+($E$52*((80%*Mat_Sum!$U26)+(20%*Mat_Sum!$BA26)))+($E$53*Mat_Sum!$AW26)+($E$54*Mat_Sum!$AS26)+($E$55*Mat_Sum!$CQ26)+($E$56*Mat_Sum!$AQ26)+($E$57*Mat_Sum!$AO26)+($E$58*Mat_Sum!$AP26)+($E$59*Mat_Sum!$BJ26)+($E$60*Mat_Sum!$BI26)+($E$61*Mat_Sum!$AR26)+($E$62*0)+($E$63*Mat_Sum!$CF26)+($E$64*Mat_Sum!$BG26)+($E$65*Mat_Sum!$BI26)+($E$66*Mat_Sum!$U26)+($E$67*Mat_Sum!$BA26)+($E$68*Mat_Sum!$CP26)+($E$69*0)+($E$70*Mat_Sum!$AZ26)+($E$71*Mat_Sum!$AM26)+($E$72*0)))+($E$202*(($E$211*Mat_Sum!$D26)+($E$212*Mat_Sum!$BG26)+($E$213*Mat_Sum!$AV26)))</f>
        <v>487.94985002994378</v>
      </c>
      <c r="D424" s="2136">
        <f ca="1" xml:space="preserve"> $D$6*$E$11*(($E$74*Mat_Sum!$D26)+($E$75*Mat_Sum!$L26)+($E$76*Mat_Sum!$I26)+($E$77*Mat_Sum!$F26)+($E$78*Mat_Sum!$AV26)+($E$79*Mat_Sum!$AR26)+($E$80*Mat_Sum!$AG26)+($E$81*Mat_Sum!$AG26)+($E$82*Mat_Sum!$F26)+($E$83*0))</f>
        <v>120.30470686596166</v>
      </c>
      <c r="E424" s="2136">
        <f ca="1" xml:space="preserve"> $D$6*$E$12*(($E$85*Mat_Sum!$D26)+($E$86*Mat_Sum!$F26)+($E$87*Mat_Sum!$L26)+($E$88*Mat_Sum!$I26)+($E$89*Mat_Sum!$AV26)+($E$90*Mat_Sum!$AR26)+($E$91*Mat_Sum!$AG26)+($E$92*Mat_Sum!$AG26)+($E$93*Mat_Sum!$F26)+($D$94*0))+($C$187*$B$187*$E$192*(($B$197*Mat_Sum!$D26)+($A$197*Mat_Sum!$AV26)))+($C$188*$B$188*$E$193*(($B$197*Mat_Sum!$D26)+($A$197*Mat_Sum!$AV26)))</f>
        <v>4018.5037498049942</v>
      </c>
      <c r="F424" s="2136">
        <f ca="1" xml:space="preserve"> $D$6*$E$13*(($E$96*Mat_Sum!$D26)+($E$97*Mat_Sum!$L26)+($E$98*Mat_Sum!$AG26)+($E$99*0))</f>
        <v>170.10400212788051</v>
      </c>
      <c r="G424" s="2136">
        <f ca="1" xml:space="preserve"> $D$6*$E$14*(($E$101*Mat_Sum!$D26)+($E$102*Mat_Sum!$L26)+($E$103*Mat_Sum!$AG26)+($E$104*0))</f>
        <v>0</v>
      </c>
      <c r="H424" s="2136">
        <f ca="1" xml:space="preserve"> $D$6*$E$15*(($E$106*Mat_Sum!$D26)+($E$107*Mat_Sum!$L26)+($E$108*Mat_Sum!$AG26)+($E$109*Mat_Sum!$AV26)+($E$110*Mat_Sum!$AR26)+($E$111*0))</f>
        <v>15.107688924076392</v>
      </c>
      <c r="I424" s="2136">
        <f ca="1" xml:space="preserve"> $D$6*$E$17*(($E$113*Mat_Sum!$E26)+($E$114*Mat_Sum!$D26)+($E$115*Mat_Sum!$F26)+($E$116*Mat_Sum!$L26)+($E$117*Mat_Sum!$I26)+($E$118*0)+($E$119*Mat_Sum!$AV26)+($E$120*Mat_Sum!$AR26)+($E$121*Mat_Sum!$AG26)+($E$122*Mat_Sum!$AG26)+($E$123*Mat_Sum!$AS26)+($E$124*0)+($E$125*Mat_Sum!$E26)+($E$126*0))</f>
        <v>0</v>
      </c>
      <c r="J424" s="2136">
        <f ca="1">$D$6*$E$16*(($E$128*Mat_Sum!$AU26)+($E$129*Mat_Sum!$D26)+($E$130*Mat_Sum!$E26)+($E$131*Mat_Sum!$AS26)+($E$132*Mat_Sum!$I26)+($E$133*Mat_Sum!$AG26)+($E$134*Mat_Sum!$AQ26)+($E$135*Mat_Sum!$AO26)+($E$136*0))</f>
        <v>2131.4725374944987</v>
      </c>
      <c r="K424" s="2406">
        <f ca="1" xml:space="preserve"> $D$6*$E$19*$E$138*Mat_Sum!$D26</f>
        <v>0</v>
      </c>
      <c r="L424" s="2223">
        <f t="shared" ca="1" si="14"/>
        <v>0.13423217657747658</v>
      </c>
      <c r="M424" s="2218">
        <f t="shared" ca="1" si="14"/>
        <v>6.0841762203008111E-2</v>
      </c>
      <c r="N424" s="2218">
        <f t="shared" ca="1" si="14"/>
        <v>1.5000620179701381E-2</v>
      </c>
      <c r="O424" s="2218">
        <f t="shared" ca="1" si="14"/>
        <v>0.50106142986318825</v>
      </c>
      <c r="P424" s="2218">
        <f t="shared" ca="1" si="14"/>
        <v>2.1210022395968323E-2</v>
      </c>
      <c r="Q424" s="2218">
        <f t="shared" ca="1" si="14"/>
        <v>0</v>
      </c>
      <c r="R424" s="2218">
        <f t="shared" ca="1" si="14"/>
        <v>1.8837559165132821E-3</v>
      </c>
      <c r="S424" s="2218">
        <f t="shared" ca="1" si="14"/>
        <v>0</v>
      </c>
      <c r="T424" s="2218">
        <f t="shared" ca="1" si="14"/>
        <v>0.26577023286414458</v>
      </c>
      <c r="U424" s="2224">
        <f t="shared" ca="1" si="14"/>
        <v>0</v>
      </c>
      <c r="AI424" s="2299"/>
      <c r="AJ424" s="2299"/>
      <c r="AK424" s="2299"/>
      <c r="AL424" s="2299"/>
      <c r="AM424" s="2299"/>
      <c r="AN424" s="2299"/>
      <c r="AO424" s="2299"/>
      <c r="AP424" s="2299"/>
      <c r="AQ424" s="2299"/>
      <c r="AR424" s="2299"/>
    </row>
    <row r="425" spans="1:44" ht="15.75">
      <c r="A425" s="2093" t="s">
        <v>2545</v>
      </c>
      <c r="B425" s="2151">
        <f ca="1">($D$6*$E$18*(($E$24*Mat_Sum!$D27)+($E$25*Mat_Sum!$E27)+($E$26*Mat_Sum!$I27)+($E$27*Mat_Sum!$L27)+($E$28*Mat_Sum!$AR27)+($E$29*Mat_Sum!$AV27)+($E$30*Mat_Sum!$AS27)+($E$31*Mat_Sum!$AM27)+($E$32*Mat_Sum!$AG27)+($E$33*0)+($E$34*0)+($E$35*0)+($E$36*Mat_Sum!$CF27)+($E$37*Silicon!$K84)+($E$38*0)))+($E$201*(($E$207*Mat_Sum!$D27)+($E$208*Mat_Sum!$AV27)+($E$209*Mat_Sum!$AR27)))</f>
        <v>13395.958626244139</v>
      </c>
      <c r="C425" s="2136">
        <f ca="1">($D$6*$E$10*(($E$40*Mat_Sum!$E27)+($E$41*Mat_Sum!$D27)+($E$42*Mat_Sum!$L27)+($E$43*Mat_Sum!$I27)+($E$44*Mat_Sum!$F27)+($E$45*Mat_Sum!$AV27)+($E$46*Mat_Sum!$AR27)+($E$47*Mat_Sum!$AG27)+($E$48*((88%*Mat_Sum!$AG27)+(12%*0)))+($E$49*Mat_Sum!$CF27)+($E$50*Mat_Sum!$AN27)+($E$51*'C.Iron'!$I74)+($E$52*((80%*Mat_Sum!$U27)+(20%*Mat_Sum!$BA27)))+($E$53*Mat_Sum!$AW27)+($E$54*Mat_Sum!$AS27)+($E$55*Mat_Sum!$CQ27)+($E$56*Mat_Sum!$AQ27)+($E$57*Mat_Sum!$AO27)+($E$58*Mat_Sum!$AP27)+($E$59*Mat_Sum!$BJ27)+($E$60*Mat_Sum!$BI27)+($E$61*Mat_Sum!$AR27)+($E$62*0)+($E$63*Mat_Sum!$CF27)+($E$64*Mat_Sum!$BG27)+($E$65*Mat_Sum!$BI27)+($E$66*Mat_Sum!$U27)+($E$67*Mat_Sum!$BA27)+($E$68*Mat_Sum!$CP27)+($E$69*0)+($E$70*Mat_Sum!$AZ27)+($E$71*Mat_Sum!$AM27)+($E$72*0)))+($E$202*(($E$211*Mat_Sum!$D27)+($E$212*Mat_Sum!$BG27)+($E$213*Mat_Sum!$AV27)))</f>
        <v>10149.240145868911</v>
      </c>
      <c r="D425" s="2136">
        <f ca="1" xml:space="preserve"> $D$6*$E$11*(($E$74*Mat_Sum!$D27)+($E$75*Mat_Sum!$L27)+($E$76*Mat_Sum!$I27)+($E$77*Mat_Sum!$F27)+($E$78*Mat_Sum!$AV27)+($E$79*Mat_Sum!$AR27)+($E$80*Mat_Sum!$AG27)+($E$81*Mat_Sum!$AG27)+($E$82*Mat_Sum!$F27)+($E$83*0))</f>
        <v>1761.3657515902437</v>
      </c>
      <c r="E425" s="2136">
        <f ca="1" xml:space="preserve"> $D$6*$E$12*(($E$85*Mat_Sum!$D27)+($E$86*Mat_Sum!$F27)+($E$87*Mat_Sum!$L27)+($E$88*Mat_Sum!$I27)+($E$89*Mat_Sum!$AV27)+($E$90*Mat_Sum!$AR27)+($E$91*Mat_Sum!$AG27)+($E$92*Mat_Sum!$AG27)+($E$93*Mat_Sum!$F27)+($D$94*0))+($C$187*$B$187*$E$192*(($B$197*Mat_Sum!$D27)+($A$197*Mat_Sum!$AV27)))+($C$188*$B$188*$E$193*(($B$197*Mat_Sum!$D27)+($A$197*Mat_Sum!$AV27)))</f>
        <v>46680.079471697252</v>
      </c>
      <c r="F425" s="2136">
        <f ca="1" xml:space="preserve"> $D$6*$E$13*(($E$96*Mat_Sum!$D27)+($E$97*Mat_Sum!$L27)+($E$98*Mat_Sum!$AG27)+($E$99*0))</f>
        <v>12865.24113731682</v>
      </c>
      <c r="G425" s="2136">
        <f ca="1" xml:space="preserve"> $D$6*$E$14*(($E$101*Mat_Sum!$D27)+($E$102*Mat_Sum!$L27)+($E$103*Mat_Sum!$AG27)+($E$104*0))</f>
        <v>0</v>
      </c>
      <c r="H425" s="2136">
        <f ca="1" xml:space="preserve"> $D$6*$E$15*(($E$106*Mat_Sum!$D27)+($E$107*Mat_Sum!$L27)+($E$108*Mat_Sum!$AG27)+($E$109*Mat_Sum!$AV27)+($E$110*Mat_Sum!$AR27)+($E$111*0))</f>
        <v>553.54520953194435</v>
      </c>
      <c r="I425" s="2136">
        <f ca="1" xml:space="preserve"> $D$6*$E$17*(($E$113*Mat_Sum!$E27)+($E$114*Mat_Sum!$D27)+($E$115*Mat_Sum!$F27)+($E$116*Mat_Sum!$L27)+($E$117*Mat_Sum!$I27)+($E$118*0)+($E$119*Mat_Sum!$AV27)+($E$120*Mat_Sum!$AR27)+($E$121*Mat_Sum!$AG27)+($E$122*Mat_Sum!$AG27)+($E$123*Mat_Sum!$AS27)+($E$124*0)+($E$125*Mat_Sum!$E27)+($E$126*0))</f>
        <v>0</v>
      </c>
      <c r="J425" s="2136">
        <f ca="1">$D$6*$E$16*(($E$128*Mat_Sum!$AU27)+($E$129*Mat_Sum!$D27)+($E$130*Mat_Sum!$E27)+($E$131*Mat_Sum!$AS27)+($E$132*Mat_Sum!$I27)+($E$133*Mat_Sum!$AG27)+($E$134*Mat_Sum!$AQ27)+($E$135*Mat_Sum!$AO27)+($E$136*0))</f>
        <v>13233.896064534098</v>
      </c>
      <c r="K425" s="2406">
        <f ca="1" xml:space="preserve"> $D$6*$E$19*$E$138*Mat_Sum!$D27</f>
        <v>0</v>
      </c>
      <c r="L425" s="2223">
        <f t="shared" ca="1" si="14"/>
        <v>0.13580748281876848</v>
      </c>
      <c r="M425" s="2218">
        <f t="shared" ca="1" si="14"/>
        <v>0.10289243160495616</v>
      </c>
      <c r="N425" s="2218">
        <f t="shared" ca="1" si="14"/>
        <v>1.7856627936878474E-2</v>
      </c>
      <c r="O425" s="2218">
        <f t="shared" ca="1" si="14"/>
        <v>0.47324004706997935</v>
      </c>
      <c r="P425" s="2218">
        <f t="shared" ca="1" si="14"/>
        <v>0.13042709846031628</v>
      </c>
      <c r="Q425" s="2218">
        <f t="shared" ca="1" si="14"/>
        <v>0</v>
      </c>
      <c r="R425" s="2218">
        <f t="shared" ca="1" si="14"/>
        <v>5.6118105191549335E-3</v>
      </c>
      <c r="S425" s="2218">
        <f t="shared" ca="1" si="14"/>
        <v>0</v>
      </c>
      <c r="T425" s="2218">
        <f t="shared" ca="1" si="14"/>
        <v>0.13416450158994597</v>
      </c>
      <c r="U425" s="2224">
        <f t="shared" ca="1" si="14"/>
        <v>0</v>
      </c>
      <c r="AI425" s="2299"/>
      <c r="AJ425" s="2299"/>
      <c r="AK425" s="2299"/>
      <c r="AL425" s="2299"/>
      <c r="AM425" s="2299"/>
      <c r="AN425" s="2299"/>
      <c r="AO425" s="2299"/>
      <c r="AP425" s="2299"/>
      <c r="AQ425" s="2299"/>
      <c r="AR425" s="2299"/>
    </row>
    <row r="426" spans="1:44">
      <c r="A426" s="2093" t="s">
        <v>827</v>
      </c>
      <c r="B426" s="2151">
        <f ca="1">($D$6*$E$18*(($E$24*Mat_Sum!$D28)+($E$25*Mat_Sum!$E28)+($E$26*Mat_Sum!$I28)+($E$27*Mat_Sum!$L28)+($E$28*Mat_Sum!$AR28)+($E$29*Mat_Sum!$AV28)+($E$30*Mat_Sum!$AS28)+($E$31*Mat_Sum!$AM28)+($E$32*Mat_Sum!$AG28)+($E$33*0)+($E$34*0)+($E$35*0)+($E$36*Mat_Sum!$CF28)+($E$37*Silicon!$K85)+($E$38*0)))+($E$201*(($E$207*Mat_Sum!$D28)+($E$208*Mat_Sum!$AV28)+($E$209*Mat_Sum!$AR28)))</f>
        <v>29.458513014899751</v>
      </c>
      <c r="C426" s="2136">
        <f ca="1">($D$6*$E$10*(($E$40*Mat_Sum!$E28)+($E$41*Mat_Sum!$D28)+($E$42*Mat_Sum!$L28)+($E$43*Mat_Sum!$I28)+($E$44*Mat_Sum!$F28)+($E$45*Mat_Sum!$AV28)+($E$46*Mat_Sum!$AR28)+($E$47*Mat_Sum!$AG28)+($E$48*((88%*Mat_Sum!$AG28)+(12%*0)))+($E$49*Mat_Sum!$CF28)+($E$50*Mat_Sum!$AN28)+($E$51*'C.Iron'!$I75)+($E$52*((80%*Mat_Sum!$U28)+(20%*Mat_Sum!$BA28)))+($E$53*Mat_Sum!$AW28)+($E$54*Mat_Sum!$AS28)+($E$55*Mat_Sum!$CQ28)+($E$56*Mat_Sum!$AQ28)+($E$57*Mat_Sum!$AO28)+($E$58*Mat_Sum!$AP28)+($E$59*Mat_Sum!$BJ28)+($E$60*Mat_Sum!$BI28)+($E$61*Mat_Sum!$AR28)+($E$62*0)+($E$63*Mat_Sum!$CF28)+($E$64*Mat_Sum!$BG28)+($E$65*Mat_Sum!$BI28)+($E$66*Mat_Sum!$U28)+($E$67*Mat_Sum!$BA28)+($E$68*Mat_Sum!$CP28)+($E$69*0)+($E$70*Mat_Sum!$AZ28)+($E$71*Mat_Sum!$AM28)+($E$72*0)))+($E$202*(($E$211*Mat_Sum!$D28)+($E$212*Mat_Sum!$BG28)+($E$213*Mat_Sum!$AV28)))</f>
        <v>11.348912840919006</v>
      </c>
      <c r="D426" s="2136">
        <f ca="1" xml:space="preserve"> $D$6*$E$11*(($E$74*Mat_Sum!$D28)+($E$75*Mat_Sum!$L28)+($E$76*Mat_Sum!$I28)+($E$77*Mat_Sum!$F28)+($E$78*Mat_Sum!$AV28)+($E$79*Mat_Sum!$AR28)+($E$80*Mat_Sum!$AG28)+($E$81*Mat_Sum!$AG28)+($E$82*Mat_Sum!$F28)+($E$83*0))</f>
        <v>1.7965069957147277</v>
      </c>
      <c r="E426" s="2136">
        <f ca="1" xml:space="preserve"> $D$6*$E$12*(($E$85*Mat_Sum!$D28)+($E$86*Mat_Sum!$F28)+($E$87*Mat_Sum!$L28)+($E$88*Mat_Sum!$I28)+($E$89*Mat_Sum!$AV28)+($E$90*Mat_Sum!$AR28)+($E$91*Mat_Sum!$AG28)+($E$92*Mat_Sum!$AG28)+($E$93*Mat_Sum!$F28)+($D$94*0))+($C$187*$B$187*$E$192*(($B$197*Mat_Sum!$D28)+($A$197*Mat_Sum!$AV28)))+($C$188*$B$188*$E$193*(($B$197*Mat_Sum!$D28)+($A$197*Mat_Sum!$AV28)))</f>
        <v>110.40440812912243</v>
      </c>
      <c r="F426" s="2136">
        <f ca="1" xml:space="preserve"> $D$6*$E$13*(($E$96*Mat_Sum!$D28)+($E$97*Mat_Sum!$L28)+($E$98*Mat_Sum!$AG28)+($E$99*0))</f>
        <v>6.3002884443859362</v>
      </c>
      <c r="G426" s="2136">
        <f ca="1" xml:space="preserve"> $D$6*$E$14*(($E$101*Mat_Sum!$D28)+($E$102*Mat_Sum!$L28)+($E$103*Mat_Sum!$AG28)+($E$104*0))</f>
        <v>0</v>
      </c>
      <c r="H426" s="2136">
        <f ca="1" xml:space="preserve"> $D$6*$E$15*(($E$106*Mat_Sum!$D28)+($E$107*Mat_Sum!$L28)+($E$108*Mat_Sum!$AG28)+($E$109*Mat_Sum!$AV28)+($E$110*Mat_Sum!$AR28)+($E$111*0))</f>
        <v>0.63350244096784658</v>
      </c>
      <c r="I426" s="2136">
        <f ca="1" xml:space="preserve"> $D$6*$E$17*(($E$113*Mat_Sum!$E28)+($E$114*Mat_Sum!$D28)+($E$115*Mat_Sum!$F28)+($E$116*Mat_Sum!$L28)+($E$117*Mat_Sum!$I28)+($E$118*0)+($E$119*Mat_Sum!$AV28)+($E$120*Mat_Sum!$AR28)+($E$121*Mat_Sum!$AG28)+($E$122*Mat_Sum!$AG28)+($E$123*Mat_Sum!$AS28)+($E$124*0)+($E$125*Mat_Sum!$E28)+($E$126*0))</f>
        <v>0</v>
      </c>
      <c r="J426" s="2136">
        <f ca="1">$D$6*$E$16*(($E$128*Mat_Sum!$AU28)+($E$129*Mat_Sum!$D28)+($E$130*Mat_Sum!$E28)+($E$131*Mat_Sum!$AS28)+($E$132*Mat_Sum!$I28)+($E$133*Mat_Sum!$AG28)+($E$134*Mat_Sum!$AQ28)+($E$135*Mat_Sum!$AO28)+($E$136*0))</f>
        <v>117.4700546807596</v>
      </c>
      <c r="K426" s="2406">
        <f ca="1" xml:space="preserve"> $D$6*$E$19*$E$138*Mat_Sum!$D28</f>
        <v>0</v>
      </c>
      <c r="L426" s="2223">
        <f t="shared" ca="1" si="14"/>
        <v>0.10619040706754709</v>
      </c>
      <c r="M426" s="2218">
        <f t="shared" ca="1" si="14"/>
        <v>4.0909928947932772E-2</v>
      </c>
      <c r="N426" s="2218">
        <f t="shared" ca="1" si="14"/>
        <v>6.4759483643370939E-3</v>
      </c>
      <c r="O426" s="2218">
        <f t="shared" ca="1" si="14"/>
        <v>0.39797966161269982</v>
      </c>
      <c r="P426" s="2218">
        <f t="shared" ca="1" si="14"/>
        <v>2.2710928899022109E-2</v>
      </c>
      <c r="Q426" s="2218">
        <f t="shared" ca="1" si="14"/>
        <v>0</v>
      </c>
      <c r="R426" s="2218">
        <f t="shared" ca="1" si="14"/>
        <v>2.2836143172140109E-3</v>
      </c>
      <c r="S426" s="2218">
        <f t="shared" ca="1" si="14"/>
        <v>0</v>
      </c>
      <c r="T426" s="2218">
        <f t="shared" ca="1" si="14"/>
        <v>0.42344951079124687</v>
      </c>
      <c r="U426" s="2224">
        <f t="shared" ca="1" si="14"/>
        <v>0</v>
      </c>
      <c r="AI426" s="2299"/>
      <c r="AJ426" s="2299"/>
      <c r="AK426" s="2299"/>
      <c r="AL426" s="2299"/>
      <c r="AM426" s="2299"/>
      <c r="AN426" s="2299"/>
      <c r="AO426" s="2299"/>
      <c r="AP426" s="2299"/>
      <c r="AQ426" s="2299"/>
      <c r="AR426" s="2299"/>
    </row>
    <row r="427" spans="1:44">
      <c r="A427" s="2093" t="s">
        <v>828</v>
      </c>
      <c r="B427" s="2151">
        <f ca="1">($D$6*$E$18*(($E$24*Mat_Sum!$D29)+($E$25*Mat_Sum!$E29)+($E$26*Mat_Sum!$I29)+($E$27*Mat_Sum!$L29)+($E$28*Mat_Sum!$AR29)+($E$29*Mat_Sum!$AV29)+($E$30*Mat_Sum!$AS29)+($E$31*Mat_Sum!$AM29)+($E$32*Mat_Sum!$AG29)+($E$33*0)+($E$34*0)+($E$35*0)+($E$36*Mat_Sum!$CF29)+($E$37*Silicon!$K86)+($E$38*0)))+($E$201*(($E$207*Mat_Sum!$D29)+($E$208*Mat_Sum!$AV29)+($E$209*Mat_Sum!$AR29)))</f>
        <v>67.932920505094827</v>
      </c>
      <c r="C427" s="2136">
        <f ca="1">($D$6*$E$10*(($E$40*Mat_Sum!$E29)+($E$41*Mat_Sum!$D29)+($E$42*Mat_Sum!$L29)+($E$43*Mat_Sum!$I29)+($E$44*Mat_Sum!$F29)+($E$45*Mat_Sum!$AV29)+($E$46*Mat_Sum!$AR29)+($E$47*Mat_Sum!$AG29)+($E$48*((88%*Mat_Sum!$AG29)+(12%*0)))+($E$49*Mat_Sum!$CF29)+($E$50*Mat_Sum!$AN29)+($E$51*'C.Iron'!$I76)+($E$52*((80%*Mat_Sum!$U29)+(20%*Mat_Sum!$BA29)))+($E$53*Mat_Sum!$AW29)+($E$54*Mat_Sum!$AS29)+($E$55*Mat_Sum!$CQ29)+($E$56*Mat_Sum!$AQ29)+($E$57*Mat_Sum!$AO29)+($E$58*Mat_Sum!$AP29)+($E$59*Mat_Sum!$BJ29)+($E$60*Mat_Sum!$BI29)+($E$61*Mat_Sum!$AR29)+($E$62*0)+($E$63*Mat_Sum!$CF29)+($E$64*Mat_Sum!$BG29)+($E$65*Mat_Sum!$BI29)+($E$66*Mat_Sum!$U29)+($E$67*Mat_Sum!$BA29)+($E$68*Mat_Sum!$CP29)+($E$69*0)+($E$70*Mat_Sum!$AZ29)+($E$71*Mat_Sum!$AM29)+($E$72*0)))+($E$202*(($E$211*Mat_Sum!$D29)+($E$212*Mat_Sum!$BG29)+($E$213*Mat_Sum!$AV29)))</f>
        <v>29.427063273768148</v>
      </c>
      <c r="D427" s="2136">
        <f ca="1" xml:space="preserve"> $D$6*$E$11*(($E$74*Mat_Sum!$D29)+($E$75*Mat_Sum!$L29)+($E$76*Mat_Sum!$I29)+($E$77*Mat_Sum!$F29)+($E$78*Mat_Sum!$AV29)+($E$79*Mat_Sum!$AR29)+($E$80*Mat_Sum!$AG29)+($E$81*Mat_Sum!$AG29)+($E$82*Mat_Sum!$F29)+($E$83*0))</f>
        <v>4.816702462463291</v>
      </c>
      <c r="E427" s="2136">
        <f ca="1" xml:space="preserve"> $D$6*$E$12*(($E$85*Mat_Sum!$D29)+($E$86*Mat_Sum!$F29)+($E$87*Mat_Sum!$L29)+($E$88*Mat_Sum!$I29)+($E$89*Mat_Sum!$AV29)+($E$90*Mat_Sum!$AR29)+($E$91*Mat_Sum!$AG29)+($E$92*Mat_Sum!$AG29)+($E$93*Mat_Sum!$F29)+($D$94*0))+($C$187*$B$187*$E$192*(($B$197*Mat_Sum!$D29)+($A$197*Mat_Sum!$AV29)))+($C$188*$B$188*$E$193*(($B$197*Mat_Sum!$D29)+($A$197*Mat_Sum!$AV29)))</f>
        <v>232.25443862145448</v>
      </c>
      <c r="F427" s="2136">
        <f ca="1" xml:space="preserve"> $D$6*$E$13*(($E$96*Mat_Sum!$D29)+($E$97*Mat_Sum!$L29)+($E$98*Mat_Sum!$AG29)+($E$99*0))</f>
        <v>10.664144868161879</v>
      </c>
      <c r="G427" s="2136">
        <f ca="1" xml:space="preserve"> $D$6*$E$14*(($E$101*Mat_Sum!$D29)+($E$102*Mat_Sum!$L29)+($E$103*Mat_Sum!$AG29)+($E$104*0))</f>
        <v>0</v>
      </c>
      <c r="H427" s="2136">
        <f ca="1" xml:space="preserve"> $D$6*$E$15*(($E$106*Mat_Sum!$D29)+($E$107*Mat_Sum!$L29)+($E$108*Mat_Sum!$AG29)+($E$109*Mat_Sum!$AV29)+($E$110*Mat_Sum!$AR29)+($E$111*0))</f>
        <v>1.2491040033118204</v>
      </c>
      <c r="I427" s="2136">
        <f ca="1" xml:space="preserve"> $D$6*$E$17*(($E$113*Mat_Sum!$E29)+($E$114*Mat_Sum!$D29)+($E$115*Mat_Sum!$F29)+($E$116*Mat_Sum!$L29)+($E$117*Mat_Sum!$I29)+($E$118*0)+($E$119*Mat_Sum!$AV29)+($E$120*Mat_Sum!$AR29)+($E$121*Mat_Sum!$AG29)+($E$122*Mat_Sum!$AG29)+($E$123*Mat_Sum!$AS29)+($E$124*0)+($E$125*Mat_Sum!$E29)+($E$126*0))</f>
        <v>0</v>
      </c>
      <c r="J427" s="2136">
        <f ca="1">$D$6*$E$16*(($E$128*Mat_Sum!$AU29)+($E$129*Mat_Sum!$D29)+($E$130*Mat_Sum!$E29)+($E$131*Mat_Sum!$AS29)+($E$132*Mat_Sum!$I29)+($E$133*Mat_Sum!$AG29)+($E$134*Mat_Sum!$AQ29)+($E$135*Mat_Sum!$AO29)+($E$136*0))</f>
        <v>357.1868142399494</v>
      </c>
      <c r="K427" s="2406">
        <f ca="1" xml:space="preserve"> $D$6*$E$19*$E$138*Mat_Sum!$D29</f>
        <v>0</v>
      </c>
      <c r="L427" s="2223">
        <f t="shared" ca="1" si="14"/>
        <v>9.6559927500450338E-2</v>
      </c>
      <c r="M427" s="2218">
        <f t="shared" ca="1" si="14"/>
        <v>4.1827659920098861E-2</v>
      </c>
      <c r="N427" s="2218">
        <f t="shared" ca="1" si="14"/>
        <v>6.8464661479085741E-3</v>
      </c>
      <c r="O427" s="2218">
        <f t="shared" ca="1" si="14"/>
        <v>0.33012671306047409</v>
      </c>
      <c r="P427" s="2218">
        <f t="shared" ca="1" si="14"/>
        <v>1.5158027178395532E-2</v>
      </c>
      <c r="Q427" s="2218">
        <f t="shared" ca="1" si="14"/>
        <v>0</v>
      </c>
      <c r="R427" s="2218">
        <f t="shared" ca="1" si="14"/>
        <v>1.7754777963839476E-3</v>
      </c>
      <c r="S427" s="2218">
        <f t="shared" ca="1" si="14"/>
        <v>0</v>
      </c>
      <c r="T427" s="2218">
        <f t="shared" ca="1" si="14"/>
        <v>0.50770572839628858</v>
      </c>
      <c r="U427" s="2224">
        <f t="shared" ca="1" si="14"/>
        <v>0</v>
      </c>
      <c r="AI427" s="2299"/>
      <c r="AJ427" s="2299"/>
      <c r="AK427" s="2299"/>
      <c r="AL427" s="2299"/>
      <c r="AM427" s="2299"/>
      <c r="AN427" s="2299"/>
      <c r="AO427" s="2299"/>
      <c r="AP427" s="2299"/>
      <c r="AQ427" s="2299"/>
      <c r="AR427" s="2299"/>
    </row>
    <row r="428" spans="1:44" ht="15.75">
      <c r="A428" s="2093" t="s">
        <v>2546</v>
      </c>
      <c r="B428" s="2151">
        <f ca="1">($D$6*$E$18*(($E$24*Mat_Sum!$D30)+($E$25*Mat_Sum!$E30)+($E$26*Mat_Sum!$I30)+($E$27*Mat_Sum!$L30)+($E$28*Mat_Sum!$AR30)+($E$29*Mat_Sum!$AV30)+($E$30*Mat_Sum!$AS30)+($E$31*Mat_Sum!$AM30)+($E$32*Mat_Sum!$AG30)+($E$33*0)+($E$34*0)+($E$35*0)+($E$36*Mat_Sum!$CF30)+($E$37*Silicon!$K87)+($E$38*0)))+($E$201*(($E$207*Mat_Sum!$D30)+($E$208*Mat_Sum!$AV30)+($E$209*Mat_Sum!$AR30)))</f>
        <v>13876.955057921805</v>
      </c>
      <c r="C428" s="2136">
        <f ca="1">($D$6*$E$10*(($E$40*Mat_Sum!$E30)+($E$41*Mat_Sum!$D30)+($E$42*Mat_Sum!$L30)+($E$43*Mat_Sum!$I30)+($E$44*Mat_Sum!$F30)+($E$45*Mat_Sum!$AV30)+($E$46*Mat_Sum!$AR30)+($E$47*Mat_Sum!$AG30)+($E$48*((88%*Mat_Sum!$AG30)+(12%*0)))+($E$49*Mat_Sum!$CF30)+($E$50*Mat_Sum!$AN30)+($E$51*'C.Iron'!$I77)+($E$52*((80%*Mat_Sum!$U30)+(20%*Mat_Sum!$BA30)))+($E$53*Mat_Sum!$AW30)+($E$54*Mat_Sum!$AS30)+($E$55*Mat_Sum!$CQ30)+($E$56*Mat_Sum!$AQ30)+($E$57*Mat_Sum!$AO30)+($E$58*Mat_Sum!$AP30)+($E$59*Mat_Sum!$BJ30)+($E$60*Mat_Sum!$BI30)+($E$61*Mat_Sum!$AR30)+($E$62*0)+($E$63*Mat_Sum!$CF30)+($E$64*Mat_Sum!$BG30)+($E$65*Mat_Sum!$BI30)+($E$66*Mat_Sum!$U30)+($E$67*Mat_Sum!$BA30)+($E$68*Mat_Sum!$CP30)+($E$69*0)+($E$70*Mat_Sum!$AZ30)+($E$71*Mat_Sum!$AM30)+($E$72*0)))+($E$202*(($E$211*Mat_Sum!$D30)+($E$212*Mat_Sum!$BG30)+($E$213*Mat_Sum!$AV30)))</f>
        <v>6139.2189754582096</v>
      </c>
      <c r="D428" s="2136">
        <f ca="1" xml:space="preserve"> $D$6*$E$11*(($E$74*Mat_Sum!$D30)+($E$75*Mat_Sum!$L30)+($E$76*Mat_Sum!$I30)+($E$77*Mat_Sum!$F30)+($E$78*Mat_Sum!$AV30)+($E$79*Mat_Sum!$AR30)+($E$80*Mat_Sum!$AG30)+($E$81*Mat_Sum!$AG30)+($E$82*Mat_Sum!$F30)+($E$83*0))</f>
        <v>926.77368429692433</v>
      </c>
      <c r="E428" s="2136">
        <f ca="1" xml:space="preserve"> $D$6*$E$12*(($E$85*Mat_Sum!$D30)+($E$86*Mat_Sum!$F30)+($E$87*Mat_Sum!$L30)+($E$88*Mat_Sum!$I30)+($E$89*Mat_Sum!$AV30)+($E$90*Mat_Sum!$AR30)+($E$91*Mat_Sum!$AG30)+($E$92*Mat_Sum!$AG30)+($E$93*Mat_Sum!$F30)+($D$94*0))+($C$187*$B$187*$E$192*(($B$197*Mat_Sum!$D30)+($A$197*Mat_Sum!$AV30)))+($C$188*$B$188*$E$193*(($B$197*Mat_Sum!$D30)+($A$197*Mat_Sum!$AV30)))</f>
        <v>34024.182977170465</v>
      </c>
      <c r="F428" s="2136">
        <f ca="1" xml:space="preserve"> $D$6*$E$13*(($E$96*Mat_Sum!$D30)+($E$97*Mat_Sum!$L30)+($E$98*Mat_Sum!$AG30)+($E$99*0))</f>
        <v>1503.4909580261849</v>
      </c>
      <c r="G428" s="2136">
        <f ca="1" xml:space="preserve"> $D$6*$E$14*(($E$101*Mat_Sum!$D30)+($E$102*Mat_Sum!$L30)+($E$103*Mat_Sum!$AG30)+($E$104*0))</f>
        <v>0</v>
      </c>
      <c r="H428" s="2136">
        <f ca="1" xml:space="preserve"> $D$6*$E$15*(($E$106*Mat_Sum!$D30)+($E$107*Mat_Sum!$L30)+($E$108*Mat_Sum!$AG30)+($E$109*Mat_Sum!$AV30)+($E$110*Mat_Sum!$AR30)+($E$111*0))</f>
        <v>265.95150295793252</v>
      </c>
      <c r="I428" s="2136">
        <f ca="1" xml:space="preserve"> $D$6*$E$17*(($E$113*Mat_Sum!$E30)+($E$114*Mat_Sum!$D30)+($E$115*Mat_Sum!$F30)+($E$116*Mat_Sum!$L30)+($E$117*Mat_Sum!$I30)+($E$118*0)+($E$119*Mat_Sum!$AV30)+($E$120*Mat_Sum!$AR30)+($E$121*Mat_Sum!$AG30)+($E$122*Mat_Sum!$AG30)+($E$123*Mat_Sum!$AS30)+($E$124*0)+($E$125*Mat_Sum!$E30)+($E$126*0))</f>
        <v>0</v>
      </c>
      <c r="J428" s="2136">
        <f ca="1">$D$6*$E$16*(($E$128*Mat_Sum!$AU30)+($E$129*Mat_Sum!$D30)+($E$130*Mat_Sum!$E30)+($E$131*Mat_Sum!$AS30)+($E$132*Mat_Sum!$I30)+($E$133*Mat_Sum!$AG30)+($E$134*Mat_Sum!$AQ30)+($E$135*Mat_Sum!$AO30)+($E$136*0))</f>
        <v>58487.630379757422</v>
      </c>
      <c r="K428" s="2406">
        <f ca="1" xml:space="preserve"> $D$6*$E$19*$E$138*Mat_Sum!$D30</f>
        <v>0</v>
      </c>
      <c r="L428" s="2223">
        <f t="shared" ca="1" si="14"/>
        <v>0.12043437604353388</v>
      </c>
      <c r="M428" s="2218">
        <f t="shared" ca="1" si="14"/>
        <v>5.328063711511799E-2</v>
      </c>
      <c r="N428" s="2218">
        <f t="shared" ca="1" si="14"/>
        <v>8.0432205722357156E-3</v>
      </c>
      <c r="O428" s="2218">
        <f t="shared" ca="1" si="14"/>
        <v>0.29528677077521759</v>
      </c>
      <c r="P428" s="2218">
        <f t="shared" ca="1" si="14"/>
        <v>1.3048395318799547E-2</v>
      </c>
      <c r="Q428" s="2218">
        <f t="shared" ca="1" si="14"/>
        <v>0</v>
      </c>
      <c r="R428" s="2218">
        <f t="shared" ca="1" si="14"/>
        <v>2.3081218597947517E-3</v>
      </c>
      <c r="S428" s="2218">
        <f t="shared" ca="1" si="14"/>
        <v>0</v>
      </c>
      <c r="T428" s="2218">
        <f t="shared" ca="1" si="14"/>
        <v>0.50759847831530058</v>
      </c>
      <c r="U428" s="2224">
        <f t="shared" ca="1" si="14"/>
        <v>0</v>
      </c>
      <c r="AI428" s="2299"/>
      <c r="AJ428" s="2299"/>
      <c r="AK428" s="2299"/>
      <c r="AL428" s="2299"/>
      <c r="AM428" s="2299"/>
      <c r="AN428" s="2299"/>
      <c r="AO428" s="2299"/>
      <c r="AP428" s="2299"/>
      <c r="AQ428" s="2299"/>
      <c r="AR428" s="2299"/>
    </row>
    <row r="429" spans="1:44" ht="15.75">
      <c r="A429" s="2093" t="s">
        <v>2547</v>
      </c>
      <c r="B429" s="2151">
        <f ca="1">($D$6*$E$18*(($E$24*Mat_Sum!$D31)+($E$25*Mat_Sum!$E31)+($E$26*Mat_Sum!$I31)+($E$27*Mat_Sum!$L31)+($E$28*Mat_Sum!$AR31)+($E$29*Mat_Sum!$AV31)+($E$30*Mat_Sum!$AS31)+($E$31*Mat_Sum!$AM31)+($E$32*Mat_Sum!$AG31)+($E$33*0)+($E$34*0)+($E$35*0)+($E$36*Mat_Sum!$CF31)+($E$37*Silicon!$K88)+($E$38*0)))+($E$201*(($E$207*Mat_Sum!$D31)+($E$208*Mat_Sum!$AV31)+($E$209*Mat_Sum!$AR31)))</f>
        <v>136.07590951831568</v>
      </c>
      <c r="C429" s="2136">
        <f ca="1">($D$6*$E$10*(($E$40*Mat_Sum!$E31)+($E$41*Mat_Sum!$D31)+($E$42*Mat_Sum!$L31)+($E$43*Mat_Sum!$I31)+($E$44*Mat_Sum!$F31)+($E$45*Mat_Sum!$AV31)+($E$46*Mat_Sum!$AR31)+($E$47*Mat_Sum!$AG31)+($E$48*((88%*Mat_Sum!$AG31)+(12%*0)))+($E$49*Mat_Sum!$CF31)+($E$50*Mat_Sum!$AN31)+($E$51*'C.Iron'!$I78)+($E$52*((80%*Mat_Sum!$U31)+(20%*Mat_Sum!$BA31)))+($E$53*Mat_Sum!$AW31)+($E$54*Mat_Sum!$AS31)+($E$55*Mat_Sum!$CQ31)+($E$56*Mat_Sum!$AQ31)+($E$57*Mat_Sum!$AO31)+($E$58*Mat_Sum!$AP31)+($E$59*Mat_Sum!$BJ31)+($E$60*Mat_Sum!$BI31)+($E$61*Mat_Sum!$AR31)+($E$62*0)+($E$63*Mat_Sum!$CF31)+($E$64*Mat_Sum!$BG31)+($E$65*Mat_Sum!$BI31)+($E$66*Mat_Sum!$U31)+($E$67*Mat_Sum!$BA31)+($E$68*Mat_Sum!$CP31)+($E$69*0)+($E$70*Mat_Sum!$AZ31)+($E$71*Mat_Sum!$AM31)+($E$72*0)))+($E$202*(($E$211*Mat_Sum!$D31)+($E$212*Mat_Sum!$BG31)+($E$213*Mat_Sum!$AV31)))</f>
        <v>52.093304916471268</v>
      </c>
      <c r="D429" s="2136">
        <f ca="1" xml:space="preserve"> $D$6*$E$11*(($E$74*Mat_Sum!$D31)+($E$75*Mat_Sum!$L31)+($E$76*Mat_Sum!$I31)+($E$77*Mat_Sum!$F31)+($E$78*Mat_Sum!$AV31)+($E$79*Mat_Sum!$AR31)+($E$80*Mat_Sum!$AG31)+($E$81*Mat_Sum!$AG31)+($E$82*Mat_Sum!$F31)+($E$83*0))</f>
        <v>6.448452785101118</v>
      </c>
      <c r="E429" s="2136">
        <f ca="1" xml:space="preserve"> $D$6*$E$12*(($E$85*Mat_Sum!$D31)+($E$86*Mat_Sum!$F31)+($E$87*Mat_Sum!$L31)+($E$88*Mat_Sum!$I31)+($E$89*Mat_Sum!$AV31)+($E$90*Mat_Sum!$AR31)+($E$91*Mat_Sum!$AG31)+($E$92*Mat_Sum!$AG31)+($E$93*Mat_Sum!$F31)+($D$94*0))+($C$187*$B$187*$E$192*(($B$197*Mat_Sum!$D31)+($A$197*Mat_Sum!$AV31)))+($C$188*$B$188*$E$193*(($B$197*Mat_Sum!$D31)+($A$197*Mat_Sum!$AV31)))</f>
        <v>281.79489909994754</v>
      </c>
      <c r="F429" s="2136">
        <f ca="1" xml:space="preserve"> $D$6*$E$13*(($E$96*Mat_Sum!$D31)+($E$97*Mat_Sum!$L31)+($E$98*Mat_Sum!$AG31)+($E$99*0))</f>
        <v>13.78104825926065</v>
      </c>
      <c r="G429" s="2136">
        <f ca="1" xml:space="preserve"> $D$6*$E$14*(($E$101*Mat_Sum!$D31)+($E$102*Mat_Sum!$L31)+($E$103*Mat_Sum!$AG31)+($E$104*0))</f>
        <v>0</v>
      </c>
      <c r="H429" s="2136">
        <f ca="1" xml:space="preserve"> $D$6*$E$15*(($E$106*Mat_Sum!$D31)+($E$107*Mat_Sum!$L31)+($E$108*Mat_Sum!$AG31)+($E$109*Mat_Sum!$AV31)+($E$110*Mat_Sum!$AR31)+($E$111*0))</f>
        <v>2.9403349958829903</v>
      </c>
      <c r="I429" s="2136">
        <f ca="1" xml:space="preserve"> $D$6*$E$17*(($E$113*Mat_Sum!$E31)+($E$114*Mat_Sum!$D31)+($E$115*Mat_Sum!$F31)+($E$116*Mat_Sum!$L31)+($E$117*Mat_Sum!$I31)+($E$118*0)+($E$119*Mat_Sum!$AV31)+($E$120*Mat_Sum!$AR31)+($E$121*Mat_Sum!$AG31)+($E$122*Mat_Sum!$AG31)+($E$123*Mat_Sum!$AS31)+($E$124*0)+($E$125*Mat_Sum!$E31)+($E$126*0))</f>
        <v>0</v>
      </c>
      <c r="J429" s="2136">
        <f ca="1">$D$6*$E$16*(($E$128*Mat_Sum!$AU31)+($E$129*Mat_Sum!$D31)+($E$130*Mat_Sum!$E31)+($E$131*Mat_Sum!$AS31)+($E$132*Mat_Sum!$I31)+($E$133*Mat_Sum!$AG31)+($E$134*Mat_Sum!$AQ31)+($E$135*Mat_Sum!$AO31)+($E$136*0))</f>
        <v>433.20008677854918</v>
      </c>
      <c r="K429" s="2406">
        <f ca="1" xml:space="preserve"> $D$6*$E$19*$E$138*Mat_Sum!$D31</f>
        <v>0</v>
      </c>
      <c r="L429" s="2223">
        <f t="shared" ca="1" si="14"/>
        <v>0.14689723596249607</v>
      </c>
      <c r="M429" s="2218">
        <f t="shared" ca="1" si="14"/>
        <v>5.623598277953186E-2</v>
      </c>
      <c r="N429" s="2218">
        <f t="shared" ca="1" si="14"/>
        <v>6.9612607677519405E-3</v>
      </c>
      <c r="O429" s="2218">
        <f t="shared" ca="1" si="14"/>
        <v>0.30420441011670074</v>
      </c>
      <c r="P429" s="2218">
        <f t="shared" ca="1" si="14"/>
        <v>1.4876974955502137E-2</v>
      </c>
      <c r="Q429" s="2218">
        <f t="shared" ca="1" si="14"/>
        <v>0</v>
      </c>
      <c r="R429" s="2218">
        <f t="shared" ca="1" si="14"/>
        <v>3.1741627539213437E-3</v>
      </c>
      <c r="S429" s="2218">
        <f t="shared" ca="1" si="14"/>
        <v>0</v>
      </c>
      <c r="T429" s="2218">
        <f t="shared" ca="1" si="14"/>
        <v>0.46764997266409586</v>
      </c>
      <c r="U429" s="2224">
        <f t="shared" ca="1" si="14"/>
        <v>0</v>
      </c>
      <c r="AI429" s="2299"/>
      <c r="AJ429" s="2299"/>
      <c r="AK429" s="2299"/>
      <c r="AL429" s="2299"/>
      <c r="AM429" s="2299"/>
      <c r="AN429" s="2299"/>
      <c r="AO429" s="2299"/>
      <c r="AP429" s="2299"/>
      <c r="AQ429" s="2299"/>
      <c r="AR429" s="2299"/>
    </row>
    <row r="430" spans="1:44" ht="15.75">
      <c r="A430" s="2093" t="s">
        <v>2548</v>
      </c>
      <c r="B430" s="2318">
        <f ca="1">($D$6*$E$18*(($E$24*Mat_Sum!$D32)+($E$25*Mat_Sum!$E32)+($E$26*Mat_Sum!$I32)+($E$27*Mat_Sum!$L32)+($E$28*Mat_Sum!$AR32)+($E$29*Mat_Sum!$AV32)+($E$30*Mat_Sum!$AS32)+($E$31*Mat_Sum!$AM32)+($E$32*Mat_Sum!$AG32)+($E$33*0)+($E$34*0)+($E$35*0)+($E$36*Mat_Sum!$CF32)+($E$37*Silicon!$K89)+($E$38*0)))+($E$201*(($E$207*Mat_Sum!$D32)+($E$208*Mat_Sum!$AV32)+($E$209*Mat_Sum!$AR32)))</f>
        <v>4385722.6365885912</v>
      </c>
      <c r="C430" s="2144">
        <f ca="1">($D$6*$E$10*(($E$40*Mat_Sum!$E32)+($E$41*Mat_Sum!$D32)+($E$42*Mat_Sum!$L32)+($E$43*Mat_Sum!$I32)+($E$44*Mat_Sum!$F32)+($E$45*Mat_Sum!$AV32)+($E$46*Mat_Sum!$AR32)+($E$47*Mat_Sum!$AG32)+($E$48*((88%*Mat_Sum!$AG32)+(12%*0)))+($E$49*Mat_Sum!$CF32)+($E$50*Mat_Sum!$AN32)+($E$51*'C.Iron'!$I79)+($E$52*((80%*Mat_Sum!$U32)+(20%*Mat_Sum!$BA32)))+($E$53*Mat_Sum!$AW32)+($E$54*Mat_Sum!$AS32)+($E$55*Mat_Sum!$CQ32)+($E$56*Mat_Sum!$AQ32)+($E$57*Mat_Sum!$AO32)+($E$58*Mat_Sum!$AP32)+($E$59*Mat_Sum!$BJ32)+($E$60*Mat_Sum!$BI32)+($E$61*Mat_Sum!$AR32)+($E$62*0)+($E$63*Mat_Sum!$CF32)+($E$64*Mat_Sum!$BG32)+($E$65*Mat_Sum!$BI32)+($E$66*Mat_Sum!$U32)+($E$67*Mat_Sum!$BA32)+($E$68*Mat_Sum!$CP32)+($E$69*0)+($E$70*Mat_Sum!$AZ32)+($E$71*Mat_Sum!$AM32)+($E$72*0)))+($E$202*(($E$211*Mat_Sum!$D32)+($E$212*Mat_Sum!$BG32)+($E$213*Mat_Sum!$AV32)))</f>
        <v>1788335.6947777299</v>
      </c>
      <c r="D430" s="2136">
        <f ca="1" xml:space="preserve"> $D$6*$E$11*(($E$74*Mat_Sum!$D32)+($E$75*Mat_Sum!$L32)+($E$76*Mat_Sum!$I32)+($E$77*Mat_Sum!$F32)+($E$78*Mat_Sum!$AV32)+($E$79*Mat_Sum!$AR32)+($E$80*Mat_Sum!$AG32)+($E$81*Mat_Sum!$AG32)+($E$82*Mat_Sum!$F32)+($E$83*0))</f>
        <v>407533.47636944347</v>
      </c>
      <c r="E430" s="2144">
        <f ca="1" xml:space="preserve"> $D$6*$E$12*(($E$85*Mat_Sum!$D32)+($E$86*Mat_Sum!$F32)+($E$87*Mat_Sum!$L32)+($E$88*Mat_Sum!$I32)+($E$89*Mat_Sum!$AV32)+($E$90*Mat_Sum!$AR32)+($E$91*Mat_Sum!$AG32)+($E$92*Mat_Sum!$AG32)+($E$93*Mat_Sum!$F32)+($D$94*0))+($C$187*$B$187*$E$192*(($B$197*Mat_Sum!$D32)+($A$197*Mat_Sum!$AV32)))+($C$188*$B$188*$E$193*(($B$197*Mat_Sum!$D32)+($A$197*Mat_Sum!$AV32)))</f>
        <v>17013405.553084143</v>
      </c>
      <c r="F430" s="2144">
        <f ca="1" xml:space="preserve"> $D$6*$E$13*(($E$96*Mat_Sum!$D32)+($E$97*Mat_Sum!$L32)+($E$98*Mat_Sum!$AG32)+($E$99*0))</f>
        <v>723591.30934385955</v>
      </c>
      <c r="G430" s="2144">
        <f ca="1" xml:space="preserve"> $D$6*$E$14*(($E$101*Mat_Sum!$D32)+($E$102*Mat_Sum!$L32)+($E$103*Mat_Sum!$AG32)+($E$104*0))</f>
        <v>0</v>
      </c>
      <c r="H430" s="2144">
        <f ca="1" xml:space="preserve"> $D$6*$E$15*(($E$106*Mat_Sum!$D32)+($E$107*Mat_Sum!$L32)+($E$108*Mat_Sum!$AG32)+($E$109*Mat_Sum!$AV32)+($E$110*Mat_Sum!$AR32)+($E$111*0))</f>
        <v>73322.119195994965</v>
      </c>
      <c r="I430" s="2144">
        <f ca="1" xml:space="preserve"> $D$6*$E$17*(($E$113*Mat_Sum!$E32)+($E$114*Mat_Sum!$D32)+($E$115*Mat_Sum!$F32)+($E$116*Mat_Sum!$L32)+($E$117*Mat_Sum!$I32)+($E$118*0)+($E$119*Mat_Sum!$AV32)+($E$120*Mat_Sum!$AR32)+($E$121*Mat_Sum!$AG32)+($E$122*Mat_Sum!$AG32)+($E$123*Mat_Sum!$AS32)+($E$124*0)+($E$125*Mat_Sum!$E32)+($E$126*0))</f>
        <v>0</v>
      </c>
      <c r="J430" s="2144">
        <f ca="1">$D$6*$E$16*(($E$128*Mat_Sum!$AU32)+($E$129*Mat_Sum!$D32)+($E$130*Mat_Sum!$E32)+($E$131*Mat_Sum!$AS32)+($E$132*Mat_Sum!$I32)+($E$133*Mat_Sum!$AG32)+($E$134*Mat_Sum!$AQ32)+($E$135*Mat_Sum!$AO32)+($E$136*0))</f>
        <v>19512592.699368067</v>
      </c>
      <c r="K430" s="2406">
        <f ca="1" xml:space="preserve"> $D$6*$E$19*$E$138*Mat_Sum!$D32</f>
        <v>0</v>
      </c>
      <c r="L430" s="2223">
        <f t="shared" ca="1" si="14"/>
        <v>9.9892318283808734E-2</v>
      </c>
      <c r="M430" s="2218">
        <f t="shared" ca="1" si="14"/>
        <v>4.0732397651117323E-2</v>
      </c>
      <c r="N430" s="2218">
        <f t="shared" ca="1" si="14"/>
        <v>9.2822704730979311E-3</v>
      </c>
      <c r="O430" s="2218">
        <f t="shared" ca="1" si="14"/>
        <v>0.38750934872665654</v>
      </c>
      <c r="P430" s="2218">
        <f t="shared" ca="1" si="14"/>
        <v>1.648102704383473E-2</v>
      </c>
      <c r="Q430" s="2218">
        <f t="shared" ca="1" si="14"/>
        <v>0</v>
      </c>
      <c r="R430" s="2218">
        <f t="shared" ca="1" si="14"/>
        <v>1.6700364056006214E-3</v>
      </c>
      <c r="S430" s="2218">
        <f t="shared" ca="1" si="14"/>
        <v>0</v>
      </c>
      <c r="T430" s="2218">
        <f t="shared" ca="1" si="14"/>
        <v>0.44443260141588409</v>
      </c>
      <c r="U430" s="2224">
        <f t="shared" ca="1" si="14"/>
        <v>0</v>
      </c>
      <c r="AF430" s="2144"/>
      <c r="AI430" s="2299"/>
      <c r="AJ430" s="2299"/>
      <c r="AK430" s="2299"/>
      <c r="AL430" s="2299"/>
      <c r="AM430" s="2299"/>
      <c r="AN430" s="2299"/>
      <c r="AO430" s="2299"/>
      <c r="AP430" s="2299"/>
      <c r="AQ430" s="2299"/>
      <c r="AR430" s="2299"/>
    </row>
    <row r="431" spans="1:44" ht="15.75">
      <c r="A431" s="2093" t="s">
        <v>2550</v>
      </c>
      <c r="B431" s="2318">
        <f ca="1">($D$6*$E$18*(($E$24*Mat_Sum!$D33)+($E$25*Mat_Sum!$E33)+($E$26*Mat_Sum!$I33)+($E$27*Mat_Sum!$L33)+($E$28*Mat_Sum!$AR33)+($E$29*Mat_Sum!$AV33)+($E$30*Mat_Sum!$AS33)+($E$31*Mat_Sum!$AM33)+($E$32*Mat_Sum!$AG33)+($E$33*0)+($E$34*0)+($E$35*0)+($E$36*Mat_Sum!$CF33)+($E$37*Silicon!$K90)+($E$38*0)))+($E$201*(($E$207*Mat_Sum!$D33)+($E$208*Mat_Sum!$AV33)+($E$209*Mat_Sum!$AR33)))</f>
        <v>4411865.9527811101</v>
      </c>
      <c r="C431" s="2144">
        <f ca="1">($D$6*$E$10*(($E$40*Mat_Sum!$E33)+($E$41*Mat_Sum!$D33)+($E$42*Mat_Sum!$L33)+($E$43*Mat_Sum!$I33)+($E$44*Mat_Sum!$F33)+($E$45*Mat_Sum!$AV33)+($E$46*Mat_Sum!$AR33)+($E$47*Mat_Sum!$AG33)+($E$48*((88%*Mat_Sum!$AG33)+(12%*0)))+($E$49*Mat_Sum!$CF33)+($E$50*Mat_Sum!$AN33)+($E$51*'C.Iron'!$I80)+($E$52*((80%*Mat_Sum!$U33)+(20%*Mat_Sum!$BA33)))+($E$53*Mat_Sum!$AW33)+($E$54*Mat_Sum!$AS33)+($E$55*Mat_Sum!$CQ33)+($E$56*Mat_Sum!$AQ33)+($E$57*Mat_Sum!$AO33)+($E$58*Mat_Sum!$AP33)+($E$59*Mat_Sum!$BJ33)+($E$60*Mat_Sum!$BI33)+($E$61*Mat_Sum!$AR33)+($E$62*0)+($E$63*Mat_Sum!$CF33)+($E$64*Mat_Sum!$BG33)+($E$65*Mat_Sum!$BI33)+($E$66*Mat_Sum!$U33)+($E$67*Mat_Sum!$BA33)+($E$68*Mat_Sum!$CP33)+($E$69*0)+($E$70*Mat_Sum!$AZ33)+($E$71*Mat_Sum!$AM33)+($E$72*0)))+($E$202*(($E$211*Mat_Sum!$D33)+($E$212*Mat_Sum!$BG33)+($E$213*Mat_Sum!$AV33)))</f>
        <v>1797750.6235372478</v>
      </c>
      <c r="D431" s="2136">
        <f ca="1" xml:space="preserve"> $D$6*$E$11*(($E$74*Mat_Sum!$D33)+($E$75*Mat_Sum!$L33)+($E$76*Mat_Sum!$I33)+($E$77*Mat_Sum!$F33)+($E$78*Mat_Sum!$AV33)+($E$79*Mat_Sum!$AR33)+($E$80*Mat_Sum!$AG33)+($E$81*Mat_Sum!$AG33)+($E$82*Mat_Sum!$F33)+($E$83*0))</f>
        <v>413837.09387577727</v>
      </c>
      <c r="E431" s="2144">
        <f ca="1" xml:space="preserve"> $D$6*$E$12*(($E$85*Mat_Sum!$D33)+($E$86*Mat_Sum!$F33)+($E$87*Mat_Sum!$L33)+($E$88*Mat_Sum!$I33)+($E$89*Mat_Sum!$AV33)+($E$90*Mat_Sum!$AR33)+($E$91*Mat_Sum!$AG33)+($E$92*Mat_Sum!$AG33)+($E$93*Mat_Sum!$F33)+($D$94*0))+($C$187*$B$187*$E$192*(($B$197*Mat_Sum!$D33)+($A$197*Mat_Sum!$AV33)))+($C$188*$B$188*$E$193*(($B$197*Mat_Sum!$D33)+($A$197*Mat_Sum!$AV33)))</f>
        <v>17219823.890259717</v>
      </c>
      <c r="F431" s="2144">
        <f ca="1" xml:space="preserve"> $D$6*$E$13*(($E$96*Mat_Sum!$D33)+($E$97*Mat_Sum!$L33)+($E$98*Mat_Sum!$AG33)+($E$99*0))</f>
        <v>728232.83075171872</v>
      </c>
      <c r="G431" s="2144">
        <f ca="1" xml:space="preserve"> $D$6*$E$14*(($E$101*Mat_Sum!$D33)+($E$102*Mat_Sum!$L33)+($E$103*Mat_Sum!$AG33)+($E$104*0))</f>
        <v>0</v>
      </c>
      <c r="H431" s="2144">
        <f ca="1" xml:space="preserve"> $D$6*$E$15*(($E$106*Mat_Sum!$D33)+($E$107*Mat_Sum!$L33)+($E$108*Mat_Sum!$AG33)+($E$109*Mat_Sum!$AV33)+($E$110*Mat_Sum!$AR33)+($E$111*0))</f>
        <v>73568.972352838216</v>
      </c>
      <c r="I431" s="2144">
        <f ca="1" xml:space="preserve"> $D$6*$E$17*(($E$113*Mat_Sum!$E33)+($E$114*Mat_Sum!$D33)+($E$115*Mat_Sum!$F33)+($E$116*Mat_Sum!$L33)+($E$117*Mat_Sum!$I33)+($E$118*0)+($E$119*Mat_Sum!$AV33)+($E$120*Mat_Sum!$AR33)+($E$121*Mat_Sum!$AG33)+($E$122*Mat_Sum!$AG33)+($E$123*Mat_Sum!$AS33)+($E$124*0)+($E$125*Mat_Sum!$E33)+($E$126*0))</f>
        <v>0</v>
      </c>
      <c r="J431" s="2144">
        <f ca="1">$D$6*$E$16*(($E$128*Mat_Sum!$AU33)+($E$129*Mat_Sum!$D33)+($E$130*Mat_Sum!$E33)+($E$131*Mat_Sum!$AS33)+($E$132*Mat_Sum!$I33)+($E$133*Mat_Sum!$AG33)+($E$134*Mat_Sum!$AQ33)+($E$135*Mat_Sum!$AO33)+($E$136*0))</f>
        <v>19565077.676968999</v>
      </c>
      <c r="K431" s="2406">
        <f ca="1" xml:space="preserve"> $D$6*$E$19*$E$138*Mat_Sum!$D33</f>
        <v>0</v>
      </c>
      <c r="L431" s="2223">
        <f t="shared" ca="1" si="14"/>
        <v>9.9793039611615855E-2</v>
      </c>
      <c r="M431" s="2218">
        <f t="shared" ca="1" si="14"/>
        <v>4.0663746611197309E-2</v>
      </c>
      <c r="N431" s="2218">
        <f t="shared" ca="1" si="14"/>
        <v>9.3606791194252737E-3</v>
      </c>
      <c r="O431" s="2218">
        <f t="shared" ca="1" si="14"/>
        <v>0.38949926991832029</v>
      </c>
      <c r="P431" s="2218">
        <f t="shared" ca="1" si="14"/>
        <v>1.6472070662046014E-2</v>
      </c>
      <c r="Q431" s="2218">
        <f t="shared" ca="1" si="14"/>
        <v>0</v>
      </c>
      <c r="R431" s="2218">
        <f t="shared" ca="1" si="14"/>
        <v>1.664073988368727E-3</v>
      </c>
      <c r="S431" s="2218">
        <f t="shared" ca="1" si="14"/>
        <v>0</v>
      </c>
      <c r="T431" s="2218">
        <f t="shared" ca="1" si="14"/>
        <v>0.4425471200890263</v>
      </c>
      <c r="U431" s="2224">
        <f t="shared" ca="1" si="14"/>
        <v>0</v>
      </c>
      <c r="AF431" s="2144"/>
      <c r="AI431" s="2299"/>
      <c r="AJ431" s="2299"/>
      <c r="AK431" s="2299"/>
      <c r="AL431" s="2299"/>
      <c r="AM431" s="2299"/>
      <c r="AN431" s="2299"/>
      <c r="AO431" s="2299"/>
      <c r="AP431" s="2299"/>
      <c r="AQ431" s="2299"/>
      <c r="AR431" s="2299"/>
    </row>
    <row r="432" spans="1:44">
      <c r="A432" s="2142" t="s">
        <v>851</v>
      </c>
      <c r="B432" s="2399">
        <f ca="1">($D$6*$E$18*(($E$24*Mat_Sum!$D34)+($E$25*Mat_Sum!$E34)+($E$26*Mat_Sum!$I34)+($E$27*Mat_Sum!$L34)+($E$28*Mat_Sum!$AR34)+($E$29*Mat_Sum!$AV34)+($E$30*Mat_Sum!$AS34)+($E$31*Mat_Sum!$AM34)+($E$32*Mat_Sum!$AG34)+($E$33*0)+($E$34*0)+($E$35*0)+($E$36*Mat_Sum!$CF34)+($E$37*Silicon!$K91)+($E$38*0)))+($E$201*(($E$207*Mat_Sum!$D34)+($E$208*Mat_Sum!$AV34)+($E$209*Mat_Sum!$AR34)))</f>
        <v>4963480.0479353638</v>
      </c>
      <c r="C432" s="2272">
        <f ca="1">($D$6*$E$10*(($E$40*Mat_Sum!$E34)+($E$41*Mat_Sum!$D34)+($E$42*Mat_Sum!$L34)+($E$43*Mat_Sum!$I34)+($E$44*Mat_Sum!$F34)+($E$45*Mat_Sum!$AV34)+($E$46*Mat_Sum!$AR34)+($E$47*Mat_Sum!$AG34)+($E$48*((88%*Mat_Sum!$AG34)+(12%*0)))+($E$49*Mat_Sum!$CF34)+($E$50*Mat_Sum!$AN34)+($E$51*'C.Iron'!$I81)+($E$52*((80%*Mat_Sum!$U34)+(20%*Mat_Sum!$BA34)))+($E$53*Mat_Sum!$AW34)+($E$54*Mat_Sum!$AS34)+($E$55*Mat_Sum!$CQ34)+($E$56*Mat_Sum!$AQ34)+($E$57*Mat_Sum!$AO34)+($E$58*Mat_Sum!$AP34)+($E$59*Mat_Sum!$BJ34)+($E$60*Mat_Sum!$BI34)+($E$61*Mat_Sum!$AR34)+($E$62*0)+($E$63*Mat_Sum!$CF34)+($E$64*Mat_Sum!$BG34)+($E$65*Mat_Sum!$BI34)+($E$66*Mat_Sum!$U34)+($E$67*Mat_Sum!$BA34)+($E$68*Mat_Sum!$CP34)+($E$69*0)+($E$70*Mat_Sum!$AZ34)+($E$71*Mat_Sum!$AM34)+($E$72*0)))+($E$202*(($E$211*Mat_Sum!$D34)+($E$212*Mat_Sum!$BG34)+($E$213*Mat_Sum!$AV34)))</f>
        <v>2026267.0705739425</v>
      </c>
      <c r="D432" s="2136">
        <f ca="1" xml:space="preserve"> $D$6*$E$11*(($E$74*Mat_Sum!$D34)+($E$75*Mat_Sum!$L34)+($E$76*Mat_Sum!$I34)+($E$77*Mat_Sum!$F34)+($E$78*Mat_Sum!$AV34)+($E$79*Mat_Sum!$AR34)+($E$80*Mat_Sum!$AG34)+($E$81*Mat_Sum!$AG34)+($E$82*Mat_Sum!$F34)+($E$83*0))</f>
        <v>443431.76252741943</v>
      </c>
      <c r="E432" s="2144">
        <f ca="1" xml:space="preserve"> $D$6*$E$12*(($E$85*Mat_Sum!$D34)+($E$86*Mat_Sum!$F34)+($E$87*Mat_Sum!$L34)+($E$88*Mat_Sum!$I34)+($E$89*Mat_Sum!$AV34)+($E$90*Mat_Sum!$AR34)+($E$91*Mat_Sum!$AG34)+($E$92*Mat_Sum!$AG34)+($E$93*Mat_Sum!$F34)+($D$94*0))+($C$187*$B$187*$E$192*(($B$197*Mat_Sum!$D34)+($A$197*Mat_Sum!$AV34)))+($C$188*$B$188*$E$193*(($B$197*Mat_Sum!$D34)+($A$197*Mat_Sum!$AV34)))</f>
        <v>18350825.011988174</v>
      </c>
      <c r="F432" s="2272">
        <f ca="1" xml:space="preserve"> $D$6*$E$13*(($E$96*Mat_Sum!$D34)+($E$97*Mat_Sum!$L34)+($E$98*Mat_Sum!$AG34)+($E$99*0))</f>
        <v>793120.06289110705</v>
      </c>
      <c r="G432" s="2144">
        <f ca="1" xml:space="preserve"> $D$6*$E$14*(($E$101*Mat_Sum!$D34)+($E$102*Mat_Sum!$L34)+($E$103*Mat_Sum!$AG34)+($E$104*0))</f>
        <v>0</v>
      </c>
      <c r="H432" s="2144">
        <f ca="1" xml:space="preserve"> $D$6*$E$15*(($E$106*Mat_Sum!$D34)+($E$107*Mat_Sum!$L34)+($E$108*Mat_Sum!$AG34)+($E$109*Mat_Sum!$AV34)+($E$110*Mat_Sum!$AR34)+($E$111*0))</f>
        <v>84545.606283902409</v>
      </c>
      <c r="I432" s="2144">
        <f ca="1" xml:space="preserve"> $D$6*$E$17*(($E$113*Mat_Sum!$E34)+($E$114*Mat_Sum!$D34)+($E$115*Mat_Sum!$F34)+($E$116*Mat_Sum!$L34)+($E$117*Mat_Sum!$I34)+($E$118*0)+($E$119*Mat_Sum!$AV34)+($E$120*Mat_Sum!$AR34)+($E$121*Mat_Sum!$AG34)+($E$122*Mat_Sum!$AG34)+($E$123*Mat_Sum!$AS34)+($E$124*0)+($E$125*Mat_Sum!$E34)+($E$126*0))</f>
        <v>0</v>
      </c>
      <c r="J432" s="2144">
        <f ca="1">$D$6*$E$16*(($E$128*Mat_Sum!$AU34)+($E$129*Mat_Sum!$D34)+($E$130*Mat_Sum!$E34)+($E$131*Mat_Sum!$AS34)+($E$132*Mat_Sum!$I34)+($E$133*Mat_Sum!$AG34)+($E$134*Mat_Sum!$AQ34)+($E$135*Mat_Sum!$AO34)+($E$136*0))</f>
        <v>21463461.514199916</v>
      </c>
      <c r="K432" s="2406">
        <f ca="1" xml:space="preserve"> $D$6*$E$19*$E$138*Mat_Sum!$D34</f>
        <v>0</v>
      </c>
      <c r="L432" s="2184">
        <f t="shared" ca="1" si="14"/>
        <v>0.103136966838713</v>
      </c>
      <c r="M432" s="2216">
        <f t="shared" ca="1" si="14"/>
        <v>4.2104136139539949E-2</v>
      </c>
      <c r="N432" s="2216">
        <f t="shared" ca="1" si="14"/>
        <v>9.2141413978376659E-3</v>
      </c>
      <c r="O432" s="2216">
        <f t="shared" ca="1" si="14"/>
        <v>0.38131480583098665</v>
      </c>
      <c r="P432" s="2216">
        <f t="shared" ca="1" si="14"/>
        <v>1.6480372004223941E-2</v>
      </c>
      <c r="Q432" s="2216">
        <f t="shared" ca="1" si="14"/>
        <v>0</v>
      </c>
      <c r="R432" s="2216">
        <f t="shared" ca="1" si="14"/>
        <v>1.7567870339861352E-3</v>
      </c>
      <c r="S432" s="2216">
        <f t="shared" ca="1" si="14"/>
        <v>0</v>
      </c>
      <c r="T432" s="2216">
        <f t="shared" ca="1" si="14"/>
        <v>0.44599279075471299</v>
      </c>
      <c r="U432" s="2217">
        <f t="shared" ca="1" si="14"/>
        <v>0</v>
      </c>
      <c r="AF432" s="2144"/>
      <c r="AI432" s="2299"/>
      <c r="AJ432" s="2299"/>
      <c r="AK432" s="2299"/>
      <c r="AL432" s="2299"/>
      <c r="AM432" s="2299"/>
      <c r="AN432" s="2299"/>
      <c r="AO432" s="2299"/>
      <c r="AP432" s="2299"/>
      <c r="AQ432" s="2299"/>
      <c r="AR432" s="2299"/>
    </row>
    <row r="433" spans="1:44">
      <c r="A433" s="2177" t="s">
        <v>973</v>
      </c>
      <c r="B433" s="2151"/>
      <c r="C433" s="2136"/>
      <c r="D433" s="2251"/>
      <c r="E433" s="2251"/>
      <c r="F433" s="2136"/>
      <c r="G433" s="2251"/>
      <c r="H433" s="2251"/>
      <c r="I433" s="2251"/>
      <c r="J433" s="2251"/>
      <c r="K433" s="2412"/>
      <c r="L433" s="2411"/>
      <c r="M433" s="2336"/>
      <c r="N433" s="2336"/>
      <c r="O433" s="2336"/>
      <c r="P433" s="2336"/>
      <c r="Q433" s="2336"/>
      <c r="R433" s="2336"/>
      <c r="S433" s="2336"/>
      <c r="T433" s="2336"/>
      <c r="U433" s="2337"/>
      <c r="AI433" s="2299"/>
      <c r="AJ433" s="2299"/>
      <c r="AK433" s="2299"/>
      <c r="AL433" s="2299"/>
      <c r="AM433" s="2299"/>
      <c r="AN433" s="2299"/>
      <c r="AO433" s="2299"/>
      <c r="AP433" s="2299"/>
      <c r="AQ433" s="2299"/>
      <c r="AR433" s="2299"/>
    </row>
    <row r="434" spans="1:44">
      <c r="A434" s="2093" t="s">
        <v>821</v>
      </c>
      <c r="B434" s="2151">
        <f ca="1">($D$6*$E$18*(($E$24*Mat_Sum!$D36)+($E$25*Mat_Sum!$E36)+($E$26*Mat_Sum!$I36)+($E$27*Mat_Sum!$L36)+($E$28*Mat_Sum!$AR36)+($E$29*Mat_Sum!$AV36)+($E$30*Mat_Sum!$AS36)+($E$31*Mat_Sum!$AM36)+($E$32*Mat_Sum!$AG36)+($E$33*0)+($E$34*0)+($E$35*0)+($E$36*Mat_Sum!$CF36)+($E$37*Silicon!$K93)+($E$38*0)))+($E$201*(($E$207*Mat_Sum!$D36)+($E$208*Mat_Sum!$AV36)+($E$209*Mat_Sum!$AR36)))</f>
        <v>60.359002337267569</v>
      </c>
      <c r="C434" s="2136">
        <f ca="1">($D$6*$E$10*(($E$40*Mat_Sum!$E36)+($E$41*Mat_Sum!$D36)+($E$42*Mat_Sum!$L36)+($E$43*Mat_Sum!$I36)+($E$44*Mat_Sum!$F36)+($E$45*Mat_Sum!$AV36)+($E$46*Mat_Sum!$AR36)+($E$47*Mat_Sum!$AG36)+($E$48*((88%*Mat_Sum!$AG36)+(12%*0)))+($E$49*Mat_Sum!$CF36)+($E$50*Mat_Sum!$AN36)+($E$51*'C.Iron'!$I83)+($E$52*((80%*Mat_Sum!$U36)+(20%*Mat_Sum!$BA36)))+($E$53*Mat_Sum!$AW36)+($E$54*Mat_Sum!$AS36)+($E$55*Mat_Sum!$CQ36)+($E$56*Mat_Sum!$AQ36)+($E$57*Mat_Sum!$AO36)+($E$58*Mat_Sum!$AP36)+($E$59*Mat_Sum!$BJ36)+($E$60*Mat_Sum!$BI36)+($E$61*Mat_Sum!$AR36)+($E$62*0)+($E$63*Mat_Sum!$CF36)+($E$64*Mat_Sum!$BG36)+($E$65*Mat_Sum!$BI36)+($E$66*Mat_Sum!$U36)+($E$67*Mat_Sum!$BA36)+($E$68*Mat_Sum!$CP36)+($E$69*0)+($E$70*Mat_Sum!$AZ36)+($E$71*Mat_Sum!$AM36)+($E$72*0)))+($E$202*(($E$211*Mat_Sum!$D36)+($E$212*Mat_Sum!$BG36)+($E$213*Mat_Sum!$AV36)))</f>
        <v>60.831960103417615</v>
      </c>
      <c r="D434" s="2136">
        <f ca="1" xml:space="preserve"> $D$6*$E$11*(($E$74*Mat_Sum!$D36)+($E$75*Mat_Sum!$L36)+($E$76*Mat_Sum!$I36)+($E$77*Mat_Sum!$F36)+($E$78*Mat_Sum!$AV36)+($E$79*Mat_Sum!$AR36)+($E$80*Mat_Sum!$AG36)+($E$81*Mat_Sum!$AG36)+($E$82*Mat_Sum!$F36)+($E$83*0))</f>
        <v>2.2431288062384724</v>
      </c>
      <c r="E434" s="2136">
        <f ca="1" xml:space="preserve"> $D$6*$E$12*(($E$85*Mat_Sum!$D36)+($E$86*Mat_Sum!$F36)+($E$87*Mat_Sum!$L36)+($E$88*Mat_Sum!$I36)+($E$89*Mat_Sum!$AV36)+($E$90*Mat_Sum!$AR36)+($E$91*Mat_Sum!$AG36)+($E$92*Mat_Sum!$AG36)+($E$93*Mat_Sum!$F36)+($D$94*0))+($C$187*$B$187*$E$192*(($B$197*Mat_Sum!$D36)+($A$197*Mat_Sum!$AV36)))+($C$188*$B$188*$E$193*(($B$197*Mat_Sum!$D36)+($A$197*Mat_Sum!$AV36)))</f>
        <v>127.22611215190926</v>
      </c>
      <c r="F434" s="2136">
        <f ca="1" xml:space="preserve"> $D$6*$E$13*(($E$96*Mat_Sum!$D36)+($E$97*Mat_Sum!$L36)+($E$98*Mat_Sum!$AG36)+($E$99*0))</f>
        <v>5.091749288850691</v>
      </c>
      <c r="G434" s="2136">
        <f ca="1" xml:space="preserve"> $D$6*$E$14*(($E$101*Mat_Sum!$D36)+($E$102*Mat_Sum!$L36)+($E$103*Mat_Sum!$AG36)+($E$104*0))</f>
        <v>0</v>
      </c>
      <c r="H434" s="2136">
        <f ca="1" xml:space="preserve"> $D$6*$E$15*(($E$106*Mat_Sum!$D36)+($E$107*Mat_Sum!$L36)+($E$108*Mat_Sum!$AG36)+($E$109*Mat_Sum!$AV36)+($E$110*Mat_Sum!$AR36)+($E$111*0))</f>
        <v>1.3343267249313391</v>
      </c>
      <c r="I434" s="2136">
        <f ca="1" xml:space="preserve"> $D$6*$E$17*(($E$113*Mat_Sum!$E36)+($E$114*Mat_Sum!$D36)+($E$115*Mat_Sum!$F36)+($E$116*Mat_Sum!$L36)+($E$117*Mat_Sum!$I36)+($E$118*0)+($E$119*Mat_Sum!$AV36)+($E$120*Mat_Sum!$AR36)+($E$121*Mat_Sum!$AG36)+($E$122*Mat_Sum!$AG36)+($E$123*Mat_Sum!$AS36)+($E$124*0)+($E$125*Mat_Sum!$E36)+($E$126*0))</f>
        <v>0</v>
      </c>
      <c r="J434" s="2136">
        <f ca="1">$D$6*$E$16*(($E$128*Mat_Sum!$AU36)+($E$129*Mat_Sum!$D36)+($E$130*Mat_Sum!$E36)+($E$131*Mat_Sum!$AS36)+($E$132*Mat_Sum!$I36)+($E$133*Mat_Sum!$AG36)+($E$134*Mat_Sum!$AQ36)+($E$135*Mat_Sum!$AO36)+($E$136*0))</f>
        <v>649.71452284292548</v>
      </c>
      <c r="K434" s="2406">
        <f ca="1" xml:space="preserve"> $D$6*$E$19*$E$138*Mat_Sum!$D36</f>
        <v>0</v>
      </c>
      <c r="L434" s="2223">
        <f t="shared" ref="L434:U441" ca="1" si="15">B434/$E297</f>
        <v>6.6562581536245863E-2</v>
      </c>
      <c r="M434" s="2218">
        <f t="shared" ca="1" si="15"/>
        <v>6.7084148968667212E-2</v>
      </c>
      <c r="N434" s="2218">
        <f t="shared" ca="1" si="15"/>
        <v>2.4736731602563677E-3</v>
      </c>
      <c r="O434" s="2218">
        <f t="shared" ca="1" si="15"/>
        <v>0.1403021609988126</v>
      </c>
      <c r="P434" s="2218">
        <f t="shared" ca="1" si="15"/>
        <v>5.6150692370206057E-3</v>
      </c>
      <c r="Q434" s="2218">
        <f t="shared" ca="1" si="15"/>
        <v>0</v>
      </c>
      <c r="R434" s="2218">
        <f t="shared" ca="1" si="15"/>
        <v>1.4714661936914783E-3</v>
      </c>
      <c r="S434" s="2218">
        <f t="shared" ca="1" si="15"/>
        <v>0</v>
      </c>
      <c r="T434" s="2218">
        <f t="shared" ca="1" si="15"/>
        <v>0.71649089990530579</v>
      </c>
      <c r="U434" s="2224">
        <f t="shared" ca="1" si="15"/>
        <v>0</v>
      </c>
      <c r="AI434" s="2299"/>
      <c r="AJ434" s="2299"/>
      <c r="AK434" s="2299"/>
      <c r="AL434" s="2299"/>
      <c r="AM434" s="2299"/>
      <c r="AN434" s="2299"/>
      <c r="AO434" s="2299"/>
      <c r="AP434" s="2299"/>
      <c r="AQ434" s="2299"/>
      <c r="AR434" s="2299"/>
    </row>
    <row r="435" spans="1:44">
      <c r="A435" s="2093" t="s">
        <v>822</v>
      </c>
      <c r="B435" s="2151">
        <f ca="1">($D$6*$E$18*(($E$24*Mat_Sum!$D37)+($E$25*Mat_Sum!$E37)+($E$26*Mat_Sum!$I37)+($E$27*Mat_Sum!$L37)+($E$28*Mat_Sum!$AR37)+($E$29*Mat_Sum!$AV37)+($E$30*Mat_Sum!$AS37)+($E$31*Mat_Sum!$AM37)+($E$32*Mat_Sum!$AG37)+($E$33*0)+($E$34*0)+($E$35*0)+($E$36*Mat_Sum!$CF37)+($E$37*Silicon!$K94)+($E$38*0)))+($E$201*(($E$207*Mat_Sum!$D37)+($E$208*Mat_Sum!$AV37)+($E$209*Mat_Sum!$AR37)))</f>
        <v>192.31119029295485</v>
      </c>
      <c r="C435" s="2136">
        <f ca="1">($D$6*$E$10*(($E$40*Mat_Sum!$E37)+($E$41*Mat_Sum!$D37)+($E$42*Mat_Sum!$L37)+($E$43*Mat_Sum!$I37)+($E$44*Mat_Sum!$F37)+($E$45*Mat_Sum!$AV37)+($E$46*Mat_Sum!$AR37)+($E$47*Mat_Sum!$AG37)+($E$48*((88%*Mat_Sum!$AG37)+(12%*0)))+($E$49*Mat_Sum!$CF37)+($E$50*Mat_Sum!$AN37)+($E$51*'C.Iron'!$I84)+($E$52*((80%*Mat_Sum!$U37)+(20%*Mat_Sum!$BA37)))+($E$53*Mat_Sum!$AW37)+($E$54*Mat_Sum!$AS37)+($E$55*Mat_Sum!$CQ37)+($E$56*Mat_Sum!$AQ37)+($E$57*Mat_Sum!$AO37)+($E$58*Mat_Sum!$AP37)+($E$59*Mat_Sum!$BJ37)+($E$60*Mat_Sum!$BI37)+($E$61*Mat_Sum!$AR37)+($E$62*0)+($E$63*Mat_Sum!$CF37)+($E$64*Mat_Sum!$BG37)+($E$65*Mat_Sum!$BI37)+($E$66*Mat_Sum!$U37)+($E$67*Mat_Sum!$BA37)+($E$68*Mat_Sum!$CP37)+($E$69*0)+($E$70*Mat_Sum!$AZ37)+($E$71*Mat_Sum!$AM37)+($E$72*0)))+($E$202*(($E$211*Mat_Sum!$D37)+($E$212*Mat_Sum!$BG37)+($E$213*Mat_Sum!$AV37)))</f>
        <v>137.11891039744839</v>
      </c>
      <c r="D435" s="2136">
        <f ca="1" xml:space="preserve"> $D$6*$E$11*(($E$74*Mat_Sum!$D37)+($E$75*Mat_Sum!$L37)+($E$76*Mat_Sum!$I37)+($E$77*Mat_Sum!$F37)+($E$78*Mat_Sum!$AV37)+($E$79*Mat_Sum!$AR37)+($E$80*Mat_Sum!$AG37)+($E$81*Mat_Sum!$AG37)+($E$82*Mat_Sum!$F37)+($E$83*0))</f>
        <v>9.0413362179420123</v>
      </c>
      <c r="E435" s="2136">
        <f ca="1" xml:space="preserve"> $D$6*$E$12*(($E$85*Mat_Sum!$D37)+($E$86*Mat_Sum!$F37)+($E$87*Mat_Sum!$L37)+($E$88*Mat_Sum!$I37)+($E$89*Mat_Sum!$AV37)+($E$90*Mat_Sum!$AR37)+($E$91*Mat_Sum!$AG37)+($E$92*Mat_Sum!$AG37)+($E$93*Mat_Sum!$F37)+($D$94*0))+($C$187*$B$187*$E$192*(($B$197*Mat_Sum!$D37)+($A$197*Mat_Sum!$AV37)))+($C$188*$B$188*$E$193*(($B$197*Mat_Sum!$D37)+($A$197*Mat_Sum!$AV37)))</f>
        <v>382.36641848882624</v>
      </c>
      <c r="F435" s="2136">
        <f ca="1" xml:space="preserve"> $D$6*$E$13*(($E$96*Mat_Sum!$D37)+($E$97*Mat_Sum!$L37)+($E$98*Mat_Sum!$AG37)+($E$99*0))</f>
        <v>22.888288910953133</v>
      </c>
      <c r="G435" s="2136">
        <f ca="1" xml:space="preserve"> $D$6*$E$14*(($E$101*Mat_Sum!$D37)+($E$102*Mat_Sum!$L37)+($E$103*Mat_Sum!$AG37)+($E$104*0))</f>
        <v>0</v>
      </c>
      <c r="H435" s="2136">
        <f ca="1" xml:space="preserve"> $D$6*$E$15*(($E$106*Mat_Sum!$D37)+($E$107*Mat_Sum!$L37)+($E$108*Mat_Sum!$AG37)+($E$109*Mat_Sum!$AV37)+($E$110*Mat_Sum!$AR37)+($E$111*0))</f>
        <v>3.8461016955207152</v>
      </c>
      <c r="I435" s="2136">
        <f ca="1" xml:space="preserve"> $D$6*$E$17*(($E$113*Mat_Sum!$E37)+($E$114*Mat_Sum!$D37)+($E$115*Mat_Sum!$F37)+($E$116*Mat_Sum!$L37)+($E$117*Mat_Sum!$I37)+($E$118*0)+($E$119*Mat_Sum!$AV37)+($E$120*Mat_Sum!$AR37)+($E$121*Mat_Sum!$AG37)+($E$122*Mat_Sum!$AG37)+($E$123*Mat_Sum!$AS37)+($E$124*0)+($E$125*Mat_Sum!$E37)+($E$126*0))</f>
        <v>0</v>
      </c>
      <c r="J435" s="2136">
        <f ca="1">$D$6*$E$16*(($E$128*Mat_Sum!$AU37)+($E$129*Mat_Sum!$D37)+($E$130*Mat_Sum!$E37)+($E$131*Mat_Sum!$AS37)+($E$132*Mat_Sum!$I37)+($E$133*Mat_Sum!$AG37)+($E$134*Mat_Sum!$AQ37)+($E$135*Mat_Sum!$AO37)+($E$136*0))</f>
        <v>1227.9280990465916</v>
      </c>
      <c r="K435" s="2406">
        <f ca="1" xml:space="preserve"> $D$6*$E$19*$E$138*Mat_Sum!$D37</f>
        <v>0</v>
      </c>
      <c r="L435" s="2223">
        <f t="shared" ca="1" si="15"/>
        <v>9.7348092484420376E-2</v>
      </c>
      <c r="M435" s="2218">
        <f t="shared" ca="1" si="15"/>
        <v>6.9409712198233733E-2</v>
      </c>
      <c r="N435" s="2218">
        <f t="shared" ca="1" si="15"/>
        <v>4.5767322899212606E-3</v>
      </c>
      <c r="O435" s="2218">
        <f t="shared" ca="1" si="15"/>
        <v>0.19355421498501565</v>
      </c>
      <c r="P435" s="2218">
        <f t="shared" ca="1" si="15"/>
        <v>1.1586071836586331E-2</v>
      </c>
      <c r="Q435" s="2218">
        <f t="shared" ca="1" si="15"/>
        <v>0</v>
      </c>
      <c r="R435" s="2218">
        <f t="shared" ca="1" si="15"/>
        <v>1.9469000373284716E-3</v>
      </c>
      <c r="S435" s="2218">
        <f t="shared" ca="1" si="15"/>
        <v>0</v>
      </c>
      <c r="T435" s="2218">
        <f t="shared" ca="1" si="15"/>
        <v>0.62157827616849404</v>
      </c>
      <c r="U435" s="2224">
        <f t="shared" ca="1" si="15"/>
        <v>0</v>
      </c>
      <c r="AI435" s="2299"/>
      <c r="AJ435" s="2299"/>
      <c r="AK435" s="2299"/>
      <c r="AL435" s="2299"/>
      <c r="AM435" s="2299"/>
      <c r="AN435" s="2299"/>
      <c r="AO435" s="2299"/>
      <c r="AP435" s="2299"/>
      <c r="AQ435" s="2299"/>
      <c r="AR435" s="2299"/>
    </row>
    <row r="436" spans="1:44" ht="15.75">
      <c r="A436" s="2093" t="s">
        <v>2542</v>
      </c>
      <c r="B436" s="2151">
        <f ca="1">($D$6*$E$18*(($E$24*Mat_Sum!$D38)+($E$25*Mat_Sum!$E38)+($E$26*Mat_Sum!$I38)+($E$27*Mat_Sum!$L38)+($E$28*Mat_Sum!$AR38)+($E$29*Mat_Sum!$AV38)+($E$30*Mat_Sum!$AS38)+($E$31*Mat_Sum!$AM38)+($E$32*Mat_Sum!$AG38)+($E$33*0)+($E$34*0)+($E$35*0)+($E$36*Mat_Sum!$CF38)+($E$37*Silicon!$K95)+($E$38*0)))+($E$201*(($E$207*Mat_Sum!$D38)+($E$208*Mat_Sum!$AV38)+($E$209*Mat_Sum!$AR38)))</f>
        <v>364.77415354384368</v>
      </c>
      <c r="C436" s="2136">
        <f ca="1">($D$6*$E$10*(($E$40*Mat_Sum!$E38)+($E$41*Mat_Sum!$D38)+($E$42*Mat_Sum!$L38)+($E$43*Mat_Sum!$I38)+($E$44*Mat_Sum!$F38)+($E$45*Mat_Sum!$AV38)+($E$46*Mat_Sum!$AR38)+($E$47*Mat_Sum!$AG38)+($E$48*((88%*Mat_Sum!$AG38)+(12%*0)))+($E$49*Mat_Sum!$CF38)+($E$50*Mat_Sum!$AN38)+($E$51*'C.Iron'!$I85)+($E$52*((80%*Mat_Sum!$U38)+(20%*Mat_Sum!$BA38)))+($E$53*Mat_Sum!$AW38)+($E$54*Mat_Sum!$AS38)+($E$55*Mat_Sum!$CQ38)+($E$56*Mat_Sum!$AQ38)+($E$57*Mat_Sum!$AO38)+($E$58*Mat_Sum!$AP38)+($E$59*Mat_Sum!$BJ38)+($E$60*Mat_Sum!$BI38)+($E$61*Mat_Sum!$AR38)+($E$62*0)+($E$63*Mat_Sum!$CF38)+($E$64*Mat_Sum!$BG38)+($E$65*Mat_Sum!$BI38)+($E$66*Mat_Sum!$U38)+($E$67*Mat_Sum!$BA38)+($E$68*Mat_Sum!$CP38)+($E$69*0)+($E$70*Mat_Sum!$AZ38)+($E$71*Mat_Sum!$AM38)+($E$72*0)))+($E$202*(($E$211*Mat_Sum!$D38)+($E$212*Mat_Sum!$BG38)+($E$213*Mat_Sum!$AV38)))</f>
        <v>225.53970817715526</v>
      </c>
      <c r="D436" s="2136">
        <f ca="1" xml:space="preserve"> $D$6*$E$11*(($E$74*Mat_Sum!$D38)+($E$75*Mat_Sum!$L38)+($E$76*Mat_Sum!$I38)+($E$77*Mat_Sum!$F38)+($E$78*Mat_Sum!$AV38)+($E$79*Mat_Sum!$AR38)+($E$80*Mat_Sum!$AG38)+($E$81*Mat_Sum!$AG38)+($E$82*Mat_Sum!$F38)+($E$83*0))</f>
        <v>19.322759696594744</v>
      </c>
      <c r="E436" s="2136">
        <f ca="1" xml:space="preserve"> $D$6*$E$12*(($E$85*Mat_Sum!$D38)+($E$86*Mat_Sum!$F38)+($E$87*Mat_Sum!$L38)+($E$88*Mat_Sum!$I38)+($E$89*Mat_Sum!$AV38)+($E$90*Mat_Sum!$AR38)+($E$91*Mat_Sum!$AG38)+($E$92*Mat_Sum!$AG38)+($E$93*Mat_Sum!$F38)+($D$94*0))+($C$187*$B$187*$E$192*(($B$197*Mat_Sum!$D38)+($A$197*Mat_Sum!$AV38)))+($C$188*$B$188*$E$193*(($B$197*Mat_Sum!$D38)+($A$197*Mat_Sum!$AV38)))</f>
        <v>787.60287803976917</v>
      </c>
      <c r="F436" s="2136">
        <f ca="1" xml:space="preserve"> $D$6*$E$13*(($E$96*Mat_Sum!$D38)+($E$97*Mat_Sum!$L38)+($E$98*Mat_Sum!$AG38)+($E$99*0))</f>
        <v>57.299925616147625</v>
      </c>
      <c r="G436" s="2136">
        <f ca="1" xml:space="preserve"> $D$6*$E$14*(($E$101*Mat_Sum!$D38)+($E$102*Mat_Sum!$L38)+($E$103*Mat_Sum!$AG38)+($E$104*0))</f>
        <v>0</v>
      </c>
      <c r="H436" s="2136">
        <f ca="1" xml:space="preserve"> $D$6*$E$15*(($E$106*Mat_Sum!$D38)+($E$107*Mat_Sum!$L38)+($E$108*Mat_Sum!$AG38)+($E$109*Mat_Sum!$AV38)+($E$110*Mat_Sum!$AR38)+($E$111*0))</f>
        <v>6.7409145065223077</v>
      </c>
      <c r="I436" s="2136">
        <f ca="1" xml:space="preserve"> $D$6*$E$17*(($E$113*Mat_Sum!$E38)+($E$114*Mat_Sum!$D38)+($E$115*Mat_Sum!$F38)+($E$116*Mat_Sum!$L38)+($E$117*Mat_Sum!$I38)+($E$118*0)+($E$119*Mat_Sum!$AV38)+($E$120*Mat_Sum!$AR38)+($E$121*Mat_Sum!$AG38)+($E$122*Mat_Sum!$AG38)+($E$123*Mat_Sum!$AS38)+($E$124*0)+($E$125*Mat_Sum!$E38)+($E$126*0))</f>
        <v>0</v>
      </c>
      <c r="J436" s="2136">
        <f ca="1">$D$6*$E$16*(($E$128*Mat_Sum!$AU38)+($E$129*Mat_Sum!$D38)+($E$130*Mat_Sum!$E38)+($E$131*Mat_Sum!$AS38)+($E$132*Mat_Sum!$I38)+($E$133*Mat_Sum!$AG38)+($E$134*Mat_Sum!$AQ38)+($E$135*Mat_Sum!$AO38)+($E$136*0))</f>
        <v>2661.1155347419285</v>
      </c>
      <c r="K436" s="2406">
        <f ca="1" xml:space="preserve"> $D$6*$E$19*$E$138*Mat_Sum!$D38</f>
        <v>0</v>
      </c>
      <c r="L436" s="2223">
        <f t="shared" ca="1" si="15"/>
        <v>8.8485959297599129E-2</v>
      </c>
      <c r="M436" s="2218">
        <f t="shared" ca="1" si="15"/>
        <v>5.4710832014465687E-2</v>
      </c>
      <c r="N436" s="2218">
        <f t="shared" ca="1" si="15"/>
        <v>4.6872644660243571E-3</v>
      </c>
      <c r="O436" s="2218">
        <f t="shared" ca="1" si="15"/>
        <v>0.19105464444734133</v>
      </c>
      <c r="P436" s="2218">
        <f t="shared" ca="1" si="15"/>
        <v>1.3899665961986761E-2</v>
      </c>
      <c r="Q436" s="2218">
        <f t="shared" ca="1" si="15"/>
        <v>0</v>
      </c>
      <c r="R436" s="2218">
        <f t="shared" ca="1" si="15"/>
        <v>1.6351933953046253E-3</v>
      </c>
      <c r="S436" s="2218">
        <f t="shared" ca="1" si="15"/>
        <v>0</v>
      </c>
      <c r="T436" s="2218">
        <f t="shared" ca="1" si="15"/>
        <v>0.64552644041727802</v>
      </c>
      <c r="U436" s="2224">
        <f t="shared" ca="1" si="15"/>
        <v>0</v>
      </c>
      <c r="AI436" s="2299"/>
      <c r="AJ436" s="2299"/>
      <c r="AK436" s="2299"/>
      <c r="AL436" s="2299"/>
      <c r="AM436" s="2299"/>
      <c r="AN436" s="2299"/>
      <c r="AO436" s="2299"/>
      <c r="AP436" s="2299"/>
      <c r="AQ436" s="2299"/>
      <c r="AR436" s="2299"/>
    </row>
    <row r="437" spans="1:44" ht="15.75">
      <c r="A437" s="2093" t="s">
        <v>2543</v>
      </c>
      <c r="B437" s="2151">
        <f ca="1">($D$6*$E$18*(($E$24*Mat_Sum!$D39)+($E$25*Mat_Sum!$E39)+($E$26*Mat_Sum!$I39)+($E$27*Mat_Sum!$L39)+($E$28*Mat_Sum!$AR39)+($E$29*Mat_Sum!$AV39)+($E$30*Mat_Sum!$AS39)+($E$31*Mat_Sum!$AM39)+($E$32*Mat_Sum!$AG39)+($E$33*0)+($E$34*0)+($E$35*0)+($E$36*Mat_Sum!$CF39)+($E$37*Silicon!$K96)+($E$38*0)))+($E$201*(($E$207*Mat_Sum!$D39)+($E$208*Mat_Sum!$AV39)+($E$209*Mat_Sum!$AR39)))</f>
        <v>37.231410625364184</v>
      </c>
      <c r="C437" s="2136">
        <f ca="1">($D$6*$E$10*(($E$40*Mat_Sum!$E39)+($E$41*Mat_Sum!$D39)+($E$42*Mat_Sum!$L39)+($E$43*Mat_Sum!$I39)+($E$44*Mat_Sum!$F39)+($E$45*Mat_Sum!$AV39)+($E$46*Mat_Sum!$AR39)+($E$47*Mat_Sum!$AG39)+($E$48*((88%*Mat_Sum!$AG39)+(12%*0)))+($E$49*Mat_Sum!$CF39)+($E$50*Mat_Sum!$AN39)+($E$51*'C.Iron'!$I86)+($E$52*((80%*Mat_Sum!$U39)+(20%*Mat_Sum!$BA39)))+($E$53*Mat_Sum!$AW39)+($E$54*Mat_Sum!$AS39)+($E$55*Mat_Sum!$CQ39)+($E$56*Mat_Sum!$AQ39)+($E$57*Mat_Sum!$AO39)+($E$58*Mat_Sum!$AP39)+($E$59*Mat_Sum!$BJ39)+($E$60*Mat_Sum!$BI39)+($E$61*Mat_Sum!$AR39)+($E$62*0)+($E$63*Mat_Sum!$CF39)+($E$64*Mat_Sum!$BG39)+($E$65*Mat_Sum!$BI39)+($E$66*Mat_Sum!$U39)+($E$67*Mat_Sum!$BA39)+($E$68*Mat_Sum!$CP39)+($E$69*0)+($E$70*Mat_Sum!$AZ39)+($E$71*Mat_Sum!$AM39)+($E$72*0)))+($E$202*(($E$211*Mat_Sum!$D39)+($E$212*Mat_Sum!$BG39)+($E$213*Mat_Sum!$AV39)))</f>
        <v>29.100823431959672</v>
      </c>
      <c r="D437" s="2136">
        <f ca="1" xml:space="preserve"> $D$6*$E$11*(($E$74*Mat_Sum!$D39)+($E$75*Mat_Sum!$L39)+($E$76*Mat_Sum!$I39)+($E$77*Mat_Sum!$F39)+($E$78*Mat_Sum!$AV39)+($E$79*Mat_Sum!$AR39)+($E$80*Mat_Sum!$AG39)+($E$81*Mat_Sum!$AG39)+($E$82*Mat_Sum!$F39)+($E$83*0))</f>
        <v>2.0839028229778993</v>
      </c>
      <c r="E437" s="2136">
        <f ca="1" xml:space="preserve"> $D$6*$E$12*(($E$85*Mat_Sum!$D39)+($E$86*Mat_Sum!$F39)+($E$87*Mat_Sum!$L39)+($E$88*Mat_Sum!$I39)+($E$89*Mat_Sum!$AV39)+($E$90*Mat_Sum!$AR39)+($E$91*Mat_Sum!$AG39)+($E$92*Mat_Sum!$AG39)+($E$93*Mat_Sum!$F39)+($D$94*0))+($C$187*$B$187*$E$192*(($B$197*Mat_Sum!$D39)+($A$197*Mat_Sum!$AV39)))+($C$188*$B$188*$E$193*(($B$197*Mat_Sum!$D39)+($A$197*Mat_Sum!$AV39)))</f>
        <v>79.581548952776217</v>
      </c>
      <c r="F437" s="2136">
        <f ca="1" xml:space="preserve"> $D$6*$E$13*(($E$96*Mat_Sum!$D39)+($E$97*Mat_Sum!$L39)+($E$98*Mat_Sum!$AG39)+($E$99*0))</f>
        <v>6.3543899019188448</v>
      </c>
      <c r="G437" s="2136">
        <f ca="1" xml:space="preserve"> $D$6*$E$14*(($E$101*Mat_Sum!$D39)+($E$102*Mat_Sum!$L39)+($E$103*Mat_Sum!$AG39)+($E$104*0))</f>
        <v>0</v>
      </c>
      <c r="H437" s="2136">
        <f ca="1" xml:space="preserve"> $D$6*$E$15*(($E$106*Mat_Sum!$D39)+($E$107*Mat_Sum!$L39)+($E$108*Mat_Sum!$AG39)+($E$109*Mat_Sum!$AV39)+($E$110*Mat_Sum!$AR39)+($E$111*0))</f>
        <v>0.67533786706234977</v>
      </c>
      <c r="I437" s="2136">
        <f ca="1" xml:space="preserve"> $D$6*$E$17*(($E$113*Mat_Sum!$E39)+($E$114*Mat_Sum!$D39)+($E$115*Mat_Sum!$F39)+($E$116*Mat_Sum!$L39)+($E$117*Mat_Sum!$I39)+($E$118*0)+($E$119*Mat_Sum!$AV39)+($E$120*Mat_Sum!$AR39)+($E$121*Mat_Sum!$AG39)+($E$122*Mat_Sum!$AG39)+($E$123*Mat_Sum!$AS39)+($E$124*0)+($E$125*Mat_Sum!$E39)+($E$126*0))</f>
        <v>0</v>
      </c>
      <c r="J437" s="2136">
        <f ca="1">$D$6*$E$16*(($E$128*Mat_Sum!$AU39)+($E$129*Mat_Sum!$D39)+($E$130*Mat_Sum!$E39)+($E$131*Mat_Sum!$AS39)+($E$132*Mat_Sum!$I39)+($E$133*Mat_Sum!$AG39)+($E$134*Mat_Sum!$AQ39)+($E$135*Mat_Sum!$AO39)+($E$136*0))</f>
        <v>351.88265801847581</v>
      </c>
      <c r="K437" s="2406">
        <f ca="1" xml:space="preserve"> $D$6*$E$19*$E$138*Mat_Sum!$D39</f>
        <v>0</v>
      </c>
      <c r="L437" s="2223">
        <f t="shared" ca="1" si="15"/>
        <v>7.3447762650166948E-2</v>
      </c>
      <c r="M437" s="2218">
        <f t="shared" ca="1" si="15"/>
        <v>5.7408256535380293E-2</v>
      </c>
      <c r="N437" s="2218">
        <f t="shared" ca="1" si="15"/>
        <v>4.1109911592718887E-3</v>
      </c>
      <c r="O437" s="2218">
        <f t="shared" ca="1" si="15"/>
        <v>0.15699342626664109</v>
      </c>
      <c r="P437" s="2218">
        <f t="shared" ca="1" si="15"/>
        <v>1.253553688843579E-2</v>
      </c>
      <c r="Q437" s="2218">
        <f t="shared" ca="1" si="15"/>
        <v>0</v>
      </c>
      <c r="R437" s="2218">
        <f t="shared" ca="1" si="15"/>
        <v>1.3322636595153256E-3</v>
      </c>
      <c r="S437" s="2218">
        <f t="shared" ca="1" si="15"/>
        <v>0</v>
      </c>
      <c r="T437" s="2218">
        <f t="shared" ca="1" si="15"/>
        <v>0.69417176284058857</v>
      </c>
      <c r="U437" s="2224">
        <f t="shared" ca="1" si="15"/>
        <v>0</v>
      </c>
      <c r="AI437" s="2299"/>
      <c r="AJ437" s="2299"/>
      <c r="AK437" s="2299"/>
      <c r="AL437" s="2299"/>
      <c r="AM437" s="2299"/>
      <c r="AN437" s="2299"/>
      <c r="AO437" s="2299"/>
      <c r="AP437" s="2299"/>
      <c r="AQ437" s="2299"/>
      <c r="AR437" s="2299"/>
    </row>
    <row r="438" spans="1:44" ht="15.75">
      <c r="A438" s="2093" t="s">
        <v>2544</v>
      </c>
      <c r="B438" s="2151">
        <f ca="1">($D$6*$E$18*(($E$24*Mat_Sum!$D40)+($E$25*Mat_Sum!$E40)+($E$26*Mat_Sum!$I40)+($E$27*Mat_Sum!$L40)+($E$28*Mat_Sum!$AR40)+($E$29*Mat_Sum!$AV40)+($E$30*Mat_Sum!$AS40)+($E$31*Mat_Sum!$AM40)+($E$32*Mat_Sum!$AG40)+($E$33*0)+($E$34*0)+($E$35*0)+($E$36*Mat_Sum!$CF40)+($E$37*Silicon!$K97)+($E$38*0)))+($E$201*(($E$207*Mat_Sum!$D40)+($E$208*Mat_Sum!$AV40)+($E$209*Mat_Sum!$AR40)))</f>
        <v>31.973958819307249</v>
      </c>
      <c r="C438" s="2136">
        <f ca="1">($D$6*$E$10*(($E$40*Mat_Sum!$E40)+($E$41*Mat_Sum!$D40)+($E$42*Mat_Sum!$L40)+($E$43*Mat_Sum!$I40)+($E$44*Mat_Sum!$F40)+($E$45*Mat_Sum!$AV40)+($E$46*Mat_Sum!$AR40)+($E$47*Mat_Sum!$AG40)+($E$48*((88%*Mat_Sum!$AG40)+(12%*0)))+($E$49*Mat_Sum!$CF40)+($E$50*Mat_Sum!$AN40)+($E$51*'C.Iron'!$I87)+($E$52*((80%*Mat_Sum!$U40)+(20%*Mat_Sum!$BA40)))+($E$53*Mat_Sum!$AW40)+($E$54*Mat_Sum!$AS40)+($E$55*Mat_Sum!$CQ40)+($E$56*Mat_Sum!$AQ40)+($E$57*Mat_Sum!$AO40)+($E$58*Mat_Sum!$AP40)+($E$59*Mat_Sum!$BJ40)+($E$60*Mat_Sum!$BI40)+($E$61*Mat_Sum!$AR40)+($E$62*0)+($E$63*Mat_Sum!$CF40)+($E$64*Mat_Sum!$BG40)+($E$65*Mat_Sum!$BI40)+($E$66*Mat_Sum!$U40)+($E$67*Mat_Sum!$BA40)+($E$68*Mat_Sum!$CP40)+($E$69*0)+($E$70*Mat_Sum!$AZ40)+($E$71*Mat_Sum!$AM40)+($E$72*0)))+($E$202*(($E$211*Mat_Sum!$D40)+($E$212*Mat_Sum!$BG40)+($E$213*Mat_Sum!$AV40)))</f>
        <v>24.936958261922705</v>
      </c>
      <c r="D438" s="2136">
        <f ca="1" xml:space="preserve"> $D$6*$E$11*(($E$74*Mat_Sum!$D40)+($E$75*Mat_Sum!$L40)+($E$76*Mat_Sum!$I40)+($E$77*Mat_Sum!$F40)+($E$78*Mat_Sum!$AV40)+($E$79*Mat_Sum!$AR40)+($E$80*Mat_Sum!$AG40)+($E$81*Mat_Sum!$AG40)+($E$82*Mat_Sum!$F40)+($E$83*0))</f>
        <v>1.8231943987456993</v>
      </c>
      <c r="E438" s="2136">
        <f ca="1" xml:space="preserve"> $D$6*$E$12*(($E$85*Mat_Sum!$D40)+($E$86*Mat_Sum!$F40)+($E$87*Mat_Sum!$L40)+($E$88*Mat_Sum!$I40)+($E$89*Mat_Sum!$AV40)+($E$90*Mat_Sum!$AR40)+($E$91*Mat_Sum!$AG40)+($E$92*Mat_Sum!$AG40)+($E$93*Mat_Sum!$F40)+($D$94*0))+($C$187*$B$187*$E$192*(($B$197*Mat_Sum!$D40)+($A$197*Mat_Sum!$AV40)))+($C$188*$B$188*$E$193*(($B$197*Mat_Sum!$D40)+($A$197*Mat_Sum!$AV40)))</f>
        <v>69.8686529416903</v>
      </c>
      <c r="F438" s="2136">
        <f ca="1" xml:space="preserve"> $D$6*$E$13*(($E$96*Mat_Sum!$D40)+($E$97*Mat_Sum!$L40)+($E$98*Mat_Sum!$AG40)+($E$99*0))</f>
        <v>5.4781859896805711</v>
      </c>
      <c r="G438" s="2136">
        <f ca="1" xml:space="preserve"> $D$6*$E$14*(($E$101*Mat_Sum!$D40)+($E$102*Mat_Sum!$L40)+($E$103*Mat_Sum!$AG40)+($E$104*0))</f>
        <v>0</v>
      </c>
      <c r="H438" s="2136">
        <f ca="1" xml:space="preserve"> $D$6*$E$15*(($E$106*Mat_Sum!$D40)+($E$107*Mat_Sum!$L40)+($E$108*Mat_Sum!$AG40)+($E$109*Mat_Sum!$AV40)+($E$110*Mat_Sum!$AR40)+($E$111*0))</f>
        <v>0.57494868934018184</v>
      </c>
      <c r="I438" s="2136">
        <f ca="1" xml:space="preserve"> $D$6*$E$17*(($E$113*Mat_Sum!$E40)+($E$114*Mat_Sum!$D40)+($E$115*Mat_Sum!$F40)+($E$116*Mat_Sum!$L40)+($E$117*Mat_Sum!$I40)+($E$118*0)+($E$119*Mat_Sum!$AV40)+($E$120*Mat_Sum!$AR40)+($E$121*Mat_Sum!$AG40)+($E$122*Mat_Sum!$AG40)+($E$123*Mat_Sum!$AS40)+($E$124*0)+($E$125*Mat_Sum!$E40)+($E$126*0))</f>
        <v>0</v>
      </c>
      <c r="J438" s="2136">
        <f ca="1">$D$6*$E$16*(($E$128*Mat_Sum!$AU40)+($E$129*Mat_Sum!$D40)+($E$130*Mat_Sum!$E40)+($E$131*Mat_Sum!$AS40)+($E$132*Mat_Sum!$I40)+($E$133*Mat_Sum!$AG40)+($E$134*Mat_Sum!$AQ40)+($E$135*Mat_Sum!$AO40)+($E$136*0))</f>
        <v>309.38148123784453</v>
      </c>
      <c r="K438" s="2406">
        <f ca="1" xml:space="preserve"> $D$6*$E$19*$E$138*Mat_Sum!$D40</f>
        <v>0</v>
      </c>
      <c r="L438" s="2223">
        <f t="shared" ca="1" si="15"/>
        <v>7.2007358468177851E-2</v>
      </c>
      <c r="M438" s="2218">
        <f t="shared" ca="1" si="15"/>
        <v>5.6159592336372507E-2</v>
      </c>
      <c r="N438" s="2218">
        <f t="shared" ca="1" si="15"/>
        <v>4.1059480113041554E-3</v>
      </c>
      <c r="O438" s="2218">
        <f t="shared" ca="1" si="15"/>
        <v>0.15734858378009275</v>
      </c>
      <c r="P438" s="2218">
        <f t="shared" ca="1" si="15"/>
        <v>1.2337218063722557E-2</v>
      </c>
      <c r="Q438" s="2218">
        <f t="shared" ca="1" si="15"/>
        <v>0</v>
      </c>
      <c r="R438" s="2218">
        <f t="shared" ca="1" si="15"/>
        <v>1.294820469623176E-3</v>
      </c>
      <c r="S438" s="2218">
        <f t="shared" ca="1" si="15"/>
        <v>0</v>
      </c>
      <c r="T438" s="2218">
        <f t="shared" ca="1" si="15"/>
        <v>0.69674647887070695</v>
      </c>
      <c r="U438" s="2224">
        <f t="shared" ca="1" si="15"/>
        <v>0</v>
      </c>
      <c r="AI438" s="2299"/>
      <c r="AJ438" s="2299"/>
      <c r="AK438" s="2299"/>
      <c r="AL438" s="2299"/>
      <c r="AM438" s="2299"/>
      <c r="AN438" s="2299"/>
      <c r="AO438" s="2299"/>
      <c r="AP438" s="2299"/>
      <c r="AQ438" s="2299"/>
      <c r="AR438" s="2299"/>
    </row>
    <row r="439" spans="1:44" ht="15.75">
      <c r="A439" s="2093" t="s">
        <v>2545</v>
      </c>
      <c r="B439" s="2151">
        <f ca="1">($D$6*$E$18*(($E$24*Mat_Sum!$D41)+($E$25*Mat_Sum!$E41)+($E$26*Mat_Sum!$I41)+($E$27*Mat_Sum!$L41)+($E$28*Mat_Sum!$AR41)+($E$29*Mat_Sum!$AV41)+($E$30*Mat_Sum!$AS41)+($E$31*Mat_Sum!$AM41)+($E$32*Mat_Sum!$AG41)+($E$33*0)+($E$34*0)+($E$35*0)+($E$36*Mat_Sum!$CF41)+($E$37*Silicon!$K98)+($E$38*0)))+($E$201*(($E$207*Mat_Sum!$D41)+($E$208*Mat_Sum!$AV41)+($E$209*Mat_Sum!$AR41)))</f>
        <v>347.16985717338656</v>
      </c>
      <c r="C439" s="2136">
        <f ca="1">($D$6*$E$10*(($E$40*Mat_Sum!$E41)+($E$41*Mat_Sum!$D41)+($E$42*Mat_Sum!$L41)+($E$43*Mat_Sum!$I41)+($E$44*Mat_Sum!$F41)+($E$45*Mat_Sum!$AV41)+($E$46*Mat_Sum!$AR41)+($E$47*Mat_Sum!$AG41)+($E$48*((88%*Mat_Sum!$AG41)+(12%*0)))+($E$49*Mat_Sum!$CF41)+($E$50*Mat_Sum!$AN41)+($E$51*'C.Iron'!$I88)+($E$52*((80%*Mat_Sum!$U41)+(20%*Mat_Sum!$BA41)))+($E$53*Mat_Sum!$AW41)+($E$54*Mat_Sum!$AS41)+($E$55*Mat_Sum!$CQ41)+($E$56*Mat_Sum!$AQ41)+($E$57*Mat_Sum!$AO41)+($E$58*Mat_Sum!$AP41)+($E$59*Mat_Sum!$BJ41)+($E$60*Mat_Sum!$BI41)+($E$61*Mat_Sum!$AR41)+($E$62*0)+($E$63*Mat_Sum!$CF41)+($E$64*Mat_Sum!$BG41)+($E$65*Mat_Sum!$BI41)+($E$66*Mat_Sum!$U41)+($E$67*Mat_Sum!$BA41)+($E$68*Mat_Sum!$CP41)+($E$69*0)+($E$70*Mat_Sum!$AZ41)+($E$71*Mat_Sum!$AM41)+($E$72*0)))+($E$202*(($E$211*Mat_Sum!$D41)+($E$212*Mat_Sum!$BG41)+($E$213*Mat_Sum!$AV41)))</f>
        <v>283.12591945153963</v>
      </c>
      <c r="D439" s="2136">
        <f ca="1" xml:space="preserve"> $D$6*$E$11*(($E$74*Mat_Sum!$D41)+($E$75*Mat_Sum!$L41)+($E$76*Mat_Sum!$I41)+($E$77*Mat_Sum!$F41)+($E$78*Mat_Sum!$AV41)+($E$79*Mat_Sum!$AR41)+($E$80*Mat_Sum!$AG41)+($E$81*Mat_Sum!$AG41)+($E$82*Mat_Sum!$F41)+($E$83*0))</f>
        <v>17.09668799774796</v>
      </c>
      <c r="E439" s="2136">
        <f ca="1" xml:space="preserve"> $D$6*$E$12*(($E$85*Mat_Sum!$D41)+($E$86*Mat_Sum!$F41)+($E$87*Mat_Sum!$L41)+($E$88*Mat_Sum!$I41)+($E$89*Mat_Sum!$AV41)+($E$90*Mat_Sum!$AR41)+($E$91*Mat_Sum!$AG41)+($E$92*Mat_Sum!$AG41)+($E$93*Mat_Sum!$F41)+($D$94*0))+($C$187*$B$187*$E$192*(($B$197*Mat_Sum!$D41)+($A$197*Mat_Sum!$AV41)))+($C$188*$B$188*$E$193*(($B$197*Mat_Sum!$D41)+($A$197*Mat_Sum!$AV41)))</f>
        <v>534.09087444355544</v>
      </c>
      <c r="F439" s="2136">
        <f ca="1" xml:space="preserve"> $D$6*$E$13*(($E$96*Mat_Sum!$D41)+($E$97*Mat_Sum!$L41)+($E$98*Mat_Sum!$AG41)+($E$99*0))</f>
        <v>52.979174666528948</v>
      </c>
      <c r="G439" s="2136">
        <f ca="1" xml:space="preserve"> $D$6*$E$14*(($E$101*Mat_Sum!$D41)+($E$102*Mat_Sum!$L41)+($E$103*Mat_Sum!$AG41)+($E$104*0))</f>
        <v>0</v>
      </c>
      <c r="H439" s="2136">
        <f ca="1" xml:space="preserve"> $D$6*$E$15*(($E$106*Mat_Sum!$D41)+($E$107*Mat_Sum!$L41)+($E$108*Mat_Sum!$AG41)+($E$109*Mat_Sum!$AV41)+($E$110*Mat_Sum!$AR41)+($E$111*0))</f>
        <v>6.8264975144392661</v>
      </c>
      <c r="I439" s="2136">
        <f ca="1" xml:space="preserve"> $D$6*$E$17*(($E$113*Mat_Sum!$E41)+($E$114*Mat_Sum!$D41)+($E$115*Mat_Sum!$F41)+($E$116*Mat_Sum!$L41)+($E$117*Mat_Sum!$I41)+($E$118*0)+($E$119*Mat_Sum!$AV41)+($E$120*Mat_Sum!$AR41)+($E$121*Mat_Sum!$AG41)+($E$122*Mat_Sum!$AG41)+($E$123*Mat_Sum!$AS41)+($E$124*0)+($E$125*Mat_Sum!$E41)+($E$126*0))</f>
        <v>0</v>
      </c>
      <c r="J439" s="2136">
        <f ca="1">$D$6*$E$16*(($E$128*Mat_Sum!$AU41)+($E$129*Mat_Sum!$D41)+($E$130*Mat_Sum!$E41)+($E$131*Mat_Sum!$AS41)+($E$132*Mat_Sum!$I41)+($E$133*Mat_Sum!$AG41)+($E$134*Mat_Sum!$AQ41)+($E$135*Mat_Sum!$AO41)+($E$136*0))</f>
        <v>2186.0703512558248</v>
      </c>
      <c r="K439" s="2406">
        <f ca="1" xml:space="preserve"> $D$6*$E$19*$E$138*Mat_Sum!$D41</f>
        <v>0</v>
      </c>
      <c r="L439" s="2223">
        <f t="shared" ca="1" si="15"/>
        <v>0.10129368427822118</v>
      </c>
      <c r="M439" s="2218">
        <f t="shared" ca="1" si="15"/>
        <v>8.2607596550590759E-2</v>
      </c>
      <c r="N439" s="2218">
        <f t="shared" ca="1" si="15"/>
        <v>4.9882974586190282E-3</v>
      </c>
      <c r="O439" s="2218">
        <f t="shared" ca="1" si="15"/>
        <v>0.15583159451756626</v>
      </c>
      <c r="P439" s="2218">
        <f t="shared" ca="1" si="15"/>
        <v>1.5457723880999136E-2</v>
      </c>
      <c r="Q439" s="2218">
        <f t="shared" ca="1" si="15"/>
        <v>0</v>
      </c>
      <c r="R439" s="2218">
        <f t="shared" ca="1" si="15"/>
        <v>1.9917659026726137E-3</v>
      </c>
      <c r="S439" s="2218">
        <f t="shared" ca="1" si="15"/>
        <v>0</v>
      </c>
      <c r="T439" s="2218">
        <f t="shared" ca="1" si="15"/>
        <v>0.63782933741133108</v>
      </c>
      <c r="U439" s="2224">
        <f t="shared" ca="1" si="15"/>
        <v>0</v>
      </c>
      <c r="AI439" s="2299"/>
      <c r="AJ439" s="2299"/>
      <c r="AK439" s="2299"/>
      <c r="AL439" s="2299"/>
      <c r="AM439" s="2299"/>
      <c r="AN439" s="2299"/>
      <c r="AO439" s="2299"/>
      <c r="AP439" s="2299"/>
      <c r="AQ439" s="2299"/>
      <c r="AR439" s="2299"/>
    </row>
    <row r="440" spans="1:44">
      <c r="A440" s="2093" t="s">
        <v>827</v>
      </c>
      <c r="B440" s="2151">
        <f ca="1">($D$6*$E$18*(($E$24*Mat_Sum!$D42)+($E$25*Mat_Sum!$E42)+($E$26*Mat_Sum!$I42)+($E$27*Mat_Sum!$L42)+($E$28*Mat_Sum!$AR42)+($E$29*Mat_Sum!$AV42)+($E$30*Mat_Sum!$AS42)+($E$31*Mat_Sum!$AM42)+($E$32*Mat_Sum!$AG42)+($E$33*0)+($E$34*0)+($E$35*0)+($E$36*Mat_Sum!$CF42)+($E$37*Silicon!$K99)+($E$38*0)))+($E$201*(($E$207*Mat_Sum!$D42)+($E$208*Mat_Sum!$AV42)+($E$209*Mat_Sum!$AR42)))</f>
        <v>1.8336341444798705</v>
      </c>
      <c r="C440" s="2136">
        <f ca="1">($D$6*$E$10*(($E$40*Mat_Sum!$E42)+($E$41*Mat_Sum!$D42)+($E$42*Mat_Sum!$L42)+($E$43*Mat_Sum!$I42)+($E$44*Mat_Sum!$F42)+($E$45*Mat_Sum!$AV42)+($E$46*Mat_Sum!$AR42)+($E$47*Mat_Sum!$AG42)+($E$48*((88%*Mat_Sum!$AG42)+(12%*0)))+($E$49*Mat_Sum!$CF42)+($E$50*Mat_Sum!$AN42)+($E$51*'C.Iron'!$I89)+($E$52*((80%*Mat_Sum!$U42)+(20%*Mat_Sum!$BA42)))+($E$53*Mat_Sum!$AW42)+($E$54*Mat_Sum!$AS42)+($E$55*Mat_Sum!$CQ42)+($E$56*Mat_Sum!$AQ42)+($E$57*Mat_Sum!$AO42)+($E$58*Mat_Sum!$AP42)+($E$59*Mat_Sum!$BJ42)+($E$60*Mat_Sum!$BI42)+($E$61*Mat_Sum!$AR42)+($E$62*0)+($E$63*Mat_Sum!$CF42)+($E$64*Mat_Sum!$BG42)+($E$65*Mat_Sum!$BI42)+($E$66*Mat_Sum!$U42)+($E$67*Mat_Sum!$BA42)+($E$68*Mat_Sum!$CP42)+($E$69*0)+($E$70*Mat_Sum!$AZ42)+($E$71*Mat_Sum!$AM42)+($E$72*0)))+($E$202*(($E$211*Mat_Sum!$D42)+($E$212*Mat_Sum!$BG42)+($E$213*Mat_Sum!$AV42)))</f>
        <v>1.4884854580001852</v>
      </c>
      <c r="D440" s="2136">
        <f ca="1" xml:space="preserve"> $D$6*$E$11*(($E$74*Mat_Sum!$D42)+($E$75*Mat_Sum!$L42)+($E$76*Mat_Sum!$I42)+($E$77*Mat_Sum!$F42)+($E$78*Mat_Sum!$AV42)+($E$79*Mat_Sum!$AR42)+($E$80*Mat_Sum!$AG42)+($E$81*Mat_Sum!$AG42)+($E$82*Mat_Sum!$F42)+($E$83*0))</f>
        <v>0.10005573649093454</v>
      </c>
      <c r="E440" s="2136">
        <f ca="1" xml:space="preserve"> $D$6*$E$12*(($E$85*Mat_Sum!$D42)+($E$86*Mat_Sum!$F42)+($E$87*Mat_Sum!$L42)+($E$88*Mat_Sum!$I42)+($E$89*Mat_Sum!$AV42)+($E$90*Mat_Sum!$AR42)+($E$91*Mat_Sum!$AG42)+($E$92*Mat_Sum!$AG42)+($E$93*Mat_Sum!$F42)+($D$94*0))+($C$187*$B$187*$E$192*(($B$197*Mat_Sum!$D42)+($A$197*Mat_Sum!$AV42)))+($C$188*$B$188*$E$193*(($B$197*Mat_Sum!$D42)+($A$197*Mat_Sum!$AV42)))</f>
        <v>4.3690393088336439</v>
      </c>
      <c r="F440" s="2136">
        <f ca="1" xml:space="preserve"> $D$6*$E$13*(($E$96*Mat_Sum!$D42)+($E$97*Mat_Sum!$L42)+($E$98*Mat_Sum!$AG42)+($E$99*0))</f>
        <v>0.29323945083890368</v>
      </c>
      <c r="G440" s="2136">
        <f ca="1" xml:space="preserve"> $D$6*$E$14*(($E$101*Mat_Sum!$D42)+($E$102*Mat_Sum!$L42)+($E$103*Mat_Sum!$AG42)+($E$104*0))</f>
        <v>0</v>
      </c>
      <c r="H440" s="2136">
        <f ca="1" xml:space="preserve"> $D$6*$E$15*(($E$106*Mat_Sum!$D42)+($E$107*Mat_Sum!$L42)+($E$108*Mat_Sum!$AG42)+($E$109*Mat_Sum!$AV42)+($E$110*Mat_Sum!$AR42)+($E$111*0))</f>
        <v>3.3871850407127445E-2</v>
      </c>
      <c r="I440" s="2136">
        <f ca="1" xml:space="preserve"> $D$6*$E$17*(($E$113*Mat_Sum!$E42)+($E$114*Mat_Sum!$D42)+($E$115*Mat_Sum!$F42)+($E$116*Mat_Sum!$L42)+($E$117*Mat_Sum!$I42)+($E$118*0)+($E$119*Mat_Sum!$AV42)+($E$120*Mat_Sum!$AR42)+($E$121*Mat_Sum!$AG42)+($E$122*Mat_Sum!$AG42)+($E$123*Mat_Sum!$AS42)+($E$124*0)+($E$125*Mat_Sum!$E42)+($E$126*0))</f>
        <v>0</v>
      </c>
      <c r="J440" s="2136">
        <f ca="1">$D$6*$E$16*(($E$128*Mat_Sum!$AU42)+($E$129*Mat_Sum!$D42)+($E$130*Mat_Sum!$E42)+($E$131*Mat_Sum!$AS42)+($E$132*Mat_Sum!$I42)+($E$133*Mat_Sum!$AG42)+($E$134*Mat_Sum!$AQ42)+($E$135*Mat_Sum!$AO42)+($E$136*0))</f>
        <v>18.537392313241742</v>
      </c>
      <c r="K440" s="2406">
        <f ca="1" xml:space="preserve"> $D$6*$E$19*$E$138*Mat_Sum!$D42</f>
        <v>0</v>
      </c>
      <c r="L440" s="2223">
        <f t="shared" ca="1" si="15"/>
        <v>6.8789522999789424E-2</v>
      </c>
      <c r="M440" s="2218">
        <f t="shared" ca="1" si="15"/>
        <v>5.5841131098156145E-2</v>
      </c>
      <c r="N440" s="2218">
        <f t="shared" ca="1" si="15"/>
        <v>3.7536312286311538E-3</v>
      </c>
      <c r="O440" s="2218">
        <f t="shared" ca="1" si="15"/>
        <v>0.16390626828518648</v>
      </c>
      <c r="P440" s="2218">
        <f t="shared" ca="1" si="15"/>
        <v>1.1000996032199393E-2</v>
      </c>
      <c r="Q440" s="2218">
        <f t="shared" ca="1" si="15"/>
        <v>0</v>
      </c>
      <c r="R440" s="2218">
        <f t="shared" ca="1" si="15"/>
        <v>1.2707161020321517E-3</v>
      </c>
      <c r="S440" s="2218">
        <f t="shared" ca="1" si="15"/>
        <v>0</v>
      </c>
      <c r="T440" s="2218">
        <f t="shared" ca="1" si="15"/>
        <v>0.69543773425400524</v>
      </c>
      <c r="U440" s="2224">
        <f t="shared" ca="1" si="15"/>
        <v>0</v>
      </c>
      <c r="AI440" s="2299"/>
      <c r="AJ440" s="2299"/>
      <c r="AK440" s="2299"/>
      <c r="AL440" s="2299"/>
      <c r="AM440" s="2299"/>
      <c r="AN440" s="2299"/>
      <c r="AO440" s="2299"/>
      <c r="AP440" s="2299"/>
      <c r="AQ440" s="2299"/>
      <c r="AR440" s="2299"/>
    </row>
    <row r="441" spans="1:44">
      <c r="A441" s="2142" t="s">
        <v>828</v>
      </c>
      <c r="B441" s="2159">
        <f ca="1">($D$6*$E$18*(($E$24*Mat_Sum!$D43)+($E$25*Mat_Sum!$E43)+($E$26*Mat_Sum!$I43)+($E$27*Mat_Sum!$L43)+($E$28*Mat_Sum!$AR43)+($E$29*Mat_Sum!$AV43)+($E$30*Mat_Sum!$AS43)+($E$31*Mat_Sum!$AM43)+($E$32*Mat_Sum!$AG43)+($E$33*0)+($E$34*0)+($E$35*0)+($E$36*Mat_Sum!$CF43)+($E$37*Silicon!$K100)+($E$38*0)))+($E$201*(($E$207*Mat_Sum!$D43)+($E$208*Mat_Sum!$AV43)+($E$209*Mat_Sum!$AR43)))</f>
        <v>7.098604219423466</v>
      </c>
      <c r="C441" s="2242">
        <f ca="1">($D$6*$E$10*(($E$40*Mat_Sum!$E43)+($E$41*Mat_Sum!$D43)+($E$42*Mat_Sum!$L43)+($E$43*Mat_Sum!$I43)+($E$44*Mat_Sum!$F43)+($E$45*Mat_Sum!$AV43)+($E$46*Mat_Sum!$AR43)+($E$47*Mat_Sum!$AG43)+($E$48*((88%*Mat_Sum!$AG43)+(12%*0)))+($E$49*Mat_Sum!$CF43)+($E$50*Mat_Sum!$AN43)+($E$51*'C.Iron'!$I90)+($E$52*((80%*Mat_Sum!$U43)+(20%*Mat_Sum!$BA43)))+($E$53*Mat_Sum!$AW43)+($E$54*Mat_Sum!$AS43)+($E$55*Mat_Sum!$CQ43)+($E$56*Mat_Sum!$AQ43)+($E$57*Mat_Sum!$AO43)+($E$58*Mat_Sum!$AP43)+($E$59*Mat_Sum!$BJ43)+($E$60*Mat_Sum!$BI43)+($E$61*Mat_Sum!$AR43)+($E$62*0)+($E$63*Mat_Sum!$CF43)+($E$64*Mat_Sum!$BG43)+($E$65*Mat_Sum!$BI43)+($E$66*Mat_Sum!$U43)+($E$67*Mat_Sum!$BA43)+($E$68*Mat_Sum!$CP43)+($E$69*0)+($E$70*Mat_Sum!$AZ43)+($E$71*Mat_Sum!$AM43)+($E$72*0)))+($E$202*(($E$211*Mat_Sum!$D43)+($E$212*Mat_Sum!$BG43)+($E$213*Mat_Sum!$AV43)))</f>
        <v>5.3774708326082905</v>
      </c>
      <c r="D441" s="2242">
        <f ca="1" xml:space="preserve"> $D$6*$E$11*(($E$74*Mat_Sum!$D43)+($E$75*Mat_Sum!$L43)+($E$76*Mat_Sum!$I43)+($E$77*Mat_Sum!$F43)+($E$78*Mat_Sum!$AV43)+($E$79*Mat_Sum!$AR43)+($E$80*Mat_Sum!$AG43)+($E$81*Mat_Sum!$AG43)+($E$82*Mat_Sum!$F43)+($E$83*0))</f>
        <v>0.51658347985481023</v>
      </c>
      <c r="E441" s="2242">
        <f ca="1" xml:space="preserve"> $D$6*$E$12*(($E$85*Mat_Sum!$D43)+($E$86*Mat_Sum!$F43)+($E$87*Mat_Sum!$L43)+($E$88*Mat_Sum!$I43)+($E$89*Mat_Sum!$AV43)+($E$90*Mat_Sum!$AR43)+($E$91*Mat_Sum!$AG43)+($E$92*Mat_Sum!$AG43)+($E$93*Mat_Sum!$F43)+($D$94*0))+($C$187*$B$187*$E$192*(($B$197*Mat_Sum!$D43)+($A$197*Mat_Sum!$AV43)))+($C$188*$B$188*$E$193*(($B$197*Mat_Sum!$D43)+($A$197*Mat_Sum!$AV43)))</f>
        <v>18.198991489501694</v>
      </c>
      <c r="F441" s="2242">
        <f ca="1" xml:space="preserve"> $D$6*$E$13*(($E$96*Mat_Sum!$D43)+($E$97*Mat_Sum!$L43)+($E$98*Mat_Sum!$AG43)+($E$99*0))</f>
        <v>1.1995409886178692</v>
      </c>
      <c r="G441" s="2242">
        <f ca="1" xml:space="preserve"> $D$6*$E$14*(($E$101*Mat_Sum!$D43)+($E$102*Mat_Sum!$L43)+($E$103*Mat_Sum!$AG43)+($E$104*0))</f>
        <v>0</v>
      </c>
      <c r="H441" s="2242">
        <f ca="1" xml:space="preserve"> $D$6*$E$15*(($E$106*Mat_Sum!$D43)+($E$107*Mat_Sum!$L43)+($E$108*Mat_Sum!$AG43)+($E$109*Mat_Sum!$AV43)+($E$110*Mat_Sum!$AR43)+($E$111*0))</f>
        <v>0.11494055941442285</v>
      </c>
      <c r="I441" s="2242">
        <f ca="1" xml:space="preserve"> $D$6*$E$17*(($E$113*Mat_Sum!$E43)+($E$114*Mat_Sum!$D43)+($E$115*Mat_Sum!$F43)+($E$116*Mat_Sum!$L43)+($E$117*Mat_Sum!$I43)+($E$118*0)+($E$119*Mat_Sum!$AV43)+($E$120*Mat_Sum!$AR43)+($E$121*Mat_Sum!$AG43)+($E$122*Mat_Sum!$AG43)+($E$123*Mat_Sum!$AS43)+($E$124*0)+($E$125*Mat_Sum!$E43)+($E$126*0))</f>
        <v>0</v>
      </c>
      <c r="J441" s="2242">
        <f ca="1">$D$6*$E$16*(($E$128*Mat_Sum!$AU43)+($E$129*Mat_Sum!$D43)+($E$130*Mat_Sum!$E43)+($E$131*Mat_Sum!$AS43)+($E$132*Mat_Sum!$I43)+($E$133*Mat_Sum!$AG43)+($E$134*Mat_Sum!$AQ43)+($E$135*Mat_Sum!$AO43)+($E$136*0))</f>
        <v>77.1826137031982</v>
      </c>
      <c r="K441" s="2413">
        <f ca="1" xml:space="preserve"> $D$6*$E$19*$E$138*Mat_Sum!$D43</f>
        <v>0</v>
      </c>
      <c r="L441" s="2184">
        <f t="shared" ca="1" si="15"/>
        <v>6.4715884950463265E-2</v>
      </c>
      <c r="M441" s="2216">
        <f t="shared" ca="1" si="15"/>
        <v>4.9024818537610274E-2</v>
      </c>
      <c r="N441" s="2216">
        <f t="shared" ca="1" si="15"/>
        <v>4.7095395117420797E-3</v>
      </c>
      <c r="O441" s="2216">
        <f t="shared" ca="1" si="15"/>
        <v>0.16591484791142605</v>
      </c>
      <c r="P441" s="2216">
        <f t="shared" ca="1" si="15"/>
        <v>1.0935862067129569E-2</v>
      </c>
      <c r="Q441" s="2216">
        <f t="shared" ca="1" si="15"/>
        <v>0</v>
      </c>
      <c r="R441" s="2216">
        <f t="shared" ca="1" si="15"/>
        <v>1.0478792434789124E-3</v>
      </c>
      <c r="S441" s="2216">
        <f t="shared" ca="1" si="15"/>
        <v>0</v>
      </c>
      <c r="T441" s="2216">
        <f t="shared" ca="1" si="15"/>
        <v>0.70365116777814984</v>
      </c>
      <c r="U441" s="2217">
        <f t="shared" ca="1" si="15"/>
        <v>0</v>
      </c>
      <c r="AI441" s="2299"/>
      <c r="AJ441" s="2299"/>
      <c r="AK441" s="2299"/>
      <c r="AL441" s="2299"/>
      <c r="AM441" s="2299"/>
      <c r="AN441" s="2299"/>
      <c r="AO441" s="2299"/>
      <c r="AP441" s="2299"/>
      <c r="AQ441" s="2299"/>
      <c r="AR441" s="2299"/>
    </row>
  </sheetData>
  <mergeCells count="8">
    <mergeCell ref="B410:K410"/>
    <mergeCell ref="L410:U410"/>
    <mergeCell ref="B308:K308"/>
    <mergeCell ref="L308:U308"/>
    <mergeCell ref="B342:K342"/>
    <mergeCell ref="L342:U342"/>
    <mergeCell ref="B376:K376"/>
    <mergeCell ref="L376:U376"/>
  </mergeCell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6851335A-ECD3-4DC2-A82F-49D51637D53C}">
            <xm:f>OR(MHDV_Inputs!$B$3=2,MHDV_Inputs!$B$3=3)</xm:f>
            <x14:dxf>
              <fill>
                <patternFill>
                  <bgColor theme="1" tint="0.24994659260841701"/>
                </patternFill>
              </fill>
            </x14:dxf>
          </x14:cfRule>
          <xm:sqref>B6 C10:C19 C23:C138 C142:C183 C192:C193 C201:C202 C206:C213 C217:C224 C231:C304 B344:U373</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0">
    <tabColor theme="9" tint="0.59999389629810485"/>
  </sheetPr>
  <dimension ref="A1:P125"/>
  <sheetViews>
    <sheetView showGridLines="0" zoomScale="85" zoomScaleNormal="85" workbookViewId="0"/>
  </sheetViews>
  <sheetFormatPr defaultColWidth="9.140625" defaultRowHeight="12.75"/>
  <cols>
    <col min="1" max="1" width="41.5703125" style="1321" customWidth="1"/>
    <col min="2" max="2" width="51" style="1321" customWidth="1"/>
    <col min="3" max="3" width="23.42578125" style="1321" customWidth="1"/>
    <col min="4" max="4" width="18.42578125" style="1321" customWidth="1"/>
    <col min="5" max="6" width="24.85546875" style="1321" customWidth="1"/>
    <col min="7" max="7" width="19.7109375" style="1321" customWidth="1"/>
    <col min="8" max="8" width="27.140625" style="1321" customWidth="1"/>
    <col min="9" max="9" width="15.85546875" style="1321" customWidth="1"/>
    <col min="10" max="10" width="26" style="1321" customWidth="1"/>
    <col min="11" max="11" width="23.5703125" style="1321" customWidth="1"/>
    <col min="12" max="12" width="25.7109375" style="1321" customWidth="1"/>
    <col min="13" max="13" width="17.7109375" style="1321" customWidth="1"/>
    <col min="14" max="14" width="13.5703125" style="1321" customWidth="1"/>
    <col min="15" max="15" width="9.140625" style="1321"/>
    <col min="16" max="16" width="15.140625" style="1321" customWidth="1"/>
    <col min="17" max="16384" width="9.140625" style="1321"/>
  </cols>
  <sheetData>
    <row r="1" spans="1:6" ht="15.75">
      <c r="A1" s="2080" t="s">
        <v>2583</v>
      </c>
    </row>
    <row r="3" spans="1:6" s="8" customFormat="1" ht="15">
      <c r="A3" s="134" t="s">
        <v>2688</v>
      </c>
    </row>
    <row r="4" spans="1:6">
      <c r="A4" s="1321" t="s">
        <v>2584</v>
      </c>
    </row>
    <row r="5" spans="1:6">
      <c r="B5" s="1627" t="s">
        <v>2438</v>
      </c>
      <c r="C5" s="1444">
        <f xml:space="preserve"> MHDV_Mat_Parameters!C214</f>
        <v>11263.980700433651</v>
      </c>
    </row>
    <row r="7" spans="1:6">
      <c r="A7" s="1321" t="s">
        <v>2585</v>
      </c>
    </row>
    <row r="8" spans="1:6">
      <c r="B8" s="1940" t="s">
        <v>2390</v>
      </c>
      <c r="C8" s="873" t="s">
        <v>2387</v>
      </c>
    </row>
    <row r="9" spans="1:6">
      <c r="B9" s="1860" t="s">
        <v>2391</v>
      </c>
      <c r="C9" s="1944">
        <f xml:space="preserve"> MHDV_Inputs!C175</f>
        <v>0.53035399002713446</v>
      </c>
    </row>
    <row r="10" spans="1:6">
      <c r="B10" s="191" t="s">
        <v>2392</v>
      </c>
      <c r="C10" s="1945">
        <f xml:space="preserve"> MHDV_Inputs!C176</f>
        <v>0.41297932320923209</v>
      </c>
    </row>
    <row r="11" spans="1:6">
      <c r="B11" s="192" t="s">
        <v>2393</v>
      </c>
      <c r="C11" s="1946">
        <f xml:space="preserve"> MHDV_Inputs!C177</f>
        <v>5.6666686763633442E-2</v>
      </c>
    </row>
    <row r="13" spans="1:6">
      <c r="A13" s="2081" t="s">
        <v>1858</v>
      </c>
    </row>
    <row r="14" spans="1:6">
      <c r="B14" s="58"/>
      <c r="C14" s="1956" t="s">
        <v>2387</v>
      </c>
      <c r="D14" s="1859"/>
      <c r="E14" s="1859"/>
      <c r="F14" s="1859"/>
    </row>
    <row r="15" spans="1:6">
      <c r="B15" s="178" t="s">
        <v>2440</v>
      </c>
      <c r="C15" s="595"/>
      <c r="D15" s="1159"/>
      <c r="E15" s="1159"/>
      <c r="F15" s="1159"/>
    </row>
    <row r="16" spans="1:6">
      <c r="B16" s="1949" t="s">
        <v>38</v>
      </c>
      <c r="C16" s="594">
        <f xml:space="preserve"> MHDV_Mat_Parameters!C219</f>
        <v>0.10613413478606952</v>
      </c>
      <c r="D16" s="1159"/>
      <c r="E16" s="727"/>
      <c r="F16" s="1159"/>
    </row>
    <row r="17" spans="2:6">
      <c r="B17" s="1949" t="s">
        <v>2406</v>
      </c>
      <c r="C17" s="594">
        <f xml:space="preserve"> MHDV_Mat_Parameters!C220</f>
        <v>2.2081988982309638E-3</v>
      </c>
      <c r="D17" s="1159"/>
      <c r="E17" s="727"/>
      <c r="F17" s="1159"/>
    </row>
    <row r="18" spans="2:6">
      <c r="B18" s="1949" t="s">
        <v>2405</v>
      </c>
      <c r="C18" s="594">
        <f xml:space="preserve"> MHDV_Mat_Parameters!C221</f>
        <v>0.50526969839142832</v>
      </c>
      <c r="D18" s="1159"/>
      <c r="E18" s="727"/>
      <c r="F18" s="1159"/>
    </row>
    <row r="19" spans="2:6">
      <c r="B19" s="1949" t="s">
        <v>2428</v>
      </c>
      <c r="C19" s="594">
        <f xml:space="preserve"> MHDV_Mat_Parameters!C222</f>
        <v>0.38270362658769846</v>
      </c>
      <c r="D19" s="1159"/>
      <c r="E19" s="727"/>
      <c r="F19" s="1159"/>
    </row>
    <row r="20" spans="2:6">
      <c r="B20" s="1950" t="s">
        <v>61</v>
      </c>
      <c r="C20" s="594">
        <f xml:space="preserve"> MHDV_Mat_Parameters!C223</f>
        <v>3.684341336572776E-3</v>
      </c>
      <c r="D20" s="1159"/>
      <c r="E20" s="727"/>
      <c r="F20" s="1159"/>
    </row>
    <row r="21" spans="2:6">
      <c r="B21" s="178" t="s">
        <v>2441</v>
      </c>
      <c r="C21" s="595"/>
      <c r="D21" s="1159"/>
      <c r="E21" s="1159"/>
      <c r="F21" s="1159"/>
    </row>
    <row r="22" spans="2:6">
      <c r="B22" s="1949" t="s">
        <v>1868</v>
      </c>
      <c r="C22" s="594">
        <f xml:space="preserve"> MHDV_Mat_Parameters!C225</f>
        <v>0</v>
      </c>
      <c r="D22" s="1159"/>
      <c r="E22" s="1159"/>
      <c r="F22" s="1159"/>
    </row>
    <row r="23" spans="2:6">
      <c r="B23" s="1949" t="s">
        <v>38</v>
      </c>
      <c r="C23" s="594">
        <f xml:space="preserve"> MHDV_Mat_Parameters!C226</f>
        <v>0.57726090938050345</v>
      </c>
      <c r="D23" s="1159"/>
      <c r="E23" s="1159"/>
      <c r="F23" s="1159"/>
    </row>
    <row r="24" spans="2:6">
      <c r="B24" s="1949" t="s">
        <v>1869</v>
      </c>
      <c r="C24" s="594">
        <f xml:space="preserve"> MHDV_Mat_Parameters!C227</f>
        <v>0.13515368157799765</v>
      </c>
      <c r="D24" s="1159"/>
      <c r="E24" s="1159"/>
      <c r="F24" s="1159"/>
    </row>
    <row r="25" spans="2:6">
      <c r="B25" s="1949" t="s">
        <v>2406</v>
      </c>
      <c r="C25" s="594">
        <f xml:space="preserve"> MHDV_Mat_Parameters!C228</f>
        <v>8.5988383643863256E-2</v>
      </c>
      <c r="D25" s="1159"/>
      <c r="E25" s="1159"/>
      <c r="F25" s="1159"/>
    </row>
    <row r="26" spans="2:6">
      <c r="B26" s="1949" t="s">
        <v>2405</v>
      </c>
      <c r="C26" s="594">
        <f xml:space="preserve"> MHDV_Mat_Parameters!C229</f>
        <v>1.8515537890128741E-3</v>
      </c>
      <c r="D26" s="1159"/>
      <c r="E26" s="1159"/>
      <c r="F26" s="1159"/>
    </row>
    <row r="27" spans="2:6">
      <c r="B27" s="1949" t="s">
        <v>61</v>
      </c>
      <c r="C27" s="594">
        <f xml:space="preserve"> MHDV_Mat_Parameters!C230</f>
        <v>0.18361746360432646</v>
      </c>
      <c r="D27" s="1159"/>
      <c r="E27" s="1159"/>
      <c r="F27" s="1159"/>
    </row>
    <row r="28" spans="2:6">
      <c r="B28" s="1949" t="s">
        <v>60</v>
      </c>
      <c r="C28" s="594">
        <f xml:space="preserve"> MHDV_Mat_Parameters!C231</f>
        <v>3.8980079768692095E-5</v>
      </c>
      <c r="D28" s="1159"/>
      <c r="E28" s="1159"/>
      <c r="F28" s="1159"/>
    </row>
    <row r="29" spans="2:6">
      <c r="B29" s="1949" t="s">
        <v>2420</v>
      </c>
      <c r="C29" s="594">
        <f xml:space="preserve"> MHDV_Mat_Parameters!C232</f>
        <v>1.6079282904585487E-2</v>
      </c>
      <c r="D29" s="1159"/>
      <c r="E29" s="1159"/>
      <c r="F29" s="1159"/>
    </row>
    <row r="30" spans="2:6">
      <c r="B30" s="1949" t="s">
        <v>2426</v>
      </c>
      <c r="C30" s="594">
        <f xml:space="preserve"> MHDV_Mat_Parameters!C233</f>
        <v>0</v>
      </c>
      <c r="D30" s="1159"/>
      <c r="E30" s="1159"/>
      <c r="F30" s="1159"/>
    </row>
    <row r="31" spans="2:6">
      <c r="B31" s="1950" t="s">
        <v>2442</v>
      </c>
      <c r="C31" s="596">
        <f xml:space="preserve"> MHDV_Mat_Parameters!C234</f>
        <v>9.7450199421730238E-6</v>
      </c>
      <c r="D31" s="1159"/>
      <c r="E31" s="1159"/>
      <c r="F31" s="1159"/>
    </row>
    <row r="32" spans="2:6">
      <c r="B32" s="487" t="s">
        <v>2393</v>
      </c>
      <c r="C32" s="595"/>
      <c r="D32" s="1159"/>
      <c r="E32" s="1159"/>
      <c r="F32" s="1159"/>
    </row>
    <row r="33" spans="1:6">
      <c r="B33" s="1947" t="s">
        <v>38</v>
      </c>
      <c r="C33" s="594">
        <f xml:space="preserve"> MHDV_Mat_Parameters!C236</f>
        <v>0.68911868540139509</v>
      </c>
      <c r="D33" s="1159"/>
      <c r="E33" s="1159"/>
      <c r="F33" s="1159"/>
    </row>
    <row r="34" spans="1:6">
      <c r="B34" s="1947" t="s">
        <v>1868</v>
      </c>
      <c r="C34" s="594">
        <f xml:space="preserve"> MHDV_Mat_Parameters!C237</f>
        <v>4.7938781670560822E-3</v>
      </c>
      <c r="D34" s="1159"/>
      <c r="E34" s="1159"/>
      <c r="F34" s="1159"/>
    </row>
    <row r="35" spans="1:6">
      <c r="B35" s="1947" t="s">
        <v>2405</v>
      </c>
      <c r="C35" s="594">
        <f xml:space="preserve"> MHDV_Mat_Parameters!C238</f>
        <v>6.4541693052918181E-2</v>
      </c>
      <c r="D35" s="1159"/>
      <c r="E35" s="1159"/>
      <c r="F35" s="1159"/>
    </row>
    <row r="36" spans="1:6">
      <c r="B36" s="1947" t="s">
        <v>61</v>
      </c>
      <c r="C36" s="594">
        <f xml:space="preserve"> MHDV_Mat_Parameters!C239</f>
        <v>4.7072379660225934E-2</v>
      </c>
      <c r="D36" s="1159"/>
      <c r="E36" s="1159"/>
      <c r="F36" s="1159"/>
    </row>
    <row r="37" spans="1:6">
      <c r="B37" s="1947" t="s">
        <v>60</v>
      </c>
      <c r="C37" s="594">
        <f xml:space="preserve"> MHDV_Mat_Parameters!C240</f>
        <v>1.1873744615748043E-2</v>
      </c>
      <c r="D37" s="1159"/>
      <c r="E37" s="1159"/>
      <c r="F37" s="1159"/>
    </row>
    <row r="38" spans="1:6">
      <c r="B38" s="1947" t="s">
        <v>52</v>
      </c>
      <c r="C38" s="594">
        <f xml:space="preserve"> MHDV_Mat_Parameters!C241</f>
        <v>1.6680832475197326E-2</v>
      </c>
      <c r="D38" s="1159"/>
      <c r="E38" s="1159"/>
      <c r="F38" s="1159"/>
    </row>
    <row r="39" spans="1:6">
      <c r="B39" s="1947" t="s">
        <v>2424</v>
      </c>
      <c r="C39" s="594">
        <f xml:space="preserve"> MHDV_Mat_Parameters!C242</f>
        <v>7.9631642886098257E-4</v>
      </c>
      <c r="D39" s="1159"/>
      <c r="E39" s="1159"/>
      <c r="F39" s="1159"/>
    </row>
    <row r="40" spans="1:6">
      <c r="B40" s="1948" t="s">
        <v>2407</v>
      </c>
      <c r="C40" s="596">
        <f xml:space="preserve"> MHDV_Mat_Parameters!C243</f>
        <v>0.16512247019859838</v>
      </c>
      <c r="D40" s="1159"/>
      <c r="E40" s="1159"/>
      <c r="F40" s="1159"/>
    </row>
    <row r="42" spans="1:6">
      <c r="A42" s="2081" t="s">
        <v>2586</v>
      </c>
    </row>
    <row r="43" spans="1:6">
      <c r="B43" s="1429" t="s">
        <v>2443</v>
      </c>
      <c r="C43" s="2415" t="s">
        <v>2387</v>
      </c>
      <c r="D43" s="1859"/>
      <c r="E43" s="1859"/>
      <c r="F43" s="1859"/>
    </row>
    <row r="44" spans="1:6">
      <c r="B44" s="2416" t="s">
        <v>38</v>
      </c>
      <c r="C44" s="595">
        <f xml:space="preserve"> MHDV_Mat_Parameters!C247</f>
        <v>0.33373555422158357</v>
      </c>
      <c r="D44" s="1159"/>
      <c r="E44" s="1159"/>
      <c r="F44" s="1159"/>
    </row>
    <row r="45" spans="1:6">
      <c r="B45" s="1949" t="s">
        <v>1868</v>
      </c>
      <c r="C45" s="594">
        <f xml:space="preserve"> MHDV_Mat_Parameters!C248</f>
        <v>2.7165319247558827E-4</v>
      </c>
      <c r="D45" s="1159"/>
      <c r="E45" s="1159"/>
      <c r="F45" s="1159"/>
    </row>
    <row r="46" spans="1:6">
      <c r="B46" s="1949" t="s">
        <v>1869</v>
      </c>
      <c r="C46" s="594">
        <f xml:space="preserve"> MHDV_Mat_Parameters!C249</f>
        <v>5.5815675947317525E-2</v>
      </c>
      <c r="D46" s="1159"/>
      <c r="E46" s="1159"/>
      <c r="F46" s="1159"/>
    </row>
    <row r="47" spans="1:6">
      <c r="B47" s="1949" t="s">
        <v>2406</v>
      </c>
      <c r="C47" s="594">
        <f xml:space="preserve"> MHDV_Mat_Parameters!C250</f>
        <v>3.6682551577548766E-2</v>
      </c>
      <c r="D47" s="1159"/>
      <c r="E47" s="1159"/>
      <c r="F47" s="1159"/>
    </row>
    <row r="48" spans="1:6">
      <c r="B48" s="1949" t="s">
        <v>2405</v>
      </c>
      <c r="C48" s="594">
        <f xml:space="preserve"> MHDV_Mat_Parameters!C251</f>
        <v>0.27239381791579714</v>
      </c>
      <c r="D48" s="1159"/>
      <c r="E48" s="1159"/>
      <c r="F48" s="1159"/>
    </row>
    <row r="49" spans="1:6">
      <c r="B49" s="1949" t="s">
        <v>61</v>
      </c>
      <c r="C49" s="594">
        <f xml:space="preserve"> MHDV_Mat_Parameters!C252</f>
        <v>8.045165677060867E-2</v>
      </c>
      <c r="D49" s="1159"/>
      <c r="E49" s="1159"/>
      <c r="F49" s="1159"/>
    </row>
    <row r="50" spans="1:6">
      <c r="B50" s="1949" t="s">
        <v>60</v>
      </c>
      <c r="C50" s="594">
        <f xml:space="preserve"> MHDV_Mat_Parameters!C253</f>
        <v>6.8894373381348981E-4</v>
      </c>
      <c r="D50" s="1159"/>
      <c r="E50" s="1159"/>
      <c r="F50" s="1159"/>
    </row>
    <row r="51" spans="1:6">
      <c r="B51" s="1949" t="s">
        <v>2428</v>
      </c>
      <c r="C51" s="594">
        <f xml:space="preserve"> MHDV_Mat_Parameters!C254</f>
        <v>0.20296839535864042</v>
      </c>
      <c r="D51" s="1159"/>
      <c r="E51" s="1159"/>
      <c r="F51" s="1159"/>
    </row>
    <row r="52" spans="1:6">
      <c r="B52" s="1949" t="s">
        <v>2413</v>
      </c>
      <c r="C52" s="594">
        <f xml:space="preserve"> MHDV_Mat_Parameters!C255</f>
        <v>9.9037212246765169E-4</v>
      </c>
      <c r="D52" s="1159"/>
      <c r="E52" s="1159"/>
      <c r="F52" s="1159"/>
    </row>
    <row r="53" spans="1:6">
      <c r="B53" s="1949" t="s">
        <v>2407</v>
      </c>
      <c r="C53" s="594">
        <f xml:space="preserve"> MHDV_Mat_Parameters!C256</f>
        <v>9.3569432963813721E-3</v>
      </c>
      <c r="D53" s="1159"/>
      <c r="E53" s="1159"/>
      <c r="F53" s="1159"/>
    </row>
    <row r="54" spans="1:6">
      <c r="B54" s="1949" t="s">
        <v>2426</v>
      </c>
      <c r="C54" s="594">
        <f xml:space="preserve"> MHDV_Mat_Parameters!C257</f>
        <v>0</v>
      </c>
      <c r="D54" s="1159"/>
      <c r="E54" s="1159"/>
      <c r="F54" s="1159"/>
    </row>
    <row r="55" spans="1:6">
      <c r="B55" s="1949" t="s">
        <v>2442</v>
      </c>
      <c r="C55" s="594">
        <f xml:space="preserve"> MHDV_Mat_Parameters!C258</f>
        <v>4.0244917403790856E-6</v>
      </c>
      <c r="D55" s="1159"/>
      <c r="E55" s="1159"/>
      <c r="F55" s="1159"/>
    </row>
    <row r="56" spans="1:6">
      <c r="B56" s="1950" t="s">
        <v>2420</v>
      </c>
      <c r="C56" s="596">
        <f xml:space="preserve"> MHDV_Mat_Parameters!C259</f>
        <v>6.6404113716254896E-3</v>
      </c>
      <c r="D56" s="1159"/>
      <c r="E56" s="1159"/>
      <c r="F56" s="1159"/>
    </row>
    <row r="58" spans="1:6">
      <c r="A58" s="2081" t="s">
        <v>2587</v>
      </c>
    </row>
    <row r="59" spans="1:6">
      <c r="B59" s="1886" t="s">
        <v>2352</v>
      </c>
      <c r="C59" s="1887" t="s">
        <v>2353</v>
      </c>
      <c r="D59" s="1888" t="s">
        <v>2382</v>
      </c>
    </row>
    <row r="60" spans="1:6">
      <c r="B60" s="1890" t="s">
        <v>2383</v>
      </c>
      <c r="C60" s="2417">
        <f xml:space="preserve"> MHDV_Inputs!C153</f>
        <v>10</v>
      </c>
      <c r="D60" s="2418">
        <f xml:space="preserve"> MHDV_Inputs!D153</f>
        <v>8</v>
      </c>
    </row>
    <row r="62" spans="1:6">
      <c r="A62" s="1321" t="s">
        <v>2588</v>
      </c>
    </row>
    <row r="63" spans="1:6">
      <c r="B63" s="1891"/>
      <c r="C63" s="1932" t="s">
        <v>2491</v>
      </c>
      <c r="D63" s="1859"/>
      <c r="E63" s="1859"/>
      <c r="F63" s="1859"/>
    </row>
    <row r="64" spans="1:6">
      <c r="B64" s="2419" t="s">
        <v>2383</v>
      </c>
      <c r="C64" s="2420">
        <f xml:space="preserve"> MHDV_Inputs!C157</f>
        <v>120</v>
      </c>
      <c r="D64" s="1935"/>
      <c r="E64" s="1935"/>
      <c r="F64" s="1935"/>
    </row>
    <row r="66" spans="1:14">
      <c r="A66" s="2081" t="s">
        <v>1864</v>
      </c>
      <c r="B66" s="2081"/>
    </row>
    <row r="67" spans="1:14">
      <c r="A67" s="2943" t="s">
        <v>61</v>
      </c>
      <c r="B67" s="2943" t="s">
        <v>38</v>
      </c>
      <c r="C67" s="8"/>
      <c r="D67" s="8"/>
      <c r="E67" s="8"/>
      <c r="F67" s="8"/>
      <c r="G67" s="8"/>
      <c r="H67" s="8"/>
      <c r="I67" s="8"/>
      <c r="J67" s="8"/>
      <c r="K67" s="8"/>
      <c r="L67" s="8"/>
      <c r="M67" s="8"/>
    </row>
    <row r="68" spans="1:14">
      <c r="A68" s="2944">
        <f xml:space="preserve"> MHDV_Mat_Parameters!B169</f>
        <v>0.66700000000000004</v>
      </c>
      <c r="B68" s="2944">
        <f xml:space="preserve"> MHDV_Mat_Parameters!C169</f>
        <v>0.33299999999999996</v>
      </c>
      <c r="C68" s="8"/>
      <c r="D68" s="8"/>
      <c r="E68" s="8"/>
      <c r="F68" s="8"/>
      <c r="G68" s="8"/>
      <c r="H68" s="8"/>
      <c r="I68" s="8"/>
      <c r="J68" s="8"/>
      <c r="K68" s="8"/>
      <c r="L68" s="8"/>
      <c r="M68" s="8"/>
    </row>
    <row r="69" spans="1:14">
      <c r="A69" s="8"/>
      <c r="B69" s="8"/>
      <c r="C69" s="8"/>
      <c r="D69" s="8"/>
      <c r="E69" s="8"/>
      <c r="F69" s="8"/>
      <c r="G69" s="8"/>
      <c r="H69" s="8"/>
      <c r="I69" s="8"/>
      <c r="J69" s="8"/>
      <c r="K69" s="8"/>
      <c r="L69" s="8"/>
      <c r="M69" s="8"/>
    </row>
    <row r="70" spans="1:14">
      <c r="A70" s="8" t="s">
        <v>2689</v>
      </c>
      <c r="B70" s="8"/>
      <c r="C70" s="8"/>
      <c r="D70" s="8"/>
      <c r="E70" s="8"/>
      <c r="F70" s="8"/>
      <c r="G70" s="8"/>
      <c r="H70" s="8"/>
      <c r="I70" s="8"/>
      <c r="J70" s="8"/>
      <c r="K70" s="8"/>
      <c r="L70" s="8"/>
      <c r="M70" s="8"/>
    </row>
    <row r="71" spans="1:14" ht="25.5">
      <c r="A71" s="393"/>
      <c r="B71" s="1539" t="s">
        <v>157</v>
      </c>
      <c r="C71" s="1539" t="s">
        <v>2339</v>
      </c>
      <c r="D71" s="1539" t="s">
        <v>2673</v>
      </c>
      <c r="E71" s="1539" t="s">
        <v>2341</v>
      </c>
      <c r="F71" s="1541" t="s">
        <v>2342</v>
      </c>
      <c r="G71" s="1541" t="s">
        <v>2674</v>
      </c>
      <c r="H71" s="1541" t="s">
        <v>158</v>
      </c>
      <c r="I71" s="1541" t="s">
        <v>159</v>
      </c>
      <c r="J71" s="1539" t="s">
        <v>160</v>
      </c>
      <c r="K71" s="1539" t="s">
        <v>161</v>
      </c>
      <c r="L71" s="1541" t="s">
        <v>2344</v>
      </c>
      <c r="M71" s="1539" t="s">
        <v>162</v>
      </c>
      <c r="N71" s="1939" t="s">
        <v>163</v>
      </c>
    </row>
    <row r="72" spans="1:14">
      <c r="A72" s="1617" t="s">
        <v>2387</v>
      </c>
      <c r="B72" s="2945">
        <f xml:space="preserve"> MHDV_Inputs!C161</f>
        <v>0</v>
      </c>
      <c r="C72" s="2945">
        <f xml:space="preserve"> MHDV_Inputs!D161</f>
        <v>0</v>
      </c>
      <c r="D72" s="2945">
        <f xml:space="preserve"> MHDV_Inputs!E161</f>
        <v>45.181609883549996</v>
      </c>
      <c r="E72" s="2945">
        <f xml:space="preserve"> MHDV_Inputs!F161</f>
        <v>0</v>
      </c>
      <c r="F72" s="2945">
        <f xml:space="preserve"> MHDV_Inputs!G161</f>
        <v>0</v>
      </c>
      <c r="G72" s="2945">
        <f xml:space="preserve"> MHDV_Inputs!H161</f>
        <v>38.01</v>
      </c>
      <c r="H72" s="2945">
        <f xml:space="preserve"> MHDV_Inputs!I161</f>
        <v>0</v>
      </c>
      <c r="I72" s="2945">
        <f xml:space="preserve"> MHDV_Inputs!J161</f>
        <v>0</v>
      </c>
      <c r="J72" s="2945">
        <f xml:space="preserve"> MHDV_Inputs!K161</f>
        <v>0</v>
      </c>
      <c r="K72" s="2945">
        <f xml:space="preserve"> MHDV_Inputs!L161</f>
        <v>0</v>
      </c>
      <c r="L72" s="2945">
        <f xml:space="preserve"> MHDV_Inputs!M161</f>
        <v>0</v>
      </c>
      <c r="M72" s="2945">
        <f xml:space="preserve"> MHDV_Inputs!N161</f>
        <v>0</v>
      </c>
      <c r="N72" s="2421">
        <f xml:space="preserve"> MHDV_Inputs!O161</f>
        <v>0</v>
      </c>
    </row>
    <row r="73" spans="1:14">
      <c r="A73" s="8"/>
      <c r="B73" s="8"/>
      <c r="C73" s="8"/>
      <c r="D73" s="8"/>
      <c r="E73" s="8"/>
      <c r="F73" s="8"/>
      <c r="G73" s="8"/>
      <c r="H73" s="8"/>
      <c r="I73" s="8"/>
      <c r="J73" s="8"/>
      <c r="K73" s="8"/>
      <c r="L73" s="8"/>
      <c r="M73" s="8"/>
    </row>
    <row r="74" spans="1:14">
      <c r="A74" s="8" t="s">
        <v>2691</v>
      </c>
      <c r="B74" s="8"/>
      <c r="C74" s="8"/>
      <c r="D74" s="8"/>
      <c r="E74" s="8"/>
      <c r="F74" s="8"/>
      <c r="G74" s="8"/>
      <c r="H74" s="8"/>
      <c r="I74" s="8"/>
      <c r="J74" s="8"/>
      <c r="K74" s="8"/>
      <c r="L74" s="8"/>
      <c r="M74" s="8"/>
    </row>
    <row r="75" spans="1:14">
      <c r="A75" s="8"/>
      <c r="B75" s="8"/>
      <c r="C75" s="8"/>
      <c r="D75" s="8"/>
      <c r="E75" s="8"/>
      <c r="F75" s="8"/>
      <c r="G75" s="8"/>
      <c r="H75" s="8"/>
      <c r="I75" s="8"/>
      <c r="J75" s="8"/>
      <c r="K75" s="8"/>
      <c r="L75" s="8"/>
      <c r="M75" s="8"/>
    </row>
    <row r="76" spans="1:14" ht="25.5">
      <c r="A76" s="1538" t="s">
        <v>157</v>
      </c>
      <c r="B76" s="1539" t="s">
        <v>2339</v>
      </c>
      <c r="C76" s="1539" t="s">
        <v>2673</v>
      </c>
      <c r="D76" s="1539" t="s">
        <v>2690</v>
      </c>
      <c r="E76" s="1541" t="s">
        <v>2342</v>
      </c>
      <c r="F76" s="1541" t="s">
        <v>2674</v>
      </c>
      <c r="G76" s="1541" t="s">
        <v>158</v>
      </c>
      <c r="H76" s="1541" t="s">
        <v>159</v>
      </c>
      <c r="I76" s="1539" t="s">
        <v>160</v>
      </c>
      <c r="J76" s="1539" t="s">
        <v>161</v>
      </c>
      <c r="K76" s="1541" t="s">
        <v>2344</v>
      </c>
      <c r="L76" s="1539" t="s">
        <v>162</v>
      </c>
      <c r="M76" s="2843" t="s">
        <v>163</v>
      </c>
    </row>
    <row r="77" spans="1:14">
      <c r="A77" s="2844">
        <f xml:space="preserve"> MHDV_Inputs!B165</f>
        <v>0</v>
      </c>
      <c r="B77" s="2845">
        <f xml:space="preserve"> MHDV_Inputs!C165</f>
        <v>0</v>
      </c>
      <c r="C77" s="2845">
        <f xml:space="preserve"> MHDV_Inputs!D165</f>
        <v>1</v>
      </c>
      <c r="D77" s="2845">
        <f xml:space="preserve"> MHDV_Inputs!E165</f>
        <v>0</v>
      </c>
      <c r="E77" s="2845">
        <f xml:space="preserve"> MHDV_Inputs!F165</f>
        <v>0</v>
      </c>
      <c r="F77" s="2845">
        <f xml:space="preserve"> MHDV_Inputs!G165</f>
        <v>1</v>
      </c>
      <c r="G77" s="2845">
        <f xml:space="preserve"> MHDV_Inputs!H165</f>
        <v>0</v>
      </c>
      <c r="H77" s="2845">
        <f xml:space="preserve"> MHDV_Inputs!I165</f>
        <v>0</v>
      </c>
      <c r="I77" s="2845">
        <f xml:space="preserve"> MHDV_Inputs!J165</f>
        <v>0</v>
      </c>
      <c r="J77" s="2845">
        <f xml:space="preserve"> MHDV_Inputs!K165</f>
        <v>0</v>
      </c>
      <c r="K77" s="2845">
        <f xml:space="preserve"> MHDV_Inputs!L165</f>
        <v>0</v>
      </c>
      <c r="L77" s="2845">
        <f xml:space="preserve"> MHDV_Inputs!M165</f>
        <v>0</v>
      </c>
      <c r="M77" s="2846">
        <f xml:space="preserve"> MHDV_Inputs!N165</f>
        <v>0</v>
      </c>
    </row>
    <row r="78" spans="1:14">
      <c r="A78" s="8"/>
      <c r="B78" s="8"/>
      <c r="C78" s="8"/>
      <c r="D78" s="8"/>
      <c r="E78" s="8"/>
      <c r="F78" s="8"/>
      <c r="G78" s="8"/>
      <c r="H78" s="8"/>
      <c r="I78" s="8"/>
      <c r="J78" s="8"/>
      <c r="K78" s="8"/>
      <c r="L78" s="8"/>
      <c r="M78" s="8"/>
    </row>
    <row r="79" spans="1:14" ht="15">
      <c r="A79" s="134" t="s">
        <v>2589</v>
      </c>
      <c r="B79" s="8"/>
      <c r="C79" s="8"/>
      <c r="D79" s="8"/>
      <c r="E79" s="8"/>
      <c r="F79" s="8"/>
      <c r="G79" s="8"/>
      <c r="H79" s="8"/>
      <c r="I79" s="8"/>
      <c r="J79" s="8"/>
      <c r="K79" s="8"/>
      <c r="L79" s="8"/>
      <c r="M79" s="8"/>
    </row>
    <row r="80" spans="1:14">
      <c r="A80" s="293"/>
      <c r="B80" s="238" t="s">
        <v>1875</v>
      </c>
      <c r="C80" s="1497"/>
      <c r="D80" s="1497"/>
      <c r="E80" s="1497"/>
      <c r="F80" s="1497"/>
      <c r="G80" s="1497"/>
      <c r="H80" s="3007" t="s">
        <v>1876</v>
      </c>
      <c r="I80" s="3005"/>
      <c r="J80" s="3005"/>
      <c r="K80" s="3005"/>
      <c r="L80" s="3006"/>
      <c r="M80" s="8"/>
    </row>
    <row r="81" spans="1:16">
      <c r="A81" s="292"/>
      <c r="B81" s="2946" t="s">
        <v>2590</v>
      </c>
      <c r="C81" s="2947" t="s">
        <v>2591</v>
      </c>
      <c r="D81" s="2947" t="s">
        <v>2393</v>
      </c>
      <c r="E81" s="2947" t="s">
        <v>2592</v>
      </c>
      <c r="F81" s="2947" t="s">
        <v>2593</v>
      </c>
      <c r="G81" s="2948" t="s">
        <v>1894</v>
      </c>
      <c r="H81" s="2949" t="s">
        <v>2590</v>
      </c>
      <c r="I81" s="2950" t="s">
        <v>2591</v>
      </c>
      <c r="J81" s="2950" t="s">
        <v>2393</v>
      </c>
      <c r="K81" s="2950" t="s">
        <v>2592</v>
      </c>
      <c r="L81" s="2951" t="s">
        <v>2593</v>
      </c>
      <c r="M81" s="8"/>
    </row>
    <row r="82" spans="1:16">
      <c r="A82" s="293" t="s">
        <v>2594</v>
      </c>
      <c r="B82" s="135"/>
      <c r="C82" s="1608"/>
      <c r="D82" s="1608"/>
      <c r="E82" s="1608"/>
      <c r="F82" s="1608"/>
      <c r="G82" s="525"/>
      <c r="H82" s="135"/>
      <c r="I82" s="1608"/>
      <c r="J82" s="1608"/>
      <c r="K82" s="1608"/>
      <c r="L82" s="525"/>
      <c r="M82" s="8"/>
    </row>
    <row r="83" spans="1:16">
      <c r="A83" s="490" t="s">
        <v>38</v>
      </c>
      <c r="B83" s="650">
        <f xml:space="preserve"> C16*$C$9*$C$5</f>
        <v>634.03440086533544</v>
      </c>
      <c r="C83" s="522">
        <f xml:space="preserve"> ($C$5*$C$10*C23)+($C$60*$D$60*$C$64*$B$68)</f>
        <v>5882.0971758201013</v>
      </c>
      <c r="D83" s="2620">
        <f t="array" ref="D83" xml:space="preserve"> ($C$5*$C$11*C33)</f>
        <v>439.85926511500844</v>
      </c>
      <c r="E83" s="8"/>
      <c r="F83" s="8"/>
      <c r="G83" s="159">
        <f xml:space="preserve"> SUM(B83:D83)</f>
        <v>6955.9908418004452</v>
      </c>
      <c r="H83" s="2952"/>
      <c r="I83" s="1392"/>
      <c r="J83" s="1392"/>
      <c r="K83" s="8"/>
      <c r="L83" s="140"/>
      <c r="M83" s="8"/>
    </row>
    <row r="84" spans="1:16">
      <c r="A84" s="490" t="s">
        <v>1868</v>
      </c>
      <c r="B84" s="160"/>
      <c r="C84" s="522">
        <f xml:space="preserve"> ($C$5*$C$10*C22)</f>
        <v>0</v>
      </c>
      <c r="D84" s="2620">
        <f t="array" ref="D84" xml:space="preserve"> ($C$5*$C$11*C34)</f>
        <v>3.0598963172562135</v>
      </c>
      <c r="E84" s="8"/>
      <c r="F84" s="8"/>
      <c r="G84" s="159">
        <f t="shared" ref="G84:G95" si="0" xml:space="preserve"> SUM(B84:D84)</f>
        <v>3.0598963172562135</v>
      </c>
      <c r="H84" s="2952"/>
      <c r="I84" s="1392"/>
      <c r="J84" s="1392"/>
      <c r="K84" s="8"/>
      <c r="L84" s="140"/>
      <c r="M84" s="8"/>
    </row>
    <row r="85" spans="1:16">
      <c r="A85" s="490" t="s">
        <v>1869</v>
      </c>
      <c r="B85" s="160"/>
      <c r="C85" s="522">
        <f xml:space="preserve"> ($C$5*$C$10*C24)</f>
        <v>628.70669665224329</v>
      </c>
      <c r="D85" s="8"/>
      <c r="E85" s="8"/>
      <c r="F85" s="8"/>
      <c r="G85" s="159">
        <f t="shared" si="0"/>
        <v>628.70669665224329</v>
      </c>
      <c r="H85" s="2952"/>
      <c r="I85" s="1392"/>
      <c r="J85" s="1392"/>
      <c r="K85" s="8"/>
      <c r="L85" s="140"/>
      <c r="M85" s="8"/>
    </row>
    <row r="86" spans="1:16">
      <c r="A86" s="490" t="s">
        <v>2406</v>
      </c>
      <c r="B86" s="650">
        <f xml:space="preserve"> C17*$C$9*$C$5</f>
        <v>13.191553012171234</v>
      </c>
      <c r="C86" s="522">
        <f xml:space="preserve"> ($C$5*$C$10*C25)</f>
        <v>400</v>
      </c>
      <c r="D86" s="8"/>
      <c r="E86" s="8"/>
      <c r="F86" s="8"/>
      <c r="G86" s="159">
        <f t="shared" si="0"/>
        <v>413.19155301217125</v>
      </c>
      <c r="H86" s="2952"/>
      <c r="I86" s="1392"/>
      <c r="J86" s="1392"/>
      <c r="K86" s="8"/>
      <c r="L86" s="140"/>
      <c r="M86" s="8"/>
    </row>
    <row r="87" spans="1:16">
      <c r="A87" s="490" t="s">
        <v>2405</v>
      </c>
      <c r="B87" s="650">
        <f xml:space="preserve"> C18*$C$9*$C$5</f>
        <v>3018.4291900127332</v>
      </c>
      <c r="C87" s="522">
        <f xml:space="preserve"> ($C$5*$C$10*C26)</f>
        <v>8.613041485610081</v>
      </c>
      <c r="D87" s="2620">
        <f t="array" ref="D87" xml:space="preserve"> ($C$5*$C$11*C35)</f>
        <v>41.196476422633893</v>
      </c>
      <c r="E87" s="8"/>
      <c r="F87" s="8"/>
      <c r="G87" s="159">
        <f t="shared" si="0"/>
        <v>3068.2387079209775</v>
      </c>
      <c r="H87" s="2952"/>
      <c r="I87" s="1392"/>
      <c r="J87" s="1392"/>
      <c r="K87" s="8"/>
      <c r="L87" s="140"/>
      <c r="M87" s="8"/>
    </row>
    <row r="88" spans="1:16">
      <c r="A88" s="490" t="s">
        <v>61</v>
      </c>
      <c r="B88" s="650">
        <f xml:space="preserve"> C20*$C$9*$C$5</f>
        <v>22.00987605567137</v>
      </c>
      <c r="C88" s="522">
        <f xml:space="preserve"> ($C$5*$C$10*C27)+($C$60*$D$60*$C$64*$A$68)</f>
        <v>7257.3500878295945</v>
      </c>
      <c r="D88" s="2620">
        <f t="array" ref="D88" xml:space="preserve"> ($C$5*$C$11*C36)</f>
        <v>30.045945296783465</v>
      </c>
      <c r="E88" s="8"/>
      <c r="F88" s="8"/>
      <c r="G88" s="159">
        <f t="shared" si="0"/>
        <v>7309.4059091820491</v>
      </c>
      <c r="H88" s="2952"/>
      <c r="I88" s="1392"/>
      <c r="J88" s="1392"/>
      <c r="K88" s="8"/>
      <c r="L88" s="140"/>
      <c r="M88" s="8"/>
    </row>
    <row r="89" spans="1:16">
      <c r="A89" s="490" t="s">
        <v>60</v>
      </c>
      <c r="B89" s="160"/>
      <c r="C89" s="522">
        <f xml:space="preserve"> ($C$5*$C$10*C28)</f>
        <v>0.18132718917073859</v>
      </c>
      <c r="D89" s="2620">
        <f t="array" ref="D89" xml:space="preserve"> ($C$5*$C$11*C37)</f>
        <v>7.5789217321891087</v>
      </c>
      <c r="E89" s="2620"/>
      <c r="F89" s="8"/>
      <c r="G89" s="159">
        <f t="shared" si="0"/>
        <v>7.7602489213598469</v>
      </c>
      <c r="H89" s="2952"/>
      <c r="I89" s="1392"/>
      <c r="J89" s="1392"/>
      <c r="K89" s="8"/>
      <c r="L89" s="140"/>
      <c r="M89" s="8"/>
    </row>
    <row r="90" spans="1:16">
      <c r="A90" s="490" t="s">
        <v>2428</v>
      </c>
      <c r="B90" s="650">
        <f xml:space="preserve"> C19*$C$9*$C$5</f>
        <v>2286.2320881177125</v>
      </c>
      <c r="C90" s="8"/>
      <c r="D90" s="8"/>
      <c r="E90" s="8"/>
      <c r="F90" s="8"/>
      <c r="G90" s="159">
        <f t="shared" si="0"/>
        <v>2286.2320881177125</v>
      </c>
      <c r="H90" s="2952"/>
      <c r="I90" s="1392"/>
      <c r="J90" s="1392"/>
      <c r="K90" s="8"/>
      <c r="L90" s="140"/>
      <c r="M90" s="8"/>
    </row>
    <row r="91" spans="1:16">
      <c r="A91" s="490" t="s">
        <v>2413</v>
      </c>
      <c r="B91" s="160"/>
      <c r="C91" s="8"/>
      <c r="D91" s="2620">
        <f xml:space="preserve"> ($C$5*$C$11*C38)+ ($C$5*$C$11*C39)</f>
        <v>11.155532473723138</v>
      </c>
      <c r="E91" s="8"/>
      <c r="F91" s="8"/>
      <c r="G91" s="159">
        <f t="shared" si="0"/>
        <v>11.155532473723138</v>
      </c>
      <c r="H91" s="2952"/>
      <c r="I91" s="1392"/>
      <c r="J91" s="1392"/>
      <c r="K91" s="8"/>
      <c r="L91" s="140"/>
      <c r="M91" s="8"/>
    </row>
    <row r="92" spans="1:16">
      <c r="A92" s="490" t="s">
        <v>2407</v>
      </c>
      <c r="B92" s="160"/>
      <c r="C92" s="8"/>
      <c r="D92" s="2620">
        <f t="array" ref="D92" xml:space="preserve"> ($C$5*$C$11*C40)</f>
        <v>105.3964287054918</v>
      </c>
      <c r="E92" s="8"/>
      <c r="F92" s="8"/>
      <c r="G92" s="159">
        <f t="shared" si="0"/>
        <v>105.3964287054918</v>
      </c>
      <c r="H92" s="2952"/>
      <c r="I92" s="1392"/>
      <c r="J92" s="1392"/>
      <c r="K92" s="8"/>
      <c r="L92" s="140"/>
      <c r="M92" s="8"/>
    </row>
    <row r="93" spans="1:16">
      <c r="A93" s="490" t="s">
        <v>2426</v>
      </c>
      <c r="B93" s="160"/>
      <c r="C93" s="522">
        <f xml:space="preserve"> ($C$5*$C$10*C30)</f>
        <v>0</v>
      </c>
      <c r="D93" s="8"/>
      <c r="E93" s="8"/>
      <c r="F93" s="8"/>
      <c r="G93" s="159">
        <f t="shared" si="0"/>
        <v>0</v>
      </c>
      <c r="H93" s="2952"/>
      <c r="I93" s="1392"/>
      <c r="J93" s="1392"/>
      <c r="K93" s="8"/>
      <c r="L93" s="140"/>
      <c r="M93" s="8"/>
    </row>
    <row r="94" spans="1:16">
      <c r="A94" s="490" t="s">
        <v>2442</v>
      </c>
      <c r="B94" s="160"/>
      <c r="C94" s="522">
        <f xml:space="preserve"> ($C$5*$C$10*C31)</f>
        <v>4.5331797292684647E-2</v>
      </c>
      <c r="D94" s="8"/>
      <c r="E94" s="8"/>
      <c r="F94" s="8"/>
      <c r="G94" s="159">
        <f t="shared" si="0"/>
        <v>4.5331797292684647E-2</v>
      </c>
      <c r="H94" s="2952"/>
      <c r="I94" s="1392"/>
      <c r="J94" s="1392"/>
      <c r="K94" s="8"/>
      <c r="L94" s="140"/>
      <c r="M94" s="8"/>
    </row>
    <row r="95" spans="1:16">
      <c r="A95" s="647" t="s">
        <v>2420</v>
      </c>
      <c r="B95" s="161"/>
      <c r="C95" s="138">
        <f xml:space="preserve"> ($C$5*$C$10*C29)</f>
        <v>74.797465532929664</v>
      </c>
      <c r="D95" s="548"/>
      <c r="E95" s="548"/>
      <c r="F95" s="548"/>
      <c r="G95" s="139">
        <f t="shared" si="0"/>
        <v>74.797465532929664</v>
      </c>
      <c r="H95" s="2953"/>
      <c r="I95" s="1402"/>
      <c r="J95" s="1402"/>
      <c r="K95" s="548"/>
      <c r="L95" s="136"/>
      <c r="M95" s="8"/>
    </row>
    <row r="96" spans="1:16">
      <c r="A96" s="293" t="s">
        <v>1877</v>
      </c>
      <c r="B96" s="2422"/>
      <c r="C96" s="871"/>
      <c r="D96" s="392"/>
      <c r="E96" s="392"/>
      <c r="F96" s="1608"/>
      <c r="G96" s="394"/>
      <c r="H96" s="135"/>
      <c r="I96" s="1608"/>
      <c r="J96" s="871"/>
      <c r="K96" s="871"/>
      <c r="L96" s="872"/>
      <c r="M96" s="446"/>
      <c r="N96" s="439"/>
      <c r="O96" s="439"/>
      <c r="P96" s="439"/>
    </row>
    <row r="97" spans="1:16">
      <c r="A97" s="291" t="s">
        <v>816</v>
      </c>
      <c r="B97" s="347">
        <f ca="1" xml:space="preserve"> ($C$5*$C$9*((C$16*Mat_Sum!$D15)+(C$17*Mat_Sum!$L15)+(C$18*Mat_Sum!$I15)+(C$19*0)+(C$20*Mat_Sum!$AV15)))</f>
        <v>167.10249478974009</v>
      </c>
      <c r="C97" s="621">
        <f ca="1">($C$5*$C$10*((C$22*Mat_Sum!$E15)+(C$23*Mat_Sum!$D15)+(C$24*Mat_Sum!$F15)+(C$25*Mat_Sum!$L15)+(C$26*Mat_Sum!$I15)+(C$27*Mat_Sum!$AV15)+(C$28*Mat_Sum!$AR15)+(C$29*0)+(C$30*0)+(C$31*Mat_Sum!$E15)))+(($C$60*$D$60*$C$64*((($A$68*Mat_Sum!$AV15)+($B$68*Mat_Sum!$D15)))))</f>
        <v>259.2883708912932</v>
      </c>
      <c r="D97" s="621">
        <f ca="1" xml:space="preserve"> ($C$5*$C$11*((C$33*Mat_Sum!$D15)+(C$34*Mat_Sum!$E15)+(C$35*Mat_Sum!$I15)+(C$36*Mat_Sum!$AV15)+(C$37*Mat_Sum!$AR15)+(C$38*Mat_Sum!$AG15)+(C$39*Mat_Sum!$AG15)+(C$40*Mat_Sum!$AS15)))</f>
        <v>12.585336417236974</v>
      </c>
      <c r="E97" s="621">
        <f xml:space="preserve"> IF(MHDV_Inputs!$B$3=1,0,MHDV_Trailer_Fluids!B100)</f>
        <v>3.8230235033704547</v>
      </c>
      <c r="F97" s="1125">
        <f xml:space="preserve"> MHDV_Trailer_ADR!J106</f>
        <v>21.967306172327689</v>
      </c>
      <c r="G97" s="348">
        <f ca="1" xml:space="preserve"> SUM(B97:F97)</f>
        <v>464.76653177396844</v>
      </c>
      <c r="H97" s="1021">
        <f t="shared" ref="H97:L102" ca="1" si="1" xml:space="preserve"> IF($G97=0,0%,B97/$G97)</f>
        <v>0.35954072284836475</v>
      </c>
      <c r="I97" s="302">
        <f t="shared" ca="1" si="1"/>
        <v>0.55788950616046906</v>
      </c>
      <c r="J97" s="302">
        <f t="shared" ca="1" si="1"/>
        <v>2.7078835408393058E-2</v>
      </c>
      <c r="K97" s="302">
        <f t="shared" ca="1" si="1"/>
        <v>8.2256858917494503E-3</v>
      </c>
      <c r="L97" s="593">
        <f t="shared" ca="1" si="1"/>
        <v>4.7265249691023636E-2</v>
      </c>
      <c r="M97" s="382"/>
      <c r="N97" s="382"/>
      <c r="O97" s="382"/>
      <c r="P97" s="382"/>
    </row>
    <row r="98" spans="1:16">
      <c r="A98" s="291" t="s">
        <v>817</v>
      </c>
      <c r="B98" s="347">
        <f ca="1" xml:space="preserve"> ($C$5*$C$9*((C$16*Mat_Sum!$D16)+(C$17*Mat_Sum!$L16)+(C$18*Mat_Sum!$I16)+(C$19*0)+(C$20*Mat_Sum!$AV16)))</f>
        <v>108.76558054209886</v>
      </c>
      <c r="C98" s="621">
        <f ca="1">($C$5*$C$10*((C$22*Mat_Sum!$E16)+(C$23*Mat_Sum!$D16)+(C$24*Mat_Sum!$F16)+(C$25*Mat_Sum!$L16)+(C$26*Mat_Sum!$I16)+(C$27*Mat_Sum!$AV16)+(C$28*Mat_Sum!$AR16)+(C$29*0)+(C$30*0)+(C$31*Mat_Sum!$E16)))+(($C$60*$D$60*$C$64*((($A$68*Mat_Sum!$AV16)+($B$68*Mat_Sum!$D16)))))</f>
        <v>247.8816201877159</v>
      </c>
      <c r="D98" s="621">
        <f ca="1" xml:space="preserve"> ($C$5*$C$11*((C$33*Mat_Sum!$D16)+(C$34*Mat_Sum!$E16)+(C$35*Mat_Sum!$I16)+(C$36*Mat_Sum!$AV16)+(C$37*Mat_Sum!$AR16)+(C$38*Mat_Sum!$AG16)+(C$39*Mat_Sum!$AG16)+(C$40*Mat_Sum!$AS16)))</f>
        <v>11.131062907972535</v>
      </c>
      <c r="E98" s="621">
        <f xml:space="preserve"> IF(MHDV_Inputs!$B$3=1,0,MHDV_Trailer_Fluids!B101)</f>
        <v>3.8030410903320337</v>
      </c>
      <c r="F98" s="1125">
        <f xml:space="preserve"> MHDV_Trailer_ADR!J107</f>
        <v>18.607822911470599</v>
      </c>
      <c r="G98" s="348">
        <f t="shared" ref="G98:G125" ca="1" si="2" xml:space="preserve"> SUM(B98:F98)</f>
        <v>390.18912763958991</v>
      </c>
      <c r="H98" s="1021">
        <f t="shared" ca="1" si="1"/>
        <v>0.27875092573713001</v>
      </c>
      <c r="I98" s="302">
        <f t="shared" ca="1" si="1"/>
        <v>0.63528582071789375</v>
      </c>
      <c r="J98" s="302">
        <f t="shared" ca="1" si="1"/>
        <v>2.8527352813003237E-2</v>
      </c>
      <c r="K98" s="302">
        <f t="shared" ca="1" si="1"/>
        <v>9.7466608394194635E-3</v>
      </c>
      <c r="L98" s="593">
        <f t="shared" ca="1" si="1"/>
        <v>4.7689239892553546E-2</v>
      </c>
      <c r="M98" s="382"/>
      <c r="N98" s="382"/>
      <c r="O98" s="382"/>
      <c r="P98" s="382"/>
    </row>
    <row r="99" spans="1:16">
      <c r="A99" s="291" t="s">
        <v>805</v>
      </c>
      <c r="B99" s="347">
        <f ca="1" xml:space="preserve"> ($C$5*$C$9*((C$16*Mat_Sum!$D17)+(C$17*Mat_Sum!$L17)+(C$18*Mat_Sum!$I17)+(C$19*0)+(C$20*Mat_Sum!$AV17)))</f>
        <v>40.918299682950519</v>
      </c>
      <c r="C99" s="621">
        <f ca="1">($C$5*$C$10*((C$22*Mat_Sum!$E17)+(C$23*Mat_Sum!$D17)+(C$24*Mat_Sum!$F17)+(C$25*Mat_Sum!$L17)+(C$26*Mat_Sum!$I17)+(C$27*Mat_Sum!$AV17)+(C$28*Mat_Sum!$AR17)+(C$29*0)+(C$30*0)+(C$31*Mat_Sum!$E17)))+(($C$60*$D$60*$C$64*((($A$68*Mat_Sum!$AV17)+($B$68*Mat_Sum!$D17)))))</f>
        <v>59.230681835469461</v>
      </c>
      <c r="D99" s="621">
        <f ca="1" xml:space="preserve"> ($C$5*$C$11*((C$33*Mat_Sum!$D17)+(C$34*Mat_Sum!$E17)+(C$35*Mat_Sum!$I17)+(C$36*Mat_Sum!$AV17)+(C$37*Mat_Sum!$AR17)+(C$38*Mat_Sum!$AG17)+(C$39*Mat_Sum!$AG17)+(C$40*Mat_Sum!$AS17)))</f>
        <v>4.3829127636048986</v>
      </c>
      <c r="E99" s="621">
        <f xml:space="preserve"> IF(MHDV_Inputs!$B$3=1,0,MHDV_Trailer_Fluids!B102)</f>
        <v>2.5465490484887762E-2</v>
      </c>
      <c r="F99" s="1125">
        <f xml:space="preserve"> MHDV_Trailer_ADR!J108</f>
        <v>4.4409739645050053</v>
      </c>
      <c r="G99" s="348">
        <f t="shared" ca="1" si="2"/>
        <v>108.99833373701478</v>
      </c>
      <c r="H99" s="1021">
        <f t="shared" ca="1" si="1"/>
        <v>0.37540298351418799</v>
      </c>
      <c r="I99" s="302">
        <f t="shared" ca="1" si="1"/>
        <v>0.54340905777860804</v>
      </c>
      <c r="J99" s="302">
        <f t="shared" ca="1" si="1"/>
        <v>4.0210823535887723E-2</v>
      </c>
      <c r="K99" s="302">
        <f t="shared" ca="1" si="1"/>
        <v>2.3363192456069565E-4</v>
      </c>
      <c r="L99" s="593">
        <f t="shared" ca="1" si="1"/>
        <v>4.074350324675554E-2</v>
      </c>
      <c r="M99" s="382"/>
      <c r="N99" s="382"/>
      <c r="O99" s="382"/>
      <c r="P99" s="382"/>
    </row>
    <row r="100" spans="1:16">
      <c r="A100" s="291" t="s">
        <v>804</v>
      </c>
      <c r="B100" s="347">
        <f ca="1" xml:space="preserve"> ($C$5*$C$9*((C$16*Mat_Sum!$D18)+(C$17*Mat_Sum!$L18)+(C$18*Mat_Sum!$I18)+(C$19*0)+(C$20*Mat_Sum!$AV18)))</f>
        <v>49.324121189767617</v>
      </c>
      <c r="C100" s="621">
        <f ca="1">($C$5*$C$10*((C$22*Mat_Sum!$E18)+(C$23*Mat_Sum!$D18)+(C$24*Mat_Sum!$F18)+(C$25*Mat_Sum!$L18)+(C$26*Mat_Sum!$I18)+(C$27*Mat_Sum!$AV18)+(C$28*Mat_Sum!$AR18)+(C$29*0)+(C$30*0)+(C$31*Mat_Sum!$E18)))+(($C$60*$D$60*$C$64*((($A$68*Mat_Sum!$AV18)+($B$68*Mat_Sum!$D18)))))</f>
        <v>123.83450048860436</v>
      </c>
      <c r="D100" s="621">
        <f ca="1" xml:space="preserve"> ($C$5*$C$11*((C$33*Mat_Sum!$D18)+(C$34*Mat_Sum!$E18)+(C$35*Mat_Sum!$I18)+(C$36*Mat_Sum!$AV18)+(C$37*Mat_Sum!$AR18)+(C$38*Mat_Sum!$AG18)+(C$39*Mat_Sum!$AG18)+(C$40*Mat_Sum!$AS18)))</f>
        <v>5.5707354598317389</v>
      </c>
      <c r="E100" s="621">
        <f xml:space="preserve"> IF(MHDV_Inputs!$B$3=1,0,MHDV_Trailer_Fluids!B103)</f>
        <v>0.43817862206847558</v>
      </c>
      <c r="F100" s="1125">
        <f xml:space="preserve"> MHDV_Trailer_ADR!J109</f>
        <v>14.006870232310424</v>
      </c>
      <c r="G100" s="348">
        <f t="shared" ca="1" si="2"/>
        <v>193.17440599258265</v>
      </c>
      <c r="H100" s="1021">
        <f t="shared" ca="1" si="1"/>
        <v>0.25533465955972201</v>
      </c>
      <c r="I100" s="302">
        <f t="shared" ca="1" si="1"/>
        <v>0.64105024603186433</v>
      </c>
      <c r="J100" s="302">
        <f t="shared" ca="1" si="1"/>
        <v>2.8837854741717902E-2</v>
      </c>
      <c r="K100" s="302">
        <f t="shared" ca="1" si="1"/>
        <v>2.2683057821091496E-3</v>
      </c>
      <c r="L100" s="593">
        <f t="shared" ca="1" si="1"/>
        <v>7.2508933884586388E-2</v>
      </c>
      <c r="M100" s="382"/>
      <c r="N100" s="382"/>
      <c r="O100" s="382"/>
      <c r="P100" s="382"/>
    </row>
    <row r="101" spans="1:16">
      <c r="A101" s="291" t="s">
        <v>818</v>
      </c>
      <c r="B101" s="347">
        <f ca="1" xml:space="preserve"> ($C$5*$C$9*((C$16*Mat_Sum!$D19)+(C$17*Mat_Sum!$L19)+(C$18*Mat_Sum!$I19)+(C$19*0)+(C$20*Mat_Sum!$AV19)))</f>
        <v>18.523159669380714</v>
      </c>
      <c r="C101" s="621">
        <f ca="1">($C$5*$C$10*((C$22*Mat_Sum!$E19)+(C$23*Mat_Sum!$D19)+(C$24*Mat_Sum!$F19)+(C$25*Mat_Sum!$L19)+(C$26*Mat_Sum!$I19)+(C$27*Mat_Sum!$AV19)+(C$28*Mat_Sum!$AR19)+(C$29*0)+(C$30*0)+(C$31*Mat_Sum!$E19)))+(($C$60*$D$60*$C$64*((($A$68*Mat_Sum!$AV19)+($B$68*Mat_Sum!$D19)))))</f>
        <v>64.816437863642108</v>
      </c>
      <c r="D101" s="621">
        <f ca="1" xml:space="preserve"> ($C$5*$C$11*((C$33*Mat_Sum!$D19)+(C$34*Mat_Sum!$E19)+(C$35*Mat_Sum!$I19)+(C$36*Mat_Sum!$AV19)+(C$37*Mat_Sum!$AR19)+(C$38*Mat_Sum!$AG19)+(C$39*Mat_Sum!$AG19)+(C$40*Mat_Sum!$AS19)))</f>
        <v>1.1774146845358981</v>
      </c>
      <c r="E101" s="621">
        <f xml:space="preserve"> IF(MHDV_Inputs!$B$3=1,0,MHDV_Trailer_Fluids!B104)</f>
        <v>3.3393969777786703</v>
      </c>
      <c r="F101" s="1125">
        <f xml:space="preserve"> MHDV_Trailer_ADR!J110</f>
        <v>0.15997871465517027</v>
      </c>
      <c r="G101" s="348">
        <f t="shared" ca="1" si="2"/>
        <v>88.016387909992574</v>
      </c>
      <c r="H101" s="1021">
        <f t="shared" ca="1" si="1"/>
        <v>0.21045125923961899</v>
      </c>
      <c r="I101" s="302">
        <f t="shared" ca="1" si="1"/>
        <v>0.73641329078312978</v>
      </c>
      <c r="J101" s="302">
        <f t="shared" ca="1" si="1"/>
        <v>1.3377221134545392E-2</v>
      </c>
      <c r="K101" s="302">
        <f t="shared" ca="1" si="1"/>
        <v>3.7940627388545055E-2</v>
      </c>
      <c r="L101" s="593">
        <f t="shared" ca="1" si="1"/>
        <v>1.817601454160649E-3</v>
      </c>
      <c r="M101" s="382"/>
      <c r="N101" s="382"/>
      <c r="O101" s="382"/>
      <c r="P101" s="382"/>
    </row>
    <row r="102" spans="1:16">
      <c r="A102" s="292" t="s">
        <v>819</v>
      </c>
      <c r="B102" s="503">
        <f ca="1" xml:space="preserve"> ($C$5*$C$9*((C$16*Mat_Sum!$D20)+(C$17*Mat_Sum!$L20)+(C$18*Mat_Sum!$I20)+(C$19*0)+(C$20*Mat_Sum!$AV20)))</f>
        <v>35659.15970087915</v>
      </c>
      <c r="C102" s="505">
        <f ca="1">($C$5*$C$10*((C$22*Mat_Sum!$E20)+(C$23*Mat_Sum!$D20)+(C$24*Mat_Sum!$F20)+(C$25*Mat_Sum!$L20)+(C$26*Mat_Sum!$I20)+(C$27*Mat_Sum!$AV20)+(C$28*Mat_Sum!$AR20)+(C$29*0)+(C$30*0)+(C$31*Mat_Sum!$E20)))+(($C$60*$D$60*$C$64*((($A$68*Mat_Sum!$AV20)+($B$68*Mat_Sum!$D20)))))</f>
        <v>5438.0026962253942</v>
      </c>
      <c r="D102" s="505">
        <f ca="1" xml:space="preserve"> ($C$5*$C$11*((C$33*Mat_Sum!$D20)+(C$34*Mat_Sum!$E20)+(C$35*Mat_Sum!$I20)+(C$36*Mat_Sum!$AV20)+(C$37*Mat_Sum!$AR20)+(C$38*Mat_Sum!$AG20)+(C$39*Mat_Sum!$AG20)+(C$40*Mat_Sum!$AS20)))</f>
        <v>737.24563338165797</v>
      </c>
      <c r="E102" s="505">
        <f xml:space="preserve"> IF(MHDV_Inputs!$B$3=1,0,MHDV_Trailer_Fluids!B105)</f>
        <v>80.408443570107323</v>
      </c>
      <c r="F102" s="2709">
        <f xml:space="preserve"> MHDV_Trailer_ADR!J111</f>
        <v>880.89234377825744</v>
      </c>
      <c r="G102" s="502">
        <f t="shared" ca="1" si="2"/>
        <v>42795.708817834573</v>
      </c>
      <c r="H102" s="1019">
        <f t="shared" ca="1" si="1"/>
        <v>0.83324147878159793</v>
      </c>
      <c r="I102" s="1020">
        <f t="shared" ca="1" si="1"/>
        <v>0.12706887784878038</v>
      </c>
      <c r="J102" s="1020">
        <f t="shared" ca="1" si="1"/>
        <v>1.7227092476019935E-2</v>
      </c>
      <c r="K102" s="1020">
        <f t="shared" ca="1" si="1"/>
        <v>1.8788903324951616E-3</v>
      </c>
      <c r="L102" s="210">
        <f t="shared" ca="1" si="1"/>
        <v>2.058366056110646E-2</v>
      </c>
      <c r="M102" s="382"/>
      <c r="N102" s="382"/>
      <c r="O102" s="382"/>
      <c r="P102" s="382"/>
    </row>
    <row r="103" spans="1:16">
      <c r="A103" s="293" t="s">
        <v>964</v>
      </c>
      <c r="B103" s="347"/>
      <c r="C103" s="621"/>
      <c r="D103" s="621"/>
      <c r="E103" s="621"/>
      <c r="F103" s="1125"/>
      <c r="G103" s="348"/>
      <c r="H103" s="1419"/>
      <c r="I103" s="1420"/>
      <c r="J103" s="1420"/>
      <c r="K103" s="1420"/>
      <c r="L103" s="1954"/>
      <c r="M103" s="382"/>
      <c r="N103" s="382"/>
      <c r="O103" s="382"/>
      <c r="P103" s="382"/>
    </row>
    <row r="104" spans="1:16">
      <c r="A104" s="490" t="s">
        <v>821</v>
      </c>
      <c r="B104" s="347">
        <f ca="1" xml:space="preserve"> ($C$5*$C$9*((C$16*Mat_Sum!$D22)+(C$17*Mat_Sum!$L22)+(C$18*Mat_Sum!$I22)+(C$19*0)+(C$20*Mat_Sum!$AV22)))</f>
        <v>2389.5471413007676</v>
      </c>
      <c r="C104" s="621">
        <f ca="1">($C$5*$C$10*((C$22*Mat_Sum!$E22)+(C$23*Mat_Sum!$D22)+(C$24*Mat_Sum!$F22)+(C$25*Mat_Sum!$L22)+(C$26*Mat_Sum!$I22)+(C$27*Mat_Sum!$AV22)+(C$28*Mat_Sum!$AR22)+(C$29*0)+(C$30*0)+(C$31*Mat_Sum!$E22)))+(($C$60*$D$60*$C$64*((($A$68*Mat_Sum!$AV22)+($B$68*Mat_Sum!$D22)))))</f>
        <v>28236.334233509493</v>
      </c>
      <c r="D104" s="621">
        <f ca="1" xml:space="preserve"> ($C$5*$C$11*((C$33*Mat_Sum!$D22)+(C$34*Mat_Sum!$E22)+(C$35*Mat_Sum!$I22)+(C$36*Mat_Sum!$AV22)+(C$37*Mat_Sum!$AR22)+(C$38*Mat_Sum!$AG22)+(C$39*Mat_Sum!$AG22)+(C$40*Mat_Sum!$AS22)))</f>
        <v>666.54009799642779</v>
      </c>
      <c r="E104" s="621">
        <f xml:space="preserve"> IF(MHDV_Inputs!$B$3=1,0,MHDV_Trailer_Fluids!B107)</f>
        <v>92.398076457980196</v>
      </c>
      <c r="F104" s="1125">
        <f xml:space="preserve"> MHDV_Trailer_ADR!J113</f>
        <v>1777.9980739828682</v>
      </c>
      <c r="G104" s="348">
        <f t="shared" ca="1" si="2"/>
        <v>33162.817623247538</v>
      </c>
      <c r="H104" s="1021">
        <f t="shared" ref="H104:H116" ca="1" si="3" xml:space="preserve"> IF($G104=0,0%,B104/$G104)</f>
        <v>7.205500957269885E-2</v>
      </c>
      <c r="I104" s="302">
        <f t="shared" ref="I104:I116" ca="1" si="4" xml:space="preserve"> IF($G104=0,0%,C104/$G104)</f>
        <v>0.85144557239658314</v>
      </c>
      <c r="J104" s="302">
        <f t="shared" ref="J104:J116" ca="1" si="5" xml:space="preserve"> IF($G104=0,0%,D104/$G104)</f>
        <v>2.009901889425629E-2</v>
      </c>
      <c r="K104" s="302">
        <f t="shared" ref="K104:K116" ca="1" si="6" xml:space="preserve"> IF($G104=0,0%,E104/$G104)</f>
        <v>2.7861949942759997E-3</v>
      </c>
      <c r="L104" s="593">
        <f t="shared" ref="L104:L116" ca="1" si="7" xml:space="preserve"> IF($G104=0,0%,F104/$G104)</f>
        <v>5.3614204142185734E-2</v>
      </c>
      <c r="M104" s="382"/>
      <c r="N104" s="382"/>
      <c r="O104" s="382"/>
      <c r="P104" s="382"/>
    </row>
    <row r="105" spans="1:16">
      <c r="A105" s="490" t="s">
        <v>822</v>
      </c>
      <c r="B105" s="347">
        <f ca="1" xml:space="preserve"> ($C$5*$C$9*((C$16*Mat_Sum!$D23)+(C$17*Mat_Sum!$L23)+(C$18*Mat_Sum!$I23)+(C$19*0)+(C$20*Mat_Sum!$AV23)))</f>
        <v>8745.7920779128526</v>
      </c>
      <c r="C105" s="621">
        <f ca="1">($C$5*$C$10*((C$22*Mat_Sum!$E23)+(C$23*Mat_Sum!$D23)+(C$24*Mat_Sum!$F23)+(C$25*Mat_Sum!$L23)+(C$26*Mat_Sum!$I23)+(C$27*Mat_Sum!$AV23)+(C$28*Mat_Sum!$AR23)+(C$29*0)+(C$30*0)+(C$31*Mat_Sum!$E23)))+(($C$60*$D$60*$C$64*((($A$68*Mat_Sum!$AV23)+($B$68*Mat_Sum!$D23)))))</f>
        <v>57783.782663761551</v>
      </c>
      <c r="D105" s="621">
        <f ca="1" xml:space="preserve"> ($C$5*$C$11*((C$33*Mat_Sum!$D23)+(C$34*Mat_Sum!$E23)+(C$35*Mat_Sum!$I23)+(C$36*Mat_Sum!$AV23)+(C$37*Mat_Sum!$AR23)+(C$38*Mat_Sum!$AG23)+(C$39*Mat_Sum!$AG23)+(C$40*Mat_Sum!$AS23)))</f>
        <v>3995.3100626459063</v>
      </c>
      <c r="E105" s="621">
        <f xml:space="preserve"> IF(MHDV_Inputs!$B$3=1,0,MHDV_Trailer_Fluids!B108)</f>
        <v>76.811182990793341</v>
      </c>
      <c r="F105" s="1125">
        <f xml:space="preserve"> MHDV_Trailer_ADR!J114</f>
        <v>602.81820171694665</v>
      </c>
      <c r="G105" s="348">
        <f t="shared" ca="1" si="2"/>
        <v>71204.514189028036</v>
      </c>
      <c r="H105" s="1021">
        <f t="shared" ca="1" si="3"/>
        <v>0.12282637101764679</v>
      </c>
      <c r="I105" s="302">
        <f t="shared" ca="1" si="4"/>
        <v>0.81151852971514982</v>
      </c>
      <c r="J105" s="302">
        <f t="shared" ca="1" si="5"/>
        <v>5.6110347892262526E-2</v>
      </c>
      <c r="K105" s="302">
        <f t="shared" ca="1" si="6"/>
        <v>1.0787403560802503E-3</v>
      </c>
      <c r="L105" s="593">
        <f t="shared" ca="1" si="7"/>
        <v>8.4660110188608719E-3</v>
      </c>
      <c r="M105" s="382"/>
      <c r="N105" s="382"/>
      <c r="O105" s="382"/>
      <c r="P105" s="382"/>
    </row>
    <row r="106" spans="1:16" ht="15.75">
      <c r="A106" s="490" t="s">
        <v>2542</v>
      </c>
      <c r="B106" s="347">
        <f ca="1" xml:space="preserve"> ($C$5*$C$9*((C$16*Mat_Sum!$D24)+(C$17*Mat_Sum!$L24)+(C$18*Mat_Sum!$I24)+(C$19*0)+(C$20*Mat_Sum!$AV24)))</f>
        <v>7631.3092659583754</v>
      </c>
      <c r="C106" s="621">
        <f ca="1">($C$5*$C$10*((C$22*Mat_Sum!$E24)+(C$23*Mat_Sum!$D24)+(C$24*Mat_Sum!$F24)+(C$25*Mat_Sum!$L24)+(C$26*Mat_Sum!$I24)+(C$27*Mat_Sum!$AV24)+(C$28*Mat_Sum!$AR24)+(C$29*0)+(C$30*0)+(C$31*Mat_Sum!$E24)))+(($C$60*$D$60*$C$64*((($A$68*Mat_Sum!$AV24)+($B$68*Mat_Sum!$D24)))))</f>
        <v>22755.795729368914</v>
      </c>
      <c r="D106" s="621">
        <f ca="1" xml:space="preserve"> ($C$5*$C$11*((C$33*Mat_Sum!$D24)+(C$34*Mat_Sum!$E24)+(C$35*Mat_Sum!$I24)+(C$36*Mat_Sum!$AV24)+(C$37*Mat_Sum!$AR24)+(C$38*Mat_Sum!$AG24)+(C$39*Mat_Sum!$AG24)+(C$40*Mat_Sum!$AS24)))</f>
        <v>944.84630770436934</v>
      </c>
      <c r="E106" s="621">
        <f xml:space="preserve"> IF(MHDV_Inputs!$B$3=1,0,MHDV_Trailer_Fluids!B109)</f>
        <v>309.58202175326676</v>
      </c>
      <c r="F106" s="1125">
        <f xml:space="preserve"> MHDV_Trailer_ADR!J115</f>
        <v>1024.4830028953554</v>
      </c>
      <c r="G106" s="348">
        <f t="shared" ca="1" si="2"/>
        <v>32666.016327680281</v>
      </c>
      <c r="H106" s="1021">
        <f t="shared" ca="1" si="3"/>
        <v>0.23361615905064659</v>
      </c>
      <c r="I106" s="302">
        <f t="shared" ca="1" si="4"/>
        <v>0.69661986025783873</v>
      </c>
      <c r="J106" s="302">
        <f t="shared" ca="1" si="5"/>
        <v>2.8924442399905759E-2</v>
      </c>
      <c r="K106" s="302">
        <f t="shared" ca="1" si="6"/>
        <v>9.4771893409890777E-3</v>
      </c>
      <c r="L106" s="593">
        <f t="shared" ca="1" si="7"/>
        <v>3.1362348950619873E-2</v>
      </c>
      <c r="M106" s="382"/>
      <c r="N106" s="382"/>
      <c r="O106" s="382"/>
      <c r="P106" s="382"/>
    </row>
    <row r="107" spans="1:16" ht="15.75">
      <c r="A107" s="490" t="s">
        <v>2543</v>
      </c>
      <c r="B107" s="347">
        <f ca="1" xml:space="preserve"> ($C$5*$C$9*((C$16*Mat_Sum!$D25)+(C$17*Mat_Sum!$L25)+(C$18*Mat_Sum!$I25)+(C$19*0)+(C$20*Mat_Sum!$AV25)))</f>
        <v>6368.2878489734867</v>
      </c>
      <c r="C107" s="621">
        <f ca="1">($C$5*$C$10*((C$22*Mat_Sum!$E25)+(C$23*Mat_Sum!$D25)+(C$24*Mat_Sum!$F25)+(C$25*Mat_Sum!$L25)+(C$26*Mat_Sum!$I25)+(C$27*Mat_Sum!$AV25)+(C$28*Mat_Sum!$AR25)+(C$29*0)+(C$30*0)+(C$31*Mat_Sum!$E25)))+(($C$60*$D$60*$C$64*((($A$68*Mat_Sum!$AV25)+($B$68*Mat_Sum!$D25)))))</f>
        <v>6626.5011688880368</v>
      </c>
      <c r="D107" s="621">
        <f ca="1" xml:space="preserve"> ($C$5*$C$11*((C$33*Mat_Sum!$D25)+(C$34*Mat_Sum!$E25)+(C$35*Mat_Sum!$I25)+(C$36*Mat_Sum!$AV25)+(C$37*Mat_Sum!$AR25)+(C$38*Mat_Sum!$AG25)+(C$39*Mat_Sum!$AG25)+(C$40*Mat_Sum!$AS25)))</f>
        <v>586.7841282401622</v>
      </c>
      <c r="E107" s="621">
        <f xml:space="preserve"> IF(MHDV_Inputs!$B$3=1,0,MHDV_Trailer_Fluids!B110)</f>
        <v>49.532194026829423</v>
      </c>
      <c r="F107" s="1125">
        <f xml:space="preserve"> MHDV_Trailer_ADR!J116</f>
        <v>179.00415759988795</v>
      </c>
      <c r="G107" s="348">
        <f t="shared" ca="1" si="2"/>
        <v>13810.109497728403</v>
      </c>
      <c r="H107" s="1021">
        <f t="shared" ca="1" si="3"/>
        <v>0.46113232121881392</v>
      </c>
      <c r="I107" s="302">
        <f t="shared" ca="1" si="4"/>
        <v>0.47982973415076952</v>
      </c>
      <c r="J107" s="302">
        <f t="shared" ca="1" si="5"/>
        <v>4.2489462399750065E-2</v>
      </c>
      <c r="K107" s="302">
        <f t="shared" ca="1" si="6"/>
        <v>3.5866619330554095E-3</v>
      </c>
      <c r="L107" s="593">
        <f t="shared" ca="1" si="7"/>
        <v>1.2961820297611107E-2</v>
      </c>
      <c r="M107" s="382"/>
      <c r="N107" s="382"/>
      <c r="O107" s="382"/>
      <c r="P107" s="382"/>
    </row>
    <row r="108" spans="1:16" ht="15.75">
      <c r="A108" s="490" t="s">
        <v>2544</v>
      </c>
      <c r="B108" s="347">
        <f ca="1" xml:space="preserve"> ($C$5*$C$9*((C$16*Mat_Sum!$D26)+(C$17*Mat_Sum!$L26)+(C$18*Mat_Sum!$I26)+(C$19*0)+(C$20*Mat_Sum!$AV26)))</f>
        <v>3204.1030529631134</v>
      </c>
      <c r="C108" s="621">
        <f ca="1">($C$5*$C$10*((C$22*Mat_Sum!$E26)+(C$23*Mat_Sum!$D26)+(C$24*Mat_Sum!$F26)+(C$25*Mat_Sum!$L26)+(C$26*Mat_Sum!$I26)+(C$27*Mat_Sum!$AV26)+(C$28*Mat_Sum!$AR26)+(C$29*0)+(C$30*0)+(C$31*Mat_Sum!$E26)))+(($C$60*$D$60*$C$64*((($A$68*Mat_Sum!$AV26)+($B$68*Mat_Sum!$D26)))))</f>
        <v>3447.1386190648191</v>
      </c>
      <c r="D108" s="621">
        <f ca="1" xml:space="preserve"> ($C$5*$C$11*((C$33*Mat_Sum!$D26)+(C$34*Mat_Sum!$E26)+(C$35*Mat_Sum!$I26)+(C$36*Mat_Sum!$AV26)+(C$37*Mat_Sum!$AR26)+(C$38*Mat_Sum!$AG26)+(C$39*Mat_Sum!$AG26)+(C$40*Mat_Sum!$AS26)))</f>
        <v>233.82919885741484</v>
      </c>
      <c r="E108" s="621">
        <f xml:space="preserve"> IF(MHDV_Inputs!$B$3=1,0,MHDV_Trailer_Fluids!B111)</f>
        <v>27.770947083451759</v>
      </c>
      <c r="F108" s="1125">
        <f xml:space="preserve"> MHDV_Trailer_ADR!J117</f>
        <v>109.50917352731636</v>
      </c>
      <c r="G108" s="348">
        <f t="shared" ca="1" si="2"/>
        <v>7022.3509914961151</v>
      </c>
      <c r="H108" s="1021">
        <f t="shared" ca="1" si="3"/>
        <v>0.45627213120551779</v>
      </c>
      <c r="I108" s="302">
        <f t="shared" ca="1" si="4"/>
        <v>0.49088099174182759</v>
      </c>
      <c r="J108" s="302">
        <f t="shared" ca="1" si="5"/>
        <v>3.3297851266701983E-2</v>
      </c>
      <c r="K108" s="302">
        <f t="shared" ca="1" si="6"/>
        <v>3.9546509590707808E-3</v>
      </c>
      <c r="L108" s="593">
        <f t="shared" ca="1" si="7"/>
        <v>1.5594374826881929E-2</v>
      </c>
      <c r="M108" s="382"/>
      <c r="N108" s="382"/>
      <c r="O108" s="382"/>
      <c r="P108" s="382"/>
    </row>
    <row r="109" spans="1:16" ht="15.75">
      <c r="A109" s="490" t="s">
        <v>2545</v>
      </c>
      <c r="B109" s="347">
        <f ca="1" xml:space="preserve"> ($C$5*$C$9*((C$16*Mat_Sum!$D27)+(C$17*Mat_Sum!$L27)+(C$18*Mat_Sum!$I27)+(C$19*0)+(C$20*Mat_Sum!$AV27)))</f>
        <v>30212.2383109279</v>
      </c>
      <c r="C109" s="621">
        <f ca="1">($C$5*$C$10*((C$22*Mat_Sum!$E27)+(C$23*Mat_Sum!$D27)+(C$24*Mat_Sum!$F27)+(C$25*Mat_Sum!$L27)+(C$26*Mat_Sum!$I27)+(C$27*Mat_Sum!$AV27)+(C$28*Mat_Sum!$AR27)+(C$29*0)+(C$30*0)+(C$31*Mat_Sum!$E27)))+(($C$60*$D$60*$C$64*((($A$68*Mat_Sum!$AV27)+($B$68*Mat_Sum!$D27)))))</f>
        <v>35270.01557803664</v>
      </c>
      <c r="D109" s="621">
        <f ca="1" xml:space="preserve"> ($C$5*$C$11*((C$33*Mat_Sum!$D27)+(C$34*Mat_Sum!$E27)+(C$35*Mat_Sum!$I27)+(C$36*Mat_Sum!$AV27)+(C$37*Mat_Sum!$AR27)+(C$38*Mat_Sum!$AG27)+(C$39*Mat_Sum!$AG27)+(C$40*Mat_Sum!$AS27)))</f>
        <v>3126.0249044661587</v>
      </c>
      <c r="E109" s="621">
        <f xml:space="preserve"> IF(MHDV_Inputs!$B$3=1,0,MHDV_Trailer_Fluids!B112)</f>
        <v>568.67200186808282</v>
      </c>
      <c r="F109" s="1125">
        <f xml:space="preserve"> MHDV_Trailer_ADR!J118</f>
        <v>575.44629878902128</v>
      </c>
      <c r="G109" s="348">
        <f t="shared" ca="1" si="2"/>
        <v>69752.397094087792</v>
      </c>
      <c r="H109" s="1021">
        <f t="shared" ca="1" si="3"/>
        <v>0.43313548450779604</v>
      </c>
      <c r="I109" s="302">
        <f t="shared" ca="1" si="4"/>
        <v>0.50564592827485955</v>
      </c>
      <c r="J109" s="302">
        <f t="shared" ca="1" si="5"/>
        <v>4.4816021164828475E-2</v>
      </c>
      <c r="K109" s="302">
        <f t="shared" ca="1" si="6"/>
        <v>8.152723426852429E-3</v>
      </c>
      <c r="L109" s="593">
        <f t="shared" ca="1" si="7"/>
        <v>8.2498426256636288E-3</v>
      </c>
      <c r="M109" s="382"/>
      <c r="N109" s="382"/>
      <c r="O109" s="382"/>
      <c r="P109" s="382"/>
    </row>
    <row r="110" spans="1:16">
      <c r="A110" s="490" t="s">
        <v>827</v>
      </c>
      <c r="B110" s="347">
        <f ca="1" xml:space="preserve"> ($C$5*$C$9*((C$16*Mat_Sum!$D28)+(C$17*Mat_Sum!$L28)+(C$18*Mat_Sum!$I28)+(C$19*0)+(C$20*Mat_Sum!$AV28)))</f>
        <v>52.247802864590057</v>
      </c>
      <c r="C110" s="621">
        <f ca="1">($C$5*$C$10*((C$22*Mat_Sum!$E28)+(C$23*Mat_Sum!$D28)+(C$24*Mat_Sum!$F28)+(C$25*Mat_Sum!$L28)+(C$26*Mat_Sum!$I28)+(C$27*Mat_Sum!$AV28)+(C$28*Mat_Sum!$AR28)+(C$29*0)+(C$30*0)+(C$31*Mat_Sum!$E28)))+(($C$60*$D$60*$C$64*((($A$68*Mat_Sum!$AV28)+($B$68*Mat_Sum!$D28)))))</f>
        <v>151.00647991416253</v>
      </c>
      <c r="D110" s="621">
        <f ca="1" xml:space="preserve"> ($C$5*$C$11*((C$33*Mat_Sum!$D28)+(C$34*Mat_Sum!$E28)+(C$35*Mat_Sum!$I28)+(C$36*Mat_Sum!$AV28)+(C$37*Mat_Sum!$AR28)+(C$38*Mat_Sum!$AG28)+(C$39*Mat_Sum!$AG28)+(C$40*Mat_Sum!$AS28)))</f>
        <v>4.772111887557859</v>
      </c>
      <c r="E110" s="621">
        <f xml:space="preserve"> IF(MHDV_Inputs!$B$3=1,0,MHDV_Trailer_Fluids!B113)</f>
        <v>2.1368603087755424</v>
      </c>
      <c r="F110" s="1125">
        <f xml:space="preserve"> MHDV_Trailer_ADR!J119</f>
        <v>7.179968065111507</v>
      </c>
      <c r="G110" s="348">
        <f t="shared" ca="1" si="2"/>
        <v>217.34322304019747</v>
      </c>
      <c r="H110" s="1021">
        <f t="shared" ca="1" si="3"/>
        <v>0.2403930618758095</v>
      </c>
      <c r="I110" s="302">
        <f t="shared" ca="1" si="4"/>
        <v>0.69478347565607779</v>
      </c>
      <c r="J110" s="302">
        <f t="shared" ca="1" si="5"/>
        <v>2.1956570905711011E-2</v>
      </c>
      <c r="K110" s="302">
        <f t="shared" ca="1" si="6"/>
        <v>9.8317319439968544E-3</v>
      </c>
      <c r="L110" s="593">
        <f t="shared" ca="1" si="7"/>
        <v>3.3035159618404926E-2</v>
      </c>
      <c r="M110" s="382"/>
      <c r="N110" s="382"/>
      <c r="O110" s="382"/>
      <c r="P110" s="382"/>
    </row>
    <row r="111" spans="1:16">
      <c r="A111" s="490" t="s">
        <v>828</v>
      </c>
      <c r="B111" s="347">
        <f ca="1" xml:space="preserve"> ($C$5*$C$9*((C$16*Mat_Sum!$D29)+(C$17*Mat_Sum!$L29)+(C$18*Mat_Sum!$I29)+(C$19*0)+(C$20*Mat_Sum!$AV29)))</f>
        <v>109.656095318428</v>
      </c>
      <c r="C111" s="621">
        <f ca="1">($C$5*$C$10*((C$22*Mat_Sum!$E29)+(C$23*Mat_Sum!$D29)+(C$24*Mat_Sum!$F29)+(C$25*Mat_Sum!$L29)+(C$26*Mat_Sum!$I29)+(C$27*Mat_Sum!$AV29)+(C$28*Mat_Sum!$AR29)+(C$29*0)+(C$30*0)+(C$31*Mat_Sum!$E29)))+(($C$60*$D$60*$C$64*((($A$68*Mat_Sum!$AV29)+($B$68*Mat_Sum!$D29)))))</f>
        <v>281.9874470951126</v>
      </c>
      <c r="D111" s="621">
        <f ca="1" xml:space="preserve"> ($C$5*$C$11*((C$33*Mat_Sum!$D29)+(C$34*Mat_Sum!$E29)+(C$35*Mat_Sum!$I29)+(C$36*Mat_Sum!$AV29)+(C$37*Mat_Sum!$AR29)+(C$38*Mat_Sum!$AG29)+(C$39*Mat_Sum!$AG29)+(C$40*Mat_Sum!$AS29)))</f>
        <v>11.515986295168076</v>
      </c>
      <c r="E111" s="621">
        <f xml:space="preserve"> IF(MHDV_Inputs!$B$3=1,0,MHDV_Trailer_Fluids!B114)</f>
        <v>2.1437122095791454</v>
      </c>
      <c r="F111" s="1125">
        <f xml:space="preserve"> MHDV_Trailer_ADR!J120</f>
        <v>25.815669993681212</v>
      </c>
      <c r="G111" s="348">
        <f t="shared" ca="1" si="2"/>
        <v>431.11891091196901</v>
      </c>
      <c r="H111" s="1021">
        <f t="shared" ca="1" si="3"/>
        <v>0.25435232030640126</v>
      </c>
      <c r="I111" s="302">
        <f t="shared" ca="1" si="4"/>
        <v>0.65408275990169251</v>
      </c>
      <c r="J111" s="302">
        <f t="shared" ca="1" si="5"/>
        <v>2.6711856064972173E-2</v>
      </c>
      <c r="K111" s="302">
        <f t="shared" ca="1" si="6"/>
        <v>4.9724383582349374E-3</v>
      </c>
      <c r="L111" s="593">
        <f t="shared" ca="1" si="7"/>
        <v>5.9880625368699175E-2</v>
      </c>
      <c r="M111" s="382"/>
      <c r="N111" s="382"/>
      <c r="O111" s="382"/>
      <c r="P111" s="382"/>
    </row>
    <row r="112" spans="1:16" ht="15.75">
      <c r="A112" s="490" t="s">
        <v>2546</v>
      </c>
      <c r="B112" s="347">
        <f ca="1" xml:space="preserve"> ($C$5*$C$9*((C$16*Mat_Sum!$D30)+(C$17*Mat_Sum!$L30)+(C$18*Mat_Sum!$I30)+(C$19*0)+(C$20*Mat_Sum!$AV30)))</f>
        <v>17369.936778649066</v>
      </c>
      <c r="C112" s="621">
        <f ca="1">($C$5*$C$10*((C$22*Mat_Sum!$E30)+(C$23*Mat_Sum!$D30)+(C$24*Mat_Sum!$F30)+(C$25*Mat_Sum!$L30)+(C$26*Mat_Sum!$I30)+(C$27*Mat_Sum!$AV30)+(C$28*Mat_Sum!$AR30)+(C$29*0)+(C$30*0)+(C$31*Mat_Sum!$E30)))+(($C$60*$D$60*$C$64*((($A$68*Mat_Sum!$AV30)+($B$68*Mat_Sum!$D30)))))</f>
        <v>38183.517730086081</v>
      </c>
      <c r="D112" s="621">
        <f ca="1" xml:space="preserve"> ($C$5*$C$11*((C$33*Mat_Sum!$D30)+(C$34*Mat_Sum!$E30)+(C$35*Mat_Sum!$I30)+(C$36*Mat_Sum!$AV30)+(C$37*Mat_Sum!$AR30)+(C$38*Mat_Sum!$AG30)+(C$39*Mat_Sum!$AG30)+(C$40*Mat_Sum!$AS30)))</f>
        <v>1886.4485610792699</v>
      </c>
      <c r="E112" s="621">
        <f xml:space="preserve"> IF(MHDV_Inputs!$B$3=1,0,MHDV_Trailer_Fluids!B115)</f>
        <v>362.9507043856359</v>
      </c>
      <c r="F112" s="1125">
        <f xml:space="preserve"> MHDV_Trailer_ADR!J121</f>
        <v>3279.8422272108091</v>
      </c>
      <c r="G112" s="348">
        <f t="shared" ca="1" si="2"/>
        <v>61082.696001410855</v>
      </c>
      <c r="H112" s="1021">
        <f t="shared" ca="1" si="3"/>
        <v>0.28436755277219367</v>
      </c>
      <c r="I112" s="302">
        <f t="shared" ca="1" si="4"/>
        <v>0.62511186030826371</v>
      </c>
      <c r="J112" s="302">
        <f t="shared" ca="1" si="5"/>
        <v>3.088351832138676E-2</v>
      </c>
      <c r="K112" s="302">
        <f t="shared" ca="1" si="6"/>
        <v>5.9419562027395231E-3</v>
      </c>
      <c r="L112" s="593">
        <f t="shared" ca="1" si="7"/>
        <v>5.3695112395416425E-2</v>
      </c>
      <c r="M112" s="382"/>
      <c r="N112" s="382"/>
      <c r="O112" s="382"/>
      <c r="P112" s="382"/>
    </row>
    <row r="113" spans="1:16" ht="15.75">
      <c r="A113" s="490" t="s">
        <v>2547</v>
      </c>
      <c r="B113" s="347">
        <f ca="1" xml:space="preserve"> ($C$5*$C$9*((C$16*Mat_Sum!$D31)+(C$17*Mat_Sum!$L31)+(C$18*Mat_Sum!$I31)+(C$19*0)+(C$20*Mat_Sum!$AV31)))</f>
        <v>173.73485672657787</v>
      </c>
      <c r="C113" s="621">
        <f ca="1">($C$5*$C$10*((C$22*Mat_Sum!$E31)+(C$23*Mat_Sum!$D31)+(C$24*Mat_Sum!$F31)+(C$25*Mat_Sum!$L31)+(C$26*Mat_Sum!$I31)+(C$27*Mat_Sum!$AV31)+(C$28*Mat_Sum!$AR31)+(C$29*0)+(C$30*0)+(C$31*Mat_Sum!$E31)))+(($C$60*$D$60*$C$64*((($A$68*Mat_Sum!$AV31)+($B$68*Mat_Sum!$D31)))))</f>
        <v>375.50143537767906</v>
      </c>
      <c r="D113" s="621">
        <f ca="1" xml:space="preserve"> ($C$5*$C$11*((C$33*Mat_Sum!$D31)+(C$34*Mat_Sum!$E31)+(C$35*Mat_Sum!$I31)+(C$36*Mat_Sum!$AV31)+(C$37*Mat_Sum!$AR31)+(C$38*Mat_Sum!$AG31)+(C$39*Mat_Sum!$AG31)+(C$40*Mat_Sum!$AS31)))</f>
        <v>14.73750837936379</v>
      </c>
      <c r="E113" s="621">
        <f xml:space="preserve"> IF(MHDV_Inputs!$B$3=1,0,MHDV_Trailer_Fluids!B116)</f>
        <v>4.5690605325736904</v>
      </c>
      <c r="F113" s="1125">
        <f xml:space="preserve"> MHDV_Trailer_ADR!J122</f>
        <v>30.798579092264585</v>
      </c>
      <c r="G113" s="348">
        <f t="shared" ca="1" si="2"/>
        <v>599.34144010845898</v>
      </c>
      <c r="H113" s="1021">
        <f t="shared" ca="1" si="3"/>
        <v>0.28987626267781214</v>
      </c>
      <c r="I113" s="302">
        <f t="shared" ca="1" si="4"/>
        <v>0.62652339759741449</v>
      </c>
      <c r="J113" s="302">
        <f t="shared" ca="1" si="5"/>
        <v>2.4589503400093339E-2</v>
      </c>
      <c r="K113" s="302">
        <f t="shared" ca="1" si="6"/>
        <v>7.6234684051662716E-3</v>
      </c>
      <c r="L113" s="593">
        <f t="shared" ca="1" si="7"/>
        <v>5.1387367919513732E-2</v>
      </c>
      <c r="M113" s="382"/>
      <c r="N113" s="382"/>
      <c r="O113" s="382"/>
      <c r="P113" s="382"/>
    </row>
    <row r="114" spans="1:16" ht="15.75">
      <c r="A114" s="490" t="s">
        <v>2548</v>
      </c>
      <c r="B114" s="517">
        <f ca="1" xml:space="preserve"> ($C$5*$C$9*((C$16*Mat_Sum!$D32)+(C$17*Mat_Sum!$L32)+(C$18*Mat_Sum!$I32)+(C$19*0)+(C$20*Mat_Sum!$AV32)))</f>
        <v>9543616.1502233259</v>
      </c>
      <c r="C114" s="622">
        <f ca="1">($C$5*$C$10*((C$22*Mat_Sum!$E32)+(C$23*Mat_Sum!$D32)+(C$24*Mat_Sum!$F32)+(C$25*Mat_Sum!$L32)+(C$26*Mat_Sum!$I32)+(C$27*Mat_Sum!$AV32)+(C$28*Mat_Sum!$AR32)+(C$29*0)+(C$30*0)+(C$31*Mat_Sum!$E32)))+(($C$60*$D$60*$C$64*((($A$68*Mat_Sum!$AV32)+($B$68*Mat_Sum!$D32)))))</f>
        <v>18501812.76762851</v>
      </c>
      <c r="D114" s="622">
        <f ca="1" xml:space="preserve"> ($C$5*$C$11*((C$33*Mat_Sum!$D32)+(C$34*Mat_Sum!$E32)+(C$35*Mat_Sum!$I32)+(C$36*Mat_Sum!$AV32)+(C$37*Mat_Sum!$AR32)+(C$38*Mat_Sum!$AG32)+(C$39*Mat_Sum!$AG32)+(C$40*Mat_Sum!$AS32)))</f>
        <v>841065.47073285549</v>
      </c>
      <c r="E114" s="621">
        <f xml:space="preserve"> IF(MHDV_Inputs!$B$3=1,0,MHDV_Trailer_Fluids!B117)</f>
        <v>235188.12284186407</v>
      </c>
      <c r="F114" s="522">
        <f xml:space="preserve"> MHDV_Trailer_ADR!J123</f>
        <v>1287712.0624304342</v>
      </c>
      <c r="G114" s="516">
        <f t="shared" ca="1" si="2"/>
        <v>30409394.573856991</v>
      </c>
      <c r="H114" s="1021">
        <f t="shared" ca="1" si="3"/>
        <v>0.31383775586338009</v>
      </c>
      <c r="I114" s="302">
        <f t="shared" ca="1" si="4"/>
        <v>0.60842423951230351</v>
      </c>
      <c r="J114" s="302">
        <f t="shared" ca="1" si="5"/>
        <v>2.7658080093969414E-2</v>
      </c>
      <c r="K114" s="302">
        <f t="shared" ca="1" si="6"/>
        <v>7.7340613365599756E-3</v>
      </c>
      <c r="L114" s="593">
        <f t="shared" ca="1" si="7"/>
        <v>4.2345863193786915E-2</v>
      </c>
      <c r="M114" s="382"/>
      <c r="N114" s="382"/>
      <c r="O114" s="382"/>
      <c r="P114" s="382"/>
    </row>
    <row r="115" spans="1:16" ht="15.75">
      <c r="A115" s="490" t="s">
        <v>2550</v>
      </c>
      <c r="B115" s="517">
        <f ca="1" xml:space="preserve"> ($C$5*$C$9*((C$16*Mat_Sum!$D33)+(C$17*Mat_Sum!$L33)+(C$18*Mat_Sum!$I33)+(C$19*0)+(C$20*Mat_Sum!$AV33)))</f>
        <v>9564806.9596980512</v>
      </c>
      <c r="C115" s="622">
        <f ca="1">($C$5*$C$10*((C$22*Mat_Sum!$E33)+(C$23*Mat_Sum!$D33)+(C$24*Mat_Sum!$F33)+(C$25*Mat_Sum!$L33)+(C$26*Mat_Sum!$I33)+(C$27*Mat_Sum!$AV33)+(C$28*Mat_Sum!$AR33)+(C$29*0)+(C$30*0)+(C$31*Mat_Sum!$E33)))+(($C$60*$D$60*$C$64*((($A$68*Mat_Sum!$AV33)+($B$68*Mat_Sum!$D33)))))</f>
        <v>18680619.096365999</v>
      </c>
      <c r="D115" s="622">
        <f ca="1" xml:space="preserve"> ($C$5*$C$11*((C$33*Mat_Sum!$D33)+(C$34*Mat_Sum!$E33)+(C$35*Mat_Sum!$I33)+(C$36*Mat_Sum!$AV33)+(C$37*Mat_Sum!$AR33)+(C$38*Mat_Sum!$AG33)+(C$39*Mat_Sum!$AG33)+(C$40*Mat_Sum!$AS33)))</f>
        <v>849421.19842243567</v>
      </c>
      <c r="E115" s="621">
        <f xml:space="preserve"> IF(MHDV_Inputs!$B$3=1,0,MHDV_Trailer_Fluids!B118)</f>
        <v>235596.80013438172</v>
      </c>
      <c r="F115" s="522">
        <f xml:space="preserve"> MHDV_Trailer_ADR!J124</f>
        <v>1294200.7755065691</v>
      </c>
      <c r="G115" s="516">
        <f t="shared" ca="1" si="2"/>
        <v>30624644.83012744</v>
      </c>
      <c r="H115" s="1021">
        <f t="shared" ca="1" si="3"/>
        <v>0.31232384939493352</v>
      </c>
      <c r="I115" s="302">
        <f t="shared" ca="1" si="4"/>
        <v>0.6099864733121303</v>
      </c>
      <c r="J115" s="302">
        <f t="shared" ca="1" si="5"/>
        <v>2.7736524068576469E-2</v>
      </c>
      <c r="K115" s="302">
        <f t="shared" ca="1" si="6"/>
        <v>7.6930459582868352E-3</v>
      </c>
      <c r="L115" s="593">
        <f t="shared" ca="1" si="7"/>
        <v>4.2260107266072849E-2</v>
      </c>
      <c r="M115" s="382"/>
      <c r="N115" s="382"/>
      <c r="O115" s="382"/>
      <c r="P115" s="382"/>
    </row>
    <row r="116" spans="1:16">
      <c r="A116" s="647" t="s">
        <v>851</v>
      </c>
      <c r="B116" s="517">
        <f ca="1" xml:space="preserve"> ($C$5*$C$9*((C$16*Mat_Sum!$D34)+(C$17*Mat_Sum!$L34)+(C$18*Mat_Sum!$I34)+(C$19*0)+(C$20*Mat_Sum!$AV34)))</f>
        <v>10924099.842981832</v>
      </c>
      <c r="C116" s="622">
        <f ca="1">($C$5*$C$10*((C$22*Mat_Sum!$E34)+(C$23*Mat_Sum!$D34)+(C$24*Mat_Sum!$F34)+(C$25*Mat_Sum!$L34)+(C$26*Mat_Sum!$I34)+(C$27*Mat_Sum!$AV34)+(C$28*Mat_Sum!$AR34)+(C$29*0)+(C$30*0)+(C$31*Mat_Sum!$E34)))+(($C$60*$D$60*$C$64*((($A$68*Mat_Sum!$AV34)+($B$68*Mat_Sum!$D34)))))</f>
        <v>19955907.556212727</v>
      </c>
      <c r="D116" s="622">
        <f ca="1" xml:space="preserve"> ($C$5*$C$11*((C$33*Mat_Sum!$D34)+(C$34*Mat_Sum!$E34)+(C$35*Mat_Sum!$I34)+(C$36*Mat_Sum!$AV34)+(C$37*Mat_Sum!$AR34)+(C$38*Mat_Sum!$AG34)+(C$39*Mat_Sum!$AG34)+(C$40*Mat_Sum!$AS34)))</f>
        <v>920719.06683490821</v>
      </c>
      <c r="E116" s="621">
        <f xml:space="preserve"> IF(MHDV_Inputs!$B$3=1,0,MHDV_Trailer_Fluids!B119)</f>
        <v>247696.12230708281</v>
      </c>
      <c r="F116" s="522">
        <f xml:space="preserve"> MHDV_Trailer_ADR!J125</f>
        <v>1400757.6657823434</v>
      </c>
      <c r="G116" s="516">
        <f t="shared" ca="1" si="2"/>
        <v>33449180.254118897</v>
      </c>
      <c r="H116" s="1019">
        <f t="shared" ca="1" si="3"/>
        <v>0.32658796897232334</v>
      </c>
      <c r="I116" s="1020">
        <f t="shared" ca="1" si="4"/>
        <v>0.59660378534255343</v>
      </c>
      <c r="J116" s="1020">
        <f t="shared" ca="1" si="5"/>
        <v>2.7525908253656885E-2</v>
      </c>
      <c r="K116" s="1020">
        <f t="shared" ca="1" si="6"/>
        <v>7.4051477622260045E-3</v>
      </c>
      <c r="L116" s="210">
        <f t="shared" ca="1" si="7"/>
        <v>4.1877189669240263E-2</v>
      </c>
      <c r="M116" s="382"/>
      <c r="N116" s="382"/>
      <c r="O116" s="382"/>
      <c r="P116" s="382"/>
    </row>
    <row r="117" spans="1:16">
      <c r="A117" s="293" t="s">
        <v>973</v>
      </c>
      <c r="B117" s="510"/>
      <c r="C117" s="512"/>
      <c r="D117" s="512"/>
      <c r="E117" s="512"/>
      <c r="F117" s="2954"/>
      <c r="G117" s="509"/>
      <c r="H117" s="1419"/>
      <c r="I117" s="1420"/>
      <c r="J117" s="1420"/>
      <c r="K117" s="1420"/>
      <c r="L117" s="1954"/>
      <c r="M117" s="382"/>
      <c r="N117" s="382"/>
      <c r="O117" s="382"/>
      <c r="P117" s="382"/>
    </row>
    <row r="118" spans="1:16">
      <c r="A118" s="490" t="s">
        <v>821</v>
      </c>
      <c r="B118" s="347">
        <f ca="1" xml:space="preserve"> ($C$5*$C$9*((C$16*Mat_Sum!$D36)+(C$17*Mat_Sum!$L36)+(C$18*Mat_Sum!$I36)+(C$19*0)+(C$20*Mat_Sum!$AV36)))</f>
        <v>79.412181653023907</v>
      </c>
      <c r="C118" s="621">
        <f ca="1">($C$5*$C$10*((C$22*Mat_Sum!$E36)+(C$23*Mat_Sum!$D36)+(C$24*Mat_Sum!$F36)+(C$25*Mat_Sum!$L36)+(C$26*Mat_Sum!$I36)+(C$27*Mat_Sum!$AV36)+(C$28*Mat_Sum!$AR36)+(C$29*0)+(C$30*0)+(C$31*Mat_Sum!$E36)))+(($C$60*$D$60*$C$64*((($A$68*Mat_Sum!$AV36)+($B$68*Mat_Sum!$D36)))))</f>
        <v>195.36557509328102</v>
      </c>
      <c r="D118" s="621">
        <f ca="1" xml:space="preserve"> ($C$5*$C$11*((C$33*Mat_Sum!$D36)+(C$34*Mat_Sum!$E36)+(C$35*Mat_Sum!$I36)+(C$36*Mat_Sum!$AV36)+(C$37*Mat_Sum!$AR36)+(C$38*Mat_Sum!$AG36)+(C$39*Mat_Sum!$AG36)+(C$40*Mat_Sum!$AS36)))</f>
        <v>5.6891067782408653</v>
      </c>
      <c r="E118" s="621">
        <f xml:space="preserve"> IF(MHDV_Inputs!$B$3=1,0,MHDV_Trailer_Fluids!B121)</f>
        <v>53.619019124491039</v>
      </c>
      <c r="F118" s="1125">
        <f xml:space="preserve"> MHDV_Trailer_ADR!J127</f>
        <v>10.034009253960043</v>
      </c>
      <c r="G118" s="348">
        <f t="shared" ca="1" si="2"/>
        <v>344.11989190299687</v>
      </c>
      <c r="H118" s="1021">
        <f t="shared" ref="H118:L125" ca="1" si="8" xml:space="preserve"> IF($G118=0,0%,B118/$G118)</f>
        <v>0.23076893699422996</v>
      </c>
      <c r="I118" s="302">
        <f t="shared" ca="1" si="8"/>
        <v>0.56772531809452087</v>
      </c>
      <c r="J118" s="302">
        <f t="shared" ca="1" si="8"/>
        <v>1.6532339199515248E-2</v>
      </c>
      <c r="K118" s="302">
        <f t="shared" ca="1" si="8"/>
        <v>0.15581493655590703</v>
      </c>
      <c r="L118" s="593">
        <f t="shared" ca="1" si="8"/>
        <v>2.9158469155826965E-2</v>
      </c>
      <c r="M118" s="382"/>
      <c r="N118" s="382"/>
      <c r="O118" s="382"/>
      <c r="P118" s="382"/>
    </row>
    <row r="119" spans="1:16">
      <c r="A119" s="490" t="s">
        <v>822</v>
      </c>
      <c r="B119" s="347">
        <f ca="1" xml:space="preserve"> ($C$5*$C$9*((C$16*Mat_Sum!$D37)+(C$17*Mat_Sum!$L37)+(C$18*Mat_Sum!$I37)+(C$19*0)+(C$20*Mat_Sum!$AV37)))</f>
        <v>328.75092367951169</v>
      </c>
      <c r="C119" s="621">
        <f ca="1">($C$5*$C$10*((C$22*Mat_Sum!$E37)+(C$23*Mat_Sum!$D37)+(C$24*Mat_Sum!$F37)+(C$25*Mat_Sum!$L37)+(C$26*Mat_Sum!$I37)+(C$27*Mat_Sum!$AV37)+(C$28*Mat_Sum!$AR37)+(C$29*0)+(C$30*0)+(C$31*Mat_Sum!$E37)))+(($C$60*$D$60*$C$64*((($A$68*Mat_Sum!$AV37)+($B$68*Mat_Sum!$D37)))))</f>
        <v>475.98395167944665</v>
      </c>
      <c r="D119" s="621">
        <f ca="1" xml:space="preserve"> ($C$5*$C$11*((C$33*Mat_Sum!$D37)+(C$34*Mat_Sum!$E37)+(C$35*Mat_Sum!$I37)+(C$36*Mat_Sum!$AV37)+(C$37*Mat_Sum!$AR37)+(C$38*Mat_Sum!$AG37)+(C$39*Mat_Sum!$AG37)+(C$40*Mat_Sum!$AS37)))</f>
        <v>24.045096961037832</v>
      </c>
      <c r="E119" s="621">
        <f xml:space="preserve"> IF(MHDV_Inputs!$B$3=1,0,MHDV_Trailer_Fluids!B122)</f>
        <v>25.989124921064651</v>
      </c>
      <c r="F119" s="1125">
        <f xml:space="preserve"> MHDV_Trailer_ADR!J128</f>
        <v>65.930565558300984</v>
      </c>
      <c r="G119" s="348">
        <f t="shared" ca="1" si="2"/>
        <v>920.69966279936182</v>
      </c>
      <c r="H119" s="1021">
        <f t="shared" ca="1" si="8"/>
        <v>0.35706641042960047</v>
      </c>
      <c r="I119" s="302">
        <f t="shared" ca="1" si="8"/>
        <v>0.51698069512943079</v>
      </c>
      <c r="J119" s="302">
        <f t="shared" ca="1" si="8"/>
        <v>2.6116113573811224E-2</v>
      </c>
      <c r="K119" s="302">
        <f t="shared" ca="1" si="8"/>
        <v>2.8227581665497124E-2</v>
      </c>
      <c r="L119" s="593">
        <f t="shared" ca="1" si="8"/>
        <v>7.1609199201660312E-2</v>
      </c>
      <c r="M119" s="382"/>
      <c r="N119" s="382"/>
      <c r="O119" s="382"/>
      <c r="P119" s="382"/>
    </row>
    <row r="120" spans="1:16" ht="15.75">
      <c r="A120" s="490" t="s">
        <v>2542</v>
      </c>
      <c r="B120" s="347">
        <f ca="1" xml:space="preserve"> ($C$5*$C$9*((C$16*Mat_Sum!$D38)+(C$17*Mat_Sum!$L38)+(C$18*Mat_Sum!$I38)+(C$19*0)+(C$20*Mat_Sum!$AV38)))</f>
        <v>960.53379129955385</v>
      </c>
      <c r="C120" s="621">
        <f ca="1">($C$5*$C$10*((C$22*Mat_Sum!$E38)+(C$23*Mat_Sum!$D38)+(C$24*Mat_Sum!$F38)+(C$25*Mat_Sum!$L38)+(C$26*Mat_Sum!$I38)+(C$27*Mat_Sum!$AV38)+(C$28*Mat_Sum!$AR38)+(C$29*0)+(C$30*0)+(C$31*Mat_Sum!$E38)))+(($C$60*$D$60*$C$64*((($A$68*Mat_Sum!$AV38)+($B$68*Mat_Sum!$D38)))))</f>
        <v>875.52919806772388</v>
      </c>
      <c r="D120" s="621">
        <f ca="1" xml:space="preserve"> ($C$5*$C$11*((C$33*Mat_Sum!$D38)+(C$34*Mat_Sum!$E38)+(C$35*Mat_Sum!$I38)+(C$36*Mat_Sum!$AV38)+(C$37*Mat_Sum!$AR38)+(C$38*Mat_Sum!$AG38)+(C$39*Mat_Sum!$AG38)+(C$40*Mat_Sum!$AS38)))</f>
        <v>54.947579476783545</v>
      </c>
      <c r="E120" s="621">
        <f xml:space="preserve"> IF(MHDV_Inputs!$B$3=1,0,MHDV_Trailer_Fluids!B123)</f>
        <v>136.09151710612934</v>
      </c>
      <c r="F120" s="1125">
        <f xml:space="preserve"> MHDV_Trailer_ADR!J129</f>
        <v>169.5700114840206</v>
      </c>
      <c r="G120" s="348">
        <f t="shared" ca="1" si="2"/>
        <v>2196.6720974342111</v>
      </c>
      <c r="H120" s="1021">
        <f t="shared" ca="1" si="8"/>
        <v>0.43726771620647914</v>
      </c>
      <c r="I120" s="302">
        <f t="shared" ca="1" si="8"/>
        <v>0.39857072846255581</v>
      </c>
      <c r="J120" s="302">
        <f t="shared" ca="1" si="8"/>
        <v>2.5014010757893369E-2</v>
      </c>
      <c r="K120" s="302">
        <f t="shared" ca="1" si="8"/>
        <v>6.1953496502772966E-2</v>
      </c>
      <c r="L120" s="593">
        <f t="shared" ca="1" si="8"/>
        <v>7.719404807029881E-2</v>
      </c>
      <c r="M120" s="382"/>
      <c r="N120" s="382"/>
      <c r="O120" s="382"/>
      <c r="P120" s="382"/>
    </row>
    <row r="121" spans="1:16" ht="15.75">
      <c r="A121" s="490" t="s">
        <v>2543</v>
      </c>
      <c r="B121" s="347">
        <f ca="1" xml:space="preserve"> ($C$5*$C$9*((C$16*Mat_Sum!$D39)+(C$17*Mat_Sum!$L39)+(C$18*Mat_Sum!$I39)+(C$19*0)+(C$20*Mat_Sum!$AV39)))</f>
        <v>113.5170633277598</v>
      </c>
      <c r="C121" s="621">
        <f ca="1">($C$5*$C$10*((C$22*Mat_Sum!$E39)+(C$23*Mat_Sum!$D39)+(C$24*Mat_Sum!$F39)+(C$25*Mat_Sum!$L39)+(C$26*Mat_Sum!$I39)+(C$27*Mat_Sum!$AV39)+(C$28*Mat_Sum!$AR39)+(C$29*0)+(C$30*0)+(C$31*Mat_Sum!$E39)))+(($C$60*$D$60*$C$64*((($A$68*Mat_Sum!$AV39)+($B$68*Mat_Sum!$D39)))))</f>
        <v>83.516472978169489</v>
      </c>
      <c r="D121" s="621">
        <f ca="1" xml:space="preserve"> ($C$5*$C$11*((C$33*Mat_Sum!$D39)+(C$34*Mat_Sum!$E39)+(C$35*Mat_Sum!$I39)+(C$36*Mat_Sum!$AV39)+(C$37*Mat_Sum!$AR39)+(C$38*Mat_Sum!$AG39)+(C$39*Mat_Sum!$AG39)+(C$40*Mat_Sum!$AS39)))</f>
        <v>5.7781890990428098</v>
      </c>
      <c r="E121" s="621">
        <f xml:space="preserve"> IF(MHDV_Inputs!$B$3=1,0,MHDV_Trailer_Fluids!B124)</f>
        <v>24.692549764643587</v>
      </c>
      <c r="F121" s="1125">
        <f xml:space="preserve"> MHDV_Trailer_ADR!J130</f>
        <v>20.314124919511542</v>
      </c>
      <c r="G121" s="348">
        <f t="shared" ca="1" si="2"/>
        <v>247.81840008912724</v>
      </c>
      <c r="H121" s="1021">
        <f t="shared" ca="1" si="8"/>
        <v>0.45806551606714307</v>
      </c>
      <c r="I121" s="302">
        <f t="shared" ca="1" si="8"/>
        <v>0.33700674747368642</v>
      </c>
      <c r="J121" s="302">
        <f t="shared" ca="1" si="8"/>
        <v>2.3316223076917206E-2</v>
      </c>
      <c r="K121" s="302">
        <f t="shared" ca="1" si="8"/>
        <v>9.963969485624545E-2</v>
      </c>
      <c r="L121" s="593">
        <f t="shared" ca="1" si="8"/>
        <v>8.1971818526007836E-2</v>
      </c>
      <c r="M121" s="382"/>
      <c r="N121" s="382"/>
      <c r="O121" s="382"/>
      <c r="P121" s="382"/>
    </row>
    <row r="122" spans="1:16" ht="15.75">
      <c r="A122" s="490" t="s">
        <v>2544</v>
      </c>
      <c r="B122" s="347">
        <f ca="1" xml:space="preserve"> ($C$5*$C$9*((C$16*Mat_Sum!$D40)+(C$17*Mat_Sum!$L40)+(C$18*Mat_Sum!$I40)+(C$19*0)+(C$20*Mat_Sum!$AV40)))</f>
        <v>95.737429891663268</v>
      </c>
      <c r="C122" s="621">
        <f ca="1">($C$5*$C$10*((C$22*Mat_Sum!$E40)+(C$23*Mat_Sum!$D40)+(C$24*Mat_Sum!$F40)+(C$25*Mat_Sum!$L40)+(C$26*Mat_Sum!$I40)+(C$27*Mat_Sum!$AV40)+(C$28*Mat_Sum!$AR40)+(C$29*0)+(C$30*0)+(C$31*Mat_Sum!$E40)))+(($C$60*$D$60*$C$64*((($A$68*Mat_Sum!$AV40)+($B$68*Mat_Sum!$D40)))))</f>
        <v>73.396668573490956</v>
      </c>
      <c r="D122" s="621">
        <f ca="1" xml:space="preserve"> ($C$5*$C$11*((C$33*Mat_Sum!$D40)+(C$34*Mat_Sum!$E40)+(C$35*Mat_Sum!$I40)+(C$36*Mat_Sum!$AV40)+(C$37*Mat_Sum!$AR40)+(C$38*Mat_Sum!$AG40)+(C$39*Mat_Sum!$AG40)+(C$40*Mat_Sum!$AS40)))</f>
        <v>5.0232161505131812</v>
      </c>
      <c r="E122" s="621">
        <f xml:space="preserve"> IF(MHDV_Inputs!$B$3=1,0,MHDV_Trailer_Fluids!B125)</f>
        <v>13.859028361607795</v>
      </c>
      <c r="F122" s="1125">
        <f xml:space="preserve"> MHDV_Trailer_ADR!J131</f>
        <v>17.866242628931484</v>
      </c>
      <c r="G122" s="348">
        <f t="shared" ca="1" si="2"/>
        <v>205.88258560620667</v>
      </c>
      <c r="H122" s="1021">
        <f t="shared" ca="1" si="8"/>
        <v>0.46500984825778824</v>
      </c>
      <c r="I122" s="302">
        <f t="shared" ca="1" si="8"/>
        <v>0.35649770162629185</v>
      </c>
      <c r="J122" s="302">
        <f t="shared" ca="1" si="8"/>
        <v>2.4398450872970521E-2</v>
      </c>
      <c r="K122" s="302">
        <f t="shared" ca="1" si="8"/>
        <v>6.7315204541466528E-2</v>
      </c>
      <c r="L122" s="593">
        <f t="shared" ca="1" si="8"/>
        <v>8.6778794701482892E-2</v>
      </c>
      <c r="M122" s="382"/>
      <c r="N122" s="382"/>
      <c r="O122" s="382"/>
      <c r="P122" s="382"/>
    </row>
    <row r="123" spans="1:16" ht="15.75">
      <c r="A123" s="490" t="s">
        <v>2545</v>
      </c>
      <c r="B123" s="347">
        <f ca="1" xml:space="preserve"> ($C$5*$C$9*((C$16*Mat_Sum!$D41)+(C$17*Mat_Sum!$L41)+(C$18*Mat_Sum!$I41)+(C$19*0)+(C$20*Mat_Sum!$AV41)))</f>
        <v>1075.1202367180633</v>
      </c>
      <c r="C123" s="621">
        <f ca="1">($C$5*$C$10*((C$22*Mat_Sum!$E41)+(C$23*Mat_Sum!$D41)+(C$24*Mat_Sum!$F41)+(C$25*Mat_Sum!$L41)+(C$26*Mat_Sum!$I41)+(C$27*Mat_Sum!$AV41)+(C$28*Mat_Sum!$AR41)+(C$29*0)+(C$30*0)+(C$31*Mat_Sum!$E41)))+(($C$60*$D$60*$C$64*((($A$68*Mat_Sum!$AV41)+($B$68*Mat_Sum!$D41)))))</f>
        <v>504.82720728960032</v>
      </c>
      <c r="D123" s="621">
        <f ca="1" xml:space="preserve"> ($C$5*$C$11*((C$33*Mat_Sum!$D41)+(C$34*Mat_Sum!$E41)+(C$35*Mat_Sum!$I41)+(C$36*Mat_Sum!$AV41)+(C$37*Mat_Sum!$AR41)+(C$38*Mat_Sum!$AG41)+(C$39*Mat_Sum!$AG41)+(C$40*Mat_Sum!$AS41)))</f>
        <v>45.843929371837234</v>
      </c>
      <c r="E123" s="621">
        <f xml:space="preserve"> IF(MHDV_Inputs!$B$3=1,0,MHDV_Trailer_Fluids!B126)</f>
        <v>280.29571082156895</v>
      </c>
      <c r="F123" s="1125">
        <f xml:space="preserve"> MHDV_Trailer_ADR!J132</f>
        <v>151.37993975130175</v>
      </c>
      <c r="G123" s="348">
        <f t="shared" ca="1" si="2"/>
        <v>2057.4670239523716</v>
      </c>
      <c r="H123" s="1021">
        <f t="shared" ca="1" si="8"/>
        <v>0.52254554955285215</v>
      </c>
      <c r="I123" s="302">
        <f t="shared" ca="1" si="8"/>
        <v>0.24536345001526819</v>
      </c>
      <c r="J123" s="302">
        <f t="shared" ca="1" si="8"/>
        <v>2.228173226503118E-2</v>
      </c>
      <c r="K123" s="302">
        <f t="shared" ca="1" si="8"/>
        <v>0.13623339162108367</v>
      </c>
      <c r="L123" s="593">
        <f t="shared" ca="1" si="8"/>
        <v>7.3575876545764779E-2</v>
      </c>
      <c r="M123" s="382"/>
      <c r="N123" s="382"/>
      <c r="O123" s="382"/>
      <c r="P123" s="382"/>
    </row>
    <row r="124" spans="1:16">
      <c r="A124" s="490" t="s">
        <v>827</v>
      </c>
      <c r="B124" s="347">
        <f ca="1" xml:space="preserve"> ($C$5*$C$9*((C$16*Mat_Sum!$D42)+(C$17*Mat_Sum!$L42)+(C$18*Mat_Sum!$I42)+(C$19*0)+(C$20*Mat_Sum!$AV42)))</f>
        <v>4.9514788626475887</v>
      </c>
      <c r="C124" s="621">
        <f ca="1">($C$5*$C$10*((C$22*Mat_Sum!$E42)+(C$23*Mat_Sum!$D42)+(C$24*Mat_Sum!$F42)+(C$25*Mat_Sum!$L42)+(C$26*Mat_Sum!$I42)+(C$27*Mat_Sum!$AV42)+(C$28*Mat_Sum!$AR42)+(C$29*0)+(C$30*0)+(C$31*Mat_Sum!$E42)))+(($C$60*$D$60*$C$64*((($A$68*Mat_Sum!$AV42)+($B$68*Mat_Sum!$D42)))))</f>
        <v>5.1394124036213791</v>
      </c>
      <c r="D124" s="621">
        <f ca="1" xml:space="preserve"> ($C$5*$C$11*((C$33*Mat_Sum!$D42)+(C$34*Mat_Sum!$E42)+(C$35*Mat_Sum!$I42)+(C$36*Mat_Sum!$AV42)+(C$37*Mat_Sum!$AR42)+(C$38*Mat_Sum!$AG42)+(C$39*Mat_Sum!$AG42)+(C$40*Mat_Sum!$AS42)))</f>
        <v>0.27593923487571709</v>
      </c>
      <c r="E124" s="621">
        <f xml:space="preserve"> IF(MHDV_Inputs!$B$3=1,0,MHDV_Trailer_Fluids!B127)</f>
        <v>1.0048708590799451</v>
      </c>
      <c r="F124" s="1125">
        <f xml:space="preserve"> MHDV_Trailer_ADR!J133</f>
        <v>0.92898674434806339</v>
      </c>
      <c r="G124" s="348">
        <f t="shared" ca="1" si="2"/>
        <v>12.300688104572695</v>
      </c>
      <c r="H124" s="1021">
        <f t="shared" ca="1" si="8"/>
        <v>0.40253673782744814</v>
      </c>
      <c r="I124" s="302">
        <f t="shared" ca="1" si="8"/>
        <v>0.41781503277941323</v>
      </c>
      <c r="J124" s="302">
        <f t="shared" ca="1" si="8"/>
        <v>2.2432829166129219E-2</v>
      </c>
      <c r="K124" s="302">
        <f t="shared" ca="1" si="8"/>
        <v>8.1692247664290535E-2</v>
      </c>
      <c r="L124" s="593">
        <f t="shared" ca="1" si="8"/>
        <v>7.5523152562718757E-2</v>
      </c>
      <c r="M124" s="382"/>
      <c r="N124" s="382"/>
      <c r="O124" s="382"/>
      <c r="P124" s="382"/>
    </row>
    <row r="125" spans="1:16">
      <c r="A125" s="647" t="s">
        <v>828</v>
      </c>
      <c r="B125" s="503">
        <f ca="1" xml:space="preserve"> ($C$5*$C$9*((C$16*Mat_Sum!$D43)+(C$17*Mat_Sum!$L43)+(C$18*Mat_Sum!$I43)+(C$19*0)+(C$20*Mat_Sum!$AV43)))</f>
        <v>14.094057224905869</v>
      </c>
      <c r="C125" s="505">
        <f ca="1">($C$5*$C$10*((C$22*Mat_Sum!$E43)+(C$23*Mat_Sum!$D43)+(C$24*Mat_Sum!$F43)+(C$25*Mat_Sum!$L43)+(C$26*Mat_Sum!$I43)+(C$27*Mat_Sum!$AV43)+(C$28*Mat_Sum!$AR43)+(C$29*0)+(C$30*0)+(C$31*Mat_Sum!$E43)))+(($C$60*$D$60*$C$64*((($A$68*Mat_Sum!$AV43)+($B$68*Mat_Sum!$D43)))))</f>
        <v>18.019276789591263</v>
      </c>
      <c r="D125" s="505">
        <f ca="1" xml:space="preserve"> ($C$5*$C$11*((C$33*Mat_Sum!$D43)+(C$34*Mat_Sum!$E43)+(C$35*Mat_Sum!$I43)+(C$36*Mat_Sum!$AV43)+(C$37*Mat_Sum!$AR43)+(C$38*Mat_Sum!$AG43)+(C$39*Mat_Sum!$AG43)+(C$40*Mat_Sum!$AS43)))</f>
        <v>1.2384814974410308</v>
      </c>
      <c r="E125" s="505">
        <f xml:space="preserve"> IF(MHDV_Inputs!$B$3=1,0,MHDV_Trailer_Fluids!B128)</f>
        <v>0.87944238170017186</v>
      </c>
      <c r="F125" s="2709">
        <f xml:space="preserve"> MHDV_Trailer_ADR!J134</f>
        <v>5.1139245727437856</v>
      </c>
      <c r="G125" s="502">
        <f t="shared" ca="1" si="2"/>
        <v>39.34518246638212</v>
      </c>
      <c r="H125" s="1019">
        <f t="shared" ca="1" si="8"/>
        <v>0.3582155766324967</v>
      </c>
      <c r="I125" s="1020">
        <f t="shared" ca="1" si="8"/>
        <v>0.45797924066021434</v>
      </c>
      <c r="J125" s="1020">
        <f t="shared" ca="1" si="8"/>
        <v>3.1477335211222673E-2</v>
      </c>
      <c r="K125" s="1020">
        <f t="shared" ca="1" si="8"/>
        <v>2.2351971107303869E-2</v>
      </c>
      <c r="L125" s="210">
        <f t="shared" ca="1" si="8"/>
        <v>0.12997587638876243</v>
      </c>
      <c r="M125" s="382"/>
      <c r="N125" s="382"/>
      <c r="O125" s="382"/>
      <c r="P125" s="382"/>
    </row>
  </sheetData>
  <mergeCells count="1">
    <mergeCell ref="H80:L80"/>
  </mergeCell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1">
    <tabColor theme="9" tint="0.59999389629810485"/>
  </sheetPr>
  <dimension ref="A1:Y187"/>
  <sheetViews>
    <sheetView showGridLines="0" zoomScale="85" zoomScaleNormal="85" workbookViewId="0">
      <pane xSplit="1" ySplit="6" topLeftCell="B7" activePane="bottomRight" state="frozen"/>
      <selection pane="topRight"/>
      <selection pane="bottomLeft"/>
      <selection pane="bottomRight"/>
    </sheetView>
  </sheetViews>
  <sheetFormatPr defaultColWidth="9.140625" defaultRowHeight="12.75"/>
  <cols>
    <col min="1" max="1" width="20.140625" style="439" customWidth="1"/>
    <col min="2" max="2" width="13.140625" style="439" customWidth="1"/>
    <col min="3" max="3" width="14.42578125" style="439" customWidth="1"/>
    <col min="4" max="4" width="18.28515625" style="439" customWidth="1"/>
    <col min="5" max="5" width="17" style="439" customWidth="1"/>
    <col min="6" max="6" width="12.28515625" style="439" customWidth="1"/>
    <col min="7" max="7" width="16.5703125" style="439" customWidth="1"/>
    <col min="8" max="8" width="14.140625" style="439" customWidth="1"/>
    <col min="9" max="12" width="12.28515625" style="439" customWidth="1"/>
    <col min="13" max="13" width="10.28515625" style="439" customWidth="1"/>
    <col min="14" max="14" width="16.7109375" style="439" customWidth="1"/>
    <col min="15" max="15" width="9.7109375" style="439" customWidth="1"/>
    <col min="16" max="16" width="10.42578125" style="439" customWidth="1"/>
    <col min="17" max="17" width="9.140625" style="439"/>
    <col min="18" max="18" width="9.7109375" style="439" customWidth="1"/>
    <col min="19" max="19" width="9.140625" style="439"/>
    <col min="20" max="20" width="15" style="439" customWidth="1"/>
    <col min="21" max="21" width="12.5703125" style="439" bestFit="1" customWidth="1"/>
    <col min="22" max="23" width="9.140625" style="439"/>
    <col min="24" max="24" width="14.28515625" style="439" customWidth="1"/>
    <col min="25" max="16384" width="9.140625" style="439"/>
  </cols>
  <sheetData>
    <row r="1" spans="1:24" ht="15.75">
      <c r="A1" s="81" t="s">
        <v>2595</v>
      </c>
    </row>
    <row r="2" spans="1:24" ht="13.5" customHeight="1">
      <c r="A2" s="172"/>
    </row>
    <row r="3" spans="1:24" ht="15">
      <c r="A3" s="120" t="s">
        <v>1888</v>
      </c>
    </row>
    <row r="4" spans="1:24">
      <c r="A4" s="172" t="s">
        <v>2596</v>
      </c>
    </row>
    <row r="5" spans="1:24">
      <c r="A5" s="482"/>
      <c r="B5" s="3091" t="s">
        <v>1875</v>
      </c>
      <c r="C5" s="3091"/>
      <c r="D5" s="3091"/>
      <c r="E5" s="3091"/>
      <c r="F5" s="3091"/>
      <c r="G5" s="3091"/>
      <c r="H5" s="3091" t="s">
        <v>1890</v>
      </c>
      <c r="I5" s="3091"/>
      <c r="J5" s="3091"/>
      <c r="K5" s="3091"/>
      <c r="L5" s="3091"/>
    </row>
    <row r="6" spans="1:24" ht="22.5" customHeight="1">
      <c r="A6" s="484"/>
      <c r="B6" s="2423" t="s">
        <v>1891</v>
      </c>
      <c r="C6" s="2424" t="s">
        <v>1892</v>
      </c>
      <c r="D6" s="2424" t="s">
        <v>1893</v>
      </c>
      <c r="E6" s="742" t="s">
        <v>2387</v>
      </c>
      <c r="F6" s="2424" t="s">
        <v>1418</v>
      </c>
      <c r="G6" s="2425" t="s">
        <v>1894</v>
      </c>
      <c r="H6" s="2426" t="s">
        <v>1891</v>
      </c>
      <c r="I6" s="2427" t="s">
        <v>1892</v>
      </c>
      <c r="J6" s="2427" t="s">
        <v>1893</v>
      </c>
      <c r="K6" s="2427" t="s">
        <v>2387</v>
      </c>
      <c r="L6" s="2428" t="s">
        <v>1418</v>
      </c>
      <c r="M6" s="2424"/>
      <c r="N6" s="2424"/>
      <c r="O6" s="2424"/>
      <c r="P6" s="2424"/>
      <c r="Q6" s="2424"/>
      <c r="R6" s="2424"/>
      <c r="T6" s="2424"/>
      <c r="U6" s="2424"/>
      <c r="V6" s="2424"/>
      <c r="W6" s="2424"/>
      <c r="X6" s="2424"/>
    </row>
    <row r="7" spans="1:24">
      <c r="A7" s="481" t="s">
        <v>876</v>
      </c>
      <c r="B7" s="510">
        <f ca="1" xml:space="preserve"> MHDV_Comp_Sum!B276</f>
        <v>378.73890884924936</v>
      </c>
      <c r="C7" s="512">
        <f xml:space="preserve"> MHDV_ADR!J106</f>
        <v>28.514205661628502</v>
      </c>
      <c r="D7" s="512">
        <f ca="1" xml:space="preserve"> MHDV_Battery_Sum!B159</f>
        <v>3.8158756499489006</v>
      </c>
      <c r="E7" s="512">
        <f ca="1" xml:space="preserve"> MHDV_Trailer_Comp_Sum!G97</f>
        <v>464.76653177396844</v>
      </c>
      <c r="F7" s="512">
        <f xml:space="preserve"> MHDV_Fluids!B103</f>
        <v>74.230562894011413</v>
      </c>
      <c r="G7" s="509">
        <f ca="1">SUM(B7:F7)</f>
        <v>950.06608482880665</v>
      </c>
      <c r="H7" s="784">
        <f t="shared" ref="H7:L33" ca="1" si="0">B7/$G7</f>
        <v>0.39864480471113195</v>
      </c>
      <c r="I7" s="591">
        <f t="shared" ca="1" si="0"/>
        <v>3.0012865543733735E-2</v>
      </c>
      <c r="J7" s="591">
        <f t="shared" ca="1" si="0"/>
        <v>4.0164318155157461E-3</v>
      </c>
      <c r="K7" s="591">
        <f t="shared" ca="1" si="0"/>
        <v>0.48919389839888366</v>
      </c>
      <c r="L7" s="896">
        <f t="shared" ca="1" si="0"/>
        <v>7.8131999530734839E-2</v>
      </c>
      <c r="N7" s="446"/>
      <c r="O7" s="446"/>
      <c r="P7" s="446"/>
      <c r="Q7" s="446"/>
      <c r="R7" s="446"/>
      <c r="T7" s="812"/>
      <c r="U7" s="2430"/>
      <c r="X7" s="2430"/>
    </row>
    <row r="8" spans="1:24">
      <c r="A8" s="100" t="s">
        <v>877</v>
      </c>
      <c r="B8" s="347">
        <f ca="1" xml:space="preserve"> MHDV_Comp_Sum!B277</f>
        <v>347.56824532852846</v>
      </c>
      <c r="C8" s="621">
        <f xml:space="preserve"> MHDV_ADR!J107</f>
        <v>23.793061394997494</v>
      </c>
      <c r="D8" s="621">
        <f ca="1" xml:space="preserve"> MHDV_Battery_Sum!B160</f>
        <v>3.6260466987181714</v>
      </c>
      <c r="E8" s="621">
        <f ca="1" xml:space="preserve"> MHDV_Trailer_Comp_Sum!G98</f>
        <v>390.18912763958991</v>
      </c>
      <c r="F8" s="621">
        <f xml:space="preserve"> MHDV_Fluids!B104</f>
        <v>73.806351800997618</v>
      </c>
      <c r="G8" s="348">
        <f t="shared" ref="G8:G31" ca="1" si="1">SUM(B8:F8)</f>
        <v>838.98283286283163</v>
      </c>
      <c r="H8" s="416">
        <f t="shared" ca="1" si="0"/>
        <v>0.41427336974528256</v>
      </c>
      <c r="I8" s="382">
        <f t="shared" ca="1" si="0"/>
        <v>2.8359413879553728E-2</v>
      </c>
      <c r="J8" s="382">
        <f t="shared" ca="1" si="0"/>
        <v>4.3219557739282216E-3</v>
      </c>
      <c r="K8" s="382">
        <f t="shared" ca="1" si="0"/>
        <v>0.4650740305473966</v>
      </c>
      <c r="L8" s="746">
        <f t="shared" ca="1" si="0"/>
        <v>8.7971230053838889E-2</v>
      </c>
      <c r="N8" s="446"/>
      <c r="O8" s="446"/>
      <c r="P8" s="446"/>
      <c r="Q8" s="446"/>
      <c r="R8" s="446"/>
      <c r="T8" s="812"/>
      <c r="U8" s="2430"/>
      <c r="X8" s="2430"/>
    </row>
    <row r="9" spans="1:24">
      <c r="A9" s="100" t="s">
        <v>442</v>
      </c>
      <c r="B9" s="347">
        <f ca="1" xml:space="preserve"> MHDV_Comp_Sum!B278</f>
        <v>133.59227349901369</v>
      </c>
      <c r="C9" s="621">
        <f xml:space="preserve"> MHDV_ADR!J108</f>
        <v>6.2409856830582626</v>
      </c>
      <c r="D9" s="621">
        <f ca="1" xml:space="preserve"> MHDV_Battery_Sum!B161</f>
        <v>1.6223167845884725</v>
      </c>
      <c r="E9" s="621">
        <f ca="1" xml:space="preserve"> MHDV_Trailer_Comp_Sum!G99</f>
        <v>108.99833373701478</v>
      </c>
      <c r="F9" s="621">
        <f xml:space="preserve"> MHDV_Fluids!B105</f>
        <v>0.54313483185283629</v>
      </c>
      <c r="G9" s="348">
        <f ca="1">SUM(B9:F9)</f>
        <v>250.997044535528</v>
      </c>
      <c r="H9" s="416">
        <f t="shared" ca="1" si="0"/>
        <v>0.53224640053522232</v>
      </c>
      <c r="I9" s="382">
        <f t="shared" ca="1" si="0"/>
        <v>2.4864777569820615E-2</v>
      </c>
      <c r="J9" s="382">
        <f t="shared" ca="1" si="0"/>
        <v>6.4634895904474984E-3</v>
      </c>
      <c r="K9" s="382">
        <f t="shared" ca="1" si="0"/>
        <v>0.43426142303275739</v>
      </c>
      <c r="L9" s="746">
        <f t="shared" ca="1" si="0"/>
        <v>2.1639092717522295E-3</v>
      </c>
      <c r="N9" s="446"/>
      <c r="O9" s="446"/>
      <c r="P9" s="446"/>
      <c r="Q9" s="446"/>
      <c r="R9" s="446"/>
      <c r="T9" s="812"/>
      <c r="U9" s="2430"/>
      <c r="X9" s="2430"/>
    </row>
    <row r="10" spans="1:24">
      <c r="A10" s="100" t="s">
        <v>878</v>
      </c>
      <c r="B10" s="347">
        <f ca="1" xml:space="preserve"> MHDV_Comp_Sum!B279</f>
        <v>159.4897559326109</v>
      </c>
      <c r="C10" s="621">
        <f xml:space="preserve"> MHDV_ADR!J109</f>
        <v>17.33578426015664</v>
      </c>
      <c r="D10" s="621">
        <f ca="1" xml:space="preserve"> MHDV_Battery_Sum!B162</f>
        <v>1.2431806391386901</v>
      </c>
      <c r="E10" s="621">
        <f ca="1" xml:space="preserve"> MHDV_Trailer_Comp_Sum!G100</f>
        <v>193.17440599258265</v>
      </c>
      <c r="F10" s="621">
        <f xml:space="preserve"> MHDV_Fluids!B106</f>
        <v>11.238057981104628</v>
      </c>
      <c r="G10" s="348">
        <f ca="1">G8-G9-G11</f>
        <v>382.48118480559339</v>
      </c>
      <c r="H10" s="416">
        <f t="shared" ca="1" si="0"/>
        <v>0.41698719379797983</v>
      </c>
      <c r="I10" s="382">
        <f t="shared" ca="1" si="0"/>
        <v>4.5324541307745714E-2</v>
      </c>
      <c r="J10" s="382">
        <f t="shared" ca="1" si="0"/>
        <v>3.2503053444853007E-3</v>
      </c>
      <c r="K10" s="382">
        <f t="shared" ca="1" si="0"/>
        <v>0.50505597050680773</v>
      </c>
      <c r="L10" s="746">
        <f t="shared" ca="1" si="0"/>
        <v>2.9381989042981765E-2</v>
      </c>
      <c r="N10" s="446"/>
      <c r="O10" s="446"/>
      <c r="P10" s="446"/>
      <c r="Q10" s="446"/>
      <c r="R10" s="446"/>
      <c r="T10" s="812"/>
      <c r="U10" s="2430"/>
      <c r="X10" s="2430"/>
    </row>
    <row r="11" spans="1:24">
      <c r="A11" s="100" t="s">
        <v>440</v>
      </c>
      <c r="B11" s="347">
        <f ca="1" xml:space="preserve"> MHDV_Comp_Sum!B280</f>
        <v>54.48621589690395</v>
      </c>
      <c r="C11" s="621">
        <f xml:space="preserve"> MHDV_ADR!J110</f>
        <v>0.21629145178259165</v>
      </c>
      <c r="D11" s="621">
        <f ca="1" xml:space="preserve"> MHDV_Battery_Sum!B163</f>
        <v>0.76054927499100877</v>
      </c>
      <c r="E11" s="621">
        <f ca="1" xml:space="preserve"> MHDV_Trailer_Comp_Sum!G101</f>
        <v>88.016387909992574</v>
      </c>
      <c r="F11" s="621">
        <f xml:space="preserve"> MHDV_Fluids!B107</f>
        <v>62.025158988040168</v>
      </c>
      <c r="G11" s="348">
        <f t="shared" ca="1" si="1"/>
        <v>205.50460352171029</v>
      </c>
      <c r="H11" s="416">
        <f t="shared" ca="1" si="0"/>
        <v>0.26513379731246661</v>
      </c>
      <c r="I11" s="382">
        <f t="shared" ca="1" si="0"/>
        <v>1.0524895699465038E-3</v>
      </c>
      <c r="J11" s="382">
        <f t="shared" ca="1" si="0"/>
        <v>3.7008868023273331E-3</v>
      </c>
      <c r="K11" s="382">
        <f t="shared" ca="1" si="0"/>
        <v>0.42829399634687104</v>
      </c>
      <c r="L11" s="746">
        <f t="shared" ca="1" si="0"/>
        <v>0.30181882996838849</v>
      </c>
      <c r="N11" s="446"/>
      <c r="O11" s="446"/>
      <c r="P11" s="446"/>
      <c r="Q11" s="446"/>
      <c r="R11" s="446"/>
      <c r="T11" s="812"/>
      <c r="U11" s="2430"/>
      <c r="X11" s="2430"/>
    </row>
    <row r="12" spans="1:24">
      <c r="A12" s="118" t="s">
        <v>819</v>
      </c>
      <c r="B12" s="503">
        <f ca="1" xml:space="preserve"> MHDV_Comp_Sum!B281</f>
        <v>15658.485541218522</v>
      </c>
      <c r="C12" s="505">
        <f xml:space="preserve"> MHDV_ADR!J111</f>
        <v>1231.7467899904041</v>
      </c>
      <c r="D12" s="505">
        <f ca="1" xml:space="preserve"> MHDV_Battery_Sum!B164</f>
        <v>93.206208246800387</v>
      </c>
      <c r="E12" s="505">
        <f ca="1" xml:space="preserve"> MHDV_Trailer_Comp_Sum!G102</f>
        <v>42795.708817834573</v>
      </c>
      <c r="F12" s="505">
        <f xml:space="preserve"> MHDV_Fluids!B108</f>
        <v>1565.5167563332607</v>
      </c>
      <c r="G12" s="752">
        <f t="shared" ca="1" si="1"/>
        <v>61344.664113623563</v>
      </c>
      <c r="H12" s="664">
        <f t="shared" ca="1" si="0"/>
        <v>0.25525423877479592</v>
      </c>
      <c r="I12" s="368">
        <f t="shared" ca="1" si="0"/>
        <v>2.0079118661550467E-2</v>
      </c>
      <c r="J12" s="368">
        <f t="shared" ca="1" si="0"/>
        <v>1.5193857459902685E-3</v>
      </c>
      <c r="K12" s="368">
        <f t="shared" ca="1" si="0"/>
        <v>0.69762724168751955</v>
      </c>
      <c r="L12" s="747">
        <f t="shared" ca="1" si="0"/>
        <v>2.5520015130143767E-2</v>
      </c>
      <c r="N12" s="446"/>
      <c r="O12" s="446"/>
      <c r="P12" s="446"/>
      <c r="Q12" s="446"/>
      <c r="R12" s="446"/>
      <c r="T12" s="812"/>
      <c r="U12" s="2430"/>
      <c r="X12" s="2430"/>
    </row>
    <row r="13" spans="1:24" ht="15.75">
      <c r="A13" s="58" t="s">
        <v>2597</v>
      </c>
      <c r="B13" s="2955">
        <f ca="1" xml:space="preserve"> MHDV_Comp_Sum!B293</f>
        <v>25378235.286553137</v>
      </c>
      <c r="C13" s="2956">
        <f xml:space="preserve"> MHDV_ADR!J123</f>
        <v>1669839.8828504242</v>
      </c>
      <c r="D13" s="2956">
        <f ca="1" xml:space="preserve"> MHDV_Battery_Sum!B176</f>
        <v>168842.46010845029</v>
      </c>
      <c r="E13" s="246">
        <f ca="1" xml:space="preserve"> MHDV_Trailer_Comp_Sum!G114</f>
        <v>30409394.573856991</v>
      </c>
      <c r="F13" s="2956">
        <f xml:space="preserve"> MHDV_Fluids!B120</f>
        <v>4392334.9324915139</v>
      </c>
      <c r="G13" s="2957">
        <f t="shared" ca="1" si="1"/>
        <v>62018647.135860518</v>
      </c>
      <c r="H13" s="784">
        <f t="shared" ca="1" si="0"/>
        <v>0.40920330349932599</v>
      </c>
      <c r="I13" s="591">
        <f t="shared" ca="1" si="0"/>
        <v>2.6924803425531139E-2</v>
      </c>
      <c r="J13" s="591">
        <f t="shared" ca="1" si="0"/>
        <v>2.722446681859688E-3</v>
      </c>
      <c r="K13" s="591">
        <f t="shared" ca="1" si="0"/>
        <v>0.49032663526569614</v>
      </c>
      <c r="L13" s="896">
        <f t="shared" ca="1" si="0"/>
        <v>7.0822811127586996E-2</v>
      </c>
      <c r="N13" s="446"/>
      <c r="O13" s="446"/>
      <c r="P13" s="446"/>
      <c r="Q13" s="446"/>
      <c r="R13" s="446"/>
      <c r="T13" s="812"/>
      <c r="U13" s="2430"/>
      <c r="X13" s="2431"/>
    </row>
    <row r="14" spans="1:24" ht="15.75">
      <c r="A14" s="59" t="s">
        <v>2598</v>
      </c>
      <c r="B14" s="251">
        <f ca="1" xml:space="preserve"> MHDV_Comp_Sum!B294</f>
        <v>25653939.230040953</v>
      </c>
      <c r="C14" s="246">
        <f xml:space="preserve"> MHDV_ADR!J124</f>
        <v>1676658.014298873</v>
      </c>
      <c r="D14" s="246">
        <f ca="1" xml:space="preserve"> MHDV_Battery_Sum!B177</f>
        <v>169472.03206994265</v>
      </c>
      <c r="E14" s="246">
        <f ca="1" xml:space="preserve"> MHDV_Trailer_Comp_Sum!G115</f>
        <v>30624644.83012744</v>
      </c>
      <c r="F14" s="246">
        <f xml:space="preserve"> MHDV_Fluids!B121</f>
        <v>4590859.1613019863</v>
      </c>
      <c r="G14" s="247">
        <f t="shared" ca="1" si="1"/>
        <v>62715573.267839193</v>
      </c>
      <c r="H14" s="416">
        <f t="shared" ca="1" si="0"/>
        <v>0.40905213638852916</v>
      </c>
      <c r="I14" s="382">
        <f t="shared" ca="1" si="0"/>
        <v>2.6734316963641154E-2</v>
      </c>
      <c r="J14" s="382">
        <f t="shared" ca="1" si="0"/>
        <v>2.702232049226099E-3</v>
      </c>
      <c r="K14" s="382">
        <f t="shared" ca="1" si="0"/>
        <v>0.48831005178472769</v>
      </c>
      <c r="L14" s="588">
        <f t="shared" ca="1" si="0"/>
        <v>7.32012628138759E-2</v>
      </c>
      <c r="N14" s="446"/>
      <c r="O14" s="446"/>
      <c r="P14" s="446"/>
      <c r="Q14" s="446"/>
      <c r="R14" s="446"/>
      <c r="T14" s="812"/>
      <c r="U14" s="2430"/>
      <c r="X14" s="2431"/>
    </row>
    <row r="15" spans="1:24" ht="15.75">
      <c r="A15" s="59" t="s">
        <v>2320</v>
      </c>
      <c r="B15" s="347">
        <f ca="1" xml:space="preserve"> MHDV_Comp_Sum!B291</f>
        <v>58057.994692155502</v>
      </c>
      <c r="C15" s="621">
        <f xml:space="preserve"> MHDV_ADR!J121</f>
        <v>4144.6685548756859</v>
      </c>
      <c r="D15" s="621">
        <f ca="1" xml:space="preserve"> MHDV_Battery_Sum!B174</f>
        <v>906.44776964069695</v>
      </c>
      <c r="E15" s="621">
        <f ca="1" xml:space="preserve"> MHDV_Trailer_Comp_Sum!G112</f>
        <v>61082.696001410855</v>
      </c>
      <c r="F15" s="621">
        <f xml:space="preserve"> MHDV_Fluids!B118</f>
        <v>7217.7128907141359</v>
      </c>
      <c r="G15" s="348">
        <f t="shared" ca="1" si="1"/>
        <v>131409.51990879688</v>
      </c>
      <c r="H15" s="416">
        <f t="shared" ca="1" si="0"/>
        <v>0.44180965528562866</v>
      </c>
      <c r="I15" s="382">
        <f t="shared" ca="1" si="0"/>
        <v>3.1540093577331695E-2</v>
      </c>
      <c r="J15" s="382">
        <f t="shared" ca="1" si="0"/>
        <v>6.8978851020063507E-3</v>
      </c>
      <c r="K15" s="382">
        <f t="shared" ca="1" si="0"/>
        <v>0.46482702352009603</v>
      </c>
      <c r="L15" s="746">
        <f t="shared" ca="1" si="0"/>
        <v>5.4925342514937261E-2</v>
      </c>
      <c r="N15" s="446"/>
      <c r="O15" s="446"/>
      <c r="P15" s="446"/>
      <c r="Q15" s="446"/>
      <c r="R15" s="446"/>
      <c r="T15" s="812"/>
      <c r="U15" s="2430"/>
      <c r="X15" s="2430"/>
    </row>
    <row r="16" spans="1:24" ht="15.75">
      <c r="A16" s="59" t="s">
        <v>2321</v>
      </c>
      <c r="B16" s="347">
        <f ca="1" xml:space="preserve"> MHDV_Comp_Sum!B292</f>
        <v>494.23904545173525</v>
      </c>
      <c r="C16" s="621">
        <f xml:space="preserve"> MHDV_ADR!J122</f>
        <v>38.644980147113287</v>
      </c>
      <c r="D16" s="621">
        <f ca="1" xml:space="preserve"> MHDV_Battery_Sum!B175</f>
        <v>3.1323597596352872</v>
      </c>
      <c r="E16" s="621">
        <f ca="1" xml:space="preserve"> MHDV_Trailer_Comp_Sum!G113</f>
        <v>599.34144010845898</v>
      </c>
      <c r="F16" s="621">
        <f xml:space="preserve"> MHDV_Fluids!B119</f>
        <v>85.563114618465164</v>
      </c>
      <c r="G16" s="348">
        <f t="shared" ca="1" si="1"/>
        <v>1220.9209400854079</v>
      </c>
      <c r="H16" s="416">
        <f t="shared" ca="1" si="0"/>
        <v>0.40480839440526051</v>
      </c>
      <c r="I16" s="382">
        <f t="shared" ca="1" si="0"/>
        <v>3.1652319882735348E-2</v>
      </c>
      <c r="J16" s="382">
        <f t="shared" ca="1" si="0"/>
        <v>2.5655713296359444E-3</v>
      </c>
      <c r="K16" s="382">
        <f t="shared" ca="1" si="0"/>
        <v>0.49089291569242222</v>
      </c>
      <c r="L16" s="746">
        <f t="shared" ca="1" si="0"/>
        <v>7.0080798689946058E-2</v>
      </c>
      <c r="N16" s="446"/>
      <c r="O16" s="446"/>
      <c r="P16" s="446"/>
      <c r="Q16" s="446"/>
      <c r="R16" s="446"/>
      <c r="T16" s="812"/>
      <c r="U16" s="2430"/>
      <c r="X16" s="2430"/>
    </row>
    <row r="17" spans="1:25">
      <c r="A17" s="484" t="s">
        <v>1896</v>
      </c>
      <c r="B17" s="668">
        <f ca="1" xml:space="preserve"> MHDV_Comp_Sum!B295</f>
        <v>27736282.875453256</v>
      </c>
      <c r="C17" s="294">
        <f xml:space="preserve"> MHDV_ADR!J125</f>
        <v>1811238.9906841286</v>
      </c>
      <c r="D17" s="294">
        <f ca="1" xml:space="preserve"> MHDV_Battery_Sum!B178</f>
        <v>197495.54049546691</v>
      </c>
      <c r="E17" s="246">
        <f ca="1" xml:space="preserve"> MHDV_Trailer_Comp_Sum!G116</f>
        <v>33449180.254118897</v>
      </c>
      <c r="F17" s="294">
        <f xml:space="preserve"> MHDV_Fluids!B122</f>
        <v>4830064.7733973013</v>
      </c>
      <c r="G17" s="296">
        <f t="shared" ca="1" si="1"/>
        <v>68024262.434149042</v>
      </c>
      <c r="H17" s="664">
        <f t="shared" ca="1" si="0"/>
        <v>0.40774103066980538</v>
      </c>
      <c r="I17" s="368">
        <f t="shared" ca="1" si="0"/>
        <v>2.6626367208869049E-2</v>
      </c>
      <c r="J17" s="368">
        <f t="shared" ca="1" si="0"/>
        <v>2.9033102811905189E-3</v>
      </c>
      <c r="K17" s="368">
        <f t="shared" ca="1" si="0"/>
        <v>0.49172426215571852</v>
      </c>
      <c r="L17" s="428">
        <f t="shared" ca="1" si="0"/>
        <v>7.100502968441666E-2</v>
      </c>
      <c r="N17" s="446"/>
      <c r="O17" s="446"/>
      <c r="P17" s="446"/>
      <c r="Q17" s="446"/>
      <c r="R17" s="446"/>
      <c r="T17" s="812"/>
      <c r="U17" s="2430"/>
      <c r="X17" s="2431"/>
    </row>
    <row r="18" spans="1:25" ht="15.75" customHeight="1">
      <c r="A18" s="481" t="s">
        <v>879</v>
      </c>
      <c r="B18" s="510">
        <f ca="1" xml:space="preserve"> MHDV_Comp_Sum!B283</f>
        <v>29290.497738647329</v>
      </c>
      <c r="C18" s="512">
        <f xml:space="preserve"> MHDV_ADR!J113</f>
        <v>1822.7303489865728</v>
      </c>
      <c r="D18" s="512">
        <f ca="1" xml:space="preserve"> MHDV_Battery_Sum!B166</f>
        <v>106.98679871730197</v>
      </c>
      <c r="E18" s="512">
        <f ca="1" xml:space="preserve"> MHDV_Trailer_Comp_Sum!G104</f>
        <v>33162.817623247538</v>
      </c>
      <c r="F18" s="512">
        <f xml:space="preserve"> MHDV_Fluids!B110</f>
        <v>62950.022274068491</v>
      </c>
      <c r="G18" s="509">
        <f t="shared" ca="1" si="1"/>
        <v>127333.05478366723</v>
      </c>
      <c r="H18" s="784">
        <f t="shared" ca="1" si="0"/>
        <v>0.23003059015909486</v>
      </c>
      <c r="I18" s="591">
        <f t="shared" ca="1" si="0"/>
        <v>1.4314667562820231E-2</v>
      </c>
      <c r="J18" s="591">
        <f t="shared" ca="1" si="0"/>
        <v>8.402122991478326E-4</v>
      </c>
      <c r="K18" s="591">
        <f t="shared" ca="1" si="0"/>
        <v>0.26044154583104584</v>
      </c>
      <c r="L18" s="896">
        <f t="shared" ca="1" si="0"/>
        <v>0.49437298414789127</v>
      </c>
      <c r="N18" s="446"/>
      <c r="O18" s="446"/>
      <c r="P18" s="446"/>
      <c r="Q18" s="446"/>
      <c r="R18" s="446"/>
      <c r="T18" s="812"/>
      <c r="U18" s="2430"/>
      <c r="X18" s="2430"/>
      <c r="Y18" s="2430"/>
    </row>
    <row r="19" spans="1:25">
      <c r="A19" s="100" t="s">
        <v>880</v>
      </c>
      <c r="B19" s="347">
        <f ca="1" xml:space="preserve"> MHDV_Comp_Sum!B284</f>
        <v>117355.14352271991</v>
      </c>
      <c r="C19" s="621">
        <f xml:space="preserve"> MHDV_ADR!J114</f>
        <v>723.72906291693016</v>
      </c>
      <c r="D19" s="621">
        <f ca="1" xml:space="preserve"> MHDV_Battery_Sum!B167</f>
        <v>188.44621864523319</v>
      </c>
      <c r="E19" s="621">
        <f ca="1" xml:space="preserve"> MHDV_Trailer_Comp_Sum!G105</f>
        <v>71204.514189028036</v>
      </c>
      <c r="F19" s="621">
        <f xml:space="preserve"> MHDV_Fluids!B111</f>
        <v>1482.722641882285</v>
      </c>
      <c r="G19" s="348">
        <f t="shared" ca="1" si="1"/>
        <v>190954.5556351924</v>
      </c>
      <c r="H19" s="416">
        <f t="shared" ca="1" si="0"/>
        <v>0.61457105923631439</v>
      </c>
      <c r="I19" s="382">
        <f t="shared" ca="1" si="0"/>
        <v>3.7900591609847348E-3</v>
      </c>
      <c r="J19" s="382">
        <f t="shared" ca="1" si="0"/>
        <v>9.8686422022446416E-4</v>
      </c>
      <c r="K19" s="382">
        <f t="shared" ca="1" si="0"/>
        <v>0.37288722414698566</v>
      </c>
      <c r="L19" s="746">
        <f t="shared" ca="1" si="0"/>
        <v>7.7647932354907552E-3</v>
      </c>
      <c r="N19" s="446"/>
      <c r="O19" s="446"/>
      <c r="P19" s="446"/>
      <c r="Q19" s="446"/>
      <c r="R19" s="446"/>
      <c r="T19" s="812"/>
      <c r="U19" s="2430"/>
      <c r="X19" s="2430"/>
    </row>
    <row r="20" spans="1:25" ht="15.75">
      <c r="A20" s="59" t="s">
        <v>2599</v>
      </c>
      <c r="B20" s="347">
        <f ca="1" xml:space="preserve"> MHDV_Comp_Sum!B285</f>
        <v>29046.946214874195</v>
      </c>
      <c r="C20" s="621">
        <f xml:space="preserve"> MHDV_ADR!J115</f>
        <v>1273.5668914591668</v>
      </c>
      <c r="D20" s="621">
        <f ca="1" xml:space="preserve"> MHDV_Battery_Sum!B168</f>
        <v>219.83863144497013</v>
      </c>
      <c r="E20" s="621">
        <f ca="1" xml:space="preserve"> MHDV_Trailer_Comp_Sum!G106</f>
        <v>32666.016327680281</v>
      </c>
      <c r="F20" s="621">
        <f xml:space="preserve"> MHDV_Fluids!B112</f>
        <v>5775.1512714287637</v>
      </c>
      <c r="G20" s="348">
        <f t="shared" ca="1" si="1"/>
        <v>68981.519336887373</v>
      </c>
      <c r="H20" s="416">
        <f t="shared" ca="1" si="0"/>
        <v>0.4210830160613982</v>
      </c>
      <c r="I20" s="382">
        <f t="shared" ca="1" si="0"/>
        <v>1.8462436080008693E-2</v>
      </c>
      <c r="J20" s="382">
        <f t="shared" ca="1" si="0"/>
        <v>3.1869206935170096E-3</v>
      </c>
      <c r="K20" s="382">
        <f t="shared" ca="1" si="0"/>
        <v>0.4735473593753155</v>
      </c>
      <c r="L20" s="746">
        <f t="shared" ca="1" si="0"/>
        <v>8.3720267789760661E-2</v>
      </c>
      <c r="N20" s="446"/>
      <c r="O20" s="446"/>
      <c r="P20" s="446"/>
      <c r="Q20" s="446"/>
      <c r="R20" s="446"/>
      <c r="T20" s="812"/>
      <c r="U20" s="2430"/>
      <c r="X20" s="2430"/>
    </row>
    <row r="21" spans="1:25" ht="15.75">
      <c r="A21" s="59" t="s">
        <v>2322</v>
      </c>
      <c r="B21" s="347">
        <f ca="1" xml:space="preserve"> MHDV_Comp_Sum!B286</f>
        <v>13446.396532598761</v>
      </c>
      <c r="C21" s="621">
        <f xml:space="preserve"> MHDV_ADR!J116</f>
        <v>218.87657723641991</v>
      </c>
      <c r="D21" s="621">
        <f ca="1" xml:space="preserve"> MHDV_Battery_Sum!B169</f>
        <v>254.43522006597476</v>
      </c>
      <c r="E21" s="621">
        <f ca="1" xml:space="preserve"> MHDV_Trailer_Comp_Sum!G107</f>
        <v>13810.109497728403</v>
      </c>
      <c r="F21" s="621">
        <f xml:space="preserve"> MHDV_Fluids!B113</f>
        <v>915.59460687950025</v>
      </c>
      <c r="G21" s="348">
        <f t="shared" ca="1" si="1"/>
        <v>28645.41243450906</v>
      </c>
      <c r="H21" s="416">
        <f t="shared" ca="1" si="0"/>
        <v>0.46940837606512931</v>
      </c>
      <c r="I21" s="382">
        <f t="shared" ca="1" si="0"/>
        <v>7.6408946017736444E-3</v>
      </c>
      <c r="J21" s="382">
        <f t="shared" ca="1" si="0"/>
        <v>8.8822327361381351E-3</v>
      </c>
      <c r="K21" s="382">
        <f t="shared" ca="1" si="0"/>
        <v>0.48210545159026569</v>
      </c>
      <c r="L21" s="746">
        <f t="shared" ca="1" si="0"/>
        <v>3.1963045006693135E-2</v>
      </c>
      <c r="N21" s="446"/>
      <c r="O21" s="446"/>
      <c r="P21" s="446"/>
      <c r="Q21" s="446"/>
      <c r="R21" s="446"/>
      <c r="T21" s="812"/>
      <c r="U21" s="2430"/>
      <c r="X21" s="2430"/>
    </row>
    <row r="22" spans="1:25" ht="15.75">
      <c r="A22" s="59" t="s">
        <v>2323</v>
      </c>
      <c r="B22" s="347">
        <f ca="1" xml:space="preserve"> MHDV_Comp_Sum!B287</f>
        <v>6327.4763303993996</v>
      </c>
      <c r="C22" s="621">
        <f xml:space="preserve"> MHDV_ADR!J117</f>
        <v>133.44337186571244</v>
      </c>
      <c r="D22" s="621">
        <f ca="1" xml:space="preserve"> MHDV_Battery_Sum!B170</f>
        <v>125.74112816813512</v>
      </c>
      <c r="E22" s="621">
        <f ca="1" xml:space="preserve"> MHDV_Trailer_Comp_Sum!G108</f>
        <v>7022.3509914961151</v>
      </c>
      <c r="F22" s="621">
        <f xml:space="preserve"> MHDV_Fluids!B114</f>
        <v>515.49473257873058</v>
      </c>
      <c r="G22" s="348">
        <f ca="1">SUM(B22:F22)</f>
        <v>14124.506554508092</v>
      </c>
      <c r="H22" s="416">
        <f t="shared" ca="1" si="0"/>
        <v>0.44797857581650319</v>
      </c>
      <c r="I22" s="382">
        <f t="shared" ca="1" si="0"/>
        <v>9.4476484081577744E-3</v>
      </c>
      <c r="J22" s="382">
        <f t="shared" ca="1" si="0"/>
        <v>8.902337768961037E-3</v>
      </c>
      <c r="K22" s="382">
        <f t="shared" ca="1" si="0"/>
        <v>0.49717496072489725</v>
      </c>
      <c r="L22" s="746">
        <f t="shared" ca="1" si="0"/>
        <v>3.6496477281480755E-2</v>
      </c>
      <c r="N22" s="446"/>
      <c r="O22" s="446"/>
      <c r="P22" s="446"/>
      <c r="Q22" s="446"/>
      <c r="R22" s="446"/>
      <c r="T22" s="812"/>
      <c r="U22" s="2430"/>
      <c r="X22" s="2430"/>
    </row>
    <row r="23" spans="1:25" ht="15.75">
      <c r="A23" s="59" t="s">
        <v>2324</v>
      </c>
      <c r="B23" s="347">
        <f ca="1" xml:space="preserve"> MHDV_Comp_Sum!B288</f>
        <v>77566.92448306155</v>
      </c>
      <c r="C23" s="621">
        <f xml:space="preserve"> MHDV_ADR!J118</f>
        <v>784.58657763581698</v>
      </c>
      <c r="D23" s="621">
        <f ca="1" xml:space="preserve"> MHDV_Battery_Sum!B171</f>
        <v>2448.5946973189889</v>
      </c>
      <c r="E23" s="621">
        <f ca="1" xml:space="preserve"> MHDV_Trailer_Comp_Sum!G109</f>
        <v>69752.397094087792</v>
      </c>
      <c r="F23" s="621">
        <f xml:space="preserve"> MHDV_Fluids!B115</f>
        <v>10470.359328105034</v>
      </c>
      <c r="G23" s="348">
        <f t="shared" ca="1" si="1"/>
        <v>161022.86218020917</v>
      </c>
      <c r="H23" s="416">
        <f t="shared" ca="1" si="0"/>
        <v>0.48171373575667981</v>
      </c>
      <c r="I23" s="382">
        <f t="shared" ca="1" si="0"/>
        <v>4.8725166539254827E-3</v>
      </c>
      <c r="J23" s="382">
        <f t="shared" ca="1" si="0"/>
        <v>1.5206503375766837E-2</v>
      </c>
      <c r="K23" s="382">
        <f t="shared" ca="1" si="0"/>
        <v>0.4331831899499104</v>
      </c>
      <c r="L23" s="746">
        <f t="shared" ca="1" si="0"/>
        <v>6.5024054263717559E-2</v>
      </c>
      <c r="N23" s="446"/>
      <c r="O23" s="446"/>
      <c r="P23" s="446"/>
      <c r="Q23" s="446"/>
      <c r="R23" s="446"/>
      <c r="T23" s="812"/>
      <c r="U23" s="2430"/>
      <c r="X23" s="2430"/>
    </row>
    <row r="24" spans="1:25">
      <c r="A24" s="59" t="s">
        <v>885</v>
      </c>
      <c r="B24" s="347">
        <f ca="1" xml:space="preserve"> MHDV_Comp_Sum!B289</f>
        <v>160.91989266840207</v>
      </c>
      <c r="C24" s="621">
        <f xml:space="preserve"> MHDV_ADR!J119</f>
        <v>8.6403035291766361</v>
      </c>
      <c r="D24" s="621">
        <f ca="1" xml:space="preserve"> MHDV_Battery_Sum!B172</f>
        <v>1.098118206434695</v>
      </c>
      <c r="E24" s="621">
        <f ca="1" xml:space="preserve"> MHDV_Trailer_Comp_Sum!G110</f>
        <v>217.34322304019747</v>
      </c>
      <c r="F24" s="621">
        <f xml:space="preserve"> MHDV_Fluids!B116</f>
        <v>39.841559086814044</v>
      </c>
      <c r="G24" s="348">
        <f ca="1">SUM(B24:F24)</f>
        <v>427.84309653102491</v>
      </c>
      <c r="H24" s="416">
        <f t="shared" ca="1" si="0"/>
        <v>0.37611894167078846</v>
      </c>
      <c r="I24" s="382">
        <f t="shared" ca="1" si="0"/>
        <v>2.0195028502814905E-2</v>
      </c>
      <c r="J24" s="382">
        <f t="shared" ca="1" si="0"/>
        <v>2.5666376653925168E-3</v>
      </c>
      <c r="K24" s="382">
        <f t="shared" ca="1" si="0"/>
        <v>0.50799749908886727</v>
      </c>
      <c r="L24" s="746">
        <f t="shared" ca="1" si="0"/>
        <v>9.3121893072136891E-2</v>
      </c>
      <c r="N24" s="446"/>
      <c r="O24" s="446"/>
      <c r="P24" s="446"/>
      <c r="Q24" s="446"/>
      <c r="R24" s="446"/>
      <c r="T24" s="812"/>
      <c r="U24" s="2430"/>
      <c r="X24" s="2430"/>
    </row>
    <row r="25" spans="1:25">
      <c r="A25" s="118" t="s">
        <v>886</v>
      </c>
      <c r="B25" s="503">
        <f ca="1" xml:space="preserve"> MHDV_Comp_Sum!B290</f>
        <v>352.44464678261778</v>
      </c>
      <c r="C25" s="505">
        <f xml:space="preserve"> MHDV_ADR!J120</f>
        <v>32.766513006925877</v>
      </c>
      <c r="D25" s="505">
        <f ca="1" xml:space="preserve"> MHDV_Battery_Sum!B173</f>
        <v>2.6398359136086489</v>
      </c>
      <c r="E25" s="505">
        <f ca="1" xml:space="preserve"> MHDV_Trailer_Comp_Sum!G111</f>
        <v>431.11891091196901</v>
      </c>
      <c r="F25" s="505">
        <f xml:space="preserve"> MHDV_Fluids!B117</f>
        <v>40.929332495623058</v>
      </c>
      <c r="G25" s="502">
        <f ca="1">SUM(B25:F25)</f>
        <v>859.89923911074436</v>
      </c>
      <c r="H25" s="664">
        <f t="shared" ca="1" si="0"/>
        <v>0.40986737835364834</v>
      </c>
      <c r="I25" s="368">
        <f t="shared" ca="1" si="0"/>
        <v>3.8105061054375416E-2</v>
      </c>
      <c r="J25" s="368">
        <f t="shared" ca="1" si="0"/>
        <v>3.0699363292129517E-3</v>
      </c>
      <c r="K25" s="368">
        <f t="shared" ca="1" si="0"/>
        <v>0.50135980043174133</v>
      </c>
      <c r="L25" s="747">
        <f t="shared" ca="1" si="0"/>
        <v>4.7597823831021985E-2</v>
      </c>
      <c r="N25" s="446"/>
      <c r="O25" s="446"/>
      <c r="P25" s="446"/>
      <c r="Q25" s="446"/>
      <c r="R25" s="446"/>
      <c r="T25" s="812"/>
      <c r="U25" s="2430"/>
      <c r="X25" s="2430"/>
    </row>
    <row r="26" spans="1:25">
      <c r="A26" s="481" t="s">
        <v>890</v>
      </c>
      <c r="B26" s="510">
        <f ca="1" xml:space="preserve"> MHDV_Comp_Sum!B297</f>
        <v>220.93248341256572</v>
      </c>
      <c r="C26" s="512">
        <f xml:space="preserve"> MHDV_ADR!J127</f>
        <v>12.823492925743636</v>
      </c>
      <c r="D26" s="512">
        <f ca="1" xml:space="preserve"> MHDV_Battery_Sum!B180</f>
        <v>5.1968944496547831</v>
      </c>
      <c r="E26" s="512">
        <f ca="1" xml:space="preserve"> MHDV_Trailer_Comp_Sum!G118</f>
        <v>344.11989190299687</v>
      </c>
      <c r="F26" s="512">
        <f xml:space="preserve"> MHDV_Fluids!B124</f>
        <v>43843.968596759296</v>
      </c>
      <c r="G26" s="509">
        <f t="shared" ca="1" si="1"/>
        <v>44427.041359450253</v>
      </c>
      <c r="H26" s="784">
        <f t="shared" ca="1" si="0"/>
        <v>4.9729281233257339E-3</v>
      </c>
      <c r="I26" s="591">
        <f t="shared" ca="1" si="0"/>
        <v>2.8864161405643321E-4</v>
      </c>
      <c r="J26" s="591">
        <f t="shared" ca="1" si="0"/>
        <v>1.1697592931313512E-4</v>
      </c>
      <c r="K26" s="591">
        <f t="shared" ca="1" si="0"/>
        <v>7.7457305589807802E-3</v>
      </c>
      <c r="L26" s="896">
        <f t="shared" ca="1" si="0"/>
        <v>0.98687572377432398</v>
      </c>
      <c r="N26" s="446"/>
      <c r="O26" s="446"/>
      <c r="P26" s="446"/>
      <c r="Q26" s="446"/>
      <c r="R26" s="446"/>
      <c r="T26" s="812"/>
      <c r="U26" s="2430"/>
      <c r="X26" s="2430"/>
    </row>
    <row r="27" spans="1:25">
      <c r="A27" s="100" t="s">
        <v>891</v>
      </c>
      <c r="B27" s="347">
        <f ca="1" xml:space="preserve"> MHDV_Comp_Sum!B298</f>
        <v>692.39959432694843</v>
      </c>
      <c r="C27" s="621">
        <f xml:space="preserve"> MHDV_ADR!J128</f>
        <v>86.524132102408458</v>
      </c>
      <c r="D27" s="621">
        <f ca="1" xml:space="preserve"> MHDV_Battery_Sum!B181</f>
        <v>12.124295759043228</v>
      </c>
      <c r="E27" s="621">
        <f ca="1" xml:space="preserve"> MHDV_Trailer_Comp_Sum!G119</f>
        <v>920.69966279936182</v>
      </c>
      <c r="F27" s="621">
        <f xml:space="preserve"> MHDV_Fluids!B125</f>
        <v>487.93631439203216</v>
      </c>
      <c r="G27" s="348">
        <f t="shared" ca="1" si="1"/>
        <v>2199.6839993797939</v>
      </c>
      <c r="H27" s="416">
        <f t="shared" ca="1" si="0"/>
        <v>0.31477230116788235</v>
      </c>
      <c r="I27" s="382">
        <f t="shared" ca="1" si="0"/>
        <v>3.9334800874491128E-2</v>
      </c>
      <c r="J27" s="382">
        <f t="shared" ca="1" si="0"/>
        <v>5.5118352283608472E-3</v>
      </c>
      <c r="K27" s="382">
        <f t="shared" ca="1" si="0"/>
        <v>0.41855996727664302</v>
      </c>
      <c r="L27" s="746">
        <f t="shared" ca="1" si="0"/>
        <v>0.22182109545262271</v>
      </c>
      <c r="N27" s="446"/>
      <c r="O27" s="446"/>
      <c r="P27" s="446"/>
      <c r="Q27" s="446"/>
      <c r="R27" s="446"/>
      <c r="T27" s="812"/>
      <c r="U27" s="2430"/>
      <c r="X27" s="2430"/>
    </row>
    <row r="28" spans="1:25" ht="15.75">
      <c r="A28" s="59" t="s">
        <v>2325</v>
      </c>
      <c r="B28" s="347">
        <f ca="1" xml:space="preserve"> MHDV_Comp_Sum!B299</f>
        <v>1418.6136097509207</v>
      </c>
      <c r="C28" s="621">
        <f xml:space="preserve"> MHDV_ADR!J129</f>
        <v>231.07825515807599</v>
      </c>
      <c r="D28" s="621">
        <f ca="1" xml:space="preserve"> MHDV_Battery_Sum!B182</f>
        <v>14.83575446295162</v>
      </c>
      <c r="E28" s="621">
        <f ca="1" xml:space="preserve"> MHDV_Trailer_Comp_Sum!G120</f>
        <v>2196.6720974342111</v>
      </c>
      <c r="F28" s="621">
        <f xml:space="preserve"> MHDV_Fluids!B126</f>
        <v>2512.8445866795973</v>
      </c>
      <c r="G28" s="348">
        <f t="shared" ca="1" si="1"/>
        <v>6374.0443034857562</v>
      </c>
      <c r="H28" s="416">
        <f t="shared" ca="1" si="0"/>
        <v>0.22256098988441722</v>
      </c>
      <c r="I28" s="382">
        <f t="shared" ca="1" si="0"/>
        <v>3.6253004239664113E-2</v>
      </c>
      <c r="J28" s="382">
        <f t="shared" ca="1" si="0"/>
        <v>2.3275260974948719E-3</v>
      </c>
      <c r="K28" s="382">
        <f t="shared" ca="1" si="0"/>
        <v>0.34462767951470358</v>
      </c>
      <c r="L28" s="746">
        <f t="shared" ca="1" si="0"/>
        <v>0.39423080026372032</v>
      </c>
      <c r="N28" s="446"/>
      <c r="O28" s="446"/>
      <c r="P28" s="446"/>
      <c r="Q28" s="446"/>
      <c r="R28" s="446"/>
      <c r="T28" s="812"/>
      <c r="U28" s="2430"/>
      <c r="X28" s="2430"/>
    </row>
    <row r="29" spans="1:25" ht="15.75">
      <c r="A29" s="59" t="s">
        <v>2326</v>
      </c>
      <c r="B29" s="347">
        <f ca="1" xml:space="preserve"> MHDV_Comp_Sum!B300</f>
        <v>145.89282475214679</v>
      </c>
      <c r="C29" s="621">
        <f xml:space="preserve"> MHDV_ADR!J130</f>
        <v>28.526169056138201</v>
      </c>
      <c r="D29" s="621">
        <f ca="1" xml:space="preserve"> MHDV_Battery_Sum!B183</f>
        <v>2.0048057503600702</v>
      </c>
      <c r="E29" s="621">
        <f ca="1" xml:space="preserve"> MHDV_Trailer_Comp_Sum!G121</f>
        <v>247.81840008912724</v>
      </c>
      <c r="F29" s="621">
        <f xml:space="preserve"> MHDV_Fluids!B127</f>
        <v>454.69253147538279</v>
      </c>
      <c r="G29" s="348">
        <f t="shared" ca="1" si="1"/>
        <v>878.93473112315507</v>
      </c>
      <c r="H29" s="416">
        <f t="shared" ca="1" si="0"/>
        <v>0.16598823506008947</v>
      </c>
      <c r="I29" s="382">
        <f t="shared" ca="1" si="0"/>
        <v>3.2455389514174468E-2</v>
      </c>
      <c r="J29" s="382">
        <f t="shared" ca="1" si="0"/>
        <v>2.2809495169205684E-3</v>
      </c>
      <c r="K29" s="382">
        <f t="shared" ca="1" si="0"/>
        <v>0.28195313180132286</v>
      </c>
      <c r="L29" s="746">
        <f t="shared" ca="1" si="0"/>
        <v>0.51732229410749264</v>
      </c>
      <c r="N29" s="446"/>
      <c r="O29" s="446"/>
      <c r="P29" s="446"/>
      <c r="Q29" s="446"/>
      <c r="R29" s="446"/>
      <c r="T29" s="812"/>
      <c r="U29" s="2430"/>
      <c r="X29" s="2430"/>
    </row>
    <row r="30" spans="1:25" ht="15.75">
      <c r="A30" s="59" t="s">
        <v>2327</v>
      </c>
      <c r="B30" s="347">
        <f ca="1" xml:space="preserve"> MHDV_Comp_Sum!B301</f>
        <v>126.89749382083031</v>
      </c>
      <c r="C30" s="621">
        <f xml:space="preserve"> MHDV_ADR!J131</f>
        <v>25.087339763589249</v>
      </c>
      <c r="D30" s="621">
        <f ca="1" xml:space="preserve"> MHDV_Battery_Sum!B184</f>
        <v>1.6938797550849536</v>
      </c>
      <c r="E30" s="621">
        <f ca="1" xml:space="preserve"> MHDV_Trailer_Comp_Sum!G122</f>
        <v>205.88258560620667</v>
      </c>
      <c r="F30" s="621">
        <f xml:space="preserve"> MHDV_Fluids!B128</f>
        <v>255.85937934695397</v>
      </c>
      <c r="G30" s="348">
        <f ca="1">SUM(B30:F30)</f>
        <v>615.42067829266512</v>
      </c>
      <c r="H30" s="416">
        <f t="shared" ca="1" si="0"/>
        <v>0.20619634389419042</v>
      </c>
      <c r="I30" s="382">
        <f t="shared" ca="1" si="0"/>
        <v>4.0764538223167876E-2</v>
      </c>
      <c r="J30" s="382">
        <f t="shared" ca="1" si="0"/>
        <v>2.7523933056396652E-3</v>
      </c>
      <c r="K30" s="382">
        <f t="shared" ca="1" si="0"/>
        <v>0.33453959684516582</v>
      </c>
      <c r="L30" s="746">
        <f t="shared" ca="1" si="0"/>
        <v>0.41574712773183631</v>
      </c>
      <c r="N30" s="446"/>
      <c r="O30" s="446"/>
      <c r="P30" s="446"/>
      <c r="Q30" s="446"/>
      <c r="R30" s="446"/>
      <c r="T30" s="812"/>
      <c r="U30" s="2430"/>
      <c r="X30" s="2430"/>
    </row>
    <row r="31" spans="1:25" ht="15.75">
      <c r="A31" s="59" t="s">
        <v>2328</v>
      </c>
      <c r="B31" s="347">
        <f ca="1" xml:space="preserve"> MHDV_Comp_Sum!B302</f>
        <v>1132.0619981010502</v>
      </c>
      <c r="C31" s="621">
        <f xml:space="preserve"> MHDV_ADR!J132</f>
        <v>212.4939126779536</v>
      </c>
      <c r="D31" s="621">
        <f ca="1" xml:space="preserve"> MHDV_Battery_Sum!B185</f>
        <v>26.531298679347845</v>
      </c>
      <c r="E31" s="621">
        <f ca="1" xml:space="preserve"> MHDV_Trailer_Comp_Sum!G123</f>
        <v>2057.4670239523716</v>
      </c>
      <c r="F31" s="621">
        <f xml:space="preserve"> MHDV_Fluids!B129</f>
        <v>5143.7018717103911</v>
      </c>
      <c r="G31" s="348">
        <f t="shared" ca="1" si="1"/>
        <v>8572.2561051211142</v>
      </c>
      <c r="H31" s="416">
        <f t="shared" ca="1" si="0"/>
        <v>0.13206114985584133</v>
      </c>
      <c r="I31" s="382">
        <f t="shared" ca="1" si="0"/>
        <v>2.4788563252445123E-2</v>
      </c>
      <c r="J31" s="382">
        <f t="shared" ca="1" si="0"/>
        <v>3.0950193687631308E-3</v>
      </c>
      <c r="K31" s="382">
        <f t="shared" ca="1" si="0"/>
        <v>0.24001464710360546</v>
      </c>
      <c r="L31" s="746">
        <f t="shared" ca="1" si="0"/>
        <v>0.60004062041934503</v>
      </c>
      <c r="N31" s="446"/>
      <c r="O31" s="446"/>
      <c r="P31" s="446"/>
      <c r="Q31" s="446"/>
      <c r="R31" s="446"/>
      <c r="T31" s="812"/>
      <c r="U31" s="2430"/>
      <c r="X31" s="2430"/>
    </row>
    <row r="32" spans="1:25">
      <c r="A32" s="59" t="s">
        <v>896</v>
      </c>
      <c r="B32" s="347">
        <f ca="1" xml:space="preserve"> MHDV_Comp_Sum!B303</f>
        <v>7.5850840097975505</v>
      </c>
      <c r="C32" s="621">
        <f xml:space="preserve"> MHDV_ADR!J133</f>
        <v>1.3011326329947144</v>
      </c>
      <c r="D32" s="621">
        <f ca="1" xml:space="preserve"> MHDV_Battery_Sum!B186</f>
        <v>0.10890669235438413</v>
      </c>
      <c r="E32" s="621">
        <f ca="1" xml:space="preserve"> MHDV_Trailer_Comp_Sum!G124</f>
        <v>12.300688104572695</v>
      </c>
      <c r="F32" s="621">
        <f xml:space="preserve"> MHDV_Fluids!B130</f>
        <v>18.556909461804416</v>
      </c>
      <c r="G32" s="348">
        <f ca="1">SUM(B32:F32)</f>
        <v>39.85272090152376</v>
      </c>
      <c r="H32" s="416">
        <f t="shared" ca="1" si="0"/>
        <v>0.19032788322133198</v>
      </c>
      <c r="I32" s="382">
        <f t="shared" ca="1" si="0"/>
        <v>3.2648526965318593E-2</v>
      </c>
      <c r="J32" s="382">
        <f t="shared" ca="1" si="0"/>
        <v>2.7327291560215682E-3</v>
      </c>
      <c r="K32" s="382">
        <f t="shared" ca="1" si="0"/>
        <v>0.30865365842818476</v>
      </c>
      <c r="L32" s="746">
        <f t="shared" ca="1" si="0"/>
        <v>0.46563720222914307</v>
      </c>
      <c r="N32" s="446"/>
      <c r="O32" s="446"/>
      <c r="P32" s="446"/>
      <c r="Q32" s="446"/>
      <c r="R32" s="446"/>
      <c r="T32" s="812"/>
      <c r="U32" s="2430"/>
      <c r="X32" s="2430"/>
    </row>
    <row r="33" spans="1:24">
      <c r="A33" s="118" t="s">
        <v>897</v>
      </c>
      <c r="B33" s="503">
        <f ca="1" xml:space="preserve"> MHDV_Comp_Sum!B304</f>
        <v>30.904299333916754</v>
      </c>
      <c r="C33" s="505">
        <f xml:space="preserve"> MHDV_ADR!J134</f>
        <v>7.1791922237382906</v>
      </c>
      <c r="D33" s="505">
        <f ca="1" xml:space="preserve"> MHDV_Battery_Sum!B187</f>
        <v>0.40340515974324131</v>
      </c>
      <c r="E33" s="505">
        <f ca="1" xml:space="preserve"> MHDV_Trailer_Comp_Sum!G125</f>
        <v>39.34518246638212</v>
      </c>
      <c r="F33" s="505">
        <f xml:space="preserve"> MHDV_Fluids!B131</f>
        <v>16.58632823615222</v>
      </c>
      <c r="G33" s="502">
        <f ca="1">SUM(B33:F33)</f>
        <v>94.418407419932635</v>
      </c>
      <c r="H33" s="664">
        <f t="shared" ca="1" si="0"/>
        <v>0.32731222839279284</v>
      </c>
      <c r="I33" s="368">
        <f t="shared" ca="1" si="0"/>
        <v>7.603593854118211E-2</v>
      </c>
      <c r="J33" s="368">
        <f t="shared" ca="1" si="0"/>
        <v>4.2725266266043652E-3</v>
      </c>
      <c r="K33" s="368">
        <f t="shared" ca="1" si="0"/>
        <v>0.41671093107291673</v>
      </c>
      <c r="L33" s="747">
        <f t="shared" ca="1" si="0"/>
        <v>0.17566837536650387</v>
      </c>
      <c r="N33" s="446"/>
      <c r="O33" s="446"/>
      <c r="P33" s="446"/>
      <c r="Q33" s="446"/>
      <c r="R33" s="446"/>
      <c r="T33" s="812"/>
      <c r="U33" s="2430"/>
      <c r="X33" s="2430"/>
    </row>
    <row r="34" spans="1:24">
      <c r="B34" s="62"/>
      <c r="C34" s="62"/>
      <c r="D34" s="62"/>
      <c r="E34" s="62"/>
      <c r="F34" s="62"/>
      <c r="G34" s="62"/>
      <c r="H34" s="62"/>
      <c r="I34" s="62"/>
      <c r="J34" s="62"/>
      <c r="K34" s="62"/>
    </row>
    <row r="35" spans="1:24">
      <c r="A35" s="172" t="s">
        <v>2600</v>
      </c>
    </row>
    <row r="36" spans="1:24">
      <c r="A36" s="482"/>
      <c r="B36" s="2986" t="s">
        <v>1875</v>
      </c>
      <c r="C36" s="2987"/>
      <c r="D36" s="2987"/>
      <c r="E36" s="2987"/>
      <c r="F36" s="2987"/>
      <c r="G36" s="2988"/>
      <c r="H36" s="2986" t="s">
        <v>1890</v>
      </c>
      <c r="I36" s="2987"/>
      <c r="J36" s="2987"/>
      <c r="K36" s="2987"/>
      <c r="L36" s="2988"/>
      <c r="T36" s="812"/>
      <c r="X36" s="2430"/>
    </row>
    <row r="37" spans="1:24">
      <c r="A37" s="484"/>
      <c r="B37" s="1725" t="s">
        <v>1891</v>
      </c>
      <c r="C37" s="1726" t="s">
        <v>1892</v>
      </c>
      <c r="D37" s="1726" t="s">
        <v>1893</v>
      </c>
      <c r="E37" s="1726" t="s">
        <v>2387</v>
      </c>
      <c r="F37" s="1726" t="s">
        <v>1418</v>
      </c>
      <c r="G37" s="1727" t="s">
        <v>1894</v>
      </c>
      <c r="H37" s="1725" t="s">
        <v>1891</v>
      </c>
      <c r="I37" s="1726" t="s">
        <v>1892</v>
      </c>
      <c r="J37" s="1726" t="s">
        <v>1893</v>
      </c>
      <c r="K37" s="1726" t="s">
        <v>2387</v>
      </c>
      <c r="L37" s="1727" t="s">
        <v>1418</v>
      </c>
      <c r="T37" s="812"/>
      <c r="X37" s="2430"/>
    </row>
    <row r="38" spans="1:24">
      <c r="A38" s="481" t="s">
        <v>876</v>
      </c>
      <c r="B38" s="508">
        <f ca="1" xml:space="preserve"> MHDV_Comp_Sum!C276</f>
        <v>381.84908641601555</v>
      </c>
      <c r="C38" s="506">
        <f xml:space="preserve"> C7</f>
        <v>28.514205661628502</v>
      </c>
      <c r="D38" s="506">
        <f ca="1" xml:space="preserve"> MHDV_Battery_Sum!C159</f>
        <v>24.031236995466038</v>
      </c>
      <c r="E38" s="1278">
        <f ca="1" xml:space="preserve"> E7</f>
        <v>464.76653177396844</v>
      </c>
      <c r="F38" s="506">
        <f xml:space="preserve"> MHDV_Fluids!C103</f>
        <v>73.683804389007463</v>
      </c>
      <c r="G38" s="507">
        <f ca="1">SUM(B38:F38)</f>
        <v>972.84486523608598</v>
      </c>
      <c r="H38" s="2429">
        <f t="shared" ref="H38:L64" ca="1" si="2">B38/$G38</f>
        <v>0.39250768551196497</v>
      </c>
      <c r="I38" s="458">
        <f t="shared" ca="1" si="2"/>
        <v>2.9310126085425544E-2</v>
      </c>
      <c r="J38" s="458">
        <f t="shared" ca="1" si="2"/>
        <v>2.4702023780157626E-2</v>
      </c>
      <c r="K38" s="458">
        <f t="shared" ca="1" si="2"/>
        <v>0.47773961541255688</v>
      </c>
      <c r="L38" s="896">
        <f t="shared" ca="1" si="2"/>
        <v>7.5740549209895022E-2</v>
      </c>
      <c r="N38" s="446"/>
      <c r="O38" s="446"/>
      <c r="P38" s="446"/>
      <c r="Q38" s="446"/>
      <c r="R38" s="446"/>
    </row>
    <row r="39" spans="1:24">
      <c r="A39" s="100" t="s">
        <v>877</v>
      </c>
      <c r="B39" s="498">
        <f ca="1" xml:space="preserve"> MHDV_Comp_Sum!C277</f>
        <v>350.12942095041149</v>
      </c>
      <c r="C39" s="1278">
        <f t="shared" ref="C39:C64" si="3" xml:space="preserve"> C8</f>
        <v>23.793061394997494</v>
      </c>
      <c r="D39" s="1278">
        <f ca="1" xml:space="preserve"> MHDV_Battery_Sum!C160</f>
        <v>20.528236069108932</v>
      </c>
      <c r="E39" s="1278">
        <f t="shared" ref="E39:E64" ca="1" si="4" xml:space="preserve"> E8</f>
        <v>390.18912763958991</v>
      </c>
      <c r="F39" s="1278">
        <f xml:space="preserve"> MHDV_Fluids!C104</f>
        <v>73.262451126783773</v>
      </c>
      <c r="G39" s="497">
        <f t="shared" ref="G39:G62" ca="1" si="5">SUM(B39:F39)</f>
        <v>857.90229718089154</v>
      </c>
      <c r="H39" s="665">
        <f t="shared" ca="1" si="2"/>
        <v>0.40812272225048668</v>
      </c>
      <c r="I39" s="369">
        <f t="shared" ca="1" si="2"/>
        <v>2.7733998933424757E-2</v>
      </c>
      <c r="J39" s="369">
        <f t="shared" ca="1" si="2"/>
        <v>2.3928407857824498E-2</v>
      </c>
      <c r="K39" s="369">
        <f t="shared" ca="1" si="2"/>
        <v>0.45481767436894655</v>
      </c>
      <c r="L39" s="746">
        <f t="shared" ca="1" si="2"/>
        <v>8.5397196589317603E-2</v>
      </c>
      <c r="N39" s="446"/>
      <c r="O39" s="446"/>
      <c r="P39" s="446"/>
      <c r="Q39" s="446"/>
      <c r="R39" s="446"/>
    </row>
    <row r="40" spans="1:24">
      <c r="A40" s="100" t="s">
        <v>442</v>
      </c>
      <c r="B40" s="498">
        <f ca="1" xml:space="preserve"> MHDV_Comp_Sum!C278</f>
        <v>134.41646825496471</v>
      </c>
      <c r="C40" s="1278">
        <f t="shared" si="3"/>
        <v>6.2409856830582626</v>
      </c>
      <c r="D40" s="1278">
        <f ca="1" xml:space="preserve"> MHDV_Battery_Sum!C161</f>
        <v>5.8243409765879308</v>
      </c>
      <c r="E40" s="1278">
        <f t="shared" ca="1" si="4"/>
        <v>108.99833373701478</v>
      </c>
      <c r="F40" s="1278">
        <f xml:space="preserve"> MHDV_Fluids!C105</f>
        <v>0.53949282612244143</v>
      </c>
      <c r="G40" s="497">
        <f ca="1">SUM(B40:F40)</f>
        <v>256.0196214777481</v>
      </c>
      <c r="H40" s="665">
        <f t="shared" ca="1" si="2"/>
        <v>0.52502408791604083</v>
      </c>
      <c r="I40" s="369">
        <f t="shared" ca="1" si="2"/>
        <v>2.4376981916601641E-2</v>
      </c>
      <c r="J40" s="369">
        <f t="shared" ca="1" si="2"/>
        <v>2.2749588265812481E-2</v>
      </c>
      <c r="K40" s="369">
        <f t="shared" ca="1" si="2"/>
        <v>0.42574210956127184</v>
      </c>
      <c r="L40" s="746">
        <f t="shared" ca="1" si="2"/>
        <v>2.1072323402733075E-3</v>
      </c>
      <c r="N40" s="446"/>
      <c r="O40" s="446"/>
      <c r="P40" s="446"/>
      <c r="Q40" s="446"/>
      <c r="R40" s="446"/>
    </row>
    <row r="41" spans="1:24">
      <c r="A41" s="100" t="s">
        <v>878</v>
      </c>
      <c r="B41" s="498">
        <f ca="1" xml:space="preserve"> MHDV_Comp_Sum!C279</f>
        <v>160.9415206208663</v>
      </c>
      <c r="C41" s="1278">
        <f t="shared" si="3"/>
        <v>17.33578426015664</v>
      </c>
      <c r="D41" s="1278">
        <f ca="1" xml:space="preserve"> MHDV_Battery_Sum!C162</f>
        <v>11.40707946322361</v>
      </c>
      <c r="E41" s="1278">
        <f t="shared" ca="1" si="4"/>
        <v>193.17440599258265</v>
      </c>
      <c r="F41" s="1278">
        <f xml:space="preserve"> MHDV_Fluids!C106</f>
        <v>11.175390857003602</v>
      </c>
      <c r="G41" s="497">
        <f ca="1">G39-G40-G42</f>
        <v>394.03418119383252</v>
      </c>
      <c r="H41" s="665">
        <f t="shared" ca="1" si="2"/>
        <v>0.40844558239402146</v>
      </c>
      <c r="I41" s="369">
        <f t="shared" ca="1" si="2"/>
        <v>4.3995635626414994E-2</v>
      </c>
      <c r="J41" s="369">
        <f t="shared" ca="1" si="2"/>
        <v>2.8949466842350568E-2</v>
      </c>
      <c r="K41" s="369">
        <f t="shared" ca="1" si="2"/>
        <v>0.49024783943187067</v>
      </c>
      <c r="L41" s="746">
        <f t="shared" ca="1" si="2"/>
        <v>2.8361475705343E-2</v>
      </c>
      <c r="N41" s="446"/>
      <c r="O41" s="446"/>
      <c r="P41" s="446"/>
      <c r="Q41" s="446"/>
      <c r="R41" s="446"/>
    </row>
    <row r="42" spans="1:24">
      <c r="A42" s="100" t="s">
        <v>440</v>
      </c>
      <c r="B42" s="498">
        <f ca="1" xml:space="preserve"> MHDV_Comp_Sum!C280</f>
        <v>54.771432074580581</v>
      </c>
      <c r="C42" s="1278">
        <f t="shared" si="3"/>
        <v>0.21629145178259165</v>
      </c>
      <c r="D42" s="1278">
        <f ca="1" xml:space="preserve"> MHDV_Battery_Sum!C163</f>
        <v>3.2968156292973951</v>
      </c>
      <c r="E42" s="1278">
        <f t="shared" ca="1" si="4"/>
        <v>88.016387909992574</v>
      </c>
      <c r="F42" s="1278">
        <f xml:space="preserve"> MHDV_Fluids!C107</f>
        <v>61.547567443657741</v>
      </c>
      <c r="G42" s="497">
        <f t="shared" ca="1" si="5"/>
        <v>207.84849450931085</v>
      </c>
      <c r="H42" s="665">
        <f t="shared" ca="1" si="2"/>
        <v>0.26351613565392951</v>
      </c>
      <c r="I42" s="369">
        <f t="shared" ca="1" si="2"/>
        <v>1.0406207285417822E-3</v>
      </c>
      <c r="J42" s="369">
        <f t="shared" ca="1" si="2"/>
        <v>1.586162862079191E-2</v>
      </c>
      <c r="K42" s="369">
        <f t="shared" ca="1" si="2"/>
        <v>0.42346415891912925</v>
      </c>
      <c r="L42" s="746">
        <f t="shared" ca="1" si="2"/>
        <v>0.2961174560776077</v>
      </c>
      <c r="N42" s="446"/>
      <c r="O42" s="446"/>
      <c r="P42" s="446"/>
      <c r="Q42" s="446"/>
      <c r="R42" s="446"/>
    </row>
    <row r="43" spans="1:24">
      <c r="A43" s="118" t="s">
        <v>819</v>
      </c>
      <c r="B43" s="501">
        <f ca="1" xml:space="preserve"> MHDV_Comp_Sum!C281</f>
        <v>15937.452955957906</v>
      </c>
      <c r="C43" s="499">
        <f t="shared" si="3"/>
        <v>1231.7467899904041</v>
      </c>
      <c r="D43" s="499">
        <f ca="1" xml:space="preserve"> MHDV_Battery_Sum!C164</f>
        <v>2128.396806509586</v>
      </c>
      <c r="E43" s="499">
        <f t="shared" ca="1" si="4"/>
        <v>42795.708817834573</v>
      </c>
      <c r="F43" s="499">
        <f xml:space="preserve"> MHDV_Fluids!C108</f>
        <v>1554.016957716452</v>
      </c>
      <c r="G43" s="542">
        <f t="shared" ref="G43:G48" ca="1" si="6">SUM(B43:F43)</f>
        <v>63647.322328008915</v>
      </c>
      <c r="H43" s="427">
        <f t="shared" ca="1" si="2"/>
        <v>0.25040256797958649</v>
      </c>
      <c r="I43" s="426">
        <f t="shared" ca="1" si="2"/>
        <v>1.9352688297593255E-2</v>
      </c>
      <c r="J43" s="426">
        <f t="shared" ca="1" si="2"/>
        <v>3.3440476812847071E-2</v>
      </c>
      <c r="K43" s="426">
        <f t="shared" ca="1" si="2"/>
        <v>0.67238820507303121</v>
      </c>
      <c r="L43" s="747">
        <f t="shared" ca="1" si="2"/>
        <v>2.4416061836942112E-2</v>
      </c>
      <c r="N43" s="446"/>
      <c r="O43" s="446"/>
      <c r="P43" s="446"/>
      <c r="Q43" s="446"/>
      <c r="R43" s="446"/>
    </row>
    <row r="44" spans="1:24" ht="15.75">
      <c r="A44" s="58" t="s">
        <v>2597</v>
      </c>
      <c r="B44" s="898">
        <f ca="1" xml:space="preserve"> MHDV_Comp_Sum!C293</f>
        <v>25582506.014765024</v>
      </c>
      <c r="C44" s="506">
        <f t="shared" si="3"/>
        <v>1669839.8828504242</v>
      </c>
      <c r="D44" s="632">
        <f ca="1" xml:space="preserve"> MHDV_Battery_Sum!C176</f>
        <v>1414349.9608850658</v>
      </c>
      <c r="E44" s="1278">
        <f t="shared" ca="1" si="4"/>
        <v>30409394.573856991</v>
      </c>
      <c r="F44" s="632">
        <f xml:space="preserve"> MHDV_Fluids!C120</f>
        <v>4358698.9618189996</v>
      </c>
      <c r="G44" s="899">
        <f t="shared" ca="1" si="6"/>
        <v>63434789.394176506</v>
      </c>
      <c r="H44" s="2429">
        <f t="shared" ca="1" si="2"/>
        <v>0.40328826278271795</v>
      </c>
      <c r="I44" s="458">
        <f t="shared" ca="1" si="2"/>
        <v>2.6323723918656537E-2</v>
      </c>
      <c r="J44" s="458">
        <f t="shared" ca="1" si="2"/>
        <v>2.2296124482993982E-2</v>
      </c>
      <c r="K44" s="458">
        <f t="shared" ca="1" si="2"/>
        <v>0.47938039779554559</v>
      </c>
      <c r="L44" s="896">
        <f t="shared" ca="1" si="2"/>
        <v>6.8711491020085905E-2</v>
      </c>
      <c r="N44" s="446"/>
      <c r="O44" s="446"/>
      <c r="P44" s="446"/>
      <c r="Q44" s="446"/>
      <c r="R44" s="446"/>
    </row>
    <row r="45" spans="1:24" ht="15.75">
      <c r="A45" s="59" t="s">
        <v>2598</v>
      </c>
      <c r="B45" s="2432">
        <f ca="1" xml:space="preserve"> MHDV_Comp_Sum!C294</f>
        <v>25859336.810402207</v>
      </c>
      <c r="C45" s="1278">
        <f t="shared" si="3"/>
        <v>1676658.014298873</v>
      </c>
      <c r="D45" s="2433">
        <f ca="1" xml:space="preserve"> MHDV_Battery_Sum!C177</f>
        <v>1416899.8460979345</v>
      </c>
      <c r="E45" s="1278">
        <f t="shared" ca="1" si="4"/>
        <v>30624644.83012744</v>
      </c>
      <c r="F45" s="2433">
        <f xml:space="preserve"> MHDV_Fluids!C121</f>
        <v>4557164.7427059123</v>
      </c>
      <c r="G45" s="247">
        <f t="shared" ca="1" si="6"/>
        <v>64134704.243632361</v>
      </c>
      <c r="H45" s="416">
        <f t="shared" ca="1" si="2"/>
        <v>0.40320349357453633</v>
      </c>
      <c r="I45" s="382">
        <f t="shared" ca="1" si="2"/>
        <v>2.6142757405252098E-2</v>
      </c>
      <c r="J45" s="382">
        <f t="shared" ca="1" si="2"/>
        <v>2.2092560694058426E-2</v>
      </c>
      <c r="K45" s="382">
        <f t="shared" ca="1" si="2"/>
        <v>0.47750504490972251</v>
      </c>
      <c r="L45" s="588">
        <f t="shared" ca="1" si="2"/>
        <v>7.1056143416430767E-2</v>
      </c>
      <c r="N45" s="446"/>
      <c r="O45" s="446"/>
      <c r="P45" s="446"/>
      <c r="Q45" s="446"/>
      <c r="R45" s="446"/>
    </row>
    <row r="46" spans="1:24" ht="15.75">
      <c r="A46" s="59" t="s">
        <v>2320</v>
      </c>
      <c r="B46" s="498">
        <f ca="1" xml:space="preserve"> MHDV_Comp_Sum!C291</f>
        <v>58501.157554379599</v>
      </c>
      <c r="C46" s="1278">
        <f t="shared" si="3"/>
        <v>4144.6685548756859</v>
      </c>
      <c r="D46" s="1278">
        <f ca="1" xml:space="preserve"> MHDV_Battery_Sum!C174</f>
        <v>3634.530300114302</v>
      </c>
      <c r="E46" s="1278">
        <f t="shared" ca="1" si="4"/>
        <v>61082.696001410855</v>
      </c>
      <c r="F46" s="1278">
        <f xml:space="preserve"> MHDV_Fluids!C118</f>
        <v>7165.804660397197</v>
      </c>
      <c r="G46" s="497">
        <f t="shared" ca="1" si="6"/>
        <v>134528.85707117766</v>
      </c>
      <c r="H46" s="665">
        <f t="shared" ca="1" si="2"/>
        <v>0.43485954484417655</v>
      </c>
      <c r="I46" s="369">
        <f t="shared" ca="1" si="2"/>
        <v>3.0808769546616977E-2</v>
      </c>
      <c r="J46" s="369">
        <f t="shared" ca="1" si="2"/>
        <v>2.7016733652849768E-2</v>
      </c>
      <c r="K46" s="369">
        <f t="shared" ca="1" si="2"/>
        <v>0.4540490221298224</v>
      </c>
      <c r="L46" s="746">
        <f t="shared" ca="1" si="2"/>
        <v>5.3265929826534192E-2</v>
      </c>
      <c r="N46" s="446"/>
      <c r="O46" s="446"/>
      <c r="P46" s="446"/>
      <c r="Q46" s="446"/>
      <c r="R46" s="446"/>
    </row>
    <row r="47" spans="1:24" ht="15.75">
      <c r="A47" s="59" t="s">
        <v>2321</v>
      </c>
      <c r="B47" s="498">
        <f ca="1" xml:space="preserve"> MHDV_Comp_Sum!C292</f>
        <v>498.59704576227176</v>
      </c>
      <c r="C47" s="1278">
        <f t="shared" si="3"/>
        <v>38.644980147113287</v>
      </c>
      <c r="D47" s="1278">
        <f ca="1" xml:space="preserve"> MHDV_Battery_Sum!C175</f>
        <v>44.518231127930832</v>
      </c>
      <c r="E47" s="1278">
        <f t="shared" ca="1" si="4"/>
        <v>599.34144010845898</v>
      </c>
      <c r="F47" s="1278">
        <f xml:space="preserve"> MHDV_Fluids!C119</f>
        <v>84.909659910729232</v>
      </c>
      <c r="G47" s="497">
        <f t="shared" ca="1" si="6"/>
        <v>1266.011357056504</v>
      </c>
      <c r="H47" s="665">
        <f t="shared" ca="1" si="2"/>
        <v>0.39383299603371458</v>
      </c>
      <c r="I47" s="369">
        <f t="shared" ca="1" si="2"/>
        <v>3.0524986945585909E-2</v>
      </c>
      <c r="J47" s="369">
        <f t="shared" ca="1" si="2"/>
        <v>3.5164164112584585E-2</v>
      </c>
      <c r="K47" s="369">
        <f t="shared" ca="1" si="2"/>
        <v>0.47340921293307914</v>
      </c>
      <c r="L47" s="746">
        <f t="shared" ca="1" si="2"/>
        <v>6.7068639975035857E-2</v>
      </c>
      <c r="N47" s="446"/>
      <c r="O47" s="446"/>
      <c r="P47" s="446"/>
      <c r="Q47" s="446"/>
      <c r="R47" s="446"/>
    </row>
    <row r="48" spans="1:24">
      <c r="A48" s="484" t="s">
        <v>1896</v>
      </c>
      <c r="B48" s="1455">
        <f ca="1" xml:space="preserve"> MHDV_Comp_Sum!C295</f>
        <v>27960996.280694742</v>
      </c>
      <c r="C48" s="499">
        <f t="shared" si="3"/>
        <v>1811238.9906841286</v>
      </c>
      <c r="D48" s="294">
        <f ca="1" xml:space="preserve"> MHDV_Battery_Sum!C178</f>
        <v>1563131.6286058887</v>
      </c>
      <c r="E48" s="499">
        <f t="shared" ca="1" si="4"/>
        <v>33449180.254118897</v>
      </c>
      <c r="F48" s="294">
        <f xml:space="preserve"> MHDV_Fluids!C122</f>
        <v>4794639.94239417</v>
      </c>
      <c r="G48" s="296">
        <f t="shared" ca="1" si="6"/>
        <v>69579187.096497819</v>
      </c>
      <c r="H48" s="664">
        <f t="shared" ca="1" si="2"/>
        <v>0.40185862249175547</v>
      </c>
      <c r="I48" s="368">
        <f t="shared" ca="1" si="2"/>
        <v>2.6031333021642834E-2</v>
      </c>
      <c r="J48" s="368">
        <f t="shared" ca="1" si="2"/>
        <v>2.2465505761629787E-2</v>
      </c>
      <c r="K48" s="368">
        <f t="shared" ca="1" si="2"/>
        <v>0.48073542750260906</v>
      </c>
      <c r="L48" s="428">
        <f t="shared" ca="1" si="2"/>
        <v>6.8909111222362956E-2</v>
      </c>
      <c r="N48" s="446"/>
      <c r="O48" s="446"/>
      <c r="P48" s="446"/>
      <c r="Q48" s="446"/>
      <c r="R48" s="446"/>
    </row>
    <row r="49" spans="1:18">
      <c r="A49" s="481" t="s">
        <v>879</v>
      </c>
      <c r="B49" s="508">
        <f ca="1" xml:space="preserve"> MHDV_Comp_Sum!C283</f>
        <v>29370.814186004889</v>
      </c>
      <c r="C49" s="506">
        <f t="shared" si="3"/>
        <v>1822.7303489865728</v>
      </c>
      <c r="D49" s="506">
        <f ca="1" xml:space="preserve"> MHDV_Battery_Sum!C166</f>
        <v>319.46267681411507</v>
      </c>
      <c r="E49" s="1278">
        <f t="shared" ca="1" si="4"/>
        <v>33162.817623247538</v>
      </c>
      <c r="F49" s="506">
        <f xml:space="preserve"> MHDV_Fluids!C110</f>
        <v>62936.807750510146</v>
      </c>
      <c r="G49" s="507">
        <f t="shared" ca="1" si="5"/>
        <v>127612.63258556326</v>
      </c>
      <c r="H49" s="2429">
        <f t="shared" ca="1" si="2"/>
        <v>0.23015600878159137</v>
      </c>
      <c r="I49" s="458">
        <f t="shared" ca="1" si="2"/>
        <v>1.4283306535224454E-2</v>
      </c>
      <c r="J49" s="458">
        <f t="shared" ca="1" si="2"/>
        <v>2.5033781557630501E-3</v>
      </c>
      <c r="K49" s="458">
        <f t="shared" ca="1" si="2"/>
        <v>0.25987096223418266</v>
      </c>
      <c r="L49" s="896">
        <f t="shared" ca="1" si="2"/>
        <v>0.49318634429323849</v>
      </c>
      <c r="N49" s="446"/>
      <c r="O49" s="446"/>
      <c r="P49" s="446"/>
      <c r="Q49" s="446"/>
      <c r="R49" s="446"/>
    </row>
    <row r="50" spans="1:18">
      <c r="A50" s="100" t="s">
        <v>880</v>
      </c>
      <c r="B50" s="498">
        <f ca="1" xml:space="preserve"> MHDV_Comp_Sum!C284</f>
        <v>117912.93696687363</v>
      </c>
      <c r="C50" s="1278">
        <f t="shared" si="3"/>
        <v>723.72906291693016</v>
      </c>
      <c r="D50" s="1278">
        <f ca="1" xml:space="preserve"> MHDV_Battery_Sum!C167</f>
        <v>989.05325068961133</v>
      </c>
      <c r="E50" s="1278">
        <f t="shared" ca="1" si="4"/>
        <v>71204.514189028036</v>
      </c>
      <c r="F50" s="1278">
        <f xml:space="preserve"> MHDV_Fluids!C111</f>
        <v>1471.7373137663042</v>
      </c>
      <c r="G50" s="497">
        <f t="shared" ca="1" si="5"/>
        <v>192301.9707832745</v>
      </c>
      <c r="H50" s="665">
        <f t="shared" ca="1" si="2"/>
        <v>0.61316551508336981</v>
      </c>
      <c r="I50" s="369">
        <f t="shared" ca="1" si="2"/>
        <v>3.7635030986373887E-3</v>
      </c>
      <c r="J50" s="369">
        <f t="shared" ca="1" si="2"/>
        <v>5.1432299245870988E-3</v>
      </c>
      <c r="K50" s="369">
        <f t="shared" ca="1" si="2"/>
        <v>0.37027449016253688</v>
      </c>
      <c r="L50" s="746">
        <f t="shared" ca="1" si="2"/>
        <v>7.6532617308689007E-3</v>
      </c>
      <c r="N50" s="446"/>
      <c r="O50" s="446"/>
      <c r="P50" s="446"/>
      <c r="Q50" s="446"/>
      <c r="R50" s="446"/>
    </row>
    <row r="51" spans="1:18" ht="15.75">
      <c r="A51" s="59" t="s">
        <v>2599</v>
      </c>
      <c r="B51" s="498">
        <f ca="1" xml:space="preserve"> MHDV_Comp_Sum!C285</f>
        <v>29249.91779068395</v>
      </c>
      <c r="C51" s="1278">
        <f t="shared" si="3"/>
        <v>1273.5668914591668</v>
      </c>
      <c r="D51" s="1278">
        <f ca="1" xml:space="preserve"> MHDV_Battery_Sum!C168</f>
        <v>1694.2737773608796</v>
      </c>
      <c r="E51" s="1278">
        <f t="shared" ca="1" si="4"/>
        <v>32666.016327680281</v>
      </c>
      <c r="F51" s="1278">
        <f xml:space="preserve"> MHDV_Fluids!C112</f>
        <v>5730.8756860862486</v>
      </c>
      <c r="G51" s="497">
        <f t="shared" ca="1" si="5"/>
        <v>70614.650473270522</v>
      </c>
      <c r="H51" s="665">
        <f t="shared" ca="1" si="2"/>
        <v>0.41421882845339303</v>
      </c>
      <c r="I51" s="369">
        <f t="shared" ca="1" si="2"/>
        <v>1.803544849296174E-2</v>
      </c>
      <c r="J51" s="369">
        <f t="shared" ca="1" si="2"/>
        <v>2.3993233217265677E-2</v>
      </c>
      <c r="K51" s="369">
        <f t="shared" ca="1" si="2"/>
        <v>0.46259545446656591</v>
      </c>
      <c r="L51" s="746">
        <f t="shared" ca="1" si="2"/>
        <v>8.115703536981371E-2</v>
      </c>
      <c r="N51" s="446"/>
      <c r="O51" s="446"/>
      <c r="P51" s="446"/>
      <c r="Q51" s="446"/>
      <c r="R51" s="446"/>
    </row>
    <row r="52" spans="1:18" ht="15.75">
      <c r="A52" s="59" t="s">
        <v>2322</v>
      </c>
      <c r="B52" s="498">
        <f ca="1" xml:space="preserve"> MHDV_Comp_Sum!C286</f>
        <v>13534.665497187925</v>
      </c>
      <c r="C52" s="1278">
        <f t="shared" si="3"/>
        <v>218.87657723641991</v>
      </c>
      <c r="D52" s="1278">
        <f ca="1" xml:space="preserve"> MHDV_Battery_Sum!C169</f>
        <v>817.3938482385463</v>
      </c>
      <c r="E52" s="1278">
        <f t="shared" ca="1" si="4"/>
        <v>13810.109497728403</v>
      </c>
      <c r="F52" s="1278">
        <f xml:space="preserve"> MHDV_Fluids!C113</f>
        <v>908.51064615265682</v>
      </c>
      <c r="G52" s="497">
        <f t="shared" ca="1" si="5"/>
        <v>29289.556066543952</v>
      </c>
      <c r="H52" s="665">
        <f t="shared" ca="1" si="2"/>
        <v>0.46209869027847511</v>
      </c>
      <c r="I52" s="369">
        <f t="shared" ca="1" si="2"/>
        <v>7.4728540350405678E-3</v>
      </c>
      <c r="J52" s="369">
        <f t="shared" ca="1" si="2"/>
        <v>2.7907348489047804E-2</v>
      </c>
      <c r="K52" s="369">
        <f t="shared" ca="1" si="2"/>
        <v>0.47150286150984122</v>
      </c>
      <c r="L52" s="746">
        <f t="shared" ca="1" si="2"/>
        <v>3.1018245687595269E-2</v>
      </c>
      <c r="N52" s="446"/>
      <c r="O52" s="446"/>
      <c r="P52" s="446"/>
      <c r="Q52" s="446"/>
      <c r="R52" s="446"/>
    </row>
    <row r="53" spans="1:18" ht="15.75">
      <c r="A53" s="59" t="s">
        <v>2323</v>
      </c>
      <c r="B53" s="498">
        <f ca="1" xml:space="preserve"> MHDV_Comp_Sum!C287</f>
        <v>6372.5062875821422</v>
      </c>
      <c r="C53" s="1278">
        <f t="shared" si="3"/>
        <v>133.44337186571244</v>
      </c>
      <c r="D53" s="1278">
        <f ca="1" xml:space="preserve"> MHDV_Battery_Sum!C170</f>
        <v>371.01082660808532</v>
      </c>
      <c r="E53" s="1278">
        <f t="shared" ca="1" si="4"/>
        <v>7022.3509914961151</v>
      </c>
      <c r="F53" s="1278">
        <f xml:space="preserve"> MHDV_Fluids!C114</f>
        <v>511.52300666689513</v>
      </c>
      <c r="G53" s="497">
        <f ca="1">SUM(B53:F53)</f>
        <v>14410.834484218951</v>
      </c>
      <c r="H53" s="665">
        <f t="shared" ca="1" si="2"/>
        <v>0.44220244806506942</v>
      </c>
      <c r="I53" s="369">
        <f t="shared" ca="1" si="2"/>
        <v>9.2599336986240385E-3</v>
      </c>
      <c r="J53" s="369">
        <f t="shared" ca="1" si="2"/>
        <v>2.5745270130912452E-2</v>
      </c>
      <c r="K53" s="369">
        <f t="shared" ca="1" si="2"/>
        <v>0.48729662388296574</v>
      </c>
      <c r="L53" s="746">
        <f t="shared" ca="1" si="2"/>
        <v>3.5495724222428263E-2</v>
      </c>
      <c r="N53" s="446"/>
      <c r="O53" s="446"/>
      <c r="P53" s="446"/>
      <c r="Q53" s="446"/>
      <c r="R53" s="446"/>
    </row>
    <row r="54" spans="1:18" ht="15.75">
      <c r="A54" s="59" t="s">
        <v>2324</v>
      </c>
      <c r="B54" s="498">
        <f ca="1" xml:space="preserve"> MHDV_Comp_Sum!C288</f>
        <v>81302.797104696729</v>
      </c>
      <c r="C54" s="1278">
        <f t="shared" si="3"/>
        <v>784.58657763581698</v>
      </c>
      <c r="D54" s="1278">
        <f ca="1" xml:space="preserve"> MHDV_Battery_Sum!C171</f>
        <v>20547.2482576312</v>
      </c>
      <c r="E54" s="1278">
        <f t="shared" ca="1" si="4"/>
        <v>69752.397094087792</v>
      </c>
      <c r="F54" s="1278">
        <f xml:space="preserve"> MHDV_Fluids!C115</f>
        <v>10389.029392962108</v>
      </c>
      <c r="G54" s="497">
        <f t="shared" ca="1" si="5"/>
        <v>182776.05842701363</v>
      </c>
      <c r="H54" s="665">
        <f t="shared" ca="1" si="2"/>
        <v>0.44482191926226849</v>
      </c>
      <c r="I54" s="369">
        <f t="shared" ca="1" si="2"/>
        <v>4.292611321132735E-3</v>
      </c>
      <c r="J54" s="369">
        <f t="shared" ca="1" si="2"/>
        <v>0.11241761330484186</v>
      </c>
      <c r="K54" s="369">
        <f t="shared" ca="1" si="2"/>
        <v>0.3816276469379134</v>
      </c>
      <c r="L54" s="746">
        <f t="shared" ca="1" si="2"/>
        <v>5.6840209173843567E-2</v>
      </c>
      <c r="N54" s="446"/>
      <c r="O54" s="446"/>
      <c r="P54" s="446"/>
      <c r="Q54" s="446"/>
      <c r="R54" s="446"/>
    </row>
    <row r="55" spans="1:18">
      <c r="A55" s="59" t="s">
        <v>885</v>
      </c>
      <c r="B55" s="498">
        <f ca="1" xml:space="preserve"> MHDV_Comp_Sum!C289</f>
        <v>162.77691823954785</v>
      </c>
      <c r="C55" s="1278">
        <f t="shared" si="3"/>
        <v>8.6403035291766361</v>
      </c>
      <c r="D55" s="1278">
        <f ca="1" xml:space="preserve"> MHDV_Battery_Sum!C172</f>
        <v>12.465353012761655</v>
      </c>
      <c r="E55" s="1278">
        <f t="shared" ca="1" si="4"/>
        <v>217.34322304019747</v>
      </c>
      <c r="F55" s="1278">
        <f xml:space="preserve"> MHDV_Fluids!C116</f>
        <v>39.535951091781222</v>
      </c>
      <c r="G55" s="497">
        <f ca="1">SUM(B55:F55)</f>
        <v>440.76174891346483</v>
      </c>
      <c r="H55" s="665">
        <f t="shared" ca="1" si="2"/>
        <v>0.36930817758304613</v>
      </c>
      <c r="I55" s="369">
        <f t="shared" ca="1" si="2"/>
        <v>1.9603115629875122E-2</v>
      </c>
      <c r="J55" s="369">
        <f t="shared" ca="1" si="2"/>
        <v>2.8281385677160906E-2</v>
      </c>
      <c r="K55" s="369">
        <f t="shared" ca="1" si="2"/>
        <v>0.49310817823002301</v>
      </c>
      <c r="L55" s="746">
        <f t="shared" ca="1" si="2"/>
        <v>8.9699142879894847E-2</v>
      </c>
      <c r="N55" s="446"/>
      <c r="O55" s="446"/>
      <c r="P55" s="446"/>
      <c r="Q55" s="446"/>
      <c r="R55" s="446"/>
    </row>
    <row r="56" spans="1:18">
      <c r="A56" s="118" t="s">
        <v>886</v>
      </c>
      <c r="B56" s="501">
        <f ca="1" xml:space="preserve"> MHDV_Comp_Sum!C290</f>
        <v>355.53143276530352</v>
      </c>
      <c r="C56" s="499">
        <f t="shared" si="3"/>
        <v>32.766513006925877</v>
      </c>
      <c r="D56" s="499">
        <f ca="1" xml:space="preserve"> MHDV_Battery_Sum!C173</f>
        <v>26.885948460611633</v>
      </c>
      <c r="E56" s="499">
        <f t="shared" ca="1" si="4"/>
        <v>431.11891091196901</v>
      </c>
      <c r="F56" s="499">
        <f xml:space="preserve"> MHDV_Fluids!C117</f>
        <v>40.62274456022719</v>
      </c>
      <c r="G56" s="500">
        <f ca="1">SUM(B56:F56)</f>
        <v>886.92554970503716</v>
      </c>
      <c r="H56" s="427">
        <f t="shared" ca="1" si="2"/>
        <v>0.40085826018152459</v>
      </c>
      <c r="I56" s="426">
        <f t="shared" ca="1" si="2"/>
        <v>3.6943927275319741E-2</v>
      </c>
      <c r="J56" s="426">
        <f t="shared" ca="1" si="2"/>
        <v>3.0313647486593473E-2</v>
      </c>
      <c r="K56" s="426">
        <f t="shared" ca="1" si="2"/>
        <v>0.4860824125038965</v>
      </c>
      <c r="L56" s="747">
        <f t="shared" ca="1" si="2"/>
        <v>4.5801752552665782E-2</v>
      </c>
      <c r="N56" s="446"/>
      <c r="O56" s="446"/>
      <c r="P56" s="446"/>
      <c r="Q56" s="446"/>
      <c r="R56" s="446"/>
    </row>
    <row r="57" spans="1:18">
      <c r="A57" s="481" t="s">
        <v>890</v>
      </c>
      <c r="B57" s="508">
        <f ca="1" xml:space="preserve"> MHDV_Comp_Sum!C297</f>
        <v>222.601781029883</v>
      </c>
      <c r="C57" s="506">
        <f t="shared" si="3"/>
        <v>12.823492925743636</v>
      </c>
      <c r="D57" s="506">
        <f ca="1" xml:space="preserve"> MHDV_Battery_Sum!C180</f>
        <v>21.015562533181967</v>
      </c>
      <c r="E57" s="1278">
        <f t="shared" ca="1" si="4"/>
        <v>344.11989190299687</v>
      </c>
      <c r="F57" s="506">
        <f xml:space="preserve"> MHDV_Fluids!C124</f>
        <v>43836.3001493353</v>
      </c>
      <c r="G57" s="507">
        <f t="shared" ca="1" si="5"/>
        <v>44436.860877727107</v>
      </c>
      <c r="H57" s="2429">
        <f t="shared" ca="1" si="2"/>
        <v>5.0093948274698387E-3</v>
      </c>
      <c r="I57" s="458">
        <f t="shared" ca="1" si="2"/>
        <v>2.8857783093699807E-4</v>
      </c>
      <c r="J57" s="458">
        <f t="shared" ca="1" si="2"/>
        <v>4.7293085330686591E-4</v>
      </c>
      <c r="K57" s="458">
        <f t="shared" ca="1" si="2"/>
        <v>7.7440189317125813E-3</v>
      </c>
      <c r="L57" s="896">
        <f t="shared" ca="1" si="2"/>
        <v>0.98648507755657366</v>
      </c>
      <c r="N57" s="446"/>
      <c r="O57" s="446"/>
      <c r="P57" s="446"/>
      <c r="Q57" s="446"/>
      <c r="R57" s="446"/>
    </row>
    <row r="58" spans="1:18">
      <c r="A58" s="100" t="s">
        <v>891</v>
      </c>
      <c r="B58" s="498">
        <f ca="1" xml:space="preserve"> MHDV_Comp_Sum!C298</f>
        <v>699.40440200391311</v>
      </c>
      <c r="C58" s="1278">
        <f t="shared" si="3"/>
        <v>86.524132102408458</v>
      </c>
      <c r="D58" s="1278">
        <f ca="1" xml:space="preserve"> MHDV_Battery_Sum!C181</f>
        <v>63.086139356085013</v>
      </c>
      <c r="E58" s="1278">
        <f t="shared" ca="1" si="4"/>
        <v>920.69966279936182</v>
      </c>
      <c r="F58" s="1278">
        <f xml:space="preserve"> MHDV_Fluids!C125</f>
        <v>484.21941987760533</v>
      </c>
      <c r="G58" s="497">
        <f t="shared" ca="1" si="5"/>
        <v>2253.9337561393741</v>
      </c>
      <c r="H58" s="665">
        <f t="shared" ca="1" si="2"/>
        <v>0.31030388541759113</v>
      </c>
      <c r="I58" s="369">
        <f t="shared" ca="1" si="2"/>
        <v>3.83880546030822E-2</v>
      </c>
      <c r="J58" s="369">
        <f t="shared" ca="1" si="2"/>
        <v>2.798934936940712E-2</v>
      </c>
      <c r="K58" s="369">
        <f t="shared" ca="1" si="2"/>
        <v>0.40848567988811357</v>
      </c>
      <c r="L58" s="746">
        <f t="shared" ca="1" si="2"/>
        <v>0.21483303072180582</v>
      </c>
      <c r="N58" s="446"/>
      <c r="O58" s="446"/>
      <c r="P58" s="446"/>
      <c r="Q58" s="446"/>
      <c r="R58" s="446"/>
    </row>
    <row r="59" spans="1:18" ht="15.75">
      <c r="A59" s="59" t="s">
        <v>2325</v>
      </c>
      <c r="B59" s="498">
        <f ca="1" xml:space="preserve"> MHDV_Comp_Sum!C299</f>
        <v>1435.4997681556715</v>
      </c>
      <c r="C59" s="1278">
        <f t="shared" si="3"/>
        <v>231.07825515807599</v>
      </c>
      <c r="D59" s="1278">
        <f ca="1" xml:space="preserve"> MHDV_Battery_Sum!C182</f>
        <v>143.43393170615306</v>
      </c>
      <c r="E59" s="1278">
        <f t="shared" ca="1" si="4"/>
        <v>2196.6720974342111</v>
      </c>
      <c r="F59" s="1278">
        <f xml:space="preserve"> MHDV_Fluids!C126</f>
        <v>2493.3811451467195</v>
      </c>
      <c r="G59" s="497">
        <f t="shared" ca="1" si="5"/>
        <v>6500.0651976008312</v>
      </c>
      <c r="H59" s="665">
        <f t="shared" ca="1" si="2"/>
        <v>0.22084390302508247</v>
      </c>
      <c r="I59" s="369">
        <f t="shared" ca="1" si="2"/>
        <v>3.5550144211379107E-2</v>
      </c>
      <c r="J59" s="369">
        <f t="shared" ca="1" si="2"/>
        <v>2.206653738782411E-2</v>
      </c>
      <c r="K59" s="369">
        <f t="shared" ca="1" si="2"/>
        <v>0.33794616371617331</v>
      </c>
      <c r="L59" s="746">
        <f t="shared" ca="1" si="2"/>
        <v>0.38359325165954095</v>
      </c>
      <c r="N59" s="446"/>
      <c r="O59" s="446"/>
      <c r="P59" s="446"/>
      <c r="Q59" s="446"/>
      <c r="R59" s="446"/>
    </row>
    <row r="60" spans="1:18" ht="15.75">
      <c r="A60" s="59" t="s">
        <v>2326</v>
      </c>
      <c r="B60" s="498">
        <f ca="1" xml:space="preserve"> MHDV_Comp_Sum!C300</f>
        <v>147.75551228994536</v>
      </c>
      <c r="C60" s="1278">
        <f t="shared" si="3"/>
        <v>28.526169056138201</v>
      </c>
      <c r="D60" s="1278">
        <f ca="1" xml:space="preserve"> MHDV_Battery_Sum!C183</f>
        <v>16.399062885772839</v>
      </c>
      <c r="E60" s="1278">
        <f t="shared" ca="1" si="4"/>
        <v>247.81840008912724</v>
      </c>
      <c r="F60" s="1278">
        <f xml:space="preserve"> MHDV_Fluids!C127</f>
        <v>451.16106964101272</v>
      </c>
      <c r="G60" s="497">
        <f t="shared" ca="1" si="5"/>
        <v>891.66021396199631</v>
      </c>
      <c r="H60" s="665">
        <f t="shared" ca="1" si="2"/>
        <v>0.16570831576460007</v>
      </c>
      <c r="I60" s="369">
        <f t="shared" ca="1" si="2"/>
        <v>3.1992196813834764E-2</v>
      </c>
      <c r="J60" s="369">
        <f t="shared" ca="1" si="2"/>
        <v>1.839160548938857E-2</v>
      </c>
      <c r="K60" s="369">
        <f t="shared" ca="1" si="2"/>
        <v>0.27792918895413404</v>
      </c>
      <c r="L60" s="746">
        <f t="shared" ca="1" si="2"/>
        <v>0.50597869297804265</v>
      </c>
      <c r="N60" s="446"/>
      <c r="O60" s="446"/>
      <c r="P60" s="446"/>
      <c r="Q60" s="446"/>
      <c r="R60" s="446"/>
    </row>
    <row r="61" spans="1:18" ht="15.75">
      <c r="A61" s="59" t="s">
        <v>2327</v>
      </c>
      <c r="B61" s="498">
        <f ca="1" xml:space="preserve"> MHDV_Comp_Sum!C301</f>
        <v>128.50100372857176</v>
      </c>
      <c r="C61" s="1278">
        <f t="shared" si="3"/>
        <v>25.087339763589249</v>
      </c>
      <c r="D61" s="1278">
        <f ca="1" xml:space="preserve"> MHDV_Battery_Sum!C184</f>
        <v>14.106448454226296</v>
      </c>
      <c r="E61" s="1278">
        <f t="shared" ca="1" si="4"/>
        <v>205.88258560620667</v>
      </c>
      <c r="F61" s="1278">
        <f xml:space="preserve"> MHDV_Fluids!C128</f>
        <v>253.87729850933434</v>
      </c>
      <c r="G61" s="497">
        <f ca="1">SUM(B61:F61)</f>
        <v>627.45467606192835</v>
      </c>
      <c r="H61" s="665">
        <f t="shared" ca="1" si="2"/>
        <v>0.20479726844188664</v>
      </c>
      <c r="I61" s="369">
        <f t="shared" ca="1" si="2"/>
        <v>3.9982712251096821E-2</v>
      </c>
      <c r="J61" s="369">
        <f t="shared" ca="1" si="2"/>
        <v>2.2482019805417822E-2</v>
      </c>
      <c r="K61" s="369">
        <f t="shared" ca="1" si="2"/>
        <v>0.32812343817147127</v>
      </c>
      <c r="L61" s="746">
        <f t="shared" ca="1" si="2"/>
        <v>0.40461456133012741</v>
      </c>
      <c r="N61" s="446"/>
      <c r="O61" s="446"/>
      <c r="P61" s="446"/>
      <c r="Q61" s="446"/>
      <c r="R61" s="446"/>
    </row>
    <row r="62" spans="1:18" ht="15.75">
      <c r="A62" s="59" t="s">
        <v>2328</v>
      </c>
      <c r="B62" s="498">
        <f ca="1" xml:space="preserve"> MHDV_Comp_Sum!C302</f>
        <v>1147.9231931960858</v>
      </c>
      <c r="C62" s="1278">
        <f t="shared" si="3"/>
        <v>212.4939126779536</v>
      </c>
      <c r="D62" s="1278">
        <f ca="1" xml:space="preserve"> MHDV_Battery_Sum!C185</f>
        <v>143.39677583056388</v>
      </c>
      <c r="E62" s="1278">
        <f t="shared" ca="1" si="4"/>
        <v>2057.4670239523716</v>
      </c>
      <c r="F62" s="1278">
        <f xml:space="preserve"> MHDV_Fluids!C129</f>
        <v>5103.61473552807</v>
      </c>
      <c r="G62" s="497">
        <f t="shared" ca="1" si="5"/>
        <v>8664.895641185045</v>
      </c>
      <c r="H62" s="665">
        <f t="shared" ca="1" si="2"/>
        <v>0.13247974825454348</v>
      </c>
      <c r="I62" s="369">
        <f t="shared" ca="1" si="2"/>
        <v>2.4523539749047932E-2</v>
      </c>
      <c r="J62" s="369">
        <f t="shared" ca="1" si="2"/>
        <v>1.6549163633198978E-2</v>
      </c>
      <c r="K62" s="369">
        <f t="shared" ca="1" si="2"/>
        <v>0.23744856362412975</v>
      </c>
      <c r="L62" s="746">
        <f t="shared" ca="1" si="2"/>
        <v>0.58899898473907986</v>
      </c>
      <c r="N62" s="446"/>
      <c r="O62" s="446"/>
      <c r="P62" s="446"/>
      <c r="Q62" s="446"/>
      <c r="R62" s="446"/>
    </row>
    <row r="63" spans="1:18">
      <c r="A63" s="59" t="s">
        <v>896</v>
      </c>
      <c r="B63" s="498">
        <f ca="1" xml:space="preserve"> MHDV_Comp_Sum!C303</f>
        <v>7.6715090598475264</v>
      </c>
      <c r="C63" s="1278">
        <f t="shared" si="3"/>
        <v>1.3011326329947144</v>
      </c>
      <c r="D63" s="1278">
        <f ca="1" xml:space="preserve"> MHDV_Battery_Sum!C186</f>
        <v>0.80290694123629214</v>
      </c>
      <c r="E63" s="1278">
        <f t="shared" ca="1" si="4"/>
        <v>12.300688104572695</v>
      </c>
      <c r="F63" s="1278">
        <f xml:space="preserve"> MHDV_Fluids!C130</f>
        <v>18.413195543187854</v>
      </c>
      <c r="G63" s="497">
        <f ca="1">SUM(B63:F63)</f>
        <v>40.489432281839086</v>
      </c>
      <c r="H63" s="665">
        <f t="shared" ca="1" si="2"/>
        <v>0.1894694152895906</v>
      </c>
      <c r="I63" s="369">
        <f t="shared" ca="1" si="2"/>
        <v>3.2135116737073081E-2</v>
      </c>
      <c r="J63" s="369">
        <f t="shared" ca="1" si="2"/>
        <v>1.9830037024165036E-2</v>
      </c>
      <c r="K63" s="369">
        <f t="shared" ca="1" si="2"/>
        <v>0.30379996486367083</v>
      </c>
      <c r="L63" s="746">
        <f t="shared" ca="1" si="2"/>
        <v>0.45476546608550028</v>
      </c>
      <c r="N63" s="446"/>
      <c r="O63" s="446"/>
      <c r="P63" s="446"/>
      <c r="Q63" s="446"/>
      <c r="R63" s="446"/>
    </row>
    <row r="64" spans="1:18">
      <c r="A64" s="118" t="s">
        <v>897</v>
      </c>
      <c r="B64" s="501">
        <f ca="1" xml:space="preserve"> MHDV_Comp_Sum!C304</f>
        <v>31.250425396418578</v>
      </c>
      <c r="C64" s="499">
        <f t="shared" si="3"/>
        <v>7.1791922237382906</v>
      </c>
      <c r="D64" s="499">
        <f ca="1" xml:space="preserve"> MHDV_Battery_Sum!C187</f>
        <v>3.0748520304206712</v>
      </c>
      <c r="E64" s="499">
        <f t="shared" ca="1" si="4"/>
        <v>39.34518246638212</v>
      </c>
      <c r="F64" s="499">
        <f xml:space="preserve"> MHDV_Fluids!C131</f>
        <v>16.460552759901134</v>
      </c>
      <c r="G64" s="500">
        <f ca="1">SUM(B64:F64)</f>
        <v>97.310204876860794</v>
      </c>
      <c r="H64" s="427">
        <f t="shared" ca="1" si="2"/>
        <v>0.32114232454821967</v>
      </c>
      <c r="I64" s="426">
        <f t="shared" ca="1" si="2"/>
        <v>7.3776355037203464E-2</v>
      </c>
      <c r="J64" s="426">
        <f t="shared" ca="1" si="2"/>
        <v>3.1598453978302479E-2</v>
      </c>
      <c r="K64" s="426">
        <f t="shared" ca="1" si="2"/>
        <v>0.40432740344315043</v>
      </c>
      <c r="L64" s="747">
        <f t="shared" ca="1" si="2"/>
        <v>0.16915546299312392</v>
      </c>
      <c r="N64" s="446"/>
      <c r="O64" s="446"/>
      <c r="P64" s="446"/>
      <c r="Q64" s="446"/>
      <c r="R64" s="446"/>
    </row>
    <row r="66" spans="1:18">
      <c r="A66" s="172" t="s">
        <v>2601</v>
      </c>
    </row>
    <row r="67" spans="1:18">
      <c r="A67" s="482"/>
      <c r="B67" s="2986" t="s">
        <v>1875</v>
      </c>
      <c r="C67" s="2987"/>
      <c r="D67" s="2987"/>
      <c r="E67" s="2987"/>
      <c r="F67" s="2987"/>
      <c r="G67" s="2988"/>
      <c r="H67" s="2986" t="s">
        <v>1890</v>
      </c>
      <c r="I67" s="2987"/>
      <c r="J67" s="2987"/>
      <c r="K67" s="2987"/>
      <c r="L67" s="2988"/>
    </row>
    <row r="68" spans="1:18">
      <c r="A68" s="484"/>
      <c r="B68" s="1725" t="s">
        <v>1891</v>
      </c>
      <c r="C68" s="1726" t="s">
        <v>1892</v>
      </c>
      <c r="D68" s="1726" t="s">
        <v>1893</v>
      </c>
      <c r="E68" s="1726" t="s">
        <v>2387</v>
      </c>
      <c r="F68" s="1726" t="s">
        <v>1418</v>
      </c>
      <c r="G68" s="1727" t="s">
        <v>1894</v>
      </c>
      <c r="H68" s="1725" t="s">
        <v>1891</v>
      </c>
      <c r="I68" s="1726" t="s">
        <v>1892</v>
      </c>
      <c r="J68" s="1726" t="s">
        <v>1893</v>
      </c>
      <c r="K68" s="1726" t="s">
        <v>2387</v>
      </c>
      <c r="L68" s="1727" t="s">
        <v>1418</v>
      </c>
    </row>
    <row r="69" spans="1:18">
      <c r="A69" s="481" t="s">
        <v>876</v>
      </c>
      <c r="B69" s="508">
        <f ca="1" xml:space="preserve"> MHDV_Comp_Sum!D276</f>
        <v>328.04380284583215</v>
      </c>
      <c r="C69" s="506">
        <f xml:space="preserve"> C7</f>
        <v>28.514205661628502</v>
      </c>
      <c r="D69" s="506">
        <f ca="1" xml:space="preserve"> MHDV_Battery_Sum!D159</f>
        <v>2970.0808842378856</v>
      </c>
      <c r="E69" s="1278">
        <f ca="1" xml:space="preserve"> E7</f>
        <v>464.76653177396844</v>
      </c>
      <c r="F69" s="506">
        <f>MHDV_Fluids!D103</f>
        <v>29.77922042402254</v>
      </c>
      <c r="G69" s="507">
        <f ca="1">SUM(B69:F69)</f>
        <v>3821.1846449433374</v>
      </c>
      <c r="H69" s="2429">
        <f t="shared" ref="H69:L95" ca="1" si="7">B69/$G69</f>
        <v>8.5848717957123621E-2</v>
      </c>
      <c r="I69" s="458">
        <f t="shared" ca="1" si="7"/>
        <v>7.4621376120523287E-3</v>
      </c>
      <c r="J69" s="458">
        <f t="shared" ca="1" si="7"/>
        <v>0.77726704156216653</v>
      </c>
      <c r="K69" s="458">
        <f t="shared" ca="1" si="7"/>
        <v>0.12162891222464342</v>
      </c>
      <c r="L69" s="896">
        <f t="shared" ca="1" si="7"/>
        <v>7.7931906440140428E-3</v>
      </c>
      <c r="N69" s="446"/>
      <c r="O69" s="446"/>
      <c r="P69" s="446"/>
      <c r="Q69" s="446"/>
      <c r="R69" s="446"/>
    </row>
    <row r="70" spans="1:18">
      <c r="A70" s="100" t="s">
        <v>877</v>
      </c>
      <c r="B70" s="498">
        <f ca="1" xml:space="preserve"> MHDV_Comp_Sum!D277</f>
        <v>302.57410349787949</v>
      </c>
      <c r="C70" s="1278">
        <f t="shared" ref="C70:C95" si="8" xml:space="preserve"> C8</f>
        <v>23.793061394997494</v>
      </c>
      <c r="D70" s="1278">
        <f ca="1" xml:space="preserve"> MHDV_Battery_Sum!D160</f>
        <v>2643.1262416149734</v>
      </c>
      <c r="E70" s="1278">
        <f t="shared" ref="E70:E95" ca="1" si="9" xml:space="preserve"> E8</f>
        <v>390.18912763958991</v>
      </c>
      <c r="F70" s="1278">
        <f>MHDV_Fluids!D104</f>
        <v>29.594692415275919</v>
      </c>
      <c r="G70" s="497">
        <f t="shared" ref="G70:G93" ca="1" si="10">SUM(B70:F70)</f>
        <v>3389.2772265627164</v>
      </c>
      <c r="H70" s="665">
        <f t="shared" ca="1" si="7"/>
        <v>8.9273931659092795E-2</v>
      </c>
      <c r="I70" s="369">
        <f t="shared" ca="1" si="7"/>
        <v>7.0200989191809386E-3</v>
      </c>
      <c r="J70" s="369">
        <f t="shared" ca="1" si="7"/>
        <v>0.77984952688439046</v>
      </c>
      <c r="K70" s="369">
        <f t="shared" ca="1" si="7"/>
        <v>0.11512458307675992</v>
      </c>
      <c r="L70" s="746">
        <f t="shared" ca="1" si="7"/>
        <v>8.7318594605758464E-3</v>
      </c>
      <c r="N70" s="446"/>
      <c r="O70" s="446"/>
      <c r="P70" s="446"/>
      <c r="Q70" s="446"/>
      <c r="R70" s="446"/>
    </row>
    <row r="71" spans="1:18">
      <c r="A71" s="100" t="s">
        <v>442</v>
      </c>
      <c r="B71" s="498">
        <f ca="1" xml:space="preserve"> MHDV_Comp_Sum!D278</f>
        <v>109.13768207419288</v>
      </c>
      <c r="C71" s="1278">
        <f t="shared" si="8"/>
        <v>6.2409856830582626</v>
      </c>
      <c r="D71" s="1278">
        <f ca="1" xml:space="preserve"> MHDV_Battery_Sum!D161</f>
        <v>654.77640494195202</v>
      </c>
      <c r="E71" s="1278">
        <f t="shared" ca="1" si="9"/>
        <v>108.99833373701478</v>
      </c>
      <c r="F71" s="1278">
        <f>MHDV_Fluids!D105</f>
        <v>0.23722049325673211</v>
      </c>
      <c r="G71" s="497">
        <f ca="1">SUM(B71:F71)</f>
        <v>879.39062692947459</v>
      </c>
      <c r="H71" s="665">
        <f t="shared" ca="1" si="7"/>
        <v>0.12410603289605622</v>
      </c>
      <c r="I71" s="369">
        <f t="shared" ca="1" si="7"/>
        <v>7.0969436015591936E-3</v>
      </c>
      <c r="J71" s="369">
        <f t="shared" ca="1" si="7"/>
        <v>0.74457969517847022</v>
      </c>
      <c r="K71" s="369">
        <f t="shared" ca="1" si="7"/>
        <v>0.12394757278412091</v>
      </c>
      <c r="L71" s="746">
        <f t="shared" ca="1" si="7"/>
        <v>2.6975553979353105E-4</v>
      </c>
      <c r="N71" s="446"/>
      <c r="O71" s="446"/>
      <c r="P71" s="446"/>
      <c r="Q71" s="446"/>
      <c r="R71" s="446"/>
    </row>
    <row r="72" spans="1:18">
      <c r="A72" s="100" t="s">
        <v>878</v>
      </c>
      <c r="B72" s="498">
        <f ca="1" xml:space="preserve"> MHDV_Comp_Sum!D279</f>
        <v>143.25671232079557</v>
      </c>
      <c r="C72" s="1278">
        <f t="shared" si="8"/>
        <v>17.33578426015664</v>
      </c>
      <c r="D72" s="1278">
        <f ca="1" xml:space="preserve"> MHDV_Battery_Sum!D162</f>
        <v>1541.0418592083854</v>
      </c>
      <c r="E72" s="1278">
        <f t="shared" ca="1" si="9"/>
        <v>193.17440599258265</v>
      </c>
      <c r="F72" s="1278">
        <f>MHDV_Fluids!D106</f>
        <v>5.7581291163180133</v>
      </c>
      <c r="G72" s="497">
        <f ca="1">G70-G71-G73</f>
        <v>1900.5668908982384</v>
      </c>
      <c r="H72" s="665">
        <f t="shared" ca="1" si="7"/>
        <v>7.5375780251065061E-2</v>
      </c>
      <c r="I72" s="369">
        <f t="shared" ca="1" si="7"/>
        <v>9.1213754923213826E-3</v>
      </c>
      <c r="J72" s="369">
        <f t="shared" ca="1" si="7"/>
        <v>0.81083273974117498</v>
      </c>
      <c r="K72" s="369">
        <f t="shared" ca="1" si="7"/>
        <v>0.10164041419309652</v>
      </c>
      <c r="L72" s="746">
        <f t="shared" ca="1" si="7"/>
        <v>3.0296903223419984E-3</v>
      </c>
      <c r="N72" s="446"/>
      <c r="O72" s="446"/>
      <c r="P72" s="446"/>
      <c r="Q72" s="446"/>
      <c r="R72" s="446"/>
    </row>
    <row r="73" spans="1:18">
      <c r="A73" s="100" t="s">
        <v>440</v>
      </c>
      <c r="B73" s="498">
        <f ca="1" xml:space="preserve"> MHDV_Comp_Sum!D280</f>
        <v>50.179709102891039</v>
      </c>
      <c r="C73" s="1278">
        <f t="shared" si="8"/>
        <v>0.21629145178259165</v>
      </c>
      <c r="D73" s="1278">
        <f ca="1" xml:space="preserve"> MHDV_Battery_Sum!D163</f>
        <v>447.30797746463571</v>
      </c>
      <c r="E73" s="1278">
        <f t="shared" ca="1" si="9"/>
        <v>88.016387909992574</v>
      </c>
      <c r="F73" s="1278">
        <f>MHDV_Fluids!D107</f>
        <v>23.599342805701173</v>
      </c>
      <c r="G73" s="497">
        <f t="shared" ca="1" si="10"/>
        <v>609.31970873500313</v>
      </c>
      <c r="H73" s="665">
        <f t="shared" ca="1" si="7"/>
        <v>8.235366160577369E-2</v>
      </c>
      <c r="I73" s="369">
        <f t="shared" ca="1" si="7"/>
        <v>3.5497202647790624E-4</v>
      </c>
      <c r="J73" s="369">
        <f t="shared" ca="1" si="7"/>
        <v>0.73411046951572134</v>
      </c>
      <c r="K73" s="369">
        <f t="shared" ca="1" si="7"/>
        <v>0.14445025599569344</v>
      </c>
      <c r="L73" s="746">
        <f t="shared" ca="1" si="7"/>
        <v>3.8730640856333556E-2</v>
      </c>
      <c r="N73" s="446"/>
      <c r="O73" s="446"/>
      <c r="P73" s="446"/>
      <c r="Q73" s="446"/>
      <c r="R73" s="446"/>
    </row>
    <row r="74" spans="1:18">
      <c r="A74" s="118" t="s">
        <v>819</v>
      </c>
      <c r="B74" s="501">
        <f ca="1" xml:space="preserve"> MHDV_Comp_Sum!D281</f>
        <v>12459.287106921303</v>
      </c>
      <c r="C74" s="499">
        <f t="shared" si="8"/>
        <v>1231.7467899904041</v>
      </c>
      <c r="D74" s="499">
        <f ca="1" xml:space="preserve"> MHDV_Battery_Sum!D164</f>
        <v>246278.15200965983</v>
      </c>
      <c r="E74" s="499">
        <f t="shared" ca="1" si="9"/>
        <v>42795.708817834573</v>
      </c>
      <c r="F74" s="499">
        <f>MHDV_Fluids!D108</f>
        <v>620.73397968828499</v>
      </c>
      <c r="G74" s="542">
        <f t="shared" ref="G74:G79" ca="1" si="11">SUM(B74:F74)</f>
        <v>303385.62870409439</v>
      </c>
      <c r="H74" s="427">
        <f t="shared" ca="1" si="7"/>
        <v>4.1067492748884965E-2</v>
      </c>
      <c r="I74" s="426">
        <f t="shared" ca="1" si="7"/>
        <v>4.0600037491946659E-3</v>
      </c>
      <c r="J74" s="426">
        <f t="shared" ca="1" si="7"/>
        <v>0.81176604528577045</v>
      </c>
      <c r="K74" s="426">
        <f t="shared" ca="1" si="7"/>
        <v>0.14106043519805334</v>
      </c>
      <c r="L74" s="747">
        <f t="shared" ca="1" si="7"/>
        <v>2.0460230180965977E-3</v>
      </c>
      <c r="N74" s="446"/>
      <c r="O74" s="446"/>
      <c r="P74" s="446"/>
      <c r="Q74" s="446"/>
      <c r="R74" s="446"/>
    </row>
    <row r="75" spans="1:18" ht="15.75">
      <c r="A75" s="58" t="s">
        <v>2597</v>
      </c>
      <c r="B75" s="898">
        <f ca="1" xml:space="preserve"> MHDV_Comp_Sum!D293</f>
        <v>22579569.492746118</v>
      </c>
      <c r="C75" s="506">
        <f t="shared" si="8"/>
        <v>1669839.8828504242</v>
      </c>
      <c r="D75" s="632">
        <f ca="1" xml:space="preserve"> MHDV_Battery_Sum!D176</f>
        <v>188872588.64114824</v>
      </c>
      <c r="E75" s="1278">
        <f t="shared" ca="1" si="9"/>
        <v>30409394.573856991</v>
      </c>
      <c r="F75" s="632">
        <f xml:space="preserve"> MHDV_Fluids!D120</f>
        <v>1684981.9373198703</v>
      </c>
      <c r="G75" s="899">
        <f t="shared" ca="1" si="11"/>
        <v>245216374.52792165</v>
      </c>
      <c r="H75" s="2429">
        <f t="shared" ca="1" si="7"/>
        <v>9.2080186472926942E-2</v>
      </c>
      <c r="I75" s="458">
        <f t="shared" ca="1" si="7"/>
        <v>6.8096589637014118E-3</v>
      </c>
      <c r="J75" s="458">
        <f t="shared" ca="1" si="7"/>
        <v>0.77022828921908804</v>
      </c>
      <c r="K75" s="458">
        <f t="shared" ca="1" si="7"/>
        <v>0.12401045661163387</v>
      </c>
      <c r="L75" s="896">
        <f t="shared" ca="1" si="7"/>
        <v>6.8714087326497411E-3</v>
      </c>
      <c r="N75" s="446"/>
      <c r="O75" s="446"/>
      <c r="P75" s="446"/>
      <c r="Q75" s="446"/>
      <c r="R75" s="446"/>
    </row>
    <row r="76" spans="1:18" ht="15.75">
      <c r="A76" s="59" t="s">
        <v>2598</v>
      </c>
      <c r="B76" s="2432">
        <f ca="1" xml:space="preserve"> MHDV_Comp_Sum!D294</f>
        <v>22823114.533741545</v>
      </c>
      <c r="C76" s="1278">
        <f t="shared" si="8"/>
        <v>1676658.014298873</v>
      </c>
      <c r="D76" s="2433">
        <f ca="1" xml:space="preserve"> MHDV_Battery_Sum!D177</f>
        <v>189202404.49357653</v>
      </c>
      <c r="E76" s="1278">
        <f t="shared" ca="1" si="9"/>
        <v>30624644.83012744</v>
      </c>
      <c r="F76" s="2433">
        <f xml:space="preserve"> MHDV_Fluids!D121</f>
        <v>1878770.1492690707</v>
      </c>
      <c r="G76" s="247">
        <f t="shared" ca="1" si="11"/>
        <v>246205592.02101347</v>
      </c>
      <c r="H76" s="416">
        <f t="shared" ca="1" si="7"/>
        <v>9.269941574598195E-2</v>
      </c>
      <c r="I76" s="382">
        <f t="shared" ca="1" si="7"/>
        <v>6.8099916030979974E-3</v>
      </c>
      <c r="J76" s="382">
        <f t="shared" ca="1" si="7"/>
        <v>0.76847322167007581</v>
      </c>
      <c r="K76" s="382">
        <f t="shared" ca="1" si="7"/>
        <v>0.12438647139872294</v>
      </c>
      <c r="L76" s="588">
        <f t="shared" ca="1" si="7"/>
        <v>7.6308995821212661E-3</v>
      </c>
      <c r="N76" s="446"/>
      <c r="O76" s="446"/>
      <c r="P76" s="446"/>
      <c r="Q76" s="446"/>
      <c r="R76" s="446"/>
    </row>
    <row r="77" spans="1:18" ht="15.75">
      <c r="A77" s="59" t="s">
        <v>2320</v>
      </c>
      <c r="B77" s="498">
        <f ca="1" xml:space="preserve"> MHDV_Comp_Sum!D291</f>
        <v>50543.699663889325</v>
      </c>
      <c r="C77" s="1278">
        <f t="shared" si="8"/>
        <v>4144.6685548756859</v>
      </c>
      <c r="D77" s="1278">
        <f ca="1" xml:space="preserve"> MHDV_Battery_Sum!D174</f>
        <v>436162.87811884936</v>
      </c>
      <c r="E77" s="1278">
        <f t="shared" ca="1" si="9"/>
        <v>61082.696001410855</v>
      </c>
      <c r="F77" s="1278">
        <f xml:space="preserve"> MHDV_Fluids!D118</f>
        <v>2970.5901790279622</v>
      </c>
      <c r="G77" s="497">
        <f t="shared" ca="1" si="11"/>
        <v>554904.53251805319</v>
      </c>
      <c r="H77" s="665">
        <f t="shared" ca="1" si="7"/>
        <v>9.1085397040336746E-2</v>
      </c>
      <c r="I77" s="369">
        <f t="shared" ca="1" si="7"/>
        <v>7.4691560655811432E-3</v>
      </c>
      <c r="J77" s="369">
        <f t="shared" ca="1" si="7"/>
        <v>0.78601426472338154</v>
      </c>
      <c r="K77" s="369">
        <f t="shared" ca="1" si="7"/>
        <v>0.11007784658782473</v>
      </c>
      <c r="L77" s="746">
        <f t="shared" ca="1" si="7"/>
        <v>5.3533355828758117E-3</v>
      </c>
      <c r="N77" s="446"/>
      <c r="O77" s="446"/>
      <c r="P77" s="446"/>
      <c r="Q77" s="446"/>
      <c r="R77" s="446"/>
    </row>
    <row r="78" spans="1:18" ht="15.75">
      <c r="A78" s="59" t="s">
        <v>2321</v>
      </c>
      <c r="B78" s="498">
        <f ca="1" xml:space="preserve"> MHDV_Comp_Sum!D292</f>
        <v>440.57085709681621</v>
      </c>
      <c r="C78" s="1278">
        <f t="shared" si="8"/>
        <v>38.644980147113287</v>
      </c>
      <c r="D78" s="1278">
        <f ca="1" xml:space="preserve"> MHDV_Battery_Sum!D175</f>
        <v>7415.6528054939126</v>
      </c>
      <c r="E78" s="1278">
        <f t="shared" ca="1" si="9"/>
        <v>599.34144010845898</v>
      </c>
      <c r="F78" s="1278">
        <f xml:space="preserve"> MHDV_Fluids!D119</f>
        <v>32.883520949837902</v>
      </c>
      <c r="G78" s="497">
        <f t="shared" ca="1" si="11"/>
        <v>8527.0936037961383</v>
      </c>
      <c r="H78" s="665">
        <f t="shared" ca="1" si="7"/>
        <v>5.1667177301851178E-2</v>
      </c>
      <c r="I78" s="369">
        <f t="shared" ca="1" si="7"/>
        <v>4.5320225088075847E-3</v>
      </c>
      <c r="J78" s="369">
        <f t="shared" ca="1" si="7"/>
        <v>0.86965772278992826</v>
      </c>
      <c r="K78" s="369">
        <f t="shared" ca="1" si="7"/>
        <v>7.0286719948944962E-2</v>
      </c>
      <c r="L78" s="746">
        <f t="shared" ca="1" si="7"/>
        <v>3.8563574504680747E-3</v>
      </c>
      <c r="N78" s="446"/>
      <c r="O78" s="446"/>
      <c r="P78" s="446"/>
      <c r="Q78" s="446"/>
      <c r="R78" s="446"/>
    </row>
    <row r="79" spans="1:18">
      <c r="A79" s="484" t="s">
        <v>1896</v>
      </c>
      <c r="B79" s="1455">
        <f ca="1" xml:space="preserve"> MHDV_Comp_Sum!D295</f>
        <v>24609051.429910704</v>
      </c>
      <c r="C79" s="499">
        <f t="shared" si="8"/>
        <v>1811238.9906841286</v>
      </c>
      <c r="D79" s="294">
        <f ca="1" xml:space="preserve"> MHDV_Battery_Sum!D178</f>
        <v>205962305.97969624</v>
      </c>
      <c r="E79" s="499">
        <f t="shared" ca="1" si="9"/>
        <v>33449180.254118897</v>
      </c>
      <c r="F79" s="294">
        <f xml:space="preserve"> MHDV_Fluids!D122</f>
        <v>1976601.9876916169</v>
      </c>
      <c r="G79" s="296">
        <f t="shared" ca="1" si="11"/>
        <v>267808378.64210159</v>
      </c>
      <c r="H79" s="664">
        <f t="shared" ca="1" si="7"/>
        <v>9.1890520956396868E-2</v>
      </c>
      <c r="I79" s="368">
        <f t="shared" ca="1" si="7"/>
        <v>6.7631901580818858E-3</v>
      </c>
      <c r="J79" s="368">
        <f t="shared" ca="1" si="7"/>
        <v>0.76906595314160697</v>
      </c>
      <c r="K79" s="368">
        <f t="shared" ca="1" si="7"/>
        <v>0.12489967798513239</v>
      </c>
      <c r="L79" s="428">
        <f t="shared" ca="1" si="7"/>
        <v>7.3806577587818591E-3</v>
      </c>
      <c r="N79" s="446"/>
      <c r="O79" s="446"/>
      <c r="P79" s="446"/>
      <c r="Q79" s="446"/>
      <c r="R79" s="446"/>
    </row>
    <row r="80" spans="1:18">
      <c r="A80" s="481" t="s">
        <v>879</v>
      </c>
      <c r="B80" s="508">
        <f ca="1" xml:space="preserve"> MHDV_Comp_Sum!D283</f>
        <v>26297.374685843646</v>
      </c>
      <c r="C80" s="506">
        <f t="shared" si="8"/>
        <v>1822.7303489865728</v>
      </c>
      <c r="D80" s="506">
        <f ca="1" xml:space="preserve"> MHDV_Battery_Sum!D166</f>
        <v>36621.281448074471</v>
      </c>
      <c r="E80" s="1278">
        <f t="shared" ca="1" si="9"/>
        <v>33162.817623247538</v>
      </c>
      <c r="F80" s="506">
        <f xml:space="preserve"> MHDV_Fluids!D110</f>
        <v>61881.265945793013</v>
      </c>
      <c r="G80" s="507">
        <f t="shared" ca="1" si="10"/>
        <v>159785.47005194525</v>
      </c>
      <c r="H80" s="2429">
        <f t="shared" ca="1" si="7"/>
        <v>0.1645792616643712</v>
      </c>
      <c r="I80" s="458">
        <f t="shared" ca="1" si="7"/>
        <v>1.1407359808085271E-2</v>
      </c>
      <c r="J80" s="458">
        <f t="shared" ca="1" si="7"/>
        <v>0.22919031020886393</v>
      </c>
      <c r="K80" s="458">
        <f t="shared" ca="1" si="7"/>
        <v>0.20754589020182196</v>
      </c>
      <c r="L80" s="896">
        <f t="shared" ca="1" si="7"/>
        <v>0.38727717811685758</v>
      </c>
      <c r="N80" s="446"/>
      <c r="O80" s="446"/>
      <c r="P80" s="446"/>
      <c r="Q80" s="446"/>
      <c r="R80" s="446"/>
    </row>
    <row r="81" spans="1:18">
      <c r="A81" s="100" t="s">
        <v>880</v>
      </c>
      <c r="B81" s="498">
        <f ca="1" xml:space="preserve"> MHDV_Comp_Sum!D284</f>
        <v>102826.74811258828</v>
      </c>
      <c r="C81" s="1278">
        <f t="shared" si="8"/>
        <v>723.72906291693016</v>
      </c>
      <c r="D81" s="1278">
        <f ca="1" xml:space="preserve"> MHDV_Battery_Sum!D167</f>
        <v>137250.60697631177</v>
      </c>
      <c r="E81" s="1278">
        <f t="shared" ca="1" si="9"/>
        <v>71204.514189028036</v>
      </c>
      <c r="F81" s="1278">
        <f xml:space="preserve"> MHDV_Fluids!D111</f>
        <v>588.59378124401348</v>
      </c>
      <c r="G81" s="497">
        <f t="shared" ca="1" si="10"/>
        <v>312594.19212208898</v>
      </c>
      <c r="H81" s="665">
        <f t="shared" ca="1" si="7"/>
        <v>0.32894644463652589</v>
      </c>
      <c r="I81" s="369">
        <f t="shared" ca="1" si="7"/>
        <v>2.3152351552144816E-3</v>
      </c>
      <c r="J81" s="369">
        <f t="shared" ca="1" si="7"/>
        <v>0.43906960025254149</v>
      </c>
      <c r="K81" s="369">
        <f t="shared" ca="1" si="7"/>
        <v>0.22778578739945976</v>
      </c>
      <c r="L81" s="746">
        <f t="shared" ca="1" si="7"/>
        <v>1.8829325562585251E-3</v>
      </c>
      <c r="N81" s="446"/>
      <c r="O81" s="446"/>
      <c r="P81" s="446"/>
      <c r="Q81" s="446"/>
      <c r="R81" s="446"/>
    </row>
    <row r="82" spans="1:18" ht="15.75">
      <c r="A82" s="59" t="s">
        <v>2599</v>
      </c>
      <c r="B82" s="498">
        <f ca="1" xml:space="preserve"> MHDV_Comp_Sum!D285</f>
        <v>26006.548730803326</v>
      </c>
      <c r="C82" s="1278">
        <f t="shared" si="8"/>
        <v>1273.5668914591668</v>
      </c>
      <c r="D82" s="1278">
        <f ca="1" xml:space="preserve"> MHDV_Battery_Sum!D168</f>
        <v>259361.26606903775</v>
      </c>
      <c r="E82" s="1278">
        <f t="shared" ca="1" si="9"/>
        <v>32666.016327680281</v>
      </c>
      <c r="F82" s="1278">
        <f xml:space="preserve"> MHDV_Fluids!D112</f>
        <v>2213.2359705103122</v>
      </c>
      <c r="G82" s="497">
        <f t="shared" ca="1" si="10"/>
        <v>321520.6339894908</v>
      </c>
      <c r="H82" s="665">
        <f t="shared" ca="1" si="7"/>
        <v>8.0886095576849892E-2</v>
      </c>
      <c r="I82" s="369">
        <f t="shared" ca="1" si="7"/>
        <v>3.9610735885174777E-3</v>
      </c>
      <c r="J82" s="369">
        <f t="shared" ca="1" si="7"/>
        <v>0.80667067258120428</v>
      </c>
      <c r="K82" s="369">
        <f t="shared" ca="1" si="7"/>
        <v>0.10159850682786349</v>
      </c>
      <c r="L82" s="746">
        <f t="shared" ca="1" si="7"/>
        <v>6.8836514255649732E-3</v>
      </c>
      <c r="N82" s="446"/>
      <c r="O82" s="446"/>
      <c r="P82" s="446"/>
      <c r="Q82" s="446"/>
      <c r="R82" s="446"/>
    </row>
    <row r="83" spans="1:18" ht="15.75">
      <c r="A83" s="59" t="s">
        <v>2322</v>
      </c>
      <c r="B83" s="498">
        <f ca="1" xml:space="preserve"> MHDV_Comp_Sum!D286</f>
        <v>11476.534760833025</v>
      </c>
      <c r="C83" s="1278">
        <f t="shared" si="8"/>
        <v>218.87657723641991</v>
      </c>
      <c r="D83" s="1278">
        <f ca="1" xml:space="preserve"> MHDV_Battery_Sum!D169</f>
        <v>105253.47731191669</v>
      </c>
      <c r="E83" s="1278">
        <f t="shared" ca="1" si="9"/>
        <v>13810.109497728403</v>
      </c>
      <c r="F83" s="1278">
        <f xml:space="preserve"> MHDV_Fluids!D113</f>
        <v>347.66643851661939</v>
      </c>
      <c r="G83" s="497">
        <f t="shared" ca="1" si="10"/>
        <v>131106.66458623117</v>
      </c>
      <c r="H83" s="665">
        <f t="shared" ca="1" si="7"/>
        <v>8.7535860949957314E-2</v>
      </c>
      <c r="I83" s="369">
        <f t="shared" ca="1" si="7"/>
        <v>1.6694542411492812E-3</v>
      </c>
      <c r="J83" s="369">
        <f t="shared" ca="1" si="7"/>
        <v>0.80280798572745038</v>
      </c>
      <c r="K83" s="369">
        <f t="shared" ca="1" si="7"/>
        <v>0.10533491597328563</v>
      </c>
      <c r="L83" s="746">
        <f t="shared" ca="1" si="7"/>
        <v>2.6517831081573511E-3</v>
      </c>
      <c r="N83" s="446"/>
      <c r="O83" s="446"/>
      <c r="P83" s="446"/>
      <c r="Q83" s="446"/>
      <c r="R83" s="446"/>
    </row>
    <row r="84" spans="1:18" ht="15.75">
      <c r="A84" s="59" t="s">
        <v>2323</v>
      </c>
      <c r="B84" s="498">
        <f ca="1" xml:space="preserve"> MHDV_Comp_Sum!D287</f>
        <v>5394.5679106222478</v>
      </c>
      <c r="C84" s="1278">
        <f t="shared" si="8"/>
        <v>133.44337186571244</v>
      </c>
      <c r="D84" s="1278">
        <f ca="1" xml:space="preserve"> MHDV_Battery_Sum!D170</f>
        <v>43008.013006981593</v>
      </c>
      <c r="E84" s="1278">
        <f t="shared" ca="1" si="9"/>
        <v>7022.3509914961151</v>
      </c>
      <c r="F84" s="1278">
        <f xml:space="preserve"> MHDV_Fluids!D114</f>
        <v>196.59728136644014</v>
      </c>
      <c r="G84" s="497">
        <f ca="1">SUM(B84:F84)</f>
        <v>55754.972562332114</v>
      </c>
      <c r="H84" s="665">
        <f t="shared" ca="1" si="7"/>
        <v>9.6754920013480572E-2</v>
      </c>
      <c r="I84" s="369">
        <f t="shared" ca="1" si="7"/>
        <v>2.393389606936447E-3</v>
      </c>
      <c r="J84" s="369">
        <f t="shared" ca="1" si="7"/>
        <v>0.77137537748584017</v>
      </c>
      <c r="K84" s="369">
        <f t="shared" ca="1" si="7"/>
        <v>0.12595021876560644</v>
      </c>
      <c r="L84" s="746">
        <f t="shared" ca="1" si="7"/>
        <v>3.5260941281363063E-3</v>
      </c>
      <c r="N84" s="446"/>
      <c r="O84" s="446"/>
      <c r="P84" s="446"/>
      <c r="Q84" s="446"/>
      <c r="R84" s="446"/>
    </row>
    <row r="85" spans="1:18" ht="15.75">
      <c r="A85" s="59" t="s">
        <v>2324</v>
      </c>
      <c r="B85" s="498">
        <f ca="1" xml:space="preserve"> MHDV_Comp_Sum!D288</f>
        <v>74934.24512001744</v>
      </c>
      <c r="C85" s="1278">
        <f t="shared" si="8"/>
        <v>784.58657763581698</v>
      </c>
      <c r="D85" s="1278">
        <f ca="1" xml:space="preserve"> MHDV_Battery_Sum!D171</f>
        <v>3223263.8621646697</v>
      </c>
      <c r="E85" s="1278">
        <f t="shared" ca="1" si="9"/>
        <v>69752.397094087792</v>
      </c>
      <c r="F85" s="1278">
        <f xml:space="preserve"> MHDV_Fluids!D115</f>
        <v>3960.9998630388568</v>
      </c>
      <c r="G85" s="497">
        <f t="shared" ca="1" si="10"/>
        <v>3372696.0908194492</v>
      </c>
      <c r="H85" s="665">
        <f t="shared" ca="1" si="7"/>
        <v>2.2217906120859825E-2</v>
      </c>
      <c r="I85" s="369">
        <f t="shared" ca="1" si="7"/>
        <v>2.3262889881228208E-4</v>
      </c>
      <c r="J85" s="369">
        <f t="shared" ca="1" si="7"/>
        <v>0.95569353875033769</v>
      </c>
      <c r="K85" s="369">
        <f t="shared" ca="1" si="7"/>
        <v>2.0681494927442562E-2</v>
      </c>
      <c r="L85" s="746">
        <f t="shared" ca="1" si="7"/>
        <v>1.1744313025477697E-3</v>
      </c>
      <c r="N85" s="446"/>
      <c r="O85" s="446"/>
      <c r="P85" s="446"/>
      <c r="Q85" s="446"/>
      <c r="R85" s="446"/>
    </row>
    <row r="86" spans="1:18">
      <c r="A86" s="59" t="s">
        <v>885</v>
      </c>
      <c r="B86" s="498">
        <f ca="1" xml:space="preserve"> MHDV_Comp_Sum!D289</f>
        <v>148.41256643018784</v>
      </c>
      <c r="C86" s="1278">
        <f t="shared" si="8"/>
        <v>8.6403035291766361</v>
      </c>
      <c r="D86" s="1278">
        <f ca="1" xml:space="preserve"> MHDV_Battery_Sum!D172</f>
        <v>1884.971728157549</v>
      </c>
      <c r="E86" s="1278">
        <f t="shared" ca="1" si="9"/>
        <v>217.34322304019747</v>
      </c>
      <c r="F86" s="1278">
        <f xml:space="preserve"> MHDV_Fluids!D116</f>
        <v>15.229589683987259</v>
      </c>
      <c r="G86" s="497">
        <f ca="1">SUM(B86:F86)</f>
        <v>2274.5974108410983</v>
      </c>
      <c r="H86" s="665">
        <f t="shared" ca="1" si="7"/>
        <v>6.5247839341955466E-2</v>
      </c>
      <c r="I86" s="369">
        <f t="shared" ca="1" si="7"/>
        <v>3.7986078274755593E-3</v>
      </c>
      <c r="J86" s="369">
        <f t="shared" ca="1" si="7"/>
        <v>0.82870565101915161</v>
      </c>
      <c r="K86" s="369">
        <f t="shared" ca="1" si="7"/>
        <v>9.5552391822968138E-2</v>
      </c>
      <c r="L86" s="746">
        <f t="shared" ca="1" si="7"/>
        <v>6.695509988449198E-3</v>
      </c>
      <c r="N86" s="446"/>
      <c r="O86" s="446"/>
      <c r="P86" s="446"/>
      <c r="Q86" s="446"/>
      <c r="R86" s="446"/>
    </row>
    <row r="87" spans="1:18">
      <c r="A87" s="118" t="s">
        <v>886</v>
      </c>
      <c r="B87" s="501">
        <f ca="1" xml:space="preserve"> MHDV_Comp_Sum!D290</f>
        <v>316.57901939202821</v>
      </c>
      <c r="C87" s="499">
        <f t="shared" si="8"/>
        <v>32.766513006925877</v>
      </c>
      <c r="D87" s="499">
        <f ca="1" xml:space="preserve"> MHDV_Battery_Sum!D173</f>
        <v>4014.24303983859</v>
      </c>
      <c r="E87" s="499">
        <f t="shared" ca="1" si="9"/>
        <v>431.11891091196901</v>
      </c>
      <c r="F87" s="499">
        <f xml:space="preserve"> MHDV_Fluids!D117</f>
        <v>15.948033063918178</v>
      </c>
      <c r="G87" s="500">
        <f ca="1">SUM(B87:F87)</f>
        <v>4810.6555162134309</v>
      </c>
      <c r="H87" s="427">
        <f t="shared" ca="1" si="7"/>
        <v>6.5807875522380849E-2</v>
      </c>
      <c r="I87" s="426">
        <f t="shared" ca="1" si="7"/>
        <v>6.8112366176485434E-3</v>
      </c>
      <c r="J87" s="426">
        <f t="shared" ca="1" si="7"/>
        <v>0.83444824230488357</v>
      </c>
      <c r="K87" s="426">
        <f t="shared" ca="1" si="7"/>
        <v>8.9617497960301232E-2</v>
      </c>
      <c r="L87" s="747">
        <f t="shared" ca="1" si="7"/>
        <v>3.3151475947858378E-3</v>
      </c>
      <c r="N87" s="446"/>
      <c r="O87" s="446"/>
      <c r="P87" s="446"/>
      <c r="Q87" s="446"/>
      <c r="R87" s="446"/>
    </row>
    <row r="88" spans="1:18">
      <c r="A88" s="481" t="s">
        <v>890</v>
      </c>
      <c r="B88" s="508">
        <f ca="1" xml:space="preserve"> MHDV_Comp_Sum!D297</f>
        <v>196.07756939952105</v>
      </c>
      <c r="C88" s="506">
        <f t="shared" si="8"/>
        <v>12.823492925743636</v>
      </c>
      <c r="D88" s="506">
        <f ca="1" xml:space="preserve"> MHDV_Battery_Sum!D180</f>
        <v>2291.1405726220528</v>
      </c>
      <c r="E88" s="1278">
        <f t="shared" ca="1" si="9"/>
        <v>344.11989190299687</v>
      </c>
      <c r="F88" s="506">
        <f xml:space="preserve"> MHDV_Fluids!D124</f>
        <v>43225.342731762154</v>
      </c>
      <c r="G88" s="507">
        <f t="shared" ca="1" si="10"/>
        <v>46069.504258612469</v>
      </c>
      <c r="H88" s="2429">
        <f t="shared" ca="1" si="7"/>
        <v>4.2561250127380159E-3</v>
      </c>
      <c r="I88" s="458">
        <f t="shared" ca="1" si="7"/>
        <v>2.7835100750723505E-4</v>
      </c>
      <c r="J88" s="458">
        <f t="shared" ca="1" si="7"/>
        <v>4.9732260190182863E-2</v>
      </c>
      <c r="K88" s="458">
        <f t="shared" ca="1" si="7"/>
        <v>7.469580961220466E-3</v>
      </c>
      <c r="L88" s="896">
        <f t="shared" ca="1" si="7"/>
        <v>0.93826368282835138</v>
      </c>
      <c r="N88" s="446"/>
      <c r="O88" s="446"/>
      <c r="P88" s="446"/>
      <c r="Q88" s="446"/>
      <c r="R88" s="446"/>
    </row>
    <row r="89" spans="1:18">
      <c r="A89" s="100" t="s">
        <v>891</v>
      </c>
      <c r="B89" s="498">
        <f ca="1" xml:space="preserve"> MHDV_Comp_Sum!D298</f>
        <v>609.72269280816511</v>
      </c>
      <c r="C89" s="1278">
        <f t="shared" si="8"/>
        <v>86.524132102408458</v>
      </c>
      <c r="D89" s="1278">
        <f ca="1" xml:space="preserve"> MHDV_Battery_Sum!D181</f>
        <v>7437.0642372154152</v>
      </c>
      <c r="E89" s="1278">
        <f t="shared" ca="1" si="9"/>
        <v>920.69966279936182</v>
      </c>
      <c r="F89" s="1278">
        <f xml:space="preserve"> MHDV_Fluids!D125</f>
        <v>187.67397062906431</v>
      </c>
      <c r="G89" s="497">
        <f t="shared" ca="1" si="10"/>
        <v>9241.6846955544152</v>
      </c>
      <c r="H89" s="665">
        <f t="shared" ca="1" si="7"/>
        <v>6.5975275384742765E-2</v>
      </c>
      <c r="I89" s="369">
        <f t="shared" ca="1" si="7"/>
        <v>9.3623765528410303E-3</v>
      </c>
      <c r="J89" s="369">
        <f t="shared" ca="1" si="7"/>
        <v>0.80473035839373663</v>
      </c>
      <c r="K89" s="369">
        <f t="shared" ca="1" si="7"/>
        <v>9.9624656448434309E-2</v>
      </c>
      <c r="L89" s="746">
        <f t="shared" ca="1" si="7"/>
        <v>2.0307333220245253E-2</v>
      </c>
      <c r="N89" s="446"/>
      <c r="O89" s="446"/>
      <c r="P89" s="446"/>
      <c r="Q89" s="446"/>
      <c r="R89" s="446"/>
    </row>
    <row r="90" spans="1:18" ht="15.75">
      <c r="A90" s="59" t="s">
        <v>2325</v>
      </c>
      <c r="B90" s="498">
        <f ca="1" xml:space="preserve"> MHDV_Comp_Sum!D299</f>
        <v>1234.028080610733</v>
      </c>
      <c r="C90" s="1278">
        <f t="shared" si="8"/>
        <v>231.07825515807599</v>
      </c>
      <c r="D90" s="1278">
        <f ca="1" xml:space="preserve"> MHDV_Battery_Sum!D182</f>
        <v>17685.318079521814</v>
      </c>
      <c r="E90" s="1278">
        <f t="shared" ca="1" si="9"/>
        <v>2196.6720974342111</v>
      </c>
      <c r="F90" s="1278">
        <f xml:space="preserve"> MHDV_Fluids!D126</f>
        <v>951.97089020422197</v>
      </c>
      <c r="G90" s="497">
        <f t="shared" ca="1" si="10"/>
        <v>22299.067402929057</v>
      </c>
      <c r="H90" s="665">
        <f t="shared" ca="1" si="7"/>
        <v>5.5339896432109952E-2</v>
      </c>
      <c r="I90" s="369">
        <f t="shared" ca="1" si="7"/>
        <v>1.0362686967246132E-2</v>
      </c>
      <c r="J90" s="369">
        <f t="shared" ca="1" si="7"/>
        <v>0.79309675871013285</v>
      </c>
      <c r="K90" s="369">
        <f t="shared" ca="1" si="7"/>
        <v>9.8509594941431092E-2</v>
      </c>
      <c r="L90" s="746">
        <f t="shared" ca="1" si="7"/>
        <v>4.269106294907999E-2</v>
      </c>
      <c r="N90" s="446"/>
      <c r="O90" s="446"/>
      <c r="P90" s="446"/>
      <c r="Q90" s="446"/>
      <c r="R90" s="446"/>
    </row>
    <row r="91" spans="1:18" ht="15.75">
      <c r="A91" s="59" t="s">
        <v>2326</v>
      </c>
      <c r="B91" s="498">
        <f ca="1" xml:space="preserve"> MHDV_Comp_Sum!D300</f>
        <v>125.73920353929853</v>
      </c>
      <c r="C91" s="1278">
        <f t="shared" si="8"/>
        <v>28.526169056138201</v>
      </c>
      <c r="D91" s="1278">
        <f ca="1" xml:space="preserve"> MHDV_Battery_Sum!D183</f>
        <v>1902.1196014027562</v>
      </c>
      <c r="E91" s="1278">
        <f t="shared" ca="1" si="9"/>
        <v>247.81840008912724</v>
      </c>
      <c r="F91" s="1278">
        <f xml:space="preserve"> MHDV_Fluids!D127</f>
        <v>171.84105539516514</v>
      </c>
      <c r="G91" s="497">
        <f t="shared" ca="1" si="10"/>
        <v>2476.0444294824856</v>
      </c>
      <c r="H91" s="665">
        <f t="shared" ca="1" si="7"/>
        <v>5.0782288896802669E-2</v>
      </c>
      <c r="I91" s="369">
        <f t="shared" ca="1" si="7"/>
        <v>1.1520863162419268E-2</v>
      </c>
      <c r="J91" s="369">
        <f t="shared" ca="1" si="7"/>
        <v>0.76820899445666058</v>
      </c>
      <c r="K91" s="369">
        <f t="shared" ca="1" si="7"/>
        <v>0.10008641086497927</v>
      </c>
      <c r="L91" s="746">
        <f t="shared" ca="1" si="7"/>
        <v>6.9401442619138054E-2</v>
      </c>
      <c r="N91" s="446"/>
      <c r="O91" s="446"/>
      <c r="P91" s="446"/>
      <c r="Q91" s="446"/>
      <c r="R91" s="446"/>
    </row>
    <row r="92" spans="1:18" ht="15.75">
      <c r="A92" s="59" t="s">
        <v>2327</v>
      </c>
      <c r="B92" s="498">
        <f ca="1" xml:space="preserve"> MHDV_Comp_Sum!D301</f>
        <v>109.55712215639035</v>
      </c>
      <c r="C92" s="1278">
        <f t="shared" si="8"/>
        <v>25.087339763589249</v>
      </c>
      <c r="D92" s="1278">
        <f ca="1" xml:space="preserve"> MHDV_Battery_Sum!D184</f>
        <v>1636.5697991512382</v>
      </c>
      <c r="E92" s="1278">
        <f t="shared" ca="1" si="9"/>
        <v>205.88258560620667</v>
      </c>
      <c r="F92" s="1278">
        <f xml:space="preserve"> MHDV_Fluids!D128</f>
        <v>96.924587973164108</v>
      </c>
      <c r="G92" s="497">
        <f ca="1">SUM(B92:F92)</f>
        <v>2074.0214346505886</v>
      </c>
      <c r="H92" s="665">
        <f t="shared" ca="1" si="7"/>
        <v>5.2823524543201016E-2</v>
      </c>
      <c r="I92" s="369">
        <f t="shared" ca="1" si="7"/>
        <v>1.2095988664560608E-2</v>
      </c>
      <c r="J92" s="369">
        <f t="shared" ca="1" si="7"/>
        <v>0.78908046551937006</v>
      </c>
      <c r="K92" s="369">
        <f t="shared" ca="1" si="7"/>
        <v>9.9267337437566938E-2</v>
      </c>
      <c r="L92" s="746">
        <f t="shared" ca="1" si="7"/>
        <v>4.6732683835301367E-2</v>
      </c>
      <c r="N92" s="446"/>
      <c r="O92" s="446"/>
      <c r="P92" s="446"/>
      <c r="Q92" s="446"/>
      <c r="R92" s="446"/>
    </row>
    <row r="93" spans="1:18" ht="15.75">
      <c r="A93" s="59" t="s">
        <v>2328</v>
      </c>
      <c r="B93" s="498">
        <f ca="1" xml:space="preserve"> MHDV_Comp_Sum!D302</f>
        <v>956.57908968447771</v>
      </c>
      <c r="C93" s="1278">
        <f t="shared" si="8"/>
        <v>212.4939126779536</v>
      </c>
      <c r="D93" s="1278">
        <f ca="1" xml:space="preserve"> MHDV_Battery_Sum!D185</f>
        <v>15765.793687506435</v>
      </c>
      <c r="E93" s="1278">
        <f t="shared" ca="1" si="9"/>
        <v>2057.4670239523716</v>
      </c>
      <c r="F93" s="1278">
        <f xml:space="preserve"> MHDV_Fluids!D129</f>
        <v>1937.8999522505203</v>
      </c>
      <c r="G93" s="497">
        <f t="shared" ca="1" si="10"/>
        <v>20930.233666071763</v>
      </c>
      <c r="H93" s="665">
        <f t="shared" ca="1" si="7"/>
        <v>4.5703220754534979E-2</v>
      </c>
      <c r="I93" s="369">
        <f t="shared" ca="1" si="7"/>
        <v>1.0152486401640588E-2</v>
      </c>
      <c r="J93" s="369">
        <f t="shared" ca="1" si="7"/>
        <v>0.75325454741879128</v>
      </c>
      <c r="K93" s="369">
        <f t="shared" ca="1" si="7"/>
        <v>9.8301197051973571E-2</v>
      </c>
      <c r="L93" s="746">
        <f t="shared" ca="1" si="7"/>
        <v>9.2588548373059326E-2</v>
      </c>
      <c r="N93" s="446"/>
      <c r="O93" s="446"/>
      <c r="P93" s="446"/>
      <c r="Q93" s="446"/>
      <c r="R93" s="446"/>
    </row>
    <row r="94" spans="1:18">
      <c r="A94" s="59" t="s">
        <v>896</v>
      </c>
      <c r="B94" s="498">
        <f ca="1" xml:space="preserve"> MHDV_Comp_Sum!D303</f>
        <v>6.6210711291342559</v>
      </c>
      <c r="C94" s="1278">
        <f t="shared" si="8"/>
        <v>1.3011326329947144</v>
      </c>
      <c r="D94" s="1278">
        <f ca="1" xml:space="preserve"> MHDV_Battery_Sum!D186</f>
        <v>94.703003429232297</v>
      </c>
      <c r="E94" s="1278">
        <f t="shared" ca="1" si="9"/>
        <v>12.300688104572695</v>
      </c>
      <c r="F94" s="1278">
        <f xml:space="preserve"> MHDV_Fluids!D130</f>
        <v>7.0263636537600735</v>
      </c>
      <c r="G94" s="497">
        <f ca="1">SUM(B94:F94)</f>
        <v>121.95225894969404</v>
      </c>
      <c r="H94" s="665">
        <f t="shared" ca="1" si="7"/>
        <v>5.4292320504415445E-2</v>
      </c>
      <c r="I94" s="369">
        <f t="shared" ca="1" si="7"/>
        <v>1.0669196652859366E-2</v>
      </c>
      <c r="J94" s="369">
        <f t="shared" ca="1" si="7"/>
        <v>0.77655800921488294</v>
      </c>
      <c r="K94" s="369">
        <f t="shared" ca="1" si="7"/>
        <v>0.10086478274786853</v>
      </c>
      <c r="L94" s="746">
        <f t="shared" ca="1" si="7"/>
        <v>5.7615690879973661E-2</v>
      </c>
      <c r="N94" s="446"/>
      <c r="O94" s="446"/>
      <c r="P94" s="446"/>
      <c r="Q94" s="446"/>
      <c r="R94" s="446"/>
    </row>
    <row r="95" spans="1:18">
      <c r="A95" s="118" t="s">
        <v>897</v>
      </c>
      <c r="B95" s="501">
        <f ca="1" xml:space="preserve"> MHDV_Comp_Sum!D304</f>
        <v>27.091574461338496</v>
      </c>
      <c r="C95" s="499">
        <f t="shared" si="8"/>
        <v>7.1791922237382906</v>
      </c>
      <c r="D95" s="499">
        <f ca="1" xml:space="preserve"> MHDV_Battery_Sum!D187</f>
        <v>341.85037328672581</v>
      </c>
      <c r="E95" s="499">
        <f t="shared" ca="1" si="9"/>
        <v>39.34518246638212</v>
      </c>
      <c r="F95" s="499">
        <f xml:space="preserve"> MHDV_Fluids!D131</f>
        <v>6.3921194494031353</v>
      </c>
      <c r="G95" s="500">
        <f ca="1">SUM(B95:F95)</f>
        <v>421.8584418875879</v>
      </c>
      <c r="H95" s="427">
        <f t="shared" ca="1" si="7"/>
        <v>6.4219585935316084E-2</v>
      </c>
      <c r="I95" s="426">
        <f t="shared" ca="1" si="7"/>
        <v>1.7018012467915296E-2</v>
      </c>
      <c r="J95" s="426">
        <f t="shared" ca="1" si="7"/>
        <v>0.8103438010085342</v>
      </c>
      <c r="K95" s="426">
        <f t="shared" ca="1" si="7"/>
        <v>9.3266315331592631E-2</v>
      </c>
      <c r="L95" s="747">
        <f t="shared" ca="1" si="7"/>
        <v>1.5152285256641695E-2</v>
      </c>
      <c r="N95" s="446"/>
      <c r="O95" s="446"/>
      <c r="P95" s="446"/>
      <c r="Q95" s="446"/>
      <c r="R95" s="446"/>
    </row>
    <row r="97" spans="1:20">
      <c r="A97" s="172" t="s">
        <v>2662</v>
      </c>
    </row>
    <row r="98" spans="1:20">
      <c r="A98" s="482"/>
      <c r="B98" s="2986" t="s">
        <v>1875</v>
      </c>
      <c r="C98" s="2987"/>
      <c r="D98" s="2987"/>
      <c r="E98" s="2987"/>
      <c r="F98" s="2987"/>
      <c r="G98" s="2988"/>
      <c r="H98" s="2986" t="s">
        <v>1890</v>
      </c>
      <c r="I98" s="2987"/>
      <c r="J98" s="2987"/>
      <c r="K98" s="2987"/>
      <c r="L98" s="2988"/>
    </row>
    <row r="99" spans="1:20">
      <c r="A99" s="484"/>
      <c r="B99" s="1725" t="s">
        <v>1891</v>
      </c>
      <c r="C99" s="1726" t="s">
        <v>1892</v>
      </c>
      <c r="D99" s="1726" t="s">
        <v>1893</v>
      </c>
      <c r="E99" s="1726" t="s">
        <v>2387</v>
      </c>
      <c r="F99" s="1726" t="s">
        <v>1418</v>
      </c>
      <c r="G99" s="1727" t="s">
        <v>1894</v>
      </c>
      <c r="H99" s="1725" t="s">
        <v>1891</v>
      </c>
      <c r="I99" s="1726" t="s">
        <v>1892</v>
      </c>
      <c r="J99" s="1726" t="s">
        <v>1893</v>
      </c>
      <c r="K99" s="1726" t="s">
        <v>2387</v>
      </c>
      <c r="L99" s="1727" t="s">
        <v>1418</v>
      </c>
    </row>
    <row r="100" spans="1:20">
      <c r="A100" s="481" t="s">
        <v>876</v>
      </c>
      <c r="B100" s="508">
        <f ca="1" xml:space="preserve"> MHDV_Comp_Sum!E276</f>
        <v>791.42249448667496</v>
      </c>
      <c r="C100" s="506">
        <f xml:space="preserve"> C7</f>
        <v>28.514205661628502</v>
      </c>
      <c r="D100" s="506">
        <f ca="1" xml:space="preserve"> MHDV_Battery_Sum!E159</f>
        <v>26.331779633927439</v>
      </c>
      <c r="E100" s="1278">
        <f ca="1" xml:space="preserve"> E7</f>
        <v>464.76653177396844</v>
      </c>
      <c r="F100" s="506">
        <f xml:space="preserve"> MHDV_Fluids!E103</f>
        <v>29.77922042402254</v>
      </c>
      <c r="G100" s="507">
        <f ca="1">SUM(B100:F100)</f>
        <v>1340.8142319802218</v>
      </c>
      <c r="H100" s="2429">
        <f t="shared" ref="H100:L126" ca="1" si="12">B100/$G100</f>
        <v>0.59025514169687687</v>
      </c>
      <c r="I100" s="458">
        <f t="shared" ca="1" si="12"/>
        <v>2.1266335769360413E-2</v>
      </c>
      <c r="J100" s="458">
        <f t="shared" ca="1" si="12"/>
        <v>1.9638648670247599E-2</v>
      </c>
      <c r="K100" s="458">
        <f t="shared" ca="1" si="12"/>
        <v>0.34663007051138173</v>
      </c>
      <c r="L100" s="896">
        <f t="shared" ca="1" si="12"/>
        <v>2.220980335213343E-2</v>
      </c>
      <c r="N100" s="446"/>
      <c r="O100" s="446"/>
      <c r="P100" s="446"/>
      <c r="Q100" s="446"/>
      <c r="R100" s="446"/>
    </row>
    <row r="101" spans="1:20">
      <c r="A101" s="100" t="s">
        <v>877</v>
      </c>
      <c r="B101" s="498">
        <f ca="1" xml:space="preserve"> MHDV_Comp_Sum!E277</f>
        <v>717.36344668910681</v>
      </c>
      <c r="C101" s="1278">
        <f t="shared" ref="C101:C126" si="13" xml:space="preserve"> C8</f>
        <v>23.793061394997494</v>
      </c>
      <c r="D101" s="1278">
        <f ca="1" xml:space="preserve"> MHDV_Battery_Sum!E160</f>
        <v>22.395317261646412</v>
      </c>
      <c r="E101" s="1278">
        <f t="shared" ref="E101:E126" ca="1" si="14" xml:space="preserve"> E8</f>
        <v>390.18912763958991</v>
      </c>
      <c r="F101" s="1278">
        <f xml:space="preserve"> MHDV_Fluids!E104</f>
        <v>29.594692415275919</v>
      </c>
      <c r="G101" s="497">
        <f t="shared" ref="G101:G124" ca="1" si="15">SUM(B101:F101)</f>
        <v>1183.3356454006164</v>
      </c>
      <c r="H101" s="665">
        <f t="shared" ca="1" si="12"/>
        <v>0.60622144653323995</v>
      </c>
      <c r="I101" s="369">
        <f t="shared" ca="1" si="12"/>
        <v>2.0106773160663467E-2</v>
      </c>
      <c r="J101" s="369">
        <f t="shared" ca="1" si="12"/>
        <v>1.8925583243175705E-2</v>
      </c>
      <c r="K101" s="369">
        <f t="shared" ca="1" si="12"/>
        <v>0.32973664670389607</v>
      </c>
      <c r="L101" s="746">
        <f t="shared" ca="1" si="12"/>
        <v>2.5009550359024874E-2</v>
      </c>
      <c r="N101" s="446"/>
      <c r="O101" s="446"/>
      <c r="P101" s="446"/>
      <c r="Q101" s="446"/>
      <c r="R101" s="446"/>
    </row>
    <row r="102" spans="1:20">
      <c r="A102" s="100" t="s">
        <v>442</v>
      </c>
      <c r="B102" s="498">
        <f ca="1" xml:space="preserve"> MHDV_Comp_Sum!E278</f>
        <v>173.7720767215221</v>
      </c>
      <c r="C102" s="1278">
        <f t="shared" si="13"/>
        <v>6.2409856830582626</v>
      </c>
      <c r="D102" s="1278">
        <f ca="1" xml:space="preserve"> MHDV_Battery_Sum!E161</f>
        <v>5.9514684244984375</v>
      </c>
      <c r="E102" s="1278">
        <f t="shared" ca="1" si="14"/>
        <v>108.99833373701478</v>
      </c>
      <c r="F102" s="1278">
        <f xml:space="preserve"> MHDV_Fluids!E105</f>
        <v>0.23722049325673211</v>
      </c>
      <c r="G102" s="497">
        <f ca="1">SUM(B102:F102)</f>
        <v>295.20008505935033</v>
      </c>
      <c r="H102" s="665">
        <f t="shared" ca="1" si="12"/>
        <v>0.588658626865182</v>
      </c>
      <c r="I102" s="369">
        <f t="shared" ca="1" si="12"/>
        <v>2.1141544325109205E-2</v>
      </c>
      <c r="J102" s="369">
        <f t="shared" ca="1" si="12"/>
        <v>2.0160795086837078E-2</v>
      </c>
      <c r="K102" s="369">
        <f t="shared" ca="1" si="12"/>
        <v>0.36923544149758808</v>
      </c>
      <c r="L102" s="746">
        <f t="shared" ca="1" si="12"/>
        <v>8.0359222528353488E-4</v>
      </c>
      <c r="N102" s="446"/>
      <c r="O102" s="446"/>
      <c r="P102" s="446"/>
      <c r="Q102" s="446"/>
      <c r="R102" s="446"/>
    </row>
    <row r="103" spans="1:20">
      <c r="A103" s="100" t="s">
        <v>878</v>
      </c>
      <c r="B103" s="498">
        <f ca="1" xml:space="preserve"> MHDV_Comp_Sum!E279</f>
        <v>376.96910276359199</v>
      </c>
      <c r="C103" s="1278">
        <f t="shared" si="13"/>
        <v>17.33578426015664</v>
      </c>
      <c r="D103" s="1278">
        <f ca="1" xml:space="preserve"> MHDV_Battery_Sum!E162</f>
        <v>12.901575418990072</v>
      </c>
      <c r="E103" s="1278">
        <f t="shared" ca="1" si="14"/>
        <v>193.17440599258265</v>
      </c>
      <c r="F103" s="1278">
        <f xml:space="preserve"> MHDV_Fluids!E106</f>
        <v>5.7581291163180133</v>
      </c>
      <c r="G103" s="497">
        <f ca="1">G101-G102-G104</f>
        <v>606.13899755163879</v>
      </c>
      <c r="H103" s="665">
        <f t="shared" ca="1" si="12"/>
        <v>0.62191857690442842</v>
      </c>
      <c r="I103" s="369">
        <f t="shared" ca="1" si="12"/>
        <v>2.8600344690212335E-2</v>
      </c>
      <c r="J103" s="369">
        <f t="shared" ca="1" si="12"/>
        <v>2.1284846332446955E-2</v>
      </c>
      <c r="K103" s="369">
        <f t="shared" ca="1" si="12"/>
        <v>0.31869654777677547</v>
      </c>
      <c r="L103" s="746">
        <f t="shared" ca="1" si="12"/>
        <v>9.4996842961378031E-3</v>
      </c>
      <c r="N103" s="446"/>
      <c r="O103" s="446"/>
      <c r="P103" s="446"/>
      <c r="Q103" s="446"/>
      <c r="R103" s="446"/>
    </row>
    <row r="104" spans="1:20">
      <c r="A104" s="100" t="s">
        <v>440</v>
      </c>
      <c r="B104" s="498">
        <f ca="1" xml:space="preserve"> MHDV_Comp_Sum!E280</f>
        <v>166.62226720399309</v>
      </c>
      <c r="C104" s="1278">
        <f t="shared" si="13"/>
        <v>0.21629145178259165</v>
      </c>
      <c r="D104" s="1278">
        <f ca="1" xml:space="preserve"> MHDV_Battery_Sum!E163</f>
        <v>3.5422734181579001</v>
      </c>
      <c r="E104" s="1278">
        <f t="shared" ca="1" si="14"/>
        <v>88.016387909992574</v>
      </c>
      <c r="F104" s="1278">
        <f xml:space="preserve"> MHDV_Fluids!E107</f>
        <v>23.599342805701173</v>
      </c>
      <c r="G104" s="497">
        <f t="shared" ca="1" si="15"/>
        <v>281.99656278962726</v>
      </c>
      <c r="H104" s="665">
        <f t="shared" ca="1" si="12"/>
        <v>0.59086630544605345</v>
      </c>
      <c r="I104" s="369">
        <f t="shared" ca="1" si="12"/>
        <v>7.6700031249653071E-4</v>
      </c>
      <c r="J104" s="369">
        <f t="shared" ca="1" si="12"/>
        <v>1.2561406362957968E-2</v>
      </c>
      <c r="K104" s="369">
        <f t="shared" ca="1" si="12"/>
        <v>0.31211865506195491</v>
      </c>
      <c r="L104" s="746">
        <f t="shared" ca="1" si="12"/>
        <v>8.3686632816537404E-2</v>
      </c>
      <c r="N104" s="446"/>
      <c r="O104" s="446"/>
      <c r="P104" s="446"/>
      <c r="Q104" s="446"/>
      <c r="R104" s="446"/>
    </row>
    <row r="105" spans="1:20">
      <c r="A105" s="118" t="s">
        <v>819</v>
      </c>
      <c r="B105" s="501">
        <f ca="1" xml:space="preserve"> MHDV_Comp_Sum!E281</f>
        <v>30224.925978018164</v>
      </c>
      <c r="C105" s="499">
        <f t="shared" si="13"/>
        <v>1231.7467899904041</v>
      </c>
      <c r="D105" s="499">
        <f ca="1" xml:space="preserve"> MHDV_Battery_Sum!E164</f>
        <v>2449.5184172926679</v>
      </c>
      <c r="E105" s="499">
        <f t="shared" ca="1" si="14"/>
        <v>42795.708817834573</v>
      </c>
      <c r="F105" s="499">
        <f xml:space="preserve"> MHDV_Fluids!E108</f>
        <v>620.73397968828499</v>
      </c>
      <c r="G105" s="542">
        <f t="shared" ref="G105:G110" ca="1" si="16">SUM(B105:F105)</f>
        <v>77322.633982824103</v>
      </c>
      <c r="H105" s="427">
        <f t="shared" ca="1" si="12"/>
        <v>0.39089364163062673</v>
      </c>
      <c r="I105" s="426">
        <f t="shared" ca="1" si="12"/>
        <v>1.5929964184407057E-2</v>
      </c>
      <c r="J105" s="426">
        <f t="shared" ca="1" si="12"/>
        <v>3.1679190052382157E-2</v>
      </c>
      <c r="K105" s="426">
        <f t="shared" ca="1" si="12"/>
        <v>0.55346936095504595</v>
      </c>
      <c r="L105" s="747">
        <f t="shared" ca="1" si="12"/>
        <v>8.0278431775380344E-3</v>
      </c>
      <c r="N105" s="446"/>
      <c r="O105" s="446"/>
      <c r="P105" s="446"/>
      <c r="Q105" s="446"/>
      <c r="R105" s="446"/>
    </row>
    <row r="106" spans="1:20" ht="15.75">
      <c r="A106" s="58" t="s">
        <v>2597</v>
      </c>
      <c r="B106" s="898">
        <f ca="1" xml:space="preserve"> MHDV_Comp_Sum!E293</f>
        <v>43904503.48872783</v>
      </c>
      <c r="C106" s="506">
        <f t="shared" si="13"/>
        <v>1669839.8828504242</v>
      </c>
      <c r="D106" s="632">
        <f ca="1" xml:space="preserve"> MHDV_Battery_Sum!E176</f>
        <v>1595544.8350811738</v>
      </c>
      <c r="E106" s="1278">
        <f t="shared" ca="1" si="14"/>
        <v>30409394.573856991</v>
      </c>
      <c r="F106" s="632">
        <f xml:space="preserve"> MHDV_Fluids!E120</f>
        <v>1684981.9373198703</v>
      </c>
      <c r="G106" s="899">
        <f t="shared" ca="1" si="16"/>
        <v>79264264.717836291</v>
      </c>
      <c r="H106" s="2429">
        <f t="shared" ca="1" si="12"/>
        <v>0.55390034393201537</v>
      </c>
      <c r="I106" s="458">
        <f t="shared" ca="1" si="12"/>
        <v>2.1066742860666083E-2</v>
      </c>
      <c r="J106" s="458">
        <f t="shared" ca="1" si="12"/>
        <v>2.0129434629349931E-2</v>
      </c>
      <c r="K106" s="458">
        <f t="shared" ca="1" si="12"/>
        <v>0.38364570316911267</v>
      </c>
      <c r="L106" s="896">
        <f t="shared" ca="1" si="12"/>
        <v>2.1257775408855973E-2</v>
      </c>
      <c r="N106" s="446"/>
      <c r="O106" s="446"/>
      <c r="P106" s="446"/>
      <c r="Q106" s="446"/>
      <c r="R106" s="446"/>
      <c r="T106" s="1279"/>
    </row>
    <row r="107" spans="1:20" ht="15.75">
      <c r="A107" s="59" t="s">
        <v>2598</v>
      </c>
      <c r="B107" s="2432">
        <f ca="1" xml:space="preserve"> MHDV_Comp_Sum!E294</f>
        <v>44210157.040527418</v>
      </c>
      <c r="C107" s="1278">
        <f t="shared" si="13"/>
        <v>1676658.014298873</v>
      </c>
      <c r="D107" s="2433">
        <f ca="1" xml:space="preserve"> MHDV_Battery_Sum!E177</f>
        <v>1598240.2347793707</v>
      </c>
      <c r="E107" s="1278">
        <f t="shared" ca="1" si="14"/>
        <v>30624644.83012744</v>
      </c>
      <c r="F107" s="2433">
        <f xml:space="preserve"> MHDV_Fluids!E121</f>
        <v>1878770.1492690707</v>
      </c>
      <c r="G107" s="247">
        <f t="shared" ca="1" si="16"/>
        <v>79988470.269002169</v>
      </c>
      <c r="H107" s="416">
        <f t="shared" ca="1" si="12"/>
        <v>0.55270661998970771</v>
      </c>
      <c r="I107" s="382">
        <f t="shared" ca="1" si="12"/>
        <v>2.0961246147854214E-2</v>
      </c>
      <c r="J107" s="382">
        <f t="shared" ca="1" si="12"/>
        <v>1.9980882612262368E-2</v>
      </c>
      <c r="K107" s="382">
        <f t="shared" ca="1" si="12"/>
        <v>0.38286323925356242</v>
      </c>
      <c r="L107" s="588">
        <f t="shared" ca="1" si="12"/>
        <v>2.3488011996613319E-2</v>
      </c>
      <c r="N107" s="446"/>
      <c r="O107" s="446"/>
      <c r="P107" s="446"/>
      <c r="Q107" s="446"/>
      <c r="R107" s="446"/>
      <c r="T107" s="1279"/>
    </row>
    <row r="108" spans="1:20" ht="15.75">
      <c r="A108" s="59" t="s">
        <v>2320</v>
      </c>
      <c r="B108" s="498">
        <f ca="1" xml:space="preserve"> MHDV_Comp_Sum!E291</f>
        <v>115224.20353558894</v>
      </c>
      <c r="C108" s="1278">
        <f t="shared" si="13"/>
        <v>4144.6685548756859</v>
      </c>
      <c r="D108" s="1278">
        <f ca="1" xml:space="preserve"> MHDV_Battery_Sum!E174</f>
        <v>3788.5795592657187</v>
      </c>
      <c r="E108" s="1278">
        <f t="shared" ca="1" si="14"/>
        <v>61082.696001410855</v>
      </c>
      <c r="F108" s="1278">
        <f xml:space="preserve"> MHDV_Fluids!E118</f>
        <v>2970.5901790279622</v>
      </c>
      <c r="G108" s="497">
        <f t="shared" ca="1" si="16"/>
        <v>187210.73783016915</v>
      </c>
      <c r="H108" s="665">
        <f t="shared" ca="1" si="12"/>
        <v>0.61547860379737507</v>
      </c>
      <c r="I108" s="369">
        <f t="shared" ca="1" si="12"/>
        <v>2.2139053576272855E-2</v>
      </c>
      <c r="J108" s="369">
        <f t="shared" ca="1" si="12"/>
        <v>2.0236977874114152E-2</v>
      </c>
      <c r="K108" s="369">
        <f t="shared" ca="1" si="12"/>
        <v>0.32627773764143209</v>
      </c>
      <c r="L108" s="746">
        <f t="shared" ca="1" si="12"/>
        <v>1.586762711080587E-2</v>
      </c>
      <c r="N108" s="446"/>
      <c r="O108" s="446"/>
      <c r="P108" s="446"/>
      <c r="Q108" s="446"/>
      <c r="R108" s="446"/>
      <c r="T108" s="1279"/>
    </row>
    <row r="109" spans="1:20" ht="15.75">
      <c r="A109" s="59" t="s">
        <v>2321</v>
      </c>
      <c r="B109" s="498">
        <f ca="1" xml:space="preserve"> MHDV_Comp_Sum!E292</f>
        <v>926.33403635352852</v>
      </c>
      <c r="C109" s="1278">
        <f t="shared" si="13"/>
        <v>38.644980147113287</v>
      </c>
      <c r="D109" s="1278">
        <f ca="1" xml:space="preserve"> MHDV_Battery_Sum!E175</f>
        <v>52.788894613178044</v>
      </c>
      <c r="E109" s="1278">
        <f t="shared" ca="1" si="14"/>
        <v>599.34144010845898</v>
      </c>
      <c r="F109" s="1278">
        <f xml:space="preserve"> MHDV_Fluids!E119</f>
        <v>32.883520949837902</v>
      </c>
      <c r="G109" s="497">
        <f t="shared" ca="1" si="16"/>
        <v>1649.9928721721167</v>
      </c>
      <c r="H109" s="665">
        <f t="shared" ca="1" si="12"/>
        <v>0.56141699274983248</v>
      </c>
      <c r="I109" s="369">
        <f t="shared" ca="1" si="12"/>
        <v>2.3421301266737891E-2</v>
      </c>
      <c r="J109" s="369">
        <f t="shared" ca="1" si="12"/>
        <v>3.199340767071595E-2</v>
      </c>
      <c r="K109" s="369">
        <f t="shared" ca="1" si="12"/>
        <v>0.36323880558311861</v>
      </c>
      <c r="L109" s="746">
        <f t="shared" ca="1" si="12"/>
        <v>1.9929492729595079E-2</v>
      </c>
      <c r="N109" s="446"/>
      <c r="O109" s="446"/>
      <c r="P109" s="446"/>
      <c r="Q109" s="446"/>
      <c r="R109" s="446"/>
      <c r="T109" s="1279"/>
    </row>
    <row r="110" spans="1:20">
      <c r="A110" s="484" t="s">
        <v>1896</v>
      </c>
      <c r="B110" s="1455">
        <f ca="1" xml:space="preserve"> MHDV_Comp_Sum!E295</f>
        <v>48125131.076399811</v>
      </c>
      <c r="C110" s="499">
        <f t="shared" si="13"/>
        <v>1811238.9906841286</v>
      </c>
      <c r="D110" s="294">
        <f ca="1" xml:space="preserve"> MHDV_Battery_Sum!E178</f>
        <v>1754528.6393385874</v>
      </c>
      <c r="E110" s="499">
        <f t="shared" ca="1" si="14"/>
        <v>33449180.254118897</v>
      </c>
      <c r="F110" s="294">
        <f xml:space="preserve"> MHDV_Fluids!E122</f>
        <v>1976601.9876916169</v>
      </c>
      <c r="G110" s="296">
        <f t="shared" ca="1" si="16"/>
        <v>87116680.948233038</v>
      </c>
      <c r="H110" s="664">
        <f t="shared" ca="1" si="12"/>
        <v>0.55242154031323798</v>
      </c>
      <c r="I110" s="368">
        <f t="shared" ca="1" si="12"/>
        <v>2.0790954969466906E-2</v>
      </c>
      <c r="J110" s="368">
        <f t="shared" ca="1" si="12"/>
        <v>2.0139984905774511E-2</v>
      </c>
      <c r="K110" s="368">
        <f t="shared" ca="1" si="12"/>
        <v>0.38395838650000058</v>
      </c>
      <c r="L110" s="428">
        <f t="shared" ca="1" si="12"/>
        <v>2.2689133311520032E-2</v>
      </c>
      <c r="N110" s="446"/>
      <c r="O110" s="446"/>
      <c r="P110" s="446"/>
      <c r="Q110" s="446"/>
      <c r="R110" s="446"/>
      <c r="T110" s="1279"/>
    </row>
    <row r="111" spans="1:20">
      <c r="A111" s="481" t="s">
        <v>879</v>
      </c>
      <c r="B111" s="508">
        <f ca="1" xml:space="preserve"> MHDV_Comp_Sum!E283</f>
        <v>34924.453983794796</v>
      </c>
      <c r="C111" s="506">
        <f t="shared" si="13"/>
        <v>1822.7303489865728</v>
      </c>
      <c r="D111" s="506">
        <f ca="1" xml:space="preserve"> MHDV_Battery_Sum!E166</f>
        <v>316.44970127702578</v>
      </c>
      <c r="E111" s="1278">
        <f t="shared" ca="1" si="14"/>
        <v>33162.817623247538</v>
      </c>
      <c r="F111" s="506">
        <f xml:space="preserve"> MHDV_Fluids!E110</f>
        <v>61881.265945793013</v>
      </c>
      <c r="G111" s="507">
        <f t="shared" ca="1" si="15"/>
        <v>132107.71760309895</v>
      </c>
      <c r="H111" s="2429">
        <f t="shared" ca="1" si="12"/>
        <v>0.26436346503783326</v>
      </c>
      <c r="I111" s="458">
        <f t="shared" ca="1" si="12"/>
        <v>1.3797304064117869E-2</v>
      </c>
      <c r="J111" s="458">
        <f t="shared" ca="1" si="12"/>
        <v>2.3953914806685191E-3</v>
      </c>
      <c r="K111" s="458">
        <f t="shared" ca="1" si="12"/>
        <v>0.25102861683585403</v>
      </c>
      <c r="L111" s="896">
        <f t="shared" ca="1" si="12"/>
        <v>0.46841522258152629</v>
      </c>
      <c r="N111" s="446"/>
      <c r="O111" s="446"/>
      <c r="P111" s="446"/>
      <c r="Q111" s="446"/>
      <c r="R111" s="446"/>
    </row>
    <row r="112" spans="1:20">
      <c r="A112" s="100" t="s">
        <v>880</v>
      </c>
      <c r="B112" s="498">
        <f ca="1" xml:space="preserve"> MHDV_Comp_Sum!E284</f>
        <v>125239.971956119</v>
      </c>
      <c r="C112" s="1278">
        <f t="shared" si="13"/>
        <v>723.72906291693016</v>
      </c>
      <c r="D112" s="1278">
        <f ca="1" xml:space="preserve"> MHDV_Battery_Sum!E167</f>
        <v>1087.6291125318069</v>
      </c>
      <c r="E112" s="1278">
        <f t="shared" ca="1" si="14"/>
        <v>71204.514189028036</v>
      </c>
      <c r="F112" s="1278">
        <f xml:space="preserve"> MHDV_Fluids!E111</f>
        <v>588.59378124401348</v>
      </c>
      <c r="G112" s="497">
        <f t="shared" ca="1" si="15"/>
        <v>198844.4381018398</v>
      </c>
      <c r="H112" s="665">
        <f t="shared" ca="1" si="12"/>
        <v>0.62983894923918526</v>
      </c>
      <c r="I112" s="369">
        <f t="shared" ca="1" si="12"/>
        <v>3.6396746613866385E-3</v>
      </c>
      <c r="J112" s="369">
        <f t="shared" ca="1" si="12"/>
        <v>5.4697487287764558E-3</v>
      </c>
      <c r="K112" s="369">
        <f t="shared" ca="1" si="12"/>
        <v>0.35809155573443829</v>
      </c>
      <c r="L112" s="746">
        <f t="shared" ca="1" si="12"/>
        <v>2.9600716362132313E-3</v>
      </c>
      <c r="N112" s="446"/>
      <c r="O112" s="446"/>
      <c r="P112" s="446"/>
      <c r="Q112" s="446"/>
      <c r="R112" s="446"/>
    </row>
    <row r="113" spans="1:18" ht="15.75">
      <c r="A113" s="59" t="s">
        <v>2599</v>
      </c>
      <c r="B113" s="498">
        <f ca="1" xml:space="preserve"> MHDV_Comp_Sum!E285</f>
        <v>45100.750861532375</v>
      </c>
      <c r="C113" s="1278">
        <f t="shared" si="13"/>
        <v>1273.5668914591668</v>
      </c>
      <c r="D113" s="1278">
        <f ca="1" xml:space="preserve"> MHDV_Battery_Sum!E168</f>
        <v>1936.8454747961941</v>
      </c>
      <c r="E113" s="1278">
        <f t="shared" ca="1" si="14"/>
        <v>32666.016327680281</v>
      </c>
      <c r="F113" s="1278">
        <f xml:space="preserve"> MHDV_Fluids!E112</f>
        <v>2213.2359705103122</v>
      </c>
      <c r="G113" s="497">
        <f t="shared" ca="1" si="15"/>
        <v>83190.415525978329</v>
      </c>
      <c r="H113" s="665">
        <f t="shared" ca="1" si="12"/>
        <v>0.54213878577693264</v>
      </c>
      <c r="I113" s="369">
        <f t="shared" ca="1" si="12"/>
        <v>1.5309057941433927E-2</v>
      </c>
      <c r="J113" s="369">
        <f t="shared" ca="1" si="12"/>
        <v>2.3282074774483665E-2</v>
      </c>
      <c r="K113" s="369">
        <f t="shared" ca="1" si="12"/>
        <v>0.39266562285026074</v>
      </c>
      <c r="L113" s="746">
        <f t="shared" ca="1" si="12"/>
        <v>2.6604458656889058E-2</v>
      </c>
      <c r="N113" s="446"/>
      <c r="O113" s="446"/>
      <c r="P113" s="446"/>
      <c r="Q113" s="446"/>
      <c r="R113" s="446"/>
    </row>
    <row r="114" spans="1:18" ht="15.75">
      <c r="A114" s="59" t="s">
        <v>2322</v>
      </c>
      <c r="B114" s="498">
        <f ca="1" xml:space="preserve"> MHDV_Comp_Sum!E286</f>
        <v>18437.274064600861</v>
      </c>
      <c r="C114" s="1278">
        <f t="shared" si="13"/>
        <v>218.87657723641991</v>
      </c>
      <c r="D114" s="1278">
        <f ca="1" xml:space="preserve"> MHDV_Battery_Sum!E169</f>
        <v>832.26306041946759</v>
      </c>
      <c r="E114" s="1278">
        <f t="shared" ca="1" si="14"/>
        <v>13810.109497728403</v>
      </c>
      <c r="F114" s="1278">
        <f xml:space="preserve"> MHDV_Fluids!E113</f>
        <v>347.66643851661939</v>
      </c>
      <c r="G114" s="497">
        <f t="shared" ca="1" si="15"/>
        <v>33646.189638501775</v>
      </c>
      <c r="H114" s="665">
        <f t="shared" ca="1" si="12"/>
        <v>0.54797509800345556</v>
      </c>
      <c r="I114" s="369">
        <f t="shared" ca="1" si="12"/>
        <v>6.5052411458192752E-3</v>
      </c>
      <c r="J114" s="369">
        <f t="shared" ca="1" si="12"/>
        <v>2.4735729940340647E-2</v>
      </c>
      <c r="K114" s="369">
        <f t="shared" ca="1" si="12"/>
        <v>0.41045092018162183</v>
      </c>
      <c r="L114" s="746">
        <f t="shared" ca="1" si="12"/>
        <v>1.0333010728762585E-2</v>
      </c>
      <c r="N114" s="446"/>
      <c r="O114" s="446"/>
      <c r="P114" s="446"/>
      <c r="Q114" s="446"/>
      <c r="R114" s="446"/>
    </row>
    <row r="115" spans="1:18" ht="15.75">
      <c r="A115" s="59" t="s">
        <v>2323</v>
      </c>
      <c r="B115" s="498">
        <f ca="1" xml:space="preserve"> MHDV_Comp_Sum!E287</f>
        <v>8019.9822023862871</v>
      </c>
      <c r="C115" s="1278">
        <f t="shared" si="13"/>
        <v>133.44337186571244</v>
      </c>
      <c r="D115" s="1278">
        <f ca="1" xml:space="preserve"> MHDV_Battery_Sum!E170</f>
        <v>367.68799361207573</v>
      </c>
      <c r="E115" s="1278">
        <f t="shared" ca="1" si="14"/>
        <v>7022.3509914961151</v>
      </c>
      <c r="F115" s="1278">
        <f xml:space="preserve"> MHDV_Fluids!E114</f>
        <v>196.59728136644014</v>
      </c>
      <c r="G115" s="497">
        <f ca="1">SUM(B115:F115)</f>
        <v>15740.061840726628</v>
      </c>
      <c r="H115" s="665">
        <f t="shared" ca="1" si="12"/>
        <v>0.50952672762917495</v>
      </c>
      <c r="I115" s="369">
        <f t="shared" ca="1" si="12"/>
        <v>8.4779445732820653E-3</v>
      </c>
      <c r="J115" s="369">
        <f t="shared" ca="1" si="12"/>
        <v>2.3360009467097601E-2</v>
      </c>
      <c r="K115" s="369">
        <f t="shared" ca="1" si="12"/>
        <v>0.44614506998480341</v>
      </c>
      <c r="L115" s="746">
        <f t="shared" ca="1" si="12"/>
        <v>1.2490248345642102E-2</v>
      </c>
      <c r="N115" s="446"/>
      <c r="O115" s="446"/>
      <c r="P115" s="446"/>
      <c r="Q115" s="446"/>
      <c r="R115" s="446"/>
    </row>
    <row r="116" spans="1:18" ht="15.75">
      <c r="A116" s="59" t="s">
        <v>2324</v>
      </c>
      <c r="B116" s="498">
        <f ca="1" xml:space="preserve"> MHDV_Comp_Sum!E288</f>
        <v>98639.326406783439</v>
      </c>
      <c r="C116" s="1278">
        <f t="shared" si="13"/>
        <v>784.58657763581698</v>
      </c>
      <c r="D116" s="1278">
        <f ca="1" xml:space="preserve"> MHDV_Battery_Sum!E171</f>
        <v>24249.03084528324</v>
      </c>
      <c r="E116" s="1278">
        <f t="shared" ca="1" si="14"/>
        <v>69752.397094087792</v>
      </c>
      <c r="F116" s="1278">
        <f xml:space="preserve"> MHDV_Fluids!E115</f>
        <v>3960.9998630388568</v>
      </c>
      <c r="G116" s="497">
        <f t="shared" ca="1" si="15"/>
        <v>197386.34078682915</v>
      </c>
      <c r="H116" s="665">
        <f t="shared" ca="1" si="12"/>
        <v>0.49972721523477004</v>
      </c>
      <c r="I116" s="369">
        <f t="shared" ca="1" si="12"/>
        <v>3.974877767672612E-3</v>
      </c>
      <c r="J116" s="369">
        <f t="shared" ca="1" si="12"/>
        <v>0.1228506022687325</v>
      </c>
      <c r="K116" s="369">
        <f t="shared" ca="1" si="12"/>
        <v>0.35338006072779937</v>
      </c>
      <c r="L116" s="746">
        <f t="shared" ca="1" si="12"/>
        <v>2.0067244001025421E-2</v>
      </c>
      <c r="N116" s="446"/>
      <c r="O116" s="446"/>
      <c r="P116" s="446"/>
      <c r="Q116" s="446"/>
      <c r="R116" s="446"/>
    </row>
    <row r="117" spans="1:18">
      <c r="A117" s="59" t="s">
        <v>885</v>
      </c>
      <c r="B117" s="498">
        <f ca="1" xml:space="preserve"> MHDV_Comp_Sum!E289</f>
        <v>277.41218654676936</v>
      </c>
      <c r="C117" s="1278">
        <f t="shared" si="13"/>
        <v>8.6403035291766361</v>
      </c>
      <c r="D117" s="1278">
        <f ca="1" xml:space="preserve"> MHDV_Battery_Sum!E172</f>
        <v>14.609761609732475</v>
      </c>
      <c r="E117" s="1278">
        <f t="shared" ca="1" si="14"/>
        <v>217.34322304019747</v>
      </c>
      <c r="F117" s="1278">
        <f xml:space="preserve"> MHDV_Fluids!E116</f>
        <v>15.229589683987259</v>
      </c>
      <c r="G117" s="497">
        <f ca="1">SUM(B117:F117)</f>
        <v>533.23506440986318</v>
      </c>
      <c r="H117" s="665">
        <f t="shared" ca="1" si="12"/>
        <v>0.52024370687959975</v>
      </c>
      <c r="I117" s="369">
        <f t="shared" ca="1" si="12"/>
        <v>1.6203554690723408E-2</v>
      </c>
      <c r="J117" s="369">
        <f t="shared" ca="1" si="12"/>
        <v>2.7398351280408108E-2</v>
      </c>
      <c r="K117" s="369">
        <f t="shared" ca="1" si="12"/>
        <v>0.40759364405402237</v>
      </c>
      <c r="L117" s="746">
        <f t="shared" ca="1" si="12"/>
        <v>2.856074309524638E-2</v>
      </c>
      <c r="N117" s="446"/>
      <c r="O117" s="446"/>
      <c r="P117" s="446"/>
      <c r="Q117" s="446"/>
      <c r="R117" s="446"/>
    </row>
    <row r="118" spans="1:18">
      <c r="A118" s="118" t="s">
        <v>886</v>
      </c>
      <c r="B118" s="501">
        <f ca="1" xml:space="preserve"> MHDV_Comp_Sum!E290</f>
        <v>703.53118797420393</v>
      </c>
      <c r="C118" s="499">
        <f t="shared" si="13"/>
        <v>32.766513006925877</v>
      </c>
      <c r="D118" s="499">
        <f ca="1" xml:space="preserve"> MHDV_Battery_Sum!E173</f>
        <v>31.018627632134827</v>
      </c>
      <c r="E118" s="499">
        <f t="shared" ca="1" si="14"/>
        <v>431.11891091196901</v>
      </c>
      <c r="F118" s="499">
        <f xml:space="preserve"> MHDV_Fluids!E117</f>
        <v>15.948033063918178</v>
      </c>
      <c r="G118" s="500">
        <f ca="1">SUM(B118:F118)</f>
        <v>1214.3832725891518</v>
      </c>
      <c r="H118" s="427">
        <f t="shared" ca="1" si="12"/>
        <v>0.57933208061588759</v>
      </c>
      <c r="I118" s="426">
        <f t="shared" ca="1" si="12"/>
        <v>2.6982019389204311E-2</v>
      </c>
      <c r="J118" s="426">
        <f t="shared" ca="1" si="12"/>
        <v>2.5542700012658192E-2</v>
      </c>
      <c r="K118" s="426">
        <f t="shared" ca="1" si="12"/>
        <v>0.35501058079694453</v>
      </c>
      <c r="L118" s="747">
        <f t="shared" ca="1" si="12"/>
        <v>1.3132619185305339E-2</v>
      </c>
      <c r="M118" s="2434"/>
      <c r="N118" s="446"/>
      <c r="O118" s="446"/>
      <c r="P118" s="446"/>
      <c r="Q118" s="446"/>
      <c r="R118" s="446"/>
    </row>
    <row r="119" spans="1:18">
      <c r="A119" s="481" t="s">
        <v>890</v>
      </c>
      <c r="B119" s="508">
        <f ca="1" xml:space="preserve"> MHDV_Comp_Sum!E297</f>
        <v>906.80080225554048</v>
      </c>
      <c r="C119" s="506">
        <f t="shared" si="13"/>
        <v>12.823492925743636</v>
      </c>
      <c r="D119" s="506">
        <f ca="1" xml:space="preserve"> MHDV_Battery_Sum!E180</f>
        <v>21.643304052520399</v>
      </c>
      <c r="E119" s="1278">
        <f t="shared" ca="1" si="14"/>
        <v>344.11989190299687</v>
      </c>
      <c r="F119" s="506">
        <f xml:space="preserve"> MHDV_Fluids!E124</f>
        <v>43225.342731762154</v>
      </c>
      <c r="G119" s="507">
        <f t="shared" ca="1" si="15"/>
        <v>44510.730222898957</v>
      </c>
      <c r="H119" s="2429">
        <f t="shared" ca="1" si="12"/>
        <v>2.0372633693370154E-2</v>
      </c>
      <c r="I119" s="458">
        <f t="shared" ca="1" si="12"/>
        <v>2.8809891146531835E-4</v>
      </c>
      <c r="J119" s="458">
        <f t="shared" ca="1" si="12"/>
        <v>4.8624913462744766E-4</v>
      </c>
      <c r="K119" s="458">
        <f t="shared" ca="1" si="12"/>
        <v>7.7311670731917406E-3</v>
      </c>
      <c r="L119" s="896">
        <f t="shared" ca="1" si="12"/>
        <v>0.97112185118734529</v>
      </c>
      <c r="N119" s="446"/>
      <c r="O119" s="446"/>
      <c r="P119" s="446"/>
      <c r="Q119" s="446"/>
      <c r="R119" s="446"/>
    </row>
    <row r="120" spans="1:18">
      <c r="A120" s="100" t="s">
        <v>891</v>
      </c>
      <c r="B120" s="498">
        <f ca="1" xml:space="preserve"> MHDV_Comp_Sum!E298</f>
        <v>1975.5003450502372</v>
      </c>
      <c r="C120" s="1278">
        <f t="shared" si="13"/>
        <v>86.524132102408458</v>
      </c>
      <c r="D120" s="1278">
        <f ca="1" xml:space="preserve"> MHDV_Battery_Sum!E181</f>
        <v>67.5702646676325</v>
      </c>
      <c r="E120" s="1278">
        <f t="shared" ca="1" si="14"/>
        <v>920.69966279936182</v>
      </c>
      <c r="F120" s="1278">
        <f xml:space="preserve"> MHDV_Fluids!E125</f>
        <v>187.67397062906431</v>
      </c>
      <c r="G120" s="497">
        <f t="shared" ca="1" si="15"/>
        <v>3237.9683752487044</v>
      </c>
      <c r="H120" s="665">
        <f t="shared" ca="1" si="12"/>
        <v>0.61010489174357718</v>
      </c>
      <c r="I120" s="369">
        <f t="shared" ca="1" si="12"/>
        <v>2.6721734765480114E-2</v>
      </c>
      <c r="J120" s="369">
        <f t="shared" ca="1" si="12"/>
        <v>2.0868105193412371E-2</v>
      </c>
      <c r="K120" s="369">
        <f t="shared" ca="1" si="12"/>
        <v>0.28434485952279998</v>
      </c>
      <c r="L120" s="746">
        <f t="shared" ca="1" si="12"/>
        <v>5.7960408774730326E-2</v>
      </c>
      <c r="N120" s="446"/>
      <c r="O120" s="446"/>
      <c r="P120" s="446"/>
      <c r="Q120" s="446"/>
      <c r="R120" s="446"/>
    </row>
    <row r="121" spans="1:18" ht="15.75">
      <c r="A121" s="59" t="s">
        <v>2325</v>
      </c>
      <c r="B121" s="498">
        <f ca="1" xml:space="preserve"> MHDV_Comp_Sum!E299</f>
        <v>4122.3958743219619</v>
      </c>
      <c r="C121" s="1278">
        <f t="shared" si="13"/>
        <v>231.07825515807599</v>
      </c>
      <c r="D121" s="1278">
        <f ca="1" xml:space="preserve"> MHDV_Battery_Sum!E182</f>
        <v>161.34482181003852</v>
      </c>
      <c r="E121" s="1278">
        <f t="shared" ca="1" si="14"/>
        <v>2196.6720974342111</v>
      </c>
      <c r="F121" s="1278">
        <f xml:space="preserve"> MHDV_Fluids!E126</f>
        <v>951.97089020422197</v>
      </c>
      <c r="G121" s="497">
        <f t="shared" ca="1" si="15"/>
        <v>7663.461938928509</v>
      </c>
      <c r="H121" s="665">
        <f t="shared" ca="1" si="12"/>
        <v>0.53792866816251816</v>
      </c>
      <c r="I121" s="369">
        <f t="shared" ca="1" si="12"/>
        <v>3.0153246274279132E-2</v>
      </c>
      <c r="J121" s="369">
        <f t="shared" ca="1" si="12"/>
        <v>2.1053777404497355E-2</v>
      </c>
      <c r="K121" s="369">
        <f t="shared" ca="1" si="12"/>
        <v>0.28664226624205635</v>
      </c>
      <c r="L121" s="746">
        <f t="shared" ca="1" si="12"/>
        <v>0.12422204191664907</v>
      </c>
      <c r="N121" s="446"/>
      <c r="O121" s="446"/>
      <c r="P121" s="446"/>
      <c r="Q121" s="446"/>
      <c r="R121" s="446"/>
    </row>
    <row r="122" spans="1:18" ht="15.75">
      <c r="A122" s="59" t="s">
        <v>2326</v>
      </c>
      <c r="B122" s="498">
        <f ca="1" xml:space="preserve"> MHDV_Comp_Sum!E300</f>
        <v>506.91007162053501</v>
      </c>
      <c r="C122" s="1278">
        <f t="shared" si="13"/>
        <v>28.526169056138201</v>
      </c>
      <c r="D122" s="1278">
        <f ca="1" xml:space="preserve"> MHDV_Battery_Sum!E183</f>
        <v>18.170465045616311</v>
      </c>
      <c r="E122" s="1278">
        <f t="shared" ca="1" si="14"/>
        <v>247.81840008912724</v>
      </c>
      <c r="F122" s="1278">
        <f xml:space="preserve"> MHDV_Fluids!E127</f>
        <v>171.84105539516514</v>
      </c>
      <c r="G122" s="497">
        <f t="shared" ca="1" si="15"/>
        <v>973.26616120658173</v>
      </c>
      <c r="H122" s="665">
        <f t="shared" ca="1" si="12"/>
        <v>0.52083396282072136</v>
      </c>
      <c r="I122" s="369">
        <f t="shared" ca="1" si="12"/>
        <v>2.9309730670974542E-2</v>
      </c>
      <c r="J122" s="369">
        <f t="shared" ca="1" si="12"/>
        <v>1.8669574439010541E-2</v>
      </c>
      <c r="K122" s="369">
        <f t="shared" ca="1" si="12"/>
        <v>0.25462551763014213</v>
      </c>
      <c r="L122" s="746">
        <f t="shared" ca="1" si="12"/>
        <v>0.17656121443915157</v>
      </c>
      <c r="N122" s="446"/>
      <c r="O122" s="446"/>
      <c r="P122" s="446"/>
      <c r="Q122" s="446"/>
      <c r="R122" s="446"/>
    </row>
    <row r="123" spans="1:18" ht="15.75">
      <c r="A123" s="59" t="s">
        <v>2327</v>
      </c>
      <c r="B123" s="498">
        <f ca="1" xml:space="preserve"> MHDV_Comp_Sum!E301</f>
        <v>444.03738033853125</v>
      </c>
      <c r="C123" s="1278">
        <f t="shared" si="13"/>
        <v>25.087339763589249</v>
      </c>
      <c r="D123" s="1278">
        <f ca="1" xml:space="preserve"> MHDV_Battery_Sum!E184</f>
        <v>15.645140410068688</v>
      </c>
      <c r="E123" s="1278">
        <f t="shared" ca="1" si="14"/>
        <v>205.88258560620667</v>
      </c>
      <c r="F123" s="1278">
        <f xml:space="preserve"> MHDV_Fluids!E128</f>
        <v>96.924587973164108</v>
      </c>
      <c r="G123" s="497">
        <f ca="1">SUM(B123:F123)</f>
        <v>787.57703409155988</v>
      </c>
      <c r="H123" s="665">
        <f t="shared" ca="1" si="12"/>
        <v>0.5638018392076547</v>
      </c>
      <c r="I123" s="369">
        <f t="shared" ca="1" si="12"/>
        <v>3.1853823407289344E-2</v>
      </c>
      <c r="J123" s="369">
        <f t="shared" ca="1" si="12"/>
        <v>1.9864901759247922E-2</v>
      </c>
      <c r="K123" s="369">
        <f t="shared" ca="1" si="12"/>
        <v>0.26141263228134171</v>
      </c>
      <c r="L123" s="746">
        <f t="shared" ca="1" si="12"/>
        <v>0.1230668033444664</v>
      </c>
      <c r="N123" s="446"/>
      <c r="O123" s="446"/>
      <c r="P123" s="446"/>
      <c r="Q123" s="446"/>
      <c r="R123" s="446"/>
    </row>
    <row r="124" spans="1:18" ht="15.75">
      <c r="A124" s="59" t="s">
        <v>2328</v>
      </c>
      <c r="B124" s="498">
        <f ca="1" xml:space="preserve"> MHDV_Comp_Sum!E302</f>
        <v>3427.3593625030226</v>
      </c>
      <c r="C124" s="1278">
        <f t="shared" si="13"/>
        <v>212.4939126779536</v>
      </c>
      <c r="D124" s="1278">
        <f ca="1" xml:space="preserve"> MHDV_Battery_Sum!E185</f>
        <v>153.31310228873548</v>
      </c>
      <c r="E124" s="1278">
        <f t="shared" ca="1" si="14"/>
        <v>2057.4670239523716</v>
      </c>
      <c r="F124" s="1278">
        <f xml:space="preserve"> MHDV_Fluids!E129</f>
        <v>1937.8999522505203</v>
      </c>
      <c r="G124" s="497">
        <f t="shared" ca="1" si="15"/>
        <v>7788.533353672603</v>
      </c>
      <c r="H124" s="665">
        <f t="shared" ca="1" si="12"/>
        <v>0.44005195931874469</v>
      </c>
      <c r="I124" s="369">
        <f t="shared" ca="1" si="12"/>
        <v>2.7282917467093375E-2</v>
      </c>
      <c r="J124" s="369">
        <f t="shared" ca="1" si="12"/>
        <v>1.968446372723592E-2</v>
      </c>
      <c r="K124" s="369">
        <f t="shared" ca="1" si="12"/>
        <v>0.2641661697426248</v>
      </c>
      <c r="L124" s="746">
        <f t="shared" ca="1" si="12"/>
        <v>0.24881448974430129</v>
      </c>
      <c r="N124" s="446"/>
      <c r="O124" s="446"/>
      <c r="P124" s="446"/>
      <c r="Q124" s="446"/>
      <c r="R124" s="446"/>
    </row>
    <row r="125" spans="1:18">
      <c r="A125" s="59" t="s">
        <v>896</v>
      </c>
      <c r="B125" s="498">
        <f ca="1" xml:space="preserve"> MHDV_Comp_Sum!E303</f>
        <v>26.655718262292407</v>
      </c>
      <c r="C125" s="1278">
        <f t="shared" si="13"/>
        <v>1.3011326329947144</v>
      </c>
      <c r="D125" s="1278">
        <f ca="1" xml:space="preserve"> MHDV_Battery_Sum!E186</f>
        <v>0.88532540610129062</v>
      </c>
      <c r="E125" s="1278">
        <f t="shared" ca="1" si="14"/>
        <v>12.300688104572695</v>
      </c>
      <c r="F125" s="1278">
        <f xml:space="preserve"> MHDV_Fluids!E130</f>
        <v>7.0263636537600735</v>
      </c>
      <c r="G125" s="497">
        <f ca="1">SUM(B125:F125)</f>
        <v>48.169228059721178</v>
      </c>
      <c r="H125" s="665">
        <f t="shared" ca="1" si="12"/>
        <v>0.55337648818544716</v>
      </c>
      <c r="I125" s="369">
        <f t="shared" ca="1" si="12"/>
        <v>2.7011697828778655E-2</v>
      </c>
      <c r="J125" s="369">
        <f t="shared" ca="1" si="12"/>
        <v>1.8379480879445409E-2</v>
      </c>
      <c r="K125" s="369">
        <f t="shared" ca="1" si="12"/>
        <v>0.25536402803304331</v>
      </c>
      <c r="L125" s="746">
        <f t="shared" ca="1" si="12"/>
        <v>0.14586830507328552</v>
      </c>
      <c r="N125" s="446"/>
      <c r="O125" s="446"/>
      <c r="P125" s="446"/>
      <c r="Q125" s="446"/>
      <c r="R125" s="446"/>
    </row>
    <row r="126" spans="1:18">
      <c r="A126" s="118" t="s">
        <v>897</v>
      </c>
      <c r="B126" s="501">
        <f ca="1" xml:space="preserve"> MHDV_Comp_Sum!E304</f>
        <v>109.68874527261875</v>
      </c>
      <c r="C126" s="499">
        <f t="shared" si="13"/>
        <v>7.1791922237382906</v>
      </c>
      <c r="D126" s="499">
        <f ca="1" xml:space="preserve"> MHDV_Battery_Sum!E187</f>
        <v>3.3709644876594846</v>
      </c>
      <c r="E126" s="499">
        <f t="shared" ca="1" si="14"/>
        <v>39.34518246638212</v>
      </c>
      <c r="F126" s="499">
        <f xml:space="preserve"> MHDV_Fluids!E131</f>
        <v>6.3921194494031353</v>
      </c>
      <c r="G126" s="500">
        <f ca="1">SUM(B126:F126)</f>
        <v>165.97620389980176</v>
      </c>
      <c r="H126" s="427">
        <f t="shared" ca="1" si="12"/>
        <v>0.6608703096911217</v>
      </c>
      <c r="I126" s="426">
        <f t="shared" ca="1" si="12"/>
        <v>4.3254346436747644E-2</v>
      </c>
      <c r="J126" s="426">
        <f t="shared" ca="1" si="12"/>
        <v>2.0309926413876193E-2</v>
      </c>
      <c r="K126" s="426">
        <f t="shared" ca="1" si="12"/>
        <v>0.23705315305400301</v>
      </c>
      <c r="L126" s="747">
        <f t="shared" ca="1" si="12"/>
        <v>3.8512264404251567E-2</v>
      </c>
      <c r="N126" s="446"/>
      <c r="O126" s="446"/>
      <c r="P126" s="446"/>
      <c r="Q126" s="446"/>
      <c r="R126" s="446"/>
    </row>
    <row r="128" spans="1:18" ht="15">
      <c r="A128" s="120" t="s">
        <v>1906</v>
      </c>
      <c r="H128" s="369"/>
      <c r="I128" s="369"/>
      <c r="J128" s="369"/>
      <c r="K128" s="369"/>
      <c r="L128" s="369"/>
    </row>
    <row r="129" spans="1:13">
      <c r="A129" s="1653"/>
      <c r="B129" s="1726" t="s">
        <v>203</v>
      </c>
      <c r="C129" s="1726" t="s">
        <v>194</v>
      </c>
      <c r="D129" s="1726" t="s">
        <v>167</v>
      </c>
      <c r="E129" s="1727" t="s">
        <v>198</v>
      </c>
      <c r="G129" s="2424"/>
      <c r="H129" s="2424"/>
      <c r="I129" s="2424"/>
      <c r="J129" s="2424"/>
      <c r="K129" s="2424"/>
      <c r="L129" s="2424"/>
      <c r="M129" s="2424"/>
    </row>
    <row r="130" spans="1:13">
      <c r="A130" s="1351" t="s">
        <v>1907</v>
      </c>
      <c r="B130" s="1679">
        <f xml:space="preserve"> MHDV_Inputs!B148</f>
        <v>1000000</v>
      </c>
      <c r="C130" s="1680">
        <f xml:space="preserve"> MHDV_Inputs!C148</f>
        <v>1000000</v>
      </c>
      <c r="D130" s="1680">
        <f xml:space="preserve"> MHDV_Inputs!D148</f>
        <v>1000000</v>
      </c>
      <c r="E130" s="1681">
        <f xml:space="preserve"> MHDV_Inputs!E148</f>
        <v>1000000</v>
      </c>
      <c r="G130" s="2435"/>
      <c r="H130" s="2435"/>
      <c r="I130" s="2435"/>
      <c r="J130" s="2435"/>
      <c r="K130" s="2435"/>
      <c r="L130" s="2435"/>
      <c r="M130" s="2435"/>
    </row>
    <row r="131" spans="1:13">
      <c r="A131" s="481" t="s">
        <v>876</v>
      </c>
      <c r="B131" s="2436">
        <f ca="1">G7*1000000/B$130</f>
        <v>950.06608482880665</v>
      </c>
      <c r="C131" s="2437">
        <f ca="1">G38*1000000/C$130</f>
        <v>972.84486523608598</v>
      </c>
      <c r="D131" s="2437">
        <f ca="1">G69*1000000/D$130</f>
        <v>3821.1846449433374</v>
      </c>
      <c r="E131" s="2438">
        <f ca="1">G100*1000000/E$130</f>
        <v>1340.8142319802218</v>
      </c>
      <c r="G131" s="2439"/>
      <c r="H131" s="2439"/>
      <c r="I131" s="2439"/>
      <c r="J131" s="2439"/>
      <c r="K131" s="2439"/>
      <c r="L131" s="2439"/>
      <c r="M131" s="2439"/>
    </row>
    <row r="132" spans="1:13">
      <c r="A132" s="100" t="s">
        <v>877</v>
      </c>
      <c r="B132" s="2440">
        <f ca="1">G8*1000000/B$130</f>
        <v>838.98283286283163</v>
      </c>
      <c r="C132" s="2439">
        <f ca="1">G39*1000000/C$130</f>
        <v>857.90229718089154</v>
      </c>
      <c r="D132" s="2439">
        <f ca="1">G70*1000000/D$130</f>
        <v>3389.2772265627164</v>
      </c>
      <c r="E132" s="2441">
        <f ca="1">G101*1000000/E$130</f>
        <v>1183.3356454006164</v>
      </c>
      <c r="G132" s="2439"/>
      <c r="H132" s="2439"/>
      <c r="I132" s="2439"/>
      <c r="J132" s="2439"/>
      <c r="K132" s="2439"/>
      <c r="L132" s="2439"/>
      <c r="M132" s="2439"/>
    </row>
    <row r="133" spans="1:13">
      <c r="A133" s="100" t="s">
        <v>442</v>
      </c>
      <c r="B133" s="2440">
        <f ca="1">G9*1000000/B$130</f>
        <v>250.997044535528</v>
      </c>
      <c r="C133" s="2439">
        <f ca="1">G40*1000000/C$130</f>
        <v>256.0196214777481</v>
      </c>
      <c r="D133" s="2439">
        <f ca="1">G71*1000000/D$130</f>
        <v>879.39062692947459</v>
      </c>
      <c r="E133" s="2441">
        <f ca="1">G102*1000000/E$130</f>
        <v>295.20008505935033</v>
      </c>
      <c r="G133" s="2439"/>
      <c r="H133" s="2439"/>
      <c r="I133" s="2439"/>
      <c r="J133" s="2439"/>
      <c r="K133" s="2439"/>
      <c r="L133" s="2439"/>
      <c r="M133" s="2439"/>
    </row>
    <row r="134" spans="1:13">
      <c r="A134" s="100" t="s">
        <v>878</v>
      </c>
      <c r="B134" s="2440">
        <f t="shared" ref="B134:D134" ca="1" si="17">B132-B133-B135</f>
        <v>382.48118480559339</v>
      </c>
      <c r="C134" s="2439">
        <f t="shared" ca="1" si="17"/>
        <v>394.03418119383252</v>
      </c>
      <c r="D134" s="2439">
        <f t="shared" ca="1" si="17"/>
        <v>1900.5668908982384</v>
      </c>
      <c r="E134" s="2441">
        <f ca="1">E132-E133-E135</f>
        <v>606.13899755163879</v>
      </c>
      <c r="G134" s="2439"/>
      <c r="H134" s="2439"/>
      <c r="I134" s="2439"/>
      <c r="J134" s="2439"/>
      <c r="K134" s="2439"/>
      <c r="L134" s="2439"/>
      <c r="M134" s="2439"/>
    </row>
    <row r="135" spans="1:13">
      <c r="A135" s="100" t="s">
        <v>440</v>
      </c>
      <c r="B135" s="2440">
        <f ca="1">G11*1000000/B$130</f>
        <v>205.50460352171029</v>
      </c>
      <c r="C135" s="2439">
        <f ca="1">G42*1000000/C$130</f>
        <v>207.84849450931085</v>
      </c>
      <c r="D135" s="2439">
        <f ca="1">G73*1000000/D$130</f>
        <v>609.31970873500313</v>
      </c>
      <c r="E135" s="2441">
        <f ca="1">G104*1000000/E$130</f>
        <v>281.99656278962726</v>
      </c>
      <c r="G135" s="2439"/>
      <c r="H135" s="2439"/>
      <c r="I135" s="2439"/>
      <c r="J135" s="2439"/>
      <c r="K135" s="2439"/>
      <c r="L135" s="2439"/>
      <c r="M135" s="2439"/>
    </row>
    <row r="136" spans="1:13">
      <c r="A136" s="118" t="s">
        <v>819</v>
      </c>
      <c r="B136" s="2442">
        <f t="shared" ref="B136:B157" ca="1" si="18">G12/B$130</f>
        <v>6.1344664113623562E-2</v>
      </c>
      <c r="C136" s="2443">
        <f t="shared" ref="C136:C157" ca="1" si="19">G43/C$130</f>
        <v>6.3647322328008918E-2</v>
      </c>
      <c r="D136" s="2443">
        <f t="shared" ref="D136:D157" ca="1" si="20">G74/D$130</f>
        <v>0.30338562870409441</v>
      </c>
      <c r="E136" s="2444">
        <f t="shared" ref="E136:E157" ca="1" si="21">G105/E$130</f>
        <v>7.7322633982824102E-2</v>
      </c>
      <c r="G136" s="2445"/>
      <c r="H136" s="2445"/>
      <c r="I136" s="2445"/>
      <c r="J136" s="2445"/>
      <c r="K136" s="2445"/>
      <c r="L136" s="2445"/>
      <c r="M136" s="2445"/>
    </row>
    <row r="137" spans="1:13" ht="15.75">
      <c r="A137" s="58" t="s">
        <v>2597</v>
      </c>
      <c r="B137" s="2436">
        <f t="shared" ca="1" si="18"/>
        <v>62.018647135860519</v>
      </c>
      <c r="C137" s="2437">
        <f t="shared" ca="1" si="19"/>
        <v>63.434789394176505</v>
      </c>
      <c r="D137" s="2437">
        <f t="shared" ca="1" si="20"/>
        <v>245.21637452792166</v>
      </c>
      <c r="E137" s="2438">
        <f t="shared" ca="1" si="21"/>
        <v>79.264264717836284</v>
      </c>
      <c r="G137" s="2439"/>
      <c r="H137" s="2439"/>
      <c r="I137" s="2439"/>
      <c r="J137" s="2439"/>
      <c r="K137" s="2439"/>
      <c r="L137" s="2439"/>
      <c r="M137" s="2439"/>
    </row>
    <row r="138" spans="1:13" ht="15.75">
      <c r="A138" s="59" t="s">
        <v>2598</v>
      </c>
      <c r="B138" s="2440">
        <f t="shared" ca="1" si="18"/>
        <v>62.71557326783919</v>
      </c>
      <c r="C138" s="2439">
        <f t="shared" ca="1" si="19"/>
        <v>64.134704243632356</v>
      </c>
      <c r="D138" s="2439">
        <f t="shared" ca="1" si="20"/>
        <v>246.20559202101347</v>
      </c>
      <c r="E138" s="2441">
        <f t="shared" ca="1" si="21"/>
        <v>79.988470269002164</v>
      </c>
      <c r="G138" s="2439"/>
      <c r="H138" s="2439"/>
      <c r="I138" s="2439"/>
      <c r="J138" s="2439"/>
      <c r="K138" s="2439"/>
      <c r="L138" s="2439"/>
      <c r="M138" s="2439"/>
    </row>
    <row r="139" spans="1:13" ht="15.75">
      <c r="A139" s="59" t="s">
        <v>2320</v>
      </c>
      <c r="B139" s="740">
        <f t="shared" ca="1" si="18"/>
        <v>0.13140951990879687</v>
      </c>
      <c r="C139" s="2445">
        <f t="shared" ca="1" si="19"/>
        <v>0.13452885707117765</v>
      </c>
      <c r="D139" s="2445">
        <f t="shared" ca="1" si="20"/>
        <v>0.55490453251805316</v>
      </c>
      <c r="E139" s="96">
        <f t="shared" ca="1" si="21"/>
        <v>0.18721073783016914</v>
      </c>
      <c r="G139" s="2430"/>
      <c r="H139" s="2430"/>
      <c r="I139" s="2430"/>
      <c r="J139" s="2430"/>
      <c r="K139" s="2430"/>
      <c r="L139" s="2445"/>
      <c r="M139" s="2445"/>
    </row>
    <row r="140" spans="1:13" ht="15.75">
      <c r="A140" s="59" t="s">
        <v>2321</v>
      </c>
      <c r="B140" s="740">
        <f t="shared" ca="1" si="18"/>
        <v>1.2209209400854079E-3</v>
      </c>
      <c r="C140" s="2445">
        <f t="shared" ca="1" si="19"/>
        <v>1.266011357056504E-3</v>
      </c>
      <c r="D140" s="2445">
        <f t="shared" ca="1" si="20"/>
        <v>8.5270936037961376E-3</v>
      </c>
      <c r="E140" s="96">
        <f t="shared" ca="1" si="21"/>
        <v>1.6499928721721167E-3</v>
      </c>
      <c r="G140" s="2430"/>
      <c r="H140" s="2430"/>
      <c r="I140" s="2430"/>
      <c r="J140" s="2430"/>
      <c r="K140" s="2430"/>
      <c r="L140" s="2445"/>
      <c r="M140" s="2445"/>
    </row>
    <row r="141" spans="1:13">
      <c r="A141" s="484" t="s">
        <v>1896</v>
      </c>
      <c r="B141" s="2446">
        <f t="shared" ca="1" si="18"/>
        <v>68.024262434149037</v>
      </c>
      <c r="C141" s="2447">
        <f t="shared" ca="1" si="19"/>
        <v>69.579187096497819</v>
      </c>
      <c r="D141" s="2447">
        <f t="shared" ca="1" si="20"/>
        <v>267.80837864210156</v>
      </c>
      <c r="E141" s="2448">
        <f t="shared" ca="1" si="21"/>
        <v>87.116680948233039</v>
      </c>
      <c r="G141" s="2431"/>
      <c r="H141" s="2431"/>
      <c r="I141" s="2431"/>
      <c r="J141" s="2431"/>
      <c r="K141" s="2431"/>
      <c r="L141" s="2439"/>
      <c r="M141" s="2439"/>
    </row>
    <row r="142" spans="1:13">
      <c r="A142" s="481" t="s">
        <v>879</v>
      </c>
      <c r="B142" s="2449">
        <f t="shared" ca="1" si="18"/>
        <v>0.12733305478366724</v>
      </c>
      <c r="C142" s="2450">
        <f t="shared" ca="1" si="19"/>
        <v>0.12761263258556327</v>
      </c>
      <c r="D142" s="2450">
        <f t="shared" ca="1" si="20"/>
        <v>0.15978547005194524</v>
      </c>
      <c r="E142" s="2451">
        <f t="shared" ca="1" si="21"/>
        <v>0.13210771760309895</v>
      </c>
      <c r="G142" s="2430"/>
      <c r="H142" s="2430"/>
      <c r="I142" s="2430"/>
      <c r="J142" s="2430"/>
      <c r="K142" s="2430"/>
      <c r="L142" s="2445"/>
      <c r="M142" s="2445"/>
    </row>
    <row r="143" spans="1:13">
      <c r="A143" s="100" t="s">
        <v>880</v>
      </c>
      <c r="B143" s="740">
        <f t="shared" ca="1" si="18"/>
        <v>0.1909545556351924</v>
      </c>
      <c r="C143" s="2445">
        <f t="shared" ca="1" si="19"/>
        <v>0.19230197078327452</v>
      </c>
      <c r="D143" s="2445">
        <f t="shared" ca="1" si="20"/>
        <v>0.312594192122089</v>
      </c>
      <c r="E143" s="96">
        <f t="shared" ca="1" si="21"/>
        <v>0.1988444381018398</v>
      </c>
      <c r="G143" s="2430"/>
      <c r="H143" s="2430"/>
      <c r="I143" s="2430"/>
      <c r="J143" s="2430"/>
      <c r="K143" s="2430"/>
      <c r="L143" s="2445"/>
      <c r="M143" s="2445"/>
    </row>
    <row r="144" spans="1:13" ht="15.75">
      <c r="A144" s="59" t="s">
        <v>2599</v>
      </c>
      <c r="B144" s="740">
        <f t="shared" ca="1" si="18"/>
        <v>6.898151933688737E-2</v>
      </c>
      <c r="C144" s="2445">
        <f t="shared" ca="1" si="19"/>
        <v>7.0614650473270521E-2</v>
      </c>
      <c r="D144" s="2445">
        <f t="shared" ca="1" si="20"/>
        <v>0.32152063398949082</v>
      </c>
      <c r="E144" s="96">
        <f t="shared" ca="1" si="21"/>
        <v>8.3190415525978334E-2</v>
      </c>
      <c r="G144" s="2430"/>
      <c r="H144" s="2430"/>
      <c r="I144" s="2430"/>
      <c r="J144" s="2430"/>
      <c r="K144" s="2430"/>
      <c r="L144" s="2445"/>
      <c r="M144" s="2445"/>
    </row>
    <row r="145" spans="1:13" ht="15.75">
      <c r="A145" s="59" t="s">
        <v>2322</v>
      </c>
      <c r="B145" s="740">
        <f t="shared" ca="1" si="18"/>
        <v>2.8645412434509059E-2</v>
      </c>
      <c r="C145" s="2445">
        <f t="shared" ca="1" si="19"/>
        <v>2.9289556066543952E-2</v>
      </c>
      <c r="D145" s="2445">
        <f t="shared" ca="1" si="20"/>
        <v>0.13110666458623116</v>
      </c>
      <c r="E145" s="96">
        <f t="shared" ca="1" si="21"/>
        <v>3.3646189638501772E-2</v>
      </c>
      <c r="G145" s="2430"/>
      <c r="H145" s="2430"/>
      <c r="I145" s="2430"/>
      <c r="J145" s="2430"/>
      <c r="K145" s="2430"/>
      <c r="L145" s="2445"/>
      <c r="M145" s="2445"/>
    </row>
    <row r="146" spans="1:13" ht="15.75">
      <c r="A146" s="59" t="s">
        <v>2323</v>
      </c>
      <c r="B146" s="740">
        <f t="shared" ca="1" si="18"/>
        <v>1.4124506554508092E-2</v>
      </c>
      <c r="C146" s="2445">
        <f t="shared" ca="1" si="19"/>
        <v>1.441083448421895E-2</v>
      </c>
      <c r="D146" s="2445">
        <f t="shared" ca="1" si="20"/>
        <v>5.5754972562332111E-2</v>
      </c>
      <c r="E146" s="96">
        <f t="shared" ca="1" si="21"/>
        <v>1.5740061840726627E-2</v>
      </c>
      <c r="G146" s="2430"/>
      <c r="H146" s="2430"/>
      <c r="I146" s="2430"/>
      <c r="J146" s="2430"/>
      <c r="K146" s="2430"/>
      <c r="L146" s="2445"/>
      <c r="M146" s="2445"/>
    </row>
    <row r="147" spans="1:13" ht="15.75">
      <c r="A147" s="59" t="s">
        <v>2324</v>
      </c>
      <c r="B147" s="740">
        <f t="shared" ca="1" si="18"/>
        <v>0.16102286218020917</v>
      </c>
      <c r="C147" s="2445">
        <f t="shared" ca="1" si="19"/>
        <v>0.18277605842701364</v>
      </c>
      <c r="D147" s="2445">
        <f t="shared" ca="1" si="20"/>
        <v>3.3726960908194492</v>
      </c>
      <c r="E147" s="96">
        <f t="shared" ca="1" si="21"/>
        <v>0.19738634078682915</v>
      </c>
      <c r="G147" s="2430"/>
      <c r="H147" s="2430"/>
      <c r="I147" s="2430"/>
      <c r="J147" s="2430"/>
      <c r="K147" s="2430"/>
      <c r="L147" s="2445"/>
      <c r="M147" s="2445"/>
    </row>
    <row r="148" spans="1:13">
      <c r="A148" s="59" t="s">
        <v>885</v>
      </c>
      <c r="B148" s="740">
        <f t="shared" ca="1" si="18"/>
        <v>4.2784309653102489E-4</v>
      </c>
      <c r="C148" s="2445">
        <f t="shared" ca="1" si="19"/>
        <v>4.4076174891346484E-4</v>
      </c>
      <c r="D148" s="2445">
        <f t="shared" ca="1" si="20"/>
        <v>2.2745974108410983E-3</v>
      </c>
      <c r="E148" s="96">
        <f t="shared" ca="1" si="21"/>
        <v>5.3323506440986314E-4</v>
      </c>
      <c r="G148" s="2430"/>
      <c r="H148" s="2430"/>
      <c r="I148" s="2430"/>
      <c r="J148" s="2430"/>
      <c r="K148" s="2430"/>
      <c r="L148" s="2445"/>
      <c r="M148" s="2445"/>
    </row>
    <row r="149" spans="1:13">
      <c r="A149" s="118" t="s">
        <v>886</v>
      </c>
      <c r="B149" s="2442">
        <f t="shared" ca="1" si="18"/>
        <v>8.5989923911074435E-4</v>
      </c>
      <c r="C149" s="2443">
        <f t="shared" ca="1" si="19"/>
        <v>8.8692554970503713E-4</v>
      </c>
      <c r="D149" s="2443">
        <f t="shared" ca="1" si="20"/>
        <v>4.810655516213431E-3</v>
      </c>
      <c r="E149" s="98">
        <f t="shared" ca="1" si="21"/>
        <v>1.2143832725891519E-3</v>
      </c>
      <c r="G149" s="2430"/>
      <c r="H149" s="2430"/>
      <c r="I149" s="2430"/>
      <c r="J149" s="2430"/>
      <c r="K149" s="2430"/>
      <c r="L149" s="2445"/>
      <c r="M149" s="2445"/>
    </row>
    <row r="150" spans="1:13">
      <c r="A150" s="481" t="s">
        <v>890</v>
      </c>
      <c r="B150" s="2449">
        <f t="shared" ca="1" si="18"/>
        <v>4.4427041359450255E-2</v>
      </c>
      <c r="C150" s="2450">
        <f t="shared" ca="1" si="19"/>
        <v>4.4436860877727108E-2</v>
      </c>
      <c r="D150" s="2450">
        <f t="shared" ca="1" si="20"/>
        <v>4.6069504258612469E-2</v>
      </c>
      <c r="E150" s="2451">
        <f t="shared" ca="1" si="21"/>
        <v>4.4510730222898955E-2</v>
      </c>
      <c r="G150" s="2430"/>
      <c r="H150" s="2430"/>
      <c r="I150" s="2430"/>
      <c r="J150" s="2430"/>
      <c r="K150" s="2430"/>
      <c r="L150" s="2445"/>
      <c r="M150" s="2445"/>
    </row>
    <row r="151" spans="1:13">
      <c r="A151" s="100" t="s">
        <v>891</v>
      </c>
      <c r="B151" s="740">
        <f t="shared" ca="1" si="18"/>
        <v>2.1996839993797938E-3</v>
      </c>
      <c r="C151" s="2445">
        <f t="shared" ca="1" si="19"/>
        <v>2.2539337561393743E-3</v>
      </c>
      <c r="D151" s="2445">
        <f t="shared" ca="1" si="20"/>
        <v>9.2416846955544144E-3</v>
      </c>
      <c r="E151" s="96">
        <f t="shared" ca="1" si="21"/>
        <v>3.2379683752487044E-3</v>
      </c>
      <c r="G151" s="2430"/>
      <c r="H151" s="2430"/>
      <c r="I151" s="2430"/>
      <c r="J151" s="2430"/>
      <c r="K151" s="2430"/>
      <c r="L151" s="2445"/>
      <c r="M151" s="2445"/>
    </row>
    <row r="152" spans="1:13" ht="15.75">
      <c r="A152" s="59" t="s">
        <v>2325</v>
      </c>
      <c r="B152" s="740">
        <f t="shared" ca="1" si="18"/>
        <v>6.3740443034857562E-3</v>
      </c>
      <c r="C152" s="2445">
        <f t="shared" ca="1" si="19"/>
        <v>6.5000651976008308E-3</v>
      </c>
      <c r="D152" s="2445">
        <f t="shared" ca="1" si="20"/>
        <v>2.2299067402929057E-2</v>
      </c>
      <c r="E152" s="96">
        <f t="shared" ca="1" si="21"/>
        <v>7.6634619389285086E-3</v>
      </c>
      <c r="G152" s="2430"/>
      <c r="H152" s="2430"/>
      <c r="I152" s="2430"/>
      <c r="J152" s="2430"/>
      <c r="K152" s="2430"/>
      <c r="L152" s="2445"/>
      <c r="M152" s="2445"/>
    </row>
    <row r="153" spans="1:13" ht="15.75">
      <c r="A153" s="59" t="s">
        <v>2326</v>
      </c>
      <c r="B153" s="740">
        <f t="shared" ca="1" si="18"/>
        <v>8.7893473112315513E-4</v>
      </c>
      <c r="C153" s="2445">
        <f t="shared" ca="1" si="19"/>
        <v>8.916602139619963E-4</v>
      </c>
      <c r="D153" s="2445">
        <f t="shared" ca="1" si="20"/>
        <v>2.4760444294824858E-3</v>
      </c>
      <c r="E153" s="96">
        <f t="shared" ca="1" si="21"/>
        <v>9.732661612065817E-4</v>
      </c>
      <c r="G153" s="2430"/>
      <c r="H153" s="2430"/>
      <c r="I153" s="2430"/>
      <c r="J153" s="2430"/>
      <c r="K153" s="2430"/>
      <c r="L153" s="2445"/>
      <c r="M153" s="2445"/>
    </row>
    <row r="154" spans="1:13" ht="15.75">
      <c r="A154" s="59" t="s">
        <v>2327</v>
      </c>
      <c r="B154" s="740">
        <f t="shared" ca="1" si="18"/>
        <v>6.1542067829266508E-4</v>
      </c>
      <c r="C154" s="2445">
        <f t="shared" ca="1" si="19"/>
        <v>6.2745467606192839E-4</v>
      </c>
      <c r="D154" s="2445">
        <f t="shared" ca="1" si="20"/>
        <v>2.0740214346505886E-3</v>
      </c>
      <c r="E154" s="96">
        <f t="shared" ca="1" si="21"/>
        <v>7.875770340915599E-4</v>
      </c>
      <c r="G154" s="2430"/>
      <c r="H154" s="2430"/>
      <c r="I154" s="2430"/>
      <c r="J154" s="2430"/>
      <c r="K154" s="2430"/>
      <c r="L154" s="2445"/>
      <c r="M154" s="2445"/>
    </row>
    <row r="155" spans="1:13" ht="15.75">
      <c r="A155" s="59" t="s">
        <v>2328</v>
      </c>
      <c r="B155" s="740">
        <f t="shared" ca="1" si="18"/>
        <v>8.5722561051211135E-3</v>
      </c>
      <c r="C155" s="2445">
        <f t="shared" ca="1" si="19"/>
        <v>8.6648956411850449E-3</v>
      </c>
      <c r="D155" s="2445">
        <f t="shared" ca="1" si="20"/>
        <v>2.0930233666071763E-2</v>
      </c>
      <c r="E155" s="96">
        <f t="shared" ca="1" si="21"/>
        <v>7.7885333536726028E-3</v>
      </c>
      <c r="G155" s="2430"/>
      <c r="H155" s="2430"/>
      <c r="I155" s="2430"/>
      <c r="J155" s="2430"/>
      <c r="K155" s="2430"/>
      <c r="L155" s="2445"/>
      <c r="M155" s="2445"/>
    </row>
    <row r="156" spans="1:13">
      <c r="A156" s="59" t="s">
        <v>896</v>
      </c>
      <c r="B156" s="740">
        <f t="shared" ca="1" si="18"/>
        <v>3.9852720901523763E-5</v>
      </c>
      <c r="C156" s="2445">
        <f t="shared" ca="1" si="19"/>
        <v>4.0489432281839086E-5</v>
      </c>
      <c r="D156" s="2445">
        <f t="shared" ca="1" si="20"/>
        <v>1.2195225894969404E-4</v>
      </c>
      <c r="E156" s="96">
        <f t="shared" ca="1" si="21"/>
        <v>4.8169228059721179E-5</v>
      </c>
      <c r="G156" s="2430"/>
      <c r="H156" s="2430"/>
      <c r="I156" s="2430"/>
      <c r="J156" s="2430"/>
      <c r="K156" s="2430"/>
      <c r="L156" s="2445"/>
      <c r="M156" s="2445"/>
    </row>
    <row r="157" spans="1:13">
      <c r="A157" s="118" t="s">
        <v>897</v>
      </c>
      <c r="B157" s="2442">
        <f t="shared" ca="1" si="18"/>
        <v>9.4418407419932633E-5</v>
      </c>
      <c r="C157" s="2443">
        <f t="shared" ca="1" si="19"/>
        <v>9.7310204876860799E-5</v>
      </c>
      <c r="D157" s="2443">
        <f t="shared" ca="1" si="20"/>
        <v>4.2185844188758788E-4</v>
      </c>
      <c r="E157" s="98">
        <f t="shared" ca="1" si="21"/>
        <v>1.6597620389980177E-4</v>
      </c>
      <c r="G157" s="2430"/>
      <c r="H157" s="2430"/>
      <c r="I157" s="2430"/>
      <c r="J157" s="2430"/>
      <c r="K157" s="2430"/>
      <c r="L157" s="2445"/>
      <c r="M157" s="2445"/>
    </row>
    <row r="158" spans="1:13">
      <c r="B158" s="2430"/>
      <c r="C158" s="2430"/>
      <c r="D158" s="2430"/>
      <c r="E158" s="2430"/>
      <c r="F158" s="2430"/>
      <c r="G158" s="2452"/>
      <c r="H158" s="2452"/>
    </row>
    <row r="159" spans="1:13" ht="15">
      <c r="A159" s="120" t="s">
        <v>1908</v>
      </c>
    </row>
    <row r="160" spans="1:13">
      <c r="A160" s="1653"/>
      <c r="B160" s="1726" t="s">
        <v>203</v>
      </c>
      <c r="C160" s="1726" t="s">
        <v>194</v>
      </c>
      <c r="D160" s="1726" t="s">
        <v>167</v>
      </c>
      <c r="E160" s="1727" t="s">
        <v>198</v>
      </c>
      <c r="G160" s="2424"/>
      <c r="H160" s="2424"/>
      <c r="I160" s="2424"/>
      <c r="J160" s="2424"/>
      <c r="K160" s="2424"/>
      <c r="L160" s="2424"/>
    </row>
    <row r="161" spans="1:12">
      <c r="A161" s="100" t="s">
        <v>876</v>
      </c>
      <c r="B161" s="2429">
        <f t="shared" ref="B161:E176" ca="1" si="22">(B131-$B131)/$B131</f>
        <v>0</v>
      </c>
      <c r="C161" s="458">
        <f t="shared" ca="1" si="22"/>
        <v>2.397599574495269E-2</v>
      </c>
      <c r="D161" s="458">
        <f t="shared" ca="1" si="22"/>
        <v>3.0220198425795615</v>
      </c>
      <c r="E161" s="896">
        <f t="shared" ca="1" si="22"/>
        <v>0.41128522888155145</v>
      </c>
      <c r="G161" s="369"/>
      <c r="H161" s="369"/>
      <c r="I161" s="369"/>
      <c r="J161" s="369"/>
      <c r="K161" s="369"/>
      <c r="L161" s="369"/>
    </row>
    <row r="162" spans="1:12">
      <c r="A162" s="100" t="s">
        <v>877</v>
      </c>
      <c r="B162" s="665">
        <f t="shared" ca="1" si="22"/>
        <v>0</v>
      </c>
      <c r="C162" s="369">
        <f t="shared" ca="1" si="22"/>
        <v>2.2550478480592606E-2</v>
      </c>
      <c r="D162" s="369">
        <f t="shared" ca="1" si="22"/>
        <v>3.0397456226816995</v>
      </c>
      <c r="E162" s="746">
        <f t="shared" ca="1" si="22"/>
        <v>0.41044083269589887</v>
      </c>
      <c r="G162" s="369"/>
      <c r="H162" s="369"/>
      <c r="I162" s="369"/>
      <c r="J162" s="369"/>
      <c r="K162" s="369"/>
      <c r="L162" s="369"/>
    </row>
    <row r="163" spans="1:12">
      <c r="A163" s="100" t="s">
        <v>442</v>
      </c>
      <c r="B163" s="665">
        <f t="shared" ca="1" si="22"/>
        <v>0</v>
      </c>
      <c r="C163" s="369">
        <f t="shared" ca="1" si="22"/>
        <v>2.0010502320911453E-2</v>
      </c>
      <c r="D163" s="369">
        <f t="shared" ca="1" si="22"/>
        <v>2.5035895683823446</v>
      </c>
      <c r="E163" s="746">
        <f t="shared" ca="1" si="22"/>
        <v>0.1761098048210902</v>
      </c>
      <c r="G163" s="369"/>
      <c r="H163" s="369"/>
      <c r="I163" s="369"/>
      <c r="J163" s="369"/>
      <c r="K163" s="369"/>
      <c r="L163" s="369"/>
    </row>
    <row r="164" spans="1:12">
      <c r="A164" s="100" t="s">
        <v>878</v>
      </c>
      <c r="B164" s="665">
        <f t="shared" ca="1" si="22"/>
        <v>0</v>
      </c>
      <c r="C164" s="369">
        <f t="shared" ca="1" si="22"/>
        <v>3.0205397931172134E-2</v>
      </c>
      <c r="D164" s="369">
        <f t="shared" ca="1" si="22"/>
        <v>3.9690467568077996</v>
      </c>
      <c r="E164" s="746">
        <f t="shared" ca="1" si="22"/>
        <v>0.58475507196445664</v>
      </c>
      <c r="G164" s="369"/>
      <c r="H164" s="369"/>
      <c r="I164" s="369"/>
      <c r="J164" s="369"/>
      <c r="K164" s="369"/>
      <c r="L164" s="369"/>
    </row>
    <row r="165" spans="1:12">
      <c r="A165" s="100" t="s">
        <v>440</v>
      </c>
      <c r="B165" s="665">
        <f t="shared" ca="1" si="22"/>
        <v>0</v>
      </c>
      <c r="C165" s="369">
        <f t="shared" ca="1" si="22"/>
        <v>1.1405540058147369E-2</v>
      </c>
      <c r="D165" s="369">
        <f t="shared" ca="1" si="22"/>
        <v>1.9649929894180316</v>
      </c>
      <c r="E165" s="746">
        <f t="shared" ca="1" si="22"/>
        <v>0.37221530786698931</v>
      </c>
      <c r="G165" s="369"/>
      <c r="H165" s="369"/>
      <c r="I165" s="369"/>
      <c r="J165" s="369"/>
      <c r="K165" s="369"/>
      <c r="L165" s="369"/>
    </row>
    <row r="166" spans="1:12">
      <c r="A166" s="118" t="s">
        <v>819</v>
      </c>
      <c r="B166" s="427">
        <f t="shared" ca="1" si="22"/>
        <v>0</v>
      </c>
      <c r="C166" s="426">
        <f t="shared" ca="1" si="22"/>
        <v>3.7536405939403883E-2</v>
      </c>
      <c r="D166" s="426">
        <f t="shared" ca="1" si="22"/>
        <v>3.9455911624547939</v>
      </c>
      <c r="E166" s="747">
        <f t="shared" ca="1" si="22"/>
        <v>0.26046226024819191</v>
      </c>
      <c r="G166" s="369"/>
      <c r="H166" s="369"/>
      <c r="I166" s="369"/>
      <c r="J166" s="369"/>
      <c r="K166" s="369"/>
      <c r="L166" s="369"/>
    </row>
    <row r="167" spans="1:12" ht="15.75">
      <c r="A167" s="58" t="s">
        <v>2597</v>
      </c>
      <c r="B167" s="2429">
        <f t="shared" ca="1" si="22"/>
        <v>0</v>
      </c>
      <c r="C167" s="458">
        <f t="shared" ca="1" si="22"/>
        <v>2.2834136565632084E-2</v>
      </c>
      <c r="D167" s="458">
        <f t="shared" ca="1" si="22"/>
        <v>2.9539136348901791</v>
      </c>
      <c r="E167" s="896">
        <f t="shared" ca="1" si="22"/>
        <v>0.2780714894376336</v>
      </c>
      <c r="G167" s="369"/>
      <c r="H167" s="369"/>
      <c r="I167" s="369"/>
      <c r="J167" s="369"/>
      <c r="K167" s="369"/>
      <c r="L167" s="369"/>
    </row>
    <row r="168" spans="1:12" ht="15.75">
      <c r="A168" s="59" t="s">
        <v>2598</v>
      </c>
      <c r="B168" s="665">
        <f t="shared" ca="1" si="22"/>
        <v>0</v>
      </c>
      <c r="C168" s="369">
        <f t="shared" ca="1" si="22"/>
        <v>2.2628047578110915E-2</v>
      </c>
      <c r="D168" s="369">
        <f t="shared" ca="1" si="22"/>
        <v>2.925748888071932</v>
      </c>
      <c r="E168" s="746">
        <f t="shared" ca="1" si="22"/>
        <v>0.27541639342744539</v>
      </c>
      <c r="G168" s="369"/>
      <c r="H168" s="369"/>
      <c r="I168" s="369"/>
      <c r="J168" s="382"/>
      <c r="K168" s="382"/>
      <c r="L168" s="382"/>
    </row>
    <row r="169" spans="1:12" ht="15.75">
      <c r="A169" s="59" t="s">
        <v>2320</v>
      </c>
      <c r="B169" s="665">
        <f t="shared" ca="1" si="22"/>
        <v>0</v>
      </c>
      <c r="C169" s="369">
        <f t="shared" ca="1" si="22"/>
        <v>2.3737528031041528E-2</v>
      </c>
      <c r="D169" s="369">
        <f t="shared" ca="1" si="22"/>
        <v>3.222711816489229</v>
      </c>
      <c r="E169" s="746">
        <f t="shared" ca="1" si="22"/>
        <v>0.42463603824213347</v>
      </c>
      <c r="G169" s="369"/>
      <c r="H169" s="369"/>
      <c r="I169" s="369"/>
      <c r="J169" s="369"/>
      <c r="K169" s="369"/>
      <c r="L169" s="369"/>
    </row>
    <row r="170" spans="1:12" ht="15.75">
      <c r="A170" s="59" t="s">
        <v>2321</v>
      </c>
      <c r="B170" s="665">
        <f t="shared" ca="1" si="22"/>
        <v>0</v>
      </c>
      <c r="C170" s="369">
        <f t="shared" ca="1" si="22"/>
        <v>3.6931479746708157E-2</v>
      </c>
      <c r="D170" s="369">
        <f t="shared" ca="1" si="22"/>
        <v>5.9841488697864715</v>
      </c>
      <c r="E170" s="746">
        <f t="shared" ca="1" si="22"/>
        <v>0.35143301912464026</v>
      </c>
      <c r="G170" s="369"/>
      <c r="H170" s="369"/>
      <c r="I170" s="369"/>
      <c r="J170" s="369"/>
      <c r="K170" s="369"/>
      <c r="L170" s="369"/>
    </row>
    <row r="171" spans="1:12">
      <c r="A171" s="484" t="s">
        <v>1896</v>
      </c>
      <c r="B171" s="427">
        <f t="shared" ca="1" si="22"/>
        <v>0</v>
      </c>
      <c r="C171" s="426">
        <f t="shared" ca="1" si="22"/>
        <v>2.2858383269558098E-2</v>
      </c>
      <c r="D171" s="426">
        <f t="shared" ca="1" si="22"/>
        <v>2.9369538023488864</v>
      </c>
      <c r="E171" s="747">
        <f t="shared" ca="1" si="22"/>
        <v>0.28067071704844193</v>
      </c>
      <c r="G171" s="369"/>
      <c r="H171" s="369"/>
      <c r="I171" s="369"/>
      <c r="J171" s="369"/>
      <c r="K171" s="369"/>
      <c r="L171" s="369"/>
    </row>
    <row r="172" spans="1:12">
      <c r="A172" s="481" t="s">
        <v>879</v>
      </c>
      <c r="B172" s="2429">
        <f t="shared" ca="1" si="22"/>
        <v>0</v>
      </c>
      <c r="C172" s="458">
        <f t="shared" ca="1" si="22"/>
        <v>2.1956419907699079E-3</v>
      </c>
      <c r="D172" s="458">
        <f t="shared" ca="1" si="22"/>
        <v>0.25486245754029141</v>
      </c>
      <c r="E172" s="896">
        <f t="shared" ca="1" si="22"/>
        <v>3.7497434013058314E-2</v>
      </c>
      <c r="G172" s="369"/>
      <c r="H172" s="369"/>
      <c r="I172" s="369"/>
      <c r="J172" s="369"/>
      <c r="K172" s="369"/>
      <c r="L172" s="369"/>
    </row>
    <row r="173" spans="1:12">
      <c r="A173" s="100" t="s">
        <v>880</v>
      </c>
      <c r="B173" s="665">
        <f t="shared" ca="1" si="22"/>
        <v>0</v>
      </c>
      <c r="C173" s="369">
        <f t="shared" ca="1" si="22"/>
        <v>7.0562084449887598E-3</v>
      </c>
      <c r="D173" s="369">
        <f t="shared" ca="1" si="22"/>
        <v>0.63700829803339221</v>
      </c>
      <c r="E173" s="746">
        <f t="shared" ca="1" si="22"/>
        <v>4.1318115927648065E-2</v>
      </c>
      <c r="G173" s="369"/>
      <c r="H173" s="369"/>
      <c r="I173" s="369"/>
      <c r="J173" s="369"/>
      <c r="K173" s="369"/>
      <c r="L173" s="369"/>
    </row>
    <row r="174" spans="1:12" ht="15.75">
      <c r="A174" s="59" t="s">
        <v>2599</v>
      </c>
      <c r="B174" s="665">
        <f t="shared" ca="1" si="22"/>
        <v>0</v>
      </c>
      <c r="C174" s="369">
        <f t="shared" ca="1" si="22"/>
        <v>2.3674908179499108E-2</v>
      </c>
      <c r="D174" s="369">
        <f t="shared" ca="1" si="22"/>
        <v>3.6609677067167756</v>
      </c>
      <c r="E174" s="746">
        <f t="shared" ca="1" si="22"/>
        <v>0.20598120084451169</v>
      </c>
      <c r="G174" s="369"/>
      <c r="H174" s="369"/>
      <c r="I174" s="369"/>
      <c r="J174" s="369"/>
      <c r="K174" s="369"/>
      <c r="L174" s="369"/>
    </row>
    <row r="175" spans="1:12" ht="15.75">
      <c r="A175" s="59" t="s">
        <v>2322</v>
      </c>
      <c r="B175" s="665">
        <f t="shared" ca="1" si="22"/>
        <v>0</v>
      </c>
      <c r="C175" s="369">
        <f t="shared" ca="1" si="22"/>
        <v>2.248679901214809E-2</v>
      </c>
      <c r="D175" s="369">
        <f t="shared" ca="1" si="22"/>
        <v>3.5768817218455293</v>
      </c>
      <c r="E175" s="746">
        <f t="shared" ca="1" si="22"/>
        <v>0.17457515109708419</v>
      </c>
      <c r="G175" s="369"/>
      <c r="H175" s="369"/>
      <c r="I175" s="369"/>
      <c r="J175" s="369"/>
      <c r="K175" s="369"/>
      <c r="L175" s="369"/>
    </row>
    <row r="176" spans="1:12" ht="15.75">
      <c r="A176" s="59" t="s">
        <v>2323</v>
      </c>
      <c r="B176" s="665">
        <f t="shared" ca="1" si="22"/>
        <v>0</v>
      </c>
      <c r="C176" s="369">
        <f t="shared" ca="1" si="22"/>
        <v>2.0271712049258903E-2</v>
      </c>
      <c r="D176" s="369">
        <f t="shared" ca="1" si="22"/>
        <v>2.9473925936575038</v>
      </c>
      <c r="E176" s="746">
        <f t="shared" ca="1" si="22"/>
        <v>0.11437959124334157</v>
      </c>
      <c r="G176" s="369"/>
      <c r="H176" s="369"/>
      <c r="I176" s="369"/>
      <c r="J176" s="369"/>
      <c r="K176" s="369"/>
      <c r="L176" s="369"/>
    </row>
    <row r="177" spans="1:12" ht="15.75">
      <c r="A177" s="59" t="s">
        <v>2324</v>
      </c>
      <c r="B177" s="665">
        <f t="shared" ref="B177:E187" ca="1" si="23">(B147-$B147)/$B147</f>
        <v>0</v>
      </c>
      <c r="C177" s="369">
        <f t="shared" ca="1" si="23"/>
        <v>0.13509383669046524</v>
      </c>
      <c r="D177" s="369">
        <f t="shared" ca="1" si="23"/>
        <v>19.94544864719202</v>
      </c>
      <c r="E177" s="746">
        <f t="shared" ca="1" si="23"/>
        <v>0.22582804773351808</v>
      </c>
      <c r="G177" s="369"/>
      <c r="H177" s="369"/>
      <c r="I177" s="369"/>
      <c r="J177" s="369"/>
      <c r="K177" s="369"/>
      <c r="L177" s="369"/>
    </row>
    <row r="178" spans="1:12">
      <c r="A178" s="59" t="s">
        <v>885</v>
      </c>
      <c r="B178" s="665">
        <f t="shared" ca="1" si="23"/>
        <v>0</v>
      </c>
      <c r="C178" s="369">
        <f t="shared" ca="1" si="23"/>
        <v>3.0194836581880345E-2</v>
      </c>
      <c r="D178" s="369">
        <f t="shared" ca="1" si="23"/>
        <v>4.31642891817972</v>
      </c>
      <c r="E178" s="746">
        <f t="shared" ca="1" si="23"/>
        <v>0.24633322059736867</v>
      </c>
      <c r="G178" s="369"/>
      <c r="H178" s="369"/>
      <c r="I178" s="369"/>
      <c r="J178" s="369"/>
      <c r="K178" s="369"/>
      <c r="L178" s="369"/>
    </row>
    <row r="179" spans="1:12">
      <c r="A179" s="118" t="s">
        <v>886</v>
      </c>
      <c r="B179" s="427">
        <f t="shared" ca="1" si="23"/>
        <v>0</v>
      </c>
      <c r="C179" s="426">
        <f t="shared" ca="1" si="23"/>
        <v>3.1429624966573699E-2</v>
      </c>
      <c r="D179" s="426">
        <f t="shared" ca="1" si="23"/>
        <v>4.5944409500679635</v>
      </c>
      <c r="E179" s="747">
        <f t="shared" ca="1" si="23"/>
        <v>0.41223903610496665</v>
      </c>
      <c r="G179" s="369"/>
      <c r="H179" s="369"/>
      <c r="I179" s="369"/>
      <c r="J179" s="369"/>
      <c r="K179" s="369"/>
      <c r="L179" s="369"/>
    </row>
    <row r="180" spans="1:12">
      <c r="A180" s="481" t="s">
        <v>890</v>
      </c>
      <c r="B180" s="2429">
        <f t="shared" ca="1" si="23"/>
        <v>0</v>
      </c>
      <c r="C180" s="458">
        <f t="shared" ca="1" si="23"/>
        <v>2.2102570813584978E-4</v>
      </c>
      <c r="D180" s="458">
        <f t="shared" ca="1" si="23"/>
        <v>3.6969891509843686E-2</v>
      </c>
      <c r="E180" s="896">
        <f t="shared" ca="1" si="23"/>
        <v>1.8837370414021069E-3</v>
      </c>
      <c r="G180" s="369"/>
      <c r="H180" s="369"/>
      <c r="I180" s="369"/>
      <c r="J180" s="369"/>
      <c r="K180" s="369"/>
      <c r="L180" s="369"/>
    </row>
    <row r="181" spans="1:12">
      <c r="A181" s="100" t="s">
        <v>891</v>
      </c>
      <c r="B181" s="665">
        <f t="shared" ca="1" si="23"/>
        <v>0</v>
      </c>
      <c r="C181" s="369">
        <f t="shared" ca="1" si="23"/>
        <v>2.4662522787307784E-2</v>
      </c>
      <c r="D181" s="369">
        <f t="shared" ca="1" si="23"/>
        <v>3.201369241291081</v>
      </c>
      <c r="E181" s="746">
        <f t="shared" ca="1" si="23"/>
        <v>0.47201524226282388</v>
      </c>
      <c r="G181" s="369"/>
      <c r="H181" s="369"/>
      <c r="I181" s="369"/>
      <c r="J181" s="369"/>
      <c r="K181" s="369"/>
      <c r="L181" s="369"/>
    </row>
    <row r="182" spans="1:12" ht="15.75">
      <c r="A182" s="59" t="s">
        <v>2325</v>
      </c>
      <c r="B182" s="665">
        <f t="shared" ca="1" si="23"/>
        <v>0</v>
      </c>
      <c r="C182" s="369">
        <f t="shared" ca="1" si="23"/>
        <v>1.9770947316158118E-2</v>
      </c>
      <c r="D182" s="369">
        <f t="shared" ca="1" si="23"/>
        <v>2.4984173848202511</v>
      </c>
      <c r="E182" s="746">
        <f t="shared" ca="1" si="23"/>
        <v>0.20229191609754141</v>
      </c>
      <c r="G182" s="369"/>
      <c r="H182" s="369"/>
      <c r="I182" s="369"/>
      <c r="J182" s="369"/>
      <c r="K182" s="369"/>
      <c r="L182" s="369"/>
    </row>
    <row r="183" spans="1:12" ht="15.75">
      <c r="A183" s="59" t="s">
        <v>2326</v>
      </c>
      <c r="B183" s="665">
        <f t="shared" ca="1" si="23"/>
        <v>0</v>
      </c>
      <c r="C183" s="369">
        <f t="shared" ca="1" si="23"/>
        <v>1.4478302413399676E-2</v>
      </c>
      <c r="D183" s="369">
        <f t="shared" ca="1" si="23"/>
        <v>1.8170970400935786</v>
      </c>
      <c r="E183" s="746">
        <f t="shared" ca="1" si="23"/>
        <v>0.10732472701685625</v>
      </c>
      <c r="G183" s="369"/>
      <c r="H183" s="369"/>
      <c r="I183" s="369"/>
      <c r="J183" s="369"/>
      <c r="K183" s="369"/>
      <c r="L183" s="369"/>
    </row>
    <row r="184" spans="1:12" ht="15.75">
      <c r="A184" s="59" t="s">
        <v>2327</v>
      </c>
      <c r="B184" s="665">
        <f t="shared" ca="1" si="23"/>
        <v>0</v>
      </c>
      <c r="C184" s="369">
        <f t="shared" ca="1" si="23"/>
        <v>1.9554100461246626E-2</v>
      </c>
      <c r="D184" s="369">
        <f t="shared" ca="1" si="23"/>
        <v>2.3700873366888753</v>
      </c>
      <c r="E184" s="746">
        <f t="shared" ca="1" si="23"/>
        <v>0.27973768492228884</v>
      </c>
      <c r="G184" s="369"/>
      <c r="H184" s="369"/>
      <c r="I184" s="369"/>
      <c r="J184" s="369"/>
      <c r="K184" s="369"/>
      <c r="L184" s="369"/>
    </row>
    <row r="185" spans="1:12" ht="15.75">
      <c r="A185" s="59" t="s">
        <v>2328</v>
      </c>
      <c r="B185" s="665">
        <f t="shared" ca="1" si="23"/>
        <v>0</v>
      </c>
      <c r="C185" s="369">
        <f t="shared" ca="1" si="23"/>
        <v>1.0806902515265261E-2</v>
      </c>
      <c r="D185" s="369">
        <f t="shared" ca="1" si="23"/>
        <v>1.4416248662435465</v>
      </c>
      <c r="E185" s="746">
        <f t="shared" ca="1" si="23"/>
        <v>-9.1425494273358263E-2</v>
      </c>
      <c r="G185" s="369"/>
      <c r="H185" s="369"/>
      <c r="I185" s="369"/>
      <c r="J185" s="369"/>
      <c r="K185" s="369"/>
      <c r="L185" s="369"/>
    </row>
    <row r="186" spans="1:12">
      <c r="A186" s="59" t="s">
        <v>896</v>
      </c>
      <c r="B186" s="665">
        <f t="shared" ca="1" si="23"/>
        <v>0</v>
      </c>
      <c r="C186" s="369">
        <f t="shared" ca="1" si="23"/>
        <v>1.5976610025916174E-2</v>
      </c>
      <c r="D186" s="369">
        <f t="shared" ca="1" si="23"/>
        <v>2.0600735957536895</v>
      </c>
      <c r="E186" s="746">
        <f t="shared" ca="1" si="23"/>
        <v>0.20868103783296352</v>
      </c>
      <c r="G186" s="369"/>
      <c r="H186" s="369"/>
      <c r="I186" s="369"/>
      <c r="J186" s="369"/>
      <c r="K186" s="369"/>
      <c r="L186" s="369"/>
    </row>
    <row r="187" spans="1:12">
      <c r="A187" s="118" t="s">
        <v>897</v>
      </c>
      <c r="B187" s="427">
        <f t="shared" ca="1" si="23"/>
        <v>0</v>
      </c>
      <c r="C187" s="426">
        <f t="shared" ca="1" si="23"/>
        <v>3.0627475467433905E-2</v>
      </c>
      <c r="D187" s="426">
        <f t="shared" ca="1" si="23"/>
        <v>3.4679682004308994</v>
      </c>
      <c r="E187" s="747">
        <f t="shared" ca="1" si="23"/>
        <v>0.75787972319434183</v>
      </c>
      <c r="G187" s="369"/>
      <c r="H187" s="369"/>
      <c r="I187" s="369"/>
      <c r="J187" s="369"/>
      <c r="K187" s="369"/>
      <c r="L187" s="369"/>
    </row>
  </sheetData>
  <mergeCells count="8">
    <mergeCell ref="B98:G98"/>
    <mergeCell ref="H98:L98"/>
    <mergeCell ref="B5:G5"/>
    <mergeCell ref="H5:L5"/>
    <mergeCell ref="B36:G36"/>
    <mergeCell ref="H36:L36"/>
    <mergeCell ref="B67:G67"/>
    <mergeCell ref="H67:L67"/>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5669177F-5DD9-4720-891D-C87FC4AF215D}">
            <xm:f>OR(MHDV_Inputs!$B$3=2,MHDV_Inputs!$B$3=3)</xm:f>
            <x14:dxf>
              <fill>
                <patternFill>
                  <bgColor theme="1" tint="0.24994659260841701"/>
                </patternFill>
              </fill>
            </x14:dxf>
          </x14:cfRule>
          <xm:sqref>B38:L64 C130:C157 C161:C187</xm:sqref>
        </x14:conditionalFormatting>
      </x14:conditionalFormatting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2">
    <tabColor theme="9" tint="0.59999389629810485"/>
  </sheetPr>
  <dimension ref="A1:Q344"/>
  <sheetViews>
    <sheetView showGridLines="0" zoomScale="85" zoomScaleNormal="85" workbookViewId="0"/>
  </sheetViews>
  <sheetFormatPr defaultColWidth="9.140625" defaultRowHeight="12.75"/>
  <cols>
    <col min="1" max="1" width="23.28515625" style="2464" customWidth="1"/>
    <col min="2" max="2" width="11.42578125" style="2464" customWidth="1"/>
    <col min="3" max="3" width="15" style="2464" customWidth="1"/>
    <col min="4" max="8" width="11.42578125" style="2464" customWidth="1"/>
    <col min="9" max="9" width="10" style="1321" customWidth="1"/>
    <col min="10" max="10" width="10" style="2465" customWidth="1"/>
    <col min="11" max="11" width="7.7109375" style="1321" customWidth="1"/>
    <col min="12" max="12" width="8.7109375" style="2464" customWidth="1"/>
    <col min="13" max="13" width="13.85546875" style="2465" customWidth="1"/>
    <col min="14" max="14" width="6.42578125" style="2464" customWidth="1"/>
    <col min="15" max="15" width="8.140625" style="2464" customWidth="1"/>
    <col min="16" max="16" width="6.42578125" style="2464" customWidth="1"/>
    <col min="17" max="16384" width="9.140625" style="2464"/>
  </cols>
  <sheetData>
    <row r="1" spans="1:17" s="1321" customFormat="1" ht="15.75">
      <c r="A1" s="133" t="s">
        <v>1909</v>
      </c>
      <c r="B1" s="8"/>
      <c r="C1" s="8"/>
      <c r="D1" s="8"/>
      <c r="E1" s="8"/>
      <c r="F1" s="8"/>
      <c r="G1" s="8"/>
      <c r="H1" s="8"/>
      <c r="I1" s="8"/>
      <c r="J1" s="8"/>
    </row>
    <row r="2" spans="1:17" s="1321" customFormat="1" ht="15">
      <c r="A2" s="134" t="str">
        <f>"1) Well-to-Pump, Vehicle Cycle and Vehicle Operation Energy Use and Emissions: "&amp;B3&amp;" or "&amp;D3&amp;" per "&amp;D4</f>
        <v>1) Well-to-Pump, Vehicle Cycle and Vehicle Operation Energy Use and Emissions: Btu or g per mile</v>
      </c>
      <c r="B2" s="8"/>
      <c r="C2" s="8"/>
      <c r="D2" s="8"/>
      <c r="E2" s="8"/>
      <c r="F2" s="8"/>
      <c r="G2" s="8"/>
      <c r="H2" s="8"/>
      <c r="I2" s="8"/>
      <c r="J2" s="8"/>
    </row>
    <row r="3" spans="1:17" s="1321" customFormat="1">
      <c r="A3" s="2958" t="s">
        <v>1910</v>
      </c>
      <c r="B3" s="8" t="s">
        <v>1911</v>
      </c>
      <c r="C3" s="2958" t="s">
        <v>1912</v>
      </c>
      <c r="D3" s="8" t="s">
        <v>1913</v>
      </c>
      <c r="E3" s="8"/>
      <c r="F3" s="8"/>
      <c r="G3" s="8"/>
      <c r="H3" s="8"/>
      <c r="I3" s="8"/>
      <c r="J3" s="8"/>
    </row>
    <row r="4" spans="1:17" s="1321" customFormat="1" ht="13.5" customHeight="1">
      <c r="A4" s="8"/>
      <c r="B4" s="8"/>
      <c r="C4" s="2958" t="s">
        <v>1914</v>
      </c>
      <c r="D4" s="8" t="s">
        <v>1915</v>
      </c>
      <c r="E4" s="8"/>
      <c r="F4" s="8"/>
      <c r="G4" s="8"/>
      <c r="H4" s="8"/>
      <c r="I4" s="8"/>
      <c r="J4" s="8"/>
      <c r="L4" s="172" t="s">
        <v>1916</v>
      </c>
    </row>
    <row r="5" spans="1:17" s="1321" customFormat="1">
      <c r="A5" s="63" t="s">
        <v>2692</v>
      </c>
      <c r="B5" s="2959"/>
      <c r="C5" s="2959"/>
      <c r="D5" s="2959"/>
      <c r="E5" s="2959"/>
      <c r="F5" s="2959"/>
      <c r="G5" s="2959"/>
      <c r="H5" s="2959"/>
      <c r="I5" s="8"/>
      <c r="J5" s="8"/>
      <c r="L5" s="58" t="s">
        <v>1918</v>
      </c>
      <c r="M5" s="2454" t="s">
        <v>1911</v>
      </c>
      <c r="N5" s="2454" t="s">
        <v>1919</v>
      </c>
      <c r="O5" s="2454" t="s">
        <v>1920</v>
      </c>
      <c r="P5" s="2454" t="s">
        <v>1921</v>
      </c>
      <c r="Q5" s="2455" t="s">
        <v>1922</v>
      </c>
    </row>
    <row r="6" spans="1:17" s="1321" customFormat="1">
      <c r="A6" s="135"/>
      <c r="B6" s="3060" t="str">
        <f>$B$3&amp;"/"&amp;$D$4&amp;" or "&amp;$D$3&amp;"/"&amp;$D$4</f>
        <v>Btu/mile or g/mile</v>
      </c>
      <c r="C6" s="3061"/>
      <c r="D6" s="3061"/>
      <c r="E6" s="3062"/>
      <c r="F6" s="3005" t="s">
        <v>1890</v>
      </c>
      <c r="G6" s="3005"/>
      <c r="H6" s="3005"/>
      <c r="I6" s="3180"/>
      <c r="J6" s="8"/>
      <c r="L6" s="59"/>
      <c r="M6" s="2456">
        <v>1</v>
      </c>
      <c r="N6" s="2456">
        <v>1E-3</v>
      </c>
      <c r="O6" s="1919">
        <v>1055.05585</v>
      </c>
      <c r="P6" s="2456">
        <v>1.05505585</v>
      </c>
      <c r="Q6" s="2457">
        <v>1.0550558499999999E-3</v>
      </c>
    </row>
    <row r="7" spans="1:17" s="1321" customFormat="1" ht="25.5">
      <c r="A7" s="2960" t="s">
        <v>1923</v>
      </c>
      <c r="B7" s="671" t="s">
        <v>1924</v>
      </c>
      <c r="C7" s="670" t="s">
        <v>1925</v>
      </c>
      <c r="D7" s="670" t="s">
        <v>1926</v>
      </c>
      <c r="E7" s="672" t="s">
        <v>1894</v>
      </c>
      <c r="F7" s="1658" t="s">
        <v>1924</v>
      </c>
      <c r="G7" s="1658" t="s">
        <v>1925</v>
      </c>
      <c r="H7" s="1658" t="s">
        <v>1926</v>
      </c>
      <c r="I7" s="1226" t="s">
        <v>1894</v>
      </c>
      <c r="J7" s="8"/>
      <c r="L7" s="58" t="s">
        <v>1927</v>
      </c>
      <c r="M7" s="2454" t="s">
        <v>1913</v>
      </c>
      <c r="N7" s="2454" t="s">
        <v>1928</v>
      </c>
      <c r="O7" s="2454" t="s">
        <v>1929</v>
      </c>
      <c r="P7" s="2454" t="s">
        <v>1930</v>
      </c>
      <c r="Q7" s="2455" t="s">
        <v>1931</v>
      </c>
    </row>
    <row r="8" spans="1:17" s="1321" customFormat="1">
      <c r="A8" s="135" t="s">
        <v>876</v>
      </c>
      <c r="B8" s="2733">
        <f xml:space="preserve"> HLOOKUP(GREET1_Import_Export!$B$687,$M$9:$Q$10,2,FALSE)/HLOOKUP(GREET1_Import_Export!$B$686,$M$5:$Q$6,2,FALSE)*HLOOKUP($B$3,$M$5:$Q$6,2,FALSE)/HLOOKUP($D$4,$M$9:$Q$10,2,FALSE)*(GREET1_Import_Export!$B692+GREET1_Import_Export!$C692)</f>
        <v>3299.6259022784343</v>
      </c>
      <c r="C8" s="2734">
        <f ca="1">HLOOKUP($B$3,$M$5:$Q$6,2,FALSE)/HLOOKUP($D$4,$M$9:$Q$10,2,FALSE)*MHDV_Sum!$B131</f>
        <v>950.06608482880665</v>
      </c>
      <c r="D8" s="2734">
        <f>HLOOKUP(GREET1_Import_Export!$B$687,$M$9:$Q$10,2,FALSE)/HLOOKUP(GREET1_Import_Export!$B$686,$M$5:$Q$6,2,FALSE)*HLOOKUP($B$3,$M$5:$Q$6,2,FALSE)/HLOOKUP($D$4,$M$9:$Q$10,2,FALSE)*GREET1_Import_Export!$D692</f>
        <v>18064.641487789326</v>
      </c>
      <c r="E8" s="2735">
        <f ca="1">SUM(B8:D8)</f>
        <v>22314.333474896564</v>
      </c>
      <c r="F8" s="302">
        <f t="shared" ref="F8:I33" ca="1" si="0">B8/$E8</f>
        <v>0.14787024250536029</v>
      </c>
      <c r="G8" s="302">
        <f t="shared" ca="1" si="0"/>
        <v>4.2576493978528328E-2</v>
      </c>
      <c r="H8" s="302">
        <f t="shared" ca="1" si="0"/>
        <v>0.80955326351611145</v>
      </c>
      <c r="I8" s="575">
        <f t="shared" ca="1" si="0"/>
        <v>1</v>
      </c>
      <c r="J8" s="8"/>
      <c r="L8" s="118"/>
      <c r="M8" s="2459">
        <v>1</v>
      </c>
      <c r="N8" s="2460">
        <v>1000</v>
      </c>
      <c r="O8" s="2459">
        <v>1E-3</v>
      </c>
      <c r="P8" s="2459">
        <v>2.2046226218487802E-3</v>
      </c>
      <c r="Q8" s="2461">
        <f>0.00220462262184878*16</f>
        <v>3.5273961949580483E-2</v>
      </c>
    </row>
    <row r="9" spans="1:17" s="1321" customFormat="1">
      <c r="A9" s="160" t="s">
        <v>877</v>
      </c>
      <c r="B9" s="650">
        <f xml:space="preserve"> HLOOKUP(GREET1_Import_Export!$B$687,$M$9:$Q$10,2,FALSE)/HLOOKUP(GREET1_Import_Export!$B$686,$M$5:$Q$6,2,FALSE)*HLOOKUP($B$3,$M$5:$Q$6,2,FALSE)/HLOOKUP($D$4,$M$9:$Q$10,2,FALSE)*(GREET1_Import_Export!$B693+GREET1_Import_Export!$C693)</f>
        <v>3196.7577099433106</v>
      </c>
      <c r="C9" s="522">
        <f ca="1">HLOOKUP($B$3,$M$5:$Q$6,2,FALSE)/HLOOKUP($D$4,$M$9:$Q$10,2,FALSE)*MHDV_Sum!$B132</f>
        <v>838.98283286283163</v>
      </c>
      <c r="D9" s="522">
        <f>HLOOKUP(GREET1_Import_Export!$B$687,$M$9:$Q$10,2,FALSE)/HLOOKUP(GREET1_Import_Export!$B$686,$M$5:$Q$6,2,FALSE)*HLOOKUP($B$3,$M$5:$Q$6,2,FALSE)/HLOOKUP($D$4,$M$9:$Q$10,2,FALSE)*GREET1_Import_Export!$D693</f>
        <v>18064.641487789326</v>
      </c>
      <c r="E9" s="159">
        <f ca="1">SUM(B9:D9)</f>
        <v>22100.382030595469</v>
      </c>
      <c r="F9" s="302">
        <f t="shared" ca="1" si="0"/>
        <v>0.14464716969678454</v>
      </c>
      <c r="G9" s="302">
        <f t="shared" ca="1" si="0"/>
        <v>3.7962367876779472E-2</v>
      </c>
      <c r="H9" s="302">
        <f t="shared" ca="1" si="0"/>
        <v>0.81739046242643598</v>
      </c>
      <c r="I9" s="152">
        <f t="shared" ca="1" si="0"/>
        <v>1</v>
      </c>
      <c r="J9" s="8"/>
      <c r="L9" s="59" t="s">
        <v>1932</v>
      </c>
      <c r="M9" s="2456" t="s">
        <v>1915</v>
      </c>
      <c r="N9" s="2456" t="s">
        <v>1933</v>
      </c>
      <c r="O9" s="112"/>
      <c r="P9" s="112"/>
      <c r="Q9" s="195"/>
    </row>
    <row r="10" spans="1:17" s="1321" customFormat="1">
      <c r="A10" s="160" t="s">
        <v>442</v>
      </c>
      <c r="B10" s="650">
        <f xml:space="preserve"> HLOOKUP(GREET1_Import_Export!$B$687,$M$9:$Q$10,2,FALSE)/HLOOKUP(GREET1_Import_Export!$B$686,$M$5:$Q$6,2,FALSE)*HLOOKUP($B$3,$M$5:$Q$6,2,FALSE)/HLOOKUP($D$4,$M$9:$Q$10,2,FALSE)*(GREET1_Import_Export!$B694+GREET1_Import_Export!$C694)</f>
        <v>130.59952613755212</v>
      </c>
      <c r="C10" s="522">
        <f ca="1">HLOOKUP($B$3,$M$5:$Q$6,2,FALSE)/HLOOKUP($D$4,$M$9:$Q$10,2,FALSE)*MHDV_Sum!$B133</f>
        <v>250.997044535528</v>
      </c>
      <c r="D10" s="522">
        <f>HLOOKUP(GREET1_Import_Export!$B$687,$M$9:$Q$10,2,FALSE)/HLOOKUP(GREET1_Import_Export!$B$686,$M$5:$Q$6,2,FALSE)*HLOOKUP($B$3,$M$5:$Q$6,2,FALSE)/HLOOKUP($D$4,$M$9:$Q$10,2,FALSE)*GREET1_Import_Export!$D694</f>
        <v>0</v>
      </c>
      <c r="E10" s="159">
        <f ca="1">SUM(B10:D10)</f>
        <v>381.59657067308012</v>
      </c>
      <c r="F10" s="302">
        <f t="shared" ca="1" si="0"/>
        <v>0.34224502046020433</v>
      </c>
      <c r="G10" s="302">
        <f t="shared" ca="1" si="0"/>
        <v>0.65775497953979567</v>
      </c>
      <c r="H10" s="302">
        <f t="shared" ca="1" si="0"/>
        <v>0</v>
      </c>
      <c r="I10" s="152">
        <f t="shared" ca="1" si="0"/>
        <v>1</v>
      </c>
      <c r="J10" s="8"/>
      <c r="L10" s="118"/>
      <c r="M10" s="124">
        <v>1</v>
      </c>
      <c r="N10" s="124">
        <v>1.60934</v>
      </c>
      <c r="O10" s="124"/>
      <c r="P10" s="124"/>
      <c r="Q10" s="254"/>
    </row>
    <row r="11" spans="1:17" s="1321" customFormat="1">
      <c r="A11" s="160" t="s">
        <v>878</v>
      </c>
      <c r="B11" s="650">
        <f xml:space="preserve"> HLOOKUP(GREET1_Import_Export!$B$687,$M$9:$Q$10,2,FALSE)/HLOOKUP(GREET1_Import_Export!$B$686,$M$5:$Q$6,2,FALSE)*HLOOKUP($B$3,$M$5:$Q$6,2,FALSE)/HLOOKUP($D$4,$M$9:$Q$10,2,FALSE)*(GREET1_Import_Export!$B695+GREET1_Import_Export!$C695)</f>
        <v>2226.8351098249532</v>
      </c>
      <c r="C11" s="522">
        <f ca="1">HLOOKUP($B$3,$M$5:$Q$6,2,FALSE)/HLOOKUP($D$4,$M$9:$Q$10,2,FALSE)*MHDV_Sum!$B134</f>
        <v>382.48118480559339</v>
      </c>
      <c r="D11" s="522">
        <f>HLOOKUP(GREET1_Import_Export!$B$687,$M$9:$Q$10,2,FALSE)/HLOOKUP(GREET1_Import_Export!$B$686,$M$5:$Q$6,2,FALSE)*HLOOKUP($B$3,$M$5:$Q$6,2,FALSE)/HLOOKUP($D$4,$M$9:$Q$10,2,FALSE)*GREET1_Import_Export!$D695</f>
        <v>0</v>
      </c>
      <c r="E11" s="159">
        <f ca="1">SUM(B11:D11)</f>
        <v>2609.3162946305465</v>
      </c>
      <c r="F11" s="302">
        <f t="shared" ca="1" si="0"/>
        <v>0.85341708646335313</v>
      </c>
      <c r="G11" s="302">
        <f t="shared" ca="1" si="0"/>
        <v>0.14658291353664696</v>
      </c>
      <c r="H11" s="302">
        <f t="shared" ca="1" si="0"/>
        <v>0</v>
      </c>
      <c r="I11" s="152">
        <f t="shared" ca="1" si="0"/>
        <v>1</v>
      </c>
      <c r="J11" s="8"/>
    </row>
    <row r="12" spans="1:17" s="1321" customFormat="1">
      <c r="A12" s="160" t="s">
        <v>440</v>
      </c>
      <c r="B12" s="650">
        <f xml:space="preserve"> HLOOKUP(GREET1_Import_Export!$B$687,$M$9:$Q$10,2,FALSE)/HLOOKUP(GREET1_Import_Export!$B$686,$M$5:$Q$6,2,FALSE)*HLOOKUP($B$3,$M$5:$Q$6,2,FALSE)/HLOOKUP($D$4,$M$9:$Q$10,2,FALSE)*(GREET1_Import_Export!$B696+GREET1_Import_Export!$C696)</f>
        <v>839.32307398080525</v>
      </c>
      <c r="C12" s="522">
        <f ca="1">HLOOKUP($B$3,$M$5:$Q$6,2,FALSE)/HLOOKUP($D$4,$M$9:$Q$10,2,FALSE)*MHDV_Sum!$B135</f>
        <v>205.50460352171029</v>
      </c>
      <c r="D12" s="522">
        <f>HLOOKUP(GREET1_Import_Export!$B$687,$M$9:$Q$10,2,FALSE)/HLOOKUP(GREET1_Import_Export!$B$686,$M$5:$Q$6,2,FALSE)*HLOOKUP($B$3,$M$5:$Q$6,2,FALSE)/HLOOKUP($D$4,$M$9:$Q$10,2,FALSE)*GREET1_Import_Export!$D696</f>
        <v>18064.641487789326</v>
      </c>
      <c r="E12" s="159">
        <f t="shared" ref="E12:E13" ca="1" si="1">SUM(B12:D12)</f>
        <v>19109.469165291841</v>
      </c>
      <c r="F12" s="302">
        <f t="shared" ca="1" si="0"/>
        <v>4.392184140338401E-2</v>
      </c>
      <c r="G12" s="302">
        <f t="shared" ca="1" si="0"/>
        <v>1.0754071803049575E-2</v>
      </c>
      <c r="H12" s="302">
        <f t="shared" ca="1" si="0"/>
        <v>0.94532408679356639</v>
      </c>
      <c r="I12" s="152">
        <f t="shared" ca="1" si="0"/>
        <v>1</v>
      </c>
      <c r="J12" s="8"/>
      <c r="L12" s="172"/>
    </row>
    <row r="13" spans="1:17" s="1321" customFormat="1">
      <c r="A13" s="160" t="s">
        <v>819</v>
      </c>
      <c r="B13" s="578">
        <f xml:space="preserve"> HLOOKUP(GREET1_Import_Export!$B$687,$M$9:$Q$10,2,FALSE)/HLOOKUP(GREET1_Import_Export!$B$686,$M$5:$Q$6,2,FALSE)*HLOOKUP($B$3,$M$5:$Q$6,2,FALSE)/HLOOKUP($D$4,$M$9:$Q$10,2,FALSE)*(GREET1_Import_Export!$B697+GREET1_Import_Export!$C697)</f>
        <v>0.39397573747510367</v>
      </c>
      <c r="C13" s="1553">
        <f ca="1">HLOOKUP($B$3,$M$5:$Q$6,2,FALSE)/HLOOKUP($D$4,$M$9:$Q$10,2,FALSE)*MHDV_Sum!$B136</f>
        <v>6.1344664113623562E-2</v>
      </c>
      <c r="D13" s="1553">
        <f>HLOOKUP(GREET1_Import_Export!$B$687,$M$9:$Q$10,2,FALSE)/HLOOKUP(GREET1_Import_Export!$B$686,$M$5:$Q$6,2,FALSE)*HLOOKUP($B$3,$M$5:$Q$6,2,FALSE)/HLOOKUP($D$4,$M$9:$Q$10,2,FALSE)*GREET1_Import_Export!$D697</f>
        <v>0</v>
      </c>
      <c r="E13" s="478">
        <f t="shared" ca="1" si="1"/>
        <v>0.45532040158872722</v>
      </c>
      <c r="F13" s="302">
        <f t="shared" ca="1" si="0"/>
        <v>0.86527143545605112</v>
      </c>
      <c r="G13" s="302">
        <f t="shared" ca="1" si="0"/>
        <v>0.13472856454394888</v>
      </c>
      <c r="H13" s="302">
        <f t="shared" ca="1" si="0"/>
        <v>0</v>
      </c>
      <c r="I13" s="152">
        <f t="shared" ca="1" si="0"/>
        <v>1</v>
      </c>
      <c r="J13" s="8"/>
      <c r="L13" s="172"/>
    </row>
    <row r="14" spans="1:17" s="1321" customFormat="1" ht="15.75">
      <c r="A14" s="160" t="s">
        <v>2598</v>
      </c>
      <c r="B14" s="650">
        <f xml:space="preserve"> HLOOKUP(GREET1_Import_Export!$B$687,$M$9:$Q$10,2,FALSE)/HLOOKUP(GREET1_Import_Export!$D$686,$M$7:$Q$8,2,FALSE)*HLOOKUP($D$3,$M$7:$Q$8,2,FALSE)/HLOOKUP($D$4,$M$9:$Q$10,2,FALSE)*(GREET1_Import_Export!$B698+GREET1_Import_Export!$C698)</f>
        <v>234.15709713568265</v>
      </c>
      <c r="C14" s="1553">
        <f ca="1">HLOOKUP($D$3,$M$7:$Q$8,2,FALSE)/HLOOKUP($D$4,$M$9:$Q$10,2,FALSE)*MHDV_Sum!$B138</f>
        <v>62.71557326783919</v>
      </c>
      <c r="D14" s="522">
        <f>HLOOKUP(GREET1_Import_Export!$B$687,$M$9:$Q$10,2,FALSE)/HLOOKUP(GREET1_Import_Export!$D$686,$M$7:$Q$8,2,FALSE)*HLOOKUP($D$3,$M$7:$Q$8,2,FALSE)/HLOOKUP($D$4,$M$9:$Q$10,2,FALSE)*GREET1_Import_Export!$D698</f>
        <v>1428.3725609393252</v>
      </c>
      <c r="E14" s="159">
        <f t="shared" ref="E14:E33" ca="1" si="2">SUM(B14:D14)</f>
        <v>1725.2452313428471</v>
      </c>
      <c r="F14" s="302">
        <f t="shared" ca="1" si="0"/>
        <v>0.135723949779259</v>
      </c>
      <c r="G14" s="302">
        <f t="shared" ca="1" si="0"/>
        <v>3.6351686200010204E-2</v>
      </c>
      <c r="H14" s="302">
        <f t="shared" ca="1" si="0"/>
        <v>0.82792436402073077</v>
      </c>
      <c r="I14" s="152">
        <f t="shared" ca="1" si="0"/>
        <v>1</v>
      </c>
      <c r="J14" s="8"/>
    </row>
    <row r="15" spans="1:17" s="1321" customFormat="1" ht="15.75">
      <c r="A15" s="160" t="s">
        <v>2320</v>
      </c>
      <c r="B15" s="578">
        <f xml:space="preserve"> HLOOKUP(GREET1_Import_Export!$B$687,$M$9:$Q$10,2,FALSE)/HLOOKUP(GREET1_Import_Export!$D$686,$M$7:$Q$8,2,FALSE)*HLOOKUP($D$3,$M$7:$Q$8,2,FALSE)/HLOOKUP($D$4,$M$9:$Q$10,2,FALSE)*(GREET1_Import_Export!$B699+GREET1_Import_Export!$C699)</f>
        <v>1.9789103022182859</v>
      </c>
      <c r="C15" s="1553">
        <f ca="1">HLOOKUP($D$3,$M$7:$Q$8,2,FALSE)/HLOOKUP($D$4,$M$9:$Q$10,2,FALSE)*MHDV_Sum!$B139</f>
        <v>0.13140951990879687</v>
      </c>
      <c r="D15" s="1553">
        <f>HLOOKUP(GREET1_Import_Export!$B$687,$M$9:$Q$10,2,FALSE)/HLOOKUP(GREET1_Import_Export!$D$686,$M$7:$Q$8,2,FALSE)*HLOOKUP($D$3,$M$7:$Q$8,2,FALSE)/HLOOKUP($D$4,$M$9:$Q$10,2,FALSE)*GREET1_Import_Export!$D699</f>
        <v>1.4279963898586301E-2</v>
      </c>
      <c r="E15" s="1189">
        <f t="shared" ca="1" si="2"/>
        <v>2.1245997860256693</v>
      </c>
      <c r="F15" s="302">
        <f t="shared" ca="1" si="0"/>
        <v>0.93142732821228702</v>
      </c>
      <c r="G15" s="302">
        <f t="shared" ca="1" si="0"/>
        <v>6.185142292356853E-2</v>
      </c>
      <c r="H15" s="302">
        <f t="shared" ca="1" si="0"/>
        <v>6.7212488641443221E-3</v>
      </c>
      <c r="I15" s="152">
        <f t="shared" ca="1" si="0"/>
        <v>1</v>
      </c>
      <c r="J15" s="8"/>
      <c r="M15" s="2462"/>
    </row>
    <row r="16" spans="1:17" s="1321" customFormat="1" ht="15.75">
      <c r="A16" s="160" t="s">
        <v>2321</v>
      </c>
      <c r="B16" s="578">
        <f xml:space="preserve"> HLOOKUP(GREET1_Import_Export!$B$687,$M$9:$Q$10,2,FALSE)/HLOOKUP(GREET1_Import_Export!$D$686,$M$7:$Q$8,2,FALSE)*HLOOKUP($D$3,$M$7:$Q$8,2,FALSE)/HLOOKUP($D$4,$M$9:$Q$10,2,FALSE)*(GREET1_Import_Export!$B700+GREET1_Import_Export!$C700)</f>
        <v>4.0203191843483348E-3</v>
      </c>
      <c r="C16" s="1553">
        <f ca="1">HLOOKUP($D$3,$M$7:$Q$8,2,FALSE)/HLOOKUP($D$4,$M$9:$Q$10,2,FALSE)*MHDV_Sum!$B140</f>
        <v>1.2209209400854079E-3</v>
      </c>
      <c r="D16" s="1553">
        <f>HLOOKUP(GREET1_Import_Export!$B$687,$M$9:$Q$10,2,FALSE)/HLOOKUP(GREET1_Import_Export!$D$686,$M$7:$Q$8,2,FALSE)*HLOOKUP($D$3,$M$7:$Q$8,2,FALSE)/HLOOKUP($D$4,$M$9:$Q$10,2,FALSE)*GREET1_Import_Export!$D700</f>
        <v>1.9166453667045131E-3</v>
      </c>
      <c r="E16" s="1189">
        <f t="shared" ca="1" si="2"/>
        <v>7.1578854911382552E-3</v>
      </c>
      <c r="F16" s="302">
        <f t="shared" ca="1" si="0"/>
        <v>0.56166296447821762</v>
      </c>
      <c r="G16" s="302">
        <f t="shared" ca="1" si="0"/>
        <v>0.17057005753961224</v>
      </c>
      <c r="H16" s="302">
        <f t="shared" ca="1" si="0"/>
        <v>0.26776697798217025</v>
      </c>
      <c r="I16" s="152">
        <f t="shared" ca="1" si="0"/>
        <v>1</v>
      </c>
      <c r="J16" s="8"/>
    </row>
    <row r="17" spans="1:17" s="1321" customFormat="1">
      <c r="A17" s="160" t="s">
        <v>1896</v>
      </c>
      <c r="B17" s="650">
        <f xml:space="preserve"> HLOOKUP(GREET1_Import_Export!$B$687,$M$9:$Q$10,2,FALSE)/HLOOKUP(GREET1_Import_Export!$D$686,$M$7:$Q$8,2,FALSE)*HLOOKUP($D$3,$M$7:$Q$8,2,FALSE)/HLOOKUP($D$4,$M$9:$Q$10,2,FALSE)*(GREET1_Import_Export!$B701+GREET1_Import_Export!$C701)</f>
        <v>294.58979078608354</v>
      </c>
      <c r="C17" s="1553">
        <f ca="1">HLOOKUP($D$3,$M$7:$Q$8,2,FALSE)/HLOOKUP($D$4,$M$9:$Q$10,2,FALSE)*MHDV_Sum!$B141</f>
        <v>68.024262434149037</v>
      </c>
      <c r="D17" s="522">
        <f>HLOOKUP(GREET1_Import_Export!$B$687,$M$9:$Q$10,2,FALSE)/HLOOKUP(GREET1_Import_Export!$D$686,$M$7:$Q$8,2,FALSE)*HLOOKUP($D$3,$M$7:$Q$8,2,FALSE)/HLOOKUP($D$4,$M$9:$Q$10,2,FALSE)*GREET1_Import_Export!$D701</f>
        <v>1429.3088708784596</v>
      </c>
      <c r="E17" s="159">
        <f t="shared" ca="1" si="2"/>
        <v>1791.9229240986922</v>
      </c>
      <c r="F17" s="302">
        <f t="shared" ca="1" si="0"/>
        <v>0.16439869529224163</v>
      </c>
      <c r="G17" s="302">
        <f t="shared" ca="1" si="0"/>
        <v>3.7961600646614933E-2</v>
      </c>
      <c r="H17" s="302">
        <f t="shared" ca="1" si="0"/>
        <v>0.79763970406114348</v>
      </c>
      <c r="I17" s="152">
        <f t="shared" ca="1" si="0"/>
        <v>1</v>
      </c>
      <c r="J17" s="8"/>
    </row>
    <row r="18" spans="1:17" s="1321" customFormat="1">
      <c r="A18" s="160" t="s">
        <v>879</v>
      </c>
      <c r="B18" s="2961">
        <f xml:space="preserve"> HLOOKUP(GREET1_Import_Export!$B$687,$M$9:$Q$10,2,FALSE)/HLOOKUP(GREET1_Import_Export!$D$686,$M$7:$Q$8,2,FALSE)*HLOOKUP($D$3,$M$7:$Q$8,2,FALSE)/HLOOKUP($D$4,$M$9:$Q$10,2,FALSE)*(GREET1_Import_Export!$B702+GREET1_Import_Export!$C702)</f>
        <v>0.13301824613191174</v>
      </c>
      <c r="C18" s="2739">
        <f ca="1">HLOOKUP($D$3,$M$7:$Q$8,2,FALSE)/HLOOKUP($D$4,$M$9:$Q$10,2,FALSE)*MHDV_Sum!$B142</f>
        <v>0.12733305478366724</v>
      </c>
      <c r="D18" s="2739">
        <f>HLOOKUP(GREET1_Import_Export!$B$687,$M$9:$Q$10,2,FALSE)/HLOOKUP(GREET1_Import_Export!$D$686,$M$7:$Q$8,2,FALSE)*HLOOKUP($D$3,$M$7:$Q$8,2,FALSE)/HLOOKUP($D$4,$M$9:$Q$10,2,FALSE)*GREET1_Import_Export!$D702</f>
        <v>0.10415651994681022</v>
      </c>
      <c r="E18" s="2619">
        <f t="shared" ca="1" si="2"/>
        <v>0.3645078208623892</v>
      </c>
      <c r="F18" s="302">
        <f t="shared" ca="1" si="0"/>
        <v>0.36492562990062549</v>
      </c>
      <c r="G18" s="302">
        <f t="shared" ca="1" si="0"/>
        <v>0.34932873177428653</v>
      </c>
      <c r="H18" s="302">
        <f t="shared" ca="1" si="0"/>
        <v>0.28574563832508798</v>
      </c>
      <c r="I18" s="152">
        <f t="shared" ca="1" si="0"/>
        <v>1</v>
      </c>
      <c r="J18" s="8"/>
    </row>
    <row r="19" spans="1:17" s="1321" customFormat="1">
      <c r="A19" s="160" t="s">
        <v>880</v>
      </c>
      <c r="B19" s="2961">
        <f xml:space="preserve"> HLOOKUP(GREET1_Import_Export!$B$687,$M$9:$Q$10,2,FALSE)/HLOOKUP(GREET1_Import_Export!$D$686,$M$7:$Q$8,2,FALSE)*HLOOKUP($D$3,$M$7:$Q$8,2,FALSE)/HLOOKUP($D$4,$M$9:$Q$10,2,FALSE)*(GREET1_Import_Export!$B703+GREET1_Import_Export!$C703)</f>
        <v>0.2093914927944201</v>
      </c>
      <c r="C19" s="2739">
        <f ca="1">HLOOKUP($D$3,$M$7:$Q$8,2,FALSE)/HLOOKUP($D$4,$M$9:$Q$10,2,FALSE)*MHDV_Sum!$B143</f>
        <v>0.1909545556351924</v>
      </c>
      <c r="D19" s="2739">
        <f>HLOOKUP(GREET1_Import_Export!$B$687,$M$9:$Q$10,2,FALSE)/HLOOKUP(GREET1_Import_Export!$D$686,$M$7:$Q$8,2,FALSE)*HLOOKUP($D$3,$M$7:$Q$8,2,FALSE)/HLOOKUP($D$4,$M$9:$Q$10,2,FALSE)*GREET1_Import_Export!$D703</f>
        <v>2.8990092232225142</v>
      </c>
      <c r="E19" s="2619">
        <f t="shared" ca="1" si="2"/>
        <v>3.2993552716521268</v>
      </c>
      <c r="F19" s="302">
        <f t="shared" ca="1" si="0"/>
        <v>6.3464366688092036E-2</v>
      </c>
      <c r="G19" s="302">
        <f t="shared" ca="1" si="0"/>
        <v>5.7876324285493927E-2</v>
      </c>
      <c r="H19" s="302">
        <f t="shared" ca="1" si="0"/>
        <v>0.87865930902641398</v>
      </c>
      <c r="I19" s="152">
        <f t="shared" ca="1" si="0"/>
        <v>1</v>
      </c>
      <c r="J19" s="8"/>
    </row>
    <row r="20" spans="1:17" s="1321" customFormat="1" ht="15.75">
      <c r="A20" s="160" t="s">
        <v>2599</v>
      </c>
      <c r="B20" s="2961">
        <f xml:space="preserve"> HLOOKUP(GREET1_Import_Export!$B$687,$M$9:$Q$10,2,FALSE)/HLOOKUP(GREET1_Import_Export!$D$686,$M$7:$Q$8,2,FALSE)*HLOOKUP($D$3,$M$7:$Q$8,2,FALSE)/HLOOKUP($D$4,$M$9:$Q$10,2,FALSE)*(GREET1_Import_Export!$B704+GREET1_Import_Export!$C704)</f>
        <v>0.31984083550955378</v>
      </c>
      <c r="C20" s="2739">
        <f ca="1">HLOOKUP($D$3,$M$7:$Q$8,2,FALSE)/HLOOKUP($D$4,$M$9:$Q$10,2,FALSE)*MHDV_Sum!$B144</f>
        <v>6.898151933688737E-2</v>
      </c>
      <c r="D20" s="2739">
        <f>HLOOKUP(GREET1_Import_Export!$B$687,$M$9:$Q$10,2,FALSE)/HLOOKUP(GREET1_Import_Export!$D$686,$M$7:$Q$8,2,FALSE)*HLOOKUP($D$3,$M$7:$Q$8,2,FALSE)/HLOOKUP($D$4,$M$9:$Q$10,2,FALSE)*GREET1_Import_Export!$D704</f>
        <v>1.8194955645718054</v>
      </c>
      <c r="E20" s="2619">
        <f t="shared" ca="1" si="2"/>
        <v>2.2083179194182465</v>
      </c>
      <c r="F20" s="302">
        <f t="shared" ca="1" si="0"/>
        <v>0.14483459682010452</v>
      </c>
      <c r="G20" s="302">
        <f t="shared" ca="1" si="0"/>
        <v>3.1237132448329579E-2</v>
      </c>
      <c r="H20" s="302">
        <f t="shared" ca="1" si="0"/>
        <v>0.82392827073156594</v>
      </c>
      <c r="I20" s="152">
        <f t="shared" ca="1" si="0"/>
        <v>1</v>
      </c>
      <c r="J20" s="8"/>
    </row>
    <row r="21" spans="1:17" s="1321" customFormat="1" ht="15.75">
      <c r="A21" s="160" t="s">
        <v>2322</v>
      </c>
      <c r="B21" s="2961">
        <f xml:space="preserve"> HLOOKUP(GREET1_Import_Export!$B$687,$M$9:$Q$10,2,FALSE)/HLOOKUP(GREET1_Import_Export!$D$686,$M$7:$Q$8,2,FALSE)*HLOOKUP($D$3,$M$7:$Q$8,2,FALSE)/HLOOKUP($D$4,$M$9:$Q$10,2,FALSE)*(GREET1_Import_Export!$B705+GREET1_Import_Export!$C705)</f>
        <v>2.3363422925453778E-2</v>
      </c>
      <c r="C21" s="2739">
        <f ca="1">HLOOKUP($D$3,$M$7:$Q$8,2,FALSE)/HLOOKUP($D$4,$M$9:$Q$10,2,FALSE)*MHDV_Sum!$B145</f>
        <v>2.8645412434509059E-2</v>
      </c>
      <c r="D21" s="2739">
        <f>HLOOKUP(GREET1_Import_Export!$B$687,$M$9:$Q$10,2,FALSE)/HLOOKUP(GREET1_Import_Export!$D$686,$M$7:$Q$8,2,FALSE)*HLOOKUP($D$3,$M$7:$Q$8,2,FALSE)/HLOOKUP($D$4,$M$9:$Q$10,2,FALSE)*GREET1_Import_Export!$D705</f>
        <v>9.7501896966844193E-2</v>
      </c>
      <c r="E21" s="2619">
        <f t="shared" ca="1" si="2"/>
        <v>0.14951073232680703</v>
      </c>
      <c r="F21" s="302">
        <f t="shared" ca="1" si="0"/>
        <v>0.15626585838924925</v>
      </c>
      <c r="G21" s="302">
        <f t="shared" ca="1" si="0"/>
        <v>0.1915943557275519</v>
      </c>
      <c r="H21" s="302">
        <f t="shared" ca="1" si="0"/>
        <v>0.65213978588319887</v>
      </c>
      <c r="I21" s="152">
        <f t="shared" ca="1" si="0"/>
        <v>1</v>
      </c>
      <c r="J21" s="8"/>
    </row>
    <row r="22" spans="1:17" s="1321" customFormat="1" ht="15.75">
      <c r="A22" s="160" t="s">
        <v>2323</v>
      </c>
      <c r="B22" s="2961">
        <f xml:space="preserve"> HLOOKUP(GREET1_Import_Export!$B$687,$M$9:$Q$10,2,FALSE)/HLOOKUP(GREET1_Import_Export!$D$686,$M$7:$Q$8,2,FALSE)*HLOOKUP($D$3,$M$7:$Q$8,2,FALSE)/HLOOKUP($D$4,$M$9:$Q$10,2,FALSE)*(GREET1_Import_Export!$B706+GREET1_Import_Export!$C706)</f>
        <v>1.9933760862734115E-2</v>
      </c>
      <c r="C22" s="2739">
        <f ca="1">HLOOKUP($D$3,$M$7:$Q$8,2,FALSE)/HLOOKUP($D$4,$M$9:$Q$10,2,FALSE)*MHDV_Sum!$B146</f>
        <v>1.4124506554508092E-2</v>
      </c>
      <c r="D22" s="2739">
        <f>HLOOKUP(GREET1_Import_Export!$B$687,$M$9:$Q$10,2,FALSE)/HLOOKUP(GREET1_Import_Export!$D$686,$M$7:$Q$8,2,FALSE)*HLOOKUP($D$3,$M$7:$Q$8,2,FALSE)/HLOOKUP($D$4,$M$9:$Q$10,2,FALSE)*GREET1_Import_Export!$D706</f>
        <v>1.6634080236808423E-2</v>
      </c>
      <c r="E22" s="2619">
        <f t="shared" ca="1" si="2"/>
        <v>5.0692347654050632E-2</v>
      </c>
      <c r="F22" s="302">
        <f t="shared" ca="1" si="0"/>
        <v>0.3932301774376647</v>
      </c>
      <c r="G22" s="302">
        <f t="shared" ca="1" si="0"/>
        <v>0.27863192785823676</v>
      </c>
      <c r="H22" s="302">
        <f t="shared" ca="1" si="0"/>
        <v>0.32813789470409854</v>
      </c>
      <c r="I22" s="152">
        <f t="shared" ca="1" si="0"/>
        <v>1</v>
      </c>
      <c r="J22" s="8"/>
    </row>
    <row r="23" spans="1:17" s="1321" customFormat="1" ht="15.75">
      <c r="A23" s="160" t="s">
        <v>2324</v>
      </c>
      <c r="B23" s="2961">
        <f xml:space="preserve"> HLOOKUP(GREET1_Import_Export!$B$687,$M$9:$Q$10,2,FALSE)/HLOOKUP(GREET1_Import_Export!$D$686,$M$7:$Q$8,2,FALSE)*HLOOKUP($D$3,$M$7:$Q$8,2,FALSE)/HLOOKUP($D$4,$M$9:$Q$10,2,FALSE)*(GREET1_Import_Export!$B707+GREET1_Import_Export!$C707)</f>
        <v>8.3161824048470084E-2</v>
      </c>
      <c r="C23" s="2739">
        <f ca="1">HLOOKUP($D$3,$M$7:$Q$8,2,FALSE)/HLOOKUP($D$4,$M$9:$Q$10,2,FALSE)*MHDV_Sum!$B147</f>
        <v>0.16102286218020917</v>
      </c>
      <c r="D23" s="2739">
        <f>HLOOKUP(GREET1_Import_Export!$B$687,$M$9:$Q$10,2,FALSE)/HLOOKUP(GREET1_Import_Export!$D$686,$M$7:$Q$8,2,FALSE)*HLOOKUP($D$3,$M$7:$Q$8,2,FALSE)/HLOOKUP($D$4,$M$9:$Q$10,2,FALSE)*GREET1_Import_Export!$D707</f>
        <v>9.8398059529739117E-3</v>
      </c>
      <c r="E23" s="2619">
        <f t="shared" ca="1" si="2"/>
        <v>0.25402449218165318</v>
      </c>
      <c r="F23" s="302">
        <f t="shared" ca="1" si="0"/>
        <v>0.32737718845236774</v>
      </c>
      <c r="G23" s="302">
        <f t="shared" ca="1" si="0"/>
        <v>0.63388715315317534</v>
      </c>
      <c r="H23" s="302">
        <f t="shared" ca="1" si="0"/>
        <v>3.8735658394456925E-2</v>
      </c>
      <c r="I23" s="152">
        <f t="shared" ca="1" si="0"/>
        <v>1</v>
      </c>
      <c r="J23" s="8"/>
    </row>
    <row r="24" spans="1:17" s="1321" customFormat="1">
      <c r="A24" s="160" t="s">
        <v>885</v>
      </c>
      <c r="B24" s="2961">
        <f xml:space="preserve"> HLOOKUP(GREET1_Import_Export!$B$687,$M$9:$Q$10,2,FALSE)/HLOOKUP(GREET1_Import_Export!$D$686,$M$7:$Q$8,2,FALSE)*HLOOKUP($D$3,$M$7:$Q$8,2,FALSE)/HLOOKUP($D$4,$M$9:$Q$10,2,FALSE)*(GREET1_Import_Export!$B708+GREET1_Import_Export!$C708)</f>
        <v>3.0849368550869491E-3</v>
      </c>
      <c r="C24" s="2739">
        <f ca="1">HLOOKUP($D$3,$M$7:$Q$8,2,FALSE)/HLOOKUP($D$4,$M$9:$Q$10,2,FALSE)*MHDV_Sum!$B148</f>
        <v>4.2784309653102489E-4</v>
      </c>
      <c r="D24" s="2739">
        <f>HLOOKUP(GREET1_Import_Export!$B$687,$M$9:$Q$10,2,FALSE)/HLOOKUP(GREET1_Import_Export!$D$686,$M$7:$Q$8,2,FALSE)*HLOOKUP($D$3,$M$7:$Q$8,2,FALSE)/HLOOKUP($D$4,$M$9:$Q$10,2,FALSE)*GREET1_Import_Export!$D708</f>
        <v>2.1350928479191645E-3</v>
      </c>
      <c r="E24" s="2619">
        <f t="shared" ca="1" si="2"/>
        <v>5.6478727995371378E-3</v>
      </c>
      <c r="F24" s="302">
        <f t="shared" ca="1" si="0"/>
        <v>0.54621216953394736</v>
      </c>
      <c r="G24" s="302">
        <f t="shared" ca="1" si="0"/>
        <v>7.5752962525304765E-2</v>
      </c>
      <c r="H24" s="302">
        <f t="shared" ca="1" si="0"/>
        <v>0.37803486794074798</v>
      </c>
      <c r="I24" s="152">
        <f t="shared" ca="1" si="0"/>
        <v>1</v>
      </c>
      <c r="J24" s="8"/>
    </row>
    <row r="25" spans="1:17" s="1321" customFormat="1">
      <c r="A25" s="160" t="s">
        <v>886</v>
      </c>
      <c r="B25" s="2961">
        <f xml:space="preserve"> HLOOKUP(GREET1_Import_Export!$B$687,$M$9:$Q$10,2,FALSE)/HLOOKUP(GREET1_Import_Export!$D$686,$M$7:$Q$8,2,FALSE)*HLOOKUP($D$3,$M$7:$Q$8,2,FALSE)/HLOOKUP($D$4,$M$9:$Q$10,2,FALSE)*(GREET1_Import_Export!$B709+GREET1_Import_Export!$C709)</f>
        <v>5.4207257472235152E-3</v>
      </c>
      <c r="C25" s="2739">
        <f ca="1">HLOOKUP($D$3,$M$7:$Q$8,2,FALSE)/HLOOKUP($D$4,$M$9:$Q$10,2,FALSE)*MHDV_Sum!$B149</f>
        <v>8.5989923911074435E-4</v>
      </c>
      <c r="D25" s="2739">
        <f>HLOOKUP(GREET1_Import_Export!$B$687,$M$9:$Q$10,2,FALSE)/HLOOKUP(GREET1_Import_Export!$D$686,$M$7:$Q$8,2,FALSE)*HLOOKUP($D$3,$M$7:$Q$8,2,FALSE)/HLOOKUP($D$4,$M$9:$Q$10,2,FALSE)*GREET1_Import_Export!$D709</f>
        <v>3.1327831529812155E-3</v>
      </c>
      <c r="E25" s="2619">
        <f t="shared" ca="1" si="2"/>
        <v>9.4134081393154739E-3</v>
      </c>
      <c r="F25" s="302">
        <f t="shared" ca="1" si="0"/>
        <v>0.57585155843648572</v>
      </c>
      <c r="G25" s="302">
        <f t="shared" ca="1" si="0"/>
        <v>9.1348343382599229E-2</v>
      </c>
      <c r="H25" s="302">
        <f t="shared" ca="1" si="0"/>
        <v>0.33280009818091516</v>
      </c>
      <c r="I25" s="152">
        <f t="shared" ca="1" si="0"/>
        <v>1</v>
      </c>
      <c r="J25" s="8"/>
    </row>
    <row r="26" spans="1:17" s="1321" customFormat="1">
      <c r="A26" s="160" t="s">
        <v>890</v>
      </c>
      <c r="B26" s="2961">
        <f xml:space="preserve"> HLOOKUP(GREET1_Import_Export!$B$687,$M$9:$Q$10,2,FALSE)/HLOOKUP(GREET1_Import_Export!$D$686,$M$7:$Q$8,2,FALSE)*HLOOKUP($D$3,$M$7:$Q$8,2,FALSE)/HLOOKUP($D$4,$M$9:$Q$10,2,FALSE)*(GREET1_Import_Export!$B710+GREET1_Import_Export!$C710)</f>
        <v>4.9925908584478325E-2</v>
      </c>
      <c r="C26" s="2739">
        <f ca="1">HLOOKUP($D$3,$M$7:$Q$8,2,FALSE)/HLOOKUP($D$4,$M$9:$Q$10,2,FALSE)*MHDV_Sum!$B150</f>
        <v>4.4427041359450255E-2</v>
      </c>
      <c r="D26" s="2739">
        <f>HLOOKUP(GREET1_Import_Export!$B$687,$M$9:$Q$10,2,FALSE)/HLOOKUP(GREET1_Import_Export!$D$686,$M$7:$Q$8,2,FALSE)*HLOOKUP($D$3,$M$7:$Q$8,2,FALSE)/HLOOKUP($D$4,$M$9:$Q$10,2,FALSE)*GREET1_Import_Export!$D710</f>
        <v>5.2078259973405115E-3</v>
      </c>
      <c r="E26" s="2619">
        <f t="shared" ca="1" si="2"/>
        <v>9.9560775941269095E-2</v>
      </c>
      <c r="F26" s="302">
        <f t="shared" ca="1" si="0"/>
        <v>0.50146162595126442</v>
      </c>
      <c r="G26" s="302">
        <f t="shared" ca="1" si="0"/>
        <v>0.44623036471368771</v>
      </c>
      <c r="H26" s="302">
        <f t="shared" ca="1" si="0"/>
        <v>5.2308009335047853E-2</v>
      </c>
      <c r="I26" s="152">
        <f t="shared" ca="1" si="0"/>
        <v>1</v>
      </c>
      <c r="J26" s="8"/>
    </row>
    <row r="27" spans="1:17" s="1321" customFormat="1">
      <c r="A27" s="160" t="s">
        <v>891</v>
      </c>
      <c r="B27" s="2961">
        <f xml:space="preserve"> HLOOKUP(GREET1_Import_Export!$B$687,$M$9:$Q$10,2,FALSE)/HLOOKUP(GREET1_Import_Export!$D$686,$M$7:$Q$8,2,FALSE)*HLOOKUP($D$3,$M$7:$Q$8,2,FALSE)/HLOOKUP($D$4,$M$9:$Q$10,2,FALSE)*(GREET1_Import_Export!$B711+GREET1_Import_Export!$C711)</f>
        <v>3.2550704503490957E-2</v>
      </c>
      <c r="C27" s="2739">
        <f ca="1">HLOOKUP($D$3,$M$7:$Q$8,2,FALSE)/HLOOKUP($D$4,$M$9:$Q$10,2,FALSE)*MHDV_Sum!$B151</f>
        <v>2.1996839993797938E-3</v>
      </c>
      <c r="D27" s="2739">
        <f>HLOOKUP(GREET1_Import_Export!$B$687,$M$9:$Q$10,2,FALSE)/HLOOKUP(GREET1_Import_Export!$D$686,$M$7:$Q$8,2,FALSE)*HLOOKUP($D$3,$M$7:$Q$8,2,FALSE)/HLOOKUP($D$4,$M$9:$Q$10,2,FALSE)*GREET1_Import_Export!$D711</f>
        <v>0.14495046116112573</v>
      </c>
      <c r="E27" s="2619">
        <f t="shared" ca="1" si="2"/>
        <v>0.17970084966399646</v>
      </c>
      <c r="F27" s="302">
        <f t="shared" ca="1" si="0"/>
        <v>0.18113828935341186</v>
      </c>
      <c r="G27" s="302">
        <f t="shared" ca="1" si="0"/>
        <v>1.2240810232632451E-2</v>
      </c>
      <c r="H27" s="302">
        <f t="shared" ca="1" si="0"/>
        <v>0.80662090041395573</v>
      </c>
      <c r="I27" s="152">
        <f t="shared" ca="1" si="0"/>
        <v>1</v>
      </c>
      <c r="J27" s="8"/>
    </row>
    <row r="28" spans="1:17" s="1321" customFormat="1" ht="15.75">
      <c r="A28" s="160" t="s">
        <v>2325</v>
      </c>
      <c r="B28" s="2961">
        <f xml:space="preserve"> HLOOKUP(GREET1_Import_Export!$B$687,$M$9:$Q$10,2,FALSE)/HLOOKUP(GREET1_Import_Export!$D$686,$M$7:$Q$8,2,FALSE)*HLOOKUP($D$3,$M$7:$Q$8,2,FALSE)/HLOOKUP($D$4,$M$9:$Q$10,2,FALSE)*(GREET1_Import_Export!$B712+GREET1_Import_Export!$C712)</f>
        <v>5.0533459822612779E-2</v>
      </c>
      <c r="C28" s="2739">
        <f ca="1">HLOOKUP($D$3,$M$7:$Q$8,2,FALSE)/HLOOKUP($D$4,$M$9:$Q$10,2,FALSE)*MHDV_Sum!$B152</f>
        <v>6.3740443034857562E-3</v>
      </c>
      <c r="D28" s="2739">
        <f>HLOOKUP(GREET1_Import_Export!$B$687,$M$9:$Q$10,2,FALSE)/HLOOKUP(GREET1_Import_Export!$D$686,$M$7:$Q$8,2,FALSE)*HLOOKUP($D$3,$M$7:$Q$8,2,FALSE)/HLOOKUP($D$4,$M$9:$Q$10,2,FALSE)*GREET1_Import_Export!$D712</f>
        <v>9.0974778228590278E-2</v>
      </c>
      <c r="E28" s="2619">
        <f t="shared" ca="1" si="2"/>
        <v>0.14788228235468881</v>
      </c>
      <c r="F28" s="302">
        <f t="shared" ca="1" si="0"/>
        <v>0.34171409189784219</v>
      </c>
      <c r="G28" s="302">
        <f t="shared" ca="1" si="0"/>
        <v>4.310214991271169E-2</v>
      </c>
      <c r="H28" s="302">
        <f t="shared" ca="1" si="0"/>
        <v>0.61518375818944615</v>
      </c>
      <c r="I28" s="152">
        <f t="shared" ca="1" si="0"/>
        <v>1</v>
      </c>
      <c r="J28" s="8"/>
    </row>
    <row r="29" spans="1:17" s="1321" customFormat="1" ht="15.75">
      <c r="A29" s="160" t="s">
        <v>2326</v>
      </c>
      <c r="B29" s="2961">
        <f xml:space="preserve"> HLOOKUP(GREET1_Import_Export!$B$687,$M$9:$Q$10,2,FALSE)/HLOOKUP(GREET1_Import_Export!$D$686,$M$7:$Q$8,2,FALSE)*HLOOKUP($D$3,$M$7:$Q$8,2,FALSE)/HLOOKUP($D$4,$M$9:$Q$10,2,FALSE)*(GREET1_Import_Export!$B713+GREET1_Import_Export!$C713)</f>
        <v>8.9887294842032756E-3</v>
      </c>
      <c r="C29" s="2739">
        <f ca="1">HLOOKUP($D$3,$M$7:$Q$8,2,FALSE)/HLOOKUP($D$4,$M$9:$Q$10,2,FALSE)*MHDV_Sum!$B153</f>
        <v>8.7893473112315513E-4</v>
      </c>
      <c r="D29" s="2739">
        <f>HLOOKUP(GREET1_Import_Export!$B$687,$M$9:$Q$10,2,FALSE)/HLOOKUP(GREET1_Import_Export!$D$686,$M$7:$Q$8,2,FALSE)*HLOOKUP($D$3,$M$7:$Q$8,2,FALSE)/HLOOKUP($D$4,$M$9:$Q$10,2,FALSE)*GREET1_Import_Export!$D713</f>
        <v>4.8750948483422098E-3</v>
      </c>
      <c r="E29" s="2619">
        <f t="shared" ca="1" si="2"/>
        <v>1.4742759063668641E-2</v>
      </c>
      <c r="F29" s="302">
        <f t="shared" ca="1" si="0"/>
        <v>0.60970469946529049</v>
      </c>
      <c r="G29" s="302">
        <f t="shared" ca="1" si="0"/>
        <v>5.961806248934505E-2</v>
      </c>
      <c r="H29" s="302">
        <f t="shared" ca="1" si="0"/>
        <v>0.33067723804536447</v>
      </c>
      <c r="I29" s="152">
        <f t="shared" ca="1" si="0"/>
        <v>1</v>
      </c>
      <c r="J29" s="8"/>
      <c r="Q29" s="1321" t="s">
        <v>1934</v>
      </c>
    </row>
    <row r="30" spans="1:17" s="1321" customFormat="1" ht="15.75">
      <c r="A30" s="160" t="s">
        <v>2327</v>
      </c>
      <c r="B30" s="2961">
        <f xml:space="preserve"> HLOOKUP(GREET1_Import_Export!$B$687,$M$9:$Q$10,2,FALSE)/HLOOKUP(GREET1_Import_Export!$D$686,$M$7:$Q$8,2,FALSE)*HLOOKUP($D$3,$M$7:$Q$8,2,FALSE)/HLOOKUP($D$4,$M$9:$Q$10,2,FALSE)*(GREET1_Import_Export!$B714+GREET1_Import_Export!$C714)</f>
        <v>7.7568830920713254E-3</v>
      </c>
      <c r="C30" s="2739">
        <f ca="1">HLOOKUP($D$3,$M$7:$Q$8,2,FALSE)/HLOOKUP($D$4,$M$9:$Q$10,2,FALSE)*MHDV_Sum!$B154</f>
        <v>6.1542067829266508E-4</v>
      </c>
      <c r="D30" s="2739">
        <f>HLOOKUP(GREET1_Import_Export!$B$687,$M$9:$Q$10,2,FALSE)/HLOOKUP(GREET1_Import_Export!$D$686,$M$7:$Q$8,2,FALSE)*HLOOKUP($D$3,$M$7:$Q$8,2,FALSE)/HLOOKUP($D$4,$M$9:$Q$10,2,FALSE)*GREET1_Import_Export!$D714</f>
        <v>8.3170401184042117E-4</v>
      </c>
      <c r="E30" s="2619">
        <f t="shared" ca="1" si="2"/>
        <v>9.2040077822044125E-3</v>
      </c>
      <c r="F30" s="302">
        <f t="shared" ca="1" si="0"/>
        <v>0.84277233088274373</v>
      </c>
      <c r="G30" s="302">
        <f t="shared" ca="1" si="0"/>
        <v>6.686442393959692E-2</v>
      </c>
      <c r="H30" s="302">
        <f t="shared" ca="1" si="0"/>
        <v>9.0363245177659257E-2</v>
      </c>
      <c r="I30" s="152">
        <f t="shared" ca="1" si="0"/>
        <v>1</v>
      </c>
      <c r="J30" s="8"/>
    </row>
    <row r="31" spans="1:17" s="1321" customFormat="1" ht="15.75">
      <c r="A31" s="160" t="s">
        <v>2328</v>
      </c>
      <c r="B31" s="2961">
        <f xml:space="preserve"> HLOOKUP(GREET1_Import_Export!$B$687,$M$9:$Q$10,2,FALSE)/HLOOKUP(GREET1_Import_Export!$D$686,$M$7:$Q$8,2,FALSE)*HLOOKUP($D$3,$M$7:$Q$8,2,FALSE)/HLOOKUP($D$4,$M$9:$Q$10,2,FALSE)*(GREET1_Import_Export!$B715+GREET1_Import_Export!$C715)</f>
        <v>1.756273090532897E-2</v>
      </c>
      <c r="C31" s="2739">
        <f ca="1">HLOOKUP($D$3,$M$7:$Q$8,2,FALSE)/HLOOKUP($D$4,$M$9:$Q$10,2,FALSE)*MHDV_Sum!$B155</f>
        <v>8.5722561051211135E-3</v>
      </c>
      <c r="D31" s="2739">
        <f>HLOOKUP(GREET1_Import_Export!$B$687,$M$9:$Q$10,2,FALSE)/HLOOKUP(GREET1_Import_Export!$D$686,$M$7:$Q$8,2,FALSE)*HLOOKUP($D$3,$M$7:$Q$8,2,FALSE)/HLOOKUP($D$4,$M$9:$Q$10,2,FALSE)*GREET1_Import_Export!$D715</f>
        <v>4.9199029764869561E-4</v>
      </c>
      <c r="E31" s="2619">
        <f t="shared" ca="1" si="2"/>
        <v>2.6626977308098779E-2</v>
      </c>
      <c r="F31" s="302">
        <f t="shared" ca="1" si="0"/>
        <v>0.6595841015715721</v>
      </c>
      <c r="G31" s="302">
        <f t="shared" ca="1" si="0"/>
        <v>0.32193876180282027</v>
      </c>
      <c r="H31" s="302">
        <f t="shared" ca="1" si="0"/>
        <v>1.8477136625607644E-2</v>
      </c>
      <c r="I31" s="152">
        <f t="shared" ca="1" si="0"/>
        <v>1</v>
      </c>
      <c r="J31" s="8"/>
    </row>
    <row r="32" spans="1:17" s="1321" customFormat="1">
      <c r="A32" s="160" t="s">
        <v>896</v>
      </c>
      <c r="B32" s="2961">
        <f xml:space="preserve"> HLOOKUP(GREET1_Import_Export!$B$687,$M$9:$Q$10,2,FALSE)/HLOOKUP(GREET1_Import_Export!$D$686,$M$7:$Q$8,2,FALSE)*HLOOKUP($D$3,$M$7:$Q$8,2,FALSE)/HLOOKUP($D$4,$M$9:$Q$10,2,FALSE)*(GREET1_Import_Export!$B716+GREET1_Import_Export!$C716)</f>
        <v>9.8698321214679978E-4</v>
      </c>
      <c r="C32" s="2739">
        <f ca="1">HLOOKUP($D$3,$M$7:$Q$8,2,FALSE)/HLOOKUP($D$4,$M$9:$Q$10,2,FALSE)*MHDV_Sum!$B156</f>
        <v>3.9852720901523763E-5</v>
      </c>
      <c r="D32" s="2739">
        <f>HLOOKUP(GREET1_Import_Export!$B$687,$M$9:$Q$10,2,FALSE)/HLOOKUP(GREET1_Import_Export!$D$686,$M$7:$Q$8,2,FALSE)*HLOOKUP($D$3,$M$7:$Q$8,2,FALSE)/HLOOKUP($D$4,$M$9:$Q$10,2,FALSE)*GREET1_Import_Export!$D716</f>
        <v>1.0675464239595823E-4</v>
      </c>
      <c r="E32" s="2619">
        <f t="shared" ca="1" si="2"/>
        <v>1.1335905754442817E-3</v>
      </c>
      <c r="F32" s="302">
        <f t="shared" ca="1" si="0"/>
        <v>0.87066991692302753</v>
      </c>
      <c r="G32" s="302">
        <f t="shared" ca="1" si="0"/>
        <v>3.5156185808888289E-2</v>
      </c>
      <c r="H32" s="302">
        <f t="shared" ca="1" si="0"/>
        <v>9.41738972680842E-2</v>
      </c>
      <c r="I32" s="152">
        <f t="shared" ca="1" si="0"/>
        <v>1</v>
      </c>
      <c r="J32" s="8"/>
    </row>
    <row r="33" spans="1:10" s="1321" customFormat="1">
      <c r="A33" s="161" t="s">
        <v>897</v>
      </c>
      <c r="B33" s="2962">
        <f xml:space="preserve"> HLOOKUP(GREET1_Import_Export!$B$687,$M$9:$Q$10,2,FALSE)/HLOOKUP(GREET1_Import_Export!$D$686,$M$7:$Q$8,2,FALSE)*HLOOKUP($D$3,$M$7:$Q$8,2,FALSE)/HLOOKUP($D$4,$M$9:$Q$10,2,FALSE)*(GREET1_Import_Export!$B717+GREET1_Import_Export!$C717)</f>
        <v>1.3971104013535505E-3</v>
      </c>
      <c r="C33" s="2741">
        <f ca="1">HLOOKUP($D$3,$M$7:$Q$8,2,FALSE)/HLOOKUP($D$4,$M$9:$Q$10,2,FALSE)*MHDV_Sum!$B157</f>
        <v>9.4418407419932633E-5</v>
      </c>
      <c r="D33" s="2741">
        <f>HLOOKUP(GREET1_Import_Export!$B$687,$M$9:$Q$10,2,FALSE)/HLOOKUP(GREET1_Import_Export!$D$686,$M$7:$Q$8,2,FALSE)*HLOOKUP($D$3,$M$7:$Q$8,2,FALSE)/HLOOKUP($D$4,$M$9:$Q$10,2,FALSE)*GREET1_Import_Export!$D717</f>
        <v>1.5663915764906077E-4</v>
      </c>
      <c r="E33" s="2963">
        <f t="shared" ca="1" si="2"/>
        <v>1.6481679664225438E-3</v>
      </c>
      <c r="F33" s="1020">
        <f t="shared" ca="1" si="0"/>
        <v>0.84767476969357058</v>
      </c>
      <c r="G33" s="1020">
        <f t="shared" ca="1" si="0"/>
        <v>5.7286884191102165E-2</v>
      </c>
      <c r="H33" s="1020">
        <f t="shared" ca="1" si="0"/>
        <v>9.5038346115327244E-2</v>
      </c>
      <c r="I33" s="154">
        <f t="shared" ca="1" si="0"/>
        <v>1</v>
      </c>
      <c r="J33" s="8"/>
    </row>
    <row r="34" spans="1:10" s="1321" customFormat="1">
      <c r="A34" s="8"/>
      <c r="B34" s="8"/>
      <c r="C34" s="8"/>
      <c r="D34" s="8"/>
      <c r="E34" s="8"/>
      <c r="F34" s="302"/>
      <c r="G34" s="302"/>
      <c r="H34" s="302"/>
      <c r="I34" s="8"/>
      <c r="J34" s="8"/>
    </row>
    <row r="35" spans="1:10" s="1321" customFormat="1">
      <c r="A35" s="63" t="s">
        <v>2693</v>
      </c>
      <c r="B35" s="2959"/>
      <c r="C35" s="2959"/>
      <c r="D35" s="2959"/>
      <c r="E35" s="2959"/>
      <c r="F35" s="2959"/>
      <c r="G35" s="2959"/>
      <c r="H35" s="2959"/>
      <c r="I35" s="8"/>
      <c r="J35" s="8"/>
    </row>
    <row r="36" spans="1:10" s="1321" customFormat="1">
      <c r="A36" s="80"/>
      <c r="B36" s="2984" t="str">
        <f>$B$3&amp;"/"&amp;$D$4&amp;" or "&amp;$D$3&amp;"/"&amp;$D$4</f>
        <v>Btu/mile or g/mile</v>
      </c>
      <c r="C36" s="2985"/>
      <c r="D36" s="2985"/>
      <c r="E36" s="3004"/>
      <c r="F36" s="2987" t="s">
        <v>1890</v>
      </c>
      <c r="G36" s="2987"/>
      <c r="H36" s="2987"/>
      <c r="I36" s="3181"/>
    </row>
    <row r="37" spans="1:10" s="1321" customFormat="1" ht="25.5">
      <c r="A37" s="2463" t="s">
        <v>1923</v>
      </c>
      <c r="B37" s="2458" t="s">
        <v>1924</v>
      </c>
      <c r="C37" s="742" t="s">
        <v>1925</v>
      </c>
      <c r="D37" s="742" t="s">
        <v>1926</v>
      </c>
      <c r="E37" s="873" t="s">
        <v>1894</v>
      </c>
      <c r="F37" s="1726" t="s">
        <v>1924</v>
      </c>
      <c r="G37" s="1726" t="s">
        <v>1925</v>
      </c>
      <c r="H37" s="1726" t="s">
        <v>1926</v>
      </c>
      <c r="I37" s="1727" t="s">
        <v>1894</v>
      </c>
    </row>
    <row r="38" spans="1:10" s="1321" customFormat="1">
      <c r="A38" s="80" t="s">
        <v>876</v>
      </c>
      <c r="B38" s="1880">
        <f xml:space="preserve"> HLOOKUP(GREET1_Import_Export!$B$687,$M$9:$Q$10,2,FALSE)/HLOOKUP(GREET1_Import_Export!$B$686,$M$5:$Q$6,2,FALSE)*HLOOKUP($B$3,$M$5:$Q$6,2,FALSE)/HLOOKUP($D$4,$M$9:$Q$10,2,FALSE)*(GREET1_Import_Export!$H692+GREET1_Import_Export!$I692)</f>
        <v>3225.5201399801394</v>
      </c>
      <c r="C38" s="1881">
        <f ca="1">HLOOKUP($B$3,$M$5:$Q$6,2,FALSE)/HLOOKUP($D$4,$M$9:$Q$10,2,FALSE)*MHDV_Sum!$C131</f>
        <v>972.84486523608598</v>
      </c>
      <c r="D38" s="1881">
        <f>HLOOKUP(GREET1_Import_Export!$B$687,$M$9:$Q$10,2,FALSE)/HLOOKUP(GREET1_Import_Export!$B$686,$M$5:$Q$6,2,FALSE)*HLOOKUP($B$3,$M$5:$Q$6,2,FALSE)/HLOOKUP($D$4,$M$9:$Q$10,2,FALSE)*GREET1_Import_Export!$J692</f>
        <v>17658.93063821282</v>
      </c>
      <c r="E38" s="1882">
        <f t="shared" ref="E38:E63" ca="1" si="3">SUM(B38:D38)</f>
        <v>21857.295643429046</v>
      </c>
      <c r="F38" s="302">
        <f t="shared" ref="F38:I63" ca="1" si="4">B38/$E38</f>
        <v>0.14757178530226026</v>
      </c>
      <c r="G38" s="302">
        <f t="shared" ca="1" si="4"/>
        <v>4.4508931073023762E-2</v>
      </c>
      <c r="H38" s="302">
        <f t="shared" ca="1" si="4"/>
        <v>0.80791928362471599</v>
      </c>
      <c r="I38" s="180">
        <f t="shared" ca="1" si="4"/>
        <v>1</v>
      </c>
    </row>
    <row r="39" spans="1:10" s="1321" customFormat="1">
      <c r="A39" s="173" t="s">
        <v>877</v>
      </c>
      <c r="B39" s="250">
        <f xml:space="preserve"> HLOOKUP(GREET1_Import_Export!$B$687,$M$9:$Q$10,2,FALSE)/HLOOKUP(GREET1_Import_Export!$B$686,$M$5:$Q$6,2,FALSE)*HLOOKUP($B$3,$M$5:$Q$6,2,FALSE)/HLOOKUP($D$4,$M$9:$Q$10,2,FALSE)*(GREET1_Import_Export!$H693+GREET1_Import_Export!$I693)</f>
        <v>3124.9622476714458</v>
      </c>
      <c r="C39" s="631">
        <f ca="1">HLOOKUP($B$3,$M$5:$Q$6,2,FALSE)/HLOOKUP($D$4,$M$9:$Q$10,2,FALSE)*MHDV_Sum!$C132</f>
        <v>857.90229718089154</v>
      </c>
      <c r="D39" s="631">
        <f>HLOOKUP(GREET1_Import_Export!$B$687,$M$9:$Q$10,2,FALSE)/HLOOKUP(GREET1_Import_Export!$B$686,$M$5:$Q$6,2,FALSE)*HLOOKUP($B$3,$M$5:$Q$6,2,FALSE)/HLOOKUP($D$4,$M$9:$Q$10,2,FALSE)*GREET1_Import_Export!$J693</f>
        <v>17658.93063821282</v>
      </c>
      <c r="E39" s="245">
        <f t="shared" ca="1" si="3"/>
        <v>21641.795183065158</v>
      </c>
      <c r="F39" s="302">
        <f t="shared" ca="1" si="4"/>
        <v>0.14439477969539</v>
      </c>
      <c r="G39" s="302">
        <f t="shared" ca="1" si="4"/>
        <v>3.9640995117272225E-2</v>
      </c>
      <c r="H39" s="302">
        <f t="shared" ca="1" si="4"/>
        <v>0.81596422518733769</v>
      </c>
      <c r="I39" s="128">
        <f t="shared" ca="1" si="4"/>
        <v>1</v>
      </c>
    </row>
    <row r="40" spans="1:10" s="1321" customFormat="1">
      <c r="A40" s="173" t="s">
        <v>442</v>
      </c>
      <c r="B40" s="250">
        <f xml:space="preserve"> HLOOKUP(GREET1_Import_Export!$B$687,$M$9:$Q$10,2,FALSE)/HLOOKUP(GREET1_Import_Export!$B$686,$M$5:$Q$6,2,FALSE)*HLOOKUP($B$3,$M$5:$Q$6,2,FALSE)/HLOOKUP($D$4,$M$9:$Q$10,2,FALSE)*(GREET1_Import_Export!$H694+GREET1_Import_Export!$I694)</f>
        <v>127.66641258866873</v>
      </c>
      <c r="C40" s="631">
        <f ca="1">HLOOKUP($B$3,$M$5:$Q$6,2,FALSE)/HLOOKUP($D$4,$M$9:$Q$10,2,FALSE)*MHDV_Sum!$C133</f>
        <v>256.0196214777481</v>
      </c>
      <c r="D40" s="631">
        <f>HLOOKUP(GREET1_Import_Export!$B$687,$M$9:$Q$10,2,FALSE)/HLOOKUP(GREET1_Import_Export!$B$686,$M$5:$Q$6,2,FALSE)*HLOOKUP($B$3,$M$5:$Q$6,2,FALSE)/HLOOKUP($D$4,$M$9:$Q$10,2,FALSE)*GREET1_Import_Export!$J694</f>
        <v>0</v>
      </c>
      <c r="E40" s="245">
        <f t="shared" ca="1" si="3"/>
        <v>383.68603406641682</v>
      </c>
      <c r="F40" s="302">
        <f t="shared" ca="1" si="4"/>
        <v>0.33273666814406233</v>
      </c>
      <c r="G40" s="302">
        <f t="shared" ca="1" si="4"/>
        <v>0.66726333185593767</v>
      </c>
      <c r="H40" s="302">
        <f t="shared" ca="1" si="4"/>
        <v>0</v>
      </c>
      <c r="I40" s="128">
        <f t="shared" ca="1" si="4"/>
        <v>1</v>
      </c>
    </row>
    <row r="41" spans="1:10" s="1321" customFormat="1">
      <c r="A41" s="173" t="s">
        <v>878</v>
      </c>
      <c r="B41" s="250">
        <f xml:space="preserve"> HLOOKUP(GREET1_Import_Export!$B$687,$M$9:$Q$10,2,FALSE)/HLOOKUP(GREET1_Import_Export!$B$686,$M$5:$Q$6,2,FALSE)*HLOOKUP($B$3,$M$5:$Q$6,2,FALSE)/HLOOKUP($D$4,$M$9:$Q$10,2,FALSE)*(GREET1_Import_Export!$H695+GREET1_Import_Export!$I695)</f>
        <v>2176.8229817190868</v>
      </c>
      <c r="C41" s="631">
        <f ca="1">HLOOKUP($B$3,$M$5:$Q$6,2,FALSE)/HLOOKUP($D$4,$M$9:$Q$10,2,FALSE)*MHDV_Sum!$C134</f>
        <v>394.03418119383252</v>
      </c>
      <c r="D41" s="631">
        <f>HLOOKUP(GREET1_Import_Export!$B$687,$M$9:$Q$10,2,FALSE)/HLOOKUP(GREET1_Import_Export!$B$686,$M$5:$Q$6,2,FALSE)*HLOOKUP($B$3,$M$5:$Q$6,2,FALSE)/HLOOKUP($D$4,$M$9:$Q$10,2,FALSE)*GREET1_Import_Export!$J695</f>
        <v>0</v>
      </c>
      <c r="E41" s="245">
        <f t="shared" ca="1" si="3"/>
        <v>2570.8571629129192</v>
      </c>
      <c r="F41" s="302">
        <f t="shared" ca="1" si="4"/>
        <v>0.84673042638146001</v>
      </c>
      <c r="G41" s="302">
        <f t="shared" ca="1" si="4"/>
        <v>0.15326957361853999</v>
      </c>
      <c r="H41" s="302">
        <f t="shared" ca="1" si="4"/>
        <v>0</v>
      </c>
      <c r="I41" s="128">
        <f t="shared" ca="1" si="4"/>
        <v>1</v>
      </c>
    </row>
    <row r="42" spans="1:10" s="1321" customFormat="1">
      <c r="A42" s="173" t="s">
        <v>440</v>
      </c>
      <c r="B42" s="250">
        <f xml:space="preserve"> HLOOKUP(GREET1_Import_Export!$B$687,$M$9:$Q$10,2,FALSE)/HLOOKUP(GREET1_Import_Export!$B$686,$M$5:$Q$6,2,FALSE)*HLOOKUP($B$3,$M$5:$Q$6,2,FALSE)/HLOOKUP($D$4,$M$9:$Q$10,2,FALSE)*(GREET1_Import_Export!$H696+GREET1_Import_Export!$I696)</f>
        <v>820.47285336369021</v>
      </c>
      <c r="C42" s="631">
        <f ca="1">HLOOKUP($B$3,$M$5:$Q$6,2,FALSE)/HLOOKUP($D$4,$M$9:$Q$10,2,FALSE)*MHDV_Sum!$C135</f>
        <v>207.84849450931085</v>
      </c>
      <c r="D42" s="631">
        <f>HLOOKUP(GREET1_Import_Export!$B$687,$M$9:$Q$10,2,FALSE)/HLOOKUP(GREET1_Import_Export!$B$686,$M$5:$Q$6,2,FALSE)*HLOOKUP($B$3,$M$5:$Q$6,2,FALSE)/HLOOKUP($D$4,$M$9:$Q$10,2,FALSE)*GREET1_Import_Export!$J696</f>
        <v>17658.93063821282</v>
      </c>
      <c r="E42" s="245">
        <f t="shared" ca="1" si="3"/>
        <v>18687.251986085819</v>
      </c>
      <c r="F42" s="302">
        <f t="shared" ca="1" si="4"/>
        <v>4.3905484550355457E-2</v>
      </c>
      <c r="G42" s="302">
        <f t="shared" ca="1" si="4"/>
        <v>1.1122475078950665E-2</v>
      </c>
      <c r="H42" s="302">
        <f t="shared" ca="1" si="4"/>
        <v>0.94497204037069393</v>
      </c>
      <c r="I42" s="128">
        <f t="shared" ca="1" si="4"/>
        <v>1</v>
      </c>
    </row>
    <row r="43" spans="1:10" s="1321" customFormat="1">
      <c r="A43" s="173" t="s">
        <v>819</v>
      </c>
      <c r="B43" s="234">
        <f xml:space="preserve"> HLOOKUP(GREET1_Import_Export!$B$687,$M$9:$Q$10,2,FALSE)/HLOOKUP(GREET1_Import_Export!$B$686,$M$5:$Q$6,2,FALSE)*HLOOKUP($B$3,$M$5:$Q$6,2,FALSE)/HLOOKUP($D$4,$M$9:$Q$10,2,FALSE)*(GREET1_Import_Export!$H697+GREET1_Import_Export!$I697)</f>
        <v>0.38512750036662863</v>
      </c>
      <c r="C43" s="1318">
        <f ca="1">HLOOKUP($B$3,$M$5:$Q$6,2,FALSE)/HLOOKUP($D$4,$M$9:$Q$10,2,FALSE)*MHDV_Sum!$C136</f>
        <v>6.3647322328008918E-2</v>
      </c>
      <c r="D43" s="1318">
        <f>HLOOKUP(GREET1_Import_Export!$B$687,$M$9:$Q$10,2,FALSE)/HLOOKUP(GREET1_Import_Export!$B$686,$M$5:$Q$6,2,FALSE)*HLOOKUP($B$3,$M$5:$Q$6,2,FALSE)/HLOOKUP($D$4,$M$9:$Q$10,2,FALSE)*GREET1_Import_Export!$J697</f>
        <v>0</v>
      </c>
      <c r="E43" s="235">
        <f t="shared" ca="1" si="3"/>
        <v>0.44877482269463753</v>
      </c>
      <c r="F43" s="302">
        <f t="shared" ca="1" si="4"/>
        <v>0.85817537190290016</v>
      </c>
      <c r="G43" s="302">
        <f t="shared" ca="1" si="4"/>
        <v>0.14182462809709989</v>
      </c>
      <c r="H43" s="302">
        <f t="shared" ca="1" si="4"/>
        <v>0</v>
      </c>
      <c r="I43" s="128">
        <f t="shared" ca="1" si="4"/>
        <v>1</v>
      </c>
    </row>
    <row r="44" spans="1:10" s="1321" customFormat="1" ht="15.75">
      <c r="A44" s="173" t="s">
        <v>2598</v>
      </c>
      <c r="B44" s="1767">
        <f xml:space="preserve"> HLOOKUP(GREET1_Import_Export!$B$687,$M$9:$Q$10,2,FALSE)/HLOOKUP(GREET1_Import_Export!$D$686,$M$7:$Q$8,2,FALSE)*HLOOKUP($D$3,$M$7:$Q$8,2,FALSE)/HLOOKUP($D$4,$M$9:$Q$10,2,FALSE)*(GREET1_Import_Export!$H698+GREET1_Import_Export!$I698)</f>
        <v>228.89820091692843</v>
      </c>
      <c r="C44" s="1759">
        <f ca="1">HLOOKUP($D$3,$M$7:$Q$8,2,FALSE)/HLOOKUP($D$4,$M$9:$Q$10,2,FALSE)*MHDV_Sum!$C138</f>
        <v>64.134704243632356</v>
      </c>
      <c r="D44" s="1759">
        <f>HLOOKUP(GREET1_Import_Export!$B$687,$M$9:$Q$10,2,FALSE)/HLOOKUP(GREET1_Import_Export!$D$686,$M$7:$Q$8,2,FALSE)*HLOOKUP($D$3,$M$7:$Q$8,2,FALSE)/HLOOKUP($D$4,$M$9:$Q$10,2,FALSE)*GREET1_Import_Export!$J698</f>
        <v>1396.2920915966611</v>
      </c>
      <c r="E44" s="1841">
        <f t="shared" ca="1" si="3"/>
        <v>1689.3249967572219</v>
      </c>
      <c r="F44" s="302">
        <f t="shared" ca="1" si="4"/>
        <v>0.1354968412569012</v>
      </c>
      <c r="G44" s="302">
        <f t="shared" ca="1" si="4"/>
        <v>3.7964692623825153E-2</v>
      </c>
      <c r="H44" s="302">
        <f t="shared" ca="1" si="4"/>
        <v>0.82653846611927362</v>
      </c>
      <c r="I44" s="128">
        <f t="shared" ca="1" si="4"/>
        <v>1</v>
      </c>
    </row>
    <row r="45" spans="1:10" s="1321" customFormat="1" ht="15.75">
      <c r="A45" s="173" t="s">
        <v>2320</v>
      </c>
      <c r="B45" s="1766">
        <f xml:space="preserve"> HLOOKUP(GREET1_Import_Export!$B$687,$M$9:$Q$10,2,FALSE)/HLOOKUP(GREET1_Import_Export!$D$686,$M$7:$Q$8,2,FALSE)*HLOOKUP($D$3,$M$7:$Q$8,2,FALSE)/HLOOKUP($D$4,$M$9:$Q$10,2,FALSE)*(GREET1_Import_Export!$H699+GREET1_Import_Export!$I699)</f>
        <v>1.9344662771048413</v>
      </c>
      <c r="C45" s="1771">
        <f ca="1">HLOOKUP($D$3,$M$7:$Q$8,2,FALSE)/HLOOKUP($D$4,$M$9:$Q$10,2,FALSE)*MHDV_Sum!$C139</f>
        <v>0.13452885707117765</v>
      </c>
      <c r="D45" s="1771">
        <f>HLOOKUP(GREET1_Import_Export!$B$687,$M$9:$Q$10,2,FALSE)/HLOOKUP(GREET1_Import_Export!$D$686,$M$7:$Q$8,2,FALSE)*HLOOKUP($D$3,$M$7:$Q$8,2,FALSE)/HLOOKUP($D$4,$M$9:$Q$10,2,FALSE)*GREET1_Import_Export!$J699</f>
        <v>1.4279963898586301E-2</v>
      </c>
      <c r="E45" s="1768">
        <f t="shared" ca="1" si="3"/>
        <v>2.0832750980746053</v>
      </c>
      <c r="F45" s="302">
        <f t="shared" ca="1" si="4"/>
        <v>0.92856976925068835</v>
      </c>
      <c r="G45" s="302">
        <f t="shared" ca="1" si="4"/>
        <v>6.4575656472595139E-2</v>
      </c>
      <c r="H45" s="302">
        <f t="shared" ca="1" si="4"/>
        <v>6.8545742767165321E-3</v>
      </c>
      <c r="I45" s="128">
        <f t="shared" ca="1" si="4"/>
        <v>1</v>
      </c>
    </row>
    <row r="46" spans="1:10" s="1321" customFormat="1" ht="15.75">
      <c r="A46" s="173" t="s">
        <v>2321</v>
      </c>
      <c r="B46" s="1766">
        <f xml:space="preserve"> HLOOKUP(GREET1_Import_Export!$B$687,$M$9:$Q$10,2,FALSE)/HLOOKUP(GREET1_Import_Export!$D$686,$M$7:$Q$8,2,FALSE)*HLOOKUP($D$3,$M$7:$Q$8,2,FALSE)/HLOOKUP($D$4,$M$9:$Q$10,2,FALSE)*(GREET1_Import_Export!$H700+GREET1_Import_Export!$I700)</f>
        <v>3.9300274886646305E-3</v>
      </c>
      <c r="C46" s="1771">
        <f ca="1">HLOOKUP($D$3,$M$7:$Q$8,2,FALSE)/HLOOKUP($D$4,$M$9:$Q$10,2,FALSE)*MHDV_Sum!$C140</f>
        <v>1.266011357056504E-3</v>
      </c>
      <c r="D46" s="1771">
        <f>HLOOKUP(GREET1_Import_Export!$B$687,$M$9:$Q$10,2,FALSE)/HLOOKUP(GREET1_Import_Export!$D$686,$M$7:$Q$8,2,FALSE)*HLOOKUP($D$3,$M$7:$Q$8,2,FALSE)/HLOOKUP($D$4,$M$9:$Q$10,2,FALSE)*GREET1_Import_Export!$J700</f>
        <v>1.9166453667045131E-3</v>
      </c>
      <c r="E46" s="1768">
        <f t="shared" ca="1" si="3"/>
        <v>7.1126842124256476E-3</v>
      </c>
      <c r="F46" s="302">
        <f t="shared" ca="1" si="4"/>
        <v>0.55253788461450171</v>
      </c>
      <c r="G46" s="302">
        <f t="shared" ca="1" si="4"/>
        <v>0.17799347183793424</v>
      </c>
      <c r="H46" s="302">
        <f t="shared" ca="1" si="4"/>
        <v>0.26946864354756406</v>
      </c>
      <c r="I46" s="128">
        <f t="shared" ca="1" si="4"/>
        <v>1</v>
      </c>
    </row>
    <row r="47" spans="1:10" s="1321" customFormat="1">
      <c r="A47" s="173" t="s">
        <v>1896</v>
      </c>
      <c r="B47" s="1767">
        <f xml:space="preserve"> HLOOKUP(GREET1_Import_Export!$B$687,$M$9:$Q$10,2,FALSE)/HLOOKUP(GREET1_Import_Export!$D$686,$M$7:$Q$8,2,FALSE)*HLOOKUP($D$3,$M$7:$Q$8,2,FALSE)/HLOOKUP($D$4,$M$9:$Q$10,2,FALSE)*(GREET1_Import_Export!$H701+GREET1_Import_Export!$I701)</f>
        <v>287.97364651456985</v>
      </c>
      <c r="C47" s="1759">
        <f ca="1">HLOOKUP($D$3,$M$7:$Q$8,2,FALSE)/HLOOKUP($D$4,$M$9:$Q$10,2,FALSE)*MHDV_Sum!$C141</f>
        <v>69.579187096497819</v>
      </c>
      <c r="D47" s="1759">
        <f>HLOOKUP(GREET1_Import_Export!$B$687,$M$9:$Q$10,2,FALSE)/HLOOKUP(GREET1_Import_Export!$D$686,$M$7:$Q$8,2,FALSE)*HLOOKUP($D$3,$M$7:$Q$8,2,FALSE)/HLOOKUP($D$4,$M$9:$Q$10,2,FALSE)*GREET1_Import_Export!$J701</f>
        <v>1397.2284015357955</v>
      </c>
      <c r="E47" s="1768">
        <f t="shared" ca="1" si="3"/>
        <v>1754.7812351468631</v>
      </c>
      <c r="F47" s="302">
        <f t="shared" ca="1" si="4"/>
        <v>0.16410800431796757</v>
      </c>
      <c r="G47" s="302">
        <f t="shared" ca="1" si="4"/>
        <v>3.9651203069010779E-2</v>
      </c>
      <c r="H47" s="302">
        <f t="shared" ca="1" si="4"/>
        <v>0.79624079261302172</v>
      </c>
      <c r="I47" s="128">
        <f t="shared" ca="1" si="4"/>
        <v>1</v>
      </c>
    </row>
    <row r="48" spans="1:10" s="1321" customFormat="1">
      <c r="A48" s="173" t="s">
        <v>879</v>
      </c>
      <c r="B48" s="1766">
        <f xml:space="preserve"> HLOOKUP(GREET1_Import_Export!$B$687,$M$9:$Q$10,2,FALSE)/HLOOKUP(GREET1_Import_Export!$D$686,$M$7:$Q$8,2,FALSE)*HLOOKUP($D$3,$M$7:$Q$8,2,FALSE)/HLOOKUP($D$4,$M$9:$Q$10,2,FALSE)*(GREET1_Import_Export!$H702+GREET1_Import_Export!$I702)</f>
        <v>0.13003081094346181</v>
      </c>
      <c r="C48" s="1771">
        <f ca="1">HLOOKUP($D$3,$M$7:$Q$8,2,FALSE)/HLOOKUP($D$4,$M$9:$Q$10,2,FALSE)*MHDV_Sum!$C142</f>
        <v>0.12761263258556327</v>
      </c>
      <c r="D48" s="1771">
        <f>HLOOKUP(GREET1_Import_Export!$B$687,$M$9:$Q$10,2,FALSE)/HLOOKUP(GREET1_Import_Export!$D$686,$M$7:$Q$8,2,FALSE)*HLOOKUP($D$3,$M$7:$Q$8,2,FALSE)/HLOOKUP($D$4,$M$9:$Q$10,2,FALSE)*GREET1_Import_Export!$J702</f>
        <v>0.10415651994681022</v>
      </c>
      <c r="E48" s="1768">
        <f t="shared" ca="1" si="3"/>
        <v>0.36179996347583532</v>
      </c>
      <c r="F48" s="302">
        <f t="shared" ca="1" si="4"/>
        <v>0.35939973485416504</v>
      </c>
      <c r="G48" s="302">
        <f t="shared" ca="1" si="4"/>
        <v>0.35271599079110061</v>
      </c>
      <c r="H48" s="302">
        <f t="shared" ca="1" si="4"/>
        <v>0.28788427435473429</v>
      </c>
      <c r="I48" s="128">
        <f t="shared" ca="1" si="4"/>
        <v>1</v>
      </c>
    </row>
    <row r="49" spans="1:9" s="1321" customFormat="1">
      <c r="A49" s="173" t="s">
        <v>880</v>
      </c>
      <c r="B49" s="1766">
        <f xml:space="preserve"> HLOOKUP(GREET1_Import_Export!$B$687,$M$9:$Q$10,2,FALSE)/HLOOKUP(GREET1_Import_Export!$D$686,$M$7:$Q$8,2,FALSE)*HLOOKUP($D$3,$M$7:$Q$8,2,FALSE)/HLOOKUP($D$4,$M$9:$Q$10,2,FALSE)*(GREET1_Import_Export!$H703+GREET1_Import_Export!$I703)</f>
        <v>0.20468880326176925</v>
      </c>
      <c r="C49" s="1771">
        <f ca="1">HLOOKUP($D$3,$M$7:$Q$8,2,FALSE)/HLOOKUP($D$4,$M$9:$Q$10,2,FALSE)*MHDV_Sum!$C143</f>
        <v>0.19230197078327452</v>
      </c>
      <c r="D49" s="1771">
        <f>HLOOKUP(GREET1_Import_Export!$B$687,$M$9:$Q$10,2,FALSE)/HLOOKUP(GREET1_Import_Export!$D$686,$M$7:$Q$8,2,FALSE)*HLOOKUP($D$3,$M$7:$Q$8,2,FALSE)/HLOOKUP($D$4,$M$9:$Q$10,2,FALSE)*GREET1_Import_Export!$J703</f>
        <v>1.4495046116112571</v>
      </c>
      <c r="E49" s="1768">
        <f t="shared" ca="1" si="3"/>
        <v>1.8464953856563009</v>
      </c>
      <c r="F49" s="302">
        <f t="shared" ca="1" si="4"/>
        <v>0.11085259397440443</v>
      </c>
      <c r="G49" s="302">
        <f t="shared" ca="1" si="4"/>
        <v>0.10414430075324803</v>
      </c>
      <c r="H49" s="302">
        <f t="shared" ca="1" si="4"/>
        <v>0.78500310527234751</v>
      </c>
      <c r="I49" s="128">
        <f t="shared" ca="1" si="4"/>
        <v>1</v>
      </c>
    </row>
    <row r="50" spans="1:9" s="1321" customFormat="1" ht="15.75">
      <c r="A50" s="173" t="s">
        <v>2599</v>
      </c>
      <c r="B50" s="1766">
        <f xml:space="preserve"> HLOOKUP(GREET1_Import_Export!$B$687,$M$9:$Q$10,2,FALSE)/HLOOKUP(GREET1_Import_Export!$D$686,$M$7:$Q$8,2,FALSE)*HLOOKUP($D$3,$M$7:$Q$8,2,FALSE)/HLOOKUP($D$4,$M$9:$Q$10,2,FALSE)*(GREET1_Import_Export!$H704+GREET1_Import_Export!$I704)</f>
        <v>0.31265758212522543</v>
      </c>
      <c r="C50" s="1771">
        <f ca="1">HLOOKUP($D$3,$M$7:$Q$8,2,FALSE)/HLOOKUP($D$4,$M$9:$Q$10,2,FALSE)*MHDV_Sum!$C144</f>
        <v>7.0614650473270521E-2</v>
      </c>
      <c r="D50" s="1771">
        <f>HLOOKUP(GREET1_Import_Export!$B$687,$M$9:$Q$10,2,FALSE)/HLOOKUP(GREET1_Import_Export!$D$686,$M$7:$Q$8,2,FALSE)*HLOOKUP($D$3,$M$7:$Q$8,2,FALSE)/HLOOKUP($D$4,$M$9:$Q$10,2,FALSE)*GREET1_Import_Export!$J704</f>
        <v>1.8194955645718054</v>
      </c>
      <c r="E50" s="1768">
        <f t="shared" ca="1" si="3"/>
        <v>2.2027677971703015</v>
      </c>
      <c r="F50" s="302">
        <f t="shared" ca="1" si="4"/>
        <v>0.14193851141589622</v>
      </c>
      <c r="G50" s="302">
        <f t="shared" ca="1" si="4"/>
        <v>3.2057237519080697E-2</v>
      </c>
      <c r="H50" s="302">
        <f t="shared" ca="1" si="4"/>
        <v>0.82600425106502307</v>
      </c>
      <c r="I50" s="128">
        <f t="shared" ca="1" si="4"/>
        <v>1</v>
      </c>
    </row>
    <row r="51" spans="1:9" s="1321" customFormat="1" ht="15.75">
      <c r="A51" s="173" t="s">
        <v>2322</v>
      </c>
      <c r="B51" s="1766">
        <f xml:space="preserve"> HLOOKUP(GREET1_Import_Export!$B$687,$M$9:$Q$10,2,FALSE)/HLOOKUP(GREET1_Import_Export!$D$686,$M$7:$Q$8,2,FALSE)*HLOOKUP($D$3,$M$7:$Q$8,2,FALSE)/HLOOKUP($D$4,$M$9:$Q$10,2,FALSE)*(GREET1_Import_Export!$H705+GREET1_Import_Export!$I705)</f>
        <v>2.283870760406153E-2</v>
      </c>
      <c r="C51" s="1771">
        <f ca="1">HLOOKUP($D$3,$M$7:$Q$8,2,FALSE)/HLOOKUP($D$4,$M$9:$Q$10,2,FALSE)*MHDV_Sum!$C145</f>
        <v>2.9289556066543952E-2</v>
      </c>
      <c r="D51" s="1771">
        <f>HLOOKUP(GREET1_Import_Export!$B$687,$M$9:$Q$10,2,FALSE)/HLOOKUP(GREET1_Import_Export!$D$686,$M$7:$Q$8,2,FALSE)*HLOOKUP($D$3,$M$7:$Q$8,2,FALSE)/HLOOKUP($D$4,$M$9:$Q$10,2,FALSE)*GREET1_Import_Export!$J705</f>
        <v>9.7501896966844193E-2</v>
      </c>
      <c r="E51" s="1768">
        <f t="shared" ca="1" si="3"/>
        <v>0.14963016063744966</v>
      </c>
      <c r="F51" s="302">
        <f t="shared" ca="1" si="4"/>
        <v>0.15263438538570562</v>
      </c>
      <c r="G51" s="302">
        <f t="shared" ca="1" si="4"/>
        <v>0.19574633845052036</v>
      </c>
      <c r="H51" s="302">
        <f t="shared" ca="1" si="4"/>
        <v>0.65161927616377413</v>
      </c>
      <c r="I51" s="128">
        <f t="shared" ca="1" si="4"/>
        <v>1</v>
      </c>
    </row>
    <row r="52" spans="1:9" s="1321" customFormat="1" ht="15.75">
      <c r="A52" s="173" t="s">
        <v>2323</v>
      </c>
      <c r="B52" s="1766">
        <f xml:space="preserve"> HLOOKUP(GREET1_Import_Export!$B$687,$M$9:$Q$10,2,FALSE)/HLOOKUP(GREET1_Import_Export!$D$686,$M$7:$Q$8,2,FALSE)*HLOOKUP($D$3,$M$7:$Q$8,2,FALSE)/HLOOKUP($D$4,$M$9:$Q$10,2,FALSE)*(GREET1_Import_Export!$H706+GREET1_Import_Export!$I706)</f>
        <v>1.9486071764650358E-2</v>
      </c>
      <c r="C52" s="1771">
        <f ca="1">HLOOKUP($D$3,$M$7:$Q$8,2,FALSE)/HLOOKUP($D$4,$M$9:$Q$10,2,FALSE)*MHDV_Sum!$C146</f>
        <v>1.441083448421895E-2</v>
      </c>
      <c r="D52" s="1771">
        <f>HLOOKUP(GREET1_Import_Export!$B$687,$M$9:$Q$10,2,FALSE)/HLOOKUP(GREET1_Import_Export!$D$686,$M$7:$Q$8,2,FALSE)*HLOOKUP($D$3,$M$7:$Q$8,2,FALSE)/HLOOKUP($D$4,$M$9:$Q$10,2,FALSE)*GREET1_Import_Export!$J706</f>
        <v>1.6634080236808423E-2</v>
      </c>
      <c r="E52" s="1768">
        <f t="shared" ca="1" si="3"/>
        <v>5.0530986485677727E-2</v>
      </c>
      <c r="F52" s="302">
        <f t="shared" ca="1" si="4"/>
        <v>0.38562618939120458</v>
      </c>
      <c r="G52" s="302">
        <f t="shared" ca="1" si="4"/>
        <v>0.28518806946908687</v>
      </c>
      <c r="H52" s="302">
        <f t="shared" ca="1" si="4"/>
        <v>0.32918574113970861</v>
      </c>
      <c r="I52" s="128">
        <f t="shared" ca="1" si="4"/>
        <v>1</v>
      </c>
    </row>
    <row r="53" spans="1:9" s="1321" customFormat="1" ht="15.75">
      <c r="A53" s="173" t="s">
        <v>2324</v>
      </c>
      <c r="B53" s="1766">
        <f xml:space="preserve"> HLOOKUP(GREET1_Import_Export!$B$687,$M$9:$Q$10,2,FALSE)/HLOOKUP(GREET1_Import_Export!$D$686,$M$7:$Q$8,2,FALSE)*HLOOKUP($D$3,$M$7:$Q$8,2,FALSE)/HLOOKUP($D$4,$M$9:$Q$10,2,FALSE)*(GREET1_Import_Export!$H707+GREET1_Import_Export!$I707)</f>
        <v>8.1294106147185255E-2</v>
      </c>
      <c r="C53" s="1771">
        <f ca="1">HLOOKUP($D$3,$M$7:$Q$8,2,FALSE)/HLOOKUP($D$4,$M$9:$Q$10,2,FALSE)*MHDV_Sum!$C147</f>
        <v>0.18277605842701364</v>
      </c>
      <c r="D53" s="1771">
        <f>HLOOKUP(GREET1_Import_Export!$B$687,$M$9:$Q$10,2,FALSE)/HLOOKUP(GREET1_Import_Export!$D$686,$M$7:$Q$8,2,FALSE)*HLOOKUP($D$3,$M$7:$Q$8,2,FALSE)/HLOOKUP($D$4,$M$9:$Q$10,2,FALSE)*GREET1_Import_Export!$J707</f>
        <v>9.6188153490060768E-3</v>
      </c>
      <c r="E53" s="1768">
        <f t="shared" ca="1" si="3"/>
        <v>0.27368897992320496</v>
      </c>
      <c r="F53" s="302">
        <f t="shared" ca="1" si="4"/>
        <v>0.29703098082354562</v>
      </c>
      <c r="G53" s="302">
        <f t="shared" ca="1" si="4"/>
        <v>0.66782396016931045</v>
      </c>
      <c r="H53" s="302">
        <f t="shared" ca="1" si="4"/>
        <v>3.5145059007143958E-2</v>
      </c>
      <c r="I53" s="128">
        <f t="shared" ca="1" si="4"/>
        <v>1</v>
      </c>
    </row>
    <row r="54" spans="1:9" s="1321" customFormat="1">
      <c r="A54" s="173" t="s">
        <v>885</v>
      </c>
      <c r="B54" s="1766">
        <f xml:space="preserve"> HLOOKUP(GREET1_Import_Export!$B$687,$M$9:$Q$10,2,FALSE)/HLOOKUP(GREET1_Import_Export!$D$686,$M$7:$Q$8,2,FALSE)*HLOOKUP($D$3,$M$7:$Q$8,2,FALSE)/HLOOKUP($D$4,$M$9:$Q$10,2,FALSE)*(GREET1_Import_Export!$H708+GREET1_Import_Export!$I708)</f>
        <v>3.0156527592352152E-3</v>
      </c>
      <c r="C54" s="1771">
        <f ca="1">HLOOKUP($D$3,$M$7:$Q$8,2,FALSE)/HLOOKUP($D$4,$M$9:$Q$10,2,FALSE)*MHDV_Sum!$C148</f>
        <v>4.4076174891346484E-4</v>
      </c>
      <c r="D54" s="1771">
        <f>HLOOKUP(GREET1_Import_Export!$B$687,$M$9:$Q$10,2,FALSE)/HLOOKUP(GREET1_Import_Export!$D$686,$M$7:$Q$8,2,FALSE)*HLOOKUP($D$3,$M$7:$Q$8,2,FALSE)/HLOOKUP($D$4,$M$9:$Q$10,2,FALSE)*GREET1_Import_Export!$J708</f>
        <v>2.1350928479191645E-3</v>
      </c>
      <c r="E54" s="1768">
        <f t="shared" ca="1" si="3"/>
        <v>5.5915073560678444E-3</v>
      </c>
      <c r="F54" s="302">
        <f t="shared" ca="1" si="4"/>
        <v>0.53932733468778515</v>
      </c>
      <c r="G54" s="302">
        <f t="shared" ca="1" si="4"/>
        <v>7.8826999741877277E-2</v>
      </c>
      <c r="H54" s="302">
        <f t="shared" ca="1" si="4"/>
        <v>0.38184566557033756</v>
      </c>
      <c r="I54" s="128">
        <f t="shared" ca="1" si="4"/>
        <v>1</v>
      </c>
    </row>
    <row r="55" spans="1:9" s="1321" customFormat="1">
      <c r="A55" s="173" t="s">
        <v>886</v>
      </c>
      <c r="B55" s="1766">
        <f xml:space="preserve"> HLOOKUP(GREET1_Import_Export!$B$687,$M$9:$Q$10,2,FALSE)/HLOOKUP(GREET1_Import_Export!$D$686,$M$7:$Q$8,2,FALSE)*HLOOKUP($D$3,$M$7:$Q$8,2,FALSE)/HLOOKUP($D$4,$M$9:$Q$10,2,FALSE)*(GREET1_Import_Export!$H709+GREET1_Import_Export!$I709)</f>
        <v>5.2989825479624686E-3</v>
      </c>
      <c r="C55" s="1771">
        <f ca="1">HLOOKUP($D$3,$M$7:$Q$8,2,FALSE)/HLOOKUP($D$4,$M$9:$Q$10,2,FALSE)*MHDV_Sum!$C149</f>
        <v>8.8692554970503713E-4</v>
      </c>
      <c r="D55" s="1771">
        <f>HLOOKUP(GREET1_Import_Export!$B$687,$M$9:$Q$10,2,FALSE)/HLOOKUP(GREET1_Import_Export!$D$686,$M$7:$Q$8,2,FALSE)*HLOOKUP($D$3,$M$7:$Q$8,2,FALSE)/HLOOKUP($D$4,$M$9:$Q$10,2,FALSE)*GREET1_Import_Export!$J709</f>
        <v>3.1327831529812155E-3</v>
      </c>
      <c r="E55" s="1768">
        <f t="shared" ca="1" si="3"/>
        <v>9.318691250648721E-3</v>
      </c>
      <c r="F55" s="302">
        <f t="shared" ca="1" si="4"/>
        <v>0.56864020981418173</v>
      </c>
      <c r="G55" s="302">
        <f t="shared" ca="1" si="4"/>
        <v>9.5177050709056785E-2</v>
      </c>
      <c r="H55" s="302">
        <f t="shared" ca="1" si="4"/>
        <v>0.33618273947676147</v>
      </c>
      <c r="I55" s="128">
        <f t="shared" ca="1" si="4"/>
        <v>1</v>
      </c>
    </row>
    <row r="56" spans="1:9" s="1321" customFormat="1">
      <c r="A56" s="173" t="s">
        <v>890</v>
      </c>
      <c r="B56" s="1766">
        <f xml:space="preserve"> HLOOKUP(GREET1_Import_Export!$B$687,$M$9:$Q$10,2,FALSE)/HLOOKUP(GREET1_Import_Export!$D$686,$M$7:$Q$8,2,FALSE)*HLOOKUP($D$3,$M$7:$Q$8,2,FALSE)/HLOOKUP($D$4,$M$9:$Q$10,2,FALSE)*(GREET1_Import_Export!$H710+GREET1_Import_Export!$I710)</f>
        <v>4.8804630711270634E-2</v>
      </c>
      <c r="C56" s="1771">
        <f ca="1">HLOOKUP($D$3,$M$7:$Q$8,2,FALSE)/HLOOKUP($D$4,$M$9:$Q$10,2,FALSE)*MHDV_Sum!$C150</f>
        <v>4.4436860877727108E-2</v>
      </c>
      <c r="D56" s="1771">
        <f>HLOOKUP(GREET1_Import_Export!$B$687,$M$9:$Q$10,2,FALSE)/HLOOKUP(GREET1_Import_Export!$D$686,$M$7:$Q$8,2,FALSE)*HLOOKUP($D$3,$M$7:$Q$8,2,FALSE)/HLOOKUP($D$4,$M$9:$Q$10,2,FALSE)*GREET1_Import_Export!$J710</f>
        <v>5.2078259973405115E-3</v>
      </c>
      <c r="E56" s="1768">
        <f t="shared" ca="1" si="3"/>
        <v>9.8449317586338264E-2</v>
      </c>
      <c r="F56" s="302">
        <f t="shared" ca="1" si="4"/>
        <v>0.49573356025012422</v>
      </c>
      <c r="G56" s="302">
        <f t="shared" ca="1" si="4"/>
        <v>0.45136789128839605</v>
      </c>
      <c r="H56" s="302">
        <f t="shared" ca="1" si="4"/>
        <v>5.2898548461479608E-2</v>
      </c>
      <c r="I56" s="128">
        <f t="shared" ca="1" si="4"/>
        <v>1</v>
      </c>
    </row>
    <row r="57" spans="1:9" s="1321" customFormat="1">
      <c r="A57" s="173" t="s">
        <v>891</v>
      </c>
      <c r="B57" s="1766">
        <f xml:space="preserve"> HLOOKUP(GREET1_Import_Export!$B$687,$M$9:$Q$10,2,FALSE)/HLOOKUP(GREET1_Import_Export!$D$686,$M$7:$Q$8,2,FALSE)*HLOOKUP($D$3,$M$7:$Q$8,2,FALSE)/HLOOKUP($D$4,$M$9:$Q$10,2,FALSE)*(GREET1_Import_Export!$H711+GREET1_Import_Export!$I711)</f>
        <v>3.1819653517101233E-2</v>
      </c>
      <c r="C57" s="1771">
        <f ca="1">HLOOKUP($D$3,$M$7:$Q$8,2,FALSE)/HLOOKUP($D$4,$M$9:$Q$10,2,FALSE)*MHDV_Sum!$C151</f>
        <v>2.2539337561393743E-3</v>
      </c>
      <c r="D57" s="1771">
        <f>HLOOKUP(GREET1_Import_Export!$B$687,$M$9:$Q$10,2,FALSE)/HLOOKUP(GREET1_Import_Export!$D$686,$M$7:$Q$8,2,FALSE)*HLOOKUP($D$3,$M$7:$Q$8,2,FALSE)/HLOOKUP($D$4,$M$9:$Q$10,2,FALSE)*GREET1_Import_Export!$J711</f>
        <v>7.2475230580562863E-2</v>
      </c>
      <c r="E57" s="1768">
        <f t="shared" ca="1" si="3"/>
        <v>0.10654881785380346</v>
      </c>
      <c r="F57" s="302">
        <f t="shared" ca="1" si="4"/>
        <v>0.298639198050618</v>
      </c>
      <c r="G57" s="302">
        <f t="shared" ca="1" si="4"/>
        <v>2.1154000593718608E-2</v>
      </c>
      <c r="H57" s="302">
        <f t="shared" ca="1" si="4"/>
        <v>0.68020680135566347</v>
      </c>
      <c r="I57" s="128">
        <f t="shared" ca="1" si="4"/>
        <v>1</v>
      </c>
    </row>
    <row r="58" spans="1:9" s="1321" customFormat="1" ht="15.75">
      <c r="A58" s="173" t="s">
        <v>2325</v>
      </c>
      <c r="B58" s="1766">
        <f xml:space="preserve"> HLOOKUP(GREET1_Import_Export!$B$687,$M$9:$Q$10,2,FALSE)/HLOOKUP(GREET1_Import_Export!$D$686,$M$7:$Q$8,2,FALSE)*HLOOKUP($D$3,$M$7:$Q$8,2,FALSE)/HLOOKUP($D$4,$M$9:$Q$10,2,FALSE)*(GREET1_Import_Export!$H712+GREET1_Import_Export!$I712)</f>
        <v>4.9398537054810787E-2</v>
      </c>
      <c r="C58" s="1771">
        <f ca="1">HLOOKUP($D$3,$M$7:$Q$8,2,FALSE)/HLOOKUP($D$4,$M$9:$Q$10,2,FALSE)*MHDV_Sum!$C152</f>
        <v>6.5000651976008308E-3</v>
      </c>
      <c r="D58" s="1771">
        <f>HLOOKUP(GREET1_Import_Export!$B$687,$M$9:$Q$10,2,FALSE)/HLOOKUP(GREET1_Import_Export!$D$686,$M$7:$Q$8,2,FALSE)*HLOOKUP($D$3,$M$7:$Q$8,2,FALSE)/HLOOKUP($D$4,$M$9:$Q$10,2,FALSE)*GREET1_Import_Export!$J712</f>
        <v>9.0974778228590278E-2</v>
      </c>
      <c r="E58" s="1768">
        <f t="shared" ca="1" si="3"/>
        <v>0.1468733804810019</v>
      </c>
      <c r="F58" s="302">
        <f t="shared" ca="1" si="4"/>
        <v>0.33633417364694274</v>
      </c>
      <c r="G58" s="302">
        <f t="shared" ca="1" si="4"/>
        <v>4.4256251039592673E-2</v>
      </c>
      <c r="H58" s="302">
        <f t="shared" ca="1" si="4"/>
        <v>0.61940957531346452</v>
      </c>
      <c r="I58" s="128">
        <f t="shared" ca="1" si="4"/>
        <v>1</v>
      </c>
    </row>
    <row r="59" spans="1:9" s="1321" customFormat="1" ht="15.75">
      <c r="A59" s="173" t="s">
        <v>2326</v>
      </c>
      <c r="B59" s="1766">
        <f xml:space="preserve"> HLOOKUP(GREET1_Import_Export!$B$687,$M$9:$Q$10,2,FALSE)/HLOOKUP(GREET1_Import_Export!$D$686,$M$7:$Q$8,2,FALSE)*HLOOKUP($D$3,$M$7:$Q$8,2,FALSE)/HLOOKUP($D$4,$M$9:$Q$10,2,FALSE)*(GREET1_Import_Export!$H713+GREET1_Import_Export!$I713)</f>
        <v>8.7868530684374509E-3</v>
      </c>
      <c r="C59" s="1771">
        <f ca="1">HLOOKUP($D$3,$M$7:$Q$8,2,FALSE)/HLOOKUP($D$4,$M$9:$Q$10,2,FALSE)*MHDV_Sum!$C153</f>
        <v>8.916602139619963E-4</v>
      </c>
      <c r="D59" s="1771">
        <f>HLOOKUP(GREET1_Import_Export!$B$687,$M$9:$Q$10,2,FALSE)/HLOOKUP(GREET1_Import_Export!$D$686,$M$7:$Q$8,2,FALSE)*HLOOKUP($D$3,$M$7:$Q$8,2,FALSE)/HLOOKUP($D$4,$M$9:$Q$10,2,FALSE)*GREET1_Import_Export!$J713</f>
        <v>4.8750948483422098E-3</v>
      </c>
      <c r="E59" s="1768">
        <f t="shared" ca="1" si="3"/>
        <v>1.4553608130741656E-2</v>
      </c>
      <c r="F59" s="302">
        <f t="shared" ca="1" si="4"/>
        <v>0.60375770664574502</v>
      </c>
      <c r="G59" s="302">
        <f t="shared" ca="1" si="4"/>
        <v>6.1267295776539298E-2</v>
      </c>
      <c r="H59" s="302">
        <f t="shared" ca="1" si="4"/>
        <v>0.33497499757771571</v>
      </c>
      <c r="I59" s="128">
        <f t="shared" ca="1" si="4"/>
        <v>1</v>
      </c>
    </row>
    <row r="60" spans="1:9" s="1321" customFormat="1" ht="15.75">
      <c r="A60" s="173" t="s">
        <v>2327</v>
      </c>
      <c r="B60" s="1766">
        <f xml:space="preserve"> HLOOKUP(GREET1_Import_Export!$B$687,$M$9:$Q$10,2,FALSE)/HLOOKUP(GREET1_Import_Export!$D$686,$M$7:$Q$8,2,FALSE)*HLOOKUP($D$3,$M$7:$Q$8,2,FALSE)/HLOOKUP($D$4,$M$9:$Q$10,2,FALSE)*(GREET1_Import_Export!$H714+GREET1_Import_Export!$I714)</f>
        <v>7.5826725143813599E-3</v>
      </c>
      <c r="C60" s="1771">
        <f ca="1">HLOOKUP($D$3,$M$7:$Q$8,2,FALSE)/HLOOKUP($D$4,$M$9:$Q$10,2,FALSE)*MHDV_Sum!$C154</f>
        <v>6.2745467606192839E-4</v>
      </c>
      <c r="D60" s="1771">
        <f>HLOOKUP(GREET1_Import_Export!$B$687,$M$9:$Q$10,2,FALSE)/HLOOKUP(GREET1_Import_Export!$D$686,$M$7:$Q$8,2,FALSE)*HLOOKUP($D$3,$M$7:$Q$8,2,FALSE)/HLOOKUP($D$4,$M$9:$Q$10,2,FALSE)*GREET1_Import_Export!$J714</f>
        <v>8.3170401184042117E-4</v>
      </c>
      <c r="E60" s="1768">
        <f t="shared" ca="1" si="3"/>
        <v>9.0418312022837108E-3</v>
      </c>
      <c r="F60" s="302">
        <f t="shared" ca="1" si="4"/>
        <v>0.83862133065105127</v>
      </c>
      <c r="G60" s="302">
        <f t="shared" ca="1" si="4"/>
        <v>6.9394646064997442E-2</v>
      </c>
      <c r="H60" s="302">
        <f t="shared" ca="1" si="4"/>
        <v>9.198402328395118E-2</v>
      </c>
      <c r="I60" s="128">
        <f t="shared" ca="1" si="4"/>
        <v>1</v>
      </c>
    </row>
    <row r="61" spans="1:9" s="1321" customFormat="1" ht="15.75">
      <c r="A61" s="173" t="s">
        <v>2328</v>
      </c>
      <c r="B61" s="1766">
        <f xml:space="preserve"> HLOOKUP(GREET1_Import_Export!$B$687,$M$9:$Q$10,2,FALSE)/HLOOKUP(GREET1_Import_Export!$D$686,$M$7:$Q$8,2,FALSE)*HLOOKUP($D$3,$M$7:$Q$8,2,FALSE)/HLOOKUP($D$4,$M$9:$Q$10,2,FALSE)*(GREET1_Import_Export!$H715+GREET1_Import_Export!$I715)</f>
        <v>1.7168292384016445E-2</v>
      </c>
      <c r="C61" s="1771">
        <f ca="1">HLOOKUP($D$3,$M$7:$Q$8,2,FALSE)/HLOOKUP($D$4,$M$9:$Q$10,2,FALSE)*MHDV_Sum!$C155</f>
        <v>8.6648956411850449E-3</v>
      </c>
      <c r="D61" s="1771">
        <f>HLOOKUP(GREET1_Import_Export!$B$687,$M$9:$Q$10,2,FALSE)/HLOOKUP(GREET1_Import_Export!$D$686,$M$7:$Q$8,2,FALSE)*HLOOKUP($D$3,$M$7:$Q$8,2,FALSE)/HLOOKUP($D$4,$M$9:$Q$10,2,FALSE)*GREET1_Import_Export!$J715</f>
        <v>4.8094076745030384E-4</v>
      </c>
      <c r="E61" s="1768">
        <f t="shared" ca="1" si="3"/>
        <v>2.6314128792651794E-2</v>
      </c>
      <c r="F61" s="302">
        <f t="shared" ca="1" si="4"/>
        <v>0.65243628315791635</v>
      </c>
      <c r="G61" s="302">
        <f t="shared" ca="1" si="4"/>
        <v>0.3292868142989675</v>
      </c>
      <c r="H61" s="302">
        <f t="shared" ca="1" si="4"/>
        <v>1.8276902543116164E-2</v>
      </c>
      <c r="I61" s="128">
        <f t="shared" ca="1" si="4"/>
        <v>1</v>
      </c>
    </row>
    <row r="62" spans="1:9" s="1321" customFormat="1">
      <c r="A62" s="173" t="s">
        <v>896</v>
      </c>
      <c r="B62" s="1766">
        <f xml:space="preserve"> HLOOKUP(GREET1_Import_Export!$B$687,$M$9:$Q$10,2,FALSE)/HLOOKUP(GREET1_Import_Export!$D$686,$M$7:$Q$8,2,FALSE)*HLOOKUP($D$3,$M$7:$Q$8,2,FALSE)/HLOOKUP($D$4,$M$9:$Q$10,2,FALSE)*(GREET1_Import_Export!$H716+GREET1_Import_Export!$I716)</f>
        <v>9.6481671646580374E-4</v>
      </c>
      <c r="C62" s="1771">
        <f ca="1">HLOOKUP($D$3,$M$7:$Q$8,2,FALSE)/HLOOKUP($D$4,$M$9:$Q$10,2,FALSE)*MHDV_Sum!$C156</f>
        <v>4.0489432281839086E-5</v>
      </c>
      <c r="D62" s="1771">
        <f>HLOOKUP(GREET1_Import_Export!$B$687,$M$9:$Q$10,2,FALSE)/HLOOKUP(GREET1_Import_Export!$D$686,$M$7:$Q$8,2,FALSE)*HLOOKUP($D$3,$M$7:$Q$8,2,FALSE)/HLOOKUP($D$4,$M$9:$Q$10,2,FALSE)*GREET1_Import_Export!$J716</f>
        <v>1.0675464239595823E-4</v>
      </c>
      <c r="E62" s="1768">
        <f t="shared" ca="1" si="3"/>
        <v>1.1120607911436009E-3</v>
      </c>
      <c r="F62" s="302">
        <f t="shared" ca="1" si="4"/>
        <v>0.86759350221638787</v>
      </c>
      <c r="G62" s="302">
        <f t="shared" ca="1" si="4"/>
        <v>3.6409369527542909E-2</v>
      </c>
      <c r="H62" s="302">
        <f t="shared" ca="1" si="4"/>
        <v>9.5997128256069375E-2</v>
      </c>
      <c r="I62" s="128">
        <f t="shared" ca="1" si="4"/>
        <v>1</v>
      </c>
    </row>
    <row r="63" spans="1:9" s="1321" customFormat="1">
      <c r="A63" s="174" t="s">
        <v>897</v>
      </c>
      <c r="B63" s="1769">
        <f xml:space="preserve"> HLOOKUP(GREET1_Import_Export!$B$687,$M$9:$Q$10,2,FALSE)/HLOOKUP(GREET1_Import_Export!$D$686,$M$7:$Q$8,2,FALSE)*HLOOKUP($D$3,$M$7:$Q$8,2,FALSE)/HLOOKUP($D$4,$M$9:$Q$10,2,FALSE)*(GREET1_Import_Export!$H717+GREET1_Import_Export!$I717)</f>
        <v>1.3657329257325446E-3</v>
      </c>
      <c r="C63" s="1772">
        <f ca="1">HLOOKUP($D$3,$M$7:$Q$8,2,FALSE)/HLOOKUP($D$4,$M$9:$Q$10,2,FALSE)*MHDV_Sum!$C157</f>
        <v>9.7310204876860799E-5</v>
      </c>
      <c r="D63" s="1772">
        <f>HLOOKUP(GREET1_Import_Export!$B$687,$M$9:$Q$10,2,FALSE)/HLOOKUP(GREET1_Import_Export!$D$686,$M$7:$Q$8,2,FALSE)*HLOOKUP($D$3,$M$7:$Q$8,2,FALSE)/HLOOKUP($D$4,$M$9:$Q$10,2,FALSE)*GREET1_Import_Export!$J717</f>
        <v>1.5663915764906077E-4</v>
      </c>
      <c r="E63" s="1770">
        <f t="shared" ca="1" si="3"/>
        <v>1.6196822882584663E-3</v>
      </c>
      <c r="F63" s="1020">
        <f t="shared" ca="1" si="4"/>
        <v>0.84321038492124523</v>
      </c>
      <c r="G63" s="1020">
        <f t="shared" ca="1" si="4"/>
        <v>6.0079810455599791E-2</v>
      </c>
      <c r="H63" s="1020">
        <f t="shared" ca="1" si="4"/>
        <v>9.6709804623154927E-2</v>
      </c>
      <c r="I63" s="130">
        <f t="shared" ca="1" si="4"/>
        <v>1</v>
      </c>
    </row>
    <row r="64" spans="1:9" s="1321" customFormat="1">
      <c r="F64" s="302"/>
      <c r="G64" s="302"/>
      <c r="H64" s="302"/>
    </row>
    <row r="65" spans="1:11" s="1321" customFormat="1">
      <c r="A65" s="63" t="s">
        <v>2694</v>
      </c>
      <c r="B65" s="2959"/>
      <c r="C65" s="2959"/>
      <c r="D65" s="2959"/>
      <c r="E65" s="2959"/>
      <c r="F65" s="2959"/>
      <c r="G65" s="2959"/>
      <c r="H65" s="2959"/>
      <c r="I65" s="8"/>
      <c r="J65" s="8"/>
      <c r="K65" s="8"/>
    </row>
    <row r="66" spans="1:11" s="1321" customFormat="1">
      <c r="A66" s="135"/>
      <c r="B66" s="3060" t="str">
        <f>$B$3&amp;"/"&amp;$D$4&amp;" or "&amp;$D$3&amp;"/"&amp;$D$4</f>
        <v>Btu/mile or g/mile</v>
      </c>
      <c r="C66" s="3061"/>
      <c r="D66" s="3061"/>
      <c r="E66" s="3062"/>
      <c r="F66" s="3005" t="s">
        <v>1890</v>
      </c>
      <c r="G66" s="3005"/>
      <c r="H66" s="3005"/>
      <c r="I66" s="3180"/>
      <c r="J66" s="8"/>
      <c r="K66" s="8"/>
    </row>
    <row r="67" spans="1:11" s="1321" customFormat="1" ht="25.5">
      <c r="A67" s="908" t="s">
        <v>1923</v>
      </c>
      <c r="B67" s="671" t="s">
        <v>1924</v>
      </c>
      <c r="C67" s="670" t="s">
        <v>1925</v>
      </c>
      <c r="D67" s="670" t="s">
        <v>1926</v>
      </c>
      <c r="E67" s="672" t="s">
        <v>1894</v>
      </c>
      <c r="F67" s="1658" t="s">
        <v>1924</v>
      </c>
      <c r="G67" s="1658" t="s">
        <v>1925</v>
      </c>
      <c r="H67" s="1658" t="s">
        <v>1926</v>
      </c>
      <c r="I67" s="1226" t="s">
        <v>1894</v>
      </c>
      <c r="J67" s="8"/>
      <c r="K67" s="8"/>
    </row>
    <row r="68" spans="1:11" s="1321" customFormat="1">
      <c r="A68" s="135" t="s">
        <v>876</v>
      </c>
      <c r="B68" s="2733">
        <f xml:space="preserve"> HLOOKUP(GREET1_Import_Export!$B$687,$M$9:$Q$10,2,FALSE)/HLOOKUP(GREET1_Import_Export!$B$686,$M$5:$Q$6,2,FALSE)*HLOOKUP($B$3,$M$5:$Q$6,2,FALSE)/HLOOKUP($D$4,$M$9:$Q$10,2,FALSE)*(GREET1_Import_Export!$N692+GREET1_Import_Export!$O692)</f>
        <v>12390.984406447938</v>
      </c>
      <c r="C68" s="2734">
        <f ca="1">HLOOKUP($B$3,$M$5:$Q$6,2,FALSE)/HLOOKUP($D$4,$M$9:$Q$10,2,FALSE)*MHDV_Sum!$D131</f>
        <v>3821.1846449433374</v>
      </c>
      <c r="D68" s="2734">
        <f>HLOOKUP(GREET1_Import_Export!$B$687,$M$9:$Q$10,2,FALSE)/HLOOKUP(GREET1_Import_Export!$B$686,$M$5:$Q$6,2,FALSE)*HLOOKUP($B$3,$M$5:$Q$6,2,FALSE)/HLOOKUP($D$4,$M$9:$Q$10,2,FALSE)*GREET1_Import_Export!$P692</f>
        <v>10168.779342352973</v>
      </c>
      <c r="E68" s="2735">
        <f t="shared" ref="E68:E93" ca="1" si="5">SUM(B68:D68)</f>
        <v>26380.948393744249</v>
      </c>
      <c r="F68" s="302">
        <f t="shared" ref="F68:I93" ca="1" si="6">B68/$E68</f>
        <v>0.46969442574650688</v>
      </c>
      <c r="G68" s="302">
        <f t="shared" ca="1" si="6"/>
        <v>0.144846371249089</v>
      </c>
      <c r="H68" s="302">
        <f t="shared" ca="1" si="6"/>
        <v>0.38545920300440412</v>
      </c>
      <c r="I68" s="575">
        <f t="shared" ca="1" si="6"/>
        <v>1</v>
      </c>
      <c r="J68" s="8"/>
      <c r="K68" s="8"/>
    </row>
    <row r="69" spans="1:11" s="1321" customFormat="1">
      <c r="A69" s="160" t="s">
        <v>877</v>
      </c>
      <c r="B69" s="650">
        <f xml:space="preserve"> HLOOKUP(GREET1_Import_Export!$B$687,$M$9:$Q$10,2,FALSE)/HLOOKUP(GREET1_Import_Export!$B$686,$M$5:$Q$6,2,FALSE)*HLOOKUP($B$3,$M$5:$Q$6,2,FALSE)/HLOOKUP($D$4,$M$9:$Q$10,2,FALSE)*(GREET1_Import_Export!$N693+GREET1_Import_Export!$O693)</f>
        <v>12377.876812128494</v>
      </c>
      <c r="C69" s="522">
        <f ca="1">HLOOKUP($B$3,$M$5:$Q$6,2,FALSE)/HLOOKUP($D$4,$M$9:$Q$10,2,FALSE)*MHDV_Sum!$D132</f>
        <v>3389.2772265627164</v>
      </c>
      <c r="D69" s="522">
        <f>HLOOKUP(GREET1_Import_Export!$B$687,$M$9:$Q$10,2,FALSE)/HLOOKUP(GREET1_Import_Export!$B$686,$M$5:$Q$6,2,FALSE)*HLOOKUP($B$3,$M$5:$Q$6,2,FALSE)/HLOOKUP($D$4,$M$9:$Q$10,2,FALSE)*GREET1_Import_Export!$P693</f>
        <v>10168.779342352973</v>
      </c>
      <c r="E69" s="159">
        <f t="shared" ca="1" si="5"/>
        <v>25935.933381044182</v>
      </c>
      <c r="F69" s="302">
        <f t="shared" ca="1" si="6"/>
        <v>0.47724817265204433</v>
      </c>
      <c r="G69" s="302">
        <f t="shared" ca="1" si="6"/>
        <v>0.13067882218728399</v>
      </c>
      <c r="H69" s="302">
        <f t="shared" ca="1" si="6"/>
        <v>0.39207300516067167</v>
      </c>
      <c r="I69" s="152">
        <f t="shared" ca="1" si="6"/>
        <v>1</v>
      </c>
      <c r="J69" s="8"/>
      <c r="K69" s="8"/>
    </row>
    <row r="70" spans="1:11" s="1321" customFormat="1">
      <c r="A70" s="160" t="s">
        <v>442</v>
      </c>
      <c r="B70" s="650">
        <f xml:space="preserve"> HLOOKUP(GREET1_Import_Export!$B$687,$M$9:$Q$10,2,FALSE)/HLOOKUP(GREET1_Import_Export!$B$686,$M$5:$Q$6,2,FALSE)*HLOOKUP($B$3,$M$5:$Q$6,2,FALSE)/HLOOKUP($D$4,$M$9:$Q$10,2,FALSE)*(GREET1_Import_Export!$N694+GREET1_Import_Export!$O694)</f>
        <v>17.304044798212242</v>
      </c>
      <c r="C70" s="522">
        <f ca="1">HLOOKUP($B$3,$M$5:$Q$6,2,FALSE)/HLOOKUP($D$4,$M$9:$Q$10,2,FALSE)*MHDV_Sum!$D133</f>
        <v>879.39062692947459</v>
      </c>
      <c r="D70" s="522">
        <f>HLOOKUP(GREET1_Import_Export!$B$687,$M$9:$Q$10,2,FALSE)/HLOOKUP(GREET1_Import_Export!$B$686,$M$5:$Q$6,2,FALSE)*HLOOKUP($B$3,$M$5:$Q$6,2,FALSE)/HLOOKUP($D$4,$M$9:$Q$10,2,FALSE)*GREET1_Import_Export!$P694</f>
        <v>0</v>
      </c>
      <c r="E70" s="159">
        <f t="shared" ca="1" si="5"/>
        <v>896.6946717276868</v>
      </c>
      <c r="F70" s="302">
        <f t="shared" ca="1" si="6"/>
        <v>1.9297588514574367E-2</v>
      </c>
      <c r="G70" s="302">
        <f t="shared" ca="1" si="6"/>
        <v>0.9807024114854257</v>
      </c>
      <c r="H70" s="302">
        <f t="shared" ca="1" si="6"/>
        <v>0</v>
      </c>
      <c r="I70" s="152">
        <f t="shared" ca="1" si="6"/>
        <v>1</v>
      </c>
      <c r="J70" s="8"/>
      <c r="K70" s="8"/>
    </row>
    <row r="71" spans="1:11" s="1321" customFormat="1">
      <c r="A71" s="160" t="s">
        <v>878</v>
      </c>
      <c r="B71" s="650">
        <f xml:space="preserve"> HLOOKUP(GREET1_Import_Export!$B$687,$M$9:$Q$10,2,FALSE)/HLOOKUP(GREET1_Import_Export!$B$686,$M$5:$Q$6,2,FALSE)*HLOOKUP($B$3,$M$5:$Q$6,2,FALSE)/HLOOKUP($D$4,$M$9:$Q$10,2,FALSE)*(GREET1_Import_Export!$N695+GREET1_Import_Export!$O695)</f>
        <v>12278.613642324419</v>
      </c>
      <c r="C71" s="522">
        <f ca="1">HLOOKUP($B$3,$M$5:$Q$6,2,FALSE)/HLOOKUP($D$4,$M$9:$Q$10,2,FALSE)*MHDV_Sum!$D134</f>
        <v>1900.5668908982384</v>
      </c>
      <c r="D71" s="522">
        <f>HLOOKUP(GREET1_Import_Export!$B$687,$M$9:$Q$10,2,FALSE)/HLOOKUP(GREET1_Import_Export!$B$686,$M$5:$Q$6,2,FALSE)*HLOOKUP($B$3,$M$5:$Q$6,2,FALSE)/HLOOKUP($D$4,$M$9:$Q$10,2,FALSE)*GREET1_Import_Export!$P695</f>
        <v>10168.779342352973</v>
      </c>
      <c r="E71" s="159">
        <f t="shared" ca="1" si="5"/>
        <v>24347.959875575631</v>
      </c>
      <c r="F71" s="302">
        <f t="shared" ca="1" si="6"/>
        <v>0.50429743210812361</v>
      </c>
      <c r="G71" s="302">
        <f t="shared" ca="1" si="6"/>
        <v>7.805856838152464E-2</v>
      </c>
      <c r="H71" s="302">
        <f t="shared" ca="1" si="6"/>
        <v>0.41764399951035175</v>
      </c>
      <c r="I71" s="152">
        <f t="shared" ca="1" si="6"/>
        <v>1</v>
      </c>
      <c r="J71" s="8"/>
      <c r="K71" s="8"/>
    </row>
    <row r="72" spans="1:11" s="1321" customFormat="1">
      <c r="A72" s="160" t="s">
        <v>440</v>
      </c>
      <c r="B72" s="650">
        <f xml:space="preserve"> HLOOKUP(GREET1_Import_Export!$B$687,$M$9:$Q$10,2,FALSE)/HLOOKUP(GREET1_Import_Export!$B$686,$M$5:$Q$6,2,FALSE)*HLOOKUP($B$3,$M$5:$Q$6,2,FALSE)/HLOOKUP($D$4,$M$9:$Q$10,2,FALSE)*(GREET1_Import_Export!$N696+GREET1_Import_Export!$O696)</f>
        <v>81.959125005863015</v>
      </c>
      <c r="C72" s="522">
        <f ca="1">HLOOKUP($B$3,$M$5:$Q$6,2,FALSE)/HLOOKUP($D$4,$M$9:$Q$10,2,FALSE)*MHDV_Sum!$D135</f>
        <v>609.31970873500313</v>
      </c>
      <c r="D72" s="522">
        <f>HLOOKUP(GREET1_Import_Export!$B$687,$M$9:$Q$10,2,FALSE)/HLOOKUP(GREET1_Import_Export!$B$686,$M$5:$Q$6,2,FALSE)*HLOOKUP($B$3,$M$5:$Q$6,2,FALSE)/HLOOKUP($D$4,$M$9:$Q$10,2,FALSE)*GREET1_Import_Export!$P696</f>
        <v>0</v>
      </c>
      <c r="E72" s="159">
        <f t="shared" ca="1" si="5"/>
        <v>691.27883374086616</v>
      </c>
      <c r="F72" s="302">
        <f t="shared" ca="1" si="6"/>
        <v>0.11856160062407804</v>
      </c>
      <c r="G72" s="302">
        <f t="shared" ca="1" si="6"/>
        <v>0.88143839937592194</v>
      </c>
      <c r="H72" s="302">
        <f t="shared" ca="1" si="6"/>
        <v>0</v>
      </c>
      <c r="I72" s="152">
        <f t="shared" ca="1" si="6"/>
        <v>1</v>
      </c>
      <c r="J72" s="8"/>
      <c r="K72" s="8"/>
    </row>
    <row r="73" spans="1:11" s="1321" customFormat="1">
      <c r="A73" s="160" t="s">
        <v>819</v>
      </c>
      <c r="B73" s="578">
        <f xml:space="preserve"> HLOOKUP(GREET1_Import_Export!$B$687,$M$9:$Q$10,2,FALSE)/HLOOKUP(GREET1_Import_Export!$B$686,$M$5:$Q$6,2,FALSE)*HLOOKUP($B$3,$M$5:$Q$6,2,FALSE)/HLOOKUP($D$4,$M$9:$Q$10,2,FALSE)*(GREET1_Import_Export!$N697+GREET1_Import_Export!$O697)</f>
        <v>0.55994344264422136</v>
      </c>
      <c r="C73" s="1553">
        <f ca="1">HLOOKUP($B$3,$M$5:$Q$6,2,FALSE)/HLOOKUP($D$4,$M$9:$Q$10,2,FALSE)*MHDV_Sum!$D136</f>
        <v>0.30338562870409441</v>
      </c>
      <c r="D73" s="1553">
        <f>HLOOKUP(GREET1_Import_Export!$B$687,$M$9:$Q$10,2,FALSE)/HLOOKUP(GREET1_Import_Export!$B$686,$M$5:$Q$6,2,FALSE)*HLOOKUP($B$3,$M$5:$Q$6,2,FALSE)/HLOOKUP($D$4,$M$9:$Q$10,2,FALSE)*GREET1_Import_Export!$P697</f>
        <v>0</v>
      </c>
      <c r="E73" s="478">
        <f t="shared" ca="1" si="5"/>
        <v>0.86332907134831571</v>
      </c>
      <c r="F73" s="302">
        <f t="shared" ca="1" si="6"/>
        <v>0.64858634004959681</v>
      </c>
      <c r="G73" s="302">
        <f t="shared" ca="1" si="6"/>
        <v>0.35141365995040319</v>
      </c>
      <c r="H73" s="302">
        <f t="shared" ca="1" si="6"/>
        <v>0</v>
      </c>
      <c r="I73" s="152">
        <f t="shared" ca="1" si="6"/>
        <v>1</v>
      </c>
      <c r="J73" s="8"/>
      <c r="K73" s="8"/>
    </row>
    <row r="74" spans="1:11" s="1321" customFormat="1" ht="15.75">
      <c r="A74" s="160" t="s">
        <v>2598</v>
      </c>
      <c r="B74" s="650">
        <f xml:space="preserve"> HLOOKUP(GREET1_Import_Export!$B$687,$M$9:$Q$10,2,FALSE)/HLOOKUP(GREET1_Import_Export!$D$686,$M$7:$Q$8,2,FALSE)*HLOOKUP($D$3,$M$7:$Q$8,2,FALSE)/HLOOKUP($D$4,$M$9:$Q$10,2,FALSE)*(GREET1_Import_Export!$N698+GREET1_Import_Export!$O698)</f>
        <v>1342.4247886221508</v>
      </c>
      <c r="C74" s="522">
        <f ca="1">HLOOKUP($D$3,$M$7:$Q$8,2,FALSE)/HLOOKUP($D$4,$M$9:$Q$10,2,FALSE)*MHDV_Sum!$D138</f>
        <v>246.20559202101347</v>
      </c>
      <c r="D74" s="522">
        <f>HLOOKUP(GREET1_Import_Export!$B$687,$M$9:$Q$10,2,FALSE)/HLOOKUP(GREET1_Import_Export!$D$686,$M$7:$Q$8,2,FALSE)*HLOOKUP($D$3,$M$7:$Q$8,2,FALSE)/HLOOKUP($D$4,$M$9:$Q$10,2,FALSE)*GREET1_Import_Export!$P698</f>
        <v>0</v>
      </c>
      <c r="E74" s="159">
        <f t="shared" ca="1" si="5"/>
        <v>1588.6303806431642</v>
      </c>
      <c r="F74" s="302">
        <f t="shared" ca="1" si="6"/>
        <v>0.84502021677230166</v>
      </c>
      <c r="G74" s="302">
        <f t="shared" ca="1" si="6"/>
        <v>0.15497978322769831</v>
      </c>
      <c r="H74" s="302">
        <f t="shared" ca="1" si="6"/>
        <v>0</v>
      </c>
      <c r="I74" s="152">
        <f t="shared" ca="1" si="6"/>
        <v>1</v>
      </c>
      <c r="J74" s="8"/>
      <c r="K74" s="8"/>
    </row>
    <row r="75" spans="1:11" s="1321" customFormat="1" ht="15.75">
      <c r="A75" s="160" t="s">
        <v>2320</v>
      </c>
      <c r="B75" s="578">
        <f xml:space="preserve"> HLOOKUP(GREET1_Import_Export!$B$687,$M$9:$Q$10,2,FALSE)/HLOOKUP(GREET1_Import_Export!$D$686,$M$7:$Q$8,2,FALSE)*HLOOKUP($D$3,$M$7:$Q$8,2,FALSE)/HLOOKUP($D$4,$M$9:$Q$10,2,FALSE)*(GREET1_Import_Export!$N699+GREET1_Import_Export!$O699)</f>
        <v>3.8349871115270755</v>
      </c>
      <c r="C75" s="1553">
        <f ca="1">HLOOKUP($D$3,$M$7:$Q$8,2,FALSE)/HLOOKUP($D$4,$M$9:$Q$10,2,FALSE)*MHDV_Sum!$D139</f>
        <v>0.55490453251805316</v>
      </c>
      <c r="D75" s="1553">
        <f>HLOOKUP(GREET1_Import_Export!$B$687,$M$9:$Q$10,2,FALSE)/HLOOKUP(GREET1_Import_Export!$D$686,$M$7:$Q$8,2,FALSE)*HLOOKUP($D$3,$M$7:$Q$8,2,FALSE)/HLOOKUP($D$4,$M$9:$Q$10,2,FALSE)*GREET1_Import_Export!$P699</f>
        <v>0</v>
      </c>
      <c r="E75" s="478">
        <f t="shared" ca="1" si="5"/>
        <v>4.3898916440451288</v>
      </c>
      <c r="F75" s="302">
        <f t="shared" ca="1" si="6"/>
        <v>0.87359493638737551</v>
      </c>
      <c r="G75" s="302">
        <f t="shared" ca="1" si="6"/>
        <v>0.12640506361262449</v>
      </c>
      <c r="H75" s="302">
        <f t="shared" ca="1" si="6"/>
        <v>0</v>
      </c>
      <c r="I75" s="152">
        <f t="shared" ca="1" si="6"/>
        <v>1</v>
      </c>
      <c r="J75" s="8"/>
      <c r="K75" s="8"/>
    </row>
    <row r="76" spans="1:11" s="1321" customFormat="1" ht="15.75">
      <c r="A76" s="160" t="s">
        <v>2321</v>
      </c>
      <c r="B76" s="578">
        <f xml:space="preserve"> HLOOKUP(GREET1_Import_Export!$B$687,$M$9:$Q$10,2,FALSE)/HLOOKUP(GREET1_Import_Export!$D$686,$M$7:$Q$8,2,FALSE)*HLOOKUP($D$3,$M$7:$Q$8,2,FALSE)/HLOOKUP($D$4,$M$9:$Q$10,2,FALSE)*(GREET1_Import_Export!$N700+GREET1_Import_Export!$O700)</f>
        <v>1.9056723294736708E-2</v>
      </c>
      <c r="C76" s="1553">
        <f ca="1">HLOOKUP($D$3,$M$7:$Q$8,2,FALSE)/HLOOKUP($D$4,$M$9:$Q$10,2,FALSE)*MHDV_Sum!$D140</f>
        <v>8.5270936037961376E-3</v>
      </c>
      <c r="D76" s="1553">
        <f>HLOOKUP(GREET1_Import_Export!$B$687,$M$9:$Q$10,2,FALSE)/HLOOKUP(GREET1_Import_Export!$D$686,$M$7:$Q$8,2,FALSE)*HLOOKUP($D$3,$M$7:$Q$8,2,FALSE)/HLOOKUP($D$4,$M$9:$Q$10,2,FALSE)*GREET1_Import_Export!$P700</f>
        <v>0</v>
      </c>
      <c r="E76" s="478">
        <f t="shared" ca="1" si="5"/>
        <v>2.7583816898532846E-2</v>
      </c>
      <c r="F76" s="302">
        <f t="shared" ca="1" si="6"/>
        <v>0.69086607429410229</v>
      </c>
      <c r="G76" s="302">
        <f t="shared" ca="1" si="6"/>
        <v>0.30913392570589765</v>
      </c>
      <c r="H76" s="302">
        <f t="shared" ca="1" si="6"/>
        <v>0</v>
      </c>
      <c r="I76" s="152">
        <f t="shared" ca="1" si="6"/>
        <v>1</v>
      </c>
      <c r="J76" s="8"/>
      <c r="K76" s="8"/>
    </row>
    <row r="77" spans="1:11" s="1321" customFormat="1">
      <c r="A77" s="160" t="s">
        <v>1896</v>
      </c>
      <c r="B77" s="650">
        <f xml:space="preserve"> HLOOKUP(GREET1_Import_Export!$B$687,$M$9:$Q$10,2,FALSE)/HLOOKUP(GREET1_Import_Export!$D$686,$M$7:$Q$8,2,FALSE)*HLOOKUP($D$3,$M$7:$Q$8,2,FALSE)/HLOOKUP($D$4,$M$9:$Q$10,2,FALSE)*(GREET1_Import_Export!$N701+GREET1_Import_Export!$O701)</f>
        <v>1462.5244336410683</v>
      </c>
      <c r="C77" s="522">
        <f ca="1">HLOOKUP($D$3,$M$7:$Q$8,2,FALSE)/HLOOKUP($D$4,$M$9:$Q$10,2,FALSE)*MHDV_Sum!$D141</f>
        <v>267.80837864210156</v>
      </c>
      <c r="D77" s="522">
        <f>HLOOKUP(GREET1_Import_Export!$B$687,$M$9:$Q$10,2,FALSE)/HLOOKUP(GREET1_Import_Export!$D$686,$M$7:$Q$8,2,FALSE)*HLOOKUP($D$3,$M$7:$Q$8,2,FALSE)/HLOOKUP($D$4,$M$9:$Q$10,2,FALSE)*GREET1_Import_Export!$P701</f>
        <v>0</v>
      </c>
      <c r="E77" s="159">
        <f t="shared" ca="1" si="5"/>
        <v>1730.3328122831699</v>
      </c>
      <c r="F77" s="302">
        <f t="shared" ca="1" si="6"/>
        <v>0.84522724371808622</v>
      </c>
      <c r="G77" s="302">
        <f t="shared" ca="1" si="6"/>
        <v>0.15477275628191381</v>
      </c>
      <c r="H77" s="302">
        <f t="shared" ca="1" si="6"/>
        <v>0</v>
      </c>
      <c r="I77" s="152">
        <f t="shared" ca="1" si="6"/>
        <v>1</v>
      </c>
      <c r="J77" s="8"/>
      <c r="K77" s="8"/>
    </row>
    <row r="78" spans="1:11" s="1321" customFormat="1">
      <c r="A78" s="160" t="s">
        <v>879</v>
      </c>
      <c r="B78" s="578">
        <f xml:space="preserve"> HLOOKUP(GREET1_Import_Export!$B$687,$M$9:$Q$10,2,FALSE)/HLOOKUP(GREET1_Import_Export!$D$686,$M$7:$Q$8,2,FALSE)*HLOOKUP($D$3,$M$7:$Q$8,2,FALSE)/HLOOKUP($D$4,$M$9:$Q$10,2,FALSE)*(GREET1_Import_Export!$N702+GREET1_Import_Export!$O702)</f>
        <v>0.19068111932515661</v>
      </c>
      <c r="C78" s="1553">
        <f ca="1">HLOOKUP($D$3,$M$7:$Q$8,2,FALSE)/HLOOKUP($D$4,$M$9:$Q$10,2,FALSE)*MHDV_Sum!$D142</f>
        <v>0.15978547005194524</v>
      </c>
      <c r="D78" s="1553">
        <f>HLOOKUP(GREET1_Import_Export!$B$687,$M$9:$Q$10,2,FALSE)/HLOOKUP(GREET1_Import_Export!$D$686,$M$7:$Q$8,2,FALSE)*HLOOKUP($D$3,$M$7:$Q$8,2,FALSE)/HLOOKUP($D$4,$M$9:$Q$10,2,FALSE)*GREET1_Import_Export!$P702</f>
        <v>0</v>
      </c>
      <c r="E78" s="478">
        <f t="shared" ca="1" si="5"/>
        <v>0.35046658937710184</v>
      </c>
      <c r="F78" s="302">
        <f t="shared" ca="1" si="6"/>
        <v>0.5440778810444149</v>
      </c>
      <c r="G78" s="302">
        <f t="shared" ca="1" si="6"/>
        <v>0.45592211895558515</v>
      </c>
      <c r="H78" s="302">
        <f t="shared" ca="1" si="6"/>
        <v>0</v>
      </c>
      <c r="I78" s="152">
        <f t="shared" ca="1" si="6"/>
        <v>1</v>
      </c>
      <c r="J78" s="8"/>
      <c r="K78" s="8"/>
    </row>
    <row r="79" spans="1:11" s="1321" customFormat="1">
      <c r="A79" s="160" t="s">
        <v>880</v>
      </c>
      <c r="B79" s="578">
        <f xml:space="preserve"> HLOOKUP(GREET1_Import_Export!$B$687,$M$9:$Q$10,2,FALSE)/HLOOKUP(GREET1_Import_Export!$D$686,$M$7:$Q$8,2,FALSE)*HLOOKUP($D$3,$M$7:$Q$8,2,FALSE)/HLOOKUP($D$4,$M$9:$Q$10,2,FALSE)*(GREET1_Import_Export!$N703+GREET1_Import_Export!$O703)</f>
        <v>0.56706755386227092</v>
      </c>
      <c r="C79" s="1553">
        <f ca="1">HLOOKUP($D$3,$M$7:$Q$8,2,FALSE)/HLOOKUP($D$4,$M$9:$Q$10,2,FALSE)*MHDV_Sum!$D143</f>
        <v>0.312594192122089</v>
      </c>
      <c r="D79" s="1553">
        <f>HLOOKUP(GREET1_Import_Export!$B$687,$M$9:$Q$10,2,FALSE)/HLOOKUP(GREET1_Import_Export!$D$686,$M$7:$Q$8,2,FALSE)*HLOOKUP($D$3,$M$7:$Q$8,2,FALSE)/HLOOKUP($D$4,$M$9:$Q$10,2,FALSE)*GREET1_Import_Export!$P703</f>
        <v>0</v>
      </c>
      <c r="E79" s="478">
        <f t="shared" ca="1" si="5"/>
        <v>0.87966174598435987</v>
      </c>
      <c r="F79" s="302">
        <f t="shared" ca="1" si="6"/>
        <v>0.64464273506370395</v>
      </c>
      <c r="G79" s="302">
        <f t="shared" ca="1" si="6"/>
        <v>0.35535726493629616</v>
      </c>
      <c r="H79" s="302">
        <f t="shared" ca="1" si="6"/>
        <v>0</v>
      </c>
      <c r="I79" s="152">
        <f t="shared" ca="1" si="6"/>
        <v>1</v>
      </c>
      <c r="J79" s="8"/>
      <c r="K79" s="8"/>
    </row>
    <row r="80" spans="1:11" s="1321" customFormat="1" ht="15.75">
      <c r="A80" s="160" t="s">
        <v>2599</v>
      </c>
      <c r="B80" s="578">
        <f xml:space="preserve"> HLOOKUP(GREET1_Import_Export!$B$687,$M$9:$Q$10,2,FALSE)/HLOOKUP(GREET1_Import_Export!$D$686,$M$7:$Q$8,2,FALSE)*HLOOKUP($D$3,$M$7:$Q$8,2,FALSE)/HLOOKUP($D$4,$M$9:$Q$10,2,FALSE)*(GREET1_Import_Export!$N704+GREET1_Import_Export!$O704)</f>
        <v>0.68898787795002903</v>
      </c>
      <c r="C80" s="1553">
        <f ca="1">HLOOKUP($D$3,$M$7:$Q$8,2,FALSE)/HLOOKUP($D$4,$M$9:$Q$10,2,FALSE)*MHDV_Sum!$D144</f>
        <v>0.32152063398949082</v>
      </c>
      <c r="D80" s="1553">
        <f>HLOOKUP(GREET1_Import_Export!$B$687,$M$9:$Q$10,2,FALSE)/HLOOKUP(GREET1_Import_Export!$D$686,$M$7:$Q$8,2,FALSE)*HLOOKUP($D$3,$M$7:$Q$8,2,FALSE)/HLOOKUP($D$4,$M$9:$Q$10,2,FALSE)*GREET1_Import_Export!$P704</f>
        <v>0</v>
      </c>
      <c r="E80" s="478">
        <f t="shared" ca="1" si="5"/>
        <v>1.0105085119395198</v>
      </c>
      <c r="F80" s="302">
        <f t="shared" ca="1" si="6"/>
        <v>0.68182293351257373</v>
      </c>
      <c r="G80" s="302">
        <f t="shared" ca="1" si="6"/>
        <v>0.31817706648742633</v>
      </c>
      <c r="H80" s="302">
        <f t="shared" ca="1" si="6"/>
        <v>0</v>
      </c>
      <c r="I80" s="152">
        <f t="shared" ca="1" si="6"/>
        <v>1</v>
      </c>
      <c r="J80" s="8"/>
      <c r="K80" s="8"/>
    </row>
    <row r="81" spans="1:11" s="1321" customFormat="1" ht="15.75">
      <c r="A81" s="160" t="s">
        <v>2322</v>
      </c>
      <c r="B81" s="578">
        <f xml:space="preserve"> HLOOKUP(GREET1_Import_Export!$B$687,$M$9:$Q$10,2,FALSE)/HLOOKUP(GREET1_Import_Export!$D$686,$M$7:$Q$8,2,FALSE)*HLOOKUP($D$3,$M$7:$Q$8,2,FALSE)/HLOOKUP($D$4,$M$9:$Q$10,2,FALSE)*(GREET1_Import_Export!$N705+GREET1_Import_Export!$O705)</f>
        <v>6.1740268353987077E-2</v>
      </c>
      <c r="C81" s="1553">
        <f ca="1">HLOOKUP($D$3,$M$7:$Q$8,2,FALSE)/HLOOKUP($D$4,$M$9:$Q$10,2,FALSE)*MHDV_Sum!$D145</f>
        <v>0.13110666458623116</v>
      </c>
      <c r="D81" s="1553">
        <f>HLOOKUP(GREET1_Import_Export!$B$687,$M$9:$Q$10,2,FALSE)/HLOOKUP(GREET1_Import_Export!$D$686,$M$7:$Q$8,2,FALSE)*HLOOKUP($D$3,$M$7:$Q$8,2,FALSE)/HLOOKUP($D$4,$M$9:$Q$10,2,FALSE)*GREET1_Import_Export!$P705</f>
        <v>9.2776112380665202E-2</v>
      </c>
      <c r="E81" s="478">
        <f t="shared" ca="1" si="5"/>
        <v>0.28562304532088345</v>
      </c>
      <c r="F81" s="302">
        <f t="shared" ca="1" si="6"/>
        <v>0.21615996806078766</v>
      </c>
      <c r="G81" s="302">
        <f t="shared" ca="1" si="6"/>
        <v>0.45901991010192916</v>
      </c>
      <c r="H81" s="302">
        <f t="shared" ca="1" si="6"/>
        <v>0.32482012183728315</v>
      </c>
      <c r="I81" s="152">
        <f t="shared" ca="1" si="6"/>
        <v>1</v>
      </c>
      <c r="J81" s="8"/>
      <c r="K81" s="8"/>
    </row>
    <row r="82" spans="1:11" s="1321" customFormat="1" ht="15.75">
      <c r="A82" s="160" t="s">
        <v>2323</v>
      </c>
      <c r="B82" s="578">
        <f xml:space="preserve"> HLOOKUP(GREET1_Import_Export!$B$687,$M$9:$Q$10,2,FALSE)/HLOOKUP(GREET1_Import_Export!$D$686,$M$7:$Q$8,2,FALSE)*HLOOKUP($D$3,$M$7:$Q$8,2,FALSE)/HLOOKUP($D$4,$M$9:$Q$10,2,FALSE)*(GREET1_Import_Export!$N706+GREET1_Import_Export!$O706)</f>
        <v>5.9091865280623525E-2</v>
      </c>
      <c r="C82" s="1553">
        <f ca="1">HLOOKUP($D$3,$M$7:$Q$8,2,FALSE)/HLOOKUP($D$4,$M$9:$Q$10,2,FALSE)*MHDV_Sum!$D146</f>
        <v>5.5754972562332111E-2</v>
      </c>
      <c r="D82" s="1553">
        <f>HLOOKUP(GREET1_Import_Export!$B$687,$M$9:$Q$10,2,FALSE)/HLOOKUP(GREET1_Import_Export!$D$686,$M$7:$Q$8,2,FALSE)*HLOOKUP($D$3,$M$7:$Q$8,2,FALSE)/HLOOKUP($D$4,$M$9:$Q$10,2,FALSE)*GREET1_Import_Export!$P706</f>
        <v>1.228637608748109E-2</v>
      </c>
      <c r="E82" s="478">
        <f t="shared" ca="1" si="5"/>
        <v>0.12713321393043672</v>
      </c>
      <c r="F82" s="302">
        <f t="shared" ca="1" si="6"/>
        <v>0.46480273292671359</v>
      </c>
      <c r="G82" s="302">
        <f t="shared" ca="1" si="6"/>
        <v>0.43855551856684338</v>
      </c>
      <c r="H82" s="302">
        <f t="shared" ca="1" si="6"/>
        <v>9.6641748506443068E-2</v>
      </c>
      <c r="I82" s="152">
        <f t="shared" ca="1" si="6"/>
        <v>1</v>
      </c>
      <c r="J82" s="8"/>
      <c r="K82" s="8"/>
    </row>
    <row r="83" spans="1:11" s="1321" customFormat="1" ht="15.75">
      <c r="A83" s="160" t="s">
        <v>2324</v>
      </c>
      <c r="B83" s="578">
        <f xml:space="preserve"> HLOOKUP(GREET1_Import_Export!$B$687,$M$9:$Q$10,2,FALSE)/HLOOKUP(GREET1_Import_Export!$D$686,$M$7:$Q$8,2,FALSE)*HLOOKUP($D$3,$M$7:$Q$8,2,FALSE)/HLOOKUP($D$4,$M$9:$Q$10,2,FALSE)*(GREET1_Import_Export!$N707+GREET1_Import_Export!$O707)</f>
        <v>0.24906977057918694</v>
      </c>
      <c r="C83" s="1553">
        <f ca="1">HLOOKUP($D$3,$M$7:$Q$8,2,FALSE)/HLOOKUP($D$4,$M$9:$Q$10,2,FALSE)*MHDV_Sum!$D147</f>
        <v>3.3726960908194492</v>
      </c>
      <c r="D83" s="1553">
        <f>HLOOKUP(GREET1_Import_Export!$B$687,$M$9:$Q$10,2,FALSE)/HLOOKUP(GREET1_Import_Export!$D$686,$M$7:$Q$8,2,FALSE)*HLOOKUP($D$3,$M$7:$Q$8,2,FALSE)/HLOOKUP($D$4,$M$9:$Q$10,2,FALSE)*GREET1_Import_Export!$P707</f>
        <v>0</v>
      </c>
      <c r="E83" s="478">
        <f t="shared" ca="1" si="5"/>
        <v>3.6217658613986363</v>
      </c>
      <c r="F83" s="302">
        <f t="shared" ca="1" si="6"/>
        <v>6.8770257413327748E-2</v>
      </c>
      <c r="G83" s="302">
        <f t="shared" ca="1" si="6"/>
        <v>0.93122974258667224</v>
      </c>
      <c r="H83" s="302">
        <f t="shared" ca="1" si="6"/>
        <v>0</v>
      </c>
      <c r="I83" s="152">
        <f t="shared" ca="1" si="6"/>
        <v>1</v>
      </c>
      <c r="J83" s="8"/>
      <c r="K83" s="8"/>
    </row>
    <row r="84" spans="1:11" s="1321" customFormat="1">
      <c r="A84" s="160" t="s">
        <v>885</v>
      </c>
      <c r="B84" s="578">
        <f xml:space="preserve"> HLOOKUP(GREET1_Import_Export!$B$687,$M$9:$Q$10,2,FALSE)/HLOOKUP(GREET1_Import_Export!$D$686,$M$7:$Q$8,2,FALSE)*HLOOKUP($D$3,$M$7:$Q$8,2,FALSE)/HLOOKUP($D$4,$M$9:$Q$10,2,FALSE)*(GREET1_Import_Export!$N708+GREET1_Import_Export!$O708)</f>
        <v>3.464853891965337E-3</v>
      </c>
      <c r="C84" s="1553">
        <f ca="1">HLOOKUP($D$3,$M$7:$Q$8,2,FALSE)/HLOOKUP($D$4,$M$9:$Q$10,2,FALSE)*MHDV_Sum!$D148</f>
        <v>2.2745974108410983E-3</v>
      </c>
      <c r="D84" s="1553">
        <f>HLOOKUP(GREET1_Import_Export!$B$687,$M$9:$Q$10,2,FALSE)/HLOOKUP(GREET1_Import_Export!$D$686,$M$7:$Q$8,2,FALSE)*HLOOKUP($D$3,$M$7:$Q$8,2,FALSE)/HLOOKUP($D$4,$M$9:$Q$10,2,FALSE)*GREET1_Import_Export!$P708</f>
        <v>1.5691693295503853E-3</v>
      </c>
      <c r="E84" s="478">
        <f t="shared" ca="1" si="5"/>
        <v>7.3086206323568215E-3</v>
      </c>
      <c r="F84" s="302">
        <f t="shared" ca="1" si="6"/>
        <v>0.47407767706886994</v>
      </c>
      <c r="G84" s="302">
        <f t="shared" ca="1" si="6"/>
        <v>0.31122116268711097</v>
      </c>
      <c r="H84" s="302">
        <f t="shared" ca="1" si="6"/>
        <v>0.21470116024401897</v>
      </c>
      <c r="I84" s="152">
        <f t="shared" ca="1" si="6"/>
        <v>1</v>
      </c>
      <c r="J84" s="8"/>
      <c r="K84" s="8"/>
    </row>
    <row r="85" spans="1:11" s="1321" customFormat="1">
      <c r="A85" s="160" t="s">
        <v>886</v>
      </c>
      <c r="B85" s="578">
        <f xml:space="preserve"> HLOOKUP(GREET1_Import_Export!$B$687,$M$9:$Q$10,2,FALSE)/HLOOKUP(GREET1_Import_Export!$D$686,$M$7:$Q$8,2,FALSE)*HLOOKUP($D$3,$M$7:$Q$8,2,FALSE)/HLOOKUP($D$4,$M$9:$Q$10,2,FALSE)*(GREET1_Import_Export!$N709+GREET1_Import_Export!$O709)</f>
        <v>3.793792407835609E-2</v>
      </c>
      <c r="C85" s="1553">
        <f ca="1">HLOOKUP($D$3,$M$7:$Q$8,2,FALSE)/HLOOKUP($D$4,$M$9:$Q$10,2,FALSE)*MHDV_Sum!$D149</f>
        <v>4.810655516213431E-3</v>
      </c>
      <c r="D85" s="1553">
        <f>HLOOKUP(GREET1_Import_Export!$B$687,$M$9:$Q$10,2,FALSE)/HLOOKUP(GREET1_Import_Export!$D$686,$M$7:$Q$8,2,FALSE)*HLOOKUP($D$3,$M$7:$Q$8,2,FALSE)/HLOOKUP($D$4,$M$9:$Q$10,2,FALSE)*GREET1_Import_Export!$P709</f>
        <v>2.0812252444626896E-3</v>
      </c>
      <c r="E85" s="478">
        <f t="shared" ca="1" si="5"/>
        <v>4.4829804839032213E-2</v>
      </c>
      <c r="F85" s="302">
        <f t="shared" ca="1" si="6"/>
        <v>0.84626565327637715</v>
      </c>
      <c r="G85" s="302">
        <f t="shared" ca="1" si="6"/>
        <v>0.10730931204110242</v>
      </c>
      <c r="H85" s="302">
        <f t="shared" ca="1" si="6"/>
        <v>4.6425034682520364E-2</v>
      </c>
      <c r="I85" s="152">
        <f t="shared" ca="1" si="6"/>
        <v>1</v>
      </c>
      <c r="J85" s="8"/>
      <c r="K85" s="8"/>
    </row>
    <row r="86" spans="1:11" s="1321" customFormat="1">
      <c r="A86" s="160" t="s">
        <v>890</v>
      </c>
      <c r="B86" s="578">
        <f xml:space="preserve"> HLOOKUP(GREET1_Import_Export!$B$687,$M$9:$Q$10,2,FALSE)/HLOOKUP(GREET1_Import_Export!$D$686,$M$7:$Q$8,2,FALSE)*HLOOKUP($D$3,$M$7:$Q$8,2,FALSE)/HLOOKUP($D$4,$M$9:$Q$10,2,FALSE)*(GREET1_Import_Export!$N710+GREET1_Import_Export!$O710)</f>
        <v>1.1881401813712588E-2</v>
      </c>
      <c r="C86" s="1553">
        <f ca="1">HLOOKUP($D$3,$M$7:$Q$8,2,FALSE)/HLOOKUP($D$4,$M$9:$Q$10,2,FALSE)*MHDV_Sum!$D150</f>
        <v>4.6069504258612469E-2</v>
      </c>
      <c r="D86" s="1553">
        <f>HLOOKUP(GREET1_Import_Export!$B$687,$M$9:$Q$10,2,FALSE)/HLOOKUP(GREET1_Import_Export!$D$686,$M$7:$Q$8,2,FALSE)*HLOOKUP($D$3,$M$7:$Q$8,2,FALSE)/HLOOKUP($D$4,$M$9:$Q$10,2,FALSE)*GREET1_Import_Export!$P710</f>
        <v>0</v>
      </c>
      <c r="E86" s="478">
        <f t="shared" ca="1" si="5"/>
        <v>5.7950906072325059E-2</v>
      </c>
      <c r="F86" s="302">
        <f t="shared" ca="1" si="6"/>
        <v>0.2050252984635671</v>
      </c>
      <c r="G86" s="302">
        <f t="shared" ca="1" si="6"/>
        <v>0.7949747015364329</v>
      </c>
      <c r="H86" s="302">
        <f t="shared" ca="1" si="6"/>
        <v>0</v>
      </c>
      <c r="I86" s="152">
        <f t="shared" ca="1" si="6"/>
        <v>1</v>
      </c>
      <c r="J86" s="8"/>
      <c r="K86" s="8"/>
    </row>
    <row r="87" spans="1:11" s="1321" customFormat="1">
      <c r="A87" s="160" t="s">
        <v>891</v>
      </c>
      <c r="B87" s="578">
        <f xml:space="preserve"> HLOOKUP(GREET1_Import_Export!$B$687,$M$9:$Q$10,2,FALSE)/HLOOKUP(GREET1_Import_Export!$D$686,$M$7:$Q$8,2,FALSE)*HLOOKUP($D$3,$M$7:$Q$8,2,FALSE)/HLOOKUP($D$4,$M$9:$Q$10,2,FALSE)*(GREET1_Import_Export!$N711+GREET1_Import_Export!$O711)</f>
        <v>6.6891862837152025E-2</v>
      </c>
      <c r="C87" s="1553">
        <f ca="1">HLOOKUP($D$3,$M$7:$Q$8,2,FALSE)/HLOOKUP($D$4,$M$9:$Q$10,2,FALSE)*MHDV_Sum!$D151</f>
        <v>9.2416846955544144E-3</v>
      </c>
      <c r="D87" s="1553">
        <f>HLOOKUP(GREET1_Import_Export!$B$687,$M$9:$Q$10,2,FALSE)/HLOOKUP(GREET1_Import_Export!$D$686,$M$7:$Q$8,2,FALSE)*HLOOKUP($D$3,$M$7:$Q$8,2,FALSE)/HLOOKUP($D$4,$M$9:$Q$10,2,FALSE)*GREET1_Import_Export!$P711</f>
        <v>0</v>
      </c>
      <c r="E87" s="478">
        <f t="shared" ca="1" si="5"/>
        <v>7.6133547532706444E-2</v>
      </c>
      <c r="F87" s="302">
        <f t="shared" ca="1" si="6"/>
        <v>0.87861218877809077</v>
      </c>
      <c r="G87" s="302">
        <f t="shared" ca="1" si="6"/>
        <v>0.12138781122190911</v>
      </c>
      <c r="H87" s="302">
        <f t="shared" ca="1" si="6"/>
        <v>0</v>
      </c>
      <c r="I87" s="152">
        <f t="shared" ca="1" si="6"/>
        <v>1</v>
      </c>
      <c r="J87" s="8"/>
      <c r="K87" s="8"/>
    </row>
    <row r="88" spans="1:11" s="1321" customFormat="1" ht="15.75">
      <c r="A88" s="160" t="s">
        <v>2325</v>
      </c>
      <c r="B88" s="578">
        <f xml:space="preserve"> HLOOKUP(GREET1_Import_Export!$B$687,$M$9:$Q$10,2,FALSE)/HLOOKUP(GREET1_Import_Export!$D$686,$M$7:$Q$8,2,FALSE)*HLOOKUP($D$3,$M$7:$Q$8,2,FALSE)/HLOOKUP($D$4,$M$9:$Q$10,2,FALSE)*(GREET1_Import_Export!$N712+GREET1_Import_Export!$O712)</f>
        <v>8.9285371775826988E-2</v>
      </c>
      <c r="C88" s="1553">
        <f ca="1">HLOOKUP($D$3,$M$7:$Q$8,2,FALSE)/HLOOKUP($D$4,$M$9:$Q$10,2,FALSE)*MHDV_Sum!$D152</f>
        <v>2.2299067402929057E-2</v>
      </c>
      <c r="D88" s="1553">
        <f>HLOOKUP(GREET1_Import_Export!$B$687,$M$9:$Q$10,2,FALSE)/HLOOKUP(GREET1_Import_Export!$D$686,$M$7:$Q$8,2,FALSE)*HLOOKUP($D$3,$M$7:$Q$8,2,FALSE)/HLOOKUP($D$4,$M$9:$Q$10,2,FALSE)*GREET1_Import_Export!$P712</f>
        <v>0</v>
      </c>
      <c r="E88" s="478">
        <f t="shared" ca="1" si="5"/>
        <v>0.11158443917875605</v>
      </c>
      <c r="F88" s="302">
        <f t="shared" ca="1" si="6"/>
        <v>0.8001597035657777</v>
      </c>
      <c r="G88" s="302">
        <f t="shared" ca="1" si="6"/>
        <v>0.1998402964342223</v>
      </c>
      <c r="H88" s="302">
        <f t="shared" ca="1" si="6"/>
        <v>0</v>
      </c>
      <c r="I88" s="152">
        <f t="shared" ca="1" si="6"/>
        <v>1</v>
      </c>
      <c r="J88" s="8"/>
      <c r="K88" s="8"/>
    </row>
    <row r="89" spans="1:11" s="1321" customFormat="1" ht="15.75">
      <c r="A89" s="160" t="s">
        <v>2326</v>
      </c>
      <c r="B89" s="578">
        <f xml:space="preserve"> HLOOKUP(GREET1_Import_Export!$B$687,$M$9:$Q$10,2,FALSE)/HLOOKUP(GREET1_Import_Export!$D$686,$M$7:$Q$8,2,FALSE)*HLOOKUP($D$3,$M$7:$Q$8,2,FALSE)/HLOOKUP($D$4,$M$9:$Q$10,2,FALSE)*(GREET1_Import_Export!$N713+GREET1_Import_Export!$O713)</f>
        <v>1.6994766632109939E-2</v>
      </c>
      <c r="C89" s="1553">
        <f ca="1">HLOOKUP($D$3,$M$7:$Q$8,2,FALSE)/HLOOKUP($D$4,$M$9:$Q$10,2,FALSE)*MHDV_Sum!$D153</f>
        <v>2.4760444294824858E-3</v>
      </c>
      <c r="D89" s="1553">
        <f>HLOOKUP(GREET1_Import_Export!$B$687,$M$9:$Q$10,2,FALSE)/HLOOKUP(GREET1_Import_Export!$D$686,$M$7:$Q$8,2,FALSE)*HLOOKUP($D$3,$M$7:$Q$8,2,FALSE)/HLOOKUP($D$4,$M$9:$Q$10,2,FALSE)*GREET1_Import_Export!$P713</f>
        <v>4.6388056190332606E-3</v>
      </c>
      <c r="E89" s="478">
        <f t="shared" ca="1" si="5"/>
        <v>2.4109616680625685E-2</v>
      </c>
      <c r="F89" s="302">
        <f t="shared" ca="1" si="6"/>
        <v>0.70489576243519503</v>
      </c>
      <c r="G89" s="302">
        <f t="shared" ca="1" si="6"/>
        <v>0.10269945235057251</v>
      </c>
      <c r="H89" s="302">
        <f t="shared" ca="1" si="6"/>
        <v>0.19240478521423243</v>
      </c>
      <c r="I89" s="152">
        <f t="shared" ca="1" si="6"/>
        <v>1</v>
      </c>
      <c r="J89" s="8"/>
      <c r="K89" s="8"/>
    </row>
    <row r="90" spans="1:11" s="1321" customFormat="1" ht="15.75">
      <c r="A90" s="160" t="s">
        <v>2327</v>
      </c>
      <c r="B90" s="578">
        <f xml:space="preserve"> HLOOKUP(GREET1_Import_Export!$B$687,$M$9:$Q$10,2,FALSE)/HLOOKUP(GREET1_Import_Export!$D$686,$M$7:$Q$8,2,FALSE)*HLOOKUP($D$3,$M$7:$Q$8,2,FALSE)/HLOOKUP($D$4,$M$9:$Q$10,2,FALSE)*(GREET1_Import_Export!$N714+GREET1_Import_Export!$O714)</f>
        <v>1.6401231948384394E-2</v>
      </c>
      <c r="C90" s="1553">
        <f ca="1">HLOOKUP($D$3,$M$7:$Q$8,2,FALSE)/HLOOKUP($D$4,$M$9:$Q$10,2,FALSE)*MHDV_Sum!$D154</f>
        <v>2.0740214346505886E-3</v>
      </c>
      <c r="D90" s="1553">
        <f>HLOOKUP(GREET1_Import_Export!$B$687,$M$9:$Q$10,2,FALSE)/HLOOKUP(GREET1_Import_Export!$D$686,$M$7:$Q$8,2,FALSE)*HLOOKUP($D$3,$M$7:$Q$8,2,FALSE)/HLOOKUP($D$4,$M$9:$Q$10,2,FALSE)*GREET1_Import_Export!$P714</f>
        <v>6.1431880437405454E-4</v>
      </c>
      <c r="E90" s="478">
        <f t="shared" ca="1" si="5"/>
        <v>1.9089572187409039E-2</v>
      </c>
      <c r="F90" s="302">
        <f t="shared" ca="1" si="6"/>
        <v>0.85917231603556832</v>
      </c>
      <c r="G90" s="302">
        <f t="shared" ca="1" si="6"/>
        <v>0.10864682635572927</v>
      </c>
      <c r="H90" s="302">
        <f t="shared" ca="1" si="6"/>
        <v>3.2180857608702332E-2</v>
      </c>
      <c r="I90" s="152">
        <f t="shared" ca="1" si="6"/>
        <v>1</v>
      </c>
      <c r="J90" s="8"/>
      <c r="K90" s="8"/>
    </row>
    <row r="91" spans="1:11" s="1321" customFormat="1" ht="15.75">
      <c r="A91" s="160" t="s">
        <v>2328</v>
      </c>
      <c r="B91" s="578">
        <f xml:space="preserve"> HLOOKUP(GREET1_Import_Export!$B$687,$M$9:$Q$10,2,FALSE)/HLOOKUP(GREET1_Import_Export!$D$686,$M$7:$Q$8,2,FALSE)*HLOOKUP($D$3,$M$7:$Q$8,2,FALSE)/HLOOKUP($D$4,$M$9:$Q$10,2,FALSE)*(GREET1_Import_Export!$N715+GREET1_Import_Export!$O715)</f>
        <v>9.9685589208043622E-3</v>
      </c>
      <c r="C91" s="1553">
        <f ca="1">HLOOKUP($D$3,$M$7:$Q$8,2,FALSE)/HLOOKUP($D$4,$M$9:$Q$10,2,FALSE)*MHDV_Sum!$D155</f>
        <v>2.0930233666071763E-2</v>
      </c>
      <c r="D91" s="1553">
        <f>HLOOKUP(GREET1_Import_Export!$B$687,$M$9:$Q$10,2,FALSE)/HLOOKUP(GREET1_Import_Export!$D$686,$M$7:$Q$8,2,FALSE)*HLOOKUP($D$3,$M$7:$Q$8,2,FALSE)/HLOOKUP($D$4,$M$9:$Q$10,2,FALSE)*GREET1_Import_Export!$P715</f>
        <v>0</v>
      </c>
      <c r="E91" s="478">
        <f t="shared" ca="1" si="5"/>
        <v>3.0898792586876125E-2</v>
      </c>
      <c r="F91" s="302">
        <f t="shared" ca="1" si="6"/>
        <v>0.32261969113441613</v>
      </c>
      <c r="G91" s="302">
        <f t="shared" ca="1" si="6"/>
        <v>0.67738030886558387</v>
      </c>
      <c r="H91" s="302">
        <f t="shared" ca="1" si="6"/>
        <v>0</v>
      </c>
      <c r="I91" s="152">
        <f t="shared" ca="1" si="6"/>
        <v>1</v>
      </c>
      <c r="J91" s="8"/>
      <c r="K91" s="8"/>
    </row>
    <row r="92" spans="1:11" s="1321" customFormat="1">
      <c r="A92" s="160" t="s">
        <v>896</v>
      </c>
      <c r="B92" s="578">
        <f xml:space="preserve"> HLOOKUP(GREET1_Import_Export!$B$687,$M$9:$Q$10,2,FALSE)/HLOOKUP(GREET1_Import_Export!$D$686,$M$7:$Q$8,2,FALSE)*HLOOKUP($D$3,$M$7:$Q$8,2,FALSE)/HLOOKUP($D$4,$M$9:$Q$10,2,FALSE)*(GREET1_Import_Export!$N716+GREET1_Import_Export!$O716)</f>
        <v>5.0626848461844242E-4</v>
      </c>
      <c r="C92" s="1553">
        <f ca="1">HLOOKUP($D$3,$M$7:$Q$8,2,FALSE)/HLOOKUP($D$4,$M$9:$Q$10,2,FALSE)*MHDV_Sum!$D156</f>
        <v>1.2195225894969404E-4</v>
      </c>
      <c r="D92" s="1553">
        <f>HLOOKUP(GREET1_Import_Export!$B$687,$M$9:$Q$10,2,FALSE)/HLOOKUP(GREET1_Import_Export!$D$686,$M$7:$Q$8,2,FALSE)*HLOOKUP($D$3,$M$7:$Q$8,2,FALSE)/HLOOKUP($D$4,$M$9:$Q$10,2,FALSE)*GREET1_Import_Export!$P716</f>
        <v>7.8458466477519264E-5</v>
      </c>
      <c r="E92" s="478">
        <f t="shared" ca="1" si="5"/>
        <v>7.0667921004565577E-4</v>
      </c>
      <c r="F92" s="302">
        <f t="shared" ca="1" si="6"/>
        <v>0.71640495067873078</v>
      </c>
      <c r="G92" s="302">
        <f t="shared" ca="1" si="6"/>
        <v>0.17257088819949179</v>
      </c>
      <c r="H92" s="302">
        <f t="shared" ca="1" si="6"/>
        <v>0.1110241611217774</v>
      </c>
      <c r="I92" s="152">
        <f t="shared" ca="1" si="6"/>
        <v>1</v>
      </c>
      <c r="J92" s="8"/>
      <c r="K92" s="8"/>
    </row>
    <row r="93" spans="1:11" s="1321" customFormat="1">
      <c r="A93" s="161" t="s">
        <v>897</v>
      </c>
      <c r="B93" s="584">
        <f xml:space="preserve"> HLOOKUP(GREET1_Import_Export!$B$687,$M$9:$Q$10,2,FALSE)/HLOOKUP(GREET1_Import_Export!$D$686,$M$7:$Q$8,2,FALSE)*HLOOKUP($D$3,$M$7:$Q$8,2,FALSE)/HLOOKUP($D$4,$M$9:$Q$10,2,FALSE)*(GREET1_Import_Export!$N717+GREET1_Import_Export!$O717)</f>
        <v>1.1075071101171695E-2</v>
      </c>
      <c r="C93" s="637">
        <f ca="1">HLOOKUP($D$3,$M$7:$Q$8,2,FALSE)/HLOOKUP($D$4,$M$9:$Q$10,2,FALSE)*MHDV_Sum!$D157</f>
        <v>4.2185844188758788E-4</v>
      </c>
      <c r="D93" s="637">
        <f>HLOOKUP(GREET1_Import_Export!$B$687,$M$9:$Q$10,2,FALSE)/HLOOKUP(GREET1_Import_Export!$D$686,$M$7:$Q$8,2,FALSE)*HLOOKUP($D$3,$M$7:$Q$8,2,FALSE)/HLOOKUP($D$4,$M$9:$Q$10,2,FALSE)*GREET1_Import_Export!$P717</f>
        <v>1.0406126222313449E-4</v>
      </c>
      <c r="E93" s="585">
        <f t="shared" ca="1" si="5"/>
        <v>1.1600990805282417E-2</v>
      </c>
      <c r="F93" s="1020">
        <f t="shared" ca="1" si="6"/>
        <v>0.95466596664560333</v>
      </c>
      <c r="G93" s="1020">
        <f t="shared" ca="1" si="6"/>
        <v>3.6364001055452788E-2</v>
      </c>
      <c r="H93" s="1020">
        <f t="shared" ca="1" si="6"/>
        <v>8.9700322989439002E-3</v>
      </c>
      <c r="I93" s="154">
        <f t="shared" ca="1" si="6"/>
        <v>1</v>
      </c>
      <c r="J93" s="8"/>
      <c r="K93" s="8"/>
    </row>
    <row r="94" spans="1:11" s="1321" customFormat="1">
      <c r="A94" s="8"/>
      <c r="B94" s="8"/>
      <c r="C94" s="8"/>
      <c r="D94" s="8"/>
      <c r="E94" s="8"/>
      <c r="F94" s="302"/>
      <c r="G94" s="302"/>
      <c r="H94" s="302"/>
      <c r="I94" s="8"/>
      <c r="J94" s="8"/>
      <c r="K94" s="8"/>
    </row>
    <row r="95" spans="1:11" s="1321" customFormat="1" ht="14.25">
      <c r="A95" s="63" t="s">
        <v>2695</v>
      </c>
      <c r="B95" s="2959"/>
      <c r="C95" s="2959"/>
      <c r="D95" s="2959"/>
      <c r="E95" s="2959"/>
      <c r="F95" s="2959"/>
      <c r="G95" s="2959"/>
      <c r="H95" s="2959"/>
      <c r="I95" s="8"/>
      <c r="J95" s="8"/>
      <c r="K95" s="8"/>
    </row>
    <row r="96" spans="1:11" s="1321" customFormat="1">
      <c r="A96" s="135"/>
      <c r="B96" s="3060" t="str">
        <f>$B$3&amp;"/"&amp;$D$4&amp;" or "&amp;$D$3&amp;"/"&amp;$D$4</f>
        <v>Btu/mile or g/mile</v>
      </c>
      <c r="C96" s="3061"/>
      <c r="D96" s="3061"/>
      <c r="E96" s="3062"/>
      <c r="F96" s="3005" t="s">
        <v>1890</v>
      </c>
      <c r="G96" s="3005"/>
      <c r="H96" s="3005"/>
      <c r="I96" s="3180"/>
      <c r="J96" s="8"/>
      <c r="K96" s="8"/>
    </row>
    <row r="97" spans="1:11" s="1321" customFormat="1" ht="25.5">
      <c r="A97" s="908" t="s">
        <v>1923</v>
      </c>
      <c r="B97" s="671" t="s">
        <v>1924</v>
      </c>
      <c r="C97" s="670" t="s">
        <v>1925</v>
      </c>
      <c r="D97" s="670" t="s">
        <v>1926</v>
      </c>
      <c r="E97" s="672" t="s">
        <v>1894</v>
      </c>
      <c r="F97" s="1658" t="s">
        <v>1924</v>
      </c>
      <c r="G97" s="1658" t="s">
        <v>1925</v>
      </c>
      <c r="H97" s="1658" t="s">
        <v>1926</v>
      </c>
      <c r="I97" s="1226" t="s">
        <v>1894</v>
      </c>
      <c r="J97" s="8"/>
      <c r="K97" s="8"/>
    </row>
    <row r="98" spans="1:11" s="1321" customFormat="1">
      <c r="A98" s="135" t="s">
        <v>876</v>
      </c>
      <c r="B98" s="2733">
        <f xml:space="preserve"> HLOOKUP(GREET1_Import_Export!$B$687,$M$9:$Q$10,2,FALSE)/HLOOKUP(GREET1_Import_Export!$B$686,$M$5:$Q$6,2,FALSE)*HLOOKUP($B$3,$M$5:$Q$6,2,FALSE)/HLOOKUP($D$4,$M$9:$Q$10,2,FALSE)*(GREET1_Import_Export!$T692+GREET1_Import_Export!$U692)</f>
        <v>8608.4806204447195</v>
      </c>
      <c r="C98" s="2734">
        <f ca="1">HLOOKUP($B$3,$M$5:$Q$6,2,FALSE)/HLOOKUP($D$4,$M$9:$Q$10,2,FALSE)*MHDV_Sum!$E131</f>
        <v>1340.8142319802218</v>
      </c>
      <c r="D98" s="2734">
        <f>HLOOKUP(GREET1_Import_Export!$B$687,$M$9:$Q$10,2,FALSE)/HLOOKUP(GREET1_Import_Export!$B$686,$M$5:$Q$6,2,FALSE)*HLOOKUP($B$3,$M$5:$Q$6,2,FALSE)/HLOOKUP($D$4,$M$9:$Q$10,2,FALSE)*GREET1_Import_Export!$V692</f>
        <v>16380.061937467344</v>
      </c>
      <c r="E98" s="2735">
        <f t="shared" ref="E98:E123" ca="1" si="7">SUM(B98:D98)</f>
        <v>26329.356789892285</v>
      </c>
      <c r="F98" s="302">
        <f t="shared" ref="F98:I123" ca="1" si="8">B98/$E98</f>
        <v>0.32695369997604629</v>
      </c>
      <c r="G98" s="302">
        <f t="shared" ca="1" si="8"/>
        <v>5.0924686185078172E-2</v>
      </c>
      <c r="H98" s="302">
        <f t="shared" ca="1" si="8"/>
        <v>0.62212161383887554</v>
      </c>
      <c r="I98" s="575">
        <f t="shared" ca="1" si="8"/>
        <v>1</v>
      </c>
      <c r="J98" s="8"/>
      <c r="K98" s="8"/>
    </row>
    <row r="99" spans="1:11" s="1321" customFormat="1">
      <c r="A99" s="160" t="s">
        <v>877</v>
      </c>
      <c r="B99" s="650">
        <f xml:space="preserve"> HLOOKUP(GREET1_Import_Export!$B$687,$M$9:$Q$10,2,FALSE)/HLOOKUP(GREET1_Import_Export!$B$686,$M$5:$Q$6,2,FALSE)*HLOOKUP($B$3,$M$5:$Q$6,2,FALSE)/HLOOKUP($D$4,$M$9:$Q$10,2,FALSE)*(GREET1_Import_Export!$T693+GREET1_Import_Export!$U693)</f>
        <v>7835.5586100280862</v>
      </c>
      <c r="C99" s="522">
        <f ca="1">HLOOKUP($B$3,$M$5:$Q$6,2,FALSE)/HLOOKUP($D$4,$M$9:$Q$10,2,FALSE)*MHDV_Sum!$E132</f>
        <v>1183.3356454006164</v>
      </c>
      <c r="D99" s="522">
        <f>HLOOKUP(GREET1_Import_Export!$B$687,$M$9:$Q$10,2,FALSE)/HLOOKUP(GREET1_Import_Export!$B$686,$M$5:$Q$6,2,FALSE)*HLOOKUP($B$3,$M$5:$Q$6,2,FALSE)/HLOOKUP($D$4,$M$9:$Q$10,2,FALSE)*GREET1_Import_Export!$V693</f>
        <v>16380.061937467344</v>
      </c>
      <c r="E99" s="159">
        <f t="shared" ca="1" si="7"/>
        <v>25398.956192896047</v>
      </c>
      <c r="F99" s="302">
        <f t="shared" ca="1" si="8"/>
        <v>0.30849923715446426</v>
      </c>
      <c r="G99" s="302">
        <f t="shared" ca="1" si="8"/>
        <v>4.6589932137903724E-2</v>
      </c>
      <c r="H99" s="302">
        <f t="shared" ca="1" si="8"/>
        <v>0.644910830707632</v>
      </c>
      <c r="I99" s="152">
        <f t="shared" ca="1" si="8"/>
        <v>1</v>
      </c>
      <c r="J99" s="8"/>
      <c r="K99" s="8"/>
    </row>
    <row r="100" spans="1:11" s="1321" customFormat="1">
      <c r="A100" s="160" t="s">
        <v>442</v>
      </c>
      <c r="B100" s="650">
        <f xml:space="preserve"> HLOOKUP(GREET1_Import_Export!$B$687,$M$9:$Q$10,2,FALSE)/HLOOKUP(GREET1_Import_Export!$B$686,$M$5:$Q$6,2,FALSE)*HLOOKUP($B$3,$M$5:$Q$6,2,FALSE)/HLOOKUP($D$4,$M$9:$Q$10,2,FALSE)*(GREET1_Import_Export!$T694+GREET1_Import_Export!$U694)</f>
        <v>1021.7218594601065</v>
      </c>
      <c r="C100" s="522">
        <f ca="1">HLOOKUP($B$3,$M$5:$Q$6,2,FALSE)/HLOOKUP($D$4,$M$9:$Q$10,2,FALSE)*MHDV_Sum!$E133</f>
        <v>295.20008505935033</v>
      </c>
      <c r="D100" s="522">
        <f>HLOOKUP(GREET1_Import_Export!$B$687,$M$9:$Q$10,2,FALSE)/HLOOKUP(GREET1_Import_Export!$B$686,$M$5:$Q$6,2,FALSE)*HLOOKUP($B$3,$M$5:$Q$6,2,FALSE)/HLOOKUP($D$4,$M$9:$Q$10,2,FALSE)*GREET1_Import_Export!$V694</f>
        <v>0</v>
      </c>
      <c r="E100" s="159">
        <f t="shared" ca="1" si="7"/>
        <v>1316.9219445194569</v>
      </c>
      <c r="F100" s="302">
        <f t="shared" ca="1" si="8"/>
        <v>0.77584086415458098</v>
      </c>
      <c r="G100" s="302">
        <f t="shared" ca="1" si="8"/>
        <v>0.22415913584541902</v>
      </c>
      <c r="H100" s="302">
        <f t="shared" ca="1" si="8"/>
        <v>0</v>
      </c>
      <c r="I100" s="152">
        <f t="shared" ca="1" si="8"/>
        <v>1</v>
      </c>
      <c r="J100" s="8"/>
      <c r="K100" s="8"/>
    </row>
    <row r="101" spans="1:11" s="1321" customFormat="1">
      <c r="A101" s="160" t="s">
        <v>878</v>
      </c>
      <c r="B101" s="650">
        <f xml:space="preserve"> HLOOKUP(GREET1_Import_Export!$B$687,$M$9:$Q$10,2,FALSE)/HLOOKUP(GREET1_Import_Export!$B$686,$M$5:$Q$6,2,FALSE)*HLOOKUP($B$3,$M$5:$Q$6,2,FALSE)/HLOOKUP($D$4,$M$9:$Q$10,2,FALSE)*(GREET1_Import_Export!$T695+GREET1_Import_Export!$U695)</f>
        <v>6704.886106986125</v>
      </c>
      <c r="C101" s="522">
        <f ca="1">HLOOKUP($B$3,$M$5:$Q$6,2,FALSE)/HLOOKUP($D$4,$M$9:$Q$10,2,FALSE)*MHDV_Sum!$E134</f>
        <v>606.13899755163879</v>
      </c>
      <c r="D101" s="522">
        <f>HLOOKUP(GREET1_Import_Export!$B$687,$M$9:$Q$10,2,FALSE)/HLOOKUP(GREET1_Import_Export!$B$686,$M$5:$Q$6,2,FALSE)*HLOOKUP($B$3,$M$5:$Q$6,2,FALSE)/HLOOKUP($D$4,$M$9:$Q$10,2,FALSE)*GREET1_Import_Export!$V695</f>
        <v>16380.061937467344</v>
      </c>
      <c r="E101" s="159">
        <f t="shared" ca="1" si="7"/>
        <v>23691.087042005107</v>
      </c>
      <c r="F101" s="302">
        <f t="shared" ca="1" si="8"/>
        <v>0.28301302068149647</v>
      </c>
      <c r="G101" s="302">
        <f t="shared" ca="1" si="8"/>
        <v>2.5585107026829694E-2</v>
      </c>
      <c r="H101" s="302">
        <f t="shared" ca="1" si="8"/>
        <v>0.69140187229167382</v>
      </c>
      <c r="I101" s="152">
        <f t="shared" ca="1" si="8"/>
        <v>1</v>
      </c>
      <c r="J101" s="8"/>
      <c r="K101" s="8"/>
    </row>
    <row r="102" spans="1:11" s="1321" customFormat="1">
      <c r="A102" s="160" t="s">
        <v>440</v>
      </c>
      <c r="B102" s="650">
        <f xml:space="preserve"> HLOOKUP(GREET1_Import_Export!$B$687,$M$9:$Q$10,2,FALSE)/HLOOKUP(GREET1_Import_Export!$B$686,$M$5:$Q$6,2,FALSE)*HLOOKUP($B$3,$M$5:$Q$6,2,FALSE)/HLOOKUP($D$4,$M$9:$Q$10,2,FALSE)*(GREET1_Import_Export!$T696+GREET1_Import_Export!$U696)</f>
        <v>108.95064358185384</v>
      </c>
      <c r="C102" s="522">
        <f ca="1">HLOOKUP($B$3,$M$5:$Q$6,2,FALSE)/HLOOKUP($D$4,$M$9:$Q$10,2,FALSE)*MHDV_Sum!$E135</f>
        <v>281.99656278962726</v>
      </c>
      <c r="D102" s="522">
        <f>HLOOKUP(GREET1_Import_Export!$B$687,$M$9:$Q$10,2,FALSE)/HLOOKUP(GREET1_Import_Export!$B$686,$M$5:$Q$6,2,FALSE)*HLOOKUP($B$3,$M$5:$Q$6,2,FALSE)/HLOOKUP($D$4,$M$9:$Q$10,2,FALSE)*GREET1_Import_Export!$V696</f>
        <v>0</v>
      </c>
      <c r="E102" s="159">
        <f t="shared" ca="1" si="7"/>
        <v>390.94720637148112</v>
      </c>
      <c r="F102" s="302">
        <f t="shared" ca="1" si="8"/>
        <v>0.27868377572783593</v>
      </c>
      <c r="G102" s="302">
        <f t="shared" ca="1" si="8"/>
        <v>0.72131622427216402</v>
      </c>
      <c r="H102" s="302">
        <f t="shared" ca="1" si="8"/>
        <v>0</v>
      </c>
      <c r="I102" s="152">
        <f t="shared" ca="1" si="8"/>
        <v>1</v>
      </c>
      <c r="J102" s="8"/>
      <c r="K102" s="8"/>
    </row>
    <row r="103" spans="1:11" s="1321" customFormat="1">
      <c r="A103" s="160" t="s">
        <v>819</v>
      </c>
      <c r="B103" s="578">
        <f xml:space="preserve"> HLOOKUP(GREET1_Import_Export!$B$687,$M$9:$Q$10,2,FALSE)/HLOOKUP(GREET1_Import_Export!$B$686,$M$5:$Q$6,2,FALSE)*HLOOKUP($B$3,$M$5:$Q$6,2,FALSE)/HLOOKUP($D$4,$M$9:$Q$10,2,FALSE)*(GREET1_Import_Export!$T697+GREET1_Import_Export!$U697)</f>
        <v>0.60097521136986221</v>
      </c>
      <c r="C103" s="1553">
        <f ca="1">HLOOKUP($B$3,$M$5:$Q$6,2,FALSE)/HLOOKUP($D$4,$M$9:$Q$10,2,FALSE)*MHDV_Sum!$E136</f>
        <v>7.7322633982824102E-2</v>
      </c>
      <c r="D103" s="1553">
        <f>HLOOKUP(GREET1_Import_Export!$B$687,$M$9:$Q$10,2,FALSE)/HLOOKUP(GREET1_Import_Export!$B$686,$M$5:$Q$6,2,FALSE)*HLOOKUP($B$3,$M$5:$Q$6,2,FALSE)/HLOOKUP($D$4,$M$9:$Q$10,2,FALSE)*GREET1_Import_Export!$V697</f>
        <v>0</v>
      </c>
      <c r="E103" s="478">
        <f t="shared" ca="1" si="7"/>
        <v>0.67829784535268633</v>
      </c>
      <c r="F103" s="302">
        <f t="shared" ca="1" si="8"/>
        <v>0.88600489517607184</v>
      </c>
      <c r="G103" s="302">
        <f t="shared" ca="1" si="8"/>
        <v>0.11399510482392818</v>
      </c>
      <c r="H103" s="302">
        <f t="shared" ca="1" si="8"/>
        <v>0</v>
      </c>
      <c r="I103" s="152">
        <f t="shared" ca="1" si="8"/>
        <v>1</v>
      </c>
      <c r="J103" s="8"/>
      <c r="K103" s="8"/>
    </row>
    <row r="104" spans="1:11" s="1321" customFormat="1" ht="15.75">
      <c r="A104" s="160" t="s">
        <v>2598</v>
      </c>
      <c r="B104" s="650">
        <f xml:space="preserve"> HLOOKUP(GREET1_Import_Export!$B$687,$M$9:$Q$10,2,FALSE)/HLOOKUP(GREET1_Import_Export!$D$686,$M$7:$Q$8,2,FALSE)*HLOOKUP($D$3,$M$7:$Q$8,2,FALSE)/HLOOKUP($D$4,$M$9:$Q$10,2,FALSE)*(GREET1_Import_Export!$T698+GREET1_Import_Export!$U698)</f>
        <v>1484.5629563377354</v>
      </c>
      <c r="C104" s="522">
        <f ca="1">HLOOKUP($D$3,$M$7:$Q$8,2,FALSE)/HLOOKUP($D$4,$M$9:$Q$10,2,FALSE)*MHDV_Sum!$E138</f>
        <v>79.988470269002164</v>
      </c>
      <c r="D104" s="522">
        <f>HLOOKUP(GREET1_Import_Export!$B$687,$M$9:$Q$10,2,FALSE)/HLOOKUP(GREET1_Import_Export!$D$686,$M$7:$Q$8,2,FALSE)*HLOOKUP($D$3,$M$7:$Q$8,2,FALSE)/HLOOKUP($D$4,$M$9:$Q$10,2,FALSE)*GREET1_Import_Export!$V698</f>
        <v>0</v>
      </c>
      <c r="E104" s="159">
        <f t="shared" ca="1" si="7"/>
        <v>1564.5514266067376</v>
      </c>
      <c r="F104" s="302">
        <f t="shared" ca="1" si="8"/>
        <v>0.94887450235976945</v>
      </c>
      <c r="G104" s="302">
        <f t="shared" ca="1" si="8"/>
        <v>5.112549764023059E-2</v>
      </c>
      <c r="H104" s="302">
        <f t="shared" ca="1" si="8"/>
        <v>0</v>
      </c>
      <c r="I104" s="152">
        <f t="shared" ca="1" si="8"/>
        <v>1</v>
      </c>
      <c r="J104" s="8"/>
      <c r="K104" s="8"/>
    </row>
    <row r="105" spans="1:11" s="1321" customFormat="1" ht="15.75">
      <c r="A105" s="160" t="s">
        <v>2320</v>
      </c>
      <c r="B105" s="578">
        <f xml:space="preserve"> HLOOKUP(GREET1_Import_Export!$B$687,$M$9:$Q$10,2,FALSE)/HLOOKUP(GREET1_Import_Export!$D$686,$M$7:$Q$8,2,FALSE)*HLOOKUP($D$3,$M$7:$Q$8,2,FALSE)/HLOOKUP($D$4,$M$9:$Q$10,2,FALSE)*(GREET1_Import_Export!$T699+GREET1_Import_Export!$U699)</f>
        <v>3.5519462080071995</v>
      </c>
      <c r="C105" s="1553">
        <f ca="1">HLOOKUP($D$3,$M$7:$Q$8,2,FALSE)/HLOOKUP($D$4,$M$9:$Q$10,2,FALSE)*MHDV_Sum!$E139</f>
        <v>0.18721073783016914</v>
      </c>
      <c r="D105" s="1553">
        <f>HLOOKUP(GREET1_Import_Export!$B$687,$M$9:$Q$10,2,FALSE)/HLOOKUP(GREET1_Import_Export!$D$686,$M$7:$Q$8,2,FALSE)*HLOOKUP($D$3,$M$7:$Q$8,2,FALSE)/HLOOKUP($D$4,$M$9:$Q$10,2,FALSE)*GREET1_Import_Export!$V699</f>
        <v>0</v>
      </c>
      <c r="E105" s="478">
        <f t="shared" ca="1" si="7"/>
        <v>3.7391569458373688</v>
      </c>
      <c r="F105" s="302">
        <f t="shared" ca="1" si="8"/>
        <v>0.94993236696347227</v>
      </c>
      <c r="G105" s="302">
        <f t="shared" ca="1" si="8"/>
        <v>5.0067633036527719E-2</v>
      </c>
      <c r="H105" s="302">
        <f t="shared" ca="1" si="8"/>
        <v>0</v>
      </c>
      <c r="I105" s="152">
        <f t="shared" ca="1" si="8"/>
        <v>1</v>
      </c>
      <c r="J105" s="8"/>
      <c r="K105" s="8"/>
    </row>
    <row r="106" spans="1:11" s="1321" customFormat="1" ht="15.75">
      <c r="A106" s="160" t="s">
        <v>2321</v>
      </c>
      <c r="B106" s="578">
        <f xml:space="preserve"> HLOOKUP(GREET1_Import_Export!$B$687,$M$9:$Q$10,2,FALSE)/HLOOKUP(GREET1_Import_Export!$D$686,$M$7:$Q$8,2,FALSE)*HLOOKUP($D$3,$M$7:$Q$8,2,FALSE)/HLOOKUP($D$4,$M$9:$Q$10,2,FALSE)*(GREET1_Import_Export!$T700+GREET1_Import_Export!$U700)</f>
        <v>1.3774883604849311E-2</v>
      </c>
      <c r="C106" s="1553">
        <f ca="1">HLOOKUP($D$3,$M$7:$Q$8,2,FALSE)/HLOOKUP($D$4,$M$9:$Q$10,2,FALSE)*MHDV_Sum!$E140</f>
        <v>1.6499928721721167E-3</v>
      </c>
      <c r="D106" s="1553">
        <f>HLOOKUP(GREET1_Import_Export!$B$687,$M$9:$Q$10,2,FALSE)/HLOOKUP(GREET1_Import_Export!$D$686,$M$7:$Q$8,2,FALSE)*HLOOKUP($D$3,$M$7:$Q$8,2,FALSE)/HLOOKUP($D$4,$M$9:$Q$10,2,FALSE)*GREET1_Import_Export!$V700</f>
        <v>0</v>
      </c>
      <c r="E106" s="478">
        <f t="shared" ca="1" si="7"/>
        <v>1.5424876477021428E-2</v>
      </c>
      <c r="F106" s="302">
        <f t="shared" ca="1" si="8"/>
        <v>0.89303039965148989</v>
      </c>
      <c r="G106" s="302">
        <f t="shared" ca="1" si="8"/>
        <v>0.10696960034851011</v>
      </c>
      <c r="H106" s="302">
        <f t="shared" ca="1" si="8"/>
        <v>0</v>
      </c>
      <c r="I106" s="152">
        <f t="shared" ca="1" si="8"/>
        <v>1</v>
      </c>
      <c r="J106" s="8"/>
      <c r="K106" s="8"/>
    </row>
    <row r="107" spans="1:11" s="1321" customFormat="1">
      <c r="A107" s="160" t="s">
        <v>1896</v>
      </c>
      <c r="B107" s="650">
        <f xml:space="preserve"> HLOOKUP(GREET1_Import_Export!$B$687,$M$9:$Q$10,2,FALSE)/HLOOKUP(GREET1_Import_Export!$D$686,$M$7:$Q$8,2,FALSE)*HLOOKUP($D$3,$M$7:$Q$8,2,FALSE)/HLOOKUP($D$4,$M$9:$Q$10,2,FALSE)*(GREET1_Import_Export!$T701+GREET1_Import_Export!$U701)</f>
        <v>1594.7716867332363</v>
      </c>
      <c r="C107" s="522">
        <f ca="1">HLOOKUP($D$3,$M$7:$Q$8,2,FALSE)/HLOOKUP($D$4,$M$9:$Q$10,2,FALSE)*MHDV_Sum!$E141</f>
        <v>87.116680948233039</v>
      </c>
      <c r="D107" s="522">
        <f>HLOOKUP(GREET1_Import_Export!$B$687,$M$9:$Q$10,2,FALSE)/HLOOKUP(GREET1_Import_Export!$D$686,$M$7:$Q$8,2,FALSE)*HLOOKUP($D$3,$M$7:$Q$8,2,FALSE)/HLOOKUP($D$4,$M$9:$Q$10,2,FALSE)*GREET1_Import_Export!$V701</f>
        <v>0</v>
      </c>
      <c r="E107" s="159">
        <f t="shared" ca="1" si="7"/>
        <v>1681.8883676814694</v>
      </c>
      <c r="F107" s="302">
        <f t="shared" ca="1" si="8"/>
        <v>0.94820305400629779</v>
      </c>
      <c r="G107" s="302">
        <f t="shared" ca="1" si="8"/>
        <v>5.1796945993702215E-2</v>
      </c>
      <c r="H107" s="302">
        <f t="shared" ca="1" si="8"/>
        <v>0</v>
      </c>
      <c r="I107" s="152">
        <f t="shared" ca="1" si="8"/>
        <v>1</v>
      </c>
      <c r="J107" s="8"/>
      <c r="K107" s="8"/>
    </row>
    <row r="108" spans="1:11" s="1321" customFormat="1">
      <c r="A108" s="160" t="s">
        <v>879</v>
      </c>
      <c r="B108" s="578">
        <f xml:space="preserve"> HLOOKUP(GREET1_Import_Export!$B$687,$M$9:$Q$10,2,FALSE)/HLOOKUP(GREET1_Import_Export!$D$686,$M$7:$Q$8,2,FALSE)*HLOOKUP($D$3,$M$7:$Q$8,2,FALSE)/HLOOKUP($D$4,$M$9:$Q$10,2,FALSE)*(GREET1_Import_Export!$T702+GREET1_Import_Export!$U702)</f>
        <v>0.19180059038823027</v>
      </c>
      <c r="C108" s="1553">
        <f ca="1">HLOOKUP($D$3,$M$7:$Q$8,2,FALSE)/HLOOKUP($D$4,$M$9:$Q$10,2,FALSE)*MHDV_Sum!$E142</f>
        <v>0.13210771760309895</v>
      </c>
      <c r="D108" s="1553">
        <f>HLOOKUP(GREET1_Import_Export!$B$687,$M$9:$Q$10,2,FALSE)/HLOOKUP(GREET1_Import_Export!$D$686,$M$7:$Q$8,2,FALSE)*HLOOKUP($D$3,$M$7:$Q$8,2,FALSE)/HLOOKUP($D$4,$M$9:$Q$10,2,FALSE)*GREET1_Import_Export!$V702</f>
        <v>0</v>
      </c>
      <c r="E108" s="478">
        <f t="shared" ca="1" si="7"/>
        <v>0.32390830799132919</v>
      </c>
      <c r="F108" s="302">
        <f t="shared" ca="1" si="8"/>
        <v>0.59214470779602435</v>
      </c>
      <c r="G108" s="302">
        <f t="shared" ca="1" si="8"/>
        <v>0.40785529220397576</v>
      </c>
      <c r="H108" s="302">
        <f t="shared" ca="1" si="8"/>
        <v>0</v>
      </c>
      <c r="I108" s="152">
        <f t="shared" ca="1" si="8"/>
        <v>1</v>
      </c>
      <c r="J108" s="8"/>
      <c r="K108" s="8"/>
    </row>
    <row r="109" spans="1:11" s="1321" customFormat="1">
      <c r="A109" s="160" t="s">
        <v>880</v>
      </c>
      <c r="B109" s="578">
        <f xml:space="preserve"> HLOOKUP(GREET1_Import_Export!$B$687,$M$9:$Q$10,2,FALSE)/HLOOKUP(GREET1_Import_Export!$D$686,$M$7:$Q$8,2,FALSE)*HLOOKUP($D$3,$M$7:$Q$8,2,FALSE)/HLOOKUP($D$4,$M$9:$Q$10,2,FALSE)*(GREET1_Import_Export!$T703+GREET1_Import_Export!$U703)</f>
        <v>0.32504749055675553</v>
      </c>
      <c r="C109" s="1553">
        <f ca="1">HLOOKUP($D$3,$M$7:$Q$8,2,FALSE)/HLOOKUP($D$4,$M$9:$Q$10,2,FALSE)*MHDV_Sum!$E143</f>
        <v>0.1988444381018398</v>
      </c>
      <c r="D109" s="1553">
        <f>HLOOKUP(GREET1_Import_Export!$B$687,$M$9:$Q$10,2,FALSE)/HLOOKUP(GREET1_Import_Export!$D$686,$M$7:$Q$8,2,FALSE)*HLOOKUP($D$3,$M$7:$Q$8,2,FALSE)/HLOOKUP($D$4,$M$9:$Q$10,2,FALSE)*GREET1_Import_Export!$V703</f>
        <v>0</v>
      </c>
      <c r="E109" s="478">
        <f t="shared" ca="1" si="7"/>
        <v>0.52389192865859535</v>
      </c>
      <c r="F109" s="302">
        <f t="shared" ca="1" si="8"/>
        <v>0.62044760145289279</v>
      </c>
      <c r="G109" s="302">
        <f t="shared" ca="1" si="8"/>
        <v>0.37955239854710715</v>
      </c>
      <c r="H109" s="302">
        <f t="shared" ca="1" si="8"/>
        <v>0</v>
      </c>
      <c r="I109" s="152">
        <f t="shared" ca="1" si="8"/>
        <v>1</v>
      </c>
      <c r="J109" s="8"/>
      <c r="K109" s="8"/>
    </row>
    <row r="110" spans="1:11" s="1321" customFormat="1" ht="15.75">
      <c r="A110" s="160" t="s">
        <v>2599</v>
      </c>
      <c r="B110" s="578">
        <f xml:space="preserve"> HLOOKUP(GREET1_Import_Export!$B$687,$M$9:$Q$10,2,FALSE)/HLOOKUP(GREET1_Import_Export!$D$686,$M$7:$Q$8,2,FALSE)*HLOOKUP($D$3,$M$7:$Q$8,2,FALSE)/HLOOKUP($D$4,$M$9:$Q$10,2,FALSE)*(GREET1_Import_Export!$T704+GREET1_Import_Export!$U704)</f>
        <v>0.4735167417931837</v>
      </c>
      <c r="C110" s="1553">
        <f ca="1">HLOOKUP($D$3,$M$7:$Q$8,2,FALSE)/HLOOKUP($D$4,$M$9:$Q$10,2,FALSE)*MHDV_Sum!$E144</f>
        <v>8.3190415525978334E-2</v>
      </c>
      <c r="D110" s="1553">
        <f>HLOOKUP(GREET1_Import_Export!$B$687,$M$9:$Q$10,2,FALSE)/HLOOKUP(GREET1_Import_Export!$D$686,$M$7:$Q$8,2,FALSE)*HLOOKUP($D$3,$M$7:$Q$8,2,FALSE)/HLOOKUP($D$4,$M$9:$Q$10,2,FALSE)*GREET1_Import_Export!$V704</f>
        <v>0</v>
      </c>
      <c r="E110" s="478">
        <f t="shared" ca="1" si="7"/>
        <v>0.55670715731916198</v>
      </c>
      <c r="F110" s="302">
        <f t="shared" ca="1" si="8"/>
        <v>0.85056700918561223</v>
      </c>
      <c r="G110" s="302">
        <f t="shared" ca="1" si="8"/>
        <v>0.14943299081438791</v>
      </c>
      <c r="H110" s="302">
        <f t="shared" ca="1" si="8"/>
        <v>0</v>
      </c>
      <c r="I110" s="152">
        <f t="shared" ca="1" si="8"/>
        <v>1</v>
      </c>
      <c r="J110" s="8"/>
      <c r="K110" s="8"/>
    </row>
    <row r="111" spans="1:11" s="1321" customFormat="1" ht="15.75">
      <c r="A111" s="160" t="s">
        <v>2322</v>
      </c>
      <c r="B111" s="578">
        <f xml:space="preserve"> HLOOKUP(GREET1_Import_Export!$B$687,$M$9:$Q$10,2,FALSE)/HLOOKUP(GREET1_Import_Export!$D$686,$M$7:$Q$8,2,FALSE)*HLOOKUP($D$3,$M$7:$Q$8,2,FALSE)/HLOOKUP($D$4,$M$9:$Q$10,2,FALSE)*(GREET1_Import_Export!$T705+GREET1_Import_Export!$U705)</f>
        <v>6.7382965768322686E-2</v>
      </c>
      <c r="C111" s="1553">
        <f ca="1">HLOOKUP($D$3,$M$7:$Q$8,2,FALSE)/HLOOKUP($D$4,$M$9:$Q$10,2,FALSE)*MHDV_Sum!$E145</f>
        <v>3.3646189638501772E-2</v>
      </c>
      <c r="D111" s="1553">
        <f>HLOOKUP(GREET1_Import_Export!$B$687,$M$9:$Q$10,2,FALSE)/HLOOKUP(GREET1_Import_Export!$D$686,$M$7:$Q$8,2,FALSE)*HLOOKUP($D$3,$M$7:$Q$8,2,FALSE)/HLOOKUP($D$4,$M$9:$Q$10,2,FALSE)*GREET1_Import_Export!$V705</f>
        <v>9.2776112380665202E-2</v>
      </c>
      <c r="E111" s="478">
        <f t="shared" ca="1" si="7"/>
        <v>0.19380526778748966</v>
      </c>
      <c r="F111" s="302">
        <f t="shared" ca="1" si="8"/>
        <v>0.34768387122587968</v>
      </c>
      <c r="G111" s="302">
        <f t="shared" ca="1" si="8"/>
        <v>0.17360823068749254</v>
      </c>
      <c r="H111" s="302">
        <f t="shared" ca="1" si="8"/>
        <v>0.47870789808662778</v>
      </c>
      <c r="I111" s="152">
        <f t="shared" ca="1" si="8"/>
        <v>1</v>
      </c>
      <c r="J111" s="8"/>
      <c r="K111" s="8"/>
    </row>
    <row r="112" spans="1:11" s="1321" customFormat="1" ht="15.75">
      <c r="A112" s="160" t="s">
        <v>2323</v>
      </c>
      <c r="B112" s="578">
        <f xml:space="preserve"> HLOOKUP(GREET1_Import_Export!$B$687,$M$9:$Q$10,2,FALSE)/HLOOKUP(GREET1_Import_Export!$D$686,$M$7:$Q$8,2,FALSE)*HLOOKUP($D$3,$M$7:$Q$8,2,FALSE)/HLOOKUP($D$4,$M$9:$Q$10,2,FALSE)*(GREET1_Import_Export!$T706+GREET1_Import_Export!$U706)</f>
        <v>5.6986352395756709E-2</v>
      </c>
      <c r="C112" s="1553">
        <f ca="1">HLOOKUP($D$3,$M$7:$Q$8,2,FALSE)/HLOOKUP($D$4,$M$9:$Q$10,2,FALSE)*MHDV_Sum!$E146</f>
        <v>1.5740061840726627E-2</v>
      </c>
      <c r="D112" s="1553">
        <f>HLOOKUP(GREET1_Import_Export!$B$687,$M$9:$Q$10,2,FALSE)/HLOOKUP(GREET1_Import_Export!$D$686,$M$7:$Q$8,2,FALSE)*HLOOKUP($D$3,$M$7:$Q$8,2,FALSE)/HLOOKUP($D$4,$M$9:$Q$10,2,FALSE)*GREET1_Import_Export!$V706</f>
        <v>1.228637608748109E-2</v>
      </c>
      <c r="E112" s="478">
        <f t="shared" ca="1" si="7"/>
        <v>8.5012790323964429E-2</v>
      </c>
      <c r="F112" s="302">
        <f t="shared" ca="1" si="8"/>
        <v>0.67032680822020629</v>
      </c>
      <c r="G112" s="302">
        <f t="shared" ca="1" si="8"/>
        <v>0.18514933789074359</v>
      </c>
      <c r="H112" s="302">
        <f t="shared" ca="1" si="8"/>
        <v>0.14452385388905012</v>
      </c>
      <c r="I112" s="152">
        <f t="shared" ca="1" si="8"/>
        <v>1</v>
      </c>
      <c r="J112" s="8"/>
      <c r="K112" s="8"/>
    </row>
    <row r="113" spans="1:11" s="1321" customFormat="1" ht="15.75">
      <c r="A113" s="160" t="s">
        <v>2324</v>
      </c>
      <c r="B113" s="578">
        <f xml:space="preserve"> HLOOKUP(GREET1_Import_Export!$B$687,$M$9:$Q$10,2,FALSE)/HLOOKUP(GREET1_Import_Export!$D$686,$M$7:$Q$8,2,FALSE)*HLOOKUP($D$3,$M$7:$Q$8,2,FALSE)/HLOOKUP($D$4,$M$9:$Q$10,2,FALSE)*(GREET1_Import_Export!$T707+GREET1_Import_Export!$U707)</f>
        <v>0.3314367375268738</v>
      </c>
      <c r="C113" s="1553">
        <f ca="1">HLOOKUP($D$3,$M$7:$Q$8,2,FALSE)/HLOOKUP($D$4,$M$9:$Q$10,2,FALSE)*MHDV_Sum!$E147</f>
        <v>0.19738634078682915</v>
      </c>
      <c r="D113" s="1553">
        <f>HLOOKUP(GREET1_Import_Export!$B$687,$M$9:$Q$10,2,FALSE)/HLOOKUP(GREET1_Import_Export!$D$686,$M$7:$Q$8,2,FALSE)*HLOOKUP($D$3,$M$7:$Q$8,2,FALSE)/HLOOKUP($D$4,$M$9:$Q$10,2,FALSE)*GREET1_Import_Export!$V707</f>
        <v>0</v>
      </c>
      <c r="E113" s="478">
        <f t="shared" ca="1" si="7"/>
        <v>0.5288230783137029</v>
      </c>
      <c r="F113" s="302">
        <f t="shared" ca="1" si="8"/>
        <v>0.62674408723566022</v>
      </c>
      <c r="G113" s="302">
        <f t="shared" ca="1" si="8"/>
        <v>0.37325591276433984</v>
      </c>
      <c r="H113" s="302">
        <f t="shared" ca="1" si="8"/>
        <v>0</v>
      </c>
      <c r="I113" s="152">
        <f t="shared" ca="1" si="8"/>
        <v>1</v>
      </c>
      <c r="J113" s="8"/>
      <c r="K113" s="8"/>
    </row>
    <row r="114" spans="1:11" s="1321" customFormat="1">
      <c r="A114" s="160" t="s">
        <v>885</v>
      </c>
      <c r="B114" s="578">
        <f xml:space="preserve"> HLOOKUP(GREET1_Import_Export!$B$687,$M$9:$Q$10,2,FALSE)/HLOOKUP(GREET1_Import_Export!$D$686,$M$7:$Q$8,2,FALSE)*HLOOKUP($D$3,$M$7:$Q$8,2,FALSE)/HLOOKUP($D$4,$M$9:$Q$10,2,FALSE)*(GREET1_Import_Export!$T708+GREET1_Import_Export!$U708)</f>
        <v>6.2591148972330635E-3</v>
      </c>
      <c r="C114" s="1553">
        <f ca="1">HLOOKUP($D$3,$M$7:$Q$8,2,FALSE)/HLOOKUP($D$4,$M$9:$Q$10,2,FALSE)*MHDV_Sum!$E148</f>
        <v>5.3323506440986314E-4</v>
      </c>
      <c r="D114" s="1553">
        <f>HLOOKUP(GREET1_Import_Export!$B$687,$M$9:$Q$10,2,FALSE)/HLOOKUP(GREET1_Import_Export!$D$686,$M$7:$Q$8,2,FALSE)*HLOOKUP($D$3,$M$7:$Q$8,2,FALSE)/HLOOKUP($D$4,$M$9:$Q$10,2,FALSE)*GREET1_Import_Export!$V708</f>
        <v>1.5691693295503853E-3</v>
      </c>
      <c r="E114" s="478">
        <f t="shared" ca="1" si="7"/>
        <v>8.3615192911933121E-3</v>
      </c>
      <c r="F114" s="302">
        <f t="shared" ca="1" si="8"/>
        <v>0.74856191551521201</v>
      </c>
      <c r="G114" s="302">
        <f t="shared" ca="1" si="8"/>
        <v>6.3772509018963544E-2</v>
      </c>
      <c r="H114" s="302">
        <f t="shared" ca="1" si="8"/>
        <v>0.18766557546582444</v>
      </c>
      <c r="I114" s="152">
        <f t="shared" ca="1" si="8"/>
        <v>1</v>
      </c>
      <c r="J114" s="8"/>
      <c r="K114" s="8"/>
    </row>
    <row r="115" spans="1:11" s="1321" customFormat="1">
      <c r="A115" s="160" t="s">
        <v>886</v>
      </c>
      <c r="B115" s="578">
        <f xml:space="preserve"> HLOOKUP(GREET1_Import_Export!$B$687,$M$9:$Q$10,2,FALSE)/HLOOKUP(GREET1_Import_Export!$D$686,$M$7:$Q$8,2,FALSE)*HLOOKUP($D$3,$M$7:$Q$8,2,FALSE)/HLOOKUP($D$4,$M$9:$Q$10,2,FALSE)*(GREET1_Import_Export!$T709+GREET1_Import_Export!$U709)</f>
        <v>1.5841671775147208E-2</v>
      </c>
      <c r="C115" s="1553">
        <f ca="1">HLOOKUP($D$3,$M$7:$Q$8,2,FALSE)/HLOOKUP($D$4,$M$9:$Q$10,2,FALSE)*MHDV_Sum!$E149</f>
        <v>1.2143832725891519E-3</v>
      </c>
      <c r="D115" s="1553">
        <f>HLOOKUP(GREET1_Import_Export!$B$687,$M$9:$Q$10,2,FALSE)/HLOOKUP(GREET1_Import_Export!$D$686,$M$7:$Q$8,2,FALSE)*HLOOKUP($D$3,$M$7:$Q$8,2,FALSE)/HLOOKUP($D$4,$M$9:$Q$10,2,FALSE)*GREET1_Import_Export!$V709</f>
        <v>2.0812252444626896E-3</v>
      </c>
      <c r="E115" s="478">
        <f t="shared" ca="1" si="7"/>
        <v>1.9137280292199049E-2</v>
      </c>
      <c r="F115" s="302">
        <f t="shared" ca="1" si="8"/>
        <v>0.82779117686878245</v>
      </c>
      <c r="G115" s="302">
        <f t="shared" ca="1" si="8"/>
        <v>6.3456418782985177E-2</v>
      </c>
      <c r="H115" s="302">
        <f t="shared" ca="1" si="8"/>
        <v>0.10875240434823237</v>
      </c>
      <c r="I115" s="152">
        <f t="shared" ca="1" si="8"/>
        <v>1</v>
      </c>
      <c r="J115" s="8"/>
      <c r="K115" s="8"/>
    </row>
    <row r="116" spans="1:11" s="1321" customFormat="1">
      <c r="A116" s="160" t="s">
        <v>890</v>
      </c>
      <c r="B116" s="578">
        <f xml:space="preserve"> HLOOKUP(GREET1_Import_Export!$B$687,$M$9:$Q$10,2,FALSE)/HLOOKUP(GREET1_Import_Export!$D$686,$M$7:$Q$8,2,FALSE)*HLOOKUP($D$3,$M$7:$Q$8,2,FALSE)/HLOOKUP($D$4,$M$9:$Q$10,2,FALSE)*(GREET1_Import_Export!$T710+GREET1_Import_Export!$U710)</f>
        <v>1.1803566735870864E-2</v>
      </c>
      <c r="C116" s="1553">
        <f ca="1">HLOOKUP($D$3,$M$7:$Q$8,2,FALSE)/HLOOKUP($D$4,$M$9:$Q$10,2,FALSE)*MHDV_Sum!$E150</f>
        <v>4.4510730222898955E-2</v>
      </c>
      <c r="D116" s="1553">
        <f>HLOOKUP(GREET1_Import_Export!$B$687,$M$9:$Q$10,2,FALSE)/HLOOKUP(GREET1_Import_Export!$D$686,$M$7:$Q$8,2,FALSE)*HLOOKUP($D$3,$M$7:$Q$8,2,FALSE)/HLOOKUP($D$4,$M$9:$Q$10,2,FALSE)*GREET1_Import_Export!$V710</f>
        <v>0</v>
      </c>
      <c r="E116" s="478">
        <f t="shared" ca="1" si="7"/>
        <v>5.631429695876982E-2</v>
      </c>
      <c r="F116" s="302">
        <f t="shared" ca="1" si="8"/>
        <v>0.20960159983019544</v>
      </c>
      <c r="G116" s="302">
        <f t="shared" ca="1" si="8"/>
        <v>0.79039840016980456</v>
      </c>
      <c r="H116" s="302">
        <f t="shared" ca="1" si="8"/>
        <v>0</v>
      </c>
      <c r="I116" s="152">
        <f t="shared" ca="1" si="8"/>
        <v>1</v>
      </c>
      <c r="J116" s="8"/>
      <c r="K116" s="8"/>
    </row>
    <row r="117" spans="1:11" s="1321" customFormat="1">
      <c r="A117" s="160" t="s">
        <v>891</v>
      </c>
      <c r="B117" s="578">
        <f xml:space="preserve"> HLOOKUP(GREET1_Import_Export!$B$687,$M$9:$Q$10,2,FALSE)/HLOOKUP(GREET1_Import_Export!$D$686,$M$7:$Q$8,2,FALSE)*HLOOKUP($D$3,$M$7:$Q$8,2,FALSE)/HLOOKUP($D$4,$M$9:$Q$10,2,FALSE)*(GREET1_Import_Export!$T711+GREET1_Import_Export!$U711)</f>
        <v>1.5797505508810029E-2</v>
      </c>
      <c r="C117" s="1553">
        <f ca="1">HLOOKUP($D$3,$M$7:$Q$8,2,FALSE)/HLOOKUP($D$4,$M$9:$Q$10,2,FALSE)*MHDV_Sum!$E151</f>
        <v>3.2379683752487044E-3</v>
      </c>
      <c r="D117" s="1553">
        <f>HLOOKUP(GREET1_Import_Export!$B$687,$M$9:$Q$10,2,FALSE)/HLOOKUP(GREET1_Import_Export!$D$686,$M$7:$Q$8,2,FALSE)*HLOOKUP($D$3,$M$7:$Q$8,2,FALSE)/HLOOKUP($D$4,$M$9:$Q$10,2,FALSE)*GREET1_Import_Export!$V711</f>
        <v>0</v>
      </c>
      <c r="E117" s="478">
        <f t="shared" ca="1" si="7"/>
        <v>1.9035473884058733E-2</v>
      </c>
      <c r="F117" s="302">
        <f t="shared" ca="1" si="8"/>
        <v>0.82989819980471602</v>
      </c>
      <c r="G117" s="302">
        <f t="shared" ca="1" si="8"/>
        <v>0.17010180019528395</v>
      </c>
      <c r="H117" s="302">
        <f t="shared" ca="1" si="8"/>
        <v>0</v>
      </c>
      <c r="I117" s="152">
        <f t="shared" ca="1" si="8"/>
        <v>1</v>
      </c>
      <c r="J117" s="8"/>
      <c r="K117" s="8"/>
    </row>
    <row r="118" spans="1:11" s="1321" customFormat="1" ht="15.75">
      <c r="A118" s="160" t="s">
        <v>2325</v>
      </c>
      <c r="B118" s="578">
        <f xml:space="preserve"> HLOOKUP(GREET1_Import_Export!$B$687,$M$9:$Q$10,2,FALSE)/HLOOKUP(GREET1_Import_Export!$D$686,$M$7:$Q$8,2,FALSE)*HLOOKUP($D$3,$M$7:$Q$8,2,FALSE)/HLOOKUP($D$4,$M$9:$Q$10,2,FALSE)*(GREET1_Import_Export!$T712+GREET1_Import_Export!$U712)</f>
        <v>5.0228038593011101E-2</v>
      </c>
      <c r="C118" s="1553">
        <f ca="1">HLOOKUP($D$3,$M$7:$Q$8,2,FALSE)/HLOOKUP($D$4,$M$9:$Q$10,2,FALSE)*MHDV_Sum!$E152</f>
        <v>7.6634619389285086E-3</v>
      </c>
      <c r="D118" s="1553">
        <f>HLOOKUP(GREET1_Import_Export!$B$687,$M$9:$Q$10,2,FALSE)/HLOOKUP(GREET1_Import_Export!$D$686,$M$7:$Q$8,2,FALSE)*HLOOKUP($D$3,$M$7:$Q$8,2,FALSE)/HLOOKUP($D$4,$M$9:$Q$10,2,FALSE)*GREET1_Import_Export!$V712</f>
        <v>0</v>
      </c>
      <c r="E118" s="478">
        <f t="shared" ca="1" si="7"/>
        <v>5.7891500531939609E-2</v>
      </c>
      <c r="F118" s="302">
        <f t="shared" ca="1" si="8"/>
        <v>0.86762371214232981</v>
      </c>
      <c r="G118" s="302">
        <f t="shared" ca="1" si="8"/>
        <v>0.13237628785767025</v>
      </c>
      <c r="H118" s="302">
        <f t="shared" ca="1" si="8"/>
        <v>0</v>
      </c>
      <c r="I118" s="152">
        <f t="shared" ca="1" si="8"/>
        <v>1</v>
      </c>
      <c r="J118" s="8"/>
      <c r="K118" s="8"/>
    </row>
    <row r="119" spans="1:11" s="1321" customFormat="1" ht="15.75">
      <c r="A119" s="160" t="s">
        <v>2326</v>
      </c>
      <c r="B119" s="578">
        <f xml:space="preserve"> HLOOKUP(GREET1_Import_Export!$B$687,$M$9:$Q$10,2,FALSE)/HLOOKUP(GREET1_Import_Export!$D$686,$M$7:$Q$8,2,FALSE)*HLOOKUP($D$3,$M$7:$Q$8,2,FALSE)/HLOOKUP($D$4,$M$9:$Q$10,2,FALSE)*(GREET1_Import_Export!$T713+GREET1_Import_Export!$U713)</f>
        <v>1.4180481433174118E-2</v>
      </c>
      <c r="C119" s="1553">
        <f ca="1">HLOOKUP($D$3,$M$7:$Q$8,2,FALSE)/HLOOKUP($D$4,$M$9:$Q$10,2,FALSE)*MHDV_Sum!$E153</f>
        <v>9.732661612065817E-4</v>
      </c>
      <c r="D119" s="1553">
        <f>HLOOKUP(GREET1_Import_Export!$B$687,$M$9:$Q$10,2,FALSE)/HLOOKUP(GREET1_Import_Export!$D$686,$M$7:$Q$8,2,FALSE)*HLOOKUP($D$3,$M$7:$Q$8,2,FALSE)/HLOOKUP($D$4,$M$9:$Q$10,2,FALSE)*GREET1_Import_Export!$V713</f>
        <v>4.6388056190332606E-3</v>
      </c>
      <c r="E119" s="478">
        <f t="shared" ca="1" si="7"/>
        <v>1.9792553213413961E-2</v>
      </c>
      <c r="F119" s="302">
        <f t="shared" ca="1" si="8"/>
        <v>0.71645539007891179</v>
      </c>
      <c r="G119" s="302">
        <f t="shared" ca="1" si="8"/>
        <v>4.9173350740164858E-2</v>
      </c>
      <c r="H119" s="302">
        <f t="shared" ca="1" si="8"/>
        <v>0.23437125918092333</v>
      </c>
      <c r="I119" s="152">
        <f t="shared" ca="1" si="8"/>
        <v>1</v>
      </c>
      <c r="J119" s="8"/>
      <c r="K119" s="8"/>
    </row>
    <row r="120" spans="1:11" s="1321" customFormat="1" ht="15.75">
      <c r="A120" s="160" t="s">
        <v>2327</v>
      </c>
      <c r="B120" s="578">
        <f xml:space="preserve"> HLOOKUP(GREET1_Import_Export!$B$687,$M$9:$Q$10,2,FALSE)/HLOOKUP(GREET1_Import_Export!$D$686,$M$7:$Q$8,2,FALSE)*HLOOKUP($D$3,$M$7:$Q$8,2,FALSE)/HLOOKUP($D$4,$M$9:$Q$10,2,FALSE)*(GREET1_Import_Export!$T714+GREET1_Import_Export!$U714)</f>
        <v>1.3427102871294417E-2</v>
      </c>
      <c r="C120" s="1553">
        <f ca="1">HLOOKUP($D$3,$M$7:$Q$8,2,FALSE)/HLOOKUP($D$4,$M$9:$Q$10,2,FALSE)*MHDV_Sum!$E154</f>
        <v>7.875770340915599E-4</v>
      </c>
      <c r="D120" s="1553">
        <f>HLOOKUP(GREET1_Import_Export!$B$687,$M$9:$Q$10,2,FALSE)/HLOOKUP(GREET1_Import_Export!$D$686,$M$7:$Q$8,2,FALSE)*HLOOKUP($D$3,$M$7:$Q$8,2,FALSE)/HLOOKUP($D$4,$M$9:$Q$10,2,FALSE)*GREET1_Import_Export!$V714</f>
        <v>6.1431880437405454E-4</v>
      </c>
      <c r="E120" s="478">
        <f t="shared" ca="1" si="7"/>
        <v>1.4828998709760031E-2</v>
      </c>
      <c r="F120" s="302">
        <f t="shared" ca="1" si="8"/>
        <v>0.9054625422859518</v>
      </c>
      <c r="G120" s="302">
        <f t="shared" ca="1" si="8"/>
        <v>5.3110601026163606E-2</v>
      </c>
      <c r="H120" s="302">
        <f t="shared" ca="1" si="8"/>
        <v>4.1426856687884608E-2</v>
      </c>
      <c r="I120" s="152">
        <f t="shared" ca="1" si="8"/>
        <v>1</v>
      </c>
      <c r="J120" s="8"/>
      <c r="K120" s="8"/>
    </row>
    <row r="121" spans="1:11" s="1321" customFormat="1" ht="15.75">
      <c r="A121" s="160" t="s">
        <v>2328</v>
      </c>
      <c r="B121" s="578">
        <f xml:space="preserve"> HLOOKUP(GREET1_Import_Export!$B$687,$M$9:$Q$10,2,FALSE)/HLOOKUP(GREET1_Import_Export!$D$686,$M$7:$Q$8,2,FALSE)*HLOOKUP($D$3,$M$7:$Q$8,2,FALSE)/HLOOKUP($D$4,$M$9:$Q$10,2,FALSE)*(GREET1_Import_Export!$T715+GREET1_Import_Export!$U715)</f>
        <v>3.6999046676477257E-2</v>
      </c>
      <c r="C121" s="1553">
        <f ca="1">HLOOKUP($D$3,$M$7:$Q$8,2,FALSE)/HLOOKUP($D$4,$M$9:$Q$10,2,FALSE)*MHDV_Sum!$E155</f>
        <v>7.7885333536726028E-3</v>
      </c>
      <c r="D121" s="1553">
        <f>HLOOKUP(GREET1_Import_Export!$B$687,$M$9:$Q$10,2,FALSE)/HLOOKUP(GREET1_Import_Export!$D$686,$M$7:$Q$8,2,FALSE)*HLOOKUP($D$3,$M$7:$Q$8,2,FALSE)/HLOOKUP($D$4,$M$9:$Q$10,2,FALSE)*GREET1_Import_Export!$V715</f>
        <v>0</v>
      </c>
      <c r="E121" s="478">
        <f t="shared" ca="1" si="7"/>
        <v>4.4787580030149862E-2</v>
      </c>
      <c r="F121" s="302">
        <f t="shared" ca="1" si="8"/>
        <v>0.82610059868317154</v>
      </c>
      <c r="G121" s="302">
        <f t="shared" ca="1" si="8"/>
        <v>0.17389940131682846</v>
      </c>
      <c r="H121" s="302">
        <f t="shared" ca="1" si="8"/>
        <v>0</v>
      </c>
      <c r="I121" s="152">
        <f t="shared" ca="1" si="8"/>
        <v>1</v>
      </c>
      <c r="J121" s="8"/>
      <c r="K121" s="8"/>
    </row>
    <row r="122" spans="1:11" s="1321" customFormat="1">
      <c r="A122" s="160" t="s">
        <v>896</v>
      </c>
      <c r="B122" s="578">
        <f xml:space="preserve"> HLOOKUP(GREET1_Import_Export!$B$687,$M$9:$Q$10,2,FALSE)/HLOOKUP(GREET1_Import_Export!$D$686,$M$7:$Q$8,2,FALSE)*HLOOKUP($D$3,$M$7:$Q$8,2,FALSE)/HLOOKUP($D$4,$M$9:$Q$10,2,FALSE)*(GREET1_Import_Export!$T716+GREET1_Import_Export!$U716)</f>
        <v>1.1448435199722647E-3</v>
      </c>
      <c r="C122" s="1553">
        <f ca="1">HLOOKUP($D$3,$M$7:$Q$8,2,FALSE)/HLOOKUP($D$4,$M$9:$Q$10,2,FALSE)*MHDV_Sum!$E156</f>
        <v>4.8169228059721179E-5</v>
      </c>
      <c r="D122" s="1553">
        <f>HLOOKUP(GREET1_Import_Export!$B$687,$M$9:$Q$10,2,FALSE)/HLOOKUP(GREET1_Import_Export!$D$686,$M$7:$Q$8,2,FALSE)*HLOOKUP($D$3,$M$7:$Q$8,2,FALSE)/HLOOKUP($D$4,$M$9:$Q$10,2,FALSE)*GREET1_Import_Export!$V716</f>
        <v>7.8458466477519264E-5</v>
      </c>
      <c r="E122" s="478">
        <f t="shared" ca="1" si="7"/>
        <v>1.2714712145095049E-3</v>
      </c>
      <c r="F122" s="302">
        <f t="shared" ca="1" si="8"/>
        <v>0.90040852432031704</v>
      </c>
      <c r="G122" s="302">
        <f t="shared" ca="1" si="8"/>
        <v>3.7884639077970322E-2</v>
      </c>
      <c r="H122" s="302">
        <f t="shared" ca="1" si="8"/>
        <v>6.1706836601712736E-2</v>
      </c>
      <c r="I122" s="152">
        <f t="shared" ca="1" si="8"/>
        <v>1</v>
      </c>
      <c r="J122" s="8"/>
      <c r="K122" s="8"/>
    </row>
    <row r="123" spans="1:11" s="1321" customFormat="1">
      <c r="A123" s="161" t="s">
        <v>897</v>
      </c>
      <c r="B123" s="584">
        <f xml:space="preserve"> HLOOKUP(GREET1_Import_Export!$B$687,$M$9:$Q$10,2,FALSE)/HLOOKUP(GREET1_Import_Export!$D$686,$M$7:$Q$8,2,FALSE)*HLOOKUP($D$3,$M$7:$Q$8,2,FALSE)/HLOOKUP($D$4,$M$9:$Q$10,2,FALSE)*(GREET1_Import_Export!$T717+GREET1_Import_Export!$U717)</f>
        <v>3.5658868204489101E-3</v>
      </c>
      <c r="C123" s="637">
        <f ca="1">HLOOKUP($D$3,$M$7:$Q$8,2,FALSE)/HLOOKUP($D$4,$M$9:$Q$10,2,FALSE)*MHDV_Sum!$E157</f>
        <v>1.6597620389980177E-4</v>
      </c>
      <c r="D123" s="637">
        <f>HLOOKUP(GREET1_Import_Export!$B$687,$M$9:$Q$10,2,FALSE)/HLOOKUP(GREET1_Import_Export!$D$686,$M$7:$Q$8,2,FALSE)*HLOOKUP($D$3,$M$7:$Q$8,2,FALSE)/HLOOKUP($D$4,$M$9:$Q$10,2,FALSE)*GREET1_Import_Export!$V717</f>
        <v>1.0406126222313449E-4</v>
      </c>
      <c r="E123" s="585">
        <f t="shared" ca="1" si="7"/>
        <v>3.8359242865718467E-3</v>
      </c>
      <c r="F123" s="1020">
        <f t="shared" ca="1" si="8"/>
        <v>0.92960302499498282</v>
      </c>
      <c r="G123" s="1020">
        <f t="shared" ca="1" si="8"/>
        <v>4.326889466531525E-2</v>
      </c>
      <c r="H123" s="1020">
        <f t="shared" ca="1" si="8"/>
        <v>2.7128080339701831E-2</v>
      </c>
      <c r="I123" s="154">
        <f t="shared" ca="1" si="8"/>
        <v>1</v>
      </c>
      <c r="J123" s="8"/>
      <c r="K123" s="8"/>
    </row>
    <row r="124" spans="1:11" s="1321" customFormat="1">
      <c r="A124" s="172"/>
      <c r="B124" s="2453"/>
      <c r="C124" s="2453"/>
      <c r="D124" s="2453"/>
      <c r="E124" s="2453"/>
      <c r="F124" s="2453"/>
      <c r="G124" s="2453"/>
      <c r="H124" s="2453"/>
    </row>
    <row r="125" spans="1:11" s="1321" customFormat="1" ht="15">
      <c r="A125" s="120" t="s">
        <v>1944</v>
      </c>
      <c r="G125" s="302"/>
      <c r="H125" s="302"/>
    </row>
    <row r="126" spans="1:11" s="1321" customFormat="1">
      <c r="A126" s="1299"/>
      <c r="B126" s="1726" t="s">
        <v>203</v>
      </c>
      <c r="C126" s="1726" t="s">
        <v>194</v>
      </c>
      <c r="D126" s="1726" t="s">
        <v>167</v>
      </c>
      <c r="E126" s="1727" t="s">
        <v>198</v>
      </c>
      <c r="F126" s="2424"/>
      <c r="G126" s="2424"/>
      <c r="H126" s="2424"/>
      <c r="I126" s="2424"/>
      <c r="J126" s="2424"/>
    </row>
    <row r="127" spans="1:11" s="1321" customFormat="1">
      <c r="A127" s="58" t="s">
        <v>876</v>
      </c>
      <c r="B127" s="302">
        <f ca="1">(E8-$E8)/$E8</f>
        <v>0</v>
      </c>
      <c r="C127" s="302">
        <f t="shared" ref="C127:C152" ca="1" si="9">(E38-$E8)/$E8</f>
        <v>-2.0481805202995723E-2</v>
      </c>
      <c r="D127" s="302">
        <f t="shared" ref="D127:D152" ca="1" si="10">(E68-$E8)/$E8</f>
        <v>0.18224227595337283</v>
      </c>
      <c r="E127" s="593">
        <f t="shared" ref="E127:E152" ca="1" si="11">(E98-$E8)/$E8</f>
        <v>0.17993023719541465</v>
      </c>
      <c r="F127" s="302"/>
      <c r="H127" s="302"/>
      <c r="J127" s="302"/>
    </row>
    <row r="128" spans="1:11" s="1321" customFormat="1">
      <c r="A128" s="59" t="s">
        <v>877</v>
      </c>
      <c r="B128" s="302">
        <f t="shared" ref="B128:B152" ca="1" si="12">(E9-$E9)/$E9</f>
        <v>0</v>
      </c>
      <c r="C128" s="302">
        <f t="shared" ca="1" si="9"/>
        <v>-2.0750177390393029E-2</v>
      </c>
      <c r="D128" s="302">
        <f t="shared" ca="1" si="10"/>
        <v>0.17355135966151303</v>
      </c>
      <c r="E128" s="593">
        <f t="shared" ca="1" si="11"/>
        <v>0.1492541693502889</v>
      </c>
      <c r="F128" s="302"/>
      <c r="H128" s="302"/>
      <c r="J128" s="302"/>
    </row>
    <row r="129" spans="1:10" s="1321" customFormat="1">
      <c r="A129" s="59" t="s">
        <v>442</v>
      </c>
      <c r="B129" s="302">
        <f t="shared" ca="1" si="12"/>
        <v>0</v>
      </c>
      <c r="C129" s="302">
        <f t="shared" ca="1" si="9"/>
        <v>5.4755822088526501E-3</v>
      </c>
      <c r="D129" s="302">
        <f t="shared" ca="1" si="10"/>
        <v>1.3498499217276756</v>
      </c>
      <c r="E129" s="593">
        <f t="shared" ca="1" si="11"/>
        <v>2.4510843276096552</v>
      </c>
      <c r="F129" s="302"/>
      <c r="H129" s="302"/>
      <c r="J129" s="302"/>
    </row>
    <row r="130" spans="1:10" s="1321" customFormat="1">
      <c r="A130" s="59" t="s">
        <v>878</v>
      </c>
      <c r="B130" s="302">
        <f t="shared" ca="1" si="12"/>
        <v>0</v>
      </c>
      <c r="C130" s="302">
        <f t="shared" ca="1" si="9"/>
        <v>-1.4739160521385833E-2</v>
      </c>
      <c r="D130" s="302">
        <f t="shared" ca="1" si="10"/>
        <v>8.3311646141477311</v>
      </c>
      <c r="E130" s="593">
        <f t="shared" ca="1" si="11"/>
        <v>8.0794232538066186</v>
      </c>
      <c r="F130" s="302"/>
      <c r="H130" s="302"/>
      <c r="J130" s="302"/>
    </row>
    <row r="131" spans="1:10" s="1321" customFormat="1">
      <c r="A131" s="59" t="s">
        <v>440</v>
      </c>
      <c r="B131" s="302">
        <f t="shared" ca="1" si="12"/>
        <v>0</v>
      </c>
      <c r="C131" s="302">
        <f t="shared" ca="1" si="9"/>
        <v>-2.2094657656576176E-2</v>
      </c>
      <c r="D131" s="302">
        <f t="shared" ca="1" si="10"/>
        <v>-0.96382532514317965</v>
      </c>
      <c r="E131" s="593">
        <f t="shared" ca="1" si="11"/>
        <v>-0.97954170244134509</v>
      </c>
      <c r="F131" s="302"/>
      <c r="H131" s="302"/>
      <c r="J131" s="302"/>
    </row>
    <row r="132" spans="1:10" s="1321" customFormat="1">
      <c r="A132" s="59" t="s">
        <v>819</v>
      </c>
      <c r="B132" s="302">
        <f t="shared" ca="1" si="12"/>
        <v>0</v>
      </c>
      <c r="C132" s="302">
        <f t="shared" ca="1" si="9"/>
        <v>-1.4375764563262526E-2</v>
      </c>
      <c r="D132" s="302">
        <f t="shared" ca="1" si="10"/>
        <v>0.89609134213170283</v>
      </c>
      <c r="E132" s="593">
        <f t="shared" ca="1" si="11"/>
        <v>0.48971546846118652</v>
      </c>
      <c r="F132" s="302"/>
      <c r="H132" s="302"/>
      <c r="J132" s="302"/>
    </row>
    <row r="133" spans="1:10" s="1321" customFormat="1" ht="15.75">
      <c r="A133" s="59" t="s">
        <v>2598</v>
      </c>
      <c r="B133" s="302">
        <f t="shared" ca="1" si="12"/>
        <v>0</v>
      </c>
      <c r="C133" s="302">
        <f t="shared" ca="1" si="9"/>
        <v>-2.082036450995816E-2</v>
      </c>
      <c r="D133" s="302">
        <f t="shared" ca="1" si="10"/>
        <v>-7.9185757605803375E-2</v>
      </c>
      <c r="E133" s="593">
        <f t="shared" ca="1" si="11"/>
        <v>-9.3142587393812579E-2</v>
      </c>
      <c r="F133" s="302"/>
      <c r="H133" s="302"/>
      <c r="J133" s="302"/>
    </row>
    <row r="134" spans="1:10" s="1321" customFormat="1" ht="15.75">
      <c r="A134" s="59" t="s">
        <v>2320</v>
      </c>
      <c r="B134" s="302">
        <f t="shared" ca="1" si="12"/>
        <v>0</v>
      </c>
      <c r="C134" s="302">
        <f t="shared" ca="1" si="9"/>
        <v>-1.9450575220271039E-2</v>
      </c>
      <c r="D134" s="302">
        <f t="shared" ca="1" si="10"/>
        <v>1.0662205055837704</v>
      </c>
      <c r="E134" s="593">
        <f t="shared" ca="1" si="11"/>
        <v>0.75993472767496195</v>
      </c>
      <c r="F134" s="302"/>
      <c r="H134" s="302"/>
      <c r="J134" s="302"/>
    </row>
    <row r="135" spans="1:10" s="1321" customFormat="1" ht="15.75">
      <c r="A135" s="59" t="s">
        <v>2321</v>
      </c>
      <c r="B135" s="302">
        <f t="shared" ca="1" si="12"/>
        <v>0</v>
      </c>
      <c r="C135" s="302">
        <f t="shared" ca="1" si="9"/>
        <v>-6.3148926828416815E-3</v>
      </c>
      <c r="D135" s="302">
        <f t="shared" ca="1" si="10"/>
        <v>2.8536264561206939</v>
      </c>
      <c r="E135" s="593">
        <f t="shared" ca="1" si="11"/>
        <v>1.154948761909929</v>
      </c>
      <c r="F135" s="302"/>
      <c r="H135" s="302"/>
      <c r="J135" s="302"/>
    </row>
    <row r="136" spans="1:10" s="1321" customFormat="1">
      <c r="A136" s="59" t="s">
        <v>1896</v>
      </c>
      <c r="B136" s="302">
        <f t="shared" ca="1" si="12"/>
        <v>0</v>
      </c>
      <c r="C136" s="302">
        <f t="shared" ca="1" si="9"/>
        <v>-2.0727280427259877E-2</v>
      </c>
      <c r="D136" s="302">
        <f t="shared" ca="1" si="10"/>
        <v>-3.4370960372919548E-2</v>
      </c>
      <c r="E136" s="593">
        <f t="shared" ca="1" si="11"/>
        <v>-6.1405853420045051E-2</v>
      </c>
      <c r="F136" s="302"/>
      <c r="H136" s="302"/>
      <c r="J136" s="302"/>
    </row>
    <row r="137" spans="1:10" s="1321" customFormat="1">
      <c r="A137" s="59" t="s">
        <v>879</v>
      </c>
      <c r="B137" s="302">
        <f t="shared" ca="1" si="12"/>
        <v>0</v>
      </c>
      <c r="C137" s="302">
        <f t="shared" ca="1" si="9"/>
        <v>-7.4288046279702841E-3</v>
      </c>
      <c r="D137" s="302">
        <f t="shared" ca="1" si="10"/>
        <v>-3.8521070554994395E-2</v>
      </c>
      <c r="E137" s="593">
        <f t="shared" ca="1" si="11"/>
        <v>-0.11138173325062163</v>
      </c>
      <c r="F137" s="302"/>
      <c r="H137" s="302"/>
      <c r="J137" s="302"/>
    </row>
    <row r="138" spans="1:10" s="1321" customFormat="1">
      <c r="A138" s="59" t="s">
        <v>880</v>
      </c>
      <c r="B138" s="302">
        <f t="shared" ca="1" si="12"/>
        <v>0</v>
      </c>
      <c r="C138" s="302">
        <f t="shared" ca="1" si="9"/>
        <v>-0.44034660301020495</v>
      </c>
      <c r="D138" s="302">
        <f t="shared" ca="1" si="10"/>
        <v>-0.73338374513882643</v>
      </c>
      <c r="E138" s="593">
        <f t="shared" ca="1" si="11"/>
        <v>-0.84121384769932328</v>
      </c>
      <c r="F138" s="302"/>
      <c r="H138" s="302"/>
      <c r="J138" s="302"/>
    </row>
    <row r="139" spans="1:10" s="1321" customFormat="1" ht="15.75">
      <c r="A139" s="59" t="s">
        <v>2599</v>
      </c>
      <c r="B139" s="302">
        <f t="shared" ca="1" si="12"/>
        <v>0</v>
      </c>
      <c r="C139" s="302">
        <f t="shared" ca="1" si="9"/>
        <v>-2.5132804471410318E-3</v>
      </c>
      <c r="D139" s="302">
        <f t="shared" ca="1" si="10"/>
        <v>-0.54240804593673475</v>
      </c>
      <c r="E139" s="593">
        <f t="shared" ca="1" si="11"/>
        <v>-0.74790443331374157</v>
      </c>
      <c r="F139" s="302"/>
      <c r="H139" s="302"/>
      <c r="J139" s="302"/>
    </row>
    <row r="140" spans="1:10" s="1321" customFormat="1" ht="15.75">
      <c r="A140" s="59" t="s">
        <v>2322</v>
      </c>
      <c r="B140" s="302">
        <f t="shared" ca="1" si="12"/>
        <v>0</v>
      </c>
      <c r="C140" s="302">
        <f t="shared" ca="1" si="9"/>
        <v>7.98794232253347E-4</v>
      </c>
      <c r="D140" s="302">
        <f t="shared" ca="1" si="10"/>
        <v>0.91038489930312316</v>
      </c>
      <c r="E140" s="593">
        <f t="shared" ca="1" si="11"/>
        <v>0.2962632499442362</v>
      </c>
      <c r="F140" s="302"/>
      <c r="H140" s="302"/>
      <c r="J140" s="302"/>
    </row>
    <row r="141" spans="1:10" s="1321" customFormat="1" ht="15.75">
      <c r="A141" s="59" t="s">
        <v>2323</v>
      </c>
      <c r="B141" s="302">
        <f t="shared" ca="1" si="12"/>
        <v>0</v>
      </c>
      <c r="C141" s="302">
        <f t="shared" ca="1" si="9"/>
        <v>-3.1831464873971148E-3</v>
      </c>
      <c r="D141" s="302">
        <f t="shared" ca="1" si="10"/>
        <v>1.507936992740126</v>
      </c>
      <c r="E141" s="593">
        <f t="shared" ca="1" si="11"/>
        <v>0.67703399542931575</v>
      </c>
      <c r="F141" s="302"/>
      <c r="H141" s="302"/>
      <c r="J141" s="302"/>
    </row>
    <row r="142" spans="1:10" s="1321" customFormat="1" ht="15.75">
      <c r="A142" s="59" t="s">
        <v>2324</v>
      </c>
      <c r="B142" s="302">
        <f t="shared" ca="1" si="12"/>
        <v>0</v>
      </c>
      <c r="C142" s="302">
        <f t="shared" ca="1" si="9"/>
        <v>7.7411778575625201E-2</v>
      </c>
      <c r="D142" s="302">
        <f t="shared" ca="1" si="10"/>
        <v>13.257545917299613</v>
      </c>
      <c r="E142" s="593">
        <f t="shared" ca="1" si="11"/>
        <v>1.0817798857581848</v>
      </c>
      <c r="F142" s="302"/>
      <c r="H142" s="302"/>
      <c r="J142" s="302"/>
    </row>
    <row r="143" spans="1:10" s="1321" customFormat="1">
      <c r="A143" s="59" t="s">
        <v>885</v>
      </c>
      <c r="B143" s="302">
        <f t="shared" ca="1" si="12"/>
        <v>0</v>
      </c>
      <c r="C143" s="302">
        <f t="shared" ca="1" si="9"/>
        <v>-9.9799420896860142E-3</v>
      </c>
      <c r="D143" s="302">
        <f t="shared" ca="1" si="10"/>
        <v>0.29404837746271262</v>
      </c>
      <c r="E143" s="593">
        <f t="shared" ca="1" si="11"/>
        <v>0.48047231019058478</v>
      </c>
      <c r="F143" s="302"/>
      <c r="H143" s="302"/>
      <c r="J143" s="302"/>
    </row>
    <row r="144" spans="1:10" s="1321" customFormat="1">
      <c r="A144" s="59" t="s">
        <v>886</v>
      </c>
      <c r="B144" s="302">
        <f t="shared" ca="1" si="12"/>
        <v>0</v>
      </c>
      <c r="C144" s="302">
        <f t="shared" ca="1" si="9"/>
        <v>-1.00619124619875E-2</v>
      </c>
      <c r="D144" s="302">
        <f t="shared" ca="1" si="10"/>
        <v>3.7623351899296438</v>
      </c>
      <c r="E144" s="593">
        <f t="shared" ca="1" si="11"/>
        <v>1.0329810424634025</v>
      </c>
      <c r="F144" s="302"/>
      <c r="H144" s="302"/>
      <c r="J144" s="302"/>
    </row>
    <row r="145" spans="1:10" s="1321" customFormat="1">
      <c r="A145" s="59" t="s">
        <v>890</v>
      </c>
      <c r="B145" s="302">
        <f t="shared" ca="1" si="12"/>
        <v>0</v>
      </c>
      <c r="C145" s="302">
        <f t="shared" ca="1" si="9"/>
        <v>-1.1163616840295416E-2</v>
      </c>
      <c r="D145" s="302">
        <f t="shared" ca="1" si="10"/>
        <v>-0.41793436697891645</v>
      </c>
      <c r="E145" s="593">
        <f t="shared" ca="1" si="11"/>
        <v>-0.43437265904808109</v>
      </c>
      <c r="F145" s="302"/>
      <c r="H145" s="302"/>
      <c r="J145" s="302"/>
    </row>
    <row r="146" spans="1:10" s="1321" customFormat="1">
      <c r="A146" s="59" t="s">
        <v>891</v>
      </c>
      <c r="B146" s="302">
        <f t="shared" ca="1" si="12"/>
        <v>0</v>
      </c>
      <c r="C146" s="302">
        <f t="shared" ca="1" si="9"/>
        <v>-0.40707671637041348</v>
      </c>
      <c r="D146" s="302">
        <f t="shared" ca="1" si="10"/>
        <v>-0.57633173312724739</v>
      </c>
      <c r="E146" s="593">
        <f t="shared" ca="1" si="11"/>
        <v>-0.89407131953103647</v>
      </c>
      <c r="F146" s="302"/>
      <c r="H146" s="302"/>
      <c r="J146" s="302"/>
    </row>
    <row r="147" spans="1:10" s="1321" customFormat="1" ht="15.75">
      <c r="A147" s="59" t="s">
        <v>2325</v>
      </c>
      <c r="B147" s="302">
        <f t="shared" ca="1" si="12"/>
        <v>0</v>
      </c>
      <c r="C147" s="302">
        <f t="shared" ca="1" si="9"/>
        <v>-6.8223309623197635E-3</v>
      </c>
      <c r="D147" s="302">
        <f t="shared" ca="1" si="10"/>
        <v>-0.24545092622302156</v>
      </c>
      <c r="E147" s="593">
        <f t="shared" ca="1" si="11"/>
        <v>-0.60852984137011401</v>
      </c>
      <c r="F147" s="302"/>
      <c r="H147" s="302"/>
      <c r="J147" s="302"/>
    </row>
    <row r="148" spans="1:10" s="1321" customFormat="1" ht="15.75">
      <c r="A148" s="59" t="s">
        <v>2326</v>
      </c>
      <c r="B148" s="302">
        <f t="shared" ca="1" si="12"/>
        <v>0</v>
      </c>
      <c r="C148" s="302">
        <f t="shared" ca="1" si="9"/>
        <v>-1.2830090494602148E-2</v>
      </c>
      <c r="D148" s="302">
        <f t="shared" ca="1" si="10"/>
        <v>0.635353096154185</v>
      </c>
      <c r="E148" s="593">
        <f t="shared" ca="1" si="11"/>
        <v>0.34252707569438573</v>
      </c>
      <c r="F148" s="302"/>
      <c r="H148" s="302"/>
      <c r="J148" s="302"/>
    </row>
    <row r="149" spans="1:10" s="1321" customFormat="1" ht="15.75">
      <c r="A149" s="59" t="s">
        <v>2327</v>
      </c>
      <c r="B149" s="302">
        <f t="shared" ca="1" si="12"/>
        <v>0</v>
      </c>
      <c r="C149" s="302">
        <f t="shared" ca="1" si="9"/>
        <v>-1.7620213254737113E-2</v>
      </c>
      <c r="D149" s="302">
        <f t="shared" ca="1" si="10"/>
        <v>1.0740499833472519</v>
      </c>
      <c r="E149" s="593">
        <f t="shared" ca="1" si="11"/>
        <v>0.61114582480376844</v>
      </c>
      <c r="F149" s="302"/>
      <c r="H149" s="302"/>
      <c r="J149" s="302"/>
    </row>
    <row r="150" spans="1:10" s="1321" customFormat="1" ht="15.75">
      <c r="A150" s="59" t="s">
        <v>2328</v>
      </c>
      <c r="B150" s="302">
        <f t="shared" ca="1" si="12"/>
        <v>0</v>
      </c>
      <c r="C150" s="302">
        <f t="shared" ca="1" si="9"/>
        <v>-1.1749306420591332E-2</v>
      </c>
      <c r="D150" s="302">
        <f t="shared" ca="1" si="10"/>
        <v>0.16043185185267142</v>
      </c>
      <c r="E150" s="593">
        <f t="shared" ca="1" si="11"/>
        <v>0.68203771355329212</v>
      </c>
      <c r="F150" s="302"/>
      <c r="H150" s="302"/>
      <c r="J150" s="302"/>
    </row>
    <row r="151" spans="1:10" s="1321" customFormat="1">
      <c r="A151" s="59" t="s">
        <v>896</v>
      </c>
      <c r="B151" s="302">
        <f t="shared" ca="1" si="12"/>
        <v>0</v>
      </c>
      <c r="C151" s="302">
        <f t="shared" ca="1" si="9"/>
        <v>-1.8992557601533275E-2</v>
      </c>
      <c r="D151" s="302">
        <f t="shared" ca="1" si="10"/>
        <v>-0.37660101860965894</v>
      </c>
      <c r="E151" s="593">
        <f t="shared" ca="1" si="11"/>
        <v>0.12163177963188732</v>
      </c>
      <c r="F151" s="302"/>
      <c r="H151" s="302"/>
      <c r="J151" s="302"/>
    </row>
    <row r="152" spans="1:10" s="1321" customFormat="1">
      <c r="A152" s="118" t="s">
        <v>897</v>
      </c>
      <c r="B152" s="1020">
        <f t="shared" ca="1" si="12"/>
        <v>0</v>
      </c>
      <c r="C152" s="1020">
        <f t="shared" ca="1" si="9"/>
        <v>-1.728323735469002E-2</v>
      </c>
      <c r="D152" s="1020">
        <f t="shared" ca="1" si="10"/>
        <v>6.0387187723731373</v>
      </c>
      <c r="E152" s="210">
        <f t="shared" ca="1" si="11"/>
        <v>1.3273867498456304</v>
      </c>
      <c r="F152" s="302"/>
      <c r="H152" s="302"/>
      <c r="J152" s="302"/>
    </row>
    <row r="153" spans="1:10" s="1321" customFormat="1">
      <c r="F153" s="302"/>
      <c r="G153" s="302"/>
      <c r="H153" s="302"/>
    </row>
    <row r="154" spans="1:10" s="1321" customFormat="1">
      <c r="F154" s="302"/>
      <c r="G154" s="302"/>
      <c r="H154" s="302"/>
    </row>
    <row r="155" spans="1:10" s="1321" customFormat="1">
      <c r="F155" s="302"/>
      <c r="G155" s="302"/>
      <c r="H155" s="302"/>
    </row>
    <row r="156" spans="1:10" s="1321" customFormat="1">
      <c r="F156" s="302"/>
      <c r="G156" s="302"/>
      <c r="H156" s="302"/>
    </row>
    <row r="157" spans="1:10" s="1321" customFormat="1">
      <c r="F157" s="302"/>
      <c r="G157" s="302"/>
      <c r="H157" s="302"/>
    </row>
    <row r="158" spans="1:10" s="1321" customFormat="1">
      <c r="F158" s="302"/>
      <c r="G158" s="302"/>
      <c r="H158" s="302"/>
    </row>
    <row r="159" spans="1:10" s="1321" customFormat="1">
      <c r="F159" s="302"/>
      <c r="G159" s="302"/>
      <c r="H159" s="302"/>
    </row>
    <row r="160" spans="1:10" s="1321" customFormat="1">
      <c r="F160" s="302"/>
      <c r="G160" s="302"/>
      <c r="H160" s="302"/>
    </row>
    <row r="161" spans="6:8" s="1321" customFormat="1">
      <c r="F161" s="302"/>
      <c r="G161" s="302"/>
      <c r="H161" s="302"/>
    </row>
    <row r="162" spans="6:8" s="1321" customFormat="1">
      <c r="F162" s="302"/>
      <c r="G162" s="302"/>
      <c r="H162" s="302"/>
    </row>
    <row r="163" spans="6:8" s="1321" customFormat="1">
      <c r="F163" s="302"/>
      <c r="G163" s="302"/>
      <c r="H163" s="302"/>
    </row>
    <row r="164" spans="6:8" s="1321" customFormat="1">
      <c r="F164" s="302"/>
      <c r="G164" s="302"/>
      <c r="H164" s="302"/>
    </row>
    <row r="165" spans="6:8" s="1321" customFormat="1">
      <c r="F165" s="302"/>
      <c r="G165" s="302"/>
      <c r="H165" s="302"/>
    </row>
    <row r="166" spans="6:8" s="1321" customFormat="1">
      <c r="F166" s="302"/>
      <c r="G166" s="302"/>
      <c r="H166" s="302"/>
    </row>
    <row r="167" spans="6:8" s="1321" customFormat="1">
      <c r="F167" s="302"/>
      <c r="G167" s="302"/>
      <c r="H167" s="302"/>
    </row>
    <row r="168" spans="6:8" s="1321" customFormat="1">
      <c r="F168" s="302"/>
      <c r="G168" s="302"/>
      <c r="H168" s="302"/>
    </row>
    <row r="169" spans="6:8" s="1321" customFormat="1">
      <c r="F169" s="302"/>
      <c r="G169" s="302"/>
      <c r="H169" s="302"/>
    </row>
    <row r="170" spans="6:8" s="1321" customFormat="1">
      <c r="F170" s="302"/>
      <c r="G170" s="302"/>
      <c r="H170" s="302"/>
    </row>
    <row r="171" spans="6:8" s="1321" customFormat="1">
      <c r="F171" s="302"/>
      <c r="G171" s="302"/>
      <c r="H171" s="302"/>
    </row>
    <row r="172" spans="6:8" s="1321" customFormat="1">
      <c r="F172" s="302"/>
      <c r="G172" s="302"/>
      <c r="H172" s="302"/>
    </row>
    <row r="173" spans="6:8" s="1321" customFormat="1">
      <c r="F173" s="302"/>
      <c r="G173" s="302"/>
      <c r="H173" s="302"/>
    </row>
    <row r="174" spans="6:8" s="1321" customFormat="1">
      <c r="F174" s="302"/>
      <c r="G174" s="302"/>
      <c r="H174" s="302"/>
    </row>
    <row r="175" spans="6:8" s="1321" customFormat="1">
      <c r="F175" s="302"/>
      <c r="G175" s="302"/>
      <c r="H175" s="302"/>
    </row>
    <row r="176" spans="6:8" s="1321" customFormat="1">
      <c r="F176" s="302"/>
      <c r="G176" s="302"/>
      <c r="H176" s="302"/>
    </row>
    <row r="177" spans="6:8" s="1321" customFormat="1">
      <c r="F177" s="302"/>
      <c r="G177" s="302"/>
      <c r="H177" s="302"/>
    </row>
    <row r="178" spans="6:8" s="1321" customFormat="1">
      <c r="F178" s="302"/>
      <c r="G178" s="302"/>
      <c r="H178" s="302"/>
    </row>
    <row r="179" spans="6:8" s="1321" customFormat="1">
      <c r="F179" s="302"/>
      <c r="G179" s="302"/>
      <c r="H179" s="302"/>
    </row>
    <row r="180" spans="6:8" s="1321" customFormat="1">
      <c r="F180" s="302"/>
      <c r="G180" s="302"/>
      <c r="H180" s="302"/>
    </row>
    <row r="181" spans="6:8" s="1321" customFormat="1">
      <c r="F181" s="302"/>
      <c r="G181" s="302"/>
      <c r="H181" s="302"/>
    </row>
    <row r="182" spans="6:8" s="1321" customFormat="1">
      <c r="F182" s="302"/>
      <c r="G182" s="302"/>
      <c r="H182" s="302"/>
    </row>
    <row r="183" spans="6:8" s="1321" customFormat="1">
      <c r="F183" s="302"/>
      <c r="G183" s="302"/>
      <c r="H183" s="302"/>
    </row>
    <row r="184" spans="6:8" s="1321" customFormat="1">
      <c r="F184" s="302"/>
      <c r="G184" s="302"/>
      <c r="H184" s="302"/>
    </row>
    <row r="185" spans="6:8" s="1321" customFormat="1">
      <c r="F185" s="302"/>
      <c r="G185" s="302"/>
      <c r="H185" s="302"/>
    </row>
    <row r="186" spans="6:8" s="1321" customFormat="1">
      <c r="F186" s="302"/>
      <c r="G186" s="302"/>
      <c r="H186" s="302"/>
    </row>
    <row r="187" spans="6:8" s="1321" customFormat="1">
      <c r="F187" s="302"/>
      <c r="G187" s="302"/>
      <c r="H187" s="302"/>
    </row>
    <row r="188" spans="6:8" s="1321" customFormat="1">
      <c r="F188" s="302"/>
      <c r="G188" s="302"/>
      <c r="H188" s="302"/>
    </row>
    <row r="189" spans="6:8" s="1321" customFormat="1">
      <c r="F189" s="302"/>
      <c r="G189" s="302"/>
      <c r="H189" s="302"/>
    </row>
    <row r="190" spans="6:8" s="1321" customFormat="1">
      <c r="F190" s="302"/>
      <c r="G190" s="302"/>
      <c r="H190" s="302"/>
    </row>
    <row r="191" spans="6:8" s="1321" customFormat="1">
      <c r="F191" s="302"/>
      <c r="G191" s="302"/>
      <c r="H191" s="302"/>
    </row>
    <row r="192" spans="6:8" s="1321" customFormat="1">
      <c r="F192" s="302"/>
      <c r="G192" s="302"/>
      <c r="H192" s="302"/>
    </row>
    <row r="193" spans="6:8" s="1321" customFormat="1">
      <c r="F193" s="302"/>
      <c r="G193" s="302"/>
      <c r="H193" s="302"/>
    </row>
    <row r="194" spans="6:8" s="1321" customFormat="1">
      <c r="F194" s="302"/>
      <c r="G194" s="302"/>
      <c r="H194" s="302"/>
    </row>
    <row r="195" spans="6:8" s="1321" customFormat="1">
      <c r="F195" s="302"/>
      <c r="G195" s="302"/>
      <c r="H195" s="302"/>
    </row>
    <row r="196" spans="6:8" s="1321" customFormat="1">
      <c r="F196" s="302"/>
      <c r="G196" s="302"/>
      <c r="H196" s="302"/>
    </row>
    <row r="197" spans="6:8" s="1321" customFormat="1">
      <c r="F197" s="302"/>
      <c r="G197" s="302"/>
      <c r="H197" s="302"/>
    </row>
    <row r="198" spans="6:8" s="1321" customFormat="1">
      <c r="F198" s="302"/>
      <c r="G198" s="302"/>
      <c r="H198" s="302"/>
    </row>
    <row r="199" spans="6:8" s="1321" customFormat="1">
      <c r="F199" s="302"/>
      <c r="G199" s="302"/>
      <c r="H199" s="302"/>
    </row>
    <row r="200" spans="6:8" s="1321" customFormat="1">
      <c r="F200" s="302"/>
      <c r="G200" s="302"/>
      <c r="H200" s="302"/>
    </row>
    <row r="201" spans="6:8" s="1321" customFormat="1">
      <c r="F201" s="302"/>
      <c r="G201" s="302"/>
      <c r="H201" s="302"/>
    </row>
    <row r="202" spans="6:8" s="1321" customFormat="1">
      <c r="F202" s="302"/>
      <c r="G202" s="302"/>
      <c r="H202" s="302"/>
    </row>
    <row r="203" spans="6:8" s="1321" customFormat="1">
      <c r="F203" s="302"/>
      <c r="G203" s="302"/>
      <c r="H203" s="302"/>
    </row>
    <row r="204" spans="6:8" s="1321" customFormat="1">
      <c r="F204" s="302"/>
      <c r="G204" s="302"/>
      <c r="H204" s="302"/>
    </row>
    <row r="205" spans="6:8" s="1321" customFormat="1">
      <c r="F205" s="302"/>
      <c r="G205" s="302"/>
      <c r="H205" s="302"/>
    </row>
    <row r="206" spans="6:8" s="1321" customFormat="1">
      <c r="F206" s="302"/>
      <c r="G206" s="302"/>
      <c r="H206" s="302"/>
    </row>
    <row r="207" spans="6:8" s="1321" customFormat="1">
      <c r="F207" s="302"/>
      <c r="G207" s="302"/>
      <c r="H207" s="302"/>
    </row>
    <row r="208" spans="6:8" s="1321" customFormat="1">
      <c r="F208" s="302"/>
      <c r="G208" s="302"/>
      <c r="H208" s="302"/>
    </row>
    <row r="209" spans="6:8" s="1321" customFormat="1">
      <c r="F209" s="302"/>
      <c r="G209" s="302"/>
      <c r="H209" s="302"/>
    </row>
    <row r="210" spans="6:8" s="1321" customFormat="1">
      <c r="F210" s="302"/>
      <c r="G210" s="302"/>
      <c r="H210" s="302"/>
    </row>
    <row r="211" spans="6:8" s="1321" customFormat="1">
      <c r="F211" s="302"/>
      <c r="G211" s="302"/>
      <c r="H211" s="302"/>
    </row>
    <row r="212" spans="6:8" s="1321" customFormat="1">
      <c r="F212" s="302"/>
      <c r="G212" s="302"/>
      <c r="H212" s="302"/>
    </row>
    <row r="213" spans="6:8" s="1321" customFormat="1">
      <c r="F213" s="302"/>
      <c r="G213" s="302"/>
      <c r="H213" s="302"/>
    </row>
    <row r="214" spans="6:8" s="1321" customFormat="1">
      <c r="F214" s="302"/>
      <c r="G214" s="302"/>
      <c r="H214" s="302"/>
    </row>
    <row r="215" spans="6:8" s="1321" customFormat="1">
      <c r="F215" s="302"/>
      <c r="G215" s="302"/>
      <c r="H215" s="302"/>
    </row>
    <row r="216" spans="6:8" s="1321" customFormat="1">
      <c r="F216" s="302"/>
      <c r="G216" s="302"/>
      <c r="H216" s="302"/>
    </row>
    <row r="217" spans="6:8" s="1321" customFormat="1">
      <c r="F217" s="302"/>
      <c r="G217" s="302"/>
      <c r="H217" s="302"/>
    </row>
    <row r="218" spans="6:8" s="1321" customFormat="1">
      <c r="F218" s="302"/>
      <c r="G218" s="302"/>
      <c r="H218" s="302"/>
    </row>
    <row r="219" spans="6:8" s="1321" customFormat="1">
      <c r="F219" s="302"/>
      <c r="G219" s="302"/>
      <c r="H219" s="302"/>
    </row>
    <row r="220" spans="6:8" s="1321" customFormat="1">
      <c r="F220" s="302"/>
      <c r="G220" s="302"/>
      <c r="H220" s="302"/>
    </row>
    <row r="221" spans="6:8" s="1321" customFormat="1">
      <c r="F221" s="302"/>
      <c r="G221" s="302"/>
      <c r="H221" s="302"/>
    </row>
    <row r="222" spans="6:8" s="1321" customFormat="1">
      <c r="F222" s="302"/>
      <c r="G222" s="302"/>
      <c r="H222" s="302"/>
    </row>
    <row r="223" spans="6:8" s="1321" customFormat="1">
      <c r="F223" s="302"/>
      <c r="G223" s="302"/>
      <c r="H223" s="302"/>
    </row>
    <row r="224" spans="6:8" s="1321" customFormat="1">
      <c r="F224" s="302"/>
      <c r="G224" s="302"/>
      <c r="H224" s="302"/>
    </row>
    <row r="225" spans="6:8" s="1321" customFormat="1">
      <c r="F225" s="302"/>
      <c r="G225" s="302"/>
      <c r="H225" s="302"/>
    </row>
    <row r="226" spans="6:8" s="1321" customFormat="1">
      <c r="F226" s="302"/>
      <c r="G226" s="302"/>
      <c r="H226" s="302"/>
    </row>
    <row r="227" spans="6:8" s="1321" customFormat="1">
      <c r="F227" s="302"/>
      <c r="G227" s="302"/>
      <c r="H227" s="302"/>
    </row>
    <row r="228" spans="6:8" s="1321" customFormat="1">
      <c r="F228" s="302"/>
      <c r="G228" s="302"/>
      <c r="H228" s="302"/>
    </row>
    <row r="229" spans="6:8" s="1321" customFormat="1">
      <c r="F229" s="302"/>
      <c r="G229" s="302"/>
      <c r="H229" s="302"/>
    </row>
    <row r="230" spans="6:8" s="1321" customFormat="1">
      <c r="F230" s="302"/>
      <c r="G230" s="302"/>
      <c r="H230" s="302"/>
    </row>
    <row r="231" spans="6:8" s="1321" customFormat="1">
      <c r="F231" s="302"/>
      <c r="G231" s="302"/>
      <c r="H231" s="302"/>
    </row>
    <row r="232" spans="6:8" s="1321" customFormat="1">
      <c r="F232" s="302"/>
      <c r="G232" s="302"/>
      <c r="H232" s="302"/>
    </row>
    <row r="233" spans="6:8" s="1321" customFormat="1">
      <c r="F233" s="302"/>
      <c r="G233" s="302"/>
      <c r="H233" s="302"/>
    </row>
    <row r="234" spans="6:8" s="1321" customFormat="1">
      <c r="F234" s="302"/>
      <c r="G234" s="302"/>
      <c r="H234" s="302"/>
    </row>
    <row r="235" spans="6:8" s="1321" customFormat="1">
      <c r="F235" s="302"/>
      <c r="G235" s="302"/>
      <c r="H235" s="302"/>
    </row>
    <row r="236" spans="6:8" s="1321" customFormat="1">
      <c r="F236" s="302"/>
      <c r="G236" s="302"/>
      <c r="H236" s="302"/>
    </row>
    <row r="237" spans="6:8" s="1321" customFormat="1">
      <c r="F237" s="302"/>
      <c r="G237" s="302"/>
      <c r="H237" s="302"/>
    </row>
    <row r="238" spans="6:8" s="1321" customFormat="1">
      <c r="F238" s="302"/>
      <c r="G238" s="302"/>
      <c r="H238" s="302"/>
    </row>
    <row r="239" spans="6:8" s="1321" customFormat="1">
      <c r="F239" s="302"/>
      <c r="G239" s="302"/>
      <c r="H239" s="302"/>
    </row>
    <row r="240" spans="6:8" s="1321" customFormat="1">
      <c r="F240" s="302"/>
      <c r="G240" s="302"/>
      <c r="H240" s="302"/>
    </row>
    <row r="241" spans="2:15" s="1321" customFormat="1">
      <c r="F241" s="302"/>
      <c r="G241" s="302"/>
      <c r="H241" s="302"/>
    </row>
    <row r="242" spans="2:15" s="1321" customFormat="1">
      <c r="F242" s="302"/>
      <c r="G242" s="302"/>
      <c r="H242" s="302"/>
    </row>
    <row r="243" spans="2:15" s="1321" customFormat="1">
      <c r="F243" s="302"/>
      <c r="G243" s="302"/>
      <c r="H243" s="302"/>
    </row>
    <row r="244" spans="2:15" s="1321" customFormat="1">
      <c r="F244" s="302"/>
      <c r="G244" s="302"/>
      <c r="H244" s="302"/>
    </row>
    <row r="245" spans="2:15" s="1321" customFormat="1">
      <c r="F245" s="302"/>
      <c r="G245" s="302"/>
      <c r="H245" s="302"/>
    </row>
    <row r="246" spans="2:15" s="1321" customFormat="1">
      <c r="F246" s="302"/>
      <c r="G246" s="302"/>
      <c r="H246" s="302"/>
    </row>
    <row r="247" spans="2:15" s="1321" customFormat="1">
      <c r="F247" s="302"/>
      <c r="G247" s="302"/>
      <c r="H247" s="302"/>
    </row>
    <row r="248" spans="2:15" s="1321" customFormat="1">
      <c r="F248" s="302"/>
      <c r="G248" s="302"/>
      <c r="H248" s="302"/>
    </row>
    <row r="249" spans="2:15" s="1321" customFormat="1">
      <c r="F249" s="302"/>
      <c r="G249" s="302"/>
      <c r="H249" s="302"/>
    </row>
    <row r="250" spans="2:15" s="1321" customFormat="1">
      <c r="F250" s="302"/>
      <c r="G250" s="302"/>
      <c r="H250" s="302"/>
    </row>
    <row r="251" spans="2:15" s="1321" customFormat="1">
      <c r="B251" s="302"/>
      <c r="C251" s="302"/>
      <c r="D251" s="302"/>
      <c r="E251" s="302"/>
      <c r="F251" s="302"/>
      <c r="G251" s="302"/>
      <c r="H251" s="302"/>
      <c r="I251" s="302"/>
      <c r="J251" s="302"/>
      <c r="K251" s="302"/>
      <c r="L251" s="302"/>
      <c r="M251" s="302"/>
      <c r="N251" s="302"/>
      <c r="O251" s="302"/>
    </row>
    <row r="252" spans="2:15" s="1321" customFormat="1"/>
    <row r="253" spans="2:15" s="1321" customFormat="1"/>
    <row r="254" spans="2:15" s="1321" customFormat="1"/>
    <row r="255" spans="2:15" s="1321" customFormat="1"/>
    <row r="256" spans="2:15" s="1321" customFormat="1"/>
    <row r="257" s="1321" customFormat="1"/>
    <row r="258" s="1321" customFormat="1"/>
    <row r="259" s="1321" customFormat="1"/>
    <row r="260" s="1321" customFormat="1"/>
    <row r="261" s="1321" customFormat="1"/>
    <row r="262" s="1321" customFormat="1"/>
    <row r="263" s="1321" customFormat="1"/>
    <row r="264" s="1321" customFormat="1"/>
    <row r="265" s="1321" customFormat="1"/>
    <row r="266" s="1321" customFormat="1"/>
    <row r="267" s="1321" customFormat="1"/>
    <row r="268" s="1321" customFormat="1"/>
    <row r="269" s="1321" customFormat="1"/>
    <row r="270" s="1321" customFormat="1"/>
    <row r="271" s="1321" customFormat="1"/>
    <row r="272" s="1321" customFormat="1"/>
    <row r="273" s="1321" customFormat="1"/>
    <row r="274" s="1321" customFormat="1"/>
    <row r="275" s="1321" customFormat="1"/>
    <row r="276" s="1321" customFormat="1"/>
    <row r="277" s="1321" customFormat="1"/>
    <row r="278" s="1321" customFormat="1"/>
    <row r="279" s="1321" customFormat="1"/>
    <row r="280" s="1321" customFormat="1"/>
    <row r="281" s="1321" customFormat="1"/>
    <row r="282" s="1321" customFormat="1"/>
    <row r="283" s="1321" customFormat="1"/>
    <row r="284" s="1321" customFormat="1"/>
    <row r="285" s="1321" customFormat="1"/>
    <row r="286" s="1321" customFormat="1"/>
    <row r="287" s="1321" customFormat="1"/>
    <row r="288" s="1321" customFormat="1"/>
    <row r="289" s="1321" customFormat="1"/>
    <row r="290" s="1321" customFormat="1"/>
    <row r="291" s="1321" customFormat="1"/>
    <row r="292" s="1321" customFormat="1"/>
    <row r="293" s="1321" customFormat="1"/>
    <row r="294" s="1321" customFormat="1"/>
    <row r="295" s="1321" customFormat="1"/>
    <row r="296" s="1321" customFormat="1"/>
    <row r="297" s="1321" customFormat="1"/>
    <row r="298" s="1321" customFormat="1"/>
    <row r="299" s="1321" customFormat="1"/>
    <row r="300" s="1321" customFormat="1"/>
    <row r="301" s="1321" customFormat="1"/>
    <row r="302" s="1321" customFormat="1"/>
    <row r="303" s="1321" customFormat="1"/>
    <row r="304" s="1321" customFormat="1"/>
    <row r="305" s="1321" customFormat="1"/>
    <row r="306" s="1321" customFormat="1"/>
    <row r="307" s="1321" customFormat="1"/>
    <row r="308" s="1321" customFormat="1"/>
    <row r="309" s="1321" customFormat="1"/>
    <row r="310" s="1321" customFormat="1"/>
    <row r="311" s="1321" customFormat="1"/>
    <row r="312" s="1321" customFormat="1"/>
    <row r="313" s="1321" customFormat="1"/>
    <row r="314" s="1321" customFormat="1"/>
    <row r="315" s="1321" customFormat="1"/>
    <row r="316" s="1321" customFormat="1"/>
    <row r="317" s="1321" customFormat="1"/>
    <row r="318" s="1321" customFormat="1"/>
    <row r="319" s="1321" customFormat="1"/>
    <row r="320" s="1321" customFormat="1"/>
    <row r="321" s="1321" customFormat="1"/>
    <row r="322" s="1321" customFormat="1"/>
    <row r="323" s="1321" customFormat="1"/>
    <row r="324" s="1321" customFormat="1"/>
    <row r="325" s="1321" customFormat="1"/>
    <row r="326" s="1321" customFormat="1"/>
    <row r="327" s="1321" customFormat="1"/>
    <row r="328" s="1321" customFormat="1"/>
    <row r="329" s="1321" customFormat="1"/>
    <row r="330" s="1321" customFormat="1"/>
    <row r="331" s="1321" customFormat="1"/>
    <row r="332" s="1321" customFormat="1"/>
    <row r="333" s="1321" customFormat="1"/>
    <row r="334" s="1321" customFormat="1"/>
    <row r="335" s="1321" customFormat="1"/>
    <row r="336" s="1321" customFormat="1"/>
    <row r="337" s="1321" customFormat="1"/>
    <row r="338" s="1321" customFormat="1"/>
    <row r="339" s="1321" customFormat="1"/>
    <row r="340" s="1321" customFormat="1"/>
    <row r="341" s="1321" customFormat="1"/>
    <row r="342" s="1321" customFormat="1"/>
    <row r="343" s="1321" customFormat="1"/>
    <row r="344" s="1321" customFormat="1"/>
  </sheetData>
  <mergeCells count="8">
    <mergeCell ref="B96:E96"/>
    <mergeCell ref="F96:I96"/>
    <mergeCell ref="B6:E6"/>
    <mergeCell ref="F6:I6"/>
    <mergeCell ref="B36:E36"/>
    <mergeCell ref="F36:I36"/>
    <mergeCell ref="B66:E66"/>
    <mergeCell ref="F66:I66"/>
  </mergeCells>
  <dataValidations count="3">
    <dataValidation type="list" allowBlank="1" showInputMessage="1" showErrorMessage="1" sqref="D4" xr:uid="{00000000-0002-0000-3C00-000000000000}">
      <formula1>$M$9:$Q$9</formula1>
    </dataValidation>
    <dataValidation type="list" allowBlank="1" showInputMessage="1" showErrorMessage="1" sqref="B3" xr:uid="{00000000-0002-0000-3C00-000001000000}">
      <formula1>$M$5:$Q$5</formula1>
    </dataValidation>
    <dataValidation type="list" allowBlank="1" showInputMessage="1" showErrorMessage="1" sqref="D3" xr:uid="{00000000-0002-0000-3C00-000002000000}">
      <formula1>$M$7:$Q$7</formula1>
    </dataValidation>
  </dataValidation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1" id="{81A96689-6E61-492A-9288-A474F854B761}">
            <xm:f>OR(MHDV_Inputs!$B$3=2,MHDV_Inputs!$B$3=3)</xm:f>
            <x14:dxf>
              <fill>
                <patternFill>
                  <bgColor theme="1" tint="0.24994659260841701"/>
                </patternFill>
              </fill>
            </x14:dxf>
          </x14:cfRule>
          <xm:sqref>F38:I63 C127:C152 B38:E63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61</vt:i4>
      </vt:variant>
      <vt:variant>
        <vt:lpstr>Named Ranges</vt:lpstr>
      </vt:variant>
      <vt:variant>
        <vt:i4>89</vt:i4>
      </vt:variant>
    </vt:vector>
  </HeadingPairs>
  <TitlesOfParts>
    <vt:vector size="150" baseType="lpstr">
      <vt:lpstr>Overview</vt:lpstr>
      <vt:lpstr>GREET1_Import_Export</vt:lpstr>
      <vt:lpstr>Vehi_Inputs</vt:lpstr>
      <vt:lpstr>Battery_Sum</vt:lpstr>
      <vt:lpstr>Vehi_Sum</vt:lpstr>
      <vt:lpstr>Vehi_Comp_Sum</vt:lpstr>
      <vt:lpstr>Mat_Sum</vt:lpstr>
      <vt:lpstr>Mat_Inputs</vt:lpstr>
      <vt:lpstr>Car</vt:lpstr>
      <vt:lpstr>Other_Cathodes</vt:lpstr>
      <vt:lpstr>Nickel</vt:lpstr>
      <vt:lpstr>Battery Recycling</vt:lpstr>
      <vt:lpstr>SUV</vt:lpstr>
      <vt:lpstr>PUT</vt:lpstr>
      <vt:lpstr>Steel</vt:lpstr>
      <vt:lpstr>C.Iron</vt:lpstr>
      <vt:lpstr>W.Al</vt:lpstr>
      <vt:lpstr>C.Al</vt:lpstr>
      <vt:lpstr>Li_Chemicals</vt:lpstr>
      <vt:lpstr>Lead</vt:lpstr>
      <vt:lpstr>Cobalt</vt:lpstr>
      <vt:lpstr>Copper</vt:lpstr>
      <vt:lpstr>Zinc</vt:lpstr>
      <vt:lpstr>Magnesium</vt:lpstr>
      <vt:lpstr>Glass</vt:lpstr>
      <vt:lpstr>Vehi_Plastics</vt:lpstr>
      <vt:lpstr>Rubber</vt:lpstr>
      <vt:lpstr>Platinum</vt:lpstr>
      <vt:lpstr>Vanadium</vt:lpstr>
      <vt:lpstr>Zirconium</vt:lpstr>
      <vt:lpstr>Titanium</vt:lpstr>
      <vt:lpstr>Chromium</vt:lpstr>
      <vt:lpstr>Molybdenum</vt:lpstr>
      <vt:lpstr>Rare Earth</vt:lpstr>
      <vt:lpstr>Manganese</vt:lpstr>
      <vt:lpstr>FC Materials</vt:lpstr>
      <vt:lpstr>Cement_Concrete</vt:lpstr>
      <vt:lpstr>Silicon</vt:lpstr>
      <vt:lpstr>Vehi_Fluids</vt:lpstr>
      <vt:lpstr>Battery_Assembly</vt:lpstr>
      <vt:lpstr>Vehi_ADR</vt:lpstr>
      <vt:lpstr>Battery_Materials</vt:lpstr>
      <vt:lpstr>Anode</vt:lpstr>
      <vt:lpstr>LiMn2O4</vt:lpstr>
      <vt:lpstr>TEC_Results</vt:lpstr>
      <vt:lpstr>GREET2_Factors_T&amp;D</vt:lpstr>
      <vt:lpstr>GREET_Building_Import_Export</vt:lpstr>
      <vt:lpstr>MHDV_Inputs</vt:lpstr>
      <vt:lpstr>MHDV_Mat_Parameters</vt:lpstr>
      <vt:lpstr>Class 6 PnD Trucks</vt:lpstr>
      <vt:lpstr>Class 8 Day-cab Trucks</vt:lpstr>
      <vt:lpstr>Class 8 Sleeper-cab Trucks</vt:lpstr>
      <vt:lpstr>MHDV_Fluids</vt:lpstr>
      <vt:lpstr>MHDV_Trailer_Fluids</vt:lpstr>
      <vt:lpstr>MHDV_ADR</vt:lpstr>
      <vt:lpstr>MHDV_Trailer_ADR</vt:lpstr>
      <vt:lpstr>MHDV_Battery_Sum</vt:lpstr>
      <vt:lpstr>MHDV_Comp_Sum</vt:lpstr>
      <vt:lpstr>MHDV_Trailer_Comp_Sum</vt:lpstr>
      <vt:lpstr>MHDV_Sum</vt:lpstr>
      <vt:lpstr>MHDV_TEC_Results</vt:lpstr>
      <vt:lpstr>Anode_elec_G</vt:lpstr>
      <vt:lpstr>Anode_energy_C</vt:lpstr>
      <vt:lpstr>Anode_energy_G</vt:lpstr>
      <vt:lpstr>Anode_NG_C</vt:lpstr>
      <vt:lpstr>Anode_non_comb</vt:lpstr>
      <vt:lpstr>Assembly_energy</vt:lpstr>
      <vt:lpstr>Assembly_NG</vt:lpstr>
      <vt:lpstr>Assembly_water</vt:lpstr>
      <vt:lpstr>Bat_mat_comp</vt:lpstr>
      <vt:lpstr>Bat_spec_energy</vt:lpstr>
      <vt:lpstr>Cath_mat_input</vt:lpstr>
      <vt:lpstr>Cath_mat_upstream</vt:lpstr>
      <vt:lpstr>Coke_prod</vt:lpstr>
      <vt:lpstr>Coke_upstream1</vt:lpstr>
      <vt:lpstr>Coke_upstream2</vt:lpstr>
      <vt:lpstr>Crude_upstream1</vt:lpstr>
      <vt:lpstr>Crude_upstream2</vt:lpstr>
      <vt:lpstr>DataEntryToGREET1</vt:lpstr>
      <vt:lpstr>DataExportToGREET1</vt:lpstr>
      <vt:lpstr>Elec_bio</vt:lpstr>
      <vt:lpstr>Elec_coal</vt:lpstr>
      <vt:lpstr>Elec_hydro</vt:lpstr>
      <vt:lpstr>Elec_NG</vt:lpstr>
      <vt:lpstr>Elec_NGCC</vt:lpstr>
      <vt:lpstr>Elec_nuclear</vt:lpstr>
      <vt:lpstr>Elec_oil</vt:lpstr>
      <vt:lpstr>Elec_other</vt:lpstr>
      <vt:lpstr>Elec_region</vt:lpstr>
      <vt:lpstr>Elec_US</vt:lpstr>
      <vt:lpstr>Elec_wind</vt:lpstr>
      <vt:lpstr>EV_battery_size</vt:lpstr>
      <vt:lpstr>GREET2_Assembly</vt:lpstr>
      <vt:lpstr>Vehi_Plastics!GREET2_HDPE</vt:lpstr>
      <vt:lpstr>Vehi_Plastics!GREET2_LDPE</vt:lpstr>
      <vt:lpstr>GREET2_RecSteel</vt:lpstr>
      <vt:lpstr>GREET2_Rubber</vt:lpstr>
      <vt:lpstr>GREET2_Steel</vt:lpstr>
      <vt:lpstr>kg2T</vt:lpstr>
      <vt:lpstr>LFP_S_elec</vt:lpstr>
      <vt:lpstr>LFP_S_energy</vt:lpstr>
      <vt:lpstr>LFP_S_non</vt:lpstr>
      <vt:lpstr>LFP_T_energy</vt:lpstr>
      <vt:lpstr>LFP_T_NG</vt:lpstr>
      <vt:lpstr>LMO_energy</vt:lpstr>
      <vt:lpstr>LMO_NG</vt:lpstr>
      <vt:lpstr>LMO_non</vt:lpstr>
      <vt:lpstr>LMR_energy</vt:lpstr>
      <vt:lpstr>LMR_NG</vt:lpstr>
      <vt:lpstr>LMR_non</vt:lpstr>
      <vt:lpstr>LMR_pre_energy</vt:lpstr>
      <vt:lpstr>LMR_pre_NG</vt:lpstr>
      <vt:lpstr>Mat_upstream</vt:lpstr>
      <vt:lpstr>MJ2BTU</vt:lpstr>
      <vt:lpstr>Mn2O3_upstream</vt:lpstr>
      <vt:lpstr>MYear</vt:lpstr>
      <vt:lpstr>NCA_elec</vt:lpstr>
      <vt:lpstr>NCA_energy</vt:lpstr>
      <vt:lpstr>NCA_pre_energy</vt:lpstr>
      <vt:lpstr>NCA_pre_NG</vt:lpstr>
      <vt:lpstr>NCA_pre_w</vt:lpstr>
      <vt:lpstr>NG_boil_EF</vt:lpstr>
      <vt:lpstr>NG_LNG</vt:lpstr>
      <vt:lpstr>NG_US</vt:lpstr>
      <vt:lpstr>NG_util_EF</vt:lpstr>
      <vt:lpstr>NMC111_elec</vt:lpstr>
      <vt:lpstr>NMC111_energy</vt:lpstr>
      <vt:lpstr>NMC111_non</vt:lpstr>
      <vt:lpstr>NMC111_pre_energy</vt:lpstr>
      <vt:lpstr>NMC111_pre_NG</vt:lpstr>
      <vt:lpstr>NMC111_pre_w</vt:lpstr>
      <vt:lpstr>NMC532_elec</vt:lpstr>
      <vt:lpstr>NMC532_energy</vt:lpstr>
      <vt:lpstr>NMC532_non</vt:lpstr>
      <vt:lpstr>NMC532_pre_energy</vt:lpstr>
      <vt:lpstr>NMC532_pre_NG</vt:lpstr>
      <vt:lpstr>NMC532_pre_w</vt:lpstr>
      <vt:lpstr>NMC622_elec</vt:lpstr>
      <vt:lpstr>NMC622_energy</vt:lpstr>
      <vt:lpstr>NMC622_non</vt:lpstr>
      <vt:lpstr>NMC622_pre_energy</vt:lpstr>
      <vt:lpstr>NMC622_pre_NG</vt:lpstr>
      <vt:lpstr>NMC622_pre_w</vt:lpstr>
      <vt:lpstr>NMC811_elec</vt:lpstr>
      <vt:lpstr>NMC811_energy</vt:lpstr>
      <vt:lpstr>NMC811_pre_energy</vt:lpstr>
      <vt:lpstr>NMC811_pre_NG</vt:lpstr>
      <vt:lpstr>NMC811_pre_w</vt:lpstr>
      <vt:lpstr>NMP_required</vt:lpstr>
      <vt:lpstr>Share_VirMat</vt:lpstr>
    </vt:vector>
  </TitlesOfParts>
  <Manager/>
  <Company>Center for Transportation Research, Argonne Lab.</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Energy Cycle Emissions and Energy Use</dc:title>
  <dc:subject>Transportation energy use and emissions</dc:subject>
  <dc:creator>Michael Wang</dc:creator>
  <cp:keywords/>
  <dc:description/>
  <cp:lastModifiedBy>Matthew</cp:lastModifiedBy>
  <cp:revision/>
  <dcterms:created xsi:type="dcterms:W3CDTF">1997-04-01T19:45:40Z</dcterms:created>
  <dcterms:modified xsi:type="dcterms:W3CDTF">2022-06-07T02:31:08Z</dcterms:modified>
  <cp:category>Energy cycle energy use and emissions</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176e4e5e-3e71-456f-9cf9-0891567391ac</vt:lpwstr>
  </property>
</Properties>
</file>